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자금조달_증자" sheetId="1" state="visible" r:id="rId1"/>
    <sheet xmlns:r="http://schemas.openxmlformats.org/officeDocument/2006/relationships" name="영업활동_계약" sheetId="2" state="visible" r:id="rId2"/>
    <sheet xmlns:r="http://schemas.openxmlformats.org/officeDocument/2006/relationships" name="신규시설투자" sheetId="3" state="visible" r:id="rId3"/>
    <sheet xmlns:r="http://schemas.openxmlformats.org/officeDocument/2006/relationships" name="재무_채무보증" sheetId="4" state="visible" r:id="rId4"/>
    <sheet xmlns:r="http://schemas.openxmlformats.org/officeDocument/2006/relationships" name="재무_자기주식" sheetId="5" state="visible" r:id="rId5"/>
    <sheet xmlns:r="http://schemas.openxmlformats.org/officeDocument/2006/relationships" name="경영권_지배구조" sheetId="6" state="visible" r:id="rId6"/>
    <sheet xmlns:r="http://schemas.openxmlformats.org/officeDocument/2006/relationships" name="기타공시" sheetId="7" state="visible" r:id="rId7"/>
    <sheet xmlns:r="http://schemas.openxmlformats.org/officeDocument/2006/relationships" name="5%_임원보고" sheetId="8" state="visible" r:id="rId8"/>
  </sheets>
  <definedNames>
    <definedName name="_xlnm._FilterDatabase" localSheetId="0" hidden="1">'자금조달_증자'!$A$1:$T$487</definedName>
    <definedName name="_xlnm._FilterDatabase" localSheetId="1" hidden="1">'영업활동_계약'!$A$1:$O$554</definedName>
    <definedName name="_xlnm._FilterDatabase" localSheetId="2" hidden="1">'신규시설투자'!$A$1:$L$67</definedName>
    <definedName name="_xlnm._FilterDatabase" localSheetId="3" hidden="1">'재무_채무보증'!$A$1:$N$227</definedName>
    <definedName name="_xlnm._FilterDatabase" localSheetId="4" hidden="1">'재무_자기주식'!$A$1:$P$308</definedName>
    <definedName name="_xlnm._FilterDatabase" localSheetId="5" hidden="1">'경영권_지배구조'!$A$1:$H$5279</definedName>
    <definedName name="_xlnm._FilterDatabase" localSheetId="6" hidden="1">'기타공시'!$A$1:$H$13928</definedName>
    <definedName name="_xlnm._FilterDatabase" localSheetId="7" hidden="1">'5%_임원보고'!$A$1:$M$5153</definedName>
  </definedNames>
  <calcPr calcId="124519" fullCalcOnLoad="1"/>
</workbook>
</file>

<file path=xl/styles.xml><?xml version="1.0" encoding="utf-8"?>
<styleSheet xmlns="http://schemas.openxmlformats.org/spreadsheetml/2006/main">
  <numFmts count="2">
    <numFmt numFmtId="164" formatCode="₩#,##0"/>
    <numFmt numFmtId="165" formatCode="0.00&quot;%&quot;"/>
  </numFmts>
  <fonts count="7">
    <font>
      <name val="Calibri"/>
      <family val="2"/>
      <color theme="1"/>
      <sz val="11"/>
      <scheme val="minor"/>
    </font>
    <font>
      <b val="1"/>
    </font>
    <font>
      <name val="Malgun Gothic"/>
      <b val="1"/>
      <color rgb="00FFFFFF"/>
      <sz val="10"/>
    </font>
    <font>
      <name val="Malgun Gothic"/>
      <sz val="9"/>
    </font>
    <font>
      <name val="Malgun Gothic"/>
      <color rgb="000000FF"/>
      <sz val="9"/>
      <u val="single"/>
    </font>
    <font>
      <name val="Malgun Gothic"/>
      <color rgb="000000FF"/>
      <sz val="9"/>
    </font>
    <font>
      <name val="Malgun Gothic"/>
      <color rgb="00FF0000"/>
      <sz val="9"/>
    </font>
  </fonts>
  <fills count="8">
    <fill>
      <patternFill/>
    </fill>
    <fill>
      <patternFill patternType="gray125"/>
    </fill>
    <fill>
      <patternFill patternType="solid">
        <fgColor rgb="001F497D"/>
        <bgColor rgb="001F497D"/>
      </patternFill>
    </fill>
    <fill>
      <patternFill patternType="solid">
        <fgColor rgb="00FFF2CC"/>
        <bgColor rgb="00FFF2CC"/>
      </patternFill>
    </fill>
    <fill>
      <patternFill patternType="solid">
        <fgColor rgb="00DDEBF7"/>
        <bgColor rgb="00DDEBF7"/>
      </patternFill>
    </fill>
    <fill>
      <patternFill patternType="solid">
        <fgColor rgb="00E2EFDA"/>
        <bgColor rgb="00E2EFDA"/>
      </patternFill>
    </fill>
    <fill>
      <patternFill patternType="solid">
        <fgColor rgb="00FCE4D6"/>
        <bgColor rgb="00FCE4D6"/>
      </patternFill>
    </fill>
    <fill>
      <patternFill patternType="solid">
        <fgColor rgb="00333F48"/>
        <bgColor rgb="00333F48"/>
      </patternFill>
    </fill>
  </fills>
  <borders count="3">
    <border>
      <left/>
      <right/>
      <top/>
      <bottom/>
      <diagonal/>
    </border>
    <border>
      <left style="thin"/>
      <right style="thin"/>
      <top style="thin"/>
      <bottom style="thin"/>
    </border>
    <border>
      <left style="thin">
        <color rgb="00D3D3D3"/>
      </left>
      <right style="thin">
        <color rgb="00D3D3D3"/>
      </right>
      <top style="thin">
        <color rgb="00D3D3D3"/>
      </top>
      <bottom style="thin">
        <color rgb="00D3D3D3"/>
      </bottom>
    </border>
  </borders>
  <cellStyleXfs count="1">
    <xf numFmtId="0" fontId="0" fillId="0" borderId="0"/>
  </cellStyleXfs>
  <cellXfs count="19">
    <xf numFmtId="0" fontId="0" fillId="0" borderId="0" pivotButton="0" quotePrefix="0" xfId="0"/>
    <xf numFmtId="0" fontId="2" fillId="2" borderId="1"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3" borderId="2" applyAlignment="1" pivotButton="0" quotePrefix="0" xfId="0">
      <alignment horizontal="center" vertical="center"/>
    </xf>
    <xf numFmtId="164" fontId="3" fillId="0" borderId="2" applyAlignment="1" pivotButton="0" quotePrefix="0" xfId="0">
      <alignment horizontal="right" vertical="center"/>
    </xf>
    <xf numFmtId="3" fontId="3" fillId="0" borderId="2" applyAlignment="1" pivotButton="0" quotePrefix="0" xfId="0">
      <alignment horizontal="right" vertical="center"/>
    </xf>
    <xf numFmtId="0" fontId="3" fillId="0" borderId="2" applyAlignment="1" pivotButton="0" quotePrefix="0" xfId="0">
      <alignment horizontal="left" vertical="center" wrapText="1"/>
    </xf>
    <xf numFmtId="0" fontId="4" fillId="0" borderId="2" applyAlignment="1" pivotButton="0" quotePrefix="0" xfId="0">
      <alignment horizontal="center" vertical="center"/>
    </xf>
    <xf numFmtId="0" fontId="3" fillId="4" borderId="2" applyAlignment="1" pivotButton="0" quotePrefix="0" xfId="0">
      <alignment horizontal="center" vertical="center"/>
    </xf>
    <xf numFmtId="165" fontId="3" fillId="0" borderId="2" applyAlignment="1" pivotButton="0" quotePrefix="0" xfId="0">
      <alignment horizontal="right" vertical="center"/>
    </xf>
    <xf numFmtId="0" fontId="3" fillId="5" borderId="2" applyAlignment="1" pivotButton="0" quotePrefix="0" xfId="0">
      <alignment horizontal="center" vertical="center"/>
    </xf>
    <xf numFmtId="0" fontId="3" fillId="6" borderId="2" applyAlignment="1" pivotButton="0" quotePrefix="0" xfId="0">
      <alignment horizontal="center" vertical="center"/>
    </xf>
    <xf numFmtId="165" fontId="3" fillId="0" borderId="2" applyAlignment="1" pivotButton="0" quotePrefix="0" xfId="0">
      <alignment horizontal="left" vertical="center"/>
    </xf>
    <xf numFmtId="0" fontId="2" fillId="7" borderId="1" applyAlignment="1" pivotButton="0" quotePrefix="0" xfId="0">
      <alignment horizontal="center" vertical="center"/>
    </xf>
    <xf numFmtId="3" fontId="5" fillId="0" borderId="2" applyAlignment="1" pivotButton="0" quotePrefix="0" xfId="0">
      <alignment horizontal="right" vertical="center"/>
    </xf>
    <xf numFmtId="2" fontId="3" fillId="0" borderId="2" applyAlignment="1" pivotButton="0" quotePrefix="0" xfId="0">
      <alignment horizontal="right" vertical="center"/>
    </xf>
    <xf numFmtId="3" fontId="6" fillId="0" borderId="2" applyAlignment="1" pivotButton="0" quotePrefix="0" xfId="0">
      <alignment horizontal="right" vertical="center"/>
    </xf>
    <xf numFmtId="0" fontId="3"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7"/>
  <sheetViews>
    <sheetView workbookViewId="0">
      <selection activeCell="A1" sqref="A1"/>
    </sheetView>
  </sheetViews>
  <sheetFormatPr baseColWidth="8" defaultRowHeight="15"/>
  <cols>
    <col width="30" customWidth="1" min="1" max="1"/>
    <col width="22.6" customWidth="1" min="2" max="2"/>
    <col width="10" customWidth="1" min="3" max="3"/>
    <col width="11.4" customWidth="1" min="4" max="4"/>
    <col width="19.8" customWidth="1" min="5" max="5"/>
    <col width="30" customWidth="1" min="6" max="6"/>
    <col width="25.4" customWidth="1" min="7" max="7"/>
    <col width="30" customWidth="1" min="8" max="8"/>
    <col width="30" customWidth="1" min="9" max="9"/>
    <col width="21.2" customWidth="1" min="10" max="10"/>
    <col width="21.2" customWidth="1" min="11" max="11"/>
    <col width="17" customWidth="1" min="12" max="12"/>
    <col width="21.2" customWidth="1" min="13" max="13"/>
    <col width="17" customWidth="1" min="14" max="14"/>
    <col width="29.6" customWidth="1" min="15" max="15"/>
    <col width="45" customWidth="1" min="16" max="16"/>
    <col width="17" customWidth="1" min="17" max="17"/>
    <col width="17" customWidth="1" min="18" max="18"/>
    <col width="22.6" customWidth="1" min="19" max="19"/>
    <col width="11.4" customWidth="1" min="20" max="20"/>
  </cols>
  <sheetData>
    <row r="1" ht="25" customHeight="1">
      <c r="A1" s="1" t="inlineStr">
        <is>
          <t>접수일자</t>
        </is>
      </c>
      <c r="B1" s="1" t="inlineStr">
        <is>
          <t>회사명</t>
        </is>
      </c>
      <c r="C1" s="1" t="inlineStr">
        <is>
          <t>시장구분</t>
        </is>
      </c>
      <c r="D1" s="1" t="inlineStr">
        <is>
          <t>종목코드</t>
        </is>
      </c>
      <c r="E1" s="1" t="inlineStr">
        <is>
          <t>유형</t>
        </is>
      </c>
      <c r="F1" s="1" t="inlineStr">
        <is>
          <t>공시명</t>
        </is>
      </c>
      <c r="G1" s="1" t="inlineStr">
        <is>
          <t>조달금액</t>
        </is>
      </c>
      <c r="H1" s="1" t="inlineStr">
        <is>
          <t>발행가/전환가</t>
        </is>
      </c>
      <c r="I1" s="1" t="inlineStr">
        <is>
          <t>신주종류</t>
        </is>
      </c>
      <c r="J1" s="1" t="inlineStr">
        <is>
          <t>신주발행수</t>
        </is>
      </c>
      <c r="K1" s="1" t="inlineStr">
        <is>
          <t>납입일</t>
        </is>
      </c>
      <c r="L1" s="1" t="inlineStr">
        <is>
          <t>상장예정일</t>
        </is>
      </c>
      <c r="M1" s="1" t="inlineStr">
        <is>
          <t>전환청구시작일</t>
        </is>
      </c>
      <c r="N1" s="1" t="inlineStr">
        <is>
          <t>전환청구종료일</t>
        </is>
      </c>
      <c r="O1" s="1" t="inlineStr">
        <is>
          <t>주식총수대비</t>
        </is>
      </c>
      <c r="P1" s="1" t="inlineStr">
        <is>
          <t>조달목적</t>
        </is>
      </c>
      <c r="Q1" s="1" t="inlineStr">
        <is>
          <t>콜옵션 청구일</t>
        </is>
      </c>
      <c r="R1" s="1" t="inlineStr">
        <is>
          <t>풋옵션 청구일</t>
        </is>
      </c>
      <c r="S1" s="1" t="inlineStr">
        <is>
          <t>접수번호</t>
        </is>
      </c>
      <c r="T1" s="1" t="inlineStr">
        <is>
          <t>DART링크</t>
        </is>
      </c>
    </row>
    <row r="2" ht="36" customHeight="1">
      <c r="A2" s="2" t="inlineStr">
        <is>
          <t>2026-01-19</t>
        </is>
      </c>
      <c r="B2" s="3" t="inlineStr">
        <is>
          <t>만호제강</t>
        </is>
      </c>
      <c r="C2" s="2" t="inlineStr">
        <is>
          <t>코스피</t>
        </is>
      </c>
      <c r="D2" s="2" t="inlineStr">
        <is>
          <t>001080</t>
        </is>
      </c>
      <c r="E2" s="4" t="inlineStr">
        <is>
          <t>교환사채(EB)</t>
        </is>
      </c>
      <c r="F2" s="3" t="inlineStr">
        <is>
          <t>주요사항보고서(교환사채권발행결정)</t>
        </is>
      </c>
      <c r="G2" s="5" t="n">
        <v>5500000000</v>
      </c>
      <c r="H2" s="5" t="n">
        <v>3793</v>
      </c>
      <c r="I2" s="2" t="inlineStr">
        <is>
          <t>한국선재 주식회사 기명식 보통주식</t>
        </is>
      </c>
      <c r="J2" s="6" t="inlineStr"/>
      <c r="K2" s="2" t="inlineStr">
        <is>
          <t>2026년 01월 27일</t>
        </is>
      </c>
      <c r="L2" s="2" t="inlineStr">
        <is>
          <t>-</t>
        </is>
      </c>
      <c r="M2" s="2" t="inlineStr">
        <is>
          <t>2026-02-27</t>
        </is>
      </c>
      <c r="N2" s="2" t="inlineStr">
        <is>
          <t>2030-12-27</t>
        </is>
      </c>
      <c r="O2" s="3" t="inlineStr"/>
      <c r="P2" s="7" t="inlineStr">
        <is>
          <t>-</t>
        </is>
      </c>
      <c r="Q2" s="2" t="inlineStr">
        <is>
          <t>-</t>
        </is>
      </c>
      <c r="R2" s="2" t="inlineStr">
        <is>
          <t>2027-11-28</t>
        </is>
      </c>
      <c r="S2" s="2" t="inlineStr">
        <is>
          <t>20260119000282</t>
        </is>
      </c>
      <c r="T2" s="8">
        <f>HYPERLINK("https://dart.fss.or.kr/dsaf001/main.do?rcpNo=20260119000282", "공시열람")</f>
        <v/>
      </c>
    </row>
    <row r="3" ht="36" customHeight="1">
      <c r="A3" s="2" t="inlineStr">
        <is>
          <t>2025-09-30 (정정: 2026-01-19)</t>
        </is>
      </c>
      <c r="B3" s="3" t="inlineStr">
        <is>
          <t>에이에스텍</t>
        </is>
      </c>
      <c r="C3" s="2" t="inlineStr">
        <is>
          <t>코스닥</t>
        </is>
      </c>
      <c r="D3" s="2" t="inlineStr">
        <is>
          <t>453860</t>
        </is>
      </c>
      <c r="E3" s="9" t="inlineStr">
        <is>
          <t>유상증자</t>
        </is>
      </c>
      <c r="F3" s="3" t="inlineStr">
        <is>
          <t>[기재정정]주요사항보고서(유상증자결정)</t>
        </is>
      </c>
      <c r="G3" s="5" t="n">
        <v>16523</v>
      </c>
      <c r="H3" s="5" t="n">
        <v>20990</v>
      </c>
      <c r="I3" s="2" t="inlineStr">
        <is>
          <t>보통주식</t>
        </is>
      </c>
      <c r="J3" s="6" t="n">
        <v>787208</v>
      </c>
      <c r="K3" s="2" t="inlineStr">
        <is>
          <t>2026-01-09</t>
        </is>
      </c>
      <c r="L3" s="2" t="inlineStr">
        <is>
          <t>2026-01-28</t>
        </is>
      </c>
      <c r="M3" s="2" t="inlineStr">
        <is>
          <t>-</t>
        </is>
      </c>
      <c r="N3" s="2" t="inlineStr">
        <is>
          <t>-</t>
        </is>
      </c>
      <c r="O3" s="10" t="n">
        <v>13.91511547643142</v>
      </c>
      <c r="P3" s="7" t="inlineStr">
        <is>
          <t>운영자금 (16,523원)</t>
        </is>
      </c>
      <c r="Q3" s="2" t="inlineStr">
        <is>
          <t>-</t>
        </is>
      </c>
      <c r="R3" s="2" t="inlineStr">
        <is>
          <t>-</t>
        </is>
      </c>
      <c r="S3" s="2" t="inlineStr">
        <is>
          <t>20260119000237</t>
        </is>
      </c>
      <c r="T3" s="8">
        <f>HYPERLINK("https://dart.fss.or.kr/dsaf001/main.do?rcpNo=20260119000237", "공시열람")</f>
        <v/>
      </c>
    </row>
    <row r="4" ht="36" customHeight="1">
      <c r="A4" s="2" t="inlineStr">
        <is>
          <t>2026-01-19 (정정: 2026-01-19)</t>
        </is>
      </c>
      <c r="B4" s="3" t="inlineStr">
        <is>
          <t>케이이엠텍</t>
        </is>
      </c>
      <c r="C4" s="2" t="inlineStr">
        <is>
          <t>코스닥</t>
        </is>
      </c>
      <c r="D4" s="2" t="inlineStr">
        <is>
          <t>106080</t>
        </is>
      </c>
      <c r="E4" s="9" t="inlineStr">
        <is>
          <t>유상증자</t>
        </is>
      </c>
      <c r="F4" s="3" t="inlineStr">
        <is>
          <t>[기재정정]주요사항보고서(유상증자결정) (정정: 20260119)</t>
        </is>
      </c>
      <c r="G4" s="5" t="n">
        <v>24840000000</v>
      </c>
      <c r="H4" s="5" t="inlineStr"/>
      <c r="I4" s="2" t="inlineStr">
        <is>
          <t>보통주식</t>
        </is>
      </c>
      <c r="J4" s="6" t="n">
        <v>8640000</v>
      </c>
      <c r="K4" s="2" t="inlineStr">
        <is>
          <t>2026-05-15</t>
        </is>
      </c>
      <c r="L4" s="2" t="inlineStr">
        <is>
          <t>2026-05-28</t>
        </is>
      </c>
      <c r="M4" s="2" t="inlineStr">
        <is>
          <t>-</t>
        </is>
      </c>
      <c r="N4" s="2" t="inlineStr">
        <is>
          <t>-</t>
        </is>
      </c>
      <c r="O4" s="10" t="n">
        <v>149.958449013086</v>
      </c>
      <c r="P4" s="7" t="inlineStr">
        <is>
          <t>운영자금 (178.4억원), 채무상환자금 (70.0억원)</t>
        </is>
      </c>
      <c r="Q4" s="2" t="inlineStr">
        <is>
          <t>-</t>
        </is>
      </c>
      <c r="R4" s="2" t="inlineStr">
        <is>
          <t>-</t>
        </is>
      </c>
      <c r="S4" s="2" t="inlineStr">
        <is>
          <t>20260116000495</t>
        </is>
      </c>
      <c r="T4" s="8">
        <f>HYPERLINK("https://dart.fss.or.kr/dsaf001/main.do?rcpNo=20260116000495", "공시열람")</f>
        <v/>
      </c>
    </row>
    <row r="5" ht="36" customHeight="1">
      <c r="A5" s="2" t="inlineStr">
        <is>
          <t>2026-01-19</t>
        </is>
      </c>
      <c r="B5" s="3" t="inlineStr">
        <is>
          <t>스피어</t>
        </is>
      </c>
      <c r="C5" s="2" t="inlineStr">
        <is>
          <t>코스닥</t>
        </is>
      </c>
      <c r="D5" s="2" t="inlineStr">
        <is>
          <t>347700</t>
        </is>
      </c>
      <c r="E5" s="9" t="inlineStr">
        <is>
          <t>유상증자</t>
        </is>
      </c>
      <c r="F5" s="3" t="inlineStr">
        <is>
          <t xml:space="preserve">유상증자결정(종속회사의주요경영사항)              </t>
        </is>
      </c>
      <c r="G5" s="5" t="n">
        <v>7348500000</v>
      </c>
      <c r="H5" s="5" t="n">
        <v>1469</v>
      </c>
      <c r="I5" s="2" t="inlineStr">
        <is>
          <t>보통주식</t>
        </is>
      </c>
      <c r="J5" s="6" t="n">
        <v>5000000</v>
      </c>
      <c r="K5" s="2" t="inlineStr">
        <is>
          <t>2026-01-19</t>
        </is>
      </c>
      <c r="L5" s="2" t="inlineStr">
        <is>
          <t>-</t>
        </is>
      </c>
      <c r="M5" s="2" t="inlineStr">
        <is>
          <t>-</t>
        </is>
      </c>
      <c r="N5" s="2" t="inlineStr">
        <is>
          <t>-</t>
        </is>
      </c>
      <c r="O5" s="10" t="n">
        <v>45.08566275924256</v>
      </c>
      <c r="P5" s="7" t="inlineStr">
        <is>
          <t>타법인증권취득자금 (73.5억원)</t>
        </is>
      </c>
      <c r="Q5" s="2" t="inlineStr">
        <is>
          <t>-</t>
        </is>
      </c>
      <c r="R5" s="2" t="inlineStr">
        <is>
          <t>-</t>
        </is>
      </c>
      <c r="S5" s="2" t="inlineStr">
        <is>
          <t>20260119900812</t>
        </is>
      </c>
      <c r="T5" s="8">
        <f>HYPERLINK("https://dart.fss.or.kr/dsaf001/main.do?rcpNo=20260119900812", "공시열람")</f>
        <v/>
      </c>
    </row>
    <row r="6" ht="36" customHeight="1">
      <c r="A6" s="2" t="inlineStr">
        <is>
          <t>2026-01-19 (정정: 2026-01-19)</t>
        </is>
      </c>
      <c r="B6" s="3" t="inlineStr">
        <is>
          <t>미래산업</t>
        </is>
      </c>
      <c r="C6" s="2" t="inlineStr">
        <is>
          <t>코스피</t>
        </is>
      </c>
      <c r="D6" s="2" t="inlineStr">
        <is>
          <t>025560</t>
        </is>
      </c>
      <c r="E6" s="9" t="inlineStr">
        <is>
          <t>유상증자</t>
        </is>
      </c>
      <c r="F6" s="3" t="inlineStr">
        <is>
          <t>[기재정정]주요사항보고서(유상증자결정) (정정: 20260119)</t>
        </is>
      </c>
      <c r="G6" s="5" t="n">
        <v>6799</v>
      </c>
      <c r="H6" s="5" t="n">
        <v>11181</v>
      </c>
      <c r="I6" s="2" t="inlineStr">
        <is>
          <t>보통주식</t>
        </is>
      </c>
      <c r="J6" s="6" t="n">
        <v>1216348</v>
      </c>
      <c r="K6" s="2" t="inlineStr">
        <is>
          <t>2026-04-09</t>
        </is>
      </c>
      <c r="L6" s="2" t="inlineStr">
        <is>
          <t>2026-04-30</t>
        </is>
      </c>
      <c r="M6" s="2" t="inlineStr">
        <is>
          <t>-</t>
        </is>
      </c>
      <c r="N6" s="2" t="inlineStr">
        <is>
          <t>-</t>
        </is>
      </c>
      <c r="O6" s="10" t="n">
        <v>27.13455020173317</v>
      </c>
      <c r="P6" s="7" t="inlineStr">
        <is>
          <t>운영자금 (6,799원)</t>
        </is>
      </c>
      <c r="Q6" s="2" t="inlineStr">
        <is>
          <t>-</t>
        </is>
      </c>
      <c r="R6" s="2" t="inlineStr">
        <is>
          <t>-</t>
        </is>
      </c>
      <c r="S6" s="2" t="inlineStr">
        <is>
          <t>20260119000196</t>
        </is>
      </c>
      <c r="T6" s="8">
        <f>HYPERLINK("https://dart.fss.or.kr/dsaf001/main.do?rcpNo=20260119000196", "공시열람")</f>
        <v/>
      </c>
    </row>
    <row r="7" ht="36" customHeight="1">
      <c r="A7" s="2" t="inlineStr">
        <is>
          <t>2026-01-19</t>
        </is>
      </c>
      <c r="B7" s="3" t="inlineStr">
        <is>
          <t>조이웍스앤코</t>
        </is>
      </c>
      <c r="C7" s="2" t="inlineStr">
        <is>
          <t>코스닥</t>
        </is>
      </c>
      <c r="D7" s="2" t="inlineStr">
        <is>
          <t>309930</t>
        </is>
      </c>
      <c r="E7" s="2" t="inlineStr">
        <is>
          <t>기타</t>
        </is>
      </c>
      <c r="F7" s="3" t="inlineStr">
        <is>
          <t xml:space="preserve">전환사채(해외전환사채포함)발행후만기전사채취득              </t>
        </is>
      </c>
      <c r="G7" s="5" t="inlineStr"/>
      <c r="H7" s="5" t="inlineStr"/>
      <c r="I7" s="2" t="inlineStr">
        <is>
          <t>-</t>
        </is>
      </c>
      <c r="J7" s="6" t="inlineStr"/>
      <c r="K7" s="2" t="inlineStr">
        <is>
          <t>-</t>
        </is>
      </c>
      <c r="L7" s="2" t="inlineStr">
        <is>
          <t>-</t>
        </is>
      </c>
      <c r="M7" s="2" t="inlineStr">
        <is>
          <t>-</t>
        </is>
      </c>
      <c r="N7" s="2" t="inlineStr">
        <is>
          <t>-</t>
        </is>
      </c>
      <c r="O7" s="3" t="inlineStr"/>
      <c r="P7" s="7" t="inlineStr">
        <is>
          <t>-</t>
        </is>
      </c>
      <c r="Q7" s="2" t="inlineStr">
        <is>
          <t>-</t>
        </is>
      </c>
      <c r="R7" s="2" t="inlineStr">
        <is>
          <t>-</t>
        </is>
      </c>
      <c r="S7" s="2" t="inlineStr">
        <is>
          <t>20260119900789</t>
        </is>
      </c>
      <c r="T7" s="8">
        <f>HYPERLINK("https://dart.fss.or.kr/dsaf001/main.do?rcpNo=20260119900789", "공시열람")</f>
        <v/>
      </c>
    </row>
    <row r="8" ht="36" customHeight="1">
      <c r="A8" s="2" t="inlineStr">
        <is>
          <t>2026-01-19</t>
        </is>
      </c>
      <c r="B8" s="3" t="inlineStr">
        <is>
          <t>파워넷</t>
        </is>
      </c>
      <c r="C8" s="2" t="inlineStr">
        <is>
          <t>코스닥</t>
        </is>
      </c>
      <c r="D8" s="2" t="inlineStr">
        <is>
          <t>037030</t>
        </is>
      </c>
      <c r="E8" s="2" t="inlineStr">
        <is>
          <t>기타</t>
        </is>
      </c>
      <c r="F8" s="3" t="inlineStr">
        <is>
          <t xml:space="preserve">전환사채(해외전환사채포함)발행후만기전사채취득              </t>
        </is>
      </c>
      <c r="G8" s="5" t="inlineStr"/>
      <c r="H8" s="5" t="inlineStr"/>
      <c r="I8" s="2" t="inlineStr">
        <is>
          <t>-</t>
        </is>
      </c>
      <c r="J8" s="6" t="inlineStr"/>
      <c r="K8" s="2" t="inlineStr">
        <is>
          <t>-</t>
        </is>
      </c>
      <c r="L8" s="2" t="inlineStr">
        <is>
          <t>-</t>
        </is>
      </c>
      <c r="M8" s="2" t="inlineStr">
        <is>
          <t>-</t>
        </is>
      </c>
      <c r="N8" s="2" t="inlineStr">
        <is>
          <t>-</t>
        </is>
      </c>
      <c r="O8" s="3" t="inlineStr"/>
      <c r="P8" s="7" t="inlineStr">
        <is>
          <t>-</t>
        </is>
      </c>
      <c r="Q8" s="2" t="inlineStr">
        <is>
          <t>-</t>
        </is>
      </c>
      <c r="R8" s="2" t="inlineStr">
        <is>
          <t>-</t>
        </is>
      </c>
      <c r="S8" s="2" t="inlineStr">
        <is>
          <t>20260119900729</t>
        </is>
      </c>
      <c r="T8" s="8">
        <f>HYPERLINK("https://dart.fss.or.kr/dsaf001/main.do?rcpNo=20260119900729", "공시열람")</f>
        <v/>
      </c>
    </row>
    <row r="9" ht="36" customHeight="1">
      <c r="A9" s="2" t="inlineStr">
        <is>
          <t>2026-01-13 (정정: 2026-01-19)</t>
        </is>
      </c>
      <c r="B9" s="3" t="inlineStr">
        <is>
          <t>티에프이</t>
        </is>
      </c>
      <c r="C9" s="2" t="inlineStr">
        <is>
          <t>코스닥</t>
        </is>
      </c>
      <c r="D9" s="2" t="inlineStr">
        <is>
          <t>425420</t>
        </is>
      </c>
      <c r="E9" s="4" t="inlineStr">
        <is>
          <t>교환사채(EB)</t>
        </is>
      </c>
      <c r="F9" s="3" t="inlineStr">
        <is>
          <t>[기재정정]주요사항보고서(교환사채권발행결정)</t>
        </is>
      </c>
      <c r="G9" s="5" t="inlineStr"/>
      <c r="H9" s="5" t="inlineStr">
        <is>
          <t>가. 본 사채를 소유한 자가 교환청구권 행사를 하기 전에 발행회사가 시가를 하회하는 발행가액 또는 행사가액으로 신주 또는 주식연계사채(전환사채,신주인수권부사채)를 발행하는 경우, 준비금의 자본전입으로 인해 주식을 발행하는 경우, 주식배당이나 주식매수선택권 행사로 인해 주식을 발행하는 경우에는 다음과 같이 교환가액을 조정한다. 단, 유·무상증자를 병행 실시하는 경우, 유상증자의 1주당 발행가격이 조정 전 교환가액을 상회하는 때에는 유상증자에 의한 신발행주식수는 교환가액 조정에 적용하지 아니하고 무상증자에 의한 신발행주식수만 적용한다.조정 후 교환가격 = 조정 전 교환가격 × [{A+(B×C/D)} / (A+B)]A: 기발행주식수B: 신발행주식수C: 1주당 발행가격D: 시가다만, 위 산식 중 "기발행주식수"는 당해 조정사유가 발생하기 직전일 현재의발행주식 총수로 하며, 전환사채 또는 신주인수권부사채를 발행할 경우 "신발행주식수"는 당해 사채 발행시 전환가액으로 전부 주식으로 전환되거나 당해 사채 발행시 행사가격으로 신주인수권이 전부 행사될 경우 발행될 주식의수로 한다. 또한, 위 산식 중 "1주당 발행가격"은 주식분할, 무상증자, 주식배당의 경우에는 영(0)으로 하고, 전환사채 또는 신주인수권부사채를 발행할 경우에는 당해 사채 발행시 전환가액 또는 행사가격으로 하며, 위 산식에서 "시가"라 함은 "증권의 발행 및 공시 등에 관한 규정"에서 규정하는 발행가격 산정의 기준이 되는 기준주가(유상증자 이외의 경우에는 조정사유 발생 전일을 기산일로 하여 계산한 기준주가) 또는 권리락주가로 한다.나. 합병, 자본의 감소, 주식분할 및 병합 등에 의하여 교환가액의 조정이 필요한 경우에는 당해 합병 또는 자본의 감소 직전에 교환청구권이 행사되어 전액 주식으로 인수되었더라면 본 사채의 사채권자가 가질 수 있었던 주식수와 동일한 효과가 날 수 있도록 조정한다. 합병, 자본의 감소, 주식분할 및 병합의 사유가 중복하여 발생한 경우에는 각각 그 비율을 고려하여 교환가액을조정한다. 다. 감자 및 주식 병합 등 주식가치 상승사유가 발생하는 경우 감자 및 주식 병합 등으로 인한 조정비율만큼 상향하여 반영하는 조건으로 교환가액을 조정한다. 단, 감자 및 주식병합 등을 위한 주주총회 결의일 전일을 기산일로 하여 "증권의 발행 및 공시등에 관한 규정" 제5-22조 제1항 본문의 규정에 의하여 산정(제3호는 제외한다)한 가액(이하 "산정가액"이라 한다)이 액면가액 미만이면서 기산일 전에 교환가액을 액면가액으로 이미 조정한 경우(교환가액을 액면가액 미만으로 조정할 수 있는 경우는 제외한다)에는 조정 후 교환가액은 산정가액을 기준으로 감자 및 주식병합 등으로 인한 조정비율만큼 상향 조정한 가액 이상으로 조정한다.라. 위 가목 내지 다목에 의하여 조정된 교환가액이 주식의 액면가 이하일 경우에는 액면가를 교환가액으로 하며, 각 교환사채의 교환으로 인하여 교환대상 주식의 교환가액의 합계액은 각 교환사채의 발행가액을 초과할 수 없다.마. 본 호에 의한 조정 후 교환가액 중 호가단위 미만은 절상한다.</t>
        </is>
      </c>
      <c r="I9" s="2" t="inlineStr">
        <is>
          <t>-</t>
        </is>
      </c>
      <c r="J9" s="6" t="inlineStr"/>
      <c r="K9" s="2" t="inlineStr">
        <is>
          <t>-</t>
        </is>
      </c>
      <c r="L9" s="2" t="inlineStr">
        <is>
          <t>-</t>
        </is>
      </c>
      <c r="M9" s="2" t="inlineStr">
        <is>
          <t>2026-01-22</t>
        </is>
      </c>
      <c r="N9" s="2" t="inlineStr">
        <is>
          <t>2030-12-21</t>
        </is>
      </c>
      <c r="O9" s="3" t="inlineStr"/>
      <c r="P9" s="7" t="inlineStr">
        <is>
          <t>-</t>
        </is>
      </c>
      <c r="Q9" s="2" t="inlineStr">
        <is>
          <t>2028-01-21</t>
        </is>
      </c>
      <c r="R9" s="2" t="inlineStr">
        <is>
          <t>2027-11-22</t>
        </is>
      </c>
      <c r="S9" s="2" t="inlineStr">
        <is>
          <t>20260119000169</t>
        </is>
      </c>
      <c r="T9" s="8">
        <f>HYPERLINK("https://dart.fss.or.kr/dsaf001/main.do?rcpNo=20260119000169", "공시열람")</f>
        <v/>
      </c>
    </row>
    <row r="10" ht="36" customHeight="1">
      <c r="A10" s="2" t="inlineStr">
        <is>
          <t>2026-01-19</t>
        </is>
      </c>
      <c r="B10" s="3" t="inlineStr">
        <is>
          <t>범한퓨얼셀</t>
        </is>
      </c>
      <c r="C10" s="2" t="inlineStr">
        <is>
          <t>코스닥</t>
        </is>
      </c>
      <c r="D10" s="2" t="inlineStr">
        <is>
          <t>382900</t>
        </is>
      </c>
      <c r="E10" s="4" t="inlineStr">
        <is>
          <t>교환사채(EB)</t>
        </is>
      </c>
      <c r="F10" s="3" t="inlineStr">
        <is>
          <t>주요사항보고서(교환사채권발행결정)</t>
        </is>
      </c>
      <c r="G10" s="5" t="n">
        <v>7028794500</v>
      </c>
      <c r="H10" s="5" t="n">
        <v>39377</v>
      </c>
      <c r="I10" s="2" t="inlineStr">
        <is>
          <t>범한퓨얼셀 주식회사 기명식 보통주(자기주식)</t>
        </is>
      </c>
      <c r="J10" s="6" t="inlineStr"/>
      <c r="K10" s="2" t="inlineStr">
        <is>
          <t>2026년 01월 27일</t>
        </is>
      </c>
      <c r="L10" s="2" t="inlineStr">
        <is>
          <t>-</t>
        </is>
      </c>
      <c r="M10" s="2" t="inlineStr">
        <is>
          <t>2026-02-03</t>
        </is>
      </c>
      <c r="N10" s="2" t="inlineStr">
        <is>
          <t>2030-12-27</t>
        </is>
      </c>
      <c r="O10" s="3" t="inlineStr"/>
      <c r="P10" s="7" t="inlineStr">
        <is>
          <t>-</t>
        </is>
      </c>
      <c r="Q10" s="2" t="inlineStr">
        <is>
          <t>-</t>
        </is>
      </c>
      <c r="R10" s="2" t="inlineStr">
        <is>
          <t>2028-07-27</t>
        </is>
      </c>
      <c r="S10" s="2" t="inlineStr">
        <is>
          <t>20260119000161</t>
        </is>
      </c>
      <c r="T10" s="8">
        <f>HYPERLINK("https://dart.fss.or.kr/dsaf001/main.do?rcpNo=20260119000161", "공시열람")</f>
        <v/>
      </c>
    </row>
    <row r="11" ht="36" customHeight="1">
      <c r="A11" s="2" t="inlineStr">
        <is>
          <t>2026-01-19</t>
        </is>
      </c>
      <c r="B11" s="3" t="inlineStr">
        <is>
          <t>HLB파나진</t>
        </is>
      </c>
      <c r="C11" s="2" t="inlineStr">
        <is>
          <t>코스닥</t>
        </is>
      </c>
      <c r="D11" s="2" t="inlineStr">
        <is>
          <t>046210</t>
        </is>
      </c>
      <c r="E11" s="2" t="inlineStr">
        <is>
          <t>기타</t>
        </is>
      </c>
      <c r="F11" s="3" t="inlineStr">
        <is>
          <t xml:space="preserve">전환사채(해외전환사채포함)발행후만기전사채취득              </t>
        </is>
      </c>
      <c r="G11" s="5" t="inlineStr"/>
      <c r="H11" s="5" t="inlineStr"/>
      <c r="I11" s="2" t="inlineStr">
        <is>
          <t>-</t>
        </is>
      </c>
      <c r="J11" s="6" t="inlineStr"/>
      <c r="K11" s="2" t="inlineStr">
        <is>
          <t>-</t>
        </is>
      </c>
      <c r="L11" s="2" t="inlineStr">
        <is>
          <t>-</t>
        </is>
      </c>
      <c r="M11" s="2" t="inlineStr">
        <is>
          <t>-</t>
        </is>
      </c>
      <c r="N11" s="2" t="inlineStr">
        <is>
          <t>-</t>
        </is>
      </c>
      <c r="O11" s="3" t="inlineStr"/>
      <c r="P11" s="7" t="inlineStr">
        <is>
          <t>-</t>
        </is>
      </c>
      <c r="Q11" s="2" t="inlineStr">
        <is>
          <t>-</t>
        </is>
      </c>
      <c r="R11" s="2" t="inlineStr">
        <is>
          <t>-</t>
        </is>
      </c>
      <c r="S11" s="2" t="inlineStr">
        <is>
          <t>20260119900616</t>
        </is>
      </c>
      <c r="T11" s="8">
        <f>HYPERLINK("https://dart.fss.or.kr/dsaf001/main.do?rcpNo=20260119900616", "공시열람")</f>
        <v/>
      </c>
    </row>
    <row r="12" ht="36" customHeight="1">
      <c r="A12" s="2" t="inlineStr">
        <is>
          <t>2026-01-19</t>
        </is>
      </c>
      <c r="B12" s="3" t="inlineStr">
        <is>
          <t>HLB파나진</t>
        </is>
      </c>
      <c r="C12" s="2" t="inlineStr">
        <is>
          <t>코스닥</t>
        </is>
      </c>
      <c r="D12" s="2" t="inlineStr">
        <is>
          <t>046210</t>
        </is>
      </c>
      <c r="E12" s="2" t="inlineStr">
        <is>
          <t>기타</t>
        </is>
      </c>
      <c r="F12" s="3" t="inlineStr">
        <is>
          <t xml:space="preserve">전환사채(해외전환사채포함)발행후만기전사채취득              </t>
        </is>
      </c>
      <c r="G12" s="5" t="inlineStr"/>
      <c r="H12" s="5" t="inlineStr"/>
      <c r="I12" s="2" t="inlineStr">
        <is>
          <t>-</t>
        </is>
      </c>
      <c r="J12" s="6" t="inlineStr"/>
      <c r="K12" s="2" t="inlineStr">
        <is>
          <t>-</t>
        </is>
      </c>
      <c r="L12" s="2" t="inlineStr">
        <is>
          <t>-</t>
        </is>
      </c>
      <c r="M12" s="2" t="inlineStr">
        <is>
          <t>-</t>
        </is>
      </c>
      <c r="N12" s="2" t="inlineStr">
        <is>
          <t>-</t>
        </is>
      </c>
      <c r="O12" s="3" t="inlineStr"/>
      <c r="P12" s="7" t="inlineStr">
        <is>
          <t>-</t>
        </is>
      </c>
      <c r="Q12" s="2" t="inlineStr">
        <is>
          <t>-</t>
        </is>
      </c>
      <c r="R12" s="2" t="inlineStr">
        <is>
          <t>-</t>
        </is>
      </c>
      <c r="S12" s="2" t="inlineStr">
        <is>
          <t>20260119900612</t>
        </is>
      </c>
      <c r="T12" s="8">
        <f>HYPERLINK("https://dart.fss.or.kr/dsaf001/main.do?rcpNo=20260119900612", "공시열람")</f>
        <v/>
      </c>
    </row>
    <row r="13" ht="36" customHeight="1">
      <c r="A13" s="2" t="inlineStr">
        <is>
          <t>2026-01-19 (정정: 2026-05-28)</t>
        </is>
      </c>
      <c r="B13" s="3" t="inlineStr">
        <is>
          <t>GRT</t>
        </is>
      </c>
      <c r="C13" s="2" t="inlineStr">
        <is>
          <t>코스닥</t>
        </is>
      </c>
      <c r="D13" s="2" t="inlineStr">
        <is>
          <t>900290</t>
        </is>
      </c>
      <c r="E13" s="9" t="inlineStr">
        <is>
          <t>유상증자</t>
        </is>
      </c>
      <c r="F13" s="3" t="inlineStr">
        <is>
          <t>주요사항보고서(유상증자결정) (정정: 20260520) (정정: 20260528)</t>
        </is>
      </c>
      <c r="G13" s="5" t="n">
        <v>29470</v>
      </c>
      <c r="H13" s="5" t="n">
        <v>3189</v>
      </c>
      <c r="I13" s="2" t="inlineStr">
        <is>
          <t>보통주식</t>
        </is>
      </c>
      <c r="J13" s="6" t="n">
        <v>9241141</v>
      </c>
      <c r="K13" s="2" t="inlineStr">
        <is>
          <t>2026.08.04</t>
        </is>
      </c>
      <c r="L13" s="2" t="inlineStr">
        <is>
          <t>2026.09.18</t>
        </is>
      </c>
      <c r="M13" s="2" t="inlineStr">
        <is>
          <t>-</t>
        </is>
      </c>
      <c r="N13" s="2" t="inlineStr">
        <is>
          <t>-</t>
        </is>
      </c>
      <c r="O13" s="10" t="n">
        <v>11.06583725444493</v>
      </c>
      <c r="P13" s="7" t="inlineStr">
        <is>
          <t>운영자금 (29,470원)</t>
        </is>
      </c>
      <c r="Q13" s="2" t="inlineStr">
        <is>
          <t>-</t>
        </is>
      </c>
      <c r="R13" s="2" t="inlineStr">
        <is>
          <t>-</t>
        </is>
      </c>
      <c r="S13" s="2" t="inlineStr">
        <is>
          <t>20260528000822</t>
        </is>
      </c>
      <c r="T13" s="8">
        <f>HYPERLINK("https://dart.fss.or.kr/dsaf001/main.do?rcpNo=20260528000822", "공시열람")</f>
        <v/>
      </c>
    </row>
    <row r="14" ht="36" customHeight="1">
      <c r="A14" s="2" t="inlineStr">
        <is>
          <t>2026-01-19</t>
        </is>
      </c>
      <c r="B14" s="3" t="inlineStr">
        <is>
          <t>알에프텍</t>
        </is>
      </c>
      <c r="C14" s="2" t="inlineStr">
        <is>
          <t>코스닥</t>
        </is>
      </c>
      <c r="D14" s="2" t="inlineStr">
        <is>
          <t>061040</t>
        </is>
      </c>
      <c r="E14" s="9" t="inlineStr">
        <is>
          <t>유상증자</t>
        </is>
      </c>
      <c r="F14" s="3" t="inlineStr">
        <is>
          <t xml:space="preserve">유상증자결정(종속회사의주요경영사항)              </t>
        </is>
      </c>
      <c r="G14" s="5" t="n">
        <v>24999997740</v>
      </c>
      <c r="H14" s="5" t="n">
        <v>10980</v>
      </c>
      <c r="I14" s="2" t="inlineStr">
        <is>
          <t>보통주식</t>
        </is>
      </c>
      <c r="J14" s="6" t="n">
        <v>3369763</v>
      </c>
      <c r="K14" s="2" t="inlineStr">
        <is>
          <t>2026-03-27</t>
        </is>
      </c>
      <c r="L14" s="2" t="inlineStr">
        <is>
          <t>-</t>
        </is>
      </c>
      <c r="M14" s="2" t="inlineStr">
        <is>
          <t>-</t>
        </is>
      </c>
      <c r="N14" s="2" t="inlineStr">
        <is>
          <t>-</t>
        </is>
      </c>
      <c r="O14" s="10" t="n">
        <v>171.4957568355026</v>
      </c>
      <c r="P14" s="7" t="inlineStr">
        <is>
          <t>운영자금 (50.0억원), 채무상환자금 (200.0억원)</t>
        </is>
      </c>
      <c r="Q14" s="2" t="inlineStr">
        <is>
          <t>-</t>
        </is>
      </c>
      <c r="R14" s="2" t="inlineStr">
        <is>
          <t>-</t>
        </is>
      </c>
      <c r="S14" s="2" t="inlineStr">
        <is>
          <t>20260119900565</t>
        </is>
      </c>
      <c r="T14" s="8">
        <f>HYPERLINK("https://dart.fss.or.kr/dsaf001/main.do?rcpNo=20260119900565", "공시열람")</f>
        <v/>
      </c>
    </row>
    <row r="15" ht="36" customHeight="1">
      <c r="A15" s="2" t="inlineStr">
        <is>
          <t>2026-01-19</t>
        </is>
      </c>
      <c r="B15" s="3" t="inlineStr">
        <is>
          <t>아이티아이즈</t>
        </is>
      </c>
      <c r="C15" s="2" t="inlineStr">
        <is>
          <t>코스닥</t>
        </is>
      </c>
      <c r="D15" s="2" t="inlineStr">
        <is>
          <t>372800</t>
        </is>
      </c>
      <c r="E15" s="2" t="inlineStr">
        <is>
          <t>기타</t>
        </is>
      </c>
      <c r="F15" s="3" t="inlineStr">
        <is>
          <t xml:space="preserve">전환사채(해외전환사채포함)발행후만기전사채취득              </t>
        </is>
      </c>
      <c r="G15" s="5" t="inlineStr"/>
      <c r="H15" s="5" t="inlineStr"/>
      <c r="I15" s="2" t="inlineStr">
        <is>
          <t>-</t>
        </is>
      </c>
      <c r="J15" s="6" t="inlineStr"/>
      <c r="K15" s="2" t="inlineStr">
        <is>
          <t>-</t>
        </is>
      </c>
      <c r="L15" s="2" t="inlineStr">
        <is>
          <t>-</t>
        </is>
      </c>
      <c r="M15" s="2" t="inlineStr">
        <is>
          <t>-</t>
        </is>
      </c>
      <c r="N15" s="2" t="inlineStr">
        <is>
          <t>-</t>
        </is>
      </c>
      <c r="O15" s="3" t="inlineStr"/>
      <c r="P15" s="7" t="inlineStr">
        <is>
          <t>-</t>
        </is>
      </c>
      <c r="Q15" s="2" t="inlineStr">
        <is>
          <t>-</t>
        </is>
      </c>
      <c r="R15" s="2" t="inlineStr">
        <is>
          <t>-</t>
        </is>
      </c>
      <c r="S15" s="2" t="inlineStr">
        <is>
          <t>20260119900555</t>
        </is>
      </c>
      <c r="T15" s="8">
        <f>HYPERLINK("https://dart.fss.or.kr/dsaf001/main.do?rcpNo=20260119900555", "공시열람")</f>
        <v/>
      </c>
    </row>
    <row r="16" ht="36" customHeight="1">
      <c r="A16" s="2" t="inlineStr">
        <is>
          <t>2026-01-19</t>
        </is>
      </c>
      <c r="B16" s="3" t="inlineStr">
        <is>
          <t>케이이엠텍</t>
        </is>
      </c>
      <c r="C16" s="2" t="inlineStr">
        <is>
          <t>코스닥</t>
        </is>
      </c>
      <c r="D16" s="2" t="inlineStr">
        <is>
          <t>106080</t>
        </is>
      </c>
      <c r="E16" s="9" t="inlineStr">
        <is>
          <t>유상증자</t>
        </is>
      </c>
      <c r="F16" s="3" t="inlineStr">
        <is>
          <t>주요사항보고서(유상증자결정)</t>
        </is>
      </c>
      <c r="G16" s="5" t="n">
        <v>24840000000</v>
      </c>
      <c r="H16" s="5" t="inlineStr"/>
      <c r="I16" s="2" t="inlineStr">
        <is>
          <t>보통주식</t>
        </is>
      </c>
      <c r="J16" s="6" t="n">
        <v>8640000</v>
      </c>
      <c r="K16" s="2" t="inlineStr">
        <is>
          <t>2026-05-15</t>
        </is>
      </c>
      <c r="L16" s="2" t="inlineStr">
        <is>
          <t>2026-05-28</t>
        </is>
      </c>
      <c r="M16" s="2" t="inlineStr">
        <is>
          <t>-</t>
        </is>
      </c>
      <c r="N16" s="2" t="inlineStr">
        <is>
          <t>-</t>
        </is>
      </c>
      <c r="O16" s="10" t="n">
        <v>149.958449013086</v>
      </c>
      <c r="P16" s="7" t="inlineStr">
        <is>
          <t>운영자금 (178.4억원), 채무상환자금 (70.0억원)</t>
        </is>
      </c>
      <c r="Q16" s="2" t="inlineStr">
        <is>
          <t>-</t>
        </is>
      </c>
      <c r="R16" s="2" t="inlineStr">
        <is>
          <t>-</t>
        </is>
      </c>
      <c r="S16" s="2" t="inlineStr">
        <is>
          <t>20260116000494</t>
        </is>
      </c>
      <c r="T16" s="8">
        <f>HYPERLINK("https://dart.fss.or.kr/dsaf001/main.do?rcpNo=20260116000494", "공시열람")</f>
        <v/>
      </c>
    </row>
    <row r="17" ht="36" customHeight="1">
      <c r="A17" s="2" t="inlineStr">
        <is>
          <t>2026-01-29 (정정: 2026-03-06)</t>
        </is>
      </c>
      <c r="B17" s="3" t="inlineStr">
        <is>
          <t>윌비스</t>
        </is>
      </c>
      <c r="C17" s="2" t="inlineStr">
        <is>
          <t>코스피</t>
        </is>
      </c>
      <c r="D17" s="2" t="inlineStr">
        <is>
          <t>008600</t>
        </is>
      </c>
      <c r="E17" s="9" t="inlineStr">
        <is>
          <t>유상증자</t>
        </is>
      </c>
      <c r="F17" s="3" t="inlineStr">
        <is>
          <t>[기재정정]주요사항보고서(유상증자결정) (정정: 20260306)</t>
        </is>
      </c>
      <c r="G17" s="5" t="n">
        <v>3500</v>
      </c>
      <c r="H17" s="5" t="inlineStr"/>
      <c r="I17" s="2" t="inlineStr">
        <is>
          <t>보통주식</t>
        </is>
      </c>
      <c r="J17" s="6" t="n">
        <v>350000</v>
      </c>
      <c r="K17" s="2" t="inlineStr">
        <is>
          <t>2026-03-30</t>
        </is>
      </c>
      <c r="L17" s="2" t="inlineStr">
        <is>
          <t>-</t>
        </is>
      </c>
      <c r="M17" s="2" t="inlineStr">
        <is>
          <t>-</t>
        </is>
      </c>
      <c r="N17" s="2" t="inlineStr">
        <is>
          <t>-</t>
        </is>
      </c>
      <c r="O17" s="10" t="n">
        <v>5.205542326041559</v>
      </c>
      <c r="P17" s="7" t="inlineStr">
        <is>
          <t>운영자금 (3,500원)</t>
        </is>
      </c>
      <c r="Q17" s="2" t="inlineStr">
        <is>
          <t>-</t>
        </is>
      </c>
      <c r="R17" s="2" t="inlineStr">
        <is>
          <t>-</t>
        </is>
      </c>
      <c r="S17" s="2" t="inlineStr">
        <is>
          <t>20260306000327</t>
        </is>
      </c>
      <c r="T17" s="8">
        <f>HYPERLINK("https://dart.fss.or.kr/dsaf001/main.do?rcpNo=20260306000327", "공시열람")</f>
        <v/>
      </c>
    </row>
    <row r="18" ht="36" customHeight="1">
      <c r="A18" s="2" t="inlineStr">
        <is>
          <t>2026-01-29</t>
        </is>
      </c>
      <c r="B18" s="3" t="inlineStr">
        <is>
          <t>레이저쎌</t>
        </is>
      </c>
      <c r="C18" s="2" t="inlineStr">
        <is>
          <t>코스닥</t>
        </is>
      </c>
      <c r="D18" s="2" t="inlineStr">
        <is>
          <t>412350</t>
        </is>
      </c>
      <c r="E18" s="2" t="inlineStr">
        <is>
          <t>기타</t>
        </is>
      </c>
      <c r="F18" s="3" t="inlineStr">
        <is>
          <t xml:space="preserve">전환사채(해외전환사채포함)발행후만기전사채취득              </t>
        </is>
      </c>
      <c r="G18" s="5" t="inlineStr"/>
      <c r="H18" s="5" t="inlineStr"/>
      <c r="I18" s="2" t="inlineStr">
        <is>
          <t>-</t>
        </is>
      </c>
      <c r="J18" s="6" t="inlineStr"/>
      <c r="K18" s="2" t="inlineStr">
        <is>
          <t>-</t>
        </is>
      </c>
      <c r="L18" s="2" t="inlineStr">
        <is>
          <t>-</t>
        </is>
      </c>
      <c r="M18" s="2" t="inlineStr">
        <is>
          <t>-</t>
        </is>
      </c>
      <c r="N18" s="2" t="inlineStr">
        <is>
          <t>-</t>
        </is>
      </c>
      <c r="O18" s="3" t="inlineStr"/>
      <c r="P18" s="7" t="inlineStr">
        <is>
          <t>-</t>
        </is>
      </c>
      <c r="Q18" s="2" t="inlineStr">
        <is>
          <t>-</t>
        </is>
      </c>
      <c r="R18" s="2" t="inlineStr">
        <is>
          <t>-</t>
        </is>
      </c>
      <c r="S18" s="2" t="inlineStr">
        <is>
          <t>20260129901063</t>
        </is>
      </c>
      <c r="T18" s="8">
        <f>HYPERLINK("https://dart.fss.or.kr/dsaf001/main.do?rcpNo=20260129901063", "공시열람")</f>
        <v/>
      </c>
    </row>
    <row r="19" ht="36" customHeight="1">
      <c r="A19" s="2" t="inlineStr">
        <is>
          <t>2025-05-27 (정정: 2026-01-29)</t>
        </is>
      </c>
      <c r="B19" s="3" t="inlineStr">
        <is>
          <t>빛과전자</t>
        </is>
      </c>
      <c r="C19" s="2" t="inlineStr">
        <is>
          <t>코스닥</t>
        </is>
      </c>
      <c r="D19" s="2" t="inlineStr">
        <is>
          <t>069540</t>
        </is>
      </c>
      <c r="E19" s="9" t="inlineStr">
        <is>
          <t>유상증자</t>
        </is>
      </c>
      <c r="F19" s="3" t="inlineStr">
        <is>
          <t>[기재정정]주요사항보고서(유상증자결정)</t>
        </is>
      </c>
      <c r="G19" s="5" t="n">
        <v>7000015000</v>
      </c>
      <c r="H19" s="5" t="n">
        <v>609</v>
      </c>
      <c r="I19" s="2" t="inlineStr">
        <is>
          <t>보통주식</t>
        </is>
      </c>
      <c r="J19" s="6" t="n">
        <v>97114947</v>
      </c>
      <c r="K19" s="2" t="inlineStr">
        <is>
          <t>2026-01-29</t>
        </is>
      </c>
      <c r="L19" s="2" t="inlineStr">
        <is>
          <t>2026-02-20</t>
        </is>
      </c>
      <c r="M19" s="2" t="inlineStr">
        <is>
          <t>-</t>
        </is>
      </c>
      <c r="N19" s="2" t="inlineStr">
        <is>
          <t>-</t>
        </is>
      </c>
      <c r="O19" s="10" t="n">
        <v>159.23053513245</v>
      </c>
      <c r="P19" s="7" t="inlineStr">
        <is>
          <t>운영자금 (15,000원), 타법인증권취득자금 (70.0억원)</t>
        </is>
      </c>
      <c r="Q19" s="2" t="inlineStr">
        <is>
          <t>-</t>
        </is>
      </c>
      <c r="R19" s="2" t="inlineStr">
        <is>
          <t>-</t>
        </is>
      </c>
      <c r="S19" s="2" t="inlineStr">
        <is>
          <t>20260129000751</t>
        </is>
      </c>
      <c r="T19" s="8">
        <f>HYPERLINK("https://dart.fss.or.kr/dsaf001/main.do?rcpNo=20260129000751", "공시열람")</f>
        <v/>
      </c>
    </row>
    <row r="20" ht="36" customHeight="1">
      <c r="A20" s="2" t="inlineStr">
        <is>
          <t>2025-12-22 (정정: 2026-01-29)</t>
        </is>
      </c>
      <c r="B20" s="3" t="inlineStr">
        <is>
          <t>제이스코홀딩스</t>
        </is>
      </c>
      <c r="C20" s="2" t="inlineStr">
        <is>
          <t>코스닥</t>
        </is>
      </c>
      <c r="D20" s="2" t="inlineStr">
        <is>
          <t>023440</t>
        </is>
      </c>
      <c r="E20" s="9" t="inlineStr">
        <is>
          <t>유상증자</t>
        </is>
      </c>
      <c r="F20" s="3" t="inlineStr">
        <is>
          <t>[기재정정]주요사항보고서(유상증자결정)</t>
        </is>
      </c>
      <c r="G20" s="5" t="n">
        <v>999</v>
      </c>
      <c r="H20" s="5" t="n">
        <v>655</v>
      </c>
      <c r="I20" s="2" t="inlineStr">
        <is>
          <t>보통주식</t>
        </is>
      </c>
      <c r="J20" s="6" t="n">
        <v>1526717</v>
      </c>
      <c r="K20" s="2" t="inlineStr">
        <is>
          <t>2026-02-06</t>
        </is>
      </c>
      <c r="L20" s="2" t="inlineStr">
        <is>
          <t>2026-02-25</t>
        </is>
      </c>
      <c r="M20" s="2" t="inlineStr">
        <is>
          <t>-</t>
        </is>
      </c>
      <c r="N20" s="2" t="inlineStr">
        <is>
          <t>-</t>
        </is>
      </c>
      <c r="O20" s="10" t="n">
        <v>1.722844906053355</v>
      </c>
      <c r="P20" s="7" t="inlineStr">
        <is>
          <t>운영자금 (999원)</t>
        </is>
      </c>
      <c r="Q20" s="2" t="inlineStr">
        <is>
          <t>-</t>
        </is>
      </c>
      <c r="R20" s="2" t="inlineStr">
        <is>
          <t>-</t>
        </is>
      </c>
      <c r="S20" s="2" t="inlineStr">
        <is>
          <t>20260129000735</t>
        </is>
      </c>
      <c r="T20" s="8">
        <f>HYPERLINK("https://dart.fss.or.kr/dsaf001/main.do?rcpNo=20260129000735", "공시열람")</f>
        <v/>
      </c>
    </row>
    <row r="21" ht="36" customHeight="1">
      <c r="A21" s="2" t="inlineStr">
        <is>
          <t>2026-01-29 (정정: 2026-01-29)</t>
        </is>
      </c>
      <c r="B21" s="3" t="inlineStr">
        <is>
          <t>아이엘로보틱스</t>
        </is>
      </c>
      <c r="C21" s="2" t="inlineStr">
        <is>
          <t>코넥스</t>
        </is>
      </c>
      <c r="D21" s="2" t="inlineStr">
        <is>
          <t>403810</t>
        </is>
      </c>
      <c r="E21" s="9" t="inlineStr">
        <is>
          <t>유상증자</t>
        </is>
      </c>
      <c r="F21" s="3" t="inlineStr">
        <is>
          <t>주요사항보고서(유상증자결정) (정정: 20260129)</t>
        </is>
      </c>
      <c r="G21" s="5" t="n">
        <v>850</v>
      </c>
      <c r="H21" s="5" t="n">
        <v>2534</v>
      </c>
      <c r="I21" s="2" t="inlineStr">
        <is>
          <t>보통주식</t>
        </is>
      </c>
      <c r="J21" s="6" t="n">
        <v>335441</v>
      </c>
      <c r="K21" s="2" t="inlineStr">
        <is>
          <t>2026-01-16</t>
        </is>
      </c>
      <c r="L21" s="2" t="inlineStr">
        <is>
          <t>2026-02-13</t>
        </is>
      </c>
      <c r="M21" s="2" t="inlineStr">
        <is>
          <t>-</t>
        </is>
      </c>
      <c r="N21" s="2" t="inlineStr">
        <is>
          <t>-</t>
        </is>
      </c>
      <c r="O21" s="10" t="n">
        <v>3.610038252688149</v>
      </c>
      <c r="P21" s="7" t="inlineStr">
        <is>
          <t>운영자금 (850원)</t>
        </is>
      </c>
      <c r="Q21" s="2" t="inlineStr">
        <is>
          <t>-</t>
        </is>
      </c>
      <c r="R21" s="2" t="inlineStr">
        <is>
          <t>-</t>
        </is>
      </c>
      <c r="S21" s="2" t="inlineStr">
        <is>
          <t>20260129000691</t>
        </is>
      </c>
      <c r="T21" s="8">
        <f>HYPERLINK("https://dart.fss.or.kr/dsaf001/main.do?rcpNo=20260129000691", "공시열람")</f>
        <v/>
      </c>
    </row>
    <row r="22" ht="36" customHeight="1">
      <c r="A22" s="2" t="inlineStr">
        <is>
          <t>2026-01-29</t>
        </is>
      </c>
      <c r="B22" s="3" t="inlineStr">
        <is>
          <t>SG</t>
        </is>
      </c>
      <c r="C22" s="2" t="inlineStr">
        <is>
          <t>코스닥</t>
        </is>
      </c>
      <c r="D22" s="2" t="inlineStr">
        <is>
          <t>255220</t>
        </is>
      </c>
      <c r="E22" s="2" t="inlineStr">
        <is>
          <t>기타</t>
        </is>
      </c>
      <c r="F22" s="3" t="inlineStr">
        <is>
          <t xml:space="preserve">전환사채(해외전환사채포함)발행후만기전사채취득              </t>
        </is>
      </c>
      <c r="G22" s="5" t="inlineStr"/>
      <c r="H22" s="5" t="inlineStr"/>
      <c r="I22" s="2" t="inlineStr">
        <is>
          <t>-</t>
        </is>
      </c>
      <c r="J22" s="6" t="inlineStr"/>
      <c r="K22" s="2" t="inlineStr">
        <is>
          <t>-</t>
        </is>
      </c>
      <c r="L22" s="2" t="inlineStr">
        <is>
          <t>-</t>
        </is>
      </c>
      <c r="M22" s="2" t="inlineStr">
        <is>
          <t>-</t>
        </is>
      </c>
      <c r="N22" s="2" t="inlineStr">
        <is>
          <t>-</t>
        </is>
      </c>
      <c r="O22" s="3" t="inlineStr"/>
      <c r="P22" s="7" t="inlineStr">
        <is>
          <t>-</t>
        </is>
      </c>
      <c r="Q22" s="2" t="inlineStr">
        <is>
          <t>-</t>
        </is>
      </c>
      <c r="R22" s="2" t="inlineStr">
        <is>
          <t>-</t>
        </is>
      </c>
      <c r="S22" s="2" t="inlineStr">
        <is>
          <t>20260129901019</t>
        </is>
      </c>
      <c r="T22" s="8">
        <f>HYPERLINK("https://dart.fss.or.kr/dsaf001/main.do?rcpNo=20260129901019", "공시열람")</f>
        <v/>
      </c>
    </row>
    <row r="23" ht="36" customHeight="1">
      <c r="A23" s="2" t="inlineStr">
        <is>
          <t>2026-01-29 (정정: 2026-01-29)</t>
        </is>
      </c>
      <c r="B23" s="3" t="inlineStr">
        <is>
          <t>삼보산업</t>
        </is>
      </c>
      <c r="C23" s="2" t="inlineStr">
        <is>
          <t>코스닥</t>
        </is>
      </c>
      <c r="D23" s="2" t="inlineStr">
        <is>
          <t>009620</t>
        </is>
      </c>
      <c r="E23" s="11" t="inlineStr">
        <is>
          <t>전환사채(CB)</t>
        </is>
      </c>
      <c r="F23" s="3" t="inlineStr">
        <is>
          <t>[기재정정]주요사항보고서(전환사채권발행결정)</t>
        </is>
      </c>
      <c r="G23" s="5" t="n">
        <v>4600000000</v>
      </c>
      <c r="H23" s="5" t="n">
        <v>1784</v>
      </c>
      <c r="I23" s="2" t="inlineStr">
        <is>
          <t>삼보산업(주) 기명식 보통주</t>
        </is>
      </c>
      <c r="J23" s="6" t="n">
        <v>2578475</v>
      </c>
      <c r="K23" s="2" t="inlineStr">
        <is>
          <t>2026년 02월 06일</t>
        </is>
      </c>
      <c r="L23" s="2" t="inlineStr">
        <is>
          <t>-</t>
        </is>
      </c>
      <c r="M23" s="2" t="inlineStr">
        <is>
          <t>2027-02-06</t>
        </is>
      </c>
      <c r="N23" s="2" t="inlineStr">
        <is>
          <t>2029-01-06</t>
        </is>
      </c>
      <c r="O23" s="10" t="n">
        <v>13.6</v>
      </c>
      <c r="P23" s="7" t="inlineStr">
        <is>
          <t>-</t>
        </is>
      </c>
      <c r="Q23" s="2" t="inlineStr">
        <is>
          <t>2026-01-29</t>
        </is>
      </c>
      <c r="R23" s="2" t="inlineStr">
        <is>
          <t>2027-02-06</t>
        </is>
      </c>
      <c r="S23" s="2" t="inlineStr">
        <is>
          <t>20260129000697</t>
        </is>
      </c>
      <c r="T23" s="8">
        <f>HYPERLINK("https://dart.fss.or.kr/dsaf001/main.do?rcpNo=20260129000697", "공시열람")</f>
        <v/>
      </c>
    </row>
    <row r="24" ht="36" customHeight="1">
      <c r="A24" s="2" t="inlineStr">
        <is>
          <t>2026-01-29</t>
        </is>
      </c>
      <c r="B24" s="3" t="inlineStr">
        <is>
          <t>우리기술</t>
        </is>
      </c>
      <c r="C24" s="2" t="inlineStr">
        <is>
          <t>코스닥</t>
        </is>
      </c>
      <c r="D24" s="2" t="inlineStr">
        <is>
          <t>032820</t>
        </is>
      </c>
      <c r="E24" s="2" t="inlineStr">
        <is>
          <t>기타</t>
        </is>
      </c>
      <c r="F24" s="3" t="inlineStr">
        <is>
          <t xml:space="preserve">전환사채(해외전환사채포함)발행후만기전사채취득              </t>
        </is>
      </c>
      <c r="G24" s="5" t="inlineStr"/>
      <c r="H24" s="5" t="inlineStr"/>
      <c r="I24" s="2" t="inlineStr">
        <is>
          <t>-</t>
        </is>
      </c>
      <c r="J24" s="6" t="inlineStr"/>
      <c r="K24" s="2" t="inlineStr">
        <is>
          <t>-</t>
        </is>
      </c>
      <c r="L24" s="2" t="inlineStr">
        <is>
          <t>-</t>
        </is>
      </c>
      <c r="M24" s="2" t="inlineStr">
        <is>
          <t>-</t>
        </is>
      </c>
      <c r="N24" s="2" t="inlineStr">
        <is>
          <t>-</t>
        </is>
      </c>
      <c r="O24" s="3" t="inlineStr"/>
      <c r="P24" s="7" t="inlineStr">
        <is>
          <t>-</t>
        </is>
      </c>
      <c r="Q24" s="2" t="inlineStr">
        <is>
          <t>-</t>
        </is>
      </c>
      <c r="R24" s="2" t="inlineStr">
        <is>
          <t>-</t>
        </is>
      </c>
      <c r="S24" s="2" t="inlineStr">
        <is>
          <t>20260129900979</t>
        </is>
      </c>
      <c r="T24" s="8">
        <f>HYPERLINK("https://dart.fss.or.kr/dsaf001/main.do?rcpNo=20260129900979", "공시열람")</f>
        <v/>
      </c>
    </row>
    <row r="25" ht="36" customHeight="1">
      <c r="A25" s="2" t="inlineStr">
        <is>
          <t>2026-01-29 (정정: 2026-06-12)</t>
        </is>
      </c>
      <c r="B25" s="3" t="inlineStr">
        <is>
          <t>한울앤제주</t>
        </is>
      </c>
      <c r="C25" s="2" t="inlineStr">
        <is>
          <t>코스닥</t>
        </is>
      </c>
      <c r="D25" s="2" t="inlineStr">
        <is>
          <t>276730</t>
        </is>
      </c>
      <c r="E25" s="9" t="inlineStr">
        <is>
          <t>유상증자</t>
        </is>
      </c>
      <c r="F25" s="3" t="inlineStr">
        <is>
          <t>[기재정정]주요사항보고서(유상증자결정) (정정: 20260612)</t>
        </is>
      </c>
      <c r="G25" s="5" t="n">
        <v>9999998240</v>
      </c>
      <c r="H25" s="5" t="n">
        <v>7520</v>
      </c>
      <c r="I25" s="2" t="inlineStr">
        <is>
          <t>보통주식</t>
        </is>
      </c>
      <c r="J25" s="6" t="n">
        <v>1329787</v>
      </c>
      <c r="K25" s="2" t="inlineStr">
        <is>
          <t>2026-07-16</t>
        </is>
      </c>
      <c r="L25" s="2" t="inlineStr">
        <is>
          <t>2026-08-10</t>
        </is>
      </c>
      <c r="M25" s="2" t="inlineStr">
        <is>
          <t>-</t>
        </is>
      </c>
      <c r="N25" s="2" t="inlineStr">
        <is>
          <t>-</t>
        </is>
      </c>
      <c r="O25" s="10" t="n">
        <v>58.20377999999125</v>
      </c>
      <c r="P25" s="7" t="inlineStr">
        <is>
          <t>운영자금 (100.0억원)</t>
        </is>
      </c>
      <c r="Q25" s="2" t="inlineStr">
        <is>
          <t>-</t>
        </is>
      </c>
      <c r="R25" s="2" t="inlineStr">
        <is>
          <t>-</t>
        </is>
      </c>
      <c r="S25" s="2" t="inlineStr">
        <is>
          <t>20260612000480</t>
        </is>
      </c>
      <c r="T25" s="8">
        <f>HYPERLINK("https://dart.fss.or.kr/dsaf001/main.do?rcpNo=20260612000480", "공시열람")</f>
        <v/>
      </c>
    </row>
    <row r="26" ht="36" customHeight="1">
      <c r="A26" s="2" t="inlineStr">
        <is>
          <t>2026-01-29</t>
        </is>
      </c>
      <c r="B26" s="3" t="inlineStr">
        <is>
          <t>스피어</t>
        </is>
      </c>
      <c r="C26" s="2" t="inlineStr">
        <is>
          <t>코스닥</t>
        </is>
      </c>
      <c r="D26" s="2" t="inlineStr">
        <is>
          <t>347700</t>
        </is>
      </c>
      <c r="E26" s="9" t="inlineStr">
        <is>
          <t>유상증자</t>
        </is>
      </c>
      <c r="F26" s="3" t="inlineStr">
        <is>
          <t xml:space="preserve">유상증자결정(종속회사의주요경영사항)              </t>
        </is>
      </c>
      <c r="G26" s="5" t="n">
        <v>7244000000</v>
      </c>
      <c r="H26" s="5" t="n">
        <v>1448</v>
      </c>
      <c r="I26" s="2" t="inlineStr">
        <is>
          <t>보통주식</t>
        </is>
      </c>
      <c r="J26" s="6" t="n">
        <v>5000000</v>
      </c>
      <c r="K26" s="2" t="inlineStr">
        <is>
          <t>2026-01-29</t>
        </is>
      </c>
      <c r="L26" s="2" t="inlineStr">
        <is>
          <t>-</t>
        </is>
      </c>
      <c r="M26" s="2" t="inlineStr">
        <is>
          <t>-</t>
        </is>
      </c>
      <c r="N26" s="2" t="inlineStr">
        <is>
          <t>-</t>
        </is>
      </c>
      <c r="O26" s="10" t="n">
        <v>19.16443081640475</v>
      </c>
      <c r="P26" s="7" t="inlineStr">
        <is>
          <t>타법인증권취득자금 (72.4억원)</t>
        </is>
      </c>
      <c r="Q26" s="2" t="inlineStr">
        <is>
          <t>-</t>
        </is>
      </c>
      <c r="R26" s="2" t="inlineStr">
        <is>
          <t>-</t>
        </is>
      </c>
      <c r="S26" s="2" t="inlineStr">
        <is>
          <t>20260129900833</t>
        </is>
      </c>
      <c r="T26" s="8">
        <f>HYPERLINK("https://dart.fss.or.kr/dsaf001/main.do?rcpNo=20260129900833", "공시열람")</f>
        <v/>
      </c>
    </row>
    <row r="27" ht="36" customHeight="1">
      <c r="A27" s="2" t="inlineStr">
        <is>
          <t>2026-01-29</t>
        </is>
      </c>
      <c r="B27" s="3" t="inlineStr">
        <is>
          <t>삼보산업</t>
        </is>
      </c>
      <c r="C27" s="2" t="inlineStr">
        <is>
          <t>코스닥</t>
        </is>
      </c>
      <c r="D27" s="2" t="inlineStr">
        <is>
          <t>009620</t>
        </is>
      </c>
      <c r="E27" s="11" t="inlineStr">
        <is>
          <t>전환사채(CB)</t>
        </is>
      </c>
      <c r="F27" s="3" t="inlineStr">
        <is>
          <t>주요사항보고서(전환사채권발행결정)</t>
        </is>
      </c>
      <c r="G27" s="5" t="n">
        <v>4600000000</v>
      </c>
      <c r="H27" s="5" t="n">
        <v>1784</v>
      </c>
      <c r="I27" s="2" t="inlineStr">
        <is>
          <t>삼보산업(주) 기명식 보통주</t>
        </is>
      </c>
      <c r="J27" s="6" t="n">
        <v>2578475</v>
      </c>
      <c r="K27" s="2" t="inlineStr">
        <is>
          <t>2026년 02월 06일</t>
        </is>
      </c>
      <c r="L27" s="2" t="inlineStr">
        <is>
          <t>-</t>
        </is>
      </c>
      <c r="M27" s="2" t="inlineStr">
        <is>
          <t>2027-02-06</t>
        </is>
      </c>
      <c r="N27" s="2" t="inlineStr">
        <is>
          <t>2029-01-06</t>
        </is>
      </c>
      <c r="O27" s="10" t="n">
        <v>13.6</v>
      </c>
      <c r="P27" s="7" t="inlineStr">
        <is>
          <t>-</t>
        </is>
      </c>
      <c r="Q27" s="2" t="inlineStr">
        <is>
          <t>2027-01-18</t>
        </is>
      </c>
      <c r="R27" s="2" t="inlineStr">
        <is>
          <t>2027-02-06</t>
        </is>
      </c>
      <c r="S27" s="2" t="inlineStr">
        <is>
          <t>20260129000590</t>
        </is>
      </c>
      <c r="T27" s="8">
        <f>HYPERLINK("https://dart.fss.or.kr/dsaf001/main.do?rcpNo=20260129000590", "공시열람")</f>
        <v/>
      </c>
    </row>
    <row r="28" ht="36" customHeight="1">
      <c r="A28" s="2" t="inlineStr">
        <is>
          <t>2026-01-02 (정정: 2026-01-29)</t>
        </is>
      </c>
      <c r="B28" s="3" t="inlineStr">
        <is>
          <t>스피어</t>
        </is>
      </c>
      <c r="C28" s="2" t="inlineStr">
        <is>
          <t>코스닥</t>
        </is>
      </c>
      <c r="D28" s="2" t="inlineStr">
        <is>
          <t>347700</t>
        </is>
      </c>
      <c r="E28" s="11" t="inlineStr">
        <is>
          <t>전환사채(CB)</t>
        </is>
      </c>
      <c r="F28" s="3" t="inlineStr">
        <is>
          <t>[기재정정]주요사항보고서(전환사채권발행결정)</t>
        </is>
      </c>
      <c r="G28" s="5" t="inlineStr"/>
      <c r="H28" s="5" t="inlineStr"/>
      <c r="I28" s="2" t="inlineStr">
        <is>
          <t>-</t>
        </is>
      </c>
      <c r="J28" s="6" t="inlineStr"/>
      <c r="K28" s="2" t="inlineStr">
        <is>
          <t>-</t>
        </is>
      </c>
      <c r="L28" s="2" t="inlineStr">
        <is>
          <t>-</t>
        </is>
      </c>
      <c r="M28" s="2" t="inlineStr">
        <is>
          <t>2027-01-30</t>
        </is>
      </c>
      <c r="N28" s="2" t="inlineStr">
        <is>
          <t>2028-12-30</t>
        </is>
      </c>
      <c r="O28" s="3" t="inlineStr"/>
      <c r="P28" s="7" t="inlineStr">
        <is>
          <t>-</t>
        </is>
      </c>
      <c r="Q28" s="2" t="inlineStr">
        <is>
          <t>2027-01-30</t>
        </is>
      </c>
      <c r="R28" s="2" t="inlineStr">
        <is>
          <t>2027-01-30</t>
        </is>
      </c>
      <c r="S28" s="2" t="inlineStr">
        <is>
          <t>20260129000562</t>
        </is>
      </c>
      <c r="T28" s="8">
        <f>HYPERLINK("https://dart.fss.or.kr/dsaf001/main.do?rcpNo=20260129000562", "공시열람")</f>
        <v/>
      </c>
    </row>
    <row r="29" ht="36" customHeight="1">
      <c r="A29" s="2" t="inlineStr">
        <is>
          <t>2026-01-29</t>
        </is>
      </c>
      <c r="B29" s="3" t="inlineStr">
        <is>
          <t>제이케이시냅스</t>
        </is>
      </c>
      <c r="C29" s="2" t="inlineStr">
        <is>
          <t>코스닥</t>
        </is>
      </c>
      <c r="D29" s="2" t="inlineStr">
        <is>
          <t>060230</t>
        </is>
      </c>
      <c r="E29" s="9" t="inlineStr">
        <is>
          <t>유상증자</t>
        </is>
      </c>
      <c r="F29" s="3" t="inlineStr">
        <is>
          <t>증권발행결과(자율공시)              (유상증자결정(일반공모증자-소액공모))</t>
        </is>
      </c>
      <c r="G29" s="5" t="n">
        <v>0</v>
      </c>
      <c r="H29" s="5" t="inlineStr"/>
      <c r="I29" s="2" t="inlineStr">
        <is>
          <t>보통주식</t>
        </is>
      </c>
      <c r="J29" s="6" t="n">
        <v>0</v>
      </c>
      <c r="K29" s="2" t="inlineStr">
        <is>
          <t>2026-01-29</t>
        </is>
      </c>
      <c r="L29" s="2" t="inlineStr">
        <is>
          <t>-</t>
        </is>
      </c>
      <c r="M29" s="2" t="inlineStr">
        <is>
          <t>-</t>
        </is>
      </c>
      <c r="N29" s="2" t="inlineStr">
        <is>
          <t>-</t>
        </is>
      </c>
      <c r="O29" s="3" t="inlineStr"/>
      <c r="P29" s="7" t="inlineStr">
        <is>
          <t>-</t>
        </is>
      </c>
      <c r="Q29" s="2" t="inlineStr">
        <is>
          <t>-</t>
        </is>
      </c>
      <c r="R29" s="2" t="inlineStr">
        <is>
          <t>-</t>
        </is>
      </c>
      <c r="S29" s="2" t="inlineStr">
        <is>
          <t>20260129900478</t>
        </is>
      </c>
      <c r="T29" s="8">
        <f>HYPERLINK("https://dart.fss.or.kr/dsaf001/main.do?rcpNo=20260129900478", "공시열람")</f>
        <v/>
      </c>
    </row>
    <row r="30" ht="36" customHeight="1">
      <c r="A30" s="2" t="inlineStr">
        <is>
          <t>2023-07-26 (정정: 2026-01-29)</t>
        </is>
      </c>
      <c r="B30" s="3" t="inlineStr">
        <is>
          <t>티앤알바이오팹</t>
        </is>
      </c>
      <c r="C30" s="2" t="inlineStr">
        <is>
          <t>코스닥</t>
        </is>
      </c>
      <c r="D30" s="2" t="inlineStr">
        <is>
          <t>246710</t>
        </is>
      </c>
      <c r="E30" s="11" t="inlineStr">
        <is>
          <t>전환사채(CB)</t>
        </is>
      </c>
      <c r="F30" s="3" t="inlineStr">
        <is>
          <t>[기재정정]주요사항보고서(전환사채권발행결정)</t>
        </is>
      </c>
      <c r="G30" s="5" t="inlineStr"/>
      <c r="H30" s="5" t="inlineStr"/>
      <c r="I30" s="2" t="inlineStr">
        <is>
          <t>-</t>
        </is>
      </c>
      <c r="J30" s="6" t="inlineStr"/>
      <c r="K30" s="2" t="inlineStr">
        <is>
          <t>-</t>
        </is>
      </c>
      <c r="L30" s="2" t="inlineStr">
        <is>
          <t>-</t>
        </is>
      </c>
      <c r="M30" s="2" t="inlineStr">
        <is>
          <t>2024-08-04</t>
        </is>
      </c>
      <c r="N30" s="2" t="inlineStr">
        <is>
          <t>2028-07-04</t>
        </is>
      </c>
      <c r="O30" s="3" t="inlineStr"/>
      <c r="P30" s="7" t="inlineStr">
        <is>
          <t>-</t>
        </is>
      </c>
      <c r="Q30" s="2" t="inlineStr">
        <is>
          <t>2023-07-28</t>
        </is>
      </c>
      <c r="R30" s="2" t="inlineStr">
        <is>
          <t>2026-02-04</t>
        </is>
      </c>
      <c r="S30" s="2" t="inlineStr">
        <is>
          <t>20260129000358</t>
        </is>
      </c>
      <c r="T30" s="8">
        <f>HYPERLINK("https://dart.fss.or.kr/dsaf001/main.do?rcpNo=20260129000358", "공시열람")</f>
        <v/>
      </c>
    </row>
    <row r="31" ht="36" customHeight="1">
      <c r="A31" s="2" t="inlineStr">
        <is>
          <t>2026-01-29</t>
        </is>
      </c>
      <c r="B31" s="3" t="inlineStr">
        <is>
          <t>인크레더블버즈</t>
        </is>
      </c>
      <c r="C31" s="2" t="inlineStr">
        <is>
          <t>코스닥</t>
        </is>
      </c>
      <c r="D31" s="2" t="inlineStr">
        <is>
          <t>064090</t>
        </is>
      </c>
      <c r="E31" s="9" t="inlineStr">
        <is>
          <t>유상증자</t>
        </is>
      </c>
      <c r="F31" s="3" t="inlineStr">
        <is>
          <t xml:space="preserve">유상증자결정(종속회사의주요경영사항)              </t>
        </is>
      </c>
      <c r="G31" s="5" t="n">
        <v>40070665110</v>
      </c>
      <c r="H31" s="5" t="n">
        <v>162614</v>
      </c>
      <c r="I31" s="2" t="inlineStr">
        <is>
          <t>보통주식</t>
        </is>
      </c>
      <c r="J31" s="6" t="n">
        <v>246415</v>
      </c>
      <c r="K31" s="2" t="inlineStr">
        <is>
          <t>2026-02-19</t>
        </is>
      </c>
      <c r="L31" s="2" t="inlineStr">
        <is>
          <t>-</t>
        </is>
      </c>
      <c r="M31" s="2" t="inlineStr">
        <is>
          <t>-</t>
        </is>
      </c>
      <c r="N31" s="2" t="inlineStr">
        <is>
          <t>-</t>
        </is>
      </c>
      <c r="O31" s="10" t="n">
        <v>108.2881061721342</v>
      </c>
      <c r="P31" s="7" t="inlineStr">
        <is>
          <t>타법인증권취득자금 (400.7억원)</t>
        </is>
      </c>
      <c r="Q31" s="2" t="inlineStr">
        <is>
          <t>-</t>
        </is>
      </c>
      <c r="R31" s="2" t="inlineStr">
        <is>
          <t>-</t>
        </is>
      </c>
      <c r="S31" s="2" t="inlineStr">
        <is>
          <t>20260129900355</t>
        </is>
      </c>
      <c r="T31" s="8">
        <f>HYPERLINK("https://dart.fss.or.kr/dsaf001/main.do?rcpNo=20260129900355", "공시열람")</f>
        <v/>
      </c>
    </row>
    <row r="32" ht="36" customHeight="1">
      <c r="A32" s="2" t="inlineStr">
        <is>
          <t>2026-01-29 (정정: 2026-06-22)</t>
        </is>
      </c>
      <c r="B32" s="3" t="inlineStr">
        <is>
          <t>로지스몬</t>
        </is>
      </c>
      <c r="C32" s="2" t="inlineStr">
        <is>
          <t>코넥스</t>
        </is>
      </c>
      <c r="D32" s="2" t="inlineStr">
        <is>
          <t>223220</t>
        </is>
      </c>
      <c r="E32" s="9" t="inlineStr">
        <is>
          <t>유상증자</t>
        </is>
      </c>
      <c r="F32" s="3" t="inlineStr">
        <is>
          <t>[기재정정]주요사항보고서(유상증자결정) (정정: 20260306) (정정: 20260306) (정정: 20260416) (정정: 20260522) (정정: 20260611) (정정: 20260622)</t>
        </is>
      </c>
      <c r="G32" s="5" t="n">
        <v>0</v>
      </c>
      <c r="H32" s="5" t="inlineStr"/>
      <c r="I32" s="2" t="inlineStr">
        <is>
          <t>보통주식</t>
        </is>
      </c>
      <c r="J32" s="6" t="n">
        <v>0</v>
      </c>
      <c r="K32" s="2" t="inlineStr">
        <is>
          <t>-</t>
        </is>
      </c>
      <c r="L32" s="2" t="inlineStr">
        <is>
          <t>-</t>
        </is>
      </c>
      <c r="M32" s="2" t="inlineStr">
        <is>
          <t>-</t>
        </is>
      </c>
      <c r="N32" s="2" t="inlineStr">
        <is>
          <t>-</t>
        </is>
      </c>
      <c r="O32" s="3" t="inlineStr"/>
      <c r="P32" s="7" t="inlineStr">
        <is>
          <t>-</t>
        </is>
      </c>
      <c r="Q32" s="2" t="inlineStr">
        <is>
          <t>-</t>
        </is>
      </c>
      <c r="R32" s="2" t="inlineStr">
        <is>
          <t>-</t>
        </is>
      </c>
      <c r="S32" s="2" t="inlineStr">
        <is>
          <t>20260622000240</t>
        </is>
      </c>
      <c r="T32" s="8">
        <f>HYPERLINK("https://dart.fss.or.kr/dsaf001/main.do?rcpNo=20260622000240", "공시열람")</f>
        <v/>
      </c>
    </row>
    <row r="33" ht="36" customHeight="1">
      <c r="A33" s="2" t="inlineStr">
        <is>
          <t>2025-11-21 (정정: 2026-01-29)</t>
        </is>
      </c>
      <c r="B33" s="3" t="inlineStr">
        <is>
          <t>아이씨에이치</t>
        </is>
      </c>
      <c r="C33" s="2" t="inlineStr">
        <is>
          <t>코스닥</t>
        </is>
      </c>
      <c r="D33" s="2" t="inlineStr">
        <is>
          <t>368600</t>
        </is>
      </c>
      <c r="E33" s="9" t="inlineStr">
        <is>
          <t>유상증자</t>
        </is>
      </c>
      <c r="F33" s="3" t="inlineStr">
        <is>
          <t>[기재정정]주요사항보고서(유상증자결정)</t>
        </is>
      </c>
      <c r="G33" s="5" t="n">
        <v>6760000000</v>
      </c>
      <c r="H33" s="5" t="n">
        <v>845</v>
      </c>
      <c r="I33" s="2" t="inlineStr">
        <is>
          <t>보통주식</t>
        </is>
      </c>
      <c r="J33" s="6" t="n">
        <v>8000000</v>
      </c>
      <c r="K33" s="2" t="inlineStr">
        <is>
          <t>2026-02-10</t>
        </is>
      </c>
      <c r="L33" s="2" t="inlineStr">
        <is>
          <t>2026-02-25</t>
        </is>
      </c>
      <c r="M33" s="2" t="inlineStr">
        <is>
          <t>-</t>
        </is>
      </c>
      <c r="N33" s="2" t="inlineStr">
        <is>
          <t>-</t>
        </is>
      </c>
      <c r="O33" s="10" t="n">
        <v>45.61433558215809</v>
      </c>
      <c r="P33" s="7" t="inlineStr">
        <is>
          <t>시설자금 (67.6억원)</t>
        </is>
      </c>
      <c r="Q33" s="2" t="inlineStr">
        <is>
          <t>-</t>
        </is>
      </c>
      <c r="R33" s="2" t="inlineStr">
        <is>
          <t>-</t>
        </is>
      </c>
      <c r="S33" s="2" t="inlineStr">
        <is>
          <t>20260129000293</t>
        </is>
      </c>
      <c r="T33" s="8">
        <f>HYPERLINK("https://dart.fss.or.kr/dsaf001/main.do?rcpNo=20260129000293", "공시열람")</f>
        <v/>
      </c>
    </row>
    <row r="34" ht="36" customHeight="1">
      <c r="A34" s="2" t="inlineStr">
        <is>
          <t>2026-01-29 (정정: 2026-03-13)</t>
        </is>
      </c>
      <c r="B34" s="3" t="inlineStr">
        <is>
          <t>제이케이시냅스</t>
        </is>
      </c>
      <c r="C34" s="2" t="inlineStr">
        <is>
          <t>코스닥</t>
        </is>
      </c>
      <c r="D34" s="2" t="inlineStr">
        <is>
          <t>060230</t>
        </is>
      </c>
      <c r="E34" s="11" t="inlineStr">
        <is>
          <t>전환사채(CB)</t>
        </is>
      </c>
      <c r="F34" s="3" t="inlineStr">
        <is>
          <t>주요사항보고서(전환사채권발행결정) (정정: 20260313)</t>
        </is>
      </c>
      <c r="G34" s="5" t="inlineStr"/>
      <c r="H34" s="5" t="inlineStr"/>
      <c r="I34" s="2" t="inlineStr">
        <is>
          <t>-</t>
        </is>
      </c>
      <c r="J34" s="6" t="inlineStr"/>
      <c r="K34" s="2" t="inlineStr">
        <is>
          <t>-</t>
        </is>
      </c>
      <c r="L34" s="2" t="inlineStr">
        <is>
          <t>-</t>
        </is>
      </c>
      <c r="M34" s="2" t="inlineStr">
        <is>
          <t>2027-03-23</t>
        </is>
      </c>
      <c r="N34" s="2" t="inlineStr">
        <is>
          <t>2029-02-23</t>
        </is>
      </c>
      <c r="O34" s="3" t="inlineStr"/>
      <c r="P34" s="7" t="inlineStr">
        <is>
          <t>-</t>
        </is>
      </c>
      <c r="Q34" s="2" t="inlineStr">
        <is>
          <t>-</t>
        </is>
      </c>
      <c r="R34" s="2" t="inlineStr">
        <is>
          <t>2027-02-23</t>
        </is>
      </c>
      <c r="S34" s="2" t="inlineStr">
        <is>
          <t>20260313001194</t>
        </is>
      </c>
      <c r="T34" s="8">
        <f>HYPERLINK("https://dart.fss.or.kr/dsaf001/main.do?rcpNo=20260313001194", "공시열람")</f>
        <v/>
      </c>
    </row>
    <row r="35" ht="36" customHeight="1">
      <c r="A35" s="2" t="inlineStr">
        <is>
          <t>2026-01-29 (정정: 2026-03-04)</t>
        </is>
      </c>
      <c r="B35" s="3" t="inlineStr">
        <is>
          <t>KS인더스트리</t>
        </is>
      </c>
      <c r="C35" s="2" t="inlineStr">
        <is>
          <t>코스닥</t>
        </is>
      </c>
      <c r="D35" s="2" t="inlineStr">
        <is>
          <t>101000</t>
        </is>
      </c>
      <c r="E35" s="11" t="inlineStr">
        <is>
          <t>전환사채(CB)</t>
        </is>
      </c>
      <c r="F35" s="3" t="inlineStr">
        <is>
          <t>[기재정정]주요사항보고서(전환사채권발행결정) (정정: 20260202) (정정: 20260304)</t>
        </is>
      </c>
      <c r="G35" s="5" t="inlineStr"/>
      <c r="H35" s="5" t="inlineStr"/>
      <c r="I35" s="2" t="inlineStr">
        <is>
          <t>-</t>
        </is>
      </c>
      <c r="J35" s="6" t="inlineStr"/>
      <c r="K35" s="2" t="inlineStr">
        <is>
          <t>-</t>
        </is>
      </c>
      <c r="L35" s="2" t="inlineStr">
        <is>
          <t>-</t>
        </is>
      </c>
      <c r="M35" s="2" t="inlineStr">
        <is>
          <t>2027-04-10</t>
        </is>
      </c>
      <c r="N35" s="2" t="inlineStr">
        <is>
          <t>2031-03-09</t>
        </is>
      </c>
      <c r="O35" s="3" t="inlineStr"/>
      <c r="P35" s="7" t="inlineStr">
        <is>
          <t>-</t>
        </is>
      </c>
      <c r="Q35" s="2" t="inlineStr">
        <is>
          <t>-</t>
        </is>
      </c>
      <c r="R35" s="2" t="inlineStr">
        <is>
          <t>2026-03-04</t>
        </is>
      </c>
      <c r="S35" s="2" t="inlineStr">
        <is>
          <t>20260304001089</t>
        </is>
      </c>
      <c r="T35" s="8">
        <f>HYPERLINK("https://dart.fss.or.kr/dsaf001/main.do?rcpNo=20260304001089", "공시열람")</f>
        <v/>
      </c>
    </row>
    <row r="36" ht="36" customHeight="1">
      <c r="A36" s="2" t="inlineStr">
        <is>
          <t>2026-02-02</t>
        </is>
      </c>
      <c r="B36" s="3" t="inlineStr">
        <is>
          <t>바이오플러스</t>
        </is>
      </c>
      <c r="C36" s="2" t="inlineStr">
        <is>
          <t>코스닥</t>
        </is>
      </c>
      <c r="D36" s="2" t="inlineStr">
        <is>
          <t>099430</t>
        </is>
      </c>
      <c r="E36" s="2" t="inlineStr">
        <is>
          <t>기타</t>
        </is>
      </c>
      <c r="F36" s="3" t="inlineStr">
        <is>
          <t xml:space="preserve">전환사채(해외전환사채포함)발행후만기전사채취득              </t>
        </is>
      </c>
      <c r="G36" s="5" t="inlineStr"/>
      <c r="H36" s="5" t="inlineStr"/>
      <c r="I36" s="2" t="inlineStr">
        <is>
          <t>-</t>
        </is>
      </c>
      <c r="J36" s="6" t="inlineStr"/>
      <c r="K36" s="2" t="inlineStr">
        <is>
          <t>-</t>
        </is>
      </c>
      <c r="L36" s="2" t="inlineStr">
        <is>
          <t>-</t>
        </is>
      </c>
      <c r="M36" s="2" t="inlineStr">
        <is>
          <t>-</t>
        </is>
      </c>
      <c r="N36" s="2" t="inlineStr">
        <is>
          <t>-</t>
        </is>
      </c>
      <c r="O36" s="3" t="inlineStr"/>
      <c r="P36" s="7" t="inlineStr">
        <is>
          <t>-</t>
        </is>
      </c>
      <c r="Q36" s="2" t="inlineStr">
        <is>
          <t>-</t>
        </is>
      </c>
      <c r="R36" s="2" t="inlineStr">
        <is>
          <t>-</t>
        </is>
      </c>
      <c r="S36" s="2" t="inlineStr">
        <is>
          <t>20260202902136</t>
        </is>
      </c>
      <c r="T36" s="8">
        <f>HYPERLINK("https://dart.fss.or.kr/dsaf001/main.do?rcpNo=20260202902136", "공시열람")</f>
        <v/>
      </c>
    </row>
    <row r="37" ht="36" customHeight="1">
      <c r="A37" s="2" t="inlineStr">
        <is>
          <t>2026-01-21 (정정: 2026-02-02)</t>
        </is>
      </c>
      <c r="B37" s="3" t="inlineStr">
        <is>
          <t>CSA 코스믹</t>
        </is>
      </c>
      <c r="C37" s="2" t="inlineStr">
        <is>
          <t>코스닥</t>
        </is>
      </c>
      <c r="D37" s="2" t="inlineStr">
        <is>
          <t>083660</t>
        </is>
      </c>
      <c r="E37" s="11" t="inlineStr">
        <is>
          <t>전환사채(CB)</t>
        </is>
      </c>
      <c r="F37" s="3" t="inlineStr">
        <is>
          <t>[기재정정]주요사항보고서(전환사채권발행결정)</t>
        </is>
      </c>
      <c r="G37" s="5" t="inlineStr"/>
      <c r="H37" s="5" t="inlineStr"/>
      <c r="I37" s="2" t="inlineStr">
        <is>
          <t>-</t>
        </is>
      </c>
      <c r="J37" s="6" t="inlineStr"/>
      <c r="K37" s="2" t="inlineStr">
        <is>
          <t>-</t>
        </is>
      </c>
      <c r="L37" s="2" t="inlineStr">
        <is>
          <t>-</t>
        </is>
      </c>
      <c r="M37" s="2" t="inlineStr">
        <is>
          <t>2027-01-30</t>
        </is>
      </c>
      <c r="N37" s="2" t="inlineStr">
        <is>
          <t>2028-12-30</t>
        </is>
      </c>
      <c r="O37" s="3" t="inlineStr"/>
      <c r="P37" s="7" t="inlineStr">
        <is>
          <t>-</t>
        </is>
      </c>
      <c r="Q37" s="2" t="inlineStr">
        <is>
          <t>2026-12-01</t>
        </is>
      </c>
      <c r="R37" s="2" t="inlineStr">
        <is>
          <t>2026-12-01</t>
        </is>
      </c>
      <c r="S37" s="2" t="inlineStr">
        <is>
          <t>20260202001286</t>
        </is>
      </c>
      <c r="T37" s="8">
        <f>HYPERLINK("https://dart.fss.or.kr/dsaf001/main.do?rcpNo=20260202001286", "공시열람")</f>
        <v/>
      </c>
    </row>
    <row r="38" ht="36" customHeight="1">
      <c r="A38" s="2" t="inlineStr">
        <is>
          <t>2026-02-02</t>
        </is>
      </c>
      <c r="B38" s="3" t="inlineStr">
        <is>
          <t>씨아이에스</t>
        </is>
      </c>
      <c r="C38" s="2" t="inlineStr">
        <is>
          <t>코스닥</t>
        </is>
      </c>
      <c r="D38" s="2" t="inlineStr">
        <is>
          <t>222080</t>
        </is>
      </c>
      <c r="E38" s="2" t="inlineStr">
        <is>
          <t>기타</t>
        </is>
      </c>
      <c r="F38" s="3" t="inlineStr">
        <is>
          <t xml:space="preserve">전환사채(해외전환사채포함)발행후만기전사채취득              </t>
        </is>
      </c>
      <c r="G38" s="5" t="inlineStr"/>
      <c r="H38" s="5" t="inlineStr"/>
      <c r="I38" s="2" t="inlineStr">
        <is>
          <t>-</t>
        </is>
      </c>
      <c r="J38" s="6" t="inlineStr"/>
      <c r="K38" s="2" t="inlineStr">
        <is>
          <t>-</t>
        </is>
      </c>
      <c r="L38" s="2" t="inlineStr">
        <is>
          <t>-</t>
        </is>
      </c>
      <c r="M38" s="2" t="inlineStr">
        <is>
          <t>-</t>
        </is>
      </c>
      <c r="N38" s="2" t="inlineStr">
        <is>
          <t>-</t>
        </is>
      </c>
      <c r="O38" s="3" t="inlineStr"/>
      <c r="P38" s="7" t="inlineStr">
        <is>
          <t>-</t>
        </is>
      </c>
      <c r="Q38" s="2" t="inlineStr">
        <is>
          <t>-</t>
        </is>
      </c>
      <c r="R38" s="2" t="inlineStr">
        <is>
          <t>-</t>
        </is>
      </c>
      <c r="S38" s="2" t="inlineStr">
        <is>
          <t>20260202902033</t>
        </is>
      </c>
      <c r="T38" s="8">
        <f>HYPERLINK("https://dart.fss.or.kr/dsaf001/main.do?rcpNo=20260202902033", "공시열람")</f>
        <v/>
      </c>
    </row>
    <row r="39" ht="36" customHeight="1">
      <c r="A39" s="2" t="inlineStr">
        <is>
          <t>2026-02-02</t>
        </is>
      </c>
      <c r="B39" s="3" t="inlineStr">
        <is>
          <t>링크드</t>
        </is>
      </c>
      <c r="C39" s="2" t="inlineStr">
        <is>
          <t>코스닥</t>
        </is>
      </c>
      <c r="D39" s="2" t="inlineStr">
        <is>
          <t>193250</t>
        </is>
      </c>
      <c r="E39" s="9" t="inlineStr">
        <is>
          <t>유상증자</t>
        </is>
      </c>
      <c r="F39" s="3" t="inlineStr">
        <is>
          <t>주요사항보고서(유상증자결정)</t>
        </is>
      </c>
      <c r="G39" s="5" t="n">
        <v>500</v>
      </c>
      <c r="H39" s="5" t="n">
        <v>444</v>
      </c>
      <c r="I39" s="2" t="inlineStr">
        <is>
          <t>보통주식</t>
        </is>
      </c>
      <c r="J39" s="6" t="n">
        <v>2252254</v>
      </c>
      <c r="K39" s="2" t="inlineStr">
        <is>
          <t>2026-02-27</t>
        </is>
      </c>
      <c r="L39" s="2" t="inlineStr">
        <is>
          <t>2026-03-20</t>
        </is>
      </c>
      <c r="M39" s="2" t="inlineStr">
        <is>
          <t>-</t>
        </is>
      </c>
      <c r="N39" s="2" t="inlineStr">
        <is>
          <t>-</t>
        </is>
      </c>
      <c r="O39" s="10" t="n">
        <v>3.486870818713646</v>
      </c>
      <c r="P39" s="7" t="inlineStr">
        <is>
          <t>운영자금 (500원)</t>
        </is>
      </c>
      <c r="Q39" s="2" t="inlineStr">
        <is>
          <t>-</t>
        </is>
      </c>
      <c r="R39" s="2" t="inlineStr">
        <is>
          <t>-</t>
        </is>
      </c>
      <c r="S39" s="2" t="inlineStr">
        <is>
          <t>20260202001231</t>
        </is>
      </c>
      <c r="T39" s="8">
        <f>HYPERLINK("https://dart.fss.or.kr/dsaf001/main.do?rcpNo=20260202001231", "공시열람")</f>
        <v/>
      </c>
    </row>
    <row r="40" ht="36" customHeight="1">
      <c r="A40" s="2" t="inlineStr">
        <is>
          <t>2026-01-23 (정정: 2026-02-02)</t>
        </is>
      </c>
      <c r="B40" s="3" t="inlineStr">
        <is>
          <t>파라텍</t>
        </is>
      </c>
      <c r="C40" s="2" t="inlineStr">
        <is>
          <t>코스닥</t>
        </is>
      </c>
      <c r="D40" s="2" t="inlineStr">
        <is>
          <t>033540</t>
        </is>
      </c>
      <c r="E40" s="9" t="inlineStr">
        <is>
          <t>유상증자</t>
        </is>
      </c>
      <c r="F40" s="3" t="inlineStr">
        <is>
          <t>[기재정정]주요사항보고서(유상증자결정)</t>
        </is>
      </c>
      <c r="G40" s="5" t="n">
        <v>2000</v>
      </c>
      <c r="H40" s="5" t="n">
        <v>1380</v>
      </c>
      <c r="I40" s="2" t="inlineStr">
        <is>
          <t>보통주식</t>
        </is>
      </c>
      <c r="J40" s="6" t="n">
        <v>1449274</v>
      </c>
      <c r="K40" s="2" t="inlineStr">
        <is>
          <t>2026-02-06</t>
        </is>
      </c>
      <c r="L40" s="2" t="inlineStr">
        <is>
          <t>2026-02-25</t>
        </is>
      </c>
      <c r="M40" s="2" t="inlineStr">
        <is>
          <t>-</t>
        </is>
      </c>
      <c r="N40" s="2" t="inlineStr">
        <is>
          <t>-</t>
        </is>
      </c>
      <c r="O40" s="10" t="n">
        <v>3.839028320871388</v>
      </c>
      <c r="P40" s="7" t="inlineStr">
        <is>
          <t>운영자금 (1,000원), 기타자금 (1,000원)</t>
        </is>
      </c>
      <c r="Q40" s="2" t="inlineStr">
        <is>
          <t>-</t>
        </is>
      </c>
      <c r="R40" s="2" t="inlineStr">
        <is>
          <t>-</t>
        </is>
      </c>
      <c r="S40" s="2" t="inlineStr">
        <is>
          <t>20260202001204</t>
        </is>
      </c>
      <c r="T40" s="8">
        <f>HYPERLINK("https://dart.fss.or.kr/dsaf001/main.do?rcpNo=20260202001204", "공시열람")</f>
        <v/>
      </c>
    </row>
    <row r="41" ht="36" customHeight="1">
      <c r="A41" s="2" t="inlineStr">
        <is>
          <t>2025-12-16 (정정: 2026-02-02)</t>
        </is>
      </c>
      <c r="B41" s="3" t="inlineStr">
        <is>
          <t>NAVER</t>
        </is>
      </c>
      <c r="C41" s="2" t="inlineStr">
        <is>
          <t>코스피</t>
        </is>
      </c>
      <c r="D41" s="2" t="inlineStr">
        <is>
          <t>035420</t>
        </is>
      </c>
      <c r="E41" s="9" t="inlineStr">
        <is>
          <t>유상증자</t>
        </is>
      </c>
      <c r="F41" s="3" t="inlineStr">
        <is>
          <t xml:space="preserve">[기재정정]유상증자결정(종속회사의주요경영사항)              </t>
        </is>
      </c>
      <c r="G41" s="5" t="n">
        <v>974213958539</v>
      </c>
      <c r="H41" s="5" t="n">
        <v>1729</v>
      </c>
      <c r="I41" s="2" t="inlineStr">
        <is>
          <t>보통주식</t>
        </is>
      </c>
      <c r="J41" s="6" t="n">
        <v>1127092830</v>
      </c>
      <c r="K41" s="2" t="inlineStr">
        <is>
          <t>2026-02-02</t>
        </is>
      </c>
      <c r="L41" s="2" t="inlineStr">
        <is>
          <t>-</t>
        </is>
      </c>
      <c r="M41" s="2" t="inlineStr">
        <is>
          <t>-</t>
        </is>
      </c>
      <c r="N41" s="2" t="inlineStr">
        <is>
          <t>-</t>
        </is>
      </c>
      <c r="O41" s="10" t="n">
        <v>37569761</v>
      </c>
      <c r="P41" s="7" t="inlineStr">
        <is>
          <t>타법인증권취득자금 (9742.1억원)</t>
        </is>
      </c>
      <c r="Q41" s="2" t="inlineStr">
        <is>
          <t>-</t>
        </is>
      </c>
      <c r="R41" s="2" t="inlineStr">
        <is>
          <t>-</t>
        </is>
      </c>
      <c r="S41" s="2" t="inlineStr">
        <is>
          <t>20260202801571</t>
        </is>
      </c>
      <c r="T41" s="8">
        <f>HYPERLINK("https://dart.fss.or.kr/dsaf001/main.do?rcpNo=20260202801571", "공시열람")</f>
        <v/>
      </c>
    </row>
    <row r="42" ht="36" customHeight="1">
      <c r="A42" s="2" t="inlineStr">
        <is>
          <t>2026-02-02</t>
        </is>
      </c>
      <c r="B42" s="3" t="inlineStr">
        <is>
          <t>신스틸</t>
        </is>
      </c>
      <c r="C42" s="2" t="inlineStr">
        <is>
          <t>코스닥</t>
        </is>
      </c>
      <c r="D42" s="2" t="inlineStr">
        <is>
          <t>162300</t>
        </is>
      </c>
      <c r="E42" s="2" t="inlineStr">
        <is>
          <t>기타</t>
        </is>
      </c>
      <c r="F42" s="3" t="inlineStr">
        <is>
          <t>전환사채(해외전환사채포함)발행후만기전사채취득              (제2회차)</t>
        </is>
      </c>
      <c r="G42" s="5" t="inlineStr"/>
      <c r="H42" s="5" t="inlineStr"/>
      <c r="I42" s="2" t="inlineStr">
        <is>
          <t>-</t>
        </is>
      </c>
      <c r="J42" s="6" t="inlineStr"/>
      <c r="K42" s="2" t="inlineStr">
        <is>
          <t>-</t>
        </is>
      </c>
      <c r="L42" s="2" t="inlineStr">
        <is>
          <t>-</t>
        </is>
      </c>
      <c r="M42" s="2" t="inlineStr">
        <is>
          <t>-</t>
        </is>
      </c>
      <c r="N42" s="2" t="inlineStr">
        <is>
          <t>-</t>
        </is>
      </c>
      <c r="O42" s="3" t="inlineStr"/>
      <c r="P42" s="7" t="inlineStr">
        <is>
          <t>-</t>
        </is>
      </c>
      <c r="Q42" s="2" t="inlineStr">
        <is>
          <t>-</t>
        </is>
      </c>
      <c r="R42" s="2" t="inlineStr">
        <is>
          <t>-</t>
        </is>
      </c>
      <c r="S42" s="2" t="inlineStr">
        <is>
          <t>20260202901440</t>
        </is>
      </c>
      <c r="T42" s="8">
        <f>HYPERLINK("https://dart.fss.or.kr/dsaf001/main.do?rcpNo=20260202901440", "공시열람")</f>
        <v/>
      </c>
    </row>
    <row r="43" ht="36" customHeight="1">
      <c r="A43" s="2" t="inlineStr">
        <is>
          <t>2026-02-02 (정정: 2026-05-27)</t>
        </is>
      </c>
      <c r="B43" s="3" t="inlineStr">
        <is>
          <t>디모아</t>
        </is>
      </c>
      <c r="C43" s="2" t="inlineStr">
        <is>
          <t>코스닥</t>
        </is>
      </c>
      <c r="D43" s="2" t="inlineStr">
        <is>
          <t>016670</t>
        </is>
      </c>
      <c r="E43" s="9" t="inlineStr">
        <is>
          <t>유상증자</t>
        </is>
      </c>
      <c r="F43" s="3" t="inlineStr">
        <is>
          <t>[기재정정]주요사항보고서(유상증자결정) (정정: 20260312) (정정: 20260527)</t>
        </is>
      </c>
      <c r="G43" s="5" t="n">
        <v>18612000000</v>
      </c>
      <c r="H43" s="5" t="inlineStr"/>
      <c r="I43" s="2" t="inlineStr">
        <is>
          <t>보통주식</t>
        </is>
      </c>
      <c r="J43" s="6" t="n">
        <v>7200000</v>
      </c>
      <c r="K43" s="2" t="inlineStr">
        <is>
          <t>2026-08-14</t>
        </is>
      </c>
      <c r="L43" s="2" t="inlineStr">
        <is>
          <t>2026-08-27</t>
        </is>
      </c>
      <c r="M43" s="2" t="inlineStr">
        <is>
          <t>-</t>
        </is>
      </c>
      <c r="N43" s="2" t="inlineStr">
        <is>
          <t>-</t>
        </is>
      </c>
      <c r="O43" s="10" t="n">
        <v>70.62816097805877</v>
      </c>
      <c r="P43" s="7" t="inlineStr">
        <is>
          <t>운영자금 (186.1억원)</t>
        </is>
      </c>
      <c r="Q43" s="2" t="inlineStr">
        <is>
          <t>-</t>
        </is>
      </c>
      <c r="R43" s="2" t="inlineStr">
        <is>
          <t>-</t>
        </is>
      </c>
      <c r="S43" s="2" t="inlineStr">
        <is>
          <t>20260527000288</t>
        </is>
      </c>
      <c r="T43" s="8">
        <f>HYPERLINK("https://dart.fss.or.kr/dsaf001/main.do?rcpNo=20260527000288", "공시열람")</f>
        <v/>
      </c>
    </row>
    <row r="44" ht="36" customHeight="1">
      <c r="A44" s="2" t="inlineStr">
        <is>
          <t>2026-02-02</t>
        </is>
      </c>
      <c r="B44" s="3" t="inlineStr">
        <is>
          <t>윈팩</t>
        </is>
      </c>
      <c r="C44" s="2" t="inlineStr">
        <is>
          <t>코스닥</t>
        </is>
      </c>
      <c r="D44" s="2" t="inlineStr">
        <is>
          <t>097800</t>
        </is>
      </c>
      <c r="E44" s="2" t="inlineStr">
        <is>
          <t>기타</t>
        </is>
      </c>
      <c r="F44" s="3" t="inlineStr">
        <is>
          <t xml:space="preserve">신주인수권부사채(해외신주인수권부사채포함)발행후만기전사채취득              </t>
        </is>
      </c>
      <c r="G44" s="5" t="inlineStr"/>
      <c r="H44" s="5" t="inlineStr"/>
      <c r="I44" s="2" t="inlineStr">
        <is>
          <t>-</t>
        </is>
      </c>
      <c r="J44" s="6" t="inlineStr"/>
      <c r="K44" s="2" t="inlineStr">
        <is>
          <t>-</t>
        </is>
      </c>
      <c r="L44" s="2" t="inlineStr">
        <is>
          <t>-</t>
        </is>
      </c>
      <c r="M44" s="2" t="inlineStr">
        <is>
          <t>-</t>
        </is>
      </c>
      <c r="N44" s="2" t="inlineStr">
        <is>
          <t>-</t>
        </is>
      </c>
      <c r="O44" s="3" t="inlineStr"/>
      <c r="P44" s="7" t="inlineStr">
        <is>
          <t>-</t>
        </is>
      </c>
      <c r="Q44" s="2" t="inlineStr">
        <is>
          <t>-</t>
        </is>
      </c>
      <c r="R44" s="2" t="inlineStr">
        <is>
          <t>-</t>
        </is>
      </c>
      <c r="S44" s="2" t="inlineStr">
        <is>
          <t>20260202901197</t>
        </is>
      </c>
      <c r="T44" s="8">
        <f>HYPERLINK("https://dart.fss.or.kr/dsaf001/main.do?rcpNo=20260202901197", "공시열람")</f>
        <v/>
      </c>
    </row>
    <row r="45" ht="36" customHeight="1">
      <c r="A45" s="2" t="inlineStr">
        <is>
          <t>2026-02-02</t>
        </is>
      </c>
      <c r="B45" s="3" t="inlineStr">
        <is>
          <t>미래나노텍</t>
        </is>
      </c>
      <c r="C45" s="2" t="inlineStr">
        <is>
          <t>코스닥</t>
        </is>
      </c>
      <c r="D45" s="2" t="inlineStr">
        <is>
          <t>095500</t>
        </is>
      </c>
      <c r="E45" s="2" t="inlineStr">
        <is>
          <t>기타</t>
        </is>
      </c>
      <c r="F45" s="3" t="inlineStr">
        <is>
          <t xml:space="preserve">교환사채(해외교환사채포함)발행후만기전사채취득              </t>
        </is>
      </c>
      <c r="G45" s="5" t="inlineStr"/>
      <c r="H45" s="5" t="inlineStr"/>
      <c r="I45" s="2" t="inlineStr">
        <is>
          <t>-</t>
        </is>
      </c>
      <c r="J45" s="6" t="inlineStr"/>
      <c r="K45" s="2" t="inlineStr">
        <is>
          <t>-</t>
        </is>
      </c>
      <c r="L45" s="2" t="inlineStr">
        <is>
          <t>-</t>
        </is>
      </c>
      <c r="M45" s="2" t="inlineStr">
        <is>
          <t>-</t>
        </is>
      </c>
      <c r="N45" s="2" t="inlineStr">
        <is>
          <t>-</t>
        </is>
      </c>
      <c r="O45" s="3" t="inlineStr"/>
      <c r="P45" s="7" t="inlineStr">
        <is>
          <t>-</t>
        </is>
      </c>
      <c r="Q45" s="2" t="inlineStr">
        <is>
          <t>-</t>
        </is>
      </c>
      <c r="R45" s="2" t="inlineStr">
        <is>
          <t>-</t>
        </is>
      </c>
      <c r="S45" s="2" t="inlineStr">
        <is>
          <t>20260202901032</t>
        </is>
      </c>
      <c r="T45" s="8">
        <f>HYPERLINK("https://dart.fss.or.kr/dsaf001/main.do?rcpNo=20260202901032", "공시열람")</f>
        <v/>
      </c>
    </row>
    <row r="46" ht="36" customHeight="1">
      <c r="A46" s="2" t="inlineStr">
        <is>
          <t>2026-02-02</t>
        </is>
      </c>
      <c r="B46" s="3" t="inlineStr">
        <is>
          <t>아이엠</t>
        </is>
      </c>
      <c r="C46" s="2" t="inlineStr">
        <is>
          <t>코스닥</t>
        </is>
      </c>
      <c r="D46" s="2" t="inlineStr">
        <is>
          <t>101390</t>
        </is>
      </c>
      <c r="E46" s="9" t="inlineStr">
        <is>
          <t>유상증자</t>
        </is>
      </c>
      <c r="F46" s="3" t="inlineStr">
        <is>
          <t>[기재정정]주요사항보고서(유상증자결정)</t>
        </is>
      </c>
      <c r="G46" s="5" t="n">
        <v>1500</v>
      </c>
      <c r="H46" s="5" t="n">
        <v>500</v>
      </c>
      <c r="I46" s="2" t="inlineStr">
        <is>
          <t>보통주식</t>
        </is>
      </c>
      <c r="J46" s="6" t="n">
        <v>3000000</v>
      </c>
      <c r="K46" s="2" t="inlineStr">
        <is>
          <t>2026.02.11</t>
        </is>
      </c>
      <c r="L46" s="2" t="inlineStr">
        <is>
          <t>2026.03.27</t>
        </is>
      </c>
      <c r="M46" s="2" t="inlineStr">
        <is>
          <t>-</t>
        </is>
      </c>
      <c r="N46" s="2" t="inlineStr">
        <is>
          <t>-</t>
        </is>
      </c>
      <c r="O46" s="10" t="n">
        <v>21.56046913856008</v>
      </c>
      <c r="P46" s="7" t="inlineStr">
        <is>
          <t>운영자금 (1,500원)</t>
        </is>
      </c>
      <c r="Q46" s="2" t="inlineStr">
        <is>
          <t>-</t>
        </is>
      </c>
      <c r="R46" s="2" t="inlineStr">
        <is>
          <t>-</t>
        </is>
      </c>
      <c r="S46" s="2" t="inlineStr">
        <is>
          <t>20260202000482</t>
        </is>
      </c>
      <c r="T46" s="8">
        <f>HYPERLINK("https://dart.fss.or.kr/dsaf001/main.do?rcpNo=20260202000482", "공시열람")</f>
        <v/>
      </c>
    </row>
    <row r="47" ht="36" customHeight="1">
      <c r="A47" s="2" t="inlineStr">
        <is>
          <t>2025-12-30 (정정: 2026-02-02)</t>
        </is>
      </c>
      <c r="B47" s="3" t="inlineStr">
        <is>
          <t>타스컴</t>
        </is>
      </c>
      <c r="C47" s="2" t="inlineStr">
        <is>
          <t>코넥스</t>
        </is>
      </c>
      <c r="D47" s="2" t="inlineStr">
        <is>
          <t>336040</t>
        </is>
      </c>
      <c r="E47" s="9" t="inlineStr">
        <is>
          <t>유상증자</t>
        </is>
      </c>
      <c r="F47" s="3" t="inlineStr">
        <is>
          <t>[기재정정]주요사항보고서(유상증자결정)</t>
        </is>
      </c>
      <c r="G47" s="5" t="n">
        <v>600001399</v>
      </c>
      <c r="H47" s="5" t="n">
        <v>2700</v>
      </c>
      <c r="I47" s="2" t="inlineStr">
        <is>
          <t>보통주식</t>
        </is>
      </c>
      <c r="J47" s="6" t="n">
        <v>740740</v>
      </c>
      <c r="K47" s="2" t="inlineStr">
        <is>
          <t>2026-01-22</t>
        </is>
      </c>
      <c r="L47" s="2" t="inlineStr">
        <is>
          <t>-</t>
        </is>
      </c>
      <c r="M47" s="2" t="inlineStr">
        <is>
          <t>-</t>
        </is>
      </c>
      <c r="N47" s="2" t="inlineStr">
        <is>
          <t>-</t>
        </is>
      </c>
      <c r="O47" s="10" t="n">
        <v>12.96629854659966</v>
      </c>
      <c r="P47" s="7" t="inlineStr">
        <is>
          <t>운영자금 (1,399원), 채무상환자금 (6.0억원)</t>
        </is>
      </c>
      <c r="Q47" s="2" t="inlineStr">
        <is>
          <t>-</t>
        </is>
      </c>
      <c r="R47" s="2" t="inlineStr">
        <is>
          <t>-</t>
        </is>
      </c>
      <c r="S47" s="2" t="inlineStr">
        <is>
          <t>20260202000036</t>
        </is>
      </c>
      <c r="T47" s="8">
        <f>HYPERLINK("https://dart.fss.or.kr/dsaf001/main.do?rcpNo=20260202000036", "공시열람")</f>
        <v/>
      </c>
    </row>
    <row r="48" ht="36" customHeight="1">
      <c r="A48" s="2" t="inlineStr">
        <is>
          <t>2021-04-28 (정정: 2026-02-02)</t>
        </is>
      </c>
      <c r="B48" s="3" t="inlineStr">
        <is>
          <t>콘텐트리중앙</t>
        </is>
      </c>
      <c r="C48" s="2" t="inlineStr">
        <is>
          <t>코스피</t>
        </is>
      </c>
      <c r="D48" s="2" t="inlineStr">
        <is>
          <t>036420</t>
        </is>
      </c>
      <c r="E48" s="11" t="inlineStr">
        <is>
          <t>전환사채(CB)</t>
        </is>
      </c>
      <c r="F48" s="3" t="inlineStr">
        <is>
          <t>[기재정정]주요사항보고서(전환사채권발행결정)</t>
        </is>
      </c>
      <c r="G48" s="5" t="inlineStr"/>
      <c r="H48" s="5" t="inlineStr"/>
      <c r="I48" s="2" t="inlineStr">
        <is>
          <t>-</t>
        </is>
      </c>
      <c r="J48" s="6" t="inlineStr"/>
      <c r="K48" s="2" t="inlineStr">
        <is>
          <t>-</t>
        </is>
      </c>
      <c r="L48" s="2" t="inlineStr">
        <is>
          <t>-</t>
        </is>
      </c>
      <c r="M48" s="2" t="inlineStr">
        <is>
          <t>2022-05-15</t>
        </is>
      </c>
      <c r="N48" s="2" t="inlineStr">
        <is>
          <t>2026-02-19</t>
        </is>
      </c>
      <c r="O48" s="3" t="inlineStr"/>
      <c r="P48" s="7" t="inlineStr">
        <is>
          <t>-</t>
        </is>
      </c>
      <c r="Q48" s="2" t="inlineStr">
        <is>
          <t>-</t>
        </is>
      </c>
      <c r="R48" s="2" t="inlineStr">
        <is>
          <t>2021-04-30</t>
        </is>
      </c>
      <c r="S48" s="2" t="inlineStr">
        <is>
          <t>20260202000002</t>
        </is>
      </c>
      <c r="T48" s="8">
        <f>HYPERLINK("https://dart.fss.or.kr/dsaf001/main.do?rcpNo=20260202000002", "공시열람")</f>
        <v/>
      </c>
    </row>
    <row r="49" ht="36" customHeight="1">
      <c r="A49" s="2" t="inlineStr">
        <is>
          <t>2026-01-20 (정정: 2026-02-02)</t>
        </is>
      </c>
      <c r="B49" s="3" t="inlineStr">
        <is>
          <t>엔켐</t>
        </is>
      </c>
      <c r="C49" s="2" t="inlineStr">
        <is>
          <t>코스닥</t>
        </is>
      </c>
      <c r="D49" s="2" t="inlineStr">
        <is>
          <t>348370</t>
        </is>
      </c>
      <c r="E49" s="11" t="inlineStr">
        <is>
          <t>전환사채(CB)</t>
        </is>
      </c>
      <c r="F49" s="3" t="inlineStr">
        <is>
          <t>[기재정정]주요사항보고서(전환사채권발행결정)</t>
        </is>
      </c>
      <c r="G49" s="5" t="inlineStr"/>
      <c r="H49" s="5" t="inlineStr"/>
      <c r="I49" s="2" t="inlineStr">
        <is>
          <t>-</t>
        </is>
      </c>
      <c r="J49" s="6" t="inlineStr"/>
      <c r="K49" s="2" t="inlineStr">
        <is>
          <t>-</t>
        </is>
      </c>
      <c r="L49" s="2" t="inlineStr">
        <is>
          <t>-</t>
        </is>
      </c>
      <c r="M49" s="2" t="inlineStr">
        <is>
          <t>2027-01-31</t>
        </is>
      </c>
      <c r="N49" s="2" t="inlineStr">
        <is>
          <t>2028-12-30</t>
        </is>
      </c>
      <c r="O49" s="3" t="inlineStr"/>
      <c r="P49" s="7" t="inlineStr">
        <is>
          <t>-</t>
        </is>
      </c>
      <c r="Q49" s="2" t="inlineStr">
        <is>
          <t>2024-05-11</t>
        </is>
      </c>
      <c r="R49" s="2" t="inlineStr">
        <is>
          <t>2026-01-20</t>
        </is>
      </c>
      <c r="S49" s="2" t="inlineStr">
        <is>
          <t>20260130000758</t>
        </is>
      </c>
      <c r="T49" s="8">
        <f>HYPERLINK("https://dart.fss.or.kr/dsaf001/main.do?rcpNo=20260130000758", "공시열람")</f>
        <v/>
      </c>
    </row>
    <row r="50" ht="36" customHeight="1">
      <c r="A50" s="2" t="inlineStr">
        <is>
          <t>2026-03-03</t>
        </is>
      </c>
      <c r="B50" s="3" t="inlineStr">
        <is>
          <t>바이온</t>
        </is>
      </c>
      <c r="C50" s="2" t="inlineStr">
        <is>
          <t>코스닥</t>
        </is>
      </c>
      <c r="D50" s="2" t="inlineStr">
        <is>
          <t>032980</t>
        </is>
      </c>
      <c r="E50" s="2" t="inlineStr">
        <is>
          <t>기타</t>
        </is>
      </c>
      <c r="F50" s="3" t="inlineStr">
        <is>
          <t>전환사채(해외전환사채포함)발행후만기전사채취득              (제40회차)</t>
        </is>
      </c>
      <c r="G50" s="5" t="inlineStr"/>
      <c r="H50" s="5" t="inlineStr"/>
      <c r="I50" s="2" t="inlineStr">
        <is>
          <t>-</t>
        </is>
      </c>
      <c r="J50" s="6" t="inlineStr"/>
      <c r="K50" s="2" t="inlineStr">
        <is>
          <t>-</t>
        </is>
      </c>
      <c r="L50" s="2" t="inlineStr">
        <is>
          <t>-</t>
        </is>
      </c>
      <c r="M50" s="2" t="inlineStr">
        <is>
          <t>-</t>
        </is>
      </c>
      <c r="N50" s="2" t="inlineStr">
        <is>
          <t>-</t>
        </is>
      </c>
      <c r="O50" s="3" t="inlineStr"/>
      <c r="P50" s="7" t="inlineStr">
        <is>
          <t>-</t>
        </is>
      </c>
      <c r="Q50" s="2" t="inlineStr">
        <is>
          <t>-</t>
        </is>
      </c>
      <c r="R50" s="2" t="inlineStr">
        <is>
          <t>-</t>
        </is>
      </c>
      <c r="S50" s="2" t="inlineStr">
        <is>
          <t>20260303901433</t>
        </is>
      </c>
      <c r="T50" s="8">
        <f>HYPERLINK("https://dart.fss.or.kr/dsaf001/main.do?rcpNo=20260303901433", "공시열람")</f>
        <v/>
      </c>
    </row>
    <row r="51" ht="36" customHeight="1">
      <c r="A51" s="2" t="inlineStr">
        <is>
          <t>2026-03-03</t>
        </is>
      </c>
      <c r="B51" s="3" t="inlineStr">
        <is>
          <t>우정바이오</t>
        </is>
      </c>
      <c r="C51" s="2" t="inlineStr">
        <is>
          <t>코스닥</t>
        </is>
      </c>
      <c r="D51" s="2" t="inlineStr">
        <is>
          <t>215380</t>
        </is>
      </c>
      <c r="E51" s="11" t="inlineStr">
        <is>
          <t>전환사채(CB)</t>
        </is>
      </c>
      <c r="F51" s="3" t="inlineStr">
        <is>
          <t>주요사항보고서(전환사채권발행결정)</t>
        </is>
      </c>
      <c r="G51" s="5" t="n">
        <v>35000000000</v>
      </c>
      <c r="H51" s="5" t="n">
        <v>2325</v>
      </c>
      <c r="I51" s="2" t="inlineStr">
        <is>
          <t>주식회사 우정바이오 기명식 보통주</t>
        </is>
      </c>
      <c r="J51" s="6" t="n">
        <v>15053763</v>
      </c>
      <c r="K51" s="2" t="inlineStr">
        <is>
          <t>2026년 03월 30일</t>
        </is>
      </c>
      <c r="L51" s="2" t="inlineStr">
        <is>
          <t>-</t>
        </is>
      </c>
      <c r="M51" s="2" t="inlineStr">
        <is>
          <t>2027-03-31</t>
        </is>
      </c>
      <c r="N51" s="2" t="inlineStr">
        <is>
          <t>2030-02-28</t>
        </is>
      </c>
      <c r="O51" s="10" t="n">
        <v>47.22</v>
      </c>
      <c r="P51" s="7" t="inlineStr">
        <is>
          <t>-</t>
        </is>
      </c>
      <c r="Q51" s="2" t="inlineStr">
        <is>
          <t>-</t>
        </is>
      </c>
      <c r="R51" s="2" t="inlineStr">
        <is>
          <t>2026-03-03</t>
        </is>
      </c>
      <c r="S51" s="2" t="inlineStr">
        <is>
          <t>20260303003177</t>
        </is>
      </c>
      <c r="T51" s="8">
        <f>HYPERLINK("https://dart.fss.or.kr/dsaf001/main.do?rcpNo=20260303003177", "공시열람")</f>
        <v/>
      </c>
    </row>
    <row r="52" ht="36" customHeight="1">
      <c r="A52" s="2" t="inlineStr">
        <is>
          <t>2026-03-03 (정정: 2026-03-03)</t>
        </is>
      </c>
      <c r="B52" s="3" t="inlineStr">
        <is>
          <t>SK하이닉스</t>
        </is>
      </c>
      <c r="C52" s="2" t="inlineStr">
        <is>
          <t>코스피</t>
        </is>
      </c>
      <c r="D52" s="2" t="inlineStr">
        <is>
          <t>000660</t>
        </is>
      </c>
      <c r="E52" s="9" t="inlineStr">
        <is>
          <t>유상증자</t>
        </is>
      </c>
      <c r="F52" s="3" t="inlineStr">
        <is>
          <t xml:space="preserve">[기재정정]유상증자결정(종속회사의주요경영사항)              </t>
        </is>
      </c>
      <c r="G52" s="5" t="n">
        <v>14428000000000</v>
      </c>
      <c r="H52" s="5" t="n">
        <v>1442.8</v>
      </c>
      <c r="I52" s="2" t="inlineStr">
        <is>
          <t>보통주식</t>
        </is>
      </c>
      <c r="J52" s="6" t="n">
        <v>10000000000</v>
      </c>
      <c r="K52" s="2" t="inlineStr">
        <is>
          <t>2030-03-01</t>
        </is>
      </c>
      <c r="L52" s="2" t="inlineStr">
        <is>
          <t>-</t>
        </is>
      </c>
      <c r="M52" s="2" t="inlineStr">
        <is>
          <t>-</t>
        </is>
      </c>
      <c r="N52" s="2" t="inlineStr">
        <is>
          <t>-</t>
        </is>
      </c>
      <c r="O52" s="10" t="n">
        <v>590.439634502751</v>
      </c>
      <c r="P52" s="7" t="inlineStr">
        <is>
          <t>타법인증권취득자금 (144280.0억원)</t>
        </is>
      </c>
      <c r="Q52" s="2" t="inlineStr">
        <is>
          <t>-</t>
        </is>
      </c>
      <c r="R52" s="2" t="inlineStr">
        <is>
          <t>-</t>
        </is>
      </c>
      <c r="S52" s="2" t="inlineStr">
        <is>
          <t>20260303801410</t>
        </is>
      </c>
      <c r="T52" s="8">
        <f>HYPERLINK("https://dart.fss.or.kr/dsaf001/main.do?rcpNo=20260303801410", "공시열람")</f>
        <v/>
      </c>
    </row>
    <row r="53" ht="36" customHeight="1">
      <c r="A53" s="2" t="inlineStr">
        <is>
          <t>2026-03-03</t>
        </is>
      </c>
      <c r="B53" s="3" t="inlineStr">
        <is>
          <t>SK하이닉스</t>
        </is>
      </c>
      <c r="C53" s="2" t="inlineStr">
        <is>
          <t>코스피</t>
        </is>
      </c>
      <c r="D53" s="2" t="inlineStr">
        <is>
          <t>000660</t>
        </is>
      </c>
      <c r="E53" s="9" t="inlineStr">
        <is>
          <t>유상증자</t>
        </is>
      </c>
      <c r="F53" s="3" t="inlineStr">
        <is>
          <t xml:space="preserve">유상증자결정(종속회사의주요경영사항)              </t>
        </is>
      </c>
      <c r="G53" s="5" t="n">
        <v>14727990573989</v>
      </c>
      <c r="H53" s="5" t="n">
        <v>8920</v>
      </c>
      <c r="I53" s="2" t="inlineStr">
        <is>
          <t>보통주식</t>
        </is>
      </c>
      <c r="J53" s="6" t="n">
        <v>1651029378</v>
      </c>
      <c r="K53" s="2" t="inlineStr">
        <is>
          <t>2026-03-01</t>
        </is>
      </c>
      <c r="L53" s="2" t="inlineStr">
        <is>
          <t>-</t>
        </is>
      </c>
      <c r="M53" s="2" t="inlineStr">
        <is>
          <t>-</t>
        </is>
      </c>
      <c r="N53" s="2" t="inlineStr">
        <is>
          <t>-</t>
        </is>
      </c>
      <c r="O53" s="10" t="n">
        <v>165102937800</v>
      </c>
      <c r="P53" s="7" t="inlineStr">
        <is>
          <t>영업양수자금 (147279.9억원)</t>
        </is>
      </c>
      <c r="Q53" s="2" t="inlineStr">
        <is>
          <t>-</t>
        </is>
      </c>
      <c r="R53" s="2" t="inlineStr">
        <is>
          <t>-</t>
        </is>
      </c>
      <c r="S53" s="2" t="inlineStr">
        <is>
          <t>20260303801345</t>
        </is>
      </c>
      <c r="T53" s="8">
        <f>HYPERLINK("https://dart.fss.or.kr/dsaf001/main.do?rcpNo=20260303801345", "공시열람")</f>
        <v/>
      </c>
    </row>
    <row r="54" ht="36" customHeight="1">
      <c r="A54" s="2" t="inlineStr">
        <is>
          <t>2026-02-27 (정정: 2026-03-03)</t>
        </is>
      </c>
      <c r="B54" s="3" t="inlineStr">
        <is>
          <t>유일에너테크</t>
        </is>
      </c>
      <c r="C54" s="2" t="inlineStr">
        <is>
          <t>코스닥</t>
        </is>
      </c>
      <c r="D54" s="2" t="inlineStr">
        <is>
          <t>340930</t>
        </is>
      </c>
      <c r="E54" s="9" t="inlineStr">
        <is>
          <t>유상증자</t>
        </is>
      </c>
      <c r="F54" s="3" t="inlineStr">
        <is>
          <t>[기재정정]주요사항보고서(유상증자결정)</t>
        </is>
      </c>
      <c r="G54" s="5" t="n">
        <v>999</v>
      </c>
      <c r="H54" s="5" t="n">
        <v>1102</v>
      </c>
      <c r="I54" s="2" t="inlineStr">
        <is>
          <t>보통주식</t>
        </is>
      </c>
      <c r="J54" s="6" t="n">
        <v>1814882</v>
      </c>
      <c r="K54" s="2" t="inlineStr">
        <is>
          <t>2026-03-13</t>
        </is>
      </c>
      <c r="L54" s="2" t="inlineStr">
        <is>
          <t>2026-03-30</t>
        </is>
      </c>
      <c r="M54" s="2" t="inlineStr">
        <is>
          <t>-</t>
        </is>
      </c>
      <c r="N54" s="2" t="inlineStr">
        <is>
          <t>-</t>
        </is>
      </c>
      <c r="O54" s="10" t="n">
        <v>2.635007354181154</v>
      </c>
      <c r="P54" s="7" t="inlineStr">
        <is>
          <t>운영자금 (999원)</t>
        </is>
      </c>
      <c r="Q54" s="2" t="inlineStr">
        <is>
          <t>-</t>
        </is>
      </c>
      <c r="R54" s="2" t="inlineStr">
        <is>
          <t>-</t>
        </is>
      </c>
      <c r="S54" s="2" t="inlineStr">
        <is>
          <t>20260303003077</t>
        </is>
      </c>
      <c r="T54" s="8">
        <f>HYPERLINK("https://dart.fss.or.kr/dsaf001/main.do?rcpNo=20260303003077", "공시열람")</f>
        <v/>
      </c>
    </row>
    <row r="55" ht="36" customHeight="1">
      <c r="A55" s="2" t="inlineStr">
        <is>
          <t>2026-03-03</t>
        </is>
      </c>
      <c r="B55" s="3" t="inlineStr">
        <is>
          <t>엑스페릭스</t>
        </is>
      </c>
      <c r="C55" s="2" t="inlineStr">
        <is>
          <t>코스닥</t>
        </is>
      </c>
      <c r="D55" s="2" t="inlineStr">
        <is>
          <t>317770</t>
        </is>
      </c>
      <c r="E55" s="2" t="inlineStr">
        <is>
          <t>기타</t>
        </is>
      </c>
      <c r="F55" s="3" t="inlineStr">
        <is>
          <t>신주인수권부사채(해외신주인수권부사채포함)발행후만기전사채취득              (제2회차)</t>
        </is>
      </c>
      <c r="G55" s="5" t="inlineStr"/>
      <c r="H55" s="5" t="inlineStr"/>
      <c r="I55" s="2" t="inlineStr">
        <is>
          <t>-</t>
        </is>
      </c>
      <c r="J55" s="6" t="inlineStr"/>
      <c r="K55" s="2" t="inlineStr">
        <is>
          <t>-</t>
        </is>
      </c>
      <c r="L55" s="2" t="inlineStr">
        <is>
          <t>-</t>
        </is>
      </c>
      <c r="M55" s="2" t="inlineStr">
        <is>
          <t>-</t>
        </is>
      </c>
      <c r="N55" s="2" t="inlineStr">
        <is>
          <t>-</t>
        </is>
      </c>
      <c r="O55" s="3" t="inlineStr"/>
      <c r="P55" s="7" t="inlineStr">
        <is>
          <t>-</t>
        </is>
      </c>
      <c r="Q55" s="2" t="inlineStr">
        <is>
          <t>-</t>
        </is>
      </c>
      <c r="R55" s="2" t="inlineStr">
        <is>
          <t>-</t>
        </is>
      </c>
      <c r="S55" s="2" t="inlineStr">
        <is>
          <t>20260303901032</t>
        </is>
      </c>
      <c r="T55" s="8">
        <f>HYPERLINK("https://dart.fss.or.kr/dsaf001/main.do?rcpNo=20260303901032", "공시열람")</f>
        <v/>
      </c>
    </row>
    <row r="56" ht="36" customHeight="1">
      <c r="A56" s="2" t="inlineStr">
        <is>
          <t>2026-03-03</t>
        </is>
      </c>
      <c r="B56" s="3" t="inlineStr">
        <is>
          <t>소룩스</t>
        </is>
      </c>
      <c r="C56" s="2" t="inlineStr">
        <is>
          <t>코스닥</t>
        </is>
      </c>
      <c r="D56" s="2" t="inlineStr">
        <is>
          <t>290690</t>
        </is>
      </c>
      <c r="E56" s="11" t="inlineStr">
        <is>
          <t>전환사채(CB)</t>
        </is>
      </c>
      <c r="F56" s="3" t="inlineStr">
        <is>
          <t>[첨부정정]주요사항보고서(전환사채권발행결정)</t>
        </is>
      </c>
      <c r="G56" s="5" t="inlineStr"/>
      <c r="H56" s="5" t="inlineStr"/>
      <c r="I56" s="2" t="inlineStr">
        <is>
          <t>-</t>
        </is>
      </c>
      <c r="J56" s="6" t="inlineStr"/>
      <c r="K56" s="2" t="inlineStr">
        <is>
          <t>-</t>
        </is>
      </c>
      <c r="L56" s="2" t="inlineStr">
        <is>
          <t>-</t>
        </is>
      </c>
      <c r="M56" s="2" t="inlineStr">
        <is>
          <t>-</t>
        </is>
      </c>
      <c r="N56" s="2" t="inlineStr">
        <is>
          <t>-</t>
        </is>
      </c>
      <c r="O56" s="3" t="inlineStr"/>
      <c r="P56" s="7" t="inlineStr">
        <is>
          <t>-</t>
        </is>
      </c>
      <c r="Q56" s="2" t="inlineStr">
        <is>
          <t>-</t>
        </is>
      </c>
      <c r="R56" s="2" t="inlineStr">
        <is>
          <t>-</t>
        </is>
      </c>
      <c r="S56" s="2" t="inlineStr">
        <is>
          <t>20260303002880</t>
        </is>
      </c>
      <c r="T56" s="8">
        <f>HYPERLINK("https://dart.fss.or.kr/dsaf001/main.do?rcpNo=20260303002880", "공시열람")</f>
        <v/>
      </c>
    </row>
    <row r="57" ht="36" customHeight="1">
      <c r="A57" s="2" t="inlineStr">
        <is>
          <t>2026-03-03 (정정: 2026-06-10)</t>
        </is>
      </c>
      <c r="B57" s="3" t="inlineStr">
        <is>
          <t>아이텍</t>
        </is>
      </c>
      <c r="C57" s="2" t="inlineStr">
        <is>
          <t>코스닥</t>
        </is>
      </c>
      <c r="D57" s="2" t="inlineStr">
        <is>
          <t>119830</t>
        </is>
      </c>
      <c r="E57" s="9" t="inlineStr">
        <is>
          <t>유상증자</t>
        </is>
      </c>
      <c r="F57" s="3" t="inlineStr">
        <is>
          <t>[기재정정]주요사항보고서(유상증자결정) (정정: 20260610)</t>
        </is>
      </c>
      <c r="G57" s="5" t="n">
        <v>10000001310</v>
      </c>
      <c r="H57" s="5" t="n">
        <v>6890</v>
      </c>
      <c r="I57" s="2" t="inlineStr">
        <is>
          <t>보통주식</t>
        </is>
      </c>
      <c r="J57" s="6" t="n">
        <v>1451379</v>
      </c>
      <c r="K57" s="2" t="inlineStr">
        <is>
          <t>2026-07-09</t>
        </is>
      </c>
      <c r="L57" s="2" t="inlineStr">
        <is>
          <t>2026-07-27</t>
        </is>
      </c>
      <c r="M57" s="2" t="inlineStr">
        <is>
          <t>-</t>
        </is>
      </c>
      <c r="N57" s="2" t="inlineStr">
        <is>
          <t>-</t>
        </is>
      </c>
      <c r="O57" s="10" t="n">
        <v>6.125434714219478</v>
      </c>
      <c r="P57" s="7" t="inlineStr">
        <is>
          <t>타법인증권취득자금 (100.0억원)</t>
        </is>
      </c>
      <c r="Q57" s="2" t="inlineStr">
        <is>
          <t>-</t>
        </is>
      </c>
      <c r="R57" s="2" t="inlineStr">
        <is>
          <t>-</t>
        </is>
      </c>
      <c r="S57" s="2" t="inlineStr">
        <is>
          <t>20260610000506</t>
        </is>
      </c>
      <c r="T57" s="8">
        <f>HYPERLINK("https://dart.fss.or.kr/dsaf001/main.do?rcpNo=20260610000506", "공시열람")</f>
        <v/>
      </c>
    </row>
    <row r="58" ht="36" customHeight="1">
      <c r="A58" s="2" t="inlineStr">
        <is>
          <t>2026-03-03 (정정: 2026-03-09)</t>
        </is>
      </c>
      <c r="B58" s="3" t="inlineStr">
        <is>
          <t>모아데이타</t>
        </is>
      </c>
      <c r="C58" s="2" t="inlineStr">
        <is>
          <t>코스닥</t>
        </is>
      </c>
      <c r="D58" s="2" t="inlineStr">
        <is>
          <t>288980</t>
        </is>
      </c>
      <c r="E58" s="9" t="inlineStr">
        <is>
          <t>유상증자</t>
        </is>
      </c>
      <c r="F58" s="3" t="inlineStr">
        <is>
          <t>[기재정정]주요사항보고서(유상증자결정) (정정: 20260305) (정정: 20260309)</t>
        </is>
      </c>
      <c r="G58" s="5" t="n">
        <v>1000</v>
      </c>
      <c r="H58" s="5" t="n">
        <v>589</v>
      </c>
      <c r="I58" s="2" t="inlineStr">
        <is>
          <t>보통주식</t>
        </is>
      </c>
      <c r="J58" s="6" t="n">
        <v>1697792</v>
      </c>
      <c r="K58" s="2" t="inlineStr">
        <is>
          <t>2026-03-25</t>
        </is>
      </c>
      <c r="L58" s="2" t="inlineStr">
        <is>
          <t>2026-04-15</t>
        </is>
      </c>
      <c r="M58" s="2" t="inlineStr">
        <is>
          <t>-</t>
        </is>
      </c>
      <c r="N58" s="2" t="inlineStr">
        <is>
          <t>-</t>
        </is>
      </c>
      <c r="O58" s="10" t="n">
        <v>4.913081341830243</v>
      </c>
      <c r="P58" s="7" t="inlineStr">
        <is>
          <t>운영자금 (1,000원)</t>
        </is>
      </c>
      <c r="Q58" s="2" t="inlineStr">
        <is>
          <t>-</t>
        </is>
      </c>
      <c r="R58" s="2" t="inlineStr">
        <is>
          <t>-</t>
        </is>
      </c>
      <c r="S58" s="2" t="inlineStr">
        <is>
          <t>20260309001788</t>
        </is>
      </c>
      <c r="T58" s="8">
        <f>HYPERLINK("https://dart.fss.or.kr/dsaf001/main.do?rcpNo=20260309001788", "공시열람")</f>
        <v/>
      </c>
    </row>
    <row r="59" ht="36" customHeight="1">
      <c r="A59" s="2" t="inlineStr">
        <is>
          <t>2026-03-03</t>
        </is>
      </c>
      <c r="B59" s="3" t="inlineStr">
        <is>
          <t>HLB생명과학</t>
        </is>
      </c>
      <c r="C59" s="2" t="inlineStr">
        <is>
          <t>코스닥</t>
        </is>
      </c>
      <c r="D59" s="2" t="inlineStr">
        <is>
          <t>067630</t>
        </is>
      </c>
      <c r="E59" s="2" t="inlineStr">
        <is>
          <t>기타</t>
        </is>
      </c>
      <c r="F59" s="3" t="inlineStr">
        <is>
          <t>전환사채(해외전환사채포함)발행후만기전사채취득              (제13회차)</t>
        </is>
      </c>
      <c r="G59" s="5" t="inlineStr"/>
      <c r="H59" s="5" t="inlineStr"/>
      <c r="I59" s="2" t="inlineStr">
        <is>
          <t>-</t>
        </is>
      </c>
      <c r="J59" s="6" t="inlineStr"/>
      <c r="K59" s="2" t="inlineStr">
        <is>
          <t>-</t>
        </is>
      </c>
      <c r="L59" s="2" t="inlineStr">
        <is>
          <t>-</t>
        </is>
      </c>
      <c r="M59" s="2" t="inlineStr">
        <is>
          <t>-</t>
        </is>
      </c>
      <c r="N59" s="2" t="inlineStr">
        <is>
          <t>-</t>
        </is>
      </c>
      <c r="O59" s="3" t="inlineStr"/>
      <c r="P59" s="7" t="inlineStr">
        <is>
          <t>-</t>
        </is>
      </c>
      <c r="Q59" s="2" t="inlineStr">
        <is>
          <t>-</t>
        </is>
      </c>
      <c r="R59" s="2" t="inlineStr">
        <is>
          <t>-</t>
        </is>
      </c>
      <c r="S59" s="2" t="inlineStr">
        <is>
          <t>20260303900884</t>
        </is>
      </c>
      <c r="T59" s="8">
        <f>HYPERLINK("https://dart.fss.or.kr/dsaf001/main.do?rcpNo=20260303900884", "공시열람")</f>
        <v/>
      </c>
    </row>
    <row r="60" ht="36" customHeight="1">
      <c r="A60" s="2" t="inlineStr">
        <is>
          <t>2026-03-03</t>
        </is>
      </c>
      <c r="B60" s="3" t="inlineStr">
        <is>
          <t>스피어</t>
        </is>
      </c>
      <c r="C60" s="2" t="inlineStr">
        <is>
          <t>코스닥</t>
        </is>
      </c>
      <c r="D60" s="2" t="inlineStr">
        <is>
          <t>347700</t>
        </is>
      </c>
      <c r="E60" s="2" t="inlineStr">
        <is>
          <t>기타</t>
        </is>
      </c>
      <c r="F60" s="3" t="inlineStr">
        <is>
          <t xml:space="preserve">전환사채(해외전환사채포함)발행후만기전사채취득              </t>
        </is>
      </c>
      <c r="G60" s="5" t="inlineStr"/>
      <c r="H60" s="5" t="inlineStr"/>
      <c r="I60" s="2" t="inlineStr">
        <is>
          <t>-</t>
        </is>
      </c>
      <c r="J60" s="6" t="inlineStr"/>
      <c r="K60" s="2" t="inlineStr">
        <is>
          <t>-</t>
        </is>
      </c>
      <c r="L60" s="2" t="inlineStr">
        <is>
          <t>-</t>
        </is>
      </c>
      <c r="M60" s="2" t="inlineStr">
        <is>
          <t>-</t>
        </is>
      </c>
      <c r="N60" s="2" t="inlineStr">
        <is>
          <t>-</t>
        </is>
      </c>
      <c r="O60" s="3" t="inlineStr"/>
      <c r="P60" s="7" t="inlineStr">
        <is>
          <t>-</t>
        </is>
      </c>
      <c r="Q60" s="2" t="inlineStr">
        <is>
          <t>-</t>
        </is>
      </c>
      <c r="R60" s="2" t="inlineStr">
        <is>
          <t>-</t>
        </is>
      </c>
      <c r="S60" s="2" t="inlineStr">
        <is>
          <t>20260303900752</t>
        </is>
      </c>
      <c r="T60" s="8">
        <f>HYPERLINK("https://dart.fss.or.kr/dsaf001/main.do?rcpNo=20260303900752", "공시열람")</f>
        <v/>
      </c>
    </row>
    <row r="61" ht="36" customHeight="1">
      <c r="A61" s="2" t="inlineStr">
        <is>
          <t>2026-03-03</t>
        </is>
      </c>
      <c r="B61" s="3" t="inlineStr">
        <is>
          <t>소노스퀘어</t>
        </is>
      </c>
      <c r="C61" s="2" t="inlineStr">
        <is>
          <t>코스닥</t>
        </is>
      </c>
      <c r="D61" s="2" t="inlineStr">
        <is>
          <t>007720</t>
        </is>
      </c>
      <c r="E61" s="2" t="inlineStr">
        <is>
          <t>기타</t>
        </is>
      </c>
      <c r="F61" s="3" t="inlineStr">
        <is>
          <t xml:space="preserve">신주인수권부사채(해외신주인수권부사채포함)발행후만기전사채취득              </t>
        </is>
      </c>
      <c r="G61" s="5" t="inlineStr"/>
      <c r="H61" s="5" t="inlineStr"/>
      <c r="I61" s="2" t="inlineStr">
        <is>
          <t>-</t>
        </is>
      </c>
      <c r="J61" s="6" t="inlineStr"/>
      <c r="K61" s="2" t="inlineStr">
        <is>
          <t>-</t>
        </is>
      </c>
      <c r="L61" s="2" t="inlineStr">
        <is>
          <t>-</t>
        </is>
      </c>
      <c r="M61" s="2" t="inlineStr">
        <is>
          <t>-</t>
        </is>
      </c>
      <c r="N61" s="2" t="inlineStr">
        <is>
          <t>-</t>
        </is>
      </c>
      <c r="O61" s="3" t="inlineStr"/>
      <c r="P61" s="7" t="inlineStr">
        <is>
          <t>-</t>
        </is>
      </c>
      <c r="Q61" s="2" t="inlineStr">
        <is>
          <t>-</t>
        </is>
      </c>
      <c r="R61" s="2" t="inlineStr">
        <is>
          <t>-</t>
        </is>
      </c>
      <c r="S61" s="2" t="inlineStr">
        <is>
          <t>20260303900718</t>
        </is>
      </c>
      <c r="T61" s="8">
        <f>HYPERLINK("https://dart.fss.or.kr/dsaf001/main.do?rcpNo=20260303900718", "공시열람")</f>
        <v/>
      </c>
    </row>
    <row r="62" ht="36" customHeight="1">
      <c r="A62" s="2" t="inlineStr">
        <is>
          <t>2026-03-03</t>
        </is>
      </c>
      <c r="B62" s="3" t="inlineStr">
        <is>
          <t>유일에너테크</t>
        </is>
      </c>
      <c r="C62" s="2" t="inlineStr">
        <is>
          <t>코스닥</t>
        </is>
      </c>
      <c r="D62" s="2" t="inlineStr">
        <is>
          <t>340930</t>
        </is>
      </c>
      <c r="E62" s="9" t="inlineStr">
        <is>
          <t>유상증자</t>
        </is>
      </c>
      <c r="F62" s="3" t="inlineStr">
        <is>
          <t>주요사항보고서(유상증자결정)</t>
        </is>
      </c>
      <c r="G62" s="5" t="n">
        <v>7745</v>
      </c>
      <c r="H62" s="5" t="n">
        <v>1061</v>
      </c>
      <c r="I62" s="2" t="inlineStr">
        <is>
          <t>보통주식</t>
        </is>
      </c>
      <c r="J62" s="6" t="n">
        <v>7300000</v>
      </c>
      <c r="K62" s="2" t="inlineStr">
        <is>
          <t>2026-04-06</t>
        </is>
      </c>
      <c r="L62" s="2" t="inlineStr">
        <is>
          <t>2026-04-21</t>
        </is>
      </c>
      <c r="M62" s="2" t="inlineStr">
        <is>
          <t>-</t>
        </is>
      </c>
      <c r="N62" s="2" t="inlineStr">
        <is>
          <t>-</t>
        </is>
      </c>
      <c r="O62" s="10" t="n">
        <v>10.59879027150108</v>
      </c>
      <c r="P62" s="7" t="inlineStr">
        <is>
          <t>운영자금 (7,745원)</t>
        </is>
      </c>
      <c r="Q62" s="2" t="inlineStr">
        <is>
          <t>-</t>
        </is>
      </c>
      <c r="R62" s="2" t="inlineStr">
        <is>
          <t>-</t>
        </is>
      </c>
      <c r="S62" s="2" t="inlineStr">
        <is>
          <t>20260303001519</t>
        </is>
      </c>
      <c r="T62" s="8">
        <f>HYPERLINK("https://dart.fss.or.kr/dsaf001/main.do?rcpNo=20260303001519", "공시열람")</f>
        <v/>
      </c>
    </row>
    <row r="63" ht="36" customHeight="1">
      <c r="A63" s="2" t="inlineStr">
        <is>
          <t>2025-02-12 (정정: 2026-03-03)</t>
        </is>
      </c>
      <c r="B63" s="3" t="inlineStr">
        <is>
          <t>씨케이솔루션</t>
        </is>
      </c>
      <c r="C63" s="2" t="inlineStr">
        <is>
          <t>코스피</t>
        </is>
      </c>
      <c r="D63" s="2" t="inlineStr">
        <is>
          <t>480370</t>
        </is>
      </c>
      <c r="E63" s="2" t="inlineStr">
        <is>
          <t>무상증자</t>
        </is>
      </c>
      <c r="F63" s="3" t="inlineStr">
        <is>
          <t>[기재정정]주요사항보고서(무상증자결정)</t>
        </is>
      </c>
      <c r="G63" s="5" t="inlineStr"/>
      <c r="H63" s="5" t="inlineStr"/>
      <c r="I63" s="2" t="inlineStr">
        <is>
          <t>-</t>
        </is>
      </c>
      <c r="J63" s="6" t="inlineStr"/>
      <c r="K63" s="2" t="inlineStr">
        <is>
          <t>-</t>
        </is>
      </c>
      <c r="L63" s="2" t="inlineStr">
        <is>
          <t>-</t>
        </is>
      </c>
      <c r="M63" s="2" t="inlineStr">
        <is>
          <t>-</t>
        </is>
      </c>
      <c r="N63" s="2" t="inlineStr">
        <is>
          <t>-</t>
        </is>
      </c>
      <c r="O63" s="3" t="inlineStr"/>
      <c r="P63" s="7" t="inlineStr">
        <is>
          <t>-</t>
        </is>
      </c>
      <c r="Q63" s="2" t="inlineStr">
        <is>
          <t>-</t>
        </is>
      </c>
      <c r="R63" s="2" t="inlineStr">
        <is>
          <t>-</t>
        </is>
      </c>
      <c r="S63" s="2" t="inlineStr">
        <is>
          <t>20260303001113</t>
        </is>
      </c>
      <c r="T63" s="8">
        <f>HYPERLINK("https://dart.fss.or.kr/dsaf001/main.do?rcpNo=20260303001113", "공시열람")</f>
        <v/>
      </c>
    </row>
    <row r="64" ht="36" customHeight="1">
      <c r="A64" s="2" t="inlineStr">
        <is>
          <t>2026-02-10 (정정: 2026-03-03)</t>
        </is>
      </c>
      <c r="B64" s="3" t="inlineStr">
        <is>
          <t>오리엔트정공</t>
        </is>
      </c>
      <c r="C64" s="2" t="inlineStr">
        <is>
          <t>코스닥</t>
        </is>
      </c>
      <c r="D64" s="2" t="inlineStr">
        <is>
          <t>065500</t>
        </is>
      </c>
      <c r="E64" s="9" t="inlineStr">
        <is>
          <t>유상증자</t>
        </is>
      </c>
      <c r="F64" s="3" t="inlineStr">
        <is>
          <t>[기재정정]주요사항보고서(유상증자결정)</t>
        </is>
      </c>
      <c r="G64" s="5" t="n">
        <v>3138</v>
      </c>
      <c r="H64" s="5" t="n">
        <v>2092</v>
      </c>
      <c r="I64" s="2" t="inlineStr">
        <is>
          <t>보통주식</t>
        </is>
      </c>
      <c r="J64" s="6" t="n">
        <v>1500000</v>
      </c>
      <c r="K64" s="2" t="inlineStr">
        <is>
          <t>2026-02-23</t>
        </is>
      </c>
      <c r="L64" s="2" t="inlineStr">
        <is>
          <t>2026-03-31</t>
        </is>
      </c>
      <c r="M64" s="2" t="inlineStr">
        <is>
          <t>-</t>
        </is>
      </c>
      <c r="N64" s="2" t="inlineStr">
        <is>
          <t>-</t>
        </is>
      </c>
      <c r="O64" s="10" t="n">
        <v>4.725464380835633</v>
      </c>
      <c r="P64" s="7" t="inlineStr">
        <is>
          <t>기타자금 (3,138원)</t>
        </is>
      </c>
      <c r="Q64" s="2" t="inlineStr">
        <is>
          <t>-</t>
        </is>
      </c>
      <c r="R64" s="2" t="inlineStr">
        <is>
          <t>-</t>
        </is>
      </c>
      <c r="S64" s="2" t="inlineStr">
        <is>
          <t>20260303000607</t>
        </is>
      </c>
      <c r="T64" s="8">
        <f>HYPERLINK("https://dart.fss.or.kr/dsaf001/main.do?rcpNo=20260303000607", "공시열람")</f>
        <v/>
      </c>
    </row>
    <row r="65" ht="36" customHeight="1">
      <c r="A65" s="2" t="inlineStr">
        <is>
          <t>2026-03-03 (정정: 2026-06-02)</t>
        </is>
      </c>
      <c r="B65" s="3" t="inlineStr">
        <is>
          <t>형지I&amp;C</t>
        </is>
      </c>
      <c r="C65" s="2" t="inlineStr">
        <is>
          <t>코스닥</t>
        </is>
      </c>
      <c r="D65" s="2" t="inlineStr">
        <is>
          <t>011080</t>
        </is>
      </c>
      <c r="E65" s="9" t="inlineStr">
        <is>
          <t>유상증자</t>
        </is>
      </c>
      <c r="F65" s="3" t="inlineStr">
        <is>
          <t>주요사항보고서(유상증자결정) (정정: 20260602)</t>
        </is>
      </c>
      <c r="G65" s="5" t="n">
        <v>10760000000</v>
      </c>
      <c r="H65" s="5" t="inlineStr"/>
      <c r="I65" s="2" t="inlineStr">
        <is>
          <t>보통주식</t>
        </is>
      </c>
      <c r="J65" s="6" t="n">
        <v>2800000</v>
      </c>
      <c r="K65" s="2" t="inlineStr">
        <is>
          <t>2026-07-20</t>
        </is>
      </c>
      <c r="L65" s="2" t="inlineStr">
        <is>
          <t>2026-07-30</t>
        </is>
      </c>
      <c r="M65" s="2" t="inlineStr">
        <is>
          <t>-</t>
        </is>
      </c>
      <c r="N65" s="2" t="inlineStr">
        <is>
          <t>-</t>
        </is>
      </c>
      <c r="O65" s="10" t="n">
        <v>65.17293405290459</v>
      </c>
      <c r="P65" s="7" t="inlineStr">
        <is>
          <t>운영자금 (56.8억원), 채무상환자금 (50.8억원)</t>
        </is>
      </c>
      <c r="Q65" s="2" t="inlineStr">
        <is>
          <t>-</t>
        </is>
      </c>
      <c r="R65" s="2" t="inlineStr">
        <is>
          <t>-</t>
        </is>
      </c>
      <c r="S65" s="2" t="inlineStr">
        <is>
          <t>20260602000096</t>
        </is>
      </c>
      <c r="T65" s="8">
        <f>HYPERLINK("https://dart.fss.or.kr/dsaf001/main.do?rcpNo=20260602000096", "공시열람")</f>
        <v/>
      </c>
    </row>
    <row r="66" ht="36" customHeight="1">
      <c r="A66" s="2" t="inlineStr">
        <is>
          <t>2026-03-03 (정정: 2026-03-13)</t>
        </is>
      </c>
      <c r="B66" s="3" t="inlineStr">
        <is>
          <t>유일에너테크</t>
        </is>
      </c>
      <c r="C66" s="2" t="inlineStr">
        <is>
          <t>코스닥</t>
        </is>
      </c>
      <c r="D66" s="2" t="inlineStr">
        <is>
          <t>340930</t>
        </is>
      </c>
      <c r="E66" s="9" t="inlineStr">
        <is>
          <t>유상증자</t>
        </is>
      </c>
      <c r="F66" s="3" t="inlineStr">
        <is>
          <t>주요사항보고서(유상증자결정) (정정: 20260306) (정정: 20260313)</t>
        </is>
      </c>
      <c r="G66" s="5" t="n">
        <v>999</v>
      </c>
      <c r="H66" s="5" t="n">
        <v>980</v>
      </c>
      <c r="I66" s="2" t="inlineStr">
        <is>
          <t>보통주식</t>
        </is>
      </c>
      <c r="J66" s="6" t="n">
        <v>2040816</v>
      </c>
      <c r="K66" s="2" t="inlineStr">
        <is>
          <t>2026-03-19</t>
        </is>
      </c>
      <c r="L66" s="2" t="inlineStr">
        <is>
          <t>2026-04-03</t>
        </is>
      </c>
      <c r="M66" s="2" t="inlineStr">
        <is>
          <t>-</t>
        </is>
      </c>
      <c r="N66" s="2" t="inlineStr">
        <is>
          <t>-</t>
        </is>
      </c>
      <c r="O66" s="10" t="n">
        <v>2.963038461195034</v>
      </c>
      <c r="P66" s="7" t="inlineStr">
        <is>
          <t>운영자금 (999원)</t>
        </is>
      </c>
      <c r="Q66" s="2" t="inlineStr">
        <is>
          <t>-</t>
        </is>
      </c>
      <c r="R66" s="2" t="inlineStr">
        <is>
          <t>-</t>
        </is>
      </c>
      <c r="S66" s="2" t="inlineStr">
        <is>
          <t>20260313001311</t>
        </is>
      </c>
      <c r="T66" s="8">
        <f>HYPERLINK("https://dart.fss.or.kr/dsaf001/main.do?rcpNo=20260313001311", "공시열람")</f>
        <v/>
      </c>
    </row>
    <row r="67" ht="36" customHeight="1">
      <c r="A67" s="2" t="inlineStr">
        <is>
          <t>2026-02-03 (정정: 2026-03-03)</t>
        </is>
      </c>
      <c r="B67" s="3" t="inlineStr">
        <is>
          <t>셀레믹스</t>
        </is>
      </c>
      <c r="C67" s="2" t="inlineStr">
        <is>
          <t>코스닥</t>
        </is>
      </c>
      <c r="D67" s="2" t="inlineStr">
        <is>
          <t>331920</t>
        </is>
      </c>
      <c r="E67" s="11" t="inlineStr">
        <is>
          <t>전환사채(CB)</t>
        </is>
      </c>
      <c r="F67" s="3" t="inlineStr">
        <is>
          <t>[기재정정]주요사항보고서(전환사채권발행결정)</t>
        </is>
      </c>
      <c r="G67" s="5" t="inlineStr"/>
      <c r="H67" s="5" t="inlineStr"/>
      <c r="I67" s="2" t="inlineStr">
        <is>
          <t>-</t>
        </is>
      </c>
      <c r="J67" s="6" t="inlineStr"/>
      <c r="K67" s="2" t="inlineStr">
        <is>
          <t>-</t>
        </is>
      </c>
      <c r="L67" s="2" t="inlineStr">
        <is>
          <t>-</t>
        </is>
      </c>
      <c r="M67" s="2" t="inlineStr">
        <is>
          <t>2027-02-27</t>
        </is>
      </c>
      <c r="N67" s="2" t="inlineStr">
        <is>
          <t>2029-01-27</t>
        </is>
      </c>
      <c r="O67" s="3" t="inlineStr"/>
      <c r="P67" s="7" t="inlineStr">
        <is>
          <t>-</t>
        </is>
      </c>
      <c r="Q67" s="2" t="inlineStr">
        <is>
          <t>-</t>
        </is>
      </c>
      <c r="R67" s="2" t="inlineStr">
        <is>
          <t>2028-02-27</t>
        </is>
      </c>
      <c r="S67" s="2" t="inlineStr">
        <is>
          <t>20260227008947</t>
        </is>
      </c>
      <c r="T67" s="8">
        <f>HYPERLINK("https://dart.fss.or.kr/dsaf001/main.do?rcpNo=20260227008947", "공시열람")</f>
        <v/>
      </c>
    </row>
    <row r="68" ht="36" customHeight="1">
      <c r="A68" s="2" t="inlineStr">
        <is>
          <t>2025-07-31 (정정: 2026-03-04)</t>
        </is>
      </c>
      <c r="B68" s="3" t="inlineStr">
        <is>
          <t>대양금속</t>
        </is>
      </c>
      <c r="C68" s="2" t="inlineStr">
        <is>
          <t>코스피</t>
        </is>
      </c>
      <c r="D68" s="2" t="inlineStr">
        <is>
          <t>009190</t>
        </is>
      </c>
      <c r="E68" s="11" t="inlineStr">
        <is>
          <t>전환사채(CB)</t>
        </is>
      </c>
      <c r="F68" s="3" t="inlineStr">
        <is>
          <t>[기재정정]주요사항보고서(전환사채권발행결정)</t>
        </is>
      </c>
      <c r="G68" s="5" t="inlineStr"/>
      <c r="H68" s="5" t="inlineStr"/>
      <c r="I68" s="2" t="inlineStr">
        <is>
          <t>-</t>
        </is>
      </c>
      <c r="J68" s="6" t="inlineStr"/>
      <c r="K68" s="2" t="inlineStr">
        <is>
          <t>-</t>
        </is>
      </c>
      <c r="L68" s="2" t="inlineStr">
        <is>
          <t>-</t>
        </is>
      </c>
      <c r="M68" s="2" t="inlineStr">
        <is>
          <t>2027-03-20</t>
        </is>
      </c>
      <c r="N68" s="2" t="inlineStr">
        <is>
          <t>2029-02-20</t>
        </is>
      </c>
      <c r="O68" s="3" t="inlineStr"/>
      <c r="P68" s="7" t="inlineStr">
        <is>
          <t>-</t>
        </is>
      </c>
      <c r="Q68" s="2" t="inlineStr">
        <is>
          <t>2026-03-04</t>
        </is>
      </c>
      <c r="R68" s="2" t="inlineStr">
        <is>
          <t>2027-01-03</t>
        </is>
      </c>
      <c r="S68" s="2" t="inlineStr">
        <is>
          <t>20260304001689</t>
        </is>
      </c>
      <c r="T68" s="8">
        <f>HYPERLINK("https://dart.fss.or.kr/dsaf001/main.do?rcpNo=20260304001689", "공시열람")</f>
        <v/>
      </c>
    </row>
    <row r="69" ht="36" customHeight="1">
      <c r="A69" s="2" t="inlineStr">
        <is>
          <t>2026-03-04</t>
        </is>
      </c>
      <c r="B69" s="3" t="inlineStr">
        <is>
          <t>알엔투테크놀로지</t>
        </is>
      </c>
      <c r="C69" s="2" t="inlineStr">
        <is>
          <t>코스닥</t>
        </is>
      </c>
      <c r="D69" s="2" t="inlineStr">
        <is>
          <t>148250</t>
        </is>
      </c>
      <c r="E69" s="11" t="inlineStr">
        <is>
          <t>전환사채(CB)</t>
        </is>
      </c>
      <c r="F69" s="3" t="inlineStr">
        <is>
          <t>[첨부정정]주요사항보고서(전환사채권발행결정)</t>
        </is>
      </c>
      <c r="G69" s="5" t="inlineStr"/>
      <c r="H69" s="5" t="inlineStr"/>
      <c r="I69" s="2" t="inlineStr">
        <is>
          <t>-</t>
        </is>
      </c>
      <c r="J69" s="6" t="inlineStr"/>
      <c r="K69" s="2" t="inlineStr">
        <is>
          <t>-</t>
        </is>
      </c>
      <c r="L69" s="2" t="inlineStr">
        <is>
          <t>-</t>
        </is>
      </c>
      <c r="M69" s="2" t="inlineStr">
        <is>
          <t>-</t>
        </is>
      </c>
      <c r="N69" s="2" t="inlineStr">
        <is>
          <t>-</t>
        </is>
      </c>
      <c r="O69" s="3" t="inlineStr"/>
      <c r="P69" s="7" t="inlineStr">
        <is>
          <t>-</t>
        </is>
      </c>
      <c r="Q69" s="2" t="inlineStr">
        <is>
          <t>-</t>
        </is>
      </c>
      <c r="R69" s="2" t="inlineStr">
        <is>
          <t>-</t>
        </is>
      </c>
      <c r="S69" s="2" t="inlineStr">
        <is>
          <t>20260304001586</t>
        </is>
      </c>
      <c r="T69" s="8">
        <f>HYPERLINK("https://dart.fss.or.kr/dsaf001/main.do?rcpNo=20260304001586", "공시열람")</f>
        <v/>
      </c>
    </row>
    <row r="70" ht="36" customHeight="1">
      <c r="A70" s="2" t="inlineStr">
        <is>
          <t>2025-11-24 (정정: 2026-03-04)</t>
        </is>
      </c>
      <c r="B70" s="3" t="inlineStr">
        <is>
          <t>한화에어로스페이스</t>
        </is>
      </c>
      <c r="C70" s="2" t="inlineStr">
        <is>
          <t>코스피</t>
        </is>
      </c>
      <c r="D70" s="2" t="inlineStr">
        <is>
          <t>012450</t>
        </is>
      </c>
      <c r="E70" s="9" t="inlineStr">
        <is>
          <t>유상증자</t>
        </is>
      </c>
      <c r="F70" s="3" t="inlineStr">
        <is>
          <t xml:space="preserve">[기재정정]유상증자결정(종속회사의주요경영사항)              </t>
        </is>
      </c>
      <c r="G70" s="5" t="n">
        <v>502000000000</v>
      </c>
      <c r="H70" s="5" t="n">
        <v>502000000000</v>
      </c>
      <c r="I70" s="2" t="inlineStr">
        <is>
          <t>보통주식</t>
        </is>
      </c>
      <c r="J70" s="6" t="n">
        <v>3410</v>
      </c>
      <c r="K70" s="2" t="inlineStr">
        <is>
          <t>2026-03-04</t>
        </is>
      </c>
      <c r="L70" s="2" t="inlineStr">
        <is>
          <t>-</t>
        </is>
      </c>
      <c r="M70" s="2" t="inlineStr">
        <is>
          <t>-</t>
        </is>
      </c>
      <c r="N70" s="2" t="inlineStr">
        <is>
          <t>-</t>
        </is>
      </c>
      <c r="O70" s="10" t="n">
        <v>67.32477788746299</v>
      </c>
      <c r="P70" s="7" t="inlineStr">
        <is>
          <t>타법인증권취득자금 (5020.0억원)</t>
        </is>
      </c>
      <c r="Q70" s="2" t="inlineStr">
        <is>
          <t>-</t>
        </is>
      </c>
      <c r="R70" s="2" t="inlineStr">
        <is>
          <t>-</t>
        </is>
      </c>
      <c r="S70" s="2" t="inlineStr">
        <is>
          <t>20260304801517</t>
        </is>
      </c>
      <c r="T70" s="8">
        <f>HYPERLINK("https://dart.fss.or.kr/dsaf001/main.do?rcpNo=20260304801517", "공시열람")</f>
        <v/>
      </c>
    </row>
    <row r="71" ht="36" customHeight="1">
      <c r="A71" s="2" t="inlineStr">
        <is>
          <t>2025-04-15 (정정: 2026-03-04)</t>
        </is>
      </c>
      <c r="B71" s="3" t="inlineStr">
        <is>
          <t>엑시온그룹</t>
        </is>
      </c>
      <c r="C71" s="2" t="inlineStr">
        <is>
          <t>코스닥</t>
        </is>
      </c>
      <c r="D71" s="2" t="inlineStr">
        <is>
          <t>069920</t>
        </is>
      </c>
      <c r="E71" s="9" t="inlineStr">
        <is>
          <t>유상증자</t>
        </is>
      </c>
      <c r="F71" s="3" t="inlineStr">
        <is>
          <t>[기재정정]주요사항보고서(유상증자결정)</t>
        </is>
      </c>
      <c r="G71" s="5" t="n">
        <v>16002</v>
      </c>
      <c r="H71" s="5" t="n">
        <v>1119</v>
      </c>
      <c r="I71" s="2" t="inlineStr">
        <is>
          <t>보통주식</t>
        </is>
      </c>
      <c r="J71" s="6" t="n">
        <v>14300088</v>
      </c>
      <c r="K71" s="2" t="inlineStr">
        <is>
          <t>2026-04-30</t>
        </is>
      </c>
      <c r="L71" s="2" t="inlineStr">
        <is>
          <t>2026-05-21</t>
        </is>
      </c>
      <c r="M71" s="2" t="inlineStr">
        <is>
          <t>-</t>
        </is>
      </c>
      <c r="N71" s="2" t="inlineStr">
        <is>
          <t>-</t>
        </is>
      </c>
      <c r="O71" s="10" t="n">
        <v>35.04651918888051</v>
      </c>
      <c r="P71" s="7" t="inlineStr">
        <is>
          <t>운영자금 (13,002원), 기타자금 (3,000원)</t>
        </is>
      </c>
      <c r="Q71" s="2" t="inlineStr">
        <is>
          <t>-</t>
        </is>
      </c>
      <c r="R71" s="2" t="inlineStr">
        <is>
          <t>-</t>
        </is>
      </c>
      <c r="S71" s="2" t="inlineStr">
        <is>
          <t>20260304001528</t>
        </is>
      </c>
      <c r="T71" s="8">
        <f>HYPERLINK("https://dart.fss.or.kr/dsaf001/main.do?rcpNo=20260304001528", "공시열람")</f>
        <v/>
      </c>
    </row>
    <row r="72" ht="36" customHeight="1">
      <c r="A72" s="2" t="inlineStr">
        <is>
          <t>2026-02-06 (정정: 2026-03-04)</t>
        </is>
      </c>
      <c r="B72" s="3" t="inlineStr">
        <is>
          <t>유한양행</t>
        </is>
      </c>
      <c r="C72" s="2" t="inlineStr">
        <is>
          <t>코스피</t>
        </is>
      </c>
      <c r="D72" s="2" t="inlineStr">
        <is>
          <t>000100</t>
        </is>
      </c>
      <c r="E72" s="9" t="inlineStr">
        <is>
          <t>유상증자</t>
        </is>
      </c>
      <c r="F72" s="3" t="inlineStr">
        <is>
          <t xml:space="preserve">[기재정정]유상증자결정(종속회사의주요경영사항)              </t>
        </is>
      </c>
      <c r="G72" s="5" t="n">
        <v>119999326000</v>
      </c>
      <c r="H72" s="5" t="inlineStr"/>
      <c r="I72" s="2" t="inlineStr">
        <is>
          <t>보통주식</t>
        </is>
      </c>
      <c r="J72" s="6" t="n">
        <v>16830200</v>
      </c>
      <c r="K72" s="2" t="inlineStr">
        <is>
          <t>2026-05-21</t>
        </is>
      </c>
      <c r="L72" s="2" t="inlineStr">
        <is>
          <t>-</t>
        </is>
      </c>
      <c r="M72" s="2" t="inlineStr">
        <is>
          <t>-</t>
        </is>
      </c>
      <c r="N72" s="2" t="inlineStr">
        <is>
          <t>-</t>
        </is>
      </c>
      <c r="O72" s="10" t="n">
        <v>22.63223966049408</v>
      </c>
      <c r="P72" s="7" t="inlineStr">
        <is>
          <t>운영자금 (1200.0억원)</t>
        </is>
      </c>
      <c r="Q72" s="2" t="inlineStr">
        <is>
          <t>-</t>
        </is>
      </c>
      <c r="R72" s="2" t="inlineStr">
        <is>
          <t>-</t>
        </is>
      </c>
      <c r="S72" s="2" t="inlineStr">
        <is>
          <t>20260304801500</t>
        </is>
      </c>
      <c r="T72" s="8">
        <f>HYPERLINK("https://dart.fss.or.kr/dsaf001/main.do?rcpNo=20260304801500", "공시열람")</f>
        <v/>
      </c>
    </row>
    <row r="73" ht="36" customHeight="1">
      <c r="A73" s="2" t="inlineStr">
        <is>
          <t>2025-09-23 (정정: 2026-03-04)</t>
        </is>
      </c>
      <c r="B73" s="3" t="inlineStr">
        <is>
          <t>진원생명과학</t>
        </is>
      </c>
      <c r="C73" s="2" t="inlineStr">
        <is>
          <t>코스피</t>
        </is>
      </c>
      <c r="D73" s="2" t="inlineStr">
        <is>
          <t>011000</t>
        </is>
      </c>
      <c r="E73" s="9" t="inlineStr">
        <is>
          <t>유상증자</t>
        </is>
      </c>
      <c r="F73" s="3" t="inlineStr">
        <is>
          <t>[기재정정]주요사항보고서(유상증자결정)</t>
        </is>
      </c>
      <c r="G73" s="5" t="n">
        <v>8100</v>
      </c>
      <c r="H73" s="5" t="n">
        <v>1480</v>
      </c>
      <c r="I73" s="2" t="inlineStr">
        <is>
          <t>보통주식</t>
        </is>
      </c>
      <c r="J73" s="6" t="n">
        <v>10945942</v>
      </c>
      <c r="K73" s="2" t="inlineStr">
        <is>
          <t>2026-03-04</t>
        </is>
      </c>
      <c r="L73" s="2" t="inlineStr">
        <is>
          <t>2026-03-17</t>
        </is>
      </c>
      <c r="M73" s="2" t="inlineStr">
        <is>
          <t>-</t>
        </is>
      </c>
      <c r="N73" s="2" t="inlineStr">
        <is>
          <t>-</t>
        </is>
      </c>
      <c r="O73" s="10" t="n">
        <v>12.8157712236197</v>
      </c>
      <c r="P73" s="7" t="inlineStr">
        <is>
          <t>운영자금 (8,100원)</t>
        </is>
      </c>
      <c r="Q73" s="2" t="inlineStr">
        <is>
          <t>-</t>
        </is>
      </c>
      <c r="R73" s="2" t="inlineStr">
        <is>
          <t>-</t>
        </is>
      </c>
      <c r="S73" s="2" t="inlineStr">
        <is>
          <t>20260304001422</t>
        </is>
      </c>
      <c r="T73" s="8">
        <f>HYPERLINK("https://dart.fss.or.kr/dsaf001/main.do?rcpNo=20260304001422", "공시열람")</f>
        <v/>
      </c>
    </row>
    <row r="74" ht="36" customHeight="1">
      <c r="A74" s="2" t="inlineStr">
        <is>
          <t>2025-11-24 (정정: 2026-03-04)</t>
        </is>
      </c>
      <c r="B74" s="3" t="inlineStr">
        <is>
          <t>한화오션</t>
        </is>
      </c>
      <c r="C74" s="2" t="inlineStr">
        <is>
          <t>코스피</t>
        </is>
      </c>
      <c r="D74" s="2" t="inlineStr">
        <is>
          <t>042660</t>
        </is>
      </c>
      <c r="E74" s="9" t="inlineStr">
        <is>
          <t>유상증자</t>
        </is>
      </c>
      <c r="F74" s="3" t="inlineStr">
        <is>
          <t xml:space="preserve">[기재정정]유상증자결정(종속회사의주요경영사항)              </t>
        </is>
      </c>
      <c r="G74" s="5" t="n">
        <v>502000000000</v>
      </c>
      <c r="H74" s="5" t="n">
        <v>502000000000</v>
      </c>
      <c r="I74" s="2" t="inlineStr">
        <is>
          <t>보통주식</t>
        </is>
      </c>
      <c r="J74" s="6" t="n">
        <v>3410</v>
      </c>
      <c r="K74" s="2" t="inlineStr">
        <is>
          <t>2026-03-04</t>
        </is>
      </c>
      <c r="L74" s="2" t="inlineStr">
        <is>
          <t>-</t>
        </is>
      </c>
      <c r="M74" s="2" t="inlineStr">
        <is>
          <t>-</t>
        </is>
      </c>
      <c r="N74" s="2" t="inlineStr">
        <is>
          <t>-</t>
        </is>
      </c>
      <c r="O74" s="10" t="n">
        <v>67.32477788746299</v>
      </c>
      <c r="P74" s="7" t="inlineStr">
        <is>
          <t>타법인증권취득자금 (5020.0억원)</t>
        </is>
      </c>
      <c r="Q74" s="2" t="inlineStr">
        <is>
          <t>-</t>
        </is>
      </c>
      <c r="R74" s="2" t="inlineStr">
        <is>
          <t>-</t>
        </is>
      </c>
      <c r="S74" s="2" t="inlineStr">
        <is>
          <t>20260304801301</t>
        </is>
      </c>
      <c r="T74" s="8">
        <f>HYPERLINK("https://dart.fss.or.kr/dsaf001/main.do?rcpNo=20260304801301", "공시열람")</f>
        <v/>
      </c>
    </row>
    <row r="75" ht="36" customHeight="1">
      <c r="A75" s="2" t="inlineStr">
        <is>
          <t>2026-02-06 (정정: 2026-03-04)</t>
        </is>
      </c>
      <c r="B75" s="3" t="inlineStr">
        <is>
          <t>이뮨온시아</t>
        </is>
      </c>
      <c r="C75" s="2" t="inlineStr">
        <is>
          <t>코스닥</t>
        </is>
      </c>
      <c r="D75" s="2" t="inlineStr">
        <is>
          <t>424870</t>
        </is>
      </c>
      <c r="E75" s="9" t="inlineStr">
        <is>
          <t>유상증자</t>
        </is>
      </c>
      <c r="F75" s="3" t="inlineStr">
        <is>
          <t>[기재정정]주요사항보고서(유상증자결정)</t>
        </is>
      </c>
      <c r="G75" s="5" t="n">
        <v>119999326000</v>
      </c>
      <c r="H75" s="5" t="inlineStr"/>
      <c r="I75" s="2" t="inlineStr">
        <is>
          <t>보통주식</t>
        </is>
      </c>
      <c r="J75" s="6" t="n">
        <v>90995269</v>
      </c>
      <c r="K75" s="2" t="inlineStr">
        <is>
          <t>2026-05-21</t>
        </is>
      </c>
      <c r="L75" s="2" t="inlineStr">
        <is>
          <t>2026-06-08</t>
        </is>
      </c>
      <c r="M75" s="2" t="inlineStr">
        <is>
          <t>-</t>
        </is>
      </c>
      <c r="N75" s="2" t="inlineStr">
        <is>
          <t>-</t>
        </is>
      </c>
      <c r="O75" s="10" t="n">
        <v>122.3649591792806</v>
      </c>
      <c r="P75" s="7" t="inlineStr">
        <is>
          <t>운영자금 (1200.0억원)</t>
        </is>
      </c>
      <c r="Q75" s="2" t="inlineStr">
        <is>
          <t>-</t>
        </is>
      </c>
      <c r="R75" s="2" t="inlineStr">
        <is>
          <t>-</t>
        </is>
      </c>
      <c r="S75" s="2" t="inlineStr">
        <is>
          <t>20260304001170</t>
        </is>
      </c>
      <c r="T75" s="8">
        <f>HYPERLINK("https://dart.fss.or.kr/dsaf001/main.do?rcpNo=20260304001170", "공시열람")</f>
        <v/>
      </c>
    </row>
    <row r="76" ht="36" customHeight="1">
      <c r="A76" s="2" t="inlineStr">
        <is>
          <t>2026-03-04</t>
        </is>
      </c>
      <c r="B76" s="3" t="inlineStr">
        <is>
          <t>오텍</t>
        </is>
      </c>
      <c r="C76" s="2" t="inlineStr">
        <is>
          <t>코스닥</t>
        </is>
      </c>
      <c r="D76" s="2" t="inlineStr">
        <is>
          <t>067170</t>
        </is>
      </c>
      <c r="E76" s="9" t="inlineStr">
        <is>
          <t>유상증자</t>
        </is>
      </c>
      <c r="F76" s="3" t="inlineStr">
        <is>
          <t xml:space="preserve">유상증자결정(종속회사의주요경영사항)              </t>
        </is>
      </c>
      <c r="G76" s="5" t="n">
        <v>15516000000</v>
      </c>
      <c r="H76" s="5" t="n">
        <v>5000</v>
      </c>
      <c r="I76" s="2" t="inlineStr">
        <is>
          <t>보통주식</t>
        </is>
      </c>
      <c r="J76" s="6" t="n">
        <v>3103200</v>
      </c>
      <c r="K76" s="2" t="inlineStr">
        <is>
          <t>2026-03-05</t>
        </is>
      </c>
      <c r="L76" s="2" t="inlineStr">
        <is>
          <t>-</t>
        </is>
      </c>
      <c r="M76" s="2" t="inlineStr">
        <is>
          <t>-</t>
        </is>
      </c>
      <c r="N76" s="2" t="inlineStr">
        <is>
          <t>-</t>
        </is>
      </c>
      <c r="O76" s="10" t="n">
        <v>76.00666209464093</v>
      </c>
      <c r="P76" s="7" t="inlineStr">
        <is>
          <t>운영자금 (55.2억원), 채무상환자금 (100.0억원)</t>
        </is>
      </c>
      <c r="Q76" s="2" t="inlineStr">
        <is>
          <t>-</t>
        </is>
      </c>
      <c r="R76" s="2" t="inlineStr">
        <is>
          <t>-</t>
        </is>
      </c>
      <c r="S76" s="2" t="inlineStr">
        <is>
          <t>20260304901064</t>
        </is>
      </c>
      <c r="T76" s="8">
        <f>HYPERLINK("https://dart.fss.or.kr/dsaf001/main.do?rcpNo=20260304901064", "공시열람")</f>
        <v/>
      </c>
    </row>
    <row r="77" ht="36" customHeight="1">
      <c r="A77" s="2" t="inlineStr">
        <is>
          <t>2026-03-04</t>
        </is>
      </c>
      <c r="B77" s="3" t="inlineStr">
        <is>
          <t>플루토스</t>
        </is>
      </c>
      <c r="C77" s="2" t="inlineStr">
        <is>
          <t>코스닥</t>
        </is>
      </c>
      <c r="D77" s="2" t="inlineStr">
        <is>
          <t>019570</t>
        </is>
      </c>
      <c r="E77" s="2" t="inlineStr">
        <is>
          <t>기타</t>
        </is>
      </c>
      <c r="F77" s="3" t="inlineStr">
        <is>
          <t xml:space="preserve">전환사채(해외전환사채포함)발행후만기전사채취득              </t>
        </is>
      </c>
      <c r="G77" s="5" t="inlineStr"/>
      <c r="H77" s="5" t="inlineStr"/>
      <c r="I77" s="2" t="inlineStr">
        <is>
          <t>-</t>
        </is>
      </c>
      <c r="J77" s="6" t="inlineStr"/>
      <c r="K77" s="2" t="inlineStr">
        <is>
          <t>-</t>
        </is>
      </c>
      <c r="L77" s="2" t="inlineStr">
        <is>
          <t>-</t>
        </is>
      </c>
      <c r="M77" s="2" t="inlineStr">
        <is>
          <t>-</t>
        </is>
      </c>
      <c r="N77" s="2" t="inlineStr">
        <is>
          <t>-</t>
        </is>
      </c>
      <c r="O77" s="3" t="inlineStr"/>
      <c r="P77" s="7" t="inlineStr">
        <is>
          <t>-</t>
        </is>
      </c>
      <c r="Q77" s="2" t="inlineStr">
        <is>
          <t>-</t>
        </is>
      </c>
      <c r="R77" s="2" t="inlineStr">
        <is>
          <t>-</t>
        </is>
      </c>
      <c r="S77" s="2" t="inlineStr">
        <is>
          <t>20260304900982</t>
        </is>
      </c>
      <c r="T77" s="8">
        <f>HYPERLINK("https://dart.fss.or.kr/dsaf001/main.do?rcpNo=20260304900982", "공시열람")</f>
        <v/>
      </c>
    </row>
    <row r="78" ht="36" customHeight="1">
      <c r="A78" s="2" t="inlineStr">
        <is>
          <t>2026-03-04</t>
        </is>
      </c>
      <c r="B78" s="3" t="inlineStr">
        <is>
          <t>TJ미디어</t>
        </is>
      </c>
      <c r="C78" s="2" t="inlineStr">
        <is>
          <t>코스닥</t>
        </is>
      </c>
      <c r="D78" s="2" t="inlineStr">
        <is>
          <t>032540</t>
        </is>
      </c>
      <c r="E78" s="2" t="inlineStr">
        <is>
          <t>무상증자</t>
        </is>
      </c>
      <c r="F78" s="3" t="inlineStr">
        <is>
          <t>주요사항보고서(무상증자결정)</t>
        </is>
      </c>
      <c r="G78" s="5" t="inlineStr"/>
      <c r="H78" s="5" t="inlineStr"/>
      <c r="I78" s="2" t="inlineStr">
        <is>
          <t>-</t>
        </is>
      </c>
      <c r="J78" s="6" t="inlineStr"/>
      <c r="K78" s="2" t="inlineStr">
        <is>
          <t>-</t>
        </is>
      </c>
      <c r="L78" s="2" t="inlineStr">
        <is>
          <t>-</t>
        </is>
      </c>
      <c r="M78" s="2" t="inlineStr">
        <is>
          <t>-</t>
        </is>
      </c>
      <c r="N78" s="2" t="inlineStr">
        <is>
          <t>-</t>
        </is>
      </c>
      <c r="O78" s="3" t="inlineStr"/>
      <c r="P78" s="7" t="inlineStr">
        <is>
          <t>-</t>
        </is>
      </c>
      <c r="Q78" s="2" t="inlineStr">
        <is>
          <t>-</t>
        </is>
      </c>
      <c r="R78" s="2" t="inlineStr">
        <is>
          <t>-</t>
        </is>
      </c>
      <c r="S78" s="2" t="inlineStr">
        <is>
          <t>20260304000946</t>
        </is>
      </c>
      <c r="T78" s="8">
        <f>HYPERLINK("https://dart.fss.or.kr/dsaf001/main.do?rcpNo=20260304000946", "공시열람")</f>
        <v/>
      </c>
    </row>
    <row r="79" ht="36" customHeight="1">
      <c r="A79" s="2" t="inlineStr">
        <is>
          <t>2026-03-04</t>
        </is>
      </c>
      <c r="B79" s="3" t="inlineStr">
        <is>
          <t>스피어</t>
        </is>
      </c>
      <c r="C79" s="2" t="inlineStr">
        <is>
          <t>코스닥</t>
        </is>
      </c>
      <c r="D79" s="2" t="inlineStr">
        <is>
          <t>347700</t>
        </is>
      </c>
      <c r="E79" s="2" t="inlineStr">
        <is>
          <t>기타</t>
        </is>
      </c>
      <c r="F79" s="3" t="inlineStr">
        <is>
          <t xml:space="preserve">전환사채(해외전환사채포함)발행후만기전사채취득              </t>
        </is>
      </c>
      <c r="G79" s="5" t="inlineStr"/>
      <c r="H79" s="5" t="inlineStr"/>
      <c r="I79" s="2" t="inlineStr">
        <is>
          <t>-</t>
        </is>
      </c>
      <c r="J79" s="6" t="inlineStr"/>
      <c r="K79" s="2" t="inlineStr">
        <is>
          <t>-</t>
        </is>
      </c>
      <c r="L79" s="2" t="inlineStr">
        <is>
          <t>-</t>
        </is>
      </c>
      <c r="M79" s="2" t="inlineStr">
        <is>
          <t>-</t>
        </is>
      </c>
      <c r="N79" s="2" t="inlineStr">
        <is>
          <t>-</t>
        </is>
      </c>
      <c r="O79" s="3" t="inlineStr"/>
      <c r="P79" s="7" t="inlineStr">
        <is>
          <t>-</t>
        </is>
      </c>
      <c r="Q79" s="2" t="inlineStr">
        <is>
          <t>-</t>
        </is>
      </c>
      <c r="R79" s="2" t="inlineStr">
        <is>
          <t>-</t>
        </is>
      </c>
      <c r="S79" s="2" t="inlineStr">
        <is>
          <t>20260304900805</t>
        </is>
      </c>
      <c r="T79" s="8">
        <f>HYPERLINK("https://dart.fss.or.kr/dsaf001/main.do?rcpNo=20260304900805", "공시열람")</f>
        <v/>
      </c>
    </row>
    <row r="80" ht="36" customHeight="1">
      <c r="A80" s="2" t="inlineStr">
        <is>
          <t>2026-03-04 (정정: 2026-06-25)</t>
        </is>
      </c>
      <c r="B80" s="3" t="inlineStr">
        <is>
          <t>코아스</t>
        </is>
      </c>
      <c r="C80" s="2" t="inlineStr">
        <is>
          <t>코스피</t>
        </is>
      </c>
      <c r="D80" s="2" t="inlineStr">
        <is>
          <t>071950</t>
        </is>
      </c>
      <c r="E80" s="11" t="inlineStr">
        <is>
          <t>전환사채(CB)</t>
        </is>
      </c>
      <c r="F80" s="3" t="inlineStr">
        <is>
          <t>[기재정정]주요사항보고서(전환사채권발행결정) (정정: 20260528) (정정: 20260625)</t>
        </is>
      </c>
      <c r="G80" s="5" t="inlineStr"/>
      <c r="H80" s="5" t="inlineStr"/>
      <c r="I80" s="2" t="inlineStr">
        <is>
          <t>-</t>
        </is>
      </c>
      <c r="J80" s="6" t="inlineStr"/>
      <c r="K80" s="2" t="inlineStr">
        <is>
          <t>-</t>
        </is>
      </c>
      <c r="L80" s="2" t="inlineStr">
        <is>
          <t>-</t>
        </is>
      </c>
      <c r="M80" s="2" t="inlineStr">
        <is>
          <t>2027-07-24</t>
        </is>
      </c>
      <c r="N80" s="2" t="inlineStr">
        <is>
          <t>2029-06-24</t>
        </is>
      </c>
      <c r="O80" s="3" t="inlineStr"/>
      <c r="P80" s="7" t="inlineStr">
        <is>
          <t>-</t>
        </is>
      </c>
      <c r="Q80" s="2" t="inlineStr">
        <is>
          <t>2026-07-26</t>
        </is>
      </c>
      <c r="R80" s="2" t="inlineStr">
        <is>
          <t>-</t>
        </is>
      </c>
      <c r="S80" s="2" t="inlineStr">
        <is>
          <t>20260625000415</t>
        </is>
      </c>
      <c r="T80" s="8">
        <f>HYPERLINK("https://dart.fss.or.kr/dsaf001/main.do?rcpNo=20260625000415", "공시열람")</f>
        <v/>
      </c>
    </row>
    <row r="81" ht="36" customHeight="1">
      <c r="A81" s="2" t="inlineStr">
        <is>
          <t>2025-08-18 (정정: 2026-03-05)</t>
        </is>
      </c>
      <c r="B81" s="3" t="inlineStr">
        <is>
          <t>캐리</t>
        </is>
      </c>
      <c r="C81" s="2" t="inlineStr">
        <is>
          <t>코스닥</t>
        </is>
      </c>
      <c r="D81" s="2" t="inlineStr">
        <is>
          <t>313760</t>
        </is>
      </c>
      <c r="E81" s="9" t="inlineStr">
        <is>
          <t>유상증자</t>
        </is>
      </c>
      <c r="F81" s="3" t="inlineStr">
        <is>
          <t>[기재정정]주요사항보고서(유상증자결정)</t>
        </is>
      </c>
      <c r="G81" s="5" t="n">
        <v>9999</v>
      </c>
      <c r="H81" s="5" t="n">
        <v>500</v>
      </c>
      <c r="I81" s="2" t="inlineStr">
        <is>
          <t>보통주식</t>
        </is>
      </c>
      <c r="J81" s="6" t="n">
        <v>19999998</v>
      </c>
      <c r="K81" s="2" t="inlineStr">
        <is>
          <t>2026-03-13</t>
        </is>
      </c>
      <c r="L81" s="2" t="inlineStr">
        <is>
          <t>2026-04-02</t>
        </is>
      </c>
      <c r="M81" s="2" t="inlineStr">
        <is>
          <t>-</t>
        </is>
      </c>
      <c r="N81" s="2" t="inlineStr">
        <is>
          <t>-</t>
        </is>
      </c>
      <c r="O81" s="10" t="n">
        <v>178.4569114851846</v>
      </c>
      <c r="P81" s="7" t="inlineStr">
        <is>
          <t>운영자금 (9,999원)</t>
        </is>
      </c>
      <c r="Q81" s="2" t="inlineStr">
        <is>
          <t>-</t>
        </is>
      </c>
      <c r="R81" s="2" t="inlineStr">
        <is>
          <t>-</t>
        </is>
      </c>
      <c r="S81" s="2" t="inlineStr">
        <is>
          <t>20260305001453</t>
        </is>
      </c>
      <c r="T81" s="8">
        <f>HYPERLINK("https://dart.fss.or.kr/dsaf001/main.do?rcpNo=20260305001453", "공시열람")</f>
        <v/>
      </c>
    </row>
    <row r="82" ht="36" customHeight="1">
      <c r="A82" s="2" t="inlineStr">
        <is>
          <t>2026-03-05 (정정: 2026-05-26)</t>
        </is>
      </c>
      <c r="B82" s="3" t="inlineStr">
        <is>
          <t>푸드나무</t>
        </is>
      </c>
      <c r="C82" s="2" t="inlineStr">
        <is>
          <t>코스닥</t>
        </is>
      </c>
      <c r="D82" s="2" t="inlineStr">
        <is>
          <t>290720</t>
        </is>
      </c>
      <c r="E82" s="9" t="inlineStr">
        <is>
          <t>유상증자</t>
        </is>
      </c>
      <c r="F82" s="3" t="inlineStr">
        <is>
          <t>[기재정정]주요사항보고서(유상증자결정) (정정: 20260526)</t>
        </is>
      </c>
      <c r="G82" s="5" t="n">
        <v>1000</v>
      </c>
      <c r="H82" s="5" t="n">
        <v>2962</v>
      </c>
      <c r="I82" s="2" t="inlineStr">
        <is>
          <t>보통주식</t>
        </is>
      </c>
      <c r="J82" s="6" t="n">
        <v>337609</v>
      </c>
      <c r="K82" s="2" t="inlineStr">
        <is>
          <t>2026-05-18</t>
        </is>
      </c>
      <c r="L82" s="2" t="inlineStr">
        <is>
          <t>2026-06-05</t>
        </is>
      </c>
      <c r="M82" s="2" t="inlineStr">
        <is>
          <t>-</t>
        </is>
      </c>
      <c r="N82" s="2" t="inlineStr">
        <is>
          <t>-</t>
        </is>
      </c>
      <c r="O82" s="10" t="n">
        <v>0.9612426258056812</v>
      </c>
      <c r="P82" s="7" t="inlineStr">
        <is>
          <t>운영자금 (1,000원)</t>
        </is>
      </c>
      <c r="Q82" s="2" t="inlineStr">
        <is>
          <t>-</t>
        </is>
      </c>
      <c r="R82" s="2" t="inlineStr">
        <is>
          <t>-</t>
        </is>
      </c>
      <c r="S82" s="2" t="inlineStr">
        <is>
          <t>20260526000346</t>
        </is>
      </c>
      <c r="T82" s="8">
        <f>HYPERLINK("https://dart.fss.or.kr/dsaf001/main.do?rcpNo=20260526000346", "공시열람")</f>
        <v/>
      </c>
    </row>
    <row r="83" ht="36" customHeight="1">
      <c r="A83" s="2" t="inlineStr">
        <is>
          <t>2026-03-05</t>
        </is>
      </c>
      <c r="B83" s="3" t="inlineStr">
        <is>
          <t>HLB파나진</t>
        </is>
      </c>
      <c r="C83" s="2" t="inlineStr">
        <is>
          <t>코스닥</t>
        </is>
      </c>
      <c r="D83" s="2" t="inlineStr">
        <is>
          <t>046210</t>
        </is>
      </c>
      <c r="E83" s="2" t="inlineStr">
        <is>
          <t>기타</t>
        </is>
      </c>
      <c r="F83" s="3" t="inlineStr">
        <is>
          <t xml:space="preserve">전환사채(해외전환사채포함)발행후만기전사채취득              </t>
        </is>
      </c>
      <c r="G83" s="5" t="inlineStr"/>
      <c r="H83" s="5" t="inlineStr"/>
      <c r="I83" s="2" t="inlineStr">
        <is>
          <t>-</t>
        </is>
      </c>
      <c r="J83" s="6" t="inlineStr"/>
      <c r="K83" s="2" t="inlineStr">
        <is>
          <t>-</t>
        </is>
      </c>
      <c r="L83" s="2" t="inlineStr">
        <is>
          <t>-</t>
        </is>
      </c>
      <c r="M83" s="2" t="inlineStr">
        <is>
          <t>-</t>
        </is>
      </c>
      <c r="N83" s="2" t="inlineStr">
        <is>
          <t>-</t>
        </is>
      </c>
      <c r="O83" s="3" t="inlineStr"/>
      <c r="P83" s="7" t="inlineStr">
        <is>
          <t>-</t>
        </is>
      </c>
      <c r="Q83" s="2" t="inlineStr">
        <is>
          <t>-</t>
        </is>
      </c>
      <c r="R83" s="2" t="inlineStr">
        <is>
          <t>-</t>
        </is>
      </c>
      <c r="S83" s="2" t="inlineStr">
        <is>
          <t>20260305901537</t>
        </is>
      </c>
      <c r="T83" s="8">
        <f>HYPERLINK("https://dart.fss.or.kr/dsaf001/main.do?rcpNo=20260305901537", "공시열람")</f>
        <v/>
      </c>
    </row>
    <row r="84" ht="36" customHeight="1">
      <c r="A84" s="2" t="inlineStr">
        <is>
          <t>2026-03-05</t>
        </is>
      </c>
      <c r="B84" s="3" t="inlineStr">
        <is>
          <t>HLB파나진</t>
        </is>
      </c>
      <c r="C84" s="2" t="inlineStr">
        <is>
          <t>코스닥</t>
        </is>
      </c>
      <c r="D84" s="2" t="inlineStr">
        <is>
          <t>046210</t>
        </is>
      </c>
      <c r="E84" s="2" t="inlineStr">
        <is>
          <t>기타</t>
        </is>
      </c>
      <c r="F84" s="3" t="inlineStr">
        <is>
          <t xml:space="preserve">전환사채(해외전환사채포함)발행후만기전사채취득              </t>
        </is>
      </c>
      <c r="G84" s="5" t="inlineStr"/>
      <c r="H84" s="5" t="inlineStr"/>
      <c r="I84" s="2" t="inlineStr">
        <is>
          <t>-</t>
        </is>
      </c>
      <c r="J84" s="6" t="inlineStr"/>
      <c r="K84" s="2" t="inlineStr">
        <is>
          <t>-</t>
        </is>
      </c>
      <c r="L84" s="2" t="inlineStr">
        <is>
          <t>-</t>
        </is>
      </c>
      <c r="M84" s="2" t="inlineStr">
        <is>
          <t>-</t>
        </is>
      </c>
      <c r="N84" s="2" t="inlineStr">
        <is>
          <t>-</t>
        </is>
      </c>
      <c r="O84" s="3" t="inlineStr"/>
      <c r="P84" s="7" t="inlineStr">
        <is>
          <t>-</t>
        </is>
      </c>
      <c r="Q84" s="2" t="inlineStr">
        <is>
          <t>-</t>
        </is>
      </c>
      <c r="R84" s="2" t="inlineStr">
        <is>
          <t>-</t>
        </is>
      </c>
      <c r="S84" s="2" t="inlineStr">
        <is>
          <t>20260305901499</t>
        </is>
      </c>
      <c r="T84" s="8">
        <f>HYPERLINK("https://dart.fss.or.kr/dsaf001/main.do?rcpNo=20260305901499", "공시열람")</f>
        <v/>
      </c>
    </row>
    <row r="85" ht="36" customHeight="1">
      <c r="A85" s="2" t="inlineStr">
        <is>
          <t>2026-02-23 (정정: 2026-03-05)</t>
        </is>
      </c>
      <c r="B85" s="3" t="inlineStr">
        <is>
          <t>지투지바이오</t>
        </is>
      </c>
      <c r="C85" s="2" t="inlineStr">
        <is>
          <t>코스닥</t>
        </is>
      </c>
      <c r="D85" s="2" t="inlineStr">
        <is>
          <t>456160</t>
        </is>
      </c>
      <c r="E85" s="9" t="inlineStr">
        <is>
          <t>유상증자</t>
        </is>
      </c>
      <c r="F85" s="3" t="inlineStr">
        <is>
          <t>[기재정정]주요사항보고서(유상증자결정)</t>
        </is>
      </c>
      <c r="G85" s="5" t="n">
        <v>30000044999</v>
      </c>
      <c r="H85" s="5" t="inlineStr"/>
      <c r="I85" s="2" t="inlineStr">
        <is>
          <t>보통주식</t>
        </is>
      </c>
      <c r="J85" s="6" t="n">
        <v>0</v>
      </c>
      <c r="K85" s="2" t="inlineStr">
        <is>
          <t>2026-03-12</t>
        </is>
      </c>
      <c r="L85" s="2" t="inlineStr">
        <is>
          <t>-</t>
        </is>
      </c>
      <c r="M85" s="2" t="inlineStr">
        <is>
          <t>-</t>
        </is>
      </c>
      <c r="N85" s="2" t="inlineStr">
        <is>
          <t>-</t>
        </is>
      </c>
      <c r="O85" s="10" t="n">
        <v>0</v>
      </c>
      <c r="P85" s="7" t="inlineStr">
        <is>
          <t>시설자금 (300.0억원), 운영자금 (44,999원)</t>
        </is>
      </c>
      <c r="Q85" s="2" t="inlineStr">
        <is>
          <t>-</t>
        </is>
      </c>
      <c r="R85" s="2" t="inlineStr">
        <is>
          <t>-</t>
        </is>
      </c>
      <c r="S85" s="2" t="inlineStr">
        <is>
          <t>20260305001333</t>
        </is>
      </c>
      <c r="T85" s="8">
        <f>HYPERLINK("https://dart.fss.or.kr/dsaf001/main.do?rcpNo=20260305001333", "공시열람")</f>
        <v/>
      </c>
    </row>
    <row r="86" ht="36" customHeight="1">
      <c r="A86" s="2" t="inlineStr">
        <is>
          <t>2026-02-23 (정정: 2026-03-05)</t>
        </is>
      </c>
      <c r="B86" s="3" t="inlineStr">
        <is>
          <t>지투지바이오</t>
        </is>
      </c>
      <c r="C86" s="2" t="inlineStr">
        <is>
          <t>코스닥</t>
        </is>
      </c>
      <c r="D86" s="2" t="inlineStr">
        <is>
          <t>456160</t>
        </is>
      </c>
      <c r="E86" s="11" t="inlineStr">
        <is>
          <t>전환사채(CB)</t>
        </is>
      </c>
      <c r="F86" s="3" t="inlineStr">
        <is>
          <t>[기재정정]주요사항보고서(전환사채권발행결정)</t>
        </is>
      </c>
      <c r="G86" s="5" t="inlineStr"/>
      <c r="H86" s="5" t="inlineStr"/>
      <c r="I86" s="2" t="inlineStr">
        <is>
          <t>-</t>
        </is>
      </c>
      <c r="J86" s="6" t="inlineStr"/>
      <c r="K86" s="2" t="inlineStr">
        <is>
          <t>-</t>
        </is>
      </c>
      <c r="L86" s="2" t="inlineStr">
        <is>
          <t>-</t>
        </is>
      </c>
      <c r="M86" s="2" t="inlineStr">
        <is>
          <t>2027-03-12</t>
        </is>
      </c>
      <c r="N86" s="2" t="inlineStr">
        <is>
          <t>2031-02-12</t>
        </is>
      </c>
      <c r="O86" s="3" t="inlineStr"/>
      <c r="P86" s="7" t="inlineStr">
        <is>
          <t>-</t>
        </is>
      </c>
      <c r="Q86" s="2" t="inlineStr">
        <is>
          <t>2027-01-11</t>
        </is>
      </c>
      <c r="R86" s="2" t="inlineStr">
        <is>
          <t>2027-03-12</t>
        </is>
      </c>
      <c r="S86" s="2" t="inlineStr">
        <is>
          <t>20260305001328</t>
        </is>
      </c>
      <c r="T86" s="8">
        <f>HYPERLINK("https://dart.fss.or.kr/dsaf001/main.do?rcpNo=20260305001328", "공시열람")</f>
        <v/>
      </c>
    </row>
    <row r="87" ht="36" customHeight="1">
      <c r="A87" s="2" t="inlineStr">
        <is>
          <t>2026-03-05</t>
        </is>
      </c>
      <c r="B87" s="3" t="inlineStr">
        <is>
          <t>인텍플러스</t>
        </is>
      </c>
      <c r="C87" s="2" t="inlineStr">
        <is>
          <t>코스닥</t>
        </is>
      </c>
      <c r="D87" s="2" t="inlineStr">
        <is>
          <t>064290</t>
        </is>
      </c>
      <c r="E87" s="2" t="inlineStr">
        <is>
          <t>기타</t>
        </is>
      </c>
      <c r="F87" s="3" t="inlineStr">
        <is>
          <t xml:space="preserve">전환사채(해외전환사채포함)발행후만기전사채취득              </t>
        </is>
      </c>
      <c r="G87" s="5" t="inlineStr"/>
      <c r="H87" s="5" t="inlineStr"/>
      <c r="I87" s="2" t="inlineStr">
        <is>
          <t>-</t>
        </is>
      </c>
      <c r="J87" s="6" t="inlineStr"/>
      <c r="K87" s="2" t="inlineStr">
        <is>
          <t>-</t>
        </is>
      </c>
      <c r="L87" s="2" t="inlineStr">
        <is>
          <t>-</t>
        </is>
      </c>
      <c r="M87" s="2" t="inlineStr">
        <is>
          <t>-</t>
        </is>
      </c>
      <c r="N87" s="2" t="inlineStr">
        <is>
          <t>-</t>
        </is>
      </c>
      <c r="O87" s="3" t="inlineStr"/>
      <c r="P87" s="7" t="inlineStr">
        <is>
          <t>-</t>
        </is>
      </c>
      <c r="Q87" s="2" t="inlineStr">
        <is>
          <t>-</t>
        </is>
      </c>
      <c r="R87" s="2" t="inlineStr">
        <is>
          <t>-</t>
        </is>
      </c>
      <c r="S87" s="2" t="inlineStr">
        <is>
          <t>20260305901446</t>
        </is>
      </c>
      <c r="T87" s="8">
        <f>HYPERLINK("https://dart.fss.or.kr/dsaf001/main.do?rcpNo=20260305901446", "공시열람")</f>
        <v/>
      </c>
    </row>
    <row r="88" ht="36" customHeight="1">
      <c r="A88" s="2" t="inlineStr">
        <is>
          <t>2025-12-22 (정정: 2026-03-06)</t>
        </is>
      </c>
      <c r="B88" s="3" t="inlineStr">
        <is>
          <t>디에이치엑스컴퍼니</t>
        </is>
      </c>
      <c r="C88" s="2" t="inlineStr">
        <is>
          <t>코스닥</t>
        </is>
      </c>
      <c r="D88" s="2" t="inlineStr">
        <is>
          <t>031860</t>
        </is>
      </c>
      <c r="E88" s="9" t="inlineStr">
        <is>
          <t>유상증자</t>
        </is>
      </c>
      <c r="F88" s="3" t="inlineStr">
        <is>
          <t>[기재정정]주요사항보고서(유상증자결정)</t>
        </is>
      </c>
      <c r="G88" s="5" t="n">
        <v>5000</v>
      </c>
      <c r="H88" s="5" t="n">
        <v>500</v>
      </c>
      <c r="I88" s="2" t="inlineStr">
        <is>
          <t>보통주식</t>
        </is>
      </c>
      <c r="J88" s="6" t="n">
        <v>10000000</v>
      </c>
      <c r="K88" s="2" t="inlineStr">
        <is>
          <t>2026-03-27</t>
        </is>
      </c>
      <c r="L88" s="2" t="inlineStr">
        <is>
          <t>2026-04-11</t>
        </is>
      </c>
      <c r="M88" s="2" t="inlineStr">
        <is>
          <t>-</t>
        </is>
      </c>
      <c r="N88" s="2" t="inlineStr">
        <is>
          <t>-</t>
        </is>
      </c>
      <c r="O88" s="10" t="n">
        <v>52.67198945211808</v>
      </c>
      <c r="P88" s="7" t="inlineStr">
        <is>
          <t>운영자금 (5,000원)</t>
        </is>
      </c>
      <c r="Q88" s="2" t="inlineStr">
        <is>
          <t>-</t>
        </is>
      </c>
      <c r="R88" s="2" t="inlineStr">
        <is>
          <t>-</t>
        </is>
      </c>
      <c r="S88" s="2" t="inlineStr">
        <is>
          <t>20260306001013</t>
        </is>
      </c>
      <c r="T88" s="8">
        <f>HYPERLINK("https://dart.fss.or.kr/dsaf001/main.do?rcpNo=20260306001013", "공시열람")</f>
        <v/>
      </c>
    </row>
    <row r="89" ht="36" customHeight="1">
      <c r="A89" s="2" t="inlineStr">
        <is>
          <t>2026-03-06</t>
        </is>
      </c>
      <c r="B89" s="3" t="inlineStr">
        <is>
          <t>인벤티지랩</t>
        </is>
      </c>
      <c r="C89" s="2" t="inlineStr">
        <is>
          <t>코스닥</t>
        </is>
      </c>
      <c r="D89" s="2" t="inlineStr">
        <is>
          <t>389470</t>
        </is>
      </c>
      <c r="E89" s="12" t="inlineStr">
        <is>
          <t>신주인수권부사채(BW)</t>
        </is>
      </c>
      <c r="F89" s="3" t="inlineStr">
        <is>
          <t>주요사항보고서(신주인수권부사채권발행결정)</t>
        </is>
      </c>
      <c r="G89" s="5" t="n">
        <v>8500000000</v>
      </c>
      <c r="H89" s="5" t="n">
        <v>91077</v>
      </c>
      <c r="I89" s="2" t="inlineStr">
        <is>
          <t>-</t>
        </is>
      </c>
      <c r="J89" s="6" t="inlineStr"/>
      <c r="K89" s="2" t="inlineStr">
        <is>
          <t>2026년 03월 16일</t>
        </is>
      </c>
      <c r="L89" s="2" t="inlineStr">
        <is>
          <t>-</t>
        </is>
      </c>
      <c r="M89" s="2" t="inlineStr">
        <is>
          <t>2027-03-16</t>
        </is>
      </c>
      <c r="N89" s="2" t="inlineStr">
        <is>
          <t>2031-02-16</t>
        </is>
      </c>
      <c r="O89" s="3" t="inlineStr"/>
      <c r="P89" s="7" t="inlineStr">
        <is>
          <t>-</t>
        </is>
      </c>
      <c r="Q89" s="2" t="inlineStr">
        <is>
          <t>2027-02-13</t>
        </is>
      </c>
      <c r="R89" s="2" t="inlineStr">
        <is>
          <t>2028-02-15</t>
        </is>
      </c>
      <c r="S89" s="2" t="inlineStr">
        <is>
          <t>20260306001015</t>
        </is>
      </c>
      <c r="T89" s="8">
        <f>HYPERLINK("https://dart.fss.or.kr/dsaf001/main.do?rcpNo=20260306001015", "공시열람")</f>
        <v/>
      </c>
    </row>
    <row r="90" ht="36" customHeight="1">
      <c r="A90" s="2" t="inlineStr">
        <is>
          <t>2026-03-06</t>
        </is>
      </c>
      <c r="B90" s="3" t="inlineStr">
        <is>
          <t>인벤티지랩</t>
        </is>
      </c>
      <c r="C90" s="2" t="inlineStr">
        <is>
          <t>코스닥</t>
        </is>
      </c>
      <c r="D90" s="2" t="inlineStr">
        <is>
          <t>389470</t>
        </is>
      </c>
      <c r="E90" s="11" t="inlineStr">
        <is>
          <t>전환사채(CB)</t>
        </is>
      </c>
      <c r="F90" s="3" t="inlineStr">
        <is>
          <t>주요사항보고서(전환사채권발행결정)</t>
        </is>
      </c>
      <c r="G90" s="5" t="n">
        <v>37250000000</v>
      </c>
      <c r="H90" s="5" t="n">
        <v>91077</v>
      </c>
      <c r="I90" s="2" t="inlineStr">
        <is>
          <t>주식회사 인벤티지랩 보통주</t>
        </is>
      </c>
      <c r="J90" s="6" t="n">
        <v>408994</v>
      </c>
      <c r="K90" s="2" t="inlineStr">
        <is>
          <t>2026년 03월 16일</t>
        </is>
      </c>
      <c r="L90" s="2" t="inlineStr">
        <is>
          <t>-</t>
        </is>
      </c>
      <c r="M90" s="2" t="inlineStr">
        <is>
          <t>2027-03-16</t>
        </is>
      </c>
      <c r="N90" s="2" t="inlineStr">
        <is>
          <t>2031-02-16</t>
        </is>
      </c>
      <c r="O90" s="10" t="n">
        <v>2.99</v>
      </c>
      <c r="P90" s="7" t="inlineStr">
        <is>
          <t>-</t>
        </is>
      </c>
      <c r="Q90" s="2" t="inlineStr">
        <is>
          <t>2027-02-13</t>
        </is>
      </c>
      <c r="R90" s="2" t="inlineStr">
        <is>
          <t>2028-02-15</t>
        </is>
      </c>
      <c r="S90" s="2" t="inlineStr">
        <is>
          <t>20260306001011</t>
        </is>
      </c>
      <c r="T90" s="8">
        <f>HYPERLINK("https://dart.fss.or.kr/dsaf001/main.do?rcpNo=20260306001011", "공시열람")</f>
        <v/>
      </c>
    </row>
    <row r="91" ht="36" customHeight="1">
      <c r="A91" s="2" t="inlineStr">
        <is>
          <t>2026-03-06</t>
        </is>
      </c>
      <c r="B91" s="3" t="inlineStr">
        <is>
          <t>코오롱</t>
        </is>
      </c>
      <c r="C91" s="2" t="inlineStr">
        <is>
          <t>코스피</t>
        </is>
      </c>
      <c r="D91" s="2" t="inlineStr">
        <is>
          <t>002020</t>
        </is>
      </c>
      <c r="E91" s="4" t="inlineStr">
        <is>
          <t>교환사채(EB)</t>
        </is>
      </c>
      <c r="F91" s="3" t="inlineStr">
        <is>
          <t>주요사항보고서(교환사채권발행결정)</t>
        </is>
      </c>
      <c r="G91" s="5" t="n">
        <v>60000000000</v>
      </c>
      <c r="H91" s="5" t="n">
        <v>101665</v>
      </c>
      <c r="I91" s="2" t="inlineStr">
        <is>
          <t>코오롱티슈진(주) KDR</t>
        </is>
      </c>
      <c r="J91" s="6" t="inlineStr"/>
      <c r="K91" s="2" t="inlineStr">
        <is>
          <t>2026년 04월 06일</t>
        </is>
      </c>
      <c r="L91" s="2" t="inlineStr">
        <is>
          <t>-</t>
        </is>
      </c>
      <c r="M91" s="2" t="inlineStr">
        <is>
          <t>2026-04-13</t>
        </is>
      </c>
      <c r="N91" s="2" t="inlineStr">
        <is>
          <t>2031-03-06</t>
        </is>
      </c>
      <c r="O91" s="3" t="inlineStr"/>
      <c r="P91" s="7" t="inlineStr">
        <is>
          <t>-</t>
        </is>
      </c>
      <c r="Q91" s="2" t="inlineStr">
        <is>
          <t>-</t>
        </is>
      </c>
      <c r="R91" s="2" t="inlineStr">
        <is>
          <t>-</t>
        </is>
      </c>
      <c r="S91" s="2" t="inlineStr">
        <is>
          <t>20260306000988</t>
        </is>
      </c>
      <c r="T91" s="8">
        <f>HYPERLINK("https://dart.fss.or.kr/dsaf001/main.do?rcpNo=20260306000988", "공시열람")</f>
        <v/>
      </c>
    </row>
    <row r="92" ht="36" customHeight="1">
      <c r="A92" s="2" t="inlineStr">
        <is>
          <t>2026-03-06</t>
        </is>
      </c>
      <c r="B92" s="3" t="inlineStr">
        <is>
          <t>코오롱</t>
        </is>
      </c>
      <c r="C92" s="2" t="inlineStr">
        <is>
          <t>코스피</t>
        </is>
      </c>
      <c r="D92" s="2" t="inlineStr">
        <is>
          <t>002020</t>
        </is>
      </c>
      <c r="E92" s="9" t="inlineStr">
        <is>
          <t>유상증자</t>
        </is>
      </c>
      <c r="F92" s="3" t="inlineStr">
        <is>
          <t xml:space="preserve">유상증자결정(종속회사의주요경영사항)              </t>
        </is>
      </c>
      <c r="G92" s="5" t="n">
        <v>60002</v>
      </c>
      <c r="H92" s="5" t="n">
        <v>508325</v>
      </c>
      <c r="I92" s="2" t="inlineStr">
        <is>
          <t>보통주식</t>
        </is>
      </c>
      <c r="J92" s="6" t="n">
        <v>118040</v>
      </c>
      <c r="K92" s="2" t="inlineStr">
        <is>
          <t>2026-03-24</t>
        </is>
      </c>
      <c r="L92" s="2" t="inlineStr">
        <is>
          <t>-</t>
        </is>
      </c>
      <c r="M92" s="2" t="inlineStr">
        <is>
          <t>-</t>
        </is>
      </c>
      <c r="N92" s="2" t="inlineStr">
        <is>
          <t>-</t>
        </is>
      </c>
      <c r="O92" s="10" t="n">
        <v>0.7088950048065411</v>
      </c>
      <c r="P92" s="7" t="inlineStr">
        <is>
          <t>운영자금 (60,002원)</t>
        </is>
      </c>
      <c r="Q92" s="2" t="inlineStr">
        <is>
          <t>-</t>
        </is>
      </c>
      <c r="R92" s="2" t="inlineStr">
        <is>
          <t>-</t>
        </is>
      </c>
      <c r="S92" s="2" t="inlineStr">
        <is>
          <t>20260306801670</t>
        </is>
      </c>
      <c r="T92" s="8">
        <f>HYPERLINK("https://dart.fss.or.kr/dsaf001/main.do?rcpNo=20260306801670", "공시열람")</f>
        <v/>
      </c>
    </row>
    <row r="93" ht="36" customHeight="1">
      <c r="A93" s="2" t="inlineStr">
        <is>
          <t>2026-03-06</t>
        </is>
      </c>
      <c r="B93" s="3" t="inlineStr">
        <is>
          <t>코오롱티슈진</t>
        </is>
      </c>
      <c r="C93" s="2" t="inlineStr">
        <is>
          <t>코스닥</t>
        </is>
      </c>
      <c r="D93" s="2" t="inlineStr">
        <is>
          <t>950160</t>
        </is>
      </c>
      <c r="E93" s="9" t="inlineStr">
        <is>
          <t>유상증자</t>
        </is>
      </c>
      <c r="F93" s="3" t="inlineStr">
        <is>
          <t>주요사항보고서(유상증자결정)</t>
        </is>
      </c>
      <c r="G93" s="5" t="n">
        <v>60002</v>
      </c>
      <c r="H93" s="5" t="n">
        <v>508325</v>
      </c>
      <c r="I93" s="2" t="inlineStr">
        <is>
          <t>보통주식</t>
        </is>
      </c>
      <c r="J93" s="6" t="n">
        <v>118040</v>
      </c>
      <c r="K93" s="2" t="inlineStr">
        <is>
          <t>2026.03.24</t>
        </is>
      </c>
      <c r="L93" s="2" t="inlineStr">
        <is>
          <t>2026.04.15</t>
        </is>
      </c>
      <c r="M93" s="2" t="inlineStr">
        <is>
          <t>-</t>
        </is>
      </c>
      <c r="N93" s="2" t="inlineStr">
        <is>
          <t>-</t>
        </is>
      </c>
      <c r="O93" s="10" t="n">
        <v>0.7088950048065411</v>
      </c>
      <c r="P93" s="7" t="inlineStr">
        <is>
          <t>운영자금 (60,002원)</t>
        </is>
      </c>
      <c r="Q93" s="2" t="inlineStr">
        <is>
          <t>-</t>
        </is>
      </c>
      <c r="R93" s="2" t="inlineStr">
        <is>
          <t>-</t>
        </is>
      </c>
      <c r="S93" s="2" t="inlineStr">
        <is>
          <t>20260306000980</t>
        </is>
      </c>
      <c r="T93" s="8">
        <f>HYPERLINK("https://dart.fss.or.kr/dsaf001/main.do?rcpNo=20260306000980", "공시열람")</f>
        <v/>
      </c>
    </row>
    <row r="94" ht="36" customHeight="1">
      <c r="A94" s="2" t="inlineStr">
        <is>
          <t>2026-03-06</t>
        </is>
      </c>
      <c r="B94" s="3" t="inlineStr">
        <is>
          <t>큐라티스</t>
        </is>
      </c>
      <c r="C94" s="2" t="inlineStr">
        <is>
          <t>코스닥</t>
        </is>
      </c>
      <c r="D94" s="2" t="inlineStr">
        <is>
          <t>348080</t>
        </is>
      </c>
      <c r="E94" s="9" t="inlineStr">
        <is>
          <t>유상증자</t>
        </is>
      </c>
      <c r="F94" s="3" t="inlineStr">
        <is>
          <t>주요사항보고서(유상증자결정)</t>
        </is>
      </c>
      <c r="G94" s="5" t="n">
        <v>7000003000</v>
      </c>
      <c r="H94" s="5" t="n">
        <v>1011</v>
      </c>
      <c r="I94" s="2" t="inlineStr">
        <is>
          <t>보통주식</t>
        </is>
      </c>
      <c r="J94" s="6" t="n">
        <v>9891197</v>
      </c>
      <c r="K94" s="2" t="inlineStr">
        <is>
          <t>2026-03-16</t>
        </is>
      </c>
      <c r="L94" s="2" t="inlineStr">
        <is>
          <t>2026-04-02</t>
        </is>
      </c>
      <c r="M94" s="2" t="inlineStr">
        <is>
          <t>-</t>
        </is>
      </c>
      <c r="N94" s="2" t="inlineStr">
        <is>
          <t>-</t>
        </is>
      </c>
      <c r="O94" s="10" t="n">
        <v>9.370338844257327</v>
      </c>
      <c r="P94" s="7" t="inlineStr">
        <is>
          <t>시설자금 (70.0억원), 운영자금 (3,000원)</t>
        </is>
      </c>
      <c r="Q94" s="2" t="inlineStr">
        <is>
          <t>-</t>
        </is>
      </c>
      <c r="R94" s="2" t="inlineStr">
        <is>
          <t>-</t>
        </is>
      </c>
      <c r="S94" s="2" t="inlineStr">
        <is>
          <t>20260306000907</t>
        </is>
      </c>
      <c r="T94" s="8">
        <f>HYPERLINK("https://dart.fss.or.kr/dsaf001/main.do?rcpNo=20260306000907", "공시열람")</f>
        <v/>
      </c>
    </row>
    <row r="95" ht="36" customHeight="1">
      <c r="A95" s="2" t="inlineStr">
        <is>
          <t>2026-03-06 (정정: 2026-06-11)</t>
        </is>
      </c>
      <c r="B95" s="3" t="inlineStr">
        <is>
          <t>알엔티엑스</t>
        </is>
      </c>
      <c r="C95" s="2" t="inlineStr">
        <is>
          <t>코스닥</t>
        </is>
      </c>
      <c r="D95" s="2" t="inlineStr">
        <is>
          <t>123010</t>
        </is>
      </c>
      <c r="E95" s="11" t="inlineStr">
        <is>
          <t>전환사채(CB)</t>
        </is>
      </c>
      <c r="F95" s="3" t="inlineStr">
        <is>
          <t>[기재정정]주요사항보고서(전환사채권발행결정) (정정: 20260611) (정정: 20260611) (정정: 20260611)</t>
        </is>
      </c>
      <c r="G95" s="5" t="inlineStr"/>
      <c r="H95" s="5" t="inlineStr"/>
      <c r="I95" s="2" t="inlineStr">
        <is>
          <t>-</t>
        </is>
      </c>
      <c r="J95" s="6" t="inlineStr"/>
      <c r="K95" s="2" t="inlineStr">
        <is>
          <t>-</t>
        </is>
      </c>
      <c r="L95" s="2" t="inlineStr">
        <is>
          <t>-</t>
        </is>
      </c>
      <c r="M95" s="2" t="inlineStr">
        <is>
          <t>2027-09-04</t>
        </is>
      </c>
      <c r="N95" s="2" t="inlineStr">
        <is>
          <t>2029-08-04</t>
        </is>
      </c>
      <c r="O95" s="3" t="inlineStr"/>
      <c r="P95" s="7" t="inlineStr">
        <is>
          <t>-</t>
        </is>
      </c>
      <c r="Q95" s="2" t="inlineStr">
        <is>
          <t>-</t>
        </is>
      </c>
      <c r="R95" s="2" t="inlineStr">
        <is>
          <t>2027-04-12</t>
        </is>
      </c>
      <c r="S95" s="2" t="inlineStr">
        <is>
          <t>20260611000638</t>
        </is>
      </c>
      <c r="T95" s="8">
        <f>HYPERLINK("https://dart.fss.or.kr/dsaf001/main.do?rcpNo=20260611000638", "공시열람")</f>
        <v/>
      </c>
    </row>
    <row r="96" ht="36" customHeight="1">
      <c r="A96" s="2" t="inlineStr">
        <is>
          <t>2025-04-01 (정정: 2026-03-06)</t>
        </is>
      </c>
      <c r="B96" s="3" t="inlineStr">
        <is>
          <t>파이온엑스</t>
        </is>
      </c>
      <c r="C96" s="2" t="inlineStr">
        <is>
          <t>코스닥</t>
        </is>
      </c>
      <c r="D96" s="2" t="inlineStr">
        <is>
          <t>900100</t>
        </is>
      </c>
      <c r="E96" s="9" t="inlineStr">
        <is>
          <t>유상증자</t>
        </is>
      </c>
      <c r="F96" s="3" t="inlineStr">
        <is>
          <t>[기재정정]주요사항보고서(유상증자결정)</t>
        </is>
      </c>
      <c r="G96" s="5" t="n">
        <v>5000</v>
      </c>
      <c r="H96" s="5" t="n">
        <v>977</v>
      </c>
      <c r="I96" s="2" t="inlineStr">
        <is>
          <t>보통주식</t>
        </is>
      </c>
      <c r="J96" s="6" t="n">
        <v>5117707</v>
      </c>
      <c r="K96" s="2" t="inlineStr">
        <is>
          <t>2025-09-08</t>
        </is>
      </c>
      <c r="L96" s="2" t="inlineStr">
        <is>
          <t>2026-03-16</t>
        </is>
      </c>
      <c r="M96" s="2" t="inlineStr">
        <is>
          <t>-</t>
        </is>
      </c>
      <c r="N96" s="2" t="inlineStr">
        <is>
          <t>-</t>
        </is>
      </c>
      <c r="O96" s="10" t="n">
        <v>11.11643795208458</v>
      </c>
      <c r="P96" s="7" t="inlineStr">
        <is>
          <t>운영자금 (5,000원)</t>
        </is>
      </c>
      <c r="Q96" s="2" t="inlineStr">
        <is>
          <t>-</t>
        </is>
      </c>
      <c r="R96" s="2" t="inlineStr">
        <is>
          <t>-</t>
        </is>
      </c>
      <c r="S96" s="2" t="inlineStr">
        <is>
          <t>20260306000578</t>
        </is>
      </c>
      <c r="T96" s="8">
        <f>HYPERLINK("https://dart.fss.or.kr/dsaf001/main.do?rcpNo=20260306000578", "공시열람")</f>
        <v/>
      </c>
    </row>
    <row r="97" ht="36" customHeight="1">
      <c r="A97" s="2" t="inlineStr">
        <is>
          <t>2026-03-06</t>
        </is>
      </c>
      <c r="B97" s="3" t="inlineStr">
        <is>
          <t>에스케이바이오팜</t>
        </is>
      </c>
      <c r="C97" s="2" t="inlineStr">
        <is>
          <t>코스피</t>
        </is>
      </c>
      <c r="D97" s="2" t="inlineStr">
        <is>
          <t>326030</t>
        </is>
      </c>
      <c r="E97" s="9" t="inlineStr">
        <is>
          <t>유상증자</t>
        </is>
      </c>
      <c r="F97" s="3" t="inlineStr">
        <is>
          <t xml:space="preserve">유상증자결정(종속회사의주요경영사항)              </t>
        </is>
      </c>
      <c r="G97" s="5" t="n">
        <v>51250500000</v>
      </c>
      <c r="H97" s="5" t="n">
        <v>234.3</v>
      </c>
      <c r="I97" s="2" t="inlineStr">
        <is>
          <t>보통주식</t>
        </is>
      </c>
      <c r="J97" s="6" t="n">
        <v>218750000</v>
      </c>
      <c r="K97" s="2" t="inlineStr">
        <is>
          <t>2026-03-11</t>
        </is>
      </c>
      <c r="L97" s="2" t="inlineStr">
        <is>
          <t>-</t>
        </is>
      </c>
      <c r="M97" s="2" t="inlineStr">
        <is>
          <t>-</t>
        </is>
      </c>
      <c r="N97" s="2" t="inlineStr">
        <is>
          <t>-</t>
        </is>
      </c>
      <c r="O97" s="10" t="n">
        <v>328.1250328125033</v>
      </c>
      <c r="P97" s="7" t="inlineStr">
        <is>
          <t>운영자금 (512.5억원)</t>
        </is>
      </c>
      <c r="Q97" s="2" t="inlineStr">
        <is>
          <t>-</t>
        </is>
      </c>
      <c r="R97" s="2" t="inlineStr">
        <is>
          <t>-</t>
        </is>
      </c>
      <c r="S97" s="2" t="inlineStr">
        <is>
          <t>20260306800785</t>
        </is>
      </c>
      <c r="T97" s="8">
        <f>HYPERLINK("https://dart.fss.or.kr/dsaf001/main.do?rcpNo=20260306800785", "공시열람")</f>
        <v/>
      </c>
    </row>
    <row r="98" ht="36" customHeight="1">
      <c r="A98" s="2" t="inlineStr">
        <is>
          <t>2026-03-06</t>
        </is>
      </c>
      <c r="B98" s="3" t="inlineStr">
        <is>
          <t>비트맥스</t>
        </is>
      </c>
      <c r="C98" s="2" t="inlineStr">
        <is>
          <t>코스닥</t>
        </is>
      </c>
      <c r="D98" s="2" t="inlineStr">
        <is>
          <t>377030</t>
        </is>
      </c>
      <c r="E98" s="11" t="inlineStr">
        <is>
          <t>전환사채(CB)</t>
        </is>
      </c>
      <c r="F98" s="3" t="inlineStr">
        <is>
          <t>[기재정정]주요사항보고서(전환사채권발행결정)</t>
        </is>
      </c>
      <c r="G98" s="5" t="inlineStr"/>
      <c r="H98" s="5" t="inlineStr"/>
      <c r="I98" s="2" t="inlineStr">
        <is>
          <t>-</t>
        </is>
      </c>
      <c r="J98" s="6" t="inlineStr"/>
      <c r="K98" s="2" t="inlineStr">
        <is>
          <t>-</t>
        </is>
      </c>
      <c r="L98" s="2" t="inlineStr">
        <is>
          <t>-</t>
        </is>
      </c>
      <c r="M98" s="2" t="inlineStr">
        <is>
          <t>2026-06-20</t>
        </is>
      </c>
      <c r="N98" s="2" t="inlineStr">
        <is>
          <t>2028-05-20</t>
        </is>
      </c>
      <c r="O98" s="3" t="inlineStr"/>
      <c r="P98" s="7" t="inlineStr">
        <is>
          <t>-</t>
        </is>
      </c>
      <c r="Q98" s="2" t="inlineStr">
        <is>
          <t>-</t>
        </is>
      </c>
      <c r="R98" s="2" t="inlineStr">
        <is>
          <t>-</t>
        </is>
      </c>
      <c r="S98" s="2" t="inlineStr">
        <is>
          <t>20260306000249</t>
        </is>
      </c>
      <c r="T98" s="8">
        <f>HYPERLINK("https://dart.fss.or.kr/dsaf001/main.do?rcpNo=20260306000249", "공시열람")</f>
        <v/>
      </c>
    </row>
    <row r="99" ht="36" customHeight="1">
      <c r="A99" s="2" t="inlineStr">
        <is>
          <t>2026-03-06 (정정: 2026-03-06)</t>
        </is>
      </c>
      <c r="B99" s="3" t="inlineStr">
        <is>
          <t>비트맥스</t>
        </is>
      </c>
      <c r="C99" s="2" t="inlineStr">
        <is>
          <t>코스닥</t>
        </is>
      </c>
      <c r="D99" s="2" t="inlineStr">
        <is>
          <t>377030</t>
        </is>
      </c>
      <c r="E99" s="11" t="inlineStr">
        <is>
          <t>전환사채(CB)</t>
        </is>
      </c>
      <c r="F99" s="3" t="inlineStr">
        <is>
          <t>[기재정정]주요사항보고서(전환사채권발행결정) (정정: 20260306)</t>
        </is>
      </c>
      <c r="G99" s="5" t="inlineStr"/>
      <c r="H99" s="5" t="inlineStr"/>
      <c r="I99" s="2" t="inlineStr">
        <is>
          <t>-</t>
        </is>
      </c>
      <c r="J99" s="6" t="inlineStr"/>
      <c r="K99" s="2" t="inlineStr">
        <is>
          <t>-</t>
        </is>
      </c>
      <c r="L99" s="2" t="inlineStr">
        <is>
          <t>-</t>
        </is>
      </c>
      <c r="M99" s="2" t="inlineStr">
        <is>
          <t>2026-02-13</t>
        </is>
      </c>
      <c r="N99" s="2" t="inlineStr">
        <is>
          <t>2028-01-13</t>
        </is>
      </c>
      <c r="O99" s="3" t="inlineStr"/>
      <c r="P99" s="7" t="inlineStr">
        <is>
          <t>-</t>
        </is>
      </c>
      <c r="Q99" s="2" t="inlineStr">
        <is>
          <t>-</t>
        </is>
      </c>
      <c r="R99" s="2" t="inlineStr">
        <is>
          <t>-</t>
        </is>
      </c>
      <c r="S99" s="2" t="inlineStr">
        <is>
          <t>20260306000241</t>
        </is>
      </c>
      <c r="T99" s="8">
        <f>HYPERLINK("https://dart.fss.or.kr/dsaf001/main.do?rcpNo=20260306000241", "공시열람")</f>
        <v/>
      </c>
    </row>
    <row r="100" ht="36" customHeight="1">
      <c r="A100" s="2" t="inlineStr">
        <is>
          <t>2026-03-06</t>
        </is>
      </c>
      <c r="B100" s="3" t="inlineStr">
        <is>
          <t>엑시온그룹</t>
        </is>
      </c>
      <c r="C100" s="2" t="inlineStr">
        <is>
          <t>코스닥</t>
        </is>
      </c>
      <c r="D100" s="2" t="inlineStr">
        <is>
          <t>069920</t>
        </is>
      </c>
      <c r="E100" s="11" t="inlineStr">
        <is>
          <t>전환사채(CB)</t>
        </is>
      </c>
      <c r="F100" s="3" t="inlineStr">
        <is>
          <t>[첨부정정]주요사항보고서(전환사채권발행결정)</t>
        </is>
      </c>
      <c r="G100" s="5" t="inlineStr"/>
      <c r="H100" s="5" t="inlineStr"/>
      <c r="I100" s="2" t="inlineStr">
        <is>
          <t>-</t>
        </is>
      </c>
      <c r="J100" s="6" t="inlineStr"/>
      <c r="K100" s="2" t="inlineStr">
        <is>
          <t>-</t>
        </is>
      </c>
      <c r="L100" s="2" t="inlineStr">
        <is>
          <t>-</t>
        </is>
      </c>
      <c r="M100" s="2" t="inlineStr">
        <is>
          <t>-</t>
        </is>
      </c>
      <c r="N100" s="2" t="inlineStr">
        <is>
          <t>-</t>
        </is>
      </c>
      <c r="O100" s="3" t="inlineStr"/>
      <c r="P100" s="7" t="inlineStr">
        <is>
          <t>-</t>
        </is>
      </c>
      <c r="Q100" s="2" t="inlineStr">
        <is>
          <t>-</t>
        </is>
      </c>
      <c r="R100" s="2" t="inlineStr">
        <is>
          <t>-</t>
        </is>
      </c>
      <c r="S100" s="2" t="inlineStr">
        <is>
          <t>20260306000097</t>
        </is>
      </c>
      <c r="T100" s="8">
        <f>HYPERLINK("https://dart.fss.or.kr/dsaf001/main.do?rcpNo=20260306000097", "공시열람")</f>
        <v/>
      </c>
    </row>
    <row r="101" ht="36" customHeight="1">
      <c r="A101" s="2" t="inlineStr">
        <is>
          <t>2026-03-06</t>
        </is>
      </c>
      <c r="B101" s="3" t="inlineStr">
        <is>
          <t>지놈앤컴퍼니</t>
        </is>
      </c>
      <c r="C101" s="2" t="inlineStr">
        <is>
          <t>코스닥</t>
        </is>
      </c>
      <c r="D101" s="2" t="inlineStr">
        <is>
          <t>314130</t>
        </is>
      </c>
      <c r="E101" s="9" t="inlineStr">
        <is>
          <t>유상증자</t>
        </is>
      </c>
      <c r="F101" s="3" t="inlineStr">
        <is>
          <t>주요사항보고서(유상증자결정)</t>
        </is>
      </c>
      <c r="G101" s="5" t="n">
        <v>2999982540</v>
      </c>
      <c r="H101" s="5" t="inlineStr"/>
      <c r="I101" s="2" t="inlineStr">
        <is>
          <t>보통주식</t>
        </is>
      </c>
      <c r="J101" s="6" t="n">
        <v>0</v>
      </c>
      <c r="K101" s="2" t="inlineStr">
        <is>
          <t>2026-03-13</t>
        </is>
      </c>
      <c r="L101" s="2" t="inlineStr">
        <is>
          <t>-</t>
        </is>
      </c>
      <c r="M101" s="2" t="inlineStr">
        <is>
          <t>-</t>
        </is>
      </c>
      <c r="N101" s="2" t="inlineStr">
        <is>
          <t>-</t>
        </is>
      </c>
      <c r="O101" s="10" t="n">
        <v>0</v>
      </c>
      <c r="P101" s="7" t="inlineStr">
        <is>
          <t>운영자금 (30.0억원)</t>
        </is>
      </c>
      <c r="Q101" s="2" t="inlineStr">
        <is>
          <t>-</t>
        </is>
      </c>
      <c r="R101" s="2" t="inlineStr">
        <is>
          <t>-</t>
        </is>
      </c>
      <c r="S101" s="2" t="inlineStr">
        <is>
          <t>20260305001675</t>
        </is>
      </c>
      <c r="T101" s="8">
        <f>HYPERLINK("https://dart.fss.or.kr/dsaf001/main.do?rcpNo=20260305001675", "공시열람")</f>
        <v/>
      </c>
    </row>
    <row r="102" ht="36" customHeight="1">
      <c r="A102" s="2" t="inlineStr">
        <is>
          <t>2026-03-06</t>
        </is>
      </c>
      <c r="B102" s="3" t="inlineStr">
        <is>
          <t>지놈앤컴퍼니</t>
        </is>
      </c>
      <c r="C102" s="2" t="inlineStr">
        <is>
          <t>코스닥</t>
        </is>
      </c>
      <c r="D102" s="2" t="inlineStr">
        <is>
          <t>314130</t>
        </is>
      </c>
      <c r="E102" s="11" t="inlineStr">
        <is>
          <t>전환사채(CB)</t>
        </is>
      </c>
      <c r="F102" s="3" t="inlineStr">
        <is>
          <t>주요사항보고서(전환사채권발행결정)</t>
        </is>
      </c>
      <c r="G102" s="5" t="n">
        <v>27000000000</v>
      </c>
      <c r="H102" s="5" t="n">
        <v>6420</v>
      </c>
      <c r="I102" s="2" t="inlineStr">
        <is>
          <t>주식회사 지놈앤컴퍼니 기명식 보통주식</t>
        </is>
      </c>
      <c r="J102" s="6" t="n">
        <v>4205607</v>
      </c>
      <c r="K102" s="2" t="inlineStr">
        <is>
          <t>2026년 03월 13일</t>
        </is>
      </c>
      <c r="L102" s="2" t="inlineStr">
        <is>
          <t>-</t>
        </is>
      </c>
      <c r="M102" s="2" t="inlineStr">
        <is>
          <t>2027-03-13</t>
        </is>
      </c>
      <c r="N102" s="2" t="inlineStr">
        <is>
          <t>2031-02-13</t>
        </is>
      </c>
      <c r="O102" s="10" t="n">
        <v>8.69</v>
      </c>
      <c r="P102" s="7" t="inlineStr">
        <is>
          <t>-</t>
        </is>
      </c>
      <c r="Q102" s="2" t="inlineStr">
        <is>
          <t>2028-01-13</t>
        </is>
      </c>
      <c r="R102" s="2" t="inlineStr">
        <is>
          <t>2028-03-13</t>
        </is>
      </c>
      <c r="S102" s="2" t="inlineStr">
        <is>
          <t>20260305001673</t>
        </is>
      </c>
      <c r="T102" s="8">
        <f>HYPERLINK("https://dart.fss.or.kr/dsaf001/main.do?rcpNo=20260305001673", "공시열람")</f>
        <v/>
      </c>
    </row>
    <row r="103" ht="36" customHeight="1">
      <c r="A103" s="2" t="inlineStr">
        <is>
          <t>2026-03-09</t>
        </is>
      </c>
      <c r="B103" s="3" t="inlineStr">
        <is>
          <t>타스컴</t>
        </is>
      </c>
      <c r="C103" s="2" t="inlineStr">
        <is>
          <t>코넥스</t>
        </is>
      </c>
      <c r="D103" s="2" t="inlineStr">
        <is>
          <t>336040</t>
        </is>
      </c>
      <c r="E103" s="2" t="inlineStr">
        <is>
          <t>기타</t>
        </is>
      </c>
      <c r="F103" s="3" t="inlineStr">
        <is>
          <t xml:space="preserve">[첨부추가]전환사채(해외전환사채포함)발행후만기전사채취득              </t>
        </is>
      </c>
      <c r="G103" s="5" t="inlineStr"/>
      <c r="H103" s="5" t="inlineStr"/>
      <c r="I103" s="2" t="inlineStr">
        <is>
          <t>-</t>
        </is>
      </c>
      <c r="J103" s="6" t="inlineStr"/>
      <c r="K103" s="2" t="inlineStr">
        <is>
          <t>-</t>
        </is>
      </c>
      <c r="L103" s="2" t="inlineStr">
        <is>
          <t>-</t>
        </is>
      </c>
      <c r="M103" s="2" t="inlineStr">
        <is>
          <t>-</t>
        </is>
      </c>
      <c r="N103" s="2" t="inlineStr">
        <is>
          <t>-</t>
        </is>
      </c>
      <c r="O103" s="3" t="inlineStr"/>
      <c r="P103" s="7" t="inlineStr">
        <is>
          <t>-</t>
        </is>
      </c>
      <c r="Q103" s="2" t="inlineStr">
        <is>
          <t>-</t>
        </is>
      </c>
      <c r="R103" s="2" t="inlineStr">
        <is>
          <t>-</t>
        </is>
      </c>
      <c r="S103" s="2" t="inlineStr">
        <is>
          <t>20260309600535</t>
        </is>
      </c>
      <c r="T103" s="8">
        <f>HYPERLINK("https://dart.fss.or.kr/dsaf001/main.do?rcpNo=20260309600535", "공시열람")</f>
        <v/>
      </c>
    </row>
    <row r="104" ht="36" customHeight="1">
      <c r="A104" s="2" t="inlineStr">
        <is>
          <t>2026-02-05 (정정: 2026-03-09)</t>
        </is>
      </c>
      <c r="B104" s="3" t="inlineStr">
        <is>
          <t>케이이엠텍</t>
        </is>
      </c>
      <c r="C104" s="2" t="inlineStr">
        <is>
          <t>코스닥</t>
        </is>
      </c>
      <c r="D104" s="2" t="inlineStr">
        <is>
          <t>106080</t>
        </is>
      </c>
      <c r="E104" s="11" t="inlineStr">
        <is>
          <t>전환사채(CB)</t>
        </is>
      </c>
      <c r="F104" s="3" t="inlineStr">
        <is>
          <t>[기재정정]주요사항보고서(전환사채권발행결정)</t>
        </is>
      </c>
      <c r="G104" s="5" t="inlineStr"/>
      <c r="H104" s="5" t="inlineStr"/>
      <c r="I104" s="2" t="inlineStr">
        <is>
          <t>-</t>
        </is>
      </c>
      <c r="J104" s="6" t="inlineStr"/>
      <c r="K104" s="2" t="inlineStr">
        <is>
          <t>-</t>
        </is>
      </c>
      <c r="L104" s="2" t="inlineStr">
        <is>
          <t>-</t>
        </is>
      </c>
      <c r="M104" s="2" t="inlineStr">
        <is>
          <t>2027-03-17</t>
        </is>
      </c>
      <c r="N104" s="2" t="inlineStr">
        <is>
          <t>2029-02-17</t>
        </is>
      </c>
      <c r="O104" s="3" t="inlineStr"/>
      <c r="P104" s="7" t="inlineStr">
        <is>
          <t>-</t>
        </is>
      </c>
      <c r="Q104" s="2" t="inlineStr">
        <is>
          <t>2026-03-11</t>
        </is>
      </c>
      <c r="R104" s="2" t="inlineStr">
        <is>
          <t>2027-01-08</t>
        </is>
      </c>
      <c r="S104" s="2" t="inlineStr">
        <is>
          <t>20260309001912</t>
        </is>
      </c>
      <c r="T104" s="8">
        <f>HYPERLINK("https://dart.fss.or.kr/dsaf001/main.do?rcpNo=20260309001912", "공시열람")</f>
        <v/>
      </c>
    </row>
    <row r="105" ht="36" customHeight="1">
      <c r="A105" s="2" t="inlineStr">
        <is>
          <t>2026-03-09</t>
        </is>
      </c>
      <c r="B105" s="3" t="inlineStr">
        <is>
          <t>사토시홀딩스</t>
        </is>
      </c>
      <c r="C105" s="2" t="inlineStr">
        <is>
          <t>코스닥</t>
        </is>
      </c>
      <c r="D105" s="2" t="inlineStr">
        <is>
          <t>223310</t>
        </is>
      </c>
      <c r="E105" s="2" t="inlineStr">
        <is>
          <t>기타</t>
        </is>
      </c>
      <c r="F105" s="3" t="inlineStr">
        <is>
          <t>증권발행결과(자율공시)              (전환사채 제12회차)</t>
        </is>
      </c>
      <c r="G105" s="5" t="inlineStr"/>
      <c r="H105" s="5" t="inlineStr"/>
      <c r="I105" s="2" t="inlineStr">
        <is>
          <t>-</t>
        </is>
      </c>
      <c r="J105" s="6" t="inlineStr"/>
      <c r="K105" s="2" t="inlineStr">
        <is>
          <t>-</t>
        </is>
      </c>
      <c r="L105" s="2" t="inlineStr">
        <is>
          <t>-</t>
        </is>
      </c>
      <c r="M105" s="2" t="inlineStr">
        <is>
          <t>-</t>
        </is>
      </c>
      <c r="N105" s="2" t="inlineStr">
        <is>
          <t>-</t>
        </is>
      </c>
      <c r="O105" s="3" t="inlineStr"/>
      <c r="P105" s="7" t="inlineStr">
        <is>
          <t>-</t>
        </is>
      </c>
      <c r="Q105" s="2" t="inlineStr">
        <is>
          <t>-</t>
        </is>
      </c>
      <c r="R105" s="2" t="inlineStr">
        <is>
          <t>-</t>
        </is>
      </c>
      <c r="S105" s="2" t="inlineStr">
        <is>
          <t>20260309901300</t>
        </is>
      </c>
      <c r="T105" s="8">
        <f>HYPERLINK("https://dart.fss.or.kr/dsaf001/main.do?rcpNo=20260309901300", "공시열람")</f>
        <v/>
      </c>
    </row>
    <row r="106" ht="36" customHeight="1">
      <c r="A106" s="2" t="inlineStr">
        <is>
          <t>2026-03-09 (정정: 2026-06-26)</t>
        </is>
      </c>
      <c r="B106" s="3" t="inlineStr">
        <is>
          <t>블루산업개발</t>
        </is>
      </c>
      <c r="C106" s="2" t="inlineStr">
        <is>
          <t>코스피</t>
        </is>
      </c>
      <c r="D106" s="2" t="inlineStr">
        <is>
          <t>006740</t>
        </is>
      </c>
      <c r="E106" s="9" t="inlineStr">
        <is>
          <t>유상증자</t>
        </is>
      </c>
      <c r="F106" s="3" t="inlineStr">
        <is>
          <t>[기재정정]주요사항보고서(유상증자결정) (정정: 20260626) (정정: 20260626) (정정: 20260626)</t>
        </is>
      </c>
      <c r="G106" s="5" t="n">
        <v>4799948748</v>
      </c>
      <c r="H106" s="5" t="n">
        <v>1299</v>
      </c>
      <c r="I106" s="2" t="inlineStr">
        <is>
          <t>보통주식</t>
        </is>
      </c>
      <c r="J106" s="6" t="n">
        <v>7390220</v>
      </c>
      <c r="K106" s="2" t="inlineStr">
        <is>
          <t>2026-07-13</t>
        </is>
      </c>
      <c r="L106" s="2" t="inlineStr">
        <is>
          <t>2026-08-07</t>
        </is>
      </c>
      <c r="M106" s="2" t="inlineStr">
        <is>
          <t>-</t>
        </is>
      </c>
      <c r="N106" s="2" t="inlineStr">
        <is>
          <t>-</t>
        </is>
      </c>
      <c r="O106" s="10" t="n">
        <v>31.13005255935964</v>
      </c>
      <c r="P106" s="7" t="inlineStr">
        <is>
          <t>운영자금 (48.0억원)</t>
        </is>
      </c>
      <c r="Q106" s="2" t="inlineStr">
        <is>
          <t>-</t>
        </is>
      </c>
      <c r="R106" s="2" t="inlineStr">
        <is>
          <t>-</t>
        </is>
      </c>
      <c r="S106" s="2" t="inlineStr">
        <is>
          <t>20260626000569</t>
        </is>
      </c>
      <c r="T106" s="8">
        <f>HYPERLINK("https://dart.fss.or.kr/dsaf001/main.do?rcpNo=20260626000569", "공시열람")</f>
        <v/>
      </c>
    </row>
    <row r="107" ht="36" customHeight="1">
      <c r="A107" s="2" t="inlineStr">
        <is>
          <t>2025-07-24 (정정: 2026-03-10)</t>
        </is>
      </c>
      <c r="B107" s="3" t="inlineStr">
        <is>
          <t>NPX</t>
        </is>
      </c>
      <c r="C107" s="2" t="inlineStr">
        <is>
          <t>코스닥</t>
        </is>
      </c>
      <c r="D107" s="2" t="inlineStr">
        <is>
          <t>222160</t>
        </is>
      </c>
      <c r="E107" s="9" t="inlineStr">
        <is>
          <t>유상증자</t>
        </is>
      </c>
      <c r="F107" s="3" t="inlineStr">
        <is>
          <t>[기재정정]주요사항보고서(유상증자결정)</t>
        </is>
      </c>
      <c r="G107" s="5" t="n">
        <v>0</v>
      </c>
      <c r="H107" s="5" t="inlineStr"/>
      <c r="I107" s="2" t="inlineStr">
        <is>
          <t>보통주식</t>
        </is>
      </c>
      <c r="J107" s="6" t="n">
        <v>0</v>
      </c>
      <c r="K107" s="2" t="inlineStr">
        <is>
          <t>-</t>
        </is>
      </c>
      <c r="L107" s="2" t="inlineStr">
        <is>
          <t>-</t>
        </is>
      </c>
      <c r="M107" s="2" t="inlineStr">
        <is>
          <t>-</t>
        </is>
      </c>
      <c r="N107" s="2" t="inlineStr">
        <is>
          <t>-</t>
        </is>
      </c>
      <c r="O107" s="3" t="inlineStr"/>
      <c r="P107" s="7" t="inlineStr">
        <is>
          <t>-</t>
        </is>
      </c>
      <c r="Q107" s="2" t="inlineStr">
        <is>
          <t>-</t>
        </is>
      </c>
      <c r="R107" s="2" t="inlineStr">
        <is>
          <t>-</t>
        </is>
      </c>
      <c r="S107" s="2" t="inlineStr">
        <is>
          <t>20260310003095</t>
        </is>
      </c>
      <c r="T107" s="8">
        <f>HYPERLINK("https://dart.fss.or.kr/dsaf001/main.do?rcpNo=20260310003095", "공시열람")</f>
        <v/>
      </c>
    </row>
    <row r="108" ht="36" customHeight="1">
      <c r="A108" s="2" t="inlineStr">
        <is>
          <t>2026-03-10</t>
        </is>
      </c>
      <c r="B108" s="3" t="inlineStr">
        <is>
          <t>디에이치엑스컴퍼니</t>
        </is>
      </c>
      <c r="C108" s="2" t="inlineStr">
        <is>
          <t>코스닥</t>
        </is>
      </c>
      <c r="D108" s="2" t="inlineStr">
        <is>
          <t>031860</t>
        </is>
      </c>
      <c r="E108" s="11" t="inlineStr">
        <is>
          <t>전환사채(CB)</t>
        </is>
      </c>
      <c r="F108" s="3" t="inlineStr">
        <is>
          <t>주요사항보고서(전환사채권발행결정)</t>
        </is>
      </c>
      <c r="G108" s="5" t="n">
        <v>15000000000</v>
      </c>
      <c r="H108" s="5" t="n">
        <v>500</v>
      </c>
      <c r="I108" s="2" t="inlineStr">
        <is>
          <t>디에이치엑스컴퍼니 주식회사 기명식 보통주</t>
        </is>
      </c>
      <c r="J108" s="6" t="n">
        <v>30000000</v>
      </c>
      <c r="K108" s="2" t="inlineStr">
        <is>
          <t>2026년 10월 08일</t>
        </is>
      </c>
      <c r="L108" s="2" t="inlineStr">
        <is>
          <t>-</t>
        </is>
      </c>
      <c r="M108" s="2" t="inlineStr">
        <is>
          <t>2027-03-10</t>
        </is>
      </c>
      <c r="N108" s="2" t="inlineStr">
        <is>
          <t>2029-02-10</t>
        </is>
      </c>
      <c r="O108" s="10" t="n">
        <v>63.28</v>
      </c>
      <c r="P108" s="7" t="inlineStr">
        <is>
          <t>-</t>
        </is>
      </c>
      <c r="Q108" s="2" t="inlineStr">
        <is>
          <t>2028-12-10</t>
        </is>
      </c>
      <c r="R108" s="2" t="inlineStr">
        <is>
          <t>2027-01-09</t>
        </is>
      </c>
      <c r="S108" s="2" t="inlineStr">
        <is>
          <t>20260310003037</t>
        </is>
      </c>
      <c r="T108" s="8">
        <f>HYPERLINK("https://dart.fss.or.kr/dsaf001/main.do?rcpNo=20260310003037", "공시열람")</f>
        <v/>
      </c>
    </row>
    <row r="109" ht="36" customHeight="1">
      <c r="A109" s="2" t="inlineStr">
        <is>
          <t>2026-03-10</t>
        </is>
      </c>
      <c r="B109" s="3" t="inlineStr">
        <is>
          <t>LS</t>
        </is>
      </c>
      <c r="C109" s="2" t="inlineStr">
        <is>
          <t>코스피</t>
        </is>
      </c>
      <c r="D109" s="2" t="inlineStr">
        <is>
          <t>006260</t>
        </is>
      </c>
      <c r="E109" s="9" t="inlineStr">
        <is>
          <t>유상증자</t>
        </is>
      </c>
      <c r="F109" s="3" t="inlineStr">
        <is>
          <t xml:space="preserve">유상증자결정(자회사의 주요경영사항)              </t>
        </is>
      </c>
      <c r="G109" s="5" t="n">
        <v>200000023104</v>
      </c>
      <c r="H109" s="5" t="n">
        <v>57792</v>
      </c>
      <c r="I109" s="2" t="inlineStr">
        <is>
          <t>보통주식</t>
        </is>
      </c>
      <c r="J109" s="6" t="n">
        <v>3460687</v>
      </c>
      <c r="K109" s="2" t="inlineStr">
        <is>
          <t>2026-03-26</t>
        </is>
      </c>
      <c r="L109" s="2" t="inlineStr">
        <is>
          <t>-</t>
        </is>
      </c>
      <c r="M109" s="2" t="inlineStr">
        <is>
          <t>-</t>
        </is>
      </c>
      <c r="N109" s="2" t="inlineStr">
        <is>
          <t>-</t>
        </is>
      </c>
      <c r="O109" s="10" t="n">
        <v>7.418184186229084</v>
      </c>
      <c r="P109" s="7" t="inlineStr">
        <is>
          <t>타법인증권취득자금 (2000.0억원)</t>
        </is>
      </c>
      <c r="Q109" s="2" t="inlineStr">
        <is>
          <t>-</t>
        </is>
      </c>
      <c r="R109" s="2" t="inlineStr">
        <is>
          <t>-</t>
        </is>
      </c>
      <c r="S109" s="2" t="inlineStr">
        <is>
          <t>20260310801881</t>
        </is>
      </c>
      <c r="T109" s="8">
        <f>HYPERLINK("https://dart.fss.or.kr/dsaf001/main.do?rcpNo=20260310801881", "공시열람")</f>
        <v/>
      </c>
    </row>
    <row r="110" ht="36" customHeight="1">
      <c r="A110" s="2" t="inlineStr">
        <is>
          <t>2026-01-20 (정정: 2026-03-10)</t>
        </is>
      </c>
      <c r="B110" s="3" t="inlineStr">
        <is>
          <t>다보링크</t>
        </is>
      </c>
      <c r="C110" s="2" t="inlineStr">
        <is>
          <t>코스닥</t>
        </is>
      </c>
      <c r="D110" s="2" t="inlineStr">
        <is>
          <t>340360</t>
        </is>
      </c>
      <c r="E110" s="9" t="inlineStr">
        <is>
          <t>유상증자</t>
        </is>
      </c>
      <c r="F110" s="3" t="inlineStr">
        <is>
          <t>[기재정정]주요사항보고서(유상증자결정)</t>
        </is>
      </c>
      <c r="G110" s="5" t="n">
        <v>999</v>
      </c>
      <c r="H110" s="5" t="n">
        <v>1270</v>
      </c>
      <c r="I110" s="2" t="inlineStr">
        <is>
          <t>보통주식</t>
        </is>
      </c>
      <c r="J110" s="6" t="n">
        <v>787400</v>
      </c>
      <c r="K110" s="2" t="inlineStr">
        <is>
          <t>2026-04-02</t>
        </is>
      </c>
      <c r="L110" s="2" t="inlineStr">
        <is>
          <t>2026-04-24</t>
        </is>
      </c>
      <c r="M110" s="2" t="inlineStr">
        <is>
          <t>-</t>
        </is>
      </c>
      <c r="N110" s="2" t="inlineStr">
        <is>
          <t>-</t>
        </is>
      </c>
      <c r="O110" s="10" t="n">
        <v>1.543530873724531</v>
      </c>
      <c r="P110" s="7" t="inlineStr">
        <is>
          <t>운영자금 (999원)</t>
        </is>
      </c>
      <c r="Q110" s="2" t="inlineStr">
        <is>
          <t>-</t>
        </is>
      </c>
      <c r="R110" s="2" t="inlineStr">
        <is>
          <t>-</t>
        </is>
      </c>
      <c r="S110" s="2" t="inlineStr">
        <is>
          <t>20260310002606</t>
        </is>
      </c>
      <c r="T110" s="8">
        <f>HYPERLINK("https://dart.fss.or.kr/dsaf001/main.do?rcpNo=20260310002606", "공시열람")</f>
        <v/>
      </c>
    </row>
    <row r="111" ht="36" customHeight="1">
      <c r="A111" s="2" t="inlineStr">
        <is>
          <t>2026-03-10</t>
        </is>
      </c>
      <c r="B111" s="3" t="inlineStr">
        <is>
          <t>알에프세미</t>
        </is>
      </c>
      <c r="C111" s="2" t="inlineStr">
        <is>
          <t>코스닥</t>
        </is>
      </c>
      <c r="D111" s="2" t="inlineStr">
        <is>
          <t>096610</t>
        </is>
      </c>
      <c r="E111" s="2" t="inlineStr">
        <is>
          <t>기타</t>
        </is>
      </c>
      <c r="F111" s="3" t="inlineStr">
        <is>
          <t>전환사채(해외전환사채포함)발행후만기전사채취득              (제4회차)</t>
        </is>
      </c>
      <c r="G111" s="5" t="inlineStr"/>
      <c r="H111" s="5" t="inlineStr"/>
      <c r="I111" s="2" t="inlineStr">
        <is>
          <t>-</t>
        </is>
      </c>
      <c r="J111" s="6" t="inlineStr"/>
      <c r="K111" s="2" t="inlineStr">
        <is>
          <t>-</t>
        </is>
      </c>
      <c r="L111" s="2" t="inlineStr">
        <is>
          <t>-</t>
        </is>
      </c>
      <c r="M111" s="2" t="inlineStr">
        <is>
          <t>-</t>
        </is>
      </c>
      <c r="N111" s="2" t="inlineStr">
        <is>
          <t>-</t>
        </is>
      </c>
      <c r="O111" s="3" t="inlineStr"/>
      <c r="P111" s="7" t="inlineStr">
        <is>
          <t>-</t>
        </is>
      </c>
      <c r="Q111" s="2" t="inlineStr">
        <is>
          <t>-</t>
        </is>
      </c>
      <c r="R111" s="2" t="inlineStr">
        <is>
          <t>-</t>
        </is>
      </c>
      <c r="S111" s="2" t="inlineStr">
        <is>
          <t>20260310900989</t>
        </is>
      </c>
      <c r="T111" s="8">
        <f>HYPERLINK("https://dart.fss.or.kr/dsaf001/main.do?rcpNo=20260310900989", "공시열람")</f>
        <v/>
      </c>
    </row>
    <row r="112" ht="36" customHeight="1">
      <c r="A112" s="2" t="inlineStr">
        <is>
          <t>2026-02-27 (정정: 2026-03-10)</t>
        </is>
      </c>
      <c r="B112" s="3" t="inlineStr">
        <is>
          <t>시큐레터</t>
        </is>
      </c>
      <c r="C112" s="2" t="inlineStr">
        <is>
          <t>코스닥</t>
        </is>
      </c>
      <c r="D112" s="2" t="inlineStr">
        <is>
          <t>418250</t>
        </is>
      </c>
      <c r="E112" s="9" t="inlineStr">
        <is>
          <t>유상증자</t>
        </is>
      </c>
      <c r="F112" s="3" t="inlineStr">
        <is>
          <t>[기재정정]주요사항보고서(유상증자결정)</t>
        </is>
      </c>
      <c r="G112" s="5" t="n">
        <v>3000</v>
      </c>
      <c r="H112" s="5" t="n">
        <v>3290</v>
      </c>
      <c r="I112" s="2" t="inlineStr">
        <is>
          <t>보통주식</t>
        </is>
      </c>
      <c r="J112" s="6" t="n">
        <v>911855</v>
      </c>
      <c r="K112" s="2" t="inlineStr">
        <is>
          <t>2026-03-18</t>
        </is>
      </c>
      <c r="L112" s="2" t="inlineStr">
        <is>
          <t>2026-04-02</t>
        </is>
      </c>
      <c r="M112" s="2" t="inlineStr">
        <is>
          <t>-</t>
        </is>
      </c>
      <c r="N112" s="2" t="inlineStr">
        <is>
          <t>-</t>
        </is>
      </c>
      <c r="O112" s="10" t="n">
        <v>12.5399413196949</v>
      </c>
      <c r="P112" s="7" t="inlineStr">
        <is>
          <t>운영자금 (3,000원)</t>
        </is>
      </c>
      <c r="Q112" s="2" t="inlineStr">
        <is>
          <t>-</t>
        </is>
      </c>
      <c r="R112" s="2" t="inlineStr">
        <is>
          <t>-</t>
        </is>
      </c>
      <c r="S112" s="2" t="inlineStr">
        <is>
          <t>20260310002549</t>
        </is>
      </c>
      <c r="T112" s="8">
        <f>HYPERLINK("https://dart.fss.or.kr/dsaf001/main.do?rcpNo=20260310002549", "공시열람")</f>
        <v/>
      </c>
    </row>
    <row r="113" ht="36" customHeight="1">
      <c r="A113" s="2" t="inlineStr">
        <is>
          <t>2026-03-10</t>
        </is>
      </c>
      <c r="B113" s="3" t="inlineStr">
        <is>
          <t>라피치</t>
        </is>
      </c>
      <c r="C113" s="2" t="inlineStr">
        <is>
          <t>코넥스</t>
        </is>
      </c>
      <c r="D113" s="2" t="inlineStr">
        <is>
          <t>403360</t>
        </is>
      </c>
      <c r="E113" s="9" t="inlineStr">
        <is>
          <t>유상증자</t>
        </is>
      </c>
      <c r="F113" s="3" t="inlineStr">
        <is>
          <t>주요사항보고서(유상증자결정)</t>
        </is>
      </c>
      <c r="G113" s="5" t="n">
        <v>1500</v>
      </c>
      <c r="H113" s="5" t="n">
        <v>11000</v>
      </c>
      <c r="I113" s="2" t="inlineStr">
        <is>
          <t>보통주식</t>
        </is>
      </c>
      <c r="J113" s="6" t="n">
        <v>136363</v>
      </c>
      <c r="K113" s="2" t="inlineStr">
        <is>
          <t>2026.03.20</t>
        </is>
      </c>
      <c r="L113" s="2" t="inlineStr">
        <is>
          <t>2026.04.03</t>
        </is>
      </c>
      <c r="M113" s="2" t="inlineStr">
        <is>
          <t>-</t>
        </is>
      </c>
      <c r="N113" s="2" t="inlineStr">
        <is>
          <t>-</t>
        </is>
      </c>
      <c r="O113" s="10" t="n">
        <v>3.953176357765606</v>
      </c>
      <c r="P113" s="7" t="inlineStr">
        <is>
          <t>운영자금 (1,500원)</t>
        </is>
      </c>
      <c r="Q113" s="2" t="inlineStr">
        <is>
          <t>-</t>
        </is>
      </c>
      <c r="R113" s="2" t="inlineStr">
        <is>
          <t>-</t>
        </is>
      </c>
      <c r="S113" s="2" t="inlineStr">
        <is>
          <t>20260310002430</t>
        </is>
      </c>
      <c r="T113" s="8">
        <f>HYPERLINK("https://dart.fss.or.kr/dsaf001/main.do?rcpNo=20260310002430", "공시열람")</f>
        <v/>
      </c>
    </row>
    <row r="114" ht="36" customHeight="1">
      <c r="A114" s="2" t="inlineStr">
        <is>
          <t>2026-03-10</t>
        </is>
      </c>
      <c r="B114" s="3" t="inlineStr">
        <is>
          <t>우리기술</t>
        </is>
      </c>
      <c r="C114" s="2" t="inlineStr">
        <is>
          <t>코스닥</t>
        </is>
      </c>
      <c r="D114" s="2" t="inlineStr">
        <is>
          <t>032820</t>
        </is>
      </c>
      <c r="E114" s="2" t="inlineStr">
        <is>
          <t>기타</t>
        </is>
      </c>
      <c r="F114" s="3" t="inlineStr">
        <is>
          <t xml:space="preserve">전환사채(해외전환사채포함)발행후만기전사채취득              </t>
        </is>
      </c>
      <c r="G114" s="5" t="inlineStr"/>
      <c r="H114" s="5" t="inlineStr"/>
      <c r="I114" s="2" t="inlineStr">
        <is>
          <t>-</t>
        </is>
      </c>
      <c r="J114" s="6" t="inlineStr"/>
      <c r="K114" s="2" t="inlineStr">
        <is>
          <t>-</t>
        </is>
      </c>
      <c r="L114" s="2" t="inlineStr">
        <is>
          <t>-</t>
        </is>
      </c>
      <c r="M114" s="2" t="inlineStr">
        <is>
          <t>-</t>
        </is>
      </c>
      <c r="N114" s="2" t="inlineStr">
        <is>
          <t>-</t>
        </is>
      </c>
      <c r="O114" s="3" t="inlineStr"/>
      <c r="P114" s="7" t="inlineStr">
        <is>
          <t>-</t>
        </is>
      </c>
      <c r="Q114" s="2" t="inlineStr">
        <is>
          <t>-</t>
        </is>
      </c>
      <c r="R114" s="2" t="inlineStr">
        <is>
          <t>-</t>
        </is>
      </c>
      <c r="S114" s="2" t="inlineStr">
        <is>
          <t>20260310900819</t>
        </is>
      </c>
      <c r="T114" s="8">
        <f>HYPERLINK("https://dart.fss.or.kr/dsaf001/main.do?rcpNo=20260310900819", "공시열람")</f>
        <v/>
      </c>
    </row>
    <row r="115" ht="36" customHeight="1">
      <c r="A115" s="2" t="inlineStr">
        <is>
          <t>2025-11-24 (정정: 2026-03-10)</t>
        </is>
      </c>
      <c r="B115" s="3" t="inlineStr">
        <is>
          <t>스코넥</t>
        </is>
      </c>
      <c r="C115" s="2" t="inlineStr">
        <is>
          <t>코스닥</t>
        </is>
      </c>
      <c r="D115" s="2" t="inlineStr">
        <is>
          <t>276040</t>
        </is>
      </c>
      <c r="E115" s="11" t="inlineStr">
        <is>
          <t>전환사채(CB)</t>
        </is>
      </c>
      <c r="F115" s="3" t="inlineStr">
        <is>
          <t>[기재정정]주요사항보고서(전환사채권발행결정)</t>
        </is>
      </c>
      <c r="G115" s="5" t="inlineStr"/>
      <c r="H115" s="5" t="inlineStr"/>
      <c r="I115" s="2" t="inlineStr">
        <is>
          <t>-</t>
        </is>
      </c>
      <c r="J115" s="6" t="inlineStr"/>
      <c r="K115" s="2" t="inlineStr">
        <is>
          <t>-</t>
        </is>
      </c>
      <c r="L115" s="2" t="inlineStr">
        <is>
          <t>-</t>
        </is>
      </c>
      <c r="M115" s="2" t="inlineStr">
        <is>
          <t>2027-03-10</t>
        </is>
      </c>
      <c r="N115" s="2" t="inlineStr">
        <is>
          <t>2029-02-10</t>
        </is>
      </c>
      <c r="O115" s="3" t="inlineStr"/>
      <c r="P115" s="7" t="inlineStr">
        <is>
          <t>-</t>
        </is>
      </c>
      <c r="Q115" s="2" t="inlineStr">
        <is>
          <t>2027-02-18</t>
        </is>
      </c>
      <c r="R115" s="2" t="inlineStr">
        <is>
          <t>2027-01-09</t>
        </is>
      </c>
      <c r="S115" s="2" t="inlineStr">
        <is>
          <t>20260310002406</t>
        </is>
      </c>
      <c r="T115" s="8">
        <f>HYPERLINK("https://dart.fss.or.kr/dsaf001/main.do?rcpNo=20260310002406", "공시열람")</f>
        <v/>
      </c>
    </row>
    <row r="116" ht="36" customHeight="1">
      <c r="A116" s="2" t="inlineStr">
        <is>
          <t>2025-11-10 (정정: 2026-03-10)</t>
        </is>
      </c>
      <c r="B116" s="3" t="inlineStr">
        <is>
          <t>아이톡시</t>
        </is>
      </c>
      <c r="C116" s="2" t="inlineStr">
        <is>
          <t>코스닥</t>
        </is>
      </c>
      <c r="D116" s="2" t="inlineStr">
        <is>
          <t>052770</t>
        </is>
      </c>
      <c r="E116" s="9" t="inlineStr">
        <is>
          <t>유상증자</t>
        </is>
      </c>
      <c r="F116" s="3" t="inlineStr">
        <is>
          <t>[기재정정]주요사항보고서(유상증자결정)</t>
        </is>
      </c>
      <c r="G116" s="5" t="n">
        <v>899999533</v>
      </c>
      <c r="H116" s="5" t="n">
        <v>527</v>
      </c>
      <c r="I116" s="2" t="inlineStr">
        <is>
          <t>보통주식</t>
        </is>
      </c>
      <c r="J116" s="6" t="n">
        <v>3415558</v>
      </c>
      <c r="K116" s="2" t="inlineStr">
        <is>
          <t>2026-03-13</t>
        </is>
      </c>
      <c r="L116" s="2" t="inlineStr">
        <is>
          <t>2026-04-10</t>
        </is>
      </c>
      <c r="M116" s="2" t="inlineStr">
        <is>
          <t>-</t>
        </is>
      </c>
      <c r="N116" s="2" t="inlineStr">
        <is>
          <t>-</t>
        </is>
      </c>
      <c r="O116" s="10" t="n">
        <v>23.44437493504944</v>
      </c>
      <c r="P116" s="7" t="inlineStr">
        <is>
          <t>운영자금 (9.0억원)</t>
        </is>
      </c>
      <c r="Q116" s="2" t="inlineStr">
        <is>
          <t>-</t>
        </is>
      </c>
      <c r="R116" s="2" t="inlineStr">
        <is>
          <t>-</t>
        </is>
      </c>
      <c r="S116" s="2" t="inlineStr">
        <is>
          <t>20260310002195</t>
        </is>
      </c>
      <c r="T116" s="8">
        <f>HYPERLINK("https://dart.fss.or.kr/dsaf001/main.do?rcpNo=20260310002195", "공시열람")</f>
        <v/>
      </c>
    </row>
    <row r="117" ht="36" customHeight="1">
      <c r="A117" s="2" t="inlineStr">
        <is>
          <t>2026-03-10</t>
        </is>
      </c>
      <c r="B117" s="3" t="inlineStr">
        <is>
          <t>로킷헬스케어</t>
        </is>
      </c>
      <c r="C117" s="2" t="inlineStr">
        <is>
          <t>코스닥</t>
        </is>
      </c>
      <c r="D117" s="2" t="inlineStr">
        <is>
          <t>376900</t>
        </is>
      </c>
      <c r="E117" s="9" t="inlineStr">
        <is>
          <t>유상증자</t>
        </is>
      </c>
      <c r="F117" s="3" t="inlineStr">
        <is>
          <t>주요사항보고서(유상증자결정)</t>
        </is>
      </c>
      <c r="G117" s="5" t="n">
        <v>62499399888</v>
      </c>
      <c r="H117" s="5" t="inlineStr"/>
      <c r="I117" s="2" t="inlineStr">
        <is>
          <t>보통주식</t>
        </is>
      </c>
      <c r="J117" s="6" t="n">
        <v>0</v>
      </c>
      <c r="K117" s="2" t="inlineStr">
        <is>
          <t>2026-03-18</t>
        </is>
      </c>
      <c r="L117" s="2" t="inlineStr">
        <is>
          <t>-</t>
        </is>
      </c>
      <c r="M117" s="2" t="inlineStr">
        <is>
          <t>-</t>
        </is>
      </c>
      <c r="N117" s="2" t="inlineStr">
        <is>
          <t>-</t>
        </is>
      </c>
      <c r="O117" s="10" t="n">
        <v>0</v>
      </c>
      <c r="P117" s="7" t="inlineStr">
        <is>
          <t>운영자금 (625.0억원)</t>
        </is>
      </c>
      <c r="Q117" s="2" t="inlineStr">
        <is>
          <t>-</t>
        </is>
      </c>
      <c r="R117" s="2" t="inlineStr">
        <is>
          <t>-</t>
        </is>
      </c>
      <c r="S117" s="2" t="inlineStr">
        <is>
          <t>20260310002182</t>
        </is>
      </c>
      <c r="T117" s="8">
        <f>HYPERLINK("https://dart.fss.or.kr/dsaf001/main.do?rcpNo=20260310002182", "공시열람")</f>
        <v/>
      </c>
    </row>
    <row r="118" ht="36" customHeight="1">
      <c r="A118" s="2" t="inlineStr">
        <is>
          <t>2026-03-10</t>
        </is>
      </c>
      <c r="B118" s="3" t="inlineStr">
        <is>
          <t>씨어스</t>
        </is>
      </c>
      <c r="C118" s="2" t="inlineStr">
        <is>
          <t>코스닥</t>
        </is>
      </c>
      <c r="D118" s="2" t="inlineStr">
        <is>
          <t>458870</t>
        </is>
      </c>
      <c r="E118" s="2" t="inlineStr">
        <is>
          <t>무상증자</t>
        </is>
      </c>
      <c r="F118" s="3" t="inlineStr">
        <is>
          <t>주요사항보고서(무상증자결정)</t>
        </is>
      </c>
      <c r="G118" s="5" t="inlineStr"/>
      <c r="H118" s="5" t="inlineStr"/>
      <c r="I118" s="2" t="inlineStr">
        <is>
          <t>-</t>
        </is>
      </c>
      <c r="J118" s="6" t="inlineStr"/>
      <c r="K118" s="2" t="inlineStr">
        <is>
          <t>-</t>
        </is>
      </c>
      <c r="L118" s="2" t="inlineStr">
        <is>
          <t>-</t>
        </is>
      </c>
      <c r="M118" s="2" t="inlineStr">
        <is>
          <t>-</t>
        </is>
      </c>
      <c r="N118" s="2" t="inlineStr">
        <is>
          <t>-</t>
        </is>
      </c>
      <c r="O118" s="3" t="inlineStr"/>
      <c r="P118" s="7" t="inlineStr">
        <is>
          <t>-</t>
        </is>
      </c>
      <c r="Q118" s="2" t="inlineStr">
        <is>
          <t>-</t>
        </is>
      </c>
      <c r="R118" s="2" t="inlineStr">
        <is>
          <t>-</t>
        </is>
      </c>
      <c r="S118" s="2" t="inlineStr">
        <is>
          <t>20260310001956</t>
        </is>
      </c>
      <c r="T118" s="8">
        <f>HYPERLINK("https://dart.fss.or.kr/dsaf001/main.do?rcpNo=20260310001956", "공시열람")</f>
        <v/>
      </c>
    </row>
    <row r="119" ht="36" customHeight="1">
      <c r="A119" s="2" t="inlineStr">
        <is>
          <t>2026-03-11 (정정: 2026-03-11)</t>
        </is>
      </c>
      <c r="B119" s="3" t="inlineStr">
        <is>
          <t>코아스</t>
        </is>
      </c>
      <c r="C119" s="2" t="inlineStr">
        <is>
          <t>코스피</t>
        </is>
      </c>
      <c r="D119" s="2" t="inlineStr">
        <is>
          <t>071950</t>
        </is>
      </c>
      <c r="E119" s="9" t="inlineStr">
        <is>
          <t>유상증자</t>
        </is>
      </c>
      <c r="F119" s="3" t="inlineStr">
        <is>
          <t>[첨부정정]주요사항보고서(유상증자결정) (정정: 20260311)</t>
        </is>
      </c>
      <c r="G119" s="5" t="n">
        <v>4999639252</v>
      </c>
      <c r="H119" s="5" t="n">
        <v>2374</v>
      </c>
      <c r="I119" s="2" t="inlineStr">
        <is>
          <t>보통주식</t>
        </is>
      </c>
      <c r="J119" s="6" t="n">
        <v>4211996</v>
      </c>
      <c r="K119" s="2" t="inlineStr">
        <is>
          <t>2026-04-03</t>
        </is>
      </c>
      <c r="L119" s="2" t="inlineStr">
        <is>
          <t>2026-04-17</t>
        </is>
      </c>
      <c r="M119" s="2" t="inlineStr">
        <is>
          <t>-</t>
        </is>
      </c>
      <c r="N119" s="2" t="inlineStr">
        <is>
          <t>-</t>
        </is>
      </c>
      <c r="O119" s="10" t="n">
        <v>35.65529491367254</v>
      </c>
      <c r="P119" s="7" t="inlineStr">
        <is>
          <t>운영자금 (50.0억원)</t>
        </is>
      </c>
      <c r="Q119" s="2" t="inlineStr">
        <is>
          <t>-</t>
        </is>
      </c>
      <c r="R119" s="2" t="inlineStr">
        <is>
          <t>-</t>
        </is>
      </c>
      <c r="S119" s="2" t="inlineStr">
        <is>
          <t>20260311003784</t>
        </is>
      </c>
      <c r="T119" s="8">
        <f>HYPERLINK("https://dart.fss.or.kr/dsaf001/main.do?rcpNo=20260311003784", "공시열람")</f>
        <v/>
      </c>
    </row>
    <row r="120" ht="36" customHeight="1">
      <c r="A120" s="2" t="inlineStr">
        <is>
          <t>2026-03-11</t>
        </is>
      </c>
      <c r="B120" s="3" t="inlineStr">
        <is>
          <t>씨엔플러스</t>
        </is>
      </c>
      <c r="C120" s="2" t="inlineStr">
        <is>
          <t>코스닥</t>
        </is>
      </c>
      <c r="D120" s="2" t="inlineStr">
        <is>
          <t>115530</t>
        </is>
      </c>
      <c r="E120" s="2" t="inlineStr">
        <is>
          <t>기타</t>
        </is>
      </c>
      <c r="F120" s="3" t="inlineStr">
        <is>
          <t>전환사채(해외전환사채포함)발행후만기전사채취득              (제7회차)</t>
        </is>
      </c>
      <c r="G120" s="5" t="inlineStr"/>
      <c r="H120" s="5" t="inlineStr"/>
      <c r="I120" s="2" t="inlineStr">
        <is>
          <t>-</t>
        </is>
      </c>
      <c r="J120" s="6" t="inlineStr"/>
      <c r="K120" s="2" t="inlineStr">
        <is>
          <t>-</t>
        </is>
      </c>
      <c r="L120" s="2" t="inlineStr">
        <is>
          <t>-</t>
        </is>
      </c>
      <c r="M120" s="2" t="inlineStr">
        <is>
          <t>-</t>
        </is>
      </c>
      <c r="N120" s="2" t="inlineStr">
        <is>
          <t>-</t>
        </is>
      </c>
      <c r="O120" s="3" t="inlineStr"/>
      <c r="P120" s="7" t="inlineStr">
        <is>
          <t>-</t>
        </is>
      </c>
      <c r="Q120" s="2" t="inlineStr">
        <is>
          <t>-</t>
        </is>
      </c>
      <c r="R120" s="2" t="inlineStr">
        <is>
          <t>-</t>
        </is>
      </c>
      <c r="S120" s="2" t="inlineStr">
        <is>
          <t>20260311902563</t>
        </is>
      </c>
      <c r="T120" s="8">
        <f>HYPERLINK("https://dart.fss.or.kr/dsaf001/main.do?rcpNo=20260311902563", "공시열람")</f>
        <v/>
      </c>
    </row>
    <row r="121" ht="36" customHeight="1">
      <c r="A121" s="2" t="inlineStr">
        <is>
          <t>2026-03-11 (정정: 2026-06-18)</t>
        </is>
      </c>
      <c r="B121" s="3" t="inlineStr">
        <is>
          <t>뉴인텍</t>
        </is>
      </c>
      <c r="C121" s="2" t="inlineStr">
        <is>
          <t>코스닥</t>
        </is>
      </c>
      <c r="D121" s="2" t="inlineStr">
        <is>
          <t>012340</t>
        </is>
      </c>
      <c r="E121" s="9" t="inlineStr">
        <is>
          <t>유상증자</t>
        </is>
      </c>
      <c r="F121" s="3" t="inlineStr">
        <is>
          <t>주요사항보고서(유상증자결정) (정정: 20260618)</t>
        </is>
      </c>
      <c r="G121" s="5" t="n">
        <v>5920000000</v>
      </c>
      <c r="H121" s="5" t="n">
        <v>800</v>
      </c>
      <c r="I121" s="2" t="inlineStr">
        <is>
          <t>보통주식</t>
        </is>
      </c>
      <c r="J121" s="6" t="n">
        <v>7400000</v>
      </c>
      <c r="K121" s="2" t="inlineStr">
        <is>
          <t>2026-06-30</t>
        </is>
      </c>
      <c r="L121" s="2" t="inlineStr">
        <is>
          <t>2026-07-10</t>
        </is>
      </c>
      <c r="M121" s="2" t="inlineStr">
        <is>
          <t>-</t>
        </is>
      </c>
      <c r="N121" s="2" t="inlineStr">
        <is>
          <t>-</t>
        </is>
      </c>
      <c r="O121" s="10" t="n">
        <v>65.48491758457644</v>
      </c>
      <c r="P121" s="7" t="inlineStr">
        <is>
          <t>운영자금 (1.2억원), 시설자금 (40.0억원), 채무상환자금 (18.0억원)</t>
        </is>
      </c>
      <c r="Q121" s="2" t="inlineStr">
        <is>
          <t>-</t>
        </is>
      </c>
      <c r="R121" s="2" t="inlineStr">
        <is>
          <t>-</t>
        </is>
      </c>
      <c r="S121" s="2" t="inlineStr">
        <is>
          <t>20260618000108</t>
        </is>
      </c>
      <c r="T121" s="8">
        <f>HYPERLINK("https://dart.fss.or.kr/dsaf001/main.do?rcpNo=20260618000108", "공시열람")</f>
        <v/>
      </c>
    </row>
    <row r="122" ht="36" customHeight="1">
      <c r="A122" s="2" t="inlineStr">
        <is>
          <t>2025-10-20 (정정: 2026-03-11)</t>
        </is>
      </c>
      <c r="B122" s="3" t="inlineStr">
        <is>
          <t>비투엔</t>
        </is>
      </c>
      <c r="C122" s="2" t="inlineStr">
        <is>
          <t>코스닥</t>
        </is>
      </c>
      <c r="D122" s="2" t="inlineStr">
        <is>
          <t>307870</t>
        </is>
      </c>
      <c r="E122" s="9" t="inlineStr">
        <is>
          <t>유상증자</t>
        </is>
      </c>
      <c r="F122" s="3" t="inlineStr">
        <is>
          <t>[기재정정]주요사항보고서(유상증자결정)</t>
        </is>
      </c>
      <c r="G122" s="5" t="n">
        <v>7500</v>
      </c>
      <c r="H122" s="5" t="n">
        <v>509</v>
      </c>
      <c r="I122" s="2" t="inlineStr">
        <is>
          <t>보통주식</t>
        </is>
      </c>
      <c r="J122" s="6" t="n">
        <v>29469548</v>
      </c>
      <c r="K122" s="2" t="inlineStr">
        <is>
          <t>2026-03-24</t>
        </is>
      </c>
      <c r="L122" s="2" t="inlineStr">
        <is>
          <t>2026-04-15</t>
        </is>
      </c>
      <c r="M122" s="2" t="inlineStr">
        <is>
          <t>-</t>
        </is>
      </c>
      <c r="N122" s="2" t="inlineStr">
        <is>
          <t>-</t>
        </is>
      </c>
      <c r="O122" s="10" t="n">
        <v>49.47501037992237</v>
      </c>
      <c r="P122" s="7" t="inlineStr">
        <is>
          <t>운영자금 (7,500원)</t>
        </is>
      </c>
      <c r="Q122" s="2" t="inlineStr">
        <is>
          <t>-</t>
        </is>
      </c>
      <c r="R122" s="2" t="inlineStr">
        <is>
          <t>-</t>
        </is>
      </c>
      <c r="S122" s="2" t="inlineStr">
        <is>
          <t>20260311004471</t>
        </is>
      </c>
      <c r="T122" s="8">
        <f>HYPERLINK("https://dart.fss.or.kr/dsaf001/main.do?rcpNo=20260311004471", "공시열람")</f>
        <v/>
      </c>
    </row>
    <row r="123" ht="36" customHeight="1">
      <c r="A123" s="2" t="inlineStr">
        <is>
          <t>2026-03-11</t>
        </is>
      </c>
      <c r="B123" s="3" t="inlineStr">
        <is>
          <t>한주에이알티</t>
        </is>
      </c>
      <c r="C123" s="2" t="inlineStr">
        <is>
          <t>코스닥</t>
        </is>
      </c>
      <c r="D123" s="2" t="inlineStr">
        <is>
          <t>058450</t>
        </is>
      </c>
      <c r="E123" s="11" t="inlineStr">
        <is>
          <t>전환사채(CB)</t>
        </is>
      </c>
      <c r="F123" s="3" t="inlineStr">
        <is>
          <t>주요사항보고서(전환사채권발행결정)</t>
        </is>
      </c>
      <c r="G123" s="5" t="n">
        <v>500000000</v>
      </c>
      <c r="H123" s="5" t="n">
        <v>524</v>
      </c>
      <c r="I123" s="2" t="inlineStr">
        <is>
          <t>한주에이알티 주식회사 기명식 보통주</t>
        </is>
      </c>
      <c r="J123" s="6" t="n">
        <v>954198</v>
      </c>
      <c r="K123" s="2" t="inlineStr">
        <is>
          <t>2026년 03월 20일</t>
        </is>
      </c>
      <c r="L123" s="2" t="inlineStr">
        <is>
          <t>-</t>
        </is>
      </c>
      <c r="M123" s="2" t="inlineStr">
        <is>
          <t>2027-03-20</t>
        </is>
      </c>
      <c r="N123" s="2" t="inlineStr">
        <is>
          <t>2056-02-20</t>
        </is>
      </c>
      <c r="O123" s="10" t="n">
        <v>4.76</v>
      </c>
      <c r="P123" s="7" t="inlineStr">
        <is>
          <t>-</t>
        </is>
      </c>
      <c r="Q123" s="2" t="inlineStr">
        <is>
          <t>-</t>
        </is>
      </c>
      <c r="R123" s="2" t="inlineStr">
        <is>
          <t>2027-03-20</t>
        </is>
      </c>
      <c r="S123" s="2" t="inlineStr">
        <is>
          <t>20260311004183</t>
        </is>
      </c>
      <c r="T123" s="8">
        <f>HYPERLINK("https://dart.fss.or.kr/dsaf001/main.do?rcpNo=20260311004183", "공시열람")</f>
        <v/>
      </c>
    </row>
    <row r="124" ht="36" customHeight="1">
      <c r="A124" s="2" t="inlineStr">
        <is>
          <t>2026-03-11 (정정: 2026-06-22)</t>
        </is>
      </c>
      <c r="B124" s="3" t="inlineStr">
        <is>
          <t>사토시홀딩스</t>
        </is>
      </c>
      <c r="C124" s="2" t="inlineStr">
        <is>
          <t>코스닥</t>
        </is>
      </c>
      <c r="D124" s="2" t="inlineStr">
        <is>
          <t>223310</t>
        </is>
      </c>
      <c r="E124" s="11" t="inlineStr">
        <is>
          <t>전환사채(CB)</t>
        </is>
      </c>
      <c r="F124" s="3" t="inlineStr">
        <is>
          <t>[기재정정]주요사항보고서(전환사채권발행결정) (정정: 20260622)</t>
        </is>
      </c>
      <c r="G124" s="5" t="n">
        <v>10000000000</v>
      </c>
      <c r="H124" s="5" t="n">
        <v>5247</v>
      </c>
      <c r="I124" s="2" t="inlineStr">
        <is>
          <t>사토시홀딩스 주식회사 기명식 보통주</t>
        </is>
      </c>
      <c r="J124" s="6" t="n">
        <v>1905850</v>
      </c>
      <c r="K124" s="2" t="inlineStr">
        <is>
          <t>2026년 06월 30일</t>
        </is>
      </c>
      <c r="L124" s="2" t="inlineStr">
        <is>
          <t>-</t>
        </is>
      </c>
      <c r="M124" s="2" t="inlineStr">
        <is>
          <t>2027-06-30</t>
        </is>
      </c>
      <c r="N124" s="2" t="inlineStr">
        <is>
          <t>2029-05-31</t>
        </is>
      </c>
      <c r="O124" s="10" t="n">
        <v>26.8</v>
      </c>
      <c r="P124" s="7" t="inlineStr">
        <is>
          <t>-</t>
        </is>
      </c>
      <c r="Q124" s="2" t="inlineStr">
        <is>
          <t>2026-09-30</t>
        </is>
      </c>
      <c r="R124" s="2" t="inlineStr">
        <is>
          <t>2026-06-30</t>
        </is>
      </c>
      <c r="S124" s="2" t="inlineStr">
        <is>
          <t>20260622000392</t>
        </is>
      </c>
      <c r="T124" s="8">
        <f>HYPERLINK("https://dart.fss.or.kr/dsaf001/main.do?rcpNo=20260622000392", "공시열람")</f>
        <v/>
      </c>
    </row>
    <row r="125" ht="36" customHeight="1">
      <c r="A125" s="2" t="inlineStr">
        <is>
          <t>2026-02-19 (정정: 2026-03-11)</t>
        </is>
      </c>
      <c r="B125" s="3" t="inlineStr">
        <is>
          <t>이오플로우</t>
        </is>
      </c>
      <c r="C125" s="2" t="inlineStr">
        <is>
          <t>코스닥</t>
        </is>
      </c>
      <c r="D125" s="2" t="inlineStr">
        <is>
          <t>294090</t>
        </is>
      </c>
      <c r="E125" s="9" t="inlineStr">
        <is>
          <t>유상증자</t>
        </is>
      </c>
      <c r="F125" s="3" t="inlineStr">
        <is>
          <t>[기재정정]주요사항보고서(유상증자결정)</t>
        </is>
      </c>
      <c r="G125" s="5" t="n">
        <v>1060</v>
      </c>
      <c r="H125" s="5" t="n">
        <v>2000</v>
      </c>
      <c r="I125" s="2" t="inlineStr">
        <is>
          <t>보통주식</t>
        </is>
      </c>
      <c r="J125" s="6" t="n">
        <v>530000</v>
      </c>
      <c r="K125" s="2" t="inlineStr">
        <is>
          <t>2026-03-11</t>
        </is>
      </c>
      <c r="L125" s="2" t="inlineStr">
        <is>
          <t>2026-03-24</t>
        </is>
      </c>
      <c r="M125" s="2" t="inlineStr">
        <is>
          <t>-</t>
        </is>
      </c>
      <c r="N125" s="2" t="inlineStr">
        <is>
          <t>-</t>
        </is>
      </c>
      <c r="O125" s="10" t="n">
        <v>1.290193639807878</v>
      </c>
      <c r="P125" s="7" t="inlineStr">
        <is>
          <t>운영자금 (1,060원)</t>
        </is>
      </c>
      <c r="Q125" s="2" t="inlineStr">
        <is>
          <t>-</t>
        </is>
      </c>
      <c r="R125" s="2" t="inlineStr">
        <is>
          <t>-</t>
        </is>
      </c>
      <c r="S125" s="2" t="inlineStr">
        <is>
          <t>20260311003910</t>
        </is>
      </c>
      <c r="T125" s="8">
        <f>HYPERLINK("https://dart.fss.or.kr/dsaf001/main.do?rcpNo=20260311003910", "공시열람")</f>
        <v/>
      </c>
    </row>
    <row r="126" ht="36" customHeight="1">
      <c r="A126" s="2" t="inlineStr">
        <is>
          <t>2026-03-11 (정정: 2026-06-11)</t>
        </is>
      </c>
      <c r="B126" s="3" t="inlineStr">
        <is>
          <t>대양금속</t>
        </is>
      </c>
      <c r="C126" s="2" t="inlineStr">
        <is>
          <t>코스피</t>
        </is>
      </c>
      <c r="D126" s="2" t="inlineStr">
        <is>
          <t>009190</t>
        </is>
      </c>
      <c r="E126" s="9" t="inlineStr">
        <is>
          <t>유상증자</t>
        </is>
      </c>
      <c r="F126" s="3" t="inlineStr">
        <is>
          <t>[기재정정]주요사항보고서(유상증자결정) (정정: 20260611)</t>
        </is>
      </c>
      <c r="G126" s="5" t="n">
        <v>4999999824</v>
      </c>
      <c r="H126" s="5" t="n">
        <v>1214</v>
      </c>
      <c r="I126" s="2" t="inlineStr">
        <is>
          <t>보통주식</t>
        </is>
      </c>
      <c r="J126" s="6" t="n">
        <v>48104891</v>
      </c>
      <c r="K126" s="2" t="inlineStr">
        <is>
          <t>2026-07-31</t>
        </is>
      </c>
      <c r="L126" s="2" t="inlineStr">
        <is>
          <t>2026-08-27</t>
        </is>
      </c>
      <c r="M126" s="2" t="inlineStr">
        <is>
          <t>-</t>
        </is>
      </c>
      <c r="N126" s="2" t="inlineStr">
        <is>
          <t>-</t>
        </is>
      </c>
      <c r="O126" s="10" t="n">
        <v>109.3634116551129</v>
      </c>
      <c r="P126" s="7" t="inlineStr">
        <is>
          <t>운영자금 (30.0억원), 타법인증권취득자금 (20.0억원)</t>
        </is>
      </c>
      <c r="Q126" s="2" t="inlineStr">
        <is>
          <t>-</t>
        </is>
      </c>
      <c r="R126" s="2" t="inlineStr">
        <is>
          <t>-</t>
        </is>
      </c>
      <c r="S126" s="2" t="inlineStr">
        <is>
          <t>20260611000489</t>
        </is>
      </c>
      <c r="T126" s="8">
        <f>HYPERLINK("https://dart.fss.or.kr/dsaf001/main.do?rcpNo=20260611000489", "공시열람")</f>
        <v/>
      </c>
    </row>
    <row r="127" ht="36" customHeight="1">
      <c r="A127" s="2" t="inlineStr">
        <is>
          <t>2026-03-11</t>
        </is>
      </c>
      <c r="B127" s="3" t="inlineStr">
        <is>
          <t>오이솔루션</t>
        </is>
      </c>
      <c r="C127" s="2" t="inlineStr">
        <is>
          <t>코스닥</t>
        </is>
      </c>
      <c r="D127" s="2" t="inlineStr">
        <is>
          <t>138080</t>
        </is>
      </c>
      <c r="E127" s="2" t="inlineStr">
        <is>
          <t>기타</t>
        </is>
      </c>
      <c r="F127" s="3" t="inlineStr">
        <is>
          <t xml:space="preserve">전환사채(해외전환사채포함)발행후만기전사채취득              </t>
        </is>
      </c>
      <c r="G127" s="5" t="inlineStr"/>
      <c r="H127" s="5" t="inlineStr"/>
      <c r="I127" s="2" t="inlineStr">
        <is>
          <t>-</t>
        </is>
      </c>
      <c r="J127" s="6" t="inlineStr"/>
      <c r="K127" s="2" t="inlineStr">
        <is>
          <t>-</t>
        </is>
      </c>
      <c r="L127" s="2" t="inlineStr">
        <is>
          <t>-</t>
        </is>
      </c>
      <c r="M127" s="2" t="inlineStr">
        <is>
          <t>-</t>
        </is>
      </c>
      <c r="N127" s="2" t="inlineStr">
        <is>
          <t>-</t>
        </is>
      </c>
      <c r="O127" s="3" t="inlineStr"/>
      <c r="P127" s="7" t="inlineStr">
        <is>
          <t>-</t>
        </is>
      </c>
      <c r="Q127" s="2" t="inlineStr">
        <is>
          <t>-</t>
        </is>
      </c>
      <c r="R127" s="2" t="inlineStr">
        <is>
          <t>-</t>
        </is>
      </c>
      <c r="S127" s="2" t="inlineStr">
        <is>
          <t>20260311901341</t>
        </is>
      </c>
      <c r="T127" s="8">
        <f>HYPERLINK("https://dart.fss.or.kr/dsaf001/main.do?rcpNo=20260311901341", "공시열람")</f>
        <v/>
      </c>
    </row>
    <row r="128" ht="36" customHeight="1">
      <c r="A128" s="2" t="inlineStr">
        <is>
          <t>2026-03-11</t>
        </is>
      </c>
      <c r="B128" s="3" t="inlineStr">
        <is>
          <t>수성웹툰</t>
        </is>
      </c>
      <c r="C128" s="2" t="inlineStr">
        <is>
          <t>코스닥</t>
        </is>
      </c>
      <c r="D128" s="2" t="inlineStr">
        <is>
          <t>084180</t>
        </is>
      </c>
      <c r="E128" s="11" t="inlineStr">
        <is>
          <t>전환사채(CB)</t>
        </is>
      </c>
      <c r="F128" s="3" t="inlineStr">
        <is>
          <t>[기재정정]주요사항보고서(전환사채권발행결정)</t>
        </is>
      </c>
      <c r="G128" s="5" t="inlineStr"/>
      <c r="H128" s="5" t="inlineStr"/>
      <c r="I128" s="2" t="inlineStr">
        <is>
          <t>-</t>
        </is>
      </c>
      <c r="J128" s="6" t="inlineStr"/>
      <c r="K128" s="2" t="inlineStr">
        <is>
          <t>-</t>
        </is>
      </c>
      <c r="L128" s="2" t="inlineStr">
        <is>
          <t>-</t>
        </is>
      </c>
      <c r="M128" s="2" t="inlineStr">
        <is>
          <t>2024-07-31</t>
        </is>
      </c>
      <c r="N128" s="2" t="inlineStr">
        <is>
          <t>2027-02-28</t>
        </is>
      </c>
      <c r="O128" s="3" t="inlineStr"/>
      <c r="P128" s="7" t="inlineStr">
        <is>
          <t>-</t>
        </is>
      </c>
      <c r="Q128" s="2" t="inlineStr">
        <is>
          <t>2024-06-26</t>
        </is>
      </c>
      <c r="R128" s="2" t="inlineStr">
        <is>
          <t>2024-07-31</t>
        </is>
      </c>
      <c r="S128" s="2" t="inlineStr">
        <is>
          <t>20260311003132</t>
        </is>
      </c>
      <c r="T128" s="8">
        <f>HYPERLINK("https://dart.fss.or.kr/dsaf001/main.do?rcpNo=20260311003132", "공시열람")</f>
        <v/>
      </c>
    </row>
    <row r="129" ht="36" customHeight="1">
      <c r="A129" s="2" t="inlineStr">
        <is>
          <t>2026-03-11</t>
        </is>
      </c>
      <c r="B129" s="3" t="inlineStr">
        <is>
          <t>수성웹툰</t>
        </is>
      </c>
      <c r="C129" s="2" t="inlineStr">
        <is>
          <t>코스닥</t>
        </is>
      </c>
      <c r="D129" s="2" t="inlineStr">
        <is>
          <t>084180</t>
        </is>
      </c>
      <c r="E129" s="11" t="inlineStr">
        <is>
          <t>전환사채(CB)</t>
        </is>
      </c>
      <c r="F129" s="3" t="inlineStr">
        <is>
          <t>[기재정정]주요사항보고서(전환사채권발행결정)</t>
        </is>
      </c>
      <c r="G129" s="5" t="inlineStr"/>
      <c r="H129" s="5" t="inlineStr"/>
      <c r="I129" s="2" t="inlineStr">
        <is>
          <t>-</t>
        </is>
      </c>
      <c r="J129" s="6" t="inlineStr"/>
      <c r="K129" s="2" t="inlineStr">
        <is>
          <t>-</t>
        </is>
      </c>
      <c r="L129" s="2" t="inlineStr">
        <is>
          <t>-</t>
        </is>
      </c>
      <c r="M129" s="2" t="inlineStr">
        <is>
          <t>2024-07-31</t>
        </is>
      </c>
      <c r="N129" s="2" t="inlineStr">
        <is>
          <t>2027-02-28</t>
        </is>
      </c>
      <c r="O129" s="3" t="inlineStr"/>
      <c r="P129" s="7" t="inlineStr">
        <is>
          <t>-</t>
        </is>
      </c>
      <c r="Q129" s="2" t="inlineStr">
        <is>
          <t>2024-06-26</t>
        </is>
      </c>
      <c r="R129" s="2" t="inlineStr">
        <is>
          <t>2024-07-31</t>
        </is>
      </c>
      <c r="S129" s="2" t="inlineStr">
        <is>
          <t>20260310003131</t>
        </is>
      </c>
      <c r="T129" s="8">
        <f>HYPERLINK("https://dart.fss.or.kr/dsaf001/main.do?rcpNo=20260310003131", "공시열람")</f>
        <v/>
      </c>
    </row>
    <row r="130" ht="36" customHeight="1">
      <c r="A130" s="2" t="inlineStr">
        <is>
          <t>2026-03-12 (정정: 2026-03-13)</t>
        </is>
      </c>
      <c r="B130" s="3" t="inlineStr">
        <is>
          <t>나노실리칸첨단소재</t>
        </is>
      </c>
      <c r="C130" s="2" t="inlineStr">
        <is>
          <t>코스닥</t>
        </is>
      </c>
      <c r="D130" s="2" t="inlineStr">
        <is>
          <t>286750</t>
        </is>
      </c>
      <c r="E130" s="11" t="inlineStr">
        <is>
          <t>전환사채(CB)</t>
        </is>
      </c>
      <c r="F130" s="3" t="inlineStr">
        <is>
          <t>주요사항보고서(전환사채권발행결정) (정정: 20260313)</t>
        </is>
      </c>
      <c r="G130" s="5" t="n">
        <v>5500000000</v>
      </c>
      <c r="H130" s="5" t="n">
        <v>1418</v>
      </c>
      <c r="I130" s="2" t="inlineStr">
        <is>
          <t>주식회사 나노실리칸첨단소재 기명식 보통주</t>
        </is>
      </c>
      <c r="J130" s="6" t="n">
        <v>3878702</v>
      </c>
      <c r="K130" s="2" t="inlineStr">
        <is>
          <t>2026년 03월 31일</t>
        </is>
      </c>
      <c r="L130" s="2" t="inlineStr">
        <is>
          <t>-</t>
        </is>
      </c>
      <c r="M130" s="2" t="inlineStr">
        <is>
          <t>2027-03-31</t>
        </is>
      </c>
      <c r="N130" s="2" t="inlineStr">
        <is>
          <t>2029-02-28</t>
        </is>
      </c>
      <c r="O130" s="10" t="n">
        <v>10.8</v>
      </c>
      <c r="P130" s="7" t="inlineStr">
        <is>
          <t>-</t>
        </is>
      </c>
      <c r="Q130" s="2" t="inlineStr">
        <is>
          <t>2027-03-31</t>
        </is>
      </c>
      <c r="R130" s="2" t="inlineStr">
        <is>
          <t>2026-03-31</t>
        </is>
      </c>
      <c r="S130" s="2" t="inlineStr">
        <is>
          <t>20260313000773</t>
        </is>
      </c>
      <c r="T130" s="8">
        <f>HYPERLINK("https://dart.fss.or.kr/dsaf001/main.do?rcpNo=20260313000773", "공시열람")</f>
        <v/>
      </c>
    </row>
    <row r="131" ht="36" customHeight="1">
      <c r="A131" s="2" t="inlineStr">
        <is>
          <t>2026-03-12</t>
        </is>
      </c>
      <c r="B131" s="3" t="inlineStr">
        <is>
          <t>엑시온그룹</t>
        </is>
      </c>
      <c r="C131" s="2" t="inlineStr">
        <is>
          <t>코스닥</t>
        </is>
      </c>
      <c r="D131" s="2" t="inlineStr">
        <is>
          <t>069920</t>
        </is>
      </c>
      <c r="E131" s="2" t="inlineStr">
        <is>
          <t>기타</t>
        </is>
      </c>
      <c r="F131" s="3" t="inlineStr">
        <is>
          <t>전환사채(해외전환사채포함)발행후만기전사채취득              (제8회차)</t>
        </is>
      </c>
      <c r="G131" s="5" t="inlineStr"/>
      <c r="H131" s="5" t="inlineStr"/>
      <c r="I131" s="2" t="inlineStr">
        <is>
          <t>-</t>
        </is>
      </c>
      <c r="J131" s="6" t="inlineStr"/>
      <c r="K131" s="2" t="inlineStr">
        <is>
          <t>-</t>
        </is>
      </c>
      <c r="L131" s="2" t="inlineStr">
        <is>
          <t>-</t>
        </is>
      </c>
      <c r="M131" s="2" t="inlineStr">
        <is>
          <t>-</t>
        </is>
      </c>
      <c r="N131" s="2" t="inlineStr">
        <is>
          <t>-</t>
        </is>
      </c>
      <c r="O131" s="3" t="inlineStr"/>
      <c r="P131" s="7" t="inlineStr">
        <is>
          <t>-</t>
        </is>
      </c>
      <c r="Q131" s="2" t="inlineStr">
        <is>
          <t>-</t>
        </is>
      </c>
      <c r="R131" s="2" t="inlineStr">
        <is>
          <t>-</t>
        </is>
      </c>
      <c r="S131" s="2" t="inlineStr">
        <is>
          <t>20260312901792</t>
        </is>
      </c>
      <c r="T131" s="8">
        <f>HYPERLINK("https://dart.fss.or.kr/dsaf001/main.do?rcpNo=20260312901792", "공시열람")</f>
        <v/>
      </c>
    </row>
    <row r="132" ht="36" customHeight="1">
      <c r="A132" s="2" t="inlineStr">
        <is>
          <t>2026-03-12</t>
        </is>
      </c>
      <c r="B132" s="3" t="inlineStr">
        <is>
          <t>무진메디</t>
        </is>
      </c>
      <c r="C132" s="2" t="inlineStr">
        <is>
          <t>코넥스</t>
        </is>
      </c>
      <c r="D132" s="2" t="inlineStr">
        <is>
          <t>322970</t>
        </is>
      </c>
      <c r="E132" s="11" t="inlineStr">
        <is>
          <t>전환사채(CB)</t>
        </is>
      </c>
      <c r="F132" s="3" t="inlineStr">
        <is>
          <t>주요사항보고서(전환사채권발행결정)</t>
        </is>
      </c>
      <c r="G132" s="5" t="n">
        <v>5000000000</v>
      </c>
      <c r="H132" s="5" t="n">
        <v>2620</v>
      </c>
      <c r="I132" s="2" t="inlineStr">
        <is>
          <t>주식회사 무진메디 기명식 보통주식</t>
        </is>
      </c>
      <c r="J132" s="6" t="n">
        <v>1908396</v>
      </c>
      <c r="K132" s="2" t="inlineStr">
        <is>
          <t>2026년 03월 26일</t>
        </is>
      </c>
      <c r="L132" s="2" t="inlineStr">
        <is>
          <t>-</t>
        </is>
      </c>
      <c r="M132" s="2" t="inlineStr">
        <is>
          <t>2027-03-26</t>
        </is>
      </c>
      <c r="N132" s="2" t="inlineStr">
        <is>
          <t>2029-02-26</t>
        </is>
      </c>
      <c r="O132" s="10" t="n">
        <v>13.59</v>
      </c>
      <c r="P132" s="7" t="inlineStr">
        <is>
          <t>-</t>
        </is>
      </c>
      <c r="Q132" s="2" t="inlineStr">
        <is>
          <t>-</t>
        </is>
      </c>
      <c r="R132" s="2" t="inlineStr">
        <is>
          <t>2028-03-26</t>
        </is>
      </c>
      <c r="S132" s="2" t="inlineStr">
        <is>
          <t>20260312001288</t>
        </is>
      </c>
      <c r="T132" s="8">
        <f>HYPERLINK("https://dart.fss.or.kr/dsaf001/main.do?rcpNo=20260312001288", "공시열람")</f>
        <v/>
      </c>
    </row>
    <row r="133" ht="36" customHeight="1">
      <c r="A133" s="2" t="inlineStr">
        <is>
          <t>2025-11-24 (정정: 2026-03-12)</t>
        </is>
      </c>
      <c r="B133" s="3" t="inlineStr">
        <is>
          <t>모아라이프플러스</t>
        </is>
      </c>
      <c r="C133" s="2" t="inlineStr">
        <is>
          <t>코스닥</t>
        </is>
      </c>
      <c r="D133" s="2" t="inlineStr">
        <is>
          <t>142760</t>
        </is>
      </c>
      <c r="E133" s="9" t="inlineStr">
        <is>
          <t>유상증자</t>
        </is>
      </c>
      <c r="F133" s="3" t="inlineStr">
        <is>
          <t>[기재정정]주요사항보고서(유상증자결정)</t>
        </is>
      </c>
      <c r="G133" s="5" t="n">
        <v>999999520</v>
      </c>
      <c r="H133" s="5" t="n">
        <v>736</v>
      </c>
      <c r="I133" s="2" t="inlineStr">
        <is>
          <t>보통주식</t>
        </is>
      </c>
      <c r="J133" s="6" t="n">
        <v>1358695</v>
      </c>
      <c r="K133" s="2" t="inlineStr">
        <is>
          <t>2026-03-24</t>
        </is>
      </c>
      <c r="L133" s="2" t="inlineStr">
        <is>
          <t>2026-04-10</t>
        </is>
      </c>
      <c r="M133" s="2" t="inlineStr">
        <is>
          <t>-</t>
        </is>
      </c>
      <c r="N133" s="2" t="inlineStr">
        <is>
          <t>-</t>
        </is>
      </c>
      <c r="O133" s="10" t="n">
        <v>3.479058815745223</v>
      </c>
      <c r="P133" s="7" t="inlineStr">
        <is>
          <t>타법인증권취득자금 (10.0억원)</t>
        </is>
      </c>
      <c r="Q133" s="2" t="inlineStr">
        <is>
          <t>-</t>
        </is>
      </c>
      <c r="R133" s="2" t="inlineStr">
        <is>
          <t>-</t>
        </is>
      </c>
      <c r="S133" s="2" t="inlineStr">
        <is>
          <t>20260312001312</t>
        </is>
      </c>
      <c r="T133" s="8">
        <f>HYPERLINK("https://dart.fss.or.kr/dsaf001/main.do?rcpNo=20260312001312", "공시열람")</f>
        <v/>
      </c>
    </row>
    <row r="134" ht="36" customHeight="1">
      <c r="A134" s="2" t="inlineStr">
        <is>
          <t>2026-03-12</t>
        </is>
      </c>
      <c r="B134" s="3" t="inlineStr">
        <is>
          <t>레이저쎌</t>
        </is>
      </c>
      <c r="C134" s="2" t="inlineStr">
        <is>
          <t>코스닥</t>
        </is>
      </c>
      <c r="D134" s="2" t="inlineStr">
        <is>
          <t>412350</t>
        </is>
      </c>
      <c r="E134" s="9" t="inlineStr">
        <is>
          <t>유상증자</t>
        </is>
      </c>
      <c r="F134" s="3" t="inlineStr">
        <is>
          <t>주요사항보고서(유상증자결정)</t>
        </is>
      </c>
      <c r="G134" s="5" t="n">
        <v>1400</v>
      </c>
      <c r="H134" s="5" t="n">
        <v>4475</v>
      </c>
      <c r="I134" s="2" t="inlineStr">
        <is>
          <t>보통주식</t>
        </is>
      </c>
      <c r="J134" s="6" t="n">
        <v>312849</v>
      </c>
      <c r="K134" s="2" t="inlineStr">
        <is>
          <t>2026-03-20</t>
        </is>
      </c>
      <c r="L134" s="2" t="inlineStr">
        <is>
          <t>2026-04-03</t>
        </is>
      </c>
      <c r="M134" s="2" t="inlineStr">
        <is>
          <t>-</t>
        </is>
      </c>
      <c r="N134" s="2" t="inlineStr">
        <is>
          <t>-</t>
        </is>
      </c>
      <c r="O134" s="10" t="n">
        <v>2.401548111103639</v>
      </c>
      <c r="P134" s="7" t="inlineStr">
        <is>
          <t>운영자금 (1,400원)</t>
        </is>
      </c>
      <c r="Q134" s="2" t="inlineStr">
        <is>
          <t>-</t>
        </is>
      </c>
      <c r="R134" s="2" t="inlineStr">
        <is>
          <t>-</t>
        </is>
      </c>
      <c r="S134" s="2" t="inlineStr">
        <is>
          <t>20260312001329</t>
        </is>
      </c>
      <c r="T134" s="8">
        <f>HYPERLINK("https://dart.fss.or.kr/dsaf001/main.do?rcpNo=20260312001329", "공시열람")</f>
        <v/>
      </c>
    </row>
    <row r="135" ht="36" customHeight="1">
      <c r="A135" s="2" t="inlineStr">
        <is>
          <t>2026-03-12</t>
        </is>
      </c>
      <c r="B135" s="3" t="inlineStr">
        <is>
          <t>비나텍</t>
        </is>
      </c>
      <c r="C135" s="2" t="inlineStr">
        <is>
          <t>코스닥</t>
        </is>
      </c>
      <c r="D135" s="2" t="inlineStr">
        <is>
          <t>126340</t>
        </is>
      </c>
      <c r="E135" s="11" t="inlineStr">
        <is>
          <t>전환사채(CB)</t>
        </is>
      </c>
      <c r="F135" s="3" t="inlineStr">
        <is>
          <t>주요사항보고서(전환사채권발행결정)</t>
        </is>
      </c>
      <c r="G135" s="5" t="n">
        <v>41000000000</v>
      </c>
      <c r="H135" s="5" t="n">
        <v>147686</v>
      </c>
      <c r="I135" s="2" t="inlineStr">
        <is>
          <t>비나텍 주식회사 기명식 보통주</t>
        </is>
      </c>
      <c r="J135" s="6" t="n">
        <v>277616</v>
      </c>
      <c r="K135" s="2" t="inlineStr">
        <is>
          <t>2026년 03월 20일</t>
        </is>
      </c>
      <c r="L135" s="2" t="inlineStr">
        <is>
          <t>-</t>
        </is>
      </c>
      <c r="M135" s="2" t="inlineStr">
        <is>
          <t>2028-03-20</t>
        </is>
      </c>
      <c r="N135" s="2" t="inlineStr">
        <is>
          <t>2031-02-20</t>
        </is>
      </c>
      <c r="O135" s="10" t="n">
        <v>3.96</v>
      </c>
      <c r="P135" s="7" t="inlineStr">
        <is>
          <t>-</t>
        </is>
      </c>
      <c r="Q135" s="2" t="inlineStr">
        <is>
          <t>2027-03-20</t>
        </is>
      </c>
      <c r="R135" s="2" t="inlineStr">
        <is>
          <t>2028-03-20</t>
        </is>
      </c>
      <c r="S135" s="2" t="inlineStr">
        <is>
          <t>20260312001260</t>
        </is>
      </c>
      <c r="T135" s="8">
        <f>HYPERLINK("https://dart.fss.or.kr/dsaf001/main.do?rcpNo=20260312001260", "공시열람")</f>
        <v/>
      </c>
    </row>
    <row r="136" ht="36" customHeight="1">
      <c r="A136" s="2" t="inlineStr">
        <is>
          <t>2026-03-12 (정정: 2026-05-29)</t>
        </is>
      </c>
      <c r="B136" s="3" t="inlineStr">
        <is>
          <t>더코디</t>
        </is>
      </c>
      <c r="C136" s="2" t="inlineStr">
        <is>
          <t>코스닥</t>
        </is>
      </c>
      <c r="D136" s="2" t="inlineStr">
        <is>
          <t>224060</t>
        </is>
      </c>
      <c r="E136" s="9" t="inlineStr">
        <is>
          <t>유상증자</t>
        </is>
      </c>
      <c r="F136" s="3" t="inlineStr">
        <is>
          <t>주요사항보고서(유상증자결정) (정정: 20260529)</t>
        </is>
      </c>
      <c r="G136" s="5" t="n">
        <v>999998208</v>
      </c>
      <c r="H136" s="5" t="n">
        <v>2244</v>
      </c>
      <c r="I136" s="2" t="inlineStr">
        <is>
          <t>보통주식</t>
        </is>
      </c>
      <c r="J136" s="6" t="n">
        <v>445632</v>
      </c>
      <c r="K136" s="2" t="inlineStr">
        <is>
          <t>2026-07-24</t>
        </is>
      </c>
      <c r="L136" s="2" t="inlineStr">
        <is>
          <t>2026-08-14</t>
        </is>
      </c>
      <c r="M136" s="2" t="inlineStr">
        <is>
          <t>-</t>
        </is>
      </c>
      <c r="N136" s="2" t="inlineStr">
        <is>
          <t>-</t>
        </is>
      </c>
      <c r="O136" s="10" t="n">
        <v>8.635070829236684</v>
      </c>
      <c r="P136" s="7" t="inlineStr">
        <is>
          <t>운영자금 (10.0억원)</t>
        </is>
      </c>
      <c r="Q136" s="2" t="inlineStr">
        <is>
          <t>-</t>
        </is>
      </c>
      <c r="R136" s="2" t="inlineStr">
        <is>
          <t>-</t>
        </is>
      </c>
      <c r="S136" s="2" t="inlineStr">
        <is>
          <t>20260529001357</t>
        </is>
      </c>
      <c r="T136" s="8">
        <f>HYPERLINK("https://dart.fss.or.kr/dsaf001/main.do?rcpNo=20260529001357", "공시열람")</f>
        <v/>
      </c>
    </row>
    <row r="137" ht="36" customHeight="1">
      <c r="A137" s="2" t="inlineStr">
        <is>
          <t>2026-03-12 (정정: 2026-06-12)</t>
        </is>
      </c>
      <c r="B137" s="3" t="inlineStr">
        <is>
          <t>테라사이언스</t>
        </is>
      </c>
      <c r="C137" s="2" t="inlineStr">
        <is>
          <t>코스닥</t>
        </is>
      </c>
      <c r="D137" s="2" t="inlineStr">
        <is>
          <t>073640</t>
        </is>
      </c>
      <c r="E137" s="9" t="inlineStr">
        <is>
          <t>유상증자</t>
        </is>
      </c>
      <c r="F137" s="3" t="inlineStr">
        <is>
          <t>[기재정정]주요사항보고서(유상증자결정) (정정: 20260520) (정정: 20260529) (정정: 20260612)</t>
        </is>
      </c>
      <c r="G137" s="5" t="n">
        <v>2500</v>
      </c>
      <c r="H137" s="5" t="n">
        <v>100</v>
      </c>
      <c r="I137" s="2" t="inlineStr">
        <is>
          <t>보통주식</t>
        </is>
      </c>
      <c r="J137" s="6" t="n">
        <v>25000000</v>
      </c>
      <c r="K137" s="2" t="inlineStr">
        <is>
          <t>2026-06-22</t>
        </is>
      </c>
      <c r="L137" s="2" t="inlineStr">
        <is>
          <t>2026-07-09</t>
        </is>
      </c>
      <c r="M137" s="2" t="inlineStr">
        <is>
          <t>-</t>
        </is>
      </c>
      <c r="N137" s="2" t="inlineStr">
        <is>
          <t>-</t>
        </is>
      </c>
      <c r="O137" s="10" t="n">
        <v>23.50092974378252</v>
      </c>
      <c r="P137" s="7" t="inlineStr">
        <is>
          <t>운영자금 (2,500원)</t>
        </is>
      </c>
      <c r="Q137" s="2" t="inlineStr">
        <is>
          <t>-</t>
        </is>
      </c>
      <c r="R137" s="2" t="inlineStr">
        <is>
          <t>-</t>
        </is>
      </c>
      <c r="S137" s="2" t="inlineStr">
        <is>
          <t>20260612000630</t>
        </is>
      </c>
      <c r="T137" s="8">
        <f>HYPERLINK("https://dart.fss.or.kr/dsaf001/main.do?rcpNo=20260612000630", "공시열람")</f>
        <v/>
      </c>
    </row>
    <row r="138" ht="36" customHeight="1">
      <c r="A138" s="2" t="inlineStr">
        <is>
          <t>2026-03-12 (정정: 2026-05-21)</t>
        </is>
      </c>
      <c r="B138" s="3" t="inlineStr">
        <is>
          <t>소룩스</t>
        </is>
      </c>
      <c r="C138" s="2" t="inlineStr">
        <is>
          <t>코스닥</t>
        </is>
      </c>
      <c r="D138" s="2" t="inlineStr">
        <is>
          <t>290690</t>
        </is>
      </c>
      <c r="E138" s="11" t="inlineStr">
        <is>
          <t>전환사채(CB)</t>
        </is>
      </c>
      <c r="F138" s="3" t="inlineStr">
        <is>
          <t>[첨부정정]주요사항보고서(전환사채권발행결정) (정정: 20260313) (정정: 20260521)</t>
        </is>
      </c>
      <c r="G138" s="5" t="inlineStr"/>
      <c r="H138" s="5" t="inlineStr"/>
      <c r="I138" s="2" t="inlineStr">
        <is>
          <t>-</t>
        </is>
      </c>
      <c r="J138" s="6" t="inlineStr"/>
      <c r="K138" s="2" t="inlineStr">
        <is>
          <t>-</t>
        </is>
      </c>
      <c r="L138" s="2" t="inlineStr">
        <is>
          <t>-</t>
        </is>
      </c>
      <c r="M138" s="2" t="inlineStr">
        <is>
          <t>2027-05-29</t>
        </is>
      </c>
      <c r="N138" s="2" t="inlineStr">
        <is>
          <t>2029-04-29</t>
        </is>
      </c>
      <c r="O138" s="3" t="inlineStr"/>
      <c r="P138" s="7" t="inlineStr">
        <is>
          <t>-</t>
        </is>
      </c>
      <c r="Q138" s="2" t="inlineStr">
        <is>
          <t>-</t>
        </is>
      </c>
      <c r="R138" s="2" t="inlineStr">
        <is>
          <t>2027-03-30</t>
        </is>
      </c>
      <c r="S138" s="2" t="inlineStr">
        <is>
          <t>20260521000547</t>
        </is>
      </c>
      <c r="T138" s="8">
        <f>HYPERLINK("https://dart.fss.or.kr/dsaf001/main.do?rcpNo=20260521000547", "공시열람")</f>
        <v/>
      </c>
    </row>
    <row r="139" ht="36" customHeight="1">
      <c r="A139" s="2" t="inlineStr">
        <is>
          <t>2025-11-28 (정정: 2026-03-12)</t>
        </is>
      </c>
      <c r="B139" s="3" t="inlineStr">
        <is>
          <t>진양폴리우레탄</t>
        </is>
      </c>
      <c r="C139" s="2" t="inlineStr">
        <is>
          <t>코스피</t>
        </is>
      </c>
      <c r="D139" s="2" t="inlineStr">
        <is>
          <t>010640</t>
        </is>
      </c>
      <c r="E139" s="9" t="inlineStr">
        <is>
          <t>유상증자</t>
        </is>
      </c>
      <c r="F139" s="3" t="inlineStr">
        <is>
          <t>[기재정정]주요사항보고서(유상증자결정)</t>
        </is>
      </c>
      <c r="G139" s="5" t="n">
        <v>13152100000</v>
      </c>
      <c r="H139" s="5" t="n">
        <v>1963</v>
      </c>
      <c r="I139" s="2" t="inlineStr">
        <is>
          <t>보통주식</t>
        </is>
      </c>
      <c r="J139" s="6" t="n">
        <v>6700000</v>
      </c>
      <c r="K139" s="2" t="inlineStr">
        <is>
          <t>2026-03-24</t>
        </is>
      </c>
      <c r="L139" s="2" t="inlineStr">
        <is>
          <t>2026-04-06</t>
        </is>
      </c>
      <c r="M139" s="2" t="inlineStr">
        <is>
          <t>-</t>
        </is>
      </c>
      <c r="N139" s="2" t="inlineStr">
        <is>
          <t>-</t>
        </is>
      </c>
      <c r="O139" s="10" t="n">
        <v>67</v>
      </c>
      <c r="P139" s="7" t="inlineStr">
        <is>
          <t>시설자금 (131.5억원)</t>
        </is>
      </c>
      <c r="Q139" s="2" t="inlineStr">
        <is>
          <t>-</t>
        </is>
      </c>
      <c r="R139" s="2" t="inlineStr">
        <is>
          <t>-</t>
        </is>
      </c>
      <c r="S139" s="2" t="inlineStr">
        <is>
          <t>20260312000261</t>
        </is>
      </c>
      <c r="T139" s="8">
        <f>HYPERLINK("https://dart.fss.or.kr/dsaf001/main.do?rcpNo=20260312000261", "공시열람")</f>
        <v/>
      </c>
    </row>
    <row r="140" ht="36" customHeight="1">
      <c r="A140" s="2" t="inlineStr">
        <is>
          <t>2026-03-12 (정정: 2026-06-25)</t>
        </is>
      </c>
      <c r="B140" s="3" t="inlineStr">
        <is>
          <t>코아스</t>
        </is>
      </c>
      <c r="C140" s="2" t="inlineStr">
        <is>
          <t>코스피</t>
        </is>
      </c>
      <c r="D140" s="2" t="inlineStr">
        <is>
          <t>071950</t>
        </is>
      </c>
      <c r="E140" s="9" t="inlineStr">
        <is>
          <t>유상증자</t>
        </is>
      </c>
      <c r="F140" s="3" t="inlineStr">
        <is>
          <t>주요사항보고서(유상증자결정) (정정: 20260625)</t>
        </is>
      </c>
      <c r="G140" s="5" t="n">
        <v>4009820192</v>
      </c>
      <c r="H140" s="5" t="n">
        <v>1904</v>
      </c>
      <c r="I140" s="2" t="inlineStr">
        <is>
          <t>보통주식</t>
        </is>
      </c>
      <c r="J140" s="6" t="n">
        <v>2105998</v>
      </c>
      <c r="K140" s="2" t="inlineStr">
        <is>
          <t>2026-10-06</t>
        </is>
      </c>
      <c r="L140" s="2" t="inlineStr">
        <is>
          <t>2026-10-23</t>
        </is>
      </c>
      <c r="M140" s="2" t="inlineStr">
        <is>
          <t>-</t>
        </is>
      </c>
      <c r="N140" s="2" t="inlineStr">
        <is>
          <t>-</t>
        </is>
      </c>
      <c r="O140" s="10" t="n">
        <v>16.90316268426652</v>
      </c>
      <c r="P140" s="7" t="inlineStr">
        <is>
          <t>운영자금 (40.1억원)</t>
        </is>
      </c>
      <c r="Q140" s="2" t="inlineStr">
        <is>
          <t>-</t>
        </is>
      </c>
      <c r="R140" s="2" t="inlineStr">
        <is>
          <t>-</t>
        </is>
      </c>
      <c r="S140" s="2" t="inlineStr">
        <is>
          <t>20260625000418</t>
        </is>
      </c>
      <c r="T140" s="8">
        <f>HYPERLINK("https://dart.fss.or.kr/dsaf001/main.do?rcpNo=20260625000418", "공시열람")</f>
        <v/>
      </c>
    </row>
    <row r="141" ht="36" customHeight="1">
      <c r="A141" s="2" t="inlineStr">
        <is>
          <t>2026-03-12</t>
        </is>
      </c>
      <c r="B141" s="3" t="inlineStr">
        <is>
          <t>KR모터스</t>
        </is>
      </c>
      <c r="C141" s="2" t="inlineStr">
        <is>
          <t>코스피</t>
        </is>
      </c>
      <c r="D141" s="2" t="inlineStr">
        <is>
          <t>000040</t>
        </is>
      </c>
      <c r="E141" s="11" t="inlineStr">
        <is>
          <t>전환사채(CB)</t>
        </is>
      </c>
      <c r="F141" s="3" t="inlineStr">
        <is>
          <t>주요사항보고서(전환사채권발행결정)</t>
        </is>
      </c>
      <c r="G141" s="5" t="n">
        <v>2500000000</v>
      </c>
      <c r="H141" s="5" t="n">
        <v>500</v>
      </c>
      <c r="I141" s="2" t="inlineStr">
        <is>
          <t>기명식 보통주</t>
        </is>
      </c>
      <c r="J141" s="6" t="n">
        <v>5000000</v>
      </c>
      <c r="K141" s="2" t="inlineStr">
        <is>
          <t>2026년 03월 19일</t>
        </is>
      </c>
      <c r="L141" s="2" t="inlineStr">
        <is>
          <t>-</t>
        </is>
      </c>
      <c r="M141" s="2" t="inlineStr">
        <is>
          <t>2027-03-19</t>
        </is>
      </c>
      <c r="N141" s="2" t="inlineStr">
        <is>
          <t>2030-08-19</t>
        </is>
      </c>
      <c r="O141" s="10" t="n">
        <v>3.7</v>
      </c>
      <c r="P141" s="7" t="inlineStr">
        <is>
          <t>-</t>
        </is>
      </c>
      <c r="Q141" s="2" t="inlineStr">
        <is>
          <t>-</t>
        </is>
      </c>
      <c r="R141" s="2" t="inlineStr">
        <is>
          <t>-</t>
        </is>
      </c>
      <c r="S141" s="2" t="inlineStr">
        <is>
          <t>20260312000003</t>
        </is>
      </c>
      <c r="T141" s="8">
        <f>HYPERLINK("https://dart.fss.or.kr/dsaf001/main.do?rcpNo=20260312000003", "공시열람")</f>
        <v/>
      </c>
    </row>
    <row r="142" ht="36" customHeight="1">
      <c r="A142" s="2" t="inlineStr">
        <is>
          <t>2026-03-12</t>
        </is>
      </c>
      <c r="B142" s="3" t="inlineStr">
        <is>
          <t>KR모터스</t>
        </is>
      </c>
      <c r="C142" s="2" t="inlineStr">
        <is>
          <t>코스피</t>
        </is>
      </c>
      <c r="D142" s="2" t="inlineStr">
        <is>
          <t>000040</t>
        </is>
      </c>
      <c r="E142" s="11" t="inlineStr">
        <is>
          <t>전환사채(CB)</t>
        </is>
      </c>
      <c r="F142" s="3" t="inlineStr">
        <is>
          <t>주요사항보고서(전환사채권발행결정)</t>
        </is>
      </c>
      <c r="G142" s="5" t="n">
        <v>2500000000</v>
      </c>
      <c r="H142" s="5" t="n">
        <v>500</v>
      </c>
      <c r="I142" s="2" t="inlineStr">
        <is>
          <t>기명식 보통주</t>
        </is>
      </c>
      <c r="J142" s="6" t="n">
        <v>5000000</v>
      </c>
      <c r="K142" s="2" t="inlineStr">
        <is>
          <t>2026년 03월 19일</t>
        </is>
      </c>
      <c r="L142" s="2" t="inlineStr">
        <is>
          <t>-</t>
        </is>
      </c>
      <c r="M142" s="2" t="inlineStr">
        <is>
          <t>2027-03-19</t>
        </is>
      </c>
      <c r="N142" s="2" t="inlineStr">
        <is>
          <t>2030-05-19</t>
        </is>
      </c>
      <c r="O142" s="10" t="n">
        <v>3.7</v>
      </c>
      <c r="P142" s="7" t="inlineStr">
        <is>
          <t>-</t>
        </is>
      </c>
      <c r="Q142" s="2" t="inlineStr">
        <is>
          <t>2027-03-19</t>
        </is>
      </c>
      <c r="R142" s="2" t="inlineStr">
        <is>
          <t>2027-03-19</t>
        </is>
      </c>
      <c r="S142" s="2" t="inlineStr">
        <is>
          <t>20260312000001</t>
        </is>
      </c>
      <c r="T142" s="8">
        <f>HYPERLINK("https://dart.fss.or.kr/dsaf001/main.do?rcpNo=20260312000001", "공시열람")</f>
        <v/>
      </c>
    </row>
    <row r="143" ht="36" customHeight="1">
      <c r="A143" s="2" t="inlineStr">
        <is>
          <t>2026-03-12 (정정: 2026-06-19)</t>
        </is>
      </c>
      <c r="B143" s="3" t="inlineStr">
        <is>
          <t>휴림에이텍</t>
        </is>
      </c>
      <c r="C143" s="2" t="inlineStr">
        <is>
          <t>코스닥</t>
        </is>
      </c>
      <c r="D143" s="2" t="inlineStr">
        <is>
          <t>078590</t>
        </is>
      </c>
      <c r="E143" s="9" t="inlineStr">
        <is>
          <t>유상증자</t>
        </is>
      </c>
      <c r="F143" s="3" t="inlineStr">
        <is>
          <t>주요사항보고서(유상증자결정) (정정: 20260521) (정정: 20260619)</t>
        </is>
      </c>
      <c r="G143" s="5" t="n">
        <v>29490000000</v>
      </c>
      <c r="H143" s="5" t="inlineStr"/>
      <c r="I143" s="2" t="inlineStr">
        <is>
          <t>보통주식</t>
        </is>
      </c>
      <c r="J143" s="6" t="n">
        <v>6000000</v>
      </c>
      <c r="K143" s="2" t="inlineStr">
        <is>
          <t>2026-09-14</t>
        </is>
      </c>
      <c r="L143" s="2" t="inlineStr">
        <is>
          <t>2026-09-28</t>
        </is>
      </c>
      <c r="M143" s="2" t="inlineStr">
        <is>
          <t>-</t>
        </is>
      </c>
      <c r="N143" s="2" t="inlineStr">
        <is>
          <t>-</t>
        </is>
      </c>
      <c r="O143" s="10" t="n">
        <v>60.04912619013615</v>
      </c>
      <c r="P143" s="7" t="inlineStr">
        <is>
          <t>시설자금 (80.0억원), 운영자금 (114.9억원), 채무상환자금 (100.0억원)</t>
        </is>
      </c>
      <c r="Q143" s="2" t="inlineStr">
        <is>
          <t>-</t>
        </is>
      </c>
      <c r="R143" s="2" t="inlineStr">
        <is>
          <t>-</t>
        </is>
      </c>
      <c r="S143" s="2" t="inlineStr">
        <is>
          <t>20260619000611</t>
        </is>
      </c>
      <c r="T143" s="8">
        <f>HYPERLINK("https://dart.fss.or.kr/dsaf001/main.do?rcpNo=20260619000611", "공시열람")</f>
        <v/>
      </c>
    </row>
    <row r="144" ht="36" customHeight="1">
      <c r="A144" s="2" t="inlineStr">
        <is>
          <t>2025-04-17 (정정: 2026-03-13)</t>
        </is>
      </c>
      <c r="B144" s="3" t="inlineStr">
        <is>
          <t>THE CUBE&amp;</t>
        </is>
      </c>
      <c r="C144" s="2" t="inlineStr">
        <is>
          <t>코스닥</t>
        </is>
      </c>
      <c r="D144" s="2" t="inlineStr">
        <is>
          <t>013720</t>
        </is>
      </c>
      <c r="E144" s="11" t="inlineStr">
        <is>
          <t>전환사채(CB)</t>
        </is>
      </c>
      <c r="F144" s="3" t="inlineStr">
        <is>
          <t>[기재정정]주요사항보고서(전환사채권발행결정)</t>
        </is>
      </c>
      <c r="G144" s="5" t="inlineStr"/>
      <c r="H144" s="5" t="inlineStr"/>
      <c r="I144" s="2" t="inlineStr">
        <is>
          <t>-</t>
        </is>
      </c>
      <c r="J144" s="6" t="inlineStr"/>
      <c r="K144" s="2" t="inlineStr">
        <is>
          <t>-</t>
        </is>
      </c>
      <c r="L144" s="2" t="inlineStr">
        <is>
          <t>-</t>
        </is>
      </c>
      <c r="M144" s="2" t="inlineStr">
        <is>
          <t>2026-11-14</t>
        </is>
      </c>
      <c r="N144" s="2" t="inlineStr">
        <is>
          <t>2028-10-14</t>
        </is>
      </c>
      <c r="O144" s="3" t="inlineStr"/>
      <c r="P144" s="7" t="inlineStr">
        <is>
          <t>-</t>
        </is>
      </c>
      <c r="Q144" s="2" t="inlineStr">
        <is>
          <t>2025-11-14</t>
        </is>
      </c>
      <c r="R144" s="2" t="inlineStr">
        <is>
          <t>2026-11-14</t>
        </is>
      </c>
      <c r="S144" s="2" t="inlineStr">
        <is>
          <t>20260313001357</t>
        </is>
      </c>
      <c r="T144" s="8">
        <f>HYPERLINK("https://dart.fss.or.kr/dsaf001/main.do?rcpNo=20260313001357", "공시열람")</f>
        <v/>
      </c>
    </row>
    <row r="145" ht="36" customHeight="1">
      <c r="A145" s="2" t="inlineStr">
        <is>
          <t>2026-03-13</t>
        </is>
      </c>
      <c r="B145" s="3" t="inlineStr">
        <is>
          <t>유니슨</t>
        </is>
      </c>
      <c r="C145" s="2" t="inlineStr">
        <is>
          <t>코스닥</t>
        </is>
      </c>
      <c r="D145" s="2" t="inlineStr">
        <is>
          <t>018000</t>
        </is>
      </c>
      <c r="E145" s="2" t="inlineStr">
        <is>
          <t>기타</t>
        </is>
      </c>
      <c r="F145" s="3" t="inlineStr">
        <is>
          <t xml:space="preserve">신주인수권부사채(해외신주인수권부사채포함)발행후만기전사채취득              </t>
        </is>
      </c>
      <c r="G145" s="5" t="inlineStr"/>
      <c r="H145" s="5" t="inlineStr"/>
      <c r="I145" s="2" t="inlineStr">
        <is>
          <t>-</t>
        </is>
      </c>
      <c r="J145" s="6" t="inlineStr"/>
      <c r="K145" s="2" t="inlineStr">
        <is>
          <t>-</t>
        </is>
      </c>
      <c r="L145" s="2" t="inlineStr">
        <is>
          <t>-</t>
        </is>
      </c>
      <c r="M145" s="2" t="inlineStr">
        <is>
          <t>-</t>
        </is>
      </c>
      <c r="N145" s="2" t="inlineStr">
        <is>
          <t>-</t>
        </is>
      </c>
      <c r="O145" s="3" t="inlineStr"/>
      <c r="P145" s="7" t="inlineStr">
        <is>
          <t>-</t>
        </is>
      </c>
      <c r="Q145" s="2" t="inlineStr">
        <is>
          <t>-</t>
        </is>
      </c>
      <c r="R145" s="2" t="inlineStr">
        <is>
          <t>-</t>
        </is>
      </c>
      <c r="S145" s="2" t="inlineStr">
        <is>
          <t>20260313902135</t>
        </is>
      </c>
      <c r="T145" s="8">
        <f>HYPERLINK("https://dart.fss.or.kr/dsaf001/main.do?rcpNo=20260313902135", "공시열람")</f>
        <v/>
      </c>
    </row>
    <row r="146" ht="36" customHeight="1">
      <c r="A146" s="2" t="inlineStr">
        <is>
          <t>2026-03-13</t>
        </is>
      </c>
      <c r="B146" s="3" t="inlineStr">
        <is>
          <t>THE E&amp;M</t>
        </is>
      </c>
      <c r="C146" s="2" t="inlineStr">
        <is>
          <t>코스닥</t>
        </is>
      </c>
      <c r="D146" s="2" t="inlineStr">
        <is>
          <t>089230</t>
        </is>
      </c>
      <c r="E146" s="11" t="inlineStr">
        <is>
          <t>전환사채(CB)</t>
        </is>
      </c>
      <c r="F146" s="3" t="inlineStr">
        <is>
          <t>주요사항보고서(전환사채권발행결정)</t>
        </is>
      </c>
      <c r="G146" s="5" t="n">
        <v>5000000000</v>
      </c>
      <c r="H146" s="5" t="n">
        <v>1659</v>
      </c>
      <c r="I146" s="2" t="inlineStr">
        <is>
          <t>더이앤엠 주식회사 기명식 보통주</t>
        </is>
      </c>
      <c r="J146" s="6" t="n">
        <v>3013863</v>
      </c>
      <c r="K146" s="2" t="inlineStr">
        <is>
          <t>2026년 04월 10일</t>
        </is>
      </c>
      <c r="L146" s="2" t="inlineStr">
        <is>
          <t>-</t>
        </is>
      </c>
      <c r="M146" s="2" t="inlineStr">
        <is>
          <t>2027-04-10</t>
        </is>
      </c>
      <c r="N146" s="2" t="inlineStr">
        <is>
          <t>2029-03-10</t>
        </is>
      </c>
      <c r="O146" s="10" t="n">
        <v>8.449999999999999</v>
      </c>
      <c r="P146" s="7" t="inlineStr">
        <is>
          <t>-</t>
        </is>
      </c>
      <c r="Q146" s="2" t="inlineStr">
        <is>
          <t>2026-03-13</t>
        </is>
      </c>
      <c r="R146" s="2" t="inlineStr">
        <is>
          <t>2027-04-10</t>
        </is>
      </c>
      <c r="S146" s="2" t="inlineStr">
        <is>
          <t>20260313001309</t>
        </is>
      </c>
      <c r="T146" s="8">
        <f>HYPERLINK("https://dart.fss.or.kr/dsaf001/main.do?rcpNo=20260313001309", "공시열람")</f>
        <v/>
      </c>
    </row>
    <row r="147" ht="36" customHeight="1">
      <c r="A147" s="2" t="inlineStr">
        <is>
          <t>2025-11-13 (정정: 2026-03-13)</t>
        </is>
      </c>
      <c r="B147" s="3" t="inlineStr">
        <is>
          <t>피플바이오</t>
        </is>
      </c>
      <c r="C147" s="2" t="inlineStr">
        <is>
          <t>코스닥</t>
        </is>
      </c>
      <c r="D147" s="2" t="inlineStr">
        <is>
          <t>304840</t>
        </is>
      </c>
      <c r="E147" s="9" t="inlineStr">
        <is>
          <t>유상증자</t>
        </is>
      </c>
      <c r="F147" s="3" t="inlineStr">
        <is>
          <t>[기재정정]주요사항보고서(유상증자결정)</t>
        </is>
      </c>
      <c r="G147" s="5" t="n">
        <v>3210</v>
      </c>
      <c r="H147" s="5" t="n">
        <v>1429</v>
      </c>
      <c r="I147" s="2" t="inlineStr">
        <is>
          <t>보통주식</t>
        </is>
      </c>
      <c r="J147" s="6" t="n">
        <v>2246326</v>
      </c>
      <c r="K147" s="2" t="inlineStr">
        <is>
          <t>2026-03-13</t>
        </is>
      </c>
      <c r="L147" s="2" t="inlineStr">
        <is>
          <t>2026-04-03</t>
        </is>
      </c>
      <c r="M147" s="2" t="inlineStr">
        <is>
          <t>-</t>
        </is>
      </c>
      <c r="N147" s="2" t="inlineStr">
        <is>
          <t>-</t>
        </is>
      </c>
      <c r="O147" s="10" t="n">
        <v>10.58174623501606</v>
      </c>
      <c r="P147" s="7" t="inlineStr">
        <is>
          <t>운영자금 (3,210원)</t>
        </is>
      </c>
      <c r="Q147" s="2" t="inlineStr">
        <is>
          <t>-</t>
        </is>
      </c>
      <c r="R147" s="2" t="inlineStr">
        <is>
          <t>-</t>
        </is>
      </c>
      <c r="S147" s="2" t="inlineStr">
        <is>
          <t>20260313001218</t>
        </is>
      </c>
      <c r="T147" s="8">
        <f>HYPERLINK("https://dart.fss.or.kr/dsaf001/main.do?rcpNo=20260313001218", "공시열람")</f>
        <v/>
      </c>
    </row>
    <row r="148" ht="36" customHeight="1">
      <c r="A148" s="2" t="inlineStr">
        <is>
          <t>2026-01-21 (정정: 2026-03-13)</t>
        </is>
      </c>
      <c r="B148" s="3" t="inlineStr">
        <is>
          <t>다원시스</t>
        </is>
      </c>
      <c r="C148" s="2" t="inlineStr">
        <is>
          <t>코스닥</t>
        </is>
      </c>
      <c r="D148" s="2" t="inlineStr">
        <is>
          <t>068240</t>
        </is>
      </c>
      <c r="E148" s="9" t="inlineStr">
        <is>
          <t>유상증자</t>
        </is>
      </c>
      <c r="F148" s="3" t="inlineStr">
        <is>
          <t>[기재정정]주요사항보고서(유상증자결정)</t>
        </is>
      </c>
      <c r="G148" s="5" t="n">
        <v>41082938854</v>
      </c>
      <c r="H148" s="5" t="n">
        <v>2153</v>
      </c>
      <c r="I148" s="2" t="inlineStr">
        <is>
          <t>보통주식</t>
        </is>
      </c>
      <c r="J148" s="6" t="n">
        <v>19081718</v>
      </c>
      <c r="K148" s="2" t="inlineStr">
        <is>
          <t>2026-04-15</t>
        </is>
      </c>
      <c r="L148" s="2" t="inlineStr">
        <is>
          <t>2026-04-30</t>
        </is>
      </c>
      <c r="M148" s="2" t="inlineStr">
        <is>
          <t>-</t>
        </is>
      </c>
      <c r="N148" s="2" t="inlineStr">
        <is>
          <t>-</t>
        </is>
      </c>
      <c r="O148" s="10" t="n">
        <v>49.99999868984546</v>
      </c>
      <c r="P148" s="7" t="inlineStr">
        <is>
          <t>운영자금 (410.8억원)</t>
        </is>
      </c>
      <c r="Q148" s="2" t="inlineStr">
        <is>
          <t>-</t>
        </is>
      </c>
      <c r="R148" s="2" t="inlineStr">
        <is>
          <t>-</t>
        </is>
      </c>
      <c r="S148" s="2" t="inlineStr">
        <is>
          <t>20260313001152</t>
        </is>
      </c>
      <c r="T148" s="8">
        <f>HYPERLINK("https://dart.fss.or.kr/dsaf001/main.do?rcpNo=20260313001152", "공시열람")</f>
        <v/>
      </c>
    </row>
    <row r="149" ht="36" customHeight="1">
      <c r="A149" s="2" t="inlineStr">
        <is>
          <t>2022-04-12 (정정: 2026-03-13)</t>
        </is>
      </c>
      <c r="B149" s="3" t="inlineStr">
        <is>
          <t>오건에코텍</t>
        </is>
      </c>
      <c r="C149" s="2" t="inlineStr">
        <is>
          <t>코넥스</t>
        </is>
      </c>
      <c r="D149" s="2" t="inlineStr">
        <is>
          <t>212310</t>
        </is>
      </c>
      <c r="E149" s="11" t="inlineStr">
        <is>
          <t>전환사채(CB)</t>
        </is>
      </c>
      <c r="F149" s="3" t="inlineStr">
        <is>
          <t>[기재정정]주요사항보고서(전환사채권발행결정)</t>
        </is>
      </c>
      <c r="G149" s="5" t="inlineStr"/>
      <c r="H149" s="5" t="inlineStr"/>
      <c r="I149" s="2" t="inlineStr">
        <is>
          <t>-</t>
        </is>
      </c>
      <c r="J149" s="6" t="inlineStr"/>
      <c r="K149" s="2" t="inlineStr">
        <is>
          <t>-</t>
        </is>
      </c>
      <c r="L149" s="2" t="inlineStr">
        <is>
          <t>-</t>
        </is>
      </c>
      <c r="M149" s="2" t="inlineStr">
        <is>
          <t>2023-04-13</t>
        </is>
      </c>
      <c r="N149" s="2" t="inlineStr">
        <is>
          <t>2025-03-13</t>
        </is>
      </c>
      <c r="O149" s="3" t="inlineStr"/>
      <c r="P149" s="7" t="inlineStr">
        <is>
          <t>-</t>
        </is>
      </c>
      <c r="Q149" s="2" t="inlineStr">
        <is>
          <t>-</t>
        </is>
      </c>
      <c r="R149" s="2" t="inlineStr">
        <is>
          <t>2023-02-12</t>
        </is>
      </c>
      <c r="S149" s="2" t="inlineStr">
        <is>
          <t>20260313001096</t>
        </is>
      </c>
      <c r="T149" s="8">
        <f>HYPERLINK("https://dart.fss.or.kr/dsaf001/main.do?rcpNo=20260313001096", "공시열람")</f>
        <v/>
      </c>
    </row>
    <row r="150" ht="36" customHeight="1">
      <c r="A150" s="2" t="inlineStr">
        <is>
          <t>2026-04-16 (정정: 2026-06-19)</t>
        </is>
      </c>
      <c r="B150" s="3" t="inlineStr">
        <is>
          <t>모아라이프플러스</t>
        </is>
      </c>
      <c r="C150" s="2" t="inlineStr">
        <is>
          <t>코스닥</t>
        </is>
      </c>
      <c r="D150" s="2" t="inlineStr">
        <is>
          <t>142760</t>
        </is>
      </c>
      <c r="E150" s="11" t="inlineStr">
        <is>
          <t>전환사채(CB)</t>
        </is>
      </c>
      <c r="F150" s="3" t="inlineStr">
        <is>
          <t>주요사항보고서(전환사채권발행결정) (정정: 20260619)</t>
        </is>
      </c>
      <c r="G150" s="5" t="inlineStr"/>
      <c r="H150" s="5" t="inlineStr"/>
      <c r="I150" s="2" t="inlineStr">
        <is>
          <t>-</t>
        </is>
      </c>
      <c r="J150" s="6" t="inlineStr"/>
      <c r="K150" s="2" t="inlineStr">
        <is>
          <t>-</t>
        </is>
      </c>
      <c r="L150" s="2" t="inlineStr">
        <is>
          <t>-</t>
        </is>
      </c>
      <c r="M150" s="2" t="inlineStr">
        <is>
          <t>2027-07-20</t>
        </is>
      </c>
      <c r="N150" s="2" t="inlineStr">
        <is>
          <t>2029-06-20</t>
        </is>
      </c>
      <c r="O150" s="3" t="inlineStr"/>
      <c r="P150" s="7" t="inlineStr">
        <is>
          <t>-</t>
        </is>
      </c>
      <c r="Q150" s="2" t="inlineStr">
        <is>
          <t>2027-06-19</t>
        </is>
      </c>
      <c r="R150" s="2" t="inlineStr">
        <is>
          <t>2027-06-19</t>
        </is>
      </c>
      <c r="S150" s="2" t="inlineStr">
        <is>
          <t>20260619000609</t>
        </is>
      </c>
      <c r="T150" s="8">
        <f>HYPERLINK("https://dart.fss.or.kr/dsaf001/main.do?rcpNo=20260619000609", "공시열람")</f>
        <v/>
      </c>
    </row>
    <row r="151" ht="36" customHeight="1">
      <c r="A151" s="2" t="inlineStr">
        <is>
          <t>2026-04-16</t>
        </is>
      </c>
      <c r="B151" s="3" t="inlineStr">
        <is>
          <t>동부건설</t>
        </is>
      </c>
      <c r="C151" s="2" t="inlineStr">
        <is>
          <t>코스피</t>
        </is>
      </c>
      <c r="D151" s="2" t="inlineStr">
        <is>
          <t>005960</t>
        </is>
      </c>
      <c r="E151" s="11" t="inlineStr">
        <is>
          <t>전환사채(CB)</t>
        </is>
      </c>
      <c r="F151" s="3" t="inlineStr">
        <is>
          <t>주요사항보고서(전환사채권발행결정)</t>
        </is>
      </c>
      <c r="G151" s="5" t="n">
        <v>40000000000</v>
      </c>
      <c r="H151" s="5" t="n">
        <v>9589</v>
      </c>
      <c r="I151" s="2" t="inlineStr">
        <is>
          <t>동부건설 주식회사 기명식 보통주</t>
        </is>
      </c>
      <c r="J151" s="6" t="n">
        <v>4171446</v>
      </c>
      <c r="K151" s="2" t="inlineStr">
        <is>
          <t>2026년 04월 24일</t>
        </is>
      </c>
      <c r="L151" s="2" t="inlineStr">
        <is>
          <t>-</t>
        </is>
      </c>
      <c r="M151" s="2" t="inlineStr">
        <is>
          <t>2027-04-24</t>
        </is>
      </c>
      <c r="N151" s="2" t="inlineStr">
        <is>
          <t>2030-03-24</t>
        </is>
      </c>
      <c r="O151" s="10" t="n">
        <v>15.36</v>
      </c>
      <c r="P151" s="7" t="inlineStr">
        <is>
          <t>-</t>
        </is>
      </c>
      <c r="Q151" s="2" t="inlineStr">
        <is>
          <t>2027-04-24</t>
        </is>
      </c>
      <c r="R151" s="2" t="inlineStr">
        <is>
          <t>2027-10-24</t>
        </is>
      </c>
      <c r="S151" s="2" t="inlineStr">
        <is>
          <t>20260416000470</t>
        </is>
      </c>
      <c r="T151" s="8">
        <f>HYPERLINK("https://dart.fss.or.kr/dsaf001/main.do?rcpNo=20260416000470", "공시열람")</f>
        <v/>
      </c>
    </row>
    <row r="152" ht="36" customHeight="1">
      <c r="A152" s="2" t="inlineStr">
        <is>
          <t>2026-04-16 (정정: 2026-04-16)</t>
        </is>
      </c>
      <c r="B152" s="3" t="inlineStr">
        <is>
          <t>바이오프로테크</t>
        </is>
      </c>
      <c r="C152" s="2" t="inlineStr">
        <is>
          <t>코넥스</t>
        </is>
      </c>
      <c r="D152" s="2" t="inlineStr">
        <is>
          <t>199290</t>
        </is>
      </c>
      <c r="E152" s="11" t="inlineStr">
        <is>
          <t>전환사채(CB)</t>
        </is>
      </c>
      <c r="F152" s="3" t="inlineStr">
        <is>
          <t>[기재정정]주요사항보고서(전환사채권발행결정) (정정: 20260416)</t>
        </is>
      </c>
      <c r="G152" s="5" t="inlineStr"/>
      <c r="H152" s="5" t="inlineStr"/>
      <c r="I152" s="2" t="inlineStr">
        <is>
          <t>-</t>
        </is>
      </c>
      <c r="J152" s="6" t="inlineStr"/>
      <c r="K152" s="2" t="inlineStr">
        <is>
          <t>-</t>
        </is>
      </c>
      <c r="L152" s="2" t="inlineStr">
        <is>
          <t>-</t>
        </is>
      </c>
      <c r="M152" s="2" t="inlineStr">
        <is>
          <t>2020-08-05</t>
        </is>
      </c>
      <c r="N152" s="2" t="inlineStr">
        <is>
          <t>2027-01-15</t>
        </is>
      </c>
      <c r="O152" s="3" t="inlineStr"/>
      <c r="P152" s="7" t="inlineStr">
        <is>
          <t>-</t>
        </is>
      </c>
      <c r="Q152" s="2" t="inlineStr">
        <is>
          <t>-</t>
        </is>
      </c>
      <c r="R152" s="2" t="inlineStr">
        <is>
          <t>2019-08-02</t>
        </is>
      </c>
      <c r="S152" s="2" t="inlineStr">
        <is>
          <t>20260416000434</t>
        </is>
      </c>
      <c r="T152" s="8">
        <f>HYPERLINK("https://dart.fss.or.kr/dsaf001/main.do?rcpNo=20260416000434", "공시열람")</f>
        <v/>
      </c>
    </row>
    <row r="153" ht="36" customHeight="1">
      <c r="A153" s="2" t="inlineStr">
        <is>
          <t>2025-12-18 (정정: 2026-04-16)</t>
        </is>
      </c>
      <c r="B153" s="3" t="inlineStr">
        <is>
          <t>남성</t>
        </is>
      </c>
      <c r="C153" s="2" t="inlineStr">
        <is>
          <t>코스피</t>
        </is>
      </c>
      <c r="D153" s="2" t="inlineStr">
        <is>
          <t>004270</t>
        </is>
      </c>
      <c r="E153" s="4" t="inlineStr">
        <is>
          <t>교환사채(EB)</t>
        </is>
      </c>
      <c r="F153" s="3" t="inlineStr">
        <is>
          <t>[기재정정]주요사항보고서(교환사채권발행결정)</t>
        </is>
      </c>
      <c r="G153" s="5" t="inlineStr"/>
      <c r="H153" s="5" t="inlineStr">
        <is>
          <t>가. 본 사채를 소유한 자가 교환청구를 하기 전에 발행회사가 시가를 하회하는 발행가액으로 유상증자, 무상증자, 주식배당 및 준비금의 자본전입 등을 함으로써 주식을 발행하거나 또는 시가를 하회하는 전환가액 또는 행사가액으로 전환사채 또는 신주인수권부사채를 발행하는 경우에는 아래와 같이 교환가액을 조정한다. 본 목에 따른 교환가액의 조정일은 유상증자, 무상증자, 주식배당, 준비금의 자본전입 등으로 인한 신주발행일 또는 전환사채 및 신주인수권부사채의 발행일로 한다. 조정 후 교환가액 = 조정 전 교환가액 × [{A+(B×C/D)} / (A+B)] A: 기발행주식수 B: 신발행주식수 C: 1주당 발행가격 D: 시가 다만, 위 산식 중 "기발행주식수"는 당해 조정사유가 발생하기 직전일 현재의 발행주식 총수로 하며, 전환사채 또는 신주인수권부사채를 발행할 경우 "신발행주식수"는 당해 사채 발행 시 전환가액으로 전부 주식으로 전환되거나 당해 사채 발행 시 행사가액으로 신주인수권이 전부 행사될 경우 발행될 주식의 수로 한다. 또한, 위 산식 중 "1주당 발행가격"은 무상증자, 주식배당의 경우에는 영(0)으로 하고, 전환사채 또는 신주인수권부사채를 발행할 경우에는 당해 사채 발행 시 전환가액 또는 행사가액으로 하며, 위 산식에서 "시가"라 함은 당해 발행가격 산정의 기준이 되는 기준주가(증권의발행및공시등에관한규정 제5-18조에서 정하는 기준주가) 또는 이론권리락주가(유상증자 이외의 경우에는 조정사유 발생 전일을 기산일로 하여 계산한 기준주가)로 한다. 나. 합병, 자본의 감소, 주식분할 및 병합 등에 의하여 교환가액의 조정이 필요한 경우에는 당해 합병 또는 자본의 감소, 주식분할 및 병합 등의 직전에 전액 교환되어 주식으로 발행되었더라면 사채권자가 가질 수 있었던 주식수에 따른 가치에 상응하도록 교환가액을 조정한다. 혹은 합병, 자본의 감소, 주식분할 및 병합 등의 경우에는 각각 그 비율을 고려하여 교환가액을 조정한다. 교환가액의 조정일은 합병, 자본의 감소, 주식분할 및 병합의 기준일로 한다. 발행회사가 이러한 조치를 하지 못함으로 인하여 사채권자가 손해를 입은 경우에는 발행회사가 그 손해를 전액 배상하여야 한다. 또한 발행회사는 사채권자의 권리에 불리한 영향을 미치게 되는 방식으로 합병, 분할을 하여서는 아니되며, 계속 상장을 유지할 의무를 부담한다. 다. 감자, 주식병합 등 주식가치 상승 사유가 발생하는 경우 감자, 주식 병합 등으로 인한 조정비율만큼 교환가액을 상향하여 반영하여야 한다. 단, 감자 주식병합 등을 위한 주주총회 결의일 전일을 기산일로 하여 “증권의 발행 및 공시 등에 관한 규정” 제 5-22조 제1항 본문의 규정에 의하여 산정한 가액이 액면가액 미만이면서 기산일 전에 교환가액을 액면가액으로 이미 조정한 경우(교환가액을 액면가액 미만으로 조정할 수 있는 경우는 제외한다)에는 조정 후 교환가액은 산정가액을 기준으로 감자, 주식병합 등으로 인한 조정비율만큼 상향 조정한 가액 이상으로 조정한다. 라. 위 가목 내지 다목에 의한 조정 후 교환가액 중 원단위 미만은 절상하며, 조정 후 교환가액이 발행회사 보통주식의 액면가 이하인 경우에는 액면가를 교환가액으로 한다. 마. 각 교환사채의 교환으로 인하여 교환대상 주식의 교환가액의 합계액은 각 교환사채의 발행가액을 초과할 수 없다.</t>
        </is>
      </c>
      <c r="I153" s="2" t="inlineStr">
        <is>
          <t>-</t>
        </is>
      </c>
      <c r="J153" s="6" t="inlineStr"/>
      <c r="K153" s="2" t="inlineStr">
        <is>
          <t>-</t>
        </is>
      </c>
      <c r="L153" s="2" t="inlineStr">
        <is>
          <t>-</t>
        </is>
      </c>
      <c r="M153" s="2" t="inlineStr">
        <is>
          <t>2026-01-29</t>
        </is>
      </c>
      <c r="N153" s="2" t="inlineStr">
        <is>
          <t>2030-11-29</t>
        </is>
      </c>
      <c r="O153" s="3" t="inlineStr"/>
      <c r="P153" s="7" t="inlineStr">
        <is>
          <t>-</t>
        </is>
      </c>
      <c r="Q153" s="2" t="inlineStr">
        <is>
          <t>2024-02-01</t>
        </is>
      </c>
      <c r="R153" s="2" t="inlineStr">
        <is>
          <t>2027-10-30</t>
        </is>
      </c>
      <c r="S153" s="2" t="inlineStr">
        <is>
          <t>20260416000477</t>
        </is>
      </c>
      <c r="T153" s="8">
        <f>HYPERLINK("https://dart.fss.or.kr/dsaf001/main.do?rcpNo=20260416000477", "공시열람")</f>
        <v/>
      </c>
    </row>
    <row r="154" ht="36" customHeight="1">
      <c r="A154" s="2" t="inlineStr">
        <is>
          <t>2022-08-01 (정정: 2026-04-16)</t>
        </is>
      </c>
      <c r="B154" s="3" t="inlineStr">
        <is>
          <t>우성머티리얼스</t>
        </is>
      </c>
      <c r="C154" s="2" t="inlineStr">
        <is>
          <t>코스피</t>
        </is>
      </c>
      <c r="D154" s="2" t="inlineStr">
        <is>
          <t>011300</t>
        </is>
      </c>
      <c r="E154" s="12" t="inlineStr">
        <is>
          <t>신주인수권부사채(BW)</t>
        </is>
      </c>
      <c r="F154" s="3" t="inlineStr">
        <is>
          <t>[기재정정]주요사항보고서(신주인수권부사채권발행결정)</t>
        </is>
      </c>
      <c r="G154" s="5" t="inlineStr"/>
      <c r="H154" s="5" t="inlineStr"/>
      <c r="I154" s="2" t="inlineStr">
        <is>
          <t>-</t>
        </is>
      </c>
      <c r="J154" s="6" t="inlineStr"/>
      <c r="K154" s="2" t="inlineStr">
        <is>
          <t>-</t>
        </is>
      </c>
      <c r="L154" s="2" t="inlineStr">
        <is>
          <t>-</t>
        </is>
      </c>
      <c r="M154" s="2" t="inlineStr">
        <is>
          <t>2027-10-16</t>
        </is>
      </c>
      <c r="N154" s="2" t="inlineStr">
        <is>
          <t>2029-09-16</t>
        </is>
      </c>
      <c r="O154" s="3" t="inlineStr"/>
      <c r="P154" s="7" t="inlineStr">
        <is>
          <t>-</t>
        </is>
      </c>
      <c r="Q154" s="2" t="inlineStr">
        <is>
          <t>-</t>
        </is>
      </c>
      <c r="R154" s="2" t="inlineStr">
        <is>
          <t>2026-04-16</t>
        </is>
      </c>
      <c r="S154" s="2" t="inlineStr">
        <is>
          <t>20260416000429</t>
        </is>
      </c>
      <c r="T154" s="8">
        <f>HYPERLINK("https://dart.fss.or.kr/dsaf001/main.do?rcpNo=20260416000429", "공시열람")</f>
        <v/>
      </c>
    </row>
    <row r="155" ht="36" customHeight="1">
      <c r="A155" s="2" t="inlineStr">
        <is>
          <t>2026-04-16 (정정: 2026-05-20)</t>
        </is>
      </c>
      <c r="B155" s="3" t="inlineStr">
        <is>
          <t>파라텍</t>
        </is>
      </c>
      <c r="C155" s="2" t="inlineStr">
        <is>
          <t>코스닥</t>
        </is>
      </c>
      <c r="D155" s="2" t="inlineStr">
        <is>
          <t>033540</t>
        </is>
      </c>
      <c r="E155" s="11" t="inlineStr">
        <is>
          <t>전환사채(CB)</t>
        </is>
      </c>
      <c r="F155" s="3" t="inlineStr">
        <is>
          <t>[첨부정정]주요사항보고서(전환사채권발행결정) (정정: 20260520)</t>
        </is>
      </c>
      <c r="G155" s="5" t="inlineStr"/>
      <c r="H155" s="5" t="inlineStr"/>
      <c r="I155" s="2" t="inlineStr">
        <is>
          <t>-</t>
        </is>
      </c>
      <c r="J155" s="6" t="inlineStr"/>
      <c r="K155" s="2" t="inlineStr">
        <is>
          <t>-</t>
        </is>
      </c>
      <c r="L155" s="2" t="inlineStr">
        <is>
          <t>-</t>
        </is>
      </c>
      <c r="M155" s="2" t="inlineStr">
        <is>
          <t>2027-07-20</t>
        </is>
      </c>
      <c r="N155" s="2" t="inlineStr">
        <is>
          <t>2029-06-20</t>
        </is>
      </c>
      <c r="O155" s="3" t="inlineStr"/>
      <c r="P155" s="7" t="inlineStr">
        <is>
          <t>-</t>
        </is>
      </c>
      <c r="Q155" s="2" t="inlineStr">
        <is>
          <t>-</t>
        </is>
      </c>
      <c r="R155" s="2" t="inlineStr">
        <is>
          <t>2027-04-20</t>
        </is>
      </c>
      <c r="S155" s="2" t="inlineStr">
        <is>
          <t>20260520000310</t>
        </is>
      </c>
      <c r="T155" s="8">
        <f>HYPERLINK("https://dart.fss.or.kr/dsaf001/main.do?rcpNo=20260520000310", "공시열람")</f>
        <v/>
      </c>
    </row>
    <row r="156" ht="36" customHeight="1">
      <c r="A156" s="2" t="inlineStr">
        <is>
          <t>2026-04-16 (정정: 2026-06-19)</t>
        </is>
      </c>
      <c r="B156" s="3" t="inlineStr">
        <is>
          <t>프리티</t>
        </is>
      </c>
      <c r="C156" s="2" t="inlineStr">
        <is>
          <t>코스피</t>
        </is>
      </c>
      <c r="D156" s="2" t="inlineStr">
        <is>
          <t>006490</t>
        </is>
      </c>
      <c r="E156" s="9" t="inlineStr">
        <is>
          <t>유상증자</t>
        </is>
      </c>
      <c r="F156" s="3" t="inlineStr">
        <is>
          <t>[기재정정]주요사항보고서(유상증자결정) (정정: 20260608) (정정: 20260619)</t>
        </is>
      </c>
      <c r="G156" s="5" t="n">
        <v>2572002428</v>
      </c>
      <c r="H156" s="5" t="n">
        <v>500</v>
      </c>
      <c r="I156" s="2" t="inlineStr">
        <is>
          <t>보통주식</t>
        </is>
      </c>
      <c r="J156" s="6" t="n">
        <v>10000000</v>
      </c>
      <c r="K156" s="2" t="inlineStr">
        <is>
          <t>2026-08-28</t>
        </is>
      </c>
      <c r="L156" s="2" t="inlineStr">
        <is>
          <t>2026-09-15</t>
        </is>
      </c>
      <c r="M156" s="2" t="inlineStr">
        <is>
          <t>-</t>
        </is>
      </c>
      <c r="N156" s="2" t="inlineStr">
        <is>
          <t>-</t>
        </is>
      </c>
      <c r="O156" s="10" t="n">
        <v>6.761959993593989</v>
      </c>
      <c r="P156" s="7" t="inlineStr">
        <is>
          <t>운영자금 (2,428원), 채무상환자금 (25.7억원)</t>
        </is>
      </c>
      <c r="Q156" s="2" t="inlineStr">
        <is>
          <t>-</t>
        </is>
      </c>
      <c r="R156" s="2" t="inlineStr">
        <is>
          <t>-</t>
        </is>
      </c>
      <c r="S156" s="2" t="inlineStr">
        <is>
          <t>20260619000493</t>
        </is>
      </c>
      <c r="T156" s="8">
        <f>HYPERLINK("https://dart.fss.or.kr/dsaf001/main.do?rcpNo=20260619000493", "공시열람")</f>
        <v/>
      </c>
    </row>
    <row r="157" ht="36" customHeight="1">
      <c r="A157" s="2" t="inlineStr">
        <is>
          <t>2026-04-16 (정정: 2026-06-01)</t>
        </is>
      </c>
      <c r="B157" s="3" t="inlineStr">
        <is>
          <t>이노스페이스</t>
        </is>
      </c>
      <c r="C157" s="2" t="inlineStr">
        <is>
          <t>코스닥</t>
        </is>
      </c>
      <c r="D157" s="2" t="inlineStr">
        <is>
          <t>462350</t>
        </is>
      </c>
      <c r="E157" s="9" t="inlineStr">
        <is>
          <t>유상증자</t>
        </is>
      </c>
      <c r="F157" s="3" t="inlineStr">
        <is>
          <t>[기재정정]주요사항보고서(유상증자결정) (정정: 20260601)</t>
        </is>
      </c>
      <c r="G157" s="5" t="n">
        <v>80780000000</v>
      </c>
      <c r="H157" s="5" t="n">
        <v>11540</v>
      </c>
      <c r="I157" s="2" t="inlineStr">
        <is>
          <t>보통주식</t>
        </is>
      </c>
      <c r="J157" s="6" t="n">
        <v>7000000</v>
      </c>
      <c r="K157" s="2" t="inlineStr">
        <is>
          <t>2026-06-12</t>
        </is>
      </c>
      <c r="L157" s="2" t="inlineStr">
        <is>
          <t>2026-06-25</t>
        </is>
      </c>
      <c r="M157" s="2" t="inlineStr">
        <is>
          <t>-</t>
        </is>
      </c>
      <c r="N157" s="2" t="inlineStr">
        <is>
          <t>-</t>
        </is>
      </c>
      <c r="O157" s="10" t="n">
        <v>33.54311838487776</v>
      </c>
      <c r="P157" s="7" t="inlineStr">
        <is>
          <t>시설자금 (66.5억원), 운영자금 (641.3억원), 채무상환자금 (100.0억원)</t>
        </is>
      </c>
      <c r="Q157" s="2" t="inlineStr">
        <is>
          <t>-</t>
        </is>
      </c>
      <c r="R157" s="2" t="inlineStr">
        <is>
          <t>-</t>
        </is>
      </c>
      <c r="S157" s="2" t="inlineStr">
        <is>
          <t>20260601001294</t>
        </is>
      </c>
      <c r="T157" s="8">
        <f>HYPERLINK("https://dart.fss.or.kr/dsaf001/main.do?rcpNo=20260601001294", "공시열람")</f>
        <v/>
      </c>
    </row>
    <row r="158" ht="36" customHeight="1">
      <c r="A158" s="2" t="inlineStr">
        <is>
          <t>2026-03-16 (정정: 2026-04-16)</t>
        </is>
      </c>
      <c r="B158" s="3" t="inlineStr">
        <is>
          <t>에이비프로바이오</t>
        </is>
      </c>
      <c r="C158" s="2" t="inlineStr">
        <is>
          <t>코스닥</t>
        </is>
      </c>
      <c r="D158" s="2" t="inlineStr">
        <is>
          <t>195990</t>
        </is>
      </c>
      <c r="E158" s="11" t="inlineStr">
        <is>
          <t>전환사채(CB)</t>
        </is>
      </c>
      <c r="F158" s="3" t="inlineStr">
        <is>
          <t>[기재정정]주요사항보고서(전환사채권발행결정)</t>
        </is>
      </c>
      <c r="G158" s="5" t="inlineStr"/>
      <c r="H158" s="5" t="inlineStr"/>
      <c r="I158" s="2" t="inlineStr">
        <is>
          <t>-</t>
        </is>
      </c>
      <c r="J158" s="6" t="inlineStr"/>
      <c r="K158" s="2" t="inlineStr">
        <is>
          <t>-</t>
        </is>
      </c>
      <c r="L158" s="2" t="inlineStr">
        <is>
          <t>-</t>
        </is>
      </c>
      <c r="M158" s="2" t="inlineStr">
        <is>
          <t>2027-04-20</t>
        </is>
      </c>
      <c r="N158" s="2" t="inlineStr">
        <is>
          <t>2029-03-20</t>
        </is>
      </c>
      <c r="O158" s="3" t="inlineStr"/>
      <c r="P158" s="7" t="inlineStr">
        <is>
          <t>-</t>
        </is>
      </c>
      <c r="Q158" s="2" t="inlineStr">
        <is>
          <t>-</t>
        </is>
      </c>
      <c r="R158" s="2" t="inlineStr">
        <is>
          <t>2027-02-19</t>
        </is>
      </c>
      <c r="S158" s="2" t="inlineStr">
        <is>
          <t>20260416000411</t>
        </is>
      </c>
      <c r="T158" s="8">
        <f>HYPERLINK("https://dart.fss.or.kr/dsaf001/main.do?rcpNo=20260416000411", "공시열람")</f>
        <v/>
      </c>
    </row>
    <row r="159" ht="36" customHeight="1">
      <c r="A159" s="2" t="inlineStr">
        <is>
          <t>2026-03-23 (정정: 2026-04-16)</t>
        </is>
      </c>
      <c r="B159" s="3" t="inlineStr">
        <is>
          <t>빛과전자</t>
        </is>
      </c>
      <c r="C159" s="2" t="inlineStr">
        <is>
          <t>코스닥</t>
        </is>
      </c>
      <c r="D159" s="2" t="inlineStr">
        <is>
          <t>069540</t>
        </is>
      </c>
      <c r="E159" s="11" t="inlineStr">
        <is>
          <t>전환사채(CB)</t>
        </is>
      </c>
      <c r="F159" s="3" t="inlineStr">
        <is>
          <t>[기재정정]주요사항보고서(전환사채권발행결정)</t>
        </is>
      </c>
      <c r="G159" s="5" t="inlineStr"/>
      <c r="H159" s="5" t="inlineStr"/>
      <c r="I159" s="2" t="inlineStr">
        <is>
          <t>-</t>
        </is>
      </c>
      <c r="J159" s="6" t="inlineStr"/>
      <c r="K159" s="2" t="inlineStr">
        <is>
          <t>-</t>
        </is>
      </c>
      <c r="L159" s="2" t="inlineStr">
        <is>
          <t>-</t>
        </is>
      </c>
      <c r="M159" s="2" t="inlineStr">
        <is>
          <t>2027-04-17</t>
        </is>
      </c>
      <c r="N159" s="2" t="inlineStr">
        <is>
          <t>2029-03-17</t>
        </is>
      </c>
      <c r="O159" s="3" t="inlineStr"/>
      <c r="P159" s="7" t="inlineStr">
        <is>
          <t>-</t>
        </is>
      </c>
      <c r="Q159" s="2" t="inlineStr">
        <is>
          <t>2027-03-12</t>
        </is>
      </c>
      <c r="R159" s="2" t="inlineStr">
        <is>
          <t>2027-03-28</t>
        </is>
      </c>
      <c r="S159" s="2" t="inlineStr">
        <is>
          <t>20260416000380</t>
        </is>
      </c>
      <c r="T159" s="8">
        <f>HYPERLINK("https://dart.fss.or.kr/dsaf001/main.do?rcpNo=20260416000380", "공시열람")</f>
        <v/>
      </c>
    </row>
    <row r="160" ht="36" customHeight="1">
      <c r="A160" s="2" t="inlineStr">
        <is>
          <t>2026-04-16 (정정: 2026-06-17)</t>
        </is>
      </c>
      <c r="B160" s="3" t="inlineStr">
        <is>
          <t>우성머티리얼스</t>
        </is>
      </c>
      <c r="C160" s="2" t="inlineStr">
        <is>
          <t>코스피</t>
        </is>
      </c>
      <c r="D160" s="2" t="inlineStr">
        <is>
          <t>011300</t>
        </is>
      </c>
      <c r="E160" s="9" t="inlineStr">
        <is>
          <t>유상증자</t>
        </is>
      </c>
      <c r="F160" s="3" t="inlineStr">
        <is>
          <t>[기재정정]주요사항보고서(유상증자결정) (정정: 20260416) (정정: 20260617)</t>
        </is>
      </c>
      <c r="G160" s="5" t="n">
        <v>5000000000</v>
      </c>
      <c r="H160" s="5" t="n">
        <v>4000</v>
      </c>
      <c r="I160" s="2" t="inlineStr">
        <is>
          <t>보통주식</t>
        </is>
      </c>
      <c r="J160" s="6" t="n">
        <v>1250000</v>
      </c>
      <c r="K160" s="2" t="inlineStr">
        <is>
          <t>2026-09-18</t>
        </is>
      </c>
      <c r="L160" s="2" t="inlineStr">
        <is>
          <t>2026-10-12</t>
        </is>
      </c>
      <c r="M160" s="2" t="inlineStr">
        <is>
          <t>-</t>
        </is>
      </c>
      <c r="N160" s="2" t="inlineStr">
        <is>
          <t>-</t>
        </is>
      </c>
      <c r="O160" s="10" t="n">
        <v>7.433364495979531</v>
      </c>
      <c r="P160" s="7" t="inlineStr">
        <is>
          <t>운영자금 (50.0억원)</t>
        </is>
      </c>
      <c r="Q160" s="2" t="inlineStr">
        <is>
          <t>-</t>
        </is>
      </c>
      <c r="R160" s="2" t="inlineStr">
        <is>
          <t>-</t>
        </is>
      </c>
      <c r="S160" s="2" t="inlineStr">
        <is>
          <t>20260617000494</t>
        </is>
      </c>
      <c r="T160" s="8">
        <f>HYPERLINK("https://dart.fss.or.kr/dsaf001/main.do?rcpNo=20260617000494", "공시열람")</f>
        <v/>
      </c>
    </row>
    <row r="161" ht="36" customHeight="1">
      <c r="A161" s="2" t="inlineStr">
        <is>
          <t>2026-04-16</t>
        </is>
      </c>
      <c r="B161" s="3" t="inlineStr">
        <is>
          <t>이엠텍</t>
        </is>
      </c>
      <c r="C161" s="2" t="inlineStr">
        <is>
          <t>코스닥</t>
        </is>
      </c>
      <c r="D161" s="2" t="inlineStr">
        <is>
          <t>091120</t>
        </is>
      </c>
      <c r="E161" s="4" t="inlineStr">
        <is>
          <t>교환사채(EB)</t>
        </is>
      </c>
      <c r="F161" s="3" t="inlineStr">
        <is>
          <t>주요사항보고서(교환사채권발행결정)</t>
        </is>
      </c>
      <c r="G161" s="5" t="n">
        <v>16547236266</v>
      </c>
      <c r="H161" s="5" t="n">
        <v>45622</v>
      </c>
      <c r="I161" s="2" t="inlineStr">
        <is>
          <t>발행회사가 보유한 "(주)안트로젠" 기명식 보통주</t>
        </is>
      </c>
      <c r="J161" s="6" t="inlineStr"/>
      <c r="K161" s="2" t="inlineStr">
        <is>
          <t>2026년 04월 24일</t>
        </is>
      </c>
      <c r="L161" s="2" t="inlineStr">
        <is>
          <t>-</t>
        </is>
      </c>
      <c r="M161" s="2" t="inlineStr">
        <is>
          <t>2026-05-01</t>
        </is>
      </c>
      <c r="N161" s="2" t="inlineStr">
        <is>
          <t>2031-03-24</t>
        </is>
      </c>
      <c r="O161" s="3" t="inlineStr"/>
      <c r="P161" s="7" t="inlineStr">
        <is>
          <t>-</t>
        </is>
      </c>
      <c r="Q161" s="2" t="inlineStr">
        <is>
          <t>2027-04-14</t>
        </is>
      </c>
      <c r="R161" s="2" t="inlineStr">
        <is>
          <t>2028-02-24</t>
        </is>
      </c>
      <c r="S161" s="2" t="inlineStr">
        <is>
          <t>20260416000302</t>
        </is>
      </c>
      <c r="T161" s="8">
        <f>HYPERLINK("https://dart.fss.or.kr/dsaf001/main.do?rcpNo=20260416000302", "공시열람")</f>
        <v/>
      </c>
    </row>
    <row r="162" ht="36" customHeight="1">
      <c r="A162" s="2" t="inlineStr">
        <is>
          <t>2026-04-10 (정정: 2026-04-16)</t>
        </is>
      </c>
      <c r="B162" s="3" t="inlineStr">
        <is>
          <t>디바이스</t>
        </is>
      </c>
      <c r="C162" s="2" t="inlineStr">
        <is>
          <t>코스닥</t>
        </is>
      </c>
      <c r="D162" s="2" t="inlineStr">
        <is>
          <t>187870</t>
        </is>
      </c>
      <c r="E162" s="2" t="inlineStr">
        <is>
          <t>무상증자</t>
        </is>
      </c>
      <c r="F162" s="3" t="inlineStr">
        <is>
          <t>[기재정정]주요사항보고서(무상증자결정)</t>
        </is>
      </c>
      <c r="G162" s="5" t="inlineStr"/>
      <c r="H162" s="5" t="inlineStr"/>
      <c r="I162" s="2" t="inlineStr">
        <is>
          <t>-</t>
        </is>
      </c>
      <c r="J162" s="6" t="inlineStr"/>
      <c r="K162" s="2" t="inlineStr">
        <is>
          <t>-</t>
        </is>
      </c>
      <c r="L162" s="2" t="inlineStr">
        <is>
          <t>-</t>
        </is>
      </c>
      <c r="M162" s="2" t="inlineStr">
        <is>
          <t>-</t>
        </is>
      </c>
      <c r="N162" s="2" t="inlineStr">
        <is>
          <t>-</t>
        </is>
      </c>
      <c r="O162" s="3" t="inlineStr"/>
      <c r="P162" s="7" t="inlineStr">
        <is>
          <t>-</t>
        </is>
      </c>
      <c r="Q162" s="2" t="inlineStr">
        <is>
          <t>-</t>
        </is>
      </c>
      <c r="R162" s="2" t="inlineStr">
        <is>
          <t>-</t>
        </is>
      </c>
      <c r="S162" s="2" t="inlineStr">
        <is>
          <t>20260416000263</t>
        </is>
      </c>
      <c r="T162" s="8">
        <f>HYPERLINK("https://dart.fss.or.kr/dsaf001/main.do?rcpNo=20260416000263", "공시열람")</f>
        <v/>
      </c>
    </row>
    <row r="163" ht="36" customHeight="1">
      <c r="A163" s="2" t="inlineStr">
        <is>
          <t>2026-03-27 (정정: 2026-04-16)</t>
        </is>
      </c>
      <c r="B163" s="3" t="inlineStr">
        <is>
          <t>이오플로우</t>
        </is>
      </c>
      <c r="C163" s="2" t="inlineStr">
        <is>
          <t>코스닥</t>
        </is>
      </c>
      <c r="D163" s="2" t="inlineStr">
        <is>
          <t>294090</t>
        </is>
      </c>
      <c r="E163" s="11" t="inlineStr">
        <is>
          <t>전환사채(CB)</t>
        </is>
      </c>
      <c r="F163" s="3" t="inlineStr">
        <is>
          <t>[기재정정]주요사항보고서(전환사채권발행결정)</t>
        </is>
      </c>
      <c r="G163" s="5" t="inlineStr"/>
      <c r="H163" s="5" t="inlineStr"/>
      <c r="I163" s="2" t="inlineStr">
        <is>
          <t>-</t>
        </is>
      </c>
      <c r="J163" s="6" t="inlineStr"/>
      <c r="K163" s="2" t="inlineStr">
        <is>
          <t>-</t>
        </is>
      </c>
      <c r="L163" s="2" t="inlineStr">
        <is>
          <t>-</t>
        </is>
      </c>
      <c r="M163" s="2" t="inlineStr">
        <is>
          <t>2027-05-11</t>
        </is>
      </c>
      <c r="N163" s="2" t="inlineStr">
        <is>
          <t>2029-04-10</t>
        </is>
      </c>
      <c r="O163" s="3" t="inlineStr"/>
      <c r="P163" s="7" t="inlineStr">
        <is>
          <t>-</t>
        </is>
      </c>
      <c r="Q163" s="2" t="inlineStr">
        <is>
          <t>-</t>
        </is>
      </c>
      <c r="R163" s="2" t="inlineStr">
        <is>
          <t>2027-08-17</t>
        </is>
      </c>
      <c r="S163" s="2" t="inlineStr">
        <is>
          <t>20260416000251</t>
        </is>
      </c>
      <c r="T163" s="8">
        <f>HYPERLINK("https://dart.fss.or.kr/dsaf001/main.do?rcpNo=20260416000251", "공시열람")</f>
        <v/>
      </c>
    </row>
    <row r="164" ht="36" customHeight="1">
      <c r="A164" s="2" t="inlineStr">
        <is>
          <t>2026-01-09 (정정: 2026-04-16)</t>
        </is>
      </c>
      <c r="B164" s="3" t="inlineStr">
        <is>
          <t>레이저옵텍</t>
        </is>
      </c>
      <c r="C164" s="2" t="inlineStr">
        <is>
          <t>코스닥</t>
        </is>
      </c>
      <c r="D164" s="2" t="inlineStr">
        <is>
          <t>199550</t>
        </is>
      </c>
      <c r="E164" s="9" t="inlineStr">
        <is>
          <t>유상증자</t>
        </is>
      </c>
      <c r="F164" s="3" t="inlineStr">
        <is>
          <t>[기재정정]주요사항보고서(유상증자결정)</t>
        </is>
      </c>
      <c r="G164" s="5" t="n">
        <v>10229700000</v>
      </c>
      <c r="H164" s="5" t="n">
        <v>3965</v>
      </c>
      <c r="I164" s="2" t="inlineStr">
        <is>
          <t>보통주식</t>
        </is>
      </c>
      <c r="J164" s="6" t="n">
        <v>2580000</v>
      </c>
      <c r="K164" s="2" t="inlineStr">
        <is>
          <t>2026-04-16</t>
        </is>
      </c>
      <c r="L164" s="2" t="inlineStr">
        <is>
          <t>2026-05-11</t>
        </is>
      </c>
      <c r="M164" s="2" t="inlineStr">
        <is>
          <t>-</t>
        </is>
      </c>
      <c r="N164" s="2" t="inlineStr">
        <is>
          <t>-</t>
        </is>
      </c>
      <c r="O164" s="10" t="n">
        <v>21.03411023390175</v>
      </c>
      <c r="P164" s="7" t="inlineStr">
        <is>
          <t>운영자금 (102.3억원)</t>
        </is>
      </c>
      <c r="Q164" s="2" t="inlineStr">
        <is>
          <t>-</t>
        </is>
      </c>
      <c r="R164" s="2" t="inlineStr">
        <is>
          <t>-</t>
        </is>
      </c>
      <c r="S164" s="2" t="inlineStr">
        <is>
          <t>20260416000230</t>
        </is>
      </c>
      <c r="T164" s="8">
        <f>HYPERLINK("https://dart.fss.or.kr/dsaf001/main.do?rcpNo=20260416000230", "공시열람")</f>
        <v/>
      </c>
    </row>
    <row r="165" ht="36" customHeight="1">
      <c r="A165" s="2" t="inlineStr">
        <is>
          <t>2026-03-19 (정정: 2026-04-16)</t>
        </is>
      </c>
      <c r="B165" s="3" t="inlineStr">
        <is>
          <t>빌리언스</t>
        </is>
      </c>
      <c r="C165" s="2" t="inlineStr">
        <is>
          <t>코스닥</t>
        </is>
      </c>
      <c r="D165" s="2" t="inlineStr">
        <is>
          <t>044480</t>
        </is>
      </c>
      <c r="E165" s="11" t="inlineStr">
        <is>
          <t>전환사채(CB)</t>
        </is>
      </c>
      <c r="F165" s="3" t="inlineStr">
        <is>
          <t>[기재정정]주요사항보고서(전환사채권발행결정)</t>
        </is>
      </c>
      <c r="G165" s="5" t="inlineStr"/>
      <c r="H165" s="5" t="inlineStr"/>
      <c r="I165" s="2" t="inlineStr">
        <is>
          <t>-</t>
        </is>
      </c>
      <c r="J165" s="6" t="inlineStr"/>
      <c r="K165" s="2" t="inlineStr">
        <is>
          <t>-</t>
        </is>
      </c>
      <c r="L165" s="2" t="inlineStr">
        <is>
          <t>-</t>
        </is>
      </c>
      <c r="M165" s="2" t="inlineStr">
        <is>
          <t>2027-04-17</t>
        </is>
      </c>
      <c r="N165" s="2" t="inlineStr">
        <is>
          <t>2029-03-17</t>
        </is>
      </c>
      <c r="O165" s="3" t="inlineStr"/>
      <c r="P165" s="7" t="inlineStr">
        <is>
          <t>-</t>
        </is>
      </c>
      <c r="Q165" s="2" t="inlineStr">
        <is>
          <t>2027-02-16</t>
        </is>
      </c>
      <c r="R165" s="2" t="inlineStr">
        <is>
          <t>2027-02-16</t>
        </is>
      </c>
      <c r="S165" s="2" t="inlineStr">
        <is>
          <t>20260416000187</t>
        </is>
      </c>
      <c r="T165" s="8">
        <f>HYPERLINK("https://dart.fss.or.kr/dsaf001/main.do?rcpNo=20260416000187", "공시열람")</f>
        <v/>
      </c>
    </row>
    <row r="166" ht="36" customHeight="1">
      <c r="A166" s="2" t="inlineStr">
        <is>
          <t>2026-03-19 (정정: 2026-04-16)</t>
        </is>
      </c>
      <c r="B166" s="3" t="inlineStr">
        <is>
          <t>빌리언스</t>
        </is>
      </c>
      <c r="C166" s="2" t="inlineStr">
        <is>
          <t>코스닥</t>
        </is>
      </c>
      <c r="D166" s="2" t="inlineStr">
        <is>
          <t>044480</t>
        </is>
      </c>
      <c r="E166" s="9" t="inlineStr">
        <is>
          <t>유상증자</t>
        </is>
      </c>
      <c r="F166" s="3" t="inlineStr">
        <is>
          <t>[기재정정]주요사항보고서(유상증자결정)</t>
        </is>
      </c>
      <c r="G166" s="5" t="n">
        <v>10000</v>
      </c>
      <c r="H166" s="5" t="n">
        <v>1275</v>
      </c>
      <c r="I166" s="2" t="inlineStr">
        <is>
          <t>보통주식</t>
        </is>
      </c>
      <c r="J166" s="6" t="n">
        <v>15686274</v>
      </c>
      <c r="K166" s="2" t="inlineStr">
        <is>
          <t>2026-04-20</t>
        </is>
      </c>
      <c r="L166" s="2" t="inlineStr">
        <is>
          <t>2026-05-11</t>
        </is>
      </c>
      <c r="M166" s="2" t="inlineStr">
        <is>
          <t>-</t>
        </is>
      </c>
      <c r="N166" s="2" t="inlineStr">
        <is>
          <t>-</t>
        </is>
      </c>
      <c r="O166" s="10" t="n">
        <v>97.23251684694701</v>
      </c>
      <c r="P166" s="7" t="inlineStr">
        <is>
          <t>운영자금 (10,000원)</t>
        </is>
      </c>
      <c r="Q166" s="2" t="inlineStr">
        <is>
          <t>-</t>
        </is>
      </c>
      <c r="R166" s="2" t="inlineStr">
        <is>
          <t>-</t>
        </is>
      </c>
      <c r="S166" s="2" t="inlineStr">
        <is>
          <t>20260416000184</t>
        </is>
      </c>
      <c r="T166" s="8">
        <f>HYPERLINK("https://dart.fss.or.kr/dsaf001/main.do?rcpNo=20260416000184", "공시열람")</f>
        <v/>
      </c>
    </row>
    <row r="167" ht="36" customHeight="1">
      <c r="A167" s="2" t="inlineStr">
        <is>
          <t>2026-04-16</t>
        </is>
      </c>
      <c r="B167" s="3" t="inlineStr">
        <is>
          <t>블루산업개발</t>
        </is>
      </c>
      <c r="C167" s="2" t="inlineStr">
        <is>
          <t>코스피</t>
        </is>
      </c>
      <c r="D167" s="2" t="inlineStr">
        <is>
          <t>006740</t>
        </is>
      </c>
      <c r="E167" s="11" t="inlineStr">
        <is>
          <t>전환사채(CB)</t>
        </is>
      </c>
      <c r="F167" s="3" t="inlineStr">
        <is>
          <t>주요사항보고서(전환사채권발행결정)</t>
        </is>
      </c>
      <c r="G167" s="5" t="n">
        <v>8000000000</v>
      </c>
      <c r="H167" s="5" t="n">
        <v>7497</v>
      </c>
      <c r="I167" s="2" t="inlineStr">
        <is>
          <t>블루산업개발(주) 기명식 보통주</t>
        </is>
      </c>
      <c r="J167" s="6" t="n">
        <v>1067093</v>
      </c>
      <c r="K167" s="2" t="inlineStr">
        <is>
          <t>2026년 05월 18일</t>
        </is>
      </c>
      <c r="L167" s="2" t="inlineStr">
        <is>
          <t>-</t>
        </is>
      </c>
      <c r="M167" s="2" t="inlineStr">
        <is>
          <t>2027-05-14</t>
        </is>
      </c>
      <c r="N167" s="2" t="inlineStr">
        <is>
          <t>2029-04-14</t>
        </is>
      </c>
      <c r="O167" s="10" t="n">
        <v>18.35</v>
      </c>
      <c r="P167" s="7" t="inlineStr">
        <is>
          <t>-</t>
        </is>
      </c>
      <c r="Q167" s="2" t="inlineStr">
        <is>
          <t>2027-04-25</t>
        </is>
      </c>
      <c r="R167" s="2" t="inlineStr">
        <is>
          <t>2027-04-24</t>
        </is>
      </c>
      <c r="S167" s="2" t="inlineStr">
        <is>
          <t>20260415000704</t>
        </is>
      </c>
      <c r="T167" s="8">
        <f>HYPERLINK("https://dart.fss.or.kr/dsaf001/main.do?rcpNo=20260415000704", "공시열람")</f>
        <v/>
      </c>
    </row>
    <row r="168" ht="36" customHeight="1">
      <c r="A168" s="2" t="inlineStr">
        <is>
          <t>2026-04-16 (정정: 2026-06-12)</t>
        </is>
      </c>
      <c r="B168" s="3" t="inlineStr">
        <is>
          <t>블루산업개발</t>
        </is>
      </c>
      <c r="C168" s="2" t="inlineStr">
        <is>
          <t>코스피</t>
        </is>
      </c>
      <c r="D168" s="2" t="inlineStr">
        <is>
          <t>006740</t>
        </is>
      </c>
      <c r="E168" s="11" t="inlineStr">
        <is>
          <t>전환사채(CB)</t>
        </is>
      </c>
      <c r="F168" s="3" t="inlineStr">
        <is>
          <t>주요사항보고서(전환사채권발행결정) (정정: 20260520) (정정: 20260605) (정정: 20260608) (정정: 20260610) (정정: 20260612)</t>
        </is>
      </c>
      <c r="G168" s="5" t="n">
        <v>2500000000</v>
      </c>
      <c r="H168" s="5" t="n">
        <v>5664</v>
      </c>
      <c r="I168" s="2" t="inlineStr">
        <is>
          <t>블루산업개발(주) 기명식 보통주</t>
        </is>
      </c>
      <c r="J168" s="6" t="n">
        <v>441384</v>
      </c>
      <c r="K168" s="2" t="inlineStr">
        <is>
          <t>2026년 06월 22일</t>
        </is>
      </c>
      <c r="L168" s="2" t="inlineStr">
        <is>
          <t>-</t>
        </is>
      </c>
      <c r="M168" s="2" t="inlineStr">
        <is>
          <t>2027-06-15</t>
        </is>
      </c>
      <c r="N168" s="2" t="inlineStr">
        <is>
          <t>2029-05-15</t>
        </is>
      </c>
      <c r="O168" s="10" t="n">
        <v>8.51</v>
      </c>
      <c r="P168" s="7" t="inlineStr">
        <is>
          <t>-</t>
        </is>
      </c>
      <c r="Q168" s="2" t="inlineStr">
        <is>
          <t>2025-12-31</t>
        </is>
      </c>
      <c r="R168" s="2" t="inlineStr">
        <is>
          <t>2027-05-01</t>
        </is>
      </c>
      <c r="S168" s="2" t="inlineStr">
        <is>
          <t>20260612000523</t>
        </is>
      </c>
      <c r="T168" s="8">
        <f>HYPERLINK("https://dart.fss.or.kr/dsaf001/main.do?rcpNo=20260612000523", "공시열람")</f>
        <v/>
      </c>
    </row>
    <row r="169" ht="36" customHeight="1">
      <c r="A169" s="2" t="inlineStr">
        <is>
          <t>2026-05-20 (정정: 2026-06-19)</t>
        </is>
      </c>
      <c r="B169" s="3" t="inlineStr">
        <is>
          <t>에이전트AI</t>
        </is>
      </c>
      <c r="C169" s="2" t="inlineStr">
        <is>
          <t>코스닥</t>
        </is>
      </c>
      <c r="D169" s="2" t="inlineStr">
        <is>
          <t>060900</t>
        </is>
      </c>
      <c r="E169" s="9" t="inlineStr">
        <is>
          <t>유상증자</t>
        </is>
      </c>
      <c r="F169" s="3" t="inlineStr">
        <is>
          <t>[기재정정]주요사항보고서(유상증자결정) (정정: 20260521) (정정: 20260619)</t>
        </is>
      </c>
      <c r="G169" s="5" t="n">
        <v>18735909255</v>
      </c>
      <c r="H169" s="5" t="inlineStr"/>
      <c r="I169" s="2" t="inlineStr">
        <is>
          <t>보통주식</t>
        </is>
      </c>
      <c r="J169" s="6" t="n">
        <v>3990609</v>
      </c>
      <c r="K169" s="2" t="inlineStr">
        <is>
          <t>-</t>
        </is>
      </c>
      <c r="L169" s="2" t="inlineStr">
        <is>
          <t>-</t>
        </is>
      </c>
      <c r="M169" s="2" t="inlineStr">
        <is>
          <t>-</t>
        </is>
      </c>
      <c r="N169" s="2" t="inlineStr">
        <is>
          <t>-</t>
        </is>
      </c>
      <c r="O169" s="10" t="n">
        <v>99.98837405379456</v>
      </c>
      <c r="P169" s="7" t="inlineStr">
        <is>
          <t>운영자금 (158.7억원), 채무상환자금 (28.6억원)</t>
        </is>
      </c>
      <c r="Q169" s="2" t="inlineStr">
        <is>
          <t>-</t>
        </is>
      </c>
      <c r="R169" s="2" t="inlineStr">
        <is>
          <t>-</t>
        </is>
      </c>
      <c r="S169" s="2" t="inlineStr">
        <is>
          <t>20260619000455</t>
        </is>
      </c>
      <c r="T169" s="8">
        <f>HYPERLINK("https://dart.fss.or.kr/dsaf001/main.do?rcpNo=20260619000455", "공시열람")</f>
        <v/>
      </c>
    </row>
    <row r="170" ht="36" customHeight="1">
      <c r="A170" s="2" t="inlineStr">
        <is>
          <t>2026-05-20</t>
        </is>
      </c>
      <c r="B170" s="3" t="inlineStr">
        <is>
          <t>비케이홀딩스</t>
        </is>
      </c>
      <c r="C170" s="2" t="inlineStr">
        <is>
          <t>코스닥</t>
        </is>
      </c>
      <c r="D170" s="2" t="inlineStr">
        <is>
          <t>050090</t>
        </is>
      </c>
      <c r="E170" s="9" t="inlineStr">
        <is>
          <t>유상증자</t>
        </is>
      </c>
      <c r="F170" s="3" t="inlineStr">
        <is>
          <t>주요사항보고서(유상증자결정)</t>
        </is>
      </c>
      <c r="G170" s="5" t="n">
        <v>3000</v>
      </c>
      <c r="H170" s="5" t="n">
        <v>800</v>
      </c>
      <c r="I170" s="2" t="inlineStr">
        <is>
          <t>보통주식</t>
        </is>
      </c>
      <c r="J170" s="6" t="n">
        <v>3750000</v>
      </c>
      <c r="K170" s="2" t="inlineStr">
        <is>
          <t>2026-05-28</t>
        </is>
      </c>
      <c r="L170" s="2" t="inlineStr">
        <is>
          <t>2026-06-19</t>
        </is>
      </c>
      <c r="M170" s="2" t="inlineStr">
        <is>
          <t>-</t>
        </is>
      </c>
      <c r="N170" s="2" t="inlineStr">
        <is>
          <t>-</t>
        </is>
      </c>
      <c r="O170" s="10" t="n">
        <v>18.95400671275102</v>
      </c>
      <c r="P170" s="7" t="inlineStr">
        <is>
          <t>운영자금 (3,000원)</t>
        </is>
      </c>
      <c r="Q170" s="2" t="inlineStr">
        <is>
          <t>-</t>
        </is>
      </c>
      <c r="R170" s="2" t="inlineStr">
        <is>
          <t>-</t>
        </is>
      </c>
      <c r="S170" s="2" t="inlineStr">
        <is>
          <t>20260520000300</t>
        </is>
      </c>
      <c r="T170" s="8">
        <f>HYPERLINK("https://dart.fss.or.kr/dsaf001/main.do?rcpNo=20260520000300", "공시열람")</f>
        <v/>
      </c>
    </row>
    <row r="171" ht="36" customHeight="1">
      <c r="A171" s="2" t="inlineStr">
        <is>
          <t>2026-05-20 (정정: 2026-06-05)</t>
        </is>
      </c>
      <c r="B171" s="3" t="inlineStr">
        <is>
          <t>한솔홀딩스</t>
        </is>
      </c>
      <c r="C171" s="2" t="inlineStr">
        <is>
          <t>코스피</t>
        </is>
      </c>
      <c r="D171" s="2" t="inlineStr">
        <is>
          <t>004150</t>
        </is>
      </c>
      <c r="E171" s="9" t="inlineStr">
        <is>
          <t>유상증자</t>
        </is>
      </c>
      <c r="F171" s="3" t="inlineStr">
        <is>
          <t>[기재정정]주요사항보고서(유상증자결정)(자회사의 주요경영사항)               (정정: 20260520) (정정: 20260605)</t>
        </is>
      </c>
      <c r="G171" s="5" t="n">
        <v>116070900000</v>
      </c>
      <c r="H171" s="5" t="inlineStr"/>
      <c r="I171" s="2" t="inlineStr">
        <is>
          <t>보통주식</t>
        </is>
      </c>
      <c r="J171" s="6" t="n">
        <v>12414000</v>
      </c>
      <c r="K171" s="2" t="inlineStr">
        <is>
          <t>2026-07-22</t>
        </is>
      </c>
      <c r="L171" s="2" t="inlineStr">
        <is>
          <t>2026-08-04</t>
        </is>
      </c>
      <c r="M171" s="2" t="inlineStr">
        <is>
          <t>-</t>
        </is>
      </c>
      <c r="N171" s="2" t="inlineStr">
        <is>
          <t>-</t>
        </is>
      </c>
      <c r="O171" s="10" t="n">
        <v>30.55414121708609</v>
      </c>
      <c r="P171" s="7" t="inlineStr">
        <is>
          <t>타법인증권취득자금 (1160.7억원)</t>
        </is>
      </c>
      <c r="Q171" s="2" t="inlineStr">
        <is>
          <t>-</t>
        </is>
      </c>
      <c r="R171" s="2" t="inlineStr">
        <is>
          <t>-</t>
        </is>
      </c>
      <c r="S171" s="2" t="inlineStr">
        <is>
          <t>20260605800151</t>
        </is>
      </c>
      <c r="T171" s="8">
        <f>HYPERLINK("https://dart.fss.or.kr/dsaf001/main.do?rcpNo=20260605800151", "공시열람")</f>
        <v/>
      </c>
    </row>
    <row r="172" ht="36" customHeight="1">
      <c r="A172" s="2" t="inlineStr">
        <is>
          <t>2026-05-20 (정정: 2026-06-05)</t>
        </is>
      </c>
      <c r="B172" s="3" t="inlineStr">
        <is>
          <t>한솔테크닉스</t>
        </is>
      </c>
      <c r="C172" s="2" t="inlineStr">
        <is>
          <t>코스피</t>
        </is>
      </c>
      <c r="D172" s="2" t="inlineStr">
        <is>
          <t>004710</t>
        </is>
      </c>
      <c r="E172" s="9" t="inlineStr">
        <is>
          <t>유상증자</t>
        </is>
      </c>
      <c r="F172" s="3" t="inlineStr">
        <is>
          <t>[기재정정]주요사항보고서(유상증자결정) (정정: 20260520) (정정: 20260605)</t>
        </is>
      </c>
      <c r="G172" s="5" t="n">
        <v>116070900000</v>
      </c>
      <c r="H172" s="5" t="inlineStr"/>
      <c r="I172" s="2" t="inlineStr">
        <is>
          <t>보통주식</t>
        </is>
      </c>
      <c r="J172" s="6" t="n">
        <v>12414000</v>
      </c>
      <c r="K172" s="2" t="inlineStr">
        <is>
          <t>2026-07-22</t>
        </is>
      </c>
      <c r="L172" s="2" t="inlineStr">
        <is>
          <t>2026-08-04</t>
        </is>
      </c>
      <c r="M172" s="2" t="inlineStr">
        <is>
          <t>-</t>
        </is>
      </c>
      <c r="N172" s="2" t="inlineStr">
        <is>
          <t>-</t>
        </is>
      </c>
      <c r="O172" s="10" t="n">
        <v>30.55414121708609</v>
      </c>
      <c r="P172" s="7" t="inlineStr">
        <is>
          <t>타법인증권취득자금 (1160.7억원)</t>
        </is>
      </c>
      <c r="Q172" s="2" t="inlineStr">
        <is>
          <t>-</t>
        </is>
      </c>
      <c r="R172" s="2" t="inlineStr">
        <is>
          <t>-</t>
        </is>
      </c>
      <c r="S172" s="2" t="inlineStr">
        <is>
          <t>20260605000028</t>
        </is>
      </c>
      <c r="T172" s="8">
        <f>HYPERLINK("https://dart.fss.or.kr/dsaf001/main.do?rcpNo=20260605000028", "공시열람")</f>
        <v/>
      </c>
    </row>
    <row r="173" ht="36" customHeight="1">
      <c r="A173" s="2" t="inlineStr">
        <is>
          <t>2026-05-20</t>
        </is>
      </c>
      <c r="B173" s="3" t="inlineStr">
        <is>
          <t>코다코</t>
        </is>
      </c>
      <c r="C173" s="2" t="inlineStr">
        <is>
          <t>코스닥</t>
        </is>
      </c>
      <c r="D173" s="2" t="inlineStr">
        <is>
          <t>046070</t>
        </is>
      </c>
      <c r="E173" s="9" t="inlineStr">
        <is>
          <t>유상증자</t>
        </is>
      </c>
      <c r="F173" s="3" t="inlineStr">
        <is>
          <t>주요사항보고서(유상증자결정)</t>
        </is>
      </c>
      <c r="G173" s="5" t="n">
        <v>0</v>
      </c>
      <c r="H173" s="5" t="n">
        <v>500</v>
      </c>
      <c r="I173" s="2" t="inlineStr">
        <is>
          <t>보통주식</t>
        </is>
      </c>
      <c r="J173" s="6" t="n">
        <v>97328655</v>
      </c>
      <c r="K173" s="2" t="inlineStr">
        <is>
          <t>2026-05-20</t>
        </is>
      </c>
      <c r="L173" s="2" t="inlineStr">
        <is>
          <t>-</t>
        </is>
      </c>
      <c r="M173" s="2" t="inlineStr">
        <is>
          <t>-</t>
        </is>
      </c>
      <c r="N173" s="2" t="inlineStr">
        <is>
          <t>-</t>
        </is>
      </c>
      <c r="O173" s="10" t="n">
        <v>628.4908668676771</v>
      </c>
      <c r="P173" s="7" t="inlineStr">
        <is>
          <t>-</t>
        </is>
      </c>
      <c r="Q173" s="2" t="inlineStr">
        <is>
          <t>-</t>
        </is>
      </c>
      <c r="R173" s="2" t="inlineStr">
        <is>
          <t>-</t>
        </is>
      </c>
      <c r="S173" s="2" t="inlineStr">
        <is>
          <t>20260520000273</t>
        </is>
      </c>
      <c r="T173" s="8">
        <f>HYPERLINK("https://dart.fss.or.kr/dsaf001/main.do?rcpNo=20260520000273", "공시열람")</f>
        <v/>
      </c>
    </row>
    <row r="174" ht="36" customHeight="1">
      <c r="A174" s="2" t="inlineStr">
        <is>
          <t>2026-03-12 (정정: 2026-05-20)</t>
        </is>
      </c>
      <c r="B174" s="3" t="inlineStr">
        <is>
          <t>더코디</t>
        </is>
      </c>
      <c r="C174" s="2" t="inlineStr">
        <is>
          <t>코스닥</t>
        </is>
      </c>
      <c r="D174" s="2" t="inlineStr">
        <is>
          <t>224060</t>
        </is>
      </c>
      <c r="E174" s="11" t="inlineStr">
        <is>
          <t>전환사채(CB)</t>
        </is>
      </c>
      <c r="F174" s="3" t="inlineStr">
        <is>
          <t>[기재정정]주요사항보고서(전환사채권발행결정)</t>
        </is>
      </c>
      <c r="G174" s="5" t="inlineStr"/>
      <c r="H174" s="5" t="inlineStr"/>
      <c r="I174" s="2" t="inlineStr">
        <is>
          <t>-</t>
        </is>
      </c>
      <c r="J174" s="6" t="inlineStr"/>
      <c r="K174" s="2" t="inlineStr">
        <is>
          <t>-</t>
        </is>
      </c>
      <c r="L174" s="2" t="inlineStr">
        <is>
          <t>-</t>
        </is>
      </c>
      <c r="M174" s="2" t="inlineStr">
        <is>
          <t>2027-07-30</t>
        </is>
      </c>
      <c r="N174" s="2" t="inlineStr">
        <is>
          <t>2029-06-30</t>
        </is>
      </c>
      <c r="O174" s="3" t="inlineStr"/>
      <c r="P174" s="7" t="inlineStr">
        <is>
          <t>-</t>
        </is>
      </c>
      <c r="Q174" s="2" t="inlineStr">
        <is>
          <t>-</t>
        </is>
      </c>
      <c r="R174" s="2" t="inlineStr">
        <is>
          <t>2027-03-22</t>
        </is>
      </c>
      <c r="S174" s="2" t="inlineStr">
        <is>
          <t>20260520000275</t>
        </is>
      </c>
      <c r="T174" s="8">
        <f>HYPERLINK("https://dart.fss.or.kr/dsaf001/main.do?rcpNo=20260520000275", "공시열람")</f>
        <v/>
      </c>
    </row>
    <row r="175" ht="36" customHeight="1">
      <c r="A175" s="2" t="inlineStr">
        <is>
          <t>2026-05-20</t>
        </is>
      </c>
      <c r="B175" s="3" t="inlineStr">
        <is>
          <t>엔젯</t>
        </is>
      </c>
      <c r="C175" s="2" t="inlineStr">
        <is>
          <t>코스닥</t>
        </is>
      </c>
      <c r="D175" s="2" t="inlineStr">
        <is>
          <t>419080</t>
        </is>
      </c>
      <c r="E175" s="12" t="inlineStr">
        <is>
          <t>신주인수권부사채(BW)</t>
        </is>
      </c>
      <c r="F175" s="3" t="inlineStr">
        <is>
          <t>주요사항보고서(신주인수권부사채권발행결정)</t>
        </is>
      </c>
      <c r="G175" s="5" t="n">
        <v>5000000000</v>
      </c>
      <c r="H175" s="5" t="n">
        <v>5424</v>
      </c>
      <c r="I175" s="2" t="inlineStr">
        <is>
          <t>-</t>
        </is>
      </c>
      <c r="J175" s="6" t="inlineStr"/>
      <c r="K175" s="2" t="inlineStr">
        <is>
          <t>2026년 05월 28일</t>
        </is>
      </c>
      <c r="L175" s="2" t="inlineStr">
        <is>
          <t>-</t>
        </is>
      </c>
      <c r="M175" s="2" t="inlineStr">
        <is>
          <t>2027-05-28</t>
        </is>
      </c>
      <c r="N175" s="2" t="inlineStr">
        <is>
          <t>2031-04-28</t>
        </is>
      </c>
      <c r="O175" s="3" t="inlineStr"/>
      <c r="P175" s="7" t="inlineStr">
        <is>
          <t>-</t>
        </is>
      </c>
      <c r="Q175" s="2" t="inlineStr">
        <is>
          <t>2027-05-28</t>
        </is>
      </c>
      <c r="R175" s="2" t="inlineStr">
        <is>
          <t>2028-05-28</t>
        </is>
      </c>
      <c r="S175" s="2" t="inlineStr">
        <is>
          <t>20260520000262</t>
        </is>
      </c>
      <c r="T175" s="8">
        <f>HYPERLINK("https://dart.fss.or.kr/dsaf001/main.do?rcpNo=20260520000262", "공시열람")</f>
        <v/>
      </c>
    </row>
    <row r="176" ht="36" customHeight="1">
      <c r="A176" s="2" t="inlineStr">
        <is>
          <t>2026-05-20</t>
        </is>
      </c>
      <c r="B176" s="3" t="inlineStr">
        <is>
          <t>한국파마</t>
        </is>
      </c>
      <c r="C176" s="2" t="inlineStr">
        <is>
          <t>코스닥</t>
        </is>
      </c>
      <c r="D176" s="2" t="inlineStr">
        <is>
          <t>032300</t>
        </is>
      </c>
      <c r="E176" s="11" t="inlineStr">
        <is>
          <t>전환사채(CB)</t>
        </is>
      </c>
      <c r="F176" s="3" t="inlineStr">
        <is>
          <t>주요사항보고서(전환사채권발행결정)</t>
        </is>
      </c>
      <c r="G176" s="5" t="n">
        <v>15000000000</v>
      </c>
      <c r="H176" s="5" t="n">
        <v>10782</v>
      </c>
      <c r="I176" s="2" t="inlineStr">
        <is>
          <t>주식회사 한국파마 기명식 보통주</t>
        </is>
      </c>
      <c r="J176" s="6" t="n">
        <v>1391207</v>
      </c>
      <c r="K176" s="2" t="inlineStr">
        <is>
          <t>2026년 05월 28일</t>
        </is>
      </c>
      <c r="L176" s="2" t="inlineStr">
        <is>
          <t>-</t>
        </is>
      </c>
      <c r="M176" s="2" t="inlineStr">
        <is>
          <t>2027-05-28</t>
        </is>
      </c>
      <c r="N176" s="2" t="inlineStr">
        <is>
          <t>2031-04-28</t>
        </is>
      </c>
      <c r="O176" s="10" t="n">
        <v>11.31</v>
      </c>
      <c r="P176" s="7" t="inlineStr">
        <is>
          <t>-</t>
        </is>
      </c>
      <c r="Q176" s="2" t="inlineStr">
        <is>
          <t>2027-05-08</t>
        </is>
      </c>
      <c r="R176" s="2" t="inlineStr">
        <is>
          <t>2028-09-29</t>
        </is>
      </c>
      <c r="S176" s="2" t="inlineStr">
        <is>
          <t>20260520000243</t>
        </is>
      </c>
      <c r="T176" s="8">
        <f>HYPERLINK("https://dart.fss.or.kr/dsaf001/main.do?rcpNo=20260520000243", "공시열람")</f>
        <v/>
      </c>
    </row>
    <row r="177" ht="36" customHeight="1">
      <c r="A177" s="2" t="inlineStr">
        <is>
          <t>2026-05-20</t>
        </is>
      </c>
      <c r="B177" s="3" t="inlineStr">
        <is>
          <t>비비안</t>
        </is>
      </c>
      <c r="C177" s="2" t="inlineStr">
        <is>
          <t>코스피</t>
        </is>
      </c>
      <c r="D177" s="2" t="inlineStr">
        <is>
          <t>002070</t>
        </is>
      </c>
      <c r="E177" s="11" t="inlineStr">
        <is>
          <t>전환사채(CB)</t>
        </is>
      </c>
      <c r="F177" s="3" t="inlineStr">
        <is>
          <t>주요사항보고서(전환사채권발행결정)</t>
        </is>
      </c>
      <c r="G177" s="5" t="n">
        <v>1200000000</v>
      </c>
      <c r="H177" s="5" t="n">
        <v>10095</v>
      </c>
      <c r="I177" s="2" t="inlineStr">
        <is>
          <t>(주)비비안 기명식 보통주</t>
        </is>
      </c>
      <c r="J177" s="6" t="n">
        <v>118870</v>
      </c>
      <c r="K177" s="2" t="inlineStr">
        <is>
          <t>2026년 05월 28일</t>
        </is>
      </c>
      <c r="L177" s="2" t="inlineStr">
        <is>
          <t>-</t>
        </is>
      </c>
      <c r="M177" s="2" t="inlineStr">
        <is>
          <t>2027-05-28</t>
        </is>
      </c>
      <c r="N177" s="2" t="inlineStr">
        <is>
          <t>2029-04-28</t>
        </is>
      </c>
      <c r="O177" s="10" t="n">
        <v>4.9</v>
      </c>
      <c r="P177" s="7" t="inlineStr">
        <is>
          <t>-</t>
        </is>
      </c>
      <c r="Q177" s="2" t="inlineStr">
        <is>
          <t>2026-05-28</t>
        </is>
      </c>
      <c r="R177" s="2" t="inlineStr">
        <is>
          <t>2027-03-28</t>
        </is>
      </c>
      <c r="S177" s="2" t="inlineStr">
        <is>
          <t>20260520000247</t>
        </is>
      </c>
      <c r="T177" s="8">
        <f>HYPERLINK("https://dart.fss.or.kr/dsaf001/main.do?rcpNo=20260520000247", "공시열람")</f>
        <v/>
      </c>
    </row>
    <row r="178" ht="36" customHeight="1">
      <c r="A178" s="2" t="inlineStr">
        <is>
          <t>2026-05-20 (정정: 2026-05-22)</t>
        </is>
      </c>
      <c r="B178" s="3" t="inlineStr">
        <is>
          <t>해성에어로보틱스</t>
        </is>
      </c>
      <c r="C178" s="2" t="inlineStr">
        <is>
          <t>코스닥</t>
        </is>
      </c>
      <c r="D178" s="2" t="inlineStr">
        <is>
          <t>059270</t>
        </is>
      </c>
      <c r="E178" s="11" t="inlineStr">
        <is>
          <t>전환사채(CB)</t>
        </is>
      </c>
      <c r="F178" s="3" t="inlineStr">
        <is>
          <t>[첨부정정]주요사항보고서(전환사채권발행결정) (정정: 20260522)</t>
        </is>
      </c>
      <c r="G178" s="5" t="inlineStr"/>
      <c r="H178" s="5" t="inlineStr"/>
      <c r="I178" s="2" t="inlineStr">
        <is>
          <t>-</t>
        </is>
      </c>
      <c r="J178" s="6" t="inlineStr"/>
      <c r="K178" s="2" t="inlineStr">
        <is>
          <t>-</t>
        </is>
      </c>
      <c r="L178" s="2" t="inlineStr">
        <is>
          <t>-</t>
        </is>
      </c>
      <c r="M178" s="2" t="inlineStr">
        <is>
          <t>2027-05-27</t>
        </is>
      </c>
      <c r="N178" s="2" t="inlineStr">
        <is>
          <t>2029-04-27</t>
        </is>
      </c>
      <c r="O178" s="3" t="inlineStr"/>
      <c r="P178" s="7" t="inlineStr">
        <is>
          <t>-</t>
        </is>
      </c>
      <c r="Q178" s="2" t="inlineStr">
        <is>
          <t>2027-10-27</t>
        </is>
      </c>
      <c r="R178" s="2" t="inlineStr">
        <is>
          <t>2027-10-27</t>
        </is>
      </c>
      <c r="S178" s="2" t="inlineStr">
        <is>
          <t>20260522000366</t>
        </is>
      </c>
      <c r="T178" s="8">
        <f>HYPERLINK("https://dart.fss.or.kr/dsaf001/main.do?rcpNo=20260522000366", "공시열람")</f>
        <v/>
      </c>
    </row>
    <row r="179" ht="36" customHeight="1">
      <c r="A179" s="2" t="inlineStr">
        <is>
          <t>2026-05-20</t>
        </is>
      </c>
      <c r="B179" s="3" t="inlineStr">
        <is>
          <t>DS단석</t>
        </is>
      </c>
      <c r="C179" s="2" t="inlineStr">
        <is>
          <t>코스피</t>
        </is>
      </c>
      <c r="D179" s="2" t="inlineStr">
        <is>
          <t>017860</t>
        </is>
      </c>
      <c r="E179" s="11" t="inlineStr">
        <is>
          <t>전환사채(CB)</t>
        </is>
      </c>
      <c r="F179" s="3" t="inlineStr">
        <is>
          <t>주요사항보고서(전환사채권발행결정)</t>
        </is>
      </c>
      <c r="G179" s="5" t="n">
        <v>30000000000</v>
      </c>
      <c r="H179" s="5" t="n">
        <v>20601</v>
      </c>
      <c r="I179" s="2" t="inlineStr">
        <is>
          <t>주식회사 디에스단석 기명식 보통주</t>
        </is>
      </c>
      <c r="J179" s="6" t="n">
        <v>1456239</v>
      </c>
      <c r="K179" s="2" t="inlineStr">
        <is>
          <t>2026년 05월 28일</t>
        </is>
      </c>
      <c r="L179" s="2" t="inlineStr">
        <is>
          <t>-</t>
        </is>
      </c>
      <c r="M179" s="2" t="inlineStr">
        <is>
          <t>2027-05-28</t>
        </is>
      </c>
      <c r="N179" s="2" t="inlineStr">
        <is>
          <t>2031-04-28</t>
        </is>
      </c>
      <c r="O179" s="10" t="n">
        <v>7.62</v>
      </c>
      <c r="P179" s="7" t="inlineStr">
        <is>
          <t>-</t>
        </is>
      </c>
      <c r="Q179" s="2" t="inlineStr">
        <is>
          <t>2027-05-08</t>
        </is>
      </c>
      <c r="R179" s="2" t="inlineStr">
        <is>
          <t>2028-03-29</t>
        </is>
      </c>
      <c r="S179" s="2" t="inlineStr">
        <is>
          <t>20260520000164</t>
        </is>
      </c>
      <c r="T179" s="8">
        <f>HYPERLINK("https://dart.fss.or.kr/dsaf001/main.do?rcpNo=20260520000164", "공시열람")</f>
        <v/>
      </c>
    </row>
    <row r="180" ht="36" customHeight="1">
      <c r="A180" s="2" t="inlineStr">
        <is>
          <t>2026-05-20</t>
        </is>
      </c>
      <c r="B180" s="3" t="inlineStr">
        <is>
          <t>큐렉소</t>
        </is>
      </c>
      <c r="C180" s="2" t="inlineStr">
        <is>
          <t>코스닥</t>
        </is>
      </c>
      <c r="D180" s="2" t="inlineStr">
        <is>
          <t>060280</t>
        </is>
      </c>
      <c r="E180" s="11" t="inlineStr">
        <is>
          <t>전환사채(CB)</t>
        </is>
      </c>
      <c r="F180" s="3" t="inlineStr">
        <is>
          <t>[첨부정정]주요사항보고서(전환사채권발행결정)</t>
        </is>
      </c>
      <c r="G180" s="5" t="inlineStr"/>
      <c r="H180" s="5" t="inlineStr"/>
      <c r="I180" s="2" t="inlineStr">
        <is>
          <t>-</t>
        </is>
      </c>
      <c r="J180" s="6" t="inlineStr"/>
      <c r="K180" s="2" t="inlineStr">
        <is>
          <t>-</t>
        </is>
      </c>
      <c r="L180" s="2" t="inlineStr">
        <is>
          <t>-</t>
        </is>
      </c>
      <c r="M180" s="2" t="inlineStr">
        <is>
          <t>-</t>
        </is>
      </c>
      <c r="N180" s="2" t="inlineStr">
        <is>
          <t>-</t>
        </is>
      </c>
      <c r="O180" s="3" t="inlineStr"/>
      <c r="P180" s="7" t="inlineStr">
        <is>
          <t>-</t>
        </is>
      </c>
      <c r="Q180" s="2" t="inlineStr">
        <is>
          <t>-</t>
        </is>
      </c>
      <c r="R180" s="2" t="inlineStr">
        <is>
          <t>-</t>
        </is>
      </c>
      <c r="S180" s="2" t="inlineStr">
        <is>
          <t>20260520000137</t>
        </is>
      </c>
      <c r="T180" s="8">
        <f>HYPERLINK("https://dart.fss.or.kr/dsaf001/main.do?rcpNo=20260520000137", "공시열람")</f>
        <v/>
      </c>
    </row>
    <row r="181" ht="36" customHeight="1">
      <c r="A181" s="2" t="inlineStr">
        <is>
          <t>2025-12-19 (정정: 2026-05-20)</t>
        </is>
      </c>
      <c r="B181" s="3" t="inlineStr">
        <is>
          <t>대진첨단소재</t>
        </is>
      </c>
      <c r="C181" s="2" t="inlineStr">
        <is>
          <t>코스닥</t>
        </is>
      </c>
      <c r="D181" s="2" t="inlineStr">
        <is>
          <t>393970</t>
        </is>
      </c>
      <c r="E181" s="11" t="inlineStr">
        <is>
          <t>전환사채(CB)</t>
        </is>
      </c>
      <c r="F181" s="3" t="inlineStr">
        <is>
          <t>[기재정정]주요사항보고서(전환사채권발행결정)</t>
        </is>
      </c>
      <c r="G181" s="5" t="inlineStr"/>
      <c r="H181" s="5" t="inlineStr"/>
      <c r="I181" s="2" t="inlineStr">
        <is>
          <t>-</t>
        </is>
      </c>
      <c r="J181" s="6" t="inlineStr"/>
      <c r="K181" s="2" t="inlineStr">
        <is>
          <t>-</t>
        </is>
      </c>
      <c r="L181" s="2" t="inlineStr">
        <is>
          <t>-</t>
        </is>
      </c>
      <c r="M181" s="2" t="inlineStr">
        <is>
          <t>2027-06-19</t>
        </is>
      </c>
      <c r="N181" s="2" t="inlineStr">
        <is>
          <t>2029-05-19</t>
        </is>
      </c>
      <c r="O181" s="3" t="inlineStr"/>
      <c r="P181" s="7" t="inlineStr">
        <is>
          <t>-</t>
        </is>
      </c>
      <c r="Q181" s="2" t="inlineStr">
        <is>
          <t>2027-03-21</t>
        </is>
      </c>
      <c r="R181" s="2" t="inlineStr">
        <is>
          <t>2027-04-10</t>
        </is>
      </c>
      <c r="S181" s="2" t="inlineStr">
        <is>
          <t>20260520000130</t>
        </is>
      </c>
      <c r="T181" s="8">
        <f>HYPERLINK("https://dart.fss.or.kr/dsaf001/main.do?rcpNo=20260520000130", "공시열람")</f>
        <v/>
      </c>
    </row>
    <row r="182" ht="36" customHeight="1">
      <c r="A182" s="2" t="inlineStr">
        <is>
          <t>2026-05-20 (정정: 2026-06-19)</t>
        </is>
      </c>
      <c r="B182" s="3" t="inlineStr">
        <is>
          <t>캔버스엔</t>
        </is>
      </c>
      <c r="C182" s="2" t="inlineStr">
        <is>
          <t>코스닥</t>
        </is>
      </c>
      <c r="D182" s="2" t="inlineStr">
        <is>
          <t>210120</t>
        </is>
      </c>
      <c r="E182" s="11" t="inlineStr">
        <is>
          <t>전환사채(CB)</t>
        </is>
      </c>
      <c r="F182" s="3" t="inlineStr">
        <is>
          <t>[기재정정]주요사항보고서(전환사채권발행결정) (정정: 20260520) (정정: 20260619) (정정: 20260619)</t>
        </is>
      </c>
      <c r="G182" s="5" t="inlineStr"/>
      <c r="H182" s="5" t="inlineStr"/>
      <c r="I182" s="2" t="inlineStr">
        <is>
          <t>-</t>
        </is>
      </c>
      <c r="J182" s="6" t="inlineStr"/>
      <c r="K182" s="2" t="inlineStr">
        <is>
          <t>-</t>
        </is>
      </c>
      <c r="L182" s="2" t="inlineStr">
        <is>
          <t>-</t>
        </is>
      </c>
      <c r="M182" s="2" t="inlineStr">
        <is>
          <t>2027-07-20</t>
        </is>
      </c>
      <c r="N182" s="2" t="inlineStr">
        <is>
          <t>2029-06-20</t>
        </is>
      </c>
      <c r="O182" s="3" t="inlineStr"/>
      <c r="P182" s="7" t="inlineStr">
        <is>
          <t>-</t>
        </is>
      </c>
      <c r="Q182" s="2" t="inlineStr">
        <is>
          <t>2027-06-28</t>
        </is>
      </c>
      <c r="R182" s="2" t="inlineStr">
        <is>
          <t>2027-06-28</t>
        </is>
      </c>
      <c r="S182" s="2" t="inlineStr">
        <is>
          <t>20260619000412</t>
        </is>
      </c>
      <c r="T182" s="8">
        <f>HYPERLINK("https://dart.fss.or.kr/dsaf001/main.do?rcpNo=20260619000412", "공시열람")</f>
        <v/>
      </c>
    </row>
    <row r="183" ht="36" customHeight="1">
      <c r="A183" s="2" t="inlineStr">
        <is>
          <t>2026-05-20 (정정: 2026-06-23)</t>
        </is>
      </c>
      <c r="B183" s="3" t="inlineStr">
        <is>
          <t>에이루트</t>
        </is>
      </c>
      <c r="C183" s="2" t="inlineStr">
        <is>
          <t>코스닥</t>
        </is>
      </c>
      <c r="D183" s="2" t="inlineStr">
        <is>
          <t>096690</t>
        </is>
      </c>
      <c r="E183" s="11" t="inlineStr">
        <is>
          <t>전환사채(CB)</t>
        </is>
      </c>
      <c r="F183" s="3" t="inlineStr">
        <is>
          <t>주요사항보고서(전환사채권발행결정) (정정: 20260615) (정정: 20260619) (정정: 20260623)</t>
        </is>
      </c>
      <c r="G183" s="5" t="inlineStr"/>
      <c r="H183" s="5" t="inlineStr"/>
      <c r="I183" s="2" t="inlineStr">
        <is>
          <t>-</t>
        </is>
      </c>
      <c r="J183" s="6" t="inlineStr"/>
      <c r="K183" s="2" t="inlineStr">
        <is>
          <t>-</t>
        </is>
      </c>
      <c r="L183" s="2" t="inlineStr">
        <is>
          <t>-</t>
        </is>
      </c>
      <c r="M183" s="2" t="inlineStr">
        <is>
          <t>2027-06-23</t>
        </is>
      </c>
      <c r="N183" s="2" t="inlineStr">
        <is>
          <t>2029-05-23</t>
        </is>
      </c>
      <c r="O183" s="3" t="inlineStr"/>
      <c r="P183" s="7" t="inlineStr">
        <is>
          <t>-</t>
        </is>
      </c>
      <c r="Q183" s="2" t="inlineStr">
        <is>
          <t>2026-07-23</t>
        </is>
      </c>
      <c r="R183" s="2" t="inlineStr">
        <is>
          <t>2026-07-23</t>
        </is>
      </c>
      <c r="S183" s="2" t="inlineStr">
        <is>
          <t>20260623000421</t>
        </is>
      </c>
      <c r="T183" s="8">
        <f>HYPERLINK("https://dart.fss.or.kr/dsaf001/main.do?rcpNo=20260623000421", "공시열람")</f>
        <v/>
      </c>
    </row>
    <row r="184" ht="36" customHeight="1">
      <c r="A184" s="2" t="inlineStr">
        <is>
          <t>2026-05-21 (정정: 2026-06-23)</t>
        </is>
      </c>
      <c r="B184" s="3" t="inlineStr">
        <is>
          <t>셀레믹스</t>
        </is>
      </c>
      <c r="C184" s="2" t="inlineStr">
        <is>
          <t>코스닥</t>
        </is>
      </c>
      <c r="D184" s="2" t="inlineStr">
        <is>
          <t>331920</t>
        </is>
      </c>
      <c r="E184" s="9" t="inlineStr">
        <is>
          <t>유상증자</t>
        </is>
      </c>
      <c r="F184" s="3" t="inlineStr">
        <is>
          <t>[기재정정]주요사항보고서(유상증자결정) (정정: 20260623)</t>
        </is>
      </c>
      <c r="G184" s="5" t="n">
        <v>11599994484</v>
      </c>
      <c r="H184" s="5" t="n">
        <v>8378</v>
      </c>
      <c r="I184" s="2" t="inlineStr">
        <is>
          <t>보통주식</t>
        </is>
      </c>
      <c r="J184" s="6" t="n">
        <v>1384578</v>
      </c>
      <c r="K184" s="2" t="inlineStr">
        <is>
          <t>2026-05-29</t>
        </is>
      </c>
      <c r="L184" s="2" t="inlineStr">
        <is>
          <t>2026-07-23</t>
        </is>
      </c>
      <c r="M184" s="2" t="inlineStr">
        <is>
          <t>-</t>
        </is>
      </c>
      <c r="N184" s="2" t="inlineStr">
        <is>
          <t>-</t>
        </is>
      </c>
      <c r="O184" s="10" t="n">
        <v>16.95924669665469</v>
      </c>
      <c r="P184" s="7" t="inlineStr">
        <is>
          <t>타법인증권취득자금 (116.0억원)</t>
        </is>
      </c>
      <c r="Q184" s="2" t="inlineStr">
        <is>
          <t>-</t>
        </is>
      </c>
      <c r="R184" s="2" t="inlineStr">
        <is>
          <t>-</t>
        </is>
      </c>
      <c r="S184" s="2" t="inlineStr">
        <is>
          <t>20260623000265</t>
        </is>
      </c>
      <c r="T184" s="8">
        <f>HYPERLINK("https://dart.fss.or.kr/dsaf001/main.do?rcpNo=20260623000265", "공시열람")</f>
        <v/>
      </c>
    </row>
    <row r="185" ht="36" customHeight="1">
      <c r="A185" s="2" t="inlineStr">
        <is>
          <t>2026-05-21</t>
        </is>
      </c>
      <c r="B185" s="3" t="inlineStr">
        <is>
          <t>플루토스</t>
        </is>
      </c>
      <c r="C185" s="2" t="inlineStr">
        <is>
          <t>코스닥</t>
        </is>
      </c>
      <c r="D185" s="2" t="inlineStr">
        <is>
          <t>019570</t>
        </is>
      </c>
      <c r="E185" s="11" t="inlineStr">
        <is>
          <t>전환사채(CB)</t>
        </is>
      </c>
      <c r="F185" s="3" t="inlineStr">
        <is>
          <t>주요사항보고서(전환사채권발행결정)</t>
        </is>
      </c>
      <c r="G185" s="5" t="n">
        <v>20000000000</v>
      </c>
      <c r="H185" s="5" t="n">
        <v>500</v>
      </c>
      <c r="I185" s="2" t="inlineStr">
        <is>
          <t>(주)플루토스투자 기명식 보통주</t>
        </is>
      </c>
      <c r="J185" s="6" t="n">
        <v>40000000</v>
      </c>
      <c r="K185" s="2" t="inlineStr">
        <is>
          <t>2026년 05월 29일</t>
        </is>
      </c>
      <c r="L185" s="2" t="inlineStr">
        <is>
          <t>-</t>
        </is>
      </c>
      <c r="M185" s="2" t="inlineStr">
        <is>
          <t>2027-05-29</t>
        </is>
      </c>
      <c r="N185" s="2" t="inlineStr">
        <is>
          <t>2029-04-29</t>
        </is>
      </c>
      <c r="O185" s="10" t="n">
        <v>29.79</v>
      </c>
      <c r="P185" s="7" t="inlineStr">
        <is>
          <t>-</t>
        </is>
      </c>
      <c r="Q185" s="2" t="inlineStr">
        <is>
          <t>2025-04-19</t>
        </is>
      </c>
      <c r="R185" s="2" t="inlineStr">
        <is>
          <t>2027-03-30</t>
        </is>
      </c>
      <c r="S185" s="2" t="inlineStr">
        <is>
          <t>20260521000733</t>
        </is>
      </c>
      <c r="T185" s="8">
        <f>HYPERLINK("https://dart.fss.or.kr/dsaf001/main.do?rcpNo=20260521000733", "공시열람")</f>
        <v/>
      </c>
    </row>
    <row r="186" ht="36" customHeight="1">
      <c r="A186" s="2" t="inlineStr">
        <is>
          <t>2026-05-21</t>
        </is>
      </c>
      <c r="B186" s="3" t="inlineStr">
        <is>
          <t>에이프로젠</t>
        </is>
      </c>
      <c r="C186" s="2" t="inlineStr">
        <is>
          <t>코스피</t>
        </is>
      </c>
      <c r="D186" s="2" t="inlineStr">
        <is>
          <t>007460</t>
        </is>
      </c>
      <c r="E186" s="11" t="inlineStr">
        <is>
          <t>전환사채(CB)</t>
        </is>
      </c>
      <c r="F186" s="3" t="inlineStr">
        <is>
          <t xml:space="preserve">주요사항보고서(전환사채권발행결정)(자회사의 주요경영사항)              </t>
        </is>
      </c>
      <c r="G186" s="5" t="n">
        <v>10000000000</v>
      </c>
      <c r="H186" s="5" t="n">
        <v>5350</v>
      </c>
      <c r="I186" s="2" t="inlineStr">
        <is>
          <t>(주)에이프로젠 기명식 보통주식</t>
        </is>
      </c>
      <c r="J186" s="6" t="n">
        <v>1869158</v>
      </c>
      <c r="K186" s="2" t="inlineStr">
        <is>
          <t>2026년 05월 29일</t>
        </is>
      </c>
      <c r="L186" s="2" t="inlineStr">
        <is>
          <t>-</t>
        </is>
      </c>
      <c r="M186" s="2" t="inlineStr">
        <is>
          <t>2027-05-29</t>
        </is>
      </c>
      <c r="N186" s="2" t="inlineStr">
        <is>
          <t>2031-04-29</t>
        </is>
      </c>
      <c r="O186" s="10" t="n">
        <v>6.66</v>
      </c>
      <c r="P186" s="7" t="inlineStr">
        <is>
          <t>-</t>
        </is>
      </c>
      <c r="Q186" s="2" t="inlineStr">
        <is>
          <t>-</t>
        </is>
      </c>
      <c r="R186" s="2" t="inlineStr">
        <is>
          <t>2027-09-30</t>
        </is>
      </c>
      <c r="S186" s="2" t="inlineStr">
        <is>
          <t>20260521800995</t>
        </is>
      </c>
      <c r="T186" s="8">
        <f>HYPERLINK("https://dart.fss.or.kr/dsaf001/main.do?rcpNo=20260521800995", "공시열람")</f>
        <v/>
      </c>
    </row>
    <row r="187" ht="36" customHeight="1">
      <c r="A187" s="2" t="inlineStr">
        <is>
          <t>2026-05-21</t>
        </is>
      </c>
      <c r="B187" s="3" t="inlineStr">
        <is>
          <t>에이프로젠바이오로직스</t>
        </is>
      </c>
      <c r="C187" s="2" t="inlineStr">
        <is>
          <t>코스피</t>
        </is>
      </c>
      <c r="D187" s="2" t="inlineStr">
        <is>
          <t>003060</t>
        </is>
      </c>
      <c r="E187" s="11" t="inlineStr">
        <is>
          <t>전환사채(CB)</t>
        </is>
      </c>
      <c r="F187" s="3" t="inlineStr">
        <is>
          <t>주요사항보고서(전환사채권발행결정)</t>
        </is>
      </c>
      <c r="G187" s="5" t="n">
        <v>10000000000</v>
      </c>
      <c r="H187" s="5" t="n">
        <v>4433</v>
      </c>
      <c r="I187" s="2" t="inlineStr">
        <is>
          <t>(주)에이프로젠바이오로직스 기명식 보통주식</t>
        </is>
      </c>
      <c r="J187" s="6" t="n">
        <v>2255808</v>
      </c>
      <c r="K187" s="2" t="inlineStr">
        <is>
          <t>2026년 05월 29일</t>
        </is>
      </c>
      <c r="L187" s="2" t="inlineStr">
        <is>
          <t>-</t>
        </is>
      </c>
      <c r="M187" s="2" t="inlineStr">
        <is>
          <t>2027-05-29</t>
        </is>
      </c>
      <c r="N187" s="2" t="inlineStr">
        <is>
          <t>2031-04-29</t>
        </is>
      </c>
      <c r="O187" s="10" t="n">
        <v>15.65</v>
      </c>
      <c r="P187" s="7" t="inlineStr">
        <is>
          <t>-</t>
        </is>
      </c>
      <c r="Q187" s="2" t="inlineStr">
        <is>
          <t>-</t>
        </is>
      </c>
      <c r="R187" s="2" t="inlineStr">
        <is>
          <t>2027-09-30</t>
        </is>
      </c>
      <c r="S187" s="2" t="inlineStr">
        <is>
          <t>20260521000775</t>
        </is>
      </c>
      <c r="T187" s="8">
        <f>HYPERLINK("https://dart.fss.or.kr/dsaf001/main.do?rcpNo=20260521000775", "공시열람")</f>
        <v/>
      </c>
    </row>
    <row r="188" ht="36" customHeight="1">
      <c r="A188" s="2" t="inlineStr">
        <is>
          <t>2025-02-28 (정정: 2026-05-21)</t>
        </is>
      </c>
      <c r="B188" s="3" t="inlineStr">
        <is>
          <t>롯데렌탈</t>
        </is>
      </c>
      <c r="C188" s="2" t="inlineStr">
        <is>
          <t>코스피</t>
        </is>
      </c>
      <c r="D188" s="2" t="inlineStr">
        <is>
          <t>089860</t>
        </is>
      </c>
      <c r="E188" s="9" t="inlineStr">
        <is>
          <t>유상증자</t>
        </is>
      </c>
      <c r="F188" s="3" t="inlineStr">
        <is>
          <t>[기재정정]주요사항보고서(유상증자결정)</t>
        </is>
      </c>
      <c r="G188" s="5" t="n">
        <v>0</v>
      </c>
      <c r="H188" s="5" t="inlineStr"/>
      <c r="I188" s="2" t="inlineStr">
        <is>
          <t>보통주식</t>
        </is>
      </c>
      <c r="J188" s="6" t="n">
        <v>0</v>
      </c>
      <c r="K188" s="2" t="inlineStr">
        <is>
          <t>-</t>
        </is>
      </c>
      <c r="L188" s="2" t="inlineStr">
        <is>
          <t>-</t>
        </is>
      </c>
      <c r="M188" s="2" t="inlineStr">
        <is>
          <t>-</t>
        </is>
      </c>
      <c r="N188" s="2" t="inlineStr">
        <is>
          <t>-</t>
        </is>
      </c>
      <c r="O188" s="3" t="inlineStr"/>
      <c r="P188" s="7" t="inlineStr">
        <is>
          <t>-</t>
        </is>
      </c>
      <c r="Q188" s="2" t="inlineStr">
        <is>
          <t>-</t>
        </is>
      </c>
      <c r="R188" s="2" t="inlineStr">
        <is>
          <t>-</t>
        </is>
      </c>
      <c r="S188" s="2" t="inlineStr">
        <is>
          <t>20260521000766</t>
        </is>
      </c>
      <c r="T188" s="8">
        <f>HYPERLINK("https://dart.fss.or.kr/dsaf001/main.do?rcpNo=20260521000766", "공시열람")</f>
        <v/>
      </c>
    </row>
    <row r="189" ht="36" customHeight="1">
      <c r="A189" s="2" t="inlineStr">
        <is>
          <t>2026-05-21</t>
        </is>
      </c>
      <c r="B189" s="3" t="inlineStr">
        <is>
          <t>에이프로젠</t>
        </is>
      </c>
      <c r="C189" s="2" t="inlineStr">
        <is>
          <t>코스피</t>
        </is>
      </c>
      <c r="D189" s="2" t="inlineStr">
        <is>
          <t>007460</t>
        </is>
      </c>
      <c r="E189" s="11" t="inlineStr">
        <is>
          <t>전환사채(CB)</t>
        </is>
      </c>
      <c r="F189" s="3" t="inlineStr">
        <is>
          <t>주요사항보고서(전환사채권발행결정)</t>
        </is>
      </c>
      <c r="G189" s="5" t="n">
        <v>10000000000</v>
      </c>
      <c r="H189" s="5" t="n">
        <v>5350</v>
      </c>
      <c r="I189" s="2" t="inlineStr">
        <is>
          <t>(주)에이프로젠 기명식 보통주식</t>
        </is>
      </c>
      <c r="J189" s="6" t="n">
        <v>1869158</v>
      </c>
      <c r="K189" s="2" t="inlineStr">
        <is>
          <t>2026년 05월 29일</t>
        </is>
      </c>
      <c r="L189" s="2" t="inlineStr">
        <is>
          <t>-</t>
        </is>
      </c>
      <c r="M189" s="2" t="inlineStr">
        <is>
          <t>2027-05-30</t>
        </is>
      </c>
      <c r="N189" s="2" t="inlineStr">
        <is>
          <t>2031-04-29</t>
        </is>
      </c>
      <c r="O189" s="10" t="n">
        <v>6.66</v>
      </c>
      <c r="P189" s="7" t="inlineStr">
        <is>
          <t>-</t>
        </is>
      </c>
      <c r="Q189" s="2" t="inlineStr">
        <is>
          <t>-</t>
        </is>
      </c>
      <c r="R189" s="2" t="inlineStr">
        <is>
          <t>2027-09-30</t>
        </is>
      </c>
      <c r="S189" s="2" t="inlineStr">
        <is>
          <t>20260521000742</t>
        </is>
      </c>
      <c r="T189" s="8">
        <f>HYPERLINK("https://dart.fss.or.kr/dsaf001/main.do?rcpNo=20260521000742", "공시열람")</f>
        <v/>
      </c>
    </row>
    <row r="190" ht="36" customHeight="1">
      <c r="A190" s="2" t="inlineStr">
        <is>
          <t>2026-05-21</t>
        </is>
      </c>
      <c r="B190" s="3" t="inlineStr">
        <is>
          <t>파인엠텍</t>
        </is>
      </c>
      <c r="C190" s="2" t="inlineStr">
        <is>
          <t>코스닥</t>
        </is>
      </c>
      <c r="D190" s="2" t="inlineStr">
        <is>
          <t>441270</t>
        </is>
      </c>
      <c r="E190" s="11" t="inlineStr">
        <is>
          <t>전환사채(CB)</t>
        </is>
      </c>
      <c r="F190" s="3" t="inlineStr">
        <is>
          <t>주요사항보고서(전환사채권발행결정)</t>
        </is>
      </c>
      <c r="G190" s="5" t="n">
        <v>35000000000</v>
      </c>
      <c r="H190" s="5" t="n">
        <v>9920</v>
      </c>
      <c r="I190" s="2" t="inlineStr">
        <is>
          <t>주식회사 파인엠텍 기명식 보통주식</t>
        </is>
      </c>
      <c r="J190" s="6" t="n">
        <v>3528225</v>
      </c>
      <c r="K190" s="2" t="inlineStr">
        <is>
          <t>2026년 05월 29일</t>
        </is>
      </c>
      <c r="L190" s="2" t="inlineStr">
        <is>
          <t>-</t>
        </is>
      </c>
      <c r="M190" s="2" t="inlineStr">
        <is>
          <t>2027-05-29</t>
        </is>
      </c>
      <c r="N190" s="2" t="inlineStr">
        <is>
          <t>2031-04-29</t>
        </is>
      </c>
      <c r="O190" s="10" t="n">
        <v>7.8</v>
      </c>
      <c r="P190" s="7" t="inlineStr">
        <is>
          <t>-</t>
        </is>
      </c>
      <c r="Q190" s="2" t="inlineStr">
        <is>
          <t>2027-05-29</t>
        </is>
      </c>
      <c r="R190" s="2" t="inlineStr">
        <is>
          <t>2028-03-30</t>
        </is>
      </c>
      <c r="S190" s="2" t="inlineStr">
        <is>
          <t>20260521000737</t>
        </is>
      </c>
      <c r="T190" s="8">
        <f>HYPERLINK("https://dart.fss.or.kr/dsaf001/main.do?rcpNo=20260521000737", "공시열람")</f>
        <v/>
      </c>
    </row>
    <row r="191" ht="36" customHeight="1">
      <c r="A191" s="2" t="inlineStr">
        <is>
          <t>2026-05-21 (정정: 2026-06-11)</t>
        </is>
      </c>
      <c r="B191" s="3" t="inlineStr">
        <is>
          <t>알엔티엑스</t>
        </is>
      </c>
      <c r="C191" s="2" t="inlineStr">
        <is>
          <t>코스닥</t>
        </is>
      </c>
      <c r="D191" s="2" t="inlineStr">
        <is>
          <t>123010</t>
        </is>
      </c>
      <c r="E191" s="9" t="inlineStr">
        <is>
          <t>유상증자</t>
        </is>
      </c>
      <c r="F191" s="3" t="inlineStr">
        <is>
          <t>[기재정정]주요사항보고서(유상증자결정) (정정: 20260526) (정정: 20260611) (정정: 20260611)</t>
        </is>
      </c>
      <c r="G191" s="5" t="n">
        <v>6000</v>
      </c>
      <c r="H191" s="5" t="n">
        <v>923</v>
      </c>
      <c r="I191" s="2" t="inlineStr">
        <is>
          <t>보통주식</t>
        </is>
      </c>
      <c r="J191" s="6" t="n">
        <v>6500541</v>
      </c>
      <c r="K191" s="2" t="inlineStr">
        <is>
          <t>2026-07-20</t>
        </is>
      </c>
      <c r="L191" s="2" t="inlineStr">
        <is>
          <t>2026-08-10</t>
        </is>
      </c>
      <c r="M191" s="2" t="inlineStr">
        <is>
          <t>-</t>
        </is>
      </c>
      <c r="N191" s="2" t="inlineStr">
        <is>
          <t>-</t>
        </is>
      </c>
      <c r="O191" s="10" t="n">
        <v>19.00350576731787</v>
      </c>
      <c r="P191" s="7" t="inlineStr">
        <is>
          <t>운영자금 (6,000원)</t>
        </is>
      </c>
      <c r="Q191" s="2" t="inlineStr">
        <is>
          <t>-</t>
        </is>
      </c>
      <c r="R191" s="2" t="inlineStr">
        <is>
          <t>-</t>
        </is>
      </c>
      <c r="S191" s="2" t="inlineStr">
        <is>
          <t>20260611000433</t>
        </is>
      </c>
      <c r="T191" s="8">
        <f>HYPERLINK("https://dart.fss.or.kr/dsaf001/main.do?rcpNo=20260611000433", "공시열람")</f>
        <v/>
      </c>
    </row>
    <row r="192" ht="36" customHeight="1">
      <c r="A192" s="2" t="inlineStr">
        <is>
          <t>2026-05-21 (정정: 2026-06-23)</t>
        </is>
      </c>
      <c r="B192" s="3" t="inlineStr">
        <is>
          <t>경남제약</t>
        </is>
      </c>
      <c r="C192" s="2" t="inlineStr">
        <is>
          <t>코스닥</t>
        </is>
      </c>
      <c r="D192" s="2" t="inlineStr">
        <is>
          <t>053950</t>
        </is>
      </c>
      <c r="E192" s="9" t="inlineStr">
        <is>
          <t>유상증자</t>
        </is>
      </c>
      <c r="F192" s="3" t="inlineStr">
        <is>
          <t>주요사항보고서(유상증자결정) (정정: 20260623)</t>
        </is>
      </c>
      <c r="G192" s="5" t="n">
        <v>19085000000</v>
      </c>
      <c r="H192" s="5" t="inlineStr"/>
      <c r="I192" s="2" t="inlineStr">
        <is>
          <t>보통주식</t>
        </is>
      </c>
      <c r="J192" s="6" t="n">
        <v>11000000</v>
      </c>
      <c r="K192" s="2" t="inlineStr">
        <is>
          <t>-</t>
        </is>
      </c>
      <c r="L192" s="2" t="inlineStr">
        <is>
          <t>-</t>
        </is>
      </c>
      <c r="M192" s="2" t="inlineStr">
        <is>
          <t>-</t>
        </is>
      </c>
      <c r="N192" s="2" t="inlineStr">
        <is>
          <t>-</t>
        </is>
      </c>
      <c r="O192" s="10" t="n">
        <v>70.37986122498964</v>
      </c>
      <c r="P192" s="7" t="inlineStr">
        <is>
          <t>운영자금 (190.8억원)</t>
        </is>
      </c>
      <c r="Q192" s="2" t="inlineStr">
        <is>
          <t>-</t>
        </is>
      </c>
      <c r="R192" s="2" t="inlineStr">
        <is>
          <t>-</t>
        </is>
      </c>
      <c r="S192" s="2" t="inlineStr">
        <is>
          <t>20260623000409</t>
        </is>
      </c>
      <c r="T192" s="8">
        <f>HYPERLINK("https://dart.fss.or.kr/dsaf001/main.do?rcpNo=20260623000409", "공시열람")</f>
        <v/>
      </c>
    </row>
    <row r="193" ht="36" customHeight="1">
      <c r="A193" s="2" t="inlineStr">
        <is>
          <t>2026-05-21 (정정: 2026-06-01)</t>
        </is>
      </c>
      <c r="B193" s="3" t="inlineStr">
        <is>
          <t>유티아이</t>
        </is>
      </c>
      <c r="C193" s="2" t="inlineStr">
        <is>
          <t>코스닥</t>
        </is>
      </c>
      <c r="D193" s="2" t="inlineStr">
        <is>
          <t>179900</t>
        </is>
      </c>
      <c r="E193" s="11" t="inlineStr">
        <is>
          <t>전환사채(CB)</t>
        </is>
      </c>
      <c r="F193" s="3" t="inlineStr">
        <is>
          <t>주요사항보고서(전환사채권발행결정) (정정: 20260526) (정정: 20260601)</t>
        </is>
      </c>
      <c r="G193" s="5" t="inlineStr"/>
      <c r="H193" s="5" t="inlineStr"/>
      <c r="I193" s="2" t="inlineStr">
        <is>
          <t>-</t>
        </is>
      </c>
      <c r="J193" s="6" t="inlineStr"/>
      <c r="K193" s="2" t="inlineStr">
        <is>
          <t>-</t>
        </is>
      </c>
      <c r="L193" s="2" t="inlineStr">
        <is>
          <t>-</t>
        </is>
      </c>
      <c r="M193" s="2" t="inlineStr">
        <is>
          <t>2025-05-22</t>
        </is>
      </c>
      <c r="N193" s="2" t="inlineStr">
        <is>
          <t>2029-04-22</t>
        </is>
      </c>
      <c r="O193" s="3" t="inlineStr"/>
      <c r="P193" s="7" t="inlineStr">
        <is>
          <t>-</t>
        </is>
      </c>
      <c r="Q193" s="2" t="inlineStr">
        <is>
          <t>2025-05-22</t>
        </is>
      </c>
      <c r="R193" s="2" t="inlineStr">
        <is>
          <t>2026-05-22</t>
        </is>
      </c>
      <c r="S193" s="2" t="inlineStr">
        <is>
          <t>20260601000870</t>
        </is>
      </c>
      <c r="T193" s="8">
        <f>HYPERLINK("https://dart.fss.or.kr/dsaf001/main.do?rcpNo=20260601000870", "공시열람")</f>
        <v/>
      </c>
    </row>
    <row r="194" ht="36" customHeight="1">
      <c r="A194" s="2" t="inlineStr">
        <is>
          <t>2026-05-21 (정정: 2026-06-16)</t>
        </is>
      </c>
      <c r="B194" s="3" t="inlineStr">
        <is>
          <t>비트플래닛</t>
        </is>
      </c>
      <c r="C194" s="2" t="inlineStr">
        <is>
          <t>코스닥</t>
        </is>
      </c>
      <c r="D194" s="2" t="inlineStr">
        <is>
          <t>049470</t>
        </is>
      </c>
      <c r="E194" s="11" t="inlineStr">
        <is>
          <t>전환사채(CB)</t>
        </is>
      </c>
      <c r="F194" s="3" t="inlineStr">
        <is>
          <t>[기재정정]주요사항보고서(전환사채권발행결정) (정정: 20260521) (정정: 20260605) (정정: 20260605) (정정: 20260616)</t>
        </is>
      </c>
      <c r="G194" s="5" t="inlineStr"/>
      <c r="H194" s="5" t="inlineStr"/>
      <c r="I194" s="2" t="inlineStr">
        <is>
          <t>-</t>
        </is>
      </c>
      <c r="J194" s="6" t="inlineStr"/>
      <c r="K194" s="2" t="inlineStr">
        <is>
          <t>-</t>
        </is>
      </c>
      <c r="L194" s="2" t="inlineStr">
        <is>
          <t>-</t>
        </is>
      </c>
      <c r="M194" s="2" t="inlineStr">
        <is>
          <t>-</t>
        </is>
      </c>
      <c r="N194" s="2" t="inlineStr">
        <is>
          <t>-</t>
        </is>
      </c>
      <c r="O194" s="3" t="inlineStr"/>
      <c r="P194" s="7" t="inlineStr">
        <is>
          <t>-</t>
        </is>
      </c>
      <c r="Q194" s="2" t="inlineStr">
        <is>
          <t>-</t>
        </is>
      </c>
      <c r="R194" s="2" t="inlineStr">
        <is>
          <t>-</t>
        </is>
      </c>
      <c r="S194" s="2" t="inlineStr">
        <is>
          <t>20260616000274</t>
        </is>
      </c>
      <c r="T194" s="8">
        <f>HYPERLINK("https://dart.fss.or.kr/dsaf001/main.do?rcpNo=20260616000274", "공시열람")</f>
        <v/>
      </c>
    </row>
    <row r="195" ht="36" customHeight="1">
      <c r="A195" s="2" t="inlineStr">
        <is>
          <t>2026-05-21</t>
        </is>
      </c>
      <c r="B195" s="3" t="inlineStr">
        <is>
          <t>JW신약</t>
        </is>
      </c>
      <c r="C195" s="2" t="inlineStr">
        <is>
          <t>코스닥</t>
        </is>
      </c>
      <c r="D195" s="2" t="inlineStr">
        <is>
          <t>067290</t>
        </is>
      </c>
      <c r="E195" s="11" t="inlineStr">
        <is>
          <t>전환사채(CB)</t>
        </is>
      </c>
      <c r="F195" s="3" t="inlineStr">
        <is>
          <t>주요사항보고서(전환사채권발행결정)</t>
        </is>
      </c>
      <c r="G195" s="5" t="n">
        <v>15000000000</v>
      </c>
      <c r="H195" s="5" t="n">
        <v>3000</v>
      </c>
      <c r="I195" s="2" t="inlineStr">
        <is>
          <t>제이더블유신약주식회사 기명식 보통주식</t>
        </is>
      </c>
      <c r="J195" s="6" t="n">
        <v>5000000</v>
      </c>
      <c r="K195" s="2" t="inlineStr">
        <is>
          <t>2026년 05월 22일</t>
        </is>
      </c>
      <c r="L195" s="2" t="inlineStr">
        <is>
          <t>-</t>
        </is>
      </c>
      <c r="M195" s="2" t="inlineStr">
        <is>
          <t>2027-05-23</t>
        </is>
      </c>
      <c r="N195" s="2" t="inlineStr">
        <is>
          <t>2056-04-22</t>
        </is>
      </c>
      <c r="O195" s="10" t="n">
        <v>8.210000000000001</v>
      </c>
      <c r="P195" s="7" t="inlineStr">
        <is>
          <t>-</t>
        </is>
      </c>
      <c r="Q195" s="2" t="inlineStr">
        <is>
          <t>2026-05-22</t>
        </is>
      </c>
      <c r="R195" s="2" t="inlineStr">
        <is>
          <t>2026-05-22</t>
        </is>
      </c>
      <c r="S195" s="2" t="inlineStr">
        <is>
          <t>20260521000483</t>
        </is>
      </c>
      <c r="T195" s="8">
        <f>HYPERLINK("https://dart.fss.or.kr/dsaf001/main.do?rcpNo=20260521000483", "공시열람")</f>
        <v/>
      </c>
    </row>
    <row r="196" ht="36" customHeight="1">
      <c r="A196" s="2" t="inlineStr">
        <is>
          <t>2026-05-21 (정정: 2026-05-28)</t>
        </is>
      </c>
      <c r="B196" s="3" t="inlineStr">
        <is>
          <t>CS</t>
        </is>
      </c>
      <c r="C196" s="2" t="inlineStr">
        <is>
          <t>코스닥</t>
        </is>
      </c>
      <c r="D196" s="2" t="inlineStr">
        <is>
          <t>065770</t>
        </is>
      </c>
      <c r="E196" s="11" t="inlineStr">
        <is>
          <t>전환사채(CB)</t>
        </is>
      </c>
      <c r="F196" s="3" t="inlineStr">
        <is>
          <t>주요사항보고서(전환사채권발행결정) (정정: 20260528)</t>
        </is>
      </c>
      <c r="G196" s="5" t="inlineStr"/>
      <c r="H196" s="5" t="inlineStr"/>
      <c r="I196" s="2" t="inlineStr">
        <is>
          <t>-</t>
        </is>
      </c>
      <c r="J196" s="6" t="inlineStr"/>
      <c r="K196" s="2" t="inlineStr">
        <is>
          <t>-</t>
        </is>
      </c>
      <c r="L196" s="2" t="inlineStr">
        <is>
          <t>-</t>
        </is>
      </c>
      <c r="M196" s="2" t="inlineStr">
        <is>
          <t>2027-05-29</t>
        </is>
      </c>
      <c r="N196" s="2" t="inlineStr">
        <is>
          <t>2029-04-29</t>
        </is>
      </c>
      <c r="O196" s="3" t="inlineStr"/>
      <c r="P196" s="7" t="inlineStr">
        <is>
          <t>-</t>
        </is>
      </c>
      <c r="Q196" s="2" t="inlineStr">
        <is>
          <t>2027-05-29</t>
        </is>
      </c>
      <c r="R196" s="2" t="inlineStr">
        <is>
          <t>2027-03-30</t>
        </is>
      </c>
      <c r="S196" s="2" t="inlineStr">
        <is>
          <t>20260528001002</t>
        </is>
      </c>
      <c r="T196" s="8">
        <f>HYPERLINK("https://dart.fss.or.kr/dsaf001/main.do?rcpNo=20260528001002", "공시열람")</f>
        <v/>
      </c>
    </row>
    <row r="197" ht="36" customHeight="1">
      <c r="A197" s="2" t="inlineStr">
        <is>
          <t>2026-05-21</t>
        </is>
      </c>
      <c r="B197" s="3" t="inlineStr">
        <is>
          <t>파크시스템스</t>
        </is>
      </c>
      <c r="C197" s="2" t="inlineStr">
        <is>
          <t>코스닥</t>
        </is>
      </c>
      <c r="D197" s="2" t="inlineStr">
        <is>
          <t>140860</t>
        </is>
      </c>
      <c r="E197" s="12" t="inlineStr">
        <is>
          <t>신주인수권부사채(BW)</t>
        </is>
      </c>
      <c r="F197" s="3" t="inlineStr">
        <is>
          <t>주요사항보고서(신주인수권부사채권발행결정)</t>
        </is>
      </c>
      <c r="G197" s="5" t="n">
        <v>100000000000</v>
      </c>
      <c r="H197" s="5" t="n">
        <v>267747</v>
      </c>
      <c r="I197" s="2" t="inlineStr">
        <is>
          <t>-</t>
        </is>
      </c>
      <c r="J197" s="6" t="inlineStr"/>
      <c r="K197" s="2" t="inlineStr">
        <is>
          <t>2026년 06월 08일</t>
        </is>
      </c>
      <c r="L197" s="2" t="inlineStr">
        <is>
          <t>-</t>
        </is>
      </c>
      <c r="M197" s="2" t="inlineStr">
        <is>
          <t>2027-06-08</t>
        </is>
      </c>
      <c r="N197" s="2" t="inlineStr">
        <is>
          <t>2056-05-08</t>
        </is>
      </c>
      <c r="O197" s="3" t="inlineStr"/>
      <c r="P197" s="7" t="inlineStr">
        <is>
          <t>-</t>
        </is>
      </c>
      <c r="Q197" s="2" t="inlineStr">
        <is>
          <t>2027-06-08</t>
        </is>
      </c>
      <c r="R197" s="2" t="inlineStr">
        <is>
          <t>-</t>
        </is>
      </c>
      <c r="S197" s="2" t="inlineStr">
        <is>
          <t>20260521000491</t>
        </is>
      </c>
      <c r="T197" s="8">
        <f>HYPERLINK("https://dart.fss.or.kr/dsaf001/main.do?rcpNo=20260521000491", "공시열람")</f>
        <v/>
      </c>
    </row>
    <row r="198" ht="36" customHeight="1">
      <c r="A198" s="2" t="inlineStr">
        <is>
          <t>2026-05-21 (정정: 2026-05-21)</t>
        </is>
      </c>
      <c r="B198" s="3" t="inlineStr">
        <is>
          <t>탑선</t>
        </is>
      </c>
      <c r="C198" s="2" t="inlineStr">
        <is>
          <t>코넥스</t>
        </is>
      </c>
      <c r="D198" s="2" t="inlineStr">
        <is>
          <t>180060</t>
        </is>
      </c>
      <c r="E198" s="11" t="inlineStr">
        <is>
          <t>전환사채(CB)</t>
        </is>
      </c>
      <c r="F198" s="3" t="inlineStr">
        <is>
          <t>[첨부정정]주요사항보고서(전환사채권발행결정) (정정: 20260521)</t>
        </is>
      </c>
      <c r="G198" s="5" t="inlineStr"/>
      <c r="H198" s="5" t="inlineStr"/>
      <c r="I198" s="2" t="inlineStr">
        <is>
          <t>-</t>
        </is>
      </c>
      <c r="J198" s="6" t="inlineStr"/>
      <c r="K198" s="2" t="inlineStr">
        <is>
          <t>-</t>
        </is>
      </c>
      <c r="L198" s="2" t="inlineStr">
        <is>
          <t>-</t>
        </is>
      </c>
      <c r="M198" s="2" t="inlineStr">
        <is>
          <t>2023-06-29</t>
        </is>
      </c>
      <c r="N198" s="2" t="inlineStr">
        <is>
          <t>2026-08-28</t>
        </is>
      </c>
      <c r="O198" s="3" t="inlineStr"/>
      <c r="P198" s="7" t="inlineStr">
        <is>
          <t>-</t>
        </is>
      </c>
      <c r="Q198" s="2" t="inlineStr">
        <is>
          <t>-</t>
        </is>
      </c>
      <c r="R198" s="2" t="inlineStr">
        <is>
          <t>2026-05-28</t>
        </is>
      </c>
      <c r="S198" s="2" t="inlineStr">
        <is>
          <t>20260521000303</t>
        </is>
      </c>
      <c r="T198" s="8">
        <f>HYPERLINK("https://dart.fss.or.kr/dsaf001/main.do?rcpNo=20260521000303", "공시열람")</f>
        <v/>
      </c>
    </row>
    <row r="199" ht="36" customHeight="1">
      <c r="A199" s="2" t="inlineStr">
        <is>
          <t>2025-12-02 (정정: 2026-05-21)</t>
        </is>
      </c>
      <c r="B199" s="3" t="inlineStr">
        <is>
          <t>포커스에이아이</t>
        </is>
      </c>
      <c r="C199" s="2" t="inlineStr">
        <is>
          <t>코스닥</t>
        </is>
      </c>
      <c r="D199" s="2" t="inlineStr">
        <is>
          <t>331380</t>
        </is>
      </c>
      <c r="E199" s="9" t="inlineStr">
        <is>
          <t>유상증자</t>
        </is>
      </c>
      <c r="F199" s="3" t="inlineStr">
        <is>
          <t>[기재정정]주요사항보고서(유상증자결정)</t>
        </is>
      </c>
      <c r="G199" s="5" t="n">
        <v>1000</v>
      </c>
      <c r="H199" s="5" t="n">
        <v>2504</v>
      </c>
      <c r="I199" s="2" t="inlineStr">
        <is>
          <t>보통주식</t>
        </is>
      </c>
      <c r="J199" s="6" t="n">
        <v>399361</v>
      </c>
      <c r="K199" s="2" t="inlineStr">
        <is>
          <t>2026-07-23</t>
        </is>
      </c>
      <c r="L199" s="2" t="inlineStr">
        <is>
          <t>2026-08-19</t>
        </is>
      </c>
      <c r="M199" s="2" t="inlineStr">
        <is>
          <t>-</t>
        </is>
      </c>
      <c r="N199" s="2" t="inlineStr">
        <is>
          <t>-</t>
        </is>
      </c>
      <c r="O199" s="10" t="n">
        <v>1.581663490291206</v>
      </c>
      <c r="P199" s="7" t="inlineStr">
        <is>
          <t>운영자금 (1,000원)</t>
        </is>
      </c>
      <c r="Q199" s="2" t="inlineStr">
        <is>
          <t>-</t>
        </is>
      </c>
      <c r="R199" s="2" t="inlineStr">
        <is>
          <t>-</t>
        </is>
      </c>
      <c r="S199" s="2" t="inlineStr">
        <is>
          <t>20260521000335</t>
        </is>
      </c>
      <c r="T199" s="8">
        <f>HYPERLINK("https://dart.fss.or.kr/dsaf001/main.do?rcpNo=20260521000335", "공시열람")</f>
        <v/>
      </c>
    </row>
    <row r="200" ht="36" customHeight="1">
      <c r="A200" s="2" t="inlineStr">
        <is>
          <t>2025-12-12 (정정: 2026-05-21)</t>
        </is>
      </c>
      <c r="B200" s="3" t="inlineStr">
        <is>
          <t>오텍</t>
        </is>
      </c>
      <c r="C200" s="2" t="inlineStr">
        <is>
          <t>코스닥</t>
        </is>
      </c>
      <c r="D200" s="2" t="inlineStr">
        <is>
          <t>067170</t>
        </is>
      </c>
      <c r="E200" s="12" t="inlineStr">
        <is>
          <t>신주인수권부사채(BW)</t>
        </is>
      </c>
      <c r="F200" s="3" t="inlineStr">
        <is>
          <t>[기재정정]주요사항보고서(신주인수권부사채권발행결정)</t>
        </is>
      </c>
      <c r="G200" s="5" t="inlineStr"/>
      <c r="H200" s="5" t="inlineStr"/>
      <c r="I200" s="2" t="inlineStr">
        <is>
          <t>-</t>
        </is>
      </c>
      <c r="J200" s="6" t="inlineStr"/>
      <c r="K200" s="2" t="inlineStr">
        <is>
          <t>-</t>
        </is>
      </c>
      <c r="L200" s="2" t="inlineStr">
        <is>
          <t>-</t>
        </is>
      </c>
      <c r="M200" s="2" t="inlineStr">
        <is>
          <t>2026-02-12</t>
        </is>
      </c>
      <c r="N200" s="2" t="inlineStr">
        <is>
          <t>2030-12-12</t>
        </is>
      </c>
      <c r="O200" s="3" t="inlineStr"/>
      <c r="P200" s="7" t="inlineStr">
        <is>
          <t>-</t>
        </is>
      </c>
      <c r="Q200" s="2" t="inlineStr">
        <is>
          <t>2026-01-07</t>
        </is>
      </c>
      <c r="R200" s="2" t="inlineStr">
        <is>
          <t>2027-07-12</t>
        </is>
      </c>
      <c r="S200" s="2" t="inlineStr">
        <is>
          <t>20260521000310</t>
        </is>
      </c>
      <c r="T200" s="8">
        <f>HYPERLINK("https://dart.fss.or.kr/dsaf001/main.do?rcpNo=20260521000310", "공시열람")</f>
        <v/>
      </c>
    </row>
    <row r="201" ht="36" customHeight="1">
      <c r="A201" s="2" t="inlineStr">
        <is>
          <t>2026-05-21</t>
        </is>
      </c>
      <c r="B201" s="3" t="inlineStr">
        <is>
          <t>블리츠웨이엔터테인먼트</t>
        </is>
      </c>
      <c r="C201" s="2" t="inlineStr">
        <is>
          <t>코스닥</t>
        </is>
      </c>
      <c r="D201" s="2" t="inlineStr">
        <is>
          <t>369370</t>
        </is>
      </c>
      <c r="E201" s="9" t="inlineStr">
        <is>
          <t>유상증자</t>
        </is>
      </c>
      <c r="F201" s="3" t="inlineStr">
        <is>
          <t xml:space="preserve">유상증자결정(종속회사의주요경영사항)              </t>
        </is>
      </c>
      <c r="G201" s="5" t="n">
        <v>5205000000</v>
      </c>
      <c r="H201" s="5" t="n">
        <v>50000</v>
      </c>
      <c r="I201" s="2" t="inlineStr">
        <is>
          <t>보통주식</t>
        </is>
      </c>
      <c r="J201" s="6" t="n">
        <v>104100</v>
      </c>
      <c r="K201" s="2" t="inlineStr">
        <is>
          <t>2026-05-29</t>
        </is>
      </c>
      <c r="L201" s="2" t="inlineStr">
        <is>
          <t>-</t>
        </is>
      </c>
      <c r="M201" s="2" t="inlineStr">
        <is>
          <t>-</t>
        </is>
      </c>
      <c r="N201" s="2" t="inlineStr">
        <is>
          <t>-</t>
        </is>
      </c>
      <c r="O201" s="10" t="n">
        <v>24.78571428571428</v>
      </c>
      <c r="P201" s="7" t="inlineStr">
        <is>
          <t>운영자금 (52.0억원)</t>
        </is>
      </c>
      <c r="Q201" s="2" t="inlineStr">
        <is>
          <t>-</t>
        </is>
      </c>
      <c r="R201" s="2" t="inlineStr">
        <is>
          <t>-</t>
        </is>
      </c>
      <c r="S201" s="2" t="inlineStr">
        <is>
          <t>20260521900340</t>
        </is>
      </c>
      <c r="T201" s="8">
        <f>HYPERLINK("https://dart.fss.or.kr/dsaf001/main.do?rcpNo=20260521900340", "공시열람")</f>
        <v/>
      </c>
    </row>
    <row r="202" ht="36" customHeight="1">
      <c r="A202" s="2" t="inlineStr">
        <is>
          <t>2026-05-21</t>
        </is>
      </c>
      <c r="B202" s="3" t="inlineStr">
        <is>
          <t>셀트리온</t>
        </is>
      </c>
      <c r="C202" s="2" t="inlineStr">
        <is>
          <t>코스피</t>
        </is>
      </c>
      <c r="D202" s="2" t="inlineStr">
        <is>
          <t>068270</t>
        </is>
      </c>
      <c r="E202" s="2" t="inlineStr">
        <is>
          <t>무상증자</t>
        </is>
      </c>
      <c r="F202" s="3" t="inlineStr">
        <is>
          <t>주요사항보고서(무상증자결정)</t>
        </is>
      </c>
      <c r="G202" s="5" t="inlineStr"/>
      <c r="H202" s="5" t="inlineStr"/>
      <c r="I202" s="2" t="inlineStr">
        <is>
          <t>-</t>
        </is>
      </c>
      <c r="J202" s="6" t="inlineStr"/>
      <c r="K202" s="2" t="inlineStr">
        <is>
          <t>-</t>
        </is>
      </c>
      <c r="L202" s="2" t="inlineStr">
        <is>
          <t>-</t>
        </is>
      </c>
      <c r="M202" s="2" t="inlineStr">
        <is>
          <t>-</t>
        </is>
      </c>
      <c r="N202" s="2" t="inlineStr">
        <is>
          <t>-</t>
        </is>
      </c>
      <c r="O202" s="3" t="inlineStr"/>
      <c r="P202" s="7" t="inlineStr">
        <is>
          <t>-</t>
        </is>
      </c>
      <c r="Q202" s="2" t="inlineStr">
        <is>
          <t>-</t>
        </is>
      </c>
      <c r="R202" s="2" t="inlineStr">
        <is>
          <t>-</t>
        </is>
      </c>
      <c r="S202" s="2" t="inlineStr">
        <is>
          <t>20260521000101</t>
        </is>
      </c>
      <c r="T202" s="8">
        <f>HYPERLINK("https://dart.fss.or.kr/dsaf001/main.do?rcpNo=20260521000101", "공시열람")</f>
        <v/>
      </c>
    </row>
    <row r="203" ht="36" customHeight="1">
      <c r="A203" s="2" t="inlineStr">
        <is>
          <t>2026-05-22 (정정: 2026-06-24)</t>
        </is>
      </c>
      <c r="B203" s="3" t="inlineStr">
        <is>
          <t>아모텍</t>
        </is>
      </c>
      <c r="C203" s="2" t="inlineStr">
        <is>
          <t>코스닥</t>
        </is>
      </c>
      <c r="D203" s="2" t="inlineStr">
        <is>
          <t>052710</t>
        </is>
      </c>
      <c r="E203" s="2" t="inlineStr">
        <is>
          <t>무상증자</t>
        </is>
      </c>
      <c r="F203" s="3" t="inlineStr">
        <is>
          <t>주요사항보고서(유무상증자결정) (정정: 20260624)</t>
        </is>
      </c>
      <c r="G203" s="5" t="inlineStr"/>
      <c r="H203" s="5" t="inlineStr"/>
      <c r="I203" s="2" t="inlineStr">
        <is>
          <t>-</t>
        </is>
      </c>
      <c r="J203" s="6" t="inlineStr"/>
      <c r="K203" s="2" t="inlineStr">
        <is>
          <t>-</t>
        </is>
      </c>
      <c r="L203" s="2" t="inlineStr">
        <is>
          <t>-</t>
        </is>
      </c>
      <c r="M203" s="2" t="inlineStr">
        <is>
          <t>-</t>
        </is>
      </c>
      <c r="N203" s="2" t="inlineStr">
        <is>
          <t>-</t>
        </is>
      </c>
      <c r="O203" s="3" t="inlineStr"/>
      <c r="P203" s="7" t="inlineStr">
        <is>
          <t>-</t>
        </is>
      </c>
      <c r="Q203" s="2" t="inlineStr">
        <is>
          <t>-</t>
        </is>
      </c>
      <c r="R203" s="2" t="inlineStr">
        <is>
          <t>-</t>
        </is>
      </c>
      <c r="S203" s="2" t="inlineStr">
        <is>
          <t>20260624000470</t>
        </is>
      </c>
      <c r="T203" s="8">
        <f>HYPERLINK("https://dart.fss.or.kr/dsaf001/main.do?rcpNo=20260624000470", "공시열람")</f>
        <v/>
      </c>
    </row>
    <row r="204" ht="36" customHeight="1">
      <c r="A204" s="2" t="inlineStr">
        <is>
          <t>2026-05-22 (정정: 2026-05-26)</t>
        </is>
      </c>
      <c r="B204" s="3" t="inlineStr">
        <is>
          <t>EDGC</t>
        </is>
      </c>
      <c r="C204" s="2" t="inlineStr">
        <is>
          <t>코스닥</t>
        </is>
      </c>
      <c r="D204" s="2" t="inlineStr">
        <is>
          <t>245620</t>
        </is>
      </c>
      <c r="E204" s="9" t="inlineStr">
        <is>
          <t>유상증자</t>
        </is>
      </c>
      <c r="F204" s="3" t="inlineStr">
        <is>
          <t>[기재정정]주요사항보고서(유상증자결정) (정정: 20260522) (정정: 20260526) (정정: 20260526)</t>
        </is>
      </c>
      <c r="G204" s="5" t="n">
        <v>0</v>
      </c>
      <c r="H204" s="5" t="n">
        <v>100</v>
      </c>
      <c r="I204" s="2" t="inlineStr">
        <is>
          <t>보통주식</t>
        </is>
      </c>
      <c r="J204" s="6" t="n">
        <v>224797110</v>
      </c>
      <c r="K204" s="2" t="inlineStr">
        <is>
          <t>2026.03.20</t>
        </is>
      </c>
      <c r="L204" s="2" t="inlineStr">
        <is>
          <t>2026.06.12</t>
        </is>
      </c>
      <c r="M204" s="2" t="inlineStr">
        <is>
          <t>-</t>
        </is>
      </c>
      <c r="N204" s="2" t="inlineStr">
        <is>
          <t>-</t>
        </is>
      </c>
      <c r="O204" s="10" t="n">
        <v>162.315471814361</v>
      </c>
      <c r="P204" s="7" t="inlineStr">
        <is>
          <t>-</t>
        </is>
      </c>
      <c r="Q204" s="2" t="inlineStr">
        <is>
          <t>-</t>
        </is>
      </c>
      <c r="R204" s="2" t="inlineStr">
        <is>
          <t>-</t>
        </is>
      </c>
      <c r="S204" s="2" t="inlineStr">
        <is>
          <t>20260526000396</t>
        </is>
      </c>
      <c r="T204" s="8">
        <f>HYPERLINK("https://dart.fss.or.kr/dsaf001/main.do?rcpNo=20260526000396", "공시열람")</f>
        <v/>
      </c>
    </row>
    <row r="205" ht="36" customHeight="1">
      <c r="A205" s="2" t="inlineStr">
        <is>
          <t>2026-05-22</t>
        </is>
      </c>
      <c r="B205" s="3" t="inlineStr">
        <is>
          <t>CS</t>
        </is>
      </c>
      <c r="C205" s="2" t="inlineStr">
        <is>
          <t>코스닥</t>
        </is>
      </c>
      <c r="D205" s="2" t="inlineStr">
        <is>
          <t>065770</t>
        </is>
      </c>
      <c r="E205" s="11" t="inlineStr">
        <is>
          <t>전환사채(CB)</t>
        </is>
      </c>
      <c r="F205" s="3" t="inlineStr">
        <is>
          <t>[첨부정정]주요사항보고서(전환사채권발행결정)</t>
        </is>
      </c>
      <c r="G205" s="5" t="n">
        <v>5000000000</v>
      </c>
      <c r="H205" s="5" t="n">
        <v>3424</v>
      </c>
      <c r="I205" s="2" t="inlineStr">
        <is>
          <t>주식회사 씨에스 기명식 보통주</t>
        </is>
      </c>
      <c r="J205" s="6" t="n">
        <v>1460280</v>
      </c>
      <c r="K205" s="2" t="inlineStr">
        <is>
          <t>2026년 05월 29일</t>
        </is>
      </c>
      <c r="L205" s="2" t="inlineStr">
        <is>
          <t>-</t>
        </is>
      </c>
      <c r="M205" s="2" t="inlineStr">
        <is>
          <t>2027년 05월 29일</t>
        </is>
      </c>
      <c r="N205" s="2" t="inlineStr">
        <is>
          <t>-</t>
        </is>
      </c>
      <c r="O205" s="10" t="n">
        <v>13.08</v>
      </c>
      <c r="P205" s="7" t="inlineStr">
        <is>
          <t>-</t>
        </is>
      </c>
      <c r="Q205" s="2" t="inlineStr">
        <is>
          <t>-</t>
        </is>
      </c>
      <c r="R205" s="2" t="inlineStr">
        <is>
          <t>-</t>
        </is>
      </c>
      <c r="S205" s="2" t="inlineStr">
        <is>
          <t>20260522000653</t>
        </is>
      </c>
      <c r="T205" s="8">
        <f>HYPERLINK("https://dart.fss.or.kr/dsaf001/main.do?rcpNo=20260522000653", "공시열람")</f>
        <v/>
      </c>
    </row>
    <row r="206" ht="36" customHeight="1">
      <c r="A206" s="2" t="inlineStr">
        <is>
          <t>2026-05-22 (정정: 2026-05-26)</t>
        </is>
      </c>
      <c r="B206" s="3" t="inlineStr">
        <is>
          <t>코이즈</t>
        </is>
      </c>
      <c r="C206" s="2" t="inlineStr">
        <is>
          <t>코스닥</t>
        </is>
      </c>
      <c r="D206" s="2" t="inlineStr">
        <is>
          <t>121850</t>
        </is>
      </c>
      <c r="E206" s="11" t="inlineStr">
        <is>
          <t>전환사채(CB)</t>
        </is>
      </c>
      <c r="F206" s="3" t="inlineStr">
        <is>
          <t>주요사항보고서(전환사채권발행결정) (정정: 20260526)</t>
        </is>
      </c>
      <c r="G206" s="5" t="inlineStr"/>
      <c r="H206" s="5" t="inlineStr"/>
      <c r="I206" s="2" t="inlineStr">
        <is>
          <t>-</t>
        </is>
      </c>
      <c r="J206" s="6" t="inlineStr"/>
      <c r="K206" s="2" t="inlineStr">
        <is>
          <t>-</t>
        </is>
      </c>
      <c r="L206" s="2" t="inlineStr">
        <is>
          <t>-</t>
        </is>
      </c>
      <c r="M206" s="2" t="inlineStr">
        <is>
          <t>2027-06-01</t>
        </is>
      </c>
      <c r="N206" s="2" t="inlineStr">
        <is>
          <t>2029-05-01</t>
        </is>
      </c>
      <c r="O206" s="3" t="inlineStr"/>
      <c r="P206" s="7" t="inlineStr">
        <is>
          <t>-</t>
        </is>
      </c>
      <c r="Q206" s="2" t="inlineStr">
        <is>
          <t>2028-06-01</t>
        </is>
      </c>
      <c r="R206" s="2" t="inlineStr">
        <is>
          <t>2027-06-01</t>
        </is>
      </c>
      <c r="S206" s="2" t="inlineStr">
        <is>
          <t>20260526000120</t>
        </is>
      </c>
      <c r="T206" s="8">
        <f>HYPERLINK("https://dart.fss.or.kr/dsaf001/main.do?rcpNo=20260526000120", "공시열람")</f>
        <v/>
      </c>
    </row>
    <row r="207" ht="36" customHeight="1">
      <c r="A207" s="2" t="inlineStr">
        <is>
          <t>2026-05-22</t>
        </is>
      </c>
      <c r="B207" s="3" t="inlineStr">
        <is>
          <t>한국첨단소재</t>
        </is>
      </c>
      <c r="C207" s="2" t="inlineStr">
        <is>
          <t>코스닥</t>
        </is>
      </c>
      <c r="D207" s="2" t="inlineStr">
        <is>
          <t>062970</t>
        </is>
      </c>
      <c r="E207" s="11" t="inlineStr">
        <is>
          <t>전환사채(CB)</t>
        </is>
      </c>
      <c r="F207" s="3" t="inlineStr">
        <is>
          <t>주요사항보고서(전환사채권발행결정)</t>
        </is>
      </c>
      <c r="G207" s="5" t="n">
        <v>10000000000</v>
      </c>
      <c r="H207" s="5" t="n">
        <v>2802</v>
      </c>
      <c r="I207" s="2" t="inlineStr">
        <is>
          <t>주식회사 한국첨단소재 기명식 보통주</t>
        </is>
      </c>
      <c r="J207" s="6" t="n">
        <v>3568879</v>
      </c>
      <c r="K207" s="2" t="inlineStr">
        <is>
          <t>2026년 06월 10일</t>
        </is>
      </c>
      <c r="L207" s="2" t="inlineStr">
        <is>
          <t>-</t>
        </is>
      </c>
      <c r="M207" s="2" t="inlineStr">
        <is>
          <t>2027-06-10</t>
        </is>
      </c>
      <c r="N207" s="2" t="inlineStr">
        <is>
          <t>2029-05-10</t>
        </is>
      </c>
      <c r="O207" s="10" t="n">
        <v>5.9</v>
      </c>
      <c r="P207" s="7" t="inlineStr">
        <is>
          <t>-</t>
        </is>
      </c>
      <c r="Q207" s="2" t="inlineStr">
        <is>
          <t>-</t>
        </is>
      </c>
      <c r="R207" s="2" t="inlineStr">
        <is>
          <t>2026-06-10</t>
        </is>
      </c>
      <c r="S207" s="2" t="inlineStr">
        <is>
          <t>20260522000640</t>
        </is>
      </c>
      <c r="T207" s="8">
        <f>HYPERLINK("https://dart.fss.or.kr/dsaf001/main.do?rcpNo=20260522000640", "공시열람")</f>
        <v/>
      </c>
    </row>
    <row r="208" ht="36" customHeight="1">
      <c r="A208" s="2" t="inlineStr">
        <is>
          <t>2026-05-22 (정정: 2026-06-01)</t>
        </is>
      </c>
      <c r="B208" s="3" t="inlineStr">
        <is>
          <t>엠젠솔루션</t>
        </is>
      </c>
      <c r="C208" s="2" t="inlineStr">
        <is>
          <t>코스닥</t>
        </is>
      </c>
      <c r="D208" s="2" t="inlineStr">
        <is>
          <t>032790</t>
        </is>
      </c>
      <c r="E208" s="11" t="inlineStr">
        <is>
          <t>전환사채(CB)</t>
        </is>
      </c>
      <c r="F208" s="3" t="inlineStr">
        <is>
          <t>[첨부정정]주요사항보고서(전환사채권발행결정) (정정: 20260528) (정정: 20260601)</t>
        </is>
      </c>
      <c r="G208" s="5" t="inlineStr"/>
      <c r="H208" s="5" t="inlineStr"/>
      <c r="I208" s="2" t="inlineStr">
        <is>
          <t>-</t>
        </is>
      </c>
      <c r="J208" s="6" t="inlineStr"/>
      <c r="K208" s="2" t="inlineStr">
        <is>
          <t>-</t>
        </is>
      </c>
      <c r="L208" s="2" t="inlineStr">
        <is>
          <t>-</t>
        </is>
      </c>
      <c r="M208" s="2" t="inlineStr">
        <is>
          <t>2027-06-09</t>
        </is>
      </c>
      <c r="N208" s="2" t="inlineStr">
        <is>
          <t>2029-05-09</t>
        </is>
      </c>
      <c r="O208" s="3" t="inlineStr"/>
      <c r="P208" s="7" t="inlineStr">
        <is>
          <t>-</t>
        </is>
      </c>
      <c r="Q208" s="2" t="inlineStr">
        <is>
          <t>-</t>
        </is>
      </c>
      <c r="R208" s="2" t="inlineStr">
        <is>
          <t>2027-04-06</t>
        </is>
      </c>
      <c r="S208" s="2" t="inlineStr">
        <is>
          <t>20260601001705</t>
        </is>
      </c>
      <c r="T208" s="8">
        <f>HYPERLINK("https://dart.fss.or.kr/dsaf001/main.do?rcpNo=20260601001705", "공시열람")</f>
        <v/>
      </c>
    </row>
    <row r="209" ht="36" customHeight="1">
      <c r="A209" s="2" t="inlineStr">
        <is>
          <t>2026-05-22</t>
        </is>
      </c>
      <c r="B209" s="3" t="inlineStr">
        <is>
          <t>오에스피</t>
        </is>
      </c>
      <c r="C209" s="2" t="inlineStr">
        <is>
          <t>코스닥</t>
        </is>
      </c>
      <c r="D209" s="2" t="inlineStr">
        <is>
          <t>368970</t>
        </is>
      </c>
      <c r="E209" s="9" t="inlineStr">
        <is>
          <t>유상증자</t>
        </is>
      </c>
      <c r="F209" s="3" t="inlineStr">
        <is>
          <t>주요사항보고서(유상증자결정)</t>
        </is>
      </c>
      <c r="G209" s="5" t="n">
        <v>999999000</v>
      </c>
      <c r="H209" s="5" t="n">
        <v>3465</v>
      </c>
      <c r="I209" s="2" t="inlineStr">
        <is>
          <t>보통주식</t>
        </is>
      </c>
      <c r="J209" s="6" t="n">
        <v>288600</v>
      </c>
      <c r="K209" s="2" t="inlineStr">
        <is>
          <t>2026-06-02</t>
        </is>
      </c>
      <c r="L209" s="2" t="inlineStr">
        <is>
          <t>2026-06-16</t>
        </is>
      </c>
      <c r="M209" s="2" t="inlineStr">
        <is>
          <t>-</t>
        </is>
      </c>
      <c r="N209" s="2" t="inlineStr">
        <is>
          <t>-</t>
        </is>
      </c>
      <c r="O209" s="10" t="n">
        <v>6.318094378669273</v>
      </c>
      <c r="P209" s="7" t="inlineStr">
        <is>
          <t>운영자금 (10.0억원)</t>
        </is>
      </c>
      <c r="Q209" s="2" t="inlineStr">
        <is>
          <t>-</t>
        </is>
      </c>
      <c r="R209" s="2" t="inlineStr">
        <is>
          <t>-</t>
        </is>
      </c>
      <c r="S209" s="2" t="inlineStr">
        <is>
          <t>20260522000596</t>
        </is>
      </c>
      <c r="T209" s="8">
        <f>HYPERLINK("https://dart.fss.or.kr/dsaf001/main.do?rcpNo=20260522000596", "공시열람")</f>
        <v/>
      </c>
    </row>
    <row r="210" ht="36" customHeight="1">
      <c r="A210" s="2" t="inlineStr">
        <is>
          <t>2026-05-22</t>
        </is>
      </c>
      <c r="B210" s="3" t="inlineStr">
        <is>
          <t>천보</t>
        </is>
      </c>
      <c r="C210" s="2" t="inlineStr">
        <is>
          <t>코스닥</t>
        </is>
      </c>
      <c r="D210" s="2" t="inlineStr">
        <is>
          <t>278280</t>
        </is>
      </c>
      <c r="E210" s="11" t="inlineStr">
        <is>
          <t>전환사채(CB)</t>
        </is>
      </c>
      <c r="F210" s="3" t="inlineStr">
        <is>
          <t xml:space="preserve">전환사채권발행결정(자회사의 주요경영사항)              </t>
        </is>
      </c>
      <c r="G210" s="5" t="inlineStr"/>
      <c r="H210" s="5" t="inlineStr"/>
      <c r="I210" s="2" t="inlineStr">
        <is>
          <t>-</t>
        </is>
      </c>
      <c r="J210" s="6" t="inlineStr"/>
      <c r="K210" s="2" t="inlineStr">
        <is>
          <t>-</t>
        </is>
      </c>
      <c r="L210" s="2" t="inlineStr">
        <is>
          <t>-</t>
        </is>
      </c>
      <c r="M210" s="2" t="inlineStr">
        <is>
          <t>2027-05-30</t>
        </is>
      </c>
      <c r="N210" s="2" t="inlineStr">
        <is>
          <t>2033-04-29</t>
        </is>
      </c>
      <c r="O210" s="3" t="inlineStr"/>
      <c r="P210" s="7" t="inlineStr">
        <is>
          <t>-</t>
        </is>
      </c>
      <c r="Q210" s="2" t="inlineStr">
        <is>
          <t>2026-05-29</t>
        </is>
      </c>
      <c r="R210" s="2" t="inlineStr">
        <is>
          <t>2026-05-29</t>
        </is>
      </c>
      <c r="S210" s="2" t="inlineStr">
        <is>
          <t>20260522900917</t>
        </is>
      </c>
      <c r="T210" s="8">
        <f>HYPERLINK("https://dart.fss.or.kr/dsaf001/main.do?rcpNo=20260522900917", "공시열람")</f>
        <v/>
      </c>
    </row>
    <row r="211" ht="36" customHeight="1">
      <c r="A211" s="2" t="inlineStr">
        <is>
          <t>2026-05-22</t>
        </is>
      </c>
      <c r="B211" s="3" t="inlineStr">
        <is>
          <t>젬백스</t>
        </is>
      </c>
      <c r="C211" s="2" t="inlineStr">
        <is>
          <t>코스닥</t>
        </is>
      </c>
      <c r="D211" s="2" t="inlineStr">
        <is>
          <t>082270</t>
        </is>
      </c>
      <c r="E211" s="11" t="inlineStr">
        <is>
          <t>전환사채(CB)</t>
        </is>
      </c>
      <c r="F211" s="3" t="inlineStr">
        <is>
          <t>주요사항보고서(전환사채권발행결정)</t>
        </is>
      </c>
      <c r="G211" s="5" t="n">
        <v>7000000000</v>
      </c>
      <c r="H211" s="5" t="n">
        <v>18659</v>
      </c>
      <c r="I211" s="2" t="inlineStr">
        <is>
          <t>주식회사 젬백스앤카엘 기명식 보통주</t>
        </is>
      </c>
      <c r="J211" s="6" t="n">
        <v>375154</v>
      </c>
      <c r="K211" s="2" t="inlineStr">
        <is>
          <t>2026년 06월 01일</t>
        </is>
      </c>
      <c r="L211" s="2" t="inlineStr">
        <is>
          <t>-</t>
        </is>
      </c>
      <c r="M211" s="2" t="inlineStr">
        <is>
          <t>2027-06-01</t>
        </is>
      </c>
      <c r="N211" s="2" t="inlineStr">
        <is>
          <t>2031-05-01</t>
        </is>
      </c>
      <c r="O211" s="10" t="n">
        <v>0.84</v>
      </c>
      <c r="P211" s="7" t="inlineStr">
        <is>
          <t>-</t>
        </is>
      </c>
      <c r="Q211" s="2" t="inlineStr">
        <is>
          <t>-</t>
        </is>
      </c>
      <c r="R211" s="2" t="inlineStr">
        <is>
          <t>2027-10-01</t>
        </is>
      </c>
      <c r="S211" s="2" t="inlineStr">
        <is>
          <t>20260522000597</t>
        </is>
      </c>
      <c r="T211" s="8">
        <f>HYPERLINK("https://dart.fss.or.kr/dsaf001/main.do?rcpNo=20260522000597", "공시열람")</f>
        <v/>
      </c>
    </row>
    <row r="212" ht="36" customHeight="1">
      <c r="A212" s="2" t="inlineStr">
        <is>
          <t>2025-12-24 (정정: 2026-05-22)</t>
        </is>
      </c>
      <c r="B212" s="3" t="inlineStr">
        <is>
          <t>젬백스</t>
        </is>
      </c>
      <c r="C212" s="2" t="inlineStr">
        <is>
          <t>코스닥</t>
        </is>
      </c>
      <c r="D212" s="2" t="inlineStr">
        <is>
          <t>082270</t>
        </is>
      </c>
      <c r="E212" s="9" t="inlineStr">
        <is>
          <t>유상증자</t>
        </is>
      </c>
      <c r="F212" s="3" t="inlineStr">
        <is>
          <t>[기재정정]주요사항보고서(유상증자결정)</t>
        </is>
      </c>
      <c r="G212" s="5" t="n">
        <v>17000</v>
      </c>
      <c r="H212" s="5" t="n">
        <v>26470</v>
      </c>
      <c r="I212" s="2" t="inlineStr">
        <is>
          <t>보통주식</t>
        </is>
      </c>
      <c r="J212" s="6" t="n">
        <v>44827819</v>
      </c>
      <c r="K212" s="2" t="inlineStr">
        <is>
          <t>2026-08-21</t>
        </is>
      </c>
      <c r="L212" s="2" t="inlineStr">
        <is>
          <t>2026-09-11</t>
        </is>
      </c>
      <c r="M212" s="2" t="inlineStr">
        <is>
          <t>-</t>
        </is>
      </c>
      <c r="N212" s="2" t="inlineStr">
        <is>
          <t>-</t>
        </is>
      </c>
      <c r="O212" s="10" t="n">
        <v>101.2618614344604</v>
      </c>
      <c r="P212" s="7" t="inlineStr">
        <is>
          <t>운영자금 (17,000원)</t>
        </is>
      </c>
      <c r="Q212" s="2" t="inlineStr">
        <is>
          <t>-</t>
        </is>
      </c>
      <c r="R212" s="2" t="inlineStr">
        <is>
          <t>-</t>
        </is>
      </c>
      <c r="S212" s="2" t="inlineStr">
        <is>
          <t>20260522000529</t>
        </is>
      </c>
      <c r="T212" s="8">
        <f>HYPERLINK("https://dart.fss.or.kr/dsaf001/main.do?rcpNo=20260522000529", "공시열람")</f>
        <v/>
      </c>
    </row>
    <row r="213" ht="36" customHeight="1">
      <c r="A213" s="2" t="inlineStr">
        <is>
          <t>2026-05-22 (정정: 2026-06-05)</t>
        </is>
      </c>
      <c r="B213" s="3" t="inlineStr">
        <is>
          <t>율촌</t>
        </is>
      </c>
      <c r="C213" s="2" t="inlineStr">
        <is>
          <t>코스닥</t>
        </is>
      </c>
      <c r="D213" s="2" t="inlineStr">
        <is>
          <t>146060</t>
        </is>
      </c>
      <c r="E213" s="11" t="inlineStr">
        <is>
          <t>전환사채(CB)</t>
        </is>
      </c>
      <c r="F213" s="3" t="inlineStr">
        <is>
          <t>주요사항보고서(전환사채권발행결정) (정정: 20260605)</t>
        </is>
      </c>
      <c r="G213" s="5" t="inlineStr"/>
      <c r="H213" s="5" t="inlineStr"/>
      <c r="I213" s="2" t="inlineStr">
        <is>
          <t>-</t>
        </is>
      </c>
      <c r="J213" s="6" t="inlineStr"/>
      <c r="K213" s="2" t="inlineStr">
        <is>
          <t>-</t>
        </is>
      </c>
      <c r="L213" s="2" t="inlineStr">
        <is>
          <t>-</t>
        </is>
      </c>
      <c r="M213" s="2" t="inlineStr">
        <is>
          <t>2027-06-01</t>
        </is>
      </c>
      <c r="N213" s="2" t="inlineStr">
        <is>
          <t>2031-05-01</t>
        </is>
      </c>
      <c r="O213" s="3" t="inlineStr"/>
      <c r="P213" s="7" t="inlineStr">
        <is>
          <t>-</t>
        </is>
      </c>
      <c r="Q213" s="2" t="inlineStr">
        <is>
          <t>2027-06-01</t>
        </is>
      </c>
      <c r="R213" s="2" t="inlineStr">
        <is>
          <t>2028-06-01</t>
        </is>
      </c>
      <c r="S213" s="2" t="inlineStr">
        <is>
          <t>20260605000303</t>
        </is>
      </c>
      <c r="T213" s="8">
        <f>HYPERLINK("https://dart.fss.or.kr/dsaf001/main.do?rcpNo=20260605000303", "공시열람")</f>
        <v/>
      </c>
    </row>
    <row r="214" ht="36" customHeight="1">
      <c r="A214" s="2" t="inlineStr">
        <is>
          <t>2026-05-22 (정정: 2026-06-17)</t>
        </is>
      </c>
      <c r="B214" s="3" t="inlineStr">
        <is>
          <t>광진실업</t>
        </is>
      </c>
      <c r="C214" s="2" t="inlineStr">
        <is>
          <t>코스닥</t>
        </is>
      </c>
      <c r="D214" s="2" t="inlineStr">
        <is>
          <t>026910</t>
        </is>
      </c>
      <c r="E214" s="9" t="inlineStr">
        <is>
          <t>유상증자</t>
        </is>
      </c>
      <c r="F214" s="3" t="inlineStr">
        <is>
          <t>[기재정정]주요사항보고서(유상증자결정) (정정: 20260617)</t>
        </is>
      </c>
      <c r="G214" s="5" t="n">
        <v>999998880</v>
      </c>
      <c r="H214" s="5" t="n">
        <v>1990</v>
      </c>
      <c r="I214" s="2" t="inlineStr">
        <is>
          <t>보통주식</t>
        </is>
      </c>
      <c r="J214" s="6" t="n">
        <v>502512</v>
      </c>
      <c r="K214" s="2" t="inlineStr">
        <is>
          <t>2026-06-25</t>
        </is>
      </c>
      <c r="L214" s="2" t="inlineStr">
        <is>
          <t>2026-07-15</t>
        </is>
      </c>
      <c r="M214" s="2" t="inlineStr">
        <is>
          <t>-</t>
        </is>
      </c>
      <c r="N214" s="2" t="inlineStr">
        <is>
          <t>-</t>
        </is>
      </c>
      <c r="O214" s="10" t="n">
        <v>7.845124547159782</v>
      </c>
      <c r="P214" s="7" t="inlineStr">
        <is>
          <t>운영자금 (10.0억원)</t>
        </is>
      </c>
      <c r="Q214" s="2" t="inlineStr">
        <is>
          <t>-</t>
        </is>
      </c>
      <c r="R214" s="2" t="inlineStr">
        <is>
          <t>-</t>
        </is>
      </c>
      <c r="S214" s="2" t="inlineStr">
        <is>
          <t>20260617000241</t>
        </is>
      </c>
      <c r="T214" s="8">
        <f>HYPERLINK("https://dart.fss.or.kr/dsaf001/main.do?rcpNo=20260617000241", "공시열람")</f>
        <v/>
      </c>
    </row>
    <row r="215" ht="36" customHeight="1">
      <c r="A215" s="2" t="inlineStr">
        <is>
          <t>2026-05-22</t>
        </is>
      </c>
      <c r="B215" s="3" t="inlineStr">
        <is>
          <t>금호전기</t>
        </is>
      </c>
      <c r="C215" s="2" t="inlineStr">
        <is>
          <t>코스피</t>
        </is>
      </c>
      <c r="D215" s="2" t="inlineStr">
        <is>
          <t>001210</t>
        </is>
      </c>
      <c r="E215" s="11" t="inlineStr">
        <is>
          <t>전환사채(CB)</t>
        </is>
      </c>
      <c r="F215" s="3" t="inlineStr">
        <is>
          <t>[기재정정]주요사항보고서(전환사채권발행결정)</t>
        </is>
      </c>
      <c r="G215" s="5" t="inlineStr"/>
      <c r="H215" s="5" t="n">
        <v>217601600000</v>
      </c>
      <c r="I215" s="2" t="inlineStr">
        <is>
          <t>-</t>
        </is>
      </c>
      <c r="J215" s="6" t="inlineStr"/>
      <c r="K215" s="2" t="inlineStr">
        <is>
          <t>-</t>
        </is>
      </c>
      <c r="L215" s="2" t="inlineStr">
        <is>
          <t>-</t>
        </is>
      </c>
      <c r="M215" s="2" t="inlineStr">
        <is>
          <t>2027-06-30</t>
        </is>
      </c>
      <c r="N215" s="2" t="inlineStr">
        <is>
          <t>2029-05-30</t>
        </is>
      </c>
      <c r="O215" s="3" t="inlineStr"/>
      <c r="P215" s="7" t="inlineStr">
        <is>
          <t>-</t>
        </is>
      </c>
      <c r="Q215" s="2" t="inlineStr">
        <is>
          <t>2027-07-01</t>
        </is>
      </c>
      <c r="R215" s="2" t="inlineStr">
        <is>
          <t>2024-08-14</t>
        </is>
      </c>
      <c r="S215" s="2" t="inlineStr">
        <is>
          <t>20260522000495</t>
        </is>
      </c>
      <c r="T215" s="8">
        <f>HYPERLINK("https://dart.fss.or.kr/dsaf001/main.do?rcpNo=20260522000495", "공시열람")</f>
        <v/>
      </c>
    </row>
    <row r="216" ht="36" customHeight="1">
      <c r="A216" s="2" t="inlineStr">
        <is>
          <t>2026-05-22</t>
        </is>
      </c>
      <c r="B216" s="3" t="inlineStr">
        <is>
          <t>금호전기</t>
        </is>
      </c>
      <c r="C216" s="2" t="inlineStr">
        <is>
          <t>코스피</t>
        </is>
      </c>
      <c r="D216" s="2" t="inlineStr">
        <is>
          <t>001210</t>
        </is>
      </c>
      <c r="E216" s="9" t="inlineStr">
        <is>
          <t>유상증자</t>
        </is>
      </c>
      <c r="F216" s="3" t="inlineStr">
        <is>
          <t>[기재정정]주요사항보고서(유상증자결정)</t>
        </is>
      </c>
      <c r="G216" s="5" t="n">
        <v>5000</v>
      </c>
      <c r="H216" s="5" t="n">
        <v>3285</v>
      </c>
      <c r="I216" s="2" t="inlineStr">
        <is>
          <t>보통주식</t>
        </is>
      </c>
      <c r="J216" s="6" t="n">
        <v>3044140</v>
      </c>
      <c r="K216" s="2" t="inlineStr">
        <is>
          <t>2026-06-30</t>
        </is>
      </c>
      <c r="L216" s="2" t="inlineStr">
        <is>
          <t>2026-07-31</t>
        </is>
      </c>
      <c r="M216" s="2" t="inlineStr">
        <is>
          <t>-</t>
        </is>
      </c>
      <c r="N216" s="2" t="inlineStr">
        <is>
          <t>-</t>
        </is>
      </c>
      <c r="O216" s="10" t="n">
        <v>24.59709166503986</v>
      </c>
      <c r="P216" s="7" t="inlineStr">
        <is>
          <t>운영자금 (5,000원)</t>
        </is>
      </c>
      <c r="Q216" s="2" t="inlineStr">
        <is>
          <t>-</t>
        </is>
      </c>
      <c r="R216" s="2" t="inlineStr">
        <is>
          <t>-</t>
        </is>
      </c>
      <c r="S216" s="2" t="inlineStr">
        <is>
          <t>20260522000491</t>
        </is>
      </c>
      <c r="T216" s="8">
        <f>HYPERLINK("https://dart.fss.or.kr/dsaf001/main.do?rcpNo=20260522000491", "공시열람")</f>
        <v/>
      </c>
    </row>
    <row r="217" ht="36" customHeight="1">
      <c r="A217" s="2" t="inlineStr">
        <is>
          <t>2026-04-30 (정정: 2026-05-22)</t>
        </is>
      </c>
      <c r="B217" s="3" t="inlineStr">
        <is>
          <t>지구홀딩스</t>
        </is>
      </c>
      <c r="C217" s="2" t="inlineStr">
        <is>
          <t>코스닥</t>
        </is>
      </c>
      <c r="D217" s="2" t="inlineStr">
        <is>
          <t>221800</t>
        </is>
      </c>
      <c r="E217" s="9" t="inlineStr">
        <is>
          <t>유상증자</t>
        </is>
      </c>
      <c r="F217" s="3" t="inlineStr">
        <is>
          <t>[기재정정]주요사항보고서(유상증자결정)</t>
        </is>
      </c>
      <c r="G217" s="5" t="n">
        <v>1615336277</v>
      </c>
      <c r="H217" s="5" t="n">
        <v>18701</v>
      </c>
      <c r="I217" s="2" t="inlineStr">
        <is>
          <t>보통주식</t>
        </is>
      </c>
      <c r="J217" s="6" t="n">
        <v>86377</v>
      </c>
      <c r="K217" s="2" t="inlineStr">
        <is>
          <t>2026-05-08</t>
        </is>
      </c>
      <c r="L217" s="2" t="inlineStr">
        <is>
          <t>2026-05-28</t>
        </is>
      </c>
      <c r="M217" s="2" t="inlineStr">
        <is>
          <t>-</t>
        </is>
      </c>
      <c r="N217" s="2" t="inlineStr">
        <is>
          <t>-</t>
        </is>
      </c>
      <c r="O217" s="10" t="n">
        <v>0.5321246779757663</v>
      </c>
      <c r="P217" s="7" t="inlineStr">
        <is>
          <t>타법인증권취득자금 (16.2억원)</t>
        </is>
      </c>
      <c r="Q217" s="2" t="inlineStr">
        <is>
          <t>-</t>
        </is>
      </c>
      <c r="R217" s="2" t="inlineStr">
        <is>
          <t>-</t>
        </is>
      </c>
      <c r="S217" s="2" t="inlineStr">
        <is>
          <t>20260522000488</t>
        </is>
      </c>
      <c r="T217" s="8">
        <f>HYPERLINK("https://dart.fss.or.kr/dsaf001/main.do?rcpNo=20260522000488", "공시열람")</f>
        <v/>
      </c>
    </row>
    <row r="218" ht="36" customHeight="1">
      <c r="A218" s="2" t="inlineStr">
        <is>
          <t>2026-05-22 (정정: 2026-06-12)</t>
        </is>
      </c>
      <c r="B218" s="3" t="inlineStr">
        <is>
          <t>썸에이지</t>
        </is>
      </c>
      <c r="C218" s="2" t="inlineStr">
        <is>
          <t>코스닥</t>
        </is>
      </c>
      <c r="D218" s="2" t="inlineStr">
        <is>
          <t>208640</t>
        </is>
      </c>
      <c r="E218" s="9" t="inlineStr">
        <is>
          <t>유상증자</t>
        </is>
      </c>
      <c r="F218" s="3" t="inlineStr">
        <is>
          <t>[기재정정]주요사항보고서(유상증자결정) (정정: 20260612)</t>
        </is>
      </c>
      <c r="G218" s="5" t="n">
        <v>12534200000</v>
      </c>
      <c r="H218" s="5" t="inlineStr"/>
      <c r="I218" s="2" t="inlineStr">
        <is>
          <t>보통주식</t>
        </is>
      </c>
      <c r="J218" s="6" t="n">
        <v>9800000</v>
      </c>
      <c r="K218" s="2" t="inlineStr">
        <is>
          <t>2026-08-14</t>
        </is>
      </c>
      <c r="L218" s="2" t="inlineStr">
        <is>
          <t>2026-08-27</t>
        </is>
      </c>
      <c r="M218" s="2" t="inlineStr">
        <is>
          <t>-</t>
        </is>
      </c>
      <c r="N218" s="2" t="inlineStr">
        <is>
          <t>-</t>
        </is>
      </c>
      <c r="O218" s="10" t="n">
        <v>70.38194774858563</v>
      </c>
      <c r="P218" s="7" t="inlineStr">
        <is>
          <t>운영자금 (125.3억원)</t>
        </is>
      </c>
      <c r="Q218" s="2" t="inlineStr">
        <is>
          <t>-</t>
        </is>
      </c>
      <c r="R218" s="2" t="inlineStr">
        <is>
          <t>-</t>
        </is>
      </c>
      <c r="S218" s="2" t="inlineStr">
        <is>
          <t>20260612000357</t>
        </is>
      </c>
      <c r="T218" s="8">
        <f>HYPERLINK("https://dart.fss.or.kr/dsaf001/main.do?rcpNo=20260612000357", "공시열람")</f>
        <v/>
      </c>
    </row>
    <row r="219" ht="36" customHeight="1">
      <c r="A219" s="2" t="inlineStr">
        <is>
          <t>2021-06-03 (정정: 2026-05-22)</t>
        </is>
      </c>
      <c r="B219" s="3" t="inlineStr">
        <is>
          <t>배럴</t>
        </is>
      </c>
      <c r="C219" s="2" t="inlineStr">
        <is>
          <t>코스닥</t>
        </is>
      </c>
      <c r="D219" s="2" t="inlineStr">
        <is>
          <t>267790</t>
        </is>
      </c>
      <c r="E219" s="11" t="inlineStr">
        <is>
          <t>전환사채(CB)</t>
        </is>
      </c>
      <c r="F219" s="3" t="inlineStr">
        <is>
          <t>[기재정정]주요사항보고서(전환사채권발행결정)</t>
        </is>
      </c>
      <c r="G219" s="5" t="inlineStr"/>
      <c r="H219" s="5" t="inlineStr"/>
      <c r="I219" s="2" t="inlineStr">
        <is>
          <t>-</t>
        </is>
      </c>
      <c r="J219" s="6" t="inlineStr"/>
      <c r="K219" s="2" t="inlineStr">
        <is>
          <t>-</t>
        </is>
      </c>
      <c r="L219" s="2" t="inlineStr">
        <is>
          <t>-</t>
        </is>
      </c>
      <c r="M219" s="2" t="inlineStr">
        <is>
          <t>2022-06-07</t>
        </is>
      </c>
      <c r="N219" s="2" t="inlineStr">
        <is>
          <t>2027-05-07</t>
        </is>
      </c>
      <c r="O219" s="3" t="inlineStr"/>
      <c r="P219" s="7" t="inlineStr">
        <is>
          <t>-</t>
        </is>
      </c>
      <c r="Q219" s="2" t="inlineStr">
        <is>
          <t>2024-06-07</t>
        </is>
      </c>
      <c r="R219" s="2" t="inlineStr">
        <is>
          <t>2023-10-10</t>
        </is>
      </c>
      <c r="S219" s="2" t="inlineStr">
        <is>
          <t>20260522000373</t>
        </is>
      </c>
      <c r="T219" s="8">
        <f>HYPERLINK("https://dart.fss.or.kr/dsaf001/main.do?rcpNo=20260522000373", "공시열람")</f>
        <v/>
      </c>
    </row>
    <row r="220" ht="36" customHeight="1">
      <c r="A220" s="2" t="inlineStr">
        <is>
          <t>2026-05-22</t>
        </is>
      </c>
      <c r="B220" s="3" t="inlineStr">
        <is>
          <t>지아이에스</t>
        </is>
      </c>
      <c r="C220" s="2" t="inlineStr">
        <is>
          <t>코스닥</t>
        </is>
      </c>
      <c r="D220" s="2" t="inlineStr">
        <is>
          <t>306620</t>
        </is>
      </c>
      <c r="E220" s="11" t="inlineStr">
        <is>
          <t>전환사채(CB)</t>
        </is>
      </c>
      <c r="F220" s="3" t="inlineStr">
        <is>
          <t>[첨부정정]주요사항보고서(전환사채권발행결정)</t>
        </is>
      </c>
      <c r="G220" s="5" t="inlineStr"/>
      <c r="H220" s="5" t="inlineStr"/>
      <c r="I220" s="2" t="inlineStr">
        <is>
          <t>-</t>
        </is>
      </c>
      <c r="J220" s="6" t="inlineStr"/>
      <c r="K220" s="2" t="inlineStr">
        <is>
          <t>-</t>
        </is>
      </c>
      <c r="L220" s="2" t="inlineStr">
        <is>
          <t>-</t>
        </is>
      </c>
      <c r="M220" s="2" t="inlineStr">
        <is>
          <t>-</t>
        </is>
      </c>
      <c r="N220" s="2" t="inlineStr">
        <is>
          <t>-</t>
        </is>
      </c>
      <c r="O220" s="3" t="inlineStr"/>
      <c r="P220" s="7" t="inlineStr">
        <is>
          <t>-</t>
        </is>
      </c>
      <c r="Q220" s="2" t="inlineStr">
        <is>
          <t>-</t>
        </is>
      </c>
      <c r="R220" s="2" t="inlineStr">
        <is>
          <t>-</t>
        </is>
      </c>
      <c r="S220" s="2" t="inlineStr">
        <is>
          <t>20260522000310</t>
        </is>
      </c>
      <c r="T220" s="8">
        <f>HYPERLINK("https://dart.fss.or.kr/dsaf001/main.do?rcpNo=20260522000310", "공시열람")</f>
        <v/>
      </c>
    </row>
    <row r="221" ht="36" customHeight="1">
      <c r="A221" s="2" t="inlineStr">
        <is>
          <t>2026-05-22</t>
        </is>
      </c>
      <c r="B221" s="3" t="inlineStr">
        <is>
          <t>손오공</t>
        </is>
      </c>
      <c r="C221" s="2" t="inlineStr">
        <is>
          <t>코스닥</t>
        </is>
      </c>
      <c r="D221" s="2" t="inlineStr">
        <is>
          <t>066910</t>
        </is>
      </c>
      <c r="E221" s="9" t="inlineStr">
        <is>
          <t>유상증자</t>
        </is>
      </c>
      <c r="F221" s="3" t="inlineStr">
        <is>
          <t>주요사항보고서(유상증자결정)</t>
        </is>
      </c>
      <c r="G221" s="5" t="n">
        <v>5999997725</v>
      </c>
      <c r="H221" s="5" t="n">
        <v>3035</v>
      </c>
      <c r="I221" s="2" t="inlineStr">
        <is>
          <t>보통주식</t>
        </is>
      </c>
      <c r="J221" s="6" t="n">
        <v>1976935</v>
      </c>
      <c r="K221" s="2" t="inlineStr">
        <is>
          <t>2026.07.22</t>
        </is>
      </c>
      <c r="L221" s="2" t="inlineStr">
        <is>
          <t>2026.08.10</t>
        </is>
      </c>
      <c r="M221" s="2" t="inlineStr">
        <is>
          <t>-</t>
        </is>
      </c>
      <c r="N221" s="2" t="inlineStr">
        <is>
          <t>-</t>
        </is>
      </c>
      <c r="O221" s="10" t="n">
        <v>14.76797898082206</v>
      </c>
      <c r="P221" s="7" t="inlineStr">
        <is>
          <t>채무상환자금 (60.0억원)</t>
        </is>
      </c>
      <c r="Q221" s="2" t="inlineStr">
        <is>
          <t>-</t>
        </is>
      </c>
      <c r="R221" s="2" t="inlineStr">
        <is>
          <t>-</t>
        </is>
      </c>
      <c r="S221" s="2" t="inlineStr">
        <is>
          <t>20260522000194</t>
        </is>
      </c>
      <c r="T221" s="8">
        <f>HYPERLINK("https://dart.fss.or.kr/dsaf001/main.do?rcpNo=20260522000194", "공시열람")</f>
        <v/>
      </c>
    </row>
    <row r="222" ht="36" customHeight="1">
      <c r="A222" s="2" t="inlineStr">
        <is>
          <t>2026-05-12 (정정: 2026-05-22)</t>
        </is>
      </c>
      <c r="B222" s="3" t="inlineStr">
        <is>
          <t>코미코</t>
        </is>
      </c>
      <c r="C222" s="2" t="inlineStr">
        <is>
          <t>코스닥</t>
        </is>
      </c>
      <c r="D222" s="2" t="inlineStr">
        <is>
          <t>183300</t>
        </is>
      </c>
      <c r="E222" s="2" t="inlineStr">
        <is>
          <t>무상증자</t>
        </is>
      </c>
      <c r="F222" s="3" t="inlineStr">
        <is>
          <t>[기재정정]주요사항보고서(무상증자결정)</t>
        </is>
      </c>
      <c r="G222" s="5" t="inlineStr"/>
      <c r="H222" s="5" t="inlineStr"/>
      <c r="I222" s="2" t="inlineStr">
        <is>
          <t>-</t>
        </is>
      </c>
      <c r="J222" s="6" t="inlineStr"/>
      <c r="K222" s="2" t="inlineStr">
        <is>
          <t>-</t>
        </is>
      </c>
      <c r="L222" s="2" t="inlineStr">
        <is>
          <t>-</t>
        </is>
      </c>
      <c r="M222" s="2" t="inlineStr">
        <is>
          <t>-</t>
        </is>
      </c>
      <c r="N222" s="2" t="inlineStr">
        <is>
          <t>-</t>
        </is>
      </c>
      <c r="O222" s="3" t="inlineStr"/>
      <c r="P222" s="7" t="inlineStr">
        <is>
          <t>-</t>
        </is>
      </c>
      <c r="Q222" s="2" t="inlineStr">
        <is>
          <t>-</t>
        </is>
      </c>
      <c r="R222" s="2" t="inlineStr">
        <is>
          <t>-</t>
        </is>
      </c>
      <c r="S222" s="2" t="inlineStr">
        <is>
          <t>20260522000156</t>
        </is>
      </c>
      <c r="T222" s="8">
        <f>HYPERLINK("https://dart.fss.or.kr/dsaf001/main.do?rcpNo=20260522000156", "공시열람")</f>
        <v/>
      </c>
    </row>
    <row r="223" ht="36" customHeight="1">
      <c r="A223" s="2" t="inlineStr">
        <is>
          <t>2026-05-22</t>
        </is>
      </c>
      <c r="B223" s="3" t="inlineStr">
        <is>
          <t>이엔플러스</t>
        </is>
      </c>
      <c r="C223" s="2" t="inlineStr">
        <is>
          <t>코스피</t>
        </is>
      </c>
      <c r="D223" s="2" t="inlineStr">
        <is>
          <t>074610</t>
        </is>
      </c>
      <c r="E223" s="11" t="inlineStr">
        <is>
          <t>전환사채(CB)</t>
        </is>
      </c>
      <c r="F223" s="3" t="inlineStr">
        <is>
          <t>주요사항보고서(전환사채권발행결정)</t>
        </is>
      </c>
      <c r="G223" s="5" t="n">
        <v>1800000000</v>
      </c>
      <c r="H223" s="5" t="n">
        <v>3875</v>
      </c>
      <c r="I223" s="2" t="inlineStr">
        <is>
          <t>주식회사 이엔플러스 기명식 보통주</t>
        </is>
      </c>
      <c r="J223" s="6" t="n">
        <v>464517</v>
      </c>
      <c r="K223" s="2" t="inlineStr">
        <is>
          <t>2026년 06월 26일</t>
        </is>
      </c>
      <c r="L223" s="2" t="inlineStr">
        <is>
          <t>-</t>
        </is>
      </c>
      <c r="M223" s="2" t="inlineStr">
        <is>
          <t>2027-05-28</t>
        </is>
      </c>
      <c r="N223" s="2" t="inlineStr">
        <is>
          <t>2029-04-27</t>
        </is>
      </c>
      <c r="O223" s="10" t="n">
        <v>5.3</v>
      </c>
      <c r="P223" s="7" t="inlineStr">
        <is>
          <t>-</t>
        </is>
      </c>
      <c r="Q223" s="2" t="inlineStr">
        <is>
          <t>2027-05-28</t>
        </is>
      </c>
      <c r="R223" s="2" t="inlineStr">
        <is>
          <t>2027-05-28</t>
        </is>
      </c>
      <c r="S223" s="2" t="inlineStr">
        <is>
          <t>20260521000803</t>
        </is>
      </c>
      <c r="T223" s="8">
        <f>HYPERLINK("https://dart.fss.or.kr/dsaf001/main.do?rcpNo=20260521000803", "공시열람")</f>
        <v/>
      </c>
    </row>
    <row r="224" ht="36" customHeight="1">
      <c r="A224" s="2" t="inlineStr">
        <is>
          <t>2026-05-26 (정정: 2026-06-23)</t>
        </is>
      </c>
      <c r="B224" s="3" t="inlineStr">
        <is>
          <t>에이프로젠</t>
        </is>
      </c>
      <c r="C224" s="2" t="inlineStr">
        <is>
          <t>코스피</t>
        </is>
      </c>
      <c r="D224" s="2" t="inlineStr">
        <is>
          <t>007460</t>
        </is>
      </c>
      <c r="E224" s="11" t="inlineStr">
        <is>
          <t>전환사채(CB)</t>
        </is>
      </c>
      <c r="F224" s="3" t="inlineStr">
        <is>
          <t>주요사항보고서(전환사채권발행결정)(자회사의 주요경영사항)               (정정: 20260602) (정정: 20260619) (정정: 20260623)</t>
        </is>
      </c>
      <c r="G224" s="5" t="inlineStr"/>
      <c r="H224" s="5" t="inlineStr"/>
      <c r="I224" s="2" t="inlineStr">
        <is>
          <t>-</t>
        </is>
      </c>
      <c r="J224" s="6" t="inlineStr"/>
      <c r="K224" s="2" t="inlineStr">
        <is>
          <t>-</t>
        </is>
      </c>
      <c r="L224" s="2" t="inlineStr">
        <is>
          <t>-</t>
        </is>
      </c>
      <c r="M224" s="2" t="inlineStr">
        <is>
          <t>2027-07-01</t>
        </is>
      </c>
      <c r="N224" s="2" t="inlineStr">
        <is>
          <t>2029-06-01</t>
        </is>
      </c>
      <c r="O224" s="3" t="inlineStr"/>
      <c r="P224" s="7" t="inlineStr">
        <is>
          <t>-</t>
        </is>
      </c>
      <c r="Q224" s="2" t="inlineStr">
        <is>
          <t>-</t>
        </is>
      </c>
      <c r="R224" s="2" t="inlineStr">
        <is>
          <t>2027-11-07</t>
        </is>
      </c>
      <c r="S224" s="2" t="inlineStr">
        <is>
          <t>20260623800827</t>
        </is>
      </c>
      <c r="T224" s="8">
        <f>HYPERLINK("https://dart.fss.or.kr/dsaf001/main.do?rcpNo=20260623800827", "공시열람")</f>
        <v/>
      </c>
    </row>
    <row r="225" ht="36" customHeight="1">
      <c r="A225" s="2" t="inlineStr">
        <is>
          <t>2026-05-26 (정정: 2026-06-24)</t>
        </is>
      </c>
      <c r="B225" s="3" t="inlineStr">
        <is>
          <t>에이프로젠바이오로직스</t>
        </is>
      </c>
      <c r="C225" s="2" t="inlineStr">
        <is>
          <t>코스피</t>
        </is>
      </c>
      <c r="D225" s="2" t="inlineStr">
        <is>
          <t>003060</t>
        </is>
      </c>
      <c r="E225" s="11" t="inlineStr">
        <is>
          <t>전환사채(CB)</t>
        </is>
      </c>
      <c r="F225" s="3" t="inlineStr">
        <is>
          <t>주요사항보고서(전환사채권발행결정) (정정: 20260602) (정정: 20260619) (정정: 20260624)</t>
        </is>
      </c>
      <c r="G225" s="5" t="inlineStr"/>
      <c r="H225" s="5" t="inlineStr"/>
      <c r="I225" s="2" t="inlineStr">
        <is>
          <t>-</t>
        </is>
      </c>
      <c r="J225" s="6" t="inlineStr"/>
      <c r="K225" s="2" t="inlineStr">
        <is>
          <t>-</t>
        </is>
      </c>
      <c r="L225" s="2" t="inlineStr">
        <is>
          <t>-</t>
        </is>
      </c>
      <c r="M225" s="2" t="inlineStr">
        <is>
          <t>2027-07-01</t>
        </is>
      </c>
      <c r="N225" s="2" t="inlineStr">
        <is>
          <t>2029-06-01</t>
        </is>
      </c>
      <c r="O225" s="3" t="inlineStr"/>
      <c r="P225" s="7" t="inlineStr">
        <is>
          <t>-</t>
        </is>
      </c>
      <c r="Q225" s="2" t="inlineStr">
        <is>
          <t>-</t>
        </is>
      </c>
      <c r="R225" s="2" t="inlineStr">
        <is>
          <t>2027-11-07</t>
        </is>
      </c>
      <c r="S225" s="2" t="inlineStr">
        <is>
          <t>20260623000426</t>
        </is>
      </c>
      <c r="T225" s="8">
        <f>HYPERLINK("https://dart.fss.or.kr/dsaf001/main.do?rcpNo=20260623000426", "공시열람")</f>
        <v/>
      </c>
    </row>
    <row r="226" ht="36" customHeight="1">
      <c r="A226" s="2" t="inlineStr">
        <is>
          <t>2026-05-26 (정정: 2026-05-28)</t>
        </is>
      </c>
      <c r="B226" s="3" t="inlineStr">
        <is>
          <t>휴림로봇</t>
        </is>
      </c>
      <c r="C226" s="2" t="inlineStr">
        <is>
          <t>코스닥</t>
        </is>
      </c>
      <c r="D226" s="2" t="inlineStr">
        <is>
          <t>090710</t>
        </is>
      </c>
      <c r="E226" s="9" t="inlineStr">
        <is>
          <t>유상증자</t>
        </is>
      </c>
      <c r="F226" s="3" t="inlineStr">
        <is>
          <t>주요사항보고서(유상증자결정) (정정: 20260528)</t>
        </is>
      </c>
      <c r="G226" s="5" t="n">
        <v>999990240</v>
      </c>
      <c r="H226" s="5" t="n">
        <v>9820</v>
      </c>
      <c r="I226" s="2" t="inlineStr">
        <is>
          <t>보통주식</t>
        </is>
      </c>
      <c r="J226" s="6" t="n">
        <v>200940</v>
      </c>
      <c r="K226" s="2" t="inlineStr">
        <is>
          <t>2026-06-05</t>
        </is>
      </c>
      <c r="L226" s="2" t="inlineStr">
        <is>
          <t>2026-06-18</t>
        </is>
      </c>
      <c r="M226" s="2" t="inlineStr">
        <is>
          <t>-</t>
        </is>
      </c>
      <c r="N226" s="2" t="inlineStr">
        <is>
          <t>-</t>
        </is>
      </c>
      <c r="O226" s="10" t="n">
        <v>0.1682108780771074</v>
      </c>
      <c r="P226" s="7" t="inlineStr">
        <is>
          <t>타법인증권취득자금 (10.0억원)</t>
        </is>
      </c>
      <c r="Q226" s="2" t="inlineStr">
        <is>
          <t>-</t>
        </is>
      </c>
      <c r="R226" s="2" t="inlineStr">
        <is>
          <t>-</t>
        </is>
      </c>
      <c r="S226" s="2" t="inlineStr">
        <is>
          <t>20260528000911</t>
        </is>
      </c>
      <c r="T226" s="8">
        <f>HYPERLINK("https://dart.fss.or.kr/dsaf001/main.do?rcpNo=20260528000911", "공시열람")</f>
        <v/>
      </c>
    </row>
    <row r="227" ht="36" customHeight="1">
      <c r="A227" s="2" t="inlineStr">
        <is>
          <t>2026-05-26 (정정: 2026-06-12)</t>
        </is>
      </c>
      <c r="B227" s="3" t="inlineStr">
        <is>
          <t>한화</t>
        </is>
      </c>
      <c r="C227" s="2" t="inlineStr">
        <is>
          <t>코스피</t>
        </is>
      </c>
      <c r="D227" s="2" t="inlineStr">
        <is>
          <t>000880</t>
        </is>
      </c>
      <c r="E227" s="9" t="inlineStr">
        <is>
          <t>유상증자</t>
        </is>
      </c>
      <c r="F227" s="3" t="inlineStr">
        <is>
          <t>[기재정정]유상증자결정(종속회사의주요경영사항)               (정정: 20260612)</t>
        </is>
      </c>
      <c r="G227" s="5" t="n">
        <v>1478700000000</v>
      </c>
      <c r="H227" s="5" t="inlineStr"/>
      <c r="I227" s="2" t="inlineStr">
        <is>
          <t>보통주식</t>
        </is>
      </c>
      <c r="J227" s="6" t="n">
        <v>53000000</v>
      </c>
      <c r="K227" s="2" t="inlineStr">
        <is>
          <t>2026-07-30</t>
        </is>
      </c>
      <c r="L227" s="2" t="inlineStr">
        <is>
          <t>-</t>
        </is>
      </c>
      <c r="M227" s="2" t="inlineStr">
        <is>
          <t>-</t>
        </is>
      </c>
      <c r="N227" s="2" t="inlineStr">
        <is>
          <t>-</t>
        </is>
      </c>
      <c r="O227" s="10" t="n">
        <v>30.83321779603042</v>
      </c>
      <c r="P227" s="7" t="inlineStr">
        <is>
          <t>채무상환자금 (5710.0억원), 시설자금 (9077.0억원)</t>
        </is>
      </c>
      <c r="Q227" s="2" t="inlineStr">
        <is>
          <t>-</t>
        </is>
      </c>
      <c r="R227" s="2" t="inlineStr">
        <is>
          <t>-</t>
        </is>
      </c>
      <c r="S227" s="2" t="inlineStr">
        <is>
          <t>20260612800541</t>
        </is>
      </c>
      <c r="T227" s="8">
        <f>HYPERLINK("https://dart.fss.or.kr/dsaf001/main.do?rcpNo=20260612800541", "공시열람")</f>
        <v/>
      </c>
    </row>
    <row r="228" ht="36" customHeight="1">
      <c r="A228" s="2" t="inlineStr">
        <is>
          <t>2026-05-26 (정정: 2026-06-12)</t>
        </is>
      </c>
      <c r="B228" s="3" t="inlineStr">
        <is>
          <t>한화솔루션</t>
        </is>
      </c>
      <c r="C228" s="2" t="inlineStr">
        <is>
          <t>코스피</t>
        </is>
      </c>
      <c r="D228" s="2" t="inlineStr">
        <is>
          <t>009830</t>
        </is>
      </c>
      <c r="E228" s="9" t="inlineStr">
        <is>
          <t>유상증자</t>
        </is>
      </c>
      <c r="F228" s="3" t="inlineStr">
        <is>
          <t>[기재정정]주요사항보고서(유상증자결정) (정정: 20260612)</t>
        </is>
      </c>
      <c r="G228" s="5" t="n">
        <v>1478700000000</v>
      </c>
      <c r="H228" s="5" t="inlineStr"/>
      <c r="I228" s="2" t="inlineStr">
        <is>
          <t>보통주식</t>
        </is>
      </c>
      <c r="J228" s="6" t="n">
        <v>53000000</v>
      </c>
      <c r="K228" s="2" t="inlineStr">
        <is>
          <t>2026-07-30</t>
        </is>
      </c>
      <c r="L228" s="2" t="inlineStr">
        <is>
          <t>2026-08-11</t>
        </is>
      </c>
      <c r="M228" s="2" t="inlineStr">
        <is>
          <t>-</t>
        </is>
      </c>
      <c r="N228" s="2" t="inlineStr">
        <is>
          <t>-</t>
        </is>
      </c>
      <c r="O228" s="10" t="n">
        <v>30.83321779603042</v>
      </c>
      <c r="P228" s="7" t="inlineStr">
        <is>
          <t>시설자금 (9077.0억원), 채무상환자금 (5710.0억원)</t>
        </is>
      </c>
      <c r="Q228" s="2" t="inlineStr">
        <is>
          <t>-</t>
        </is>
      </c>
      <c r="R228" s="2" t="inlineStr">
        <is>
          <t>-</t>
        </is>
      </c>
      <c r="S228" s="2" t="inlineStr">
        <is>
          <t>20260612000240</t>
        </is>
      </c>
      <c r="T228" s="8">
        <f>HYPERLINK("https://dart.fss.or.kr/dsaf001/main.do?rcpNo=20260612000240", "공시열람")</f>
        <v/>
      </c>
    </row>
    <row r="229" ht="36" customHeight="1">
      <c r="A229" s="2" t="inlineStr">
        <is>
          <t>2026-05-26</t>
        </is>
      </c>
      <c r="B229" s="3" t="inlineStr">
        <is>
          <t>디와이씨</t>
        </is>
      </c>
      <c r="C229" s="2" t="inlineStr">
        <is>
          <t>코스닥</t>
        </is>
      </c>
      <c r="D229" s="2" t="inlineStr">
        <is>
          <t>310870</t>
        </is>
      </c>
      <c r="E229" s="9" t="inlineStr">
        <is>
          <t>유상증자</t>
        </is>
      </c>
      <c r="F229" s="3" t="inlineStr">
        <is>
          <t>주요사항보고서(유상증자결정)</t>
        </is>
      </c>
      <c r="G229" s="5" t="n">
        <v>2000000889</v>
      </c>
      <c r="H229" s="5" t="n">
        <v>1619</v>
      </c>
      <c r="I229" s="2" t="inlineStr">
        <is>
          <t>보통주식</t>
        </is>
      </c>
      <c r="J229" s="6" t="n">
        <v>1235331</v>
      </c>
      <c r="K229" s="2" t="inlineStr">
        <is>
          <t>2026-06-04</t>
        </is>
      </c>
      <c r="L229" s="2" t="inlineStr">
        <is>
          <t>2026-06-22</t>
        </is>
      </c>
      <c r="M229" s="2" t="inlineStr">
        <is>
          <t>-</t>
        </is>
      </c>
      <c r="N229" s="2" t="inlineStr">
        <is>
          <t>-</t>
        </is>
      </c>
      <c r="O229" s="10" t="n">
        <v>5.971454620573201</v>
      </c>
      <c r="P229" s="7" t="inlineStr">
        <is>
          <t>타법인증권취득자금 (20.0억원)</t>
        </is>
      </c>
      <c r="Q229" s="2" t="inlineStr">
        <is>
          <t>-</t>
        </is>
      </c>
      <c r="R229" s="2" t="inlineStr">
        <is>
          <t>-</t>
        </is>
      </c>
      <c r="S229" s="2" t="inlineStr">
        <is>
          <t>20260526000136</t>
        </is>
      </c>
      <c r="T229" s="8">
        <f>HYPERLINK("https://dart.fss.or.kr/dsaf001/main.do?rcpNo=20260526000136", "공시열람")</f>
        <v/>
      </c>
    </row>
    <row r="230" ht="36" customHeight="1">
      <c r="A230" s="2" t="inlineStr">
        <is>
          <t>2026-05-26 (정정: 2026-05-28)</t>
        </is>
      </c>
      <c r="B230" s="3" t="inlineStr">
        <is>
          <t>파이온엑스</t>
        </is>
      </c>
      <c r="C230" s="2" t="inlineStr">
        <is>
          <t>코스닥</t>
        </is>
      </c>
      <c r="D230" s="2" t="inlineStr">
        <is>
          <t>900100</t>
        </is>
      </c>
      <c r="E230" s="11" t="inlineStr">
        <is>
          <t>전환사채(CB)</t>
        </is>
      </c>
      <c r="F230" s="3" t="inlineStr">
        <is>
          <t>[첨부정정]주요사항보고서(전환사채권발행결정) (정정: 20260528)</t>
        </is>
      </c>
      <c r="G230" s="5" t="inlineStr"/>
      <c r="H230" s="5" t="inlineStr"/>
      <c r="I230" s="2" t="inlineStr">
        <is>
          <t>-</t>
        </is>
      </c>
      <c r="J230" s="6" t="inlineStr"/>
      <c r="K230" s="2" t="inlineStr">
        <is>
          <t>-</t>
        </is>
      </c>
      <c r="L230" s="2" t="inlineStr">
        <is>
          <t>-</t>
        </is>
      </c>
      <c r="M230" s="2" t="inlineStr">
        <is>
          <t>2027-06-18</t>
        </is>
      </c>
      <c r="N230" s="2" t="inlineStr">
        <is>
          <t>2029-05-18</t>
        </is>
      </c>
      <c r="O230" s="3" t="inlineStr"/>
      <c r="P230" s="7" t="inlineStr">
        <is>
          <t>-</t>
        </is>
      </c>
      <c r="Q230" s="2" t="inlineStr">
        <is>
          <t>2026-04-15</t>
        </is>
      </c>
      <c r="R230" s="2" t="inlineStr">
        <is>
          <t>2026-04-15</t>
        </is>
      </c>
      <c r="S230" s="2" t="inlineStr">
        <is>
          <t>20260528000664</t>
        </is>
      </c>
      <c r="T230" s="8">
        <f>HYPERLINK("https://dart.fss.or.kr/dsaf001/main.do?rcpNo=20260528000664", "공시열람")</f>
        <v/>
      </c>
    </row>
    <row r="231" ht="36" customHeight="1">
      <c r="A231" s="2" t="inlineStr">
        <is>
          <t>2026-05-26</t>
        </is>
      </c>
      <c r="B231" s="3" t="inlineStr">
        <is>
          <t>CS</t>
        </is>
      </c>
      <c r="C231" s="2" t="inlineStr">
        <is>
          <t>코스닥</t>
        </is>
      </c>
      <c r="D231" s="2" t="inlineStr">
        <is>
          <t>065770</t>
        </is>
      </c>
      <c r="E231" s="11" t="inlineStr">
        <is>
          <t>전환사채(CB)</t>
        </is>
      </c>
      <c r="F231" s="3" t="inlineStr">
        <is>
          <t>[첨부정정]주요사항보고서(전환사채권발행결정)</t>
        </is>
      </c>
      <c r="G231" s="5" t="inlineStr"/>
      <c r="H231" s="5" t="inlineStr"/>
      <c r="I231" s="2" t="inlineStr">
        <is>
          <t>-</t>
        </is>
      </c>
      <c r="J231" s="6" t="inlineStr"/>
      <c r="K231" s="2" t="inlineStr">
        <is>
          <t>-</t>
        </is>
      </c>
      <c r="L231" s="2" t="inlineStr">
        <is>
          <t>-</t>
        </is>
      </c>
      <c r="M231" s="2" t="inlineStr">
        <is>
          <t>-</t>
        </is>
      </c>
      <c r="N231" s="2" t="inlineStr">
        <is>
          <t>-</t>
        </is>
      </c>
      <c r="O231" s="3" t="inlineStr"/>
      <c r="P231" s="7" t="inlineStr">
        <is>
          <t>-</t>
        </is>
      </c>
      <c r="Q231" s="2" t="inlineStr">
        <is>
          <t>-</t>
        </is>
      </c>
      <c r="R231" s="2" t="inlineStr">
        <is>
          <t>-</t>
        </is>
      </c>
      <c r="S231" s="2" t="inlineStr">
        <is>
          <t>20260522000665</t>
        </is>
      </c>
      <c r="T231" s="8">
        <f>HYPERLINK("https://dart.fss.or.kr/dsaf001/main.do?rcpNo=20260522000665", "공시열람")</f>
        <v/>
      </c>
    </row>
    <row r="232" ht="36" customHeight="1">
      <c r="A232" s="2" t="inlineStr">
        <is>
          <t>2026-03-24 (정정: 2026-05-27)</t>
        </is>
      </c>
      <c r="B232" s="3" t="inlineStr">
        <is>
          <t>다이나믹솔루션</t>
        </is>
      </c>
      <c r="C232" s="2" t="inlineStr">
        <is>
          <t>코스닥</t>
        </is>
      </c>
      <c r="D232" s="2" t="inlineStr">
        <is>
          <t>290660</t>
        </is>
      </c>
      <c r="E232" s="11" t="inlineStr">
        <is>
          <t>전환사채(CB)</t>
        </is>
      </c>
      <c r="F232" s="3" t="inlineStr">
        <is>
          <t>[기재정정]주요사항보고서(전환사채권발행결정)</t>
        </is>
      </c>
      <c r="G232" s="5" t="inlineStr"/>
      <c r="H232" s="5" t="inlineStr"/>
      <c r="I232" s="2" t="inlineStr">
        <is>
          <t>-</t>
        </is>
      </c>
      <c r="J232" s="6" t="inlineStr"/>
      <c r="K232" s="2" t="inlineStr">
        <is>
          <t>-</t>
        </is>
      </c>
      <c r="L232" s="2" t="inlineStr">
        <is>
          <t>-</t>
        </is>
      </c>
      <c r="M232" s="2" t="inlineStr">
        <is>
          <t>2027-06-05</t>
        </is>
      </c>
      <c r="N232" s="2" t="inlineStr">
        <is>
          <t>2029-05-05</t>
        </is>
      </c>
      <c r="O232" s="3" t="inlineStr"/>
      <c r="P232" s="7" t="inlineStr">
        <is>
          <t>-</t>
        </is>
      </c>
      <c r="Q232" s="2" t="inlineStr">
        <is>
          <t>2026-11-27</t>
        </is>
      </c>
      <c r="R232" s="2" t="inlineStr">
        <is>
          <t>2026-11-27</t>
        </is>
      </c>
      <c r="S232" s="2" t="inlineStr">
        <is>
          <t>20260527000608</t>
        </is>
      </c>
      <c r="T232" s="8">
        <f>HYPERLINK("https://dart.fss.or.kr/dsaf001/main.do?rcpNo=20260527000608", "공시열람")</f>
        <v/>
      </c>
    </row>
    <row r="233" ht="36" customHeight="1">
      <c r="A233" s="2" t="inlineStr">
        <is>
          <t>2026-05-27 (정정: 2026-06-08)</t>
        </is>
      </c>
      <c r="B233" s="3" t="inlineStr">
        <is>
          <t>엣지파운드리</t>
        </is>
      </c>
      <c r="C233" s="2" t="inlineStr">
        <is>
          <t>코스닥</t>
        </is>
      </c>
      <c r="D233" s="2" t="inlineStr">
        <is>
          <t>105550</t>
        </is>
      </c>
      <c r="E233" s="11" t="inlineStr">
        <is>
          <t>전환사채(CB)</t>
        </is>
      </c>
      <c r="F233" s="3" t="inlineStr">
        <is>
          <t>주요사항보고서(전환사채권발행결정) (정정: 20260601) (정정: 20260608)</t>
        </is>
      </c>
      <c r="G233" s="5" t="inlineStr"/>
      <c r="H233" s="5" t="inlineStr"/>
      <c r="I233" s="2" t="inlineStr">
        <is>
          <t>-</t>
        </is>
      </c>
      <c r="J233" s="6" t="inlineStr"/>
      <c r="K233" s="2" t="inlineStr">
        <is>
          <t>-</t>
        </is>
      </c>
      <c r="L233" s="2" t="inlineStr">
        <is>
          <t>-</t>
        </is>
      </c>
      <c r="M233" s="2" t="inlineStr">
        <is>
          <t>2027-06-16</t>
        </is>
      </c>
      <c r="N233" s="2" t="inlineStr">
        <is>
          <t>2029-05-16</t>
        </is>
      </c>
      <c r="O233" s="3" t="inlineStr"/>
      <c r="P233" s="7" t="inlineStr">
        <is>
          <t>-</t>
        </is>
      </c>
      <c r="Q233" s="2" t="inlineStr">
        <is>
          <t>-</t>
        </is>
      </c>
      <c r="R233" s="2" t="inlineStr">
        <is>
          <t>2026-05-27</t>
        </is>
      </c>
      <c r="S233" s="2" t="inlineStr">
        <is>
          <t>20260608000379</t>
        </is>
      </c>
      <c r="T233" s="8">
        <f>HYPERLINK("https://dart.fss.or.kr/dsaf001/main.do?rcpNo=20260608000379", "공시열람")</f>
        <v/>
      </c>
    </row>
    <row r="234" ht="36" customHeight="1">
      <c r="A234" s="2" t="inlineStr">
        <is>
          <t>2026-05-27</t>
        </is>
      </c>
      <c r="B234" s="3" t="inlineStr">
        <is>
          <t>비트맥스</t>
        </is>
      </c>
      <c r="C234" s="2" t="inlineStr">
        <is>
          <t>코스닥</t>
        </is>
      </c>
      <c r="D234" s="2" t="inlineStr">
        <is>
          <t>377030</t>
        </is>
      </c>
      <c r="E234" s="11" t="inlineStr">
        <is>
          <t>전환사채(CB)</t>
        </is>
      </c>
      <c r="F234" s="3" t="inlineStr">
        <is>
          <t>주요사항보고서(전환사채권발행결정)</t>
        </is>
      </c>
      <c r="G234" s="5" t="n">
        <v>1500000000</v>
      </c>
      <c r="H234" s="5" t="n">
        <v>2636</v>
      </c>
      <c r="I234" s="2" t="inlineStr">
        <is>
          <t>비트맥스 주식회사 기명식 보통주식</t>
        </is>
      </c>
      <c r="J234" s="6" t="n">
        <v>569044</v>
      </c>
      <c r="K234" s="2" t="inlineStr">
        <is>
          <t>2026년 06월 04일</t>
        </is>
      </c>
      <c r="L234" s="2" t="inlineStr">
        <is>
          <t>-</t>
        </is>
      </c>
      <c r="M234" s="2" t="inlineStr">
        <is>
          <t>2027-06-04</t>
        </is>
      </c>
      <c r="N234" s="2" t="inlineStr">
        <is>
          <t>2029-05-04</t>
        </is>
      </c>
      <c r="O234" s="10" t="n">
        <v>5.05</v>
      </c>
      <c r="P234" s="7" t="inlineStr">
        <is>
          <t>-</t>
        </is>
      </c>
      <c r="Q234" s="2" t="inlineStr">
        <is>
          <t>-</t>
        </is>
      </c>
      <c r="R234" s="2" t="inlineStr">
        <is>
          <t>2027-05-05</t>
        </is>
      </c>
      <c r="S234" s="2" t="inlineStr">
        <is>
          <t>20260527000592</t>
        </is>
      </c>
      <c r="T234" s="8">
        <f>HYPERLINK("https://dart.fss.or.kr/dsaf001/main.do?rcpNo=20260527000592", "공시열람")</f>
        <v/>
      </c>
    </row>
    <row r="235" ht="36" customHeight="1">
      <c r="A235" s="2" t="inlineStr">
        <is>
          <t>2026-05-27</t>
        </is>
      </c>
      <c r="B235" s="3" t="inlineStr">
        <is>
          <t>플루토스</t>
        </is>
      </c>
      <c r="C235" s="2" t="inlineStr">
        <is>
          <t>코스닥</t>
        </is>
      </c>
      <c r="D235" s="2" t="inlineStr">
        <is>
          <t>019570</t>
        </is>
      </c>
      <c r="E235" s="11" t="inlineStr">
        <is>
          <t>전환사채(CB)</t>
        </is>
      </c>
      <c r="F235" s="3" t="inlineStr">
        <is>
          <t>[기재정정]주요사항보고서(전환사채권발행결정)</t>
        </is>
      </c>
      <c r="G235" s="5" t="inlineStr"/>
      <c r="H235" s="5" t="inlineStr"/>
      <c r="I235" s="2" t="inlineStr">
        <is>
          <t>-</t>
        </is>
      </c>
      <c r="J235" s="6" t="inlineStr"/>
      <c r="K235" s="2" t="inlineStr">
        <is>
          <t>-</t>
        </is>
      </c>
      <c r="L235" s="2" t="inlineStr">
        <is>
          <t>-</t>
        </is>
      </c>
      <c r="M235" s="2" t="inlineStr">
        <is>
          <t>2027-05-29</t>
        </is>
      </c>
      <c r="N235" s="2" t="inlineStr">
        <is>
          <t>2029-04-29</t>
        </is>
      </c>
      <c r="O235" s="3" t="inlineStr"/>
      <c r="P235" s="7" t="inlineStr">
        <is>
          <t>-</t>
        </is>
      </c>
      <c r="Q235" s="2" t="inlineStr">
        <is>
          <t>2025-04-19</t>
        </is>
      </c>
      <c r="R235" s="2" t="inlineStr">
        <is>
          <t>2027-03-30</t>
        </is>
      </c>
      <c r="S235" s="2" t="inlineStr">
        <is>
          <t>20260527000581</t>
        </is>
      </c>
      <c r="T235" s="8">
        <f>HYPERLINK("https://dart.fss.or.kr/dsaf001/main.do?rcpNo=20260527000581", "공시열람")</f>
        <v/>
      </c>
    </row>
    <row r="236" ht="36" customHeight="1">
      <c r="A236" s="2" t="inlineStr">
        <is>
          <t>2026-05-27 (정정: 2026-05-27)</t>
        </is>
      </c>
      <c r="B236" s="3" t="inlineStr">
        <is>
          <t>탑선</t>
        </is>
      </c>
      <c r="C236" s="2" t="inlineStr">
        <is>
          <t>코넥스</t>
        </is>
      </c>
      <c r="D236" s="2" t="inlineStr">
        <is>
          <t>180060</t>
        </is>
      </c>
      <c r="E236" s="9" t="inlineStr">
        <is>
          <t>유상증자</t>
        </is>
      </c>
      <c r="F236" s="3" t="inlineStr">
        <is>
          <t>[첨부정정]주요사항보고서(유상증자결정) (정정: 20260527)</t>
        </is>
      </c>
      <c r="G236" s="5" t="n">
        <v>20999999580</v>
      </c>
      <c r="H236" s="5" t="n">
        <v>11270</v>
      </c>
      <c r="I236" s="2" t="inlineStr">
        <is>
          <t>보통주식</t>
        </is>
      </c>
      <c r="J236" s="6" t="n">
        <v>1863354</v>
      </c>
      <c r="K236" s="2" t="inlineStr">
        <is>
          <t>2026-07-31</t>
        </is>
      </c>
      <c r="L236" s="2" t="inlineStr">
        <is>
          <t>2026-08-21</t>
        </is>
      </c>
      <c r="M236" s="2" t="inlineStr">
        <is>
          <t>-</t>
        </is>
      </c>
      <c r="N236" s="2" t="inlineStr">
        <is>
          <t>-</t>
        </is>
      </c>
      <c r="O236" s="10" t="n">
        <v>19.93389579815967</v>
      </c>
      <c r="P236" s="7" t="inlineStr">
        <is>
          <t>운영자금 (210.0억원)</t>
        </is>
      </c>
      <c r="Q236" s="2" t="inlineStr">
        <is>
          <t>-</t>
        </is>
      </c>
      <c r="R236" s="2" t="inlineStr">
        <is>
          <t>-</t>
        </is>
      </c>
      <c r="S236" s="2" t="inlineStr">
        <is>
          <t>20260527000589</t>
        </is>
      </c>
      <c r="T236" s="8">
        <f>HYPERLINK("https://dart.fss.or.kr/dsaf001/main.do?rcpNo=20260527000589", "공시열람")</f>
        <v/>
      </c>
    </row>
    <row r="237" ht="36" customHeight="1">
      <c r="A237" s="2" t="inlineStr">
        <is>
          <t>2026-05-27</t>
        </is>
      </c>
      <c r="B237" s="3" t="inlineStr">
        <is>
          <t>일지테크</t>
        </is>
      </c>
      <c r="C237" s="2" t="inlineStr">
        <is>
          <t>코스닥</t>
        </is>
      </c>
      <c r="D237" s="2" t="inlineStr">
        <is>
          <t>019540</t>
        </is>
      </c>
      <c r="E237" s="9" t="inlineStr">
        <is>
          <t>유상증자</t>
        </is>
      </c>
      <c r="F237" s="3" t="inlineStr">
        <is>
          <t xml:space="preserve">유상증자결정(종속회사의주요경영사항)              </t>
        </is>
      </c>
      <c r="G237" s="5" t="n">
        <v>31665900000</v>
      </c>
      <c r="H237" s="5" t="n">
        <v>45237000</v>
      </c>
      <c r="I237" s="2" t="inlineStr">
        <is>
          <t>보통주식</t>
        </is>
      </c>
      <c r="J237" s="6" t="n">
        <v>700</v>
      </c>
      <c r="K237" s="2" t="inlineStr">
        <is>
          <t>2026-05-27</t>
        </is>
      </c>
      <c r="L237" s="2" t="inlineStr">
        <is>
          <t>-</t>
        </is>
      </c>
      <c r="M237" s="2" t="inlineStr">
        <is>
          <t>-</t>
        </is>
      </c>
      <c r="N237" s="2" t="inlineStr">
        <is>
          <t>-</t>
        </is>
      </c>
      <c r="O237" s="10" t="n">
        <v>19.66292134831461</v>
      </c>
      <c r="P237" s="7" t="inlineStr">
        <is>
          <t>타법인증권취득자금 (316.7억원)</t>
        </is>
      </c>
      <c r="Q237" s="2" t="inlineStr">
        <is>
          <t>-</t>
        </is>
      </c>
      <c r="R237" s="2" t="inlineStr">
        <is>
          <t>-</t>
        </is>
      </c>
      <c r="S237" s="2" t="inlineStr">
        <is>
          <t>20260527900646</t>
        </is>
      </c>
      <c r="T237" s="8">
        <f>HYPERLINK("https://dart.fss.or.kr/dsaf001/main.do?rcpNo=20260527900646", "공시열람")</f>
        <v/>
      </c>
    </row>
    <row r="238" ht="36" customHeight="1">
      <c r="A238" s="2" t="inlineStr">
        <is>
          <t>2026-05-27 (정정: 2026-06-10)</t>
        </is>
      </c>
      <c r="B238" s="3" t="inlineStr">
        <is>
          <t>모아데이타</t>
        </is>
      </c>
      <c r="C238" s="2" t="inlineStr">
        <is>
          <t>코스닥</t>
        </is>
      </c>
      <c r="D238" s="2" t="inlineStr">
        <is>
          <t>288980</t>
        </is>
      </c>
      <c r="E238" s="11" t="inlineStr">
        <is>
          <t>전환사채(CB)</t>
        </is>
      </c>
      <c r="F238" s="3" t="inlineStr">
        <is>
          <t>[기재정정]주요사항보고서(전환사채권발행결정) (정정: 20260529) (정정: 20260610)</t>
        </is>
      </c>
      <c r="G238" s="5" t="inlineStr"/>
      <c r="H238" s="5" t="inlineStr"/>
      <c r="I238" s="2" t="inlineStr">
        <is>
          <t>-</t>
        </is>
      </c>
      <c r="J238" s="6" t="inlineStr"/>
      <c r="K238" s="2" t="inlineStr">
        <is>
          <t>-</t>
        </is>
      </c>
      <c r="L238" s="2" t="inlineStr">
        <is>
          <t>-</t>
        </is>
      </c>
      <c r="M238" s="2" t="inlineStr">
        <is>
          <t>2027-06-18</t>
        </is>
      </c>
      <c r="N238" s="2" t="inlineStr">
        <is>
          <t>2029-05-18</t>
        </is>
      </c>
      <c r="O238" s="3" t="inlineStr"/>
      <c r="P238" s="7" t="inlineStr">
        <is>
          <t>-</t>
        </is>
      </c>
      <c r="Q238" s="2" t="inlineStr">
        <is>
          <t>2027-06-30</t>
        </is>
      </c>
      <c r="R238" s="2" t="inlineStr">
        <is>
          <t>2027-06-30</t>
        </is>
      </c>
      <c r="S238" s="2" t="inlineStr">
        <is>
          <t>20260610000668</t>
        </is>
      </c>
      <c r="T238" s="8">
        <f>HYPERLINK("https://dart.fss.or.kr/dsaf001/main.do?rcpNo=20260610000668", "공시열람")</f>
        <v/>
      </c>
    </row>
    <row r="239" ht="36" customHeight="1">
      <c r="A239" s="2" t="inlineStr">
        <is>
          <t>2026-05-27 (정정: 2026-06-26)</t>
        </is>
      </c>
      <c r="B239" s="3" t="inlineStr">
        <is>
          <t>페니트리움바이오</t>
        </is>
      </c>
      <c r="C239" s="2" t="inlineStr">
        <is>
          <t>코스닥</t>
        </is>
      </c>
      <c r="D239" s="2" t="inlineStr">
        <is>
          <t>187660</t>
        </is>
      </c>
      <c r="E239" s="9" t="inlineStr">
        <is>
          <t>유상증자</t>
        </is>
      </c>
      <c r="F239" s="3" t="inlineStr">
        <is>
          <t>[기재정정]주요사항보고서(유상증자결정) (정정: 20260611) (정정: 20260626)</t>
        </is>
      </c>
      <c r="G239" s="5" t="n">
        <v>34425000000</v>
      </c>
      <c r="H239" s="5" t="inlineStr"/>
      <c r="I239" s="2" t="inlineStr">
        <is>
          <t>보통주식</t>
        </is>
      </c>
      <c r="J239" s="6" t="n">
        <v>8500000</v>
      </c>
      <c r="K239" s="2" t="inlineStr">
        <is>
          <t>2026-08-13</t>
        </is>
      </c>
      <c r="L239" s="2" t="inlineStr">
        <is>
          <t>2026-08-28</t>
        </is>
      </c>
      <c r="M239" s="2" t="inlineStr">
        <is>
          <t>-</t>
        </is>
      </c>
      <c r="N239" s="2" t="inlineStr">
        <is>
          <t>-</t>
        </is>
      </c>
      <c r="O239" s="10" t="n">
        <v>15.32463352085456</v>
      </c>
      <c r="P239" s="7" t="inlineStr">
        <is>
          <t>운영자금 (324.2억원), 채무상환자금 (20.0억원)</t>
        </is>
      </c>
      <c r="Q239" s="2" t="inlineStr">
        <is>
          <t>-</t>
        </is>
      </c>
      <c r="R239" s="2" t="inlineStr">
        <is>
          <t>-</t>
        </is>
      </c>
      <c r="S239" s="2" t="inlineStr">
        <is>
          <t>20260626000207</t>
        </is>
      </c>
      <c r="T239" s="8">
        <f>HYPERLINK("https://dart.fss.or.kr/dsaf001/main.do?rcpNo=20260626000207", "공시열람")</f>
        <v/>
      </c>
    </row>
    <row r="240" ht="36" customHeight="1">
      <c r="A240" s="2" t="inlineStr">
        <is>
          <t>2026-05-27 (정정: 2026-06-12)</t>
        </is>
      </c>
      <c r="B240" s="3" t="inlineStr">
        <is>
          <t>포커스에이아이</t>
        </is>
      </c>
      <c r="C240" s="2" t="inlineStr">
        <is>
          <t>코스닥</t>
        </is>
      </c>
      <c r="D240" s="2" t="inlineStr">
        <is>
          <t>331380</t>
        </is>
      </c>
      <c r="E240" s="9" t="inlineStr">
        <is>
          <t>유상증자</t>
        </is>
      </c>
      <c r="F240" s="3" t="inlineStr">
        <is>
          <t>주요사항보고서(유상증자결정) (정정: 20260612)</t>
        </is>
      </c>
      <c r="G240" s="5" t="n">
        <v>2000</v>
      </c>
      <c r="H240" s="5" t="n">
        <v>2583</v>
      </c>
      <c r="I240" s="2" t="inlineStr">
        <is>
          <t>보통주식</t>
        </is>
      </c>
      <c r="J240" s="6" t="n">
        <v>774293</v>
      </c>
      <c r="K240" s="2" t="inlineStr">
        <is>
          <t>2026-07-23</t>
        </is>
      </c>
      <c r="L240" s="2" t="inlineStr">
        <is>
          <t>2026-08-19</t>
        </is>
      </c>
      <c r="M240" s="2" t="inlineStr">
        <is>
          <t>-</t>
        </is>
      </c>
      <c r="N240" s="2" t="inlineStr">
        <is>
          <t>-</t>
        </is>
      </c>
      <c r="O240" s="10" t="n">
        <v>2.388946092541444</v>
      </c>
      <c r="P240" s="7" t="inlineStr">
        <is>
          <t>운영자금 (2,000원)</t>
        </is>
      </c>
      <c r="Q240" s="2" t="inlineStr">
        <is>
          <t>-</t>
        </is>
      </c>
      <c r="R240" s="2" t="inlineStr">
        <is>
          <t>-</t>
        </is>
      </c>
      <c r="S240" s="2" t="inlineStr">
        <is>
          <t>20260612000171</t>
        </is>
      </c>
      <c r="T240" s="8">
        <f>HYPERLINK("https://dart.fss.or.kr/dsaf001/main.do?rcpNo=20260612000171", "공시열람")</f>
        <v/>
      </c>
    </row>
    <row r="241" ht="36" customHeight="1">
      <c r="A241" s="2" t="inlineStr">
        <is>
          <t>2026-05-27 (정정: 2026-06-04)</t>
        </is>
      </c>
      <c r="B241" s="3" t="inlineStr">
        <is>
          <t>애드바이오텍</t>
        </is>
      </c>
      <c r="C241" s="2" t="inlineStr">
        <is>
          <t>코스닥</t>
        </is>
      </c>
      <c r="D241" s="2" t="inlineStr">
        <is>
          <t>179530</t>
        </is>
      </c>
      <c r="E241" s="9" t="inlineStr">
        <is>
          <t>유상증자</t>
        </is>
      </c>
      <c r="F241" s="3" t="inlineStr">
        <is>
          <t>[기재정정]주요사항보고서(유상증자결정) (정정: 20260604)</t>
        </is>
      </c>
      <c r="G241" s="5" t="n">
        <v>13262</v>
      </c>
      <c r="H241" s="5" t="n">
        <v>1824</v>
      </c>
      <c r="I241" s="2" t="inlineStr">
        <is>
          <t>보통주식</t>
        </is>
      </c>
      <c r="J241" s="6" t="n">
        <v>7270669</v>
      </c>
      <c r="K241" s="2" t="inlineStr">
        <is>
          <t>2026.06.04</t>
        </is>
      </c>
      <c r="L241" s="2" t="inlineStr">
        <is>
          <t>2026.06.23</t>
        </is>
      </c>
      <c r="M241" s="2" t="inlineStr">
        <is>
          <t>-</t>
        </is>
      </c>
      <c r="N241" s="2" t="inlineStr">
        <is>
          <t>-</t>
        </is>
      </c>
      <c r="O241" s="10" t="n">
        <v>57.4469979712883</v>
      </c>
      <c r="P241" s="7" t="inlineStr">
        <is>
          <t>운영자금 (13,262원)</t>
        </is>
      </c>
      <c r="Q241" s="2" t="inlineStr">
        <is>
          <t>-</t>
        </is>
      </c>
      <c r="R241" s="2" t="inlineStr">
        <is>
          <t>-</t>
        </is>
      </c>
      <c r="S241" s="2" t="inlineStr">
        <is>
          <t>20260604000608</t>
        </is>
      </c>
      <c r="T241" s="8">
        <f>HYPERLINK("https://dart.fss.or.kr/dsaf001/main.do?rcpNo=20260604000608", "공시열람")</f>
        <v/>
      </c>
    </row>
    <row r="242" ht="36" customHeight="1">
      <c r="A242" s="2" t="inlineStr">
        <is>
          <t>2025-07-09 (정정: 2026-05-27)</t>
        </is>
      </c>
      <c r="B242" s="3" t="inlineStr">
        <is>
          <t>엑스플러스</t>
        </is>
      </c>
      <c r="C242" s="2" t="inlineStr">
        <is>
          <t>코스닥</t>
        </is>
      </c>
      <c r="D242" s="2" t="inlineStr">
        <is>
          <t>373200</t>
        </is>
      </c>
      <c r="E242" s="9" t="inlineStr">
        <is>
          <t>유상증자</t>
        </is>
      </c>
      <c r="F242" s="3" t="inlineStr">
        <is>
          <t>[기재정정]주요사항보고서(유상증자결정)</t>
        </is>
      </c>
      <c r="G242" s="5" t="n">
        <v>8002</v>
      </c>
      <c r="H242" s="5" t="n">
        <v>2580</v>
      </c>
      <c r="I242" s="2" t="inlineStr">
        <is>
          <t>보통주식</t>
        </is>
      </c>
      <c r="J242" s="6" t="n">
        <v>1550775</v>
      </c>
      <c r="K242" s="2" t="inlineStr">
        <is>
          <t>2026-04-29</t>
        </is>
      </c>
      <c r="L242" s="2" t="inlineStr">
        <is>
          <t>2026-05-28</t>
        </is>
      </c>
      <c r="M242" s="2" t="inlineStr">
        <is>
          <t>-</t>
        </is>
      </c>
      <c r="N242" s="2" t="inlineStr">
        <is>
          <t>-</t>
        </is>
      </c>
      <c r="O242" s="10" t="n">
        <v>6.893523308645813</v>
      </c>
      <c r="P242" s="7" t="inlineStr">
        <is>
          <t>운영자금 (4,001원), 기타자금 (4,001원)</t>
        </is>
      </c>
      <c r="Q242" s="2" t="inlineStr">
        <is>
          <t>-</t>
        </is>
      </c>
      <c r="R242" s="2" t="inlineStr">
        <is>
          <t>-</t>
        </is>
      </c>
      <c r="S242" s="2" t="inlineStr">
        <is>
          <t>20260527000175</t>
        </is>
      </c>
      <c r="T242" s="8">
        <f>HYPERLINK("https://dart.fss.or.kr/dsaf001/main.do?rcpNo=20260527000175", "공시열람")</f>
        <v/>
      </c>
    </row>
    <row r="243" ht="36" customHeight="1">
      <c r="A243" s="2" t="inlineStr">
        <is>
          <t>2026-05-28</t>
        </is>
      </c>
      <c r="B243" s="3" t="inlineStr">
        <is>
          <t>드림시큐리티</t>
        </is>
      </c>
      <c r="C243" s="2" t="inlineStr">
        <is>
          <t>코스닥</t>
        </is>
      </c>
      <c r="D243" s="2" t="inlineStr">
        <is>
          <t>203650</t>
        </is>
      </c>
      <c r="E243" s="4" t="inlineStr">
        <is>
          <t>교환사채(EB)</t>
        </is>
      </c>
      <c r="F243" s="3" t="inlineStr">
        <is>
          <t xml:space="preserve">교환사채권발행결정(종속회사의주요경영사항)              </t>
        </is>
      </c>
      <c r="G243" s="5" t="inlineStr"/>
      <c r="H243" s="5" t="inlineStr">
        <is>
          <t>(가) 대상회사의 합병, 자본의 감소, 주식분할 및 병합 등(대상회사가 기발행한 전환사채의 전환은 제외하며, 이하 같음)에 의하여 교환가격의 조정이 필요한 경우에는 당해 합병, 자본의 감소, 주식분할 또는 병합 등의 직전에 본건 교환사채가 교환되어 전량 주식으로 교환되었다면, 당해 합병, 자본의 감소, 주식분할 또는 병합 등의 직후에 사채권자가 가질 수 있었던 주식수가 교환주식수가 되도록 교환가격을 조정한다. 발행회사가 이러한 조치를 취하지 아니함으로써 사채권자가 손해를 입은 경우 발행회사는 그 손해를 배상하여야 한다. 본 (가)목에 따른 교환가액의 조정일은 합병, 자본의 감소, 주식분할 또는 병합 등의 기준일 또는 기타 사유의 효력발생일로 한다. (나) 본건 사채의 발행일 다음날부터 교환권 행사 전까지 대상회사가 당시의 교환가격(본목에 의한 조정이 있었던 경우 조정된 교환가격)과 시가 중 낮은 가격(이하 “기준가”)을 하회하는 발행가액으로 유상증자ㆍ주식배당ㆍ준비금의 자본전입하거나, 기준가를 하회하는 전환가격 또는 행사가격으로 전환사채 또는 신주인수권부사채를 발행하는 경우, 다음과 같이 교환가격을 조정하기로 한다. 다만 유상증자와 무상증자를 병행하여 실시하는 경우, 유상증자의 1주당 발행가액이 기준가를 상회하는 때에는 유상증자에 의하여 발행된 신주에 대하여는 교환가격 조정을 적용하지 아니하고, 무상증자에 의하여 발행된 신주에 한하여 교환가격 조정을 적용하기로 한다. 본항에 따른 교환가격의 조정일은 유상증자 등으로 인한 신주의 발행일로 한다. 조정후교환가액 = 조정전교환가액 x {(기발행주식수 + T) / (기발행주식수 + 신발행주식수)} * T= 신발행주식수 x 1주당 발행가격 / 기준가 (다) (나)목에 따른 조정후 교환가격은 다음 각 항목에서 정한 바에 따라 산정한다. 1) 기발행주식수는 당해 조정사유가 발생하기 직전일 현재 대상회사의 발행주식 총수로 한다. 2) 전환사채 또는 신주인수권부사채를 발행하는 경우, 신발행주식수는 당해 사채 발행시의 전환가액으로 당해 사채 전부가 주식으로 전환되거나 당해 사채 발행시 행사가격으로 신주인수권이 전부 행사될 경우 발행될 주식의 수로 한다. 3) 1주당 발행가격은 주식배당ㆍ준비금의 자본전입의 경우 영(0)으로 하고, 전환사채 또는 신주인수권부사채를 발행하는 경우 당해 사채발행시 전환가액 또는 행사가격으로 한다. 4) 시가라 함은 당해 발행가액 산정의 기준이 되는 기준주가 또는 이론권리락주가(유상증자 이외의 경우에는 조정사유 발생 전일을 기산일로 계산한 기준주가)로 한다. (라) 위 (가)목 내지 (다)목에 의하여 조정된 교환가격 중 원 단위 미만은 절사하며, 조정된 교환가격이 대상회사의 보통주식의 액면가 이하일 경우에는 액면가를 교환가격으로 한다. (마) 대상회사의 보통주식의 시가가 하락하는 경우에는 이에 따른 교환가격 조정은 적용하지 아니한다. (바) 본 (7)호에 의한 교환가격 조정시 발행회사는 즉시 한국예탁결제원에 서면으로 통지하여야 한다.</t>
        </is>
      </c>
      <c r="I243" s="2" t="inlineStr">
        <is>
          <t>-</t>
        </is>
      </c>
      <c r="J243" s="6" t="inlineStr"/>
      <c r="K243" s="2" t="inlineStr">
        <is>
          <t>-</t>
        </is>
      </c>
      <c r="L243" s="2" t="inlineStr">
        <is>
          <t>-</t>
        </is>
      </c>
      <c r="M243" s="2" t="inlineStr">
        <is>
          <t>2026-07-09</t>
        </is>
      </c>
      <c r="N243" s="2" t="inlineStr">
        <is>
          <t>2031-05-09</t>
        </is>
      </c>
      <c r="O243" s="3" t="inlineStr"/>
      <c r="P243" s="7" t="inlineStr">
        <is>
          <t>-</t>
        </is>
      </c>
      <c r="Q243" s="2" t="inlineStr">
        <is>
          <t>2028-06-09</t>
        </is>
      </c>
      <c r="R243" s="2" t="inlineStr">
        <is>
          <t>2028-01-11</t>
        </is>
      </c>
      <c r="S243" s="2" t="inlineStr">
        <is>
          <t>20260528901049</t>
        </is>
      </c>
      <c r="T243" s="8">
        <f>HYPERLINK("https://dart.fss.or.kr/dsaf001/main.do?rcpNo=20260528901049", "공시열람")</f>
        <v/>
      </c>
    </row>
    <row r="244" ht="36" customHeight="1">
      <c r="A244" s="2" t="inlineStr">
        <is>
          <t>2026-05-28</t>
        </is>
      </c>
      <c r="B244" s="3" t="inlineStr">
        <is>
          <t>이엔플러스</t>
        </is>
      </c>
      <c r="C244" s="2" t="inlineStr">
        <is>
          <t>코스피</t>
        </is>
      </c>
      <c r="D244" s="2" t="inlineStr">
        <is>
          <t>074610</t>
        </is>
      </c>
      <c r="E244" s="11" t="inlineStr">
        <is>
          <t>전환사채(CB)</t>
        </is>
      </c>
      <c r="F244" s="3" t="inlineStr">
        <is>
          <t>[기재정정]주요사항보고서(전환사채권발행결정)</t>
        </is>
      </c>
      <c r="G244" s="5" t="inlineStr"/>
      <c r="H244" s="5" t="n">
        <v>40000000000</v>
      </c>
      <c r="I244" s="2" t="inlineStr">
        <is>
          <t>-</t>
        </is>
      </c>
      <c r="J244" s="6" t="inlineStr"/>
      <c r="K244" s="2" t="inlineStr">
        <is>
          <t>-</t>
        </is>
      </c>
      <c r="L244" s="2" t="inlineStr">
        <is>
          <t>-</t>
        </is>
      </c>
      <c r="M244" s="2" t="inlineStr">
        <is>
          <t>2027-06-26</t>
        </is>
      </c>
      <c r="N244" s="2" t="inlineStr">
        <is>
          <t>2029-05-25</t>
        </is>
      </c>
      <c r="O244" s="3" t="inlineStr"/>
      <c r="P244" s="7" t="inlineStr">
        <is>
          <t>-</t>
        </is>
      </c>
      <c r="Q244" s="2" t="inlineStr">
        <is>
          <t>2027-10-27</t>
        </is>
      </c>
      <c r="R244" s="2" t="inlineStr">
        <is>
          <t>2027-10-27</t>
        </is>
      </c>
      <c r="S244" s="2" t="inlineStr">
        <is>
          <t>20260528000999</t>
        </is>
      </c>
      <c r="T244" s="8">
        <f>HYPERLINK("https://dart.fss.or.kr/dsaf001/main.do?rcpNo=20260528000999", "공시열람")</f>
        <v/>
      </c>
    </row>
    <row r="245" ht="36" customHeight="1">
      <c r="A245" s="2" t="inlineStr">
        <is>
          <t>2026-05-28</t>
        </is>
      </c>
      <c r="B245" s="3" t="inlineStr">
        <is>
          <t>디지캡</t>
        </is>
      </c>
      <c r="C245" s="2" t="inlineStr">
        <is>
          <t>코스닥</t>
        </is>
      </c>
      <c r="D245" s="2" t="inlineStr">
        <is>
          <t>197140</t>
        </is>
      </c>
      <c r="E245" s="4" t="inlineStr">
        <is>
          <t>교환사채(EB)</t>
        </is>
      </c>
      <c r="F245" s="3" t="inlineStr">
        <is>
          <t>주요사항보고서(교환사채권발행결정)</t>
        </is>
      </c>
      <c r="G245" s="5" t="n">
        <v>9500000000</v>
      </c>
      <c r="H245" s="5" t="n">
        <v>4640</v>
      </c>
      <c r="I245" s="2" t="inlineStr">
        <is>
          <t>발행회사가 보유한 '(주)드림시큐리티' 기명식 보통주</t>
        </is>
      </c>
      <c r="J245" s="6" t="inlineStr"/>
      <c r="K245" s="2" t="inlineStr">
        <is>
          <t>2026년 06월 09일</t>
        </is>
      </c>
      <c r="L245" s="2" t="inlineStr">
        <is>
          <t>-</t>
        </is>
      </c>
      <c r="M245" s="2" t="inlineStr">
        <is>
          <t>2026-07-09</t>
        </is>
      </c>
      <c r="N245" s="2" t="inlineStr">
        <is>
          <t>2031-05-09</t>
        </is>
      </c>
      <c r="O245" s="3" t="inlineStr"/>
      <c r="P245" s="7" t="inlineStr">
        <is>
          <t>-</t>
        </is>
      </c>
      <c r="Q245" s="2" t="inlineStr">
        <is>
          <t>2028-05-30</t>
        </is>
      </c>
      <c r="R245" s="2" t="inlineStr">
        <is>
          <t>2028-01-11</t>
        </is>
      </c>
      <c r="S245" s="2" t="inlineStr">
        <is>
          <t>20260528000965</t>
        </is>
      </c>
      <c r="T245" s="8">
        <f>HYPERLINK("https://dart.fss.or.kr/dsaf001/main.do?rcpNo=20260528000965", "공시열람")</f>
        <v/>
      </c>
    </row>
    <row r="246" ht="36" customHeight="1">
      <c r="A246" s="2" t="inlineStr">
        <is>
          <t>2026-05-28</t>
        </is>
      </c>
      <c r="B246" s="3" t="inlineStr">
        <is>
          <t>엑스플러스</t>
        </is>
      </c>
      <c r="C246" s="2" t="inlineStr">
        <is>
          <t>코스닥</t>
        </is>
      </c>
      <c r="D246" s="2" t="inlineStr">
        <is>
          <t>373200</t>
        </is>
      </c>
      <c r="E246" s="9" t="inlineStr">
        <is>
          <t>유상증자</t>
        </is>
      </c>
      <c r="F246" s="3" t="inlineStr">
        <is>
          <t>[첨부정정]주요사항보고서(유상증자결정)</t>
        </is>
      </c>
      <c r="G246" s="5" t="n">
        <v>0</v>
      </c>
      <c r="H246" s="5" t="inlineStr"/>
      <c r="I246" s="2" t="inlineStr">
        <is>
          <t>보통주식</t>
        </is>
      </c>
      <c r="J246" s="6" t="n">
        <v>0</v>
      </c>
      <c r="K246" s="2" t="inlineStr">
        <is>
          <t>-</t>
        </is>
      </c>
      <c r="L246" s="2" t="inlineStr">
        <is>
          <t>-</t>
        </is>
      </c>
      <c r="M246" s="2" t="inlineStr">
        <is>
          <t>-</t>
        </is>
      </c>
      <c r="N246" s="2" t="inlineStr">
        <is>
          <t>-</t>
        </is>
      </c>
      <c r="O246" s="3" t="inlineStr"/>
      <c r="P246" s="7" t="inlineStr">
        <is>
          <t>-</t>
        </is>
      </c>
      <c r="Q246" s="2" t="inlineStr">
        <is>
          <t>-</t>
        </is>
      </c>
      <c r="R246" s="2" t="inlineStr">
        <is>
          <t>-</t>
        </is>
      </c>
      <c r="S246" s="2" t="inlineStr">
        <is>
          <t>20260528000939</t>
        </is>
      </c>
      <c r="T246" s="8">
        <f>HYPERLINK("https://dart.fss.or.kr/dsaf001/main.do?rcpNo=20260528000939", "공시열람")</f>
        <v/>
      </c>
    </row>
    <row r="247" ht="36" customHeight="1">
      <c r="A247" s="2" t="inlineStr">
        <is>
          <t>2026-05-28 (정정: 2026-06-05)</t>
        </is>
      </c>
      <c r="B247" s="3" t="inlineStr">
        <is>
          <t>아리바이오LAB</t>
        </is>
      </c>
      <c r="C247" s="2" t="inlineStr">
        <is>
          <t>코스닥</t>
        </is>
      </c>
      <c r="D247" s="2" t="inlineStr">
        <is>
          <t>261780</t>
        </is>
      </c>
      <c r="E247" s="11" t="inlineStr">
        <is>
          <t>전환사채(CB)</t>
        </is>
      </c>
      <c r="F247" s="3" t="inlineStr">
        <is>
          <t>[기재정정]주요사항보고서(전환사채권발행결정) (정정: 20260605)</t>
        </is>
      </c>
      <c r="G247" s="5" t="inlineStr"/>
      <c r="H247" s="5" t="inlineStr"/>
      <c r="I247" s="2" t="inlineStr">
        <is>
          <t>-</t>
        </is>
      </c>
      <c r="J247" s="6" t="inlineStr"/>
      <c r="K247" s="2" t="inlineStr">
        <is>
          <t>-</t>
        </is>
      </c>
      <c r="L247" s="2" t="inlineStr">
        <is>
          <t>-</t>
        </is>
      </c>
      <c r="M247" s="2" t="inlineStr">
        <is>
          <t>2027-06-05</t>
        </is>
      </c>
      <c r="N247" s="2" t="inlineStr">
        <is>
          <t>2029-05-05</t>
        </is>
      </c>
      <c r="O247" s="3" t="inlineStr"/>
      <c r="P247" s="7" t="inlineStr">
        <is>
          <t>-</t>
        </is>
      </c>
      <c r="Q247" s="2" t="inlineStr">
        <is>
          <t>-</t>
        </is>
      </c>
      <c r="R247" s="2" t="inlineStr">
        <is>
          <t>2027-04-06</t>
        </is>
      </c>
      <c r="S247" s="2" t="inlineStr">
        <is>
          <t>20260605000576</t>
        </is>
      </c>
      <c r="T247" s="8">
        <f>HYPERLINK("https://dart.fss.or.kr/dsaf001/main.do?rcpNo=20260605000576", "공시열람")</f>
        <v/>
      </c>
    </row>
    <row r="248" ht="36" customHeight="1">
      <c r="A248" s="2" t="inlineStr">
        <is>
          <t>2026-05-28 (정정: 2026-06-26)</t>
        </is>
      </c>
      <c r="B248" s="3" t="inlineStr">
        <is>
          <t>애드바이오텍</t>
        </is>
      </c>
      <c r="C248" s="2" t="inlineStr">
        <is>
          <t>코스닥</t>
        </is>
      </c>
      <c r="D248" s="2" t="inlineStr">
        <is>
          <t>179530</t>
        </is>
      </c>
      <c r="E248" s="11" t="inlineStr">
        <is>
          <t>전환사채(CB)</t>
        </is>
      </c>
      <c r="F248" s="3" t="inlineStr">
        <is>
          <t>주요사항보고서(전환사채권발행결정) (정정: 20260604) (정정: 20260626)</t>
        </is>
      </c>
      <c r="G248" s="5" t="n">
        <v>10000000000</v>
      </c>
      <c r="H248" s="5" t="n">
        <v>2264</v>
      </c>
      <c r="I248" s="2" t="inlineStr">
        <is>
          <t>주식회사 애드바이오텍 기명식 보통주</t>
        </is>
      </c>
      <c r="J248" s="6" t="n">
        <v>4416961</v>
      </c>
      <c r="K248" s="2" t="inlineStr">
        <is>
          <t>2026년 07월 24일</t>
        </is>
      </c>
      <c r="L248" s="2" t="inlineStr">
        <is>
          <t>-</t>
        </is>
      </c>
      <c r="M248" s="2" t="inlineStr">
        <is>
          <t>2027-07-24</t>
        </is>
      </c>
      <c r="N248" s="2" t="inlineStr">
        <is>
          <t>2031-06-24</t>
        </is>
      </c>
      <c r="O248" s="10" t="n">
        <v>14.08</v>
      </c>
      <c r="P248" s="7" t="inlineStr">
        <is>
          <t>-</t>
        </is>
      </c>
      <c r="Q248" s="2" t="inlineStr">
        <is>
          <t>2027-07-24</t>
        </is>
      </c>
      <c r="R248" s="2" t="inlineStr">
        <is>
          <t>2027-08-31</t>
        </is>
      </c>
      <c r="S248" s="2" t="inlineStr">
        <is>
          <t>20260626000639</t>
        </is>
      </c>
      <c r="T248" s="8">
        <f>HYPERLINK("https://dart.fss.or.kr/dsaf001/main.do?rcpNo=20260626000639", "공시열람")</f>
        <v/>
      </c>
    </row>
    <row r="249" ht="36" customHeight="1">
      <c r="A249" s="2" t="inlineStr">
        <is>
          <t>2026-05-28</t>
        </is>
      </c>
      <c r="B249" s="3" t="inlineStr">
        <is>
          <t>HLB생명과학</t>
        </is>
      </c>
      <c r="C249" s="2" t="inlineStr">
        <is>
          <t>코스닥</t>
        </is>
      </c>
      <c r="D249" s="2" t="inlineStr">
        <is>
          <t>067630</t>
        </is>
      </c>
      <c r="E249" s="11" t="inlineStr">
        <is>
          <t>전환사채(CB)</t>
        </is>
      </c>
      <c r="F249" s="3" t="inlineStr">
        <is>
          <t>주요사항보고서(전환사채권발행결정)</t>
        </is>
      </c>
      <c r="G249" s="5" t="n">
        <v>10000000000</v>
      </c>
      <c r="H249" s="5" t="n">
        <v>3529</v>
      </c>
      <c r="I249" s="2" t="inlineStr">
        <is>
          <t>에이치엘비생명과학 주식회사 기명식 보통주식</t>
        </is>
      </c>
      <c r="J249" s="6" t="n">
        <v>2833663</v>
      </c>
      <c r="K249" s="2" t="inlineStr">
        <is>
          <t>2026년 06월 08일</t>
        </is>
      </c>
      <c r="L249" s="2" t="inlineStr">
        <is>
          <t>-</t>
        </is>
      </c>
      <c r="M249" s="2" t="inlineStr">
        <is>
          <t>2027-06-08</t>
        </is>
      </c>
      <c r="N249" s="2" t="inlineStr">
        <is>
          <t>2031-05-08</t>
        </is>
      </c>
      <c r="O249" s="10" t="n">
        <v>2.32</v>
      </c>
      <c r="P249" s="7" t="inlineStr">
        <is>
          <t>-</t>
        </is>
      </c>
      <c r="Q249" s="2" t="inlineStr">
        <is>
          <t>-</t>
        </is>
      </c>
      <c r="R249" s="2" t="inlineStr">
        <is>
          <t>2028-04-09</t>
        </is>
      </c>
      <c r="S249" s="2" t="inlineStr">
        <is>
          <t>20260528000687</t>
        </is>
      </c>
      <c r="T249" s="8">
        <f>HYPERLINK("https://dart.fss.or.kr/dsaf001/main.do?rcpNo=20260528000687", "공시열람")</f>
        <v/>
      </c>
    </row>
    <row r="250" ht="36" customHeight="1">
      <c r="A250" s="2" t="inlineStr">
        <is>
          <t>2026-04-10 (정정: 2026-05-28)</t>
        </is>
      </c>
      <c r="B250" s="3" t="inlineStr">
        <is>
          <t>티엘비</t>
        </is>
      </c>
      <c r="C250" s="2" t="inlineStr">
        <is>
          <t>코스닥</t>
        </is>
      </c>
      <c r="D250" s="2" t="inlineStr">
        <is>
          <t>356860</t>
        </is>
      </c>
      <c r="E250" s="2" t="inlineStr">
        <is>
          <t>무상증자</t>
        </is>
      </c>
      <c r="F250" s="3" t="inlineStr">
        <is>
          <t>[기재정정]주요사항보고서(유무상증자결정)</t>
        </is>
      </c>
      <c r="G250" s="5" t="inlineStr"/>
      <c r="H250" s="5" t="inlineStr"/>
      <c r="I250" s="2" t="inlineStr">
        <is>
          <t>-</t>
        </is>
      </c>
      <c r="J250" s="6" t="inlineStr"/>
      <c r="K250" s="2" t="inlineStr">
        <is>
          <t>-</t>
        </is>
      </c>
      <c r="L250" s="2" t="inlineStr">
        <is>
          <t>-</t>
        </is>
      </c>
      <c r="M250" s="2" t="inlineStr">
        <is>
          <t>-</t>
        </is>
      </c>
      <c r="N250" s="2" t="inlineStr">
        <is>
          <t>-</t>
        </is>
      </c>
      <c r="O250" s="3" t="inlineStr"/>
      <c r="P250" s="7" t="inlineStr">
        <is>
          <t>-</t>
        </is>
      </c>
      <c r="Q250" s="2" t="inlineStr">
        <is>
          <t>-</t>
        </is>
      </c>
      <c r="R250" s="2" t="inlineStr">
        <is>
          <t>-</t>
        </is>
      </c>
      <c r="S250" s="2" t="inlineStr">
        <is>
          <t>20260528000773</t>
        </is>
      </c>
      <c r="T250" s="8">
        <f>HYPERLINK("https://dart.fss.or.kr/dsaf001/main.do?rcpNo=20260528000773", "공시열람")</f>
        <v/>
      </c>
    </row>
    <row r="251" ht="36" customHeight="1">
      <c r="A251" s="2" t="inlineStr">
        <is>
          <t>2026-05-28 (정정: 2026-06-30)</t>
        </is>
      </c>
      <c r="B251" s="3" t="inlineStr">
        <is>
          <t>다보링크</t>
        </is>
      </c>
      <c r="C251" s="2" t="inlineStr">
        <is>
          <t>코스닥</t>
        </is>
      </c>
      <c r="D251" s="2" t="inlineStr">
        <is>
          <t>340360</t>
        </is>
      </c>
      <c r="E251" s="9" t="inlineStr">
        <is>
          <t>유상증자</t>
        </is>
      </c>
      <c r="F251" s="3" t="inlineStr">
        <is>
          <t>주요사항보고서(유상증자결정) (정정: 20260529) (정정: 20260529) (정정: 20260630)</t>
        </is>
      </c>
      <c r="G251" s="5" t="n">
        <v>999</v>
      </c>
      <c r="H251" s="5" t="n">
        <v>1270</v>
      </c>
      <c r="I251" s="2" t="inlineStr">
        <is>
          <t>보통주식</t>
        </is>
      </c>
      <c r="J251" s="6" t="n">
        <v>787400</v>
      </c>
      <c r="K251" s="2" t="inlineStr">
        <is>
          <t>2026-07-07</t>
        </is>
      </c>
      <c r="L251" s="2" t="inlineStr">
        <is>
          <t>2026-07-28</t>
        </is>
      </c>
      <c r="M251" s="2" t="inlineStr">
        <is>
          <t>-</t>
        </is>
      </c>
      <c r="N251" s="2" t="inlineStr">
        <is>
          <t>-</t>
        </is>
      </c>
      <c r="O251" s="10" t="n">
        <v>1.543530873724531</v>
      </c>
      <c r="P251" s="7" t="inlineStr">
        <is>
          <t>운영자금 (999원)</t>
        </is>
      </c>
      <c r="Q251" s="2" t="inlineStr">
        <is>
          <t>-</t>
        </is>
      </c>
      <c r="R251" s="2" t="inlineStr">
        <is>
          <t>-</t>
        </is>
      </c>
      <c r="S251" s="2" t="inlineStr">
        <is>
          <t>20260630000658</t>
        </is>
      </c>
      <c r="T251" s="8">
        <f>HYPERLINK("https://dart.fss.or.kr/dsaf001/main.do?rcpNo=20260630000658", "공시열람")</f>
        <v/>
      </c>
    </row>
    <row r="252" ht="36" customHeight="1">
      <c r="A252" s="2" t="inlineStr">
        <is>
          <t>2026-05-28 (정정: 2026-06-26)</t>
        </is>
      </c>
      <c r="B252" s="3" t="inlineStr">
        <is>
          <t>디와이디</t>
        </is>
      </c>
      <c r="C252" s="2" t="inlineStr">
        <is>
          <t>코스닥</t>
        </is>
      </c>
      <c r="D252" s="2" t="inlineStr">
        <is>
          <t>219550</t>
        </is>
      </c>
      <c r="E252" s="9" t="inlineStr">
        <is>
          <t>유상증자</t>
        </is>
      </c>
      <c r="F252" s="3" t="inlineStr">
        <is>
          <t>[기재정정]주요사항보고서(유상증자결정) (정정: 20260626)</t>
        </is>
      </c>
      <c r="G252" s="5" t="n">
        <v>4000001193</v>
      </c>
      <c r="H252" s="5" t="n">
        <v>1233</v>
      </c>
      <c r="I252" s="2" t="inlineStr">
        <is>
          <t>보통주식</t>
        </is>
      </c>
      <c r="J252" s="6" t="n">
        <v>3244121</v>
      </c>
      <c r="K252" s="2" t="inlineStr">
        <is>
          <t>2026-07-22</t>
        </is>
      </c>
      <c r="L252" s="2" t="inlineStr">
        <is>
          <t>2026-08-21</t>
        </is>
      </c>
      <c r="M252" s="2" t="inlineStr">
        <is>
          <t>-</t>
        </is>
      </c>
      <c r="N252" s="2" t="inlineStr">
        <is>
          <t>-</t>
        </is>
      </c>
      <c r="O252" s="10" t="n">
        <v>10.37200374490823</v>
      </c>
      <c r="P252" s="7" t="inlineStr">
        <is>
          <t>운영자금 (40.0억원)</t>
        </is>
      </c>
      <c r="Q252" s="2" t="inlineStr">
        <is>
          <t>-</t>
        </is>
      </c>
      <c r="R252" s="2" t="inlineStr">
        <is>
          <t>-</t>
        </is>
      </c>
      <c r="S252" s="2" t="inlineStr">
        <is>
          <t>20260626000458</t>
        </is>
      </c>
      <c r="T252" s="8">
        <f>HYPERLINK("https://dart.fss.or.kr/dsaf001/main.do?rcpNo=20260626000458", "공시열람")</f>
        <v/>
      </c>
    </row>
    <row r="253" ht="36" customHeight="1">
      <c r="A253" s="2" t="inlineStr">
        <is>
          <t>2026-05-28 (정정: 2026-05-29)</t>
        </is>
      </c>
      <c r="B253" s="3" t="inlineStr">
        <is>
          <t>소룩스</t>
        </is>
      </c>
      <c r="C253" s="2" t="inlineStr">
        <is>
          <t>코스닥</t>
        </is>
      </c>
      <c r="D253" s="2" t="inlineStr">
        <is>
          <t>290690</t>
        </is>
      </c>
      <c r="E253" s="11" t="inlineStr">
        <is>
          <t>전환사채(CB)</t>
        </is>
      </c>
      <c r="F253" s="3" t="inlineStr">
        <is>
          <t>[첨부정정]주요사항보고서(전환사채권발행결정) (정정: 20260529)</t>
        </is>
      </c>
      <c r="G253" s="5" t="inlineStr"/>
      <c r="H253" s="5" t="inlineStr"/>
      <c r="I253" s="2" t="inlineStr">
        <is>
          <t>-</t>
        </is>
      </c>
      <c r="J253" s="6" t="inlineStr"/>
      <c r="K253" s="2" t="inlineStr">
        <is>
          <t>-</t>
        </is>
      </c>
      <c r="L253" s="2" t="inlineStr">
        <is>
          <t>-</t>
        </is>
      </c>
      <c r="M253" s="2" t="inlineStr">
        <is>
          <t>2027-05-29</t>
        </is>
      </c>
      <c r="N253" s="2" t="inlineStr">
        <is>
          <t>2029-04-29</t>
        </is>
      </c>
      <c r="O253" s="3" t="inlineStr"/>
      <c r="P253" s="7" t="inlineStr">
        <is>
          <t>-</t>
        </is>
      </c>
      <c r="Q253" s="2" t="inlineStr">
        <is>
          <t>2027-03-30</t>
        </is>
      </c>
      <c r="R253" s="2" t="inlineStr">
        <is>
          <t>2027-03-30</t>
        </is>
      </c>
      <c r="S253" s="2" t="inlineStr">
        <is>
          <t>20260529002378</t>
        </is>
      </c>
      <c r="T253" s="8">
        <f>HYPERLINK("https://dart.fss.or.kr/dsaf001/main.do?rcpNo=20260529002378", "공시열람")</f>
        <v/>
      </c>
    </row>
    <row r="254" ht="36" customHeight="1">
      <c r="A254" s="2" t="inlineStr">
        <is>
          <t>2026-05-28 (정정: 2026-06-01)</t>
        </is>
      </c>
      <c r="B254" s="3" t="inlineStr">
        <is>
          <t>모바일어플라이언스</t>
        </is>
      </c>
      <c r="C254" s="2" t="inlineStr">
        <is>
          <t>코스닥</t>
        </is>
      </c>
      <c r="D254" s="2" t="inlineStr">
        <is>
          <t>087260</t>
        </is>
      </c>
      <c r="E254" s="9" t="inlineStr">
        <is>
          <t>유상증자</t>
        </is>
      </c>
      <c r="F254" s="3" t="inlineStr">
        <is>
          <t>[기재정정]주요사항보고서(유상증자결정) (정정: 20260601)</t>
        </is>
      </c>
      <c r="G254" s="5" t="n">
        <v>9000</v>
      </c>
      <c r="H254" s="5" t="n">
        <v>1925</v>
      </c>
      <c r="I254" s="2" t="inlineStr">
        <is>
          <t>보통주식</t>
        </is>
      </c>
      <c r="J254" s="6" t="n">
        <v>4675324</v>
      </c>
      <c r="K254" s="2" t="inlineStr">
        <is>
          <t>2026-10-27</t>
        </is>
      </c>
      <c r="L254" s="2" t="inlineStr">
        <is>
          <t>2026-11-16</t>
        </is>
      </c>
      <c r="M254" s="2" t="inlineStr">
        <is>
          <t>-</t>
        </is>
      </c>
      <c r="N254" s="2" t="inlineStr">
        <is>
          <t>-</t>
        </is>
      </c>
      <c r="O254" s="10" t="n">
        <v>14.36225221494357</v>
      </c>
      <c r="P254" s="7" t="inlineStr">
        <is>
          <t>운영자금 (9,000원)</t>
        </is>
      </c>
      <c r="Q254" s="2" t="inlineStr">
        <is>
          <t>-</t>
        </is>
      </c>
      <c r="R254" s="2" t="inlineStr">
        <is>
          <t>-</t>
        </is>
      </c>
      <c r="S254" s="2" t="inlineStr">
        <is>
          <t>20260601000559</t>
        </is>
      </c>
      <c r="T254" s="8">
        <f>HYPERLINK("https://dart.fss.or.kr/dsaf001/main.do?rcpNo=20260601000559", "공시열람")</f>
        <v/>
      </c>
    </row>
    <row r="255" ht="36" customHeight="1">
      <c r="A255" s="2" t="inlineStr">
        <is>
          <t>2026-05-28</t>
        </is>
      </c>
      <c r="B255" s="3" t="inlineStr">
        <is>
          <t>코이즈</t>
        </is>
      </c>
      <c r="C255" s="2" t="inlineStr">
        <is>
          <t>코스닥</t>
        </is>
      </c>
      <c r="D255" s="2" t="inlineStr">
        <is>
          <t>121850</t>
        </is>
      </c>
      <c r="E255" s="11" t="inlineStr">
        <is>
          <t>전환사채(CB)</t>
        </is>
      </c>
      <c r="F255" s="3" t="inlineStr">
        <is>
          <t>[첨부정정]주요사항보고서(전환사채권발행결정)</t>
        </is>
      </c>
      <c r="G255" s="5" t="inlineStr"/>
      <c r="H255" s="5" t="inlineStr"/>
      <c r="I255" s="2" t="inlineStr">
        <is>
          <t>-</t>
        </is>
      </c>
      <c r="J255" s="6" t="inlineStr"/>
      <c r="K255" s="2" t="inlineStr">
        <is>
          <t>-</t>
        </is>
      </c>
      <c r="L255" s="2" t="inlineStr">
        <is>
          <t>-</t>
        </is>
      </c>
      <c r="M255" s="2" t="inlineStr">
        <is>
          <t>-</t>
        </is>
      </c>
      <c r="N255" s="2" t="inlineStr">
        <is>
          <t>-</t>
        </is>
      </c>
      <c r="O255" s="3" t="inlineStr"/>
      <c r="P255" s="7" t="inlineStr">
        <is>
          <t>-</t>
        </is>
      </c>
      <c r="Q255" s="2" t="inlineStr">
        <is>
          <t>-</t>
        </is>
      </c>
      <c r="R255" s="2" t="inlineStr">
        <is>
          <t>-</t>
        </is>
      </c>
      <c r="S255" s="2" t="inlineStr">
        <is>
          <t>20260528000310</t>
        </is>
      </c>
      <c r="T255" s="8">
        <f>HYPERLINK("https://dart.fss.or.kr/dsaf001/main.do?rcpNo=20260528000310", "공시열람")</f>
        <v/>
      </c>
    </row>
    <row r="256" ht="36" customHeight="1">
      <c r="A256" s="2" t="inlineStr">
        <is>
          <t>2026-05-28 (정정: 2026-06-26)</t>
        </is>
      </c>
      <c r="B256" s="3" t="inlineStr">
        <is>
          <t>스코넥</t>
        </is>
      </c>
      <c r="C256" s="2" t="inlineStr">
        <is>
          <t>코스닥</t>
        </is>
      </c>
      <c r="D256" s="2" t="inlineStr">
        <is>
          <t>276040</t>
        </is>
      </c>
      <c r="E256" s="9" t="inlineStr">
        <is>
          <t>유상증자</t>
        </is>
      </c>
      <c r="F256" s="3" t="inlineStr">
        <is>
          <t>[기재정정]주요사항보고서(유상증자결정) (정정: 20260626)</t>
        </is>
      </c>
      <c r="G256" s="5" t="n">
        <v>3000000000</v>
      </c>
      <c r="H256" s="5" t="n">
        <v>500</v>
      </c>
      <c r="I256" s="2" t="inlineStr">
        <is>
          <t>보통주식</t>
        </is>
      </c>
      <c r="J256" s="6" t="n">
        <v>6000000</v>
      </c>
      <c r="K256" s="2" t="inlineStr">
        <is>
          <t>2026-10-06</t>
        </is>
      </c>
      <c r="L256" s="2" t="inlineStr">
        <is>
          <t>2026-10-21</t>
        </is>
      </c>
      <c r="M256" s="2" t="inlineStr">
        <is>
          <t>-</t>
        </is>
      </c>
      <c r="N256" s="2" t="inlineStr">
        <is>
          <t>-</t>
        </is>
      </c>
      <c r="O256" s="10" t="n">
        <v>27.73882142833202</v>
      </c>
      <c r="P256" s="7" t="inlineStr">
        <is>
          <t>운영자금 (30.0억원)</t>
        </is>
      </c>
      <c r="Q256" s="2" t="inlineStr">
        <is>
          <t>-</t>
        </is>
      </c>
      <c r="R256" s="2" t="inlineStr">
        <is>
          <t>-</t>
        </is>
      </c>
      <c r="S256" s="2" t="inlineStr">
        <is>
          <t>20260626000405</t>
        </is>
      </c>
      <c r="T256" s="8">
        <f>HYPERLINK("https://dart.fss.or.kr/dsaf001/main.do?rcpNo=20260626000405", "공시열람")</f>
        <v/>
      </c>
    </row>
    <row r="257" ht="36" customHeight="1">
      <c r="A257" s="2" t="inlineStr">
        <is>
          <t>2026-05-29 (정정: 2026-06-09)</t>
        </is>
      </c>
      <c r="B257" s="3" t="inlineStr">
        <is>
          <t>유니슨</t>
        </is>
      </c>
      <c r="C257" s="2" t="inlineStr">
        <is>
          <t>코스닥</t>
        </is>
      </c>
      <c r="D257" s="2" t="inlineStr">
        <is>
          <t>018000</t>
        </is>
      </c>
      <c r="E257" s="11" t="inlineStr">
        <is>
          <t>전환사채(CB)</t>
        </is>
      </c>
      <c r="F257" s="3" t="inlineStr">
        <is>
          <t>주요사항보고서(전환사채권발행결정) (정정: 20260609)</t>
        </is>
      </c>
      <c r="G257" s="5" t="inlineStr"/>
      <c r="H257" s="5" t="inlineStr"/>
      <c r="I257" s="2" t="inlineStr">
        <is>
          <t>-</t>
        </is>
      </c>
      <c r="J257" s="6" t="inlineStr"/>
      <c r="K257" s="2" t="inlineStr">
        <is>
          <t>-</t>
        </is>
      </c>
      <c r="L257" s="2" t="inlineStr">
        <is>
          <t>-</t>
        </is>
      </c>
      <c r="M257" s="2" t="inlineStr">
        <is>
          <t>2027-06-08</t>
        </is>
      </c>
      <c r="N257" s="2" t="inlineStr">
        <is>
          <t>2028-05-08</t>
        </is>
      </c>
      <c r="O257" s="3" t="inlineStr"/>
      <c r="P257" s="7" t="inlineStr">
        <is>
          <t>-</t>
        </is>
      </c>
      <c r="Q257" s="2" t="inlineStr">
        <is>
          <t>2026-05-29</t>
        </is>
      </c>
      <c r="R257" s="2" t="inlineStr">
        <is>
          <t>2026-10-09</t>
        </is>
      </c>
      <c r="S257" s="2" t="inlineStr">
        <is>
          <t>20260609000001</t>
        </is>
      </c>
      <c r="T257" s="8">
        <f>HYPERLINK("https://dart.fss.or.kr/dsaf001/main.do?rcpNo=20260609000001", "공시열람")</f>
        <v/>
      </c>
    </row>
    <row r="258" ht="36" customHeight="1">
      <c r="A258" s="2" t="inlineStr">
        <is>
          <t>2026-03-25 (정정: 2026-05-29)</t>
        </is>
      </c>
      <c r="B258" s="3" t="inlineStr">
        <is>
          <t>카카오게임즈</t>
        </is>
      </c>
      <c r="C258" s="2" t="inlineStr">
        <is>
          <t>코스닥</t>
        </is>
      </c>
      <c r="D258" s="2" t="inlineStr">
        <is>
          <t>293490</t>
        </is>
      </c>
      <c r="E258" s="11" t="inlineStr">
        <is>
          <t>전환사채(CB)</t>
        </is>
      </c>
      <c r="F258" s="3" t="inlineStr">
        <is>
          <t>[기재정정]주요사항보고서(전환사채권발행결정)</t>
        </is>
      </c>
      <c r="G258" s="5" t="inlineStr"/>
      <c r="H258" s="5" t="inlineStr"/>
      <c r="I258" s="2" t="inlineStr">
        <is>
          <t>-</t>
        </is>
      </c>
      <c r="J258" s="6" t="inlineStr"/>
      <c r="K258" s="2" t="inlineStr">
        <is>
          <t>-</t>
        </is>
      </c>
      <c r="L258" s="2" t="inlineStr">
        <is>
          <t>-</t>
        </is>
      </c>
      <c r="M258" s="2" t="inlineStr">
        <is>
          <t>2027-06-19</t>
        </is>
      </c>
      <c r="N258" s="2" t="inlineStr">
        <is>
          <t>2029-06-12</t>
        </is>
      </c>
      <c r="O258" s="3" t="inlineStr"/>
      <c r="P258" s="7" t="inlineStr">
        <is>
          <t>-</t>
        </is>
      </c>
      <c r="Q258" s="2" t="inlineStr">
        <is>
          <t>-</t>
        </is>
      </c>
      <c r="R258" s="2" t="inlineStr">
        <is>
          <t>-</t>
        </is>
      </c>
      <c r="S258" s="2" t="inlineStr">
        <is>
          <t>20260529002244</t>
        </is>
      </c>
      <c r="T258" s="8">
        <f>HYPERLINK("https://dart.fss.or.kr/dsaf001/main.do?rcpNo=20260529002244", "공시열람")</f>
        <v/>
      </c>
    </row>
    <row r="259" ht="36" customHeight="1">
      <c r="A259" s="2" t="inlineStr">
        <is>
          <t>2026-03-25 (정정: 2026-05-29)</t>
        </is>
      </c>
      <c r="B259" s="3" t="inlineStr">
        <is>
          <t>카카오게임즈</t>
        </is>
      </c>
      <c r="C259" s="2" t="inlineStr">
        <is>
          <t>코스닥</t>
        </is>
      </c>
      <c r="D259" s="2" t="inlineStr">
        <is>
          <t>293490</t>
        </is>
      </c>
      <c r="E259" s="9" t="inlineStr">
        <is>
          <t>유상증자</t>
        </is>
      </c>
      <c r="F259" s="3" t="inlineStr">
        <is>
          <t>[기재정정]주요사항보고서(유상증자결정)</t>
        </is>
      </c>
      <c r="G259" s="5" t="n">
        <v>240000</v>
      </c>
      <c r="H259" s="5" t="n">
        <v>13747</v>
      </c>
      <c r="I259" s="2" t="inlineStr">
        <is>
          <t>보통주식</t>
        </is>
      </c>
      <c r="J259" s="6" t="n">
        <v>17458354</v>
      </c>
      <c r="K259" s="2" t="inlineStr">
        <is>
          <t>2026-06-19</t>
        </is>
      </c>
      <c r="L259" s="2" t="inlineStr">
        <is>
          <t>2026-07-02</t>
        </is>
      </c>
      <c r="M259" s="2" t="inlineStr">
        <is>
          <t>-</t>
        </is>
      </c>
      <c r="N259" s="2" t="inlineStr">
        <is>
          <t>-</t>
        </is>
      </c>
      <c r="O259" s="10" t="n">
        <v>19.44420829891341</v>
      </c>
      <c r="P259" s="7" t="inlineStr">
        <is>
          <t>운영자금 (240,000원)</t>
        </is>
      </c>
      <c r="Q259" s="2" t="inlineStr">
        <is>
          <t>-</t>
        </is>
      </c>
      <c r="R259" s="2" t="inlineStr">
        <is>
          <t>-</t>
        </is>
      </c>
      <c r="S259" s="2" t="inlineStr">
        <is>
          <t>20260529002223</t>
        </is>
      </c>
      <c r="T259" s="8">
        <f>HYPERLINK("https://dart.fss.or.kr/dsaf001/main.do?rcpNo=20260529002223", "공시열람")</f>
        <v/>
      </c>
    </row>
    <row r="260" ht="36" customHeight="1">
      <c r="A260" s="2" t="inlineStr">
        <is>
          <t>2026-05-29</t>
        </is>
      </c>
      <c r="B260" s="3" t="inlineStr">
        <is>
          <t>넥스턴앤롤코리아</t>
        </is>
      </c>
      <c r="C260" s="2" t="inlineStr">
        <is>
          <t>코스닥</t>
        </is>
      </c>
      <c r="D260" s="2" t="inlineStr">
        <is>
          <t>089140</t>
        </is>
      </c>
      <c r="E260" s="9" t="inlineStr">
        <is>
          <t>유상증자</t>
        </is>
      </c>
      <c r="F260" s="3" t="inlineStr">
        <is>
          <t>주요사항보고서(유상증자결정)</t>
        </is>
      </c>
      <c r="G260" s="5" t="n">
        <v>1400</v>
      </c>
      <c r="H260" s="5" t="n">
        <v>2500</v>
      </c>
      <c r="I260" s="2" t="inlineStr">
        <is>
          <t>보통주식</t>
        </is>
      </c>
      <c r="J260" s="6" t="n">
        <v>1600000</v>
      </c>
      <c r="K260" s="2" t="inlineStr">
        <is>
          <t>2026-08-28</t>
        </is>
      </c>
      <c r="L260" s="2" t="inlineStr">
        <is>
          <t>2026-09-21</t>
        </is>
      </c>
      <c r="M260" s="2" t="inlineStr">
        <is>
          <t>-</t>
        </is>
      </c>
      <c r="N260" s="2" t="inlineStr">
        <is>
          <t>-</t>
        </is>
      </c>
      <c r="O260" s="10" t="n">
        <v>10.44643219736653</v>
      </c>
      <c r="P260" s="7" t="inlineStr">
        <is>
          <t>운영자금 (1,400원)</t>
        </is>
      </c>
      <c r="Q260" s="2" t="inlineStr">
        <is>
          <t>-</t>
        </is>
      </c>
      <c r="R260" s="2" t="inlineStr">
        <is>
          <t>-</t>
        </is>
      </c>
      <c r="S260" s="2" t="inlineStr">
        <is>
          <t>20260529002201</t>
        </is>
      </c>
      <c r="T260" s="8">
        <f>HYPERLINK("https://dart.fss.or.kr/dsaf001/main.do?rcpNo=20260529002201", "공시열람")</f>
        <v/>
      </c>
    </row>
    <row r="261" ht="36" customHeight="1">
      <c r="A261" s="2" t="inlineStr">
        <is>
          <t>2026-05-07 (정정: 2026-05-29)</t>
        </is>
      </c>
      <c r="B261" s="3" t="inlineStr">
        <is>
          <t>엑스페릭스</t>
        </is>
      </c>
      <c r="C261" s="2" t="inlineStr">
        <is>
          <t>코스닥</t>
        </is>
      </c>
      <c r="D261" s="2" t="inlineStr">
        <is>
          <t>317770</t>
        </is>
      </c>
      <c r="E261" s="11" t="inlineStr">
        <is>
          <t>전환사채(CB)</t>
        </is>
      </c>
      <c r="F261" s="3" t="inlineStr">
        <is>
          <t>[기재정정]주요사항보고서(전환사채권발행결정)</t>
        </is>
      </c>
      <c r="G261" s="5" t="inlineStr"/>
      <c r="H261" s="5" t="inlineStr"/>
      <c r="I261" s="2" t="inlineStr">
        <is>
          <t>-</t>
        </is>
      </c>
      <c r="J261" s="6" t="inlineStr"/>
      <c r="K261" s="2" t="inlineStr">
        <is>
          <t>-</t>
        </is>
      </c>
      <c r="L261" s="2" t="inlineStr">
        <is>
          <t>-</t>
        </is>
      </c>
      <c r="M261" s="2" t="inlineStr">
        <is>
          <t>2027-06-30</t>
        </is>
      </c>
      <c r="N261" s="2" t="inlineStr">
        <is>
          <t>2029-05-30</t>
        </is>
      </c>
      <c r="O261" s="3" t="inlineStr"/>
      <c r="P261" s="7" t="inlineStr">
        <is>
          <t>-</t>
        </is>
      </c>
      <c r="Q261" s="2" t="inlineStr">
        <is>
          <t>2027-06-04</t>
        </is>
      </c>
      <c r="R261" s="2" t="inlineStr">
        <is>
          <t>2028-05-15</t>
        </is>
      </c>
      <c r="S261" s="2" t="inlineStr">
        <is>
          <t>20260529002142</t>
        </is>
      </c>
      <c r="T261" s="8">
        <f>HYPERLINK("https://dart.fss.or.kr/dsaf001/main.do?rcpNo=20260529002142", "공시열람")</f>
        <v/>
      </c>
    </row>
    <row r="262" ht="36" customHeight="1">
      <c r="A262" s="2" t="inlineStr">
        <is>
          <t>2026-05-29 (정정: 2026-06-08)</t>
        </is>
      </c>
      <c r="B262" s="3" t="inlineStr">
        <is>
          <t>한성크린텍</t>
        </is>
      </c>
      <c r="C262" s="2" t="inlineStr">
        <is>
          <t>코스닥</t>
        </is>
      </c>
      <c r="D262" s="2" t="inlineStr">
        <is>
          <t>066980</t>
        </is>
      </c>
      <c r="E262" s="11" t="inlineStr">
        <is>
          <t>전환사채(CB)</t>
        </is>
      </c>
      <c r="F262" s="3" t="inlineStr">
        <is>
          <t>주요사항보고서(전환사채권발행결정) (정정: 20260608)</t>
        </is>
      </c>
      <c r="G262" s="5" t="inlineStr"/>
      <c r="H262" s="5" t="inlineStr"/>
      <c r="I262" s="2" t="inlineStr">
        <is>
          <t>-</t>
        </is>
      </c>
      <c r="J262" s="6" t="inlineStr"/>
      <c r="K262" s="2" t="inlineStr">
        <is>
          <t>-</t>
        </is>
      </c>
      <c r="L262" s="2" t="inlineStr">
        <is>
          <t>-</t>
        </is>
      </c>
      <c r="M262" s="2" t="inlineStr">
        <is>
          <t>2027-06-15</t>
        </is>
      </c>
      <c r="N262" s="2" t="inlineStr">
        <is>
          <t>2031-05-15</t>
        </is>
      </c>
      <c r="O262" s="3" t="inlineStr"/>
      <c r="P262" s="7" t="inlineStr">
        <is>
          <t>-</t>
        </is>
      </c>
      <c r="Q262" s="2" t="inlineStr">
        <is>
          <t>2027-06-08</t>
        </is>
      </c>
      <c r="R262" s="2" t="inlineStr">
        <is>
          <t>2028-06-08</t>
        </is>
      </c>
      <c r="S262" s="2" t="inlineStr">
        <is>
          <t>20260605000668</t>
        </is>
      </c>
      <c r="T262" s="8">
        <f>HYPERLINK("https://dart.fss.or.kr/dsaf001/main.do?rcpNo=20260605000668", "공시열람")</f>
        <v/>
      </c>
    </row>
    <row r="263" ht="36" customHeight="1">
      <c r="A263" s="2" t="inlineStr">
        <is>
          <t>2026-05-29 (정정: 2026-05-29)</t>
        </is>
      </c>
      <c r="B263" s="3" t="inlineStr">
        <is>
          <t>셀피글로벌</t>
        </is>
      </c>
      <c r="C263" s="2" t="inlineStr">
        <is>
          <t>코스닥</t>
        </is>
      </c>
      <c r="D263" s="2" t="inlineStr">
        <is>
          <t>068940</t>
        </is>
      </c>
      <c r="E263" s="11" t="inlineStr">
        <is>
          <t>전환사채(CB)</t>
        </is>
      </c>
      <c r="F263" s="3" t="inlineStr">
        <is>
          <t>[기재정정]주요사항보고서(전환사채권발행결정) (정정: 20260529)</t>
        </is>
      </c>
      <c r="G263" s="5" t="inlineStr"/>
      <c r="H263" s="5" t="inlineStr"/>
      <c r="I263" s="2" t="inlineStr">
        <is>
          <t>-</t>
        </is>
      </c>
      <c r="J263" s="6" t="inlineStr"/>
      <c r="K263" s="2" t="inlineStr">
        <is>
          <t>-</t>
        </is>
      </c>
      <c r="L263" s="2" t="inlineStr">
        <is>
          <t>-</t>
        </is>
      </c>
      <c r="M263" s="2" t="inlineStr">
        <is>
          <t>2027-07-31</t>
        </is>
      </c>
      <c r="N263" s="2" t="inlineStr">
        <is>
          <t>2029-06-30</t>
        </is>
      </c>
      <c r="O263" s="3" t="inlineStr"/>
      <c r="P263" s="7" t="inlineStr">
        <is>
          <t>-</t>
        </is>
      </c>
      <c r="Q263" s="2" t="inlineStr">
        <is>
          <t>2027-07-31</t>
        </is>
      </c>
      <c r="R263" s="2" t="inlineStr">
        <is>
          <t>2027-05-29</t>
        </is>
      </c>
      <c r="S263" s="2" t="inlineStr">
        <is>
          <t>20260529001762</t>
        </is>
      </c>
      <c r="T263" s="8">
        <f>HYPERLINK("https://dart.fss.or.kr/dsaf001/main.do?rcpNo=20260529001762", "공시열람")</f>
        <v/>
      </c>
    </row>
    <row r="264" ht="36" customHeight="1">
      <c r="A264" s="2" t="inlineStr">
        <is>
          <t>2026-05-29 (정정: 2026-06-16)</t>
        </is>
      </c>
      <c r="B264" s="3" t="inlineStr">
        <is>
          <t>포니링크</t>
        </is>
      </c>
      <c r="C264" s="2" t="inlineStr">
        <is>
          <t>코스닥</t>
        </is>
      </c>
      <c r="D264" s="2" t="inlineStr">
        <is>
          <t>064800</t>
        </is>
      </c>
      <c r="E264" s="11" t="inlineStr">
        <is>
          <t>전환사채(CB)</t>
        </is>
      </c>
      <c r="F264" s="3" t="inlineStr">
        <is>
          <t>주요사항보고서(전환사채권발행결정) (정정: 20260608) (정정: 20260616)</t>
        </is>
      </c>
      <c r="G264" s="5" t="inlineStr"/>
      <c r="H264" s="5" t="inlineStr"/>
      <c r="I264" s="2" t="inlineStr">
        <is>
          <t>-</t>
        </is>
      </c>
      <c r="J264" s="6" t="inlineStr"/>
      <c r="K264" s="2" t="inlineStr">
        <is>
          <t>-</t>
        </is>
      </c>
      <c r="L264" s="2" t="inlineStr">
        <is>
          <t>-</t>
        </is>
      </c>
      <c r="M264" s="2" t="inlineStr">
        <is>
          <t>2027-06-16</t>
        </is>
      </c>
      <c r="N264" s="2" t="inlineStr">
        <is>
          <t>2031-05-16</t>
        </is>
      </c>
      <c r="O264" s="3" t="inlineStr"/>
      <c r="P264" s="7" t="inlineStr">
        <is>
          <t>-</t>
        </is>
      </c>
      <c r="Q264" s="2" t="inlineStr">
        <is>
          <t>-</t>
        </is>
      </c>
      <c r="R264" s="2" t="inlineStr">
        <is>
          <t>2027-04-16</t>
        </is>
      </c>
      <c r="S264" s="2" t="inlineStr">
        <is>
          <t>20260616000268</t>
        </is>
      </c>
      <c r="T264" s="8">
        <f>HYPERLINK("https://dart.fss.or.kr/dsaf001/main.do?rcpNo=20260616000268", "공시열람")</f>
        <v/>
      </c>
    </row>
    <row r="265" ht="36" customHeight="1">
      <c r="A265" s="2" t="inlineStr">
        <is>
          <t>2026-04-27 (정정: 2026-05-29)</t>
        </is>
      </c>
      <c r="B265" s="3" t="inlineStr">
        <is>
          <t>에이럭스</t>
        </is>
      </c>
      <c r="C265" s="2" t="inlineStr">
        <is>
          <t>코스닥</t>
        </is>
      </c>
      <c r="D265" s="2" t="inlineStr">
        <is>
          <t>475580</t>
        </is>
      </c>
      <c r="E265" s="9" t="inlineStr">
        <is>
          <t>유상증자</t>
        </is>
      </c>
      <c r="F265" s="3" t="inlineStr">
        <is>
          <t xml:space="preserve">[기재정정]유상증자결정(종속회사의주요경영사항)              </t>
        </is>
      </c>
      <c r="G265" s="5" t="n">
        <v>7958427900</v>
      </c>
      <c r="H265" s="5" t="n">
        <v>10900</v>
      </c>
      <c r="I265" s="2" t="inlineStr">
        <is>
          <t>보통주식</t>
        </is>
      </c>
      <c r="J265" s="6" t="n">
        <v>730131</v>
      </c>
      <c r="K265" s="2" t="inlineStr">
        <is>
          <t>2026-07-31</t>
        </is>
      </c>
      <c r="L265" s="2" t="inlineStr">
        <is>
          <t>-</t>
        </is>
      </c>
      <c r="M265" s="2" t="inlineStr">
        <is>
          <t>-</t>
        </is>
      </c>
      <c r="N265" s="2" t="inlineStr">
        <is>
          <t>-</t>
        </is>
      </c>
      <c r="O265" s="10" t="n">
        <v>405.6283333333333</v>
      </c>
      <c r="P265" s="7" t="inlineStr">
        <is>
          <t>타법인증권취득자금 (79.6억원)</t>
        </is>
      </c>
      <c r="Q265" s="2" t="inlineStr">
        <is>
          <t>-</t>
        </is>
      </c>
      <c r="R265" s="2" t="inlineStr">
        <is>
          <t>-</t>
        </is>
      </c>
      <c r="S265" s="2" t="inlineStr">
        <is>
          <t>20260529901584</t>
        </is>
      </c>
      <c r="T265" s="8">
        <f>HYPERLINK("https://dart.fss.or.kr/dsaf001/main.do?rcpNo=20260529901584", "공시열람")</f>
        <v/>
      </c>
    </row>
    <row r="266" ht="36" customHeight="1">
      <c r="A266" s="2" t="inlineStr">
        <is>
          <t>2026-05-29</t>
        </is>
      </c>
      <c r="B266" s="3" t="inlineStr">
        <is>
          <t>아이엘</t>
        </is>
      </c>
      <c r="C266" s="2" t="inlineStr">
        <is>
          <t>코스닥</t>
        </is>
      </c>
      <c r="D266" s="2" t="inlineStr">
        <is>
          <t>307180</t>
        </is>
      </c>
      <c r="E266" s="11" t="inlineStr">
        <is>
          <t>전환사채(CB)</t>
        </is>
      </c>
      <c r="F266" s="3" t="inlineStr">
        <is>
          <t>주요사항보고서(전환사채권발행결정)</t>
        </is>
      </c>
      <c r="G266" s="5" t="n">
        <v>17200000000</v>
      </c>
      <c r="H266" s="5" t="n">
        <v>8467</v>
      </c>
      <c r="I266" s="2" t="inlineStr">
        <is>
          <t>주식회사 아이엘 기명식 보통주</t>
        </is>
      </c>
      <c r="J266" s="6" t="n">
        <v>2031416</v>
      </c>
      <c r="K266" s="2" t="inlineStr">
        <is>
          <t>2026년 06월 08일</t>
        </is>
      </c>
      <c r="L266" s="2" t="inlineStr">
        <is>
          <t>-</t>
        </is>
      </c>
      <c r="M266" s="2" t="inlineStr">
        <is>
          <t>2027-06-08</t>
        </is>
      </c>
      <c r="N266" s="2" t="inlineStr">
        <is>
          <t>2031-05-08</t>
        </is>
      </c>
      <c r="O266" s="10" t="n">
        <v>5.22</v>
      </c>
      <c r="P266" s="7" t="inlineStr">
        <is>
          <t>-</t>
        </is>
      </c>
      <c r="Q266" s="2" t="inlineStr">
        <is>
          <t>2027-06-08</t>
        </is>
      </c>
      <c r="R266" s="2" t="inlineStr">
        <is>
          <t>2028-06-08</t>
        </is>
      </c>
      <c r="S266" s="2" t="inlineStr">
        <is>
          <t>20260529001709</t>
        </is>
      </c>
      <c r="T266" s="8">
        <f>HYPERLINK("https://dart.fss.or.kr/dsaf001/main.do?rcpNo=20260529001709", "공시열람")</f>
        <v/>
      </c>
    </row>
    <row r="267" ht="36" customHeight="1">
      <c r="A267" s="2" t="inlineStr">
        <is>
          <t>2026-05-29 (정정: 2026-06-15)</t>
        </is>
      </c>
      <c r="B267" s="3" t="inlineStr">
        <is>
          <t>퓨쳐켐</t>
        </is>
      </c>
      <c r="C267" s="2" t="inlineStr">
        <is>
          <t>코스닥</t>
        </is>
      </c>
      <c r="D267" s="2" t="inlineStr">
        <is>
          <t>220100</t>
        </is>
      </c>
      <c r="E267" s="2" t="inlineStr">
        <is>
          <t>무상증자</t>
        </is>
      </c>
      <c r="F267" s="3" t="inlineStr">
        <is>
          <t>주요사항보고서(유무상증자결정) (정정: 20260615)</t>
        </is>
      </c>
      <c r="G267" s="5" t="inlineStr"/>
      <c r="H267" s="5" t="inlineStr"/>
      <c r="I267" s="2" t="inlineStr">
        <is>
          <t>-</t>
        </is>
      </c>
      <c r="J267" s="6" t="inlineStr"/>
      <c r="K267" s="2" t="inlineStr">
        <is>
          <t>-</t>
        </is>
      </c>
      <c r="L267" s="2" t="inlineStr">
        <is>
          <t>-</t>
        </is>
      </c>
      <c r="M267" s="2" t="inlineStr">
        <is>
          <t>-</t>
        </is>
      </c>
      <c r="N267" s="2" t="inlineStr">
        <is>
          <t>-</t>
        </is>
      </c>
      <c r="O267" s="3" t="inlineStr"/>
      <c r="P267" s="7" t="inlineStr">
        <is>
          <t>-</t>
        </is>
      </c>
      <c r="Q267" s="2" t="inlineStr">
        <is>
          <t>-</t>
        </is>
      </c>
      <c r="R267" s="2" t="inlineStr">
        <is>
          <t>-</t>
        </is>
      </c>
      <c r="S267" s="2" t="inlineStr">
        <is>
          <t>20260615000273</t>
        </is>
      </c>
      <c r="T267" s="8">
        <f>HYPERLINK("https://dart.fss.or.kr/dsaf001/main.do?rcpNo=20260615000273", "공시열람")</f>
        <v/>
      </c>
    </row>
    <row r="268" ht="36" customHeight="1">
      <c r="A268" s="2" t="inlineStr">
        <is>
          <t>2026-05-29 (정정: 2026-06-22)</t>
        </is>
      </c>
      <c r="B268" s="3" t="inlineStr">
        <is>
          <t>아리바이오LAB</t>
        </is>
      </c>
      <c r="C268" s="2" t="inlineStr">
        <is>
          <t>코스닥</t>
        </is>
      </c>
      <c r="D268" s="2" t="inlineStr">
        <is>
          <t>261780</t>
        </is>
      </c>
      <c r="E268" s="9" t="inlineStr">
        <is>
          <t>유상증자</t>
        </is>
      </c>
      <c r="F268" s="3" t="inlineStr">
        <is>
          <t>[기재정정]주요사항보고서(유상증자결정) (정정: 20260622)</t>
        </is>
      </c>
      <c r="G268" s="5" t="n">
        <v>3000</v>
      </c>
      <c r="H268" s="5" t="n">
        <v>2725</v>
      </c>
      <c r="I268" s="2" t="inlineStr">
        <is>
          <t>보통주식</t>
        </is>
      </c>
      <c r="J268" s="6" t="n">
        <v>1100917</v>
      </c>
      <c r="K268" s="2" t="inlineStr">
        <is>
          <t>2026-06-30</t>
        </is>
      </c>
      <c r="L268" s="2" t="inlineStr">
        <is>
          <t>2026-07-15</t>
        </is>
      </c>
      <c r="M268" s="2" t="inlineStr">
        <is>
          <t>-</t>
        </is>
      </c>
      <c r="N268" s="2" t="inlineStr">
        <is>
          <t>-</t>
        </is>
      </c>
      <c r="O268" s="10" t="n">
        <v>4.090651966061304</v>
      </c>
      <c r="P268" s="7" t="inlineStr">
        <is>
          <t>운영자금 (3,000원)</t>
        </is>
      </c>
      <c r="Q268" s="2" t="inlineStr">
        <is>
          <t>-</t>
        </is>
      </c>
      <c r="R268" s="2" t="inlineStr">
        <is>
          <t>-</t>
        </is>
      </c>
      <c r="S268" s="2" t="inlineStr">
        <is>
          <t>20260622000241</t>
        </is>
      </c>
      <c r="T268" s="8">
        <f>HYPERLINK("https://dart.fss.or.kr/dsaf001/main.do?rcpNo=20260622000241", "공시열람")</f>
        <v/>
      </c>
    </row>
    <row r="269" ht="36" customHeight="1">
      <c r="A269" s="2" t="inlineStr">
        <is>
          <t>2026-05-29 (정정: 2026-06-22)</t>
        </is>
      </c>
      <c r="B269" s="3" t="inlineStr">
        <is>
          <t>앤로보틱스</t>
        </is>
      </c>
      <c r="C269" s="2" t="inlineStr">
        <is>
          <t>코스닥</t>
        </is>
      </c>
      <c r="D269" s="2" t="inlineStr">
        <is>
          <t>138360</t>
        </is>
      </c>
      <c r="E269" s="9" t="inlineStr">
        <is>
          <t>유상증자</t>
        </is>
      </c>
      <c r="F269" s="3" t="inlineStr">
        <is>
          <t>[기재정정]주요사항보고서(유상증자결정) (정정: 20260622)</t>
        </is>
      </c>
      <c r="G269" s="5" t="n">
        <v>10000000360</v>
      </c>
      <c r="H269" s="5" t="n">
        <v>740</v>
      </c>
      <c r="I269" s="2" t="inlineStr">
        <is>
          <t>보통주식</t>
        </is>
      </c>
      <c r="J269" s="6" t="n">
        <v>13513514</v>
      </c>
      <c r="K269" s="2" t="inlineStr">
        <is>
          <t>2026-06-26</t>
        </is>
      </c>
      <c r="L269" s="2" t="inlineStr">
        <is>
          <t>2026-07-15</t>
        </is>
      </c>
      <c r="M269" s="2" t="inlineStr">
        <is>
          <t>-</t>
        </is>
      </c>
      <c r="N269" s="2" t="inlineStr">
        <is>
          <t>-</t>
        </is>
      </c>
      <c r="O269" s="10" t="n">
        <v>26.01916823312288</v>
      </c>
      <c r="P269" s="7" t="inlineStr">
        <is>
          <t>채무상환자금 (100.0억원)</t>
        </is>
      </c>
      <c r="Q269" s="2" t="inlineStr">
        <is>
          <t>-</t>
        </is>
      </c>
      <c r="R269" s="2" t="inlineStr">
        <is>
          <t>-</t>
        </is>
      </c>
      <c r="S269" s="2" t="inlineStr">
        <is>
          <t>20260622000221</t>
        </is>
      </c>
      <c r="T269" s="8">
        <f>HYPERLINK("https://dart.fss.or.kr/dsaf001/main.do?rcpNo=20260622000221", "공시열람")</f>
        <v/>
      </c>
    </row>
    <row r="270" ht="36" customHeight="1">
      <c r="A270" s="2" t="inlineStr">
        <is>
          <t>2026-05-29 (정정: 2026-06-26)</t>
        </is>
      </c>
      <c r="B270" s="3" t="inlineStr">
        <is>
          <t>에이팩트</t>
        </is>
      </c>
      <c r="C270" s="2" t="inlineStr">
        <is>
          <t>코스닥</t>
        </is>
      </c>
      <c r="D270" s="2" t="inlineStr">
        <is>
          <t>200470</t>
        </is>
      </c>
      <c r="E270" s="11" t="inlineStr">
        <is>
          <t>전환사채(CB)</t>
        </is>
      </c>
      <c r="F270" s="3" t="inlineStr">
        <is>
          <t>주요사항보고서(전환사채권발행결정) (정정: 20260626)</t>
        </is>
      </c>
      <c r="G270" s="5" t="inlineStr"/>
      <c r="H270" s="5" t="inlineStr"/>
      <c r="I270" s="2" t="inlineStr">
        <is>
          <t>-</t>
        </is>
      </c>
      <c r="J270" s="6" t="inlineStr"/>
      <c r="K270" s="2" t="inlineStr">
        <is>
          <t>-</t>
        </is>
      </c>
      <c r="L270" s="2" t="inlineStr">
        <is>
          <t>-</t>
        </is>
      </c>
      <c r="M270" s="2" t="inlineStr">
        <is>
          <t>2027-06-10</t>
        </is>
      </c>
      <c r="N270" s="2" t="inlineStr">
        <is>
          <t>2031-05-12</t>
        </is>
      </c>
      <c r="O270" s="3" t="inlineStr"/>
      <c r="P270" s="7" t="inlineStr">
        <is>
          <t>-</t>
        </is>
      </c>
      <c r="Q270" s="2" t="inlineStr">
        <is>
          <t>2027-05-10</t>
        </is>
      </c>
      <c r="R270" s="2" t="inlineStr">
        <is>
          <t>2028-04-13</t>
        </is>
      </c>
      <c r="S270" s="2" t="inlineStr">
        <is>
          <t>20260626000406</t>
        </is>
      </c>
      <c r="T270" s="8">
        <f>HYPERLINK("https://dart.fss.or.kr/dsaf001/main.do?rcpNo=20260626000406", "공시열람")</f>
        <v/>
      </c>
    </row>
    <row r="271" ht="36" customHeight="1">
      <c r="A271" s="2" t="inlineStr">
        <is>
          <t>2026-05-29</t>
        </is>
      </c>
      <c r="B271" s="3" t="inlineStr">
        <is>
          <t>우진비앤지</t>
        </is>
      </c>
      <c r="C271" s="2" t="inlineStr">
        <is>
          <t>코스닥</t>
        </is>
      </c>
      <c r="D271" s="2" t="inlineStr">
        <is>
          <t>018620</t>
        </is>
      </c>
      <c r="E271" s="2" t="inlineStr">
        <is>
          <t>무상증자</t>
        </is>
      </c>
      <c r="F271" s="3" t="inlineStr">
        <is>
          <t>주요사항보고서(무상증자결정)</t>
        </is>
      </c>
      <c r="G271" s="5" t="inlineStr"/>
      <c r="H271" s="5" t="inlineStr"/>
      <c r="I271" s="2" t="inlineStr">
        <is>
          <t>-</t>
        </is>
      </c>
      <c r="J271" s="6" t="inlineStr"/>
      <c r="K271" s="2" t="inlineStr">
        <is>
          <t>-</t>
        </is>
      </c>
      <c r="L271" s="2" t="inlineStr">
        <is>
          <t>-</t>
        </is>
      </c>
      <c r="M271" s="2" t="inlineStr">
        <is>
          <t>-</t>
        </is>
      </c>
      <c r="N271" s="2" t="inlineStr">
        <is>
          <t>-</t>
        </is>
      </c>
      <c r="O271" s="3" t="inlineStr"/>
      <c r="P271" s="7" t="inlineStr">
        <is>
          <t>-</t>
        </is>
      </c>
      <c r="Q271" s="2" t="inlineStr">
        <is>
          <t>-</t>
        </is>
      </c>
      <c r="R271" s="2" t="inlineStr">
        <is>
          <t>-</t>
        </is>
      </c>
      <c r="S271" s="2" t="inlineStr">
        <is>
          <t>20260529000302</t>
        </is>
      </c>
      <c r="T271" s="8">
        <f>HYPERLINK("https://dart.fss.or.kr/dsaf001/main.do?rcpNo=20260529000302", "공시열람")</f>
        <v/>
      </c>
    </row>
    <row r="272" ht="36" customHeight="1">
      <c r="A272" s="2" t="inlineStr">
        <is>
          <t>2026-06-01</t>
        </is>
      </c>
      <c r="B272" s="3" t="inlineStr">
        <is>
          <t>올릭스</t>
        </is>
      </c>
      <c r="C272" s="2" t="inlineStr">
        <is>
          <t>코스닥</t>
        </is>
      </c>
      <c r="D272" s="2" t="inlineStr">
        <is>
          <t>226950</t>
        </is>
      </c>
      <c r="E272" s="9" t="inlineStr">
        <is>
          <t>유상증자</t>
        </is>
      </c>
      <c r="F272" s="3" t="inlineStr">
        <is>
          <t>주요사항보고서(유상증자결정)</t>
        </is>
      </c>
      <c r="G272" s="5" t="n">
        <v>110758</v>
      </c>
      <c r="H272" s="5" t="n">
        <v>149599</v>
      </c>
      <c r="I272" s="2" t="inlineStr">
        <is>
          <t>보통주식</t>
        </is>
      </c>
      <c r="J272" s="6" t="n">
        <v>740367</v>
      </c>
      <c r="K272" s="2" t="inlineStr">
        <is>
          <t>2026-06-29</t>
        </is>
      </c>
      <c r="L272" s="2" t="inlineStr">
        <is>
          <t>2026-07-17</t>
        </is>
      </c>
      <c r="M272" s="2" t="inlineStr">
        <is>
          <t>-</t>
        </is>
      </c>
      <c r="N272" s="2" t="inlineStr">
        <is>
          <t>-</t>
        </is>
      </c>
      <c r="O272" s="10" t="n">
        <v>3.643093218481226</v>
      </c>
      <c r="P272" s="7" t="inlineStr">
        <is>
          <t>운영자금 (110,758원)</t>
        </is>
      </c>
      <c r="Q272" s="2" t="inlineStr">
        <is>
          <t>-</t>
        </is>
      </c>
      <c r="R272" s="2" t="inlineStr">
        <is>
          <t>-</t>
        </is>
      </c>
      <c r="S272" s="2" t="inlineStr">
        <is>
          <t>20260601002040</t>
        </is>
      </c>
      <c r="T272" s="8">
        <f>HYPERLINK("https://dart.fss.or.kr/dsaf001/main.do?rcpNo=20260601002040", "공시열람")</f>
        <v/>
      </c>
    </row>
    <row r="273" ht="36" customHeight="1">
      <c r="A273" s="2" t="inlineStr">
        <is>
          <t>2026-06-01 (정정: 2026-06-01)</t>
        </is>
      </c>
      <c r="B273" s="3" t="inlineStr">
        <is>
          <t>다산솔루에타</t>
        </is>
      </c>
      <c r="C273" s="2" t="inlineStr">
        <is>
          <t>코스닥</t>
        </is>
      </c>
      <c r="D273" s="2" t="inlineStr">
        <is>
          <t>154040</t>
        </is>
      </c>
      <c r="E273" s="9" t="inlineStr">
        <is>
          <t>유상증자</t>
        </is>
      </c>
      <c r="F273" s="3" t="inlineStr">
        <is>
          <t>[기재정정]주요사항보고서(유상증자결정)</t>
        </is>
      </c>
      <c r="G273" s="5" t="n">
        <v>3200</v>
      </c>
      <c r="H273" s="5" t="n">
        <v>873</v>
      </c>
      <c r="I273" s="2" t="inlineStr">
        <is>
          <t>보통주식</t>
        </is>
      </c>
      <c r="J273" s="6" t="n">
        <v>3665520</v>
      </c>
      <c r="K273" s="2" t="inlineStr">
        <is>
          <t>2026-06-10</t>
        </is>
      </c>
      <c r="L273" s="2" t="inlineStr">
        <is>
          <t>2026-06-29</t>
        </is>
      </c>
      <c r="M273" s="2" t="inlineStr">
        <is>
          <t>-</t>
        </is>
      </c>
      <c r="N273" s="2" t="inlineStr">
        <is>
          <t>-</t>
        </is>
      </c>
      <c r="O273" s="10" t="n">
        <v>20.42061729593171</v>
      </c>
      <c r="P273" s="7" t="inlineStr">
        <is>
          <t>운영자금 (3,200원)</t>
        </is>
      </c>
      <c r="Q273" s="2" t="inlineStr">
        <is>
          <t>-</t>
        </is>
      </c>
      <c r="R273" s="2" t="inlineStr">
        <is>
          <t>-</t>
        </is>
      </c>
      <c r="S273" s="2" t="inlineStr">
        <is>
          <t>20260601001872</t>
        </is>
      </c>
      <c r="T273" s="8">
        <f>HYPERLINK("https://dart.fss.or.kr/dsaf001/main.do?rcpNo=20260601001872", "공시열람")</f>
        <v/>
      </c>
    </row>
    <row r="274" ht="36" customHeight="1">
      <c r="A274" s="2" t="inlineStr">
        <is>
          <t>2026-06-01</t>
        </is>
      </c>
      <c r="B274" s="3" t="inlineStr">
        <is>
          <t>해성옵틱스</t>
        </is>
      </c>
      <c r="C274" s="2" t="inlineStr">
        <is>
          <t>코스닥</t>
        </is>
      </c>
      <c r="D274" s="2" t="inlineStr">
        <is>
          <t>076610</t>
        </is>
      </c>
      <c r="E274" s="9" t="inlineStr">
        <is>
          <t>유상증자</t>
        </is>
      </c>
      <c r="F274" s="3" t="inlineStr">
        <is>
          <t>주요사항보고서(유상증자결정)</t>
        </is>
      </c>
      <c r="G274" s="5" t="n">
        <v>3000002000</v>
      </c>
      <c r="H274" s="5" t="n">
        <v>1719</v>
      </c>
      <c r="I274" s="2" t="inlineStr">
        <is>
          <t>보통주식</t>
        </is>
      </c>
      <c r="J274" s="6" t="n">
        <v>2908667</v>
      </c>
      <c r="K274" s="2" t="inlineStr">
        <is>
          <t>2026.06.12</t>
        </is>
      </c>
      <c r="L274" s="2" t="inlineStr">
        <is>
          <t>2026.06.29</t>
        </is>
      </c>
      <c r="M274" s="2" t="inlineStr">
        <is>
          <t>-</t>
        </is>
      </c>
      <c r="N274" s="2" t="inlineStr">
        <is>
          <t>-</t>
        </is>
      </c>
      <c r="O274" s="10" t="n">
        <v>5.16384772748621</v>
      </c>
      <c r="P274" s="7" t="inlineStr">
        <is>
          <t>시설자금 (30.0억원), 운영자금 (2,000원)</t>
        </is>
      </c>
      <c r="Q274" s="2" t="inlineStr">
        <is>
          <t>-</t>
        </is>
      </c>
      <c r="R274" s="2" t="inlineStr">
        <is>
          <t>-</t>
        </is>
      </c>
      <c r="S274" s="2" t="inlineStr">
        <is>
          <t>20260601001750</t>
        </is>
      </c>
      <c r="T274" s="8">
        <f>HYPERLINK("https://dart.fss.or.kr/dsaf001/main.do?rcpNo=20260601001750", "공시열람")</f>
        <v/>
      </c>
    </row>
    <row r="275" ht="36" customHeight="1">
      <c r="A275" s="2" t="inlineStr">
        <is>
          <t>2026-06-01</t>
        </is>
      </c>
      <c r="B275" s="3" t="inlineStr">
        <is>
          <t>삼미금속</t>
        </is>
      </c>
      <c r="C275" s="2" t="inlineStr">
        <is>
          <t>코스닥</t>
        </is>
      </c>
      <c r="D275" s="2" t="inlineStr">
        <is>
          <t>012210</t>
        </is>
      </c>
      <c r="E275" s="11" t="inlineStr">
        <is>
          <t>전환사채(CB)</t>
        </is>
      </c>
      <c r="F275" s="3" t="inlineStr">
        <is>
          <t>주요사항보고서(전환사채권발행결정)</t>
        </is>
      </c>
      <c r="G275" s="5" t="n">
        <v>30000000000</v>
      </c>
      <c r="H275" s="5" t="n">
        <v>13043</v>
      </c>
      <c r="I275" s="2" t="inlineStr">
        <is>
          <t>삼미금속 주식회사 기명식 보통주</t>
        </is>
      </c>
      <c r="J275" s="6" t="n">
        <v>2300084</v>
      </c>
      <c r="K275" s="2" t="inlineStr">
        <is>
          <t>2026년 06월 10일</t>
        </is>
      </c>
      <c r="L275" s="2" t="inlineStr">
        <is>
          <t>-</t>
        </is>
      </c>
      <c r="M275" s="2" t="inlineStr">
        <is>
          <t>2027-06-10</t>
        </is>
      </c>
      <c r="N275" s="2" t="inlineStr">
        <is>
          <t>2031-05-10</t>
        </is>
      </c>
      <c r="O275" s="10" t="n">
        <v>10.36</v>
      </c>
      <c r="P275" s="7" t="inlineStr">
        <is>
          <t>-</t>
        </is>
      </c>
      <c r="Q275" s="2" t="inlineStr">
        <is>
          <t>2027-06-10</t>
        </is>
      </c>
      <c r="R275" s="2" t="inlineStr">
        <is>
          <t>2027-06-10</t>
        </is>
      </c>
      <c r="S275" s="2" t="inlineStr">
        <is>
          <t>20260601001500</t>
        </is>
      </c>
      <c r="T275" s="8">
        <f>HYPERLINK("https://dart.fss.or.kr/dsaf001/main.do?rcpNo=20260601001500", "공시열람")</f>
        <v/>
      </c>
    </row>
    <row r="276" ht="36" customHeight="1">
      <c r="A276" s="2" t="inlineStr">
        <is>
          <t>2026-06-01</t>
        </is>
      </c>
      <c r="B276" s="3" t="inlineStr">
        <is>
          <t>다산솔루에타</t>
        </is>
      </c>
      <c r="C276" s="2" t="inlineStr">
        <is>
          <t>코스닥</t>
        </is>
      </c>
      <c r="D276" s="2" t="inlineStr">
        <is>
          <t>154040</t>
        </is>
      </c>
      <c r="E276" s="9" t="inlineStr">
        <is>
          <t>유상증자</t>
        </is>
      </c>
      <c r="F276" s="3" t="inlineStr">
        <is>
          <t>주요사항보고서(유상증자결정)</t>
        </is>
      </c>
      <c r="G276" s="5" t="n">
        <v>3200</v>
      </c>
      <c r="H276" s="5" t="n">
        <v>873</v>
      </c>
      <c r="I276" s="2" t="inlineStr">
        <is>
          <t>보통주식</t>
        </is>
      </c>
      <c r="J276" s="6" t="n">
        <v>3665520</v>
      </c>
      <c r="K276" s="2" t="inlineStr">
        <is>
          <t>2026-06-10</t>
        </is>
      </c>
      <c r="L276" s="2" t="inlineStr">
        <is>
          <t>2026-06-29</t>
        </is>
      </c>
      <c r="M276" s="2" t="inlineStr">
        <is>
          <t>-</t>
        </is>
      </c>
      <c r="N276" s="2" t="inlineStr">
        <is>
          <t>-</t>
        </is>
      </c>
      <c r="O276" s="10" t="n">
        <v>20.42061729593171</v>
      </c>
      <c r="P276" s="7" t="inlineStr">
        <is>
          <t>운영자금 (3,200원)</t>
        </is>
      </c>
      <c r="Q276" s="2" t="inlineStr">
        <is>
          <t>-</t>
        </is>
      </c>
      <c r="R276" s="2" t="inlineStr">
        <is>
          <t>-</t>
        </is>
      </c>
      <c r="S276" s="2" t="inlineStr">
        <is>
          <t>20260601001578</t>
        </is>
      </c>
      <c r="T276" s="8">
        <f>HYPERLINK("https://dart.fss.or.kr/dsaf001/main.do?rcpNo=20260601001578", "공시열람")</f>
        <v/>
      </c>
    </row>
    <row r="277" ht="36" customHeight="1">
      <c r="A277" s="2" t="inlineStr">
        <is>
          <t>2026-06-01</t>
        </is>
      </c>
      <c r="B277" s="3" t="inlineStr">
        <is>
          <t>금강공업</t>
        </is>
      </c>
      <c r="C277" s="2" t="inlineStr">
        <is>
          <t>코스피</t>
        </is>
      </c>
      <c r="D277" s="2" t="inlineStr">
        <is>
          <t>014280</t>
        </is>
      </c>
      <c r="E277" s="4" t="inlineStr">
        <is>
          <t>교환사채(EB)</t>
        </is>
      </c>
      <c r="F277" s="3" t="inlineStr">
        <is>
          <t>주요사항보고서(교환사채권발행결정)</t>
        </is>
      </c>
      <c r="G277" s="5" t="n">
        <v>31000000000</v>
      </c>
      <c r="H277" s="5" t="n">
        <v>14347</v>
      </c>
      <c r="I277" s="2" t="inlineStr">
        <is>
          <t>삼미금속 주식회사 기명식 보통주</t>
        </is>
      </c>
      <c r="J277" s="6" t="inlineStr"/>
      <c r="K277" s="2" t="inlineStr">
        <is>
          <t>2026년 07월 02일</t>
        </is>
      </c>
      <c r="L277" s="2" t="inlineStr">
        <is>
          <t>-</t>
        </is>
      </c>
      <c r="M277" s="2" t="inlineStr">
        <is>
          <t>2026-07-09</t>
        </is>
      </c>
      <c r="N277" s="2" t="inlineStr">
        <is>
          <t>2031-06-02</t>
        </is>
      </c>
      <c r="O277" s="3" t="inlineStr"/>
      <c r="P277" s="7" t="inlineStr">
        <is>
          <t>-</t>
        </is>
      </c>
      <c r="Q277" s="2" t="inlineStr">
        <is>
          <t>2029-01-02</t>
        </is>
      </c>
      <c r="R277" s="2" t="inlineStr">
        <is>
          <t>2028-11-03</t>
        </is>
      </c>
      <c r="S277" s="2" t="inlineStr">
        <is>
          <t>20260601001516</t>
        </is>
      </c>
      <c r="T277" s="8">
        <f>HYPERLINK("https://dart.fss.or.kr/dsaf001/main.do?rcpNo=20260601001516", "공시열람")</f>
        <v/>
      </c>
    </row>
    <row r="278" ht="36" customHeight="1">
      <c r="A278" s="2" t="inlineStr">
        <is>
          <t>2026-06-01 (정정: 2026-06-01)</t>
        </is>
      </c>
      <c r="B278" s="3" t="inlineStr">
        <is>
          <t>아이톡시</t>
        </is>
      </c>
      <c r="C278" s="2" t="inlineStr">
        <is>
          <t>코스닥</t>
        </is>
      </c>
      <c r="D278" s="2" t="inlineStr">
        <is>
          <t>052770</t>
        </is>
      </c>
      <c r="E278" s="9" t="inlineStr">
        <is>
          <t>유상증자</t>
        </is>
      </c>
      <c r="F278" s="3" t="inlineStr">
        <is>
          <t>기타주요경영사항              (제3자배정 유상증자결정 철회) (정정: 20260601)</t>
        </is>
      </c>
      <c r="G278" s="5" t="n">
        <v>0</v>
      </c>
      <c r="H278" s="5" t="inlineStr"/>
      <c r="I278" s="2" t="inlineStr">
        <is>
          <t>보통주식</t>
        </is>
      </c>
      <c r="J278" s="6" t="n">
        <v>0</v>
      </c>
      <c r="K278" s="2" t="inlineStr">
        <is>
          <t>-</t>
        </is>
      </c>
      <c r="L278" s="2" t="inlineStr">
        <is>
          <t>-</t>
        </is>
      </c>
      <c r="M278" s="2" t="inlineStr">
        <is>
          <t>-</t>
        </is>
      </c>
      <c r="N278" s="2" t="inlineStr">
        <is>
          <t>-</t>
        </is>
      </c>
      <c r="O278" s="3" t="inlineStr"/>
      <c r="P278" s="7" t="inlineStr">
        <is>
          <t>-</t>
        </is>
      </c>
      <c r="Q278" s="2" t="inlineStr">
        <is>
          <t>-</t>
        </is>
      </c>
      <c r="R278" s="2" t="inlineStr">
        <is>
          <t>-</t>
        </is>
      </c>
      <c r="S278" s="2" t="inlineStr">
        <is>
          <t>20260601001456</t>
        </is>
      </c>
      <c r="T278" s="8">
        <f>HYPERLINK("https://dart.fss.or.kr/dsaf001/main.do?rcpNo=20260601001456", "공시열람")</f>
        <v/>
      </c>
    </row>
    <row r="279" ht="36" customHeight="1">
      <c r="A279" s="2" t="inlineStr">
        <is>
          <t>2026-06-01</t>
        </is>
      </c>
      <c r="B279" s="3" t="inlineStr">
        <is>
          <t>본시스템즈</t>
        </is>
      </c>
      <c r="C279" s="2" t="inlineStr">
        <is>
          <t>코넥스</t>
        </is>
      </c>
      <c r="D279" s="2" t="inlineStr">
        <is>
          <t>496320</t>
        </is>
      </c>
      <c r="E279" s="9" t="inlineStr">
        <is>
          <t>유상증자</t>
        </is>
      </c>
      <c r="F279" s="3" t="inlineStr">
        <is>
          <t>주요사항보고서(유상증자결정)</t>
        </is>
      </c>
      <c r="G279" s="5" t="n">
        <v>3000002500</v>
      </c>
      <c r="H279" s="5" t="inlineStr"/>
      <c r="I279" s="2" t="inlineStr">
        <is>
          <t>보통주식</t>
        </is>
      </c>
      <c r="J279" s="6" t="n">
        <v>0</v>
      </c>
      <c r="K279" s="2" t="inlineStr">
        <is>
          <t>2026-06-10</t>
        </is>
      </c>
      <c r="L279" s="2" t="inlineStr">
        <is>
          <t>-</t>
        </is>
      </c>
      <c r="M279" s="2" t="inlineStr">
        <is>
          <t>-</t>
        </is>
      </c>
      <c r="N279" s="2" t="inlineStr">
        <is>
          <t>-</t>
        </is>
      </c>
      <c r="O279" s="10" t="n">
        <v>0</v>
      </c>
      <c r="P279" s="7" t="inlineStr">
        <is>
          <t>시설자금 (30.0억원), 운영자금 (2,500원)</t>
        </is>
      </c>
      <c r="Q279" s="2" t="inlineStr">
        <is>
          <t>-</t>
        </is>
      </c>
      <c r="R279" s="2" t="inlineStr">
        <is>
          <t>-</t>
        </is>
      </c>
      <c r="S279" s="2" t="inlineStr">
        <is>
          <t>20260601001168</t>
        </is>
      </c>
      <c r="T279" s="8">
        <f>HYPERLINK("https://dart.fss.or.kr/dsaf001/main.do?rcpNo=20260601001168", "공시열람")</f>
        <v/>
      </c>
    </row>
    <row r="280" ht="36" customHeight="1">
      <c r="A280" s="2" t="inlineStr">
        <is>
          <t>2026-06-02</t>
        </is>
      </c>
      <c r="B280" s="3" t="inlineStr">
        <is>
          <t>위지트</t>
        </is>
      </c>
      <c r="C280" s="2" t="inlineStr">
        <is>
          <t>코스닥</t>
        </is>
      </c>
      <c r="D280" s="2" t="inlineStr">
        <is>
          <t>036090</t>
        </is>
      </c>
      <c r="E280" s="9" t="inlineStr">
        <is>
          <t>유상증자</t>
        </is>
      </c>
      <c r="F280" s="3" t="inlineStr">
        <is>
          <t>주요사항보고서(유상증자결정)</t>
        </is>
      </c>
      <c r="G280" s="5" t="n">
        <v>3999999024</v>
      </c>
      <c r="H280" s="5" t="n">
        <v>1296</v>
      </c>
      <c r="I280" s="2" t="inlineStr">
        <is>
          <t>보통주식</t>
        </is>
      </c>
      <c r="J280" s="6" t="n">
        <v>3086419</v>
      </c>
      <c r="K280" s="2" t="inlineStr">
        <is>
          <t>2026.06.10</t>
        </is>
      </c>
      <c r="L280" s="2" t="inlineStr">
        <is>
          <t>2026.06.30</t>
        </is>
      </c>
      <c r="M280" s="2" t="inlineStr">
        <is>
          <t>-</t>
        </is>
      </c>
      <c r="N280" s="2" t="inlineStr">
        <is>
          <t>-</t>
        </is>
      </c>
      <c r="O280" s="10" t="n">
        <v>7.820828021015052</v>
      </c>
      <c r="P280" s="7" t="inlineStr">
        <is>
          <t>시설자금 (30.0억원), 운영자금 (10.0억원)</t>
        </is>
      </c>
      <c r="Q280" s="2" t="inlineStr">
        <is>
          <t>-</t>
        </is>
      </c>
      <c r="R280" s="2" t="inlineStr">
        <is>
          <t>-</t>
        </is>
      </c>
      <c r="S280" s="2" t="inlineStr">
        <is>
          <t>20260602000522</t>
        </is>
      </c>
      <c r="T280" s="8">
        <f>HYPERLINK("https://dart.fss.or.kr/dsaf001/main.do?rcpNo=20260602000522", "공시열람")</f>
        <v/>
      </c>
    </row>
    <row r="281" ht="36" customHeight="1">
      <c r="A281" s="2" t="inlineStr">
        <is>
          <t>2024-06-14 (정정: 2026-06-02)</t>
        </is>
      </c>
      <c r="B281" s="3" t="inlineStr">
        <is>
          <t>현대엘리베이터</t>
        </is>
      </c>
      <c r="C281" s="2" t="inlineStr">
        <is>
          <t>코스피</t>
        </is>
      </c>
      <c r="D281" s="2" t="inlineStr">
        <is>
          <t>017800</t>
        </is>
      </c>
      <c r="E281" s="9" t="inlineStr">
        <is>
          <t>유상증자</t>
        </is>
      </c>
      <c r="F281" s="3" t="inlineStr">
        <is>
          <t xml:space="preserve">[기재정정]유상증자결정(종속회사의주요경영사항)              </t>
        </is>
      </c>
      <c r="G281" s="5" t="n">
        <v>56489800000</v>
      </c>
      <c r="H281" s="5" t="inlineStr"/>
      <c r="I281" s="2" t="inlineStr">
        <is>
          <t>보통주식</t>
        </is>
      </c>
      <c r="J281" s="6" t="n">
        <v>1324710000</v>
      </c>
      <c r="K281" s="2" t="inlineStr">
        <is>
          <t>2026-06-02</t>
        </is>
      </c>
      <c r="L281" s="2" t="inlineStr">
        <is>
          <t>-</t>
        </is>
      </c>
      <c r="M281" s="2" t="inlineStr">
        <is>
          <t>-</t>
        </is>
      </c>
      <c r="N281" s="2" t="inlineStr">
        <is>
          <t>-</t>
        </is>
      </c>
      <c r="O281" s="10" t="n">
        <v>1167.694427455546</v>
      </c>
      <c r="P281" s="7" t="inlineStr">
        <is>
          <t>운영자금 (165.3억원), 채무상환자금 (399.6억원)</t>
        </is>
      </c>
      <c r="Q281" s="2" t="inlineStr">
        <is>
          <t>-</t>
        </is>
      </c>
      <c r="R281" s="2" t="inlineStr">
        <is>
          <t>-</t>
        </is>
      </c>
      <c r="S281" s="2" t="inlineStr">
        <is>
          <t>20260602800805</t>
        </is>
      </c>
      <c r="T281" s="8">
        <f>HYPERLINK("https://dart.fss.or.kr/dsaf001/main.do?rcpNo=20260602800805", "공시열람")</f>
        <v/>
      </c>
    </row>
    <row r="282" ht="36" customHeight="1">
      <c r="A282" s="2" t="inlineStr">
        <is>
          <t>2026-06-02</t>
        </is>
      </c>
      <c r="B282" s="3" t="inlineStr">
        <is>
          <t>NH투자증권</t>
        </is>
      </c>
      <c r="C282" s="2" t="inlineStr">
        <is>
          <t>코스피</t>
        </is>
      </c>
      <c r="D282" s="2" t="inlineStr">
        <is>
          <t>005940</t>
        </is>
      </c>
      <c r="E282" s="9" t="inlineStr">
        <is>
          <t>유상증자</t>
        </is>
      </c>
      <c r="F282" s="3" t="inlineStr">
        <is>
          <t>주요사항보고서(유상증자결정)</t>
        </is>
      </c>
      <c r="G282" s="5" t="n">
        <v>200000</v>
      </c>
      <c r="H282" s="5" t="n">
        <v>31100</v>
      </c>
      <c r="I282" s="2" t="inlineStr">
        <is>
          <t>보통주식</t>
        </is>
      </c>
      <c r="J282" s="6" t="n">
        <v>12861736</v>
      </c>
      <c r="K282" s="2" t="inlineStr">
        <is>
          <t>2026.06.29</t>
        </is>
      </c>
      <c r="L282" s="2" t="inlineStr">
        <is>
          <t>2026.07.14</t>
        </is>
      </c>
      <c r="M282" s="2" t="inlineStr">
        <is>
          <t>-</t>
        </is>
      </c>
      <c r="N282" s="2" t="inlineStr">
        <is>
          <t>-</t>
        </is>
      </c>
      <c r="O282" s="10" t="n">
        <v>3.609355757772617</v>
      </c>
      <c r="P282" s="7" t="inlineStr">
        <is>
          <t>운영자금 (200,000원)</t>
        </is>
      </c>
      <c r="Q282" s="2" t="inlineStr">
        <is>
          <t>-</t>
        </is>
      </c>
      <c r="R282" s="2" t="inlineStr">
        <is>
          <t>-</t>
        </is>
      </c>
      <c r="S282" s="2" t="inlineStr">
        <is>
          <t>20260602000483</t>
        </is>
      </c>
      <c r="T282" s="8">
        <f>HYPERLINK("https://dart.fss.or.kr/dsaf001/main.do?rcpNo=20260602000483", "공시열람")</f>
        <v/>
      </c>
    </row>
    <row r="283" ht="36" customHeight="1">
      <c r="A283" s="2" t="inlineStr">
        <is>
          <t>2026-06-02 (정정: 2026-06-12)</t>
        </is>
      </c>
      <c r="B283" s="3" t="inlineStr">
        <is>
          <t>한울반도체</t>
        </is>
      </c>
      <c r="C283" s="2" t="inlineStr">
        <is>
          <t>코스닥</t>
        </is>
      </c>
      <c r="D283" s="2" t="inlineStr">
        <is>
          <t>320000</t>
        </is>
      </c>
      <c r="E283" s="9" t="inlineStr">
        <is>
          <t>유상증자</t>
        </is>
      </c>
      <c r="F283" s="3" t="inlineStr">
        <is>
          <t>[기재정정]주요사항보고서(유상증자결정) (정정: 20260612)</t>
        </is>
      </c>
      <c r="G283" s="5" t="n">
        <v>22865500000</v>
      </c>
      <c r="H283" s="5" t="inlineStr"/>
      <c r="I283" s="2" t="inlineStr">
        <is>
          <t>보통주식</t>
        </is>
      </c>
      <c r="J283" s="6" t="n">
        <v>4700000</v>
      </c>
      <c r="K283" s="2" t="inlineStr">
        <is>
          <t>2026-08-14</t>
        </is>
      </c>
      <c r="L283" s="2" t="inlineStr">
        <is>
          <t>2026-08-28</t>
        </is>
      </c>
      <c r="M283" s="2" t="inlineStr">
        <is>
          <t>-</t>
        </is>
      </c>
      <c r="N283" s="2" t="inlineStr">
        <is>
          <t>-</t>
        </is>
      </c>
      <c r="O283" s="10" t="n">
        <v>70.47734153469659</v>
      </c>
      <c r="P283" s="7" t="inlineStr">
        <is>
          <t>운영자금 (148.7억원), 채무상환자금 (80.0억원)</t>
        </is>
      </c>
      <c r="Q283" s="2" t="inlineStr">
        <is>
          <t>-</t>
        </is>
      </c>
      <c r="R283" s="2" t="inlineStr">
        <is>
          <t>-</t>
        </is>
      </c>
      <c r="S283" s="2" t="inlineStr">
        <is>
          <t>20260612000440</t>
        </is>
      </c>
      <c r="T283" s="8">
        <f>HYPERLINK("https://dart.fss.or.kr/dsaf001/main.do?rcpNo=20260612000440", "공시열람")</f>
        <v/>
      </c>
    </row>
    <row r="284" ht="36" customHeight="1">
      <c r="A284" s="2" t="inlineStr">
        <is>
          <t>2026-06-02</t>
        </is>
      </c>
      <c r="B284" s="3" t="inlineStr">
        <is>
          <t>세방전지</t>
        </is>
      </c>
      <c r="C284" s="2" t="inlineStr">
        <is>
          <t>코스피</t>
        </is>
      </c>
      <c r="D284" s="2" t="inlineStr">
        <is>
          <t>004490</t>
        </is>
      </c>
      <c r="E284" s="9" t="inlineStr">
        <is>
          <t>유상증자</t>
        </is>
      </c>
      <c r="F284" s="3" t="inlineStr">
        <is>
          <t xml:space="preserve">유상증자결정(종속회사의주요경영사항)              </t>
        </is>
      </c>
      <c r="G284" s="5" t="n">
        <v>100000000286</v>
      </c>
      <c r="H284" s="5" t="n">
        <v>731</v>
      </c>
      <c r="I284" s="2" t="inlineStr">
        <is>
          <t>보통주식</t>
        </is>
      </c>
      <c r="J284" s="6" t="n">
        <v>136798906</v>
      </c>
      <c r="K284" s="2" t="inlineStr">
        <is>
          <t>2026-07-01</t>
        </is>
      </c>
      <c r="L284" s="2" t="inlineStr">
        <is>
          <t>-</t>
        </is>
      </c>
      <c r="M284" s="2" t="inlineStr">
        <is>
          <t>-</t>
        </is>
      </c>
      <c r="N284" s="2" t="inlineStr">
        <is>
          <t>-</t>
        </is>
      </c>
      <c r="O284" s="10" t="n">
        <v>94.66869466901854</v>
      </c>
      <c r="P284" s="7" t="inlineStr">
        <is>
          <t>타법인증권취득자금 (1000.0억원)</t>
        </is>
      </c>
      <c r="Q284" s="2" t="inlineStr">
        <is>
          <t>-</t>
        </is>
      </c>
      <c r="R284" s="2" t="inlineStr">
        <is>
          <t>-</t>
        </is>
      </c>
      <c r="S284" s="2" t="inlineStr">
        <is>
          <t>20260602800618</t>
        </is>
      </c>
      <c r="T284" s="8">
        <f>HYPERLINK("https://dart.fss.or.kr/dsaf001/main.do?rcpNo=20260602800618", "공시열람")</f>
        <v/>
      </c>
    </row>
    <row r="285" ht="36" customHeight="1">
      <c r="A285" s="2" t="inlineStr">
        <is>
          <t>2026-06-02 (정정: 2026-06-18)</t>
        </is>
      </c>
      <c r="B285" s="3" t="inlineStr">
        <is>
          <t>뉴로메카</t>
        </is>
      </c>
      <c r="C285" s="2" t="inlineStr">
        <is>
          <t>코스닥</t>
        </is>
      </c>
      <c r="D285" s="2" t="inlineStr">
        <is>
          <t>348340</t>
        </is>
      </c>
      <c r="E285" s="2" t="inlineStr">
        <is>
          <t>무상증자</t>
        </is>
      </c>
      <c r="F285" s="3" t="inlineStr">
        <is>
          <t>[기재정정]주요사항보고서(유무상증자결정) (정정: 20260618)</t>
        </is>
      </c>
      <c r="G285" s="5" t="inlineStr"/>
      <c r="H285" s="5" t="inlineStr"/>
      <c r="I285" s="2" t="inlineStr">
        <is>
          <t>-</t>
        </is>
      </c>
      <c r="J285" s="6" t="inlineStr"/>
      <c r="K285" s="2" t="inlineStr">
        <is>
          <t>-</t>
        </is>
      </c>
      <c r="L285" s="2" t="inlineStr">
        <is>
          <t>-</t>
        </is>
      </c>
      <c r="M285" s="2" t="inlineStr">
        <is>
          <t>-</t>
        </is>
      </c>
      <c r="N285" s="2" t="inlineStr">
        <is>
          <t>-</t>
        </is>
      </c>
      <c r="O285" s="3" t="inlineStr"/>
      <c r="P285" s="7" t="inlineStr">
        <is>
          <t>-</t>
        </is>
      </c>
      <c r="Q285" s="2" t="inlineStr">
        <is>
          <t>-</t>
        </is>
      </c>
      <c r="R285" s="2" t="inlineStr">
        <is>
          <t>-</t>
        </is>
      </c>
      <c r="S285" s="2" t="inlineStr">
        <is>
          <t>20260618000105</t>
        </is>
      </c>
      <c r="T285" s="8">
        <f>HYPERLINK("https://dart.fss.or.kr/dsaf001/main.do?rcpNo=20260618000105", "공시열람")</f>
        <v/>
      </c>
    </row>
    <row r="286" ht="36" customHeight="1">
      <c r="A286" s="2" t="inlineStr">
        <is>
          <t>2026-06-02</t>
        </is>
      </c>
      <c r="B286" s="3" t="inlineStr">
        <is>
          <t>그린리소스</t>
        </is>
      </c>
      <c r="C286" s="2" t="inlineStr">
        <is>
          <t>코스닥</t>
        </is>
      </c>
      <c r="D286" s="2" t="inlineStr">
        <is>
          <t>402490</t>
        </is>
      </c>
      <c r="E286" s="12" t="inlineStr">
        <is>
          <t>신주인수권부사채(BW)</t>
        </is>
      </c>
      <c r="F286" s="3" t="inlineStr">
        <is>
          <t>주요사항보고서(신주인수권부사채권발행결정)</t>
        </is>
      </c>
      <c r="G286" s="5" t="n">
        <v>10000000000</v>
      </c>
      <c r="H286" s="5" t="n">
        <v>15912</v>
      </c>
      <c r="I286" s="2" t="inlineStr">
        <is>
          <t>-</t>
        </is>
      </c>
      <c r="J286" s="6" t="inlineStr"/>
      <c r="K286" s="2" t="inlineStr">
        <is>
          <t>2026년 06월 10일</t>
        </is>
      </c>
      <c r="L286" s="2" t="inlineStr">
        <is>
          <t>-</t>
        </is>
      </c>
      <c r="M286" s="2" t="inlineStr">
        <is>
          <t>2027-06-10</t>
        </is>
      </c>
      <c r="N286" s="2" t="inlineStr">
        <is>
          <t>2031-05-10</t>
        </is>
      </c>
      <c r="O286" s="3" t="inlineStr"/>
      <c r="P286" s="7" t="inlineStr">
        <is>
          <t>-</t>
        </is>
      </c>
      <c r="Q286" s="2" t="inlineStr">
        <is>
          <t>2027-06-10</t>
        </is>
      </c>
      <c r="R286" s="2" t="inlineStr">
        <is>
          <t>2028-12-10</t>
        </is>
      </c>
      <c r="S286" s="2" t="inlineStr">
        <is>
          <t>20260602000358</t>
        </is>
      </c>
      <c r="T286" s="8">
        <f>HYPERLINK("https://dart.fss.or.kr/dsaf001/main.do?rcpNo=20260602000358", "공시열람")</f>
        <v/>
      </c>
    </row>
    <row r="287" ht="36" customHeight="1">
      <c r="A287" s="2" t="inlineStr">
        <is>
          <t>2026-06-02</t>
        </is>
      </c>
      <c r="B287" s="3" t="inlineStr">
        <is>
          <t>그린리소스</t>
        </is>
      </c>
      <c r="C287" s="2" t="inlineStr">
        <is>
          <t>코스닥</t>
        </is>
      </c>
      <c r="D287" s="2" t="inlineStr">
        <is>
          <t>402490</t>
        </is>
      </c>
      <c r="E287" s="11" t="inlineStr">
        <is>
          <t>전환사채(CB)</t>
        </is>
      </c>
      <c r="F287" s="3" t="inlineStr">
        <is>
          <t>주요사항보고서(전환사채권발행결정)</t>
        </is>
      </c>
      <c r="G287" s="5" t="n">
        <v>20000000000</v>
      </c>
      <c r="H287" s="5" t="n">
        <v>15912</v>
      </c>
      <c r="I287" s="2" t="inlineStr">
        <is>
          <t>주식회사 그린리소스 기명식 보통주식</t>
        </is>
      </c>
      <c r="J287" s="6" t="n">
        <v>1256913</v>
      </c>
      <c r="K287" s="2" t="inlineStr">
        <is>
          <t>2026년 06월 10일</t>
        </is>
      </c>
      <c r="L287" s="2" t="inlineStr">
        <is>
          <t>-</t>
        </is>
      </c>
      <c r="M287" s="2" t="inlineStr">
        <is>
          <t>2027-06-10</t>
        </is>
      </c>
      <c r="N287" s="2" t="inlineStr">
        <is>
          <t>2031-05-10</t>
        </is>
      </c>
      <c r="O287" s="10" t="n">
        <v>6.91</v>
      </c>
      <c r="P287" s="7" t="inlineStr">
        <is>
          <t>-</t>
        </is>
      </c>
      <c r="Q287" s="2" t="inlineStr">
        <is>
          <t>2027-06-10</t>
        </is>
      </c>
      <c r="R287" s="2" t="inlineStr">
        <is>
          <t>2028-12-10</t>
        </is>
      </c>
      <c r="S287" s="2" t="inlineStr">
        <is>
          <t>20260602000337</t>
        </is>
      </c>
      <c r="T287" s="8">
        <f>HYPERLINK("https://dart.fss.or.kr/dsaf001/main.do?rcpNo=20260602000337", "공시열람")</f>
        <v/>
      </c>
    </row>
    <row r="288" ht="36" customHeight="1">
      <c r="A288" s="2" t="inlineStr">
        <is>
          <t>2026-06-04 (정정: 2026-06-11)</t>
        </is>
      </c>
      <c r="B288" s="3" t="inlineStr">
        <is>
          <t>씨엑스아이</t>
        </is>
      </c>
      <c r="C288" s="2" t="inlineStr">
        <is>
          <t>코스닥</t>
        </is>
      </c>
      <c r="D288" s="2" t="inlineStr">
        <is>
          <t>900120</t>
        </is>
      </c>
      <c r="E288" s="9" t="inlineStr">
        <is>
          <t>유상증자</t>
        </is>
      </c>
      <c r="F288" s="3" t="inlineStr">
        <is>
          <t>주요사항보고서(유상증자결정) (정정: 20260611)</t>
        </is>
      </c>
      <c r="G288" s="5" t="n">
        <v>1447</v>
      </c>
      <c r="H288" s="5" t="n">
        <v>1955</v>
      </c>
      <c r="I288" s="2" t="inlineStr">
        <is>
          <t>보통주식</t>
        </is>
      </c>
      <c r="J288" s="6" t="n">
        <v>3700000</v>
      </c>
      <c r="K288" s="2" t="inlineStr">
        <is>
          <t>운영자금 확보</t>
        </is>
      </c>
      <c r="L288" s="2" t="inlineStr">
        <is>
          <t>2026-07-21</t>
        </is>
      </c>
      <c r="M288" s="2" t="inlineStr">
        <is>
          <t>-</t>
        </is>
      </c>
      <c r="N288" s="2" t="inlineStr">
        <is>
          <t>-</t>
        </is>
      </c>
      <c r="O288" s="10" t="n">
        <v>49.5337137165547</v>
      </c>
      <c r="P288" s="7" t="inlineStr">
        <is>
          <t>운영자금 (1,447원)</t>
        </is>
      </c>
      <c r="Q288" s="2" t="inlineStr">
        <is>
          <t>-</t>
        </is>
      </c>
      <c r="R288" s="2" t="inlineStr">
        <is>
          <t>-</t>
        </is>
      </c>
      <c r="S288" s="2" t="inlineStr">
        <is>
          <t>20260611000622</t>
        </is>
      </c>
      <c r="T288" s="8">
        <f>HYPERLINK("https://dart.fss.or.kr/dsaf001/main.do?rcpNo=20260611000622", "공시열람")</f>
        <v/>
      </c>
    </row>
    <row r="289" ht="36" customHeight="1">
      <c r="A289" s="2" t="inlineStr">
        <is>
          <t>2026-06-04</t>
        </is>
      </c>
      <c r="B289" s="3" t="inlineStr">
        <is>
          <t>엔솔바이오사이언스</t>
        </is>
      </c>
      <c r="C289" s="2" t="inlineStr">
        <is>
          <t>코넥스</t>
        </is>
      </c>
      <c r="D289" s="2" t="inlineStr">
        <is>
          <t>140610</t>
        </is>
      </c>
      <c r="E289" s="9" t="inlineStr">
        <is>
          <t>유상증자</t>
        </is>
      </c>
      <c r="F289" s="3" t="inlineStr">
        <is>
          <t>주요사항보고서(유상증자결정)</t>
        </is>
      </c>
      <c r="G289" s="5" t="n">
        <v>5004995536</v>
      </c>
      <c r="H289" s="5" t="n">
        <v>10260</v>
      </c>
      <c r="I289" s="2" t="inlineStr">
        <is>
          <t>보통주식</t>
        </is>
      </c>
      <c r="J289" s="6" t="n">
        <v>487329</v>
      </c>
      <c r="K289" s="2" t="inlineStr">
        <is>
          <t>2026-06-19</t>
        </is>
      </c>
      <c r="L289" s="2" t="inlineStr">
        <is>
          <t>2026-07-10</t>
        </is>
      </c>
      <c r="M289" s="2" t="inlineStr">
        <is>
          <t>-</t>
        </is>
      </c>
      <c r="N289" s="2" t="inlineStr">
        <is>
          <t>-</t>
        </is>
      </c>
      <c r="O289" s="10" t="n">
        <v>3.508722288377345</v>
      </c>
      <c r="P289" s="7" t="inlineStr">
        <is>
          <t>운영자금 (50.0억원), 기타자금 (4,999,996원)</t>
        </is>
      </c>
      <c r="Q289" s="2" t="inlineStr">
        <is>
          <t>-</t>
        </is>
      </c>
      <c r="R289" s="2" t="inlineStr">
        <is>
          <t>-</t>
        </is>
      </c>
      <c r="S289" s="2" t="inlineStr">
        <is>
          <t>20260604000575</t>
        </is>
      </c>
      <c r="T289" s="8">
        <f>HYPERLINK("https://dart.fss.or.kr/dsaf001/main.do?rcpNo=20260604000575", "공시열람")</f>
        <v/>
      </c>
    </row>
    <row r="290" ht="36" customHeight="1">
      <c r="A290" s="2" t="inlineStr">
        <is>
          <t>2026-06-04</t>
        </is>
      </c>
      <c r="B290" s="3" t="inlineStr">
        <is>
          <t>티사이언티픽</t>
        </is>
      </c>
      <c r="C290" s="2" t="inlineStr">
        <is>
          <t>코스닥</t>
        </is>
      </c>
      <c r="D290" s="2" t="inlineStr">
        <is>
          <t>057680</t>
        </is>
      </c>
      <c r="E290" s="9" t="inlineStr">
        <is>
          <t>유상증자</t>
        </is>
      </c>
      <c r="F290" s="3" t="inlineStr">
        <is>
          <t>주요사항보고서(유상증자결정)</t>
        </is>
      </c>
      <c r="G290" s="5" t="n">
        <v>3000</v>
      </c>
      <c r="H290" s="5" t="n">
        <v>1944</v>
      </c>
      <c r="I290" s="2" t="inlineStr">
        <is>
          <t>보통주식</t>
        </is>
      </c>
      <c r="J290" s="6" t="n">
        <v>1543209</v>
      </c>
      <c r="K290" s="2" t="inlineStr">
        <is>
          <t>2026-06-12</t>
        </is>
      </c>
      <c r="L290" s="2" t="inlineStr">
        <is>
          <t>2026-06-30</t>
        </is>
      </c>
      <c r="M290" s="2" t="inlineStr">
        <is>
          <t>-</t>
        </is>
      </c>
      <c r="N290" s="2" t="inlineStr">
        <is>
          <t>-</t>
        </is>
      </c>
      <c r="O290" s="10" t="n">
        <v>10.82976483715447</v>
      </c>
      <c r="P290" s="7" t="inlineStr">
        <is>
          <t>운영자금 (3,000원)</t>
        </is>
      </c>
      <c r="Q290" s="2" t="inlineStr">
        <is>
          <t>-</t>
        </is>
      </c>
      <c r="R290" s="2" t="inlineStr">
        <is>
          <t>-</t>
        </is>
      </c>
      <c r="S290" s="2" t="inlineStr">
        <is>
          <t>20260604000573</t>
        </is>
      </c>
      <c r="T290" s="8">
        <f>HYPERLINK("https://dart.fss.or.kr/dsaf001/main.do?rcpNo=20260604000573", "공시열람")</f>
        <v/>
      </c>
    </row>
    <row r="291" ht="36" customHeight="1">
      <c r="A291" s="2" t="inlineStr">
        <is>
          <t>2026-06-04 (정정: 2026-06-04)</t>
        </is>
      </c>
      <c r="B291" s="3" t="inlineStr">
        <is>
          <t>한울앤제주</t>
        </is>
      </c>
      <c r="C291" s="2" t="inlineStr">
        <is>
          <t>코스닥</t>
        </is>
      </c>
      <c r="D291" s="2" t="inlineStr">
        <is>
          <t>276730</t>
        </is>
      </c>
      <c r="E291" s="11" t="inlineStr">
        <is>
          <t>전환사채(CB)</t>
        </is>
      </c>
      <c r="F291" s="3" t="inlineStr">
        <is>
          <t>[기재정정]주요사항보고서(전환사채권발행결정) (정정: 20260604)</t>
        </is>
      </c>
      <c r="G291" s="5" t="inlineStr"/>
      <c r="H291" s="5" t="inlineStr"/>
      <c r="I291" s="2" t="inlineStr">
        <is>
          <t>-</t>
        </is>
      </c>
      <c r="J291" s="6" t="inlineStr"/>
      <c r="K291" s="2" t="inlineStr">
        <is>
          <t>-</t>
        </is>
      </c>
      <c r="L291" s="2" t="inlineStr">
        <is>
          <t>-</t>
        </is>
      </c>
      <c r="M291" s="2" t="inlineStr">
        <is>
          <t>2027-07-24</t>
        </is>
      </c>
      <c r="N291" s="2" t="inlineStr">
        <is>
          <t>2029-06-24</t>
        </is>
      </c>
      <c r="O291" s="3" t="inlineStr"/>
      <c r="P291" s="7" t="inlineStr">
        <is>
          <t>-</t>
        </is>
      </c>
      <c r="Q291" s="2" t="inlineStr">
        <is>
          <t>-</t>
        </is>
      </c>
      <c r="R291" s="2" t="inlineStr">
        <is>
          <t>2027-04-05</t>
        </is>
      </c>
      <c r="S291" s="2" t="inlineStr">
        <is>
          <t>20260604000558</t>
        </is>
      </c>
      <c r="T291" s="8">
        <f>HYPERLINK("https://dart.fss.or.kr/dsaf001/main.do?rcpNo=20260604000558", "공시열람")</f>
        <v/>
      </c>
    </row>
    <row r="292" ht="36" customHeight="1">
      <c r="A292" s="2" t="inlineStr">
        <is>
          <t>2026-06-04</t>
        </is>
      </c>
      <c r="B292" s="3" t="inlineStr">
        <is>
          <t>에코심플렉스</t>
        </is>
      </c>
      <c r="C292" s="2" t="inlineStr">
        <is>
          <t>코스닥</t>
        </is>
      </c>
      <c r="D292" s="2" t="inlineStr">
        <is>
          <t>038870</t>
        </is>
      </c>
      <c r="E292" s="11" t="inlineStr">
        <is>
          <t>전환사채(CB)</t>
        </is>
      </c>
      <c r="F292" s="3" t="inlineStr">
        <is>
          <t>[첨부정정]주요사항보고서(전환사채권발행결정)</t>
        </is>
      </c>
      <c r="G292" s="5" t="inlineStr"/>
      <c r="H292" s="5" t="inlineStr"/>
      <c r="I292" s="2" t="inlineStr">
        <is>
          <t>-</t>
        </is>
      </c>
      <c r="J292" s="6" t="inlineStr"/>
      <c r="K292" s="2" t="inlineStr">
        <is>
          <t>-</t>
        </is>
      </c>
      <c r="L292" s="2" t="inlineStr">
        <is>
          <t>-</t>
        </is>
      </c>
      <c r="M292" s="2" t="inlineStr">
        <is>
          <t>-</t>
        </is>
      </c>
      <c r="N292" s="2" t="inlineStr">
        <is>
          <t>-</t>
        </is>
      </c>
      <c r="O292" s="3" t="inlineStr"/>
      <c r="P292" s="7" t="inlineStr">
        <is>
          <t>-</t>
        </is>
      </c>
      <c r="Q292" s="2" t="inlineStr">
        <is>
          <t>-</t>
        </is>
      </c>
      <c r="R292" s="2" t="inlineStr">
        <is>
          <t>-</t>
        </is>
      </c>
      <c r="S292" s="2" t="inlineStr">
        <is>
          <t>20260604000536</t>
        </is>
      </c>
      <c r="T292" s="8">
        <f>HYPERLINK("https://dart.fss.or.kr/dsaf001/main.do?rcpNo=20260604000536", "공시열람")</f>
        <v/>
      </c>
    </row>
    <row r="293" ht="36" customHeight="1">
      <c r="A293" s="2" t="inlineStr">
        <is>
          <t>2026-04-03 (정정: 2026-06-04)</t>
        </is>
      </c>
      <c r="B293" s="3" t="inlineStr">
        <is>
          <t>클로봇</t>
        </is>
      </c>
      <c r="C293" s="2" t="inlineStr">
        <is>
          <t>코스닥</t>
        </is>
      </c>
      <c r="D293" s="2" t="inlineStr">
        <is>
          <t>466100</t>
        </is>
      </c>
      <c r="E293" s="9" t="inlineStr">
        <is>
          <t>유상증자</t>
        </is>
      </c>
      <c r="F293" s="3" t="inlineStr">
        <is>
          <t>[기재정정]주요사항보고서(유상증자결정)</t>
        </is>
      </c>
      <c r="G293" s="5" t="n">
        <v>199999800000</v>
      </c>
      <c r="H293" s="5" t="inlineStr"/>
      <c r="I293" s="2" t="inlineStr">
        <is>
          <t>보통주식</t>
        </is>
      </c>
      <c r="J293" s="6" t="n">
        <v>5494500</v>
      </c>
      <c r="K293" s="2" t="inlineStr">
        <is>
          <t>2026-08-24</t>
        </is>
      </c>
      <c r="L293" s="2" t="inlineStr">
        <is>
          <t>2026-09-07</t>
        </is>
      </c>
      <c r="M293" s="2" t="inlineStr">
        <is>
          <t>-</t>
        </is>
      </c>
      <c r="N293" s="2" t="inlineStr">
        <is>
          <t>-</t>
        </is>
      </c>
      <c r="O293" s="10" t="n">
        <v>21.9849129360236</v>
      </c>
      <c r="P293" s="7" t="inlineStr">
        <is>
          <t>운영자금 (376.6억원), 타법인증권취득자금 (1623.4억원)</t>
        </is>
      </c>
      <c r="Q293" s="2" t="inlineStr">
        <is>
          <t>-</t>
        </is>
      </c>
      <c r="R293" s="2" t="inlineStr">
        <is>
          <t>-</t>
        </is>
      </c>
      <c r="S293" s="2" t="inlineStr">
        <is>
          <t>20260604000459</t>
        </is>
      </c>
      <c r="T293" s="8">
        <f>HYPERLINK("https://dart.fss.or.kr/dsaf001/main.do?rcpNo=20260604000459", "공시열람")</f>
        <v/>
      </c>
    </row>
    <row r="294" ht="36" customHeight="1">
      <c r="A294" s="2" t="inlineStr">
        <is>
          <t>2026-06-04 (정정: 2026-06-19)</t>
        </is>
      </c>
      <c r="B294" s="3" t="inlineStr">
        <is>
          <t>센서뷰</t>
        </is>
      </c>
      <c r="C294" s="2" t="inlineStr">
        <is>
          <t>코스닥</t>
        </is>
      </c>
      <c r="D294" s="2" t="inlineStr">
        <is>
          <t>321370</t>
        </is>
      </c>
      <c r="E294" s="9" t="inlineStr">
        <is>
          <t>유상증자</t>
        </is>
      </c>
      <c r="F294" s="3" t="inlineStr">
        <is>
          <t>[기재정정]주요사항보고서(유상증자결정) (정정: 20260619)</t>
        </is>
      </c>
      <c r="G294" s="5" t="n">
        <v>39999997950</v>
      </c>
      <c r="H294" s="5" t="inlineStr"/>
      <c r="I294" s="2" t="inlineStr">
        <is>
          <t>보통주식</t>
        </is>
      </c>
      <c r="J294" s="6" t="n">
        <v>18957345</v>
      </c>
      <c r="K294" s="2" t="inlineStr">
        <is>
          <t>2026-08-24</t>
        </is>
      </c>
      <c r="L294" s="2" t="inlineStr">
        <is>
          <t>2026-09-03</t>
        </is>
      </c>
      <c r="M294" s="2" t="inlineStr">
        <is>
          <t>-</t>
        </is>
      </c>
      <c r="N294" s="2" t="inlineStr">
        <is>
          <t>-</t>
        </is>
      </c>
      <c r="O294" s="10" t="n">
        <v>36.69288588273053</v>
      </c>
      <c r="P294" s="7" t="inlineStr">
        <is>
          <t>시설자금 (71.3억원), 운영자금 (245.2억원), 채무상환자금 (83.5억원)</t>
        </is>
      </c>
      <c r="Q294" s="2" t="inlineStr">
        <is>
          <t>-</t>
        </is>
      </c>
      <c r="R294" s="2" t="inlineStr">
        <is>
          <t>-</t>
        </is>
      </c>
      <c r="S294" s="2" t="inlineStr">
        <is>
          <t>20260619000576</t>
        </is>
      </c>
      <c r="T294" s="8">
        <f>HYPERLINK("https://dart.fss.or.kr/dsaf001/main.do?rcpNo=20260619000576", "공시열람")</f>
        <v/>
      </c>
    </row>
    <row r="295" ht="36" customHeight="1">
      <c r="A295" s="2" t="inlineStr">
        <is>
          <t>2026-06-04 (정정: 2026-06-25)</t>
        </is>
      </c>
      <c r="B295" s="3" t="inlineStr">
        <is>
          <t>오에스피</t>
        </is>
      </c>
      <c r="C295" s="2" t="inlineStr">
        <is>
          <t>코스닥</t>
        </is>
      </c>
      <c r="D295" s="2" t="inlineStr">
        <is>
          <t>368970</t>
        </is>
      </c>
      <c r="E295" s="2" t="inlineStr">
        <is>
          <t>무상증자</t>
        </is>
      </c>
      <c r="F295" s="3" t="inlineStr">
        <is>
          <t>주요사항보고서(무상증자결정) (정정: 20260625)</t>
        </is>
      </c>
      <c r="G295" s="5" t="inlineStr"/>
      <c r="H295" s="5" t="inlineStr"/>
      <c r="I295" s="2" t="inlineStr">
        <is>
          <t>-</t>
        </is>
      </c>
      <c r="J295" s="6" t="inlineStr"/>
      <c r="K295" s="2" t="inlineStr">
        <is>
          <t>-</t>
        </is>
      </c>
      <c r="L295" s="2" t="inlineStr">
        <is>
          <t>-</t>
        </is>
      </c>
      <c r="M295" s="2" t="inlineStr">
        <is>
          <t>-</t>
        </is>
      </c>
      <c r="N295" s="2" t="inlineStr">
        <is>
          <t>-</t>
        </is>
      </c>
      <c r="O295" s="3" t="inlineStr"/>
      <c r="P295" s="7" t="inlineStr">
        <is>
          <t>-</t>
        </is>
      </c>
      <c r="Q295" s="2" t="inlineStr">
        <is>
          <t>-</t>
        </is>
      </c>
      <c r="R295" s="2" t="inlineStr">
        <is>
          <t>-</t>
        </is>
      </c>
      <c r="S295" s="2" t="inlineStr">
        <is>
          <t>20260625000169</t>
        </is>
      </c>
      <c r="T295" s="8">
        <f>HYPERLINK("https://dart.fss.or.kr/dsaf001/main.do?rcpNo=20260625000169", "공시열람")</f>
        <v/>
      </c>
    </row>
    <row r="296" ht="36" customHeight="1">
      <c r="A296" s="2" t="inlineStr">
        <is>
          <t>2026-06-05</t>
        </is>
      </c>
      <c r="B296" s="3" t="inlineStr">
        <is>
          <t>소프트센</t>
        </is>
      </c>
      <c r="C296" s="2" t="inlineStr">
        <is>
          <t>코스닥</t>
        </is>
      </c>
      <c r="D296" s="2" t="inlineStr">
        <is>
          <t>032680</t>
        </is>
      </c>
      <c r="E296" s="9" t="inlineStr">
        <is>
          <t>유상증자</t>
        </is>
      </c>
      <c r="F296" s="3" t="inlineStr">
        <is>
          <t>주요사항보고서(유상증자결정)</t>
        </is>
      </c>
      <c r="G296" s="5" t="n">
        <v>2200000000</v>
      </c>
      <c r="H296" s="5" t="n">
        <v>1000</v>
      </c>
      <c r="I296" s="2" t="inlineStr">
        <is>
          <t>보통주식</t>
        </is>
      </c>
      <c r="J296" s="6" t="n">
        <v>2200000</v>
      </c>
      <c r="K296" s="2" t="inlineStr">
        <is>
          <t>2026-08-07</t>
        </is>
      </c>
      <c r="L296" s="2" t="inlineStr">
        <is>
          <t>2026-09-04</t>
        </is>
      </c>
      <c r="M296" s="2" t="inlineStr">
        <is>
          <t>-</t>
        </is>
      </c>
      <c r="N296" s="2" t="inlineStr">
        <is>
          <t>-</t>
        </is>
      </c>
      <c r="O296" s="10" t="n">
        <v>10.54858339477484</v>
      </c>
      <c r="P296" s="7" t="inlineStr">
        <is>
          <t>타법인증권취득자금 (22.0억원)</t>
        </is>
      </c>
      <c r="Q296" s="2" t="inlineStr">
        <is>
          <t>-</t>
        </is>
      </c>
      <c r="R296" s="2" t="inlineStr">
        <is>
          <t>-</t>
        </is>
      </c>
      <c r="S296" s="2" t="inlineStr">
        <is>
          <t>20260605000654</t>
        </is>
      </c>
      <c r="T296" s="8">
        <f>HYPERLINK("https://dart.fss.or.kr/dsaf001/main.do?rcpNo=20260605000654", "공시열람")</f>
        <v/>
      </c>
    </row>
    <row r="297" ht="36" customHeight="1">
      <c r="A297" s="2" t="inlineStr">
        <is>
          <t>2026-06-05 (정정: 2026-06-24)</t>
        </is>
      </c>
      <c r="B297" s="3" t="inlineStr">
        <is>
          <t>나인테크</t>
        </is>
      </c>
      <c r="C297" s="2" t="inlineStr">
        <is>
          <t>코스닥</t>
        </is>
      </c>
      <c r="D297" s="2" t="inlineStr">
        <is>
          <t>267320</t>
        </is>
      </c>
      <c r="E297" s="11" t="inlineStr">
        <is>
          <t>전환사채(CB)</t>
        </is>
      </c>
      <c r="F297" s="3" t="inlineStr">
        <is>
          <t>[첨부정정]주요사항보고서(전환사채권발행결정) (정정: 20260624)</t>
        </is>
      </c>
      <c r="G297" s="5" t="inlineStr"/>
      <c r="H297" s="5" t="inlineStr"/>
      <c r="I297" s="2" t="inlineStr">
        <is>
          <t>-</t>
        </is>
      </c>
      <c r="J297" s="6" t="inlineStr"/>
      <c r="K297" s="2" t="inlineStr">
        <is>
          <t>-</t>
        </is>
      </c>
      <c r="L297" s="2" t="inlineStr">
        <is>
          <t>-</t>
        </is>
      </c>
      <c r="M297" s="2" t="inlineStr">
        <is>
          <t>2024-08-15</t>
        </is>
      </c>
      <c r="N297" s="2" t="inlineStr">
        <is>
          <t>2053-07-14</t>
        </is>
      </c>
      <c r="O297" s="3" t="inlineStr"/>
      <c r="P297" s="7" t="inlineStr">
        <is>
          <t>-</t>
        </is>
      </c>
      <c r="Q297" s="2" t="inlineStr">
        <is>
          <t>2023-08-14</t>
        </is>
      </c>
      <c r="R297" s="2" t="inlineStr">
        <is>
          <t>2026-06-24</t>
        </is>
      </c>
      <c r="S297" s="2" t="inlineStr">
        <is>
          <t>20260624000267</t>
        </is>
      </c>
      <c r="T297" s="8">
        <f>HYPERLINK("https://dart.fss.or.kr/dsaf001/main.do?rcpNo=20260624000267", "공시열람")</f>
        <v/>
      </c>
    </row>
    <row r="298" ht="36" customHeight="1">
      <c r="A298" s="2" t="inlineStr">
        <is>
          <t>2026-04-17 (정정: 2026-06-05)</t>
        </is>
      </c>
      <c r="B298" s="3" t="inlineStr">
        <is>
          <t>조이웍스앤코</t>
        </is>
      </c>
      <c r="C298" s="2" t="inlineStr">
        <is>
          <t>코스닥</t>
        </is>
      </c>
      <c r="D298" s="2" t="inlineStr">
        <is>
          <t>309930</t>
        </is>
      </c>
      <c r="E298" s="2" t="inlineStr">
        <is>
          <t>무상증자</t>
        </is>
      </c>
      <c r="F298" s="3" t="inlineStr">
        <is>
          <t>[기재정정]주요사항보고서(무상증자결정)</t>
        </is>
      </c>
      <c r="G298" s="5" t="inlineStr"/>
      <c r="H298" s="5" t="inlineStr"/>
      <c r="I298" s="2" t="inlineStr">
        <is>
          <t>-</t>
        </is>
      </c>
      <c r="J298" s="6" t="inlineStr"/>
      <c r="K298" s="2" t="inlineStr">
        <is>
          <t>-</t>
        </is>
      </c>
      <c r="L298" s="2" t="inlineStr">
        <is>
          <t>-</t>
        </is>
      </c>
      <c r="M298" s="2" t="inlineStr">
        <is>
          <t>-</t>
        </is>
      </c>
      <c r="N298" s="2" t="inlineStr">
        <is>
          <t>-</t>
        </is>
      </c>
      <c r="O298" s="3" t="inlineStr"/>
      <c r="P298" s="7" t="inlineStr">
        <is>
          <t>-</t>
        </is>
      </c>
      <c r="Q298" s="2" t="inlineStr">
        <is>
          <t>-</t>
        </is>
      </c>
      <c r="R298" s="2" t="inlineStr">
        <is>
          <t>-</t>
        </is>
      </c>
      <c r="S298" s="2" t="inlineStr">
        <is>
          <t>20260605000490</t>
        </is>
      </c>
      <c r="T298" s="8">
        <f>HYPERLINK("https://dart.fss.or.kr/dsaf001/main.do?rcpNo=20260605000490", "공시열람")</f>
        <v/>
      </c>
    </row>
    <row r="299" ht="36" customHeight="1">
      <c r="A299" s="2" t="inlineStr">
        <is>
          <t>2026-06-05 (정정: 2026-06-26)</t>
        </is>
      </c>
      <c r="B299" s="3" t="inlineStr">
        <is>
          <t>이렘</t>
        </is>
      </c>
      <c r="C299" s="2" t="inlineStr">
        <is>
          <t>코스닥</t>
        </is>
      </c>
      <c r="D299" s="2" t="inlineStr">
        <is>
          <t>009730</t>
        </is>
      </c>
      <c r="E299" s="9" t="inlineStr">
        <is>
          <t>유상증자</t>
        </is>
      </c>
      <c r="F299" s="3" t="inlineStr">
        <is>
          <t>[기재정정]주요사항보고서(유상증자결정) (정정: 20260626)</t>
        </is>
      </c>
      <c r="G299" s="5" t="n">
        <v>11328000000</v>
      </c>
      <c r="H299" s="5" t="inlineStr"/>
      <c r="I299" s="2" t="inlineStr">
        <is>
          <t>보통주식</t>
        </is>
      </c>
      <c r="J299" s="6" t="n">
        <v>4800000</v>
      </c>
      <c r="K299" s="2" t="inlineStr">
        <is>
          <t>2026-09-07</t>
        </is>
      </c>
      <c r="L299" s="2" t="inlineStr">
        <is>
          <t>2026-09-18</t>
        </is>
      </c>
      <c r="M299" s="2" t="inlineStr">
        <is>
          <t>-</t>
        </is>
      </c>
      <c r="N299" s="2" t="inlineStr">
        <is>
          <t>-</t>
        </is>
      </c>
      <c r="O299" s="10" t="n">
        <v>59.51246643589882</v>
      </c>
      <c r="P299" s="7" t="inlineStr">
        <is>
          <t>운영자금 (93.3억원), 채무상환자금 (20.0억원)</t>
        </is>
      </c>
      <c r="Q299" s="2" t="inlineStr">
        <is>
          <t>-</t>
        </is>
      </c>
      <c r="R299" s="2" t="inlineStr">
        <is>
          <t>-</t>
        </is>
      </c>
      <c r="S299" s="2" t="inlineStr">
        <is>
          <t>20260626000349</t>
        </is>
      </c>
      <c r="T299" s="8">
        <f>HYPERLINK("https://dart.fss.or.kr/dsaf001/main.do?rcpNo=20260626000349", "공시열람")</f>
        <v/>
      </c>
    </row>
    <row r="300" ht="36" customHeight="1">
      <c r="A300" s="2" t="inlineStr">
        <is>
          <t>2026-06-05 (정정: 2026-06-25)</t>
        </is>
      </c>
      <c r="B300" s="3" t="inlineStr">
        <is>
          <t>상지건설</t>
        </is>
      </c>
      <c r="C300" s="2" t="inlineStr">
        <is>
          <t>코스닥</t>
        </is>
      </c>
      <c r="D300" s="2" t="inlineStr">
        <is>
          <t>042940</t>
        </is>
      </c>
      <c r="E300" s="9" t="inlineStr">
        <is>
          <t>유상증자</t>
        </is>
      </c>
      <c r="F300" s="3" t="inlineStr">
        <is>
          <t>[기재정정]주요사항보고서(유상증자결정) (정정: 20260619) (정정: 20260625)</t>
        </is>
      </c>
      <c r="G300" s="5" t="n">
        <v>18744000000</v>
      </c>
      <c r="H300" s="5" t="inlineStr"/>
      <c r="I300" s="2" t="inlineStr">
        <is>
          <t>보통주식</t>
        </is>
      </c>
      <c r="J300" s="6" t="n">
        <v>2200000</v>
      </c>
      <c r="K300" s="2" t="inlineStr">
        <is>
          <t>2026-09-15</t>
        </is>
      </c>
      <c r="L300" s="2" t="inlineStr">
        <is>
          <t>2026-09-29</t>
        </is>
      </c>
      <c r="M300" s="2" t="inlineStr">
        <is>
          <t>-</t>
        </is>
      </c>
      <c r="N300" s="2" t="inlineStr">
        <is>
          <t>-</t>
        </is>
      </c>
      <c r="O300" s="10" t="n">
        <v>32.21691001172696</v>
      </c>
      <c r="P300" s="7" t="inlineStr">
        <is>
          <t>운영자금 (187.4억원)</t>
        </is>
      </c>
      <c r="Q300" s="2" t="inlineStr">
        <is>
          <t>-</t>
        </is>
      </c>
      <c r="R300" s="2" t="inlineStr">
        <is>
          <t>-</t>
        </is>
      </c>
      <c r="S300" s="2" t="inlineStr">
        <is>
          <t>20260625000325</t>
        </is>
      </c>
      <c r="T300" s="8">
        <f>HYPERLINK("https://dart.fss.or.kr/dsaf001/main.do?rcpNo=20260625000325", "공시열람")</f>
        <v/>
      </c>
    </row>
    <row r="301" ht="36" customHeight="1">
      <c r="A301" s="2" t="inlineStr">
        <is>
          <t>2026-04-22 (정정: 2026-06-05)</t>
        </is>
      </c>
      <c r="B301" s="3" t="inlineStr">
        <is>
          <t>핑거</t>
        </is>
      </c>
      <c r="C301" s="2" t="inlineStr">
        <is>
          <t>코스닥</t>
        </is>
      </c>
      <c r="D301" s="2" t="inlineStr">
        <is>
          <t>163730</t>
        </is>
      </c>
      <c r="E301" s="9" t="inlineStr">
        <is>
          <t>유상증자</t>
        </is>
      </c>
      <c r="F301" s="3" t="inlineStr">
        <is>
          <t>[기재정정]주요사항보고서(유상증자결정)</t>
        </is>
      </c>
      <c r="G301" s="5" t="n">
        <v>30000</v>
      </c>
      <c r="H301" s="5" t="n">
        <v>11498</v>
      </c>
      <c r="I301" s="2" t="inlineStr">
        <is>
          <t>보통주식</t>
        </is>
      </c>
      <c r="J301" s="6" t="n">
        <v>2609149</v>
      </c>
      <c r="K301" s="2" t="inlineStr">
        <is>
          <t>2026-05-21</t>
        </is>
      </c>
      <c r="L301" s="2" t="inlineStr">
        <is>
          <t>2026-06-19</t>
        </is>
      </c>
      <c r="M301" s="2" t="inlineStr">
        <is>
          <t>-</t>
        </is>
      </c>
      <c r="N301" s="2" t="inlineStr">
        <is>
          <t>-</t>
        </is>
      </c>
      <c r="O301" s="10" t="n">
        <v>27.73752339854451</v>
      </c>
      <c r="P301" s="7" t="inlineStr">
        <is>
          <t>운영자금 (30,000원)</t>
        </is>
      </c>
      <c r="Q301" s="2" t="inlineStr">
        <is>
          <t>-</t>
        </is>
      </c>
      <c r="R301" s="2" t="inlineStr">
        <is>
          <t>-</t>
        </is>
      </c>
      <c r="S301" s="2" t="inlineStr">
        <is>
          <t>20260605000113</t>
        </is>
      </c>
      <c r="T301" s="8">
        <f>HYPERLINK("https://dart.fss.or.kr/dsaf001/main.do?rcpNo=20260605000113", "공시열람")</f>
        <v/>
      </c>
    </row>
    <row r="302" ht="36" customHeight="1">
      <c r="A302" s="2" t="inlineStr">
        <is>
          <t>2026-06-05 (정정: 2026-06-12)</t>
        </is>
      </c>
      <c r="B302" s="3" t="inlineStr">
        <is>
          <t>이노스페이스</t>
        </is>
      </c>
      <c r="C302" s="2" t="inlineStr">
        <is>
          <t>코스닥</t>
        </is>
      </c>
      <c r="D302" s="2" t="inlineStr">
        <is>
          <t>462350</t>
        </is>
      </c>
      <c r="E302" s="2" t="inlineStr">
        <is>
          <t>무상증자</t>
        </is>
      </c>
      <c r="F302" s="3" t="inlineStr">
        <is>
          <t>주요사항보고서(무상증자결정) (정정: 20260612)</t>
        </is>
      </c>
      <c r="G302" s="5" t="inlineStr"/>
      <c r="H302" s="5" t="inlineStr"/>
      <c r="I302" s="2" t="inlineStr">
        <is>
          <t>-</t>
        </is>
      </c>
      <c r="J302" s="6" t="inlineStr"/>
      <c r="K302" s="2" t="inlineStr">
        <is>
          <t>-</t>
        </is>
      </c>
      <c r="L302" s="2" t="inlineStr">
        <is>
          <t>-</t>
        </is>
      </c>
      <c r="M302" s="2" t="inlineStr">
        <is>
          <t>-</t>
        </is>
      </c>
      <c r="N302" s="2" t="inlineStr">
        <is>
          <t>-</t>
        </is>
      </c>
      <c r="O302" s="3" t="inlineStr"/>
      <c r="P302" s="7" t="inlineStr">
        <is>
          <t>-</t>
        </is>
      </c>
      <c r="Q302" s="2" t="inlineStr">
        <is>
          <t>-</t>
        </is>
      </c>
      <c r="R302" s="2" t="inlineStr">
        <is>
          <t>-</t>
        </is>
      </c>
      <c r="S302" s="2" t="inlineStr">
        <is>
          <t>20260612000418</t>
        </is>
      </c>
      <c r="T302" s="8">
        <f>HYPERLINK("https://dart.fss.or.kr/dsaf001/main.do?rcpNo=20260612000418", "공시열람")</f>
        <v/>
      </c>
    </row>
    <row r="303" ht="36" customHeight="1">
      <c r="A303" s="2" t="inlineStr">
        <is>
          <t>2026-06-05 (정정: 2026-06-09)</t>
        </is>
      </c>
      <c r="B303" s="3" t="inlineStr">
        <is>
          <t>엠젠솔루션</t>
        </is>
      </c>
      <c r="C303" s="2" t="inlineStr">
        <is>
          <t>코스닥</t>
        </is>
      </c>
      <c r="D303" s="2" t="inlineStr">
        <is>
          <t>032790</t>
        </is>
      </c>
      <c r="E303" s="11" t="inlineStr">
        <is>
          <t>전환사채(CB)</t>
        </is>
      </c>
      <c r="F303" s="3" t="inlineStr">
        <is>
          <t>[첨부정정]주요사항보고서(전환사채권발행결정) (정정: 20260609)</t>
        </is>
      </c>
      <c r="G303" s="5" t="inlineStr"/>
      <c r="H303" s="5" t="inlineStr"/>
      <c r="I303" s="2" t="inlineStr">
        <is>
          <t>-</t>
        </is>
      </c>
      <c r="J303" s="6" t="inlineStr"/>
      <c r="K303" s="2" t="inlineStr">
        <is>
          <t>-</t>
        </is>
      </c>
      <c r="L303" s="2" t="inlineStr">
        <is>
          <t>-</t>
        </is>
      </c>
      <c r="M303" s="2" t="inlineStr">
        <is>
          <t>2027-06-09</t>
        </is>
      </c>
      <c r="N303" s="2" t="inlineStr">
        <is>
          <t>2029-05-09</t>
        </is>
      </c>
      <c r="O303" s="3" t="inlineStr"/>
      <c r="P303" s="7" t="inlineStr">
        <is>
          <t>-</t>
        </is>
      </c>
      <c r="Q303" s="2" t="inlineStr">
        <is>
          <t>-</t>
        </is>
      </c>
      <c r="R303" s="2" t="inlineStr">
        <is>
          <t>2027-06-09</t>
        </is>
      </c>
      <c r="S303" s="2" t="inlineStr">
        <is>
          <t>20260609000437</t>
        </is>
      </c>
      <c r="T303" s="8">
        <f>HYPERLINK("https://dart.fss.or.kr/dsaf001/main.do?rcpNo=20260609000437", "공시열람")</f>
        <v/>
      </c>
    </row>
    <row r="304" ht="36" customHeight="1">
      <c r="A304" s="2" t="inlineStr">
        <is>
          <t>2026-06-08</t>
        </is>
      </c>
      <c r="B304" s="3" t="inlineStr">
        <is>
          <t>서울전자통신</t>
        </is>
      </c>
      <c r="C304" s="2" t="inlineStr">
        <is>
          <t>코스닥</t>
        </is>
      </c>
      <c r="D304" s="2" t="inlineStr">
        <is>
          <t>027040</t>
        </is>
      </c>
      <c r="E304" s="9" t="inlineStr">
        <is>
          <t>유상증자</t>
        </is>
      </c>
      <c r="F304" s="3" t="inlineStr">
        <is>
          <t>주요사항보고서(유상증자결정)</t>
        </is>
      </c>
      <c r="G304" s="5" t="n">
        <v>2600012399</v>
      </c>
      <c r="H304" s="5" t="n">
        <v>2033</v>
      </c>
      <c r="I304" s="2" t="inlineStr">
        <is>
          <t>보통주식</t>
        </is>
      </c>
      <c r="J304" s="6" t="n">
        <v>7378258</v>
      </c>
      <c r="K304" s="2" t="inlineStr">
        <is>
          <t>2026-07-29</t>
        </is>
      </c>
      <c r="L304" s="2" t="inlineStr">
        <is>
          <t>2026-08-26</t>
        </is>
      </c>
      <c r="M304" s="2" t="inlineStr">
        <is>
          <t>-</t>
        </is>
      </c>
      <c r="N304" s="2" t="inlineStr">
        <is>
          <t>-</t>
        </is>
      </c>
      <c r="O304" s="10" t="n">
        <v>53.01322359927083</v>
      </c>
      <c r="P304" s="7" t="inlineStr">
        <is>
          <t>운영자금 (12,399원), 채무상환자금 (26.0억원)</t>
        </is>
      </c>
      <c r="Q304" s="2" t="inlineStr">
        <is>
          <t>-</t>
        </is>
      </c>
      <c r="R304" s="2" t="inlineStr">
        <is>
          <t>-</t>
        </is>
      </c>
      <c r="S304" s="2" t="inlineStr">
        <is>
          <t>20260608000438</t>
        </is>
      </c>
      <c r="T304" s="8">
        <f>HYPERLINK("https://dart.fss.or.kr/dsaf001/main.do?rcpNo=20260608000438", "공시열람")</f>
        <v/>
      </c>
    </row>
    <row r="305" ht="36" customHeight="1">
      <c r="A305" s="2" t="inlineStr">
        <is>
          <t>2026-06-08</t>
        </is>
      </c>
      <c r="B305" s="3" t="inlineStr">
        <is>
          <t>경농</t>
        </is>
      </c>
      <c r="C305" s="2" t="inlineStr">
        <is>
          <t>코스피</t>
        </is>
      </c>
      <c r="D305" s="2" t="inlineStr">
        <is>
          <t>002100</t>
        </is>
      </c>
      <c r="E305" s="4" t="inlineStr">
        <is>
          <t>교환사채(EB)</t>
        </is>
      </c>
      <c r="F305" s="3" t="inlineStr">
        <is>
          <t>주요사항보고서(교환사채권발행결정)</t>
        </is>
      </c>
      <c r="G305" s="5" t="n">
        <v>6258000000</v>
      </c>
      <c r="H305" s="5" t="n">
        <v>21000</v>
      </c>
      <c r="I305" s="2" t="inlineStr">
        <is>
          <t>주식회사 아이스크림미디어 기명식 보통주</t>
        </is>
      </c>
      <c r="J305" s="6" t="inlineStr"/>
      <c r="K305" s="2" t="inlineStr">
        <is>
          <t>2026년 06월 16일</t>
        </is>
      </c>
      <c r="L305" s="2" t="inlineStr">
        <is>
          <t>-</t>
        </is>
      </c>
      <c r="M305" s="2" t="inlineStr">
        <is>
          <t>2026-07-16</t>
        </is>
      </c>
      <c r="N305" s="2" t="inlineStr">
        <is>
          <t>2029-05-16</t>
        </is>
      </c>
      <c r="O305" s="3" t="inlineStr"/>
      <c r="P305" s="7" t="inlineStr">
        <is>
          <t>-</t>
        </is>
      </c>
      <c r="Q305" s="2" t="inlineStr">
        <is>
          <t>-</t>
        </is>
      </c>
      <c r="R305" s="2" t="inlineStr">
        <is>
          <t>-</t>
        </is>
      </c>
      <c r="S305" s="2" t="inlineStr">
        <is>
          <t>20260608000384</t>
        </is>
      </c>
      <c r="T305" s="8">
        <f>HYPERLINK("https://dart.fss.or.kr/dsaf001/main.do?rcpNo=20260608000384", "공시열람")</f>
        <v/>
      </c>
    </row>
    <row r="306" ht="36" customHeight="1">
      <c r="A306" s="2" t="inlineStr">
        <is>
          <t>2022-11-11 (정정: 2026-06-08)</t>
        </is>
      </c>
      <c r="B306" s="3" t="inlineStr">
        <is>
          <t>아우딘퓨쳐스</t>
        </is>
      </c>
      <c r="C306" s="2" t="inlineStr">
        <is>
          <t>코스닥</t>
        </is>
      </c>
      <c r="D306" s="2" t="inlineStr">
        <is>
          <t>227610</t>
        </is>
      </c>
      <c r="E306" s="11" t="inlineStr">
        <is>
          <t>전환사채(CB)</t>
        </is>
      </c>
      <c r="F306" s="3" t="inlineStr">
        <is>
          <t>[기재정정]주요사항보고서(전환사채권발행결정)</t>
        </is>
      </c>
      <c r="G306" s="5" t="inlineStr"/>
      <c r="H306" s="5" t="inlineStr"/>
      <c r="I306" s="2" t="inlineStr">
        <is>
          <t>-</t>
        </is>
      </c>
      <c r="J306" s="6" t="inlineStr"/>
      <c r="K306" s="2" t="inlineStr">
        <is>
          <t>-</t>
        </is>
      </c>
      <c r="L306" s="2" t="inlineStr">
        <is>
          <t>-</t>
        </is>
      </c>
      <c r="M306" s="2" t="inlineStr">
        <is>
          <t>2024-06-28</t>
        </is>
      </c>
      <c r="N306" s="2" t="inlineStr">
        <is>
          <t>2026-12-28</t>
        </is>
      </c>
      <c r="O306" s="3" t="inlineStr"/>
      <c r="P306" s="7" t="inlineStr">
        <is>
          <t>-</t>
        </is>
      </c>
      <c r="Q306" s="2" t="inlineStr">
        <is>
          <t>2024-06-28</t>
        </is>
      </c>
      <c r="R306" s="2" t="inlineStr">
        <is>
          <t>2024-04-29</t>
        </is>
      </c>
      <c r="S306" s="2" t="inlineStr">
        <is>
          <t>20260608000337</t>
        </is>
      </c>
      <c r="T306" s="8">
        <f>HYPERLINK("https://dart.fss.or.kr/dsaf001/main.do?rcpNo=20260608000337", "공시열람")</f>
        <v/>
      </c>
    </row>
    <row r="307" ht="36" customHeight="1">
      <c r="A307" s="2" t="inlineStr">
        <is>
          <t>2026-06-08</t>
        </is>
      </c>
      <c r="B307" s="3" t="inlineStr">
        <is>
          <t>KB스타리츠</t>
        </is>
      </c>
      <c r="C307" s="2" t="inlineStr">
        <is>
          <t>코스피</t>
        </is>
      </c>
      <c r="D307" s="2" t="inlineStr">
        <is>
          <t>432320</t>
        </is>
      </c>
      <c r="E307" s="9" t="inlineStr">
        <is>
          <t>유상증자</t>
        </is>
      </c>
      <c r="F307" s="3" t="inlineStr">
        <is>
          <t xml:space="preserve">유상증자결정(종속회사의주요경영사항)              </t>
        </is>
      </c>
      <c r="G307" s="5" t="n">
        <v>29500000000</v>
      </c>
      <c r="H307" s="5" t="n">
        <v>10000</v>
      </c>
      <c r="I307" s="2" t="inlineStr">
        <is>
          <t>보통주식</t>
        </is>
      </c>
      <c r="J307" s="6" t="n">
        <v>2950000</v>
      </c>
      <c r="K307" s="2" t="inlineStr">
        <is>
          <t>2026-06-15</t>
        </is>
      </c>
      <c r="L307" s="2" t="inlineStr">
        <is>
          <t>-</t>
        </is>
      </c>
      <c r="M307" s="2" t="inlineStr">
        <is>
          <t>-</t>
        </is>
      </c>
      <c r="N307" s="2" t="inlineStr">
        <is>
          <t>-</t>
        </is>
      </c>
      <c r="O307" s="10" t="n">
        <v>5.399716286093442</v>
      </c>
      <c r="P307" s="7" t="inlineStr">
        <is>
          <t>운영자금 (295.0억원)</t>
        </is>
      </c>
      <c r="Q307" s="2" t="inlineStr">
        <is>
          <t>-</t>
        </is>
      </c>
      <c r="R307" s="2" t="inlineStr">
        <is>
          <t>-</t>
        </is>
      </c>
      <c r="S307" s="2" t="inlineStr">
        <is>
          <t>20260608800723</t>
        </is>
      </c>
      <c r="T307" s="8">
        <f>HYPERLINK("https://dart.fss.or.kr/dsaf001/main.do?rcpNo=20260608800723", "공시열람")</f>
        <v/>
      </c>
    </row>
    <row r="308" ht="36" customHeight="1">
      <c r="A308" s="2" t="inlineStr">
        <is>
          <t>2025-11-20 (정정: 2026-06-09)</t>
        </is>
      </c>
      <c r="B308" s="3" t="inlineStr">
        <is>
          <t>CSA 코스믹</t>
        </is>
      </c>
      <c r="C308" s="2" t="inlineStr">
        <is>
          <t>코스닥</t>
        </is>
      </c>
      <c r="D308" s="2" t="inlineStr">
        <is>
          <t>083660</t>
        </is>
      </c>
      <c r="E308" s="9" t="inlineStr">
        <is>
          <t>유상증자</t>
        </is>
      </c>
      <c r="F308" s="3" t="inlineStr">
        <is>
          <t>[기재정정]주요사항보고서(유상증자결정)</t>
        </is>
      </c>
      <c r="G308" s="5" t="n">
        <v>4000</v>
      </c>
      <c r="H308" s="5" t="n">
        <v>200</v>
      </c>
      <c r="I308" s="2" t="inlineStr">
        <is>
          <t>보통주식</t>
        </is>
      </c>
      <c r="J308" s="6" t="n">
        <v>40000000</v>
      </c>
      <c r="K308" s="2" t="inlineStr">
        <is>
          <t>2026-07-06</t>
        </is>
      </c>
      <c r="L308" s="2" t="inlineStr">
        <is>
          <t>2026-07-22</t>
        </is>
      </c>
      <c r="M308" s="2" t="inlineStr">
        <is>
          <t>-</t>
        </is>
      </c>
      <c r="N308" s="2" t="inlineStr">
        <is>
          <t>-</t>
        </is>
      </c>
      <c r="O308" s="10" t="n">
        <v>37.50973506564668</v>
      </c>
      <c r="P308" s="7" t="inlineStr">
        <is>
          <t>운영자금 (4,000원)</t>
        </is>
      </c>
      <c r="Q308" s="2" t="inlineStr">
        <is>
          <t>-</t>
        </is>
      </c>
      <c r="R308" s="2" t="inlineStr">
        <is>
          <t>-</t>
        </is>
      </c>
      <c r="S308" s="2" t="inlineStr">
        <is>
          <t>20260609000529</t>
        </is>
      </c>
      <c r="T308" s="8">
        <f>HYPERLINK("https://dart.fss.or.kr/dsaf001/main.do?rcpNo=20260609000529", "공시열람")</f>
        <v/>
      </c>
    </row>
    <row r="309" ht="36" customHeight="1">
      <c r="A309" s="2" t="inlineStr">
        <is>
          <t>2026-06-09 (정정: 2026-06-10)</t>
        </is>
      </c>
      <c r="B309" s="3" t="inlineStr">
        <is>
          <t>CSA 코스믹</t>
        </is>
      </c>
      <c r="C309" s="2" t="inlineStr">
        <is>
          <t>코스닥</t>
        </is>
      </c>
      <c r="D309" s="2" t="inlineStr">
        <is>
          <t>083660</t>
        </is>
      </c>
      <c r="E309" s="9" t="inlineStr">
        <is>
          <t>유상증자</t>
        </is>
      </c>
      <c r="F309" s="3" t="inlineStr">
        <is>
          <t>주요사항보고서(유상증자결정) (정정: 20260610)</t>
        </is>
      </c>
      <c r="G309" s="5" t="n">
        <v>4000</v>
      </c>
      <c r="H309" s="5" t="n">
        <v>200</v>
      </c>
      <c r="I309" s="2" t="inlineStr">
        <is>
          <t>보통주식</t>
        </is>
      </c>
      <c r="J309" s="6" t="n">
        <v>20000000</v>
      </c>
      <c r="K309" s="2" t="inlineStr">
        <is>
          <t>2026-07-03</t>
        </is>
      </c>
      <c r="L309" s="2" t="inlineStr">
        <is>
          <t>2026-07-17</t>
        </is>
      </c>
      <c r="M309" s="2" t="inlineStr">
        <is>
          <t>-</t>
        </is>
      </c>
      <c r="N309" s="2" t="inlineStr">
        <is>
          <t>-</t>
        </is>
      </c>
      <c r="O309" s="10" t="n">
        <v>18.75486753282334</v>
      </c>
      <c r="P309" s="7" t="inlineStr">
        <is>
          <t>운영자금 (4,000원)</t>
        </is>
      </c>
      <c r="Q309" s="2" t="inlineStr">
        <is>
          <t>-</t>
        </is>
      </c>
      <c r="R309" s="2" t="inlineStr">
        <is>
          <t>-</t>
        </is>
      </c>
      <c r="S309" s="2" t="inlineStr">
        <is>
          <t>20260610000674</t>
        </is>
      </c>
      <c r="T309" s="8">
        <f>HYPERLINK("https://dart.fss.or.kr/dsaf001/main.do?rcpNo=20260610000674", "공시열람")</f>
        <v/>
      </c>
    </row>
    <row r="310" ht="36" customHeight="1">
      <c r="A310" s="2" t="inlineStr">
        <is>
          <t>2026-06-09</t>
        </is>
      </c>
      <c r="B310" s="3" t="inlineStr">
        <is>
          <t>현대건설</t>
        </is>
      </c>
      <c r="C310" s="2" t="inlineStr">
        <is>
          <t>코스피</t>
        </is>
      </c>
      <c r="D310" s="2" t="inlineStr">
        <is>
          <t>000720</t>
        </is>
      </c>
      <c r="E310" s="11" t="inlineStr">
        <is>
          <t>전환사채(CB)</t>
        </is>
      </c>
      <c r="F310" s="3" t="inlineStr">
        <is>
          <t>주요사항보고서(전환사채권발행결정)</t>
        </is>
      </c>
      <c r="G310" s="5" t="n">
        <v>500000000000</v>
      </c>
      <c r="H310" s="5" t="n">
        <v>150607</v>
      </c>
      <c r="I310" s="2" t="inlineStr">
        <is>
          <t>현대건설 주식회사 기명식 보통주</t>
        </is>
      </c>
      <c r="J310" s="6" t="n">
        <v>3319898</v>
      </c>
      <c r="K310" s="2" t="inlineStr">
        <is>
          <t>2026년 07월 07일</t>
        </is>
      </c>
      <c r="L310" s="2" t="inlineStr">
        <is>
          <t>-</t>
        </is>
      </c>
      <c r="M310" s="2" t="inlineStr">
        <is>
          <t>2027-07-07</t>
        </is>
      </c>
      <c r="N310" s="2" t="inlineStr">
        <is>
          <t>2031-06-07</t>
        </is>
      </c>
      <c r="O310" s="10" t="n">
        <v>2.9</v>
      </c>
      <c r="P310" s="7" t="inlineStr">
        <is>
          <t>-</t>
        </is>
      </c>
      <c r="Q310" s="2" t="inlineStr">
        <is>
          <t>2027-07-07</t>
        </is>
      </c>
      <c r="R310" s="2" t="inlineStr">
        <is>
          <t>2027-07-07</t>
        </is>
      </c>
      <c r="S310" s="2" t="inlineStr">
        <is>
          <t>20260609000517</t>
        </is>
      </c>
      <c r="T310" s="8">
        <f>HYPERLINK("https://dart.fss.or.kr/dsaf001/main.do?rcpNo=20260609000517", "공시열람")</f>
        <v/>
      </c>
    </row>
    <row r="311" ht="36" customHeight="1">
      <c r="A311" s="2" t="inlineStr">
        <is>
          <t>2026-06-09</t>
        </is>
      </c>
      <c r="B311" s="3" t="inlineStr">
        <is>
          <t>핸즈코퍼레이션</t>
        </is>
      </c>
      <c r="C311" s="2" t="inlineStr">
        <is>
          <t>코스피</t>
        </is>
      </c>
      <c r="D311" s="2" t="inlineStr">
        <is>
          <t>143210</t>
        </is>
      </c>
      <c r="E311" s="9" t="inlineStr">
        <is>
          <t>유상증자</t>
        </is>
      </c>
      <c r="F311" s="3" t="inlineStr">
        <is>
          <t>주요사항보고서(유상증자결정)</t>
        </is>
      </c>
      <c r="G311" s="5" t="n">
        <v>17123486436</v>
      </c>
      <c r="H311" s="5" t="n">
        <v>3492</v>
      </c>
      <c r="I311" s="2" t="inlineStr">
        <is>
          <t>보통주식</t>
        </is>
      </c>
      <c r="J311" s="6" t="n">
        <v>4903633</v>
      </c>
      <c r="K311" s="2" t="inlineStr">
        <is>
          <t>2026-06-17</t>
        </is>
      </c>
      <c r="L311" s="2" t="inlineStr">
        <is>
          <t>2026-06-30</t>
        </is>
      </c>
      <c r="M311" s="2" t="inlineStr">
        <is>
          <t>-</t>
        </is>
      </c>
      <c r="N311" s="2" t="inlineStr">
        <is>
          <t>-</t>
        </is>
      </c>
      <c r="O311" s="10" t="n">
        <v>22.4158425310002</v>
      </c>
      <c r="P311" s="7" t="inlineStr">
        <is>
          <t>기타자금 (171.2억원)</t>
        </is>
      </c>
      <c r="Q311" s="2" t="inlineStr">
        <is>
          <t>-</t>
        </is>
      </c>
      <c r="R311" s="2" t="inlineStr">
        <is>
          <t>-</t>
        </is>
      </c>
      <c r="S311" s="2" t="inlineStr">
        <is>
          <t>20260609000254</t>
        </is>
      </c>
      <c r="T311" s="8">
        <f>HYPERLINK("https://dart.fss.or.kr/dsaf001/main.do?rcpNo=20260609000254", "공시열람")</f>
        <v/>
      </c>
    </row>
    <row r="312" ht="36" customHeight="1">
      <c r="A312" s="2" t="inlineStr">
        <is>
          <t>2026-06-09 (정정: 2026-06-16)</t>
        </is>
      </c>
      <c r="B312" s="3" t="inlineStr">
        <is>
          <t>한국유니온제약</t>
        </is>
      </c>
      <c r="C312" s="2" t="inlineStr">
        <is>
          <t>코스닥</t>
        </is>
      </c>
      <c r="D312" s="2" t="inlineStr">
        <is>
          <t>080720</t>
        </is>
      </c>
      <c r="E312" s="9" t="inlineStr">
        <is>
          <t>유상증자</t>
        </is>
      </c>
      <c r="F312" s="3" t="inlineStr">
        <is>
          <t>[기재정정]주요사항보고서(유상증자결정) (정정: 20260609) (정정: 20260616)</t>
        </is>
      </c>
      <c r="G312" s="5" t="n">
        <v>0</v>
      </c>
      <c r="H312" s="5" t="n">
        <v>500</v>
      </c>
      <c r="I312" s="2" t="inlineStr">
        <is>
          <t>보통주식</t>
        </is>
      </c>
      <c r="J312" s="6" t="n">
        <v>51660308</v>
      </c>
      <c r="K312" s="2" t="inlineStr">
        <is>
          <t>2026-05-19</t>
        </is>
      </c>
      <c r="L312" s="2" t="inlineStr">
        <is>
          <t>2026-07-15</t>
        </is>
      </c>
      <c r="M312" s="2" t="inlineStr">
        <is>
          <t>-</t>
        </is>
      </c>
      <c r="N312" s="2" t="inlineStr">
        <is>
          <t>-</t>
        </is>
      </c>
      <c r="O312" s="10" t="n">
        <v>652.8678242469065</v>
      </c>
      <c r="P312" s="7" t="inlineStr">
        <is>
          <t>-</t>
        </is>
      </c>
      <c r="Q312" s="2" t="inlineStr">
        <is>
          <t>-</t>
        </is>
      </c>
      <c r="R312" s="2" t="inlineStr">
        <is>
          <t>-</t>
        </is>
      </c>
      <c r="S312" s="2" t="inlineStr">
        <is>
          <t>20260616000083</t>
        </is>
      </c>
      <c r="T312" s="8">
        <f>HYPERLINK("https://dart.fss.or.kr/dsaf001/main.do?rcpNo=20260616000083", "공시열람")</f>
        <v/>
      </c>
    </row>
    <row r="313" ht="36" customHeight="1">
      <c r="A313" s="2" t="inlineStr">
        <is>
          <t>2026-06-09</t>
        </is>
      </c>
      <c r="B313" s="3" t="inlineStr">
        <is>
          <t>메타랩스</t>
        </is>
      </c>
      <c r="C313" s="2" t="inlineStr">
        <is>
          <t>코스피</t>
        </is>
      </c>
      <c r="D313" s="2" t="inlineStr">
        <is>
          <t>090370</t>
        </is>
      </c>
      <c r="E313" s="9" t="inlineStr">
        <is>
          <t>유상증자</t>
        </is>
      </c>
      <c r="F313" s="3" t="inlineStr">
        <is>
          <t>주요사항보고서(유상증자결정)</t>
        </is>
      </c>
      <c r="G313" s="5" t="n">
        <v>6000000000</v>
      </c>
      <c r="H313" s="5" t="n">
        <v>2500</v>
      </c>
      <c r="I313" s="2" t="inlineStr">
        <is>
          <t>보통주식</t>
        </is>
      </c>
      <c r="J313" s="6" t="n">
        <v>2400000</v>
      </c>
      <c r="K313" s="2" t="inlineStr">
        <is>
          <t>2026-06-17</t>
        </is>
      </c>
      <c r="L313" s="2" t="inlineStr">
        <is>
          <t>2026-06-30</t>
        </is>
      </c>
      <c r="M313" s="2" t="inlineStr">
        <is>
          <t>-</t>
        </is>
      </c>
      <c r="N313" s="2" t="inlineStr">
        <is>
          <t>-</t>
        </is>
      </c>
      <c r="O313" s="10" t="n">
        <v>9.63673949110547</v>
      </c>
      <c r="P313" s="7" t="inlineStr">
        <is>
          <t>타법인증권취득자금 (60.0억원)</t>
        </is>
      </c>
      <c r="Q313" s="2" t="inlineStr">
        <is>
          <t>-</t>
        </is>
      </c>
      <c r="R313" s="2" t="inlineStr">
        <is>
          <t>-</t>
        </is>
      </c>
      <c r="S313" s="2" t="inlineStr">
        <is>
          <t>20260609000131</t>
        </is>
      </c>
      <c r="T313" s="8">
        <f>HYPERLINK("https://dart.fss.or.kr/dsaf001/main.do?rcpNo=20260609000131", "공시열람")</f>
        <v/>
      </c>
    </row>
    <row r="314" ht="36" customHeight="1">
      <c r="A314" s="2" t="inlineStr">
        <is>
          <t>2026-06-09</t>
        </is>
      </c>
      <c r="B314" s="3" t="inlineStr">
        <is>
          <t>메타케어</t>
        </is>
      </c>
      <c r="C314" s="2" t="inlineStr">
        <is>
          <t>코스피</t>
        </is>
      </c>
      <c r="D314" s="2" t="inlineStr">
        <is>
          <t>118000</t>
        </is>
      </c>
      <c r="E314" s="9" t="inlineStr">
        <is>
          <t>유상증자</t>
        </is>
      </c>
      <c r="F314" s="3" t="inlineStr">
        <is>
          <t>주요사항보고서(유상증자결정)</t>
        </is>
      </c>
      <c r="G314" s="5" t="n">
        <v>6000000270</v>
      </c>
      <c r="H314" s="5" t="n">
        <v>1230</v>
      </c>
      <c r="I314" s="2" t="inlineStr">
        <is>
          <t>보통주식</t>
        </is>
      </c>
      <c r="J314" s="6" t="n">
        <v>4878049</v>
      </c>
      <c r="K314" s="2" t="inlineStr">
        <is>
          <t>2026-06-18</t>
        </is>
      </c>
      <c r="L314" s="2" t="inlineStr">
        <is>
          <t>2026-07-01</t>
        </is>
      </c>
      <c r="M314" s="2" t="inlineStr">
        <is>
          <t>-</t>
        </is>
      </c>
      <c r="N314" s="2" t="inlineStr">
        <is>
          <t>-</t>
        </is>
      </c>
      <c r="O314" s="10" t="n">
        <v>28.39750826302139</v>
      </c>
      <c r="P314" s="7" t="inlineStr">
        <is>
          <t>타법인증권취득자금 (60.0억원)</t>
        </is>
      </c>
      <c r="Q314" s="2" t="inlineStr">
        <is>
          <t>-</t>
        </is>
      </c>
      <c r="R314" s="2" t="inlineStr">
        <is>
          <t>-</t>
        </is>
      </c>
      <c r="S314" s="2" t="inlineStr">
        <is>
          <t>20260609000135</t>
        </is>
      </c>
      <c r="T314" s="8">
        <f>HYPERLINK("https://dart.fss.or.kr/dsaf001/main.do?rcpNo=20260609000135", "공시열람")</f>
        <v/>
      </c>
    </row>
    <row r="315" ht="36" customHeight="1">
      <c r="A315" s="2" t="inlineStr">
        <is>
          <t>2026-06-10</t>
        </is>
      </c>
      <c r="B315" s="3" t="inlineStr">
        <is>
          <t>플루토스</t>
        </is>
      </c>
      <c r="C315" s="2" t="inlineStr">
        <is>
          <t>코스닥</t>
        </is>
      </c>
      <c r="D315" s="2" t="inlineStr">
        <is>
          <t>019570</t>
        </is>
      </c>
      <c r="E315" s="11" t="inlineStr">
        <is>
          <t>전환사채(CB)</t>
        </is>
      </c>
      <c r="F315" s="3" t="inlineStr">
        <is>
          <t>주요사항보고서(전환사채권발행결정)</t>
        </is>
      </c>
      <c r="G315" s="5" t="n">
        <v>3000000000</v>
      </c>
      <c r="H315" s="5" t="n">
        <v>500</v>
      </c>
      <c r="I315" s="2" t="inlineStr">
        <is>
          <t>(주)지엠아이벤처(구.플루토스투자) 기명식 보통주</t>
        </is>
      </c>
      <c r="J315" s="6" t="n">
        <v>6000000</v>
      </c>
      <c r="K315" s="2" t="inlineStr">
        <is>
          <t>2026년 06월 18일</t>
        </is>
      </c>
      <c r="L315" s="2" t="inlineStr">
        <is>
          <t>-</t>
        </is>
      </c>
      <c r="M315" s="2" t="inlineStr">
        <is>
          <t>2027-06-18</t>
        </is>
      </c>
      <c r="N315" s="2" t="inlineStr">
        <is>
          <t>2029-05-18</t>
        </is>
      </c>
      <c r="O315" s="10" t="n">
        <v>5.91</v>
      </c>
      <c r="P315" s="7" t="inlineStr">
        <is>
          <t>-</t>
        </is>
      </c>
      <c r="Q315" s="2" t="inlineStr">
        <is>
          <t>2025-04-19</t>
        </is>
      </c>
      <c r="R315" s="2" t="inlineStr">
        <is>
          <t>2027-03-19</t>
        </is>
      </c>
      <c r="S315" s="2" t="inlineStr">
        <is>
          <t>20260610000628</t>
        </is>
      </c>
      <c r="T315" s="8">
        <f>HYPERLINK("https://dart.fss.or.kr/dsaf001/main.do?rcpNo=20260610000628", "공시열람")</f>
        <v/>
      </c>
    </row>
    <row r="316" ht="36" customHeight="1">
      <c r="A316" s="2" t="inlineStr">
        <is>
          <t>2026-06-10</t>
        </is>
      </c>
      <c r="B316" s="3" t="inlineStr">
        <is>
          <t>풍전약품</t>
        </is>
      </c>
      <c r="C316" s="2" t="inlineStr">
        <is>
          <t>코스닥</t>
        </is>
      </c>
      <c r="D316" s="2" t="inlineStr">
        <is>
          <t>298060</t>
        </is>
      </c>
      <c r="E316" s="11" t="inlineStr">
        <is>
          <t>전환사채(CB)</t>
        </is>
      </c>
      <c r="F316" s="3" t="inlineStr">
        <is>
          <t>주요사항보고서(전환사채권발행결정)</t>
        </is>
      </c>
      <c r="G316" s="5" t="n">
        <v>2000000000</v>
      </c>
      <c r="H316" s="5" t="n">
        <v>3332</v>
      </c>
      <c r="I316" s="2" t="inlineStr">
        <is>
          <t>풍전약품 주식회사 기명식 보통주</t>
        </is>
      </c>
      <c r="J316" s="6" t="n">
        <v>600240</v>
      </c>
      <c r="K316" s="2" t="inlineStr">
        <is>
          <t>2026년 06월 18일</t>
        </is>
      </c>
      <c r="L316" s="2" t="inlineStr">
        <is>
          <t>-</t>
        </is>
      </c>
      <c r="M316" s="2" t="inlineStr">
        <is>
          <t>2027-06-18</t>
        </is>
      </c>
      <c r="N316" s="2" t="inlineStr">
        <is>
          <t>2029-05-18</t>
        </is>
      </c>
      <c r="O316" s="10" t="n">
        <v>6.79</v>
      </c>
      <c r="P316" s="7" t="inlineStr">
        <is>
          <t>-</t>
        </is>
      </c>
      <c r="Q316" s="2" t="inlineStr">
        <is>
          <t>-</t>
        </is>
      </c>
      <c r="R316" s="2" t="inlineStr">
        <is>
          <t>2027-12-18</t>
        </is>
      </c>
      <c r="S316" s="2" t="inlineStr">
        <is>
          <t>20260610000611</t>
        </is>
      </c>
      <c r="T316" s="8">
        <f>HYPERLINK("https://dart.fss.or.kr/dsaf001/main.do?rcpNo=20260610000611", "공시열람")</f>
        <v/>
      </c>
    </row>
    <row r="317" ht="36" customHeight="1">
      <c r="A317" s="2" t="inlineStr">
        <is>
          <t>2026-06-10</t>
        </is>
      </c>
      <c r="B317" s="3" t="inlineStr">
        <is>
          <t>세아제강지주</t>
        </is>
      </c>
      <c r="C317" s="2" t="inlineStr">
        <is>
          <t>코스피</t>
        </is>
      </c>
      <c r="D317" s="2" t="inlineStr">
        <is>
          <t>003030</t>
        </is>
      </c>
      <c r="E317" s="9" t="inlineStr">
        <is>
          <t>유상증자</t>
        </is>
      </c>
      <c r="F317" s="3" t="inlineStr">
        <is>
          <t xml:space="preserve">유상증자결정(종속회사의주요경영사항)              </t>
        </is>
      </c>
      <c r="G317" s="5" t="n">
        <v>71090296992</v>
      </c>
      <c r="H317" s="5" t="inlineStr"/>
      <c r="I317" s="2" t="inlineStr">
        <is>
          <t>보통주식</t>
        </is>
      </c>
      <c r="J317" s="6" t="n">
        <v>0</v>
      </c>
      <c r="K317" s="2" t="inlineStr">
        <is>
          <t>2026-07-02</t>
        </is>
      </c>
      <c r="L317" s="2" t="inlineStr">
        <is>
          <t>-</t>
        </is>
      </c>
      <c r="M317" s="2" t="inlineStr">
        <is>
          <t>-</t>
        </is>
      </c>
      <c r="N317" s="2" t="inlineStr">
        <is>
          <t>-</t>
        </is>
      </c>
      <c r="O317" s="10" t="n">
        <v>0</v>
      </c>
      <c r="P317" s="7" t="inlineStr">
        <is>
          <t>시설자금 (609.4억원), 운영자금 (101.5억원)</t>
        </is>
      </c>
      <c r="Q317" s="2" t="inlineStr">
        <is>
          <t>-</t>
        </is>
      </c>
      <c r="R317" s="2" t="inlineStr">
        <is>
          <t>-</t>
        </is>
      </c>
      <c r="S317" s="2" t="inlineStr">
        <is>
          <t>20260610800804</t>
        </is>
      </c>
      <c r="T317" s="8">
        <f>HYPERLINK("https://dart.fss.or.kr/dsaf001/main.do?rcpNo=20260610800804", "공시열람")</f>
        <v/>
      </c>
    </row>
    <row r="318" ht="36" customHeight="1">
      <c r="A318" s="2" t="inlineStr">
        <is>
          <t>2026-06-10</t>
        </is>
      </c>
      <c r="B318" s="3" t="inlineStr">
        <is>
          <t>풍전약품</t>
        </is>
      </c>
      <c r="C318" s="2" t="inlineStr">
        <is>
          <t>코스닥</t>
        </is>
      </c>
      <c r="D318" s="2" t="inlineStr">
        <is>
          <t>298060</t>
        </is>
      </c>
      <c r="E318" s="9" t="inlineStr">
        <is>
          <t>유상증자</t>
        </is>
      </c>
      <c r="F318" s="3" t="inlineStr">
        <is>
          <t>주요사항보고서(유상증자결정)</t>
        </is>
      </c>
      <c r="G318" s="5" t="n">
        <v>2000</v>
      </c>
      <c r="H318" s="5" t="n">
        <v>2510</v>
      </c>
      <c r="I318" s="2" t="inlineStr">
        <is>
          <t>보통주식</t>
        </is>
      </c>
      <c r="J318" s="6" t="n">
        <v>796812</v>
      </c>
      <c r="K318" s="2" t="inlineStr">
        <is>
          <t>2026-06-30</t>
        </is>
      </c>
      <c r="L318" s="2" t="inlineStr">
        <is>
          <t>2026-07-21</t>
        </is>
      </c>
      <c r="M318" s="2" t="inlineStr">
        <is>
          <t>-</t>
        </is>
      </c>
      <c r="N318" s="2" t="inlineStr">
        <is>
          <t>-</t>
        </is>
      </c>
      <c r="O318" s="10" t="n">
        <v>9.013062975679913</v>
      </c>
      <c r="P318" s="7" t="inlineStr">
        <is>
          <t>운영자금 (2,000원)</t>
        </is>
      </c>
      <c r="Q318" s="2" t="inlineStr">
        <is>
          <t>-</t>
        </is>
      </c>
      <c r="R318" s="2" t="inlineStr">
        <is>
          <t>-</t>
        </is>
      </c>
      <c r="S318" s="2" t="inlineStr">
        <is>
          <t>20260610000542</t>
        </is>
      </c>
      <c r="T318" s="8">
        <f>HYPERLINK("https://dart.fss.or.kr/dsaf001/main.do?rcpNo=20260610000542", "공시열람")</f>
        <v/>
      </c>
    </row>
    <row r="319" ht="36" customHeight="1">
      <c r="A319" s="2" t="inlineStr">
        <is>
          <t>2026-04-22 (정정: 2026-06-10)</t>
        </is>
      </c>
      <c r="B319" s="3" t="inlineStr">
        <is>
          <t>대동</t>
        </is>
      </c>
      <c r="C319" s="2" t="inlineStr">
        <is>
          <t>코스피</t>
        </is>
      </c>
      <c r="D319" s="2" t="inlineStr">
        <is>
          <t>000490</t>
        </is>
      </c>
      <c r="E319" s="2" t="inlineStr">
        <is>
          <t>무상증자</t>
        </is>
      </c>
      <c r="F319" s="3" t="inlineStr">
        <is>
          <t xml:space="preserve">[기재정정]유무상증자결정(종속회사의주요경영사항)              </t>
        </is>
      </c>
      <c r="G319" s="5" t="inlineStr"/>
      <c r="H319" s="5" t="inlineStr"/>
      <c r="I319" s="2" t="inlineStr">
        <is>
          <t>-</t>
        </is>
      </c>
      <c r="J319" s="6" t="inlineStr"/>
      <c r="K319" s="2" t="inlineStr">
        <is>
          <t>-</t>
        </is>
      </c>
      <c r="L319" s="2" t="inlineStr">
        <is>
          <t>-</t>
        </is>
      </c>
      <c r="M319" s="2" t="inlineStr">
        <is>
          <t>-</t>
        </is>
      </c>
      <c r="N319" s="2" t="inlineStr">
        <is>
          <t>-</t>
        </is>
      </c>
      <c r="O319" s="3" t="inlineStr"/>
      <c r="P319" s="7" t="inlineStr">
        <is>
          <t>-</t>
        </is>
      </c>
      <c r="Q319" s="2" t="inlineStr">
        <is>
          <t>-</t>
        </is>
      </c>
      <c r="R319" s="2" t="inlineStr">
        <is>
          <t>-</t>
        </is>
      </c>
      <c r="S319" s="2" t="inlineStr">
        <is>
          <t>20260610800693</t>
        </is>
      </c>
      <c r="T319" s="8">
        <f>HYPERLINK("https://dart.fss.or.kr/dsaf001/main.do?rcpNo=20260610800693", "공시열람")</f>
        <v/>
      </c>
    </row>
    <row r="320" ht="36" customHeight="1">
      <c r="A320" s="2" t="inlineStr">
        <is>
          <t>2026-06-10</t>
        </is>
      </c>
      <c r="B320" s="3" t="inlineStr">
        <is>
          <t>비스토스</t>
        </is>
      </c>
      <c r="C320" s="2" t="inlineStr">
        <is>
          <t>코스닥</t>
        </is>
      </c>
      <c r="D320" s="2" t="inlineStr">
        <is>
          <t>419540</t>
        </is>
      </c>
      <c r="E320" s="9" t="inlineStr">
        <is>
          <t>유상증자</t>
        </is>
      </c>
      <c r="F320" s="3" t="inlineStr">
        <is>
          <t>주요사항보고서(유상증자결정)</t>
        </is>
      </c>
      <c r="G320" s="5" t="n">
        <v>3499999074</v>
      </c>
      <c r="H320" s="5" t="n">
        <v>2574</v>
      </c>
      <c r="I320" s="2" t="inlineStr">
        <is>
          <t>보통주식</t>
        </is>
      </c>
      <c r="J320" s="6" t="n">
        <v>1359751</v>
      </c>
      <c r="K320" s="2" t="inlineStr">
        <is>
          <t>2026-06-18</t>
        </is>
      </c>
      <c r="L320" s="2" t="inlineStr">
        <is>
          <t>2026-06-30</t>
        </is>
      </c>
      <c r="M320" s="2" t="inlineStr">
        <is>
          <t>-</t>
        </is>
      </c>
      <c r="N320" s="2" t="inlineStr">
        <is>
          <t>-</t>
        </is>
      </c>
      <c r="O320" s="10" t="n">
        <v>29.56943369819128</v>
      </c>
      <c r="P320" s="7" t="inlineStr">
        <is>
          <t>시설자금 (25.0억원), 운영자금 (10.0억원)</t>
        </is>
      </c>
      <c r="Q320" s="2" t="inlineStr">
        <is>
          <t>-</t>
        </is>
      </c>
      <c r="R320" s="2" t="inlineStr">
        <is>
          <t>-</t>
        </is>
      </c>
      <c r="S320" s="2" t="inlineStr">
        <is>
          <t>20260610000467</t>
        </is>
      </c>
      <c r="T320" s="8">
        <f>HYPERLINK("https://dart.fss.or.kr/dsaf001/main.do?rcpNo=20260610000467", "공시열람")</f>
        <v/>
      </c>
    </row>
    <row r="321" ht="36" customHeight="1">
      <c r="A321" s="2" t="inlineStr">
        <is>
          <t>2026-04-22 (정정: 2026-06-10)</t>
        </is>
      </c>
      <c r="B321" s="3" t="inlineStr">
        <is>
          <t>대동기어</t>
        </is>
      </c>
      <c r="C321" s="2" t="inlineStr">
        <is>
          <t>코스닥</t>
        </is>
      </c>
      <c r="D321" s="2" t="inlineStr">
        <is>
          <t>008830</t>
        </is>
      </c>
      <c r="E321" s="2" t="inlineStr">
        <is>
          <t>무상증자</t>
        </is>
      </c>
      <c r="F321" s="3" t="inlineStr">
        <is>
          <t>[기재정정]주요사항보고서(유무상증자결정)</t>
        </is>
      </c>
      <c r="G321" s="5" t="inlineStr"/>
      <c r="H321" s="5" t="inlineStr"/>
      <c r="I321" s="2" t="inlineStr">
        <is>
          <t>-</t>
        </is>
      </c>
      <c r="J321" s="6" t="inlineStr"/>
      <c r="K321" s="2" t="inlineStr">
        <is>
          <t>-</t>
        </is>
      </c>
      <c r="L321" s="2" t="inlineStr">
        <is>
          <t>-</t>
        </is>
      </c>
      <c r="M321" s="2" t="inlineStr">
        <is>
          <t>-</t>
        </is>
      </c>
      <c r="N321" s="2" t="inlineStr">
        <is>
          <t>-</t>
        </is>
      </c>
      <c r="O321" s="3" t="inlineStr"/>
      <c r="P321" s="7" t="inlineStr">
        <is>
          <t>-</t>
        </is>
      </c>
      <c r="Q321" s="2" t="inlineStr">
        <is>
          <t>-</t>
        </is>
      </c>
      <c r="R321" s="2" t="inlineStr">
        <is>
          <t>-</t>
        </is>
      </c>
      <c r="S321" s="2" t="inlineStr">
        <is>
          <t>20260610000402</t>
        </is>
      </c>
      <c r="T321" s="8">
        <f>HYPERLINK("https://dart.fss.or.kr/dsaf001/main.do?rcpNo=20260610000402", "공시열람")</f>
        <v/>
      </c>
    </row>
    <row r="322" ht="36" customHeight="1">
      <c r="A322" s="2" t="inlineStr">
        <is>
          <t>2026-06-10</t>
        </is>
      </c>
      <c r="B322" s="3" t="inlineStr">
        <is>
          <t>하이딥</t>
        </is>
      </c>
      <c r="C322" s="2" t="inlineStr">
        <is>
          <t>코스닥</t>
        </is>
      </c>
      <c r="D322" s="2" t="inlineStr">
        <is>
          <t>365590</t>
        </is>
      </c>
      <c r="E322" s="9" t="inlineStr">
        <is>
          <t>유상증자</t>
        </is>
      </c>
      <c r="F322" s="3" t="inlineStr">
        <is>
          <t>주요사항보고서(유상증자결정)</t>
        </is>
      </c>
      <c r="G322" s="5" t="n">
        <v>3500003000</v>
      </c>
      <c r="H322" s="5" t="n">
        <v>1119</v>
      </c>
      <c r="I322" s="2" t="inlineStr">
        <is>
          <t>보통주식</t>
        </is>
      </c>
      <c r="J322" s="6" t="n">
        <v>5808766</v>
      </c>
      <c r="K322" s="2" t="inlineStr">
        <is>
          <t>2026-06-18</t>
        </is>
      </c>
      <c r="L322" s="2" t="inlineStr">
        <is>
          <t>2026-07-09</t>
        </is>
      </c>
      <c r="M322" s="2" t="inlineStr">
        <is>
          <t>-</t>
        </is>
      </c>
      <c r="N322" s="2" t="inlineStr">
        <is>
          <t>-</t>
        </is>
      </c>
      <c r="O322" s="10" t="n">
        <v>18.73445935119718</v>
      </c>
      <c r="P322" s="7" t="inlineStr">
        <is>
          <t>운영자금 (3,000원), 채무상환자금 (35.0억원)</t>
        </is>
      </c>
      <c r="Q322" s="2" t="inlineStr">
        <is>
          <t>-</t>
        </is>
      </c>
      <c r="R322" s="2" t="inlineStr">
        <is>
          <t>-</t>
        </is>
      </c>
      <c r="S322" s="2" t="inlineStr">
        <is>
          <t>20260610000397</t>
        </is>
      </c>
      <c r="T322" s="8">
        <f>HYPERLINK("https://dart.fss.or.kr/dsaf001/main.do?rcpNo=20260610000397", "공시열람")</f>
        <v/>
      </c>
    </row>
    <row r="323" ht="36" customHeight="1">
      <c r="A323" s="2" t="inlineStr">
        <is>
          <t>2026-06-10 (정정: 2026-06-26)</t>
        </is>
      </c>
      <c r="B323" s="3" t="inlineStr">
        <is>
          <t>제이에스링크</t>
        </is>
      </c>
      <c r="C323" s="2" t="inlineStr">
        <is>
          <t>코스닥</t>
        </is>
      </c>
      <c r="D323" s="2" t="inlineStr">
        <is>
          <t>127120</t>
        </is>
      </c>
      <c r="E323" s="11" t="inlineStr">
        <is>
          <t>전환사채(CB)</t>
        </is>
      </c>
      <c r="F323" s="3" t="inlineStr">
        <is>
          <t>[기재정정]주요사항보고서(전환사채권발행결정) (정정: 20260610) (정정: 20260617) (정정: 20260617) (정정: 20260623) (정정: 20260623) (정정: 20260626)</t>
        </is>
      </c>
      <c r="G323" s="5" t="inlineStr"/>
      <c r="H323" s="5" t="inlineStr"/>
      <c r="I323" s="2" t="inlineStr">
        <is>
          <t>-</t>
        </is>
      </c>
      <c r="J323" s="6" t="inlineStr"/>
      <c r="K323" s="2" t="inlineStr">
        <is>
          <t>-</t>
        </is>
      </c>
      <c r="L323" s="2" t="inlineStr">
        <is>
          <t>-</t>
        </is>
      </c>
      <c r="M323" s="2" t="inlineStr">
        <is>
          <t>2027-06-25</t>
        </is>
      </c>
      <c r="N323" s="2" t="inlineStr">
        <is>
          <t>2029-05-25</t>
        </is>
      </c>
      <c r="O323" s="3" t="inlineStr"/>
      <c r="P323" s="7" t="inlineStr">
        <is>
          <t>-</t>
        </is>
      </c>
      <c r="Q323" s="2" t="inlineStr">
        <is>
          <t>2026-06-25</t>
        </is>
      </c>
      <c r="R323" s="2" t="inlineStr">
        <is>
          <t>2027-06-25</t>
        </is>
      </c>
      <c r="S323" s="2" t="inlineStr">
        <is>
          <t>20260626000351</t>
        </is>
      </c>
      <c r="T323" s="8">
        <f>HYPERLINK("https://dart.fss.or.kr/dsaf001/main.do?rcpNo=20260626000351", "공시열람")</f>
        <v/>
      </c>
    </row>
    <row r="324" ht="36" customHeight="1">
      <c r="A324" s="2" t="inlineStr">
        <is>
          <t>2026-06-10</t>
        </is>
      </c>
      <c r="B324" s="3" t="inlineStr">
        <is>
          <t>디와이덕양</t>
        </is>
      </c>
      <c r="C324" s="2" t="inlineStr">
        <is>
          <t>코스피</t>
        </is>
      </c>
      <c r="D324" s="2" t="inlineStr">
        <is>
          <t>024900</t>
        </is>
      </c>
      <c r="E324" s="9" t="inlineStr">
        <is>
          <t>유상증자</t>
        </is>
      </c>
      <c r="F324" s="3" t="inlineStr">
        <is>
          <t xml:space="preserve">유상증자결정(종속회사의주요경영사항)              </t>
        </is>
      </c>
      <c r="G324" s="5" t="n">
        <v>15465000000</v>
      </c>
      <c r="H324" s="5" t="n">
        <v>15465</v>
      </c>
      <c r="I324" s="2" t="inlineStr">
        <is>
          <t>보통주식</t>
        </is>
      </c>
      <c r="J324" s="6" t="n">
        <v>1000000</v>
      </c>
      <c r="K324" s="2" t="inlineStr">
        <is>
          <t>2026-06-11</t>
        </is>
      </c>
      <c r="L324" s="2" t="inlineStr">
        <is>
          <t>-</t>
        </is>
      </c>
      <c r="M324" s="2" t="inlineStr">
        <is>
          <t>-</t>
        </is>
      </c>
      <c r="N324" s="2" t="inlineStr">
        <is>
          <t>-</t>
        </is>
      </c>
      <c r="O324" s="10" t="n">
        <v>144.9275362318841</v>
      </c>
      <c r="P324" s="7" t="inlineStr">
        <is>
          <t>운영자금 (154.7억원)</t>
        </is>
      </c>
      <c r="Q324" s="2" t="inlineStr">
        <is>
          <t>-</t>
        </is>
      </c>
      <c r="R324" s="2" t="inlineStr">
        <is>
          <t>-</t>
        </is>
      </c>
      <c r="S324" s="2" t="inlineStr">
        <is>
          <t>20260610800544</t>
        </is>
      </c>
      <c r="T324" s="8">
        <f>HYPERLINK("https://dart.fss.or.kr/dsaf001/main.do?rcpNo=20260610800544", "공시열람")</f>
        <v/>
      </c>
    </row>
    <row r="325" ht="36" customHeight="1">
      <c r="A325" s="2" t="inlineStr">
        <is>
          <t>2026-06-10</t>
        </is>
      </c>
      <c r="B325" s="3" t="inlineStr">
        <is>
          <t>네오이뮨텍</t>
        </is>
      </c>
      <c r="C325" s="2" t="inlineStr">
        <is>
          <t>코스닥</t>
        </is>
      </c>
      <c r="D325" s="2" t="inlineStr">
        <is>
          <t>950220</t>
        </is>
      </c>
      <c r="E325" s="9" t="inlineStr">
        <is>
          <t>유상증자</t>
        </is>
      </c>
      <c r="F325" s="3" t="inlineStr">
        <is>
          <t>주요사항보고서(유상증자결정)</t>
        </is>
      </c>
      <c r="G325" s="5" t="n">
        <v>1518400</v>
      </c>
      <c r="H325" s="5" t="n">
        <v>2220</v>
      </c>
      <c r="I325" s="2" t="inlineStr">
        <is>
          <t>보통주식</t>
        </is>
      </c>
      <c r="J325" s="6" t="n">
        <v>683960</v>
      </c>
      <c r="K325" s="2" t="inlineStr">
        <is>
          <t>2026-06-18</t>
        </is>
      </c>
      <c r="L325" s="2" t="inlineStr">
        <is>
          <t>2026-07-06</t>
        </is>
      </c>
      <c r="M325" s="2" t="inlineStr">
        <is>
          <t>-</t>
        </is>
      </c>
      <c r="N325" s="2" t="inlineStr">
        <is>
          <t>-</t>
        </is>
      </c>
      <c r="O325" s="10" t="n">
        <v>2.039973896351335</v>
      </c>
      <c r="P325" s="7" t="inlineStr">
        <is>
          <t>운영자금 (1,518,400원)</t>
        </is>
      </c>
      <c r="Q325" s="2" t="inlineStr">
        <is>
          <t>-</t>
        </is>
      </c>
      <c r="R325" s="2" t="inlineStr">
        <is>
          <t>-</t>
        </is>
      </c>
      <c r="S325" s="2" t="inlineStr">
        <is>
          <t>20260610000340</t>
        </is>
      </c>
      <c r="T325" s="8">
        <f>HYPERLINK("https://dart.fss.or.kr/dsaf001/main.do?rcpNo=20260610000340", "공시열람")</f>
        <v/>
      </c>
    </row>
    <row r="326" ht="36" customHeight="1">
      <c r="A326" s="2" t="inlineStr">
        <is>
          <t>2026-06-10</t>
        </is>
      </c>
      <c r="B326" s="3" t="inlineStr">
        <is>
          <t>대원전선</t>
        </is>
      </c>
      <c r="C326" s="2" t="inlineStr">
        <is>
          <t>코스피</t>
        </is>
      </c>
      <c r="D326" s="2" t="inlineStr">
        <is>
          <t>006340</t>
        </is>
      </c>
      <c r="E326" s="11" t="inlineStr">
        <is>
          <t>전환사채(CB)</t>
        </is>
      </c>
      <c r="F326" s="3" t="inlineStr">
        <is>
          <t>주요사항보고서(전환사채권발행결정)</t>
        </is>
      </c>
      <c r="G326" s="5" t="n">
        <v>50000000000</v>
      </c>
      <c r="H326" s="5" t="n">
        <v>11650</v>
      </c>
      <c r="I326" s="2" t="inlineStr">
        <is>
          <t>대원전선주식회사 기명식 보통주</t>
        </is>
      </c>
      <c r="J326" s="6" t="n">
        <v>4291845</v>
      </c>
      <c r="K326" s="2" t="inlineStr">
        <is>
          <t>2026년 06월 18일</t>
        </is>
      </c>
      <c r="L326" s="2" t="inlineStr">
        <is>
          <t>-</t>
        </is>
      </c>
      <c r="M326" s="2" t="inlineStr">
        <is>
          <t>2027-06-18</t>
        </is>
      </c>
      <c r="N326" s="2" t="inlineStr">
        <is>
          <t>2029-05-18</t>
        </is>
      </c>
      <c r="O326" s="10" t="n">
        <v>5.04</v>
      </c>
      <c r="P326" s="7" t="inlineStr">
        <is>
          <t>-</t>
        </is>
      </c>
      <c r="Q326" s="2" t="inlineStr">
        <is>
          <t>2026-06-12</t>
        </is>
      </c>
      <c r="R326" s="2" t="inlineStr">
        <is>
          <t>2026-06-12</t>
        </is>
      </c>
      <c r="S326" s="2" t="inlineStr">
        <is>
          <t>20260610000335</t>
        </is>
      </c>
      <c r="T326" s="8">
        <f>HYPERLINK("https://dart.fss.or.kr/dsaf001/main.do?rcpNo=20260610000335", "공시열람")</f>
        <v/>
      </c>
    </row>
    <row r="327" ht="36" customHeight="1">
      <c r="A327" s="2" t="inlineStr">
        <is>
          <t>2026-06-10</t>
        </is>
      </c>
      <c r="B327" s="3" t="inlineStr">
        <is>
          <t>아이엠티</t>
        </is>
      </c>
      <c r="C327" s="2" t="inlineStr">
        <is>
          <t>코스닥</t>
        </is>
      </c>
      <c r="D327" s="2" t="inlineStr">
        <is>
          <t>451220</t>
        </is>
      </c>
      <c r="E327" s="9" t="inlineStr">
        <is>
          <t>유상증자</t>
        </is>
      </c>
      <c r="F327" s="3" t="inlineStr">
        <is>
          <t xml:space="preserve">유상증자결정(종속회사의주요경영사항)              </t>
        </is>
      </c>
      <c r="G327" s="5" t="n">
        <v>7900005600</v>
      </c>
      <c r="H327" s="5" t="inlineStr"/>
      <c r="I327" s="2" t="inlineStr">
        <is>
          <t>보통주식</t>
        </is>
      </c>
      <c r="J327" s="6" t="n">
        <v>0</v>
      </c>
      <c r="K327" s="2" t="inlineStr">
        <is>
          <t>2026-06-11</t>
        </is>
      </c>
      <c r="L327" s="2" t="inlineStr">
        <is>
          <t>-</t>
        </is>
      </c>
      <c r="M327" s="2" t="inlineStr">
        <is>
          <t>-</t>
        </is>
      </c>
      <c r="N327" s="2" t="inlineStr">
        <is>
          <t>-</t>
        </is>
      </c>
      <c r="O327" s="10" t="n">
        <v>0</v>
      </c>
      <c r="P327" s="7" t="inlineStr">
        <is>
          <t>시설자금 (79.0억원), 운영자금 (2,500원), 기타자금 (3,100원)</t>
        </is>
      </c>
      <c r="Q327" s="2" t="inlineStr">
        <is>
          <t>-</t>
        </is>
      </c>
      <c r="R327" s="2" t="inlineStr">
        <is>
          <t>-</t>
        </is>
      </c>
      <c r="S327" s="2" t="inlineStr">
        <is>
          <t>20260610900376</t>
        </is>
      </c>
      <c r="T327" s="8">
        <f>HYPERLINK("https://dart.fss.or.kr/dsaf001/main.do?rcpNo=20260610900376", "공시열람")</f>
        <v/>
      </c>
    </row>
    <row r="328" ht="36" customHeight="1">
      <c r="A328" s="2" t="inlineStr">
        <is>
          <t>2026-06-10 (정정: 2026-06-16)</t>
        </is>
      </c>
      <c r="B328" s="3" t="inlineStr">
        <is>
          <t>유니켐</t>
        </is>
      </c>
      <c r="C328" s="2" t="inlineStr">
        <is>
          <t>코스피</t>
        </is>
      </c>
      <c r="D328" s="2" t="inlineStr">
        <is>
          <t>011330</t>
        </is>
      </c>
      <c r="E328" s="9" t="inlineStr">
        <is>
          <t>유상증자</t>
        </is>
      </c>
      <c r="F328" s="3" t="inlineStr">
        <is>
          <t>주요사항보고서(유상증자결정) (정정: 20260616)</t>
        </is>
      </c>
      <c r="G328" s="5" t="n">
        <v>4000001000</v>
      </c>
      <c r="H328" s="5" t="n">
        <v>5000</v>
      </c>
      <c r="I328" s="2" t="inlineStr">
        <is>
          <t>보통주식</t>
        </is>
      </c>
      <c r="J328" s="6" t="n">
        <v>2000000</v>
      </c>
      <c r="K328" s="2" t="inlineStr">
        <is>
          <t>2026-07-31</t>
        </is>
      </c>
      <c r="L328" s="2" t="inlineStr">
        <is>
          <t>2026-08-18</t>
        </is>
      </c>
      <c r="M328" s="2" t="inlineStr">
        <is>
          <t>-</t>
        </is>
      </c>
      <c r="N328" s="2" t="inlineStr">
        <is>
          <t>-</t>
        </is>
      </c>
      <c r="O328" s="10" t="n">
        <v>22.17594103328575</v>
      </c>
      <c r="P328" s="7" t="inlineStr">
        <is>
          <t>운영자금 (1,000원), 타법인증권취득자금 (40.0억원)</t>
        </is>
      </c>
      <c r="Q328" s="2" t="inlineStr">
        <is>
          <t>-</t>
        </is>
      </c>
      <c r="R328" s="2" t="inlineStr">
        <is>
          <t>-</t>
        </is>
      </c>
      <c r="S328" s="2" t="inlineStr">
        <is>
          <t>20260616000028</t>
        </is>
      </c>
      <c r="T328" s="8">
        <f>HYPERLINK("https://dart.fss.or.kr/dsaf001/main.do?rcpNo=20260616000028", "공시열람")</f>
        <v/>
      </c>
    </row>
    <row r="329" ht="36" customHeight="1">
      <c r="A329" s="2" t="inlineStr">
        <is>
          <t>2026-06-11 (정정: 2026-06-18)</t>
        </is>
      </c>
      <c r="B329" s="3" t="inlineStr">
        <is>
          <t>아이오케이이엔엠</t>
        </is>
      </c>
      <c r="C329" s="2" t="inlineStr">
        <is>
          <t>코스닥</t>
        </is>
      </c>
      <c r="D329" s="2" t="inlineStr">
        <is>
          <t>078860</t>
        </is>
      </c>
      <c r="E329" s="9" t="inlineStr">
        <is>
          <t>유상증자</t>
        </is>
      </c>
      <c r="F329" s="3" t="inlineStr">
        <is>
          <t>[기재정정]주요사항보고서(유상증자결정) (정정: 20260618)</t>
        </is>
      </c>
      <c r="G329" s="5" t="n">
        <v>999996450</v>
      </c>
      <c r="H329" s="5" t="n">
        <v>4150</v>
      </c>
      <c r="I329" s="2" t="inlineStr">
        <is>
          <t>보통주식</t>
        </is>
      </c>
      <c r="J329" s="6" t="n">
        <v>240963</v>
      </c>
      <c r="K329" s="2" t="inlineStr">
        <is>
          <t>2026.05.18</t>
        </is>
      </c>
      <c r="L329" s="2" t="inlineStr">
        <is>
          <t>2026.06.30</t>
        </is>
      </c>
      <c r="M329" s="2" t="inlineStr">
        <is>
          <t>-</t>
        </is>
      </c>
      <c r="N329" s="2" t="inlineStr">
        <is>
          <t>-</t>
        </is>
      </c>
      <c r="O329" s="10" t="n">
        <v>4.059195869428804</v>
      </c>
      <c r="P329" s="7" t="inlineStr">
        <is>
          <t>운영자금 (10.0억원)</t>
        </is>
      </c>
      <c r="Q329" s="2" t="inlineStr">
        <is>
          <t>-</t>
        </is>
      </c>
      <c r="R329" s="2" t="inlineStr">
        <is>
          <t>-</t>
        </is>
      </c>
      <c r="S329" s="2" t="inlineStr">
        <is>
          <t>20260618000070</t>
        </is>
      </c>
      <c r="T329" s="8">
        <f>HYPERLINK("https://dart.fss.or.kr/dsaf001/main.do?rcpNo=20260618000070", "공시열람")</f>
        <v/>
      </c>
    </row>
    <row r="330" ht="36" customHeight="1">
      <c r="A330" s="2" t="inlineStr">
        <is>
          <t>2026-06-11</t>
        </is>
      </c>
      <c r="B330" s="3" t="inlineStr">
        <is>
          <t>디알텍</t>
        </is>
      </c>
      <c r="C330" s="2" t="inlineStr">
        <is>
          <t>코스닥</t>
        </is>
      </c>
      <c r="D330" s="2" t="inlineStr">
        <is>
          <t>214680</t>
        </is>
      </c>
      <c r="E330" s="11" t="inlineStr">
        <is>
          <t>전환사채(CB)</t>
        </is>
      </c>
      <c r="F330" s="3" t="inlineStr">
        <is>
          <t>주요사항보고서(전환사채권발행결정)</t>
        </is>
      </c>
      <c r="G330" s="5" t="n">
        <v>27000000000</v>
      </c>
      <c r="H330" s="5" t="n">
        <v>1360</v>
      </c>
      <c r="I330" s="2" t="inlineStr">
        <is>
          <t>주식회사 디알텍 기명식 보통주</t>
        </is>
      </c>
      <c r="J330" s="6" t="n">
        <v>19852941</v>
      </c>
      <c r="K330" s="2" t="inlineStr">
        <is>
          <t>2026년 06월 23일</t>
        </is>
      </c>
      <c r="L330" s="2" t="inlineStr">
        <is>
          <t>-</t>
        </is>
      </c>
      <c r="M330" s="2" t="inlineStr">
        <is>
          <t>2027-06-23</t>
        </is>
      </c>
      <c r="N330" s="2" t="inlineStr">
        <is>
          <t>2031-05-23</t>
        </is>
      </c>
      <c r="O330" s="10" t="n">
        <v>19.21</v>
      </c>
      <c r="P330" s="7" t="inlineStr">
        <is>
          <t>-</t>
        </is>
      </c>
      <c r="Q330" s="2" t="inlineStr">
        <is>
          <t>2027-06-23</t>
        </is>
      </c>
      <c r="R330" s="2" t="inlineStr">
        <is>
          <t>2028-06-23</t>
        </is>
      </c>
      <c r="S330" s="2" t="inlineStr">
        <is>
          <t>20260611000651</t>
        </is>
      </c>
      <c r="T330" s="8">
        <f>HYPERLINK("https://dart.fss.or.kr/dsaf001/main.do?rcpNo=20260611000651", "공시열람")</f>
        <v/>
      </c>
    </row>
    <row r="331" ht="36" customHeight="1">
      <c r="A331" s="2" t="inlineStr">
        <is>
          <t>2026-06-11 (정정: 2026-06-25)</t>
        </is>
      </c>
      <c r="B331" s="3" t="inlineStr">
        <is>
          <t>엑시온그룹</t>
        </is>
      </c>
      <c r="C331" s="2" t="inlineStr">
        <is>
          <t>코스닥</t>
        </is>
      </c>
      <c r="D331" s="2" t="inlineStr">
        <is>
          <t>069920</t>
        </is>
      </c>
      <c r="E331" s="9" t="inlineStr">
        <is>
          <t>유상증자</t>
        </is>
      </c>
      <c r="F331" s="3" t="inlineStr">
        <is>
          <t>주요사항보고서(유상증자결정) (정정: 20260625)</t>
        </is>
      </c>
      <c r="G331" s="5" t="n">
        <v>6000</v>
      </c>
      <c r="H331" s="5" t="n">
        <v>1199</v>
      </c>
      <c r="I331" s="2" t="inlineStr">
        <is>
          <t>보통주식</t>
        </is>
      </c>
      <c r="J331" s="6" t="n">
        <v>5004170</v>
      </c>
      <c r="K331" s="2" t="inlineStr">
        <is>
          <t>2026-07-03</t>
        </is>
      </c>
      <c r="L331" s="2" t="inlineStr">
        <is>
          <t>2026-07-23</t>
        </is>
      </c>
      <c r="M331" s="2" t="inlineStr">
        <is>
          <t>-</t>
        </is>
      </c>
      <c r="N331" s="2" t="inlineStr">
        <is>
          <t>-</t>
        </is>
      </c>
      <c r="O331" s="10" t="n">
        <v>53.82841602788828</v>
      </c>
      <c r="P331" s="7" t="inlineStr">
        <is>
          <t>운영자금 (6,000원)</t>
        </is>
      </c>
      <c r="Q331" s="2" t="inlineStr">
        <is>
          <t>-</t>
        </is>
      </c>
      <c r="R331" s="2" t="inlineStr">
        <is>
          <t>-</t>
        </is>
      </c>
      <c r="S331" s="2" t="inlineStr">
        <is>
          <t>20260625000610</t>
        </is>
      </c>
      <c r="T331" s="8">
        <f>HYPERLINK("https://dart.fss.or.kr/dsaf001/main.do?rcpNo=20260625000610", "공시열람")</f>
        <v/>
      </c>
    </row>
    <row r="332" ht="36" customHeight="1">
      <c r="A332" s="2" t="inlineStr">
        <is>
          <t>2026-06-11</t>
        </is>
      </c>
      <c r="B332" s="3" t="inlineStr">
        <is>
          <t>CSA 코스믹</t>
        </is>
      </c>
      <c r="C332" s="2" t="inlineStr">
        <is>
          <t>코스닥</t>
        </is>
      </c>
      <c r="D332" s="2" t="inlineStr">
        <is>
          <t>083660</t>
        </is>
      </c>
      <c r="E332" s="11" t="inlineStr">
        <is>
          <t>전환사채(CB)</t>
        </is>
      </c>
      <c r="F332" s="3" t="inlineStr">
        <is>
          <t>주요사항보고서(전환사채권발행결정)</t>
        </is>
      </c>
      <c r="G332" s="5" t="n">
        <v>5000000000</v>
      </c>
      <c r="H332" s="5" t="n">
        <v>251</v>
      </c>
      <c r="I332" s="2" t="inlineStr">
        <is>
          <t>주식회사 씨에스에이코스믹 기명식 보통주</t>
        </is>
      </c>
      <c r="J332" s="6" t="n">
        <v>19920318</v>
      </c>
      <c r="K332" s="2" t="inlineStr">
        <is>
          <t>2026년 07월 10일</t>
        </is>
      </c>
      <c r="L332" s="2" t="inlineStr">
        <is>
          <t>-</t>
        </is>
      </c>
      <c r="M332" s="2" t="inlineStr">
        <is>
          <t>2027-07-10</t>
        </is>
      </c>
      <c r="N332" s="2" t="inlineStr">
        <is>
          <t>2029-06-10</t>
        </is>
      </c>
      <c r="O332" s="10" t="n">
        <v>15.74</v>
      </c>
      <c r="P332" s="7" t="inlineStr">
        <is>
          <t>-</t>
        </is>
      </c>
      <c r="Q332" s="2" t="inlineStr">
        <is>
          <t>-</t>
        </is>
      </c>
      <c r="R332" s="2" t="inlineStr">
        <is>
          <t>2027-05-11</t>
        </is>
      </c>
      <c r="S332" s="2" t="inlineStr">
        <is>
          <t>20260611000640</t>
        </is>
      </c>
      <c r="T332" s="8">
        <f>HYPERLINK("https://dart.fss.or.kr/dsaf001/main.do?rcpNo=20260611000640", "공시열람")</f>
        <v/>
      </c>
    </row>
    <row r="333" ht="36" customHeight="1">
      <c r="A333" s="2" t="inlineStr">
        <is>
          <t>2026-05-14 (정정: 2026-06-11)</t>
        </is>
      </c>
      <c r="B333" s="3" t="inlineStr">
        <is>
          <t>인콘</t>
        </is>
      </c>
      <c r="C333" s="2" t="inlineStr">
        <is>
          <t>코스닥</t>
        </is>
      </c>
      <c r="D333" s="2" t="inlineStr">
        <is>
          <t>083640</t>
        </is>
      </c>
      <c r="E333" s="11" t="inlineStr">
        <is>
          <t>전환사채(CB)</t>
        </is>
      </c>
      <c r="F333" s="3" t="inlineStr">
        <is>
          <t>[기재정정]주요사항보고서(전환사채권발행결정)</t>
        </is>
      </c>
      <c r="G333" s="5" t="inlineStr"/>
      <c r="H333" s="5" t="inlineStr"/>
      <c r="I333" s="2" t="inlineStr">
        <is>
          <t>-</t>
        </is>
      </c>
      <c r="J333" s="6" t="inlineStr"/>
      <c r="K333" s="2" t="inlineStr">
        <is>
          <t>-</t>
        </is>
      </c>
      <c r="L333" s="2" t="inlineStr">
        <is>
          <t>-</t>
        </is>
      </c>
      <c r="M333" s="2" t="inlineStr">
        <is>
          <t>2027-07-10</t>
        </is>
      </c>
      <c r="N333" s="2" t="inlineStr">
        <is>
          <t>2029-06-10</t>
        </is>
      </c>
      <c r="O333" s="3" t="inlineStr"/>
      <c r="P333" s="7" t="inlineStr">
        <is>
          <t>-</t>
        </is>
      </c>
      <c r="Q333" s="2" t="inlineStr">
        <is>
          <t>2027-06-12</t>
        </is>
      </c>
      <c r="R333" s="2" t="inlineStr">
        <is>
          <t>2027-06-12</t>
        </is>
      </c>
      <c r="S333" s="2" t="inlineStr">
        <is>
          <t>20260611000637</t>
        </is>
      </c>
      <c r="T333" s="8">
        <f>HYPERLINK("https://dart.fss.or.kr/dsaf001/main.do?rcpNo=20260611000637", "공시열람")</f>
        <v/>
      </c>
    </row>
    <row r="334" ht="36" customHeight="1">
      <c r="A334" s="2" t="inlineStr">
        <is>
          <t>2026-06-11 (정정: 2026-06-12)</t>
        </is>
      </c>
      <c r="B334" s="3" t="inlineStr">
        <is>
          <t>알체라</t>
        </is>
      </c>
      <c r="C334" s="2" t="inlineStr">
        <is>
          <t>코스닥</t>
        </is>
      </c>
      <c r="D334" s="2" t="inlineStr">
        <is>
          <t>347860</t>
        </is>
      </c>
      <c r="E334" s="9" t="inlineStr">
        <is>
          <t>유상증자</t>
        </is>
      </c>
      <c r="F334" s="3" t="inlineStr">
        <is>
          <t>[기재정정]주요사항보고서(유상증자결정) (정정: 20260612)</t>
        </is>
      </c>
      <c r="G334" s="5" t="n">
        <v>5160</v>
      </c>
      <c r="H334" s="5" t="inlineStr"/>
      <c r="I334" s="2" t="inlineStr">
        <is>
          <t>보통주식</t>
        </is>
      </c>
      <c r="J334" s="6" t="n">
        <v>0</v>
      </c>
      <c r="K334" s="2" t="inlineStr">
        <is>
          <t>2026-05-21</t>
        </is>
      </c>
      <c r="L334" s="2" t="inlineStr">
        <is>
          <t>-</t>
        </is>
      </c>
      <c r="M334" s="2" t="inlineStr">
        <is>
          <t>-</t>
        </is>
      </c>
      <c r="N334" s="2" t="inlineStr">
        <is>
          <t>-</t>
        </is>
      </c>
      <c r="O334" s="10" t="n">
        <v>0</v>
      </c>
      <c r="P334" s="7" t="inlineStr">
        <is>
          <t>운영자금 (5,160원)</t>
        </is>
      </c>
      <c r="Q334" s="2" t="inlineStr">
        <is>
          <t>-</t>
        </is>
      </c>
      <c r="R334" s="2" t="inlineStr">
        <is>
          <t>-</t>
        </is>
      </c>
      <c r="S334" s="2" t="inlineStr">
        <is>
          <t>20260612000051</t>
        </is>
      </c>
      <c r="T334" s="8">
        <f>HYPERLINK("https://dart.fss.or.kr/dsaf001/main.do?rcpNo=20260612000051", "공시열람")</f>
        <v/>
      </c>
    </row>
    <row r="335" ht="36" customHeight="1">
      <c r="A335" s="2" t="inlineStr">
        <is>
          <t>2026-05-08 (정정: 2026-06-11)</t>
        </is>
      </c>
      <c r="B335" s="3" t="inlineStr">
        <is>
          <t>계양전기</t>
        </is>
      </c>
      <c r="C335" s="2" t="inlineStr">
        <is>
          <t>코스피</t>
        </is>
      </c>
      <c r="D335" s="2" t="inlineStr">
        <is>
          <t>012200</t>
        </is>
      </c>
      <c r="E335" s="9" t="inlineStr">
        <is>
          <t>유상증자</t>
        </is>
      </c>
      <c r="F335" s="3" t="inlineStr">
        <is>
          <t>[기재정정]주요사항보고서(유상증자결정)</t>
        </is>
      </c>
      <c r="G335" s="5" t="n">
        <v>40877000000</v>
      </c>
      <c r="H335" s="5" t="inlineStr"/>
      <c r="I335" s="2" t="inlineStr">
        <is>
          <t>보통주식</t>
        </is>
      </c>
      <c r="J335" s="6" t="n">
        <v>8200000</v>
      </c>
      <c r="K335" s="2" t="inlineStr">
        <is>
          <t>2026-09-11</t>
        </is>
      </c>
      <c r="L335" s="2" t="inlineStr">
        <is>
          <t>2026-09-29</t>
        </is>
      </c>
      <c r="M335" s="2" t="inlineStr">
        <is>
          <t>-</t>
        </is>
      </c>
      <c r="N335" s="2" t="inlineStr">
        <is>
          <t>-</t>
        </is>
      </c>
      <c r="O335" s="10" t="n">
        <v>30.12177757131707</v>
      </c>
      <c r="P335" s="7" t="inlineStr">
        <is>
          <t>시설자금 (48.0억원), 운영자금 (164.1억원), 채무상환자금 (196.7억원)</t>
        </is>
      </c>
      <c r="Q335" s="2" t="inlineStr">
        <is>
          <t>-</t>
        </is>
      </c>
      <c r="R335" s="2" t="inlineStr">
        <is>
          <t>-</t>
        </is>
      </c>
      <c r="S335" s="2" t="inlineStr">
        <is>
          <t>20260611000483</t>
        </is>
      </c>
      <c r="T335" s="8">
        <f>HYPERLINK("https://dart.fss.or.kr/dsaf001/main.do?rcpNo=20260611000483", "공시열람")</f>
        <v/>
      </c>
    </row>
    <row r="336" ht="36" customHeight="1">
      <c r="A336" s="2" t="inlineStr">
        <is>
          <t>2026-06-11</t>
        </is>
      </c>
      <c r="B336" s="3" t="inlineStr">
        <is>
          <t>삼일제약</t>
        </is>
      </c>
      <c r="C336" s="2" t="inlineStr">
        <is>
          <t>코스피</t>
        </is>
      </c>
      <c r="D336" s="2" t="inlineStr">
        <is>
          <t>000520</t>
        </is>
      </c>
      <c r="E336" s="11" t="inlineStr">
        <is>
          <t>전환사채(CB)</t>
        </is>
      </c>
      <c r="F336" s="3" t="inlineStr">
        <is>
          <t>주요사항보고서(전환사채권발행결정)</t>
        </is>
      </c>
      <c r="G336" s="5" t="n">
        <v>10000000000</v>
      </c>
      <c r="H336" s="5" t="n">
        <v>7245</v>
      </c>
      <c r="I336" s="2" t="inlineStr">
        <is>
          <t>삼일제약(주) 기명식 보통주식</t>
        </is>
      </c>
      <c r="J336" s="6" t="n">
        <v>1380262</v>
      </c>
      <c r="K336" s="2" t="inlineStr">
        <is>
          <t>2026년 06월 19일</t>
        </is>
      </c>
      <c r="L336" s="2" t="inlineStr">
        <is>
          <t>-</t>
        </is>
      </c>
      <c r="M336" s="2" t="inlineStr">
        <is>
          <t>2027-06-19</t>
        </is>
      </c>
      <c r="N336" s="2" t="inlineStr">
        <is>
          <t>2031-05-19</t>
        </is>
      </c>
      <c r="O336" s="10" t="n">
        <v>6.07</v>
      </c>
      <c r="P336" s="7" t="inlineStr">
        <is>
          <t>-</t>
        </is>
      </c>
      <c r="Q336" s="2" t="inlineStr">
        <is>
          <t>2027-03-21</t>
        </is>
      </c>
      <c r="R336" s="2" t="inlineStr">
        <is>
          <t>2028-04-20</t>
        </is>
      </c>
      <c r="S336" s="2" t="inlineStr">
        <is>
          <t>20260611000446</t>
        </is>
      </c>
      <c r="T336" s="8">
        <f>HYPERLINK("https://dart.fss.or.kr/dsaf001/main.do?rcpNo=20260611000446", "공시열람")</f>
        <v/>
      </c>
    </row>
    <row r="337" ht="36" customHeight="1">
      <c r="A337" s="2" t="inlineStr">
        <is>
          <t>2026-06-12</t>
        </is>
      </c>
      <c r="B337" s="3" t="inlineStr">
        <is>
          <t>큐브엔터</t>
        </is>
      </c>
      <c r="C337" s="2" t="inlineStr">
        <is>
          <t>코스닥</t>
        </is>
      </c>
      <c r="D337" s="2" t="inlineStr">
        <is>
          <t>182360</t>
        </is>
      </c>
      <c r="E337" s="9" t="inlineStr">
        <is>
          <t>유상증자</t>
        </is>
      </c>
      <c r="F337" s="3" t="inlineStr">
        <is>
          <t>주요사항보고서(유상증자결정)</t>
        </is>
      </c>
      <c r="G337" s="5" t="n">
        <v>10000</v>
      </c>
      <c r="H337" s="5" t="n">
        <v>6220</v>
      </c>
      <c r="I337" s="2" t="inlineStr">
        <is>
          <t>보통주식</t>
        </is>
      </c>
      <c r="J337" s="6" t="n">
        <v>1607717</v>
      </c>
      <c r="K337" s="2" t="inlineStr">
        <is>
          <t>2026.08.31</t>
        </is>
      </c>
      <c r="L337" s="2" t="inlineStr">
        <is>
          <t>2026.09.30</t>
        </is>
      </c>
      <c r="M337" s="2" t="inlineStr">
        <is>
          <t>-</t>
        </is>
      </c>
      <c r="N337" s="2" t="inlineStr">
        <is>
          <t>-</t>
        </is>
      </c>
      <c r="O337" s="10" t="n">
        <v>10.33911647630791</v>
      </c>
      <c r="P337" s="7" t="inlineStr">
        <is>
          <t>운영자금 (10,000원)</t>
        </is>
      </c>
      <c r="Q337" s="2" t="inlineStr">
        <is>
          <t>-</t>
        </is>
      </c>
      <c r="R337" s="2" t="inlineStr">
        <is>
          <t>-</t>
        </is>
      </c>
      <c r="S337" s="2" t="inlineStr">
        <is>
          <t>20260612000599</t>
        </is>
      </c>
      <c r="T337" s="8">
        <f>HYPERLINK("https://dart.fss.or.kr/dsaf001/main.do?rcpNo=20260612000599", "공시열람")</f>
        <v/>
      </c>
    </row>
    <row r="338" ht="36" customHeight="1">
      <c r="A338" s="2" t="inlineStr">
        <is>
          <t>2026-05-13 (정정: 2026-06-12)</t>
        </is>
      </c>
      <c r="B338" s="3" t="inlineStr">
        <is>
          <t>하이퍼코퍼레이션</t>
        </is>
      </c>
      <c r="C338" s="2" t="inlineStr">
        <is>
          <t>코스닥</t>
        </is>
      </c>
      <c r="D338" s="2" t="inlineStr">
        <is>
          <t>065650</t>
        </is>
      </c>
      <c r="E338" s="9" t="inlineStr">
        <is>
          <t>유상증자</t>
        </is>
      </c>
      <c r="F338" s="3" t="inlineStr">
        <is>
          <t>[기재정정]주요사항보고서(유상증자결정)</t>
        </is>
      </c>
      <c r="G338" s="5" t="n">
        <v>20443500000</v>
      </c>
      <c r="H338" s="5" t="inlineStr"/>
      <c r="I338" s="2" t="inlineStr">
        <is>
          <t>보통주식</t>
        </is>
      </c>
      <c r="J338" s="6" t="n">
        <v>7700000</v>
      </c>
      <c r="K338" s="2" t="inlineStr">
        <is>
          <t>2026-09-22</t>
        </is>
      </c>
      <c r="L338" s="2" t="inlineStr">
        <is>
          <t>2026-10-08</t>
        </is>
      </c>
      <c r="M338" s="2" t="inlineStr">
        <is>
          <t>-</t>
        </is>
      </c>
      <c r="N338" s="2" t="inlineStr">
        <is>
          <t>-</t>
        </is>
      </c>
      <c r="O338" s="10" t="n">
        <v>70.34541517361568</v>
      </c>
      <c r="P338" s="7" t="inlineStr">
        <is>
          <t>운영자금 (204.4억원)</t>
        </is>
      </c>
      <c r="Q338" s="2" t="inlineStr">
        <is>
          <t>-</t>
        </is>
      </c>
      <c r="R338" s="2" t="inlineStr">
        <is>
          <t>-</t>
        </is>
      </c>
      <c r="S338" s="2" t="inlineStr">
        <is>
          <t>20260612000535</t>
        </is>
      </c>
      <c r="T338" s="8">
        <f>HYPERLINK("https://dart.fss.or.kr/dsaf001/main.do?rcpNo=20260612000535", "공시열람")</f>
        <v/>
      </c>
    </row>
    <row r="339" ht="36" customHeight="1">
      <c r="A339" s="2" t="inlineStr">
        <is>
          <t>2026-06-12</t>
        </is>
      </c>
      <c r="B339" s="3" t="inlineStr">
        <is>
          <t>블루산업개발</t>
        </is>
      </c>
      <c r="C339" s="2" t="inlineStr">
        <is>
          <t>코스피</t>
        </is>
      </c>
      <c r="D339" s="2" t="inlineStr">
        <is>
          <t>006740</t>
        </is>
      </c>
      <c r="E339" s="11" t="inlineStr">
        <is>
          <t>전환사채(CB)</t>
        </is>
      </c>
      <c r="F339" s="3" t="inlineStr">
        <is>
          <t>주요사항보고서(전환사채권발행결정)</t>
        </is>
      </c>
      <c r="G339" s="5" t="n">
        <v>2500000000</v>
      </c>
      <c r="H339" s="5" t="n">
        <v>5664</v>
      </c>
      <c r="I339" s="2" t="inlineStr">
        <is>
          <t>블루산업개발(주) 기명식 보통주</t>
        </is>
      </c>
      <c r="J339" s="6" t="n">
        <v>441384</v>
      </c>
      <c r="K339" s="2" t="inlineStr">
        <is>
          <t>2026년 06월 22일</t>
        </is>
      </c>
      <c r="L339" s="2" t="inlineStr">
        <is>
          <t>-</t>
        </is>
      </c>
      <c r="M339" s="2" t="inlineStr">
        <is>
          <t>2027-06-22</t>
        </is>
      </c>
      <c r="N339" s="2" t="inlineStr">
        <is>
          <t>2029-05-22</t>
        </is>
      </c>
      <c r="O339" s="10" t="n">
        <v>8.51</v>
      </c>
      <c r="P339" s="7" t="inlineStr">
        <is>
          <t>-</t>
        </is>
      </c>
      <c r="Q339" s="2" t="inlineStr">
        <is>
          <t>2027-05-14</t>
        </is>
      </c>
      <c r="R339" s="2" t="inlineStr">
        <is>
          <t>2027-05-08</t>
        </is>
      </c>
      <c r="S339" s="2" t="inlineStr">
        <is>
          <t>20260612000513</t>
        </is>
      </c>
      <c r="T339" s="8">
        <f>HYPERLINK("https://dart.fss.or.kr/dsaf001/main.do?rcpNo=20260612000513", "공시열람")</f>
        <v/>
      </c>
    </row>
    <row r="340" ht="36" customHeight="1">
      <c r="A340" s="2" t="inlineStr">
        <is>
          <t>2026-06-12 (정정: 2026-06-24)</t>
        </is>
      </c>
      <c r="B340" s="3" t="inlineStr">
        <is>
          <t>케이지에이</t>
        </is>
      </c>
      <c r="C340" s="2" t="inlineStr">
        <is>
          <t>코스닥</t>
        </is>
      </c>
      <c r="D340" s="2" t="inlineStr">
        <is>
          <t>455180</t>
        </is>
      </c>
      <c r="E340" s="9" t="inlineStr">
        <is>
          <t>유상증자</t>
        </is>
      </c>
      <c r="F340" s="3" t="inlineStr">
        <is>
          <t>주요사항보고서(유상증자결정) (정정: 20260615) (정정: 20260622) (정정: 20260624)</t>
        </is>
      </c>
      <c r="G340" s="5" t="n">
        <v>899997696</v>
      </c>
      <c r="H340" s="5" t="n">
        <v>1536</v>
      </c>
      <c r="I340" s="2" t="inlineStr">
        <is>
          <t>보통주식</t>
        </is>
      </c>
      <c r="J340" s="6" t="n">
        <v>585936</v>
      </c>
      <c r="K340" s="2" t="inlineStr">
        <is>
          <t>2026-07-06</t>
        </is>
      </c>
      <c r="L340" s="2" t="inlineStr">
        <is>
          <t>2026-07-23</t>
        </is>
      </c>
      <c r="M340" s="2" t="inlineStr">
        <is>
          <t>-</t>
        </is>
      </c>
      <c r="N340" s="2" t="inlineStr">
        <is>
          <t>-</t>
        </is>
      </c>
      <c r="O340" s="10" t="n">
        <v>4.197755660496581</v>
      </c>
      <c r="P340" s="7" t="inlineStr">
        <is>
          <t>운영자금 (9.0억원)</t>
        </is>
      </c>
      <c r="Q340" s="2" t="inlineStr">
        <is>
          <t>-</t>
        </is>
      </c>
      <c r="R340" s="2" t="inlineStr">
        <is>
          <t>-</t>
        </is>
      </c>
      <c r="S340" s="2" t="inlineStr">
        <is>
          <t>20260624000325</t>
        </is>
      </c>
      <c r="T340" s="8">
        <f>HYPERLINK("https://dart.fss.or.kr/dsaf001/main.do?rcpNo=20260624000325", "공시열람")</f>
        <v/>
      </c>
    </row>
    <row r="341" ht="36" customHeight="1">
      <c r="A341" s="2" t="inlineStr">
        <is>
          <t>2026-01-14 (정정: 2026-06-12)</t>
        </is>
      </c>
      <c r="B341" s="3" t="inlineStr">
        <is>
          <t>수성웹툰</t>
        </is>
      </c>
      <c r="C341" s="2" t="inlineStr">
        <is>
          <t>코스닥</t>
        </is>
      </c>
      <c r="D341" s="2" t="inlineStr">
        <is>
          <t>084180</t>
        </is>
      </c>
      <c r="E341" s="9" t="inlineStr">
        <is>
          <t>유상증자</t>
        </is>
      </c>
      <c r="F341" s="3" t="inlineStr">
        <is>
          <t>[기재정정]주요사항보고서(유상증자결정)</t>
        </is>
      </c>
      <c r="G341" s="5" t="n">
        <v>4978115000</v>
      </c>
      <c r="H341" s="5" t="n">
        <v>5000</v>
      </c>
      <c r="I341" s="2" t="inlineStr">
        <is>
          <t>보통주식</t>
        </is>
      </c>
      <c r="J341" s="6" t="n">
        <v>1991246</v>
      </c>
      <c r="K341" s="2" t="inlineStr">
        <is>
          <t>2026-07-13</t>
        </is>
      </c>
      <c r="L341" s="2" t="inlineStr">
        <is>
          <t>2026-08-03</t>
        </is>
      </c>
      <c r="M341" s="2" t="inlineStr">
        <is>
          <t>-</t>
        </is>
      </c>
      <c r="N341" s="2" t="inlineStr">
        <is>
          <t>-</t>
        </is>
      </c>
      <c r="O341" s="10" t="n">
        <v>11.01701240375621</v>
      </c>
      <c r="P341" s="7" t="inlineStr">
        <is>
          <t>타법인증권취득자금 (49.8억원)</t>
        </is>
      </c>
      <c r="Q341" s="2" t="inlineStr">
        <is>
          <t>-</t>
        </is>
      </c>
      <c r="R341" s="2" t="inlineStr">
        <is>
          <t>-</t>
        </is>
      </c>
      <c r="S341" s="2" t="inlineStr">
        <is>
          <t>20260612000446</t>
        </is>
      </c>
      <c r="T341" s="8">
        <f>HYPERLINK("https://dart.fss.or.kr/dsaf001/main.do?rcpNo=20260612000446", "공시열람")</f>
        <v/>
      </c>
    </row>
    <row r="342" ht="36" customHeight="1">
      <c r="A342" s="2" t="inlineStr">
        <is>
          <t>2026-02-20 (정정: 2026-06-12)</t>
        </is>
      </c>
      <c r="B342" s="3" t="inlineStr">
        <is>
          <t>모바일어플라이언스</t>
        </is>
      </c>
      <c r="C342" s="2" t="inlineStr">
        <is>
          <t>코스닥</t>
        </is>
      </c>
      <c r="D342" s="2" t="inlineStr">
        <is>
          <t>087260</t>
        </is>
      </c>
      <c r="E342" s="11" t="inlineStr">
        <is>
          <t>전환사채(CB)</t>
        </is>
      </c>
      <c r="F342" s="3" t="inlineStr">
        <is>
          <t>[기재정정]주요사항보고서(전환사채권발행결정)</t>
        </is>
      </c>
      <c r="G342" s="5" t="inlineStr"/>
      <c r="H342" s="5" t="inlineStr"/>
      <c r="I342" s="2" t="inlineStr">
        <is>
          <t>-</t>
        </is>
      </c>
      <c r="J342" s="6" t="inlineStr"/>
      <c r="K342" s="2" t="inlineStr">
        <is>
          <t>-</t>
        </is>
      </c>
      <c r="L342" s="2" t="inlineStr">
        <is>
          <t>-</t>
        </is>
      </c>
      <c r="M342" s="2" t="inlineStr">
        <is>
          <t>2027-10-27</t>
        </is>
      </c>
      <c r="N342" s="2" t="inlineStr">
        <is>
          <t>2031-09-27</t>
        </is>
      </c>
      <c r="O342" s="3" t="inlineStr"/>
      <c r="P342" s="7" t="inlineStr">
        <is>
          <t>-</t>
        </is>
      </c>
      <c r="Q342" s="2" t="inlineStr">
        <is>
          <t>2028-03-27</t>
        </is>
      </c>
      <c r="R342" s="2" t="inlineStr">
        <is>
          <t>2027-11-30</t>
        </is>
      </c>
      <c r="S342" s="2" t="inlineStr">
        <is>
          <t>20260612000416</t>
        </is>
      </c>
      <c r="T342" s="8">
        <f>HYPERLINK("https://dart.fss.or.kr/dsaf001/main.do?rcpNo=20260612000416", "공시열람")</f>
        <v/>
      </c>
    </row>
    <row r="343" ht="36" customHeight="1">
      <c r="A343" s="2" t="inlineStr">
        <is>
          <t>2026-06-12</t>
        </is>
      </c>
      <c r="B343" s="3" t="inlineStr">
        <is>
          <t>삼보산업</t>
        </is>
      </c>
      <c r="C343" s="2" t="inlineStr">
        <is>
          <t>코스닥</t>
        </is>
      </c>
      <c r="D343" s="2" t="inlineStr">
        <is>
          <t>009620</t>
        </is>
      </c>
      <c r="E343" s="9" t="inlineStr">
        <is>
          <t>유상증자</t>
        </is>
      </c>
      <c r="F343" s="3" t="inlineStr">
        <is>
          <t>주요사항보고서(유상증자결정)</t>
        </is>
      </c>
      <c r="G343" s="5" t="n">
        <v>2786407624</v>
      </c>
      <c r="H343" s="5" t="n">
        <v>648</v>
      </c>
      <c r="I343" s="2" t="inlineStr">
        <is>
          <t>보통주식</t>
        </is>
      </c>
      <c r="J343" s="6" t="n">
        <v>4300000</v>
      </c>
      <c r="K343" s="2" t="inlineStr">
        <is>
          <t>2026-08-10</t>
        </is>
      </c>
      <c r="L343" s="2" t="inlineStr">
        <is>
          <t>2026-08-25</t>
        </is>
      </c>
      <c r="M343" s="2" t="inlineStr">
        <is>
          <t>-</t>
        </is>
      </c>
      <c r="N343" s="2" t="inlineStr">
        <is>
          <t>-</t>
        </is>
      </c>
      <c r="O343" s="10" t="n">
        <v>24.60932975174108</v>
      </c>
      <c r="P343" s="7" t="inlineStr">
        <is>
          <t>타법인증권취득자금 (27.9억원)</t>
        </is>
      </c>
      <c r="Q343" s="2" t="inlineStr">
        <is>
          <t>-</t>
        </is>
      </c>
      <c r="R343" s="2" t="inlineStr">
        <is>
          <t>-</t>
        </is>
      </c>
      <c r="S343" s="2" t="inlineStr">
        <is>
          <t>20260612000344</t>
        </is>
      </c>
      <c r="T343" s="8">
        <f>HYPERLINK("https://dart.fss.or.kr/dsaf001/main.do?rcpNo=20260612000344", "공시열람")</f>
        <v/>
      </c>
    </row>
    <row r="344" ht="36" customHeight="1">
      <c r="A344" s="2" t="inlineStr">
        <is>
          <t>2026-06-12</t>
        </is>
      </c>
      <c r="B344" s="3" t="inlineStr">
        <is>
          <t>아나패스</t>
        </is>
      </c>
      <c r="C344" s="2" t="inlineStr">
        <is>
          <t>코스닥</t>
        </is>
      </c>
      <c r="D344" s="2" t="inlineStr">
        <is>
          <t>123860</t>
        </is>
      </c>
      <c r="E344" s="11" t="inlineStr">
        <is>
          <t>전환사채(CB)</t>
        </is>
      </c>
      <c r="F344" s="3" t="inlineStr">
        <is>
          <t>주요사항보고서(전환사채권발행결정)</t>
        </is>
      </c>
      <c r="G344" s="5" t="n">
        <v>20000000000</v>
      </c>
      <c r="H344" s="5" t="n">
        <v>17000</v>
      </c>
      <c r="I344" s="2" t="inlineStr">
        <is>
          <t>주식회사 아나패스 기명식 보통주</t>
        </is>
      </c>
      <c r="J344" s="6" t="n">
        <v>1176470</v>
      </c>
      <c r="K344" s="2" t="inlineStr">
        <is>
          <t>2026년 06월 22일</t>
        </is>
      </c>
      <c r="L344" s="2" t="inlineStr">
        <is>
          <t>-</t>
        </is>
      </c>
      <c r="M344" s="2" t="inlineStr">
        <is>
          <t>2027-06-22</t>
        </is>
      </c>
      <c r="N344" s="2" t="inlineStr">
        <is>
          <t>2034-05-22</t>
        </is>
      </c>
      <c r="O344" s="10" t="n">
        <v>8.85</v>
      </c>
      <c r="P344" s="7" t="inlineStr">
        <is>
          <t>-</t>
        </is>
      </c>
      <c r="Q344" s="2" t="inlineStr">
        <is>
          <t>-</t>
        </is>
      </c>
      <c r="R344" s="2" t="inlineStr">
        <is>
          <t>2028-04-23</t>
        </is>
      </c>
      <c r="S344" s="2" t="inlineStr">
        <is>
          <t>20260612000335</t>
        </is>
      </c>
      <c r="T344" s="8">
        <f>HYPERLINK("https://dart.fss.or.kr/dsaf001/main.do?rcpNo=20260612000335", "공시열람")</f>
        <v/>
      </c>
    </row>
    <row r="345" ht="36" customHeight="1">
      <c r="A345" s="2" t="inlineStr">
        <is>
          <t>2026-06-12</t>
        </is>
      </c>
      <c r="B345" s="3" t="inlineStr">
        <is>
          <t>엠앤씨솔루션</t>
        </is>
      </c>
      <c r="C345" s="2" t="inlineStr">
        <is>
          <t>코스피</t>
        </is>
      </c>
      <c r="D345" s="2" t="inlineStr">
        <is>
          <t>484870</t>
        </is>
      </c>
      <c r="E345" s="2" t="inlineStr">
        <is>
          <t>무상증자</t>
        </is>
      </c>
      <c r="F345" s="3" t="inlineStr">
        <is>
          <t>주요사항보고서(무상증자결정)</t>
        </is>
      </c>
      <c r="G345" s="5" t="inlineStr"/>
      <c r="H345" s="5" t="inlineStr"/>
      <c r="I345" s="2" t="inlineStr">
        <is>
          <t>-</t>
        </is>
      </c>
      <c r="J345" s="6" t="inlineStr"/>
      <c r="K345" s="2" t="inlineStr">
        <is>
          <t>-</t>
        </is>
      </c>
      <c r="L345" s="2" t="inlineStr">
        <is>
          <t>-</t>
        </is>
      </c>
      <c r="M345" s="2" t="inlineStr">
        <is>
          <t>-</t>
        </is>
      </c>
      <c r="N345" s="2" t="inlineStr">
        <is>
          <t>-</t>
        </is>
      </c>
      <c r="O345" s="3" t="inlineStr"/>
      <c r="P345" s="7" t="inlineStr">
        <is>
          <t>-</t>
        </is>
      </c>
      <c r="Q345" s="2" t="inlineStr">
        <is>
          <t>-</t>
        </is>
      </c>
      <c r="R345" s="2" t="inlineStr">
        <is>
          <t>-</t>
        </is>
      </c>
      <c r="S345" s="2" t="inlineStr">
        <is>
          <t>20260612000174</t>
        </is>
      </c>
      <c r="T345" s="8">
        <f>HYPERLINK("https://dart.fss.or.kr/dsaf001/main.do?rcpNo=20260612000174", "공시열람")</f>
        <v/>
      </c>
    </row>
    <row r="346" ht="36" customHeight="1">
      <c r="A346" s="2" t="inlineStr">
        <is>
          <t>2026-06-15</t>
        </is>
      </c>
      <c r="B346" s="3" t="inlineStr">
        <is>
          <t>솔브레인홀딩스</t>
        </is>
      </c>
      <c r="C346" s="2" t="inlineStr">
        <is>
          <t>코스닥</t>
        </is>
      </c>
      <c r="D346" s="2" t="inlineStr">
        <is>
          <t>036830</t>
        </is>
      </c>
      <c r="E346" s="11" t="inlineStr">
        <is>
          <t>전환사채(CB)</t>
        </is>
      </c>
      <c r="F346" s="3" t="inlineStr">
        <is>
          <t>주요사항보고서(전환사채권발행결정)</t>
        </is>
      </c>
      <c r="G346" s="5" t="n">
        <v>45000000000</v>
      </c>
      <c r="H346" s="5" t="n">
        <v>48704</v>
      </c>
      <c r="I346" s="2" t="inlineStr">
        <is>
          <t>솔브레인홀딩스 주식회사 기명식 보통주</t>
        </is>
      </c>
      <c r="J346" s="6" t="n">
        <v>923948</v>
      </c>
      <c r="K346" s="2" t="inlineStr">
        <is>
          <t>2026년 06월 30일</t>
        </is>
      </c>
      <c r="L346" s="2" t="inlineStr">
        <is>
          <t>-</t>
        </is>
      </c>
      <c r="M346" s="2" t="inlineStr">
        <is>
          <t>2027-07-01</t>
        </is>
      </c>
      <c r="N346" s="2" t="inlineStr">
        <is>
          <t>2031-05-31</t>
        </is>
      </c>
      <c r="O346" s="10" t="n">
        <v>4.32</v>
      </c>
      <c r="P346" s="7" t="inlineStr">
        <is>
          <t>-</t>
        </is>
      </c>
      <c r="Q346" s="2" t="inlineStr">
        <is>
          <t>-</t>
        </is>
      </c>
      <c r="R346" s="2" t="inlineStr">
        <is>
          <t>2029-05-01</t>
        </is>
      </c>
      <c r="S346" s="2" t="inlineStr">
        <is>
          <t>20260615000412</t>
        </is>
      </c>
      <c r="T346" s="8">
        <f>HYPERLINK("https://dart.fss.or.kr/dsaf001/main.do?rcpNo=20260615000412", "공시열람")</f>
        <v/>
      </c>
    </row>
    <row r="347" ht="36" customHeight="1">
      <c r="A347" s="2" t="inlineStr">
        <is>
          <t>2026-06-15</t>
        </is>
      </c>
      <c r="B347" s="3" t="inlineStr">
        <is>
          <t>세방전지</t>
        </is>
      </c>
      <c r="C347" s="2" t="inlineStr">
        <is>
          <t>코스피</t>
        </is>
      </c>
      <c r="D347" s="2" t="inlineStr">
        <is>
          <t>004490</t>
        </is>
      </c>
      <c r="E347" s="9" t="inlineStr">
        <is>
          <t>유상증자</t>
        </is>
      </c>
      <c r="F347" s="3" t="inlineStr">
        <is>
          <t xml:space="preserve">유상증자결정(종속회사의주요경영사항)              </t>
        </is>
      </c>
      <c r="G347" s="5" t="n">
        <v>106890000000</v>
      </c>
      <c r="H347" s="5" t="inlineStr"/>
      <c r="I347" s="2" t="inlineStr">
        <is>
          <t>보통주식</t>
        </is>
      </c>
      <c r="J347" s="6" t="n">
        <v>0</v>
      </c>
      <c r="K347" s="2" t="inlineStr">
        <is>
          <t>2026-12-31</t>
        </is>
      </c>
      <c r="L347" s="2" t="inlineStr">
        <is>
          <t>-</t>
        </is>
      </c>
      <c r="M347" s="2" t="inlineStr">
        <is>
          <t>-</t>
        </is>
      </c>
      <c r="N347" s="2" t="inlineStr">
        <is>
          <t>-</t>
        </is>
      </c>
      <c r="O347" s="3" t="inlineStr"/>
      <c r="P347" s="7" t="inlineStr">
        <is>
          <t>시설자금 (1068.9억원)</t>
        </is>
      </c>
      <c r="Q347" s="2" t="inlineStr">
        <is>
          <t>-</t>
        </is>
      </c>
      <c r="R347" s="2" t="inlineStr">
        <is>
          <t>-</t>
        </is>
      </c>
      <c r="S347" s="2" t="inlineStr">
        <is>
          <t>20260615800925</t>
        </is>
      </c>
      <c r="T347" s="8">
        <f>HYPERLINK("https://dart.fss.or.kr/dsaf001/main.do?rcpNo=20260615800925", "공시열람")</f>
        <v/>
      </c>
    </row>
    <row r="348" ht="36" customHeight="1">
      <c r="A348" s="2" t="inlineStr">
        <is>
          <t>2026-06-15</t>
        </is>
      </c>
      <c r="B348" s="3" t="inlineStr">
        <is>
          <t>에이루트</t>
        </is>
      </c>
      <c r="C348" s="2" t="inlineStr">
        <is>
          <t>코스닥</t>
        </is>
      </c>
      <c r="D348" s="2" t="inlineStr">
        <is>
          <t>096690</t>
        </is>
      </c>
      <c r="E348" s="9" t="inlineStr">
        <is>
          <t>유상증자</t>
        </is>
      </c>
      <c r="F348" s="3" t="inlineStr">
        <is>
          <t>주요사항보고서(유상증자결정)</t>
        </is>
      </c>
      <c r="G348" s="5" t="n">
        <v>3000</v>
      </c>
      <c r="H348" s="5" t="n">
        <v>4660</v>
      </c>
      <c r="I348" s="2" t="inlineStr">
        <is>
          <t>보통주식</t>
        </is>
      </c>
      <c r="J348" s="6" t="n">
        <v>643776</v>
      </c>
      <c r="K348" s="2" t="inlineStr">
        <is>
          <t>2026.07.28</t>
        </is>
      </c>
      <c r="L348" s="2" t="inlineStr">
        <is>
          <t>2026.08.14</t>
        </is>
      </c>
      <c r="M348" s="2" t="inlineStr">
        <is>
          <t>-</t>
        </is>
      </c>
      <c r="N348" s="2" t="inlineStr">
        <is>
          <t>-</t>
        </is>
      </c>
      <c r="O348" s="10" t="n">
        <v>16.00301478407554</v>
      </c>
      <c r="P348" s="7" t="inlineStr">
        <is>
          <t>운영자금 (3,000원)</t>
        </is>
      </c>
      <c r="Q348" s="2" t="inlineStr">
        <is>
          <t>-</t>
        </is>
      </c>
      <c r="R348" s="2" t="inlineStr">
        <is>
          <t>-</t>
        </is>
      </c>
      <c r="S348" s="2" t="inlineStr">
        <is>
          <t>20260615000432</t>
        </is>
      </c>
      <c r="T348" s="8">
        <f>HYPERLINK("https://dart.fss.or.kr/dsaf001/main.do?rcpNo=20260615000432", "공시열람")</f>
        <v/>
      </c>
    </row>
    <row r="349" ht="36" customHeight="1">
      <c r="A349" s="2" t="inlineStr">
        <is>
          <t>2026-06-15</t>
        </is>
      </c>
      <c r="B349" s="3" t="inlineStr">
        <is>
          <t>현대바이오</t>
        </is>
      </c>
      <c r="C349" s="2" t="inlineStr">
        <is>
          <t>코스닥</t>
        </is>
      </c>
      <c r="D349" s="2" t="inlineStr">
        <is>
          <t>048410</t>
        </is>
      </c>
      <c r="E349" s="11" t="inlineStr">
        <is>
          <t>전환사채(CB)</t>
        </is>
      </c>
      <c r="F349" s="3" t="inlineStr">
        <is>
          <t>주요사항보고서(전환사채권발행결정)</t>
        </is>
      </c>
      <c r="G349" s="5" t="n">
        <v>10000000000</v>
      </c>
      <c r="H349" s="5" t="n">
        <v>10201</v>
      </c>
      <c r="I349" s="2" t="inlineStr">
        <is>
          <t>현대바이오사이언스 주식회사 기명식 보통주</t>
        </is>
      </c>
      <c r="J349" s="6" t="n">
        <v>980296</v>
      </c>
      <c r="K349" s="2" t="inlineStr">
        <is>
          <t>2026년 06월 23일</t>
        </is>
      </c>
      <c r="L349" s="2" t="inlineStr">
        <is>
          <t>-</t>
        </is>
      </c>
      <c r="M349" s="2" t="inlineStr">
        <is>
          <t>2027-06-23</t>
        </is>
      </c>
      <c r="N349" s="2" t="inlineStr">
        <is>
          <t>2029-05-23</t>
        </is>
      </c>
      <c r="O349" s="10" t="n">
        <v>1.01</v>
      </c>
      <c r="P349" s="7" t="inlineStr">
        <is>
          <t>-</t>
        </is>
      </c>
      <c r="Q349" s="2" t="inlineStr">
        <is>
          <t>2027-06-23</t>
        </is>
      </c>
      <c r="R349" s="2" t="inlineStr">
        <is>
          <t>2027-12-23</t>
        </is>
      </c>
      <c r="S349" s="2" t="inlineStr">
        <is>
          <t>20260615000419</t>
        </is>
      </c>
      <c r="T349" s="8">
        <f>HYPERLINK("https://dart.fss.or.kr/dsaf001/main.do?rcpNo=20260615000419", "공시열람")</f>
        <v/>
      </c>
    </row>
    <row r="350" ht="36" customHeight="1">
      <c r="A350" s="2" t="inlineStr">
        <is>
          <t>2026-06-15</t>
        </is>
      </c>
      <c r="B350" s="3" t="inlineStr">
        <is>
          <t>세방전지</t>
        </is>
      </c>
      <c r="C350" s="2" t="inlineStr">
        <is>
          <t>코스피</t>
        </is>
      </c>
      <c r="D350" s="2" t="inlineStr">
        <is>
          <t>004490</t>
        </is>
      </c>
      <c r="E350" s="9" t="inlineStr">
        <is>
          <t>유상증자</t>
        </is>
      </c>
      <c r="F350" s="3" t="inlineStr">
        <is>
          <t xml:space="preserve">유상증자결정(종속회사의주요경영사항)              </t>
        </is>
      </c>
      <c r="G350" s="5" t="n">
        <v>106890000000</v>
      </c>
      <c r="H350" s="5" t="inlineStr"/>
      <c r="I350" s="2" t="inlineStr">
        <is>
          <t>보통주식</t>
        </is>
      </c>
      <c r="J350" s="6" t="n">
        <v>0</v>
      </c>
      <c r="K350" s="2" t="inlineStr">
        <is>
          <t>2026-12-31</t>
        </is>
      </c>
      <c r="L350" s="2" t="inlineStr">
        <is>
          <t>-</t>
        </is>
      </c>
      <c r="M350" s="2" t="inlineStr">
        <is>
          <t>-</t>
        </is>
      </c>
      <c r="N350" s="2" t="inlineStr">
        <is>
          <t>-</t>
        </is>
      </c>
      <c r="O350" s="3" t="inlineStr"/>
      <c r="P350" s="7" t="inlineStr">
        <is>
          <t>타법인증권취득자금 (1068.9억원)</t>
        </is>
      </c>
      <c r="Q350" s="2" t="inlineStr">
        <is>
          <t>-</t>
        </is>
      </c>
      <c r="R350" s="2" t="inlineStr">
        <is>
          <t>-</t>
        </is>
      </c>
      <c r="S350" s="2" t="inlineStr">
        <is>
          <t>20260615800909</t>
        </is>
      </c>
      <c r="T350" s="8">
        <f>HYPERLINK("https://dart.fss.or.kr/dsaf001/main.do?rcpNo=20260615800909", "공시열람")</f>
        <v/>
      </c>
    </row>
    <row r="351" ht="36" customHeight="1">
      <c r="A351" s="2" t="inlineStr">
        <is>
          <t>2026-06-15</t>
        </is>
      </c>
      <c r="B351" s="3" t="inlineStr">
        <is>
          <t>에이루트</t>
        </is>
      </c>
      <c r="C351" s="2" t="inlineStr">
        <is>
          <t>코스닥</t>
        </is>
      </c>
      <c r="D351" s="2" t="inlineStr">
        <is>
          <t>096690</t>
        </is>
      </c>
      <c r="E351" s="9" t="inlineStr">
        <is>
          <t>유상증자</t>
        </is>
      </c>
      <c r="F351" s="3" t="inlineStr">
        <is>
          <t>주요사항보고서(유상증자결정)</t>
        </is>
      </c>
      <c r="G351" s="5" t="n">
        <v>2000</v>
      </c>
      <c r="H351" s="5" t="n">
        <v>4660</v>
      </c>
      <c r="I351" s="2" t="inlineStr">
        <is>
          <t>보통주식</t>
        </is>
      </c>
      <c r="J351" s="6" t="n">
        <v>429184</v>
      </c>
      <c r="K351" s="2" t="inlineStr">
        <is>
          <t>2026.07.14</t>
        </is>
      </c>
      <c r="L351" s="2" t="inlineStr">
        <is>
          <t>2026.07.31</t>
        </is>
      </c>
      <c r="M351" s="2" t="inlineStr">
        <is>
          <t>-</t>
        </is>
      </c>
      <c r="N351" s="2" t="inlineStr">
        <is>
          <t>-</t>
        </is>
      </c>
      <c r="O351" s="10" t="n">
        <v>10.66867652271702</v>
      </c>
      <c r="P351" s="7" t="inlineStr">
        <is>
          <t>운영자금 (2,000원)</t>
        </is>
      </c>
      <c r="Q351" s="2" t="inlineStr">
        <is>
          <t>-</t>
        </is>
      </c>
      <c r="R351" s="2" t="inlineStr">
        <is>
          <t>-</t>
        </is>
      </c>
      <c r="S351" s="2" t="inlineStr">
        <is>
          <t>20260615000422</t>
        </is>
      </c>
      <c r="T351" s="8">
        <f>HYPERLINK("https://dart.fss.or.kr/dsaf001/main.do?rcpNo=20260615000422", "공시열람")</f>
        <v/>
      </c>
    </row>
    <row r="352" ht="36" customHeight="1">
      <c r="A352" s="2" t="inlineStr">
        <is>
          <t>2026-06-15</t>
        </is>
      </c>
      <c r="B352" s="3" t="inlineStr">
        <is>
          <t>알지노믹스</t>
        </is>
      </c>
      <c r="C352" s="2" t="inlineStr">
        <is>
          <t>코스닥</t>
        </is>
      </c>
      <c r="D352" s="2" t="inlineStr">
        <is>
          <t>476830</t>
        </is>
      </c>
      <c r="E352" s="2" t="inlineStr">
        <is>
          <t>무상증자</t>
        </is>
      </c>
      <c r="F352" s="3" t="inlineStr">
        <is>
          <t>주요사항보고서(무상증자결정)</t>
        </is>
      </c>
      <c r="G352" s="5" t="inlineStr"/>
      <c r="H352" s="5" t="inlineStr"/>
      <c r="I352" s="2" t="inlineStr">
        <is>
          <t>-</t>
        </is>
      </c>
      <c r="J352" s="6" t="inlineStr"/>
      <c r="K352" s="2" t="inlineStr">
        <is>
          <t>-</t>
        </is>
      </c>
      <c r="L352" s="2" t="inlineStr">
        <is>
          <t>-</t>
        </is>
      </c>
      <c r="M352" s="2" t="inlineStr">
        <is>
          <t>-</t>
        </is>
      </c>
      <c r="N352" s="2" t="inlineStr">
        <is>
          <t>-</t>
        </is>
      </c>
      <c r="O352" s="3" t="inlineStr"/>
      <c r="P352" s="7" t="inlineStr">
        <is>
          <t>-</t>
        </is>
      </c>
      <c r="Q352" s="2" t="inlineStr">
        <is>
          <t>-</t>
        </is>
      </c>
      <c r="R352" s="2" t="inlineStr">
        <is>
          <t>-</t>
        </is>
      </c>
      <c r="S352" s="2" t="inlineStr">
        <is>
          <t>20260615000321</t>
        </is>
      </c>
      <c r="T352" s="8">
        <f>HYPERLINK("https://dart.fss.or.kr/dsaf001/main.do?rcpNo=20260615000321", "공시열람")</f>
        <v/>
      </c>
    </row>
    <row r="353" ht="36" customHeight="1">
      <c r="A353" s="2" t="inlineStr">
        <is>
          <t>2026-04-03 (정정: 2026-06-15)</t>
        </is>
      </c>
      <c r="B353" s="3" t="inlineStr">
        <is>
          <t>프리티</t>
        </is>
      </c>
      <c r="C353" s="2" t="inlineStr">
        <is>
          <t>코스피</t>
        </is>
      </c>
      <c r="D353" s="2" t="inlineStr">
        <is>
          <t>006490</t>
        </is>
      </c>
      <c r="E353" s="11" t="inlineStr">
        <is>
          <t>전환사채(CB)</t>
        </is>
      </c>
      <c r="F353" s="3" t="inlineStr">
        <is>
          <t>[기재정정]주요사항보고서(전환사채권발행결정)</t>
        </is>
      </c>
      <c r="G353" s="5" t="inlineStr"/>
      <c r="H353" s="5" t="inlineStr"/>
      <c r="I353" s="2" t="inlineStr">
        <is>
          <t>-</t>
        </is>
      </c>
      <c r="J353" s="6" t="inlineStr"/>
      <c r="K353" s="2" t="inlineStr">
        <is>
          <t>-</t>
        </is>
      </c>
      <c r="L353" s="2" t="inlineStr">
        <is>
          <t>-</t>
        </is>
      </c>
      <c r="M353" s="2" t="inlineStr">
        <is>
          <t>2027-08-28</t>
        </is>
      </c>
      <c r="N353" s="2" t="inlineStr">
        <is>
          <t>2029-07-28</t>
        </is>
      </c>
      <c r="O353" s="3" t="inlineStr"/>
      <c r="P353" s="7" t="inlineStr">
        <is>
          <t>-</t>
        </is>
      </c>
      <c r="Q353" s="2" t="inlineStr">
        <is>
          <t>-</t>
        </is>
      </c>
      <c r="R353" s="2" t="inlineStr">
        <is>
          <t>2027-06-28</t>
        </is>
      </c>
      <c r="S353" s="2" t="inlineStr">
        <is>
          <t>20260615000307</t>
        </is>
      </c>
      <c r="T353" s="8">
        <f>HYPERLINK("https://dart.fss.or.kr/dsaf001/main.do?rcpNo=20260615000307", "공시열람")</f>
        <v/>
      </c>
    </row>
    <row r="354" ht="36" customHeight="1">
      <c r="A354" s="2" t="inlineStr">
        <is>
          <t>2026-06-15</t>
        </is>
      </c>
      <c r="B354" s="3" t="inlineStr">
        <is>
          <t>제이앤티씨</t>
        </is>
      </c>
      <c r="C354" s="2" t="inlineStr">
        <is>
          <t>코스닥</t>
        </is>
      </c>
      <c r="D354" s="2" t="inlineStr">
        <is>
          <t>204270</t>
        </is>
      </c>
      <c r="E354" s="9" t="inlineStr">
        <is>
          <t>유상증자</t>
        </is>
      </c>
      <c r="F354" s="3" t="inlineStr">
        <is>
          <t xml:space="preserve">유상증자결정(종속회사의주요경영사항)              </t>
        </is>
      </c>
      <c r="G354" s="5" t="n">
        <v>30408000000</v>
      </c>
      <c r="H354" s="5" t="inlineStr"/>
      <c r="I354" s="2" t="inlineStr">
        <is>
          <t>보통주식</t>
        </is>
      </c>
      <c r="J354" s="6" t="n">
        <v>0</v>
      </c>
      <c r="K354" s="2" t="inlineStr">
        <is>
          <t>2026-06-16</t>
        </is>
      </c>
      <c r="L354" s="2" t="inlineStr">
        <is>
          <t>-</t>
        </is>
      </c>
      <c r="M354" s="2" t="inlineStr">
        <is>
          <t>-</t>
        </is>
      </c>
      <c r="N354" s="2" t="inlineStr">
        <is>
          <t>-</t>
        </is>
      </c>
      <c r="O354" s="3" t="inlineStr"/>
      <c r="P354" s="7" t="inlineStr">
        <is>
          <t>시설자금 (304.1억원)</t>
        </is>
      </c>
      <c r="Q354" s="2" t="inlineStr">
        <is>
          <t>-</t>
        </is>
      </c>
      <c r="R354" s="2" t="inlineStr">
        <is>
          <t>-</t>
        </is>
      </c>
      <c r="S354" s="2" t="inlineStr">
        <is>
          <t>20260615900737</t>
        </is>
      </c>
      <c r="T354" s="8">
        <f>HYPERLINK("https://dart.fss.or.kr/dsaf001/main.do?rcpNo=20260615900737", "공시열람")</f>
        <v/>
      </c>
    </row>
    <row r="355" ht="36" customHeight="1">
      <c r="A355" s="2" t="inlineStr">
        <is>
          <t>2025-07-22 (정정: 2026-06-15)</t>
        </is>
      </c>
      <c r="B355" s="3" t="inlineStr">
        <is>
          <t>비엘팜텍</t>
        </is>
      </c>
      <c r="C355" s="2" t="inlineStr">
        <is>
          <t>코스닥</t>
        </is>
      </c>
      <c r="D355" s="2" t="inlineStr">
        <is>
          <t>065170</t>
        </is>
      </c>
      <c r="E355" s="11" t="inlineStr">
        <is>
          <t>전환사채(CB)</t>
        </is>
      </c>
      <c r="F355" s="3" t="inlineStr">
        <is>
          <t>[기재정정]주요사항보고서(전환사채권발행결정)</t>
        </is>
      </c>
      <c r="G355" s="5" t="inlineStr"/>
      <c r="H355" s="5" t="inlineStr"/>
      <c r="I355" s="2" t="inlineStr">
        <is>
          <t>-</t>
        </is>
      </c>
      <c r="J355" s="6" t="inlineStr"/>
      <c r="K355" s="2" t="inlineStr">
        <is>
          <t>-</t>
        </is>
      </c>
      <c r="L355" s="2" t="inlineStr">
        <is>
          <t>-</t>
        </is>
      </c>
      <c r="M355" s="2" t="inlineStr">
        <is>
          <t>2026-07-30</t>
        </is>
      </c>
      <c r="N355" s="2" t="inlineStr">
        <is>
          <t>2028-06-30</t>
        </is>
      </c>
      <c r="O355" s="3" t="inlineStr"/>
      <c r="P355" s="7" t="inlineStr">
        <is>
          <t>-</t>
        </is>
      </c>
      <c r="Q355" s="2" t="inlineStr">
        <is>
          <t>2024-06-28</t>
        </is>
      </c>
      <c r="R355" s="2" t="inlineStr">
        <is>
          <t>2026-07-30</t>
        </is>
      </c>
      <c r="S355" s="2" t="inlineStr">
        <is>
          <t>20260615000228</t>
        </is>
      </c>
      <c r="T355" s="8">
        <f>HYPERLINK("https://dart.fss.or.kr/dsaf001/main.do?rcpNo=20260615000228", "공시열람")</f>
        <v/>
      </c>
    </row>
    <row r="356" ht="36" customHeight="1">
      <c r="A356" s="2" t="inlineStr">
        <is>
          <t>2026-06-15</t>
        </is>
      </c>
      <c r="B356" s="3" t="inlineStr">
        <is>
          <t>진원생명과학</t>
        </is>
      </c>
      <c r="C356" s="2" t="inlineStr">
        <is>
          <t>코스피</t>
        </is>
      </c>
      <c r="D356" s="2" t="inlineStr">
        <is>
          <t>011000</t>
        </is>
      </c>
      <c r="E356" s="9" t="inlineStr">
        <is>
          <t>유상증자</t>
        </is>
      </c>
      <c r="F356" s="3" t="inlineStr">
        <is>
          <t xml:space="preserve">[기재정정]유상증자결정(종속회사의주요경영사항)              </t>
        </is>
      </c>
      <c r="G356" s="5" t="n">
        <v>2979600000</v>
      </c>
      <c r="H356" s="5" t="inlineStr"/>
      <c r="I356" s="2" t="inlineStr">
        <is>
          <t>보통주식</t>
        </is>
      </c>
      <c r="J356" s="6" t="n">
        <v>0</v>
      </c>
      <c r="K356" s="2" t="inlineStr">
        <is>
          <t>2026-06-12</t>
        </is>
      </c>
      <c r="L356" s="2" t="inlineStr">
        <is>
          <t>-</t>
        </is>
      </c>
      <c r="M356" s="2" t="inlineStr">
        <is>
          <t>-</t>
        </is>
      </c>
      <c r="N356" s="2" t="inlineStr">
        <is>
          <t>-</t>
        </is>
      </c>
      <c r="O356" s="3" t="inlineStr"/>
      <c r="P356" s="7" t="inlineStr">
        <is>
          <t>채무상환자금 (29.8억원)</t>
        </is>
      </c>
      <c r="Q356" s="2" t="inlineStr">
        <is>
          <t>-</t>
        </is>
      </c>
      <c r="R356" s="2" t="inlineStr">
        <is>
          <t>-</t>
        </is>
      </c>
      <c r="S356" s="2" t="inlineStr">
        <is>
          <t>20260615800004</t>
        </is>
      </c>
      <c r="T356" s="8">
        <f>HYPERLINK("https://dart.fss.or.kr/dsaf001/main.do?rcpNo=20260615800004", "공시열람")</f>
        <v/>
      </c>
    </row>
    <row r="357" ht="36" customHeight="1">
      <c r="A357" s="2" t="inlineStr">
        <is>
          <t>2026-06-16</t>
        </is>
      </c>
      <c r="B357" s="3" t="inlineStr">
        <is>
          <t>오에스피</t>
        </is>
      </c>
      <c r="C357" s="2" t="inlineStr">
        <is>
          <t>코스닥</t>
        </is>
      </c>
      <c r="D357" s="2" t="inlineStr">
        <is>
          <t>368970</t>
        </is>
      </c>
      <c r="E357" s="9" t="inlineStr">
        <is>
          <t>유상증자</t>
        </is>
      </c>
      <c r="F357" s="3" t="inlineStr">
        <is>
          <t>[첨부추가]주요사항보고서(유상증자결정)</t>
        </is>
      </c>
      <c r="G357" s="5" t="n">
        <v>2464152582</v>
      </c>
      <c r="H357" s="5" t="n">
        <v>2537</v>
      </c>
      <c r="I357" s="2" t="inlineStr">
        <is>
          <t>보통주식</t>
        </is>
      </c>
      <c r="J357" s="6" t="n">
        <v>971286</v>
      </c>
      <c r="K357" s="2" t="inlineStr">
        <is>
          <t>2026-07-27</t>
        </is>
      </c>
      <c r="L357" s="2" t="inlineStr">
        <is>
          <t>2026-08-14</t>
        </is>
      </c>
      <c r="M357" s="2" t="inlineStr">
        <is>
          <t>-</t>
        </is>
      </c>
      <c r="N357" s="2" t="inlineStr">
        <is>
          <t>-</t>
        </is>
      </c>
      <c r="O357" s="10" t="n">
        <v>19.99998764525321</v>
      </c>
      <c r="P357" s="7" t="inlineStr">
        <is>
          <t>운영자금 (24.6억원)</t>
        </is>
      </c>
      <c r="Q357" s="2" t="inlineStr">
        <is>
          <t>-</t>
        </is>
      </c>
      <c r="R357" s="2" t="inlineStr">
        <is>
          <t>-</t>
        </is>
      </c>
      <c r="S357" s="2" t="inlineStr">
        <is>
          <t>20260616000257</t>
        </is>
      </c>
      <c r="T357" s="8">
        <f>HYPERLINK("https://dart.fss.or.kr/dsaf001/main.do?rcpNo=20260616000257", "공시열람")</f>
        <v/>
      </c>
    </row>
    <row r="358" ht="36" customHeight="1">
      <c r="A358" s="2" t="inlineStr">
        <is>
          <t>2026-06-16</t>
        </is>
      </c>
      <c r="B358" s="3" t="inlineStr">
        <is>
          <t>모아데이타</t>
        </is>
      </c>
      <c r="C358" s="2" t="inlineStr">
        <is>
          <t>코스닥</t>
        </is>
      </c>
      <c r="D358" s="2" t="inlineStr">
        <is>
          <t>288980</t>
        </is>
      </c>
      <c r="E358" s="11" t="inlineStr">
        <is>
          <t>전환사채(CB)</t>
        </is>
      </c>
      <c r="F358" s="3" t="inlineStr">
        <is>
          <t>[첨부정정]주요사항보고서(전환사채권발행결정)</t>
        </is>
      </c>
      <c r="G358" s="5" t="inlineStr"/>
      <c r="H358" s="5" t="inlineStr"/>
      <c r="I358" s="2" t="inlineStr">
        <is>
          <t>-</t>
        </is>
      </c>
      <c r="J358" s="6" t="inlineStr"/>
      <c r="K358" s="2" t="inlineStr">
        <is>
          <t>-</t>
        </is>
      </c>
      <c r="L358" s="2" t="inlineStr">
        <is>
          <t>-</t>
        </is>
      </c>
      <c r="M358" s="2" t="inlineStr">
        <is>
          <t>-</t>
        </is>
      </c>
      <c r="N358" s="2" t="inlineStr">
        <is>
          <t>-</t>
        </is>
      </c>
      <c r="O358" s="3" t="inlineStr"/>
      <c r="P358" s="7" t="inlineStr">
        <is>
          <t>-</t>
        </is>
      </c>
      <c r="Q358" s="2" t="inlineStr">
        <is>
          <t>-</t>
        </is>
      </c>
      <c r="R358" s="2" t="inlineStr">
        <is>
          <t>-</t>
        </is>
      </c>
      <c r="S358" s="2" t="inlineStr">
        <is>
          <t>20260616000241</t>
        </is>
      </c>
      <c r="T358" s="8">
        <f>HYPERLINK("https://dart.fss.or.kr/dsaf001/main.do?rcpNo=20260616000241", "공시열람")</f>
        <v/>
      </c>
    </row>
    <row r="359" ht="36" customHeight="1">
      <c r="A359" s="2" t="inlineStr">
        <is>
          <t>2026-06-16</t>
        </is>
      </c>
      <c r="B359" s="3" t="inlineStr">
        <is>
          <t>가온전선</t>
        </is>
      </c>
      <c r="C359" s="2" t="inlineStr">
        <is>
          <t>코스피</t>
        </is>
      </c>
      <c r="D359" s="2" t="inlineStr">
        <is>
          <t>000500</t>
        </is>
      </c>
      <c r="E359" s="2" t="inlineStr">
        <is>
          <t>무상증자</t>
        </is>
      </c>
      <c r="F359" s="3" t="inlineStr">
        <is>
          <t>주요사항보고서(무상증자결정)</t>
        </is>
      </c>
      <c r="G359" s="5" t="inlineStr"/>
      <c r="H359" s="5" t="inlineStr"/>
      <c r="I359" s="2" t="inlineStr">
        <is>
          <t>-</t>
        </is>
      </c>
      <c r="J359" s="6" t="inlineStr"/>
      <c r="K359" s="2" t="inlineStr">
        <is>
          <t>-</t>
        </is>
      </c>
      <c r="L359" s="2" t="inlineStr">
        <is>
          <t>-</t>
        </is>
      </c>
      <c r="M359" s="2" t="inlineStr">
        <is>
          <t>-</t>
        </is>
      </c>
      <c r="N359" s="2" t="inlineStr">
        <is>
          <t>-</t>
        </is>
      </c>
      <c r="O359" s="3" t="inlineStr"/>
      <c r="P359" s="7" t="inlineStr">
        <is>
          <t>-</t>
        </is>
      </c>
      <c r="Q359" s="2" t="inlineStr">
        <is>
          <t>-</t>
        </is>
      </c>
      <c r="R359" s="2" t="inlineStr">
        <is>
          <t>-</t>
        </is>
      </c>
      <c r="S359" s="2" t="inlineStr">
        <is>
          <t>20260616000211</t>
        </is>
      </c>
      <c r="T359" s="8">
        <f>HYPERLINK("https://dart.fss.or.kr/dsaf001/main.do?rcpNo=20260616000211", "공시열람")</f>
        <v/>
      </c>
    </row>
    <row r="360" ht="36" customHeight="1">
      <c r="A360" s="2" t="inlineStr">
        <is>
          <t>2026-06-16</t>
        </is>
      </c>
      <c r="B360" s="3" t="inlineStr">
        <is>
          <t>핸즈코퍼레이션</t>
        </is>
      </c>
      <c r="C360" s="2" t="inlineStr">
        <is>
          <t>코스피</t>
        </is>
      </c>
      <c r="D360" s="2" t="inlineStr">
        <is>
          <t>143210</t>
        </is>
      </c>
      <c r="E360" s="9" t="inlineStr">
        <is>
          <t>유상증자</t>
        </is>
      </c>
      <c r="F360" s="3" t="inlineStr">
        <is>
          <t>주요사항보고서(유상증자결정)</t>
        </is>
      </c>
      <c r="G360" s="5" t="n">
        <v>7126494552</v>
      </c>
      <c r="H360" s="5" t="n">
        <v>3492</v>
      </c>
      <c r="I360" s="2" t="inlineStr">
        <is>
          <t>보통주식</t>
        </is>
      </c>
      <c r="J360" s="6" t="n">
        <v>1020403</v>
      </c>
      <c r="K360" s="2" t="inlineStr">
        <is>
          <t>2026-06-24</t>
        </is>
      </c>
      <c r="L360" s="2" t="inlineStr">
        <is>
          <t>2026-07-13</t>
        </is>
      </c>
      <c r="M360" s="2" t="inlineStr">
        <is>
          <t>-</t>
        </is>
      </c>
      <c r="N360" s="2" t="inlineStr">
        <is>
          <t>-</t>
        </is>
      </c>
      <c r="O360" s="10" t="n">
        <v>4.664540141189236</v>
      </c>
      <c r="P360" s="7" t="inlineStr">
        <is>
          <t>기타자금 (35.6억원), 운영자금 (35.6억원)</t>
        </is>
      </c>
      <c r="Q360" s="2" t="inlineStr">
        <is>
          <t>-</t>
        </is>
      </c>
      <c r="R360" s="2" t="inlineStr">
        <is>
          <t>-</t>
        </is>
      </c>
      <c r="S360" s="2" t="inlineStr">
        <is>
          <t>20260616000126</t>
        </is>
      </c>
      <c r="T360" s="8">
        <f>HYPERLINK("https://dart.fss.or.kr/dsaf001/main.do?rcpNo=20260616000126", "공시열람")</f>
        <v/>
      </c>
    </row>
    <row r="361" ht="36" customHeight="1">
      <c r="A361" s="2" t="inlineStr">
        <is>
          <t>2026-06-16 (정정: 2026-06-19)</t>
        </is>
      </c>
      <c r="B361" s="3" t="inlineStr">
        <is>
          <t>대진첨단소재</t>
        </is>
      </c>
      <c r="C361" s="2" t="inlineStr">
        <is>
          <t>코스닥</t>
        </is>
      </c>
      <c r="D361" s="2" t="inlineStr">
        <is>
          <t>393970</t>
        </is>
      </c>
      <c r="E361" s="11" t="inlineStr">
        <is>
          <t>전환사채(CB)</t>
        </is>
      </c>
      <c r="F361" s="3" t="inlineStr">
        <is>
          <t>[첨부정정]주요사항보고서(전환사채권발행결정) (정정: 20260619)</t>
        </is>
      </c>
      <c r="G361" s="5" t="inlineStr"/>
      <c r="H361" s="5" t="inlineStr"/>
      <c r="I361" s="2" t="inlineStr">
        <is>
          <t>-</t>
        </is>
      </c>
      <c r="J361" s="6" t="inlineStr"/>
      <c r="K361" s="2" t="inlineStr">
        <is>
          <t>-</t>
        </is>
      </c>
      <c r="L361" s="2" t="inlineStr">
        <is>
          <t>-</t>
        </is>
      </c>
      <c r="M361" s="2" t="inlineStr">
        <is>
          <t>2027-07-14</t>
        </is>
      </c>
      <c r="N361" s="2" t="inlineStr">
        <is>
          <t>2029-06-14</t>
        </is>
      </c>
      <c r="O361" s="3" t="inlineStr"/>
      <c r="P361" s="7" t="inlineStr">
        <is>
          <t>-</t>
        </is>
      </c>
      <c r="Q361" s="2" t="inlineStr">
        <is>
          <t>2027-04-20</t>
        </is>
      </c>
      <c r="R361" s="2" t="inlineStr">
        <is>
          <t>2027-05-10</t>
        </is>
      </c>
      <c r="S361" s="2" t="inlineStr">
        <is>
          <t>20260619000139</t>
        </is>
      </c>
      <c r="T361" s="8">
        <f>HYPERLINK("https://dart.fss.or.kr/dsaf001/main.do?rcpNo=20260619000139", "공시열람")</f>
        <v/>
      </c>
    </row>
    <row r="362" ht="36" customHeight="1">
      <c r="A362" s="2" t="inlineStr">
        <is>
          <t>2026-06-16</t>
        </is>
      </c>
      <c r="B362" s="3" t="inlineStr">
        <is>
          <t>한국유니온제약</t>
        </is>
      </c>
      <c r="C362" s="2" t="inlineStr">
        <is>
          <t>코스닥</t>
        </is>
      </c>
      <c r="D362" s="2" t="inlineStr">
        <is>
          <t>080720</t>
        </is>
      </c>
      <c r="E362" s="9" t="inlineStr">
        <is>
          <t>유상증자</t>
        </is>
      </c>
      <c r="F362" s="3" t="inlineStr">
        <is>
          <t>[기재정정]주요사항보고서(유상증자결정)</t>
        </is>
      </c>
      <c r="G362" s="5" t="n">
        <v>30000</v>
      </c>
      <c r="H362" s="5" t="n">
        <v>500</v>
      </c>
      <c r="I362" s="2" t="inlineStr">
        <is>
          <t>보통주식</t>
        </is>
      </c>
      <c r="J362" s="6" t="n">
        <v>60000000</v>
      </c>
      <c r="K362" s="2" t="inlineStr">
        <is>
          <t>2026-05-27</t>
        </is>
      </c>
      <c r="L362" s="2" t="inlineStr">
        <is>
          <t>2026-07-15</t>
        </is>
      </c>
      <c r="M362" s="2" t="inlineStr">
        <is>
          <t>-</t>
        </is>
      </c>
      <c r="N362" s="2" t="inlineStr">
        <is>
          <t>-</t>
        </is>
      </c>
      <c r="O362" s="10" t="n">
        <v>302.2060132348101</v>
      </c>
      <c r="P362" s="7" t="inlineStr">
        <is>
          <t>기타자금 (30,000원)</t>
        </is>
      </c>
      <c r="Q362" s="2" t="inlineStr">
        <is>
          <t>-</t>
        </is>
      </c>
      <c r="R362" s="2" t="inlineStr">
        <is>
          <t>-</t>
        </is>
      </c>
      <c r="S362" s="2" t="inlineStr">
        <is>
          <t>20260616000086</t>
        </is>
      </c>
      <c r="T362" s="8">
        <f>HYPERLINK("https://dart.fss.or.kr/dsaf001/main.do?rcpNo=20260616000086", "공시열람")</f>
        <v/>
      </c>
    </row>
    <row r="363" ht="36" customHeight="1">
      <c r="A363" s="2" t="inlineStr">
        <is>
          <t>2026-04-08 (정정: 2026-06-16)</t>
        </is>
      </c>
      <c r="B363" s="3" t="inlineStr">
        <is>
          <t>RF머트리얼즈</t>
        </is>
      </c>
      <c r="C363" s="2" t="inlineStr">
        <is>
          <t>코스닥</t>
        </is>
      </c>
      <c r="D363" s="2" t="inlineStr">
        <is>
          <t>327260</t>
        </is>
      </c>
      <c r="E363" s="9" t="inlineStr">
        <is>
          <t>유상증자</t>
        </is>
      </c>
      <c r="F363" s="3" t="inlineStr">
        <is>
          <t>[기재정정]주요사항보고서(유상증자결정)</t>
        </is>
      </c>
      <c r="G363" s="5" t="n">
        <v>26250000000</v>
      </c>
      <c r="H363" s="5" t="n">
        <v>52500</v>
      </c>
      <c r="I363" s="2" t="inlineStr">
        <is>
          <t>보통주식</t>
        </is>
      </c>
      <c r="J363" s="6" t="n">
        <v>500000</v>
      </c>
      <c r="K363" s="2" t="inlineStr">
        <is>
          <t>2026-06-26</t>
        </is>
      </c>
      <c r="L363" s="2" t="inlineStr">
        <is>
          <t>2026-07-09</t>
        </is>
      </c>
      <c r="M363" s="2" t="inlineStr">
        <is>
          <t>-</t>
        </is>
      </c>
      <c r="N363" s="2" t="inlineStr">
        <is>
          <t>-</t>
        </is>
      </c>
      <c r="O363" s="10" t="n">
        <v>5.885721651274524</v>
      </c>
      <c r="P363" s="7" t="inlineStr">
        <is>
          <t>시설자금 (250.0억원), 운영자금 (12.5억원)</t>
        </is>
      </c>
      <c r="Q363" s="2" t="inlineStr">
        <is>
          <t>-</t>
        </is>
      </c>
      <c r="R363" s="2" t="inlineStr">
        <is>
          <t>-</t>
        </is>
      </c>
      <c r="S363" s="2" t="inlineStr">
        <is>
          <t>20260616000050</t>
        </is>
      </c>
      <c r="T363" s="8">
        <f>HYPERLINK("https://dart.fss.or.kr/dsaf001/main.do?rcpNo=20260616000050", "공시열람")</f>
        <v/>
      </c>
    </row>
    <row r="364" ht="36" customHeight="1">
      <c r="A364" s="2" t="inlineStr">
        <is>
          <t>2026-06-16 (정정: 2026-06-19)</t>
        </is>
      </c>
      <c r="B364" s="3" t="inlineStr">
        <is>
          <t>파이온엑스</t>
        </is>
      </c>
      <c r="C364" s="2" t="inlineStr">
        <is>
          <t>코스닥</t>
        </is>
      </c>
      <c r="D364" s="2" t="inlineStr">
        <is>
          <t>900100</t>
        </is>
      </c>
      <c r="E364" s="11" t="inlineStr">
        <is>
          <t>전환사채(CB)</t>
        </is>
      </c>
      <c r="F364" s="3" t="inlineStr">
        <is>
          <t>[첨부정정]주요사항보고서(전환사채권발행결정) (정정: 20260619)</t>
        </is>
      </c>
      <c r="G364" s="5" t="inlineStr"/>
      <c r="H364" s="5" t="inlineStr"/>
      <c r="I364" s="2" t="inlineStr">
        <is>
          <t>-</t>
        </is>
      </c>
      <c r="J364" s="6" t="inlineStr"/>
      <c r="K364" s="2" t="inlineStr">
        <is>
          <t>-</t>
        </is>
      </c>
      <c r="L364" s="2" t="inlineStr">
        <is>
          <t>-</t>
        </is>
      </c>
      <c r="M364" s="2" t="inlineStr">
        <is>
          <t>2027-07-08</t>
        </is>
      </c>
      <c r="N364" s="2" t="inlineStr">
        <is>
          <t>2029-06-08</t>
        </is>
      </c>
      <c r="O364" s="3" t="inlineStr"/>
      <c r="P364" s="7" t="inlineStr">
        <is>
          <t>-</t>
        </is>
      </c>
      <c r="Q364" s="2" t="inlineStr">
        <is>
          <t>2026-06-22</t>
        </is>
      </c>
      <c r="R364" s="2" t="inlineStr">
        <is>
          <t>2026-06-22</t>
        </is>
      </c>
      <c r="S364" s="2" t="inlineStr">
        <is>
          <t>20260618000413</t>
        </is>
      </c>
      <c r="T364" s="8">
        <f>HYPERLINK("https://dart.fss.or.kr/dsaf001/main.do?rcpNo=20260618000413", "공시열람")</f>
        <v/>
      </c>
    </row>
    <row r="365" ht="36" customHeight="1">
      <c r="A365" s="2" t="inlineStr">
        <is>
          <t>2026-06-17 (정정: 2026-06-17)</t>
        </is>
      </c>
      <c r="B365" s="3" t="inlineStr">
        <is>
          <t>넥사다이내믹스</t>
        </is>
      </c>
      <c r="C365" s="2" t="inlineStr">
        <is>
          <t>코스닥</t>
        </is>
      </c>
      <c r="D365" s="2" t="inlineStr">
        <is>
          <t>351320</t>
        </is>
      </c>
      <c r="E365" s="11" t="inlineStr">
        <is>
          <t>전환사채(CB)</t>
        </is>
      </c>
      <c r="F365" s="3" t="inlineStr">
        <is>
          <t>[기재정정]주요사항보고서(전환사채권발행결정) (정정: 20260617)</t>
        </is>
      </c>
      <c r="G365" s="5" t="inlineStr"/>
      <c r="H365" s="5" t="inlineStr"/>
      <c r="I365" s="2" t="inlineStr">
        <is>
          <t>-</t>
        </is>
      </c>
      <c r="J365" s="6" t="inlineStr"/>
      <c r="K365" s="2" t="inlineStr">
        <is>
          <t>-</t>
        </is>
      </c>
      <c r="L365" s="2" t="inlineStr">
        <is>
          <t>-</t>
        </is>
      </c>
      <c r="M365" s="2" t="inlineStr">
        <is>
          <t>2027-04-30</t>
        </is>
      </c>
      <c r="N365" s="2" t="inlineStr">
        <is>
          <t>2029-03-30</t>
        </is>
      </c>
      <c r="O365" s="3" t="inlineStr"/>
      <c r="P365" s="7" t="inlineStr">
        <is>
          <t>-</t>
        </is>
      </c>
      <c r="Q365" s="2" t="inlineStr">
        <is>
          <t>2027-03-31</t>
        </is>
      </c>
      <c r="R365" s="2" t="inlineStr">
        <is>
          <t>2027-03-01</t>
        </is>
      </c>
      <c r="S365" s="2" t="inlineStr">
        <is>
          <t>20260617000502</t>
        </is>
      </c>
      <c r="T365" s="8">
        <f>HYPERLINK("https://dart.fss.or.kr/dsaf001/main.do?rcpNo=20260617000502", "공시열람")</f>
        <v/>
      </c>
    </row>
    <row r="366" ht="36" customHeight="1">
      <c r="A366" s="2" t="inlineStr">
        <is>
          <t>2026-06-17</t>
        </is>
      </c>
      <c r="B366" s="3" t="inlineStr">
        <is>
          <t>비트플래닛</t>
        </is>
      </c>
      <c r="C366" s="2" t="inlineStr">
        <is>
          <t>코스닥</t>
        </is>
      </c>
      <c r="D366" s="2" t="inlineStr">
        <is>
          <t>049470</t>
        </is>
      </c>
      <c r="E366" s="11" t="inlineStr">
        <is>
          <t>전환사채(CB)</t>
        </is>
      </c>
      <c r="F366" s="3" t="inlineStr">
        <is>
          <t>[첨부정정]주요사항보고서(전환사채권발행결정)</t>
        </is>
      </c>
      <c r="G366" s="5" t="inlineStr"/>
      <c r="H366" s="5" t="inlineStr"/>
      <c r="I366" s="2" t="inlineStr">
        <is>
          <t>-</t>
        </is>
      </c>
      <c r="J366" s="6" t="inlineStr"/>
      <c r="K366" s="2" t="inlineStr">
        <is>
          <t>-</t>
        </is>
      </c>
      <c r="L366" s="2" t="inlineStr">
        <is>
          <t>-</t>
        </is>
      </c>
      <c r="M366" s="2" t="inlineStr">
        <is>
          <t>-</t>
        </is>
      </c>
      <c r="N366" s="2" t="inlineStr">
        <is>
          <t>-</t>
        </is>
      </c>
      <c r="O366" s="3" t="inlineStr"/>
      <c r="P366" s="7" t="inlineStr">
        <is>
          <t>-</t>
        </is>
      </c>
      <c r="Q366" s="2" t="inlineStr">
        <is>
          <t>-</t>
        </is>
      </c>
      <c r="R366" s="2" t="inlineStr">
        <is>
          <t>-</t>
        </is>
      </c>
      <c r="S366" s="2" t="inlineStr">
        <is>
          <t>20260617000464</t>
        </is>
      </c>
      <c r="T366" s="8">
        <f>HYPERLINK("https://dart.fss.or.kr/dsaf001/main.do?rcpNo=20260617000464", "공시열람")</f>
        <v/>
      </c>
    </row>
    <row r="367" ht="36" customHeight="1">
      <c r="A367" s="2" t="inlineStr">
        <is>
          <t>2026-06-17 (정정: 2026-06-25)</t>
        </is>
      </c>
      <c r="B367" s="3" t="inlineStr">
        <is>
          <t>노브메타파마</t>
        </is>
      </c>
      <c r="C367" s="2" t="inlineStr">
        <is>
          <t>코넥스</t>
        </is>
      </c>
      <c r="D367" s="2" t="inlineStr">
        <is>
          <t>229500</t>
        </is>
      </c>
      <c r="E367" s="9" t="inlineStr">
        <is>
          <t>유상증자</t>
        </is>
      </c>
      <c r="F367" s="3" t="inlineStr">
        <is>
          <t>주요사항보고서(유상증자결정) (정정: 20260625)</t>
        </is>
      </c>
      <c r="G367" s="5" t="n">
        <v>1049978</v>
      </c>
      <c r="H367" s="5" t="n">
        <v>7050</v>
      </c>
      <c r="I367" s="2" t="inlineStr">
        <is>
          <t>보통주식</t>
        </is>
      </c>
      <c r="J367" s="6" t="n">
        <v>297866</v>
      </c>
      <c r="K367" s="2" t="inlineStr">
        <is>
          <t>2026-06-25</t>
        </is>
      </c>
      <c r="L367" s="2" t="inlineStr">
        <is>
          <t>2026-07-14</t>
        </is>
      </c>
      <c r="M367" s="2" t="inlineStr">
        <is>
          <t>-</t>
        </is>
      </c>
      <c r="N367" s="2" t="inlineStr">
        <is>
          <t>-</t>
        </is>
      </c>
      <c r="O367" s="10" t="n">
        <v>2.31954793010254</v>
      </c>
      <c r="P367" s="7" t="inlineStr">
        <is>
          <t>운영자금 (1,049,978원)</t>
        </is>
      </c>
      <c r="Q367" s="2" t="inlineStr">
        <is>
          <t>-</t>
        </is>
      </c>
      <c r="R367" s="2" t="inlineStr">
        <is>
          <t>-</t>
        </is>
      </c>
      <c r="S367" s="2" t="inlineStr">
        <is>
          <t>20260625000489</t>
        </is>
      </c>
      <c r="T367" s="8">
        <f>HYPERLINK("https://dart.fss.or.kr/dsaf001/main.do?rcpNo=20260625000489", "공시열람")</f>
        <v/>
      </c>
    </row>
    <row r="368" ht="36" customHeight="1">
      <c r="A368" s="2" t="inlineStr">
        <is>
          <t>2026-06-17</t>
        </is>
      </c>
      <c r="B368" s="3" t="inlineStr">
        <is>
          <t>모아라이프플러스</t>
        </is>
      </c>
      <c r="C368" s="2" t="inlineStr">
        <is>
          <t>코스닥</t>
        </is>
      </c>
      <c r="D368" s="2" t="inlineStr">
        <is>
          <t>142760</t>
        </is>
      </c>
      <c r="E368" s="11" t="inlineStr">
        <is>
          <t>전환사채(CB)</t>
        </is>
      </c>
      <c r="F368" s="3" t="inlineStr">
        <is>
          <t>[첨부정정]주요사항보고서(전환사채권발행결정)</t>
        </is>
      </c>
      <c r="G368" s="5" t="inlineStr"/>
      <c r="H368" s="5" t="inlineStr"/>
      <c r="I368" s="2" t="inlineStr">
        <is>
          <t>-</t>
        </is>
      </c>
      <c r="J368" s="6" t="inlineStr"/>
      <c r="K368" s="2" t="inlineStr">
        <is>
          <t>-</t>
        </is>
      </c>
      <c r="L368" s="2" t="inlineStr">
        <is>
          <t>-</t>
        </is>
      </c>
      <c r="M368" s="2" t="inlineStr">
        <is>
          <t>-</t>
        </is>
      </c>
      <c r="N368" s="2" t="inlineStr">
        <is>
          <t>-</t>
        </is>
      </c>
      <c r="O368" s="3" t="inlineStr"/>
      <c r="P368" s="7" t="inlineStr">
        <is>
          <t>-</t>
        </is>
      </c>
      <c r="Q368" s="2" t="inlineStr">
        <is>
          <t>-</t>
        </is>
      </c>
      <c r="R368" s="2" t="inlineStr">
        <is>
          <t>-</t>
        </is>
      </c>
      <c r="S368" s="2" t="inlineStr">
        <is>
          <t>20260617000411</t>
        </is>
      </c>
      <c r="T368" s="8">
        <f>HYPERLINK("https://dart.fss.or.kr/dsaf001/main.do?rcpNo=20260617000411", "공시열람")</f>
        <v/>
      </c>
    </row>
    <row r="369" ht="36" customHeight="1">
      <c r="A369" s="2" t="inlineStr">
        <is>
          <t>2026-06-17</t>
        </is>
      </c>
      <c r="B369" s="3" t="inlineStr">
        <is>
          <t>KBI메탈</t>
        </is>
      </c>
      <c r="C369" s="2" t="inlineStr">
        <is>
          <t>코스닥</t>
        </is>
      </c>
      <c r="D369" s="2" t="inlineStr">
        <is>
          <t>024840</t>
        </is>
      </c>
      <c r="E369" s="11" t="inlineStr">
        <is>
          <t>전환사채(CB)</t>
        </is>
      </c>
      <c r="F369" s="3" t="inlineStr">
        <is>
          <t>주요사항보고서(전환사채권발행결정)</t>
        </is>
      </c>
      <c r="G369" s="5" t="n">
        <v>40000000000</v>
      </c>
      <c r="H369" s="5" t="n">
        <v>5140</v>
      </c>
      <c r="I369" s="2" t="inlineStr">
        <is>
          <t>케이비아이메탈 주식회사 기명식 보통주</t>
        </is>
      </c>
      <c r="J369" s="6" t="n">
        <v>7782101</v>
      </c>
      <c r="K369" s="2" t="inlineStr">
        <is>
          <t>2026년 06월 25일</t>
        </is>
      </c>
      <c r="L369" s="2" t="inlineStr">
        <is>
          <t>-</t>
        </is>
      </c>
      <c r="M369" s="2" t="inlineStr">
        <is>
          <t>2027-06-25</t>
        </is>
      </c>
      <c r="N369" s="2" t="inlineStr">
        <is>
          <t>2031-05-25</t>
        </is>
      </c>
      <c r="O369" s="10" t="n">
        <v>15.78</v>
      </c>
      <c r="P369" s="7" t="inlineStr">
        <is>
          <t>-</t>
        </is>
      </c>
      <c r="Q369" s="2" t="inlineStr">
        <is>
          <t>2027-06-25</t>
        </is>
      </c>
      <c r="R369" s="2" t="inlineStr">
        <is>
          <t>2028-06-25</t>
        </is>
      </c>
      <c r="S369" s="2" t="inlineStr">
        <is>
          <t>20260617000357</t>
        </is>
      </c>
      <c r="T369" s="8">
        <f>HYPERLINK("https://dart.fss.or.kr/dsaf001/main.do?rcpNo=20260617000357", "공시열람")</f>
        <v/>
      </c>
    </row>
    <row r="370" ht="36" customHeight="1">
      <c r="A370" s="2" t="inlineStr">
        <is>
          <t>2026-06-17</t>
        </is>
      </c>
      <c r="B370" s="3" t="inlineStr">
        <is>
          <t>앤디포스</t>
        </is>
      </c>
      <c r="C370" s="2" t="inlineStr">
        <is>
          <t>코스닥</t>
        </is>
      </c>
      <c r="D370" s="2" t="inlineStr">
        <is>
          <t>238090</t>
        </is>
      </c>
      <c r="E370" s="11" t="inlineStr">
        <is>
          <t>전환사채(CB)</t>
        </is>
      </c>
      <c r="F370" s="3" t="inlineStr">
        <is>
          <t>주요사항보고서(전환사채권발행결정)</t>
        </is>
      </c>
      <c r="G370" s="5" t="n">
        <v>20000000000</v>
      </c>
      <c r="H370" s="5" t="n">
        <v>2633</v>
      </c>
      <c r="I370" s="2" t="inlineStr">
        <is>
          <t>주식회사 앤디포스 기명식 보통주</t>
        </is>
      </c>
      <c r="J370" s="6" t="n">
        <v>7595898</v>
      </c>
      <c r="K370" s="2" t="inlineStr">
        <is>
          <t>2026년 06월 25일</t>
        </is>
      </c>
      <c r="L370" s="2" t="inlineStr">
        <is>
          <t>-</t>
        </is>
      </c>
      <c r="M370" s="2" t="inlineStr">
        <is>
          <t>2027-06-25</t>
        </is>
      </c>
      <c r="N370" s="2" t="inlineStr">
        <is>
          <t>2029-05-25</t>
        </is>
      </c>
      <c r="O370" s="10" t="n">
        <v>20.36</v>
      </c>
      <c r="P370" s="7" t="inlineStr">
        <is>
          <t>-</t>
        </is>
      </c>
      <c r="Q370" s="2" t="inlineStr">
        <is>
          <t>-</t>
        </is>
      </c>
      <c r="R370" s="2" t="inlineStr">
        <is>
          <t>2027-04-26</t>
        </is>
      </c>
      <c r="S370" s="2" t="inlineStr">
        <is>
          <t>20260617000378</t>
        </is>
      </c>
      <c r="T370" s="8">
        <f>HYPERLINK("https://dart.fss.or.kr/dsaf001/main.do?rcpNo=20260617000378", "공시열람")</f>
        <v/>
      </c>
    </row>
    <row r="371" ht="36" customHeight="1">
      <c r="A371" s="2" t="inlineStr">
        <is>
          <t>2026-04-09 (정정: 2026-06-17)</t>
        </is>
      </c>
      <c r="B371" s="3" t="inlineStr">
        <is>
          <t>피엠티</t>
        </is>
      </c>
      <c r="C371" s="2" t="inlineStr">
        <is>
          <t>코스닥</t>
        </is>
      </c>
      <c r="D371" s="2" t="inlineStr">
        <is>
          <t>147760</t>
        </is>
      </c>
      <c r="E371" s="9" t="inlineStr">
        <is>
          <t>유상증자</t>
        </is>
      </c>
      <c r="F371" s="3" t="inlineStr">
        <is>
          <t>[기재정정]주요사항보고서(유상증자결정)</t>
        </is>
      </c>
      <c r="G371" s="5" t="n">
        <v>37592648730</v>
      </c>
      <c r="H371" s="5" t="n">
        <v>4095</v>
      </c>
      <c r="I371" s="2" t="inlineStr">
        <is>
          <t>보통주식</t>
        </is>
      </c>
      <c r="J371" s="6" t="n">
        <v>9180134</v>
      </c>
      <c r="K371" s="2" t="inlineStr">
        <is>
          <t>2026-06-29</t>
        </is>
      </c>
      <c r="L371" s="2" t="inlineStr">
        <is>
          <t>2026-07-10</t>
        </is>
      </c>
      <c r="M371" s="2" t="inlineStr">
        <is>
          <t>-</t>
        </is>
      </c>
      <c r="N371" s="2" t="inlineStr">
        <is>
          <t>-</t>
        </is>
      </c>
      <c r="O371" s="10" t="n">
        <v>84.84517275907115</v>
      </c>
      <c r="P371" s="7" t="inlineStr">
        <is>
          <t>시설자금 (375.9억원)</t>
        </is>
      </c>
      <c r="Q371" s="2" t="inlineStr">
        <is>
          <t>-</t>
        </is>
      </c>
      <c r="R371" s="2" t="inlineStr">
        <is>
          <t>-</t>
        </is>
      </c>
      <c r="S371" s="2" t="inlineStr">
        <is>
          <t>20260617000192</t>
        </is>
      </c>
      <c r="T371" s="8">
        <f>HYPERLINK("https://dart.fss.or.kr/dsaf001/main.do?rcpNo=20260617000192", "공시열람")</f>
        <v/>
      </c>
    </row>
    <row r="372" ht="36" customHeight="1">
      <c r="A372" s="2" t="inlineStr">
        <is>
          <t>2026-05-15 (정정: 2026-06-17)</t>
        </is>
      </c>
      <c r="B372" s="3" t="inlineStr">
        <is>
          <t>LB세미콘</t>
        </is>
      </c>
      <c r="C372" s="2" t="inlineStr">
        <is>
          <t>코스닥</t>
        </is>
      </c>
      <c r="D372" s="2" t="inlineStr">
        <is>
          <t>061970</t>
        </is>
      </c>
      <c r="E372" s="9" t="inlineStr">
        <is>
          <t>유상증자</t>
        </is>
      </c>
      <c r="F372" s="3" t="inlineStr">
        <is>
          <t>[기재정정]주요사항보고서(유상증자결정)</t>
        </is>
      </c>
      <c r="G372" s="5" t="n">
        <v>49500000000</v>
      </c>
      <c r="H372" s="5" t="inlineStr"/>
      <c r="I372" s="2" t="inlineStr">
        <is>
          <t>보통주식</t>
        </is>
      </c>
      <c r="J372" s="6" t="n">
        <v>12000000</v>
      </c>
      <c r="K372" s="2" t="inlineStr">
        <is>
          <t>2026-08-06</t>
        </is>
      </c>
      <c r="L372" s="2" t="inlineStr">
        <is>
          <t>2026-08-21</t>
        </is>
      </c>
      <c r="M372" s="2" t="inlineStr">
        <is>
          <t>-</t>
        </is>
      </c>
      <c r="N372" s="2" t="inlineStr">
        <is>
          <t>-</t>
        </is>
      </c>
      <c r="O372" s="10" t="n">
        <v>20.66008773719459</v>
      </c>
      <c r="P372" s="7" t="inlineStr">
        <is>
          <t>운영자금 (195.0억원), 시설자금 (300.0억원)</t>
        </is>
      </c>
      <c r="Q372" s="2" t="inlineStr">
        <is>
          <t>-</t>
        </is>
      </c>
      <c r="R372" s="2" t="inlineStr">
        <is>
          <t>-</t>
        </is>
      </c>
      <c r="S372" s="2" t="inlineStr">
        <is>
          <t>20260617000172</t>
        </is>
      </c>
      <c r="T372" s="8">
        <f>HYPERLINK("https://dart.fss.or.kr/dsaf001/main.do?rcpNo=20260617000172", "공시열람")</f>
        <v/>
      </c>
    </row>
    <row r="373" ht="36" customHeight="1">
      <c r="A373" s="2" t="inlineStr">
        <is>
          <t>2026-06-18</t>
        </is>
      </c>
      <c r="B373" s="3" t="inlineStr">
        <is>
          <t>넥써쓰</t>
        </is>
      </c>
      <c r="C373" s="2" t="inlineStr">
        <is>
          <t>코스닥</t>
        </is>
      </c>
      <c r="D373" s="2" t="inlineStr">
        <is>
          <t>205500</t>
        </is>
      </c>
      <c r="E373" s="9" t="inlineStr">
        <is>
          <t>유상증자</t>
        </is>
      </c>
      <c r="F373" s="3" t="inlineStr">
        <is>
          <t>주요사항보고서(유상증자결정)</t>
        </is>
      </c>
      <c r="G373" s="5" t="n">
        <v>39495112400</v>
      </c>
      <c r="H373" s="5" t="n">
        <v>2300</v>
      </c>
      <c r="I373" s="2" t="inlineStr">
        <is>
          <t>보통주식</t>
        </is>
      </c>
      <c r="J373" s="6" t="n">
        <v>17171788</v>
      </c>
      <c r="K373" s="2" t="inlineStr">
        <is>
          <t>2026-06-26</t>
        </is>
      </c>
      <c r="L373" s="2" t="inlineStr">
        <is>
          <t>2026-07-15</t>
        </is>
      </c>
      <c r="M373" s="2" t="inlineStr">
        <is>
          <t>-</t>
        </is>
      </c>
      <c r="N373" s="2" t="inlineStr">
        <is>
          <t>-</t>
        </is>
      </c>
      <c r="O373" s="10" t="n">
        <v>26.78400530920069</v>
      </c>
      <c r="P373" s="7" t="inlineStr">
        <is>
          <t>타법인증권취득자금 (395.0억원)</t>
        </is>
      </c>
      <c r="Q373" s="2" t="inlineStr">
        <is>
          <t>-</t>
        </is>
      </c>
      <c r="R373" s="2" t="inlineStr">
        <is>
          <t>-</t>
        </is>
      </c>
      <c r="S373" s="2" t="inlineStr">
        <is>
          <t>20260618000403</t>
        </is>
      </c>
      <c r="T373" s="8">
        <f>HYPERLINK("https://dart.fss.or.kr/dsaf001/main.do?rcpNo=20260618000403", "공시열람")</f>
        <v/>
      </c>
    </row>
    <row r="374" ht="36" customHeight="1">
      <c r="A374" s="2" t="inlineStr">
        <is>
          <t>2026-06-18 (정정: 2026-06-18)</t>
        </is>
      </c>
      <c r="B374" s="3" t="inlineStr">
        <is>
          <t>테라사이언스</t>
        </is>
      </c>
      <c r="C374" s="2" t="inlineStr">
        <is>
          <t>코스닥</t>
        </is>
      </c>
      <c r="D374" s="2" t="inlineStr">
        <is>
          <t>073640</t>
        </is>
      </c>
      <c r="E374" s="9" t="inlineStr">
        <is>
          <t>유상증자</t>
        </is>
      </c>
      <c r="F374" s="3" t="inlineStr">
        <is>
          <t>주요사항보고서(유상증자결정) (정정: 20260618)</t>
        </is>
      </c>
      <c r="G374" s="5" t="n">
        <v>2500</v>
      </c>
      <c r="H374" s="5" t="n">
        <v>100</v>
      </c>
      <c r="I374" s="2" t="inlineStr">
        <is>
          <t>보통주식</t>
        </is>
      </c>
      <c r="J374" s="6" t="n">
        <v>25000000</v>
      </c>
      <c r="K374" s="2" t="inlineStr">
        <is>
          <t>2026-07-02</t>
        </is>
      </c>
      <c r="L374" s="2" t="inlineStr">
        <is>
          <t>2026-07-28</t>
        </is>
      </c>
      <c r="M374" s="2" t="inlineStr">
        <is>
          <t>-</t>
        </is>
      </c>
      <c r="N374" s="2" t="inlineStr">
        <is>
          <t>-</t>
        </is>
      </c>
      <c r="O374" s="10" t="n">
        <v>23.50092974378252</v>
      </c>
      <c r="P374" s="7" t="inlineStr">
        <is>
          <t>운영자금 (2,500원)</t>
        </is>
      </c>
      <c r="Q374" s="2" t="inlineStr">
        <is>
          <t>-</t>
        </is>
      </c>
      <c r="R374" s="2" t="inlineStr">
        <is>
          <t>-</t>
        </is>
      </c>
      <c r="S374" s="2" t="inlineStr">
        <is>
          <t>20260618000321</t>
        </is>
      </c>
      <c r="T374" s="8">
        <f>HYPERLINK("https://dart.fss.or.kr/dsaf001/main.do?rcpNo=20260618000321", "공시열람")</f>
        <v/>
      </c>
    </row>
    <row r="375" ht="36" customHeight="1">
      <c r="A375" s="2" t="inlineStr">
        <is>
          <t>2026-06-18</t>
        </is>
      </c>
      <c r="B375" s="3" t="inlineStr">
        <is>
          <t>차AI헬스케어</t>
        </is>
      </c>
      <c r="C375" s="2" t="inlineStr">
        <is>
          <t>코스피</t>
        </is>
      </c>
      <c r="D375" s="2" t="inlineStr">
        <is>
          <t>025620</t>
        </is>
      </c>
      <c r="E375" s="11" t="inlineStr">
        <is>
          <t>전환사채(CB)</t>
        </is>
      </c>
      <c r="F375" s="3" t="inlineStr">
        <is>
          <t>[기재정정]주요사항보고서(전환사채권발행결정)</t>
        </is>
      </c>
      <c r="G375" s="5" t="inlineStr"/>
      <c r="H375" s="5" t="inlineStr"/>
      <c r="I375" s="2" t="inlineStr">
        <is>
          <t>-</t>
        </is>
      </c>
      <c r="J375" s="6" t="inlineStr"/>
      <c r="K375" s="2" t="inlineStr">
        <is>
          <t>-</t>
        </is>
      </c>
      <c r="L375" s="2" t="inlineStr">
        <is>
          <t>-</t>
        </is>
      </c>
      <c r="M375" s="2" t="inlineStr">
        <is>
          <t>2027-06-19</t>
        </is>
      </c>
      <c r="N375" s="2" t="inlineStr">
        <is>
          <t>2029-05-19</t>
        </is>
      </c>
      <c r="O375" s="3" t="inlineStr"/>
      <c r="P375" s="7" t="inlineStr">
        <is>
          <t>-</t>
        </is>
      </c>
      <c r="Q375" s="2" t="inlineStr">
        <is>
          <t>2025-03-27</t>
        </is>
      </c>
      <c r="R375" s="2" t="inlineStr">
        <is>
          <t>2027-04-19</t>
        </is>
      </c>
      <c r="S375" s="2" t="inlineStr">
        <is>
          <t>20260618000368</t>
        </is>
      </c>
      <c r="T375" s="8">
        <f>HYPERLINK("https://dart.fss.or.kr/dsaf001/main.do?rcpNo=20260618000368", "공시열람")</f>
        <v/>
      </c>
    </row>
    <row r="376" ht="36" customHeight="1">
      <c r="A376" s="2" t="inlineStr">
        <is>
          <t>2026-06-18</t>
        </is>
      </c>
      <c r="B376" s="3" t="inlineStr">
        <is>
          <t>넥써쓰</t>
        </is>
      </c>
      <c r="C376" s="2" t="inlineStr">
        <is>
          <t>코스닥</t>
        </is>
      </c>
      <c r="D376" s="2" t="inlineStr">
        <is>
          <t>205500</t>
        </is>
      </c>
      <c r="E376" s="11" t="inlineStr">
        <is>
          <t>전환사채(CB)</t>
        </is>
      </c>
      <c r="F376" s="3" t="inlineStr">
        <is>
          <t>주요사항보고서(전환사채권발행결정)</t>
        </is>
      </c>
      <c r="G376" s="5" t="n">
        <v>21200000000</v>
      </c>
      <c r="H376" s="5" t="n">
        <v>2524</v>
      </c>
      <c r="I376" s="2" t="inlineStr">
        <is>
          <t>기명식 보통주식</t>
        </is>
      </c>
      <c r="J376" s="6" t="n">
        <v>8399366</v>
      </c>
      <c r="K376" s="2" t="inlineStr">
        <is>
          <t>2026년 06월 26일</t>
        </is>
      </c>
      <c r="L376" s="2" t="inlineStr">
        <is>
          <t>-</t>
        </is>
      </c>
      <c r="M376" s="2" t="inlineStr">
        <is>
          <t>2027-06-26</t>
        </is>
      </c>
      <c r="N376" s="2" t="inlineStr">
        <is>
          <t>2031-05-26</t>
        </is>
      </c>
      <c r="O376" s="10" t="n">
        <v>13.1</v>
      </c>
      <c r="P376" s="7" t="inlineStr">
        <is>
          <t>-</t>
        </is>
      </c>
      <c r="Q376" s="2" t="inlineStr">
        <is>
          <t>-</t>
        </is>
      </c>
      <c r="R376" s="2" t="inlineStr">
        <is>
          <t>2027-10-27</t>
        </is>
      </c>
      <c r="S376" s="2" t="inlineStr">
        <is>
          <t>20260618000359</t>
        </is>
      </c>
      <c r="T376" s="8">
        <f>HYPERLINK("https://dart.fss.or.kr/dsaf001/main.do?rcpNo=20260618000359", "공시열람")</f>
        <v/>
      </c>
    </row>
    <row r="377" ht="36" customHeight="1">
      <c r="A377" s="2" t="inlineStr">
        <is>
          <t>2026-06-18</t>
        </is>
      </c>
      <c r="B377" s="3" t="inlineStr">
        <is>
          <t>차AI헬스케어</t>
        </is>
      </c>
      <c r="C377" s="2" t="inlineStr">
        <is>
          <t>코스피</t>
        </is>
      </c>
      <c r="D377" s="2" t="inlineStr">
        <is>
          <t>025620</t>
        </is>
      </c>
      <c r="E377" s="11" t="inlineStr">
        <is>
          <t>전환사채(CB)</t>
        </is>
      </c>
      <c r="F377" s="3" t="inlineStr">
        <is>
          <t>[기재정정]주요사항보고서(전환사채권발행결정)</t>
        </is>
      </c>
      <c r="G377" s="5" t="inlineStr"/>
      <c r="H377" s="5" t="inlineStr"/>
      <c r="I377" s="2" t="inlineStr">
        <is>
          <t>-</t>
        </is>
      </c>
      <c r="J377" s="6" t="inlineStr"/>
      <c r="K377" s="2" t="inlineStr">
        <is>
          <t>-</t>
        </is>
      </c>
      <c r="L377" s="2" t="inlineStr">
        <is>
          <t>-</t>
        </is>
      </c>
      <c r="M377" s="2" t="inlineStr">
        <is>
          <t>2027-06-19</t>
        </is>
      </c>
      <c r="N377" s="2" t="inlineStr">
        <is>
          <t>2029-05-19</t>
        </is>
      </c>
      <c r="O377" s="3" t="inlineStr"/>
      <c r="P377" s="7" t="inlineStr">
        <is>
          <t>-</t>
        </is>
      </c>
      <c r="Q377" s="2" t="inlineStr">
        <is>
          <t>2025-03-27</t>
        </is>
      </c>
      <c r="R377" s="2" t="inlineStr">
        <is>
          <t>2027-04-19</t>
        </is>
      </c>
      <c r="S377" s="2" t="inlineStr">
        <is>
          <t>20260618000325</t>
        </is>
      </c>
      <c r="T377" s="8">
        <f>HYPERLINK("https://dart.fss.or.kr/dsaf001/main.do?rcpNo=20260618000325", "공시열람")</f>
        <v/>
      </c>
    </row>
    <row r="378" ht="36" customHeight="1">
      <c r="A378" s="2" t="inlineStr">
        <is>
          <t>2026-05-13 (정정: 2026-06-18)</t>
        </is>
      </c>
      <c r="B378" s="3" t="inlineStr">
        <is>
          <t>HLB제약</t>
        </is>
      </c>
      <c r="C378" s="2" t="inlineStr">
        <is>
          <t>코스닥</t>
        </is>
      </c>
      <c r="D378" s="2" t="inlineStr">
        <is>
          <t>047920</t>
        </is>
      </c>
      <c r="E378" s="9" t="inlineStr">
        <is>
          <t>유상증자</t>
        </is>
      </c>
      <c r="F378" s="3" t="inlineStr">
        <is>
          <t>[기재정정]주요사항보고서(유상증자결정)</t>
        </is>
      </c>
      <c r="G378" s="5" t="n">
        <v>120000001800</v>
      </c>
      <c r="H378" s="5" t="inlineStr"/>
      <c r="I378" s="2" t="inlineStr">
        <is>
          <t>보통주식</t>
        </is>
      </c>
      <c r="J378" s="6" t="n">
        <v>10762332</v>
      </c>
      <c r="K378" s="2" t="inlineStr">
        <is>
          <t>2026-09-18</t>
        </is>
      </c>
      <c r="L378" s="2" t="inlineStr">
        <is>
          <t>2026-10-07</t>
        </is>
      </c>
      <c r="M378" s="2" t="inlineStr">
        <is>
          <t>-</t>
        </is>
      </c>
      <c r="N378" s="2" t="inlineStr">
        <is>
          <t>-</t>
        </is>
      </c>
      <c r="O378" s="10" t="n">
        <v>32.81263205289762</v>
      </c>
      <c r="P378" s="7" t="inlineStr">
        <is>
          <t>시설자금 (550.0억원), 운영자금 (500.0억원), 채무상환자금 (150.0억원)</t>
        </is>
      </c>
      <c r="Q378" s="2" t="inlineStr">
        <is>
          <t>-</t>
        </is>
      </c>
      <c r="R378" s="2" t="inlineStr">
        <is>
          <t>-</t>
        </is>
      </c>
      <c r="S378" s="2" t="inlineStr">
        <is>
          <t>20260618000270</t>
        </is>
      </c>
      <c r="T378" s="8">
        <f>HYPERLINK("https://dart.fss.or.kr/dsaf001/main.do?rcpNo=20260618000270", "공시열람")</f>
        <v/>
      </c>
    </row>
    <row r="379" ht="36" customHeight="1">
      <c r="A379" s="2" t="inlineStr">
        <is>
          <t>2026-06-18</t>
        </is>
      </c>
      <c r="B379" s="3" t="inlineStr">
        <is>
          <t>SG</t>
        </is>
      </c>
      <c r="C379" s="2" t="inlineStr">
        <is>
          <t>코스닥</t>
        </is>
      </c>
      <c r="D379" s="2" t="inlineStr">
        <is>
          <t>255220</t>
        </is>
      </c>
      <c r="E379" s="9" t="inlineStr">
        <is>
          <t>유상증자</t>
        </is>
      </c>
      <c r="F379" s="3" t="inlineStr">
        <is>
          <t>주요사항보고서(유상증자결정)</t>
        </is>
      </c>
      <c r="G379" s="5" t="n">
        <v>60967000000</v>
      </c>
      <c r="H379" s="5" t="inlineStr"/>
      <c r="I379" s="2" t="inlineStr">
        <is>
          <t>보통주식</t>
        </is>
      </c>
      <c r="J379" s="6" t="n">
        <v>41000000</v>
      </c>
      <c r="K379" s="2" t="inlineStr">
        <is>
          <t>2026-09-11</t>
        </is>
      </c>
      <c r="L379" s="2" t="inlineStr">
        <is>
          <t>2026-09-29</t>
        </is>
      </c>
      <c r="M379" s="2" t="inlineStr">
        <is>
          <t>-</t>
        </is>
      </c>
      <c r="N379" s="2" t="inlineStr">
        <is>
          <t>-</t>
        </is>
      </c>
      <c r="O379" s="10" t="n">
        <v>37.42128911010732</v>
      </c>
      <c r="P379" s="7" t="inlineStr">
        <is>
          <t>시설자금 (150.0억원), 운영자금 (200.0억원), 채무상환자금 (159.7억원), 타법인증권취득자금 (100.0억원)</t>
        </is>
      </c>
      <c r="Q379" s="2" t="inlineStr">
        <is>
          <t>-</t>
        </is>
      </c>
      <c r="R379" s="2" t="inlineStr">
        <is>
          <t>-</t>
        </is>
      </c>
      <c r="S379" s="2" t="inlineStr">
        <is>
          <t>20260618000225</t>
        </is>
      </c>
      <c r="T379" s="8">
        <f>HYPERLINK("https://dart.fss.or.kr/dsaf001/main.do?rcpNo=20260618000225", "공시열람")</f>
        <v/>
      </c>
    </row>
    <row r="380" ht="36" customHeight="1">
      <c r="A380" s="2" t="inlineStr">
        <is>
          <t>2026-06-18</t>
        </is>
      </c>
      <c r="B380" s="3" t="inlineStr">
        <is>
          <t>차AI헬스케어</t>
        </is>
      </c>
      <c r="C380" s="2" t="inlineStr">
        <is>
          <t>코스피</t>
        </is>
      </c>
      <c r="D380" s="2" t="inlineStr">
        <is>
          <t>025620</t>
        </is>
      </c>
      <c r="E380" s="11" t="inlineStr">
        <is>
          <t>전환사채(CB)</t>
        </is>
      </c>
      <c r="F380" s="3" t="inlineStr">
        <is>
          <t>[기재정정]주요사항보고서(전환사채권발행결정)</t>
        </is>
      </c>
      <c r="G380" s="5" t="inlineStr"/>
      <c r="H380" s="5" t="inlineStr"/>
      <c r="I380" s="2" t="inlineStr">
        <is>
          <t>-</t>
        </is>
      </c>
      <c r="J380" s="6" t="inlineStr"/>
      <c r="K380" s="2" t="inlineStr">
        <is>
          <t>-</t>
        </is>
      </c>
      <c r="L380" s="2" t="inlineStr">
        <is>
          <t>-</t>
        </is>
      </c>
      <c r="M380" s="2" t="inlineStr">
        <is>
          <t>2027-06-19</t>
        </is>
      </c>
      <c r="N380" s="2" t="inlineStr">
        <is>
          <t>2029-05-19</t>
        </is>
      </c>
      <c r="O380" s="3" t="inlineStr"/>
      <c r="P380" s="7" t="inlineStr">
        <is>
          <t>-</t>
        </is>
      </c>
      <c r="Q380" s="2" t="inlineStr">
        <is>
          <t>2025-03-27</t>
        </is>
      </c>
      <c r="R380" s="2" t="inlineStr">
        <is>
          <t>2027-04-19</t>
        </is>
      </c>
      <c r="S380" s="2" t="inlineStr">
        <is>
          <t>20260618000299</t>
        </is>
      </c>
      <c r="T380" s="8">
        <f>HYPERLINK("https://dart.fss.or.kr/dsaf001/main.do?rcpNo=20260618000299", "공시열람")</f>
        <v/>
      </c>
    </row>
    <row r="381" ht="36" customHeight="1">
      <c r="A381" s="2" t="inlineStr">
        <is>
          <t>2026-06-18</t>
        </is>
      </c>
      <c r="B381" s="3" t="inlineStr">
        <is>
          <t>차AI헬스케어</t>
        </is>
      </c>
      <c r="C381" s="2" t="inlineStr">
        <is>
          <t>코스피</t>
        </is>
      </c>
      <c r="D381" s="2" t="inlineStr">
        <is>
          <t>025620</t>
        </is>
      </c>
      <c r="E381" s="11" t="inlineStr">
        <is>
          <t>전환사채(CB)</t>
        </is>
      </c>
      <c r="F381" s="3" t="inlineStr">
        <is>
          <t>[기재정정]주요사항보고서(전환사채권발행결정)</t>
        </is>
      </c>
      <c r="G381" s="5" t="inlineStr"/>
      <c r="H381" s="5" t="inlineStr"/>
      <c r="I381" s="2" t="inlineStr">
        <is>
          <t>-</t>
        </is>
      </c>
      <c r="J381" s="6" t="inlineStr"/>
      <c r="K381" s="2" t="inlineStr">
        <is>
          <t>-</t>
        </is>
      </c>
      <c r="L381" s="2" t="inlineStr">
        <is>
          <t>-</t>
        </is>
      </c>
      <c r="M381" s="2" t="inlineStr">
        <is>
          <t>2027-06-19</t>
        </is>
      </c>
      <c r="N381" s="2" t="inlineStr">
        <is>
          <t>2029-05-19</t>
        </is>
      </c>
      <c r="O381" s="3" t="inlineStr"/>
      <c r="P381" s="7" t="inlineStr">
        <is>
          <t>-</t>
        </is>
      </c>
      <c r="Q381" s="2" t="inlineStr">
        <is>
          <t>2025-03-27</t>
        </is>
      </c>
      <c r="R381" s="2" t="inlineStr">
        <is>
          <t>2027-04-19</t>
        </is>
      </c>
      <c r="S381" s="2" t="inlineStr">
        <is>
          <t>20260618000227</t>
        </is>
      </c>
      <c r="T381" s="8">
        <f>HYPERLINK("https://dart.fss.or.kr/dsaf001/main.do?rcpNo=20260618000227", "공시열람")</f>
        <v/>
      </c>
    </row>
    <row r="382" ht="36" customHeight="1">
      <c r="A382" s="2" t="inlineStr">
        <is>
          <t>2026-06-18</t>
        </is>
      </c>
      <c r="B382" s="3" t="inlineStr">
        <is>
          <t>삼양사</t>
        </is>
      </c>
      <c r="C382" s="2" t="inlineStr">
        <is>
          <t>코스피</t>
        </is>
      </c>
      <c r="D382" s="2" t="inlineStr">
        <is>
          <t>145990</t>
        </is>
      </c>
      <c r="E382" s="9" t="inlineStr">
        <is>
          <t>유상증자</t>
        </is>
      </c>
      <c r="F382" s="3" t="inlineStr">
        <is>
          <t xml:space="preserve">유상증자결정(종속회사의주요경영사항)              </t>
        </is>
      </c>
      <c r="G382" s="5" t="n">
        <v>254253897000</v>
      </c>
      <c r="H382" s="5" t="n">
        <v>9420</v>
      </c>
      <c r="I382" s="2" t="inlineStr">
        <is>
          <t>보통주식</t>
        </is>
      </c>
      <c r="J382" s="6" t="n">
        <v>26990000</v>
      </c>
      <c r="K382" s="2" t="inlineStr">
        <is>
          <t>2026-06-29</t>
        </is>
      </c>
      <c r="L382" s="2" t="inlineStr">
        <is>
          <t>-</t>
        </is>
      </c>
      <c r="M382" s="2" t="inlineStr">
        <is>
          <t>-</t>
        </is>
      </c>
      <c r="N382" s="2" t="inlineStr">
        <is>
          <t>-</t>
        </is>
      </c>
      <c r="O382" s="10" t="n">
        <v>269900</v>
      </c>
      <c r="P382" s="7" t="inlineStr">
        <is>
          <t>운영자금 (94.2억원), 타법인증권취득자금 (2448.3억원)</t>
        </is>
      </c>
      <c r="Q382" s="2" t="inlineStr">
        <is>
          <t>-</t>
        </is>
      </c>
      <c r="R382" s="2" t="inlineStr">
        <is>
          <t>-</t>
        </is>
      </c>
      <c r="S382" s="2" t="inlineStr">
        <is>
          <t>20260618800589</t>
        </is>
      </c>
      <c r="T382" s="8">
        <f>HYPERLINK("https://dart.fss.or.kr/dsaf001/main.do?rcpNo=20260618800589", "공시열람")</f>
        <v/>
      </c>
    </row>
    <row r="383" ht="36" customHeight="1">
      <c r="A383" s="2" t="inlineStr">
        <is>
          <t>2026-06-18</t>
        </is>
      </c>
      <c r="B383" s="3" t="inlineStr">
        <is>
          <t>이엔플러스</t>
        </is>
      </c>
      <c r="C383" s="2" t="inlineStr">
        <is>
          <t>코스피</t>
        </is>
      </c>
      <c r="D383" s="2" t="inlineStr">
        <is>
          <t>074610</t>
        </is>
      </c>
      <c r="E383" s="9" t="inlineStr">
        <is>
          <t>유상증자</t>
        </is>
      </c>
      <c r="F383" s="3" t="inlineStr">
        <is>
          <t>[기재정정]주요사항보고서(유상증자결정)</t>
        </is>
      </c>
      <c r="G383" s="5" t="n">
        <v>0</v>
      </c>
      <c r="H383" s="5" t="inlineStr"/>
      <c r="I383" s="2" t="inlineStr">
        <is>
          <t>보통주식</t>
        </is>
      </c>
      <c r="J383" s="6" t="n">
        <v>0</v>
      </c>
      <c r="K383" s="2" t="inlineStr">
        <is>
          <t>-</t>
        </is>
      </c>
      <c r="L383" s="2" t="inlineStr">
        <is>
          <t>-</t>
        </is>
      </c>
      <c r="M383" s="2" t="inlineStr">
        <is>
          <t>-</t>
        </is>
      </c>
      <c r="N383" s="2" t="inlineStr">
        <is>
          <t>-</t>
        </is>
      </c>
      <c r="O383" s="3" t="inlineStr"/>
      <c r="P383" s="7" t="inlineStr">
        <is>
          <t>-</t>
        </is>
      </c>
      <c r="Q383" s="2" t="inlineStr">
        <is>
          <t>-</t>
        </is>
      </c>
      <c r="R383" s="2" t="inlineStr">
        <is>
          <t>-</t>
        </is>
      </c>
      <c r="S383" s="2" t="inlineStr">
        <is>
          <t>20260618000199</t>
        </is>
      </c>
      <c r="T383" s="8">
        <f>HYPERLINK("https://dart.fss.or.kr/dsaf001/main.do?rcpNo=20260618000199", "공시열람")</f>
        <v/>
      </c>
    </row>
    <row r="384" ht="36" customHeight="1">
      <c r="A384" s="2" t="inlineStr">
        <is>
          <t>2026-06-18</t>
        </is>
      </c>
      <c r="B384" s="3" t="inlineStr">
        <is>
          <t>우성머티리얼스</t>
        </is>
      </c>
      <c r="C384" s="2" t="inlineStr">
        <is>
          <t>코스피</t>
        </is>
      </c>
      <c r="D384" s="2" t="inlineStr">
        <is>
          <t>011300</t>
        </is>
      </c>
      <c r="E384" s="9" t="inlineStr">
        <is>
          <t>유상증자</t>
        </is>
      </c>
      <c r="F384" s="3" t="inlineStr">
        <is>
          <t>[첨부정정]주요사항보고서(유상증자결정)</t>
        </is>
      </c>
      <c r="G384" s="5" t="n">
        <v>0</v>
      </c>
      <c r="H384" s="5" t="inlineStr"/>
      <c r="I384" s="2" t="inlineStr">
        <is>
          <t>보통주식</t>
        </is>
      </c>
      <c r="J384" s="6" t="n">
        <v>0</v>
      </c>
      <c r="K384" s="2" t="inlineStr">
        <is>
          <t>-</t>
        </is>
      </c>
      <c r="L384" s="2" t="inlineStr">
        <is>
          <t>-</t>
        </is>
      </c>
      <c r="M384" s="2" t="inlineStr">
        <is>
          <t>-</t>
        </is>
      </c>
      <c r="N384" s="2" t="inlineStr">
        <is>
          <t>-</t>
        </is>
      </c>
      <c r="O384" s="3" t="inlineStr"/>
      <c r="P384" s="7" t="inlineStr">
        <is>
          <t>-</t>
        </is>
      </c>
      <c r="Q384" s="2" t="inlineStr">
        <is>
          <t>-</t>
        </is>
      </c>
      <c r="R384" s="2" t="inlineStr">
        <is>
          <t>-</t>
        </is>
      </c>
      <c r="S384" s="2" t="inlineStr">
        <is>
          <t>20260618000063</t>
        </is>
      </c>
      <c r="T384" s="8">
        <f>HYPERLINK("https://dart.fss.or.kr/dsaf001/main.do?rcpNo=20260618000063", "공시열람")</f>
        <v/>
      </c>
    </row>
    <row r="385" ht="36" customHeight="1">
      <c r="A385" s="2" t="inlineStr">
        <is>
          <t>2026-06-18</t>
        </is>
      </c>
      <c r="B385" s="3" t="inlineStr">
        <is>
          <t>우성머티리얼스</t>
        </is>
      </c>
      <c r="C385" s="2" t="inlineStr">
        <is>
          <t>코스피</t>
        </is>
      </c>
      <c r="D385" s="2" t="inlineStr">
        <is>
          <t>011300</t>
        </is>
      </c>
      <c r="E385" s="9" t="inlineStr">
        <is>
          <t>유상증자</t>
        </is>
      </c>
      <c r="F385" s="3" t="inlineStr">
        <is>
          <t>[첨부정정]주요사항보고서(유상증자결정)</t>
        </is>
      </c>
      <c r="G385" s="5" t="n">
        <v>0</v>
      </c>
      <c r="H385" s="5" t="inlineStr"/>
      <c r="I385" s="2" t="inlineStr">
        <is>
          <t>보통주식</t>
        </is>
      </c>
      <c r="J385" s="6" t="n">
        <v>0</v>
      </c>
      <c r="K385" s="2" t="inlineStr">
        <is>
          <t>-</t>
        </is>
      </c>
      <c r="L385" s="2" t="inlineStr">
        <is>
          <t>-</t>
        </is>
      </c>
      <c r="M385" s="2" t="inlineStr">
        <is>
          <t>-</t>
        </is>
      </c>
      <c r="N385" s="2" t="inlineStr">
        <is>
          <t>-</t>
        </is>
      </c>
      <c r="O385" s="3" t="inlineStr"/>
      <c r="P385" s="7" t="inlineStr">
        <is>
          <t>-</t>
        </is>
      </c>
      <c r="Q385" s="2" t="inlineStr">
        <is>
          <t>-</t>
        </is>
      </c>
      <c r="R385" s="2" t="inlineStr">
        <is>
          <t>-</t>
        </is>
      </c>
      <c r="S385" s="2" t="inlineStr">
        <is>
          <t>20260618000059</t>
        </is>
      </c>
      <c r="T385" s="8">
        <f>HYPERLINK("https://dart.fss.or.kr/dsaf001/main.do?rcpNo=20260618000059", "공시열람")</f>
        <v/>
      </c>
    </row>
    <row r="386" ht="36" customHeight="1">
      <c r="A386" s="2" t="inlineStr">
        <is>
          <t>2026-06-18 (정정: 2026-06-18)</t>
        </is>
      </c>
      <c r="B386" s="3" t="inlineStr">
        <is>
          <t>우성머티리얼스</t>
        </is>
      </c>
      <c r="C386" s="2" t="inlineStr">
        <is>
          <t>코스피</t>
        </is>
      </c>
      <c r="D386" s="2" t="inlineStr">
        <is>
          <t>011300</t>
        </is>
      </c>
      <c r="E386" s="9" t="inlineStr">
        <is>
          <t>유상증자</t>
        </is>
      </c>
      <c r="F386" s="3" t="inlineStr">
        <is>
          <t>[첨부정정]주요사항보고서(유상증자결정) (정정: 20260618) (정정: 20260618)</t>
        </is>
      </c>
      <c r="G386" s="5" t="n">
        <v>5000000000</v>
      </c>
      <c r="H386" s="5" t="n">
        <v>4000</v>
      </c>
      <c r="I386" s="2" t="inlineStr">
        <is>
          <t>보통주식</t>
        </is>
      </c>
      <c r="J386" s="6" t="n">
        <v>1250000</v>
      </c>
      <c r="K386" s="2" t="inlineStr">
        <is>
          <t>2026-09-18</t>
        </is>
      </c>
      <c r="L386" s="2" t="inlineStr">
        <is>
          <t>2026-10-12</t>
        </is>
      </c>
      <c r="M386" s="2" t="inlineStr">
        <is>
          <t>-</t>
        </is>
      </c>
      <c r="N386" s="2" t="inlineStr">
        <is>
          <t>-</t>
        </is>
      </c>
      <c r="O386" s="10" t="n">
        <v>7.433364495979531</v>
      </c>
      <c r="P386" s="7" t="inlineStr">
        <is>
          <t>운영자금 (50.0억원)</t>
        </is>
      </c>
      <c r="Q386" s="2" t="inlineStr">
        <is>
          <t>-</t>
        </is>
      </c>
      <c r="R386" s="2" t="inlineStr">
        <is>
          <t>-</t>
        </is>
      </c>
      <c r="S386" s="2" t="inlineStr">
        <is>
          <t>20260617000512</t>
        </is>
      </c>
      <c r="T386" s="8">
        <f>HYPERLINK("https://dart.fss.or.kr/dsaf001/main.do?rcpNo=20260617000512", "공시열람")</f>
        <v/>
      </c>
    </row>
    <row r="387" ht="36" customHeight="1">
      <c r="A387" s="2" t="inlineStr">
        <is>
          <t>2025-10-23 (정정: 2026-06-19)</t>
        </is>
      </c>
      <c r="B387" s="3" t="inlineStr">
        <is>
          <t>HEM파마</t>
        </is>
      </c>
      <c r="C387" s="2" t="inlineStr">
        <is>
          <t>코스닥</t>
        </is>
      </c>
      <c r="D387" s="2" t="inlineStr">
        <is>
          <t>376270</t>
        </is>
      </c>
      <c r="E387" s="11" t="inlineStr">
        <is>
          <t>전환사채(CB)</t>
        </is>
      </c>
      <c r="F387" s="3" t="inlineStr">
        <is>
          <t>[기재정정]주요사항보고서(전환사채권발행결정)</t>
        </is>
      </c>
      <c r="G387" s="5" t="inlineStr"/>
      <c r="H387" s="5" t="inlineStr"/>
      <c r="I387" s="2" t="inlineStr">
        <is>
          <t>-</t>
        </is>
      </c>
      <c r="J387" s="6" t="inlineStr"/>
      <c r="K387" s="2" t="inlineStr">
        <is>
          <t>-</t>
        </is>
      </c>
      <c r="L387" s="2" t="inlineStr">
        <is>
          <t>-</t>
        </is>
      </c>
      <c r="M387" s="2" t="inlineStr">
        <is>
          <t>2026-10-30</t>
        </is>
      </c>
      <c r="N387" s="2" t="inlineStr">
        <is>
          <t>2030-09-30</t>
        </is>
      </c>
      <c r="O387" s="3" t="inlineStr"/>
      <c r="P387" s="7" t="inlineStr">
        <is>
          <t>-</t>
        </is>
      </c>
      <c r="Q387" s="2" t="inlineStr">
        <is>
          <t>2026-10-10</t>
        </is>
      </c>
      <c r="R387" s="2" t="inlineStr">
        <is>
          <t>2027-08-31</t>
        </is>
      </c>
      <c r="S387" s="2" t="inlineStr">
        <is>
          <t>20260619000658</t>
        </is>
      </c>
      <c r="T387" s="8">
        <f>HYPERLINK("https://dart.fss.or.kr/dsaf001/main.do?rcpNo=20260619000658", "공시열람")</f>
        <v/>
      </c>
    </row>
    <row r="388" ht="36" customHeight="1">
      <c r="A388" s="2" t="inlineStr">
        <is>
          <t>2026-06-19</t>
        </is>
      </c>
      <c r="B388" s="3" t="inlineStr">
        <is>
          <t>디에스엠</t>
        </is>
      </c>
      <c r="C388" s="2" t="inlineStr">
        <is>
          <t>코스닥</t>
        </is>
      </c>
      <c r="D388" s="2" t="inlineStr">
        <is>
          <t>104040</t>
        </is>
      </c>
      <c r="E388" s="11" t="inlineStr">
        <is>
          <t>전환사채(CB)</t>
        </is>
      </c>
      <c r="F388" s="3" t="inlineStr">
        <is>
          <t>주요사항보고서(전환사채권발행결정)</t>
        </is>
      </c>
      <c r="G388" s="5" t="n">
        <v>10000000000</v>
      </c>
      <c r="H388" s="5" t="n">
        <v>2011</v>
      </c>
      <c r="I388" s="2" t="inlineStr">
        <is>
          <t>주식회사 디에스엠 기명식 보통주</t>
        </is>
      </c>
      <c r="J388" s="6" t="n">
        <v>4972650</v>
      </c>
      <c r="K388" s="2" t="inlineStr">
        <is>
          <t>2026년 06월 29일</t>
        </is>
      </c>
      <c r="L388" s="2" t="inlineStr">
        <is>
          <t>-</t>
        </is>
      </c>
      <c r="M388" s="2" t="inlineStr">
        <is>
          <t>2027-06-29</t>
        </is>
      </c>
      <c r="N388" s="2" t="inlineStr">
        <is>
          <t>2031-05-29</t>
        </is>
      </c>
      <c r="O388" s="10" t="n">
        <v>15.64</v>
      </c>
      <c r="P388" s="7" t="inlineStr">
        <is>
          <t>-</t>
        </is>
      </c>
      <c r="Q388" s="2" t="inlineStr">
        <is>
          <t>2027-06-29</t>
        </is>
      </c>
      <c r="R388" s="2" t="inlineStr">
        <is>
          <t>2028-06-29</t>
        </is>
      </c>
      <c r="S388" s="2" t="inlineStr">
        <is>
          <t>20260619000665</t>
        </is>
      </c>
      <c r="T388" s="8">
        <f>HYPERLINK("https://dart.fss.or.kr/dsaf001/main.do?rcpNo=20260619000665", "공시열람")</f>
        <v/>
      </c>
    </row>
    <row r="389" ht="36" customHeight="1">
      <c r="A389" s="2" t="inlineStr">
        <is>
          <t>2026-06-19 (정정: 2026-06-24)</t>
        </is>
      </c>
      <c r="B389" s="3" t="inlineStr">
        <is>
          <t>SK시그넷</t>
        </is>
      </c>
      <c r="C389" s="2" t="inlineStr">
        <is>
          <t>코넥스</t>
        </is>
      </c>
      <c r="D389" s="2" t="inlineStr">
        <is>
          <t>260870</t>
        </is>
      </c>
      <c r="E389" s="9" t="inlineStr">
        <is>
          <t>유상증자</t>
        </is>
      </c>
      <c r="F389" s="3" t="inlineStr">
        <is>
          <t>주요사항보고서(유상증자결정) (정정: 20260624)</t>
        </is>
      </c>
      <c r="G389" s="5" t="n">
        <v>69999</v>
      </c>
      <c r="H389" s="5" t="inlineStr"/>
      <c r="I389" s="2" t="inlineStr">
        <is>
          <t>보통주식</t>
        </is>
      </c>
      <c r="J389" s="6" t="n">
        <v>9856378</v>
      </c>
      <c r="K389" s="2" t="inlineStr">
        <is>
          <t>2026-06-29</t>
        </is>
      </c>
      <c r="L389" s="2" t="inlineStr">
        <is>
          <t>-</t>
        </is>
      </c>
      <c r="M389" s="2" t="inlineStr">
        <is>
          <t>-</t>
        </is>
      </c>
      <c r="N389" s="2" t="inlineStr">
        <is>
          <t>-</t>
        </is>
      </c>
      <c r="O389" s="10" t="n">
        <v>45.47401637490855</v>
      </c>
      <c r="P389" s="7" t="inlineStr">
        <is>
          <t>운영자금 (69,999원)</t>
        </is>
      </c>
      <c r="Q389" s="2" t="inlineStr">
        <is>
          <t>-</t>
        </is>
      </c>
      <c r="R389" s="2" t="inlineStr">
        <is>
          <t>-</t>
        </is>
      </c>
      <c r="S389" s="2" t="inlineStr">
        <is>
          <t>20260624000245</t>
        </is>
      </c>
      <c r="T389" s="8">
        <f>HYPERLINK("https://dart.fss.or.kr/dsaf001/main.do?rcpNo=20260624000245", "공시열람")</f>
        <v/>
      </c>
    </row>
    <row r="390" ht="36" customHeight="1">
      <c r="A390" s="2" t="inlineStr">
        <is>
          <t>2026-06-19</t>
        </is>
      </c>
      <c r="B390" s="3" t="inlineStr">
        <is>
          <t>엔켐</t>
        </is>
      </c>
      <c r="C390" s="2" t="inlineStr">
        <is>
          <t>코스닥</t>
        </is>
      </c>
      <c r="D390" s="2" t="inlineStr">
        <is>
          <t>348370</t>
        </is>
      </c>
      <c r="E390" s="2" t="inlineStr">
        <is>
          <t>기타</t>
        </is>
      </c>
      <c r="F390" s="3" t="inlineStr">
        <is>
          <t>전환사채(해외전환사채포함)발행후만기전사채취득              (제11회차)</t>
        </is>
      </c>
      <c r="G390" s="5" t="inlineStr"/>
      <c r="H390" s="5" t="inlineStr"/>
      <c r="I390" s="2" t="inlineStr">
        <is>
          <t>-</t>
        </is>
      </c>
      <c r="J390" s="6" t="inlineStr"/>
      <c r="K390" s="2" t="inlineStr">
        <is>
          <t>-</t>
        </is>
      </c>
      <c r="L390" s="2" t="inlineStr">
        <is>
          <t>-</t>
        </is>
      </c>
      <c r="M390" s="2" t="inlineStr">
        <is>
          <t>-</t>
        </is>
      </c>
      <c r="N390" s="2" t="inlineStr">
        <is>
          <t>-</t>
        </is>
      </c>
      <c r="O390" s="3" t="inlineStr"/>
      <c r="P390" s="7" t="inlineStr">
        <is>
          <t>-</t>
        </is>
      </c>
      <c r="Q390" s="2" t="inlineStr">
        <is>
          <t>-</t>
        </is>
      </c>
      <c r="R390" s="2" t="inlineStr">
        <is>
          <t>-</t>
        </is>
      </c>
      <c r="S390" s="2" t="inlineStr">
        <is>
          <t>20260619900823</t>
        </is>
      </c>
      <c r="T390" s="8">
        <f>HYPERLINK("https://dart.fss.or.kr/dsaf001/main.do?rcpNo=20260619900823", "공시열람")</f>
        <v/>
      </c>
    </row>
    <row r="391" ht="36" customHeight="1">
      <c r="A391" s="2" t="inlineStr">
        <is>
          <t>2026-06-19</t>
        </is>
      </c>
      <c r="B391" s="3" t="inlineStr">
        <is>
          <t>비비안</t>
        </is>
      </c>
      <c r="C391" s="2" t="inlineStr">
        <is>
          <t>코스피</t>
        </is>
      </c>
      <c r="D391" s="2" t="inlineStr">
        <is>
          <t>002070</t>
        </is>
      </c>
      <c r="E391" s="9" t="inlineStr">
        <is>
          <t>유상증자</t>
        </is>
      </c>
      <c r="F391" s="3" t="inlineStr">
        <is>
          <t>주요사항보고서(유상증자결정)</t>
        </is>
      </c>
      <c r="G391" s="5" t="n">
        <v>4999993920</v>
      </c>
      <c r="H391" s="5" t="n">
        <v>6210</v>
      </c>
      <c r="I391" s="2" t="inlineStr">
        <is>
          <t>보통주식</t>
        </is>
      </c>
      <c r="J391" s="6" t="n">
        <v>805152</v>
      </c>
      <c r="K391" s="2" t="inlineStr">
        <is>
          <t>2026.06.29</t>
        </is>
      </c>
      <c r="L391" s="2" t="inlineStr">
        <is>
          <t>2026.07.10</t>
        </is>
      </c>
      <c r="M391" s="2" t="inlineStr">
        <is>
          <t>-</t>
        </is>
      </c>
      <c r="N391" s="2" t="inlineStr">
        <is>
          <t>-</t>
        </is>
      </c>
      <c r="O391" s="10" t="n">
        <v>33.48738782803126</v>
      </c>
      <c r="P391" s="7" t="inlineStr">
        <is>
          <t>운영자금 (50.0억원)</t>
        </is>
      </c>
      <c r="Q391" s="2" t="inlineStr">
        <is>
          <t>-</t>
        </is>
      </c>
      <c r="R391" s="2" t="inlineStr">
        <is>
          <t>-</t>
        </is>
      </c>
      <c r="S391" s="2" t="inlineStr">
        <is>
          <t>20260619000603</t>
        </is>
      </c>
      <c r="T391" s="8">
        <f>HYPERLINK("https://dart.fss.or.kr/dsaf001/main.do?rcpNo=20260619000603", "공시열람")</f>
        <v/>
      </c>
    </row>
    <row r="392" ht="36" customHeight="1">
      <c r="A392" s="2" t="inlineStr">
        <is>
          <t>2026-06-19</t>
        </is>
      </c>
      <c r="B392" s="3" t="inlineStr">
        <is>
          <t>에이전트AI</t>
        </is>
      </c>
      <c r="C392" s="2" t="inlineStr">
        <is>
          <t>코스닥</t>
        </is>
      </c>
      <c r="D392" s="2" t="inlineStr">
        <is>
          <t>060900</t>
        </is>
      </c>
      <c r="E392" s="11" t="inlineStr">
        <is>
          <t>전환사채(CB)</t>
        </is>
      </c>
      <c r="F392" s="3" t="inlineStr">
        <is>
          <t>주요사항보고서(전환사채권발행결정)</t>
        </is>
      </c>
      <c r="G392" s="5" t="n">
        <v>1500000000</v>
      </c>
      <c r="H392" s="5" t="n">
        <v>4875</v>
      </c>
      <c r="I392" s="2" t="inlineStr">
        <is>
          <t>주식회사 에이전트에이아이 보통주</t>
        </is>
      </c>
      <c r="J392" s="6" t="n">
        <v>307692</v>
      </c>
      <c r="K392" s="2" t="inlineStr">
        <is>
          <t>2026년 06월 29일</t>
        </is>
      </c>
      <c r="L392" s="2" t="inlineStr">
        <is>
          <t>-</t>
        </is>
      </c>
      <c r="M392" s="2" t="inlineStr">
        <is>
          <t>2027-06-29</t>
        </is>
      </c>
      <c r="N392" s="2" t="inlineStr">
        <is>
          <t>2029-05-29</t>
        </is>
      </c>
      <c r="O392" s="10" t="n">
        <v>7.16</v>
      </c>
      <c r="P392" s="7" t="inlineStr">
        <is>
          <t>-</t>
        </is>
      </c>
      <c r="Q392" s="2" t="inlineStr">
        <is>
          <t>2027-04-30</t>
        </is>
      </c>
      <c r="R392" s="2" t="inlineStr">
        <is>
          <t>2027-04-30</t>
        </is>
      </c>
      <c r="S392" s="2" t="inlineStr">
        <is>
          <t>20260619000575</t>
        </is>
      </c>
      <c r="T392" s="8">
        <f>HYPERLINK("https://dart.fss.or.kr/dsaf001/main.do?rcpNo=20260619000575", "공시열람")</f>
        <v/>
      </c>
    </row>
    <row r="393" ht="36" customHeight="1">
      <c r="A393" s="2" t="inlineStr">
        <is>
          <t>2026-06-19</t>
        </is>
      </c>
      <c r="B393" s="3" t="inlineStr">
        <is>
          <t>제테마</t>
        </is>
      </c>
      <c r="C393" s="2" t="inlineStr">
        <is>
          <t>코스닥</t>
        </is>
      </c>
      <c r="D393" s="2" t="inlineStr">
        <is>
          <t>216080</t>
        </is>
      </c>
      <c r="E393" s="9" t="inlineStr">
        <is>
          <t>유상증자</t>
        </is>
      </c>
      <c r="F393" s="3" t="inlineStr">
        <is>
          <t>주요사항보고서(유상증자결정)</t>
        </is>
      </c>
      <c r="G393" s="5" t="n">
        <v>6999963432</v>
      </c>
      <c r="H393" s="5" t="inlineStr"/>
      <c r="I393" s="2" t="inlineStr">
        <is>
          <t>보통주식</t>
        </is>
      </c>
      <c r="J393" s="6" t="n">
        <v>0</v>
      </c>
      <c r="K393" s="2" t="inlineStr">
        <is>
          <t>2026-06-29</t>
        </is>
      </c>
      <c r="L393" s="2" t="inlineStr">
        <is>
          <t>-</t>
        </is>
      </c>
      <c r="M393" s="2" t="inlineStr">
        <is>
          <t>-</t>
        </is>
      </c>
      <c r="N393" s="2" t="inlineStr">
        <is>
          <t>-</t>
        </is>
      </c>
      <c r="O393" s="10" t="n">
        <v>0</v>
      </c>
      <c r="P393" s="7" t="inlineStr">
        <is>
          <t>운영자금 (70.0억원)</t>
        </is>
      </c>
      <c r="Q393" s="2" t="inlineStr">
        <is>
          <t>-</t>
        </is>
      </c>
      <c r="R393" s="2" t="inlineStr">
        <is>
          <t>-</t>
        </is>
      </c>
      <c r="S393" s="2" t="inlineStr">
        <is>
          <t>20260619000520</t>
        </is>
      </c>
      <c r="T393" s="8">
        <f>HYPERLINK("https://dart.fss.or.kr/dsaf001/main.do?rcpNo=20260619000520", "공시열람")</f>
        <v/>
      </c>
    </row>
    <row r="394" ht="36" customHeight="1">
      <c r="A394" s="2" t="inlineStr">
        <is>
          <t>2026-06-19</t>
        </is>
      </c>
      <c r="B394" s="3" t="inlineStr">
        <is>
          <t>제테마</t>
        </is>
      </c>
      <c r="C394" s="2" t="inlineStr">
        <is>
          <t>코스닥</t>
        </is>
      </c>
      <c r="D394" s="2" t="inlineStr">
        <is>
          <t>216080</t>
        </is>
      </c>
      <c r="E394" s="11" t="inlineStr">
        <is>
          <t>전환사채(CB)</t>
        </is>
      </c>
      <c r="F394" s="3" t="inlineStr">
        <is>
          <t>주요사항보고서(전환사채권발행결정)</t>
        </is>
      </c>
      <c r="G394" s="5" t="n">
        <v>23000000000</v>
      </c>
      <c r="H394" s="5" t="n">
        <v>5451</v>
      </c>
      <c r="I394" s="2" t="inlineStr">
        <is>
          <t>주식회사 제테마 보통주</t>
        </is>
      </c>
      <c r="J394" s="6" t="n">
        <v>4219409</v>
      </c>
      <c r="K394" s="2" t="inlineStr">
        <is>
          <t>2026년 06월 29일</t>
        </is>
      </c>
      <c r="L394" s="2" t="inlineStr">
        <is>
          <t>-</t>
        </is>
      </c>
      <c r="M394" s="2" t="inlineStr">
        <is>
          <t>2027-06-29</t>
        </is>
      </c>
      <c r="N394" s="2" t="inlineStr">
        <is>
          <t>2031-05-29</t>
        </is>
      </c>
      <c r="O394" s="10" t="n">
        <v>10.17</v>
      </c>
      <c r="P394" s="7" t="inlineStr">
        <is>
          <t>-</t>
        </is>
      </c>
      <c r="Q394" s="2" t="inlineStr">
        <is>
          <t>-</t>
        </is>
      </c>
      <c r="R394" s="2" t="inlineStr">
        <is>
          <t>2028-04-30</t>
        </is>
      </c>
      <c r="S394" s="2" t="inlineStr">
        <is>
          <t>20260619000502</t>
        </is>
      </c>
      <c r="T394" s="8">
        <f>HYPERLINK("https://dart.fss.or.kr/dsaf001/main.do?rcpNo=20260619000502", "공시열람")</f>
        <v/>
      </c>
    </row>
    <row r="395" ht="36" customHeight="1">
      <c r="A395" s="2" t="inlineStr">
        <is>
          <t>2026-06-19 (정정: 2026-06-19)</t>
        </is>
      </c>
      <c r="B395" s="3" t="inlineStr">
        <is>
          <t>비트맥스</t>
        </is>
      </c>
      <c r="C395" s="2" t="inlineStr">
        <is>
          <t>코스닥</t>
        </is>
      </c>
      <c r="D395" s="2" t="inlineStr">
        <is>
          <t>377030</t>
        </is>
      </c>
      <c r="E395" s="9" t="inlineStr">
        <is>
          <t>유상증자</t>
        </is>
      </c>
      <c r="F395" s="3" t="inlineStr">
        <is>
          <t>주요사항보고서(유상증자결정) (정정: 20260619)</t>
        </is>
      </c>
      <c r="G395" s="5" t="n">
        <v>4999998654</v>
      </c>
      <c r="H395" s="5" t="n">
        <v>2351</v>
      </c>
      <c r="I395" s="2" t="inlineStr">
        <is>
          <t>보통주식</t>
        </is>
      </c>
      <c r="J395" s="6" t="n">
        <v>2126754</v>
      </c>
      <c r="K395" s="2" t="inlineStr">
        <is>
          <t>2026-06-29</t>
        </is>
      </c>
      <c r="L395" s="2" t="inlineStr">
        <is>
          <t>2026-07-15</t>
        </is>
      </c>
      <c r="M395" s="2" t="inlineStr">
        <is>
          <t>-</t>
        </is>
      </c>
      <c r="N395" s="2" t="inlineStr">
        <is>
          <t>-</t>
        </is>
      </c>
      <c r="O395" s="10" t="n">
        <v>19.886687936445</v>
      </c>
      <c r="P395" s="7" t="inlineStr">
        <is>
          <t>타법인증권취득자금 (50.0억원)</t>
        </is>
      </c>
      <c r="Q395" s="2" t="inlineStr">
        <is>
          <t>-</t>
        </is>
      </c>
      <c r="R395" s="2" t="inlineStr">
        <is>
          <t>-</t>
        </is>
      </c>
      <c r="S395" s="2" t="inlineStr">
        <is>
          <t>20260619000448</t>
        </is>
      </c>
      <c r="T395" s="8">
        <f>HYPERLINK("https://dart.fss.or.kr/dsaf001/main.do?rcpNo=20260619000448", "공시열람")</f>
        <v/>
      </c>
    </row>
    <row r="396" ht="36" customHeight="1">
      <c r="A396" s="2" t="inlineStr">
        <is>
          <t>2026-06-19</t>
        </is>
      </c>
      <c r="B396" s="3" t="inlineStr">
        <is>
          <t>플루토스</t>
        </is>
      </c>
      <c r="C396" s="2" t="inlineStr">
        <is>
          <t>코스닥</t>
        </is>
      </c>
      <c r="D396" s="2" t="inlineStr">
        <is>
          <t>019570</t>
        </is>
      </c>
      <c r="E396" s="2" t="inlineStr">
        <is>
          <t>기타</t>
        </is>
      </c>
      <c r="F396" s="3" t="inlineStr">
        <is>
          <t xml:space="preserve">전환사채(해외전환사채포함)발행후만기전사채취득              </t>
        </is>
      </c>
      <c r="G396" s="5" t="inlineStr"/>
      <c r="H396" s="5" t="inlineStr"/>
      <c r="I396" s="2" t="inlineStr">
        <is>
          <t>-</t>
        </is>
      </c>
      <c r="J396" s="6" t="inlineStr"/>
      <c r="K396" s="2" t="inlineStr">
        <is>
          <t>-</t>
        </is>
      </c>
      <c r="L396" s="2" t="inlineStr">
        <is>
          <t>-</t>
        </is>
      </c>
      <c r="M396" s="2" t="inlineStr">
        <is>
          <t>-</t>
        </is>
      </c>
      <c r="N396" s="2" t="inlineStr">
        <is>
          <t>-</t>
        </is>
      </c>
      <c r="O396" s="3" t="inlineStr"/>
      <c r="P396" s="7" t="inlineStr">
        <is>
          <t>-</t>
        </is>
      </c>
      <c r="Q396" s="2" t="inlineStr">
        <is>
          <t>-</t>
        </is>
      </c>
      <c r="R396" s="2" t="inlineStr">
        <is>
          <t>-</t>
        </is>
      </c>
      <c r="S396" s="2" t="inlineStr">
        <is>
          <t>20260619900689</t>
        </is>
      </c>
      <c r="T396" s="8">
        <f>HYPERLINK("https://dart.fss.or.kr/dsaf001/main.do?rcpNo=20260619900689", "공시열람")</f>
        <v/>
      </c>
    </row>
    <row r="397" ht="36" customHeight="1">
      <c r="A397" s="2" t="inlineStr">
        <is>
          <t>2026-06-19</t>
        </is>
      </c>
      <c r="B397" s="3" t="inlineStr">
        <is>
          <t>오픈놀</t>
        </is>
      </c>
      <c r="C397" s="2" t="inlineStr">
        <is>
          <t>코스닥</t>
        </is>
      </c>
      <c r="D397" s="2" t="inlineStr">
        <is>
          <t>440320</t>
        </is>
      </c>
      <c r="E397" s="11" t="inlineStr">
        <is>
          <t>전환사채(CB)</t>
        </is>
      </c>
      <c r="F397" s="3" t="inlineStr">
        <is>
          <t>주요사항보고서(전환사채권발행결정)</t>
        </is>
      </c>
      <c r="G397" s="5" t="n">
        <v>8500000000</v>
      </c>
      <c r="H397" s="5" t="n">
        <v>3575</v>
      </c>
      <c r="I397" s="2" t="inlineStr">
        <is>
          <t>주식회사 오픈놀 기명식 보통주</t>
        </is>
      </c>
      <c r="J397" s="6" t="n">
        <v>2377622</v>
      </c>
      <c r="K397" s="2" t="inlineStr">
        <is>
          <t>2026년 06월 29일</t>
        </is>
      </c>
      <c r="L397" s="2" t="inlineStr">
        <is>
          <t>-</t>
        </is>
      </c>
      <c r="M397" s="2" t="inlineStr">
        <is>
          <t>2027-06-29</t>
        </is>
      </c>
      <c r="N397" s="2" t="inlineStr">
        <is>
          <t>2031-05-29</t>
        </is>
      </c>
      <c r="O397" s="10" t="n">
        <v>19.24</v>
      </c>
      <c r="P397" s="7" t="inlineStr">
        <is>
          <t>-</t>
        </is>
      </c>
      <c r="Q397" s="2" t="inlineStr">
        <is>
          <t>2027-06-29</t>
        </is>
      </c>
      <c r="R397" s="2" t="inlineStr">
        <is>
          <t>2028-06-29</t>
        </is>
      </c>
      <c r="S397" s="2" t="inlineStr">
        <is>
          <t>20260619000313</t>
        </is>
      </c>
      <c r="T397" s="8">
        <f>HYPERLINK("https://dart.fss.or.kr/dsaf001/main.do?rcpNo=20260619000313", "공시열람")</f>
        <v/>
      </c>
    </row>
    <row r="398" ht="36" customHeight="1">
      <c r="A398" s="2" t="inlineStr">
        <is>
          <t>2024-11-19 (정정: 2026-06-22)</t>
        </is>
      </c>
      <c r="B398" s="3" t="inlineStr">
        <is>
          <t>제이스코홀딩스</t>
        </is>
      </c>
      <c r="C398" s="2" t="inlineStr">
        <is>
          <t>코스닥</t>
        </is>
      </c>
      <c r="D398" s="2" t="inlineStr">
        <is>
          <t>023440</t>
        </is>
      </c>
      <c r="E398" s="11" t="inlineStr">
        <is>
          <t>전환사채(CB)</t>
        </is>
      </c>
      <c r="F398" s="3" t="inlineStr">
        <is>
          <t>[기재정정]주요사항보고서(전환사채권발행결정)</t>
        </is>
      </c>
      <c r="G398" s="5" t="inlineStr"/>
      <c r="H398" s="5" t="n">
        <v>387000000000</v>
      </c>
      <c r="I398" s="2" t="inlineStr">
        <is>
          <t>-</t>
        </is>
      </c>
      <c r="J398" s="6" t="inlineStr"/>
      <c r="K398" s="2" t="inlineStr">
        <is>
          <t>-</t>
        </is>
      </c>
      <c r="L398" s="2" t="inlineStr">
        <is>
          <t>-</t>
        </is>
      </c>
      <c r="M398" s="2" t="inlineStr">
        <is>
          <t>2026-01-15</t>
        </is>
      </c>
      <c r="N398" s="2" t="inlineStr">
        <is>
          <t>2027-12-15</t>
        </is>
      </c>
      <c r="O398" s="3" t="inlineStr"/>
      <c r="P398" s="7" t="inlineStr">
        <is>
          <t>-</t>
        </is>
      </c>
      <c r="Q398" s="2" t="inlineStr">
        <is>
          <t>2026-12-31</t>
        </is>
      </c>
      <c r="R398" s="2" t="inlineStr">
        <is>
          <t>2025-12-26</t>
        </is>
      </c>
      <c r="S398" s="2" t="inlineStr">
        <is>
          <t>20260622000404</t>
        </is>
      </c>
      <c r="T398" s="8">
        <f>HYPERLINK("https://dart.fss.or.kr/dsaf001/main.do?rcpNo=20260622000404", "공시열람")</f>
        <v/>
      </c>
    </row>
    <row r="399" ht="36" customHeight="1">
      <c r="A399" s="2" t="inlineStr">
        <is>
          <t>2026-06-22</t>
        </is>
      </c>
      <c r="B399" s="3" t="inlineStr">
        <is>
          <t>트리니티항공</t>
        </is>
      </c>
      <c r="C399" s="2" t="inlineStr">
        <is>
          <t>코스피</t>
        </is>
      </c>
      <c r="D399" s="2" t="inlineStr">
        <is>
          <t>091810</t>
        </is>
      </c>
      <c r="E399" s="9" t="inlineStr">
        <is>
          <t>유상증자</t>
        </is>
      </c>
      <c r="F399" s="3" t="inlineStr">
        <is>
          <t>주요사항보고서(유상증자결정)</t>
        </is>
      </c>
      <c r="G399" s="5" t="n">
        <v>80000</v>
      </c>
      <c r="H399" s="5" t="n">
        <v>820</v>
      </c>
      <c r="I399" s="2" t="inlineStr">
        <is>
          <t>보통주식</t>
        </is>
      </c>
      <c r="J399" s="6" t="n">
        <v>97560974</v>
      </c>
      <c r="K399" s="2" t="inlineStr">
        <is>
          <t>2026-06-30</t>
        </is>
      </c>
      <c r="L399" s="2" t="inlineStr">
        <is>
          <t>2026-07-21</t>
        </is>
      </c>
      <c r="M399" s="2" t="inlineStr">
        <is>
          <t>-</t>
        </is>
      </c>
      <c r="N399" s="2" t="inlineStr">
        <is>
          <t>-</t>
        </is>
      </c>
      <c r="O399" s="10" t="n">
        <v>23.62425737097742</v>
      </c>
      <c r="P399" s="7" t="inlineStr">
        <is>
          <t>운영자금 (80,000원)</t>
        </is>
      </c>
      <c r="Q399" s="2" t="inlineStr">
        <is>
          <t>-</t>
        </is>
      </c>
      <c r="R399" s="2" t="inlineStr">
        <is>
          <t>-</t>
        </is>
      </c>
      <c r="S399" s="2" t="inlineStr">
        <is>
          <t>20260622000395</t>
        </is>
      </c>
      <c r="T399" s="8">
        <f>HYPERLINK("https://dart.fss.or.kr/dsaf001/main.do?rcpNo=20260622000395", "공시열람")</f>
        <v/>
      </c>
    </row>
    <row r="400" ht="36" customHeight="1">
      <c r="A400" s="2" t="inlineStr">
        <is>
          <t>2026-06-22 (정정: 2026-06-23)</t>
        </is>
      </c>
      <c r="B400" s="3" t="inlineStr">
        <is>
          <t>아미코젠</t>
        </is>
      </c>
      <c r="C400" s="2" t="inlineStr">
        <is>
          <t>코스닥</t>
        </is>
      </c>
      <c r="D400" s="2" t="inlineStr">
        <is>
          <t>092040</t>
        </is>
      </c>
      <c r="E400" s="9" t="inlineStr">
        <is>
          <t>유상증자</t>
        </is>
      </c>
      <c r="F400" s="3" t="inlineStr">
        <is>
          <t>주요사항보고서(유상증자결정) (정정: 20260623)</t>
        </is>
      </c>
      <c r="G400" s="5" t="n">
        <v>9999998911</v>
      </c>
      <c r="H400" s="5" t="n">
        <v>1169</v>
      </c>
      <c r="I400" s="2" t="inlineStr">
        <is>
          <t>보통주식</t>
        </is>
      </c>
      <c r="J400" s="6" t="n">
        <v>8554319</v>
      </c>
      <c r="K400" s="2" t="inlineStr">
        <is>
          <t>2026-07-15</t>
        </is>
      </c>
      <c r="L400" s="2" t="inlineStr">
        <is>
          <t>2026-08-10</t>
        </is>
      </c>
      <c r="M400" s="2" t="inlineStr">
        <is>
          <t>-</t>
        </is>
      </c>
      <c r="N400" s="2" t="inlineStr">
        <is>
          <t>-</t>
        </is>
      </c>
      <c r="O400" s="10" t="n">
        <v>12.10710090654517</v>
      </c>
      <c r="P400" s="7" t="inlineStr">
        <is>
          <t>운영자금 (100.0억원)</t>
        </is>
      </c>
      <c r="Q400" s="2" t="inlineStr">
        <is>
          <t>-</t>
        </is>
      </c>
      <c r="R400" s="2" t="inlineStr">
        <is>
          <t>-</t>
        </is>
      </c>
      <c r="S400" s="2" t="inlineStr">
        <is>
          <t>20260623000019</t>
        </is>
      </c>
      <c r="T400" s="8">
        <f>HYPERLINK("https://dart.fss.or.kr/dsaf001/main.do?rcpNo=20260623000019", "공시열람")</f>
        <v/>
      </c>
    </row>
    <row r="401" ht="36" customHeight="1">
      <c r="A401" s="2" t="inlineStr">
        <is>
          <t>2026-06-22</t>
        </is>
      </c>
      <c r="B401" s="3" t="inlineStr">
        <is>
          <t>넥스틸</t>
        </is>
      </c>
      <c r="C401" s="2" t="inlineStr">
        <is>
          <t>코스피</t>
        </is>
      </c>
      <c r="D401" s="2" t="inlineStr">
        <is>
          <t>092790</t>
        </is>
      </c>
      <c r="E401" s="11" t="inlineStr">
        <is>
          <t>전환사채(CB)</t>
        </is>
      </c>
      <c r="F401" s="3" t="inlineStr">
        <is>
          <t>주요사항보고서(전환사채권발행결정)</t>
        </is>
      </c>
      <c r="G401" s="5" t="n">
        <v>50000000000</v>
      </c>
      <c r="H401" s="5" t="n">
        <v>16134</v>
      </c>
      <c r="I401" s="2" t="inlineStr">
        <is>
          <t>넥스틸 주식회사 기명식 보통주식</t>
        </is>
      </c>
      <c r="J401" s="6" t="n">
        <v>3099045</v>
      </c>
      <c r="K401" s="2" t="inlineStr">
        <is>
          <t>2026년 06월 30일</t>
        </is>
      </c>
      <c r="L401" s="2" t="inlineStr">
        <is>
          <t>-</t>
        </is>
      </c>
      <c r="M401" s="2" t="inlineStr">
        <is>
          <t>2027-06-30</t>
        </is>
      </c>
      <c r="N401" s="2" t="inlineStr">
        <is>
          <t>2031-05-30</t>
        </is>
      </c>
      <c r="O401" s="10" t="n">
        <v>11.92</v>
      </c>
      <c r="P401" s="7" t="inlineStr">
        <is>
          <t>-</t>
        </is>
      </c>
      <c r="Q401" s="2" t="inlineStr">
        <is>
          <t>2028-06-30</t>
        </is>
      </c>
      <c r="R401" s="2" t="inlineStr">
        <is>
          <t>2028-05-01</t>
        </is>
      </c>
      <c r="S401" s="2" t="inlineStr">
        <is>
          <t>20260622000369</t>
        </is>
      </c>
      <c r="T401" s="8">
        <f>HYPERLINK("https://dart.fss.or.kr/dsaf001/main.do?rcpNo=20260622000369", "공시열람")</f>
        <v/>
      </c>
    </row>
    <row r="402" ht="36" customHeight="1">
      <c r="A402" s="2" t="inlineStr">
        <is>
          <t>2023-03-14 (정정: 2026-06-22)</t>
        </is>
      </c>
      <c r="B402" s="3" t="inlineStr">
        <is>
          <t>프레스티지바이오로직스</t>
        </is>
      </c>
      <c r="C402" s="2" t="inlineStr">
        <is>
          <t>코스닥</t>
        </is>
      </c>
      <c r="D402" s="2" t="inlineStr">
        <is>
          <t>334970</t>
        </is>
      </c>
      <c r="E402" s="11" t="inlineStr">
        <is>
          <t>전환사채(CB)</t>
        </is>
      </c>
      <c r="F402" s="3" t="inlineStr">
        <is>
          <t>[기재정정]주요사항보고서(전환사채권발행결정)</t>
        </is>
      </c>
      <c r="G402" s="5" t="inlineStr"/>
      <c r="H402" s="5" t="inlineStr"/>
      <c r="I402" s="2" t="inlineStr">
        <is>
          <t>-</t>
        </is>
      </c>
      <c r="J402" s="6" t="inlineStr"/>
      <c r="K402" s="2" t="inlineStr">
        <is>
          <t>-</t>
        </is>
      </c>
      <c r="L402" s="2" t="inlineStr">
        <is>
          <t>-</t>
        </is>
      </c>
      <c r="M402" s="2" t="inlineStr">
        <is>
          <t>2024-03-20</t>
        </is>
      </c>
      <c r="N402" s="2" t="inlineStr">
        <is>
          <t>2027-02-20</t>
        </is>
      </c>
      <c r="O402" s="3" t="inlineStr"/>
      <c r="P402" s="7" t="inlineStr">
        <is>
          <t>-</t>
        </is>
      </c>
      <c r="Q402" s="2" t="inlineStr">
        <is>
          <t>-</t>
        </is>
      </c>
      <c r="R402" s="2" t="inlineStr">
        <is>
          <t>-</t>
        </is>
      </c>
      <c r="S402" s="2" t="inlineStr">
        <is>
          <t>20260622000362</t>
        </is>
      </c>
      <c r="T402" s="8">
        <f>HYPERLINK("https://dart.fss.or.kr/dsaf001/main.do?rcpNo=20260622000362", "공시열람")</f>
        <v/>
      </c>
    </row>
    <row r="403" ht="36" customHeight="1">
      <c r="A403" s="2" t="inlineStr">
        <is>
          <t>2026-06-22</t>
        </is>
      </c>
      <c r="B403" s="3" t="inlineStr">
        <is>
          <t>경남제약</t>
        </is>
      </c>
      <c r="C403" s="2" t="inlineStr">
        <is>
          <t>코스닥</t>
        </is>
      </c>
      <c r="D403" s="2" t="inlineStr">
        <is>
          <t>053950</t>
        </is>
      </c>
      <c r="E403" s="2" t="inlineStr">
        <is>
          <t>기타</t>
        </is>
      </c>
      <c r="F403" s="3" t="inlineStr">
        <is>
          <t xml:space="preserve">전환사채(해외전환사채포함)발행후만기전사채취득              </t>
        </is>
      </c>
      <c r="G403" s="5" t="inlineStr"/>
      <c r="H403" s="5" t="inlineStr"/>
      <c r="I403" s="2" t="inlineStr">
        <is>
          <t>-</t>
        </is>
      </c>
      <c r="J403" s="6" t="inlineStr"/>
      <c r="K403" s="2" t="inlineStr">
        <is>
          <t>-</t>
        </is>
      </c>
      <c r="L403" s="2" t="inlineStr">
        <is>
          <t>-</t>
        </is>
      </c>
      <c r="M403" s="2" t="inlineStr">
        <is>
          <t>-</t>
        </is>
      </c>
      <c r="N403" s="2" t="inlineStr">
        <is>
          <t>-</t>
        </is>
      </c>
      <c r="O403" s="3" t="inlineStr"/>
      <c r="P403" s="7" t="inlineStr">
        <is>
          <t>-</t>
        </is>
      </c>
      <c r="Q403" s="2" t="inlineStr">
        <is>
          <t>-</t>
        </is>
      </c>
      <c r="R403" s="2" t="inlineStr">
        <is>
          <t>-</t>
        </is>
      </c>
      <c r="S403" s="2" t="inlineStr">
        <is>
          <t>20260622900728</t>
        </is>
      </c>
      <c r="T403" s="8">
        <f>HYPERLINK("https://dart.fss.or.kr/dsaf001/main.do?rcpNo=20260622900728", "공시열람")</f>
        <v/>
      </c>
    </row>
    <row r="404" ht="36" customHeight="1">
      <c r="A404" s="2" t="inlineStr">
        <is>
          <t>2026-06-22</t>
        </is>
      </c>
      <c r="B404" s="3" t="inlineStr">
        <is>
          <t>중앙첨단소재</t>
        </is>
      </c>
      <c r="C404" s="2" t="inlineStr">
        <is>
          <t>코스닥</t>
        </is>
      </c>
      <c r="D404" s="2" t="inlineStr">
        <is>
          <t>051980</t>
        </is>
      </c>
      <c r="E404" s="11" t="inlineStr">
        <is>
          <t>전환사채(CB)</t>
        </is>
      </c>
      <c r="F404" s="3" t="inlineStr">
        <is>
          <t>[첨부정정]주요사항보고서(전환사채권발행결정)</t>
        </is>
      </c>
      <c r="G404" s="5" t="inlineStr"/>
      <c r="H404" s="5" t="inlineStr"/>
      <c r="I404" s="2" t="inlineStr">
        <is>
          <t>-</t>
        </is>
      </c>
      <c r="J404" s="6" t="inlineStr"/>
      <c r="K404" s="2" t="inlineStr">
        <is>
          <t>-</t>
        </is>
      </c>
      <c r="L404" s="2" t="inlineStr">
        <is>
          <t>-</t>
        </is>
      </c>
      <c r="M404" s="2" t="inlineStr">
        <is>
          <t>-</t>
        </is>
      </c>
      <c r="N404" s="2" t="inlineStr">
        <is>
          <t>-</t>
        </is>
      </c>
      <c r="O404" s="3" t="inlineStr"/>
      <c r="P404" s="7" t="inlineStr">
        <is>
          <t>-</t>
        </is>
      </c>
      <c r="Q404" s="2" t="inlineStr">
        <is>
          <t>-</t>
        </is>
      </c>
      <c r="R404" s="2" t="inlineStr">
        <is>
          <t>-</t>
        </is>
      </c>
      <c r="S404" s="2" t="inlineStr">
        <is>
          <t>20260622000339</t>
        </is>
      </c>
      <c r="T404" s="8">
        <f>HYPERLINK("https://dart.fss.or.kr/dsaf001/main.do?rcpNo=20260622000339", "공시열람")</f>
        <v/>
      </c>
    </row>
    <row r="405" ht="36" customHeight="1">
      <c r="A405" s="2" t="inlineStr">
        <is>
          <t>2026-06-22</t>
        </is>
      </c>
      <c r="B405" s="3" t="inlineStr">
        <is>
          <t>비비안</t>
        </is>
      </c>
      <c r="C405" s="2" t="inlineStr">
        <is>
          <t>코스피</t>
        </is>
      </c>
      <c r="D405" s="2" t="inlineStr">
        <is>
          <t>002070</t>
        </is>
      </c>
      <c r="E405" s="9" t="inlineStr">
        <is>
          <t>유상증자</t>
        </is>
      </c>
      <c r="F405" s="3" t="inlineStr">
        <is>
          <t>주요사항보고서(유상증자결정)</t>
        </is>
      </c>
      <c r="G405" s="5" t="n">
        <v>24999993920</v>
      </c>
      <c r="H405" s="5" t="n">
        <v>5830</v>
      </c>
      <c r="I405" s="2" t="inlineStr">
        <is>
          <t>보통주식</t>
        </is>
      </c>
      <c r="J405" s="6" t="n">
        <v>4288164</v>
      </c>
      <c r="K405" s="2" t="inlineStr">
        <is>
          <t>2026.07.31</t>
        </is>
      </c>
      <c r="L405" s="2" t="inlineStr">
        <is>
          <t>2026.08.25</t>
        </is>
      </c>
      <c r="M405" s="2" t="inlineStr">
        <is>
          <t>-</t>
        </is>
      </c>
      <c r="N405" s="2" t="inlineStr">
        <is>
          <t>-</t>
        </is>
      </c>
      <c r="O405" s="10" t="n">
        <v>178.35068525968</v>
      </c>
      <c r="P405" s="7" t="inlineStr">
        <is>
          <t>운영자금 (50.0억원), 채무상환자금 (200.0억원)</t>
        </is>
      </c>
      <c r="Q405" s="2" t="inlineStr">
        <is>
          <t>-</t>
        </is>
      </c>
      <c r="R405" s="2" t="inlineStr">
        <is>
          <t>-</t>
        </is>
      </c>
      <c r="S405" s="2" t="inlineStr">
        <is>
          <t>20260622000328</t>
        </is>
      </c>
      <c r="T405" s="8">
        <f>HYPERLINK("https://dart.fss.or.kr/dsaf001/main.do?rcpNo=20260622000328", "공시열람")</f>
        <v/>
      </c>
    </row>
    <row r="406" ht="36" customHeight="1">
      <c r="A406" s="2" t="inlineStr">
        <is>
          <t>2026-06-22</t>
        </is>
      </c>
      <c r="B406" s="3" t="inlineStr">
        <is>
          <t>나노신소재</t>
        </is>
      </c>
      <c r="C406" s="2" t="inlineStr">
        <is>
          <t>코스닥</t>
        </is>
      </c>
      <c r="D406" s="2" t="inlineStr">
        <is>
          <t>121600</t>
        </is>
      </c>
      <c r="E406" s="2" t="inlineStr">
        <is>
          <t>기타</t>
        </is>
      </c>
      <c r="F406" s="3" t="inlineStr">
        <is>
          <t xml:space="preserve">신주인수권부사채(해외신주인수권부사채포함)발행후만기전사채취득              </t>
        </is>
      </c>
      <c r="G406" s="5" t="inlineStr"/>
      <c r="H406" s="5" t="inlineStr"/>
      <c r="I406" s="2" t="inlineStr">
        <is>
          <t>-</t>
        </is>
      </c>
      <c r="J406" s="6" t="inlineStr"/>
      <c r="K406" s="2" t="inlineStr">
        <is>
          <t>-</t>
        </is>
      </c>
      <c r="L406" s="2" t="inlineStr">
        <is>
          <t>-</t>
        </is>
      </c>
      <c r="M406" s="2" t="inlineStr">
        <is>
          <t>-</t>
        </is>
      </c>
      <c r="N406" s="2" t="inlineStr">
        <is>
          <t>-</t>
        </is>
      </c>
      <c r="O406" s="3" t="inlineStr"/>
      <c r="P406" s="7" t="inlineStr">
        <is>
          <t>-</t>
        </is>
      </c>
      <c r="Q406" s="2" t="inlineStr">
        <is>
          <t>-</t>
        </is>
      </c>
      <c r="R406" s="2" t="inlineStr">
        <is>
          <t>-</t>
        </is>
      </c>
      <c r="S406" s="2" t="inlineStr">
        <is>
          <t>20260622900678</t>
        </is>
      </c>
      <c r="T406" s="8">
        <f>HYPERLINK("https://dart.fss.or.kr/dsaf001/main.do?rcpNo=20260622900678", "공시열람")</f>
        <v/>
      </c>
    </row>
    <row r="407" ht="36" customHeight="1">
      <c r="A407" s="2" t="inlineStr">
        <is>
          <t>2026-06-22</t>
        </is>
      </c>
      <c r="B407" s="3" t="inlineStr">
        <is>
          <t>사토시홀딩스</t>
        </is>
      </c>
      <c r="C407" s="2" t="inlineStr">
        <is>
          <t>코스닥</t>
        </is>
      </c>
      <c r="D407" s="2" t="inlineStr">
        <is>
          <t>223310</t>
        </is>
      </c>
      <c r="E407" s="11" t="inlineStr">
        <is>
          <t>전환사채(CB)</t>
        </is>
      </c>
      <c r="F407" s="3" t="inlineStr">
        <is>
          <t>주요사항보고서(전환사채권발행결정)</t>
        </is>
      </c>
      <c r="G407" s="5" t="n">
        <v>10000000000</v>
      </c>
      <c r="H407" s="5" t="n">
        <v>5247</v>
      </c>
      <c r="I407" s="2" t="inlineStr">
        <is>
          <t>사토시홀딩스 주식회사 기명식 보통주</t>
        </is>
      </c>
      <c r="J407" s="6" t="n">
        <v>1905850</v>
      </c>
      <c r="K407" s="2" t="inlineStr">
        <is>
          <t>2026년 06월 30일</t>
        </is>
      </c>
      <c r="L407" s="2" t="inlineStr">
        <is>
          <t>-</t>
        </is>
      </c>
      <c r="M407" s="2" t="inlineStr">
        <is>
          <t>2027-06-30</t>
        </is>
      </c>
      <c r="N407" s="2" t="inlineStr">
        <is>
          <t>2029-05-31</t>
        </is>
      </c>
      <c r="O407" s="10" t="n">
        <v>26.8</v>
      </c>
      <c r="P407" s="7" t="inlineStr">
        <is>
          <t>-</t>
        </is>
      </c>
      <c r="Q407" s="2" t="inlineStr">
        <is>
          <t>-</t>
        </is>
      </c>
      <c r="R407" s="2" t="inlineStr">
        <is>
          <t>2026-06-30</t>
        </is>
      </c>
      <c r="S407" s="2" t="inlineStr">
        <is>
          <t>20260622000309</t>
        </is>
      </c>
      <c r="T407" s="8">
        <f>HYPERLINK("https://dart.fss.or.kr/dsaf001/main.do?rcpNo=20260622000309", "공시열람")</f>
        <v/>
      </c>
    </row>
    <row r="408" ht="36" customHeight="1">
      <c r="A408" s="2" t="inlineStr">
        <is>
          <t>2026-06-22</t>
        </is>
      </c>
      <c r="B408" s="3" t="inlineStr">
        <is>
          <t>선익시스템</t>
        </is>
      </c>
      <c r="C408" s="2" t="inlineStr">
        <is>
          <t>코스닥</t>
        </is>
      </c>
      <c r="D408" s="2" t="inlineStr">
        <is>
          <t>171090</t>
        </is>
      </c>
      <c r="E408" s="2" t="inlineStr">
        <is>
          <t>기타</t>
        </is>
      </c>
      <c r="F408" s="3" t="inlineStr">
        <is>
          <t xml:space="preserve">전환사채(해외전환사채포함)발행후만기전사채취득              </t>
        </is>
      </c>
      <c r="G408" s="5" t="inlineStr"/>
      <c r="H408" s="5" t="inlineStr"/>
      <c r="I408" s="2" t="inlineStr">
        <is>
          <t>-</t>
        </is>
      </c>
      <c r="J408" s="6" t="inlineStr"/>
      <c r="K408" s="2" t="inlineStr">
        <is>
          <t>-</t>
        </is>
      </c>
      <c r="L408" s="2" t="inlineStr">
        <is>
          <t>-</t>
        </is>
      </c>
      <c r="M408" s="2" t="inlineStr">
        <is>
          <t>-</t>
        </is>
      </c>
      <c r="N408" s="2" t="inlineStr">
        <is>
          <t>-</t>
        </is>
      </c>
      <c r="O408" s="3" t="inlineStr"/>
      <c r="P408" s="7" t="inlineStr">
        <is>
          <t>-</t>
        </is>
      </c>
      <c r="Q408" s="2" t="inlineStr">
        <is>
          <t>-</t>
        </is>
      </c>
      <c r="R408" s="2" t="inlineStr">
        <is>
          <t>-</t>
        </is>
      </c>
      <c r="S408" s="2" t="inlineStr">
        <is>
          <t>20260622900633</t>
        </is>
      </c>
      <c r="T408" s="8">
        <f>HYPERLINK("https://dart.fss.or.kr/dsaf001/main.do?rcpNo=20260622900633", "공시열람")</f>
        <v/>
      </c>
    </row>
    <row r="409" ht="36" customHeight="1">
      <c r="A409" s="2" t="inlineStr">
        <is>
          <t>2026-06-22</t>
        </is>
      </c>
      <c r="B409" s="3" t="inlineStr">
        <is>
          <t>선익시스템</t>
        </is>
      </c>
      <c r="C409" s="2" t="inlineStr">
        <is>
          <t>코스닥</t>
        </is>
      </c>
      <c r="D409" s="2" t="inlineStr">
        <is>
          <t>171090</t>
        </is>
      </c>
      <c r="E409" s="2" t="inlineStr">
        <is>
          <t>기타</t>
        </is>
      </c>
      <c r="F409" s="3" t="inlineStr">
        <is>
          <t xml:space="preserve">교환사채(해외교환사채포함)발행후만기전사채취득              </t>
        </is>
      </c>
      <c r="G409" s="5" t="inlineStr"/>
      <c r="H409" s="5" t="inlineStr"/>
      <c r="I409" s="2" t="inlineStr">
        <is>
          <t>-</t>
        </is>
      </c>
      <c r="J409" s="6" t="inlineStr"/>
      <c r="K409" s="2" t="inlineStr">
        <is>
          <t>-</t>
        </is>
      </c>
      <c r="L409" s="2" t="inlineStr">
        <is>
          <t>-</t>
        </is>
      </c>
      <c r="M409" s="2" t="inlineStr">
        <is>
          <t>-</t>
        </is>
      </c>
      <c r="N409" s="2" t="inlineStr">
        <is>
          <t>-</t>
        </is>
      </c>
      <c r="O409" s="3" t="inlineStr"/>
      <c r="P409" s="7" t="inlineStr">
        <is>
          <t>-</t>
        </is>
      </c>
      <c r="Q409" s="2" t="inlineStr">
        <is>
          <t>-</t>
        </is>
      </c>
      <c r="R409" s="2" t="inlineStr">
        <is>
          <t>-</t>
        </is>
      </c>
      <c r="S409" s="2" t="inlineStr">
        <is>
          <t>20260622900626</t>
        </is>
      </c>
      <c r="T409" s="8">
        <f>HYPERLINK("https://dart.fss.or.kr/dsaf001/main.do?rcpNo=20260622900626", "공시열람")</f>
        <v/>
      </c>
    </row>
    <row r="410" ht="36" customHeight="1">
      <c r="A410" s="2" t="inlineStr">
        <is>
          <t>2026-06-22</t>
        </is>
      </c>
      <c r="B410" s="3" t="inlineStr">
        <is>
          <t>성우전자</t>
        </is>
      </c>
      <c r="C410" s="2" t="inlineStr">
        <is>
          <t>코스닥</t>
        </is>
      </c>
      <c r="D410" s="2" t="inlineStr">
        <is>
          <t>081580</t>
        </is>
      </c>
      <c r="E410" s="2" t="inlineStr">
        <is>
          <t>기타</t>
        </is>
      </c>
      <c r="F410" s="3" t="inlineStr">
        <is>
          <t xml:space="preserve">전환사채(해외전환사채포함)발행후만기전사채취득              </t>
        </is>
      </c>
      <c r="G410" s="5" t="inlineStr"/>
      <c r="H410" s="5" t="inlineStr"/>
      <c r="I410" s="2" t="inlineStr">
        <is>
          <t>-</t>
        </is>
      </c>
      <c r="J410" s="6" t="inlineStr"/>
      <c r="K410" s="2" t="inlineStr">
        <is>
          <t>-</t>
        </is>
      </c>
      <c r="L410" s="2" t="inlineStr">
        <is>
          <t>-</t>
        </is>
      </c>
      <c r="M410" s="2" t="inlineStr">
        <is>
          <t>-</t>
        </is>
      </c>
      <c r="N410" s="2" t="inlineStr">
        <is>
          <t>-</t>
        </is>
      </c>
      <c r="O410" s="3" t="inlineStr"/>
      <c r="P410" s="7" t="inlineStr">
        <is>
          <t>-</t>
        </is>
      </c>
      <c r="Q410" s="2" t="inlineStr">
        <is>
          <t>-</t>
        </is>
      </c>
      <c r="R410" s="2" t="inlineStr">
        <is>
          <t>-</t>
        </is>
      </c>
      <c r="S410" s="2" t="inlineStr">
        <is>
          <t>20260622900589</t>
        </is>
      </c>
      <c r="T410" s="8">
        <f>HYPERLINK("https://dart.fss.or.kr/dsaf001/main.do?rcpNo=20260622900589", "공시열람")</f>
        <v/>
      </c>
    </row>
    <row r="411" ht="36" customHeight="1">
      <c r="A411" s="2" t="inlineStr">
        <is>
          <t>2026-06-22</t>
        </is>
      </c>
      <c r="B411" s="3" t="inlineStr">
        <is>
          <t>아이티엠반도체</t>
        </is>
      </c>
      <c r="C411" s="2" t="inlineStr">
        <is>
          <t>코스닥</t>
        </is>
      </c>
      <c r="D411" s="2" t="inlineStr">
        <is>
          <t>084850</t>
        </is>
      </c>
      <c r="E411" s="9" t="inlineStr">
        <is>
          <t>유상증자</t>
        </is>
      </c>
      <c r="F411" s="3" t="inlineStr">
        <is>
          <t xml:space="preserve">유상증자결정(종속회사의주요경영사항)              </t>
        </is>
      </c>
      <c r="G411" s="5" t="n">
        <v>30700000000</v>
      </c>
      <c r="H411" s="5" t="inlineStr"/>
      <c r="I411" s="2" t="inlineStr">
        <is>
          <t>보통주식</t>
        </is>
      </c>
      <c r="J411" s="6" t="n">
        <v>0</v>
      </c>
      <c r="K411" s="2" t="inlineStr">
        <is>
          <t>2026-08-03</t>
        </is>
      </c>
      <c r="L411" s="2" t="inlineStr">
        <is>
          <t>-</t>
        </is>
      </c>
      <c r="M411" s="2" t="inlineStr">
        <is>
          <t>-</t>
        </is>
      </c>
      <c r="N411" s="2" t="inlineStr">
        <is>
          <t>-</t>
        </is>
      </c>
      <c r="O411" s="3" t="inlineStr"/>
      <c r="P411" s="7" t="inlineStr">
        <is>
          <t>운영자금 (307.0억원)</t>
        </is>
      </c>
      <c r="Q411" s="2" t="inlineStr">
        <is>
          <t>-</t>
        </is>
      </c>
      <c r="R411" s="2" t="inlineStr">
        <is>
          <t>-</t>
        </is>
      </c>
      <c r="S411" s="2" t="inlineStr">
        <is>
          <t>20260622900546</t>
        </is>
      </c>
      <c r="T411" s="8">
        <f>HYPERLINK("https://dart.fss.or.kr/dsaf001/main.do?rcpNo=20260622900546", "공시열람")</f>
        <v/>
      </c>
    </row>
    <row r="412" ht="36" customHeight="1">
      <c r="A412" s="2" t="inlineStr">
        <is>
          <t>2026-06-22</t>
        </is>
      </c>
      <c r="B412" s="3" t="inlineStr">
        <is>
          <t>아리바이오LAB</t>
        </is>
      </c>
      <c r="C412" s="2" t="inlineStr">
        <is>
          <t>코스닥</t>
        </is>
      </c>
      <c r="D412" s="2" t="inlineStr">
        <is>
          <t>261780</t>
        </is>
      </c>
      <c r="E412" s="11" t="inlineStr">
        <is>
          <t>전환사채(CB)</t>
        </is>
      </c>
      <c r="F412" s="3" t="inlineStr">
        <is>
          <t>[첨부정정]주요사항보고서(전환사채권발행결정)</t>
        </is>
      </c>
      <c r="G412" s="5" t="inlineStr"/>
      <c r="H412" s="5" t="inlineStr"/>
      <c r="I412" s="2" t="inlineStr">
        <is>
          <t>-</t>
        </is>
      </c>
      <c r="J412" s="6" t="inlineStr"/>
      <c r="K412" s="2" t="inlineStr">
        <is>
          <t>-</t>
        </is>
      </c>
      <c r="L412" s="2" t="inlineStr">
        <is>
          <t>-</t>
        </is>
      </c>
      <c r="M412" s="2" t="inlineStr">
        <is>
          <t>-</t>
        </is>
      </c>
      <c r="N412" s="2" t="inlineStr">
        <is>
          <t>-</t>
        </is>
      </c>
      <c r="O412" s="3" t="inlineStr"/>
      <c r="P412" s="7" t="inlineStr">
        <is>
          <t>-</t>
        </is>
      </c>
      <c r="Q412" s="2" t="inlineStr">
        <is>
          <t>-</t>
        </is>
      </c>
      <c r="R412" s="2" t="inlineStr">
        <is>
          <t>-</t>
        </is>
      </c>
      <c r="S412" s="2" t="inlineStr">
        <is>
          <t>20260622000251</t>
        </is>
      </c>
      <c r="T412" s="8">
        <f>HYPERLINK("https://dart.fss.or.kr/dsaf001/main.do?rcpNo=20260622000251", "공시열람")</f>
        <v/>
      </c>
    </row>
    <row r="413" ht="36" customHeight="1">
      <c r="A413" s="2" t="inlineStr">
        <is>
          <t>2026-06-22</t>
        </is>
      </c>
      <c r="B413" s="3" t="inlineStr">
        <is>
          <t>핑거스토리</t>
        </is>
      </c>
      <c r="C413" s="2" t="inlineStr">
        <is>
          <t>코스닥</t>
        </is>
      </c>
      <c r="D413" s="2" t="inlineStr">
        <is>
          <t>417180</t>
        </is>
      </c>
      <c r="E413" s="9" t="inlineStr">
        <is>
          <t>유상증자</t>
        </is>
      </c>
      <c r="F413" s="3" t="inlineStr">
        <is>
          <t>주요사항보고서(유상증자결정)</t>
        </is>
      </c>
      <c r="G413" s="5" t="n">
        <v>3000</v>
      </c>
      <c r="H413" s="5" t="n">
        <v>4485</v>
      </c>
      <c r="I413" s="2" t="inlineStr">
        <is>
          <t>보통주식</t>
        </is>
      </c>
      <c r="J413" s="6" t="n">
        <v>668895</v>
      </c>
      <c r="K413" s="2" t="inlineStr">
        <is>
          <t>2026-07-14</t>
        </is>
      </c>
      <c r="L413" s="2" t="inlineStr">
        <is>
          <t>2026-07-30</t>
        </is>
      </c>
      <c r="M413" s="2" t="inlineStr">
        <is>
          <t>-</t>
        </is>
      </c>
      <c r="N413" s="2" t="inlineStr">
        <is>
          <t>-</t>
        </is>
      </c>
      <c r="O413" s="10" t="n">
        <v>19.05833621105249</v>
      </c>
      <c r="P413" s="7" t="inlineStr">
        <is>
          <t>운영자금 (3,000원)</t>
        </is>
      </c>
      <c r="Q413" s="2" t="inlineStr">
        <is>
          <t>-</t>
        </is>
      </c>
      <c r="R413" s="2" t="inlineStr">
        <is>
          <t>-</t>
        </is>
      </c>
      <c r="S413" s="2" t="inlineStr">
        <is>
          <t>20260622000223</t>
        </is>
      </c>
      <c r="T413" s="8">
        <f>HYPERLINK("https://dart.fss.or.kr/dsaf001/main.do?rcpNo=20260622000223", "공시열람")</f>
        <v/>
      </c>
    </row>
    <row r="414" ht="36" customHeight="1">
      <c r="A414" s="2" t="inlineStr">
        <is>
          <t>2026-04-15 (정정: 2026-06-22)</t>
        </is>
      </c>
      <c r="B414" s="3" t="inlineStr">
        <is>
          <t>세니젠</t>
        </is>
      </c>
      <c r="C414" s="2" t="inlineStr">
        <is>
          <t>코스닥</t>
        </is>
      </c>
      <c r="D414" s="2" t="inlineStr">
        <is>
          <t>188260</t>
        </is>
      </c>
      <c r="E414" s="9" t="inlineStr">
        <is>
          <t>유상증자</t>
        </is>
      </c>
      <c r="F414" s="3" t="inlineStr">
        <is>
          <t>[기재정정]주요사항보고서(유상증자결정)</t>
        </is>
      </c>
      <c r="G414" s="5" t="n">
        <v>900</v>
      </c>
      <c r="H414" s="5" t="n">
        <v>1411</v>
      </c>
      <c r="I414" s="2" t="inlineStr">
        <is>
          <t>보통주식</t>
        </is>
      </c>
      <c r="J414" s="6" t="n">
        <v>1275690</v>
      </c>
      <c r="K414" s="2" t="inlineStr">
        <is>
          <t>2026-07-06</t>
        </is>
      </c>
      <c r="L414" s="2" t="inlineStr">
        <is>
          <t>2026-07-24</t>
        </is>
      </c>
      <c r="M414" s="2" t="inlineStr">
        <is>
          <t>-</t>
        </is>
      </c>
      <c r="N414" s="2" t="inlineStr">
        <is>
          <t>-</t>
        </is>
      </c>
      <c r="O414" s="10" t="n">
        <v>9.61806911357229</v>
      </c>
      <c r="P414" s="7" t="inlineStr">
        <is>
          <t>운영자금 (900원)</t>
        </is>
      </c>
      <c r="Q414" s="2" t="inlineStr">
        <is>
          <t>-</t>
        </is>
      </c>
      <c r="R414" s="2" t="inlineStr">
        <is>
          <t>-</t>
        </is>
      </c>
      <c r="S414" s="2" t="inlineStr">
        <is>
          <t>20260622000231</t>
        </is>
      </c>
      <c r="T414" s="8">
        <f>HYPERLINK("https://dart.fss.or.kr/dsaf001/main.do?rcpNo=20260622000231", "공시열람")</f>
        <v/>
      </c>
    </row>
    <row r="415" ht="36" customHeight="1">
      <c r="A415" s="2" t="inlineStr">
        <is>
          <t>2025-11-04 (정정: 2026-06-22)</t>
        </is>
      </c>
      <c r="B415" s="3" t="inlineStr">
        <is>
          <t>이원컴포텍</t>
        </is>
      </c>
      <c r="C415" s="2" t="inlineStr">
        <is>
          <t>코스닥</t>
        </is>
      </c>
      <c r="D415" s="2" t="inlineStr">
        <is>
          <t>088290</t>
        </is>
      </c>
      <c r="E415" s="9" t="inlineStr">
        <is>
          <t>유상증자</t>
        </is>
      </c>
      <c r="F415" s="3" t="inlineStr">
        <is>
          <t>[기재정정]주요사항보고서(유상증자결정)</t>
        </is>
      </c>
      <c r="G415" s="5" t="n">
        <v>2409998085</v>
      </c>
      <c r="H415" s="5" t="n">
        <v>639</v>
      </c>
      <c r="I415" s="2" t="inlineStr">
        <is>
          <t>보통주식</t>
        </is>
      </c>
      <c r="J415" s="6" t="n">
        <v>3771515</v>
      </c>
      <c r="K415" s="2" t="inlineStr">
        <is>
          <t>2026-11-03</t>
        </is>
      </c>
      <c r="L415" s="2" t="inlineStr">
        <is>
          <t>2026-12-11</t>
        </is>
      </c>
      <c r="M415" s="2" t="inlineStr">
        <is>
          <t>-</t>
        </is>
      </c>
      <c r="N415" s="2" t="inlineStr">
        <is>
          <t>-</t>
        </is>
      </c>
      <c r="O415" s="10" t="n">
        <v>9.457072658614649</v>
      </c>
      <c r="P415" s="7" t="inlineStr">
        <is>
          <t>채무상환자금 (24.1억원)</t>
        </is>
      </c>
      <c r="Q415" s="2" t="inlineStr">
        <is>
          <t>-</t>
        </is>
      </c>
      <c r="R415" s="2" t="inlineStr">
        <is>
          <t>-</t>
        </is>
      </c>
      <c r="S415" s="2" t="inlineStr">
        <is>
          <t>20260622000180</t>
        </is>
      </c>
      <c r="T415" s="8">
        <f>HYPERLINK("https://dart.fss.or.kr/dsaf001/main.do?rcpNo=20260622000180", "공시열람")</f>
        <v/>
      </c>
    </row>
    <row r="416" ht="36" customHeight="1">
      <c r="A416" s="2" t="inlineStr">
        <is>
          <t>2026-06-22</t>
        </is>
      </c>
      <c r="B416" s="3" t="inlineStr">
        <is>
          <t>인벤티지랩</t>
        </is>
      </c>
      <c r="C416" s="2" t="inlineStr">
        <is>
          <t>코스닥</t>
        </is>
      </c>
      <c r="D416" s="2" t="inlineStr">
        <is>
          <t>389470</t>
        </is>
      </c>
      <c r="E416" s="2" t="inlineStr">
        <is>
          <t>기타</t>
        </is>
      </c>
      <c r="F416" s="3" t="inlineStr">
        <is>
          <t>전환사채(해외전환사채포함)발행후만기전사채취득              (제2회차)</t>
        </is>
      </c>
      <c r="G416" s="5" t="inlineStr"/>
      <c r="H416" s="5" t="inlineStr"/>
      <c r="I416" s="2" t="inlineStr">
        <is>
          <t>-</t>
        </is>
      </c>
      <c r="J416" s="6" t="inlineStr"/>
      <c r="K416" s="2" t="inlineStr">
        <is>
          <t>-</t>
        </is>
      </c>
      <c r="L416" s="2" t="inlineStr">
        <is>
          <t>-</t>
        </is>
      </c>
      <c r="M416" s="2" t="inlineStr">
        <is>
          <t>-</t>
        </is>
      </c>
      <c r="N416" s="2" t="inlineStr">
        <is>
          <t>-</t>
        </is>
      </c>
      <c r="O416" s="3" t="inlineStr"/>
      <c r="P416" s="7" t="inlineStr">
        <is>
          <t>-</t>
        </is>
      </c>
      <c r="Q416" s="2" t="inlineStr">
        <is>
          <t>-</t>
        </is>
      </c>
      <c r="R416" s="2" t="inlineStr">
        <is>
          <t>-</t>
        </is>
      </c>
      <c r="S416" s="2" t="inlineStr">
        <is>
          <t>20260622900427</t>
        </is>
      </c>
      <c r="T416" s="8">
        <f>HYPERLINK("https://dart.fss.or.kr/dsaf001/main.do?rcpNo=20260622900427", "공시열람")</f>
        <v/>
      </c>
    </row>
    <row r="417" ht="36" customHeight="1">
      <c r="A417" s="2" t="inlineStr">
        <is>
          <t>2026-06-22</t>
        </is>
      </c>
      <c r="B417" s="3" t="inlineStr">
        <is>
          <t>시너지이노베이션</t>
        </is>
      </c>
      <c r="C417" s="2" t="inlineStr">
        <is>
          <t>코스닥</t>
        </is>
      </c>
      <c r="D417" s="2" t="inlineStr">
        <is>
          <t>048870</t>
        </is>
      </c>
      <c r="E417" s="2" t="inlineStr">
        <is>
          <t>기타</t>
        </is>
      </c>
      <c r="F417" s="3" t="inlineStr">
        <is>
          <t xml:space="preserve">전환사채(해외전환사채포함)발행후만기전사채취득              </t>
        </is>
      </c>
      <c r="G417" s="5" t="inlineStr"/>
      <c r="H417" s="5" t="inlineStr"/>
      <c r="I417" s="2" t="inlineStr">
        <is>
          <t>-</t>
        </is>
      </c>
      <c r="J417" s="6" t="inlineStr"/>
      <c r="K417" s="2" t="inlineStr">
        <is>
          <t>-</t>
        </is>
      </c>
      <c r="L417" s="2" t="inlineStr">
        <is>
          <t>-</t>
        </is>
      </c>
      <c r="M417" s="2" t="inlineStr">
        <is>
          <t>-</t>
        </is>
      </c>
      <c r="N417" s="2" t="inlineStr">
        <is>
          <t>-</t>
        </is>
      </c>
      <c r="O417" s="3" t="inlineStr"/>
      <c r="P417" s="7" t="inlineStr">
        <is>
          <t>-</t>
        </is>
      </c>
      <c r="Q417" s="2" t="inlineStr">
        <is>
          <t>-</t>
        </is>
      </c>
      <c r="R417" s="2" t="inlineStr">
        <is>
          <t>-</t>
        </is>
      </c>
      <c r="S417" s="2" t="inlineStr">
        <is>
          <t>20260622900307</t>
        </is>
      </c>
      <c r="T417" s="8">
        <f>HYPERLINK("https://dart.fss.or.kr/dsaf001/main.do?rcpNo=20260622900307", "공시열람")</f>
        <v/>
      </c>
    </row>
    <row r="418" ht="36" customHeight="1">
      <c r="A418" s="2" t="inlineStr">
        <is>
          <t>2026-05-15 (정정: 2026-06-22)</t>
        </is>
      </c>
      <c r="B418" s="3" t="inlineStr">
        <is>
          <t>툴젠</t>
        </is>
      </c>
      <c r="C418" s="2" t="inlineStr">
        <is>
          <t>코스닥</t>
        </is>
      </c>
      <c r="D418" s="2" t="inlineStr">
        <is>
          <t>199800</t>
        </is>
      </c>
      <c r="E418" s="9" t="inlineStr">
        <is>
          <t>유상증자</t>
        </is>
      </c>
      <c r="F418" s="3" t="inlineStr">
        <is>
          <t>[기재정정]주요사항보고서(유상증자결정)</t>
        </is>
      </c>
      <c r="G418" s="5" t="n">
        <v>70085400000</v>
      </c>
      <c r="H418" s="5" t="inlineStr"/>
      <c r="I418" s="2" t="inlineStr">
        <is>
          <t>보통주식</t>
        </is>
      </c>
      <c r="J418" s="6" t="n">
        <v>777000</v>
      </c>
      <c r="K418" s="2" t="inlineStr">
        <is>
          <t>2026-09-15</t>
        </is>
      </c>
      <c r="L418" s="2" t="inlineStr">
        <is>
          <t>2026-09-29</t>
        </is>
      </c>
      <c r="M418" s="2" t="inlineStr">
        <is>
          <t>-</t>
        </is>
      </c>
      <c r="N418" s="2" t="inlineStr">
        <is>
          <t>-</t>
        </is>
      </c>
      <c r="O418" s="10" t="n">
        <v>8.63560833637395</v>
      </c>
      <c r="P418" s="7" t="inlineStr">
        <is>
          <t>운영자금 (700.9억원)</t>
        </is>
      </c>
      <c r="Q418" s="2" t="inlineStr">
        <is>
          <t>-</t>
        </is>
      </c>
      <c r="R418" s="2" t="inlineStr">
        <is>
          <t>-</t>
        </is>
      </c>
      <c r="S418" s="2" t="inlineStr">
        <is>
          <t>20260622000078</t>
        </is>
      </c>
      <c r="T418" s="8">
        <f>HYPERLINK("https://dart.fss.or.kr/dsaf001/main.do?rcpNo=20260622000078", "공시열람")</f>
        <v/>
      </c>
    </row>
    <row r="419" ht="36" customHeight="1">
      <c r="A419" s="2" t="inlineStr">
        <is>
          <t>2026-06-23</t>
        </is>
      </c>
      <c r="B419" s="3" t="inlineStr">
        <is>
          <t>경남제약</t>
        </is>
      </c>
      <c r="C419" s="2" t="inlineStr">
        <is>
          <t>코스닥</t>
        </is>
      </c>
      <c r="D419" s="2" t="inlineStr">
        <is>
          <t>053950</t>
        </is>
      </c>
      <c r="E419" s="9" t="inlineStr">
        <is>
          <t>유상증자</t>
        </is>
      </c>
      <c r="F419" s="3" t="inlineStr">
        <is>
          <t>주요사항보고서(유상증자결정)</t>
        </is>
      </c>
      <c r="G419" s="5" t="n">
        <v>6500</v>
      </c>
      <c r="H419" s="5" t="n">
        <v>1629</v>
      </c>
      <c r="I419" s="2" t="inlineStr">
        <is>
          <t>보통주식</t>
        </is>
      </c>
      <c r="J419" s="6" t="n">
        <v>3990178</v>
      </c>
      <c r="K419" s="2" t="inlineStr">
        <is>
          <t>2026-07-01</t>
        </is>
      </c>
      <c r="L419" s="2" t="inlineStr">
        <is>
          <t>2026-07-16</t>
        </is>
      </c>
      <c r="M419" s="2" t="inlineStr">
        <is>
          <t>-</t>
        </is>
      </c>
      <c r="N419" s="2" t="inlineStr">
        <is>
          <t>-</t>
        </is>
      </c>
      <c r="O419" s="10" t="n">
        <v>25.52983399118243</v>
      </c>
      <c r="P419" s="7" t="inlineStr">
        <is>
          <t>운영자금 (6,500원)</t>
        </is>
      </c>
      <c r="Q419" s="2" t="inlineStr">
        <is>
          <t>-</t>
        </is>
      </c>
      <c r="R419" s="2" t="inlineStr">
        <is>
          <t>-</t>
        </is>
      </c>
      <c r="S419" s="2" t="inlineStr">
        <is>
          <t>20260623000412</t>
        </is>
      </c>
      <c r="T419" s="8">
        <f>HYPERLINK("https://dart.fss.or.kr/dsaf001/main.do?rcpNo=20260623000412", "공시열람")</f>
        <v/>
      </c>
    </row>
    <row r="420" ht="36" customHeight="1">
      <c r="A420" s="2" t="inlineStr">
        <is>
          <t>2026-06-23</t>
        </is>
      </c>
      <c r="B420" s="3" t="inlineStr">
        <is>
          <t>인콘</t>
        </is>
      </c>
      <c r="C420" s="2" t="inlineStr">
        <is>
          <t>코스닥</t>
        </is>
      </c>
      <c r="D420" s="2" t="inlineStr">
        <is>
          <t>083640</t>
        </is>
      </c>
      <c r="E420" s="9" t="inlineStr">
        <is>
          <t>유상증자</t>
        </is>
      </c>
      <c r="F420" s="3" t="inlineStr">
        <is>
          <t>주요사항보고서(유상증자결정)</t>
        </is>
      </c>
      <c r="G420" s="5" t="n">
        <v>8000000567</v>
      </c>
      <c r="H420" s="5" t="n">
        <v>1079</v>
      </c>
      <c r="I420" s="2" t="inlineStr">
        <is>
          <t>보통주식</t>
        </is>
      </c>
      <c r="J420" s="6" t="n">
        <v>7414273</v>
      </c>
      <c r="K420" s="2" t="inlineStr">
        <is>
          <t>2026-07-02</t>
        </is>
      </c>
      <c r="L420" s="2" t="inlineStr">
        <is>
          <t>2026-07-20</t>
        </is>
      </c>
      <c r="M420" s="2" t="inlineStr">
        <is>
          <t>-</t>
        </is>
      </c>
      <c r="N420" s="2" t="inlineStr">
        <is>
          <t>-</t>
        </is>
      </c>
      <c r="O420" s="10" t="n">
        <v>47.69840202726828</v>
      </c>
      <c r="P420" s="7" t="inlineStr">
        <is>
          <t>시설자금 (80.0억원)</t>
        </is>
      </c>
      <c r="Q420" s="2" t="inlineStr">
        <is>
          <t>-</t>
        </is>
      </c>
      <c r="R420" s="2" t="inlineStr">
        <is>
          <t>-</t>
        </is>
      </c>
      <c r="S420" s="2" t="inlineStr">
        <is>
          <t>20260623000404</t>
        </is>
      </c>
      <c r="T420" s="8">
        <f>HYPERLINK("https://dart.fss.or.kr/dsaf001/main.do?rcpNo=20260623000404", "공시열람")</f>
        <v/>
      </c>
    </row>
    <row r="421" ht="36" customHeight="1">
      <c r="A421" s="2" t="inlineStr">
        <is>
          <t>2026-06-23</t>
        </is>
      </c>
      <c r="B421" s="3" t="inlineStr">
        <is>
          <t>오리엔트정공</t>
        </is>
      </c>
      <c r="C421" s="2" t="inlineStr">
        <is>
          <t>코스닥</t>
        </is>
      </c>
      <c r="D421" s="2" t="inlineStr">
        <is>
          <t>065500</t>
        </is>
      </c>
      <c r="E421" s="9" t="inlineStr">
        <is>
          <t>유상증자</t>
        </is>
      </c>
      <c r="F421" s="3" t="inlineStr">
        <is>
          <t>주요사항보고서(유상증자결정)</t>
        </is>
      </c>
      <c r="G421" s="5" t="n">
        <v>2897500000</v>
      </c>
      <c r="H421" s="5" t="n">
        <v>1159</v>
      </c>
      <c r="I421" s="2" t="inlineStr">
        <is>
          <t>보통주식</t>
        </is>
      </c>
      <c r="J421" s="6" t="n">
        <v>2500000</v>
      </c>
      <c r="K421" s="2" t="inlineStr">
        <is>
          <t>2026-07-08</t>
        </is>
      </c>
      <c r="L421" s="2" t="inlineStr">
        <is>
          <t>2026-07-29</t>
        </is>
      </c>
      <c r="M421" s="2" t="inlineStr">
        <is>
          <t>-</t>
        </is>
      </c>
      <c r="N421" s="2" t="inlineStr">
        <is>
          <t>-</t>
        </is>
      </c>
      <c r="O421" s="10" t="n">
        <v>7.52040013823097</v>
      </c>
      <c r="P421" s="7" t="inlineStr">
        <is>
          <t>기타자금 (29.0억원)</t>
        </is>
      </c>
      <c r="Q421" s="2" t="inlineStr">
        <is>
          <t>-</t>
        </is>
      </c>
      <c r="R421" s="2" t="inlineStr">
        <is>
          <t>-</t>
        </is>
      </c>
      <c r="S421" s="2" t="inlineStr">
        <is>
          <t>20260623000348</t>
        </is>
      </c>
      <c r="T421" s="8">
        <f>HYPERLINK("https://dart.fss.or.kr/dsaf001/main.do?rcpNo=20260623000348", "공시열람")</f>
        <v/>
      </c>
    </row>
    <row r="422" ht="36" customHeight="1">
      <c r="A422" s="2" t="inlineStr">
        <is>
          <t>2026-06-23</t>
        </is>
      </c>
      <c r="B422" s="3" t="inlineStr">
        <is>
          <t>오가닉티코스메틱</t>
        </is>
      </c>
      <c r="C422" s="2" t="inlineStr">
        <is>
          <t>코스닥</t>
        </is>
      </c>
      <c r="D422" s="2" t="inlineStr">
        <is>
          <t>900300</t>
        </is>
      </c>
      <c r="E422" s="9" t="inlineStr">
        <is>
          <t>유상증자</t>
        </is>
      </c>
      <c r="F422" s="3" t="inlineStr">
        <is>
          <t>주요사항보고서(유상증자결정)</t>
        </is>
      </c>
      <c r="G422" s="5" t="n">
        <v>17472</v>
      </c>
      <c r="H422" s="5" t="n">
        <v>4550</v>
      </c>
      <c r="I422" s="2" t="inlineStr">
        <is>
          <t>보통주식</t>
        </is>
      </c>
      <c r="J422" s="6" t="n">
        <v>12800000</v>
      </c>
      <c r="K422" s="2" t="inlineStr">
        <is>
          <t>2026-07-02</t>
        </is>
      </c>
      <c r="L422" s="2" t="inlineStr">
        <is>
          <t>2026-07-30</t>
        </is>
      </c>
      <c r="M422" s="2" t="inlineStr">
        <is>
          <t>-</t>
        </is>
      </c>
      <c r="N422" s="2" t="inlineStr">
        <is>
          <t>-</t>
        </is>
      </c>
      <c r="O422" s="10" t="n">
        <v>164.5223703509095</v>
      </c>
      <c r="P422" s="7" t="inlineStr">
        <is>
          <t>운영자금 (17,472원)</t>
        </is>
      </c>
      <c r="Q422" s="2" t="inlineStr">
        <is>
          <t>-</t>
        </is>
      </c>
      <c r="R422" s="2" t="inlineStr">
        <is>
          <t>-</t>
        </is>
      </c>
      <c r="S422" s="2" t="inlineStr">
        <is>
          <t>20260623000394</t>
        </is>
      </c>
      <c r="T422" s="8">
        <f>HYPERLINK("https://dart.fss.or.kr/dsaf001/main.do?rcpNo=20260623000394", "공시열람")</f>
        <v/>
      </c>
    </row>
    <row r="423" ht="36" customHeight="1">
      <c r="A423" s="2" t="inlineStr">
        <is>
          <t>2026-06-23</t>
        </is>
      </c>
      <c r="B423" s="3" t="inlineStr">
        <is>
          <t>트리니티항공</t>
        </is>
      </c>
      <c r="C423" s="2" t="inlineStr">
        <is>
          <t>코스피</t>
        </is>
      </c>
      <c r="D423" s="2" t="inlineStr">
        <is>
          <t>091810</t>
        </is>
      </c>
      <c r="E423" s="2" t="inlineStr">
        <is>
          <t>기타</t>
        </is>
      </c>
      <c r="F423" s="3" t="inlineStr">
        <is>
          <t>특수관계인에대한사모사채발행의결</t>
        </is>
      </c>
      <c r="G423" s="5" t="inlineStr"/>
      <c r="H423" s="5" t="inlineStr"/>
      <c r="I423" s="2" t="inlineStr">
        <is>
          <t>-</t>
        </is>
      </c>
      <c r="J423" s="6" t="inlineStr"/>
      <c r="K423" s="2" t="inlineStr">
        <is>
          <t>-</t>
        </is>
      </c>
      <c r="L423" s="2" t="inlineStr">
        <is>
          <t>-</t>
        </is>
      </c>
      <c r="M423" s="2" t="inlineStr">
        <is>
          <t>-</t>
        </is>
      </c>
      <c r="N423" s="2" t="inlineStr">
        <is>
          <t>-</t>
        </is>
      </c>
      <c r="O423" s="3" t="inlineStr"/>
      <c r="P423" s="7" t="inlineStr">
        <is>
          <t>-</t>
        </is>
      </c>
      <c r="Q423" s="2" t="inlineStr">
        <is>
          <t>-</t>
        </is>
      </c>
      <c r="R423" s="2" t="inlineStr">
        <is>
          <t>-</t>
        </is>
      </c>
      <c r="S423" s="2" t="inlineStr">
        <is>
          <t>20260623000285</t>
        </is>
      </c>
      <c r="T423" s="8">
        <f>HYPERLINK("https://dart.fss.or.kr/dsaf001/main.do?rcpNo=20260623000285", "공시열람")</f>
        <v/>
      </c>
    </row>
    <row r="424" ht="36" customHeight="1">
      <c r="A424" s="2" t="inlineStr">
        <is>
          <t>2026-06-23 (정정: 2026-06-24)</t>
        </is>
      </c>
      <c r="B424" s="3" t="inlineStr">
        <is>
          <t>헝셩그룹</t>
        </is>
      </c>
      <c r="C424" s="2" t="inlineStr">
        <is>
          <t>코스닥</t>
        </is>
      </c>
      <c r="D424" s="2" t="inlineStr">
        <is>
          <t>900270</t>
        </is>
      </c>
      <c r="E424" s="9" t="inlineStr">
        <is>
          <t>유상증자</t>
        </is>
      </c>
      <c r="F424" s="3" t="inlineStr">
        <is>
          <t>주요사항보고서(유상증자결정) (정정: 20260624)</t>
        </is>
      </c>
      <c r="G424" s="5" t="n">
        <v>3360</v>
      </c>
      <c r="H424" s="5" t="n">
        <v>600</v>
      </c>
      <c r="I424" s="2" t="inlineStr">
        <is>
          <t>보통주식</t>
        </is>
      </c>
      <c r="J424" s="6" t="n">
        <v>53561441</v>
      </c>
      <c r="K424" s="2" t="inlineStr">
        <is>
          <t>2026-07-27</t>
        </is>
      </c>
      <c r="L424" s="2" t="inlineStr">
        <is>
          <t>2026-08-27</t>
        </is>
      </c>
      <c r="M424" s="2" t="inlineStr">
        <is>
          <t>-</t>
        </is>
      </c>
      <c r="N424" s="2" t="inlineStr">
        <is>
          <t>-</t>
        </is>
      </c>
      <c r="O424" s="10" t="n">
        <v>209.539990331531</v>
      </c>
      <c r="P424" s="7" t="inlineStr">
        <is>
          <t>운영자금 (3,360원)</t>
        </is>
      </c>
      <c r="Q424" s="2" t="inlineStr">
        <is>
          <t>-</t>
        </is>
      </c>
      <c r="R424" s="2" t="inlineStr">
        <is>
          <t>-</t>
        </is>
      </c>
      <c r="S424" s="2" t="inlineStr">
        <is>
          <t>20260624000234</t>
        </is>
      </c>
      <c r="T424" s="8">
        <f>HYPERLINK("https://dart.fss.or.kr/dsaf001/main.do?rcpNo=20260624000234", "공시열람")</f>
        <v/>
      </c>
    </row>
    <row r="425" ht="36" customHeight="1">
      <c r="A425" s="2" t="inlineStr">
        <is>
          <t>2026-06-23</t>
        </is>
      </c>
      <c r="B425" s="3" t="inlineStr">
        <is>
          <t>시너지이노베이션</t>
        </is>
      </c>
      <c r="C425" s="2" t="inlineStr">
        <is>
          <t>코스닥</t>
        </is>
      </c>
      <c r="D425" s="2" t="inlineStr">
        <is>
          <t>048870</t>
        </is>
      </c>
      <c r="E425" s="2" t="inlineStr">
        <is>
          <t>기타</t>
        </is>
      </c>
      <c r="F425" s="3" t="inlineStr">
        <is>
          <t xml:space="preserve">전환사채(해외전환사채포함)발행후만기전사채취득              </t>
        </is>
      </c>
      <c r="G425" s="5" t="inlineStr"/>
      <c r="H425" s="5" t="inlineStr"/>
      <c r="I425" s="2" t="inlineStr">
        <is>
          <t>-</t>
        </is>
      </c>
      <c r="J425" s="6" t="inlineStr"/>
      <c r="K425" s="2" t="inlineStr">
        <is>
          <t>-</t>
        </is>
      </c>
      <c r="L425" s="2" t="inlineStr">
        <is>
          <t>-</t>
        </is>
      </c>
      <c r="M425" s="2" t="inlineStr">
        <is>
          <t>-</t>
        </is>
      </c>
      <c r="N425" s="2" t="inlineStr">
        <is>
          <t>-</t>
        </is>
      </c>
      <c r="O425" s="3" t="inlineStr"/>
      <c r="P425" s="7" t="inlineStr">
        <is>
          <t>-</t>
        </is>
      </c>
      <c r="Q425" s="2" t="inlineStr">
        <is>
          <t>-</t>
        </is>
      </c>
      <c r="R425" s="2" t="inlineStr">
        <is>
          <t>-</t>
        </is>
      </c>
      <c r="S425" s="2" t="inlineStr">
        <is>
          <t>20260623900253</t>
        </is>
      </c>
      <c r="T425" s="8">
        <f>HYPERLINK("https://dart.fss.or.kr/dsaf001/main.do?rcpNo=20260623900253", "공시열람")</f>
        <v/>
      </c>
    </row>
    <row r="426" ht="36" customHeight="1">
      <c r="A426" s="2" t="inlineStr">
        <is>
          <t>2025-09-03 (정정: 2026-06-24)</t>
        </is>
      </c>
      <c r="B426" s="3" t="inlineStr">
        <is>
          <t>에이프로젠</t>
        </is>
      </c>
      <c r="C426" s="2" t="inlineStr">
        <is>
          <t>코스피</t>
        </is>
      </c>
      <c r="D426" s="2" t="inlineStr">
        <is>
          <t>007460</t>
        </is>
      </c>
      <c r="E426" s="9" t="inlineStr">
        <is>
          <t>유상증자</t>
        </is>
      </c>
      <c r="F426" s="3" t="inlineStr">
        <is>
          <t>[기재정정]주요사항보고서(유상증자결정)(자회사의 주요경영사항)              (제3자배정)</t>
        </is>
      </c>
      <c r="G426" s="5" t="n">
        <v>20100</v>
      </c>
      <c r="H426" s="5" t="n">
        <v>1000</v>
      </c>
      <c r="I426" s="2" t="inlineStr">
        <is>
          <t>보통주식</t>
        </is>
      </c>
      <c r="J426" s="6" t="n">
        <v>40362000</v>
      </c>
      <c r="K426" s="2" t="inlineStr">
        <is>
          <t>2026.11.20</t>
        </is>
      </c>
      <c r="L426" s="2" t="inlineStr">
        <is>
          <t>2026.12.18</t>
        </is>
      </c>
      <c r="M426" s="2" t="inlineStr">
        <is>
          <t>-</t>
        </is>
      </c>
      <c r="N426" s="2" t="inlineStr">
        <is>
          <t>-</t>
        </is>
      </c>
      <c r="O426" s="10" t="n">
        <v>205.3114429413547</v>
      </c>
      <c r="P426" s="7" t="inlineStr">
        <is>
          <t>운영자금 (20,100원)</t>
        </is>
      </c>
      <c r="Q426" s="2" t="inlineStr">
        <is>
          <t>-</t>
        </is>
      </c>
      <c r="R426" s="2" t="inlineStr">
        <is>
          <t>-</t>
        </is>
      </c>
      <c r="S426" s="2" t="inlineStr">
        <is>
          <t>20260624800913</t>
        </is>
      </c>
      <c r="T426" s="8">
        <f>HYPERLINK("https://dart.fss.or.kr/dsaf001/main.do?rcpNo=20260624800913", "공시열람")</f>
        <v/>
      </c>
    </row>
    <row r="427" ht="36" customHeight="1">
      <c r="A427" s="2" t="inlineStr">
        <is>
          <t>2025-09-03 (정정: 2026-06-24)</t>
        </is>
      </c>
      <c r="B427" s="3" t="inlineStr">
        <is>
          <t>앱튼</t>
        </is>
      </c>
      <c r="C427" s="2" t="inlineStr">
        <is>
          <t>코스닥</t>
        </is>
      </c>
      <c r="D427" s="2" t="inlineStr">
        <is>
          <t>270520</t>
        </is>
      </c>
      <c r="E427" s="9" t="inlineStr">
        <is>
          <t>유상증자</t>
        </is>
      </c>
      <c r="F427" s="3" t="inlineStr">
        <is>
          <t>[기재정정]주요사항보고서(유상증자결정)</t>
        </is>
      </c>
      <c r="G427" s="5" t="n">
        <v>20100</v>
      </c>
      <c r="H427" s="5" t="n">
        <v>1000</v>
      </c>
      <c r="I427" s="2" t="inlineStr">
        <is>
          <t>보통주식</t>
        </is>
      </c>
      <c r="J427" s="6" t="n">
        <v>40362000</v>
      </c>
      <c r="K427" s="2" t="inlineStr">
        <is>
          <t>2026.11.20</t>
        </is>
      </c>
      <c r="L427" s="2" t="inlineStr">
        <is>
          <t>2026.12.18</t>
        </is>
      </c>
      <c r="M427" s="2" t="inlineStr">
        <is>
          <t>-</t>
        </is>
      </c>
      <c r="N427" s="2" t="inlineStr">
        <is>
          <t>-</t>
        </is>
      </c>
      <c r="O427" s="10" t="n">
        <v>205.3114429413547</v>
      </c>
      <c r="P427" s="7" t="inlineStr">
        <is>
          <t>운영자금 (20,100원)</t>
        </is>
      </c>
      <c r="Q427" s="2" t="inlineStr">
        <is>
          <t>-</t>
        </is>
      </c>
      <c r="R427" s="2" t="inlineStr">
        <is>
          <t>-</t>
        </is>
      </c>
      <c r="S427" s="2" t="inlineStr">
        <is>
          <t>20260624000434</t>
        </is>
      </c>
      <c r="T427" s="8">
        <f>HYPERLINK("https://dart.fss.or.kr/dsaf001/main.do?rcpNo=20260624000434", "공시열람")</f>
        <v/>
      </c>
    </row>
    <row r="428" ht="36" customHeight="1">
      <c r="A428" s="2" t="inlineStr">
        <is>
          <t>2026-06-24 (정정: 2026-06-24)</t>
        </is>
      </c>
      <c r="B428" s="3" t="inlineStr">
        <is>
          <t>셀레믹스</t>
        </is>
      </c>
      <c r="C428" s="2" t="inlineStr">
        <is>
          <t>코스닥</t>
        </is>
      </c>
      <c r="D428" s="2" t="inlineStr">
        <is>
          <t>331920</t>
        </is>
      </c>
      <c r="E428" s="9" t="inlineStr">
        <is>
          <t>유상증자</t>
        </is>
      </c>
      <c r="F428" s="3" t="inlineStr">
        <is>
          <t>주요사항보고서(유상증자결정) (정정: 20260624)</t>
        </is>
      </c>
      <c r="G428" s="5" t="n">
        <v>11599994484</v>
      </c>
      <c r="H428" s="5" t="n">
        <v>8378</v>
      </c>
      <c r="I428" s="2" t="inlineStr">
        <is>
          <t>보통주식</t>
        </is>
      </c>
      <c r="J428" s="6" t="n">
        <v>1384578</v>
      </c>
      <c r="K428" s="2" t="inlineStr">
        <is>
          <t>2026-05-29</t>
        </is>
      </c>
      <c r="L428" s="2" t="inlineStr">
        <is>
          <t>2026-07-16</t>
        </is>
      </c>
      <c r="M428" s="2" t="inlineStr">
        <is>
          <t>-</t>
        </is>
      </c>
      <c r="N428" s="2" t="inlineStr">
        <is>
          <t>-</t>
        </is>
      </c>
      <c r="O428" s="10" t="n">
        <v>16.95924669665469</v>
      </c>
      <c r="P428" s="7" t="inlineStr">
        <is>
          <t>타법인증권취득자금 (116.0억원)</t>
        </is>
      </c>
      <c r="Q428" s="2" t="inlineStr">
        <is>
          <t>-</t>
        </is>
      </c>
      <c r="R428" s="2" t="inlineStr">
        <is>
          <t>-</t>
        </is>
      </c>
      <c r="S428" s="2" t="inlineStr">
        <is>
          <t>20260624000290</t>
        </is>
      </c>
      <c r="T428" s="8">
        <f>HYPERLINK("https://dart.fss.or.kr/dsaf001/main.do?rcpNo=20260624000290", "공시열람")</f>
        <v/>
      </c>
    </row>
    <row r="429" ht="36" customHeight="1">
      <c r="A429" s="2" t="inlineStr">
        <is>
          <t>2026-06-24</t>
        </is>
      </c>
      <c r="B429" s="3" t="inlineStr">
        <is>
          <t>나노씨엠에스</t>
        </is>
      </c>
      <c r="C429" s="2" t="inlineStr">
        <is>
          <t>코스닥</t>
        </is>
      </c>
      <c r="D429" s="2" t="inlineStr">
        <is>
          <t>247660</t>
        </is>
      </c>
      <c r="E429" s="2" t="inlineStr">
        <is>
          <t>기타</t>
        </is>
      </c>
      <c r="F429" s="3" t="inlineStr">
        <is>
          <t xml:space="preserve">전환사채(해외전환사채포함)발행후만기전사채취득              </t>
        </is>
      </c>
      <c r="G429" s="5" t="inlineStr"/>
      <c r="H429" s="5" t="inlineStr"/>
      <c r="I429" s="2" t="inlineStr">
        <is>
          <t>-</t>
        </is>
      </c>
      <c r="J429" s="6" t="inlineStr"/>
      <c r="K429" s="2" t="inlineStr">
        <is>
          <t>-</t>
        </is>
      </c>
      <c r="L429" s="2" t="inlineStr">
        <is>
          <t>-</t>
        </is>
      </c>
      <c r="M429" s="2" t="inlineStr">
        <is>
          <t>-</t>
        </is>
      </c>
      <c r="N429" s="2" t="inlineStr">
        <is>
          <t>-</t>
        </is>
      </c>
      <c r="O429" s="3" t="inlineStr"/>
      <c r="P429" s="7" t="inlineStr">
        <is>
          <t>-</t>
        </is>
      </c>
      <c r="Q429" s="2" t="inlineStr">
        <is>
          <t>-</t>
        </is>
      </c>
      <c r="R429" s="2" t="inlineStr">
        <is>
          <t>-</t>
        </is>
      </c>
      <c r="S429" s="2" t="inlineStr">
        <is>
          <t>20260624900831</t>
        </is>
      </c>
      <c r="T429" s="8">
        <f>HYPERLINK("https://dart.fss.or.kr/dsaf001/main.do?rcpNo=20260624900831", "공시열람")</f>
        <v/>
      </c>
    </row>
    <row r="430" ht="36" customHeight="1">
      <c r="A430" s="2" t="inlineStr">
        <is>
          <t>2026-06-24</t>
        </is>
      </c>
      <c r="B430" s="3" t="inlineStr">
        <is>
          <t>SK스퀘어</t>
        </is>
      </c>
      <c r="C430" s="2" t="inlineStr">
        <is>
          <t>코스피</t>
        </is>
      </c>
      <c r="D430" s="2" t="inlineStr">
        <is>
          <t>402340</t>
        </is>
      </c>
      <c r="E430" s="9" t="inlineStr">
        <is>
          <t>유상증자</t>
        </is>
      </c>
      <c r="F430" s="3" t="inlineStr">
        <is>
          <t xml:space="preserve">주요사항보고서(유상증자결정)(자회사의 주요경영사항)              </t>
        </is>
      </c>
      <c r="G430" s="5" t="n">
        <v>45453450000000</v>
      </c>
      <c r="H430" s="5" t="n">
        <v>2555000</v>
      </c>
      <c r="I430" s="2" t="inlineStr">
        <is>
          <t>보통주식</t>
        </is>
      </c>
      <c r="J430" s="6" t="n">
        <v>17790000</v>
      </c>
      <c r="K430" s="2" t="inlineStr">
        <is>
          <t>2026.07.14</t>
        </is>
      </c>
      <c r="L430" s="2" t="inlineStr">
        <is>
          <t>2026.07.29</t>
        </is>
      </c>
      <c r="M430" s="2" t="inlineStr">
        <is>
          <t>-</t>
        </is>
      </c>
      <c r="N430" s="2" t="inlineStr">
        <is>
          <t>-</t>
        </is>
      </c>
      <c r="O430" s="10" t="n">
        <v>2.496133150898131</v>
      </c>
      <c r="P430" s="7" t="inlineStr">
        <is>
          <t>시설자금 (454534.5억원)</t>
        </is>
      </c>
      <c r="Q430" s="2" t="inlineStr">
        <is>
          <t>-</t>
        </is>
      </c>
      <c r="R430" s="2" t="inlineStr">
        <is>
          <t>-</t>
        </is>
      </c>
      <c r="S430" s="2" t="inlineStr">
        <is>
          <t>20260624800818</t>
        </is>
      </c>
      <c r="T430" s="8">
        <f>HYPERLINK("https://dart.fss.or.kr/dsaf001/main.do?rcpNo=20260624800818", "공시열람")</f>
        <v/>
      </c>
    </row>
    <row r="431" ht="36" customHeight="1">
      <c r="A431" s="2" t="inlineStr">
        <is>
          <t>2026-06-24 (정정: 2026-06-24)</t>
        </is>
      </c>
      <c r="B431" s="3" t="inlineStr">
        <is>
          <t>알파AI</t>
        </is>
      </c>
      <c r="C431" s="2" t="inlineStr">
        <is>
          <t>코스닥</t>
        </is>
      </c>
      <c r="D431" s="2" t="inlineStr">
        <is>
          <t>043100</t>
        </is>
      </c>
      <c r="E431" s="11" t="inlineStr">
        <is>
          <t>전환사채(CB)</t>
        </is>
      </c>
      <c r="F431" s="3" t="inlineStr">
        <is>
          <t>[기재정정]주요사항보고서(전환사채권발행결정) (정정: 20260624)</t>
        </is>
      </c>
      <c r="G431" s="5" t="inlineStr"/>
      <c r="H431" s="5" t="inlineStr"/>
      <c r="I431" s="2" t="inlineStr">
        <is>
          <t>-</t>
        </is>
      </c>
      <c r="J431" s="6" t="inlineStr"/>
      <c r="K431" s="2" t="inlineStr">
        <is>
          <t>-</t>
        </is>
      </c>
      <c r="L431" s="2" t="inlineStr">
        <is>
          <t>-</t>
        </is>
      </c>
      <c r="M431" s="2" t="inlineStr">
        <is>
          <t>2027-08-26</t>
        </is>
      </c>
      <c r="N431" s="2" t="inlineStr">
        <is>
          <t>2029-07-25</t>
        </is>
      </c>
      <c r="O431" s="3" t="inlineStr"/>
      <c r="P431" s="7" t="inlineStr">
        <is>
          <t>-</t>
        </is>
      </c>
      <c r="Q431" s="2" t="inlineStr">
        <is>
          <t>-</t>
        </is>
      </c>
      <c r="R431" s="2" t="inlineStr">
        <is>
          <t>2027-04-30</t>
        </is>
      </c>
      <c r="S431" s="2" t="inlineStr">
        <is>
          <t>20260624000407</t>
        </is>
      </c>
      <c r="T431" s="8">
        <f>HYPERLINK("https://dart.fss.or.kr/dsaf001/main.do?rcpNo=20260624000407", "공시열람")</f>
        <v/>
      </c>
    </row>
    <row r="432" ht="36" customHeight="1">
      <c r="A432" s="2" t="inlineStr">
        <is>
          <t>2026-06-24</t>
        </is>
      </c>
      <c r="B432" s="3" t="inlineStr">
        <is>
          <t>SK하이닉스</t>
        </is>
      </c>
      <c r="C432" s="2" t="inlineStr">
        <is>
          <t>코스피</t>
        </is>
      </c>
      <c r="D432" s="2" t="inlineStr">
        <is>
          <t>000660</t>
        </is>
      </c>
      <c r="E432" s="9" t="inlineStr">
        <is>
          <t>유상증자</t>
        </is>
      </c>
      <c r="F432" s="3" t="inlineStr">
        <is>
          <t>주요사항보고서(유상증자결정)</t>
        </is>
      </c>
      <c r="G432" s="5" t="n">
        <v>45453450000000</v>
      </c>
      <c r="H432" s="5" t="n">
        <v>2555000</v>
      </c>
      <c r="I432" s="2" t="inlineStr">
        <is>
          <t>보통주식</t>
        </is>
      </c>
      <c r="J432" s="6" t="n">
        <v>17790000</v>
      </c>
      <c r="K432" s="2" t="inlineStr">
        <is>
          <t>2026.07.14</t>
        </is>
      </c>
      <c r="L432" s="2" t="inlineStr">
        <is>
          <t>2026.07.29</t>
        </is>
      </c>
      <c r="M432" s="2" t="inlineStr">
        <is>
          <t>-</t>
        </is>
      </c>
      <c r="N432" s="2" t="inlineStr">
        <is>
          <t>-</t>
        </is>
      </c>
      <c r="O432" s="10" t="n">
        <v>2.496133150898131</v>
      </c>
      <c r="P432" s="7" t="inlineStr">
        <is>
          <t>시설자금 (454534.5억원)</t>
        </is>
      </c>
      <c r="Q432" s="2" t="inlineStr">
        <is>
          <t>-</t>
        </is>
      </c>
      <c r="R432" s="2" t="inlineStr">
        <is>
          <t>-</t>
        </is>
      </c>
      <c r="S432" s="2" t="inlineStr">
        <is>
          <t>20260624000420</t>
        </is>
      </c>
      <c r="T432" s="8">
        <f>HYPERLINK("https://dart.fss.or.kr/dsaf001/main.do?rcpNo=20260624000420", "공시열람")</f>
        <v/>
      </c>
    </row>
    <row r="433" ht="36" customHeight="1">
      <c r="A433" s="2" t="inlineStr">
        <is>
          <t>2022-09-22 (정정: 2026-06-24)</t>
        </is>
      </c>
      <c r="B433" s="3" t="inlineStr">
        <is>
          <t>케이옥션</t>
        </is>
      </c>
      <c r="C433" s="2" t="inlineStr">
        <is>
          <t>코스닥</t>
        </is>
      </c>
      <c r="D433" s="2" t="inlineStr">
        <is>
          <t>102370</t>
        </is>
      </c>
      <c r="E433" s="11" t="inlineStr">
        <is>
          <t>전환사채(CB)</t>
        </is>
      </c>
      <c r="F433" s="3" t="inlineStr">
        <is>
          <t>[기재정정]주요사항보고서(전환사채권발행결정)</t>
        </is>
      </c>
      <c r="G433" s="5" t="inlineStr"/>
      <c r="H433" s="5" t="inlineStr"/>
      <c r="I433" s="2" t="inlineStr">
        <is>
          <t>-</t>
        </is>
      </c>
      <c r="J433" s="6" t="inlineStr"/>
      <c r="K433" s="2" t="inlineStr">
        <is>
          <t>-</t>
        </is>
      </c>
      <c r="L433" s="2" t="inlineStr">
        <is>
          <t>-</t>
        </is>
      </c>
      <c r="M433" s="2" t="inlineStr">
        <is>
          <t>2023-09-26</t>
        </is>
      </c>
      <c r="N433" s="2" t="inlineStr">
        <is>
          <t>2027-08-26</t>
        </is>
      </c>
      <c r="O433" s="3" t="inlineStr"/>
      <c r="P433" s="7" t="inlineStr">
        <is>
          <t>-</t>
        </is>
      </c>
      <c r="Q433" s="2" t="inlineStr">
        <is>
          <t>-</t>
        </is>
      </c>
      <c r="R433" s="2" t="inlineStr">
        <is>
          <t>2025-09-26</t>
        </is>
      </c>
      <c r="S433" s="2" t="inlineStr">
        <is>
          <t>20260623000423</t>
        </is>
      </c>
      <c r="T433" s="8">
        <f>HYPERLINK("https://dart.fss.or.kr/dsaf001/main.do?rcpNo=20260623000423", "공시열람")</f>
        <v/>
      </c>
    </row>
    <row r="434" ht="36" customHeight="1">
      <c r="A434" s="2" t="inlineStr">
        <is>
          <t>2026-06-25</t>
        </is>
      </c>
      <c r="B434" s="3" t="inlineStr">
        <is>
          <t>크로넥스</t>
        </is>
      </c>
      <c r="C434" s="2" t="inlineStr">
        <is>
          <t>코넥스</t>
        </is>
      </c>
      <c r="D434" s="2" t="inlineStr">
        <is>
          <t>215570</t>
        </is>
      </c>
      <c r="E434" s="9" t="inlineStr">
        <is>
          <t>유상증자</t>
        </is>
      </c>
      <c r="F434" s="3" t="inlineStr">
        <is>
          <t>주요사항보고서(유상증자결정)</t>
        </is>
      </c>
      <c r="G434" s="5" t="n">
        <v>355424517</v>
      </c>
      <c r="H434" s="5" t="n">
        <v>831</v>
      </c>
      <c r="I434" s="2" t="inlineStr">
        <is>
          <t>보통주식</t>
        </is>
      </c>
      <c r="J434" s="6" t="n">
        <v>427707</v>
      </c>
      <c r="K434" s="2" t="inlineStr">
        <is>
          <t>2026-07-06</t>
        </is>
      </c>
      <c r="L434" s="2" t="inlineStr">
        <is>
          <t>2026-08-03</t>
        </is>
      </c>
      <c r="M434" s="2" t="inlineStr">
        <is>
          <t>-</t>
        </is>
      </c>
      <c r="N434" s="2" t="inlineStr">
        <is>
          <t>-</t>
        </is>
      </c>
      <c r="O434" s="10" t="n">
        <v>6.862588737259411</v>
      </c>
      <c r="P434" s="7" t="inlineStr">
        <is>
          <t>채무상환자금 (3.1억원), 타법인증권취득자금 (49,999,608원)</t>
        </is>
      </c>
      <c r="Q434" s="2" t="inlineStr">
        <is>
          <t>-</t>
        </is>
      </c>
      <c r="R434" s="2" t="inlineStr">
        <is>
          <t>-</t>
        </is>
      </c>
      <c r="S434" s="2" t="inlineStr">
        <is>
          <t>20260625000623</t>
        </is>
      </c>
      <c r="T434" s="8">
        <f>HYPERLINK("https://dart.fss.or.kr/dsaf001/main.do?rcpNo=20260625000623", "공시열람")</f>
        <v/>
      </c>
    </row>
    <row r="435" ht="36" customHeight="1">
      <c r="A435" s="2" t="inlineStr">
        <is>
          <t>2026-06-25</t>
        </is>
      </c>
      <c r="B435" s="3" t="inlineStr">
        <is>
          <t>넥써쓰</t>
        </is>
      </c>
      <c r="C435" s="2" t="inlineStr">
        <is>
          <t>코스닥</t>
        </is>
      </c>
      <c r="D435" s="2" t="inlineStr">
        <is>
          <t>205500</t>
        </is>
      </c>
      <c r="E435" s="11" t="inlineStr">
        <is>
          <t>전환사채(CB)</t>
        </is>
      </c>
      <c r="F435" s="3" t="inlineStr">
        <is>
          <t>[첨부정정]주요사항보고서(전환사채권발행결정)</t>
        </is>
      </c>
      <c r="G435" s="5" t="inlineStr"/>
      <c r="H435" s="5" t="inlineStr"/>
      <c r="I435" s="2" t="inlineStr">
        <is>
          <t>-</t>
        </is>
      </c>
      <c r="J435" s="6" t="inlineStr"/>
      <c r="K435" s="2" t="inlineStr">
        <is>
          <t>-</t>
        </is>
      </c>
      <c r="L435" s="2" t="inlineStr">
        <is>
          <t>-</t>
        </is>
      </c>
      <c r="M435" s="2" t="inlineStr">
        <is>
          <t>-</t>
        </is>
      </c>
      <c r="N435" s="2" t="inlineStr">
        <is>
          <t>-</t>
        </is>
      </c>
      <c r="O435" s="3" t="inlineStr"/>
      <c r="P435" s="7" t="inlineStr">
        <is>
          <t>-</t>
        </is>
      </c>
      <c r="Q435" s="2" t="inlineStr">
        <is>
          <t>-</t>
        </is>
      </c>
      <c r="R435" s="2" t="inlineStr">
        <is>
          <t>-</t>
        </is>
      </c>
      <c r="S435" s="2" t="inlineStr">
        <is>
          <t>20260625000562</t>
        </is>
      </c>
      <c r="T435" s="8">
        <f>HYPERLINK("https://dart.fss.or.kr/dsaf001/main.do?rcpNo=20260625000562", "공시열람")</f>
        <v/>
      </c>
    </row>
    <row r="436" ht="36" customHeight="1">
      <c r="A436" s="2" t="inlineStr">
        <is>
          <t>2026-06-25</t>
        </is>
      </c>
      <c r="B436" s="3" t="inlineStr">
        <is>
          <t>에이프로젠</t>
        </is>
      </c>
      <c r="C436" s="2" t="inlineStr">
        <is>
          <t>코스피</t>
        </is>
      </c>
      <c r="D436" s="2" t="inlineStr">
        <is>
          <t>007460</t>
        </is>
      </c>
      <c r="E436" s="9" t="inlineStr">
        <is>
          <t>유상증자</t>
        </is>
      </c>
      <c r="F436" s="3" t="inlineStr">
        <is>
          <t>주요사항보고서(유상증자결정)(자회사의 주요경영사항)              (제3자배정)</t>
        </is>
      </c>
      <c r="G436" s="5" t="n">
        <v>3500000000</v>
      </c>
      <c r="H436" s="5" t="n">
        <v>1000</v>
      </c>
      <c r="I436" s="2" t="inlineStr">
        <is>
          <t>보통주식</t>
        </is>
      </c>
      <c r="J436" s="6" t="n">
        <v>3500000</v>
      </c>
      <c r="K436" s="2" t="inlineStr">
        <is>
          <t>2026.07.24</t>
        </is>
      </c>
      <c r="L436" s="2" t="inlineStr">
        <is>
          <t>2026.08.28</t>
        </is>
      </c>
      <c r="M436" s="2" t="inlineStr">
        <is>
          <t>-</t>
        </is>
      </c>
      <c r="N436" s="2" t="inlineStr">
        <is>
          <t>-</t>
        </is>
      </c>
      <c r="O436" s="10" t="n">
        <v>17.80362842016604</v>
      </c>
      <c r="P436" s="7" t="inlineStr">
        <is>
          <t>타법인증권취득자금 (35.0억원)</t>
        </is>
      </c>
      <c r="Q436" s="2" t="inlineStr">
        <is>
          <t>-</t>
        </is>
      </c>
      <c r="R436" s="2" t="inlineStr">
        <is>
          <t>-</t>
        </is>
      </c>
      <c r="S436" s="2" t="inlineStr">
        <is>
          <t>20260625800723</t>
        </is>
      </c>
      <c r="T436" s="8">
        <f>HYPERLINK("https://dart.fss.or.kr/dsaf001/main.do?rcpNo=20260625800723", "공시열람")</f>
        <v/>
      </c>
    </row>
    <row r="437" ht="36" customHeight="1">
      <c r="A437" s="2" t="inlineStr">
        <is>
          <t>2026-06-25</t>
        </is>
      </c>
      <c r="B437" s="3" t="inlineStr">
        <is>
          <t>레몬</t>
        </is>
      </c>
      <c r="C437" s="2" t="inlineStr">
        <is>
          <t>코스닥</t>
        </is>
      </c>
      <c r="D437" s="2" t="inlineStr">
        <is>
          <t>294140</t>
        </is>
      </c>
      <c r="E437" s="9" t="inlineStr">
        <is>
          <t>유상증자</t>
        </is>
      </c>
      <c r="F437" s="3" t="inlineStr">
        <is>
          <t>주요사항보고서(유상증자결정)</t>
        </is>
      </c>
      <c r="G437" s="5" t="n">
        <v>265</v>
      </c>
      <c r="H437" s="5" t="n">
        <v>3029</v>
      </c>
      <c r="I437" s="2" t="inlineStr">
        <is>
          <t>보통주식</t>
        </is>
      </c>
      <c r="J437" s="6" t="n">
        <v>2500000</v>
      </c>
      <c r="K437" s="2" t="inlineStr">
        <is>
          <t>2026-07-03</t>
        </is>
      </c>
      <c r="L437" s="2" t="inlineStr">
        <is>
          <t>2026-07-21</t>
        </is>
      </c>
      <c r="M437" s="2" t="inlineStr">
        <is>
          <t>-</t>
        </is>
      </c>
      <c r="N437" s="2" t="inlineStr">
        <is>
          <t>-</t>
        </is>
      </c>
      <c r="O437" s="10" t="n">
        <v>11.15333615468125</v>
      </c>
      <c r="P437" s="7" t="inlineStr">
        <is>
          <t>운영자금 (265원)</t>
        </is>
      </c>
      <c r="Q437" s="2" t="inlineStr">
        <is>
          <t>-</t>
        </is>
      </c>
      <c r="R437" s="2" t="inlineStr">
        <is>
          <t>-</t>
        </is>
      </c>
      <c r="S437" s="2" t="inlineStr">
        <is>
          <t>20260625000509</t>
        </is>
      </c>
      <c r="T437" s="8">
        <f>HYPERLINK("https://dart.fss.or.kr/dsaf001/main.do?rcpNo=20260625000509", "공시열람")</f>
        <v/>
      </c>
    </row>
    <row r="438" ht="36" customHeight="1">
      <c r="A438" s="2" t="inlineStr">
        <is>
          <t>2026-06-25</t>
        </is>
      </c>
      <c r="B438" s="3" t="inlineStr">
        <is>
          <t>앱튼</t>
        </is>
      </c>
      <c r="C438" s="2" t="inlineStr">
        <is>
          <t>코스닥</t>
        </is>
      </c>
      <c r="D438" s="2" t="inlineStr">
        <is>
          <t>270520</t>
        </is>
      </c>
      <c r="E438" s="9" t="inlineStr">
        <is>
          <t>유상증자</t>
        </is>
      </c>
      <c r="F438" s="3" t="inlineStr">
        <is>
          <t>주요사항보고서(유상증자결정)</t>
        </is>
      </c>
      <c r="G438" s="5" t="n">
        <v>3500000000</v>
      </c>
      <c r="H438" s="5" t="n">
        <v>1000</v>
      </c>
      <c r="I438" s="2" t="inlineStr">
        <is>
          <t>보통주식</t>
        </is>
      </c>
      <c r="J438" s="6" t="n">
        <v>3500000</v>
      </c>
      <c r="K438" s="2" t="inlineStr">
        <is>
          <t>2026.07.24</t>
        </is>
      </c>
      <c r="L438" s="2" t="inlineStr">
        <is>
          <t>2026.08.28</t>
        </is>
      </c>
      <c r="M438" s="2" t="inlineStr">
        <is>
          <t>-</t>
        </is>
      </c>
      <c r="N438" s="2" t="inlineStr">
        <is>
          <t>-</t>
        </is>
      </c>
      <c r="O438" s="10" t="n">
        <v>17.80362842016604</v>
      </c>
      <c r="P438" s="7" t="inlineStr">
        <is>
          <t>타법인증권취득자금 (35.0억원)</t>
        </is>
      </c>
      <c r="Q438" s="2" t="inlineStr">
        <is>
          <t>-</t>
        </is>
      </c>
      <c r="R438" s="2" t="inlineStr">
        <is>
          <t>-</t>
        </is>
      </c>
      <c r="S438" s="2" t="inlineStr">
        <is>
          <t>20260625000313</t>
        </is>
      </c>
      <c r="T438" s="8">
        <f>HYPERLINK("https://dart.fss.or.kr/dsaf001/main.do?rcpNo=20260625000313", "공시열람")</f>
        <v/>
      </c>
    </row>
    <row r="439" ht="36" customHeight="1">
      <c r="A439" s="2" t="inlineStr">
        <is>
          <t>2026-06-25</t>
        </is>
      </c>
      <c r="B439" s="3" t="inlineStr">
        <is>
          <t>아이오케이이엔엠</t>
        </is>
      </c>
      <c r="C439" s="2" t="inlineStr">
        <is>
          <t>코스닥</t>
        </is>
      </c>
      <c r="D439" s="2" t="inlineStr">
        <is>
          <t>078860</t>
        </is>
      </c>
      <c r="E439" s="9" t="inlineStr">
        <is>
          <t>유상증자</t>
        </is>
      </c>
      <c r="F439" s="3" t="inlineStr">
        <is>
          <t>주요사항보고서(유상증자결정)</t>
        </is>
      </c>
      <c r="G439" s="5" t="n">
        <v>14000</v>
      </c>
      <c r="H439" s="5" t="n">
        <v>2580</v>
      </c>
      <c r="I439" s="2" t="inlineStr">
        <is>
          <t>보통주식</t>
        </is>
      </c>
      <c r="J439" s="6" t="n">
        <v>5813953</v>
      </c>
      <c r="K439" s="2" t="inlineStr">
        <is>
          <t>2026.07.31</t>
        </is>
      </c>
      <c r="L439" s="2" t="inlineStr">
        <is>
          <t>2026.08.19</t>
        </is>
      </c>
      <c r="M439" s="2" t="inlineStr">
        <is>
          <t>-</t>
        </is>
      </c>
      <c r="N439" s="2" t="inlineStr">
        <is>
          <t>-</t>
        </is>
      </c>
      <c r="O439" s="10" t="n">
        <v>97.94023979886207</v>
      </c>
      <c r="P439" s="7" t="inlineStr">
        <is>
          <t>운영자금 (7,000원), 기타자금 (7,000원)</t>
        </is>
      </c>
      <c r="Q439" s="2" t="inlineStr">
        <is>
          <t>-</t>
        </is>
      </c>
      <c r="R439" s="2" t="inlineStr">
        <is>
          <t>-</t>
        </is>
      </c>
      <c r="S439" s="2" t="inlineStr">
        <is>
          <t>20260625000472</t>
        </is>
      </c>
      <c r="T439" s="8">
        <f>HYPERLINK("https://dart.fss.or.kr/dsaf001/main.do?rcpNo=20260625000472", "공시열람")</f>
        <v/>
      </c>
    </row>
    <row r="440" ht="36" customHeight="1">
      <c r="A440" s="2" t="inlineStr">
        <is>
          <t>2026-06-25</t>
        </is>
      </c>
      <c r="B440" s="3" t="inlineStr">
        <is>
          <t>한양증권</t>
        </is>
      </c>
      <c r="C440" s="2" t="inlineStr">
        <is>
          <t>코스피</t>
        </is>
      </c>
      <c r="D440" s="2" t="inlineStr">
        <is>
          <t>001750</t>
        </is>
      </c>
      <c r="E440" s="9" t="inlineStr">
        <is>
          <t>유상증자</t>
        </is>
      </c>
      <c r="F440" s="3" t="inlineStr">
        <is>
          <t>주요사항보고서(유상증자결정)</t>
        </is>
      </c>
      <c r="G440" s="5" t="n">
        <v>50000</v>
      </c>
      <c r="H440" s="5" t="n">
        <v>21000</v>
      </c>
      <c r="I440" s="2" t="inlineStr">
        <is>
          <t>보통주식</t>
        </is>
      </c>
      <c r="J440" s="6" t="n">
        <v>2380952</v>
      </c>
      <c r="K440" s="2" t="inlineStr">
        <is>
          <t>2026-07-08</t>
        </is>
      </c>
      <c r="L440" s="2" t="inlineStr">
        <is>
          <t>2026-07-20</t>
        </is>
      </c>
      <c r="M440" s="2" t="inlineStr">
        <is>
          <t>-</t>
        </is>
      </c>
      <c r="N440" s="2" t="inlineStr">
        <is>
          <t>-</t>
        </is>
      </c>
      <c r="O440" s="10" t="n">
        <v>18.7056262724364</v>
      </c>
      <c r="P440" s="7" t="inlineStr">
        <is>
          <t>운영자금 (50,000원)</t>
        </is>
      </c>
      <c r="Q440" s="2" t="inlineStr">
        <is>
          <t>-</t>
        </is>
      </c>
      <c r="R440" s="2" t="inlineStr">
        <is>
          <t>-</t>
        </is>
      </c>
      <c r="S440" s="2" t="inlineStr">
        <is>
          <t>20260625000457</t>
        </is>
      </c>
      <c r="T440" s="8">
        <f>HYPERLINK("https://dart.fss.or.kr/dsaf001/main.do?rcpNo=20260625000457", "공시열람")</f>
        <v/>
      </c>
    </row>
    <row r="441" ht="36" customHeight="1">
      <c r="A441" s="2" t="inlineStr">
        <is>
          <t>2026-06-25</t>
        </is>
      </c>
      <c r="B441" s="3" t="inlineStr">
        <is>
          <t>에코글로우</t>
        </is>
      </c>
      <c r="C441" s="2" t="inlineStr">
        <is>
          <t>코스닥</t>
        </is>
      </c>
      <c r="D441" s="2" t="inlineStr">
        <is>
          <t>159910</t>
        </is>
      </c>
      <c r="E441" s="2" t="inlineStr">
        <is>
          <t>기타</t>
        </is>
      </c>
      <c r="F441" s="3" t="inlineStr">
        <is>
          <t>전환사채(해외전환사채포함)발행후만기전사채취득              (제11회차)</t>
        </is>
      </c>
      <c r="G441" s="5" t="inlineStr"/>
      <c r="H441" s="5" t="inlineStr"/>
      <c r="I441" s="2" t="inlineStr">
        <is>
          <t>-</t>
        </is>
      </c>
      <c r="J441" s="6" t="inlineStr"/>
      <c r="K441" s="2" t="inlineStr">
        <is>
          <t>-</t>
        </is>
      </c>
      <c r="L441" s="2" t="inlineStr">
        <is>
          <t>-</t>
        </is>
      </c>
      <c r="M441" s="2" t="inlineStr">
        <is>
          <t>-</t>
        </is>
      </c>
      <c r="N441" s="2" t="inlineStr">
        <is>
          <t>-</t>
        </is>
      </c>
      <c r="O441" s="3" t="inlineStr"/>
      <c r="P441" s="7" t="inlineStr">
        <is>
          <t>-</t>
        </is>
      </c>
      <c r="Q441" s="2" t="inlineStr">
        <is>
          <t>-</t>
        </is>
      </c>
      <c r="R441" s="2" t="inlineStr">
        <is>
          <t>-</t>
        </is>
      </c>
      <c r="S441" s="2" t="inlineStr">
        <is>
          <t>20260625900475</t>
        </is>
      </c>
      <c r="T441" s="8">
        <f>HYPERLINK("https://dart.fss.or.kr/dsaf001/main.do?rcpNo=20260625900475", "공시열람")</f>
        <v/>
      </c>
    </row>
    <row r="442" ht="36" customHeight="1">
      <c r="A442" s="2" t="inlineStr">
        <is>
          <t>2026-03-09 (정정: 2026-06-25)</t>
        </is>
      </c>
      <c r="B442" s="3" t="inlineStr">
        <is>
          <t>스타코링크</t>
        </is>
      </c>
      <c r="C442" s="2" t="inlineStr">
        <is>
          <t>코스닥</t>
        </is>
      </c>
      <c r="D442" s="2" t="inlineStr">
        <is>
          <t>060240</t>
        </is>
      </c>
      <c r="E442" s="9" t="inlineStr">
        <is>
          <t>유상증자</t>
        </is>
      </c>
      <c r="F442" s="3" t="inlineStr">
        <is>
          <t>[기재정정]주요사항보고서(유상증자결정)</t>
        </is>
      </c>
      <c r="G442" s="5" t="n">
        <v>1000002999</v>
      </c>
      <c r="H442" s="5" t="n">
        <v>1829</v>
      </c>
      <c r="I442" s="2" t="inlineStr">
        <is>
          <t>보통주식</t>
        </is>
      </c>
      <c r="J442" s="6" t="n">
        <v>2186987</v>
      </c>
      <c r="K442" s="2" t="inlineStr">
        <is>
          <t>2026-08-26</t>
        </is>
      </c>
      <c r="L442" s="2" t="inlineStr">
        <is>
          <t>2026-09-23</t>
        </is>
      </c>
      <c r="M442" s="2" t="inlineStr">
        <is>
          <t>-</t>
        </is>
      </c>
      <c r="N442" s="2" t="inlineStr">
        <is>
          <t>-</t>
        </is>
      </c>
      <c r="O442" s="10" t="n">
        <v>37.57025352770801</v>
      </c>
      <c r="P442" s="7" t="inlineStr">
        <is>
          <t>운영자금 (2,999원), 채무상환자금 (10.0억원)</t>
        </is>
      </c>
      <c r="Q442" s="2" t="inlineStr">
        <is>
          <t>-</t>
        </is>
      </c>
      <c r="R442" s="2" t="inlineStr">
        <is>
          <t>-</t>
        </is>
      </c>
      <c r="S442" s="2" t="inlineStr">
        <is>
          <t>20260625000394</t>
        </is>
      </c>
      <c r="T442" s="8">
        <f>HYPERLINK("https://dart.fss.or.kr/dsaf001/main.do?rcpNo=20260625000394", "공시열람")</f>
        <v/>
      </c>
    </row>
    <row r="443" ht="36" customHeight="1">
      <c r="A443" s="2" t="inlineStr">
        <is>
          <t>2026-06-25</t>
        </is>
      </c>
      <c r="B443" s="3" t="inlineStr">
        <is>
          <t>키이스트</t>
        </is>
      </c>
      <c r="C443" s="2" t="inlineStr">
        <is>
          <t>코스닥</t>
        </is>
      </c>
      <c r="D443" s="2" t="inlineStr">
        <is>
          <t>054780</t>
        </is>
      </c>
      <c r="E443" s="2" t="inlineStr">
        <is>
          <t>기타</t>
        </is>
      </c>
      <c r="F443" s="3" t="inlineStr">
        <is>
          <t xml:space="preserve">전환사채(해외전환사채포함)발행후만기전사채취득              </t>
        </is>
      </c>
      <c r="G443" s="5" t="inlineStr"/>
      <c r="H443" s="5" t="inlineStr"/>
      <c r="I443" s="2" t="inlineStr">
        <is>
          <t>-</t>
        </is>
      </c>
      <c r="J443" s="6" t="inlineStr"/>
      <c r="K443" s="2" t="inlineStr">
        <is>
          <t>-</t>
        </is>
      </c>
      <c r="L443" s="2" t="inlineStr">
        <is>
          <t>-</t>
        </is>
      </c>
      <c r="M443" s="2" t="inlineStr">
        <is>
          <t>-</t>
        </is>
      </c>
      <c r="N443" s="2" t="inlineStr">
        <is>
          <t>-</t>
        </is>
      </c>
      <c r="O443" s="3" t="inlineStr"/>
      <c r="P443" s="7" t="inlineStr">
        <is>
          <t>-</t>
        </is>
      </c>
      <c r="Q443" s="2" t="inlineStr">
        <is>
          <t>-</t>
        </is>
      </c>
      <c r="R443" s="2" t="inlineStr">
        <is>
          <t>-</t>
        </is>
      </c>
      <c r="S443" s="2" t="inlineStr">
        <is>
          <t>20260625900395</t>
        </is>
      </c>
      <c r="T443" s="8">
        <f>HYPERLINK("https://dart.fss.or.kr/dsaf001/main.do?rcpNo=20260625900395", "공시열람")</f>
        <v/>
      </c>
    </row>
    <row r="444" ht="36" customHeight="1">
      <c r="A444" s="2" t="inlineStr">
        <is>
          <t>2026-06-25 (정정: 2026-06-25)</t>
        </is>
      </c>
      <c r="B444" s="3" t="inlineStr">
        <is>
          <t>디모아</t>
        </is>
      </c>
      <c r="C444" s="2" t="inlineStr">
        <is>
          <t>코스닥</t>
        </is>
      </c>
      <c r="D444" s="2" t="inlineStr">
        <is>
          <t>016670</t>
        </is>
      </c>
      <c r="E444" s="9" t="inlineStr">
        <is>
          <t>유상증자</t>
        </is>
      </c>
      <c r="F444" s="3" t="inlineStr">
        <is>
          <t>기타주요경영사항              (유상증자결정(주주배정후 실권주 일반공모)철회) (정정: 20260625)</t>
        </is>
      </c>
      <c r="G444" s="5" t="n">
        <v>0</v>
      </c>
      <c r="H444" s="5" t="inlineStr"/>
      <c r="I444" s="2" t="inlineStr">
        <is>
          <t>보통주식</t>
        </is>
      </c>
      <c r="J444" s="6" t="n">
        <v>0</v>
      </c>
      <c r="K444" s="2" t="inlineStr">
        <is>
          <t>-</t>
        </is>
      </c>
      <c r="L444" s="2" t="inlineStr">
        <is>
          <t>-</t>
        </is>
      </c>
      <c r="M444" s="2" t="inlineStr">
        <is>
          <t>-</t>
        </is>
      </c>
      <c r="N444" s="2" t="inlineStr">
        <is>
          <t>-</t>
        </is>
      </c>
      <c r="O444" s="3" t="inlineStr"/>
      <c r="P444" s="7" t="inlineStr">
        <is>
          <t>-</t>
        </is>
      </c>
      <c r="Q444" s="2" t="inlineStr">
        <is>
          <t>-</t>
        </is>
      </c>
      <c r="R444" s="2" t="inlineStr">
        <is>
          <t>-</t>
        </is>
      </c>
      <c r="S444" s="2" t="inlineStr">
        <is>
          <t>20260625000227</t>
        </is>
      </c>
      <c r="T444" s="8">
        <f>HYPERLINK("https://dart.fss.or.kr/dsaf001/main.do?rcpNo=20260625000227", "공시열람")</f>
        <v/>
      </c>
    </row>
    <row r="445" ht="36" customHeight="1">
      <c r="A445" s="2" t="inlineStr">
        <is>
          <t>2026-06-25</t>
        </is>
      </c>
      <c r="B445" s="3" t="inlineStr">
        <is>
          <t>한화솔루션</t>
        </is>
      </c>
      <c r="C445" s="2" t="inlineStr">
        <is>
          <t>코스피</t>
        </is>
      </c>
      <c r="D445" s="2" t="inlineStr">
        <is>
          <t>009830</t>
        </is>
      </c>
      <c r="E445" s="9" t="inlineStr">
        <is>
          <t>유상증자</t>
        </is>
      </c>
      <c r="F445" s="3" t="inlineStr">
        <is>
          <t xml:space="preserve">유상증자결정(종속회사의주요경영사항)              </t>
        </is>
      </c>
      <c r="G445" s="5" t="n">
        <v>299995991268</v>
      </c>
      <c r="H445" s="5" t="inlineStr"/>
      <c r="I445" s="2" t="inlineStr">
        <is>
          <t>보통주식</t>
        </is>
      </c>
      <c r="J445" s="6" t="n">
        <v>0</v>
      </c>
      <c r="K445" s="2" t="inlineStr">
        <is>
          <t>2026-06-25</t>
        </is>
      </c>
      <c r="L445" s="2" t="inlineStr">
        <is>
          <t>-</t>
        </is>
      </c>
      <c r="M445" s="2" t="inlineStr">
        <is>
          <t>-</t>
        </is>
      </c>
      <c r="N445" s="2" t="inlineStr">
        <is>
          <t>-</t>
        </is>
      </c>
      <c r="O445" s="10" t="n">
        <v>0</v>
      </c>
      <c r="P445" s="7" t="inlineStr">
        <is>
          <t>기타자금 (3000.0억원)</t>
        </is>
      </c>
      <c r="Q445" s="2" t="inlineStr">
        <is>
          <t>-</t>
        </is>
      </c>
      <c r="R445" s="2" t="inlineStr">
        <is>
          <t>-</t>
        </is>
      </c>
      <c r="S445" s="2" t="inlineStr">
        <is>
          <t>20260625800205</t>
        </is>
      </c>
      <c r="T445" s="8">
        <f>HYPERLINK("https://dart.fss.or.kr/dsaf001/main.do?rcpNo=20260625800205", "공시열람")</f>
        <v/>
      </c>
    </row>
    <row r="446" ht="36" customHeight="1">
      <c r="A446" s="2" t="inlineStr">
        <is>
          <t>2026-06-25</t>
        </is>
      </c>
      <c r="B446" s="3" t="inlineStr">
        <is>
          <t>에이프릴바이오</t>
        </is>
      </c>
      <c r="C446" s="2" t="inlineStr">
        <is>
          <t>코스닥</t>
        </is>
      </c>
      <c r="D446" s="2" t="inlineStr">
        <is>
          <t>397030</t>
        </is>
      </c>
      <c r="E446" s="9" t="inlineStr">
        <is>
          <t>유상증자</t>
        </is>
      </c>
      <c r="F446" s="3" t="inlineStr">
        <is>
          <t>주요사항보고서(유상증자결정)</t>
        </is>
      </c>
      <c r="G446" s="5" t="n">
        <v>50000</v>
      </c>
      <c r="H446" s="5" t="inlineStr"/>
      <c r="I446" s="2" t="inlineStr">
        <is>
          <t>보통주식</t>
        </is>
      </c>
      <c r="J446" s="6" t="n">
        <v>0</v>
      </c>
      <c r="K446" s="2" t="inlineStr">
        <is>
          <t>2026-07-23</t>
        </is>
      </c>
      <c r="L446" s="2" t="inlineStr">
        <is>
          <t>-</t>
        </is>
      </c>
      <c r="M446" s="2" t="inlineStr">
        <is>
          <t>-</t>
        </is>
      </c>
      <c r="N446" s="2" t="inlineStr">
        <is>
          <t>-</t>
        </is>
      </c>
      <c r="O446" s="10" t="n">
        <v>0</v>
      </c>
      <c r="P446" s="7" t="inlineStr">
        <is>
          <t>운영자금 (50,000원)</t>
        </is>
      </c>
      <c r="Q446" s="2" t="inlineStr">
        <is>
          <t>-</t>
        </is>
      </c>
      <c r="R446" s="2" t="inlineStr">
        <is>
          <t>-</t>
        </is>
      </c>
      <c r="S446" s="2" t="inlineStr">
        <is>
          <t>20260625000002</t>
        </is>
      </c>
      <c r="T446" s="8">
        <f>HYPERLINK("https://dart.fss.or.kr/dsaf001/main.do?rcpNo=20260625000002", "공시열람")</f>
        <v/>
      </c>
    </row>
    <row r="447" ht="36" customHeight="1">
      <c r="A447" s="2" t="inlineStr">
        <is>
          <t>2026-06-25</t>
        </is>
      </c>
      <c r="B447" s="3" t="inlineStr">
        <is>
          <t>에이프릴바이오</t>
        </is>
      </c>
      <c r="C447" s="2" t="inlineStr">
        <is>
          <t>코스닥</t>
        </is>
      </c>
      <c r="D447" s="2" t="inlineStr">
        <is>
          <t>397030</t>
        </is>
      </c>
      <c r="E447" s="9" t="inlineStr">
        <is>
          <t>유상증자</t>
        </is>
      </c>
      <c r="F447" s="3" t="inlineStr">
        <is>
          <t>주요사항보고서(유상증자결정)</t>
        </is>
      </c>
      <c r="G447" s="5" t="n">
        <v>155000</v>
      </c>
      <c r="H447" s="5" t="inlineStr"/>
      <c r="I447" s="2" t="inlineStr">
        <is>
          <t>보통주식</t>
        </is>
      </c>
      <c r="J447" s="6" t="n">
        <v>0</v>
      </c>
      <c r="K447" s="2" t="inlineStr">
        <is>
          <t>2026-07-23</t>
        </is>
      </c>
      <c r="L447" s="2" t="inlineStr">
        <is>
          <t>-</t>
        </is>
      </c>
      <c r="M447" s="2" t="inlineStr">
        <is>
          <t>-</t>
        </is>
      </c>
      <c r="N447" s="2" t="inlineStr">
        <is>
          <t>-</t>
        </is>
      </c>
      <c r="O447" s="10" t="n">
        <v>0</v>
      </c>
      <c r="P447" s="7" t="inlineStr">
        <is>
          <t>운영자금 (155,000원)</t>
        </is>
      </c>
      <c r="Q447" s="2" t="inlineStr">
        <is>
          <t>-</t>
        </is>
      </c>
      <c r="R447" s="2" t="inlineStr">
        <is>
          <t>-</t>
        </is>
      </c>
      <c r="S447" s="2" t="inlineStr">
        <is>
          <t>20260625000001</t>
        </is>
      </c>
      <c r="T447" s="8">
        <f>HYPERLINK("https://dart.fss.or.kr/dsaf001/main.do?rcpNo=20260625000001", "공시열람")</f>
        <v/>
      </c>
    </row>
    <row r="448" ht="36" customHeight="1">
      <c r="A448" s="2" t="inlineStr">
        <is>
          <t>2026-06-25</t>
        </is>
      </c>
      <c r="B448" s="3" t="inlineStr">
        <is>
          <t>에이프릴바이오</t>
        </is>
      </c>
      <c r="C448" s="2" t="inlineStr">
        <is>
          <t>코스닥</t>
        </is>
      </c>
      <c r="D448" s="2" t="inlineStr">
        <is>
          <t>397030</t>
        </is>
      </c>
      <c r="E448" s="9" t="inlineStr">
        <is>
          <t>유상증자</t>
        </is>
      </c>
      <c r="F448" s="3" t="inlineStr">
        <is>
          <t>주요사항보고서(유상증자결정)</t>
        </is>
      </c>
      <c r="G448" s="5" t="n">
        <v>141785</v>
      </c>
      <c r="H448" s="5" t="n">
        <v>34620</v>
      </c>
      <c r="I448" s="2" t="inlineStr">
        <is>
          <t>보통주식</t>
        </is>
      </c>
      <c r="J448" s="6" t="n">
        <v>4095456</v>
      </c>
      <c r="K448" s="2" t="inlineStr">
        <is>
          <t>2026-07-23</t>
        </is>
      </c>
      <c r="L448" s="2" t="inlineStr">
        <is>
          <t>2026-08-13</t>
        </is>
      </c>
      <c r="M448" s="2" t="inlineStr">
        <is>
          <t>-</t>
        </is>
      </c>
      <c r="N448" s="2" t="inlineStr">
        <is>
          <t>-</t>
        </is>
      </c>
      <c r="O448" s="10" t="n">
        <v>17.49161371575923</v>
      </c>
      <c r="P448" s="7" t="inlineStr">
        <is>
          <t>운영자금 (141,785원)</t>
        </is>
      </c>
      <c r="Q448" s="2" t="inlineStr">
        <is>
          <t>-</t>
        </is>
      </c>
      <c r="R448" s="2" t="inlineStr">
        <is>
          <t>-</t>
        </is>
      </c>
      <c r="S448" s="2" t="inlineStr">
        <is>
          <t>20260624000512</t>
        </is>
      </c>
      <c r="T448" s="8">
        <f>HYPERLINK("https://dart.fss.or.kr/dsaf001/main.do?rcpNo=20260624000512", "공시열람")</f>
        <v/>
      </c>
    </row>
    <row r="449" ht="36" customHeight="1">
      <c r="A449" s="2" t="inlineStr">
        <is>
          <t>2026-06-26</t>
        </is>
      </c>
      <c r="B449" s="3" t="inlineStr">
        <is>
          <t>차바이오텍</t>
        </is>
      </c>
      <c r="C449" s="2" t="inlineStr">
        <is>
          <t>코스닥</t>
        </is>
      </c>
      <c r="D449" s="2" t="inlineStr">
        <is>
          <t>085660</t>
        </is>
      </c>
      <c r="E449" s="9" t="inlineStr">
        <is>
          <t>유상증자</t>
        </is>
      </c>
      <c r="F449" s="3" t="inlineStr">
        <is>
          <t xml:space="preserve">유상증자결정(종속회사의주요경영사항)              </t>
        </is>
      </c>
      <c r="G449" s="5" t="n">
        <v>153913032000</v>
      </c>
      <c r="H449" s="5" t="n">
        <v>26000</v>
      </c>
      <c r="I449" s="2" t="inlineStr">
        <is>
          <t>보통주식</t>
        </is>
      </c>
      <c r="J449" s="6" t="n">
        <v>5919732</v>
      </c>
      <c r="K449" s="2" t="inlineStr">
        <is>
          <t>2026-06-26</t>
        </is>
      </c>
      <c r="L449" s="2" t="inlineStr">
        <is>
          <t>-</t>
        </is>
      </c>
      <c r="M449" s="2" t="inlineStr">
        <is>
          <t>-</t>
        </is>
      </c>
      <c r="N449" s="2" t="inlineStr">
        <is>
          <t>-</t>
        </is>
      </c>
      <c r="O449" s="10" t="n">
        <v>33.50541671843168</v>
      </c>
      <c r="P449" s="7" t="inlineStr">
        <is>
          <t>기타자금 (1539.1억원)</t>
        </is>
      </c>
      <c r="Q449" s="2" t="inlineStr">
        <is>
          <t>-</t>
        </is>
      </c>
      <c r="R449" s="2" t="inlineStr">
        <is>
          <t>-</t>
        </is>
      </c>
      <c r="S449" s="2" t="inlineStr">
        <is>
          <t>20260626901150</t>
        </is>
      </c>
      <c r="T449" s="8">
        <f>HYPERLINK("https://dart.fss.or.kr/dsaf001/main.do?rcpNo=20260626901150", "공시열람")</f>
        <v/>
      </c>
    </row>
    <row r="450" ht="36" customHeight="1">
      <c r="A450" s="2" t="inlineStr">
        <is>
          <t>2026-06-26</t>
        </is>
      </c>
      <c r="B450" s="3" t="inlineStr">
        <is>
          <t>AP위성</t>
        </is>
      </c>
      <c r="C450" s="2" t="inlineStr">
        <is>
          <t>코스닥</t>
        </is>
      </c>
      <c r="D450" s="2" t="inlineStr">
        <is>
          <t>211270</t>
        </is>
      </c>
      <c r="E450" s="11" t="inlineStr">
        <is>
          <t>전환사채(CB)</t>
        </is>
      </c>
      <c r="F450" s="3" t="inlineStr">
        <is>
          <t>주요사항보고서(전환사채권발행결정)</t>
        </is>
      </c>
      <c r="G450" s="5" t="n">
        <v>40000000000</v>
      </c>
      <c r="H450" s="5" t="n">
        <v>13262</v>
      </c>
      <c r="I450" s="2" t="inlineStr">
        <is>
          <t>에이피위성 주식회사 기명식 보통주</t>
        </is>
      </c>
      <c r="J450" s="6" t="n">
        <v>3016136</v>
      </c>
      <c r="K450" s="2" t="inlineStr">
        <is>
          <t>2026년 07월 06일</t>
        </is>
      </c>
      <c r="L450" s="2" t="inlineStr">
        <is>
          <t>-</t>
        </is>
      </c>
      <c r="M450" s="2" t="inlineStr">
        <is>
          <t>2027-07-06</t>
        </is>
      </c>
      <c r="N450" s="2" t="inlineStr">
        <is>
          <t>2031-06-06</t>
        </is>
      </c>
      <c r="O450" s="10" t="n">
        <v>16.67</v>
      </c>
      <c r="P450" s="7" t="inlineStr">
        <is>
          <t>-</t>
        </is>
      </c>
      <c r="Q450" s="2" t="inlineStr">
        <is>
          <t>-</t>
        </is>
      </c>
      <c r="R450" s="2" t="inlineStr">
        <is>
          <t>2029-01-06</t>
        </is>
      </c>
      <c r="S450" s="2" t="inlineStr">
        <is>
          <t>20260626000709</t>
        </is>
      </c>
      <c r="T450" s="8">
        <f>HYPERLINK("https://dart.fss.or.kr/dsaf001/main.do?rcpNo=20260626000709", "공시열람")</f>
        <v/>
      </c>
    </row>
    <row r="451" ht="36" customHeight="1">
      <c r="A451" s="2" t="inlineStr">
        <is>
          <t>2026-06-26</t>
        </is>
      </c>
      <c r="B451" s="3" t="inlineStr">
        <is>
          <t>이렘</t>
        </is>
      </c>
      <c r="C451" s="2" t="inlineStr">
        <is>
          <t>코스닥</t>
        </is>
      </c>
      <c r="D451" s="2" t="inlineStr">
        <is>
          <t>009730</t>
        </is>
      </c>
      <c r="E451" s="2" t="inlineStr">
        <is>
          <t>기타</t>
        </is>
      </c>
      <c r="F451" s="3" t="inlineStr">
        <is>
          <t>전환사채(해외전환사채포함)발행후만기전사채취득              (제22회차)</t>
        </is>
      </c>
      <c r="G451" s="5" t="inlineStr"/>
      <c r="H451" s="5" t="inlineStr"/>
      <c r="I451" s="2" t="inlineStr">
        <is>
          <t>-</t>
        </is>
      </c>
      <c r="J451" s="6" t="inlineStr"/>
      <c r="K451" s="2" t="inlineStr">
        <is>
          <t>-</t>
        </is>
      </c>
      <c r="L451" s="2" t="inlineStr">
        <is>
          <t>-</t>
        </is>
      </c>
      <c r="M451" s="2" t="inlineStr">
        <is>
          <t>-</t>
        </is>
      </c>
      <c r="N451" s="2" t="inlineStr">
        <is>
          <t>-</t>
        </is>
      </c>
      <c r="O451" s="3" t="inlineStr"/>
      <c r="P451" s="7" t="inlineStr">
        <is>
          <t>-</t>
        </is>
      </c>
      <c r="Q451" s="2" t="inlineStr">
        <is>
          <t>-</t>
        </is>
      </c>
      <c r="R451" s="2" t="inlineStr">
        <is>
          <t>-</t>
        </is>
      </c>
      <c r="S451" s="2" t="inlineStr">
        <is>
          <t>20260626901060</t>
        </is>
      </c>
      <c r="T451" s="8">
        <f>HYPERLINK("https://dart.fss.or.kr/dsaf001/main.do?rcpNo=20260626901060", "공시열람")</f>
        <v/>
      </c>
    </row>
    <row r="452" ht="36" customHeight="1">
      <c r="A452" s="2" t="inlineStr">
        <is>
          <t>2026-06-26</t>
        </is>
      </c>
      <c r="B452" s="3" t="inlineStr">
        <is>
          <t>애드바이오텍</t>
        </is>
      </c>
      <c r="C452" s="2" t="inlineStr">
        <is>
          <t>코스닥</t>
        </is>
      </c>
      <c r="D452" s="2" t="inlineStr">
        <is>
          <t>179530</t>
        </is>
      </c>
      <c r="E452" s="11" t="inlineStr">
        <is>
          <t>전환사채(CB)</t>
        </is>
      </c>
      <c r="F452" s="3" t="inlineStr">
        <is>
          <t>주요사항보고서(전환사채권발행결정)</t>
        </is>
      </c>
      <c r="G452" s="5" t="n">
        <v>10000000000</v>
      </c>
      <c r="H452" s="5" t="n">
        <v>2264</v>
      </c>
      <c r="I452" s="2" t="inlineStr">
        <is>
          <t>주식회사 애드바이오텍 기명식 보통주</t>
        </is>
      </c>
      <c r="J452" s="6" t="n">
        <v>4416961</v>
      </c>
      <c r="K452" s="2" t="inlineStr">
        <is>
          <t>2026년 07월 24일</t>
        </is>
      </c>
      <c r="L452" s="2" t="inlineStr">
        <is>
          <t>-</t>
        </is>
      </c>
      <c r="M452" s="2" t="inlineStr">
        <is>
          <t>2027-07-24</t>
        </is>
      </c>
      <c r="N452" s="2" t="inlineStr">
        <is>
          <t>2031-06-24</t>
        </is>
      </c>
      <c r="O452" s="10" t="n">
        <v>14.08</v>
      </c>
      <c r="P452" s="7" t="inlineStr">
        <is>
          <t>-</t>
        </is>
      </c>
      <c r="Q452" s="2" t="inlineStr">
        <is>
          <t>2029-01-24</t>
        </is>
      </c>
      <c r="R452" s="2" t="inlineStr">
        <is>
          <t>2029-01-24</t>
        </is>
      </c>
      <c r="S452" s="2" t="inlineStr">
        <is>
          <t>20260626000645</t>
        </is>
      </c>
      <c r="T452" s="8">
        <f>HYPERLINK("https://dart.fss.or.kr/dsaf001/main.do?rcpNo=20260626000645", "공시열람")</f>
        <v/>
      </c>
    </row>
    <row r="453" ht="36" customHeight="1">
      <c r="A453" s="2" t="inlineStr">
        <is>
          <t>2026-06-26</t>
        </is>
      </c>
      <c r="B453" s="3" t="inlineStr">
        <is>
          <t>플레이위드</t>
        </is>
      </c>
      <c r="C453" s="2" t="inlineStr">
        <is>
          <t>코스닥</t>
        </is>
      </c>
      <c r="D453" s="2" t="inlineStr">
        <is>
          <t>023770</t>
        </is>
      </c>
      <c r="E453" s="2" t="inlineStr">
        <is>
          <t>기타</t>
        </is>
      </c>
      <c r="F453" s="3" t="inlineStr">
        <is>
          <t xml:space="preserve">전환사채(해외전환사채포함)발행후만기전사채취득              </t>
        </is>
      </c>
      <c r="G453" s="5" t="inlineStr"/>
      <c r="H453" s="5" t="inlineStr"/>
      <c r="I453" s="2" t="inlineStr">
        <is>
          <t>-</t>
        </is>
      </c>
      <c r="J453" s="6" t="inlineStr"/>
      <c r="K453" s="2" t="inlineStr">
        <is>
          <t>-</t>
        </is>
      </c>
      <c r="L453" s="2" t="inlineStr">
        <is>
          <t>-</t>
        </is>
      </c>
      <c r="M453" s="2" t="inlineStr">
        <is>
          <t>-</t>
        </is>
      </c>
      <c r="N453" s="2" t="inlineStr">
        <is>
          <t>-</t>
        </is>
      </c>
      <c r="O453" s="3" t="inlineStr"/>
      <c r="P453" s="7" t="inlineStr">
        <is>
          <t>-</t>
        </is>
      </c>
      <c r="Q453" s="2" t="inlineStr">
        <is>
          <t>-</t>
        </is>
      </c>
      <c r="R453" s="2" t="inlineStr">
        <is>
          <t>-</t>
        </is>
      </c>
      <c r="S453" s="2" t="inlineStr">
        <is>
          <t>20260626901074</t>
        </is>
      </c>
      <c r="T453" s="8">
        <f>HYPERLINK("https://dart.fss.or.kr/dsaf001/main.do?rcpNo=20260626901074", "공시열람")</f>
        <v/>
      </c>
    </row>
    <row r="454" ht="36" customHeight="1">
      <c r="A454" s="2" t="inlineStr">
        <is>
          <t>2026-06-26</t>
        </is>
      </c>
      <c r="B454" s="3" t="inlineStr">
        <is>
          <t>SK아이이테크놀로지</t>
        </is>
      </c>
      <c r="C454" s="2" t="inlineStr">
        <is>
          <t>코스피</t>
        </is>
      </c>
      <c r="D454" s="2" t="inlineStr">
        <is>
          <t>361610</t>
        </is>
      </c>
      <c r="E454" s="9" t="inlineStr">
        <is>
          <t>유상증자</t>
        </is>
      </c>
      <c r="F454" s="3" t="inlineStr">
        <is>
          <t xml:space="preserve">유상증자결정(종속회사의주요경영사항)              </t>
        </is>
      </c>
      <c r="G454" s="5" t="n">
        <v>249887000000</v>
      </c>
      <c r="H454" s="5" t="inlineStr"/>
      <c r="I454" s="2" t="inlineStr">
        <is>
          <t>보통주식</t>
        </is>
      </c>
      <c r="J454" s="6" t="n">
        <v>0</v>
      </c>
      <c r="K454" s="2" t="inlineStr">
        <is>
          <t>2026-07-15</t>
        </is>
      </c>
      <c r="L454" s="2" t="inlineStr">
        <is>
          <t>-</t>
        </is>
      </c>
      <c r="M454" s="2" t="inlineStr">
        <is>
          <t>-</t>
        </is>
      </c>
      <c r="N454" s="2" t="inlineStr">
        <is>
          <t>-</t>
        </is>
      </c>
      <c r="O454" s="3" t="inlineStr"/>
      <c r="P454" s="7" t="inlineStr">
        <is>
          <t>채무상환자금 (2498.9억원)</t>
        </is>
      </c>
      <c r="Q454" s="2" t="inlineStr">
        <is>
          <t>-</t>
        </is>
      </c>
      <c r="R454" s="2" t="inlineStr">
        <is>
          <t>-</t>
        </is>
      </c>
      <c r="S454" s="2" t="inlineStr">
        <is>
          <t>20260626800939</t>
        </is>
      </c>
      <c r="T454" s="8">
        <f>HYPERLINK("https://dart.fss.or.kr/dsaf001/main.do?rcpNo=20260626800939", "공시열람")</f>
        <v/>
      </c>
    </row>
    <row r="455" ht="36" customHeight="1">
      <c r="A455" s="2" t="inlineStr">
        <is>
          <t>2026-06-26</t>
        </is>
      </c>
      <c r="B455" s="3" t="inlineStr">
        <is>
          <t>KB금융</t>
        </is>
      </c>
      <c r="C455" s="2" t="inlineStr">
        <is>
          <t>코스피</t>
        </is>
      </c>
      <c r="D455" s="2" t="inlineStr">
        <is>
          <t>105560</t>
        </is>
      </c>
      <c r="E455" s="9" t="inlineStr">
        <is>
          <t>유상증자</t>
        </is>
      </c>
      <c r="F455" s="3" t="inlineStr">
        <is>
          <t xml:space="preserve">유상증자결정(자회사의 주요경영사항)              </t>
        </is>
      </c>
      <c r="G455" s="5" t="n">
        <v>999999982560</v>
      </c>
      <c r="H455" s="5" t="n">
        <v>17620</v>
      </c>
      <c r="I455" s="2" t="inlineStr">
        <is>
          <t>보통주식</t>
        </is>
      </c>
      <c r="J455" s="6" t="n">
        <v>56753688</v>
      </c>
      <c r="K455" s="2" t="inlineStr">
        <is>
          <t>2026-07-23</t>
        </is>
      </c>
      <c r="L455" s="2" t="inlineStr">
        <is>
          <t>-</t>
        </is>
      </c>
      <c r="M455" s="2" t="inlineStr">
        <is>
          <t>-</t>
        </is>
      </c>
      <c r="N455" s="2" t="inlineStr">
        <is>
          <t>-</t>
        </is>
      </c>
      <c r="O455" s="10" t="n">
        <v>17.09686569385627</v>
      </c>
      <c r="P455" s="7" t="inlineStr">
        <is>
          <t>운영자금 (10000.0억원)</t>
        </is>
      </c>
      <c r="Q455" s="2" t="inlineStr">
        <is>
          <t>-</t>
        </is>
      </c>
      <c r="R455" s="2" t="inlineStr">
        <is>
          <t>-</t>
        </is>
      </c>
      <c r="S455" s="2" t="inlineStr">
        <is>
          <t>20260626800874</t>
        </is>
      </c>
      <c r="T455" s="8">
        <f>HYPERLINK("https://dart.fss.or.kr/dsaf001/main.do?rcpNo=20260626800874", "공시열람")</f>
        <v/>
      </c>
    </row>
    <row r="456" ht="36" customHeight="1">
      <c r="A456" s="2" t="inlineStr">
        <is>
          <t>2026-06-26</t>
        </is>
      </c>
      <c r="B456" s="3" t="inlineStr">
        <is>
          <t>제이에스코퍼레이션</t>
        </is>
      </c>
      <c r="C456" s="2" t="inlineStr">
        <is>
          <t>코스피</t>
        </is>
      </c>
      <c r="D456" s="2" t="inlineStr">
        <is>
          <t>194370</t>
        </is>
      </c>
      <c r="E456" s="11" t="inlineStr">
        <is>
          <t>전환사채(CB)</t>
        </is>
      </c>
      <c r="F456" s="3" t="inlineStr">
        <is>
          <t>주요사항보고서(전환사채권발행결정)</t>
        </is>
      </c>
      <c r="G456" s="5" t="n">
        <v>20000000000</v>
      </c>
      <c r="H456" s="5" t="n">
        <v>11668</v>
      </c>
      <c r="I456" s="2" t="inlineStr">
        <is>
          <t>주식회사 제이에스코퍼레이션 기명식 보통주식</t>
        </is>
      </c>
      <c r="J456" s="6" t="n">
        <v>1714089</v>
      </c>
      <c r="K456" s="2" t="inlineStr">
        <is>
          <t>2026년 07월 06일</t>
        </is>
      </c>
      <c r="L456" s="2" t="inlineStr">
        <is>
          <t>-</t>
        </is>
      </c>
      <c r="M456" s="2" t="inlineStr">
        <is>
          <t>2027-07-06</t>
        </is>
      </c>
      <c r="N456" s="2" t="inlineStr">
        <is>
          <t>2056-06-06</t>
        </is>
      </c>
      <c r="O456" s="10" t="n">
        <v>5.58</v>
      </c>
      <c r="P456" s="7" t="inlineStr">
        <is>
          <t>-</t>
        </is>
      </c>
      <c r="Q456" s="2" t="inlineStr">
        <is>
          <t>2028-07-06</t>
        </is>
      </c>
      <c r="R456" s="2" t="inlineStr">
        <is>
          <t>2028-07-06</t>
        </is>
      </c>
      <c r="S456" s="2" t="inlineStr">
        <is>
          <t>20260626000541</t>
        </is>
      </c>
      <c r="T456" s="8">
        <f>HYPERLINK("https://dart.fss.or.kr/dsaf001/main.do?rcpNo=20260626000541", "공시열람")</f>
        <v/>
      </c>
    </row>
    <row r="457" ht="36" customHeight="1">
      <c r="A457" s="2" t="inlineStr">
        <is>
          <t>2026-06-26</t>
        </is>
      </c>
      <c r="B457" s="3" t="inlineStr">
        <is>
          <t>제이에스코퍼레이션</t>
        </is>
      </c>
      <c r="C457" s="2" t="inlineStr">
        <is>
          <t>코스피</t>
        </is>
      </c>
      <c r="D457" s="2" t="inlineStr">
        <is>
          <t>194370</t>
        </is>
      </c>
      <c r="E457" s="11" t="inlineStr">
        <is>
          <t>전환사채(CB)</t>
        </is>
      </c>
      <c r="F457" s="3" t="inlineStr">
        <is>
          <t>주요사항보고서(전환사채권발행결정)</t>
        </is>
      </c>
      <c r="G457" s="5" t="n">
        <v>20000000000</v>
      </c>
      <c r="H457" s="5" t="n">
        <v>11668</v>
      </c>
      <c r="I457" s="2" t="inlineStr">
        <is>
          <t>주식회사 제이에스코퍼레이션 기명식 보통주식</t>
        </is>
      </c>
      <c r="J457" s="6" t="n">
        <v>1714089</v>
      </c>
      <c r="K457" s="2" t="inlineStr">
        <is>
          <t>2026년 07월 06일</t>
        </is>
      </c>
      <c r="L457" s="2" t="inlineStr">
        <is>
          <t>-</t>
        </is>
      </c>
      <c r="M457" s="2" t="inlineStr">
        <is>
          <t>2027-07-06</t>
        </is>
      </c>
      <c r="N457" s="2" t="inlineStr">
        <is>
          <t>2031-06-06</t>
        </is>
      </c>
      <c r="O457" s="10" t="n">
        <v>5.58</v>
      </c>
      <c r="P457" s="7" t="inlineStr">
        <is>
          <t>-</t>
        </is>
      </c>
      <c r="Q457" s="2" t="inlineStr">
        <is>
          <t>2027-06-16</t>
        </is>
      </c>
      <c r="R457" s="2" t="inlineStr">
        <is>
          <t>2028-11-07</t>
        </is>
      </c>
      <c r="S457" s="2" t="inlineStr">
        <is>
          <t>20260626000534</t>
        </is>
      </c>
      <c r="T457" s="8">
        <f>HYPERLINK("https://dart.fss.or.kr/dsaf001/main.do?rcpNo=20260626000534", "공시열람")</f>
        <v/>
      </c>
    </row>
    <row r="458" ht="36" customHeight="1">
      <c r="A458" s="2" t="inlineStr">
        <is>
          <t>2026-06-26</t>
        </is>
      </c>
      <c r="B458" s="3" t="inlineStr">
        <is>
          <t>블루엠텍</t>
        </is>
      </c>
      <c r="C458" s="2" t="inlineStr">
        <is>
          <t>코스닥</t>
        </is>
      </c>
      <c r="D458" s="2" t="inlineStr">
        <is>
          <t>439580</t>
        </is>
      </c>
      <c r="E458" s="12" t="inlineStr">
        <is>
          <t>신주인수권부사채(BW)</t>
        </is>
      </c>
      <c r="F458" s="3" t="inlineStr">
        <is>
          <t>주요사항보고서(신주인수권부사채권발행결정)</t>
        </is>
      </c>
      <c r="G458" s="5" t="n">
        <v>8000000000</v>
      </c>
      <c r="H458" s="5" t="n">
        <v>2129</v>
      </c>
      <c r="I458" s="2" t="inlineStr">
        <is>
          <t>-</t>
        </is>
      </c>
      <c r="J458" s="6" t="inlineStr"/>
      <c r="K458" s="2" t="inlineStr">
        <is>
          <t>2026년 07월 10일</t>
        </is>
      </c>
      <c r="L458" s="2" t="inlineStr">
        <is>
          <t>-</t>
        </is>
      </c>
      <c r="M458" s="2" t="inlineStr">
        <is>
          <t>2027-07-10</t>
        </is>
      </c>
      <c r="N458" s="2" t="inlineStr">
        <is>
          <t>2031-06-10</t>
        </is>
      </c>
      <c r="O458" s="3" t="inlineStr"/>
      <c r="P458" s="7" t="inlineStr">
        <is>
          <t>-</t>
        </is>
      </c>
      <c r="Q458" s="2" t="inlineStr">
        <is>
          <t>2027-07-10</t>
        </is>
      </c>
      <c r="R458" s="2" t="inlineStr">
        <is>
          <t>2028-11-11</t>
        </is>
      </c>
      <c r="S458" s="2" t="inlineStr">
        <is>
          <t>20260626000531</t>
        </is>
      </c>
      <c r="T458" s="8">
        <f>HYPERLINK("https://dart.fss.or.kr/dsaf001/main.do?rcpNo=20260626000531", "공시열람")</f>
        <v/>
      </c>
    </row>
    <row r="459" ht="36" customHeight="1">
      <c r="A459" s="2" t="inlineStr">
        <is>
          <t>2026-06-26</t>
        </is>
      </c>
      <c r="B459" s="3" t="inlineStr">
        <is>
          <t>이엔플러스</t>
        </is>
      </c>
      <c r="C459" s="2" t="inlineStr">
        <is>
          <t>코스피</t>
        </is>
      </c>
      <c r="D459" s="2" t="inlineStr">
        <is>
          <t>074610</t>
        </is>
      </c>
      <c r="E459" s="11" t="inlineStr">
        <is>
          <t>전환사채(CB)</t>
        </is>
      </c>
      <c r="F459" s="3" t="inlineStr">
        <is>
          <t>[기재정정]주요사항보고서(전환사채권발행결정)</t>
        </is>
      </c>
      <c r="G459" s="5" t="inlineStr"/>
      <c r="H459" s="5" t="n">
        <v>40000000000</v>
      </c>
      <c r="I459" s="2" t="inlineStr">
        <is>
          <t>-</t>
        </is>
      </c>
      <c r="J459" s="6" t="inlineStr"/>
      <c r="K459" s="2" t="inlineStr">
        <is>
          <t>-</t>
        </is>
      </c>
      <c r="L459" s="2" t="inlineStr">
        <is>
          <t>-</t>
        </is>
      </c>
      <c r="M459" s="2" t="inlineStr">
        <is>
          <t>2027-07-03</t>
        </is>
      </c>
      <c r="N459" s="2" t="inlineStr">
        <is>
          <t>2029-06-02</t>
        </is>
      </c>
      <c r="O459" s="3" t="inlineStr"/>
      <c r="P459" s="7" t="inlineStr">
        <is>
          <t>-</t>
        </is>
      </c>
      <c r="Q459" s="2" t="inlineStr">
        <is>
          <t>2027-11-04</t>
        </is>
      </c>
      <c r="R459" s="2" t="inlineStr">
        <is>
          <t>2027-11-04</t>
        </is>
      </c>
      <c r="S459" s="2" t="inlineStr">
        <is>
          <t>20260626000487</t>
        </is>
      </c>
      <c r="T459" s="8">
        <f>HYPERLINK("https://dart.fss.or.kr/dsaf001/main.do?rcpNo=20260626000487", "공시열람")</f>
        <v/>
      </c>
    </row>
    <row r="460" ht="36" customHeight="1">
      <c r="A460" s="2" t="inlineStr">
        <is>
          <t>2026-06-26</t>
        </is>
      </c>
      <c r="B460" s="3" t="inlineStr">
        <is>
          <t>스피어</t>
        </is>
      </c>
      <c r="C460" s="2" t="inlineStr">
        <is>
          <t>코스닥</t>
        </is>
      </c>
      <c r="D460" s="2" t="inlineStr">
        <is>
          <t>347700</t>
        </is>
      </c>
      <c r="E460" s="9" t="inlineStr">
        <is>
          <t>유상증자</t>
        </is>
      </c>
      <c r="F460" s="3" t="inlineStr">
        <is>
          <t xml:space="preserve">유상증자결정(종속회사의주요경영사항)              </t>
        </is>
      </c>
      <c r="G460" s="5" t="n">
        <v>16163838000</v>
      </c>
      <c r="H460" s="5" t="n">
        <v>1545</v>
      </c>
      <c r="I460" s="2" t="inlineStr">
        <is>
          <t>보통주식</t>
        </is>
      </c>
      <c r="J460" s="6" t="n">
        <v>10460000</v>
      </c>
      <c r="K460" s="2" t="inlineStr">
        <is>
          <t>2026-06-26</t>
        </is>
      </c>
      <c r="L460" s="2" t="inlineStr">
        <is>
          <t>-</t>
        </is>
      </c>
      <c r="M460" s="2" t="inlineStr">
        <is>
          <t>-</t>
        </is>
      </c>
      <c r="N460" s="2" t="inlineStr">
        <is>
          <t>-</t>
        </is>
      </c>
      <c r="O460" s="10" t="n">
        <v>17.72580918488392</v>
      </c>
      <c r="P460" s="7" t="inlineStr">
        <is>
          <t>운영자금 (161.6억원)</t>
        </is>
      </c>
      <c r="Q460" s="2" t="inlineStr">
        <is>
          <t>-</t>
        </is>
      </c>
      <c r="R460" s="2" t="inlineStr">
        <is>
          <t>-</t>
        </is>
      </c>
      <c r="S460" s="2" t="inlineStr">
        <is>
          <t>20260626900695</t>
        </is>
      </c>
      <c r="T460" s="8">
        <f>HYPERLINK("https://dart.fss.or.kr/dsaf001/main.do?rcpNo=20260626900695", "공시열람")</f>
        <v/>
      </c>
    </row>
    <row r="461" ht="36" customHeight="1">
      <c r="A461" s="2" t="inlineStr">
        <is>
          <t>2026-06-26</t>
        </is>
      </c>
      <c r="B461" s="3" t="inlineStr">
        <is>
          <t>토박스코리아</t>
        </is>
      </c>
      <c r="C461" s="2" t="inlineStr">
        <is>
          <t>코스닥</t>
        </is>
      </c>
      <c r="D461" s="2" t="inlineStr">
        <is>
          <t>215480</t>
        </is>
      </c>
      <c r="E461" s="9" t="inlineStr">
        <is>
          <t>유상증자</t>
        </is>
      </c>
      <c r="F461" s="3" t="inlineStr">
        <is>
          <t>주요사항보고서(유상증자결정)</t>
        </is>
      </c>
      <c r="G461" s="5" t="n">
        <v>3562</v>
      </c>
      <c r="H461" s="5" t="n">
        <v>1990</v>
      </c>
      <c r="I461" s="2" t="inlineStr">
        <is>
          <t>보통주식</t>
        </is>
      </c>
      <c r="J461" s="6" t="n">
        <v>1790000</v>
      </c>
      <c r="K461" s="2" t="inlineStr">
        <is>
          <t>2026-07-07</t>
        </is>
      </c>
      <c r="L461" s="2" t="inlineStr">
        <is>
          <t>2026-07-21</t>
        </is>
      </c>
      <c r="M461" s="2" t="inlineStr">
        <is>
          <t>-</t>
        </is>
      </c>
      <c r="N461" s="2" t="inlineStr">
        <is>
          <t>-</t>
        </is>
      </c>
      <c r="O461" s="10" t="n">
        <v>20</v>
      </c>
      <c r="P461" s="7" t="inlineStr">
        <is>
          <t>운영자금 (3,562원)</t>
        </is>
      </c>
      <c r="Q461" s="2" t="inlineStr">
        <is>
          <t>-</t>
        </is>
      </c>
      <c r="R461" s="2" t="inlineStr">
        <is>
          <t>-</t>
        </is>
      </c>
      <c r="S461" s="2" t="inlineStr">
        <is>
          <t>20260626000392</t>
        </is>
      </c>
      <c r="T461" s="8">
        <f>HYPERLINK("https://dart.fss.or.kr/dsaf001/main.do?rcpNo=20260626000392", "공시열람")</f>
        <v/>
      </c>
    </row>
    <row r="462" ht="36" customHeight="1">
      <c r="A462" s="2" t="inlineStr">
        <is>
          <t>2026-06-26</t>
        </is>
      </c>
      <c r="B462" s="3" t="inlineStr">
        <is>
          <t>오에스피</t>
        </is>
      </c>
      <c r="C462" s="2" t="inlineStr">
        <is>
          <t>코스닥</t>
        </is>
      </c>
      <c r="D462" s="2" t="inlineStr">
        <is>
          <t>368970</t>
        </is>
      </c>
      <c r="E462" s="9" t="inlineStr">
        <is>
          <t>유상증자</t>
        </is>
      </c>
      <c r="F462" s="3" t="inlineStr">
        <is>
          <t>주요사항보고서(유상증자결정)</t>
        </is>
      </c>
      <c r="G462" s="5" t="n">
        <v>2377349088</v>
      </c>
      <c r="H462" s="5" t="n">
        <v>1632</v>
      </c>
      <c r="I462" s="2" t="inlineStr">
        <is>
          <t>보통주식</t>
        </is>
      </c>
      <c r="J462" s="6" t="n">
        <v>1456709</v>
      </c>
      <c r="K462" s="2" t="inlineStr">
        <is>
          <t>2026-07-07</t>
        </is>
      </c>
      <c r="L462" s="2" t="inlineStr">
        <is>
          <t>2026-07-20</t>
        </is>
      </c>
      <c r="M462" s="2" t="inlineStr">
        <is>
          <t>-</t>
        </is>
      </c>
      <c r="N462" s="2" t="inlineStr">
        <is>
          <t>-</t>
        </is>
      </c>
      <c r="O462" s="10" t="n">
        <v>19.99999450817026</v>
      </c>
      <c r="P462" s="7" t="inlineStr">
        <is>
          <t>운영자금 (23.8억원)</t>
        </is>
      </c>
      <c r="Q462" s="2" t="inlineStr">
        <is>
          <t>-</t>
        </is>
      </c>
      <c r="R462" s="2" t="inlineStr">
        <is>
          <t>-</t>
        </is>
      </c>
      <c r="S462" s="2" t="inlineStr">
        <is>
          <t>20260626000347</t>
        </is>
      </c>
      <c r="T462" s="8">
        <f>HYPERLINK("https://dart.fss.or.kr/dsaf001/main.do?rcpNo=20260626000347", "공시열람")</f>
        <v/>
      </c>
    </row>
    <row r="463" ht="36" customHeight="1">
      <c r="A463" s="2" t="inlineStr">
        <is>
          <t>2026-06-26</t>
        </is>
      </c>
      <c r="B463" s="3" t="inlineStr">
        <is>
          <t>옵트론텍</t>
        </is>
      </c>
      <c r="C463" s="2" t="inlineStr">
        <is>
          <t>코스닥</t>
        </is>
      </c>
      <c r="D463" s="2" t="inlineStr">
        <is>
          <t>082210</t>
        </is>
      </c>
      <c r="E463" s="9" t="inlineStr">
        <is>
          <t>유상증자</t>
        </is>
      </c>
      <c r="F463" s="3" t="inlineStr">
        <is>
          <t xml:space="preserve">유상증자결정(종속회사의주요경영사항)              </t>
        </is>
      </c>
      <c r="G463" s="5" t="n">
        <v>7726500000</v>
      </c>
      <c r="H463" s="5" t="inlineStr"/>
      <c r="I463" s="2" t="inlineStr">
        <is>
          <t>보통주식</t>
        </is>
      </c>
      <c r="J463" s="6" t="n">
        <v>0</v>
      </c>
      <c r="K463" s="2" t="inlineStr">
        <is>
          <t>2026-06-26</t>
        </is>
      </c>
      <c r="L463" s="2" t="inlineStr">
        <is>
          <t>-</t>
        </is>
      </c>
      <c r="M463" s="2" t="inlineStr">
        <is>
          <t>-</t>
        </is>
      </c>
      <c r="N463" s="2" t="inlineStr">
        <is>
          <t>-</t>
        </is>
      </c>
      <c r="O463" s="3" t="inlineStr"/>
      <c r="P463" s="7" t="inlineStr">
        <is>
          <t>시설자금 (77.3억원)</t>
        </is>
      </c>
      <c r="Q463" s="2" t="inlineStr">
        <is>
          <t>-</t>
        </is>
      </c>
      <c r="R463" s="2" t="inlineStr">
        <is>
          <t>-</t>
        </is>
      </c>
      <c r="S463" s="2" t="inlineStr">
        <is>
          <t>20260626900509</t>
        </is>
      </c>
      <c r="T463" s="8">
        <f>HYPERLINK("https://dart.fss.or.kr/dsaf001/main.do?rcpNo=20260626900509", "공시열람")</f>
        <v/>
      </c>
    </row>
    <row r="464" ht="36" customHeight="1">
      <c r="A464" s="2" t="inlineStr">
        <is>
          <t>2026-06-26</t>
        </is>
      </c>
      <c r="B464" s="3" t="inlineStr">
        <is>
          <t>에이프로젠</t>
        </is>
      </c>
      <c r="C464" s="2" t="inlineStr">
        <is>
          <t>코스피</t>
        </is>
      </c>
      <c r="D464" s="2" t="inlineStr">
        <is>
          <t>007460</t>
        </is>
      </c>
      <c r="E464" s="11" t="inlineStr">
        <is>
          <t>전환사채(CB)</t>
        </is>
      </c>
      <c r="F464" s="3" t="inlineStr">
        <is>
          <t>주요사항보고서(전환사채권발행결정)(자회사의 주요경영사항)              (제11회차)</t>
        </is>
      </c>
      <c r="G464" s="5" t="inlineStr"/>
      <c r="H464" s="5" t="inlineStr"/>
      <c r="I464" s="2" t="inlineStr">
        <is>
          <t>-</t>
        </is>
      </c>
      <c r="J464" s="6" t="inlineStr"/>
      <c r="K464" s="2" t="inlineStr">
        <is>
          <t>-</t>
        </is>
      </c>
      <c r="L464" s="2" t="inlineStr">
        <is>
          <t>-</t>
        </is>
      </c>
      <c r="M464" s="2" t="inlineStr">
        <is>
          <t>2027-07-25</t>
        </is>
      </c>
      <c r="N464" s="2" t="inlineStr">
        <is>
          <t>2031-06-24</t>
        </is>
      </c>
      <c r="O464" s="3" t="inlineStr"/>
      <c r="P464" s="7" t="inlineStr">
        <is>
          <t>-</t>
        </is>
      </c>
      <c r="Q464" s="2" t="inlineStr">
        <is>
          <t>2028-01-24</t>
        </is>
      </c>
      <c r="R464" s="2" t="inlineStr">
        <is>
          <t>2028-01-24</t>
        </is>
      </c>
      <c r="S464" s="2" t="inlineStr">
        <is>
          <t>20260626800019</t>
        </is>
      </c>
      <c r="T464" s="8">
        <f>HYPERLINK("https://dart.fss.or.kr/dsaf001/main.do?rcpNo=20260626800019", "공시열람")</f>
        <v/>
      </c>
    </row>
    <row r="465" ht="36" customHeight="1">
      <c r="A465" s="2" t="inlineStr">
        <is>
          <t>2026-06-26</t>
        </is>
      </c>
      <c r="B465" s="3" t="inlineStr">
        <is>
          <t>에이프로젠</t>
        </is>
      </c>
      <c r="C465" s="2" t="inlineStr">
        <is>
          <t>코스피</t>
        </is>
      </c>
      <c r="D465" s="2" t="inlineStr">
        <is>
          <t>007460</t>
        </is>
      </c>
      <c r="E465" s="11" t="inlineStr">
        <is>
          <t>전환사채(CB)</t>
        </is>
      </c>
      <c r="F465" s="3" t="inlineStr">
        <is>
          <t>주요사항보고서(전환사채권발행결정)(자회사의 주요경영사항)              (제10회차)</t>
        </is>
      </c>
      <c r="G465" s="5" t="inlineStr"/>
      <c r="H465" s="5" t="inlineStr"/>
      <c r="I465" s="2" t="inlineStr">
        <is>
          <t>-</t>
        </is>
      </c>
      <c r="J465" s="6" t="inlineStr"/>
      <c r="K465" s="2" t="inlineStr">
        <is>
          <t>-</t>
        </is>
      </c>
      <c r="L465" s="2" t="inlineStr">
        <is>
          <t>-</t>
        </is>
      </c>
      <c r="M465" s="2" t="inlineStr">
        <is>
          <t>2027-07-25</t>
        </is>
      </c>
      <c r="N465" s="2" t="inlineStr">
        <is>
          <t>2031-06-24</t>
        </is>
      </c>
      <c r="O465" s="3" t="inlineStr"/>
      <c r="P465" s="7" t="inlineStr">
        <is>
          <t>-</t>
        </is>
      </c>
      <c r="Q465" s="2" t="inlineStr">
        <is>
          <t>2028-01-24</t>
        </is>
      </c>
      <c r="R465" s="2" t="inlineStr">
        <is>
          <t>2028-01-24</t>
        </is>
      </c>
      <c r="S465" s="2" t="inlineStr">
        <is>
          <t>20260626800018</t>
        </is>
      </c>
      <c r="T465" s="8">
        <f>HYPERLINK("https://dart.fss.or.kr/dsaf001/main.do?rcpNo=20260626800018", "공시열람")</f>
        <v/>
      </c>
    </row>
    <row r="466" ht="36" customHeight="1">
      <c r="A466" s="2" t="inlineStr">
        <is>
          <t>2026-06-26</t>
        </is>
      </c>
      <c r="B466" s="3" t="inlineStr">
        <is>
          <t>리가켐바이오</t>
        </is>
      </c>
      <c r="C466" s="2" t="inlineStr">
        <is>
          <t>코스닥</t>
        </is>
      </c>
      <c r="D466" s="2" t="inlineStr">
        <is>
          <t>141080</t>
        </is>
      </c>
      <c r="E466" s="9" t="inlineStr">
        <is>
          <t>유상증자</t>
        </is>
      </c>
      <c r="F466" s="3" t="inlineStr">
        <is>
          <t>주요사항보고서(유상증자결정)</t>
        </is>
      </c>
      <c r="G466" s="5" t="n">
        <v>330000</v>
      </c>
      <c r="H466" s="5" t="inlineStr"/>
      <c r="I466" s="2" t="inlineStr">
        <is>
          <t>보통주식</t>
        </is>
      </c>
      <c r="J466" s="6" t="n">
        <v>0</v>
      </c>
      <c r="K466" s="2" t="inlineStr">
        <is>
          <t>2026-07-24</t>
        </is>
      </c>
      <c r="L466" s="2" t="inlineStr">
        <is>
          <t>-</t>
        </is>
      </c>
      <c r="M466" s="2" t="inlineStr">
        <is>
          <t>-</t>
        </is>
      </c>
      <c r="N466" s="2" t="inlineStr">
        <is>
          <t>-</t>
        </is>
      </c>
      <c r="O466" s="10" t="n">
        <v>0</v>
      </c>
      <c r="P466" s="7" t="inlineStr">
        <is>
          <t>운영자금 (330,000원)</t>
        </is>
      </c>
      <c r="Q466" s="2" t="inlineStr">
        <is>
          <t>-</t>
        </is>
      </c>
      <c r="R466" s="2" t="inlineStr">
        <is>
          <t>-</t>
        </is>
      </c>
      <c r="S466" s="2" t="inlineStr">
        <is>
          <t>20260626000006</t>
        </is>
      </c>
      <c r="T466" s="8">
        <f>HYPERLINK("https://dart.fss.or.kr/dsaf001/main.do?rcpNo=20260626000006", "공시열람")</f>
        <v/>
      </c>
    </row>
    <row r="467" ht="36" customHeight="1">
      <c r="A467" s="2" t="inlineStr">
        <is>
          <t>2026-06-26</t>
        </is>
      </c>
      <c r="B467" s="3" t="inlineStr">
        <is>
          <t>리가켐바이오</t>
        </is>
      </c>
      <c r="C467" s="2" t="inlineStr">
        <is>
          <t>코스닥</t>
        </is>
      </c>
      <c r="D467" s="2" t="inlineStr">
        <is>
          <t>141080</t>
        </is>
      </c>
      <c r="E467" s="11" t="inlineStr">
        <is>
          <t>전환사채(CB)</t>
        </is>
      </c>
      <c r="F467" s="3" t="inlineStr">
        <is>
          <t>주요사항보고서(전환사채권발행결정)</t>
        </is>
      </c>
      <c r="G467" s="5" t="n">
        <v>170000000000</v>
      </c>
      <c r="H467" s="5" t="n">
        <v>149300</v>
      </c>
      <c r="I467" s="2" t="inlineStr">
        <is>
          <t>주식회사 리가켐바이오사이언스 기명식 보통주식</t>
        </is>
      </c>
      <c r="J467" s="6" t="n">
        <v>1138647</v>
      </c>
      <c r="K467" s="2" t="inlineStr">
        <is>
          <t>2026년 07월 24일</t>
        </is>
      </c>
      <c r="L467" s="2" t="inlineStr">
        <is>
          <t>-</t>
        </is>
      </c>
      <c r="M467" s="2" t="inlineStr">
        <is>
          <t>2028-07-24</t>
        </is>
      </c>
      <c r="N467" s="2" t="inlineStr">
        <is>
          <t>2036-06-23</t>
        </is>
      </c>
      <c r="O467" s="10" t="n">
        <v>3.08</v>
      </c>
      <c r="P467" s="7" t="inlineStr">
        <is>
          <t>-</t>
        </is>
      </c>
      <c r="Q467" s="2" t="inlineStr">
        <is>
          <t>2027-07-24</t>
        </is>
      </c>
      <c r="R467" s="2" t="inlineStr">
        <is>
          <t>-</t>
        </is>
      </c>
      <c r="S467" s="2" t="inlineStr">
        <is>
          <t>20260626000004</t>
        </is>
      </c>
      <c r="T467" s="8">
        <f>HYPERLINK("https://dart.fss.or.kr/dsaf001/main.do?rcpNo=20260626000004", "공시열람")</f>
        <v/>
      </c>
    </row>
    <row r="468" ht="36" customHeight="1">
      <c r="A468" s="2" t="inlineStr">
        <is>
          <t>2026-06-26</t>
        </is>
      </c>
      <c r="B468" s="3" t="inlineStr">
        <is>
          <t>앱튼</t>
        </is>
      </c>
      <c r="C468" s="2" t="inlineStr">
        <is>
          <t>코스닥</t>
        </is>
      </c>
      <c r="D468" s="2" t="inlineStr">
        <is>
          <t>270520</t>
        </is>
      </c>
      <c r="E468" s="11" t="inlineStr">
        <is>
          <t>전환사채(CB)</t>
        </is>
      </c>
      <c r="F468" s="3" t="inlineStr">
        <is>
          <t>주요사항보고서(전환사채권발행결정)</t>
        </is>
      </c>
      <c r="G468" s="5" t="n">
        <v>15000000000</v>
      </c>
      <c r="H468" s="5" t="n">
        <v>1000</v>
      </c>
      <c r="I468" s="2" t="inlineStr">
        <is>
          <t>㈜앱튼 기명식 보통주식</t>
        </is>
      </c>
      <c r="J468" s="6" t="n">
        <v>15000000</v>
      </c>
      <c r="K468" s="2" t="inlineStr">
        <is>
          <t>2026년 07월 24일</t>
        </is>
      </c>
      <c r="L468" s="2" t="inlineStr">
        <is>
          <t>-</t>
        </is>
      </c>
      <c r="M468" s="2" t="inlineStr">
        <is>
          <t>2027-07-25</t>
        </is>
      </c>
      <c r="N468" s="2" t="inlineStr">
        <is>
          <t>2031-06-24</t>
        </is>
      </c>
      <c r="O468" s="10" t="n">
        <v>43.27</v>
      </c>
      <c r="P468" s="7" t="inlineStr">
        <is>
          <t>-</t>
        </is>
      </c>
      <c r="Q468" s="2" t="inlineStr">
        <is>
          <t>2028-01-24</t>
        </is>
      </c>
      <c r="R468" s="2" t="inlineStr">
        <is>
          <t>2028-01-24</t>
        </is>
      </c>
      <c r="S468" s="2" t="inlineStr">
        <is>
          <t>20260626000002</t>
        </is>
      </c>
      <c r="T468" s="8">
        <f>HYPERLINK("https://dart.fss.or.kr/dsaf001/main.do?rcpNo=20260626000002", "공시열람")</f>
        <v/>
      </c>
    </row>
    <row r="469" ht="36" customHeight="1">
      <c r="A469" s="2" t="inlineStr">
        <is>
          <t>2026-06-26</t>
        </is>
      </c>
      <c r="B469" s="3" t="inlineStr">
        <is>
          <t>앱튼</t>
        </is>
      </c>
      <c r="C469" s="2" t="inlineStr">
        <is>
          <t>코스닥</t>
        </is>
      </c>
      <c r="D469" s="2" t="inlineStr">
        <is>
          <t>270520</t>
        </is>
      </c>
      <c r="E469" s="11" t="inlineStr">
        <is>
          <t>전환사채(CB)</t>
        </is>
      </c>
      <c r="F469" s="3" t="inlineStr">
        <is>
          <t>주요사항보고서(전환사채권발행결정)</t>
        </is>
      </c>
      <c r="G469" s="5" t="n">
        <v>10000000000</v>
      </c>
      <c r="H469" s="5" t="n">
        <v>1000</v>
      </c>
      <c r="I469" s="2" t="inlineStr">
        <is>
          <t>㈜앱튼 기명식 보통주식</t>
        </is>
      </c>
      <c r="J469" s="6" t="n">
        <v>10000000</v>
      </c>
      <c r="K469" s="2" t="inlineStr">
        <is>
          <t>2026년 07월 24일</t>
        </is>
      </c>
      <c r="L469" s="2" t="inlineStr">
        <is>
          <t>-</t>
        </is>
      </c>
      <c r="M469" s="2" t="inlineStr">
        <is>
          <t>2027-07-25</t>
        </is>
      </c>
      <c r="N469" s="2" t="inlineStr">
        <is>
          <t>2031-06-24</t>
        </is>
      </c>
      <c r="O469" s="10" t="n">
        <v>33.71</v>
      </c>
      <c r="P469" s="7" t="inlineStr">
        <is>
          <t>-</t>
        </is>
      </c>
      <c r="Q469" s="2" t="inlineStr">
        <is>
          <t>2028-01-24</t>
        </is>
      </c>
      <c r="R469" s="2" t="inlineStr">
        <is>
          <t>2028-01-24</t>
        </is>
      </c>
      <c r="S469" s="2" t="inlineStr">
        <is>
          <t>20260626000003</t>
        </is>
      </c>
      <c r="T469" s="8">
        <f>HYPERLINK("https://dart.fss.or.kr/dsaf001/main.do?rcpNo=20260626000003", "공시열람")</f>
        <v/>
      </c>
    </row>
    <row r="470" ht="36" customHeight="1">
      <c r="A470" s="2" t="inlineStr">
        <is>
          <t>2026-06-26</t>
        </is>
      </c>
      <c r="B470" s="3" t="inlineStr">
        <is>
          <t>LIG디펜스앤에어로스페이스</t>
        </is>
      </c>
      <c r="C470" s="2" t="inlineStr">
        <is>
          <t>코스피</t>
        </is>
      </c>
      <c r="D470" s="2" t="inlineStr">
        <is>
          <t>079550</t>
        </is>
      </c>
      <c r="E470" s="9" t="inlineStr">
        <is>
          <t>유상증자</t>
        </is>
      </c>
      <c r="F470" s="3" t="inlineStr">
        <is>
          <t>주요사항보고서(유상증자결정)</t>
        </is>
      </c>
      <c r="G470" s="5" t="n">
        <v>499999489428</v>
      </c>
      <c r="H470" s="5" t="inlineStr"/>
      <c r="I470" s="2" t="inlineStr">
        <is>
          <t>보통주식</t>
        </is>
      </c>
      <c r="J470" s="6" t="n">
        <v>0</v>
      </c>
      <c r="K470" s="2" t="inlineStr">
        <is>
          <t>2026-09-16</t>
        </is>
      </c>
      <c r="L470" s="2" t="inlineStr">
        <is>
          <t>-</t>
        </is>
      </c>
      <c r="M470" s="2" t="inlineStr">
        <is>
          <t>-</t>
        </is>
      </c>
      <c r="N470" s="2" t="inlineStr">
        <is>
          <t>-</t>
        </is>
      </c>
      <c r="O470" s="10" t="n">
        <v>0</v>
      </c>
      <c r="P470" s="7" t="inlineStr">
        <is>
          <t>시설자금 (5000.0억원)</t>
        </is>
      </c>
      <c r="Q470" s="2" t="inlineStr">
        <is>
          <t>-</t>
        </is>
      </c>
      <c r="R470" s="2" t="inlineStr">
        <is>
          <t>-</t>
        </is>
      </c>
      <c r="S470" s="2" t="inlineStr">
        <is>
          <t>20260626000001</t>
        </is>
      </c>
      <c r="T470" s="8">
        <f>HYPERLINK("https://dart.fss.or.kr/dsaf001/main.do?rcpNo=20260626000001", "공시열람")</f>
        <v/>
      </c>
    </row>
    <row r="471" ht="36" customHeight="1">
      <c r="A471" s="2" t="inlineStr">
        <is>
          <t>2026-06-29</t>
        </is>
      </c>
      <c r="B471" s="3" t="inlineStr">
        <is>
          <t>삼부토건</t>
        </is>
      </c>
      <c r="C471" s="2" t="inlineStr">
        <is>
          <t>코스피</t>
        </is>
      </c>
      <c r="D471" s="2" t="inlineStr">
        <is>
          <t>001470</t>
        </is>
      </c>
      <c r="E471" s="9" t="inlineStr">
        <is>
          <t>유상증자</t>
        </is>
      </c>
      <c r="F471" s="3" t="inlineStr">
        <is>
          <t>주요사항보고서(유상증자결정)</t>
        </is>
      </c>
      <c r="G471" s="5" t="n">
        <v>33000000000</v>
      </c>
      <c r="H471" s="5" t="n">
        <v>1000</v>
      </c>
      <c r="I471" s="2" t="inlineStr">
        <is>
          <t>보통주식</t>
        </is>
      </c>
      <c r="J471" s="6" t="n">
        <v>33000000</v>
      </c>
      <c r="K471" s="2" t="inlineStr">
        <is>
          <t>2026-07-13</t>
        </is>
      </c>
      <c r="L471" s="2" t="inlineStr">
        <is>
          <t>2026-09-01</t>
        </is>
      </c>
      <c r="M471" s="2" t="inlineStr">
        <is>
          <t>-</t>
        </is>
      </c>
      <c r="N471" s="2" t="inlineStr">
        <is>
          <t>-</t>
        </is>
      </c>
      <c r="O471" s="10" t="n">
        <v>534.3919259533593</v>
      </c>
      <c r="P471" s="7" t="inlineStr">
        <is>
          <t>기타자금 (330.0억원)</t>
        </is>
      </c>
      <c r="Q471" s="2" t="inlineStr">
        <is>
          <t>-</t>
        </is>
      </c>
      <c r="R471" s="2" t="inlineStr">
        <is>
          <t>-</t>
        </is>
      </c>
      <c r="S471" s="2" t="inlineStr">
        <is>
          <t>20260626000774</t>
        </is>
      </c>
      <c r="T471" s="8">
        <f>HYPERLINK("https://dart.fss.or.kr/dsaf001/main.do?rcpNo=20260626000774", "공시열람")</f>
        <v/>
      </c>
    </row>
    <row r="472" ht="36" customHeight="1">
      <c r="A472" s="2" t="inlineStr">
        <is>
          <t>2026-06-29</t>
        </is>
      </c>
      <c r="B472" s="3" t="inlineStr">
        <is>
          <t>삼부토건</t>
        </is>
      </c>
      <c r="C472" s="2" t="inlineStr">
        <is>
          <t>코스피</t>
        </is>
      </c>
      <c r="D472" s="2" t="inlineStr">
        <is>
          <t>001470</t>
        </is>
      </c>
      <c r="E472" s="9" t="inlineStr">
        <is>
          <t>유상증자</t>
        </is>
      </c>
      <c r="F472" s="3" t="inlineStr">
        <is>
          <t>주요사항보고서(유상증자결정)</t>
        </is>
      </c>
      <c r="G472" s="5" t="n">
        <v>0</v>
      </c>
      <c r="H472" s="5" t="n">
        <v>1000</v>
      </c>
      <c r="I472" s="2" t="inlineStr">
        <is>
          <t>보통주식</t>
        </is>
      </c>
      <c r="J472" s="6" t="n">
        <v>115010416</v>
      </c>
      <c r="K472" s="2" t="inlineStr">
        <is>
          <t>2026-07-03</t>
        </is>
      </c>
      <c r="L472" s="2" t="inlineStr">
        <is>
          <t>2026-09-01</t>
        </is>
      </c>
      <c r="M472" s="2" t="inlineStr">
        <is>
          <t>-</t>
        </is>
      </c>
      <c r="N472" s="2" t="inlineStr">
        <is>
          <t>-</t>
        </is>
      </c>
      <c r="O472" s="10" t="n">
        <v>1351.992621375019</v>
      </c>
      <c r="P472" s="7" t="inlineStr">
        <is>
          <t>-</t>
        </is>
      </c>
      <c r="Q472" s="2" t="inlineStr">
        <is>
          <t>-</t>
        </is>
      </c>
      <c r="R472" s="2" t="inlineStr">
        <is>
          <t>-</t>
        </is>
      </c>
      <c r="S472" s="2" t="inlineStr">
        <is>
          <t>20260626000772</t>
        </is>
      </c>
      <c r="T472" s="8">
        <f>HYPERLINK("https://dart.fss.or.kr/dsaf001/main.do?rcpNo=20260626000772", "공시열람")</f>
        <v/>
      </c>
    </row>
    <row r="473" ht="36" customHeight="1">
      <c r="A473" s="2" t="inlineStr">
        <is>
          <t>2026-06-30</t>
        </is>
      </c>
      <c r="B473" s="3" t="inlineStr">
        <is>
          <t>콘텐트리중앙</t>
        </is>
      </c>
      <c r="C473" s="2" t="inlineStr">
        <is>
          <t>코스피</t>
        </is>
      </c>
      <c r="D473" s="2" t="inlineStr">
        <is>
          <t>036420</t>
        </is>
      </c>
      <c r="E473" s="11" t="inlineStr">
        <is>
          <t>전환사채(CB)</t>
        </is>
      </c>
      <c r="F473" s="3" t="inlineStr">
        <is>
          <t>[기재정정]주요사항보고서(전환사채권발행결정)</t>
        </is>
      </c>
      <c r="G473" s="5" t="inlineStr"/>
      <c r="H473" s="5" t="inlineStr"/>
      <c r="I473" s="2" t="inlineStr">
        <is>
          <t>-</t>
        </is>
      </c>
      <c r="J473" s="6" t="inlineStr"/>
      <c r="K473" s="2" t="inlineStr">
        <is>
          <t>-</t>
        </is>
      </c>
      <c r="L473" s="2" t="inlineStr">
        <is>
          <t>-</t>
        </is>
      </c>
      <c r="M473" s="2" t="inlineStr">
        <is>
          <t>2022-05-15</t>
        </is>
      </c>
      <c r="N473" s="2" t="inlineStr">
        <is>
          <t>-</t>
        </is>
      </c>
      <c r="O473" s="3" t="inlineStr"/>
      <c r="P473" s="7" t="inlineStr">
        <is>
          <t>-</t>
        </is>
      </c>
      <c r="Q473" s="2" t="inlineStr">
        <is>
          <t>-</t>
        </is>
      </c>
      <c r="R473" s="2" t="inlineStr">
        <is>
          <t>2021-04-30</t>
        </is>
      </c>
      <c r="S473" s="2" t="inlineStr">
        <is>
          <t>20260630000851</t>
        </is>
      </c>
      <c r="T473" s="8">
        <f>HYPERLINK("https://dart.fss.or.kr/dsaf001/main.do?rcpNo=20260630000851", "공시열람")</f>
        <v/>
      </c>
    </row>
    <row r="474" ht="36" customHeight="1">
      <c r="A474" s="2" t="inlineStr">
        <is>
          <t>2026-06-30</t>
        </is>
      </c>
      <c r="B474" s="3" t="inlineStr">
        <is>
          <t>금양</t>
        </is>
      </c>
      <c r="C474" s="2" t="inlineStr">
        <is>
          <t>코스피</t>
        </is>
      </c>
      <c r="D474" s="2" t="inlineStr">
        <is>
          <t>001570</t>
        </is>
      </c>
      <c r="E474" s="9" t="inlineStr">
        <is>
          <t>유상증자</t>
        </is>
      </c>
      <c r="F474" s="3" t="inlineStr">
        <is>
          <t>[기재정정]주요사항보고서(유상증자결정)</t>
        </is>
      </c>
      <c r="G474" s="5" t="n">
        <v>0</v>
      </c>
      <c r="H474" s="5" t="inlineStr"/>
      <c r="I474" s="2" t="inlineStr">
        <is>
          <t>보통주식</t>
        </is>
      </c>
      <c r="J474" s="6" t="n">
        <v>0</v>
      </c>
      <c r="K474" s="2" t="inlineStr">
        <is>
          <t>-</t>
        </is>
      </c>
      <c r="L474" s="2" t="inlineStr">
        <is>
          <t>-</t>
        </is>
      </c>
      <c r="M474" s="2" t="inlineStr">
        <is>
          <t>-</t>
        </is>
      </c>
      <c r="N474" s="2" t="inlineStr">
        <is>
          <t>-</t>
        </is>
      </c>
      <c r="O474" s="3" t="inlineStr"/>
      <c r="P474" s="7" t="inlineStr">
        <is>
          <t>-</t>
        </is>
      </c>
      <c r="Q474" s="2" t="inlineStr">
        <is>
          <t>-</t>
        </is>
      </c>
      <c r="R474" s="2" t="inlineStr">
        <is>
          <t>-</t>
        </is>
      </c>
      <c r="S474" s="2" t="inlineStr">
        <is>
          <t>20260630000773</t>
        </is>
      </c>
      <c r="T474" s="8">
        <f>HYPERLINK("https://dart.fss.or.kr/dsaf001/main.do?rcpNo=20260630000773", "공시열람")</f>
        <v/>
      </c>
    </row>
    <row r="475" ht="36" customHeight="1">
      <c r="A475" s="2" t="inlineStr">
        <is>
          <t>2026-06-30</t>
        </is>
      </c>
      <c r="B475" s="3" t="inlineStr">
        <is>
          <t>에코프로</t>
        </is>
      </c>
      <c r="C475" s="2" t="inlineStr">
        <is>
          <t>코스닥</t>
        </is>
      </c>
      <c r="D475" s="2" t="inlineStr">
        <is>
          <t>086520</t>
        </is>
      </c>
      <c r="E475" s="9" t="inlineStr">
        <is>
          <t>유상증자</t>
        </is>
      </c>
      <c r="F475" s="3" t="inlineStr">
        <is>
          <t xml:space="preserve">유상증자결정(종속회사의주요경영사항)              </t>
        </is>
      </c>
      <c r="G475" s="5" t="n">
        <v>0</v>
      </c>
      <c r="H475" s="5" t="inlineStr"/>
      <c r="I475" s="2" t="inlineStr">
        <is>
          <t>보통주식</t>
        </is>
      </c>
      <c r="J475" s="6" t="n">
        <v>0</v>
      </c>
      <c r="K475" s="2" t="inlineStr">
        <is>
          <t>-</t>
        </is>
      </c>
      <c r="L475" s="2" t="inlineStr">
        <is>
          <t>-</t>
        </is>
      </c>
      <c r="M475" s="2" t="inlineStr">
        <is>
          <t>-</t>
        </is>
      </c>
      <c r="N475" s="2" t="inlineStr">
        <is>
          <t>-</t>
        </is>
      </c>
      <c r="O475" s="3" t="inlineStr"/>
      <c r="P475" s="7" t="inlineStr">
        <is>
          <t>-</t>
        </is>
      </c>
      <c r="Q475" s="2" t="inlineStr">
        <is>
          <t>-</t>
        </is>
      </c>
      <c r="R475" s="2" t="inlineStr">
        <is>
          <t>-</t>
        </is>
      </c>
      <c r="S475" s="2" t="inlineStr">
        <is>
          <t>20260630901022</t>
        </is>
      </c>
      <c r="T475" s="8">
        <f>HYPERLINK("https://dart.fss.or.kr/dsaf001/main.do?rcpNo=20260630901022", "공시열람")</f>
        <v/>
      </c>
    </row>
    <row r="476" ht="36" customHeight="1">
      <c r="A476" s="2" t="inlineStr">
        <is>
          <t>2026-06-30</t>
        </is>
      </c>
      <c r="B476" s="3" t="inlineStr">
        <is>
          <t>핑거스토리</t>
        </is>
      </c>
      <c r="C476" s="2" t="inlineStr">
        <is>
          <t>코스닥</t>
        </is>
      </c>
      <c r="D476" s="2" t="inlineStr">
        <is>
          <t>417180</t>
        </is>
      </c>
      <c r="E476" s="9" t="inlineStr">
        <is>
          <t>유상증자</t>
        </is>
      </c>
      <c r="F476" s="3" t="inlineStr">
        <is>
          <t>[기재정정]주요사항보고서(유상증자결정)</t>
        </is>
      </c>
      <c r="G476" s="5" t="n">
        <v>0</v>
      </c>
      <c r="H476" s="5" t="inlineStr"/>
      <c r="I476" s="2" t="inlineStr">
        <is>
          <t>보통주식</t>
        </is>
      </c>
      <c r="J476" s="6" t="n">
        <v>0</v>
      </c>
      <c r="K476" s="2" t="inlineStr">
        <is>
          <t>-</t>
        </is>
      </c>
      <c r="L476" s="2" t="inlineStr">
        <is>
          <t>-</t>
        </is>
      </c>
      <c r="M476" s="2" t="inlineStr">
        <is>
          <t>-</t>
        </is>
      </c>
      <c r="N476" s="2" t="inlineStr">
        <is>
          <t>-</t>
        </is>
      </c>
      <c r="O476" s="3" t="inlineStr"/>
      <c r="P476" s="7" t="inlineStr">
        <is>
          <t>-</t>
        </is>
      </c>
      <c r="Q476" s="2" t="inlineStr">
        <is>
          <t>-</t>
        </is>
      </c>
      <c r="R476" s="2" t="inlineStr">
        <is>
          <t>-</t>
        </is>
      </c>
      <c r="S476" s="2" t="inlineStr">
        <is>
          <t>20260630000686</t>
        </is>
      </c>
      <c r="T476" s="8">
        <f>HYPERLINK("https://dart.fss.or.kr/dsaf001/main.do?rcpNo=20260630000686", "공시열람")</f>
        <v/>
      </c>
    </row>
    <row r="477" ht="36" customHeight="1">
      <c r="A477" s="2" t="inlineStr">
        <is>
          <t>2026-06-30</t>
        </is>
      </c>
      <c r="B477" s="3" t="inlineStr">
        <is>
          <t>에코프로비엠</t>
        </is>
      </c>
      <c r="C477" s="2" t="inlineStr">
        <is>
          <t>코스닥</t>
        </is>
      </c>
      <c r="D477" s="2" t="inlineStr">
        <is>
          <t>247540</t>
        </is>
      </c>
      <c r="E477" s="9" t="inlineStr">
        <is>
          <t>유상증자</t>
        </is>
      </c>
      <c r="F477" s="3" t="inlineStr">
        <is>
          <t>주요사항보고서(유상증자결정)</t>
        </is>
      </c>
      <c r="G477" s="5" t="n">
        <v>0</v>
      </c>
      <c r="H477" s="5" t="inlineStr"/>
      <c r="I477" s="2" t="inlineStr">
        <is>
          <t>보통주식</t>
        </is>
      </c>
      <c r="J477" s="6" t="n">
        <v>0</v>
      </c>
      <c r="K477" s="2" t="inlineStr">
        <is>
          <t>-</t>
        </is>
      </c>
      <c r="L477" s="2" t="inlineStr">
        <is>
          <t>-</t>
        </is>
      </c>
      <c r="M477" s="2" t="inlineStr">
        <is>
          <t>-</t>
        </is>
      </c>
      <c r="N477" s="2" t="inlineStr">
        <is>
          <t>-</t>
        </is>
      </c>
      <c r="O477" s="3" t="inlineStr"/>
      <c r="P477" s="7" t="inlineStr">
        <is>
          <t>-</t>
        </is>
      </c>
      <c r="Q477" s="2" t="inlineStr">
        <is>
          <t>-</t>
        </is>
      </c>
      <c r="R477" s="2" t="inlineStr">
        <is>
          <t>-</t>
        </is>
      </c>
      <c r="S477" s="2" t="inlineStr">
        <is>
          <t>20260630000676</t>
        </is>
      </c>
      <c r="T477" s="8">
        <f>HYPERLINK("https://dart.fss.or.kr/dsaf001/main.do?rcpNo=20260630000676", "공시열람")</f>
        <v/>
      </c>
    </row>
    <row r="478" ht="36" customHeight="1">
      <c r="A478" s="2" t="inlineStr">
        <is>
          <t>2026-06-30</t>
        </is>
      </c>
      <c r="B478" s="3" t="inlineStr">
        <is>
          <t>금호전기</t>
        </is>
      </c>
      <c r="C478" s="2" t="inlineStr">
        <is>
          <t>코스피</t>
        </is>
      </c>
      <c r="D478" s="2" t="inlineStr">
        <is>
          <t>001210</t>
        </is>
      </c>
      <c r="E478" s="11" t="inlineStr">
        <is>
          <t>전환사채(CB)</t>
        </is>
      </c>
      <c r="F478" s="3" t="inlineStr">
        <is>
          <t>[기재정정]주요사항보고서(전환사채권발행결정)</t>
        </is>
      </c>
      <c r="G478" s="5" t="inlineStr"/>
      <c r="H478" s="5" t="inlineStr"/>
      <c r="I478" s="2" t="inlineStr">
        <is>
          <t>-</t>
        </is>
      </c>
      <c r="J478" s="6" t="inlineStr"/>
      <c r="K478" s="2" t="inlineStr">
        <is>
          <t>-</t>
        </is>
      </c>
      <c r="L478" s="2" t="inlineStr">
        <is>
          <t>-</t>
        </is>
      </c>
      <c r="M478" s="2" t="inlineStr">
        <is>
          <t>2027-11-13</t>
        </is>
      </c>
      <c r="N478" s="2" t="inlineStr">
        <is>
          <t>2029-10-13</t>
        </is>
      </c>
      <c r="O478" s="3" t="inlineStr"/>
      <c r="P478" s="7" t="inlineStr">
        <is>
          <t>-</t>
        </is>
      </c>
      <c r="Q478" s="2" t="inlineStr">
        <is>
          <t>2027-07-01</t>
        </is>
      </c>
      <c r="R478" s="2" t="inlineStr">
        <is>
          <t>2027-11-14</t>
        </is>
      </c>
      <c r="S478" s="2" t="inlineStr">
        <is>
          <t>20260630000689</t>
        </is>
      </c>
      <c r="T478" s="8">
        <f>HYPERLINK("https://dart.fss.or.kr/dsaf001/main.do?rcpNo=20260630000689", "공시열람")</f>
        <v/>
      </c>
    </row>
    <row r="479" ht="36" customHeight="1">
      <c r="A479" s="2" t="inlineStr">
        <is>
          <t>2026-06-30</t>
        </is>
      </c>
      <c r="B479" s="3" t="inlineStr">
        <is>
          <t>금호전기</t>
        </is>
      </c>
      <c r="C479" s="2" t="inlineStr">
        <is>
          <t>코스피</t>
        </is>
      </c>
      <c r="D479" s="2" t="inlineStr">
        <is>
          <t>001210</t>
        </is>
      </c>
      <c r="E479" s="9" t="inlineStr">
        <is>
          <t>유상증자</t>
        </is>
      </c>
      <c r="F479" s="3" t="inlineStr">
        <is>
          <t>[기재정정]주요사항보고서(유상증자결정)</t>
        </is>
      </c>
      <c r="G479" s="5" t="n">
        <v>0</v>
      </c>
      <c r="H479" s="5" t="inlineStr"/>
      <c r="I479" s="2" t="inlineStr">
        <is>
          <t>보통주식</t>
        </is>
      </c>
      <c r="J479" s="6" t="n">
        <v>0</v>
      </c>
      <c r="K479" s="2" t="inlineStr">
        <is>
          <t>-</t>
        </is>
      </c>
      <c r="L479" s="2" t="inlineStr">
        <is>
          <t>-</t>
        </is>
      </c>
      <c r="M479" s="2" t="inlineStr">
        <is>
          <t>-</t>
        </is>
      </c>
      <c r="N479" s="2" t="inlineStr">
        <is>
          <t>-</t>
        </is>
      </c>
      <c r="O479" s="3" t="inlineStr"/>
      <c r="P479" s="7" t="inlineStr">
        <is>
          <t>-</t>
        </is>
      </c>
      <c r="Q479" s="2" t="inlineStr">
        <is>
          <t>-</t>
        </is>
      </c>
      <c r="R479" s="2" t="inlineStr">
        <is>
          <t>-</t>
        </is>
      </c>
      <c r="S479" s="2" t="inlineStr">
        <is>
          <t>20260630000680</t>
        </is>
      </c>
      <c r="T479" s="8">
        <f>HYPERLINK("https://dart.fss.or.kr/dsaf001/main.do?rcpNo=20260630000680", "공시열람")</f>
        <v/>
      </c>
    </row>
    <row r="480" ht="36" customHeight="1">
      <c r="A480" s="2" t="inlineStr">
        <is>
          <t>2026-01-22 (정정: 2026-06-30)</t>
        </is>
      </c>
      <c r="B480" s="3" t="inlineStr">
        <is>
          <t>캔버스엔</t>
        </is>
      </c>
      <c r="C480" s="2" t="inlineStr">
        <is>
          <t>코스닥</t>
        </is>
      </c>
      <c r="D480" s="2" t="inlineStr">
        <is>
          <t>210120</t>
        </is>
      </c>
      <c r="E480" s="9" t="inlineStr">
        <is>
          <t>유상증자</t>
        </is>
      </c>
      <c r="F480" s="3" t="inlineStr">
        <is>
          <t>[기재정정]주요사항보고서(유상증자결정)</t>
        </is>
      </c>
      <c r="G480" s="5" t="n">
        <v>14000</v>
      </c>
      <c r="H480" s="5" t="n">
        <v>1311</v>
      </c>
      <c r="I480" s="2" t="inlineStr">
        <is>
          <t>보통주식</t>
        </is>
      </c>
      <c r="J480" s="6" t="n">
        <v>10678871</v>
      </c>
      <c r="K480" s="2" t="inlineStr">
        <is>
          <t>2026-07-30</t>
        </is>
      </c>
      <c r="L480" s="2" t="inlineStr">
        <is>
          <t>2026-08-20</t>
        </is>
      </c>
      <c r="M480" s="2" t="inlineStr">
        <is>
          <t>-</t>
        </is>
      </c>
      <c r="N480" s="2" t="inlineStr">
        <is>
          <t>-</t>
        </is>
      </c>
      <c r="O480" s="10" t="n">
        <v>44.05933241074009</v>
      </c>
      <c r="P480" s="7" t="inlineStr">
        <is>
          <t>운영자금 (14,000원)</t>
        </is>
      </c>
      <c r="Q480" s="2" t="inlineStr">
        <is>
          <t>-</t>
        </is>
      </c>
      <c r="R480" s="2" t="inlineStr">
        <is>
          <t>-</t>
        </is>
      </c>
      <c r="S480" s="2" t="inlineStr">
        <is>
          <t>20260630000616</t>
        </is>
      </c>
      <c r="T480" s="8">
        <f>HYPERLINK("https://dart.fss.or.kr/dsaf001/main.do?rcpNo=20260630000616", "공시열람")</f>
        <v/>
      </c>
    </row>
    <row r="481" ht="36" customHeight="1">
      <c r="A481" s="2" t="inlineStr">
        <is>
          <t>2025-05-21 (정정: 2026-06-30)</t>
        </is>
      </c>
      <c r="B481" s="3" t="inlineStr">
        <is>
          <t>파두</t>
        </is>
      </c>
      <c r="C481" s="2" t="inlineStr">
        <is>
          <t>코스닥</t>
        </is>
      </c>
      <c r="D481" s="2" t="inlineStr">
        <is>
          <t>440110</t>
        </is>
      </c>
      <c r="E481" s="11" t="inlineStr">
        <is>
          <t>전환사채(CB)</t>
        </is>
      </c>
      <c r="F481" s="3" t="inlineStr">
        <is>
          <t>[기재정정]주요사항보고서(전환사채권발행결정)</t>
        </is>
      </c>
      <c r="G481" s="5" t="inlineStr"/>
      <c r="H481" s="5" t="inlineStr"/>
      <c r="I481" s="2" t="inlineStr">
        <is>
          <t>-</t>
        </is>
      </c>
      <c r="J481" s="6" t="inlineStr"/>
      <c r="K481" s="2" t="inlineStr">
        <is>
          <t>-</t>
        </is>
      </c>
      <c r="L481" s="2" t="inlineStr">
        <is>
          <t>-</t>
        </is>
      </c>
      <c r="M481" s="2" t="inlineStr">
        <is>
          <t>2027-05-23</t>
        </is>
      </c>
      <c r="N481" s="2" t="inlineStr">
        <is>
          <t>2035-04-23</t>
        </is>
      </c>
      <c r="O481" s="3" t="inlineStr"/>
      <c r="P481" s="7" t="inlineStr">
        <is>
          <t>-</t>
        </is>
      </c>
      <c r="Q481" s="2" t="inlineStr">
        <is>
          <t>-</t>
        </is>
      </c>
      <c r="R481" s="2" t="inlineStr">
        <is>
          <t>2027-03-24</t>
        </is>
      </c>
      <c r="S481" s="2" t="inlineStr">
        <is>
          <t>20260630000628</t>
        </is>
      </c>
      <c r="T481" s="8">
        <f>HYPERLINK("https://dart.fss.or.kr/dsaf001/main.do?rcpNo=20260630000628", "공시열람")</f>
        <v/>
      </c>
    </row>
    <row r="482" ht="36" customHeight="1">
      <c r="A482" s="2" t="inlineStr">
        <is>
          <t>2024-09-06 (정정: 2026-06-30)</t>
        </is>
      </c>
      <c r="B482" s="3" t="inlineStr">
        <is>
          <t>엑시큐어하이트론</t>
        </is>
      </c>
      <c r="C482" s="2" t="inlineStr">
        <is>
          <t>코스피</t>
        </is>
      </c>
      <c r="D482" s="2" t="inlineStr">
        <is>
          <t>019490</t>
        </is>
      </c>
      <c r="E482" s="11" t="inlineStr">
        <is>
          <t>전환사채(CB)</t>
        </is>
      </c>
      <c r="F482" s="3" t="inlineStr">
        <is>
          <t>[기재정정]주요사항보고서(전환사채권발행결정)</t>
        </is>
      </c>
      <c r="G482" s="5" t="inlineStr"/>
      <c r="H482" s="5" t="inlineStr"/>
      <c r="I482" s="2" t="inlineStr">
        <is>
          <t>-</t>
        </is>
      </c>
      <c r="J482" s="6" t="inlineStr"/>
      <c r="K482" s="2" t="inlineStr">
        <is>
          <t>-</t>
        </is>
      </c>
      <c r="L482" s="2" t="inlineStr">
        <is>
          <t>-</t>
        </is>
      </c>
      <c r="M482" s="2" t="inlineStr">
        <is>
          <t>2027-12-30</t>
        </is>
      </c>
      <c r="N482" s="2" t="inlineStr">
        <is>
          <t>2029-11-30</t>
        </is>
      </c>
      <c r="O482" s="3" t="inlineStr"/>
      <c r="P482" s="7" t="inlineStr">
        <is>
          <t>-</t>
        </is>
      </c>
      <c r="Q482" s="2" t="inlineStr">
        <is>
          <t>-</t>
        </is>
      </c>
      <c r="R482" s="2" t="inlineStr">
        <is>
          <t>2027-05-01</t>
        </is>
      </c>
      <c r="S482" s="2" t="inlineStr">
        <is>
          <t>20260630000509</t>
        </is>
      </c>
      <c r="T482" s="8">
        <f>HYPERLINK("https://dart.fss.or.kr/dsaf001/main.do?rcpNo=20260630000509", "공시열람")</f>
        <v/>
      </c>
    </row>
    <row r="483" ht="36" customHeight="1">
      <c r="A483" s="2" t="inlineStr">
        <is>
          <t>2026-06-30 (정정: 2026-06-30)</t>
        </is>
      </c>
      <c r="B483" s="3" t="inlineStr">
        <is>
          <t>한창</t>
        </is>
      </c>
      <c r="C483" s="2" t="inlineStr">
        <is>
          <t>코스피</t>
        </is>
      </c>
      <c r="D483" s="2" t="inlineStr">
        <is>
          <t>005110</t>
        </is>
      </c>
      <c r="E483" s="11" t="inlineStr">
        <is>
          <t>전환사채(CB)</t>
        </is>
      </c>
      <c r="F483" s="3" t="inlineStr">
        <is>
          <t>[기재정정]주요사항보고서(전환사채권발행결정) (정정: 20260630)</t>
        </is>
      </c>
      <c r="G483" s="5" t="inlineStr"/>
      <c r="H483" s="5" t="n">
        <v>141550000000</v>
      </c>
      <c r="I483" s="2" t="inlineStr">
        <is>
          <t>-</t>
        </is>
      </c>
      <c r="J483" s="6" t="inlineStr"/>
      <c r="K483" s="2" t="inlineStr">
        <is>
          <t>-</t>
        </is>
      </c>
      <c r="L483" s="2" t="inlineStr">
        <is>
          <t>-</t>
        </is>
      </c>
      <c r="M483" s="2" t="inlineStr">
        <is>
          <t>2027-12-30</t>
        </is>
      </c>
      <c r="N483" s="2" t="inlineStr">
        <is>
          <t>2029-11-30</t>
        </is>
      </c>
      <c r="O483" s="3" t="inlineStr"/>
      <c r="P483" s="7" t="inlineStr">
        <is>
          <t>-</t>
        </is>
      </c>
      <c r="Q483" s="2" t="inlineStr">
        <is>
          <t>2027-06-30</t>
        </is>
      </c>
      <c r="R483" s="2" t="inlineStr">
        <is>
          <t>2027-12-30</t>
        </is>
      </c>
      <c r="S483" s="2" t="inlineStr">
        <is>
          <t>20260630000435</t>
        </is>
      </c>
      <c r="T483" s="8">
        <f>HYPERLINK("https://dart.fss.or.kr/dsaf001/main.do?rcpNo=20260630000435", "공시열람")</f>
        <v/>
      </c>
    </row>
    <row r="484" ht="36" customHeight="1">
      <c r="A484" s="2" t="inlineStr">
        <is>
          <t>2023-07-21 (정정: 2026-06-30)</t>
        </is>
      </c>
      <c r="B484" s="3" t="inlineStr">
        <is>
          <t>한창</t>
        </is>
      </c>
      <c r="C484" s="2" t="inlineStr">
        <is>
          <t>코스피</t>
        </is>
      </c>
      <c r="D484" s="2" t="inlineStr">
        <is>
          <t>005110</t>
        </is>
      </c>
      <c r="E484" s="9" t="inlineStr">
        <is>
          <t>유상증자</t>
        </is>
      </c>
      <c r="F484" s="3" t="inlineStr">
        <is>
          <t>[기재정정]주요사항보고서(유상증자결정)</t>
        </is>
      </c>
      <c r="G484" s="5" t="n">
        <v>10000000000</v>
      </c>
      <c r="H484" s="5" t="n">
        <v>2500</v>
      </c>
      <c r="I484" s="2" t="inlineStr">
        <is>
          <t>보통주식</t>
        </is>
      </c>
      <c r="J484" s="6" t="n">
        <v>4000000</v>
      </c>
      <c r="K484" s="2" t="inlineStr">
        <is>
          <t>2026-12-30</t>
        </is>
      </c>
      <c r="L484" s="2" t="inlineStr">
        <is>
          <t>2027-01-22</t>
        </is>
      </c>
      <c r="M484" s="2" t="inlineStr">
        <is>
          <t>-</t>
        </is>
      </c>
      <c r="N484" s="2" t="inlineStr">
        <is>
          <t>-</t>
        </is>
      </c>
      <c r="O484" s="10" t="n">
        <v>18.95159133432801</v>
      </c>
      <c r="P484" s="7" t="inlineStr">
        <is>
          <t>운영자금 (100.0억원)</t>
        </is>
      </c>
      <c r="Q484" s="2" t="inlineStr">
        <is>
          <t>-</t>
        </is>
      </c>
      <c r="R484" s="2" t="inlineStr">
        <is>
          <t>-</t>
        </is>
      </c>
      <c r="S484" s="2" t="inlineStr">
        <is>
          <t>20260630000391</t>
        </is>
      </c>
      <c r="T484" s="8">
        <f>HYPERLINK("https://dart.fss.or.kr/dsaf001/main.do?rcpNo=20260630000391", "공시열람")</f>
        <v/>
      </c>
    </row>
    <row r="485" ht="36" customHeight="1">
      <c r="A485" s="2" t="inlineStr">
        <is>
          <t>2026-06-30</t>
        </is>
      </c>
      <c r="B485" s="3" t="inlineStr">
        <is>
          <t>형지글로벌</t>
        </is>
      </c>
      <c r="C485" s="2" t="inlineStr">
        <is>
          <t>코스닥</t>
        </is>
      </c>
      <c r="D485" s="2" t="inlineStr">
        <is>
          <t>308100</t>
        </is>
      </c>
      <c r="E485" s="9" t="inlineStr">
        <is>
          <t>유상증자</t>
        </is>
      </c>
      <c r="F485" s="3" t="inlineStr">
        <is>
          <t>주요사항보고서(유상증자결정)</t>
        </is>
      </c>
      <c r="G485" s="5" t="n">
        <v>1004517410</v>
      </c>
      <c r="H485" s="5" t="n">
        <v>559</v>
      </c>
      <c r="I485" s="2" t="inlineStr">
        <is>
          <t>보통주식</t>
        </is>
      </c>
      <c r="J485" s="6" t="n">
        <v>1796990</v>
      </c>
      <c r="K485" s="2" t="inlineStr">
        <is>
          <t>2026-07-08</t>
        </is>
      </c>
      <c r="L485" s="2" t="inlineStr">
        <is>
          <t>2026-07-28</t>
        </is>
      </c>
      <c r="M485" s="2" t="inlineStr">
        <is>
          <t>-</t>
        </is>
      </c>
      <c r="N485" s="2" t="inlineStr">
        <is>
          <t>-</t>
        </is>
      </c>
      <c r="O485" s="10" t="n">
        <v>7.480287231307586</v>
      </c>
      <c r="P485" s="7" t="inlineStr">
        <is>
          <t>기타자금 (10.0억원)</t>
        </is>
      </c>
      <c r="Q485" s="2" t="inlineStr">
        <is>
          <t>-</t>
        </is>
      </c>
      <c r="R485" s="2" t="inlineStr">
        <is>
          <t>-</t>
        </is>
      </c>
      <c r="S485" s="2" t="inlineStr">
        <is>
          <t>20260630000167</t>
        </is>
      </c>
      <c r="T485" s="8">
        <f>HYPERLINK("https://dart.fss.or.kr/dsaf001/main.do?rcpNo=20260630000167", "공시열람")</f>
        <v/>
      </c>
    </row>
    <row r="486" ht="36" customHeight="1">
      <c r="A486" s="2" t="inlineStr">
        <is>
          <t>2026-06-30</t>
        </is>
      </c>
      <c r="B486" s="3" t="inlineStr">
        <is>
          <t>CMG제약</t>
        </is>
      </c>
      <c r="C486" s="2" t="inlineStr">
        <is>
          <t>코스닥</t>
        </is>
      </c>
      <c r="D486" s="2" t="inlineStr">
        <is>
          <t>058820</t>
        </is>
      </c>
      <c r="E486" s="11" t="inlineStr">
        <is>
          <t>전환사채(CB)</t>
        </is>
      </c>
      <c r="F486" s="3" t="inlineStr">
        <is>
          <t>주요사항보고서(전환사채권발행결정)</t>
        </is>
      </c>
      <c r="G486" s="5" t="n">
        <v>45000000000</v>
      </c>
      <c r="H486" s="5" t="n">
        <v>968</v>
      </c>
      <c r="I486" s="2" t="inlineStr">
        <is>
          <t>주식회사 씨엠지제약 기명식 보통주식</t>
        </is>
      </c>
      <c r="J486" s="6" t="n">
        <v>46487603</v>
      </c>
      <c r="K486" s="2" t="inlineStr">
        <is>
          <t>2026년 07월 07일</t>
        </is>
      </c>
      <c r="L486" s="2" t="inlineStr">
        <is>
          <t>-</t>
        </is>
      </c>
      <c r="M486" s="2" t="inlineStr">
        <is>
          <t>2027-07-07</t>
        </is>
      </c>
      <c r="N486" s="2" t="inlineStr">
        <is>
          <t>2031-06-07</t>
        </is>
      </c>
      <c r="O486" s="10" t="n">
        <v>23.89</v>
      </c>
      <c r="P486" s="7" t="inlineStr">
        <is>
          <t>-</t>
        </is>
      </c>
      <c r="Q486" s="2" t="inlineStr">
        <is>
          <t>2027-07-07</t>
        </is>
      </c>
      <c r="R486" s="2" t="inlineStr">
        <is>
          <t>2029-01-07</t>
        </is>
      </c>
      <c r="S486" s="2" t="inlineStr">
        <is>
          <t>20260629000588</t>
        </is>
      </c>
      <c r="T486" s="8">
        <f>HYPERLINK("https://dart.fss.or.kr/dsaf001/main.do?rcpNo=20260629000588", "공시열람")</f>
        <v/>
      </c>
    </row>
    <row r="487" ht="36" customHeight="1">
      <c r="A487" s="2" t="inlineStr">
        <is>
          <t>2026-06-30</t>
        </is>
      </c>
      <c r="B487" s="3" t="inlineStr">
        <is>
          <t>알엔투테크놀로지</t>
        </is>
      </c>
      <c r="C487" s="2" t="inlineStr">
        <is>
          <t>코스닥</t>
        </is>
      </c>
      <c r="D487" s="2" t="inlineStr">
        <is>
          <t>148250</t>
        </is>
      </c>
      <c r="E487" s="9" t="inlineStr">
        <is>
          <t>유상증자</t>
        </is>
      </c>
      <c r="F487" s="3" t="inlineStr">
        <is>
          <t>주요사항보고서(유상증자결정)</t>
        </is>
      </c>
      <c r="G487" s="5" t="n">
        <v>6999997920</v>
      </c>
      <c r="H487" s="5" t="n">
        <v>2130</v>
      </c>
      <c r="I487" s="2" t="inlineStr">
        <is>
          <t>보통주식</t>
        </is>
      </c>
      <c r="J487" s="6" t="n">
        <v>3286384</v>
      </c>
      <c r="K487" s="2" t="inlineStr">
        <is>
          <t>2026-08-28</t>
        </is>
      </c>
      <c r="L487" s="2" t="inlineStr">
        <is>
          <t>2026-09-18</t>
        </is>
      </c>
      <c r="M487" s="2" t="inlineStr">
        <is>
          <t>-</t>
        </is>
      </c>
      <c r="N487" s="2" t="inlineStr">
        <is>
          <t>-</t>
        </is>
      </c>
      <c r="O487" s="10" t="n">
        <v>24.14558424016862</v>
      </c>
      <c r="P487" s="7" t="inlineStr">
        <is>
          <t>운영자금 (70.0억원)</t>
        </is>
      </c>
      <c r="Q487" s="2" t="inlineStr">
        <is>
          <t>-</t>
        </is>
      </c>
      <c r="R487" s="2" t="inlineStr">
        <is>
          <t>-</t>
        </is>
      </c>
      <c r="S487" s="2" t="inlineStr">
        <is>
          <t>20260629000586</t>
        </is>
      </c>
      <c r="T487" s="8">
        <f>HYPERLINK("https://dart.fss.or.kr/dsaf001/main.do?rcpNo=20260629000586", "공시열람")</f>
        <v/>
      </c>
    </row>
  </sheetData>
  <autoFilter ref="A1:T4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4"/>
  <sheetViews>
    <sheetView workbookViewId="0">
      <selection activeCell="A1" sqref="A1"/>
    </sheetView>
  </sheetViews>
  <sheetFormatPr baseColWidth="8" defaultRowHeight="15"/>
  <cols>
    <col width="30" customWidth="1" min="1" max="1"/>
    <col width="18.4" customWidth="1" min="2" max="2"/>
    <col width="10" customWidth="1" min="3" max="3"/>
    <col width="11.4" customWidth="1" min="4" max="4"/>
    <col width="17" customWidth="1" min="5" max="5"/>
    <col width="30" customWidth="1" min="6" max="6"/>
    <col width="40" customWidth="1" min="7" max="7"/>
    <col width="17" customWidth="1" min="8" max="8"/>
    <col width="17" customWidth="1" min="9" max="9"/>
    <col width="30" customWidth="1" min="10" max="10"/>
    <col width="10" customWidth="1" min="11" max="11"/>
    <col width="15.6" customWidth="1" min="12" max="12"/>
    <col width="25" customWidth="1" min="13" max="13"/>
    <col width="22.6" customWidth="1" min="14" max="14"/>
    <col width="11.4" customWidth="1" min="15" max="15"/>
  </cols>
  <sheetData>
    <row r="1" ht="25" customHeight="1">
      <c r="A1" s="1" t="inlineStr">
        <is>
          <t>접수일자</t>
        </is>
      </c>
      <c r="B1" s="1" t="inlineStr">
        <is>
          <t>회사명</t>
        </is>
      </c>
      <c r="C1" s="1" t="inlineStr">
        <is>
          <t>시장구분</t>
        </is>
      </c>
      <c r="D1" s="1" t="inlineStr">
        <is>
          <t>종목코드</t>
        </is>
      </c>
      <c r="E1" s="1" t="inlineStr">
        <is>
          <t>유형</t>
        </is>
      </c>
      <c r="F1" s="1" t="inlineStr">
        <is>
          <t>공시명</t>
        </is>
      </c>
      <c r="G1" s="1" t="inlineStr">
        <is>
          <t>계약내용</t>
        </is>
      </c>
      <c r="H1" s="1" t="inlineStr">
        <is>
          <t>시작일</t>
        </is>
      </c>
      <c r="I1" s="1" t="inlineStr">
        <is>
          <t>종료일</t>
        </is>
      </c>
      <c r="J1" s="1" t="inlineStr">
        <is>
          <t>수주금액</t>
        </is>
      </c>
      <c r="K1" s="1" t="inlineStr">
        <is>
          <t>수주잔고</t>
        </is>
      </c>
      <c r="L1" s="1" t="inlineStr">
        <is>
          <t>최근 매출액 대비</t>
        </is>
      </c>
      <c r="M1" s="1" t="inlineStr">
        <is>
          <t>수주상대방</t>
        </is>
      </c>
      <c r="N1" s="1" t="inlineStr">
        <is>
          <t>접수번호</t>
        </is>
      </c>
      <c r="O1" s="1" t="inlineStr">
        <is>
          <t>DART링크</t>
        </is>
      </c>
    </row>
    <row r="2" ht="36" customHeight="1">
      <c r="A2" s="2" t="inlineStr">
        <is>
          <t>2026-01-19 (정정: 2026-06-24)</t>
        </is>
      </c>
      <c r="B2" s="3" t="inlineStr">
        <is>
          <t>남광토건</t>
        </is>
      </c>
      <c r="C2" s="2" t="inlineStr">
        <is>
          <t>코스피</t>
        </is>
      </c>
      <c r="D2" s="2" t="inlineStr">
        <is>
          <t>001260</t>
        </is>
      </c>
      <c r="E2" s="2" t="inlineStr">
        <is>
          <t>단일판매공급계약체결</t>
        </is>
      </c>
      <c r="F2" s="3" t="inlineStr">
        <is>
          <t>단일판매ㆍ공급계약체결               (정정: 20260312) (정정: 20260529) (정정: 20260608) (정정: 20260623) (정정: 20260624)</t>
        </is>
      </c>
      <c r="G2" s="7" t="inlineStr">
        <is>
          <t>중앙선 도담~영천 복선전철 제8공구 노반신설 기타공사</t>
        </is>
      </c>
      <c r="H2" s="2" t="inlineStr">
        <is>
          <t>2015-11-02</t>
        </is>
      </c>
      <c r="I2" s="2" t="inlineStr">
        <is>
          <t>2026-06-30</t>
        </is>
      </c>
      <c r="J2" s="5" t="n">
        <v>104205500000</v>
      </c>
      <c r="K2" s="2" t="inlineStr">
        <is>
          <t>-</t>
        </is>
      </c>
      <c r="L2" s="13" t="n">
        <v>37.4</v>
      </c>
      <c r="M2" s="7" t="inlineStr">
        <is>
          <t>한국철도시설공단</t>
        </is>
      </c>
      <c r="N2" s="2" t="inlineStr">
        <is>
          <t>20260624800407</t>
        </is>
      </c>
      <c r="O2" s="8">
        <f>HYPERLINK("https://dart.fss.or.kr/dsaf001/main.do?rcpNo=20260624800407", "공시열람")</f>
        <v/>
      </c>
    </row>
    <row r="3" ht="36" customHeight="1">
      <c r="A3" s="2" t="inlineStr">
        <is>
          <t>2026-01-19 (정정: 2026-06-18)</t>
        </is>
      </c>
      <c r="B3" s="3" t="inlineStr">
        <is>
          <t>삼일씨엔에스</t>
        </is>
      </c>
      <c r="C3" s="2" t="inlineStr">
        <is>
          <t>코스피</t>
        </is>
      </c>
      <c r="D3" s="2" t="inlineStr">
        <is>
          <t>004440</t>
        </is>
      </c>
      <c r="E3" s="2" t="inlineStr">
        <is>
          <t>단일판매공급계약체결</t>
        </is>
      </c>
      <c r="F3" s="3" t="inlineStr">
        <is>
          <t>[기재정정]단일판매ㆍ공급계약체결               (정정: 20260312) (정정: 20260416) (정정: 20260608) (정정: 20260618)</t>
        </is>
      </c>
      <c r="G3" s="7" t="inlineStr">
        <is>
          <t>영종~청라 연결도로(제3연륙교) 건설공사 제2공구 강교 제작 및 설치</t>
        </is>
      </c>
      <c r="H3" s="2" t="inlineStr">
        <is>
          <t>2022-08-10</t>
        </is>
      </c>
      <c r="I3" s="2" t="inlineStr">
        <is>
          <t>2026-06-30</t>
        </is>
      </c>
      <c r="J3" s="5" t="n">
        <v>88408100000</v>
      </c>
      <c r="K3" s="2" t="inlineStr">
        <is>
          <t>-</t>
        </is>
      </c>
      <c r="L3" s="13" t="n">
        <v>39.4</v>
      </c>
      <c r="M3" s="7" t="inlineStr">
        <is>
          <t>(주)포스코건설</t>
        </is>
      </c>
      <c r="N3" s="2" t="inlineStr">
        <is>
          <t>20260618800784</t>
        </is>
      </c>
      <c r="O3" s="8">
        <f>HYPERLINK("https://dart.fss.or.kr/dsaf001/main.do?rcpNo=20260618800784", "공시열람")</f>
        <v/>
      </c>
    </row>
    <row r="4" ht="36" customHeight="1">
      <c r="A4" s="2" t="inlineStr">
        <is>
          <t>2026-01-19 (정정: 2026-03-06)</t>
        </is>
      </c>
      <c r="B4" s="3" t="inlineStr">
        <is>
          <t>동부건설</t>
        </is>
      </c>
      <c r="C4" s="2" t="inlineStr">
        <is>
          <t>코스피</t>
        </is>
      </c>
      <c r="D4" s="2" t="inlineStr">
        <is>
          <t>005960</t>
        </is>
      </c>
      <c r="E4" s="2" t="inlineStr">
        <is>
          <t>단일판매공급계약체결</t>
        </is>
      </c>
      <c r="F4" s="3" t="inlineStr">
        <is>
          <t>[기재정정]단일판매ㆍ공급계약체결               (정정: 20260306) (정정: 20260306)</t>
        </is>
      </c>
      <c r="G4" s="7" t="inlineStr">
        <is>
          <t>엘살바도르 로스초로스 교량건설 및 도로확장사업</t>
        </is>
      </c>
      <c r="H4" s="2" t="inlineStr">
        <is>
          <t>2023-10-24</t>
        </is>
      </c>
      <c r="I4" s="2" t="inlineStr">
        <is>
          <t>2028-04-05</t>
        </is>
      </c>
      <c r="J4" s="5" t="n">
        <v>497180585158</v>
      </c>
      <c r="K4" s="2" t="inlineStr">
        <is>
          <t>-</t>
        </is>
      </c>
      <c r="L4" s="13" t="n">
        <v>34.03</v>
      </c>
      <c r="M4" s="7" t="inlineStr">
        <is>
          <t>엘살바도르 공공사업교통부</t>
        </is>
      </c>
      <c r="N4" s="2" t="inlineStr">
        <is>
          <t>20260306800960</t>
        </is>
      </c>
      <c r="O4" s="8">
        <f>HYPERLINK("https://dart.fss.or.kr/dsaf001/main.do?rcpNo=20260306800960", "공시열람")</f>
        <v/>
      </c>
    </row>
    <row r="5" ht="36" customHeight="1">
      <c r="A5" s="2" t="inlineStr">
        <is>
          <t>2026-01-19</t>
        </is>
      </c>
      <c r="B5" s="3" t="inlineStr">
        <is>
          <t>브이엠</t>
        </is>
      </c>
      <c r="C5" s="2" t="inlineStr">
        <is>
          <t>코스닥</t>
        </is>
      </c>
      <c r="D5" s="2" t="inlineStr">
        <is>
          <t>089970</t>
        </is>
      </c>
      <c r="E5" s="2" t="inlineStr">
        <is>
          <t>단일판매공급계약체결</t>
        </is>
      </c>
      <c r="F5" s="3" t="inlineStr">
        <is>
          <t xml:space="preserve">단일판매ㆍ공급계약체결              </t>
        </is>
      </c>
      <c r="G5" s="7" t="inlineStr">
        <is>
          <t>반도체 제조장비</t>
        </is>
      </c>
      <c r="H5" s="2" t="inlineStr">
        <is>
          <t>2026-01-16</t>
        </is>
      </c>
      <c r="I5" s="2" t="inlineStr">
        <is>
          <t>2026-04-06</t>
        </is>
      </c>
      <c r="J5" s="5" t="n">
        <v>18533672720</v>
      </c>
      <c r="K5" s="2" t="inlineStr">
        <is>
          <t>-</t>
        </is>
      </c>
      <c r="L5" s="13" t="n">
        <v>26.37</v>
      </c>
      <c r="M5" s="7" t="inlineStr">
        <is>
          <t>SK hynix Semiconductor (China) Ltd.</t>
        </is>
      </c>
      <c r="N5" s="2" t="inlineStr">
        <is>
          <t>20260119900590</t>
        </is>
      </c>
      <c r="O5" s="8">
        <f>HYPERLINK("https://dart.fss.or.kr/dsaf001/main.do?rcpNo=20260119900590", "공시열람")</f>
        <v/>
      </c>
    </row>
    <row r="6" ht="36" customHeight="1">
      <c r="A6" s="2" t="inlineStr">
        <is>
          <t>2026-01-19</t>
        </is>
      </c>
      <c r="B6" s="3" t="inlineStr">
        <is>
          <t>대창솔루션</t>
        </is>
      </c>
      <c r="C6" s="2" t="inlineStr">
        <is>
          <t>코스닥</t>
        </is>
      </c>
      <c r="D6" s="2" t="inlineStr">
        <is>
          <t>096350</t>
        </is>
      </c>
      <c r="E6" s="2" t="inlineStr">
        <is>
          <t>단일판매공급계약체결</t>
        </is>
      </c>
      <c r="F6" s="3" t="inlineStr">
        <is>
          <t xml:space="preserve">단일판매ㆍ공급계약체결(자율공시)              </t>
        </is>
      </c>
      <c r="G6" s="7" t="inlineStr">
        <is>
          <t>해양플랜트 구조부품 공급계약</t>
        </is>
      </c>
      <c r="H6" s="2" t="inlineStr">
        <is>
          <t>2026-01-15</t>
        </is>
      </c>
      <c r="I6" s="2" t="inlineStr">
        <is>
          <t>2027-05-31</t>
        </is>
      </c>
      <c r="J6" s="5" t="n">
        <v>4187895426</v>
      </c>
      <c r="K6" s="2" t="inlineStr">
        <is>
          <t>-</t>
        </is>
      </c>
      <c r="L6" s="13" t="n">
        <v>6.82</v>
      </c>
      <c r="M6" s="7" t="inlineStr">
        <is>
          <t>Flintstone Technology Ltd</t>
        </is>
      </c>
      <c r="N6" s="2" t="inlineStr">
        <is>
          <t>20260119900533</t>
        </is>
      </c>
      <c r="O6" s="8">
        <f>HYPERLINK("https://dart.fss.or.kr/dsaf001/main.do?rcpNo=20260119900533", "공시열람")</f>
        <v/>
      </c>
    </row>
    <row r="7" ht="36" customHeight="1">
      <c r="A7" s="2" t="inlineStr">
        <is>
          <t>2026-01-19</t>
        </is>
      </c>
      <c r="B7" s="3" t="inlineStr">
        <is>
          <t>이노메트리</t>
        </is>
      </c>
      <c r="C7" s="2" t="inlineStr">
        <is>
          <t>코스닥</t>
        </is>
      </c>
      <c r="D7" s="2" t="inlineStr">
        <is>
          <t>302430</t>
        </is>
      </c>
      <c r="E7" s="2" t="inlineStr">
        <is>
          <t>단일판매공급계약체결</t>
        </is>
      </c>
      <c r="F7" s="3" t="inlineStr">
        <is>
          <t xml:space="preserve">단일판매ㆍ공급계약체결              </t>
        </is>
      </c>
      <c r="G7" s="7" t="inlineStr">
        <is>
          <t>2차전지 검사장비 공급계약</t>
        </is>
      </c>
      <c r="H7" s="2" t="inlineStr">
        <is>
          <t>2026-01-16</t>
        </is>
      </c>
      <c r="I7" s="2" t="inlineStr">
        <is>
          <t>2026-03-01</t>
        </is>
      </c>
      <c r="J7" s="5" t="n">
        <v>5523367752</v>
      </c>
      <c r="K7" s="2" t="inlineStr">
        <is>
          <t>-</t>
        </is>
      </c>
      <c r="L7" s="13" t="n">
        <v>10.42</v>
      </c>
      <c r="M7" s="7" t="inlineStr">
        <is>
          <t>비공개</t>
        </is>
      </c>
      <c r="N7" s="2" t="inlineStr">
        <is>
          <t>20260119900439</t>
        </is>
      </c>
      <c r="O7" s="8">
        <f>HYPERLINK("https://dart.fss.or.kr/dsaf001/main.do?rcpNo=20260119900439", "공시열람")</f>
        <v/>
      </c>
    </row>
    <row r="8" ht="36" customHeight="1">
      <c r="A8" s="2" t="inlineStr">
        <is>
          <t>2025-08-18 (정정: 2026-01-29)</t>
        </is>
      </c>
      <c r="B8" s="3" t="inlineStr">
        <is>
          <t>파두</t>
        </is>
      </c>
      <c r="C8" s="2" t="inlineStr">
        <is>
          <t>코스닥</t>
        </is>
      </c>
      <c r="D8" s="2" t="inlineStr">
        <is>
          <t>440110</t>
        </is>
      </c>
      <c r="E8" s="2" t="inlineStr">
        <is>
          <t>단일판매공급계약체결</t>
        </is>
      </c>
      <c r="F8" s="3" t="inlineStr">
        <is>
          <t xml:space="preserve">[기재정정]단일판매ㆍ공급계약체결              </t>
        </is>
      </c>
      <c r="G8" s="7" t="inlineStr">
        <is>
          <t>기업용 SSD 컨트롤러 공급계약</t>
        </is>
      </c>
      <c r="H8" s="2" t="inlineStr">
        <is>
          <t>2025-08-18</t>
        </is>
      </c>
      <c r="I8" s="2" t="inlineStr">
        <is>
          <t>2026-02-02</t>
        </is>
      </c>
      <c r="J8" s="5" t="n">
        <v>9863726400</v>
      </c>
      <c r="K8" s="2" t="inlineStr">
        <is>
          <t>-</t>
        </is>
      </c>
      <c r="L8" s="13" t="n">
        <v>22.67</v>
      </c>
      <c r="M8" s="7" t="inlineStr">
        <is>
          <t>국내 반도체 제조사</t>
        </is>
      </c>
      <c r="N8" s="2" t="inlineStr">
        <is>
          <t>20260129901065</t>
        </is>
      </c>
      <c r="O8" s="8">
        <f>HYPERLINK("https://dart.fss.or.kr/dsaf001/main.do?rcpNo=20260129901065", "공시열람")</f>
        <v/>
      </c>
    </row>
    <row r="9" ht="36" customHeight="1">
      <c r="A9" s="2" t="inlineStr">
        <is>
          <t>2026-01-29 (정정: 2026-06-30)</t>
        </is>
      </c>
      <c r="B9" s="3" t="inlineStr">
        <is>
          <t>동아지질</t>
        </is>
      </c>
      <c r="C9" s="2" t="inlineStr">
        <is>
          <t>코스피</t>
        </is>
      </c>
      <c r="D9" s="2" t="inlineStr">
        <is>
          <t>028100</t>
        </is>
      </c>
      <c r="E9" s="2" t="inlineStr">
        <is>
          <t>단일판매공급계약체결</t>
        </is>
      </c>
      <c r="F9" s="3" t="inlineStr">
        <is>
          <t>[기재정정]단일판매ㆍ공급계약체결               (정정: 20260529) (정정: 20260625) (정정: 20260630) (정정: 20260630) (정정: 20260630)</t>
        </is>
      </c>
      <c r="G9" s="7" t="inlineStr">
        <is>
          <t>부산항 진해신항 남방파제(1단계) DCM 지방개량공</t>
        </is>
      </c>
      <c r="H9" s="2" t="inlineStr">
        <is>
          <t>2024-12-27</t>
        </is>
      </c>
      <c r="I9" s="2" t="inlineStr">
        <is>
          <t>2026-08-31</t>
        </is>
      </c>
      <c r="J9" s="5" t="n">
        <v>33254100000</v>
      </c>
      <c r="K9" s="2" t="inlineStr">
        <is>
          <t>-</t>
        </is>
      </c>
      <c r="L9" s="13" t="n">
        <v>9.6</v>
      </c>
      <c r="M9" s="7" t="inlineStr">
        <is>
          <t>현대건설(주)</t>
        </is>
      </c>
      <c r="N9" s="2" t="inlineStr">
        <is>
          <t>20260630800184</t>
        </is>
      </c>
      <c r="O9" s="8">
        <f>HYPERLINK("https://dart.fss.or.kr/dsaf001/main.do?rcpNo=20260630800184", "공시열람")</f>
        <v/>
      </c>
    </row>
    <row r="10" ht="36" customHeight="1">
      <c r="A10" s="2" t="inlineStr">
        <is>
          <t>2026-01-29 (정정: 2026-02-02)</t>
        </is>
      </c>
      <c r="B10" s="3" t="inlineStr">
        <is>
          <t>우원개발</t>
        </is>
      </c>
      <c r="C10" s="2" t="inlineStr">
        <is>
          <t>코스닥</t>
        </is>
      </c>
      <c r="D10" s="2" t="inlineStr">
        <is>
          <t>046940</t>
        </is>
      </c>
      <c r="E10" s="2" t="inlineStr">
        <is>
          <t>단일판매공급계약체결</t>
        </is>
      </c>
      <c r="F10" s="3" t="inlineStr">
        <is>
          <t>[기재정정]단일판매ㆍ공급계약체결               (정정: 20260202)</t>
        </is>
      </c>
      <c r="G10" s="7" t="inlineStr">
        <is>
          <t>고속국도 제29호선 세종~안성간 건설공사(제10공구)</t>
        </is>
      </c>
      <c r="H10" s="2" t="inlineStr">
        <is>
          <t>2020-12-29</t>
        </is>
      </c>
      <c r="I10" s="2" t="inlineStr">
        <is>
          <t>2026-06-30</t>
        </is>
      </c>
      <c r="J10" s="5" t="n">
        <v>69622000000</v>
      </c>
      <c r="K10" s="2" t="inlineStr">
        <is>
          <t>-</t>
        </is>
      </c>
      <c r="L10" s="13" t="n">
        <v>23.99</v>
      </c>
      <c r="M10" s="7" t="inlineStr">
        <is>
          <t>두산에너빌리티(주)</t>
        </is>
      </c>
      <c r="N10" s="2" t="inlineStr">
        <is>
          <t>20260202901434</t>
        </is>
      </c>
      <c r="O10" s="8">
        <f>HYPERLINK("https://dart.fss.or.kr/dsaf001/main.do?rcpNo=20260202901434", "공시열람")</f>
        <v/>
      </c>
    </row>
    <row r="11" ht="36" customHeight="1">
      <c r="A11" s="2" t="inlineStr">
        <is>
          <t>2026-01-22 (정정: 2026-01-29)</t>
        </is>
      </c>
      <c r="B11" s="3" t="inlineStr">
        <is>
          <t>아이엠티</t>
        </is>
      </c>
      <c r="C11" s="2" t="inlineStr">
        <is>
          <t>코스닥</t>
        </is>
      </c>
      <c r="D11" s="2" t="inlineStr">
        <is>
          <t>451220</t>
        </is>
      </c>
      <c r="E11" s="2" t="inlineStr">
        <is>
          <t>단일판매공급계약체결</t>
        </is>
      </c>
      <c r="F11" s="3" t="inlineStr">
        <is>
          <t xml:space="preserve">[기재정정]단일판매ㆍ공급계약체결              </t>
        </is>
      </c>
      <c r="G11" s="7" t="inlineStr">
        <is>
          <t>HBM용 Wafer 세정장비</t>
        </is>
      </c>
      <c r="H11" s="2" t="inlineStr">
        <is>
          <t>2025-09-02</t>
        </is>
      </c>
      <c r="I11" s="2" t="inlineStr">
        <is>
          <t>2026-05-08</t>
        </is>
      </c>
      <c r="J11" s="5" t="n">
        <v>1782272000</v>
      </c>
      <c r="K11" s="2" t="inlineStr">
        <is>
          <t>-</t>
        </is>
      </c>
      <c r="L11" s="13" t="n">
        <v>13.14</v>
      </c>
      <c r="M11" s="7" t="inlineStr">
        <is>
          <t>Micron Memory Taiwan Co.,Ltd.</t>
        </is>
      </c>
      <c r="N11" s="2" t="inlineStr">
        <is>
          <t>20260129901022</t>
        </is>
      </c>
      <c r="O11" s="8">
        <f>HYPERLINK("https://dart.fss.or.kr/dsaf001/main.do?rcpNo=20260129901022", "공시열람")</f>
        <v/>
      </c>
    </row>
    <row r="12" ht="36" customHeight="1">
      <c r="A12" s="2" t="inlineStr">
        <is>
          <t>2026-01-29</t>
        </is>
      </c>
      <c r="B12" s="3" t="inlineStr">
        <is>
          <t>누리플렉스</t>
        </is>
      </c>
      <c r="C12" s="2" t="inlineStr">
        <is>
          <t>코스닥</t>
        </is>
      </c>
      <c r="D12" s="2" t="inlineStr">
        <is>
          <t>040160</t>
        </is>
      </c>
      <c r="E12" s="2" t="inlineStr">
        <is>
          <t>단일판매공급계약체결</t>
        </is>
      </c>
      <c r="F12" s="3" t="inlineStr">
        <is>
          <t>수시공시의무관련사항(공정공시)              (스마트 선불식 AMI 시스템 구축사업 공급계약)</t>
        </is>
      </c>
      <c r="G12" s="7" t="inlineStr">
        <is>
          <t>-</t>
        </is>
      </c>
      <c r="H12" s="2" t="inlineStr">
        <is>
          <t>-</t>
        </is>
      </c>
      <c r="I12" s="2" t="inlineStr">
        <is>
          <t>-</t>
        </is>
      </c>
      <c r="J12" s="5" t="inlineStr"/>
      <c r="K12" s="2" t="inlineStr">
        <is>
          <t>-</t>
        </is>
      </c>
      <c r="L12" s="3" t="inlineStr"/>
      <c r="M12" s="7" t="inlineStr">
        <is>
          <t>-</t>
        </is>
      </c>
      <c r="N12" s="2" t="inlineStr">
        <is>
          <t>20260129900937</t>
        </is>
      </c>
      <c r="O12" s="8">
        <f>HYPERLINK("https://dart.fss.or.kr/dsaf001/main.do?rcpNo=20260129900937", "공시열람")</f>
        <v/>
      </c>
    </row>
    <row r="13" ht="36" customHeight="1">
      <c r="A13" s="2" t="inlineStr">
        <is>
          <t>2026-01-29 (정정: 2026-06-19)</t>
        </is>
      </c>
      <c r="B13" s="3" t="inlineStr">
        <is>
          <t>삼부토건</t>
        </is>
      </c>
      <c r="C13" s="2" t="inlineStr">
        <is>
          <t>코스피</t>
        </is>
      </c>
      <c r="D13" s="2" t="inlineStr">
        <is>
          <t>001470</t>
        </is>
      </c>
      <c r="E13" s="2" t="inlineStr">
        <is>
          <t>단일판매공급계약체결</t>
        </is>
      </c>
      <c r="F13" s="3" t="inlineStr">
        <is>
          <t>[기재정정]단일판매ㆍ공급계약체결               (정정: 20260529) (정정: 20260619)</t>
        </is>
      </c>
      <c r="G13" s="7" t="inlineStr">
        <is>
          <t>호남고속철도2단계(고막원~목포) 제7공구 노반신설 기타공사</t>
        </is>
      </c>
      <c r="H13" s="2" t="inlineStr">
        <is>
          <t>2020-12-23</t>
        </is>
      </c>
      <c r="I13" s="2" t="inlineStr">
        <is>
          <t>2027-12-31</t>
        </is>
      </c>
      <c r="J13" s="5" t="n">
        <v>163989700000</v>
      </c>
      <c r="K13" s="2" t="inlineStr">
        <is>
          <t>-</t>
        </is>
      </c>
      <c r="L13" s="13" t="n">
        <v>72.47</v>
      </c>
      <c r="M13" s="7" t="inlineStr">
        <is>
          <t>국가철도공단</t>
        </is>
      </c>
      <c r="N13" s="2" t="inlineStr">
        <is>
          <t>20260619800828</t>
        </is>
      </c>
      <c r="O13" s="8">
        <f>HYPERLINK("https://dart.fss.or.kr/dsaf001/main.do?rcpNo=20260619800828", "공시열람")</f>
        <v/>
      </c>
    </row>
    <row r="14" ht="36" customHeight="1">
      <c r="A14" s="2" t="inlineStr">
        <is>
          <t>2026-01-29 (정정: 2026-03-13)</t>
        </is>
      </c>
      <c r="B14" s="3" t="inlineStr">
        <is>
          <t>프레스티지바이오파마</t>
        </is>
      </c>
      <c r="C14" s="2" t="inlineStr">
        <is>
          <t>코스피</t>
        </is>
      </c>
      <c r="D14" s="2" t="inlineStr">
        <is>
          <t>950210</t>
        </is>
      </c>
      <c r="E14" s="2" t="inlineStr">
        <is>
          <t>단일판매공급계약체결</t>
        </is>
      </c>
      <c r="F14" s="3" t="inlineStr">
        <is>
          <t>[기재정정]단일판매ㆍ공급계약체결               (정정: 20260313)</t>
        </is>
      </c>
      <c r="G14" s="7" t="inlineStr">
        <is>
          <t>의약 완제품 공급(Teva)</t>
        </is>
      </c>
      <c r="H14" s="2" t="inlineStr">
        <is>
          <t>2025-10-28</t>
        </is>
      </c>
      <c r="I14" s="2" t="inlineStr">
        <is>
          <t>2026-05-15</t>
        </is>
      </c>
      <c r="J14" s="5" t="n">
        <v>1238117864</v>
      </c>
      <c r="K14" s="2" t="inlineStr">
        <is>
          <t>-</t>
        </is>
      </c>
      <c r="L14" s="13" t="n">
        <v>8.640000000000001</v>
      </c>
      <c r="M14" s="7" t="inlineStr">
        <is>
          <t>Teva Pharmaceuticals International GmbH</t>
        </is>
      </c>
      <c r="N14" s="2" t="inlineStr">
        <is>
          <t>20260313801595</t>
        </is>
      </c>
      <c r="O14" s="8">
        <f>HYPERLINK("https://dart.fss.or.kr/dsaf001/main.do?rcpNo=20260313801595", "공시열람")</f>
        <v/>
      </c>
    </row>
    <row r="15" ht="36" customHeight="1">
      <c r="A15" s="2" t="inlineStr">
        <is>
          <t>2026-01-29</t>
        </is>
      </c>
      <c r="B15" s="3" t="inlineStr">
        <is>
          <t>퀄리타스반도체</t>
        </is>
      </c>
      <c r="C15" s="2" t="inlineStr">
        <is>
          <t>코스닥</t>
        </is>
      </c>
      <c r="D15" s="2" t="inlineStr">
        <is>
          <t>432720</t>
        </is>
      </c>
      <c r="E15" s="2" t="inlineStr">
        <is>
          <t>단일판매공급계약체결</t>
        </is>
      </c>
      <c r="F15" s="3" t="inlineStr">
        <is>
          <t xml:space="preserve">단일판매ㆍ공급계약체결              </t>
        </is>
      </c>
      <c r="G15" s="7" t="inlineStr">
        <is>
          <t>반도체 설계자산(IP) 라이선스 계약</t>
        </is>
      </c>
      <c r="H15" s="2" t="inlineStr">
        <is>
          <t>2026-01-28</t>
        </is>
      </c>
      <c r="I15" s="2" t="inlineStr">
        <is>
          <t>2027-01-27</t>
        </is>
      </c>
      <c r="J15" s="5" t="n">
        <v>988081600</v>
      </c>
      <c r="K15" s="2" t="inlineStr">
        <is>
          <t>-</t>
        </is>
      </c>
      <c r="L15" s="13" t="n">
        <v>16.27</v>
      </c>
      <c r="M15" s="7" t="inlineStr">
        <is>
          <t>-</t>
        </is>
      </c>
      <c r="N15" s="2" t="inlineStr">
        <is>
          <t>20260129900829</t>
        </is>
      </c>
      <c r="O15" s="8">
        <f>HYPERLINK("https://dart.fss.or.kr/dsaf001/main.do?rcpNo=20260129900829", "공시열람")</f>
        <v/>
      </c>
    </row>
    <row r="16" ht="36" customHeight="1">
      <c r="A16" s="2" t="inlineStr">
        <is>
          <t>2025-07-01 (정정: 2026-01-29)</t>
        </is>
      </c>
      <c r="B16" s="3" t="inlineStr">
        <is>
          <t>레이저쎌</t>
        </is>
      </c>
      <c r="C16" s="2" t="inlineStr">
        <is>
          <t>코스닥</t>
        </is>
      </c>
      <c r="D16" s="2" t="inlineStr">
        <is>
          <t>412350</t>
        </is>
      </c>
      <c r="E16" s="2" t="inlineStr">
        <is>
          <t>단일판매공급계약체결</t>
        </is>
      </c>
      <c r="F16" s="3" t="inlineStr">
        <is>
          <t xml:space="preserve">[기재정정]단일판매ㆍ공급계약체결              </t>
        </is>
      </c>
      <c r="G16" s="7" t="inlineStr">
        <is>
          <t>점등검사기/Laser Repair장비 구매</t>
        </is>
      </c>
      <c r="H16" s="2" t="inlineStr">
        <is>
          <t>2025-07-01</t>
        </is>
      </c>
      <c r="I16" s="2" t="inlineStr">
        <is>
          <t>2026-04-03</t>
        </is>
      </c>
      <c r="J16" s="5" t="n">
        <v>753000000</v>
      </c>
      <c r="K16" s="2" t="inlineStr">
        <is>
          <t>-</t>
        </is>
      </c>
      <c r="L16" s="13" t="n">
        <v>18.75</v>
      </c>
      <c r="M16" s="7" t="inlineStr">
        <is>
          <t>동우화인켐(주) 평택공장</t>
        </is>
      </c>
      <c r="N16" s="2" t="inlineStr">
        <is>
          <t>20260129900642</t>
        </is>
      </c>
      <c r="O16" s="8">
        <f>HYPERLINK("https://dart.fss.or.kr/dsaf001/main.do?rcpNo=20260129900642", "공시열람")</f>
        <v/>
      </c>
    </row>
    <row r="17" ht="36" customHeight="1">
      <c r="A17" s="2" t="inlineStr">
        <is>
          <t>2026-01-29 (정정: 2026-06-02)</t>
        </is>
      </c>
      <c r="B17" s="3" t="inlineStr">
        <is>
          <t>포바이포</t>
        </is>
      </c>
      <c r="C17" s="2" t="inlineStr">
        <is>
          <t>코스닥</t>
        </is>
      </c>
      <c r="D17" s="2" t="inlineStr">
        <is>
          <t>389140</t>
        </is>
      </c>
      <c r="E17" s="2" t="inlineStr">
        <is>
          <t>단일판매공급계약체결</t>
        </is>
      </c>
      <c r="F17" s="3" t="inlineStr">
        <is>
          <t>[기재정정]단일판매ㆍ공급계약체결               (정정: 20260311) (정정: 20260602)</t>
        </is>
      </c>
      <c r="G17" s="7" t="inlineStr">
        <is>
          <t>The Wave 사업 미디어파사드 제작 및 설치</t>
        </is>
      </c>
      <c r="H17" s="2" t="inlineStr">
        <is>
          <t>2025-06-26</t>
        </is>
      </c>
      <c r="I17" s="2" t="inlineStr">
        <is>
          <t>2026-06-30</t>
        </is>
      </c>
      <c r="J17" s="5" t="n">
        <v>2086231091</v>
      </c>
      <c r="K17" s="2" t="inlineStr">
        <is>
          <t>-</t>
        </is>
      </c>
      <c r="L17" s="13" t="n">
        <v>6.27</v>
      </c>
      <c r="M17" s="7" t="inlineStr">
        <is>
          <t>울산광역시 남구</t>
        </is>
      </c>
      <c r="N17" s="2" t="inlineStr">
        <is>
          <t>20260602900803</t>
        </is>
      </c>
      <c r="O17" s="8">
        <f>HYPERLINK("https://dart.fss.or.kr/dsaf001/main.do?rcpNo=20260602900803", "공시열람")</f>
        <v/>
      </c>
    </row>
    <row r="18" ht="36" customHeight="1">
      <c r="A18" s="2" t="inlineStr">
        <is>
          <t>2026-01-29 (정정: 2026-05-22)</t>
        </is>
      </c>
      <c r="B18" s="3" t="inlineStr">
        <is>
          <t>삼성E&amp;A</t>
        </is>
      </c>
      <c r="C18" s="2" t="inlineStr">
        <is>
          <t>코스피</t>
        </is>
      </c>
      <c r="D18" s="2" t="inlineStr">
        <is>
          <t>028050</t>
        </is>
      </c>
      <c r="E18" s="2" t="inlineStr">
        <is>
          <t>단일판매공급계약체결</t>
        </is>
      </c>
      <c r="F18" s="3" t="inlineStr">
        <is>
          <t>[기재정정]단일판매ㆍ공급계약체결               (정정: 20260522)</t>
        </is>
      </c>
      <c r="G18" s="7" t="inlineStr">
        <is>
          <t>P5 Project</t>
        </is>
      </c>
      <c r="H18" s="2" t="inlineStr">
        <is>
          <t>2022-11-10</t>
        </is>
      </c>
      <c r="I18" s="2" t="inlineStr">
        <is>
          <t>2026-04-30</t>
        </is>
      </c>
      <c r="J18" s="5" t="n">
        <v>1770780000000</v>
      </c>
      <c r="K18" s="2" t="inlineStr">
        <is>
          <t>-</t>
        </is>
      </c>
      <c r="L18" s="13" t="n">
        <v>16.67</v>
      </c>
      <c r="M18" s="7" t="inlineStr">
        <is>
          <t>삼성바이오로직스 주식회사</t>
        </is>
      </c>
      <c r="N18" s="2" t="inlineStr">
        <is>
          <t>20260522800689</t>
        </is>
      </c>
      <c r="O18" s="8">
        <f>HYPERLINK("https://dart.fss.or.kr/dsaf001/main.do?rcpNo=20260522800689", "공시열람")</f>
        <v/>
      </c>
    </row>
    <row r="19" ht="36" customHeight="1">
      <c r="A19" s="2" t="inlineStr">
        <is>
          <t>2026-01-29 (정정: 2026-06-09)</t>
        </is>
      </c>
      <c r="B19" s="3" t="inlineStr">
        <is>
          <t>비아트론</t>
        </is>
      </c>
      <c r="C19" s="2" t="inlineStr">
        <is>
          <t>코스닥</t>
        </is>
      </c>
      <c r="D19" s="2" t="inlineStr">
        <is>
          <t>141000</t>
        </is>
      </c>
      <c r="E19" s="2" t="inlineStr">
        <is>
          <t>단일판매공급계약체결</t>
        </is>
      </c>
      <c r="F19" s="3" t="inlineStr">
        <is>
          <t>단일판매ㆍ공급계약체결(자율공시)               (정정: 20260609)</t>
        </is>
      </c>
      <c r="G19" s="7" t="inlineStr">
        <is>
          <t>디스플레이 제조용 장비</t>
        </is>
      </c>
      <c r="H19" s="2" t="inlineStr">
        <is>
          <t>2025-11-17</t>
        </is>
      </c>
      <c r="I19" s="2" t="inlineStr">
        <is>
          <t>2026-06-30</t>
        </is>
      </c>
      <c r="J19" s="5" t="n">
        <v>11668000000</v>
      </c>
      <c r="K19" s="2" t="inlineStr">
        <is>
          <t>-</t>
        </is>
      </c>
      <c r="L19" s="13" t="n">
        <v>20.1</v>
      </c>
      <c r="M19" s="7" t="inlineStr">
        <is>
          <t>Everdisplay Optronics (Shanghai) Co., Ltd.</t>
        </is>
      </c>
      <c r="N19" s="2" t="inlineStr">
        <is>
          <t>20260609900428</t>
        </is>
      </c>
      <c r="O19" s="8">
        <f>HYPERLINK("https://dart.fss.or.kr/dsaf001/main.do?rcpNo=20260609900428", "공시열람")</f>
        <v/>
      </c>
    </row>
    <row r="20" ht="36" customHeight="1">
      <c r="A20" s="2" t="inlineStr">
        <is>
          <t>2024-11-18 (정정: 2026-01-29)</t>
        </is>
      </c>
      <c r="B20" s="3" t="inlineStr">
        <is>
          <t>우리기술</t>
        </is>
      </c>
      <c r="C20" s="2" t="inlineStr">
        <is>
          <t>코스닥</t>
        </is>
      </c>
      <c r="D20" s="2" t="inlineStr">
        <is>
          <t>032820</t>
        </is>
      </c>
      <c r="E20" s="2" t="inlineStr">
        <is>
          <t>단일판매공급계약체결</t>
        </is>
      </c>
      <c r="F20" s="3" t="inlineStr">
        <is>
          <t xml:space="preserve">[기재정정]단일판매ㆍ공급계약체결              </t>
        </is>
      </c>
      <c r="G20" s="7" t="inlineStr">
        <is>
          <t>비안전계통 DCS</t>
        </is>
      </c>
      <c r="H20" s="2" t="inlineStr">
        <is>
          <t>2024-11-15</t>
        </is>
      </c>
      <c r="I20" s="2" t="inlineStr">
        <is>
          <t>2026-02-06</t>
        </is>
      </c>
      <c r="J20" s="5" t="n">
        <v>6860611947</v>
      </c>
      <c r="K20" s="2" t="inlineStr">
        <is>
          <t>-</t>
        </is>
      </c>
      <c r="L20" s="13" t="n">
        <v>10.86</v>
      </c>
      <c r="M20" s="7" t="inlineStr">
        <is>
          <t>두산에너빌리티(주)</t>
        </is>
      </c>
      <c r="N20" s="2" t="inlineStr">
        <is>
          <t>20260129900557</t>
        </is>
      </c>
      <c r="O20" s="8">
        <f>HYPERLINK("https://dart.fss.or.kr/dsaf001/main.do?rcpNo=20260129900557", "공시열람")</f>
        <v/>
      </c>
    </row>
    <row r="21" ht="36" customHeight="1">
      <c r="A21" s="2" t="inlineStr">
        <is>
          <t>2025-11-28 (정정: 2026-01-29)</t>
        </is>
      </c>
      <c r="B21" s="3" t="inlineStr">
        <is>
          <t>제일엠앤에스</t>
        </is>
      </c>
      <c r="C21" s="2" t="inlineStr">
        <is>
          <t>코스닥</t>
        </is>
      </c>
      <c r="D21" s="2" t="inlineStr">
        <is>
          <t>412540</t>
        </is>
      </c>
      <c r="E21" s="2" t="inlineStr">
        <is>
          <t>단일판매공급계약체결</t>
        </is>
      </c>
      <c r="F21" s="3" t="inlineStr">
        <is>
          <t xml:space="preserve">[기재정정]단일판매ㆍ공급계약체결              </t>
        </is>
      </c>
      <c r="G21" s="7" t="inlineStr">
        <is>
          <t>2차전지 믹싱설비</t>
        </is>
      </c>
      <c r="H21" s="2" t="inlineStr">
        <is>
          <t>2024-08-22</t>
        </is>
      </c>
      <c r="I21" s="2" t="inlineStr">
        <is>
          <t>2026-05-01</t>
        </is>
      </c>
      <c r="J21" s="5" t="n">
        <v>28768294754</v>
      </c>
      <c r="K21" s="2" t="inlineStr">
        <is>
          <t>-</t>
        </is>
      </c>
      <c r="L21" s="13" t="n">
        <v>20.1</v>
      </c>
      <c r="M21" s="7" t="inlineStr">
        <is>
          <t>-</t>
        </is>
      </c>
      <c r="N21" s="2" t="inlineStr">
        <is>
          <t>20260129900232</t>
        </is>
      </c>
      <c r="O21" s="8">
        <f>HYPERLINK("https://dart.fss.or.kr/dsaf001/main.do?rcpNo=20260129900232", "공시열람")</f>
        <v/>
      </c>
    </row>
    <row r="22" ht="36" customHeight="1">
      <c r="A22" s="2" t="inlineStr">
        <is>
          <t>2026-01-29</t>
        </is>
      </c>
      <c r="B22" s="3" t="inlineStr">
        <is>
          <t>진흥기업</t>
        </is>
      </c>
      <c r="C22" s="2" t="inlineStr">
        <is>
          <t>코스피</t>
        </is>
      </c>
      <c r="D22" s="2" t="inlineStr">
        <is>
          <t>002780</t>
        </is>
      </c>
      <c r="E22" s="2" t="inlineStr">
        <is>
          <t>단일판매공급계약체결</t>
        </is>
      </c>
      <c r="F22" s="3" t="inlineStr">
        <is>
          <t xml:space="preserve">단일판매ㆍ공급계약체결(자율공시)              </t>
        </is>
      </c>
      <c r="G22" s="7" t="inlineStr">
        <is>
          <t>-</t>
        </is>
      </c>
      <c r="H22" s="2" t="inlineStr">
        <is>
          <t>2026-02-02</t>
        </is>
      </c>
      <c r="I22" s="2" t="inlineStr">
        <is>
          <t>2030-01-01</t>
        </is>
      </c>
      <c r="J22" s="5" t="n">
        <v>30481262764</v>
      </c>
      <c r="K22" s="2" t="inlineStr">
        <is>
          <t>-</t>
        </is>
      </c>
      <c r="L22" s="13" t="n">
        <v>4.2</v>
      </c>
      <c r="M22" s="7" t="inlineStr">
        <is>
          <t>경상북도 김천시</t>
        </is>
      </c>
      <c r="N22" s="2" t="inlineStr">
        <is>
          <t>20260129800149</t>
        </is>
      </c>
      <c r="O22" s="8">
        <f>HYPERLINK("https://dart.fss.or.kr/dsaf001/main.do?rcpNo=20260129800149", "공시열람")</f>
        <v/>
      </c>
    </row>
    <row r="23" ht="36" customHeight="1">
      <c r="A23" s="2" t="inlineStr">
        <is>
          <t>2026-01-29</t>
        </is>
      </c>
      <c r="B23" s="3" t="inlineStr">
        <is>
          <t>대한조선</t>
        </is>
      </c>
      <c r="C23" s="2" t="inlineStr">
        <is>
          <t>코스피</t>
        </is>
      </c>
      <c r="D23" s="2" t="inlineStr">
        <is>
          <t>439260</t>
        </is>
      </c>
      <c r="E23" s="2" t="inlineStr">
        <is>
          <t>단일판매공급계약체결</t>
        </is>
      </c>
      <c r="F23" s="3" t="inlineStr">
        <is>
          <t xml:space="preserve">단일판매ㆍ공급계약체결              </t>
        </is>
      </c>
      <c r="G23" s="7" t="inlineStr">
        <is>
          <t>원유운반선(157,000 DWT) 2척</t>
        </is>
      </c>
      <c r="H23" s="2" t="inlineStr">
        <is>
          <t>2026-01-28</t>
        </is>
      </c>
      <c r="I23" s="2" t="inlineStr">
        <is>
          <t>2029-05-31</t>
        </is>
      </c>
      <c r="J23" s="5" t="n">
        <v>254100000000</v>
      </c>
      <c r="K23" s="2" t="inlineStr">
        <is>
          <t>-</t>
        </is>
      </c>
      <c r="L23" s="13" t="n">
        <v>23.63</v>
      </c>
      <c r="M23" s="7" t="inlineStr">
        <is>
          <t>오세아니아 지역 선주</t>
        </is>
      </c>
      <c r="N23" s="2" t="inlineStr">
        <is>
          <t>20260129800084</t>
        </is>
      </c>
      <c r="O23" s="8">
        <f>HYPERLINK("https://dart.fss.or.kr/dsaf001/main.do?rcpNo=20260129800084", "공시열람")</f>
        <v/>
      </c>
    </row>
    <row r="24" ht="36" customHeight="1">
      <c r="A24" s="2" t="inlineStr">
        <is>
          <t>2026-02-02 (정정: 2026-06-25)</t>
        </is>
      </c>
      <c r="B24" s="3" t="inlineStr">
        <is>
          <t>에스지헬스케어</t>
        </is>
      </c>
      <c r="C24" s="2" t="inlineStr">
        <is>
          <t>코스닥</t>
        </is>
      </c>
      <c r="D24" s="2" t="inlineStr">
        <is>
          <t>398120</t>
        </is>
      </c>
      <c r="E24" s="2" t="inlineStr">
        <is>
          <t>단일판매공급계약체결</t>
        </is>
      </c>
      <c r="F24" s="3" t="inlineStr">
        <is>
          <t>[기재정정]단일판매ㆍ공급계약체결(자율공시)               (정정: 20260526) (정정: 20260625)</t>
        </is>
      </c>
      <c r="G24" s="7" t="inlineStr">
        <is>
          <t>MRI.CT공급계약</t>
        </is>
      </c>
      <c r="H24" s="2" t="inlineStr">
        <is>
          <t>2025-02-17</t>
        </is>
      </c>
      <c r="I24" s="2" t="inlineStr">
        <is>
          <t>2026-07-10</t>
        </is>
      </c>
      <c r="J24" s="5" t="n">
        <v>1488042300</v>
      </c>
      <c r="K24" s="2" t="inlineStr">
        <is>
          <t>-</t>
        </is>
      </c>
      <c r="L24" s="13" t="n">
        <v>5.4</v>
      </c>
      <c r="M24" s="7" t="inlineStr">
        <is>
          <t>PLOUTOS TRADELINK PTE. LTD.</t>
        </is>
      </c>
      <c r="N24" s="2" t="inlineStr">
        <is>
          <t>20260625900781</t>
        </is>
      </c>
      <c r="O24" s="8">
        <f>HYPERLINK("https://dart.fss.or.kr/dsaf001/main.do?rcpNo=20260625900781", "공시열람")</f>
        <v/>
      </c>
    </row>
    <row r="25" ht="36" customHeight="1">
      <c r="A25" s="2" t="inlineStr">
        <is>
          <t>2026-02-02</t>
        </is>
      </c>
      <c r="B25" s="3" t="inlineStr">
        <is>
          <t>자연과환경</t>
        </is>
      </c>
      <c r="C25" s="2" t="inlineStr">
        <is>
          <t>코스닥</t>
        </is>
      </c>
      <c r="D25" s="2" t="inlineStr">
        <is>
          <t>043910</t>
        </is>
      </c>
      <c r="E25" s="2" t="inlineStr">
        <is>
          <t>단일판매공급계약체결</t>
        </is>
      </c>
      <c r="F25" s="3" t="inlineStr">
        <is>
          <t xml:space="preserve">단일판매ㆍ공급계약체결(자율공시)              </t>
        </is>
      </c>
      <c r="G25" s="7" t="inlineStr">
        <is>
          <t>양산사송 B1 민간참여 공공주택건설사업</t>
        </is>
      </c>
      <c r="H25" s="2" t="inlineStr">
        <is>
          <t>2026-01-26</t>
        </is>
      </c>
      <c r="I25" s="2" t="inlineStr">
        <is>
          <t>2028-06-30</t>
        </is>
      </c>
      <c r="J25" s="5" t="n">
        <v>2329508000</v>
      </c>
      <c r="K25" s="2" t="inlineStr">
        <is>
          <t>-</t>
        </is>
      </c>
      <c r="L25" s="13" t="n">
        <v>5.72</v>
      </c>
      <c r="M25" s="7" t="inlineStr">
        <is>
          <t>계룡건설산업(주)</t>
        </is>
      </c>
      <c r="N25" s="2" t="inlineStr">
        <is>
          <t>20260202902088</t>
        </is>
      </c>
      <c r="O25" s="8">
        <f>HYPERLINK("https://dart.fss.or.kr/dsaf001/main.do?rcpNo=20260202902088", "공시열람")</f>
        <v/>
      </c>
    </row>
    <row r="26" ht="36" customHeight="1">
      <c r="A26" s="2" t="inlineStr">
        <is>
          <t>2026-02-02 (정정: 2026-06-25)</t>
        </is>
      </c>
      <c r="B26" s="3" t="inlineStr">
        <is>
          <t>삼호개발</t>
        </is>
      </c>
      <c r="C26" s="2" t="inlineStr">
        <is>
          <t>코스피</t>
        </is>
      </c>
      <c r="D26" s="2" t="inlineStr">
        <is>
          <t>010960</t>
        </is>
      </c>
      <c r="E26" s="2" t="inlineStr">
        <is>
          <t>단일판매공급계약체결</t>
        </is>
      </c>
      <c r="F26" s="3" t="inlineStr">
        <is>
          <t>[기재정정]단일판매ㆍ공급계약체결               (정정: 20260528) (정정: 20260604) (정정: 20260608) (정정: 20260616) (정정: 20260624) (정정: 20260625)</t>
        </is>
      </c>
      <c r="G26" s="7" t="inlineStr">
        <is>
          <t>호남고속철도2단계 제5공구 건설사업</t>
        </is>
      </c>
      <c r="H26" s="2" t="inlineStr">
        <is>
          <t>2021-12-30</t>
        </is>
      </c>
      <c r="I26" s="2" t="inlineStr">
        <is>
          <t>2026-07-30</t>
        </is>
      </c>
      <c r="J26" s="5" t="n">
        <v>83383300000</v>
      </c>
      <c r="K26" s="2" t="inlineStr">
        <is>
          <t>-</t>
        </is>
      </c>
      <c r="L26" s="13" t="n">
        <v>22.95</v>
      </c>
      <c r="M26" s="7" t="inlineStr">
        <is>
          <t>(주)태영건설</t>
        </is>
      </c>
      <c r="N26" s="2" t="inlineStr">
        <is>
          <t>20260625800870</t>
        </is>
      </c>
      <c r="O26" s="8">
        <f>HYPERLINK("https://dart.fss.or.kr/dsaf001/main.do?rcpNo=20260625800870", "공시열람")</f>
        <v/>
      </c>
    </row>
    <row r="27" ht="36" customHeight="1">
      <c r="A27" s="2" t="inlineStr">
        <is>
          <t>2026-02-02 (정정: 2026-05-27)</t>
        </is>
      </c>
      <c r="B27" s="3" t="inlineStr">
        <is>
          <t>유니슨</t>
        </is>
      </c>
      <c r="C27" s="2" t="inlineStr">
        <is>
          <t>코스닥</t>
        </is>
      </c>
      <c r="D27" s="2" t="inlineStr">
        <is>
          <t>018000</t>
        </is>
      </c>
      <c r="E27" s="2" t="inlineStr">
        <is>
          <t>단일판매공급계약체결</t>
        </is>
      </c>
      <c r="F27" s="3" t="inlineStr">
        <is>
          <t>[기재정정]단일판매ㆍ공급계약체결               (정정: 20260527)</t>
        </is>
      </c>
      <c r="G27" s="7" t="inlineStr">
        <is>
          <t>영광백수풍력발전단지 유지보수 계약 체결</t>
        </is>
      </c>
      <c r="H27" s="2" t="inlineStr">
        <is>
          <t>2015-06-01</t>
        </is>
      </c>
      <c r="I27" s="2" t="inlineStr">
        <is>
          <t>2026-06-30</t>
        </is>
      </c>
      <c r="J27" s="5" t="n">
        <v>17175348501</v>
      </c>
      <c r="K27" s="2" t="inlineStr">
        <is>
          <t>-</t>
        </is>
      </c>
      <c r="L27" s="13" t="n">
        <v>42.2</v>
      </c>
      <c r="M27" s="7" t="inlineStr">
        <is>
          <t>한국동서발전(주)</t>
        </is>
      </c>
      <c r="N27" s="2" t="inlineStr">
        <is>
          <t>20260527900595</t>
        </is>
      </c>
      <c r="O27" s="8">
        <f>HYPERLINK("https://dart.fss.or.kr/dsaf001/main.do?rcpNo=20260527900595", "공시열람")</f>
        <v/>
      </c>
    </row>
    <row r="28" ht="36" customHeight="1">
      <c r="A28" s="2" t="inlineStr">
        <is>
          <t>2026-02-02 (정정: 2026-05-29)</t>
        </is>
      </c>
      <c r="B28" s="3" t="inlineStr">
        <is>
          <t>동양</t>
        </is>
      </c>
      <c r="C28" s="2" t="inlineStr">
        <is>
          <t>코스피</t>
        </is>
      </c>
      <c r="D28" s="2" t="inlineStr">
        <is>
          <t>001520</t>
        </is>
      </c>
      <c r="E28" s="2" t="inlineStr">
        <is>
          <t>단일판매공급계약체결</t>
        </is>
      </c>
      <c r="F28" s="3" t="inlineStr">
        <is>
          <t>[기재정정]단일판매ㆍ공급계약체결               (정정: 20260529)</t>
        </is>
      </c>
      <c r="G28" s="7" t="inlineStr">
        <is>
          <t>-</t>
        </is>
      </c>
      <c r="H28" s="2" t="inlineStr">
        <is>
          <t>2022-09-19</t>
        </is>
      </c>
      <c r="I28" s="2" t="inlineStr">
        <is>
          <t>2026-06-14</t>
        </is>
      </c>
      <c r="J28" s="5" t="n">
        <v>37112325250</v>
      </c>
      <c r="K28" s="2" t="inlineStr">
        <is>
          <t>-</t>
        </is>
      </c>
      <c r="L28" s="13" t="n">
        <v>5.3</v>
      </c>
      <c r="M28" s="7" t="inlineStr">
        <is>
          <t>한국전력공사</t>
        </is>
      </c>
      <c r="N28" s="2" t="inlineStr">
        <is>
          <t>20260529801165</t>
        </is>
      </c>
      <c r="O28" s="8">
        <f>HYPERLINK("https://dart.fss.or.kr/dsaf001/main.do?rcpNo=20260529801165", "공시열람")</f>
        <v/>
      </c>
    </row>
    <row r="29" ht="36" customHeight="1">
      <c r="A29" s="2" t="inlineStr">
        <is>
          <t>2026-02-02 (정정: 2026-06-01)</t>
        </is>
      </c>
      <c r="B29" s="3" t="inlineStr">
        <is>
          <t>스피어</t>
        </is>
      </c>
      <c r="C29" s="2" t="inlineStr">
        <is>
          <t>코스닥</t>
        </is>
      </c>
      <c r="D29" s="2" t="inlineStr">
        <is>
          <t>347700</t>
        </is>
      </c>
      <c r="E29" s="2" t="inlineStr">
        <is>
          <t>단일판매공급계약체결</t>
        </is>
      </c>
      <c r="F29" s="3" t="inlineStr">
        <is>
          <t>[기재정정]단일판매ㆍ공급계약체결               (정정: 20260312) (정정: 20260520) (정정: 20260526) (정정: 20260601) (정정: 20260601) (정정: 20260601)</t>
        </is>
      </c>
      <c r="G29" s="7" t="inlineStr">
        <is>
          <t>특수합금 공급계약</t>
        </is>
      </c>
      <c r="H29" s="2" t="inlineStr">
        <is>
          <t>2025-04-19</t>
        </is>
      </c>
      <c r="I29" s="2" t="inlineStr">
        <is>
          <t>2026-07-01</t>
        </is>
      </c>
      <c r="J29" s="5" t="n">
        <v>1029059348</v>
      </c>
      <c r="K29" s="2" t="inlineStr">
        <is>
          <t>-</t>
        </is>
      </c>
      <c r="L29" s="13" t="n">
        <v>40.23</v>
      </c>
      <c r="M29" s="7" t="inlineStr">
        <is>
          <t>미국 글로벌 우주항공 발사업체</t>
        </is>
      </c>
      <c r="N29" s="2" t="inlineStr">
        <is>
          <t>20260601901284</t>
        </is>
      </c>
      <c r="O29" s="8">
        <f>HYPERLINK("https://dart.fss.or.kr/dsaf001/main.do?rcpNo=20260601901284", "공시열람")</f>
        <v/>
      </c>
    </row>
    <row r="30" ht="36" customHeight="1">
      <c r="A30" s="2" t="inlineStr">
        <is>
          <t>2024-02-02 (정정: 2026-02-02)</t>
        </is>
      </c>
      <c r="B30" s="3" t="inlineStr">
        <is>
          <t>희림</t>
        </is>
      </c>
      <c r="C30" s="2" t="inlineStr">
        <is>
          <t>코스닥</t>
        </is>
      </c>
      <c r="D30" s="2" t="inlineStr">
        <is>
          <t>037440</t>
        </is>
      </c>
      <c r="E30" s="2" t="inlineStr">
        <is>
          <t>단일판매공급계약체결</t>
        </is>
      </c>
      <c r="F30" s="3" t="inlineStr">
        <is>
          <t xml:space="preserve">[기재정정]단일판매ㆍ공급계약체결(자율공시)              </t>
        </is>
      </c>
      <c r="G30" s="7" t="inlineStr">
        <is>
          <t>부광초교 서측 주택재개발정비사업 건축설계 용역</t>
        </is>
      </c>
      <c r="H30" s="2" t="inlineStr">
        <is>
          <t>2010-02-03</t>
        </is>
      </c>
      <c r="I30" s="2" t="inlineStr">
        <is>
          <t>2027-02-02</t>
        </is>
      </c>
      <c r="J30" s="5" t="n">
        <v>3431890000</v>
      </c>
      <c r="K30" s="2" t="inlineStr">
        <is>
          <t>-</t>
        </is>
      </c>
      <c r="L30" s="13" t="n">
        <v>2.2</v>
      </c>
      <c r="M30" s="7" t="inlineStr">
        <is>
          <t>부광초교 서측 주택재개발정비사업 조합설립추진위원회</t>
        </is>
      </c>
      <c r="N30" s="2" t="inlineStr">
        <is>
          <t>20260202901510</t>
        </is>
      </c>
      <c r="O30" s="8">
        <f>HYPERLINK("https://dart.fss.or.kr/dsaf001/main.do?rcpNo=20260202901510", "공시열람")</f>
        <v/>
      </c>
    </row>
    <row r="31" ht="36" customHeight="1">
      <c r="A31" s="2" t="inlineStr">
        <is>
          <t>2026-02-02 (정정: 2026-05-22)</t>
        </is>
      </c>
      <c r="B31" s="3" t="inlineStr">
        <is>
          <t>SG</t>
        </is>
      </c>
      <c r="C31" s="2" t="inlineStr">
        <is>
          <t>코스닥</t>
        </is>
      </c>
      <c r="D31" s="2" t="inlineStr">
        <is>
          <t>255220</t>
        </is>
      </c>
      <c r="E31" s="2" t="inlineStr">
        <is>
          <t>단일판매공급계약체결</t>
        </is>
      </c>
      <c r="F31" s="3" t="inlineStr">
        <is>
          <t>[기재정정]단일판매ㆍ공급계약체결               (정정: 20260416) (정정: 20260522)</t>
        </is>
      </c>
      <c r="G31" s="7" t="inlineStr">
        <is>
          <t>아스콘 납품계약</t>
        </is>
      </c>
      <c r="H31" s="2" t="inlineStr">
        <is>
          <t>2024-03-05</t>
        </is>
      </c>
      <c r="I31" s="2" t="inlineStr">
        <is>
          <t>2026-07-31</t>
        </is>
      </c>
      <c r="J31" s="5" t="n">
        <v>117002465491</v>
      </c>
      <c r="K31" s="2" t="inlineStr">
        <is>
          <t>-</t>
        </is>
      </c>
      <c r="L31" s="13" t="n">
        <v>130.21</v>
      </c>
      <c r="M31" s="7" t="inlineStr">
        <is>
          <t>조달청</t>
        </is>
      </c>
      <c r="N31" s="2" t="inlineStr">
        <is>
          <t>20260522900658</t>
        </is>
      </c>
      <c r="O31" s="8">
        <f>HYPERLINK("https://dart.fss.or.kr/dsaf001/main.do?rcpNo=20260522900658", "공시열람")</f>
        <v/>
      </c>
    </row>
    <row r="32" ht="36" customHeight="1">
      <c r="A32" s="2" t="inlineStr">
        <is>
          <t>2026-02-02 (정정: 2026-06-26)</t>
        </is>
      </c>
      <c r="B32" s="3" t="inlineStr">
        <is>
          <t>대아티아이</t>
        </is>
      </c>
      <c r="C32" s="2" t="inlineStr">
        <is>
          <t>코스닥</t>
        </is>
      </c>
      <c r="D32" s="2" t="inlineStr">
        <is>
          <t>045390</t>
        </is>
      </c>
      <c r="E32" s="2" t="inlineStr">
        <is>
          <t>단일판매공급계약체결</t>
        </is>
      </c>
      <c r="F32" s="3" t="inlineStr">
        <is>
          <t>[기재정정]단일판매ㆍ공급계약체결               (정정: 20260521) (정정: 20260626)</t>
        </is>
      </c>
      <c r="G32" s="7" t="inlineStr">
        <is>
          <t>진접선(4호선 연장) 차량기지 신호시스템 제작구매설치</t>
        </is>
      </c>
      <c r="H32" s="2" t="inlineStr">
        <is>
          <t>2024-03-28</t>
        </is>
      </c>
      <c r="I32" s="2" t="inlineStr">
        <is>
          <t>2026-08-31</t>
        </is>
      </c>
      <c r="J32" s="5" t="n">
        <v>11933885455</v>
      </c>
      <c r="K32" s="2" t="inlineStr">
        <is>
          <t>-</t>
        </is>
      </c>
      <c r="L32" s="13" t="n">
        <v>11.31</v>
      </c>
      <c r="M32" s="7" t="inlineStr">
        <is>
          <t>조달청</t>
        </is>
      </c>
      <c r="N32" s="2" t="inlineStr">
        <is>
          <t>20260626900982</t>
        </is>
      </c>
      <c r="O32" s="8">
        <f>HYPERLINK("https://dart.fss.or.kr/dsaf001/main.do?rcpNo=20260626900982", "공시열람")</f>
        <v/>
      </c>
    </row>
    <row r="33" ht="36" customHeight="1">
      <c r="A33" s="2" t="inlineStr">
        <is>
          <t>2024-07-30 (정정: 2026-02-02)</t>
        </is>
      </c>
      <c r="B33" s="3" t="inlineStr">
        <is>
          <t>제우스</t>
        </is>
      </c>
      <c r="C33" s="2" t="inlineStr">
        <is>
          <t>코스닥</t>
        </is>
      </c>
      <c r="D33" s="2" t="inlineStr">
        <is>
          <t>079370</t>
        </is>
      </c>
      <c r="E33" s="2" t="inlineStr">
        <is>
          <t>단일판매공급계약체결</t>
        </is>
      </c>
      <c r="F33" s="3" t="inlineStr">
        <is>
          <t xml:space="preserve">[기재정정]단일판매ㆍ공급계약체결              </t>
        </is>
      </c>
      <c r="G33" s="7" t="inlineStr">
        <is>
          <t>디스플레이 제조공정용 반송로봇</t>
        </is>
      </c>
      <c r="H33" s="2" t="inlineStr">
        <is>
          <t>2024-07-29</t>
        </is>
      </c>
      <c r="I33" s="2" t="inlineStr">
        <is>
          <t>2026-01-31</t>
        </is>
      </c>
      <c r="J33" s="5" t="n">
        <v>47200000000</v>
      </c>
      <c r="K33" s="2" t="inlineStr">
        <is>
          <t>-</t>
        </is>
      </c>
      <c r="L33" s="13" t="n">
        <v>11.72</v>
      </c>
      <c r="M33" s="7" t="inlineStr">
        <is>
          <t>주식회사 아바코</t>
        </is>
      </c>
      <c r="N33" s="2" t="inlineStr">
        <is>
          <t>20260202901355</t>
        </is>
      </c>
      <c r="O33" s="8">
        <f>HYPERLINK("https://dart.fss.or.kr/dsaf001/main.do?rcpNo=20260202901355", "공시열람")</f>
        <v/>
      </c>
    </row>
    <row r="34" ht="36" customHeight="1">
      <c r="A34" s="2" t="inlineStr">
        <is>
          <t>2026-02-02 (정정: 2026-03-04)</t>
        </is>
      </c>
      <c r="B34" s="3" t="inlineStr">
        <is>
          <t>HD현대</t>
        </is>
      </c>
      <c r="C34" s="2" t="inlineStr">
        <is>
          <t>코스피</t>
        </is>
      </c>
      <c r="D34" s="2" t="inlineStr">
        <is>
          <t>267250</t>
        </is>
      </c>
      <c r="E34" s="2" t="inlineStr">
        <is>
          <t>단일판매공급계약체결</t>
        </is>
      </c>
      <c r="F34" s="3" t="inlineStr">
        <is>
          <t>단일판매ㆍ공급계약체결(자회사의 주요경영사항)               (정정: 20260304)</t>
        </is>
      </c>
      <c r="G34" s="7" t="inlineStr">
        <is>
          <t>157,000 DWT 원유운반선 4척</t>
        </is>
      </c>
      <c r="H34" s="2" t="inlineStr">
        <is>
          <t>2025-12-18</t>
        </is>
      </c>
      <c r="I34" s="2" t="inlineStr">
        <is>
          <t>2028-10-31</t>
        </is>
      </c>
      <c r="J34" s="5" t="n">
        <v>529300000000</v>
      </c>
      <c r="K34" s="2" t="inlineStr">
        <is>
          <t>-</t>
        </is>
      </c>
      <c r="L34" s="13" t="n">
        <v>7.56</v>
      </c>
      <c r="M34" s="7" t="inlineStr">
        <is>
          <t>오세아니아 지역 선주</t>
        </is>
      </c>
      <c r="N34" s="2" t="inlineStr">
        <is>
          <t>20260304800005</t>
        </is>
      </c>
      <c r="O34" s="8">
        <f>HYPERLINK("https://dart.fss.or.kr/dsaf001/main.do?rcpNo=20260304800005", "공시열람")</f>
        <v/>
      </c>
    </row>
    <row r="35" ht="36" customHeight="1">
      <c r="A35" s="2" t="inlineStr">
        <is>
          <t>2024-12-24 (정정: 2026-02-02)</t>
        </is>
      </c>
      <c r="B35" s="3" t="inlineStr">
        <is>
          <t>선익시스템</t>
        </is>
      </c>
      <c r="C35" s="2" t="inlineStr">
        <is>
          <t>코스닥</t>
        </is>
      </c>
      <c r="D35" s="2" t="inlineStr">
        <is>
          <t>171090</t>
        </is>
      </c>
      <c r="E35" s="2" t="inlineStr">
        <is>
          <t>단일판매공급계약체결</t>
        </is>
      </c>
      <c r="F35" s="3" t="inlineStr">
        <is>
          <t xml:space="preserve">[기재정정]단일판매ㆍ공급계약체결              </t>
        </is>
      </c>
      <c r="G35" s="7" t="inlineStr">
        <is>
          <t>OLED 디스플레이 연구용 증착장비</t>
        </is>
      </c>
      <c r="H35" s="2" t="inlineStr">
        <is>
          <t>2024-12-24</t>
        </is>
      </c>
      <c r="I35" s="2" t="inlineStr">
        <is>
          <t>2026-10-15</t>
        </is>
      </c>
      <c r="J35" s="5" t="n">
        <v>9750000000</v>
      </c>
      <c r="K35" s="2" t="inlineStr">
        <is>
          <t>-</t>
        </is>
      </c>
      <c r="L35" s="13" t="n">
        <v>15.62</v>
      </c>
      <c r="M35" s="7" t="inlineStr">
        <is>
          <t>Merck Performance Materials Ltd.</t>
        </is>
      </c>
      <c r="N35" s="2" t="inlineStr">
        <is>
          <t>20260202901050</t>
        </is>
      </c>
      <c r="O35" s="8">
        <f>HYPERLINK("https://dart.fss.or.kr/dsaf001/main.do?rcpNo=20260202901050", "공시열람")</f>
        <v/>
      </c>
    </row>
    <row r="36" ht="36" customHeight="1">
      <c r="A36" s="2" t="inlineStr">
        <is>
          <t>2026-02-02 (정정: 2026-03-04)</t>
        </is>
      </c>
      <c r="B36" s="3" t="inlineStr">
        <is>
          <t>HD한국조선해양</t>
        </is>
      </c>
      <c r="C36" s="2" t="inlineStr">
        <is>
          <t>코스피</t>
        </is>
      </c>
      <c r="D36" s="2" t="inlineStr">
        <is>
          <t>009540</t>
        </is>
      </c>
      <c r="E36" s="2" t="inlineStr">
        <is>
          <t>단일판매공급계약체결</t>
        </is>
      </c>
      <c r="F36" s="3" t="inlineStr">
        <is>
          <t>단일판매ㆍ공급계약체결(자회사의 주요경영사항)               (정정: 20260304)</t>
        </is>
      </c>
      <c r="G36" s="7" t="inlineStr">
        <is>
          <t>157,000 DWT 원유운반선 4척</t>
        </is>
      </c>
      <c r="H36" s="2" t="inlineStr">
        <is>
          <t>2025-12-18</t>
        </is>
      </c>
      <c r="I36" s="2" t="inlineStr">
        <is>
          <t>2028-10-31</t>
        </is>
      </c>
      <c r="J36" s="5" t="n">
        <v>529300000000</v>
      </c>
      <c r="K36" s="2" t="inlineStr">
        <is>
          <t>-</t>
        </is>
      </c>
      <c r="L36" s="13" t="n">
        <v>7.56</v>
      </c>
      <c r="M36" s="7" t="inlineStr">
        <is>
          <t>오세아니아 지역 선주</t>
        </is>
      </c>
      <c r="N36" s="2" t="inlineStr">
        <is>
          <t>20260304800002</t>
        </is>
      </c>
      <c r="O36" s="8">
        <f>HYPERLINK("https://dart.fss.or.kr/dsaf001/main.do?rcpNo=20260304800002", "공시열람")</f>
        <v/>
      </c>
    </row>
    <row r="37" ht="36" customHeight="1">
      <c r="A37" s="2" t="inlineStr">
        <is>
          <t>2026-02-02 (정정: 2026-05-29)</t>
        </is>
      </c>
      <c r="B37" s="3" t="inlineStr">
        <is>
          <t>스코넥</t>
        </is>
      </c>
      <c r="C37" s="2" t="inlineStr">
        <is>
          <t>코스닥</t>
        </is>
      </c>
      <c r="D37" s="2" t="inlineStr">
        <is>
          <t>276040</t>
        </is>
      </c>
      <c r="E37" s="2" t="inlineStr">
        <is>
          <t>단일판매공급계약체결</t>
        </is>
      </c>
      <c r="F37" s="3" t="inlineStr">
        <is>
          <t>단일판매ㆍ공급계약체결               (정정: 20260529)</t>
        </is>
      </c>
      <c r="G37" s="7" t="inlineStr">
        <is>
          <t>XR+Gen AI를 결합한 실시간 인터렉트型 '멀티 토론 롤플레잉 구현'</t>
        </is>
      </c>
      <c r="H37" s="2" t="inlineStr">
        <is>
          <t>2025-08-28</t>
        </is>
      </c>
      <c r="I37" s="2" t="inlineStr">
        <is>
          <t>2026-06-30</t>
        </is>
      </c>
      <c r="J37" s="5" t="n">
        <v>524000000</v>
      </c>
      <c r="K37" s="2" t="inlineStr">
        <is>
          <t>-</t>
        </is>
      </c>
      <c r="L37" s="13" t="n">
        <v>11.81</v>
      </c>
      <c r="M37" s="7" t="inlineStr">
        <is>
          <t>주식회사 삼성글로벌리서치</t>
        </is>
      </c>
      <c r="N37" s="2" t="inlineStr">
        <is>
          <t>20260529901100</t>
        </is>
      </c>
      <c r="O37" s="8">
        <f>HYPERLINK("https://dart.fss.or.kr/dsaf001/main.do?rcpNo=20260529901100", "공시열람")</f>
        <v/>
      </c>
    </row>
    <row r="38" ht="36" customHeight="1">
      <c r="A38" s="2" t="inlineStr">
        <is>
          <t>2026-02-02 (정정: 2026-06-22)</t>
        </is>
      </c>
      <c r="B38" s="3" t="inlineStr">
        <is>
          <t>제룡산업</t>
        </is>
      </c>
      <c r="C38" s="2" t="inlineStr">
        <is>
          <t>코스닥</t>
        </is>
      </c>
      <c r="D38" s="2" t="inlineStr">
        <is>
          <t>147830</t>
        </is>
      </c>
      <c r="E38" s="2" t="inlineStr">
        <is>
          <t>단일판매공급계약체결</t>
        </is>
      </c>
      <c r="F38" s="3" t="inlineStr">
        <is>
          <t>[기재정정]단일판매ㆍ공급계약체결               (정정: 20260622)</t>
        </is>
      </c>
      <c r="G38" s="7" t="inlineStr">
        <is>
          <t>HVDC 애자 및 전선 금구류</t>
        </is>
      </c>
      <c r="H38" s="2" t="inlineStr">
        <is>
          <t>2025-01-09</t>
        </is>
      </c>
      <c r="I38" s="2" t="inlineStr">
        <is>
          <t>2026-08-31</t>
        </is>
      </c>
      <c r="J38" s="5" t="n">
        <v>21525064507</v>
      </c>
      <c r="K38" s="2" t="inlineStr">
        <is>
          <t>-</t>
        </is>
      </c>
      <c r="L38" s="13" t="n">
        <v>52.6</v>
      </c>
      <c r="M38" s="7" t="inlineStr">
        <is>
          <t>한국전기공업협동조합</t>
        </is>
      </c>
      <c r="N38" s="2" t="inlineStr">
        <is>
          <t>20260622900624</t>
        </is>
      </c>
      <c r="O38" s="8">
        <f>HYPERLINK("https://dart.fss.or.kr/dsaf001/main.do?rcpNo=20260622900624", "공시열람")</f>
        <v/>
      </c>
    </row>
    <row r="39" ht="36" customHeight="1">
      <c r="A39" s="2" t="inlineStr">
        <is>
          <t>2026-02-02</t>
        </is>
      </c>
      <c r="B39" s="3" t="inlineStr">
        <is>
          <t>아크릴</t>
        </is>
      </c>
      <c r="C39" s="2" t="inlineStr">
        <is>
          <t>코스닥</t>
        </is>
      </c>
      <c r="D39" s="2" t="inlineStr">
        <is>
          <t>0007C0</t>
        </is>
      </c>
      <c r="E39" s="2" t="inlineStr">
        <is>
          <t>단일판매공급계약체결</t>
        </is>
      </c>
      <c r="F39" s="3" t="inlineStr">
        <is>
          <t xml:space="preserve">단일판매ㆍ공급계약체결              </t>
        </is>
      </c>
      <c r="G39" s="7" t="inlineStr">
        <is>
          <t>AI 교육솔루션 공급</t>
        </is>
      </c>
      <c r="H39" s="2" t="inlineStr">
        <is>
          <t>2026-01-30</t>
        </is>
      </c>
      <c r="I39" s="2" t="inlineStr">
        <is>
          <t>2026-04-30</t>
        </is>
      </c>
      <c r="J39" s="5" t="n">
        <v>2792370000</v>
      </c>
      <c r="K39" s="2" t="inlineStr">
        <is>
          <t>-</t>
        </is>
      </c>
      <c r="L39" s="13" t="n">
        <v>20.8</v>
      </c>
      <c r="M39" s="7" t="inlineStr">
        <is>
          <t>주식회사 유니와이드</t>
        </is>
      </c>
      <c r="N39" s="2" t="inlineStr">
        <is>
          <t>20260202900361</t>
        </is>
      </c>
      <c r="O39" s="8">
        <f>HYPERLINK("https://dart.fss.or.kr/dsaf001/main.do?rcpNo=20260202900361", "공시열람")</f>
        <v/>
      </c>
    </row>
    <row r="40" ht="36" customHeight="1">
      <c r="A40" s="2" t="inlineStr">
        <is>
          <t>2026-02-02 (정정: 2026-06-05)</t>
        </is>
      </c>
      <c r="B40" s="3" t="inlineStr">
        <is>
          <t>진흥기업</t>
        </is>
      </c>
      <c r="C40" s="2" t="inlineStr">
        <is>
          <t>코스피</t>
        </is>
      </c>
      <c r="D40" s="2" t="inlineStr">
        <is>
          <t>002780</t>
        </is>
      </c>
      <c r="E40" s="2" t="inlineStr">
        <is>
          <t>단일판매공급계약체결</t>
        </is>
      </c>
      <c r="F40" s="3" t="inlineStr">
        <is>
          <t>단일판매ㆍ공급계약체결               (정정: 20260605)</t>
        </is>
      </c>
      <c r="G40" s="7" t="inlineStr">
        <is>
          <t>다사~왜관간 광역도로건설공사</t>
        </is>
      </c>
      <c r="H40" s="2" t="inlineStr">
        <is>
          <t>2020-06-29</t>
        </is>
      </c>
      <c r="I40" s="2" t="inlineStr">
        <is>
          <t>2027-12-31</t>
        </is>
      </c>
      <c r="J40" s="5" t="n">
        <v>68497110780</v>
      </c>
      <c r="K40" s="2" t="inlineStr">
        <is>
          <t>-</t>
        </is>
      </c>
      <c r="L40" s="13" t="n">
        <v>12.53</v>
      </c>
      <c r="M40" s="7" t="inlineStr">
        <is>
          <t>조달청(수요처 : 대구광역시 건설본부)</t>
        </is>
      </c>
      <c r="N40" s="2" t="inlineStr">
        <is>
          <t>20260605800895</t>
        </is>
      </c>
      <c r="O40" s="8">
        <f>HYPERLINK("https://dart.fss.or.kr/dsaf001/main.do?rcpNo=20260605800895", "공시열람")</f>
        <v/>
      </c>
    </row>
    <row r="41" ht="36" customHeight="1">
      <c r="A41" s="2" t="inlineStr">
        <is>
          <t>2026-02-02</t>
        </is>
      </c>
      <c r="B41" s="3" t="inlineStr">
        <is>
          <t>노타</t>
        </is>
      </c>
      <c r="C41" s="2" t="inlineStr">
        <is>
          <t>코스닥</t>
        </is>
      </c>
      <c r="D41" s="2" t="inlineStr">
        <is>
          <t>486990</t>
        </is>
      </c>
      <c r="E41" s="2" t="inlineStr">
        <is>
          <t>단일판매공급계약체결</t>
        </is>
      </c>
      <c r="F41" s="3" t="inlineStr">
        <is>
          <t xml:space="preserve">단일판매ㆍ공급계약체결              </t>
        </is>
      </c>
      <c r="G41" s="7" t="inlineStr">
        <is>
          <t>AI소프트웨어 공급</t>
        </is>
      </c>
      <c r="H41" s="2" t="inlineStr">
        <is>
          <t>2026-01-30</t>
        </is>
      </c>
      <c r="I41" s="2" t="inlineStr">
        <is>
          <t>2029-06-30</t>
        </is>
      </c>
      <c r="J41" s="5" t="inlineStr"/>
      <c r="K41" s="2" t="inlineStr">
        <is>
          <t>-</t>
        </is>
      </c>
      <c r="L41" s="3" t="inlineStr"/>
      <c r="M41" s="7" t="inlineStr">
        <is>
          <t>주식회사 퓨리오사에이아이</t>
        </is>
      </c>
      <c r="N41" s="2" t="inlineStr">
        <is>
          <t>20260202900150</t>
        </is>
      </c>
      <c r="O41" s="8">
        <f>HYPERLINK("https://dart.fss.or.kr/dsaf001/main.do?rcpNo=20260202900150", "공시열람")</f>
        <v/>
      </c>
    </row>
    <row r="42" ht="36" customHeight="1">
      <c r="A42" s="2" t="inlineStr">
        <is>
          <t>2026-02-02</t>
        </is>
      </c>
      <c r="B42" s="3" t="inlineStr">
        <is>
          <t>한화에어로스페이스</t>
        </is>
      </c>
      <c r="C42" s="2" t="inlineStr">
        <is>
          <t>코스피</t>
        </is>
      </c>
      <c r="D42" s="2" t="inlineStr">
        <is>
          <t>012450</t>
        </is>
      </c>
      <c r="E42" s="2" t="inlineStr">
        <is>
          <t>단일판매공급계약체결</t>
        </is>
      </c>
      <c r="F42" s="3" t="inlineStr">
        <is>
          <t xml:space="preserve">단일판매ㆍ공급계약체결              </t>
        </is>
      </c>
      <c r="G42" s="7" t="inlineStr">
        <is>
          <t>천무 다연장로켓 수출사업</t>
        </is>
      </c>
      <c r="H42" s="2" t="inlineStr">
        <is>
          <t>2026-01-30</t>
        </is>
      </c>
      <c r="I42" s="2" t="inlineStr">
        <is>
          <t>2029-07-30</t>
        </is>
      </c>
      <c r="J42" s="5" t="n">
        <v>1316166122950</v>
      </c>
      <c r="K42" s="2" t="inlineStr">
        <is>
          <t>-</t>
        </is>
      </c>
      <c r="L42" s="13" t="n">
        <v>11.71</v>
      </c>
      <c r="M42" s="7" t="inlineStr">
        <is>
          <t>노르웨이 국방물자청(NDMA)</t>
        </is>
      </c>
      <c r="N42" s="2" t="inlineStr">
        <is>
          <t>20260202800006</t>
        </is>
      </c>
      <c r="O42" s="8">
        <f>HYPERLINK("https://dart.fss.or.kr/dsaf001/main.do?rcpNo=20260202800006", "공시열람")</f>
        <v/>
      </c>
    </row>
    <row r="43" ht="36" customHeight="1">
      <c r="A43" s="2" t="inlineStr">
        <is>
          <t>2025-10-23 (정정: 2026-03-03)</t>
        </is>
      </c>
      <c r="B43" s="3" t="inlineStr">
        <is>
          <t>비나텍</t>
        </is>
      </c>
      <c r="C43" s="2" t="inlineStr">
        <is>
          <t>코스닥</t>
        </is>
      </c>
      <c r="D43" s="2" t="inlineStr">
        <is>
          <t>126340</t>
        </is>
      </c>
      <c r="E43" s="2" t="inlineStr">
        <is>
          <t>단일판매공급계약체결</t>
        </is>
      </c>
      <c r="F43" s="3" t="inlineStr">
        <is>
          <t xml:space="preserve">[기재정정]단일판매ㆍ공급계약체결              </t>
        </is>
      </c>
      <c r="G43" s="7" t="inlineStr">
        <is>
          <t>데이터센터 비상전원용 슈퍼커퍼시터(에너지 저장장치) 공급계약</t>
        </is>
      </c>
      <c r="H43" s="2" t="inlineStr">
        <is>
          <t>2025-10-23</t>
        </is>
      </c>
      <c r="I43" s="2" t="inlineStr">
        <is>
          <t>2026-05-28</t>
        </is>
      </c>
      <c r="J43" s="5" t="n">
        <v>10104945135</v>
      </c>
      <c r="K43" s="2" t="inlineStr">
        <is>
          <t>-</t>
        </is>
      </c>
      <c r="L43" s="13" t="n">
        <v>16.96</v>
      </c>
      <c r="M43" s="7" t="inlineStr">
        <is>
          <t>ACBEL POLYTECH INC</t>
        </is>
      </c>
      <c r="N43" s="2" t="inlineStr">
        <is>
          <t>20260303900832</t>
        </is>
      </c>
      <c r="O43" s="8">
        <f>HYPERLINK("https://dart.fss.or.kr/dsaf001/main.do?rcpNo=20260303900832", "공시열람")</f>
        <v/>
      </c>
    </row>
    <row r="44" ht="36" customHeight="1">
      <c r="A44" s="2" t="inlineStr">
        <is>
          <t>2026-03-03</t>
        </is>
      </c>
      <c r="B44" s="3" t="inlineStr">
        <is>
          <t>나라스페이스테크놀로지</t>
        </is>
      </c>
      <c r="C44" s="2" t="inlineStr">
        <is>
          <t>코스닥</t>
        </is>
      </c>
      <c r="D44" s="2" t="inlineStr">
        <is>
          <t>478340</t>
        </is>
      </c>
      <c r="E44" s="2" t="inlineStr">
        <is>
          <t>단일판매공급계약체결</t>
        </is>
      </c>
      <c r="F44" s="3" t="inlineStr">
        <is>
          <t xml:space="preserve">단일판매ㆍ공급계약체결              </t>
        </is>
      </c>
      <c r="G44" s="7" t="inlineStr">
        <is>
          <t>우주시스템 모의훈련·분석용 위성 제작(2차년도)</t>
        </is>
      </c>
      <c r="H44" s="2" t="inlineStr">
        <is>
          <t>2026-01-01</t>
        </is>
      </c>
      <c r="I44" s="2" t="inlineStr">
        <is>
          <t>2026-12-20</t>
        </is>
      </c>
      <c r="J44" s="5" t="n">
        <v>945795227</v>
      </c>
      <c r="K44" s="2" t="inlineStr">
        <is>
          <t>-</t>
        </is>
      </c>
      <c r="L44" s="13" t="n">
        <v>22</v>
      </c>
      <c r="M44" s="7" t="inlineStr">
        <is>
          <t>국가보안기술연구소</t>
        </is>
      </c>
      <c r="N44" s="2" t="inlineStr">
        <is>
          <t>20260303900460</t>
        </is>
      </c>
      <c r="O44" s="8">
        <f>HYPERLINK("https://dart.fss.or.kr/dsaf001/main.do?rcpNo=20260303900460", "공시열람")</f>
        <v/>
      </c>
    </row>
    <row r="45" ht="36" customHeight="1">
      <c r="A45" s="2" t="inlineStr">
        <is>
          <t>2025-02-27 (정정: 2026-03-03)</t>
        </is>
      </c>
      <c r="B45" s="3" t="inlineStr">
        <is>
          <t>대우건설</t>
        </is>
      </c>
      <c r="C45" s="2" t="inlineStr">
        <is>
          <t>코스피</t>
        </is>
      </c>
      <c r="D45" s="2" t="inlineStr">
        <is>
          <t>047040</t>
        </is>
      </c>
      <c r="E45" s="2" t="inlineStr">
        <is>
          <t>단일판매공급계약체결</t>
        </is>
      </c>
      <c r="F45" s="3" t="inlineStr">
        <is>
          <t xml:space="preserve">[기재정정]단일판매ㆍ공급계약체결              </t>
        </is>
      </c>
      <c r="G45" s="7" t="inlineStr">
        <is>
          <t>수도권광역급행철도A노선 민간투자시설사업 건설공사</t>
        </is>
      </c>
      <c r="H45" s="2" t="inlineStr">
        <is>
          <t>2019-03-20</t>
        </is>
      </c>
      <c r="I45" s="2" t="inlineStr">
        <is>
          <t>2028-04-30</t>
        </is>
      </c>
      <c r="J45" s="5" t="n">
        <v>547048700000</v>
      </c>
      <c r="K45" s="2" t="inlineStr">
        <is>
          <t>-</t>
        </is>
      </c>
      <c r="L45" s="13" t="n">
        <v>4.65</v>
      </c>
      <c r="M45" s="7" t="inlineStr">
        <is>
          <t>에스지레일주식회사</t>
        </is>
      </c>
      <c r="N45" s="2" t="inlineStr">
        <is>
          <t>20260303800424</t>
        </is>
      </c>
      <c r="O45" s="8">
        <f>HYPERLINK("https://dart.fss.or.kr/dsaf001/main.do?rcpNo=20260303800424", "공시열람")</f>
        <v/>
      </c>
    </row>
    <row r="46" ht="36" customHeight="1">
      <c r="A46" s="2" t="inlineStr">
        <is>
          <t>2026-03-03 (정정: 2026-06-22)</t>
        </is>
      </c>
      <c r="B46" s="3" t="inlineStr">
        <is>
          <t>코윈테크</t>
        </is>
      </c>
      <c r="C46" s="2" t="inlineStr">
        <is>
          <t>코스닥</t>
        </is>
      </c>
      <c r="D46" s="2" t="inlineStr">
        <is>
          <t>282880</t>
        </is>
      </c>
      <c r="E46" s="2" t="inlineStr">
        <is>
          <t>단일판매공급계약체결</t>
        </is>
      </c>
      <c r="F46" s="3" t="inlineStr">
        <is>
          <t>단일판매ㆍ공급계약체결(자율공시)               (정정: 20260622) (정정: 20260622)</t>
        </is>
      </c>
      <c r="G46" s="7" t="inlineStr">
        <is>
          <t>2차전지 공정 자동화시스템 공급 계약(2차)</t>
        </is>
      </c>
      <c r="H46" s="2" t="inlineStr">
        <is>
          <t>2023-12-24</t>
        </is>
      </c>
      <c r="I46" s="2" t="inlineStr">
        <is>
          <t>2026-11-30</t>
        </is>
      </c>
      <c r="J46" s="5" t="n">
        <v>32711087744</v>
      </c>
      <c r="K46" s="2" t="inlineStr">
        <is>
          <t>-</t>
        </is>
      </c>
      <c r="L46" s="13" t="n">
        <v>16.26</v>
      </c>
      <c r="M46" s="7" t="inlineStr">
        <is>
          <t>글로벌 대형기업</t>
        </is>
      </c>
      <c r="N46" s="2" t="inlineStr">
        <is>
          <t>20260622900644</t>
        </is>
      </c>
      <c r="O46" s="8">
        <f>HYPERLINK("https://dart.fss.or.kr/dsaf001/main.do?rcpNo=20260622900644", "공시열람")</f>
        <v/>
      </c>
    </row>
    <row r="47" ht="36" customHeight="1">
      <c r="A47" s="2" t="inlineStr">
        <is>
          <t>2026-03-03</t>
        </is>
      </c>
      <c r="B47" s="3" t="inlineStr">
        <is>
          <t>비트컴퓨터</t>
        </is>
      </c>
      <c r="C47" s="2" t="inlineStr">
        <is>
          <t>코스닥</t>
        </is>
      </c>
      <c r="D47" s="2" t="inlineStr">
        <is>
          <t>032850</t>
        </is>
      </c>
      <c r="E47" s="2" t="inlineStr">
        <is>
          <t>단일판매공급계약체결</t>
        </is>
      </c>
      <c r="F47" s="3" t="inlineStr">
        <is>
          <t xml:space="preserve">단일판매ㆍ공급계약체결              </t>
        </is>
      </c>
      <c r="G47" s="7" t="inlineStr">
        <is>
          <t>병원정보시스템(HIS:Hospital Information System)구축사업</t>
        </is>
      </c>
      <c r="H47" s="2" t="inlineStr">
        <is>
          <t>2026-03-02</t>
        </is>
      </c>
      <c r="I47" s="2" t="inlineStr">
        <is>
          <t>2027-02-24</t>
        </is>
      </c>
      <c r="J47" s="5" t="n">
        <v>6290037600</v>
      </c>
      <c r="K47" s="2" t="inlineStr">
        <is>
          <t>-</t>
        </is>
      </c>
      <c r="L47" s="13" t="n">
        <v>16.97</v>
      </c>
      <c r="M47" s="7" t="inlineStr">
        <is>
          <t>캄보디아 보건부</t>
        </is>
      </c>
      <c r="N47" s="2" t="inlineStr">
        <is>
          <t>20260303900298</t>
        </is>
      </c>
      <c r="O47" s="8">
        <f>HYPERLINK("https://dart.fss.or.kr/dsaf001/main.do?rcpNo=20260303900298", "공시열람")</f>
        <v/>
      </c>
    </row>
    <row r="48" ht="36" customHeight="1">
      <c r="A48" s="2" t="inlineStr">
        <is>
          <t>2026-03-03 (정정: 2026-03-05)</t>
        </is>
      </c>
      <c r="B48" s="3" t="inlineStr">
        <is>
          <t>계룡건설산업</t>
        </is>
      </c>
      <c r="C48" s="2" t="inlineStr">
        <is>
          <t>코스피</t>
        </is>
      </c>
      <c r="D48" s="2" t="inlineStr">
        <is>
          <t>013580</t>
        </is>
      </c>
      <c r="E48" s="2" t="inlineStr">
        <is>
          <t>단일판매공급계약체결</t>
        </is>
      </c>
      <c r="F48" s="3" t="inlineStr">
        <is>
          <t>단일판매ㆍ공급계약체결               (정정: 20260305)</t>
        </is>
      </c>
      <c r="G48" s="7" t="inlineStr">
        <is>
          <t>송산그린시티 남측지구 조성공사(1공구)</t>
        </is>
      </c>
      <c r="H48" s="2" t="inlineStr">
        <is>
          <t>2017-03-13</t>
        </is>
      </c>
      <c r="I48" s="2" t="inlineStr">
        <is>
          <t>2026-08-30</t>
        </is>
      </c>
      <c r="J48" s="5" t="n">
        <v>151812765000</v>
      </c>
      <c r="K48" s="2" t="inlineStr">
        <is>
          <t>-</t>
        </is>
      </c>
      <c r="L48" s="13" t="n">
        <v>6.67</v>
      </c>
      <c r="M48" s="7" t="inlineStr">
        <is>
          <t>한국수자원공사</t>
        </is>
      </c>
      <c r="N48" s="2" t="inlineStr">
        <is>
          <t>20260305801858</t>
        </is>
      </c>
      <c r="O48" s="8">
        <f>HYPERLINK("https://dart.fss.or.kr/dsaf001/main.do?rcpNo=20260305801858", "공시열람")</f>
        <v/>
      </c>
    </row>
    <row r="49" ht="36" customHeight="1">
      <c r="A49" s="2" t="inlineStr">
        <is>
          <t>2026-03-03</t>
        </is>
      </c>
      <c r="B49" s="3" t="inlineStr">
        <is>
          <t>스맥</t>
        </is>
      </c>
      <c r="C49" s="2" t="inlineStr">
        <is>
          <t>코스닥</t>
        </is>
      </c>
      <c r="D49" s="2" t="inlineStr">
        <is>
          <t>099440</t>
        </is>
      </c>
      <c r="E49" s="2" t="inlineStr">
        <is>
          <t>단일판매공급계약체결</t>
        </is>
      </c>
      <c r="F49" s="3" t="inlineStr">
        <is>
          <t xml:space="preserve">단일판매ㆍ공급계약체결              </t>
        </is>
      </c>
      <c r="G49" s="7" t="inlineStr">
        <is>
          <t>공작기계 공급의 건</t>
        </is>
      </c>
      <c r="H49" s="2" t="inlineStr">
        <is>
          <t>2026-03-03</t>
        </is>
      </c>
      <c r="I49" s="2" t="inlineStr">
        <is>
          <t>2026-09-30</t>
        </is>
      </c>
      <c r="J49" s="5" t="n">
        <v>22071172000</v>
      </c>
      <c r="K49" s="2" t="inlineStr">
        <is>
          <t>-</t>
        </is>
      </c>
      <c r="L49" s="13" t="n">
        <v>10.96</v>
      </c>
      <c r="M49" s="7" t="inlineStr">
        <is>
          <t>주식회사 세일엠티</t>
        </is>
      </c>
      <c r="N49" s="2" t="inlineStr">
        <is>
          <t>20260303900210</t>
        </is>
      </c>
      <c r="O49" s="8">
        <f>HYPERLINK("https://dart.fss.or.kr/dsaf001/main.do?rcpNo=20260303900210", "공시열람")</f>
        <v/>
      </c>
    </row>
    <row r="50" ht="36" customHeight="1">
      <c r="A50" s="2" t="inlineStr">
        <is>
          <t>2026-03-03</t>
        </is>
      </c>
      <c r="B50" s="3" t="inlineStr">
        <is>
          <t>기가비스</t>
        </is>
      </c>
      <c r="C50" s="2" t="inlineStr">
        <is>
          <t>코스닥</t>
        </is>
      </c>
      <c r="D50" s="2" t="inlineStr">
        <is>
          <t>420770</t>
        </is>
      </c>
      <c r="E50" s="2" t="inlineStr">
        <is>
          <t>단일판매공급계약체결</t>
        </is>
      </c>
      <c r="F50" s="3" t="inlineStr">
        <is>
          <t xml:space="preserve">단일판매ㆍ공급계약체결              </t>
        </is>
      </c>
      <c r="G50" s="7" t="inlineStr">
        <is>
          <t>반도체 기판 검사 및 수리장비</t>
        </is>
      </c>
      <c r="H50" s="2" t="inlineStr">
        <is>
          <t>2026-02-27</t>
        </is>
      </c>
      <c r="I50" s="2" t="inlineStr">
        <is>
          <t>2026-12-03</t>
        </is>
      </c>
      <c r="J50" s="5" t="n">
        <v>10911670000</v>
      </c>
      <c r="K50" s="2" t="inlineStr">
        <is>
          <t>-</t>
        </is>
      </c>
      <c r="L50" s="13" t="n">
        <v>41.75</v>
      </c>
      <c r="M50" s="7" t="inlineStr">
        <is>
          <t>대만 반도체 기판 제조회사</t>
        </is>
      </c>
      <c r="N50" s="2" t="inlineStr">
        <is>
          <t>20260303900146</t>
        </is>
      </c>
      <c r="O50" s="8">
        <f>HYPERLINK("https://dart.fss.or.kr/dsaf001/main.do?rcpNo=20260303900146", "공시열람")</f>
        <v/>
      </c>
    </row>
    <row r="51" ht="36" customHeight="1">
      <c r="A51" s="2" t="inlineStr">
        <is>
          <t>2025-12-10 (정정: 2026-03-03)</t>
        </is>
      </c>
      <c r="B51" s="3" t="inlineStr">
        <is>
          <t>비츠로시스</t>
        </is>
      </c>
      <c r="C51" s="2" t="inlineStr">
        <is>
          <t>코스닥</t>
        </is>
      </c>
      <c r="D51" s="2" t="inlineStr">
        <is>
          <t>054220</t>
        </is>
      </c>
      <c r="E51" s="2" t="inlineStr">
        <is>
          <t>단일판매공급계약체결</t>
        </is>
      </c>
      <c r="F51" s="3" t="inlineStr">
        <is>
          <t xml:space="preserve">[기재정정]단일판매ㆍ공급계약체결              </t>
        </is>
      </c>
      <c r="G51" s="7" t="inlineStr">
        <is>
          <t>서해선 초지역 승강장안전문 제조설치</t>
        </is>
      </c>
      <c r="H51" s="2" t="inlineStr">
        <is>
          <t>2025-08-20</t>
        </is>
      </c>
      <c r="I51" s="2" t="inlineStr">
        <is>
          <t>2026-08-31</t>
        </is>
      </c>
      <c r="J51" s="5" t="n">
        <v>5791543133</v>
      </c>
      <c r="K51" s="2" t="inlineStr">
        <is>
          <t>-</t>
        </is>
      </c>
      <c r="L51" s="13" t="n">
        <v>22.58</v>
      </c>
      <c r="M51" s="7" t="inlineStr">
        <is>
          <t>국가철도공단</t>
        </is>
      </c>
      <c r="N51" s="2" t="inlineStr">
        <is>
          <t>20260303900002</t>
        </is>
      </c>
      <c r="O51" s="8">
        <f>HYPERLINK("https://dart.fss.or.kr/dsaf001/main.do?rcpNo=20260303900002", "공시열람")</f>
        <v/>
      </c>
    </row>
    <row r="52" ht="36" customHeight="1">
      <c r="A52" s="2" t="inlineStr">
        <is>
          <t>2025-06-16 (정정: 2026-03-04)</t>
        </is>
      </c>
      <c r="B52" s="3" t="inlineStr">
        <is>
          <t>야스</t>
        </is>
      </c>
      <c r="C52" s="2" t="inlineStr">
        <is>
          <t>코스닥</t>
        </is>
      </c>
      <c r="D52" s="2" t="inlineStr">
        <is>
          <t>255440</t>
        </is>
      </c>
      <c r="E52" s="2" t="inlineStr">
        <is>
          <t>단일판매공급계약체결</t>
        </is>
      </c>
      <c r="F52" s="3" t="inlineStr">
        <is>
          <t xml:space="preserve">[기재정정]단일판매ㆍ공급계약체결              </t>
        </is>
      </c>
      <c r="G52" s="7" t="inlineStr">
        <is>
          <t>디스플레이 장비 제조 및 공급</t>
        </is>
      </c>
      <c r="H52" s="2" t="inlineStr">
        <is>
          <t>2025-06-13</t>
        </is>
      </c>
      <c r="I52" s="2" t="inlineStr">
        <is>
          <t>2025-12-10</t>
        </is>
      </c>
      <c r="J52" s="5" t="n">
        <v>6800000000</v>
      </c>
      <c r="K52" s="2" t="inlineStr">
        <is>
          <t>-</t>
        </is>
      </c>
      <c r="L52" s="13" t="n">
        <v>23.75</v>
      </c>
      <c r="M52" s="7" t="inlineStr">
        <is>
          <t>엘지디스플레이(주)</t>
        </is>
      </c>
      <c r="N52" s="2" t="inlineStr">
        <is>
          <t>20260304901561</t>
        </is>
      </c>
      <c r="O52" s="8">
        <f>HYPERLINK("https://dart.fss.or.kr/dsaf001/main.do?rcpNo=20260304901561", "공시열람")</f>
        <v/>
      </c>
    </row>
    <row r="53" ht="36" customHeight="1">
      <c r="A53" s="2" t="inlineStr">
        <is>
          <t>2026-03-04 (정정: 2026-03-04)</t>
        </is>
      </c>
      <c r="B53" s="3" t="inlineStr">
        <is>
          <t>에이치브이엠</t>
        </is>
      </c>
      <c r="C53" s="2" t="inlineStr">
        <is>
          <t>코스닥</t>
        </is>
      </c>
      <c r="D53" s="2" t="inlineStr">
        <is>
          <t>295310</t>
        </is>
      </c>
      <c r="E53" s="2" t="inlineStr">
        <is>
          <t>단일판매공급계약체결</t>
        </is>
      </c>
      <c r="F53" s="3" t="inlineStr">
        <is>
          <t>[기재정정]단일판매ㆍ공급계약체결               (정정: 20260304)</t>
        </is>
      </c>
      <c r="G53" s="7" t="inlineStr">
        <is>
          <t>슈퍼 알로이(Super Alloy) 공급 계약</t>
        </is>
      </c>
      <c r="H53" s="2" t="inlineStr">
        <is>
          <t>2025-07-09</t>
        </is>
      </c>
      <c r="I53" s="2" t="inlineStr">
        <is>
          <t>2026-03-04</t>
        </is>
      </c>
      <c r="J53" s="5" t="n">
        <v>8335716480</v>
      </c>
      <c r="K53" s="2" t="inlineStr">
        <is>
          <t>-</t>
        </is>
      </c>
      <c r="L53" s="13" t="n">
        <v>18.47</v>
      </c>
      <c r="M53" s="7" t="inlineStr">
        <is>
          <t>우주항공 금속 유통회사</t>
        </is>
      </c>
      <c r="N53" s="2" t="inlineStr">
        <is>
          <t>20260304901293</t>
        </is>
      </c>
      <c r="O53" s="8">
        <f>HYPERLINK("https://dart.fss.or.kr/dsaf001/main.do?rcpNo=20260304901293", "공시열람")</f>
        <v/>
      </c>
    </row>
    <row r="54" ht="36" customHeight="1">
      <c r="A54" s="2" t="inlineStr">
        <is>
          <t>2026-03-04</t>
        </is>
      </c>
      <c r="B54" s="3" t="inlineStr">
        <is>
          <t>엑시콘</t>
        </is>
      </c>
      <c r="C54" s="2" t="inlineStr">
        <is>
          <t>코스닥</t>
        </is>
      </c>
      <c r="D54" s="2" t="inlineStr">
        <is>
          <t>092870</t>
        </is>
      </c>
      <c r="E54" s="2" t="inlineStr">
        <is>
          <t>단일판매공급계약체결</t>
        </is>
      </c>
      <c r="F54" s="3" t="inlineStr">
        <is>
          <t xml:space="preserve">단일판매ㆍ공급계약체결              </t>
        </is>
      </c>
      <c r="G54" s="7" t="inlineStr">
        <is>
          <t>CLT 및 SSD Tester</t>
        </is>
      </c>
      <c r="H54" s="2" t="inlineStr">
        <is>
          <t>2026-02-27</t>
        </is>
      </c>
      <c r="I54" s="2" t="inlineStr">
        <is>
          <t>2026-12-31</t>
        </is>
      </c>
      <c r="J54" s="5" t="n">
        <v>30200000000</v>
      </c>
      <c r="K54" s="2" t="inlineStr">
        <is>
          <t>-</t>
        </is>
      </c>
      <c r="L54" s="13" t="n">
        <v>95.5</v>
      </c>
      <c r="M54" s="7" t="inlineStr">
        <is>
          <t>주식회사 삼성전자</t>
        </is>
      </c>
      <c r="N54" s="2" t="inlineStr">
        <is>
          <t>20260304901110</t>
        </is>
      </c>
      <c r="O54" s="8">
        <f>HYPERLINK("https://dart.fss.or.kr/dsaf001/main.do?rcpNo=20260304901110", "공시열람")</f>
        <v/>
      </c>
    </row>
    <row r="55" ht="36" customHeight="1">
      <c r="A55" s="2" t="inlineStr">
        <is>
          <t>2025-03-31 (정정: 2026-03-04)</t>
        </is>
      </c>
      <c r="B55" s="3" t="inlineStr">
        <is>
          <t>티에스아이</t>
        </is>
      </c>
      <c r="C55" s="2" t="inlineStr">
        <is>
          <t>코스닥</t>
        </is>
      </c>
      <c r="D55" s="2" t="inlineStr">
        <is>
          <t>277880</t>
        </is>
      </c>
      <c r="E55" s="2" t="inlineStr">
        <is>
          <t>단일판매공급계약체결</t>
        </is>
      </c>
      <c r="F55" s="3" t="inlineStr">
        <is>
          <t xml:space="preserve">[기재정정]단일판매ㆍ공급계약체결              </t>
        </is>
      </c>
      <c r="G55" s="7" t="inlineStr">
        <is>
          <t>2차전지 믹싱시스템</t>
        </is>
      </c>
      <c r="H55" s="2" t="inlineStr">
        <is>
          <t>2022-12-29</t>
        </is>
      </c>
      <c r="I55" s="2" t="inlineStr">
        <is>
          <t>2026-09-30</t>
        </is>
      </c>
      <c r="J55" s="5" t="n">
        <v>24097700000</v>
      </c>
      <c r="K55" s="2" t="inlineStr">
        <is>
          <t>-</t>
        </is>
      </c>
      <c r="L55" s="13" t="n">
        <v>35.8</v>
      </c>
      <c r="M55" s="7" t="inlineStr">
        <is>
          <t>해외 이차전지기업</t>
        </is>
      </c>
      <c r="N55" s="2" t="inlineStr">
        <is>
          <t>20260304900983</t>
        </is>
      </c>
      <c r="O55" s="8">
        <f>HYPERLINK("https://dart.fss.or.kr/dsaf001/main.do?rcpNo=20260304900983", "공시열람")</f>
        <v/>
      </c>
    </row>
    <row r="56" ht="36" customHeight="1">
      <c r="A56" s="2" t="inlineStr">
        <is>
          <t>2026-03-04</t>
        </is>
      </c>
      <c r="B56" s="3" t="inlineStr">
        <is>
          <t>한국종합기술</t>
        </is>
      </c>
      <c r="C56" s="2" t="inlineStr">
        <is>
          <t>코스피</t>
        </is>
      </c>
      <c r="D56" s="2" t="inlineStr">
        <is>
          <t>023350</t>
        </is>
      </c>
      <c r="E56" s="2" t="inlineStr">
        <is>
          <t>단일판매공급계약체결</t>
        </is>
      </c>
      <c r="F56" s="3" t="inlineStr">
        <is>
          <t xml:space="preserve">단일판매ㆍ공급계약체결              </t>
        </is>
      </c>
      <c r="G56" s="7" t="inlineStr">
        <is>
          <t>뉴마닐라 국제공항 ICE(Independent Certification Engineer) 컨설팅 사업</t>
        </is>
      </c>
      <c r="H56" s="2" t="inlineStr">
        <is>
          <t>2026-03-03</t>
        </is>
      </c>
      <c r="I56" s="2" t="inlineStr">
        <is>
          <t>2032-03-02</t>
        </is>
      </c>
      <c r="J56" s="5" t="n">
        <v>25650400345</v>
      </c>
      <c r="K56" s="2" t="inlineStr">
        <is>
          <t>-</t>
        </is>
      </c>
      <c r="L56" s="13" t="n">
        <v>6.43</v>
      </c>
      <c r="M56" s="7" t="inlineStr">
        <is>
          <t>필리핀 교통부 (Department of Transportation, Philippines)</t>
        </is>
      </c>
      <c r="N56" s="2" t="inlineStr">
        <is>
          <t>20260304800916</t>
        </is>
      </c>
      <c r="O56" s="8">
        <f>HYPERLINK("https://dart.fss.or.kr/dsaf001/main.do?rcpNo=20260304800916", "공시열람")</f>
        <v/>
      </c>
    </row>
    <row r="57" ht="36" customHeight="1">
      <c r="A57" s="2" t="inlineStr">
        <is>
          <t>2026-03-04</t>
        </is>
      </c>
      <c r="B57" s="3" t="inlineStr">
        <is>
          <t>와이씨</t>
        </is>
      </c>
      <c r="C57" s="2" t="inlineStr">
        <is>
          <t>코스닥</t>
        </is>
      </c>
      <c r="D57" s="2" t="inlineStr">
        <is>
          <t>232140</t>
        </is>
      </c>
      <c r="E57" s="2" t="inlineStr">
        <is>
          <t>단일판매공급계약체결</t>
        </is>
      </c>
      <c r="F57" s="3" t="inlineStr">
        <is>
          <t xml:space="preserve">단일판매ㆍ공급계약체결              </t>
        </is>
      </c>
      <c r="G57" s="7" t="inlineStr">
        <is>
          <t>반도체 검사장비</t>
        </is>
      </c>
      <c r="H57" s="2" t="inlineStr">
        <is>
          <t>2026-03-03</t>
        </is>
      </c>
      <c r="I57" s="2" t="inlineStr">
        <is>
          <t>2026-06-30</t>
        </is>
      </c>
      <c r="J57" s="5" t="n">
        <v>40300000000</v>
      </c>
      <c r="K57" s="2" t="inlineStr">
        <is>
          <t>-</t>
        </is>
      </c>
      <c r="L57" s="13" t="n">
        <v>19.08</v>
      </c>
      <c r="M57" s="7" t="inlineStr">
        <is>
          <t>삼성전자(주)</t>
        </is>
      </c>
      <c r="N57" s="2" t="inlineStr">
        <is>
          <t>20260304900875</t>
        </is>
      </c>
      <c r="O57" s="8">
        <f>HYPERLINK("https://dart.fss.or.kr/dsaf001/main.do?rcpNo=20260304900875", "공시열람")</f>
        <v/>
      </c>
    </row>
    <row r="58" ht="36" customHeight="1">
      <c r="A58" s="2" t="inlineStr">
        <is>
          <t>2026-03-04</t>
        </is>
      </c>
      <c r="B58" s="3" t="inlineStr">
        <is>
          <t>엔젯</t>
        </is>
      </c>
      <c r="C58" s="2" t="inlineStr">
        <is>
          <t>코스닥</t>
        </is>
      </c>
      <c r="D58" s="2" t="inlineStr">
        <is>
          <t>419080</t>
        </is>
      </c>
      <c r="E58" s="2" t="inlineStr">
        <is>
          <t>단일판매공급계약체결</t>
        </is>
      </c>
      <c r="F58" s="3" t="inlineStr">
        <is>
          <t xml:space="preserve">단일판매ㆍ공급계약체결              </t>
        </is>
      </c>
      <c r="G58" s="7" t="inlineStr">
        <is>
          <t>디스플레이 리페어 장비 공급 계약</t>
        </is>
      </c>
      <c r="H58" s="2" t="inlineStr">
        <is>
          <t>2026-02-25</t>
        </is>
      </c>
      <c r="I58" s="2" t="inlineStr">
        <is>
          <t>2026-12-31</t>
        </is>
      </c>
      <c r="J58" s="5" t="n">
        <v>3119385000</v>
      </c>
      <c r="K58" s="2" t="inlineStr">
        <is>
          <t>-</t>
        </is>
      </c>
      <c r="L58" s="13" t="n">
        <v>49.83</v>
      </c>
      <c r="M58" s="7" t="inlineStr">
        <is>
          <t>AUO Corporation Taoyuan Branch</t>
        </is>
      </c>
      <c r="N58" s="2" t="inlineStr">
        <is>
          <t>20260304900716</t>
        </is>
      </c>
      <c r="O58" s="8">
        <f>HYPERLINK("https://dart.fss.or.kr/dsaf001/main.do?rcpNo=20260304900716", "공시열람")</f>
        <v/>
      </c>
    </row>
    <row r="59" ht="36" customHeight="1">
      <c r="A59" s="2" t="inlineStr">
        <is>
          <t>2026-03-04 (정정: 2026-05-21)</t>
        </is>
      </c>
      <c r="B59" s="3" t="inlineStr">
        <is>
          <t>금호건설</t>
        </is>
      </c>
      <c r="C59" s="2" t="inlineStr">
        <is>
          <t>코스피</t>
        </is>
      </c>
      <c r="D59" s="2" t="inlineStr">
        <is>
          <t>002990</t>
        </is>
      </c>
      <c r="E59" s="2" t="inlineStr">
        <is>
          <t>단일판매공급계약체결</t>
        </is>
      </c>
      <c r="F59" s="3" t="inlineStr">
        <is>
          <t>[기재정정]단일판매ㆍ공급계약체결               (정정: 20260416) (정정: 20260521)</t>
        </is>
      </c>
      <c r="G59" s="7" t="inlineStr">
        <is>
          <t>(주)대웅제약 마곡연구서 건립 건축 공사</t>
        </is>
      </c>
      <c r="H59" s="2" t="inlineStr">
        <is>
          <t>2024-04-22</t>
        </is>
      </c>
      <c r="I59" s="2" t="inlineStr">
        <is>
          <t>2026-05-31</t>
        </is>
      </c>
      <c r="J59" s="5" t="n">
        <v>153874400000</v>
      </c>
      <c r="K59" s="2" t="inlineStr">
        <is>
          <t>-</t>
        </is>
      </c>
      <c r="L59" s="13" t="n">
        <v>7.51</v>
      </c>
      <c r="M59" s="7" t="inlineStr">
        <is>
          <t>주식회사 대웅제약</t>
        </is>
      </c>
      <c r="N59" s="2" t="inlineStr">
        <is>
          <t>20260521800619</t>
        </is>
      </c>
      <c r="O59" s="8">
        <f>HYPERLINK("https://dart.fss.or.kr/dsaf001/main.do?rcpNo=20260521800619", "공시열람")</f>
        <v/>
      </c>
    </row>
    <row r="60" ht="36" customHeight="1">
      <c r="A60" s="2" t="inlineStr">
        <is>
          <t>2025-12-22 (정정: 2026-03-04)</t>
        </is>
      </c>
      <c r="B60" s="3" t="inlineStr">
        <is>
          <t>서한</t>
        </is>
      </c>
      <c r="C60" s="2" t="inlineStr">
        <is>
          <t>코스닥</t>
        </is>
      </c>
      <c r="D60" s="2" t="inlineStr">
        <is>
          <t>011370</t>
        </is>
      </c>
      <c r="E60" s="2" t="inlineStr">
        <is>
          <t>단일판매공급계약체결</t>
        </is>
      </c>
      <c r="F60" s="3" t="inlineStr">
        <is>
          <t xml:space="preserve">[기재정정]단일판매ㆍ공급계약체결(자율공시)              </t>
        </is>
      </c>
      <c r="G60" s="7" t="inlineStr">
        <is>
          <t>안동~영덕 국도건설공사</t>
        </is>
      </c>
      <c r="H60" s="2" t="inlineStr">
        <is>
          <t>2017-01-20</t>
        </is>
      </c>
      <c r="I60" s="2" t="inlineStr">
        <is>
          <t>2026-09-30</t>
        </is>
      </c>
      <c r="J60" s="5" t="n">
        <v>13712933409</v>
      </c>
      <c r="K60" s="2" t="inlineStr">
        <is>
          <t>-</t>
        </is>
      </c>
      <c r="L60" s="13" t="n">
        <v>3.06</v>
      </c>
      <c r="M60" s="7" t="inlineStr">
        <is>
          <t>조달청</t>
        </is>
      </c>
      <c r="N60" s="2" t="inlineStr">
        <is>
          <t>20260304900485</t>
        </is>
      </c>
      <c r="O60" s="8">
        <f>HYPERLINK("https://dart.fss.or.kr/dsaf001/main.do?rcpNo=20260304900485", "공시열람")</f>
        <v/>
      </c>
    </row>
    <row r="61" ht="36" customHeight="1">
      <c r="A61" s="2" t="inlineStr">
        <is>
          <t>2026-03-04</t>
        </is>
      </c>
      <c r="B61" s="3" t="inlineStr">
        <is>
          <t>나우로보틱스</t>
        </is>
      </c>
      <c r="C61" s="2" t="inlineStr">
        <is>
          <t>코스닥</t>
        </is>
      </c>
      <c r="D61" s="2" t="inlineStr">
        <is>
          <t>459510</t>
        </is>
      </c>
      <c r="E61" s="2" t="inlineStr">
        <is>
          <t>단일판매공급계약체결</t>
        </is>
      </c>
      <c r="F61" s="3" t="inlineStr">
        <is>
          <t xml:space="preserve">단일판매ㆍ공급계약체결              </t>
        </is>
      </c>
      <c r="G61" s="7" t="inlineStr">
        <is>
          <t>FKC America (미국 공장向) 자동차 엔진 댐퍼 로보트 조립자동화</t>
        </is>
      </c>
      <c r="H61" s="2" t="inlineStr">
        <is>
          <t>2026-03-04</t>
        </is>
      </c>
      <c r="I61" s="2" t="inlineStr">
        <is>
          <t>2027-02-28</t>
        </is>
      </c>
      <c r="J61" s="5" t="n">
        <v>3700000000</v>
      </c>
      <c r="K61" s="2" t="inlineStr">
        <is>
          <t>-</t>
        </is>
      </c>
      <c r="L61" s="13" t="n">
        <v>30.68</v>
      </c>
      <c r="M61" s="7" t="inlineStr">
        <is>
          <t>한국후꼬꾸(주)</t>
        </is>
      </c>
      <c r="N61" s="2" t="inlineStr">
        <is>
          <t>20260304900429</t>
        </is>
      </c>
      <c r="O61" s="8">
        <f>HYPERLINK("https://dart.fss.or.kr/dsaf001/main.do?rcpNo=20260304900429", "공시열람")</f>
        <v/>
      </c>
    </row>
    <row r="62" ht="36" customHeight="1">
      <c r="A62" s="2" t="inlineStr">
        <is>
          <t>2026-02-26 (정정: 2026-03-04)</t>
        </is>
      </c>
      <c r="B62" s="3" t="inlineStr">
        <is>
          <t>HJ중공업</t>
        </is>
      </c>
      <c r="C62" s="2" t="inlineStr">
        <is>
          <t>코스피</t>
        </is>
      </c>
      <c r="D62" s="2" t="inlineStr">
        <is>
          <t>097230</t>
        </is>
      </c>
      <c r="E62" s="2" t="inlineStr">
        <is>
          <t>단일판매공급계약체결</t>
        </is>
      </c>
      <c r="F62" s="3" t="inlineStr">
        <is>
          <t xml:space="preserve">[기재정정]단일판매ㆍ공급계약체결              </t>
        </is>
      </c>
      <c r="G62" s="7" t="inlineStr">
        <is>
          <t>필리핀 따굼 홍수조절사업</t>
        </is>
      </c>
      <c r="H62" s="2" t="inlineStr">
        <is>
          <t>2026-02-25</t>
        </is>
      </c>
      <c r="I62" s="2" t="inlineStr">
        <is>
          <t>2030-02-10</t>
        </is>
      </c>
      <c r="J62" s="5" t="n">
        <v>92241755735</v>
      </c>
      <c r="K62" s="2" t="inlineStr">
        <is>
          <t>-</t>
        </is>
      </c>
      <c r="L62" s="13" t="n">
        <v>4.89</v>
      </c>
      <c r="M62" s="7" t="inlineStr">
        <is>
          <t>Department of Public Works and Highways (필리핀 공공사업도로부)</t>
        </is>
      </c>
      <c r="N62" s="2" t="inlineStr">
        <is>
          <t>20260304800353</t>
        </is>
      </c>
      <c r="O62" s="8">
        <f>HYPERLINK("https://dart.fss.or.kr/dsaf001/main.do?rcpNo=20260304800353", "공시열람")</f>
        <v/>
      </c>
    </row>
    <row r="63" ht="36" customHeight="1">
      <c r="A63" s="2" t="inlineStr">
        <is>
          <t>2026-03-04</t>
        </is>
      </c>
      <c r="B63" s="3" t="inlineStr">
        <is>
          <t>디아이</t>
        </is>
      </c>
      <c r="C63" s="2" t="inlineStr">
        <is>
          <t>코스피</t>
        </is>
      </c>
      <c r="D63" s="2" t="inlineStr">
        <is>
          <t>003160</t>
        </is>
      </c>
      <c r="E63" s="2" t="inlineStr">
        <is>
          <t>단일판매공급계약체결</t>
        </is>
      </c>
      <c r="F63" s="3" t="inlineStr">
        <is>
          <t xml:space="preserve">단일판매ㆍ공급계약체결(자율공시)              </t>
        </is>
      </c>
      <c r="G63" s="7" t="inlineStr">
        <is>
          <t>-</t>
        </is>
      </c>
      <c r="H63" s="2" t="inlineStr">
        <is>
          <t>2026-03-03</t>
        </is>
      </c>
      <c r="I63" s="2" t="inlineStr">
        <is>
          <t>2026-12-31</t>
        </is>
      </c>
      <c r="J63" s="5" t="n">
        <v>9555164000</v>
      </c>
      <c r="K63" s="2" t="inlineStr">
        <is>
          <t>-</t>
        </is>
      </c>
      <c r="L63" s="13" t="n">
        <v>4.5</v>
      </c>
      <c r="M63" s="7" t="inlineStr">
        <is>
          <t>삼성전자(주) (Samsung Electronics Co., Ltd.)</t>
        </is>
      </c>
      <c r="N63" s="2" t="inlineStr">
        <is>
          <t>20260304800340</t>
        </is>
      </c>
      <c r="O63" s="8">
        <f>HYPERLINK("https://dart.fss.or.kr/dsaf001/main.do?rcpNo=20260304800340", "공시열람")</f>
        <v/>
      </c>
    </row>
    <row r="64" ht="36" customHeight="1">
      <c r="A64" s="2" t="inlineStr">
        <is>
          <t>2026-03-04</t>
        </is>
      </c>
      <c r="B64" s="3" t="inlineStr">
        <is>
          <t>인텍플러스</t>
        </is>
      </c>
      <c r="C64" s="2" t="inlineStr">
        <is>
          <t>코스닥</t>
        </is>
      </c>
      <c r="D64" s="2" t="inlineStr">
        <is>
          <t>064290</t>
        </is>
      </c>
      <c r="E64" s="2" t="inlineStr">
        <is>
          <t>단일판매공급계약체결</t>
        </is>
      </c>
      <c r="F64" s="3" t="inlineStr">
        <is>
          <t xml:space="preserve">단일판매ㆍ공급계약체결              </t>
        </is>
      </c>
      <c r="G64" s="7" t="inlineStr">
        <is>
          <t>반도체 Substrate 검사 장비</t>
        </is>
      </c>
      <c r="H64" s="2" t="inlineStr">
        <is>
          <t>2026-03-03</t>
        </is>
      </c>
      <c r="I64" s="2" t="inlineStr">
        <is>
          <t>2027-08-30</t>
        </is>
      </c>
      <c r="J64" s="5" t="n">
        <v>9632969400</v>
      </c>
      <c r="K64" s="2" t="inlineStr">
        <is>
          <t>-</t>
        </is>
      </c>
      <c r="L64" s="13" t="n">
        <v>11.5</v>
      </c>
      <c r="M64" s="7" t="inlineStr">
        <is>
          <t>takewin International Ltd</t>
        </is>
      </c>
      <c r="N64" s="2" t="inlineStr">
        <is>
          <t>20260304900261</t>
        </is>
      </c>
      <c r="O64" s="8">
        <f>HYPERLINK("https://dart.fss.or.kr/dsaf001/main.do?rcpNo=20260304900261", "공시열람")</f>
        <v/>
      </c>
    </row>
    <row r="65" ht="36" customHeight="1">
      <c r="A65" s="2" t="inlineStr">
        <is>
          <t>2026-03-05</t>
        </is>
      </c>
      <c r="B65" s="3" t="inlineStr">
        <is>
          <t>멤레이비티</t>
        </is>
      </c>
      <c r="C65" s="2" t="inlineStr">
        <is>
          <t>코스닥</t>
        </is>
      </c>
      <c r="D65" s="2" t="inlineStr">
        <is>
          <t>072770</t>
        </is>
      </c>
      <c r="E65" s="2" t="inlineStr">
        <is>
          <t>단일판매공급계약체결</t>
        </is>
      </c>
      <c r="F65" s="3" t="inlineStr">
        <is>
          <t xml:space="preserve">단일판매ㆍ공급계약체결              </t>
        </is>
      </c>
      <c r="G65" s="7" t="inlineStr">
        <is>
          <t>프로젝트 NEO 2차 전산장비 통합 도입</t>
        </is>
      </c>
      <c r="H65" s="2" t="inlineStr">
        <is>
          <t>2026-03-05</t>
        </is>
      </c>
      <c r="I65" s="2" t="inlineStr">
        <is>
          <t>2026-11-30</t>
        </is>
      </c>
      <c r="J65" s="5" t="n">
        <v>18636000000</v>
      </c>
      <c r="K65" s="2" t="inlineStr">
        <is>
          <t>-</t>
        </is>
      </c>
      <c r="L65" s="13" t="n">
        <v>14.32</v>
      </c>
      <c r="M65" s="7" t="inlineStr">
        <is>
          <t>농협은행 주식회사</t>
        </is>
      </c>
      <c r="N65" s="2" t="inlineStr">
        <is>
          <t>20260305901563</t>
        </is>
      </c>
      <c r="O65" s="8">
        <f>HYPERLINK("https://dart.fss.or.kr/dsaf001/main.do?rcpNo=20260305901563", "공시열람")</f>
        <v/>
      </c>
    </row>
    <row r="66" ht="36" customHeight="1">
      <c r="A66" s="2" t="inlineStr">
        <is>
          <t>2026-03-05</t>
        </is>
      </c>
      <c r="B66" s="3" t="inlineStr">
        <is>
          <t>센서뷰</t>
        </is>
      </c>
      <c r="C66" s="2" t="inlineStr">
        <is>
          <t>코스닥</t>
        </is>
      </c>
      <c r="D66" s="2" t="inlineStr">
        <is>
          <t>321370</t>
        </is>
      </c>
      <c r="E66" s="2" t="inlineStr">
        <is>
          <t>단일판매공급계약체결</t>
        </is>
      </c>
      <c r="F66" s="3" t="inlineStr">
        <is>
          <t xml:space="preserve">단일판매ㆍ공급계약체결(자율공시)              </t>
        </is>
      </c>
      <c r="G66" s="7" t="inlineStr">
        <is>
          <t>물품(EJ 안테나 공급 계약서)</t>
        </is>
      </c>
      <c r="H66" s="2" t="inlineStr">
        <is>
          <t>2026-03-05</t>
        </is>
      </c>
      <c r="I66" s="2" t="inlineStr">
        <is>
          <t>2030-07-01</t>
        </is>
      </c>
      <c r="J66" s="5" t="n">
        <v>1152000000</v>
      </c>
      <c r="K66" s="2" t="inlineStr">
        <is>
          <t>-</t>
        </is>
      </c>
      <c r="L66" s="13" t="n">
        <v>7.38</v>
      </c>
      <c r="M66" s="7" t="inlineStr">
        <is>
          <t>LIG넥스원</t>
        </is>
      </c>
      <c r="N66" s="2" t="inlineStr">
        <is>
          <t>20260305901491</t>
        </is>
      </c>
      <c r="O66" s="8">
        <f>HYPERLINK("https://dart.fss.or.kr/dsaf001/main.do?rcpNo=20260305901491", "공시열람")</f>
        <v/>
      </c>
    </row>
    <row r="67" ht="36" customHeight="1">
      <c r="A67" s="2" t="inlineStr">
        <is>
          <t>2026-03-05</t>
        </is>
      </c>
      <c r="B67" s="3" t="inlineStr">
        <is>
          <t>센서뷰</t>
        </is>
      </c>
      <c r="C67" s="2" t="inlineStr">
        <is>
          <t>코스닥</t>
        </is>
      </c>
      <c r="D67" s="2" t="inlineStr">
        <is>
          <t>321370</t>
        </is>
      </c>
      <c r="E67" s="2" t="inlineStr">
        <is>
          <t>단일판매공급계약체결</t>
        </is>
      </c>
      <c r="F67" s="3" t="inlineStr">
        <is>
          <t xml:space="preserve">단일판매ㆍ공급계약체결(자율공시)              </t>
        </is>
      </c>
      <c r="G67" s="7" t="inlineStr">
        <is>
          <t>물품(CDDF 안테나 공급 계약서)</t>
        </is>
      </c>
      <c r="H67" s="2" t="inlineStr">
        <is>
          <t>2026-03-04</t>
        </is>
      </c>
      <c r="I67" s="2" t="inlineStr">
        <is>
          <t>2030-07-01</t>
        </is>
      </c>
      <c r="J67" s="5" t="n">
        <v>1224000000</v>
      </c>
      <c r="K67" s="2" t="inlineStr">
        <is>
          <t>-</t>
        </is>
      </c>
      <c r="L67" s="13" t="n">
        <v>7.85</v>
      </c>
      <c r="M67" s="7" t="inlineStr">
        <is>
          <t>LIG넥스원</t>
        </is>
      </c>
      <c r="N67" s="2" t="inlineStr">
        <is>
          <t>20260305901489</t>
        </is>
      </c>
      <c r="O67" s="8">
        <f>HYPERLINK("https://dart.fss.or.kr/dsaf001/main.do?rcpNo=20260305901489", "공시열람")</f>
        <v/>
      </c>
    </row>
    <row r="68" ht="36" customHeight="1">
      <c r="A68" s="2" t="inlineStr">
        <is>
          <t>2026-03-05 (정정: 2026-06-09)</t>
        </is>
      </c>
      <c r="B68" s="3" t="inlineStr">
        <is>
          <t>한국항공우주</t>
        </is>
      </c>
      <c r="C68" s="2" t="inlineStr">
        <is>
          <t>코스피</t>
        </is>
      </c>
      <c r="D68" s="2" t="inlineStr">
        <is>
          <t>047810</t>
        </is>
      </c>
      <c r="E68" s="2" t="inlineStr">
        <is>
          <t>단일판매공급계약체결</t>
        </is>
      </c>
      <c r="F68" s="3" t="inlineStr">
        <is>
          <t>[기재정정]단일판매ㆍ공급계약체결               (정정: 20260609)</t>
        </is>
      </c>
      <c r="G68" s="7" t="inlineStr">
        <is>
          <t>한국형전투기(KF-X) 체계개발사업 계약</t>
        </is>
      </c>
      <c r="H68" s="2" t="inlineStr">
        <is>
          <t>2015-12-28</t>
        </is>
      </c>
      <c r="I68" s="2" t="inlineStr">
        <is>
          <t>2026-06-30</t>
        </is>
      </c>
      <c r="J68" s="5" t="n">
        <v>7921000000000</v>
      </c>
      <c r="K68" s="2" t="inlineStr">
        <is>
          <t>-</t>
        </is>
      </c>
      <c r="L68" s="13" t="n">
        <v>342.2</v>
      </c>
      <c r="M68" s="7" t="inlineStr">
        <is>
          <t>대한민국 방위사업청</t>
        </is>
      </c>
      <c r="N68" s="2" t="inlineStr">
        <is>
          <t>20260609800875</t>
        </is>
      </c>
      <c r="O68" s="8">
        <f>HYPERLINK("https://dart.fss.or.kr/dsaf001/main.do?rcpNo=20260609800875", "공시열람")</f>
        <v/>
      </c>
    </row>
    <row r="69" ht="36" customHeight="1">
      <c r="A69" s="2" t="inlineStr">
        <is>
          <t>2026-03-05</t>
        </is>
      </c>
      <c r="B69" s="3" t="inlineStr">
        <is>
          <t>NPX</t>
        </is>
      </c>
      <c r="C69" s="2" t="inlineStr">
        <is>
          <t>코스닥</t>
        </is>
      </c>
      <c r="D69" s="2" t="inlineStr">
        <is>
          <t>222160</t>
        </is>
      </c>
      <c r="E69" s="2" t="inlineStr">
        <is>
          <t>단일판매공급계약체결</t>
        </is>
      </c>
      <c r="F69" s="3" t="inlineStr">
        <is>
          <t xml:space="preserve">단일판매ㆍ공급계약체결              </t>
        </is>
      </c>
      <c r="G69" s="7" t="inlineStr">
        <is>
          <t>BBT(Bare Board Tester)장비판매</t>
        </is>
      </c>
      <c r="H69" s="2" t="inlineStr">
        <is>
          <t>2026-02-27</t>
        </is>
      </c>
      <c r="I69" s="2" t="inlineStr">
        <is>
          <t>2026-12-31</t>
        </is>
      </c>
      <c r="J69" s="5" t="n">
        <v>4740000000</v>
      </c>
      <c r="K69" s="2" t="inlineStr">
        <is>
          <t>-</t>
        </is>
      </c>
      <c r="L69" s="13" t="n">
        <v>57.15</v>
      </c>
      <c r="M69" s="7" t="inlineStr">
        <is>
          <t>PCB제조업체</t>
        </is>
      </c>
      <c r="N69" s="2" t="inlineStr">
        <is>
          <t>20260305901448</t>
        </is>
      </c>
      <c r="O69" s="8">
        <f>HYPERLINK("https://dart.fss.or.kr/dsaf001/main.do?rcpNo=20260305901448", "공시열람")</f>
        <v/>
      </c>
    </row>
    <row r="70" ht="36" customHeight="1">
      <c r="A70" s="2" t="inlineStr">
        <is>
          <t>2026-03-06</t>
        </is>
      </c>
      <c r="B70" s="3" t="inlineStr">
        <is>
          <t>스페코</t>
        </is>
      </c>
      <c r="C70" s="2" t="inlineStr">
        <is>
          <t>코스닥</t>
        </is>
      </c>
      <c r="D70" s="2" t="inlineStr">
        <is>
          <t>013810</t>
        </is>
      </c>
      <c r="E70" s="2" t="inlineStr">
        <is>
          <t>단일판매공급계약체결</t>
        </is>
      </c>
      <c r="F70" s="3" t="inlineStr">
        <is>
          <t xml:space="preserve">단일판매ㆍ공급계약체결              </t>
        </is>
      </c>
      <c r="G70" s="7" t="inlineStr">
        <is>
          <t>아스팔트 배처플랜트 공급</t>
        </is>
      </c>
      <c r="H70" s="2" t="inlineStr">
        <is>
          <t>2026-03-05</t>
        </is>
      </c>
      <c r="I70" s="2" t="inlineStr">
        <is>
          <t>2026-07-31</t>
        </is>
      </c>
      <c r="J70" s="5" t="n">
        <v>4609506110</v>
      </c>
      <c r="K70" s="2" t="inlineStr">
        <is>
          <t>-</t>
        </is>
      </c>
      <c r="L70" s="13" t="n">
        <v>16.95</v>
      </c>
      <c r="M70" s="7" t="inlineStr">
        <is>
          <t>Ethiopian Roads Administration</t>
        </is>
      </c>
      <c r="N70" s="2" t="inlineStr">
        <is>
          <t>20260306901749</t>
        </is>
      </c>
      <c r="O70" s="8">
        <f>HYPERLINK("https://dart.fss.or.kr/dsaf001/main.do?rcpNo=20260306901749", "공시열람")</f>
        <v/>
      </c>
    </row>
    <row r="71" ht="36" customHeight="1">
      <c r="A71" s="2" t="inlineStr">
        <is>
          <t>2026-03-06 (정정: 2026-03-06)</t>
        </is>
      </c>
      <c r="B71" s="3" t="inlineStr">
        <is>
          <t>오브젠</t>
        </is>
      </c>
      <c r="C71" s="2" t="inlineStr">
        <is>
          <t>코스닥</t>
        </is>
      </c>
      <c r="D71" s="2" t="inlineStr">
        <is>
          <t>417860</t>
        </is>
      </c>
      <c r="E71" s="2" t="inlineStr">
        <is>
          <t>단일판매공급계약체결</t>
        </is>
      </c>
      <c r="F71" s="3" t="inlineStr">
        <is>
          <t xml:space="preserve">[기재정정]단일판매ㆍ공급계약체결              </t>
        </is>
      </c>
      <c r="G71" s="7" t="inlineStr">
        <is>
          <t>초개인화 마케팅 시스템 구축</t>
        </is>
      </c>
      <c r="H71" s="2" t="inlineStr">
        <is>
          <t>2026-03-05</t>
        </is>
      </c>
      <c r="I71" s="2" t="inlineStr">
        <is>
          <t>2026-11-04</t>
        </is>
      </c>
      <c r="J71" s="5" t="n">
        <v>1968088182</v>
      </c>
      <c r="K71" s="2" t="inlineStr">
        <is>
          <t>-</t>
        </is>
      </c>
      <c r="L71" s="13" t="n">
        <v>12.95</v>
      </c>
      <c r="M71" s="7" t="inlineStr">
        <is>
          <t>주식회사 경남은행</t>
        </is>
      </c>
      <c r="N71" s="2" t="inlineStr">
        <is>
          <t>20260306901621</t>
        </is>
      </c>
      <c r="O71" s="8">
        <f>HYPERLINK("https://dart.fss.or.kr/dsaf001/main.do?rcpNo=20260306901621", "공시열람")</f>
        <v/>
      </c>
    </row>
    <row r="72" ht="36" customHeight="1">
      <c r="A72" s="2" t="inlineStr">
        <is>
          <t>2026-03-06 (정정: 2026-06-30)</t>
        </is>
      </c>
      <c r="B72" s="3" t="inlineStr">
        <is>
          <t>세보엠이씨</t>
        </is>
      </c>
      <c r="C72" s="2" t="inlineStr">
        <is>
          <t>코스닥</t>
        </is>
      </c>
      <c r="D72" s="2" t="inlineStr">
        <is>
          <t>011560</t>
        </is>
      </c>
      <c r="E72" s="2" t="inlineStr">
        <is>
          <t>단일판매공급계약체결</t>
        </is>
      </c>
      <c r="F72" s="3" t="inlineStr">
        <is>
          <t>[기재정정]단일판매ㆍ공급계약체결(자율공시)               (정정: 20260630)</t>
        </is>
      </c>
      <c r="G72" s="7" t="inlineStr">
        <is>
          <t>청주 설비공사2</t>
        </is>
      </c>
      <c r="H72" s="2" t="inlineStr">
        <is>
          <t>2025-09-17</t>
        </is>
      </c>
      <c r="I72" s="2" t="inlineStr">
        <is>
          <t>2026-09-30</t>
        </is>
      </c>
      <c r="J72" s="5" t="n">
        <v>89979000000</v>
      </c>
      <c r="K72" s="2" t="inlineStr">
        <is>
          <t>-</t>
        </is>
      </c>
      <c r="L72" s="13" t="n">
        <v>11.4</v>
      </c>
      <c r="M72" s="7" t="inlineStr">
        <is>
          <t>에스케이에코플랜트</t>
        </is>
      </c>
      <c r="N72" s="2" t="inlineStr">
        <is>
          <t>20260630900621</t>
        </is>
      </c>
      <c r="O72" s="8">
        <f>HYPERLINK("https://dart.fss.or.kr/dsaf001/main.do?rcpNo=20260630900621", "공시열람")</f>
        <v/>
      </c>
    </row>
    <row r="73" ht="36" customHeight="1">
      <c r="A73" s="2" t="inlineStr">
        <is>
          <t>2026-03-06</t>
        </is>
      </c>
      <c r="B73" s="3" t="inlineStr">
        <is>
          <t>두산에너빌리티</t>
        </is>
      </c>
      <c r="C73" s="2" t="inlineStr">
        <is>
          <t>코스피</t>
        </is>
      </c>
      <c r="D73" s="2" t="inlineStr">
        <is>
          <t>034020</t>
        </is>
      </c>
      <c r="E73" s="2" t="inlineStr">
        <is>
          <t>단일판매공급계약체결</t>
        </is>
      </c>
      <c r="F73" s="3" t="inlineStr">
        <is>
          <t xml:space="preserve">단일판매ㆍ공급계약체결              </t>
        </is>
      </c>
      <c r="G73" s="7" t="inlineStr">
        <is>
          <t>두산 대형 가스터빈 패키지 공급계약</t>
        </is>
      </c>
      <c r="H73" s="2" t="inlineStr">
        <is>
          <t>2026-03-06</t>
        </is>
      </c>
      <c r="I73" s="2" t="inlineStr">
        <is>
          <t>2029-11-30</t>
        </is>
      </c>
      <c r="J73" s="5" t="inlineStr"/>
      <c r="K73" s="2" t="inlineStr">
        <is>
          <t>-</t>
        </is>
      </c>
      <c r="L73" s="3" t="inlineStr"/>
      <c r="M73" s="7" t="inlineStr">
        <is>
          <t>-</t>
        </is>
      </c>
      <c r="N73" s="2" t="inlineStr">
        <is>
          <t>20260306801165</t>
        </is>
      </c>
      <c r="O73" s="8">
        <f>HYPERLINK("https://dart.fss.or.kr/dsaf001/main.do?rcpNo=20260306801165", "공시열람")</f>
        <v/>
      </c>
    </row>
    <row r="74" ht="36" customHeight="1">
      <c r="A74" s="2" t="inlineStr">
        <is>
          <t>2026-03-06</t>
        </is>
      </c>
      <c r="B74" s="3" t="inlineStr">
        <is>
          <t>링크솔루션</t>
        </is>
      </c>
      <c r="C74" s="2" t="inlineStr">
        <is>
          <t>코스닥</t>
        </is>
      </c>
      <c r="D74" s="2" t="inlineStr">
        <is>
          <t>474650</t>
        </is>
      </c>
      <c r="E74" s="2" t="inlineStr">
        <is>
          <t>단일판매공급계약체결</t>
        </is>
      </c>
      <c r="F74" s="3" t="inlineStr">
        <is>
          <t xml:space="preserve">단일판매ㆍ공급계약체결              </t>
        </is>
      </c>
      <c r="G74" s="7" t="inlineStr">
        <is>
          <t>미터급 PBF 금속 적층제조 시스템</t>
        </is>
      </c>
      <c r="H74" s="2" t="inlineStr">
        <is>
          <t>2026-03-06</t>
        </is>
      </c>
      <c r="I74" s="2" t="inlineStr">
        <is>
          <t>2027-03-06</t>
        </is>
      </c>
      <c r="J74" s="5" t="n">
        <v>4703181818</v>
      </c>
      <c r="K74" s="2" t="inlineStr">
        <is>
          <t>-</t>
        </is>
      </c>
      <c r="L74" s="13" t="n">
        <v>42.04</v>
      </c>
      <c r="M74" s="7" t="inlineStr">
        <is>
          <t>대전지방조달청</t>
        </is>
      </c>
      <c r="N74" s="2" t="inlineStr">
        <is>
          <t>20260306900745</t>
        </is>
      </c>
      <c r="O74" s="8">
        <f>HYPERLINK("https://dart.fss.or.kr/dsaf001/main.do?rcpNo=20260306900745", "공시열람")</f>
        <v/>
      </c>
    </row>
    <row r="75" ht="36" customHeight="1">
      <c r="A75" s="2" t="inlineStr">
        <is>
          <t>2025-03-31 (정정: 2026-03-06)</t>
        </is>
      </c>
      <c r="B75" s="3" t="inlineStr">
        <is>
          <t>자비스</t>
        </is>
      </c>
      <c r="C75" s="2" t="inlineStr">
        <is>
          <t>코스닥</t>
        </is>
      </c>
      <c r="D75" s="2" t="inlineStr">
        <is>
          <t>254120</t>
        </is>
      </c>
      <c r="E75" s="2" t="inlineStr">
        <is>
          <t>단일판매공급계약체결</t>
        </is>
      </c>
      <c r="F75" s="3" t="inlineStr">
        <is>
          <t xml:space="preserve">[기재정정]단일판매ㆍ공급계약체결              </t>
        </is>
      </c>
      <c r="G75" s="7" t="inlineStr">
        <is>
          <t>2차전지용 CT 및 이물 X-ray 검사장비</t>
        </is>
      </c>
      <c r="H75" s="2" t="inlineStr">
        <is>
          <t>2025-03-28</t>
        </is>
      </c>
      <c r="I75" s="2" t="inlineStr">
        <is>
          <t>2029-01-31</t>
        </is>
      </c>
      <c r="J75" s="5" t="n">
        <v>7709641613</v>
      </c>
      <c r="K75" s="2" t="inlineStr">
        <is>
          <t>-</t>
        </is>
      </c>
      <c r="L75" s="13" t="n">
        <v>20.5</v>
      </c>
      <c r="M75" s="7" t="inlineStr">
        <is>
          <t>글로벌 2차전지 제조사</t>
        </is>
      </c>
      <c r="N75" s="2" t="inlineStr">
        <is>
          <t>20260306900710</t>
        </is>
      </c>
      <c r="O75" s="8">
        <f>HYPERLINK("https://dart.fss.or.kr/dsaf001/main.do?rcpNo=20260306900710", "공시열람")</f>
        <v/>
      </c>
    </row>
    <row r="76" ht="36" customHeight="1">
      <c r="A76" s="2" t="inlineStr">
        <is>
          <t>2026-03-06 (정정: 2026-03-10)</t>
        </is>
      </c>
      <c r="B76" s="3" t="inlineStr">
        <is>
          <t>HJ중공업</t>
        </is>
      </c>
      <c r="C76" s="2" t="inlineStr">
        <is>
          <t>코스피</t>
        </is>
      </c>
      <c r="D76" s="2" t="inlineStr">
        <is>
          <t>097230</t>
        </is>
      </c>
      <c r="E76" s="2" t="inlineStr">
        <is>
          <t>단일판매공급계약체결</t>
        </is>
      </c>
      <c r="F76" s="3" t="inlineStr">
        <is>
          <t>단일판매ㆍ공급계약체결               (정정: 20260310)</t>
        </is>
      </c>
      <c r="G76" s="7" t="inlineStr">
        <is>
          <t>보령신복합 1호기 건설공사</t>
        </is>
      </c>
      <c r="H76" s="2" t="inlineStr">
        <is>
          <t>2023-09-18</t>
        </is>
      </c>
      <c r="I76" s="2" t="inlineStr">
        <is>
          <t>2026-12-31</t>
        </is>
      </c>
      <c r="J76" s="5" t="n">
        <v>228177315658</v>
      </c>
      <c r="K76" s="2" t="inlineStr">
        <is>
          <t>-</t>
        </is>
      </c>
      <c r="L76" s="13" t="n">
        <v>12.76</v>
      </c>
      <c r="M76" s="7" t="inlineStr">
        <is>
          <t>한국중부발전㈜</t>
        </is>
      </c>
      <c r="N76" s="2" t="inlineStr">
        <is>
          <t>20260310800658</t>
        </is>
      </c>
      <c r="O76" s="8">
        <f>HYPERLINK("https://dart.fss.or.kr/dsaf001/main.do?rcpNo=20260310800658", "공시열람")</f>
        <v/>
      </c>
    </row>
    <row r="77" ht="36" customHeight="1">
      <c r="A77" s="2" t="inlineStr">
        <is>
          <t>2026-03-06 (정정: 2026-06-05)</t>
        </is>
      </c>
      <c r="B77" s="3" t="inlineStr">
        <is>
          <t>한텍</t>
        </is>
      </c>
      <c r="C77" s="2" t="inlineStr">
        <is>
          <t>코스닥</t>
        </is>
      </c>
      <c r="D77" s="2" t="inlineStr">
        <is>
          <t>098070</t>
        </is>
      </c>
      <c r="E77" s="2" t="inlineStr">
        <is>
          <t>단일판매공급계약체결</t>
        </is>
      </c>
      <c r="F77" s="3" t="inlineStr">
        <is>
          <t>[기재정정]단일판매ㆍ공급계약체결               (정정: 20260605)</t>
        </is>
      </c>
      <c r="G77" s="7" t="inlineStr">
        <is>
          <t>북미향 열교환기 외 공급계약</t>
        </is>
      </c>
      <c r="H77" s="2" t="inlineStr">
        <is>
          <t>2026-01-27</t>
        </is>
      </c>
      <c r="I77" s="2" t="inlineStr">
        <is>
          <t>2027-12-31</t>
        </is>
      </c>
      <c r="J77" s="5" t="n">
        <v>28812716000</v>
      </c>
      <c r="K77" s="2" t="inlineStr">
        <is>
          <t>-</t>
        </is>
      </c>
      <c r="L77" s="13" t="n">
        <v>18.48</v>
      </c>
      <c r="M77" s="7" t="inlineStr">
        <is>
          <t>Shintech Louisiana, LLC</t>
        </is>
      </c>
      <c r="N77" s="2" t="inlineStr">
        <is>
          <t>20260605900385</t>
        </is>
      </c>
      <c r="O77" s="8">
        <f>HYPERLINK("https://dart.fss.or.kr/dsaf001/main.do?rcpNo=20260605900385", "공시열람")</f>
        <v/>
      </c>
    </row>
    <row r="78" ht="36" customHeight="1">
      <c r="A78" s="2" t="inlineStr">
        <is>
          <t>2026-03-06</t>
        </is>
      </c>
      <c r="B78" s="3" t="inlineStr">
        <is>
          <t>오브젠</t>
        </is>
      </c>
      <c r="C78" s="2" t="inlineStr">
        <is>
          <t>코스닥</t>
        </is>
      </c>
      <c r="D78" s="2" t="inlineStr">
        <is>
          <t>417860</t>
        </is>
      </c>
      <c r="E78" s="2" t="inlineStr">
        <is>
          <t>단일판매공급계약체결</t>
        </is>
      </c>
      <c r="F78" s="3" t="inlineStr">
        <is>
          <t xml:space="preserve">단일판매ㆍ공급계약체결              </t>
        </is>
      </c>
      <c r="G78" s="7" t="inlineStr">
        <is>
          <t>초개인화 마케팅 시스템 구축</t>
        </is>
      </c>
      <c r="H78" s="2" t="inlineStr">
        <is>
          <t>2026-03-05</t>
        </is>
      </c>
      <c r="I78" s="2" t="inlineStr">
        <is>
          <t>2026-11-04</t>
        </is>
      </c>
      <c r="J78" s="5" t="n">
        <v>1968088182</v>
      </c>
      <c r="K78" s="2" t="inlineStr">
        <is>
          <t>-</t>
        </is>
      </c>
      <c r="L78" s="13" t="n">
        <v>12.95</v>
      </c>
      <c r="M78" s="7" t="inlineStr">
        <is>
          <t>주식회사 경남은행</t>
        </is>
      </c>
      <c r="N78" s="2" t="inlineStr">
        <is>
          <t>20260306900451</t>
        </is>
      </c>
      <c r="O78" s="8">
        <f>HYPERLINK("https://dart.fss.or.kr/dsaf001/main.do?rcpNo=20260306900451", "공시열람")</f>
        <v/>
      </c>
    </row>
    <row r="79" ht="36" customHeight="1">
      <c r="A79" s="2" t="inlineStr">
        <is>
          <t>2026-03-06</t>
        </is>
      </c>
      <c r="B79" s="3" t="inlineStr">
        <is>
          <t>HD현대</t>
        </is>
      </c>
      <c r="C79" s="2" t="inlineStr">
        <is>
          <t>코스피</t>
        </is>
      </c>
      <c r="D79" s="2" t="inlineStr">
        <is>
          <t>267250</t>
        </is>
      </c>
      <c r="E79" s="2" t="inlineStr">
        <is>
          <t>단일판매공급계약체결</t>
        </is>
      </c>
      <c r="F79" s="3" t="inlineStr">
        <is>
          <t xml:space="preserve">단일판매ㆍ공급계약체결(자회사의 주요경영사항)              </t>
        </is>
      </c>
      <c r="G79" s="7" t="inlineStr">
        <is>
          <t>157,000 DWT 원유운반선 2척</t>
        </is>
      </c>
      <c r="H79" s="2" t="inlineStr">
        <is>
          <t>2026-03-05</t>
        </is>
      </c>
      <c r="I79" s="2" t="inlineStr">
        <is>
          <t>2029-05-31</t>
        </is>
      </c>
      <c r="J79" s="5" t="n">
        <v>263200000000</v>
      </c>
      <c r="K79" s="2" t="inlineStr">
        <is>
          <t>-</t>
        </is>
      </c>
      <c r="L79" s="13" t="n">
        <v>3.76</v>
      </c>
      <c r="M79" s="7" t="inlineStr">
        <is>
          <t>그리스 소재 선주</t>
        </is>
      </c>
      <c r="N79" s="2" t="inlineStr">
        <is>
          <t>20260306800235</t>
        </is>
      </c>
      <c r="O79" s="8">
        <f>HYPERLINK("https://dart.fss.or.kr/dsaf001/main.do?rcpNo=20260306800235", "공시열람")</f>
        <v/>
      </c>
    </row>
    <row r="80" ht="36" customHeight="1">
      <c r="A80" s="2" t="inlineStr">
        <is>
          <t>2026-03-06</t>
        </is>
      </c>
      <c r="B80" s="3" t="inlineStr">
        <is>
          <t>HD한국조선해양</t>
        </is>
      </c>
      <c r="C80" s="2" t="inlineStr">
        <is>
          <t>코스피</t>
        </is>
      </c>
      <c r="D80" s="2" t="inlineStr">
        <is>
          <t>009540</t>
        </is>
      </c>
      <c r="E80" s="2" t="inlineStr">
        <is>
          <t>단일판매공급계약체결</t>
        </is>
      </c>
      <c r="F80" s="3" t="inlineStr">
        <is>
          <t xml:space="preserve">단일판매ㆍ공급계약체결(자회사의 주요경영사항)              </t>
        </is>
      </c>
      <c r="G80" s="7" t="inlineStr">
        <is>
          <t>157,000 DWT 원유운반선 2척</t>
        </is>
      </c>
      <c r="H80" s="2" t="inlineStr">
        <is>
          <t>2026-03-05</t>
        </is>
      </c>
      <c r="I80" s="2" t="inlineStr">
        <is>
          <t>2029-05-31</t>
        </is>
      </c>
      <c r="J80" s="5" t="n">
        <v>263200000000</v>
      </c>
      <c r="K80" s="2" t="inlineStr">
        <is>
          <t>-</t>
        </is>
      </c>
      <c r="L80" s="13" t="n">
        <v>3.76</v>
      </c>
      <c r="M80" s="7" t="inlineStr">
        <is>
          <t>그리스 소재 선주</t>
        </is>
      </c>
      <c r="N80" s="2" t="inlineStr">
        <is>
          <t>20260306800225</t>
        </is>
      </c>
      <c r="O80" s="8">
        <f>HYPERLINK("https://dart.fss.or.kr/dsaf001/main.do?rcpNo=20260306800225", "공시열람")</f>
        <v/>
      </c>
    </row>
    <row r="81" ht="36" customHeight="1">
      <c r="A81" s="2" t="inlineStr">
        <is>
          <t>2025-03-05 (정정: 2026-03-06)</t>
        </is>
      </c>
      <c r="B81" s="3" t="inlineStr">
        <is>
          <t>한화엔진</t>
        </is>
      </c>
      <c r="C81" s="2" t="inlineStr">
        <is>
          <t>코스피</t>
        </is>
      </c>
      <c r="D81" s="2" t="inlineStr">
        <is>
          <t>082740</t>
        </is>
      </c>
      <c r="E81" s="2" t="inlineStr">
        <is>
          <t>단일판매공급계약체결</t>
        </is>
      </c>
      <c r="F81" s="3" t="inlineStr">
        <is>
          <t xml:space="preserve">[기재정정]단일판매ㆍ공급계약체결              </t>
        </is>
      </c>
      <c r="G81" s="7" t="inlineStr">
        <is>
          <t>선박용 엔진</t>
        </is>
      </c>
      <c r="H81" s="2" t="inlineStr">
        <is>
          <t>2025-03-05</t>
        </is>
      </c>
      <c r="I81" s="2" t="inlineStr">
        <is>
          <t>2029-06-03</t>
        </is>
      </c>
      <c r="J81" s="5" t="n">
        <v>216000000000</v>
      </c>
      <c r="K81" s="2" t="inlineStr">
        <is>
          <t>-</t>
        </is>
      </c>
      <c r="L81" s="13" t="n">
        <v>25.3</v>
      </c>
      <c r="M81" s="7" t="inlineStr">
        <is>
          <t>New Times Shipbuilding Co,. Ltd.</t>
        </is>
      </c>
      <c r="N81" s="2" t="inlineStr">
        <is>
          <t>20260306800134</t>
        </is>
      </c>
      <c r="O81" s="8">
        <f>HYPERLINK("https://dart.fss.or.kr/dsaf001/main.do?rcpNo=20260306800134", "공시열람")</f>
        <v/>
      </c>
    </row>
    <row r="82" ht="36" customHeight="1">
      <c r="A82" s="2" t="inlineStr">
        <is>
          <t>2025-02-27 (정정: 2026-03-09)</t>
        </is>
      </c>
      <c r="B82" s="3" t="inlineStr">
        <is>
          <t>셀피글로벌</t>
        </is>
      </c>
      <c r="C82" s="2" t="inlineStr">
        <is>
          <t>코스닥</t>
        </is>
      </c>
      <c r="D82" s="2" t="inlineStr">
        <is>
          <t>068940</t>
        </is>
      </c>
      <c r="E82" s="2" t="inlineStr">
        <is>
          <t>단일판매공급계약체결</t>
        </is>
      </c>
      <c r="F82" s="3" t="inlineStr">
        <is>
          <t xml:space="preserve">[기재정정]단일판매ㆍ공급계약체결              </t>
        </is>
      </c>
      <c r="G82" s="7" t="inlineStr">
        <is>
          <t>2025년 IC카드자재 연간단가 계약</t>
        </is>
      </c>
      <c r="H82" s="2" t="inlineStr">
        <is>
          <t>2025-03-01</t>
        </is>
      </c>
      <c r="I82" s="2" t="inlineStr">
        <is>
          <t>2026-02-28</t>
        </is>
      </c>
      <c r="J82" s="5" t="n">
        <v>8735712565</v>
      </c>
      <c r="K82" s="2" t="inlineStr">
        <is>
          <t>-</t>
        </is>
      </c>
      <c r="L82" s="13" t="n">
        <v>25.29</v>
      </c>
      <c r="M82" s="7" t="inlineStr">
        <is>
          <t>주식회사 KB국민카드</t>
        </is>
      </c>
      <c r="N82" s="2" t="inlineStr">
        <is>
          <t>20260309901290</t>
        </is>
      </c>
      <c r="O82" s="8">
        <f>HYPERLINK("https://dart.fss.or.kr/dsaf001/main.do?rcpNo=20260309901290", "공시열람")</f>
        <v/>
      </c>
    </row>
    <row r="83" ht="36" customHeight="1">
      <c r="A83" s="2" t="inlineStr">
        <is>
          <t>2026-03-10</t>
        </is>
      </c>
      <c r="B83" s="3" t="inlineStr">
        <is>
          <t>제노코</t>
        </is>
      </c>
      <c r="C83" s="2" t="inlineStr">
        <is>
          <t>코스닥</t>
        </is>
      </c>
      <c r="D83" s="2" t="inlineStr">
        <is>
          <t>361390</t>
        </is>
      </c>
      <c r="E83" s="2" t="inlineStr">
        <is>
          <t>단일판매공급계약체결</t>
        </is>
      </c>
      <c r="F83" s="3" t="inlineStr">
        <is>
          <t xml:space="preserve">단일판매ㆍ공급계약체결(자율공시)              </t>
        </is>
      </c>
      <c r="G83" s="7" t="inlineStr">
        <is>
          <t>[항공전자]SATURN(LAH-1) 성능개량사업 AIU 개조개발 건</t>
        </is>
      </c>
      <c r="H83" s="2" t="inlineStr">
        <is>
          <t>2026-03-09</t>
        </is>
      </c>
      <c r="I83" s="2" t="inlineStr">
        <is>
          <t>2029-03-31</t>
        </is>
      </c>
      <c r="J83" s="5" t="n">
        <v>2846217300</v>
      </c>
      <c r="K83" s="2" t="inlineStr">
        <is>
          <t>-</t>
        </is>
      </c>
      <c r="L83" s="13" t="n">
        <v>5.01</v>
      </c>
      <c r="M83" s="7" t="inlineStr">
        <is>
          <t>한국항공우주산업주식회사</t>
        </is>
      </c>
      <c r="N83" s="2" t="inlineStr">
        <is>
          <t>20260310901905</t>
        </is>
      </c>
      <c r="O83" s="8">
        <f>HYPERLINK("https://dart.fss.or.kr/dsaf001/main.do?rcpNo=20260310901905", "공시열람")</f>
        <v/>
      </c>
    </row>
    <row r="84" ht="36" customHeight="1">
      <c r="A84" s="2" t="inlineStr">
        <is>
          <t>2026-03-10</t>
        </is>
      </c>
      <c r="B84" s="3" t="inlineStr">
        <is>
          <t>플래스크</t>
        </is>
      </c>
      <c r="C84" s="2" t="inlineStr">
        <is>
          <t>코스닥</t>
        </is>
      </c>
      <c r="D84" s="2" t="inlineStr">
        <is>
          <t>041590</t>
        </is>
      </c>
      <c r="E84" s="2" t="inlineStr">
        <is>
          <t>단일판매공급계약체결</t>
        </is>
      </c>
      <c r="F84" s="3" t="inlineStr">
        <is>
          <t xml:space="preserve">단일판매ㆍ공급계약해지              </t>
        </is>
      </c>
      <c r="G84" s="7" t="inlineStr">
        <is>
          <t>-</t>
        </is>
      </c>
      <c r="H84" s="2" t="inlineStr">
        <is>
          <t>2024-10-07</t>
        </is>
      </c>
      <c r="I84" s="2" t="inlineStr">
        <is>
          <t>2026-03-10</t>
        </is>
      </c>
      <c r="J84" s="5" t="inlineStr"/>
      <c r="K84" s="2" t="inlineStr">
        <is>
          <t>-</t>
        </is>
      </c>
      <c r="L84" s="13" t="n">
        <v>48.9</v>
      </c>
      <c r="M84" s="7" t="inlineStr">
        <is>
          <t>현대빌딩사업단 주식회사</t>
        </is>
      </c>
      <c r="N84" s="2" t="inlineStr">
        <is>
          <t>20260310901804</t>
        </is>
      </c>
      <c r="O84" s="8">
        <f>HYPERLINK("https://dart.fss.or.kr/dsaf001/main.do?rcpNo=20260310901804", "공시열람")</f>
        <v/>
      </c>
    </row>
    <row r="85" ht="36" customHeight="1">
      <c r="A85" s="2" t="inlineStr">
        <is>
          <t>2026-03-10</t>
        </is>
      </c>
      <c r="B85" s="3" t="inlineStr">
        <is>
          <t>테라뷰</t>
        </is>
      </c>
      <c r="C85" s="2" t="inlineStr">
        <is>
          <t>코스닥</t>
        </is>
      </c>
      <c r="D85" s="2" t="inlineStr">
        <is>
          <t>950250</t>
        </is>
      </c>
      <c r="E85" s="2" t="inlineStr">
        <is>
          <t>단일판매공급계약체결</t>
        </is>
      </c>
      <c r="F85" s="3" t="inlineStr">
        <is>
          <t xml:space="preserve">단일판매ㆍ공급계약체결              </t>
        </is>
      </c>
      <c r="G85" s="7" t="inlineStr">
        <is>
          <t>반도체 검사장비</t>
        </is>
      </c>
      <c r="H85" s="2" t="inlineStr">
        <is>
          <t>2026-03-09</t>
        </is>
      </c>
      <c r="I85" s="2" t="inlineStr">
        <is>
          <t>2027-02-01</t>
        </is>
      </c>
      <c r="J85" s="5" t="n">
        <v>1373652000</v>
      </c>
      <c r="K85" s="2" t="inlineStr">
        <is>
          <t>-</t>
        </is>
      </c>
      <c r="L85" s="13" t="n">
        <v>18.12</v>
      </c>
      <c r="M85" s="7" t="inlineStr">
        <is>
          <t>공시유보(해외)</t>
        </is>
      </c>
      <c r="N85" s="2" t="inlineStr">
        <is>
          <t>20260310901555</t>
        </is>
      </c>
      <c r="O85" s="8">
        <f>HYPERLINK("https://dart.fss.or.kr/dsaf001/main.do?rcpNo=20260310901555", "공시열람")</f>
        <v/>
      </c>
    </row>
    <row r="86" ht="36" customHeight="1">
      <c r="A86" s="2" t="inlineStr">
        <is>
          <t>2026-03-10 (정정: 2026-06-30)</t>
        </is>
      </c>
      <c r="B86" s="3" t="inlineStr">
        <is>
          <t>티에스아이</t>
        </is>
      </c>
      <c r="C86" s="2" t="inlineStr">
        <is>
          <t>코스닥</t>
        </is>
      </c>
      <c r="D86" s="2" t="inlineStr">
        <is>
          <t>277880</t>
        </is>
      </c>
      <c r="E86" s="2" t="inlineStr">
        <is>
          <t>단일판매공급계약체결</t>
        </is>
      </c>
      <c r="F86" s="3" t="inlineStr">
        <is>
          <t>단일판매ㆍ공급계약체결               (정정: 20260416) (정정: 20260520) (정정: 20260615) (정정: 20260623) (정정: 20260626) (정정: 20260630)</t>
        </is>
      </c>
      <c r="G86" s="7" t="inlineStr">
        <is>
          <t>2차전지 믹싱시스템</t>
        </is>
      </c>
      <c r="H86" s="2" t="inlineStr">
        <is>
          <t>2023-03-03</t>
        </is>
      </c>
      <c r="I86" s="2" t="inlineStr">
        <is>
          <t>2026-11-30</t>
        </is>
      </c>
      <c r="J86" s="5" t="n">
        <v>15655620000</v>
      </c>
      <c r="K86" s="2" t="inlineStr">
        <is>
          <t>-</t>
        </is>
      </c>
      <c r="L86" s="13" t="n">
        <v>23.25</v>
      </c>
      <c r="M86" s="7" t="inlineStr">
        <is>
          <t>국내 이차전지 기업</t>
        </is>
      </c>
      <c r="N86" s="2" t="inlineStr">
        <is>
          <t>20260630900712</t>
        </is>
      </c>
      <c r="O86" s="8">
        <f>HYPERLINK("https://dart.fss.or.kr/dsaf001/main.do?rcpNo=20260630900712", "공시열람")</f>
        <v/>
      </c>
    </row>
    <row r="87" ht="36" customHeight="1">
      <c r="A87" s="2" t="inlineStr">
        <is>
          <t>2026-03-10</t>
        </is>
      </c>
      <c r="B87" s="3" t="inlineStr">
        <is>
          <t>펨트론</t>
        </is>
      </c>
      <c r="C87" s="2" t="inlineStr">
        <is>
          <t>코스닥</t>
        </is>
      </c>
      <c r="D87" s="2" t="inlineStr">
        <is>
          <t>168360</t>
        </is>
      </c>
      <c r="E87" s="2" t="inlineStr">
        <is>
          <t>단일판매공급계약체결</t>
        </is>
      </c>
      <c r="F87" s="3" t="inlineStr">
        <is>
          <t xml:space="preserve">단일판매ㆍ공급계약체결(자율공시)              </t>
        </is>
      </c>
      <c r="G87" s="7" t="inlineStr">
        <is>
          <t>SMT 검사장비 공급계약 체결</t>
        </is>
      </c>
      <c r="H87" s="2" t="inlineStr">
        <is>
          <t>2026-03-10</t>
        </is>
      </c>
      <c r="I87" s="2" t="inlineStr">
        <is>
          <t>2026-09-30</t>
        </is>
      </c>
      <c r="J87" s="5" t="n">
        <v>5273629200</v>
      </c>
      <c r="K87" s="2" t="inlineStr">
        <is>
          <t>-</t>
        </is>
      </c>
      <c r="L87" s="13" t="n">
        <v>9.25</v>
      </c>
      <c r="M87" s="7" t="inlineStr">
        <is>
          <t>KTG INTERNATIONAL CORPORATION</t>
        </is>
      </c>
      <c r="N87" s="2" t="inlineStr">
        <is>
          <t>20260310900808</t>
        </is>
      </c>
      <c r="O87" s="8">
        <f>HYPERLINK("https://dart.fss.or.kr/dsaf001/main.do?rcpNo=20260310900808", "공시열람")</f>
        <v/>
      </c>
    </row>
    <row r="88" ht="36" customHeight="1">
      <c r="A88" s="2" t="inlineStr">
        <is>
          <t>2026-03-10</t>
        </is>
      </c>
      <c r="B88" s="3" t="inlineStr">
        <is>
          <t>동아쏘시오홀딩스</t>
        </is>
      </c>
      <c r="C88" s="2" t="inlineStr">
        <is>
          <t>코스피</t>
        </is>
      </c>
      <c r="D88" s="2" t="inlineStr">
        <is>
          <t>000640</t>
        </is>
      </c>
      <c r="E88" s="2" t="inlineStr">
        <is>
          <t>단일판매공급계약체결</t>
        </is>
      </c>
      <c r="F88" s="3" t="inlineStr">
        <is>
          <t xml:space="preserve">단일판매ㆍ공급계약체결(자회사의 주요경영사항)              </t>
        </is>
      </c>
      <c r="G88" s="7" t="inlineStr">
        <is>
          <t>의약품 위탁생산계약</t>
        </is>
      </c>
      <c r="H88" s="2" t="inlineStr">
        <is>
          <t>2026-03-10</t>
        </is>
      </c>
      <c r="I88" s="2" t="inlineStr">
        <is>
          <t>2027-03-31</t>
        </is>
      </c>
      <c r="J88" s="5" t="n">
        <v>7068000000</v>
      </c>
      <c r="K88" s="2" t="inlineStr">
        <is>
          <t>-</t>
        </is>
      </c>
      <c r="L88" s="13" t="n">
        <v>12</v>
      </c>
      <c r="M88" s="7" t="inlineStr">
        <is>
          <t>-</t>
        </is>
      </c>
      <c r="N88" s="2" t="inlineStr">
        <is>
          <t>20260310800724</t>
        </is>
      </c>
      <c r="O88" s="8">
        <f>HYPERLINK("https://dart.fss.or.kr/dsaf001/main.do?rcpNo=20260310800724", "공시열람")</f>
        <v/>
      </c>
    </row>
    <row r="89" ht="36" customHeight="1">
      <c r="A89" s="2" t="inlineStr">
        <is>
          <t>2026-03-10 (정정: 2026-03-10)</t>
        </is>
      </c>
      <c r="B89" s="3" t="inlineStr">
        <is>
          <t>위세아이텍</t>
        </is>
      </c>
      <c r="C89" s="2" t="inlineStr">
        <is>
          <t>코스닥</t>
        </is>
      </c>
      <c r="D89" s="2" t="inlineStr">
        <is>
          <t>065370</t>
        </is>
      </c>
      <c r="E89" s="2" t="inlineStr">
        <is>
          <t>단일판매공급계약체결</t>
        </is>
      </c>
      <c r="F89" s="3" t="inlineStr">
        <is>
          <t xml:space="preserve">[기재정정]단일판매ㆍ공급계약체결              </t>
        </is>
      </c>
      <c r="G89" s="7" t="inlineStr">
        <is>
          <t>한국은행 IT 통합 운영용역</t>
        </is>
      </c>
      <c r="H89" s="2" t="inlineStr">
        <is>
          <t>2023-04-01</t>
        </is>
      </c>
      <c r="I89" s="2" t="inlineStr">
        <is>
          <t>2026-04-30</t>
        </is>
      </c>
      <c r="J89" s="5" t="n">
        <v>6516154000</v>
      </c>
      <c r="K89" s="2" t="inlineStr">
        <is>
          <t>-</t>
        </is>
      </c>
      <c r="L89" s="13" t="n">
        <v>19.13</v>
      </c>
      <c r="M89" s="7" t="inlineStr">
        <is>
          <t>(주)엘지씨엔에스</t>
        </is>
      </c>
      <c r="N89" s="2" t="inlineStr">
        <is>
          <t>20260310900684</t>
        </is>
      </c>
      <c r="O89" s="8">
        <f>HYPERLINK("https://dart.fss.or.kr/dsaf001/main.do?rcpNo=20260310900684", "공시열람")</f>
        <v/>
      </c>
    </row>
    <row r="90" ht="36" customHeight="1">
      <c r="A90" s="2" t="inlineStr">
        <is>
          <t>2026-03-10</t>
        </is>
      </c>
      <c r="B90" s="3" t="inlineStr">
        <is>
          <t>테스</t>
        </is>
      </c>
      <c r="C90" s="2" t="inlineStr">
        <is>
          <t>코스닥</t>
        </is>
      </c>
      <c r="D90" s="2" t="inlineStr">
        <is>
          <t>095610</t>
        </is>
      </c>
      <c r="E90" s="2" t="inlineStr">
        <is>
          <t>단일판매공급계약체결</t>
        </is>
      </c>
      <c r="F90" s="3" t="inlineStr">
        <is>
          <t xml:space="preserve">단일판매ㆍ공급계약체결(자율공시)              </t>
        </is>
      </c>
      <c r="G90" s="7" t="inlineStr">
        <is>
          <t>반도체 제조장비</t>
        </is>
      </c>
      <c r="H90" s="2" t="inlineStr">
        <is>
          <t>2026-03-09</t>
        </is>
      </c>
      <c r="I90" s="2" t="inlineStr">
        <is>
          <t>2026-06-30</t>
        </is>
      </c>
      <c r="J90" s="5" t="n">
        <v>19902000000</v>
      </c>
      <c r="K90" s="2" t="inlineStr">
        <is>
          <t>-</t>
        </is>
      </c>
      <c r="L90" s="13" t="n">
        <v>8.289999999999999</v>
      </c>
      <c r="M90" s="7" t="inlineStr">
        <is>
          <t>SK하이닉스</t>
        </is>
      </c>
      <c r="N90" s="2" t="inlineStr">
        <is>
          <t>20260310900617</t>
        </is>
      </c>
      <c r="O90" s="8">
        <f>HYPERLINK("https://dart.fss.or.kr/dsaf001/main.do?rcpNo=20260310900617", "공시열람")</f>
        <v/>
      </c>
    </row>
    <row r="91" ht="36" customHeight="1">
      <c r="A91" s="2" t="inlineStr">
        <is>
          <t>2026-03-10</t>
        </is>
      </c>
      <c r="B91" s="3" t="inlineStr">
        <is>
          <t>삼성중공업</t>
        </is>
      </c>
      <c r="C91" s="2" t="inlineStr">
        <is>
          <t>코스피</t>
        </is>
      </c>
      <c r="D91" s="2" t="inlineStr">
        <is>
          <t>010140</t>
        </is>
      </c>
      <c r="E91" s="2" t="inlineStr">
        <is>
          <t>단일판매공급계약체결</t>
        </is>
      </c>
      <c r="F91" s="3" t="inlineStr">
        <is>
          <t xml:space="preserve">단일판매ㆍ공급계약체결              </t>
        </is>
      </c>
      <c r="G91" s="7" t="inlineStr">
        <is>
          <t>유조선 3척</t>
        </is>
      </c>
      <c r="H91" s="2" t="inlineStr">
        <is>
          <t>2026-03-10</t>
        </is>
      </c>
      <c r="I91" s="2" t="inlineStr">
        <is>
          <t>2029-02-28</t>
        </is>
      </c>
      <c r="J91" s="5" t="n">
        <v>400100000000</v>
      </c>
      <c r="K91" s="2" t="inlineStr">
        <is>
          <t>-</t>
        </is>
      </c>
      <c r="L91" s="13" t="n">
        <v>4</v>
      </c>
      <c r="M91" s="7" t="inlineStr">
        <is>
          <t>버뮤다 지역 선주</t>
        </is>
      </c>
      <c r="N91" s="2" t="inlineStr">
        <is>
          <t>20260310800545</t>
        </is>
      </c>
      <c r="O91" s="8">
        <f>HYPERLINK("https://dart.fss.or.kr/dsaf001/main.do?rcpNo=20260310800545", "공시열람")</f>
        <v/>
      </c>
    </row>
    <row r="92" ht="36" customHeight="1">
      <c r="A92" s="2" t="inlineStr">
        <is>
          <t>2026-03-10</t>
        </is>
      </c>
      <c r="B92" s="3" t="inlineStr">
        <is>
          <t>케이씨텍</t>
        </is>
      </c>
      <c r="C92" s="2" t="inlineStr">
        <is>
          <t>코스피</t>
        </is>
      </c>
      <c r="D92" s="2" t="inlineStr">
        <is>
          <t>281820</t>
        </is>
      </c>
      <c r="E92" s="2" t="inlineStr">
        <is>
          <t>단일판매공급계약체결</t>
        </is>
      </c>
      <c r="F92" s="3" t="inlineStr">
        <is>
          <t xml:space="preserve">단일판매ㆍ공급계약체결              </t>
        </is>
      </c>
      <c r="G92" s="7" t="inlineStr">
        <is>
          <t>반도체 제조 장비</t>
        </is>
      </c>
      <c r="H92" s="2" t="inlineStr">
        <is>
          <t>2026-03-09</t>
        </is>
      </c>
      <c r="I92" s="2" t="inlineStr">
        <is>
          <t>2026-10-06</t>
        </is>
      </c>
      <c r="J92" s="5" t="n">
        <v>69843180000</v>
      </c>
      <c r="K92" s="2" t="inlineStr">
        <is>
          <t>-</t>
        </is>
      </c>
      <c r="L92" s="13" t="n">
        <v>18.12</v>
      </c>
      <c r="M92" s="7" t="inlineStr">
        <is>
          <t>SK하이닉스</t>
        </is>
      </c>
      <c r="N92" s="2" t="inlineStr">
        <is>
          <t>20260310800515</t>
        </is>
      </c>
      <c r="O92" s="8">
        <f>HYPERLINK("https://dart.fss.or.kr/dsaf001/main.do?rcpNo=20260310800515", "공시열람")</f>
        <v/>
      </c>
    </row>
    <row r="93" ht="36" customHeight="1">
      <c r="A93" s="2" t="inlineStr">
        <is>
          <t>2026-03-10</t>
        </is>
      </c>
      <c r="B93" s="3" t="inlineStr">
        <is>
          <t>위드텍</t>
        </is>
      </c>
      <c r="C93" s="2" t="inlineStr">
        <is>
          <t>코스닥</t>
        </is>
      </c>
      <c r="D93" s="2" t="inlineStr">
        <is>
          <t>348350</t>
        </is>
      </c>
      <c r="E93" s="2" t="inlineStr">
        <is>
          <t>단일판매공급계약체결</t>
        </is>
      </c>
      <c r="F93" s="3" t="inlineStr">
        <is>
          <t xml:space="preserve">단일판매ㆍ공급계약체결(자율공시)              </t>
        </is>
      </c>
      <c r="G93" s="7" t="inlineStr">
        <is>
          <t>반도체 공정 및 제조환경 모니터링 장비(OWIC 등) 공급계약의 건</t>
        </is>
      </c>
      <c r="H93" s="2" t="inlineStr">
        <is>
          <t>2026-03-09</t>
        </is>
      </c>
      <c r="I93" s="2" t="inlineStr">
        <is>
          <t>2026-10-30</t>
        </is>
      </c>
      <c r="J93" s="5" t="n">
        <v>3681000000</v>
      </c>
      <c r="K93" s="2" t="inlineStr">
        <is>
          <t>-</t>
        </is>
      </c>
      <c r="L93" s="13" t="n">
        <v>8.44</v>
      </c>
      <c r="M93" s="7" t="inlineStr">
        <is>
          <t>SK하이닉스</t>
        </is>
      </c>
      <c r="N93" s="2" t="inlineStr">
        <is>
          <t>20260310900445</t>
        </is>
      </c>
      <c r="O93" s="8">
        <f>HYPERLINK("https://dart.fss.or.kr/dsaf001/main.do?rcpNo=20260310900445", "공시열람")</f>
        <v/>
      </c>
    </row>
    <row r="94" ht="36" customHeight="1">
      <c r="A94" s="2" t="inlineStr">
        <is>
          <t>2026-03-10</t>
        </is>
      </c>
      <c r="B94" s="3" t="inlineStr">
        <is>
          <t>HD현대</t>
        </is>
      </c>
      <c r="C94" s="2" t="inlineStr">
        <is>
          <t>코스피</t>
        </is>
      </c>
      <c r="D94" s="2" t="inlineStr">
        <is>
          <t>267250</t>
        </is>
      </c>
      <c r="E94" s="2" t="inlineStr">
        <is>
          <t>단일판매공급계약체결</t>
        </is>
      </c>
      <c r="F94" s="3" t="inlineStr">
        <is>
          <t xml:space="preserve">단일판매ㆍ공급계약체결(자회사의 주요경영사항)              </t>
        </is>
      </c>
      <c r="G94" s="7" t="inlineStr">
        <is>
          <t>LPGC 2척</t>
        </is>
      </c>
      <c r="H94" s="2" t="inlineStr">
        <is>
          <t>2026-03-09</t>
        </is>
      </c>
      <c r="I94" s="2" t="inlineStr">
        <is>
          <t>2028-12-29</t>
        </is>
      </c>
      <c r="J94" s="5" t="n">
        <v>340200000000</v>
      </c>
      <c r="K94" s="2" t="inlineStr">
        <is>
          <t>-</t>
        </is>
      </c>
      <c r="L94" s="13" t="n">
        <v>4.86</v>
      </c>
      <c r="M94" s="7" t="inlineStr">
        <is>
          <t>유럽 소재 선주</t>
        </is>
      </c>
      <c r="N94" s="2" t="inlineStr">
        <is>
          <t>20260310800423</t>
        </is>
      </c>
      <c r="O94" s="8">
        <f>HYPERLINK("https://dart.fss.or.kr/dsaf001/main.do?rcpNo=20260310800423", "공시열람")</f>
        <v/>
      </c>
    </row>
    <row r="95" ht="36" customHeight="1">
      <c r="A95" s="2" t="inlineStr">
        <is>
          <t>2026-03-10</t>
        </is>
      </c>
      <c r="B95" s="3" t="inlineStr">
        <is>
          <t>HD한국조선해양</t>
        </is>
      </c>
      <c r="C95" s="2" t="inlineStr">
        <is>
          <t>코스피</t>
        </is>
      </c>
      <c r="D95" s="2" t="inlineStr">
        <is>
          <t>009540</t>
        </is>
      </c>
      <c r="E95" s="2" t="inlineStr">
        <is>
          <t>단일판매공급계약체결</t>
        </is>
      </c>
      <c r="F95" s="3" t="inlineStr">
        <is>
          <t xml:space="preserve">단일판매ㆍ공급계약체결(자회사의 주요경영사항)              </t>
        </is>
      </c>
      <c r="G95" s="7" t="inlineStr">
        <is>
          <t>LPGC 2척</t>
        </is>
      </c>
      <c r="H95" s="2" t="inlineStr">
        <is>
          <t>2026-03-09</t>
        </is>
      </c>
      <c r="I95" s="2" t="inlineStr">
        <is>
          <t>2028-12-29</t>
        </is>
      </c>
      <c r="J95" s="5" t="n">
        <v>340200000000</v>
      </c>
      <c r="K95" s="2" t="inlineStr">
        <is>
          <t>-</t>
        </is>
      </c>
      <c r="L95" s="13" t="n">
        <v>4.86</v>
      </c>
      <c r="M95" s="7" t="inlineStr">
        <is>
          <t>유럽 소재 선주</t>
        </is>
      </c>
      <c r="N95" s="2" t="inlineStr">
        <is>
          <t>20260310800414</t>
        </is>
      </c>
      <c r="O95" s="8">
        <f>HYPERLINK("https://dart.fss.or.kr/dsaf001/main.do?rcpNo=20260310800414", "공시열람")</f>
        <v/>
      </c>
    </row>
    <row r="96" ht="36" customHeight="1">
      <c r="A96" s="2" t="inlineStr">
        <is>
          <t>2026-03-10</t>
        </is>
      </c>
      <c r="B96" s="3" t="inlineStr">
        <is>
          <t>한미글로벌</t>
        </is>
      </c>
      <c r="C96" s="2" t="inlineStr">
        <is>
          <t>코스피</t>
        </is>
      </c>
      <c r="D96" s="2" t="inlineStr">
        <is>
          <t>053690</t>
        </is>
      </c>
      <c r="E96" s="2" t="inlineStr">
        <is>
          <t>단일판매공급계약체결</t>
        </is>
      </c>
      <c r="F96" s="3" t="inlineStr">
        <is>
          <t xml:space="preserve">[기재정정]단일판매ㆍ공급계약체결              </t>
        </is>
      </c>
      <c r="G96" s="7" t="inlineStr">
        <is>
          <t>평택 P4L 생산시설(FAB동, 복합동) 감리/PM</t>
        </is>
      </c>
      <c r="H96" s="2" t="inlineStr">
        <is>
          <t>2022-02-18</t>
        </is>
      </c>
      <c r="I96" s="2" t="inlineStr">
        <is>
          <t>2028-02-29</t>
        </is>
      </c>
      <c r="J96" s="5" t="n">
        <v>135780639500</v>
      </c>
      <c r="K96" s="2" t="inlineStr">
        <is>
          <t>-</t>
        </is>
      </c>
      <c r="L96" s="13" t="n">
        <v>50.3</v>
      </c>
      <c r="M96" s="7" t="inlineStr">
        <is>
          <t>삼성전자 주식회사</t>
        </is>
      </c>
      <c r="N96" s="2" t="inlineStr">
        <is>
          <t>20260310800403</t>
        </is>
      </c>
      <c r="O96" s="8">
        <f>HYPERLINK("https://dart.fss.or.kr/dsaf001/main.do?rcpNo=20260310800403", "공시열람")</f>
        <v/>
      </c>
    </row>
    <row r="97" ht="36" customHeight="1">
      <c r="A97" s="2" t="inlineStr">
        <is>
          <t>2026-03-10</t>
        </is>
      </c>
      <c r="B97" s="3" t="inlineStr">
        <is>
          <t>디바이스</t>
        </is>
      </c>
      <c r="C97" s="2" t="inlineStr">
        <is>
          <t>코스닥</t>
        </is>
      </c>
      <c r="D97" s="2" t="inlineStr">
        <is>
          <t>187870</t>
        </is>
      </c>
      <c r="E97" s="2" t="inlineStr">
        <is>
          <t>단일판매공급계약체결</t>
        </is>
      </c>
      <c r="F97" s="3" t="inlineStr">
        <is>
          <t xml:space="preserve">단일판매ㆍ공급계약체결(자율공시)              </t>
        </is>
      </c>
      <c r="G97" s="7" t="inlineStr">
        <is>
          <t>반도체 세정장비</t>
        </is>
      </c>
      <c r="H97" s="2" t="inlineStr">
        <is>
          <t>2026-03-09</t>
        </is>
      </c>
      <c r="I97" s="2" t="inlineStr">
        <is>
          <t>2026-12-25</t>
        </is>
      </c>
      <c r="J97" s="5" t="n">
        <v>3770000000</v>
      </c>
      <c r="K97" s="2" t="inlineStr">
        <is>
          <t>-</t>
        </is>
      </c>
      <c r="L97" s="13" t="n">
        <v>7.99</v>
      </c>
      <c r="M97" s="7" t="inlineStr">
        <is>
          <t>에스케이하이닉스 주식회사</t>
        </is>
      </c>
      <c r="N97" s="2" t="inlineStr">
        <is>
          <t>20260310900370</t>
        </is>
      </c>
      <c r="O97" s="8">
        <f>HYPERLINK("https://dart.fss.or.kr/dsaf001/main.do?rcpNo=20260310900370", "공시열람")</f>
        <v/>
      </c>
    </row>
    <row r="98" ht="36" customHeight="1">
      <c r="A98" s="2" t="inlineStr">
        <is>
          <t>2026-03-10</t>
        </is>
      </c>
      <c r="B98" s="3" t="inlineStr">
        <is>
          <t>노타</t>
        </is>
      </c>
      <c r="C98" s="2" t="inlineStr">
        <is>
          <t>코스닥</t>
        </is>
      </c>
      <c r="D98" s="2" t="inlineStr">
        <is>
          <t>486990</t>
        </is>
      </c>
      <c r="E98" s="2" t="inlineStr">
        <is>
          <t>단일판매공급계약체결</t>
        </is>
      </c>
      <c r="F98" s="3" t="inlineStr">
        <is>
          <t xml:space="preserve">단일판매ㆍ공급계약체결              </t>
        </is>
      </c>
      <c r="G98" s="7" t="inlineStr">
        <is>
          <t>산업안전 AI 솔루션 공급</t>
        </is>
      </c>
      <c r="H98" s="2" t="inlineStr">
        <is>
          <t>2026-03-09</t>
        </is>
      </c>
      <c r="I98" s="2" t="inlineStr">
        <is>
          <t>2026-09-30</t>
        </is>
      </c>
      <c r="J98" s="5" t="n">
        <v>1070600000</v>
      </c>
      <c r="K98" s="2" t="inlineStr">
        <is>
          <t>-</t>
        </is>
      </c>
      <c r="L98" s="13" t="n">
        <v>12.69</v>
      </c>
      <c r="M98" s="7" t="inlineStr">
        <is>
          <t>리안시스템</t>
        </is>
      </c>
      <c r="N98" s="2" t="inlineStr">
        <is>
          <t>20260310900321</t>
        </is>
      </c>
      <c r="O98" s="8">
        <f>HYPERLINK("https://dart.fss.or.kr/dsaf001/main.do?rcpNo=20260310900321", "공시열람")</f>
        <v/>
      </c>
    </row>
    <row r="99" ht="36" customHeight="1">
      <c r="A99" s="2" t="inlineStr">
        <is>
          <t>2026-03-10</t>
        </is>
      </c>
      <c r="B99" s="3" t="inlineStr">
        <is>
          <t>비츠로테크</t>
        </is>
      </c>
      <c r="C99" s="2" t="inlineStr">
        <is>
          <t>코스닥</t>
        </is>
      </c>
      <c r="D99" s="2" t="inlineStr">
        <is>
          <t>042370</t>
        </is>
      </c>
      <c r="E99" s="2" t="inlineStr">
        <is>
          <t>단일판매공급계약체결</t>
        </is>
      </c>
      <c r="F99" s="3" t="inlineStr">
        <is>
          <t xml:space="preserve">단일판매ㆍ공급계약체결(자회사의 주요경영사항)              </t>
        </is>
      </c>
      <c r="G99" s="7" t="inlineStr">
        <is>
          <t>차세대발사체 고압 작동용 연소기</t>
        </is>
      </c>
      <c r="H99" s="2" t="inlineStr">
        <is>
          <t>2026-03-09</t>
        </is>
      </c>
      <c r="I99" s="2" t="inlineStr">
        <is>
          <t>2027-11-19</t>
        </is>
      </c>
      <c r="J99" s="5" t="n">
        <v>4527345450</v>
      </c>
      <c r="K99" s="2" t="inlineStr">
        <is>
          <t>-</t>
        </is>
      </c>
      <c r="L99" s="13" t="n">
        <v>14.9</v>
      </c>
      <c r="M99" s="7" t="inlineStr">
        <is>
          <t>한화에어로스페이스</t>
        </is>
      </c>
      <c r="N99" s="2" t="inlineStr">
        <is>
          <t>20260310900319</t>
        </is>
      </c>
      <c r="O99" s="8">
        <f>HYPERLINK("https://dart.fss.or.kr/dsaf001/main.do?rcpNo=20260310900319", "공시열람")</f>
        <v/>
      </c>
    </row>
    <row r="100" ht="36" customHeight="1">
      <c r="A100" s="2" t="inlineStr">
        <is>
          <t>2026-03-10</t>
        </is>
      </c>
      <c r="B100" s="3" t="inlineStr">
        <is>
          <t>비츠로넥스텍</t>
        </is>
      </c>
      <c r="C100" s="2" t="inlineStr">
        <is>
          <t>코스닥</t>
        </is>
      </c>
      <c r="D100" s="2" t="inlineStr">
        <is>
          <t>488900</t>
        </is>
      </c>
      <c r="E100" s="2" t="inlineStr">
        <is>
          <t>단일판매공급계약체결</t>
        </is>
      </c>
      <c r="F100" s="3" t="inlineStr">
        <is>
          <t xml:space="preserve">단일판매ㆍ공급계약체결              </t>
        </is>
      </c>
      <c r="G100" s="7" t="inlineStr">
        <is>
          <t>차세대발사체 고압 작동용 연소기</t>
        </is>
      </c>
      <c r="H100" s="2" t="inlineStr">
        <is>
          <t>2026-03-09</t>
        </is>
      </c>
      <c r="I100" s="2" t="inlineStr">
        <is>
          <t>2027-11-19</t>
        </is>
      </c>
      <c r="J100" s="5" t="n">
        <v>4527345450</v>
      </c>
      <c r="K100" s="2" t="inlineStr">
        <is>
          <t>-</t>
        </is>
      </c>
      <c r="L100" s="13" t="n">
        <v>14.9</v>
      </c>
      <c r="M100" s="7" t="inlineStr">
        <is>
          <t>한화에어로스페이스</t>
        </is>
      </c>
      <c r="N100" s="2" t="inlineStr">
        <is>
          <t>20260310900294</t>
        </is>
      </c>
      <c r="O100" s="8">
        <f>HYPERLINK("https://dart.fss.or.kr/dsaf001/main.do?rcpNo=20260310900294", "공시열람")</f>
        <v/>
      </c>
    </row>
    <row r="101" ht="36" customHeight="1">
      <c r="A101" s="2" t="inlineStr">
        <is>
          <t>2026-03-10</t>
        </is>
      </c>
      <c r="B101" s="3" t="inlineStr">
        <is>
          <t>선도전기</t>
        </is>
      </c>
      <c r="C101" s="2" t="inlineStr">
        <is>
          <t>코스피</t>
        </is>
      </c>
      <c r="D101" s="2" t="inlineStr">
        <is>
          <t>007610</t>
        </is>
      </c>
      <c r="E101" s="2" t="inlineStr">
        <is>
          <t>단일판매공급계약체결</t>
        </is>
      </c>
      <c r="F101" s="3" t="inlineStr">
        <is>
          <t xml:space="preserve">단일판매ㆍ공급계약체결              </t>
        </is>
      </c>
      <c r="G101" s="7" t="inlineStr">
        <is>
          <t>하동 7,8호기 고압차단기 설치조건부 구매</t>
        </is>
      </c>
      <c r="H101" s="2" t="inlineStr">
        <is>
          <t>2026-03-09</t>
        </is>
      </c>
      <c r="I101" s="2" t="inlineStr">
        <is>
          <t>2029-03-08</t>
        </is>
      </c>
      <c r="J101" s="5" t="n">
        <v>2493860000</v>
      </c>
      <c r="K101" s="2" t="inlineStr">
        <is>
          <t>-</t>
        </is>
      </c>
      <c r="L101" s="13" t="n">
        <v>10.39</v>
      </c>
      <c r="M101" s="7" t="inlineStr">
        <is>
          <t>한국남부발전(주) 하동빛드림본부</t>
        </is>
      </c>
      <c r="N101" s="2" t="inlineStr">
        <is>
          <t>20260310800257</t>
        </is>
      </c>
      <c r="O101" s="8">
        <f>HYPERLINK("https://dart.fss.or.kr/dsaf001/main.do?rcpNo=20260310800257", "공시열람")</f>
        <v/>
      </c>
    </row>
    <row r="102" ht="36" customHeight="1">
      <c r="A102" s="2" t="inlineStr">
        <is>
          <t>2026-03-10</t>
        </is>
      </c>
      <c r="B102" s="3" t="inlineStr">
        <is>
          <t>CG인바이츠</t>
        </is>
      </c>
      <c r="C102" s="2" t="inlineStr">
        <is>
          <t>코스닥</t>
        </is>
      </c>
      <c r="D102" s="2" t="inlineStr">
        <is>
          <t>083790</t>
        </is>
      </c>
      <c r="E102" s="2" t="inlineStr">
        <is>
          <t>기타</t>
        </is>
      </c>
      <c r="F102" s="3" t="inlineStr">
        <is>
          <t xml:space="preserve">영업정지(자율공시)(종속회사의주요경영사항)              </t>
        </is>
      </c>
      <c r="G102" s="7" t="inlineStr">
        <is>
          <t>-</t>
        </is>
      </c>
      <c r="H102" s="2" t="inlineStr">
        <is>
          <t>-</t>
        </is>
      </c>
      <c r="I102" s="2" t="inlineStr">
        <is>
          <t>-</t>
        </is>
      </c>
      <c r="J102" s="5" t="inlineStr"/>
      <c r="K102" s="2" t="inlineStr">
        <is>
          <t>-</t>
        </is>
      </c>
      <c r="L102" s="3" t="inlineStr"/>
      <c r="M102" s="7" t="inlineStr">
        <is>
          <t>-</t>
        </is>
      </c>
      <c r="N102" s="2" t="inlineStr">
        <is>
          <t>20260310900010</t>
        </is>
      </c>
      <c r="O102" s="8">
        <f>HYPERLINK("https://dart.fss.or.kr/dsaf001/main.do?rcpNo=20260310900010", "공시열람")</f>
        <v/>
      </c>
    </row>
    <row r="103" ht="36" customHeight="1">
      <c r="A103" s="2" t="inlineStr">
        <is>
          <t>2026-03-11 (정정: 2026-06-22)</t>
        </is>
      </c>
      <c r="B103" s="3" t="inlineStr">
        <is>
          <t>효성</t>
        </is>
      </c>
      <c r="C103" s="2" t="inlineStr">
        <is>
          <t>코스피</t>
        </is>
      </c>
      <c r="D103" s="2" t="inlineStr">
        <is>
          <t>004800</t>
        </is>
      </c>
      <c r="E103" s="2" t="inlineStr">
        <is>
          <t>단일판매공급계약체결</t>
        </is>
      </c>
      <c r="F103" s="3" t="inlineStr">
        <is>
          <t>단일판매ㆍ공급계약체결(자회사의 주요경영사항)               (정정: 20260622)</t>
        </is>
      </c>
      <c r="G103" s="7" t="inlineStr">
        <is>
          <t>산곡 도시환경정비사업</t>
        </is>
      </c>
      <c r="H103" s="2" t="inlineStr">
        <is>
          <t>-</t>
        </is>
      </c>
      <c r="I103" s="2" t="inlineStr">
        <is>
          <t>-</t>
        </is>
      </c>
      <c r="J103" s="5" t="n">
        <v>585632145296</v>
      </c>
      <c r="K103" s="2" t="inlineStr">
        <is>
          <t>-</t>
        </is>
      </c>
      <c r="L103" s="13" t="n">
        <v>19.63</v>
      </c>
      <c r="M103" s="7" t="inlineStr">
        <is>
          <t>산곡 도시환경정비사업조합</t>
        </is>
      </c>
      <c r="N103" s="2" t="inlineStr">
        <is>
          <t>20260622800587</t>
        </is>
      </c>
      <c r="O103" s="8">
        <f>HYPERLINK("https://dart.fss.or.kr/dsaf001/main.do?rcpNo=20260622800587", "공시열람")</f>
        <v/>
      </c>
    </row>
    <row r="104" ht="36" customHeight="1">
      <c r="A104" s="2" t="inlineStr">
        <is>
          <t>2026-03-11 (정정: 2026-06-22)</t>
        </is>
      </c>
      <c r="B104" s="3" t="inlineStr">
        <is>
          <t>효성중공업</t>
        </is>
      </c>
      <c r="C104" s="2" t="inlineStr">
        <is>
          <t>코스피</t>
        </is>
      </c>
      <c r="D104" s="2" t="inlineStr">
        <is>
          <t>298040</t>
        </is>
      </c>
      <c r="E104" s="2" t="inlineStr">
        <is>
          <t>단일판매공급계약체결</t>
        </is>
      </c>
      <c r="F104" s="3" t="inlineStr">
        <is>
          <t>단일판매ㆍ공급계약체결               (정정: 20260622)</t>
        </is>
      </c>
      <c r="G104" s="7" t="inlineStr">
        <is>
          <t>산곡 도시환경정비사업</t>
        </is>
      </c>
      <c r="H104" s="2" t="inlineStr">
        <is>
          <t>-</t>
        </is>
      </c>
      <c r="I104" s="2" t="inlineStr">
        <is>
          <t>-</t>
        </is>
      </c>
      <c r="J104" s="5" t="n">
        <v>585632145296</v>
      </c>
      <c r="K104" s="2" t="inlineStr">
        <is>
          <t>-</t>
        </is>
      </c>
      <c r="L104" s="13" t="n">
        <v>19.63</v>
      </c>
      <c r="M104" s="7" t="inlineStr">
        <is>
          <t>산곡 도시환경정비사업조합</t>
        </is>
      </c>
      <c r="N104" s="2" t="inlineStr">
        <is>
          <t>20260622800553</t>
        </is>
      </c>
      <c r="O104" s="8">
        <f>HYPERLINK("https://dart.fss.or.kr/dsaf001/main.do?rcpNo=20260622800553", "공시열람")</f>
        <v/>
      </c>
    </row>
    <row r="105" ht="36" customHeight="1">
      <c r="A105" s="2" t="inlineStr">
        <is>
          <t>2026-03-11 (정정: 2026-06-25)</t>
        </is>
      </c>
      <c r="B105" s="3" t="inlineStr">
        <is>
          <t>한전산업</t>
        </is>
      </c>
      <c r="C105" s="2" t="inlineStr">
        <is>
          <t>코스피</t>
        </is>
      </c>
      <c r="D105" s="2" t="inlineStr">
        <is>
          <t>130660</t>
        </is>
      </c>
      <c r="E105" s="2" t="inlineStr">
        <is>
          <t>단일판매공급계약체결</t>
        </is>
      </c>
      <c r="F105" s="3" t="inlineStr">
        <is>
          <t>[기재정정]단일판매ㆍ공급계약체결               (정정: 20260311) (정정: 20260528) (정정: 20260528) (정정: 20260609) (정정: 20260617) (정정: 20260625)</t>
        </is>
      </c>
      <c r="G105" s="7" t="inlineStr">
        <is>
          <t>-</t>
        </is>
      </c>
      <c r="H105" s="2" t="inlineStr">
        <is>
          <t>2016-04-01</t>
        </is>
      </c>
      <c r="I105" s="2" t="inlineStr">
        <is>
          <t>2026-12-31</t>
        </is>
      </c>
      <c r="J105" s="5" t="n">
        <v>35526878922</v>
      </c>
      <c r="K105" s="2" t="inlineStr">
        <is>
          <t>-</t>
        </is>
      </c>
      <c r="L105" s="13" t="n">
        <v>9</v>
      </c>
      <c r="M105" s="7" t="inlineStr">
        <is>
          <t>한국서부발전(주)</t>
        </is>
      </c>
      <c r="N105" s="2" t="inlineStr">
        <is>
          <t>20260625800677</t>
        </is>
      </c>
      <c r="O105" s="8">
        <f>HYPERLINK("https://dart.fss.or.kr/dsaf001/main.do?rcpNo=20260625800677", "공시열람")</f>
        <v/>
      </c>
    </row>
    <row r="106" ht="36" customHeight="1">
      <c r="A106" s="2" t="inlineStr">
        <is>
          <t>2026-03-11 (정정: 2026-06-25)</t>
        </is>
      </c>
      <c r="B106" s="3" t="inlineStr">
        <is>
          <t>수산인더스트리</t>
        </is>
      </c>
      <c r="C106" s="2" t="inlineStr">
        <is>
          <t>코스피</t>
        </is>
      </c>
      <c r="D106" s="2" t="inlineStr">
        <is>
          <t>126720</t>
        </is>
      </c>
      <c r="E106" s="2" t="inlineStr">
        <is>
          <t>단일판매공급계약체결</t>
        </is>
      </c>
      <c r="F106" s="3" t="inlineStr">
        <is>
          <t>[기재정정]단일판매ㆍ공급계약체결               (정정: 20260312) (정정: 20260622) (정정: 20260625)</t>
        </is>
      </c>
      <c r="G106" s="7" t="inlineStr">
        <is>
          <t>영흥1~4호기 석탄취급설비 운전 및 경상정비공사</t>
        </is>
      </c>
      <c r="H106" s="2" t="inlineStr">
        <is>
          <t>2016-02-01</t>
        </is>
      </c>
      <c r="I106" s="2" t="inlineStr">
        <is>
          <t>2026-12-31</t>
        </is>
      </c>
      <c r="J106" s="5" t="n">
        <v>147386098200</v>
      </c>
      <c r="K106" s="2" t="inlineStr">
        <is>
          <t>-</t>
        </is>
      </c>
      <c r="L106" s="13" t="n">
        <v>48.56</v>
      </c>
      <c r="M106" s="7" t="inlineStr">
        <is>
          <t>한국남동발전(주)</t>
        </is>
      </c>
      <c r="N106" s="2" t="inlineStr">
        <is>
          <t>20260625800762</t>
        </is>
      </c>
      <c r="O106" s="8">
        <f>HYPERLINK("https://dart.fss.or.kr/dsaf001/main.do?rcpNo=20260625800762", "공시열람")</f>
        <v/>
      </c>
    </row>
    <row r="107" ht="36" customHeight="1">
      <c r="A107" s="2" t="inlineStr">
        <is>
          <t>2026-03-11</t>
        </is>
      </c>
      <c r="B107" s="3" t="inlineStr">
        <is>
          <t>KCC건설</t>
        </is>
      </c>
      <c r="C107" s="2" t="inlineStr">
        <is>
          <t>코스닥</t>
        </is>
      </c>
      <c r="D107" s="2" t="inlineStr">
        <is>
          <t>021320</t>
        </is>
      </c>
      <c r="E107" s="2" t="inlineStr">
        <is>
          <t>단일판매공급계약체결</t>
        </is>
      </c>
      <c r="F107" s="3" t="inlineStr">
        <is>
          <t xml:space="preserve">[기재정정]단일판매ㆍ공급계약체결              </t>
        </is>
      </c>
      <c r="G107" s="7" t="inlineStr">
        <is>
          <t>평택 사무3동 신축 공사</t>
        </is>
      </c>
      <c r="H107" s="2" t="inlineStr">
        <is>
          <t>2023-02-28</t>
        </is>
      </c>
      <c r="I107" s="2" t="inlineStr">
        <is>
          <t>2026-06-30</t>
        </is>
      </c>
      <c r="J107" s="5" t="n">
        <v>927908000000</v>
      </c>
      <c r="K107" s="2" t="inlineStr">
        <is>
          <t>-</t>
        </is>
      </c>
      <c r="L107" s="13" t="n">
        <v>49.02</v>
      </c>
      <c r="M107" s="7" t="inlineStr">
        <is>
          <t>삼성전자 주식회사</t>
        </is>
      </c>
      <c r="N107" s="2" t="inlineStr">
        <is>
          <t>20260311901062</t>
        </is>
      </c>
      <c r="O107" s="8">
        <f>HYPERLINK("https://dart.fss.or.kr/dsaf001/main.do?rcpNo=20260311901062", "공시열람")</f>
        <v/>
      </c>
    </row>
    <row r="108" ht="36" customHeight="1">
      <c r="A108" s="2" t="inlineStr">
        <is>
          <t>2026-03-11 (정정: 2026-06-26)</t>
        </is>
      </c>
      <c r="B108" s="3" t="inlineStr">
        <is>
          <t>우원개발</t>
        </is>
      </c>
      <c r="C108" s="2" t="inlineStr">
        <is>
          <t>코스닥</t>
        </is>
      </c>
      <c r="D108" s="2" t="inlineStr">
        <is>
          <t>046940</t>
        </is>
      </c>
      <c r="E108" s="2" t="inlineStr">
        <is>
          <t>단일판매공급계약체결</t>
        </is>
      </c>
      <c r="F108" s="3" t="inlineStr">
        <is>
          <t>단일판매ㆍ공급계약체결               (정정: 20260521) (정정: 20260527) (정정: 20260527) (정정: 20260527) (정정: 20260529) (정정: 20260626) (정정: 20260626) (정정: 20260626)</t>
        </is>
      </c>
      <c r="G108" s="7" t="inlineStr">
        <is>
          <t>영동대로 지하공간 복합개발 3공구</t>
        </is>
      </c>
      <c r="H108" s="2" t="inlineStr">
        <is>
          <t>2023-08-31</t>
        </is>
      </c>
      <c r="I108" s="2" t="inlineStr">
        <is>
          <t>2026-12-31</t>
        </is>
      </c>
      <c r="J108" s="5" t="n">
        <v>67896500000</v>
      </c>
      <c r="K108" s="2" t="inlineStr">
        <is>
          <t>-</t>
        </is>
      </c>
      <c r="L108" s="13" t="n">
        <v>26.88</v>
      </c>
      <c r="M108" s="7" t="inlineStr">
        <is>
          <t>현대건설(주)</t>
        </is>
      </c>
      <c r="N108" s="2" t="inlineStr">
        <is>
          <t>20260626900270</t>
        </is>
      </c>
      <c r="O108" s="8">
        <f>HYPERLINK("https://dart.fss.or.kr/dsaf001/main.do?rcpNo=20260626900270", "공시열람")</f>
        <v/>
      </c>
    </row>
    <row r="109" ht="36" customHeight="1">
      <c r="A109" s="2" t="inlineStr">
        <is>
          <t>2026-03-11</t>
        </is>
      </c>
      <c r="B109" s="3" t="inlineStr">
        <is>
          <t>비에이치아이</t>
        </is>
      </c>
      <c r="C109" s="2" t="inlineStr">
        <is>
          <t>코스닥</t>
        </is>
      </c>
      <c r="D109" s="2" t="inlineStr">
        <is>
          <t>083650</t>
        </is>
      </c>
      <c r="E109" s="2" t="inlineStr">
        <is>
          <t>단일판매공급계약체결</t>
        </is>
      </c>
      <c r="F109" s="3" t="inlineStr">
        <is>
          <t xml:space="preserve">단일판매ㆍ공급계약체결              </t>
        </is>
      </c>
      <c r="G109" s="7" t="inlineStr">
        <is>
          <t>LNG 복합화력 발전설비 공급계약</t>
        </is>
      </c>
      <c r="H109" s="2" t="inlineStr">
        <is>
          <t>2026-03-11</t>
        </is>
      </c>
      <c r="I109" s="2" t="inlineStr">
        <is>
          <t>2029-02-13</t>
        </is>
      </c>
      <c r="J109" s="5" t="n">
        <v>56576139200</v>
      </c>
      <c r="K109" s="2" t="inlineStr">
        <is>
          <t>-</t>
        </is>
      </c>
      <c r="L109" s="13" t="n">
        <v>14</v>
      </c>
      <c r="M109" s="7" t="inlineStr">
        <is>
          <t>CHEC-HEI-THCC General Partner</t>
        </is>
      </c>
      <c r="N109" s="2" t="inlineStr">
        <is>
          <t>20260311900238</t>
        </is>
      </c>
      <c r="O109" s="8">
        <f>HYPERLINK("https://dart.fss.or.kr/dsaf001/main.do?rcpNo=20260311900238", "공시열람")</f>
        <v/>
      </c>
    </row>
    <row r="110" ht="36" customHeight="1">
      <c r="A110" s="2" t="inlineStr">
        <is>
          <t>2026-03-12 (정정: 2026-03-12)</t>
        </is>
      </c>
      <c r="B110" s="3" t="inlineStr">
        <is>
          <t>토탈소프트</t>
        </is>
      </c>
      <c r="C110" s="2" t="inlineStr">
        <is>
          <t>코스닥</t>
        </is>
      </c>
      <c r="D110" s="2" t="inlineStr">
        <is>
          <t>045340</t>
        </is>
      </c>
      <c r="E110" s="2" t="inlineStr">
        <is>
          <t>단일판매공급계약체결</t>
        </is>
      </c>
      <c r="F110" s="3" t="inlineStr">
        <is>
          <t xml:space="preserve">[기재정정]단일판매ㆍ공급계약체결              </t>
        </is>
      </c>
      <c r="G110" s="7" t="inlineStr">
        <is>
          <t>터미널운영시스템</t>
        </is>
      </c>
      <c r="H110" s="2" t="inlineStr">
        <is>
          <t>2025-04-04</t>
        </is>
      </c>
      <c r="I110" s="2" t="inlineStr">
        <is>
          <t>2027-02-20</t>
        </is>
      </c>
      <c r="J110" s="5" t="n">
        <v>2761642825</v>
      </c>
      <c r="K110" s="2" t="inlineStr">
        <is>
          <t>-</t>
        </is>
      </c>
      <c r="L110" s="13" t="n">
        <v>13.3</v>
      </c>
      <c r="M110" s="7" t="inlineStr">
        <is>
          <t>CSP Iberian Valencia Terminal S.A.U.</t>
        </is>
      </c>
      <c r="N110" s="2" t="inlineStr">
        <is>
          <t>20260312902155</t>
        </is>
      </c>
      <c r="O110" s="8">
        <f>HYPERLINK("https://dart.fss.or.kr/dsaf001/main.do?rcpNo=20260312902155", "공시열람")</f>
        <v/>
      </c>
    </row>
    <row r="111" ht="36" customHeight="1">
      <c r="A111" s="2" t="inlineStr">
        <is>
          <t>2026-03-12</t>
        </is>
      </c>
      <c r="B111" s="3" t="inlineStr">
        <is>
          <t>삼성물산</t>
        </is>
      </c>
      <c r="C111" s="2" t="inlineStr">
        <is>
          <t>코스피</t>
        </is>
      </c>
      <c r="D111" s="2" t="inlineStr">
        <is>
          <t>028260</t>
        </is>
      </c>
      <c r="E111" s="2" t="inlineStr">
        <is>
          <t>단일판매공급계약체결</t>
        </is>
      </c>
      <c r="F111" s="3" t="inlineStr">
        <is>
          <t xml:space="preserve">단일판매ㆍ공급계약체결              </t>
        </is>
      </c>
      <c r="G111" s="7" t="inlineStr">
        <is>
          <t>[P4 Ph2(하동)] FAB동/복합동 마감공사</t>
        </is>
      </c>
      <c r="H111" s="2" t="inlineStr">
        <is>
          <t>2023-07-15</t>
        </is>
      </c>
      <c r="I111" s="2" t="inlineStr">
        <is>
          <t>2027-12-31</t>
        </is>
      </c>
      <c r="J111" s="5" t="n">
        <v>1379170000000</v>
      </c>
      <c r="K111" s="2" t="inlineStr">
        <is>
          <t>-</t>
        </is>
      </c>
      <c r="L111" s="13" t="n">
        <v>3.28</v>
      </c>
      <c r="M111" s="7" t="inlineStr">
        <is>
          <t>삼성전자 주식회사</t>
        </is>
      </c>
      <c r="N111" s="2" t="inlineStr">
        <is>
          <t>20260312801732</t>
        </is>
      </c>
      <c r="O111" s="8">
        <f>HYPERLINK("https://dart.fss.or.kr/dsaf001/main.do?rcpNo=20260312801732", "공시열람")</f>
        <v/>
      </c>
    </row>
    <row r="112" ht="36" customHeight="1">
      <c r="A112" s="2" t="inlineStr">
        <is>
          <t>2026-03-12</t>
        </is>
      </c>
      <c r="B112" s="3" t="inlineStr">
        <is>
          <t>덕신이피씨</t>
        </is>
      </c>
      <c r="C112" s="2" t="inlineStr">
        <is>
          <t>코스닥</t>
        </is>
      </c>
      <c r="D112" s="2" t="inlineStr">
        <is>
          <t>090410</t>
        </is>
      </c>
      <c r="E112" s="2" t="inlineStr">
        <is>
          <t>단일판매공급계약체결</t>
        </is>
      </c>
      <c r="F112" s="3" t="inlineStr">
        <is>
          <t xml:space="preserve">단일판매ㆍ공급계약체결              </t>
        </is>
      </c>
      <c r="G112" s="7" t="inlineStr">
        <is>
          <t>평택캠퍼스 2단지 조성공사 및 P5 FAB 건축 데크플레이트</t>
        </is>
      </c>
      <c r="H112" s="2" t="inlineStr">
        <is>
          <t>2026-03-13</t>
        </is>
      </c>
      <c r="I112" s="2" t="inlineStr">
        <is>
          <t>2028-12-31</t>
        </is>
      </c>
      <c r="J112" s="5" t="n">
        <v>15593000000</v>
      </c>
      <c r="K112" s="2" t="inlineStr">
        <is>
          <t>-</t>
        </is>
      </c>
      <c r="L112" s="13" t="n">
        <v>10.6</v>
      </c>
      <c r="M112" s="7" t="inlineStr">
        <is>
          <t>삼성물산주식회사</t>
        </is>
      </c>
      <c r="N112" s="2" t="inlineStr">
        <is>
          <t>20260312901296</t>
        </is>
      </c>
      <c r="O112" s="8">
        <f>HYPERLINK("https://dart.fss.or.kr/dsaf001/main.do?rcpNo=20260312901296", "공시열람")</f>
        <v/>
      </c>
    </row>
    <row r="113" ht="36" customHeight="1">
      <c r="A113" s="2" t="inlineStr">
        <is>
          <t>2025-02-13 (정정: 2026-03-12)</t>
        </is>
      </c>
      <c r="B113" s="3" t="inlineStr">
        <is>
          <t>코츠테크놀로지</t>
        </is>
      </c>
      <c r="C113" s="2" t="inlineStr">
        <is>
          <t>코스닥</t>
        </is>
      </c>
      <c r="D113" s="2" t="inlineStr">
        <is>
          <t>448710</t>
        </is>
      </c>
      <c r="E113" s="2" t="inlineStr">
        <is>
          <t>단일판매공급계약체결</t>
        </is>
      </c>
      <c r="F113" s="3" t="inlineStr">
        <is>
          <t xml:space="preserve">[기재정정]단일판매ㆍ공급계약체결              </t>
        </is>
      </c>
      <c r="G113" s="7" t="inlineStr">
        <is>
          <t>K2전차 디스플레이유닛(전차장운용용) 외 43건 물품공급 계약</t>
        </is>
      </c>
      <c r="H113" s="2" t="inlineStr">
        <is>
          <t>2025-02-12</t>
        </is>
      </c>
      <c r="I113" s="2" t="inlineStr">
        <is>
          <t>2026-04-15</t>
        </is>
      </c>
      <c r="J113" s="5" t="n">
        <v>7161944400</v>
      </c>
      <c r="K113" s="2" t="inlineStr">
        <is>
          <t>-</t>
        </is>
      </c>
      <c r="L113" s="13" t="n">
        <v>13.96</v>
      </c>
      <c r="M113" s="7" t="inlineStr">
        <is>
          <t>한화시스템(주)</t>
        </is>
      </c>
      <c r="N113" s="2" t="inlineStr">
        <is>
          <t>20260312901338</t>
        </is>
      </c>
      <c r="O113" s="8">
        <f>HYPERLINK("https://dart.fss.or.kr/dsaf001/main.do?rcpNo=20260312901338", "공시열람")</f>
        <v/>
      </c>
    </row>
    <row r="114" ht="36" customHeight="1">
      <c r="A114" s="2" t="inlineStr">
        <is>
          <t>2026-03-12</t>
        </is>
      </c>
      <c r="B114" s="3" t="inlineStr">
        <is>
          <t>오르비텍</t>
        </is>
      </c>
      <c r="C114" s="2" t="inlineStr">
        <is>
          <t>코스닥</t>
        </is>
      </c>
      <c r="D114" s="2" t="inlineStr">
        <is>
          <t>046120</t>
        </is>
      </c>
      <c r="E114" s="2" t="inlineStr">
        <is>
          <t>단일판매공급계약체결</t>
        </is>
      </c>
      <c r="F114" s="3" t="inlineStr">
        <is>
          <t xml:space="preserve">단일판매ㆍ공급계약체결(자율공시)              </t>
        </is>
      </c>
      <c r="G114" s="7" t="inlineStr">
        <is>
          <t>콘크리트 방폐물 시멘트 ·골재 분리처리용역</t>
        </is>
      </c>
      <c r="H114" s="2" t="inlineStr">
        <is>
          <t>2026-03-23</t>
        </is>
      </c>
      <c r="I114" s="2" t="inlineStr">
        <is>
          <t>2029-03-22</t>
        </is>
      </c>
      <c r="J114" s="5" t="n">
        <v>3325737273</v>
      </c>
      <c r="K114" s="2" t="inlineStr">
        <is>
          <t>-</t>
        </is>
      </c>
      <c r="L114" s="13" t="n">
        <v>4.99</v>
      </c>
      <c r="M114" s="7" t="inlineStr">
        <is>
          <t>한국수력원자력(주)</t>
        </is>
      </c>
      <c r="N114" s="2" t="inlineStr">
        <is>
          <t>20260312900696</t>
        </is>
      </c>
      <c r="O114" s="8">
        <f>HYPERLINK("https://dart.fss.or.kr/dsaf001/main.do?rcpNo=20260312900696", "공시열람")</f>
        <v/>
      </c>
    </row>
    <row r="115" ht="36" customHeight="1">
      <c r="A115" s="2" t="inlineStr">
        <is>
          <t>2026-03-12</t>
        </is>
      </c>
      <c r="B115" s="3" t="inlineStr">
        <is>
          <t>엔시스</t>
        </is>
      </c>
      <c r="C115" s="2" t="inlineStr">
        <is>
          <t>코스닥</t>
        </is>
      </c>
      <c r="D115" s="2" t="inlineStr">
        <is>
          <t>333620</t>
        </is>
      </c>
      <c r="E115" s="2" t="inlineStr">
        <is>
          <t>단일판매공급계약체결</t>
        </is>
      </c>
      <c r="F115" s="3" t="inlineStr">
        <is>
          <t xml:space="preserve">단일판매ㆍ공급계약체결              </t>
        </is>
      </c>
      <c r="G115" s="7" t="inlineStr">
        <is>
          <t>믹서 및 충전설비 계약</t>
        </is>
      </c>
      <c r="H115" s="2" t="inlineStr">
        <is>
          <t>2026-03-11</t>
        </is>
      </c>
      <c r="I115" s="2" t="inlineStr">
        <is>
          <t>2026-11-30</t>
        </is>
      </c>
      <c r="J115" s="5" t="n">
        <v>7290000000</v>
      </c>
      <c r="K115" s="2" t="inlineStr">
        <is>
          <t>-</t>
        </is>
      </c>
      <c r="L115" s="13" t="n">
        <v>11.59</v>
      </c>
      <c r="M115" s="7" t="inlineStr">
        <is>
          <t>LIG넥스원(주)</t>
        </is>
      </c>
      <c r="N115" s="2" t="inlineStr">
        <is>
          <t>20260312900761</t>
        </is>
      </c>
      <c r="O115" s="8">
        <f>HYPERLINK("https://dart.fss.or.kr/dsaf001/main.do?rcpNo=20260312900761", "공시열람")</f>
        <v/>
      </c>
    </row>
    <row r="116" ht="36" customHeight="1">
      <c r="A116" s="2" t="inlineStr">
        <is>
          <t>2026-03-12 (정정: 2026-06-04)</t>
        </is>
      </c>
      <c r="B116" s="3" t="inlineStr">
        <is>
          <t>디와이피엔에프</t>
        </is>
      </c>
      <c r="C116" s="2" t="inlineStr">
        <is>
          <t>코스닥</t>
        </is>
      </c>
      <c r="D116" s="2" t="inlineStr">
        <is>
          <t>104460</t>
        </is>
      </c>
      <c r="E116" s="2" t="inlineStr">
        <is>
          <t>단일판매공급계약체결</t>
        </is>
      </c>
      <c r="F116" s="3" t="inlineStr">
        <is>
          <t>[기재정정]단일판매ㆍ공급계약체결               (정정: 20260602) (정정: 20260604)</t>
        </is>
      </c>
      <c r="G116" s="7" t="inlineStr">
        <is>
          <t>STEP-1 PROJECT [Standard for Engineering Plastic Provider]</t>
        </is>
      </c>
      <c r="H116" s="2" t="inlineStr">
        <is>
          <t>2023-12-13</t>
        </is>
      </c>
      <c r="I116" s="2" t="inlineStr">
        <is>
          <t>2026-08-25</t>
        </is>
      </c>
      <c r="J116" s="5" t="n">
        <v>189490000000</v>
      </c>
      <c r="K116" s="2" t="inlineStr">
        <is>
          <t>-</t>
        </is>
      </c>
      <c r="L116" s="13" t="n">
        <v>167.52</v>
      </c>
      <c r="M116" s="7" t="inlineStr">
        <is>
          <t>롯데엔지니어링플라스틱(주)</t>
        </is>
      </c>
      <c r="N116" s="2" t="inlineStr">
        <is>
          <t>20260604900226</t>
        </is>
      </c>
      <c r="O116" s="8">
        <f>HYPERLINK("https://dart.fss.or.kr/dsaf001/main.do?rcpNo=20260604900226", "공시열람")</f>
        <v/>
      </c>
    </row>
    <row r="117" ht="36" customHeight="1">
      <c r="A117" s="2" t="inlineStr">
        <is>
          <t>2026-03-12</t>
        </is>
      </c>
      <c r="B117" s="3" t="inlineStr">
        <is>
          <t>미래산업</t>
        </is>
      </c>
      <c r="C117" s="2" t="inlineStr">
        <is>
          <t>코스피</t>
        </is>
      </c>
      <c r="D117" s="2" t="inlineStr">
        <is>
          <t>025560</t>
        </is>
      </c>
      <c r="E117" s="2" t="inlineStr">
        <is>
          <t>단일판매공급계약체결</t>
        </is>
      </c>
      <c r="F117" s="3" t="inlineStr">
        <is>
          <t xml:space="preserve">단일판매ㆍ공급계약체결              </t>
        </is>
      </c>
      <c r="G117" s="7" t="inlineStr">
        <is>
          <t>반도체 검사 장비 공급 계약</t>
        </is>
      </c>
      <c r="H117" s="2" t="inlineStr">
        <is>
          <t>2026-03-12</t>
        </is>
      </c>
      <c r="I117" s="2" t="inlineStr">
        <is>
          <t>2026-07-25</t>
        </is>
      </c>
      <c r="J117" s="5" t="n">
        <v>6192006000</v>
      </c>
      <c r="K117" s="2" t="inlineStr">
        <is>
          <t>-</t>
        </is>
      </c>
      <c r="L117" s="13" t="n">
        <v>22.9</v>
      </c>
      <c r="M117" s="7" t="inlineStr">
        <is>
          <t>YILING TRADING</t>
        </is>
      </c>
      <c r="N117" s="2" t="inlineStr">
        <is>
          <t>20260312800389</t>
        </is>
      </c>
      <c r="O117" s="8">
        <f>HYPERLINK("https://dart.fss.or.kr/dsaf001/main.do?rcpNo=20260312800389", "공시열람")</f>
        <v/>
      </c>
    </row>
    <row r="118" ht="36" customHeight="1">
      <c r="A118" s="2" t="inlineStr">
        <is>
          <t>2026-03-12</t>
        </is>
      </c>
      <c r="B118" s="3" t="inlineStr">
        <is>
          <t>파두</t>
        </is>
      </c>
      <c r="C118" s="2" t="inlineStr">
        <is>
          <t>코스닥</t>
        </is>
      </c>
      <c r="D118" s="2" t="inlineStr">
        <is>
          <t>440110</t>
        </is>
      </c>
      <c r="E118" s="2" t="inlineStr">
        <is>
          <t>단일판매공급계약체결</t>
        </is>
      </c>
      <c r="F118" s="3" t="inlineStr">
        <is>
          <t xml:space="preserve">단일판매ㆍ공급계약체결              </t>
        </is>
      </c>
      <c r="G118" s="7" t="inlineStr">
        <is>
          <t>기업용 SSD 컨트롤러 공급</t>
        </is>
      </c>
      <c r="H118" s="2" t="inlineStr">
        <is>
          <t>2026-03-11</t>
        </is>
      </c>
      <c r="I118" s="2" t="inlineStr">
        <is>
          <t>2026-09-11</t>
        </is>
      </c>
      <c r="J118" s="5" t="n">
        <v>22666392000</v>
      </c>
      <c r="K118" s="2" t="inlineStr">
        <is>
          <t>-</t>
        </is>
      </c>
      <c r="L118" s="13" t="n">
        <v>52.1</v>
      </c>
      <c r="M118" s="7" t="inlineStr">
        <is>
          <t>해외 Nand Flash Memory 제조사</t>
        </is>
      </c>
      <c r="N118" s="2" t="inlineStr">
        <is>
          <t>20260312900185</t>
        </is>
      </c>
      <c r="O118" s="8">
        <f>HYPERLINK("https://dart.fss.or.kr/dsaf001/main.do?rcpNo=20260312900185", "공시열람")</f>
        <v/>
      </c>
    </row>
    <row r="119" ht="36" customHeight="1">
      <c r="A119" s="2" t="inlineStr">
        <is>
          <t>2026-03-12</t>
        </is>
      </c>
      <c r="B119" s="3" t="inlineStr">
        <is>
          <t>한국카본</t>
        </is>
      </c>
      <c r="C119" s="2" t="inlineStr">
        <is>
          <t>코스피</t>
        </is>
      </c>
      <c r="D119" s="2" t="inlineStr">
        <is>
          <t>017960</t>
        </is>
      </c>
      <c r="E119" s="2" t="inlineStr">
        <is>
          <t>단일판매공급계약체결</t>
        </is>
      </c>
      <c r="F119" s="3" t="inlineStr">
        <is>
          <t xml:space="preserve">단일판매ㆍ공급계약체결              </t>
        </is>
      </c>
      <c r="G119" s="7" t="inlineStr">
        <is>
          <t>LNG 수송선 화물창용 초저온 보냉자재 공급계약</t>
        </is>
      </c>
      <c r="H119" s="2" t="inlineStr">
        <is>
          <t>2026-03-12</t>
        </is>
      </c>
      <c r="I119" s="2" t="inlineStr">
        <is>
          <t>2028-06-30</t>
        </is>
      </c>
      <c r="J119" s="5" t="n">
        <v>42962544000</v>
      </c>
      <c r="K119" s="2" t="inlineStr">
        <is>
          <t>-</t>
        </is>
      </c>
      <c r="L119" s="13" t="n">
        <v>5.8</v>
      </c>
      <c r="M119" s="7" t="inlineStr">
        <is>
          <t>HD현대삼호주식회사</t>
        </is>
      </c>
      <c r="N119" s="2" t="inlineStr">
        <is>
          <t>20260312800229</t>
        </is>
      </c>
      <c r="O119" s="8">
        <f>HYPERLINK("https://dart.fss.or.kr/dsaf001/main.do?rcpNo=20260312800229", "공시열람")</f>
        <v/>
      </c>
    </row>
    <row r="120" ht="36" customHeight="1">
      <c r="A120" s="2" t="inlineStr">
        <is>
          <t>2026-03-12</t>
        </is>
      </c>
      <c r="B120" s="3" t="inlineStr">
        <is>
          <t>한국카본</t>
        </is>
      </c>
      <c r="C120" s="2" t="inlineStr">
        <is>
          <t>코스피</t>
        </is>
      </c>
      <c r="D120" s="2" t="inlineStr">
        <is>
          <t>017960</t>
        </is>
      </c>
      <c r="E120" s="2" t="inlineStr">
        <is>
          <t>단일판매공급계약체결</t>
        </is>
      </c>
      <c r="F120" s="3" t="inlineStr">
        <is>
          <t xml:space="preserve">단일판매ㆍ공급계약체결              </t>
        </is>
      </c>
      <c r="G120" s="7" t="inlineStr">
        <is>
          <t>LNG 수송선 화물창용 초저온 보냉자재 공급계약</t>
        </is>
      </c>
      <c r="H120" s="2" t="inlineStr">
        <is>
          <t>2026-03-12</t>
        </is>
      </c>
      <c r="I120" s="2" t="inlineStr">
        <is>
          <t>2029-03-31</t>
        </is>
      </c>
      <c r="J120" s="5" t="n">
        <v>184997184000</v>
      </c>
      <c r="K120" s="2" t="inlineStr">
        <is>
          <t>-</t>
        </is>
      </c>
      <c r="L120" s="13" t="n">
        <v>24.9</v>
      </c>
      <c r="M120" s="7" t="inlineStr">
        <is>
          <t>HD현대중공업주식회사</t>
        </is>
      </c>
      <c r="N120" s="2" t="inlineStr">
        <is>
          <t>20260312800227</t>
        </is>
      </c>
      <c r="O120" s="8">
        <f>HYPERLINK("https://dart.fss.or.kr/dsaf001/main.do?rcpNo=20260312800227", "공시열람")</f>
        <v/>
      </c>
    </row>
    <row r="121" ht="36" customHeight="1">
      <c r="A121" s="2" t="inlineStr">
        <is>
          <t>2026-03-12</t>
        </is>
      </c>
      <c r="B121" s="3" t="inlineStr">
        <is>
          <t>와이제이링크</t>
        </is>
      </c>
      <c r="C121" s="2" t="inlineStr">
        <is>
          <t>코스닥</t>
        </is>
      </c>
      <c r="D121" s="2" t="inlineStr">
        <is>
          <t>209640</t>
        </is>
      </c>
      <c r="E121" s="2" t="inlineStr">
        <is>
          <t>단일판매공급계약체결</t>
        </is>
      </c>
      <c r="F121" s="3" t="inlineStr">
        <is>
          <t xml:space="preserve">단일판매ㆍ공급계약체결(자율공시)              </t>
        </is>
      </c>
      <c r="G121" s="7" t="inlineStr">
        <is>
          <t>SMT Full Line 공급</t>
        </is>
      </c>
      <c r="H121" s="2" t="inlineStr">
        <is>
          <t>2026-03-06</t>
        </is>
      </c>
      <c r="I121" s="2" t="inlineStr">
        <is>
          <t>2027-06-30</t>
        </is>
      </c>
      <c r="J121" s="5" t="n">
        <v>4140000000</v>
      </c>
      <c r="K121" s="2" t="inlineStr">
        <is>
          <t>-</t>
        </is>
      </c>
      <c r="L121" s="13" t="n">
        <v>8.529999999999999</v>
      </c>
      <c r="M121" s="7" t="inlineStr">
        <is>
          <t>자동차 부품 제조회사</t>
        </is>
      </c>
      <c r="N121" s="2" t="inlineStr">
        <is>
          <t>20260312900127</t>
        </is>
      </c>
      <c r="O121" s="8">
        <f>HYPERLINK("https://dart.fss.or.kr/dsaf001/main.do?rcpNo=20260312900127", "공시열람")</f>
        <v/>
      </c>
    </row>
    <row r="122" ht="36" customHeight="1">
      <c r="A122" s="2" t="inlineStr">
        <is>
          <t>2026-03-12</t>
        </is>
      </c>
      <c r="B122" s="3" t="inlineStr">
        <is>
          <t>HD현대마린엔진</t>
        </is>
      </c>
      <c r="C122" s="2" t="inlineStr">
        <is>
          <t>코스피</t>
        </is>
      </c>
      <c r="D122" s="2" t="inlineStr">
        <is>
          <t>071970</t>
        </is>
      </c>
      <c r="E122" s="2" t="inlineStr">
        <is>
          <t>단일판매공급계약체결</t>
        </is>
      </c>
      <c r="F122" s="3" t="inlineStr">
        <is>
          <t xml:space="preserve">단일판매ㆍ공급계약체결              </t>
        </is>
      </c>
      <c r="G122" s="7" t="inlineStr">
        <is>
          <t>선박엔진 공급계약</t>
        </is>
      </c>
      <c r="H122" s="2" t="inlineStr">
        <is>
          <t>2026-03-12</t>
        </is>
      </c>
      <c r="I122" s="2" t="inlineStr">
        <is>
          <t>2028-05-09</t>
        </is>
      </c>
      <c r="J122" s="5" t="n">
        <v>33454440000</v>
      </c>
      <c r="K122" s="2" t="inlineStr">
        <is>
          <t>-</t>
        </is>
      </c>
      <c r="L122" s="13" t="n">
        <v>10.6</v>
      </c>
      <c r="M122" s="7" t="inlineStr">
        <is>
          <t>Taizhou Sanfu Ship Engineering Co., Ltd</t>
        </is>
      </c>
      <c r="N122" s="2" t="inlineStr">
        <is>
          <t>20260312800070</t>
        </is>
      </c>
      <c r="O122" s="8">
        <f>HYPERLINK("https://dart.fss.or.kr/dsaf001/main.do?rcpNo=20260312800070", "공시열람")</f>
        <v/>
      </c>
    </row>
    <row r="123" ht="36" customHeight="1">
      <c r="A123" s="2" t="inlineStr">
        <is>
          <t>2026-03-13</t>
        </is>
      </c>
      <c r="B123" s="3" t="inlineStr">
        <is>
          <t>엠앤씨솔루션</t>
        </is>
      </c>
      <c r="C123" s="2" t="inlineStr">
        <is>
          <t>코스피</t>
        </is>
      </c>
      <c r="D123" s="2" t="inlineStr">
        <is>
          <t>484870</t>
        </is>
      </c>
      <c r="E123" s="2" t="inlineStr">
        <is>
          <t>단일판매공급계약체결</t>
        </is>
      </c>
      <c r="F123" s="3" t="inlineStr">
        <is>
          <t xml:space="preserve">단일판매ㆍ공급계약체결              </t>
        </is>
      </c>
      <c r="G123" s="7" t="inlineStr">
        <is>
          <t>천무 발사대 폴란드 2차 60대분 부품공급계약</t>
        </is>
      </c>
      <c r="H123" s="2" t="inlineStr">
        <is>
          <t>2026-03-13</t>
        </is>
      </c>
      <c r="I123" s="2" t="inlineStr">
        <is>
          <t>2028-02-01</t>
        </is>
      </c>
      <c r="J123" s="5" t="n">
        <v>18299580000</v>
      </c>
      <c r="K123" s="2" t="inlineStr">
        <is>
          <t>-</t>
        </is>
      </c>
      <c r="L123" s="13" t="n">
        <v>6.47</v>
      </c>
      <c r="M123" s="7" t="inlineStr">
        <is>
          <t>한화에어로스페이스(주)</t>
        </is>
      </c>
      <c r="N123" s="2" t="inlineStr">
        <is>
          <t>20260313801877</t>
        </is>
      </c>
      <c r="O123" s="8">
        <f>HYPERLINK("https://dart.fss.or.kr/dsaf001/main.do?rcpNo=20260313801877", "공시열람")</f>
        <v/>
      </c>
    </row>
    <row r="124" ht="36" customHeight="1">
      <c r="A124" s="2" t="inlineStr">
        <is>
          <t>2026-03-13 (정정: 2026-03-13)</t>
        </is>
      </c>
      <c r="B124" s="3" t="inlineStr">
        <is>
          <t>하나기술</t>
        </is>
      </c>
      <c r="C124" s="2" t="inlineStr">
        <is>
          <t>코스닥</t>
        </is>
      </c>
      <c r="D124" s="2" t="inlineStr">
        <is>
          <t>299030</t>
        </is>
      </c>
      <c r="E124" s="2" t="inlineStr">
        <is>
          <t>단일판매공급계약체결</t>
        </is>
      </c>
      <c r="F124" s="3" t="inlineStr">
        <is>
          <t>[기재정정]단일판매ㆍ공급계약체결               (정정: 20260313)</t>
        </is>
      </c>
      <c r="G124" s="7" t="inlineStr">
        <is>
          <t>2차전지 각형 조립라인 장비 턴키</t>
        </is>
      </c>
      <c r="H124" s="2" t="inlineStr">
        <is>
          <t>2024-05-31</t>
        </is>
      </c>
      <c r="I124" s="2" t="inlineStr">
        <is>
          <t>2027-08-01</t>
        </is>
      </c>
      <c r="J124" s="5" t="n">
        <v>40331450000</v>
      </c>
      <c r="K124" s="2" t="inlineStr">
        <is>
          <t>-</t>
        </is>
      </c>
      <c r="L124" s="13" t="n">
        <v>33.62</v>
      </c>
      <c r="M124" s="7" t="inlineStr">
        <is>
          <t>NOVO Energy Production AB</t>
        </is>
      </c>
      <c r="N124" s="2" t="inlineStr">
        <is>
          <t>20260313901891</t>
        </is>
      </c>
      <c r="O124" s="8">
        <f>HYPERLINK("https://dart.fss.or.kr/dsaf001/main.do?rcpNo=20260313901891", "공시열람")</f>
        <v/>
      </c>
    </row>
    <row r="125" ht="36" customHeight="1">
      <c r="A125" s="2" t="inlineStr">
        <is>
          <t>2026-03-13</t>
        </is>
      </c>
      <c r="B125" s="3" t="inlineStr">
        <is>
          <t>현대건설</t>
        </is>
      </c>
      <c r="C125" s="2" t="inlineStr">
        <is>
          <t>코스피</t>
        </is>
      </c>
      <c r="D125" s="2" t="inlineStr">
        <is>
          <t>000720</t>
        </is>
      </c>
      <c r="E125" s="2" t="inlineStr">
        <is>
          <t>단일판매공급계약체결</t>
        </is>
      </c>
      <c r="F125" s="3" t="inlineStr">
        <is>
          <t xml:space="preserve">단일판매ㆍ공급계약해지              </t>
        </is>
      </c>
      <c r="G125" s="7" t="inlineStr">
        <is>
          <t>-</t>
        </is>
      </c>
      <c r="H125" s="2" t="inlineStr">
        <is>
          <t>2022-06-12</t>
        </is>
      </c>
      <c r="I125" s="2" t="inlineStr">
        <is>
          <t>2026-03-12</t>
        </is>
      </c>
      <c r="J125" s="5" t="inlineStr"/>
      <c r="K125" s="2" t="inlineStr">
        <is>
          <t>-</t>
        </is>
      </c>
      <c r="L125" s="3" t="inlineStr"/>
      <c r="M125" s="7" t="inlineStr">
        <is>
          <t>Neom Company</t>
        </is>
      </c>
      <c r="N125" s="2" t="inlineStr">
        <is>
          <t>20260313801644</t>
        </is>
      </c>
      <c r="O125" s="8">
        <f>HYPERLINK("https://dart.fss.or.kr/dsaf001/main.do?rcpNo=20260313801644", "공시열람")</f>
        <v/>
      </c>
    </row>
    <row r="126" ht="36" customHeight="1">
      <c r="A126" s="2" t="inlineStr">
        <is>
          <t>2026-03-13</t>
        </is>
      </c>
      <c r="B126" s="3" t="inlineStr">
        <is>
          <t>판타지오</t>
        </is>
      </c>
      <c r="C126" s="2" t="inlineStr">
        <is>
          <t>코스닥</t>
        </is>
      </c>
      <c r="D126" s="2" t="inlineStr">
        <is>
          <t>032800</t>
        </is>
      </c>
      <c r="E126" s="2" t="inlineStr">
        <is>
          <t>단일판매공급계약체결</t>
        </is>
      </c>
      <c r="F126" s="3" t="inlineStr">
        <is>
          <t xml:space="preserve">단일판매ㆍ공급계약체결              </t>
        </is>
      </c>
      <c r="G126" s="7" t="inlineStr">
        <is>
          <t>드라마 공동제작 계약</t>
        </is>
      </c>
      <c r="H126" s="2" t="inlineStr">
        <is>
          <t>2026-03-13</t>
        </is>
      </c>
      <c r="I126" s="2" t="inlineStr">
        <is>
          <t>2026-07-31</t>
        </is>
      </c>
      <c r="J126" s="5" t="inlineStr"/>
      <c r="K126" s="2" t="inlineStr">
        <is>
          <t>-</t>
        </is>
      </c>
      <c r="L126" s="3" t="inlineStr"/>
      <c r="M126" s="7" t="inlineStr">
        <is>
          <t>스튜디오에스(주)</t>
        </is>
      </c>
      <c r="N126" s="2" t="inlineStr">
        <is>
          <t>20260313901606</t>
        </is>
      </c>
      <c r="O126" s="8">
        <f>HYPERLINK("https://dart.fss.or.kr/dsaf001/main.do?rcpNo=20260313901606", "공시열람")</f>
        <v/>
      </c>
    </row>
    <row r="127" ht="36" customHeight="1">
      <c r="A127" s="2" t="inlineStr">
        <is>
          <t>2026-04-16</t>
        </is>
      </c>
      <c r="B127" s="3" t="inlineStr">
        <is>
          <t>NPX</t>
        </is>
      </c>
      <c r="C127" s="2" t="inlineStr">
        <is>
          <t>코스닥</t>
        </is>
      </c>
      <c r="D127" s="2" t="inlineStr">
        <is>
          <t>222160</t>
        </is>
      </c>
      <c r="E127" s="2" t="inlineStr">
        <is>
          <t>단일판매공급계약체결</t>
        </is>
      </c>
      <c r="F127" s="3" t="inlineStr">
        <is>
          <t xml:space="preserve">단일판매ㆍ공급계약체결              </t>
        </is>
      </c>
      <c r="G127" s="7" t="inlineStr">
        <is>
          <t>BBT(Bare Board Tester)장비판매</t>
        </is>
      </c>
      <c r="H127" s="2" t="inlineStr">
        <is>
          <t>2026-04-16</t>
        </is>
      </c>
      <c r="I127" s="2" t="inlineStr">
        <is>
          <t>2027-06-30</t>
        </is>
      </c>
      <c r="J127" s="5" t="n">
        <v>427199000</v>
      </c>
      <c r="K127" s="2" t="inlineStr">
        <is>
          <t>-</t>
        </is>
      </c>
      <c r="L127" s="13" t="n">
        <v>11.7</v>
      </c>
      <c r="M127" s="7" t="inlineStr">
        <is>
          <t>PCB제조업체</t>
        </is>
      </c>
      <c r="N127" s="2" t="inlineStr">
        <is>
          <t>20260416900651</t>
        </is>
      </c>
      <c r="O127" s="8">
        <f>HYPERLINK("https://dart.fss.or.kr/dsaf001/main.do?rcpNo=20260416900651", "공시열람")</f>
        <v/>
      </c>
    </row>
    <row r="128" ht="36" customHeight="1">
      <c r="A128" s="2" t="inlineStr">
        <is>
          <t>2026-04-16 (정정: 2026-04-16)</t>
        </is>
      </c>
      <c r="B128" s="3" t="inlineStr">
        <is>
          <t>링크드</t>
        </is>
      </c>
      <c r="C128" s="2" t="inlineStr">
        <is>
          <t>코스닥</t>
        </is>
      </c>
      <c r="D128" s="2" t="inlineStr">
        <is>
          <t>193250</t>
        </is>
      </c>
      <c r="E128" s="2" t="inlineStr">
        <is>
          <t>단일판매공급계약체결</t>
        </is>
      </c>
      <c r="F128" s="3" t="inlineStr">
        <is>
          <t xml:space="preserve">[기재정정]단일판매ㆍ공급계약체결              </t>
        </is>
      </c>
      <c r="G128" s="7" t="inlineStr">
        <is>
          <t>신기술융합콘텐츠 제작 및 운영</t>
        </is>
      </c>
      <c r="H128" s="2" t="inlineStr">
        <is>
          <t>2026-04-15</t>
        </is>
      </c>
      <c r="I128" s="2" t="inlineStr">
        <is>
          <t>2026-11-30</t>
        </is>
      </c>
      <c r="J128" s="5" t="n">
        <v>1097964000</v>
      </c>
      <c r="K128" s="2" t="inlineStr">
        <is>
          <t>-</t>
        </is>
      </c>
      <c r="L128" s="13" t="n">
        <v>10.5</v>
      </c>
      <c r="M128" s="7" t="inlineStr">
        <is>
          <t>서울지방조달청</t>
        </is>
      </c>
      <c r="N128" s="2" t="inlineStr">
        <is>
          <t>20260416900638</t>
        </is>
      </c>
      <c r="O128" s="8">
        <f>HYPERLINK("https://dart.fss.or.kr/dsaf001/main.do?rcpNo=20260416900638", "공시열람")</f>
        <v/>
      </c>
    </row>
    <row r="129" ht="36" customHeight="1">
      <c r="A129" s="2" t="inlineStr">
        <is>
          <t>2025-06-27 (정정: 2026-04-16)</t>
        </is>
      </c>
      <c r="B129" s="3" t="inlineStr">
        <is>
          <t>티와이홀딩스</t>
        </is>
      </c>
      <c r="C129" s="2" t="inlineStr">
        <is>
          <t>코스피</t>
        </is>
      </c>
      <c r="D129" s="2" t="inlineStr">
        <is>
          <t>363280</t>
        </is>
      </c>
      <c r="E129" s="2" t="inlineStr">
        <is>
          <t>단일판매공급계약체결</t>
        </is>
      </c>
      <c r="F129" s="3" t="inlineStr">
        <is>
          <t xml:space="preserve">[기재정정]단일판매ㆍ공급계약체결(자회사의 주요경영사항)              </t>
        </is>
      </c>
      <c r="G129" s="7" t="inlineStr">
        <is>
          <t>단일판매ㆍ공급계약 체결((가칭)동탄11고 외 3교 신축공사)</t>
        </is>
      </c>
      <c r="H129" s="2" t="inlineStr">
        <is>
          <t>2025-07-09</t>
        </is>
      </c>
      <c r="I129" s="2" t="inlineStr">
        <is>
          <t>2027-06-30</t>
        </is>
      </c>
      <c r="J129" s="5" t="n">
        <v>80931936232</v>
      </c>
      <c r="K129" s="2" t="inlineStr">
        <is>
          <t>-</t>
        </is>
      </c>
      <c r="L129" s="13" t="n">
        <v>3.01</v>
      </c>
      <c r="M129" s="7" t="inlineStr">
        <is>
          <t>경기도교육청</t>
        </is>
      </c>
      <c r="N129" s="2" t="inlineStr">
        <is>
          <t>20260416800584</t>
        </is>
      </c>
      <c r="O129" s="8">
        <f>HYPERLINK("https://dart.fss.or.kr/dsaf001/main.do?rcpNo=20260416800584", "공시열람")</f>
        <v/>
      </c>
    </row>
    <row r="130" ht="36" customHeight="1">
      <c r="A130" s="2" t="inlineStr">
        <is>
          <t>2026-04-16 (정정: 2026-06-23)</t>
        </is>
      </c>
      <c r="B130" s="3" t="inlineStr">
        <is>
          <t>파이버프로</t>
        </is>
      </c>
      <c r="C130" s="2" t="inlineStr">
        <is>
          <t>코스닥</t>
        </is>
      </c>
      <c r="D130" s="2" t="inlineStr">
        <is>
          <t>368770</t>
        </is>
      </c>
      <c r="E130" s="2" t="inlineStr">
        <is>
          <t>단일판매공급계약체결</t>
        </is>
      </c>
      <c r="F130" s="3" t="inlineStr">
        <is>
          <t>단일판매ㆍ공급계약체결               (정정: 20260623)</t>
        </is>
      </c>
      <c r="G130" s="7" t="inlineStr">
        <is>
          <t>OO급 관성측정기 수출용 소요자재 공급계약</t>
        </is>
      </c>
      <c r="H130" s="2" t="inlineStr">
        <is>
          <t>2024-04-29</t>
        </is>
      </c>
      <c r="I130" s="2" t="inlineStr">
        <is>
          <t>2029-02-10</t>
        </is>
      </c>
      <c r="J130" s="5" t="n">
        <v>17899464000</v>
      </c>
      <c r="K130" s="2" t="inlineStr">
        <is>
          <t>-</t>
        </is>
      </c>
      <c r="L130" s="13" t="n">
        <v>92.33</v>
      </c>
      <c r="M130" s="7" t="inlineStr">
        <is>
          <t>한화에어로스페이스㈜</t>
        </is>
      </c>
      <c r="N130" s="2" t="inlineStr">
        <is>
          <t>20260623900750</t>
        </is>
      </c>
      <c r="O130" s="8">
        <f>HYPERLINK("https://dart.fss.or.kr/dsaf001/main.do?rcpNo=20260623900750", "공시열람")</f>
        <v/>
      </c>
    </row>
    <row r="131" ht="36" customHeight="1">
      <c r="A131" s="2" t="inlineStr">
        <is>
          <t>2025-06-27 (정정: 2026-04-16)</t>
        </is>
      </c>
      <c r="B131" s="3" t="inlineStr">
        <is>
          <t>태영건설</t>
        </is>
      </c>
      <c r="C131" s="2" t="inlineStr">
        <is>
          <t>코스피</t>
        </is>
      </c>
      <c r="D131" s="2" t="inlineStr">
        <is>
          <t>009410</t>
        </is>
      </c>
      <c r="E131" s="2" t="inlineStr">
        <is>
          <t>단일판매공급계약체결</t>
        </is>
      </c>
      <c r="F131" s="3" t="inlineStr">
        <is>
          <t xml:space="preserve">[기재정정]단일판매ㆍ공급계약체결              </t>
        </is>
      </c>
      <c r="G131" s="7" t="inlineStr">
        <is>
          <t>단일판매ㆍ공급계약 체결((가칭)동탄11고 외 3교 신축공사)</t>
        </is>
      </c>
      <c r="H131" s="2" t="inlineStr">
        <is>
          <t>2025-07-09</t>
        </is>
      </c>
      <c r="I131" s="2" t="inlineStr">
        <is>
          <t>2027-06-30</t>
        </is>
      </c>
      <c r="J131" s="5" t="n">
        <v>80931936232</v>
      </c>
      <c r="K131" s="2" t="inlineStr">
        <is>
          <t>-</t>
        </is>
      </c>
      <c r="L131" s="13" t="n">
        <v>3.01</v>
      </c>
      <c r="M131" s="7" t="inlineStr">
        <is>
          <t>경기도교육청</t>
        </is>
      </c>
      <c r="N131" s="2" t="inlineStr">
        <is>
          <t>20260416800534</t>
        </is>
      </c>
      <c r="O131" s="8">
        <f>HYPERLINK("https://dart.fss.or.kr/dsaf001/main.do?rcpNo=20260416800534", "공시열람")</f>
        <v/>
      </c>
    </row>
    <row r="132" ht="36" customHeight="1">
      <c r="A132" s="2" t="inlineStr">
        <is>
          <t>2026-04-16 (정정: 2026-06-30)</t>
        </is>
      </c>
      <c r="B132" s="3" t="inlineStr">
        <is>
          <t>앱클론</t>
        </is>
      </c>
      <c r="C132" s="2" t="inlineStr">
        <is>
          <t>코스닥</t>
        </is>
      </c>
      <c r="D132" s="2" t="inlineStr">
        <is>
          <t>174900</t>
        </is>
      </c>
      <c r="E132" s="2" t="inlineStr">
        <is>
          <t>단일판매공급계약체결</t>
        </is>
      </c>
      <c r="F132" s="3" t="inlineStr">
        <is>
          <t>[기재정정]단일판매ㆍ공급계약체결(자율공시)               (정정: 20260630)</t>
        </is>
      </c>
      <c r="G132" s="7" t="inlineStr">
        <is>
          <t>식품의약품안전평가원 시약 및 실험기자재 구매입찰_2026년 2월1기(제2026-58호)</t>
        </is>
      </c>
      <c r="H132" s="2" t="inlineStr">
        <is>
          <t>2026-04-16</t>
        </is>
      </c>
      <c r="I132" s="2" t="inlineStr">
        <is>
          <t>2026-08-31</t>
        </is>
      </c>
      <c r="J132" s="5" t="n">
        <v>355762000</v>
      </c>
      <c r="K132" s="2" t="inlineStr">
        <is>
          <t>-</t>
        </is>
      </c>
      <c r="L132" s="13" t="n">
        <v>7.5</v>
      </c>
      <c r="M132" s="7" t="inlineStr">
        <is>
          <t>식품의약품안전처 식품의약품안전평가원</t>
        </is>
      </c>
      <c r="N132" s="2" t="inlineStr">
        <is>
          <t>20260630900653</t>
        </is>
      </c>
      <c r="O132" s="8">
        <f>HYPERLINK("https://dart.fss.or.kr/dsaf001/main.do?rcpNo=20260630900653", "공시열람")</f>
        <v/>
      </c>
    </row>
    <row r="133" ht="36" customHeight="1">
      <c r="A133" s="2" t="inlineStr">
        <is>
          <t>2026-04-16</t>
        </is>
      </c>
      <c r="B133" s="3" t="inlineStr">
        <is>
          <t>링크드</t>
        </is>
      </c>
      <c r="C133" s="2" t="inlineStr">
        <is>
          <t>코스닥</t>
        </is>
      </c>
      <c r="D133" s="2" t="inlineStr">
        <is>
          <t>193250</t>
        </is>
      </c>
      <c r="E133" s="2" t="inlineStr">
        <is>
          <t>단일판매공급계약체결</t>
        </is>
      </c>
      <c r="F133" s="3" t="inlineStr">
        <is>
          <t xml:space="preserve">단일판매ㆍ공급계약체결              </t>
        </is>
      </c>
      <c r="G133" s="7" t="inlineStr">
        <is>
          <t>신기술융합콘텐츠 제작 및 운영</t>
        </is>
      </c>
      <c r="H133" s="2" t="inlineStr">
        <is>
          <t>2026-04-15</t>
        </is>
      </c>
      <c r="I133" s="2" t="inlineStr">
        <is>
          <t>2026-11-30</t>
        </is>
      </c>
      <c r="J133" s="5" t="n">
        <v>1097964000</v>
      </c>
      <c r="K133" s="2" t="inlineStr">
        <is>
          <t>-</t>
        </is>
      </c>
      <c r="L133" s="13" t="n">
        <v>10.5</v>
      </c>
      <c r="M133" s="7" t="inlineStr">
        <is>
          <t>서울지방조달청</t>
        </is>
      </c>
      <c r="N133" s="2" t="inlineStr">
        <is>
          <t>20260416900444</t>
        </is>
      </c>
      <c r="O133" s="8">
        <f>HYPERLINK("https://dart.fss.or.kr/dsaf001/main.do?rcpNo=20260416900444", "공시열람")</f>
        <v/>
      </c>
    </row>
    <row r="134" ht="36" customHeight="1">
      <c r="A134" s="2" t="inlineStr">
        <is>
          <t>2026-04-16</t>
        </is>
      </c>
      <c r="B134" s="3" t="inlineStr">
        <is>
          <t>엔알비</t>
        </is>
      </c>
      <c r="C134" s="2" t="inlineStr">
        <is>
          <t>코스닥</t>
        </is>
      </c>
      <c r="D134" s="2" t="inlineStr">
        <is>
          <t>475230</t>
        </is>
      </c>
      <c r="E134" s="2" t="inlineStr">
        <is>
          <t>단일판매공급계약체결</t>
        </is>
      </c>
      <c r="F134" s="3" t="inlineStr">
        <is>
          <t xml:space="preserve">단일판매ㆍ공급계약체결              </t>
        </is>
      </c>
      <c r="G134" s="7" t="inlineStr">
        <is>
          <t>한국세무금융고 생활관 모듈러 제작 및 설치</t>
        </is>
      </c>
      <c r="H134" s="2" t="inlineStr">
        <is>
          <t>2026-04-16</t>
        </is>
      </c>
      <c r="I134" s="2" t="inlineStr">
        <is>
          <t>2027-02-10</t>
        </is>
      </c>
      <c r="J134" s="5" t="n">
        <v>8063300000</v>
      </c>
      <c r="K134" s="2" t="inlineStr">
        <is>
          <t>-</t>
        </is>
      </c>
      <c r="L134" s="13" t="n">
        <v>13.56</v>
      </c>
      <c r="M134" s="7" t="inlineStr">
        <is>
          <t>강원지방조달청</t>
        </is>
      </c>
      <c r="N134" s="2" t="inlineStr">
        <is>
          <t>20260416900393</t>
        </is>
      </c>
      <c r="O134" s="8">
        <f>HYPERLINK("https://dart.fss.or.kr/dsaf001/main.do?rcpNo=20260416900393", "공시열람")</f>
        <v/>
      </c>
    </row>
    <row r="135" ht="36" customHeight="1">
      <c r="A135" s="2" t="inlineStr">
        <is>
          <t>2026-04-16</t>
        </is>
      </c>
      <c r="B135" s="3" t="inlineStr">
        <is>
          <t>대우건설</t>
        </is>
      </c>
      <c r="C135" s="2" t="inlineStr">
        <is>
          <t>코스피</t>
        </is>
      </c>
      <c r="D135" s="2" t="inlineStr">
        <is>
          <t>047040</t>
        </is>
      </c>
      <c r="E135" s="2" t="inlineStr">
        <is>
          <t>단일판매공급계약체결</t>
        </is>
      </c>
      <c r="F135" s="3" t="inlineStr">
        <is>
          <t xml:space="preserve">단일판매ㆍ공급계약체결              </t>
        </is>
      </c>
      <c r="G135" s="7" t="inlineStr">
        <is>
          <t>신흥3구역 공공참여 재개발사업</t>
        </is>
      </c>
      <c r="H135" s="2" t="inlineStr">
        <is>
          <t>-</t>
        </is>
      </c>
      <c r="I135" s="2" t="inlineStr">
        <is>
          <t>-</t>
        </is>
      </c>
      <c r="J135" s="5" t="n">
        <v>1268656700000</v>
      </c>
      <c r="K135" s="2" t="inlineStr">
        <is>
          <t>-</t>
        </is>
      </c>
      <c r="L135" s="13" t="n">
        <v>15.75</v>
      </c>
      <c r="M135" s="7" t="inlineStr">
        <is>
          <t>한국토지주택공사</t>
        </is>
      </c>
      <c r="N135" s="2" t="inlineStr">
        <is>
          <t>20260416800364</t>
        </is>
      </c>
      <c r="O135" s="8">
        <f>HYPERLINK("https://dart.fss.or.kr/dsaf001/main.do?rcpNo=20260416800364", "공시열람")</f>
        <v/>
      </c>
    </row>
    <row r="136" ht="36" customHeight="1">
      <c r="A136" s="2" t="inlineStr">
        <is>
          <t>2026-04-16</t>
        </is>
      </c>
      <c r="B136" s="3" t="inlineStr">
        <is>
          <t>유엑스엔</t>
        </is>
      </c>
      <c r="C136" s="2" t="inlineStr">
        <is>
          <t>코넥스</t>
        </is>
      </c>
      <c r="D136" s="2" t="inlineStr">
        <is>
          <t>337840</t>
        </is>
      </c>
      <c r="E136" s="2" t="inlineStr">
        <is>
          <t>기타</t>
        </is>
      </c>
      <c r="F136" s="3" t="inlineStr">
        <is>
          <t xml:space="preserve">특허권취득(자율공시)              </t>
        </is>
      </c>
      <c r="G136" s="7" t="inlineStr">
        <is>
          <t>-</t>
        </is>
      </c>
      <c r="H136" s="2" t="inlineStr">
        <is>
          <t>-</t>
        </is>
      </c>
      <c r="I136" s="2" t="inlineStr">
        <is>
          <t>-</t>
        </is>
      </c>
      <c r="J136" s="5" t="inlineStr"/>
      <c r="K136" s="2" t="inlineStr">
        <is>
          <t>-</t>
        </is>
      </c>
      <c r="L136" s="3" t="inlineStr"/>
      <c r="M136" s="7" t="inlineStr">
        <is>
          <t>-</t>
        </is>
      </c>
      <c r="N136" s="2" t="inlineStr">
        <is>
          <t>20260416600321</t>
        </is>
      </c>
      <c r="O136" s="8">
        <f>HYPERLINK("https://dart.fss.or.kr/dsaf001/main.do?rcpNo=20260416600321", "공시열람")</f>
        <v/>
      </c>
    </row>
    <row r="137" ht="36" customHeight="1">
      <c r="A137" s="2" t="inlineStr">
        <is>
          <t>2026-04-16</t>
        </is>
      </c>
      <c r="B137" s="3" t="inlineStr">
        <is>
          <t>한전기술</t>
        </is>
      </c>
      <c r="C137" s="2" t="inlineStr">
        <is>
          <t>코스피</t>
        </is>
      </c>
      <c r="D137" s="2" t="inlineStr">
        <is>
          <t>052690</t>
        </is>
      </c>
      <c r="E137" s="2" t="inlineStr">
        <is>
          <t>단일판매공급계약체결</t>
        </is>
      </c>
      <c r="F137" s="3" t="inlineStr">
        <is>
          <t xml:space="preserve">단일판매ㆍ공급계약체결              </t>
        </is>
      </c>
      <c r="G137" s="7" t="inlineStr">
        <is>
          <t>2026년도 가동원전 긴급지원 기술용역</t>
        </is>
      </c>
      <c r="H137" s="2" t="inlineStr">
        <is>
          <t>2026-04-14</t>
        </is>
      </c>
      <c r="I137" s="2" t="inlineStr">
        <is>
          <t>2027-04-13</t>
        </is>
      </c>
      <c r="J137" s="5" t="n">
        <v>33445840000</v>
      </c>
      <c r="K137" s="2" t="inlineStr">
        <is>
          <t>-</t>
        </is>
      </c>
      <c r="L137" s="13" t="n">
        <v>6.45</v>
      </c>
      <c r="M137" s="7" t="inlineStr">
        <is>
          <t>한국수력원자력㈜</t>
        </is>
      </c>
      <c r="N137" s="2" t="inlineStr">
        <is>
          <t>20260416800301</t>
        </is>
      </c>
      <c r="O137" s="8">
        <f>HYPERLINK("https://dart.fss.or.kr/dsaf001/main.do?rcpNo=20260416800301", "공시열람")</f>
        <v/>
      </c>
    </row>
    <row r="138" ht="36" customHeight="1">
      <c r="A138" s="2" t="inlineStr">
        <is>
          <t>2026-04-16</t>
        </is>
      </c>
      <c r="B138" s="3" t="inlineStr">
        <is>
          <t>대명에너지</t>
        </is>
      </c>
      <c r="C138" s="2" t="inlineStr">
        <is>
          <t>코스닥</t>
        </is>
      </c>
      <c r="D138" s="2" t="inlineStr">
        <is>
          <t>389260</t>
        </is>
      </c>
      <c r="E138" s="2" t="inlineStr">
        <is>
          <t>단일판매공급계약체결</t>
        </is>
      </c>
      <c r="F138" s="3" t="inlineStr">
        <is>
          <t xml:space="preserve">단일판매ㆍ공급계약체결              </t>
        </is>
      </c>
      <c r="G138" s="7" t="inlineStr">
        <is>
          <t>고흥 나로 BESS사업 공사도급계약</t>
        </is>
      </c>
      <c r="H138" s="2" t="inlineStr">
        <is>
          <t>2026-04-16</t>
        </is>
      </c>
      <c r="I138" s="2" t="inlineStr">
        <is>
          <t>2027-03-31</t>
        </is>
      </c>
      <c r="J138" s="5" t="n">
        <v>33700000000</v>
      </c>
      <c r="K138" s="2" t="inlineStr">
        <is>
          <t>-</t>
        </is>
      </c>
      <c r="L138" s="13" t="n">
        <v>25.73</v>
      </c>
      <c r="M138" s="7" t="inlineStr">
        <is>
          <t>고흥나로에너지저장소(주)</t>
        </is>
      </c>
      <c r="N138" s="2" t="inlineStr">
        <is>
          <t>20260416900247</t>
        </is>
      </c>
      <c r="O138" s="8">
        <f>HYPERLINK("https://dart.fss.or.kr/dsaf001/main.do?rcpNo=20260416900247", "공시열람")</f>
        <v/>
      </c>
    </row>
    <row r="139" ht="36" customHeight="1">
      <c r="A139" s="2" t="inlineStr">
        <is>
          <t>2026-04-16</t>
        </is>
      </c>
      <c r="B139" s="3" t="inlineStr">
        <is>
          <t>파인메딕스</t>
        </is>
      </c>
      <c r="C139" s="2" t="inlineStr">
        <is>
          <t>코스닥</t>
        </is>
      </c>
      <c r="D139" s="2" t="inlineStr">
        <is>
          <t>387570</t>
        </is>
      </c>
      <c r="E139" s="2" t="inlineStr">
        <is>
          <t>단일판매공급계약체결</t>
        </is>
      </c>
      <c r="F139" s="3" t="inlineStr">
        <is>
          <t xml:space="preserve">단일판매ㆍ공급계약체결(자율공시)              </t>
        </is>
      </c>
      <c r="G139" s="7" t="inlineStr">
        <is>
          <t>의료기술시험연수원 소화기 내시경 교육장비 구축</t>
        </is>
      </c>
      <c r="H139" s="2" t="inlineStr">
        <is>
          <t>2026-04-16</t>
        </is>
      </c>
      <c r="I139" s="2" t="inlineStr">
        <is>
          <t>2026-10-13</t>
        </is>
      </c>
      <c r="J139" s="5" t="n">
        <v>714572727</v>
      </c>
      <c r="K139" s="2" t="inlineStr">
        <is>
          <t>-</t>
        </is>
      </c>
      <c r="L139" s="13" t="n">
        <v>7.5</v>
      </c>
      <c r="M139" s="7" t="inlineStr">
        <is>
          <t>대구경북첨단의료산업진흥재단</t>
        </is>
      </c>
      <c r="N139" s="2" t="inlineStr">
        <is>
          <t>20260416900210</t>
        </is>
      </c>
      <c r="O139" s="8">
        <f>HYPERLINK("https://dart.fss.or.kr/dsaf001/main.do?rcpNo=20260416900210", "공시열람")</f>
        <v/>
      </c>
    </row>
    <row r="140" ht="36" customHeight="1">
      <c r="A140" s="2" t="inlineStr">
        <is>
          <t>2026-04-16</t>
        </is>
      </c>
      <c r="B140" s="3" t="inlineStr">
        <is>
          <t>HD현대</t>
        </is>
      </c>
      <c r="C140" s="2" t="inlineStr">
        <is>
          <t>코스피</t>
        </is>
      </c>
      <c r="D140" s="2" t="inlineStr">
        <is>
          <t>267250</t>
        </is>
      </c>
      <c r="E140" s="2" t="inlineStr">
        <is>
          <t>단일판매공급계약체결</t>
        </is>
      </c>
      <c r="F140" s="3" t="inlineStr">
        <is>
          <t xml:space="preserve">단일판매ㆍ공급계약체결(자회사의 주요경영사항)              </t>
        </is>
      </c>
      <c r="G140" s="7" t="inlineStr">
        <is>
          <t>LPGC 2척</t>
        </is>
      </c>
      <c r="H140" s="2" t="inlineStr">
        <is>
          <t>2026-04-15</t>
        </is>
      </c>
      <c r="I140" s="2" t="inlineStr">
        <is>
          <t>2029-04-30</t>
        </is>
      </c>
      <c r="J140" s="5" t="n">
        <v>346600000000</v>
      </c>
      <c r="K140" s="2" t="inlineStr">
        <is>
          <t>-</t>
        </is>
      </c>
      <c r="L140" s="13" t="n">
        <v>4.29</v>
      </c>
      <c r="M140" s="7" t="inlineStr">
        <is>
          <t>유럽 소재 선주</t>
        </is>
      </c>
      <c r="N140" s="2" t="inlineStr">
        <is>
          <t>20260416800176</t>
        </is>
      </c>
      <c r="O140" s="8">
        <f>HYPERLINK("https://dart.fss.or.kr/dsaf001/main.do?rcpNo=20260416800176", "공시열람")</f>
        <v/>
      </c>
    </row>
    <row r="141" ht="36" customHeight="1">
      <c r="A141" s="2" t="inlineStr">
        <is>
          <t>2026-04-16</t>
        </is>
      </c>
      <c r="B141" s="3" t="inlineStr">
        <is>
          <t>HD한국조선해양</t>
        </is>
      </c>
      <c r="C141" s="2" t="inlineStr">
        <is>
          <t>코스피</t>
        </is>
      </c>
      <c r="D141" s="2" t="inlineStr">
        <is>
          <t>009540</t>
        </is>
      </c>
      <c r="E141" s="2" t="inlineStr">
        <is>
          <t>단일판매공급계약체결</t>
        </is>
      </c>
      <c r="F141" s="3" t="inlineStr">
        <is>
          <t xml:space="preserve">단일판매ㆍ공급계약체결(자회사의 주요경영사항)              </t>
        </is>
      </c>
      <c r="G141" s="7" t="inlineStr">
        <is>
          <t>LPGC 2척</t>
        </is>
      </c>
      <c r="H141" s="2" t="inlineStr">
        <is>
          <t>2026-04-15</t>
        </is>
      </c>
      <c r="I141" s="2" t="inlineStr">
        <is>
          <t>2029-04-30</t>
        </is>
      </c>
      <c r="J141" s="5" t="n">
        <v>346600000000</v>
      </c>
      <c r="K141" s="2" t="inlineStr">
        <is>
          <t>-</t>
        </is>
      </c>
      <c r="L141" s="13" t="n">
        <v>4.29</v>
      </c>
      <c r="M141" s="7" t="inlineStr">
        <is>
          <t>유럽 소재 선주</t>
        </is>
      </c>
      <c r="N141" s="2" t="inlineStr">
        <is>
          <t>20260416800167</t>
        </is>
      </c>
      <c r="O141" s="8">
        <f>HYPERLINK("https://dart.fss.or.kr/dsaf001/main.do?rcpNo=20260416800167", "공시열람")</f>
        <v/>
      </c>
    </row>
    <row r="142" ht="36" customHeight="1">
      <c r="A142" s="2" t="inlineStr">
        <is>
          <t>2026-04-16</t>
        </is>
      </c>
      <c r="B142" s="3" t="inlineStr">
        <is>
          <t>자이에스앤디</t>
        </is>
      </c>
      <c r="C142" s="2" t="inlineStr">
        <is>
          <t>코스피</t>
        </is>
      </c>
      <c r="D142" s="2" t="inlineStr">
        <is>
          <t>317400</t>
        </is>
      </c>
      <c r="E142" s="2" t="inlineStr">
        <is>
          <t>단일판매공급계약체결</t>
        </is>
      </c>
      <c r="F142" s="3" t="inlineStr">
        <is>
          <t xml:space="preserve">단일판매ㆍ공급계약체결              </t>
        </is>
      </c>
      <c r="G142" s="7" t="inlineStr">
        <is>
          <t>수안동 반도보라맨션 소규모재건축정비사업</t>
        </is>
      </c>
      <c r="H142" s="2" t="inlineStr">
        <is>
          <t>-</t>
        </is>
      </c>
      <c r="I142" s="2" t="inlineStr">
        <is>
          <t>-</t>
        </is>
      </c>
      <c r="J142" s="5" t="n">
        <v>109090000000</v>
      </c>
      <c r="K142" s="2" t="inlineStr">
        <is>
          <t>-</t>
        </is>
      </c>
      <c r="L142" s="13" t="n">
        <v>7.86</v>
      </c>
      <c r="M142" s="7" t="inlineStr">
        <is>
          <t>수안동 반도보라맨션 소규모재건축정비사업조합</t>
        </is>
      </c>
      <c r="N142" s="2" t="inlineStr">
        <is>
          <t>20260416800132</t>
        </is>
      </c>
      <c r="O142" s="8">
        <f>HYPERLINK("https://dart.fss.or.kr/dsaf001/main.do?rcpNo=20260416800132", "공시열람")</f>
        <v/>
      </c>
    </row>
    <row r="143" ht="36" customHeight="1">
      <c r="A143" s="2" t="inlineStr">
        <is>
          <t>2026-04-16</t>
        </is>
      </c>
      <c r="B143" s="3" t="inlineStr">
        <is>
          <t>HD현대중공업</t>
        </is>
      </c>
      <c r="C143" s="2" t="inlineStr">
        <is>
          <t>코스피</t>
        </is>
      </c>
      <c r="D143" s="2" t="inlineStr">
        <is>
          <t>329180</t>
        </is>
      </c>
      <c r="E143" s="2" t="inlineStr">
        <is>
          <t>단일판매공급계약체결</t>
        </is>
      </c>
      <c r="F143" s="3" t="inlineStr">
        <is>
          <t xml:space="preserve">단일판매ㆍ공급계약체결(자율공시)              </t>
        </is>
      </c>
      <c r="G143" s="7" t="inlineStr">
        <is>
          <t>-</t>
        </is>
      </c>
      <c r="H143" s="2" t="inlineStr">
        <is>
          <t>2026-04-15</t>
        </is>
      </c>
      <c r="I143" s="2" t="inlineStr">
        <is>
          <t>2029-03-31</t>
        </is>
      </c>
      <c r="J143" s="5" t="n">
        <v>398500000000</v>
      </c>
      <c r="K143" s="2" t="inlineStr">
        <is>
          <t>-</t>
        </is>
      </c>
      <c r="L143" s="13" t="n">
        <v>2.27</v>
      </c>
      <c r="M143" s="7" t="inlineStr">
        <is>
          <t>유럽 소재 선사</t>
        </is>
      </c>
      <c r="N143" s="2" t="inlineStr">
        <is>
          <t>20260416800142</t>
        </is>
      </c>
      <c r="O143" s="8">
        <f>HYPERLINK("https://dart.fss.or.kr/dsaf001/main.do?rcpNo=20260416800142", "공시열람")</f>
        <v/>
      </c>
    </row>
    <row r="144" ht="36" customHeight="1">
      <c r="A144" s="2" t="inlineStr">
        <is>
          <t>2026-04-16</t>
        </is>
      </c>
      <c r="B144" s="3" t="inlineStr">
        <is>
          <t>디앤디파마텍</t>
        </is>
      </c>
      <c r="C144" s="2" t="inlineStr">
        <is>
          <t>코스닥</t>
        </is>
      </c>
      <c r="D144" s="2" t="inlineStr">
        <is>
          <t>347850</t>
        </is>
      </c>
      <c r="E144" s="2" t="inlineStr">
        <is>
          <t>단일판매공급계약체결</t>
        </is>
      </c>
      <c r="F144" s="3" t="inlineStr">
        <is>
          <t xml:space="preserve">단일판매ㆍ공급계약체결              </t>
        </is>
      </c>
      <c r="G144" s="7" t="inlineStr">
        <is>
          <t>경구용 펩타이드 이중작용제(비만치료제) 제형 개발 관련 연구용역</t>
        </is>
      </c>
      <c r="H144" s="2" t="inlineStr">
        <is>
          <t>2026-04-14</t>
        </is>
      </c>
      <c r="I144" s="2" t="inlineStr">
        <is>
          <t>2026-11-30</t>
        </is>
      </c>
      <c r="J144" s="5" t="n">
        <v>1832669568</v>
      </c>
      <c r="K144" s="2" t="inlineStr">
        <is>
          <t>-</t>
        </is>
      </c>
      <c r="L144" s="13" t="n">
        <v>42.64</v>
      </c>
      <c r="M144" s="7" t="inlineStr">
        <is>
          <t>Pfizer Inc.</t>
        </is>
      </c>
      <c r="N144" s="2" t="inlineStr">
        <is>
          <t>20260416900081</t>
        </is>
      </c>
      <c r="O144" s="8">
        <f>HYPERLINK("https://dart.fss.or.kr/dsaf001/main.do?rcpNo=20260416900081", "공시열람")</f>
        <v/>
      </c>
    </row>
    <row r="145" ht="36" customHeight="1">
      <c r="A145" s="2" t="inlineStr">
        <is>
          <t>2026-04-16 (정정: 2026-05-29)</t>
        </is>
      </c>
      <c r="B145" s="3" t="inlineStr">
        <is>
          <t>강원에너지</t>
        </is>
      </c>
      <c r="C145" s="2" t="inlineStr">
        <is>
          <t>코스닥</t>
        </is>
      </c>
      <c r="D145" s="2" t="inlineStr">
        <is>
          <t>114190</t>
        </is>
      </c>
      <c r="E145" s="2" t="inlineStr">
        <is>
          <t>단일판매공급계약체결</t>
        </is>
      </c>
      <c r="F145" s="3" t="inlineStr">
        <is>
          <t>단일판매ㆍ공급계약체결(자율공시)               (정정: 20260529) (정정: 20260529)</t>
        </is>
      </c>
      <c r="G145" s="7" t="inlineStr">
        <is>
          <t>(광양 양극재 5단계) 수세설비</t>
        </is>
      </c>
      <c r="H145" s="2" t="inlineStr">
        <is>
          <t>2024-02-06</t>
        </is>
      </c>
      <c r="I145" s="2" t="inlineStr">
        <is>
          <t>2026-07-31</t>
        </is>
      </c>
      <c r="J145" s="5" t="n">
        <v>23487000000</v>
      </c>
      <c r="K145" s="2" t="inlineStr">
        <is>
          <t>-</t>
        </is>
      </c>
      <c r="L145" s="13" t="n">
        <v>32.9</v>
      </c>
      <c r="M145" s="7" t="inlineStr">
        <is>
          <t>(주)포스코퓨처엠</t>
        </is>
      </c>
      <c r="N145" s="2" t="inlineStr">
        <is>
          <t>20260529900675</t>
        </is>
      </c>
      <c r="O145" s="8">
        <f>HYPERLINK("https://dart.fss.or.kr/dsaf001/main.do?rcpNo=20260529900675", "공시열람")</f>
        <v/>
      </c>
    </row>
    <row r="146" ht="36" customHeight="1">
      <c r="A146" s="2" t="inlineStr">
        <is>
          <t>2026-04-16</t>
        </is>
      </c>
      <c r="B146" s="3" t="inlineStr">
        <is>
          <t>대한조선</t>
        </is>
      </c>
      <c r="C146" s="2" t="inlineStr">
        <is>
          <t>코스피</t>
        </is>
      </c>
      <c r="D146" s="2" t="inlineStr">
        <is>
          <t>439260</t>
        </is>
      </c>
      <c r="E146" s="2" t="inlineStr">
        <is>
          <t>단일판매공급계약체결</t>
        </is>
      </c>
      <c r="F146" s="3" t="inlineStr">
        <is>
          <t xml:space="preserve">단일판매ㆍ공급계약체결              </t>
        </is>
      </c>
      <c r="G146" s="7" t="inlineStr">
        <is>
          <t>원유운반선(157,000 DWT) 1척</t>
        </is>
      </c>
      <c r="H146" s="2" t="inlineStr">
        <is>
          <t>2026-04-14</t>
        </is>
      </c>
      <c r="I146" s="2" t="inlineStr">
        <is>
          <t>2029-07-31</t>
        </is>
      </c>
      <c r="J146" s="5" t="n">
        <v>132900000000</v>
      </c>
      <c r="K146" s="2" t="inlineStr">
        <is>
          <t>-</t>
        </is>
      </c>
      <c r="L146" s="13" t="n">
        <v>10.82</v>
      </c>
      <c r="M146" s="7" t="inlineStr">
        <is>
          <t>아프리카 지역 선주</t>
        </is>
      </c>
      <c r="N146" s="2" t="inlineStr">
        <is>
          <t>20260416800003</t>
        </is>
      </c>
      <c r="O146" s="8">
        <f>HYPERLINK("https://dart.fss.or.kr/dsaf001/main.do?rcpNo=20260416800003", "공시열람")</f>
        <v/>
      </c>
    </row>
    <row r="147" ht="36" customHeight="1">
      <c r="A147" s="2" t="inlineStr">
        <is>
          <t>2026-05-20 (정정: 2026-06-09)</t>
        </is>
      </c>
      <c r="B147" s="3" t="inlineStr">
        <is>
          <t>액스비스</t>
        </is>
      </c>
      <c r="C147" s="2" t="inlineStr">
        <is>
          <t>코스닥</t>
        </is>
      </c>
      <c r="D147" s="2" t="inlineStr">
        <is>
          <t>0011A0</t>
        </is>
      </c>
      <c r="E147" s="2" t="inlineStr">
        <is>
          <t>단일판매공급계약체결</t>
        </is>
      </c>
      <c r="F147" s="3" t="inlineStr">
        <is>
          <t>단일판매ㆍ공급계약체결               (정정: 20260609)</t>
        </is>
      </c>
      <c r="G147" s="7" t="inlineStr">
        <is>
          <t>이차전지(각형배터리) 제조공정용 레이저 시스템 공급</t>
        </is>
      </c>
      <c r="H147" s="2" t="inlineStr">
        <is>
          <t>2026-05-19</t>
        </is>
      </c>
      <c r="I147" s="2" t="inlineStr">
        <is>
          <t>2027-06-08</t>
        </is>
      </c>
      <c r="J147" s="5" t="n">
        <v>8000000000</v>
      </c>
      <c r="K147" s="2" t="inlineStr">
        <is>
          <t>-</t>
        </is>
      </c>
      <c r="L147" s="13" t="n">
        <v>14.14</v>
      </c>
      <c r="M147" s="7" t="inlineStr">
        <is>
          <t>-</t>
        </is>
      </c>
      <c r="N147" s="2" t="inlineStr">
        <is>
          <t>20260609900731</t>
        </is>
      </c>
      <c r="O147" s="8">
        <f>HYPERLINK("https://dart.fss.or.kr/dsaf001/main.do?rcpNo=20260609900731", "공시열람")</f>
        <v/>
      </c>
    </row>
    <row r="148" ht="36" customHeight="1">
      <c r="A148" s="2" t="inlineStr">
        <is>
          <t>2026-05-20</t>
        </is>
      </c>
      <c r="B148" s="3" t="inlineStr">
        <is>
          <t>바이브컴퍼니</t>
        </is>
      </c>
      <c r="C148" s="2" t="inlineStr">
        <is>
          <t>코스닥</t>
        </is>
      </c>
      <c r="D148" s="2" t="inlineStr">
        <is>
          <t>301300</t>
        </is>
      </c>
      <c r="E148" s="2" t="inlineStr">
        <is>
          <t>단일판매공급계약체결</t>
        </is>
      </c>
      <c r="F148" s="3" t="inlineStr">
        <is>
          <t xml:space="preserve">단일판매ㆍ공급계약체결(자율공시)              </t>
        </is>
      </c>
      <c r="G148" s="7" t="inlineStr">
        <is>
          <t>정책여론수렴시스템 고도화 사업</t>
        </is>
      </c>
      <c r="H148" s="2" t="inlineStr">
        <is>
          <t>2026-05-19</t>
        </is>
      </c>
      <c r="I148" s="2" t="inlineStr">
        <is>
          <t>2027-01-14</t>
        </is>
      </c>
      <c r="J148" s="5" t="n">
        <v>960375000</v>
      </c>
      <c r="K148" s="2" t="inlineStr">
        <is>
          <t>-</t>
        </is>
      </c>
      <c r="L148" s="13" t="n">
        <v>6.52</v>
      </c>
      <c r="M148" s="7" t="inlineStr">
        <is>
          <t>문화체육관광부</t>
        </is>
      </c>
      <c r="N148" s="2" t="inlineStr">
        <is>
          <t>20260520900695</t>
        </is>
      </c>
      <c r="O148" s="8">
        <f>HYPERLINK("https://dart.fss.or.kr/dsaf001/main.do?rcpNo=20260520900695", "공시열람")</f>
        <v/>
      </c>
    </row>
    <row r="149" ht="36" customHeight="1">
      <c r="A149" s="2" t="inlineStr">
        <is>
          <t>2025-04-30 (정정: 2026-05-20)</t>
        </is>
      </c>
      <c r="B149" s="3" t="inlineStr">
        <is>
          <t>삼일기업공사</t>
        </is>
      </c>
      <c r="C149" s="2" t="inlineStr">
        <is>
          <t>코스닥</t>
        </is>
      </c>
      <c r="D149" s="2" t="inlineStr">
        <is>
          <t>002290</t>
        </is>
      </c>
      <c r="E149" s="2" t="inlineStr">
        <is>
          <t>단일판매공급계약체결</t>
        </is>
      </c>
      <c r="F149" s="3" t="inlineStr">
        <is>
          <t xml:space="preserve">[기재정정]단일판매ㆍ공급계약체결              </t>
        </is>
      </c>
      <c r="G149" s="7" t="inlineStr">
        <is>
          <t>(주)제네웰 의료기기 화장품 GMP 제조시설공사(건축)</t>
        </is>
      </c>
      <c r="H149" s="2" t="inlineStr">
        <is>
          <t>2025-06-04</t>
        </is>
      </c>
      <c r="I149" s="2" t="inlineStr">
        <is>
          <t>2026-07-03</t>
        </is>
      </c>
      <c r="J149" s="5" t="n">
        <v>27019000000</v>
      </c>
      <c r="K149" s="2" t="inlineStr">
        <is>
          <t>-</t>
        </is>
      </c>
      <c r="L149" s="13" t="n">
        <v>23.98</v>
      </c>
      <c r="M149" s="7" t="inlineStr">
        <is>
          <t>(주)제네웰</t>
        </is>
      </c>
      <c r="N149" s="2" t="inlineStr">
        <is>
          <t>20260520900723</t>
        </is>
      </c>
      <c r="O149" s="8">
        <f>HYPERLINK("https://dart.fss.or.kr/dsaf001/main.do?rcpNo=20260520900723", "공시열람")</f>
        <v/>
      </c>
    </row>
    <row r="150" ht="36" customHeight="1">
      <c r="A150" s="2" t="inlineStr">
        <is>
          <t>2026-05-20 (정정: 2026-06-18)</t>
        </is>
      </c>
      <c r="B150" s="3" t="inlineStr">
        <is>
          <t>HJ중공업</t>
        </is>
      </c>
      <c r="C150" s="2" t="inlineStr">
        <is>
          <t>코스피</t>
        </is>
      </c>
      <c r="D150" s="2" t="inlineStr">
        <is>
          <t>097230</t>
        </is>
      </c>
      <c r="E150" s="2" t="inlineStr">
        <is>
          <t>단일판매공급계약체결</t>
        </is>
      </c>
      <c r="F150" s="3" t="inlineStr">
        <is>
          <t>단일판매ㆍ공급계약체결               (정정: 20260529) (정정: 20260601) (정정: 20260608) (정정: 20260618)</t>
        </is>
      </c>
      <c r="G150" s="7" t="inlineStr">
        <is>
          <t>부산오페라하우스 건립공사</t>
        </is>
      </c>
      <c r="H150" s="2" t="inlineStr">
        <is>
          <t>2018-05-18</t>
        </is>
      </c>
      <c r="I150" s="2" t="inlineStr">
        <is>
          <t>2026-12-31</t>
        </is>
      </c>
      <c r="J150" s="5" t="n">
        <v>226877219000</v>
      </c>
      <c r="K150" s="2" t="inlineStr">
        <is>
          <t>-</t>
        </is>
      </c>
      <c r="L150" s="13" t="n">
        <v>9.25</v>
      </c>
      <c r="M150" s="7" t="inlineStr">
        <is>
          <t>조달청(부산광역시)</t>
        </is>
      </c>
      <c r="N150" s="2" t="inlineStr">
        <is>
          <t>20260618800458</t>
        </is>
      </c>
      <c r="O150" s="8">
        <f>HYPERLINK("https://dart.fss.or.kr/dsaf001/main.do?rcpNo=20260618800458", "공시열람")</f>
        <v/>
      </c>
    </row>
    <row r="151" ht="36" customHeight="1">
      <c r="A151" s="2" t="inlineStr">
        <is>
          <t>2026-05-20</t>
        </is>
      </c>
      <c r="B151" s="3" t="inlineStr">
        <is>
          <t>하이스틸</t>
        </is>
      </c>
      <c r="C151" s="2" t="inlineStr">
        <is>
          <t>코스피</t>
        </is>
      </c>
      <c r="D151" s="2" t="inlineStr">
        <is>
          <t>071090</t>
        </is>
      </c>
      <c r="E151" s="2" t="inlineStr">
        <is>
          <t>단일판매공급계약체결</t>
        </is>
      </c>
      <c r="F151" s="3" t="inlineStr">
        <is>
          <t xml:space="preserve">단일판매ㆍ공급계약체결              </t>
        </is>
      </c>
      <c r="G151" s="7" t="inlineStr">
        <is>
          <t>배관용 강관 공급 계약</t>
        </is>
      </c>
      <c r="H151" s="2" t="inlineStr">
        <is>
          <t>2026-05-20</t>
        </is>
      </c>
      <c r="I151" s="2" t="inlineStr">
        <is>
          <t>2026-12-31</t>
        </is>
      </c>
      <c r="J151" s="5" t="n">
        <v>37591651278</v>
      </c>
      <c r="K151" s="2" t="inlineStr">
        <is>
          <t>-</t>
        </is>
      </c>
      <c r="L151" s="13" t="n">
        <v>14.65</v>
      </c>
      <c r="M151" s="7" t="inlineStr">
        <is>
          <t>HISTEEL PIPE&amp;TUBE INC</t>
        </is>
      </c>
      <c r="N151" s="2" t="inlineStr">
        <is>
          <t>20260520800511</t>
        </is>
      </c>
      <c r="O151" s="8">
        <f>HYPERLINK("https://dart.fss.or.kr/dsaf001/main.do?rcpNo=20260520800511", "공시열람")</f>
        <v/>
      </c>
    </row>
    <row r="152" ht="36" customHeight="1">
      <c r="A152" s="2" t="inlineStr">
        <is>
          <t>2025-06-10 (정정: 2026-05-20)</t>
        </is>
      </c>
      <c r="B152" s="3" t="inlineStr">
        <is>
          <t>AP시스템</t>
        </is>
      </c>
      <c r="C152" s="2" t="inlineStr">
        <is>
          <t>코스닥</t>
        </is>
      </c>
      <c r="D152" s="2" t="inlineStr">
        <is>
          <t>265520</t>
        </is>
      </c>
      <c r="E152" s="2" t="inlineStr">
        <is>
          <t>단일판매공급계약체결</t>
        </is>
      </c>
      <c r="F152" s="3" t="inlineStr">
        <is>
          <t xml:space="preserve">[기재정정]단일판매ㆍ공급계약체결              </t>
        </is>
      </c>
      <c r="G152" s="7" t="inlineStr">
        <is>
          <t>OLED 제조장비</t>
        </is>
      </c>
      <c r="H152" s="2" t="inlineStr">
        <is>
          <t>2025-06-09</t>
        </is>
      </c>
      <c r="I152" s="2" t="inlineStr">
        <is>
          <t>2026-05-20</t>
        </is>
      </c>
      <c r="J152" s="5" t="n">
        <v>56588760000</v>
      </c>
      <c r="K152" s="2" t="inlineStr">
        <is>
          <t>-</t>
        </is>
      </c>
      <c r="L152" s="13" t="n">
        <v>10.9</v>
      </c>
      <c r="M152" s="7" t="inlineStr">
        <is>
          <t>Xiamen Tianma Display Technology Co., Ltd</t>
        </is>
      </c>
      <c r="N152" s="2" t="inlineStr">
        <is>
          <t>20260520900407</t>
        </is>
      </c>
      <c r="O152" s="8">
        <f>HYPERLINK("https://dart.fss.or.kr/dsaf001/main.do?rcpNo=20260520900407", "공시열람")</f>
        <v/>
      </c>
    </row>
    <row r="153" ht="36" customHeight="1">
      <c r="A153" s="2" t="inlineStr">
        <is>
          <t>2025-11-14 (정정: 2026-05-20)</t>
        </is>
      </c>
      <c r="B153" s="3" t="inlineStr">
        <is>
          <t>주성코퍼레이션</t>
        </is>
      </c>
      <c r="C153" s="2" t="inlineStr">
        <is>
          <t>코스피</t>
        </is>
      </c>
      <c r="D153" s="2" t="inlineStr">
        <is>
          <t>109070</t>
        </is>
      </c>
      <c r="E153" s="2" t="inlineStr">
        <is>
          <t>단일판매공급계약체결</t>
        </is>
      </c>
      <c r="F153" s="3" t="inlineStr">
        <is>
          <t xml:space="preserve">[기재정정]단일판매ㆍ공급계약체결              </t>
        </is>
      </c>
      <c r="G153" s="7" t="inlineStr">
        <is>
          <t>25년 1차 IBS 소형 중계기 단가계약</t>
        </is>
      </c>
      <c r="H153" s="2" t="inlineStr">
        <is>
          <t>2024-11-08</t>
        </is>
      </c>
      <c r="I153" s="2" t="inlineStr">
        <is>
          <t>2026-05-20</t>
        </is>
      </c>
      <c r="J153" s="5" t="n">
        <v>1523852000</v>
      </c>
      <c r="K153" s="2" t="inlineStr">
        <is>
          <t>-</t>
        </is>
      </c>
      <c r="L153" s="13" t="n">
        <v>6.36</v>
      </c>
      <c r="M153" s="7" t="inlineStr">
        <is>
          <t>(주)엘지유플러스</t>
        </is>
      </c>
      <c r="N153" s="2" t="inlineStr">
        <is>
          <t>20260520800438</t>
        </is>
      </c>
      <c r="O153" s="8">
        <f>HYPERLINK("https://dart.fss.or.kr/dsaf001/main.do?rcpNo=20260520800438", "공시열람")</f>
        <v/>
      </c>
    </row>
    <row r="154" ht="36" customHeight="1">
      <c r="A154" s="2" t="inlineStr">
        <is>
          <t>2025-09-04 (정정: 2026-05-20)</t>
        </is>
      </c>
      <c r="B154" s="3" t="inlineStr">
        <is>
          <t>토마토시스템</t>
        </is>
      </c>
      <c r="C154" s="2" t="inlineStr">
        <is>
          <t>코스닥</t>
        </is>
      </c>
      <c r="D154" s="2" t="inlineStr">
        <is>
          <t>393210</t>
        </is>
      </c>
      <c r="E154" s="2" t="inlineStr">
        <is>
          <t>단일판매공급계약체결</t>
        </is>
      </c>
      <c r="F154" s="3" t="inlineStr">
        <is>
          <t xml:space="preserve">[기재정정]단일판매ㆍ공급계약체결              </t>
        </is>
      </c>
      <c r="G154" s="7" t="inlineStr">
        <is>
          <t>전북대학교 차세대 통합정보시스템 1단계 구축</t>
        </is>
      </c>
      <c r="H154" s="2" t="inlineStr">
        <is>
          <t>2024-12-27</t>
        </is>
      </c>
      <c r="I154" s="2" t="inlineStr">
        <is>
          <t>2026-10-01</t>
        </is>
      </c>
      <c r="J154" s="5" t="n">
        <v>7018963636</v>
      </c>
      <c r="K154" s="2" t="inlineStr">
        <is>
          <t>-</t>
        </is>
      </c>
      <c r="L154" s="13" t="n">
        <v>26.41</v>
      </c>
      <c r="M154" s="7" t="inlineStr">
        <is>
          <t>조달청</t>
        </is>
      </c>
      <c r="N154" s="2" t="inlineStr">
        <is>
          <t>20260520900410</t>
        </is>
      </c>
      <c r="O154" s="8">
        <f>HYPERLINK("https://dart.fss.or.kr/dsaf001/main.do?rcpNo=20260520900410", "공시열람")</f>
        <v/>
      </c>
    </row>
    <row r="155" ht="36" customHeight="1">
      <c r="A155" s="2" t="inlineStr">
        <is>
          <t>2026-05-20 (정정: 2026-05-20)</t>
        </is>
      </c>
      <c r="B155" s="3" t="inlineStr">
        <is>
          <t>DL</t>
        </is>
      </c>
      <c r="C155" s="2" t="inlineStr">
        <is>
          <t>코스피</t>
        </is>
      </c>
      <c r="D155" s="2" t="inlineStr">
        <is>
          <t>000210</t>
        </is>
      </c>
      <c r="E155" s="2" t="inlineStr">
        <is>
          <t>단일판매공급계약체결</t>
        </is>
      </c>
      <c r="F155" s="3" t="inlineStr">
        <is>
          <t>[기재정정]단일판매ㆍ공급계약체결(자회사의 주요경영사항)               (정정: 20260520)</t>
        </is>
      </c>
      <c r="G155" s="7" t="inlineStr">
        <is>
          <t>분당복합 현대화사업 1Block 건설공사</t>
        </is>
      </c>
      <c r="H155" s="2" t="inlineStr">
        <is>
          <t>2025-12-01</t>
        </is>
      </c>
      <c r="I155" s="2" t="inlineStr">
        <is>
          <t>2029-10-31</t>
        </is>
      </c>
      <c r="J155" s="5" t="n">
        <v>255688976575</v>
      </c>
      <c r="K155" s="2" t="inlineStr">
        <is>
          <t>-</t>
        </is>
      </c>
      <c r="L155" s="13" t="n">
        <v>3.2</v>
      </c>
      <c r="M155" s="7" t="inlineStr">
        <is>
          <t>한국남동발전(주)</t>
        </is>
      </c>
      <c r="N155" s="2" t="inlineStr">
        <is>
          <t>20260520800005</t>
        </is>
      </c>
      <c r="O155" s="8">
        <f>HYPERLINK("https://dart.fss.or.kr/dsaf001/main.do?rcpNo=20260520800005", "공시열람")</f>
        <v/>
      </c>
    </row>
    <row r="156" ht="36" customHeight="1">
      <c r="A156" s="2" t="inlineStr">
        <is>
          <t>2026-05-20 (정정: 2026-05-20)</t>
        </is>
      </c>
      <c r="B156" s="3" t="inlineStr">
        <is>
          <t>DL이앤씨</t>
        </is>
      </c>
      <c r="C156" s="2" t="inlineStr">
        <is>
          <t>코스피</t>
        </is>
      </c>
      <c r="D156" s="2" t="inlineStr">
        <is>
          <t>375500</t>
        </is>
      </c>
      <c r="E156" s="2" t="inlineStr">
        <is>
          <t>단일판매공급계약체결</t>
        </is>
      </c>
      <c r="F156" s="3" t="inlineStr">
        <is>
          <t>[기재정정]단일판매ㆍ공급계약체결               (정정: 20260520)</t>
        </is>
      </c>
      <c r="G156" s="7" t="inlineStr">
        <is>
          <t>분당복합 현대화사업 1Block 건설공사</t>
        </is>
      </c>
      <c r="H156" s="2" t="inlineStr">
        <is>
          <t>2025-12-01</t>
        </is>
      </c>
      <c r="I156" s="2" t="inlineStr">
        <is>
          <t>2029-10-31</t>
        </is>
      </c>
      <c r="J156" s="5" t="n">
        <v>255688976575</v>
      </c>
      <c r="K156" s="2" t="inlineStr">
        <is>
          <t>-</t>
        </is>
      </c>
      <c r="L156" s="13" t="n">
        <v>3.2</v>
      </c>
      <c r="M156" s="7" t="inlineStr">
        <is>
          <t>한국남동발전(주)</t>
        </is>
      </c>
      <c r="N156" s="2" t="inlineStr">
        <is>
          <t>20260520800004</t>
        </is>
      </c>
      <c r="O156" s="8">
        <f>HYPERLINK("https://dart.fss.or.kr/dsaf001/main.do?rcpNo=20260520800004", "공시열람")</f>
        <v/>
      </c>
    </row>
    <row r="157" ht="36" customHeight="1">
      <c r="A157" s="2" t="inlineStr">
        <is>
          <t>2026-05-20</t>
        </is>
      </c>
      <c r="B157" s="3" t="inlineStr">
        <is>
          <t>미래산업</t>
        </is>
      </c>
      <c r="C157" s="2" t="inlineStr">
        <is>
          <t>코스피</t>
        </is>
      </c>
      <c r="D157" s="2" t="inlineStr">
        <is>
          <t>025560</t>
        </is>
      </c>
      <c r="E157" s="2" t="inlineStr">
        <is>
          <t>단일판매공급계약체결</t>
        </is>
      </c>
      <c r="F157" s="3" t="inlineStr">
        <is>
          <t xml:space="preserve">단일판매ㆍ공급계약체결              </t>
        </is>
      </c>
      <c r="G157" s="7" t="inlineStr">
        <is>
          <t>반도체 검사 장비 공급 계약</t>
        </is>
      </c>
      <c r="H157" s="2" t="inlineStr">
        <is>
          <t>2026-05-19</t>
        </is>
      </c>
      <c r="I157" s="2" t="inlineStr">
        <is>
          <t>2026-06-30</t>
        </is>
      </c>
      <c r="J157" s="5" t="n">
        <v>2638000000</v>
      </c>
      <c r="K157" s="2" t="inlineStr">
        <is>
          <t>-</t>
        </is>
      </c>
      <c r="L157" s="13" t="n">
        <v>5.2</v>
      </c>
      <c r="M157" s="7" t="inlineStr">
        <is>
          <t>SK하이닉스</t>
        </is>
      </c>
      <c r="N157" s="2" t="inlineStr">
        <is>
          <t>20260520800349</t>
        </is>
      </c>
      <c r="O157" s="8">
        <f>HYPERLINK("https://dart.fss.or.kr/dsaf001/main.do?rcpNo=20260520800349", "공시열람")</f>
        <v/>
      </c>
    </row>
    <row r="158" ht="36" customHeight="1">
      <c r="A158" s="2" t="inlineStr">
        <is>
          <t>2026-05-20</t>
        </is>
      </c>
      <c r="B158" s="3" t="inlineStr">
        <is>
          <t>미래산업</t>
        </is>
      </c>
      <c r="C158" s="2" t="inlineStr">
        <is>
          <t>코스피</t>
        </is>
      </c>
      <c r="D158" s="2" t="inlineStr">
        <is>
          <t>025560</t>
        </is>
      </c>
      <c r="E158" s="2" t="inlineStr">
        <is>
          <t>단일판매공급계약체결</t>
        </is>
      </c>
      <c r="F158" s="3" t="inlineStr">
        <is>
          <t xml:space="preserve">단일판매ㆍ공급계약체결              </t>
        </is>
      </c>
      <c r="G158" s="7" t="inlineStr">
        <is>
          <t>반도체 검사 장비 공급 계약</t>
        </is>
      </c>
      <c r="H158" s="2" t="inlineStr">
        <is>
          <t>2026-05-19</t>
        </is>
      </c>
      <c r="I158" s="2" t="inlineStr">
        <is>
          <t>2026-10-30</t>
        </is>
      </c>
      <c r="J158" s="5" t="n">
        <v>3957000000</v>
      </c>
      <c r="K158" s="2" t="inlineStr">
        <is>
          <t>-</t>
        </is>
      </c>
      <c r="L158" s="13" t="n">
        <v>7.79</v>
      </c>
      <c r="M158" s="7" t="inlineStr">
        <is>
          <t>SK하이닉스</t>
        </is>
      </c>
      <c r="N158" s="2" t="inlineStr">
        <is>
          <t>20260520800347</t>
        </is>
      </c>
      <c r="O158" s="8">
        <f>HYPERLINK("https://dart.fss.or.kr/dsaf001/main.do?rcpNo=20260520800347", "공시열람")</f>
        <v/>
      </c>
    </row>
    <row r="159" ht="36" customHeight="1">
      <c r="A159" s="2" t="inlineStr">
        <is>
          <t>2025-03-07 (정정: 2026-05-20)</t>
        </is>
      </c>
      <c r="B159" s="3" t="inlineStr">
        <is>
          <t>일진파워</t>
        </is>
      </c>
      <c r="C159" s="2" t="inlineStr">
        <is>
          <t>코스닥</t>
        </is>
      </c>
      <c r="D159" s="2" t="inlineStr">
        <is>
          <t>094820</t>
        </is>
      </c>
      <c r="E159" s="2" t="inlineStr">
        <is>
          <t>단일판매공급계약체결</t>
        </is>
      </c>
      <c r="F159" s="3" t="inlineStr">
        <is>
          <t xml:space="preserve">[기재정정]단일판매ㆍ공급계약체결(자율공시)              </t>
        </is>
      </c>
      <c r="G159" s="7" t="inlineStr">
        <is>
          <t>혁신형SMR종합효과시험장치제작및설치</t>
        </is>
      </c>
      <c r="H159" s="2" t="inlineStr">
        <is>
          <t>2025-02-25</t>
        </is>
      </c>
      <c r="I159" s="2" t="inlineStr">
        <is>
          <t>2027-03-31</t>
        </is>
      </c>
      <c r="J159" s="5" t="n">
        <v>16285713436</v>
      </c>
      <c r="K159" s="2" t="inlineStr">
        <is>
          <t>-</t>
        </is>
      </c>
      <c r="L159" s="13" t="n">
        <v>8.529999999999999</v>
      </c>
      <c r="M159" s="7" t="inlineStr">
        <is>
          <t>한국원자력연구원(재)</t>
        </is>
      </c>
      <c r="N159" s="2" t="inlineStr">
        <is>
          <t>20260520900365</t>
        </is>
      </c>
      <c r="O159" s="8">
        <f>HYPERLINK("https://dart.fss.or.kr/dsaf001/main.do?rcpNo=20260520900365", "공시열람")</f>
        <v/>
      </c>
    </row>
    <row r="160" ht="36" customHeight="1">
      <c r="A160" s="2" t="inlineStr">
        <is>
          <t>2026-05-20</t>
        </is>
      </c>
      <c r="B160" s="3" t="inlineStr">
        <is>
          <t>세미파이브</t>
        </is>
      </c>
      <c r="C160" s="2" t="inlineStr">
        <is>
          <t>코스닥</t>
        </is>
      </c>
      <c r="D160" s="2" t="inlineStr">
        <is>
          <t>490470</t>
        </is>
      </c>
      <c r="E160" s="2" t="inlineStr">
        <is>
          <t>단일판매공급계약체결</t>
        </is>
      </c>
      <c r="F160" s="3" t="inlineStr">
        <is>
          <t xml:space="preserve">단일판매ㆍ공급계약체결              </t>
        </is>
      </c>
      <c r="G160" s="7" t="inlineStr">
        <is>
          <t>AI 반도체 ASIC 설계 개발</t>
        </is>
      </c>
      <c r="H160" s="2" t="inlineStr">
        <is>
          <t>2026-01-27</t>
        </is>
      </c>
      <c r="I160" s="2" t="inlineStr">
        <is>
          <t>2027-08-15</t>
        </is>
      </c>
      <c r="J160" s="5" t="n">
        <v>14733320000</v>
      </c>
      <c r="K160" s="2" t="inlineStr">
        <is>
          <t>-</t>
        </is>
      </c>
      <c r="L160" s="13" t="n">
        <v>12.18</v>
      </c>
      <c r="M160" s="7" t="inlineStr">
        <is>
          <t>AI 반도체 기업</t>
        </is>
      </c>
      <c r="N160" s="2" t="inlineStr">
        <is>
          <t>20260520900367</t>
        </is>
      </c>
      <c r="O160" s="8">
        <f>HYPERLINK("https://dart.fss.or.kr/dsaf001/main.do?rcpNo=20260520900367", "공시열람")</f>
        <v/>
      </c>
    </row>
    <row r="161" ht="36" customHeight="1">
      <c r="A161" s="2" t="inlineStr">
        <is>
          <t>2026-05-20</t>
        </is>
      </c>
      <c r="B161" s="3" t="inlineStr">
        <is>
          <t>피엠티</t>
        </is>
      </c>
      <c r="C161" s="2" t="inlineStr">
        <is>
          <t>코스닥</t>
        </is>
      </c>
      <c r="D161" s="2" t="inlineStr">
        <is>
          <t>147760</t>
        </is>
      </c>
      <c r="E161" s="2" t="inlineStr">
        <is>
          <t>단일판매공급계약체결</t>
        </is>
      </c>
      <c r="F161" s="3" t="inlineStr">
        <is>
          <t xml:space="preserve">단일판매ㆍ공급계약체결              </t>
        </is>
      </c>
      <c r="G161" s="7" t="inlineStr">
        <is>
          <t>반도체 검사장치 PROBE CARD 공급</t>
        </is>
      </c>
      <c r="H161" s="2" t="inlineStr">
        <is>
          <t>2026-05-19</t>
        </is>
      </c>
      <c r="I161" s="2" t="inlineStr">
        <is>
          <t>2026-08-13</t>
        </is>
      </c>
      <c r="J161" s="5" t="n">
        <v>6552000000</v>
      </c>
      <c r="K161" s="2" t="inlineStr">
        <is>
          <t>-</t>
        </is>
      </c>
      <c r="L161" s="13" t="n">
        <v>25.91</v>
      </c>
      <c r="M161" s="7" t="inlineStr">
        <is>
          <t>SAMSUNG(CHINA)SEMICONDUCTOR</t>
        </is>
      </c>
      <c r="N161" s="2" t="inlineStr">
        <is>
          <t>20260520900338</t>
        </is>
      </c>
      <c r="O161" s="8">
        <f>HYPERLINK("https://dart.fss.or.kr/dsaf001/main.do?rcpNo=20260520900338", "공시열람")</f>
        <v/>
      </c>
    </row>
    <row r="162" ht="36" customHeight="1">
      <c r="A162" s="2" t="inlineStr">
        <is>
          <t>2026-05-20</t>
        </is>
      </c>
      <c r="B162" s="3" t="inlineStr">
        <is>
          <t>큐렉소</t>
        </is>
      </c>
      <c r="C162" s="2" t="inlineStr">
        <is>
          <t>코스닥</t>
        </is>
      </c>
      <c r="D162" s="2" t="inlineStr">
        <is>
          <t>060280</t>
        </is>
      </c>
      <c r="E162" s="2" t="inlineStr">
        <is>
          <t>단일판매공급계약체결</t>
        </is>
      </c>
      <c r="F162" s="3" t="inlineStr">
        <is>
          <t xml:space="preserve">단일판매ㆍ공급계약체결              </t>
        </is>
      </c>
      <c r="G162" s="7" t="inlineStr">
        <is>
          <t>인공관절수술로봇 큐비스-조인트(CUVIS-joint) 판매계약</t>
        </is>
      </c>
      <c r="H162" s="2" t="inlineStr">
        <is>
          <t>2026-05-19</t>
        </is>
      </c>
      <c r="I162" s="2" t="inlineStr">
        <is>
          <t>2026-12-31</t>
        </is>
      </c>
      <c r="J162" s="5" t="n">
        <v>8456625000</v>
      </c>
      <c r="K162" s="2" t="inlineStr">
        <is>
          <t>-</t>
        </is>
      </c>
      <c r="L162" s="13" t="n">
        <v>11.4</v>
      </c>
      <c r="M162" s="7" t="inlineStr">
        <is>
          <t>Biorad Medisys Pvt. Ltd.</t>
        </is>
      </c>
      <c r="N162" s="2" t="inlineStr">
        <is>
          <t>20260520900257</t>
        </is>
      </c>
      <c r="O162" s="8">
        <f>HYPERLINK("https://dart.fss.or.kr/dsaf001/main.do?rcpNo=20260520900257", "공시열람")</f>
        <v/>
      </c>
    </row>
    <row r="163" ht="36" customHeight="1">
      <c r="A163" s="2" t="inlineStr">
        <is>
          <t>2026-05-20</t>
        </is>
      </c>
      <c r="B163" s="3" t="inlineStr">
        <is>
          <t>삼성전기</t>
        </is>
      </c>
      <c r="C163" s="2" t="inlineStr">
        <is>
          <t>코스피</t>
        </is>
      </c>
      <c r="D163" s="2" t="inlineStr">
        <is>
          <t>009150</t>
        </is>
      </c>
      <c r="E163" s="2" t="inlineStr">
        <is>
          <t>단일판매공급계약체결</t>
        </is>
      </c>
      <c r="F163" s="3" t="inlineStr">
        <is>
          <t xml:space="preserve">단일판매ㆍ공급계약체결              </t>
        </is>
      </c>
      <c r="G163" s="7" t="inlineStr">
        <is>
          <t>Silicon Capacitor 공급계약</t>
        </is>
      </c>
      <c r="H163" s="2" t="inlineStr">
        <is>
          <t>2027-01-01</t>
        </is>
      </c>
      <c r="I163" s="2" t="inlineStr">
        <is>
          <t>2028-12-31</t>
        </is>
      </c>
      <c r="J163" s="5" t="n">
        <v>1557034520000</v>
      </c>
      <c r="K163" s="2" t="inlineStr">
        <is>
          <t>-</t>
        </is>
      </c>
      <c r="L163" s="13" t="n">
        <v>13.8</v>
      </c>
      <c r="M163" s="7" t="inlineStr">
        <is>
          <t>글로벌 대형기업</t>
        </is>
      </c>
      <c r="N163" s="2" t="inlineStr">
        <is>
          <t>20260520800239</t>
        </is>
      </c>
      <c r="O163" s="8">
        <f>HYPERLINK("https://dart.fss.or.kr/dsaf001/main.do?rcpNo=20260520800239", "공시열람")</f>
        <v/>
      </c>
    </row>
    <row r="164" ht="36" customHeight="1">
      <c r="A164" s="2" t="inlineStr">
        <is>
          <t>2026-05-20</t>
        </is>
      </c>
      <c r="B164" s="3" t="inlineStr">
        <is>
          <t>베노티앤알</t>
        </is>
      </c>
      <c r="C164" s="2" t="inlineStr">
        <is>
          <t>코스닥</t>
        </is>
      </c>
      <c r="D164" s="2" t="inlineStr">
        <is>
          <t>206400</t>
        </is>
      </c>
      <c r="E164" s="2" t="inlineStr">
        <is>
          <t>단일판매공급계약체결</t>
        </is>
      </c>
      <c r="F164" s="3" t="inlineStr">
        <is>
          <t xml:space="preserve">단일판매ㆍ공급계약체결              </t>
        </is>
      </c>
      <c r="G164" s="7" t="inlineStr">
        <is>
          <t>도배공사</t>
        </is>
      </c>
      <c r="H164" s="2" t="inlineStr">
        <is>
          <t>2026-05-26</t>
        </is>
      </c>
      <c r="I164" s="2" t="inlineStr">
        <is>
          <t>2027-05-13</t>
        </is>
      </c>
      <c r="J164" s="5" t="n">
        <v>1094000000</v>
      </c>
      <c r="K164" s="2" t="inlineStr">
        <is>
          <t>-</t>
        </is>
      </c>
      <c r="L164" s="13" t="n">
        <v>22.91</v>
      </c>
      <c r="M164" s="7" t="inlineStr">
        <is>
          <t>현대건설(주)</t>
        </is>
      </c>
      <c r="N164" s="2" t="inlineStr">
        <is>
          <t>20260520900186</t>
        </is>
      </c>
      <c r="O164" s="8">
        <f>HYPERLINK("https://dart.fss.or.kr/dsaf001/main.do?rcpNo=20260520900186", "공시열람")</f>
        <v/>
      </c>
    </row>
    <row r="165" ht="36" customHeight="1">
      <c r="A165" s="2" t="inlineStr">
        <is>
          <t>2026-05-20 (정정: 2026-06-01)</t>
        </is>
      </c>
      <c r="B165" s="3" t="inlineStr">
        <is>
          <t>씨케이솔루션</t>
        </is>
      </c>
      <c r="C165" s="2" t="inlineStr">
        <is>
          <t>코스피</t>
        </is>
      </c>
      <c r="D165" s="2" t="inlineStr">
        <is>
          <t>480370</t>
        </is>
      </c>
      <c r="E165" s="2" t="inlineStr">
        <is>
          <t>단일판매공급계약체결</t>
        </is>
      </c>
      <c r="F165" s="3" t="inlineStr">
        <is>
          <t>[기재정정]단일판매ㆍ공급계약체결               (정정: 20260601)</t>
        </is>
      </c>
      <c r="G165" s="7" t="inlineStr">
        <is>
          <t>ESMIL BP2-1 NND+Cell+FA Line #2 UT+Process Installation</t>
        </is>
      </c>
      <c r="H165" s="2" t="inlineStr">
        <is>
          <t>2025-09-08</t>
        </is>
      </c>
      <c r="I165" s="2" t="inlineStr">
        <is>
          <t>2026-05-31</t>
        </is>
      </c>
      <c r="J165" s="5" t="n">
        <v>29741254728</v>
      </c>
      <c r="K165" s="2" t="inlineStr">
        <is>
          <t>-</t>
        </is>
      </c>
      <c r="L165" s="13" t="n">
        <v>10.06</v>
      </c>
      <c r="M165" s="7" t="inlineStr">
        <is>
          <t>LG Energy Solution Michigan,Inc.</t>
        </is>
      </c>
      <c r="N165" s="2" t="inlineStr">
        <is>
          <t>20260601800499</t>
        </is>
      </c>
      <c r="O165" s="8">
        <f>HYPERLINK("https://dart.fss.or.kr/dsaf001/main.do?rcpNo=20260601800499", "공시열람")</f>
        <v/>
      </c>
    </row>
    <row r="166" ht="36" customHeight="1">
      <c r="A166" s="2" t="inlineStr">
        <is>
          <t>2026-05-20 (정정: 2026-06-19)</t>
        </is>
      </c>
      <c r="B166" s="3" t="inlineStr">
        <is>
          <t>GS건설</t>
        </is>
      </c>
      <c r="C166" s="2" t="inlineStr">
        <is>
          <t>코스피</t>
        </is>
      </c>
      <c r="D166" s="2" t="inlineStr">
        <is>
          <t>006360</t>
        </is>
      </c>
      <c r="E166" s="2" t="inlineStr">
        <is>
          <t>단일판매공급계약체결</t>
        </is>
      </c>
      <c r="F166" s="3" t="inlineStr">
        <is>
          <t>단일판매ㆍ공급계약체결               (정정: 20260521) (정정: 20260619)</t>
        </is>
      </c>
      <c r="G166" s="7" t="inlineStr">
        <is>
          <t>청량리제6구역 주택재개발정비사업</t>
        </is>
      </c>
      <c r="H166" s="2" t="inlineStr">
        <is>
          <t>-</t>
        </is>
      </c>
      <c r="I166" s="2" t="inlineStr">
        <is>
          <t>-</t>
        </is>
      </c>
      <c r="J166" s="5" t="n">
        <v>560259913181</v>
      </c>
      <c r="K166" s="2" t="inlineStr">
        <is>
          <t>-</t>
        </is>
      </c>
      <c r="L166" s="13" t="n">
        <v>4.56</v>
      </c>
      <c r="M166" s="7" t="inlineStr">
        <is>
          <t>청량리제6구역 주택재개발정비사업조합</t>
        </is>
      </c>
      <c r="N166" s="2" t="inlineStr">
        <is>
          <t>20260619800786</t>
        </is>
      </c>
      <c r="O166" s="8">
        <f>HYPERLINK("https://dart.fss.or.kr/dsaf001/main.do?rcpNo=20260619800786", "공시열람")</f>
        <v/>
      </c>
    </row>
    <row r="167" ht="36" customHeight="1">
      <c r="A167" s="2" t="inlineStr">
        <is>
          <t>2026-05-20</t>
        </is>
      </c>
      <c r="B167" s="3" t="inlineStr">
        <is>
          <t>유한양행</t>
        </is>
      </c>
      <c r="C167" s="2" t="inlineStr">
        <is>
          <t>코스피</t>
        </is>
      </c>
      <c r="D167" s="2" t="inlineStr">
        <is>
          <t>000100</t>
        </is>
      </c>
      <c r="E167" s="2" t="inlineStr">
        <is>
          <t>단일판매공급계약체결</t>
        </is>
      </c>
      <c r="F167" s="3" t="inlineStr">
        <is>
          <t xml:space="preserve">단일판매ㆍ공급계약체결              </t>
        </is>
      </c>
      <c r="G167" s="7" t="inlineStr">
        <is>
          <t>원료의약품(API) 공급계약</t>
        </is>
      </c>
      <c r="H167" s="2" t="inlineStr">
        <is>
          <t>2026-05-19</t>
        </is>
      </c>
      <c r="I167" s="2" t="inlineStr">
        <is>
          <t>2027-12-31</t>
        </is>
      </c>
      <c r="J167" s="5" t="n">
        <v>210191637904</v>
      </c>
      <c r="K167" s="2" t="inlineStr">
        <is>
          <t>-</t>
        </is>
      </c>
      <c r="L167" s="13" t="n">
        <v>9.609999999999999</v>
      </c>
      <c r="M167" s="7" t="inlineStr">
        <is>
          <t>길리어드 사이언스(Gilead Sciences)</t>
        </is>
      </c>
      <c r="N167" s="2" t="inlineStr">
        <is>
          <t>20260520800079</t>
        </is>
      </c>
      <c r="O167" s="8">
        <f>HYPERLINK("https://dart.fss.or.kr/dsaf001/main.do?rcpNo=20260520800079", "공시열람")</f>
        <v/>
      </c>
    </row>
    <row r="168" ht="36" customHeight="1">
      <c r="A168" s="2" t="inlineStr">
        <is>
          <t>2026-05-21</t>
        </is>
      </c>
      <c r="B168" s="3" t="inlineStr">
        <is>
          <t>대웅</t>
        </is>
      </c>
      <c r="C168" s="2" t="inlineStr">
        <is>
          <t>코스피</t>
        </is>
      </c>
      <c r="D168" s="2" t="inlineStr">
        <is>
          <t>003090</t>
        </is>
      </c>
      <c r="E168" s="2" t="inlineStr">
        <is>
          <t>기타</t>
        </is>
      </c>
      <c r="F168" s="3" t="inlineStr">
        <is>
          <t>투자판단관련주요경영사항(자회사의 주요경영사항)              (비만치료용 세마글루타이드(4주 장기지속형 주사제) 기술도입 계약 체결)</t>
        </is>
      </c>
      <c r="G168" s="7" t="inlineStr">
        <is>
          <t>-</t>
        </is>
      </c>
      <c r="H168" s="2" t="inlineStr">
        <is>
          <t>-</t>
        </is>
      </c>
      <c r="I168" s="2" t="inlineStr">
        <is>
          <t>-</t>
        </is>
      </c>
      <c r="J168" s="5" t="inlineStr"/>
      <c r="K168" s="2" t="inlineStr">
        <is>
          <t>-</t>
        </is>
      </c>
      <c r="L168" s="3" t="inlineStr"/>
      <c r="M168" s="7" t="inlineStr">
        <is>
          <t>-</t>
        </is>
      </c>
      <c r="N168" s="2" t="inlineStr">
        <is>
          <t>20260521801000</t>
        </is>
      </c>
      <c r="O168" s="8">
        <f>HYPERLINK("https://dart.fss.or.kr/dsaf001/main.do?rcpNo=20260521801000", "공시열람")</f>
        <v/>
      </c>
    </row>
    <row r="169" ht="36" customHeight="1">
      <c r="A169" s="2" t="inlineStr">
        <is>
          <t>2026-05-21</t>
        </is>
      </c>
      <c r="B169" s="3" t="inlineStr">
        <is>
          <t>대웅제약</t>
        </is>
      </c>
      <c r="C169" s="2" t="inlineStr">
        <is>
          <t>코스피</t>
        </is>
      </c>
      <c r="D169" s="2" t="inlineStr">
        <is>
          <t>069620</t>
        </is>
      </c>
      <c r="E169" s="2" t="inlineStr">
        <is>
          <t>기타</t>
        </is>
      </c>
      <c r="F169" s="3" t="inlineStr">
        <is>
          <t>투자판단관련주요경영사항              (비만치료용 세마글루타이드(4주 장기지속형 주사제) 기술도입 계약 체결)</t>
        </is>
      </c>
      <c r="G169" s="7" t="inlineStr">
        <is>
          <t>-</t>
        </is>
      </c>
      <c r="H169" s="2" t="inlineStr">
        <is>
          <t>-</t>
        </is>
      </c>
      <c r="I169" s="2" t="inlineStr">
        <is>
          <t>-</t>
        </is>
      </c>
      <c r="J169" s="5" t="inlineStr"/>
      <c r="K169" s="2" t="inlineStr">
        <is>
          <t>-</t>
        </is>
      </c>
      <c r="L169" s="3" t="inlineStr"/>
      <c r="M169" s="7" t="inlineStr">
        <is>
          <t>-</t>
        </is>
      </c>
      <c r="N169" s="2" t="inlineStr">
        <is>
          <t>20260521800989</t>
        </is>
      </c>
      <c r="O169" s="8">
        <f>HYPERLINK("https://dart.fss.or.kr/dsaf001/main.do?rcpNo=20260521800989", "공시열람")</f>
        <v/>
      </c>
    </row>
    <row r="170" ht="36" customHeight="1">
      <c r="A170" s="2" t="inlineStr">
        <is>
          <t>2026-05-21</t>
        </is>
      </c>
      <c r="B170" s="3" t="inlineStr">
        <is>
          <t>한미사이언스</t>
        </is>
      </c>
      <c r="C170" s="2" t="inlineStr">
        <is>
          <t>코스피</t>
        </is>
      </c>
      <c r="D170" s="2" t="inlineStr">
        <is>
          <t>008930</t>
        </is>
      </c>
      <c r="E170" s="2" t="inlineStr">
        <is>
          <t>단일판매공급계약체결</t>
        </is>
      </c>
      <c r="F170" s="3" t="inlineStr">
        <is>
          <t xml:space="preserve">단일판매ㆍ공급계약체결(자회사의 주요경영사항)              </t>
        </is>
      </c>
      <c r="G170" s="7" t="inlineStr">
        <is>
          <t>심혈관·호흡기 치료제 3종 공급 계약</t>
        </is>
      </c>
      <c r="H170" s="2" t="inlineStr">
        <is>
          <t>2026-05-18</t>
        </is>
      </c>
      <c r="I170" s="2" t="inlineStr">
        <is>
          <t>2036-05-17</t>
        </is>
      </c>
      <c r="J170" s="5" t="n">
        <v>52738853215</v>
      </c>
      <c r="K170" s="2" t="inlineStr">
        <is>
          <t>-</t>
        </is>
      </c>
      <c r="L170" s="13" t="n">
        <v>3.4</v>
      </c>
      <c r="M170" s="7" t="inlineStr">
        <is>
          <t>Organon International GmbH</t>
        </is>
      </c>
      <c r="N170" s="2" t="inlineStr">
        <is>
          <t>20260521800969</t>
        </is>
      </c>
      <c r="O170" s="8">
        <f>HYPERLINK("https://dart.fss.or.kr/dsaf001/main.do?rcpNo=20260521800969", "공시열람")</f>
        <v/>
      </c>
    </row>
    <row r="171" ht="36" customHeight="1">
      <c r="A171" s="2" t="inlineStr">
        <is>
          <t>2026-05-21</t>
        </is>
      </c>
      <c r="B171" s="3" t="inlineStr">
        <is>
          <t>한미약품</t>
        </is>
      </c>
      <c r="C171" s="2" t="inlineStr">
        <is>
          <t>코스피</t>
        </is>
      </c>
      <c r="D171" s="2" t="inlineStr">
        <is>
          <t>128940</t>
        </is>
      </c>
      <c r="E171" s="2" t="inlineStr">
        <is>
          <t>단일판매공급계약체결</t>
        </is>
      </c>
      <c r="F171" s="3" t="inlineStr">
        <is>
          <t xml:space="preserve">단일판매ㆍ공급계약체결              </t>
        </is>
      </c>
      <c r="G171" s="7" t="inlineStr">
        <is>
          <t>심혈관·호흡기 치료제 3종 공급 계약</t>
        </is>
      </c>
      <c r="H171" s="2" t="inlineStr">
        <is>
          <t>2026-05-18</t>
        </is>
      </c>
      <c r="I171" s="2" t="inlineStr">
        <is>
          <t>2036-05-17</t>
        </is>
      </c>
      <c r="J171" s="5" t="n">
        <v>52738853215</v>
      </c>
      <c r="K171" s="2" t="inlineStr">
        <is>
          <t>-</t>
        </is>
      </c>
      <c r="L171" s="13" t="n">
        <v>3.4</v>
      </c>
      <c r="M171" s="7" t="inlineStr">
        <is>
          <t>Organon International GmbH</t>
        </is>
      </c>
      <c r="N171" s="2" t="inlineStr">
        <is>
          <t>20260521800956</t>
        </is>
      </c>
      <c r="O171" s="8">
        <f>HYPERLINK("https://dart.fss.or.kr/dsaf001/main.do?rcpNo=20260521800956", "공시열람")</f>
        <v/>
      </c>
    </row>
    <row r="172" ht="36" customHeight="1">
      <c r="A172" s="2" t="inlineStr">
        <is>
          <t>2026-05-21</t>
        </is>
      </c>
      <c r="B172" s="3" t="inlineStr">
        <is>
          <t>제이엔케이글로벌</t>
        </is>
      </c>
      <c r="C172" s="2" t="inlineStr">
        <is>
          <t>코스닥</t>
        </is>
      </c>
      <c r="D172" s="2" t="inlineStr">
        <is>
          <t>126880</t>
        </is>
      </c>
      <c r="E172" s="2" t="inlineStr">
        <is>
          <t>단일판매공급계약체결</t>
        </is>
      </c>
      <c r="F172" s="3" t="inlineStr">
        <is>
          <t xml:space="preserve">단일판매ㆍ공급계약체결              </t>
        </is>
      </c>
      <c r="G172" s="7" t="inlineStr">
        <is>
          <t>Fired Heaters 공급</t>
        </is>
      </c>
      <c r="H172" s="2" t="inlineStr">
        <is>
          <t>2026-05-20</t>
        </is>
      </c>
      <c r="I172" s="2" t="inlineStr">
        <is>
          <t>2027-08-18</t>
        </is>
      </c>
      <c r="J172" s="5" t="n">
        <v>17868151600</v>
      </c>
      <c r="K172" s="2" t="inlineStr">
        <is>
          <t>-</t>
        </is>
      </c>
      <c r="L172" s="13" t="n">
        <v>12.13</v>
      </c>
      <c r="M172" s="7" t="inlineStr">
        <is>
          <t>Honeywell UOP</t>
        </is>
      </c>
      <c r="N172" s="2" t="inlineStr">
        <is>
          <t>20260521900962</t>
        </is>
      </c>
      <c r="O172" s="8">
        <f>HYPERLINK("https://dart.fss.or.kr/dsaf001/main.do?rcpNo=20260521900962", "공시열람")</f>
        <v/>
      </c>
    </row>
    <row r="173" ht="36" customHeight="1">
      <c r="A173" s="2" t="inlineStr">
        <is>
          <t>2026-05-21 (정정: 2026-05-21)</t>
        </is>
      </c>
      <c r="B173" s="3" t="inlineStr">
        <is>
          <t>탑선</t>
        </is>
      </c>
      <c r="C173" s="2" t="inlineStr">
        <is>
          <t>코넥스</t>
        </is>
      </c>
      <c r="D173" s="2" t="inlineStr">
        <is>
          <t>180060</t>
        </is>
      </c>
      <c r="E173" s="2" t="inlineStr">
        <is>
          <t>단일판매공급계약체결</t>
        </is>
      </c>
      <c r="F173" s="3" t="inlineStr">
        <is>
          <t xml:space="preserve">[기재정정]단일판매ㆍ공급계약체결(자율공시)              </t>
        </is>
      </c>
      <c r="G173" s="7" t="inlineStr">
        <is>
          <t>신안증도 빛과소금 및 증도솔라팜 태양광발전소 공사도급계약</t>
        </is>
      </c>
      <c r="H173" s="2" t="inlineStr">
        <is>
          <t>2025-06-30</t>
        </is>
      </c>
      <c r="I173" s="2" t="inlineStr">
        <is>
          <t>2027-06-30</t>
        </is>
      </c>
      <c r="J173" s="5" t="n">
        <v>160626000000</v>
      </c>
      <c r="K173" s="2" t="inlineStr">
        <is>
          <t>-</t>
        </is>
      </c>
      <c r="L173" s="13" t="n">
        <v>146.02</v>
      </c>
      <c r="M173" s="7" t="inlineStr">
        <is>
          <t>주식회사 신안증도태양광</t>
        </is>
      </c>
      <c r="N173" s="2" t="inlineStr">
        <is>
          <t>20260521600914</t>
        </is>
      </c>
      <c r="O173" s="8">
        <f>HYPERLINK("https://dart.fss.or.kr/dsaf001/main.do?rcpNo=20260521600914", "공시열람")</f>
        <v/>
      </c>
    </row>
    <row r="174" ht="36" customHeight="1">
      <c r="A174" s="2" t="inlineStr">
        <is>
          <t>2026-05-21 (정정: 2026-06-10)</t>
        </is>
      </c>
      <c r="B174" s="3" t="inlineStr">
        <is>
          <t>한국종합기술</t>
        </is>
      </c>
      <c r="C174" s="2" t="inlineStr">
        <is>
          <t>코스피</t>
        </is>
      </c>
      <c r="D174" s="2" t="inlineStr">
        <is>
          <t>023350</t>
        </is>
      </c>
      <c r="E174" s="2" t="inlineStr">
        <is>
          <t>단일판매공급계약체결</t>
        </is>
      </c>
      <c r="F174" s="3" t="inlineStr">
        <is>
          <t>[기재정정]단일판매ㆍ공급계약체결               (정정: 20260610)</t>
        </is>
      </c>
      <c r="G174" s="7" t="inlineStr">
        <is>
          <t>부천열병합발전소 주제어동 건설공사</t>
        </is>
      </c>
      <c r="H174" s="2" t="inlineStr">
        <is>
          <t>2024-07-22</t>
        </is>
      </c>
      <c r="I174" s="2" t="inlineStr">
        <is>
          <t>2029-02-28</t>
        </is>
      </c>
      <c r="J174" s="5" t="n">
        <v>21411500000</v>
      </c>
      <c r="K174" s="2" t="inlineStr">
        <is>
          <t>-</t>
        </is>
      </c>
      <c r="L174" s="13" t="n">
        <v>5.68</v>
      </c>
      <c r="M174" s="7" t="inlineStr">
        <is>
          <t>GS파워 주식회사</t>
        </is>
      </c>
      <c r="N174" s="2" t="inlineStr">
        <is>
          <t>20260610800474</t>
        </is>
      </c>
      <c r="O174" s="8">
        <f>HYPERLINK("https://dart.fss.or.kr/dsaf001/main.do?rcpNo=20260610800474", "공시열람")</f>
        <v/>
      </c>
    </row>
    <row r="175" ht="36" customHeight="1">
      <c r="A175" s="2" t="inlineStr">
        <is>
          <t>2026-05-21</t>
        </is>
      </c>
      <c r="B175" s="3" t="inlineStr">
        <is>
          <t>테스</t>
        </is>
      </c>
      <c r="C175" s="2" t="inlineStr">
        <is>
          <t>코스닥</t>
        </is>
      </c>
      <c r="D175" s="2" t="inlineStr">
        <is>
          <t>095610</t>
        </is>
      </c>
      <c r="E175" s="2" t="inlineStr">
        <is>
          <t>단일판매공급계약체결</t>
        </is>
      </c>
      <c r="F175" s="3" t="inlineStr">
        <is>
          <t xml:space="preserve">단일판매ㆍ공급계약체결(자율공시)              </t>
        </is>
      </c>
      <c r="G175" s="7" t="inlineStr">
        <is>
          <t>반도체 제조장비</t>
        </is>
      </c>
      <c r="H175" s="2" t="inlineStr">
        <is>
          <t>2026-05-20</t>
        </is>
      </c>
      <c r="I175" s="2" t="inlineStr">
        <is>
          <t>2027-01-11</t>
        </is>
      </c>
      <c r="J175" s="5" t="n">
        <v>21534000000</v>
      </c>
      <c r="K175" s="2" t="inlineStr">
        <is>
          <t>-</t>
        </is>
      </c>
      <c r="L175" s="13" t="n">
        <v>6.13</v>
      </c>
      <c r="M175" s="7" t="inlineStr">
        <is>
          <t>SK하이닉스</t>
        </is>
      </c>
      <c r="N175" s="2" t="inlineStr">
        <is>
          <t>20260521900315</t>
        </is>
      </c>
      <c r="O175" s="8">
        <f>HYPERLINK("https://dart.fss.or.kr/dsaf001/main.do?rcpNo=20260521900315", "공시열람")</f>
        <v/>
      </c>
    </row>
    <row r="176" ht="36" customHeight="1">
      <c r="A176" s="2" t="inlineStr">
        <is>
          <t>2026-05-21</t>
        </is>
      </c>
      <c r="B176" s="3" t="inlineStr">
        <is>
          <t>HD현대</t>
        </is>
      </c>
      <c r="C176" s="2" t="inlineStr">
        <is>
          <t>코스피</t>
        </is>
      </c>
      <c r="D176" s="2" t="inlineStr">
        <is>
          <t>267250</t>
        </is>
      </c>
      <c r="E176" s="2" t="inlineStr">
        <is>
          <t>단일판매공급계약체결</t>
        </is>
      </c>
      <c r="F176" s="3" t="inlineStr">
        <is>
          <t xml:space="preserve">단일판매ㆍ공급계약체결(자회사의 주요경영사항)              </t>
        </is>
      </c>
      <c r="G176" s="7" t="inlineStr">
        <is>
          <t>VLAC 6척</t>
        </is>
      </c>
      <c r="H176" s="2" t="inlineStr">
        <is>
          <t>2026-05-20</t>
        </is>
      </c>
      <c r="I176" s="2" t="inlineStr">
        <is>
          <t>2029-12-20</t>
        </is>
      </c>
      <c r="J176" s="5" t="n">
        <v>1078200000000</v>
      </c>
      <c r="K176" s="2" t="inlineStr">
        <is>
          <t>-</t>
        </is>
      </c>
      <c r="L176" s="13" t="n">
        <v>13.36</v>
      </c>
      <c r="M176" s="7" t="inlineStr">
        <is>
          <t>유럽 소재 선주</t>
        </is>
      </c>
      <c r="N176" s="2" t="inlineStr">
        <is>
          <t>20260521800367</t>
        </is>
      </c>
      <c r="O176" s="8">
        <f>HYPERLINK("https://dart.fss.or.kr/dsaf001/main.do?rcpNo=20260521800367", "공시열람")</f>
        <v/>
      </c>
    </row>
    <row r="177" ht="36" customHeight="1">
      <c r="A177" s="2" t="inlineStr">
        <is>
          <t>2026-05-21</t>
        </is>
      </c>
      <c r="B177" s="3" t="inlineStr">
        <is>
          <t>HD한국조선해양</t>
        </is>
      </c>
      <c r="C177" s="2" t="inlineStr">
        <is>
          <t>코스피</t>
        </is>
      </c>
      <c r="D177" s="2" t="inlineStr">
        <is>
          <t>009540</t>
        </is>
      </c>
      <c r="E177" s="2" t="inlineStr">
        <is>
          <t>단일판매공급계약체결</t>
        </is>
      </c>
      <c r="F177" s="3" t="inlineStr">
        <is>
          <t xml:space="preserve">단일판매ㆍ공급계약체결(자회사의 주요경영사항)              </t>
        </is>
      </c>
      <c r="G177" s="7" t="inlineStr">
        <is>
          <t>VLAC 6척</t>
        </is>
      </c>
      <c r="H177" s="2" t="inlineStr">
        <is>
          <t>2026-05-20</t>
        </is>
      </c>
      <c r="I177" s="2" t="inlineStr">
        <is>
          <t>2029-12-20</t>
        </is>
      </c>
      <c r="J177" s="5" t="n">
        <v>1078200000000</v>
      </c>
      <c r="K177" s="2" t="inlineStr">
        <is>
          <t>-</t>
        </is>
      </c>
      <c r="L177" s="13" t="n">
        <v>13.36</v>
      </c>
      <c r="M177" s="7" t="inlineStr">
        <is>
          <t>유럽 소재 선주</t>
        </is>
      </c>
      <c r="N177" s="2" t="inlineStr">
        <is>
          <t>20260521800360</t>
        </is>
      </c>
      <c r="O177" s="8">
        <f>HYPERLINK("https://dart.fss.or.kr/dsaf001/main.do?rcpNo=20260521800360", "공시열람")</f>
        <v/>
      </c>
    </row>
    <row r="178" ht="36" customHeight="1">
      <c r="A178" s="2" t="inlineStr">
        <is>
          <t>2024-12-09 (정정: 2026-05-21)</t>
        </is>
      </c>
      <c r="B178" s="3" t="inlineStr">
        <is>
          <t>두산퓨얼셀</t>
        </is>
      </c>
      <c r="C178" s="2" t="inlineStr">
        <is>
          <t>코스피</t>
        </is>
      </c>
      <c r="D178" s="2" t="inlineStr">
        <is>
          <t>336260</t>
        </is>
      </c>
      <c r="E178" s="2" t="inlineStr">
        <is>
          <t>단일판매공급계약체결</t>
        </is>
      </c>
      <c r="F178" s="3" t="inlineStr">
        <is>
          <t xml:space="preserve">[기재정정]단일판매ㆍ공급계약체결              </t>
        </is>
      </c>
      <c r="G178" s="7" t="inlineStr">
        <is>
          <t>연료전지 시스템 공급 계약</t>
        </is>
      </c>
      <c r="H178" s="2" t="inlineStr">
        <is>
          <t>2024-11-22</t>
        </is>
      </c>
      <c r="I178" s="2" t="inlineStr">
        <is>
          <t>2026-06-08</t>
        </is>
      </c>
      <c r="J178" s="5" t="n">
        <v>52900000000</v>
      </c>
      <c r="K178" s="2" t="inlineStr">
        <is>
          <t>-</t>
        </is>
      </c>
      <c r="L178" s="13" t="n">
        <v>20.28</v>
      </c>
      <c r="M178" s="7" t="inlineStr">
        <is>
          <t>㈜삼천리이에스</t>
        </is>
      </c>
      <c r="N178" s="2" t="inlineStr">
        <is>
          <t>20260521800348</t>
        </is>
      </c>
      <c r="O178" s="8">
        <f>HYPERLINK("https://dart.fss.or.kr/dsaf001/main.do?rcpNo=20260521800348", "공시열람")</f>
        <v/>
      </c>
    </row>
    <row r="179" ht="36" customHeight="1">
      <c r="A179" s="2" t="inlineStr">
        <is>
          <t>2026-05-21</t>
        </is>
      </c>
      <c r="B179" s="3" t="inlineStr">
        <is>
          <t>앱클론</t>
        </is>
      </c>
      <c r="C179" s="2" t="inlineStr">
        <is>
          <t>코스닥</t>
        </is>
      </c>
      <c r="D179" s="2" t="inlineStr">
        <is>
          <t>174900</t>
        </is>
      </c>
      <c r="E179" s="2" t="inlineStr">
        <is>
          <t>단일판매공급계약체결</t>
        </is>
      </c>
      <c r="F179" s="3" t="inlineStr">
        <is>
          <t xml:space="preserve">단일판매ㆍ공급계약체결(자율공시)              </t>
        </is>
      </c>
      <c r="G179" s="7" t="inlineStr">
        <is>
          <t>식품의약품안전평가원 시약 및 실험기자재 구매입찰_2026년 4월1기(제2026-148호)</t>
        </is>
      </c>
      <c r="H179" s="2" t="inlineStr">
        <is>
          <t>2026-05-20</t>
        </is>
      </c>
      <c r="I179" s="2" t="inlineStr">
        <is>
          <t>2026-07-31</t>
        </is>
      </c>
      <c r="J179" s="5" t="n">
        <v>424056300</v>
      </c>
      <c r="K179" s="2" t="inlineStr">
        <is>
          <t>-</t>
        </is>
      </c>
      <c r="L179" s="13" t="n">
        <v>9</v>
      </c>
      <c r="M179" s="7" t="inlineStr">
        <is>
          <t>식품의약품안전처 식품의약품안전평가원</t>
        </is>
      </c>
      <c r="N179" s="2" t="inlineStr">
        <is>
          <t>20260521900276</t>
        </is>
      </c>
      <c r="O179" s="8">
        <f>HYPERLINK("https://dart.fss.or.kr/dsaf001/main.do?rcpNo=20260521900276", "공시열람")</f>
        <v/>
      </c>
    </row>
    <row r="180" ht="36" customHeight="1">
      <c r="A180" s="2" t="inlineStr">
        <is>
          <t>2023-11-29 (정정: 2026-05-21)</t>
        </is>
      </c>
      <c r="B180" s="3" t="inlineStr">
        <is>
          <t>쎄트렉아이</t>
        </is>
      </c>
      <c r="C180" s="2" t="inlineStr">
        <is>
          <t>코스닥</t>
        </is>
      </c>
      <c r="D180" s="2" t="inlineStr">
        <is>
          <t>099320</t>
        </is>
      </c>
      <c r="E180" s="2" t="inlineStr">
        <is>
          <t>단일판매공급계약체결</t>
        </is>
      </c>
      <c r="F180" s="3" t="inlineStr">
        <is>
          <t xml:space="preserve">[기재정정]단일판매ㆍ공급계약체결              </t>
        </is>
      </c>
      <c r="G180" s="7" t="inlineStr">
        <is>
          <t>하드웨어 및 소프트웨어</t>
        </is>
      </c>
      <c r="H180" s="2" t="inlineStr">
        <is>
          <t>2023-11-29</t>
        </is>
      </c>
      <c r="I180" s="2" t="inlineStr">
        <is>
          <t>2028-05-31</t>
        </is>
      </c>
      <c r="J180" s="5" t="n">
        <v>70231363636</v>
      </c>
      <c r="K180" s="2" t="inlineStr">
        <is>
          <t>-</t>
        </is>
      </c>
      <c r="L180" s="13" t="n">
        <v>76.67</v>
      </c>
      <c r="M180" s="7" t="inlineStr">
        <is>
          <t>정부출연연구기관</t>
        </is>
      </c>
      <c r="N180" s="2" t="inlineStr">
        <is>
          <t>20260521900247</t>
        </is>
      </c>
      <c r="O180" s="8">
        <f>HYPERLINK("https://dart.fss.or.kr/dsaf001/main.do?rcpNo=20260521900247", "공시열람")</f>
        <v/>
      </c>
    </row>
    <row r="181" ht="36" customHeight="1">
      <c r="A181" s="2" t="inlineStr">
        <is>
          <t>2026-05-21</t>
        </is>
      </c>
      <c r="B181" s="3" t="inlineStr">
        <is>
          <t>한국카본</t>
        </is>
      </c>
      <c r="C181" s="2" t="inlineStr">
        <is>
          <t>코스피</t>
        </is>
      </c>
      <c r="D181" s="2" t="inlineStr">
        <is>
          <t>017960</t>
        </is>
      </c>
      <c r="E181" s="2" t="inlineStr">
        <is>
          <t>단일판매공급계약체결</t>
        </is>
      </c>
      <c r="F181" s="3" t="inlineStr">
        <is>
          <t xml:space="preserve">단일판매ㆍ공급계약체결              </t>
        </is>
      </c>
      <c r="G181" s="7" t="inlineStr">
        <is>
          <t>LNG 수송선 화물창용 초저온 보냉자재 공급계약</t>
        </is>
      </c>
      <c r="H181" s="2" t="inlineStr">
        <is>
          <t>2026-05-21</t>
        </is>
      </c>
      <c r="I181" s="2" t="inlineStr">
        <is>
          <t>2027-12-26</t>
        </is>
      </c>
      <c r="J181" s="5" t="n">
        <v>72000000000</v>
      </c>
      <c r="K181" s="2" t="inlineStr">
        <is>
          <t>-</t>
        </is>
      </c>
      <c r="L181" s="13" t="n">
        <v>7.9</v>
      </c>
      <c r="M181" s="7" t="inlineStr">
        <is>
          <t>한화오션(주)</t>
        </is>
      </c>
      <c r="N181" s="2" t="inlineStr">
        <is>
          <t>20260521800082</t>
        </is>
      </c>
      <c r="O181" s="8">
        <f>HYPERLINK("https://dart.fss.or.kr/dsaf001/main.do?rcpNo=20260521800082", "공시열람")</f>
        <v/>
      </c>
    </row>
    <row r="182" ht="36" customHeight="1">
      <c r="A182" s="2" t="inlineStr">
        <is>
          <t>2026-05-22</t>
        </is>
      </c>
      <c r="B182" s="3" t="inlineStr">
        <is>
          <t>DL</t>
        </is>
      </c>
      <c r="C182" s="2" t="inlineStr">
        <is>
          <t>코스피</t>
        </is>
      </c>
      <c r="D182" s="2" t="inlineStr">
        <is>
          <t>000210</t>
        </is>
      </c>
      <c r="E182" s="2" t="inlineStr">
        <is>
          <t>단일판매공급계약체결</t>
        </is>
      </c>
      <c r="F182" s="3" t="inlineStr">
        <is>
          <t xml:space="preserve">단일판매ㆍ공급계약체결(자회사의 주요경영사항)              </t>
        </is>
      </c>
      <c r="G182" s="7" t="inlineStr">
        <is>
          <t>수서~광주 복선전철 제2공구 건설공사</t>
        </is>
      </c>
      <c r="H182" s="2" t="inlineStr">
        <is>
          <t>2026-05-21</t>
        </is>
      </c>
      <c r="I182" s="2" t="inlineStr">
        <is>
          <t>2031-05-20</t>
        </is>
      </c>
      <c r="J182" s="5" t="n">
        <v>228880909090</v>
      </c>
      <c r="K182" s="2" t="inlineStr">
        <is>
          <t>-</t>
        </is>
      </c>
      <c r="L182" s="13" t="n">
        <v>3.09</v>
      </c>
      <c r="M182" s="7" t="inlineStr">
        <is>
          <t>국가철도공단</t>
        </is>
      </c>
      <c r="N182" s="2" t="inlineStr">
        <is>
          <t>20260522800478</t>
        </is>
      </c>
      <c r="O182" s="8">
        <f>HYPERLINK("https://dart.fss.or.kr/dsaf001/main.do?rcpNo=20260522800478", "공시열람")</f>
        <v/>
      </c>
    </row>
    <row r="183" ht="36" customHeight="1">
      <c r="A183" s="2" t="inlineStr">
        <is>
          <t>2026-05-22</t>
        </is>
      </c>
      <c r="B183" s="3" t="inlineStr">
        <is>
          <t>DL이앤씨</t>
        </is>
      </c>
      <c r="C183" s="2" t="inlineStr">
        <is>
          <t>코스피</t>
        </is>
      </c>
      <c r="D183" s="2" t="inlineStr">
        <is>
          <t>375500</t>
        </is>
      </c>
      <c r="E183" s="2" t="inlineStr">
        <is>
          <t>단일판매공급계약체결</t>
        </is>
      </c>
      <c r="F183" s="3" t="inlineStr">
        <is>
          <t xml:space="preserve">단일판매ㆍ공급계약체결              </t>
        </is>
      </c>
      <c r="G183" s="7" t="inlineStr">
        <is>
          <t>수서~광주 복선전철 제2공구 건설공사</t>
        </is>
      </c>
      <c r="H183" s="2" t="inlineStr">
        <is>
          <t>2026-05-21</t>
        </is>
      </c>
      <c r="I183" s="2" t="inlineStr">
        <is>
          <t>2031-05-20</t>
        </is>
      </c>
      <c r="J183" s="5" t="n">
        <v>228880909090</v>
      </c>
      <c r="K183" s="2" t="inlineStr">
        <is>
          <t>-</t>
        </is>
      </c>
      <c r="L183" s="13" t="n">
        <v>3.09</v>
      </c>
      <c r="M183" s="7" t="inlineStr">
        <is>
          <t>국가철도공단</t>
        </is>
      </c>
      <c r="N183" s="2" t="inlineStr">
        <is>
          <t>20260522800452</t>
        </is>
      </c>
      <c r="O183" s="8">
        <f>HYPERLINK("https://dart.fss.or.kr/dsaf001/main.do?rcpNo=20260522800452", "공시열람")</f>
        <v/>
      </c>
    </row>
    <row r="184" ht="36" customHeight="1">
      <c r="A184" s="2" t="inlineStr">
        <is>
          <t>2026-05-22</t>
        </is>
      </c>
      <c r="B184" s="3" t="inlineStr">
        <is>
          <t>대우건설</t>
        </is>
      </c>
      <c r="C184" s="2" t="inlineStr">
        <is>
          <t>코스피</t>
        </is>
      </c>
      <c r="D184" s="2" t="inlineStr">
        <is>
          <t>047040</t>
        </is>
      </c>
      <c r="E184" s="2" t="inlineStr">
        <is>
          <t>단일판매공급계약체결</t>
        </is>
      </c>
      <c r="F184" s="3" t="inlineStr">
        <is>
          <t xml:space="preserve">단일판매ㆍ공급계약체결              </t>
        </is>
      </c>
      <c r="G184" s="7" t="inlineStr">
        <is>
          <t>장성파인데이터센터 신축공사</t>
        </is>
      </c>
      <c r="H184" s="2" t="inlineStr">
        <is>
          <t>2025-12-24</t>
        </is>
      </c>
      <c r="I184" s="2" t="inlineStr">
        <is>
          <t>2027-12-23</t>
        </is>
      </c>
      <c r="J184" s="5" t="n">
        <v>252500000000</v>
      </c>
      <c r="K184" s="2" t="inlineStr">
        <is>
          <t>-</t>
        </is>
      </c>
      <c r="L184" s="13" t="n">
        <v>3.13</v>
      </c>
      <c r="M184" s="7" t="inlineStr">
        <is>
          <t>파인디씨피에프브이(주)</t>
        </is>
      </c>
      <c r="N184" s="2" t="inlineStr">
        <is>
          <t>20260522800424</t>
        </is>
      </c>
      <c r="O184" s="8">
        <f>HYPERLINK("https://dart.fss.or.kr/dsaf001/main.do?rcpNo=20260522800424", "공시열람")</f>
        <v/>
      </c>
    </row>
    <row r="185" ht="36" customHeight="1">
      <c r="A185" s="2" t="inlineStr">
        <is>
          <t>2026-05-22</t>
        </is>
      </c>
      <c r="B185" s="3" t="inlineStr">
        <is>
          <t>코오롱</t>
        </is>
      </c>
      <c r="C185" s="2" t="inlineStr">
        <is>
          <t>코스피</t>
        </is>
      </c>
      <c r="D185" s="2" t="inlineStr">
        <is>
          <t>002020</t>
        </is>
      </c>
      <c r="E185" s="2" t="inlineStr">
        <is>
          <t>단일판매공급계약체결</t>
        </is>
      </c>
      <c r="F185" s="3" t="inlineStr">
        <is>
          <t xml:space="preserve">단일판매ㆍ공급계약체결(자회사의 주요경영사항)              </t>
        </is>
      </c>
      <c r="G185" s="7" t="inlineStr">
        <is>
          <t>상봉7재정비촉진구역 도시환경정비사업</t>
        </is>
      </c>
      <c r="H185" s="2" t="inlineStr">
        <is>
          <t>-</t>
        </is>
      </c>
      <c r="I185" s="2" t="inlineStr">
        <is>
          <t>-</t>
        </is>
      </c>
      <c r="J185" s="5" t="n">
        <v>425836000000</v>
      </c>
      <c r="K185" s="2" t="inlineStr">
        <is>
          <t>-</t>
        </is>
      </c>
      <c r="L185" s="13" t="n">
        <v>15.86</v>
      </c>
      <c r="M185" s="7" t="inlineStr">
        <is>
          <t>상봉7재정비촉진구역 도시환경정비사업조합</t>
        </is>
      </c>
      <c r="N185" s="2" t="inlineStr">
        <is>
          <t>20260522800397</t>
        </is>
      </c>
      <c r="O185" s="8">
        <f>HYPERLINK("https://dart.fss.or.kr/dsaf001/main.do?rcpNo=20260522800397", "공시열람")</f>
        <v/>
      </c>
    </row>
    <row r="186" ht="36" customHeight="1">
      <c r="A186" s="2" t="inlineStr">
        <is>
          <t>2026-05-22</t>
        </is>
      </c>
      <c r="B186" s="3" t="inlineStr">
        <is>
          <t>코오롱글로벌</t>
        </is>
      </c>
      <c r="C186" s="2" t="inlineStr">
        <is>
          <t>코스피</t>
        </is>
      </c>
      <c r="D186" s="2" t="inlineStr">
        <is>
          <t>003070</t>
        </is>
      </c>
      <c r="E186" s="2" t="inlineStr">
        <is>
          <t>단일판매공급계약체결</t>
        </is>
      </c>
      <c r="F186" s="3" t="inlineStr">
        <is>
          <t xml:space="preserve">단일판매ㆍ공급계약체결              </t>
        </is>
      </c>
      <c r="G186" s="7" t="inlineStr">
        <is>
          <t>상봉7재정비촉진구역 도시환경정비사업</t>
        </is>
      </c>
      <c r="H186" s="2" t="inlineStr">
        <is>
          <t>-</t>
        </is>
      </c>
      <c r="I186" s="2" t="inlineStr">
        <is>
          <t>-</t>
        </is>
      </c>
      <c r="J186" s="5" t="n">
        <v>425836000000</v>
      </c>
      <c r="K186" s="2" t="inlineStr">
        <is>
          <t>-</t>
        </is>
      </c>
      <c r="L186" s="13" t="n">
        <v>15.86</v>
      </c>
      <c r="M186" s="7" t="inlineStr">
        <is>
          <t>상봉7재정비촉진구역 도시환경정비사업조합</t>
        </is>
      </c>
      <c r="N186" s="2" t="inlineStr">
        <is>
          <t>20260522800384</t>
        </is>
      </c>
      <c r="O186" s="8">
        <f>HYPERLINK("https://dart.fss.or.kr/dsaf001/main.do?rcpNo=20260522800384", "공시열람")</f>
        <v/>
      </c>
    </row>
    <row r="187" ht="36" customHeight="1">
      <c r="A187" s="2" t="inlineStr">
        <is>
          <t>2026-05-22</t>
        </is>
      </c>
      <c r="B187" s="3" t="inlineStr">
        <is>
          <t>크레오에스지</t>
        </is>
      </c>
      <c r="C187" s="2" t="inlineStr">
        <is>
          <t>코스닥</t>
        </is>
      </c>
      <c r="D187" s="2" t="inlineStr">
        <is>
          <t>040350</t>
        </is>
      </c>
      <c r="E187" s="2" t="inlineStr">
        <is>
          <t>단일판매공급계약체결</t>
        </is>
      </c>
      <c r="F187" s="3" t="inlineStr">
        <is>
          <t xml:space="preserve">단일판매ㆍ공급계약체결              </t>
        </is>
      </c>
      <c r="G187" s="7" t="inlineStr">
        <is>
          <t>우리은행 중장기 IT인프라 최적화(3차)</t>
        </is>
      </c>
      <c r="H187" s="2" t="inlineStr">
        <is>
          <t>2026-05-26</t>
        </is>
      </c>
      <c r="I187" s="2" t="inlineStr">
        <is>
          <t>2027-08-25</t>
        </is>
      </c>
      <c r="J187" s="5" t="n">
        <v>1990000000</v>
      </c>
      <c r="K187" s="2" t="inlineStr">
        <is>
          <t>-</t>
        </is>
      </c>
      <c r="L187" s="13" t="n">
        <v>18.32</v>
      </c>
      <c r="M187" s="7" t="inlineStr">
        <is>
          <t>삼성에스디에스 주식회사</t>
        </is>
      </c>
      <c r="N187" s="2" t="inlineStr">
        <is>
          <t>20260522900344</t>
        </is>
      </c>
      <c r="O187" s="8">
        <f>HYPERLINK("https://dart.fss.or.kr/dsaf001/main.do?rcpNo=20260522900344", "공시열람")</f>
        <v/>
      </c>
    </row>
    <row r="188" ht="36" customHeight="1">
      <c r="A188" s="2" t="inlineStr">
        <is>
          <t>2026-05-22 (정정: 2026-05-27)</t>
        </is>
      </c>
      <c r="B188" s="3" t="inlineStr">
        <is>
          <t>웨이버스</t>
        </is>
      </c>
      <c r="C188" s="2" t="inlineStr">
        <is>
          <t>코스닥</t>
        </is>
      </c>
      <c r="D188" s="2" t="inlineStr">
        <is>
          <t>336060</t>
        </is>
      </c>
      <c r="E188" s="2" t="inlineStr">
        <is>
          <t>단일판매공급계약체결</t>
        </is>
      </c>
      <c r="F188" s="3" t="inlineStr">
        <is>
          <t>단일판매ㆍ공급계약체결(자율공시)               (정정: 20260527)</t>
        </is>
      </c>
      <c r="G188" s="7" t="inlineStr">
        <is>
          <t>2026년 정보시스템 통합유지관리 용역사업</t>
        </is>
      </c>
      <c r="H188" s="2" t="inlineStr">
        <is>
          <t>2026-06-01</t>
        </is>
      </c>
      <c r="I188" s="2" t="inlineStr">
        <is>
          <t>2028-05-31</t>
        </is>
      </c>
      <c r="J188" s="5" t="n">
        <v>14383765236</v>
      </c>
      <c r="K188" s="2" t="inlineStr">
        <is>
          <t>-</t>
        </is>
      </c>
      <c r="L188" s="13" t="n">
        <v>20.49</v>
      </c>
      <c r="M188" s="7" t="inlineStr">
        <is>
          <t>국민건강보험공단</t>
        </is>
      </c>
      <c r="N188" s="2" t="inlineStr">
        <is>
          <t>20260527900261</t>
        </is>
      </c>
      <c r="O188" s="8">
        <f>HYPERLINK("https://dart.fss.or.kr/dsaf001/main.do?rcpNo=20260527900261", "공시열람")</f>
        <v/>
      </c>
    </row>
    <row r="189" ht="36" customHeight="1">
      <c r="A189" s="2" t="inlineStr">
        <is>
          <t>2026-05-22</t>
        </is>
      </c>
      <c r="B189" s="3" t="inlineStr">
        <is>
          <t>파두</t>
        </is>
      </c>
      <c r="C189" s="2" t="inlineStr">
        <is>
          <t>코스닥</t>
        </is>
      </c>
      <c r="D189" s="2" t="inlineStr">
        <is>
          <t>440110</t>
        </is>
      </c>
      <c r="E189" s="2" t="inlineStr">
        <is>
          <t>단일판매공급계약체결</t>
        </is>
      </c>
      <c r="F189" s="3" t="inlineStr">
        <is>
          <t xml:space="preserve">단일판매ㆍ공급계약체결              </t>
        </is>
      </c>
      <c r="G189" s="7" t="inlineStr">
        <is>
          <t>기업용 SSD 컨트롤러 공급</t>
        </is>
      </c>
      <c r="H189" s="2" t="inlineStr">
        <is>
          <t>2026-05-21</t>
        </is>
      </c>
      <c r="I189" s="2" t="inlineStr">
        <is>
          <t>2026-12-11</t>
        </is>
      </c>
      <c r="J189" s="5" t="n">
        <v>28684300000</v>
      </c>
      <c r="K189" s="2" t="inlineStr">
        <is>
          <t>-</t>
        </is>
      </c>
      <c r="L189" s="13" t="n">
        <v>31.04</v>
      </c>
      <c r="M189" s="7" t="inlineStr">
        <is>
          <t>해외 Nand Flash Memory 제조사</t>
        </is>
      </c>
      <c r="N189" s="2" t="inlineStr">
        <is>
          <t>20260522900209</t>
        </is>
      </c>
      <c r="O189" s="8">
        <f>HYPERLINK("https://dart.fss.or.kr/dsaf001/main.do?rcpNo=20260522900209", "공시열람")</f>
        <v/>
      </c>
    </row>
    <row r="190" ht="36" customHeight="1">
      <c r="A190" s="2" t="inlineStr">
        <is>
          <t>2025-11-18 (정정: 2026-05-22)</t>
        </is>
      </c>
      <c r="B190" s="3" t="inlineStr">
        <is>
          <t>우진아이엔에스</t>
        </is>
      </c>
      <c r="C190" s="2" t="inlineStr">
        <is>
          <t>코스피</t>
        </is>
      </c>
      <c r="D190" s="2" t="inlineStr">
        <is>
          <t>010400</t>
        </is>
      </c>
      <c r="E190" s="2" t="inlineStr">
        <is>
          <t>단일판매공급계약체결</t>
        </is>
      </c>
      <c r="F190" s="3" t="inlineStr">
        <is>
          <t xml:space="preserve">[기재정정]단일판매ㆍ공급계약체결              </t>
        </is>
      </c>
      <c r="G190" s="7" t="inlineStr">
        <is>
          <t>가산동 345-48 데이터센터 G사 기계공사</t>
        </is>
      </c>
      <c r="H190" s="2" t="inlineStr">
        <is>
          <t>2025-11-17</t>
        </is>
      </c>
      <c r="I190" s="2" t="inlineStr">
        <is>
          <t>2026-08-30</t>
        </is>
      </c>
      <c r="J190" s="5" t="n">
        <v>5036700000</v>
      </c>
      <c r="K190" s="2" t="inlineStr">
        <is>
          <t>-</t>
        </is>
      </c>
      <c r="L190" s="13" t="n">
        <v>3.66</v>
      </c>
      <c r="M190" s="7" t="inlineStr">
        <is>
          <t>(주)가산아이윌</t>
        </is>
      </c>
      <c r="N190" s="2" t="inlineStr">
        <is>
          <t>20260522800152</t>
        </is>
      </c>
      <c r="O190" s="8">
        <f>HYPERLINK("https://dart.fss.or.kr/dsaf001/main.do?rcpNo=20260522800152", "공시열람")</f>
        <v/>
      </c>
    </row>
    <row r="191" ht="36" customHeight="1">
      <c r="A191" s="2" t="inlineStr">
        <is>
          <t>2026-05-26</t>
        </is>
      </c>
      <c r="B191" s="3" t="inlineStr">
        <is>
          <t>HDC</t>
        </is>
      </c>
      <c r="C191" s="2" t="inlineStr">
        <is>
          <t>코스피</t>
        </is>
      </c>
      <c r="D191" s="2" t="inlineStr">
        <is>
          <t>012630</t>
        </is>
      </c>
      <c r="E191" s="2" t="inlineStr">
        <is>
          <t>단일판매공급계약체결</t>
        </is>
      </c>
      <c r="F191" s="3" t="inlineStr">
        <is>
          <t xml:space="preserve">단일판매ㆍ공급계약해지(자회사의 주요경영사항)              </t>
        </is>
      </c>
      <c r="G191" s="7" t="inlineStr">
        <is>
          <t>-</t>
        </is>
      </c>
      <c r="H191" s="2" t="inlineStr">
        <is>
          <t>-</t>
        </is>
      </c>
      <c r="I191" s="2" t="inlineStr">
        <is>
          <t>-</t>
        </is>
      </c>
      <c r="J191" s="5" t="inlineStr"/>
      <c r="K191" s="2" t="inlineStr">
        <is>
          <t>-</t>
        </is>
      </c>
      <c r="L191" s="13" t="n">
        <v>3.8</v>
      </c>
      <c r="M191" s="7" t="inlineStr">
        <is>
          <t>(주)에이치디씨아이파크제2호위탁관리부동산투자회사</t>
        </is>
      </c>
      <c r="N191" s="2" t="inlineStr">
        <is>
          <t>20260526800853</t>
        </is>
      </c>
      <c r="O191" s="8">
        <f>HYPERLINK("https://dart.fss.or.kr/dsaf001/main.do?rcpNo=20260526800853", "공시열람")</f>
        <v/>
      </c>
    </row>
    <row r="192" ht="36" customHeight="1">
      <c r="A192" s="2" t="inlineStr">
        <is>
          <t>2026-05-26</t>
        </is>
      </c>
      <c r="B192" s="3" t="inlineStr">
        <is>
          <t>IPARK현대산업개발</t>
        </is>
      </c>
      <c r="C192" s="2" t="inlineStr">
        <is>
          <t>코스피</t>
        </is>
      </c>
      <c r="D192" s="2" t="inlineStr">
        <is>
          <t>294870</t>
        </is>
      </c>
      <c r="E192" s="2" t="inlineStr">
        <is>
          <t>단일판매공급계약체결</t>
        </is>
      </c>
      <c r="F192" s="3" t="inlineStr">
        <is>
          <t xml:space="preserve">단일판매ㆍ공급계약해지              </t>
        </is>
      </c>
      <c r="G192" s="7" t="inlineStr">
        <is>
          <t>-</t>
        </is>
      </c>
      <c r="H192" s="2" t="inlineStr">
        <is>
          <t>-</t>
        </is>
      </c>
      <c r="I192" s="2" t="inlineStr">
        <is>
          <t>-</t>
        </is>
      </c>
      <c r="J192" s="5" t="inlineStr"/>
      <c r="K192" s="2" t="inlineStr">
        <is>
          <t>-</t>
        </is>
      </c>
      <c r="L192" s="13" t="n">
        <v>3.8</v>
      </c>
      <c r="M192" s="7" t="inlineStr">
        <is>
          <t>(주)에이치디씨아이파크제2호위탁관리부동산투자회사</t>
        </is>
      </c>
      <c r="N192" s="2" t="inlineStr">
        <is>
          <t>20260526800829</t>
        </is>
      </c>
      <c r="O192" s="8">
        <f>HYPERLINK("https://dart.fss.or.kr/dsaf001/main.do?rcpNo=20260526800829", "공시열람")</f>
        <v/>
      </c>
    </row>
    <row r="193" ht="36" customHeight="1">
      <c r="A193" s="2" t="inlineStr">
        <is>
          <t>2026-05-26</t>
        </is>
      </c>
      <c r="B193" s="3" t="inlineStr">
        <is>
          <t>한양이엔지</t>
        </is>
      </c>
      <c r="C193" s="2" t="inlineStr">
        <is>
          <t>코스닥</t>
        </is>
      </c>
      <c r="D193" s="2" t="inlineStr">
        <is>
          <t>045100</t>
        </is>
      </c>
      <c r="E193" s="2" t="inlineStr">
        <is>
          <t>단일판매공급계약체결</t>
        </is>
      </c>
      <c r="F193" s="3" t="inlineStr">
        <is>
          <t xml:space="preserve">단일판매ㆍ공급계약체결              </t>
        </is>
      </c>
      <c r="G193" s="7" t="inlineStr">
        <is>
          <t>CDS 패키지 공급</t>
        </is>
      </c>
      <c r="H193" s="2" t="inlineStr">
        <is>
          <t>2026-05-25</t>
        </is>
      </c>
      <c r="I193" s="2" t="inlineStr">
        <is>
          <t>2028-05-31</t>
        </is>
      </c>
      <c r="J193" s="5" t="n">
        <v>121380562000</v>
      </c>
      <c r="K193" s="2" t="inlineStr">
        <is>
          <t>-</t>
        </is>
      </c>
      <c r="L193" s="13" t="n">
        <v>10.86</v>
      </c>
      <c r="M193" s="7" t="inlineStr">
        <is>
          <t>-</t>
        </is>
      </c>
      <c r="N193" s="2" t="inlineStr">
        <is>
          <t>20260526900736</t>
        </is>
      </c>
      <c r="O193" s="8">
        <f>HYPERLINK("https://dart.fss.or.kr/dsaf001/main.do?rcpNo=20260526900736", "공시열람")</f>
        <v/>
      </c>
    </row>
    <row r="194" ht="36" customHeight="1">
      <c r="A194" s="2" t="inlineStr">
        <is>
          <t>2026-05-26 (정정: 2026-06-16)</t>
        </is>
      </c>
      <c r="B194" s="3" t="inlineStr">
        <is>
          <t>빅텍</t>
        </is>
      </c>
      <c r="C194" s="2" t="inlineStr">
        <is>
          <t>코스닥</t>
        </is>
      </c>
      <c r="D194" s="2" t="inlineStr">
        <is>
          <t>065450</t>
        </is>
      </c>
      <c r="E194" s="2" t="inlineStr">
        <is>
          <t>단일판매공급계약체결</t>
        </is>
      </c>
      <c r="F194" s="3" t="inlineStr">
        <is>
          <t>[기재정정]단일판매ㆍ공급계약체결               (정정: 20260601) (정정: 20260601) (정정: 20260601) (정정: 20260616)</t>
        </is>
      </c>
      <c r="G194" s="7" t="inlineStr">
        <is>
          <t>잠수함용 전자전장비(BLQ-100K)</t>
        </is>
      </c>
      <c r="H194" s="2" t="inlineStr">
        <is>
          <t>2024-12-19</t>
        </is>
      </c>
      <c r="I194" s="2" t="inlineStr">
        <is>
          <t>2028-12-10</t>
        </is>
      </c>
      <c r="J194" s="5" t="n">
        <v>38724000000</v>
      </c>
      <c r="K194" s="2" t="inlineStr">
        <is>
          <t>-</t>
        </is>
      </c>
      <c r="L194" s="13" t="n">
        <v>70.48999999999999</v>
      </c>
      <c r="M194" s="7" t="inlineStr">
        <is>
          <t>방위사업청</t>
        </is>
      </c>
      <c r="N194" s="2" t="inlineStr">
        <is>
          <t>20260616900411</t>
        </is>
      </c>
      <c r="O194" s="8">
        <f>HYPERLINK("https://dart.fss.or.kr/dsaf001/main.do?rcpNo=20260616900411", "공시열람")</f>
        <v/>
      </c>
    </row>
    <row r="195" ht="36" customHeight="1">
      <c r="A195" s="2" t="inlineStr">
        <is>
          <t>2026-05-26</t>
        </is>
      </c>
      <c r="B195" s="3" t="inlineStr">
        <is>
          <t>비츠로셀</t>
        </is>
      </c>
      <c r="C195" s="2" t="inlineStr">
        <is>
          <t>코스닥</t>
        </is>
      </c>
      <c r="D195" s="2" t="inlineStr">
        <is>
          <t>082920</t>
        </is>
      </c>
      <c r="E195" s="2" t="inlineStr">
        <is>
          <t>단일판매공급계약체결</t>
        </is>
      </c>
      <c r="F195" s="3" t="inlineStr">
        <is>
          <t xml:space="preserve">단일판매ㆍ공급계약체결(자율공시)              </t>
        </is>
      </c>
      <c r="G195" s="7" t="inlineStr">
        <is>
          <t>포탄 전자 신관용 중형 앰플전지 판매</t>
        </is>
      </c>
      <c r="H195" s="2" t="inlineStr">
        <is>
          <t>2026-05-23</t>
        </is>
      </c>
      <c r="I195" s="2" t="inlineStr">
        <is>
          <t>2027-10-29</t>
        </is>
      </c>
      <c r="J195" s="5" t="n">
        <v>20471686070</v>
      </c>
      <c r="K195" s="2" t="inlineStr">
        <is>
          <t>-</t>
        </is>
      </c>
      <c r="L195" s="13" t="n">
        <v>8.4</v>
      </c>
      <c r="M195" s="7" t="inlineStr">
        <is>
          <t>BHARAT ELECTRONICS LTD.</t>
        </is>
      </c>
      <c r="N195" s="2" t="inlineStr">
        <is>
          <t>20260526900576</t>
        </is>
      </c>
      <c r="O195" s="8">
        <f>HYPERLINK("https://dart.fss.or.kr/dsaf001/main.do?rcpNo=20260526900576", "공시열람")</f>
        <v/>
      </c>
    </row>
    <row r="196" ht="36" customHeight="1">
      <c r="A196" s="2" t="inlineStr">
        <is>
          <t>2026-05-26</t>
        </is>
      </c>
      <c r="B196" s="3" t="inlineStr">
        <is>
          <t>야스</t>
        </is>
      </c>
      <c r="C196" s="2" t="inlineStr">
        <is>
          <t>코스닥</t>
        </is>
      </c>
      <c r="D196" s="2" t="inlineStr">
        <is>
          <t>255440</t>
        </is>
      </c>
      <c r="E196" s="2" t="inlineStr">
        <is>
          <t>단일판매공급계약체결</t>
        </is>
      </c>
      <c r="F196" s="3" t="inlineStr">
        <is>
          <t xml:space="preserve">단일판매ㆍ공급계약체결              </t>
        </is>
      </c>
      <c r="G196" s="7" t="inlineStr">
        <is>
          <t>디스플레이 제조용 설비</t>
        </is>
      </c>
      <c r="H196" s="2" t="inlineStr">
        <is>
          <t>2026-05-22</t>
        </is>
      </c>
      <c r="I196" s="2" t="inlineStr">
        <is>
          <t>2027-03-03</t>
        </is>
      </c>
      <c r="J196" s="5" t="n">
        <v>6800000000</v>
      </c>
      <c r="K196" s="2" t="inlineStr">
        <is>
          <t>-</t>
        </is>
      </c>
      <c r="L196" s="13" t="n">
        <v>19.56</v>
      </c>
      <c r="M196" s="7" t="inlineStr">
        <is>
          <t>엘지디스플레이(주)</t>
        </is>
      </c>
      <c r="N196" s="2" t="inlineStr">
        <is>
          <t>20260526900418</t>
        </is>
      </c>
      <c r="O196" s="8">
        <f>HYPERLINK("https://dart.fss.or.kr/dsaf001/main.do?rcpNo=20260526900418", "공시열람")</f>
        <v/>
      </c>
    </row>
    <row r="197" ht="36" customHeight="1">
      <c r="A197" s="2" t="inlineStr">
        <is>
          <t>2026-05-26 (정정: 2026-06-01)</t>
        </is>
      </c>
      <c r="B197" s="3" t="inlineStr">
        <is>
          <t>계룡건설산업</t>
        </is>
      </c>
      <c r="C197" s="2" t="inlineStr">
        <is>
          <t>코스피</t>
        </is>
      </c>
      <c r="D197" s="2" t="inlineStr">
        <is>
          <t>013580</t>
        </is>
      </c>
      <c r="E197" s="2" t="inlineStr">
        <is>
          <t>단일판매공급계약체결</t>
        </is>
      </c>
      <c r="F197" s="3" t="inlineStr">
        <is>
          <t>단일판매ㆍ공급계약체결               (정정: 20260601) (정정: 20260601)</t>
        </is>
      </c>
      <c r="G197" s="7" t="inlineStr">
        <is>
          <t>미아역세권 활성화사업 신축공사</t>
        </is>
      </c>
      <c r="H197" s="2" t="inlineStr">
        <is>
          <t>2022-12-01</t>
        </is>
      </c>
      <c r="I197" s="2" t="inlineStr">
        <is>
          <t>2026-07-31</t>
        </is>
      </c>
      <c r="J197" s="5" t="n">
        <v>113623285000</v>
      </c>
      <c r="K197" s="2" t="inlineStr">
        <is>
          <t>-</t>
        </is>
      </c>
      <c r="L197" s="13" t="n">
        <v>4.44</v>
      </c>
      <c r="M197" s="7" t="inlineStr">
        <is>
          <t>주식회사 케이티앤지</t>
        </is>
      </c>
      <c r="N197" s="2" t="inlineStr">
        <is>
          <t>20260601801090</t>
        </is>
      </c>
      <c r="O197" s="8">
        <f>HYPERLINK("https://dart.fss.or.kr/dsaf001/main.do?rcpNo=20260601801090", "공시열람")</f>
        <v/>
      </c>
    </row>
    <row r="198" ht="36" customHeight="1">
      <c r="A198" s="2" t="inlineStr">
        <is>
          <t>2026-05-26</t>
        </is>
      </c>
      <c r="B198" s="3" t="inlineStr">
        <is>
          <t>글로본</t>
        </is>
      </c>
      <c r="C198" s="2" t="inlineStr">
        <is>
          <t>코스닥</t>
        </is>
      </c>
      <c r="D198" s="2" t="inlineStr">
        <is>
          <t>019660</t>
        </is>
      </c>
      <c r="E198" s="2" t="inlineStr">
        <is>
          <t>단일판매공급계약체결</t>
        </is>
      </c>
      <c r="F198" s="3" t="inlineStr">
        <is>
          <t xml:space="preserve">단일판매ㆍ공급계약체결              </t>
        </is>
      </c>
      <c r="G198" s="7" t="inlineStr">
        <is>
          <t>인산 - P2O5 29% (WEAK ACID) 인산 - P2O5 29% (SLUDGE ACID) 황산 - SULACID (98% HS2O4 Min.)</t>
        </is>
      </c>
      <c r="H198" s="2" t="inlineStr">
        <is>
          <t>2026-05-25</t>
        </is>
      </c>
      <c r="I198" s="2" t="inlineStr">
        <is>
          <t>2026-10-15</t>
        </is>
      </c>
      <c r="J198" s="5" t="n">
        <v>2723533117</v>
      </c>
      <c r="K198" s="2" t="inlineStr">
        <is>
          <t>-</t>
        </is>
      </c>
      <c r="L198" s="13" t="n">
        <v>21.03</v>
      </c>
      <c r="M198" s="7" t="inlineStr">
        <is>
          <t>PHILIPPINE PHOSPHATE FERTILIZER CORPORATION</t>
        </is>
      </c>
      <c r="N198" s="2" t="inlineStr">
        <is>
          <t>20260526900336</t>
        </is>
      </c>
      <c r="O198" s="8">
        <f>HYPERLINK("https://dart.fss.or.kr/dsaf001/main.do?rcpNo=20260526900336", "공시열람")</f>
        <v/>
      </c>
    </row>
    <row r="199" ht="36" customHeight="1">
      <c r="A199" s="2" t="inlineStr">
        <is>
          <t>2026-05-26</t>
        </is>
      </c>
      <c r="B199" s="3" t="inlineStr">
        <is>
          <t>쎄노텍</t>
        </is>
      </c>
      <c r="C199" s="2" t="inlineStr">
        <is>
          <t>코스닥</t>
        </is>
      </c>
      <c r="D199" s="2" t="inlineStr">
        <is>
          <t>222420</t>
        </is>
      </c>
      <c r="E199" s="2" t="inlineStr">
        <is>
          <t>단일판매공급계약체결</t>
        </is>
      </c>
      <c r="F199" s="3" t="inlineStr">
        <is>
          <t xml:space="preserve">단일판매ㆍ공급계약체결              </t>
        </is>
      </c>
      <c r="G199" s="7" t="inlineStr">
        <is>
          <t>CAZ40(알루미나 강인화 지르코니아 비즈)</t>
        </is>
      </c>
      <c r="H199" s="2" t="inlineStr">
        <is>
          <t>2026-05-26</t>
        </is>
      </c>
      <c r="I199" s="2" t="inlineStr">
        <is>
          <t>2026-12-31</t>
        </is>
      </c>
      <c r="J199" s="5" t="n">
        <v>4118597280</v>
      </c>
      <c r="K199" s="2" t="inlineStr">
        <is>
          <t>-</t>
        </is>
      </c>
      <c r="L199" s="13" t="n">
        <v>11.55</v>
      </c>
      <c r="M199" s="7" t="inlineStr">
        <is>
          <t>Sunvex Holdings Pty Ltd</t>
        </is>
      </c>
      <c r="N199" s="2" t="inlineStr">
        <is>
          <t>20260526900290</t>
        </is>
      </c>
      <c r="O199" s="8">
        <f>HYPERLINK("https://dart.fss.or.kr/dsaf001/main.do?rcpNo=20260526900290", "공시열람")</f>
        <v/>
      </c>
    </row>
    <row r="200" ht="36" customHeight="1">
      <c r="A200" s="2" t="inlineStr">
        <is>
          <t>2026-05-26</t>
        </is>
      </c>
      <c r="B200" s="3" t="inlineStr">
        <is>
          <t>예스티</t>
        </is>
      </c>
      <c r="C200" s="2" t="inlineStr">
        <is>
          <t>코스닥</t>
        </is>
      </c>
      <c r="D200" s="2" t="inlineStr">
        <is>
          <t>122640</t>
        </is>
      </c>
      <c r="E200" s="2" t="inlineStr">
        <is>
          <t>단일판매공급계약체결</t>
        </is>
      </c>
      <c r="F200" s="3" t="inlineStr">
        <is>
          <t xml:space="preserve">단일판매ㆍ공급계약체결(자율공시)              </t>
        </is>
      </c>
      <c r="G200" s="7" t="inlineStr">
        <is>
          <t>반도체 제조장비(네오콘, 가압큐어)</t>
        </is>
      </c>
      <c r="H200" s="2" t="inlineStr">
        <is>
          <t>2026-05-26</t>
        </is>
      </c>
      <c r="I200" s="2" t="inlineStr">
        <is>
          <t>2026-12-31</t>
        </is>
      </c>
      <c r="J200" s="5" t="n">
        <v>8275457556</v>
      </c>
      <c r="K200" s="2" t="inlineStr">
        <is>
          <t>-</t>
        </is>
      </c>
      <c r="L200" s="13" t="n">
        <v>9.51</v>
      </c>
      <c r="M200" s="7" t="inlineStr">
        <is>
          <t>삼성전자 주식회사</t>
        </is>
      </c>
      <c r="N200" s="2" t="inlineStr">
        <is>
          <t>20260526900275</t>
        </is>
      </c>
      <c r="O200" s="8">
        <f>HYPERLINK("https://dart.fss.or.kr/dsaf001/main.do?rcpNo=20260526900275", "공시열람")</f>
        <v/>
      </c>
    </row>
    <row r="201" ht="36" customHeight="1">
      <c r="A201" s="2" t="inlineStr">
        <is>
          <t>2026-05-26 (정정: 2026-06-08)</t>
        </is>
      </c>
      <c r="B201" s="3" t="inlineStr">
        <is>
          <t>센서뷰</t>
        </is>
      </c>
      <c r="C201" s="2" t="inlineStr">
        <is>
          <t>코스닥</t>
        </is>
      </c>
      <c r="D201" s="2" t="inlineStr">
        <is>
          <t>321370</t>
        </is>
      </c>
      <c r="E201" s="2" t="inlineStr">
        <is>
          <t>단일판매공급계약체결</t>
        </is>
      </c>
      <c r="F201" s="3" t="inlineStr">
        <is>
          <t>단일판매ㆍ공급계약체결               (정정: 20260608)</t>
        </is>
      </c>
      <c r="G201" s="7" t="inlineStr">
        <is>
          <t>[수출]사우디MSAM_배열안테나조립체외 3건계약</t>
        </is>
      </c>
      <c r="H201" s="2" t="inlineStr">
        <is>
          <t>2026-05-22</t>
        </is>
      </c>
      <c r="I201" s="2" t="inlineStr">
        <is>
          <t>2028-09-06</t>
        </is>
      </c>
      <c r="J201" s="5" t="n">
        <v>3148800000</v>
      </c>
      <c r="K201" s="2" t="inlineStr">
        <is>
          <t>-</t>
        </is>
      </c>
      <c r="L201" s="13" t="n">
        <v>16.56</v>
      </c>
      <c r="M201" s="7" t="inlineStr">
        <is>
          <t>한화시스템 주식회사</t>
        </is>
      </c>
      <c r="N201" s="2" t="inlineStr">
        <is>
          <t>20260608900458</t>
        </is>
      </c>
      <c r="O201" s="8">
        <f>HYPERLINK("https://dart.fss.or.kr/dsaf001/main.do?rcpNo=20260608900458", "공시열람")</f>
        <v/>
      </c>
    </row>
    <row r="202" ht="36" customHeight="1">
      <c r="A202" s="2" t="inlineStr">
        <is>
          <t>2026-05-26</t>
        </is>
      </c>
      <c r="B202" s="3" t="inlineStr">
        <is>
          <t>서한</t>
        </is>
      </c>
      <c r="C202" s="2" t="inlineStr">
        <is>
          <t>코스닥</t>
        </is>
      </c>
      <c r="D202" s="2" t="inlineStr">
        <is>
          <t>011370</t>
        </is>
      </c>
      <c r="E202" s="2" t="inlineStr">
        <is>
          <t>단일판매공급계약체결</t>
        </is>
      </c>
      <c r="F202" s="3" t="inlineStr">
        <is>
          <t xml:space="preserve">단일판매ㆍ공급계약체결              </t>
        </is>
      </c>
      <c r="G202" s="7" t="inlineStr">
        <is>
          <t>봉산동 주택재개발정비사업</t>
        </is>
      </c>
      <c r="H202" s="2" t="inlineStr">
        <is>
          <t>2026-05-26</t>
        </is>
      </c>
      <c r="I202" s="2" t="inlineStr">
        <is>
          <t>2029-09-25</t>
        </is>
      </c>
      <c r="J202" s="5" t="n">
        <v>155433439950</v>
      </c>
      <c r="K202" s="2" t="inlineStr">
        <is>
          <t>-</t>
        </is>
      </c>
      <c r="L202" s="13" t="n">
        <v>24.09</v>
      </c>
      <c r="M202" s="7" t="inlineStr">
        <is>
          <t>봉산동 주택재개발 정비사업 조합</t>
        </is>
      </c>
      <c r="N202" s="2" t="inlineStr">
        <is>
          <t>20260526900248</t>
        </is>
      </c>
      <c r="O202" s="8">
        <f>HYPERLINK("https://dart.fss.or.kr/dsaf001/main.do?rcpNo=20260526900248", "공시열람")</f>
        <v/>
      </c>
    </row>
    <row r="203" ht="36" customHeight="1">
      <c r="A203" s="2" t="inlineStr">
        <is>
          <t>2026-05-26</t>
        </is>
      </c>
      <c r="B203" s="3" t="inlineStr">
        <is>
          <t>한국정보공학</t>
        </is>
      </c>
      <c r="C203" s="2" t="inlineStr">
        <is>
          <t>코스닥</t>
        </is>
      </c>
      <c r="D203" s="2" t="inlineStr">
        <is>
          <t>039740</t>
        </is>
      </c>
      <c r="E203" s="2" t="inlineStr">
        <is>
          <t>단일판매공급계약체결</t>
        </is>
      </c>
      <c r="F203" s="3" t="inlineStr">
        <is>
          <t xml:space="preserve">단일판매ㆍ공급계약체결              </t>
        </is>
      </c>
      <c r="G203" s="7" t="inlineStr">
        <is>
          <t>서버공급계약</t>
        </is>
      </c>
      <c r="H203" s="2" t="inlineStr">
        <is>
          <t>2026-05-26</t>
        </is>
      </c>
      <c r="I203" s="2" t="inlineStr">
        <is>
          <t>2026-06-30</t>
        </is>
      </c>
      <c r="J203" s="5" t="n">
        <v>16190227240</v>
      </c>
      <c r="K203" s="2" t="inlineStr">
        <is>
          <t>-</t>
        </is>
      </c>
      <c r="L203" s="13" t="n">
        <v>11.07</v>
      </c>
      <c r="M203" s="7" t="inlineStr">
        <is>
          <t>주식회사 엠키스코어</t>
        </is>
      </c>
      <c r="N203" s="2" t="inlineStr">
        <is>
          <t>20260526900238</t>
        </is>
      </c>
      <c r="O203" s="8">
        <f>HYPERLINK("https://dart.fss.or.kr/dsaf001/main.do?rcpNo=20260526900238", "공시열람")</f>
        <v/>
      </c>
    </row>
    <row r="204" ht="36" customHeight="1">
      <c r="A204" s="2" t="inlineStr">
        <is>
          <t>2026-05-26</t>
        </is>
      </c>
      <c r="B204" s="3" t="inlineStr">
        <is>
          <t>한국정보공학</t>
        </is>
      </c>
      <c r="C204" s="2" t="inlineStr">
        <is>
          <t>코스닥</t>
        </is>
      </c>
      <c r="D204" s="2" t="inlineStr">
        <is>
          <t>039740</t>
        </is>
      </c>
      <c r="E204" s="2" t="inlineStr">
        <is>
          <t>단일판매공급계약체결</t>
        </is>
      </c>
      <c r="F204" s="3" t="inlineStr">
        <is>
          <t xml:space="preserve">단일판매ㆍ공급계약체결              </t>
        </is>
      </c>
      <c r="G204" s="7" t="inlineStr">
        <is>
          <t>서버공급계약</t>
        </is>
      </c>
      <c r="H204" s="2" t="inlineStr">
        <is>
          <t>2026-05-26</t>
        </is>
      </c>
      <c r="I204" s="2" t="inlineStr">
        <is>
          <t>2026-10-30</t>
        </is>
      </c>
      <c r="J204" s="5" t="n">
        <v>34823250000</v>
      </c>
      <c r="K204" s="2" t="inlineStr">
        <is>
          <t>-</t>
        </is>
      </c>
      <c r="L204" s="13" t="n">
        <v>23.8</v>
      </c>
      <c r="M204" s="7" t="inlineStr">
        <is>
          <t>주식회사 에임투지</t>
        </is>
      </c>
      <c r="N204" s="2" t="inlineStr">
        <is>
          <t>20260526900237</t>
        </is>
      </c>
      <c r="O204" s="8">
        <f>HYPERLINK("https://dart.fss.or.kr/dsaf001/main.do?rcpNo=20260526900237", "공시열람")</f>
        <v/>
      </c>
    </row>
    <row r="205" ht="36" customHeight="1">
      <c r="A205" s="2" t="inlineStr">
        <is>
          <t>2026-05-26</t>
        </is>
      </c>
      <c r="B205" s="3" t="inlineStr">
        <is>
          <t>아이빔테크놀로지</t>
        </is>
      </c>
      <c r="C205" s="2" t="inlineStr">
        <is>
          <t>코스닥</t>
        </is>
      </c>
      <c r="D205" s="2" t="inlineStr">
        <is>
          <t>460470</t>
        </is>
      </c>
      <c r="E205" s="2" t="inlineStr">
        <is>
          <t>단일판매공급계약체결</t>
        </is>
      </c>
      <c r="F205" s="3" t="inlineStr">
        <is>
          <t xml:space="preserve">단일판매ㆍ공급계약체결              </t>
        </is>
      </c>
      <c r="G205" s="7" t="inlineStr">
        <is>
          <t>생체현미경공급계약</t>
        </is>
      </c>
      <c r="H205" s="2" t="inlineStr">
        <is>
          <t>2026-05-25</t>
        </is>
      </c>
      <c r="I205" s="2" t="inlineStr">
        <is>
          <t>2026-10-24</t>
        </is>
      </c>
      <c r="J205" s="5" t="n">
        <v>617423827</v>
      </c>
      <c r="K205" s="2" t="inlineStr">
        <is>
          <t>-</t>
        </is>
      </c>
      <c r="L205" s="13" t="n">
        <v>14.1</v>
      </c>
      <c r="M205" s="7" t="inlineStr">
        <is>
          <t>Crisel Instruments SRL</t>
        </is>
      </c>
      <c r="N205" s="2" t="inlineStr">
        <is>
          <t>20260526900207</t>
        </is>
      </c>
      <c r="O205" s="8">
        <f>HYPERLINK("https://dart.fss.or.kr/dsaf001/main.do?rcpNo=20260526900207", "공시열람")</f>
        <v/>
      </c>
    </row>
    <row r="206" ht="36" customHeight="1">
      <c r="A206" s="2" t="inlineStr">
        <is>
          <t>2026-05-26 (정정: 2026-05-27)</t>
        </is>
      </c>
      <c r="B206" s="3" t="inlineStr">
        <is>
          <t>비에이치아이</t>
        </is>
      </c>
      <c r="C206" s="2" t="inlineStr">
        <is>
          <t>코스닥</t>
        </is>
      </c>
      <c r="D206" s="2" t="inlineStr">
        <is>
          <t>083650</t>
        </is>
      </c>
      <c r="E206" s="2" t="inlineStr">
        <is>
          <t>단일판매공급계약체결</t>
        </is>
      </c>
      <c r="F206" s="3" t="inlineStr">
        <is>
          <t>단일판매ㆍ공급계약체결(자율공시)               (정정: 20260527)</t>
        </is>
      </c>
      <c r="G206" s="7" t="inlineStr">
        <is>
          <t>LNG 복합화력 발전설비 공급계약</t>
        </is>
      </c>
      <c r="H206" s="2" t="inlineStr">
        <is>
          <t>2025-12-31</t>
        </is>
      </c>
      <c r="I206" s="2" t="inlineStr">
        <is>
          <t>2030-09-30</t>
        </is>
      </c>
      <c r="J206" s="5" t="n">
        <v>42000000000</v>
      </c>
      <c r="K206" s="2" t="inlineStr">
        <is>
          <t>-</t>
        </is>
      </c>
      <c r="L206" s="13" t="n">
        <v>10.4</v>
      </c>
      <c r="M206" s="7" t="inlineStr">
        <is>
          <t>(주)포스코이앤씨</t>
        </is>
      </c>
      <c r="N206" s="2" t="inlineStr">
        <is>
          <t>20260527900600</t>
        </is>
      </c>
      <c r="O206" s="8">
        <f>HYPERLINK("https://dart.fss.or.kr/dsaf001/main.do?rcpNo=20260527900600", "공시열람")</f>
        <v/>
      </c>
    </row>
    <row r="207" ht="36" customHeight="1">
      <c r="A207" s="2" t="inlineStr">
        <is>
          <t>2026-05-26 (정정: 2026-06-01)</t>
        </is>
      </c>
      <c r="B207" s="3" t="inlineStr">
        <is>
          <t>우진아이엔에스</t>
        </is>
      </c>
      <c r="C207" s="2" t="inlineStr">
        <is>
          <t>코스피</t>
        </is>
      </c>
      <c r="D207" s="2" t="inlineStr">
        <is>
          <t>010400</t>
        </is>
      </c>
      <c r="E207" s="2" t="inlineStr">
        <is>
          <t>단일판매공급계약체결</t>
        </is>
      </c>
      <c r="F207" s="3" t="inlineStr">
        <is>
          <t>단일판매ㆍ공급계약체결               (정정: 20260601)</t>
        </is>
      </c>
      <c r="G207" s="7" t="inlineStr">
        <is>
          <t>New eGrocery 1호 CFC 신축공사 중 소방기계공사</t>
        </is>
      </c>
      <c r="H207" s="2" t="inlineStr">
        <is>
          <t>2024-06-10</t>
        </is>
      </c>
      <c r="I207" s="2" t="inlineStr">
        <is>
          <t>2026-06-30</t>
        </is>
      </c>
      <c r="J207" s="5" t="n">
        <v>8436847100</v>
      </c>
      <c r="K207" s="2" t="inlineStr">
        <is>
          <t>-</t>
        </is>
      </c>
      <c r="L207" s="13" t="n">
        <v>8.42</v>
      </c>
      <c r="M207" s="7" t="inlineStr">
        <is>
          <t>롯데쇼핑 주식회사</t>
        </is>
      </c>
      <c r="N207" s="2" t="inlineStr">
        <is>
          <t>20260601801026</t>
        </is>
      </c>
      <c r="O207" s="8">
        <f>HYPERLINK("https://dart.fss.or.kr/dsaf001/main.do?rcpNo=20260601801026", "공시열람")</f>
        <v/>
      </c>
    </row>
    <row r="208" ht="36" customHeight="1">
      <c r="A208" s="2" t="inlineStr">
        <is>
          <t>2026-05-26 (정정: 2026-06-23)</t>
        </is>
      </c>
      <c r="B208" s="3" t="inlineStr">
        <is>
          <t>선익시스템</t>
        </is>
      </c>
      <c r="C208" s="2" t="inlineStr">
        <is>
          <t>코스닥</t>
        </is>
      </c>
      <c r="D208" s="2" t="inlineStr">
        <is>
          <t>171090</t>
        </is>
      </c>
      <c r="E208" s="2" t="inlineStr">
        <is>
          <t>단일판매공급계약체결</t>
        </is>
      </c>
      <c r="F208" s="3" t="inlineStr">
        <is>
          <t>단일판매ㆍ공급계약체결               (정정: 20260601) (정정: 20260615) (정정: 20260623)</t>
        </is>
      </c>
      <c r="G208" s="7" t="inlineStr">
        <is>
          <t>OLED 디스플레이 연구용 증착장비</t>
        </is>
      </c>
      <c r="H208" s="2" t="inlineStr">
        <is>
          <t>2025-04-03</t>
        </is>
      </c>
      <c r="I208" s="2" t="inlineStr">
        <is>
          <t>2025-12-09</t>
        </is>
      </c>
      <c r="J208" s="5" t="n">
        <v>7180000000</v>
      </c>
      <c r="K208" s="2" t="inlineStr">
        <is>
          <t>-</t>
        </is>
      </c>
      <c r="L208" s="13" t="n">
        <v>6.36</v>
      </c>
      <c r="M208" s="7" t="inlineStr">
        <is>
          <t>에스에프씨 주식회사</t>
        </is>
      </c>
      <c r="N208" s="2" t="inlineStr">
        <is>
          <t>20260623900180</t>
        </is>
      </c>
      <c r="O208" s="8">
        <f>HYPERLINK("https://dart.fss.or.kr/dsaf001/main.do?rcpNo=20260623900180", "공시열람")</f>
        <v/>
      </c>
    </row>
    <row r="209" ht="36" customHeight="1">
      <c r="A209" s="2" t="inlineStr">
        <is>
          <t>2026-05-27</t>
        </is>
      </c>
      <c r="B209" s="3" t="inlineStr">
        <is>
          <t>선도전기</t>
        </is>
      </c>
      <c r="C209" s="2" t="inlineStr">
        <is>
          <t>코스피</t>
        </is>
      </c>
      <c r="D209" s="2" t="inlineStr">
        <is>
          <t>007610</t>
        </is>
      </c>
      <c r="E209" s="2" t="inlineStr">
        <is>
          <t>단일판매공급계약체결</t>
        </is>
      </c>
      <c r="F209" s="3" t="inlineStr">
        <is>
          <t xml:space="preserve">[기재정정]단일판매ㆍ공급계약체결              </t>
        </is>
      </c>
      <c r="G209" s="7" t="inlineStr">
        <is>
          <t>SHC-1 PROJECT 中 SWGR &amp; MCC &amp; C-GIS</t>
        </is>
      </c>
      <c r="H209" s="2" t="inlineStr">
        <is>
          <t>2024-11-29</t>
        </is>
      </c>
      <c r="I209" s="2" t="inlineStr">
        <is>
          <t>2026-07-31</t>
        </is>
      </c>
      <c r="J209" s="5" t="n">
        <v>2250000000</v>
      </c>
      <c r="K209" s="2" t="inlineStr">
        <is>
          <t>-</t>
        </is>
      </c>
      <c r="L209" s="13" t="n">
        <v>5.4</v>
      </c>
      <c r="M209" s="7" t="inlineStr">
        <is>
          <t>에쓰씨엔지니어링(주)</t>
        </is>
      </c>
      <c r="N209" s="2" t="inlineStr">
        <is>
          <t>20260527800862</t>
        </is>
      </c>
      <c r="O209" s="8">
        <f>HYPERLINK("https://dart.fss.or.kr/dsaf001/main.do?rcpNo=20260527800862", "공시열람")</f>
        <v/>
      </c>
    </row>
    <row r="210" ht="36" customHeight="1">
      <c r="A210" s="2" t="inlineStr">
        <is>
          <t>2026-05-27</t>
        </is>
      </c>
      <c r="B210" s="3" t="inlineStr">
        <is>
          <t>아이티센엔텍</t>
        </is>
      </c>
      <c r="C210" s="2" t="inlineStr">
        <is>
          <t>코스닥</t>
        </is>
      </c>
      <c r="D210" s="2" t="inlineStr">
        <is>
          <t>010280</t>
        </is>
      </c>
      <c r="E210" s="2" t="inlineStr">
        <is>
          <t>단일판매공급계약체결</t>
        </is>
      </c>
      <c r="F210" s="3" t="inlineStr">
        <is>
          <t xml:space="preserve">단일판매ㆍ공급계약체결(자율공시)              </t>
        </is>
      </c>
      <c r="G210" s="7" t="inlineStr">
        <is>
          <t>2026년 정보시스템 통합유지관리 용역사업</t>
        </is>
      </c>
      <c r="H210" s="2" t="inlineStr">
        <is>
          <t>2026-06-01</t>
        </is>
      </c>
      <c r="I210" s="2" t="inlineStr">
        <is>
          <t>2028-05-31</t>
        </is>
      </c>
      <c r="J210" s="5" t="n">
        <v>47945884091</v>
      </c>
      <c r="K210" s="2" t="inlineStr">
        <is>
          <t>-</t>
        </is>
      </c>
      <c r="L210" s="13" t="n">
        <v>8.380000000000001</v>
      </c>
      <c r="M210" s="7" t="inlineStr">
        <is>
          <t>국민건강보험공단</t>
        </is>
      </c>
      <c r="N210" s="2" t="inlineStr">
        <is>
          <t>20260527900774</t>
        </is>
      </c>
      <c r="O210" s="8">
        <f>HYPERLINK("https://dart.fss.or.kr/dsaf001/main.do?rcpNo=20260527900774", "공시열람")</f>
        <v/>
      </c>
    </row>
    <row r="211" ht="36" customHeight="1">
      <c r="A211" s="2" t="inlineStr">
        <is>
          <t>2026-05-27 (정정: 2026-06-26)</t>
        </is>
      </c>
      <c r="B211" s="3" t="inlineStr">
        <is>
          <t>한성크린텍</t>
        </is>
      </c>
      <c r="C211" s="2" t="inlineStr">
        <is>
          <t>코스닥</t>
        </is>
      </c>
      <c r="D211" s="2" t="inlineStr">
        <is>
          <t>066980</t>
        </is>
      </c>
      <c r="E211" s="2" t="inlineStr">
        <is>
          <t>단일판매공급계약체결</t>
        </is>
      </c>
      <c r="F211" s="3" t="inlineStr">
        <is>
          <t>[기재정정]단일판매ㆍ공급계약체결(자율공시)               (정정: 20260602) (정정: 20260611) (정정: 20260626)</t>
        </is>
      </c>
      <c r="G211" s="7" t="inlineStr">
        <is>
          <t>평택 P4 Ph4 초순수 복합동 설비공사A</t>
        </is>
      </c>
      <c r="H211" s="2" t="inlineStr">
        <is>
          <t>2025-11-05</t>
        </is>
      </c>
      <c r="I211" s="2" t="inlineStr">
        <is>
          <t>2026-12-31</t>
        </is>
      </c>
      <c r="J211" s="5" t="n">
        <v>16702052000</v>
      </c>
      <c r="K211" s="2" t="inlineStr">
        <is>
          <t>-</t>
        </is>
      </c>
      <c r="L211" s="13" t="n">
        <v>10.76</v>
      </c>
      <c r="M211" s="7" t="inlineStr">
        <is>
          <t>삼성이앤에이(주)</t>
        </is>
      </c>
      <c r="N211" s="2" t="inlineStr">
        <is>
          <t>20260626900786</t>
        </is>
      </c>
      <c r="O211" s="8">
        <f>HYPERLINK("https://dart.fss.or.kr/dsaf001/main.do?rcpNo=20260626900786", "공시열람")</f>
        <v/>
      </c>
    </row>
    <row r="212" ht="36" customHeight="1">
      <c r="A212" s="2" t="inlineStr">
        <is>
          <t>2026-05-27</t>
        </is>
      </c>
      <c r="B212" s="3" t="inlineStr">
        <is>
          <t>사피엔반도체</t>
        </is>
      </c>
      <c r="C212" s="2" t="inlineStr">
        <is>
          <t>코스닥</t>
        </is>
      </c>
      <c r="D212" s="2" t="inlineStr">
        <is>
          <t>452430</t>
        </is>
      </c>
      <c r="E212" s="2" t="inlineStr">
        <is>
          <t>단일판매공급계약체결</t>
        </is>
      </c>
      <c r="F212" s="3" t="inlineStr">
        <is>
          <t xml:space="preserve">[기재정정]단일판매ㆍ공급계약체결              </t>
        </is>
      </c>
      <c r="G212" s="7" t="inlineStr">
        <is>
          <t>디스플레이구동칩 공동개발 및 공급 계약</t>
        </is>
      </c>
      <c r="H212" s="2" t="inlineStr">
        <is>
          <t>2024-08-21</t>
        </is>
      </c>
      <c r="I212" s="2" t="inlineStr">
        <is>
          <t>2026-10-16</t>
        </is>
      </c>
      <c r="J212" s="5" t="n">
        <v>14515149876</v>
      </c>
      <c r="K212" s="2" t="inlineStr">
        <is>
          <t>-</t>
        </is>
      </c>
      <c r="L212" s="13" t="n">
        <v>84</v>
      </c>
      <c r="M212" s="7" t="inlineStr">
        <is>
          <t>CA(California) BigTech company</t>
        </is>
      </c>
      <c r="N212" s="2" t="inlineStr">
        <is>
          <t>20260527900566</t>
        </is>
      </c>
      <c r="O212" s="8">
        <f>HYPERLINK("https://dart.fss.or.kr/dsaf001/main.do?rcpNo=20260527900566", "공시열람")</f>
        <v/>
      </c>
    </row>
    <row r="213" ht="36" customHeight="1">
      <c r="A213" s="2" t="inlineStr">
        <is>
          <t>2026-05-27</t>
        </is>
      </c>
      <c r="B213" s="3" t="inlineStr">
        <is>
          <t>에스케이바이오팜</t>
        </is>
      </c>
      <c r="C213" s="2" t="inlineStr">
        <is>
          <t>코스피</t>
        </is>
      </c>
      <c r="D213" s="2" t="inlineStr">
        <is>
          <t>326030</t>
        </is>
      </c>
      <c r="E213" s="2" t="inlineStr">
        <is>
          <t>단일판매공급계약체결</t>
        </is>
      </c>
      <c r="F213" s="3" t="inlineStr">
        <is>
          <t xml:space="preserve">단일판매ㆍ공급계약체결              </t>
        </is>
      </c>
      <c r="G213" s="7" t="inlineStr">
        <is>
          <t>의약품 공급계약</t>
        </is>
      </c>
      <c r="H213" s="2" t="inlineStr">
        <is>
          <t>2026-05-27</t>
        </is>
      </c>
      <c r="I213" s="2" t="inlineStr">
        <is>
          <t>2026-05-28</t>
        </is>
      </c>
      <c r="J213" s="5" t="n">
        <v>41611617070</v>
      </c>
      <c r="K213" s="2" t="inlineStr">
        <is>
          <t>-</t>
        </is>
      </c>
      <c r="L213" s="13" t="n">
        <v>5.9</v>
      </c>
      <c r="M213" s="7" t="inlineStr">
        <is>
          <t>SK Life Science,Inc.</t>
        </is>
      </c>
      <c r="N213" s="2" t="inlineStr">
        <is>
          <t>20260527800495</t>
        </is>
      </c>
      <c r="O213" s="8">
        <f>HYPERLINK("https://dart.fss.or.kr/dsaf001/main.do?rcpNo=20260527800495", "공시열람")</f>
        <v/>
      </c>
    </row>
    <row r="214" ht="36" customHeight="1">
      <c r="A214" s="2" t="inlineStr">
        <is>
          <t>2023-05-31 (정정: 2026-05-27)</t>
        </is>
      </c>
      <c r="B214" s="3" t="inlineStr">
        <is>
          <t>오픈엣지테크놀로지</t>
        </is>
      </c>
      <c r="C214" s="2" t="inlineStr">
        <is>
          <t>코스닥</t>
        </is>
      </c>
      <c r="D214" s="2" t="inlineStr">
        <is>
          <t>394280</t>
        </is>
      </c>
      <c r="E214" s="2" t="inlineStr">
        <is>
          <t>단일판매공급계약체결</t>
        </is>
      </c>
      <c r="F214" s="3" t="inlineStr">
        <is>
          <t xml:space="preserve">[기재정정]단일판매ㆍ공급계약체결              </t>
        </is>
      </c>
      <c r="G214" s="7" t="inlineStr">
        <is>
          <t>반도체 설계자산(IP) 라이선스 계약</t>
        </is>
      </c>
      <c r="H214" s="2" t="inlineStr">
        <is>
          <t>2023-05-30</t>
        </is>
      </c>
      <c r="I214" s="2" t="inlineStr">
        <is>
          <t>2026-05-29</t>
        </is>
      </c>
      <c r="J214" s="5" t="n">
        <v>2350210500</v>
      </c>
      <c r="K214" s="2" t="inlineStr">
        <is>
          <t>-</t>
        </is>
      </c>
      <c r="L214" s="13" t="n">
        <v>23.5</v>
      </c>
      <c r="M214" s="7" t="inlineStr">
        <is>
          <t>한국 소재 반도체 기업</t>
        </is>
      </c>
      <c r="N214" s="2" t="inlineStr">
        <is>
          <t>20260527900472</t>
        </is>
      </c>
      <c r="O214" s="8">
        <f>HYPERLINK("https://dart.fss.or.kr/dsaf001/main.do?rcpNo=20260527900472", "공시열람")</f>
        <v/>
      </c>
    </row>
    <row r="215" ht="36" customHeight="1">
      <c r="A215" s="2" t="inlineStr">
        <is>
          <t>2026-05-27 (정정: 2026-06-26)</t>
        </is>
      </c>
      <c r="B215" s="3" t="inlineStr">
        <is>
          <t>케일럼</t>
        </is>
      </c>
      <c r="C215" s="2" t="inlineStr">
        <is>
          <t>코스닥</t>
        </is>
      </c>
      <c r="D215" s="2" t="inlineStr">
        <is>
          <t>258610</t>
        </is>
      </c>
      <c r="E215" s="2" t="inlineStr">
        <is>
          <t>단일판매공급계약체결</t>
        </is>
      </c>
      <c r="F215" s="3" t="inlineStr">
        <is>
          <t>[기재정정]단일판매ㆍ공급계약체결               (정정: 20260626)</t>
        </is>
      </c>
      <c r="G215" s="7" t="inlineStr">
        <is>
          <t>SHAHEEN Project DRUM-1 제작공급의 건</t>
        </is>
      </c>
      <c r="H215" s="2" t="inlineStr">
        <is>
          <t>2023-12-26</t>
        </is>
      </c>
      <c r="I215" s="2" t="inlineStr">
        <is>
          <t>2026-06-28</t>
        </is>
      </c>
      <c r="J215" s="5" t="n">
        <v>13885275220</v>
      </c>
      <c r="K215" s="2" t="inlineStr">
        <is>
          <t>-</t>
        </is>
      </c>
      <c r="L215" s="13" t="n">
        <v>16.15</v>
      </c>
      <c r="M215" s="7" t="inlineStr">
        <is>
          <t>현대엔지니어링(주)</t>
        </is>
      </c>
      <c r="N215" s="2" t="inlineStr">
        <is>
          <t>20260626900966</t>
        </is>
      </c>
      <c r="O215" s="8">
        <f>HYPERLINK("https://dart.fss.or.kr/dsaf001/main.do?rcpNo=20260626900966", "공시열람")</f>
        <v/>
      </c>
    </row>
    <row r="216" ht="36" customHeight="1">
      <c r="A216" s="2" t="inlineStr">
        <is>
          <t>2026-05-27 (정정: 2026-06-18)</t>
        </is>
      </c>
      <c r="B216" s="3" t="inlineStr">
        <is>
          <t>디바이스</t>
        </is>
      </c>
      <c r="C216" s="2" t="inlineStr">
        <is>
          <t>코스닥</t>
        </is>
      </c>
      <c r="D216" s="2" t="inlineStr">
        <is>
          <t>187870</t>
        </is>
      </c>
      <c r="E216" s="2" t="inlineStr">
        <is>
          <t>단일판매공급계약체결</t>
        </is>
      </c>
      <c r="F216" s="3" t="inlineStr">
        <is>
          <t>단일판매ㆍ공급계약체결               (정정: 20260618)</t>
        </is>
      </c>
      <c r="G216" s="7" t="inlineStr">
        <is>
          <t>반도체 웨이퍼 세정장비</t>
        </is>
      </c>
      <c r="H216" s="2" t="inlineStr">
        <is>
          <t>2025-12-08</t>
        </is>
      </c>
      <c r="I216" s="2" t="inlineStr">
        <is>
          <t>2026-10-30</t>
        </is>
      </c>
      <c r="J216" s="5" t="n">
        <v>2970000000</v>
      </c>
      <c r="K216" s="2" t="inlineStr">
        <is>
          <t>-</t>
        </is>
      </c>
      <c r="L216" s="13" t="n">
        <v>6.3</v>
      </c>
      <c r="M216" s="7" t="inlineStr">
        <is>
          <t>삼성전자 주식회사</t>
        </is>
      </c>
      <c r="N216" s="2" t="inlineStr">
        <is>
          <t>20260618900751</t>
        </is>
      </c>
      <c r="O216" s="8">
        <f>HYPERLINK("https://dart.fss.or.kr/dsaf001/main.do?rcpNo=20260618900751", "공시열람")</f>
        <v/>
      </c>
    </row>
    <row r="217" ht="36" customHeight="1">
      <c r="A217" s="2" t="inlineStr">
        <is>
          <t>2026-05-27</t>
        </is>
      </c>
      <c r="B217" s="3" t="inlineStr">
        <is>
          <t>미래산업</t>
        </is>
      </c>
      <c r="C217" s="2" t="inlineStr">
        <is>
          <t>코스피</t>
        </is>
      </c>
      <c r="D217" s="2" t="inlineStr">
        <is>
          <t>025560</t>
        </is>
      </c>
      <c r="E217" s="2" t="inlineStr">
        <is>
          <t>단일판매공급계약체결</t>
        </is>
      </c>
      <c r="F217" s="3" t="inlineStr">
        <is>
          <t xml:space="preserve">단일판매ㆍ공급계약체결              </t>
        </is>
      </c>
      <c r="G217" s="7" t="inlineStr">
        <is>
          <t>반도체 검사 장비 공급 계약</t>
        </is>
      </c>
      <c r="H217" s="2" t="inlineStr">
        <is>
          <t>2026-05-26</t>
        </is>
      </c>
      <c r="I217" s="2" t="inlineStr">
        <is>
          <t>2027-07-01</t>
        </is>
      </c>
      <c r="J217" s="5" t="n">
        <v>3575806836</v>
      </c>
      <c r="K217" s="2" t="inlineStr">
        <is>
          <t>-</t>
        </is>
      </c>
      <c r="L217" s="13" t="n">
        <v>7.04</v>
      </c>
      <c r="M217" s="7" t="inlineStr">
        <is>
          <t>Yangtze Memory Technologies Co., Ltd.</t>
        </is>
      </c>
      <c r="N217" s="2" t="inlineStr">
        <is>
          <t>20260527800234</t>
        </is>
      </c>
      <c r="O217" s="8">
        <f>HYPERLINK("https://dart.fss.or.kr/dsaf001/main.do?rcpNo=20260527800234", "공시열람")</f>
        <v/>
      </c>
    </row>
    <row r="218" ht="36" customHeight="1">
      <c r="A218" s="2" t="inlineStr">
        <is>
          <t>2026-05-27</t>
        </is>
      </c>
      <c r="B218" s="3" t="inlineStr">
        <is>
          <t>에코아이</t>
        </is>
      </c>
      <c r="C218" s="2" t="inlineStr">
        <is>
          <t>코스닥</t>
        </is>
      </c>
      <c r="D218" s="2" t="inlineStr">
        <is>
          <t>448280</t>
        </is>
      </c>
      <c r="E218" s="2" t="inlineStr">
        <is>
          <t>단일판매공급계약체결</t>
        </is>
      </c>
      <c r="F218" s="3" t="inlineStr">
        <is>
          <t xml:space="preserve">단일판매ㆍ공급계약체결              </t>
        </is>
      </c>
      <c r="G218" s="7" t="inlineStr">
        <is>
          <t>자발적 배출 감축량(VER) 거래 계약 [CORSIA 적격 배출권 (CEEU)]</t>
        </is>
      </c>
      <c r="H218" s="2" t="inlineStr">
        <is>
          <t>2026-05-26</t>
        </is>
      </c>
      <c r="I218" s="2" t="inlineStr">
        <is>
          <t>2026-07-15</t>
        </is>
      </c>
      <c r="J218" s="5" t="n">
        <v>8378442199</v>
      </c>
      <c r="K218" s="2" t="inlineStr">
        <is>
          <t>-</t>
        </is>
      </c>
      <c r="L218" s="13" t="n">
        <v>27.1</v>
      </c>
      <c r="M218" s="7" t="inlineStr">
        <is>
          <t>Climate Impact X Pte. Ltd</t>
        </is>
      </c>
      <c r="N218" s="2" t="inlineStr">
        <is>
          <t>20260527900179</t>
        </is>
      </c>
      <c r="O218" s="8">
        <f>HYPERLINK("https://dart.fss.or.kr/dsaf001/main.do?rcpNo=20260527900179", "공시열람")</f>
        <v/>
      </c>
    </row>
    <row r="219" ht="36" customHeight="1">
      <c r="A219" s="2" t="inlineStr">
        <is>
          <t>2026-05-27 (정정: 2026-06-09)</t>
        </is>
      </c>
      <c r="B219" s="3" t="inlineStr">
        <is>
          <t>레이저쎌</t>
        </is>
      </c>
      <c r="C219" s="2" t="inlineStr">
        <is>
          <t>코스닥</t>
        </is>
      </c>
      <c r="D219" s="2" t="inlineStr">
        <is>
          <t>412350</t>
        </is>
      </c>
      <c r="E219" s="2" t="inlineStr">
        <is>
          <t>단일판매공급계약체결</t>
        </is>
      </c>
      <c r="F219" s="3" t="inlineStr">
        <is>
          <t>단일판매ㆍ공급계약체결               (정정: 20260529) (정정: 20260609)</t>
        </is>
      </c>
      <c r="G219" s="7" t="inlineStr">
        <is>
          <t>LPB_s 장비 공급 계약</t>
        </is>
      </c>
      <c r="H219" s="2" t="inlineStr">
        <is>
          <t>2025-06-10</t>
        </is>
      </c>
      <c r="I219" s="2" t="inlineStr">
        <is>
          <t>2026-11-10</t>
        </is>
      </c>
      <c r="J219" s="5" t="n">
        <v>650000000</v>
      </c>
      <c r="K219" s="2" t="inlineStr">
        <is>
          <t>-</t>
        </is>
      </c>
      <c r="L219" s="13" t="n">
        <v>16.19</v>
      </c>
      <c r="M219" s="7" t="inlineStr">
        <is>
          <t>국내 Probe Card 제조업체</t>
        </is>
      </c>
      <c r="N219" s="2" t="inlineStr">
        <is>
          <t>20260609900755</t>
        </is>
      </c>
      <c r="O219" s="8">
        <f>HYPERLINK("https://dart.fss.or.kr/dsaf001/main.do?rcpNo=20260609900755", "공시열람")</f>
        <v/>
      </c>
    </row>
    <row r="220" ht="36" customHeight="1">
      <c r="A220" s="2" t="inlineStr">
        <is>
          <t>2026-05-27</t>
        </is>
      </c>
      <c r="B220" s="3" t="inlineStr">
        <is>
          <t>삼성중공업</t>
        </is>
      </c>
      <c r="C220" s="2" t="inlineStr">
        <is>
          <t>코스피</t>
        </is>
      </c>
      <c r="D220" s="2" t="inlineStr">
        <is>
          <t>010140</t>
        </is>
      </c>
      <c r="E220" s="2" t="inlineStr">
        <is>
          <t>단일판매공급계약체결</t>
        </is>
      </c>
      <c r="F220" s="3" t="inlineStr">
        <is>
          <t xml:space="preserve">단일판매ㆍ공급계약체결              </t>
        </is>
      </c>
      <c r="G220" s="7" t="inlineStr">
        <is>
          <t>유조선 2척</t>
        </is>
      </c>
      <c r="H220" s="2" t="inlineStr">
        <is>
          <t>2026-05-26</t>
        </is>
      </c>
      <c r="I220" s="2" t="inlineStr">
        <is>
          <t>2028-03-15</t>
        </is>
      </c>
      <c r="J220" s="5" t="n">
        <v>278400000000</v>
      </c>
      <c r="K220" s="2" t="inlineStr">
        <is>
          <t>-</t>
        </is>
      </c>
      <c r="L220" s="13" t="n">
        <v>2.6</v>
      </c>
      <c r="M220" s="7" t="inlineStr">
        <is>
          <t>버뮤다 지역 선주</t>
        </is>
      </c>
      <c r="N220" s="2" t="inlineStr">
        <is>
          <t>20260527800191</t>
        </is>
      </c>
      <c r="O220" s="8">
        <f>HYPERLINK("https://dart.fss.or.kr/dsaf001/main.do?rcpNo=20260527800191", "공시열람")</f>
        <v/>
      </c>
    </row>
    <row r="221" ht="36" customHeight="1">
      <c r="A221" s="2" t="inlineStr">
        <is>
          <t>2026-05-27</t>
        </is>
      </c>
      <c r="B221" s="3" t="inlineStr">
        <is>
          <t>삼성중공업</t>
        </is>
      </c>
      <c r="C221" s="2" t="inlineStr">
        <is>
          <t>코스피</t>
        </is>
      </c>
      <c r="D221" s="2" t="inlineStr">
        <is>
          <t>010140</t>
        </is>
      </c>
      <c r="E221" s="2" t="inlineStr">
        <is>
          <t>단일판매공급계약체결</t>
        </is>
      </c>
      <c r="F221" s="3" t="inlineStr">
        <is>
          <t xml:space="preserve">단일판매ㆍ공급계약체결              </t>
        </is>
      </c>
      <c r="G221" s="7" t="inlineStr">
        <is>
          <t>VLGC 2척</t>
        </is>
      </c>
      <c r="H221" s="2" t="inlineStr">
        <is>
          <t>2026-05-26</t>
        </is>
      </c>
      <c r="I221" s="2" t="inlineStr">
        <is>
          <t>2029-11-30</t>
        </is>
      </c>
      <c r="J221" s="5" t="n">
        <v>342000000000</v>
      </c>
      <c r="K221" s="2" t="inlineStr">
        <is>
          <t>-</t>
        </is>
      </c>
      <c r="L221" s="13" t="n">
        <v>3.2</v>
      </c>
      <c r="M221" s="7" t="inlineStr">
        <is>
          <t>버뮤다 지역 선주</t>
        </is>
      </c>
      <c r="N221" s="2" t="inlineStr">
        <is>
          <t>20260527800189</t>
        </is>
      </c>
      <c r="O221" s="8">
        <f>HYPERLINK("https://dart.fss.or.kr/dsaf001/main.do?rcpNo=20260527800189", "공시열람")</f>
        <v/>
      </c>
    </row>
    <row r="222" ht="36" customHeight="1">
      <c r="A222" s="2" t="inlineStr">
        <is>
          <t>2026-05-27</t>
        </is>
      </c>
      <c r="B222" s="3" t="inlineStr">
        <is>
          <t>삼성중공업</t>
        </is>
      </c>
      <c r="C222" s="2" t="inlineStr">
        <is>
          <t>코스피</t>
        </is>
      </c>
      <c r="D222" s="2" t="inlineStr">
        <is>
          <t>010140</t>
        </is>
      </c>
      <c r="E222" s="2" t="inlineStr">
        <is>
          <t>단일판매공급계약체결</t>
        </is>
      </c>
      <c r="F222" s="3" t="inlineStr">
        <is>
          <t xml:space="preserve">단일판매ㆍ공급계약체결              </t>
        </is>
      </c>
      <c r="G222" s="7" t="inlineStr">
        <is>
          <t>LNG운반선 1척</t>
        </is>
      </c>
      <c r="H222" s="2" t="inlineStr">
        <is>
          <t>2026-05-26</t>
        </is>
      </c>
      <c r="I222" s="2" t="inlineStr">
        <is>
          <t>2028-10-31</t>
        </is>
      </c>
      <c r="J222" s="5" t="n">
        <v>381400000000</v>
      </c>
      <c r="K222" s="2" t="inlineStr">
        <is>
          <t>-</t>
        </is>
      </c>
      <c r="L222" s="13" t="n">
        <v>3.6</v>
      </c>
      <c r="M222" s="7" t="inlineStr">
        <is>
          <t>버뮤다 지역 선주</t>
        </is>
      </c>
      <c r="N222" s="2" t="inlineStr">
        <is>
          <t>20260527800188</t>
        </is>
      </c>
      <c r="O222" s="8">
        <f>HYPERLINK("https://dart.fss.or.kr/dsaf001/main.do?rcpNo=20260527800188", "공시열람")</f>
        <v/>
      </c>
    </row>
    <row r="223" ht="36" customHeight="1">
      <c r="A223" s="2" t="inlineStr">
        <is>
          <t>2026-05-27</t>
        </is>
      </c>
      <c r="B223" s="3" t="inlineStr">
        <is>
          <t>라피치</t>
        </is>
      </c>
      <c r="C223" s="2" t="inlineStr">
        <is>
          <t>코넥스</t>
        </is>
      </c>
      <c r="D223" s="2" t="inlineStr">
        <is>
          <t>403360</t>
        </is>
      </c>
      <c r="E223" s="2" t="inlineStr">
        <is>
          <t>단일판매공급계약체결</t>
        </is>
      </c>
      <c r="F223" s="3" t="inlineStr">
        <is>
          <t xml:space="preserve">단일판매ㆍ공급계약체결(자율공시)              </t>
        </is>
      </c>
      <c r="G223" s="7" t="inlineStr">
        <is>
          <t>삼성화재 말로하는 ARS 구축 사업</t>
        </is>
      </c>
      <c r="H223" s="2" t="inlineStr">
        <is>
          <t>2026-05-29</t>
        </is>
      </c>
      <c r="I223" s="2" t="inlineStr">
        <is>
          <t>2027-01-29</t>
        </is>
      </c>
      <c r="J223" s="5" t="n">
        <v>2256515500</v>
      </c>
      <c r="K223" s="2" t="inlineStr">
        <is>
          <t>-</t>
        </is>
      </c>
      <c r="L223" s="13" t="n">
        <v>14.05</v>
      </c>
      <c r="M223" s="7" t="inlineStr">
        <is>
          <t>(주)케이티</t>
        </is>
      </c>
      <c r="N223" s="2" t="inlineStr">
        <is>
          <t>20260527600145</t>
        </is>
      </c>
      <c r="O223" s="8">
        <f>HYPERLINK("https://dart.fss.or.kr/dsaf001/main.do?rcpNo=20260527600145", "공시열람")</f>
        <v/>
      </c>
    </row>
    <row r="224" ht="36" customHeight="1">
      <c r="A224" s="2" t="inlineStr">
        <is>
          <t>2026-05-27</t>
        </is>
      </c>
      <c r="B224" s="3" t="inlineStr">
        <is>
          <t>네오셈</t>
        </is>
      </c>
      <c r="C224" s="2" t="inlineStr">
        <is>
          <t>코스닥</t>
        </is>
      </c>
      <c r="D224" s="2" t="inlineStr">
        <is>
          <t>253590</t>
        </is>
      </c>
      <c r="E224" s="2" t="inlineStr">
        <is>
          <t>단일판매공급계약체결</t>
        </is>
      </c>
      <c r="F224" s="3" t="inlineStr">
        <is>
          <t xml:space="preserve">단일판매ㆍ공급계약체결              </t>
        </is>
      </c>
      <c r="G224" s="7" t="inlineStr">
        <is>
          <t>반도체 검사장비(SSD TESTER &amp; MODULE)</t>
        </is>
      </c>
      <c r="H224" s="2" t="inlineStr">
        <is>
          <t>2026-05-27</t>
        </is>
      </c>
      <c r="I224" s="2" t="inlineStr">
        <is>
          <t>2026-10-31</t>
        </is>
      </c>
      <c r="J224" s="5" t="n">
        <v>11540397499</v>
      </c>
      <c r="K224" s="2" t="inlineStr">
        <is>
          <t>-</t>
        </is>
      </c>
      <c r="L224" s="13" t="n">
        <v>18.05</v>
      </c>
      <c r="M224" s="7" t="inlineStr">
        <is>
          <t>NEOSEM TECHNOLOGY INC.</t>
        </is>
      </c>
      <c r="N224" s="2" t="inlineStr">
        <is>
          <t>20260527900129</t>
        </is>
      </c>
      <c r="O224" s="8">
        <f>HYPERLINK("https://dart.fss.or.kr/dsaf001/main.do?rcpNo=20260527900129", "공시열람")</f>
        <v/>
      </c>
    </row>
    <row r="225" ht="36" customHeight="1">
      <c r="A225" s="2" t="inlineStr">
        <is>
          <t>2026-05-27</t>
        </is>
      </c>
      <c r="B225" s="3" t="inlineStr">
        <is>
          <t>파미셀</t>
        </is>
      </c>
      <c r="C225" s="2" t="inlineStr">
        <is>
          <t>코스피</t>
        </is>
      </c>
      <c r="D225" s="2" t="inlineStr">
        <is>
          <t>005690</t>
        </is>
      </c>
      <c r="E225" s="2" t="inlineStr">
        <is>
          <t>단일판매공급계약체결</t>
        </is>
      </c>
      <c r="F225" s="3" t="inlineStr">
        <is>
          <t xml:space="preserve">단일판매ㆍ공급계약체결              </t>
        </is>
      </c>
      <c r="G225" s="7" t="inlineStr">
        <is>
          <t>전자재료용 소재 공급계약</t>
        </is>
      </c>
      <c r="H225" s="2" t="inlineStr">
        <is>
          <t>2026-05-26</t>
        </is>
      </c>
      <c r="I225" s="2" t="inlineStr">
        <is>
          <t>2026-07-31</t>
        </is>
      </c>
      <c r="J225" s="5" t="n">
        <v>6987814080</v>
      </c>
      <c r="K225" s="2" t="inlineStr">
        <is>
          <t>-</t>
        </is>
      </c>
      <c r="L225" s="13" t="n">
        <v>6.13</v>
      </c>
      <c r="M225" s="7" t="inlineStr">
        <is>
          <t>DOOSAN ELECTRO MATERIALS(CHANGSHU)CO.,LTD.</t>
        </is>
      </c>
      <c r="N225" s="2" t="inlineStr">
        <is>
          <t>20260527800119</t>
        </is>
      </c>
      <c r="O225" s="8">
        <f>HYPERLINK("https://dart.fss.or.kr/dsaf001/main.do?rcpNo=20260527800119", "공시열람")</f>
        <v/>
      </c>
    </row>
    <row r="226" ht="36" customHeight="1">
      <c r="A226" s="2" t="inlineStr">
        <is>
          <t>2026-05-27</t>
        </is>
      </c>
      <c r="B226" s="3" t="inlineStr">
        <is>
          <t>웨이버스</t>
        </is>
      </c>
      <c r="C226" s="2" t="inlineStr">
        <is>
          <t>코스닥</t>
        </is>
      </c>
      <c r="D226" s="2" t="inlineStr">
        <is>
          <t>336060</t>
        </is>
      </c>
      <c r="E226" s="2" t="inlineStr">
        <is>
          <t>단일판매공급계약체결</t>
        </is>
      </c>
      <c r="F226" s="3" t="inlineStr">
        <is>
          <t xml:space="preserve">단일판매ㆍ공급계약체결              </t>
        </is>
      </c>
      <c r="G226" s="7" t="inlineStr">
        <is>
          <t>2026년 정보시스템 통합유지관리 용역사업</t>
        </is>
      </c>
      <c r="H226" s="2" t="inlineStr">
        <is>
          <t>2026-06-01</t>
        </is>
      </c>
      <c r="I226" s="2" t="inlineStr">
        <is>
          <t>2028-05-31</t>
        </is>
      </c>
      <c r="J226" s="5" t="n">
        <v>7191882618</v>
      </c>
      <c r="K226" s="2" t="inlineStr">
        <is>
          <t>-</t>
        </is>
      </c>
      <c r="L226" s="13" t="n">
        <v>10.24</v>
      </c>
      <c r="M226" s="7" t="inlineStr">
        <is>
          <t>국민건강보험공단</t>
        </is>
      </c>
      <c r="N226" s="2" t="inlineStr">
        <is>
          <t>20260527900104</t>
        </is>
      </c>
      <c r="O226" s="8">
        <f>HYPERLINK("https://dart.fss.or.kr/dsaf001/main.do?rcpNo=20260527900104", "공시열람")</f>
        <v/>
      </c>
    </row>
    <row r="227" ht="36" customHeight="1">
      <c r="A227" s="2" t="inlineStr">
        <is>
          <t>2024-12-19 (정정: 2026-05-28)</t>
        </is>
      </c>
      <c r="B227" s="3" t="inlineStr">
        <is>
          <t>신테카바이오</t>
        </is>
      </c>
      <c r="C227" s="2" t="inlineStr">
        <is>
          <t>코스닥</t>
        </is>
      </c>
      <c r="D227" s="2" t="inlineStr">
        <is>
          <t>226330</t>
        </is>
      </c>
      <c r="E227" s="2" t="inlineStr">
        <is>
          <t>단일판매공급계약체결</t>
        </is>
      </c>
      <c r="F227" s="3" t="inlineStr">
        <is>
          <t xml:space="preserve">[기재정정]단일판매ㆍ공급계약체결              </t>
        </is>
      </c>
      <c r="G227" s="7" t="inlineStr">
        <is>
          <t>DeepMathcer 서비스</t>
        </is>
      </c>
      <c r="H227" s="2" t="inlineStr">
        <is>
          <t>2024-12-19</t>
        </is>
      </c>
      <c r="I227" s="2" t="inlineStr">
        <is>
          <t>2026-06-30</t>
        </is>
      </c>
      <c r="J227" s="5" t="n">
        <v>400000000</v>
      </c>
      <c r="K227" s="2" t="inlineStr">
        <is>
          <t>-</t>
        </is>
      </c>
      <c r="L227" s="13" t="n">
        <v>324.13</v>
      </c>
      <c r="M227" s="7" t="inlineStr">
        <is>
          <t>루다큐어(주)</t>
        </is>
      </c>
      <c r="N227" s="2" t="inlineStr">
        <is>
          <t>20260528901032</t>
        </is>
      </c>
      <c r="O227" s="8">
        <f>HYPERLINK("https://dart.fss.or.kr/dsaf001/main.do?rcpNo=20260528901032", "공시열람")</f>
        <v/>
      </c>
    </row>
    <row r="228" ht="36" customHeight="1">
      <c r="A228" s="2" t="inlineStr">
        <is>
          <t>2026-05-28</t>
        </is>
      </c>
      <c r="B228" s="3" t="inlineStr">
        <is>
          <t>DL</t>
        </is>
      </c>
      <c r="C228" s="2" t="inlineStr">
        <is>
          <t>코스피</t>
        </is>
      </c>
      <c r="D228" s="2" t="inlineStr">
        <is>
          <t>000210</t>
        </is>
      </c>
      <c r="E228" s="2" t="inlineStr">
        <is>
          <t>단일판매공급계약체결</t>
        </is>
      </c>
      <c r="F228" s="3" t="inlineStr">
        <is>
          <t xml:space="preserve">단일판매ㆍ공급계약체결(자회사의 주요경영사항)              </t>
        </is>
      </c>
      <c r="G228" s="7" t="inlineStr">
        <is>
          <t>서울 증산4 도심 공공주택 복합사업</t>
        </is>
      </c>
      <c r="H228" s="2" t="inlineStr">
        <is>
          <t>2026-05-27</t>
        </is>
      </c>
      <c r="I228" s="2" t="inlineStr">
        <is>
          <t>2033-12-31</t>
        </is>
      </c>
      <c r="J228" s="5" t="n">
        <v>1001793560644</v>
      </c>
      <c r="K228" s="2" t="inlineStr">
        <is>
          <t>-</t>
        </is>
      </c>
      <c r="L228" s="13" t="n">
        <v>13.53</v>
      </c>
      <c r="M228" s="7" t="inlineStr">
        <is>
          <t>한국토지주택공사(LH)</t>
        </is>
      </c>
      <c r="N228" s="2" t="inlineStr">
        <is>
          <t>20260528801011</t>
        </is>
      </c>
      <c r="O228" s="8">
        <f>HYPERLINK("https://dart.fss.or.kr/dsaf001/main.do?rcpNo=20260528801011", "공시열람")</f>
        <v/>
      </c>
    </row>
    <row r="229" ht="36" customHeight="1">
      <c r="A229" s="2" t="inlineStr">
        <is>
          <t>2026-05-28</t>
        </is>
      </c>
      <c r="B229" s="3" t="inlineStr">
        <is>
          <t>DL이앤씨</t>
        </is>
      </c>
      <c r="C229" s="2" t="inlineStr">
        <is>
          <t>코스피</t>
        </is>
      </c>
      <c r="D229" s="2" t="inlineStr">
        <is>
          <t>375500</t>
        </is>
      </c>
      <c r="E229" s="2" t="inlineStr">
        <is>
          <t>단일판매공급계약체결</t>
        </is>
      </c>
      <c r="F229" s="3" t="inlineStr">
        <is>
          <t xml:space="preserve">단일판매ㆍ공급계약체결              </t>
        </is>
      </c>
      <c r="G229" s="7" t="inlineStr">
        <is>
          <t>서울 증산4 도심 공공주택 복합사업</t>
        </is>
      </c>
      <c r="H229" s="2" t="inlineStr">
        <is>
          <t>2026-05-27</t>
        </is>
      </c>
      <c r="I229" s="2" t="inlineStr">
        <is>
          <t>2033-12-31</t>
        </is>
      </c>
      <c r="J229" s="5" t="n">
        <v>1001793560644</v>
      </c>
      <c r="K229" s="2" t="inlineStr">
        <is>
          <t>-</t>
        </is>
      </c>
      <c r="L229" s="13" t="n">
        <v>13.53</v>
      </c>
      <c r="M229" s="7" t="inlineStr">
        <is>
          <t>한국토지주택공사(LH)</t>
        </is>
      </c>
      <c r="N229" s="2" t="inlineStr">
        <is>
          <t>20260528800997</t>
        </is>
      </c>
      <c r="O229" s="8">
        <f>HYPERLINK("https://dart.fss.or.kr/dsaf001/main.do?rcpNo=20260528800997", "공시열람")</f>
        <v/>
      </c>
    </row>
    <row r="230" ht="36" customHeight="1">
      <c r="A230" s="2" t="inlineStr">
        <is>
          <t>2025-11-24 (정정: 2026-05-28)</t>
        </is>
      </c>
      <c r="B230" s="3" t="inlineStr">
        <is>
          <t>성우테크론</t>
        </is>
      </c>
      <c r="C230" s="2" t="inlineStr">
        <is>
          <t>코스닥</t>
        </is>
      </c>
      <c r="D230" s="2" t="inlineStr">
        <is>
          <t>045300</t>
        </is>
      </c>
      <c r="E230" s="2" t="inlineStr">
        <is>
          <t>단일판매공급계약체결</t>
        </is>
      </c>
      <c r="F230" s="3" t="inlineStr">
        <is>
          <t xml:space="preserve">[기재정정]단일판매ㆍ공급계약체결              </t>
        </is>
      </c>
      <c r="G230" s="7" t="inlineStr">
        <is>
          <t>자동검사기외</t>
        </is>
      </c>
      <c r="H230" s="2" t="inlineStr">
        <is>
          <t>2025-11-24</t>
        </is>
      </c>
      <c r="I230" s="2" t="inlineStr">
        <is>
          <t>2026-07-31</t>
        </is>
      </c>
      <c r="J230" s="5" t="n">
        <v>5479000000</v>
      </c>
      <c r="K230" s="2" t="inlineStr">
        <is>
          <t>-</t>
        </is>
      </c>
      <c r="L230" s="13" t="n">
        <v>13.14</v>
      </c>
      <c r="M230" s="7" t="inlineStr">
        <is>
          <t>-</t>
        </is>
      </c>
      <c r="N230" s="2" t="inlineStr">
        <is>
          <t>20260528900972</t>
        </is>
      </c>
      <c r="O230" s="8">
        <f>HYPERLINK("https://dart.fss.or.kr/dsaf001/main.do?rcpNo=20260528900972", "공시열람")</f>
        <v/>
      </c>
    </row>
    <row r="231" ht="36" customHeight="1">
      <c r="A231" s="2" t="inlineStr">
        <is>
          <t>2022-05-30 (정정: 2026-05-28)</t>
        </is>
      </c>
      <c r="B231" s="3" t="inlineStr">
        <is>
          <t>현대로템</t>
        </is>
      </c>
      <c r="C231" s="2" t="inlineStr">
        <is>
          <t>코스피</t>
        </is>
      </c>
      <c r="D231" s="2" t="inlineStr">
        <is>
          <t>064350</t>
        </is>
      </c>
      <c r="E231" s="2" t="inlineStr">
        <is>
          <t>단일판매공급계약체결</t>
        </is>
      </c>
      <c r="F231" s="3" t="inlineStr">
        <is>
          <t xml:space="preserve">[기재정정]단일판매ㆍ공급계약체결              </t>
        </is>
      </c>
      <c r="G231" s="7" t="inlineStr">
        <is>
          <t>캐나다 에드먼턴 Valley Line West 트램 납품 사업</t>
        </is>
      </c>
      <c r="H231" s="2" t="inlineStr">
        <is>
          <t>2021-12-02</t>
        </is>
      </c>
      <c r="I231" s="2" t="inlineStr">
        <is>
          <t>2030-10-15</t>
        </is>
      </c>
      <c r="J231" s="5" t="n">
        <v>249985440880</v>
      </c>
      <c r="K231" s="2" t="inlineStr">
        <is>
          <t>-</t>
        </is>
      </c>
      <c r="L231" s="13" t="n">
        <v>9</v>
      </c>
      <c r="M231" s="7" t="inlineStr">
        <is>
          <t>에드먼턴 시정부 (The City of Edmonton)</t>
        </is>
      </c>
      <c r="N231" s="2" t="inlineStr">
        <is>
          <t>20260528800926</t>
        </is>
      </c>
      <c r="O231" s="8">
        <f>HYPERLINK("https://dart.fss.or.kr/dsaf001/main.do?rcpNo=20260528800926", "공시열람")</f>
        <v/>
      </c>
    </row>
    <row r="232" ht="36" customHeight="1">
      <c r="A232" s="2" t="inlineStr">
        <is>
          <t>2025-02-25 (정정: 2026-05-28)</t>
        </is>
      </c>
      <c r="B232" s="3" t="inlineStr">
        <is>
          <t>한화오션</t>
        </is>
      </c>
      <c r="C232" s="2" t="inlineStr">
        <is>
          <t>코스피</t>
        </is>
      </c>
      <c r="D232" s="2" t="inlineStr">
        <is>
          <t>042660</t>
        </is>
      </c>
      <c r="E232" s="2" t="inlineStr">
        <is>
          <t>단일판매공급계약체결</t>
        </is>
      </c>
      <c r="F232" s="3" t="inlineStr">
        <is>
          <t xml:space="preserve">[기재정정]단일판매ㆍ공급계약체결              </t>
        </is>
      </c>
      <c r="G232" s="7" t="inlineStr">
        <is>
          <t>MCS Plant 구축 공사</t>
        </is>
      </c>
      <c r="H232" s="2" t="inlineStr">
        <is>
          <t>2025-02-25</t>
        </is>
      </c>
      <c r="I232" s="2" t="inlineStr">
        <is>
          <t>2028-01-31</t>
        </is>
      </c>
      <c r="J232" s="5" t="n">
        <v>424500000000</v>
      </c>
      <c r="K232" s="2" t="inlineStr">
        <is>
          <t>-</t>
        </is>
      </c>
      <c r="L232" s="13" t="n">
        <v>5.7</v>
      </c>
      <c r="M232" s="7" t="inlineStr">
        <is>
          <t>한화에어로스페이스(주)</t>
        </is>
      </c>
      <c r="N232" s="2" t="inlineStr">
        <is>
          <t>20260528800927</t>
        </is>
      </c>
      <c r="O232" s="8">
        <f>HYPERLINK("https://dart.fss.or.kr/dsaf001/main.do?rcpNo=20260528800927", "공시열람")</f>
        <v/>
      </c>
    </row>
    <row r="233" ht="36" customHeight="1">
      <c r="A233" s="2" t="inlineStr">
        <is>
          <t>2025-11-10 (정정: 2026-05-28)</t>
        </is>
      </c>
      <c r="B233" s="3" t="inlineStr">
        <is>
          <t>우진</t>
        </is>
      </c>
      <c r="C233" s="2" t="inlineStr">
        <is>
          <t>코스피</t>
        </is>
      </c>
      <c r="D233" s="2" t="inlineStr">
        <is>
          <t>105840</t>
        </is>
      </c>
      <c r="E233" s="2" t="inlineStr">
        <is>
          <t>단일판매공급계약체결</t>
        </is>
      </c>
      <c r="F233" s="3" t="inlineStr">
        <is>
          <t xml:space="preserve">[기재정정]단일판매ㆍ공급계약체결              </t>
        </is>
      </c>
      <c r="G233" s="7" t="inlineStr">
        <is>
          <t>2026년 표준형 원전 O/H용 노내핵계측기(ICI) 2차 구매</t>
        </is>
      </c>
      <c r="H233" s="2" t="inlineStr">
        <is>
          <t>2025-11-10</t>
        </is>
      </c>
      <c r="I233" s="2" t="inlineStr">
        <is>
          <t>2026-11-08</t>
        </is>
      </c>
      <c r="J233" s="5" t="n">
        <v>10287930000</v>
      </c>
      <c r="K233" s="2" t="inlineStr">
        <is>
          <t>-</t>
        </is>
      </c>
      <c r="L233" s="13" t="n">
        <v>7.31</v>
      </c>
      <c r="M233" s="7" t="inlineStr">
        <is>
          <t>한국수력원자력㈜</t>
        </is>
      </c>
      <c r="N233" s="2" t="inlineStr">
        <is>
          <t>20260528800893</t>
        </is>
      </c>
      <c r="O233" s="8">
        <f>HYPERLINK("https://dart.fss.or.kr/dsaf001/main.do?rcpNo=20260528800893", "공시열람")</f>
        <v/>
      </c>
    </row>
    <row r="234" ht="36" customHeight="1">
      <c r="A234" s="2" t="inlineStr">
        <is>
          <t>2026-05-28</t>
        </is>
      </c>
      <c r="B234" s="3" t="inlineStr">
        <is>
          <t>나라스페이스테크놀로지</t>
        </is>
      </c>
      <c r="C234" s="2" t="inlineStr">
        <is>
          <t>코스닥</t>
        </is>
      </c>
      <c r="D234" s="2" t="inlineStr">
        <is>
          <t>478340</t>
        </is>
      </c>
      <c r="E234" s="2" t="inlineStr">
        <is>
          <t>단일판매공급계약체결</t>
        </is>
      </c>
      <c r="F234" s="3" t="inlineStr">
        <is>
          <t xml:space="preserve">단일판매ㆍ공급계약체결              </t>
        </is>
      </c>
      <c r="G234" s="7" t="inlineStr">
        <is>
          <t>온실가스 관측 초소형 위성 탑재체 개발</t>
        </is>
      </c>
      <c r="H234" s="2" t="inlineStr">
        <is>
          <t>2026-05-28</t>
        </is>
      </c>
      <c r="I234" s="2" t="inlineStr">
        <is>
          <t>2026-11-18</t>
        </is>
      </c>
      <c r="J234" s="5" t="n">
        <v>1379582500</v>
      </c>
      <c r="K234" s="2" t="inlineStr">
        <is>
          <t>-</t>
        </is>
      </c>
      <c r="L234" s="13" t="n">
        <v>10.42</v>
      </c>
      <c r="M234" s="7" t="inlineStr">
        <is>
          <t>한화시스템(주)</t>
        </is>
      </c>
      <c r="N234" s="2" t="inlineStr">
        <is>
          <t>20260528900761</t>
        </is>
      </c>
      <c r="O234" s="8">
        <f>HYPERLINK("https://dart.fss.or.kr/dsaf001/main.do?rcpNo=20260528900761", "공시열람")</f>
        <v/>
      </c>
    </row>
    <row r="235" ht="36" customHeight="1">
      <c r="A235" s="2" t="inlineStr">
        <is>
          <t>2026-05-28</t>
        </is>
      </c>
      <c r="B235" s="3" t="inlineStr">
        <is>
          <t>소룩스</t>
        </is>
      </c>
      <c r="C235" s="2" t="inlineStr">
        <is>
          <t>코스닥</t>
        </is>
      </c>
      <c r="D235" s="2" t="inlineStr">
        <is>
          <t>290690</t>
        </is>
      </c>
      <c r="E235" s="2" t="inlineStr">
        <is>
          <t>단일판매공급계약체결</t>
        </is>
      </c>
      <c r="F235" s="3" t="inlineStr">
        <is>
          <t xml:space="preserve">단일판매ㆍ공급계약체결              </t>
        </is>
      </c>
      <c r="G235" s="7" t="inlineStr">
        <is>
          <t>괴정동 지역주택조합 공동주택 전기, 소방, 통신 설비공사 도급 계약</t>
        </is>
      </c>
      <c r="H235" s="2" t="inlineStr">
        <is>
          <t>2026-07-31</t>
        </is>
      </c>
      <c r="I235" s="2" t="inlineStr">
        <is>
          <t>2029-07-31</t>
        </is>
      </c>
      <c r="J235" s="5" t="n">
        <v>15438797000</v>
      </c>
      <c r="K235" s="2" t="inlineStr">
        <is>
          <t>-</t>
        </is>
      </c>
      <c r="L235" s="13" t="n">
        <v>40.34</v>
      </c>
      <c r="M235" s="7" t="inlineStr">
        <is>
          <t>괴정지역주택조합</t>
        </is>
      </c>
      <c r="N235" s="2" t="inlineStr">
        <is>
          <t>20260528900579</t>
        </is>
      </c>
      <c r="O235" s="8">
        <f>HYPERLINK("https://dart.fss.or.kr/dsaf001/main.do?rcpNo=20260528900579", "공시열람")</f>
        <v/>
      </c>
    </row>
    <row r="236" ht="36" customHeight="1">
      <c r="A236" s="2" t="inlineStr">
        <is>
          <t>2026-05-28 (정정: 2026-06-26)</t>
        </is>
      </c>
      <c r="B236" s="3" t="inlineStr">
        <is>
          <t>까뮤이앤씨</t>
        </is>
      </c>
      <c r="C236" s="2" t="inlineStr">
        <is>
          <t>코스피</t>
        </is>
      </c>
      <c r="D236" s="2" t="inlineStr">
        <is>
          <t>013700</t>
        </is>
      </c>
      <c r="E236" s="2" t="inlineStr">
        <is>
          <t>단일판매공급계약체결</t>
        </is>
      </c>
      <c r="F236" s="3" t="inlineStr">
        <is>
          <t>[기재정정]단일판매ㆍ공급계약체결               (정정: 20260611) (정정: 20260626)</t>
        </is>
      </c>
      <c r="G236" s="7" t="inlineStr">
        <is>
          <t>SK Hynix M15 Ph-3 Project 중 PC공사 2공구</t>
        </is>
      </c>
      <c r="H236" s="2" t="inlineStr">
        <is>
          <t>2024-06-24</t>
        </is>
      </c>
      <c r="I236" s="2" t="inlineStr">
        <is>
          <t>2026-07-31</t>
        </is>
      </c>
      <c r="J236" s="5" t="n">
        <v>98615000000</v>
      </c>
      <c r="K236" s="2" t="inlineStr">
        <is>
          <t>-</t>
        </is>
      </c>
      <c r="L236" s="13" t="n">
        <v>35.4</v>
      </c>
      <c r="M236" s="7" t="inlineStr">
        <is>
          <t>에스케이에코플랜트(주)</t>
        </is>
      </c>
      <c r="N236" s="2" t="inlineStr">
        <is>
          <t>20260626801103</t>
        </is>
      </c>
      <c r="O236" s="8">
        <f>HYPERLINK("https://dart.fss.or.kr/dsaf001/main.do?rcpNo=20260626801103", "공시열람")</f>
        <v/>
      </c>
    </row>
    <row r="237" ht="36" customHeight="1">
      <c r="A237" s="2" t="inlineStr">
        <is>
          <t>2026-05-28</t>
        </is>
      </c>
      <c r="B237" s="3" t="inlineStr">
        <is>
          <t>카티스</t>
        </is>
      </c>
      <c r="C237" s="2" t="inlineStr">
        <is>
          <t>코스닥</t>
        </is>
      </c>
      <c r="D237" s="2" t="inlineStr">
        <is>
          <t>140430</t>
        </is>
      </c>
      <c r="E237" s="2" t="inlineStr">
        <is>
          <t>단일판매공급계약체결</t>
        </is>
      </c>
      <c r="F237" s="3" t="inlineStr">
        <is>
          <t xml:space="preserve">단일판매ㆍ공급계약체결              </t>
        </is>
      </c>
      <c r="G237" s="7" t="inlineStr">
        <is>
          <t>데이터센터 각 세종 물리보안 구축 계약서(2 차분)</t>
        </is>
      </c>
      <c r="H237" s="2" t="inlineStr">
        <is>
          <t>2026-05-27</t>
        </is>
      </c>
      <c r="I237" s="2" t="inlineStr">
        <is>
          <t>2027-12-30</t>
        </is>
      </c>
      <c r="J237" s="5" t="n">
        <v>3158630000</v>
      </c>
      <c r="K237" s="2" t="inlineStr">
        <is>
          <t>-</t>
        </is>
      </c>
      <c r="L237" s="13" t="n">
        <v>11.32</v>
      </c>
      <c r="M237" s="7" t="inlineStr">
        <is>
          <t>자이씨앤에이(주)</t>
        </is>
      </c>
      <c r="N237" s="2" t="inlineStr">
        <is>
          <t>20260528900534</t>
        </is>
      </c>
      <c r="O237" s="8">
        <f>HYPERLINK("https://dart.fss.or.kr/dsaf001/main.do?rcpNo=20260528900534", "공시열람")</f>
        <v/>
      </c>
    </row>
    <row r="238" ht="36" customHeight="1">
      <c r="A238" s="2" t="inlineStr">
        <is>
          <t>2026-05-28</t>
        </is>
      </c>
      <c r="B238" s="3" t="inlineStr">
        <is>
          <t>에이스토리</t>
        </is>
      </c>
      <c r="C238" s="2" t="inlineStr">
        <is>
          <t>코스닥</t>
        </is>
      </c>
      <c r="D238" s="2" t="inlineStr">
        <is>
          <t>241840</t>
        </is>
      </c>
      <c r="E238" s="2" t="inlineStr">
        <is>
          <t>단일판매공급계약체결</t>
        </is>
      </c>
      <c r="F238" s="3" t="inlineStr">
        <is>
          <t xml:space="preserve">단일판매ㆍ공급계약체결              </t>
        </is>
      </c>
      <c r="G238" s="7" t="inlineStr">
        <is>
          <t>드라마 &lt;크래시시즌2&gt; 방영권 라이센스 계약</t>
        </is>
      </c>
      <c r="H238" s="2" t="inlineStr">
        <is>
          <t>2026-05-28</t>
        </is>
      </c>
      <c r="I238" s="2" t="inlineStr">
        <is>
          <t>2034-05-13</t>
        </is>
      </c>
      <c r="J238" s="5" t="inlineStr"/>
      <c r="K238" s="2" t="inlineStr">
        <is>
          <t>-</t>
        </is>
      </c>
      <c r="L238" s="3" t="inlineStr"/>
      <c r="M238" s="7" t="inlineStr">
        <is>
          <t>THE WALT DISNEY COMPANY (KOREA) LLC</t>
        </is>
      </c>
      <c r="N238" s="2" t="inlineStr">
        <is>
          <t>20260528900437</t>
        </is>
      </c>
      <c r="O238" s="8">
        <f>HYPERLINK("https://dart.fss.or.kr/dsaf001/main.do?rcpNo=20260528900437", "공시열람")</f>
        <v/>
      </c>
    </row>
    <row r="239" ht="36" customHeight="1">
      <c r="A239" s="2" t="inlineStr">
        <is>
          <t>2026-05-28</t>
        </is>
      </c>
      <c r="B239" s="3" t="inlineStr">
        <is>
          <t>네오셈</t>
        </is>
      </c>
      <c r="C239" s="2" t="inlineStr">
        <is>
          <t>코스닥</t>
        </is>
      </c>
      <c r="D239" s="2" t="inlineStr">
        <is>
          <t>253590</t>
        </is>
      </c>
      <c r="E239" s="2" t="inlineStr">
        <is>
          <t>단일판매공급계약체결</t>
        </is>
      </c>
      <c r="F239" s="3" t="inlineStr">
        <is>
          <t xml:space="preserve">단일판매ㆍ공급계약체결              </t>
        </is>
      </c>
      <c r="G239" s="7" t="inlineStr">
        <is>
          <t>CLT Interface Board</t>
        </is>
      </c>
      <c r="H239" s="2" t="inlineStr">
        <is>
          <t>2026-05-28</t>
        </is>
      </c>
      <c r="I239" s="2" t="inlineStr">
        <is>
          <t>2026-09-30</t>
        </is>
      </c>
      <c r="J239" s="5" t="n">
        <v>6899232000</v>
      </c>
      <c r="K239" s="2" t="inlineStr">
        <is>
          <t>-</t>
        </is>
      </c>
      <c r="L239" s="13" t="n">
        <v>10.79</v>
      </c>
      <c r="M239" s="7" t="inlineStr">
        <is>
          <t>삼성전자</t>
        </is>
      </c>
      <c r="N239" s="2" t="inlineStr">
        <is>
          <t>20260528900396</t>
        </is>
      </c>
      <c r="O239" s="8">
        <f>HYPERLINK("https://dart.fss.or.kr/dsaf001/main.do?rcpNo=20260528900396", "공시열람")</f>
        <v/>
      </c>
    </row>
    <row r="240" ht="36" customHeight="1">
      <c r="A240" s="2" t="inlineStr">
        <is>
          <t>2026-05-28</t>
        </is>
      </c>
      <c r="B240" s="3" t="inlineStr">
        <is>
          <t>HD현대마린엔진</t>
        </is>
      </c>
      <c r="C240" s="2" t="inlineStr">
        <is>
          <t>코스피</t>
        </is>
      </c>
      <c r="D240" s="2" t="inlineStr">
        <is>
          <t>071970</t>
        </is>
      </c>
      <c r="E240" s="2" t="inlineStr">
        <is>
          <t>단일판매공급계약체결</t>
        </is>
      </c>
      <c r="F240" s="3" t="inlineStr">
        <is>
          <t xml:space="preserve">단일판매ㆍ공급계약체결              </t>
        </is>
      </c>
      <c r="G240" s="7" t="inlineStr">
        <is>
          <t>선박엔진 공급계약</t>
        </is>
      </c>
      <c r="H240" s="2" t="inlineStr">
        <is>
          <t>2026-05-27</t>
        </is>
      </c>
      <c r="I240" s="2" t="inlineStr">
        <is>
          <t>2028-05-30</t>
        </is>
      </c>
      <c r="J240" s="5" t="n">
        <v>55792300000</v>
      </c>
      <c r="K240" s="2" t="inlineStr">
        <is>
          <t>-</t>
        </is>
      </c>
      <c r="L240" s="13" t="n">
        <v>13.9</v>
      </c>
      <c r="M240" s="7" t="inlineStr">
        <is>
          <t>Wuhu Shipyard Co., Ltd.</t>
        </is>
      </c>
      <c r="N240" s="2" t="inlineStr">
        <is>
          <t>20260528800393</t>
        </is>
      </c>
      <c r="O240" s="8">
        <f>HYPERLINK("https://dart.fss.or.kr/dsaf001/main.do?rcpNo=20260528800393", "공시열람")</f>
        <v/>
      </c>
    </row>
    <row r="241" ht="36" customHeight="1">
      <c r="A241" s="2" t="inlineStr">
        <is>
          <t>2026-05-28 (정정: 2026-06-26)</t>
        </is>
      </c>
      <c r="B241" s="3" t="inlineStr">
        <is>
          <t>자연과환경</t>
        </is>
      </c>
      <c r="C241" s="2" t="inlineStr">
        <is>
          <t>코스닥</t>
        </is>
      </c>
      <c r="D241" s="2" t="inlineStr">
        <is>
          <t>043910</t>
        </is>
      </c>
      <c r="E241" s="2" t="inlineStr">
        <is>
          <t>단일판매공급계약체결</t>
        </is>
      </c>
      <c r="F241" s="3" t="inlineStr">
        <is>
          <t>단일판매ㆍ공급계약체결               (정정: 20260626)</t>
        </is>
      </c>
      <c r="G241" s="7" t="inlineStr">
        <is>
          <t>쿠팡 덕평 물류센터 중 PC공사</t>
        </is>
      </c>
      <c r="H241" s="2" t="inlineStr">
        <is>
          <t>2024-05-08</t>
        </is>
      </c>
      <c r="I241" s="2" t="inlineStr">
        <is>
          <t>2026-10-15</t>
        </is>
      </c>
      <c r="J241" s="5" t="n">
        <v>26100000000</v>
      </c>
      <c r="K241" s="2" t="inlineStr">
        <is>
          <t>-</t>
        </is>
      </c>
      <c r="L241" s="13" t="n">
        <v>37.43</v>
      </c>
      <c r="M241" s="7" t="inlineStr">
        <is>
          <t>계룡건설산업(주)</t>
        </is>
      </c>
      <c r="N241" s="2" t="inlineStr">
        <is>
          <t>20260626900590</t>
        </is>
      </c>
      <c r="O241" s="8">
        <f>HYPERLINK("https://dart.fss.or.kr/dsaf001/main.do?rcpNo=20260626900590", "공시열람")</f>
        <v/>
      </c>
    </row>
    <row r="242" ht="36" customHeight="1">
      <c r="A242" s="2" t="inlineStr">
        <is>
          <t>2026-05-28 (정정: 2026-05-29)</t>
        </is>
      </c>
      <c r="B242" s="3" t="inlineStr">
        <is>
          <t>파두</t>
        </is>
      </c>
      <c r="C242" s="2" t="inlineStr">
        <is>
          <t>코스닥</t>
        </is>
      </c>
      <c r="D242" s="2" t="inlineStr">
        <is>
          <t>440110</t>
        </is>
      </c>
      <c r="E242" s="2" t="inlineStr">
        <is>
          <t>단일판매공급계약체결</t>
        </is>
      </c>
      <c r="F242" s="3" t="inlineStr">
        <is>
          <t>단일판매ㆍ공급계약체결               (정정: 20260529) (정정: 20260529)</t>
        </is>
      </c>
      <c r="G242" s="7" t="inlineStr">
        <is>
          <t>기업용 SSD 컨트롤러 공급</t>
        </is>
      </c>
      <c r="H242" s="2" t="inlineStr">
        <is>
          <t>2025-12-01</t>
        </is>
      </c>
      <c r="I242" s="2" t="inlineStr">
        <is>
          <t>2026-06-01</t>
        </is>
      </c>
      <c r="J242" s="5" t="n">
        <v>12254924000</v>
      </c>
      <c r="K242" s="2" t="inlineStr">
        <is>
          <t>-</t>
        </is>
      </c>
      <c r="L242" s="13" t="n">
        <v>28.17</v>
      </c>
      <c r="M242" s="7" t="inlineStr">
        <is>
          <t>해외 Nand Flash Memory 제조사</t>
        </is>
      </c>
      <c r="N242" s="2" t="inlineStr">
        <is>
          <t>20260529901588</t>
        </is>
      </c>
      <c r="O242" s="8">
        <f>HYPERLINK("https://dart.fss.or.kr/dsaf001/main.do?rcpNo=20260529901588", "공시열람")</f>
        <v/>
      </c>
    </row>
    <row r="243" ht="36" customHeight="1">
      <c r="A243" s="2" t="inlineStr">
        <is>
          <t>2025-08-27 (정정: 2026-05-28)</t>
        </is>
      </c>
      <c r="B243" s="3" t="inlineStr">
        <is>
          <t>우진플라임</t>
        </is>
      </c>
      <c r="C243" s="2" t="inlineStr">
        <is>
          <t>코스피</t>
        </is>
      </c>
      <c r="D243" s="2" t="inlineStr">
        <is>
          <t>049800</t>
        </is>
      </c>
      <c r="E243" s="2" t="inlineStr">
        <is>
          <t>단일판매공급계약체결</t>
        </is>
      </c>
      <c r="F243" s="3" t="inlineStr">
        <is>
          <t xml:space="preserve">[기재정정]단일판매ㆍ공급계약체결              </t>
        </is>
      </c>
      <c r="G243" s="7" t="inlineStr">
        <is>
          <t>플라스틱용 사출성형기 판매 계약</t>
        </is>
      </c>
      <c r="H243" s="2" t="inlineStr">
        <is>
          <t>2024-03-19</t>
        </is>
      </c>
      <c r="I243" s="2" t="inlineStr">
        <is>
          <t>-</t>
        </is>
      </c>
      <c r="J243" s="5" t="inlineStr"/>
      <c r="K243" s="2" t="inlineStr">
        <is>
          <t>-</t>
        </is>
      </c>
      <c r="L243" s="3" t="inlineStr"/>
      <c r="M243" s="7" t="inlineStr">
        <is>
          <t>-</t>
        </is>
      </c>
      <c r="N243" s="2" t="inlineStr">
        <is>
          <t>20260528800003</t>
        </is>
      </c>
      <c r="O243" s="8">
        <f>HYPERLINK("https://dart.fss.or.kr/dsaf001/main.do?rcpNo=20260528800003", "공시열람")</f>
        <v/>
      </c>
    </row>
    <row r="244" ht="36" customHeight="1">
      <c r="A244" s="2" t="inlineStr">
        <is>
          <t>2026-05-29</t>
        </is>
      </c>
      <c r="B244" s="3" t="inlineStr">
        <is>
          <t>케어젠</t>
        </is>
      </c>
      <c r="C244" s="2" t="inlineStr">
        <is>
          <t>코스닥</t>
        </is>
      </c>
      <c r="D244" s="2" t="inlineStr">
        <is>
          <t>214370</t>
        </is>
      </c>
      <c r="E244" s="2" t="inlineStr">
        <is>
          <t>단일판매공급계약체결</t>
        </is>
      </c>
      <c r="F244" s="3" t="inlineStr">
        <is>
          <t xml:space="preserve">단일판매ㆍ공급계약해지(자율공시)              </t>
        </is>
      </c>
      <c r="G244" s="7" t="inlineStr">
        <is>
          <t>-</t>
        </is>
      </c>
      <c r="H244" s="2" t="inlineStr">
        <is>
          <t>2016-08-17</t>
        </is>
      </c>
      <c r="I244" s="2" t="inlineStr">
        <is>
          <t>2026-12-31</t>
        </is>
      </c>
      <c r="J244" s="5" t="inlineStr"/>
      <c r="K244" s="2" t="inlineStr">
        <is>
          <t>-</t>
        </is>
      </c>
      <c r="L244" s="13" t="n">
        <v>5.49</v>
      </c>
      <c r="M244" s="7" t="inlineStr">
        <is>
          <t>MSLP QUADRIFOGLIO S.A</t>
        </is>
      </c>
      <c r="N244" s="2" t="inlineStr">
        <is>
          <t>20260529902050</t>
        </is>
      </c>
      <c r="O244" s="8">
        <f>HYPERLINK("https://dart.fss.or.kr/dsaf001/main.do?rcpNo=20260529902050", "공시열람")</f>
        <v/>
      </c>
    </row>
    <row r="245" ht="36" customHeight="1">
      <c r="A245" s="2" t="inlineStr">
        <is>
          <t>2026-05-29</t>
        </is>
      </c>
      <c r="B245" s="3" t="inlineStr">
        <is>
          <t>케어젠</t>
        </is>
      </c>
      <c r="C245" s="2" t="inlineStr">
        <is>
          <t>코스닥</t>
        </is>
      </c>
      <c r="D245" s="2" t="inlineStr">
        <is>
          <t>214370</t>
        </is>
      </c>
      <c r="E245" s="2" t="inlineStr">
        <is>
          <t>단일판매공급계약체결</t>
        </is>
      </c>
      <c r="F245" s="3" t="inlineStr">
        <is>
          <t xml:space="preserve">단일판매ㆍ공급계약해지              </t>
        </is>
      </c>
      <c r="G245" s="7" t="inlineStr">
        <is>
          <t>-</t>
        </is>
      </c>
      <c r="H245" s="2" t="inlineStr">
        <is>
          <t>2016-06-01</t>
        </is>
      </c>
      <c r="I245" s="2" t="inlineStr">
        <is>
          <t>2026-05-31</t>
        </is>
      </c>
      <c r="J245" s="5" t="inlineStr"/>
      <c r="K245" s="2" t="inlineStr">
        <is>
          <t>-</t>
        </is>
      </c>
      <c r="L245" s="13" t="n">
        <v>104.2</v>
      </c>
      <c r="M245" s="7" t="inlineStr">
        <is>
          <t>INNOVAHEALTH, AESTHETICS SOLUTIONS LTD</t>
        </is>
      </c>
      <c r="N245" s="2" t="inlineStr">
        <is>
          <t>20260529902043</t>
        </is>
      </c>
      <c r="O245" s="8">
        <f>HYPERLINK("https://dart.fss.or.kr/dsaf001/main.do?rcpNo=20260529902043", "공시열람")</f>
        <v/>
      </c>
    </row>
    <row r="246" ht="36" customHeight="1">
      <c r="A246" s="2" t="inlineStr">
        <is>
          <t>2026-05-29</t>
        </is>
      </c>
      <c r="B246" s="3" t="inlineStr">
        <is>
          <t>KCC건설</t>
        </is>
      </c>
      <c r="C246" s="2" t="inlineStr">
        <is>
          <t>코스닥</t>
        </is>
      </c>
      <c r="D246" s="2" t="inlineStr">
        <is>
          <t>021320</t>
        </is>
      </c>
      <c r="E246" s="2" t="inlineStr">
        <is>
          <t>단일판매공급계약체결</t>
        </is>
      </c>
      <c r="F246" s="3" t="inlineStr">
        <is>
          <t xml:space="preserve">단일판매ㆍ공급계약체결(자율공시)              </t>
        </is>
      </c>
      <c r="G246" s="7" t="inlineStr">
        <is>
          <t>관수8지구 도시정비형 재개발사업 업무시설 신축공사</t>
        </is>
      </c>
      <c r="H246" s="2" t="inlineStr">
        <is>
          <t>2026-07-31</t>
        </is>
      </c>
      <c r="I246" s="2" t="inlineStr">
        <is>
          <t>2029-07-31</t>
        </is>
      </c>
      <c r="J246" s="5" t="n">
        <v>139000000000</v>
      </c>
      <c r="K246" s="2" t="inlineStr">
        <is>
          <t>-</t>
        </is>
      </c>
      <c r="L246" s="13" t="n">
        <v>7.58</v>
      </c>
      <c r="M246" s="7" t="inlineStr">
        <is>
          <t>지엘관수피에프브이 주식회사</t>
        </is>
      </c>
      <c r="N246" s="2" t="inlineStr">
        <is>
          <t>20260529902075</t>
        </is>
      </c>
      <c r="O246" s="8">
        <f>HYPERLINK("https://dart.fss.or.kr/dsaf001/main.do?rcpNo=20260529902075", "공시열람")</f>
        <v/>
      </c>
    </row>
    <row r="247" ht="36" customHeight="1">
      <c r="A247" s="2" t="inlineStr">
        <is>
          <t>2023-04-28 (정정: 2026-05-29)</t>
        </is>
      </c>
      <c r="B247" s="3" t="inlineStr">
        <is>
          <t>HL홀딩스</t>
        </is>
      </c>
      <c r="C247" s="2" t="inlineStr">
        <is>
          <t>코스피</t>
        </is>
      </c>
      <c r="D247" s="2" t="inlineStr">
        <is>
          <t>060980</t>
        </is>
      </c>
      <c r="E247" s="2" t="inlineStr">
        <is>
          <t>단일판매공급계약체결</t>
        </is>
      </c>
      <c r="F247" s="3" t="inlineStr">
        <is>
          <t xml:space="preserve">[기재정정]단일판매ㆍ공급계약체결(자회사의 주요경영사항)              </t>
        </is>
      </c>
      <c r="G247" s="7" t="inlineStr">
        <is>
          <t>청주시 흥덕구 월명공원 공동주택 신축공사</t>
        </is>
      </c>
      <c r="H247" s="2" t="inlineStr">
        <is>
          <t>2023-07-31</t>
        </is>
      </c>
      <c r="I247" s="2" t="inlineStr">
        <is>
          <t>2026-05-31</t>
        </is>
      </c>
      <c r="J247" s="5" t="n">
        <v>205365543481</v>
      </c>
      <c r="K247" s="2" t="inlineStr">
        <is>
          <t>-</t>
        </is>
      </c>
      <c r="L247" s="13" t="n">
        <v>15.74</v>
      </c>
      <c r="M247" s="7" t="inlineStr">
        <is>
          <t>주식회사 대성아이앤디</t>
        </is>
      </c>
      <c r="N247" s="2" t="inlineStr">
        <is>
          <t>20260529801905</t>
        </is>
      </c>
      <c r="O247" s="8">
        <f>HYPERLINK("https://dart.fss.or.kr/dsaf001/main.do?rcpNo=20260529801905", "공시열람")</f>
        <v/>
      </c>
    </row>
    <row r="248" ht="36" customHeight="1">
      <c r="A248" s="2" t="inlineStr">
        <is>
          <t>2026-05-29 (정정: 2026-06-12)</t>
        </is>
      </c>
      <c r="B248" s="3" t="inlineStr">
        <is>
          <t>HL D&amp;I</t>
        </is>
      </c>
      <c r="C248" s="2" t="inlineStr">
        <is>
          <t>코스피</t>
        </is>
      </c>
      <c r="D248" s="2" t="inlineStr">
        <is>
          <t>014790</t>
        </is>
      </c>
      <c r="E248" s="2" t="inlineStr">
        <is>
          <t>단일판매공급계약체결</t>
        </is>
      </c>
      <c r="F248" s="3" t="inlineStr">
        <is>
          <t>[기재정정]단일판매ㆍ공급계약체결               (정정: 20260612)</t>
        </is>
      </c>
      <c r="G248" s="7" t="inlineStr">
        <is>
          <t>-</t>
        </is>
      </c>
      <c r="H248" s="2" t="inlineStr">
        <is>
          <t>2019-09-11</t>
        </is>
      </c>
      <c r="I248" s="2" t="inlineStr">
        <is>
          <t>2026-08-31</t>
        </is>
      </c>
      <c r="J248" s="5" t="n">
        <v>126948960000</v>
      </c>
      <c r="K248" s="2" t="inlineStr">
        <is>
          <t>-</t>
        </is>
      </c>
      <c r="L248" s="13" t="n">
        <v>9.609999999999999</v>
      </c>
      <c r="M248" s="7" t="inlineStr">
        <is>
          <t>광주광역시 도시철도건설본부</t>
        </is>
      </c>
      <c r="N248" s="2" t="inlineStr">
        <is>
          <t>20260612800570</t>
        </is>
      </c>
      <c r="O248" s="8">
        <f>HYPERLINK("https://dart.fss.or.kr/dsaf001/main.do?rcpNo=20260612800570", "공시열람")</f>
        <v/>
      </c>
    </row>
    <row r="249" ht="36" customHeight="1">
      <c r="A249" s="2" t="inlineStr">
        <is>
          <t>2026-05-29 (정정: 2026-05-29)</t>
        </is>
      </c>
      <c r="B249" s="3" t="inlineStr">
        <is>
          <t>NC</t>
        </is>
      </c>
      <c r="C249" s="2" t="inlineStr">
        <is>
          <t>코스피</t>
        </is>
      </c>
      <c r="D249" s="2" t="inlineStr">
        <is>
          <t>036570</t>
        </is>
      </c>
      <c r="E249" s="2" t="inlineStr">
        <is>
          <t>단일판매공급계약체결</t>
        </is>
      </c>
      <c r="F249" s="3" t="inlineStr">
        <is>
          <t xml:space="preserve">[기재정정]단일판매ㆍ공급계약체결              </t>
        </is>
      </c>
      <c r="G249" s="7" t="inlineStr">
        <is>
          <t>모바일 IP 5종의 글로벌 퍼블리싱 계약</t>
        </is>
      </c>
      <c r="H249" s="2" t="inlineStr">
        <is>
          <t>2021-09-09</t>
        </is>
      </c>
      <c r="I249" s="2" t="inlineStr">
        <is>
          <t>-</t>
        </is>
      </c>
      <c r="J249" s="5" t="inlineStr"/>
      <c r="K249" s="2" t="inlineStr">
        <is>
          <t>-</t>
        </is>
      </c>
      <c r="L249" s="3" t="inlineStr"/>
      <c r="M249" s="7" t="inlineStr">
        <is>
          <t>- Shenzhen Tencent Computer Systems Company Limited - Hainan Tencent Network Information Technology Company Limited</t>
        </is>
      </c>
      <c r="N249" s="2" t="inlineStr">
        <is>
          <t>20260529801816</t>
        </is>
      </c>
      <c r="O249" s="8">
        <f>HYPERLINK("https://dart.fss.or.kr/dsaf001/main.do?rcpNo=20260529801816", "공시열람")</f>
        <v/>
      </c>
    </row>
    <row r="250" ht="36" customHeight="1">
      <c r="A250" s="2" t="inlineStr">
        <is>
          <t>2026-05-29</t>
        </is>
      </c>
      <c r="B250" s="3" t="inlineStr">
        <is>
          <t>DB하이텍</t>
        </is>
      </c>
      <c r="C250" s="2" t="inlineStr">
        <is>
          <t>코스피</t>
        </is>
      </c>
      <c r="D250" s="2" t="inlineStr">
        <is>
          <t>000990</t>
        </is>
      </c>
      <c r="E250" s="2" t="inlineStr">
        <is>
          <t>기타</t>
        </is>
      </c>
      <c r="F250" s="3" t="inlineStr">
        <is>
          <t xml:space="preserve">영업정지(종속회사의주요경영사항)              </t>
        </is>
      </c>
      <c r="G250" s="7" t="inlineStr">
        <is>
          <t>-</t>
        </is>
      </c>
      <c r="H250" s="2" t="inlineStr">
        <is>
          <t>-</t>
        </is>
      </c>
      <c r="I250" s="2" t="inlineStr">
        <is>
          <t>-</t>
        </is>
      </c>
      <c r="J250" s="5" t="inlineStr"/>
      <c r="K250" s="2" t="inlineStr">
        <is>
          <t>-</t>
        </is>
      </c>
      <c r="L250" s="3" t="inlineStr"/>
      <c r="M250" s="7" t="inlineStr">
        <is>
          <t>-</t>
        </is>
      </c>
      <c r="N250" s="2" t="inlineStr">
        <is>
          <t>20260529801734</t>
        </is>
      </c>
      <c r="O250" s="8">
        <f>HYPERLINK("https://dart.fss.or.kr/dsaf001/main.do?rcpNo=20260529801734", "공시열람")</f>
        <v/>
      </c>
    </row>
    <row r="251" ht="36" customHeight="1">
      <c r="A251" s="2" t="inlineStr">
        <is>
          <t>2025-12-31 (정정: 2026-05-29)</t>
        </is>
      </c>
      <c r="B251" s="3" t="inlineStr">
        <is>
          <t>탑머티리얼</t>
        </is>
      </c>
      <c r="C251" s="2" t="inlineStr">
        <is>
          <t>코스닥</t>
        </is>
      </c>
      <c r="D251" s="2" t="inlineStr">
        <is>
          <t>360070</t>
        </is>
      </c>
      <c r="E251" s="2" t="inlineStr">
        <is>
          <t>단일판매공급계약체결</t>
        </is>
      </c>
      <c r="F251" s="3" t="inlineStr">
        <is>
          <t xml:space="preserve">[기재정정]단일판매ㆍ공급계약체결              </t>
        </is>
      </c>
      <c r="G251" s="7" t="inlineStr">
        <is>
          <t>2차전지 공장 건설 서비스 공급계약</t>
        </is>
      </c>
      <c r="H251" s="2" t="inlineStr">
        <is>
          <t>2023-06-08</t>
        </is>
      </c>
      <c r="I251" s="2" t="inlineStr">
        <is>
          <t>2026-12-31</t>
        </is>
      </c>
      <c r="J251" s="5" t="n">
        <v>69560500000</v>
      </c>
      <c r="K251" s="2" t="inlineStr">
        <is>
          <t>-</t>
        </is>
      </c>
      <c r="L251" s="13" t="n">
        <v>110.37</v>
      </c>
      <c r="M251" s="7" t="inlineStr">
        <is>
          <t>-</t>
        </is>
      </c>
      <c r="N251" s="2" t="inlineStr">
        <is>
          <t>20260529901536</t>
        </is>
      </c>
      <c r="O251" s="8">
        <f>HYPERLINK("https://dart.fss.or.kr/dsaf001/main.do?rcpNo=20260529901536", "공시열람")</f>
        <v/>
      </c>
    </row>
    <row r="252" ht="36" customHeight="1">
      <c r="A252" s="2" t="inlineStr">
        <is>
          <t>2026-05-29 (정정: 2026-05-29)</t>
        </is>
      </c>
      <c r="B252" s="3" t="inlineStr">
        <is>
          <t>카이노스메드</t>
        </is>
      </c>
      <c r="C252" s="2" t="inlineStr">
        <is>
          <t>코스닥</t>
        </is>
      </c>
      <c r="D252" s="2" t="inlineStr">
        <is>
          <t>284620</t>
        </is>
      </c>
      <c r="E252" s="2" t="inlineStr">
        <is>
          <t>단일판매공급계약체결</t>
        </is>
      </c>
      <c r="F252" s="3" t="inlineStr">
        <is>
          <t xml:space="preserve">[기재정정]단일판매ㆍ공급계약해지              </t>
        </is>
      </c>
      <c r="G252" s="7" t="inlineStr">
        <is>
          <t>-</t>
        </is>
      </c>
      <c r="H252" s="2" t="inlineStr">
        <is>
          <t>2025-05-30</t>
        </is>
      </c>
      <c r="I252" s="2" t="inlineStr">
        <is>
          <t>2026-05-29</t>
        </is>
      </c>
      <c r="J252" s="5" t="inlineStr">
        <is>
          <t>- 상기 2항의 해지금액은 최초 공시제출일인 2025년 6월 2일 기준환율로 환산한 금액입니다. (서울외국환중개 기준환율 1,375.70원/달러) - 상기 2항의 최근 매출액(원)은 2024년 연결기준매출액을 기준으로 작성되었습니다. - 상기 2항의 계약금액은 부가세미포함 금액입니다. - 상기 4항의 해지일자는 당사가 판매대금미수령에 따라 계약해지공문을 계약상대방에게 이메일로 발송한 일자입니다. - 당사는 법률 검토 및 계약상대방과의 협의를 통해 판매물품이나 판매대금을 회수 방안을 마련할 예정입니다.</t>
        </is>
      </c>
      <c r="K252" s="2" t="inlineStr">
        <is>
          <t>-</t>
        </is>
      </c>
      <c r="L252" s="13" t="n">
        <v>167.78</v>
      </c>
      <c r="M252" s="7" t="inlineStr">
        <is>
          <t>LT9 Enterprises Limited</t>
        </is>
      </c>
      <c r="N252" s="2" t="inlineStr">
        <is>
          <t>20260529901622</t>
        </is>
      </c>
      <c r="O252" s="8">
        <f>HYPERLINK("https://dart.fss.or.kr/dsaf001/main.do?rcpNo=20260529901622", "공시열람")</f>
        <v/>
      </c>
    </row>
    <row r="253" ht="36" customHeight="1">
      <c r="A253" s="2" t="inlineStr">
        <is>
          <t>2026-05-29 (정정: 2026-05-29)</t>
        </is>
      </c>
      <c r="B253" s="3" t="inlineStr">
        <is>
          <t>시공테크</t>
        </is>
      </c>
      <c r="C253" s="2" t="inlineStr">
        <is>
          <t>코스닥</t>
        </is>
      </c>
      <c r="D253" s="2" t="inlineStr">
        <is>
          <t>020710</t>
        </is>
      </c>
      <c r="E253" s="2" t="inlineStr">
        <is>
          <t>단일판매공급계약체결</t>
        </is>
      </c>
      <c r="F253" s="3" t="inlineStr">
        <is>
          <t xml:space="preserve">[기재정정]단일판매ㆍ공급계약체결(자율공시)              </t>
        </is>
      </c>
      <c r="G253" s="7" t="inlineStr">
        <is>
          <t>하나드림타운 그룹헤드쿼터 신축공사 업무층 인테리어공사(3공구)</t>
        </is>
      </c>
      <c r="H253" s="2" t="inlineStr">
        <is>
          <t>2025-09-24</t>
        </is>
      </c>
      <c r="I253" s="2" t="inlineStr">
        <is>
          <t>2026-08-31</t>
        </is>
      </c>
      <c r="J253" s="5" t="n">
        <v>12671000000</v>
      </c>
      <c r="K253" s="2" t="inlineStr">
        <is>
          <t>-</t>
        </is>
      </c>
      <c r="L253" s="13" t="n">
        <v>8.6</v>
      </c>
      <c r="M253" s="7" t="inlineStr">
        <is>
          <t>현대건설(주)</t>
        </is>
      </c>
      <c r="N253" s="2" t="inlineStr">
        <is>
          <t>20260529901589</t>
        </is>
      </c>
      <c r="O253" s="8">
        <f>HYPERLINK("https://dart.fss.or.kr/dsaf001/main.do?rcpNo=20260529901589", "공시열람")</f>
        <v/>
      </c>
    </row>
    <row r="254" ht="36" customHeight="1">
      <c r="A254" s="2" t="inlineStr">
        <is>
          <t>2025-08-18 (정정: 2026-05-29)</t>
        </is>
      </c>
      <c r="B254" s="3" t="inlineStr">
        <is>
          <t>씨이랩</t>
        </is>
      </c>
      <c r="C254" s="2" t="inlineStr">
        <is>
          <t>코스닥</t>
        </is>
      </c>
      <c r="D254" s="2" t="inlineStr">
        <is>
          <t>189330</t>
        </is>
      </c>
      <c r="E254" s="2" t="inlineStr">
        <is>
          <t>단일판매공급계약체결</t>
        </is>
      </c>
      <c r="F254" s="3" t="inlineStr">
        <is>
          <t xml:space="preserve">[기재정정]단일판매ㆍ공급계약체결              </t>
        </is>
      </c>
      <c r="G254" s="7" t="inlineStr">
        <is>
          <t>Digital Twin 플랫폼 구축</t>
        </is>
      </c>
      <c r="H254" s="2" t="inlineStr">
        <is>
          <t>2025-08-18</t>
        </is>
      </c>
      <c r="I254" s="2" t="inlineStr">
        <is>
          <t>2026-07-31</t>
        </is>
      </c>
      <c r="J254" s="5" t="n">
        <v>1094293800</v>
      </c>
      <c r="K254" s="2" t="inlineStr">
        <is>
          <t>-</t>
        </is>
      </c>
      <c r="L254" s="13" t="n">
        <v>12.03</v>
      </c>
      <c r="M254" s="7" t="inlineStr">
        <is>
          <t>주식회사 에즈웰플러스</t>
        </is>
      </c>
      <c r="N254" s="2" t="inlineStr">
        <is>
          <t>20260529901455</t>
        </is>
      </c>
      <c r="O254" s="8">
        <f>HYPERLINK("https://dart.fss.or.kr/dsaf001/main.do?rcpNo=20260529901455", "공시열람")</f>
        <v/>
      </c>
    </row>
    <row r="255" ht="36" customHeight="1">
      <c r="A255" s="2" t="inlineStr">
        <is>
          <t>2026-05-29</t>
        </is>
      </c>
      <c r="B255" s="3" t="inlineStr">
        <is>
          <t>카이노스메드</t>
        </is>
      </c>
      <c r="C255" s="2" t="inlineStr">
        <is>
          <t>코스닥</t>
        </is>
      </c>
      <c r="D255" s="2" t="inlineStr">
        <is>
          <t>284620</t>
        </is>
      </c>
      <c r="E255" s="2" t="inlineStr">
        <is>
          <t>단일판매공급계약체결</t>
        </is>
      </c>
      <c r="F255" s="3" t="inlineStr">
        <is>
          <t xml:space="preserve">단일판매ㆍ공급계약해지              </t>
        </is>
      </c>
      <c r="G255" s="7" t="inlineStr">
        <is>
          <t>-</t>
        </is>
      </c>
      <c r="H255" s="2" t="inlineStr">
        <is>
          <t>2025-05-30</t>
        </is>
      </c>
      <c r="I255" s="2" t="inlineStr">
        <is>
          <t>2026-05-29</t>
        </is>
      </c>
      <c r="J255" s="5" t="inlineStr"/>
      <c r="K255" s="2" t="inlineStr">
        <is>
          <t>-</t>
        </is>
      </c>
      <c r="L255" s="13" t="n">
        <v>167.78</v>
      </c>
      <c r="M255" s="7" t="inlineStr">
        <is>
          <t>LT9 Enterprises Limited</t>
        </is>
      </c>
      <c r="N255" s="2" t="inlineStr">
        <is>
          <t>20260529901383</t>
        </is>
      </c>
      <c r="O255" s="8">
        <f>HYPERLINK("https://dart.fss.or.kr/dsaf001/main.do?rcpNo=20260529901383", "공시열람")</f>
        <v/>
      </c>
    </row>
    <row r="256" ht="36" customHeight="1">
      <c r="A256" s="2" t="inlineStr">
        <is>
          <t>2025-11-04 (정정: 2026-05-29)</t>
        </is>
      </c>
      <c r="B256" s="3" t="inlineStr">
        <is>
          <t>유디엠텍</t>
        </is>
      </c>
      <c r="C256" s="2" t="inlineStr">
        <is>
          <t>코스닥</t>
        </is>
      </c>
      <c r="D256" s="2" t="inlineStr">
        <is>
          <t>389680</t>
        </is>
      </c>
      <c r="E256" s="2" t="inlineStr">
        <is>
          <t>단일판매공급계약체결</t>
        </is>
      </c>
      <c r="F256" s="3" t="inlineStr">
        <is>
          <t xml:space="preserve">[기재정정]단일판매ㆍ공급계약체결              </t>
        </is>
      </c>
      <c r="G256" s="7" t="inlineStr">
        <is>
          <t>모바일라인 통합분석시스템 구축</t>
        </is>
      </c>
      <c r="H256" s="2" t="inlineStr">
        <is>
          <t>2025-11-04</t>
        </is>
      </c>
      <c r="I256" s="2" t="inlineStr">
        <is>
          <t>2026-08-31</t>
        </is>
      </c>
      <c r="J256" s="5" t="n">
        <v>652024120</v>
      </c>
      <c r="K256" s="2" t="inlineStr">
        <is>
          <t>-</t>
        </is>
      </c>
      <c r="L256" s="13" t="n">
        <v>10.74</v>
      </c>
      <c r="M256" s="7" t="inlineStr">
        <is>
          <t>BHflex vina CO.,LTD</t>
        </is>
      </c>
      <c r="N256" s="2" t="inlineStr">
        <is>
          <t>20260529901193</t>
        </is>
      </c>
      <c r="O256" s="8">
        <f>HYPERLINK("https://dart.fss.or.kr/dsaf001/main.do?rcpNo=20260529901193", "공시열람")</f>
        <v/>
      </c>
    </row>
    <row r="257" ht="36" customHeight="1">
      <c r="A257" s="2" t="inlineStr">
        <is>
          <t>2023-12-21 (정정: 2026-05-29)</t>
        </is>
      </c>
      <c r="B257" s="3" t="inlineStr">
        <is>
          <t>특수건설</t>
        </is>
      </c>
      <c r="C257" s="2" t="inlineStr">
        <is>
          <t>코스닥</t>
        </is>
      </c>
      <c r="D257" s="2" t="inlineStr">
        <is>
          <t>026150</t>
        </is>
      </c>
      <c r="E257" s="2" t="inlineStr">
        <is>
          <t>단일판매공급계약체결</t>
        </is>
      </c>
      <c r="F257" s="3" t="inlineStr">
        <is>
          <t xml:space="preserve">[기재정정]단일판매ㆍ공급계약체결              </t>
        </is>
      </c>
      <c r="G257" s="7" t="inlineStr">
        <is>
          <t>삼성전자 평택캠퍼스 반도체 제4~5공장(P4~P5) 설비 라인 가스 공급 터널공사</t>
        </is>
      </c>
      <c r="H257" s="2" t="inlineStr">
        <is>
          <t>2022-10-31</t>
        </is>
      </c>
      <c r="I257" s="2" t="inlineStr">
        <is>
          <t>2029-10-31</t>
        </is>
      </c>
      <c r="J257" s="5" t="n">
        <v>193467000000</v>
      </c>
      <c r="K257" s="2" t="inlineStr">
        <is>
          <t>-</t>
        </is>
      </c>
      <c r="L257" s="13" t="n">
        <v>83.39</v>
      </c>
      <c r="M257" s="7" t="inlineStr">
        <is>
          <t>주식회사 에어퍼스트</t>
        </is>
      </c>
      <c r="N257" s="2" t="inlineStr">
        <is>
          <t>20260529900953</t>
        </is>
      </c>
      <c r="O257" s="8">
        <f>HYPERLINK("https://dart.fss.or.kr/dsaf001/main.do?rcpNo=20260529900953", "공시열람")</f>
        <v/>
      </c>
    </row>
    <row r="258" ht="36" customHeight="1">
      <c r="A258" s="2" t="inlineStr">
        <is>
          <t>2026-05-29 (정정: 2026-06-30)</t>
        </is>
      </c>
      <c r="B258" s="3" t="inlineStr">
        <is>
          <t>도화엔지니어링</t>
        </is>
      </c>
      <c r="C258" s="2" t="inlineStr">
        <is>
          <t>코스피</t>
        </is>
      </c>
      <c r="D258" s="2" t="inlineStr">
        <is>
          <t>002150</t>
        </is>
      </c>
      <c r="E258" s="2" t="inlineStr">
        <is>
          <t>단일판매공급계약체결</t>
        </is>
      </c>
      <c r="F258" s="3" t="inlineStr">
        <is>
          <t>[기재정정]단일판매ㆍ공급계약체결               (정정: 20260630)</t>
        </is>
      </c>
      <c r="G258" s="7" t="inlineStr">
        <is>
          <t>카사마 태양광발전사업 건설공사</t>
        </is>
      </c>
      <c r="H258" s="2" t="inlineStr">
        <is>
          <t>2017-09-29</t>
        </is>
      </c>
      <c r="I258" s="2" t="inlineStr">
        <is>
          <t>2026-06-30</t>
        </is>
      </c>
      <c r="J258" s="5" t="n">
        <v>29618891738</v>
      </c>
      <c r="K258" s="2" t="inlineStr">
        <is>
          <t>-</t>
        </is>
      </c>
      <c r="L258" s="13" t="n">
        <v>9.119999999999999</v>
      </c>
      <c r="M258" s="7" t="inlineStr">
        <is>
          <t>합동회사 아스트로너지 카사마 (GODO KAISHA ASTRONERGY KASAMA)</t>
        </is>
      </c>
      <c r="N258" s="2" t="inlineStr">
        <is>
          <t>20260630800345</t>
        </is>
      </c>
      <c r="O258" s="8">
        <f>HYPERLINK("https://dart.fss.or.kr/dsaf001/main.do?rcpNo=20260630800345", "공시열람")</f>
        <v/>
      </c>
    </row>
    <row r="259" ht="36" customHeight="1">
      <c r="A259" s="2" t="inlineStr">
        <is>
          <t>2025-11-25 (정정: 2026-05-29)</t>
        </is>
      </c>
      <c r="B259" s="3" t="inlineStr">
        <is>
          <t>다원시스</t>
        </is>
      </c>
      <c r="C259" s="2" t="inlineStr">
        <is>
          <t>코스닥</t>
        </is>
      </c>
      <c r="D259" s="2" t="inlineStr">
        <is>
          <t>068240</t>
        </is>
      </c>
      <c r="E259" s="2" t="inlineStr">
        <is>
          <t>단일판매공급계약체결</t>
        </is>
      </c>
      <c r="F259" s="3" t="inlineStr">
        <is>
          <t xml:space="preserve">[기재정정]단일판매ㆍ공급계약체결              </t>
        </is>
      </c>
      <c r="G259" s="7" t="inlineStr">
        <is>
          <t>4호선 신조전동차(210칸) 구매</t>
        </is>
      </c>
      <c r="H259" s="2" t="inlineStr">
        <is>
          <t>2020-06-15</t>
        </is>
      </c>
      <c r="I259" s="2" t="inlineStr">
        <is>
          <t>2026-05-29</t>
        </is>
      </c>
      <c r="J259" s="5" t="n">
        <v>215134264946</v>
      </c>
      <c r="K259" s="2" t="inlineStr">
        <is>
          <t>-</t>
        </is>
      </c>
      <c r="L259" s="13" t="n">
        <v>122.88</v>
      </c>
      <c r="M259" s="7" t="inlineStr">
        <is>
          <t>서울교통공사</t>
        </is>
      </c>
      <c r="N259" s="2" t="inlineStr">
        <is>
          <t>20260529900895</t>
        </is>
      </c>
      <c r="O259" s="8">
        <f>HYPERLINK("https://dart.fss.or.kr/dsaf001/main.do?rcpNo=20260529900895", "공시열람")</f>
        <v/>
      </c>
    </row>
    <row r="260" ht="36" customHeight="1">
      <c r="A260" s="2" t="inlineStr">
        <is>
          <t>2026-05-29</t>
        </is>
      </c>
      <c r="B260" s="3" t="inlineStr">
        <is>
          <t>삼화네트웍스</t>
        </is>
      </c>
      <c r="C260" s="2" t="inlineStr">
        <is>
          <t>코스닥</t>
        </is>
      </c>
      <c r="D260" s="2" t="inlineStr">
        <is>
          <t>046390</t>
        </is>
      </c>
      <c r="E260" s="2" t="inlineStr">
        <is>
          <t>단일판매공급계약체결</t>
        </is>
      </c>
      <c r="F260" s="3" t="inlineStr">
        <is>
          <t xml:space="preserve">[기재정정]단일판매ㆍ공급계약체결              </t>
        </is>
      </c>
      <c r="G260" s="7" t="inlineStr">
        <is>
          <t>드라마 '지금, 헤어지는 중입니다.' 해외(일본) 방영권 라이센스</t>
        </is>
      </c>
      <c r="H260" s="2" t="inlineStr">
        <is>
          <t>2021-06-01</t>
        </is>
      </c>
      <c r="I260" s="2" t="inlineStr">
        <is>
          <t>2031-05-31</t>
        </is>
      </c>
      <c r="J260" s="5" t="n">
        <v>4752000000</v>
      </c>
      <c r="K260" s="2" t="inlineStr">
        <is>
          <t>-</t>
        </is>
      </c>
      <c r="L260" s="13" t="n">
        <v>16.2</v>
      </c>
      <c r="M260" s="7" t="inlineStr">
        <is>
          <t>(주)코퍼스 코리아</t>
        </is>
      </c>
      <c r="N260" s="2" t="inlineStr">
        <is>
          <t>20260529900867</t>
        </is>
      </c>
      <c r="O260" s="8">
        <f>HYPERLINK("https://dart.fss.or.kr/dsaf001/main.do?rcpNo=20260529900867", "공시열람")</f>
        <v/>
      </c>
    </row>
    <row r="261" ht="36" customHeight="1">
      <c r="A261" s="2" t="inlineStr">
        <is>
          <t>2025-04-14 (정정: 2026-05-29)</t>
        </is>
      </c>
      <c r="B261" s="3" t="inlineStr">
        <is>
          <t>DS단석</t>
        </is>
      </c>
      <c r="C261" s="2" t="inlineStr">
        <is>
          <t>코스피</t>
        </is>
      </c>
      <c r="D261" s="2" t="inlineStr">
        <is>
          <t>017860</t>
        </is>
      </c>
      <c r="E261" s="2" t="inlineStr">
        <is>
          <t>단일판매공급계약체결</t>
        </is>
      </c>
      <c r="F261" s="3" t="inlineStr">
        <is>
          <t xml:space="preserve">[기재정정]단일판매ㆍ공급계약체결              </t>
        </is>
      </c>
      <c r="G261" s="7" t="inlineStr">
        <is>
          <t>바이오디젤(FAME) 제품 공급</t>
        </is>
      </c>
      <c r="H261" s="2" t="inlineStr">
        <is>
          <t>2025-06-01</t>
        </is>
      </c>
      <c r="I261" s="2" t="inlineStr">
        <is>
          <t>2026-05-31</t>
        </is>
      </c>
      <c r="J261" s="5" t="n">
        <v>73963273667</v>
      </c>
      <c r="K261" s="2" t="inlineStr">
        <is>
          <t>-</t>
        </is>
      </c>
      <c r="L261" s="13" t="n">
        <v>7.7</v>
      </c>
      <c r="M261" s="7" t="inlineStr">
        <is>
          <t>KOLMAR GROUP AG</t>
        </is>
      </c>
      <c r="N261" s="2" t="inlineStr">
        <is>
          <t>20260529800841</t>
        </is>
      </c>
      <c r="O261" s="8">
        <f>HYPERLINK("https://dart.fss.or.kr/dsaf001/main.do?rcpNo=20260529800841", "공시열람")</f>
        <v/>
      </c>
    </row>
    <row r="262" ht="36" customHeight="1">
      <c r="A262" s="2" t="inlineStr">
        <is>
          <t>2026-05-29 (정정: 2026-06-04)</t>
        </is>
      </c>
      <c r="B262" s="3" t="inlineStr">
        <is>
          <t>휴니드테크놀러지스</t>
        </is>
      </c>
      <c r="C262" s="2" t="inlineStr">
        <is>
          <t>코스피</t>
        </is>
      </c>
      <c r="D262" s="2" t="inlineStr">
        <is>
          <t>005870</t>
        </is>
      </c>
      <c r="E262" s="2" t="inlineStr">
        <is>
          <t>단일판매공급계약체결</t>
        </is>
      </c>
      <c r="F262" s="3" t="inlineStr">
        <is>
          <t>단일판매ㆍ공급계약체결               (정정: 20260604)</t>
        </is>
      </c>
      <c r="G262" s="7" t="inlineStr">
        <is>
          <t>F-15EX 항공전자장비 공급</t>
        </is>
      </c>
      <c r="H262" s="2" t="inlineStr">
        <is>
          <t>2024-08-21</t>
        </is>
      </c>
      <c r="I262" s="2" t="inlineStr">
        <is>
          <t>2026-08-11</t>
        </is>
      </c>
      <c r="J262" s="5" t="n">
        <v>20944012622</v>
      </c>
      <c r="K262" s="2" t="inlineStr">
        <is>
          <t>-</t>
        </is>
      </c>
      <c r="L262" s="13" t="n">
        <v>9.15</v>
      </c>
      <c r="M262" s="7" t="inlineStr">
        <is>
          <t>The Boeing Company</t>
        </is>
      </c>
      <c r="N262" s="2" t="inlineStr">
        <is>
          <t>20260604800458</t>
        </is>
      </c>
      <c r="O262" s="8">
        <f>HYPERLINK("https://dart.fss.or.kr/dsaf001/main.do?rcpNo=20260604800458", "공시열람")</f>
        <v/>
      </c>
    </row>
    <row r="263" ht="36" customHeight="1">
      <c r="A263" s="2" t="inlineStr">
        <is>
          <t>2025-12-03 (정정: 2026-05-29)</t>
        </is>
      </c>
      <c r="B263" s="3" t="inlineStr">
        <is>
          <t>에스비비테크</t>
        </is>
      </c>
      <c r="C263" s="2" t="inlineStr">
        <is>
          <t>코스닥</t>
        </is>
      </c>
      <c r="D263" s="2" t="inlineStr">
        <is>
          <t>389500</t>
        </is>
      </c>
      <c r="E263" s="2" t="inlineStr">
        <is>
          <t>단일판매공급계약체결</t>
        </is>
      </c>
      <c r="F263" s="3" t="inlineStr">
        <is>
          <t xml:space="preserve">[기재정정]단일판매ㆍ공급계약체결              </t>
        </is>
      </c>
      <c r="G263" s="7" t="inlineStr">
        <is>
          <t>모베드 DnL 모듈 조향편심기</t>
        </is>
      </c>
      <c r="H263" s="2" t="inlineStr">
        <is>
          <t>2025-10-16</t>
        </is>
      </c>
      <c r="I263" s="2" t="inlineStr">
        <is>
          <t>2026-06-30</t>
        </is>
      </c>
      <c r="J263" s="5" t="n">
        <v>665444700</v>
      </c>
      <c r="K263" s="2" t="inlineStr">
        <is>
          <t>-</t>
        </is>
      </c>
      <c r="L263" s="13" t="n">
        <v>12.1</v>
      </c>
      <c r="M263" s="7" t="inlineStr">
        <is>
          <t>계양전기 주식회사</t>
        </is>
      </c>
      <c r="N263" s="2" t="inlineStr">
        <is>
          <t>20260529900707</t>
        </is>
      </c>
      <c r="O263" s="8">
        <f>HYPERLINK("https://dart.fss.or.kr/dsaf001/main.do?rcpNo=20260529900707", "공시열람")</f>
        <v/>
      </c>
    </row>
    <row r="264" ht="36" customHeight="1">
      <c r="A264" s="2" t="inlineStr">
        <is>
          <t>2026-05-29 (정정: 2026-06-26)</t>
        </is>
      </c>
      <c r="B264" s="3" t="inlineStr">
        <is>
          <t>동부건설</t>
        </is>
      </c>
      <c r="C264" s="2" t="inlineStr">
        <is>
          <t>코스피</t>
        </is>
      </c>
      <c r="D264" s="2" t="inlineStr">
        <is>
          <t>005960</t>
        </is>
      </c>
      <c r="E264" s="2" t="inlineStr">
        <is>
          <t>단일판매공급계약체결</t>
        </is>
      </c>
      <c r="F264" s="3" t="inlineStr">
        <is>
          <t>단일판매ㆍ공급계약체결               (정정: 20260602) (정정: 20260609) (정정: 20260617) (정정: 20260625) (정정: 20260626) (정정: 20260626)</t>
        </is>
      </c>
      <c r="G264" s="7" t="inlineStr">
        <is>
          <t>로얄캐닌 김제 3,4라인 반려동물 사료 제조시설 건설공사</t>
        </is>
      </c>
      <c r="H264" s="2" t="inlineStr">
        <is>
          <t>2024-01-23</t>
        </is>
      </c>
      <c r="I264" s="2" t="inlineStr">
        <is>
          <t>2026-08-31</t>
        </is>
      </c>
      <c r="J264" s="5" t="n">
        <v>98941700000</v>
      </c>
      <c r="K264" s="2" t="inlineStr">
        <is>
          <t>-</t>
        </is>
      </c>
      <c r="L264" s="13" t="n">
        <v>5.86</v>
      </c>
      <c r="M264" s="7" t="inlineStr">
        <is>
          <t>로얄캐닌코리아 유한회사</t>
        </is>
      </c>
      <c r="N264" s="2" t="inlineStr">
        <is>
          <t>20260626800902</t>
        </is>
      </c>
      <c r="O264" s="8">
        <f>HYPERLINK("https://dart.fss.or.kr/dsaf001/main.do?rcpNo=20260626800902", "공시열람")</f>
        <v/>
      </c>
    </row>
    <row r="265" ht="36" customHeight="1">
      <c r="A265" s="2" t="inlineStr">
        <is>
          <t>2026-05-29 (정정: 2026-06-09)</t>
        </is>
      </c>
      <c r="B265" s="3" t="inlineStr">
        <is>
          <t>금호건설</t>
        </is>
      </c>
      <c r="C265" s="2" t="inlineStr">
        <is>
          <t>코스피</t>
        </is>
      </c>
      <c r="D265" s="2" t="inlineStr">
        <is>
          <t>002990</t>
        </is>
      </c>
      <c r="E265" s="2" t="inlineStr">
        <is>
          <t>단일판매공급계약체결</t>
        </is>
      </c>
      <c r="F265" s="3" t="inlineStr">
        <is>
          <t>단일판매ㆍ공급계약체결               (정정: 20260609)</t>
        </is>
      </c>
      <c r="G265" s="7" t="inlineStr">
        <is>
          <t>공주 천연가스발전소 건설공사</t>
        </is>
      </c>
      <c r="H265" s="2" t="inlineStr">
        <is>
          <t>2024-05-01</t>
        </is>
      </c>
      <c r="I265" s="2" t="inlineStr">
        <is>
          <t>2027-04-30</t>
        </is>
      </c>
      <c r="J265" s="5" t="n">
        <v>181731314534</v>
      </c>
      <c r="K265" s="2" t="inlineStr">
        <is>
          <t>-</t>
        </is>
      </c>
      <c r="L265" s="13" t="n">
        <v>8.869999999999999</v>
      </c>
      <c r="M265" s="7" t="inlineStr">
        <is>
          <t>한국서부발전(주)</t>
        </is>
      </c>
      <c r="N265" s="2" t="inlineStr">
        <is>
          <t>20260609800407</t>
        </is>
      </c>
      <c r="O265" s="8">
        <f>HYPERLINK("https://dart.fss.or.kr/dsaf001/main.do?rcpNo=20260609800407", "공시열람")</f>
        <v/>
      </c>
    </row>
    <row r="266" ht="36" customHeight="1">
      <c r="A266" s="2" t="inlineStr">
        <is>
          <t>2026-05-29</t>
        </is>
      </c>
      <c r="B266" s="3" t="inlineStr">
        <is>
          <t>HD현대마린엔진</t>
        </is>
      </c>
      <c r="C266" s="2" t="inlineStr">
        <is>
          <t>코스피</t>
        </is>
      </c>
      <c r="D266" s="2" t="inlineStr">
        <is>
          <t>071970</t>
        </is>
      </c>
      <c r="E266" s="2" t="inlineStr">
        <is>
          <t>단일판매공급계약체결</t>
        </is>
      </c>
      <c r="F266" s="3" t="inlineStr">
        <is>
          <t xml:space="preserve">단일판매ㆍ공급계약체결              </t>
        </is>
      </c>
      <c r="G266" s="7" t="inlineStr">
        <is>
          <t>선박엔진 공급계약</t>
        </is>
      </c>
      <c r="H266" s="2" t="inlineStr">
        <is>
          <t>2026-05-29</t>
        </is>
      </c>
      <c r="I266" s="2" t="inlineStr">
        <is>
          <t>2029-04-12</t>
        </is>
      </c>
      <c r="J266" s="5" t="n">
        <v>24816788640</v>
      </c>
      <c r="K266" s="2" t="inlineStr">
        <is>
          <t>-</t>
        </is>
      </c>
      <c r="L266" s="13" t="n">
        <v>6.2</v>
      </c>
      <c r="M266" s="7" t="inlineStr">
        <is>
          <t>XIAMEN XMXYG SHIPBUILDING TRADING CO.,LTD.</t>
        </is>
      </c>
      <c r="N266" s="2" t="inlineStr">
        <is>
          <t>20260529800510</t>
        </is>
      </c>
      <c r="O266" s="8">
        <f>HYPERLINK("https://dart.fss.or.kr/dsaf001/main.do?rcpNo=20260529800510", "공시열람")</f>
        <v/>
      </c>
    </row>
    <row r="267" ht="36" customHeight="1">
      <c r="A267" s="2" t="inlineStr">
        <is>
          <t>2026-05-29 (정정: 2026-06-26)</t>
        </is>
      </c>
      <c r="B267" s="3" t="inlineStr">
        <is>
          <t>파두</t>
        </is>
      </c>
      <c r="C267" s="2" t="inlineStr">
        <is>
          <t>코스닥</t>
        </is>
      </c>
      <c r="D267" s="2" t="inlineStr">
        <is>
          <t>440110</t>
        </is>
      </c>
      <c r="E267" s="2" t="inlineStr">
        <is>
          <t>단일판매공급계약체결</t>
        </is>
      </c>
      <c r="F267" s="3" t="inlineStr">
        <is>
          <t>단일판매ㆍ공급계약체결               (정정: 20260612) (정정: 20260615) (정정: 20260618) (정정: 20260626) (정정: 20260626)</t>
        </is>
      </c>
      <c r="G267" s="7" t="inlineStr">
        <is>
          <t>기업용 SSD 컨트롤러 공급</t>
        </is>
      </c>
      <c r="H267" s="2" t="inlineStr">
        <is>
          <t>2026-02-12</t>
        </is>
      </c>
      <c r="I267" s="2" t="inlineStr">
        <is>
          <t>2026-08-07</t>
        </is>
      </c>
      <c r="J267" s="5" t="n">
        <v>20448864000</v>
      </c>
      <c r="K267" s="2" t="inlineStr">
        <is>
          <t>-</t>
        </is>
      </c>
      <c r="L267" s="13" t="n">
        <v>47.01</v>
      </c>
      <c r="M267" s="7" t="inlineStr">
        <is>
          <t>해외 Nand Flash Memory 제조사</t>
        </is>
      </c>
      <c r="N267" s="2" t="inlineStr">
        <is>
          <t>20260626901308</t>
        </is>
      </c>
      <c r="O267" s="8">
        <f>HYPERLINK("https://dart.fss.or.kr/dsaf001/main.do?rcpNo=20260626901308", "공시열람")</f>
        <v/>
      </c>
    </row>
    <row r="268" ht="36" customHeight="1">
      <c r="A268" s="2" t="inlineStr">
        <is>
          <t>2026-05-29 (정정: 2026-06-25)</t>
        </is>
      </c>
      <c r="B268" s="3" t="inlineStr">
        <is>
          <t>대우건설</t>
        </is>
      </c>
      <c r="C268" s="2" t="inlineStr">
        <is>
          <t>코스피</t>
        </is>
      </c>
      <c r="D268" s="2" t="inlineStr">
        <is>
          <t>047040</t>
        </is>
      </c>
      <c r="E268" s="2" t="inlineStr">
        <is>
          <t>단일판매공급계약체결</t>
        </is>
      </c>
      <c r="F268" s="3" t="inlineStr">
        <is>
          <t>단일판매ㆍ공급계약체결               (정정: 20260612) (정정: 20260625)</t>
        </is>
      </c>
      <c r="G268" s="7" t="inlineStr">
        <is>
          <t>수표구역 도시정비형 재개발사업</t>
        </is>
      </c>
      <c r="H268" s="2" t="inlineStr">
        <is>
          <t>2025-04-15</t>
        </is>
      </c>
      <c r="I268" s="2" t="inlineStr">
        <is>
          <t>2029-04-30</t>
        </is>
      </c>
      <c r="J268" s="5" t="n">
        <v>523270000000</v>
      </c>
      <c r="K268" s="2" t="inlineStr">
        <is>
          <t>-</t>
        </is>
      </c>
      <c r="L268" s="13" t="n">
        <v>6.02</v>
      </c>
      <c r="M268" s="7" t="inlineStr">
        <is>
          <t>(주)트윈웍스피에프브이</t>
        </is>
      </c>
      <c r="N268" s="2" t="inlineStr">
        <is>
          <t>20260625800795</t>
        </is>
      </c>
      <c r="O268" s="8">
        <f>HYPERLINK("https://dart.fss.or.kr/dsaf001/main.do?rcpNo=20260625800795", "공시열람")</f>
        <v/>
      </c>
    </row>
    <row r="269" ht="36" customHeight="1">
      <c r="A269" s="2" t="inlineStr">
        <is>
          <t>2026-05-29</t>
        </is>
      </c>
      <c r="B269" s="3" t="inlineStr">
        <is>
          <t>한화오션</t>
        </is>
      </c>
      <c r="C269" s="2" t="inlineStr">
        <is>
          <t>코스피</t>
        </is>
      </c>
      <c r="D269" s="2" t="inlineStr">
        <is>
          <t>042660</t>
        </is>
      </c>
      <c r="E269" s="2" t="inlineStr">
        <is>
          <t>단일판매공급계약체결</t>
        </is>
      </c>
      <c r="F269" s="3" t="inlineStr">
        <is>
          <t xml:space="preserve">단일판매ㆍ공급계약체결              </t>
        </is>
      </c>
      <c r="G269" s="7" t="inlineStr">
        <is>
          <t>LNGC 1척</t>
        </is>
      </c>
      <c r="H269" s="2" t="inlineStr">
        <is>
          <t>2026-05-28</t>
        </is>
      </c>
      <c r="I269" s="2" t="inlineStr">
        <is>
          <t>2029-09-28</t>
        </is>
      </c>
      <c r="J269" s="5" t="n">
        <v>375900000000</v>
      </c>
      <c r="K269" s="2" t="inlineStr">
        <is>
          <t>-</t>
        </is>
      </c>
      <c r="L269" s="13" t="n">
        <v>2.9</v>
      </c>
      <c r="M269" s="7" t="inlineStr">
        <is>
          <t>유럽 지역 선주</t>
        </is>
      </c>
      <c r="N269" s="2" t="inlineStr">
        <is>
          <t>20260529800152</t>
        </is>
      </c>
      <c r="O269" s="8">
        <f>HYPERLINK("https://dart.fss.or.kr/dsaf001/main.do?rcpNo=20260529800152", "공시열람")</f>
        <v/>
      </c>
    </row>
    <row r="270" ht="36" customHeight="1">
      <c r="A270" s="2" t="inlineStr">
        <is>
          <t>2026-06-01 (정정: 2026-06-04)</t>
        </is>
      </c>
      <c r="B270" s="3" t="inlineStr">
        <is>
          <t>지엔씨에너지</t>
        </is>
      </c>
      <c r="C270" s="2" t="inlineStr">
        <is>
          <t>코스닥</t>
        </is>
      </c>
      <c r="D270" s="2" t="inlineStr">
        <is>
          <t>119850</t>
        </is>
      </c>
      <c r="E270" s="2" t="inlineStr">
        <is>
          <t>단일판매공급계약체결</t>
        </is>
      </c>
      <c r="F270" s="3" t="inlineStr">
        <is>
          <t>[기재정정]단일판매ㆍ공급계약체결               (정정: 20260604)</t>
        </is>
      </c>
      <c r="G270" s="7" t="inlineStr">
        <is>
          <t>고양삼송 IT플랫폼센터 발전기</t>
        </is>
      </c>
      <c r="H270" s="2" t="inlineStr">
        <is>
          <t>2023-10-27</t>
        </is>
      </c>
      <c r="I270" s="2" t="inlineStr">
        <is>
          <t>2026-06-30</t>
        </is>
      </c>
      <c r="J270" s="5" t="n">
        <v>25215000000</v>
      </c>
      <c r="K270" s="2" t="inlineStr">
        <is>
          <t>-</t>
        </is>
      </c>
      <c r="L270" s="13" t="n">
        <v>17</v>
      </c>
      <c r="M270" s="7" t="inlineStr">
        <is>
          <t>주식회사 엘지씨엔에스</t>
        </is>
      </c>
      <c r="N270" s="2" t="inlineStr">
        <is>
          <t>20260604900775</t>
        </is>
      </c>
      <c r="O270" s="8">
        <f>HYPERLINK("https://dart.fss.or.kr/dsaf001/main.do?rcpNo=20260604900775", "공시열람")</f>
        <v/>
      </c>
    </row>
    <row r="271" ht="36" customHeight="1">
      <c r="A271" s="2" t="inlineStr">
        <is>
          <t>2025-05-28 (정정: 2026-06-01)</t>
        </is>
      </c>
      <c r="B271" s="3" t="inlineStr">
        <is>
          <t>이엔셀</t>
        </is>
      </c>
      <c r="C271" s="2" t="inlineStr">
        <is>
          <t>코스닥</t>
        </is>
      </c>
      <c r="D271" s="2" t="inlineStr">
        <is>
          <t>456070</t>
        </is>
      </c>
      <c r="E271" s="2" t="inlineStr">
        <is>
          <t>단일판매공급계약체결</t>
        </is>
      </c>
      <c r="F271" s="3" t="inlineStr">
        <is>
          <t xml:space="preserve">[기재정정]단일판매ㆍ공급계약체결              </t>
        </is>
      </c>
      <c r="G271" s="7" t="inlineStr">
        <is>
          <t>첨단바이오의약품 제조 공급 계약 체결</t>
        </is>
      </c>
      <c r="H271" s="2" t="inlineStr">
        <is>
          <t>2025-07-01</t>
        </is>
      </c>
      <c r="I271" s="2" t="inlineStr">
        <is>
          <t>2027-08-31</t>
        </is>
      </c>
      <c r="J271" s="5" t="n">
        <v>1917493000</v>
      </c>
      <c r="K271" s="2" t="inlineStr">
        <is>
          <t>-</t>
        </is>
      </c>
      <c r="L271" s="13" t="n">
        <v>26.6</v>
      </c>
      <c r="M271" s="7" t="inlineStr">
        <is>
          <t>첨단바이오의약품 개발 기업</t>
        </is>
      </c>
      <c r="N271" s="2" t="inlineStr">
        <is>
          <t>20260601901426</t>
        </is>
      </c>
      <c r="O271" s="8">
        <f>HYPERLINK("https://dart.fss.or.kr/dsaf001/main.do?rcpNo=20260601901426", "공시열람")</f>
        <v/>
      </c>
    </row>
    <row r="272" ht="36" customHeight="1">
      <c r="A272" s="2" t="inlineStr">
        <is>
          <t>2026-06-01 (정정: 2026-06-04)</t>
        </is>
      </c>
      <c r="B272" s="3" t="inlineStr">
        <is>
          <t>HS화성</t>
        </is>
      </c>
      <c r="C272" s="2" t="inlineStr">
        <is>
          <t>코스피</t>
        </is>
      </c>
      <c r="D272" s="2" t="inlineStr">
        <is>
          <t>002460</t>
        </is>
      </c>
      <c r="E272" s="2" t="inlineStr">
        <is>
          <t>단일판매공급계약체결</t>
        </is>
      </c>
      <c r="F272" s="3" t="inlineStr">
        <is>
          <t>[기재정정]단일판매ㆍ공급계약체결               (정정: 20260604)</t>
        </is>
      </c>
      <c r="G272" s="7" t="inlineStr">
        <is>
          <t>중앙선 영천~신경주 복선전철 제1공구 노반신설 기타공사</t>
        </is>
      </c>
      <c r="H272" s="2" t="inlineStr">
        <is>
          <t>2015-06-01</t>
        </is>
      </c>
      <c r="I272" s="2" t="inlineStr">
        <is>
          <t>2026-06-30</t>
        </is>
      </c>
      <c r="J272" s="5" t="n">
        <v>46079913400</v>
      </c>
      <c r="K272" s="2" t="inlineStr">
        <is>
          <t>-</t>
        </is>
      </c>
      <c r="L272" s="13" t="n">
        <v>11</v>
      </c>
      <c r="M272" s="7" t="inlineStr">
        <is>
          <t>국가철도공단</t>
        </is>
      </c>
      <c r="N272" s="2" t="inlineStr">
        <is>
          <t>20260604800635</t>
        </is>
      </c>
      <c r="O272" s="8">
        <f>HYPERLINK("https://dart.fss.or.kr/dsaf001/main.do?rcpNo=20260604800635", "공시열람")</f>
        <v/>
      </c>
    </row>
    <row r="273" ht="36" customHeight="1">
      <c r="A273" s="2" t="inlineStr">
        <is>
          <t>2026-06-01</t>
        </is>
      </c>
      <c r="B273" s="3" t="inlineStr">
        <is>
          <t>두산에너빌리티</t>
        </is>
      </c>
      <c r="C273" s="2" t="inlineStr">
        <is>
          <t>코스피</t>
        </is>
      </c>
      <c r="D273" s="2" t="inlineStr">
        <is>
          <t>034020</t>
        </is>
      </c>
      <c r="E273" s="2" t="inlineStr">
        <is>
          <t>단일판매공급계약체결</t>
        </is>
      </c>
      <c r="F273" s="3" t="inlineStr">
        <is>
          <t xml:space="preserve">단일판매ㆍ공급계약체결              </t>
        </is>
      </c>
      <c r="G273" s="7" t="inlineStr">
        <is>
          <t>Jafurah Phase II Cogeneration Plant</t>
        </is>
      </c>
      <c r="H273" s="2" t="inlineStr">
        <is>
          <t>2026-06-01</t>
        </is>
      </c>
      <c r="I273" s="2" t="inlineStr">
        <is>
          <t>2029-06-30</t>
        </is>
      </c>
      <c r="J273" s="5" t="n">
        <v>837040384800</v>
      </c>
      <c r="K273" s="2" t="inlineStr">
        <is>
          <t>-</t>
        </is>
      </c>
      <c r="L273" s="13" t="n">
        <v>4.9</v>
      </c>
      <c r="M273" s="7" t="inlineStr">
        <is>
          <t>Korea Electric Power Corporation For Power Company</t>
        </is>
      </c>
      <c r="N273" s="2" t="inlineStr">
        <is>
          <t>20260601801277</t>
        </is>
      </c>
      <c r="O273" s="8">
        <f>HYPERLINK("https://dart.fss.or.kr/dsaf001/main.do?rcpNo=20260601801277", "공시열람")</f>
        <v/>
      </c>
    </row>
    <row r="274" ht="36" customHeight="1">
      <c r="A274" s="2" t="inlineStr">
        <is>
          <t>2026-06-01 (정정: 2026-06-04)</t>
        </is>
      </c>
      <c r="B274" s="3" t="inlineStr">
        <is>
          <t>삼성E&amp;A</t>
        </is>
      </c>
      <c r="C274" s="2" t="inlineStr">
        <is>
          <t>코스피</t>
        </is>
      </c>
      <c r="D274" s="2" t="inlineStr">
        <is>
          <t>028050</t>
        </is>
      </c>
      <c r="E274" s="2" t="inlineStr">
        <is>
          <t>단일판매공급계약체결</t>
        </is>
      </c>
      <c r="F274" s="3" t="inlineStr">
        <is>
          <t>단일판매ㆍ공급계약체결(자율공시)               (정정: 20260604)</t>
        </is>
      </c>
      <c r="G274" s="7" t="inlineStr">
        <is>
          <t>UAE Methanol Project</t>
        </is>
      </c>
      <c r="H274" s="2" t="inlineStr">
        <is>
          <t>2025-02-07</t>
        </is>
      </c>
      <c r="I274" s="2" t="inlineStr">
        <is>
          <t>2028-09-18</t>
        </is>
      </c>
      <c r="J274" s="5" t="n">
        <v>2478818000000</v>
      </c>
      <c r="K274" s="2" t="inlineStr">
        <is>
          <t>-</t>
        </is>
      </c>
      <c r="L274" s="13" t="n">
        <v>23.33</v>
      </c>
      <c r="M274" s="7" t="inlineStr">
        <is>
          <t>TA'ZIZ METHANOL INDUSTRIAL LLC SPC</t>
        </is>
      </c>
      <c r="N274" s="2" t="inlineStr">
        <is>
          <t>20260604800515</t>
        </is>
      </c>
      <c r="O274" s="8">
        <f>HYPERLINK("https://dart.fss.or.kr/dsaf001/main.do?rcpNo=20260604800515", "공시열람")</f>
        <v/>
      </c>
    </row>
    <row r="275" ht="36" customHeight="1">
      <c r="A275" s="2" t="inlineStr">
        <is>
          <t>2025-11-05 (정정: 2026-06-01)</t>
        </is>
      </c>
      <c r="B275" s="3" t="inlineStr">
        <is>
          <t>DMS</t>
        </is>
      </c>
      <c r="C275" s="2" t="inlineStr">
        <is>
          <t>코스닥</t>
        </is>
      </c>
      <c r="D275" s="2" t="inlineStr">
        <is>
          <t>068790</t>
        </is>
      </c>
      <c r="E275" s="2" t="inlineStr">
        <is>
          <t>단일판매공급계약체결</t>
        </is>
      </c>
      <c r="F275" s="3" t="inlineStr">
        <is>
          <t xml:space="preserve">[기재정정]단일판매ㆍ공급계약체결(자율공시)              </t>
        </is>
      </c>
      <c r="G275" s="7" t="inlineStr">
        <is>
          <t>디스플레이패널 제조용 공정장비</t>
        </is>
      </c>
      <c r="H275" s="2" t="inlineStr">
        <is>
          <t>2025-11-05</t>
        </is>
      </c>
      <c r="I275" s="2" t="inlineStr">
        <is>
          <t>2026-06-18</t>
        </is>
      </c>
      <c r="J275" s="5" t="n">
        <v>14300000000</v>
      </c>
      <c r="K275" s="2" t="inlineStr">
        <is>
          <t>-</t>
        </is>
      </c>
      <c r="L275" s="13" t="n">
        <v>8.69</v>
      </c>
      <c r="M275" s="7" t="inlineStr">
        <is>
          <t>엘지디스플레이(주)</t>
        </is>
      </c>
      <c r="N275" s="2" t="inlineStr">
        <is>
          <t>20260601901099</t>
        </is>
      </c>
      <c r="O275" s="8">
        <f>HYPERLINK("https://dart.fss.or.kr/dsaf001/main.do?rcpNo=20260601901099", "공시열람")</f>
        <v/>
      </c>
    </row>
    <row r="276" ht="36" customHeight="1">
      <c r="A276" s="2" t="inlineStr">
        <is>
          <t>2026-06-01</t>
        </is>
      </c>
      <c r="B276" s="3" t="inlineStr">
        <is>
          <t>플래티어</t>
        </is>
      </c>
      <c r="C276" s="2" t="inlineStr">
        <is>
          <t>코스닥</t>
        </is>
      </c>
      <c r="D276" s="2" t="inlineStr">
        <is>
          <t>367000</t>
        </is>
      </c>
      <c r="E276" s="2" t="inlineStr">
        <is>
          <t>단일판매공급계약체결</t>
        </is>
      </c>
      <c r="F276" s="3" t="inlineStr">
        <is>
          <t xml:space="preserve">단일판매ㆍ공급계약체결(자율공시)              </t>
        </is>
      </c>
      <c r="G276" s="7" t="inlineStr">
        <is>
          <t>HMC(현대차) 26년 인증중고차(CPO) 운영(Devops)</t>
        </is>
      </c>
      <c r="H276" s="2" t="inlineStr">
        <is>
          <t>2026-01-01</t>
        </is>
      </c>
      <c r="I276" s="2" t="inlineStr">
        <is>
          <t>2026-12-31</t>
        </is>
      </c>
      <c r="J276" s="5" t="n">
        <v>2167110000</v>
      </c>
      <c r="K276" s="2" t="inlineStr">
        <is>
          <t>-</t>
        </is>
      </c>
      <c r="L276" s="13" t="n">
        <v>5.58</v>
      </c>
      <c r="M276" s="7" t="inlineStr">
        <is>
          <t>현대오토에버(주)</t>
        </is>
      </c>
      <c r="N276" s="2" t="inlineStr">
        <is>
          <t>20260601900738</t>
        </is>
      </c>
      <c r="O276" s="8">
        <f>HYPERLINK("https://dart.fss.or.kr/dsaf001/main.do?rcpNo=20260601900738", "공시열람")</f>
        <v/>
      </c>
    </row>
    <row r="277" ht="36" customHeight="1">
      <c r="A277" s="2" t="inlineStr">
        <is>
          <t>2026-06-01</t>
        </is>
      </c>
      <c r="B277" s="3" t="inlineStr">
        <is>
          <t>예스티</t>
        </is>
      </c>
      <c r="C277" s="2" t="inlineStr">
        <is>
          <t>코스닥</t>
        </is>
      </c>
      <c r="D277" s="2" t="inlineStr">
        <is>
          <t>122640</t>
        </is>
      </c>
      <c r="E277" s="2" t="inlineStr">
        <is>
          <t>단일판매공급계약체결</t>
        </is>
      </c>
      <c r="F277" s="3" t="inlineStr">
        <is>
          <t xml:space="preserve">단일판매ㆍ공급계약체결              </t>
        </is>
      </c>
      <c r="G277" s="7" t="inlineStr">
        <is>
          <t>반도체 제조 장비</t>
        </is>
      </c>
      <c r="H277" s="2" t="inlineStr">
        <is>
          <t>2026-06-01</t>
        </is>
      </c>
      <c r="I277" s="2" t="inlineStr">
        <is>
          <t>2026-11-30</t>
        </is>
      </c>
      <c r="J277" s="5" t="n">
        <v>12382000000</v>
      </c>
      <c r="K277" s="2" t="inlineStr">
        <is>
          <t>-</t>
        </is>
      </c>
      <c r="L277" s="13" t="n">
        <v>14.22</v>
      </c>
      <c r="M277" s="7" t="inlineStr">
        <is>
          <t>삼성전자 주식회사</t>
        </is>
      </c>
      <c r="N277" s="2" t="inlineStr">
        <is>
          <t>20260601900517</t>
        </is>
      </c>
      <c r="O277" s="8">
        <f>HYPERLINK("https://dart.fss.or.kr/dsaf001/main.do?rcpNo=20260601900517", "공시열람")</f>
        <v/>
      </c>
    </row>
    <row r="278" ht="36" customHeight="1">
      <c r="A278" s="2" t="inlineStr">
        <is>
          <t>2026-06-01</t>
        </is>
      </c>
      <c r="B278" s="3" t="inlineStr">
        <is>
          <t>미래산업</t>
        </is>
      </c>
      <c r="C278" s="2" t="inlineStr">
        <is>
          <t>코스피</t>
        </is>
      </c>
      <c r="D278" s="2" t="inlineStr">
        <is>
          <t>025560</t>
        </is>
      </c>
      <c r="E278" s="2" t="inlineStr">
        <is>
          <t>단일판매공급계약체결</t>
        </is>
      </c>
      <c r="F278" s="3" t="inlineStr">
        <is>
          <t xml:space="preserve">단일판매ㆍ공급계약체결              </t>
        </is>
      </c>
      <c r="G278" s="7" t="inlineStr">
        <is>
          <t>반도체 검사 장비 공급 계약</t>
        </is>
      </c>
      <c r="H278" s="2" t="inlineStr">
        <is>
          <t>2026-06-01</t>
        </is>
      </c>
      <c r="I278" s="2" t="inlineStr">
        <is>
          <t>2026-12-15</t>
        </is>
      </c>
      <c r="J278" s="5" t="n">
        <v>15422832000</v>
      </c>
      <c r="K278" s="2" t="inlineStr">
        <is>
          <t>-</t>
        </is>
      </c>
      <c r="L278" s="13" t="n">
        <v>30.37</v>
      </c>
      <c r="M278" s="7" t="inlineStr">
        <is>
          <t>YILING TRADING</t>
        </is>
      </c>
      <c r="N278" s="2" t="inlineStr">
        <is>
          <t>20260601800531</t>
        </is>
      </c>
      <c r="O278" s="8">
        <f>HYPERLINK("https://dart.fss.or.kr/dsaf001/main.do?rcpNo=20260601800531", "공시열람")</f>
        <v/>
      </c>
    </row>
    <row r="279" ht="36" customHeight="1">
      <c r="A279" s="2" t="inlineStr">
        <is>
          <t>2026-06-01</t>
        </is>
      </c>
      <c r="B279" s="3" t="inlineStr">
        <is>
          <t>이노뎁</t>
        </is>
      </c>
      <c r="C279" s="2" t="inlineStr">
        <is>
          <t>코스닥</t>
        </is>
      </c>
      <c r="D279" s="2" t="inlineStr">
        <is>
          <t>303530</t>
        </is>
      </c>
      <c r="E279" s="2" t="inlineStr">
        <is>
          <t>단일판매공급계약체결</t>
        </is>
      </c>
      <c r="F279" s="3" t="inlineStr">
        <is>
          <t xml:space="preserve">단일판매ㆍ공급계약체결              </t>
        </is>
      </c>
      <c r="G279" s="7" t="inlineStr">
        <is>
          <t>Camera Network and 911 Emergency Response System Expansion</t>
        </is>
      </c>
      <c r="H279" s="2" t="inlineStr">
        <is>
          <t>2026-05-30</t>
        </is>
      </c>
      <c r="I279" s="2" t="inlineStr">
        <is>
          <t>2027-03-01</t>
        </is>
      </c>
      <c r="J279" s="5" t="n">
        <v>7341151450</v>
      </c>
      <c r="K279" s="2" t="inlineStr">
        <is>
          <t>-</t>
        </is>
      </c>
      <c r="L279" s="13" t="n">
        <v>10.38</v>
      </c>
      <c r="M279" s="7" t="inlineStr">
        <is>
          <t>Ministry of Finance, Investment, Economic Transformation, Civil Aviation, and E-Governance of Belize</t>
        </is>
      </c>
      <c r="N279" s="2" t="inlineStr">
        <is>
          <t>20260601900448</t>
        </is>
      </c>
      <c r="O279" s="8">
        <f>HYPERLINK("https://dart.fss.or.kr/dsaf001/main.do?rcpNo=20260601900448", "공시열람")</f>
        <v/>
      </c>
    </row>
    <row r="280" ht="36" customHeight="1">
      <c r="A280" s="2" t="inlineStr">
        <is>
          <t>2026-06-01</t>
        </is>
      </c>
      <c r="B280" s="3" t="inlineStr">
        <is>
          <t>와이씨</t>
        </is>
      </c>
      <c r="C280" s="2" t="inlineStr">
        <is>
          <t>코스닥</t>
        </is>
      </c>
      <c r="D280" s="2" t="inlineStr">
        <is>
          <t>232140</t>
        </is>
      </c>
      <c r="E280" s="2" t="inlineStr">
        <is>
          <t>단일판매공급계약체결</t>
        </is>
      </c>
      <c r="F280" s="3" t="inlineStr">
        <is>
          <t xml:space="preserve">단일판매ㆍ공급계약체결              </t>
        </is>
      </c>
      <c r="G280" s="7" t="inlineStr">
        <is>
          <t>반도체 검사장비</t>
        </is>
      </c>
      <c r="H280" s="2" t="inlineStr">
        <is>
          <t>2026-05-29</t>
        </is>
      </c>
      <c r="I280" s="2" t="inlineStr">
        <is>
          <t>2026-11-30</t>
        </is>
      </c>
      <c r="J280" s="5" t="n">
        <v>93000000000</v>
      </c>
      <c r="K280" s="2" t="inlineStr">
        <is>
          <t>-</t>
        </is>
      </c>
      <c r="L280" s="13" t="n">
        <v>34.11</v>
      </c>
      <c r="M280" s="7" t="inlineStr">
        <is>
          <t>삼성전자(주)</t>
        </is>
      </c>
      <c r="N280" s="2" t="inlineStr">
        <is>
          <t>20260601900410</t>
        </is>
      </c>
      <c r="O280" s="8">
        <f>HYPERLINK("https://dart.fss.or.kr/dsaf001/main.do?rcpNo=20260601900410", "공시열람")</f>
        <v/>
      </c>
    </row>
    <row r="281" ht="36" customHeight="1">
      <c r="A281" s="2" t="inlineStr">
        <is>
          <t>2026-06-01 (정정: 2026-06-30)</t>
        </is>
      </c>
      <c r="B281" s="3" t="inlineStr">
        <is>
          <t>HD한국조선해양</t>
        </is>
      </c>
      <c r="C281" s="2" t="inlineStr">
        <is>
          <t>코스피</t>
        </is>
      </c>
      <c r="D281" s="2" t="inlineStr">
        <is>
          <t>009540</t>
        </is>
      </c>
      <c r="E281" s="2" t="inlineStr">
        <is>
          <t>단일판매공급계약체결</t>
        </is>
      </c>
      <c r="F281" s="3" t="inlineStr">
        <is>
          <t>단일판매ㆍ공급계약체결(자회사의 주요경영사항)               (정정: 20260630)</t>
        </is>
      </c>
      <c r="G281" s="7" t="inlineStr">
        <is>
          <t>보령화력 1~8호기 저탄장 옥내화 공사</t>
        </is>
      </c>
      <c r="H281" s="2" t="inlineStr">
        <is>
          <t>2021-09-02</t>
        </is>
      </c>
      <c r="I281" s="2" t="inlineStr">
        <is>
          <t>2027-08-31</t>
        </is>
      </c>
      <c r="J281" s="5" t="n">
        <v>332700000000</v>
      </c>
      <c r="K281" s="2" t="inlineStr">
        <is>
          <t>-</t>
        </is>
      </c>
      <c r="L281" s="13" t="n">
        <v>8.49</v>
      </c>
      <c r="M281" s="7" t="inlineStr">
        <is>
          <t>한국중부발전(주)</t>
        </is>
      </c>
      <c r="N281" s="2" t="inlineStr">
        <is>
          <t>20260630800761</t>
        </is>
      </c>
      <c r="O281" s="8">
        <f>HYPERLINK("https://dart.fss.or.kr/dsaf001/main.do?rcpNo=20260630800761", "공시열람")</f>
        <v/>
      </c>
    </row>
    <row r="282" ht="36" customHeight="1">
      <c r="A282" s="2" t="inlineStr">
        <is>
          <t>2026-06-01</t>
        </is>
      </c>
      <c r="B282" s="3" t="inlineStr">
        <is>
          <t>HD현대중공업</t>
        </is>
      </c>
      <c r="C282" s="2" t="inlineStr">
        <is>
          <t>코스피</t>
        </is>
      </c>
      <c r="D282" s="2" t="inlineStr">
        <is>
          <t>329180</t>
        </is>
      </c>
      <c r="E282" s="2" t="inlineStr">
        <is>
          <t>단일판매공급계약체결</t>
        </is>
      </c>
      <c r="F282" s="3" t="inlineStr">
        <is>
          <t xml:space="preserve">단일판매ㆍ공급계약체결              </t>
        </is>
      </c>
      <c r="G282" s="7" t="inlineStr">
        <is>
          <t>VLGC 8척</t>
        </is>
      </c>
      <c r="H282" s="2" t="inlineStr">
        <is>
          <t>2026-05-30</t>
        </is>
      </c>
      <c r="I282" s="2" t="inlineStr">
        <is>
          <t>2030-06-30</t>
        </is>
      </c>
      <c r="J282" s="5" t="n">
        <v>1416100000000</v>
      </c>
      <c r="K282" s="2" t="inlineStr">
        <is>
          <t>-</t>
        </is>
      </c>
      <c r="L282" s="13" t="n">
        <v>8.050000000000001</v>
      </c>
      <c r="M282" s="7" t="inlineStr">
        <is>
          <t>아시아 소재 선사</t>
        </is>
      </c>
      <c r="N282" s="2" t="inlineStr">
        <is>
          <t>20260601800384</t>
        </is>
      </c>
      <c r="O282" s="8">
        <f>HYPERLINK("https://dart.fss.or.kr/dsaf001/main.do?rcpNo=20260601800384", "공시열람")</f>
        <v/>
      </c>
    </row>
    <row r="283" ht="36" customHeight="1">
      <c r="A283" s="2" t="inlineStr">
        <is>
          <t>2026-06-01 (정정: 2026-06-05)</t>
        </is>
      </c>
      <c r="B283" s="3" t="inlineStr">
        <is>
          <t>비에이치아이</t>
        </is>
      </c>
      <c r="C283" s="2" t="inlineStr">
        <is>
          <t>코스닥</t>
        </is>
      </c>
      <c r="D283" s="2" t="inlineStr">
        <is>
          <t>083650</t>
        </is>
      </c>
      <c r="E283" s="2" t="inlineStr">
        <is>
          <t>단일판매공급계약체결</t>
        </is>
      </c>
      <c r="F283" s="3" t="inlineStr">
        <is>
          <t>단일판매ㆍ공급계약체결               (정정: 20260605)</t>
        </is>
      </c>
      <c r="G283" s="7" t="inlineStr">
        <is>
          <t>LNG 복합화력 발전설비 공급계약</t>
        </is>
      </c>
      <c r="H283" s="2" t="inlineStr">
        <is>
          <t>2023-10-04</t>
        </is>
      </c>
      <c r="I283" s="2" t="inlineStr">
        <is>
          <t>2026-06-30</t>
        </is>
      </c>
      <c r="J283" s="5" t="n">
        <v>44915000000</v>
      </c>
      <c r="K283" s="2" t="inlineStr">
        <is>
          <t>-</t>
        </is>
      </c>
      <c r="L283" s="13" t="n">
        <v>13.6</v>
      </c>
      <c r="M283" s="7" t="inlineStr">
        <is>
          <t>두산에너빌리티(주)</t>
        </is>
      </c>
      <c r="N283" s="2" t="inlineStr">
        <is>
          <t>20260605900607</t>
        </is>
      </c>
      <c r="O283" s="8">
        <f>HYPERLINK("https://dart.fss.or.kr/dsaf001/main.do?rcpNo=20260605900607", "공시열람")</f>
        <v/>
      </c>
    </row>
    <row r="284" ht="36" customHeight="1">
      <c r="A284" s="2" t="inlineStr">
        <is>
          <t>2026-06-01 (정정: 2026-06-10)</t>
        </is>
      </c>
      <c r="B284" s="3" t="inlineStr">
        <is>
          <t>이노메트리</t>
        </is>
      </c>
      <c r="C284" s="2" t="inlineStr">
        <is>
          <t>코스닥</t>
        </is>
      </c>
      <c r="D284" s="2" t="inlineStr">
        <is>
          <t>302430</t>
        </is>
      </c>
      <c r="E284" s="2" t="inlineStr">
        <is>
          <t>단일판매공급계약체결</t>
        </is>
      </c>
      <c r="F284" s="3" t="inlineStr">
        <is>
          <t>단일판매ㆍ공급계약체결               (정정: 20260610)</t>
        </is>
      </c>
      <c r="G284" s="7" t="inlineStr">
        <is>
          <t>2차전지용 X-Ray 검사장비</t>
        </is>
      </c>
      <c r="H284" s="2" t="inlineStr">
        <is>
          <t>2023-11-06</t>
        </is>
      </c>
      <c r="I284" s="2" t="inlineStr">
        <is>
          <t>2027-08-18</t>
        </is>
      </c>
      <c r="J284" s="5" t="n">
        <v>11980199051</v>
      </c>
      <c r="K284" s="2" t="inlineStr">
        <is>
          <t>-</t>
        </is>
      </c>
      <c r="L284" s="13" t="n">
        <v>15.82</v>
      </c>
      <c r="M284" s="7" t="inlineStr">
        <is>
          <t>공시유보</t>
        </is>
      </c>
      <c r="N284" s="2" t="inlineStr">
        <is>
          <t>20260610900460</t>
        </is>
      </c>
      <c r="O284" s="8">
        <f>HYPERLINK("https://dart.fss.or.kr/dsaf001/main.do?rcpNo=20260610900460", "공시열람")</f>
        <v/>
      </c>
    </row>
    <row r="285" ht="36" customHeight="1">
      <c r="A285" s="2" t="inlineStr">
        <is>
          <t>2026-06-01</t>
        </is>
      </c>
      <c r="B285" s="3" t="inlineStr">
        <is>
          <t>엠앤씨솔루션</t>
        </is>
      </c>
      <c r="C285" s="2" t="inlineStr">
        <is>
          <t>코스피</t>
        </is>
      </c>
      <c r="D285" s="2" t="inlineStr">
        <is>
          <t>484870</t>
        </is>
      </c>
      <c r="E285" s="2" t="inlineStr">
        <is>
          <t>단일판매공급계약체결</t>
        </is>
      </c>
      <c r="F285" s="3" t="inlineStr">
        <is>
          <t xml:space="preserve">단일판매ㆍ공급계약체결(자율공시)              </t>
        </is>
      </c>
      <c r="G285" s="7" t="inlineStr">
        <is>
          <t>-</t>
        </is>
      </c>
      <c r="H285" s="2" t="inlineStr">
        <is>
          <t>2026-05-29</t>
        </is>
      </c>
      <c r="I285" s="2" t="inlineStr">
        <is>
          <t>2029-10-24</t>
        </is>
      </c>
      <c r="J285" s="5" t="n">
        <v>6500000000</v>
      </c>
      <c r="K285" s="2" t="inlineStr">
        <is>
          <t>-</t>
        </is>
      </c>
      <c r="L285" s="13" t="n">
        <v>1.61</v>
      </c>
      <c r="M285" s="7" t="inlineStr">
        <is>
          <t>엘아이지디펜스앤에어로스페이스(주)</t>
        </is>
      </c>
      <c r="N285" s="2" t="inlineStr">
        <is>
          <t>20260601800157</t>
        </is>
      </c>
      <c r="O285" s="8">
        <f>HYPERLINK("https://dart.fss.or.kr/dsaf001/main.do?rcpNo=20260601800157", "공시열람")</f>
        <v/>
      </c>
    </row>
    <row r="286" ht="36" customHeight="1">
      <c r="A286" s="2" t="inlineStr">
        <is>
          <t>2026-06-01</t>
        </is>
      </c>
      <c r="B286" s="3" t="inlineStr">
        <is>
          <t>대한조선</t>
        </is>
      </c>
      <c r="C286" s="2" t="inlineStr">
        <is>
          <t>코스피</t>
        </is>
      </c>
      <c r="D286" s="2" t="inlineStr">
        <is>
          <t>439260</t>
        </is>
      </c>
      <c r="E286" s="2" t="inlineStr">
        <is>
          <t>단일판매공급계약체결</t>
        </is>
      </c>
      <c r="F286" s="3" t="inlineStr">
        <is>
          <t xml:space="preserve">단일판매ㆍ공급계약체결              </t>
        </is>
      </c>
      <c r="G286" s="7" t="inlineStr">
        <is>
          <t>원유운반선(157,000 DWT) 2척</t>
        </is>
      </c>
      <c r="H286" s="2" t="inlineStr">
        <is>
          <t>2026-05-29</t>
        </is>
      </c>
      <c r="I286" s="2" t="inlineStr">
        <is>
          <t>2028-12-31</t>
        </is>
      </c>
      <c r="J286" s="5" t="n">
        <v>282800000000</v>
      </c>
      <c r="K286" s="2" t="inlineStr">
        <is>
          <t>-</t>
        </is>
      </c>
      <c r="L286" s="13" t="n">
        <v>23.03</v>
      </c>
      <c r="M286" s="7" t="inlineStr">
        <is>
          <t>오세아니아 지역 선주</t>
        </is>
      </c>
      <c r="N286" s="2" t="inlineStr">
        <is>
          <t>20260601800013</t>
        </is>
      </c>
      <c r="O286" s="8">
        <f>HYPERLINK("https://dart.fss.or.kr/dsaf001/main.do?rcpNo=20260601800013", "공시열람")</f>
        <v/>
      </c>
    </row>
    <row r="287" ht="36" customHeight="1">
      <c r="A287" s="2" t="inlineStr">
        <is>
          <t>2026-06-02</t>
        </is>
      </c>
      <c r="B287" s="3" t="inlineStr">
        <is>
          <t>오가노이드사이언스</t>
        </is>
      </c>
      <c r="C287" s="2" t="inlineStr">
        <is>
          <t>코스닥</t>
        </is>
      </c>
      <c r="D287" s="2" t="inlineStr">
        <is>
          <t>476040</t>
        </is>
      </c>
      <c r="E287" s="2" t="inlineStr">
        <is>
          <t>기타</t>
        </is>
      </c>
      <c r="F287" s="3" t="inlineStr">
        <is>
          <t>투자판단관련주요경영사항              (오가노이드 기반 재생치료제 및 약물 스크리닝 플랫폼 관련 기술도입 계약 체결)</t>
        </is>
      </c>
      <c r="G287" s="7" t="inlineStr">
        <is>
          <t>-</t>
        </is>
      </c>
      <c r="H287" s="2" t="inlineStr">
        <is>
          <t>-</t>
        </is>
      </c>
      <c r="I287" s="2" t="inlineStr">
        <is>
          <t>-</t>
        </is>
      </c>
      <c r="J287" s="5" t="inlineStr"/>
      <c r="K287" s="2" t="inlineStr">
        <is>
          <t>-</t>
        </is>
      </c>
      <c r="L287" s="3" t="inlineStr"/>
      <c r="M287" s="7" t="inlineStr">
        <is>
          <t>-</t>
        </is>
      </c>
      <c r="N287" s="2" t="inlineStr">
        <is>
          <t>20260602900858</t>
        </is>
      </c>
      <c r="O287" s="8">
        <f>HYPERLINK("https://dart.fss.or.kr/dsaf001/main.do?rcpNo=20260602900858", "공시열람")</f>
        <v/>
      </c>
    </row>
    <row r="288" ht="36" customHeight="1">
      <c r="A288" s="2" t="inlineStr">
        <is>
          <t>2026-06-02 (정정: 2026-06-05)</t>
        </is>
      </c>
      <c r="B288" s="3" t="inlineStr">
        <is>
          <t>아이티아이즈</t>
        </is>
      </c>
      <c r="C288" s="2" t="inlineStr">
        <is>
          <t>코스닥</t>
        </is>
      </c>
      <c r="D288" s="2" t="inlineStr">
        <is>
          <t>372800</t>
        </is>
      </c>
      <c r="E288" s="2" t="inlineStr">
        <is>
          <t>단일판매공급계약체결</t>
        </is>
      </c>
      <c r="F288" s="3" t="inlineStr">
        <is>
          <t>[기재정정]단일판매ㆍ공급계약체결               (정정: 20260605)</t>
        </is>
      </c>
      <c r="G288" s="7" t="inlineStr">
        <is>
          <t>산재전문 공공병원(울산) 스마트통합의료정보시스템 구축</t>
        </is>
      </c>
      <c r="H288" s="2" t="inlineStr">
        <is>
          <t>2024-11-11</t>
        </is>
      </c>
      <c r="I288" s="2" t="inlineStr">
        <is>
          <t>2026-10-06</t>
        </is>
      </c>
      <c r="J288" s="5" t="n">
        <v>7838240000</v>
      </c>
      <c r="K288" s="2" t="inlineStr">
        <is>
          <t>-</t>
        </is>
      </c>
      <c r="L288" s="13" t="n">
        <v>10.46</v>
      </c>
      <c r="M288" s="7" t="inlineStr">
        <is>
          <t>조달청(수요기관 : 근로복지공단본부)</t>
        </is>
      </c>
      <c r="N288" s="2" t="inlineStr">
        <is>
          <t>20260605900769</t>
        </is>
      </c>
      <c r="O288" s="8">
        <f>HYPERLINK("https://dart.fss.or.kr/dsaf001/main.do?rcpNo=20260605900769", "공시열람")</f>
        <v/>
      </c>
    </row>
    <row r="289" ht="36" customHeight="1">
      <c r="A289" s="2" t="inlineStr">
        <is>
          <t>2026-06-02</t>
        </is>
      </c>
      <c r="B289" s="3" t="inlineStr">
        <is>
          <t>태성</t>
        </is>
      </c>
      <c r="C289" s="2" t="inlineStr">
        <is>
          <t>코스닥</t>
        </is>
      </c>
      <c r="D289" s="2" t="inlineStr">
        <is>
          <t>323280</t>
        </is>
      </c>
      <c r="E289" s="2" t="inlineStr">
        <is>
          <t>단일판매공급계약체결</t>
        </is>
      </c>
      <c r="F289" s="3" t="inlineStr">
        <is>
          <t xml:space="preserve">단일판매ㆍ공급계약체결              </t>
        </is>
      </c>
      <c r="G289" s="7" t="inlineStr">
        <is>
          <t>PCB 자동화 장비</t>
        </is>
      </c>
      <c r="H289" s="2" t="inlineStr">
        <is>
          <t>2026-06-02</t>
        </is>
      </c>
      <c r="I289" s="2" t="inlineStr">
        <is>
          <t>2028-02-15</t>
        </is>
      </c>
      <c r="J289" s="5" t="n">
        <v>4503674000</v>
      </c>
      <c r="K289" s="2" t="inlineStr">
        <is>
          <t>-</t>
        </is>
      </c>
      <c r="L289" s="13" t="n">
        <v>11.9</v>
      </c>
      <c r="M289" s="7" t="inlineStr">
        <is>
          <t>해외 에이전트</t>
        </is>
      </c>
      <c r="N289" s="2" t="inlineStr">
        <is>
          <t>20260602900572</t>
        </is>
      </c>
      <c r="O289" s="8">
        <f>HYPERLINK("https://dart.fss.or.kr/dsaf001/main.do?rcpNo=20260602900572", "공시열람")</f>
        <v/>
      </c>
    </row>
    <row r="290" ht="36" customHeight="1">
      <c r="A290" s="2" t="inlineStr">
        <is>
          <t>2022-06-03 (정정: 2026-06-02)</t>
        </is>
      </c>
      <c r="B290" s="3" t="inlineStr">
        <is>
          <t>팬엔터테인먼트</t>
        </is>
      </c>
      <c r="C290" s="2" t="inlineStr">
        <is>
          <t>코스닥</t>
        </is>
      </c>
      <c r="D290" s="2" t="inlineStr">
        <is>
          <t>068050</t>
        </is>
      </c>
      <c r="E290" s="2" t="inlineStr">
        <is>
          <t>단일판매공급계약체결</t>
        </is>
      </c>
      <c r="F290" s="3" t="inlineStr">
        <is>
          <t xml:space="preserve">[기재정정]단일판매ㆍ공급계약체결              </t>
        </is>
      </c>
      <c r="G290" s="7" t="inlineStr">
        <is>
          <t>드라마&lt;꽃선비열애사&gt; 일본방영권 라이선스 판매</t>
        </is>
      </c>
      <c r="H290" s="2" t="inlineStr">
        <is>
          <t>2022-06-03</t>
        </is>
      </c>
      <c r="I290" s="2" t="inlineStr">
        <is>
          <t>2026-06-02</t>
        </is>
      </c>
      <c r="J290" s="5" t="n">
        <v>5944320000</v>
      </c>
      <c r="K290" s="2" t="inlineStr">
        <is>
          <t>-</t>
        </is>
      </c>
      <c r="L290" s="13" t="n">
        <v>19.55</v>
      </c>
      <c r="M290" s="7" t="inlineStr">
        <is>
          <t>코퍼스코리아</t>
        </is>
      </c>
      <c r="N290" s="2" t="inlineStr">
        <is>
          <t>20260602900512</t>
        </is>
      </c>
      <c r="O290" s="8">
        <f>HYPERLINK("https://dart.fss.or.kr/dsaf001/main.do?rcpNo=20260602900512", "공시열람")</f>
        <v/>
      </c>
    </row>
    <row r="291" ht="36" customHeight="1">
      <c r="A291" s="2" t="inlineStr">
        <is>
          <t>2026-06-02 (정정: 2026-06-02)</t>
        </is>
      </c>
      <c r="B291" s="3" t="inlineStr">
        <is>
          <t>아이씨디</t>
        </is>
      </c>
      <c r="C291" s="2" t="inlineStr">
        <is>
          <t>코스닥</t>
        </is>
      </c>
      <c r="D291" s="2" t="inlineStr">
        <is>
          <t>040910</t>
        </is>
      </c>
      <c r="E291" s="2" t="inlineStr">
        <is>
          <t>단일판매공급계약체결</t>
        </is>
      </c>
      <c r="F291" s="3" t="inlineStr">
        <is>
          <t>[기재정정]단일판매ㆍ공급계약체결               (정정: 20260602)</t>
        </is>
      </c>
      <c r="G291" s="7" t="inlineStr">
        <is>
          <t>FPD제조장비</t>
        </is>
      </c>
      <c r="H291" s="2" t="inlineStr">
        <is>
          <t>2025-10-02</t>
        </is>
      </c>
      <c r="I291" s="2" t="inlineStr">
        <is>
          <t>2026-09-07</t>
        </is>
      </c>
      <c r="J291" s="5" t="n">
        <v>12450509246</v>
      </c>
      <c r="K291" s="2" t="inlineStr">
        <is>
          <t>-</t>
        </is>
      </c>
      <c r="L291" s="13" t="n">
        <v>8.43</v>
      </c>
      <c r="M291" s="7" t="inlineStr">
        <is>
          <t>Canon Tokki Corporation</t>
        </is>
      </c>
      <c r="N291" s="2" t="inlineStr">
        <is>
          <t>20260602900304</t>
        </is>
      </c>
      <c r="O291" s="8">
        <f>HYPERLINK("https://dart.fss.or.kr/dsaf001/main.do?rcpNo=20260602900304", "공시열람")</f>
        <v/>
      </c>
    </row>
    <row r="292" ht="36" customHeight="1">
      <c r="A292" s="2" t="inlineStr">
        <is>
          <t>2026-06-02 (정정: 2026-06-11)</t>
        </is>
      </c>
      <c r="B292" s="3" t="inlineStr">
        <is>
          <t>신원종합개발</t>
        </is>
      </c>
      <c r="C292" s="2" t="inlineStr">
        <is>
          <t>코스닥</t>
        </is>
      </c>
      <c r="D292" s="2" t="inlineStr">
        <is>
          <t>017000</t>
        </is>
      </c>
      <c r="E292" s="2" t="inlineStr">
        <is>
          <t>단일판매공급계약체결</t>
        </is>
      </c>
      <c r="F292" s="3" t="inlineStr">
        <is>
          <t>[기재정정]단일판매ㆍ공급계약체결(자율공시)               (정정: 20260611)</t>
        </is>
      </c>
      <c r="G292" s="7" t="inlineStr">
        <is>
          <t>KG 타워 증축공사</t>
        </is>
      </c>
      <c r="H292" s="2" t="inlineStr">
        <is>
          <t>2025-02-19</t>
        </is>
      </c>
      <c r="I292" s="2" t="inlineStr">
        <is>
          <t>2027-02-26</t>
        </is>
      </c>
      <c r="J292" s="5" t="n">
        <v>36514200000</v>
      </c>
      <c r="K292" s="2" t="inlineStr">
        <is>
          <t>-</t>
        </is>
      </c>
      <c r="L292" s="13" t="n">
        <v>11.79</v>
      </c>
      <c r="M292" s="7" t="inlineStr">
        <is>
          <t>주식회사 국민은행(LB전문투자형 사모부동산 투자신탁9호의 신탁업자)외1</t>
        </is>
      </c>
      <c r="N292" s="2" t="inlineStr">
        <is>
          <t>20260611900224</t>
        </is>
      </c>
      <c r="O292" s="8">
        <f>HYPERLINK("https://dart.fss.or.kr/dsaf001/main.do?rcpNo=20260611900224", "공시열람")</f>
        <v/>
      </c>
    </row>
    <row r="293" ht="36" customHeight="1">
      <c r="A293" s="2" t="inlineStr">
        <is>
          <t>2026-06-02 (정정: 2026-06-16)</t>
        </is>
      </c>
      <c r="B293" s="3" t="inlineStr">
        <is>
          <t>인스웨이브</t>
        </is>
      </c>
      <c r="C293" s="2" t="inlineStr">
        <is>
          <t>코스닥</t>
        </is>
      </c>
      <c r="D293" s="2" t="inlineStr">
        <is>
          <t>450520</t>
        </is>
      </c>
      <c r="E293" s="2" t="inlineStr">
        <is>
          <t>단일판매공급계약체결</t>
        </is>
      </c>
      <c r="F293" s="3" t="inlineStr">
        <is>
          <t>단일판매ㆍ공급계약체결               (정정: 20260609) (정정: 20260616)</t>
        </is>
      </c>
      <c r="G293" s="7" t="inlineStr">
        <is>
          <t>NH농협은행 프로젝트 NEO 계정계 차세대_단말 UI전환</t>
        </is>
      </c>
      <c r="H293" s="2" t="inlineStr">
        <is>
          <t>2026-01-12</t>
        </is>
      </c>
      <c r="I293" s="2" t="inlineStr">
        <is>
          <t>2028-04-04</t>
        </is>
      </c>
      <c r="J293" s="5" t="n">
        <v>21022955000</v>
      </c>
      <c r="K293" s="2" t="inlineStr">
        <is>
          <t>-</t>
        </is>
      </c>
      <c r="L293" s="13" t="n">
        <v>69.12</v>
      </c>
      <c r="M293" s="7" t="inlineStr">
        <is>
          <t>주식회사 엘지씨엔에스</t>
        </is>
      </c>
      <c r="N293" s="2" t="inlineStr">
        <is>
          <t>20260616900701</t>
        </is>
      </c>
      <c r="O293" s="8">
        <f>HYPERLINK("https://dart.fss.or.kr/dsaf001/main.do?rcpNo=20260616900701", "공시열람")</f>
        <v/>
      </c>
    </row>
    <row r="294" ht="36" customHeight="1">
      <c r="A294" s="2" t="inlineStr">
        <is>
          <t>2026-03-16 (정정: 2026-06-02)</t>
        </is>
      </c>
      <c r="B294" s="3" t="inlineStr">
        <is>
          <t>우양에이치씨</t>
        </is>
      </c>
      <c r="C294" s="2" t="inlineStr">
        <is>
          <t>코스닥</t>
        </is>
      </c>
      <c r="D294" s="2" t="inlineStr">
        <is>
          <t>101970</t>
        </is>
      </c>
      <c r="E294" s="2" t="inlineStr">
        <is>
          <t>단일판매공급계약체결</t>
        </is>
      </c>
      <c r="F294" s="3" t="inlineStr">
        <is>
          <t xml:space="preserve">[기재정정]단일판매ㆍ공급계약체결              </t>
        </is>
      </c>
      <c r="G294" s="7" t="inlineStr">
        <is>
          <t>COLUMNS(SS&amp;CLAD) 공급계약</t>
        </is>
      </c>
      <c r="H294" s="2" t="inlineStr">
        <is>
          <t>2024-06-28</t>
        </is>
      </c>
      <c r="I294" s="2" t="inlineStr">
        <is>
          <t>-</t>
        </is>
      </c>
      <c r="J294" s="5" t="n">
        <v>23182788224</v>
      </c>
      <c r="K294" s="2" t="inlineStr">
        <is>
          <t>-</t>
        </is>
      </c>
      <c r="L294" s="13" t="n">
        <v>12.65</v>
      </c>
      <c r="M294" s="7" t="inlineStr">
        <is>
          <t>TECHNIP ENERGIES FRANCE QATAR BRANCH</t>
        </is>
      </c>
      <c r="N294" s="2" t="inlineStr">
        <is>
          <t>20260602900287</t>
        </is>
      </c>
      <c r="O294" s="8">
        <f>HYPERLINK("https://dart.fss.or.kr/dsaf001/main.do?rcpNo=20260602900287", "공시열람")</f>
        <v/>
      </c>
    </row>
    <row r="295" ht="36" customHeight="1">
      <c r="A295" s="2" t="inlineStr">
        <is>
          <t>2026-06-02</t>
        </is>
      </c>
      <c r="B295" s="3" t="inlineStr">
        <is>
          <t>나인테크</t>
        </is>
      </c>
      <c r="C295" s="2" t="inlineStr">
        <is>
          <t>코스닥</t>
        </is>
      </c>
      <c r="D295" s="2" t="inlineStr">
        <is>
          <t>267320</t>
        </is>
      </c>
      <c r="E295" s="2" t="inlineStr">
        <is>
          <t>단일판매공급계약체결</t>
        </is>
      </c>
      <c r="F295" s="3" t="inlineStr">
        <is>
          <t xml:space="preserve">단일판매ㆍ공급계약체결              </t>
        </is>
      </c>
      <c r="G295" s="7" t="inlineStr">
        <is>
          <t>디스플레이 제조장비</t>
        </is>
      </c>
      <c r="H295" s="2" t="inlineStr">
        <is>
          <t>2026-06-01</t>
        </is>
      </c>
      <c r="I295" s="2" t="inlineStr">
        <is>
          <t>2027-12-31</t>
        </is>
      </c>
      <c r="J295" s="5" t="n">
        <v>25413000000</v>
      </c>
      <c r="K295" s="2" t="inlineStr">
        <is>
          <t>-</t>
        </is>
      </c>
      <c r="L295" s="13" t="n">
        <v>30.85</v>
      </c>
      <c r="M295" s="7" t="inlineStr">
        <is>
          <t>LG전자 주식회사</t>
        </is>
      </c>
      <c r="N295" s="2" t="inlineStr">
        <is>
          <t>20260602900275</t>
        </is>
      </c>
      <c r="O295" s="8">
        <f>HYPERLINK("https://dart.fss.or.kr/dsaf001/main.do?rcpNo=20260602900275", "공시열람")</f>
        <v/>
      </c>
    </row>
    <row r="296" ht="36" customHeight="1">
      <c r="A296" s="2" t="inlineStr">
        <is>
          <t>2026-06-02 (정정: 2026-06-08)</t>
        </is>
      </c>
      <c r="B296" s="3" t="inlineStr">
        <is>
          <t>삼성중공업</t>
        </is>
      </c>
      <c r="C296" s="2" t="inlineStr">
        <is>
          <t>코스피</t>
        </is>
      </c>
      <c r="D296" s="2" t="inlineStr">
        <is>
          <t>010140</t>
        </is>
      </c>
      <c r="E296" s="2" t="inlineStr">
        <is>
          <t>단일판매공급계약체결</t>
        </is>
      </c>
      <c r="F296" s="3" t="inlineStr">
        <is>
          <t>단일판매ㆍ공급계약체결               (정정: 20260604) (정정: 20260608)</t>
        </is>
      </c>
      <c r="G296" s="7" t="inlineStr">
        <is>
          <t>해양생산설비 본 계약 체결전 예비 작업</t>
        </is>
      </c>
      <c r="H296" s="2" t="inlineStr">
        <is>
          <t>2025-07-04</t>
        </is>
      </c>
      <c r="I296" s="2" t="inlineStr">
        <is>
          <t>2026-06-08</t>
        </is>
      </c>
      <c r="J296" s="5" t="n">
        <v>1553900000000</v>
      </c>
      <c r="K296" s="2" t="inlineStr">
        <is>
          <t>-</t>
        </is>
      </c>
      <c r="L296" s="13" t="n">
        <v>15.7</v>
      </c>
      <c r="M296" s="7" t="inlineStr">
        <is>
          <t>아프리카 지역 선주</t>
        </is>
      </c>
      <c r="N296" s="2" t="inlineStr">
        <is>
          <t>20260608800716</t>
        </is>
      </c>
      <c r="O296" s="8">
        <f>HYPERLINK("https://dart.fss.or.kr/dsaf001/main.do?rcpNo=20260608800716", "공시열람")</f>
        <v/>
      </c>
    </row>
    <row r="297" ht="36" customHeight="1">
      <c r="A297" s="2" t="inlineStr">
        <is>
          <t>2026-06-04 (정정: 2026-06-09)</t>
        </is>
      </c>
      <c r="B297" s="3" t="inlineStr">
        <is>
          <t>덱스터</t>
        </is>
      </c>
      <c r="C297" s="2" t="inlineStr">
        <is>
          <t>코스닥</t>
        </is>
      </c>
      <c r="D297" s="2" t="inlineStr">
        <is>
          <t>206560</t>
        </is>
      </c>
      <c r="E297" s="2" t="inlineStr">
        <is>
          <t>단일판매공급계약체결</t>
        </is>
      </c>
      <c r="F297" s="3" t="inlineStr">
        <is>
          <t>[기재정정]단일판매ㆍ공급계약체결(자율공시)               (정정: 20260609)</t>
        </is>
      </c>
      <c r="G297" s="7" t="inlineStr">
        <is>
          <t>드라마 &lt;E(가제)&gt; VFX 계약</t>
        </is>
      </c>
      <c r="H297" s="2" t="inlineStr">
        <is>
          <t>2024-12-01</t>
        </is>
      </c>
      <c r="I297" s="2" t="inlineStr">
        <is>
          <t>2026-07-31</t>
        </is>
      </c>
      <c r="J297" s="5" t="n">
        <v>4720000000</v>
      </c>
      <c r="K297" s="2" t="inlineStr">
        <is>
          <t>-</t>
        </is>
      </c>
      <c r="L297" s="13" t="n">
        <v>6.97</v>
      </c>
      <c r="M297" s="7" t="inlineStr">
        <is>
          <t>(주)쇼러너스</t>
        </is>
      </c>
      <c r="N297" s="2" t="inlineStr">
        <is>
          <t>20260609900683</t>
        </is>
      </c>
      <c r="O297" s="8">
        <f>HYPERLINK("https://dart.fss.or.kr/dsaf001/main.do?rcpNo=20260609900683", "공시열람")</f>
        <v/>
      </c>
    </row>
    <row r="298" ht="36" customHeight="1">
      <c r="A298" s="2" t="inlineStr">
        <is>
          <t>2026-06-04</t>
        </is>
      </c>
      <c r="B298" s="3" t="inlineStr">
        <is>
          <t>기가비스</t>
        </is>
      </c>
      <c r="C298" s="2" t="inlineStr">
        <is>
          <t>코스닥</t>
        </is>
      </c>
      <c r="D298" s="2" t="inlineStr">
        <is>
          <t>420770</t>
        </is>
      </c>
      <c r="E298" s="2" t="inlineStr">
        <is>
          <t>단일판매공급계약체결</t>
        </is>
      </c>
      <c r="F298" s="3" t="inlineStr">
        <is>
          <t xml:space="preserve">단일판매ㆍ공급계약체결              </t>
        </is>
      </c>
      <c r="G298" s="7" t="inlineStr">
        <is>
          <t>반도체 기판 검사 및 수리장비</t>
        </is>
      </c>
      <c r="H298" s="2" t="inlineStr">
        <is>
          <t>2026-06-02</t>
        </is>
      </c>
      <c r="I298" s="2" t="inlineStr">
        <is>
          <t>2027-05-31</t>
        </is>
      </c>
      <c r="J298" s="5" t="n">
        <v>9466300000</v>
      </c>
      <c r="K298" s="2" t="inlineStr">
        <is>
          <t>-</t>
        </is>
      </c>
      <c r="L298" s="13" t="n">
        <v>18.05</v>
      </c>
      <c r="M298" s="7" t="inlineStr">
        <is>
          <t>일본 반도체 기판 제조회사</t>
        </is>
      </c>
      <c r="N298" s="2" t="inlineStr">
        <is>
          <t>20260604900614</t>
        </is>
      </c>
      <c r="O298" s="8">
        <f>HYPERLINK("https://dart.fss.or.kr/dsaf001/main.do?rcpNo=20260604900614", "공시열람")</f>
        <v/>
      </c>
    </row>
    <row r="299" ht="36" customHeight="1">
      <c r="A299" s="2" t="inlineStr">
        <is>
          <t>2026-06-04 (정정: 2026-06-19)</t>
        </is>
      </c>
      <c r="B299" s="3" t="inlineStr">
        <is>
          <t>RFHIC</t>
        </is>
      </c>
      <c r="C299" s="2" t="inlineStr">
        <is>
          <t>코스닥</t>
        </is>
      </c>
      <c r="D299" s="2" t="inlineStr">
        <is>
          <t>218410</t>
        </is>
      </c>
      <c r="E299" s="2" t="inlineStr">
        <is>
          <t>단일판매공급계약체결</t>
        </is>
      </c>
      <c r="F299" s="3" t="inlineStr">
        <is>
          <t>단일판매ㆍ공급계약체결               (정정: 20260619)</t>
        </is>
      </c>
      <c r="G299" s="7" t="inlineStr">
        <is>
          <t>고출력 전력증폭기 공급 계약의 건</t>
        </is>
      </c>
      <c r="H299" s="2" t="inlineStr">
        <is>
          <t>2026-02-13</t>
        </is>
      </c>
      <c r="I299" s="2" t="inlineStr">
        <is>
          <t>2027-02-01</t>
        </is>
      </c>
      <c r="J299" s="5" t="n">
        <v>29636037311</v>
      </c>
      <c r="K299" s="2" t="inlineStr">
        <is>
          <t>-</t>
        </is>
      </c>
      <c r="L299" s="13" t="n">
        <v>25.8</v>
      </c>
      <c r="M299" s="7" t="inlineStr">
        <is>
          <t>Raytheon Canada Limited</t>
        </is>
      </c>
      <c r="N299" s="2" t="inlineStr">
        <is>
          <t>20260619901012</t>
        </is>
      </c>
      <c r="O299" s="8">
        <f>HYPERLINK("https://dart.fss.or.kr/dsaf001/main.do?rcpNo=20260619901012", "공시열람")</f>
        <v/>
      </c>
    </row>
    <row r="300" ht="36" customHeight="1">
      <c r="A300" s="2" t="inlineStr">
        <is>
          <t>2026-06-04</t>
        </is>
      </c>
      <c r="B300" s="3" t="inlineStr">
        <is>
          <t>STX그린로지스</t>
        </is>
      </c>
      <c r="C300" s="2" t="inlineStr">
        <is>
          <t>코스피</t>
        </is>
      </c>
      <c r="D300" s="2" t="inlineStr">
        <is>
          <t>465770</t>
        </is>
      </c>
      <c r="E300" s="2" t="inlineStr">
        <is>
          <t>단일판매공급계약체결</t>
        </is>
      </c>
      <c r="F300" s="3" t="inlineStr">
        <is>
          <t xml:space="preserve">단일판매ㆍ공급계약체결              </t>
        </is>
      </c>
      <c r="G300" s="7" t="inlineStr">
        <is>
          <t>장기대선계약</t>
        </is>
      </c>
      <c r="H300" s="2" t="inlineStr">
        <is>
          <t>2026-06-02</t>
        </is>
      </c>
      <c r="I300" s="2" t="inlineStr">
        <is>
          <t>2027-06-02</t>
        </is>
      </c>
      <c r="J300" s="5" t="n">
        <v>9591915300</v>
      </c>
      <c r="K300" s="2" t="inlineStr">
        <is>
          <t>-</t>
        </is>
      </c>
      <c r="L300" s="13" t="n">
        <v>5.01</v>
      </c>
      <c r="M300" s="7" t="inlineStr">
        <is>
          <t>-</t>
        </is>
      </c>
      <c r="N300" s="2" t="inlineStr">
        <is>
          <t>20260604800530</t>
        </is>
      </c>
      <c r="O300" s="8">
        <f>HYPERLINK("https://dart.fss.or.kr/dsaf001/main.do?rcpNo=20260604800530", "공시열람")</f>
        <v/>
      </c>
    </row>
    <row r="301" ht="36" customHeight="1">
      <c r="A301" s="2" t="inlineStr">
        <is>
          <t>2025-06-05 (정정: 2026-06-04)</t>
        </is>
      </c>
      <c r="B301" s="3" t="inlineStr">
        <is>
          <t>KSS해운</t>
        </is>
      </c>
      <c r="C301" s="2" t="inlineStr">
        <is>
          <t>코스피</t>
        </is>
      </c>
      <c r="D301" s="2" t="inlineStr">
        <is>
          <t>044450</t>
        </is>
      </c>
      <c r="E301" s="2" t="inlineStr">
        <is>
          <t>단일판매공급계약체결</t>
        </is>
      </c>
      <c r="F301" s="3" t="inlineStr">
        <is>
          <t xml:space="preserve">[기재정정]단일판매ㆍ공급계약체결              </t>
        </is>
      </c>
      <c r="G301" s="7" t="inlineStr">
        <is>
          <t>장기대선계약</t>
        </is>
      </c>
      <c r="H301" s="2" t="inlineStr">
        <is>
          <t>2021-02-26</t>
        </is>
      </c>
      <c r="I301" s="2" t="inlineStr">
        <is>
          <t>2028-02-25</t>
        </is>
      </c>
      <c r="J301" s="5" t="n">
        <v>175434761363</v>
      </c>
      <c r="K301" s="2" t="inlineStr">
        <is>
          <t>-</t>
        </is>
      </c>
      <c r="L301" s="13" t="n">
        <v>86.63</v>
      </c>
      <c r="M301" s="7" t="inlineStr">
        <is>
          <t>BW LPG PRODUCT SERVICES PTE LTD</t>
        </is>
      </c>
      <c r="N301" s="2" t="inlineStr">
        <is>
          <t>20260604800360</t>
        </is>
      </c>
      <c r="O301" s="8">
        <f>HYPERLINK("https://dart.fss.or.kr/dsaf001/main.do?rcpNo=20260604800360", "공시열람")</f>
        <v/>
      </c>
    </row>
    <row r="302" ht="36" customHeight="1">
      <c r="A302" s="2" t="inlineStr">
        <is>
          <t>2025-11-20 (정정: 2026-06-04)</t>
        </is>
      </c>
      <c r="B302" s="3" t="inlineStr">
        <is>
          <t>KC그린홀딩스</t>
        </is>
      </c>
      <c r="C302" s="2" t="inlineStr">
        <is>
          <t>코스피</t>
        </is>
      </c>
      <c r="D302" s="2" t="inlineStr">
        <is>
          <t>009440</t>
        </is>
      </c>
      <c r="E302" s="2" t="inlineStr">
        <is>
          <t>단일판매공급계약체결</t>
        </is>
      </c>
      <c r="F302" s="3" t="inlineStr">
        <is>
          <t xml:space="preserve">[기재정정]단일판매ㆍ공급계약체결(자회사의 주요경영사항)              </t>
        </is>
      </c>
      <c r="G302" s="7" t="inlineStr">
        <is>
          <t>ESP and FGD for Long Phu1TPP Project</t>
        </is>
      </c>
      <c r="H302" s="2" t="inlineStr">
        <is>
          <t>2025-11-20</t>
        </is>
      </c>
      <c r="I302" s="2" t="inlineStr">
        <is>
          <t>-</t>
        </is>
      </c>
      <c r="J302" s="5" t="n">
        <v>74731994608</v>
      </c>
      <c r="K302" s="2" t="inlineStr">
        <is>
          <t>-</t>
        </is>
      </c>
      <c r="L302" s="13" t="n">
        <v>21.92</v>
      </c>
      <c r="M302" s="7" t="inlineStr">
        <is>
          <t>Petro Vietnam Long Phu 1 Power Plant Project Management Board(LP1PP)</t>
        </is>
      </c>
      <c r="N302" s="2" t="inlineStr">
        <is>
          <t>20260604800250</t>
        </is>
      </c>
      <c r="O302" s="8">
        <f>HYPERLINK("https://dart.fss.or.kr/dsaf001/main.do?rcpNo=20260604800250", "공시열람")</f>
        <v/>
      </c>
    </row>
    <row r="303" ht="36" customHeight="1">
      <c r="A303" s="2" t="inlineStr">
        <is>
          <t>2025-11-20 (정정: 2026-06-04)</t>
        </is>
      </c>
      <c r="B303" s="3" t="inlineStr">
        <is>
          <t>KC코트렐</t>
        </is>
      </c>
      <c r="C303" s="2" t="inlineStr">
        <is>
          <t>코스피</t>
        </is>
      </c>
      <c r="D303" s="2" t="inlineStr">
        <is>
          <t>119650</t>
        </is>
      </c>
      <c r="E303" s="2" t="inlineStr">
        <is>
          <t>단일판매공급계약체결</t>
        </is>
      </c>
      <c r="F303" s="3" t="inlineStr">
        <is>
          <t xml:space="preserve">[기재정정]단일판매ㆍ공급계약체결              </t>
        </is>
      </c>
      <c r="G303" s="7" t="inlineStr">
        <is>
          <t>ESP and FGD for Long Phu1TPP Project</t>
        </is>
      </c>
      <c r="H303" s="2" t="inlineStr">
        <is>
          <t>2025-11-20</t>
        </is>
      </c>
      <c r="I303" s="2" t="inlineStr">
        <is>
          <t>-</t>
        </is>
      </c>
      <c r="J303" s="5" t="n">
        <v>74731994608</v>
      </c>
      <c r="K303" s="2" t="inlineStr">
        <is>
          <t>-</t>
        </is>
      </c>
      <c r="L303" s="13" t="n">
        <v>21.92</v>
      </c>
      <c r="M303" s="7" t="inlineStr">
        <is>
          <t>Petro Vietnam Long Phu 1 Power Plant Project Management Board(LP1PP)</t>
        </is>
      </c>
      <c r="N303" s="2" t="inlineStr">
        <is>
          <t>20260604800220</t>
        </is>
      </c>
      <c r="O303" s="8">
        <f>HYPERLINK("https://dart.fss.or.kr/dsaf001/main.do?rcpNo=20260604800220", "공시열람")</f>
        <v/>
      </c>
    </row>
    <row r="304" ht="36" customHeight="1">
      <c r="A304" s="2" t="inlineStr">
        <is>
          <t>2026-06-04</t>
        </is>
      </c>
      <c r="B304" s="3" t="inlineStr">
        <is>
          <t>엑시콘</t>
        </is>
      </c>
      <c r="C304" s="2" t="inlineStr">
        <is>
          <t>코스닥</t>
        </is>
      </c>
      <c r="D304" s="2" t="inlineStr">
        <is>
          <t>092870</t>
        </is>
      </c>
      <c r="E304" s="2" t="inlineStr">
        <is>
          <t>단일판매공급계약체결</t>
        </is>
      </c>
      <c r="F304" s="3" t="inlineStr">
        <is>
          <t xml:space="preserve">단일판매ㆍ공급계약체결              </t>
        </is>
      </c>
      <c r="G304" s="7" t="inlineStr">
        <is>
          <t>반도체검사장비(CIB 등)</t>
        </is>
      </c>
      <c r="H304" s="2" t="inlineStr">
        <is>
          <t>2026-05-26</t>
        </is>
      </c>
      <c r="I304" s="2" t="inlineStr">
        <is>
          <t>2026-12-31</t>
        </is>
      </c>
      <c r="J304" s="5" t="n">
        <v>12065400000</v>
      </c>
      <c r="K304" s="2" t="inlineStr">
        <is>
          <t>-</t>
        </is>
      </c>
      <c r="L304" s="13" t="n">
        <v>18.3</v>
      </c>
      <c r="M304" s="7" t="inlineStr">
        <is>
          <t>삼성전자</t>
        </is>
      </c>
      <c r="N304" s="2" t="inlineStr">
        <is>
          <t>20260604900245</t>
        </is>
      </c>
      <c r="O304" s="8">
        <f>HYPERLINK("https://dart.fss.or.kr/dsaf001/main.do?rcpNo=20260604900245", "공시열람")</f>
        <v/>
      </c>
    </row>
    <row r="305" ht="36" customHeight="1">
      <c r="A305" s="2" t="inlineStr">
        <is>
          <t>2026-06-04</t>
        </is>
      </c>
      <c r="B305" s="3" t="inlineStr">
        <is>
          <t>동국S&amp;C</t>
        </is>
      </c>
      <c r="C305" s="2" t="inlineStr">
        <is>
          <t>코스닥</t>
        </is>
      </c>
      <c r="D305" s="2" t="inlineStr">
        <is>
          <t>100130</t>
        </is>
      </c>
      <c r="E305" s="2" t="inlineStr">
        <is>
          <t>단일판매공급계약체결</t>
        </is>
      </c>
      <c r="F305" s="3" t="inlineStr">
        <is>
          <t xml:space="preserve">단일판매ㆍ공급계약체결              </t>
        </is>
      </c>
      <c r="G305" s="7" t="inlineStr">
        <is>
          <t>상품 공급</t>
        </is>
      </c>
      <c r="H305" s="2" t="inlineStr">
        <is>
          <t>2026-06-03</t>
        </is>
      </c>
      <c r="I305" s="2" t="inlineStr">
        <is>
          <t>2027-08-05</t>
        </is>
      </c>
      <c r="J305" s="5" t="n">
        <v>31554585272</v>
      </c>
      <c r="K305" s="2" t="inlineStr">
        <is>
          <t>-</t>
        </is>
      </c>
      <c r="L305" s="13" t="n">
        <v>26.3</v>
      </c>
      <c r="M305" s="7" t="inlineStr">
        <is>
          <t>Vestas Manufacturing A/S</t>
        </is>
      </c>
      <c r="N305" s="2" t="inlineStr">
        <is>
          <t>20260604900216</t>
        </is>
      </c>
      <c r="O305" s="8">
        <f>HYPERLINK("https://dart.fss.or.kr/dsaf001/main.do?rcpNo=20260604900216", "공시열람")</f>
        <v/>
      </c>
    </row>
    <row r="306" ht="36" customHeight="1">
      <c r="A306" s="2" t="inlineStr">
        <is>
          <t>2026-06-04</t>
        </is>
      </c>
      <c r="B306" s="3" t="inlineStr">
        <is>
          <t>티로보틱스</t>
        </is>
      </c>
      <c r="C306" s="2" t="inlineStr">
        <is>
          <t>코스닥</t>
        </is>
      </c>
      <c r="D306" s="2" t="inlineStr">
        <is>
          <t>117730</t>
        </is>
      </c>
      <c r="E306" s="2" t="inlineStr">
        <is>
          <t>단일판매공급계약체결</t>
        </is>
      </c>
      <c r="F306" s="3" t="inlineStr">
        <is>
          <t xml:space="preserve">단일판매ㆍ공급계약체결              </t>
        </is>
      </c>
      <c r="G306" s="7" t="inlineStr">
        <is>
          <t>AGV Retool</t>
        </is>
      </c>
      <c r="H306" s="2" t="inlineStr">
        <is>
          <t>2026-06-03</t>
        </is>
      </c>
      <c r="I306" s="2" t="inlineStr">
        <is>
          <t>2028-06-03</t>
        </is>
      </c>
      <c r="J306" s="5" t="n">
        <v>14967768542</v>
      </c>
      <c r="K306" s="2" t="inlineStr">
        <is>
          <t>-</t>
        </is>
      </c>
      <c r="L306" s="13" t="n">
        <v>34.16</v>
      </c>
      <c r="M306" s="7" t="inlineStr">
        <is>
          <t>Ford Energy Battery LLC</t>
        </is>
      </c>
      <c r="N306" s="2" t="inlineStr">
        <is>
          <t>20260604900202</t>
        </is>
      </c>
      <c r="O306" s="8">
        <f>HYPERLINK("https://dart.fss.or.kr/dsaf001/main.do?rcpNo=20260604900202", "공시열람")</f>
        <v/>
      </c>
    </row>
    <row r="307" ht="36" customHeight="1">
      <c r="A307" s="2" t="inlineStr">
        <is>
          <t>2026-06-04</t>
        </is>
      </c>
      <c r="B307" s="3" t="inlineStr">
        <is>
          <t>예스티</t>
        </is>
      </c>
      <c r="C307" s="2" t="inlineStr">
        <is>
          <t>코스닥</t>
        </is>
      </c>
      <c r="D307" s="2" t="inlineStr">
        <is>
          <t>122640</t>
        </is>
      </c>
      <c r="E307" s="2" t="inlineStr">
        <is>
          <t>단일판매공급계약체결</t>
        </is>
      </c>
      <c r="F307" s="3" t="inlineStr">
        <is>
          <t xml:space="preserve">단일판매ㆍ공급계약체결              </t>
        </is>
      </c>
      <c r="G307" s="7" t="inlineStr">
        <is>
          <t>반도체 제조장비(네오콘)</t>
        </is>
      </c>
      <c r="H307" s="2" t="inlineStr">
        <is>
          <t>2026-06-02</t>
        </is>
      </c>
      <c r="I307" s="2" t="inlineStr">
        <is>
          <t>2027-12-30</t>
        </is>
      </c>
      <c r="J307" s="5" t="n">
        <v>22818600000</v>
      </c>
      <c r="K307" s="2" t="inlineStr">
        <is>
          <t>-</t>
        </is>
      </c>
      <c r="L307" s="13" t="n">
        <v>26.21</v>
      </c>
      <c r="M307" s="7" t="inlineStr">
        <is>
          <t>삼성전자 주식회사</t>
        </is>
      </c>
      <c r="N307" s="2" t="inlineStr">
        <is>
          <t>20260604900170</t>
        </is>
      </c>
      <c r="O307" s="8">
        <f>HYPERLINK("https://dart.fss.or.kr/dsaf001/main.do?rcpNo=20260604900170", "공시열람")</f>
        <v/>
      </c>
    </row>
    <row r="308" ht="36" customHeight="1">
      <c r="A308" s="2" t="inlineStr">
        <is>
          <t>2026-06-04</t>
        </is>
      </c>
      <c r="B308" s="3" t="inlineStr">
        <is>
          <t>라이콤</t>
        </is>
      </c>
      <c r="C308" s="2" t="inlineStr">
        <is>
          <t>코스닥</t>
        </is>
      </c>
      <c r="D308" s="2" t="inlineStr">
        <is>
          <t>388790</t>
        </is>
      </c>
      <c r="E308" s="2" t="inlineStr">
        <is>
          <t>단일판매공급계약체결</t>
        </is>
      </c>
      <c r="F308" s="3" t="inlineStr">
        <is>
          <t xml:space="preserve">단일판매ㆍ공급계약체결              </t>
        </is>
      </c>
      <c r="G308" s="7" t="inlineStr">
        <is>
          <t>데이터센터간 통신(DCI, Data Center Interconnect)에 사용되는 광증폭기</t>
        </is>
      </c>
      <c r="H308" s="2" t="inlineStr">
        <is>
          <t>2026-06-02</t>
        </is>
      </c>
      <c r="I308" s="2" t="inlineStr">
        <is>
          <t>2027-12-06</t>
        </is>
      </c>
      <c r="J308" s="5" t="n">
        <v>3868513903</v>
      </c>
      <c r="K308" s="2" t="inlineStr">
        <is>
          <t>-</t>
        </is>
      </c>
      <c r="L308" s="13" t="n">
        <v>21.87</v>
      </c>
      <c r="M308" s="7" t="inlineStr">
        <is>
          <t>1Finity</t>
        </is>
      </c>
      <c r="N308" s="2" t="inlineStr">
        <is>
          <t>20260604900159</t>
        </is>
      </c>
      <c r="O308" s="8">
        <f>HYPERLINK("https://dart.fss.or.kr/dsaf001/main.do?rcpNo=20260604900159", "공시열람")</f>
        <v/>
      </c>
    </row>
    <row r="309" ht="36" customHeight="1">
      <c r="A309" s="2" t="inlineStr">
        <is>
          <t>2026-06-04</t>
        </is>
      </c>
      <c r="B309" s="3" t="inlineStr">
        <is>
          <t>플라즈맵</t>
        </is>
      </c>
      <c r="C309" s="2" t="inlineStr">
        <is>
          <t>코스닥</t>
        </is>
      </c>
      <c r="D309" s="2" t="inlineStr">
        <is>
          <t>405000</t>
        </is>
      </c>
      <c r="E309" s="2" t="inlineStr">
        <is>
          <t>단일판매공급계약체결</t>
        </is>
      </c>
      <c r="F309" s="3" t="inlineStr">
        <is>
          <t xml:space="preserve">단일판매ㆍ공급계약체결              </t>
        </is>
      </c>
      <c r="G309" s="7" t="inlineStr">
        <is>
          <t>U510 및 STERI700 멸균기 제품 공급</t>
        </is>
      </c>
      <c r="H309" s="2" t="inlineStr">
        <is>
          <t>2026-06-02</t>
        </is>
      </c>
      <c r="I309" s="2" t="inlineStr">
        <is>
          <t>2027-06-01</t>
        </is>
      </c>
      <c r="J309" s="5" t="n">
        <v>3531454710</v>
      </c>
      <c r="K309" s="2" t="inlineStr">
        <is>
          <t>-</t>
        </is>
      </c>
      <c r="L309" s="13" t="n">
        <v>41.63</v>
      </c>
      <c r="M309" s="7" t="inlineStr">
        <is>
          <t>Qmed Master Distribution</t>
        </is>
      </c>
      <c r="N309" s="2" t="inlineStr">
        <is>
          <t>20260604900134</t>
        </is>
      </c>
      <c r="O309" s="8">
        <f>HYPERLINK("https://dart.fss.or.kr/dsaf001/main.do?rcpNo=20260604900134", "공시열람")</f>
        <v/>
      </c>
    </row>
    <row r="310" ht="36" customHeight="1">
      <c r="A310" s="2" t="inlineStr">
        <is>
          <t>2026-06-05 (정정: 2026-06-23)</t>
        </is>
      </c>
      <c r="B310" s="3" t="inlineStr">
        <is>
          <t>티와이홀딩스</t>
        </is>
      </c>
      <c r="C310" s="2" t="inlineStr">
        <is>
          <t>코스피</t>
        </is>
      </c>
      <c r="D310" s="2" t="inlineStr">
        <is>
          <t>363280</t>
        </is>
      </c>
      <c r="E310" s="2" t="inlineStr">
        <is>
          <t>단일판매공급계약체결</t>
        </is>
      </c>
      <c r="F310" s="3" t="inlineStr">
        <is>
          <t>단일판매ㆍ공급계약체결(자회사의 주요경영사항)               (정정: 20260623)</t>
        </is>
      </c>
      <c r="G310" s="7" t="inlineStr">
        <is>
          <t>호남고속철도2단계(고막원~목포) 제5공구 건설공사</t>
        </is>
      </c>
      <c r="H310" s="2" t="inlineStr">
        <is>
          <t>2021-06-29</t>
        </is>
      </c>
      <c r="I310" s="2" t="inlineStr">
        <is>
          <t>2027-11-30</t>
        </is>
      </c>
      <c r="J310" s="5" t="n">
        <v>112757480000</v>
      </c>
      <c r="K310" s="2" t="inlineStr">
        <is>
          <t>-</t>
        </is>
      </c>
      <c r="L310" s="13" t="n">
        <v>4.94</v>
      </c>
      <c r="M310" s="7" t="inlineStr">
        <is>
          <t>국가철도공단</t>
        </is>
      </c>
      <c r="N310" s="2" t="inlineStr">
        <is>
          <t>20260623800763</t>
        </is>
      </c>
      <c r="O310" s="8">
        <f>HYPERLINK("https://dart.fss.or.kr/dsaf001/main.do?rcpNo=20260623800763", "공시열람")</f>
        <v/>
      </c>
    </row>
    <row r="311" ht="36" customHeight="1">
      <c r="A311" s="2" t="inlineStr">
        <is>
          <t>2026-06-05 (정정: 2026-06-23)</t>
        </is>
      </c>
      <c r="B311" s="3" t="inlineStr">
        <is>
          <t>태영건설</t>
        </is>
      </c>
      <c r="C311" s="2" t="inlineStr">
        <is>
          <t>코스피</t>
        </is>
      </c>
      <c r="D311" s="2" t="inlineStr">
        <is>
          <t>009410</t>
        </is>
      </c>
      <c r="E311" s="2" t="inlineStr">
        <is>
          <t>단일판매공급계약체결</t>
        </is>
      </c>
      <c r="F311" s="3" t="inlineStr">
        <is>
          <t>단일판매ㆍ공급계약체결               (정정: 20260623)</t>
        </is>
      </c>
      <c r="G311" s="7" t="inlineStr">
        <is>
          <t>호남고속철도2단계(고막원~목포) 제5공구 건설공사</t>
        </is>
      </c>
      <c r="H311" s="2" t="inlineStr">
        <is>
          <t>2021-06-29</t>
        </is>
      </c>
      <c r="I311" s="2" t="inlineStr">
        <is>
          <t>2027-11-30</t>
        </is>
      </c>
      <c r="J311" s="5" t="n">
        <v>112757480000</v>
      </c>
      <c r="K311" s="2" t="inlineStr">
        <is>
          <t>-</t>
        </is>
      </c>
      <c r="L311" s="13" t="n">
        <v>4.94</v>
      </c>
      <c r="M311" s="7" t="inlineStr">
        <is>
          <t>국가철도공단</t>
        </is>
      </c>
      <c r="N311" s="2" t="inlineStr">
        <is>
          <t>20260623800740</t>
        </is>
      </c>
      <c r="O311" s="8">
        <f>HYPERLINK("https://dart.fss.or.kr/dsaf001/main.do?rcpNo=20260623800740", "공시열람")</f>
        <v/>
      </c>
    </row>
    <row r="312" ht="36" customHeight="1">
      <c r="A312" s="2" t="inlineStr">
        <is>
          <t>2026-06-05</t>
        </is>
      </c>
      <c r="B312" s="3" t="inlineStr">
        <is>
          <t>소룩스</t>
        </is>
      </c>
      <c r="C312" s="2" t="inlineStr">
        <is>
          <t>코스닥</t>
        </is>
      </c>
      <c r="D312" s="2" t="inlineStr">
        <is>
          <t>290690</t>
        </is>
      </c>
      <c r="E312" s="2" t="inlineStr">
        <is>
          <t>단일판매공급계약체결</t>
        </is>
      </c>
      <c r="F312" s="3" t="inlineStr">
        <is>
          <t xml:space="preserve">단일판매ㆍ공급계약체결              </t>
        </is>
      </c>
      <c r="G312" s="7" t="inlineStr">
        <is>
          <t>아산 온천동 주상복합 신축공사 전기(통신,전기소방)공사 계약</t>
        </is>
      </c>
      <c r="H312" s="2" t="inlineStr">
        <is>
          <t>2026-09-30</t>
        </is>
      </c>
      <c r="I312" s="2" t="inlineStr">
        <is>
          <t>2030-06-30</t>
        </is>
      </c>
      <c r="J312" s="5" t="n">
        <v>12739000000</v>
      </c>
      <c r="K312" s="2" t="inlineStr">
        <is>
          <t>-</t>
        </is>
      </c>
      <c r="L312" s="13" t="n">
        <v>33.29</v>
      </c>
      <c r="M312" s="7" t="inlineStr">
        <is>
          <t>주식회사 온양온천역메트로하임</t>
        </is>
      </c>
      <c r="N312" s="2" t="inlineStr">
        <is>
          <t>20260605900614</t>
        </is>
      </c>
      <c r="O312" s="8">
        <f>HYPERLINK("https://dart.fss.or.kr/dsaf001/main.do?rcpNo=20260605900614", "공시열람")</f>
        <v/>
      </c>
    </row>
    <row r="313" ht="36" customHeight="1">
      <c r="A313" s="2" t="inlineStr">
        <is>
          <t>2026-06-05</t>
        </is>
      </c>
      <c r="B313" s="3" t="inlineStr">
        <is>
          <t>소룩스</t>
        </is>
      </c>
      <c r="C313" s="2" t="inlineStr">
        <is>
          <t>코스닥</t>
        </is>
      </c>
      <c r="D313" s="2" t="inlineStr">
        <is>
          <t>290690</t>
        </is>
      </c>
      <c r="E313" s="2" t="inlineStr">
        <is>
          <t>단일판매공급계약체결</t>
        </is>
      </c>
      <c r="F313" s="3" t="inlineStr">
        <is>
          <t xml:space="preserve">단일판매ㆍ공급계약체결              </t>
        </is>
      </c>
      <c r="G313" s="7" t="inlineStr">
        <is>
          <t>전주시 기린대로 주상복합 개발사업 신축공사 전기(통신,전기소방)공사 계약서</t>
        </is>
      </c>
      <c r="H313" s="2" t="inlineStr">
        <is>
          <t>2026-08-31</t>
        </is>
      </c>
      <c r="I313" s="2" t="inlineStr">
        <is>
          <t>2029-04-30</t>
        </is>
      </c>
      <c r="J313" s="5" t="n">
        <v>11500000000</v>
      </c>
      <c r="K313" s="2" t="inlineStr">
        <is>
          <t>-</t>
        </is>
      </c>
      <c r="L313" s="13" t="n">
        <v>30.05</v>
      </c>
      <c r="M313" s="7" t="inlineStr">
        <is>
          <t>유한회사 아일랜드</t>
        </is>
      </c>
      <c r="N313" s="2" t="inlineStr">
        <is>
          <t>20260605900618</t>
        </is>
      </c>
      <c r="O313" s="8">
        <f>HYPERLINK("https://dart.fss.or.kr/dsaf001/main.do?rcpNo=20260605900618", "공시열람")</f>
        <v/>
      </c>
    </row>
    <row r="314" ht="36" customHeight="1">
      <c r="A314" s="2" t="inlineStr">
        <is>
          <t>2026-06-05 (정정: 2026-06-05)</t>
        </is>
      </c>
      <c r="B314" s="3" t="inlineStr">
        <is>
          <t>엘에스일렉트릭</t>
        </is>
      </c>
      <c r="C314" s="2" t="inlineStr">
        <is>
          <t>코스피</t>
        </is>
      </c>
      <c r="D314" s="2" t="inlineStr">
        <is>
          <t>010120</t>
        </is>
      </c>
      <c r="E314" s="2" t="inlineStr">
        <is>
          <t>단일판매공급계약체결</t>
        </is>
      </c>
      <c r="F314" s="3" t="inlineStr">
        <is>
          <t>[기재정정]단일판매ㆍ공급계약체결(자율공시)               (정정: 20260605)</t>
        </is>
      </c>
      <c r="G314" s="7" t="inlineStr">
        <is>
          <t>-</t>
        </is>
      </c>
      <c r="H314" s="2" t="inlineStr">
        <is>
          <t>2026-06-05</t>
        </is>
      </c>
      <c r="I314" s="2" t="inlineStr">
        <is>
          <t>2028-07-20</t>
        </is>
      </c>
      <c r="J314" s="5" t="n">
        <v>76370160600</v>
      </c>
      <c r="K314" s="2" t="inlineStr">
        <is>
          <t>-</t>
        </is>
      </c>
      <c r="L314" s="13" t="n">
        <v>1.7</v>
      </c>
      <c r="M314" s="7" t="inlineStr">
        <is>
          <t>㈜케이이엔</t>
        </is>
      </c>
      <c r="N314" s="2" t="inlineStr">
        <is>
          <t>20260605800561</t>
        </is>
      </c>
      <c r="O314" s="8">
        <f>HYPERLINK("https://dart.fss.or.kr/dsaf001/main.do?rcpNo=20260605800561", "공시열람")</f>
        <v/>
      </c>
    </row>
    <row r="315" ht="36" customHeight="1">
      <c r="A315" s="2" t="inlineStr">
        <is>
          <t>2026-06-05 (정정: 2026-06-24)</t>
        </is>
      </c>
      <c r="B315" s="3" t="inlineStr">
        <is>
          <t>계룡건설산업</t>
        </is>
      </c>
      <c r="C315" s="2" t="inlineStr">
        <is>
          <t>코스피</t>
        </is>
      </c>
      <c r="D315" s="2" t="inlineStr">
        <is>
          <t>013580</t>
        </is>
      </c>
      <c r="E315" s="2" t="inlineStr">
        <is>
          <t>단일판매공급계약체결</t>
        </is>
      </c>
      <c r="F315" s="3" t="inlineStr">
        <is>
          <t>단일판매ㆍ공급계약체결               (정정: 20260610) (정정: 20260624)</t>
        </is>
      </c>
      <c r="G315" s="7" t="inlineStr">
        <is>
          <t>쿠팡 덕평 FC 건설프로젝트 중 주공사</t>
        </is>
      </c>
      <c r="H315" s="2" t="inlineStr">
        <is>
          <t>2022-08-01</t>
        </is>
      </c>
      <c r="I315" s="2" t="inlineStr">
        <is>
          <t>2026-10-15</t>
        </is>
      </c>
      <c r="J315" s="5" t="n">
        <v>181792520000</v>
      </c>
      <c r="K315" s="2" t="inlineStr">
        <is>
          <t>-</t>
        </is>
      </c>
      <c r="L315" s="13" t="n">
        <v>7.1</v>
      </c>
      <c r="M315" s="7" t="inlineStr">
        <is>
          <t>쿠팡 주식회사</t>
        </is>
      </c>
      <c r="N315" s="2" t="inlineStr">
        <is>
          <t>20260624800395</t>
        </is>
      </c>
      <c r="O315" s="8">
        <f>HYPERLINK("https://dart.fss.or.kr/dsaf001/main.do?rcpNo=20260624800395", "공시열람")</f>
        <v/>
      </c>
    </row>
    <row r="316" ht="36" customHeight="1">
      <c r="A316" s="2" t="inlineStr">
        <is>
          <t>2026-06-05</t>
        </is>
      </c>
      <c r="B316" s="3" t="inlineStr">
        <is>
          <t>베노티앤알</t>
        </is>
      </c>
      <c r="C316" s="2" t="inlineStr">
        <is>
          <t>코스닥</t>
        </is>
      </c>
      <c r="D316" s="2" t="inlineStr">
        <is>
          <t>206400</t>
        </is>
      </c>
      <c r="E316" s="2" t="inlineStr">
        <is>
          <t>단일판매공급계약체결</t>
        </is>
      </c>
      <c r="F316" s="3" t="inlineStr">
        <is>
          <t xml:space="preserve">단일판매ㆍ공급계약체결              </t>
        </is>
      </c>
      <c r="G316" s="7" t="inlineStr">
        <is>
          <t>도배공사</t>
        </is>
      </c>
      <c r="H316" s="2" t="inlineStr">
        <is>
          <t>2026-06-05</t>
        </is>
      </c>
      <c r="I316" s="2" t="inlineStr">
        <is>
          <t>2027-08-31</t>
        </is>
      </c>
      <c r="J316" s="5" t="n">
        <v>686825000</v>
      </c>
      <c r="K316" s="2" t="inlineStr">
        <is>
          <t>-</t>
        </is>
      </c>
      <c r="L316" s="13" t="n">
        <v>14.38</v>
      </c>
      <c r="M316" s="7" t="inlineStr">
        <is>
          <t>지에스건설 주식회사</t>
        </is>
      </c>
      <c r="N316" s="2" t="inlineStr">
        <is>
          <t>20260605900419</t>
        </is>
      </c>
      <c r="O316" s="8">
        <f>HYPERLINK("https://dart.fss.or.kr/dsaf001/main.do?rcpNo=20260605900419", "공시열람")</f>
        <v/>
      </c>
    </row>
    <row r="317" ht="36" customHeight="1">
      <c r="A317" s="2" t="inlineStr">
        <is>
          <t>2026-06-05</t>
        </is>
      </c>
      <c r="B317" s="3" t="inlineStr">
        <is>
          <t>신성이엔지</t>
        </is>
      </c>
      <c r="C317" s="2" t="inlineStr">
        <is>
          <t>코스피</t>
        </is>
      </c>
      <c r="D317" s="2" t="inlineStr">
        <is>
          <t>011930</t>
        </is>
      </c>
      <c r="E317" s="2" t="inlineStr">
        <is>
          <t>단일판매공급계약체결</t>
        </is>
      </c>
      <c r="F317" s="3" t="inlineStr">
        <is>
          <t xml:space="preserve">단일판매ㆍ공급계약체결(자율공시)              </t>
        </is>
      </c>
      <c r="G317" s="7" t="inlineStr">
        <is>
          <t>-</t>
        </is>
      </c>
      <c r="H317" s="2" t="inlineStr">
        <is>
          <t>2026-10-01</t>
        </is>
      </c>
      <c r="I317" s="2" t="inlineStr">
        <is>
          <t>2027-03-31</t>
        </is>
      </c>
      <c r="J317" s="5" t="n">
        <v>10050000000</v>
      </c>
      <c r="K317" s="2" t="inlineStr">
        <is>
          <t>-</t>
        </is>
      </c>
      <c r="L317" s="13" t="n">
        <v>1.77</v>
      </c>
      <c r="M317" s="7" t="inlineStr">
        <is>
          <t>주식회사 웨이비스 (Wavice Inc.)</t>
        </is>
      </c>
      <c r="N317" s="2" t="inlineStr">
        <is>
          <t>20260605800422</t>
        </is>
      </c>
      <c r="O317" s="8">
        <f>HYPERLINK("https://dart.fss.or.kr/dsaf001/main.do?rcpNo=20260605800422", "공시열람")</f>
        <v/>
      </c>
    </row>
    <row r="318" ht="36" customHeight="1">
      <c r="A318" s="2" t="inlineStr">
        <is>
          <t>2026-06-05</t>
        </is>
      </c>
      <c r="B318" s="3" t="inlineStr">
        <is>
          <t>DL</t>
        </is>
      </c>
      <c r="C318" s="2" t="inlineStr">
        <is>
          <t>코스피</t>
        </is>
      </c>
      <c r="D318" s="2" t="inlineStr">
        <is>
          <t>000210</t>
        </is>
      </c>
      <c r="E318" s="2" t="inlineStr">
        <is>
          <t>단일판매공급계약체결</t>
        </is>
      </c>
      <c r="F318" s="3" t="inlineStr">
        <is>
          <t xml:space="preserve">단일판매ㆍ공급계약체결(자회사의 주요경영사항)              </t>
        </is>
      </c>
      <c r="G318" s="7" t="inlineStr">
        <is>
          <t>제주청정에너지 복합발전소 파워블럭 및 부대설비 설치조건부 구매</t>
        </is>
      </c>
      <c r="H318" s="2" t="inlineStr">
        <is>
          <t>2026-06-04</t>
        </is>
      </c>
      <c r="I318" s="2" t="inlineStr">
        <is>
          <t>2030-04-30</t>
        </is>
      </c>
      <c r="J318" s="5" t="n">
        <v>499875000000</v>
      </c>
      <c r="K318" s="2" t="inlineStr">
        <is>
          <t>-</t>
        </is>
      </c>
      <c r="L318" s="13" t="n">
        <v>6.75</v>
      </c>
      <c r="M318" s="7" t="inlineStr">
        <is>
          <t>한국동서발전주식회사</t>
        </is>
      </c>
      <c r="N318" s="2" t="inlineStr">
        <is>
          <t>20260605800410</t>
        </is>
      </c>
      <c r="O318" s="8">
        <f>HYPERLINK("https://dart.fss.or.kr/dsaf001/main.do?rcpNo=20260605800410", "공시열람")</f>
        <v/>
      </c>
    </row>
    <row r="319" ht="36" customHeight="1">
      <c r="A319" s="2" t="inlineStr">
        <is>
          <t>2026-06-05 (정정: 2026-06-24)</t>
        </is>
      </c>
      <c r="B319" s="3" t="inlineStr">
        <is>
          <t>DL이앤씨</t>
        </is>
      </c>
      <c r="C319" s="2" t="inlineStr">
        <is>
          <t>코스피</t>
        </is>
      </c>
      <c r="D319" s="2" t="inlineStr">
        <is>
          <t>375500</t>
        </is>
      </c>
      <c r="E319" s="2" t="inlineStr">
        <is>
          <t>단일판매공급계약체결</t>
        </is>
      </c>
      <c r="F319" s="3" t="inlineStr">
        <is>
          <t>단일판매ㆍ공급계약체결               (정정: 20260624)</t>
        </is>
      </c>
      <c r="G319" s="7" t="inlineStr">
        <is>
          <t>울릉공항 건설공사</t>
        </is>
      </c>
      <c r="H319" s="2" t="inlineStr">
        <is>
          <t>2020-07-23</t>
        </is>
      </c>
      <c r="I319" s="2" t="inlineStr">
        <is>
          <t>2027-10-31</t>
        </is>
      </c>
      <c r="J319" s="5" t="n">
        <v>280317716982</v>
      </c>
      <c r="K319" s="2" t="inlineStr">
        <is>
          <t>-</t>
        </is>
      </c>
      <c r="L319" s="13" t="n">
        <v>3.21</v>
      </c>
      <c r="M319" s="7" t="inlineStr">
        <is>
          <t>국토교통부 부산지방항공청</t>
        </is>
      </c>
      <c r="N319" s="2" t="inlineStr">
        <is>
          <t>20260624800895</t>
        </is>
      </c>
      <c r="O319" s="8">
        <f>HYPERLINK("https://dart.fss.or.kr/dsaf001/main.do?rcpNo=20260624800895", "공시열람")</f>
        <v/>
      </c>
    </row>
    <row r="320" ht="36" customHeight="1">
      <c r="A320" s="2" t="inlineStr">
        <is>
          <t>2026-02-12 (정정: 2026-06-05)</t>
        </is>
      </c>
      <c r="B320" s="3" t="inlineStr">
        <is>
          <t>일진전기</t>
        </is>
      </c>
      <c r="C320" s="2" t="inlineStr">
        <is>
          <t>코스피</t>
        </is>
      </c>
      <c r="D320" s="2" t="inlineStr">
        <is>
          <t>103590</t>
        </is>
      </c>
      <c r="E320" s="2" t="inlineStr">
        <is>
          <t>단일판매공급계약체결</t>
        </is>
      </c>
      <c r="F320" s="3" t="inlineStr">
        <is>
          <t xml:space="preserve">[기재정정]단일판매ㆍ공급계약체결              </t>
        </is>
      </c>
      <c r="G320" s="7" t="inlineStr">
        <is>
          <t>영광 그린 태양광 발전사업 공사도급계약</t>
        </is>
      </c>
      <c r="H320" s="2" t="inlineStr">
        <is>
          <t>2026-06-05</t>
        </is>
      </c>
      <c r="I320" s="2" t="inlineStr">
        <is>
          <t>2028-07-20</t>
        </is>
      </c>
      <c r="J320" s="5" t="n">
        <v>110081000000</v>
      </c>
      <c r="K320" s="2" t="inlineStr">
        <is>
          <t>-</t>
        </is>
      </c>
      <c r="L320" s="13" t="n">
        <v>6.98</v>
      </c>
      <c r="M320" s="7" t="inlineStr">
        <is>
          <t>㈜케이이엔</t>
        </is>
      </c>
      <c r="N320" s="2" t="inlineStr">
        <is>
          <t>20260605800406</t>
        </is>
      </c>
      <c r="O320" s="8">
        <f>HYPERLINK("https://dart.fss.or.kr/dsaf001/main.do?rcpNo=20260605800406", "공시열람")</f>
        <v/>
      </c>
    </row>
    <row r="321" ht="36" customHeight="1">
      <c r="A321" s="2" t="inlineStr">
        <is>
          <t>2026-06-05</t>
        </is>
      </c>
      <c r="B321" s="3" t="inlineStr">
        <is>
          <t>휴니드테크놀러지스</t>
        </is>
      </c>
      <c r="C321" s="2" t="inlineStr">
        <is>
          <t>코스피</t>
        </is>
      </c>
      <c r="D321" s="2" t="inlineStr">
        <is>
          <t>005870</t>
        </is>
      </c>
      <c r="E321" s="2" t="inlineStr">
        <is>
          <t>단일판매공급계약체결</t>
        </is>
      </c>
      <c r="F321" s="3" t="inlineStr">
        <is>
          <t xml:space="preserve">단일판매ㆍ공급계약체결              </t>
        </is>
      </c>
      <c r="G321" s="7" t="inlineStr">
        <is>
          <t>H-47 항공전자장비 공급</t>
        </is>
      </c>
      <c r="H321" s="2" t="inlineStr">
        <is>
          <t>2026-06-04</t>
        </is>
      </c>
      <c r="I321" s="2" t="inlineStr">
        <is>
          <t>2028-10-16</t>
        </is>
      </c>
      <c r="J321" s="5" t="n">
        <v>7534201039</v>
      </c>
      <c r="K321" s="2" t="inlineStr">
        <is>
          <t>-</t>
        </is>
      </c>
      <c r="L321" s="13" t="n">
        <v>5.49</v>
      </c>
      <c r="M321" s="7" t="inlineStr">
        <is>
          <t>The Boeing Company</t>
        </is>
      </c>
      <c r="N321" s="2" t="inlineStr">
        <is>
          <t>20260605800404</t>
        </is>
      </c>
      <c r="O321" s="8">
        <f>HYPERLINK("https://dart.fss.or.kr/dsaf001/main.do?rcpNo=20260605800404", "공시열람")</f>
        <v/>
      </c>
    </row>
    <row r="322" ht="36" customHeight="1">
      <c r="A322" s="2" t="inlineStr">
        <is>
          <t>2026-06-05</t>
        </is>
      </c>
      <c r="B322" s="3" t="inlineStr">
        <is>
          <t>테스</t>
        </is>
      </c>
      <c r="C322" s="2" t="inlineStr">
        <is>
          <t>코스닥</t>
        </is>
      </c>
      <c r="D322" s="2" t="inlineStr">
        <is>
          <t>095610</t>
        </is>
      </c>
      <c r="E322" s="2" t="inlineStr">
        <is>
          <t>단일판매공급계약체결</t>
        </is>
      </c>
      <c r="F322" s="3" t="inlineStr">
        <is>
          <t xml:space="preserve">단일판매ㆍ공급계약체결(자율공시)              </t>
        </is>
      </c>
      <c r="G322" s="7" t="inlineStr">
        <is>
          <t>반도체 제조장비</t>
        </is>
      </c>
      <c r="H322" s="2" t="inlineStr">
        <is>
          <t>2026-06-04</t>
        </is>
      </c>
      <c r="I322" s="2" t="inlineStr">
        <is>
          <t>2027-01-15</t>
        </is>
      </c>
      <c r="J322" s="5" t="n">
        <v>21200000000</v>
      </c>
      <c r="K322" s="2" t="inlineStr">
        <is>
          <t>-</t>
        </is>
      </c>
      <c r="L322" s="13" t="n">
        <v>6.04</v>
      </c>
      <c r="M322" s="7" t="inlineStr">
        <is>
          <t>SK하이닉스</t>
        </is>
      </c>
      <c r="N322" s="2" t="inlineStr">
        <is>
          <t>20260605900283</t>
        </is>
      </c>
      <c r="O322" s="8">
        <f>HYPERLINK("https://dart.fss.or.kr/dsaf001/main.do?rcpNo=20260605900283", "공시열람")</f>
        <v/>
      </c>
    </row>
    <row r="323" ht="36" customHeight="1">
      <c r="A323" s="2" t="inlineStr">
        <is>
          <t>2026-06-05</t>
        </is>
      </c>
      <c r="B323" s="3" t="inlineStr">
        <is>
          <t>유바이오로직스</t>
        </is>
      </c>
      <c r="C323" s="2" t="inlineStr">
        <is>
          <t>코스닥</t>
        </is>
      </c>
      <c r="D323" s="2" t="inlineStr">
        <is>
          <t>206650</t>
        </is>
      </c>
      <c r="E323" s="2" t="inlineStr">
        <is>
          <t>단일판매공급계약체결</t>
        </is>
      </c>
      <c r="F323" s="3" t="inlineStr">
        <is>
          <t xml:space="preserve">단일판매ㆍ공급계약체결(자율공시)              </t>
        </is>
      </c>
      <c r="G323" s="7" t="inlineStr">
        <is>
          <t>경구용 콜레라 백신(유비콜) 납품</t>
        </is>
      </c>
      <c r="H323" s="2" t="inlineStr">
        <is>
          <t>2026-06-04</t>
        </is>
      </c>
      <c r="I323" s="2" t="inlineStr">
        <is>
          <t>2026-08-03</t>
        </is>
      </c>
      <c r="J323" s="5" t="n">
        <v>13262197000</v>
      </c>
      <c r="K323" s="2" t="inlineStr">
        <is>
          <t>-</t>
        </is>
      </c>
      <c r="L323" s="13" t="n">
        <v>8.890000000000001</v>
      </c>
      <c r="M323" s="7" t="inlineStr">
        <is>
          <t>UNICEF</t>
        </is>
      </c>
      <c r="N323" s="2" t="inlineStr">
        <is>
          <t>20260605900172</t>
        </is>
      </c>
      <c r="O323" s="8">
        <f>HYPERLINK("https://dart.fss.or.kr/dsaf001/main.do?rcpNo=20260605900172", "공시열람")</f>
        <v/>
      </c>
    </row>
    <row r="324" ht="36" customHeight="1">
      <c r="A324" s="2" t="inlineStr">
        <is>
          <t>2026-06-05</t>
        </is>
      </c>
      <c r="B324" s="3" t="inlineStr">
        <is>
          <t>카티스</t>
        </is>
      </c>
      <c r="C324" s="2" t="inlineStr">
        <is>
          <t>코스닥</t>
        </is>
      </c>
      <c r="D324" s="2" t="inlineStr">
        <is>
          <t>140430</t>
        </is>
      </c>
      <c r="E324" s="2" t="inlineStr">
        <is>
          <t>단일판매공급계약체결</t>
        </is>
      </c>
      <c r="F324" s="3" t="inlineStr">
        <is>
          <t xml:space="preserve">단일판매ㆍ공급계약체결              </t>
        </is>
      </c>
      <c r="G324" s="7" t="inlineStr">
        <is>
          <t>김포데이터센터 Security &amp; IT Infra 공사</t>
        </is>
      </c>
      <c r="H324" s="2" t="inlineStr">
        <is>
          <t>2026-06-04</t>
        </is>
      </c>
      <c r="I324" s="2" t="inlineStr">
        <is>
          <t>2027-10-24</t>
        </is>
      </c>
      <c r="J324" s="5" t="n">
        <v>5810000000</v>
      </c>
      <c r="K324" s="2" t="inlineStr">
        <is>
          <t>-</t>
        </is>
      </c>
      <c r="L324" s="13" t="n">
        <v>20.82</v>
      </c>
      <c r="M324" s="7" t="inlineStr">
        <is>
          <t>(주)대림</t>
        </is>
      </c>
      <c r="N324" s="2" t="inlineStr">
        <is>
          <t>20260605900108</t>
        </is>
      </c>
      <c r="O324" s="8">
        <f>HYPERLINK("https://dart.fss.or.kr/dsaf001/main.do?rcpNo=20260605900108", "공시열람")</f>
        <v/>
      </c>
    </row>
    <row r="325" ht="36" customHeight="1">
      <c r="A325" s="2" t="inlineStr">
        <is>
          <t>2026-06-08</t>
        </is>
      </c>
      <c r="B325" s="3" t="inlineStr">
        <is>
          <t>팸텍</t>
        </is>
      </c>
      <c r="C325" s="2" t="inlineStr">
        <is>
          <t>코스닥</t>
        </is>
      </c>
      <c r="D325" s="2" t="inlineStr">
        <is>
          <t>271830</t>
        </is>
      </c>
      <c r="E325" s="2" t="inlineStr">
        <is>
          <t>단일판매공급계약체결</t>
        </is>
      </c>
      <c r="F325" s="3" t="inlineStr">
        <is>
          <t xml:space="preserve">단일판매ㆍ공급계약체결(자율공시)              </t>
        </is>
      </c>
      <c r="G325" s="7" t="inlineStr">
        <is>
          <t>검사 장비 공급</t>
        </is>
      </c>
      <c r="H325" s="2" t="inlineStr">
        <is>
          <t>2026-06-08</t>
        </is>
      </c>
      <c r="I325" s="2" t="inlineStr">
        <is>
          <t>2026-12-31</t>
        </is>
      </c>
      <c r="J325" s="5" t="n">
        <v>3120000000</v>
      </c>
      <c r="K325" s="2" t="inlineStr">
        <is>
          <t>-</t>
        </is>
      </c>
      <c r="L325" s="13" t="n">
        <v>8.050000000000001</v>
      </c>
      <c r="M325" s="7" t="inlineStr">
        <is>
          <t>LG전자 주식회사</t>
        </is>
      </c>
      <c r="N325" s="2" t="inlineStr">
        <is>
          <t>20260608901034</t>
        </is>
      </c>
      <c r="O325" s="8">
        <f>HYPERLINK("https://dart.fss.or.kr/dsaf001/main.do?rcpNo=20260608901034", "공시열람")</f>
        <v/>
      </c>
    </row>
    <row r="326" ht="36" customHeight="1">
      <c r="A326" s="2" t="inlineStr">
        <is>
          <t>2026-06-08</t>
        </is>
      </c>
      <c r="B326" s="3" t="inlineStr">
        <is>
          <t>플레이그램</t>
        </is>
      </c>
      <c r="C326" s="2" t="inlineStr">
        <is>
          <t>코스피</t>
        </is>
      </c>
      <c r="D326" s="2" t="inlineStr">
        <is>
          <t>009810</t>
        </is>
      </c>
      <c r="E326" s="2" t="inlineStr">
        <is>
          <t>단일판매공급계약체결</t>
        </is>
      </c>
      <c r="F326" s="3" t="inlineStr">
        <is>
          <t xml:space="preserve">단일판매ㆍ공급계약체결              </t>
        </is>
      </c>
      <c r="G326" s="7" t="inlineStr">
        <is>
          <t>드라마 제작 및 공급 계약</t>
        </is>
      </c>
      <c r="H326" s="2" t="inlineStr">
        <is>
          <t>2026-06-05</t>
        </is>
      </c>
      <c r="I326" s="2" t="inlineStr">
        <is>
          <t>2027-06-18</t>
        </is>
      </c>
      <c r="J326" s="5" t="inlineStr"/>
      <c r="K326" s="2" t="inlineStr">
        <is>
          <t>-</t>
        </is>
      </c>
      <c r="L326" s="3" t="inlineStr"/>
      <c r="M326" s="7" t="inlineStr">
        <is>
          <t>에스엘엘중앙 주식회사</t>
        </is>
      </c>
      <c r="N326" s="2" t="inlineStr">
        <is>
          <t>20260608801027</t>
        </is>
      </c>
      <c r="O326" s="8">
        <f>HYPERLINK("https://dart.fss.or.kr/dsaf001/main.do?rcpNo=20260608801027", "공시열람")</f>
        <v/>
      </c>
    </row>
    <row r="327" ht="36" customHeight="1">
      <c r="A327" s="2" t="inlineStr">
        <is>
          <t>2025-10-20 (정정: 2026-06-08)</t>
        </is>
      </c>
      <c r="B327" s="3" t="inlineStr">
        <is>
          <t>SNT홀딩스</t>
        </is>
      </c>
      <c r="C327" s="2" t="inlineStr">
        <is>
          <t>코스피</t>
        </is>
      </c>
      <c r="D327" s="2" t="inlineStr">
        <is>
          <t>036530</t>
        </is>
      </c>
      <c r="E327" s="2" t="inlineStr">
        <is>
          <t>단일판매공급계약체결</t>
        </is>
      </c>
      <c r="F327" s="3" t="inlineStr">
        <is>
          <t xml:space="preserve">[기재정정]단일판매ㆍ공급계약체결(자회사의 주요경영사항)              </t>
        </is>
      </c>
      <c r="G327" s="7" t="inlineStr">
        <is>
          <t>Air Cooler(에어 쿨러) 공급계약</t>
        </is>
      </c>
      <c r="H327" s="2" t="inlineStr">
        <is>
          <t>2025-10-20</t>
        </is>
      </c>
      <c r="I327" s="2" t="inlineStr">
        <is>
          <t>2027-09-02</t>
        </is>
      </c>
      <c r="J327" s="5" t="n">
        <v>34160267500</v>
      </c>
      <c r="K327" s="2" t="inlineStr">
        <is>
          <t>-</t>
        </is>
      </c>
      <c r="L327" s="13" t="n">
        <v>11.61</v>
      </c>
      <c r="M327" s="7" t="inlineStr">
        <is>
          <t>BECHTEL ENERGY INC.</t>
        </is>
      </c>
      <c r="N327" s="2" t="inlineStr">
        <is>
          <t>20260608800843</t>
        </is>
      </c>
      <c r="O327" s="8">
        <f>HYPERLINK("https://dart.fss.or.kr/dsaf001/main.do?rcpNo=20260608800843", "공시열람")</f>
        <v/>
      </c>
    </row>
    <row r="328" ht="36" customHeight="1">
      <c r="A328" s="2" t="inlineStr">
        <is>
          <t>2026-06-08</t>
        </is>
      </c>
      <c r="B328" s="3" t="inlineStr">
        <is>
          <t>이미지스</t>
        </is>
      </c>
      <c r="C328" s="2" t="inlineStr">
        <is>
          <t>코스닥</t>
        </is>
      </c>
      <c r="D328" s="2" t="inlineStr">
        <is>
          <t>115610</t>
        </is>
      </c>
      <c r="E328" s="2" t="inlineStr">
        <is>
          <t>단일판매공급계약체결</t>
        </is>
      </c>
      <c r="F328" s="3" t="inlineStr">
        <is>
          <t xml:space="preserve">단일판매ㆍ공급계약체결              </t>
        </is>
      </c>
      <c r="G328" s="7" t="inlineStr">
        <is>
          <t>차량용 반도체 공급계약</t>
        </is>
      </c>
      <c r="H328" s="2" t="inlineStr">
        <is>
          <t>2026-07-01</t>
        </is>
      </c>
      <c r="I328" s="2" t="inlineStr">
        <is>
          <t>2026-12-31</t>
        </is>
      </c>
      <c r="J328" s="5" t="n">
        <v>5780463750</v>
      </c>
      <c r="K328" s="2" t="inlineStr">
        <is>
          <t>-</t>
        </is>
      </c>
      <c r="L328" s="13" t="n">
        <v>43.71</v>
      </c>
      <c r="M328" s="7" t="inlineStr">
        <is>
          <t>차량용 반도체 공급대리점</t>
        </is>
      </c>
      <c r="N328" s="2" t="inlineStr">
        <is>
          <t>20260608900816</t>
        </is>
      </c>
      <c r="O328" s="8">
        <f>HYPERLINK("https://dart.fss.or.kr/dsaf001/main.do?rcpNo=20260608900816", "공시열람")</f>
        <v/>
      </c>
    </row>
    <row r="329" ht="36" customHeight="1">
      <c r="A329" s="2" t="inlineStr">
        <is>
          <t>2025-10-20 (정정: 2026-06-08)</t>
        </is>
      </c>
      <c r="B329" s="3" t="inlineStr">
        <is>
          <t>SNT에너지</t>
        </is>
      </c>
      <c r="C329" s="2" t="inlineStr">
        <is>
          <t>코스피</t>
        </is>
      </c>
      <c r="D329" s="2" t="inlineStr">
        <is>
          <t>100840</t>
        </is>
      </c>
      <c r="E329" s="2" t="inlineStr">
        <is>
          <t>단일판매공급계약체결</t>
        </is>
      </c>
      <c r="F329" s="3" t="inlineStr">
        <is>
          <t xml:space="preserve">[기재정정]단일판매ㆍ공급계약체결              </t>
        </is>
      </c>
      <c r="G329" s="7" t="inlineStr">
        <is>
          <t>Air Cooler(에어 쿨러) 공급계약</t>
        </is>
      </c>
      <c r="H329" s="2" t="inlineStr">
        <is>
          <t>2025-10-20</t>
        </is>
      </c>
      <c r="I329" s="2" t="inlineStr">
        <is>
          <t>2027-09-02</t>
        </is>
      </c>
      <c r="J329" s="5" t="n">
        <v>34160267500</v>
      </c>
      <c r="K329" s="2" t="inlineStr">
        <is>
          <t>-</t>
        </is>
      </c>
      <c r="L329" s="13" t="n">
        <v>11.61</v>
      </c>
      <c r="M329" s="7" t="inlineStr">
        <is>
          <t>BECHTEL ENERGY INC.</t>
        </is>
      </c>
      <c r="N329" s="2" t="inlineStr">
        <is>
          <t>20260608800836</t>
        </is>
      </c>
      <c r="O329" s="8">
        <f>HYPERLINK("https://dart.fss.or.kr/dsaf001/main.do?rcpNo=20260608800836", "공시열람")</f>
        <v/>
      </c>
    </row>
    <row r="330" ht="36" customHeight="1">
      <c r="A330" s="2" t="inlineStr">
        <is>
          <t>2026-06-08</t>
        </is>
      </c>
      <c r="B330" s="3" t="inlineStr">
        <is>
          <t>삼성중공업</t>
        </is>
      </c>
      <c r="C330" s="2" t="inlineStr">
        <is>
          <t>코스피</t>
        </is>
      </c>
      <c r="D330" s="2" t="inlineStr">
        <is>
          <t>010140</t>
        </is>
      </c>
      <c r="E330" s="2" t="inlineStr">
        <is>
          <t>단일판매공급계약체결</t>
        </is>
      </c>
      <c r="F330" s="3" t="inlineStr">
        <is>
          <t xml:space="preserve">단일판매ㆍ공급계약체결              </t>
        </is>
      </c>
      <c r="G330" s="7" t="inlineStr">
        <is>
          <t>해양생산설비 1기</t>
        </is>
      </c>
      <c r="H330" s="2" t="inlineStr">
        <is>
          <t>2023-06-05</t>
        </is>
      </c>
      <c r="I330" s="2" t="inlineStr">
        <is>
          <t>2029-09-30</t>
        </is>
      </c>
      <c r="J330" s="5" t="n">
        <v>1904600000000</v>
      </c>
      <c r="K330" s="2" t="inlineStr">
        <is>
          <t>-</t>
        </is>
      </c>
      <c r="L330" s="13" t="n">
        <v>17.9</v>
      </c>
      <c r="M330" s="7" t="inlineStr">
        <is>
          <t>아프리카 지역 선주</t>
        </is>
      </c>
      <c r="N330" s="2" t="inlineStr">
        <is>
          <t>20260608800714</t>
        </is>
      </c>
      <c r="O330" s="8">
        <f>HYPERLINK("https://dart.fss.or.kr/dsaf001/main.do?rcpNo=20260608800714", "공시열람")</f>
        <v/>
      </c>
    </row>
    <row r="331" ht="36" customHeight="1">
      <c r="A331" s="2" t="inlineStr">
        <is>
          <t>2026-06-08</t>
        </is>
      </c>
      <c r="B331" s="3" t="inlineStr">
        <is>
          <t>뉴보텍</t>
        </is>
      </c>
      <c r="C331" s="2" t="inlineStr">
        <is>
          <t>코스닥</t>
        </is>
      </c>
      <c r="D331" s="2" t="inlineStr">
        <is>
          <t>060260</t>
        </is>
      </c>
      <c r="E331" s="2" t="inlineStr">
        <is>
          <t>단일판매공급계약체결</t>
        </is>
      </c>
      <c r="F331" s="3" t="inlineStr">
        <is>
          <t xml:space="preserve">유동성공급계약의체결              </t>
        </is>
      </c>
      <c r="G331" s="7" t="inlineStr">
        <is>
          <t>-</t>
        </is>
      </c>
      <c r="H331" s="2" t="inlineStr">
        <is>
          <t>2026-06-11</t>
        </is>
      </c>
      <c r="I331" s="2" t="inlineStr">
        <is>
          <t>2027-06-10</t>
        </is>
      </c>
      <c r="J331" s="5" t="inlineStr"/>
      <c r="K331" s="2" t="inlineStr">
        <is>
          <t>-</t>
        </is>
      </c>
      <c r="L331" s="3" t="inlineStr"/>
      <c r="M331" s="7" t="inlineStr">
        <is>
          <t>-</t>
        </is>
      </c>
      <c r="N331" s="2" t="inlineStr">
        <is>
          <t>20260608900640</t>
        </is>
      </c>
      <c r="O331" s="8">
        <f>HYPERLINK("https://dart.fss.or.kr/dsaf001/main.do?rcpNo=20260608900640", "공시열람")</f>
        <v/>
      </c>
    </row>
    <row r="332" ht="36" customHeight="1">
      <c r="A332" s="2" t="inlineStr">
        <is>
          <t>2026-06-08</t>
        </is>
      </c>
      <c r="B332" s="3" t="inlineStr">
        <is>
          <t>디지캡</t>
        </is>
      </c>
      <c r="C332" s="2" t="inlineStr">
        <is>
          <t>코스닥</t>
        </is>
      </c>
      <c r="D332" s="2" t="inlineStr">
        <is>
          <t>197140</t>
        </is>
      </c>
      <c r="E332" s="2" t="inlineStr">
        <is>
          <t>단일판매공급계약체결</t>
        </is>
      </c>
      <c r="F332" s="3" t="inlineStr">
        <is>
          <t xml:space="preserve">단일판매ㆍ공급계약체결              </t>
        </is>
      </c>
      <c r="G332" s="7" t="inlineStr">
        <is>
          <t>소프트웨어 공급 계약</t>
        </is>
      </c>
      <c r="H332" s="2" t="inlineStr">
        <is>
          <t>2026-06-01</t>
        </is>
      </c>
      <c r="I332" s="2" t="inlineStr">
        <is>
          <t>2029-05-31</t>
        </is>
      </c>
      <c r="J332" s="5" t="n">
        <v>10392618840</v>
      </c>
      <c r="K332" s="2" t="inlineStr">
        <is>
          <t>-</t>
        </is>
      </c>
      <c r="L332" s="13" t="n">
        <v>15.6</v>
      </c>
      <c r="M332" s="7" t="inlineStr">
        <is>
          <t>네이버 주식회사</t>
        </is>
      </c>
      <c r="N332" s="2" t="inlineStr">
        <is>
          <t>20260608900583</t>
        </is>
      </c>
      <c r="O332" s="8">
        <f>HYPERLINK("https://dart.fss.or.kr/dsaf001/main.do?rcpNo=20260608900583", "공시열람")</f>
        <v/>
      </c>
    </row>
    <row r="333" ht="36" customHeight="1">
      <c r="A333" s="2" t="inlineStr">
        <is>
          <t>2026-06-08</t>
        </is>
      </c>
      <c r="B333" s="3" t="inlineStr">
        <is>
          <t>RF시스템즈</t>
        </is>
      </c>
      <c r="C333" s="2" t="inlineStr">
        <is>
          <t>코스닥</t>
        </is>
      </c>
      <c r="D333" s="2" t="inlineStr">
        <is>
          <t>474610</t>
        </is>
      </c>
      <c r="E333" s="2" t="inlineStr">
        <is>
          <t>단일판매공급계약체결</t>
        </is>
      </c>
      <c r="F333" s="3" t="inlineStr">
        <is>
          <t xml:space="preserve">단일판매ㆍ공급계약체결              </t>
        </is>
      </c>
      <c r="G333" s="7" t="inlineStr">
        <is>
          <t>CIWS-II (근접방어무기체계)용 환경제어장치 공급 계약의 건</t>
        </is>
      </c>
      <c r="H333" s="2" t="inlineStr">
        <is>
          <t>2026-06-05</t>
        </is>
      </c>
      <c r="I333" s="2" t="inlineStr">
        <is>
          <t>2029-10-01</t>
        </is>
      </c>
      <c r="J333" s="5" t="n">
        <v>6861493515</v>
      </c>
      <c r="K333" s="2" t="inlineStr">
        <is>
          <t>-</t>
        </is>
      </c>
      <c r="L333" s="13" t="n">
        <v>17.97</v>
      </c>
      <c r="M333" s="7" t="inlineStr">
        <is>
          <t>LIG디펜스앤에어로스페이스</t>
        </is>
      </c>
      <c r="N333" s="2" t="inlineStr">
        <is>
          <t>20260608900572</t>
        </is>
      </c>
      <c r="O333" s="8">
        <f>HYPERLINK("https://dart.fss.or.kr/dsaf001/main.do?rcpNo=20260608900572", "공시열람")</f>
        <v/>
      </c>
    </row>
    <row r="334" ht="36" customHeight="1">
      <c r="A334" s="2" t="inlineStr">
        <is>
          <t>2026-06-08</t>
        </is>
      </c>
      <c r="B334" s="3" t="inlineStr">
        <is>
          <t>태성</t>
        </is>
      </c>
      <c r="C334" s="2" t="inlineStr">
        <is>
          <t>코스닥</t>
        </is>
      </c>
      <c r="D334" s="2" t="inlineStr">
        <is>
          <t>323280</t>
        </is>
      </c>
      <c r="E334" s="2" t="inlineStr">
        <is>
          <t>단일판매공급계약체결</t>
        </is>
      </c>
      <c r="F334" s="3" t="inlineStr">
        <is>
          <t xml:space="preserve">단일판매ㆍ공급계약체결              </t>
        </is>
      </c>
      <c r="G334" s="7" t="inlineStr">
        <is>
          <t>PCB 자동화 장비</t>
        </is>
      </c>
      <c r="H334" s="2" t="inlineStr">
        <is>
          <t>2026-06-08</t>
        </is>
      </c>
      <c r="I334" s="2" t="inlineStr">
        <is>
          <t>2028-04-10</t>
        </is>
      </c>
      <c r="J334" s="5" t="n">
        <v>6079420000</v>
      </c>
      <c r="K334" s="2" t="inlineStr">
        <is>
          <t>-</t>
        </is>
      </c>
      <c r="L334" s="13" t="n">
        <v>16.06</v>
      </c>
      <c r="M334" s="7" t="inlineStr">
        <is>
          <t>해외 에이전트</t>
        </is>
      </c>
      <c r="N334" s="2" t="inlineStr">
        <is>
          <t>20260608900497</t>
        </is>
      </c>
      <c r="O334" s="8">
        <f>HYPERLINK("https://dart.fss.or.kr/dsaf001/main.do?rcpNo=20260608900497", "공시열람")</f>
        <v/>
      </c>
    </row>
    <row r="335" ht="36" customHeight="1">
      <c r="A335" s="2" t="inlineStr">
        <is>
          <t>2026-06-08 (정정: 2026-06-08)</t>
        </is>
      </c>
      <c r="B335" s="3" t="inlineStr">
        <is>
          <t>스피어</t>
        </is>
      </c>
      <c r="C335" s="2" t="inlineStr">
        <is>
          <t>코스닥</t>
        </is>
      </c>
      <c r="D335" s="2" t="inlineStr">
        <is>
          <t>347700</t>
        </is>
      </c>
      <c r="E335" s="2" t="inlineStr">
        <is>
          <t>단일판매공급계약체결</t>
        </is>
      </c>
      <c r="F335" s="3" t="inlineStr">
        <is>
          <t>단일판매ㆍ공급계약체결               (정정: 20260608)</t>
        </is>
      </c>
      <c r="G335" s="7" t="inlineStr">
        <is>
          <t>특수합금 공급계약</t>
        </is>
      </c>
      <c r="H335" s="2" t="inlineStr">
        <is>
          <t>2025-12-26</t>
        </is>
      </c>
      <c r="I335" s="2" t="inlineStr">
        <is>
          <t>2026-07-03</t>
        </is>
      </c>
      <c r="J335" s="5" t="n">
        <v>535513334</v>
      </c>
      <c r="K335" s="2" t="inlineStr">
        <is>
          <t>-</t>
        </is>
      </c>
      <c r="L335" s="13" t="n">
        <v>20.94</v>
      </c>
      <c r="M335" s="7" t="inlineStr">
        <is>
          <t>미국 글로벌 우주항공 발사업체</t>
        </is>
      </c>
      <c r="N335" s="2" t="inlineStr">
        <is>
          <t>20260608900504</t>
        </is>
      </c>
      <c r="O335" s="8">
        <f>HYPERLINK("https://dart.fss.or.kr/dsaf001/main.do?rcpNo=20260608900504", "공시열람")</f>
        <v/>
      </c>
    </row>
    <row r="336" ht="36" customHeight="1">
      <c r="A336" s="2" t="inlineStr">
        <is>
          <t>2026-06-08</t>
        </is>
      </c>
      <c r="B336" s="3" t="inlineStr">
        <is>
          <t>아이비젼웍스</t>
        </is>
      </c>
      <c r="C336" s="2" t="inlineStr">
        <is>
          <t>코스닥</t>
        </is>
      </c>
      <c r="D336" s="2" t="inlineStr">
        <is>
          <t>469750</t>
        </is>
      </c>
      <c r="E336" s="2" t="inlineStr">
        <is>
          <t>단일판매공급계약체결</t>
        </is>
      </c>
      <c r="F336" s="3" t="inlineStr">
        <is>
          <t xml:space="preserve">단일판매ㆍ공급계약체결              </t>
        </is>
      </c>
      <c r="G336" s="7" t="inlineStr">
        <is>
          <t>2차전지 검사시스템 공급계약</t>
        </is>
      </c>
      <c r="H336" s="2" t="inlineStr">
        <is>
          <t>2026-06-05</t>
        </is>
      </c>
      <c r="I336" s="2" t="inlineStr">
        <is>
          <t>2027-06-05</t>
        </is>
      </c>
      <c r="J336" s="5" t="n">
        <v>3680000000</v>
      </c>
      <c r="K336" s="2" t="inlineStr">
        <is>
          <t>-</t>
        </is>
      </c>
      <c r="L336" s="13" t="n">
        <v>16</v>
      </c>
      <c r="M336" s="7" t="inlineStr">
        <is>
          <t>-</t>
        </is>
      </c>
      <c r="N336" s="2" t="inlineStr">
        <is>
          <t>20260608900462</t>
        </is>
      </c>
      <c r="O336" s="8">
        <f>HYPERLINK("https://dart.fss.or.kr/dsaf001/main.do?rcpNo=20260608900462", "공시열람")</f>
        <v/>
      </c>
    </row>
    <row r="337" ht="36" customHeight="1">
      <c r="A337" s="2" t="inlineStr">
        <is>
          <t>2026-06-08</t>
        </is>
      </c>
      <c r="B337" s="3" t="inlineStr">
        <is>
          <t>한미반도체</t>
        </is>
      </c>
      <c r="C337" s="2" t="inlineStr">
        <is>
          <t>코스피</t>
        </is>
      </c>
      <c r="D337" s="2" t="inlineStr">
        <is>
          <t>042700</t>
        </is>
      </c>
      <c r="E337" s="2" t="inlineStr">
        <is>
          <t>단일판매공급계약체결</t>
        </is>
      </c>
      <c r="F337" s="3" t="inlineStr">
        <is>
          <t xml:space="preserve">단일판매ㆍ공급계약체결              </t>
        </is>
      </c>
      <c r="G337" s="7" t="inlineStr">
        <is>
          <t>HBM4 제조용 'TC BONDER 4.5 GRIFFIN' 장비 수주</t>
        </is>
      </c>
      <c r="H337" s="2" t="inlineStr">
        <is>
          <t>2026-06-08</t>
        </is>
      </c>
      <c r="I337" s="2" t="inlineStr">
        <is>
          <t>2026-09-02</t>
        </is>
      </c>
      <c r="J337" s="5" t="n">
        <v>44200000000</v>
      </c>
      <c r="K337" s="2" t="inlineStr">
        <is>
          <t>-</t>
        </is>
      </c>
      <c r="L337" s="13" t="n">
        <v>7.66</v>
      </c>
      <c r="M337" s="7" t="inlineStr">
        <is>
          <t>SK하이닉스(SK Hynix Inc.)</t>
        </is>
      </c>
      <c r="N337" s="2" t="inlineStr">
        <is>
          <t>20260608800436</t>
        </is>
      </c>
      <c r="O337" s="8">
        <f>HYPERLINK("https://dart.fss.or.kr/dsaf001/main.do?rcpNo=20260608800436", "공시열람")</f>
        <v/>
      </c>
    </row>
    <row r="338" ht="36" customHeight="1">
      <c r="A338" s="2" t="inlineStr">
        <is>
          <t>2026-06-08</t>
        </is>
      </c>
      <c r="B338" s="3" t="inlineStr">
        <is>
          <t>동원개발</t>
        </is>
      </c>
      <c r="C338" s="2" t="inlineStr">
        <is>
          <t>코스닥</t>
        </is>
      </c>
      <c r="D338" s="2" t="inlineStr">
        <is>
          <t>013120</t>
        </is>
      </c>
      <c r="E338" s="2" t="inlineStr">
        <is>
          <t>단일판매공급계약체결</t>
        </is>
      </c>
      <c r="F338" s="3" t="inlineStr">
        <is>
          <t xml:space="preserve">단일판매ㆍ공급계약체결              </t>
        </is>
      </c>
      <c r="G338" s="7" t="inlineStr">
        <is>
          <t>서부산 행정복합타운 건립공사</t>
        </is>
      </c>
      <c r="H338" s="2" t="inlineStr">
        <is>
          <t>2026-06-19</t>
        </is>
      </c>
      <c r="I338" s="2" t="inlineStr">
        <is>
          <t>2030-03-02</t>
        </is>
      </c>
      <c r="J338" s="5" t="n">
        <v>72367500000</v>
      </c>
      <c r="K338" s="2" t="inlineStr">
        <is>
          <t>-</t>
        </is>
      </c>
      <c r="L338" s="13" t="n">
        <v>18.68</v>
      </c>
      <c r="M338" s="7" t="inlineStr">
        <is>
          <t>부산도시공사</t>
        </is>
      </c>
      <c r="N338" s="2" t="inlineStr">
        <is>
          <t>20260608900412</t>
        </is>
      </c>
      <c r="O338" s="8">
        <f>HYPERLINK("https://dart.fss.or.kr/dsaf001/main.do?rcpNo=20260608900412", "공시열람")</f>
        <v/>
      </c>
    </row>
    <row r="339" ht="36" customHeight="1">
      <c r="A339" s="2" t="inlineStr">
        <is>
          <t>2026-06-08</t>
        </is>
      </c>
      <c r="B339" s="3" t="inlineStr">
        <is>
          <t>동원개발</t>
        </is>
      </c>
      <c r="C339" s="2" t="inlineStr">
        <is>
          <t>코스닥</t>
        </is>
      </c>
      <c r="D339" s="2" t="inlineStr">
        <is>
          <t>013120</t>
        </is>
      </c>
      <c r="E339" s="2" t="inlineStr">
        <is>
          <t>단일판매공급계약체결</t>
        </is>
      </c>
      <c r="F339" s="3" t="inlineStr">
        <is>
          <t xml:space="preserve">단일판매ㆍ공급계약체결              </t>
        </is>
      </c>
      <c r="G339" s="7" t="inlineStr">
        <is>
          <t>에코델타시티 1BL 민간참여 공공분양주택 건립사업협약</t>
        </is>
      </c>
      <c r="H339" s="2" t="inlineStr">
        <is>
          <t>2026-06-05</t>
        </is>
      </c>
      <c r="I339" s="2" t="inlineStr">
        <is>
          <t>2031-10-31</t>
        </is>
      </c>
      <c r="J339" s="5" t="n">
        <v>94699750000</v>
      </c>
      <c r="K339" s="2" t="inlineStr">
        <is>
          <t>-</t>
        </is>
      </c>
      <c r="L339" s="13" t="n">
        <v>24.45</v>
      </c>
      <c r="M339" s="7" t="inlineStr">
        <is>
          <t>부산도시공사</t>
        </is>
      </c>
      <c r="N339" s="2" t="inlineStr">
        <is>
          <t>20260608900413</t>
        </is>
      </c>
      <c r="O339" s="8">
        <f>HYPERLINK("https://dart.fss.or.kr/dsaf001/main.do?rcpNo=20260608900413", "공시열람")</f>
        <v/>
      </c>
    </row>
    <row r="340" ht="36" customHeight="1">
      <c r="A340" s="2" t="inlineStr">
        <is>
          <t>2026-06-08</t>
        </is>
      </c>
      <c r="B340" s="3" t="inlineStr">
        <is>
          <t>동원개발</t>
        </is>
      </c>
      <c r="C340" s="2" t="inlineStr">
        <is>
          <t>코스닥</t>
        </is>
      </c>
      <c r="D340" s="2" t="inlineStr">
        <is>
          <t>013120</t>
        </is>
      </c>
      <c r="E340" s="2" t="inlineStr">
        <is>
          <t>단일판매공급계약체결</t>
        </is>
      </c>
      <c r="F340" s="3" t="inlineStr">
        <is>
          <t xml:space="preserve">단일판매ㆍ공급계약체결              </t>
        </is>
      </c>
      <c r="G340" s="7" t="inlineStr">
        <is>
          <t>에코델타시티 3BL 민간참여 공공분양주택 건립사업협약</t>
        </is>
      </c>
      <c r="H340" s="2" t="inlineStr">
        <is>
          <t>2026-06-05</t>
        </is>
      </c>
      <c r="I340" s="2" t="inlineStr">
        <is>
          <t>2031-07-31</t>
        </is>
      </c>
      <c r="J340" s="5" t="n">
        <v>64440000000</v>
      </c>
      <c r="K340" s="2" t="inlineStr">
        <is>
          <t>-</t>
        </is>
      </c>
      <c r="L340" s="13" t="n">
        <v>16.64</v>
      </c>
      <c r="M340" s="7" t="inlineStr">
        <is>
          <t>부산도시공사</t>
        </is>
      </c>
      <c r="N340" s="2" t="inlineStr">
        <is>
          <t>20260608900414</t>
        </is>
      </c>
      <c r="O340" s="8">
        <f>HYPERLINK("https://dart.fss.or.kr/dsaf001/main.do?rcpNo=20260608900414", "공시열람")</f>
        <v/>
      </c>
    </row>
    <row r="341" ht="36" customHeight="1">
      <c r="A341" s="2" t="inlineStr">
        <is>
          <t>2026-06-08</t>
        </is>
      </c>
      <c r="B341" s="3" t="inlineStr">
        <is>
          <t>HD현대중공업</t>
        </is>
      </c>
      <c r="C341" s="2" t="inlineStr">
        <is>
          <t>코스피</t>
        </is>
      </c>
      <c r="D341" s="2" t="inlineStr">
        <is>
          <t>329180</t>
        </is>
      </c>
      <c r="E341" s="2" t="inlineStr">
        <is>
          <t>단일판매공급계약체결</t>
        </is>
      </c>
      <c r="F341" s="3" t="inlineStr">
        <is>
          <t xml:space="preserve">단일판매ㆍ공급계약체결(자율공시)              </t>
        </is>
      </c>
      <c r="G341" s="7" t="inlineStr">
        <is>
          <t>-</t>
        </is>
      </c>
      <c r="H341" s="2" t="inlineStr">
        <is>
          <t>2026-06-05</t>
        </is>
      </c>
      <c r="I341" s="2" t="inlineStr">
        <is>
          <t>2029-11-30</t>
        </is>
      </c>
      <c r="J341" s="5" t="n">
        <v>360700000000</v>
      </c>
      <c r="K341" s="2" t="inlineStr">
        <is>
          <t>-</t>
        </is>
      </c>
      <c r="L341" s="13" t="n">
        <v>2.05</v>
      </c>
      <c r="M341" s="7" t="inlineStr">
        <is>
          <t>유럽 소재 선사</t>
        </is>
      </c>
      <c r="N341" s="2" t="inlineStr">
        <is>
          <t>20260608800378</t>
        </is>
      </c>
      <c r="O341" s="8">
        <f>HYPERLINK("https://dart.fss.or.kr/dsaf001/main.do?rcpNo=20260608800378", "공시열람")</f>
        <v/>
      </c>
    </row>
    <row r="342" ht="36" customHeight="1">
      <c r="A342" s="2" t="inlineStr">
        <is>
          <t>2026-06-08 (정정: 2026-06-24)</t>
        </is>
      </c>
      <c r="B342" s="3" t="inlineStr">
        <is>
          <t>씨케이솔루션</t>
        </is>
      </c>
      <c r="C342" s="2" t="inlineStr">
        <is>
          <t>코스피</t>
        </is>
      </c>
      <c r="D342" s="2" t="inlineStr">
        <is>
          <t>480370</t>
        </is>
      </c>
      <c r="E342" s="2" t="inlineStr">
        <is>
          <t>단일판매공급계약체결</t>
        </is>
      </c>
      <c r="F342" s="3" t="inlineStr">
        <is>
          <t>단일판매ㆍ공급계약체결(자율공시)               (정정: 20260624)</t>
        </is>
      </c>
      <c r="G342" s="7" t="inlineStr">
        <is>
          <t>SPE LFP ESS 273Ah</t>
        </is>
      </c>
      <c r="H342" s="2" t="inlineStr">
        <is>
          <t>2025-12-20</t>
        </is>
      </c>
      <c r="I342" s="2" t="inlineStr">
        <is>
          <t>2026-12-31</t>
        </is>
      </c>
      <c r="J342" s="5" t="n">
        <v>62591702987</v>
      </c>
      <c r="K342" s="2" t="inlineStr">
        <is>
          <t>-</t>
        </is>
      </c>
      <c r="L342" s="13" t="n">
        <v>21.16</v>
      </c>
      <c r="M342" s="7" t="inlineStr">
        <is>
          <t>StarPlus Energy LLC</t>
        </is>
      </c>
      <c r="N342" s="2" t="inlineStr">
        <is>
          <t>20260624800532</t>
        </is>
      </c>
      <c r="O342" s="8">
        <f>HYPERLINK("https://dart.fss.or.kr/dsaf001/main.do?rcpNo=20260624800532", "공시열람")</f>
        <v/>
      </c>
    </row>
    <row r="343" ht="36" customHeight="1">
      <c r="A343" s="2" t="inlineStr">
        <is>
          <t>2026-06-08</t>
        </is>
      </c>
      <c r="B343" s="3" t="inlineStr">
        <is>
          <t>에이텍모빌리티</t>
        </is>
      </c>
      <c r="C343" s="2" t="inlineStr">
        <is>
          <t>코스닥</t>
        </is>
      </c>
      <c r="D343" s="2" t="inlineStr">
        <is>
          <t>224110</t>
        </is>
      </c>
      <c r="E343" s="2" t="inlineStr">
        <is>
          <t>단일판매공급계약체결</t>
        </is>
      </c>
      <c r="F343" s="3" t="inlineStr">
        <is>
          <t xml:space="preserve">단일판매ㆍ공급계약체결              </t>
        </is>
      </c>
      <c r="G343" s="7" t="inlineStr">
        <is>
          <t>인천 버스단말기 공급</t>
        </is>
      </c>
      <c r="H343" s="2" t="inlineStr">
        <is>
          <t>2026-06-04</t>
        </is>
      </c>
      <c r="I343" s="2" t="inlineStr">
        <is>
          <t>2026-09-30</t>
        </is>
      </c>
      <c r="J343" s="5" t="n">
        <v>8340000000</v>
      </c>
      <c r="K343" s="2" t="inlineStr">
        <is>
          <t>-</t>
        </is>
      </c>
      <c r="L343" s="13" t="n">
        <v>12.98</v>
      </c>
      <c r="M343" s="7" t="inlineStr">
        <is>
          <t>주식회사 티머니</t>
        </is>
      </c>
      <c r="N343" s="2" t="inlineStr">
        <is>
          <t>20260608900257</t>
        </is>
      </c>
      <c r="O343" s="8">
        <f>HYPERLINK("https://dart.fss.or.kr/dsaf001/main.do?rcpNo=20260608900257", "공시열람")</f>
        <v/>
      </c>
    </row>
    <row r="344" ht="36" customHeight="1">
      <c r="A344" s="2" t="inlineStr">
        <is>
          <t>2026-06-08</t>
        </is>
      </c>
      <c r="B344" s="3" t="inlineStr">
        <is>
          <t>삼성중공업</t>
        </is>
      </c>
      <c r="C344" s="2" t="inlineStr">
        <is>
          <t>코스피</t>
        </is>
      </c>
      <c r="D344" s="2" t="inlineStr">
        <is>
          <t>010140</t>
        </is>
      </c>
      <c r="E344" s="2" t="inlineStr">
        <is>
          <t>단일판매공급계약체결</t>
        </is>
      </c>
      <c r="F344" s="3" t="inlineStr">
        <is>
          <t xml:space="preserve">단일판매ㆍ공급계약체결              </t>
        </is>
      </c>
      <c r="G344" s="7" t="inlineStr">
        <is>
          <t>LNG운반선 1척</t>
        </is>
      </c>
      <c r="H344" s="2" t="inlineStr">
        <is>
          <t>2026-06-05</t>
        </is>
      </c>
      <c r="I344" s="2" t="inlineStr">
        <is>
          <t>2029-01-08</t>
        </is>
      </c>
      <c r="J344" s="5" t="n">
        <v>385500000000</v>
      </c>
      <c r="K344" s="2" t="inlineStr">
        <is>
          <t>-</t>
        </is>
      </c>
      <c r="L344" s="13" t="n">
        <v>3.6</v>
      </c>
      <c r="M344" s="7" t="inlineStr">
        <is>
          <t>오세아니아 지역 선주</t>
        </is>
      </c>
      <c r="N344" s="2" t="inlineStr">
        <is>
          <t>20260608800137</t>
        </is>
      </c>
      <c r="O344" s="8">
        <f>HYPERLINK("https://dart.fss.or.kr/dsaf001/main.do?rcpNo=20260608800137", "공시열람")</f>
        <v/>
      </c>
    </row>
    <row r="345" ht="36" customHeight="1">
      <c r="A345" s="2" t="inlineStr">
        <is>
          <t>2026-06-08</t>
        </is>
      </c>
      <c r="B345" s="3" t="inlineStr">
        <is>
          <t>대한전선</t>
        </is>
      </c>
      <c r="C345" s="2" t="inlineStr">
        <is>
          <t>코스피</t>
        </is>
      </c>
      <c r="D345" s="2" t="inlineStr">
        <is>
          <t>001440</t>
        </is>
      </c>
      <c r="E345" s="2" t="inlineStr">
        <is>
          <t>단일판매공급계약체결</t>
        </is>
      </c>
      <c r="F345" s="3" t="inlineStr">
        <is>
          <t xml:space="preserve">단일판매ㆍ공급계약체결              </t>
        </is>
      </c>
      <c r="G345" s="7" t="inlineStr">
        <is>
          <t>TERM CONTRACT FOR THE SUPPLY, DELIVERY AND INSTALLATION OF 400KV AND 230KV OIL-FILLED POWER CABLES, AUXILIARY CABLE AND ACCESSORIES (NDC399)</t>
        </is>
      </c>
      <c r="H345" s="2" t="inlineStr">
        <is>
          <t>2026-06-05</t>
        </is>
      </c>
      <c r="I345" s="2" t="inlineStr">
        <is>
          <t>2031-06-04</t>
        </is>
      </c>
      <c r="J345" s="5" t="n">
        <v>140131842885</v>
      </c>
      <c r="K345" s="2" t="inlineStr">
        <is>
          <t>-</t>
        </is>
      </c>
      <c r="L345" s="13" t="n">
        <v>3.85</v>
      </c>
      <c r="M345" s="7" t="inlineStr">
        <is>
          <t>싱가포르 전력청 (SP POWERASSETS LIMITED)</t>
        </is>
      </c>
      <c r="N345" s="2" t="inlineStr">
        <is>
          <t>20260608800136</t>
        </is>
      </c>
      <c r="O345" s="8">
        <f>HYPERLINK("https://dart.fss.or.kr/dsaf001/main.do?rcpNo=20260608800136", "공시열람")</f>
        <v/>
      </c>
    </row>
    <row r="346" ht="36" customHeight="1">
      <c r="A346" s="2" t="inlineStr">
        <is>
          <t>2026-06-08</t>
        </is>
      </c>
      <c r="B346" s="3" t="inlineStr">
        <is>
          <t>현대건설</t>
        </is>
      </c>
      <c r="C346" s="2" t="inlineStr">
        <is>
          <t>코스피</t>
        </is>
      </c>
      <c r="D346" s="2" t="inlineStr">
        <is>
          <t>000720</t>
        </is>
      </c>
      <c r="E346" s="2" t="inlineStr">
        <is>
          <t>단일판매공급계약체결</t>
        </is>
      </c>
      <c r="F346" s="3" t="inlineStr">
        <is>
          <t xml:space="preserve">단일판매ㆍ공급계약체결              </t>
        </is>
      </c>
      <c r="G346" s="7" t="inlineStr">
        <is>
          <t>위례신도시 복정역세권 복합개발사업 복합용지 2BL, 3BL 신축공사</t>
        </is>
      </c>
      <c r="H346" s="2" t="inlineStr">
        <is>
          <t>2026-06-15</t>
        </is>
      </c>
      <c r="I346" s="2" t="inlineStr">
        <is>
          <t>2031-01-14</t>
        </is>
      </c>
      <c r="J346" s="5" t="n">
        <v>3039406100000</v>
      </c>
      <c r="K346" s="2" t="inlineStr">
        <is>
          <t>-</t>
        </is>
      </c>
      <c r="L346" s="13" t="n">
        <v>9.800000000000001</v>
      </c>
      <c r="M346" s="7" t="inlineStr">
        <is>
          <t>송파비즈클러스터피에프브이 주식회사</t>
        </is>
      </c>
      <c r="N346" s="2" t="inlineStr">
        <is>
          <t>20260608800044</t>
        </is>
      </c>
      <c r="O346" s="8">
        <f>HYPERLINK("https://dart.fss.or.kr/dsaf001/main.do?rcpNo=20260608800044", "공시열람")</f>
        <v/>
      </c>
    </row>
    <row r="347" ht="36" customHeight="1">
      <c r="A347" s="2" t="inlineStr">
        <is>
          <t>2026-06-09 (정정: 2026-06-16)</t>
        </is>
      </c>
      <c r="B347" s="3" t="inlineStr">
        <is>
          <t>마이크로디지탈</t>
        </is>
      </c>
      <c r="C347" s="2" t="inlineStr">
        <is>
          <t>코스닥</t>
        </is>
      </c>
      <c r="D347" s="2" t="inlineStr">
        <is>
          <t>305090</t>
        </is>
      </c>
      <c r="E347" s="2" t="inlineStr">
        <is>
          <t>단일판매공급계약체결</t>
        </is>
      </c>
      <c r="F347" s="3" t="inlineStr">
        <is>
          <t>[기재정정]단일판매ㆍ공급계약체결               (정정: 20260616)</t>
        </is>
      </c>
      <c r="G347" s="7" t="inlineStr">
        <is>
          <t>바이오 분석장비 Nabi(나비) 공급</t>
        </is>
      </c>
      <c r="H347" s="2" t="inlineStr">
        <is>
          <t>2020-06-10</t>
        </is>
      </c>
      <c r="I347" s="2" t="inlineStr">
        <is>
          <t>2026-06-09</t>
        </is>
      </c>
      <c r="J347" s="5" t="n">
        <v>686408807</v>
      </c>
      <c r="K347" s="2" t="inlineStr">
        <is>
          <t>-</t>
        </is>
      </c>
      <c r="L347" s="13" t="n">
        <v>17.48</v>
      </c>
      <c r="M347" s="7" t="inlineStr">
        <is>
          <t>Shinkou Seiki Co., Ltd.</t>
        </is>
      </c>
      <c r="N347" s="2" t="inlineStr">
        <is>
          <t>20260616900763</t>
        </is>
      </c>
      <c r="O347" s="8">
        <f>HYPERLINK("https://dart.fss.or.kr/dsaf001/main.do?rcpNo=20260616900763", "공시열람")</f>
        <v/>
      </c>
    </row>
    <row r="348" ht="36" customHeight="1">
      <c r="A348" s="2" t="inlineStr">
        <is>
          <t>2026-06-09</t>
        </is>
      </c>
      <c r="B348" s="3" t="inlineStr">
        <is>
          <t>중앙첨단소재</t>
        </is>
      </c>
      <c r="C348" s="2" t="inlineStr">
        <is>
          <t>코스닥</t>
        </is>
      </c>
      <c r="D348" s="2" t="inlineStr">
        <is>
          <t>051980</t>
        </is>
      </c>
      <c r="E348" s="2" t="inlineStr">
        <is>
          <t>단일판매공급계약체결</t>
        </is>
      </c>
      <c r="F348" s="3" t="inlineStr">
        <is>
          <t xml:space="preserve">단일판매ㆍ공급계약체결              </t>
        </is>
      </c>
      <c r="G348" s="7" t="inlineStr">
        <is>
          <t>LTE-R 차상무선통신장치 물품구매계약</t>
        </is>
      </c>
      <c r="H348" s="2" t="inlineStr">
        <is>
          <t>2026-06-08</t>
        </is>
      </c>
      <c r="I348" s="2" t="inlineStr">
        <is>
          <t>2028-12-31</t>
        </is>
      </c>
      <c r="J348" s="5" t="n">
        <v>2462368909</v>
      </c>
      <c r="K348" s="2" t="inlineStr">
        <is>
          <t>-</t>
        </is>
      </c>
      <c r="L348" s="13" t="n">
        <v>12.43</v>
      </c>
      <c r="M348" s="7" t="inlineStr">
        <is>
          <t>한국철도공사</t>
        </is>
      </c>
      <c r="N348" s="2" t="inlineStr">
        <is>
          <t>20260609900839</t>
        </is>
      </c>
      <c r="O348" s="8">
        <f>HYPERLINK("https://dart.fss.or.kr/dsaf001/main.do?rcpNo=20260609900839", "공시열람")</f>
        <v/>
      </c>
    </row>
    <row r="349" ht="36" customHeight="1">
      <c r="A349" s="2" t="inlineStr">
        <is>
          <t>2026-06-09</t>
        </is>
      </c>
      <c r="B349" s="3" t="inlineStr">
        <is>
          <t>클로봇</t>
        </is>
      </c>
      <c r="C349" s="2" t="inlineStr">
        <is>
          <t>코스닥</t>
        </is>
      </c>
      <c r="D349" s="2" t="inlineStr">
        <is>
          <t>466100</t>
        </is>
      </c>
      <c r="E349" s="2" t="inlineStr">
        <is>
          <t>단일판매공급계약체결</t>
        </is>
      </c>
      <c r="F349" s="3" t="inlineStr">
        <is>
          <t xml:space="preserve">단일판매ㆍ공급계약체결(자율공시)              </t>
        </is>
      </c>
      <c r="G349" s="7" t="inlineStr">
        <is>
          <t>자율주행플랫폼로봇 사족보행로봇</t>
        </is>
      </c>
      <c r="H349" s="2" t="inlineStr">
        <is>
          <t>2026-06-08</t>
        </is>
      </c>
      <c r="I349" s="2" t="inlineStr">
        <is>
          <t>2027-02-03</t>
        </is>
      </c>
      <c r="J349" s="5" t="n">
        <v>2072727273</v>
      </c>
      <c r="K349" s="2" t="inlineStr">
        <is>
          <t>-</t>
        </is>
      </c>
      <c r="L349" s="13" t="n">
        <v>5.01</v>
      </c>
      <c r="M349" s="7" t="inlineStr">
        <is>
          <t>경찰청 대테러위기관리과</t>
        </is>
      </c>
      <c r="N349" s="2" t="inlineStr">
        <is>
          <t>20260609900782</t>
        </is>
      </c>
      <c r="O349" s="8">
        <f>HYPERLINK("https://dart.fss.or.kr/dsaf001/main.do?rcpNo=20260609900782", "공시열람")</f>
        <v/>
      </c>
    </row>
    <row r="350" ht="36" customHeight="1">
      <c r="A350" s="2" t="inlineStr">
        <is>
          <t>2026-06-09 (정정: 2026-06-22)</t>
        </is>
      </c>
      <c r="B350" s="3" t="inlineStr">
        <is>
          <t>삼성바이오로직스</t>
        </is>
      </c>
      <c r="C350" s="2" t="inlineStr">
        <is>
          <t>코스피</t>
        </is>
      </c>
      <c r="D350" s="2" t="inlineStr">
        <is>
          <t>207940</t>
        </is>
      </c>
      <c r="E350" s="2" t="inlineStr">
        <is>
          <t>단일판매공급계약체결</t>
        </is>
      </c>
      <c r="F350" s="3" t="inlineStr">
        <is>
          <t>[기재정정]단일판매ㆍ공급계약체결               (정정: 20260617) (정정: 20260622)</t>
        </is>
      </c>
      <c r="G350" s="7" t="inlineStr">
        <is>
          <t>의약품 위탁생산계약</t>
        </is>
      </c>
      <c r="H350" s="2" t="inlineStr">
        <is>
          <t>2018-08-14</t>
        </is>
      </c>
      <c r="I350" s="2" t="inlineStr">
        <is>
          <t>2037-12-31</t>
        </is>
      </c>
      <c r="J350" s="5" t="n">
        <v>215942414460</v>
      </c>
      <c r="K350" s="2" t="inlineStr">
        <is>
          <t>-</t>
        </is>
      </c>
      <c r="L350" s="13" t="n">
        <v>46.48</v>
      </c>
      <c r="M350" s="7" t="inlineStr">
        <is>
          <t>아시아 소재 제약사</t>
        </is>
      </c>
      <c r="N350" s="2" t="inlineStr">
        <is>
          <t>20260622800686</t>
        </is>
      </c>
      <c r="O350" s="8">
        <f>HYPERLINK("https://dart.fss.or.kr/dsaf001/main.do?rcpNo=20260622800686", "공시열람")</f>
        <v/>
      </c>
    </row>
    <row r="351" ht="36" customHeight="1">
      <c r="A351" s="2" t="inlineStr">
        <is>
          <t>2026-02-06 (정정: 2026-06-09)</t>
        </is>
      </c>
      <c r="B351" s="3" t="inlineStr">
        <is>
          <t>남해화학</t>
        </is>
      </c>
      <c r="C351" s="2" t="inlineStr">
        <is>
          <t>코스피</t>
        </is>
      </c>
      <c r="D351" s="2" t="inlineStr">
        <is>
          <t>025860</t>
        </is>
      </c>
      <c r="E351" s="2" t="inlineStr">
        <is>
          <t>단일판매공급계약체결</t>
        </is>
      </c>
      <c r="F351" s="3" t="inlineStr">
        <is>
          <t xml:space="preserve">[기재정정]단일판매ㆍ공급계약체결              </t>
        </is>
      </c>
      <c r="G351" s="7" t="inlineStr">
        <is>
          <t>2026년 무기질비료 구매납품계약</t>
        </is>
      </c>
      <c r="H351" s="2" t="inlineStr">
        <is>
          <t>2026-01-01</t>
        </is>
      </c>
      <c r="I351" s="2" t="inlineStr">
        <is>
          <t>2026-12-31</t>
        </is>
      </c>
      <c r="J351" s="5" t="n">
        <v>352915126630</v>
      </c>
      <c r="K351" s="2" t="inlineStr">
        <is>
          <t>-</t>
        </is>
      </c>
      <c r="L351" s="13" t="n">
        <v>23.23</v>
      </c>
      <c r="M351" s="7" t="inlineStr">
        <is>
          <t>농협경제지주(Nonghyup Agribusiness Group)</t>
        </is>
      </c>
      <c r="N351" s="2" t="inlineStr">
        <is>
          <t>20260609800589</t>
        </is>
      </c>
      <c r="O351" s="8">
        <f>HYPERLINK("https://dart.fss.or.kr/dsaf001/main.do?rcpNo=20260609800589", "공시열람")</f>
        <v/>
      </c>
    </row>
    <row r="352" ht="36" customHeight="1">
      <c r="A352" s="2" t="inlineStr">
        <is>
          <t>2026-06-09 (정정: 2026-06-24)</t>
        </is>
      </c>
      <c r="B352" s="3" t="inlineStr">
        <is>
          <t>상지건설</t>
        </is>
      </c>
      <c r="C352" s="2" t="inlineStr">
        <is>
          <t>코스닥</t>
        </is>
      </c>
      <c r="D352" s="2" t="inlineStr">
        <is>
          <t>042940</t>
        </is>
      </c>
      <c r="E352" s="2" t="inlineStr">
        <is>
          <t>단일판매공급계약체결</t>
        </is>
      </c>
      <c r="F352" s="3" t="inlineStr">
        <is>
          <t>[기재정정]단일판매ㆍ공급계약체결               (정정: 20260624)</t>
        </is>
      </c>
      <c r="G352" s="7" t="inlineStr">
        <is>
          <t>신정동 66-2 공동주택 신축공사</t>
        </is>
      </c>
      <c r="H352" s="2" t="inlineStr">
        <is>
          <t>2025-05-01</t>
        </is>
      </c>
      <c r="I352" s="2" t="inlineStr">
        <is>
          <t>2028-06-30</t>
        </is>
      </c>
      <c r="J352" s="5" t="n">
        <v>51000000000</v>
      </c>
      <c r="K352" s="2" t="inlineStr">
        <is>
          <t>-</t>
        </is>
      </c>
      <c r="L352" s="13" t="n">
        <v>29.33</v>
      </c>
      <c r="M352" s="7" t="inlineStr">
        <is>
          <t>하이클래스디벨롭 주식회사</t>
        </is>
      </c>
      <c r="N352" s="2" t="inlineStr">
        <is>
          <t>20260624900632</t>
        </is>
      </c>
      <c r="O352" s="8">
        <f>HYPERLINK("https://dart.fss.or.kr/dsaf001/main.do?rcpNo=20260624900632", "공시열람")</f>
        <v/>
      </c>
    </row>
    <row r="353" ht="36" customHeight="1">
      <c r="A353" s="2" t="inlineStr">
        <is>
          <t>2026-06-09</t>
        </is>
      </c>
      <c r="B353" s="3" t="inlineStr">
        <is>
          <t>라이콤</t>
        </is>
      </c>
      <c r="C353" s="2" t="inlineStr">
        <is>
          <t>코스닥</t>
        </is>
      </c>
      <c r="D353" s="2" t="inlineStr">
        <is>
          <t>388790</t>
        </is>
      </c>
      <c r="E353" s="2" t="inlineStr">
        <is>
          <t>단일판매공급계약체결</t>
        </is>
      </c>
      <c r="F353" s="3" t="inlineStr">
        <is>
          <t xml:space="preserve">단일판매ㆍ공급계약체결              </t>
        </is>
      </c>
      <c r="G353" s="7" t="inlineStr">
        <is>
          <t>데이터센터간 통신(DCI, Data Center Interconnect)에 사용되는 광증폭기</t>
        </is>
      </c>
      <c r="H353" s="2" t="inlineStr">
        <is>
          <t>2026-06-08</t>
        </is>
      </c>
      <c r="I353" s="2" t="inlineStr">
        <is>
          <t>2028-02-21</t>
        </is>
      </c>
      <c r="J353" s="5" t="n">
        <v>2071253765</v>
      </c>
      <c r="K353" s="2" t="inlineStr">
        <is>
          <t>-</t>
        </is>
      </c>
      <c r="L353" s="13" t="n">
        <v>11.71</v>
      </c>
      <c r="M353" s="7" t="inlineStr">
        <is>
          <t>1Finity</t>
        </is>
      </c>
      <c r="N353" s="2" t="inlineStr">
        <is>
          <t>20260609900521</t>
        </is>
      </c>
      <c r="O353" s="8">
        <f>HYPERLINK("https://dart.fss.or.kr/dsaf001/main.do?rcpNo=20260609900521", "공시열람")</f>
        <v/>
      </c>
    </row>
    <row r="354" ht="36" customHeight="1">
      <c r="A354" s="2" t="inlineStr">
        <is>
          <t>2026-06-09</t>
        </is>
      </c>
      <c r="B354" s="3" t="inlineStr">
        <is>
          <t>하나기술</t>
        </is>
      </c>
      <c r="C354" s="2" t="inlineStr">
        <is>
          <t>코스닥</t>
        </is>
      </c>
      <c r="D354" s="2" t="inlineStr">
        <is>
          <t>299030</t>
        </is>
      </c>
      <c r="E354" s="2" t="inlineStr">
        <is>
          <t>단일판매공급계약체결</t>
        </is>
      </c>
      <c r="F354" s="3" t="inlineStr">
        <is>
          <t xml:space="preserve">단일판매ㆍ공급계약체결              </t>
        </is>
      </c>
      <c r="G354" s="7" t="inlineStr">
        <is>
          <t>2차전지 조립공정 라인 턴키</t>
        </is>
      </c>
      <c r="H354" s="2" t="inlineStr">
        <is>
          <t>2026-06-08</t>
        </is>
      </c>
      <c r="I354" s="2" t="inlineStr">
        <is>
          <t>2030-12-28</t>
        </is>
      </c>
      <c r="J354" s="5" t="n">
        <v>161483931803</v>
      </c>
      <c r="K354" s="2" t="inlineStr">
        <is>
          <t>-</t>
        </is>
      </c>
      <c r="L354" s="13" t="n">
        <v>172.09</v>
      </c>
      <c r="M354" s="7" t="inlineStr">
        <is>
          <t>-</t>
        </is>
      </c>
      <c r="N354" s="2" t="inlineStr">
        <is>
          <t>20260609900451</t>
        </is>
      </c>
      <c r="O354" s="8">
        <f>HYPERLINK("https://dart.fss.or.kr/dsaf001/main.do?rcpNo=20260609900451", "공시열람")</f>
        <v/>
      </c>
    </row>
    <row r="355" ht="36" customHeight="1">
      <c r="A355" s="2" t="inlineStr">
        <is>
          <t>2026-06-09</t>
        </is>
      </c>
      <c r="B355" s="3" t="inlineStr">
        <is>
          <t>하나기술</t>
        </is>
      </c>
      <c r="C355" s="2" t="inlineStr">
        <is>
          <t>코스닥</t>
        </is>
      </c>
      <c r="D355" s="2" t="inlineStr">
        <is>
          <t>299030</t>
        </is>
      </c>
      <c r="E355" s="2" t="inlineStr">
        <is>
          <t>단일판매공급계약체결</t>
        </is>
      </c>
      <c r="F355" s="3" t="inlineStr">
        <is>
          <t>주권매매거래정지              (단일판매공급계약)</t>
        </is>
      </c>
      <c r="G355" s="7" t="inlineStr">
        <is>
          <t>-</t>
        </is>
      </c>
      <c r="H355" s="2" t="inlineStr">
        <is>
          <t>-</t>
        </is>
      </c>
      <c r="I355" s="2" t="inlineStr">
        <is>
          <t>-</t>
        </is>
      </c>
      <c r="J355" s="5" t="inlineStr"/>
      <c r="K355" s="2" t="inlineStr">
        <is>
          <t>-</t>
        </is>
      </c>
      <c r="L355" s="3" t="inlineStr"/>
      <c r="M355" s="7" t="inlineStr">
        <is>
          <t>-</t>
        </is>
      </c>
      <c r="N355" s="2" t="inlineStr">
        <is>
          <t>20260609900456</t>
        </is>
      </c>
      <c r="O355" s="8">
        <f>HYPERLINK("https://dart.fss.or.kr/dsaf001/main.do?rcpNo=20260609900456", "공시열람")</f>
        <v/>
      </c>
    </row>
    <row r="356" ht="36" customHeight="1">
      <c r="A356" s="2" t="inlineStr">
        <is>
          <t>2026-06-09</t>
        </is>
      </c>
      <c r="B356" s="3" t="inlineStr">
        <is>
          <t>씨이랩</t>
        </is>
      </c>
      <c r="C356" s="2" t="inlineStr">
        <is>
          <t>코스닥</t>
        </is>
      </c>
      <c r="D356" s="2" t="inlineStr">
        <is>
          <t>189330</t>
        </is>
      </c>
      <c r="E356" s="2" t="inlineStr">
        <is>
          <t>단일판매공급계약체결</t>
        </is>
      </c>
      <c r="F356" s="3" t="inlineStr">
        <is>
          <t xml:space="preserve">단일판매ㆍ공급계약체결              </t>
        </is>
      </c>
      <c r="G356" s="7" t="inlineStr">
        <is>
          <t>국가정보자원관리원 GPU구매</t>
        </is>
      </c>
      <c r="H356" s="2" t="inlineStr">
        <is>
          <t>2026-06-09</t>
        </is>
      </c>
      <c r="I356" s="2" t="inlineStr">
        <is>
          <t>2027-01-05</t>
        </is>
      </c>
      <c r="J356" s="5" t="n">
        <v>2072900000</v>
      </c>
      <c r="K356" s="2" t="inlineStr">
        <is>
          <t>-</t>
        </is>
      </c>
      <c r="L356" s="13" t="n">
        <v>20.18</v>
      </c>
      <c r="M356" s="7" t="inlineStr">
        <is>
          <t>(주)태진티엔에스</t>
        </is>
      </c>
      <c r="N356" s="2" t="inlineStr">
        <is>
          <t>20260609900423</t>
        </is>
      </c>
      <c r="O356" s="8">
        <f>HYPERLINK("https://dart.fss.or.kr/dsaf001/main.do?rcpNo=20260609900423", "공시열람")</f>
        <v/>
      </c>
    </row>
    <row r="357" ht="36" customHeight="1">
      <c r="A357" s="2" t="inlineStr">
        <is>
          <t>2026-06-09</t>
        </is>
      </c>
      <c r="B357" s="3" t="inlineStr">
        <is>
          <t>지앤비에스 에코</t>
        </is>
      </c>
      <c r="C357" s="2" t="inlineStr">
        <is>
          <t>코스닥</t>
        </is>
      </c>
      <c r="D357" s="2" t="inlineStr">
        <is>
          <t>382800</t>
        </is>
      </c>
      <c r="E357" s="2" t="inlineStr">
        <is>
          <t>단일판매공급계약체결</t>
        </is>
      </c>
      <c r="F357" s="3" t="inlineStr">
        <is>
          <t xml:space="preserve">단일판매ㆍ공급계약체결              </t>
        </is>
      </c>
      <c r="G357" s="7" t="inlineStr">
        <is>
          <t>친환경 태양광 Scrubber장비 수주</t>
        </is>
      </c>
      <c r="H357" s="2" t="inlineStr">
        <is>
          <t>2026-06-08</t>
        </is>
      </c>
      <c r="I357" s="2" t="inlineStr">
        <is>
          <t>2026-12-31</t>
        </is>
      </c>
      <c r="J357" s="5" t="n">
        <v>12721403395</v>
      </c>
      <c r="K357" s="2" t="inlineStr">
        <is>
          <t>-</t>
        </is>
      </c>
      <c r="L357" s="13" t="n">
        <v>13.84</v>
      </c>
      <c r="M357" s="7" t="inlineStr">
        <is>
          <t>Shanghai Shareway Environment Technology Co., Ltd</t>
        </is>
      </c>
      <c r="N357" s="2" t="inlineStr">
        <is>
          <t>20260609900322</t>
        </is>
      </c>
      <c r="O357" s="8">
        <f>HYPERLINK("https://dart.fss.or.kr/dsaf001/main.do?rcpNo=20260609900322", "공시열람")</f>
        <v/>
      </c>
    </row>
    <row r="358" ht="36" customHeight="1">
      <c r="A358" s="2" t="inlineStr">
        <is>
          <t>2026-06-09</t>
        </is>
      </c>
      <c r="B358" s="3" t="inlineStr">
        <is>
          <t>코스모화학</t>
        </is>
      </c>
      <c r="C358" s="2" t="inlineStr">
        <is>
          <t>코스피</t>
        </is>
      </c>
      <c r="D358" s="2" t="inlineStr">
        <is>
          <t>005420</t>
        </is>
      </c>
      <c r="E358" s="2" t="inlineStr">
        <is>
          <t>단일판매공급계약체결</t>
        </is>
      </c>
      <c r="F358" s="3" t="inlineStr">
        <is>
          <t xml:space="preserve">[기재정정]단일판매ㆍ공급계약체결(자율공시)              </t>
        </is>
      </c>
      <c r="G358" s="7" t="inlineStr">
        <is>
          <t>-</t>
        </is>
      </c>
      <c r="H358" s="2" t="inlineStr">
        <is>
          <t>2026-01-01</t>
        </is>
      </c>
      <c r="I358" s="2" t="inlineStr">
        <is>
          <t>2026-12-31</t>
        </is>
      </c>
      <c r="J358" s="5" t="n">
        <v>14065975248</v>
      </c>
      <c r="K358" s="2" t="inlineStr">
        <is>
          <t>-</t>
        </is>
      </c>
      <c r="L358" s="13" t="n">
        <v>2.12</v>
      </c>
      <c r="M358" s="7" t="inlineStr">
        <is>
          <t>주식회사 에코프로이엠</t>
        </is>
      </c>
      <c r="N358" s="2" t="inlineStr">
        <is>
          <t>20260609800236</t>
        </is>
      </c>
      <c r="O358" s="8">
        <f>HYPERLINK("https://dart.fss.or.kr/dsaf001/main.do?rcpNo=20260609800236", "공시열람")</f>
        <v/>
      </c>
    </row>
    <row r="359" ht="36" customHeight="1">
      <c r="A359" s="2" t="inlineStr">
        <is>
          <t>2026-06-09</t>
        </is>
      </c>
      <c r="B359" s="3" t="inlineStr">
        <is>
          <t>쎄크</t>
        </is>
      </c>
      <c r="C359" s="2" t="inlineStr">
        <is>
          <t>코스닥</t>
        </is>
      </c>
      <c r="D359" s="2" t="inlineStr">
        <is>
          <t>081180</t>
        </is>
      </c>
      <c r="E359" s="2" t="inlineStr">
        <is>
          <t>단일판매공급계약체결</t>
        </is>
      </c>
      <c r="F359" s="3" t="inlineStr">
        <is>
          <t xml:space="preserve">단일판매ㆍ공급계약체결(자율공시)              </t>
        </is>
      </c>
      <c r="G359" s="7" t="inlineStr">
        <is>
          <t>비파괴검사기 공급</t>
        </is>
      </c>
      <c r="H359" s="2" t="inlineStr">
        <is>
          <t>2026-06-09</t>
        </is>
      </c>
      <c r="I359" s="2" t="inlineStr">
        <is>
          <t>2027-12-31</t>
        </is>
      </c>
      <c r="J359" s="5" t="n">
        <v>4230000000</v>
      </c>
      <c r="K359" s="2" t="inlineStr">
        <is>
          <t>-</t>
        </is>
      </c>
      <c r="L359" s="13" t="n">
        <v>7.14</v>
      </c>
      <c r="M359" s="7" t="inlineStr">
        <is>
          <t>한화에어로스페이스(주)</t>
        </is>
      </c>
      <c r="N359" s="2" t="inlineStr">
        <is>
          <t>20260609900219</t>
        </is>
      </c>
      <c r="O359" s="8">
        <f>HYPERLINK("https://dart.fss.or.kr/dsaf001/main.do?rcpNo=20260609900219", "공시열람")</f>
        <v/>
      </c>
    </row>
    <row r="360" ht="36" customHeight="1">
      <c r="A360" s="2" t="inlineStr">
        <is>
          <t>2026-06-09</t>
        </is>
      </c>
      <c r="B360" s="3" t="inlineStr">
        <is>
          <t>플래티어</t>
        </is>
      </c>
      <c r="C360" s="2" t="inlineStr">
        <is>
          <t>코스닥</t>
        </is>
      </c>
      <c r="D360" s="2" t="inlineStr">
        <is>
          <t>367000</t>
        </is>
      </c>
      <c r="E360" s="2" t="inlineStr">
        <is>
          <t>단일판매공급계약체결</t>
        </is>
      </c>
      <c r="F360" s="3" t="inlineStr">
        <is>
          <t xml:space="preserve">단일판매ㆍ공급계약체결(자율공시)              </t>
        </is>
      </c>
      <c r="G360" s="7" t="inlineStr">
        <is>
          <t>26년 현대/제네시스 인증중고차(CPO) DevOps_2차</t>
        </is>
      </c>
      <c r="H360" s="2" t="inlineStr">
        <is>
          <t>2026-01-01</t>
        </is>
      </c>
      <c r="I360" s="2" t="inlineStr">
        <is>
          <t>2026-12-31</t>
        </is>
      </c>
      <c r="J360" s="5" t="n">
        <v>2446740000</v>
      </c>
      <c r="K360" s="2" t="inlineStr">
        <is>
          <t>-</t>
        </is>
      </c>
      <c r="L360" s="13" t="n">
        <v>6.3</v>
      </c>
      <c r="M360" s="7" t="inlineStr">
        <is>
          <t>현대오토에버(주)</t>
        </is>
      </c>
      <c r="N360" s="2" t="inlineStr">
        <is>
          <t>20260609900201</t>
        </is>
      </c>
      <c r="O360" s="8">
        <f>HYPERLINK("https://dart.fss.or.kr/dsaf001/main.do?rcpNo=20260609900201", "공시열람")</f>
        <v/>
      </c>
    </row>
    <row r="361" ht="36" customHeight="1">
      <c r="A361" s="2" t="inlineStr">
        <is>
          <t>2026-06-09</t>
        </is>
      </c>
      <c r="B361" s="3" t="inlineStr">
        <is>
          <t>자이에스앤디</t>
        </is>
      </c>
      <c r="C361" s="2" t="inlineStr">
        <is>
          <t>코스피</t>
        </is>
      </c>
      <c r="D361" s="2" t="inlineStr">
        <is>
          <t>317400</t>
        </is>
      </c>
      <c r="E361" s="2" t="inlineStr">
        <is>
          <t>단일판매공급계약체결</t>
        </is>
      </c>
      <c r="F361" s="3" t="inlineStr">
        <is>
          <t xml:space="preserve">단일판매ㆍ공급계약체결              </t>
        </is>
      </c>
      <c r="G361" s="7" t="inlineStr">
        <is>
          <t>부산 해운대구 중동 주상복합</t>
        </is>
      </c>
      <c r="H361" s="2" t="inlineStr">
        <is>
          <t>-</t>
        </is>
      </c>
      <c r="I361" s="2" t="inlineStr">
        <is>
          <t>-</t>
        </is>
      </c>
      <c r="J361" s="5" t="n">
        <v>141139700000</v>
      </c>
      <c r="K361" s="2" t="inlineStr">
        <is>
          <t>-</t>
        </is>
      </c>
      <c r="L361" s="13" t="n">
        <v>10.17</v>
      </c>
      <c r="M361" s="7" t="inlineStr">
        <is>
          <t>㈜정강디앤씨</t>
        </is>
      </c>
      <c r="N361" s="2" t="inlineStr">
        <is>
          <t>20260609800185</t>
        </is>
      </c>
      <c r="O361" s="8">
        <f>HYPERLINK("https://dart.fss.or.kr/dsaf001/main.do?rcpNo=20260609800185", "공시열람")</f>
        <v/>
      </c>
    </row>
    <row r="362" ht="36" customHeight="1">
      <c r="A362" s="2" t="inlineStr">
        <is>
          <t>2026-06-09</t>
        </is>
      </c>
      <c r="B362" s="3" t="inlineStr">
        <is>
          <t>코스모화학</t>
        </is>
      </c>
      <c r="C362" s="2" t="inlineStr">
        <is>
          <t>코스피</t>
        </is>
      </c>
      <c r="D362" s="2" t="inlineStr">
        <is>
          <t>005420</t>
        </is>
      </c>
      <c r="E362" s="2" t="inlineStr">
        <is>
          <t>단일판매공급계약체결</t>
        </is>
      </c>
      <c r="F362" s="3" t="inlineStr">
        <is>
          <t xml:space="preserve">단일판매ㆍ공급계약체결(자율공시)              </t>
        </is>
      </c>
      <c r="G362" s="7" t="inlineStr">
        <is>
          <t>-</t>
        </is>
      </c>
      <c r="H362" s="2" t="inlineStr">
        <is>
          <t>2026-01-01</t>
        </is>
      </c>
      <c r="I362" s="2" t="inlineStr">
        <is>
          <t>2026-12-31</t>
        </is>
      </c>
      <c r="J362" s="5" t="n">
        <v>15472572773</v>
      </c>
      <c r="K362" s="2" t="inlineStr">
        <is>
          <t>-</t>
        </is>
      </c>
      <c r="L362" s="13" t="n">
        <v>2.33</v>
      </c>
      <c r="M362" s="7" t="inlineStr">
        <is>
          <t>주식회사 에코프로이엠</t>
        </is>
      </c>
      <c r="N362" s="2" t="inlineStr">
        <is>
          <t>20260609800195</t>
        </is>
      </c>
      <c r="O362" s="8">
        <f>HYPERLINK("https://dart.fss.or.kr/dsaf001/main.do?rcpNo=20260609800195", "공시열람")</f>
        <v/>
      </c>
    </row>
    <row r="363" ht="36" customHeight="1">
      <c r="A363" s="2" t="inlineStr">
        <is>
          <t>2026-06-10</t>
        </is>
      </c>
      <c r="B363" s="3" t="inlineStr">
        <is>
          <t>스피어</t>
        </is>
      </c>
      <c r="C363" s="2" t="inlineStr">
        <is>
          <t>코스닥</t>
        </is>
      </c>
      <c r="D363" s="2" t="inlineStr">
        <is>
          <t>347700</t>
        </is>
      </c>
      <c r="E363" s="2" t="inlineStr">
        <is>
          <t>단일판매공급계약체결</t>
        </is>
      </c>
      <c r="F363" s="3" t="inlineStr">
        <is>
          <t xml:space="preserve">단일판매ㆍ공급계약체결              </t>
        </is>
      </c>
      <c r="G363" s="7" t="inlineStr">
        <is>
          <t>특수합금 공급계약</t>
        </is>
      </c>
      <c r="H363" s="2" t="inlineStr">
        <is>
          <t>2026-06-10</t>
        </is>
      </c>
      <c r="I363" s="2" t="inlineStr">
        <is>
          <t>2027-02-15</t>
        </is>
      </c>
      <c r="J363" s="5" t="n">
        <v>20163817523</v>
      </c>
      <c r="K363" s="2" t="inlineStr">
        <is>
          <t>-</t>
        </is>
      </c>
      <c r="L363" s="13" t="n">
        <v>21.08</v>
      </c>
      <c r="M363" s="7" t="inlineStr">
        <is>
          <t>미국 글로벌 우주항공 발사업체</t>
        </is>
      </c>
      <c r="N363" s="2" t="inlineStr">
        <is>
          <t>20260610901022</t>
        </is>
      </c>
      <c r="O363" s="8">
        <f>HYPERLINK("https://dart.fss.or.kr/dsaf001/main.do?rcpNo=20260610901022", "공시열람")</f>
        <v/>
      </c>
    </row>
    <row r="364" ht="36" customHeight="1">
      <c r="A364" s="2" t="inlineStr">
        <is>
          <t>2026-06-10 (정정: 2026-06-10)</t>
        </is>
      </c>
      <c r="B364" s="3" t="inlineStr">
        <is>
          <t>알체라</t>
        </is>
      </c>
      <c r="C364" s="2" t="inlineStr">
        <is>
          <t>코스닥</t>
        </is>
      </c>
      <c r="D364" s="2" t="inlineStr">
        <is>
          <t>347860</t>
        </is>
      </c>
      <c r="E364" s="2" t="inlineStr">
        <is>
          <t>단일판매공급계약체결</t>
        </is>
      </c>
      <c r="F364" s="3" t="inlineStr">
        <is>
          <t>[기재정정]단일판매ㆍ공급계약체결               (정정: 20260610)</t>
        </is>
      </c>
      <c r="G364" s="7" t="inlineStr">
        <is>
          <t>인천공항 스마트패스 2차사업 안면인식 소프트웨어 납품 및 기술지원</t>
        </is>
      </c>
      <c r="H364" s="2" t="inlineStr">
        <is>
          <t>2023-06-09</t>
        </is>
      </c>
      <c r="I364" s="2" t="inlineStr">
        <is>
          <t>2025-09-24</t>
        </is>
      </c>
      <c r="J364" s="5" t="n">
        <v>368181818</v>
      </c>
      <c r="K364" s="2" t="inlineStr">
        <is>
          <t>-</t>
        </is>
      </c>
      <c r="L364" s="13" t="n">
        <v>3.32</v>
      </c>
      <c r="M364" s="7" t="inlineStr">
        <is>
          <t>주식회사 소트시스템</t>
        </is>
      </c>
      <c r="N364" s="2" t="inlineStr">
        <is>
          <t>20260610900579</t>
        </is>
      </c>
      <c r="O364" s="8">
        <f>HYPERLINK("https://dart.fss.or.kr/dsaf001/main.do?rcpNo=20260610900579", "공시열람")</f>
        <v/>
      </c>
    </row>
    <row r="365" ht="36" customHeight="1">
      <c r="A365" s="2" t="inlineStr">
        <is>
          <t>2026-06-10</t>
        </is>
      </c>
      <c r="B365" s="3" t="inlineStr">
        <is>
          <t>시선AI</t>
        </is>
      </c>
      <c r="C365" s="2" t="inlineStr">
        <is>
          <t>코스닥</t>
        </is>
      </c>
      <c r="D365" s="2" t="inlineStr">
        <is>
          <t>340810</t>
        </is>
      </c>
      <c r="E365" s="2" t="inlineStr">
        <is>
          <t>단일판매공급계약체결</t>
        </is>
      </c>
      <c r="F365" s="3" t="inlineStr">
        <is>
          <t xml:space="preserve">단일판매ㆍ공급계약체결              </t>
        </is>
      </c>
      <c r="G365" s="7" t="inlineStr">
        <is>
          <t>재난안전통신망 A사업구역 운영 및 유지관리</t>
        </is>
      </c>
      <c r="H365" s="2" t="inlineStr">
        <is>
          <t>2026-04-01</t>
        </is>
      </c>
      <c r="I365" s="2" t="inlineStr">
        <is>
          <t>2029-03-31</t>
        </is>
      </c>
      <c r="J365" s="5" t="n">
        <v>1889900000</v>
      </c>
      <c r="K365" s="2" t="inlineStr">
        <is>
          <t>-</t>
        </is>
      </c>
      <c r="L365" s="13" t="n">
        <v>13.5</v>
      </c>
      <c r="M365" s="7" t="inlineStr">
        <is>
          <t>(주)우주텔레콤</t>
        </is>
      </c>
      <c r="N365" s="2" t="inlineStr">
        <is>
          <t>20260610900913</t>
        </is>
      </c>
      <c r="O365" s="8">
        <f>HYPERLINK("https://dart.fss.or.kr/dsaf001/main.do?rcpNo=20260610900913", "공시열람")</f>
        <v/>
      </c>
    </row>
    <row r="366" ht="36" customHeight="1">
      <c r="A366" s="2" t="inlineStr">
        <is>
          <t>2026-06-10 (정정: 2026-06-15)</t>
        </is>
      </c>
      <c r="B366" s="3" t="inlineStr">
        <is>
          <t>키이스트</t>
        </is>
      </c>
      <c r="C366" s="2" t="inlineStr">
        <is>
          <t>코스닥</t>
        </is>
      </c>
      <c r="D366" s="2" t="inlineStr">
        <is>
          <t>054780</t>
        </is>
      </c>
      <c r="E366" s="2" t="inlineStr">
        <is>
          <t>단일판매공급계약체결</t>
        </is>
      </c>
      <c r="F366" s="3" t="inlineStr">
        <is>
          <t>단일판매ㆍ공급계약체결               (정정: 20260615)</t>
        </is>
      </c>
      <c r="G366" s="7" t="inlineStr">
        <is>
          <t>한국방송공사(KBS) 드라마 &lt;슬리핑닥터&gt; 외주제작 계약</t>
        </is>
      </c>
      <c r="H366" s="2" t="inlineStr">
        <is>
          <t>2026-06-10</t>
        </is>
      </c>
      <c r="I366" s="2" t="inlineStr">
        <is>
          <t>2027-06-15</t>
        </is>
      </c>
      <c r="J366" s="5" t="n">
        <v>5520000000</v>
      </c>
      <c r="K366" s="2" t="inlineStr">
        <is>
          <t>-</t>
        </is>
      </c>
      <c r="L366" s="13" t="n">
        <v>35.16</v>
      </c>
      <c r="M366" s="7" t="inlineStr">
        <is>
          <t>한국방송공사(KBS)</t>
        </is>
      </c>
      <c r="N366" s="2" t="inlineStr">
        <is>
          <t>20260615900495</t>
        </is>
      </c>
      <c r="O366" s="8">
        <f>HYPERLINK("https://dart.fss.or.kr/dsaf001/main.do?rcpNo=20260615900495", "공시열람")</f>
        <v/>
      </c>
    </row>
    <row r="367" ht="36" customHeight="1">
      <c r="A367" s="2" t="inlineStr">
        <is>
          <t>2026-06-10</t>
        </is>
      </c>
      <c r="B367" s="3" t="inlineStr">
        <is>
          <t>뉴로핏</t>
        </is>
      </c>
      <c r="C367" s="2" t="inlineStr">
        <is>
          <t>코스닥</t>
        </is>
      </c>
      <c r="D367" s="2" t="inlineStr">
        <is>
          <t>380550</t>
        </is>
      </c>
      <c r="E367" s="2" t="inlineStr">
        <is>
          <t>단일판매공급계약체결</t>
        </is>
      </c>
      <c r="F367" s="3" t="inlineStr">
        <is>
          <t xml:space="preserve">단일판매ㆍ공급계약체결              </t>
        </is>
      </c>
      <c r="G367" s="7" t="inlineStr">
        <is>
          <t>광주치매 코호트 연구단 대상 뉴로핏 AQUA, 뉴로핏 SCALE PET 제품 소프트웨어 사용 및 뇌 영상 분석 지원</t>
        </is>
      </c>
      <c r="H367" s="2" t="inlineStr">
        <is>
          <t>2026-06-10</t>
        </is>
      </c>
      <c r="I367" s="2" t="inlineStr">
        <is>
          <t>2029-06-09</t>
        </is>
      </c>
      <c r="J367" s="5" t="n">
        <v>450000000</v>
      </c>
      <c r="K367" s="2" t="inlineStr">
        <is>
          <t>-</t>
        </is>
      </c>
      <c r="L367" s="13" t="n">
        <v>17.21</v>
      </c>
      <c r="M367" s="7" t="inlineStr">
        <is>
          <t>광주치매 코호트 연구단</t>
        </is>
      </c>
      <c r="N367" s="2" t="inlineStr">
        <is>
          <t>20260610900366</t>
        </is>
      </c>
      <c r="O367" s="8">
        <f>HYPERLINK("https://dart.fss.or.kr/dsaf001/main.do?rcpNo=20260610900366", "공시열람")</f>
        <v/>
      </c>
    </row>
    <row r="368" ht="36" customHeight="1">
      <c r="A368" s="2" t="inlineStr">
        <is>
          <t>2026-06-10</t>
        </is>
      </c>
      <c r="B368" s="3" t="inlineStr">
        <is>
          <t>프레스티지바이오로직스</t>
        </is>
      </c>
      <c r="C368" s="2" t="inlineStr">
        <is>
          <t>코스닥</t>
        </is>
      </c>
      <c r="D368" s="2" t="inlineStr">
        <is>
          <t>334970</t>
        </is>
      </c>
      <c r="E368" s="2" t="inlineStr">
        <is>
          <t>단일판매공급계약체결</t>
        </is>
      </c>
      <c r="F368" s="3" t="inlineStr">
        <is>
          <t xml:space="preserve">단일판매ㆍ공급계약체결              </t>
        </is>
      </c>
      <c r="G368" s="7" t="inlineStr">
        <is>
          <t>원료의약품 위탁생산계약</t>
        </is>
      </c>
      <c r="H368" s="2" t="inlineStr">
        <is>
          <t>2026-06-10</t>
        </is>
      </c>
      <c r="I368" s="2" t="inlineStr">
        <is>
          <t>2027-03-31</t>
        </is>
      </c>
      <c r="J368" s="5" t="n">
        <v>2666433000</v>
      </c>
      <c r="K368" s="2" t="inlineStr">
        <is>
          <t>-</t>
        </is>
      </c>
      <c r="L368" s="13" t="n">
        <v>21.27</v>
      </c>
      <c r="M368" s="7" t="inlineStr">
        <is>
          <t>-</t>
        </is>
      </c>
      <c r="N368" s="2" t="inlineStr">
        <is>
          <t>20260610900230</t>
        </is>
      </c>
      <c r="O368" s="8">
        <f>HYPERLINK("https://dart.fss.or.kr/dsaf001/main.do?rcpNo=20260610900230", "공시열람")</f>
        <v/>
      </c>
    </row>
    <row r="369" ht="36" customHeight="1">
      <c r="A369" s="2" t="inlineStr">
        <is>
          <t>2026-06-10 (정정: 2026-06-30)</t>
        </is>
      </c>
      <c r="B369" s="3" t="inlineStr">
        <is>
          <t>지엔씨에너지</t>
        </is>
      </c>
      <c r="C369" s="2" t="inlineStr">
        <is>
          <t>코스닥</t>
        </is>
      </c>
      <c r="D369" s="2" t="inlineStr">
        <is>
          <t>119850</t>
        </is>
      </c>
      <c r="E369" s="2" t="inlineStr">
        <is>
          <t>단일판매공급계약체결</t>
        </is>
      </c>
      <c r="F369" s="3" t="inlineStr">
        <is>
          <t>단일판매ㆍ공급계약체결               (정정: 20260622) (정정: 20260630)</t>
        </is>
      </c>
      <c r="G369" s="7" t="inlineStr">
        <is>
          <t>고양삼송 IT플랫폼센터 발전기</t>
        </is>
      </c>
      <c r="H369" s="2" t="inlineStr">
        <is>
          <t>2023-10-27</t>
        </is>
      </c>
      <c r="I369" s="2" t="inlineStr">
        <is>
          <t>2026-07-21</t>
        </is>
      </c>
      <c r="J369" s="5" t="n">
        <v>25215000000</v>
      </c>
      <c r="K369" s="2" t="inlineStr">
        <is>
          <t>-</t>
        </is>
      </c>
      <c r="L369" s="13" t="n">
        <v>17</v>
      </c>
      <c r="M369" s="7" t="inlineStr">
        <is>
          <t>주식회사 엘지씨엔에스</t>
        </is>
      </c>
      <c r="N369" s="2" t="inlineStr">
        <is>
          <t>20260630900791</t>
        </is>
      </c>
      <c r="O369" s="8">
        <f>HYPERLINK("https://dart.fss.or.kr/dsaf001/main.do?rcpNo=20260630900791", "공시열람")</f>
        <v/>
      </c>
    </row>
    <row r="370" ht="36" customHeight="1">
      <c r="A370" s="2" t="inlineStr">
        <is>
          <t>2026-06-10</t>
        </is>
      </c>
      <c r="B370" s="3" t="inlineStr">
        <is>
          <t>유디엠텍</t>
        </is>
      </c>
      <c r="C370" s="2" t="inlineStr">
        <is>
          <t>코스닥</t>
        </is>
      </c>
      <c r="D370" s="2" t="inlineStr">
        <is>
          <t>389680</t>
        </is>
      </c>
      <c r="E370" s="2" t="inlineStr">
        <is>
          <t>단일판매공급계약체결</t>
        </is>
      </c>
      <c r="F370" s="3" t="inlineStr">
        <is>
          <t xml:space="preserve">단일판매ㆍ공급계약체결              </t>
        </is>
      </c>
      <c r="G370" s="7" t="inlineStr">
        <is>
          <t>Smart Air Care Platform기반 운영관리 서비스 공급계약</t>
        </is>
      </c>
      <c r="H370" s="2" t="inlineStr">
        <is>
          <t>2026-06-10</t>
        </is>
      </c>
      <c r="I370" s="2" t="inlineStr">
        <is>
          <t>2026-07-20</t>
        </is>
      </c>
      <c r="J370" s="5" t="n">
        <v>1023000000</v>
      </c>
      <c r="K370" s="2" t="inlineStr">
        <is>
          <t>-</t>
        </is>
      </c>
      <c r="L370" s="13" t="n">
        <v>31.84</v>
      </c>
      <c r="M370" s="7" t="inlineStr">
        <is>
          <t>-</t>
        </is>
      </c>
      <c r="N370" s="2" t="inlineStr">
        <is>
          <t>20260610900166</t>
        </is>
      </c>
      <c r="O370" s="8">
        <f>HYPERLINK("https://dart.fss.or.kr/dsaf001/main.do?rcpNo=20260610900166", "공시열람")</f>
        <v/>
      </c>
    </row>
    <row r="371" ht="36" customHeight="1">
      <c r="A371" s="2" t="inlineStr">
        <is>
          <t>2026-06-10</t>
        </is>
      </c>
      <c r="B371" s="3" t="inlineStr">
        <is>
          <t>디아이</t>
        </is>
      </c>
      <c r="C371" s="2" t="inlineStr">
        <is>
          <t>코스피</t>
        </is>
      </c>
      <c r="D371" s="2" t="inlineStr">
        <is>
          <t>003160</t>
        </is>
      </c>
      <c r="E371" s="2" t="inlineStr">
        <is>
          <t>단일판매공급계약체결</t>
        </is>
      </c>
      <c r="F371" s="3" t="inlineStr">
        <is>
          <t xml:space="preserve">단일판매ㆍ공급계약체결(자율공시)              </t>
        </is>
      </c>
      <c r="G371" s="7" t="inlineStr">
        <is>
          <t>-</t>
        </is>
      </c>
      <c r="H371" s="2" t="inlineStr">
        <is>
          <t>2026-06-09</t>
        </is>
      </c>
      <c r="I371" s="2" t="inlineStr">
        <is>
          <t>2026-10-30</t>
        </is>
      </c>
      <c r="J371" s="5" t="n">
        <v>21044850872</v>
      </c>
      <c r="K371" s="2" t="inlineStr">
        <is>
          <t>-</t>
        </is>
      </c>
      <c r="L371" s="13" t="n">
        <v>4.9</v>
      </c>
      <c r="M371" s="7" t="inlineStr">
        <is>
          <t>Samsung Electronics(Suzhou) Semiconductor Co., Ltd.</t>
        </is>
      </c>
      <c r="N371" s="2" t="inlineStr">
        <is>
          <t>20260610800152</t>
        </is>
      </c>
      <c r="O371" s="8">
        <f>HYPERLINK("https://dart.fss.or.kr/dsaf001/main.do?rcpNo=20260610800152", "공시열람")</f>
        <v/>
      </c>
    </row>
    <row r="372" ht="36" customHeight="1">
      <c r="A372" s="2" t="inlineStr">
        <is>
          <t>2026-06-10</t>
        </is>
      </c>
      <c r="B372" s="3" t="inlineStr">
        <is>
          <t>디아이</t>
        </is>
      </c>
      <c r="C372" s="2" t="inlineStr">
        <is>
          <t>코스피</t>
        </is>
      </c>
      <c r="D372" s="2" t="inlineStr">
        <is>
          <t>003160</t>
        </is>
      </c>
      <c r="E372" s="2" t="inlineStr">
        <is>
          <t>단일판매공급계약체결</t>
        </is>
      </c>
      <c r="F372" s="3" t="inlineStr">
        <is>
          <t xml:space="preserve">단일판매ㆍ공급계약체결              </t>
        </is>
      </c>
      <c r="G372" s="7" t="inlineStr">
        <is>
          <t>반도체 검사장비 공급계약</t>
        </is>
      </c>
      <c r="H372" s="2" t="inlineStr">
        <is>
          <t>2026-06-09</t>
        </is>
      </c>
      <c r="I372" s="2" t="inlineStr">
        <is>
          <t>2026-12-31</t>
        </is>
      </c>
      <c r="J372" s="5" t="n">
        <v>72488520000</v>
      </c>
      <c r="K372" s="2" t="inlineStr">
        <is>
          <t>-</t>
        </is>
      </c>
      <c r="L372" s="13" t="n">
        <v>16.8</v>
      </c>
      <c r="M372" s="7" t="inlineStr">
        <is>
          <t>삼성전자(주) (Samsung Electronics Co., Ltd.)</t>
        </is>
      </c>
      <c r="N372" s="2" t="inlineStr">
        <is>
          <t>20260610800150</t>
        </is>
      </c>
      <c r="O372" s="8">
        <f>HYPERLINK("https://dart.fss.or.kr/dsaf001/main.do?rcpNo=20260610800150", "공시열람")</f>
        <v/>
      </c>
    </row>
    <row r="373" ht="36" customHeight="1">
      <c r="A373" s="2" t="inlineStr">
        <is>
          <t>2026-06-10 (정정: 2026-06-11)</t>
        </is>
      </c>
      <c r="B373" s="3" t="inlineStr">
        <is>
          <t>원일티엔아이</t>
        </is>
      </c>
      <c r="C373" s="2" t="inlineStr">
        <is>
          <t>코스닥</t>
        </is>
      </c>
      <c r="D373" s="2" t="inlineStr">
        <is>
          <t>136150</t>
        </is>
      </c>
      <c r="E373" s="2" t="inlineStr">
        <is>
          <t>단일판매공급계약체결</t>
        </is>
      </c>
      <c r="F373" s="3" t="inlineStr">
        <is>
          <t>단일판매ㆍ공급계약체결               (정정: 20260611)</t>
        </is>
      </c>
      <c r="G373" s="7" t="inlineStr">
        <is>
          <t>용인 집단에너지사업 GOVERNOR STATION 납품계약</t>
        </is>
      </c>
      <c r="H373" s="2" t="inlineStr">
        <is>
          <t>2026-02-09</t>
        </is>
      </c>
      <c r="I373" s="2" t="inlineStr">
        <is>
          <t>2027-01-15</t>
        </is>
      </c>
      <c r="J373" s="5" t="n">
        <v>8911590000</v>
      </c>
      <c r="K373" s="2" t="inlineStr">
        <is>
          <t>-</t>
        </is>
      </c>
      <c r="L373" s="13" t="n">
        <v>21.12</v>
      </c>
      <c r="M373" s="7" t="inlineStr">
        <is>
          <t>에스케이에코엔지니어링(주)</t>
        </is>
      </c>
      <c r="N373" s="2" t="inlineStr">
        <is>
          <t>20260611900372</t>
        </is>
      </c>
      <c r="O373" s="8">
        <f>HYPERLINK("https://dart.fss.or.kr/dsaf001/main.do?rcpNo=20260611900372", "공시열람")</f>
        <v/>
      </c>
    </row>
    <row r="374" ht="36" customHeight="1">
      <c r="A374" s="2" t="inlineStr">
        <is>
          <t>2026-06-10</t>
        </is>
      </c>
      <c r="B374" s="3" t="inlineStr">
        <is>
          <t>에스엔시스</t>
        </is>
      </c>
      <c r="C374" s="2" t="inlineStr">
        <is>
          <t>코스닥</t>
        </is>
      </c>
      <c r="D374" s="2" t="inlineStr">
        <is>
          <t>0008Z0</t>
        </is>
      </c>
      <c r="E374" s="2" t="inlineStr">
        <is>
          <t>단일판매공급계약체결</t>
        </is>
      </c>
      <c r="F374" s="3" t="inlineStr">
        <is>
          <t xml:space="preserve">단일판매ㆍ공급계약체결(자율공시)              </t>
        </is>
      </c>
      <c r="G374" s="7" t="inlineStr">
        <is>
          <t>LNGC(액화천연가스운반선) 기자재 공급계약</t>
        </is>
      </c>
      <c r="H374" s="2" t="inlineStr">
        <is>
          <t>2026-06-09</t>
        </is>
      </c>
      <c r="I374" s="2" t="inlineStr">
        <is>
          <t>2028-03-21</t>
        </is>
      </c>
      <c r="J374" s="5" t="n">
        <v>14019022500</v>
      </c>
      <c r="K374" s="2" t="inlineStr">
        <is>
          <t>-</t>
        </is>
      </c>
      <c r="L374" s="13" t="n">
        <v>9.710000000000001</v>
      </c>
      <c r="M374" s="7" t="inlineStr">
        <is>
          <t>한화오션(주)</t>
        </is>
      </c>
      <c r="N374" s="2" t="inlineStr">
        <is>
          <t>20260610900113</t>
        </is>
      </c>
      <c r="O374" s="8">
        <f>HYPERLINK("https://dart.fss.or.kr/dsaf001/main.do?rcpNo=20260610900113", "공시열람")</f>
        <v/>
      </c>
    </row>
    <row r="375" ht="36" customHeight="1">
      <c r="A375" s="2" t="inlineStr">
        <is>
          <t>2026-06-11</t>
        </is>
      </c>
      <c r="B375" s="3" t="inlineStr">
        <is>
          <t>유비온</t>
        </is>
      </c>
      <c r="C375" s="2" t="inlineStr">
        <is>
          <t>코스닥</t>
        </is>
      </c>
      <c r="D375" s="2" t="inlineStr">
        <is>
          <t>084440</t>
        </is>
      </c>
      <c r="E375" s="2" t="inlineStr">
        <is>
          <t>단일판매공급계약체결</t>
        </is>
      </c>
      <c r="F375" s="3" t="inlineStr">
        <is>
          <t xml:space="preserve">단일판매ㆍ공급계약체결(자율공시)              </t>
        </is>
      </c>
      <c r="G375" s="7" t="inlineStr">
        <is>
          <t>DScovery 서비스 고도화</t>
        </is>
      </c>
      <c r="H375" s="2" t="inlineStr">
        <is>
          <t>2026-06-10</t>
        </is>
      </c>
      <c r="I375" s="2" t="inlineStr">
        <is>
          <t>2026-12-31</t>
        </is>
      </c>
      <c r="J375" s="5" t="n">
        <v>3000000000</v>
      </c>
      <c r="K375" s="2" t="inlineStr">
        <is>
          <t>-</t>
        </is>
      </c>
      <c r="L375" s="13" t="n">
        <v>8.91</v>
      </c>
      <c r="M375" s="7" t="inlineStr">
        <is>
          <t>삼성전자 주식회사</t>
        </is>
      </c>
      <c r="N375" s="2" t="inlineStr">
        <is>
          <t>20260611900800</t>
        </is>
      </c>
      <c r="O375" s="8">
        <f>HYPERLINK("https://dart.fss.or.kr/dsaf001/main.do?rcpNo=20260611900800", "공시열람")</f>
        <v/>
      </c>
    </row>
    <row r="376" ht="36" customHeight="1">
      <c r="A376" s="2" t="inlineStr">
        <is>
          <t>2026-06-11 (정정: 2026-06-24)</t>
        </is>
      </c>
      <c r="B376" s="3" t="inlineStr">
        <is>
          <t>HDC</t>
        </is>
      </c>
      <c r="C376" s="2" t="inlineStr">
        <is>
          <t>코스피</t>
        </is>
      </c>
      <c r="D376" s="2" t="inlineStr">
        <is>
          <t>012630</t>
        </is>
      </c>
      <c r="E376" s="2" t="inlineStr">
        <is>
          <t>단일판매공급계약체결</t>
        </is>
      </c>
      <c r="F376" s="3" t="inlineStr">
        <is>
          <t>단일판매ㆍ공급계약체결(자회사의 주요경영사항)               (정정: 20260624)</t>
        </is>
      </c>
      <c r="G376" s="7" t="inlineStr">
        <is>
          <t>신한아파트 재건축정비사업 공사도급계약</t>
        </is>
      </c>
      <c r="H376" s="2" t="inlineStr">
        <is>
          <t>2025-04-21</t>
        </is>
      </c>
      <c r="I376" s="2" t="inlineStr">
        <is>
          <t>2028-04-20</t>
        </is>
      </c>
      <c r="J376" s="5" t="n">
        <v>161928916986</v>
      </c>
      <c r="K376" s="2" t="inlineStr">
        <is>
          <t>-</t>
        </is>
      </c>
      <c r="L376" s="13" t="n">
        <v>4.8</v>
      </c>
      <c r="M376" s="7" t="inlineStr">
        <is>
          <t>신한아파트재건축정비사업조합</t>
        </is>
      </c>
      <c r="N376" s="2" t="inlineStr">
        <is>
          <t>20260624800279</t>
        </is>
      </c>
      <c r="O376" s="8">
        <f>HYPERLINK("https://dart.fss.or.kr/dsaf001/main.do?rcpNo=20260624800279", "공시열람")</f>
        <v/>
      </c>
    </row>
    <row r="377" ht="36" customHeight="1">
      <c r="A377" s="2" t="inlineStr">
        <is>
          <t>2026-06-11 (정정: 2026-06-24)</t>
        </is>
      </c>
      <c r="B377" s="3" t="inlineStr">
        <is>
          <t>IPARK현대산업개발</t>
        </is>
      </c>
      <c r="C377" s="2" t="inlineStr">
        <is>
          <t>코스피</t>
        </is>
      </c>
      <c r="D377" s="2" t="inlineStr">
        <is>
          <t>294870</t>
        </is>
      </c>
      <c r="E377" s="2" t="inlineStr">
        <is>
          <t>단일판매공급계약체결</t>
        </is>
      </c>
      <c r="F377" s="3" t="inlineStr">
        <is>
          <t>단일판매ㆍ공급계약체결               (정정: 20260624)</t>
        </is>
      </c>
      <c r="G377" s="7" t="inlineStr">
        <is>
          <t>신한아파트 재건축정비사업 공사도급계약</t>
        </is>
      </c>
      <c r="H377" s="2" t="inlineStr">
        <is>
          <t>2025-04-21</t>
        </is>
      </c>
      <c r="I377" s="2" t="inlineStr">
        <is>
          <t>2028-04-20</t>
        </is>
      </c>
      <c r="J377" s="5" t="n">
        <v>161928916986</v>
      </c>
      <c r="K377" s="2" t="inlineStr">
        <is>
          <t>-</t>
        </is>
      </c>
      <c r="L377" s="13" t="n">
        <v>4.8</v>
      </c>
      <c r="M377" s="7" t="inlineStr">
        <is>
          <t>신한아파트재건축정비사업조합</t>
        </is>
      </c>
      <c r="N377" s="2" t="inlineStr">
        <is>
          <t>20260624800262</t>
        </is>
      </c>
      <c r="O377" s="8">
        <f>HYPERLINK("https://dart.fss.or.kr/dsaf001/main.do?rcpNo=20260624800262", "공시열람")</f>
        <v/>
      </c>
    </row>
    <row r="378" ht="36" customHeight="1">
      <c r="A378" s="2" t="inlineStr">
        <is>
          <t>2026-02-06 (정정: 2026-06-11)</t>
        </is>
      </c>
      <c r="B378" s="3" t="inlineStr">
        <is>
          <t>누보</t>
        </is>
      </c>
      <c r="C378" s="2" t="inlineStr">
        <is>
          <t>코스닥</t>
        </is>
      </c>
      <c r="D378" s="2" t="inlineStr">
        <is>
          <t>332290</t>
        </is>
      </c>
      <c r="E378" s="2" t="inlineStr">
        <is>
          <t>단일판매공급계약체결</t>
        </is>
      </c>
      <c r="F378" s="3" t="inlineStr">
        <is>
          <t xml:space="preserve">[기재정정]단일판매ㆍ공급계약체결              </t>
        </is>
      </c>
      <c r="G378" s="7" t="inlineStr">
        <is>
          <t>2026년 무기질비료 구매납품 계약</t>
        </is>
      </c>
      <c r="H378" s="2" t="inlineStr">
        <is>
          <t>2026-01-01</t>
        </is>
      </c>
      <c r="I378" s="2" t="inlineStr">
        <is>
          <t>2026-12-31</t>
        </is>
      </c>
      <c r="J378" s="5" t="n">
        <v>45868618770</v>
      </c>
      <c r="K378" s="2" t="inlineStr">
        <is>
          <t>-</t>
        </is>
      </c>
      <c r="L378" s="13" t="n">
        <v>46.32</v>
      </c>
      <c r="M378" s="7" t="inlineStr">
        <is>
          <t>농협경제지주</t>
        </is>
      </c>
      <c r="N378" s="2" t="inlineStr">
        <is>
          <t>20260611900493</t>
        </is>
      </c>
      <c r="O378" s="8">
        <f>HYPERLINK("https://dart.fss.or.kr/dsaf001/main.do?rcpNo=20260611900493", "공시열람")</f>
        <v/>
      </c>
    </row>
    <row r="379" ht="36" customHeight="1">
      <c r="A379" s="2" t="inlineStr">
        <is>
          <t>2026-06-11 (정정: 2026-06-11)</t>
        </is>
      </c>
      <c r="B379" s="3" t="inlineStr">
        <is>
          <t>와이어블</t>
        </is>
      </c>
      <c r="C379" s="2" t="inlineStr">
        <is>
          <t>코스닥</t>
        </is>
      </c>
      <c r="D379" s="2" t="inlineStr">
        <is>
          <t>065530</t>
        </is>
      </c>
      <c r="E379" s="2" t="inlineStr">
        <is>
          <t>단일판매공급계약체결</t>
        </is>
      </c>
      <c r="F379" s="3" t="inlineStr">
        <is>
          <t xml:space="preserve">[기재정정]단일판매ㆍ공급계약체결              </t>
        </is>
      </c>
      <c r="G379" s="7" t="inlineStr">
        <is>
          <t>경원선 개량 외 1개 사업 철도통합무선망(LTE-R) 구매설치</t>
        </is>
      </c>
      <c r="H379" s="2" t="inlineStr">
        <is>
          <t>2021-12-20</t>
        </is>
      </c>
      <c r="I379" s="2" t="inlineStr">
        <is>
          <t>2027-12-31</t>
        </is>
      </c>
      <c r="J379" s="5" t="n">
        <v>10141421633</v>
      </c>
      <c r="K379" s="2" t="inlineStr">
        <is>
          <t>-</t>
        </is>
      </c>
      <c r="L379" s="13" t="n">
        <v>11.39</v>
      </c>
      <c r="M379" s="7" t="inlineStr">
        <is>
          <t>국가철도공단</t>
        </is>
      </c>
      <c r="N379" s="2" t="inlineStr">
        <is>
          <t>20260611900448</t>
        </is>
      </c>
      <c r="O379" s="8">
        <f>HYPERLINK("https://dart.fss.or.kr/dsaf001/main.do?rcpNo=20260611900448", "공시열람")</f>
        <v/>
      </c>
    </row>
    <row r="380" ht="36" customHeight="1">
      <c r="A380" s="2" t="inlineStr">
        <is>
          <t>2026-06-11</t>
        </is>
      </c>
      <c r="B380" s="3" t="inlineStr">
        <is>
          <t>포스코인터내셔널</t>
        </is>
      </c>
      <c r="C380" s="2" t="inlineStr">
        <is>
          <t>코스피</t>
        </is>
      </c>
      <c r="D380" s="2" t="inlineStr">
        <is>
          <t>047050</t>
        </is>
      </c>
      <c r="E380" s="2" t="inlineStr">
        <is>
          <t>단일판매공급계약체결</t>
        </is>
      </c>
      <c r="F380" s="3" t="inlineStr">
        <is>
          <t xml:space="preserve">단일판매ㆍ공급계약체결              </t>
        </is>
      </c>
      <c r="G380" s="7" t="inlineStr">
        <is>
          <t>LNG 터미널 및 직배관 이용에 관한 기본계약(HEAD OF AGREEMENT)</t>
        </is>
      </c>
      <c r="H380" s="2" t="inlineStr">
        <is>
          <t>2029-07-10</t>
        </is>
      </c>
      <c r="I380" s="2" t="inlineStr">
        <is>
          <t>2059-12-31</t>
        </is>
      </c>
      <c r="J380" s="5" t="n">
        <v>975046424727</v>
      </c>
      <c r="K380" s="2" t="inlineStr">
        <is>
          <t>-</t>
        </is>
      </c>
      <c r="L380" s="13" t="n">
        <v>3</v>
      </c>
      <c r="M380" s="7" t="inlineStr">
        <is>
          <t>한국남부발전 주식회사 (Korea Southern Power Co., Ltd.)</t>
        </is>
      </c>
      <c r="N380" s="2" t="inlineStr">
        <is>
          <t>20260611800255</t>
        </is>
      </c>
      <c r="O380" s="8">
        <f>HYPERLINK("https://dart.fss.or.kr/dsaf001/main.do?rcpNo=20260611800255", "공시열람")</f>
        <v/>
      </c>
    </row>
    <row r="381" ht="36" customHeight="1">
      <c r="A381" s="2" t="inlineStr">
        <is>
          <t>2026-06-11</t>
        </is>
      </c>
      <c r="B381" s="3" t="inlineStr">
        <is>
          <t>DKME</t>
        </is>
      </c>
      <c r="C381" s="2" t="inlineStr">
        <is>
          <t>코스피</t>
        </is>
      </c>
      <c r="D381" s="2" t="inlineStr">
        <is>
          <t>015590</t>
        </is>
      </c>
      <c r="E381" s="2" t="inlineStr">
        <is>
          <t>단일판매공급계약체결</t>
        </is>
      </c>
      <c r="F381" s="3" t="inlineStr">
        <is>
          <t xml:space="preserve">단일판매ㆍ공급계약체결              </t>
        </is>
      </c>
      <c r="G381" s="7" t="inlineStr">
        <is>
          <t>LNG 플랜트 기자재 수주</t>
        </is>
      </c>
      <c r="H381" s="2" t="inlineStr">
        <is>
          <t>2026-06-11</t>
        </is>
      </c>
      <c r="I381" s="2" t="inlineStr">
        <is>
          <t>2028-02-10</t>
        </is>
      </c>
      <c r="J381" s="5" t="n">
        <v>38064871680</v>
      </c>
      <c r="K381" s="2" t="inlineStr">
        <is>
          <t>-</t>
        </is>
      </c>
      <c r="L381" s="13" t="n">
        <v>28.53</v>
      </c>
      <c r="M381" s="7" t="inlineStr">
        <is>
          <t>TECHNIP</t>
        </is>
      </c>
      <c r="N381" s="2" t="inlineStr">
        <is>
          <t>20260611800236</t>
        </is>
      </c>
      <c r="O381" s="8">
        <f>HYPERLINK("https://dart.fss.or.kr/dsaf001/main.do?rcpNo=20260611800236", "공시열람")</f>
        <v/>
      </c>
    </row>
    <row r="382" ht="36" customHeight="1">
      <c r="A382" s="2" t="inlineStr">
        <is>
          <t>2026-06-11</t>
        </is>
      </c>
      <c r="B382" s="3" t="inlineStr">
        <is>
          <t>가온칩스</t>
        </is>
      </c>
      <c r="C382" s="2" t="inlineStr">
        <is>
          <t>코스닥</t>
        </is>
      </c>
      <c r="D382" s="2" t="inlineStr">
        <is>
          <t>399720</t>
        </is>
      </c>
      <c r="E382" s="2" t="inlineStr">
        <is>
          <t>단일판매공급계약체결</t>
        </is>
      </c>
      <c r="F382" s="3" t="inlineStr">
        <is>
          <t xml:space="preserve">단일판매ㆍ공급계약체결              </t>
        </is>
      </c>
      <c r="G382" s="7" t="inlineStr">
        <is>
          <t>ASIC 반도체 설계 개발</t>
        </is>
      </c>
      <c r="H382" s="2" t="inlineStr">
        <is>
          <t>2026-05-29</t>
        </is>
      </c>
      <c r="I382" s="2" t="inlineStr">
        <is>
          <t>2028-06-30</t>
        </is>
      </c>
      <c r="J382" s="5" t="n">
        <v>29608800000</v>
      </c>
      <c r="K382" s="2" t="inlineStr">
        <is>
          <t>-</t>
        </is>
      </c>
      <c r="L382" s="13" t="n">
        <v>43.22</v>
      </c>
      <c r="M382" s="7" t="inlineStr">
        <is>
          <t>글로벌 AI반도체 기업</t>
        </is>
      </c>
      <c r="N382" s="2" t="inlineStr">
        <is>
          <t>20260611900165</t>
        </is>
      </c>
      <c r="O382" s="8">
        <f>HYPERLINK("https://dart.fss.or.kr/dsaf001/main.do?rcpNo=20260611900165", "공시열람")</f>
        <v/>
      </c>
    </row>
    <row r="383" ht="36" customHeight="1">
      <c r="A383" s="2" t="inlineStr">
        <is>
          <t>2026-06-12</t>
        </is>
      </c>
      <c r="B383" s="3" t="inlineStr">
        <is>
          <t>이노메트리</t>
        </is>
      </c>
      <c r="C383" s="2" t="inlineStr">
        <is>
          <t>코스닥</t>
        </is>
      </c>
      <c r="D383" s="2" t="inlineStr">
        <is>
          <t>302430</t>
        </is>
      </c>
      <c r="E383" s="2" t="inlineStr">
        <is>
          <t>단일판매공급계약체결</t>
        </is>
      </c>
      <c r="F383" s="3" t="inlineStr">
        <is>
          <t xml:space="preserve">단일판매ㆍ공급계약체결              </t>
        </is>
      </c>
      <c r="G383" s="7" t="inlineStr">
        <is>
          <t>2차전지 검사장비(전기차용) 공급계약</t>
        </is>
      </c>
      <c r="H383" s="2" t="inlineStr">
        <is>
          <t>2026-06-11</t>
        </is>
      </c>
      <c r="I383" s="2" t="inlineStr">
        <is>
          <t>2026-12-31</t>
        </is>
      </c>
      <c r="J383" s="5" t="n">
        <v>5731405420</v>
      </c>
      <c r="K383" s="2" t="inlineStr">
        <is>
          <t>-</t>
        </is>
      </c>
      <c r="L383" s="13" t="n">
        <v>14.86</v>
      </c>
      <c r="M383" s="7" t="inlineStr">
        <is>
          <t>비공개</t>
        </is>
      </c>
      <c r="N383" s="2" t="inlineStr">
        <is>
          <t>20260612901084</t>
        </is>
      </c>
      <c r="O383" s="8">
        <f>HYPERLINK("https://dart.fss.or.kr/dsaf001/main.do?rcpNo=20260612901084", "공시열람")</f>
        <v/>
      </c>
    </row>
    <row r="384" ht="36" customHeight="1">
      <c r="A384" s="2" t="inlineStr">
        <is>
          <t>2026-06-12 (정정: 2026-06-19)</t>
        </is>
      </c>
      <c r="B384" s="3" t="inlineStr">
        <is>
          <t>한화오션</t>
        </is>
      </c>
      <c r="C384" s="2" t="inlineStr">
        <is>
          <t>코스피</t>
        </is>
      </c>
      <c r="D384" s="2" t="inlineStr">
        <is>
          <t>042660</t>
        </is>
      </c>
      <c r="E384" s="2" t="inlineStr">
        <is>
          <t>단일판매공급계약체결</t>
        </is>
      </c>
      <c r="F384" s="3" t="inlineStr">
        <is>
          <t>단일판매ㆍ공급계약체결               (정정: 20260619)</t>
        </is>
      </c>
      <c r="G384" s="7" t="inlineStr">
        <is>
          <t>VLCC 4척</t>
        </is>
      </c>
      <c r="H384" s="2" t="inlineStr">
        <is>
          <t>2026-06-19</t>
        </is>
      </c>
      <c r="I384" s="2" t="inlineStr">
        <is>
          <t>2030-02-22</t>
        </is>
      </c>
      <c r="J384" s="5" t="n">
        <v>800100000000</v>
      </c>
      <c r="K384" s="2" t="inlineStr">
        <is>
          <t>-</t>
        </is>
      </c>
      <c r="L384" s="13" t="n">
        <v>6.3</v>
      </c>
      <c r="M384" s="7" t="inlineStr">
        <is>
          <t>아시아 지역 선주</t>
        </is>
      </c>
      <c r="N384" s="2" t="inlineStr">
        <is>
          <t>20260619800742</t>
        </is>
      </c>
      <c r="O384" s="8">
        <f>HYPERLINK("https://dart.fss.or.kr/dsaf001/main.do?rcpNo=20260619800742", "공시열람")</f>
        <v/>
      </c>
    </row>
    <row r="385" ht="36" customHeight="1">
      <c r="A385" s="2" t="inlineStr">
        <is>
          <t>2026-06-12</t>
        </is>
      </c>
      <c r="B385" s="3" t="inlineStr">
        <is>
          <t>KCC건설</t>
        </is>
      </c>
      <c r="C385" s="2" t="inlineStr">
        <is>
          <t>코스닥</t>
        </is>
      </c>
      <c r="D385" s="2" t="inlineStr">
        <is>
          <t>021320</t>
        </is>
      </c>
      <c r="E385" s="2" t="inlineStr">
        <is>
          <t>단일판매공급계약체결</t>
        </is>
      </c>
      <c r="F385" s="3" t="inlineStr">
        <is>
          <t xml:space="preserve">단일판매ㆍ공급계약체결              </t>
        </is>
      </c>
      <c r="G385" s="7" t="inlineStr">
        <is>
          <t>양벌지구 공동주택 신축공사</t>
        </is>
      </c>
      <c r="H385" s="2" t="inlineStr">
        <is>
          <t>2026-07-31</t>
        </is>
      </c>
      <c r="I385" s="2" t="inlineStr">
        <is>
          <t>2030-10-31</t>
        </is>
      </c>
      <c r="J385" s="5" t="n">
        <v>207326485000</v>
      </c>
      <c r="K385" s="2" t="inlineStr">
        <is>
          <t>-</t>
        </is>
      </c>
      <c r="L385" s="13" t="n">
        <v>11.31</v>
      </c>
      <c r="M385" s="7" t="inlineStr">
        <is>
          <t>더원파트너스 주식회사</t>
        </is>
      </c>
      <c r="N385" s="2" t="inlineStr">
        <is>
          <t>20260612900603</t>
        </is>
      </c>
      <c r="O385" s="8">
        <f>HYPERLINK("https://dart.fss.or.kr/dsaf001/main.do?rcpNo=20260612900603", "공시열람")</f>
        <v/>
      </c>
    </row>
    <row r="386" ht="36" customHeight="1">
      <c r="A386" s="2" t="inlineStr">
        <is>
          <t>2026-06-12</t>
        </is>
      </c>
      <c r="B386" s="3" t="inlineStr">
        <is>
          <t>우양에이치씨</t>
        </is>
      </c>
      <c r="C386" s="2" t="inlineStr">
        <is>
          <t>코스닥</t>
        </is>
      </c>
      <c r="D386" s="2" t="inlineStr">
        <is>
          <t>101970</t>
        </is>
      </c>
      <c r="E386" s="2" t="inlineStr">
        <is>
          <t>단일판매공급계약체결</t>
        </is>
      </c>
      <c r="F386" s="3" t="inlineStr">
        <is>
          <t xml:space="preserve">단일판매ㆍ공급계약체결              </t>
        </is>
      </c>
      <c r="G386" s="7" t="inlineStr">
        <is>
          <t>Deaerator and Storage tank 및 Pressure Heaters(High and Low) 공급계약</t>
        </is>
      </c>
      <c r="H386" s="2" t="inlineStr">
        <is>
          <t>2026-06-12</t>
        </is>
      </c>
      <c r="I386" s="2" t="inlineStr">
        <is>
          <t>2027-09-16</t>
        </is>
      </c>
      <c r="J386" s="5" t="n">
        <v>14304936000</v>
      </c>
      <c r="K386" s="2" t="inlineStr">
        <is>
          <t>-</t>
        </is>
      </c>
      <c r="L386" s="13" t="n">
        <v>14.18</v>
      </c>
      <c r="M386" s="7" t="inlineStr">
        <is>
          <t>ATE ENERGY INTERNATIONAL CO.LTD.</t>
        </is>
      </c>
      <c r="N386" s="2" t="inlineStr">
        <is>
          <t>20260612900559</t>
        </is>
      </c>
      <c r="O386" s="8">
        <f>HYPERLINK("https://dart.fss.or.kr/dsaf001/main.do?rcpNo=20260612900559", "공시열람")</f>
        <v/>
      </c>
    </row>
    <row r="387" ht="36" customHeight="1">
      <c r="A387" s="2" t="inlineStr">
        <is>
          <t>2026-04-30 (정정: 2026-06-12)</t>
        </is>
      </c>
      <c r="B387" s="3" t="inlineStr">
        <is>
          <t>옵티코어</t>
        </is>
      </c>
      <c r="C387" s="2" t="inlineStr">
        <is>
          <t>코스닥</t>
        </is>
      </c>
      <c r="D387" s="2" t="inlineStr">
        <is>
          <t>380540</t>
        </is>
      </c>
      <c r="E387" s="2" t="inlineStr">
        <is>
          <t>단일판매공급계약체결</t>
        </is>
      </c>
      <c r="F387" s="3" t="inlineStr">
        <is>
          <t xml:space="preserve">[기재정정]단일판매ㆍ공급계약체결              </t>
        </is>
      </c>
      <c r="G387" s="7" t="inlineStr">
        <is>
          <t>AI 데이터센터용 광트랜시버 공급계약(400G, 800G)</t>
        </is>
      </c>
      <c r="H387" s="2" t="inlineStr">
        <is>
          <t>2025-12-29</t>
        </is>
      </c>
      <c r="I387" s="2" t="inlineStr">
        <is>
          <t>2026-07-10</t>
        </is>
      </c>
      <c r="J387" s="5" t="n">
        <v>4007434000</v>
      </c>
      <c r="K387" s="2" t="inlineStr">
        <is>
          <t>-</t>
        </is>
      </c>
      <c r="L387" s="13" t="n">
        <v>17.2</v>
      </c>
      <c r="M387" s="7" t="inlineStr">
        <is>
          <t>국내 서버 및 주변장치 공급 업체</t>
        </is>
      </c>
      <c r="N387" s="2" t="inlineStr">
        <is>
          <t>20260612900554</t>
        </is>
      </c>
      <c r="O387" s="8">
        <f>HYPERLINK("https://dart.fss.or.kr/dsaf001/main.do?rcpNo=20260612900554", "공시열람")</f>
        <v/>
      </c>
    </row>
    <row r="388" ht="36" customHeight="1">
      <c r="A388" s="2" t="inlineStr">
        <is>
          <t>2026-06-12</t>
        </is>
      </c>
      <c r="B388" s="3" t="inlineStr">
        <is>
          <t>유니테스트</t>
        </is>
      </c>
      <c r="C388" s="2" t="inlineStr">
        <is>
          <t>코스닥</t>
        </is>
      </c>
      <c r="D388" s="2" t="inlineStr">
        <is>
          <t>086390</t>
        </is>
      </c>
      <c r="E388" s="2" t="inlineStr">
        <is>
          <t>단일판매공급계약체결</t>
        </is>
      </c>
      <c r="F388" s="3" t="inlineStr">
        <is>
          <t xml:space="preserve">단일판매ㆍ공급계약체결              </t>
        </is>
      </c>
      <c r="G388" s="7" t="inlineStr">
        <is>
          <t>태양광발전소 건설공사</t>
        </is>
      </c>
      <c r="H388" s="2" t="inlineStr">
        <is>
          <t>2026-06-11</t>
        </is>
      </c>
      <c r="I388" s="2" t="inlineStr">
        <is>
          <t>2028-12-31</t>
        </is>
      </c>
      <c r="J388" s="5" t="n">
        <v>60080432051</v>
      </c>
      <c r="K388" s="2" t="inlineStr">
        <is>
          <t>-</t>
        </is>
      </c>
      <c r="L388" s="13" t="n">
        <v>54.52</v>
      </c>
      <c r="M388" s="7" t="inlineStr">
        <is>
          <t>PRU Tamuning LLC, PRU Barrigada LLC, PRU Malojloj LLC, PRU Pulantat LLC</t>
        </is>
      </c>
      <c r="N388" s="2" t="inlineStr">
        <is>
          <t>20260612900492</t>
        </is>
      </c>
      <c r="O388" s="8">
        <f>HYPERLINK("https://dart.fss.or.kr/dsaf001/main.do?rcpNo=20260612900492", "공시열람")</f>
        <v/>
      </c>
    </row>
    <row r="389" ht="36" customHeight="1">
      <c r="A389" s="2" t="inlineStr">
        <is>
          <t>2026-06-12 (정정: 2026-06-24)</t>
        </is>
      </c>
      <c r="B389" s="3" t="inlineStr">
        <is>
          <t>한신공영</t>
        </is>
      </c>
      <c r="C389" s="2" t="inlineStr">
        <is>
          <t>코스피</t>
        </is>
      </c>
      <c r="D389" s="2" t="inlineStr">
        <is>
          <t>004960</t>
        </is>
      </c>
      <c r="E389" s="2" t="inlineStr">
        <is>
          <t>단일판매공급계약체결</t>
        </is>
      </c>
      <c r="F389" s="3" t="inlineStr">
        <is>
          <t>[기재정정]단일판매ㆍ공급계약체결               (정정: 20260624)</t>
        </is>
      </c>
      <c r="G389" s="7" t="inlineStr">
        <is>
          <t>광주 도시철도 2호선 1단계 2공구 건설공사</t>
        </is>
      </c>
      <c r="H389" s="2" t="inlineStr">
        <is>
          <t>2019-10-01</t>
        </is>
      </c>
      <c r="I389" s="2" t="inlineStr">
        <is>
          <t>2026-08-31</t>
        </is>
      </c>
      <c r="J389" s="5" t="n">
        <v>84617136860</v>
      </c>
      <c r="K389" s="2" t="inlineStr">
        <is>
          <t>-</t>
        </is>
      </c>
      <c r="L389" s="13" t="n">
        <v>6.9</v>
      </c>
      <c r="M389" s="7" t="inlineStr">
        <is>
          <t>광주광역시 도시철도건설본부</t>
        </is>
      </c>
      <c r="N389" s="2" t="inlineStr">
        <is>
          <t>20260624800378</t>
        </is>
      </c>
      <c r="O389" s="8">
        <f>HYPERLINK("https://dart.fss.or.kr/dsaf001/main.do?rcpNo=20260624800378", "공시열람")</f>
        <v/>
      </c>
    </row>
    <row r="390" ht="36" customHeight="1">
      <c r="A390" s="2" t="inlineStr">
        <is>
          <t>2026-06-12</t>
        </is>
      </c>
      <c r="B390" s="3" t="inlineStr">
        <is>
          <t>HD현대마린엔진</t>
        </is>
      </c>
      <c r="C390" s="2" t="inlineStr">
        <is>
          <t>코스피</t>
        </is>
      </c>
      <c r="D390" s="2" t="inlineStr">
        <is>
          <t>071970</t>
        </is>
      </c>
      <c r="E390" s="2" t="inlineStr">
        <is>
          <t>단일판매공급계약체결</t>
        </is>
      </c>
      <c r="F390" s="3" t="inlineStr">
        <is>
          <t xml:space="preserve">단일판매ㆍ공급계약체결              </t>
        </is>
      </c>
      <c r="G390" s="7" t="inlineStr">
        <is>
          <t>선박엔진 공급계약</t>
        </is>
      </c>
      <c r="H390" s="2" t="inlineStr">
        <is>
          <t>2026-06-11</t>
        </is>
      </c>
      <c r="I390" s="2" t="inlineStr">
        <is>
          <t>2028-08-09</t>
        </is>
      </c>
      <c r="J390" s="5" t="n">
        <v>46813800000</v>
      </c>
      <c r="K390" s="2" t="inlineStr">
        <is>
          <t>-</t>
        </is>
      </c>
      <c r="L390" s="13" t="n">
        <v>11.6</v>
      </c>
      <c r="M390" s="7" t="inlineStr">
        <is>
          <t>삼성중공업㈜ (Samsung Heavy Industries Co., Ltd.)</t>
        </is>
      </c>
      <c r="N390" s="2" t="inlineStr">
        <is>
          <t>20260612800170</t>
        </is>
      </c>
      <c r="O390" s="8">
        <f>HYPERLINK("https://dart.fss.or.kr/dsaf001/main.do?rcpNo=20260612800170", "공시열람")</f>
        <v/>
      </c>
    </row>
    <row r="391" ht="36" customHeight="1">
      <c r="A391" s="2" t="inlineStr">
        <is>
          <t>2026-06-15 (정정: 2026-06-15)</t>
        </is>
      </c>
      <c r="B391" s="3" t="inlineStr">
        <is>
          <t>하이비젼시스템</t>
        </is>
      </c>
      <c r="C391" s="2" t="inlineStr">
        <is>
          <t>코스닥</t>
        </is>
      </c>
      <c r="D391" s="2" t="inlineStr">
        <is>
          <t>126700</t>
        </is>
      </c>
      <c r="E391" s="2" t="inlineStr">
        <is>
          <t>단일판매공급계약체결</t>
        </is>
      </c>
      <c r="F391" s="3" t="inlineStr">
        <is>
          <t xml:space="preserve">[기재정정]단일판매ㆍ공급계약체결              </t>
        </is>
      </c>
      <c r="G391" s="7" t="inlineStr">
        <is>
          <t>에너지저장장치(ESS, Energy Storage System) 배터리팩 조립 설비 공급</t>
        </is>
      </c>
      <c r="H391" s="2" t="inlineStr">
        <is>
          <t>2026-06-15</t>
        </is>
      </c>
      <c r="I391" s="2" t="inlineStr">
        <is>
          <t>2028-02-14</t>
        </is>
      </c>
      <c r="J391" s="5" t="n">
        <v>94998029624</v>
      </c>
      <c r="K391" s="2" t="inlineStr">
        <is>
          <t>-</t>
        </is>
      </c>
      <c r="L391" s="13" t="n">
        <v>55.52</v>
      </c>
      <c r="M391" s="7" t="inlineStr">
        <is>
          <t>2차전지 기업의 해외법인</t>
        </is>
      </c>
      <c r="N391" s="2" t="inlineStr">
        <is>
          <t>20260615900789</t>
        </is>
      </c>
      <c r="O391" s="8">
        <f>HYPERLINK("https://dart.fss.or.kr/dsaf001/main.do?rcpNo=20260615900789", "공시열람")</f>
        <v/>
      </c>
    </row>
    <row r="392" ht="36" customHeight="1">
      <c r="A392" s="2" t="inlineStr">
        <is>
          <t>2026-06-15 (정정: 2026-06-19)</t>
        </is>
      </c>
      <c r="B392" s="3" t="inlineStr">
        <is>
          <t>제너셈</t>
        </is>
      </c>
      <c r="C392" s="2" t="inlineStr">
        <is>
          <t>코스닥</t>
        </is>
      </c>
      <c r="D392" s="2" t="inlineStr">
        <is>
          <t>217190</t>
        </is>
      </c>
      <c r="E392" s="2" t="inlineStr">
        <is>
          <t>단일판매공급계약체결</t>
        </is>
      </c>
      <c r="F392" s="3" t="inlineStr">
        <is>
          <t>단일판매ㆍ공급계약체결               (정정: 20260619)</t>
        </is>
      </c>
      <c r="G392" s="7" t="inlineStr">
        <is>
          <t>반도체 자동화 장비</t>
        </is>
      </c>
      <c r="H392" s="2" t="inlineStr">
        <is>
          <t>2025-12-31</t>
        </is>
      </c>
      <c r="I392" s="2" t="inlineStr">
        <is>
          <t>2026-06-25</t>
        </is>
      </c>
      <c r="J392" s="5" t="n">
        <v>4800000000</v>
      </c>
      <c r="K392" s="2" t="inlineStr">
        <is>
          <t>-</t>
        </is>
      </c>
      <c r="L392" s="13" t="n">
        <v>6.98</v>
      </c>
      <c r="M392" s="7" t="inlineStr">
        <is>
          <t>에이에스이 코리아</t>
        </is>
      </c>
      <c r="N392" s="2" t="inlineStr">
        <is>
          <t>20260619900885</t>
        </is>
      </c>
      <c r="O392" s="8">
        <f>HYPERLINK("https://dart.fss.or.kr/dsaf001/main.do?rcpNo=20260619900885", "공시열람")</f>
        <v/>
      </c>
    </row>
    <row r="393" ht="36" customHeight="1">
      <c r="A393" s="2" t="inlineStr">
        <is>
          <t>2026-06-15 (정정: 2026-06-19)</t>
        </is>
      </c>
      <c r="B393" s="3" t="inlineStr">
        <is>
          <t>SGC E&amp;C</t>
        </is>
      </c>
      <c r="C393" s="2" t="inlineStr">
        <is>
          <t>코스닥</t>
        </is>
      </c>
      <c r="D393" s="2" t="inlineStr">
        <is>
          <t>016250</t>
        </is>
      </c>
      <c r="E393" s="2" t="inlineStr">
        <is>
          <t>단일판매공급계약체결</t>
        </is>
      </c>
      <c r="F393" s="3" t="inlineStr">
        <is>
          <t>[기재정정]단일판매ㆍ공급계약체결(자율공시)               (정정: 20260619) (정정: 20260619)</t>
        </is>
      </c>
      <c r="G393" s="7" t="inlineStr">
        <is>
          <t>마석우리2 지역주택조합 공동주택 신축공사 및 기반시설 개설공사</t>
        </is>
      </c>
      <c r="H393" s="2" t="inlineStr">
        <is>
          <t>2026-03-17</t>
        </is>
      </c>
      <c r="I393" s="2" t="inlineStr">
        <is>
          <t>2030-07-18</t>
        </is>
      </c>
      <c r="J393" s="5" t="n">
        <v>155612500000</v>
      </c>
      <c r="K393" s="2" t="inlineStr">
        <is>
          <t>-</t>
        </is>
      </c>
      <c r="L393" s="13" t="n">
        <v>12.91</v>
      </c>
      <c r="M393" s="7" t="inlineStr">
        <is>
          <t>마석우리2지역주택조합</t>
        </is>
      </c>
      <c r="N393" s="2" t="inlineStr">
        <is>
          <t>20260619900779</t>
        </is>
      </c>
      <c r="O393" s="8">
        <f>HYPERLINK("https://dart.fss.or.kr/dsaf001/main.do?rcpNo=20260619900779", "공시열람")</f>
        <v/>
      </c>
    </row>
    <row r="394" ht="36" customHeight="1">
      <c r="A394" s="2" t="inlineStr">
        <is>
          <t>2026-06-15</t>
        </is>
      </c>
      <c r="B394" s="3" t="inlineStr">
        <is>
          <t>야스</t>
        </is>
      </c>
      <c r="C394" s="2" t="inlineStr">
        <is>
          <t>코스닥</t>
        </is>
      </c>
      <c r="D394" s="2" t="inlineStr">
        <is>
          <t>255440</t>
        </is>
      </c>
      <c r="E394" s="2" t="inlineStr">
        <is>
          <t>단일판매공급계약체결</t>
        </is>
      </c>
      <c r="F394" s="3" t="inlineStr">
        <is>
          <t xml:space="preserve">단일판매ㆍ공급계약체결              </t>
        </is>
      </c>
      <c r="G394" s="7" t="inlineStr">
        <is>
          <t>디스플레이 양산용 증발원</t>
        </is>
      </c>
      <c r="H394" s="2" t="inlineStr">
        <is>
          <t>2026-06-12</t>
        </is>
      </c>
      <c r="I394" s="2" t="inlineStr">
        <is>
          <t>2026-11-06</t>
        </is>
      </c>
      <c r="J394" s="5" t="n">
        <v>12423672000</v>
      </c>
      <c r="K394" s="2" t="inlineStr">
        <is>
          <t>-</t>
        </is>
      </c>
      <c r="L394" s="13" t="n">
        <v>35.74</v>
      </c>
      <c r="M394" s="7" t="inlineStr">
        <is>
          <t>Guangzhou China Star Optoelectronics Printing Display Technology Co., Ltd</t>
        </is>
      </c>
      <c r="N394" s="2" t="inlineStr">
        <is>
          <t>20260615900675</t>
        </is>
      </c>
      <c r="O394" s="8">
        <f>HYPERLINK("https://dart.fss.or.kr/dsaf001/main.do?rcpNo=20260615900675", "공시열람")</f>
        <v/>
      </c>
    </row>
    <row r="395" ht="36" customHeight="1">
      <c r="A395" s="2" t="inlineStr">
        <is>
          <t>2026-06-15</t>
        </is>
      </c>
      <c r="B395" s="3" t="inlineStr">
        <is>
          <t>두산에너빌리티</t>
        </is>
      </c>
      <c r="C395" s="2" t="inlineStr">
        <is>
          <t>코스피</t>
        </is>
      </c>
      <c r="D395" s="2" t="inlineStr">
        <is>
          <t>034020</t>
        </is>
      </c>
      <c r="E395" s="2" t="inlineStr">
        <is>
          <t>단일판매공급계약체결</t>
        </is>
      </c>
      <c r="F395" s="3" t="inlineStr">
        <is>
          <t xml:space="preserve">단일판매ㆍ공급계약체결              </t>
        </is>
      </c>
      <c r="G395" s="7" t="inlineStr">
        <is>
          <t>Duqm Independent Power Project</t>
        </is>
      </c>
      <c r="H395" s="2" t="inlineStr">
        <is>
          <t>2026-06-12</t>
        </is>
      </c>
      <c r="I395" s="2" t="inlineStr">
        <is>
          <t>2029-04-01</t>
        </is>
      </c>
      <c r="J395" s="5" t="n">
        <v>528899503720</v>
      </c>
      <c r="K395" s="2" t="inlineStr">
        <is>
          <t>-</t>
        </is>
      </c>
      <c r="L395" s="13" t="n">
        <v>3.1</v>
      </c>
      <c r="M395" s="7" t="inlineStr">
        <is>
          <t>Coastal Power SAOC</t>
        </is>
      </c>
      <c r="N395" s="2" t="inlineStr">
        <is>
          <t>20260615800697</t>
        </is>
      </c>
      <c r="O395" s="8">
        <f>HYPERLINK("https://dart.fss.or.kr/dsaf001/main.do?rcpNo=20260615800697", "공시열람")</f>
        <v/>
      </c>
    </row>
    <row r="396" ht="36" customHeight="1">
      <c r="A396" s="2" t="inlineStr">
        <is>
          <t>2026-06-15 (정정: 2026-06-24)</t>
        </is>
      </c>
      <c r="B396" s="3" t="inlineStr">
        <is>
          <t>남화토건</t>
        </is>
      </c>
      <c r="C396" s="2" t="inlineStr">
        <is>
          <t>코스닥</t>
        </is>
      </c>
      <c r="D396" s="2" t="inlineStr">
        <is>
          <t>091590</t>
        </is>
      </c>
      <c r="E396" s="2" t="inlineStr">
        <is>
          <t>단일판매공급계약체결</t>
        </is>
      </c>
      <c r="F396" s="3" t="inlineStr">
        <is>
          <t>[기재정정]단일판매ㆍ공급계약체결               (정정: 20260624)</t>
        </is>
      </c>
      <c r="G396" s="7" t="inlineStr">
        <is>
          <t>호남고속철도2단계(고막원~목포)제5공구 건설공사</t>
        </is>
      </c>
      <c r="H396" s="2" t="inlineStr">
        <is>
          <t>2021-06-29</t>
        </is>
      </c>
      <c r="I396" s="2" t="inlineStr">
        <is>
          <t>2027-11-30</t>
        </is>
      </c>
      <c r="J396" s="5" t="n">
        <v>30675000000</v>
      </c>
      <c r="K396" s="2" t="inlineStr">
        <is>
          <t>-</t>
        </is>
      </c>
      <c r="L396" s="13" t="n">
        <v>40.7</v>
      </c>
      <c r="M396" s="7" t="inlineStr">
        <is>
          <t>국가철도공단</t>
        </is>
      </c>
      <c r="N396" s="2" t="inlineStr">
        <is>
          <t>20260624900466</t>
        </is>
      </c>
      <c r="O396" s="8">
        <f>HYPERLINK("https://dart.fss.or.kr/dsaf001/main.do?rcpNo=20260624900466", "공시열람")</f>
        <v/>
      </c>
    </row>
    <row r="397" ht="36" customHeight="1">
      <c r="A397" s="2" t="inlineStr">
        <is>
          <t>2026-06-15</t>
        </is>
      </c>
      <c r="B397" s="3" t="inlineStr">
        <is>
          <t>기가비스</t>
        </is>
      </c>
      <c r="C397" s="2" t="inlineStr">
        <is>
          <t>코스닥</t>
        </is>
      </c>
      <c r="D397" s="2" t="inlineStr">
        <is>
          <t>420770</t>
        </is>
      </c>
      <c r="E397" s="2" t="inlineStr">
        <is>
          <t>단일판매공급계약체결</t>
        </is>
      </c>
      <c r="F397" s="3" t="inlineStr">
        <is>
          <t xml:space="preserve">단일판매ㆍ공급계약체결              </t>
        </is>
      </c>
      <c r="G397" s="7" t="inlineStr">
        <is>
          <t>반도체 기판 검사장비</t>
        </is>
      </c>
      <c r="H397" s="2" t="inlineStr">
        <is>
          <t>2026-06-15</t>
        </is>
      </c>
      <c r="I397" s="2" t="inlineStr">
        <is>
          <t>2027-01-10</t>
        </is>
      </c>
      <c r="J397" s="5" t="n">
        <v>7252308000</v>
      </c>
      <c r="K397" s="2" t="inlineStr">
        <is>
          <t>-</t>
        </is>
      </c>
      <c r="L397" s="13" t="n">
        <v>13.83</v>
      </c>
      <c r="M397" s="7" t="inlineStr">
        <is>
          <t>중국 반도체 기판 제조회사</t>
        </is>
      </c>
      <c r="N397" s="2" t="inlineStr">
        <is>
          <t>20260615900536</t>
        </is>
      </c>
      <c r="O397" s="8">
        <f>HYPERLINK("https://dart.fss.or.kr/dsaf001/main.do?rcpNo=20260615900536", "공시열람")</f>
        <v/>
      </c>
    </row>
    <row r="398" ht="36" customHeight="1">
      <c r="A398" s="2" t="inlineStr">
        <is>
          <t>2026-06-15</t>
        </is>
      </c>
      <c r="B398" s="3" t="inlineStr">
        <is>
          <t>아이빔테크놀로지</t>
        </is>
      </c>
      <c r="C398" s="2" t="inlineStr">
        <is>
          <t>코스닥</t>
        </is>
      </c>
      <c r="D398" s="2" t="inlineStr">
        <is>
          <t>460470</t>
        </is>
      </c>
      <c r="E398" s="2" t="inlineStr">
        <is>
          <t>단일판매공급계약체결</t>
        </is>
      </c>
      <c r="F398" s="3" t="inlineStr">
        <is>
          <t xml:space="preserve">단일판매ㆍ공급계약체결              </t>
        </is>
      </c>
      <c r="G398" s="7" t="inlineStr">
        <is>
          <t>생체현미경공급계약</t>
        </is>
      </c>
      <c r="H398" s="2" t="inlineStr">
        <is>
          <t>2026-06-15</t>
        </is>
      </c>
      <c r="I398" s="2" t="inlineStr">
        <is>
          <t>2026-08-25</t>
        </is>
      </c>
      <c r="J398" s="5" t="n">
        <v>616291403</v>
      </c>
      <c r="K398" s="2" t="inlineStr">
        <is>
          <t>-</t>
        </is>
      </c>
      <c r="L398" s="13" t="n">
        <v>14.1</v>
      </c>
      <c r="M398" s="7" t="inlineStr">
        <is>
          <t>Revvity (HONGKONG) LIMITED</t>
        </is>
      </c>
      <c r="N398" s="2" t="inlineStr">
        <is>
          <t>20260615900440</t>
        </is>
      </c>
      <c r="O398" s="8">
        <f>HYPERLINK("https://dart.fss.or.kr/dsaf001/main.do?rcpNo=20260615900440", "공시열람")</f>
        <v/>
      </c>
    </row>
    <row r="399" ht="36" customHeight="1">
      <c r="A399" s="2" t="inlineStr">
        <is>
          <t>2026-06-15</t>
        </is>
      </c>
      <c r="B399" s="3" t="inlineStr">
        <is>
          <t>뱅크웨어글로벌</t>
        </is>
      </c>
      <c r="C399" s="2" t="inlineStr">
        <is>
          <t>코스닥</t>
        </is>
      </c>
      <c r="D399" s="2" t="inlineStr">
        <is>
          <t>199480</t>
        </is>
      </c>
      <c r="E399" s="2" t="inlineStr">
        <is>
          <t>단일판매공급계약체결</t>
        </is>
      </c>
      <c r="F399" s="3" t="inlineStr">
        <is>
          <t xml:space="preserve">단일판매ㆍ공급계약체결(자율공시)              </t>
        </is>
      </c>
      <c r="G399" s="7" t="inlineStr">
        <is>
          <t>케이뱅크 비대면 기업 채널 구축</t>
        </is>
      </c>
      <c r="H399" s="2" t="inlineStr">
        <is>
          <t>2026-06-15</t>
        </is>
      </c>
      <c r="I399" s="2" t="inlineStr">
        <is>
          <t>2027-08-13</t>
        </is>
      </c>
      <c r="J399" s="5" t="n">
        <v>5765000000</v>
      </c>
      <c r="K399" s="2" t="inlineStr">
        <is>
          <t>-</t>
        </is>
      </c>
      <c r="L399" s="13" t="n">
        <v>9.09</v>
      </c>
      <c r="M399" s="7" t="inlineStr">
        <is>
          <t>삼성에스디에스 주식회사</t>
        </is>
      </c>
      <c r="N399" s="2" t="inlineStr">
        <is>
          <t>20260615900421</t>
        </is>
      </c>
      <c r="O399" s="8">
        <f>HYPERLINK("https://dart.fss.or.kr/dsaf001/main.do?rcpNo=20260615900421", "공시열람")</f>
        <v/>
      </c>
    </row>
    <row r="400" ht="36" customHeight="1">
      <c r="A400" s="2" t="inlineStr">
        <is>
          <t>2026-06-15</t>
        </is>
      </c>
      <c r="B400" s="3" t="inlineStr">
        <is>
          <t>금호건설</t>
        </is>
      </c>
      <c r="C400" s="2" t="inlineStr">
        <is>
          <t>코스피</t>
        </is>
      </c>
      <c r="D400" s="2" t="inlineStr">
        <is>
          <t>002990</t>
        </is>
      </c>
      <c r="E400" s="2" t="inlineStr">
        <is>
          <t>단일판매공급계약체결</t>
        </is>
      </c>
      <c r="F400" s="3" t="inlineStr">
        <is>
          <t xml:space="preserve">단일판매ㆍ공급계약체결              </t>
        </is>
      </c>
      <c r="G400" s="7" t="inlineStr">
        <is>
          <t>에코델타시티 8BL 민간참여 공공분양주택 건립사업</t>
        </is>
      </c>
      <c r="H400" s="2" t="inlineStr">
        <is>
          <t>2026-06-12</t>
        </is>
      </c>
      <c r="I400" s="2" t="inlineStr">
        <is>
          <t>2031-10-31</t>
        </is>
      </c>
      <c r="J400" s="5" t="n">
        <v>164768880000</v>
      </c>
      <c r="K400" s="2" t="inlineStr">
        <is>
          <t>-</t>
        </is>
      </c>
      <c r="L400" s="13" t="n">
        <v>8.16</v>
      </c>
      <c r="M400" s="7" t="inlineStr">
        <is>
          <t>부산도시공사</t>
        </is>
      </c>
      <c r="N400" s="2" t="inlineStr">
        <is>
          <t>20260615800420</t>
        </is>
      </c>
      <c r="O400" s="8">
        <f>HYPERLINK("https://dart.fss.or.kr/dsaf001/main.do?rcpNo=20260615800420", "공시열람")</f>
        <v/>
      </c>
    </row>
    <row r="401" ht="36" customHeight="1">
      <c r="A401" s="2" t="inlineStr">
        <is>
          <t>2026-06-15</t>
        </is>
      </c>
      <c r="B401" s="3" t="inlineStr">
        <is>
          <t>아이씨디</t>
        </is>
      </c>
      <c r="C401" s="2" t="inlineStr">
        <is>
          <t>코스닥</t>
        </is>
      </c>
      <c r="D401" s="2" t="inlineStr">
        <is>
          <t>040910</t>
        </is>
      </c>
      <c r="E401" s="2" t="inlineStr">
        <is>
          <t>단일판매공급계약체결</t>
        </is>
      </c>
      <c r="F401" s="3" t="inlineStr">
        <is>
          <t xml:space="preserve">단일판매ㆍ공급계약체결              </t>
        </is>
      </c>
      <c r="G401" s="7" t="inlineStr">
        <is>
          <t>FPD제조장비</t>
        </is>
      </c>
      <c r="H401" s="2" t="inlineStr">
        <is>
          <t>2026-06-03</t>
        </is>
      </c>
      <c r="I401" s="2" t="inlineStr">
        <is>
          <t>2027-04-30</t>
        </is>
      </c>
      <c r="J401" s="5" t="inlineStr"/>
      <c r="K401" s="2" t="inlineStr">
        <is>
          <t>-</t>
        </is>
      </c>
      <c r="L401" s="3" t="inlineStr"/>
      <c r="M401" s="7" t="inlineStr">
        <is>
          <t>Everdisplay Optronics (Shanghai)Co.,Ltd.</t>
        </is>
      </c>
      <c r="N401" s="2" t="inlineStr">
        <is>
          <t>20260615900381</t>
        </is>
      </c>
      <c r="O401" s="8">
        <f>HYPERLINK("https://dart.fss.or.kr/dsaf001/main.do?rcpNo=20260615900381", "공시열람")</f>
        <v/>
      </c>
    </row>
    <row r="402" ht="36" customHeight="1">
      <c r="A402" s="2" t="inlineStr">
        <is>
          <t>2026-06-15</t>
        </is>
      </c>
      <c r="B402" s="3" t="inlineStr">
        <is>
          <t>에스원</t>
        </is>
      </c>
      <c r="C402" s="2" t="inlineStr">
        <is>
          <t>코스피</t>
        </is>
      </c>
      <c r="D402" s="2" t="inlineStr">
        <is>
          <t>012750</t>
        </is>
      </c>
      <c r="E402" s="2" t="inlineStr">
        <is>
          <t>단일판매공급계약체결</t>
        </is>
      </c>
      <c r="F402" s="3" t="inlineStr">
        <is>
          <t xml:space="preserve">단일판매ㆍ공급계약체결              </t>
        </is>
      </c>
      <c r="G402" s="7" t="inlineStr">
        <is>
          <t>통합 인력보안 용역 계약</t>
        </is>
      </c>
      <c r="H402" s="2" t="inlineStr">
        <is>
          <t>2026-01-01</t>
        </is>
      </c>
      <c r="I402" s="2" t="inlineStr">
        <is>
          <t>2026-12-31</t>
        </is>
      </c>
      <c r="J402" s="5" t="n">
        <v>155283839000</v>
      </c>
      <c r="K402" s="2" t="inlineStr">
        <is>
          <t>-</t>
        </is>
      </c>
      <c r="L402" s="13" t="n">
        <v>5.37</v>
      </c>
      <c r="M402" s="7" t="inlineStr">
        <is>
          <t>삼성전자 주식회사 (SAMSUNG ELECTRONICS CO.,LTD)</t>
        </is>
      </c>
      <c r="N402" s="2" t="inlineStr">
        <is>
          <t>20260615800352</t>
        </is>
      </c>
      <c r="O402" s="8">
        <f>HYPERLINK("https://dart.fss.or.kr/dsaf001/main.do?rcpNo=20260615800352", "공시열람")</f>
        <v/>
      </c>
    </row>
    <row r="403" ht="36" customHeight="1">
      <c r="A403" s="2" t="inlineStr">
        <is>
          <t>2026-06-15</t>
        </is>
      </c>
      <c r="B403" s="3" t="inlineStr">
        <is>
          <t>네이블</t>
        </is>
      </c>
      <c r="C403" s="2" t="inlineStr">
        <is>
          <t>코스닥</t>
        </is>
      </c>
      <c r="D403" s="2" t="inlineStr">
        <is>
          <t>153460</t>
        </is>
      </c>
      <c r="E403" s="2" t="inlineStr">
        <is>
          <t>단일판매공급계약체결</t>
        </is>
      </c>
      <c r="F403" s="3" t="inlineStr">
        <is>
          <t xml:space="preserve">단일판매ㆍ공급계약체결              </t>
        </is>
      </c>
      <c r="G403" s="7" t="inlineStr">
        <is>
          <t>하나금융그룹 5G 특화망 구축 사업 공급 계약</t>
        </is>
      </c>
      <c r="H403" s="2" t="inlineStr">
        <is>
          <t>2026-06-15</t>
        </is>
      </c>
      <c r="I403" s="2" t="inlineStr">
        <is>
          <t>2027-01-07</t>
        </is>
      </c>
      <c r="J403" s="5" t="n">
        <v>2409000000</v>
      </c>
      <c r="K403" s="2" t="inlineStr">
        <is>
          <t>-</t>
        </is>
      </c>
      <c r="L403" s="13" t="n">
        <v>12.55</v>
      </c>
      <c r="M403" s="7" t="inlineStr">
        <is>
          <t>SK텔레콤 주식회사</t>
        </is>
      </c>
      <c r="N403" s="2" t="inlineStr">
        <is>
          <t>20260615900301</t>
        </is>
      </c>
      <c r="O403" s="8">
        <f>HYPERLINK("https://dart.fss.or.kr/dsaf001/main.do?rcpNo=20260615900301", "공시열람")</f>
        <v/>
      </c>
    </row>
    <row r="404" ht="36" customHeight="1">
      <c r="A404" s="2" t="inlineStr">
        <is>
          <t>2026-06-15 (정정: 2026-06-18)</t>
        </is>
      </c>
      <c r="B404" s="3" t="inlineStr">
        <is>
          <t>미래산업</t>
        </is>
      </c>
      <c r="C404" s="2" t="inlineStr">
        <is>
          <t>코스피</t>
        </is>
      </c>
      <c r="D404" s="2" t="inlineStr">
        <is>
          <t>025560</t>
        </is>
      </c>
      <c r="E404" s="2" t="inlineStr">
        <is>
          <t>단일판매공급계약체결</t>
        </is>
      </c>
      <c r="F404" s="3" t="inlineStr">
        <is>
          <t>단일판매ㆍ공급계약체결               (정정: 20260618)</t>
        </is>
      </c>
      <c r="G404" s="7" t="inlineStr">
        <is>
          <t>반도체 검사 장비 공급 계약</t>
        </is>
      </c>
      <c r="H404" s="2" t="inlineStr">
        <is>
          <t>2026-03-20</t>
        </is>
      </c>
      <c r="I404" s="2" t="inlineStr">
        <is>
          <t>2026-06-30</t>
        </is>
      </c>
      <c r="J404" s="5" t="n">
        <v>3846730500</v>
      </c>
      <c r="K404" s="2" t="inlineStr">
        <is>
          <t>-</t>
        </is>
      </c>
      <c r="L404" s="13" t="n">
        <v>14.23</v>
      </c>
      <c r="M404" s="7" t="inlineStr">
        <is>
          <t>YILING TRADING</t>
        </is>
      </c>
      <c r="N404" s="2" t="inlineStr">
        <is>
          <t>20260618800435</t>
        </is>
      </c>
      <c r="O404" s="8">
        <f>HYPERLINK("https://dart.fss.or.kr/dsaf001/main.do?rcpNo=20260618800435", "공시열람")</f>
        <v/>
      </c>
    </row>
    <row r="405" ht="36" customHeight="1">
      <c r="A405" s="2" t="inlineStr">
        <is>
          <t>2026-06-15 (정정: 2026-06-23)</t>
        </is>
      </c>
      <c r="B405" s="3" t="inlineStr">
        <is>
          <t>스피어</t>
        </is>
      </c>
      <c r="C405" s="2" t="inlineStr">
        <is>
          <t>코스닥</t>
        </is>
      </c>
      <c r="D405" s="2" t="inlineStr">
        <is>
          <t>347700</t>
        </is>
      </c>
      <c r="E405" s="2" t="inlineStr">
        <is>
          <t>단일판매공급계약체결</t>
        </is>
      </c>
      <c r="F405" s="3" t="inlineStr">
        <is>
          <t>단일판매ㆍ공급계약체결               (정정: 20260618) (정정: 20260623) (정정: 20260623)</t>
        </is>
      </c>
      <c r="G405" s="7" t="inlineStr">
        <is>
          <t>특수합금 공급계약</t>
        </is>
      </c>
      <c r="H405" s="2" t="inlineStr">
        <is>
          <t>2025-04-30</t>
        </is>
      </c>
      <c r="I405" s="2" t="inlineStr">
        <is>
          <t>2026-08-17</t>
        </is>
      </c>
      <c r="J405" s="5" t="n">
        <v>10289909192</v>
      </c>
      <c r="K405" s="2" t="inlineStr">
        <is>
          <t>-</t>
        </is>
      </c>
      <c r="L405" s="13" t="n">
        <v>402.3</v>
      </c>
      <c r="M405" s="7" t="inlineStr">
        <is>
          <t>미국 글로벌 우주항공 발사업체</t>
        </is>
      </c>
      <c r="N405" s="2" t="inlineStr">
        <is>
          <t>20260623900680</t>
        </is>
      </c>
      <c r="O405" s="8">
        <f>HYPERLINK("https://dart.fss.or.kr/dsaf001/main.do?rcpNo=20260623900680", "공시열람")</f>
        <v/>
      </c>
    </row>
    <row r="406" ht="36" customHeight="1">
      <c r="A406" s="2" t="inlineStr">
        <is>
          <t>2026-06-15</t>
        </is>
      </c>
      <c r="B406" s="3" t="inlineStr">
        <is>
          <t>씨메스로보틱스</t>
        </is>
      </c>
      <c r="C406" s="2" t="inlineStr">
        <is>
          <t>코스닥</t>
        </is>
      </c>
      <c r="D406" s="2" t="inlineStr">
        <is>
          <t>475400</t>
        </is>
      </c>
      <c r="E406" s="2" t="inlineStr">
        <is>
          <t>단일판매공급계약체결</t>
        </is>
      </c>
      <c r="F406" s="3" t="inlineStr">
        <is>
          <t xml:space="preserve">단일판매ㆍ공급계약체결              </t>
        </is>
      </c>
      <c r="G406" s="7" t="inlineStr">
        <is>
          <t>로봇 자동화 설비 납품</t>
        </is>
      </c>
      <c r="H406" s="2" t="inlineStr">
        <is>
          <t>2026-06-12</t>
        </is>
      </c>
      <c r="I406" s="2" t="inlineStr">
        <is>
          <t>2026-09-30</t>
        </is>
      </c>
      <c r="J406" s="5" t="n">
        <v>2280687498</v>
      </c>
      <c r="K406" s="2" t="inlineStr">
        <is>
          <t>-</t>
        </is>
      </c>
      <c r="L406" s="13" t="n">
        <v>17.47</v>
      </c>
      <c r="M406" s="7" t="inlineStr">
        <is>
          <t>주식회사 서흥</t>
        </is>
      </c>
      <c r="N406" s="2" t="inlineStr">
        <is>
          <t>20260615900184</t>
        </is>
      </c>
      <c r="O406" s="8">
        <f>HYPERLINK("https://dart.fss.or.kr/dsaf001/main.do?rcpNo=20260615900184", "공시열람")</f>
        <v/>
      </c>
    </row>
    <row r="407" ht="36" customHeight="1">
      <c r="A407" s="2" t="inlineStr">
        <is>
          <t>2026-06-15</t>
        </is>
      </c>
      <c r="B407" s="3" t="inlineStr">
        <is>
          <t>쓰리빌리언</t>
        </is>
      </c>
      <c r="C407" s="2" t="inlineStr">
        <is>
          <t>코스닥</t>
        </is>
      </c>
      <c r="D407" s="2" t="inlineStr">
        <is>
          <t>394800</t>
        </is>
      </c>
      <c r="E407" s="2" t="inlineStr">
        <is>
          <t>단일판매공급계약체결</t>
        </is>
      </c>
      <c r="F407" s="3" t="inlineStr">
        <is>
          <t xml:space="preserve">단일판매ㆍ공급계약체결(자율공시)              </t>
        </is>
      </c>
      <c r="G407" s="7" t="inlineStr">
        <is>
          <t>전장유전체염기서열기반 신생아 선별검사 (K-gNBS) 검사 위탁 계약</t>
        </is>
      </c>
      <c r="H407" s="2" t="inlineStr">
        <is>
          <t>2026-06-12</t>
        </is>
      </c>
      <c r="I407" s="2" t="inlineStr">
        <is>
          <t>2028-12-31</t>
        </is>
      </c>
      <c r="J407" s="5" t="n">
        <v>900000000</v>
      </c>
      <c r="K407" s="2" t="inlineStr">
        <is>
          <t>-</t>
        </is>
      </c>
      <c r="L407" s="13" t="n">
        <v>7.69</v>
      </c>
      <c r="M407" s="7" t="inlineStr">
        <is>
          <t>서울아산병원</t>
        </is>
      </c>
      <c r="N407" s="2" t="inlineStr">
        <is>
          <t>20260615900204</t>
        </is>
      </c>
      <c r="O407" s="8">
        <f>HYPERLINK("https://dart.fss.or.kr/dsaf001/main.do?rcpNo=20260615900204", "공시열람")</f>
        <v/>
      </c>
    </row>
    <row r="408" ht="36" customHeight="1">
      <c r="A408" s="2" t="inlineStr">
        <is>
          <t>2026-06-16</t>
        </is>
      </c>
      <c r="B408" s="3" t="inlineStr">
        <is>
          <t>에스프리즘</t>
        </is>
      </c>
      <c r="C408" s="2" t="inlineStr">
        <is>
          <t>코스닥</t>
        </is>
      </c>
      <c r="D408" s="2" t="inlineStr">
        <is>
          <t>288620</t>
        </is>
      </c>
      <c r="E408" s="2" t="inlineStr">
        <is>
          <t>단일판매공급계약체결</t>
        </is>
      </c>
      <c r="F408" s="3" t="inlineStr">
        <is>
          <t xml:space="preserve">단일판매ㆍ공급계약체결              </t>
        </is>
      </c>
      <c r="G408" s="7" t="inlineStr">
        <is>
          <t>한전 계통안정화 군산소룡S/S 56MW용 PCS 공급계약</t>
        </is>
      </c>
      <c r="H408" s="2" t="inlineStr">
        <is>
          <t>2026-06-15</t>
        </is>
      </c>
      <c r="I408" s="2" t="inlineStr">
        <is>
          <t>2026-12-30</t>
        </is>
      </c>
      <c r="J408" s="5" t="n">
        <v>3674060000</v>
      </c>
      <c r="K408" s="2" t="inlineStr">
        <is>
          <t>-</t>
        </is>
      </c>
      <c r="L408" s="13" t="n">
        <v>23.3</v>
      </c>
      <c r="M408" s="7" t="inlineStr">
        <is>
          <t>주식회사 지티엔지</t>
        </is>
      </c>
      <c r="N408" s="2" t="inlineStr">
        <is>
          <t>20260616900494</t>
        </is>
      </c>
      <c r="O408" s="8">
        <f>HYPERLINK("https://dart.fss.or.kr/dsaf001/main.do?rcpNo=20260616900494", "공시열람")</f>
        <v/>
      </c>
    </row>
    <row r="409" ht="36" customHeight="1">
      <c r="A409" s="2" t="inlineStr">
        <is>
          <t>2026-06-16 (정정: 2026-06-25)</t>
        </is>
      </c>
      <c r="B409" s="3" t="inlineStr">
        <is>
          <t>다스코</t>
        </is>
      </c>
      <c r="C409" s="2" t="inlineStr">
        <is>
          <t>코스피</t>
        </is>
      </c>
      <c r="D409" s="2" t="inlineStr">
        <is>
          <t>058730</t>
        </is>
      </c>
      <c r="E409" s="2" t="inlineStr">
        <is>
          <t>단일판매공급계약체결</t>
        </is>
      </c>
      <c r="F409" s="3" t="inlineStr">
        <is>
          <t>[기재정정]단일판매ㆍ공급계약체결               (정정: 20260625)</t>
        </is>
      </c>
      <c r="G409" s="7" t="inlineStr">
        <is>
          <t>-</t>
        </is>
      </c>
      <c r="H409" s="2" t="inlineStr">
        <is>
          <t>2023-10-11</t>
        </is>
      </c>
      <c r="I409" s="2" t="inlineStr">
        <is>
          <t>2026-08-30</t>
        </is>
      </c>
      <c r="J409" s="5" t="n">
        <v>16547765000</v>
      </c>
      <c r="K409" s="2" t="inlineStr">
        <is>
          <t>-</t>
        </is>
      </c>
      <c r="L409" s="13" t="n">
        <v>4.37</v>
      </c>
      <c r="M409" s="7" t="inlineStr">
        <is>
          <t>Consorcio HPH Joint venture</t>
        </is>
      </c>
      <c r="N409" s="2" t="inlineStr">
        <is>
          <t>20260625800530</t>
        </is>
      </c>
      <c r="O409" s="8">
        <f>HYPERLINK("https://dart.fss.or.kr/dsaf001/main.do?rcpNo=20260625800530", "공시열람")</f>
        <v/>
      </c>
    </row>
    <row r="410" ht="36" customHeight="1">
      <c r="A410" s="2" t="inlineStr">
        <is>
          <t>2026-06-16</t>
        </is>
      </c>
      <c r="B410" s="3" t="inlineStr">
        <is>
          <t>에스오에스랩</t>
        </is>
      </c>
      <c r="C410" s="2" t="inlineStr">
        <is>
          <t>코스닥</t>
        </is>
      </c>
      <c r="D410" s="2" t="inlineStr">
        <is>
          <t>464080</t>
        </is>
      </c>
      <c r="E410" s="2" t="inlineStr">
        <is>
          <t>단일판매공급계약체결</t>
        </is>
      </c>
      <c r="F410" s="3" t="inlineStr">
        <is>
          <t xml:space="preserve">단일판매ㆍ공급계약체결              </t>
        </is>
      </c>
      <c r="G410" s="7" t="inlineStr">
        <is>
          <t>스마트톨링용 라이다(유료도로에서 개별차량의 요금징수를 위하여 차량의 번호판을 촬영하는 카메라의 트리거용 레이저 장치)인 라이다 제품(이하 “제품”)을 독점 공급</t>
        </is>
      </c>
      <c r="H410" s="2" t="inlineStr">
        <is>
          <t>2026-06-16</t>
        </is>
      </c>
      <c r="I410" s="2" t="inlineStr">
        <is>
          <t>2028-09-30</t>
        </is>
      </c>
      <c r="J410" s="5" t="n">
        <v>837500000</v>
      </c>
      <c r="K410" s="2" t="inlineStr">
        <is>
          <t>-</t>
        </is>
      </c>
      <c r="L410" s="13" t="n">
        <v>13.76</v>
      </c>
      <c r="M410" s="7" t="inlineStr">
        <is>
          <t>주식회사 에스트래픽</t>
        </is>
      </c>
      <c r="N410" s="2" t="inlineStr">
        <is>
          <t>20260616900395</t>
        </is>
      </c>
      <c r="O410" s="8">
        <f>HYPERLINK("https://dart.fss.or.kr/dsaf001/main.do?rcpNo=20260616900395", "공시열람")</f>
        <v/>
      </c>
    </row>
    <row r="411" ht="36" customHeight="1">
      <c r="A411" s="2" t="inlineStr">
        <is>
          <t>2026-06-16</t>
        </is>
      </c>
      <c r="B411" s="3" t="inlineStr">
        <is>
          <t>에이스토리</t>
        </is>
      </c>
      <c r="C411" s="2" t="inlineStr">
        <is>
          <t>코스닥</t>
        </is>
      </c>
      <c r="D411" s="2" t="inlineStr">
        <is>
          <t>241840</t>
        </is>
      </c>
      <c r="E411" s="2" t="inlineStr">
        <is>
          <t>단일판매공급계약체결</t>
        </is>
      </c>
      <c r="F411" s="3" t="inlineStr">
        <is>
          <t xml:space="preserve">단일판매ㆍ공급계약체결              </t>
        </is>
      </c>
      <c r="G411" s="7" t="inlineStr">
        <is>
          <t>드라마 &lt;크래시 시즌2&gt; 방영권 라이센스 계약</t>
        </is>
      </c>
      <c r="H411" s="2" t="inlineStr">
        <is>
          <t>2026-06-16</t>
        </is>
      </c>
      <c r="I411" s="2" t="inlineStr">
        <is>
          <t>2036-06-15</t>
        </is>
      </c>
      <c r="J411" s="5" t="inlineStr"/>
      <c r="K411" s="2" t="inlineStr">
        <is>
          <t>-</t>
        </is>
      </c>
      <c r="L411" s="3" t="inlineStr"/>
      <c r="M411" s="7" t="inlineStr">
        <is>
          <t>Viki, Inc.</t>
        </is>
      </c>
      <c r="N411" s="2" t="inlineStr">
        <is>
          <t>20260616900384</t>
        </is>
      </c>
      <c r="O411" s="8">
        <f>HYPERLINK("https://dart.fss.or.kr/dsaf001/main.do?rcpNo=20260616900384", "공시열람")</f>
        <v/>
      </c>
    </row>
    <row r="412" ht="36" customHeight="1">
      <c r="A412" s="2" t="inlineStr">
        <is>
          <t>2026-06-16</t>
        </is>
      </c>
      <c r="B412" s="3" t="inlineStr">
        <is>
          <t>DKME</t>
        </is>
      </c>
      <c r="C412" s="2" t="inlineStr">
        <is>
          <t>코스피</t>
        </is>
      </c>
      <c r="D412" s="2" t="inlineStr">
        <is>
          <t>015590</t>
        </is>
      </c>
      <c r="E412" s="2" t="inlineStr">
        <is>
          <t>단일판매공급계약체결</t>
        </is>
      </c>
      <c r="F412" s="3" t="inlineStr">
        <is>
          <t xml:space="preserve">단일판매ㆍ공급계약체결(자율공시)              </t>
        </is>
      </c>
      <c r="G412" s="7" t="inlineStr">
        <is>
          <t>-</t>
        </is>
      </c>
      <c r="H412" s="2" t="inlineStr">
        <is>
          <t>2026-06-16</t>
        </is>
      </c>
      <c r="I412" s="2" t="inlineStr">
        <is>
          <t>2027-12-15</t>
        </is>
      </c>
      <c r="J412" s="5" t="n">
        <v>5755063000</v>
      </c>
      <c r="K412" s="2" t="inlineStr">
        <is>
          <t>-</t>
        </is>
      </c>
      <c r="L412" s="13" t="n">
        <v>4.31</v>
      </c>
      <c r="M412" s="7" t="inlineStr">
        <is>
          <t>TECHNIP</t>
        </is>
      </c>
      <c r="N412" s="2" t="inlineStr">
        <is>
          <t>20260616800380</t>
        </is>
      </c>
      <c r="O412" s="8">
        <f>HYPERLINK("https://dart.fss.or.kr/dsaf001/main.do?rcpNo=20260616800380", "공시열람")</f>
        <v/>
      </c>
    </row>
    <row r="413" ht="36" customHeight="1">
      <c r="A413" s="2" t="inlineStr">
        <is>
          <t>2026-06-16 (정정: 2026-06-17)</t>
        </is>
      </c>
      <c r="B413" s="3" t="inlineStr">
        <is>
          <t>에너토크</t>
        </is>
      </c>
      <c r="C413" s="2" t="inlineStr">
        <is>
          <t>코스닥</t>
        </is>
      </c>
      <c r="D413" s="2" t="inlineStr">
        <is>
          <t>019990</t>
        </is>
      </c>
      <c r="E413" s="2" t="inlineStr">
        <is>
          <t>단일판매공급계약체결</t>
        </is>
      </c>
      <c r="F413" s="3" t="inlineStr">
        <is>
          <t>단일판매ㆍ공급계약체결(자율공시)               (정정: 20260617)</t>
        </is>
      </c>
      <c r="G413" s="7" t="inlineStr">
        <is>
          <t>전동엑츄에이터 694대 공급계약</t>
        </is>
      </c>
      <c r="H413" s="2" t="inlineStr">
        <is>
          <t>2025-08-19</t>
        </is>
      </c>
      <c r="I413" s="2" t="inlineStr">
        <is>
          <t>2028-06-28</t>
        </is>
      </c>
      <c r="J413" s="5" t="n">
        <v>5541200000</v>
      </c>
      <c r="K413" s="2" t="inlineStr">
        <is>
          <t>-</t>
        </is>
      </c>
      <c r="L413" s="13" t="n">
        <v>22.02</v>
      </c>
      <c r="M413" s="7" t="inlineStr">
        <is>
          <t>WAA EUROPE</t>
        </is>
      </c>
      <c r="N413" s="2" t="inlineStr">
        <is>
          <t>20260617900178</t>
        </is>
      </c>
      <c r="O413" s="8">
        <f>HYPERLINK("https://dart.fss.or.kr/dsaf001/main.do?rcpNo=20260617900178", "공시열람")</f>
        <v/>
      </c>
    </row>
    <row r="414" ht="36" customHeight="1">
      <c r="A414" s="2" t="inlineStr">
        <is>
          <t>2026-06-16 (정정: 2026-06-30)</t>
        </is>
      </c>
      <c r="B414" s="3" t="inlineStr">
        <is>
          <t>동양</t>
        </is>
      </c>
      <c r="C414" s="2" t="inlineStr">
        <is>
          <t>코스피</t>
        </is>
      </c>
      <c r="D414" s="2" t="inlineStr">
        <is>
          <t>001520</t>
        </is>
      </c>
      <c r="E414" s="2" t="inlineStr">
        <is>
          <t>단일판매공급계약체결</t>
        </is>
      </c>
      <c r="F414" s="3" t="inlineStr">
        <is>
          <t>단일판매ㆍ공급계약체결               (정정: 20260630)</t>
        </is>
      </c>
      <c r="G414" s="7" t="inlineStr">
        <is>
          <t>광양바이오매스 발전소 EPC 건설공사 중 FGTS 및 AHS 제작, 납품 및 설치공사</t>
        </is>
      </c>
      <c r="H414" s="2" t="inlineStr">
        <is>
          <t>2023-06-07</t>
        </is>
      </c>
      <c r="I414" s="2" t="inlineStr">
        <is>
          <t>2026-09-30</t>
        </is>
      </c>
      <c r="J414" s="5" t="n">
        <v>57781900000</v>
      </c>
      <c r="K414" s="2" t="inlineStr">
        <is>
          <t>-</t>
        </is>
      </c>
      <c r="L414" s="13" t="n">
        <v>7.53</v>
      </c>
      <c r="M414" s="7" t="inlineStr">
        <is>
          <t>롯데건설(주)</t>
        </is>
      </c>
      <c r="N414" s="2" t="inlineStr">
        <is>
          <t>20260630800672</t>
        </is>
      </c>
      <c r="O414" s="8">
        <f>HYPERLINK("https://dart.fss.or.kr/dsaf001/main.do?rcpNo=20260630800672", "공시열람")</f>
        <v/>
      </c>
    </row>
    <row r="415" ht="36" customHeight="1">
      <c r="A415" s="2" t="inlineStr">
        <is>
          <t>2026-06-16</t>
        </is>
      </c>
      <c r="B415" s="3" t="inlineStr">
        <is>
          <t>유바이오로직스</t>
        </is>
      </c>
      <c r="C415" s="2" t="inlineStr">
        <is>
          <t>코스닥</t>
        </is>
      </c>
      <c r="D415" s="2" t="inlineStr">
        <is>
          <t>206650</t>
        </is>
      </c>
      <c r="E415" s="2" t="inlineStr">
        <is>
          <t>단일판매공급계약체결</t>
        </is>
      </c>
      <c r="F415" s="3" t="inlineStr">
        <is>
          <t xml:space="preserve">단일판매ㆍ공급계약체결              </t>
        </is>
      </c>
      <c r="G415" s="7" t="inlineStr">
        <is>
          <t>경구용 콜레라 백신(유비콜/유비콜-에스) 납품</t>
        </is>
      </c>
      <c r="H415" s="2" t="inlineStr">
        <is>
          <t>2026-06-15</t>
        </is>
      </c>
      <c r="I415" s="2" t="inlineStr">
        <is>
          <t>2026-08-14</t>
        </is>
      </c>
      <c r="J415" s="5" t="n">
        <v>29794432962</v>
      </c>
      <c r="K415" s="2" t="inlineStr">
        <is>
          <t>-</t>
        </is>
      </c>
      <c r="L415" s="13" t="n">
        <v>19.97</v>
      </c>
      <c r="M415" s="7" t="inlineStr">
        <is>
          <t>UNICEF</t>
        </is>
      </c>
      <c r="N415" s="2" t="inlineStr">
        <is>
          <t>20260616900207</t>
        </is>
      </c>
      <c r="O415" s="8">
        <f>HYPERLINK("https://dart.fss.or.kr/dsaf001/main.do?rcpNo=20260616900207", "공시열람")</f>
        <v/>
      </c>
    </row>
    <row r="416" ht="36" customHeight="1">
      <c r="A416" s="2" t="inlineStr">
        <is>
          <t>2023-11-08 (정정: 2026-06-17)</t>
        </is>
      </c>
      <c r="B416" s="3" t="inlineStr">
        <is>
          <t>에스트래픽</t>
        </is>
      </c>
      <c r="C416" s="2" t="inlineStr">
        <is>
          <t>코스닥</t>
        </is>
      </c>
      <c r="D416" s="2" t="inlineStr">
        <is>
          <t>234300</t>
        </is>
      </c>
      <c r="E416" s="2" t="inlineStr">
        <is>
          <t>단일판매공급계약체결</t>
        </is>
      </c>
      <c r="F416" s="3" t="inlineStr">
        <is>
          <t xml:space="preserve">[기재정정]단일판매ㆍ공급계약체결              </t>
        </is>
      </c>
      <c r="G416" s="7" t="inlineStr">
        <is>
          <t>도시철도 양산선(노포~복정) 열차제어시스템 구매설치</t>
        </is>
      </c>
      <c r="H416" s="2" t="inlineStr">
        <is>
          <t>2023-11-08</t>
        </is>
      </c>
      <c r="I416" s="2" t="inlineStr">
        <is>
          <t>2026-12-31</t>
        </is>
      </c>
      <c r="J416" s="5" t="n">
        <v>15269000000</v>
      </c>
      <c r="K416" s="2" t="inlineStr">
        <is>
          <t>-</t>
        </is>
      </c>
      <c r="L416" s="13" t="n">
        <v>11.56</v>
      </c>
      <c r="M416" s="7" t="inlineStr">
        <is>
          <t>부산교통공사</t>
        </is>
      </c>
      <c r="N416" s="2" t="inlineStr">
        <is>
          <t>20260617900634</t>
        </is>
      </c>
      <c r="O416" s="8">
        <f>HYPERLINK("https://dart.fss.or.kr/dsaf001/main.do?rcpNo=20260617900634", "공시열람")</f>
        <v/>
      </c>
    </row>
    <row r="417" ht="36" customHeight="1">
      <c r="A417" s="2" t="inlineStr">
        <is>
          <t>2010-06-25 (정정: 2026-06-17)</t>
        </is>
      </c>
      <c r="B417" s="3" t="inlineStr">
        <is>
          <t>이수앱지스</t>
        </is>
      </c>
      <c r="C417" s="2" t="inlineStr">
        <is>
          <t>코스닥</t>
        </is>
      </c>
      <c r="D417" s="2" t="inlineStr">
        <is>
          <t>086890</t>
        </is>
      </c>
      <c r="E417" s="2" t="inlineStr">
        <is>
          <t>단일판매공급계약체결</t>
        </is>
      </c>
      <c r="F417" s="3" t="inlineStr">
        <is>
          <t xml:space="preserve">[기재정정]단일판매ㆍ공급계약체결              </t>
        </is>
      </c>
      <c r="G417" s="7" t="inlineStr">
        <is>
          <t>클로티냅(항혈전 항체치료제) SUPPLY &amp; MARKETING AGREEMENT</t>
        </is>
      </c>
      <c r="H417" s="2" t="inlineStr">
        <is>
          <t>2010-06-24</t>
        </is>
      </c>
      <c r="I417" s="2" t="inlineStr">
        <is>
          <t>2027-06-23</t>
        </is>
      </c>
      <c r="J417" s="5" t="n">
        <v>695845800</v>
      </c>
      <c r="K417" s="2" t="inlineStr">
        <is>
          <t>-</t>
        </is>
      </c>
      <c r="L417" s="13" t="n">
        <v>19.95</v>
      </c>
      <c r="M417" s="7" t="inlineStr">
        <is>
          <t>BL HUA&amp;Co.,LTD.</t>
        </is>
      </c>
      <c r="N417" s="2" t="inlineStr">
        <is>
          <t>20260617900543</t>
        </is>
      </c>
      <c r="O417" s="8">
        <f>HYPERLINK("https://dart.fss.or.kr/dsaf001/main.do?rcpNo=20260617900543", "공시열람")</f>
        <v/>
      </c>
    </row>
    <row r="418" ht="36" customHeight="1">
      <c r="A418" s="2" t="inlineStr">
        <is>
          <t>2026-06-17</t>
        </is>
      </c>
      <c r="B418" s="3" t="inlineStr">
        <is>
          <t>한성크린텍</t>
        </is>
      </c>
      <c r="C418" s="2" t="inlineStr">
        <is>
          <t>코스닥</t>
        </is>
      </c>
      <c r="D418" s="2" t="inlineStr">
        <is>
          <t>066980</t>
        </is>
      </c>
      <c r="E418" s="2" t="inlineStr">
        <is>
          <t>단일판매공급계약체결</t>
        </is>
      </c>
      <c r="F418" s="3" t="inlineStr">
        <is>
          <t xml:space="preserve">단일판매ㆍ공급계약체결              </t>
        </is>
      </c>
      <c r="G418" s="7" t="inlineStr">
        <is>
          <t>평택 P5 Ph1 초순수 복합동 설비공사A</t>
        </is>
      </c>
      <c r="H418" s="2" t="inlineStr">
        <is>
          <t>2026-06-17</t>
        </is>
      </c>
      <c r="I418" s="2" t="inlineStr">
        <is>
          <t>2027-07-31</t>
        </is>
      </c>
      <c r="J418" s="5" t="n">
        <v>22177750000</v>
      </c>
      <c r="K418" s="2" t="inlineStr">
        <is>
          <t>-</t>
        </is>
      </c>
      <c r="L418" s="13" t="n">
        <v>11.09</v>
      </c>
      <c r="M418" s="7" t="inlineStr">
        <is>
          <t>삼성이앤에이(주)</t>
        </is>
      </c>
      <c r="N418" s="2" t="inlineStr">
        <is>
          <t>20260617900488</t>
        </is>
      </c>
      <c r="O418" s="8">
        <f>HYPERLINK("https://dart.fss.or.kr/dsaf001/main.do?rcpNo=20260617900488", "공시열람")</f>
        <v/>
      </c>
    </row>
    <row r="419" ht="36" customHeight="1">
      <c r="A419" s="2" t="inlineStr">
        <is>
          <t>2026-06-17</t>
        </is>
      </c>
      <c r="B419" s="3" t="inlineStr">
        <is>
          <t>우진</t>
        </is>
      </c>
      <c r="C419" s="2" t="inlineStr">
        <is>
          <t>코스피</t>
        </is>
      </c>
      <c r="D419" s="2" t="inlineStr">
        <is>
          <t>105840</t>
        </is>
      </c>
      <c r="E419" s="2" t="inlineStr">
        <is>
          <t>단일판매공급계약체결</t>
        </is>
      </c>
      <c r="F419" s="3" t="inlineStr">
        <is>
          <t xml:space="preserve">단일판매ㆍ공급계약체결              </t>
        </is>
      </c>
      <c r="G419" s="7" t="inlineStr">
        <is>
          <t>2027년 표준형 원전 O/H용 노내핵계측기(ICI) 2차 구매</t>
        </is>
      </c>
      <c r="H419" s="2" t="inlineStr">
        <is>
          <t>2026-06-17</t>
        </is>
      </c>
      <c r="I419" s="2" t="inlineStr">
        <is>
          <t>2027-10-12</t>
        </is>
      </c>
      <c r="J419" s="5" t="n">
        <v>10932184000</v>
      </c>
      <c r="K419" s="2" t="inlineStr">
        <is>
          <t>-</t>
        </is>
      </c>
      <c r="L419" s="13" t="n">
        <v>7.27</v>
      </c>
      <c r="M419" s="7" t="inlineStr">
        <is>
          <t>한국수력원자력㈜</t>
        </is>
      </c>
      <c r="N419" s="2" t="inlineStr">
        <is>
          <t>20260617800388</t>
        </is>
      </c>
      <c r="O419" s="8">
        <f>HYPERLINK("https://dart.fss.or.kr/dsaf001/main.do?rcpNo=20260617800388", "공시열람")</f>
        <v/>
      </c>
    </row>
    <row r="420" ht="36" customHeight="1">
      <c r="A420" s="2" t="inlineStr">
        <is>
          <t>2026-06-17 (정정: 2026-06-23)</t>
        </is>
      </c>
      <c r="B420" s="3" t="inlineStr">
        <is>
          <t>코오롱</t>
        </is>
      </c>
      <c r="C420" s="2" t="inlineStr">
        <is>
          <t>코스피</t>
        </is>
      </c>
      <c r="D420" s="2" t="inlineStr">
        <is>
          <t>002020</t>
        </is>
      </c>
      <c r="E420" s="2" t="inlineStr">
        <is>
          <t>단일판매공급계약체결</t>
        </is>
      </c>
      <c r="F420" s="3" t="inlineStr">
        <is>
          <t>단일판매ㆍ공급계약체결(자회사의 주요경영사항)               (정정: 20260623)</t>
        </is>
      </c>
      <c r="G420" s="7" t="inlineStr">
        <is>
          <t>서울 청담동 고급 공동주택 신축공사</t>
        </is>
      </c>
      <c r="H420" s="2" t="inlineStr">
        <is>
          <t>2022-11-17</t>
        </is>
      </c>
      <c r="I420" s="2" t="inlineStr">
        <is>
          <t>2025-11-17</t>
        </is>
      </c>
      <c r="J420" s="5" t="n">
        <v>80655600000</v>
      </c>
      <c r="K420" s="2" t="inlineStr">
        <is>
          <t>-</t>
        </is>
      </c>
      <c r="L420" s="13" t="n">
        <v>3.1</v>
      </c>
      <c r="M420" s="7" t="inlineStr">
        <is>
          <t>주식회사 디에이치알청담</t>
        </is>
      </c>
      <c r="N420" s="2" t="inlineStr">
        <is>
          <t>20260623800617</t>
        </is>
      </c>
      <c r="O420" s="8">
        <f>HYPERLINK("https://dart.fss.or.kr/dsaf001/main.do?rcpNo=20260623800617", "공시열람")</f>
        <v/>
      </c>
    </row>
    <row r="421" ht="36" customHeight="1">
      <c r="A421" s="2" t="inlineStr">
        <is>
          <t>2026-06-17 (정정: 2026-06-23)</t>
        </is>
      </c>
      <c r="B421" s="3" t="inlineStr">
        <is>
          <t>코오롱글로벌</t>
        </is>
      </c>
      <c r="C421" s="2" t="inlineStr">
        <is>
          <t>코스피</t>
        </is>
      </c>
      <c r="D421" s="2" t="inlineStr">
        <is>
          <t>003070</t>
        </is>
      </c>
      <c r="E421" s="2" t="inlineStr">
        <is>
          <t>단일판매공급계약체결</t>
        </is>
      </c>
      <c r="F421" s="3" t="inlineStr">
        <is>
          <t>단일판매ㆍ공급계약체결               (정정: 20260623)</t>
        </is>
      </c>
      <c r="G421" s="7" t="inlineStr">
        <is>
          <t>서울 청담동 고급 공동주택 신축공사</t>
        </is>
      </c>
      <c r="H421" s="2" t="inlineStr">
        <is>
          <t>2022-11-17</t>
        </is>
      </c>
      <c r="I421" s="2" t="inlineStr">
        <is>
          <t>2025-11-17</t>
        </is>
      </c>
      <c r="J421" s="5" t="n">
        <v>80655600000</v>
      </c>
      <c r="K421" s="2" t="inlineStr">
        <is>
          <t>-</t>
        </is>
      </c>
      <c r="L421" s="13" t="n">
        <v>3.1</v>
      </c>
      <c r="M421" s="7" t="inlineStr">
        <is>
          <t>주식회사 디에이치알청담</t>
        </is>
      </c>
      <c r="N421" s="2" t="inlineStr">
        <is>
          <t>20260623800559</t>
        </is>
      </c>
      <c r="O421" s="8">
        <f>HYPERLINK("https://dart.fss.or.kr/dsaf001/main.do?rcpNo=20260623800559", "공시열람")</f>
        <v/>
      </c>
    </row>
    <row r="422" ht="36" customHeight="1">
      <c r="A422" s="2" t="inlineStr">
        <is>
          <t>2026-06-17</t>
        </is>
      </c>
      <c r="B422" s="3" t="inlineStr">
        <is>
          <t>유일로보틱스</t>
        </is>
      </c>
      <c r="C422" s="2" t="inlineStr">
        <is>
          <t>코스닥</t>
        </is>
      </c>
      <c r="D422" s="2" t="inlineStr">
        <is>
          <t>388720</t>
        </is>
      </c>
      <c r="E422" s="2" t="inlineStr">
        <is>
          <t>단일판매공급계약체결</t>
        </is>
      </c>
      <c r="F422" s="3" t="inlineStr">
        <is>
          <t xml:space="preserve">단일판매ㆍ공급계약체결              </t>
        </is>
      </c>
      <c r="G422" s="7" t="inlineStr">
        <is>
          <t>신공장 자동화 구축(물류자동화+MES시스템)</t>
        </is>
      </c>
      <c r="H422" s="2" t="inlineStr">
        <is>
          <t>2026-06-16</t>
        </is>
      </c>
      <c r="I422" s="2" t="inlineStr">
        <is>
          <t>2027-03-30</t>
        </is>
      </c>
      <c r="J422" s="5" t="n">
        <v>5195000000</v>
      </c>
      <c r="K422" s="2" t="inlineStr">
        <is>
          <t>-</t>
        </is>
      </c>
      <c r="L422" s="13" t="n">
        <v>14.1</v>
      </c>
      <c r="M422" s="7" t="inlineStr">
        <is>
          <t>-</t>
        </is>
      </c>
      <c r="N422" s="2" t="inlineStr">
        <is>
          <t>20260617900088</t>
        </is>
      </c>
      <c r="O422" s="8">
        <f>HYPERLINK("https://dart.fss.or.kr/dsaf001/main.do?rcpNo=20260617900088", "공시열람")</f>
        <v/>
      </c>
    </row>
    <row r="423" ht="36" customHeight="1">
      <c r="A423" s="2" t="inlineStr">
        <is>
          <t>2026-06-17</t>
        </is>
      </c>
      <c r="B423" s="3" t="inlineStr">
        <is>
          <t>디아이</t>
        </is>
      </c>
      <c r="C423" s="2" t="inlineStr">
        <is>
          <t>코스피</t>
        </is>
      </c>
      <c r="D423" s="2" t="inlineStr">
        <is>
          <t>003160</t>
        </is>
      </c>
      <c r="E423" s="2" t="inlineStr">
        <is>
          <t>단일판매공급계약체결</t>
        </is>
      </c>
      <c r="F423" s="3" t="inlineStr">
        <is>
          <t xml:space="preserve">단일판매ㆍ공급계약체결              </t>
        </is>
      </c>
      <c r="G423" s="7" t="inlineStr">
        <is>
          <t>반도체 검사장비 공급계약</t>
        </is>
      </c>
      <c r="H423" s="2" t="inlineStr">
        <is>
          <t>2026-06-16</t>
        </is>
      </c>
      <c r="I423" s="2" t="inlineStr">
        <is>
          <t>2026-12-31</t>
        </is>
      </c>
      <c r="J423" s="5" t="n">
        <v>22336882000</v>
      </c>
      <c r="K423" s="2" t="inlineStr">
        <is>
          <t>-</t>
        </is>
      </c>
      <c r="L423" s="13" t="n">
        <v>5.2</v>
      </c>
      <c r="M423" s="7" t="inlineStr">
        <is>
          <t>Samsung (China) Semiconductor Co.Ltd</t>
        </is>
      </c>
      <c r="N423" s="2" t="inlineStr">
        <is>
          <t>20260617800094</t>
        </is>
      </c>
      <c r="O423" s="8">
        <f>HYPERLINK("https://dart.fss.or.kr/dsaf001/main.do?rcpNo=20260617800094", "공시열람")</f>
        <v/>
      </c>
    </row>
    <row r="424" ht="36" customHeight="1">
      <c r="A424" s="2" t="inlineStr">
        <is>
          <t>2026-06-17</t>
        </is>
      </c>
      <c r="B424" s="3" t="inlineStr">
        <is>
          <t>대한전선</t>
        </is>
      </c>
      <c r="C424" s="2" t="inlineStr">
        <is>
          <t>코스피</t>
        </is>
      </c>
      <c r="D424" s="2" t="inlineStr">
        <is>
          <t>001440</t>
        </is>
      </c>
      <c r="E424" s="2" t="inlineStr">
        <is>
          <t>단일판매공급계약체결</t>
        </is>
      </c>
      <c r="F424" s="3" t="inlineStr">
        <is>
          <t xml:space="preserve">단일판매ㆍ공급계약체결              </t>
        </is>
      </c>
      <c r="G424" s="7" t="inlineStr">
        <is>
          <t>HVDC XLPE 전력케이블 및 부속자재 [2공구]</t>
        </is>
      </c>
      <c r="H424" s="2" t="inlineStr">
        <is>
          <t>2026-06-16</t>
        </is>
      </c>
      <c r="I424" s="2" t="inlineStr">
        <is>
          <t>2028-03-27</t>
        </is>
      </c>
      <c r="J424" s="5" t="n">
        <v>133024652414</v>
      </c>
      <c r="K424" s="2" t="inlineStr">
        <is>
          <t>-</t>
        </is>
      </c>
      <c r="L424" s="13" t="n">
        <v>3.66</v>
      </c>
      <c r="M424" s="7" t="inlineStr">
        <is>
          <t>한국전력공사</t>
        </is>
      </c>
      <c r="N424" s="2" t="inlineStr">
        <is>
          <t>20260617800062</t>
        </is>
      </c>
      <c r="O424" s="8">
        <f>HYPERLINK("https://dart.fss.or.kr/dsaf001/main.do?rcpNo=20260617800062", "공시열람")</f>
        <v/>
      </c>
    </row>
    <row r="425" ht="36" customHeight="1">
      <c r="A425" s="2" t="inlineStr">
        <is>
          <t>2026-06-18</t>
        </is>
      </c>
      <c r="B425" s="3" t="inlineStr">
        <is>
          <t>HD현대마린엔진</t>
        </is>
      </c>
      <c r="C425" s="2" t="inlineStr">
        <is>
          <t>코스피</t>
        </is>
      </c>
      <c r="D425" s="2" t="inlineStr">
        <is>
          <t>071970</t>
        </is>
      </c>
      <c r="E425" s="2" t="inlineStr">
        <is>
          <t>단일판매공급계약체결</t>
        </is>
      </c>
      <c r="F425" s="3" t="inlineStr">
        <is>
          <t xml:space="preserve">단일판매ㆍ공급계약체결              </t>
        </is>
      </c>
      <c r="G425" s="7" t="inlineStr">
        <is>
          <t>선박엔진 공급계약</t>
        </is>
      </c>
      <c r="H425" s="2" t="inlineStr">
        <is>
          <t>2026-06-17</t>
        </is>
      </c>
      <c r="I425" s="2" t="inlineStr">
        <is>
          <t>2028-09-30</t>
        </is>
      </c>
      <c r="J425" s="5" t="n">
        <v>27999750000</v>
      </c>
      <c r="K425" s="2" t="inlineStr">
        <is>
          <t>-</t>
        </is>
      </c>
      <c r="L425" s="13" t="n">
        <v>7</v>
      </c>
      <c r="M425" s="7" t="inlineStr">
        <is>
          <t>Wuhu Shipyard Co., Ltd.</t>
        </is>
      </c>
      <c r="N425" s="2" t="inlineStr">
        <is>
          <t>20260618800546</t>
        </is>
      </c>
      <c r="O425" s="8">
        <f>HYPERLINK("https://dart.fss.or.kr/dsaf001/main.do?rcpNo=20260618800546", "공시열람")</f>
        <v/>
      </c>
    </row>
    <row r="426" ht="36" customHeight="1">
      <c r="A426" s="2" t="inlineStr">
        <is>
          <t>2026-06-18</t>
        </is>
      </c>
      <c r="B426" s="3" t="inlineStr">
        <is>
          <t>아이크래프트</t>
        </is>
      </c>
      <c r="C426" s="2" t="inlineStr">
        <is>
          <t>코스닥</t>
        </is>
      </c>
      <c r="D426" s="2" t="inlineStr">
        <is>
          <t>052460</t>
        </is>
      </c>
      <c r="E426" s="2" t="inlineStr">
        <is>
          <t>단일판매공급계약체결</t>
        </is>
      </c>
      <c r="F426" s="3" t="inlineStr">
        <is>
          <t xml:space="preserve">단일판매ㆍ공급계약체결              </t>
        </is>
      </c>
      <c r="G426" s="7" t="inlineStr">
        <is>
          <t>2026년 NIPA NVIDIA Infiniband Network 스위치 공급계약</t>
        </is>
      </c>
      <c r="H426" s="2" t="inlineStr">
        <is>
          <t>2026-06-16</t>
        </is>
      </c>
      <c r="I426" s="2" t="inlineStr">
        <is>
          <t>2027-03-31</t>
        </is>
      </c>
      <c r="J426" s="5" t="n">
        <v>51818174000</v>
      </c>
      <c r="K426" s="2" t="inlineStr">
        <is>
          <t>-</t>
        </is>
      </c>
      <c r="L426" s="13" t="n">
        <v>25.09</v>
      </c>
      <c r="M426" s="7" t="inlineStr">
        <is>
          <t>네이버클라우드 주식회사</t>
        </is>
      </c>
      <c r="N426" s="2" t="inlineStr">
        <is>
          <t>20260618900461</t>
        </is>
      </c>
      <c r="O426" s="8">
        <f>HYPERLINK("https://dart.fss.or.kr/dsaf001/main.do?rcpNo=20260618900461", "공시열람")</f>
        <v/>
      </c>
    </row>
    <row r="427" ht="36" customHeight="1">
      <c r="A427" s="2" t="inlineStr">
        <is>
          <t>2023-04-11 (정정: 2026-06-18)</t>
        </is>
      </c>
      <c r="B427" s="3" t="inlineStr">
        <is>
          <t>일성건설</t>
        </is>
      </c>
      <c r="C427" s="2" t="inlineStr">
        <is>
          <t>코스피</t>
        </is>
      </c>
      <c r="D427" s="2" t="inlineStr">
        <is>
          <t>013360</t>
        </is>
      </c>
      <c r="E427" s="2" t="inlineStr">
        <is>
          <t>단일판매공급계약체결</t>
        </is>
      </c>
      <c r="F427" s="3" t="inlineStr">
        <is>
          <t xml:space="preserve">[기재정정]단일판매ㆍ공급계약체결              </t>
        </is>
      </c>
      <c r="G427" s="7" t="inlineStr">
        <is>
          <t>22-대미-00학교 신축 시설공사(5007)</t>
        </is>
      </c>
      <c r="H427" s="2" t="inlineStr">
        <is>
          <t>2023-04-11</t>
        </is>
      </c>
      <c r="I427" s="2" t="inlineStr">
        <is>
          <t>-</t>
        </is>
      </c>
      <c r="J427" s="5" t="n">
        <v>71636375270</v>
      </c>
      <c r="K427" s="2" t="inlineStr">
        <is>
          <t>-</t>
        </is>
      </c>
      <c r="L427" s="13" t="n">
        <v>15.48</v>
      </c>
      <c r="M427" s="7" t="inlineStr">
        <is>
          <t>국군재정관리단</t>
        </is>
      </c>
      <c r="N427" s="2" t="inlineStr">
        <is>
          <t>20260618800359</t>
        </is>
      </c>
      <c r="O427" s="8">
        <f>HYPERLINK("https://dart.fss.or.kr/dsaf001/main.do?rcpNo=20260618800359", "공시열람")</f>
        <v/>
      </c>
    </row>
    <row r="428" ht="36" customHeight="1">
      <c r="A428" s="2" t="inlineStr">
        <is>
          <t>2024-06-25 (정정: 2026-06-18)</t>
        </is>
      </c>
      <c r="B428" s="3" t="inlineStr">
        <is>
          <t>미디어젠</t>
        </is>
      </c>
      <c r="C428" s="2" t="inlineStr">
        <is>
          <t>코스닥</t>
        </is>
      </c>
      <c r="D428" s="2" t="inlineStr">
        <is>
          <t>279600</t>
        </is>
      </c>
      <c r="E428" s="2" t="inlineStr">
        <is>
          <t>단일판매공급계약체결</t>
        </is>
      </c>
      <c r="F428" s="3" t="inlineStr">
        <is>
          <t xml:space="preserve">[기재정정]단일판매ㆍ공급계약체결              </t>
        </is>
      </c>
      <c r="G428" s="7" t="inlineStr">
        <is>
          <t>음성인식 S/W개발</t>
        </is>
      </c>
      <c r="H428" s="2" t="inlineStr">
        <is>
          <t>2024-07-03</t>
        </is>
      </c>
      <c r="I428" s="2" t="inlineStr">
        <is>
          <t>2026-12-31</t>
        </is>
      </c>
      <c r="J428" s="5" t="n">
        <v>8599000000</v>
      </c>
      <c r="K428" s="2" t="inlineStr">
        <is>
          <t>-</t>
        </is>
      </c>
      <c r="L428" s="13" t="n">
        <v>67.40000000000001</v>
      </c>
      <c r="M428" s="7" t="inlineStr">
        <is>
          <t>국내 자동차 부품제조사</t>
        </is>
      </c>
      <c r="N428" s="2" t="inlineStr">
        <is>
          <t>20260618900228</t>
        </is>
      </c>
      <c r="O428" s="8">
        <f>HYPERLINK("https://dart.fss.or.kr/dsaf001/main.do?rcpNo=20260618900228", "공시열람")</f>
        <v/>
      </c>
    </row>
    <row r="429" ht="36" customHeight="1">
      <c r="A429" s="2" t="inlineStr">
        <is>
          <t>2026-06-18</t>
        </is>
      </c>
      <c r="B429" s="3" t="inlineStr">
        <is>
          <t>주연테크</t>
        </is>
      </c>
      <c r="C429" s="2" t="inlineStr">
        <is>
          <t>코스피</t>
        </is>
      </c>
      <c r="D429" s="2" t="inlineStr">
        <is>
          <t>044380</t>
        </is>
      </c>
      <c r="E429" s="2" t="inlineStr">
        <is>
          <t>단일판매공급계약체결</t>
        </is>
      </c>
      <c r="F429" s="3" t="inlineStr">
        <is>
          <t xml:space="preserve">단일판매ㆍ공급계약체결(자율공시)              </t>
        </is>
      </c>
      <c r="G429" s="7" t="inlineStr">
        <is>
          <t>-</t>
        </is>
      </c>
      <c r="H429" s="2" t="inlineStr">
        <is>
          <t>2026-06-01</t>
        </is>
      </c>
      <c r="I429" s="2" t="inlineStr">
        <is>
          <t>2027-05-31</t>
        </is>
      </c>
      <c r="J429" s="5" t="n">
        <v>2161909090</v>
      </c>
      <c r="K429" s="2" t="inlineStr">
        <is>
          <t>-</t>
        </is>
      </c>
      <c r="L429" s="13" t="n">
        <v>3.45</v>
      </c>
      <c r="M429" s="7" t="inlineStr">
        <is>
          <t>주식회사 네모아이앤씨</t>
        </is>
      </c>
      <c r="N429" s="2" t="inlineStr">
        <is>
          <t>20260618800207</t>
        </is>
      </c>
      <c r="O429" s="8">
        <f>HYPERLINK("https://dart.fss.or.kr/dsaf001/main.do?rcpNo=20260618800207", "공시열람")</f>
        <v/>
      </c>
    </row>
    <row r="430" ht="36" customHeight="1">
      <c r="A430" s="2" t="inlineStr">
        <is>
          <t>2026-06-18</t>
        </is>
      </c>
      <c r="B430" s="3" t="inlineStr">
        <is>
          <t>오르비텍</t>
        </is>
      </c>
      <c r="C430" s="2" t="inlineStr">
        <is>
          <t>코스닥</t>
        </is>
      </c>
      <c r="D430" s="2" t="inlineStr">
        <is>
          <t>046120</t>
        </is>
      </c>
      <c r="E430" s="2" t="inlineStr">
        <is>
          <t>단일판매공급계약체결</t>
        </is>
      </c>
      <c r="F430" s="3" t="inlineStr">
        <is>
          <t xml:space="preserve">단일판매ㆍ공급계약체결(자율공시)              </t>
        </is>
      </c>
      <c r="G430" s="7" t="inlineStr">
        <is>
          <t>방재환경 감시장비교정 및 유지관리 용역</t>
        </is>
      </c>
      <c r="H430" s="2" t="inlineStr">
        <is>
          <t>2026-08-01</t>
        </is>
      </c>
      <c r="I430" s="2" t="inlineStr">
        <is>
          <t>2029-07-31</t>
        </is>
      </c>
      <c r="J430" s="5" t="n">
        <v>5570517364</v>
      </c>
      <c r="K430" s="2" t="inlineStr">
        <is>
          <t>-</t>
        </is>
      </c>
      <c r="L430" s="13" t="n">
        <v>9.609999999999999</v>
      </c>
      <c r="M430" s="7" t="inlineStr">
        <is>
          <t>한국수력원자력(주)</t>
        </is>
      </c>
      <c r="N430" s="2" t="inlineStr">
        <is>
          <t>20260618900183</t>
        </is>
      </c>
      <c r="O430" s="8">
        <f>HYPERLINK("https://dart.fss.or.kr/dsaf001/main.do?rcpNo=20260618900183", "공시열람")</f>
        <v/>
      </c>
    </row>
    <row r="431" ht="36" customHeight="1">
      <c r="A431" s="2" t="inlineStr">
        <is>
          <t>2025-12-11 (정정: 2026-06-18)</t>
        </is>
      </c>
      <c r="B431" s="3" t="inlineStr">
        <is>
          <t>위너스일렉</t>
        </is>
      </c>
      <c r="C431" s="2" t="inlineStr">
        <is>
          <t>코스닥</t>
        </is>
      </c>
      <c r="D431" s="2" t="inlineStr">
        <is>
          <t>479960</t>
        </is>
      </c>
      <c r="E431" s="2" t="inlineStr">
        <is>
          <t>단일판매공급계약체결</t>
        </is>
      </c>
      <c r="F431" s="3" t="inlineStr">
        <is>
          <t xml:space="preserve">[기재정정]단일판매ㆍ공급계약체결              </t>
        </is>
      </c>
      <c r="G431" s="7" t="inlineStr">
        <is>
          <t>수도 계량기 독점 2차 물품 공급 계약</t>
        </is>
      </c>
      <c r="H431" s="2" t="inlineStr">
        <is>
          <t>2025-12-11</t>
        </is>
      </c>
      <c r="I431" s="2" t="inlineStr">
        <is>
          <t>2026-12-31</t>
        </is>
      </c>
      <c r="J431" s="5" t="n">
        <v>4200000000</v>
      </c>
      <c r="K431" s="2" t="inlineStr">
        <is>
          <t>-</t>
        </is>
      </c>
      <c r="L431" s="13" t="n">
        <v>15.93</v>
      </c>
      <c r="M431" s="7" t="inlineStr">
        <is>
          <t>스마트미터 주식회사</t>
        </is>
      </c>
      <c r="N431" s="2" t="inlineStr">
        <is>
          <t>20260618900189</t>
        </is>
      </c>
      <c r="O431" s="8">
        <f>HYPERLINK("https://dart.fss.or.kr/dsaf001/main.do?rcpNo=20260618900189", "공시열람")</f>
        <v/>
      </c>
    </row>
    <row r="432" ht="36" customHeight="1">
      <c r="A432" s="2" t="inlineStr">
        <is>
          <t>2026-06-18</t>
        </is>
      </c>
      <c r="B432" s="3" t="inlineStr">
        <is>
          <t>유디엠텍</t>
        </is>
      </c>
      <c r="C432" s="2" t="inlineStr">
        <is>
          <t>코스닥</t>
        </is>
      </c>
      <c r="D432" s="2" t="inlineStr">
        <is>
          <t>389680</t>
        </is>
      </c>
      <c r="E432" s="2" t="inlineStr">
        <is>
          <t>단일판매공급계약체결</t>
        </is>
      </c>
      <c r="F432" s="3" t="inlineStr">
        <is>
          <t xml:space="preserve">단일판매ㆍ공급계약체결(자율공시)              </t>
        </is>
      </c>
      <c r="G432" s="7" t="inlineStr">
        <is>
          <t>글로벌 자동차 제조사(GM) 설비진단 시스템 공급 계약</t>
        </is>
      </c>
      <c r="H432" s="2" t="inlineStr">
        <is>
          <t>2026-06-18</t>
        </is>
      </c>
      <c r="I432" s="2" t="inlineStr">
        <is>
          <t>2027-04-01</t>
        </is>
      </c>
      <c r="J432" s="5" t="n">
        <v>300000000</v>
      </c>
      <c r="K432" s="2" t="inlineStr">
        <is>
          <t>-</t>
        </is>
      </c>
      <c r="L432" s="13" t="n">
        <v>9.34</v>
      </c>
      <c r="M432" s="7" t="inlineStr">
        <is>
          <t>㈜윈텍에스에이</t>
        </is>
      </c>
      <c r="N432" s="2" t="inlineStr">
        <is>
          <t>20260618900174</t>
        </is>
      </c>
      <c r="O432" s="8">
        <f>HYPERLINK("https://dart.fss.or.kr/dsaf001/main.do?rcpNo=20260618900174", "공시열람")</f>
        <v/>
      </c>
    </row>
    <row r="433" ht="36" customHeight="1">
      <c r="A433" s="2" t="inlineStr">
        <is>
          <t>2026-06-18</t>
        </is>
      </c>
      <c r="B433" s="3" t="inlineStr">
        <is>
          <t>유진테크놀로지</t>
        </is>
      </c>
      <c r="C433" s="2" t="inlineStr">
        <is>
          <t>코스닥</t>
        </is>
      </c>
      <c r="D433" s="2" t="inlineStr">
        <is>
          <t>240600</t>
        </is>
      </c>
      <c r="E433" s="2" t="inlineStr">
        <is>
          <t>단일판매공급계약체결</t>
        </is>
      </c>
      <c r="F433" s="3" t="inlineStr">
        <is>
          <t xml:space="preserve">단일판매ㆍ공급계약체결(자율공시)              </t>
        </is>
      </c>
      <c r="G433" s="7" t="inlineStr">
        <is>
          <t>물품 공급 계약 체결 (ESMI 랜싱 각형 DnC 설비 PRESS UNIT)</t>
        </is>
      </c>
      <c r="H433" s="2" t="inlineStr">
        <is>
          <t>2026-06-17</t>
        </is>
      </c>
      <c r="I433" s="2" t="inlineStr">
        <is>
          <t>2028-01-31</t>
        </is>
      </c>
      <c r="J433" s="5" t="n">
        <v>1800000000</v>
      </c>
      <c r="K433" s="2" t="inlineStr">
        <is>
          <t>-</t>
        </is>
      </c>
      <c r="L433" s="13" t="n">
        <v>6.28</v>
      </c>
      <c r="M433" s="7" t="inlineStr">
        <is>
          <t>신진엠텍 주식회사</t>
        </is>
      </c>
      <c r="N433" s="2" t="inlineStr">
        <is>
          <t>20260618900140</t>
        </is>
      </c>
      <c r="O433" s="8">
        <f>HYPERLINK("https://dart.fss.or.kr/dsaf001/main.do?rcpNo=20260618900140", "공시열람")</f>
        <v/>
      </c>
    </row>
    <row r="434" ht="36" customHeight="1">
      <c r="A434" s="2" t="inlineStr">
        <is>
          <t>2026-06-19</t>
        </is>
      </c>
      <c r="B434" s="3" t="inlineStr">
        <is>
          <t>진흥기업</t>
        </is>
      </c>
      <c r="C434" s="2" t="inlineStr">
        <is>
          <t>코스피</t>
        </is>
      </c>
      <c r="D434" s="2" t="inlineStr">
        <is>
          <t>002780</t>
        </is>
      </c>
      <c r="E434" s="2" t="inlineStr">
        <is>
          <t>단일판매공급계약체결</t>
        </is>
      </c>
      <c r="F434" s="3" t="inlineStr">
        <is>
          <t xml:space="preserve">단일판매ㆍ공급계약체결              </t>
        </is>
      </c>
      <c r="G434" s="7" t="inlineStr">
        <is>
          <t>인천대로 일반화 도로개량(2단계) 및 혼잡도로 개선공사</t>
        </is>
      </c>
      <c r="H434" s="2" t="inlineStr">
        <is>
          <t>2025-11-17</t>
        </is>
      </c>
      <c r="I434" s="2" t="inlineStr">
        <is>
          <t>2031-04-14</t>
        </is>
      </c>
      <c r="J434" s="5" t="n">
        <v>74648200000</v>
      </c>
      <c r="K434" s="2" t="inlineStr">
        <is>
          <t>-</t>
        </is>
      </c>
      <c r="L434" s="13" t="n">
        <v>12.95</v>
      </c>
      <c r="M434" s="7" t="inlineStr">
        <is>
          <t>조달청(수요기관명 : 인천광역시)</t>
        </is>
      </c>
      <c r="N434" s="2" t="inlineStr">
        <is>
          <t>20260619800907</t>
        </is>
      </c>
      <c r="O434" s="8">
        <f>HYPERLINK("https://dart.fss.or.kr/dsaf001/main.do?rcpNo=20260619800907", "공시열람")</f>
        <v/>
      </c>
    </row>
    <row r="435" ht="36" customHeight="1">
      <c r="A435" s="2" t="inlineStr">
        <is>
          <t>2025-12-22 (정정: 2026-06-19)</t>
        </is>
      </c>
      <c r="B435" s="3" t="inlineStr">
        <is>
          <t>대한해운</t>
        </is>
      </c>
      <c r="C435" s="2" t="inlineStr">
        <is>
          <t>코스피</t>
        </is>
      </c>
      <c r="D435" s="2" t="inlineStr">
        <is>
          <t>005880</t>
        </is>
      </c>
      <c r="E435" s="2" t="inlineStr">
        <is>
          <t>단일판매공급계약체결</t>
        </is>
      </c>
      <c r="F435" s="3" t="inlineStr">
        <is>
          <t xml:space="preserve">[기재정정]단일판매ㆍ공급계약체결              </t>
        </is>
      </c>
      <c r="G435" s="7" t="inlineStr">
        <is>
          <t>발전용 유연탄 장기 운송계약</t>
        </is>
      </c>
      <c r="H435" s="2" t="inlineStr">
        <is>
          <t>2016-01-01</t>
        </is>
      </c>
      <c r="I435" s="2" t="inlineStr">
        <is>
          <t>2026-07-20</t>
        </is>
      </c>
      <c r="J435" s="5" t="n">
        <v>110759350811</v>
      </c>
      <c r="K435" s="2" t="inlineStr">
        <is>
          <t>-</t>
        </is>
      </c>
      <c r="L435" s="13" t="n">
        <v>20.68</v>
      </c>
      <c r="M435" s="7" t="inlineStr">
        <is>
          <t>한국남부발전(주)</t>
        </is>
      </c>
      <c r="N435" s="2" t="inlineStr">
        <is>
          <t>20260619800896</t>
        </is>
      </c>
      <c r="O435" s="8">
        <f>HYPERLINK("https://dart.fss.or.kr/dsaf001/main.do?rcpNo=20260619800896", "공시열람")</f>
        <v/>
      </c>
    </row>
    <row r="436" ht="36" customHeight="1">
      <c r="A436" s="2" t="inlineStr">
        <is>
          <t>2026-06-19</t>
        </is>
      </c>
      <c r="B436" s="3" t="inlineStr">
        <is>
          <t>CMG제약</t>
        </is>
      </c>
      <c r="C436" s="2" t="inlineStr">
        <is>
          <t>코스닥</t>
        </is>
      </c>
      <c r="D436" s="2" t="inlineStr">
        <is>
          <t>058820</t>
        </is>
      </c>
      <c r="E436" s="2" t="inlineStr">
        <is>
          <t>단일판매공급계약체결</t>
        </is>
      </c>
      <c r="F436" s="3" t="inlineStr">
        <is>
          <t xml:space="preserve">단일판매ㆍ공급계약해지              </t>
        </is>
      </c>
      <c r="G436" s="7" t="inlineStr">
        <is>
          <t>-</t>
        </is>
      </c>
      <c r="H436" s="2" t="inlineStr">
        <is>
          <t>2019-07-03</t>
        </is>
      </c>
      <c r="I436" s="2" t="inlineStr">
        <is>
          <t>2026-07-03</t>
        </is>
      </c>
      <c r="J436" s="5" t="inlineStr"/>
      <c r="K436" s="2" t="inlineStr">
        <is>
          <t>-</t>
        </is>
      </c>
      <c r="L436" s="13" t="n">
        <v>30</v>
      </c>
      <c r="M436" s="7" t="inlineStr">
        <is>
          <t>대만 H&amp;B(Harvest Biotech)</t>
        </is>
      </c>
      <c r="N436" s="2" t="inlineStr">
        <is>
          <t>20260619900808</t>
        </is>
      </c>
      <c r="O436" s="8">
        <f>HYPERLINK("https://dart.fss.or.kr/dsaf001/main.do?rcpNo=20260619900808", "공시열람")</f>
        <v/>
      </c>
    </row>
    <row r="437" ht="36" customHeight="1">
      <c r="A437" s="2" t="inlineStr">
        <is>
          <t>2024-08-26 (정정: 2026-06-19)</t>
        </is>
      </c>
      <c r="B437" s="3" t="inlineStr">
        <is>
          <t>CNT85</t>
        </is>
      </c>
      <c r="C437" s="2" t="inlineStr">
        <is>
          <t>코스닥</t>
        </is>
      </c>
      <c r="D437" s="2" t="inlineStr">
        <is>
          <t>056730</t>
        </is>
      </c>
      <c r="E437" s="2" t="inlineStr">
        <is>
          <t>단일판매공급계약체결</t>
        </is>
      </c>
      <c r="F437" s="3" t="inlineStr">
        <is>
          <t xml:space="preserve">[기재정정]단일판매ㆍ공급계약체결(자율공시)              </t>
        </is>
      </c>
      <c r="G437" s="7" t="inlineStr">
        <is>
          <t>대구성서자원회수시설 연소가스처리설비</t>
        </is>
      </c>
      <c r="H437" s="2" t="inlineStr">
        <is>
          <t>2024-08-27</t>
        </is>
      </c>
      <c r="I437" s="2" t="inlineStr">
        <is>
          <t>2026-08-31</t>
        </is>
      </c>
      <c r="J437" s="5" t="n">
        <v>4590785400</v>
      </c>
      <c r="K437" s="2" t="inlineStr">
        <is>
          <t>-</t>
        </is>
      </c>
      <c r="L437" s="13" t="n">
        <v>9.15</v>
      </c>
      <c r="M437" s="7" t="inlineStr">
        <is>
          <t>지에스건설(주)</t>
        </is>
      </c>
      <c r="N437" s="2" t="inlineStr">
        <is>
          <t>20260619900852</t>
        </is>
      </c>
      <c r="O437" s="8">
        <f>HYPERLINK("https://dart.fss.or.kr/dsaf001/main.do?rcpNo=20260619900852", "공시열람")</f>
        <v/>
      </c>
    </row>
    <row r="438" ht="36" customHeight="1">
      <c r="A438" s="2" t="inlineStr">
        <is>
          <t>2026-06-19</t>
        </is>
      </c>
      <c r="B438" s="3" t="inlineStr">
        <is>
          <t>하림지주</t>
        </is>
      </c>
      <c r="C438" s="2" t="inlineStr">
        <is>
          <t>코스닥</t>
        </is>
      </c>
      <c r="D438" s="2" t="inlineStr">
        <is>
          <t>003380</t>
        </is>
      </c>
      <c r="E438" s="2" t="inlineStr">
        <is>
          <t>단일판매공급계약체결</t>
        </is>
      </c>
      <c r="F438" s="3" t="inlineStr">
        <is>
          <t xml:space="preserve">단일판매ㆍ공급계약체결(자회사의 주요경영사항)              </t>
        </is>
      </c>
      <c r="G438" s="7" t="inlineStr">
        <is>
          <t>-</t>
        </is>
      </c>
      <c r="H438" s="2" t="inlineStr">
        <is>
          <t>-</t>
        </is>
      </c>
      <c r="I438" s="2" t="inlineStr">
        <is>
          <t>-</t>
        </is>
      </c>
      <c r="J438" s="5" t="inlineStr"/>
      <c r="K438" s="2" t="inlineStr">
        <is>
          <t>-</t>
        </is>
      </c>
      <c r="L438" s="3" t="inlineStr"/>
      <c r="M438" s="7" t="inlineStr">
        <is>
          <t>-</t>
        </is>
      </c>
      <c r="N438" s="2" t="inlineStr">
        <is>
          <t>20260619900523</t>
        </is>
      </c>
      <c r="O438" s="8">
        <f>HYPERLINK("https://dart.fss.or.kr/dsaf001/main.do?rcpNo=20260619900523", "공시열람")</f>
        <v/>
      </c>
    </row>
    <row r="439" ht="36" customHeight="1">
      <c r="A439" s="2" t="inlineStr">
        <is>
          <t>2026-06-19</t>
        </is>
      </c>
      <c r="B439" s="3" t="inlineStr">
        <is>
          <t>DXVX</t>
        </is>
      </c>
      <c r="C439" s="2" t="inlineStr">
        <is>
          <t>코스닥</t>
        </is>
      </c>
      <c r="D439" s="2" t="inlineStr">
        <is>
          <t>180400</t>
        </is>
      </c>
      <c r="E439" s="2" t="inlineStr">
        <is>
          <t>단일판매공급계약체결</t>
        </is>
      </c>
      <c r="F439" s="3" t="inlineStr">
        <is>
          <t xml:space="preserve">[기재정정]단일판매ㆍ공급계약체결              </t>
        </is>
      </c>
      <c r="G439" s="7" t="inlineStr">
        <is>
          <t>-</t>
        </is>
      </c>
      <c r="H439" s="2" t="inlineStr">
        <is>
          <t>-</t>
        </is>
      </c>
      <c r="I439" s="2" t="inlineStr">
        <is>
          <t>-</t>
        </is>
      </c>
      <c r="J439" s="5" t="inlineStr"/>
      <c r="K439" s="2" t="inlineStr">
        <is>
          <t>-</t>
        </is>
      </c>
      <c r="L439" s="3" t="inlineStr"/>
      <c r="M439" s="7" t="inlineStr">
        <is>
          <t>-</t>
        </is>
      </c>
      <c r="N439" s="2" t="inlineStr">
        <is>
          <t>20260619900578</t>
        </is>
      </c>
      <c r="O439" s="8">
        <f>HYPERLINK("https://dart.fss.or.kr/dsaf001/main.do?rcpNo=20260619900578", "공시열람")</f>
        <v/>
      </c>
    </row>
    <row r="440" ht="36" customHeight="1">
      <c r="A440" s="2" t="inlineStr">
        <is>
          <t>2026-06-19</t>
        </is>
      </c>
      <c r="B440" s="3" t="inlineStr">
        <is>
          <t>에이치브이엠</t>
        </is>
      </c>
      <c r="C440" s="2" t="inlineStr">
        <is>
          <t>코스닥</t>
        </is>
      </c>
      <c r="D440" s="2" t="inlineStr">
        <is>
          <t>295310</t>
        </is>
      </c>
      <c r="E440" s="2" t="inlineStr">
        <is>
          <t>단일판매공급계약체결</t>
        </is>
      </c>
      <c r="F440" s="3" t="inlineStr">
        <is>
          <t xml:space="preserve">단일판매ㆍ공급계약체결              </t>
        </is>
      </c>
      <c r="G440" s="7" t="inlineStr">
        <is>
          <t>-</t>
        </is>
      </c>
      <c r="H440" s="2" t="inlineStr">
        <is>
          <t>-</t>
        </is>
      </c>
      <c r="I440" s="2" t="inlineStr">
        <is>
          <t>-</t>
        </is>
      </c>
      <c r="J440" s="5" t="inlineStr"/>
      <c r="K440" s="2" t="inlineStr">
        <is>
          <t>-</t>
        </is>
      </c>
      <c r="L440" s="3" t="inlineStr"/>
      <c r="M440" s="7" t="inlineStr">
        <is>
          <t>-</t>
        </is>
      </c>
      <c r="N440" s="2" t="inlineStr">
        <is>
          <t>20260619900580</t>
        </is>
      </c>
      <c r="O440" s="8">
        <f>HYPERLINK("https://dart.fss.or.kr/dsaf001/main.do?rcpNo=20260619900580", "공시열람")</f>
        <v/>
      </c>
    </row>
    <row r="441" ht="36" customHeight="1">
      <c r="A441" s="2" t="inlineStr">
        <is>
          <t>2026-06-19</t>
        </is>
      </c>
      <c r="B441" s="3" t="inlineStr">
        <is>
          <t>마음AI</t>
        </is>
      </c>
      <c r="C441" s="2" t="inlineStr">
        <is>
          <t>코스닥</t>
        </is>
      </c>
      <c r="D441" s="2" t="inlineStr">
        <is>
          <t>377480</t>
        </is>
      </c>
      <c r="E441" s="2" t="inlineStr">
        <is>
          <t>단일판매공급계약체결</t>
        </is>
      </c>
      <c r="F441" s="3" t="inlineStr">
        <is>
          <t xml:space="preserve">단일판매ㆍ공급계약체결              </t>
        </is>
      </c>
      <c r="G441" s="7" t="inlineStr">
        <is>
          <t>-</t>
        </is>
      </c>
      <c r="H441" s="2" t="inlineStr">
        <is>
          <t>-</t>
        </is>
      </c>
      <c r="I441" s="2" t="inlineStr">
        <is>
          <t>-</t>
        </is>
      </c>
      <c r="J441" s="5" t="inlineStr"/>
      <c r="K441" s="2" t="inlineStr">
        <is>
          <t>-</t>
        </is>
      </c>
      <c r="L441" s="3" t="inlineStr"/>
      <c r="M441" s="7" t="inlineStr">
        <is>
          <t>-</t>
        </is>
      </c>
      <c r="N441" s="2" t="inlineStr">
        <is>
          <t>20260619900525</t>
        </is>
      </c>
      <c r="O441" s="8">
        <f>HYPERLINK("https://dart.fss.or.kr/dsaf001/main.do?rcpNo=20260619900525", "공시열람")</f>
        <v/>
      </c>
    </row>
    <row r="442" ht="36" customHeight="1">
      <c r="A442" s="2" t="inlineStr">
        <is>
          <t>2026-06-19</t>
        </is>
      </c>
      <c r="B442" s="3" t="inlineStr">
        <is>
          <t>팬오션</t>
        </is>
      </c>
      <c r="C442" s="2" t="inlineStr">
        <is>
          <t>코스피</t>
        </is>
      </c>
      <c r="D442" s="2" t="inlineStr">
        <is>
          <t>028670</t>
        </is>
      </c>
      <c r="E442" s="2" t="inlineStr">
        <is>
          <t>단일판매공급계약체결</t>
        </is>
      </c>
      <c r="F442" s="3" t="inlineStr">
        <is>
          <t xml:space="preserve">단일판매ㆍ공급계약체결              </t>
        </is>
      </c>
      <c r="G442" s="7" t="inlineStr">
        <is>
          <t>장기화물운송계약</t>
        </is>
      </c>
      <c r="H442" s="2" t="inlineStr">
        <is>
          <t>2029-09-15</t>
        </is>
      </c>
      <c r="I442" s="2" t="inlineStr">
        <is>
          <t>2049-09-15</t>
        </is>
      </c>
      <c r="J442" s="5" t="n">
        <v>2471180333890</v>
      </c>
      <c r="K442" s="2" t="inlineStr">
        <is>
          <t>-</t>
        </is>
      </c>
      <c r="L442" s="13" t="n">
        <v>45.5</v>
      </c>
      <c r="M442" s="7" t="inlineStr">
        <is>
          <t>SK에너지 주식회사(SK Energy Co. Ltd.), SK인천석유화학(주)(SK Incheon Petrochem Co.,Ltd)</t>
        </is>
      </c>
      <c r="N442" s="2" t="inlineStr">
        <is>
          <t>20260619800474</t>
        </is>
      </c>
      <c r="O442" s="8">
        <f>HYPERLINK("https://dart.fss.or.kr/dsaf001/main.do?rcpNo=20260619800474", "공시열람")</f>
        <v/>
      </c>
    </row>
    <row r="443" ht="36" customHeight="1">
      <c r="A443" s="2" t="inlineStr">
        <is>
          <t>2026-06-19</t>
        </is>
      </c>
      <c r="B443" s="3" t="inlineStr">
        <is>
          <t>나라스페이스테크놀로지</t>
        </is>
      </c>
      <c r="C443" s="2" t="inlineStr">
        <is>
          <t>코스닥</t>
        </is>
      </c>
      <c r="D443" s="2" t="inlineStr">
        <is>
          <t>478340</t>
        </is>
      </c>
      <c r="E443" s="2" t="inlineStr">
        <is>
          <t>단일판매공급계약체결</t>
        </is>
      </c>
      <c r="F443" s="3" t="inlineStr">
        <is>
          <t xml:space="preserve">단일판매ㆍ공급계약체결              </t>
        </is>
      </c>
      <c r="G443" s="7" t="inlineStr">
        <is>
          <t>우주 검증 위성 개발 용역</t>
        </is>
      </c>
      <c r="H443" s="2" t="inlineStr">
        <is>
          <t>2026-06-19</t>
        </is>
      </c>
      <c r="I443" s="2" t="inlineStr">
        <is>
          <t>2030-07-31</t>
        </is>
      </c>
      <c r="J443" s="5" t="n">
        <v>6106486000</v>
      </c>
      <c r="K443" s="2" t="inlineStr">
        <is>
          <t>-</t>
        </is>
      </c>
      <c r="L443" s="13" t="n">
        <v>46.13</v>
      </c>
      <c r="M443" s="7" t="inlineStr">
        <is>
          <t>-</t>
        </is>
      </c>
      <c r="N443" s="2" t="inlineStr">
        <is>
          <t>20260619900494</t>
        </is>
      </c>
      <c r="O443" s="8">
        <f>HYPERLINK("https://dart.fss.or.kr/dsaf001/main.do?rcpNo=20260619900494", "공시열람")</f>
        <v/>
      </c>
    </row>
    <row r="444" ht="36" customHeight="1">
      <c r="A444" s="2" t="inlineStr">
        <is>
          <t>2026-06-19</t>
        </is>
      </c>
      <c r="B444" s="3" t="inlineStr">
        <is>
          <t>센서뷰</t>
        </is>
      </c>
      <c r="C444" s="2" t="inlineStr">
        <is>
          <t>코스닥</t>
        </is>
      </c>
      <c r="D444" s="2" t="inlineStr">
        <is>
          <t>321370</t>
        </is>
      </c>
      <c r="E444" s="2" t="inlineStr">
        <is>
          <t>단일판매공급계약체결</t>
        </is>
      </c>
      <c r="F444" s="3" t="inlineStr">
        <is>
          <t xml:space="preserve">단일판매ㆍ공급계약체결(자율공시)              </t>
        </is>
      </c>
      <c r="G444" s="7" t="inlineStr">
        <is>
          <t>[개발] M-SAM Block-III 다기능레이다 체계개발_냉각판모듈(상하향증폭모듈용) 시험/보완외 17건계약</t>
        </is>
      </c>
      <c r="H444" s="2" t="inlineStr">
        <is>
          <t>2026-06-18</t>
        </is>
      </c>
      <c r="I444" s="2" t="inlineStr">
        <is>
          <t>2030-05-18</t>
        </is>
      </c>
      <c r="J444" s="5" t="n">
        <v>1057190400</v>
      </c>
      <c r="K444" s="2" t="inlineStr">
        <is>
          <t>-</t>
        </is>
      </c>
      <c r="L444" s="13" t="n">
        <v>5.56</v>
      </c>
      <c r="M444" s="7" t="inlineStr">
        <is>
          <t>한화시스템 주식회사</t>
        </is>
      </c>
      <c r="N444" s="2" t="inlineStr">
        <is>
          <t>20260619900405</t>
        </is>
      </c>
      <c r="O444" s="8">
        <f>HYPERLINK("https://dart.fss.or.kr/dsaf001/main.do?rcpNo=20260619900405", "공시열람")</f>
        <v/>
      </c>
    </row>
    <row r="445" ht="36" customHeight="1">
      <c r="A445" s="2" t="inlineStr">
        <is>
          <t>2024-12-27 (정정: 2026-06-19)</t>
        </is>
      </c>
      <c r="B445" s="3" t="inlineStr">
        <is>
          <t>피엔티엠에스</t>
        </is>
      </c>
      <c r="C445" s="2" t="inlineStr">
        <is>
          <t>코스닥</t>
        </is>
      </c>
      <c r="D445" s="2" t="inlineStr">
        <is>
          <t>257370</t>
        </is>
      </c>
      <c r="E445" s="2" t="inlineStr">
        <is>
          <t>단일판매공급계약체결</t>
        </is>
      </c>
      <c r="F445" s="3" t="inlineStr">
        <is>
          <t xml:space="preserve">[기재정정]단일판매ㆍ공급계약체결              </t>
        </is>
      </c>
      <c r="G445" s="7" t="inlineStr">
        <is>
          <t>HP 03/04 Line Swelling 추출조 건조조 제작</t>
        </is>
      </c>
      <c r="H445" s="2" t="inlineStr">
        <is>
          <t>2023-07-27</t>
        </is>
      </c>
      <c r="I445" s="2" t="inlineStr">
        <is>
          <t>2027-12-31</t>
        </is>
      </c>
      <c r="J445" s="5" t="n">
        <v>6500000000</v>
      </c>
      <c r="K445" s="2" t="inlineStr">
        <is>
          <t>-</t>
        </is>
      </c>
      <c r="L445" s="13" t="n">
        <v>104.54</v>
      </c>
      <c r="M445" s="7" t="inlineStr">
        <is>
          <t>해외(헝가리) 이차전지 부품소재 업체</t>
        </is>
      </c>
      <c r="N445" s="2" t="inlineStr">
        <is>
          <t>20260619900396</t>
        </is>
      </c>
      <c r="O445" s="8">
        <f>HYPERLINK("https://dart.fss.or.kr/dsaf001/main.do?rcpNo=20260619900396", "공시열람")</f>
        <v/>
      </c>
    </row>
    <row r="446" ht="36" customHeight="1">
      <c r="A446" s="2" t="inlineStr">
        <is>
          <t>2026-06-19</t>
        </is>
      </c>
      <c r="B446" s="3" t="inlineStr">
        <is>
          <t>현대로템</t>
        </is>
      </c>
      <c r="C446" s="2" t="inlineStr">
        <is>
          <t>코스피</t>
        </is>
      </c>
      <c r="D446" s="2" t="inlineStr">
        <is>
          <t>064350</t>
        </is>
      </c>
      <c r="E446" s="2" t="inlineStr">
        <is>
          <t>단일판매공급계약체결</t>
        </is>
      </c>
      <c r="F446" s="3" t="inlineStr">
        <is>
          <t xml:space="preserve">단일판매ㆍ공급계약체결              </t>
        </is>
      </c>
      <c r="G446" s="7" t="inlineStr">
        <is>
          <t>모로코 철도청 전동차 LTSS 사업</t>
        </is>
      </c>
      <c r="H446" s="2" t="inlineStr">
        <is>
          <t>2026-06-18</t>
        </is>
      </c>
      <c r="I446" s="2" t="inlineStr">
        <is>
          <t>-</t>
        </is>
      </c>
      <c r="J446" s="5" t="n">
        <v>748248667606</v>
      </c>
      <c r="K446" s="2" t="inlineStr">
        <is>
          <t>-</t>
        </is>
      </c>
      <c r="L446" s="13" t="n">
        <v>12.8</v>
      </c>
      <c r="M446" s="7" t="inlineStr">
        <is>
          <t>모로코 철도청 (Office National des Chemins de Fer, ONCF)</t>
        </is>
      </c>
      <c r="N446" s="2" t="inlineStr">
        <is>
          <t>20260619800001</t>
        </is>
      </c>
      <c r="O446" s="8">
        <f>HYPERLINK("https://dart.fss.or.kr/dsaf001/main.do?rcpNo=20260619800001", "공시열람")</f>
        <v/>
      </c>
    </row>
    <row r="447" ht="36" customHeight="1">
      <c r="A447" s="2" t="inlineStr">
        <is>
          <t>2026-06-22</t>
        </is>
      </c>
      <c r="B447" s="3" t="inlineStr">
        <is>
          <t>차AI헬스케어</t>
        </is>
      </c>
      <c r="C447" s="2" t="inlineStr">
        <is>
          <t>코스피</t>
        </is>
      </c>
      <c r="D447" s="2" t="inlineStr">
        <is>
          <t>025620</t>
        </is>
      </c>
      <c r="E447" s="2" t="inlineStr">
        <is>
          <t>단일판매공급계약체결</t>
        </is>
      </c>
      <c r="F447" s="3" t="inlineStr">
        <is>
          <t xml:space="preserve">단일판매ㆍ공급계약체결              </t>
        </is>
      </c>
      <c r="G447" s="7" t="inlineStr">
        <is>
          <t>상품 장기 공급 계약</t>
        </is>
      </c>
      <c r="H447" s="2" t="inlineStr">
        <is>
          <t>2026-06-22</t>
        </is>
      </c>
      <c r="I447" s="2" t="inlineStr">
        <is>
          <t>2031-06-22</t>
        </is>
      </c>
      <c r="J447" s="5" t="n">
        <v>52600156964</v>
      </c>
      <c r="K447" s="2" t="inlineStr">
        <is>
          <t>-</t>
        </is>
      </c>
      <c r="L447" s="13" t="n">
        <v>720.05</v>
      </c>
      <c r="M447" s="7" t="inlineStr">
        <is>
          <t>닛쇼메디컬 주식회사</t>
        </is>
      </c>
      <c r="N447" s="2" t="inlineStr">
        <is>
          <t>20260622800884</t>
        </is>
      </c>
      <c r="O447" s="8">
        <f>HYPERLINK("https://dart.fss.or.kr/dsaf001/main.do?rcpNo=20260622800884", "공시열람")</f>
        <v/>
      </c>
    </row>
    <row r="448" ht="36" customHeight="1">
      <c r="A448" s="2" t="inlineStr">
        <is>
          <t>2026-06-22</t>
        </is>
      </c>
      <c r="B448" s="3" t="inlineStr">
        <is>
          <t>파라택시스코리아</t>
        </is>
      </c>
      <c r="C448" s="2" t="inlineStr">
        <is>
          <t>코스닥</t>
        </is>
      </c>
      <c r="D448" s="2" t="inlineStr">
        <is>
          <t>288330</t>
        </is>
      </c>
      <c r="E448" s="2" t="inlineStr">
        <is>
          <t>기타</t>
        </is>
      </c>
      <c r="F448" s="3" t="inlineStr">
        <is>
          <t>투자판단관련주요경영사항              (특발성 폐섬유증 등 섬유증 치료제 후보물질의 기술도입 옵션 계약 해지특발성 폐섬유증 등 섬유증 치료제 후보물질의 기술도입 옵션 계약 해지)</t>
        </is>
      </c>
      <c r="G448" s="7" t="inlineStr">
        <is>
          <t>-</t>
        </is>
      </c>
      <c r="H448" s="2" t="inlineStr">
        <is>
          <t>-</t>
        </is>
      </c>
      <c r="I448" s="2" t="inlineStr">
        <is>
          <t>-</t>
        </is>
      </c>
      <c r="J448" s="5" t="inlineStr"/>
      <c r="K448" s="2" t="inlineStr">
        <is>
          <t>-</t>
        </is>
      </c>
      <c r="L448" s="3" t="inlineStr"/>
      <c r="M448" s="7" t="inlineStr">
        <is>
          <t>-</t>
        </is>
      </c>
      <c r="N448" s="2" t="inlineStr">
        <is>
          <t>20260622900816</t>
        </is>
      </c>
      <c r="O448" s="8">
        <f>HYPERLINK("https://dart.fss.or.kr/dsaf001/main.do?rcpNo=20260622900816", "공시열람")</f>
        <v/>
      </c>
    </row>
    <row r="449" ht="36" customHeight="1">
      <c r="A449" s="2" t="inlineStr">
        <is>
          <t>2026-06-22</t>
        </is>
      </c>
      <c r="B449" s="3" t="inlineStr">
        <is>
          <t>산일전기</t>
        </is>
      </c>
      <c r="C449" s="2" t="inlineStr">
        <is>
          <t>코스피</t>
        </is>
      </c>
      <c r="D449" s="2" t="inlineStr">
        <is>
          <t>062040</t>
        </is>
      </c>
      <c r="E449" s="2" t="inlineStr">
        <is>
          <t>단일판매공급계약체결</t>
        </is>
      </c>
      <c r="F449" s="3" t="inlineStr">
        <is>
          <t xml:space="preserve">단일판매ㆍ공급계약체결              </t>
        </is>
      </c>
      <c r="G449" s="7" t="inlineStr">
        <is>
          <t>BESS, 신재생용 변압기 공급</t>
        </is>
      </c>
      <c r="H449" s="2" t="inlineStr">
        <is>
          <t>2026-06-19</t>
        </is>
      </c>
      <c r="I449" s="2" t="inlineStr">
        <is>
          <t>2031-12-07</t>
        </is>
      </c>
      <c r="J449" s="5" t="n">
        <v>42594645800</v>
      </c>
      <c r="K449" s="2" t="inlineStr">
        <is>
          <t>-</t>
        </is>
      </c>
      <c r="L449" s="13" t="n">
        <v>8.49</v>
      </c>
      <c r="M449" s="7" t="inlineStr">
        <is>
          <t>-</t>
        </is>
      </c>
      <c r="N449" s="2" t="inlineStr">
        <is>
          <t>20260622800670</t>
        </is>
      </c>
      <c r="O449" s="8">
        <f>HYPERLINK("https://dart.fss.or.kr/dsaf001/main.do?rcpNo=20260622800670", "공시열람")</f>
        <v/>
      </c>
    </row>
    <row r="450" ht="36" customHeight="1">
      <c r="A450" s="2" t="inlineStr">
        <is>
          <t>2026-06-22 (정정: 2026-06-23)</t>
        </is>
      </c>
      <c r="B450" s="3" t="inlineStr">
        <is>
          <t>엠엑스로보틱스</t>
        </is>
      </c>
      <c r="C450" s="2" t="inlineStr">
        <is>
          <t>코스닥</t>
        </is>
      </c>
      <c r="D450" s="2" t="inlineStr">
        <is>
          <t>007820</t>
        </is>
      </c>
      <c r="E450" s="2" t="inlineStr">
        <is>
          <t>단일판매공급계약체결</t>
        </is>
      </c>
      <c r="F450" s="3" t="inlineStr">
        <is>
          <t>[기재정정]단일판매ㆍ공급계약체결               (정정: 20260623)</t>
        </is>
      </c>
      <c r="G450" s="7" t="inlineStr">
        <is>
          <t>Automatic Storage and Retrieval System(AS/RS) Package For Panipat Refinery Capacity Expansion Project of Indian Oil Corporation Limited</t>
        </is>
      </c>
      <c r="H450" s="2" t="inlineStr">
        <is>
          <t>2024-01-12</t>
        </is>
      </c>
      <c r="I450" s="2" t="inlineStr">
        <is>
          <t>2026-12-31</t>
        </is>
      </c>
      <c r="J450" s="5" t="n">
        <v>35632569925</v>
      </c>
      <c r="K450" s="2" t="inlineStr">
        <is>
          <t>-</t>
        </is>
      </c>
      <c r="L450" s="13" t="n">
        <v>20.51</v>
      </c>
      <c r="M450" s="7" t="inlineStr">
        <is>
          <t>Indian Oil Corporation Limited</t>
        </is>
      </c>
      <c r="N450" s="2" t="inlineStr">
        <is>
          <t>20260623900165</t>
        </is>
      </c>
      <c r="O450" s="8">
        <f>HYPERLINK("https://dart.fss.or.kr/dsaf001/main.do?rcpNo=20260623900165", "공시열람")</f>
        <v/>
      </c>
    </row>
    <row r="451" ht="36" customHeight="1">
      <c r="A451" s="2" t="inlineStr">
        <is>
          <t>2026-06-22</t>
        </is>
      </c>
      <c r="B451" s="3" t="inlineStr">
        <is>
          <t>성창기업지주</t>
        </is>
      </c>
      <c r="C451" s="2" t="inlineStr">
        <is>
          <t>코스피</t>
        </is>
      </c>
      <c r="D451" s="2" t="inlineStr">
        <is>
          <t>000180</t>
        </is>
      </c>
      <c r="E451" s="2" t="inlineStr">
        <is>
          <t>기타</t>
        </is>
      </c>
      <c r="F451" s="3" t="inlineStr">
        <is>
          <t xml:space="preserve">영업정지(종속회사의주요경영사항)              </t>
        </is>
      </c>
      <c r="G451" s="7" t="inlineStr">
        <is>
          <t>-</t>
        </is>
      </c>
      <c r="H451" s="2" t="inlineStr">
        <is>
          <t>-</t>
        </is>
      </c>
      <c r="I451" s="2" t="inlineStr">
        <is>
          <t>-</t>
        </is>
      </c>
      <c r="J451" s="5" t="inlineStr"/>
      <c r="K451" s="2" t="inlineStr">
        <is>
          <t>-</t>
        </is>
      </c>
      <c r="L451" s="3" t="inlineStr"/>
      <c r="M451" s="7" t="inlineStr">
        <is>
          <t>-</t>
        </is>
      </c>
      <c r="N451" s="2" t="inlineStr">
        <is>
          <t>20260622800439</t>
        </is>
      </c>
      <c r="O451" s="8">
        <f>HYPERLINK("https://dart.fss.or.kr/dsaf001/main.do?rcpNo=20260622800439", "공시열람")</f>
        <v/>
      </c>
    </row>
    <row r="452" ht="36" customHeight="1">
      <c r="A452" s="2" t="inlineStr">
        <is>
          <t>2026-05-19 (정정: 2026-06-22)</t>
        </is>
      </c>
      <c r="B452" s="3" t="inlineStr">
        <is>
          <t>센코</t>
        </is>
      </c>
      <c r="C452" s="2" t="inlineStr">
        <is>
          <t>코스닥</t>
        </is>
      </c>
      <c r="D452" s="2" t="inlineStr">
        <is>
          <t>347000</t>
        </is>
      </c>
      <c r="E452" s="2" t="inlineStr">
        <is>
          <t>단일판매공급계약체결</t>
        </is>
      </c>
      <c r="F452" s="3" t="inlineStr">
        <is>
          <t xml:space="preserve">[기재정정]단일판매ㆍ공급계약체결(자율공시)              </t>
        </is>
      </c>
      <c r="G452" s="7" t="inlineStr">
        <is>
          <t>세종5-1생활권 스마트도시기반서비스 설계 및 구축사업-스마트IOT 개발계약의 건, 스마트IOT 시제품 외</t>
        </is>
      </c>
      <c r="H452" s="2" t="inlineStr">
        <is>
          <t>2022-12-22</t>
        </is>
      </c>
      <c r="I452" s="2" t="inlineStr">
        <is>
          <t>2026-07-31</t>
        </is>
      </c>
      <c r="J452" s="5" t="n">
        <v>2500000000</v>
      </c>
      <c r="K452" s="2" t="inlineStr">
        <is>
          <t>-</t>
        </is>
      </c>
      <c r="L452" s="13" t="n">
        <v>9.06</v>
      </c>
      <c r="M452" s="7" t="inlineStr">
        <is>
          <t>주식회사 엘지유플러스</t>
        </is>
      </c>
      <c r="N452" s="2" t="inlineStr">
        <is>
          <t>20260622900442</t>
        </is>
      </c>
      <c r="O452" s="8">
        <f>HYPERLINK("https://dart.fss.or.kr/dsaf001/main.do?rcpNo=20260622900442", "공시열람")</f>
        <v/>
      </c>
    </row>
    <row r="453" ht="36" customHeight="1">
      <c r="A453" s="2" t="inlineStr">
        <is>
          <t>2026-06-22</t>
        </is>
      </c>
      <c r="B453" s="3" t="inlineStr">
        <is>
          <t>원일티엔아이</t>
        </is>
      </c>
      <c r="C453" s="2" t="inlineStr">
        <is>
          <t>코스닥</t>
        </is>
      </c>
      <c r="D453" s="2" t="inlineStr">
        <is>
          <t>136150</t>
        </is>
      </c>
      <c r="E453" s="2" t="inlineStr">
        <is>
          <t>단일판매공급계약체결</t>
        </is>
      </c>
      <c r="F453" s="3" t="inlineStr">
        <is>
          <t xml:space="preserve">단일판매ㆍ공급계약체결              </t>
        </is>
      </c>
      <c r="G453" s="7" t="inlineStr">
        <is>
          <t>수소추출 및 유틸리티 설비 제작 및 설치</t>
        </is>
      </c>
      <c r="H453" s="2" t="inlineStr">
        <is>
          <t>2026-06-22</t>
        </is>
      </c>
      <c r="I453" s="2" t="inlineStr">
        <is>
          <t>2027-06-30</t>
        </is>
      </c>
      <c r="J453" s="5" t="n">
        <v>11300000000</v>
      </c>
      <c r="K453" s="2" t="inlineStr">
        <is>
          <t>-</t>
        </is>
      </c>
      <c r="L453" s="13" t="n">
        <v>38.15</v>
      </c>
      <c r="M453" s="7" t="inlineStr">
        <is>
          <t>(주)한국가스기술공사</t>
        </is>
      </c>
      <c r="N453" s="2" t="inlineStr">
        <is>
          <t>20260622900311</t>
        </is>
      </c>
      <c r="O453" s="8">
        <f>HYPERLINK("https://dart.fss.or.kr/dsaf001/main.do?rcpNo=20260622900311", "공시열람")</f>
        <v/>
      </c>
    </row>
    <row r="454" ht="36" customHeight="1">
      <c r="A454" s="2" t="inlineStr">
        <is>
          <t>2026-06-22</t>
        </is>
      </c>
      <c r="B454" s="3" t="inlineStr">
        <is>
          <t>이노에이엑스</t>
        </is>
      </c>
      <c r="C454" s="2" t="inlineStr">
        <is>
          <t>코스닥</t>
        </is>
      </c>
      <c r="D454" s="2" t="inlineStr">
        <is>
          <t>296640</t>
        </is>
      </c>
      <c r="E454" s="2" t="inlineStr">
        <is>
          <t>단일판매공급계약체결</t>
        </is>
      </c>
      <c r="F454" s="3" t="inlineStr">
        <is>
          <t xml:space="preserve">단일판매ㆍ공급계약체결              </t>
        </is>
      </c>
      <c r="G454" s="7" t="inlineStr">
        <is>
          <t>삼성생명 Front-Core 고도화 (상품관리 고도화)</t>
        </is>
      </c>
      <c r="H454" s="2" t="inlineStr">
        <is>
          <t>2026-06-22</t>
        </is>
      </c>
      <c r="I454" s="2" t="inlineStr">
        <is>
          <t>2027-12-21</t>
        </is>
      </c>
      <c r="J454" s="5" t="n">
        <v>3482100000</v>
      </c>
      <c r="K454" s="2" t="inlineStr">
        <is>
          <t>-</t>
        </is>
      </c>
      <c r="L454" s="13" t="n">
        <v>15.18</v>
      </c>
      <c r="M454" s="7" t="inlineStr">
        <is>
          <t>삼성에스디에스주식회사</t>
        </is>
      </c>
      <c r="N454" s="2" t="inlineStr">
        <is>
          <t>20260622900239</t>
        </is>
      </c>
      <c r="O454" s="8">
        <f>HYPERLINK("https://dart.fss.or.kr/dsaf001/main.do?rcpNo=20260622900239", "공시열람")</f>
        <v/>
      </c>
    </row>
    <row r="455" ht="36" customHeight="1">
      <c r="A455" s="2" t="inlineStr">
        <is>
          <t>2026-06-22</t>
        </is>
      </c>
      <c r="B455" s="3" t="inlineStr">
        <is>
          <t>팬젠</t>
        </is>
      </c>
      <c r="C455" s="2" t="inlineStr">
        <is>
          <t>코스닥</t>
        </is>
      </c>
      <c r="D455" s="2" t="inlineStr">
        <is>
          <t>222110</t>
        </is>
      </c>
      <c r="E455" s="2" t="inlineStr">
        <is>
          <t>단일판매공급계약체결</t>
        </is>
      </c>
      <c r="F455" s="3" t="inlineStr">
        <is>
          <t xml:space="preserve">단일판매ㆍ공급계약체결              </t>
        </is>
      </c>
      <c r="G455" s="7" t="inlineStr">
        <is>
          <t>연구용역과제(중증열성혈소판감소증후군(SFTS)치료용항체 비임상 시료 생산체계 고도화 및 평가)수주</t>
        </is>
      </c>
      <c r="H455" s="2" t="inlineStr">
        <is>
          <t>2026-06-22</t>
        </is>
      </c>
      <c r="I455" s="2" t="inlineStr">
        <is>
          <t>2028-12-31</t>
        </is>
      </c>
      <c r="J455" s="5" t="n">
        <v>2745454545</v>
      </c>
      <c r="K455" s="2" t="inlineStr">
        <is>
          <t>-</t>
        </is>
      </c>
      <c r="L455" s="13" t="n">
        <v>20.46</v>
      </c>
      <c r="M455" s="7" t="inlineStr">
        <is>
          <t>질병관리청 국립보건연구원</t>
        </is>
      </c>
      <c r="N455" s="2" t="inlineStr">
        <is>
          <t>20260622900231</t>
        </is>
      </c>
      <c r="O455" s="8">
        <f>HYPERLINK("https://dart.fss.or.kr/dsaf001/main.do?rcpNo=20260622900231", "공시열람")</f>
        <v/>
      </c>
    </row>
    <row r="456" ht="36" customHeight="1">
      <c r="A456" s="2" t="inlineStr">
        <is>
          <t>2026-06-22</t>
        </is>
      </c>
      <c r="B456" s="3" t="inlineStr">
        <is>
          <t>우진아이엔에스</t>
        </is>
      </c>
      <c r="C456" s="2" t="inlineStr">
        <is>
          <t>코스피</t>
        </is>
      </c>
      <c r="D456" s="2" t="inlineStr">
        <is>
          <t>010400</t>
        </is>
      </c>
      <c r="E456" s="2" t="inlineStr">
        <is>
          <t>단일판매공급계약체결</t>
        </is>
      </c>
      <c r="F456" s="3" t="inlineStr">
        <is>
          <t xml:space="preserve">단일판매ㆍ공급계약체결              </t>
        </is>
      </c>
      <c r="G456" s="7" t="inlineStr">
        <is>
          <t>용인 Cluster 1기 Ph-2 OBL Ph-2 HVAC&amp;소방공사- 1</t>
        </is>
      </c>
      <c r="H456" s="2" t="inlineStr">
        <is>
          <t>2026-06-17</t>
        </is>
      </c>
      <c r="I456" s="2" t="inlineStr">
        <is>
          <t>2027-12-31</t>
        </is>
      </c>
      <c r="J456" s="5" t="n">
        <v>15251000000</v>
      </c>
      <c r="K456" s="2" t="inlineStr">
        <is>
          <t>-</t>
        </is>
      </c>
      <c r="L456" s="13" t="n">
        <v>9.27</v>
      </c>
      <c r="M456" s="7" t="inlineStr">
        <is>
          <t>에스케이에코플랜트(주)</t>
        </is>
      </c>
      <c r="N456" s="2" t="inlineStr">
        <is>
          <t>20260622800225</t>
        </is>
      </c>
      <c r="O456" s="8">
        <f>HYPERLINK("https://dart.fss.or.kr/dsaf001/main.do?rcpNo=20260622800225", "공시열람")</f>
        <v/>
      </c>
    </row>
    <row r="457" ht="36" customHeight="1">
      <c r="A457" s="2" t="inlineStr">
        <is>
          <t>2026-06-23</t>
        </is>
      </c>
      <c r="B457" s="3" t="inlineStr">
        <is>
          <t>채비</t>
        </is>
      </c>
      <c r="C457" s="2" t="inlineStr">
        <is>
          <t>코스닥</t>
        </is>
      </c>
      <c r="D457" s="2" t="inlineStr">
        <is>
          <t>0011T0</t>
        </is>
      </c>
      <c r="E457" s="2" t="inlineStr">
        <is>
          <t>단일판매공급계약체결</t>
        </is>
      </c>
      <c r="F457" s="3" t="inlineStr">
        <is>
          <t xml:space="preserve">단일판매ㆍ공급계약체결              </t>
        </is>
      </c>
      <c r="G457" s="7" t="inlineStr">
        <is>
          <t>2026년 전기자동차 공공급속충전기 제작구매(4권역)</t>
        </is>
      </c>
      <c r="H457" s="2" t="inlineStr">
        <is>
          <t>2026-06-22</t>
        </is>
      </c>
      <c r="I457" s="2" t="inlineStr">
        <is>
          <t>2027-04-18</t>
        </is>
      </c>
      <c r="J457" s="5" t="n">
        <v>10305167300</v>
      </c>
      <c r="K457" s="2" t="inlineStr">
        <is>
          <t>-</t>
        </is>
      </c>
      <c r="L457" s="13" t="n">
        <v>10.1</v>
      </c>
      <c r="M457" s="7" t="inlineStr">
        <is>
          <t>인천지방조달청</t>
        </is>
      </c>
      <c r="N457" s="2" t="inlineStr">
        <is>
          <t>20260623900572</t>
        </is>
      </c>
      <c r="O457" s="8">
        <f>HYPERLINK("https://dart.fss.or.kr/dsaf001/main.do?rcpNo=20260623900572", "공시열람")</f>
        <v/>
      </c>
    </row>
    <row r="458" ht="36" customHeight="1">
      <c r="A458" s="2" t="inlineStr">
        <is>
          <t>2026-06-23</t>
        </is>
      </c>
      <c r="B458" s="3" t="inlineStr">
        <is>
          <t>텔코웨어</t>
        </is>
      </c>
      <c r="C458" s="2" t="inlineStr">
        <is>
          <t>코스피</t>
        </is>
      </c>
      <c r="D458" s="2" t="inlineStr">
        <is>
          <t>078000</t>
        </is>
      </c>
      <c r="E458" s="2" t="inlineStr">
        <is>
          <t>단일판매공급계약체결</t>
        </is>
      </c>
      <c r="F458" s="3" t="inlineStr">
        <is>
          <t xml:space="preserve">단일판매ㆍ공급계약체결              </t>
        </is>
      </c>
      <c r="G458" s="7" t="inlineStr">
        <is>
          <t>IMS Rebuilding</t>
        </is>
      </c>
      <c r="H458" s="2" t="inlineStr">
        <is>
          <t>2026-06-23</t>
        </is>
      </c>
      <c r="I458" s="2" t="inlineStr">
        <is>
          <t>2026-12-31</t>
        </is>
      </c>
      <c r="J458" s="5" t="n">
        <v>2195600000</v>
      </c>
      <c r="K458" s="2" t="inlineStr">
        <is>
          <t>-</t>
        </is>
      </c>
      <c r="L458" s="13" t="n">
        <v>5.7</v>
      </c>
      <c r="M458" s="7" t="inlineStr">
        <is>
          <t>SK텔레콤 주식회사</t>
        </is>
      </c>
      <c r="N458" s="2" t="inlineStr">
        <is>
          <t>20260623800574</t>
        </is>
      </c>
      <c r="O458" s="8">
        <f>HYPERLINK("https://dart.fss.or.kr/dsaf001/main.do?rcpNo=20260623800574", "공시열람")</f>
        <v/>
      </c>
    </row>
    <row r="459" ht="36" customHeight="1">
      <c r="A459" s="2" t="inlineStr">
        <is>
          <t>2026-06-23</t>
        </is>
      </c>
      <c r="B459" s="3" t="inlineStr">
        <is>
          <t>티와이홀딩스</t>
        </is>
      </c>
      <c r="C459" s="2" t="inlineStr">
        <is>
          <t>코스피</t>
        </is>
      </c>
      <c r="D459" s="2" t="inlineStr">
        <is>
          <t>363280</t>
        </is>
      </c>
      <c r="E459" s="2" t="inlineStr">
        <is>
          <t>단일판매공급계약체결</t>
        </is>
      </c>
      <c r="F459" s="3" t="inlineStr">
        <is>
          <t xml:space="preserve">단일판매ㆍ공급계약체결(자회사의 주요경영사항)              </t>
        </is>
      </c>
      <c r="G459" s="7" t="inlineStr">
        <is>
          <t>과천 우면산간 도시고속화도로 이설(지하화) 공사</t>
        </is>
      </c>
      <c r="H459" s="2" t="inlineStr">
        <is>
          <t>2026-08-31</t>
        </is>
      </c>
      <c r="I459" s="2" t="inlineStr">
        <is>
          <t>2031-10-31</t>
        </is>
      </c>
      <c r="J459" s="5" t="n">
        <v>218278272725</v>
      </c>
      <c r="K459" s="2" t="inlineStr">
        <is>
          <t>-</t>
        </is>
      </c>
      <c r="L459" s="13" t="n">
        <v>10.04</v>
      </c>
      <c r="M459" s="7" t="inlineStr">
        <is>
          <t>한국토지주택공사(LH)</t>
        </is>
      </c>
      <c r="N459" s="2" t="inlineStr">
        <is>
          <t>20260623800587</t>
        </is>
      </c>
      <c r="O459" s="8">
        <f>HYPERLINK("https://dart.fss.or.kr/dsaf001/main.do?rcpNo=20260623800587", "공시열람")</f>
        <v/>
      </c>
    </row>
    <row r="460" ht="36" customHeight="1">
      <c r="A460" s="2" t="inlineStr">
        <is>
          <t>2026-06-23</t>
        </is>
      </c>
      <c r="B460" s="3" t="inlineStr">
        <is>
          <t>태영건설</t>
        </is>
      </c>
      <c r="C460" s="2" t="inlineStr">
        <is>
          <t>코스피</t>
        </is>
      </c>
      <c r="D460" s="2" t="inlineStr">
        <is>
          <t>009410</t>
        </is>
      </c>
      <c r="E460" s="2" t="inlineStr">
        <is>
          <t>단일판매공급계약체결</t>
        </is>
      </c>
      <c r="F460" s="3" t="inlineStr">
        <is>
          <t xml:space="preserve">단일판매ㆍ공급계약체결              </t>
        </is>
      </c>
      <c r="G460" s="7" t="inlineStr">
        <is>
          <t>과천 우면산간 도시고속화도로 이설(지하화) 공사</t>
        </is>
      </c>
      <c r="H460" s="2" t="inlineStr">
        <is>
          <t>2026-08-31</t>
        </is>
      </c>
      <c r="I460" s="2" t="inlineStr">
        <is>
          <t>2031-10-31</t>
        </is>
      </c>
      <c r="J460" s="5" t="n">
        <v>218278272725</v>
      </c>
      <c r="K460" s="2" t="inlineStr">
        <is>
          <t>-</t>
        </is>
      </c>
      <c r="L460" s="13" t="n">
        <v>10.04</v>
      </c>
      <c r="M460" s="7" t="inlineStr">
        <is>
          <t>한국토지주택공사(LH)</t>
        </is>
      </c>
      <c r="N460" s="2" t="inlineStr">
        <is>
          <t>20260623800546</t>
        </is>
      </c>
      <c r="O460" s="8">
        <f>HYPERLINK("https://dart.fss.or.kr/dsaf001/main.do?rcpNo=20260623800546", "공시열람")</f>
        <v/>
      </c>
    </row>
    <row r="461" ht="36" customHeight="1">
      <c r="A461" s="2" t="inlineStr">
        <is>
          <t>2026-06-23</t>
        </is>
      </c>
      <c r="B461" s="3" t="inlineStr">
        <is>
          <t>효성</t>
        </is>
      </c>
      <c r="C461" s="2" t="inlineStr">
        <is>
          <t>코스피</t>
        </is>
      </c>
      <c r="D461" s="2" t="inlineStr">
        <is>
          <t>004800</t>
        </is>
      </c>
      <c r="E461" s="2" t="inlineStr">
        <is>
          <t>단일판매공급계약체결</t>
        </is>
      </c>
      <c r="F461" s="3" t="inlineStr">
        <is>
          <t xml:space="preserve">단일판매ㆍ공급계약체결(자회사의 주요경영사항)              </t>
        </is>
      </c>
      <c r="G461" s="7" t="inlineStr">
        <is>
          <t>답십리 자동차 부품상가 도시정비형 재개발 정비사업</t>
        </is>
      </c>
      <c r="H461" s="2" t="inlineStr">
        <is>
          <t>-</t>
        </is>
      </c>
      <c r="I461" s="2" t="inlineStr">
        <is>
          <t>-</t>
        </is>
      </c>
      <c r="J461" s="5" t="n">
        <v>542797112000</v>
      </c>
      <c r="K461" s="2" t="inlineStr">
        <is>
          <t>-</t>
        </is>
      </c>
      <c r="L461" s="13" t="n">
        <v>9.09</v>
      </c>
      <c r="M461" s="7" t="inlineStr">
        <is>
          <t>답십리 자동차 부품상가 도시정비형 재개발 정비사업 조합</t>
        </is>
      </c>
      <c r="N461" s="2" t="inlineStr">
        <is>
          <t>20260623800560</t>
        </is>
      </c>
      <c r="O461" s="8">
        <f>HYPERLINK("https://dart.fss.or.kr/dsaf001/main.do?rcpNo=20260623800560", "공시열람")</f>
        <v/>
      </c>
    </row>
    <row r="462" ht="36" customHeight="1">
      <c r="A462" s="2" t="inlineStr">
        <is>
          <t>2026-06-23</t>
        </is>
      </c>
      <c r="B462" s="3" t="inlineStr">
        <is>
          <t>텔코웨어</t>
        </is>
      </c>
      <c r="C462" s="2" t="inlineStr">
        <is>
          <t>코스피</t>
        </is>
      </c>
      <c r="D462" s="2" t="inlineStr">
        <is>
          <t>078000</t>
        </is>
      </c>
      <c r="E462" s="2" t="inlineStr">
        <is>
          <t>단일판매공급계약체결</t>
        </is>
      </c>
      <c r="F462" s="3" t="inlineStr">
        <is>
          <t xml:space="preserve">단일판매ㆍ공급계약체결              </t>
        </is>
      </c>
      <c r="G462" s="7" t="inlineStr">
        <is>
          <t>UDM Rebuilding</t>
        </is>
      </c>
      <c r="H462" s="2" t="inlineStr">
        <is>
          <t>2026-06-23</t>
        </is>
      </c>
      <c r="I462" s="2" t="inlineStr">
        <is>
          <t>2026-12-31</t>
        </is>
      </c>
      <c r="J462" s="5" t="n">
        <v>4364000000</v>
      </c>
      <c r="K462" s="2" t="inlineStr">
        <is>
          <t>-</t>
        </is>
      </c>
      <c r="L462" s="13" t="n">
        <v>11.4</v>
      </c>
      <c r="M462" s="7" t="inlineStr">
        <is>
          <t>SK텔레콤 주식회사</t>
        </is>
      </c>
      <c r="N462" s="2" t="inlineStr">
        <is>
          <t>20260623800537</t>
        </is>
      </c>
      <c r="O462" s="8">
        <f>HYPERLINK("https://dart.fss.or.kr/dsaf001/main.do?rcpNo=20260623800537", "공시열람")</f>
        <v/>
      </c>
    </row>
    <row r="463" ht="36" customHeight="1">
      <c r="A463" s="2" t="inlineStr">
        <is>
          <t>2026-06-23</t>
        </is>
      </c>
      <c r="B463" s="3" t="inlineStr">
        <is>
          <t>효성중공업</t>
        </is>
      </c>
      <c r="C463" s="2" t="inlineStr">
        <is>
          <t>코스피</t>
        </is>
      </c>
      <c r="D463" s="2" t="inlineStr">
        <is>
          <t>298040</t>
        </is>
      </c>
      <c r="E463" s="2" t="inlineStr">
        <is>
          <t>단일판매공급계약체결</t>
        </is>
      </c>
      <c r="F463" s="3" t="inlineStr">
        <is>
          <t xml:space="preserve">단일판매ㆍ공급계약체결              </t>
        </is>
      </c>
      <c r="G463" s="7" t="inlineStr">
        <is>
          <t>답십리 자동차 부품상가 도시정비형 재개발 정비사업</t>
        </is>
      </c>
      <c r="H463" s="2" t="inlineStr">
        <is>
          <t>-</t>
        </is>
      </c>
      <c r="I463" s="2" t="inlineStr">
        <is>
          <t>-</t>
        </is>
      </c>
      <c r="J463" s="5" t="n">
        <v>542797112000</v>
      </c>
      <c r="K463" s="2" t="inlineStr">
        <is>
          <t>-</t>
        </is>
      </c>
      <c r="L463" s="13" t="n">
        <v>9.09</v>
      </c>
      <c r="M463" s="7" t="inlineStr">
        <is>
          <t>답십리 자동차 부품상가 도시정비형 재개발 정비사업 조합</t>
        </is>
      </c>
      <c r="N463" s="2" t="inlineStr">
        <is>
          <t>20260623800549</t>
        </is>
      </c>
      <c r="O463" s="8">
        <f>HYPERLINK("https://dart.fss.or.kr/dsaf001/main.do?rcpNo=20260623800549", "공시열람")</f>
        <v/>
      </c>
    </row>
    <row r="464" ht="36" customHeight="1">
      <c r="A464" s="2" t="inlineStr">
        <is>
          <t>2026-06-23</t>
        </is>
      </c>
      <c r="B464" s="3" t="inlineStr">
        <is>
          <t>SK바이오사이언스</t>
        </is>
      </c>
      <c r="C464" s="2" t="inlineStr">
        <is>
          <t>코스피</t>
        </is>
      </c>
      <c r="D464" s="2" t="inlineStr">
        <is>
          <t>302440</t>
        </is>
      </c>
      <c r="E464" s="2" t="inlineStr">
        <is>
          <t>단일판매공급계약체결</t>
        </is>
      </c>
      <c r="F464" s="3" t="inlineStr">
        <is>
          <t xml:space="preserve">단일판매ㆍ공급계약체결              </t>
        </is>
      </c>
      <c r="G464" s="7" t="inlineStr">
        <is>
          <t>2026-2027절기 인플루엔자 백신 공급 계약</t>
        </is>
      </c>
      <c r="H464" s="2" t="inlineStr">
        <is>
          <t>2026-06-23</t>
        </is>
      </c>
      <c r="I464" s="2" t="inlineStr">
        <is>
          <t>2027-06-30</t>
        </is>
      </c>
      <c r="J464" s="5" t="n">
        <v>23897700000</v>
      </c>
      <c r="K464" s="2" t="inlineStr">
        <is>
          <t>-</t>
        </is>
      </c>
      <c r="L464" s="13" t="n">
        <v>3.67</v>
      </c>
      <c r="M464" s="7" t="inlineStr">
        <is>
          <t>대한민국 조달청</t>
        </is>
      </c>
      <c r="N464" s="2" t="inlineStr">
        <is>
          <t>20260623800501</t>
        </is>
      </c>
      <c r="O464" s="8">
        <f>HYPERLINK("https://dart.fss.or.kr/dsaf001/main.do?rcpNo=20260623800501", "공시열람")</f>
        <v/>
      </c>
    </row>
    <row r="465" ht="36" customHeight="1">
      <c r="A465" s="2" t="inlineStr">
        <is>
          <t>2026-06-23</t>
        </is>
      </c>
      <c r="B465" s="3" t="inlineStr">
        <is>
          <t>국영지앤엠</t>
        </is>
      </c>
      <c r="C465" s="2" t="inlineStr">
        <is>
          <t>코스닥</t>
        </is>
      </c>
      <c r="D465" s="2" t="inlineStr">
        <is>
          <t>006050</t>
        </is>
      </c>
      <c r="E465" s="2" t="inlineStr">
        <is>
          <t>단일판매공급계약체결</t>
        </is>
      </c>
      <c r="F465" s="3" t="inlineStr">
        <is>
          <t xml:space="preserve">단일판매ㆍ공급계약체결(자율공시)              </t>
        </is>
      </c>
      <c r="G465" s="7" t="inlineStr">
        <is>
          <t>2026-06-23</t>
        </is>
      </c>
      <c r="H465" s="2" t="inlineStr">
        <is>
          <t>2026-06-23</t>
        </is>
      </c>
      <c r="I465" s="2" t="inlineStr">
        <is>
          <t>2027-10-11</t>
        </is>
      </c>
      <c r="J465" s="5" t="n">
        <v>4979332082</v>
      </c>
      <c r="K465" s="2" t="inlineStr">
        <is>
          <t>-</t>
        </is>
      </c>
      <c r="L465" s="13" t="n">
        <v>8.27</v>
      </c>
      <c r="M465" s="7" t="inlineStr">
        <is>
          <t>양우건설주식회사</t>
        </is>
      </c>
      <c r="N465" s="2" t="inlineStr">
        <is>
          <t>20260623900426</t>
        </is>
      </c>
      <c r="O465" s="8">
        <f>HYPERLINK("https://dart.fss.or.kr/dsaf001/main.do?rcpNo=20260623900426", "공시열람")</f>
        <v/>
      </c>
    </row>
    <row r="466" ht="36" customHeight="1">
      <c r="A466" s="2" t="inlineStr">
        <is>
          <t>2026-06-23</t>
        </is>
      </c>
      <c r="B466" s="3" t="inlineStr">
        <is>
          <t>인베니아</t>
        </is>
      </c>
      <c r="C466" s="2" t="inlineStr">
        <is>
          <t>코스닥</t>
        </is>
      </c>
      <c r="D466" s="2" t="inlineStr">
        <is>
          <t>079950</t>
        </is>
      </c>
      <c r="E466" s="2" t="inlineStr">
        <is>
          <t>단일판매공급계약체결</t>
        </is>
      </c>
      <c r="F466" s="3" t="inlineStr">
        <is>
          <t xml:space="preserve">단일판매ㆍ공급계약체결              </t>
        </is>
      </c>
      <c r="G466" s="7" t="inlineStr">
        <is>
          <t>디스플레이 제조장비 공급계약 등</t>
        </is>
      </c>
      <c r="H466" s="2" t="inlineStr">
        <is>
          <t>2026-06-22</t>
        </is>
      </c>
      <c r="I466" s="2" t="inlineStr">
        <is>
          <t>2027-02-28</t>
        </is>
      </c>
      <c r="J466" s="5" t="n">
        <v>8676705000</v>
      </c>
      <c r="K466" s="2" t="inlineStr">
        <is>
          <t>-</t>
        </is>
      </c>
      <c r="L466" s="13" t="n">
        <v>47.12</v>
      </c>
      <c r="M466" s="7" t="inlineStr">
        <is>
          <t>Fuzhou BOE Optoelectronics Technology Co.,Ltd.</t>
        </is>
      </c>
      <c r="N466" s="2" t="inlineStr">
        <is>
          <t>20260623900281</t>
        </is>
      </c>
      <c r="O466" s="8">
        <f>HYPERLINK("https://dart.fss.or.kr/dsaf001/main.do?rcpNo=20260623900281", "공시열람")</f>
        <v/>
      </c>
    </row>
    <row r="467" ht="36" customHeight="1">
      <c r="A467" s="2" t="inlineStr">
        <is>
          <t>2026-06-23</t>
        </is>
      </c>
      <c r="B467" s="3" t="inlineStr">
        <is>
          <t>미래산업</t>
        </is>
      </c>
      <c r="C467" s="2" t="inlineStr">
        <is>
          <t>코스피</t>
        </is>
      </c>
      <c r="D467" s="2" t="inlineStr">
        <is>
          <t>025560</t>
        </is>
      </c>
      <c r="E467" s="2" t="inlineStr">
        <is>
          <t>단일판매공급계약체결</t>
        </is>
      </c>
      <c r="F467" s="3" t="inlineStr">
        <is>
          <t xml:space="preserve">단일판매ㆍ공급계약체결              </t>
        </is>
      </c>
      <c r="G467" s="7" t="inlineStr">
        <is>
          <t>반도체 검사 장비 공급 계약</t>
        </is>
      </c>
      <c r="H467" s="2" t="inlineStr">
        <is>
          <t>2026-06-23</t>
        </is>
      </c>
      <c r="I467" s="2" t="inlineStr">
        <is>
          <t>2026-11-20</t>
        </is>
      </c>
      <c r="J467" s="5" t="n">
        <v>6219585000</v>
      </c>
      <c r="K467" s="2" t="inlineStr">
        <is>
          <t>-</t>
        </is>
      </c>
      <c r="L467" s="13" t="n">
        <v>12.25</v>
      </c>
      <c r="M467" s="7" t="inlineStr">
        <is>
          <t>YILING TRADING</t>
        </is>
      </c>
      <c r="N467" s="2" t="inlineStr">
        <is>
          <t>20260623800231</t>
        </is>
      </c>
      <c r="O467" s="8">
        <f>HYPERLINK("https://dart.fss.or.kr/dsaf001/main.do?rcpNo=20260623800231", "공시열람")</f>
        <v/>
      </c>
    </row>
    <row r="468" ht="36" customHeight="1">
      <c r="A468" s="2" t="inlineStr">
        <is>
          <t>2026-06-23</t>
        </is>
      </c>
      <c r="B468" s="3" t="inlineStr">
        <is>
          <t>브이엠</t>
        </is>
      </c>
      <c r="C468" s="2" t="inlineStr">
        <is>
          <t>코스닥</t>
        </is>
      </c>
      <c r="D468" s="2" t="inlineStr">
        <is>
          <t>089970</t>
        </is>
      </c>
      <c r="E468" s="2" t="inlineStr">
        <is>
          <t>단일판매공급계약체결</t>
        </is>
      </c>
      <c r="F468" s="3" t="inlineStr">
        <is>
          <t xml:space="preserve">단일판매ㆍ공급계약체결              </t>
        </is>
      </c>
      <c r="G468" s="7" t="inlineStr">
        <is>
          <t>반도체 제조장비</t>
        </is>
      </c>
      <c r="H468" s="2" t="inlineStr">
        <is>
          <t>2026-06-23</t>
        </is>
      </c>
      <c r="I468" s="2" t="inlineStr">
        <is>
          <t>2026-10-14</t>
        </is>
      </c>
      <c r="J468" s="5" t="n">
        <v>21578000000</v>
      </c>
      <c r="K468" s="2" t="inlineStr">
        <is>
          <t>-</t>
        </is>
      </c>
      <c r="L468" s="13" t="n">
        <v>14.94</v>
      </c>
      <c r="M468" s="7" t="inlineStr">
        <is>
          <t>SK하이닉스</t>
        </is>
      </c>
      <c r="N468" s="2" t="inlineStr">
        <is>
          <t>20260623900188</t>
        </is>
      </c>
      <c r="O468" s="8">
        <f>HYPERLINK("https://dart.fss.or.kr/dsaf001/main.do?rcpNo=20260623900188", "공시열람")</f>
        <v/>
      </c>
    </row>
    <row r="469" ht="36" customHeight="1">
      <c r="A469" s="2" t="inlineStr">
        <is>
          <t>2026-06-23</t>
        </is>
      </c>
      <c r="B469" s="3" t="inlineStr">
        <is>
          <t>펨트론</t>
        </is>
      </c>
      <c r="C469" s="2" t="inlineStr">
        <is>
          <t>코스닥</t>
        </is>
      </c>
      <c r="D469" s="2" t="inlineStr">
        <is>
          <t>168360</t>
        </is>
      </c>
      <c r="E469" s="2" t="inlineStr">
        <is>
          <t>단일판매공급계약체결</t>
        </is>
      </c>
      <c r="F469" s="3" t="inlineStr">
        <is>
          <t xml:space="preserve">단일판매ㆍ공급계약체결(자율공시)              </t>
        </is>
      </c>
      <c r="G469" s="7" t="inlineStr">
        <is>
          <t>반도체 검사장비 공급계약 체결</t>
        </is>
      </c>
      <c r="H469" s="2" t="inlineStr">
        <is>
          <t>2026-06-22</t>
        </is>
      </c>
      <c r="I469" s="2" t="inlineStr">
        <is>
          <t>2027-04-30</t>
        </is>
      </c>
      <c r="J469" s="5" t="n">
        <v>4998703500</v>
      </c>
      <c r="K469" s="2" t="inlineStr">
        <is>
          <t>-</t>
        </is>
      </c>
      <c r="L469" s="13" t="n">
        <v>7.16</v>
      </c>
      <c r="M469" s="7" t="inlineStr">
        <is>
          <t>Micron Memory Malaysia SDN. BHD.</t>
        </is>
      </c>
      <c r="N469" s="2" t="inlineStr">
        <is>
          <t>20260623900177</t>
        </is>
      </c>
      <c r="O469" s="8">
        <f>HYPERLINK("https://dart.fss.or.kr/dsaf001/main.do?rcpNo=20260623900177", "공시열람")</f>
        <v/>
      </c>
    </row>
    <row r="470" ht="36" customHeight="1">
      <c r="A470" s="2" t="inlineStr">
        <is>
          <t>2026-06-23</t>
        </is>
      </c>
      <c r="B470" s="3" t="inlineStr">
        <is>
          <t>현대건설</t>
        </is>
      </c>
      <c r="C470" s="2" t="inlineStr">
        <is>
          <t>코스피</t>
        </is>
      </c>
      <c r="D470" s="2" t="inlineStr">
        <is>
          <t>000720</t>
        </is>
      </c>
      <c r="E470" s="2" t="inlineStr">
        <is>
          <t>단일판매공급계약체결</t>
        </is>
      </c>
      <c r="F470" s="3" t="inlineStr">
        <is>
          <t xml:space="preserve">단일판매ㆍ공급계약체결              </t>
        </is>
      </c>
      <c r="G470" s="7" t="inlineStr">
        <is>
          <t>범천4구역 주택재개발정비사업</t>
        </is>
      </c>
      <c r="H470" s="2" t="inlineStr">
        <is>
          <t>-</t>
        </is>
      </c>
      <c r="I470" s="2" t="inlineStr">
        <is>
          <t>-</t>
        </is>
      </c>
      <c r="J470" s="5" t="n">
        <v>853142656380</v>
      </c>
      <c r="K470" s="2" t="inlineStr">
        <is>
          <t>-</t>
        </is>
      </c>
      <c r="L470" s="13" t="n">
        <v>2.7</v>
      </c>
      <c r="M470" s="7" t="inlineStr">
        <is>
          <t>범천4구역 주택재개발정비사업조합</t>
        </is>
      </c>
      <c r="N470" s="2" t="inlineStr">
        <is>
          <t>20260623800109</t>
        </is>
      </c>
      <c r="O470" s="8">
        <f>HYPERLINK("https://dart.fss.or.kr/dsaf001/main.do?rcpNo=20260623800109", "공시열람")</f>
        <v/>
      </c>
    </row>
    <row r="471" ht="36" customHeight="1">
      <c r="A471" s="2" t="inlineStr">
        <is>
          <t>2026-06-24</t>
        </is>
      </c>
      <c r="B471" s="3" t="inlineStr">
        <is>
          <t>워트</t>
        </is>
      </c>
      <c r="C471" s="2" t="inlineStr">
        <is>
          <t>코스닥</t>
        </is>
      </c>
      <c r="D471" s="2" t="inlineStr">
        <is>
          <t>396470</t>
        </is>
      </c>
      <c r="E471" s="2" t="inlineStr">
        <is>
          <t>단일판매공급계약체결</t>
        </is>
      </c>
      <c r="F471" s="3" t="inlineStr">
        <is>
          <t xml:space="preserve">단일판매ㆍ공급계약체결(자율공시)              </t>
        </is>
      </c>
      <c r="G471" s="7" t="inlineStr">
        <is>
          <t>초정밀항온항습제어장치(THC)</t>
        </is>
      </c>
      <c r="H471" s="2" t="inlineStr">
        <is>
          <t>2026-06-24</t>
        </is>
      </c>
      <c r="I471" s="2" t="inlineStr">
        <is>
          <t>2027-04-07</t>
        </is>
      </c>
      <c r="J471" s="5" t="n">
        <v>857428800</v>
      </c>
      <c r="K471" s="2" t="inlineStr">
        <is>
          <t>-</t>
        </is>
      </c>
      <c r="L471" s="13" t="n">
        <v>5.65</v>
      </c>
      <c r="M471" s="7" t="inlineStr">
        <is>
          <t>삼성전자</t>
        </is>
      </c>
      <c r="N471" s="2" t="inlineStr">
        <is>
          <t>20260624900961</t>
        </is>
      </c>
      <c r="O471" s="8">
        <f>HYPERLINK("https://dart.fss.or.kr/dsaf001/main.do?rcpNo=20260624900961", "공시열람")</f>
        <v/>
      </c>
    </row>
    <row r="472" ht="36" customHeight="1">
      <c r="A472" s="2" t="inlineStr">
        <is>
          <t>2026-06-24</t>
        </is>
      </c>
      <c r="B472" s="3" t="inlineStr">
        <is>
          <t>서호전기</t>
        </is>
      </c>
      <c r="C472" s="2" t="inlineStr">
        <is>
          <t>코스닥</t>
        </is>
      </c>
      <c r="D472" s="2" t="inlineStr">
        <is>
          <t>065710</t>
        </is>
      </c>
      <c r="E472" s="2" t="inlineStr">
        <is>
          <t>단일판매공급계약체결</t>
        </is>
      </c>
      <c r="F472" s="3" t="inlineStr">
        <is>
          <t xml:space="preserve">단일판매ㆍ공급계약체결              </t>
        </is>
      </c>
      <c r="G472" s="7" t="inlineStr">
        <is>
          <t>ELECTRICAL CONTROL SYSTEM FOR CRANE(크레인 제어 시스템)</t>
        </is>
      </c>
      <c r="H472" s="2" t="inlineStr">
        <is>
          <t>2026-06-24</t>
        </is>
      </c>
      <c r="I472" s="2" t="inlineStr">
        <is>
          <t>2028-02-20</t>
        </is>
      </c>
      <c r="J472" s="5" t="n">
        <v>107871472800</v>
      </c>
      <c r="K472" s="2" t="inlineStr">
        <is>
          <t>-</t>
        </is>
      </c>
      <c r="L472" s="13" t="n">
        <v>92.5</v>
      </c>
      <c r="M472" s="7" t="inlineStr">
        <is>
          <t>SHANGHAI ZHENHUA HEAVY INDUSTRIES CO., LTD.</t>
        </is>
      </c>
      <c r="N472" s="2" t="inlineStr">
        <is>
          <t>20260624900828</t>
        </is>
      </c>
      <c r="O472" s="8">
        <f>HYPERLINK("https://dart.fss.or.kr/dsaf001/main.do?rcpNo=20260624900828", "공시열람")</f>
        <v/>
      </c>
    </row>
    <row r="473" ht="36" customHeight="1">
      <c r="A473" s="2" t="inlineStr">
        <is>
          <t>2024-07-01 (정정: 2026-06-24)</t>
        </is>
      </c>
      <c r="B473" s="3" t="inlineStr">
        <is>
          <t>솔디펜스</t>
        </is>
      </c>
      <c r="C473" s="2" t="inlineStr">
        <is>
          <t>코스닥</t>
        </is>
      </c>
      <c r="D473" s="2" t="inlineStr">
        <is>
          <t>215090</t>
        </is>
      </c>
      <c r="E473" s="2" t="inlineStr">
        <is>
          <t>단일판매공급계약체결</t>
        </is>
      </c>
      <c r="F473" s="3" t="inlineStr">
        <is>
          <t xml:space="preserve">[기재정정]단일판매ㆍ공급계약체결              </t>
        </is>
      </c>
      <c r="G473" s="7" t="inlineStr">
        <is>
          <t>자주도하사업</t>
        </is>
      </c>
      <c r="H473" s="2" t="inlineStr">
        <is>
          <t>2024-07-01</t>
        </is>
      </c>
      <c r="I473" s="2" t="inlineStr">
        <is>
          <t>2027-06-05</t>
        </is>
      </c>
      <c r="J473" s="5" t="n">
        <v>3193863000</v>
      </c>
      <c r="K473" s="2" t="inlineStr">
        <is>
          <t>-</t>
        </is>
      </c>
      <c r="L473" s="13" t="n">
        <v>19.65</v>
      </c>
      <c r="M473" s="7" t="inlineStr">
        <is>
          <t>한화에어로스페이스(주)</t>
        </is>
      </c>
      <c r="N473" s="2" t="inlineStr">
        <is>
          <t>20260624900830</t>
        </is>
      </c>
      <c r="O473" s="8">
        <f>HYPERLINK("https://dart.fss.or.kr/dsaf001/main.do?rcpNo=20260624900830", "공시열람")</f>
        <v/>
      </c>
    </row>
    <row r="474" ht="36" customHeight="1">
      <c r="A474" s="2" t="inlineStr">
        <is>
          <t>2026-06-24</t>
        </is>
      </c>
      <c r="B474" s="3" t="inlineStr">
        <is>
          <t>원티드랩</t>
        </is>
      </c>
      <c r="C474" s="2" t="inlineStr">
        <is>
          <t>코스닥</t>
        </is>
      </c>
      <c r="D474" s="2" t="inlineStr">
        <is>
          <t>376980</t>
        </is>
      </c>
      <c r="E474" s="2" t="inlineStr">
        <is>
          <t>단일판매공급계약체결</t>
        </is>
      </c>
      <c r="F474" s="3" t="inlineStr">
        <is>
          <t xml:space="preserve">유동성공급계약의체결              </t>
        </is>
      </c>
      <c r="G474" s="7" t="inlineStr">
        <is>
          <t>-</t>
        </is>
      </c>
      <c r="H474" s="2" t="inlineStr">
        <is>
          <t>2026-06-29</t>
        </is>
      </c>
      <c r="I474" s="2" t="inlineStr">
        <is>
          <t>2026-12-28</t>
        </is>
      </c>
      <c r="J474" s="5" t="inlineStr"/>
      <c r="K474" s="2" t="inlineStr">
        <is>
          <t>-</t>
        </is>
      </c>
      <c r="L474" s="3" t="inlineStr"/>
      <c r="M474" s="7" t="inlineStr">
        <is>
          <t>-</t>
        </is>
      </c>
      <c r="N474" s="2" t="inlineStr">
        <is>
          <t>20260624900815</t>
        </is>
      </c>
      <c r="O474" s="8">
        <f>HYPERLINK("https://dart.fss.or.kr/dsaf001/main.do?rcpNo=20260624900815", "공시열람")</f>
        <v/>
      </c>
    </row>
    <row r="475" ht="36" customHeight="1">
      <c r="A475" s="2" t="inlineStr">
        <is>
          <t>2026-06-24</t>
        </is>
      </c>
      <c r="B475" s="3" t="inlineStr">
        <is>
          <t>HEM파마</t>
        </is>
      </c>
      <c r="C475" s="2" t="inlineStr">
        <is>
          <t>코스닥</t>
        </is>
      </c>
      <c r="D475" s="2" t="inlineStr">
        <is>
          <t>376270</t>
        </is>
      </c>
      <c r="E475" s="2" t="inlineStr">
        <is>
          <t>단일판매공급계약체결</t>
        </is>
      </c>
      <c r="F475" s="3" t="inlineStr">
        <is>
          <t xml:space="preserve">단일판매ㆍ공급계약체결              </t>
        </is>
      </c>
      <c r="G475" s="7" t="inlineStr">
        <is>
          <t>신규 프로바이오틱스 제품</t>
        </is>
      </c>
      <c r="H475" s="2" t="inlineStr">
        <is>
          <t>2026-06-23</t>
        </is>
      </c>
      <c r="I475" s="2" t="inlineStr">
        <is>
          <t>2026-10-09</t>
        </is>
      </c>
      <c r="J475" s="5" t="n">
        <v>4634589030</v>
      </c>
      <c r="K475" s="2" t="inlineStr">
        <is>
          <t>-</t>
        </is>
      </c>
      <c r="L475" s="13" t="n">
        <v>35.71</v>
      </c>
      <c r="M475" s="7" t="inlineStr">
        <is>
          <t>access business group</t>
        </is>
      </c>
      <c r="N475" s="2" t="inlineStr">
        <is>
          <t>20260624900759</t>
        </is>
      </c>
      <c r="O475" s="8">
        <f>HYPERLINK("https://dart.fss.or.kr/dsaf001/main.do?rcpNo=20260624900759", "공시열람")</f>
        <v/>
      </c>
    </row>
    <row r="476" ht="36" customHeight="1">
      <c r="A476" s="2" t="inlineStr">
        <is>
          <t>2026-06-24</t>
        </is>
      </c>
      <c r="B476" s="3" t="inlineStr">
        <is>
          <t>나노실리칸첨단소재</t>
        </is>
      </c>
      <c r="C476" s="2" t="inlineStr">
        <is>
          <t>코스닥</t>
        </is>
      </c>
      <c r="D476" s="2" t="inlineStr">
        <is>
          <t>286750</t>
        </is>
      </c>
      <c r="E476" s="2" t="inlineStr">
        <is>
          <t>단일판매공급계약체결</t>
        </is>
      </c>
      <c r="F476" s="3" t="inlineStr">
        <is>
          <t xml:space="preserve">[기재정정]단일판매ㆍ공급계약체결              </t>
        </is>
      </c>
      <c r="G476" s="7" t="inlineStr">
        <is>
          <t>위조방지 보안제품 물품공급</t>
        </is>
      </c>
      <c r="H476" s="2" t="inlineStr">
        <is>
          <t>2025-11-26</t>
        </is>
      </c>
      <c r="I476" s="2" t="inlineStr">
        <is>
          <t>2026-06-30</t>
        </is>
      </c>
      <c r="J476" s="5" t="n">
        <v>1547175000</v>
      </c>
      <c r="K476" s="2" t="inlineStr">
        <is>
          <t>-</t>
        </is>
      </c>
      <c r="L476" s="13" t="n">
        <v>29.31</v>
      </c>
      <c r="M476" s="7" t="inlineStr">
        <is>
          <t>중동 정부 의약품 보안솔루션 공급기업</t>
        </is>
      </c>
      <c r="N476" s="2" t="inlineStr">
        <is>
          <t>20260624900601</t>
        </is>
      </c>
      <c r="O476" s="8">
        <f>HYPERLINK("https://dart.fss.or.kr/dsaf001/main.do?rcpNo=20260624900601", "공시열람")</f>
        <v/>
      </c>
    </row>
    <row r="477" ht="36" customHeight="1">
      <c r="A477" s="2" t="inlineStr">
        <is>
          <t>2026-03-25 (정정: 2026-06-24)</t>
        </is>
      </c>
      <c r="B477" s="3" t="inlineStr">
        <is>
          <t>세명전기</t>
        </is>
      </c>
      <c r="C477" s="2" t="inlineStr">
        <is>
          <t>코스닥</t>
        </is>
      </c>
      <c r="D477" s="2" t="inlineStr">
        <is>
          <t>017510</t>
        </is>
      </c>
      <c r="E477" s="2" t="inlineStr">
        <is>
          <t>단일판매공급계약체결</t>
        </is>
      </c>
      <c r="F477" s="3" t="inlineStr">
        <is>
          <t xml:space="preserve">[기재정정]단일판매ㆍ공급계약체결              </t>
        </is>
      </c>
      <c r="G477" s="7" t="inlineStr">
        <is>
          <t>HVDC 애자 및 전선금구류 동해안~신가평(3공구)</t>
        </is>
      </c>
      <c r="H477" s="2" t="inlineStr">
        <is>
          <t>2025-03-19</t>
        </is>
      </c>
      <c r="I477" s="2" t="inlineStr">
        <is>
          <t>2026-08-31</t>
        </is>
      </c>
      <c r="J477" s="5" t="n">
        <v>7370946630</v>
      </c>
      <c r="K477" s="2" t="inlineStr">
        <is>
          <t>-</t>
        </is>
      </c>
      <c r="L477" s="13" t="n">
        <v>62.3</v>
      </c>
      <c r="M477" s="7" t="inlineStr">
        <is>
          <t>한국전기공업협동조합</t>
        </is>
      </c>
      <c r="N477" s="2" t="inlineStr">
        <is>
          <t>20260624900531</t>
        </is>
      </c>
      <c r="O477" s="8">
        <f>HYPERLINK("https://dart.fss.or.kr/dsaf001/main.do?rcpNo=20260624900531", "공시열람")</f>
        <v/>
      </c>
    </row>
    <row r="478" ht="36" customHeight="1">
      <c r="A478" s="2" t="inlineStr">
        <is>
          <t>2026-06-24</t>
        </is>
      </c>
      <c r="B478" s="3" t="inlineStr">
        <is>
          <t>영우디에스피</t>
        </is>
      </c>
      <c r="C478" s="2" t="inlineStr">
        <is>
          <t>코스닥</t>
        </is>
      </c>
      <c r="D478" s="2" t="inlineStr">
        <is>
          <t>143540</t>
        </is>
      </c>
      <c r="E478" s="2" t="inlineStr">
        <is>
          <t>단일판매공급계약체결</t>
        </is>
      </c>
      <c r="F478" s="3" t="inlineStr">
        <is>
          <t xml:space="preserve">단일판매ㆍ공급계약체결(자율공시)              </t>
        </is>
      </c>
      <c r="G478" s="7" t="inlineStr">
        <is>
          <t>스마트 로봇 이송 시스템</t>
        </is>
      </c>
      <c r="H478" s="2" t="inlineStr">
        <is>
          <t>2026-06-23</t>
        </is>
      </c>
      <c r="I478" s="2" t="inlineStr">
        <is>
          <t>2027-03-31</t>
        </is>
      </c>
      <c r="J478" s="5" t="n">
        <v>5450000000</v>
      </c>
      <c r="K478" s="2" t="inlineStr">
        <is>
          <t>-</t>
        </is>
      </c>
      <c r="L478" s="13" t="n">
        <v>6.77</v>
      </c>
      <c r="M478" s="7" t="inlineStr">
        <is>
          <t>(주)제이에스</t>
        </is>
      </c>
      <c r="N478" s="2" t="inlineStr">
        <is>
          <t>20260624900525</t>
        </is>
      </c>
      <c r="O478" s="8">
        <f>HYPERLINK("https://dart.fss.or.kr/dsaf001/main.do?rcpNo=20260624900525", "공시열람")</f>
        <v/>
      </c>
    </row>
    <row r="479" ht="36" customHeight="1">
      <c r="A479" s="2" t="inlineStr">
        <is>
          <t>2026-06-24</t>
        </is>
      </c>
      <c r="B479" s="3" t="inlineStr">
        <is>
          <t>시공테크</t>
        </is>
      </c>
      <c r="C479" s="2" t="inlineStr">
        <is>
          <t>코스닥</t>
        </is>
      </c>
      <c r="D479" s="2" t="inlineStr">
        <is>
          <t>020710</t>
        </is>
      </c>
      <c r="E479" s="2" t="inlineStr">
        <is>
          <t>단일판매공급계약체결</t>
        </is>
      </c>
      <c r="F479" s="3" t="inlineStr">
        <is>
          <t xml:space="preserve">단일판매ㆍ공급계약체결(자율공시)              </t>
        </is>
      </c>
      <c r="G479" s="7" t="inlineStr">
        <is>
          <t>2027 베오그라드엑스포 한국관</t>
        </is>
      </c>
      <c r="H479" s="2" t="inlineStr">
        <is>
          <t>2026-06-23</t>
        </is>
      </c>
      <c r="I479" s="2" t="inlineStr">
        <is>
          <t>2027-11-30</t>
        </is>
      </c>
      <c r="J479" s="5" t="n">
        <v>8836198182</v>
      </c>
      <c r="K479" s="2" t="inlineStr">
        <is>
          <t>-</t>
        </is>
      </c>
      <c r="L479" s="13" t="n">
        <v>5.2</v>
      </c>
      <c r="M479" s="7" t="inlineStr">
        <is>
          <t>대한무역투자진흥공사</t>
        </is>
      </c>
      <c r="N479" s="2" t="inlineStr">
        <is>
          <t>20260624900495</t>
        </is>
      </c>
      <c r="O479" s="8">
        <f>HYPERLINK("https://dart.fss.or.kr/dsaf001/main.do?rcpNo=20260624900495", "공시열람")</f>
        <v/>
      </c>
    </row>
    <row r="480" ht="36" customHeight="1">
      <c r="A480" s="2" t="inlineStr">
        <is>
          <t>2026-06-24</t>
        </is>
      </c>
      <c r="B480" s="3" t="inlineStr">
        <is>
          <t>씨메스로보틱스</t>
        </is>
      </c>
      <c r="C480" s="2" t="inlineStr">
        <is>
          <t>코스닥</t>
        </is>
      </c>
      <c r="D480" s="2" t="inlineStr">
        <is>
          <t>475400</t>
        </is>
      </c>
      <c r="E480" s="2" t="inlineStr">
        <is>
          <t>단일판매공급계약체결</t>
        </is>
      </c>
      <c r="F480" s="3" t="inlineStr">
        <is>
          <t xml:space="preserve">단일판매ㆍ공급계약체결              </t>
        </is>
      </c>
      <c r="G480" s="7" t="inlineStr">
        <is>
          <t>전극_코터_절연두께측정기</t>
        </is>
      </c>
      <c r="H480" s="2" t="inlineStr">
        <is>
          <t>2026-06-23</t>
        </is>
      </c>
      <c r="I480" s="2" t="inlineStr">
        <is>
          <t>2028-08-31</t>
        </is>
      </c>
      <c r="J480" s="5" t="n">
        <v>1398489812</v>
      </c>
      <c r="K480" s="2" t="inlineStr">
        <is>
          <t>-</t>
        </is>
      </c>
      <c r="L480" s="13" t="n">
        <v>10.71</v>
      </c>
      <c r="M480" s="7" t="inlineStr">
        <is>
          <t>LG Energy Solution Arizona, Inc.</t>
        </is>
      </c>
      <c r="N480" s="2" t="inlineStr">
        <is>
          <t>20260624900397</t>
        </is>
      </c>
      <c r="O480" s="8">
        <f>HYPERLINK("https://dart.fss.or.kr/dsaf001/main.do?rcpNo=20260624900397", "공시열람")</f>
        <v/>
      </c>
    </row>
    <row r="481" ht="36" customHeight="1">
      <c r="A481" s="2" t="inlineStr">
        <is>
          <t>2026-06-24</t>
        </is>
      </c>
      <c r="B481" s="3" t="inlineStr">
        <is>
          <t>유엑스엔</t>
        </is>
      </c>
      <c r="C481" s="2" t="inlineStr">
        <is>
          <t>코넥스</t>
        </is>
      </c>
      <c r="D481" s="2" t="inlineStr">
        <is>
          <t>337840</t>
        </is>
      </c>
      <c r="E481" s="2" t="inlineStr">
        <is>
          <t>기타</t>
        </is>
      </c>
      <c r="F481" s="3" t="inlineStr">
        <is>
          <t>특허권취득(자율공시)              (제1 전극 및 제2 전극을 포함하는 연속식 분석물 측정기)</t>
        </is>
      </c>
      <c r="G481" s="7" t="inlineStr">
        <is>
          <t>-</t>
        </is>
      </c>
      <c r="H481" s="2" t="inlineStr">
        <is>
          <t>-</t>
        </is>
      </c>
      <c r="I481" s="2" t="inlineStr">
        <is>
          <t>-</t>
        </is>
      </c>
      <c r="J481" s="5" t="inlineStr"/>
      <c r="K481" s="2" t="inlineStr">
        <is>
          <t>-</t>
        </is>
      </c>
      <c r="L481" s="3" t="inlineStr"/>
      <c r="M481" s="7" t="inlineStr">
        <is>
          <t>-</t>
        </is>
      </c>
      <c r="N481" s="2" t="inlineStr">
        <is>
          <t>20260624600370</t>
        </is>
      </c>
      <c r="O481" s="8">
        <f>HYPERLINK("https://dart.fss.or.kr/dsaf001/main.do?rcpNo=20260624600370", "공시열람")</f>
        <v/>
      </c>
    </row>
    <row r="482" ht="36" customHeight="1">
      <c r="A482" s="2" t="inlineStr">
        <is>
          <t>2025-08-25 (정정: 2026-06-25)</t>
        </is>
      </c>
      <c r="B482" s="3" t="inlineStr">
        <is>
          <t>아시아나IDT</t>
        </is>
      </c>
      <c r="C482" s="2" t="inlineStr">
        <is>
          <t>코스피</t>
        </is>
      </c>
      <c r="D482" s="2" t="inlineStr">
        <is>
          <t>267850</t>
        </is>
      </c>
      <c r="E482" s="2" t="inlineStr">
        <is>
          <t>단일판매공급계약체결</t>
        </is>
      </c>
      <c r="F482" s="3" t="inlineStr">
        <is>
          <t xml:space="preserve">[기재정정]단일판매ㆍ공급계약체결              </t>
        </is>
      </c>
      <c r="G482" s="7" t="inlineStr">
        <is>
          <t>소프트웨어 통합 유지보수 계약</t>
        </is>
      </c>
      <c r="H482" s="2" t="inlineStr">
        <is>
          <t>2023-07-20</t>
        </is>
      </c>
      <c r="I482" s="2" t="inlineStr">
        <is>
          <t>2026-08-31</t>
        </is>
      </c>
      <c r="J482" s="5" t="n">
        <v>14491993690</v>
      </c>
      <c r="K482" s="2" t="inlineStr">
        <is>
          <t>-</t>
        </is>
      </c>
      <c r="L482" s="13" t="n">
        <v>7.99</v>
      </c>
      <c r="M482" s="7" t="inlineStr">
        <is>
          <t>신한라이프생명보험(주) (Shinhan Life Insurance Co.,Ltd)</t>
        </is>
      </c>
      <c r="N482" s="2" t="inlineStr">
        <is>
          <t>20260625800851</t>
        </is>
      </c>
      <c r="O482" s="8">
        <f>HYPERLINK("https://dart.fss.or.kr/dsaf001/main.do?rcpNo=20260625800851", "공시열람")</f>
        <v/>
      </c>
    </row>
    <row r="483" ht="36" customHeight="1">
      <c r="A483" s="2" t="inlineStr">
        <is>
          <t>2026-06-25</t>
        </is>
      </c>
      <c r="B483" s="3" t="inlineStr">
        <is>
          <t>케이쓰리아이</t>
        </is>
      </c>
      <c r="C483" s="2" t="inlineStr">
        <is>
          <t>코스닥</t>
        </is>
      </c>
      <c r="D483" s="2" t="inlineStr">
        <is>
          <t>431190</t>
        </is>
      </c>
      <c r="E483" s="2" t="inlineStr">
        <is>
          <t>단일판매공급계약체결</t>
        </is>
      </c>
      <c r="F483" s="3" t="inlineStr">
        <is>
          <t xml:space="preserve">단일판매ㆍ공급계약체결(자율공시)              </t>
        </is>
      </c>
      <c r="G483" s="7" t="inlineStr">
        <is>
          <t>2026년도 가상훈련 콘텐츠 개발(전기전자 외 기타분야)</t>
        </is>
      </c>
      <c r="H483" s="2" t="inlineStr">
        <is>
          <t>2026-06-25</t>
        </is>
      </c>
      <c r="I483" s="2" t="inlineStr">
        <is>
          <t>2027-01-31</t>
        </is>
      </c>
      <c r="J483" s="5" t="n">
        <v>1474163637</v>
      </c>
      <c r="K483" s="2" t="inlineStr">
        <is>
          <t>-</t>
        </is>
      </c>
      <c r="L483" s="13" t="n">
        <v>8.859999999999999</v>
      </c>
      <c r="M483" s="7" t="inlineStr">
        <is>
          <t>한국기술교육대학교</t>
        </is>
      </c>
      <c r="N483" s="2" t="inlineStr">
        <is>
          <t>20260625900803</t>
        </is>
      </c>
      <c r="O483" s="8">
        <f>HYPERLINK("https://dart.fss.or.kr/dsaf001/main.do?rcpNo=20260625900803", "공시열람")</f>
        <v/>
      </c>
    </row>
    <row r="484" ht="36" customHeight="1">
      <c r="A484" s="2" t="inlineStr">
        <is>
          <t>2025-09-05 (정정: 2026-06-25)</t>
        </is>
      </c>
      <c r="B484" s="3" t="inlineStr">
        <is>
          <t>E8</t>
        </is>
      </c>
      <c r="C484" s="2" t="inlineStr">
        <is>
          <t>코스닥</t>
        </is>
      </c>
      <c r="D484" s="2" t="inlineStr">
        <is>
          <t>418620</t>
        </is>
      </c>
      <c r="E484" s="2" t="inlineStr">
        <is>
          <t>단일판매공급계약체결</t>
        </is>
      </c>
      <c r="F484" s="3" t="inlineStr">
        <is>
          <t xml:space="preserve">[기재정정]단일판매ㆍ공급계약체결              </t>
        </is>
      </c>
      <c r="G484" s="7" t="inlineStr">
        <is>
          <t>디지털트윈 상품 개발 공급</t>
        </is>
      </c>
      <c r="H484" s="2" t="inlineStr">
        <is>
          <t>2025-09-05</t>
        </is>
      </c>
      <c r="I484" s="2" t="inlineStr">
        <is>
          <t>2026-07-31</t>
        </is>
      </c>
      <c r="J484" s="5" t="n">
        <v>811823000</v>
      </c>
      <c r="K484" s="2" t="inlineStr">
        <is>
          <t>-</t>
        </is>
      </c>
      <c r="L484" s="13" t="n">
        <v>35.52</v>
      </c>
      <c r="M484" s="7" t="inlineStr">
        <is>
          <t>삼성전자 주식회사</t>
        </is>
      </c>
      <c r="N484" s="2" t="inlineStr">
        <is>
          <t>20260625900798</t>
        </is>
      </c>
      <c r="O484" s="8">
        <f>HYPERLINK("https://dart.fss.or.kr/dsaf001/main.do?rcpNo=20260625900798", "공시열람")</f>
        <v/>
      </c>
    </row>
    <row r="485" ht="36" customHeight="1">
      <c r="A485" s="2" t="inlineStr">
        <is>
          <t>2026-06-25</t>
        </is>
      </c>
      <c r="B485" s="3" t="inlineStr">
        <is>
          <t>핸디소프트</t>
        </is>
      </c>
      <c r="C485" s="2" t="inlineStr">
        <is>
          <t>코스닥</t>
        </is>
      </c>
      <c r="D485" s="2" t="inlineStr">
        <is>
          <t>220180</t>
        </is>
      </c>
      <c r="E485" s="2" t="inlineStr">
        <is>
          <t>단일판매공급계약체결</t>
        </is>
      </c>
      <c r="F485" s="3" t="inlineStr">
        <is>
          <t xml:space="preserve">[기재정정]단일판매ㆍ공급계약체결              </t>
        </is>
      </c>
      <c r="G485" s="7" t="inlineStr">
        <is>
          <t>그룹웨어 및 전자문서 시스템 재구축</t>
        </is>
      </c>
      <c r="H485" s="2" t="inlineStr">
        <is>
          <t>2024-09-26</t>
        </is>
      </c>
      <c r="I485" s="2" t="inlineStr">
        <is>
          <t>2026-06-29</t>
        </is>
      </c>
      <c r="J485" s="5" t="n">
        <v>8924651364</v>
      </c>
      <c r="K485" s="2" t="inlineStr">
        <is>
          <t>-</t>
        </is>
      </c>
      <c r="L485" s="13" t="n">
        <v>34.16</v>
      </c>
      <c r="M485" s="7" t="inlineStr">
        <is>
          <t>한국자산관리공사</t>
        </is>
      </c>
      <c r="N485" s="2" t="inlineStr">
        <is>
          <t>20260625900771</t>
        </is>
      </c>
      <c r="O485" s="8">
        <f>HYPERLINK("https://dart.fss.or.kr/dsaf001/main.do?rcpNo=20260625900771", "공시열람")</f>
        <v/>
      </c>
    </row>
    <row r="486" ht="36" customHeight="1">
      <c r="A486" s="2" t="inlineStr">
        <is>
          <t>2026-06-25</t>
        </is>
      </c>
      <c r="B486" s="3" t="inlineStr">
        <is>
          <t>신세계I&amp;C</t>
        </is>
      </c>
      <c r="C486" s="2" t="inlineStr">
        <is>
          <t>코스피</t>
        </is>
      </c>
      <c r="D486" s="2" t="inlineStr">
        <is>
          <t>035510</t>
        </is>
      </c>
      <c r="E486" s="2" t="inlineStr">
        <is>
          <t>단일판매공급계약체결</t>
        </is>
      </c>
      <c r="F486" s="3" t="inlineStr">
        <is>
          <t xml:space="preserve">단일판매ㆍ공급계약체결              </t>
        </is>
      </c>
      <c r="G486" s="7" t="inlineStr">
        <is>
          <t>스타필드청라 정보통신공사</t>
        </is>
      </c>
      <c r="H486" s="2" t="inlineStr">
        <is>
          <t>2025-06-02</t>
        </is>
      </c>
      <c r="I486" s="2" t="inlineStr">
        <is>
          <t>2027-12-31</t>
        </is>
      </c>
      <c r="J486" s="5" t="n">
        <v>52860000000</v>
      </c>
      <c r="K486" s="2" t="inlineStr">
        <is>
          <t>-</t>
        </is>
      </c>
      <c r="L486" s="13" t="n">
        <v>7.69</v>
      </c>
      <c r="M486" s="7" t="inlineStr">
        <is>
          <t>(주)스타필드청라</t>
        </is>
      </c>
      <c r="N486" s="2" t="inlineStr">
        <is>
          <t>20260625800731</t>
        </is>
      </c>
      <c r="O486" s="8">
        <f>HYPERLINK("https://dart.fss.or.kr/dsaf001/main.do?rcpNo=20260625800731", "공시열람")</f>
        <v/>
      </c>
    </row>
    <row r="487" ht="36" customHeight="1">
      <c r="A487" s="2" t="inlineStr">
        <is>
          <t>2026-06-25</t>
        </is>
      </c>
      <c r="B487" s="3" t="inlineStr">
        <is>
          <t>삼호개발</t>
        </is>
      </c>
      <c r="C487" s="2" t="inlineStr">
        <is>
          <t>코스피</t>
        </is>
      </c>
      <c r="D487" s="2" t="inlineStr">
        <is>
          <t>010960</t>
        </is>
      </c>
      <c r="E487" s="2" t="inlineStr">
        <is>
          <t>단일판매공급계약체결</t>
        </is>
      </c>
      <c r="F487" s="3" t="inlineStr">
        <is>
          <t xml:space="preserve">단일판매ㆍ공급계약체결              </t>
        </is>
      </c>
      <c r="G487" s="7" t="inlineStr">
        <is>
          <t>함양-창녕간 고속도로 건설공사 제7공구</t>
        </is>
      </c>
      <c r="H487" s="2" t="inlineStr">
        <is>
          <t>2025-05-01</t>
        </is>
      </c>
      <c r="I487" s="2" t="inlineStr">
        <is>
          <t>2026-12-31</t>
        </is>
      </c>
      <c r="J487" s="5" t="n">
        <v>27693000000</v>
      </c>
      <c r="K487" s="2" t="inlineStr">
        <is>
          <t>-</t>
        </is>
      </c>
      <c r="L487" s="13" t="n">
        <v>6.89</v>
      </c>
      <c r="M487" s="7" t="inlineStr">
        <is>
          <t>두산에너빌리티(주)</t>
        </is>
      </c>
      <c r="N487" s="2" t="inlineStr">
        <is>
          <t>20260625800691</t>
        </is>
      </c>
      <c r="O487" s="8">
        <f>HYPERLINK("https://dart.fss.or.kr/dsaf001/main.do?rcpNo=20260625800691", "공시열람")</f>
        <v/>
      </c>
    </row>
    <row r="488" ht="36" customHeight="1">
      <c r="A488" s="2" t="inlineStr">
        <is>
          <t>2026-06-25</t>
        </is>
      </c>
      <c r="B488" s="3" t="inlineStr">
        <is>
          <t>현대로템</t>
        </is>
      </c>
      <c r="C488" s="2" t="inlineStr">
        <is>
          <t>코스피</t>
        </is>
      </c>
      <c r="D488" s="2" t="inlineStr">
        <is>
          <t>064350</t>
        </is>
      </c>
      <c r="E488" s="2" t="inlineStr">
        <is>
          <t>단일판매공급계약체결</t>
        </is>
      </c>
      <c r="F488" s="3" t="inlineStr">
        <is>
          <t xml:space="preserve">단일판매ㆍ공급계약체결              </t>
        </is>
      </c>
      <c r="G488" s="7" t="inlineStr">
        <is>
          <t>K-1중구난차량,K-1교량전차 외주정비</t>
        </is>
      </c>
      <c r="H488" s="2" t="inlineStr">
        <is>
          <t>2026-06-25</t>
        </is>
      </c>
      <c r="I488" s="2" t="inlineStr">
        <is>
          <t>2029-12-14</t>
        </is>
      </c>
      <c r="J488" s="5" t="n">
        <v>198523000000</v>
      </c>
      <c r="K488" s="2" t="inlineStr">
        <is>
          <t>-</t>
        </is>
      </c>
      <c r="L488" s="13" t="n">
        <v>3.4</v>
      </c>
      <c r="M488" s="7" t="inlineStr">
        <is>
          <t>방위사업청(Defense Acquisition Program Administation)</t>
        </is>
      </c>
      <c r="N488" s="2" t="inlineStr">
        <is>
          <t>20260625800570</t>
        </is>
      </c>
      <c r="O488" s="8">
        <f>HYPERLINK("https://dart.fss.or.kr/dsaf001/main.do?rcpNo=20260625800570", "공시열람")</f>
        <v/>
      </c>
    </row>
    <row r="489" ht="36" customHeight="1">
      <c r="A489" s="2" t="inlineStr">
        <is>
          <t>2026-06-25</t>
        </is>
      </c>
      <c r="B489" s="3" t="inlineStr">
        <is>
          <t>대우건설</t>
        </is>
      </c>
      <c r="C489" s="2" t="inlineStr">
        <is>
          <t>코스피</t>
        </is>
      </c>
      <c r="D489" s="2" t="inlineStr">
        <is>
          <t>047040</t>
        </is>
      </c>
      <c r="E489" s="2" t="inlineStr">
        <is>
          <t>단일판매공급계약체결</t>
        </is>
      </c>
      <c r="F489" s="3" t="inlineStr">
        <is>
          <t xml:space="preserve">단일판매ㆍ공급계약체결              </t>
        </is>
      </c>
      <c r="G489" s="7" t="inlineStr">
        <is>
          <t>22-대미-독신숙소 4단계 시설공사(5002)</t>
        </is>
      </c>
      <c r="H489" s="2" t="inlineStr">
        <is>
          <t>2022-11-07</t>
        </is>
      </c>
      <c r="I489" s="2" t="inlineStr">
        <is>
          <t>2026-09-09</t>
        </is>
      </c>
      <c r="J489" s="5" t="n">
        <v>222875104500</v>
      </c>
      <c r="K489" s="2" t="inlineStr">
        <is>
          <t>-</t>
        </is>
      </c>
      <c r="L489" s="13" t="n">
        <v>2.77</v>
      </c>
      <c r="M489" s="7" t="inlineStr">
        <is>
          <t>국군재정관리단</t>
        </is>
      </c>
      <c r="N489" s="2" t="inlineStr">
        <is>
          <t>20260625800507</t>
        </is>
      </c>
      <c r="O489" s="8">
        <f>HYPERLINK("https://dart.fss.or.kr/dsaf001/main.do?rcpNo=20260625800507", "공시열람")</f>
        <v/>
      </c>
    </row>
    <row r="490" ht="36" customHeight="1">
      <c r="A490" s="2" t="inlineStr">
        <is>
          <t>2026-06-25</t>
        </is>
      </c>
      <c r="B490" s="3" t="inlineStr">
        <is>
          <t>KCC건설</t>
        </is>
      </c>
      <c r="C490" s="2" t="inlineStr">
        <is>
          <t>코스닥</t>
        </is>
      </c>
      <c r="D490" s="2" t="inlineStr">
        <is>
          <t>021320</t>
        </is>
      </c>
      <c r="E490" s="2" t="inlineStr">
        <is>
          <t>단일판매공급계약체결</t>
        </is>
      </c>
      <c r="F490" s="3" t="inlineStr">
        <is>
          <t xml:space="preserve">[기재정정]단일판매ㆍ공급계약체결(자율공시)              </t>
        </is>
      </c>
      <c r="G490" s="7" t="inlineStr">
        <is>
          <t>진접선(4호선연장)차량기지 1공구(인입선) 건설공사</t>
        </is>
      </c>
      <c r="H490" s="2" t="inlineStr">
        <is>
          <t>2018-12-31</t>
        </is>
      </c>
      <c r="I490" s="2" t="inlineStr">
        <is>
          <t>2026-07-31</t>
        </is>
      </c>
      <c r="J490" s="5" t="n">
        <v>114060000000</v>
      </c>
      <c r="K490" s="2" t="inlineStr">
        <is>
          <t>-</t>
        </is>
      </c>
      <c r="L490" s="13" t="n">
        <v>8.6</v>
      </c>
      <c r="M490" s="7" t="inlineStr">
        <is>
          <t>서울특별시 도시기반시설본부</t>
        </is>
      </c>
      <c r="N490" s="2" t="inlineStr">
        <is>
          <t>20260625900502</t>
        </is>
      </c>
      <c r="O490" s="8">
        <f>HYPERLINK("https://dart.fss.or.kr/dsaf001/main.do?rcpNo=20260625900502", "공시열람")</f>
        <v/>
      </c>
    </row>
    <row r="491" ht="36" customHeight="1">
      <c r="A491" s="2" t="inlineStr">
        <is>
          <t>2026-06-25</t>
        </is>
      </c>
      <c r="B491" s="3" t="inlineStr">
        <is>
          <t>영우디에스피</t>
        </is>
      </c>
      <c r="C491" s="2" t="inlineStr">
        <is>
          <t>코스닥</t>
        </is>
      </c>
      <c r="D491" s="2" t="inlineStr">
        <is>
          <t>143540</t>
        </is>
      </c>
      <c r="E491" s="2" t="inlineStr">
        <is>
          <t>단일판매공급계약체결</t>
        </is>
      </c>
      <c r="F491" s="3" t="inlineStr">
        <is>
          <t xml:space="preserve">단일판매ㆍ공급계약체결(자율공시)              </t>
        </is>
      </c>
      <c r="G491" s="7" t="inlineStr">
        <is>
          <t>디스플레이장비</t>
        </is>
      </c>
      <c r="H491" s="2" t="inlineStr">
        <is>
          <t>2026-06-25</t>
        </is>
      </c>
      <c r="I491" s="2" t="inlineStr">
        <is>
          <t>2026-11-30</t>
        </is>
      </c>
      <c r="J491" s="5" t="n">
        <v>4500000000</v>
      </c>
      <c r="K491" s="2" t="inlineStr">
        <is>
          <t>-</t>
        </is>
      </c>
      <c r="L491" s="13" t="n">
        <v>5.59</v>
      </c>
      <c r="M491" s="7" t="inlineStr">
        <is>
          <t>삼성디스플레이(주)</t>
        </is>
      </c>
      <c r="N491" s="2" t="inlineStr">
        <is>
          <t>20260625900356</t>
        </is>
      </c>
      <c r="O491" s="8">
        <f>HYPERLINK("https://dart.fss.or.kr/dsaf001/main.do?rcpNo=20260625900356", "공시열람")</f>
        <v/>
      </c>
    </row>
    <row r="492" ht="36" customHeight="1">
      <c r="A492" s="2" t="inlineStr">
        <is>
          <t>2026-06-25</t>
        </is>
      </c>
      <c r="B492" s="3" t="inlineStr">
        <is>
          <t>에이치브이엠</t>
        </is>
      </c>
      <c r="C492" s="2" t="inlineStr">
        <is>
          <t>코스닥</t>
        </is>
      </c>
      <c r="D492" s="2" t="inlineStr">
        <is>
          <t>295310</t>
        </is>
      </c>
      <c r="E492" s="2" t="inlineStr">
        <is>
          <t>단일판매공급계약체결</t>
        </is>
      </c>
      <c r="F492" s="3" t="inlineStr">
        <is>
          <t xml:space="preserve">단일판매ㆍ공급계약체결              </t>
        </is>
      </c>
      <c r="G492" s="7" t="inlineStr">
        <is>
          <t>슈퍼 알로이(Super Alloy) 및 특수합금 공급계약</t>
        </is>
      </c>
      <c r="H492" s="2" t="inlineStr">
        <is>
          <t>2026-06-24</t>
        </is>
      </c>
      <c r="I492" s="2" t="inlineStr">
        <is>
          <t>2027-05-01</t>
        </is>
      </c>
      <c r="J492" s="5" t="n">
        <v>7750370014</v>
      </c>
      <c r="K492" s="2" t="inlineStr">
        <is>
          <t>-</t>
        </is>
      </c>
      <c r="L492" s="13" t="n">
        <v>11.65</v>
      </c>
      <c r="M492" s="7" t="inlineStr">
        <is>
          <t>우주항공 금속 유통회사</t>
        </is>
      </c>
      <c r="N492" s="2" t="inlineStr">
        <is>
          <t>20260625900304</t>
        </is>
      </c>
      <c r="O492" s="8">
        <f>HYPERLINK("https://dart.fss.or.kr/dsaf001/main.do?rcpNo=20260625900304", "공시열람")</f>
        <v/>
      </c>
    </row>
    <row r="493" ht="36" customHeight="1">
      <c r="A493" s="2" t="inlineStr">
        <is>
          <t>2026-06-25</t>
        </is>
      </c>
      <c r="B493" s="3" t="inlineStr">
        <is>
          <t>스마트레이더시스템</t>
        </is>
      </c>
      <c r="C493" s="2" t="inlineStr">
        <is>
          <t>코스닥</t>
        </is>
      </c>
      <c r="D493" s="2" t="inlineStr">
        <is>
          <t>424960</t>
        </is>
      </c>
      <c r="E493" s="2" t="inlineStr">
        <is>
          <t>단일판매공급계약체결</t>
        </is>
      </c>
      <c r="F493" s="3" t="inlineStr">
        <is>
          <t xml:space="preserve">단일판매ㆍ공급계약체결(자회사의 주요경영사항)              </t>
        </is>
      </c>
      <c r="G493" s="7" t="inlineStr">
        <is>
          <t>모듈형 데이터센터 공급 계약</t>
        </is>
      </c>
      <c r="H493" s="2" t="inlineStr">
        <is>
          <t>2026-06-25</t>
        </is>
      </c>
      <c r="I493" s="2" t="inlineStr">
        <is>
          <t>2029-06-25</t>
        </is>
      </c>
      <c r="J493" s="5" t="n">
        <v>7691500000</v>
      </c>
      <c r="K493" s="2" t="inlineStr">
        <is>
          <t>-</t>
        </is>
      </c>
      <c r="L493" s="13" t="n">
        <v>81.84999999999999</v>
      </c>
      <c r="M493" s="7" t="inlineStr">
        <is>
          <t>Smart Systems USA, LLC</t>
        </is>
      </c>
      <c r="N493" s="2" t="inlineStr">
        <is>
          <t>20260625900231</t>
        </is>
      </c>
      <c r="O493" s="8">
        <f>HYPERLINK("https://dart.fss.or.kr/dsaf001/main.do?rcpNo=20260625900231", "공시열람")</f>
        <v/>
      </c>
    </row>
    <row r="494" ht="36" customHeight="1">
      <c r="A494" s="2" t="inlineStr">
        <is>
          <t>2026-06-25</t>
        </is>
      </c>
      <c r="B494" s="3" t="inlineStr">
        <is>
          <t>파인텍</t>
        </is>
      </c>
      <c r="C494" s="2" t="inlineStr">
        <is>
          <t>코스닥</t>
        </is>
      </c>
      <c r="D494" s="2" t="inlineStr">
        <is>
          <t>131760</t>
        </is>
      </c>
      <c r="E494" s="2" t="inlineStr">
        <is>
          <t>단일판매공급계약체결</t>
        </is>
      </c>
      <c r="F494" s="3" t="inlineStr">
        <is>
          <t xml:space="preserve">단일판매ㆍ공급계약체결              </t>
        </is>
      </c>
      <c r="G494" s="7" t="inlineStr">
        <is>
          <t>OLED 제조장비 공급 계약</t>
        </is>
      </c>
      <c r="H494" s="2" t="inlineStr">
        <is>
          <t>2026-06-24</t>
        </is>
      </c>
      <c r="I494" s="2" t="inlineStr">
        <is>
          <t>2027-06-24</t>
        </is>
      </c>
      <c r="J494" s="5" t="n">
        <v>5791102429</v>
      </c>
      <c r="K494" s="2" t="inlineStr">
        <is>
          <t>-</t>
        </is>
      </c>
      <c r="L494" s="13" t="n">
        <v>12.49</v>
      </c>
      <c r="M494" s="7" t="inlineStr">
        <is>
          <t>SAMSUNG DISPLAY VIETNAM CO., LTD.</t>
        </is>
      </c>
      <c r="N494" s="2" t="inlineStr">
        <is>
          <t>20260625900181</t>
        </is>
      </c>
      <c r="O494" s="8">
        <f>HYPERLINK("https://dart.fss.or.kr/dsaf001/main.do?rcpNo=20260625900181", "공시열람")</f>
        <v/>
      </c>
    </row>
    <row r="495" ht="36" customHeight="1">
      <c r="A495" s="2" t="inlineStr">
        <is>
          <t>2026-06-25</t>
        </is>
      </c>
      <c r="B495" s="3" t="inlineStr">
        <is>
          <t>AP위성</t>
        </is>
      </c>
      <c r="C495" s="2" t="inlineStr">
        <is>
          <t>코스닥</t>
        </is>
      </c>
      <c r="D495" s="2" t="inlineStr">
        <is>
          <t>211270</t>
        </is>
      </c>
      <c r="E495" s="2" t="inlineStr">
        <is>
          <t>단일판매공급계약체결</t>
        </is>
      </c>
      <c r="F495" s="3" t="inlineStr">
        <is>
          <t xml:space="preserve">단일판매ㆍ공급계약체결              </t>
        </is>
      </c>
      <c r="G495" s="7" t="inlineStr">
        <is>
          <t>정지궤도 기상/우주기상 위성 탑재컴퓨터 개발</t>
        </is>
      </c>
      <c r="H495" s="2" t="inlineStr">
        <is>
          <t>2026-06-24</t>
        </is>
      </c>
      <c r="I495" s="2" t="inlineStr">
        <is>
          <t>2028-05-21</t>
        </is>
      </c>
      <c r="J495" s="5" t="n">
        <v>9500000000</v>
      </c>
      <c r="K495" s="2" t="inlineStr">
        <is>
          <t>-</t>
        </is>
      </c>
      <c r="L495" s="13" t="n">
        <v>19.8</v>
      </c>
      <c r="M495" s="7" t="inlineStr">
        <is>
          <t>LIG D&amp;A</t>
        </is>
      </c>
      <c r="N495" s="2" t="inlineStr">
        <is>
          <t>20260625900237</t>
        </is>
      </c>
      <c r="O495" s="8">
        <f>HYPERLINK("https://dart.fss.or.kr/dsaf001/main.do?rcpNo=20260625900237", "공시열람")</f>
        <v/>
      </c>
    </row>
    <row r="496" ht="36" customHeight="1">
      <c r="A496" s="2" t="inlineStr">
        <is>
          <t>2026-06-25</t>
        </is>
      </c>
      <c r="B496" s="3" t="inlineStr">
        <is>
          <t>우진아이엔에스</t>
        </is>
      </c>
      <c r="C496" s="2" t="inlineStr">
        <is>
          <t>코스피</t>
        </is>
      </c>
      <c r="D496" s="2" t="inlineStr">
        <is>
          <t>010400</t>
        </is>
      </c>
      <c r="E496" s="2" t="inlineStr">
        <is>
          <t>단일판매공급계약체결</t>
        </is>
      </c>
      <c r="F496" s="3" t="inlineStr">
        <is>
          <t xml:space="preserve">단일판매ㆍ공급계약체결              </t>
        </is>
      </c>
      <c r="G496" s="7" t="inlineStr">
        <is>
          <t>대구 롯데쇼핑타운 개발계획 신축공사 중 기계설비공사(기계실)</t>
        </is>
      </c>
      <c r="H496" s="2" t="inlineStr">
        <is>
          <t>2026-06-25</t>
        </is>
      </c>
      <c r="I496" s="2" t="inlineStr">
        <is>
          <t>2027-12-31</t>
        </is>
      </c>
      <c r="J496" s="5" t="n">
        <v>8817000000</v>
      </c>
      <c r="K496" s="2" t="inlineStr">
        <is>
          <t>-</t>
        </is>
      </c>
      <c r="L496" s="13" t="n">
        <v>5.36</v>
      </c>
      <c r="M496" s="7" t="inlineStr">
        <is>
          <t>롯데건설주식회사</t>
        </is>
      </c>
      <c r="N496" s="2" t="inlineStr">
        <is>
          <t>20260625800190</t>
        </is>
      </c>
      <c r="O496" s="8">
        <f>HYPERLINK("https://dart.fss.or.kr/dsaf001/main.do?rcpNo=20260625800190", "공시열람")</f>
        <v/>
      </c>
    </row>
    <row r="497" ht="36" customHeight="1">
      <c r="A497" s="2" t="inlineStr">
        <is>
          <t>2023-01-31 (정정: 2026-06-25)</t>
        </is>
      </c>
      <c r="B497" s="3" t="inlineStr">
        <is>
          <t>디케이락</t>
        </is>
      </c>
      <c r="C497" s="2" t="inlineStr">
        <is>
          <t>코스닥</t>
        </is>
      </c>
      <c r="D497" s="2" t="inlineStr">
        <is>
          <t>105740</t>
        </is>
      </c>
      <c r="E497" s="2" t="inlineStr">
        <is>
          <t>단일판매공급계약체결</t>
        </is>
      </c>
      <c r="F497" s="3" t="inlineStr">
        <is>
          <t xml:space="preserve">[기재정정]단일판매ㆍ공급계약체결              </t>
        </is>
      </c>
      <c r="G497" s="7" t="inlineStr">
        <is>
          <t>DK-LOK Double Block &amp; Bleed Valves 공급</t>
        </is>
      </c>
      <c r="H497" s="2" t="inlineStr">
        <is>
          <t>2023-01-31</t>
        </is>
      </c>
      <c r="I497" s="2" t="inlineStr">
        <is>
          <t>2026-12-31</t>
        </is>
      </c>
      <c r="J497" s="5" t="n">
        <v>10534733165</v>
      </c>
      <c r="K497" s="2" t="inlineStr">
        <is>
          <t>-</t>
        </is>
      </c>
      <c r="L497" s="13" t="n">
        <v>12.3</v>
      </c>
      <c r="M497" s="7" t="inlineStr">
        <is>
          <t>NOVO CONSTRUCTION EQUIPMENT(FZE)</t>
        </is>
      </c>
      <c r="N497" s="2" t="inlineStr">
        <is>
          <t>20260625900185</t>
        </is>
      </c>
      <c r="O497" s="8">
        <f>HYPERLINK("https://dart.fss.or.kr/dsaf001/main.do?rcpNo=20260625900185", "공시열람")</f>
        <v/>
      </c>
    </row>
    <row r="498" ht="36" customHeight="1">
      <c r="A498" s="2" t="inlineStr">
        <is>
          <t>2026-06-25</t>
        </is>
      </c>
      <c r="B498" s="3" t="inlineStr">
        <is>
          <t>동성화인텍</t>
        </is>
      </c>
      <c r="C498" s="2" t="inlineStr">
        <is>
          <t>코스닥</t>
        </is>
      </c>
      <c r="D498" s="2" t="inlineStr">
        <is>
          <t>033500</t>
        </is>
      </c>
      <c r="E498" s="2" t="inlineStr">
        <is>
          <t>단일판매공급계약체결</t>
        </is>
      </c>
      <c r="F498" s="3" t="inlineStr">
        <is>
          <t xml:space="preserve">단일판매ㆍ공급계약체결              </t>
        </is>
      </c>
      <c r="G498" s="7" t="inlineStr">
        <is>
          <t>LNG운반선의 초저온 보냉자재 공급계약</t>
        </is>
      </c>
      <c r="H498" s="2" t="inlineStr">
        <is>
          <t>2026-06-24</t>
        </is>
      </c>
      <c r="I498" s="2" t="inlineStr">
        <is>
          <t>2029-05-30</t>
        </is>
      </c>
      <c r="J498" s="5" t="n">
        <v>151332700000</v>
      </c>
      <c r="K498" s="2" t="inlineStr">
        <is>
          <t>-</t>
        </is>
      </c>
      <c r="L498" s="13" t="n">
        <v>20.4</v>
      </c>
      <c r="M498" s="7" t="inlineStr">
        <is>
          <t>삼성중공업 주식회사</t>
        </is>
      </c>
      <c r="N498" s="2" t="inlineStr">
        <is>
          <t>20260625900143</t>
        </is>
      </c>
      <c r="O498" s="8">
        <f>HYPERLINK("https://dart.fss.or.kr/dsaf001/main.do?rcpNo=20260625900143", "공시열람")</f>
        <v/>
      </c>
    </row>
    <row r="499" ht="36" customHeight="1">
      <c r="A499" s="2" t="inlineStr">
        <is>
          <t>2026-06-26 (정정: 2026-06-26)</t>
        </is>
      </c>
      <c r="B499" s="3" t="inlineStr">
        <is>
          <t>솔디펜스</t>
        </is>
      </c>
      <c r="C499" s="2" t="inlineStr">
        <is>
          <t>코스닥</t>
        </is>
      </c>
      <c r="D499" s="2" t="inlineStr">
        <is>
          <t>215090</t>
        </is>
      </c>
      <c r="E499" s="2" t="inlineStr">
        <is>
          <t>단일판매공급계약체결</t>
        </is>
      </c>
      <c r="F499" s="3" t="inlineStr">
        <is>
          <t>단일판매ㆍ공급계약체결(자율공시)               (정정: 20260626)</t>
        </is>
      </c>
      <c r="G499" s="7" t="inlineStr">
        <is>
          <t>KF-21 임무컴퓨터(MC)</t>
        </is>
      </c>
      <c r="H499" s="2" t="inlineStr">
        <is>
          <t>2025-08-04</t>
        </is>
      </c>
      <c r="I499" s="2" t="inlineStr">
        <is>
          <t>2027-04-19</t>
        </is>
      </c>
      <c r="J499" s="5" t="n">
        <v>1254666400</v>
      </c>
      <c r="K499" s="2" t="inlineStr">
        <is>
          <t>-</t>
        </is>
      </c>
      <c r="L499" s="13" t="n">
        <v>5.77</v>
      </c>
      <c r="M499" s="7" t="inlineStr">
        <is>
          <t>한화시스템 주식회사</t>
        </is>
      </c>
      <c r="N499" s="2" t="inlineStr">
        <is>
          <t>20260626901426</t>
        </is>
      </c>
      <c r="O499" s="8">
        <f>HYPERLINK("https://dart.fss.or.kr/dsaf001/main.do?rcpNo=20260626901426", "공시열람")</f>
        <v/>
      </c>
    </row>
    <row r="500" ht="36" customHeight="1">
      <c r="A500" s="2" t="inlineStr">
        <is>
          <t>2026-04-15 (정정: 2026-06-26)</t>
        </is>
      </c>
      <c r="B500" s="3" t="inlineStr">
        <is>
          <t>플리토</t>
        </is>
      </c>
      <c r="C500" s="2" t="inlineStr">
        <is>
          <t>코스닥</t>
        </is>
      </c>
      <c r="D500" s="2" t="inlineStr">
        <is>
          <t>300080</t>
        </is>
      </c>
      <c r="E500" s="2" t="inlineStr">
        <is>
          <t>단일판매공급계약체결</t>
        </is>
      </c>
      <c r="F500" s="3" t="inlineStr">
        <is>
          <t xml:space="preserve">[기재정정]단일판매ㆍ공급계약체결              </t>
        </is>
      </c>
      <c r="G500" s="7" t="inlineStr">
        <is>
          <t>AI(인공지능) 기반 언어 모델의 연구 및 개발용 데이터 공급</t>
        </is>
      </c>
      <c r="H500" s="2" t="inlineStr">
        <is>
          <t>2025-10-03</t>
        </is>
      </c>
      <c r="I500" s="2" t="inlineStr">
        <is>
          <t>2026-11-10</t>
        </is>
      </c>
      <c r="J500" s="5" t="n">
        <v>10039351784</v>
      </c>
      <c r="K500" s="2" t="inlineStr">
        <is>
          <t>-</t>
        </is>
      </c>
      <c r="L500" s="13" t="n">
        <v>49.45</v>
      </c>
      <c r="M500" s="7" t="inlineStr">
        <is>
          <t>글로벌 IT기업</t>
        </is>
      </c>
      <c r="N500" s="2" t="inlineStr">
        <is>
          <t>20260626901314</t>
        </is>
      </c>
      <c r="O500" s="8">
        <f>HYPERLINK("https://dart.fss.or.kr/dsaf001/main.do?rcpNo=20260626901314", "공시열람")</f>
        <v/>
      </c>
    </row>
    <row r="501" ht="36" customHeight="1">
      <c r="A501" s="2" t="inlineStr">
        <is>
          <t>2023-12-21 (정정: 2026-06-26)</t>
        </is>
      </c>
      <c r="B501" s="3" t="inlineStr">
        <is>
          <t>유신</t>
        </is>
      </c>
      <c r="C501" s="2" t="inlineStr">
        <is>
          <t>코스닥</t>
        </is>
      </c>
      <c r="D501" s="2" t="inlineStr">
        <is>
          <t>054930</t>
        </is>
      </c>
      <c r="E501" s="2" t="inlineStr">
        <is>
          <t>단일판매공급계약체결</t>
        </is>
      </c>
      <c r="F501" s="3" t="inlineStr">
        <is>
          <t xml:space="preserve">[기재정정]단일판매ㆍ공급계약체결(자율공시)              </t>
        </is>
      </c>
      <c r="G501" s="7" t="inlineStr">
        <is>
          <t>단일판매ㆍ공급계약체결(자율공시)</t>
        </is>
      </c>
      <c r="H501" s="2" t="inlineStr">
        <is>
          <t>2023-12-29</t>
        </is>
      </c>
      <c r="I501" s="2" t="inlineStr">
        <is>
          <t>2026-06-28</t>
        </is>
      </c>
      <c r="J501" s="5" t="n">
        <v>19574977296</v>
      </c>
      <c r="K501" s="2" t="inlineStr">
        <is>
          <t>-</t>
        </is>
      </c>
      <c r="L501" s="13" t="n">
        <v>6.4</v>
      </c>
      <c r="M501" s="7" t="inlineStr">
        <is>
          <t>Department of Public Wokrs and Highways(DPWH)</t>
        </is>
      </c>
      <c r="N501" s="2" t="inlineStr">
        <is>
          <t>20260626901101</t>
        </is>
      </c>
      <c r="O501" s="8">
        <f>HYPERLINK("https://dart.fss.or.kr/dsaf001/main.do?rcpNo=20260626901101", "공시열람")</f>
        <v/>
      </c>
    </row>
    <row r="502" ht="36" customHeight="1">
      <c r="A502" s="2" t="inlineStr">
        <is>
          <t>2026-06-26 (정정: 2026-06-26)</t>
        </is>
      </c>
      <c r="B502" s="3" t="inlineStr">
        <is>
          <t>에이직랜드</t>
        </is>
      </c>
      <c r="C502" s="2" t="inlineStr">
        <is>
          <t>코스닥</t>
        </is>
      </c>
      <c r="D502" s="2" t="inlineStr">
        <is>
          <t>445090</t>
        </is>
      </c>
      <c r="E502" s="2" t="inlineStr">
        <is>
          <t>단일판매공급계약체결</t>
        </is>
      </c>
      <c r="F502" s="3" t="inlineStr">
        <is>
          <t xml:space="preserve">[기재정정]단일판매ㆍ공급계약체결              </t>
        </is>
      </c>
      <c r="G502" s="7" t="inlineStr">
        <is>
          <t>CXL 적용 주문형 반도체 설계</t>
        </is>
      </c>
      <c r="H502" s="2" t="inlineStr">
        <is>
          <t>2024-11-01</t>
        </is>
      </c>
      <c r="I502" s="2" t="inlineStr">
        <is>
          <t>2026-06-26</t>
        </is>
      </c>
      <c r="J502" s="5" t="n">
        <v>19737807782</v>
      </c>
      <c r="K502" s="2" t="inlineStr">
        <is>
          <t>-</t>
        </is>
      </c>
      <c r="L502" s="13" t="n">
        <v>26.6</v>
      </c>
      <c r="M502" s="7" t="inlineStr">
        <is>
          <t>SK하이닉스</t>
        </is>
      </c>
      <c r="N502" s="2" t="inlineStr">
        <is>
          <t>20260626901013</t>
        </is>
      </c>
      <c r="O502" s="8">
        <f>HYPERLINK("https://dart.fss.or.kr/dsaf001/main.do?rcpNo=20260626901013", "공시열람")</f>
        <v/>
      </c>
    </row>
    <row r="503" ht="36" customHeight="1">
      <c r="A503" s="2" t="inlineStr">
        <is>
          <t>2026-06-26 (정정: 2026-06-30)</t>
        </is>
      </c>
      <c r="B503" s="3" t="inlineStr">
        <is>
          <t>계룡건설산업</t>
        </is>
      </c>
      <c r="C503" s="2" t="inlineStr">
        <is>
          <t>코스피</t>
        </is>
      </c>
      <c r="D503" s="2" t="inlineStr">
        <is>
          <t>013580</t>
        </is>
      </c>
      <c r="E503" s="2" t="inlineStr">
        <is>
          <t>단일판매공급계약체결</t>
        </is>
      </c>
      <c r="F503" s="3" t="inlineStr">
        <is>
          <t>단일판매ㆍ공급계약체결               (정정: 20260630)</t>
        </is>
      </c>
      <c r="G503" s="7" t="inlineStr">
        <is>
          <t>이천~문경 철도건설사업 제6공구 건설공사</t>
        </is>
      </c>
      <c r="H503" s="2" t="inlineStr">
        <is>
          <t>2017-06-01</t>
        </is>
      </c>
      <c r="I503" s="2" t="inlineStr">
        <is>
          <t>-</t>
        </is>
      </c>
      <c r="J503" s="5" t="n">
        <v>60467231440</v>
      </c>
      <c r="K503" s="2" t="inlineStr">
        <is>
          <t>-</t>
        </is>
      </c>
      <c r="L503" s="13" t="n">
        <v>2.66</v>
      </c>
      <c r="M503" s="7" t="inlineStr">
        <is>
          <t>국가철도공단</t>
        </is>
      </c>
      <c r="N503" s="2" t="inlineStr">
        <is>
          <t>20260630800549</t>
        </is>
      </c>
      <c r="O503" s="8">
        <f>HYPERLINK("https://dart.fss.or.kr/dsaf001/main.do?rcpNo=20260630800549", "공시열람")</f>
        <v/>
      </c>
    </row>
    <row r="504" ht="36" customHeight="1">
      <c r="A504" s="2" t="inlineStr">
        <is>
          <t>2026-06-26 (정정: 2026-06-26)</t>
        </is>
      </c>
      <c r="B504" s="3" t="inlineStr">
        <is>
          <t>그린플러스</t>
        </is>
      </c>
      <c r="C504" s="2" t="inlineStr">
        <is>
          <t>코스닥</t>
        </is>
      </c>
      <c r="D504" s="2" t="inlineStr">
        <is>
          <t>186230</t>
        </is>
      </c>
      <c r="E504" s="2" t="inlineStr">
        <is>
          <t>단일판매공급계약체결</t>
        </is>
      </c>
      <c r="F504" s="3" t="inlineStr">
        <is>
          <t xml:space="preserve">[기재정정]단일판매ㆍ공급계약체결              </t>
        </is>
      </c>
      <c r="G504" s="7" t="inlineStr">
        <is>
          <t>농업회사법인 팜팜(주) 스마트팜 유리온실신축공사</t>
        </is>
      </c>
      <c r="H504" s="2" t="inlineStr">
        <is>
          <t>2025-06-15</t>
        </is>
      </c>
      <c r="I504" s="2" t="inlineStr">
        <is>
          <t>2026-07-31</t>
        </is>
      </c>
      <c r="J504" s="5" t="n">
        <v>10320909091</v>
      </c>
      <c r="K504" s="2" t="inlineStr">
        <is>
          <t>-</t>
        </is>
      </c>
      <c r="L504" s="13" t="n">
        <v>11.77</v>
      </c>
      <c r="M504" s="7" t="inlineStr">
        <is>
          <t>농업회사법인 팜팜(주)</t>
        </is>
      </c>
      <c r="N504" s="2" t="inlineStr">
        <is>
          <t>20260626900938</t>
        </is>
      </c>
      <c r="O504" s="8">
        <f>HYPERLINK("https://dart.fss.or.kr/dsaf001/main.do?rcpNo=20260626900938", "공시열람")</f>
        <v/>
      </c>
    </row>
    <row r="505" ht="36" customHeight="1">
      <c r="A505" s="2" t="inlineStr">
        <is>
          <t>2024-06-10 (정정: 2026-06-26)</t>
        </is>
      </c>
      <c r="B505" s="3" t="inlineStr">
        <is>
          <t>금양그린파워</t>
        </is>
      </c>
      <c r="C505" s="2" t="inlineStr">
        <is>
          <t>코스닥</t>
        </is>
      </c>
      <c r="D505" s="2" t="inlineStr">
        <is>
          <t>282720</t>
        </is>
      </c>
      <c r="E505" s="2" t="inlineStr">
        <is>
          <t>단일판매공급계약체결</t>
        </is>
      </c>
      <c r="F505" s="3" t="inlineStr">
        <is>
          <t xml:space="preserve">[기재정정]단일판매ㆍ공급계약체결              </t>
        </is>
      </c>
      <c r="G505" s="7" t="inlineStr">
        <is>
          <t>동백마을풍력조성사업</t>
        </is>
      </c>
      <c r="H505" s="2" t="inlineStr">
        <is>
          <t>2024-06-10</t>
        </is>
      </c>
      <c r="I505" s="2" t="inlineStr">
        <is>
          <t>2028-06-30</t>
        </is>
      </c>
      <c r="J505" s="5" t="n">
        <v>30000000000</v>
      </c>
      <c r="K505" s="2" t="inlineStr">
        <is>
          <t>-</t>
        </is>
      </c>
      <c r="L505" s="13" t="n">
        <v>12.56</v>
      </c>
      <c r="M505" s="7" t="inlineStr">
        <is>
          <t>주식회사 동백마을풍력발전소</t>
        </is>
      </c>
      <c r="N505" s="2" t="inlineStr">
        <is>
          <t>20260626900908</t>
        </is>
      </c>
      <c r="O505" s="8">
        <f>HYPERLINK("https://dart.fss.or.kr/dsaf001/main.do?rcpNo=20260626900908", "공시열람")</f>
        <v/>
      </c>
    </row>
    <row r="506" ht="36" customHeight="1">
      <c r="A506" s="2" t="inlineStr">
        <is>
          <t>2026-06-26</t>
        </is>
      </c>
      <c r="B506" s="3" t="inlineStr">
        <is>
          <t>한화엔진</t>
        </is>
      </c>
      <c r="C506" s="2" t="inlineStr">
        <is>
          <t>코스피</t>
        </is>
      </c>
      <c r="D506" s="2" t="inlineStr">
        <is>
          <t>082740</t>
        </is>
      </c>
      <c r="E506" s="2" t="inlineStr">
        <is>
          <t>단일판매공급계약체결</t>
        </is>
      </c>
      <c r="F506" s="3" t="inlineStr">
        <is>
          <t xml:space="preserve">단일판매ㆍ공급계약체결              </t>
        </is>
      </c>
      <c r="G506" s="7" t="inlineStr">
        <is>
          <t>선박용 엔진</t>
        </is>
      </c>
      <c r="H506" s="2" t="inlineStr">
        <is>
          <t>2026-06-26</t>
        </is>
      </c>
      <c r="I506" s="2" t="inlineStr">
        <is>
          <t>2029-07-09</t>
        </is>
      </c>
      <c r="J506" s="5" t="n">
        <v>139297977900</v>
      </c>
      <c r="K506" s="2" t="inlineStr">
        <is>
          <t>-</t>
        </is>
      </c>
      <c r="L506" s="13" t="n">
        <v>10.2</v>
      </c>
      <c r="M506" s="7" t="inlineStr">
        <is>
          <t>한화오션(주)</t>
        </is>
      </c>
      <c r="N506" s="2" t="inlineStr">
        <is>
          <t>20260626800816</t>
        </is>
      </c>
      <c r="O506" s="8">
        <f>HYPERLINK("https://dart.fss.or.kr/dsaf001/main.do?rcpNo=20260626800816", "공시열람")</f>
        <v/>
      </c>
    </row>
    <row r="507" ht="36" customHeight="1">
      <c r="A507" s="2" t="inlineStr">
        <is>
          <t>2026-06-26</t>
        </is>
      </c>
      <c r="B507" s="3" t="inlineStr">
        <is>
          <t>HMM</t>
        </is>
      </c>
      <c r="C507" s="2" t="inlineStr">
        <is>
          <t>코스피</t>
        </is>
      </c>
      <c r="D507" s="2" t="inlineStr">
        <is>
          <t>011200</t>
        </is>
      </c>
      <c r="E507" s="2" t="inlineStr">
        <is>
          <t>단일판매공급계약체결</t>
        </is>
      </c>
      <c r="F507" s="3" t="inlineStr">
        <is>
          <t xml:space="preserve">단일판매ㆍ공급계약체결              </t>
        </is>
      </c>
      <c r="G507" s="7" t="inlineStr">
        <is>
          <t>장기대선계약</t>
        </is>
      </c>
      <c r="H507" s="2" t="inlineStr">
        <is>
          <t>2029-07-01</t>
        </is>
      </c>
      <c r="I507" s="2" t="inlineStr">
        <is>
          <t>2036-12-31</t>
        </is>
      </c>
      <c r="J507" s="5" t="n">
        <v>311836421430</v>
      </c>
      <c r="K507" s="2" t="inlineStr">
        <is>
          <t>-</t>
        </is>
      </c>
      <c r="L507" s="13" t="n">
        <v>2.86</v>
      </c>
      <c r="M507" s="7" t="inlineStr">
        <is>
          <t>Mercuria Shipping Pte. Ltd. (Mercuria 그룹 내, Shipping 자회사)</t>
        </is>
      </c>
      <c r="N507" s="2" t="inlineStr">
        <is>
          <t>20260626800701</t>
        </is>
      </c>
      <c r="O507" s="8">
        <f>HYPERLINK("https://dart.fss.or.kr/dsaf001/main.do?rcpNo=20260626800701", "공시열람")</f>
        <v/>
      </c>
    </row>
    <row r="508" ht="36" customHeight="1">
      <c r="A508" s="2" t="inlineStr">
        <is>
          <t>2026-06-26</t>
        </is>
      </c>
      <c r="B508" s="3" t="inlineStr">
        <is>
          <t>아이에스티이</t>
        </is>
      </c>
      <c r="C508" s="2" t="inlineStr">
        <is>
          <t>코스닥</t>
        </is>
      </c>
      <c r="D508" s="2" t="inlineStr">
        <is>
          <t>212710</t>
        </is>
      </c>
      <c r="E508" s="2" t="inlineStr">
        <is>
          <t>단일판매공급계약체결</t>
        </is>
      </c>
      <c r="F508" s="3" t="inlineStr">
        <is>
          <t xml:space="preserve">[기재정정]단일판매ㆍ공급계약체결              </t>
        </is>
      </c>
      <c r="G508" s="7" t="inlineStr">
        <is>
          <t>경북 경주시 외동읍 구어리 열유화 사업 설비공사 도급계약</t>
        </is>
      </c>
      <c r="H508" s="2" t="inlineStr">
        <is>
          <t>2026-04-21</t>
        </is>
      </c>
      <c r="I508" s="2" t="inlineStr">
        <is>
          <t>2028-01-31</t>
        </is>
      </c>
      <c r="J508" s="5" t="n">
        <v>23500000000</v>
      </c>
      <c r="K508" s="2" t="inlineStr">
        <is>
          <t>-</t>
        </is>
      </c>
      <c r="L508" s="13" t="n">
        <v>72.93000000000001</v>
      </c>
      <c r="M508" s="7" t="inlineStr">
        <is>
          <t>(주)금강이엔티</t>
        </is>
      </c>
      <c r="N508" s="2" t="inlineStr">
        <is>
          <t>20260626900710</t>
        </is>
      </c>
      <c r="O508" s="8">
        <f>HYPERLINK("https://dart.fss.or.kr/dsaf001/main.do?rcpNo=20260626900710", "공시열람")</f>
        <v/>
      </c>
    </row>
    <row r="509" ht="36" customHeight="1">
      <c r="A509" s="2" t="inlineStr">
        <is>
          <t>2026-06-26</t>
        </is>
      </c>
      <c r="B509" s="3" t="inlineStr">
        <is>
          <t>인텍플러스</t>
        </is>
      </c>
      <c r="C509" s="2" t="inlineStr">
        <is>
          <t>코스닥</t>
        </is>
      </c>
      <c r="D509" s="2" t="inlineStr">
        <is>
          <t>064290</t>
        </is>
      </c>
      <c r="E509" s="2" t="inlineStr">
        <is>
          <t>단일판매공급계약체결</t>
        </is>
      </c>
      <c r="F509" s="3" t="inlineStr">
        <is>
          <t xml:space="preserve">단일판매ㆍ공급계약체결              </t>
        </is>
      </c>
      <c r="G509" s="7" t="inlineStr">
        <is>
          <t>반도체 및 Substrate 검사 장비</t>
        </is>
      </c>
      <c r="H509" s="2" t="inlineStr">
        <is>
          <t>2026-06-25</t>
        </is>
      </c>
      <c r="I509" s="2" t="inlineStr">
        <is>
          <t>2028-03-01</t>
        </is>
      </c>
      <c r="J509" s="5" t="n">
        <v>14029296000</v>
      </c>
      <c r="K509" s="2" t="inlineStr">
        <is>
          <t>-</t>
        </is>
      </c>
      <c r="L509" s="13" t="n">
        <v>15.63</v>
      </c>
      <c r="M509" s="7" t="inlineStr">
        <is>
          <t>ALKAID TECH LTD</t>
        </is>
      </c>
      <c r="N509" s="2" t="inlineStr">
        <is>
          <t>20260626900604</t>
        </is>
      </c>
      <c r="O509" s="8">
        <f>HYPERLINK("https://dart.fss.or.kr/dsaf001/main.do?rcpNo=20260626900604", "공시열람")</f>
        <v/>
      </c>
    </row>
    <row r="510" ht="36" customHeight="1">
      <c r="A510" s="2" t="inlineStr">
        <is>
          <t>2026-06-26</t>
        </is>
      </c>
      <c r="B510" s="3" t="inlineStr">
        <is>
          <t>대웅</t>
        </is>
      </c>
      <c r="C510" s="2" t="inlineStr">
        <is>
          <t>코스피</t>
        </is>
      </c>
      <c r="D510" s="2" t="inlineStr">
        <is>
          <t>003090</t>
        </is>
      </c>
      <c r="E510" s="2" t="inlineStr">
        <is>
          <t>단일판매공급계약체결</t>
        </is>
      </c>
      <c r="F510" s="3" t="inlineStr">
        <is>
          <t xml:space="preserve">단일판매ㆍ공급계약체결(자회사의 주요경영사항)              </t>
        </is>
      </c>
      <c r="G510" s="7" t="inlineStr">
        <is>
          <t>엔블로정 중동 8개국 수출 공급계약</t>
        </is>
      </c>
      <c r="H510" s="2" t="inlineStr">
        <is>
          <t>2026-06-26</t>
        </is>
      </c>
      <c r="I510" s="2" t="inlineStr">
        <is>
          <t>2036-06-25</t>
        </is>
      </c>
      <c r="J510" s="5" t="n">
        <v>92600566471</v>
      </c>
      <c r="K510" s="2" t="inlineStr">
        <is>
          <t>-</t>
        </is>
      </c>
      <c r="L510" s="13" t="n">
        <v>5.89</v>
      </c>
      <c r="M510" s="7" t="inlineStr">
        <is>
          <t>Acino Pharma AG</t>
        </is>
      </c>
      <c r="N510" s="2" t="inlineStr">
        <is>
          <t>20260626800612</t>
        </is>
      </c>
      <c r="O510" s="8">
        <f>HYPERLINK("https://dart.fss.or.kr/dsaf001/main.do?rcpNo=20260626800612", "공시열람")</f>
        <v/>
      </c>
    </row>
    <row r="511" ht="36" customHeight="1">
      <c r="A511" s="2" t="inlineStr">
        <is>
          <t>2026-06-26</t>
        </is>
      </c>
      <c r="B511" s="3" t="inlineStr">
        <is>
          <t>인텍플러스</t>
        </is>
      </c>
      <c r="C511" s="2" t="inlineStr">
        <is>
          <t>코스닥</t>
        </is>
      </c>
      <c r="D511" s="2" t="inlineStr">
        <is>
          <t>064290</t>
        </is>
      </c>
      <c r="E511" s="2" t="inlineStr">
        <is>
          <t>단일판매공급계약체결</t>
        </is>
      </c>
      <c r="F511" s="3" t="inlineStr">
        <is>
          <t xml:space="preserve">단일판매ㆍ공급계약체결(자율공시)              </t>
        </is>
      </c>
      <c r="G511" s="7" t="inlineStr">
        <is>
          <t>반도체 Substrate 검사 장비</t>
        </is>
      </c>
      <c r="H511" s="2" t="inlineStr">
        <is>
          <t>2026-06-24</t>
        </is>
      </c>
      <c r="I511" s="2" t="inlineStr">
        <is>
          <t>2027-05-15</t>
        </is>
      </c>
      <c r="J511" s="5" t="n">
        <v>7157709900</v>
      </c>
      <c r="K511" s="2" t="inlineStr">
        <is>
          <t>-</t>
        </is>
      </c>
      <c r="L511" s="13" t="n">
        <v>7.97</v>
      </c>
      <c r="M511" s="7" t="inlineStr">
        <is>
          <t>takewin International Ltd</t>
        </is>
      </c>
      <c r="N511" s="2" t="inlineStr">
        <is>
          <t>20260626900596</t>
        </is>
      </c>
      <c r="O511" s="8">
        <f>HYPERLINK("https://dart.fss.or.kr/dsaf001/main.do?rcpNo=20260626900596", "공시열람")</f>
        <v/>
      </c>
    </row>
    <row r="512" ht="36" customHeight="1">
      <c r="A512" s="2" t="inlineStr">
        <is>
          <t>2026-06-26</t>
        </is>
      </c>
      <c r="B512" s="3" t="inlineStr">
        <is>
          <t>대웅제약</t>
        </is>
      </c>
      <c r="C512" s="2" t="inlineStr">
        <is>
          <t>코스피</t>
        </is>
      </c>
      <c r="D512" s="2" t="inlineStr">
        <is>
          <t>069620</t>
        </is>
      </c>
      <c r="E512" s="2" t="inlineStr">
        <is>
          <t>단일판매공급계약체결</t>
        </is>
      </c>
      <c r="F512" s="3" t="inlineStr">
        <is>
          <t xml:space="preserve">단일판매ㆍ공급계약체결              </t>
        </is>
      </c>
      <c r="G512" s="7" t="inlineStr">
        <is>
          <t>엔블로정 중동 8개국 수출 공급계약</t>
        </is>
      </c>
      <c r="H512" s="2" t="inlineStr">
        <is>
          <t>2026-06-26</t>
        </is>
      </c>
      <c r="I512" s="2" t="inlineStr">
        <is>
          <t>2036-06-25</t>
        </is>
      </c>
      <c r="J512" s="5" t="n">
        <v>92600566471</v>
      </c>
      <c r="K512" s="2" t="inlineStr">
        <is>
          <t>-</t>
        </is>
      </c>
      <c r="L512" s="13" t="n">
        <v>5.89</v>
      </c>
      <c r="M512" s="7" t="inlineStr">
        <is>
          <t>Acino Pharma AG</t>
        </is>
      </c>
      <c r="N512" s="2" t="inlineStr">
        <is>
          <t>20260626800586</t>
        </is>
      </c>
      <c r="O512" s="8">
        <f>HYPERLINK("https://dart.fss.or.kr/dsaf001/main.do?rcpNo=20260626800586", "공시열람")</f>
        <v/>
      </c>
    </row>
    <row r="513" ht="36" customHeight="1">
      <c r="A513" s="2" t="inlineStr">
        <is>
          <t>2026-06-26</t>
        </is>
      </c>
      <c r="B513" s="3" t="inlineStr">
        <is>
          <t>특수건설</t>
        </is>
      </c>
      <c r="C513" s="2" t="inlineStr">
        <is>
          <t>코스닥</t>
        </is>
      </c>
      <c r="D513" s="2" t="inlineStr">
        <is>
          <t>026150</t>
        </is>
      </c>
      <c r="E513" s="2" t="inlineStr">
        <is>
          <t>단일판매공급계약체결</t>
        </is>
      </c>
      <c r="F513" s="3" t="inlineStr">
        <is>
          <t xml:space="preserve">단일판매ㆍ공급계약체결              </t>
        </is>
      </c>
      <c r="G513" s="7" t="inlineStr">
        <is>
          <t>무주 설천-무풍 도로시설개량공사</t>
        </is>
      </c>
      <c r="H513" s="2" t="inlineStr">
        <is>
          <t>2026-06-26</t>
        </is>
      </c>
      <c r="I513" s="2" t="inlineStr">
        <is>
          <t>2033-06-25</t>
        </is>
      </c>
      <c r="J513" s="5" t="n">
        <v>38430563260</v>
      </c>
      <c r="K513" s="2" t="inlineStr">
        <is>
          <t>-</t>
        </is>
      </c>
      <c r="L513" s="13" t="n">
        <v>25.79</v>
      </c>
      <c r="M513" s="7" t="inlineStr">
        <is>
          <t>국토교통부 익산지방국토관리청</t>
        </is>
      </c>
      <c r="N513" s="2" t="inlineStr">
        <is>
          <t>20260626900581</t>
        </is>
      </c>
      <c r="O513" s="8">
        <f>HYPERLINK("https://dart.fss.or.kr/dsaf001/main.do?rcpNo=20260626900581", "공시열람")</f>
        <v/>
      </c>
    </row>
    <row r="514" ht="36" customHeight="1">
      <c r="A514" s="2" t="inlineStr">
        <is>
          <t>2026-06-26</t>
        </is>
      </c>
      <c r="B514" s="3" t="inlineStr">
        <is>
          <t>워트</t>
        </is>
      </c>
      <c r="C514" s="2" t="inlineStr">
        <is>
          <t>코스닥</t>
        </is>
      </c>
      <c r="D514" s="2" t="inlineStr">
        <is>
          <t>396470</t>
        </is>
      </c>
      <c r="E514" s="2" t="inlineStr">
        <is>
          <t>단일판매공급계약체결</t>
        </is>
      </c>
      <c r="F514" s="3" t="inlineStr">
        <is>
          <t xml:space="preserve">단일판매ㆍ공급계약체결(자율공시)              </t>
        </is>
      </c>
      <c r="G514" s="7" t="inlineStr">
        <is>
          <t>초정밀항온항습제어장치(THC)</t>
        </is>
      </c>
      <c r="H514" s="2" t="inlineStr">
        <is>
          <t>2026-06-25</t>
        </is>
      </c>
      <c r="I514" s="2" t="inlineStr">
        <is>
          <t>2026-10-31</t>
        </is>
      </c>
      <c r="J514" s="5" t="n">
        <v>832000000</v>
      </c>
      <c r="K514" s="2" t="inlineStr">
        <is>
          <t>-</t>
        </is>
      </c>
      <c r="L514" s="13" t="n">
        <v>5.47</v>
      </c>
      <c r="M514" s="7" t="inlineStr">
        <is>
          <t>삼성전자</t>
        </is>
      </c>
      <c r="N514" s="2" t="inlineStr">
        <is>
          <t>20260626900592</t>
        </is>
      </c>
      <c r="O514" s="8">
        <f>HYPERLINK("https://dart.fss.or.kr/dsaf001/main.do?rcpNo=20260626900592", "공시열람")</f>
        <v/>
      </c>
    </row>
    <row r="515" ht="36" customHeight="1">
      <c r="A515" s="2" t="inlineStr">
        <is>
          <t>2026-06-26</t>
        </is>
      </c>
      <c r="B515" s="3" t="inlineStr">
        <is>
          <t>한국정밀기계</t>
        </is>
      </c>
      <c r="C515" s="2" t="inlineStr">
        <is>
          <t>코스닥</t>
        </is>
      </c>
      <c r="D515" s="2" t="inlineStr">
        <is>
          <t>101680</t>
        </is>
      </c>
      <c r="E515" s="2" t="inlineStr">
        <is>
          <t>단일판매공급계약체결</t>
        </is>
      </c>
      <c r="F515" s="3" t="inlineStr">
        <is>
          <t xml:space="preserve">단일판매ㆍ공급계약체결              </t>
        </is>
      </c>
      <c r="G515" s="7" t="inlineStr">
        <is>
          <t>CNC vertical lathe for crankthrow (수직 크랭크주조 CNC 선반)</t>
        </is>
      </c>
      <c r="H515" s="2" t="inlineStr">
        <is>
          <t>2026-06-25</t>
        </is>
      </c>
      <c r="I515" s="2" t="inlineStr">
        <is>
          <t>2027-08-15</t>
        </is>
      </c>
      <c r="J515" s="5" t="n">
        <v>11598782000</v>
      </c>
      <c r="K515" s="2" t="inlineStr">
        <is>
          <t>-</t>
        </is>
      </c>
      <c r="L515" s="13" t="n">
        <v>37.9</v>
      </c>
      <c r="M515" s="7" t="inlineStr">
        <is>
          <t>Hengli Engine (Dalian) Co., Ltd.</t>
        </is>
      </c>
      <c r="N515" s="2" t="inlineStr">
        <is>
          <t>20260626900451</t>
        </is>
      </c>
      <c r="O515" s="8">
        <f>HYPERLINK("https://dart.fss.or.kr/dsaf001/main.do?rcpNo=20260626900451", "공시열람")</f>
        <v/>
      </c>
    </row>
    <row r="516" ht="36" customHeight="1">
      <c r="A516" s="2" t="inlineStr">
        <is>
          <t>2026-06-26</t>
        </is>
      </c>
      <c r="B516" s="3" t="inlineStr">
        <is>
          <t>티이엠씨씨엔에스</t>
        </is>
      </c>
      <c r="C516" s="2" t="inlineStr">
        <is>
          <t>코스닥</t>
        </is>
      </c>
      <c r="D516" s="2" t="inlineStr">
        <is>
          <t>241790</t>
        </is>
      </c>
      <c r="E516" s="2" t="inlineStr">
        <is>
          <t>단일판매공급계약체결</t>
        </is>
      </c>
      <c r="F516" s="3" t="inlineStr">
        <is>
          <t xml:space="preserve">단일판매ㆍ공급계약체결              </t>
        </is>
      </c>
      <c r="G516" s="7" t="inlineStr">
        <is>
          <t>Chemical 공급장치 공급계약</t>
        </is>
      </c>
      <c r="H516" s="2" t="inlineStr">
        <is>
          <t>2026-06-24</t>
        </is>
      </c>
      <c r="I516" s="2" t="inlineStr">
        <is>
          <t>2026-11-30</t>
        </is>
      </c>
      <c r="J516" s="5" t="n">
        <v>25248900000</v>
      </c>
      <c r="K516" s="2" t="inlineStr">
        <is>
          <t>-</t>
        </is>
      </c>
      <c r="L516" s="13" t="n">
        <v>15.03</v>
      </c>
      <c r="M516" s="7" t="inlineStr">
        <is>
          <t>SK Hynix</t>
        </is>
      </c>
      <c r="N516" s="2" t="inlineStr">
        <is>
          <t>20260626900449</t>
        </is>
      </c>
      <c r="O516" s="8">
        <f>HYPERLINK("https://dart.fss.or.kr/dsaf001/main.do?rcpNo=20260626900449", "공시열람")</f>
        <v/>
      </c>
    </row>
    <row r="517" ht="36" customHeight="1">
      <c r="A517" s="2" t="inlineStr">
        <is>
          <t>2026-06-26</t>
        </is>
      </c>
      <c r="B517" s="3" t="inlineStr">
        <is>
          <t>남광토건</t>
        </is>
      </c>
      <c r="C517" s="2" t="inlineStr">
        <is>
          <t>코스피</t>
        </is>
      </c>
      <c r="D517" s="2" t="inlineStr">
        <is>
          <t>001260</t>
        </is>
      </c>
      <c r="E517" s="2" t="inlineStr">
        <is>
          <t>단일판매공급계약체결</t>
        </is>
      </c>
      <c r="F517" s="3" t="inlineStr">
        <is>
          <t xml:space="preserve">단일판매ㆍ공급계약체결              </t>
        </is>
      </c>
      <c r="G517" s="7" t="inlineStr">
        <is>
          <t>양주회천 A-23BL 및 A-4BL 통합형 민간참여 공공주택건설사업</t>
        </is>
      </c>
      <c r="H517" s="2" t="inlineStr">
        <is>
          <t>2026-06-25</t>
        </is>
      </c>
      <c r="I517" s="2" t="inlineStr">
        <is>
          <t>2030-08-31</t>
        </is>
      </c>
      <c r="J517" s="5" t="n">
        <v>188266921226</v>
      </c>
      <c r="K517" s="2" t="inlineStr">
        <is>
          <t>-</t>
        </is>
      </c>
      <c r="L517" s="13" t="n">
        <v>52.67</v>
      </c>
      <c r="M517" s="7" t="inlineStr">
        <is>
          <t>한국토지주택공사</t>
        </is>
      </c>
      <c r="N517" s="2" t="inlineStr">
        <is>
          <t>20260626800130</t>
        </is>
      </c>
      <c r="O517" s="8">
        <f>HYPERLINK("https://dart.fss.or.kr/dsaf001/main.do?rcpNo=20260626800130", "공시열람")</f>
        <v/>
      </c>
    </row>
    <row r="518" ht="36" customHeight="1">
      <c r="A518" s="2" t="inlineStr">
        <is>
          <t>2026-06-30</t>
        </is>
      </c>
      <c r="B518" s="3" t="inlineStr">
        <is>
          <t>에이직랜드</t>
        </is>
      </c>
      <c r="C518" s="2" t="inlineStr">
        <is>
          <t>코스닥</t>
        </is>
      </c>
      <c r="D518" s="2" t="inlineStr">
        <is>
          <t>445090</t>
        </is>
      </c>
      <c r="E518" s="2" t="inlineStr">
        <is>
          <t>단일판매공급계약체결</t>
        </is>
      </c>
      <c r="F518" s="3" t="inlineStr">
        <is>
          <t xml:space="preserve">[기재정정]단일판매ㆍ공급계약체결              </t>
        </is>
      </c>
      <c r="G518" s="7" t="inlineStr">
        <is>
          <t>-</t>
        </is>
      </c>
      <c r="H518" s="2" t="inlineStr">
        <is>
          <t>-</t>
        </is>
      </c>
      <c r="I518" s="2" t="inlineStr">
        <is>
          <t>-</t>
        </is>
      </c>
      <c r="J518" s="5" t="inlineStr"/>
      <c r="K518" s="2" t="inlineStr">
        <is>
          <t>-</t>
        </is>
      </c>
      <c r="L518" s="3" t="inlineStr"/>
      <c r="M518" s="7" t="inlineStr">
        <is>
          <t>-</t>
        </is>
      </c>
      <c r="N518" s="2" t="inlineStr">
        <is>
          <t>20260630901157</t>
        </is>
      </c>
      <c r="O518" s="8">
        <f>HYPERLINK("https://dart.fss.or.kr/dsaf001/main.do?rcpNo=20260630901157", "공시열람")</f>
        <v/>
      </c>
    </row>
    <row r="519" ht="36" customHeight="1">
      <c r="A519" s="2" t="inlineStr">
        <is>
          <t>2026-06-30</t>
        </is>
      </c>
      <c r="B519" s="3" t="inlineStr">
        <is>
          <t>삼부토건</t>
        </is>
      </c>
      <c r="C519" s="2" t="inlineStr">
        <is>
          <t>코스피</t>
        </is>
      </c>
      <c r="D519" s="2" t="inlineStr">
        <is>
          <t>001470</t>
        </is>
      </c>
      <c r="E519" s="2" t="inlineStr">
        <is>
          <t>단일판매공급계약체결</t>
        </is>
      </c>
      <c r="F519" s="3" t="inlineStr">
        <is>
          <t xml:space="preserve">[기재정정]단일판매ㆍ공급계약체결              </t>
        </is>
      </c>
      <c r="G519" s="7" t="inlineStr">
        <is>
          <t>-</t>
        </is>
      </c>
      <c r="H519" s="2" t="inlineStr">
        <is>
          <t>-</t>
        </is>
      </c>
      <c r="I519" s="2" t="inlineStr">
        <is>
          <t>-</t>
        </is>
      </c>
      <c r="J519" s="5" t="inlineStr"/>
      <c r="K519" s="2" t="inlineStr">
        <is>
          <t>-</t>
        </is>
      </c>
      <c r="L519" s="3" t="inlineStr"/>
      <c r="M519" s="7" t="inlineStr">
        <is>
          <t>-</t>
        </is>
      </c>
      <c r="N519" s="2" t="inlineStr">
        <is>
          <t>20260630801064</t>
        </is>
      </c>
      <c r="O519" s="8">
        <f>HYPERLINK("https://dart.fss.or.kr/dsaf001/main.do?rcpNo=20260630801064", "공시열람")</f>
        <v/>
      </c>
    </row>
    <row r="520" ht="36" customHeight="1">
      <c r="A520" s="2" t="inlineStr">
        <is>
          <t>2026-06-30</t>
        </is>
      </c>
      <c r="B520" s="3" t="inlineStr">
        <is>
          <t>SK디앤디</t>
        </is>
      </c>
      <c r="C520" s="2" t="inlineStr">
        <is>
          <t>코스피</t>
        </is>
      </c>
      <c r="D520" s="2" t="inlineStr">
        <is>
          <t>210980</t>
        </is>
      </c>
      <c r="E520" s="2" t="inlineStr">
        <is>
          <t>단일판매공급계약체결</t>
        </is>
      </c>
      <c r="F520" s="3" t="inlineStr">
        <is>
          <t xml:space="preserve">단일판매ㆍ공급계약체결              </t>
        </is>
      </c>
      <c r="G520" s="7" t="inlineStr">
        <is>
          <t>-</t>
        </is>
      </c>
      <c r="H520" s="2" t="inlineStr">
        <is>
          <t>-</t>
        </is>
      </c>
      <c r="I520" s="2" t="inlineStr">
        <is>
          <t>-</t>
        </is>
      </c>
      <c r="J520" s="5" t="inlineStr"/>
      <c r="K520" s="2" t="inlineStr">
        <is>
          <t>-</t>
        </is>
      </c>
      <c r="L520" s="3" t="inlineStr"/>
      <c r="M520" s="7" t="inlineStr">
        <is>
          <t>-</t>
        </is>
      </c>
      <c r="N520" s="2" t="inlineStr">
        <is>
          <t>20260630801056</t>
        </is>
      </c>
      <c r="O520" s="8">
        <f>HYPERLINK("https://dart.fss.or.kr/dsaf001/main.do?rcpNo=20260630801056", "공시열람")</f>
        <v/>
      </c>
    </row>
    <row r="521" ht="36" customHeight="1">
      <c r="A521" s="2" t="inlineStr">
        <is>
          <t>2026-06-30</t>
        </is>
      </c>
      <c r="B521" s="3" t="inlineStr">
        <is>
          <t>다원시스</t>
        </is>
      </c>
      <c r="C521" s="2" t="inlineStr">
        <is>
          <t>코스닥</t>
        </is>
      </c>
      <c r="D521" s="2" t="inlineStr">
        <is>
          <t>068240</t>
        </is>
      </c>
      <c r="E521" s="2" t="inlineStr">
        <is>
          <t>단일판매공급계약체결</t>
        </is>
      </c>
      <c r="F521" s="3" t="inlineStr">
        <is>
          <t xml:space="preserve">[기재정정]단일판매ㆍ공급계약체결              </t>
        </is>
      </c>
      <c r="G521" s="7" t="inlineStr">
        <is>
          <t>-</t>
        </is>
      </c>
      <c r="H521" s="2" t="inlineStr">
        <is>
          <t>-</t>
        </is>
      </c>
      <c r="I521" s="2" t="inlineStr">
        <is>
          <t>-</t>
        </is>
      </c>
      <c r="J521" s="5" t="inlineStr"/>
      <c r="K521" s="2" t="inlineStr">
        <is>
          <t>-</t>
        </is>
      </c>
      <c r="L521" s="3" t="inlineStr"/>
      <c r="M521" s="7" t="inlineStr">
        <is>
          <t>-</t>
        </is>
      </c>
      <c r="N521" s="2" t="inlineStr">
        <is>
          <t>20260630901171</t>
        </is>
      </c>
      <c r="O521" s="8">
        <f>HYPERLINK("https://dart.fss.or.kr/dsaf001/main.do?rcpNo=20260630901171", "공시열람")</f>
        <v/>
      </c>
    </row>
    <row r="522" ht="36" customHeight="1">
      <c r="A522" s="2" t="inlineStr">
        <is>
          <t>2026-06-30</t>
        </is>
      </c>
      <c r="B522" s="3" t="inlineStr">
        <is>
          <t>에스비비테크</t>
        </is>
      </c>
      <c r="C522" s="2" t="inlineStr">
        <is>
          <t>코스닥</t>
        </is>
      </c>
      <c r="D522" s="2" t="inlineStr">
        <is>
          <t>389500</t>
        </is>
      </c>
      <c r="E522" s="2" t="inlineStr">
        <is>
          <t>단일판매공급계약체결</t>
        </is>
      </c>
      <c r="F522" s="3" t="inlineStr">
        <is>
          <t xml:space="preserve">[기재정정]단일판매ㆍ공급계약체결              </t>
        </is>
      </c>
      <c r="G522" s="7" t="inlineStr">
        <is>
          <t>-</t>
        </is>
      </c>
      <c r="H522" s="2" t="inlineStr">
        <is>
          <t>-</t>
        </is>
      </c>
      <c r="I522" s="2" t="inlineStr">
        <is>
          <t>-</t>
        </is>
      </c>
      <c r="J522" s="5" t="inlineStr"/>
      <c r="K522" s="2" t="inlineStr">
        <is>
          <t>-</t>
        </is>
      </c>
      <c r="L522" s="3" t="inlineStr"/>
      <c r="M522" s="7" t="inlineStr">
        <is>
          <t>-</t>
        </is>
      </c>
      <c r="N522" s="2" t="inlineStr">
        <is>
          <t>20260630900948</t>
        </is>
      </c>
      <c r="O522" s="8">
        <f>HYPERLINK("https://dart.fss.or.kr/dsaf001/main.do?rcpNo=20260630900948", "공시열람")</f>
        <v/>
      </c>
    </row>
    <row r="523" ht="36" customHeight="1">
      <c r="A523" s="2" t="inlineStr">
        <is>
          <t>2026-06-30</t>
        </is>
      </c>
      <c r="B523" s="3" t="inlineStr">
        <is>
          <t>닷밀</t>
        </is>
      </c>
      <c r="C523" s="2" t="inlineStr">
        <is>
          <t>코스닥</t>
        </is>
      </c>
      <c r="D523" s="2" t="inlineStr">
        <is>
          <t>464580</t>
        </is>
      </c>
      <c r="E523" s="2" t="inlineStr">
        <is>
          <t>단일판매공급계약체결</t>
        </is>
      </c>
      <c r="F523" s="3" t="inlineStr">
        <is>
          <t xml:space="preserve">[기재정정]단일판매ㆍ공급계약체결(자율공시)              </t>
        </is>
      </c>
      <c r="G523" s="7" t="inlineStr">
        <is>
          <t>-</t>
        </is>
      </c>
      <c r="H523" s="2" t="inlineStr">
        <is>
          <t>-</t>
        </is>
      </c>
      <c r="I523" s="2" t="inlineStr">
        <is>
          <t>-</t>
        </is>
      </c>
      <c r="J523" s="5" t="inlineStr"/>
      <c r="K523" s="2" t="inlineStr">
        <is>
          <t>-</t>
        </is>
      </c>
      <c r="L523" s="3" t="inlineStr"/>
      <c r="M523" s="7" t="inlineStr">
        <is>
          <t>-</t>
        </is>
      </c>
      <c r="N523" s="2" t="inlineStr">
        <is>
          <t>20260630900946</t>
        </is>
      </c>
      <c r="O523" s="8">
        <f>HYPERLINK("https://dart.fss.or.kr/dsaf001/main.do?rcpNo=20260630900946", "공시열람")</f>
        <v/>
      </c>
    </row>
    <row r="524" ht="36" customHeight="1">
      <c r="A524" s="2" t="inlineStr">
        <is>
          <t>2026-06-30</t>
        </is>
      </c>
      <c r="B524" s="3" t="inlineStr">
        <is>
          <t>미래산업</t>
        </is>
      </c>
      <c r="C524" s="2" t="inlineStr">
        <is>
          <t>코스피</t>
        </is>
      </c>
      <c r="D524" s="2" t="inlineStr">
        <is>
          <t>025560</t>
        </is>
      </c>
      <c r="E524" s="2" t="inlineStr">
        <is>
          <t>단일판매공급계약체결</t>
        </is>
      </c>
      <c r="F524" s="3" t="inlineStr">
        <is>
          <t xml:space="preserve">[기재정정]단일판매ㆍ공급계약체결              </t>
        </is>
      </c>
      <c r="G524" s="7" t="inlineStr">
        <is>
          <t>-</t>
        </is>
      </c>
      <c r="H524" s="2" t="inlineStr">
        <is>
          <t>-</t>
        </is>
      </c>
      <c r="I524" s="2" t="inlineStr">
        <is>
          <t>-</t>
        </is>
      </c>
      <c r="J524" s="5" t="inlineStr"/>
      <c r="K524" s="2" t="inlineStr">
        <is>
          <t>-</t>
        </is>
      </c>
      <c r="L524" s="3" t="inlineStr"/>
      <c r="M524" s="7" t="inlineStr">
        <is>
          <t>-</t>
        </is>
      </c>
      <c r="N524" s="2" t="inlineStr">
        <is>
          <t>20260630801047</t>
        </is>
      </c>
      <c r="O524" s="8">
        <f>HYPERLINK("https://dart.fss.or.kr/dsaf001/main.do?rcpNo=20260630801047", "공시열람")</f>
        <v/>
      </c>
    </row>
    <row r="525" ht="36" customHeight="1">
      <c r="A525" s="2" t="inlineStr">
        <is>
          <t>2026-06-30</t>
        </is>
      </c>
      <c r="B525" s="3" t="inlineStr">
        <is>
          <t>신화프리텍</t>
        </is>
      </c>
      <c r="C525" s="2" t="inlineStr">
        <is>
          <t>코스닥</t>
        </is>
      </c>
      <c r="D525" s="2" t="inlineStr">
        <is>
          <t>095190</t>
        </is>
      </c>
      <c r="E525" s="2" t="inlineStr">
        <is>
          <t>단일판매공급계약체결</t>
        </is>
      </c>
      <c r="F525" s="3" t="inlineStr">
        <is>
          <t xml:space="preserve">[기재정정]단일판매ㆍ공급계약체결(자율공시)              </t>
        </is>
      </c>
      <c r="G525" s="7" t="inlineStr">
        <is>
          <t>-</t>
        </is>
      </c>
      <c r="H525" s="2" t="inlineStr">
        <is>
          <t>-</t>
        </is>
      </c>
      <c r="I525" s="2" t="inlineStr">
        <is>
          <t>-</t>
        </is>
      </c>
      <c r="J525" s="5" t="inlineStr"/>
      <c r="K525" s="2" t="inlineStr">
        <is>
          <t>-</t>
        </is>
      </c>
      <c r="L525" s="3" t="inlineStr"/>
      <c r="M525" s="7" t="inlineStr">
        <is>
          <t>-</t>
        </is>
      </c>
      <c r="N525" s="2" t="inlineStr">
        <is>
          <t>20260630901030</t>
        </is>
      </c>
      <c r="O525" s="8">
        <f>HYPERLINK("https://dart.fss.or.kr/dsaf001/main.do?rcpNo=20260630901030", "공시열람")</f>
        <v/>
      </c>
    </row>
    <row r="526" ht="36" customHeight="1">
      <c r="A526" s="2" t="inlineStr">
        <is>
          <t>2026-06-30</t>
        </is>
      </c>
      <c r="B526" s="3" t="inlineStr">
        <is>
          <t>현대오토에버</t>
        </is>
      </c>
      <c r="C526" s="2" t="inlineStr">
        <is>
          <t>코스피</t>
        </is>
      </c>
      <c r="D526" s="2" t="inlineStr">
        <is>
          <t>307950</t>
        </is>
      </c>
      <c r="E526" s="2" t="inlineStr">
        <is>
          <t>단일판매공급계약체결</t>
        </is>
      </c>
      <c r="F526" s="3" t="inlineStr">
        <is>
          <t xml:space="preserve">[기재정정]단일판매ㆍ공급계약체결              </t>
        </is>
      </c>
      <c r="G526" s="7" t="inlineStr">
        <is>
          <t>-</t>
        </is>
      </c>
      <c r="H526" s="2" t="inlineStr">
        <is>
          <t>-</t>
        </is>
      </c>
      <c r="I526" s="2" t="inlineStr">
        <is>
          <t>-</t>
        </is>
      </c>
      <c r="J526" s="5" t="inlineStr"/>
      <c r="K526" s="2" t="inlineStr">
        <is>
          <t>-</t>
        </is>
      </c>
      <c r="L526" s="3" t="inlineStr"/>
      <c r="M526" s="7" t="inlineStr">
        <is>
          <t>-</t>
        </is>
      </c>
      <c r="N526" s="2" t="inlineStr">
        <is>
          <t>20260630801093</t>
        </is>
      </c>
      <c r="O526" s="8">
        <f>HYPERLINK("https://dart.fss.or.kr/dsaf001/main.do?rcpNo=20260630801093", "공시열람")</f>
        <v/>
      </c>
    </row>
    <row r="527" ht="36" customHeight="1">
      <c r="A527" s="2" t="inlineStr">
        <is>
          <t>2026-06-30</t>
        </is>
      </c>
      <c r="B527" s="3" t="inlineStr">
        <is>
          <t>신성이엔지</t>
        </is>
      </c>
      <c r="C527" s="2" t="inlineStr">
        <is>
          <t>코스피</t>
        </is>
      </c>
      <c r="D527" s="2" t="inlineStr">
        <is>
          <t>011930</t>
        </is>
      </c>
      <c r="E527" s="2" t="inlineStr">
        <is>
          <t>단일판매공급계약체결</t>
        </is>
      </c>
      <c r="F527" s="3" t="inlineStr">
        <is>
          <t xml:space="preserve">[기재정정]단일판매ㆍ공급계약체결(자율공시)              </t>
        </is>
      </c>
      <c r="G527" s="7" t="inlineStr">
        <is>
          <t>-</t>
        </is>
      </c>
      <c r="H527" s="2" t="inlineStr">
        <is>
          <t>-</t>
        </is>
      </c>
      <c r="I527" s="2" t="inlineStr">
        <is>
          <t>-</t>
        </is>
      </c>
      <c r="J527" s="5" t="inlineStr"/>
      <c r="K527" s="2" t="inlineStr">
        <is>
          <t>-</t>
        </is>
      </c>
      <c r="L527" s="3" t="inlineStr"/>
      <c r="M527" s="7" t="inlineStr">
        <is>
          <t>-</t>
        </is>
      </c>
      <c r="N527" s="2" t="inlineStr">
        <is>
          <t>20260630801067</t>
        </is>
      </c>
      <c r="O527" s="8">
        <f>HYPERLINK("https://dart.fss.or.kr/dsaf001/main.do?rcpNo=20260630801067", "공시열람")</f>
        <v/>
      </c>
    </row>
    <row r="528" ht="36" customHeight="1">
      <c r="A528" s="2" t="inlineStr">
        <is>
          <t>2026-06-30</t>
        </is>
      </c>
      <c r="B528" s="3" t="inlineStr">
        <is>
          <t>비나텍</t>
        </is>
      </c>
      <c r="C528" s="2" t="inlineStr">
        <is>
          <t>코스닥</t>
        </is>
      </c>
      <c r="D528" s="2" t="inlineStr">
        <is>
          <t>126340</t>
        </is>
      </c>
      <c r="E528" s="2" t="inlineStr">
        <is>
          <t>단일판매공급계약체결</t>
        </is>
      </c>
      <c r="F528" s="3" t="inlineStr">
        <is>
          <t xml:space="preserve">단일판매ㆍ공급계약체결              </t>
        </is>
      </c>
      <c r="G528" s="7" t="inlineStr">
        <is>
          <t>-</t>
        </is>
      </c>
      <c r="H528" s="2" t="inlineStr">
        <is>
          <t>-</t>
        </is>
      </c>
      <c r="I528" s="2" t="inlineStr">
        <is>
          <t>-</t>
        </is>
      </c>
      <c r="J528" s="5" t="inlineStr"/>
      <c r="K528" s="2" t="inlineStr">
        <is>
          <t>-</t>
        </is>
      </c>
      <c r="L528" s="3" t="inlineStr"/>
      <c r="M528" s="7" t="inlineStr">
        <is>
          <t>-</t>
        </is>
      </c>
      <c r="N528" s="2" t="inlineStr">
        <is>
          <t>20260630900898</t>
        </is>
      </c>
      <c r="O528" s="8">
        <f>HYPERLINK("https://dart.fss.or.kr/dsaf001/main.do?rcpNo=20260630900898", "공시열람")</f>
        <v/>
      </c>
    </row>
    <row r="529" ht="36" customHeight="1">
      <c r="A529" s="2" t="inlineStr">
        <is>
          <t>2026-06-30</t>
        </is>
      </c>
      <c r="B529" s="3" t="inlineStr">
        <is>
          <t>한화엔진</t>
        </is>
      </c>
      <c r="C529" s="2" t="inlineStr">
        <is>
          <t>코스피</t>
        </is>
      </c>
      <c r="D529" s="2" t="inlineStr">
        <is>
          <t>082740</t>
        </is>
      </c>
      <c r="E529" s="2" t="inlineStr">
        <is>
          <t>단일판매공급계약체결</t>
        </is>
      </c>
      <c r="F529" s="3" t="inlineStr">
        <is>
          <t xml:space="preserve">단일판매ㆍ공급계약체결              </t>
        </is>
      </c>
      <c r="G529" s="7" t="inlineStr">
        <is>
          <t>-</t>
        </is>
      </c>
      <c r="H529" s="2" t="inlineStr">
        <is>
          <t>-</t>
        </is>
      </c>
      <c r="I529" s="2" t="inlineStr">
        <is>
          <t>-</t>
        </is>
      </c>
      <c r="J529" s="5" t="inlineStr"/>
      <c r="K529" s="2" t="inlineStr">
        <is>
          <t>-</t>
        </is>
      </c>
      <c r="L529" s="3" t="inlineStr"/>
      <c r="M529" s="7" t="inlineStr">
        <is>
          <t>-</t>
        </is>
      </c>
      <c r="N529" s="2" t="inlineStr">
        <is>
          <t>20260630800917</t>
        </is>
      </c>
      <c r="O529" s="8">
        <f>HYPERLINK("https://dart.fss.or.kr/dsaf001/main.do?rcpNo=20260630800917", "공시열람")</f>
        <v/>
      </c>
    </row>
    <row r="530" ht="36" customHeight="1">
      <c r="A530" s="2" t="inlineStr">
        <is>
          <t>2026-06-30</t>
        </is>
      </c>
      <c r="B530" s="3" t="inlineStr">
        <is>
          <t>금화피에스시</t>
        </is>
      </c>
      <c r="C530" s="2" t="inlineStr">
        <is>
          <t>코스닥</t>
        </is>
      </c>
      <c r="D530" s="2" t="inlineStr">
        <is>
          <t>036190</t>
        </is>
      </c>
      <c r="E530" s="2" t="inlineStr">
        <is>
          <t>단일판매공급계약체결</t>
        </is>
      </c>
      <c r="F530" s="3" t="inlineStr">
        <is>
          <t xml:space="preserve">[기재정정]단일판매ㆍ공급계약체결              </t>
        </is>
      </c>
      <c r="G530" s="7" t="inlineStr">
        <is>
          <t>-</t>
        </is>
      </c>
      <c r="H530" s="2" t="inlineStr">
        <is>
          <t>-</t>
        </is>
      </c>
      <c r="I530" s="2" t="inlineStr">
        <is>
          <t>-</t>
        </is>
      </c>
      <c r="J530" s="5" t="inlineStr"/>
      <c r="K530" s="2" t="inlineStr">
        <is>
          <t>-</t>
        </is>
      </c>
      <c r="L530" s="3" t="inlineStr"/>
      <c r="M530" s="7" t="inlineStr">
        <is>
          <t>-</t>
        </is>
      </c>
      <c r="N530" s="2" t="inlineStr">
        <is>
          <t>20260630900977</t>
        </is>
      </c>
      <c r="O530" s="8">
        <f>HYPERLINK("https://dart.fss.or.kr/dsaf001/main.do?rcpNo=20260630900977", "공시열람")</f>
        <v/>
      </c>
    </row>
    <row r="531" ht="36" customHeight="1">
      <c r="A531" s="2" t="inlineStr">
        <is>
          <t>2026-06-30</t>
        </is>
      </c>
      <c r="B531" s="3" t="inlineStr">
        <is>
          <t>포바이포</t>
        </is>
      </c>
      <c r="C531" s="2" t="inlineStr">
        <is>
          <t>코스닥</t>
        </is>
      </c>
      <c r="D531" s="2" t="inlineStr">
        <is>
          <t>389140</t>
        </is>
      </c>
      <c r="E531" s="2" t="inlineStr">
        <is>
          <t>단일판매공급계약체결</t>
        </is>
      </c>
      <c r="F531" s="3" t="inlineStr">
        <is>
          <t xml:space="preserve">[기재정정]단일판매ㆍ공급계약체결(자율공시)              </t>
        </is>
      </c>
      <c r="G531" s="7" t="inlineStr">
        <is>
          <t>-</t>
        </is>
      </c>
      <c r="H531" s="2" t="inlineStr">
        <is>
          <t>-</t>
        </is>
      </c>
      <c r="I531" s="2" t="inlineStr">
        <is>
          <t>-</t>
        </is>
      </c>
      <c r="J531" s="5" t="inlineStr"/>
      <c r="K531" s="2" t="inlineStr">
        <is>
          <t>-</t>
        </is>
      </c>
      <c r="L531" s="3" t="inlineStr"/>
      <c r="M531" s="7" t="inlineStr">
        <is>
          <t>-</t>
        </is>
      </c>
      <c r="N531" s="2" t="inlineStr">
        <is>
          <t>20260630900989</t>
        </is>
      </c>
      <c r="O531" s="8">
        <f>HYPERLINK("https://dart.fss.or.kr/dsaf001/main.do?rcpNo=20260630900989", "공시열람")</f>
        <v/>
      </c>
    </row>
    <row r="532" ht="36" customHeight="1">
      <c r="A532" s="2" t="inlineStr">
        <is>
          <t>2026-06-30</t>
        </is>
      </c>
      <c r="B532" s="3" t="inlineStr">
        <is>
          <t>세명전기</t>
        </is>
      </c>
      <c r="C532" s="2" t="inlineStr">
        <is>
          <t>코스닥</t>
        </is>
      </c>
      <c r="D532" s="2" t="inlineStr">
        <is>
          <t>017510</t>
        </is>
      </c>
      <c r="E532" s="2" t="inlineStr">
        <is>
          <t>단일판매공급계약체결</t>
        </is>
      </c>
      <c r="F532" s="3" t="inlineStr">
        <is>
          <t xml:space="preserve">[기재정정]단일판매ㆍ공급계약체결              </t>
        </is>
      </c>
      <c r="G532" s="7" t="inlineStr">
        <is>
          <t>-</t>
        </is>
      </c>
      <c r="H532" s="2" t="inlineStr">
        <is>
          <t>-</t>
        </is>
      </c>
      <c r="I532" s="2" t="inlineStr">
        <is>
          <t>-</t>
        </is>
      </c>
      <c r="J532" s="5" t="inlineStr"/>
      <c r="K532" s="2" t="inlineStr">
        <is>
          <t>-</t>
        </is>
      </c>
      <c r="L532" s="3" t="inlineStr"/>
      <c r="M532" s="7" t="inlineStr">
        <is>
          <t>-</t>
        </is>
      </c>
      <c r="N532" s="2" t="inlineStr">
        <is>
          <t>20260630900959</t>
        </is>
      </c>
      <c r="O532" s="8">
        <f>HYPERLINK("https://dart.fss.or.kr/dsaf001/main.do?rcpNo=20260630900959", "공시열람")</f>
        <v/>
      </c>
    </row>
    <row r="533" ht="36" customHeight="1">
      <c r="A533" s="2" t="inlineStr">
        <is>
          <t>2026-06-30</t>
        </is>
      </c>
      <c r="B533" s="3" t="inlineStr">
        <is>
          <t>신화프리텍</t>
        </is>
      </c>
      <c r="C533" s="2" t="inlineStr">
        <is>
          <t>코스닥</t>
        </is>
      </c>
      <c r="D533" s="2" t="inlineStr">
        <is>
          <t>095190</t>
        </is>
      </c>
      <c r="E533" s="2" t="inlineStr">
        <is>
          <t>단일판매공급계약체결</t>
        </is>
      </c>
      <c r="F533" s="3" t="inlineStr">
        <is>
          <t xml:space="preserve">[기재정정]단일판매ㆍ공급계약체결(자율공시)              </t>
        </is>
      </c>
      <c r="G533" s="7" t="inlineStr">
        <is>
          <t>-</t>
        </is>
      </c>
      <c r="H533" s="2" t="inlineStr">
        <is>
          <t>-</t>
        </is>
      </c>
      <c r="I533" s="2" t="inlineStr">
        <is>
          <t>-</t>
        </is>
      </c>
      <c r="J533" s="5" t="inlineStr"/>
      <c r="K533" s="2" t="inlineStr">
        <is>
          <t>-</t>
        </is>
      </c>
      <c r="L533" s="3" t="inlineStr"/>
      <c r="M533" s="7" t="inlineStr">
        <is>
          <t>-</t>
        </is>
      </c>
      <c r="N533" s="2" t="inlineStr">
        <is>
          <t>20260630900876</t>
        </is>
      </c>
      <c r="O533" s="8">
        <f>HYPERLINK("https://dart.fss.or.kr/dsaf001/main.do?rcpNo=20260630900876", "공시열람")</f>
        <v/>
      </c>
    </row>
    <row r="534" ht="36" customHeight="1">
      <c r="A534" s="2" t="inlineStr">
        <is>
          <t>2026-06-30 (정정: 2026-06-30)</t>
        </is>
      </c>
      <c r="B534" s="3" t="inlineStr">
        <is>
          <t>HJ중공업</t>
        </is>
      </c>
      <c r="C534" s="2" t="inlineStr">
        <is>
          <t>코스피</t>
        </is>
      </c>
      <c r="D534" s="2" t="inlineStr">
        <is>
          <t>097230</t>
        </is>
      </c>
      <c r="E534" s="2" t="inlineStr">
        <is>
          <t>단일판매공급계약체결</t>
        </is>
      </c>
      <c r="F534" s="3" t="inlineStr">
        <is>
          <t>단일판매ㆍ공급계약체결               (정정: 20260630)</t>
        </is>
      </c>
      <c r="G534" s="7" t="inlineStr">
        <is>
          <t>춘천~속초 철도건설 제1공구 노반공사</t>
        </is>
      </c>
      <c r="H534" s="2" t="inlineStr">
        <is>
          <t>2022-09-05</t>
        </is>
      </c>
      <c r="I534" s="2" t="inlineStr">
        <is>
          <t>2028-02-29</t>
        </is>
      </c>
      <c r="J534" s="5" t="n">
        <v>124213190000</v>
      </c>
      <c r="K534" s="2" t="inlineStr">
        <is>
          <t>-</t>
        </is>
      </c>
      <c r="L534" s="13" t="n">
        <v>7.28</v>
      </c>
      <c r="M534" s="7" t="inlineStr">
        <is>
          <t>국가철도공단</t>
        </is>
      </c>
      <c r="N534" s="2" t="inlineStr">
        <is>
          <t>20260630800457</t>
        </is>
      </c>
      <c r="O534" s="8">
        <f>HYPERLINK("https://dart.fss.or.kr/dsaf001/main.do?rcpNo=20260630800457", "공시열람")</f>
        <v/>
      </c>
    </row>
    <row r="535" ht="36" customHeight="1">
      <c r="A535" s="2" t="inlineStr">
        <is>
          <t>2026-06-30</t>
        </is>
      </c>
      <c r="B535" s="3" t="inlineStr">
        <is>
          <t>스피어</t>
        </is>
      </c>
      <c r="C535" s="2" t="inlineStr">
        <is>
          <t>코스닥</t>
        </is>
      </c>
      <c r="D535" s="2" t="inlineStr">
        <is>
          <t>347700</t>
        </is>
      </c>
      <c r="E535" s="2" t="inlineStr">
        <is>
          <t>단일판매공급계약체결</t>
        </is>
      </c>
      <c r="F535" s="3" t="inlineStr">
        <is>
          <t xml:space="preserve">[기재정정]단일판매ㆍ공급계약체결              </t>
        </is>
      </c>
      <c r="G535" s="7" t="inlineStr">
        <is>
          <t>-</t>
        </is>
      </c>
      <c r="H535" s="2" t="inlineStr">
        <is>
          <t>-</t>
        </is>
      </c>
      <c r="I535" s="2" t="inlineStr">
        <is>
          <t>-</t>
        </is>
      </c>
      <c r="J535" s="5" t="inlineStr"/>
      <c r="K535" s="2" t="inlineStr">
        <is>
          <t>-</t>
        </is>
      </c>
      <c r="L535" s="3" t="inlineStr"/>
      <c r="M535" s="7" t="inlineStr">
        <is>
          <t>-</t>
        </is>
      </c>
      <c r="N535" s="2" t="inlineStr">
        <is>
          <t>20260630900803</t>
        </is>
      </c>
      <c r="O535" s="8">
        <f>HYPERLINK("https://dart.fss.or.kr/dsaf001/main.do?rcpNo=20260630900803", "공시열람")</f>
        <v/>
      </c>
    </row>
    <row r="536" ht="36" customHeight="1">
      <c r="A536" s="2" t="inlineStr">
        <is>
          <t>2026-06-30</t>
        </is>
      </c>
      <c r="B536" s="3" t="inlineStr">
        <is>
          <t>스피어</t>
        </is>
      </c>
      <c r="C536" s="2" t="inlineStr">
        <is>
          <t>코스닥</t>
        </is>
      </c>
      <c r="D536" s="2" t="inlineStr">
        <is>
          <t>347700</t>
        </is>
      </c>
      <c r="E536" s="2" t="inlineStr">
        <is>
          <t>단일판매공급계약체결</t>
        </is>
      </c>
      <c r="F536" s="3" t="inlineStr">
        <is>
          <t xml:space="preserve">[기재정정]단일판매ㆍ공급계약체결              </t>
        </is>
      </c>
      <c r="G536" s="7" t="inlineStr">
        <is>
          <t>-</t>
        </is>
      </c>
      <c r="H536" s="2" t="inlineStr">
        <is>
          <t>-</t>
        </is>
      </c>
      <c r="I536" s="2" t="inlineStr">
        <is>
          <t>-</t>
        </is>
      </c>
      <c r="J536" s="5" t="inlineStr"/>
      <c r="K536" s="2" t="inlineStr">
        <is>
          <t>-</t>
        </is>
      </c>
      <c r="L536" s="3" t="inlineStr"/>
      <c r="M536" s="7" t="inlineStr">
        <is>
          <t>-</t>
        </is>
      </c>
      <c r="N536" s="2" t="inlineStr">
        <is>
          <t>20260630900798</t>
        </is>
      </c>
      <c r="O536" s="8">
        <f>HYPERLINK("https://dart.fss.or.kr/dsaf001/main.do?rcpNo=20260630900798", "공시열람")</f>
        <v/>
      </c>
    </row>
    <row r="537" ht="36" customHeight="1">
      <c r="A537" s="2" t="inlineStr">
        <is>
          <t>2026-06-30</t>
        </is>
      </c>
      <c r="B537" s="3" t="inlineStr">
        <is>
          <t>CNT85</t>
        </is>
      </c>
      <c r="C537" s="2" t="inlineStr">
        <is>
          <t>코스닥</t>
        </is>
      </c>
      <c r="D537" s="2" t="inlineStr">
        <is>
          <t>056730</t>
        </is>
      </c>
      <c r="E537" s="2" t="inlineStr">
        <is>
          <t>단일판매공급계약체결</t>
        </is>
      </c>
      <c r="F537" s="3" t="inlineStr">
        <is>
          <t xml:space="preserve">[기재정정]단일판매ㆍ공급계약체결              </t>
        </is>
      </c>
      <c r="G537" s="7" t="inlineStr">
        <is>
          <t>-</t>
        </is>
      </c>
      <c r="H537" s="2" t="inlineStr">
        <is>
          <t>-</t>
        </is>
      </c>
      <c r="I537" s="2" t="inlineStr">
        <is>
          <t>-</t>
        </is>
      </c>
      <c r="J537" s="5" t="inlineStr"/>
      <c r="K537" s="2" t="inlineStr">
        <is>
          <t>-</t>
        </is>
      </c>
      <c r="L537" s="3" t="inlineStr"/>
      <c r="M537" s="7" t="inlineStr">
        <is>
          <t>-</t>
        </is>
      </c>
      <c r="N537" s="2" t="inlineStr">
        <is>
          <t>20260630900860</t>
        </is>
      </c>
      <c r="O537" s="8">
        <f>HYPERLINK("https://dart.fss.or.kr/dsaf001/main.do?rcpNo=20260630900860", "공시열람")</f>
        <v/>
      </c>
    </row>
    <row r="538" ht="36" customHeight="1">
      <c r="A538" s="2" t="inlineStr">
        <is>
          <t>2026-06-30</t>
        </is>
      </c>
      <c r="B538" s="3" t="inlineStr">
        <is>
          <t>일양약품</t>
        </is>
      </c>
      <c r="C538" s="2" t="inlineStr">
        <is>
          <t>코스피</t>
        </is>
      </c>
      <c r="D538" s="2" t="inlineStr">
        <is>
          <t>007570</t>
        </is>
      </c>
      <c r="E538" s="2" t="inlineStr">
        <is>
          <t>단일판매공급계약체결</t>
        </is>
      </c>
      <c r="F538" s="3" t="inlineStr">
        <is>
          <t xml:space="preserve">[기재정정]단일판매ㆍ공급계약체결              </t>
        </is>
      </c>
      <c r="G538" s="7" t="inlineStr">
        <is>
          <t>-</t>
        </is>
      </c>
      <c r="H538" s="2" t="inlineStr">
        <is>
          <t>-</t>
        </is>
      </c>
      <c r="I538" s="2" t="inlineStr">
        <is>
          <t>-</t>
        </is>
      </c>
      <c r="J538" s="5" t="inlineStr"/>
      <c r="K538" s="2" t="inlineStr">
        <is>
          <t>-</t>
        </is>
      </c>
      <c r="L538" s="3" t="inlineStr"/>
      <c r="M538" s="7" t="inlineStr">
        <is>
          <t>-</t>
        </is>
      </c>
      <c r="N538" s="2" t="inlineStr">
        <is>
          <t>20260630800808</t>
        </is>
      </c>
      <c r="O538" s="8">
        <f>HYPERLINK("https://dart.fss.or.kr/dsaf001/main.do?rcpNo=20260630800808", "공시열람")</f>
        <v/>
      </c>
    </row>
    <row r="539" ht="36" customHeight="1">
      <c r="A539" s="2" t="inlineStr">
        <is>
          <t>2026-06-30</t>
        </is>
      </c>
      <c r="B539" s="3" t="inlineStr">
        <is>
          <t>레이저쎌</t>
        </is>
      </c>
      <c r="C539" s="2" t="inlineStr">
        <is>
          <t>코스닥</t>
        </is>
      </c>
      <c r="D539" s="2" t="inlineStr">
        <is>
          <t>412350</t>
        </is>
      </c>
      <c r="E539" s="2" t="inlineStr">
        <is>
          <t>단일판매공급계약체결</t>
        </is>
      </c>
      <c r="F539" s="3" t="inlineStr">
        <is>
          <t xml:space="preserve">[기재정정]단일판매ㆍ공급계약체결              </t>
        </is>
      </c>
      <c r="G539" s="7" t="inlineStr">
        <is>
          <t>-</t>
        </is>
      </c>
      <c r="H539" s="2" t="inlineStr">
        <is>
          <t>-</t>
        </is>
      </c>
      <c r="I539" s="2" t="inlineStr">
        <is>
          <t>-</t>
        </is>
      </c>
      <c r="J539" s="5" t="inlineStr"/>
      <c r="K539" s="2" t="inlineStr">
        <is>
          <t>-</t>
        </is>
      </c>
      <c r="L539" s="3" t="inlineStr"/>
      <c r="M539" s="7" t="inlineStr">
        <is>
          <t>-</t>
        </is>
      </c>
      <c r="N539" s="2" t="inlineStr">
        <is>
          <t>20260630900807</t>
        </is>
      </c>
      <c r="O539" s="8">
        <f>HYPERLINK("https://dart.fss.or.kr/dsaf001/main.do?rcpNo=20260630900807", "공시열람")</f>
        <v/>
      </c>
    </row>
    <row r="540" ht="36" customHeight="1">
      <c r="A540" s="2" t="inlineStr">
        <is>
          <t>2026-06-30</t>
        </is>
      </c>
      <c r="B540" s="3" t="inlineStr">
        <is>
          <t>한국항공우주</t>
        </is>
      </c>
      <c r="C540" s="2" t="inlineStr">
        <is>
          <t>코스피</t>
        </is>
      </c>
      <c r="D540" s="2" t="inlineStr">
        <is>
          <t>047810</t>
        </is>
      </c>
      <c r="E540" s="2" t="inlineStr">
        <is>
          <t>단일판매공급계약체결</t>
        </is>
      </c>
      <c r="F540" s="3" t="inlineStr">
        <is>
          <t xml:space="preserve">[기재정정]단일판매ㆍ공급계약체결              </t>
        </is>
      </c>
      <c r="G540" s="7" t="inlineStr">
        <is>
          <t>-</t>
        </is>
      </c>
      <c r="H540" s="2" t="inlineStr">
        <is>
          <t>-</t>
        </is>
      </c>
      <c r="I540" s="2" t="inlineStr">
        <is>
          <t>-</t>
        </is>
      </c>
      <c r="J540" s="5" t="inlineStr"/>
      <c r="K540" s="2" t="inlineStr">
        <is>
          <t>-</t>
        </is>
      </c>
      <c r="L540" s="3" t="inlineStr"/>
      <c r="M540" s="7" t="inlineStr">
        <is>
          <t>-</t>
        </is>
      </c>
      <c r="N540" s="2" t="inlineStr">
        <is>
          <t>20260630800769</t>
        </is>
      </c>
      <c r="O540" s="8">
        <f>HYPERLINK("https://dart.fss.or.kr/dsaf001/main.do?rcpNo=20260630800769", "공시열람")</f>
        <v/>
      </c>
    </row>
    <row r="541" ht="36" customHeight="1">
      <c r="A541" s="2" t="inlineStr">
        <is>
          <t>2026-06-30</t>
        </is>
      </c>
      <c r="B541" s="3" t="inlineStr">
        <is>
          <t>HD현대</t>
        </is>
      </c>
      <c r="C541" s="2" t="inlineStr">
        <is>
          <t>코스피</t>
        </is>
      </c>
      <c r="D541" s="2" t="inlineStr">
        <is>
          <t>267250</t>
        </is>
      </c>
      <c r="E541" s="2" t="inlineStr">
        <is>
          <t>단일판매공급계약체결</t>
        </is>
      </c>
      <c r="F541" s="3" t="inlineStr">
        <is>
          <t xml:space="preserve">[기재정정]단일판매ㆍ공급계약체결(자회사의 주요경영사항)              </t>
        </is>
      </c>
      <c r="G541" s="7" t="inlineStr">
        <is>
          <t>-</t>
        </is>
      </c>
      <c r="H541" s="2" t="inlineStr">
        <is>
          <t>-</t>
        </is>
      </c>
      <c r="I541" s="2" t="inlineStr">
        <is>
          <t>-</t>
        </is>
      </c>
      <c r="J541" s="5" t="inlineStr"/>
      <c r="K541" s="2" t="inlineStr">
        <is>
          <t>-</t>
        </is>
      </c>
      <c r="L541" s="3" t="inlineStr"/>
      <c r="M541" s="7" t="inlineStr">
        <is>
          <t>-</t>
        </is>
      </c>
      <c r="N541" s="2" t="inlineStr">
        <is>
          <t>20260630800773</t>
        </is>
      </c>
      <c r="O541" s="8">
        <f>HYPERLINK("https://dart.fss.or.kr/dsaf001/main.do?rcpNo=20260630800773", "공시열람")</f>
        <v/>
      </c>
    </row>
    <row r="542" ht="36" customHeight="1">
      <c r="A542" s="2" t="inlineStr">
        <is>
          <t>2026-06-30</t>
        </is>
      </c>
      <c r="B542" s="3" t="inlineStr">
        <is>
          <t>자람테크놀로지</t>
        </is>
      </c>
      <c r="C542" s="2" t="inlineStr">
        <is>
          <t>코스닥</t>
        </is>
      </c>
      <c r="D542" s="2" t="inlineStr">
        <is>
          <t>389020</t>
        </is>
      </c>
      <c r="E542" s="2" t="inlineStr">
        <is>
          <t>단일판매공급계약체결</t>
        </is>
      </c>
      <c r="F542" s="3" t="inlineStr">
        <is>
          <t xml:space="preserve">[기재정정]단일판매ㆍ공급계약체결              </t>
        </is>
      </c>
      <c r="G542" s="7" t="inlineStr">
        <is>
          <t>XGSPON 주문형반도체(ASIC) 설계 및 공급계약</t>
        </is>
      </c>
      <c r="H542" s="2" t="inlineStr">
        <is>
          <t>2023-10-04</t>
        </is>
      </c>
      <c r="I542" s="2" t="inlineStr">
        <is>
          <t>2025-10-04</t>
        </is>
      </c>
      <c r="J542" s="5" t="n">
        <v>15527788300</v>
      </c>
      <c r="K542" s="2" t="inlineStr">
        <is>
          <t>-</t>
        </is>
      </c>
      <c r="L542" s="13" t="n">
        <v>96.3</v>
      </c>
      <c r="M542" s="7" t="inlineStr">
        <is>
          <t>Nokia Bell N.V</t>
        </is>
      </c>
      <c r="N542" s="2" t="inlineStr">
        <is>
          <t>20260630900655</t>
        </is>
      </c>
      <c r="O542" s="8">
        <f>HYPERLINK("https://dart.fss.or.kr/dsaf001/main.do?rcpNo=20260630900655", "공시열람")</f>
        <v/>
      </c>
    </row>
    <row r="543" ht="36" customHeight="1">
      <c r="A543" s="2" t="inlineStr">
        <is>
          <t>2026-06-30</t>
        </is>
      </c>
      <c r="B543" s="3" t="inlineStr">
        <is>
          <t>엔시스</t>
        </is>
      </c>
      <c r="C543" s="2" t="inlineStr">
        <is>
          <t>코스닥</t>
        </is>
      </c>
      <c r="D543" s="2" t="inlineStr">
        <is>
          <t>333620</t>
        </is>
      </c>
      <c r="E543" s="2" t="inlineStr">
        <is>
          <t>단일판매공급계약체결</t>
        </is>
      </c>
      <c r="F543" s="3" t="inlineStr">
        <is>
          <t xml:space="preserve">단일판매ㆍ공급계약해지              </t>
        </is>
      </c>
      <c r="G543" s="7" t="inlineStr">
        <is>
          <t>-</t>
        </is>
      </c>
      <c r="H543" s="2" t="inlineStr">
        <is>
          <t>2023-12-05</t>
        </is>
      </c>
      <c r="I543" s="2" t="inlineStr">
        <is>
          <t>2026-12-31</t>
        </is>
      </c>
      <c r="J543" s="5" t="inlineStr"/>
      <c r="K543" s="2" t="inlineStr">
        <is>
          <t>-</t>
        </is>
      </c>
      <c r="L543" s="13" t="n">
        <v>10.77</v>
      </c>
      <c r="M543" s="7" t="inlineStr">
        <is>
          <t>대한민국 소재의 2차전지 장비 회사</t>
        </is>
      </c>
      <c r="N543" s="2" t="inlineStr">
        <is>
          <t>20260630900660</t>
        </is>
      </c>
      <c r="O543" s="8">
        <f>HYPERLINK("https://dart.fss.or.kr/dsaf001/main.do?rcpNo=20260630900660", "공시열람")</f>
        <v/>
      </c>
    </row>
    <row r="544" ht="36" customHeight="1">
      <c r="A544" s="2" t="inlineStr">
        <is>
          <t>2024-12-17 (정정: 2026-06-30)</t>
        </is>
      </c>
      <c r="B544" s="3" t="inlineStr">
        <is>
          <t>서전기전</t>
        </is>
      </c>
      <c r="C544" s="2" t="inlineStr">
        <is>
          <t>코스닥</t>
        </is>
      </c>
      <c r="D544" s="2" t="inlineStr">
        <is>
          <t>189860</t>
        </is>
      </c>
      <c r="E544" s="2" t="inlineStr">
        <is>
          <t>단일판매공급계약체결</t>
        </is>
      </c>
      <c r="F544" s="3" t="inlineStr">
        <is>
          <t xml:space="preserve">[기재정정]단일판매ㆍ공급계약체결              </t>
        </is>
      </c>
      <c r="G544" s="7" t="inlineStr">
        <is>
          <t>100㎿ 수망태양광 태양광발전소 구축공사중 154kV 개폐소/변전소/발전소 구축공사</t>
        </is>
      </c>
      <c r="H544" s="2" t="inlineStr">
        <is>
          <t>2024-12-17</t>
        </is>
      </c>
      <c r="I544" s="2" t="inlineStr">
        <is>
          <t>2026-08-27</t>
        </is>
      </c>
      <c r="J544" s="5" t="n">
        <v>16800000000</v>
      </c>
      <c r="K544" s="2" t="inlineStr">
        <is>
          <t>-</t>
        </is>
      </c>
      <c r="L544" s="13" t="n">
        <v>38.3</v>
      </c>
      <c r="M544" s="7" t="inlineStr">
        <is>
          <t>금양그린파워(주) 다스코(주)</t>
        </is>
      </c>
      <c r="N544" s="2" t="inlineStr">
        <is>
          <t>20260630900584</t>
        </is>
      </c>
      <c r="O544" s="8">
        <f>HYPERLINK("https://dart.fss.or.kr/dsaf001/main.do?rcpNo=20260630900584", "공시열람")</f>
        <v/>
      </c>
    </row>
    <row r="545" ht="36" customHeight="1">
      <c r="A545" s="2" t="inlineStr">
        <is>
          <t>2026-06-30 (정정: 2026-06-30)</t>
        </is>
      </c>
      <c r="B545" s="3" t="inlineStr">
        <is>
          <t>케이엔에스</t>
        </is>
      </c>
      <c r="C545" s="2" t="inlineStr">
        <is>
          <t>코스닥</t>
        </is>
      </c>
      <c r="D545" s="2" t="inlineStr">
        <is>
          <t>432470</t>
        </is>
      </c>
      <c r="E545" s="2" t="inlineStr">
        <is>
          <t>단일판매공급계약체결</t>
        </is>
      </c>
      <c r="F545" s="3" t="inlineStr">
        <is>
          <t>[기재정정]단일판매ㆍ공급계약체결               (정정: 20260630)</t>
        </is>
      </c>
      <c r="G545" s="7" t="inlineStr">
        <is>
          <t>원통형46파이 배터리 부품 관련 조립 및 검사기</t>
        </is>
      </c>
      <c r="H545" s="2" t="inlineStr">
        <is>
          <t>2025-11-11</t>
        </is>
      </c>
      <c r="I545" s="2" t="inlineStr">
        <is>
          <t>2026-06-30</t>
        </is>
      </c>
      <c r="J545" s="5" t="n">
        <v>4240000000</v>
      </c>
      <c r="K545" s="2" t="inlineStr">
        <is>
          <t>-</t>
        </is>
      </c>
      <c r="L545" s="13" t="n">
        <v>15.73</v>
      </c>
      <c r="M545" s="7" t="inlineStr">
        <is>
          <t>덕우전자 주식회사</t>
        </is>
      </c>
      <c r="N545" s="2" t="inlineStr">
        <is>
          <t>20260630900433</t>
        </is>
      </c>
      <c r="O545" s="8">
        <f>HYPERLINK("https://dart.fss.or.kr/dsaf001/main.do?rcpNo=20260630900433", "공시열람")</f>
        <v/>
      </c>
    </row>
    <row r="546" ht="36" customHeight="1">
      <c r="A546" s="2" t="inlineStr">
        <is>
          <t>2026-06-30</t>
        </is>
      </c>
      <c r="B546" s="3" t="inlineStr">
        <is>
          <t>RF머트리얼즈</t>
        </is>
      </c>
      <c r="C546" s="2" t="inlineStr">
        <is>
          <t>코스닥</t>
        </is>
      </c>
      <c r="D546" s="2" t="inlineStr">
        <is>
          <t>327260</t>
        </is>
      </c>
      <c r="E546" s="2" t="inlineStr">
        <is>
          <t>단일판매공급계약체결</t>
        </is>
      </c>
      <c r="F546" s="3" t="inlineStr">
        <is>
          <t xml:space="preserve">단일판매ㆍ공급계약체결              </t>
        </is>
      </c>
      <c r="G546" s="7" t="inlineStr">
        <is>
          <t>Lumentum향 pump laser package 공급계약의 건</t>
        </is>
      </c>
      <c r="H546" s="2" t="inlineStr">
        <is>
          <t>2026-06-30</t>
        </is>
      </c>
      <c r="I546" s="2" t="inlineStr">
        <is>
          <t>2027-01-31</t>
        </is>
      </c>
      <c r="J546" s="5" t="n">
        <v>7553350000</v>
      </c>
      <c r="K546" s="2" t="inlineStr">
        <is>
          <t>-</t>
        </is>
      </c>
      <c r="L546" s="13" t="n">
        <v>11.79</v>
      </c>
      <c r="M546" s="7" t="inlineStr">
        <is>
          <t>Metallife-USA</t>
        </is>
      </c>
      <c r="N546" s="2" t="inlineStr">
        <is>
          <t>20260630900452</t>
        </is>
      </c>
      <c r="O546" s="8">
        <f>HYPERLINK("https://dart.fss.or.kr/dsaf001/main.do?rcpNo=20260630900452", "공시열람")</f>
        <v/>
      </c>
    </row>
    <row r="547" ht="36" customHeight="1">
      <c r="A547" s="2" t="inlineStr">
        <is>
          <t>2026-06-30 (정정: 2026-06-30)</t>
        </is>
      </c>
      <c r="B547" s="3" t="inlineStr">
        <is>
          <t>쇼박스</t>
        </is>
      </c>
      <c r="C547" s="2" t="inlineStr">
        <is>
          <t>코스닥</t>
        </is>
      </c>
      <c r="D547" s="2" t="inlineStr">
        <is>
          <t>086980</t>
        </is>
      </c>
      <c r="E547" s="2" t="inlineStr">
        <is>
          <t>단일판매공급계약체결</t>
        </is>
      </c>
      <c r="F547" s="3" t="inlineStr">
        <is>
          <t xml:space="preserve">[기재정정]단일판매ㆍ공급계약해지              </t>
        </is>
      </c>
      <c r="G547" s="7" t="inlineStr">
        <is>
          <t>-</t>
        </is>
      </c>
      <c r="H547" s="2" t="inlineStr">
        <is>
          <t>2022-12-22</t>
        </is>
      </c>
      <c r="I547" s="2" t="inlineStr">
        <is>
          <t>2026-06-30</t>
        </is>
      </c>
      <c r="J547" s="5" t="inlineStr"/>
      <c r="K547" s="2" t="inlineStr">
        <is>
          <t>-</t>
        </is>
      </c>
      <c r="L547" s="13" t="n">
        <v>24.17</v>
      </c>
      <c r="M547" s="7" t="inlineStr">
        <is>
          <t>씬앤스튜디오 주식회사</t>
        </is>
      </c>
      <c r="N547" s="2" t="inlineStr">
        <is>
          <t>20260630900363</t>
        </is>
      </c>
      <c r="O547" s="8">
        <f>HYPERLINK("https://dart.fss.or.kr/dsaf001/main.do?rcpNo=20260630900363", "공시열람")</f>
        <v/>
      </c>
    </row>
    <row r="548" ht="36" customHeight="1">
      <c r="A548" s="2" t="inlineStr">
        <is>
          <t>2026-06-30</t>
        </is>
      </c>
      <c r="B548" s="3" t="inlineStr">
        <is>
          <t>테라뷰</t>
        </is>
      </c>
      <c r="C548" s="2" t="inlineStr">
        <is>
          <t>코스닥</t>
        </is>
      </c>
      <c r="D548" s="2" t="inlineStr">
        <is>
          <t>950250</t>
        </is>
      </c>
      <c r="E548" s="2" t="inlineStr">
        <is>
          <t>단일판매공급계약체결</t>
        </is>
      </c>
      <c r="F548" s="3" t="inlineStr">
        <is>
          <t xml:space="preserve">단일판매ㆍ공급계약체결              </t>
        </is>
      </c>
      <c r="G548" s="7" t="inlineStr">
        <is>
          <t>반도체 검사장비</t>
        </is>
      </c>
      <c r="H548" s="2" t="inlineStr">
        <is>
          <t>2026-06-30</t>
        </is>
      </c>
      <c r="I548" s="2" t="inlineStr">
        <is>
          <t>2027-05-25</t>
        </is>
      </c>
      <c r="J548" s="5" t="n">
        <v>2560431500</v>
      </c>
      <c r="K548" s="2" t="inlineStr">
        <is>
          <t>-</t>
        </is>
      </c>
      <c r="L548" s="13" t="n">
        <v>33.77</v>
      </c>
      <c r="M548" s="7" t="inlineStr">
        <is>
          <t>Global AI chip provider</t>
        </is>
      </c>
      <c r="N548" s="2" t="inlineStr">
        <is>
          <t>20260630900368</t>
        </is>
      </c>
      <c r="O548" s="8">
        <f>HYPERLINK("https://dart.fss.or.kr/dsaf001/main.do?rcpNo=20260630900368", "공시열람")</f>
        <v/>
      </c>
    </row>
    <row r="549" ht="36" customHeight="1">
      <c r="A549" s="2" t="inlineStr">
        <is>
          <t>2026-06-30</t>
        </is>
      </c>
      <c r="B549" s="3" t="inlineStr">
        <is>
          <t>자이에스앤디</t>
        </is>
      </c>
      <c r="C549" s="2" t="inlineStr">
        <is>
          <t>코스피</t>
        </is>
      </c>
      <c r="D549" s="2" t="inlineStr">
        <is>
          <t>317400</t>
        </is>
      </c>
      <c r="E549" s="2" t="inlineStr">
        <is>
          <t>단일판매공급계약체결</t>
        </is>
      </c>
      <c r="F549" s="3" t="inlineStr">
        <is>
          <t xml:space="preserve">단일판매ㆍ공급계약체결              </t>
        </is>
      </c>
      <c r="G549" s="7" t="inlineStr">
        <is>
          <t>CS관리위탁운영계약</t>
        </is>
      </c>
      <c r="H549" s="2" t="inlineStr">
        <is>
          <t>2026-01-01</t>
        </is>
      </c>
      <c r="I549" s="2" t="inlineStr">
        <is>
          <t>2026-12-31</t>
        </is>
      </c>
      <c r="J549" s="5" t="n">
        <v>76396000000</v>
      </c>
      <c r="K549" s="2" t="inlineStr">
        <is>
          <t>-</t>
        </is>
      </c>
      <c r="L549" s="13" t="n">
        <v>5.57</v>
      </c>
      <c r="M549" s="7" t="inlineStr">
        <is>
          <t>지에스건설(주)</t>
        </is>
      </c>
      <c r="N549" s="2" t="inlineStr">
        <is>
          <t>20260630800303</t>
        </is>
      </c>
      <c r="O549" s="8">
        <f>HYPERLINK("https://dart.fss.or.kr/dsaf001/main.do?rcpNo=20260630800303", "공시열람")</f>
        <v/>
      </c>
    </row>
    <row r="550" ht="36" customHeight="1">
      <c r="A550" s="2" t="inlineStr">
        <is>
          <t>2025-09-26 (정정: 2026-06-30)</t>
        </is>
      </c>
      <c r="B550" s="3" t="inlineStr">
        <is>
          <t>달바글로벌</t>
        </is>
      </c>
      <c r="C550" s="2" t="inlineStr">
        <is>
          <t>코스피</t>
        </is>
      </c>
      <c r="D550" s="2" t="inlineStr">
        <is>
          <t>483650</t>
        </is>
      </c>
      <c r="E550" s="2" t="inlineStr">
        <is>
          <t>단일판매공급계약체결</t>
        </is>
      </c>
      <c r="F550" s="3" t="inlineStr">
        <is>
          <t xml:space="preserve">[기재정정]단일판매ㆍ공급계약체결              </t>
        </is>
      </c>
      <c r="G550" s="7" t="inlineStr">
        <is>
          <t>화장품 공급계약</t>
        </is>
      </c>
      <c r="H550" s="2" t="inlineStr">
        <is>
          <t>2025-07-01</t>
        </is>
      </c>
      <c r="I550" s="2" t="inlineStr">
        <is>
          <t>2026-06-30</t>
        </is>
      </c>
      <c r="J550" s="5" t="n">
        <v>18710800000</v>
      </c>
      <c r="K550" s="2" t="inlineStr">
        <is>
          <t>-</t>
        </is>
      </c>
      <c r="L550" s="13" t="n">
        <v>6.05</v>
      </c>
      <c r="M550" s="7" t="inlineStr">
        <is>
          <t>JT Co., LTD.</t>
        </is>
      </c>
      <c r="N550" s="2" t="inlineStr">
        <is>
          <t>20260630800295</t>
        </is>
      </c>
      <c r="O550" s="8">
        <f>HYPERLINK("https://dart.fss.or.kr/dsaf001/main.do?rcpNo=20260630800295", "공시열람")</f>
        <v/>
      </c>
    </row>
    <row r="551" ht="36" customHeight="1">
      <c r="A551" s="2" t="inlineStr">
        <is>
          <t>2026-06-30</t>
        </is>
      </c>
      <c r="B551" s="3" t="inlineStr">
        <is>
          <t>진흥기업</t>
        </is>
      </c>
      <c r="C551" s="2" t="inlineStr">
        <is>
          <t>코스피</t>
        </is>
      </c>
      <c r="D551" s="2" t="inlineStr">
        <is>
          <t>002780</t>
        </is>
      </c>
      <c r="E551" s="2" t="inlineStr">
        <is>
          <t>단일판매공급계약체결</t>
        </is>
      </c>
      <c r="F551" s="3" t="inlineStr">
        <is>
          <t xml:space="preserve">단일판매ㆍ공급계약체결              </t>
        </is>
      </c>
      <c r="G551" s="7" t="inlineStr">
        <is>
          <t>대광빌라 가로주택정비사업</t>
        </is>
      </c>
      <c r="H551" s="2" t="inlineStr">
        <is>
          <t>-</t>
        </is>
      </c>
      <c r="I551" s="2" t="inlineStr">
        <is>
          <t>-</t>
        </is>
      </c>
      <c r="J551" s="5" t="n">
        <v>54409978000</v>
      </c>
      <c r="K551" s="2" t="inlineStr">
        <is>
          <t>-</t>
        </is>
      </c>
      <c r="L551" s="13" t="n">
        <v>9.44</v>
      </c>
      <c r="M551" s="7" t="inlineStr">
        <is>
          <t>대광빌라 가로주택정비사업조합</t>
        </is>
      </c>
      <c r="N551" s="2" t="inlineStr">
        <is>
          <t>20260630800143</t>
        </is>
      </c>
      <c r="O551" s="8">
        <f>HYPERLINK("https://dart.fss.or.kr/dsaf001/main.do?rcpNo=20260630800143", "공시열람")</f>
        <v/>
      </c>
    </row>
    <row r="552" ht="36" customHeight="1">
      <c r="A552" s="2" t="inlineStr">
        <is>
          <t>2026-06-30</t>
        </is>
      </c>
      <c r="B552" s="3" t="inlineStr">
        <is>
          <t>동성화인텍</t>
        </is>
      </c>
      <c r="C552" s="2" t="inlineStr">
        <is>
          <t>코스닥</t>
        </is>
      </c>
      <c r="D552" s="2" t="inlineStr">
        <is>
          <t>033500</t>
        </is>
      </c>
      <c r="E552" s="2" t="inlineStr">
        <is>
          <t>단일판매공급계약체결</t>
        </is>
      </c>
      <c r="F552" s="3" t="inlineStr">
        <is>
          <t xml:space="preserve">단일판매ㆍ공급계약체결(자율공시)              </t>
        </is>
      </c>
      <c r="G552" s="7" t="inlineStr">
        <is>
          <t>LNG/Ethane운반선의 초저온 보냉자재 공급계약</t>
        </is>
      </c>
      <c r="H552" s="2" t="inlineStr">
        <is>
          <t>2026-06-29</t>
        </is>
      </c>
      <c r="I552" s="2" t="inlineStr">
        <is>
          <t>2029-09-30</t>
        </is>
      </c>
      <c r="J552" s="5" t="n">
        <v>63325943360</v>
      </c>
      <c r="K552" s="2" t="inlineStr">
        <is>
          <t>-</t>
        </is>
      </c>
      <c r="L552" s="13" t="n">
        <v>8.5</v>
      </c>
      <c r="M552" s="7" t="inlineStr">
        <is>
          <t>HD현대중공업 주식회사</t>
        </is>
      </c>
      <c r="N552" s="2" t="inlineStr">
        <is>
          <t>20260630900119</t>
        </is>
      </c>
      <c r="O552" s="8">
        <f>HYPERLINK("https://dart.fss.or.kr/dsaf001/main.do?rcpNo=20260630900119", "공시열람")</f>
        <v/>
      </c>
    </row>
    <row r="553" ht="36" customHeight="1">
      <c r="A553" s="2" t="inlineStr">
        <is>
          <t>2026-06-30</t>
        </is>
      </c>
      <c r="B553" s="3" t="inlineStr">
        <is>
          <t>동성화인텍</t>
        </is>
      </c>
      <c r="C553" s="2" t="inlineStr">
        <is>
          <t>코스닥</t>
        </is>
      </c>
      <c r="D553" s="2" t="inlineStr">
        <is>
          <t>033500</t>
        </is>
      </c>
      <c r="E553" s="2" t="inlineStr">
        <is>
          <t>단일판매공급계약체결</t>
        </is>
      </c>
      <c r="F553" s="3" t="inlineStr">
        <is>
          <t xml:space="preserve">단일판매ㆍ공급계약체결(자율공시)              </t>
        </is>
      </c>
      <c r="G553" s="7" t="inlineStr">
        <is>
          <t>LNG운반선의 초저온 보냉자재 공급계약</t>
        </is>
      </c>
      <c r="H553" s="2" t="inlineStr">
        <is>
          <t>2026-06-29</t>
        </is>
      </c>
      <c r="I553" s="2" t="inlineStr">
        <is>
          <t>2028-12-30</t>
        </is>
      </c>
      <c r="J553" s="5" t="n">
        <v>72014264000</v>
      </c>
      <c r="K553" s="2" t="inlineStr">
        <is>
          <t>-</t>
        </is>
      </c>
      <c r="L553" s="13" t="n">
        <v>9.699999999999999</v>
      </c>
      <c r="M553" s="7" t="inlineStr">
        <is>
          <t>HD현대삼호 주식회사</t>
        </is>
      </c>
      <c r="N553" s="2" t="inlineStr">
        <is>
          <t>20260630900111</t>
        </is>
      </c>
      <c r="O553" s="8">
        <f>HYPERLINK("https://dart.fss.or.kr/dsaf001/main.do?rcpNo=20260630900111", "공시열람")</f>
        <v/>
      </c>
    </row>
    <row r="554" ht="36" customHeight="1">
      <c r="A554" s="2" t="inlineStr">
        <is>
          <t>2026-06-30</t>
        </is>
      </c>
      <c r="B554" s="3" t="inlineStr">
        <is>
          <t>삼성전기</t>
        </is>
      </c>
      <c r="C554" s="2" t="inlineStr">
        <is>
          <t>코스피</t>
        </is>
      </c>
      <c r="D554" s="2" t="inlineStr">
        <is>
          <t>009150</t>
        </is>
      </c>
      <c r="E554" s="2" t="inlineStr">
        <is>
          <t>단일판매공급계약체결</t>
        </is>
      </c>
      <c r="F554" s="3" t="inlineStr">
        <is>
          <t xml:space="preserve">단일판매ㆍ공급계약체결              </t>
        </is>
      </c>
      <c r="G554" s="7" t="inlineStr">
        <is>
          <t>MLCC(Multilayer Ceramic Capacitor) 공급계약</t>
        </is>
      </c>
      <c r="H554" s="2" t="inlineStr">
        <is>
          <t>2027-01-01</t>
        </is>
      </c>
      <c r="I554" s="2" t="inlineStr">
        <is>
          <t>2027-12-31</t>
        </is>
      </c>
      <c r="J554" s="5" t="n">
        <v>453994800000</v>
      </c>
      <c r="K554" s="2" t="inlineStr">
        <is>
          <t>-</t>
        </is>
      </c>
      <c r="L554" s="13" t="n">
        <v>4</v>
      </c>
      <c r="M554" s="7" t="inlineStr">
        <is>
          <t>글로벌 대형기업</t>
        </is>
      </c>
      <c r="N554" s="2" t="inlineStr">
        <is>
          <t>20260630800114</t>
        </is>
      </c>
      <c r="O554" s="8">
        <f>HYPERLINK("https://dart.fss.or.kr/dsaf001/main.do?rcpNo=20260630800114", "공시열람")</f>
        <v/>
      </c>
    </row>
  </sheetData>
  <autoFilter ref="A1:O5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cols>
    <col width="30" customWidth="1" min="1" max="1"/>
    <col width="15.6" customWidth="1" min="2" max="2"/>
    <col width="10" customWidth="1" min="3" max="3"/>
    <col width="11.4" customWidth="1" min="4" max="4"/>
    <col width="30" customWidth="1" min="5" max="5"/>
    <col width="40" customWidth="1" min="6" max="6"/>
    <col width="17" customWidth="1" min="7" max="7"/>
    <col width="17" customWidth="1" min="8" max="8"/>
    <col width="24" customWidth="1" min="9" max="9"/>
    <col width="12.8" customWidth="1" min="10" max="10"/>
    <col width="22.6" customWidth="1" min="11" max="11"/>
    <col width="11.4" customWidth="1" min="12" max="12"/>
  </cols>
  <sheetData>
    <row r="1" ht="25" customHeight="1">
      <c r="A1" s="1" t="inlineStr">
        <is>
          <t>접수일자</t>
        </is>
      </c>
      <c r="B1" s="1" t="inlineStr">
        <is>
          <t>회사명</t>
        </is>
      </c>
      <c r="C1" s="1" t="inlineStr">
        <is>
          <t>시장구분</t>
        </is>
      </c>
      <c r="D1" s="1" t="inlineStr">
        <is>
          <t>종목코드</t>
        </is>
      </c>
      <c r="E1" s="1" t="inlineStr">
        <is>
          <t>공시명</t>
        </is>
      </c>
      <c r="F1" s="1" t="inlineStr">
        <is>
          <t>투자목적</t>
        </is>
      </c>
      <c r="G1" s="1" t="inlineStr">
        <is>
          <t>시작일</t>
        </is>
      </c>
      <c r="H1" s="1" t="inlineStr">
        <is>
          <t>종료일</t>
        </is>
      </c>
      <c r="I1" s="1" t="inlineStr">
        <is>
          <t>투자금액</t>
        </is>
      </c>
      <c r="J1" s="1" t="inlineStr">
        <is>
          <t>자기자본대비</t>
        </is>
      </c>
      <c r="K1" s="1" t="inlineStr">
        <is>
          <t>접수번호</t>
        </is>
      </c>
      <c r="L1" s="1" t="inlineStr">
        <is>
          <t>DART링크</t>
        </is>
      </c>
    </row>
    <row r="2" ht="36" customHeight="1">
      <c r="A2" s="2" t="inlineStr">
        <is>
          <t>2025-08-26 (정정: 2026-01-29)</t>
        </is>
      </c>
      <c r="B2" s="3" t="inlineStr">
        <is>
          <t>원바이오젠</t>
        </is>
      </c>
      <c r="C2" s="2" t="inlineStr">
        <is>
          <t>코스닥</t>
        </is>
      </c>
      <c r="D2" s="2" t="inlineStr">
        <is>
          <t>307280</t>
        </is>
      </c>
      <c r="E2" s="3" t="inlineStr">
        <is>
          <t xml:space="preserve">[기재정정]신규시설투자등(자율공시)              </t>
        </is>
      </c>
      <c r="F2" s="7" t="inlineStr">
        <is>
          <t>생산 시설 확대를 통한 하이드로콜로이드 기반 제품의 생산량 증대로 매출 확대를 도모하기 위함</t>
        </is>
      </c>
      <c r="G2" s="2" t="inlineStr">
        <is>
          <t>2025-08-26</t>
        </is>
      </c>
      <c r="H2" s="2" t="inlineStr">
        <is>
          <t>2026-06-30</t>
        </is>
      </c>
      <c r="I2" s="5" t="n">
        <v>3605800000</v>
      </c>
      <c r="J2" s="13" t="n">
        <v>9.68</v>
      </c>
      <c r="K2" s="2" t="inlineStr">
        <is>
          <t>20260129900396</t>
        </is>
      </c>
      <c r="L2" s="8">
        <f>HYPERLINK("https://dart.fss.or.kr/dsaf001/main.do?rcpNo=20260129900396", "공시열람")</f>
        <v/>
      </c>
    </row>
    <row r="3" ht="36" customHeight="1">
      <c r="A3" s="2" t="inlineStr">
        <is>
          <t>2026-02-02</t>
        </is>
      </c>
      <c r="B3" s="3" t="inlineStr">
        <is>
          <t>유바이오로직스</t>
        </is>
      </c>
      <c r="C3" s="2" t="inlineStr">
        <is>
          <t>코스닥</t>
        </is>
      </c>
      <c r="D3" s="2" t="inlineStr">
        <is>
          <t>206650</t>
        </is>
      </c>
      <c r="E3" s="3" t="inlineStr">
        <is>
          <t xml:space="preserve">신규시설투자등              </t>
        </is>
      </c>
      <c r="F3" s="7" t="inlineStr">
        <is>
          <t>백신 상업화 계획에 따라 생산능력 확대를 위한 생산설비 신규시설 투자</t>
        </is>
      </c>
      <c r="G3" s="2" t="inlineStr">
        <is>
          <t>2026-02-02</t>
        </is>
      </c>
      <c r="H3" s="2" t="inlineStr">
        <is>
          <t>2028-12-31</t>
        </is>
      </c>
      <c r="I3" s="5" t="n">
        <v>111500000000</v>
      </c>
      <c r="J3" s="13" t="n">
        <v>84.45</v>
      </c>
      <c r="K3" s="2" t="inlineStr">
        <is>
          <t>20260202901653</t>
        </is>
      </c>
      <c r="L3" s="8">
        <f>HYPERLINK("https://dart.fss.or.kr/dsaf001/main.do?rcpNo=20260202901653", "공시열람")</f>
        <v/>
      </c>
    </row>
    <row r="4" ht="36" customHeight="1">
      <c r="A4" s="2" t="inlineStr">
        <is>
          <t>2026-02-02 (정정: 2026-02-02)</t>
        </is>
      </c>
      <c r="B4" s="3" t="inlineStr">
        <is>
          <t>종근당홀딩스</t>
        </is>
      </c>
      <c r="C4" s="2" t="inlineStr">
        <is>
          <t>코스피</t>
        </is>
      </c>
      <c r="D4" s="2" t="inlineStr">
        <is>
          <t>001630</t>
        </is>
      </c>
      <c r="E4" s="3" t="inlineStr">
        <is>
          <t xml:space="preserve">[기재정정]신규시설투자등(자회사의 주요경영사항)              </t>
        </is>
      </c>
      <c r="F4" s="7" t="inlineStr">
        <is>
          <t>ADC CDMO 사업을 위한 GMP 생산시설 구축</t>
        </is>
      </c>
      <c r="G4" s="2" t="inlineStr">
        <is>
          <t>2024-08-14</t>
        </is>
      </c>
      <c r="H4" s="2" t="inlineStr">
        <is>
          <t>2026-12-31</t>
        </is>
      </c>
      <c r="I4" s="5" t="n">
        <v>96000000000</v>
      </c>
      <c r="J4" s="13" t="n">
        <v>66.48999999999999</v>
      </c>
      <c r="K4" s="2" t="inlineStr">
        <is>
          <t>20260202800837</t>
        </is>
      </c>
      <c r="L4" s="8">
        <f>HYPERLINK("https://dart.fss.or.kr/dsaf001/main.do?rcpNo=20260202800837", "공시열람")</f>
        <v/>
      </c>
    </row>
    <row r="5" ht="36" customHeight="1">
      <c r="A5" s="2" t="inlineStr">
        <is>
          <t>2026-02-02 (정정: 2026-02-02)</t>
        </is>
      </c>
      <c r="B5" s="3" t="inlineStr">
        <is>
          <t>경보제약</t>
        </is>
      </c>
      <c r="C5" s="2" t="inlineStr">
        <is>
          <t>코스피</t>
        </is>
      </c>
      <c r="D5" s="2" t="inlineStr">
        <is>
          <t>214390</t>
        </is>
      </c>
      <c r="E5" s="3" t="inlineStr">
        <is>
          <t xml:space="preserve">[기재정정]신규시설투자등              </t>
        </is>
      </c>
      <c r="F5" s="7" t="inlineStr">
        <is>
          <t>ADC CDMO 사업을 위한 GMP 생산시설 구축</t>
        </is>
      </c>
      <c r="G5" s="2" t="inlineStr">
        <is>
          <t>2024-08-14</t>
        </is>
      </c>
      <c r="H5" s="2" t="inlineStr">
        <is>
          <t>2026-12-31</t>
        </is>
      </c>
      <c r="I5" s="5" t="n">
        <v>96000000000</v>
      </c>
      <c r="J5" s="13" t="n">
        <v>66.48999999999999</v>
      </c>
      <c r="K5" s="2" t="inlineStr">
        <is>
          <t>20260202800827</t>
        </is>
      </c>
      <c r="L5" s="8">
        <f>HYPERLINK("https://dart.fss.or.kr/dsaf001/main.do?rcpNo=20260202800827", "공시열람")</f>
        <v/>
      </c>
    </row>
    <row r="6" ht="36" customHeight="1">
      <c r="A6" s="2" t="inlineStr">
        <is>
          <t>2025-08-28 (정정: 2026-02-02)</t>
        </is>
      </c>
      <c r="B6" s="3" t="inlineStr">
        <is>
          <t>엠에스씨</t>
        </is>
      </c>
      <c r="C6" s="2" t="inlineStr">
        <is>
          <t>코스닥</t>
        </is>
      </c>
      <c r="D6" s="2" t="inlineStr">
        <is>
          <t>009780</t>
        </is>
      </c>
      <c r="E6" s="3" t="inlineStr">
        <is>
          <t xml:space="preserve">[기재정정]신규시설투자등              </t>
        </is>
      </c>
      <c r="F6" s="7" t="inlineStr">
        <is>
          <t>-제품 생산능력(CAPACITY) 증대를 위한 생산시설 투자 -장기 성장 인프라 구축 등 기술 및 시장경쟁력 강화 -신제품 개발 및 신규 매출 창출</t>
        </is>
      </c>
      <c r="G6" s="2" t="inlineStr">
        <is>
          <t>2025-08-28</t>
        </is>
      </c>
      <c r="H6" s="2" t="inlineStr">
        <is>
          <t>2028-09-30</t>
        </is>
      </c>
      <c r="I6" s="5" t="n">
        <v>148530000000</v>
      </c>
      <c r="J6" s="13" t="n">
        <v>90.18000000000001</v>
      </c>
      <c r="K6" s="2" t="inlineStr">
        <is>
          <t>20260202900154</t>
        </is>
      </c>
      <c r="L6" s="8">
        <f>HYPERLINK("https://dart.fss.or.kr/dsaf001/main.do?rcpNo=20260202900154", "공시열람")</f>
        <v/>
      </c>
    </row>
    <row r="7" ht="36" customHeight="1">
      <c r="A7" s="2" t="inlineStr">
        <is>
          <t>2026-03-03 (정정: 2026-03-03)</t>
        </is>
      </c>
      <c r="B7" s="3" t="inlineStr">
        <is>
          <t>바이오다인</t>
        </is>
      </c>
      <c r="C7" s="2" t="inlineStr">
        <is>
          <t>코스닥</t>
        </is>
      </c>
      <c r="D7" s="2" t="inlineStr">
        <is>
          <t>314930</t>
        </is>
      </c>
      <c r="E7" s="3" t="inlineStr">
        <is>
          <t xml:space="preserve">[기재정정]신규시설투자등              </t>
        </is>
      </c>
      <c r="F7" s="7" t="inlineStr">
        <is>
          <t>Earlypap 브러시 출시에 따른 대량 생산 체제를 구축하기 위하여 베트남 해외법인 및 생산 공장을 설립하기 위함</t>
        </is>
      </c>
      <c r="G7" s="2" t="inlineStr">
        <is>
          <t>2025-08-20</t>
        </is>
      </c>
      <c r="H7" s="2" t="inlineStr">
        <is>
          <t>2026-12-31</t>
        </is>
      </c>
      <c r="I7" s="5" t="n">
        <v>13000000000</v>
      </c>
      <c r="J7" s="13" t="n">
        <v>30.09</v>
      </c>
      <c r="K7" s="2" t="inlineStr">
        <is>
          <t>20260303900855</t>
        </is>
      </c>
      <c r="L7" s="8">
        <f>HYPERLINK("https://dart.fss.or.kr/dsaf001/main.do?rcpNo=20260303900855", "공시열람")</f>
        <v/>
      </c>
    </row>
    <row r="8" ht="36" customHeight="1">
      <c r="A8" s="2" t="inlineStr">
        <is>
          <t>2023-01-02 (정정: 2026-03-06)</t>
        </is>
      </c>
      <c r="B8" s="3" t="inlineStr">
        <is>
          <t>대주전자재료</t>
        </is>
      </c>
      <c r="C8" s="2" t="inlineStr">
        <is>
          <t>코스닥</t>
        </is>
      </c>
      <c r="D8" s="2" t="inlineStr">
        <is>
          <t>078600</t>
        </is>
      </c>
      <c r="E8" s="3" t="inlineStr">
        <is>
          <t xml:space="preserve">[기재정정]신규시설투자등              </t>
        </is>
      </c>
      <c r="F8" s="7" t="inlineStr">
        <is>
          <t>이차전지용 실리콘 음극재 공장동 추가신축</t>
        </is>
      </c>
      <c r="G8" s="2" t="inlineStr">
        <is>
          <t>2023-01-02</t>
        </is>
      </c>
      <c r="H8" s="2" t="inlineStr">
        <is>
          <t>2026-03-31</t>
        </is>
      </c>
      <c r="I8" s="5" t="n">
        <v>67056000000</v>
      </c>
      <c r="J8" s="13" t="n">
        <v>55.56</v>
      </c>
      <c r="K8" s="2" t="inlineStr">
        <is>
          <t>20260306901436</t>
        </is>
      </c>
      <c r="L8" s="8">
        <f>HYPERLINK("https://dart.fss.or.kr/dsaf001/main.do?rcpNo=20260306901436", "공시열람")</f>
        <v/>
      </c>
    </row>
    <row r="9" ht="36" customHeight="1">
      <c r="A9" s="2" t="inlineStr">
        <is>
          <t>2026-03-11</t>
        </is>
      </c>
      <c r="B9" s="3" t="inlineStr">
        <is>
          <t>와이씨켐</t>
        </is>
      </c>
      <c r="C9" s="2" t="inlineStr">
        <is>
          <t>코스닥</t>
        </is>
      </c>
      <c r="D9" s="2" t="inlineStr">
        <is>
          <t>112290</t>
        </is>
      </c>
      <c r="E9" s="3" t="inlineStr">
        <is>
          <t xml:space="preserve">신규시설투자등              </t>
        </is>
      </c>
      <c r="F9" s="7" t="inlineStr">
        <is>
          <t>5공장 제조시설 및 저장시설 CAPA 증설</t>
        </is>
      </c>
      <c r="G9" s="2" t="inlineStr">
        <is>
          <t>2026-03-20</t>
        </is>
      </c>
      <c r="H9" s="2" t="inlineStr">
        <is>
          <t>2026-08-31</t>
        </is>
      </c>
      <c r="I9" s="5" t="n">
        <v>13815000000</v>
      </c>
      <c r="J9" s="13" t="n">
        <v>31.04</v>
      </c>
      <c r="K9" s="2" t="inlineStr">
        <is>
          <t>20260311900661</t>
        </is>
      </c>
      <c r="L9" s="8">
        <f>HYPERLINK("https://dart.fss.or.kr/dsaf001/main.do?rcpNo=20260311900661", "공시열람")</f>
        <v/>
      </c>
    </row>
    <row r="10" ht="36" customHeight="1">
      <c r="A10" s="2" t="inlineStr">
        <is>
          <t>2023-07-07 (정정: 2026-03-11)</t>
        </is>
      </c>
      <c r="B10" s="3" t="inlineStr">
        <is>
          <t>셀리드</t>
        </is>
      </c>
      <c r="C10" s="2" t="inlineStr">
        <is>
          <t>코스닥</t>
        </is>
      </c>
      <c r="D10" s="2" t="inlineStr">
        <is>
          <t>299660</t>
        </is>
      </c>
      <c r="E10" s="3" t="inlineStr">
        <is>
          <t xml:space="preserve">[기재정정]신규시설투자등              </t>
        </is>
      </c>
      <c r="F10" s="7" t="inlineStr">
        <is>
          <t>마곡 대규모 산업클러스터 단지 내 신사옥 및 R&amp;D센터 구축을 통한 업무 효율성 증대와 미래 성장기반 확보</t>
        </is>
      </c>
      <c r="G10" s="2" t="inlineStr">
        <is>
          <t>2023-07-12</t>
        </is>
      </c>
      <c r="H10" s="2" t="inlineStr">
        <is>
          <t>2026-03-31</t>
        </is>
      </c>
      <c r="I10" s="5" t="n">
        <v>23685000000</v>
      </c>
      <c r="J10" s="13" t="n">
        <v>105.55</v>
      </c>
      <c r="K10" s="2" t="inlineStr">
        <is>
          <t>20260311900596</t>
        </is>
      </c>
      <c r="L10" s="8">
        <f>HYPERLINK("https://dart.fss.or.kr/dsaf001/main.do?rcpNo=20260311900596", "공시열람")</f>
        <v/>
      </c>
    </row>
    <row r="11" ht="36" customHeight="1">
      <c r="A11" s="2" t="inlineStr">
        <is>
          <t>2026-04-16</t>
        </is>
      </c>
      <c r="B11" s="3" t="inlineStr">
        <is>
          <t>코리안리</t>
        </is>
      </c>
      <c r="C11" s="2" t="inlineStr">
        <is>
          <t>코스피</t>
        </is>
      </c>
      <c r="D11" s="2" t="inlineStr">
        <is>
          <t>003690</t>
        </is>
      </c>
      <c r="E11" s="3" t="inlineStr">
        <is>
          <t xml:space="preserve">[기재정정]신규시설투자등              </t>
        </is>
      </c>
      <c r="F11" s="7" t="inlineStr">
        <is>
          <t>사옥 신축을 통한 업무효율성 제고 및 근무환경 개선</t>
        </is>
      </c>
      <c r="G11" s="2" t="inlineStr">
        <is>
          <t>2026-05-04</t>
        </is>
      </c>
      <c r="H11" s="2" t="inlineStr">
        <is>
          <t>2030-07-19</t>
        </is>
      </c>
      <c r="I11" s="5" t="n">
        <v>361971000000</v>
      </c>
      <c r="J11" s="13" t="n">
        <v>10.5</v>
      </c>
      <c r="K11" s="2" t="inlineStr">
        <is>
          <t>20260416800673</t>
        </is>
      </c>
      <c r="L11" s="8">
        <f>HYPERLINK("https://dart.fss.or.kr/dsaf001/main.do?rcpNo=20260416800673", "공시열람")</f>
        <v/>
      </c>
    </row>
    <row r="12" ht="36" customHeight="1">
      <c r="A12" s="2" t="inlineStr">
        <is>
          <t>2026-05-20</t>
        </is>
      </c>
      <c r="B12" s="3" t="inlineStr">
        <is>
          <t>태광산업</t>
        </is>
      </c>
      <c r="C12" s="2" t="inlineStr">
        <is>
          <t>코스피</t>
        </is>
      </c>
      <c r="D12" s="2" t="inlineStr">
        <is>
          <t>003240</t>
        </is>
      </c>
      <c r="E12" s="3" t="inlineStr">
        <is>
          <t xml:space="preserve">[기재정정]신규시설투자등(자율공시)              </t>
        </is>
      </c>
      <c r="F12" s="7" t="inlineStr">
        <is>
          <t>청화소다 증설을 통한 사업경쟁력 강화</t>
        </is>
      </c>
      <c r="G12" s="2" t="inlineStr">
        <is>
          <t>2024-08-13</t>
        </is>
      </c>
      <c r="H12" s="2" t="inlineStr">
        <is>
          <t>2027-05-31</t>
        </is>
      </c>
      <c r="I12" s="5" t="n">
        <v>150000000000</v>
      </c>
      <c r="J12" s="13" t="n">
        <v>3.72</v>
      </c>
      <c r="K12" s="2" t="inlineStr">
        <is>
          <t>20260520800534</t>
        </is>
      </c>
      <c r="L12" s="8">
        <f>HYPERLINK("https://dart.fss.or.kr/dsaf001/main.do?rcpNo=20260520800534", "공시열람")</f>
        <v/>
      </c>
    </row>
    <row r="13" ht="36" customHeight="1">
      <c r="A13" s="2" t="inlineStr">
        <is>
          <t>2026-05-20</t>
        </is>
      </c>
      <c r="B13" s="3" t="inlineStr">
        <is>
          <t>태광산업</t>
        </is>
      </c>
      <c r="C13" s="2" t="inlineStr">
        <is>
          <t>코스피</t>
        </is>
      </c>
      <c r="D13" s="2" t="inlineStr">
        <is>
          <t>003240</t>
        </is>
      </c>
      <c r="E13" s="3" t="inlineStr">
        <is>
          <t xml:space="preserve">[기재정정]신규시설투자등(자율공시)              </t>
        </is>
      </c>
      <c r="F13" s="7" t="inlineStr">
        <is>
          <t>5G 통신용 광케이블 보강재 및 전기차 초고성능 타이어용 아라미드 수요 증가에 따른 증설</t>
        </is>
      </c>
      <c r="G13" s="2" t="inlineStr">
        <is>
          <t>2022-05-11</t>
        </is>
      </c>
      <c r="H13" s="2" t="inlineStr">
        <is>
          <t>2026-09-30</t>
        </is>
      </c>
      <c r="I13" s="5" t="n">
        <v>145000000000</v>
      </c>
      <c r="J13" s="13" t="n">
        <v>3.65</v>
      </c>
      <c r="K13" s="2" t="inlineStr">
        <is>
          <t>20260520800525</t>
        </is>
      </c>
      <c r="L13" s="8">
        <f>HYPERLINK("https://dart.fss.or.kr/dsaf001/main.do?rcpNo=20260520800525", "공시열람")</f>
        <v/>
      </c>
    </row>
    <row r="14" ht="36" customHeight="1">
      <c r="A14" s="2" t="inlineStr">
        <is>
          <t>2026-05-20</t>
        </is>
      </c>
      <c r="B14" s="3" t="inlineStr">
        <is>
          <t>성우</t>
        </is>
      </c>
      <c r="C14" s="2" t="inlineStr">
        <is>
          <t>코스닥</t>
        </is>
      </c>
      <c r="D14" s="2" t="inlineStr">
        <is>
          <t>458650</t>
        </is>
      </c>
      <c r="E14" s="3" t="inlineStr">
        <is>
          <t xml:space="preserve">신규시설투자등              </t>
        </is>
      </c>
      <c r="F14" s="7" t="inlineStr">
        <is>
          <t>- 북미 전기차 시장의 고성장 및 IRA(Inflation Reduction Act) 대응 필요성 - 주요 고객사 북미 생산 확대에 따른 현지 공급망 요구 - 미·중 공급망 재편에 따른 Near-shoring 가속화 - 관세 절감 및 물류비 절감 효과 - 북미 OEM 및 Tier1 신규 수주 대응 기반 확보</t>
        </is>
      </c>
      <c r="G14" s="2" t="inlineStr">
        <is>
          <t>2026-08-01</t>
        </is>
      </c>
      <c r="H14" s="2" t="inlineStr">
        <is>
          <t>2027-06-30</t>
        </is>
      </c>
      <c r="I14" s="5" t="n">
        <v>28000000000</v>
      </c>
      <c r="J14" s="13" t="n">
        <v>12.44</v>
      </c>
      <c r="K14" s="2" t="inlineStr">
        <is>
          <t>20260520900251</t>
        </is>
      </c>
      <c r="L14" s="8">
        <f>HYPERLINK("https://dart.fss.or.kr/dsaf001/main.do?rcpNo=20260520900251", "공시열람")</f>
        <v/>
      </c>
    </row>
    <row r="15" ht="36" customHeight="1">
      <c r="A15" s="2" t="inlineStr">
        <is>
          <t>2026-05-21</t>
        </is>
      </c>
      <c r="B15" s="3" t="inlineStr">
        <is>
          <t>디와이에이</t>
        </is>
      </c>
      <c r="C15" s="2" t="inlineStr">
        <is>
          <t>코스피</t>
        </is>
      </c>
      <c r="D15" s="2" t="inlineStr">
        <is>
          <t>002880</t>
        </is>
      </c>
      <c r="E15" s="3" t="inlineStr">
        <is>
          <t xml:space="preserve">신규시설투자등              </t>
        </is>
      </c>
      <c r="F15" s="7" t="inlineStr">
        <is>
          <t>NQ5(스포티지)후속 신규차종 NQ6 수주에 따른 생산 및 납입시스템 구축을 위한 설비 투자</t>
        </is>
      </c>
      <c r="G15" s="2" t="inlineStr">
        <is>
          <t>2026-05-21</t>
        </is>
      </c>
      <c r="H15" s="2" t="inlineStr">
        <is>
          <t>2027-06-30</t>
        </is>
      </c>
      <c r="I15" s="5" t="n">
        <v>12110000000</v>
      </c>
      <c r="J15" s="13" t="n">
        <v>26.03</v>
      </c>
      <c r="K15" s="2" t="inlineStr">
        <is>
          <t>20260521800730</t>
        </is>
      </c>
      <c r="L15" s="8">
        <f>HYPERLINK("https://dart.fss.or.kr/dsaf001/main.do?rcpNo=20260521800730", "공시열람")</f>
        <v/>
      </c>
    </row>
    <row r="16" ht="36" customHeight="1">
      <c r="A16" s="2" t="inlineStr">
        <is>
          <t>2023-08-08 (정정: 2026-05-21)</t>
        </is>
      </c>
      <c r="B16" s="3" t="inlineStr">
        <is>
          <t>깨끗한나라</t>
        </is>
      </c>
      <c r="C16" s="2" t="inlineStr">
        <is>
          <t>코스피</t>
        </is>
      </c>
      <c r="D16" s="2" t="inlineStr">
        <is>
          <t>004540</t>
        </is>
      </c>
      <c r="E16" s="3" t="inlineStr">
        <is>
          <t xml:space="preserve">[기재정정]신규시설투자등              </t>
        </is>
      </c>
      <c r="F16" s="7" t="inlineStr">
        <is>
          <t>재생에너지사업 준비 및 에너지효율증대</t>
        </is>
      </c>
      <c r="G16" s="2" t="inlineStr">
        <is>
          <t>2023-08-08</t>
        </is>
      </c>
      <c r="H16" s="2" t="inlineStr">
        <is>
          <t>2026-07-31</t>
        </is>
      </c>
      <c r="I16" s="5" t="n">
        <v>70000000000</v>
      </c>
      <c r="J16" s="13" t="n">
        <v>29</v>
      </c>
      <c r="K16" s="2" t="inlineStr">
        <is>
          <t>20260521800522</t>
        </is>
      </c>
      <c r="L16" s="8">
        <f>HYPERLINK("https://dart.fss.or.kr/dsaf001/main.do?rcpNo=20260521800522", "공시열람")</f>
        <v/>
      </c>
    </row>
    <row r="17" ht="36" customHeight="1">
      <c r="A17" s="2" t="inlineStr">
        <is>
          <t>2026-05-21</t>
        </is>
      </c>
      <c r="B17" s="3" t="inlineStr">
        <is>
          <t>한국콜마</t>
        </is>
      </c>
      <c r="C17" s="2" t="inlineStr">
        <is>
          <t>코스피</t>
        </is>
      </c>
      <c r="D17" s="2" t="inlineStr">
        <is>
          <t>161890</t>
        </is>
      </c>
      <c r="E17" s="3" t="inlineStr">
        <is>
          <t xml:space="preserve">신규시설투자등(자회사의 주요경영사항)              </t>
        </is>
      </c>
      <c r="F17" s="7" t="inlineStr">
        <is>
          <t>내용고형제 생산시설 증설을 통한 중장기 성장동력 확보와 경쟁력 강화</t>
        </is>
      </c>
      <c r="G17" s="2" t="inlineStr">
        <is>
          <t>2026-05-21</t>
        </is>
      </c>
      <c r="H17" s="2" t="inlineStr">
        <is>
          <t>2028-01-31</t>
        </is>
      </c>
      <c r="I17" s="5" t="n">
        <v>97000000000</v>
      </c>
      <c r="J17" s="13" t="n">
        <v>7.3</v>
      </c>
      <c r="K17" s="2" t="inlineStr">
        <is>
          <t>20260521800376</t>
        </is>
      </c>
      <c r="L17" s="8">
        <f>HYPERLINK("https://dart.fss.or.kr/dsaf001/main.do?rcpNo=20260521800376", "공시열람")</f>
        <v/>
      </c>
    </row>
    <row r="18" ht="36" customHeight="1">
      <c r="A18" s="2" t="inlineStr">
        <is>
          <t>2026-05-21</t>
        </is>
      </c>
      <c r="B18" s="3" t="inlineStr">
        <is>
          <t>HK이노엔</t>
        </is>
      </c>
      <c r="C18" s="2" t="inlineStr">
        <is>
          <t>코스닥</t>
        </is>
      </c>
      <c r="D18" s="2" t="inlineStr">
        <is>
          <t>195940</t>
        </is>
      </c>
      <c r="E18" s="3" t="inlineStr">
        <is>
          <t xml:space="preserve">신규시설투자등              </t>
        </is>
      </c>
      <c r="F18" s="7" t="inlineStr">
        <is>
          <t>내용고형제 생산시설 증설을 통한 중장기 성장동력 확보와 경쟁력 강화</t>
        </is>
      </c>
      <c r="G18" s="2" t="inlineStr">
        <is>
          <t>2026-05-21</t>
        </is>
      </c>
      <c r="H18" s="2" t="inlineStr">
        <is>
          <t>2028-01-31</t>
        </is>
      </c>
      <c r="I18" s="5" t="n">
        <v>97000000000</v>
      </c>
      <c r="J18" s="13" t="n">
        <v>7.3</v>
      </c>
      <c r="K18" s="2" t="inlineStr">
        <is>
          <t>20260521900375</t>
        </is>
      </c>
      <c r="L18" s="8">
        <f>HYPERLINK("https://dart.fss.or.kr/dsaf001/main.do?rcpNo=20260521900375", "공시열람")</f>
        <v/>
      </c>
    </row>
    <row r="19" ht="36" customHeight="1">
      <c r="A19" s="2" t="inlineStr">
        <is>
          <t>2026-05-22</t>
        </is>
      </c>
      <c r="B19" s="3" t="inlineStr">
        <is>
          <t>엔바이오니아</t>
        </is>
      </c>
      <c r="C19" s="2" t="inlineStr">
        <is>
          <t>코스닥</t>
        </is>
      </c>
      <c r="D19" s="2" t="inlineStr">
        <is>
          <t>317870</t>
        </is>
      </c>
      <c r="E19" s="3" t="inlineStr">
        <is>
          <t xml:space="preserve">신규시설투자등              </t>
        </is>
      </c>
      <c r="F19" s="7" t="inlineStr">
        <is>
          <t>메타아라미드페이퍼 생산시설 증축에 따른 폐수처리장 증설</t>
        </is>
      </c>
      <c r="G19" s="2" t="inlineStr">
        <is>
          <t>2026-05-22</t>
        </is>
      </c>
      <c r="H19" s="2" t="inlineStr">
        <is>
          <t>2027-04-30</t>
        </is>
      </c>
      <c r="I19" s="5" t="n">
        <v>5677000000</v>
      </c>
      <c r="J19" s="13" t="n">
        <v>15.94</v>
      </c>
      <c r="K19" s="2" t="inlineStr">
        <is>
          <t>20260522900650</t>
        </is>
      </c>
      <c r="L19" s="8">
        <f>HYPERLINK("https://dart.fss.or.kr/dsaf001/main.do?rcpNo=20260522900650", "공시열람")</f>
        <v/>
      </c>
    </row>
    <row r="20" ht="36" customHeight="1">
      <c r="A20" s="2" t="inlineStr">
        <is>
          <t>2025-03-26 (정정: 2026-05-22)</t>
        </is>
      </c>
      <c r="B20" s="3" t="inlineStr">
        <is>
          <t>필옵틱스</t>
        </is>
      </c>
      <c r="C20" s="2" t="inlineStr">
        <is>
          <t>코스닥</t>
        </is>
      </c>
      <c r="D20" s="2" t="inlineStr">
        <is>
          <t>161580</t>
        </is>
      </c>
      <c r="E20" s="3" t="inlineStr">
        <is>
          <t xml:space="preserve">[기재정정]신규시설투자등(자회사의 주요경영사항)              </t>
        </is>
      </c>
      <c r="F20" s="7" t="inlineStr">
        <is>
          <t>1.인력 확보를 위한 회사 복지 향상 2.임직원의 편의제공을 위한 시설 마련</t>
        </is>
      </c>
      <c r="G20" s="2" t="inlineStr">
        <is>
          <t>2024-02-07</t>
        </is>
      </c>
      <c r="H20" s="2" t="inlineStr">
        <is>
          <t>2026-12-31</t>
        </is>
      </c>
      <c r="I20" s="5" t="n">
        <v>23000000000</v>
      </c>
      <c r="J20" s="13" t="n">
        <v>11.9</v>
      </c>
      <c r="K20" s="2" t="inlineStr">
        <is>
          <t>20260522900536</t>
        </is>
      </c>
      <c r="L20" s="8">
        <f>HYPERLINK("https://dart.fss.or.kr/dsaf001/main.do?rcpNo=20260522900536", "공시열람")</f>
        <v/>
      </c>
    </row>
    <row r="21" ht="36" customHeight="1">
      <c r="A21" s="2" t="inlineStr">
        <is>
          <t>2025-03-26 (정정: 2026-05-22)</t>
        </is>
      </c>
      <c r="B21" s="3" t="inlineStr">
        <is>
          <t>필에너지</t>
        </is>
      </c>
      <c r="C21" s="2" t="inlineStr">
        <is>
          <t>코스닥</t>
        </is>
      </c>
      <c r="D21" s="2" t="inlineStr">
        <is>
          <t>378340</t>
        </is>
      </c>
      <c r="E21" s="3" t="inlineStr">
        <is>
          <t xml:space="preserve">[기재정정]신규시설투자등              </t>
        </is>
      </c>
      <c r="F21" s="7" t="inlineStr">
        <is>
          <t>1.인력 확보를 위한 회사 복지 향상 2.임직원의 편의제공을 위한 시설 마련</t>
        </is>
      </c>
      <c r="G21" s="2" t="inlineStr">
        <is>
          <t>2024-02-07</t>
        </is>
      </c>
      <c r="H21" s="2" t="inlineStr">
        <is>
          <t>2026-12-31</t>
        </is>
      </c>
      <c r="I21" s="5" t="n">
        <v>23000000000</v>
      </c>
      <c r="J21" s="13" t="n">
        <v>17.3</v>
      </c>
      <c r="K21" s="2" t="inlineStr">
        <is>
          <t>20260522900479</t>
        </is>
      </c>
      <c r="L21" s="8">
        <f>HYPERLINK("https://dart.fss.or.kr/dsaf001/main.do?rcpNo=20260522900479", "공시열람")</f>
        <v/>
      </c>
    </row>
    <row r="22" ht="36" customHeight="1">
      <c r="A22" s="2" t="inlineStr">
        <is>
          <t>2026-05-26</t>
        </is>
      </c>
      <c r="B22" s="3" t="inlineStr">
        <is>
          <t>디티앤씨</t>
        </is>
      </c>
      <c r="C22" s="2" t="inlineStr">
        <is>
          <t>코스닥</t>
        </is>
      </c>
      <c r="D22" s="2" t="inlineStr">
        <is>
          <t>187220</t>
        </is>
      </c>
      <c r="E22" s="3" t="inlineStr">
        <is>
          <t xml:space="preserve">신규시설투자등              </t>
        </is>
      </c>
      <c r="F22" s="7" t="inlineStr">
        <is>
          <t>부산 신규 시험센터 구축 및 방산·선박·원자력 분야 시험 인프라 확충</t>
        </is>
      </c>
      <c r="G22" s="2" t="inlineStr">
        <is>
          <t>2026-05-26</t>
        </is>
      </c>
      <c r="H22" s="2" t="inlineStr">
        <is>
          <t>2027-03-02</t>
        </is>
      </c>
      <c r="I22" s="5" t="n">
        <v>13000000000</v>
      </c>
      <c r="J22" s="13" t="n">
        <v>11.16</v>
      </c>
      <c r="K22" s="2" t="inlineStr">
        <is>
          <t>20260526900556</t>
        </is>
      </c>
      <c r="L22" s="8">
        <f>HYPERLINK("https://dart.fss.or.kr/dsaf001/main.do?rcpNo=20260526900556", "공시열람")</f>
        <v/>
      </c>
    </row>
    <row r="23" ht="36" customHeight="1">
      <c r="A23" s="2" t="inlineStr">
        <is>
          <t>2026-05-26</t>
        </is>
      </c>
      <c r="B23" s="3" t="inlineStr">
        <is>
          <t>액스비스</t>
        </is>
      </c>
      <c r="C23" s="2" t="inlineStr">
        <is>
          <t>코스닥</t>
        </is>
      </c>
      <c r="D23" s="2" t="inlineStr">
        <is>
          <t>0011A0</t>
        </is>
      </c>
      <c r="E23" s="3" t="inlineStr">
        <is>
          <t xml:space="preserve">신규시설투자등              </t>
        </is>
      </c>
      <c r="F23" s="7" t="inlineStr">
        <is>
          <t>수주확대에 대응한 생산CAPA 증대, R&amp;D센터 구축 및 본사.공장 통합운영을 통해 연구개발 역량과 협업체계를 강화하고 의사결정 및 생산효율성을 제고</t>
        </is>
      </c>
      <c r="G23" s="2" t="inlineStr">
        <is>
          <t>2026-07-01</t>
        </is>
      </c>
      <c r="H23" s="2" t="inlineStr">
        <is>
          <t>2028-06-30</t>
        </is>
      </c>
      <c r="I23" s="5" t="n">
        <v>43300000000</v>
      </c>
      <c r="J23" s="13" t="n">
        <v>79.83</v>
      </c>
      <c r="K23" s="2" t="inlineStr">
        <is>
          <t>20260526900462</t>
        </is>
      </c>
      <c r="L23" s="8">
        <f>HYPERLINK("https://dart.fss.or.kr/dsaf001/main.do?rcpNo=20260526900462", "공시열람")</f>
        <v/>
      </c>
    </row>
    <row r="24" ht="36" customHeight="1">
      <c r="A24" s="2" t="inlineStr">
        <is>
          <t>2026-05-26</t>
        </is>
      </c>
      <c r="B24" s="3" t="inlineStr">
        <is>
          <t>네패스아크</t>
        </is>
      </c>
      <c r="C24" s="2" t="inlineStr">
        <is>
          <t>코스닥</t>
        </is>
      </c>
      <c r="D24" s="2" t="inlineStr">
        <is>
          <t>330860</t>
        </is>
      </c>
      <c r="E24" s="3" t="inlineStr">
        <is>
          <t xml:space="preserve">신규시설투자등              </t>
        </is>
      </c>
      <c r="F24" s="7" t="inlineStr">
        <is>
          <t>TEST 시장 대응을 위한 생산능력 추가 확보</t>
        </is>
      </c>
      <c r="G24" s="2" t="inlineStr">
        <is>
          <t>2026-06-01</t>
        </is>
      </c>
      <c r="H24" s="2" t="inlineStr">
        <is>
          <t>2027-05-31</t>
        </is>
      </c>
      <c r="I24" s="5" t="n">
        <v>66700000000</v>
      </c>
      <c r="J24" s="13" t="n">
        <v>39.55</v>
      </c>
      <c r="K24" s="2" t="inlineStr">
        <is>
          <t>20260526900286</t>
        </is>
      </c>
      <c r="L24" s="8">
        <f>HYPERLINK("https://dart.fss.or.kr/dsaf001/main.do?rcpNo=20260526900286", "공시열람")</f>
        <v/>
      </c>
    </row>
    <row r="25" ht="36" customHeight="1">
      <c r="A25" s="2" t="inlineStr">
        <is>
          <t>2026-05-27</t>
        </is>
      </c>
      <c r="B25" s="3" t="inlineStr">
        <is>
          <t>케이씨피드</t>
        </is>
      </c>
      <c r="C25" s="2" t="inlineStr">
        <is>
          <t>코스닥</t>
        </is>
      </c>
      <c r="D25" s="2" t="inlineStr">
        <is>
          <t>025880</t>
        </is>
      </c>
      <c r="E25" s="3" t="inlineStr">
        <is>
          <t xml:space="preserve">신규시설투자등              </t>
        </is>
      </c>
      <c r="F25" s="7" t="inlineStr">
        <is>
          <t>액란 시장수요 증가에 대응하기 위한 생산공장 증축 및 설비 증설</t>
        </is>
      </c>
      <c r="G25" s="2" t="inlineStr">
        <is>
          <t>2026-05-27</t>
        </is>
      </c>
      <c r="H25" s="2" t="inlineStr">
        <is>
          <t>2027-08-31</t>
        </is>
      </c>
      <c r="I25" s="5" t="n">
        <v>13414600000</v>
      </c>
      <c r="J25" s="13" t="n">
        <v>16.67</v>
      </c>
      <c r="K25" s="2" t="inlineStr">
        <is>
          <t>20260527900775</t>
        </is>
      </c>
      <c r="L25" s="8">
        <f>HYPERLINK("https://dart.fss.or.kr/dsaf001/main.do?rcpNo=20260527900775", "공시열람")</f>
        <v/>
      </c>
    </row>
    <row r="26" ht="36" customHeight="1">
      <c r="A26" s="2" t="inlineStr">
        <is>
          <t>2024-09-25 (정정: 2026-05-27)</t>
        </is>
      </c>
      <c r="B26" s="3" t="inlineStr">
        <is>
          <t>한화에어로스페이스</t>
        </is>
      </c>
      <c r="C26" s="2" t="inlineStr">
        <is>
          <t>코스피</t>
        </is>
      </c>
      <c r="D26" s="2" t="inlineStr">
        <is>
          <t>012450</t>
        </is>
      </c>
      <c r="E26" s="3" t="inlineStr">
        <is>
          <t xml:space="preserve">[기재정정]신규시설투자등              </t>
        </is>
      </c>
      <c r="F26" s="7" t="inlineStr">
        <is>
          <t>국내외 수요 대응 및 제조 경쟁력 향상, 안전 및 품질사고 Zero 화 실현</t>
        </is>
      </c>
      <c r="G26" s="2" t="inlineStr">
        <is>
          <t>2024-09-25</t>
        </is>
      </c>
      <c r="H26" s="2" t="inlineStr">
        <is>
          <t>2028-01-31</t>
        </is>
      </c>
      <c r="I26" s="5" t="n">
        <v>853800000000</v>
      </c>
      <c r="J26" s="13" t="n">
        <v>18.23</v>
      </c>
      <c r="K26" s="2" t="inlineStr">
        <is>
          <t>20260527800625</t>
        </is>
      </c>
      <c r="L26" s="8">
        <f>HYPERLINK("https://dart.fss.or.kr/dsaf001/main.do?rcpNo=20260527800625", "공시열람")</f>
        <v/>
      </c>
    </row>
    <row r="27" ht="36" customHeight="1">
      <c r="A27" s="2" t="inlineStr">
        <is>
          <t>2024-12-10 (정정: 2026-05-29)</t>
        </is>
      </c>
      <c r="B27" s="3" t="inlineStr">
        <is>
          <t>한농화성</t>
        </is>
      </c>
      <c r="C27" s="2" t="inlineStr">
        <is>
          <t>코스피</t>
        </is>
      </c>
      <c r="D27" s="2" t="inlineStr">
        <is>
          <t>011500</t>
        </is>
      </c>
      <c r="E27" s="3" t="inlineStr">
        <is>
          <t xml:space="preserve">[기재정정]신규시설투자등              </t>
        </is>
      </c>
      <c r="F27" s="7" t="inlineStr">
        <is>
          <t>기존 제품군(카보머) 생산설비 증설을 통한 제품경쟁력 제고</t>
        </is>
      </c>
      <c r="G27" s="2" t="inlineStr">
        <is>
          <t>2024-12-11</t>
        </is>
      </c>
      <c r="H27" s="2" t="inlineStr">
        <is>
          <t>2026-05-31</t>
        </is>
      </c>
      <c r="I27" s="5" t="n">
        <v>22444457397</v>
      </c>
      <c r="J27" s="13" t="n">
        <v>13.81</v>
      </c>
      <c r="K27" s="2" t="inlineStr">
        <is>
          <t>20260529802065</t>
        </is>
      </c>
      <c r="L27" s="8">
        <f>HYPERLINK("https://dart.fss.or.kr/dsaf001/main.do?rcpNo=20260529802065", "공시열람")</f>
        <v/>
      </c>
    </row>
    <row r="28" ht="36" customHeight="1">
      <c r="A28" s="2" t="inlineStr">
        <is>
          <t>2026-06-01</t>
        </is>
      </c>
      <c r="B28" s="3" t="inlineStr">
        <is>
          <t>흥아해운</t>
        </is>
      </c>
      <c r="C28" s="2" t="inlineStr">
        <is>
          <t>코스피</t>
        </is>
      </c>
      <c r="D28" s="2" t="inlineStr">
        <is>
          <t>003280</t>
        </is>
      </c>
      <c r="E28" s="3" t="inlineStr">
        <is>
          <t xml:space="preserve">신규시설투자등              </t>
        </is>
      </c>
      <c r="F28" s="7" t="inlineStr">
        <is>
          <t>중장기 선대 경쟁력 강화를 위한 대형 신조선 도입</t>
        </is>
      </c>
      <c r="G28" s="2" t="inlineStr">
        <is>
          <t>2026-06-02</t>
        </is>
      </c>
      <c r="H28" s="2" t="inlineStr">
        <is>
          <t>2029-06-30</t>
        </is>
      </c>
      <c r="I28" s="5" t="n">
        <v>205186800000</v>
      </c>
      <c r="J28" s="13" t="n">
        <v>78.95</v>
      </c>
      <c r="K28" s="2" t="inlineStr">
        <is>
          <t>20260601801177</t>
        </is>
      </c>
      <c r="L28" s="8">
        <f>HYPERLINK("https://dart.fss.or.kr/dsaf001/main.do?rcpNo=20260601801177", "공시열람")</f>
        <v/>
      </c>
    </row>
    <row r="29" ht="36" customHeight="1">
      <c r="A29" s="2" t="inlineStr">
        <is>
          <t>2026-06-02</t>
        </is>
      </c>
      <c r="B29" s="3" t="inlineStr">
        <is>
          <t>이노테크</t>
        </is>
      </c>
      <c r="C29" s="2" t="inlineStr">
        <is>
          <t>코스닥</t>
        </is>
      </c>
      <c r="D29" s="2" t="inlineStr">
        <is>
          <t>469610</t>
        </is>
      </c>
      <c r="E29" s="3" t="inlineStr">
        <is>
          <t xml:space="preserve">신규시설투자등              </t>
        </is>
      </c>
      <c r="F29" s="7" t="inlineStr">
        <is>
          <t>기존 생산시설 가동률 상승과 신규 수주 확대에 대응하기 위한 선제적 생산 인프라 확보차원으로 경기도 평택 브레인시티 내 신규 부지에 공장신설</t>
        </is>
      </c>
      <c r="G29" s="2" t="inlineStr">
        <is>
          <t>2026-07-01</t>
        </is>
      </c>
      <c r="H29" s="2" t="inlineStr">
        <is>
          <t>2027-03-31</t>
        </is>
      </c>
      <c r="I29" s="5" t="n">
        <v>12350000000</v>
      </c>
      <c r="J29" s="13" t="n">
        <v>19.81</v>
      </c>
      <c r="K29" s="2" t="inlineStr">
        <is>
          <t>20260602900403</t>
        </is>
      </c>
      <c r="L29" s="8">
        <f>HYPERLINK("https://dart.fss.or.kr/dsaf001/main.do?rcpNo=20260602900403", "공시열람")</f>
        <v/>
      </c>
    </row>
    <row r="30" ht="36" customHeight="1">
      <c r="A30" s="2" t="inlineStr">
        <is>
          <t>2026-06-05</t>
        </is>
      </c>
      <c r="B30" s="3" t="inlineStr">
        <is>
          <t>웨이비스</t>
        </is>
      </c>
      <c r="C30" s="2" t="inlineStr">
        <is>
          <t>코스닥</t>
        </is>
      </c>
      <c r="D30" s="2" t="inlineStr">
        <is>
          <t>289930</t>
        </is>
      </c>
      <c r="E30" s="3" t="inlineStr">
        <is>
          <t xml:space="preserve">신규시설투자등              </t>
        </is>
      </c>
      <c r="F30" s="7" t="inlineStr">
        <is>
          <t>사옥 신축을 통한 생산 능력 및 성장 기반 확보</t>
        </is>
      </c>
      <c r="G30" s="2" t="inlineStr">
        <is>
          <t>2026-06-22</t>
        </is>
      </c>
      <c r="H30" s="2" t="inlineStr">
        <is>
          <t>2027-04-30</t>
        </is>
      </c>
      <c r="I30" s="5" t="n">
        <v>30950000000</v>
      </c>
      <c r="J30" s="13" t="n">
        <v>50.8</v>
      </c>
      <c r="K30" s="2" t="inlineStr">
        <is>
          <t>20260605900298</t>
        </is>
      </c>
      <c r="L30" s="8">
        <f>HYPERLINK("https://dart.fss.or.kr/dsaf001/main.do?rcpNo=20260605900298", "공시열람")</f>
        <v/>
      </c>
    </row>
    <row r="31" ht="36" customHeight="1">
      <c r="A31" s="2" t="inlineStr">
        <is>
          <t>2026-01-30 (정정: 2026-06-08)</t>
        </is>
      </c>
      <c r="B31" s="3" t="inlineStr">
        <is>
          <t>씨아이테크</t>
        </is>
      </c>
      <c r="C31" s="2" t="inlineStr">
        <is>
          <t>코스피</t>
        </is>
      </c>
      <c r="D31" s="2" t="inlineStr">
        <is>
          <t>004920</t>
        </is>
      </c>
      <c r="E31" s="3" t="inlineStr">
        <is>
          <t xml:space="preserve">[기재정정]신규시설투자등              </t>
        </is>
      </c>
      <c r="F31" s="7" t="inlineStr">
        <is>
          <t>사옥 신축을 통한 업무효율성 제고 및 근무환경 개선</t>
        </is>
      </c>
      <c r="G31" s="2" t="inlineStr">
        <is>
          <t>2026-03-03</t>
        </is>
      </c>
      <c r="H31" s="2" t="inlineStr">
        <is>
          <t>2027-10-31</t>
        </is>
      </c>
      <c r="I31" s="5" t="n">
        <v>14735000000</v>
      </c>
      <c r="J31" s="13" t="n">
        <v>26.9</v>
      </c>
      <c r="K31" s="2" t="inlineStr">
        <is>
          <t>20260608800456</t>
        </is>
      </c>
      <c r="L31" s="8">
        <f>HYPERLINK("https://dart.fss.or.kr/dsaf001/main.do?rcpNo=20260608800456", "공시열람")</f>
        <v/>
      </c>
    </row>
    <row r="32" ht="36" customHeight="1">
      <c r="A32" s="2" t="inlineStr">
        <is>
          <t>2026-06-08</t>
        </is>
      </c>
      <c r="B32" s="3" t="inlineStr">
        <is>
          <t>화인베스틸</t>
        </is>
      </c>
      <c r="C32" s="2" t="inlineStr">
        <is>
          <t>코스피</t>
        </is>
      </c>
      <c r="D32" s="2" t="inlineStr">
        <is>
          <t>133820</t>
        </is>
      </c>
      <c r="E32" s="3" t="inlineStr">
        <is>
          <t xml:space="preserve">신규시설투자등              </t>
        </is>
      </c>
      <c r="F32" s="7" t="inlineStr">
        <is>
          <t>제품 포트폴리오 확대 및 생산능력 증대를 위한 설비증설</t>
        </is>
      </c>
      <c r="G32" s="2" t="inlineStr">
        <is>
          <t>2026-06-08</t>
        </is>
      </c>
      <c r="H32" s="2" t="inlineStr">
        <is>
          <t>2027-06-08</t>
        </is>
      </c>
      <c r="I32" s="5" t="n">
        <v>15400000000</v>
      </c>
      <c r="J32" s="13" t="n">
        <v>29.75</v>
      </c>
      <c r="K32" s="2" t="inlineStr">
        <is>
          <t>20260608800391</t>
        </is>
      </c>
      <c r="L32" s="8">
        <f>HYPERLINK("https://dart.fss.or.kr/dsaf001/main.do?rcpNo=20260608800391", "공시열람")</f>
        <v/>
      </c>
    </row>
    <row r="33" ht="36" customHeight="1">
      <c r="A33" s="2" t="inlineStr">
        <is>
          <t>2018-11-20 (정정: 2026-06-09)</t>
        </is>
      </c>
      <c r="B33" s="3" t="inlineStr">
        <is>
          <t>AK홀딩스</t>
        </is>
      </c>
      <c r="C33" s="2" t="inlineStr">
        <is>
          <t>코스피</t>
        </is>
      </c>
      <c r="D33" s="2" t="inlineStr">
        <is>
          <t>006840</t>
        </is>
      </c>
      <c r="E33" s="3" t="inlineStr">
        <is>
          <t xml:space="preserve">[기재정정]신규시설투자등(자회사의 주요경영사항)              </t>
        </is>
      </c>
      <c r="F33" s="7" t="inlineStr">
        <is>
          <t>CASK 절감 및 최신기재 도입을 통한 경쟁력 강화</t>
        </is>
      </c>
      <c r="G33" s="2" t="inlineStr">
        <is>
          <t>2018-11-20</t>
        </is>
      </c>
      <c r="H33" s="2" t="inlineStr">
        <is>
          <t>2028-12-31</t>
        </is>
      </c>
      <c r="I33" s="5" t="n">
        <v>3981904646400</v>
      </c>
      <c r="J33" s="13" t="n">
        <v>1201.46</v>
      </c>
      <c r="K33" s="2" t="inlineStr">
        <is>
          <t>20260609800814</t>
        </is>
      </c>
      <c r="L33" s="8">
        <f>HYPERLINK("https://dart.fss.or.kr/dsaf001/main.do?rcpNo=20260609800814", "공시열람")</f>
        <v/>
      </c>
    </row>
    <row r="34" ht="36" customHeight="1">
      <c r="A34" s="2" t="inlineStr">
        <is>
          <t>2018-11-20 (정정: 2026-06-09)</t>
        </is>
      </c>
      <c r="B34" s="3" t="inlineStr">
        <is>
          <t>제주항공</t>
        </is>
      </c>
      <c r="C34" s="2" t="inlineStr">
        <is>
          <t>코스피</t>
        </is>
      </c>
      <c r="D34" s="2" t="inlineStr">
        <is>
          <t>089590</t>
        </is>
      </c>
      <c r="E34" s="3" t="inlineStr">
        <is>
          <t xml:space="preserve">[기재정정]신규시설투자등              </t>
        </is>
      </c>
      <c r="F34" s="7" t="inlineStr">
        <is>
          <t>CASK 절감 및 최신기재 도입을 통한 경쟁력 강화</t>
        </is>
      </c>
      <c r="G34" s="2" t="inlineStr">
        <is>
          <t>2018-11-20</t>
        </is>
      </c>
      <c r="H34" s="2" t="inlineStr">
        <is>
          <t>2028-12-31</t>
        </is>
      </c>
      <c r="I34" s="5" t="n">
        <v>3981904646400</v>
      </c>
      <c r="J34" s="13" t="n">
        <v>1201.46</v>
      </c>
      <c r="K34" s="2" t="inlineStr">
        <is>
          <t>20260609800797</t>
        </is>
      </c>
      <c r="L34" s="8">
        <f>HYPERLINK("https://dart.fss.or.kr/dsaf001/main.do?rcpNo=20260609800797", "공시열람")</f>
        <v/>
      </c>
    </row>
    <row r="35" ht="36" customHeight="1">
      <c r="A35" s="2" t="inlineStr">
        <is>
          <t>2026-06-09</t>
        </is>
      </c>
      <c r="B35" s="3" t="inlineStr">
        <is>
          <t>아이컴포넌트</t>
        </is>
      </c>
      <c r="C35" s="2" t="inlineStr">
        <is>
          <t>코스닥</t>
        </is>
      </c>
      <c r="D35" s="2" t="inlineStr">
        <is>
          <t>059100</t>
        </is>
      </c>
      <c r="E35" s="3" t="inlineStr">
        <is>
          <t xml:space="preserve">신규시설투자등              </t>
        </is>
      </c>
      <c r="F35" s="7" t="inlineStr">
        <is>
          <t>디스플레이 및 태양전지용 배리어필름 시장수요 증가에 대응하기 위한 설비 증설</t>
        </is>
      </c>
      <c r="G35" s="2" t="inlineStr">
        <is>
          <t>2026-06-09</t>
        </is>
      </c>
      <c r="H35" s="2" t="inlineStr">
        <is>
          <t>2027-02-23</t>
        </is>
      </c>
      <c r="I35" s="5" t="n">
        <v>5500000000</v>
      </c>
      <c r="J35" s="13" t="n">
        <v>12.4</v>
      </c>
      <c r="K35" s="2" t="inlineStr">
        <is>
          <t>20260609900374</t>
        </is>
      </c>
      <c r="L35" s="8">
        <f>HYPERLINK("https://dart.fss.or.kr/dsaf001/main.do?rcpNo=20260609900374", "공시열람")</f>
        <v/>
      </c>
    </row>
    <row r="36" ht="36" customHeight="1">
      <c r="A36" s="2" t="inlineStr">
        <is>
          <t>2026-06-10 (정정: 2026-06-25)</t>
        </is>
      </c>
      <c r="B36" s="3" t="inlineStr">
        <is>
          <t>경동나비엔</t>
        </is>
      </c>
      <c r="C36" s="2" t="inlineStr">
        <is>
          <t>코스피</t>
        </is>
      </c>
      <c r="D36" s="2" t="inlineStr">
        <is>
          <t>009450</t>
        </is>
      </c>
      <c r="E36" s="3" t="inlineStr">
        <is>
          <t>[기재정정]신규시설투자등               (정정: 20260625)</t>
        </is>
      </c>
      <c r="F36" s="7" t="inlineStr">
        <is>
          <t>서탄공장 생산능력 증대를 위한 제조시설 구축</t>
        </is>
      </c>
      <c r="G36" s="2" t="inlineStr">
        <is>
          <t>2024-07-19</t>
        </is>
      </c>
      <c r="H36" s="2" t="inlineStr">
        <is>
          <t>2026-07-31</t>
        </is>
      </c>
      <c r="I36" s="5" t="n">
        <v>104297600000</v>
      </c>
      <c r="J36" s="13" t="n">
        <v>17.84</v>
      </c>
      <c r="K36" s="2" t="inlineStr">
        <is>
          <t>20260625800456</t>
        </is>
      </c>
      <c r="L36" s="8">
        <f>HYPERLINK("https://dart.fss.or.kr/dsaf001/main.do?rcpNo=20260625800456", "공시열람")</f>
        <v/>
      </c>
    </row>
    <row r="37" ht="36" customHeight="1">
      <c r="A37" s="2" t="inlineStr">
        <is>
          <t>2026-06-11</t>
        </is>
      </c>
      <c r="B37" s="3" t="inlineStr">
        <is>
          <t>종근당홀딩스</t>
        </is>
      </c>
      <c r="C37" s="2" t="inlineStr">
        <is>
          <t>코스피</t>
        </is>
      </c>
      <c r="D37" s="2" t="inlineStr">
        <is>
          <t>001630</t>
        </is>
      </c>
      <c r="E37" s="3" t="inlineStr">
        <is>
          <t xml:space="preserve">신규시설투자등(자회사의 주요경영사항)              </t>
        </is>
      </c>
      <c r="F37" s="7" t="inlineStr">
        <is>
          <t>바이오의약품 연구개발을 위한 연구센터와 이에 대한 실증센터 구축</t>
        </is>
      </c>
      <c r="G37" s="2" t="inlineStr">
        <is>
          <t>2026-06-11</t>
        </is>
      </c>
      <c r="H37" s="2" t="inlineStr">
        <is>
          <t>2028-08-31</t>
        </is>
      </c>
      <c r="I37" s="5" t="n">
        <v>392500000000</v>
      </c>
      <c r="J37" s="13" t="n">
        <v>39</v>
      </c>
      <c r="K37" s="2" t="inlineStr">
        <is>
          <t>20260611800425</t>
        </is>
      </c>
      <c r="L37" s="8">
        <f>HYPERLINK("https://dart.fss.or.kr/dsaf001/main.do?rcpNo=20260611800425", "공시열람")</f>
        <v/>
      </c>
    </row>
    <row r="38" ht="36" customHeight="1">
      <c r="A38" s="2" t="inlineStr">
        <is>
          <t>2026-06-11</t>
        </is>
      </c>
      <c r="B38" s="3" t="inlineStr">
        <is>
          <t>종근당</t>
        </is>
      </c>
      <c r="C38" s="2" t="inlineStr">
        <is>
          <t>코스피</t>
        </is>
      </c>
      <c r="D38" s="2" t="inlineStr">
        <is>
          <t>185750</t>
        </is>
      </c>
      <c r="E38" s="3" t="inlineStr">
        <is>
          <t xml:space="preserve">신규시설투자등              </t>
        </is>
      </c>
      <c r="F38" s="7" t="inlineStr">
        <is>
          <t>바이오의약품 연구개발을 위한 연구센터와 이에 대한 실증센터 구축</t>
        </is>
      </c>
      <c r="G38" s="2" t="inlineStr">
        <is>
          <t>2026-06-11</t>
        </is>
      </c>
      <c r="H38" s="2" t="inlineStr">
        <is>
          <t>2028-08-31</t>
        </is>
      </c>
      <c r="I38" s="5" t="n">
        <v>392500000000</v>
      </c>
      <c r="J38" s="13" t="n">
        <v>39</v>
      </c>
      <c r="K38" s="2" t="inlineStr">
        <is>
          <t>20260611800406</t>
        </is>
      </c>
      <c r="L38" s="8">
        <f>HYPERLINK("https://dart.fss.or.kr/dsaf001/main.do?rcpNo=20260611800406", "공시열람")</f>
        <v/>
      </c>
    </row>
    <row r="39" ht="36" customHeight="1">
      <c r="A39" s="2" t="inlineStr">
        <is>
          <t>2024-03-21 (정정: 2026-06-15)</t>
        </is>
      </c>
      <c r="B39" s="3" t="inlineStr">
        <is>
          <t>롯데지주</t>
        </is>
      </c>
      <c r="C39" s="2" t="inlineStr">
        <is>
          <t>코스피</t>
        </is>
      </c>
      <c r="D39" s="2" t="inlineStr">
        <is>
          <t>004990</t>
        </is>
      </c>
      <c r="E39" s="3" t="inlineStr">
        <is>
          <t xml:space="preserve">[기재정정]신규시설투자등(자회사의 주요경영사항)              </t>
        </is>
      </c>
      <c r="F39" s="7" t="inlineStr">
        <is>
          <t>생산 및 물류 효율성 향상</t>
        </is>
      </c>
      <c r="G39" s="2" t="inlineStr">
        <is>
          <t>2024-07-15</t>
        </is>
      </c>
      <c r="H39" s="2" t="inlineStr">
        <is>
          <t>2028-03-30</t>
        </is>
      </c>
      <c r="I39" s="5" t="n">
        <v>237600000000</v>
      </c>
      <c r="J39" s="13" t="n">
        <v>11.09</v>
      </c>
      <c r="K39" s="2" t="inlineStr">
        <is>
          <t>20260615800515</t>
        </is>
      </c>
      <c r="L39" s="8">
        <f>HYPERLINK("https://dart.fss.or.kr/dsaf001/main.do?rcpNo=20260615800515", "공시열람")</f>
        <v/>
      </c>
    </row>
    <row r="40" ht="36" customHeight="1">
      <c r="A40" s="2" t="inlineStr">
        <is>
          <t>2024-03-21 (정정: 2026-06-15)</t>
        </is>
      </c>
      <c r="B40" s="3" t="inlineStr">
        <is>
          <t>롯데웰푸드</t>
        </is>
      </c>
      <c r="C40" s="2" t="inlineStr">
        <is>
          <t>코스피</t>
        </is>
      </c>
      <c r="D40" s="2" t="inlineStr">
        <is>
          <t>280360</t>
        </is>
      </c>
      <c r="E40" s="3" t="inlineStr">
        <is>
          <t xml:space="preserve">[기재정정]신규시설투자등              </t>
        </is>
      </c>
      <c r="F40" s="7" t="inlineStr">
        <is>
          <t>생산 및 물류 효율성 향상</t>
        </is>
      </c>
      <c r="G40" s="2" t="inlineStr">
        <is>
          <t>2024-07-15</t>
        </is>
      </c>
      <c r="H40" s="2" t="inlineStr">
        <is>
          <t>2028-03-30</t>
        </is>
      </c>
      <c r="I40" s="5" t="n">
        <v>237600000000</v>
      </c>
      <c r="J40" s="13" t="n">
        <v>11.09</v>
      </c>
      <c r="K40" s="2" t="inlineStr">
        <is>
          <t>20260615800501</t>
        </is>
      </c>
      <c r="L40" s="8">
        <f>HYPERLINK("https://dart.fss.or.kr/dsaf001/main.do?rcpNo=20260615800501", "공시열람")</f>
        <v/>
      </c>
    </row>
    <row r="41" ht="36" customHeight="1">
      <c r="A41" s="2" t="inlineStr">
        <is>
          <t>2026-04-29 (정정: 2026-06-15)</t>
        </is>
      </c>
      <c r="B41" s="3" t="inlineStr">
        <is>
          <t>비씨엔씨</t>
        </is>
      </c>
      <c r="C41" s="2" t="inlineStr">
        <is>
          <t>코스닥</t>
        </is>
      </c>
      <c r="D41" s="2" t="inlineStr">
        <is>
          <t>146320</t>
        </is>
      </c>
      <c r="E41" s="3" t="inlineStr">
        <is>
          <t xml:space="preserve">[기재정정]신규시설투자등              </t>
        </is>
      </c>
      <c r="F41" s="7" t="inlineStr">
        <is>
          <t>반도체 소재 공장 신증축 및 설비투자</t>
        </is>
      </c>
      <c r="G41" s="2" t="inlineStr">
        <is>
          <t>2025-09-24</t>
        </is>
      </c>
      <c r="H41" s="2" t="inlineStr">
        <is>
          <t>2026-12-31</t>
        </is>
      </c>
      <c r="I41" s="5" t="n">
        <v>18095700000</v>
      </c>
      <c r="J41" s="13" t="n">
        <v>24.7</v>
      </c>
      <c r="K41" s="2" t="inlineStr">
        <is>
          <t>20260615900452</t>
        </is>
      </c>
      <c r="L41" s="8">
        <f>HYPERLINK("https://dart.fss.or.kr/dsaf001/main.do?rcpNo=20260615900452", "공시열람")</f>
        <v/>
      </c>
    </row>
    <row r="42" ht="36" customHeight="1">
      <c r="A42" s="2" t="inlineStr">
        <is>
          <t>2026-06-15</t>
        </is>
      </c>
      <c r="B42" s="3" t="inlineStr">
        <is>
          <t>신진에스엠</t>
        </is>
      </c>
      <c r="C42" s="2" t="inlineStr">
        <is>
          <t>코스닥</t>
        </is>
      </c>
      <c r="D42" s="2" t="inlineStr">
        <is>
          <t>138070</t>
        </is>
      </c>
      <c r="E42" s="3" t="inlineStr">
        <is>
          <t xml:space="preserve">신규시설투자등              </t>
        </is>
      </c>
      <c r="F42" s="7" t="inlineStr">
        <is>
          <t>신사업(정밀완성부품 제조사업 - EV용 금속가공품 등) 추진과 생산성 향상을 위한 공장신축 및 생산설비 투자</t>
        </is>
      </c>
      <c r="G42" s="2" t="inlineStr">
        <is>
          <t>2026-06-15</t>
        </is>
      </c>
      <c r="H42" s="2" t="inlineStr">
        <is>
          <t>2027-03-31</t>
        </is>
      </c>
      <c r="I42" s="5" t="n">
        <v>8150000000</v>
      </c>
      <c r="J42" s="13" t="n">
        <v>10.5</v>
      </c>
      <c r="K42" s="2" t="inlineStr">
        <is>
          <t>20260615900475</t>
        </is>
      </c>
      <c r="L42" s="8">
        <f>HYPERLINK("https://dart.fss.or.kr/dsaf001/main.do?rcpNo=20260615900475", "공시열람")</f>
        <v/>
      </c>
    </row>
    <row r="43" ht="36" customHeight="1">
      <c r="A43" s="2" t="inlineStr">
        <is>
          <t>2026-06-15</t>
        </is>
      </c>
      <c r="B43" s="3" t="inlineStr">
        <is>
          <t>하츠</t>
        </is>
      </c>
      <c r="C43" s="2" t="inlineStr">
        <is>
          <t>코스닥</t>
        </is>
      </c>
      <c r="D43" s="2" t="inlineStr">
        <is>
          <t>066130</t>
        </is>
      </c>
      <c r="E43" s="3" t="inlineStr">
        <is>
          <t xml:space="preserve">[기재정정]신규시설투자등              </t>
        </is>
      </c>
      <c r="F43" s="7" t="inlineStr">
        <is>
          <t>- 중장기 성장기반 확보를 위한 제품 생산능력(Capacity)증대 - 사내 물류시스템 개선 - 경영효율화를 위한 근무환경 개선</t>
        </is>
      </c>
      <c r="G43" s="2" t="inlineStr">
        <is>
          <t>2025-01-02</t>
        </is>
      </c>
      <c r="H43" s="2" t="inlineStr">
        <is>
          <t>2026-03-31</t>
        </is>
      </c>
      <c r="I43" s="5" t="n">
        <v>13576910510</v>
      </c>
      <c r="J43" s="13" t="n">
        <v>13.34</v>
      </c>
      <c r="K43" s="2" t="inlineStr">
        <is>
          <t>20260615900329</t>
        </is>
      </c>
      <c r="L43" s="8">
        <f>HYPERLINK("https://dart.fss.or.kr/dsaf001/main.do?rcpNo=20260615900329", "공시열람")</f>
        <v/>
      </c>
    </row>
    <row r="44" ht="36" customHeight="1">
      <c r="A44" s="2" t="inlineStr">
        <is>
          <t>2025-08-05 (정정: 2026-06-16)</t>
        </is>
      </c>
      <c r="B44" s="3" t="inlineStr">
        <is>
          <t>이수스페셜티케미컬</t>
        </is>
      </c>
      <c r="C44" s="2" t="inlineStr">
        <is>
          <t>코스피</t>
        </is>
      </c>
      <c r="D44" s="2" t="inlineStr">
        <is>
          <t>457190</t>
        </is>
      </c>
      <c r="E44" s="3" t="inlineStr">
        <is>
          <t xml:space="preserve">[기재정정]신규시설투자등              </t>
        </is>
      </c>
      <c r="F44" s="7" t="inlineStr">
        <is>
          <t>황화물계 전고체 전지 제조 기업들의 상용화 계획에 대응한 Li2S(황화리튬) 상업화 플랜트 구축</t>
        </is>
      </c>
      <c r="G44" s="2" t="inlineStr">
        <is>
          <t>2025-08-05</t>
        </is>
      </c>
      <c r="H44" s="2" t="inlineStr">
        <is>
          <t>2026-06-16</t>
        </is>
      </c>
      <c r="I44" s="5" t="n">
        <v>84119211097</v>
      </c>
      <c r="J44" s="13" t="n">
        <v>69.15000000000001</v>
      </c>
      <c r="K44" s="2" t="inlineStr">
        <is>
          <t>20260616800799</t>
        </is>
      </c>
      <c r="L44" s="8">
        <f>HYPERLINK("https://dart.fss.or.kr/dsaf001/main.do?rcpNo=20260616800799", "공시열람")</f>
        <v/>
      </c>
    </row>
    <row r="45" ht="36" customHeight="1">
      <c r="A45" s="2" t="inlineStr">
        <is>
          <t>2026-06-16</t>
        </is>
      </c>
      <c r="B45" s="3" t="inlineStr">
        <is>
          <t>한국알콜</t>
        </is>
      </c>
      <c r="C45" s="2" t="inlineStr">
        <is>
          <t>코스닥</t>
        </is>
      </c>
      <c r="D45" s="2" t="inlineStr">
        <is>
          <t>017890</t>
        </is>
      </c>
      <c r="E45" s="3" t="inlineStr">
        <is>
          <t xml:space="preserve">신규시설투자등(자율공시)              </t>
        </is>
      </c>
      <c r="F45" s="7" t="inlineStr">
        <is>
          <t>- 연구 개발 인프라 확충을 통한 미래 성장동력 확보 - 근무환경 및 복리후생 개선을 통한 인적자원 경쟁력 강화</t>
        </is>
      </c>
      <c r="G45" s="2" t="inlineStr">
        <is>
          <t>2026-06-16</t>
        </is>
      </c>
      <c r="H45" s="2" t="inlineStr">
        <is>
          <t>2028-02-29</t>
        </is>
      </c>
      <c r="I45" s="5" t="n">
        <v>30000000000</v>
      </c>
      <c r="J45" s="13" t="n">
        <v>5.04</v>
      </c>
      <c r="K45" s="2" t="inlineStr">
        <is>
          <t>20260616900524</t>
        </is>
      </c>
      <c r="L45" s="8">
        <f>HYPERLINK("https://dart.fss.or.kr/dsaf001/main.do?rcpNo=20260616900524", "공시열람")</f>
        <v/>
      </c>
    </row>
    <row r="46" ht="36" customHeight="1">
      <c r="A46" s="2" t="inlineStr">
        <is>
          <t>2026-06-16 (정정: 2026-06-16)</t>
        </is>
      </c>
      <c r="B46" s="3" t="inlineStr">
        <is>
          <t>티에프이</t>
        </is>
      </c>
      <c r="C46" s="2" t="inlineStr">
        <is>
          <t>코스닥</t>
        </is>
      </c>
      <c r="D46" s="2" t="inlineStr">
        <is>
          <t>425420</t>
        </is>
      </c>
      <c r="E46" s="3" t="inlineStr">
        <is>
          <t xml:space="preserve">[기재정정]신규시설투자등              </t>
        </is>
      </c>
      <c r="F46" s="7" t="inlineStr">
        <is>
          <t>사업확장에 따른 제품생산능력 확대</t>
        </is>
      </c>
      <c r="G46" s="2" t="inlineStr">
        <is>
          <t>2025-01-02</t>
        </is>
      </c>
      <c r="H46" s="2" t="inlineStr">
        <is>
          <t>2026-07-31</t>
        </is>
      </c>
      <c r="I46" s="5" t="n">
        <v>14300000000</v>
      </c>
      <c r="J46" s="13" t="n">
        <v>20.08</v>
      </c>
      <c r="K46" s="2" t="inlineStr">
        <is>
          <t>20260616900404</t>
        </is>
      </c>
      <c r="L46" s="8">
        <f>HYPERLINK("https://dart.fss.or.kr/dsaf001/main.do?rcpNo=20260616900404", "공시열람")</f>
        <v/>
      </c>
    </row>
    <row r="47" ht="36" customHeight="1">
      <c r="A47" s="2" t="inlineStr">
        <is>
          <t>2026-06-16</t>
        </is>
      </c>
      <c r="B47" s="3" t="inlineStr">
        <is>
          <t>드림텍</t>
        </is>
      </c>
      <c r="C47" s="2" t="inlineStr">
        <is>
          <t>코스피</t>
        </is>
      </c>
      <c r="D47" s="2" t="inlineStr">
        <is>
          <t>192650</t>
        </is>
      </c>
      <c r="E47" s="3" t="inlineStr">
        <is>
          <t xml:space="preserve">신규시설투자등(자율공시)              </t>
        </is>
      </c>
      <c r="F47" s="7" t="inlineStr">
        <is>
          <t>메모리 모듈 생산라인 증설</t>
        </is>
      </c>
      <c r="G47" s="2" t="inlineStr">
        <is>
          <t>2026-06-16</t>
        </is>
      </c>
      <c r="H47" s="2" t="inlineStr">
        <is>
          <t>2026-09-28</t>
        </is>
      </c>
      <c r="I47" s="5" t="n">
        <v>16578396510</v>
      </c>
      <c r="J47" s="13" t="n">
        <v>3.42</v>
      </c>
      <c r="K47" s="2" t="inlineStr">
        <is>
          <t>20260616800376</t>
        </is>
      </c>
      <c r="L47" s="8">
        <f>HYPERLINK("https://dart.fss.or.kr/dsaf001/main.do?rcpNo=20260616800376", "공시열람")</f>
        <v/>
      </c>
    </row>
    <row r="48" ht="36" customHeight="1">
      <c r="A48" s="2" t="inlineStr">
        <is>
          <t>2026-06-18</t>
        </is>
      </c>
      <c r="B48" s="3" t="inlineStr">
        <is>
          <t>라온로보틱스</t>
        </is>
      </c>
      <c r="C48" s="2" t="inlineStr">
        <is>
          <t>코스닥</t>
        </is>
      </c>
      <c r="D48" s="2" t="inlineStr">
        <is>
          <t>232680</t>
        </is>
      </c>
      <c r="E48" s="3" t="inlineStr">
        <is>
          <t xml:space="preserve">신규시설투자등              </t>
        </is>
      </c>
      <c r="F48" s="7" t="inlineStr">
        <is>
          <t>용인 신사옥 클린룸 공사</t>
        </is>
      </c>
      <c r="G48" s="2" t="inlineStr">
        <is>
          <t>2026-06-18</t>
        </is>
      </c>
      <c r="H48" s="2" t="inlineStr">
        <is>
          <t>2027-09-30</t>
        </is>
      </c>
      <c r="I48" s="5" t="n">
        <v>9690000000</v>
      </c>
      <c r="J48" s="13" t="n">
        <v>27.11</v>
      </c>
      <c r="K48" s="2" t="inlineStr">
        <is>
          <t>20260618900477</t>
        </is>
      </c>
      <c r="L48" s="8">
        <f>HYPERLINK("https://dart.fss.or.kr/dsaf001/main.do?rcpNo=20260618900477", "공시열람")</f>
        <v/>
      </c>
    </row>
    <row r="49" ht="36" customHeight="1">
      <c r="A49" s="2" t="inlineStr">
        <is>
          <t>2026-06-19</t>
        </is>
      </c>
      <c r="B49" s="3" t="inlineStr">
        <is>
          <t>HEM파마</t>
        </is>
      </c>
      <c r="C49" s="2" t="inlineStr">
        <is>
          <t>코스닥</t>
        </is>
      </c>
      <c r="D49" s="2" t="inlineStr">
        <is>
          <t>376270</t>
        </is>
      </c>
      <c r="E49" s="3" t="inlineStr">
        <is>
          <t xml:space="preserve">신규시설투자등              </t>
        </is>
      </c>
      <c r="F49" s="7" t="inlineStr">
        <is>
          <t>myLAB 분석서비스 전공정자동화 설비 도입</t>
        </is>
      </c>
      <c r="G49" s="2" t="inlineStr">
        <is>
          <t>2026-06-19</t>
        </is>
      </c>
      <c r="H49" s="2" t="inlineStr">
        <is>
          <t>2027-03-31</t>
        </is>
      </c>
      <c r="I49" s="5" t="n">
        <v>2181818181</v>
      </c>
      <c r="J49" s="13" t="n">
        <v>41.84</v>
      </c>
      <c r="K49" s="2" t="inlineStr">
        <is>
          <t>20260619900871</t>
        </is>
      </c>
      <c r="L49" s="8">
        <f>HYPERLINK("https://dart.fss.or.kr/dsaf001/main.do?rcpNo=20260619900871", "공시열람")</f>
        <v/>
      </c>
    </row>
    <row r="50" ht="36" customHeight="1">
      <c r="A50" s="2" t="inlineStr">
        <is>
          <t>2026-06-19</t>
        </is>
      </c>
      <c r="B50" s="3" t="inlineStr">
        <is>
          <t>APS이노베이션</t>
        </is>
      </c>
      <c r="C50" s="2" t="inlineStr">
        <is>
          <t>코스닥</t>
        </is>
      </c>
      <c r="D50" s="2" t="inlineStr">
        <is>
          <t>079810</t>
        </is>
      </c>
      <c r="E50" s="3" t="inlineStr">
        <is>
          <t xml:space="preserve">신규시설투자등(자율공시)              </t>
        </is>
      </c>
      <c r="F50" s="7" t="inlineStr">
        <is>
          <t>이차전지 장비 생산 능력 확대 및 중장기 성장기반 확보</t>
        </is>
      </c>
      <c r="G50" s="2" t="inlineStr">
        <is>
          <t>2026-06-19</t>
        </is>
      </c>
      <c r="H50" s="2" t="inlineStr">
        <is>
          <t>2027-01-31</t>
        </is>
      </c>
      <c r="I50" s="5" t="n">
        <v>13600000000</v>
      </c>
      <c r="J50" s="13" t="n">
        <v>8.1</v>
      </c>
      <c r="K50" s="2" t="inlineStr">
        <is>
          <t>20260619900403</t>
        </is>
      </c>
      <c r="L50" s="8">
        <f>HYPERLINK("https://dart.fss.or.kr/dsaf001/main.do?rcpNo=20260619900403", "공시열람")</f>
        <v/>
      </c>
    </row>
    <row r="51" ht="36" customHeight="1">
      <c r="A51" s="2" t="inlineStr">
        <is>
          <t>2025-12-23 (정정: 2026-06-23)</t>
        </is>
      </c>
      <c r="B51" s="3" t="inlineStr">
        <is>
          <t>하이젠알앤엠</t>
        </is>
      </c>
      <c r="C51" s="2" t="inlineStr">
        <is>
          <t>코스닥</t>
        </is>
      </c>
      <c r="D51" s="2" t="inlineStr">
        <is>
          <t>160190</t>
        </is>
      </c>
      <c r="E51" s="3" t="inlineStr">
        <is>
          <t xml:space="preserve">[기재정정]신규시설투자등              </t>
        </is>
      </c>
      <c r="F51" s="7" t="inlineStr">
        <is>
          <t>로봇 액츄에이터 및 EV 신규사업에 대한 제조시설 증설투자</t>
        </is>
      </c>
      <c r="G51" s="2" t="inlineStr">
        <is>
          <t>2024-10-16</t>
        </is>
      </c>
      <c r="H51" s="2" t="inlineStr">
        <is>
          <t>2027-06-30</t>
        </is>
      </c>
      <c r="I51" s="5" t="n">
        <v>12000000000</v>
      </c>
      <c r="J51" s="13" t="n">
        <v>17.1</v>
      </c>
      <c r="K51" s="2" t="inlineStr">
        <is>
          <t>20260623900532</t>
        </is>
      </c>
      <c r="L51" s="8">
        <f>HYPERLINK("https://dart.fss.or.kr/dsaf001/main.do?rcpNo=20260623900532", "공시열람")</f>
        <v/>
      </c>
    </row>
    <row r="52" ht="36" customHeight="1">
      <c r="A52" s="2" t="inlineStr">
        <is>
          <t>2025-08-14 (정정: 2026-06-23)</t>
        </is>
      </c>
      <c r="B52" s="3" t="inlineStr">
        <is>
          <t>선광</t>
        </is>
      </c>
      <c r="C52" s="2" t="inlineStr">
        <is>
          <t>코스닥</t>
        </is>
      </c>
      <c r="D52" s="2" t="inlineStr">
        <is>
          <t>003100</t>
        </is>
      </c>
      <c r="E52" s="3" t="inlineStr">
        <is>
          <t xml:space="preserve">[기재정정]신규시설투자등              </t>
        </is>
      </c>
      <c r="F52" s="7" t="inlineStr">
        <is>
          <t>충남권역 내 양곡 전용 하역시설 및 친환경 저장 시설 확보를 통한 수도권 곡물 가공 공장 물량 신규 유치</t>
        </is>
      </c>
      <c r="G52" s="2" t="inlineStr">
        <is>
          <t>2024-06-01</t>
        </is>
      </c>
      <c r="H52" s="2" t="inlineStr">
        <is>
          <t>2027-12-31</t>
        </is>
      </c>
      <c r="I52" s="5" t="n">
        <v>358500000000</v>
      </c>
      <c r="J52" s="13" t="n">
        <v>98.91</v>
      </c>
      <c r="K52" s="2" t="inlineStr">
        <is>
          <t>20260623900319</t>
        </is>
      </c>
      <c r="L52" s="8">
        <f>HYPERLINK("https://dart.fss.or.kr/dsaf001/main.do?rcpNo=20260623900319", "공시열람")</f>
        <v/>
      </c>
    </row>
    <row r="53" ht="36" customHeight="1">
      <c r="A53" s="2" t="inlineStr">
        <is>
          <t>2026-06-24</t>
        </is>
      </c>
      <c r="B53" s="3" t="inlineStr">
        <is>
          <t>HMM</t>
        </is>
      </c>
      <c r="C53" s="2" t="inlineStr">
        <is>
          <t>코스피</t>
        </is>
      </c>
      <c r="D53" s="2" t="inlineStr">
        <is>
          <t>011200</t>
        </is>
      </c>
      <c r="E53" s="3" t="inlineStr">
        <is>
          <t xml:space="preserve">신규시설투자등              </t>
        </is>
      </c>
      <c r="F53" s="7" t="inlineStr">
        <is>
          <t>벌크선대 경쟁력 강화</t>
        </is>
      </c>
      <c r="G53" s="2" t="inlineStr">
        <is>
          <t>2026-06-24</t>
        </is>
      </c>
      <c r="H53" s="2" t="inlineStr">
        <is>
          <t>2031-09-30</t>
        </is>
      </c>
      <c r="I53" s="5" t="n">
        <v>1664130591000</v>
      </c>
      <c r="J53" s="13" t="n">
        <v>6.26</v>
      </c>
      <c r="K53" s="2" t="inlineStr">
        <is>
          <t>20260624800682</t>
        </is>
      </c>
      <c r="L53" s="8">
        <f>HYPERLINK("https://dart.fss.or.kr/dsaf001/main.do?rcpNo=20260624800682", "공시열람")</f>
        <v/>
      </c>
    </row>
    <row r="54" ht="36" customHeight="1">
      <c r="A54" s="2" t="inlineStr">
        <is>
          <t>2025-09-24 (정정: 2026-06-24)</t>
        </is>
      </c>
      <c r="B54" s="3" t="inlineStr">
        <is>
          <t>선익시스템</t>
        </is>
      </c>
      <c r="C54" s="2" t="inlineStr">
        <is>
          <t>코스닥</t>
        </is>
      </c>
      <c r="D54" s="2" t="inlineStr">
        <is>
          <t>171090</t>
        </is>
      </c>
      <c r="E54" s="3" t="inlineStr">
        <is>
          <t xml:space="preserve">[기재정정]신규시설투자등              </t>
        </is>
      </c>
      <c r="F54" s="7" t="inlineStr">
        <is>
          <t>생산 Capacity 증설을 위한 공장 신설</t>
        </is>
      </c>
      <c r="G54" s="2" t="inlineStr">
        <is>
          <t>2025-10-25</t>
        </is>
      </c>
      <c r="H54" s="2" t="inlineStr">
        <is>
          <t>2026-07-31</t>
        </is>
      </c>
      <c r="I54" s="5" t="n">
        <v>19000000000</v>
      </c>
      <c r="J54" s="13" t="n">
        <v>40.93</v>
      </c>
      <c r="K54" s="2" t="inlineStr">
        <is>
          <t>20260624900371</t>
        </is>
      </c>
      <c r="L54" s="8">
        <f>HYPERLINK("https://dart.fss.or.kr/dsaf001/main.do?rcpNo=20260624900371", "공시열람")</f>
        <v/>
      </c>
    </row>
    <row r="55" ht="36" customHeight="1">
      <c r="A55" s="2" t="inlineStr">
        <is>
          <t>2026-06-26</t>
        </is>
      </c>
      <c r="B55" s="3" t="inlineStr">
        <is>
          <t>하림지주</t>
        </is>
      </c>
      <c r="C55" s="2" t="inlineStr">
        <is>
          <t>코스닥</t>
        </is>
      </c>
      <c r="D55" s="2" t="inlineStr">
        <is>
          <t>003380</t>
        </is>
      </c>
      <c r="E55" s="3" t="inlineStr">
        <is>
          <t xml:space="preserve">[기재정정]신규시설투자등(자회사의 주요경영사항)              </t>
        </is>
      </c>
      <c r="F55" s="7" t="inlineStr">
        <is>
          <t>생산라인 증설</t>
        </is>
      </c>
      <c r="G55" s="2" t="inlineStr">
        <is>
          <t>2024-07-26</t>
        </is>
      </c>
      <c r="H55" s="2" t="inlineStr">
        <is>
          <t>2026-09-30</t>
        </is>
      </c>
      <c r="I55" s="5" t="n">
        <v>40313000000</v>
      </c>
      <c r="J55" s="13" t="n">
        <v>9.119999999999999</v>
      </c>
      <c r="K55" s="2" t="inlineStr">
        <is>
          <t>20260626901383</t>
        </is>
      </c>
      <c r="L55" s="8">
        <f>HYPERLINK("https://dart.fss.or.kr/dsaf001/main.do?rcpNo=20260626901383", "공시열람")</f>
        <v/>
      </c>
    </row>
    <row r="56" ht="36" customHeight="1">
      <c r="A56" s="2" t="inlineStr">
        <is>
          <t>2025-12-17 (정정: 2026-06-26)</t>
        </is>
      </c>
      <c r="B56" s="3" t="inlineStr">
        <is>
          <t>티씨케이</t>
        </is>
      </c>
      <c r="C56" s="2" t="inlineStr">
        <is>
          <t>코스닥</t>
        </is>
      </c>
      <c r="D56" s="2" t="inlineStr">
        <is>
          <t>064760</t>
        </is>
      </c>
      <c r="E56" s="3" t="inlineStr">
        <is>
          <t xml:space="preserve">[기재정정]신규시설투자등(자율공시)              </t>
        </is>
      </c>
      <c r="F56" s="7" t="inlineStr">
        <is>
          <t>공장신설을 위한 부지확보</t>
        </is>
      </c>
      <c r="G56" s="2" t="inlineStr">
        <is>
          <t>2022-05-27</t>
        </is>
      </c>
      <c r="H56" s="2" t="inlineStr">
        <is>
          <t>2026-10-31</t>
        </is>
      </c>
      <c r="I56" s="5" t="n">
        <v>25690780000</v>
      </c>
      <c r="J56" s="13" t="n">
        <v>7.6</v>
      </c>
      <c r="K56" s="2" t="inlineStr">
        <is>
          <t>20260626900949</t>
        </is>
      </c>
      <c r="L56" s="8">
        <f>HYPERLINK("https://dart.fss.or.kr/dsaf001/main.do?rcpNo=20260626900949", "공시열람")</f>
        <v/>
      </c>
    </row>
    <row r="57" ht="36" customHeight="1">
      <c r="A57" s="2" t="inlineStr">
        <is>
          <t>2024-02-28 (정정: 2026-06-26)</t>
        </is>
      </c>
      <c r="B57" s="3" t="inlineStr">
        <is>
          <t>옵투스제약</t>
        </is>
      </c>
      <c r="C57" s="2" t="inlineStr">
        <is>
          <t>코스닥</t>
        </is>
      </c>
      <c r="D57" s="2" t="inlineStr">
        <is>
          <t>131030</t>
        </is>
      </c>
      <c r="E57" s="3" t="inlineStr">
        <is>
          <t xml:space="preserve">[기재정정]신규시설투자등              </t>
        </is>
      </c>
      <c r="F57" s="7" t="inlineStr">
        <is>
          <t>생산 능력 확대 및 자동화 설비 도입 등을 통한 생산 효율 증가</t>
        </is>
      </c>
      <c r="G57" s="2" t="inlineStr">
        <is>
          <t>2024-03-01</t>
        </is>
      </c>
      <c r="H57" s="2" t="inlineStr">
        <is>
          <t>2027-06-30</t>
        </is>
      </c>
      <c r="I57" s="5" t="n">
        <v>84706000000</v>
      </c>
      <c r="J57" s="13" t="n">
        <v>68.05</v>
      </c>
      <c r="K57" s="2" t="inlineStr">
        <is>
          <t>20260626900505</t>
        </is>
      </c>
      <c r="L57" s="8">
        <f>HYPERLINK("https://dart.fss.or.kr/dsaf001/main.do?rcpNo=20260626900505", "공시열람")</f>
        <v/>
      </c>
    </row>
    <row r="58" ht="36" customHeight="1">
      <c r="A58" s="2" t="inlineStr">
        <is>
          <t>2026-06-26 (정정: 2026-06-26)</t>
        </is>
      </c>
      <c r="B58" s="3" t="inlineStr">
        <is>
          <t>비엠티</t>
        </is>
      </c>
      <c r="C58" s="2" t="inlineStr">
        <is>
          <t>코스닥</t>
        </is>
      </c>
      <c r="D58" s="2" t="inlineStr">
        <is>
          <t>086670</t>
        </is>
      </c>
      <c r="E58" s="3" t="inlineStr">
        <is>
          <t>[기재정정]신규시설투자등               (정정: 20260626)</t>
        </is>
      </c>
      <c r="F58" s="7" t="inlineStr">
        <is>
          <t>생산 캐파 증설</t>
        </is>
      </c>
      <c r="G58" s="2" t="inlineStr">
        <is>
          <t>2025-06-05</t>
        </is>
      </c>
      <c r="H58" s="2" t="inlineStr">
        <is>
          <t>2026-06-30</t>
        </is>
      </c>
      <c r="I58" s="5" t="n">
        <v>19800000000</v>
      </c>
      <c r="J58" s="13" t="n">
        <v>16.09</v>
      </c>
      <c r="K58" s="2" t="inlineStr">
        <is>
          <t>20260626900247</t>
        </is>
      </c>
      <c r="L58" s="8">
        <f>HYPERLINK("https://dart.fss.or.kr/dsaf001/main.do?rcpNo=20260626900247", "공시열람")</f>
        <v/>
      </c>
    </row>
    <row r="59" ht="36" customHeight="1">
      <c r="A59" s="2" t="inlineStr">
        <is>
          <t>2026-06-30</t>
        </is>
      </c>
      <c r="B59" s="3" t="inlineStr">
        <is>
          <t>원바이오젠</t>
        </is>
      </c>
      <c r="C59" s="2" t="inlineStr">
        <is>
          <t>코스닥</t>
        </is>
      </c>
      <c r="D59" s="2" t="inlineStr">
        <is>
          <t>307280</t>
        </is>
      </c>
      <c r="E59" s="3" t="inlineStr">
        <is>
          <t xml:space="preserve">[기재정정]신규시설투자등(자율공시)              </t>
        </is>
      </c>
      <c r="F59" s="7" t="inlineStr">
        <is>
          <t>-</t>
        </is>
      </c>
      <c r="G59" s="2" t="inlineStr">
        <is>
          <t>-</t>
        </is>
      </c>
      <c r="H59" s="2" t="inlineStr">
        <is>
          <t>-</t>
        </is>
      </c>
      <c r="I59" s="5" t="inlineStr"/>
      <c r="J59" s="3" t="inlineStr"/>
      <c r="K59" s="2" t="inlineStr">
        <is>
          <t>20260630900889</t>
        </is>
      </c>
      <c r="L59" s="8">
        <f>HYPERLINK("https://dart.fss.or.kr/dsaf001/main.do?rcpNo=20260630900889", "공시열람")</f>
        <v/>
      </c>
    </row>
    <row r="60" ht="36" customHeight="1">
      <c r="A60" s="2" t="inlineStr">
        <is>
          <t>2026-06-30</t>
        </is>
      </c>
      <c r="B60" s="3" t="inlineStr">
        <is>
          <t>예스24</t>
        </is>
      </c>
      <c r="C60" s="2" t="inlineStr">
        <is>
          <t>코스닥</t>
        </is>
      </c>
      <c r="D60" s="2" t="inlineStr">
        <is>
          <t>053280</t>
        </is>
      </c>
      <c r="E60" s="3" t="inlineStr">
        <is>
          <t xml:space="preserve">[기재정정]신규시설투자등(자율공시)              </t>
        </is>
      </c>
      <c r="F60" s="7" t="inlineStr">
        <is>
          <t>-</t>
        </is>
      </c>
      <c r="G60" s="2" t="inlineStr">
        <is>
          <t>-</t>
        </is>
      </c>
      <c r="H60" s="2" t="inlineStr">
        <is>
          <t>-</t>
        </is>
      </c>
      <c r="I60" s="5" t="inlineStr"/>
      <c r="J60" s="3" t="inlineStr"/>
      <c r="K60" s="2" t="inlineStr">
        <is>
          <t>20260630900916</t>
        </is>
      </c>
      <c r="L60" s="8">
        <f>HYPERLINK("https://dart.fss.or.kr/dsaf001/main.do?rcpNo=20260630900916", "공시열람")</f>
        <v/>
      </c>
    </row>
    <row r="61" ht="36" customHeight="1">
      <c r="A61" s="2" t="inlineStr">
        <is>
          <t>2026-06-30</t>
        </is>
      </c>
      <c r="B61" s="3" t="inlineStr">
        <is>
          <t>아미코젠</t>
        </is>
      </c>
      <c r="C61" s="2" t="inlineStr">
        <is>
          <t>코스닥</t>
        </is>
      </c>
      <c r="D61" s="2" t="inlineStr">
        <is>
          <t>092040</t>
        </is>
      </c>
      <c r="E61" s="3" t="inlineStr">
        <is>
          <t xml:space="preserve">[기재정정]신규시설투자등              </t>
        </is>
      </c>
      <c r="F61" s="7" t="inlineStr">
        <is>
          <t>-</t>
        </is>
      </c>
      <c r="G61" s="2" t="inlineStr">
        <is>
          <t>-</t>
        </is>
      </c>
      <c r="H61" s="2" t="inlineStr">
        <is>
          <t>-</t>
        </is>
      </c>
      <c r="I61" s="5" t="inlineStr"/>
      <c r="J61" s="3" t="inlineStr"/>
      <c r="K61" s="2" t="inlineStr">
        <is>
          <t>20260630900742</t>
        </is>
      </c>
      <c r="L61" s="8">
        <f>HYPERLINK("https://dart.fss.or.kr/dsaf001/main.do?rcpNo=20260630900742", "공시열람")</f>
        <v/>
      </c>
    </row>
    <row r="62" ht="36" customHeight="1">
      <c r="A62" s="2" t="inlineStr">
        <is>
          <t>2026-06-30</t>
        </is>
      </c>
      <c r="B62" s="3" t="inlineStr">
        <is>
          <t>금양</t>
        </is>
      </c>
      <c r="C62" s="2" t="inlineStr">
        <is>
          <t>코스피</t>
        </is>
      </c>
      <c r="D62" s="2" t="inlineStr">
        <is>
          <t>001570</t>
        </is>
      </c>
      <c r="E62" s="3" t="inlineStr">
        <is>
          <t xml:space="preserve">[기재정정]신규시설투자등              </t>
        </is>
      </c>
      <c r="F62" s="7" t="inlineStr">
        <is>
          <t>-</t>
        </is>
      </c>
      <c r="G62" s="2" t="inlineStr">
        <is>
          <t>-</t>
        </is>
      </c>
      <c r="H62" s="2" t="inlineStr">
        <is>
          <t>-</t>
        </is>
      </c>
      <c r="I62" s="5" t="inlineStr"/>
      <c r="J62" s="3" t="inlineStr"/>
      <c r="K62" s="2" t="inlineStr">
        <is>
          <t>20260630800859</t>
        </is>
      </c>
      <c r="L62" s="8">
        <f>HYPERLINK("https://dart.fss.or.kr/dsaf001/main.do?rcpNo=20260630800859", "공시열람")</f>
        <v/>
      </c>
    </row>
    <row r="63" ht="36" customHeight="1">
      <c r="A63" s="2" t="inlineStr">
        <is>
          <t>2026-06-30</t>
        </is>
      </c>
      <c r="B63" s="3" t="inlineStr">
        <is>
          <t>엔바이오니아</t>
        </is>
      </c>
      <c r="C63" s="2" t="inlineStr">
        <is>
          <t>코스닥</t>
        </is>
      </c>
      <c r="D63" s="2" t="inlineStr">
        <is>
          <t>317870</t>
        </is>
      </c>
      <c r="E63" s="3" t="inlineStr">
        <is>
          <t xml:space="preserve">[기재정정]신규시설투자등              </t>
        </is>
      </c>
      <c r="F63" s="7" t="inlineStr">
        <is>
          <t>-</t>
        </is>
      </c>
      <c r="G63" s="2" t="inlineStr">
        <is>
          <t>-</t>
        </is>
      </c>
      <c r="H63" s="2" t="inlineStr">
        <is>
          <t>-</t>
        </is>
      </c>
      <c r="I63" s="5" t="inlineStr"/>
      <c r="J63" s="3" t="inlineStr"/>
      <c r="K63" s="2" t="inlineStr">
        <is>
          <t>20260630900895</t>
        </is>
      </c>
      <c r="L63" s="8">
        <f>HYPERLINK("https://dart.fss.or.kr/dsaf001/main.do?rcpNo=20260630900895", "공시열람")</f>
        <v/>
      </c>
    </row>
    <row r="64" ht="36" customHeight="1">
      <c r="A64" s="2" t="inlineStr">
        <is>
          <t>2026-06-30 (정정: 2026-06-30)</t>
        </is>
      </c>
      <c r="B64" s="3" t="inlineStr">
        <is>
          <t>금양</t>
        </is>
      </c>
      <c r="C64" s="2" t="inlineStr">
        <is>
          <t>코스피</t>
        </is>
      </c>
      <c r="D64" s="2" t="inlineStr">
        <is>
          <t>001570</t>
        </is>
      </c>
      <c r="E64" s="3" t="inlineStr">
        <is>
          <t>[기재정정]신규시설투자등               (정정: 20260630)</t>
        </is>
      </c>
      <c r="F64" s="7" t="inlineStr">
        <is>
          <t>4695 및 21700 원통형 배터리 대량생산을 통한 이차전지 매출 증대</t>
        </is>
      </c>
      <c r="G64" s="2" t="inlineStr">
        <is>
          <t>2023-09-11</t>
        </is>
      </c>
      <c r="H64" s="2" t="inlineStr">
        <is>
          <t>2027-01-31</t>
        </is>
      </c>
      <c r="I64" s="5" t="n">
        <v>610000000000</v>
      </c>
      <c r="J64" s="13" t="n">
        <v>500.26</v>
      </c>
      <c r="K64" s="2" t="inlineStr">
        <is>
          <t>20260630800678</t>
        </is>
      </c>
      <c r="L64" s="8">
        <f>HYPERLINK("https://dart.fss.or.kr/dsaf001/main.do?rcpNo=20260630800678", "공시열람")</f>
        <v/>
      </c>
    </row>
    <row r="65" ht="36" customHeight="1">
      <c r="A65" s="2" t="inlineStr">
        <is>
          <t>2025-12-29 (정정: 2026-06-30)</t>
        </is>
      </c>
      <c r="B65" s="3" t="inlineStr">
        <is>
          <t>인산가</t>
        </is>
      </c>
      <c r="C65" s="2" t="inlineStr">
        <is>
          <t>코스닥</t>
        </is>
      </c>
      <c r="D65" s="2" t="inlineStr">
        <is>
          <t>277410</t>
        </is>
      </c>
      <c r="E65" s="3" t="inlineStr">
        <is>
          <t xml:space="preserve">[기재정정]신규시설투자등              </t>
        </is>
      </c>
      <c r="F65" s="7" t="inlineStr">
        <is>
          <t>'함양 인산죽염 항노화 지역특화농공단지'내 신규생산공장 건설을 통한 생산능력확대</t>
        </is>
      </c>
      <c r="G65" s="2" t="inlineStr">
        <is>
          <t>2024-03-01</t>
        </is>
      </c>
      <c r="H65" s="2" t="inlineStr">
        <is>
          <t>2026-12-31</t>
        </is>
      </c>
      <c r="I65" s="5" t="n">
        <v>32376545454</v>
      </c>
      <c r="J65" s="13" t="n">
        <v>61.8</v>
      </c>
      <c r="K65" s="2" t="inlineStr">
        <is>
          <t>20260630900786</t>
        </is>
      </c>
      <c r="L65" s="8">
        <f>HYPERLINK("https://dart.fss.or.kr/dsaf001/main.do?rcpNo=20260630900786", "공시열람")</f>
        <v/>
      </c>
    </row>
    <row r="66" ht="36" customHeight="1">
      <c r="A66" s="2" t="inlineStr">
        <is>
          <t>2026-03-19 (정정: 2026-06-30)</t>
        </is>
      </c>
      <c r="B66" s="3" t="inlineStr">
        <is>
          <t>제이앤티씨</t>
        </is>
      </c>
      <c r="C66" s="2" t="inlineStr">
        <is>
          <t>코스닥</t>
        </is>
      </c>
      <c r="D66" s="2" t="inlineStr">
        <is>
          <t>204270</t>
        </is>
      </c>
      <c r="E66" s="3" t="inlineStr">
        <is>
          <t xml:space="preserve">[기재정정]신규시설투자등(자율공시)              </t>
        </is>
      </c>
      <c r="F66" s="7" t="inlineStr">
        <is>
          <t>신규사업(HDD유리플래터) 양산을 위한 시설 및 설비투자 25년 4분기 ~ 26년 신규양산 예정제품 생산 Capa확보</t>
        </is>
      </c>
      <c r="G66" s="2" t="inlineStr">
        <is>
          <t>2026-06-30</t>
        </is>
      </c>
      <c r="H66" s="2" t="inlineStr">
        <is>
          <t>2026-07-31</t>
        </is>
      </c>
      <c r="I66" s="5" t="n">
        <v>55000000000</v>
      </c>
      <c r="J66" s="13" t="n">
        <v>16.3</v>
      </c>
      <c r="K66" s="2" t="inlineStr">
        <is>
          <t>20260630900714</t>
        </is>
      </c>
      <c r="L66" s="8">
        <f>HYPERLINK("https://dart.fss.or.kr/dsaf001/main.do?rcpNo=20260630900714", "공시열람")</f>
        <v/>
      </c>
    </row>
    <row r="67" ht="36" customHeight="1">
      <c r="A67" s="2" t="inlineStr">
        <is>
          <t>2026-06-30</t>
        </is>
      </c>
      <c r="B67" s="3" t="inlineStr">
        <is>
          <t>램테크놀러지</t>
        </is>
      </c>
      <c r="C67" s="2" t="inlineStr">
        <is>
          <t>코스닥</t>
        </is>
      </c>
      <c r="D67" s="2" t="inlineStr">
        <is>
          <t>171010</t>
        </is>
      </c>
      <c r="E67" s="3" t="inlineStr">
        <is>
          <t xml:space="preserve">[기재정정]신규시설투자등              </t>
        </is>
      </c>
      <c r="F67" s="7" t="inlineStr">
        <is>
          <t>기존제품 생산능력 향상 및 신규제품 생산시설확보</t>
        </is>
      </c>
      <c r="G67" s="2" t="inlineStr">
        <is>
          <t>2020-02-05</t>
        </is>
      </c>
      <c r="H67" s="2" t="inlineStr">
        <is>
          <t>2028-06-30</t>
        </is>
      </c>
      <c r="I67" s="5" t="n">
        <v>30000000000</v>
      </c>
      <c r="J67" s="13" t="n">
        <v>158.6</v>
      </c>
      <c r="K67" s="2" t="inlineStr">
        <is>
          <t>20260630900574</t>
        </is>
      </c>
      <c r="L67" s="8">
        <f>HYPERLINK("https://dart.fss.or.kr/dsaf001/main.do?rcpNo=20260630900574", "공시열람")</f>
        <v/>
      </c>
    </row>
  </sheetData>
  <autoFilter ref="A1:L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7"/>
  <sheetViews>
    <sheetView workbookViewId="0">
      <selection activeCell="A1" sqref="A1"/>
    </sheetView>
  </sheetViews>
  <sheetFormatPr baseColWidth="8" defaultRowHeight="15"/>
  <cols>
    <col width="30" customWidth="1" min="1" max="1"/>
    <col width="18.4" customWidth="1" min="2" max="2"/>
    <col width="10" customWidth="1" min="3" max="3"/>
    <col width="11.4" customWidth="1" min="4" max="4"/>
    <col width="30" customWidth="1" min="5" max="5"/>
    <col width="10" customWidth="1" min="6" max="6"/>
    <col width="25" customWidth="1" min="7" max="7"/>
    <col width="24" customWidth="1" min="8" max="8"/>
    <col width="11.4" customWidth="1" min="9" max="9"/>
    <col width="22.6" customWidth="1" min="10" max="10"/>
    <col width="17" customWidth="1" min="11" max="11"/>
    <col width="35" customWidth="1" min="12" max="12"/>
    <col width="22.6" customWidth="1" min="13" max="13"/>
    <col width="11.4" customWidth="1" min="14" max="14"/>
  </cols>
  <sheetData>
    <row r="1" ht="25" customHeight="1">
      <c r="A1" s="1" t="inlineStr">
        <is>
          <t>접수일자</t>
        </is>
      </c>
      <c r="B1" s="1" t="inlineStr">
        <is>
          <t>회사명</t>
        </is>
      </c>
      <c r="C1" s="1" t="inlineStr">
        <is>
          <t>시장구분</t>
        </is>
      </c>
      <c r="D1" s="1" t="inlineStr">
        <is>
          <t>종목코드</t>
        </is>
      </c>
      <c r="E1" s="1" t="inlineStr">
        <is>
          <t>공시명</t>
        </is>
      </c>
      <c r="F1" s="1" t="inlineStr">
        <is>
          <t>유형</t>
        </is>
      </c>
      <c r="G1" s="1" t="inlineStr">
        <is>
          <t>보증/대여상대방</t>
        </is>
      </c>
      <c r="H1" s="1" t="inlineStr">
        <is>
          <t>금액</t>
        </is>
      </c>
      <c r="I1" s="1" t="inlineStr">
        <is>
          <t>자기자본대비</t>
        </is>
      </c>
      <c r="J1" s="1" t="inlineStr">
        <is>
          <t>시작일</t>
        </is>
      </c>
      <c r="K1" s="1" t="inlineStr">
        <is>
          <t>종료일</t>
        </is>
      </c>
      <c r="L1" s="1" t="inlineStr">
        <is>
          <t>목적/용도</t>
        </is>
      </c>
      <c r="M1" s="1" t="inlineStr">
        <is>
          <t>접수번호</t>
        </is>
      </c>
      <c r="N1" s="1" t="inlineStr">
        <is>
          <t>DART링크</t>
        </is>
      </c>
    </row>
    <row r="2" ht="36" customHeight="1">
      <c r="A2" s="2" t="inlineStr">
        <is>
          <t>2025-12-17 (정정: 2026-01-19)</t>
        </is>
      </c>
      <c r="B2" s="3" t="inlineStr">
        <is>
          <t>현대엘리베이터</t>
        </is>
      </c>
      <c r="C2" s="2" t="inlineStr">
        <is>
          <t>코스피</t>
        </is>
      </c>
      <c r="D2" s="2" t="inlineStr">
        <is>
          <t>017800</t>
        </is>
      </c>
      <c r="E2" s="3" t="inlineStr">
        <is>
          <t xml:space="preserve">[기재정정]타인에대한채무보증결정              </t>
        </is>
      </c>
      <c r="F2" s="2" t="inlineStr">
        <is>
          <t>채무보증</t>
        </is>
      </c>
      <c r="G2" s="7" t="inlineStr">
        <is>
          <t>관계</t>
        </is>
      </c>
      <c r="H2" s="5" t="n">
        <v>110000000000</v>
      </c>
      <c r="I2" s="13" t="n">
        <v>8.199999999999999</v>
      </c>
      <c r="J2" s="2" t="inlineStr">
        <is>
          <t>2025-12-17</t>
        </is>
      </c>
      <c r="K2" s="2" t="inlineStr">
        <is>
          <t>-</t>
        </is>
      </c>
      <c r="L2" s="7" t="inlineStr">
        <is>
          <t>-</t>
        </is>
      </c>
      <c r="M2" s="2" t="inlineStr">
        <is>
          <t>20260119800903</t>
        </is>
      </c>
      <c r="N2" s="8">
        <f>HYPERLINK("https://dart.fss.or.kr/dsaf001/main.do?rcpNo=20260119800903", "공시열람")</f>
        <v/>
      </c>
    </row>
    <row r="3" ht="36" customHeight="1">
      <c r="A3" s="2" t="inlineStr">
        <is>
          <t>2025-07-22 (정정: 2026-01-19)</t>
        </is>
      </c>
      <c r="B3" s="3" t="inlineStr">
        <is>
          <t>리튬포어스</t>
        </is>
      </c>
      <c r="C3" s="2" t="inlineStr">
        <is>
          <t>코스닥</t>
        </is>
      </c>
      <c r="D3" s="2" t="inlineStr">
        <is>
          <t>073570</t>
        </is>
      </c>
      <c r="E3" s="3" t="inlineStr">
        <is>
          <t xml:space="preserve">[기재정정]금전대여결정(자율공시)              </t>
        </is>
      </c>
      <c r="F3" s="2" t="inlineStr">
        <is>
          <t>금전대여</t>
        </is>
      </c>
      <c r="G3" s="7" t="inlineStr">
        <is>
          <t>- 상기 자기자본(원)은 당사의 2024년말 별도재무제표 상의 자기자본입니다. - 상기 4. 금전대여 총잔액(원)은 금일 결정한 대여금액을 포함한 당해 거래 상대방에 대한 금전대여 총잔액입니다. - 상기 금전대여는 거래 상대방의 요청으로 3개월 연장되었습니다.</t>
        </is>
      </c>
      <c r="H3" s="5" t="n">
        <v>4900000000</v>
      </c>
      <c r="I3" s="13" t="n">
        <v>9.220000000000001</v>
      </c>
      <c r="J3" s="2" t="inlineStr">
        <is>
          <t>2025-07-22</t>
        </is>
      </c>
      <c r="K3" s="2" t="inlineStr">
        <is>
          <t>2026-04-21</t>
        </is>
      </c>
      <c r="L3" s="7" t="inlineStr">
        <is>
          <t>- 화양그랜드파크지역주택조합사업에 필요한 자금 대여 - 여유자금 대여를 통한 금융이익 확보</t>
        </is>
      </c>
      <c r="M3" s="2" t="inlineStr">
        <is>
          <t>20260119900892</t>
        </is>
      </c>
      <c r="N3" s="8">
        <f>HYPERLINK("https://dart.fss.or.kr/dsaf001/main.do?rcpNo=20260119900892", "공시열람")</f>
        <v/>
      </c>
    </row>
    <row r="4" ht="36" customHeight="1">
      <c r="A4" s="2" t="inlineStr">
        <is>
          <t>2026-01-29</t>
        </is>
      </c>
      <c r="B4" s="3" t="inlineStr">
        <is>
          <t>HDC</t>
        </is>
      </c>
      <c r="C4" s="2" t="inlineStr">
        <is>
          <t>코스피</t>
        </is>
      </c>
      <c r="D4" s="2" t="inlineStr">
        <is>
          <t>012630</t>
        </is>
      </c>
      <c r="E4" s="3" t="inlineStr">
        <is>
          <t xml:space="preserve">금전대여결정(자회사의 주요경영사항)              </t>
        </is>
      </c>
      <c r="F4" s="2" t="inlineStr">
        <is>
          <t>금전대여</t>
        </is>
      </c>
      <c r="G4" s="7" t="inlineStr">
        <is>
          <t>정비창전면제1구역 재개발정비사업조합</t>
        </is>
      </c>
      <c r="H4" s="5" t="n">
        <v>100000000000</v>
      </c>
      <c r="I4" s="13" t="n">
        <v>3.2</v>
      </c>
      <c r="J4" s="2" t="inlineStr">
        <is>
          <t>-</t>
        </is>
      </c>
      <c r="K4" s="2" t="inlineStr">
        <is>
          <t>-</t>
        </is>
      </c>
      <c r="L4" s="7" t="inlineStr">
        <is>
          <t>정비창전면제1구역 재개발정비사업 사업경비</t>
        </is>
      </c>
      <c r="M4" s="2" t="inlineStr">
        <is>
          <t>20260129801059</t>
        </is>
      </c>
      <c r="N4" s="8">
        <f>HYPERLINK("https://dart.fss.or.kr/dsaf001/main.do?rcpNo=20260129801059", "공시열람")</f>
        <v/>
      </c>
    </row>
    <row r="5" ht="36" customHeight="1">
      <c r="A5" s="2" t="inlineStr">
        <is>
          <t>2026-01-29</t>
        </is>
      </c>
      <c r="B5" s="3" t="inlineStr">
        <is>
          <t>IPARK현대산업개발</t>
        </is>
      </c>
      <c r="C5" s="2" t="inlineStr">
        <is>
          <t>코스피</t>
        </is>
      </c>
      <c r="D5" s="2" t="inlineStr">
        <is>
          <t>294870</t>
        </is>
      </c>
      <c r="E5" s="3" t="inlineStr">
        <is>
          <t xml:space="preserve">금전대여결정              </t>
        </is>
      </c>
      <c r="F5" s="2" t="inlineStr">
        <is>
          <t>금전대여</t>
        </is>
      </c>
      <c r="G5" s="7" t="inlineStr">
        <is>
          <t>정비창전면제1구역 재개발정비사업조합</t>
        </is>
      </c>
      <c r="H5" s="5" t="n">
        <v>100000000000</v>
      </c>
      <c r="I5" s="13" t="n">
        <v>3.2</v>
      </c>
      <c r="J5" s="2" t="inlineStr">
        <is>
          <t>-</t>
        </is>
      </c>
      <c r="K5" s="2" t="inlineStr">
        <is>
          <t>-</t>
        </is>
      </c>
      <c r="L5" s="7" t="inlineStr">
        <is>
          <t>정비창전면제1구역 재개발정비사업 사업경비</t>
        </is>
      </c>
      <c r="M5" s="2" t="inlineStr">
        <is>
          <t>20260129801038</t>
        </is>
      </c>
      <c r="N5" s="8">
        <f>HYPERLINK("https://dart.fss.or.kr/dsaf001/main.do?rcpNo=20260129801038", "공시열람")</f>
        <v/>
      </c>
    </row>
    <row r="6" ht="36" customHeight="1">
      <c r="A6" s="2" t="inlineStr">
        <is>
          <t>2026-01-29 (정정: 2026-02-02)</t>
        </is>
      </c>
      <c r="B6" s="3" t="inlineStr">
        <is>
          <t>콘텐트리중앙</t>
        </is>
      </c>
      <c r="C6" s="2" t="inlineStr">
        <is>
          <t>코스피</t>
        </is>
      </c>
      <c r="D6" s="2" t="inlineStr">
        <is>
          <t>036420</t>
        </is>
      </c>
      <c r="E6" s="3" t="inlineStr">
        <is>
          <t>타인에대한담보제공결정(자회사의 주요경영사항)               (정정: 20260202) (정정: 20260202)</t>
        </is>
      </c>
      <c r="F6" s="2" t="inlineStr">
        <is>
          <t>기타</t>
        </is>
      </c>
      <c r="G6" s="7" t="inlineStr">
        <is>
          <t>-</t>
        </is>
      </c>
      <c r="H6" s="5" t="inlineStr"/>
      <c r="I6" s="3" t="inlineStr"/>
      <c r="J6" s="2" t="inlineStr">
        <is>
          <t>-</t>
        </is>
      </c>
      <c r="K6" s="2" t="inlineStr">
        <is>
          <t>-</t>
        </is>
      </c>
      <c r="L6" s="7" t="inlineStr">
        <is>
          <t>-</t>
        </is>
      </c>
      <c r="M6" s="2" t="inlineStr">
        <is>
          <t>20260202800004</t>
        </is>
      </c>
      <c r="N6" s="8">
        <f>HYPERLINK("https://dart.fss.or.kr/dsaf001/main.do?rcpNo=20260202800004", "공시열람")</f>
        <v/>
      </c>
    </row>
    <row r="7" ht="36" customHeight="1">
      <c r="A7" s="2" t="inlineStr">
        <is>
          <t>2026-01-29</t>
        </is>
      </c>
      <c r="B7" s="3" t="inlineStr">
        <is>
          <t>티로보틱스</t>
        </is>
      </c>
      <c r="C7" s="2" t="inlineStr">
        <is>
          <t>코스닥</t>
        </is>
      </c>
      <c r="D7" s="2" t="inlineStr">
        <is>
          <t>117730</t>
        </is>
      </c>
      <c r="E7" s="3" t="inlineStr">
        <is>
          <t xml:space="preserve">금전대여결정              </t>
        </is>
      </c>
      <c r="F7" s="2" t="inlineStr">
        <is>
          <t>금전대여</t>
        </is>
      </c>
      <c r="G7" s="7" t="inlineStr">
        <is>
          <t>-</t>
        </is>
      </c>
      <c r="H7" s="5" t="n">
        <v>6000000000</v>
      </c>
      <c r="I7" s="13" t="n">
        <v>19.08</v>
      </c>
      <c r="J7" s="2" t="inlineStr">
        <is>
          <t>2026-01-30</t>
        </is>
      </c>
      <c r="K7" s="2" t="inlineStr">
        <is>
          <t>2027-01-29</t>
        </is>
      </c>
      <c r="L7" s="7" t="inlineStr">
        <is>
          <t>종속회사의 타법인 주식 취득 자금</t>
        </is>
      </c>
      <c r="M7" s="2" t="inlineStr">
        <is>
          <t>20260129900798</t>
        </is>
      </c>
      <c r="N7" s="8">
        <f>HYPERLINK("https://dart.fss.or.kr/dsaf001/main.do?rcpNo=20260129900798", "공시열람")</f>
        <v/>
      </c>
    </row>
    <row r="8" ht="36" customHeight="1">
      <c r="A8" s="2" t="inlineStr">
        <is>
          <t>2026-01-29</t>
        </is>
      </c>
      <c r="B8" s="3" t="inlineStr">
        <is>
          <t>콘텐트리중앙</t>
        </is>
      </c>
      <c r="C8" s="2" t="inlineStr">
        <is>
          <t>코스피</t>
        </is>
      </c>
      <c r="D8" s="2" t="inlineStr">
        <is>
          <t>036420</t>
        </is>
      </c>
      <c r="E8" s="3" t="inlineStr">
        <is>
          <t xml:space="preserve">타인에대한채무보증결정              </t>
        </is>
      </c>
      <c r="F8" s="2" t="inlineStr">
        <is>
          <t>채무보증</t>
        </is>
      </c>
      <c r="G8" s="7" t="inlineStr">
        <is>
          <t>관계</t>
        </is>
      </c>
      <c r="H8" s="5" t="n">
        <v>30000000000</v>
      </c>
      <c r="I8" s="13" t="n">
        <v>5.27</v>
      </c>
      <c r="J8" s="2" t="inlineStr">
        <is>
          <t>2026-01-30</t>
        </is>
      </c>
      <c r="K8" s="2" t="inlineStr">
        <is>
          <t>2026-06-30</t>
        </is>
      </c>
      <c r="L8" s="7" t="inlineStr">
        <is>
          <t>-</t>
        </is>
      </c>
      <c r="M8" s="2" t="inlineStr">
        <is>
          <t>20260129800906</t>
        </is>
      </c>
      <c r="N8" s="8">
        <f>HYPERLINK("https://dart.fss.or.kr/dsaf001/main.do?rcpNo=20260129800906", "공시열람")</f>
        <v/>
      </c>
    </row>
    <row r="9" ht="36" customHeight="1">
      <c r="A9" s="2" t="inlineStr">
        <is>
          <t>2026-01-29</t>
        </is>
      </c>
      <c r="B9" s="3" t="inlineStr">
        <is>
          <t>오텍</t>
        </is>
      </c>
      <c r="C9" s="2" t="inlineStr">
        <is>
          <t>코스닥</t>
        </is>
      </c>
      <c r="D9" s="2" t="inlineStr">
        <is>
          <t>067170</t>
        </is>
      </c>
      <c r="E9" s="3" t="inlineStr">
        <is>
          <t xml:space="preserve">타인에대한채무보증결정              </t>
        </is>
      </c>
      <c r="F9" s="2" t="inlineStr">
        <is>
          <t>채무보증</t>
        </is>
      </c>
      <c r="G9" s="7" t="inlineStr">
        <is>
          <t>성명</t>
        </is>
      </c>
      <c r="H9" s="5" t="n">
        <v>6840000000</v>
      </c>
      <c r="I9" s="13" t="n">
        <v>5.34</v>
      </c>
      <c r="J9" s="2" t="inlineStr">
        <is>
          <t>2026-02-02</t>
        </is>
      </c>
      <c r="K9" s="2" t="inlineStr">
        <is>
          <t>2026-08-03</t>
        </is>
      </c>
      <c r="L9" s="7" t="inlineStr">
        <is>
          <t>-</t>
        </is>
      </c>
      <c r="M9" s="2" t="inlineStr">
        <is>
          <t>20260129900615</t>
        </is>
      </c>
      <c r="N9" s="8">
        <f>HYPERLINK("https://dart.fss.or.kr/dsaf001/main.do?rcpNo=20260129900615", "공시열람")</f>
        <v/>
      </c>
    </row>
    <row r="10" ht="36" customHeight="1">
      <c r="A10" s="2" t="inlineStr">
        <is>
          <t>2026-01-29 (정정: 2026-06-25)</t>
        </is>
      </c>
      <c r="B10" s="3" t="inlineStr">
        <is>
          <t>아이티센글로벌</t>
        </is>
      </c>
      <c r="C10" s="2" t="inlineStr">
        <is>
          <t>코스닥</t>
        </is>
      </c>
      <c r="D10" s="2" t="inlineStr">
        <is>
          <t>124500</t>
        </is>
      </c>
      <c r="E10" s="3" t="inlineStr">
        <is>
          <t>[기재정정]타인에대한채무보증결정               (정정: 20260306) (정정: 20260416) (정정: 20260529) (정정: 20260611) (정정: 20260625)</t>
        </is>
      </c>
      <c r="F10" s="2" t="inlineStr">
        <is>
          <t>채무보증</t>
        </is>
      </c>
      <c r="G10" s="7" t="inlineStr">
        <is>
          <t>성명</t>
        </is>
      </c>
      <c r="H10" s="5" t="n">
        <v>22947136236</v>
      </c>
      <c r="I10" s="13" t="n">
        <v>7.12</v>
      </c>
      <c r="J10" s="2" t="inlineStr">
        <is>
          <t>2025-08-28</t>
        </is>
      </c>
      <c r="K10" s="2" t="inlineStr">
        <is>
          <t>2027-06-25</t>
        </is>
      </c>
      <c r="L10" s="7" t="inlineStr">
        <is>
          <t>-</t>
        </is>
      </c>
      <c r="M10" s="2" t="inlineStr">
        <is>
          <t>20260625900747</t>
        </is>
      </c>
      <c r="N10" s="8">
        <f>HYPERLINK("https://dart.fss.or.kr/dsaf001/main.do?rcpNo=20260625900747", "공시열람")</f>
        <v/>
      </c>
    </row>
    <row r="11" ht="36" customHeight="1">
      <c r="A11" s="2" t="inlineStr">
        <is>
          <t>2026-02-02 (정정: 2026-06-01)</t>
        </is>
      </c>
      <c r="B11" s="3" t="inlineStr">
        <is>
          <t>한주라이트메탈</t>
        </is>
      </c>
      <c r="C11" s="2" t="inlineStr">
        <is>
          <t>코스닥</t>
        </is>
      </c>
      <c r="D11" s="2" t="inlineStr">
        <is>
          <t>198940</t>
        </is>
      </c>
      <c r="E11" s="3" t="inlineStr">
        <is>
          <t>금전대여결정               (정정: 20260601)</t>
        </is>
      </c>
      <c r="F11" s="2" t="inlineStr">
        <is>
          <t>금전대여</t>
        </is>
      </c>
      <c r="G11" s="7" t="inlineStr">
        <is>
          <t>-</t>
        </is>
      </c>
      <c r="H11" s="5" t="n">
        <v>23367868154</v>
      </c>
      <c r="I11" s="13" t="n">
        <v>48.22</v>
      </c>
      <c r="J11" s="2" t="inlineStr">
        <is>
          <t>2026-05-31</t>
        </is>
      </c>
      <c r="K11" s="2" t="inlineStr">
        <is>
          <t>2034-03-31</t>
        </is>
      </c>
      <c r="L11" s="7" t="inlineStr">
        <is>
          <t>1. 기존 대여금의 기한 연장 (7,314,000유로) 2. 미회수된 판매대금의 대여금 전환 (6,422.108.72유로) 3. 실제 추가 대여되는 자금은 없습니다.</t>
        </is>
      </c>
      <c r="M11" s="2" t="inlineStr">
        <is>
          <t>20260601901817</t>
        </is>
      </c>
      <c r="N11" s="8">
        <f>HYPERLINK("https://dart.fss.or.kr/dsaf001/main.do?rcpNo=20260601901817", "공시열람")</f>
        <v/>
      </c>
    </row>
    <row r="12" ht="36" customHeight="1">
      <c r="A12" s="2" t="inlineStr">
        <is>
          <t>2026-02-02</t>
        </is>
      </c>
      <c r="B12" s="3" t="inlineStr">
        <is>
          <t>코오롱</t>
        </is>
      </c>
      <c r="C12" s="2" t="inlineStr">
        <is>
          <t>코스피</t>
        </is>
      </c>
      <c r="D12" s="2" t="inlineStr">
        <is>
          <t>002020</t>
        </is>
      </c>
      <c r="E12" s="3" t="inlineStr">
        <is>
          <t xml:space="preserve">타인에대한채무보증결정(자회사의 주요경영사항)              </t>
        </is>
      </c>
      <c r="F12" s="2" t="inlineStr">
        <is>
          <t>채무보증</t>
        </is>
      </c>
      <c r="G12" s="7" t="inlineStr">
        <is>
          <t>관계</t>
        </is>
      </c>
      <c r="H12" s="5" t="n">
        <v>510000000000</v>
      </c>
      <c r="I12" s="13" t="n">
        <v>84.06999999999999</v>
      </c>
      <c r="J12" s="2" t="inlineStr">
        <is>
          <t>2026-02-23</t>
        </is>
      </c>
      <c r="K12" s="2" t="inlineStr">
        <is>
          <t>2030-02-23</t>
        </is>
      </c>
      <c r="L12" s="7" t="inlineStr">
        <is>
          <t>-</t>
        </is>
      </c>
      <c r="M12" s="2" t="inlineStr">
        <is>
          <t>20260202801977</t>
        </is>
      </c>
      <c r="N12" s="8">
        <f>HYPERLINK("https://dart.fss.or.kr/dsaf001/main.do?rcpNo=20260202801977", "공시열람")</f>
        <v/>
      </c>
    </row>
    <row r="13" ht="36" customHeight="1">
      <c r="A13" s="2" t="inlineStr">
        <is>
          <t>2026-02-02</t>
        </is>
      </c>
      <c r="B13" s="3" t="inlineStr">
        <is>
          <t>코오롱글로벌</t>
        </is>
      </c>
      <c r="C13" s="2" t="inlineStr">
        <is>
          <t>코스피</t>
        </is>
      </c>
      <c r="D13" s="2" t="inlineStr">
        <is>
          <t>003070</t>
        </is>
      </c>
      <c r="E13" s="3" t="inlineStr">
        <is>
          <t xml:space="preserve">타인에대한채무보증결정              </t>
        </is>
      </c>
      <c r="F13" s="2" t="inlineStr">
        <is>
          <t>채무보증</t>
        </is>
      </c>
      <c r="G13" s="7" t="inlineStr">
        <is>
          <t>관계</t>
        </is>
      </c>
      <c r="H13" s="5" t="n">
        <v>510000000000</v>
      </c>
      <c r="I13" s="13" t="n">
        <v>84.06999999999999</v>
      </c>
      <c r="J13" s="2" t="inlineStr">
        <is>
          <t>2026-02-23</t>
        </is>
      </c>
      <c r="K13" s="2" t="inlineStr">
        <is>
          <t>2030-02-23</t>
        </is>
      </c>
      <c r="L13" s="7" t="inlineStr">
        <is>
          <t>-</t>
        </is>
      </c>
      <c r="M13" s="2" t="inlineStr">
        <is>
          <t>20260202801976</t>
        </is>
      </c>
      <c r="N13" s="8">
        <f>HYPERLINK("https://dart.fss.or.kr/dsaf001/main.do?rcpNo=20260202801976", "공시열람")</f>
        <v/>
      </c>
    </row>
    <row r="14" ht="36" customHeight="1">
      <c r="A14" s="2" t="inlineStr">
        <is>
          <t>2025-11-27 (정정: 2026-02-02)</t>
        </is>
      </c>
      <c r="B14" s="3" t="inlineStr">
        <is>
          <t>포스코인터내셔널</t>
        </is>
      </c>
      <c r="C14" s="2" t="inlineStr">
        <is>
          <t>코스피</t>
        </is>
      </c>
      <c r="D14" s="2" t="inlineStr">
        <is>
          <t>047050</t>
        </is>
      </c>
      <c r="E14" s="3" t="inlineStr">
        <is>
          <t xml:space="preserve">[기재정정]타인에대한채무보증결정              </t>
        </is>
      </c>
      <c r="F14" s="2" t="inlineStr">
        <is>
          <t>채무보증</t>
        </is>
      </c>
      <c r="G14" s="7" t="inlineStr">
        <is>
          <t>관계</t>
        </is>
      </c>
      <c r="H14" s="5" t="n">
        <v>326182100000</v>
      </c>
      <c r="I14" s="13" t="n">
        <v>4.4</v>
      </c>
      <c r="J14" s="2" t="inlineStr">
        <is>
          <t>-</t>
        </is>
      </c>
      <c r="K14" s="2" t="inlineStr">
        <is>
          <t>-</t>
        </is>
      </c>
      <c r="L14" s="7" t="inlineStr">
        <is>
          <t>-</t>
        </is>
      </c>
      <c r="M14" s="2" t="inlineStr">
        <is>
          <t>20260202801873</t>
        </is>
      </c>
      <c r="N14" s="8">
        <f>HYPERLINK("https://dart.fss.or.kr/dsaf001/main.do?rcpNo=20260202801873", "공시열람")</f>
        <v/>
      </c>
    </row>
    <row r="15" ht="36" customHeight="1">
      <c r="A15" s="2" t="inlineStr">
        <is>
          <t>2026-02-02</t>
        </is>
      </c>
      <c r="B15" s="3" t="inlineStr">
        <is>
          <t>현대코퍼레이션</t>
        </is>
      </c>
      <c r="C15" s="2" t="inlineStr">
        <is>
          <t>코스피</t>
        </is>
      </c>
      <c r="D15" s="2" t="inlineStr">
        <is>
          <t>011760</t>
        </is>
      </c>
      <c r="E15" s="3" t="inlineStr">
        <is>
          <t xml:space="preserve">타인에대한채무보증결정              </t>
        </is>
      </c>
      <c r="F15" s="2" t="inlineStr">
        <is>
          <t>채무보증</t>
        </is>
      </c>
      <c r="G15" s="7" t="inlineStr">
        <is>
          <t>관계</t>
        </is>
      </c>
      <c r="H15" s="5" t="n">
        <v>28734000000</v>
      </c>
      <c r="I15" s="13" t="n">
        <v>4.38</v>
      </c>
      <c r="J15" s="2" t="inlineStr">
        <is>
          <t>2026-02-06</t>
        </is>
      </c>
      <c r="K15" s="2" t="inlineStr">
        <is>
          <t>2027-02-05</t>
        </is>
      </c>
      <c r="L15" s="7" t="inlineStr">
        <is>
          <t>-</t>
        </is>
      </c>
      <c r="M15" s="2" t="inlineStr">
        <is>
          <t>20260202801774</t>
        </is>
      </c>
      <c r="N15" s="8">
        <f>HYPERLINK("https://dart.fss.or.kr/dsaf001/main.do?rcpNo=20260202801774", "공시열람")</f>
        <v/>
      </c>
    </row>
    <row r="16" ht="36" customHeight="1">
      <c r="A16" s="2" t="inlineStr">
        <is>
          <t>2025-12-16 (정정: 2026-02-02)</t>
        </is>
      </c>
      <c r="B16" s="3" t="inlineStr">
        <is>
          <t>NAVER</t>
        </is>
      </c>
      <c r="C16" s="2" t="inlineStr">
        <is>
          <t>코스피</t>
        </is>
      </c>
      <c r="D16" s="2" t="inlineStr">
        <is>
          <t>035420</t>
        </is>
      </c>
      <c r="E16" s="3" t="inlineStr">
        <is>
          <t xml:space="preserve">[기재정정]금전대여결정              </t>
        </is>
      </c>
      <c r="F16" s="2" t="inlineStr">
        <is>
          <t>금전대여</t>
        </is>
      </c>
      <c r="G16" s="7" t="inlineStr">
        <is>
          <t>NW HOLDINGS INTERMEDIA, SOCIEDAD LIMITADA</t>
        </is>
      </c>
      <c r="H16" s="5" t="n">
        <v>972987727310</v>
      </c>
      <c r="I16" s="13" t="n">
        <v>3.6</v>
      </c>
      <c r="J16" s="2" t="inlineStr">
        <is>
          <t>2026-01-23</t>
        </is>
      </c>
      <c r="K16" s="2" t="inlineStr">
        <is>
          <t>2026-02-02</t>
        </is>
      </c>
      <c r="L16" s="7" t="inlineStr">
        <is>
          <t>종속회사의 타법인 지분 취득을 위한 대여 후 출자전환</t>
        </is>
      </c>
      <c r="M16" s="2" t="inlineStr">
        <is>
          <t>20260202801292</t>
        </is>
      </c>
      <c r="N16" s="8">
        <f>HYPERLINK("https://dart.fss.or.kr/dsaf001/main.do?rcpNo=20260202801292", "공시열람")</f>
        <v/>
      </c>
    </row>
    <row r="17" ht="36" customHeight="1">
      <c r="A17" s="2" t="inlineStr">
        <is>
          <t>2026-03-04</t>
        </is>
      </c>
      <c r="B17" s="3" t="inlineStr">
        <is>
          <t>CJ</t>
        </is>
      </c>
      <c r="C17" s="2" t="inlineStr">
        <is>
          <t>코스피</t>
        </is>
      </c>
      <c r="D17" s="2" t="inlineStr">
        <is>
          <t>001040</t>
        </is>
      </c>
      <c r="E17" s="3" t="inlineStr">
        <is>
          <t xml:space="preserve">타인에대한채무보증결정(자회사의 주요경영사항)              </t>
        </is>
      </c>
      <c r="F17" s="2" t="inlineStr">
        <is>
          <t>채무보증</t>
        </is>
      </c>
      <c r="G17" s="7" t="inlineStr">
        <is>
          <t>관계</t>
        </is>
      </c>
      <c r="H17" s="5" t="n">
        <v>80547500000</v>
      </c>
      <c r="I17" s="13" t="n">
        <v>13.97</v>
      </c>
      <c r="J17" s="2" t="inlineStr">
        <is>
          <t>2026-03-06</t>
        </is>
      </c>
      <c r="K17" s="2" t="inlineStr">
        <is>
          <t>2027-03-05</t>
        </is>
      </c>
      <c r="L17" s="7" t="inlineStr">
        <is>
          <t>-</t>
        </is>
      </c>
      <c r="M17" s="2" t="inlineStr">
        <is>
          <t>20260304801456</t>
        </is>
      </c>
      <c r="N17" s="8">
        <f>HYPERLINK("https://dart.fss.or.kr/dsaf001/main.do?rcpNo=20260304801456", "공시열람")</f>
        <v/>
      </c>
    </row>
    <row r="18" ht="36" customHeight="1">
      <c r="A18" s="2" t="inlineStr">
        <is>
          <t>2026-03-04</t>
        </is>
      </c>
      <c r="B18" s="3" t="inlineStr">
        <is>
          <t>CJ CGV</t>
        </is>
      </c>
      <c r="C18" s="2" t="inlineStr">
        <is>
          <t>코스피</t>
        </is>
      </c>
      <c r="D18" s="2" t="inlineStr">
        <is>
          <t>079160</t>
        </is>
      </c>
      <c r="E18" s="3" t="inlineStr">
        <is>
          <t xml:space="preserve">타인에대한채무보증결정              </t>
        </is>
      </c>
      <c r="F18" s="2" t="inlineStr">
        <is>
          <t>채무보증</t>
        </is>
      </c>
      <c r="G18" s="7" t="inlineStr">
        <is>
          <t>관계</t>
        </is>
      </c>
      <c r="H18" s="5" t="n">
        <v>80547500000</v>
      </c>
      <c r="I18" s="13" t="n">
        <v>13.97</v>
      </c>
      <c r="J18" s="2" t="inlineStr">
        <is>
          <t>2026-03-06</t>
        </is>
      </c>
      <c r="K18" s="2" t="inlineStr">
        <is>
          <t>2027-03-05</t>
        </is>
      </c>
      <c r="L18" s="7" t="inlineStr">
        <is>
          <t>-</t>
        </is>
      </c>
      <c r="M18" s="2" t="inlineStr">
        <is>
          <t>20260304801455</t>
        </is>
      </c>
      <c r="N18" s="8">
        <f>HYPERLINK("https://dart.fss.or.kr/dsaf001/main.do?rcpNo=20260304801455", "공시열람")</f>
        <v/>
      </c>
    </row>
    <row r="19" ht="36" customHeight="1">
      <c r="A19" s="2" t="inlineStr">
        <is>
          <t>2026-03-04</t>
        </is>
      </c>
      <c r="B19" s="3" t="inlineStr">
        <is>
          <t>CSA 코스믹</t>
        </is>
      </c>
      <c r="C19" s="2" t="inlineStr">
        <is>
          <t>코스닥</t>
        </is>
      </c>
      <c r="D19" s="2" t="inlineStr">
        <is>
          <t>083660</t>
        </is>
      </c>
      <c r="E19" s="3" t="inlineStr">
        <is>
          <t xml:space="preserve">금전대여결정              </t>
        </is>
      </c>
      <c r="F19" s="2" t="inlineStr">
        <is>
          <t>금전대여</t>
        </is>
      </c>
      <c r="G19" s="7" t="inlineStr">
        <is>
          <t>-</t>
        </is>
      </c>
      <c r="H19" s="5" t="n">
        <v>2200000000</v>
      </c>
      <c r="I19" s="13" t="n">
        <v>13.9</v>
      </c>
      <c r="J19" s="2" t="inlineStr">
        <is>
          <t>2026-03-04</t>
        </is>
      </c>
      <c r="K19" s="2" t="inlineStr">
        <is>
          <t>2026-04-03</t>
        </is>
      </c>
      <c r="L19" s="7" t="inlineStr">
        <is>
          <t>운영자금</t>
        </is>
      </c>
      <c r="M19" s="2" t="inlineStr">
        <is>
          <t>20260304901257</t>
        </is>
      </c>
      <c r="N19" s="8">
        <f>HYPERLINK("https://dart.fss.or.kr/dsaf001/main.do?rcpNo=20260304901257", "공시열람")</f>
        <v/>
      </c>
    </row>
    <row r="20" ht="36" customHeight="1">
      <c r="A20" s="2" t="inlineStr">
        <is>
          <t>2026-03-04</t>
        </is>
      </c>
      <c r="B20" s="3" t="inlineStr">
        <is>
          <t>현대코퍼레이션</t>
        </is>
      </c>
      <c r="C20" s="2" t="inlineStr">
        <is>
          <t>코스피</t>
        </is>
      </c>
      <c r="D20" s="2" t="inlineStr">
        <is>
          <t>011760</t>
        </is>
      </c>
      <c r="E20" s="3" t="inlineStr">
        <is>
          <t xml:space="preserve">타인에대한채무보증결정              </t>
        </is>
      </c>
      <c r="F20" s="2" t="inlineStr">
        <is>
          <t>채무보증</t>
        </is>
      </c>
      <c r="G20" s="7" t="inlineStr">
        <is>
          <t>관계</t>
        </is>
      </c>
      <c r="H20" s="5" t="n">
        <v>51257500000</v>
      </c>
      <c r="I20" s="13" t="n">
        <v>7.82</v>
      </c>
      <c r="J20" s="2" t="inlineStr">
        <is>
          <t>2026-03-07</t>
        </is>
      </c>
      <c r="K20" s="2" t="inlineStr">
        <is>
          <t>2027-03-07</t>
        </is>
      </c>
      <c r="L20" s="7" t="inlineStr">
        <is>
          <t>-</t>
        </is>
      </c>
      <c r="M20" s="2" t="inlineStr">
        <is>
          <t>20260304801181</t>
        </is>
      </c>
      <c r="N20" s="8">
        <f>HYPERLINK("https://dart.fss.or.kr/dsaf001/main.do?rcpNo=20260304801181", "공시열람")</f>
        <v/>
      </c>
    </row>
    <row r="21" ht="36" customHeight="1">
      <c r="A21" s="2" t="inlineStr">
        <is>
          <t>2026-03-05 (정정: 2026-03-05)</t>
        </is>
      </c>
      <c r="B21" s="3" t="inlineStr">
        <is>
          <t>지니너스</t>
        </is>
      </c>
      <c r="C21" s="2" t="inlineStr">
        <is>
          <t>코스닥</t>
        </is>
      </c>
      <c r="D21" s="2" t="inlineStr">
        <is>
          <t>389030</t>
        </is>
      </c>
      <c r="E21" s="3" t="inlineStr">
        <is>
          <t>[기재정정]금전대여결정               (정정: 20260305)</t>
        </is>
      </c>
      <c r="F21" s="2" t="inlineStr">
        <is>
          <t>금전대여</t>
        </is>
      </c>
      <c r="G21" s="7" t="inlineStr">
        <is>
          <t>-</t>
        </is>
      </c>
      <c r="H21" s="5" t="n">
        <v>915060000</v>
      </c>
      <c r="I21" s="13" t="n">
        <v>4.1</v>
      </c>
      <c r="J21" s="2" t="inlineStr">
        <is>
          <t>2026-01-06</t>
        </is>
      </c>
      <c r="K21" s="2" t="inlineStr">
        <is>
          <t>2027-01-05</t>
        </is>
      </c>
      <c r="L21" s="7" t="inlineStr">
        <is>
          <t>기존대여금의 만기연장</t>
        </is>
      </c>
      <c r="M21" s="2" t="inlineStr">
        <is>
          <t>20260305901873</t>
        </is>
      </c>
      <c r="N21" s="8">
        <f>HYPERLINK("https://dart.fss.or.kr/dsaf001/main.do?rcpNo=20260305901873", "공시열람")</f>
        <v/>
      </c>
    </row>
    <row r="22" ht="36" customHeight="1">
      <c r="A22" s="2" t="inlineStr">
        <is>
          <t>2026-02-19 (정정: 2026-03-05)</t>
        </is>
      </c>
      <c r="B22" s="3" t="inlineStr">
        <is>
          <t>지니너스</t>
        </is>
      </c>
      <c r="C22" s="2" t="inlineStr">
        <is>
          <t>코스닥</t>
        </is>
      </c>
      <c r="D22" s="2" t="inlineStr">
        <is>
          <t>389030</t>
        </is>
      </c>
      <c r="E22" s="3" t="inlineStr">
        <is>
          <t xml:space="preserve">[기재정정]타인에대한채무보증결정              </t>
        </is>
      </c>
      <c r="F22" s="2" t="inlineStr">
        <is>
          <t>채무보증</t>
        </is>
      </c>
      <c r="G22" s="7" t="inlineStr">
        <is>
          <t>성명</t>
        </is>
      </c>
      <c r="H22" s="5" t="n">
        <v>4718100000</v>
      </c>
      <c r="I22" s="13" t="n">
        <v>21.2</v>
      </c>
      <c r="J22" s="2" t="inlineStr">
        <is>
          <t>2026-03-25</t>
        </is>
      </c>
      <c r="K22" s="2" t="inlineStr">
        <is>
          <t>2027-03-24</t>
        </is>
      </c>
      <c r="L22" s="7" t="inlineStr">
        <is>
          <t>-</t>
        </is>
      </c>
      <c r="M22" s="2" t="inlineStr">
        <is>
          <t>20260305901878</t>
        </is>
      </c>
      <c r="N22" s="8">
        <f>HYPERLINK("https://dart.fss.or.kr/dsaf001/main.do?rcpNo=20260305901878", "공시열람")</f>
        <v/>
      </c>
    </row>
    <row r="23" ht="36" customHeight="1">
      <c r="A23" s="2" t="inlineStr">
        <is>
          <t>2026-03-06 (정정: 2026-06-26)</t>
        </is>
      </c>
      <c r="B23" s="3" t="inlineStr">
        <is>
          <t>휴온스글로벌</t>
        </is>
      </c>
      <c r="C23" s="2" t="inlineStr">
        <is>
          <t>코스닥</t>
        </is>
      </c>
      <c r="D23" s="2" t="inlineStr">
        <is>
          <t>084110</t>
        </is>
      </c>
      <c r="E23" s="3" t="inlineStr">
        <is>
          <t>[기재정정]타인에대한채무보증결정(자회사의 주요경영사항)               (정정: 20260626)</t>
        </is>
      </c>
      <c r="F23" s="2" t="inlineStr">
        <is>
          <t>채무보증</t>
        </is>
      </c>
      <c r="G23" s="7" t="inlineStr">
        <is>
          <t>성명</t>
        </is>
      </c>
      <c r="H23" s="5" t="inlineStr"/>
      <c r="I23" s="3" t="inlineStr"/>
      <c r="J23" s="2" t="inlineStr">
        <is>
          <t>2026-02-27</t>
        </is>
      </c>
      <c r="K23" s="2" t="inlineStr">
        <is>
          <t>2026-06-26</t>
        </is>
      </c>
      <c r="L23" s="7" t="inlineStr">
        <is>
          <t>-</t>
        </is>
      </c>
      <c r="M23" s="2" t="inlineStr">
        <is>
          <t>20260626901304</t>
        </is>
      </c>
      <c r="N23" s="8">
        <f>HYPERLINK("https://dart.fss.or.kr/dsaf001/main.do?rcpNo=20260626901304", "공시열람")</f>
        <v/>
      </c>
    </row>
    <row r="24" ht="36" customHeight="1">
      <c r="A24" s="2" t="inlineStr">
        <is>
          <t>2026-03-06 (정정: 2026-06-26)</t>
        </is>
      </c>
      <c r="B24" s="3" t="inlineStr">
        <is>
          <t>휴온스</t>
        </is>
      </c>
      <c r="C24" s="2" t="inlineStr">
        <is>
          <t>코스닥</t>
        </is>
      </c>
      <c r="D24" s="2" t="inlineStr">
        <is>
          <t>243070</t>
        </is>
      </c>
      <c r="E24" s="3" t="inlineStr">
        <is>
          <t>[기재정정]타인에대한채무보증결정               (정정: 20260626)</t>
        </is>
      </c>
      <c r="F24" s="2" t="inlineStr">
        <is>
          <t>채무보증</t>
        </is>
      </c>
      <c r="G24" s="7" t="inlineStr">
        <is>
          <t>성명</t>
        </is>
      </c>
      <c r="H24" s="5" t="inlineStr"/>
      <c r="I24" s="3" t="inlineStr"/>
      <c r="J24" s="2" t="inlineStr">
        <is>
          <t>2026-02-27</t>
        </is>
      </c>
      <c r="K24" s="2" t="inlineStr">
        <is>
          <t>2026-06-26</t>
        </is>
      </c>
      <c r="L24" s="7" t="inlineStr">
        <is>
          <t>-</t>
        </is>
      </c>
      <c r="M24" s="2" t="inlineStr">
        <is>
          <t>20260626901302</t>
        </is>
      </c>
      <c r="N24" s="8">
        <f>HYPERLINK("https://dart.fss.or.kr/dsaf001/main.do?rcpNo=20260626901302", "공시열람")</f>
        <v/>
      </c>
    </row>
    <row r="25" ht="36" customHeight="1">
      <c r="A25" s="2" t="inlineStr">
        <is>
          <t>2026-03-06 (정정: 2026-03-13)</t>
        </is>
      </c>
      <c r="B25" s="3" t="inlineStr">
        <is>
          <t>엔켐</t>
        </is>
      </c>
      <c r="C25" s="2" t="inlineStr">
        <is>
          <t>코스닥</t>
        </is>
      </c>
      <c r="D25" s="2" t="inlineStr">
        <is>
          <t>348370</t>
        </is>
      </c>
      <c r="E25" s="3" t="inlineStr">
        <is>
          <t>[기재정정]타인에대한채무보증결정(자율공시)               (정정: 20260313)</t>
        </is>
      </c>
      <c r="F25" s="2" t="inlineStr">
        <is>
          <t>채무보증</t>
        </is>
      </c>
      <c r="G25" s="7" t="inlineStr">
        <is>
          <t>성명</t>
        </is>
      </c>
      <c r="H25" s="5" t="n">
        <v>18659520000</v>
      </c>
      <c r="I25" s="13" t="n">
        <v>7.98</v>
      </c>
      <c r="J25" s="2" t="inlineStr">
        <is>
          <t>2023-02-21</t>
        </is>
      </c>
      <c r="K25" s="2" t="inlineStr">
        <is>
          <t>2033-02-21</t>
        </is>
      </c>
      <c r="L25" s="7" t="inlineStr">
        <is>
          <t>-</t>
        </is>
      </c>
      <c r="M25" s="2" t="inlineStr">
        <is>
          <t>20260313902200</t>
        </is>
      </c>
      <c r="N25" s="8">
        <f>HYPERLINK("https://dart.fss.or.kr/dsaf001/main.do?rcpNo=20260313902200", "공시열람")</f>
        <v/>
      </c>
    </row>
    <row r="26" ht="36" customHeight="1">
      <c r="A26" s="2" t="inlineStr">
        <is>
          <t>2026-03-09 (정정: 2026-03-10)</t>
        </is>
      </c>
      <c r="B26" s="3" t="inlineStr">
        <is>
          <t>인터플렉스</t>
        </is>
      </c>
      <c r="C26" s="2" t="inlineStr">
        <is>
          <t>코스닥</t>
        </is>
      </c>
      <c r="D26" s="2" t="inlineStr">
        <is>
          <t>051370</t>
        </is>
      </c>
      <c r="E26" s="3" t="inlineStr">
        <is>
          <t xml:space="preserve">[기재정정]타인에대한채무보증결정              </t>
        </is>
      </c>
      <c r="F26" s="2" t="inlineStr">
        <is>
          <t>채무보증</t>
        </is>
      </c>
      <c r="G26" s="7" t="inlineStr">
        <is>
          <t>관계</t>
        </is>
      </c>
      <c r="H26" s="5" t="n">
        <v>54000000000</v>
      </c>
      <c r="I26" s="13" t="n">
        <v>19.26</v>
      </c>
      <c r="J26" s="2" t="inlineStr">
        <is>
          <t>2026-03-27</t>
        </is>
      </c>
      <c r="K26" s="2" t="inlineStr">
        <is>
          <t>2029-03-26</t>
        </is>
      </c>
      <c r="L26" s="7" t="inlineStr">
        <is>
          <t>-</t>
        </is>
      </c>
      <c r="M26" s="2" t="inlineStr">
        <is>
          <t>20260310901791</t>
        </is>
      </c>
      <c r="N26" s="8">
        <f>HYPERLINK("https://dart.fss.or.kr/dsaf001/main.do?rcpNo=20260310901791", "공시열람")</f>
        <v/>
      </c>
    </row>
    <row r="27" ht="36" customHeight="1">
      <c r="A27" s="2" t="inlineStr">
        <is>
          <t>2026-03-10</t>
        </is>
      </c>
      <c r="B27" s="3" t="inlineStr">
        <is>
          <t>한세예스24홀딩스</t>
        </is>
      </c>
      <c r="C27" s="2" t="inlineStr">
        <is>
          <t>코스피</t>
        </is>
      </c>
      <c r="D27" s="2" t="inlineStr">
        <is>
          <t>016450</t>
        </is>
      </c>
      <c r="E27" s="3" t="inlineStr">
        <is>
          <t xml:space="preserve">금전대여결정(자회사의 주요경영사항)              </t>
        </is>
      </c>
      <c r="F27" s="2" t="inlineStr">
        <is>
          <t>금전대여</t>
        </is>
      </c>
      <c r="G27" s="7" t="inlineStr">
        <is>
          <t>만쿤(상해)상무유한공사</t>
        </is>
      </c>
      <c r="H27" s="5" t="n">
        <v>23195847675</v>
      </c>
      <c r="I27" s="13" t="n">
        <v>50.4</v>
      </c>
      <c r="J27" s="2" t="inlineStr">
        <is>
          <t>2026-03-10</t>
        </is>
      </c>
      <c r="K27" s="2" t="inlineStr">
        <is>
          <t>2029-03-09</t>
        </is>
      </c>
      <c r="L27" s="7" t="inlineStr">
        <is>
          <t>금융기관 차입상환</t>
        </is>
      </c>
      <c r="M27" s="2" t="inlineStr">
        <is>
          <t>20260310801677</t>
        </is>
      </c>
      <c r="N27" s="8">
        <f>HYPERLINK("https://dart.fss.or.kr/dsaf001/main.do?rcpNo=20260310801677", "공시열람")</f>
        <v/>
      </c>
    </row>
    <row r="28" ht="36" customHeight="1">
      <c r="A28" s="2" t="inlineStr">
        <is>
          <t>2026-03-10</t>
        </is>
      </c>
      <c r="B28" s="3" t="inlineStr">
        <is>
          <t>한세엠케이</t>
        </is>
      </c>
      <c r="C28" s="2" t="inlineStr">
        <is>
          <t>코스피</t>
        </is>
      </c>
      <c r="D28" s="2" t="inlineStr">
        <is>
          <t>069640</t>
        </is>
      </c>
      <c r="E28" s="3" t="inlineStr">
        <is>
          <t xml:space="preserve">금전대여결정              </t>
        </is>
      </c>
      <c r="F28" s="2" t="inlineStr">
        <is>
          <t>금전대여</t>
        </is>
      </c>
      <c r="G28" s="7" t="inlineStr">
        <is>
          <t>만쿤(상해)상무유한공사</t>
        </is>
      </c>
      <c r="H28" s="5" t="n">
        <v>23195847675</v>
      </c>
      <c r="I28" s="13" t="n">
        <v>50.4</v>
      </c>
      <c r="J28" s="2" t="inlineStr">
        <is>
          <t>2026-03-10</t>
        </is>
      </c>
      <c r="K28" s="2" t="inlineStr">
        <is>
          <t>2029-03-09</t>
        </is>
      </c>
      <c r="L28" s="7" t="inlineStr">
        <is>
          <t>금융기관 차입상환</t>
        </is>
      </c>
      <c r="M28" s="2" t="inlineStr">
        <is>
          <t>20260310801626</t>
        </is>
      </c>
      <c r="N28" s="8">
        <f>HYPERLINK("https://dart.fss.or.kr/dsaf001/main.do?rcpNo=20260310801626", "공시열람")</f>
        <v/>
      </c>
    </row>
    <row r="29" ht="36" customHeight="1">
      <c r="A29" s="2" t="inlineStr">
        <is>
          <t>2026-03-10 (정정: 2026-06-04)</t>
        </is>
      </c>
      <c r="B29" s="3" t="inlineStr">
        <is>
          <t>SK디앤디</t>
        </is>
      </c>
      <c r="C29" s="2" t="inlineStr">
        <is>
          <t>코스피</t>
        </is>
      </c>
      <c r="D29" s="2" t="inlineStr">
        <is>
          <t>210980</t>
        </is>
      </c>
      <c r="E29" s="3" t="inlineStr">
        <is>
          <t>[기재정정]타인에대한채무보증결정               (정정: 20260520) (정정: 20260520) (정정: 20260604)</t>
        </is>
      </c>
      <c r="F29" s="2" t="inlineStr">
        <is>
          <t>채무보증</t>
        </is>
      </c>
      <c r="G29" s="7" t="inlineStr">
        <is>
          <t>관계</t>
        </is>
      </c>
      <c r="H29" s="5" t="n">
        <v>39840000000</v>
      </c>
      <c r="I29" s="13" t="n">
        <v>6.99</v>
      </c>
      <c r="J29" s="2" t="inlineStr">
        <is>
          <t>-</t>
        </is>
      </c>
      <c r="K29" s="2" t="inlineStr">
        <is>
          <t>2026-06-30</t>
        </is>
      </c>
      <c r="L29" s="7" t="inlineStr">
        <is>
          <t>-</t>
        </is>
      </c>
      <c r="M29" s="2" t="inlineStr">
        <is>
          <t>20260604800365</t>
        </is>
      </c>
      <c r="N29" s="8">
        <f>HYPERLINK("https://dart.fss.or.kr/dsaf001/main.do?rcpNo=20260604800365", "공시열람")</f>
        <v/>
      </c>
    </row>
    <row r="30" ht="36" customHeight="1">
      <c r="A30" s="2" t="inlineStr">
        <is>
          <t>2026-03-10</t>
        </is>
      </c>
      <c r="B30" s="3" t="inlineStr">
        <is>
          <t>SK디앤디</t>
        </is>
      </c>
      <c r="C30" s="2" t="inlineStr">
        <is>
          <t>코스피</t>
        </is>
      </c>
      <c r="D30" s="2" t="inlineStr">
        <is>
          <t>210980</t>
        </is>
      </c>
      <c r="E30" s="3" t="inlineStr">
        <is>
          <t xml:space="preserve">타인에대한채무보증결정              </t>
        </is>
      </c>
      <c r="F30" s="2" t="inlineStr">
        <is>
          <t>채무보증</t>
        </is>
      </c>
      <c r="G30" s="7" t="inlineStr">
        <is>
          <t>관계</t>
        </is>
      </c>
      <c r="H30" s="5" t="n">
        <v>39840000000</v>
      </c>
      <c r="I30" s="13" t="n">
        <v>6.99</v>
      </c>
      <c r="J30" s="2" t="inlineStr">
        <is>
          <t>-</t>
        </is>
      </c>
      <c r="K30" s="2" t="inlineStr">
        <is>
          <t>-</t>
        </is>
      </c>
      <c r="L30" s="7" t="inlineStr">
        <is>
          <t>-</t>
        </is>
      </c>
      <c r="M30" s="2" t="inlineStr">
        <is>
          <t>20260310801226</t>
        </is>
      </c>
      <c r="N30" s="8">
        <f>HYPERLINK("https://dart.fss.or.kr/dsaf001/main.do?rcpNo=20260310801226", "공시열람")</f>
        <v/>
      </c>
    </row>
    <row r="31" ht="36" customHeight="1">
      <c r="A31" s="2" t="inlineStr">
        <is>
          <t>2026-03-11 (정정: 2026-06-23)</t>
        </is>
      </c>
      <c r="B31" s="3" t="inlineStr">
        <is>
          <t>도이치모터스</t>
        </is>
      </c>
      <c r="C31" s="2" t="inlineStr">
        <is>
          <t>코스닥</t>
        </is>
      </c>
      <c r="D31" s="2" t="inlineStr">
        <is>
          <t>067990</t>
        </is>
      </c>
      <c r="E31" s="3" t="inlineStr">
        <is>
          <t>타인에대한채무보증결정               (정정: 20260623)</t>
        </is>
      </c>
      <c r="F31" s="2" t="inlineStr">
        <is>
          <t>채무보증</t>
        </is>
      </c>
      <c r="G31" s="7" t="inlineStr">
        <is>
          <t>성명</t>
        </is>
      </c>
      <c r="H31" s="5" t="n">
        <v>37050000000</v>
      </c>
      <c r="I31" s="13" t="n">
        <v>9.85</v>
      </c>
      <c r="J31" s="2" t="inlineStr">
        <is>
          <t>2026-03-23</t>
        </is>
      </c>
      <c r="K31" s="2" t="inlineStr">
        <is>
          <t>2027-03-22</t>
        </is>
      </c>
      <c r="L31" s="7" t="inlineStr">
        <is>
          <t>-</t>
        </is>
      </c>
      <c r="M31" s="2" t="inlineStr">
        <is>
          <t>20260623900542</t>
        </is>
      </c>
      <c r="N31" s="8">
        <f>HYPERLINK("https://dart.fss.or.kr/dsaf001/main.do?rcpNo=20260623900542", "공시열람")</f>
        <v/>
      </c>
    </row>
    <row r="32" ht="36" customHeight="1">
      <c r="A32" s="2" t="inlineStr">
        <is>
          <t>2026-03-11</t>
        </is>
      </c>
      <c r="B32" s="3" t="inlineStr">
        <is>
          <t>KCC건설</t>
        </is>
      </c>
      <c r="C32" s="2" t="inlineStr">
        <is>
          <t>코스닥</t>
        </is>
      </c>
      <c r="D32" s="2" t="inlineStr">
        <is>
          <t>021320</t>
        </is>
      </c>
      <c r="E32" s="3" t="inlineStr">
        <is>
          <t xml:space="preserve">타인에대한채무보증결정              </t>
        </is>
      </c>
      <c r="F32" s="2" t="inlineStr">
        <is>
          <t>채무보증</t>
        </is>
      </c>
      <c r="G32" s="7" t="inlineStr">
        <is>
          <t>성명</t>
        </is>
      </c>
      <c r="H32" s="5" t="n">
        <v>40700000000</v>
      </c>
      <c r="I32" s="13" t="n">
        <v>8</v>
      </c>
      <c r="J32" s="2" t="inlineStr">
        <is>
          <t>2026-03-12</t>
        </is>
      </c>
      <c r="K32" s="2" t="inlineStr">
        <is>
          <t>2027-03-12</t>
        </is>
      </c>
      <c r="L32" s="7" t="inlineStr">
        <is>
          <t>-</t>
        </is>
      </c>
      <c r="M32" s="2" t="inlineStr">
        <is>
          <t>20260311901711</t>
        </is>
      </c>
      <c r="N32" s="8">
        <f>HYPERLINK("https://dart.fss.or.kr/dsaf001/main.do?rcpNo=20260311901711", "공시열람")</f>
        <v/>
      </c>
    </row>
    <row r="33" ht="36" customHeight="1">
      <c r="A33" s="2" t="inlineStr">
        <is>
          <t>2025-03-10 (정정: 2026-03-11)</t>
        </is>
      </c>
      <c r="B33" s="3" t="inlineStr">
        <is>
          <t>파라텍</t>
        </is>
      </c>
      <c r="C33" s="2" t="inlineStr">
        <is>
          <t>코스닥</t>
        </is>
      </c>
      <c r="D33" s="2" t="inlineStr">
        <is>
          <t>033540</t>
        </is>
      </c>
      <c r="E33" s="3" t="inlineStr">
        <is>
          <t xml:space="preserve">[기재정정]타인에대한채무보증결정              </t>
        </is>
      </c>
      <c r="F33" s="2" t="inlineStr">
        <is>
          <t>채무보증</t>
        </is>
      </c>
      <c r="G33" s="7" t="inlineStr">
        <is>
          <t>성명</t>
        </is>
      </c>
      <c r="H33" s="5" t="n">
        <v>36000000000</v>
      </c>
      <c r="I33" s="13" t="n">
        <v>43.64</v>
      </c>
      <c r="J33" s="2" t="inlineStr">
        <is>
          <t>2022-06-13</t>
        </is>
      </c>
      <c r="K33" s="2" t="inlineStr">
        <is>
          <t>2027-03-13</t>
        </is>
      </c>
      <c r="L33" s="7" t="inlineStr">
        <is>
          <t>-</t>
        </is>
      </c>
      <c r="M33" s="2" t="inlineStr">
        <is>
          <t>20260311901471</t>
        </is>
      </c>
      <c r="N33" s="8">
        <f>HYPERLINK("https://dart.fss.or.kr/dsaf001/main.do?rcpNo=20260311901471", "공시열람")</f>
        <v/>
      </c>
    </row>
    <row r="34" ht="36" customHeight="1">
      <c r="A34" s="2" t="inlineStr">
        <is>
          <t>2026-03-11</t>
        </is>
      </c>
      <c r="B34" s="3" t="inlineStr">
        <is>
          <t>KG이니시스</t>
        </is>
      </c>
      <c r="C34" s="2" t="inlineStr">
        <is>
          <t>코스닥</t>
        </is>
      </c>
      <c r="D34" s="2" t="inlineStr">
        <is>
          <t>035600</t>
        </is>
      </c>
      <c r="E34" s="3" t="inlineStr">
        <is>
          <t xml:space="preserve">타인에대한채무보증결정              </t>
        </is>
      </c>
      <c r="F34" s="2" t="inlineStr">
        <is>
          <t>채무보증</t>
        </is>
      </c>
      <c r="G34" s="7" t="inlineStr">
        <is>
          <t>성명</t>
        </is>
      </c>
      <c r="H34" s="5" t="n">
        <v>78000000000</v>
      </c>
      <c r="I34" s="13" t="n">
        <v>10.57</v>
      </c>
      <c r="J34" s="2" t="inlineStr">
        <is>
          <t>2026-03-13</t>
        </is>
      </c>
      <c r="K34" s="2" t="inlineStr">
        <is>
          <t>2027-03-12</t>
        </is>
      </c>
      <c r="L34" s="7" t="inlineStr">
        <is>
          <t>-</t>
        </is>
      </c>
      <c r="M34" s="2" t="inlineStr">
        <is>
          <t>20260311901247</t>
        </is>
      </c>
      <c r="N34" s="8">
        <f>HYPERLINK("https://dart.fss.or.kr/dsaf001/main.do?rcpNo=20260311901247", "공시열람")</f>
        <v/>
      </c>
    </row>
    <row r="35" ht="36" customHeight="1">
      <c r="A35" s="2" t="inlineStr">
        <is>
          <t>2026-03-12 (정정: 2026-06-04)</t>
        </is>
      </c>
      <c r="B35" s="3" t="inlineStr">
        <is>
          <t>모아데이타</t>
        </is>
      </c>
      <c r="C35" s="2" t="inlineStr">
        <is>
          <t>코스닥</t>
        </is>
      </c>
      <c r="D35" s="2" t="inlineStr">
        <is>
          <t>288980</t>
        </is>
      </c>
      <c r="E35" s="3" t="inlineStr">
        <is>
          <t>[기재정정]타인에대한채무보증결정               (정정: 20260604)</t>
        </is>
      </c>
      <c r="F35" s="2" t="inlineStr">
        <is>
          <t>채무보증</t>
        </is>
      </c>
      <c r="G35" s="7" t="inlineStr">
        <is>
          <t>성명</t>
        </is>
      </c>
      <c r="H35" s="5" t="n">
        <v>3985150000</v>
      </c>
      <c r="I35" s="13" t="n">
        <v>9.890000000000001</v>
      </c>
      <c r="J35" s="2" t="inlineStr">
        <is>
          <t>2024-03-29</t>
        </is>
      </c>
      <c r="K35" s="2" t="inlineStr">
        <is>
          <t>2027-03-29</t>
        </is>
      </c>
      <c r="L35" s="7" t="inlineStr">
        <is>
          <t>-</t>
        </is>
      </c>
      <c r="M35" s="2" t="inlineStr">
        <is>
          <t>20260604900513</t>
        </is>
      </c>
      <c r="N35" s="8">
        <f>HYPERLINK("https://dart.fss.or.kr/dsaf001/main.do?rcpNo=20260604900513", "공시열람")</f>
        <v/>
      </c>
    </row>
    <row r="36" ht="36" customHeight="1">
      <c r="A36" s="2" t="inlineStr">
        <is>
          <t>2026-03-12</t>
        </is>
      </c>
      <c r="B36" s="3" t="inlineStr">
        <is>
          <t>케이씨씨글라스</t>
        </is>
      </c>
      <c r="C36" s="2" t="inlineStr">
        <is>
          <t>코스피</t>
        </is>
      </c>
      <c r="D36" s="2" t="inlineStr">
        <is>
          <t>344820</t>
        </is>
      </c>
      <c r="E36" s="3" t="inlineStr">
        <is>
          <t xml:space="preserve">금전대여결정              </t>
        </is>
      </c>
      <c r="F36" s="2" t="inlineStr">
        <is>
          <t>금전대여</t>
        </is>
      </c>
      <c r="G36" s="7" t="inlineStr">
        <is>
          <t>PT. KCC GLASS INDONESIA</t>
        </is>
      </c>
      <c r="H36" s="5" t="n">
        <v>39244405800</v>
      </c>
      <c r="I36" s="13" t="n">
        <v>2.85</v>
      </c>
      <c r="J36" s="2" t="inlineStr">
        <is>
          <t>2026-03-30</t>
        </is>
      </c>
      <c r="K36" s="2" t="inlineStr">
        <is>
          <t>2031-03-30</t>
        </is>
      </c>
      <c r="L36" s="7" t="inlineStr">
        <is>
          <t>운영자금 대여</t>
        </is>
      </c>
      <c r="M36" s="2" t="inlineStr">
        <is>
          <t>20260312801790</t>
        </is>
      </c>
      <c r="N36" s="8">
        <f>HYPERLINK("https://dart.fss.or.kr/dsaf001/main.do?rcpNo=20260312801790", "공시열람")</f>
        <v/>
      </c>
    </row>
    <row r="37" ht="36" customHeight="1">
      <c r="A37" s="2" t="inlineStr">
        <is>
          <t>2026-03-12</t>
        </is>
      </c>
      <c r="B37" s="3" t="inlineStr">
        <is>
          <t>GS건설</t>
        </is>
      </c>
      <c r="C37" s="2" t="inlineStr">
        <is>
          <t>코스피</t>
        </is>
      </c>
      <c r="D37" s="2" t="inlineStr">
        <is>
          <t>006360</t>
        </is>
      </c>
      <c r="E37" s="3" t="inlineStr">
        <is>
          <t xml:space="preserve">타인에대한채무보증결정              </t>
        </is>
      </c>
      <c r="F37" s="2" t="inlineStr">
        <is>
          <t>채무보증</t>
        </is>
      </c>
      <c r="G37" s="7" t="inlineStr">
        <is>
          <t>관계</t>
        </is>
      </c>
      <c r="H37" s="5" t="n">
        <v>130000000000</v>
      </c>
      <c r="I37" s="13" t="n">
        <v>2.56</v>
      </c>
      <c r="J37" s="2" t="inlineStr">
        <is>
          <t>2026-03-13</t>
        </is>
      </c>
      <c r="K37" s="2" t="inlineStr">
        <is>
          <t>2026-07-15</t>
        </is>
      </c>
      <c r="L37" s="7" t="inlineStr">
        <is>
          <t>-</t>
        </is>
      </c>
      <c r="M37" s="2" t="inlineStr">
        <is>
          <t>20260312801806</t>
        </is>
      </c>
      <c r="N37" s="8">
        <f>HYPERLINK("https://dart.fss.or.kr/dsaf001/main.do?rcpNo=20260312801806", "공시열람")</f>
        <v/>
      </c>
    </row>
    <row r="38" ht="36" customHeight="1">
      <c r="A38" s="2" t="inlineStr">
        <is>
          <t>2026-03-12</t>
        </is>
      </c>
      <c r="B38" s="3" t="inlineStr">
        <is>
          <t>부방</t>
        </is>
      </c>
      <c r="C38" s="2" t="inlineStr">
        <is>
          <t>코스닥</t>
        </is>
      </c>
      <c r="D38" s="2" t="inlineStr">
        <is>
          <t>014470</t>
        </is>
      </c>
      <c r="E38" s="3" t="inlineStr">
        <is>
          <t xml:space="preserve">타인에대한담보제공결정              </t>
        </is>
      </c>
      <c r="F38" s="2" t="inlineStr">
        <is>
          <t>기타</t>
        </is>
      </c>
      <c r="G38" s="7" t="inlineStr">
        <is>
          <t>-</t>
        </is>
      </c>
      <c r="H38" s="5" t="inlineStr"/>
      <c r="I38" s="3" t="inlineStr"/>
      <c r="J38" s="2" t="inlineStr">
        <is>
          <t>-</t>
        </is>
      </c>
      <c r="K38" s="2" t="inlineStr">
        <is>
          <t>-</t>
        </is>
      </c>
      <c r="L38" s="7" t="inlineStr">
        <is>
          <t>-</t>
        </is>
      </c>
      <c r="M38" s="2" t="inlineStr">
        <is>
          <t>20260312901524</t>
        </is>
      </c>
      <c r="N38" s="8">
        <f>HYPERLINK("https://dart.fss.or.kr/dsaf001/main.do?rcpNo=20260312901524", "공시열람")</f>
        <v/>
      </c>
    </row>
    <row r="39" ht="36" customHeight="1">
      <c r="A39" s="2" t="inlineStr">
        <is>
          <t>2026-03-13</t>
        </is>
      </c>
      <c r="B39" s="3" t="inlineStr">
        <is>
          <t>DH오토리드</t>
        </is>
      </c>
      <c r="C39" s="2" t="inlineStr">
        <is>
          <t>코스닥</t>
        </is>
      </c>
      <c r="D39" s="2" t="inlineStr">
        <is>
          <t>290120</t>
        </is>
      </c>
      <c r="E39" s="3" t="inlineStr">
        <is>
          <t xml:space="preserve">타인에대한채무보증결정              </t>
        </is>
      </c>
      <c r="F39" s="2" t="inlineStr">
        <is>
          <t>채무보증</t>
        </is>
      </c>
      <c r="G39" s="7" t="inlineStr">
        <is>
          <t>성명</t>
        </is>
      </c>
      <c r="H39" s="5" t="n">
        <v>5163840000</v>
      </c>
      <c r="I39" s="13" t="n">
        <v>5.3</v>
      </c>
      <c r="J39" s="2" t="inlineStr">
        <is>
          <t>2025-03-18</t>
        </is>
      </c>
      <c r="K39" s="2" t="inlineStr">
        <is>
          <t>2027-03-18</t>
        </is>
      </c>
      <c r="L39" s="7" t="inlineStr">
        <is>
          <t>-</t>
        </is>
      </c>
      <c r="M39" s="2" t="inlineStr">
        <is>
          <t>20260313902322</t>
        </is>
      </c>
      <c r="N39" s="8">
        <f>HYPERLINK("https://dart.fss.or.kr/dsaf001/main.do?rcpNo=20260313902322", "공시열람")</f>
        <v/>
      </c>
    </row>
    <row r="40" ht="36" customHeight="1">
      <c r="A40" s="2" t="inlineStr">
        <is>
          <t>2026-03-13</t>
        </is>
      </c>
      <c r="B40" s="3" t="inlineStr">
        <is>
          <t>HS효성</t>
        </is>
      </c>
      <c r="C40" s="2" t="inlineStr">
        <is>
          <t>코스피</t>
        </is>
      </c>
      <c r="D40" s="2" t="inlineStr">
        <is>
          <t>487570</t>
        </is>
      </c>
      <c r="E40" s="3" t="inlineStr">
        <is>
          <t xml:space="preserve">타인에대한채무보증결정(자회사의 주요경영사항)              </t>
        </is>
      </c>
      <c r="F40" s="2" t="inlineStr">
        <is>
          <t>채무보증</t>
        </is>
      </c>
      <c r="G40" s="7" t="inlineStr">
        <is>
          <t>관계</t>
        </is>
      </c>
      <c r="H40" s="5" t="n">
        <v>35515200000</v>
      </c>
      <c r="I40" s="13" t="n">
        <v>3.07</v>
      </c>
      <c r="J40" s="2" t="inlineStr">
        <is>
          <t>2026-03-13</t>
        </is>
      </c>
      <c r="K40" s="2" t="inlineStr">
        <is>
          <t>2027-03-13</t>
        </is>
      </c>
      <c r="L40" s="7" t="inlineStr">
        <is>
          <t>-</t>
        </is>
      </c>
      <c r="M40" s="2" t="inlineStr">
        <is>
          <t>20260313801620</t>
        </is>
      </c>
      <c r="N40" s="8">
        <f>HYPERLINK("https://dart.fss.or.kr/dsaf001/main.do?rcpNo=20260313801620", "공시열람")</f>
        <v/>
      </c>
    </row>
    <row r="41" ht="36" customHeight="1">
      <c r="A41" s="2" t="inlineStr">
        <is>
          <t>2026-03-13</t>
        </is>
      </c>
      <c r="B41" s="3" t="inlineStr">
        <is>
          <t>HS효성첨단소재</t>
        </is>
      </c>
      <c r="C41" s="2" t="inlineStr">
        <is>
          <t>코스피</t>
        </is>
      </c>
      <c r="D41" s="2" t="inlineStr">
        <is>
          <t>298050</t>
        </is>
      </c>
      <c r="E41" s="3" t="inlineStr">
        <is>
          <t xml:space="preserve">타인에대한채무보증결정              </t>
        </is>
      </c>
      <c r="F41" s="2" t="inlineStr">
        <is>
          <t>채무보증</t>
        </is>
      </c>
      <c r="G41" s="7" t="inlineStr">
        <is>
          <t>관계</t>
        </is>
      </c>
      <c r="H41" s="5" t="n">
        <v>35515200000</v>
      </c>
      <c r="I41" s="13" t="n">
        <v>3.07</v>
      </c>
      <c r="J41" s="2" t="inlineStr">
        <is>
          <t>2026-03-13</t>
        </is>
      </c>
      <c r="K41" s="2" t="inlineStr">
        <is>
          <t>2027-03-13</t>
        </is>
      </c>
      <c r="L41" s="7" t="inlineStr">
        <is>
          <t>-</t>
        </is>
      </c>
      <c r="M41" s="2" t="inlineStr">
        <is>
          <t>20260313801535</t>
        </is>
      </c>
      <c r="N41" s="8">
        <f>HYPERLINK("https://dart.fss.or.kr/dsaf001/main.do?rcpNo=20260313801535", "공시열람")</f>
        <v/>
      </c>
    </row>
    <row r="42" ht="36" customHeight="1">
      <c r="A42" s="2" t="inlineStr">
        <is>
          <t>2026-04-16</t>
        </is>
      </c>
      <c r="B42" s="3" t="inlineStr">
        <is>
          <t>노브랜드</t>
        </is>
      </c>
      <c r="C42" s="2" t="inlineStr">
        <is>
          <t>코스닥</t>
        </is>
      </c>
      <c r="D42" s="2" t="inlineStr">
        <is>
          <t>145170</t>
        </is>
      </c>
      <c r="E42" s="3" t="inlineStr">
        <is>
          <t xml:space="preserve">타인에대한채무보증결정              </t>
        </is>
      </c>
      <c r="F42" s="2" t="inlineStr">
        <is>
          <t>채무보증</t>
        </is>
      </c>
      <c r="G42" s="7" t="inlineStr">
        <is>
          <t>성명</t>
        </is>
      </c>
      <c r="H42" s="5" t="n">
        <v>13200000000</v>
      </c>
      <c r="I42" s="13" t="n">
        <v>8.59</v>
      </c>
      <c r="J42" s="2" t="inlineStr">
        <is>
          <t>2026-04-17</t>
        </is>
      </c>
      <c r="K42" s="2" t="inlineStr">
        <is>
          <t>2027-10-17</t>
        </is>
      </c>
      <c r="L42" s="7" t="inlineStr">
        <is>
          <t>-</t>
        </is>
      </c>
      <c r="M42" s="2" t="inlineStr">
        <is>
          <t>20260416900308</t>
        </is>
      </c>
      <c r="N42" s="8">
        <f>HYPERLINK("https://dart.fss.or.kr/dsaf001/main.do?rcpNo=20260416900308", "공시열람")</f>
        <v/>
      </c>
    </row>
    <row r="43" ht="36" customHeight="1">
      <c r="A43" s="2" t="inlineStr">
        <is>
          <t>2026-05-20</t>
        </is>
      </c>
      <c r="B43" s="3" t="inlineStr">
        <is>
          <t>남광토건</t>
        </is>
      </c>
      <c r="C43" s="2" t="inlineStr">
        <is>
          <t>코스피</t>
        </is>
      </c>
      <c r="D43" s="2" t="inlineStr">
        <is>
          <t>001260</t>
        </is>
      </c>
      <c r="E43" s="3" t="inlineStr">
        <is>
          <t xml:space="preserve">타인에대한채무보증결정              </t>
        </is>
      </c>
      <c r="F43" s="2" t="inlineStr">
        <is>
          <t>채무보증</t>
        </is>
      </c>
      <c r="G43" s="7" t="inlineStr">
        <is>
          <t>관계</t>
        </is>
      </c>
      <c r="H43" s="5" t="n">
        <v>107571000000</v>
      </c>
      <c r="I43" s="13" t="n">
        <v>86.06999999999999</v>
      </c>
      <c r="J43" s="2" t="inlineStr">
        <is>
          <t>-</t>
        </is>
      </c>
      <c r="K43" s="2" t="inlineStr">
        <is>
          <t>2049-10-19</t>
        </is>
      </c>
      <c r="L43" s="7" t="inlineStr">
        <is>
          <t>-</t>
        </is>
      </c>
      <c r="M43" s="2" t="inlineStr">
        <is>
          <t>20260520800784</t>
        </is>
      </c>
      <c r="N43" s="8">
        <f>HYPERLINK("https://dart.fss.or.kr/dsaf001/main.do?rcpNo=20260520800784", "공시열람")</f>
        <v/>
      </c>
    </row>
    <row r="44" ht="36" customHeight="1">
      <c r="A44" s="2" t="inlineStr">
        <is>
          <t>2026-05-20 (정정: 2026-06-25)</t>
        </is>
      </c>
      <c r="B44" s="3" t="inlineStr">
        <is>
          <t>OCI홀딩스</t>
        </is>
      </c>
      <c r="C44" s="2" t="inlineStr">
        <is>
          <t>코스피</t>
        </is>
      </c>
      <c r="D44" s="2" t="inlineStr">
        <is>
          <t>010060</t>
        </is>
      </c>
      <c r="E44" s="3" t="inlineStr">
        <is>
          <t>[기재정정]타인에대한채무보증결정               (정정: 20260625) (정정: 20260625)</t>
        </is>
      </c>
      <c r="F44" s="2" t="inlineStr">
        <is>
          <t>채무보증</t>
        </is>
      </c>
      <c r="G44" s="7" t="inlineStr">
        <is>
          <t>관계</t>
        </is>
      </c>
      <c r="H44" s="5" t="n">
        <v>452944126885</v>
      </c>
      <c r="I44" s="13" t="n">
        <v>14</v>
      </c>
      <c r="J44" s="2" t="inlineStr">
        <is>
          <t>2017-01-18</t>
        </is>
      </c>
      <c r="K44" s="2" t="inlineStr">
        <is>
          <t>2026-06-24</t>
        </is>
      </c>
      <c r="L44" s="7" t="inlineStr">
        <is>
          <t>-</t>
        </is>
      </c>
      <c r="M44" s="2" t="inlineStr">
        <is>
          <t>20260625800005</t>
        </is>
      </c>
      <c r="N44" s="8">
        <f>HYPERLINK("https://dart.fss.or.kr/dsaf001/main.do?rcpNo=20260625800005", "공시열람")</f>
        <v/>
      </c>
    </row>
    <row r="45" ht="36" customHeight="1">
      <c r="A45" s="2" t="inlineStr">
        <is>
          <t>2025-05-21 (정정: 2026-05-20)</t>
        </is>
      </c>
      <c r="B45" s="3" t="inlineStr">
        <is>
          <t>엑시온그룹</t>
        </is>
      </c>
      <c r="C45" s="2" t="inlineStr">
        <is>
          <t>코스닥</t>
        </is>
      </c>
      <c r="D45" s="2" t="inlineStr">
        <is>
          <t>069920</t>
        </is>
      </c>
      <c r="E45" s="3" t="inlineStr">
        <is>
          <t xml:space="preserve">[기재정정]타인에대한채무보증결정              </t>
        </is>
      </c>
      <c r="F45" s="2" t="inlineStr">
        <is>
          <t>채무보증</t>
        </is>
      </c>
      <c r="G45" s="7" t="inlineStr">
        <is>
          <t>성명</t>
        </is>
      </c>
      <c r="H45" s="5" t="n">
        <v>21000000000</v>
      </c>
      <c r="I45" s="13" t="n">
        <v>40.92</v>
      </c>
      <c r="J45" s="2" t="inlineStr">
        <is>
          <t>2025-05-29</t>
        </is>
      </c>
      <c r="K45" s="2" t="inlineStr">
        <is>
          <t>2026-09-29</t>
        </is>
      </c>
      <c r="L45" s="7" t="inlineStr">
        <is>
          <t>-</t>
        </is>
      </c>
      <c r="M45" s="2" t="inlineStr">
        <is>
          <t>20260520900706</t>
        </is>
      </c>
      <c r="N45" s="8">
        <f>HYPERLINK("https://dart.fss.or.kr/dsaf001/main.do?rcpNo=20260520900706", "공시열람")</f>
        <v/>
      </c>
    </row>
    <row r="46" ht="36" customHeight="1">
      <c r="A46" s="2" t="inlineStr">
        <is>
          <t>2026-05-20 (정정: 2026-05-20)</t>
        </is>
      </c>
      <c r="B46" s="3" t="inlineStr">
        <is>
          <t>국제약품</t>
        </is>
      </c>
      <c r="C46" s="2" t="inlineStr">
        <is>
          <t>코스피</t>
        </is>
      </c>
      <c r="D46" s="2" t="inlineStr">
        <is>
          <t>002720</t>
        </is>
      </c>
      <c r="E46" s="3" t="inlineStr">
        <is>
          <t xml:space="preserve">[기재정정]타인에대한채무보증결정              </t>
        </is>
      </c>
      <c r="F46" s="2" t="inlineStr">
        <is>
          <t>채무보증</t>
        </is>
      </c>
      <c r="G46" s="7" t="inlineStr">
        <is>
          <t>관계</t>
        </is>
      </c>
      <c r="H46" s="5" t="n">
        <v>30000000000</v>
      </c>
      <c r="I46" s="13" t="n">
        <v>44.26</v>
      </c>
      <c r="J46" s="2" t="inlineStr">
        <is>
          <t>2026-05-20</t>
        </is>
      </c>
      <c r="K46" s="2" t="inlineStr">
        <is>
          <t>2035-12-31</t>
        </is>
      </c>
      <c r="L46" s="7" t="inlineStr">
        <is>
          <t>-</t>
        </is>
      </c>
      <c r="M46" s="2" t="inlineStr">
        <is>
          <t>20260520800711</t>
        </is>
      </c>
      <c r="N46" s="8">
        <f>HYPERLINK("https://dart.fss.or.kr/dsaf001/main.do?rcpNo=20260520800711", "공시열람")</f>
        <v/>
      </c>
    </row>
    <row r="47" ht="36" customHeight="1">
      <c r="A47" s="2" t="inlineStr">
        <is>
          <t>2026-05-20 (정정: 2026-05-28)</t>
        </is>
      </c>
      <c r="B47" s="3" t="inlineStr">
        <is>
          <t>인지컨트롤스</t>
        </is>
      </c>
      <c r="C47" s="2" t="inlineStr">
        <is>
          <t>코스피</t>
        </is>
      </c>
      <c r="D47" s="2" t="inlineStr">
        <is>
          <t>023800</t>
        </is>
      </c>
      <c r="E47" s="3" t="inlineStr">
        <is>
          <t>[기재정정]타인에대한채무보증결정               (정정: 20260528)</t>
        </is>
      </c>
      <c r="F47" s="2" t="inlineStr">
        <is>
          <t>채무보증</t>
        </is>
      </c>
      <c r="G47" s="7" t="inlineStr">
        <is>
          <t>관계</t>
        </is>
      </c>
      <c r="H47" s="5" t="n">
        <v>18045600000</v>
      </c>
      <c r="I47" s="13" t="n">
        <v>7.47</v>
      </c>
      <c r="J47" s="2" t="inlineStr">
        <is>
          <t>2026-05-28</t>
        </is>
      </c>
      <c r="K47" s="2" t="inlineStr">
        <is>
          <t>-</t>
        </is>
      </c>
      <c r="L47" s="7" t="inlineStr">
        <is>
          <t>-</t>
        </is>
      </c>
      <c r="M47" s="2" t="inlineStr">
        <is>
          <t>20260528800598</t>
        </is>
      </c>
      <c r="N47" s="8">
        <f>HYPERLINK("https://dart.fss.or.kr/dsaf001/main.do?rcpNo=20260528800598", "공시열람")</f>
        <v/>
      </c>
    </row>
    <row r="48" ht="36" customHeight="1">
      <c r="A48" s="2" t="inlineStr">
        <is>
          <t>2026-05-20</t>
        </is>
      </c>
      <c r="B48" s="3" t="inlineStr">
        <is>
          <t>씨에스베어링</t>
        </is>
      </c>
      <c r="C48" s="2" t="inlineStr">
        <is>
          <t>코스닥</t>
        </is>
      </c>
      <c r="D48" s="2" t="inlineStr">
        <is>
          <t>297090</t>
        </is>
      </c>
      <c r="E48" s="3" t="inlineStr">
        <is>
          <t xml:space="preserve">타인에대한채무보증결정              </t>
        </is>
      </c>
      <c r="F48" s="2" t="inlineStr">
        <is>
          <t>채무보증</t>
        </is>
      </c>
      <c r="G48" s="7" t="inlineStr">
        <is>
          <t>성명</t>
        </is>
      </c>
      <c r="H48" s="5" t="n">
        <v>10827360000</v>
      </c>
      <c r="I48" s="13" t="n">
        <v>10.7</v>
      </c>
      <c r="J48" s="2" t="inlineStr">
        <is>
          <t>2026-05-21</t>
        </is>
      </c>
      <c r="K48" s="2" t="inlineStr">
        <is>
          <t>2027-05-20</t>
        </is>
      </c>
      <c r="L48" s="7" t="inlineStr">
        <is>
          <t>-</t>
        </is>
      </c>
      <c r="M48" s="2" t="inlineStr">
        <is>
          <t>20260520900621</t>
        </is>
      </c>
      <c r="N48" s="8">
        <f>HYPERLINK("https://dart.fss.or.kr/dsaf001/main.do?rcpNo=20260520900621", "공시열람")</f>
        <v/>
      </c>
    </row>
    <row r="49" ht="36" customHeight="1">
      <c r="A49" s="2" t="inlineStr">
        <is>
          <t>2026-04-28 (정정: 2026-05-20)</t>
        </is>
      </c>
      <c r="B49" s="3" t="inlineStr">
        <is>
          <t>한화솔루션</t>
        </is>
      </c>
      <c r="C49" s="2" t="inlineStr">
        <is>
          <t>코스피</t>
        </is>
      </c>
      <c r="D49" s="2" t="inlineStr">
        <is>
          <t>009830</t>
        </is>
      </c>
      <c r="E49" s="3" t="inlineStr">
        <is>
          <t xml:space="preserve">[기재정정]타인에대한채무보증결정              </t>
        </is>
      </c>
      <c r="F49" s="2" t="inlineStr">
        <is>
          <t>채무보증</t>
        </is>
      </c>
      <c r="G49" s="7" t="inlineStr">
        <is>
          <t>관계</t>
        </is>
      </c>
      <c r="H49" s="5" t="n">
        <v>515585000000</v>
      </c>
      <c r="I49" s="13" t="n">
        <v>4.61</v>
      </c>
      <c r="J49" s="2" t="inlineStr">
        <is>
          <t>2026-05-21</t>
        </is>
      </c>
      <c r="K49" s="2" t="inlineStr">
        <is>
          <t>2029-05-21</t>
        </is>
      </c>
      <c r="L49" s="7" t="inlineStr">
        <is>
          <t>-</t>
        </is>
      </c>
      <c r="M49" s="2" t="inlineStr">
        <is>
          <t>20260520800615</t>
        </is>
      </c>
      <c r="N49" s="8">
        <f>HYPERLINK("https://dart.fss.or.kr/dsaf001/main.do?rcpNo=20260520800615", "공시열람")</f>
        <v/>
      </c>
    </row>
    <row r="50" ht="36" customHeight="1">
      <c r="A50" s="2" t="inlineStr">
        <is>
          <t>2026-05-20</t>
        </is>
      </c>
      <c r="B50" s="3" t="inlineStr">
        <is>
          <t>인지컨트롤스</t>
        </is>
      </c>
      <c r="C50" s="2" t="inlineStr">
        <is>
          <t>코스피</t>
        </is>
      </c>
      <c r="D50" s="2" t="inlineStr">
        <is>
          <t>023800</t>
        </is>
      </c>
      <c r="E50" s="3" t="inlineStr">
        <is>
          <t xml:space="preserve">타인에대한채무보증결정              </t>
        </is>
      </c>
      <c r="F50" s="2" t="inlineStr">
        <is>
          <t>채무보증</t>
        </is>
      </c>
      <c r="G50" s="7" t="inlineStr">
        <is>
          <t>관계</t>
        </is>
      </c>
      <c r="H50" s="5" t="n">
        <v>18045600000</v>
      </c>
      <c r="I50" s="13" t="n">
        <v>7.47</v>
      </c>
      <c r="J50" s="2" t="inlineStr">
        <is>
          <t>-</t>
        </is>
      </c>
      <c r="K50" s="2" t="inlineStr">
        <is>
          <t>-</t>
        </is>
      </c>
      <c r="L50" s="7" t="inlineStr">
        <is>
          <t>-</t>
        </is>
      </c>
      <c r="M50" s="2" t="inlineStr">
        <is>
          <t>20260520800606</t>
        </is>
      </c>
      <c r="N50" s="8">
        <f>HYPERLINK("https://dart.fss.or.kr/dsaf001/main.do?rcpNo=20260520800606", "공시열람")</f>
        <v/>
      </c>
    </row>
    <row r="51" ht="36" customHeight="1">
      <c r="A51" s="2" t="inlineStr">
        <is>
          <t>2026-05-19 (정정: 2026-05-20)</t>
        </is>
      </c>
      <c r="B51" s="3" t="inlineStr">
        <is>
          <t>코스맥스비티아이</t>
        </is>
      </c>
      <c r="C51" s="2" t="inlineStr">
        <is>
          <t>코스피</t>
        </is>
      </c>
      <c r="D51" s="2" t="inlineStr">
        <is>
          <t>044820</t>
        </is>
      </c>
      <c r="E51" s="3" t="inlineStr">
        <is>
          <t xml:space="preserve">[기재정정]타인에대한채무보증결정(자회사의 주요경영사항)              </t>
        </is>
      </c>
      <c r="F51" s="2" t="inlineStr">
        <is>
          <t>채무보증</t>
        </is>
      </c>
      <c r="G51" s="7" t="inlineStr">
        <is>
          <t>관계</t>
        </is>
      </c>
      <c r="H51" s="5" t="n">
        <v>45102000000</v>
      </c>
      <c r="I51" s="13" t="n">
        <v>7.4</v>
      </c>
      <c r="J51" s="2" t="inlineStr">
        <is>
          <t>2026-06-05</t>
        </is>
      </c>
      <c r="K51" s="2" t="inlineStr">
        <is>
          <t>2027-06-05</t>
        </is>
      </c>
      <c r="L51" s="7" t="inlineStr">
        <is>
          <t>-</t>
        </is>
      </c>
      <c r="M51" s="2" t="inlineStr">
        <is>
          <t>20260520800567</t>
        </is>
      </c>
      <c r="N51" s="8">
        <f>HYPERLINK("https://dart.fss.or.kr/dsaf001/main.do?rcpNo=20260520800567", "공시열람")</f>
        <v/>
      </c>
    </row>
    <row r="52" ht="36" customHeight="1">
      <c r="A52" s="2" t="inlineStr">
        <is>
          <t>2026-05-19 (정정: 2026-05-20)</t>
        </is>
      </c>
      <c r="B52" s="3" t="inlineStr">
        <is>
          <t>코스맥스</t>
        </is>
      </c>
      <c r="C52" s="2" t="inlineStr">
        <is>
          <t>코스피</t>
        </is>
      </c>
      <c r="D52" s="2" t="inlineStr">
        <is>
          <t>192820</t>
        </is>
      </c>
      <c r="E52" s="3" t="inlineStr">
        <is>
          <t xml:space="preserve">[기재정정]타인에대한채무보증결정              </t>
        </is>
      </c>
      <c r="F52" s="2" t="inlineStr">
        <is>
          <t>채무보증</t>
        </is>
      </c>
      <c r="G52" s="7" t="inlineStr">
        <is>
          <t>관계</t>
        </is>
      </c>
      <c r="H52" s="5" t="n">
        <v>45102000000</v>
      </c>
      <c r="I52" s="13" t="n">
        <v>7.4</v>
      </c>
      <c r="J52" s="2" t="inlineStr">
        <is>
          <t>2026-06-05</t>
        </is>
      </c>
      <c r="K52" s="2" t="inlineStr">
        <is>
          <t>2027-06-05</t>
        </is>
      </c>
      <c r="L52" s="7" t="inlineStr">
        <is>
          <t>-</t>
        </is>
      </c>
      <c r="M52" s="2" t="inlineStr">
        <is>
          <t>20260520800546</t>
        </is>
      </c>
      <c r="N52" s="8">
        <f>HYPERLINK("https://dart.fss.or.kr/dsaf001/main.do?rcpNo=20260520800546", "공시열람")</f>
        <v/>
      </c>
    </row>
    <row r="53" ht="36" customHeight="1">
      <c r="A53" s="2" t="inlineStr">
        <is>
          <t>2026-05-20</t>
        </is>
      </c>
      <c r="B53" s="3" t="inlineStr">
        <is>
          <t>SK디앤디</t>
        </is>
      </c>
      <c r="C53" s="2" t="inlineStr">
        <is>
          <t>코스피</t>
        </is>
      </c>
      <c r="D53" s="2" t="inlineStr">
        <is>
          <t>210980</t>
        </is>
      </c>
      <c r="E53" s="3" t="inlineStr">
        <is>
          <t xml:space="preserve">타인에대한채무보증결정              </t>
        </is>
      </c>
      <c r="F53" s="2" t="inlineStr">
        <is>
          <t>채무보증</t>
        </is>
      </c>
      <c r="G53" s="7" t="inlineStr">
        <is>
          <t>관계</t>
        </is>
      </c>
      <c r="H53" s="5" t="n">
        <v>79200000000</v>
      </c>
      <c r="I53" s="13" t="n">
        <v>13.69</v>
      </c>
      <c r="J53" s="2" t="inlineStr">
        <is>
          <t>2026-06-04</t>
        </is>
      </c>
      <c r="K53" s="2" t="inlineStr">
        <is>
          <t>2028-06-05</t>
        </is>
      </c>
      <c r="L53" s="7" t="inlineStr">
        <is>
          <t>-</t>
        </is>
      </c>
      <c r="M53" s="2" t="inlineStr">
        <is>
          <t>20260520800359</t>
        </is>
      </c>
      <c r="N53" s="8">
        <f>HYPERLINK("https://dart.fss.or.kr/dsaf001/main.do?rcpNo=20260520800359", "공시열람")</f>
        <v/>
      </c>
    </row>
    <row r="54" ht="36" customHeight="1">
      <c r="A54" s="2" t="inlineStr">
        <is>
          <t>2026-05-20</t>
        </is>
      </c>
      <c r="B54" s="3" t="inlineStr">
        <is>
          <t>예림당</t>
        </is>
      </c>
      <c r="C54" s="2" t="inlineStr">
        <is>
          <t>코스닥</t>
        </is>
      </c>
      <c r="D54" s="2" t="inlineStr">
        <is>
          <t>036000</t>
        </is>
      </c>
      <c r="E54" s="3" t="inlineStr">
        <is>
          <t xml:space="preserve">금전대여결정              </t>
        </is>
      </c>
      <c r="F54" s="2" t="inlineStr">
        <is>
          <t>금전대여</t>
        </is>
      </c>
      <c r="G54" s="7" t="inlineStr">
        <is>
          <t>-</t>
        </is>
      </c>
      <c r="H54" s="5" t="n">
        <v>16000000000</v>
      </c>
      <c r="I54" s="13" t="n">
        <v>6.25</v>
      </c>
      <c r="J54" s="2" t="inlineStr">
        <is>
          <t>2026-05-21</t>
        </is>
      </c>
      <c r="K54" s="2" t="inlineStr">
        <is>
          <t>2029-11-20</t>
        </is>
      </c>
      <c r="L54" s="7" t="inlineStr">
        <is>
          <t>이자수익 목적</t>
        </is>
      </c>
      <c r="M54" s="2" t="inlineStr">
        <is>
          <t>20260520900270</t>
        </is>
      </c>
      <c r="N54" s="8">
        <f>HYPERLINK("https://dart.fss.or.kr/dsaf001/main.do?rcpNo=20260520900270", "공시열람")</f>
        <v/>
      </c>
    </row>
    <row r="55" ht="36" customHeight="1">
      <c r="A55" s="2" t="inlineStr">
        <is>
          <t>2023-05-30 (정정: 2026-05-20)</t>
        </is>
      </c>
      <c r="B55" s="3" t="inlineStr">
        <is>
          <t>신성델타테크</t>
        </is>
      </c>
      <c r="C55" s="2" t="inlineStr">
        <is>
          <t>코스닥</t>
        </is>
      </c>
      <c r="D55" s="2" t="inlineStr">
        <is>
          <t>065350</t>
        </is>
      </c>
      <c r="E55" s="3" t="inlineStr">
        <is>
          <t xml:space="preserve">[기재정정]타인에대한채무보증결정              </t>
        </is>
      </c>
      <c r="F55" s="2" t="inlineStr">
        <is>
          <t>채무보증</t>
        </is>
      </c>
      <c r="G55" s="7" t="inlineStr">
        <is>
          <t>성명</t>
        </is>
      </c>
      <c r="H55" s="5" t="n">
        <v>20645040000</v>
      </c>
      <c r="I55" s="13" t="n">
        <v>9.6</v>
      </c>
      <c r="J55" s="2" t="inlineStr">
        <is>
          <t>2023-05-31</t>
        </is>
      </c>
      <c r="K55" s="2" t="inlineStr">
        <is>
          <t>2027-05-31</t>
        </is>
      </c>
      <c r="L55" s="7" t="inlineStr">
        <is>
          <t>-</t>
        </is>
      </c>
      <c r="M55" s="2" t="inlineStr">
        <is>
          <t>20260520900194</t>
        </is>
      </c>
      <c r="N55" s="8">
        <f>HYPERLINK("https://dart.fss.or.kr/dsaf001/main.do?rcpNo=20260520900194", "공시열람")</f>
        <v/>
      </c>
    </row>
    <row r="56" ht="36" customHeight="1">
      <c r="A56" s="2" t="inlineStr">
        <is>
          <t>2026-04-24 (정정: 2026-05-21)</t>
        </is>
      </c>
      <c r="B56" s="3" t="inlineStr">
        <is>
          <t>효성</t>
        </is>
      </c>
      <c r="C56" s="2" t="inlineStr">
        <is>
          <t>코스피</t>
        </is>
      </c>
      <c r="D56" s="2" t="inlineStr">
        <is>
          <t>004800</t>
        </is>
      </c>
      <c r="E56" s="3" t="inlineStr">
        <is>
          <t xml:space="preserve">[기재정정]타인에대한채무보증결정              </t>
        </is>
      </c>
      <c r="F56" s="2" t="inlineStr">
        <is>
          <t>채무보증</t>
        </is>
      </c>
      <c r="G56" s="7" t="inlineStr">
        <is>
          <t>관계</t>
        </is>
      </c>
      <c r="H56" s="5" t="n">
        <v>200000000000</v>
      </c>
      <c r="I56" s="13" t="n">
        <v>7</v>
      </c>
      <c r="J56" s="2" t="inlineStr">
        <is>
          <t>2026-05-22</t>
        </is>
      </c>
      <c r="K56" s="2" t="inlineStr">
        <is>
          <t>2056-05-22</t>
        </is>
      </c>
      <c r="L56" s="7" t="inlineStr">
        <is>
          <t>-</t>
        </is>
      </c>
      <c r="M56" s="2" t="inlineStr">
        <is>
          <t>20260521800854</t>
        </is>
      </c>
      <c r="N56" s="8">
        <f>HYPERLINK("https://dart.fss.or.kr/dsaf001/main.do?rcpNo=20260521800854", "공시열람")</f>
        <v/>
      </c>
    </row>
    <row r="57" ht="36" customHeight="1">
      <c r="A57" s="2" t="inlineStr">
        <is>
          <t>2026-05-21</t>
        </is>
      </c>
      <c r="B57" s="3" t="inlineStr">
        <is>
          <t>서희건설</t>
        </is>
      </c>
      <c r="C57" s="2" t="inlineStr">
        <is>
          <t>코스닥</t>
        </is>
      </c>
      <c r="D57" s="2" t="inlineStr">
        <is>
          <t>035890</t>
        </is>
      </c>
      <c r="E57" s="3" t="inlineStr">
        <is>
          <t xml:space="preserve">타인에대한채무보증결정              </t>
        </is>
      </c>
      <c r="F57" s="2" t="inlineStr">
        <is>
          <t>채무보증</t>
        </is>
      </c>
      <c r="G57" s="7" t="inlineStr">
        <is>
          <t>관계</t>
        </is>
      </c>
      <c r="H57" s="5" t="n">
        <v>108000000000</v>
      </c>
      <c r="I57" s="13" t="n">
        <v>9.949999999999999</v>
      </c>
      <c r="J57" s="2" t="inlineStr">
        <is>
          <t>2026-05-22</t>
        </is>
      </c>
      <c r="K57" s="2" t="inlineStr">
        <is>
          <t>2028-05-22</t>
        </is>
      </c>
      <c r="L57" s="7" t="inlineStr">
        <is>
          <t>-</t>
        </is>
      </c>
      <c r="M57" s="2" t="inlineStr">
        <is>
          <t>20260521900678</t>
        </is>
      </c>
      <c r="N57" s="8">
        <f>HYPERLINK("https://dart.fss.or.kr/dsaf001/main.do?rcpNo=20260521900678", "공시열람")</f>
        <v/>
      </c>
    </row>
    <row r="58" ht="36" customHeight="1">
      <c r="A58" s="2" t="inlineStr">
        <is>
          <t>2026-05-21 (정정: 2026-05-21)</t>
        </is>
      </c>
      <c r="B58" s="3" t="inlineStr">
        <is>
          <t>SK</t>
        </is>
      </c>
      <c r="C58" s="2" t="inlineStr">
        <is>
          <t>코스피</t>
        </is>
      </c>
      <c r="D58" s="2" t="inlineStr">
        <is>
          <t>034730</t>
        </is>
      </c>
      <c r="E58" s="3" t="inlineStr">
        <is>
          <t>[기재정정]타인에대한채무보증결정(자회사의 주요경영사항)               (정정: 20260521)</t>
        </is>
      </c>
      <c r="F58" s="2" t="inlineStr">
        <is>
          <t>채무보증</t>
        </is>
      </c>
      <c r="G58" s="7" t="inlineStr">
        <is>
          <t>관계</t>
        </is>
      </c>
      <c r="H58" s="5" t="n">
        <v>6121094000000</v>
      </c>
      <c r="I58" s="13" t="n">
        <v>15.18</v>
      </c>
      <c r="J58" s="2" t="inlineStr">
        <is>
          <t>2024-12-13</t>
        </is>
      </c>
      <c r="K58" s="2" t="inlineStr">
        <is>
          <t>계약의무 이행 보증</t>
        </is>
      </c>
      <c r="L58" s="7" t="inlineStr">
        <is>
          <t>-</t>
        </is>
      </c>
      <c r="M58" s="2" t="inlineStr">
        <is>
          <t>20260521800610</t>
        </is>
      </c>
      <c r="N58" s="8">
        <f>HYPERLINK("https://dart.fss.or.kr/dsaf001/main.do?rcpNo=20260521800610", "공시열람")</f>
        <v/>
      </c>
    </row>
    <row r="59" ht="36" customHeight="1">
      <c r="A59" s="2" t="inlineStr">
        <is>
          <t>2026-05-21 (정정: 2026-05-21)</t>
        </is>
      </c>
      <c r="B59" s="3" t="inlineStr">
        <is>
          <t>SK이노베이션</t>
        </is>
      </c>
      <c r="C59" s="2" t="inlineStr">
        <is>
          <t>코스피</t>
        </is>
      </c>
      <c r="D59" s="2" t="inlineStr">
        <is>
          <t>096770</t>
        </is>
      </c>
      <c r="E59" s="3" t="inlineStr">
        <is>
          <t>[기재정정]타인에대한채무보증결정(자회사의 주요경영사항)               (정정: 20260521)</t>
        </is>
      </c>
      <c r="F59" s="2" t="inlineStr">
        <is>
          <t>채무보증</t>
        </is>
      </c>
      <c r="G59" s="7" t="inlineStr">
        <is>
          <t>관계</t>
        </is>
      </c>
      <c r="H59" s="5" t="n">
        <v>6121094000000</v>
      </c>
      <c r="I59" s="13" t="n">
        <v>15.18</v>
      </c>
      <c r="J59" s="2" t="inlineStr">
        <is>
          <t>2024-12-13</t>
        </is>
      </c>
      <c r="K59" s="2" t="inlineStr">
        <is>
          <t>계약의무 이행 보증</t>
        </is>
      </c>
      <c r="L59" s="7" t="inlineStr">
        <is>
          <t>-</t>
        </is>
      </c>
      <c r="M59" s="2" t="inlineStr">
        <is>
          <t>20260521800609</t>
        </is>
      </c>
      <c r="N59" s="8">
        <f>HYPERLINK("https://dart.fss.or.kr/dsaf001/main.do?rcpNo=20260521800609", "공시열람")</f>
        <v/>
      </c>
    </row>
    <row r="60" ht="36" customHeight="1">
      <c r="A60" s="2" t="inlineStr">
        <is>
          <t>2026-05-22 (정정: 2026-05-22)</t>
        </is>
      </c>
      <c r="B60" s="3" t="inlineStr">
        <is>
          <t>SK디스커버리</t>
        </is>
      </c>
      <c r="C60" s="2" t="inlineStr">
        <is>
          <t>코스피</t>
        </is>
      </c>
      <c r="D60" s="2" t="inlineStr">
        <is>
          <t>006120</t>
        </is>
      </c>
      <c r="E60" s="3" t="inlineStr">
        <is>
          <t xml:space="preserve">[기재정정]타인에대한채무보증결정(자회사의 주요경영사항)              </t>
        </is>
      </c>
      <c r="F60" s="2" t="inlineStr">
        <is>
          <t>채무보증</t>
        </is>
      </c>
      <c r="G60" s="7" t="inlineStr">
        <is>
          <t>관계</t>
        </is>
      </c>
      <c r="H60" s="5" t="n">
        <v>781820000000</v>
      </c>
      <c r="I60" s="13" t="n">
        <v>24.86</v>
      </c>
      <c r="J60" s="2" t="inlineStr">
        <is>
          <t>2026-06-06</t>
        </is>
      </c>
      <c r="K60" s="2" t="inlineStr">
        <is>
          <t>2027-06-06</t>
        </is>
      </c>
      <c r="L60" s="7" t="inlineStr">
        <is>
          <t>-</t>
        </is>
      </c>
      <c r="M60" s="2" t="inlineStr">
        <is>
          <t>20260522800852</t>
        </is>
      </c>
      <c r="N60" s="8">
        <f>HYPERLINK("https://dart.fss.or.kr/dsaf001/main.do?rcpNo=20260522800852", "공시열람")</f>
        <v/>
      </c>
    </row>
    <row r="61" ht="36" customHeight="1">
      <c r="A61" s="2" t="inlineStr">
        <is>
          <t>2026-05-22 (정정: 2026-05-22)</t>
        </is>
      </c>
      <c r="B61" s="3" t="inlineStr">
        <is>
          <t>SK가스</t>
        </is>
      </c>
      <c r="C61" s="2" t="inlineStr">
        <is>
          <t>코스피</t>
        </is>
      </c>
      <c r="D61" s="2" t="inlineStr">
        <is>
          <t>018670</t>
        </is>
      </c>
      <c r="E61" s="3" t="inlineStr">
        <is>
          <t xml:space="preserve">[기재정정]타인에대한채무보증결정              </t>
        </is>
      </c>
      <c r="F61" s="2" t="inlineStr">
        <is>
          <t>채무보증</t>
        </is>
      </c>
      <c r="G61" s="7" t="inlineStr">
        <is>
          <t>관계</t>
        </is>
      </c>
      <c r="H61" s="5" t="n">
        <v>781820000000</v>
      </c>
      <c r="I61" s="13" t="n">
        <v>24.86</v>
      </c>
      <c r="J61" s="2" t="inlineStr">
        <is>
          <t>2026-06-06</t>
        </is>
      </c>
      <c r="K61" s="2" t="inlineStr">
        <is>
          <t>2027-06-06</t>
        </is>
      </c>
      <c r="L61" s="7" t="inlineStr">
        <is>
          <t>-</t>
        </is>
      </c>
      <c r="M61" s="2" t="inlineStr">
        <is>
          <t>20260522800851</t>
        </is>
      </c>
      <c r="N61" s="8">
        <f>HYPERLINK("https://dart.fss.or.kr/dsaf001/main.do?rcpNo=20260522800851", "공시열람")</f>
        <v/>
      </c>
    </row>
    <row r="62" ht="36" customHeight="1">
      <c r="A62" s="2" t="inlineStr">
        <is>
          <t>2026-05-22</t>
        </is>
      </c>
      <c r="B62" s="3" t="inlineStr">
        <is>
          <t>롯데에너지머티리얼즈</t>
        </is>
      </c>
      <c r="C62" s="2" t="inlineStr">
        <is>
          <t>코스피</t>
        </is>
      </c>
      <c r="D62" s="2" t="inlineStr">
        <is>
          <t>020150</t>
        </is>
      </c>
      <c r="E62" s="3" t="inlineStr">
        <is>
          <t xml:space="preserve">타인에대한채무보증결정              </t>
        </is>
      </c>
      <c r="F62" s="2" t="inlineStr">
        <is>
          <t>채무보증</t>
        </is>
      </c>
      <c r="G62" s="7" t="inlineStr">
        <is>
          <t>관계</t>
        </is>
      </c>
      <c r="H62" s="5" t="n">
        <v>105245000000</v>
      </c>
      <c r="I62" s="13" t="n">
        <v>5.87</v>
      </c>
      <c r="J62" s="2" t="inlineStr">
        <is>
          <t>2026-05-22</t>
        </is>
      </c>
      <c r="K62" s="2" t="inlineStr">
        <is>
          <t>-</t>
        </is>
      </c>
      <c r="L62" s="7" t="inlineStr">
        <is>
          <t>-</t>
        </is>
      </c>
      <c r="M62" s="2" t="inlineStr">
        <is>
          <t>20260522800759</t>
        </is>
      </c>
      <c r="N62" s="8">
        <f>HYPERLINK("https://dart.fss.or.kr/dsaf001/main.do?rcpNo=20260522800759", "공시열람")</f>
        <v/>
      </c>
    </row>
    <row r="63" ht="36" customHeight="1">
      <c r="A63" s="2" t="inlineStr">
        <is>
          <t>2026-04-30 (정정: 2026-05-22)</t>
        </is>
      </c>
      <c r="B63" s="3" t="inlineStr">
        <is>
          <t>LX홀딩스</t>
        </is>
      </c>
      <c r="C63" s="2" t="inlineStr">
        <is>
          <t>코스피</t>
        </is>
      </c>
      <c r="D63" s="2" t="inlineStr">
        <is>
          <t>383800</t>
        </is>
      </c>
      <c r="E63" s="3" t="inlineStr">
        <is>
          <t xml:space="preserve">[기재정정]타인에대한채무보증결정(자회사의 주요경영사항)              </t>
        </is>
      </c>
      <c r="F63" s="2" t="inlineStr">
        <is>
          <t>채무보증</t>
        </is>
      </c>
      <c r="G63" s="7" t="inlineStr">
        <is>
          <t>관계</t>
        </is>
      </c>
      <c r="H63" s="5" t="n">
        <v>53139600000</v>
      </c>
      <c r="I63" s="13" t="n">
        <v>6.37</v>
      </c>
      <c r="J63" s="2" t="inlineStr">
        <is>
          <t>2026-05-22</t>
        </is>
      </c>
      <c r="K63" s="2" t="inlineStr">
        <is>
          <t>2027-05-24</t>
        </is>
      </c>
      <c r="L63" s="7" t="inlineStr">
        <is>
          <t>-</t>
        </is>
      </c>
      <c r="M63" s="2" t="inlineStr">
        <is>
          <t>20260522800456</t>
        </is>
      </c>
      <c r="N63" s="8">
        <f>HYPERLINK("https://dart.fss.or.kr/dsaf001/main.do?rcpNo=20260522800456", "공시열람")</f>
        <v/>
      </c>
    </row>
    <row r="64" ht="36" customHeight="1">
      <c r="A64" s="2" t="inlineStr">
        <is>
          <t>2026-05-22 (정정: 2026-06-12)</t>
        </is>
      </c>
      <c r="B64" s="3" t="inlineStr">
        <is>
          <t>SK디스커버리</t>
        </is>
      </c>
      <c r="C64" s="2" t="inlineStr">
        <is>
          <t>코스피</t>
        </is>
      </c>
      <c r="D64" s="2" t="inlineStr">
        <is>
          <t>006120</t>
        </is>
      </c>
      <c r="E64" s="3" t="inlineStr">
        <is>
          <t>타인에대한채무보증결정(자회사의 주요경영사항)               (정정: 20260612)</t>
        </is>
      </c>
      <c r="F64" s="2" t="inlineStr">
        <is>
          <t>채무보증</t>
        </is>
      </c>
      <c r="G64" s="7" t="inlineStr">
        <is>
          <t>관계</t>
        </is>
      </c>
      <c r="H64" s="5" t="n">
        <v>431852400000</v>
      </c>
      <c r="I64" s="13" t="n">
        <v>67.56</v>
      </c>
      <c r="J64" s="2" t="inlineStr">
        <is>
          <t>-</t>
        </is>
      </c>
      <c r="K64" s="2" t="inlineStr">
        <is>
          <t>2026-06-26</t>
        </is>
      </c>
      <c r="L64" s="7" t="inlineStr">
        <is>
          <t>-</t>
        </is>
      </c>
      <c r="M64" s="2" t="inlineStr">
        <is>
          <t>20260612800331</t>
        </is>
      </c>
      <c r="N64" s="8">
        <f>HYPERLINK("https://dart.fss.or.kr/dsaf001/main.do?rcpNo=20260612800331", "공시열람")</f>
        <v/>
      </c>
    </row>
    <row r="65" ht="36" customHeight="1">
      <c r="A65" s="2" t="inlineStr">
        <is>
          <t>2026-04-30 (정정: 2026-05-22)</t>
        </is>
      </c>
      <c r="B65" s="3" t="inlineStr">
        <is>
          <t>LX하우시스</t>
        </is>
      </c>
      <c r="C65" s="2" t="inlineStr">
        <is>
          <t>코스피</t>
        </is>
      </c>
      <c r="D65" s="2" t="inlineStr">
        <is>
          <t>108670</t>
        </is>
      </c>
      <c r="E65" s="3" t="inlineStr">
        <is>
          <t xml:space="preserve">[기재정정]타인에대한채무보증결정              </t>
        </is>
      </c>
      <c r="F65" s="2" t="inlineStr">
        <is>
          <t>채무보증</t>
        </is>
      </c>
      <c r="G65" s="7" t="inlineStr">
        <is>
          <t>관계</t>
        </is>
      </c>
      <c r="H65" s="5" t="n">
        <v>53139600000</v>
      </c>
      <c r="I65" s="13" t="n">
        <v>6.37</v>
      </c>
      <c r="J65" s="2" t="inlineStr">
        <is>
          <t>2026-05-22</t>
        </is>
      </c>
      <c r="K65" s="2" t="inlineStr">
        <is>
          <t>2027-05-24</t>
        </is>
      </c>
      <c r="L65" s="7" t="inlineStr">
        <is>
          <t>-</t>
        </is>
      </c>
      <c r="M65" s="2" t="inlineStr">
        <is>
          <t>20260522800455</t>
        </is>
      </c>
      <c r="N65" s="8">
        <f>HYPERLINK("https://dart.fss.or.kr/dsaf001/main.do?rcpNo=20260522800455", "공시열람")</f>
        <v/>
      </c>
    </row>
    <row r="66" ht="36" customHeight="1">
      <c r="A66" s="2" t="inlineStr">
        <is>
          <t>2026-05-22</t>
        </is>
      </c>
      <c r="B66" s="3" t="inlineStr">
        <is>
          <t>SK가스</t>
        </is>
      </c>
      <c r="C66" s="2" t="inlineStr">
        <is>
          <t>코스피</t>
        </is>
      </c>
      <c r="D66" s="2" t="inlineStr">
        <is>
          <t>018670</t>
        </is>
      </c>
      <c r="E66" s="3" t="inlineStr">
        <is>
          <t xml:space="preserve">타인에대한채무보증결정              </t>
        </is>
      </c>
      <c r="F66" s="2" t="inlineStr">
        <is>
          <t>채무보증</t>
        </is>
      </c>
      <c r="G66" s="7" t="inlineStr">
        <is>
          <t>관계</t>
        </is>
      </c>
      <c r="H66" s="5" t="n">
        <v>781820000000</v>
      </c>
      <c r="I66" s="13" t="n">
        <v>24.86</v>
      </c>
      <c r="J66" s="2" t="inlineStr">
        <is>
          <t>2026-06-07</t>
        </is>
      </c>
      <c r="K66" s="2" t="inlineStr">
        <is>
          <t>2027-06-06</t>
        </is>
      </c>
      <c r="L66" s="7" t="inlineStr">
        <is>
          <t>-</t>
        </is>
      </c>
      <c r="M66" s="2" t="inlineStr">
        <is>
          <t>20260522800442</t>
        </is>
      </c>
      <c r="N66" s="8">
        <f>HYPERLINK("https://dart.fss.or.kr/dsaf001/main.do?rcpNo=20260522800442", "공시열람")</f>
        <v/>
      </c>
    </row>
    <row r="67" ht="36" customHeight="1">
      <c r="A67" s="2" t="inlineStr">
        <is>
          <t>2026-05-22</t>
        </is>
      </c>
      <c r="B67" s="3" t="inlineStr">
        <is>
          <t>DN오토모티브</t>
        </is>
      </c>
      <c r="C67" s="2" t="inlineStr">
        <is>
          <t>코스피</t>
        </is>
      </c>
      <c r="D67" s="2" t="inlineStr">
        <is>
          <t>007340</t>
        </is>
      </c>
      <c r="E67" s="3" t="inlineStr">
        <is>
          <t xml:space="preserve">타인에대한채무보증결정              </t>
        </is>
      </c>
      <c r="F67" s="2" t="inlineStr">
        <is>
          <t>채무보증</t>
        </is>
      </c>
      <c r="G67" s="7" t="inlineStr">
        <is>
          <t>관계</t>
        </is>
      </c>
      <c r="H67" s="5" t="n">
        <v>63147000000</v>
      </c>
      <c r="I67" s="13" t="n">
        <v>2.58</v>
      </c>
      <c r="J67" s="2" t="inlineStr">
        <is>
          <t>2026-05-24</t>
        </is>
      </c>
      <c r="K67" s="2" t="inlineStr">
        <is>
          <t>2027-05-24</t>
        </is>
      </c>
      <c r="L67" s="7" t="inlineStr">
        <is>
          <t>-</t>
        </is>
      </c>
      <c r="M67" s="2" t="inlineStr">
        <is>
          <t>20260522800268</t>
        </is>
      </c>
      <c r="N67" s="8">
        <f>HYPERLINK("https://dart.fss.or.kr/dsaf001/main.do?rcpNo=20260522800268", "공시열람")</f>
        <v/>
      </c>
    </row>
    <row r="68" ht="36" customHeight="1">
      <c r="A68" s="2" t="inlineStr">
        <is>
          <t>2026-05-26</t>
        </is>
      </c>
      <c r="B68" s="3" t="inlineStr">
        <is>
          <t>세원물산</t>
        </is>
      </c>
      <c r="C68" s="2" t="inlineStr">
        <is>
          <t>코스닥</t>
        </is>
      </c>
      <c r="D68" s="2" t="inlineStr">
        <is>
          <t>024830</t>
        </is>
      </c>
      <c r="E68" s="3" t="inlineStr">
        <is>
          <t xml:space="preserve">타인에대한담보제공결정              </t>
        </is>
      </c>
      <c r="F68" s="2" t="inlineStr">
        <is>
          <t>기타</t>
        </is>
      </c>
      <c r="G68" s="7" t="inlineStr">
        <is>
          <t>-</t>
        </is>
      </c>
      <c r="H68" s="5" t="inlineStr"/>
      <c r="I68" s="3" t="inlineStr"/>
      <c r="J68" s="2" t="inlineStr">
        <is>
          <t>-</t>
        </is>
      </c>
      <c r="K68" s="2" t="inlineStr">
        <is>
          <t>-</t>
        </is>
      </c>
      <c r="L68" s="7" t="inlineStr">
        <is>
          <t>-</t>
        </is>
      </c>
      <c r="M68" s="2" t="inlineStr">
        <is>
          <t>20260526900745</t>
        </is>
      </c>
      <c r="N68" s="8">
        <f>HYPERLINK("https://dart.fss.or.kr/dsaf001/main.do?rcpNo=20260526900745", "공시열람")</f>
        <v/>
      </c>
    </row>
    <row r="69" ht="36" customHeight="1">
      <c r="A69" s="2" t="inlineStr">
        <is>
          <t>2026-05-26</t>
        </is>
      </c>
      <c r="B69" s="3" t="inlineStr">
        <is>
          <t>리튬포어스</t>
        </is>
      </c>
      <c r="C69" s="2" t="inlineStr">
        <is>
          <t>코스닥</t>
        </is>
      </c>
      <c r="D69" s="2" t="inlineStr">
        <is>
          <t>073570</t>
        </is>
      </c>
      <c r="E69" s="3" t="inlineStr">
        <is>
          <t>금전대여결정              (대여기간 연장)</t>
        </is>
      </c>
      <c r="F69" s="2" t="inlineStr">
        <is>
          <t>금전대여</t>
        </is>
      </c>
      <c r="G69" s="7" t="inlineStr">
        <is>
          <t>-</t>
        </is>
      </c>
      <c r="H69" s="5" t="n">
        <v>6200000000</v>
      </c>
      <c r="I69" s="13" t="n">
        <v>11.67</v>
      </c>
      <c r="J69" s="2" t="inlineStr">
        <is>
          <t>2025-05-27</t>
        </is>
      </c>
      <c r="K69" s="2" t="inlineStr">
        <is>
          <t>2026-11-26</t>
        </is>
      </c>
      <c r="L69" s="7" t="inlineStr">
        <is>
          <t>- 화양그랜드파크지역주택조합사업에 필요한 자금 대여 - 여유자금 대여를 통한 금융이익 확보</t>
        </is>
      </c>
      <c r="M69" s="2" t="inlineStr">
        <is>
          <t>20260526900697</t>
        </is>
      </c>
      <c r="N69" s="8">
        <f>HYPERLINK("https://dart.fss.or.kr/dsaf001/main.do?rcpNo=20260526900697", "공시열람")</f>
        <v/>
      </c>
    </row>
    <row r="70" ht="36" customHeight="1">
      <c r="A70" s="2" t="inlineStr">
        <is>
          <t>2026-05-26 (정정: 2026-05-26)</t>
        </is>
      </c>
      <c r="B70" s="3" t="inlineStr">
        <is>
          <t>탑런토탈솔루션</t>
        </is>
      </c>
      <c r="C70" s="2" t="inlineStr">
        <is>
          <t>코스닥</t>
        </is>
      </c>
      <c r="D70" s="2" t="inlineStr">
        <is>
          <t>336680</t>
        </is>
      </c>
      <c r="E70" s="3" t="inlineStr">
        <is>
          <t xml:space="preserve">[기재정정]타인에대한채무보증결정              </t>
        </is>
      </c>
      <c r="F70" s="2" t="inlineStr">
        <is>
          <t>채무보증</t>
        </is>
      </c>
      <c r="G70" s="7" t="inlineStr">
        <is>
          <t>성명</t>
        </is>
      </c>
      <c r="H70" s="5" t="n">
        <v>16635600000</v>
      </c>
      <c r="I70" s="13" t="n">
        <v>9.26</v>
      </c>
      <c r="J70" s="2" t="inlineStr">
        <is>
          <t>2025-08-31</t>
        </is>
      </c>
      <c r="K70" s="2" t="inlineStr">
        <is>
          <t>2026-05-22</t>
        </is>
      </c>
      <c r="L70" s="7" t="inlineStr">
        <is>
          <t>-</t>
        </is>
      </c>
      <c r="M70" s="2" t="inlineStr">
        <is>
          <t>20260526900563</t>
        </is>
      </c>
      <c r="N70" s="8">
        <f>HYPERLINK("https://dart.fss.or.kr/dsaf001/main.do?rcpNo=20260526900563", "공시열람")</f>
        <v/>
      </c>
    </row>
    <row r="71" ht="36" customHeight="1">
      <c r="A71" s="2" t="inlineStr">
        <is>
          <t>2026-05-26</t>
        </is>
      </c>
      <c r="B71" s="3" t="inlineStr">
        <is>
          <t>콘텐트리중앙</t>
        </is>
      </c>
      <c r="C71" s="2" t="inlineStr">
        <is>
          <t>코스피</t>
        </is>
      </c>
      <c r="D71" s="2" t="inlineStr">
        <is>
          <t>036420</t>
        </is>
      </c>
      <c r="E71" s="3" t="inlineStr">
        <is>
          <t xml:space="preserve">금전대여결정              </t>
        </is>
      </c>
      <c r="F71" s="2" t="inlineStr">
        <is>
          <t>금전대여</t>
        </is>
      </c>
      <c r="G71" s="7" t="inlineStr">
        <is>
          <t>메가박스중앙 주식회사</t>
        </is>
      </c>
      <c r="H71" s="5" t="n">
        <v>21000000000</v>
      </c>
      <c r="I71" s="13" t="n">
        <v>3.52</v>
      </c>
      <c r="J71" s="2" t="inlineStr">
        <is>
          <t>2026-05-26</t>
        </is>
      </c>
      <c r="K71" s="2" t="inlineStr">
        <is>
          <t>2027-05-25</t>
        </is>
      </c>
      <c r="L71" s="7" t="inlineStr">
        <is>
          <t>유동성 확보</t>
        </is>
      </c>
      <c r="M71" s="2" t="inlineStr">
        <is>
          <t>20260526800473</t>
        </is>
      </c>
      <c r="N71" s="8">
        <f>HYPERLINK("https://dart.fss.or.kr/dsaf001/main.do?rcpNo=20260526800473", "공시열람")</f>
        <v/>
      </c>
    </row>
    <row r="72" ht="36" customHeight="1">
      <c r="A72" s="2" t="inlineStr">
        <is>
          <t>2026-05-27</t>
        </is>
      </c>
      <c r="B72" s="3" t="inlineStr">
        <is>
          <t>STX그린로지스</t>
        </is>
      </c>
      <c r="C72" s="2" t="inlineStr">
        <is>
          <t>코스피</t>
        </is>
      </c>
      <c r="D72" s="2" t="inlineStr">
        <is>
          <t>465770</t>
        </is>
      </c>
      <c r="E72" s="3" t="inlineStr">
        <is>
          <t xml:space="preserve">타인에대한담보제공결정              </t>
        </is>
      </c>
      <c r="F72" s="2" t="inlineStr">
        <is>
          <t>기타</t>
        </is>
      </c>
      <c r="G72" s="7" t="inlineStr">
        <is>
          <t>-</t>
        </is>
      </c>
      <c r="H72" s="5" t="inlineStr"/>
      <c r="I72" s="3" t="inlineStr"/>
      <c r="J72" s="2" t="inlineStr">
        <is>
          <t>-</t>
        </is>
      </c>
      <c r="K72" s="2" t="inlineStr">
        <is>
          <t>-</t>
        </is>
      </c>
      <c r="L72" s="7" t="inlineStr">
        <is>
          <t>-</t>
        </is>
      </c>
      <c r="M72" s="2" t="inlineStr">
        <is>
          <t>20260527800854</t>
        </is>
      </c>
      <c r="N72" s="8">
        <f>HYPERLINK("https://dart.fss.or.kr/dsaf001/main.do?rcpNo=20260527800854", "공시열람")</f>
        <v/>
      </c>
    </row>
    <row r="73" ht="36" customHeight="1">
      <c r="A73" s="2" t="inlineStr">
        <is>
          <t>2026-05-27</t>
        </is>
      </c>
      <c r="B73" s="3" t="inlineStr">
        <is>
          <t>한미글로벌</t>
        </is>
      </c>
      <c r="C73" s="2" t="inlineStr">
        <is>
          <t>코스피</t>
        </is>
      </c>
      <c r="D73" s="2" t="inlineStr">
        <is>
          <t>053690</t>
        </is>
      </c>
      <c r="E73" s="3" t="inlineStr">
        <is>
          <t xml:space="preserve">타인에대한채무보증결정              </t>
        </is>
      </c>
      <c r="F73" s="2" t="inlineStr">
        <is>
          <t>채무보증</t>
        </is>
      </c>
      <c r="G73" s="7" t="inlineStr">
        <is>
          <t>관계</t>
        </is>
      </c>
      <c r="H73" s="5" t="n">
        <v>25200000000</v>
      </c>
      <c r="I73" s="13" t="n">
        <v>10.2</v>
      </c>
      <c r="J73" s="2" t="inlineStr">
        <is>
          <t>2026-06-04</t>
        </is>
      </c>
      <c r="K73" s="2" t="inlineStr">
        <is>
          <t>2028-06-30</t>
        </is>
      </c>
      <c r="L73" s="7" t="inlineStr">
        <is>
          <t>-</t>
        </is>
      </c>
      <c r="M73" s="2" t="inlineStr">
        <is>
          <t>20260527800790</t>
        </is>
      </c>
      <c r="N73" s="8">
        <f>HYPERLINK("https://dart.fss.or.kr/dsaf001/main.do?rcpNo=20260527800790", "공시열람")</f>
        <v/>
      </c>
    </row>
    <row r="74" ht="36" customHeight="1">
      <c r="A74" s="2" t="inlineStr">
        <is>
          <t>2026-05-27</t>
        </is>
      </c>
      <c r="B74" s="3" t="inlineStr">
        <is>
          <t>에스에이엠티</t>
        </is>
      </c>
      <c r="C74" s="2" t="inlineStr">
        <is>
          <t>코스닥</t>
        </is>
      </c>
      <c r="D74" s="2" t="inlineStr">
        <is>
          <t>031330</t>
        </is>
      </c>
      <c r="E74" s="3" t="inlineStr">
        <is>
          <t xml:space="preserve">금전대여결정              </t>
        </is>
      </c>
      <c r="F74" s="2" t="inlineStr">
        <is>
          <t>금전대여</t>
        </is>
      </c>
      <c r="G74" s="7" t="inlineStr">
        <is>
          <t>-</t>
        </is>
      </c>
      <c r="H74" s="5" t="n">
        <v>33173800000</v>
      </c>
      <c r="I74" s="13" t="n">
        <v>6.8</v>
      </c>
      <c r="J74" s="2" t="inlineStr">
        <is>
          <t>2026-05-27</t>
        </is>
      </c>
      <c r="K74" s="2" t="inlineStr">
        <is>
          <t>2026-07-31</t>
        </is>
      </c>
      <c r="L74" s="7" t="inlineStr">
        <is>
          <t>종속회사 SAMT SG PTE.LTD.의 물품 매입 대금 지원 목적</t>
        </is>
      </c>
      <c r="M74" s="2" t="inlineStr">
        <is>
          <t>20260527900648</t>
        </is>
      </c>
      <c r="N74" s="8">
        <f>HYPERLINK("https://dart.fss.or.kr/dsaf001/main.do?rcpNo=20260527900648", "공시열람")</f>
        <v/>
      </c>
    </row>
    <row r="75" ht="36" customHeight="1">
      <c r="A75" s="2" t="inlineStr">
        <is>
          <t>2026-05-27</t>
        </is>
      </c>
      <c r="B75" s="3" t="inlineStr">
        <is>
          <t>엘앤에프</t>
        </is>
      </c>
      <c r="C75" s="2" t="inlineStr">
        <is>
          <t>코스피</t>
        </is>
      </c>
      <c r="D75" s="2" t="inlineStr">
        <is>
          <t>066970</t>
        </is>
      </c>
      <c r="E75" s="3" t="inlineStr">
        <is>
          <t xml:space="preserve">금전대여결정              </t>
        </is>
      </c>
      <c r="F75" s="2" t="inlineStr">
        <is>
          <t>금전대여</t>
        </is>
      </c>
      <c r="G75" s="7" t="inlineStr">
        <is>
          <t>(주)엘앤에프플러스</t>
        </is>
      </c>
      <c r="H75" s="5" t="n">
        <v>30000000000</v>
      </c>
      <c r="I75" s="13" t="n">
        <v>4.43</v>
      </c>
      <c r="J75" s="2" t="inlineStr">
        <is>
          <t>2026-05-29</t>
        </is>
      </c>
      <c r="K75" s="2" t="inlineStr">
        <is>
          <t>2026-12-30</t>
        </is>
      </c>
      <c r="L75" s="7" t="inlineStr">
        <is>
          <t>시설투자 자금 대여</t>
        </is>
      </c>
      <c r="M75" s="2" t="inlineStr">
        <is>
          <t>20260527800580</t>
        </is>
      </c>
      <c r="N75" s="8">
        <f>HYPERLINK("https://dart.fss.or.kr/dsaf001/main.do?rcpNo=20260527800580", "공시열람")</f>
        <v/>
      </c>
    </row>
    <row r="76" ht="36" customHeight="1">
      <c r="A76" s="2" t="inlineStr">
        <is>
          <t>2026-05-27</t>
        </is>
      </c>
      <c r="B76" s="3" t="inlineStr">
        <is>
          <t>GS건설</t>
        </is>
      </c>
      <c r="C76" s="2" t="inlineStr">
        <is>
          <t>코스피</t>
        </is>
      </c>
      <c r="D76" s="2" t="inlineStr">
        <is>
          <t>006360</t>
        </is>
      </c>
      <c r="E76" s="3" t="inlineStr">
        <is>
          <t xml:space="preserve">타인에대한채무보증결정              </t>
        </is>
      </c>
      <c r="F76" s="2" t="inlineStr">
        <is>
          <t>채무보증</t>
        </is>
      </c>
      <c r="G76" s="7" t="inlineStr">
        <is>
          <t>관계</t>
        </is>
      </c>
      <c r="H76" s="5" t="n">
        <v>482400000000</v>
      </c>
      <c r="I76" s="13" t="n">
        <v>8.73</v>
      </c>
      <c r="J76" s="2" t="inlineStr">
        <is>
          <t>2026-05-31</t>
        </is>
      </c>
      <c r="K76" s="2" t="inlineStr">
        <is>
          <t>2026-08-31</t>
        </is>
      </c>
      <c r="L76" s="7" t="inlineStr">
        <is>
          <t>-</t>
        </is>
      </c>
      <c r="M76" s="2" t="inlineStr">
        <is>
          <t>20260527800370</t>
        </is>
      </c>
      <c r="N76" s="8">
        <f>HYPERLINK("https://dart.fss.or.kr/dsaf001/main.do?rcpNo=20260527800370", "공시열람")</f>
        <v/>
      </c>
    </row>
    <row r="77" ht="36" customHeight="1">
      <c r="A77" s="2" t="inlineStr">
        <is>
          <t>2026-05-27</t>
        </is>
      </c>
      <c r="B77" s="3" t="inlineStr">
        <is>
          <t>엑스플러스</t>
        </is>
      </c>
      <c r="C77" s="2" t="inlineStr">
        <is>
          <t>코스닥</t>
        </is>
      </c>
      <c r="D77" s="2" t="inlineStr">
        <is>
          <t>373200</t>
        </is>
      </c>
      <c r="E77" s="3" t="inlineStr">
        <is>
          <t xml:space="preserve">금전대여결정              </t>
        </is>
      </c>
      <c r="F77" s="2" t="inlineStr">
        <is>
          <t>금전대여</t>
        </is>
      </c>
      <c r="G77" s="7" t="inlineStr">
        <is>
          <t>-</t>
        </is>
      </c>
      <c r="H77" s="5" t="n">
        <v>4000000000</v>
      </c>
      <c r="I77" s="13" t="n">
        <v>19.33</v>
      </c>
      <c r="J77" s="2" t="inlineStr">
        <is>
          <t>2026-04-30</t>
        </is>
      </c>
      <c r="K77" s="2" t="inlineStr">
        <is>
          <t>2027-04-29</t>
        </is>
      </c>
      <c r="L77" s="7" t="inlineStr">
        <is>
          <t>운영자금 대여</t>
        </is>
      </c>
      <c r="M77" s="2" t="inlineStr">
        <is>
          <t>20260527900301</t>
        </is>
      </c>
      <c r="N77" s="8">
        <f>HYPERLINK("https://dart.fss.or.kr/dsaf001/main.do?rcpNo=20260527900301", "공시열람")</f>
        <v/>
      </c>
    </row>
    <row r="78" ht="36" customHeight="1">
      <c r="A78" s="2" t="inlineStr">
        <is>
          <t>2026-05-28 (정정: 2026-06-25)</t>
        </is>
      </c>
      <c r="B78" s="3" t="inlineStr">
        <is>
          <t>DMS</t>
        </is>
      </c>
      <c r="C78" s="2" t="inlineStr">
        <is>
          <t>코스닥</t>
        </is>
      </c>
      <c r="D78" s="2" t="inlineStr">
        <is>
          <t>068790</t>
        </is>
      </c>
      <c r="E78" s="3" t="inlineStr">
        <is>
          <t>[기재정정]금전대여결정               (정정: 20260625)</t>
        </is>
      </c>
      <c r="F78" s="2" t="inlineStr">
        <is>
          <t>금전대여</t>
        </is>
      </c>
      <c r="G78" s="7" t="inlineStr">
        <is>
          <t>-</t>
        </is>
      </c>
      <c r="H78" s="5" t="n">
        <v>21140000000</v>
      </c>
      <c r="I78" s="13" t="n">
        <v>5.8</v>
      </c>
      <c r="J78" s="2" t="inlineStr">
        <is>
          <t>2026-02-12</t>
        </is>
      </c>
      <c r="K78" s="2" t="inlineStr">
        <is>
          <t>2027-02-12</t>
        </is>
      </c>
      <c r="L78" s="7" t="inlineStr">
        <is>
          <t>종속회사의 현지 차입금 상환</t>
        </is>
      </c>
      <c r="M78" s="2" t="inlineStr">
        <is>
          <t>20260625900756</t>
        </is>
      </c>
      <c r="N78" s="8">
        <f>HYPERLINK("https://dart.fss.or.kr/dsaf001/main.do?rcpNo=20260625900756", "공시열람")</f>
        <v/>
      </c>
    </row>
    <row r="79" ht="36" customHeight="1">
      <c r="A79" s="2" t="inlineStr">
        <is>
          <t>2026-05-28</t>
        </is>
      </c>
      <c r="B79" s="3" t="inlineStr">
        <is>
          <t>솔루스첨단소재</t>
        </is>
      </c>
      <c r="C79" s="2" t="inlineStr">
        <is>
          <t>코스피</t>
        </is>
      </c>
      <c r="D79" s="2" t="inlineStr">
        <is>
          <t>336370</t>
        </is>
      </c>
      <c r="E79" s="3" t="inlineStr">
        <is>
          <t xml:space="preserve">타인에대한채무보증결정              </t>
        </is>
      </c>
      <c r="F79" s="2" t="inlineStr">
        <is>
          <t>채무보증</t>
        </is>
      </c>
      <c r="G79" s="7" t="inlineStr">
        <is>
          <t>관계</t>
        </is>
      </c>
      <c r="H79" s="5" t="n">
        <v>26188650000</v>
      </c>
      <c r="I79" s="13" t="n">
        <v>2.77</v>
      </c>
      <c r="J79" s="2" t="inlineStr">
        <is>
          <t>CNY 34,436,358</t>
        </is>
      </c>
      <c r="K79" s="2" t="inlineStr">
        <is>
          <t>2027-05-31</t>
        </is>
      </c>
      <c r="L79" s="7" t="inlineStr">
        <is>
          <t>-</t>
        </is>
      </c>
      <c r="M79" s="2" t="inlineStr">
        <is>
          <t>20260528800942</t>
        </is>
      </c>
      <c r="N79" s="8">
        <f>HYPERLINK("https://dart.fss.or.kr/dsaf001/main.do?rcpNo=20260528800942", "공시열람")</f>
        <v/>
      </c>
    </row>
    <row r="80" ht="36" customHeight="1">
      <c r="A80" s="2" t="inlineStr">
        <is>
          <t>2026-05-28</t>
        </is>
      </c>
      <c r="B80" s="3" t="inlineStr">
        <is>
          <t>알비더블유</t>
        </is>
      </c>
      <c r="C80" s="2" t="inlineStr">
        <is>
          <t>코스닥</t>
        </is>
      </c>
      <c r="D80" s="2" t="inlineStr">
        <is>
          <t>361570</t>
        </is>
      </c>
      <c r="E80" s="3" t="inlineStr">
        <is>
          <t xml:space="preserve">타인에대한채무보증결정              </t>
        </is>
      </c>
      <c r="F80" s="2" t="inlineStr">
        <is>
          <t>채무보증</t>
        </is>
      </c>
      <c r="G80" s="7" t="inlineStr">
        <is>
          <t>성명</t>
        </is>
      </c>
      <c r="H80" s="5" t="n">
        <v>12000000000</v>
      </c>
      <c r="I80" s="13" t="n">
        <v>17.76</v>
      </c>
      <c r="J80" s="2" t="inlineStr">
        <is>
          <t>2026-05-28</t>
        </is>
      </c>
      <c r="K80" s="2" t="inlineStr">
        <is>
          <t>2029-05-28</t>
        </is>
      </c>
      <c r="L80" s="7" t="inlineStr">
        <is>
          <t>-</t>
        </is>
      </c>
      <c r="M80" s="2" t="inlineStr">
        <is>
          <t>20260528900856</t>
        </is>
      </c>
      <c r="N80" s="8">
        <f>HYPERLINK("https://dart.fss.or.kr/dsaf001/main.do?rcpNo=20260528900856", "공시열람")</f>
        <v/>
      </c>
    </row>
    <row r="81" ht="36" customHeight="1">
      <c r="A81" s="2" t="inlineStr">
        <is>
          <t>2026-05-28</t>
        </is>
      </c>
      <c r="B81" s="3" t="inlineStr">
        <is>
          <t>제이에스코퍼레이션</t>
        </is>
      </c>
      <c r="C81" s="2" t="inlineStr">
        <is>
          <t>코스피</t>
        </is>
      </c>
      <c r="D81" s="2" t="inlineStr">
        <is>
          <t>194370</t>
        </is>
      </c>
      <c r="E81" s="3" t="inlineStr">
        <is>
          <t xml:space="preserve">타인에대한채무보증결정(자율공시)              </t>
        </is>
      </c>
      <c r="F81" s="2" t="inlineStr">
        <is>
          <t>채무보증</t>
        </is>
      </c>
      <c r="G81" s="7" t="inlineStr">
        <is>
          <t>관계</t>
        </is>
      </c>
      <c r="H81" s="5" t="n">
        <v>15400000000</v>
      </c>
      <c r="I81" s="13" t="n">
        <v>2.92</v>
      </c>
      <c r="J81" s="2" t="inlineStr">
        <is>
          <t>2026-06-12</t>
        </is>
      </c>
      <c r="K81" s="2" t="inlineStr">
        <is>
          <t>2028-06-12</t>
        </is>
      </c>
      <c r="L81" s="7" t="inlineStr">
        <is>
          <t>-</t>
        </is>
      </c>
      <c r="M81" s="2" t="inlineStr">
        <is>
          <t>20260528800755</t>
        </is>
      </c>
      <c r="N81" s="8">
        <f>HYPERLINK("https://dart.fss.or.kr/dsaf001/main.do?rcpNo=20260528800755", "공시열람")</f>
        <v/>
      </c>
    </row>
    <row r="82" ht="36" customHeight="1">
      <c r="A82" s="2" t="inlineStr">
        <is>
          <t>2026-05-28</t>
        </is>
      </c>
      <c r="B82" s="3" t="inlineStr">
        <is>
          <t>제이에스코퍼레이션</t>
        </is>
      </c>
      <c r="C82" s="2" t="inlineStr">
        <is>
          <t>코스피</t>
        </is>
      </c>
      <c r="D82" s="2" t="inlineStr">
        <is>
          <t>194370</t>
        </is>
      </c>
      <c r="E82" s="3" t="inlineStr">
        <is>
          <t xml:space="preserve">타인에대한채무보증결정(자율공시)              </t>
        </is>
      </c>
      <c r="F82" s="2" t="inlineStr">
        <is>
          <t>채무보증</t>
        </is>
      </c>
      <c r="G82" s="7" t="inlineStr">
        <is>
          <t>관계</t>
        </is>
      </c>
      <c r="H82" s="5" t="n">
        <v>19200000000</v>
      </c>
      <c r="I82" s="13" t="n">
        <v>3.64</v>
      </c>
      <c r="J82" s="2" t="inlineStr">
        <is>
          <t>2026-06-10</t>
        </is>
      </c>
      <c r="K82" s="2" t="inlineStr">
        <is>
          <t>2027-06-10</t>
        </is>
      </c>
      <c r="L82" s="7" t="inlineStr">
        <is>
          <t>-</t>
        </is>
      </c>
      <c r="M82" s="2" t="inlineStr">
        <is>
          <t>20260528800657</t>
        </is>
      </c>
      <c r="N82" s="8">
        <f>HYPERLINK("https://dart.fss.or.kr/dsaf001/main.do?rcpNo=20260528800657", "공시열람")</f>
        <v/>
      </c>
    </row>
    <row r="83" ht="36" customHeight="1">
      <c r="A83" s="2" t="inlineStr">
        <is>
          <t>2026-05-28</t>
        </is>
      </c>
      <c r="B83" s="3" t="inlineStr">
        <is>
          <t>인성정보</t>
        </is>
      </c>
      <c r="C83" s="2" t="inlineStr">
        <is>
          <t>코스닥</t>
        </is>
      </c>
      <c r="D83" s="2" t="inlineStr">
        <is>
          <t>033230</t>
        </is>
      </c>
      <c r="E83" s="3" t="inlineStr">
        <is>
          <t xml:space="preserve">타인에대한채무보증결정              </t>
        </is>
      </c>
      <c r="F83" s="2" t="inlineStr">
        <is>
          <t>채무보증</t>
        </is>
      </c>
      <c r="G83" s="7" t="inlineStr">
        <is>
          <t>성명</t>
        </is>
      </c>
      <c r="H83" s="5" t="n">
        <v>1800000000</v>
      </c>
      <c r="I83" s="13" t="n">
        <v>2.04</v>
      </c>
      <c r="J83" s="2" t="inlineStr">
        <is>
          <t>2026-05-28</t>
        </is>
      </c>
      <c r="K83" s="2" t="inlineStr">
        <is>
          <t>2027-05-28</t>
        </is>
      </c>
      <c r="L83" s="7" t="inlineStr">
        <is>
          <t>-</t>
        </is>
      </c>
      <c r="M83" s="2" t="inlineStr">
        <is>
          <t>20260528900683</t>
        </is>
      </c>
      <c r="N83" s="8">
        <f>HYPERLINK("https://dart.fss.or.kr/dsaf001/main.do?rcpNo=20260528900683", "공시열람")</f>
        <v/>
      </c>
    </row>
    <row r="84" ht="36" customHeight="1">
      <c r="A84" s="2" t="inlineStr">
        <is>
          <t>2026-05-29</t>
        </is>
      </c>
      <c r="B84" s="3" t="inlineStr">
        <is>
          <t>HL홀딩스</t>
        </is>
      </c>
      <c r="C84" s="2" t="inlineStr">
        <is>
          <t>코스피</t>
        </is>
      </c>
      <c r="D84" s="2" t="inlineStr">
        <is>
          <t>060980</t>
        </is>
      </c>
      <c r="E84" s="3" t="inlineStr">
        <is>
          <t xml:space="preserve">타인에대한채무보증결정(자회사의 주요경영사항)              </t>
        </is>
      </c>
      <c r="F84" s="2" t="inlineStr">
        <is>
          <t>채무보증</t>
        </is>
      </c>
      <c r="G84" s="7" t="inlineStr">
        <is>
          <t>관계</t>
        </is>
      </c>
      <c r="H84" s="5" t="n">
        <v>225000000000</v>
      </c>
      <c r="I84" s="13" t="n">
        <v>39.32</v>
      </c>
      <c r="J84" s="2" t="inlineStr">
        <is>
          <t>2026-06-01</t>
        </is>
      </c>
      <c r="K84" s="2" t="inlineStr">
        <is>
          <t>2029-10-01</t>
        </is>
      </c>
      <c r="L84" s="7" t="inlineStr">
        <is>
          <t>-</t>
        </is>
      </c>
      <c r="M84" s="2" t="inlineStr">
        <is>
          <t>20260529801826</t>
        </is>
      </c>
      <c r="N84" s="8">
        <f>HYPERLINK("https://dart.fss.or.kr/dsaf001/main.do?rcpNo=20260529801826", "공시열람")</f>
        <v/>
      </c>
    </row>
    <row r="85" ht="36" customHeight="1">
      <c r="A85" s="2" t="inlineStr">
        <is>
          <t>2026-05-29</t>
        </is>
      </c>
      <c r="B85" s="3" t="inlineStr">
        <is>
          <t>인팩</t>
        </is>
      </c>
      <c r="C85" s="2" t="inlineStr">
        <is>
          <t>코스피</t>
        </is>
      </c>
      <c r="D85" s="2" t="inlineStr">
        <is>
          <t>023810</t>
        </is>
      </c>
      <c r="E85" s="3" t="inlineStr">
        <is>
          <t xml:space="preserve">금전대여결정              </t>
        </is>
      </c>
      <c r="F85" s="2" t="inlineStr">
        <is>
          <t>금전대여</t>
        </is>
      </c>
      <c r="G85" s="7" t="inlineStr">
        <is>
          <t>INFAC POLAND Sp. z o.o.</t>
        </is>
      </c>
      <c r="H85" s="5" t="n">
        <v>14035840000</v>
      </c>
      <c r="I85" s="13" t="n">
        <v>8</v>
      </c>
      <c r="J85" s="2" t="inlineStr">
        <is>
          <t>2026-06-01</t>
        </is>
      </c>
      <c r="K85" s="2" t="inlineStr">
        <is>
          <t>2029-05-31</t>
        </is>
      </c>
      <c r="L85" s="7" t="inlineStr">
        <is>
          <t>운영자금 지원</t>
        </is>
      </c>
      <c r="M85" s="2" t="inlineStr">
        <is>
          <t>20260529801861</t>
        </is>
      </c>
      <c r="N85" s="8">
        <f>HYPERLINK("https://dart.fss.or.kr/dsaf001/main.do?rcpNo=20260529801861", "공시열람")</f>
        <v/>
      </c>
    </row>
    <row r="86" ht="36" customHeight="1">
      <c r="A86" s="2" t="inlineStr">
        <is>
          <t>2026-05-29</t>
        </is>
      </c>
      <c r="B86" s="3" t="inlineStr">
        <is>
          <t>KCC건설</t>
        </is>
      </c>
      <c r="C86" s="2" t="inlineStr">
        <is>
          <t>코스닥</t>
        </is>
      </c>
      <c r="D86" s="2" t="inlineStr">
        <is>
          <t>021320</t>
        </is>
      </c>
      <c r="E86" s="3" t="inlineStr">
        <is>
          <t xml:space="preserve">타인에대한채무보증결정              </t>
        </is>
      </c>
      <c r="F86" s="2" t="inlineStr">
        <is>
          <t>채무보증</t>
        </is>
      </c>
      <c r="G86" s="7" t="inlineStr">
        <is>
          <t>성명</t>
        </is>
      </c>
      <c r="H86" s="5" t="n">
        <v>450000000000</v>
      </c>
      <c r="I86" s="13" t="n">
        <v>81.43000000000001</v>
      </c>
      <c r="J86" s="2" t="inlineStr">
        <is>
          <t>2026-06-05</t>
        </is>
      </c>
      <c r="K86" s="2" t="inlineStr">
        <is>
          <t>2030-01-05</t>
        </is>
      </c>
      <c r="L86" s="7" t="inlineStr">
        <is>
          <t>-</t>
        </is>
      </c>
      <c r="M86" s="2" t="inlineStr">
        <is>
          <t>20260529901876</t>
        </is>
      </c>
      <c r="N86" s="8">
        <f>HYPERLINK("https://dart.fss.or.kr/dsaf001/main.do?rcpNo=20260529901876", "공시열람")</f>
        <v/>
      </c>
    </row>
    <row r="87" ht="36" customHeight="1">
      <c r="A87" s="2" t="inlineStr">
        <is>
          <t>2026-05-29</t>
        </is>
      </c>
      <c r="B87" s="3" t="inlineStr">
        <is>
          <t>우리산업홀딩스</t>
        </is>
      </c>
      <c r="C87" s="2" t="inlineStr">
        <is>
          <t>코스닥</t>
        </is>
      </c>
      <c r="D87" s="2" t="inlineStr">
        <is>
          <t>072470</t>
        </is>
      </c>
      <c r="E87" s="3" t="inlineStr">
        <is>
          <t xml:space="preserve">타인에대한채무보증결정(자회사의 주요경영사항)              </t>
        </is>
      </c>
      <c r="F87" s="2" t="inlineStr">
        <is>
          <t>채무보증</t>
        </is>
      </c>
      <c r="G87" s="7" t="inlineStr">
        <is>
          <t>성명</t>
        </is>
      </c>
      <c r="H87" s="5" t="n">
        <v>15359160000</v>
      </c>
      <c r="I87" s="13" t="n">
        <v>12.4</v>
      </c>
      <c r="J87" s="2" t="inlineStr">
        <is>
          <t>2026-05-29</t>
        </is>
      </c>
      <c r="K87" s="2" t="inlineStr">
        <is>
          <t>2029-05-29</t>
        </is>
      </c>
      <c r="L87" s="7" t="inlineStr">
        <is>
          <t>-</t>
        </is>
      </c>
      <c r="M87" s="2" t="inlineStr">
        <is>
          <t>20260529901812</t>
        </is>
      </c>
      <c r="N87" s="8">
        <f>HYPERLINK("https://dart.fss.or.kr/dsaf001/main.do?rcpNo=20260529901812", "공시열람")</f>
        <v/>
      </c>
    </row>
    <row r="88" ht="36" customHeight="1">
      <c r="A88" s="2" t="inlineStr">
        <is>
          <t>2026-03-31 (정정: 2026-05-29)</t>
        </is>
      </c>
      <c r="B88" s="3" t="inlineStr">
        <is>
          <t>우리산업홀딩스</t>
        </is>
      </c>
      <c r="C88" s="2" t="inlineStr">
        <is>
          <t>코스닥</t>
        </is>
      </c>
      <c r="D88" s="2" t="inlineStr">
        <is>
          <t>072470</t>
        </is>
      </c>
      <c r="E88" s="3" t="inlineStr">
        <is>
          <t xml:space="preserve">[기재정정]금전대여결정(자회사의 주요경영사항)              </t>
        </is>
      </c>
      <c r="F88" s="2" t="inlineStr">
        <is>
          <t>금전대여</t>
        </is>
      </c>
      <c r="G88" s="7" t="inlineStr">
        <is>
          <t>-</t>
        </is>
      </c>
      <c r="H88" s="5" t="n">
        <v>6810300000</v>
      </c>
      <c r="I88" s="13" t="n">
        <v>6.08</v>
      </c>
      <c r="J88" s="2" t="inlineStr">
        <is>
          <t>2026-04-10</t>
        </is>
      </c>
      <c r="K88" s="2" t="inlineStr">
        <is>
          <t>2031-04-10</t>
        </is>
      </c>
      <c r="L88" s="7" t="inlineStr">
        <is>
          <t>시설 투자자금 대여</t>
        </is>
      </c>
      <c r="M88" s="2" t="inlineStr">
        <is>
          <t>20260529901810</t>
        </is>
      </c>
      <c r="N88" s="8">
        <f>HYPERLINK("https://dart.fss.or.kr/dsaf001/main.do?rcpNo=20260529901810", "공시열람")</f>
        <v/>
      </c>
    </row>
    <row r="89" ht="36" customHeight="1">
      <c r="A89" s="2" t="inlineStr">
        <is>
          <t>2026-05-29</t>
        </is>
      </c>
      <c r="B89" s="3" t="inlineStr">
        <is>
          <t>HL D&amp;I</t>
        </is>
      </c>
      <c r="C89" s="2" t="inlineStr">
        <is>
          <t>코스피</t>
        </is>
      </c>
      <c r="D89" s="2" t="inlineStr">
        <is>
          <t>014790</t>
        </is>
      </c>
      <c r="E89" s="3" t="inlineStr">
        <is>
          <t xml:space="preserve">타인에대한채무보증결정              </t>
        </is>
      </c>
      <c r="F89" s="2" t="inlineStr">
        <is>
          <t>채무보증</t>
        </is>
      </c>
      <c r="G89" s="7" t="inlineStr">
        <is>
          <t>관계</t>
        </is>
      </c>
      <c r="H89" s="5" t="n">
        <v>225000000000</v>
      </c>
      <c r="I89" s="13" t="n">
        <v>39.32</v>
      </c>
      <c r="J89" s="2" t="inlineStr">
        <is>
          <t>2026-06-01</t>
        </is>
      </c>
      <c r="K89" s="2" t="inlineStr">
        <is>
          <t>2029-10-01</t>
        </is>
      </c>
      <c r="L89" s="7" t="inlineStr">
        <is>
          <t>-</t>
        </is>
      </c>
      <c r="M89" s="2" t="inlineStr">
        <is>
          <t>20260529801825</t>
        </is>
      </c>
      <c r="N89" s="8">
        <f>HYPERLINK("https://dart.fss.or.kr/dsaf001/main.do?rcpNo=20260529801825", "공시열람")</f>
        <v/>
      </c>
    </row>
    <row r="90" ht="36" customHeight="1">
      <c r="A90" s="2" t="inlineStr">
        <is>
          <t>2026-05-29</t>
        </is>
      </c>
      <c r="B90" s="3" t="inlineStr">
        <is>
          <t>우리산업</t>
        </is>
      </c>
      <c r="C90" s="2" t="inlineStr">
        <is>
          <t>코스닥</t>
        </is>
      </c>
      <c r="D90" s="2" t="inlineStr">
        <is>
          <t>215360</t>
        </is>
      </c>
      <c r="E90" s="3" t="inlineStr">
        <is>
          <t xml:space="preserve">타인에대한채무보증결정              </t>
        </is>
      </c>
      <c r="F90" s="2" t="inlineStr">
        <is>
          <t>채무보증</t>
        </is>
      </c>
      <c r="G90" s="7" t="inlineStr">
        <is>
          <t>성명</t>
        </is>
      </c>
      <c r="H90" s="5" t="n">
        <v>15359160000</v>
      </c>
      <c r="I90" s="13" t="n">
        <v>12.4</v>
      </c>
      <c r="J90" s="2" t="inlineStr">
        <is>
          <t>2026-05-29</t>
        </is>
      </c>
      <c r="K90" s="2" t="inlineStr">
        <is>
          <t>2029-05-29</t>
        </is>
      </c>
      <c r="L90" s="7" t="inlineStr">
        <is>
          <t>-</t>
        </is>
      </c>
      <c r="M90" s="2" t="inlineStr">
        <is>
          <t>20260529901811</t>
        </is>
      </c>
      <c r="N90" s="8">
        <f>HYPERLINK("https://dart.fss.or.kr/dsaf001/main.do?rcpNo=20260529901811", "공시열람")</f>
        <v/>
      </c>
    </row>
    <row r="91" ht="36" customHeight="1">
      <c r="A91" s="2" t="inlineStr">
        <is>
          <t>2026-03-31 (정정: 2026-05-29)</t>
        </is>
      </c>
      <c r="B91" s="3" t="inlineStr">
        <is>
          <t>우리산업</t>
        </is>
      </c>
      <c r="C91" s="2" t="inlineStr">
        <is>
          <t>코스닥</t>
        </is>
      </c>
      <c r="D91" s="2" t="inlineStr">
        <is>
          <t>215360</t>
        </is>
      </c>
      <c r="E91" s="3" t="inlineStr">
        <is>
          <t xml:space="preserve">[기재정정]금전대여결정              </t>
        </is>
      </c>
      <c r="F91" s="2" t="inlineStr">
        <is>
          <t>금전대여</t>
        </is>
      </c>
      <c r="G91" s="7" t="inlineStr">
        <is>
          <t>-</t>
        </is>
      </c>
      <c r="H91" s="5" t="n">
        <v>6810300000</v>
      </c>
      <c r="I91" s="13" t="n">
        <v>6.08</v>
      </c>
      <c r="J91" s="2" t="inlineStr">
        <is>
          <t>2026-04-10</t>
        </is>
      </c>
      <c r="K91" s="2" t="inlineStr">
        <is>
          <t>2031-04-10</t>
        </is>
      </c>
      <c r="L91" s="7" t="inlineStr">
        <is>
          <t>시설 투자자금 대여</t>
        </is>
      </c>
      <c r="M91" s="2" t="inlineStr">
        <is>
          <t>20260529901788</t>
        </is>
      </c>
      <c r="N91" s="8">
        <f>HYPERLINK("https://dart.fss.or.kr/dsaf001/main.do?rcpNo=20260529901788", "공시열람")</f>
        <v/>
      </c>
    </row>
    <row r="92" ht="36" customHeight="1">
      <c r="A92" s="2" t="inlineStr">
        <is>
          <t>2026-05-29</t>
        </is>
      </c>
      <c r="B92" s="3" t="inlineStr">
        <is>
          <t>SGC E&amp;C</t>
        </is>
      </c>
      <c r="C92" s="2" t="inlineStr">
        <is>
          <t>코스닥</t>
        </is>
      </c>
      <c r="D92" s="2" t="inlineStr">
        <is>
          <t>016250</t>
        </is>
      </c>
      <c r="E92" s="3" t="inlineStr">
        <is>
          <t xml:space="preserve">타인에대한채무보증결정              </t>
        </is>
      </c>
      <c r="F92" s="2" t="inlineStr">
        <is>
          <t>채무보증</t>
        </is>
      </c>
      <c r="G92" s="7" t="inlineStr">
        <is>
          <t>관계</t>
        </is>
      </c>
      <c r="H92" s="5" t="n">
        <v>224141764600</v>
      </c>
      <c r="I92" s="13" t="n">
        <v>67.48999999999999</v>
      </c>
      <c r="J92" s="2" t="inlineStr">
        <is>
          <t>2026-05-31</t>
        </is>
      </c>
      <c r="K92" s="2" t="inlineStr">
        <is>
          <t>2026-11-30</t>
        </is>
      </c>
      <c r="L92" s="7" t="inlineStr">
        <is>
          <t>-</t>
        </is>
      </c>
      <c r="M92" s="2" t="inlineStr">
        <is>
          <t>20260529901488</t>
        </is>
      </c>
      <c r="N92" s="8">
        <f>HYPERLINK("https://dart.fss.or.kr/dsaf001/main.do?rcpNo=20260529901488", "공시열람")</f>
        <v/>
      </c>
    </row>
    <row r="93" ht="36" customHeight="1">
      <c r="A93" s="2" t="inlineStr">
        <is>
          <t>2024-10-29 (정정: 2026-05-29)</t>
        </is>
      </c>
      <c r="B93" s="3" t="inlineStr">
        <is>
          <t>신원종합개발</t>
        </is>
      </c>
      <c r="C93" s="2" t="inlineStr">
        <is>
          <t>코스닥</t>
        </is>
      </c>
      <c r="D93" s="2" t="inlineStr">
        <is>
          <t>017000</t>
        </is>
      </c>
      <c r="E93" s="3" t="inlineStr">
        <is>
          <t xml:space="preserve">[기재정정]타인에대한채무보증결정              </t>
        </is>
      </c>
      <c r="F93" s="2" t="inlineStr">
        <is>
          <t>채무보증</t>
        </is>
      </c>
      <c r="G93" s="7" t="inlineStr">
        <is>
          <t>성명</t>
        </is>
      </c>
      <c r="H93" s="5" t="n">
        <v>13800000000</v>
      </c>
      <c r="I93" s="13" t="n">
        <v>15.5</v>
      </c>
      <c r="J93" s="2" t="inlineStr">
        <is>
          <t>2022-04-08</t>
        </is>
      </c>
      <c r="K93" s="2" t="inlineStr">
        <is>
          <t>2026-05-29</t>
        </is>
      </c>
      <c r="L93" s="7" t="inlineStr">
        <is>
          <t>-</t>
        </is>
      </c>
      <c r="M93" s="2" t="inlineStr">
        <is>
          <t>20260529901418</t>
        </is>
      </c>
      <c r="N93" s="8">
        <f>HYPERLINK("https://dart.fss.or.kr/dsaf001/main.do?rcpNo=20260529901418", "공시열람")</f>
        <v/>
      </c>
    </row>
    <row r="94" ht="36" customHeight="1">
      <c r="A94" s="2" t="inlineStr">
        <is>
          <t>2026-05-29 (정정: 2026-05-29)</t>
        </is>
      </c>
      <c r="B94" s="3" t="inlineStr">
        <is>
          <t>갤럭시아머니트리</t>
        </is>
      </c>
      <c r="C94" s="2" t="inlineStr">
        <is>
          <t>코스닥</t>
        </is>
      </c>
      <c r="D94" s="2" t="inlineStr">
        <is>
          <t>094480</t>
        </is>
      </c>
      <c r="E94" s="3" t="inlineStr">
        <is>
          <t xml:space="preserve">[기재정정]타인에대한채무보증결정              </t>
        </is>
      </c>
      <c r="F94" s="2" t="inlineStr">
        <is>
          <t>채무보증</t>
        </is>
      </c>
      <c r="G94" s="7" t="inlineStr">
        <is>
          <t>성명</t>
        </is>
      </c>
      <c r="H94" s="5" t="n">
        <v>8400000000</v>
      </c>
      <c r="I94" s="13" t="n">
        <v>7.49</v>
      </c>
      <c r="J94" s="2" t="inlineStr">
        <is>
          <t>2025-06-01</t>
        </is>
      </c>
      <c r="K94" s="2" t="inlineStr">
        <is>
          <t>2026-05-31</t>
        </is>
      </c>
      <c r="L94" s="7" t="inlineStr">
        <is>
          <t>-</t>
        </is>
      </c>
      <c r="M94" s="2" t="inlineStr">
        <is>
          <t>20260529901108</t>
        </is>
      </c>
      <c r="N94" s="8">
        <f>HYPERLINK("https://dart.fss.or.kr/dsaf001/main.do?rcpNo=20260529901108", "공시열람")</f>
        <v/>
      </c>
    </row>
    <row r="95" ht="36" customHeight="1">
      <c r="A95" s="2" t="inlineStr">
        <is>
          <t>2026-05-29</t>
        </is>
      </c>
      <c r="B95" s="3" t="inlineStr">
        <is>
          <t>도화엔지니어링</t>
        </is>
      </c>
      <c r="C95" s="2" t="inlineStr">
        <is>
          <t>코스피</t>
        </is>
      </c>
      <c r="D95" s="2" t="inlineStr">
        <is>
          <t>002150</t>
        </is>
      </c>
      <c r="E95" s="3" t="inlineStr">
        <is>
          <t xml:space="preserve">[기재정정]타인에대한채무보증결정              </t>
        </is>
      </c>
      <c r="F95" s="2" t="inlineStr">
        <is>
          <t>채무보증</t>
        </is>
      </c>
      <c r="G95" s="7" t="inlineStr">
        <is>
          <t>관계</t>
        </is>
      </c>
      <c r="H95" s="5" t="n">
        <v>43600000000</v>
      </c>
      <c r="I95" s="13" t="n">
        <v>17</v>
      </c>
      <c r="J95" s="2" t="inlineStr">
        <is>
          <t>2025-11-24</t>
        </is>
      </c>
      <c r="K95" s="2" t="inlineStr">
        <is>
          <t>2027-08-23</t>
        </is>
      </c>
      <c r="L95" s="7" t="inlineStr">
        <is>
          <t>-</t>
        </is>
      </c>
      <c r="M95" s="2" t="inlineStr">
        <is>
          <t>20260529801105</t>
        </is>
      </c>
      <c r="N95" s="8">
        <f>HYPERLINK("https://dart.fss.or.kr/dsaf001/main.do?rcpNo=20260529801105", "공시열람")</f>
        <v/>
      </c>
    </row>
    <row r="96" ht="36" customHeight="1">
      <c r="A96" s="2" t="inlineStr">
        <is>
          <t>2026-05-29</t>
        </is>
      </c>
      <c r="B96" s="3" t="inlineStr">
        <is>
          <t>화인베스틸</t>
        </is>
      </c>
      <c r="C96" s="2" t="inlineStr">
        <is>
          <t>코스피</t>
        </is>
      </c>
      <c r="D96" s="2" t="inlineStr">
        <is>
          <t>133820</t>
        </is>
      </c>
      <c r="E96" s="3" t="inlineStr">
        <is>
          <t xml:space="preserve">타인에대한채무보증결정              </t>
        </is>
      </c>
      <c r="F96" s="2" t="inlineStr">
        <is>
          <t>채무보증</t>
        </is>
      </c>
      <c r="G96" s="7" t="inlineStr">
        <is>
          <t>관계</t>
        </is>
      </c>
      <c r="H96" s="5" t="n">
        <v>39000000000</v>
      </c>
      <c r="I96" s="13" t="n">
        <v>75.34</v>
      </c>
      <c r="J96" s="2" t="inlineStr">
        <is>
          <t>2026-06-01</t>
        </is>
      </c>
      <c r="K96" s="2" t="inlineStr">
        <is>
          <t>2029-06-01</t>
        </is>
      </c>
      <c r="L96" s="7" t="inlineStr">
        <is>
          <t>-</t>
        </is>
      </c>
      <c r="M96" s="2" t="inlineStr">
        <is>
          <t>20260529800839</t>
        </is>
      </c>
      <c r="N96" s="8">
        <f>HYPERLINK("https://dart.fss.or.kr/dsaf001/main.do?rcpNo=20260529800839", "공시열람")</f>
        <v/>
      </c>
    </row>
    <row r="97" ht="36" customHeight="1">
      <c r="A97" s="2" t="inlineStr">
        <is>
          <t>2026-05-29</t>
        </is>
      </c>
      <c r="B97" s="3" t="inlineStr">
        <is>
          <t>계룡건설산업</t>
        </is>
      </c>
      <c r="C97" s="2" t="inlineStr">
        <is>
          <t>코스피</t>
        </is>
      </c>
      <c r="D97" s="2" t="inlineStr">
        <is>
          <t>013580</t>
        </is>
      </c>
      <c r="E97" s="3" t="inlineStr">
        <is>
          <t xml:space="preserve">타인에대한채무보증결정              </t>
        </is>
      </c>
      <c r="F97" s="2" t="inlineStr">
        <is>
          <t>채무보증</t>
        </is>
      </c>
      <c r="G97" s="7" t="inlineStr">
        <is>
          <t>관계</t>
        </is>
      </c>
      <c r="H97" s="5" t="n">
        <v>280441200000</v>
      </c>
      <c r="I97" s="13" t="n">
        <v>28.3</v>
      </c>
      <c r="J97" s="2" t="inlineStr">
        <is>
          <t>-</t>
        </is>
      </c>
      <c r="K97" s="2" t="inlineStr">
        <is>
          <t>-</t>
        </is>
      </c>
      <c r="L97" s="7" t="inlineStr">
        <is>
          <t>-</t>
        </is>
      </c>
      <c r="M97" s="2" t="inlineStr">
        <is>
          <t>20260529800521</t>
        </is>
      </c>
      <c r="N97" s="8">
        <f>HYPERLINK("https://dart.fss.or.kr/dsaf001/main.do?rcpNo=20260529800521", "공시열람")</f>
        <v/>
      </c>
    </row>
    <row r="98" ht="36" customHeight="1">
      <c r="A98" s="2" t="inlineStr">
        <is>
          <t>2026-06-01 (정정: 2026-06-22)</t>
        </is>
      </c>
      <c r="B98" s="3" t="inlineStr">
        <is>
          <t>에스프리즘</t>
        </is>
      </c>
      <c r="C98" s="2" t="inlineStr">
        <is>
          <t>코스닥</t>
        </is>
      </c>
      <c r="D98" s="2" t="inlineStr">
        <is>
          <t>288620</t>
        </is>
      </c>
      <c r="E98" s="3" t="inlineStr">
        <is>
          <t>금전대여결정               (정정: 20260622)</t>
        </is>
      </c>
      <c r="F98" s="2" t="inlineStr">
        <is>
          <t>금전대여</t>
        </is>
      </c>
      <c r="G98" s="7" t="inlineStr">
        <is>
          <t>-</t>
        </is>
      </c>
      <c r="H98" s="5" t="n">
        <v>5000000000</v>
      </c>
      <c r="I98" s="13" t="n">
        <v>10.91</v>
      </c>
      <c r="J98" s="2" t="inlineStr">
        <is>
          <t>2026-06-01</t>
        </is>
      </c>
      <c r="K98" s="2" t="inlineStr">
        <is>
          <t>2027-05-31</t>
        </is>
      </c>
      <c r="L98" s="7" t="inlineStr">
        <is>
          <t>운영자금 대여</t>
        </is>
      </c>
      <c r="M98" s="2" t="inlineStr">
        <is>
          <t>20260622900714</t>
        </is>
      </c>
      <c r="N98" s="8">
        <f>HYPERLINK("https://dart.fss.or.kr/dsaf001/main.do?rcpNo=20260622900714", "공시열람")</f>
        <v/>
      </c>
    </row>
    <row r="99" ht="36" customHeight="1">
      <c r="A99" s="2" t="inlineStr">
        <is>
          <t>2026-02-27 (정정: 2026-06-01)</t>
        </is>
      </c>
      <c r="B99" s="3" t="inlineStr">
        <is>
          <t>HS화성</t>
        </is>
      </c>
      <c r="C99" s="2" t="inlineStr">
        <is>
          <t>코스피</t>
        </is>
      </c>
      <c r="D99" s="2" t="inlineStr">
        <is>
          <t>002460</t>
        </is>
      </c>
      <c r="E99" s="3" t="inlineStr">
        <is>
          <t xml:space="preserve">[기재정정]타인에대한채무보증결정              </t>
        </is>
      </c>
      <c r="F99" s="2" t="inlineStr">
        <is>
          <t>채무보증</t>
        </is>
      </c>
      <c r="G99" s="7" t="inlineStr">
        <is>
          <t>관계</t>
        </is>
      </c>
      <c r="H99" s="5" t="n">
        <v>33088106632</v>
      </c>
      <c r="I99" s="13" t="n">
        <v>8.800000000000001</v>
      </c>
      <c r="J99" s="2" t="inlineStr">
        <is>
          <t>2019-09-10</t>
        </is>
      </c>
      <c r="K99" s="2" t="inlineStr">
        <is>
          <t>2026-12-31</t>
        </is>
      </c>
      <c r="L99" s="7" t="inlineStr">
        <is>
          <t>-</t>
        </is>
      </c>
      <c r="M99" s="2" t="inlineStr">
        <is>
          <t>20260601801164</t>
        </is>
      </c>
      <c r="N99" s="8">
        <f>HYPERLINK("https://dart.fss.or.kr/dsaf001/main.do?rcpNo=20260601801164", "공시열람")</f>
        <v/>
      </c>
    </row>
    <row r="100" ht="36" customHeight="1">
      <c r="A100" s="2" t="inlineStr">
        <is>
          <t>2026-06-01</t>
        </is>
      </c>
      <c r="B100" s="3" t="inlineStr">
        <is>
          <t>서희건설</t>
        </is>
      </c>
      <c r="C100" s="2" t="inlineStr">
        <is>
          <t>코스닥</t>
        </is>
      </c>
      <c r="D100" s="2" t="inlineStr">
        <is>
          <t>035890</t>
        </is>
      </c>
      <c r="E100" s="3" t="inlineStr">
        <is>
          <t xml:space="preserve">[기재정정]타인에대한채무보증결정              </t>
        </is>
      </c>
      <c r="F100" s="2" t="inlineStr">
        <is>
          <t>채무보증</t>
        </is>
      </c>
      <c r="G100" s="7" t="inlineStr">
        <is>
          <t>관계</t>
        </is>
      </c>
      <c r="H100" s="5" t="n">
        <v>199870000000</v>
      </c>
      <c r="I100" s="13" t="n">
        <v>29.97</v>
      </c>
      <c r="J100" s="2" t="inlineStr">
        <is>
          <t>2023-01-31</t>
        </is>
      </c>
      <c r="K100" s="2" t="inlineStr">
        <is>
          <t>2026-11-30</t>
        </is>
      </c>
      <c r="L100" s="7" t="inlineStr">
        <is>
          <t>-</t>
        </is>
      </c>
      <c r="M100" s="2" t="inlineStr">
        <is>
          <t>20260601900820</t>
        </is>
      </c>
      <c r="N100" s="8">
        <f>HYPERLINK("https://dart.fss.or.kr/dsaf001/main.do?rcpNo=20260601900820", "공시열람")</f>
        <v/>
      </c>
    </row>
    <row r="101" ht="36" customHeight="1">
      <c r="A101" s="2" t="inlineStr">
        <is>
          <t>2026-06-02</t>
        </is>
      </c>
      <c r="B101" s="3" t="inlineStr">
        <is>
          <t>롯데지주</t>
        </is>
      </c>
      <c r="C101" s="2" t="inlineStr">
        <is>
          <t>코스피</t>
        </is>
      </c>
      <c r="D101" s="2" t="inlineStr">
        <is>
          <t>004990</t>
        </is>
      </c>
      <c r="E101" s="3" t="inlineStr">
        <is>
          <t xml:space="preserve">금전대여결정(자회사의 주요경영사항)              </t>
        </is>
      </c>
      <c r="F101" s="2" t="inlineStr">
        <is>
          <t>금전대여</t>
        </is>
      </c>
      <c r="G101" s="7" t="inlineStr">
        <is>
          <t>PT LOTTE Chemical Indonesia</t>
        </is>
      </c>
      <c r="H101" s="5" t="n">
        <v>451740000000</v>
      </c>
      <c r="I101" s="13" t="n">
        <v>2.57</v>
      </c>
      <c r="J101" s="2" t="inlineStr">
        <is>
          <t>2026-06-12</t>
        </is>
      </c>
      <c r="K101" s="2" t="inlineStr">
        <is>
          <t>2036-12-20</t>
        </is>
      </c>
      <c r="L101" s="7" t="inlineStr">
        <is>
          <t>시설차입금(ECA 대출 등) 상환 재원 확보 및 유동성 관리</t>
        </is>
      </c>
      <c r="M101" s="2" t="inlineStr">
        <is>
          <t>20260602800822</t>
        </is>
      </c>
      <c r="N101" s="8">
        <f>HYPERLINK("https://dart.fss.or.kr/dsaf001/main.do?rcpNo=20260602800822", "공시열람")</f>
        <v/>
      </c>
    </row>
    <row r="102" ht="36" customHeight="1">
      <c r="A102" s="2" t="inlineStr">
        <is>
          <t>2026-06-02</t>
        </is>
      </c>
      <c r="B102" s="3" t="inlineStr">
        <is>
          <t>롯데케미칼</t>
        </is>
      </c>
      <c r="C102" s="2" t="inlineStr">
        <is>
          <t>코스피</t>
        </is>
      </c>
      <c r="D102" s="2" t="inlineStr">
        <is>
          <t>011170</t>
        </is>
      </c>
      <c r="E102" s="3" t="inlineStr">
        <is>
          <t xml:space="preserve">금전대여결정              </t>
        </is>
      </c>
      <c r="F102" s="2" t="inlineStr">
        <is>
          <t>금전대여</t>
        </is>
      </c>
      <c r="G102" s="7" t="inlineStr">
        <is>
          <t>PT LOTTE Chemical Indonesia</t>
        </is>
      </c>
      <c r="H102" s="5" t="n">
        <v>451740000000</v>
      </c>
      <c r="I102" s="13" t="n">
        <v>2.57</v>
      </c>
      <c r="J102" s="2" t="inlineStr">
        <is>
          <t>2026-06-12</t>
        </is>
      </c>
      <c r="K102" s="2" t="inlineStr">
        <is>
          <t>2036-12-20</t>
        </is>
      </c>
      <c r="L102" s="7" t="inlineStr">
        <is>
          <t>시설차입금(ECA 대출 등) 상환 재원 확보 및 유동성 관리</t>
        </is>
      </c>
      <c r="M102" s="2" t="inlineStr">
        <is>
          <t>20260602800800</t>
        </is>
      </c>
      <c r="N102" s="8">
        <f>HYPERLINK("https://dart.fss.or.kr/dsaf001/main.do?rcpNo=20260602800800", "공시열람")</f>
        <v/>
      </c>
    </row>
    <row r="103" ht="36" customHeight="1">
      <c r="A103" s="2" t="inlineStr">
        <is>
          <t>2026-06-02</t>
        </is>
      </c>
      <c r="B103" s="3" t="inlineStr">
        <is>
          <t>롯데지주</t>
        </is>
      </c>
      <c r="C103" s="2" t="inlineStr">
        <is>
          <t>코스피</t>
        </is>
      </c>
      <c r="D103" s="2" t="inlineStr">
        <is>
          <t>004990</t>
        </is>
      </c>
      <c r="E103" s="3" t="inlineStr">
        <is>
          <t xml:space="preserve">타인에대한채무보증결정(자회사의 주요경영사항)              </t>
        </is>
      </c>
      <c r="F103" s="2" t="inlineStr">
        <is>
          <t>채무보증</t>
        </is>
      </c>
      <c r="G103" s="7" t="inlineStr">
        <is>
          <t>관계</t>
        </is>
      </c>
      <c r="H103" s="5" t="n">
        <v>1600000000000</v>
      </c>
      <c r="I103" s="13" t="n">
        <v>9.08</v>
      </c>
      <c r="J103" s="2" t="inlineStr">
        <is>
          <t>2026-06-01</t>
        </is>
      </c>
      <c r="K103" s="2" t="inlineStr">
        <is>
          <t>2026-08-31</t>
        </is>
      </c>
      <c r="L103" s="7" t="inlineStr">
        <is>
          <t>-</t>
        </is>
      </c>
      <c r="M103" s="2" t="inlineStr">
        <is>
          <t>20260602800782</t>
        </is>
      </c>
      <c r="N103" s="8">
        <f>HYPERLINK("https://dart.fss.or.kr/dsaf001/main.do?rcpNo=20260602800782", "공시열람")</f>
        <v/>
      </c>
    </row>
    <row r="104" ht="36" customHeight="1">
      <c r="A104" s="2" t="inlineStr">
        <is>
          <t>2026-06-02</t>
        </is>
      </c>
      <c r="B104" s="3" t="inlineStr">
        <is>
          <t>롯데케미칼</t>
        </is>
      </c>
      <c r="C104" s="2" t="inlineStr">
        <is>
          <t>코스피</t>
        </is>
      </c>
      <c r="D104" s="2" t="inlineStr">
        <is>
          <t>011170</t>
        </is>
      </c>
      <c r="E104" s="3" t="inlineStr">
        <is>
          <t xml:space="preserve">타인에대한채무보증결정              </t>
        </is>
      </c>
      <c r="F104" s="2" t="inlineStr">
        <is>
          <t>채무보증</t>
        </is>
      </c>
      <c r="G104" s="7" t="inlineStr">
        <is>
          <t>관계</t>
        </is>
      </c>
      <c r="H104" s="5" t="n">
        <v>1600000000000</v>
      </c>
      <c r="I104" s="13" t="n">
        <v>9.08</v>
      </c>
      <c r="J104" s="2" t="inlineStr">
        <is>
          <t>2026-06-01</t>
        </is>
      </c>
      <c r="K104" s="2" t="inlineStr">
        <is>
          <t>2026-08-31</t>
        </is>
      </c>
      <c r="L104" s="7" t="inlineStr">
        <is>
          <t>-</t>
        </is>
      </c>
      <c r="M104" s="2" t="inlineStr">
        <is>
          <t>20260602800781</t>
        </is>
      </c>
      <c r="N104" s="8">
        <f>HYPERLINK("https://dart.fss.or.kr/dsaf001/main.do?rcpNo=20260602800781", "공시열람")</f>
        <v/>
      </c>
    </row>
    <row r="105" ht="36" customHeight="1">
      <c r="A105" s="2" t="inlineStr">
        <is>
          <t>2026-06-02</t>
        </is>
      </c>
      <c r="B105" s="3" t="inlineStr">
        <is>
          <t>동양</t>
        </is>
      </c>
      <c r="C105" s="2" t="inlineStr">
        <is>
          <t>코스피</t>
        </is>
      </c>
      <c r="D105" s="2" t="inlineStr">
        <is>
          <t>001520</t>
        </is>
      </c>
      <c r="E105" s="3" t="inlineStr">
        <is>
          <t xml:space="preserve">타인에대한채무보증결정              </t>
        </is>
      </c>
      <c r="F105" s="2" t="inlineStr">
        <is>
          <t>채무보증</t>
        </is>
      </c>
      <c r="G105" s="7" t="inlineStr">
        <is>
          <t>관계</t>
        </is>
      </c>
      <c r="H105" s="5" t="n">
        <v>156000000000</v>
      </c>
      <c r="I105" s="13" t="n">
        <v>20.6</v>
      </c>
      <c r="J105" s="2" t="inlineStr">
        <is>
          <t>2026-06-22</t>
        </is>
      </c>
      <c r="K105" s="2" t="inlineStr">
        <is>
          <t>2027-06-22</t>
        </is>
      </c>
      <c r="L105" s="7" t="inlineStr">
        <is>
          <t>-</t>
        </is>
      </c>
      <c r="M105" s="2" t="inlineStr">
        <is>
          <t>20260602800769</t>
        </is>
      </c>
      <c r="N105" s="8">
        <f>HYPERLINK("https://dart.fss.or.kr/dsaf001/main.do?rcpNo=20260602800769", "공시열람")</f>
        <v/>
      </c>
    </row>
    <row r="106" ht="36" customHeight="1">
      <c r="A106" s="2" t="inlineStr">
        <is>
          <t>2026-06-02</t>
        </is>
      </c>
      <c r="B106" s="3" t="inlineStr">
        <is>
          <t>HS효성</t>
        </is>
      </c>
      <c r="C106" s="2" t="inlineStr">
        <is>
          <t>코스피</t>
        </is>
      </c>
      <c r="D106" s="2" t="inlineStr">
        <is>
          <t>487570</t>
        </is>
      </c>
      <c r="E106" s="3" t="inlineStr">
        <is>
          <t xml:space="preserve">타인에대한채무보증결정(자회사의 주요경영사항)              </t>
        </is>
      </c>
      <c r="F106" s="2" t="inlineStr">
        <is>
          <t>채무보증</t>
        </is>
      </c>
      <c r="G106" s="7" t="inlineStr">
        <is>
          <t>관계</t>
        </is>
      </c>
      <c r="H106" s="5" t="n">
        <v>22669500000</v>
      </c>
      <c r="I106" s="13" t="n">
        <v>2.74</v>
      </c>
      <c r="J106" s="2" t="inlineStr">
        <is>
          <t>2026-06-02</t>
        </is>
      </c>
      <c r="K106" s="2" t="inlineStr">
        <is>
          <t>2027-06-16</t>
        </is>
      </c>
      <c r="L106" s="7" t="inlineStr">
        <is>
          <t>-</t>
        </is>
      </c>
      <c r="M106" s="2" t="inlineStr">
        <is>
          <t>20260602800654</t>
        </is>
      </c>
      <c r="N106" s="8">
        <f>HYPERLINK("https://dart.fss.or.kr/dsaf001/main.do?rcpNo=20260602800654", "공시열람")</f>
        <v/>
      </c>
    </row>
    <row r="107" ht="36" customHeight="1">
      <c r="A107" s="2" t="inlineStr">
        <is>
          <t>2026-06-02</t>
        </is>
      </c>
      <c r="B107" s="3" t="inlineStr">
        <is>
          <t>HS효성</t>
        </is>
      </c>
      <c r="C107" s="2" t="inlineStr">
        <is>
          <t>코스피</t>
        </is>
      </c>
      <c r="D107" s="2" t="inlineStr">
        <is>
          <t>487570</t>
        </is>
      </c>
      <c r="E107" s="3" t="inlineStr">
        <is>
          <t xml:space="preserve">타인에대한채무보증결정(자회사의 주요경영사항)              </t>
        </is>
      </c>
      <c r="F107" s="2" t="inlineStr">
        <is>
          <t>채무보증</t>
        </is>
      </c>
      <c r="G107" s="7" t="inlineStr">
        <is>
          <t>관계</t>
        </is>
      </c>
      <c r="H107" s="5" t="n">
        <v>36271200000</v>
      </c>
      <c r="I107" s="13" t="n">
        <v>4.39</v>
      </c>
      <c r="J107" s="2" t="inlineStr">
        <is>
          <t>2026-06-04</t>
        </is>
      </c>
      <c r="K107" s="2" t="inlineStr">
        <is>
          <t>2027-06-03</t>
        </is>
      </c>
      <c r="L107" s="7" t="inlineStr">
        <is>
          <t>-</t>
        </is>
      </c>
      <c r="M107" s="2" t="inlineStr">
        <is>
          <t>20260602800647</t>
        </is>
      </c>
      <c r="N107" s="8">
        <f>HYPERLINK("https://dart.fss.or.kr/dsaf001/main.do?rcpNo=20260602800647", "공시열람")</f>
        <v/>
      </c>
    </row>
    <row r="108" ht="36" customHeight="1">
      <c r="A108" s="2" t="inlineStr">
        <is>
          <t>2026-06-02</t>
        </is>
      </c>
      <c r="B108" s="3" t="inlineStr">
        <is>
          <t>HS효성첨단소재</t>
        </is>
      </c>
      <c r="C108" s="2" t="inlineStr">
        <is>
          <t>코스피</t>
        </is>
      </c>
      <c r="D108" s="2" t="inlineStr">
        <is>
          <t>298050</t>
        </is>
      </c>
      <c r="E108" s="3" t="inlineStr">
        <is>
          <t xml:space="preserve">타인에대한채무보증결정              </t>
        </is>
      </c>
      <c r="F108" s="2" t="inlineStr">
        <is>
          <t>채무보증</t>
        </is>
      </c>
      <c r="G108" s="7" t="inlineStr">
        <is>
          <t>관계</t>
        </is>
      </c>
      <c r="H108" s="5" t="n">
        <v>22669500000</v>
      </c>
      <c r="I108" s="13" t="n">
        <v>2.74</v>
      </c>
      <c r="J108" s="2" t="inlineStr">
        <is>
          <t>2026-06-02</t>
        </is>
      </c>
      <c r="K108" s="2" t="inlineStr">
        <is>
          <t>2027-06-16</t>
        </is>
      </c>
      <c r="L108" s="7" t="inlineStr">
        <is>
          <t>-</t>
        </is>
      </c>
      <c r="M108" s="2" t="inlineStr">
        <is>
          <t>20260602800640</t>
        </is>
      </c>
      <c r="N108" s="8">
        <f>HYPERLINK("https://dart.fss.or.kr/dsaf001/main.do?rcpNo=20260602800640", "공시열람")</f>
        <v/>
      </c>
    </row>
    <row r="109" ht="36" customHeight="1">
      <c r="A109" s="2" t="inlineStr">
        <is>
          <t>2026-06-02</t>
        </is>
      </c>
      <c r="B109" s="3" t="inlineStr">
        <is>
          <t>HS효성첨단소재</t>
        </is>
      </c>
      <c r="C109" s="2" t="inlineStr">
        <is>
          <t>코스피</t>
        </is>
      </c>
      <c r="D109" s="2" t="inlineStr">
        <is>
          <t>298050</t>
        </is>
      </c>
      <c r="E109" s="3" t="inlineStr">
        <is>
          <t xml:space="preserve">타인에대한채무보증결정              </t>
        </is>
      </c>
      <c r="F109" s="2" t="inlineStr">
        <is>
          <t>채무보증</t>
        </is>
      </c>
      <c r="G109" s="7" t="inlineStr">
        <is>
          <t>관계</t>
        </is>
      </c>
      <c r="H109" s="5" t="n">
        <v>36271200000</v>
      </c>
      <c r="I109" s="13" t="n">
        <v>4.39</v>
      </c>
      <c r="J109" s="2" t="inlineStr">
        <is>
          <t>2026-06-04</t>
        </is>
      </c>
      <c r="K109" s="2" t="inlineStr">
        <is>
          <t>2027-06-03</t>
        </is>
      </c>
      <c r="L109" s="7" t="inlineStr">
        <is>
          <t>-</t>
        </is>
      </c>
      <c r="M109" s="2" t="inlineStr">
        <is>
          <t>20260602800629</t>
        </is>
      </c>
      <c r="N109" s="8">
        <f>HYPERLINK("https://dart.fss.or.kr/dsaf001/main.do?rcpNo=20260602800629", "공시열람")</f>
        <v/>
      </c>
    </row>
    <row r="110" ht="36" customHeight="1">
      <c r="A110" s="2" t="inlineStr">
        <is>
          <t>2022-04-27 (정정: 2026-06-02)</t>
        </is>
      </c>
      <c r="B110" s="3" t="inlineStr">
        <is>
          <t>LG디스플레이</t>
        </is>
      </c>
      <c r="C110" s="2" t="inlineStr">
        <is>
          <t>코스피</t>
        </is>
      </c>
      <c r="D110" s="2" t="inlineStr">
        <is>
          <t>034220</t>
        </is>
      </c>
      <c r="E110" s="3" t="inlineStr">
        <is>
          <t xml:space="preserve">[기재정정]타인에대한채무보증결정              </t>
        </is>
      </c>
      <c r="F110" s="2" t="inlineStr">
        <is>
          <t>채무보증</t>
        </is>
      </c>
      <c r="G110" s="7" t="inlineStr">
        <is>
          <t>관계</t>
        </is>
      </c>
      <c r="H110" s="5" t="n">
        <v>1870650000000</v>
      </c>
      <c r="I110" s="13" t="n">
        <v>12.67</v>
      </c>
      <c r="J110" s="2" t="inlineStr">
        <is>
          <t>2022-06-28</t>
        </is>
      </c>
      <c r="K110" s="2" t="inlineStr">
        <is>
          <t>2029-07-31</t>
        </is>
      </c>
      <c r="L110" s="7" t="inlineStr">
        <is>
          <t>-</t>
        </is>
      </c>
      <c r="M110" s="2" t="inlineStr">
        <is>
          <t>20260602800375</t>
        </is>
      </c>
      <c r="N110" s="8">
        <f>HYPERLINK("https://dart.fss.or.kr/dsaf001/main.do?rcpNo=20260602800375", "공시열람")</f>
        <v/>
      </c>
    </row>
    <row r="111" ht="36" customHeight="1">
      <c r="A111" s="2" t="inlineStr">
        <is>
          <t>2026-06-04</t>
        </is>
      </c>
      <c r="B111" s="3" t="inlineStr">
        <is>
          <t>효성화학</t>
        </is>
      </c>
      <c r="C111" s="2" t="inlineStr">
        <is>
          <t>코스피</t>
        </is>
      </c>
      <c r="D111" s="2" t="inlineStr">
        <is>
          <t>298000</t>
        </is>
      </c>
      <c r="E111" s="3" t="inlineStr">
        <is>
          <t xml:space="preserve">금전대여결정              </t>
        </is>
      </c>
      <c r="F111" s="2" t="inlineStr">
        <is>
          <t>금전대여</t>
        </is>
      </c>
      <c r="G111" s="7" t="inlineStr">
        <is>
          <t>Hyosung Film(Quzhou) Co., Ltd.</t>
        </is>
      </c>
      <c r="H111" s="5" t="n">
        <v>19661820000</v>
      </c>
      <c r="I111" s="13" t="n">
        <v>3.11</v>
      </c>
      <c r="J111" s="2" t="inlineStr">
        <is>
          <t>2026-06-11</t>
        </is>
      </c>
      <c r="K111" s="2" t="inlineStr">
        <is>
          <t>2027-12-10</t>
        </is>
      </c>
      <c r="L111" s="7" t="inlineStr">
        <is>
          <t>재무 안정성 확보</t>
        </is>
      </c>
      <c r="M111" s="2" t="inlineStr">
        <is>
          <t>20260604800597</t>
        </is>
      </c>
      <c r="N111" s="8">
        <f>HYPERLINK("https://dart.fss.or.kr/dsaf001/main.do?rcpNo=20260604800597", "공시열람")</f>
        <v/>
      </c>
    </row>
    <row r="112" ht="36" customHeight="1">
      <c r="A112" s="2" t="inlineStr">
        <is>
          <t>2026-06-04</t>
        </is>
      </c>
      <c r="B112" s="3" t="inlineStr">
        <is>
          <t>한미글로벌</t>
        </is>
      </c>
      <c r="C112" s="2" t="inlineStr">
        <is>
          <t>코스피</t>
        </is>
      </c>
      <c r="D112" s="2" t="inlineStr">
        <is>
          <t>053690</t>
        </is>
      </c>
      <c r="E112" s="3" t="inlineStr">
        <is>
          <t xml:space="preserve">[기재정정]타인에대한채무보증결정              </t>
        </is>
      </c>
      <c r="F112" s="2" t="inlineStr">
        <is>
          <t>채무보증</t>
        </is>
      </c>
      <c r="G112" s="7" t="inlineStr">
        <is>
          <t>관계</t>
        </is>
      </c>
      <c r="H112" s="5" t="n">
        <v>20400000000</v>
      </c>
      <c r="I112" s="13" t="n">
        <v>10.1</v>
      </c>
      <c r="J112" s="2" t="inlineStr">
        <is>
          <t>2024-06-04</t>
        </is>
      </c>
      <c r="K112" s="2" t="inlineStr">
        <is>
          <t>2026-06-04</t>
        </is>
      </c>
      <c r="L112" s="7" t="inlineStr">
        <is>
          <t>-</t>
        </is>
      </c>
      <c r="M112" s="2" t="inlineStr">
        <is>
          <t>20260604800439</t>
        </is>
      </c>
      <c r="N112" s="8">
        <f>HYPERLINK("https://dart.fss.or.kr/dsaf001/main.do?rcpNo=20260604800439", "공시열람")</f>
        <v/>
      </c>
    </row>
    <row r="113" ht="36" customHeight="1">
      <c r="A113" s="2" t="inlineStr">
        <is>
          <t>2026-06-04</t>
        </is>
      </c>
      <c r="B113" s="3" t="inlineStr">
        <is>
          <t>SK디앤디</t>
        </is>
      </c>
      <c r="C113" s="2" t="inlineStr">
        <is>
          <t>코스피</t>
        </is>
      </c>
      <c r="D113" s="2" t="inlineStr">
        <is>
          <t>210980</t>
        </is>
      </c>
      <c r="E113" s="3" t="inlineStr">
        <is>
          <t xml:space="preserve">[기재정정]타인에대한채무보증결정              </t>
        </is>
      </c>
      <c r="F113" s="2" t="inlineStr">
        <is>
          <t>채무보증</t>
        </is>
      </c>
      <c r="G113" s="7" t="inlineStr">
        <is>
          <t>관계</t>
        </is>
      </c>
      <c r="H113" s="5" t="n">
        <v>79200000000</v>
      </c>
      <c r="I113" s="13" t="n">
        <v>13.69</v>
      </c>
      <c r="J113" s="2" t="inlineStr">
        <is>
          <t>2026-06-30</t>
        </is>
      </c>
      <c r="K113" s="2" t="inlineStr">
        <is>
          <t>2028-07-01</t>
        </is>
      </c>
      <c r="L113" s="7" t="inlineStr">
        <is>
          <t>-</t>
        </is>
      </c>
      <c r="M113" s="2" t="inlineStr">
        <is>
          <t>20260604800344</t>
        </is>
      </c>
      <c r="N113" s="8">
        <f>HYPERLINK("https://dart.fss.or.kr/dsaf001/main.do?rcpNo=20260604800344", "공시열람")</f>
        <v/>
      </c>
    </row>
    <row r="114" ht="36" customHeight="1">
      <c r="A114" s="2" t="inlineStr">
        <is>
          <t>2026-06-04 (정정: 2026-06-12)</t>
        </is>
      </c>
      <c r="B114" s="3" t="inlineStr">
        <is>
          <t>SK디앤디</t>
        </is>
      </c>
      <c r="C114" s="2" t="inlineStr">
        <is>
          <t>코스피</t>
        </is>
      </c>
      <c r="D114" s="2" t="inlineStr">
        <is>
          <t>210980</t>
        </is>
      </c>
      <c r="E114" s="3" t="inlineStr">
        <is>
          <t>[기재정정]타인에대한채무보증결정               (정정: 20260612)</t>
        </is>
      </c>
      <c r="F114" s="2" t="inlineStr">
        <is>
          <t>채무보증</t>
        </is>
      </c>
      <c r="G114" s="7" t="inlineStr">
        <is>
          <t>관계</t>
        </is>
      </c>
      <c r="H114" s="5" t="n">
        <v>431852400000</v>
      </c>
      <c r="I114" s="13" t="n">
        <v>67.56</v>
      </c>
      <c r="J114" s="2" t="inlineStr">
        <is>
          <t>-</t>
        </is>
      </c>
      <c r="K114" s="2" t="inlineStr">
        <is>
          <t>2026-06-26</t>
        </is>
      </c>
      <c r="L114" s="7" t="inlineStr">
        <is>
          <t>-</t>
        </is>
      </c>
      <c r="M114" s="2" t="inlineStr">
        <is>
          <t>20260612800314</t>
        </is>
      </c>
      <c r="N114" s="8">
        <f>HYPERLINK("https://dart.fss.or.kr/dsaf001/main.do?rcpNo=20260612800314", "공시열람")</f>
        <v/>
      </c>
    </row>
    <row r="115" ht="36" customHeight="1">
      <c r="A115" s="2" t="inlineStr">
        <is>
          <t>2026-06-04</t>
        </is>
      </c>
      <c r="B115" s="3" t="inlineStr">
        <is>
          <t>제이엠아이</t>
        </is>
      </c>
      <c r="C115" s="2" t="inlineStr">
        <is>
          <t>코스닥</t>
        </is>
      </c>
      <c r="D115" s="2" t="inlineStr">
        <is>
          <t>033050</t>
        </is>
      </c>
      <c r="E115" s="3" t="inlineStr">
        <is>
          <t>금전대여결정              (대여기간 연장)</t>
        </is>
      </c>
      <c r="F115" s="2" t="inlineStr">
        <is>
          <t>금전대여</t>
        </is>
      </c>
      <c r="G115" s="7" t="inlineStr">
        <is>
          <t>-</t>
        </is>
      </c>
      <c r="H115" s="5" t="n">
        <v>7578000000</v>
      </c>
      <c r="I115" s="13" t="n">
        <v>12.93</v>
      </c>
      <c r="J115" s="2" t="inlineStr">
        <is>
          <t>2026-06-05</t>
        </is>
      </c>
      <c r="K115" s="2" t="inlineStr">
        <is>
          <t>2027-06-04</t>
        </is>
      </c>
      <c r="L115" s="7" t="inlineStr">
        <is>
          <t>기존 금전대여 기간 연장</t>
        </is>
      </c>
      <c r="M115" s="2" t="inlineStr">
        <is>
          <t>20260604900169</t>
        </is>
      </c>
      <c r="N115" s="8">
        <f>HYPERLINK("https://dart.fss.or.kr/dsaf001/main.do?rcpNo=20260604900169", "공시열람")</f>
        <v/>
      </c>
    </row>
    <row r="116" ht="36" customHeight="1">
      <c r="A116" s="2" t="inlineStr">
        <is>
          <t>2026-04-24 (정정: 2026-06-05)</t>
        </is>
      </c>
      <c r="B116" s="3" t="inlineStr">
        <is>
          <t>HLB글로벌</t>
        </is>
      </c>
      <c r="C116" s="2" t="inlineStr">
        <is>
          <t>코스피</t>
        </is>
      </c>
      <c r="D116" s="2" t="inlineStr">
        <is>
          <t>003580</t>
        </is>
      </c>
      <c r="E116" s="3" t="inlineStr">
        <is>
          <t xml:space="preserve">[기재정정]금전대여결정              </t>
        </is>
      </c>
      <c r="F116" s="2" t="inlineStr">
        <is>
          <t>금전대여</t>
        </is>
      </c>
      <c r="G116" s="7" t="inlineStr">
        <is>
          <t>(주)프레시코</t>
        </is>
      </c>
      <c r="H116" s="5" t="n">
        <v>4700000000</v>
      </c>
      <c r="I116" s="13" t="n">
        <v>6.22</v>
      </c>
      <c r="J116" s="2" t="inlineStr">
        <is>
          <t>2026-04-27</t>
        </is>
      </c>
      <c r="K116" s="2" t="inlineStr">
        <is>
          <t>2027-04-26</t>
        </is>
      </c>
      <c r="L116" s="7" t="inlineStr">
        <is>
          <t>사업운영자금 대여(연장)</t>
        </is>
      </c>
      <c r="M116" s="2" t="inlineStr">
        <is>
          <t>20260605800839</t>
        </is>
      </c>
      <c r="N116" s="8">
        <f>HYPERLINK("https://dart.fss.or.kr/dsaf001/main.do?rcpNo=20260605800839", "공시열람")</f>
        <v/>
      </c>
    </row>
    <row r="117" ht="36" customHeight="1">
      <c r="A117" s="2" t="inlineStr">
        <is>
          <t>2023-12-13 (정정: 2026-06-05)</t>
        </is>
      </c>
      <c r="B117" s="3" t="inlineStr">
        <is>
          <t>세아제강지주</t>
        </is>
      </c>
      <c r="C117" s="2" t="inlineStr">
        <is>
          <t>코스피</t>
        </is>
      </c>
      <c r="D117" s="2" t="inlineStr">
        <is>
          <t>003030</t>
        </is>
      </c>
      <c r="E117" s="3" t="inlineStr">
        <is>
          <t xml:space="preserve">[기재정정]타인에대한채무보증결정              </t>
        </is>
      </c>
      <c r="F117" s="2" t="inlineStr">
        <is>
          <t>채무보증</t>
        </is>
      </c>
      <c r="G117" s="7" t="inlineStr">
        <is>
          <t>관계</t>
        </is>
      </c>
      <c r="H117" s="5" t="n">
        <v>227819777630</v>
      </c>
      <c r="I117" s="13" t="n">
        <v>11.5</v>
      </c>
      <c r="J117" s="2" t="inlineStr">
        <is>
          <t>2023-12-13</t>
        </is>
      </c>
      <c r="K117" s="2" t="inlineStr">
        <is>
          <t>2034-12-24</t>
        </is>
      </c>
      <c r="L117" s="7" t="inlineStr">
        <is>
          <t>-</t>
        </is>
      </c>
      <c r="M117" s="2" t="inlineStr">
        <is>
          <t>20260605800623</t>
        </is>
      </c>
      <c r="N117" s="8">
        <f>HYPERLINK("https://dart.fss.or.kr/dsaf001/main.do?rcpNo=20260605800623", "공시열람")</f>
        <v/>
      </c>
    </row>
    <row r="118" ht="36" customHeight="1">
      <c r="A118" s="2" t="inlineStr">
        <is>
          <t>2026-06-05</t>
        </is>
      </c>
      <c r="B118" s="3" t="inlineStr">
        <is>
          <t>현대건설</t>
        </is>
      </c>
      <c r="C118" s="2" t="inlineStr">
        <is>
          <t>코스피</t>
        </is>
      </c>
      <c r="D118" s="2" t="inlineStr">
        <is>
          <t>000720</t>
        </is>
      </c>
      <c r="E118" s="3" t="inlineStr">
        <is>
          <t xml:space="preserve">타인에대한채무보증결정              </t>
        </is>
      </c>
      <c r="F118" s="2" t="inlineStr">
        <is>
          <t>채무보증</t>
        </is>
      </c>
      <c r="G118" s="7" t="inlineStr">
        <is>
          <t>관계</t>
        </is>
      </c>
      <c r="H118" s="5" t="n">
        <v>964151536800</v>
      </c>
      <c r="I118" s="13" t="n">
        <v>9.5</v>
      </c>
      <c r="J118" s="2" t="inlineStr">
        <is>
          <t>2026-06-15</t>
        </is>
      </c>
      <c r="K118" s="2" t="inlineStr">
        <is>
          <t>2031-04-30</t>
        </is>
      </c>
      <c r="L118" s="7" t="inlineStr">
        <is>
          <t>-</t>
        </is>
      </c>
      <c r="M118" s="2" t="inlineStr">
        <is>
          <t>20260605800675</t>
        </is>
      </c>
      <c r="N118" s="8">
        <f>HYPERLINK("https://dart.fss.or.kr/dsaf001/main.do?rcpNo=20260605800675", "공시열람")</f>
        <v/>
      </c>
    </row>
    <row r="119" ht="36" customHeight="1">
      <c r="A119" s="2" t="inlineStr">
        <is>
          <t>2025-12-05 (정정: 2026-06-05)</t>
        </is>
      </c>
      <c r="B119" s="3" t="inlineStr">
        <is>
          <t>AK홀딩스</t>
        </is>
      </c>
      <c r="C119" s="2" t="inlineStr">
        <is>
          <t>코스피</t>
        </is>
      </c>
      <c r="D119" s="2" t="inlineStr">
        <is>
          <t>006840</t>
        </is>
      </c>
      <c r="E119" s="3" t="inlineStr">
        <is>
          <t xml:space="preserve">[기재정정]금전대여결정(자회사의 주요경영사항)              </t>
        </is>
      </c>
      <c r="F119" s="2" t="inlineStr">
        <is>
          <t>금전대여</t>
        </is>
      </c>
      <c r="G119" s="7" t="inlineStr">
        <is>
          <t>제이온라이프(주)</t>
        </is>
      </c>
      <c r="H119" s="5" t="n">
        <v>30000000000</v>
      </c>
      <c r="I119" s="13" t="n">
        <v>13.64</v>
      </c>
      <c r="J119" s="2" t="inlineStr">
        <is>
          <t>2025-12-05</t>
        </is>
      </c>
      <c r="K119" s="2" t="inlineStr">
        <is>
          <t>2027-12-08</t>
        </is>
      </c>
      <c r="L119" s="7" t="inlineStr">
        <is>
          <t>이지스엑스사모부동산투자신탁14호(적격)의 리파이낸싱 참여</t>
        </is>
      </c>
      <c r="M119" s="2" t="inlineStr">
        <is>
          <t>20260605800460</t>
        </is>
      </c>
      <c r="N119" s="8">
        <f>HYPERLINK("https://dart.fss.or.kr/dsaf001/main.do?rcpNo=20260605800460", "공시열람")</f>
        <v/>
      </c>
    </row>
    <row r="120" ht="36" customHeight="1">
      <c r="A120" s="2" t="inlineStr">
        <is>
          <t>2026-06-05</t>
        </is>
      </c>
      <c r="B120" s="3" t="inlineStr">
        <is>
          <t>에이럭스</t>
        </is>
      </c>
      <c r="C120" s="2" t="inlineStr">
        <is>
          <t>코스닥</t>
        </is>
      </c>
      <c r="D120" s="2" t="inlineStr">
        <is>
          <t>475580</t>
        </is>
      </c>
      <c r="E120" s="3" t="inlineStr">
        <is>
          <t xml:space="preserve">금전대여결정              </t>
        </is>
      </c>
      <c r="F120" s="2" t="inlineStr">
        <is>
          <t>금전대여</t>
        </is>
      </c>
      <c r="G120" s="7" t="inlineStr">
        <is>
          <t>-</t>
        </is>
      </c>
      <c r="H120" s="5" t="n">
        <v>12000000000</v>
      </c>
      <c r="I120" s="13" t="n">
        <v>26.38</v>
      </c>
      <c r="J120" s="2" t="inlineStr">
        <is>
          <t>2026-06-11</t>
        </is>
      </c>
      <c r="K120" s="2" t="inlineStr">
        <is>
          <t>2027-06-10</t>
        </is>
      </c>
      <c r="L120" s="7" t="inlineStr">
        <is>
          <t>타법인 주식 취득 자금 및 사업 운영을 위한 자금대여</t>
        </is>
      </c>
      <c r="M120" s="2" t="inlineStr">
        <is>
          <t>20260605900284</t>
        </is>
      </c>
      <c r="N120" s="8">
        <f>HYPERLINK("https://dart.fss.or.kr/dsaf001/main.do?rcpNo=20260605900284", "공시열람")</f>
        <v/>
      </c>
    </row>
    <row r="121" ht="36" customHeight="1">
      <c r="A121" s="2" t="inlineStr">
        <is>
          <t>2026-06-05</t>
        </is>
      </c>
      <c r="B121" s="3" t="inlineStr">
        <is>
          <t>고려산업</t>
        </is>
      </c>
      <c r="C121" s="2" t="inlineStr">
        <is>
          <t>코스피</t>
        </is>
      </c>
      <c r="D121" s="2" t="inlineStr">
        <is>
          <t>002140</t>
        </is>
      </c>
      <c r="E121" s="3" t="inlineStr">
        <is>
          <t xml:space="preserve">타인에대한채무보증결정              </t>
        </is>
      </c>
      <c r="F121" s="2" t="inlineStr">
        <is>
          <t>채무보증</t>
        </is>
      </c>
      <c r="G121" s="7" t="inlineStr">
        <is>
          <t>관계</t>
        </is>
      </c>
      <c r="H121" s="5" t="n">
        <v>54000000000</v>
      </c>
      <c r="I121" s="13" t="n">
        <v>45.11</v>
      </c>
      <c r="J121" s="2" t="inlineStr">
        <is>
          <t>2026-06-07</t>
        </is>
      </c>
      <c r="K121" s="2" t="inlineStr">
        <is>
          <t>2027-06-06</t>
        </is>
      </c>
      <c r="L121" s="7" t="inlineStr">
        <is>
          <t>-</t>
        </is>
      </c>
      <c r="M121" s="2" t="inlineStr">
        <is>
          <t>20260605800173</t>
        </is>
      </c>
      <c r="N121" s="8">
        <f>HYPERLINK("https://dart.fss.or.kr/dsaf001/main.do?rcpNo=20260605800173", "공시열람")</f>
        <v/>
      </c>
    </row>
    <row r="122" ht="36" customHeight="1">
      <c r="A122" s="2" t="inlineStr">
        <is>
          <t>2026-06-08</t>
        </is>
      </c>
      <c r="B122" s="3" t="inlineStr">
        <is>
          <t>AK홀딩스</t>
        </is>
      </c>
      <c r="C122" s="2" t="inlineStr">
        <is>
          <t>코스피</t>
        </is>
      </c>
      <c r="D122" s="2" t="inlineStr">
        <is>
          <t>006840</t>
        </is>
      </c>
      <c r="E122" s="3" t="inlineStr">
        <is>
          <t xml:space="preserve">타인에대한채무보증결정(자회사의 주요경영사항)              </t>
        </is>
      </c>
      <c r="F122" s="2" t="inlineStr">
        <is>
          <t>채무보증</t>
        </is>
      </c>
      <c r="G122" s="7" t="inlineStr">
        <is>
          <t>관계</t>
        </is>
      </c>
      <c r="H122" s="5" t="n">
        <v>87833304000</v>
      </c>
      <c r="I122" s="13" t="n">
        <v>12.26</v>
      </c>
      <c r="J122" s="2" t="inlineStr">
        <is>
          <t>2026-06-17</t>
        </is>
      </c>
      <c r="K122" s="2" t="inlineStr">
        <is>
          <t>2026-12-25</t>
        </is>
      </c>
      <c r="L122" s="7" t="inlineStr">
        <is>
          <t>-</t>
        </is>
      </c>
      <c r="M122" s="2" t="inlineStr">
        <is>
          <t>20260608800665</t>
        </is>
      </c>
      <c r="N122" s="8">
        <f>HYPERLINK("https://dart.fss.or.kr/dsaf001/main.do?rcpNo=20260608800665", "공시열람")</f>
        <v/>
      </c>
    </row>
    <row r="123" ht="36" customHeight="1">
      <c r="A123" s="2" t="inlineStr">
        <is>
          <t>2026-06-08</t>
        </is>
      </c>
      <c r="B123" s="3" t="inlineStr">
        <is>
          <t>애경케미칼</t>
        </is>
      </c>
      <c r="C123" s="2" t="inlineStr">
        <is>
          <t>코스피</t>
        </is>
      </c>
      <c r="D123" s="2" t="inlineStr">
        <is>
          <t>161000</t>
        </is>
      </c>
      <c r="E123" s="3" t="inlineStr">
        <is>
          <t xml:space="preserve">타인에대한채무보증결정              </t>
        </is>
      </c>
      <c r="F123" s="2" t="inlineStr">
        <is>
          <t>채무보증</t>
        </is>
      </c>
      <c r="G123" s="7" t="inlineStr">
        <is>
          <t>관계</t>
        </is>
      </c>
      <c r="H123" s="5" t="n">
        <v>87833304000</v>
      </c>
      <c r="I123" s="13" t="n">
        <v>12.26</v>
      </c>
      <c r="J123" s="2" t="inlineStr">
        <is>
          <t>2026-06-17</t>
        </is>
      </c>
      <c r="K123" s="2" t="inlineStr">
        <is>
          <t>2026-12-25</t>
        </is>
      </c>
      <c r="L123" s="7" t="inlineStr">
        <is>
          <t>-</t>
        </is>
      </c>
      <c r="M123" s="2" t="inlineStr">
        <is>
          <t>20260608800664</t>
        </is>
      </c>
      <c r="N123" s="8">
        <f>HYPERLINK("https://dart.fss.or.kr/dsaf001/main.do?rcpNo=20260608800664", "공시열람")</f>
        <v/>
      </c>
    </row>
    <row r="124" ht="36" customHeight="1">
      <c r="A124" s="2" t="inlineStr">
        <is>
          <t>2026-06-09</t>
        </is>
      </c>
      <c r="B124" s="3" t="inlineStr">
        <is>
          <t>영원무역</t>
        </is>
      </c>
      <c r="C124" s="2" t="inlineStr">
        <is>
          <t>코스피</t>
        </is>
      </c>
      <c r="D124" s="2" t="inlineStr">
        <is>
          <t>111770</t>
        </is>
      </c>
      <c r="E124" s="3" t="inlineStr">
        <is>
          <t xml:space="preserve">타인에대한채무보증결정              </t>
        </is>
      </c>
      <c r="F124" s="2" t="inlineStr">
        <is>
          <t>채무보증</t>
        </is>
      </c>
      <c r="G124" s="7" t="inlineStr">
        <is>
          <t>관계</t>
        </is>
      </c>
      <c r="H124" s="5" t="n">
        <v>241160296000</v>
      </c>
      <c r="I124" s="13" t="n">
        <v>5.9</v>
      </c>
      <c r="J124" s="2" t="inlineStr">
        <is>
          <t>2026-06-26</t>
        </is>
      </c>
      <c r="K124" s="2" t="inlineStr">
        <is>
          <t>2028-08-07</t>
        </is>
      </c>
      <c r="L124" s="7" t="inlineStr">
        <is>
          <t>-</t>
        </is>
      </c>
      <c r="M124" s="2" t="inlineStr">
        <is>
          <t>20260609800743</t>
        </is>
      </c>
      <c r="N124" s="8">
        <f>HYPERLINK("https://dart.fss.or.kr/dsaf001/main.do?rcpNo=20260609800743", "공시열람")</f>
        <v/>
      </c>
    </row>
    <row r="125" ht="36" customHeight="1">
      <c r="A125" s="2" t="inlineStr">
        <is>
          <t>2026-06-09</t>
        </is>
      </c>
      <c r="B125" s="3" t="inlineStr">
        <is>
          <t>클래시스</t>
        </is>
      </c>
      <c r="C125" s="2" t="inlineStr">
        <is>
          <t>코스닥</t>
        </is>
      </c>
      <c r="D125" s="2" t="inlineStr">
        <is>
          <t>214150</t>
        </is>
      </c>
      <c r="E125" s="3" t="inlineStr">
        <is>
          <t xml:space="preserve">[기재정정]타인에대한채무보증결정              </t>
        </is>
      </c>
      <c r="F125" s="2" t="inlineStr">
        <is>
          <t>채무보증</t>
        </is>
      </c>
      <c r="G125" s="7" t="inlineStr">
        <is>
          <t>성명</t>
        </is>
      </c>
      <c r="H125" s="5" t="n">
        <v>34013040000</v>
      </c>
      <c r="I125" s="13" t="n">
        <v>6.2</v>
      </c>
      <c r="J125" s="2" t="inlineStr">
        <is>
          <t>2026-06-01</t>
        </is>
      </c>
      <c r="K125" s="2" t="inlineStr">
        <is>
          <t>2027-06-01</t>
        </is>
      </c>
      <c r="L125" s="7" t="inlineStr">
        <is>
          <t>-</t>
        </is>
      </c>
      <c r="M125" s="2" t="inlineStr">
        <is>
          <t>20260609900700</t>
        </is>
      </c>
      <c r="N125" s="8">
        <f>HYPERLINK("https://dart.fss.or.kr/dsaf001/main.do?rcpNo=20260609900700", "공시열람")</f>
        <v/>
      </c>
    </row>
    <row r="126" ht="36" customHeight="1">
      <c r="A126" s="2" t="inlineStr">
        <is>
          <t>2026-06-09</t>
        </is>
      </c>
      <c r="B126" s="3" t="inlineStr">
        <is>
          <t>LB세미콘</t>
        </is>
      </c>
      <c r="C126" s="2" t="inlineStr">
        <is>
          <t>코스닥</t>
        </is>
      </c>
      <c r="D126" s="2" t="inlineStr">
        <is>
          <t>061970</t>
        </is>
      </c>
      <c r="E126" s="3" t="inlineStr">
        <is>
          <t xml:space="preserve">[기재정정]타인에대한채무보증결정              </t>
        </is>
      </c>
      <c r="F126" s="2" t="inlineStr">
        <is>
          <t>채무보증</t>
        </is>
      </c>
      <c r="G126" s="7" t="inlineStr">
        <is>
          <t>성명</t>
        </is>
      </c>
      <c r="H126" s="5" t="n">
        <v>20790000000</v>
      </c>
      <c r="I126" s="13" t="n">
        <v>7.4</v>
      </c>
      <c r="J126" s="2" t="inlineStr">
        <is>
          <t>2024-06-01</t>
        </is>
      </c>
      <c r="K126" s="2" t="inlineStr">
        <is>
          <t>2026-12-10</t>
        </is>
      </c>
      <c r="L126" s="7" t="inlineStr">
        <is>
          <t>-</t>
        </is>
      </c>
      <c r="M126" s="2" t="inlineStr">
        <is>
          <t>20260609900675</t>
        </is>
      </c>
      <c r="N126" s="8">
        <f>HYPERLINK("https://dart.fss.or.kr/dsaf001/main.do?rcpNo=20260609900675", "공시열람")</f>
        <v/>
      </c>
    </row>
    <row r="127" ht="36" customHeight="1">
      <c r="A127" s="2" t="inlineStr">
        <is>
          <t>2026-06-09</t>
        </is>
      </c>
      <c r="B127" s="3" t="inlineStr">
        <is>
          <t>인지디스플레</t>
        </is>
      </c>
      <c r="C127" s="2" t="inlineStr">
        <is>
          <t>코스닥</t>
        </is>
      </c>
      <c r="D127" s="2" t="inlineStr">
        <is>
          <t>037330</t>
        </is>
      </c>
      <c r="E127" s="3" t="inlineStr">
        <is>
          <t xml:space="preserve">타인에대한채무보증결정              </t>
        </is>
      </c>
      <c r="F127" s="2" t="inlineStr">
        <is>
          <t>채무보증</t>
        </is>
      </c>
      <c r="G127" s="7" t="inlineStr">
        <is>
          <t>성명</t>
        </is>
      </c>
      <c r="H127" s="5" t="n">
        <v>15465000000</v>
      </c>
      <c r="I127" s="13" t="n">
        <v>7.2</v>
      </c>
      <c r="J127" s="2" t="inlineStr">
        <is>
          <t>2026-06-17</t>
        </is>
      </c>
      <c r="K127" s="2" t="inlineStr">
        <is>
          <t>2027-06-17</t>
        </is>
      </c>
      <c r="L127" s="7" t="inlineStr">
        <is>
          <t>-</t>
        </is>
      </c>
      <c r="M127" s="2" t="inlineStr">
        <is>
          <t>20260609900597</t>
        </is>
      </c>
      <c r="N127" s="8">
        <f>HYPERLINK("https://dart.fss.or.kr/dsaf001/main.do?rcpNo=20260609900597", "공시열람")</f>
        <v/>
      </c>
    </row>
    <row r="128" ht="36" customHeight="1">
      <c r="A128" s="2" t="inlineStr">
        <is>
          <t>2026-06-09</t>
        </is>
      </c>
      <c r="B128" s="3" t="inlineStr">
        <is>
          <t>인지디스플레</t>
        </is>
      </c>
      <c r="C128" s="2" t="inlineStr">
        <is>
          <t>코스닥</t>
        </is>
      </c>
      <c r="D128" s="2" t="inlineStr">
        <is>
          <t>037330</t>
        </is>
      </c>
      <c r="E128" s="3" t="inlineStr">
        <is>
          <t xml:space="preserve">타인에대한채무보증결정              </t>
        </is>
      </c>
      <c r="F128" s="2" t="inlineStr">
        <is>
          <t>채무보증</t>
        </is>
      </c>
      <c r="G128" s="7" t="inlineStr">
        <is>
          <t>성명</t>
        </is>
      </c>
      <c r="H128" s="5" t="n">
        <v>18558000000</v>
      </c>
      <c r="I128" s="13" t="n">
        <v>8.699999999999999</v>
      </c>
      <c r="J128" s="2" t="inlineStr">
        <is>
          <t>2026-06-16</t>
        </is>
      </c>
      <c r="K128" s="2" t="inlineStr">
        <is>
          <t>2027-06-15</t>
        </is>
      </c>
      <c r="L128" s="7" t="inlineStr">
        <is>
          <t>-</t>
        </is>
      </c>
      <c r="M128" s="2" t="inlineStr">
        <is>
          <t>20260609900595</t>
        </is>
      </c>
      <c r="N128" s="8">
        <f>HYPERLINK("https://dart.fss.or.kr/dsaf001/main.do?rcpNo=20260609900595", "공시열람")</f>
        <v/>
      </c>
    </row>
    <row r="129" ht="36" customHeight="1">
      <c r="A129" s="2" t="inlineStr">
        <is>
          <t>2026-06-09</t>
        </is>
      </c>
      <c r="B129" s="3" t="inlineStr">
        <is>
          <t>신송홀딩스</t>
        </is>
      </c>
      <c r="C129" s="2" t="inlineStr">
        <is>
          <t>코스피</t>
        </is>
      </c>
      <c r="D129" s="2" t="inlineStr">
        <is>
          <t>006880</t>
        </is>
      </c>
      <c r="E129" s="3" t="inlineStr">
        <is>
          <t xml:space="preserve">타인에대한채무보증결정(자회사의 주요경영사항)              </t>
        </is>
      </c>
      <c r="F129" s="2" t="inlineStr">
        <is>
          <t>채무보증</t>
        </is>
      </c>
      <c r="G129" s="7" t="inlineStr">
        <is>
          <t>관계</t>
        </is>
      </c>
      <c r="H129" s="5" t="n">
        <v>37032000000</v>
      </c>
      <c r="I129" s="13" t="n">
        <v>38.46</v>
      </c>
      <c r="J129" s="2" t="inlineStr">
        <is>
          <t>2026-06-14</t>
        </is>
      </c>
      <c r="K129" s="2" t="inlineStr">
        <is>
          <t>2027-06-14</t>
        </is>
      </c>
      <c r="L129" s="7" t="inlineStr">
        <is>
          <t>-</t>
        </is>
      </c>
      <c r="M129" s="2" t="inlineStr">
        <is>
          <t>20260609800358</t>
        </is>
      </c>
      <c r="N129" s="8">
        <f>HYPERLINK("https://dart.fss.or.kr/dsaf001/main.do?rcpNo=20260609800358", "공시열람")</f>
        <v/>
      </c>
    </row>
    <row r="130" ht="36" customHeight="1">
      <c r="A130" s="2" t="inlineStr">
        <is>
          <t>2026-06-10</t>
        </is>
      </c>
      <c r="B130" s="3" t="inlineStr">
        <is>
          <t>E8</t>
        </is>
      </c>
      <c r="C130" s="2" t="inlineStr">
        <is>
          <t>코스닥</t>
        </is>
      </c>
      <c r="D130" s="2" t="inlineStr">
        <is>
          <t>418620</t>
        </is>
      </c>
      <c r="E130" s="3" t="inlineStr">
        <is>
          <t xml:space="preserve">타인에대한담보제공결정              </t>
        </is>
      </c>
      <c r="F130" s="2" t="inlineStr">
        <is>
          <t>기타</t>
        </is>
      </c>
      <c r="G130" s="7" t="inlineStr">
        <is>
          <t>-</t>
        </is>
      </c>
      <c r="H130" s="5" t="inlineStr"/>
      <c r="I130" s="3" t="inlineStr"/>
      <c r="J130" s="2" t="inlineStr">
        <is>
          <t>-</t>
        </is>
      </c>
      <c r="K130" s="2" t="inlineStr">
        <is>
          <t>-</t>
        </is>
      </c>
      <c r="L130" s="7" t="inlineStr">
        <is>
          <t>-</t>
        </is>
      </c>
      <c r="M130" s="2" t="inlineStr">
        <is>
          <t>20260610900963</t>
        </is>
      </c>
      <c r="N130" s="8">
        <f>HYPERLINK("https://dart.fss.or.kr/dsaf001/main.do?rcpNo=20260610900963", "공시열람")</f>
        <v/>
      </c>
    </row>
    <row r="131" ht="36" customHeight="1">
      <c r="A131" s="2" t="inlineStr">
        <is>
          <t>2026-06-10</t>
        </is>
      </c>
      <c r="B131" s="3" t="inlineStr">
        <is>
          <t>모바일어플라이언스</t>
        </is>
      </c>
      <c r="C131" s="2" t="inlineStr">
        <is>
          <t>코스닥</t>
        </is>
      </c>
      <c r="D131" s="2" t="inlineStr">
        <is>
          <t>087260</t>
        </is>
      </c>
      <c r="E131" s="3" t="inlineStr">
        <is>
          <t xml:space="preserve">타인에대한담보제공결정              </t>
        </is>
      </c>
      <c r="F131" s="2" t="inlineStr">
        <is>
          <t>기타</t>
        </is>
      </c>
      <c r="G131" s="7" t="inlineStr">
        <is>
          <t>-</t>
        </is>
      </c>
      <c r="H131" s="5" t="inlineStr"/>
      <c r="I131" s="3" t="inlineStr"/>
      <c r="J131" s="2" t="inlineStr">
        <is>
          <t>-</t>
        </is>
      </c>
      <c r="K131" s="2" t="inlineStr">
        <is>
          <t>-</t>
        </is>
      </c>
      <c r="L131" s="7" t="inlineStr">
        <is>
          <t>-</t>
        </is>
      </c>
      <c r="M131" s="2" t="inlineStr">
        <is>
          <t>20260610900843</t>
        </is>
      </c>
      <c r="N131" s="8">
        <f>HYPERLINK("https://dart.fss.or.kr/dsaf001/main.do?rcpNo=20260610900843", "공시열람")</f>
        <v/>
      </c>
    </row>
    <row r="132" ht="36" customHeight="1">
      <c r="A132" s="2" t="inlineStr">
        <is>
          <t>2026-06-10</t>
        </is>
      </c>
      <c r="B132" s="3" t="inlineStr">
        <is>
          <t>엑스큐어</t>
        </is>
      </c>
      <c r="C132" s="2" t="inlineStr">
        <is>
          <t>코스닥</t>
        </is>
      </c>
      <c r="D132" s="2" t="inlineStr">
        <is>
          <t>070300</t>
        </is>
      </c>
      <c r="E132" s="3" t="inlineStr">
        <is>
          <t>금전대여결정              (대여기간 연장)</t>
        </is>
      </c>
      <c r="F132" s="2" t="inlineStr">
        <is>
          <t>금전대여</t>
        </is>
      </c>
      <c r="G132" s="7" t="inlineStr">
        <is>
          <t>-</t>
        </is>
      </c>
      <c r="H132" s="5" t="n">
        <v>6300000000</v>
      </c>
      <c r="I132" s="13" t="n">
        <v>13.49</v>
      </c>
      <c r="J132" s="2" t="inlineStr">
        <is>
          <t>2025-11-13</t>
        </is>
      </c>
      <c r="K132" s="2" t="inlineStr">
        <is>
          <t>2026-09-10</t>
        </is>
      </c>
      <c r="L132" s="7" t="inlineStr">
        <is>
          <t>자금대여를 통한 금융이익 확보</t>
        </is>
      </c>
      <c r="M132" s="2" t="inlineStr">
        <is>
          <t>20260610900607</t>
        </is>
      </c>
      <c r="N132" s="8">
        <f>HYPERLINK("https://dart.fss.or.kr/dsaf001/main.do?rcpNo=20260610900607", "공시열람")</f>
        <v/>
      </c>
    </row>
    <row r="133" ht="36" customHeight="1">
      <c r="A133" s="2" t="inlineStr">
        <is>
          <t>2026-06-11</t>
        </is>
      </c>
      <c r="B133" s="3" t="inlineStr">
        <is>
          <t>제이씨케미칼</t>
        </is>
      </c>
      <c r="C133" s="2" t="inlineStr">
        <is>
          <t>코스닥</t>
        </is>
      </c>
      <c r="D133" s="2" t="inlineStr">
        <is>
          <t>137950</t>
        </is>
      </c>
      <c r="E133" s="3" t="inlineStr">
        <is>
          <t>금전대여결정              (대여기간 연장)</t>
        </is>
      </c>
      <c r="F133" s="2" t="inlineStr">
        <is>
          <t>금전대여</t>
        </is>
      </c>
      <c r="G133" s="7" t="inlineStr">
        <is>
          <t>-</t>
        </is>
      </c>
      <c r="H133" s="5" t="n">
        <v>12757712000</v>
      </c>
      <c r="I133" s="13" t="n">
        <v>8.83</v>
      </c>
      <c r="J133" s="2" t="inlineStr">
        <is>
          <t>2026-06-16</t>
        </is>
      </c>
      <c r="K133" s="2" t="inlineStr">
        <is>
          <t>2029-12-31</t>
        </is>
      </c>
      <c r="L133" s="7" t="inlineStr">
        <is>
          <t>Oil Palm Plantation 사업 운영자금</t>
        </is>
      </c>
      <c r="M133" s="2" t="inlineStr">
        <is>
          <t>20260611900750</t>
        </is>
      </c>
      <c r="N133" s="8">
        <f>HYPERLINK("https://dart.fss.or.kr/dsaf001/main.do?rcpNo=20260611900750", "공시열람")</f>
        <v/>
      </c>
    </row>
    <row r="134" ht="36" customHeight="1">
      <c r="A134" s="2" t="inlineStr">
        <is>
          <t>2026-06-11</t>
        </is>
      </c>
      <c r="B134" s="3" t="inlineStr">
        <is>
          <t>GS</t>
        </is>
      </c>
      <c r="C134" s="2" t="inlineStr">
        <is>
          <t>코스피</t>
        </is>
      </c>
      <c r="D134" s="2" t="inlineStr">
        <is>
          <t>078930</t>
        </is>
      </c>
      <c r="E134" s="3" t="inlineStr">
        <is>
          <t xml:space="preserve">타인에대한채무보증결정(자회사의 주요경영사항)              </t>
        </is>
      </c>
      <c r="F134" s="2" t="inlineStr">
        <is>
          <t>채무보증</t>
        </is>
      </c>
      <c r="G134" s="7" t="inlineStr">
        <is>
          <t>관계</t>
        </is>
      </c>
      <c r="H134" s="5" t="n">
        <v>409525600000</v>
      </c>
      <c r="I134" s="13" t="n">
        <v>3.83</v>
      </c>
      <c r="J134" s="2" t="inlineStr">
        <is>
          <t>2026-07-02</t>
        </is>
      </c>
      <c r="K134" s="2" t="inlineStr">
        <is>
          <t>2027-07-05</t>
        </is>
      </c>
      <c r="L134" s="7" t="inlineStr">
        <is>
          <t>-</t>
        </is>
      </c>
      <c r="M134" s="2" t="inlineStr">
        <is>
          <t>20260611800585</t>
        </is>
      </c>
      <c r="N134" s="8">
        <f>HYPERLINK("https://dart.fss.or.kr/dsaf001/main.do?rcpNo=20260611800585", "공시열람")</f>
        <v/>
      </c>
    </row>
    <row r="135" ht="36" customHeight="1">
      <c r="A135" s="2" t="inlineStr">
        <is>
          <t>2025-06-12 (정정: 2026-06-11)</t>
        </is>
      </c>
      <c r="B135" s="3" t="inlineStr">
        <is>
          <t>대화제약</t>
        </is>
      </c>
      <c r="C135" s="2" t="inlineStr">
        <is>
          <t>코스닥</t>
        </is>
      </c>
      <c r="D135" s="2" t="inlineStr">
        <is>
          <t>067080</t>
        </is>
      </c>
      <c r="E135" s="3" t="inlineStr">
        <is>
          <t xml:space="preserve">[기재정정]타인에대한채무보증결정              </t>
        </is>
      </c>
      <c r="F135" s="2" t="inlineStr">
        <is>
          <t>채무보증</t>
        </is>
      </c>
      <c r="G135" s="7" t="inlineStr">
        <is>
          <t>성명</t>
        </is>
      </c>
      <c r="H135" s="5" t="n">
        <v>3600000000</v>
      </c>
      <c r="I135" s="13" t="n">
        <v>4.5</v>
      </c>
      <c r="J135" s="2" t="inlineStr">
        <is>
          <t>2026-06-12</t>
        </is>
      </c>
      <c r="K135" s="2" t="inlineStr">
        <is>
          <t>2027-06-11</t>
        </is>
      </c>
      <c r="L135" s="7" t="inlineStr">
        <is>
          <t>-</t>
        </is>
      </c>
      <c r="M135" s="2" t="inlineStr">
        <is>
          <t>20260611900342</t>
        </is>
      </c>
      <c r="N135" s="8">
        <f>HYPERLINK("https://dart.fss.or.kr/dsaf001/main.do?rcpNo=20260611900342", "공시열람")</f>
        <v/>
      </c>
    </row>
    <row r="136" ht="36" customHeight="1">
      <c r="A136" s="2" t="inlineStr">
        <is>
          <t>2026-06-11</t>
        </is>
      </c>
      <c r="B136" s="3" t="inlineStr">
        <is>
          <t>LS에코에너지</t>
        </is>
      </c>
      <c r="C136" s="2" t="inlineStr">
        <is>
          <t>코스피</t>
        </is>
      </c>
      <c r="D136" s="2" t="inlineStr">
        <is>
          <t>229640</t>
        </is>
      </c>
      <c r="E136" s="3" t="inlineStr">
        <is>
          <t xml:space="preserve">타인에대한채무보증결정              </t>
        </is>
      </c>
      <c r="F136" s="2" t="inlineStr">
        <is>
          <t>채무보증</t>
        </is>
      </c>
      <c r="G136" s="7" t="inlineStr">
        <is>
          <t>관계</t>
        </is>
      </c>
      <c r="H136" s="5" t="n">
        <v>44910800000</v>
      </c>
      <c r="I136" s="13" t="n">
        <v>19.89</v>
      </c>
      <c r="J136" s="2" t="inlineStr">
        <is>
          <t>2026-07-06</t>
        </is>
      </c>
      <c r="K136" s="2" t="inlineStr">
        <is>
          <t>2027-07-06</t>
        </is>
      </c>
      <c r="L136" s="7" t="inlineStr">
        <is>
          <t>-</t>
        </is>
      </c>
      <c r="M136" s="2" t="inlineStr">
        <is>
          <t>20260611800193</t>
        </is>
      </c>
      <c r="N136" s="8">
        <f>HYPERLINK("https://dart.fss.or.kr/dsaf001/main.do?rcpNo=20260611800193", "공시열람")</f>
        <v/>
      </c>
    </row>
    <row r="137" ht="36" customHeight="1">
      <c r="A137" s="2" t="inlineStr">
        <is>
          <t>2026-06-12</t>
        </is>
      </c>
      <c r="B137" s="3" t="inlineStr">
        <is>
          <t>솔루스첨단소재</t>
        </is>
      </c>
      <c r="C137" s="2" t="inlineStr">
        <is>
          <t>코스피</t>
        </is>
      </c>
      <c r="D137" s="2" t="inlineStr">
        <is>
          <t>336370</t>
        </is>
      </c>
      <c r="E137" s="3" t="inlineStr">
        <is>
          <t xml:space="preserve">타인에대한채무보증결정              </t>
        </is>
      </c>
      <c r="F137" s="2" t="inlineStr">
        <is>
          <t>채무보증</t>
        </is>
      </c>
      <c r="G137" s="7" t="inlineStr">
        <is>
          <t>관계</t>
        </is>
      </c>
      <c r="H137" s="5" t="n">
        <v>26528550000</v>
      </c>
      <c r="I137" s="13" t="n">
        <v>2.81</v>
      </c>
      <c r="J137" s="2" t="inlineStr">
        <is>
          <t>CNY 34,436,358</t>
        </is>
      </c>
      <c r="K137" s="2" t="inlineStr">
        <is>
          <t>2027-06-23</t>
        </is>
      </c>
      <c r="L137" s="7" t="inlineStr">
        <is>
          <t>-</t>
        </is>
      </c>
      <c r="M137" s="2" t="inlineStr">
        <is>
          <t>20260612801092</t>
        </is>
      </c>
      <c r="N137" s="8">
        <f>HYPERLINK("https://dart.fss.or.kr/dsaf001/main.do?rcpNo=20260612801092", "공시열람")</f>
        <v/>
      </c>
    </row>
    <row r="138" ht="36" customHeight="1">
      <c r="A138" s="2" t="inlineStr">
        <is>
          <t>2026-06-12</t>
        </is>
      </c>
      <c r="B138" s="3" t="inlineStr">
        <is>
          <t>KH바텍</t>
        </is>
      </c>
      <c r="C138" s="2" t="inlineStr">
        <is>
          <t>코스닥</t>
        </is>
      </c>
      <c r="D138" s="2" t="inlineStr">
        <is>
          <t>060720</t>
        </is>
      </c>
      <c r="E138" s="3" t="inlineStr">
        <is>
          <t xml:space="preserve">타인에대한채무보증결정              </t>
        </is>
      </c>
      <c r="F138" s="2" t="inlineStr">
        <is>
          <t>채무보증</t>
        </is>
      </c>
      <c r="G138" s="7" t="inlineStr">
        <is>
          <t>성명</t>
        </is>
      </c>
      <c r="H138" s="5" t="n">
        <v>21378000000</v>
      </c>
      <c r="I138" s="13" t="n">
        <v>7.8</v>
      </c>
      <c r="J138" s="2" t="inlineStr">
        <is>
          <t>2026-06-23</t>
        </is>
      </c>
      <c r="K138" s="2" t="inlineStr">
        <is>
          <t>2027-06-22</t>
        </is>
      </c>
      <c r="L138" s="7" t="inlineStr">
        <is>
          <t>-</t>
        </is>
      </c>
      <c r="M138" s="2" t="inlineStr">
        <is>
          <t>20260612901003</t>
        </is>
      </c>
      <c r="N138" s="8">
        <f>HYPERLINK("https://dart.fss.or.kr/dsaf001/main.do?rcpNo=20260612901003", "공시열람")</f>
        <v/>
      </c>
    </row>
    <row r="139" ht="36" customHeight="1">
      <c r="A139" s="2" t="inlineStr">
        <is>
          <t>2026-06-12 (정정: 2026-06-17)</t>
        </is>
      </c>
      <c r="B139" s="3" t="inlineStr">
        <is>
          <t>GS글로벌</t>
        </is>
      </c>
      <c r="C139" s="2" t="inlineStr">
        <is>
          <t>코스피</t>
        </is>
      </c>
      <c r="D139" s="2" t="inlineStr">
        <is>
          <t>001250</t>
        </is>
      </c>
      <c r="E139" s="3" t="inlineStr">
        <is>
          <t>타인에대한채무보증결정               (정정: 20260617)</t>
        </is>
      </c>
      <c r="F139" s="2" t="inlineStr">
        <is>
          <t>채무보증</t>
        </is>
      </c>
      <c r="G139" s="7" t="inlineStr">
        <is>
          <t>관계</t>
        </is>
      </c>
      <c r="H139" s="5" t="n">
        <v>35000000000</v>
      </c>
      <c r="I139" s="13" t="n">
        <v>6.14</v>
      </c>
      <c r="J139" s="2" t="inlineStr">
        <is>
          <t>-</t>
        </is>
      </c>
      <c r="K139" s="2" t="inlineStr">
        <is>
          <t>-</t>
        </is>
      </c>
      <c r="L139" s="7" t="inlineStr">
        <is>
          <t>-</t>
        </is>
      </c>
      <c r="M139" s="2" t="inlineStr">
        <is>
          <t>20260617800550</t>
        </is>
      </c>
      <c r="N139" s="8">
        <f>HYPERLINK("https://dart.fss.or.kr/dsaf001/main.do?rcpNo=20260617800550", "공시열람")</f>
        <v/>
      </c>
    </row>
    <row r="140" ht="36" customHeight="1">
      <c r="A140" s="2" t="inlineStr">
        <is>
          <t>2026-06-12</t>
        </is>
      </c>
      <c r="B140" s="3" t="inlineStr">
        <is>
          <t>씨에스베어링</t>
        </is>
      </c>
      <c r="C140" s="2" t="inlineStr">
        <is>
          <t>코스닥</t>
        </is>
      </c>
      <c r="D140" s="2" t="inlineStr">
        <is>
          <t>297090</t>
        </is>
      </c>
      <c r="E140" s="3" t="inlineStr">
        <is>
          <t xml:space="preserve">타인에대한채무보증결정              </t>
        </is>
      </c>
      <c r="F140" s="2" t="inlineStr">
        <is>
          <t>채무보증</t>
        </is>
      </c>
      <c r="G140" s="7" t="inlineStr">
        <is>
          <t>성명</t>
        </is>
      </c>
      <c r="H140" s="5" t="n">
        <v>18629400000</v>
      </c>
      <c r="I140" s="13" t="n">
        <v>18.5</v>
      </c>
      <c r="J140" s="2" t="inlineStr">
        <is>
          <t>2026-06-15</t>
        </is>
      </c>
      <c r="K140" s="2" t="inlineStr">
        <is>
          <t>2027-04-15</t>
        </is>
      </c>
      <c r="L140" s="7" t="inlineStr">
        <is>
          <t>-</t>
        </is>
      </c>
      <c r="M140" s="2" t="inlineStr">
        <is>
          <t>20260612900403</t>
        </is>
      </c>
      <c r="N140" s="8">
        <f>HYPERLINK("https://dart.fss.or.kr/dsaf001/main.do?rcpNo=20260612900403", "공시열람")</f>
        <v/>
      </c>
    </row>
    <row r="141" ht="36" customHeight="1">
      <c r="A141" s="2" t="inlineStr">
        <is>
          <t>2026-06-12</t>
        </is>
      </c>
      <c r="B141" s="3" t="inlineStr">
        <is>
          <t>에스에이엠티</t>
        </is>
      </c>
      <c r="C141" s="2" t="inlineStr">
        <is>
          <t>코스닥</t>
        </is>
      </c>
      <c r="D141" s="2" t="inlineStr">
        <is>
          <t>031330</t>
        </is>
      </c>
      <c r="E141" s="3" t="inlineStr">
        <is>
          <t xml:space="preserve">[첨부정정]타인에대한채무보증결정              </t>
        </is>
      </c>
      <c r="F141" s="2" t="inlineStr">
        <is>
          <t>채무보증</t>
        </is>
      </c>
      <c r="G141" s="7" t="inlineStr">
        <is>
          <t>-</t>
        </is>
      </c>
      <c r="H141" s="5" t="inlineStr"/>
      <c r="I141" s="3" t="inlineStr"/>
      <c r="J141" s="2" t="inlineStr">
        <is>
          <t>-</t>
        </is>
      </c>
      <c r="K141" s="2" t="inlineStr">
        <is>
          <t>-</t>
        </is>
      </c>
      <c r="L141" s="7" t="inlineStr">
        <is>
          <t>-</t>
        </is>
      </c>
      <c r="M141" s="2" t="inlineStr">
        <is>
          <t>20260612900362</t>
        </is>
      </c>
      <c r="N141" s="8">
        <f>HYPERLINK("https://dart.fss.or.kr/dsaf001/main.do?rcpNo=20260612900362", "공시열람")</f>
        <v/>
      </c>
    </row>
    <row r="142" ht="36" customHeight="1">
      <c r="A142" s="2" t="inlineStr">
        <is>
          <t>2026-06-12</t>
        </is>
      </c>
      <c r="B142" s="3" t="inlineStr">
        <is>
          <t>유티아이</t>
        </is>
      </c>
      <c r="C142" s="2" t="inlineStr">
        <is>
          <t>코스닥</t>
        </is>
      </c>
      <c r="D142" s="2" t="inlineStr">
        <is>
          <t>179900</t>
        </is>
      </c>
      <c r="E142" s="3" t="inlineStr">
        <is>
          <t>금전대여결정              (대여기간 연장)</t>
        </is>
      </c>
      <c r="F142" s="2" t="inlineStr">
        <is>
          <t>금전대여</t>
        </is>
      </c>
      <c r="G142" s="7" t="inlineStr">
        <is>
          <t>-</t>
        </is>
      </c>
      <c r="H142" s="5" t="n">
        <v>7024200000</v>
      </c>
      <c r="I142" s="13" t="n">
        <v>10.7</v>
      </c>
      <c r="J142" s="2" t="inlineStr">
        <is>
          <t>2026-06-13</t>
        </is>
      </c>
      <c r="K142" s="2" t="inlineStr">
        <is>
          <t>2033-06-12</t>
        </is>
      </c>
      <c r="L142" s="7" t="inlineStr">
        <is>
          <t>설비투자자금 대여</t>
        </is>
      </c>
      <c r="M142" s="2" t="inlineStr">
        <is>
          <t>20260612900263</t>
        </is>
      </c>
      <c r="N142" s="8">
        <f>HYPERLINK("https://dart.fss.or.kr/dsaf001/main.do?rcpNo=20260612900263", "공시열람")</f>
        <v/>
      </c>
    </row>
    <row r="143" ht="36" customHeight="1">
      <c r="A143" s="2" t="inlineStr">
        <is>
          <t>2026-06-15</t>
        </is>
      </c>
      <c r="B143" s="3" t="inlineStr">
        <is>
          <t>엔켐</t>
        </is>
      </c>
      <c r="C143" s="2" t="inlineStr">
        <is>
          <t>코스닥</t>
        </is>
      </c>
      <c r="D143" s="2" t="inlineStr">
        <is>
          <t>348370</t>
        </is>
      </c>
      <c r="E143" s="3" t="inlineStr">
        <is>
          <t xml:space="preserve">타인에대한채무보증결정              </t>
        </is>
      </c>
      <c r="F143" s="2" t="inlineStr">
        <is>
          <t>채무보증</t>
        </is>
      </c>
      <c r="G143" s="7" t="inlineStr">
        <is>
          <t>관계</t>
        </is>
      </c>
      <c r="H143" s="5" t="n">
        <v>45612000000</v>
      </c>
      <c r="I143" s="13" t="n">
        <v>9.48</v>
      </c>
      <c r="J143" s="2" t="inlineStr">
        <is>
          <t>2026-06-13</t>
        </is>
      </c>
      <c r="K143" s="2" t="inlineStr">
        <is>
          <t>2026-09-13</t>
        </is>
      </c>
      <c r="L143" s="7" t="inlineStr">
        <is>
          <t>-</t>
        </is>
      </c>
      <c r="M143" s="2" t="inlineStr">
        <is>
          <t>20260615900964</t>
        </is>
      </c>
      <c r="N143" s="8">
        <f>HYPERLINK("https://dart.fss.or.kr/dsaf001/main.do?rcpNo=20260615900964", "공시열람")</f>
        <v/>
      </c>
    </row>
    <row r="144" ht="36" customHeight="1">
      <c r="A144" s="2" t="inlineStr">
        <is>
          <t>2026-06-15</t>
        </is>
      </c>
      <c r="B144" s="3" t="inlineStr">
        <is>
          <t>공구우먼</t>
        </is>
      </c>
      <c r="C144" s="2" t="inlineStr">
        <is>
          <t>코스닥</t>
        </is>
      </c>
      <c r="D144" s="2" t="inlineStr">
        <is>
          <t>366030</t>
        </is>
      </c>
      <c r="E144" s="3" t="inlineStr">
        <is>
          <t xml:space="preserve">금전대여결정              </t>
        </is>
      </c>
      <c r="F144" s="2" t="inlineStr">
        <is>
          <t>금전대여</t>
        </is>
      </c>
      <c r="G144" s="7" t="inlineStr">
        <is>
          <t>-</t>
        </is>
      </c>
      <c r="H144" s="5" t="n">
        <v>25000000000</v>
      </c>
      <c r="I144" s="13" t="n">
        <v>30.35</v>
      </c>
      <c r="J144" s="2" t="inlineStr">
        <is>
          <t>2026-06-15</t>
        </is>
      </c>
      <c r="K144" s="2" t="inlineStr">
        <is>
          <t>2026-12-15</t>
        </is>
      </c>
      <c r="L144" s="7" t="inlineStr">
        <is>
          <t>유휴자금 단기 운용을 통한 은행예금 대비 안정적 이자수익 확보</t>
        </is>
      </c>
      <c r="M144" s="2" t="inlineStr">
        <is>
          <t>20260615900844</t>
        </is>
      </c>
      <c r="N144" s="8">
        <f>HYPERLINK("https://dart.fss.or.kr/dsaf001/main.do?rcpNo=20260615900844", "공시열람")</f>
        <v/>
      </c>
    </row>
    <row r="145" ht="36" customHeight="1">
      <c r="A145" s="2" t="inlineStr">
        <is>
          <t>2026-06-15</t>
        </is>
      </c>
      <c r="B145" s="3" t="inlineStr">
        <is>
          <t>JTC</t>
        </is>
      </c>
      <c r="C145" s="2" t="inlineStr">
        <is>
          <t>코스닥</t>
        </is>
      </c>
      <c r="D145" s="2" t="inlineStr">
        <is>
          <t>950170</t>
        </is>
      </c>
      <c r="E145" s="3" t="inlineStr">
        <is>
          <t xml:space="preserve">금전대여결정              </t>
        </is>
      </c>
      <c r="F145" s="2" t="inlineStr">
        <is>
          <t>금전대여</t>
        </is>
      </c>
      <c r="G145" s="7" t="inlineStr">
        <is>
          <t>-</t>
        </is>
      </c>
      <c r="H145" s="5" t="n">
        <v>16901520000</v>
      </c>
      <c r="I145" s="13" t="n">
        <v>9.85</v>
      </c>
      <c r="J145" s="2" t="inlineStr">
        <is>
          <t>2018-07-10</t>
        </is>
      </c>
      <c r="K145" s="2" t="inlineStr">
        <is>
          <t>2028-07-09</t>
        </is>
      </c>
      <c r="L145" s="7" t="inlineStr">
        <is>
          <t>기존 자금대여에 대한 원금변제 거치기간 연장</t>
        </is>
      </c>
      <c r="M145" s="2" t="inlineStr">
        <is>
          <t>20260615900776</t>
        </is>
      </c>
      <c r="N145" s="8">
        <f>HYPERLINK("https://dart.fss.or.kr/dsaf001/main.do?rcpNo=20260615900776", "공시열람")</f>
        <v/>
      </c>
    </row>
    <row r="146" ht="36" customHeight="1">
      <c r="A146" s="2" t="inlineStr">
        <is>
          <t>2026-06-15</t>
        </is>
      </c>
      <c r="B146" s="3" t="inlineStr">
        <is>
          <t>알비더블유</t>
        </is>
      </c>
      <c r="C146" s="2" t="inlineStr">
        <is>
          <t>코스닥</t>
        </is>
      </c>
      <c r="D146" s="2" t="inlineStr">
        <is>
          <t>361570</t>
        </is>
      </c>
      <c r="E146" s="3" t="inlineStr">
        <is>
          <t xml:space="preserve">타인에대한채무보증결정              </t>
        </is>
      </c>
      <c r="F146" s="2" t="inlineStr">
        <is>
          <t>채무보증</t>
        </is>
      </c>
      <c r="G146" s="7" t="inlineStr">
        <is>
          <t>성명</t>
        </is>
      </c>
      <c r="H146" s="5" t="n">
        <v>10000000000</v>
      </c>
      <c r="I146" s="13" t="n">
        <v>14.8</v>
      </c>
      <c r="J146" s="2" t="inlineStr">
        <is>
          <t>2026-06-15</t>
        </is>
      </c>
      <c r="K146" s="2" t="inlineStr">
        <is>
          <t>2031-06-30</t>
        </is>
      </c>
      <c r="L146" s="7" t="inlineStr">
        <is>
          <t>-</t>
        </is>
      </c>
      <c r="M146" s="2" t="inlineStr">
        <is>
          <t>20260615900663</t>
        </is>
      </c>
      <c r="N146" s="8">
        <f>HYPERLINK("https://dart.fss.or.kr/dsaf001/main.do?rcpNo=20260615900663", "공시열람")</f>
        <v/>
      </c>
    </row>
    <row r="147" ht="36" customHeight="1">
      <c r="A147" s="2" t="inlineStr">
        <is>
          <t>2026-06-15</t>
        </is>
      </c>
      <c r="B147" s="3" t="inlineStr">
        <is>
          <t>AK홀딩스</t>
        </is>
      </c>
      <c r="C147" s="2" t="inlineStr">
        <is>
          <t>코스피</t>
        </is>
      </c>
      <c r="D147" s="2" t="inlineStr">
        <is>
          <t>006840</t>
        </is>
      </c>
      <c r="E147" s="3" t="inlineStr">
        <is>
          <t xml:space="preserve">금전대여결정              </t>
        </is>
      </c>
      <c r="F147" s="2" t="inlineStr">
        <is>
          <t>금전대여</t>
        </is>
      </c>
      <c r="G147" s="7" t="inlineStr">
        <is>
          <t>에이케이아이에스(주)</t>
        </is>
      </c>
      <c r="H147" s="5" t="n">
        <v>56500000000</v>
      </c>
      <c r="I147" s="13" t="n">
        <v>5.03</v>
      </c>
      <c r="J147" s="2" t="inlineStr">
        <is>
          <t>2026-06-23</t>
        </is>
      </c>
      <c r="K147" s="2" t="inlineStr">
        <is>
          <t>2027-06-22</t>
        </is>
      </c>
      <c r="L147" s="7" t="inlineStr">
        <is>
          <t>사업포트폴리오 재편</t>
        </is>
      </c>
      <c r="M147" s="2" t="inlineStr">
        <is>
          <t>20260615800539</t>
        </is>
      </c>
      <c r="N147" s="8">
        <f>HYPERLINK("https://dart.fss.or.kr/dsaf001/main.do?rcpNo=20260615800539", "공시열람")</f>
        <v/>
      </c>
    </row>
    <row r="148" ht="36" customHeight="1">
      <c r="A148" s="2" t="inlineStr">
        <is>
          <t>2026-06-15</t>
        </is>
      </c>
      <c r="B148" s="3" t="inlineStr">
        <is>
          <t>AK홀딩스</t>
        </is>
      </c>
      <c r="C148" s="2" t="inlineStr">
        <is>
          <t>코스피</t>
        </is>
      </c>
      <c r="D148" s="2" t="inlineStr">
        <is>
          <t>006840</t>
        </is>
      </c>
      <c r="E148" s="3" t="inlineStr">
        <is>
          <t xml:space="preserve">타인에대한담보제공결정              </t>
        </is>
      </c>
      <c r="F148" s="2" t="inlineStr">
        <is>
          <t>기타</t>
        </is>
      </c>
      <c r="G148" s="7" t="inlineStr">
        <is>
          <t>-</t>
        </is>
      </c>
      <c r="H148" s="5" t="inlineStr"/>
      <c r="I148" s="3" t="inlineStr"/>
      <c r="J148" s="2" t="inlineStr">
        <is>
          <t>-</t>
        </is>
      </c>
      <c r="K148" s="2" t="inlineStr">
        <is>
          <t>-</t>
        </is>
      </c>
      <c r="L148" s="7" t="inlineStr">
        <is>
          <t>-</t>
        </is>
      </c>
      <c r="M148" s="2" t="inlineStr">
        <is>
          <t>20260615800462</t>
        </is>
      </c>
      <c r="N148" s="8">
        <f>HYPERLINK("https://dart.fss.or.kr/dsaf001/main.do?rcpNo=20260615800462", "공시열람")</f>
        <v/>
      </c>
    </row>
    <row r="149" ht="36" customHeight="1">
      <c r="A149" s="2" t="inlineStr">
        <is>
          <t>2026-06-16 (정정: 2026-06-16)</t>
        </is>
      </c>
      <c r="B149" s="3" t="inlineStr">
        <is>
          <t>핸즈코퍼레이션</t>
        </is>
      </c>
      <c r="C149" s="2" t="inlineStr">
        <is>
          <t>코스피</t>
        </is>
      </c>
      <c r="D149" s="2" t="inlineStr">
        <is>
          <t>143210</t>
        </is>
      </c>
      <c r="E149" s="3" t="inlineStr">
        <is>
          <t>[기재정정]타인에대한채무보증결정               (정정: 20260616)</t>
        </is>
      </c>
      <c r="F149" s="2" t="inlineStr">
        <is>
          <t>채무보증</t>
        </is>
      </c>
      <c r="G149" s="7" t="inlineStr">
        <is>
          <t>관계</t>
        </is>
      </c>
      <c r="H149" s="5" t="n">
        <v>20632449600</v>
      </c>
      <c r="I149" s="13" t="n">
        <v>6.37</v>
      </c>
      <c r="J149" s="2" t="inlineStr">
        <is>
          <t>2018-07-03</t>
        </is>
      </c>
      <c r="K149" s="2" t="inlineStr">
        <is>
          <t>2026-07-03</t>
        </is>
      </c>
      <c r="L149" s="7" t="inlineStr">
        <is>
          <t>-</t>
        </is>
      </c>
      <c r="M149" s="2" t="inlineStr">
        <is>
          <t>20260616800516</t>
        </is>
      </c>
      <c r="N149" s="8">
        <f>HYPERLINK("https://dart.fss.or.kr/dsaf001/main.do?rcpNo=20260616800516", "공시열람")</f>
        <v/>
      </c>
    </row>
    <row r="150" ht="36" customHeight="1">
      <c r="A150" s="2" t="inlineStr">
        <is>
          <t>2026-06-16</t>
        </is>
      </c>
      <c r="B150" s="3" t="inlineStr">
        <is>
          <t>에스프리즘</t>
        </is>
      </c>
      <c r="C150" s="2" t="inlineStr">
        <is>
          <t>코스닥</t>
        </is>
      </c>
      <c r="D150" s="2" t="inlineStr">
        <is>
          <t>288620</t>
        </is>
      </c>
      <c r="E150" s="3" t="inlineStr">
        <is>
          <t xml:space="preserve">타인에대한담보제공결정              </t>
        </is>
      </c>
      <c r="F150" s="2" t="inlineStr">
        <is>
          <t>기타</t>
        </is>
      </c>
      <c r="G150" s="7" t="inlineStr">
        <is>
          <t>-</t>
        </is>
      </c>
      <c r="H150" s="5" t="inlineStr"/>
      <c r="I150" s="3" t="inlineStr"/>
      <c r="J150" s="2" t="inlineStr">
        <is>
          <t>-</t>
        </is>
      </c>
      <c r="K150" s="2" t="inlineStr">
        <is>
          <t>-</t>
        </is>
      </c>
      <c r="L150" s="7" t="inlineStr">
        <is>
          <t>-</t>
        </is>
      </c>
      <c r="M150" s="2" t="inlineStr">
        <is>
          <t>20260616900612</t>
        </is>
      </c>
      <c r="N150" s="8">
        <f>HYPERLINK("https://dart.fss.or.kr/dsaf001/main.do?rcpNo=20260616900612", "공시열람")</f>
        <v/>
      </c>
    </row>
    <row r="151" ht="36" customHeight="1">
      <c r="A151" s="2" t="inlineStr">
        <is>
          <t>2026-06-16</t>
        </is>
      </c>
      <c r="B151" s="3" t="inlineStr">
        <is>
          <t>솔루스첨단소재</t>
        </is>
      </c>
      <c r="C151" s="2" t="inlineStr">
        <is>
          <t>코스피</t>
        </is>
      </c>
      <c r="D151" s="2" t="inlineStr">
        <is>
          <t>336370</t>
        </is>
      </c>
      <c r="E151" s="3" t="inlineStr">
        <is>
          <t xml:space="preserve">타인에대한채무보증결정              </t>
        </is>
      </c>
      <c r="F151" s="2" t="inlineStr">
        <is>
          <t>채무보증</t>
        </is>
      </c>
      <c r="G151" s="7" t="inlineStr">
        <is>
          <t>관계</t>
        </is>
      </c>
      <c r="H151" s="5" t="n">
        <v>72480000000</v>
      </c>
      <c r="I151" s="13" t="n">
        <v>7.66</v>
      </c>
      <c r="J151" s="2" t="inlineStr">
        <is>
          <t>CNY 34,436,358</t>
        </is>
      </c>
      <c r="K151" s="2" t="inlineStr">
        <is>
          <t>2027-06-17</t>
        </is>
      </c>
      <c r="L151" s="7" t="inlineStr">
        <is>
          <t>-</t>
        </is>
      </c>
      <c r="M151" s="2" t="inlineStr">
        <is>
          <t>20260616800581</t>
        </is>
      </c>
      <c r="N151" s="8">
        <f>HYPERLINK("https://dart.fss.or.kr/dsaf001/main.do?rcpNo=20260616800581", "공시열람")</f>
        <v/>
      </c>
    </row>
    <row r="152" ht="36" customHeight="1">
      <c r="A152" s="2" t="inlineStr">
        <is>
          <t>2026-06-16</t>
        </is>
      </c>
      <c r="B152" s="3" t="inlineStr">
        <is>
          <t>가온전선</t>
        </is>
      </c>
      <c r="C152" s="2" t="inlineStr">
        <is>
          <t>코스피</t>
        </is>
      </c>
      <c r="D152" s="2" t="inlineStr">
        <is>
          <t>000500</t>
        </is>
      </c>
      <c r="E152" s="3" t="inlineStr">
        <is>
          <t xml:space="preserve">타인에대한채무보증결정              </t>
        </is>
      </c>
      <c r="F152" s="2" t="inlineStr">
        <is>
          <t>채무보증</t>
        </is>
      </c>
      <c r="G152" s="7" t="inlineStr">
        <is>
          <t>관계</t>
        </is>
      </c>
      <c r="H152" s="5" t="n">
        <v>60400000000</v>
      </c>
      <c r="I152" s="13" t="n">
        <v>12.48</v>
      </c>
      <c r="J152" s="2" t="inlineStr">
        <is>
          <t>2026-06-23</t>
        </is>
      </c>
      <c r="K152" s="2" t="inlineStr">
        <is>
          <t>2027-06-23</t>
        </is>
      </c>
      <c r="L152" s="7" t="inlineStr">
        <is>
          <t>-</t>
        </is>
      </c>
      <c r="M152" s="2" t="inlineStr">
        <is>
          <t>20260616800586</t>
        </is>
      </c>
      <c r="N152" s="8">
        <f>HYPERLINK("https://dart.fss.or.kr/dsaf001/main.do?rcpNo=20260616800586", "공시열람")</f>
        <v/>
      </c>
    </row>
    <row r="153" ht="36" customHeight="1">
      <c r="A153" s="2" t="inlineStr">
        <is>
          <t>2026-06-16</t>
        </is>
      </c>
      <c r="B153" s="3" t="inlineStr">
        <is>
          <t>위츠</t>
        </is>
      </c>
      <c r="C153" s="2" t="inlineStr">
        <is>
          <t>코스닥</t>
        </is>
      </c>
      <c r="D153" s="2" t="inlineStr">
        <is>
          <t>459100</t>
        </is>
      </c>
      <c r="E153" s="3" t="inlineStr">
        <is>
          <t xml:space="preserve">타인에대한채무보증결정              </t>
        </is>
      </c>
      <c r="F153" s="2" t="inlineStr">
        <is>
          <t>채무보증</t>
        </is>
      </c>
      <c r="G153" s="7" t="inlineStr">
        <is>
          <t>성명</t>
        </is>
      </c>
      <c r="H153" s="5" t="n">
        <v>6805800000</v>
      </c>
      <c r="I153" s="13" t="n">
        <v>14.83</v>
      </c>
      <c r="J153" s="2" t="inlineStr">
        <is>
          <t>2026-06-30</t>
        </is>
      </c>
      <c r="K153" s="2" t="inlineStr">
        <is>
          <t>2027-06-30</t>
        </is>
      </c>
      <c r="L153" s="7" t="inlineStr">
        <is>
          <t>-</t>
        </is>
      </c>
      <c r="M153" s="2" t="inlineStr">
        <is>
          <t>20260616900428</t>
        </is>
      </c>
      <c r="N153" s="8">
        <f>HYPERLINK("https://dart.fss.or.kr/dsaf001/main.do?rcpNo=20260616900428", "공시열람")</f>
        <v/>
      </c>
    </row>
    <row r="154" ht="36" customHeight="1">
      <c r="A154" s="2" t="inlineStr">
        <is>
          <t>2026-06-17</t>
        </is>
      </c>
      <c r="B154" s="3" t="inlineStr">
        <is>
          <t>DL</t>
        </is>
      </c>
      <c r="C154" s="2" t="inlineStr">
        <is>
          <t>코스피</t>
        </is>
      </c>
      <c r="D154" s="2" t="inlineStr">
        <is>
          <t>000210</t>
        </is>
      </c>
      <c r="E154" s="3" t="inlineStr">
        <is>
          <t xml:space="preserve">타인에대한채무보증결정(자회사의 주요경영사항)              </t>
        </is>
      </c>
      <c r="F154" s="2" t="inlineStr">
        <is>
          <t>채무보증</t>
        </is>
      </c>
      <c r="G154" s="7" t="inlineStr">
        <is>
          <t>관계</t>
        </is>
      </c>
      <c r="H154" s="5" t="n">
        <v>180000000000</v>
      </c>
      <c r="I154" s="13" t="n">
        <v>3.43</v>
      </c>
      <c r="J154" s="2" t="inlineStr">
        <is>
          <t>2026-07-01</t>
        </is>
      </c>
      <c r="K154" s="2" t="inlineStr">
        <is>
          <t>-</t>
        </is>
      </c>
      <c r="L154" s="7" t="inlineStr">
        <is>
          <t>-</t>
        </is>
      </c>
      <c r="M154" s="2" t="inlineStr">
        <is>
          <t>20260617800650</t>
        </is>
      </c>
      <c r="N154" s="8">
        <f>HYPERLINK("https://dart.fss.or.kr/dsaf001/main.do?rcpNo=20260617800650", "공시열람")</f>
        <v/>
      </c>
    </row>
    <row r="155" ht="36" customHeight="1">
      <c r="A155" s="2" t="inlineStr">
        <is>
          <t>2026-06-17</t>
        </is>
      </c>
      <c r="B155" s="3" t="inlineStr">
        <is>
          <t>DL이앤씨</t>
        </is>
      </c>
      <c r="C155" s="2" t="inlineStr">
        <is>
          <t>코스피</t>
        </is>
      </c>
      <c r="D155" s="2" t="inlineStr">
        <is>
          <t>375500</t>
        </is>
      </c>
      <c r="E155" s="3" t="inlineStr">
        <is>
          <t xml:space="preserve">타인에대한채무보증결정              </t>
        </is>
      </c>
      <c r="F155" s="2" t="inlineStr">
        <is>
          <t>채무보증</t>
        </is>
      </c>
      <c r="G155" s="7" t="inlineStr">
        <is>
          <t>관계</t>
        </is>
      </c>
      <c r="H155" s="5" t="n">
        <v>180000000000</v>
      </c>
      <c r="I155" s="13" t="n">
        <v>3.43</v>
      </c>
      <c r="J155" s="2" t="inlineStr">
        <is>
          <t>2026-07-01</t>
        </is>
      </c>
      <c r="K155" s="2" t="inlineStr">
        <is>
          <t>-</t>
        </is>
      </c>
      <c r="L155" s="7" t="inlineStr">
        <is>
          <t>-</t>
        </is>
      </c>
      <c r="M155" s="2" t="inlineStr">
        <is>
          <t>20260617800636</t>
        </is>
      </c>
      <c r="N155" s="8">
        <f>HYPERLINK("https://dart.fss.or.kr/dsaf001/main.do?rcpNo=20260617800636", "공시열람")</f>
        <v/>
      </c>
    </row>
    <row r="156" ht="36" customHeight="1">
      <c r="A156" s="2" t="inlineStr">
        <is>
          <t>2026-06-17 (정정: 2026-06-26)</t>
        </is>
      </c>
      <c r="B156" s="3" t="inlineStr">
        <is>
          <t>KBI메탈</t>
        </is>
      </c>
      <c r="C156" s="2" t="inlineStr">
        <is>
          <t>코스닥</t>
        </is>
      </c>
      <c r="D156" s="2" t="inlineStr">
        <is>
          <t>024840</t>
        </is>
      </c>
      <c r="E156" s="3" t="inlineStr">
        <is>
          <t>금전대여결정               (정정: 20260626)</t>
        </is>
      </c>
      <c r="F156" s="2" t="inlineStr">
        <is>
          <t>금전대여</t>
        </is>
      </c>
      <c r="G156" s="7" t="inlineStr">
        <is>
          <t>-</t>
        </is>
      </c>
      <c r="H156" s="5" t="n">
        <v>15000000000</v>
      </c>
      <c r="I156" s="13" t="n">
        <v>10.62</v>
      </c>
      <c r="J156" s="2" t="inlineStr">
        <is>
          <t>-</t>
        </is>
      </c>
      <c r="K156" s="2" t="inlineStr">
        <is>
          <t>-</t>
        </is>
      </c>
      <c r="L156" s="7" t="inlineStr">
        <is>
          <t>종속회사의 신공장 증설 및 운영자금</t>
        </is>
      </c>
      <c r="M156" s="2" t="inlineStr">
        <is>
          <t>20260626900926</t>
        </is>
      </c>
      <c r="N156" s="8">
        <f>HYPERLINK("https://dart.fss.or.kr/dsaf001/main.do?rcpNo=20260626900926", "공시열람")</f>
        <v/>
      </c>
    </row>
    <row r="157" ht="36" customHeight="1">
      <c r="A157" s="2" t="inlineStr">
        <is>
          <t>2026-06-17</t>
        </is>
      </c>
      <c r="B157" s="3" t="inlineStr">
        <is>
          <t>삼기에너지솔루션즈</t>
        </is>
      </c>
      <c r="C157" s="2" t="inlineStr">
        <is>
          <t>코스닥</t>
        </is>
      </c>
      <c r="D157" s="2" t="inlineStr">
        <is>
          <t>419050</t>
        </is>
      </c>
      <c r="E157" s="3" t="inlineStr">
        <is>
          <t xml:space="preserve">타인에대한채무보증결정              </t>
        </is>
      </c>
      <c r="F157" s="2" t="inlineStr">
        <is>
          <t>채무보증</t>
        </is>
      </c>
      <c r="G157" s="7" t="inlineStr">
        <is>
          <t>성명</t>
        </is>
      </c>
      <c r="H157" s="5" t="n">
        <v>9081000000</v>
      </c>
      <c r="I157" s="13" t="n">
        <v>9.91</v>
      </c>
      <c r="J157" s="2" t="inlineStr">
        <is>
          <t>2026-06-22</t>
        </is>
      </c>
      <c r="K157" s="2" t="inlineStr">
        <is>
          <t>2027-04-01</t>
        </is>
      </c>
      <c r="L157" s="7" t="inlineStr">
        <is>
          <t>-</t>
        </is>
      </c>
      <c r="M157" s="2" t="inlineStr">
        <is>
          <t>20260617900474</t>
        </is>
      </c>
      <c r="N157" s="8">
        <f>HYPERLINK("https://dart.fss.or.kr/dsaf001/main.do?rcpNo=20260617900474", "공시열람")</f>
        <v/>
      </c>
    </row>
    <row r="158" ht="36" customHeight="1">
      <c r="A158" s="2" t="inlineStr">
        <is>
          <t>2026-06-17</t>
        </is>
      </c>
      <c r="B158" s="3" t="inlineStr">
        <is>
          <t>SK디앤디</t>
        </is>
      </c>
      <c r="C158" s="2" t="inlineStr">
        <is>
          <t>코스피</t>
        </is>
      </c>
      <c r="D158" s="2" t="inlineStr">
        <is>
          <t>210980</t>
        </is>
      </c>
      <c r="E158" s="3" t="inlineStr">
        <is>
          <t xml:space="preserve">[기재정정]타인에대한채무보증결정              </t>
        </is>
      </c>
      <c r="F158" s="2" t="inlineStr">
        <is>
          <t>채무보증</t>
        </is>
      </c>
      <c r="G158" s="7" t="inlineStr">
        <is>
          <t>관계</t>
        </is>
      </c>
      <c r="H158" s="5" t="inlineStr"/>
      <c r="I158" s="3" t="inlineStr"/>
      <c r="J158" s="2" t="inlineStr">
        <is>
          <t>-</t>
        </is>
      </c>
      <c r="K158" s="2" t="inlineStr">
        <is>
          <t>-</t>
        </is>
      </c>
      <c r="L158" s="7" t="inlineStr">
        <is>
          <t>-</t>
        </is>
      </c>
      <c r="M158" s="2" t="inlineStr">
        <is>
          <t>20260617800165</t>
        </is>
      </c>
      <c r="N158" s="8">
        <f>HYPERLINK("https://dart.fss.or.kr/dsaf001/main.do?rcpNo=20260617800165", "공시열람")</f>
        <v/>
      </c>
    </row>
    <row r="159" ht="36" customHeight="1">
      <c r="A159" s="2" t="inlineStr">
        <is>
          <t>2026-06-17</t>
        </is>
      </c>
      <c r="B159" s="3" t="inlineStr">
        <is>
          <t>블랙야크아이앤씨</t>
        </is>
      </c>
      <c r="C159" s="2" t="inlineStr">
        <is>
          <t>코스닥</t>
        </is>
      </c>
      <c r="D159" s="2" t="inlineStr">
        <is>
          <t>478560</t>
        </is>
      </c>
      <c r="E159" s="3" t="inlineStr">
        <is>
          <t xml:space="preserve">금전대여결정              </t>
        </is>
      </c>
      <c r="F159" s="2" t="inlineStr">
        <is>
          <t>금전대여</t>
        </is>
      </c>
      <c r="G159" s="7" t="inlineStr">
        <is>
          <t>-</t>
        </is>
      </c>
      <c r="H159" s="5" t="n">
        <v>8300000000</v>
      </c>
      <c r="I159" s="13" t="n">
        <v>21.64</v>
      </c>
      <c r="J159" s="2" t="inlineStr">
        <is>
          <t>2026-06-17</t>
        </is>
      </c>
      <c r="K159" s="2" t="inlineStr">
        <is>
          <t>2027-06-16</t>
        </is>
      </c>
      <c r="L159" s="7" t="inlineStr">
        <is>
          <t>종속회사의 차입금 상환</t>
        </is>
      </c>
      <c r="M159" s="2" t="inlineStr">
        <is>
          <t>20260617900140</t>
        </is>
      </c>
      <c r="N159" s="8">
        <f>HYPERLINK("https://dart.fss.or.kr/dsaf001/main.do?rcpNo=20260617900140", "공시열람")</f>
        <v/>
      </c>
    </row>
    <row r="160" ht="36" customHeight="1">
      <c r="A160" s="2" t="inlineStr">
        <is>
          <t>2026-06-18</t>
        </is>
      </c>
      <c r="B160" s="3" t="inlineStr">
        <is>
          <t>대구백화점</t>
        </is>
      </c>
      <c r="C160" s="2" t="inlineStr">
        <is>
          <t>코스피</t>
        </is>
      </c>
      <c r="D160" s="2" t="inlineStr">
        <is>
          <t>006370</t>
        </is>
      </c>
      <c r="E160" s="3" t="inlineStr">
        <is>
          <t xml:space="preserve">[기재정정]타인에대한담보제공결정              </t>
        </is>
      </c>
      <c r="F160" s="2" t="inlineStr">
        <is>
          <t>기타</t>
        </is>
      </c>
      <c r="G160" s="7" t="inlineStr">
        <is>
          <t>-</t>
        </is>
      </c>
      <c r="H160" s="5" t="inlineStr"/>
      <c r="I160" s="3" t="inlineStr"/>
      <c r="J160" s="2" t="inlineStr">
        <is>
          <t>-</t>
        </is>
      </c>
      <c r="K160" s="2" t="inlineStr">
        <is>
          <t>-</t>
        </is>
      </c>
      <c r="L160" s="7" t="inlineStr">
        <is>
          <t>-</t>
        </is>
      </c>
      <c r="M160" s="2" t="inlineStr">
        <is>
          <t>20260618800894</t>
        </is>
      </c>
      <c r="N160" s="8">
        <f>HYPERLINK("https://dart.fss.or.kr/dsaf001/main.do?rcpNo=20260618800894", "공시열람")</f>
        <v/>
      </c>
    </row>
    <row r="161" ht="36" customHeight="1">
      <c r="A161" s="2" t="inlineStr">
        <is>
          <t>2026-06-18 (정정: 2026-06-18)</t>
        </is>
      </c>
      <c r="B161" s="3" t="inlineStr">
        <is>
          <t>삼립</t>
        </is>
      </c>
      <c r="C161" s="2" t="inlineStr">
        <is>
          <t>코스피</t>
        </is>
      </c>
      <c r="D161" s="2" t="inlineStr">
        <is>
          <t>005610</t>
        </is>
      </c>
      <c r="E161" s="3" t="inlineStr">
        <is>
          <t>타인에대한채무보증결정               (정정: 20260618)</t>
        </is>
      </c>
      <c r="F161" s="2" t="inlineStr">
        <is>
          <t>채무보증</t>
        </is>
      </c>
      <c r="G161" s="7" t="inlineStr">
        <is>
          <t>관계</t>
        </is>
      </c>
      <c r="H161" s="5" t="n">
        <v>24000000000</v>
      </c>
      <c r="I161" s="13" t="n">
        <v>10.7</v>
      </c>
      <c r="J161" s="2" t="inlineStr">
        <is>
          <t>2015-05-26</t>
        </is>
      </c>
      <c r="K161" s="2" t="inlineStr">
        <is>
          <t>2026-06-11</t>
        </is>
      </c>
      <c r="L161" s="7" t="inlineStr">
        <is>
          <t>-</t>
        </is>
      </c>
      <c r="M161" s="2" t="inlineStr">
        <is>
          <t>20260618800875</t>
        </is>
      </c>
      <c r="N161" s="8">
        <f>HYPERLINK("https://dart.fss.or.kr/dsaf001/main.do?rcpNo=20260618800875", "공시열람")</f>
        <v/>
      </c>
    </row>
    <row r="162" ht="36" customHeight="1">
      <c r="A162" s="2" t="inlineStr">
        <is>
          <t>2026-06-18</t>
        </is>
      </c>
      <c r="B162" s="3" t="inlineStr">
        <is>
          <t>삼립</t>
        </is>
      </c>
      <c r="C162" s="2" t="inlineStr">
        <is>
          <t>코스피</t>
        </is>
      </c>
      <c r="D162" s="2" t="inlineStr">
        <is>
          <t>005610</t>
        </is>
      </c>
      <c r="E162" s="3" t="inlineStr">
        <is>
          <t xml:space="preserve">[기재정정]타인에대한채무보증결정              </t>
        </is>
      </c>
      <c r="F162" s="2" t="inlineStr">
        <is>
          <t>채무보증</t>
        </is>
      </c>
      <c r="G162" s="7" t="inlineStr">
        <is>
          <t>관계</t>
        </is>
      </c>
      <c r="H162" s="5" t="n">
        <v>20400000000</v>
      </c>
      <c r="I162" s="13" t="n">
        <v>9.130000000000001</v>
      </c>
      <c r="J162" s="2" t="inlineStr">
        <is>
          <t>2015-09-21</t>
        </is>
      </c>
      <c r="K162" s="2" t="inlineStr">
        <is>
          <t>2026-06-11</t>
        </is>
      </c>
      <c r="L162" s="7" t="inlineStr">
        <is>
          <t>-</t>
        </is>
      </c>
      <c r="M162" s="2" t="inlineStr">
        <is>
          <t>20260618800870</t>
        </is>
      </c>
      <c r="N162" s="8">
        <f>HYPERLINK("https://dart.fss.or.kr/dsaf001/main.do?rcpNo=20260618800870", "공시열람")</f>
        <v/>
      </c>
    </row>
    <row r="163" ht="36" customHeight="1">
      <c r="A163" s="2" t="inlineStr">
        <is>
          <t>2026-06-18</t>
        </is>
      </c>
      <c r="B163" s="3" t="inlineStr">
        <is>
          <t>삼립</t>
        </is>
      </c>
      <c r="C163" s="2" t="inlineStr">
        <is>
          <t>코스피</t>
        </is>
      </c>
      <c r="D163" s="2" t="inlineStr">
        <is>
          <t>005610</t>
        </is>
      </c>
      <c r="E163" s="3" t="inlineStr">
        <is>
          <t xml:space="preserve">[기재정정]타인에대한채무보증결정              </t>
        </is>
      </c>
      <c r="F163" s="2" t="inlineStr">
        <is>
          <t>채무보증</t>
        </is>
      </c>
      <c r="G163" s="7" t="inlineStr">
        <is>
          <t>관계</t>
        </is>
      </c>
      <c r="H163" s="5" t="n">
        <v>24000000000</v>
      </c>
      <c r="I163" s="13" t="n">
        <v>10.7</v>
      </c>
      <c r="J163" s="2" t="inlineStr">
        <is>
          <t>2015-05-26</t>
        </is>
      </c>
      <c r="K163" s="2" t="inlineStr">
        <is>
          <t>2026-06-11</t>
        </is>
      </c>
      <c r="L163" s="7" t="inlineStr">
        <is>
          <t>-</t>
        </is>
      </c>
      <c r="M163" s="2" t="inlineStr">
        <is>
          <t>20260618800861</t>
        </is>
      </c>
      <c r="N163" s="8">
        <f>HYPERLINK("https://dart.fss.or.kr/dsaf001/main.do?rcpNo=20260618800861", "공시열람")</f>
        <v/>
      </c>
    </row>
    <row r="164" ht="36" customHeight="1">
      <c r="A164" s="2" t="inlineStr">
        <is>
          <t>2026-06-18</t>
        </is>
      </c>
      <c r="B164" s="3" t="inlineStr">
        <is>
          <t>동부건설</t>
        </is>
      </c>
      <c r="C164" s="2" t="inlineStr">
        <is>
          <t>코스피</t>
        </is>
      </c>
      <c r="D164" s="2" t="inlineStr">
        <is>
          <t>005960</t>
        </is>
      </c>
      <c r="E164" s="3" t="inlineStr">
        <is>
          <t xml:space="preserve">타인에대한채무보증결정              </t>
        </is>
      </c>
      <c r="F164" s="2" t="inlineStr">
        <is>
          <t>채무보증</t>
        </is>
      </c>
      <c r="G164" s="7" t="inlineStr">
        <is>
          <t>관계</t>
        </is>
      </c>
      <c r="H164" s="5" t="n">
        <v>120000000000</v>
      </c>
      <c r="I164" s="13" t="n">
        <v>21.79</v>
      </c>
      <c r="J164" s="2" t="inlineStr">
        <is>
          <t>-</t>
        </is>
      </c>
      <c r="K164" s="2" t="inlineStr">
        <is>
          <t>2029-08-31</t>
        </is>
      </c>
      <c r="L164" s="7" t="inlineStr">
        <is>
          <t>-</t>
        </is>
      </c>
      <c r="M164" s="2" t="inlineStr">
        <is>
          <t>20260618800785</t>
        </is>
      </c>
      <c r="N164" s="8">
        <f>HYPERLINK("https://dart.fss.or.kr/dsaf001/main.do?rcpNo=20260618800785", "공시열람")</f>
        <v/>
      </c>
    </row>
    <row r="165" ht="36" customHeight="1">
      <c r="A165" s="2" t="inlineStr">
        <is>
          <t>2026-06-18</t>
        </is>
      </c>
      <c r="B165" s="3" t="inlineStr">
        <is>
          <t>HD현대일렉트릭</t>
        </is>
      </c>
      <c r="C165" s="2" t="inlineStr">
        <is>
          <t>코스피</t>
        </is>
      </c>
      <c r="D165" s="2" t="inlineStr">
        <is>
          <t>267260</t>
        </is>
      </c>
      <c r="E165" s="3" t="inlineStr">
        <is>
          <t xml:space="preserve">타인에대한채무보증결정              </t>
        </is>
      </c>
      <c r="F165" s="2" t="inlineStr">
        <is>
          <t>채무보증</t>
        </is>
      </c>
      <c r="G165" s="7" t="inlineStr">
        <is>
          <t>관계</t>
        </is>
      </c>
      <c r="H165" s="5" t="n">
        <v>54486000000</v>
      </c>
      <c r="I165" s="13" t="n">
        <v>2.68</v>
      </c>
      <c r="J165" s="2" t="inlineStr">
        <is>
          <t>2026-06-19</t>
        </is>
      </c>
      <c r="K165" s="2" t="inlineStr">
        <is>
          <t>2027-06-18</t>
        </is>
      </c>
      <c r="L165" s="7" t="inlineStr">
        <is>
          <t>-</t>
        </is>
      </c>
      <c r="M165" s="2" t="inlineStr">
        <is>
          <t>20260618800741</t>
        </is>
      </c>
      <c r="N165" s="8">
        <f>HYPERLINK("https://dart.fss.or.kr/dsaf001/main.do?rcpNo=20260618800741", "공시열람")</f>
        <v/>
      </c>
    </row>
    <row r="166" ht="36" customHeight="1">
      <c r="A166" s="2" t="inlineStr">
        <is>
          <t>2026-06-18</t>
        </is>
      </c>
      <c r="B166" s="3" t="inlineStr">
        <is>
          <t>삼양홀딩스</t>
        </is>
      </c>
      <c r="C166" s="2" t="inlineStr">
        <is>
          <t>코스피</t>
        </is>
      </c>
      <c r="D166" s="2" t="inlineStr">
        <is>
          <t>000070</t>
        </is>
      </c>
      <c r="E166" s="3" t="inlineStr">
        <is>
          <t xml:space="preserve">타인에대한채무보증결정(자회사의 주요경영사항)              </t>
        </is>
      </c>
      <c r="F166" s="2" t="inlineStr">
        <is>
          <t>채무보증</t>
        </is>
      </c>
      <c r="G166" s="7" t="inlineStr">
        <is>
          <t>관계</t>
        </is>
      </c>
      <c r="H166" s="5" t="n">
        <v>169565400000</v>
      </c>
      <c r="I166" s="13" t="n">
        <v>9.5</v>
      </c>
      <c r="J166" s="2" t="inlineStr">
        <is>
          <t>2026-06-29</t>
        </is>
      </c>
      <c r="K166" s="2" t="inlineStr">
        <is>
          <t>2026-12-29</t>
        </is>
      </c>
      <c r="L166" s="7" t="inlineStr">
        <is>
          <t>-</t>
        </is>
      </c>
      <c r="M166" s="2" t="inlineStr">
        <is>
          <t>20260618800627</t>
        </is>
      </c>
      <c r="N166" s="8">
        <f>HYPERLINK("https://dart.fss.or.kr/dsaf001/main.do?rcpNo=20260618800627", "공시열람")</f>
        <v/>
      </c>
    </row>
    <row r="167" ht="36" customHeight="1">
      <c r="A167" s="2" t="inlineStr">
        <is>
          <t>2026-06-18</t>
        </is>
      </c>
      <c r="B167" s="3" t="inlineStr">
        <is>
          <t>동원수산</t>
        </is>
      </c>
      <c r="C167" s="2" t="inlineStr">
        <is>
          <t>코스피</t>
        </is>
      </c>
      <c r="D167" s="2" t="inlineStr">
        <is>
          <t>030720</t>
        </is>
      </c>
      <c r="E167" s="3" t="inlineStr">
        <is>
          <t xml:space="preserve">타인에대한채무보증결정              </t>
        </is>
      </c>
      <c r="F167" s="2" t="inlineStr">
        <is>
          <t>채무보증</t>
        </is>
      </c>
      <c r="G167" s="7" t="inlineStr">
        <is>
          <t>관계</t>
        </is>
      </c>
      <c r="H167" s="5" t="n">
        <v>3600000000</v>
      </c>
      <c r="I167" s="13" t="n">
        <v>6.38</v>
      </c>
      <c r="J167" s="2" t="inlineStr">
        <is>
          <t>2026-06-21</t>
        </is>
      </c>
      <c r="K167" s="2" t="inlineStr">
        <is>
          <t>2027-06-20</t>
        </is>
      </c>
      <c r="L167" s="7" t="inlineStr">
        <is>
          <t>-</t>
        </is>
      </c>
      <c r="M167" s="2" t="inlineStr">
        <is>
          <t>20260618800709</t>
        </is>
      </c>
      <c r="N167" s="8">
        <f>HYPERLINK("https://dart.fss.or.kr/dsaf001/main.do?rcpNo=20260618800709", "공시열람")</f>
        <v/>
      </c>
    </row>
    <row r="168" ht="36" customHeight="1">
      <c r="A168" s="2" t="inlineStr">
        <is>
          <t>2026-06-18</t>
        </is>
      </c>
      <c r="B168" s="3" t="inlineStr">
        <is>
          <t>삼양사</t>
        </is>
      </c>
      <c r="C168" s="2" t="inlineStr">
        <is>
          <t>코스피</t>
        </is>
      </c>
      <c r="D168" s="2" t="inlineStr">
        <is>
          <t>145990</t>
        </is>
      </c>
      <c r="E168" s="3" t="inlineStr">
        <is>
          <t xml:space="preserve">타인에대한채무보증결정              </t>
        </is>
      </c>
      <c r="F168" s="2" t="inlineStr">
        <is>
          <t>채무보증</t>
        </is>
      </c>
      <c r="G168" s="7" t="inlineStr">
        <is>
          <t>관계</t>
        </is>
      </c>
      <c r="H168" s="5" t="n">
        <v>169565400000</v>
      </c>
      <c r="I168" s="13" t="n">
        <v>9.5</v>
      </c>
      <c r="J168" s="2" t="inlineStr">
        <is>
          <t>2026-06-29</t>
        </is>
      </c>
      <c r="K168" s="2" t="inlineStr">
        <is>
          <t>2026-12-29</t>
        </is>
      </c>
      <c r="L168" s="7" t="inlineStr">
        <is>
          <t>-</t>
        </is>
      </c>
      <c r="M168" s="2" t="inlineStr">
        <is>
          <t>20260618800626</t>
        </is>
      </c>
      <c r="N168" s="8">
        <f>HYPERLINK("https://dart.fss.or.kr/dsaf001/main.do?rcpNo=20260618800626", "공시열람")</f>
        <v/>
      </c>
    </row>
    <row r="169" ht="36" customHeight="1">
      <c r="A169" s="2" t="inlineStr">
        <is>
          <t>2026-06-18</t>
        </is>
      </c>
      <c r="B169" s="3" t="inlineStr">
        <is>
          <t>DH오토리드</t>
        </is>
      </c>
      <c r="C169" s="2" t="inlineStr">
        <is>
          <t>코스닥</t>
        </is>
      </c>
      <c r="D169" s="2" t="inlineStr">
        <is>
          <t>290120</t>
        </is>
      </c>
      <c r="E169" s="3" t="inlineStr">
        <is>
          <t xml:space="preserve">금전대여결정              </t>
        </is>
      </c>
      <c r="F169" s="2" t="inlineStr">
        <is>
          <t>금전대여</t>
        </is>
      </c>
      <c r="G169" s="7" t="inlineStr">
        <is>
          <t>-</t>
        </is>
      </c>
      <c r="H169" s="5" t="n">
        <v>7927072000</v>
      </c>
      <c r="I169" s="13" t="n">
        <v>7.15</v>
      </c>
      <c r="J169" s="2" t="inlineStr">
        <is>
          <t>2026-06-23</t>
        </is>
      </c>
      <c r="K169" s="2" t="inlineStr">
        <is>
          <t>2027-06-23</t>
        </is>
      </c>
      <c r="L169" s="7" t="inlineStr">
        <is>
          <t>시설투자 자금</t>
        </is>
      </c>
      <c r="M169" s="2" t="inlineStr">
        <is>
          <t>20260618900538</t>
        </is>
      </c>
      <c r="N169" s="8">
        <f>HYPERLINK("https://dart.fss.or.kr/dsaf001/main.do?rcpNo=20260618900538", "공시열람")</f>
        <v/>
      </c>
    </row>
    <row r="170" ht="36" customHeight="1">
      <c r="A170" s="2" t="inlineStr">
        <is>
          <t>2026-06-18</t>
        </is>
      </c>
      <c r="B170" s="3" t="inlineStr">
        <is>
          <t>에스티아이</t>
        </is>
      </c>
      <c r="C170" s="2" t="inlineStr">
        <is>
          <t>코스닥</t>
        </is>
      </c>
      <c r="D170" s="2" t="inlineStr">
        <is>
          <t>039440</t>
        </is>
      </c>
      <c r="E170" s="3" t="inlineStr">
        <is>
          <t xml:space="preserve">타인에대한채무보증결정              </t>
        </is>
      </c>
      <c r="F170" s="2" t="inlineStr">
        <is>
          <t>채무보증</t>
        </is>
      </c>
      <c r="G170" s="7" t="inlineStr">
        <is>
          <t>성명</t>
        </is>
      </c>
      <c r="H170" s="5" t="n">
        <v>25927660800</v>
      </c>
      <c r="I170" s="13" t="n">
        <v>9</v>
      </c>
      <c r="J170" s="2" t="inlineStr">
        <is>
          <t>2026-07-01</t>
        </is>
      </c>
      <c r="K170" s="2" t="inlineStr">
        <is>
          <t>2027-06-30</t>
        </is>
      </c>
      <c r="L170" s="7" t="inlineStr">
        <is>
          <t>-</t>
        </is>
      </c>
      <c r="M170" s="2" t="inlineStr">
        <is>
          <t>20260618900338</t>
        </is>
      </c>
      <c r="N170" s="8">
        <f>HYPERLINK("https://dart.fss.or.kr/dsaf001/main.do?rcpNo=20260618900338", "공시열람")</f>
        <v/>
      </c>
    </row>
    <row r="171" ht="36" customHeight="1">
      <c r="A171" s="2" t="inlineStr">
        <is>
          <t>2026-06-19</t>
        </is>
      </c>
      <c r="B171" s="3" t="inlineStr">
        <is>
          <t>롤링스톤</t>
        </is>
      </c>
      <c r="C171" s="2" t="inlineStr">
        <is>
          <t>코스닥</t>
        </is>
      </c>
      <c r="D171" s="2" t="inlineStr">
        <is>
          <t>214610</t>
        </is>
      </c>
      <c r="E171" s="3" t="inlineStr">
        <is>
          <t>[첨부정정]금전대여결정              (대여기간 연장)</t>
        </is>
      </c>
      <c r="F171" s="2" t="inlineStr">
        <is>
          <t>금전대여</t>
        </is>
      </c>
      <c r="G171" s="7" t="inlineStr">
        <is>
          <t>-</t>
        </is>
      </c>
      <c r="H171" s="5" t="inlineStr"/>
      <c r="I171" s="3" t="inlineStr"/>
      <c r="J171" s="2" t="inlineStr">
        <is>
          <t>-</t>
        </is>
      </c>
      <c r="K171" s="2" t="inlineStr">
        <is>
          <t>-</t>
        </is>
      </c>
      <c r="L171" s="7" t="inlineStr">
        <is>
          <t>-</t>
        </is>
      </c>
      <c r="M171" s="2" t="inlineStr">
        <is>
          <t>20260619900919</t>
        </is>
      </c>
      <c r="N171" s="8">
        <f>HYPERLINK("https://dart.fss.or.kr/dsaf001/main.do?rcpNo=20260619900919", "공시열람")</f>
        <v/>
      </c>
    </row>
    <row r="172" ht="36" customHeight="1">
      <c r="A172" s="2" t="inlineStr">
        <is>
          <t>2026-06-19</t>
        </is>
      </c>
      <c r="B172" s="3" t="inlineStr">
        <is>
          <t>영흥</t>
        </is>
      </c>
      <c r="C172" s="2" t="inlineStr">
        <is>
          <t>코스피</t>
        </is>
      </c>
      <c r="D172" s="2" t="inlineStr">
        <is>
          <t>012160</t>
        </is>
      </c>
      <c r="E172" s="3" t="inlineStr">
        <is>
          <t xml:space="preserve">타인에대한채무보증결정              </t>
        </is>
      </c>
      <c r="F172" s="2" t="inlineStr">
        <is>
          <t>채무보증</t>
        </is>
      </c>
      <c r="G172" s="7" t="inlineStr">
        <is>
          <t>관계</t>
        </is>
      </c>
      <c r="H172" s="5" t="n">
        <v>14400000000</v>
      </c>
      <c r="I172" s="13" t="n">
        <v>8.710000000000001</v>
      </c>
      <c r="J172" s="2" t="inlineStr">
        <is>
          <t>2026-06-29</t>
        </is>
      </c>
      <c r="K172" s="2" t="inlineStr">
        <is>
          <t>2028-06-29</t>
        </is>
      </c>
      <c r="L172" s="7" t="inlineStr">
        <is>
          <t>-</t>
        </is>
      </c>
      <c r="M172" s="2" t="inlineStr">
        <is>
          <t>20260619800963</t>
        </is>
      </c>
      <c r="N172" s="8">
        <f>HYPERLINK("https://dart.fss.or.kr/dsaf001/main.do?rcpNo=20260619800963", "공시열람")</f>
        <v/>
      </c>
    </row>
    <row r="173" ht="36" customHeight="1">
      <c r="A173" s="2" t="inlineStr">
        <is>
          <t>2026-06-19</t>
        </is>
      </c>
      <c r="B173" s="3" t="inlineStr">
        <is>
          <t>코퍼스코리아</t>
        </is>
      </c>
      <c r="C173" s="2" t="inlineStr">
        <is>
          <t>코스닥</t>
        </is>
      </c>
      <c r="D173" s="2" t="inlineStr">
        <is>
          <t>322780</t>
        </is>
      </c>
      <c r="E173" s="3" t="inlineStr">
        <is>
          <t xml:space="preserve">금전대여결정              </t>
        </is>
      </c>
      <c r="F173" s="2" t="inlineStr">
        <is>
          <t>금전대여</t>
        </is>
      </c>
      <c r="G173" s="7" t="inlineStr">
        <is>
          <t>-</t>
        </is>
      </c>
      <c r="H173" s="5" t="n">
        <v>2832990000</v>
      </c>
      <c r="I173" s="13" t="n">
        <v>10.83</v>
      </c>
      <c r="J173" s="2" t="inlineStr">
        <is>
          <t>2026-06-20</t>
        </is>
      </c>
      <c r="K173" s="2" t="inlineStr">
        <is>
          <t>2027-06-19</t>
        </is>
      </c>
      <c r="L173" s="7" t="inlineStr">
        <is>
          <t>종속회사 COPUS JAPAN Co., Ltd의 운영자금 지원 목적</t>
        </is>
      </c>
      <c r="M173" s="2" t="inlineStr">
        <is>
          <t>20260619900660</t>
        </is>
      </c>
      <c r="N173" s="8">
        <f>HYPERLINK("https://dart.fss.or.kr/dsaf001/main.do?rcpNo=20260619900660", "공시열람")</f>
        <v/>
      </c>
    </row>
    <row r="174" ht="36" customHeight="1">
      <c r="A174" s="2" t="inlineStr">
        <is>
          <t>2026-06-19</t>
        </is>
      </c>
      <c r="B174" s="3" t="inlineStr">
        <is>
          <t>SK디앤디</t>
        </is>
      </c>
      <c r="C174" s="2" t="inlineStr">
        <is>
          <t>코스피</t>
        </is>
      </c>
      <c r="D174" s="2" t="inlineStr">
        <is>
          <t>210980</t>
        </is>
      </c>
      <c r="E174" s="3" t="inlineStr">
        <is>
          <t xml:space="preserve">[기재정정]타인에대한채무보증결정              </t>
        </is>
      </c>
      <c r="F174" s="2" t="inlineStr">
        <is>
          <t>채무보증</t>
        </is>
      </c>
      <c r="G174" s="7" t="inlineStr">
        <is>
          <t>-</t>
        </is>
      </c>
      <c r="H174" s="5" t="inlineStr"/>
      <c r="I174" s="3" t="inlineStr"/>
      <c r="J174" s="2" t="inlineStr">
        <is>
          <t>-</t>
        </is>
      </c>
      <c r="K174" s="2" t="inlineStr">
        <is>
          <t>-</t>
        </is>
      </c>
      <c r="L174" s="7" t="inlineStr">
        <is>
          <t>-</t>
        </is>
      </c>
      <c r="M174" s="2" t="inlineStr">
        <is>
          <t>20260619800636</t>
        </is>
      </c>
      <c r="N174" s="8">
        <f>HYPERLINK("https://dart.fss.or.kr/dsaf001/main.do?rcpNo=20260619800636", "공시열람")</f>
        <v/>
      </c>
    </row>
    <row r="175" ht="36" customHeight="1">
      <c r="A175" s="2" t="inlineStr">
        <is>
          <t>2026-06-22</t>
        </is>
      </c>
      <c r="B175" s="3" t="inlineStr">
        <is>
          <t>CJ</t>
        </is>
      </c>
      <c r="C175" s="2" t="inlineStr">
        <is>
          <t>코스피</t>
        </is>
      </c>
      <c r="D175" s="2" t="inlineStr">
        <is>
          <t>001040</t>
        </is>
      </c>
      <c r="E175" s="3" t="inlineStr">
        <is>
          <t xml:space="preserve">타인에대한채무보증결정(자회사의 주요경영사항)              </t>
        </is>
      </c>
      <c r="F175" s="2" t="inlineStr">
        <is>
          <t>채무보증</t>
        </is>
      </c>
      <c r="G175" s="7" t="inlineStr">
        <is>
          <t>관계</t>
        </is>
      </c>
      <c r="H175" s="5" t="n">
        <v>22213620000</v>
      </c>
      <c r="I175" s="13" t="n">
        <v>3.42</v>
      </c>
      <c r="J175" s="2" t="inlineStr">
        <is>
          <t>2026-06-24</t>
        </is>
      </c>
      <c r="K175" s="2" t="inlineStr">
        <is>
          <t>2027-06-24</t>
        </is>
      </c>
      <c r="L175" s="7" t="inlineStr">
        <is>
          <t>-</t>
        </is>
      </c>
      <c r="M175" s="2" t="inlineStr">
        <is>
          <t>20260622800798</t>
        </is>
      </c>
      <c r="N175" s="8">
        <f>HYPERLINK("https://dart.fss.or.kr/dsaf001/main.do?rcpNo=20260622800798", "공시열람")</f>
        <v/>
      </c>
    </row>
    <row r="176" ht="36" customHeight="1">
      <c r="A176" s="2" t="inlineStr">
        <is>
          <t>2026-06-22</t>
        </is>
      </c>
      <c r="B176" s="3" t="inlineStr">
        <is>
          <t>캐리</t>
        </is>
      </c>
      <c r="C176" s="2" t="inlineStr">
        <is>
          <t>코스닥</t>
        </is>
      </c>
      <c r="D176" s="2" t="inlineStr">
        <is>
          <t>313760</t>
        </is>
      </c>
      <c r="E176" s="3" t="inlineStr">
        <is>
          <t xml:space="preserve">타인에대한담보제공결정              </t>
        </is>
      </c>
      <c r="F176" s="2" t="inlineStr">
        <is>
          <t>기타</t>
        </is>
      </c>
      <c r="G176" s="7" t="inlineStr">
        <is>
          <t>-</t>
        </is>
      </c>
      <c r="H176" s="5" t="inlineStr"/>
      <c r="I176" s="3" t="inlineStr"/>
      <c r="J176" s="2" t="inlineStr">
        <is>
          <t>-</t>
        </is>
      </c>
      <c r="K176" s="2" t="inlineStr">
        <is>
          <t>-</t>
        </is>
      </c>
      <c r="L176" s="7" t="inlineStr">
        <is>
          <t>-</t>
        </is>
      </c>
      <c r="M176" s="2" t="inlineStr">
        <is>
          <t>20260622900741</t>
        </is>
      </c>
      <c r="N176" s="8">
        <f>HYPERLINK("https://dart.fss.or.kr/dsaf001/main.do?rcpNo=20260622900741", "공시열람")</f>
        <v/>
      </c>
    </row>
    <row r="177" ht="36" customHeight="1">
      <c r="A177" s="2" t="inlineStr">
        <is>
          <t>2026-06-22</t>
        </is>
      </c>
      <c r="B177" s="3" t="inlineStr">
        <is>
          <t>캐리</t>
        </is>
      </c>
      <c r="C177" s="2" t="inlineStr">
        <is>
          <t>코스닥</t>
        </is>
      </c>
      <c r="D177" s="2" t="inlineStr">
        <is>
          <t>313760</t>
        </is>
      </c>
      <c r="E177" s="3" t="inlineStr">
        <is>
          <t xml:space="preserve">타인에대한채무보증결정              </t>
        </is>
      </c>
      <c r="F177" s="2" t="inlineStr">
        <is>
          <t>채무보증</t>
        </is>
      </c>
      <c r="G177" s="7" t="inlineStr">
        <is>
          <t>성명</t>
        </is>
      </c>
      <c r="H177" s="5" t="n">
        <v>9610000000</v>
      </c>
      <c r="I177" s="13" t="n">
        <v>29.88</v>
      </c>
      <c r="J177" s="2" t="inlineStr">
        <is>
          <t>2026-06-21</t>
        </is>
      </c>
      <c r="K177" s="2" t="inlineStr">
        <is>
          <t>2026-07-20</t>
        </is>
      </c>
      <c r="L177" s="7" t="inlineStr">
        <is>
          <t>-</t>
        </is>
      </c>
      <c r="M177" s="2" t="inlineStr">
        <is>
          <t>20260622900738</t>
        </is>
      </c>
      <c r="N177" s="8">
        <f>HYPERLINK("https://dart.fss.or.kr/dsaf001/main.do?rcpNo=20260622900738", "공시열람")</f>
        <v/>
      </c>
    </row>
    <row r="178" ht="36" customHeight="1">
      <c r="A178" s="2" t="inlineStr">
        <is>
          <t>2026-06-22</t>
        </is>
      </c>
      <c r="B178" s="3" t="inlineStr">
        <is>
          <t>CJ CGV</t>
        </is>
      </c>
      <c r="C178" s="2" t="inlineStr">
        <is>
          <t>코스피</t>
        </is>
      </c>
      <c r="D178" s="2" t="inlineStr">
        <is>
          <t>079160</t>
        </is>
      </c>
      <c r="E178" s="3" t="inlineStr">
        <is>
          <t xml:space="preserve">타인에대한채무보증결정              </t>
        </is>
      </c>
      <c r="F178" s="2" t="inlineStr">
        <is>
          <t>채무보증</t>
        </is>
      </c>
      <c r="G178" s="7" t="inlineStr">
        <is>
          <t>관계</t>
        </is>
      </c>
      <c r="H178" s="5" t="n">
        <v>22213620000</v>
      </c>
      <c r="I178" s="13" t="n">
        <v>3.42</v>
      </c>
      <c r="J178" s="2" t="inlineStr">
        <is>
          <t>2026-06-24</t>
        </is>
      </c>
      <c r="K178" s="2" t="inlineStr">
        <is>
          <t>2027-06-24</t>
        </is>
      </c>
      <c r="L178" s="7" t="inlineStr">
        <is>
          <t>-</t>
        </is>
      </c>
      <c r="M178" s="2" t="inlineStr">
        <is>
          <t>20260622800797</t>
        </is>
      </c>
      <c r="N178" s="8">
        <f>HYPERLINK("https://dart.fss.or.kr/dsaf001/main.do?rcpNo=20260622800797", "공시열람")</f>
        <v/>
      </c>
    </row>
    <row r="179" ht="36" customHeight="1">
      <c r="A179" s="2" t="inlineStr">
        <is>
          <t>2026-06-22</t>
        </is>
      </c>
      <c r="B179" s="3" t="inlineStr">
        <is>
          <t>롯데렌탈</t>
        </is>
      </c>
      <c r="C179" s="2" t="inlineStr">
        <is>
          <t>코스피</t>
        </is>
      </c>
      <c r="D179" s="2" t="inlineStr">
        <is>
          <t>089860</t>
        </is>
      </c>
      <c r="E179" s="3" t="inlineStr">
        <is>
          <t xml:space="preserve">타인에대한채무보증결정(자율공시)              </t>
        </is>
      </c>
      <c r="F179" s="2" t="inlineStr">
        <is>
          <t>채무보증</t>
        </is>
      </c>
      <c r="G179" s="7" t="inlineStr">
        <is>
          <t>관계</t>
        </is>
      </c>
      <c r="H179" s="5" t="n">
        <v>38375000000</v>
      </c>
      <c r="I179" s="13" t="n">
        <v>2.47</v>
      </c>
      <c r="J179" s="2" t="inlineStr">
        <is>
          <t>2026-07-31</t>
        </is>
      </c>
      <c r="K179" s="2" t="inlineStr">
        <is>
          <t>2029-07-30</t>
        </is>
      </c>
      <c r="L179" s="7" t="inlineStr">
        <is>
          <t>-</t>
        </is>
      </c>
      <c r="M179" s="2" t="inlineStr">
        <is>
          <t>20260622800683</t>
        </is>
      </c>
      <c r="N179" s="8">
        <f>HYPERLINK("https://dart.fss.or.kr/dsaf001/main.do?rcpNo=20260622800683", "공시열람")</f>
        <v/>
      </c>
    </row>
    <row r="180" ht="36" customHeight="1">
      <c r="A180" s="2" t="inlineStr">
        <is>
          <t>2026-06-22</t>
        </is>
      </c>
      <c r="B180" s="3" t="inlineStr">
        <is>
          <t>롯데렌탈</t>
        </is>
      </c>
      <c r="C180" s="2" t="inlineStr">
        <is>
          <t>코스피</t>
        </is>
      </c>
      <c r="D180" s="2" t="inlineStr">
        <is>
          <t>089860</t>
        </is>
      </c>
      <c r="E180" s="3" t="inlineStr">
        <is>
          <t xml:space="preserve">타인에대한채무보증결정              </t>
        </is>
      </c>
      <c r="F180" s="2" t="inlineStr">
        <is>
          <t>채무보증</t>
        </is>
      </c>
      <c r="G180" s="7" t="inlineStr">
        <is>
          <t>관계</t>
        </is>
      </c>
      <c r="H180" s="5" t="n">
        <v>50000000000</v>
      </c>
      <c r="I180" s="13" t="n">
        <v>3.21</v>
      </c>
      <c r="J180" s="2" t="inlineStr">
        <is>
          <t>2026-09-30</t>
        </is>
      </c>
      <c r="K180" s="2" t="inlineStr">
        <is>
          <t>2029-09-29</t>
        </is>
      </c>
      <c r="L180" s="7" t="inlineStr">
        <is>
          <t>-</t>
        </is>
      </c>
      <c r="M180" s="2" t="inlineStr">
        <is>
          <t>20260622800563</t>
        </is>
      </c>
      <c r="N180" s="8">
        <f>HYPERLINK("https://dart.fss.or.kr/dsaf001/main.do?rcpNo=20260622800563", "공시열람")</f>
        <v/>
      </c>
    </row>
    <row r="181" ht="36" customHeight="1">
      <c r="A181" s="2" t="inlineStr">
        <is>
          <t>2026-06-22</t>
        </is>
      </c>
      <c r="B181" s="3" t="inlineStr">
        <is>
          <t>아이티엠반도체</t>
        </is>
      </c>
      <c r="C181" s="2" t="inlineStr">
        <is>
          <t>코스닥</t>
        </is>
      </c>
      <c r="D181" s="2" t="inlineStr">
        <is>
          <t>084850</t>
        </is>
      </c>
      <c r="E181" s="3" t="inlineStr">
        <is>
          <t xml:space="preserve">타인에대한채무보증결정              </t>
        </is>
      </c>
      <c r="F181" s="2" t="inlineStr">
        <is>
          <t>채무보증</t>
        </is>
      </c>
      <c r="G181" s="7" t="inlineStr">
        <is>
          <t>성명</t>
        </is>
      </c>
      <c r="H181" s="5" t="n">
        <v>15703050000</v>
      </c>
      <c r="I181" s="13" t="n">
        <v>16.6</v>
      </c>
      <c r="J181" s="2" t="inlineStr">
        <is>
          <t>2026-06-25</t>
        </is>
      </c>
      <c r="K181" s="2" t="inlineStr">
        <is>
          <t>2026-12-25</t>
        </is>
      </c>
      <c r="L181" s="7" t="inlineStr">
        <is>
          <t>-</t>
        </is>
      </c>
      <c r="M181" s="2" t="inlineStr">
        <is>
          <t>20260622900556</t>
        </is>
      </c>
      <c r="N181" s="8">
        <f>HYPERLINK("https://dart.fss.or.kr/dsaf001/main.do?rcpNo=20260622900556", "공시열람")</f>
        <v/>
      </c>
    </row>
    <row r="182" ht="36" customHeight="1">
      <c r="A182" s="2" t="inlineStr">
        <is>
          <t>2026-06-22</t>
        </is>
      </c>
      <c r="B182" s="3" t="inlineStr">
        <is>
          <t>화승인더스트리</t>
        </is>
      </c>
      <c r="C182" s="2" t="inlineStr">
        <is>
          <t>코스피</t>
        </is>
      </c>
      <c r="D182" s="2" t="inlineStr">
        <is>
          <t>006060</t>
        </is>
      </c>
      <c r="E182" s="3" t="inlineStr">
        <is>
          <t xml:space="preserve">타인에대한채무보증결정              </t>
        </is>
      </c>
      <c r="F182" s="2" t="inlineStr">
        <is>
          <t>채무보증</t>
        </is>
      </c>
      <c r="G182" s="7" t="inlineStr">
        <is>
          <t>관계</t>
        </is>
      </c>
      <c r="H182" s="5" t="n">
        <v>30700000000</v>
      </c>
      <c r="I182" s="13" t="n">
        <v>5.49</v>
      </c>
      <c r="J182" s="2" t="inlineStr">
        <is>
          <t>2026-06-24</t>
        </is>
      </c>
      <c r="K182" s="2" t="inlineStr">
        <is>
          <t>2040-12-31</t>
        </is>
      </c>
      <c r="L182" s="7" t="inlineStr">
        <is>
          <t>-</t>
        </is>
      </c>
      <c r="M182" s="2" t="inlineStr">
        <is>
          <t>20260622800381</t>
        </is>
      </c>
      <c r="N182" s="8">
        <f>HYPERLINK("https://dart.fss.or.kr/dsaf001/main.do?rcpNo=20260622800381", "공시열람")</f>
        <v/>
      </c>
    </row>
    <row r="183" ht="36" customHeight="1">
      <c r="A183" s="2" t="inlineStr">
        <is>
          <t>2026-06-23</t>
        </is>
      </c>
      <c r="B183" s="3" t="inlineStr">
        <is>
          <t>GS</t>
        </is>
      </c>
      <c r="C183" s="2" t="inlineStr">
        <is>
          <t>코스피</t>
        </is>
      </c>
      <c r="D183" s="2" t="inlineStr">
        <is>
          <t>078930</t>
        </is>
      </c>
      <c r="E183" s="3" t="inlineStr">
        <is>
          <t xml:space="preserve">타인에대한채무보증결정(자회사의 주요경영사항)              </t>
        </is>
      </c>
      <c r="F183" s="2" t="inlineStr">
        <is>
          <t>채무보증</t>
        </is>
      </c>
      <c r="G183" s="7" t="inlineStr">
        <is>
          <t>관계</t>
        </is>
      </c>
      <c r="H183" s="5" t="n">
        <v>592780200000</v>
      </c>
      <c r="I183" s="13" t="n">
        <v>5.54</v>
      </c>
      <c r="J183" s="2" t="inlineStr">
        <is>
          <t>2026-06-29</t>
        </is>
      </c>
      <c r="K183" s="2" t="inlineStr">
        <is>
          <t>2027-06-30</t>
        </is>
      </c>
      <c r="L183" s="7" t="inlineStr">
        <is>
          <t>-</t>
        </is>
      </c>
      <c r="M183" s="2" t="inlineStr">
        <is>
          <t>20260623800772</t>
        </is>
      </c>
      <c r="N183" s="8">
        <f>HYPERLINK("https://dart.fss.or.kr/dsaf001/main.do?rcpNo=20260623800772", "공시열람")</f>
        <v/>
      </c>
    </row>
    <row r="184" ht="36" customHeight="1">
      <c r="A184" s="2" t="inlineStr">
        <is>
          <t>2026-06-23</t>
        </is>
      </c>
      <c r="B184" s="3" t="inlineStr">
        <is>
          <t>삼기에너지솔루션즈</t>
        </is>
      </c>
      <c r="C184" s="2" t="inlineStr">
        <is>
          <t>코스닥</t>
        </is>
      </c>
      <c r="D184" s="2" t="inlineStr">
        <is>
          <t>419050</t>
        </is>
      </c>
      <c r="E184" s="3" t="inlineStr">
        <is>
          <t xml:space="preserve">타인에대한채무보증결정              </t>
        </is>
      </c>
      <c r="F184" s="2" t="inlineStr">
        <is>
          <t>채무보증</t>
        </is>
      </c>
      <c r="G184" s="7" t="inlineStr">
        <is>
          <t>성명</t>
        </is>
      </c>
      <c r="H184" s="5" t="n">
        <v>15600000000</v>
      </c>
      <c r="I184" s="13" t="n">
        <v>17.02</v>
      </c>
      <c r="J184" s="2" t="inlineStr">
        <is>
          <t>2026-06-30</t>
        </is>
      </c>
      <c r="K184" s="2" t="inlineStr">
        <is>
          <t>2027-06-30</t>
        </is>
      </c>
      <c r="L184" s="7" t="inlineStr">
        <is>
          <t>-</t>
        </is>
      </c>
      <c r="M184" s="2" t="inlineStr">
        <is>
          <t>20260623900585</t>
        </is>
      </c>
      <c r="N184" s="8">
        <f>HYPERLINK("https://dart.fss.or.kr/dsaf001/main.do?rcpNo=20260623900585", "공시열람")</f>
        <v/>
      </c>
    </row>
    <row r="185" ht="36" customHeight="1">
      <c r="A185" s="2" t="inlineStr">
        <is>
          <t>2026-06-23</t>
        </is>
      </c>
      <c r="B185" s="3" t="inlineStr">
        <is>
          <t>DL</t>
        </is>
      </c>
      <c r="C185" s="2" t="inlineStr">
        <is>
          <t>코스피</t>
        </is>
      </c>
      <c r="D185" s="2" t="inlineStr">
        <is>
          <t>000210</t>
        </is>
      </c>
      <c r="E185" s="3" t="inlineStr">
        <is>
          <t xml:space="preserve">타인에대한채무보증결정(자회사의 주요경영사항)              </t>
        </is>
      </c>
      <c r="F185" s="2" t="inlineStr">
        <is>
          <t>채무보증</t>
        </is>
      </c>
      <c r="G185" s="7" t="inlineStr">
        <is>
          <t>관계</t>
        </is>
      </c>
      <c r="H185" s="5" t="n">
        <v>55000000000</v>
      </c>
      <c r="I185" s="13" t="n">
        <v>3</v>
      </c>
      <c r="J185" s="2" t="inlineStr">
        <is>
          <t>2026-06-26</t>
        </is>
      </c>
      <c r="K185" s="2" t="inlineStr">
        <is>
          <t>2027-06-26</t>
        </is>
      </c>
      <c r="L185" s="7" t="inlineStr">
        <is>
          <t>-</t>
        </is>
      </c>
      <c r="M185" s="2" t="inlineStr">
        <is>
          <t>20260623800543</t>
        </is>
      </c>
      <c r="N185" s="8">
        <f>HYPERLINK("https://dart.fss.or.kr/dsaf001/main.do?rcpNo=20260623800543", "공시열람")</f>
        <v/>
      </c>
    </row>
    <row r="186" ht="36" customHeight="1">
      <c r="A186" s="2" t="inlineStr">
        <is>
          <t>2026-06-23</t>
        </is>
      </c>
      <c r="B186" s="3" t="inlineStr">
        <is>
          <t>KG이니시스</t>
        </is>
      </c>
      <c r="C186" s="2" t="inlineStr">
        <is>
          <t>코스닥</t>
        </is>
      </c>
      <c r="D186" s="2" t="inlineStr">
        <is>
          <t>035600</t>
        </is>
      </c>
      <c r="E186" s="3" t="inlineStr">
        <is>
          <t xml:space="preserve">타인에대한채무보증결정              </t>
        </is>
      </c>
      <c r="F186" s="2" t="inlineStr">
        <is>
          <t>채무보증</t>
        </is>
      </c>
      <c r="G186" s="7" t="inlineStr">
        <is>
          <t>성명</t>
        </is>
      </c>
      <c r="H186" s="5" t="n">
        <v>90000000000</v>
      </c>
      <c r="I186" s="13" t="n">
        <v>11.87</v>
      </c>
      <c r="J186" s="2" t="inlineStr">
        <is>
          <t>-</t>
        </is>
      </c>
      <c r="K186" s="2" t="inlineStr">
        <is>
          <t>-</t>
        </is>
      </c>
      <c r="L186" s="7" t="inlineStr">
        <is>
          <t>-</t>
        </is>
      </c>
      <c r="M186" s="2" t="inlineStr">
        <is>
          <t>20260623900514</t>
        </is>
      </c>
      <c r="N186" s="8">
        <f>HYPERLINK("https://dart.fss.or.kr/dsaf001/main.do?rcpNo=20260623900514", "공시열람")</f>
        <v/>
      </c>
    </row>
    <row r="187" ht="36" customHeight="1">
      <c r="A187" s="2" t="inlineStr">
        <is>
          <t>2026-06-23</t>
        </is>
      </c>
      <c r="B187" s="3" t="inlineStr">
        <is>
          <t>유티아이</t>
        </is>
      </c>
      <c r="C187" s="2" t="inlineStr">
        <is>
          <t>코스닥</t>
        </is>
      </c>
      <c r="D187" s="2" t="inlineStr">
        <is>
          <t>179900</t>
        </is>
      </c>
      <c r="E187" s="3" t="inlineStr">
        <is>
          <t>금전대여결정              (대여기간 연장)</t>
        </is>
      </c>
      <c r="F187" s="2" t="inlineStr">
        <is>
          <t>금전대여</t>
        </is>
      </c>
      <c r="G187" s="7" t="inlineStr">
        <is>
          <t>-</t>
        </is>
      </c>
      <c r="H187" s="5" t="n">
        <v>15357000000</v>
      </c>
      <c r="I187" s="13" t="n">
        <v>23.3</v>
      </c>
      <c r="J187" s="2" t="inlineStr">
        <is>
          <t>2026-06-24</t>
        </is>
      </c>
      <c r="K187" s="2" t="inlineStr">
        <is>
          <t>2029-06-23</t>
        </is>
      </c>
      <c r="L187" s="7" t="inlineStr">
        <is>
          <t>시설자금 대여</t>
        </is>
      </c>
      <c r="M187" s="2" t="inlineStr">
        <is>
          <t>20260623900345</t>
        </is>
      </c>
      <c r="N187" s="8">
        <f>HYPERLINK("https://dart.fss.or.kr/dsaf001/main.do?rcpNo=20260623900345", "공시열람")</f>
        <v/>
      </c>
    </row>
    <row r="188" ht="36" customHeight="1">
      <c r="A188" s="2" t="inlineStr">
        <is>
          <t>2026-06-24 (정정: 2026-06-26)</t>
        </is>
      </c>
      <c r="B188" s="3" t="inlineStr">
        <is>
          <t>계룡건설산업</t>
        </is>
      </c>
      <c r="C188" s="2" t="inlineStr">
        <is>
          <t>코스피</t>
        </is>
      </c>
      <c r="D188" s="2" t="inlineStr">
        <is>
          <t>013580</t>
        </is>
      </c>
      <c r="E188" s="3" t="inlineStr">
        <is>
          <t>타인에대한채무보증결정               (정정: 20260626)</t>
        </is>
      </c>
      <c r="F188" s="2" t="inlineStr">
        <is>
          <t>채무보증</t>
        </is>
      </c>
      <c r="G188" s="7" t="inlineStr">
        <is>
          <t>관계</t>
        </is>
      </c>
      <c r="H188" s="5" t="n">
        <v>62000000000</v>
      </c>
      <c r="I188" s="13" t="n">
        <v>6.26</v>
      </c>
      <c r="J188" s="2" t="inlineStr">
        <is>
          <t>2026-06-26</t>
        </is>
      </c>
      <c r="K188" s="2" t="inlineStr">
        <is>
          <t>2028-03-26</t>
        </is>
      </c>
      <c r="L188" s="7" t="inlineStr">
        <is>
          <t>-</t>
        </is>
      </c>
      <c r="M188" s="2" t="inlineStr">
        <is>
          <t>20260626801097</t>
        </is>
      </c>
      <c r="N188" s="8">
        <f>HYPERLINK("https://dart.fss.or.kr/dsaf001/main.do?rcpNo=20260626801097", "공시열람")</f>
        <v/>
      </c>
    </row>
    <row r="189" ht="36" customHeight="1">
      <c r="A189" s="2" t="inlineStr">
        <is>
          <t>2026-06-24</t>
        </is>
      </c>
      <c r="B189" s="3" t="inlineStr">
        <is>
          <t>아톤</t>
        </is>
      </c>
      <c r="C189" s="2" t="inlineStr">
        <is>
          <t>코스닥</t>
        </is>
      </c>
      <c r="D189" s="2" t="inlineStr">
        <is>
          <t>158430</t>
        </is>
      </c>
      <c r="E189" s="3" t="inlineStr">
        <is>
          <t>금전대여결정              (대여기간 연장)</t>
        </is>
      </c>
      <c r="F189" s="2" t="inlineStr">
        <is>
          <t>금전대여</t>
        </is>
      </c>
      <c r="G189" s="7" t="inlineStr">
        <is>
          <t>-</t>
        </is>
      </c>
      <c r="H189" s="5" t="n">
        <v>15500000000</v>
      </c>
      <c r="I189" s="13" t="n">
        <v>14.3</v>
      </c>
      <c r="J189" s="2" t="inlineStr">
        <is>
          <t>2026-06-24</t>
        </is>
      </c>
      <c r="K189" s="2" t="inlineStr">
        <is>
          <t>2027-07-27</t>
        </is>
      </c>
      <c r="L189" s="7" t="inlineStr">
        <is>
          <t>(주)에이티코넥대부 사업진행을 위한 운영자금 확보</t>
        </is>
      </c>
      <c r="M189" s="2" t="inlineStr">
        <is>
          <t>20260624900767</t>
        </is>
      </c>
      <c r="N189" s="8">
        <f>HYPERLINK("https://dart.fss.or.kr/dsaf001/main.do?rcpNo=20260624900767", "공시열람")</f>
        <v/>
      </c>
    </row>
    <row r="190" ht="36" customHeight="1">
      <c r="A190" s="2" t="inlineStr">
        <is>
          <t>2026-06-24</t>
        </is>
      </c>
      <c r="B190" s="3" t="inlineStr">
        <is>
          <t>에스에이엠티</t>
        </is>
      </c>
      <c r="C190" s="2" t="inlineStr">
        <is>
          <t>코스닥</t>
        </is>
      </c>
      <c r="D190" s="2" t="inlineStr">
        <is>
          <t>031330</t>
        </is>
      </c>
      <c r="E190" s="3" t="inlineStr">
        <is>
          <t xml:space="preserve">타인에대한채무보증결정              </t>
        </is>
      </c>
      <c r="F190" s="2" t="inlineStr">
        <is>
          <t>채무보증</t>
        </is>
      </c>
      <c r="G190" s="7" t="inlineStr">
        <is>
          <t>성명</t>
        </is>
      </c>
      <c r="H190" s="5" t="n">
        <v>30744000000</v>
      </c>
      <c r="I190" s="13" t="n">
        <v>6.33</v>
      </c>
      <c r="J190" s="2" t="inlineStr">
        <is>
          <t>2026-06-24</t>
        </is>
      </c>
      <c r="K190" s="2" t="inlineStr">
        <is>
          <t>2027-06-24</t>
        </is>
      </c>
      <c r="L190" s="7" t="inlineStr">
        <is>
          <t>-</t>
        </is>
      </c>
      <c r="M190" s="2" t="inlineStr">
        <is>
          <t>20260624900706</t>
        </is>
      </c>
      <c r="N190" s="8">
        <f>HYPERLINK("https://dart.fss.or.kr/dsaf001/main.do?rcpNo=20260624900706", "공시열람")</f>
        <v/>
      </c>
    </row>
    <row r="191" ht="36" customHeight="1">
      <c r="A191" s="2" t="inlineStr">
        <is>
          <t>2026-06-24</t>
        </is>
      </c>
      <c r="B191" s="3" t="inlineStr">
        <is>
          <t>사토시홀딩스</t>
        </is>
      </c>
      <c r="C191" s="2" t="inlineStr">
        <is>
          <t>코스닥</t>
        </is>
      </c>
      <c r="D191" s="2" t="inlineStr">
        <is>
          <t>223310</t>
        </is>
      </c>
      <c r="E191" s="3" t="inlineStr">
        <is>
          <t xml:space="preserve">[기재정정]타인에대한채무보증결정              </t>
        </is>
      </c>
      <c r="F191" s="2" t="inlineStr">
        <is>
          <t>채무보증</t>
        </is>
      </c>
      <c r="G191" s="7" t="inlineStr">
        <is>
          <t>성명</t>
        </is>
      </c>
      <c r="H191" s="5" t="n">
        <v>1800000000</v>
      </c>
      <c r="I191" s="13" t="n">
        <v>10.43</v>
      </c>
      <c r="J191" s="2" t="inlineStr">
        <is>
          <t>2026-06-29</t>
        </is>
      </c>
      <c r="K191" s="2" t="inlineStr">
        <is>
          <t>2029-06-29</t>
        </is>
      </c>
      <c r="L191" s="7" t="inlineStr">
        <is>
          <t>-</t>
        </is>
      </c>
      <c r="M191" s="2" t="inlineStr">
        <is>
          <t>20260624900654</t>
        </is>
      </c>
      <c r="N191" s="8">
        <f>HYPERLINK("https://dart.fss.or.kr/dsaf001/main.do?rcpNo=20260624900654", "공시열람")</f>
        <v/>
      </c>
    </row>
    <row r="192" ht="36" customHeight="1">
      <c r="A192" s="2" t="inlineStr">
        <is>
          <t>2026-06-25</t>
        </is>
      </c>
      <c r="B192" s="3" t="inlineStr">
        <is>
          <t>동부건설</t>
        </is>
      </c>
      <c r="C192" s="2" t="inlineStr">
        <is>
          <t>코스피</t>
        </is>
      </c>
      <c r="D192" s="2" t="inlineStr">
        <is>
          <t>005960</t>
        </is>
      </c>
      <c r="E192" s="3" t="inlineStr">
        <is>
          <t xml:space="preserve">타인에대한채무보증결정              </t>
        </is>
      </c>
      <c r="F192" s="2" t="inlineStr">
        <is>
          <t>채무보증</t>
        </is>
      </c>
      <c r="G192" s="7" t="inlineStr">
        <is>
          <t>관계</t>
        </is>
      </c>
      <c r="H192" s="5" t="n">
        <v>27666000000</v>
      </c>
      <c r="I192" s="13" t="n">
        <v>5.02</v>
      </c>
      <c r="J192" s="2" t="inlineStr">
        <is>
          <t>2026-06-30</t>
        </is>
      </c>
      <c r="K192" s="2" t="inlineStr">
        <is>
          <t>2027-06-30</t>
        </is>
      </c>
      <c r="L192" s="7" t="inlineStr">
        <is>
          <t>-</t>
        </is>
      </c>
      <c r="M192" s="2" t="inlineStr">
        <is>
          <t>20260625800815</t>
        </is>
      </c>
      <c r="N192" s="8">
        <f>HYPERLINK("https://dart.fss.or.kr/dsaf001/main.do?rcpNo=20260625800815", "공시열람")</f>
        <v/>
      </c>
    </row>
    <row r="193" ht="36" customHeight="1">
      <c r="A193" s="2" t="inlineStr">
        <is>
          <t>2026-06-25</t>
        </is>
      </c>
      <c r="B193" s="3" t="inlineStr">
        <is>
          <t>동국씨엠</t>
        </is>
      </c>
      <c r="C193" s="2" t="inlineStr">
        <is>
          <t>코스피</t>
        </is>
      </c>
      <c r="D193" s="2" t="inlineStr">
        <is>
          <t>460850</t>
        </is>
      </c>
      <c r="E193" s="3" t="inlineStr">
        <is>
          <t xml:space="preserve">타인에대한채무보증결정(자율공시)              </t>
        </is>
      </c>
      <c r="F193" s="2" t="inlineStr">
        <is>
          <t>채무보증</t>
        </is>
      </c>
      <c r="G193" s="7" t="inlineStr">
        <is>
          <t>관계</t>
        </is>
      </c>
      <c r="H193" s="5" t="n">
        <v>11075760000</v>
      </c>
      <c r="I193" s="13" t="n">
        <v>1.06</v>
      </c>
      <c r="J193" s="2" t="inlineStr">
        <is>
          <t>2026-06-26</t>
        </is>
      </c>
      <c r="K193" s="2" t="inlineStr">
        <is>
          <t>2027-06-26</t>
        </is>
      </c>
      <c r="L193" s="7" t="inlineStr">
        <is>
          <t>-</t>
        </is>
      </c>
      <c r="M193" s="2" t="inlineStr">
        <is>
          <t>20260625800768</t>
        </is>
      </c>
      <c r="N193" s="8">
        <f>HYPERLINK("https://dart.fss.or.kr/dsaf001/main.do?rcpNo=20260625800768", "공시열람")</f>
        <v/>
      </c>
    </row>
    <row r="194" ht="36" customHeight="1">
      <c r="A194" s="2" t="inlineStr">
        <is>
          <t>2026-06-25</t>
        </is>
      </c>
      <c r="B194" s="3" t="inlineStr">
        <is>
          <t>동국씨엠</t>
        </is>
      </c>
      <c r="C194" s="2" t="inlineStr">
        <is>
          <t>코스피</t>
        </is>
      </c>
      <c r="D194" s="2" t="inlineStr">
        <is>
          <t>460850</t>
        </is>
      </c>
      <c r="E194" s="3" t="inlineStr">
        <is>
          <t xml:space="preserve">타인에대한채무보증결정(자율공시)              </t>
        </is>
      </c>
      <c r="F194" s="2" t="inlineStr">
        <is>
          <t>채무보증</t>
        </is>
      </c>
      <c r="G194" s="7" t="inlineStr">
        <is>
          <t>관계</t>
        </is>
      </c>
      <c r="H194" s="5" t="n">
        <v>22200000000</v>
      </c>
      <c r="I194" s="13" t="n">
        <v>2.12</v>
      </c>
      <c r="J194" s="2" t="inlineStr">
        <is>
          <t>2026-06-30</t>
        </is>
      </c>
      <c r="K194" s="2" t="inlineStr">
        <is>
          <t>2027-06-30</t>
        </is>
      </c>
      <c r="L194" s="7" t="inlineStr">
        <is>
          <t>-</t>
        </is>
      </c>
      <c r="M194" s="2" t="inlineStr">
        <is>
          <t>20260625800692</t>
        </is>
      </c>
      <c r="N194" s="8">
        <f>HYPERLINK("https://dart.fss.or.kr/dsaf001/main.do?rcpNo=20260625800692", "공시열람")</f>
        <v/>
      </c>
    </row>
    <row r="195" ht="36" customHeight="1">
      <c r="A195" s="2" t="inlineStr">
        <is>
          <t>2026-06-25</t>
        </is>
      </c>
      <c r="B195" s="3" t="inlineStr">
        <is>
          <t>서희건설</t>
        </is>
      </c>
      <c r="C195" s="2" t="inlineStr">
        <is>
          <t>코스닥</t>
        </is>
      </c>
      <c r="D195" s="2" t="inlineStr">
        <is>
          <t>035890</t>
        </is>
      </c>
      <c r="E195" s="3" t="inlineStr">
        <is>
          <t xml:space="preserve">[기재정정]타인에대한채무보증결정              </t>
        </is>
      </c>
      <c r="F195" s="2" t="inlineStr">
        <is>
          <t>채무보증</t>
        </is>
      </c>
      <c r="G195" s="7" t="inlineStr">
        <is>
          <t>관계</t>
        </is>
      </c>
      <c r="H195" s="5" t="n">
        <v>92400000000</v>
      </c>
      <c r="I195" s="13" t="n">
        <v>13.85</v>
      </c>
      <c r="J195" s="2" t="inlineStr">
        <is>
          <t>2022-06-28</t>
        </is>
      </c>
      <c r="K195" s="2" t="inlineStr">
        <is>
          <t>2026-10-31</t>
        </is>
      </c>
      <c r="L195" s="7" t="inlineStr">
        <is>
          <t>-</t>
        </is>
      </c>
      <c r="M195" s="2" t="inlineStr">
        <is>
          <t>20260625900726</t>
        </is>
      </c>
      <c r="N195" s="8">
        <f>HYPERLINK("https://dart.fss.or.kr/dsaf001/main.do?rcpNo=20260625900726", "공시열람")</f>
        <v/>
      </c>
    </row>
    <row r="196" ht="36" customHeight="1">
      <c r="A196" s="2" t="inlineStr">
        <is>
          <t>2025-06-24 (정정: 2026-06-25)</t>
        </is>
      </c>
      <c r="B196" s="3" t="inlineStr">
        <is>
          <t>SK</t>
        </is>
      </c>
      <c r="C196" s="2" t="inlineStr">
        <is>
          <t>코스피</t>
        </is>
      </c>
      <c r="D196" s="2" t="inlineStr">
        <is>
          <t>034730</t>
        </is>
      </c>
      <c r="E196" s="3" t="inlineStr">
        <is>
          <t xml:space="preserve">[기재정정]금전대여결정(자회사의 주요경영사항)              </t>
        </is>
      </c>
      <c r="F196" s="2" t="inlineStr">
        <is>
          <t>금전대여</t>
        </is>
      </c>
      <c r="G196" s="7" t="inlineStr">
        <is>
          <t>SK Battery America Inc.</t>
        </is>
      </c>
      <c r="H196" s="5" t="n">
        <v>2349230000000</v>
      </c>
      <c r="I196" s="13" t="n">
        <v>13.67</v>
      </c>
      <c r="J196" s="2" t="inlineStr">
        <is>
          <t>2025-07-01</t>
        </is>
      </c>
      <c r="K196" s="2" t="inlineStr">
        <is>
          <t>2027-06-30</t>
        </is>
      </c>
      <c r="L196" s="7" t="inlineStr">
        <is>
          <t>타법인 증권 취득자금 및 운영자금</t>
        </is>
      </c>
      <c r="M196" s="2" t="inlineStr">
        <is>
          <t>20260625800571</t>
        </is>
      </c>
      <c r="N196" s="8">
        <f>HYPERLINK("https://dart.fss.or.kr/dsaf001/main.do?rcpNo=20260625800571", "공시열람")</f>
        <v/>
      </c>
    </row>
    <row r="197" ht="36" customHeight="1">
      <c r="A197" s="2" t="inlineStr">
        <is>
          <t>2025-06-24 (정정: 2026-06-25)</t>
        </is>
      </c>
      <c r="B197" s="3" t="inlineStr">
        <is>
          <t>SK이노베이션</t>
        </is>
      </c>
      <c r="C197" s="2" t="inlineStr">
        <is>
          <t>코스피</t>
        </is>
      </c>
      <c r="D197" s="2" t="inlineStr">
        <is>
          <t>096770</t>
        </is>
      </c>
      <c r="E197" s="3" t="inlineStr">
        <is>
          <t xml:space="preserve">[기재정정]금전대여결정(자회사의 주요경영사항)              </t>
        </is>
      </c>
      <c r="F197" s="2" t="inlineStr">
        <is>
          <t>금전대여</t>
        </is>
      </c>
      <c r="G197" s="7" t="inlineStr">
        <is>
          <t>SK Battery America Inc.</t>
        </is>
      </c>
      <c r="H197" s="5" t="n">
        <v>2349230000000</v>
      </c>
      <c r="I197" s="13" t="n">
        <v>13.67</v>
      </c>
      <c r="J197" s="2" t="inlineStr">
        <is>
          <t>2025-07-01</t>
        </is>
      </c>
      <c r="K197" s="2" t="inlineStr">
        <is>
          <t>2027-06-30</t>
        </is>
      </c>
      <c r="L197" s="7" t="inlineStr">
        <is>
          <t>타법인 증권 취득자금 및 운영자금</t>
        </is>
      </c>
      <c r="M197" s="2" t="inlineStr">
        <is>
          <t>20260625800518</t>
        </is>
      </c>
      <c r="N197" s="8">
        <f>HYPERLINK("https://dart.fss.or.kr/dsaf001/main.do?rcpNo=20260625800518", "공시열람")</f>
        <v/>
      </c>
    </row>
    <row r="198" ht="36" customHeight="1">
      <c r="A198" s="2" t="inlineStr">
        <is>
          <t>2026-06-25</t>
        </is>
      </c>
      <c r="B198" s="3" t="inlineStr">
        <is>
          <t>대우건설</t>
        </is>
      </c>
      <c r="C198" s="2" t="inlineStr">
        <is>
          <t>코스피</t>
        </is>
      </c>
      <c r="D198" s="2" t="inlineStr">
        <is>
          <t>047040</t>
        </is>
      </c>
      <c r="E198" s="3" t="inlineStr">
        <is>
          <t xml:space="preserve">타인에대한채무보증결정              </t>
        </is>
      </c>
      <c r="F198" s="2" t="inlineStr">
        <is>
          <t>채무보증</t>
        </is>
      </c>
      <c r="G198" s="7" t="inlineStr">
        <is>
          <t>관계</t>
        </is>
      </c>
      <c r="H198" s="5" t="n">
        <v>1640000000000</v>
      </c>
      <c r="I198" s="13" t="n">
        <v>47.2</v>
      </c>
      <c r="J198" s="2" t="inlineStr">
        <is>
          <t>-</t>
        </is>
      </c>
      <c r="K198" s="2" t="inlineStr">
        <is>
          <t>2029-10-31</t>
        </is>
      </c>
      <c r="L198" s="7" t="inlineStr">
        <is>
          <t>-</t>
        </is>
      </c>
      <c r="M198" s="2" t="inlineStr">
        <is>
          <t>20260625800521</t>
        </is>
      </c>
      <c r="N198" s="8">
        <f>HYPERLINK("https://dart.fss.or.kr/dsaf001/main.do?rcpNo=20260625800521", "공시열람")</f>
        <v/>
      </c>
    </row>
    <row r="199" ht="36" customHeight="1">
      <c r="A199" s="2" t="inlineStr">
        <is>
          <t>2026-06-25</t>
        </is>
      </c>
      <c r="B199" s="3" t="inlineStr">
        <is>
          <t>에스넷</t>
        </is>
      </c>
      <c r="C199" s="2" t="inlineStr">
        <is>
          <t>코스닥</t>
        </is>
      </c>
      <c r="D199" s="2" t="inlineStr">
        <is>
          <t>038680</t>
        </is>
      </c>
      <c r="E199" s="3" t="inlineStr">
        <is>
          <t xml:space="preserve">[기재정정]타인에대한채무보증결정              </t>
        </is>
      </c>
      <c r="F199" s="2" t="inlineStr">
        <is>
          <t>채무보증</t>
        </is>
      </c>
      <c r="G199" s="7" t="inlineStr">
        <is>
          <t>성명</t>
        </is>
      </c>
      <c r="H199" s="5" t="n">
        <v>8306820000</v>
      </c>
      <c r="I199" s="13" t="n">
        <v>7.15</v>
      </c>
      <c r="J199" s="2" t="inlineStr">
        <is>
          <t>2026-06-30</t>
        </is>
      </c>
      <c r="K199" s="2" t="inlineStr">
        <is>
          <t>2027-06-30</t>
        </is>
      </c>
      <c r="L199" s="7" t="inlineStr">
        <is>
          <t>-</t>
        </is>
      </c>
      <c r="M199" s="2" t="inlineStr">
        <is>
          <t>20260625900501</t>
        </is>
      </c>
      <c r="N199" s="8">
        <f>HYPERLINK("https://dart.fss.or.kr/dsaf001/main.do?rcpNo=20260625900501", "공시열람")</f>
        <v/>
      </c>
    </row>
    <row r="200" ht="36" customHeight="1">
      <c r="A200" s="2" t="inlineStr">
        <is>
          <t>2026-06-25</t>
        </is>
      </c>
      <c r="B200" s="3" t="inlineStr">
        <is>
          <t>에스에이엠티</t>
        </is>
      </c>
      <c r="C200" s="2" t="inlineStr">
        <is>
          <t>코스닥</t>
        </is>
      </c>
      <c r="D200" s="2" t="inlineStr">
        <is>
          <t>031330</t>
        </is>
      </c>
      <c r="E200" s="3" t="inlineStr">
        <is>
          <t xml:space="preserve">타인에대한채무보증결정              </t>
        </is>
      </c>
      <c r="F200" s="2" t="inlineStr">
        <is>
          <t>채무보증</t>
        </is>
      </c>
      <c r="G200" s="7" t="inlineStr">
        <is>
          <t>성명</t>
        </is>
      </c>
      <c r="H200" s="5" t="n">
        <v>92298000000</v>
      </c>
      <c r="I200" s="13" t="n">
        <v>18.99</v>
      </c>
      <c r="J200" s="2" t="inlineStr">
        <is>
          <t>2026-06-25</t>
        </is>
      </c>
      <c r="K200" s="2" t="inlineStr">
        <is>
          <t>2027-06-25</t>
        </is>
      </c>
      <c r="L200" s="7" t="inlineStr">
        <is>
          <t>-</t>
        </is>
      </c>
      <c r="M200" s="2" t="inlineStr">
        <is>
          <t>20260625900320</t>
        </is>
      </c>
      <c r="N200" s="8">
        <f>HYPERLINK("https://dart.fss.or.kr/dsaf001/main.do?rcpNo=20260625900320", "공시열람")</f>
        <v/>
      </c>
    </row>
    <row r="201" ht="36" customHeight="1">
      <c r="A201" s="2" t="inlineStr">
        <is>
          <t>2026-06-26</t>
        </is>
      </c>
      <c r="B201" s="3" t="inlineStr">
        <is>
          <t>차바이오텍</t>
        </is>
      </c>
      <c r="C201" s="2" t="inlineStr">
        <is>
          <t>코스닥</t>
        </is>
      </c>
      <c r="D201" s="2" t="inlineStr">
        <is>
          <t>085660</t>
        </is>
      </c>
      <c r="E201" s="3" t="inlineStr">
        <is>
          <t xml:space="preserve">타인에대한담보제공결정              </t>
        </is>
      </c>
      <c r="F201" s="2" t="inlineStr">
        <is>
          <t>기타</t>
        </is>
      </c>
      <c r="G201" s="7" t="inlineStr">
        <is>
          <t>-</t>
        </is>
      </c>
      <c r="H201" s="5" t="inlineStr"/>
      <c r="I201" s="3" t="inlineStr"/>
      <c r="J201" s="2" t="inlineStr">
        <is>
          <t>-</t>
        </is>
      </c>
      <c r="K201" s="2" t="inlineStr">
        <is>
          <t>-</t>
        </is>
      </c>
      <c r="L201" s="7" t="inlineStr">
        <is>
          <t>-</t>
        </is>
      </c>
      <c r="M201" s="2" t="inlineStr">
        <is>
          <t>20260626901351</t>
        </is>
      </c>
      <c r="N201" s="8">
        <f>HYPERLINK("https://dart.fss.or.kr/dsaf001/main.do?rcpNo=20260626901351", "공시열람")</f>
        <v/>
      </c>
    </row>
    <row r="202" ht="36" customHeight="1">
      <c r="A202" s="2" t="inlineStr">
        <is>
          <t>2026-06-26</t>
        </is>
      </c>
      <c r="B202" s="3" t="inlineStr">
        <is>
          <t>SK디앤디</t>
        </is>
      </c>
      <c r="C202" s="2" t="inlineStr">
        <is>
          <t>코스피</t>
        </is>
      </c>
      <c r="D202" s="2" t="inlineStr">
        <is>
          <t>210980</t>
        </is>
      </c>
      <c r="E202" s="3" t="inlineStr">
        <is>
          <t xml:space="preserve">타인에대한담보제공결정              </t>
        </is>
      </c>
      <c r="F202" s="2" t="inlineStr">
        <is>
          <t>기타</t>
        </is>
      </c>
      <c r="G202" s="7" t="inlineStr">
        <is>
          <t>-</t>
        </is>
      </c>
      <c r="H202" s="5" t="inlineStr"/>
      <c r="I202" s="3" t="inlineStr"/>
      <c r="J202" s="2" t="inlineStr">
        <is>
          <t>-</t>
        </is>
      </c>
      <c r="K202" s="2" t="inlineStr">
        <is>
          <t>-</t>
        </is>
      </c>
      <c r="L202" s="7" t="inlineStr">
        <is>
          <t>-</t>
        </is>
      </c>
      <c r="M202" s="2" t="inlineStr">
        <is>
          <t>20260626800961</t>
        </is>
      </c>
      <c r="N202" s="8">
        <f>HYPERLINK("https://dart.fss.or.kr/dsaf001/main.do?rcpNo=20260626800961", "공시열람")</f>
        <v/>
      </c>
    </row>
    <row r="203" ht="36" customHeight="1">
      <c r="A203" s="2" t="inlineStr">
        <is>
          <t>2026-06-26</t>
        </is>
      </c>
      <c r="B203" s="3" t="inlineStr">
        <is>
          <t>HS효성</t>
        </is>
      </c>
      <c r="C203" s="2" t="inlineStr">
        <is>
          <t>코스피</t>
        </is>
      </c>
      <c r="D203" s="2" t="inlineStr">
        <is>
          <t>487570</t>
        </is>
      </c>
      <c r="E203" s="3" t="inlineStr">
        <is>
          <t xml:space="preserve">타인에대한채무보증결정(자회사의 주요경영사항)              </t>
        </is>
      </c>
      <c r="F203" s="2" t="inlineStr">
        <is>
          <t>채무보증</t>
        </is>
      </c>
      <c r="G203" s="7" t="inlineStr">
        <is>
          <t>관계</t>
        </is>
      </c>
      <c r="H203" s="5" t="n">
        <v>24307190000</v>
      </c>
      <c r="I203" s="13" t="n">
        <v>2.94</v>
      </c>
      <c r="J203" s="2" t="inlineStr">
        <is>
          <t>2026-07-03</t>
        </is>
      </c>
      <c r="K203" s="2" t="inlineStr">
        <is>
          <t>2027-07-02</t>
        </is>
      </c>
      <c r="L203" s="7" t="inlineStr">
        <is>
          <t>-</t>
        </is>
      </c>
      <c r="M203" s="2" t="inlineStr">
        <is>
          <t>20260626801051</t>
        </is>
      </c>
      <c r="N203" s="8">
        <f>HYPERLINK("https://dart.fss.or.kr/dsaf001/main.do?rcpNo=20260626801051", "공시열람")</f>
        <v/>
      </c>
    </row>
    <row r="204" ht="36" customHeight="1">
      <c r="A204" s="2" t="inlineStr">
        <is>
          <t>2026-06-26</t>
        </is>
      </c>
      <c r="B204" s="3" t="inlineStr">
        <is>
          <t>계룡건설산업</t>
        </is>
      </c>
      <c r="C204" s="2" t="inlineStr">
        <is>
          <t>코스피</t>
        </is>
      </c>
      <c r="D204" s="2" t="inlineStr">
        <is>
          <t>013580</t>
        </is>
      </c>
      <c r="E204" s="3" t="inlineStr">
        <is>
          <t xml:space="preserve">타인에대한채무보증결정              </t>
        </is>
      </c>
      <c r="F204" s="2" t="inlineStr">
        <is>
          <t>채무보증</t>
        </is>
      </c>
      <c r="G204" s="7" t="inlineStr">
        <is>
          <t>관계</t>
        </is>
      </c>
      <c r="H204" s="5" t="n">
        <v>62000000000</v>
      </c>
      <c r="I204" s="13" t="n">
        <v>6.26</v>
      </c>
      <c r="J204" s="2" t="inlineStr">
        <is>
          <t>2026-06-26</t>
        </is>
      </c>
      <c r="K204" s="2" t="inlineStr">
        <is>
          <t>2028-03-26</t>
        </is>
      </c>
      <c r="L204" s="7" t="inlineStr">
        <is>
          <t>-</t>
        </is>
      </c>
      <c r="M204" s="2" t="inlineStr">
        <is>
          <t>20260626801056</t>
        </is>
      </c>
      <c r="N204" s="8">
        <f>HYPERLINK("https://dart.fss.or.kr/dsaf001/main.do?rcpNo=20260626801056", "공시열람")</f>
        <v/>
      </c>
    </row>
    <row r="205" ht="36" customHeight="1">
      <c r="A205" s="2" t="inlineStr">
        <is>
          <t>2026-06-26</t>
        </is>
      </c>
      <c r="B205" s="3" t="inlineStr">
        <is>
          <t>HS효성첨단소재</t>
        </is>
      </c>
      <c r="C205" s="2" t="inlineStr">
        <is>
          <t>코스피</t>
        </is>
      </c>
      <c r="D205" s="2" t="inlineStr">
        <is>
          <t>298050</t>
        </is>
      </c>
      <c r="E205" s="3" t="inlineStr">
        <is>
          <t xml:space="preserve">타인에대한채무보증결정              </t>
        </is>
      </c>
      <c r="F205" s="2" t="inlineStr">
        <is>
          <t>채무보증</t>
        </is>
      </c>
      <c r="G205" s="7" t="inlineStr">
        <is>
          <t>관계</t>
        </is>
      </c>
      <c r="H205" s="5" t="n">
        <v>24307190000</v>
      </c>
      <c r="I205" s="13" t="n">
        <v>2.94</v>
      </c>
      <c r="J205" s="2" t="inlineStr">
        <is>
          <t>2026-07-03</t>
        </is>
      </c>
      <c r="K205" s="2" t="inlineStr">
        <is>
          <t>2027-07-02</t>
        </is>
      </c>
      <c r="L205" s="7" t="inlineStr">
        <is>
          <t>-</t>
        </is>
      </c>
      <c r="M205" s="2" t="inlineStr">
        <is>
          <t>20260626801026</t>
        </is>
      </c>
      <c r="N205" s="8">
        <f>HYPERLINK("https://dart.fss.or.kr/dsaf001/main.do?rcpNo=20260626801026", "공시열람")</f>
        <v/>
      </c>
    </row>
    <row r="206" ht="36" customHeight="1">
      <c r="A206" s="2" t="inlineStr">
        <is>
          <t>2026-06-26</t>
        </is>
      </c>
      <c r="B206" s="3" t="inlineStr">
        <is>
          <t>가온그룹</t>
        </is>
      </c>
      <c r="C206" s="2" t="inlineStr">
        <is>
          <t>코스닥</t>
        </is>
      </c>
      <c r="D206" s="2" t="inlineStr">
        <is>
          <t>078890</t>
        </is>
      </c>
      <c r="E206" s="3" t="inlineStr">
        <is>
          <t>금전대여결정              (대여기간 연장)</t>
        </is>
      </c>
      <c r="F206" s="2" t="inlineStr">
        <is>
          <t>금전대여</t>
        </is>
      </c>
      <c r="G206" s="7" t="inlineStr">
        <is>
          <t>-</t>
        </is>
      </c>
      <c r="H206" s="5" t="n">
        <v>7726500000</v>
      </c>
      <c r="I206" s="13" t="n">
        <v>6.29</v>
      </c>
      <c r="J206" s="2" t="inlineStr">
        <is>
          <t>2026-06-26</t>
        </is>
      </c>
      <c r="K206" s="2" t="inlineStr">
        <is>
          <t>2029-06-27</t>
        </is>
      </c>
      <c r="L206" s="7" t="inlineStr">
        <is>
          <t>가온그룹(주)의 브라질법인 운영자금</t>
        </is>
      </c>
      <c r="M206" s="2" t="inlineStr">
        <is>
          <t>20260626901002</t>
        </is>
      </c>
      <c r="N206" s="8">
        <f>HYPERLINK("https://dart.fss.or.kr/dsaf001/main.do?rcpNo=20260626901002", "공시열람")</f>
        <v/>
      </c>
    </row>
    <row r="207" ht="36" customHeight="1">
      <c r="A207" s="2" t="inlineStr">
        <is>
          <t>2026-06-26</t>
        </is>
      </c>
      <c r="B207" s="3" t="inlineStr">
        <is>
          <t>가온그룹</t>
        </is>
      </c>
      <c r="C207" s="2" t="inlineStr">
        <is>
          <t>코스닥</t>
        </is>
      </c>
      <c r="D207" s="2" t="inlineStr">
        <is>
          <t>078890</t>
        </is>
      </c>
      <c r="E207" s="3" t="inlineStr">
        <is>
          <t xml:space="preserve">타인에대한채무보증결정              </t>
        </is>
      </c>
      <c r="F207" s="2" t="inlineStr">
        <is>
          <t>채무보증</t>
        </is>
      </c>
      <c r="G207" s="7" t="inlineStr">
        <is>
          <t>성명</t>
        </is>
      </c>
      <c r="H207" s="5" t="n">
        <v>9600000000</v>
      </c>
      <c r="I207" s="13" t="n">
        <v>7.82</v>
      </c>
      <c r="J207" s="2" t="inlineStr">
        <is>
          <t>2026-06-30</t>
        </is>
      </c>
      <c r="K207" s="2" t="inlineStr">
        <is>
          <t>2027-06-30</t>
        </is>
      </c>
      <c r="L207" s="7" t="inlineStr">
        <is>
          <t>-</t>
        </is>
      </c>
      <c r="M207" s="2" t="inlineStr">
        <is>
          <t>20260626901009</t>
        </is>
      </c>
      <c r="N207" s="8">
        <f>HYPERLINK("https://dart.fss.or.kr/dsaf001/main.do?rcpNo=20260626901009", "공시열람")</f>
        <v/>
      </c>
    </row>
    <row r="208" ht="36" customHeight="1">
      <c r="A208" s="2" t="inlineStr">
        <is>
          <t>2026-06-26</t>
        </is>
      </c>
      <c r="B208" s="3" t="inlineStr">
        <is>
          <t>피엔티</t>
        </is>
      </c>
      <c r="C208" s="2" t="inlineStr">
        <is>
          <t>코스닥</t>
        </is>
      </c>
      <c r="D208" s="2" t="inlineStr">
        <is>
          <t>137400</t>
        </is>
      </c>
      <c r="E208" s="3" t="inlineStr">
        <is>
          <t xml:space="preserve">타인에대한채무보증결정              </t>
        </is>
      </c>
      <c r="F208" s="2" t="inlineStr">
        <is>
          <t>채무보증</t>
        </is>
      </c>
      <c r="G208" s="7" t="inlineStr">
        <is>
          <t>성명</t>
        </is>
      </c>
      <c r="H208" s="5" t="n">
        <v>130395580000</v>
      </c>
      <c r="I208" s="13" t="n">
        <v>18.67</v>
      </c>
      <c r="J208" s="2" t="inlineStr">
        <is>
          <t>2026-06-26</t>
        </is>
      </c>
      <c r="K208" s="2" t="inlineStr">
        <is>
          <t>2031-06-25</t>
        </is>
      </c>
      <c r="L208" s="7" t="inlineStr">
        <is>
          <t>-</t>
        </is>
      </c>
      <c r="M208" s="2" t="inlineStr">
        <is>
          <t>20260626900994</t>
        </is>
      </c>
      <c r="N208" s="8">
        <f>HYPERLINK("https://dart.fss.or.kr/dsaf001/main.do?rcpNo=20260626900994", "공시열람")</f>
        <v/>
      </c>
    </row>
    <row r="209" ht="36" customHeight="1">
      <c r="A209" s="2" t="inlineStr">
        <is>
          <t>2026-06-26</t>
        </is>
      </c>
      <c r="B209" s="3" t="inlineStr">
        <is>
          <t>HD현대일렉트릭</t>
        </is>
      </c>
      <c r="C209" s="2" t="inlineStr">
        <is>
          <t>코스피</t>
        </is>
      </c>
      <c r="D209" s="2" t="inlineStr">
        <is>
          <t>267260</t>
        </is>
      </c>
      <c r="E209" s="3" t="inlineStr">
        <is>
          <t xml:space="preserve">타인에대한채무보증결정              </t>
        </is>
      </c>
      <c r="F209" s="2" t="inlineStr">
        <is>
          <t>채무보증</t>
        </is>
      </c>
      <c r="G209" s="7" t="inlineStr">
        <is>
          <t>관계</t>
        </is>
      </c>
      <c r="H209" s="5" t="n">
        <v>84310560000</v>
      </c>
      <c r="I209" s="13" t="n">
        <v>4.15</v>
      </c>
      <c r="J209" s="2" t="inlineStr">
        <is>
          <t>2026-07-01</t>
        </is>
      </c>
      <c r="K209" s="2" t="inlineStr">
        <is>
          <t>2027-06-30</t>
        </is>
      </c>
      <c r="L209" s="7" t="inlineStr">
        <is>
          <t>-</t>
        </is>
      </c>
      <c r="M209" s="2" t="inlineStr">
        <is>
          <t>20260626800941</t>
        </is>
      </c>
      <c r="N209" s="8">
        <f>HYPERLINK("https://dart.fss.or.kr/dsaf001/main.do?rcpNo=20260626800941", "공시열람")</f>
        <v/>
      </c>
    </row>
    <row r="210" ht="36" customHeight="1">
      <c r="A210" s="2" t="inlineStr">
        <is>
          <t>2026-06-26</t>
        </is>
      </c>
      <c r="B210" s="3" t="inlineStr">
        <is>
          <t>SK디앤디</t>
        </is>
      </c>
      <c r="C210" s="2" t="inlineStr">
        <is>
          <t>코스피</t>
        </is>
      </c>
      <c r="D210" s="2" t="inlineStr">
        <is>
          <t>210980</t>
        </is>
      </c>
      <c r="E210" s="3" t="inlineStr">
        <is>
          <t xml:space="preserve">타인에대한채무보증결정              </t>
        </is>
      </c>
      <c r="F210" s="2" t="inlineStr">
        <is>
          <t>채무보증</t>
        </is>
      </c>
      <c r="G210" s="7" t="inlineStr">
        <is>
          <t>관계</t>
        </is>
      </c>
      <c r="H210" s="5" t="n">
        <v>35000000000</v>
      </c>
      <c r="I210" s="13" t="n">
        <v>6.28</v>
      </c>
      <c r="J210" s="2" t="inlineStr">
        <is>
          <t>2026-06-29</t>
        </is>
      </c>
      <c r="K210" s="2" t="inlineStr">
        <is>
          <t>2027-12-29</t>
        </is>
      </c>
      <c r="L210" s="7" t="inlineStr">
        <is>
          <t>-</t>
        </is>
      </c>
      <c r="M210" s="2" t="inlineStr">
        <is>
          <t>20260626800819</t>
        </is>
      </c>
      <c r="N210" s="8">
        <f>HYPERLINK("https://dart.fss.or.kr/dsaf001/main.do?rcpNo=20260626800819", "공시열람")</f>
        <v/>
      </c>
    </row>
    <row r="211" ht="36" customHeight="1">
      <c r="A211" s="2" t="inlineStr">
        <is>
          <t>2026-06-26</t>
        </is>
      </c>
      <c r="B211" s="3" t="inlineStr">
        <is>
          <t>코스맥스비티아이</t>
        </is>
      </c>
      <c r="C211" s="2" t="inlineStr">
        <is>
          <t>코스피</t>
        </is>
      </c>
      <c r="D211" s="2" t="inlineStr">
        <is>
          <t>044820</t>
        </is>
      </c>
      <c r="E211" s="3" t="inlineStr">
        <is>
          <t xml:space="preserve">타인에대한담보제공결정              </t>
        </is>
      </c>
      <c r="F211" s="2" t="inlineStr">
        <is>
          <t>기타</t>
        </is>
      </c>
      <c r="G211" s="7" t="inlineStr">
        <is>
          <t>-</t>
        </is>
      </c>
      <c r="H211" s="5" t="inlineStr"/>
      <c r="I211" s="3" t="inlineStr"/>
      <c r="J211" s="2" t="inlineStr">
        <is>
          <t>-</t>
        </is>
      </c>
      <c r="K211" s="2" t="inlineStr">
        <is>
          <t>-</t>
        </is>
      </c>
      <c r="L211" s="7" t="inlineStr">
        <is>
          <t>-</t>
        </is>
      </c>
      <c r="M211" s="2" t="inlineStr">
        <is>
          <t>20260626800726</t>
        </is>
      </c>
      <c r="N211" s="8">
        <f>HYPERLINK("https://dart.fss.or.kr/dsaf001/main.do?rcpNo=20260626800726", "공시열람")</f>
        <v/>
      </c>
    </row>
    <row r="212" ht="36" customHeight="1">
      <c r="A212" s="2" t="inlineStr">
        <is>
          <t>2026-06-26</t>
        </is>
      </c>
      <c r="B212" s="3" t="inlineStr">
        <is>
          <t>코스맥스비티아이</t>
        </is>
      </c>
      <c r="C212" s="2" t="inlineStr">
        <is>
          <t>코스피</t>
        </is>
      </c>
      <c r="D212" s="2" t="inlineStr">
        <is>
          <t>044820</t>
        </is>
      </c>
      <c r="E212" s="3" t="inlineStr">
        <is>
          <t xml:space="preserve">타인에대한담보제공결정              </t>
        </is>
      </c>
      <c r="F212" s="2" t="inlineStr">
        <is>
          <t>기타</t>
        </is>
      </c>
      <c r="G212" s="7" t="inlineStr">
        <is>
          <t>-</t>
        </is>
      </c>
      <c r="H212" s="5" t="inlineStr"/>
      <c r="I212" s="3" t="inlineStr"/>
      <c r="J212" s="2" t="inlineStr">
        <is>
          <t>-</t>
        </is>
      </c>
      <c r="K212" s="2" t="inlineStr">
        <is>
          <t>-</t>
        </is>
      </c>
      <c r="L212" s="7" t="inlineStr">
        <is>
          <t>-</t>
        </is>
      </c>
      <c r="M212" s="2" t="inlineStr">
        <is>
          <t>20260626800722</t>
        </is>
      </c>
      <c r="N212" s="8">
        <f>HYPERLINK("https://dart.fss.or.kr/dsaf001/main.do?rcpNo=20260626800722", "공시열람")</f>
        <v/>
      </c>
    </row>
    <row r="213" ht="36" customHeight="1">
      <c r="A213" s="2" t="inlineStr">
        <is>
          <t>2026-06-26</t>
        </is>
      </c>
      <c r="B213" s="3" t="inlineStr">
        <is>
          <t>금호건설</t>
        </is>
      </c>
      <c r="C213" s="2" t="inlineStr">
        <is>
          <t>코스피</t>
        </is>
      </c>
      <c r="D213" s="2" t="inlineStr">
        <is>
          <t>002990</t>
        </is>
      </c>
      <c r="E213" s="3" t="inlineStr">
        <is>
          <t xml:space="preserve">타인에대한채무보증결정              </t>
        </is>
      </c>
      <c r="F213" s="2" t="inlineStr">
        <is>
          <t>채무보증</t>
        </is>
      </c>
      <c r="G213" s="7" t="inlineStr">
        <is>
          <t>관계</t>
        </is>
      </c>
      <c r="H213" s="5" t="n">
        <v>79775200000</v>
      </c>
      <c r="I213" s="13" t="n">
        <v>32.89</v>
      </c>
      <c r="J213" s="2" t="inlineStr">
        <is>
          <t>2024-06-28</t>
        </is>
      </c>
      <c r="K213" s="2" t="inlineStr">
        <is>
          <t>2028-06-28</t>
        </is>
      </c>
      <c r="L213" s="7" t="inlineStr">
        <is>
          <t>-</t>
        </is>
      </c>
      <c r="M213" s="2" t="inlineStr">
        <is>
          <t>20260626800641</t>
        </is>
      </c>
      <c r="N213" s="8">
        <f>HYPERLINK("https://dart.fss.or.kr/dsaf001/main.do?rcpNo=20260626800641", "공시열람")</f>
        <v/>
      </c>
    </row>
    <row r="214" ht="36" customHeight="1">
      <c r="A214" s="2" t="inlineStr">
        <is>
          <t>2026-05-18 (정정: 2026-06-26)</t>
        </is>
      </c>
      <c r="B214" s="3" t="inlineStr">
        <is>
          <t>네오리진</t>
        </is>
      </c>
      <c r="C214" s="2" t="inlineStr">
        <is>
          <t>코스닥</t>
        </is>
      </c>
      <c r="D214" s="2" t="inlineStr">
        <is>
          <t>094860</t>
        </is>
      </c>
      <c r="E214" s="3" t="inlineStr">
        <is>
          <t xml:space="preserve">[기재정정]금전대여결정              </t>
        </is>
      </c>
      <c r="F214" s="2" t="inlineStr">
        <is>
          <t>금전대여</t>
        </is>
      </c>
      <c r="G214" s="7" t="inlineStr">
        <is>
          <t>-</t>
        </is>
      </c>
      <c r="H214" s="5" t="n">
        <v>8998800000</v>
      </c>
      <c r="I214" s="13" t="n">
        <v>17.49</v>
      </c>
      <c r="J214" s="2" t="inlineStr">
        <is>
          <t>2026-05-22</t>
        </is>
      </c>
      <c r="K214" s="2" t="inlineStr">
        <is>
          <t>2026-06-26</t>
        </is>
      </c>
      <c r="L214" s="7" t="inlineStr">
        <is>
          <t>게임사업투자</t>
        </is>
      </c>
      <c r="M214" s="2" t="inlineStr">
        <is>
          <t>20260626900578</t>
        </is>
      </c>
      <c r="N214" s="8">
        <f>HYPERLINK("https://dart.fss.or.kr/dsaf001/main.do?rcpNo=20260626900578", "공시열람")</f>
        <v/>
      </c>
    </row>
    <row r="215" ht="36" customHeight="1">
      <c r="A215" s="2" t="inlineStr">
        <is>
          <t>2026-06-26</t>
        </is>
      </c>
      <c r="B215" s="3" t="inlineStr">
        <is>
          <t>블랙야크아이앤씨</t>
        </is>
      </c>
      <c r="C215" s="2" t="inlineStr">
        <is>
          <t>코스닥</t>
        </is>
      </c>
      <c r="D215" s="2" t="inlineStr">
        <is>
          <t>478560</t>
        </is>
      </c>
      <c r="E215" s="3" t="inlineStr">
        <is>
          <t xml:space="preserve">타인에대한채무보증결정              </t>
        </is>
      </c>
      <c r="F215" s="2" t="inlineStr">
        <is>
          <t>채무보증</t>
        </is>
      </c>
      <c r="G215" s="7" t="inlineStr">
        <is>
          <t>성명</t>
        </is>
      </c>
      <c r="H215" s="5" t="n">
        <v>12000000000</v>
      </c>
      <c r="I215" s="13" t="n">
        <v>31.28</v>
      </c>
      <c r="J215" s="2" t="inlineStr">
        <is>
          <t>2026-06-29</t>
        </is>
      </c>
      <c r="K215" s="2" t="inlineStr">
        <is>
          <t>2028-04-29</t>
        </is>
      </c>
      <c r="L215" s="7" t="inlineStr">
        <is>
          <t>-</t>
        </is>
      </c>
      <c r="M215" s="2" t="inlineStr">
        <is>
          <t>20260626900555</t>
        </is>
      </c>
      <c r="N215" s="8">
        <f>HYPERLINK("https://dart.fss.or.kr/dsaf001/main.do?rcpNo=20260626900555", "공시열람")</f>
        <v/>
      </c>
    </row>
    <row r="216" ht="36" customHeight="1">
      <c r="A216" s="2" t="inlineStr">
        <is>
          <t>2019-06-27 (정정: 2026-06-26)</t>
        </is>
      </c>
      <c r="B216" s="3" t="inlineStr">
        <is>
          <t>아진산업</t>
        </is>
      </c>
      <c r="C216" s="2" t="inlineStr">
        <is>
          <t>코스닥</t>
        </is>
      </c>
      <c r="D216" s="2" t="inlineStr">
        <is>
          <t>013310</t>
        </is>
      </c>
      <c r="E216" s="3" t="inlineStr">
        <is>
          <t xml:space="preserve">[기재정정]타인에대한채무보증결정              </t>
        </is>
      </c>
      <c r="F216" s="2" t="inlineStr">
        <is>
          <t>채무보증</t>
        </is>
      </c>
      <c r="G216" s="7" t="inlineStr">
        <is>
          <t>관계</t>
        </is>
      </c>
      <c r="H216" s="5" t="n">
        <v>19558522242</v>
      </c>
      <c r="I216" s="13" t="n">
        <v>11.59</v>
      </c>
      <c r="J216" s="2" t="inlineStr">
        <is>
          <t>2019-06-27</t>
        </is>
      </c>
      <c r="K216" s="2" t="inlineStr">
        <is>
          <t>2026-11-07</t>
        </is>
      </c>
      <c r="L216" s="7" t="inlineStr">
        <is>
          <t>-</t>
        </is>
      </c>
      <c r="M216" s="2" t="inlineStr">
        <is>
          <t>20260626900517</t>
        </is>
      </c>
      <c r="N216" s="8">
        <f>HYPERLINK("https://dart.fss.or.kr/dsaf001/main.do?rcpNo=20260626900517", "공시열람")</f>
        <v/>
      </c>
    </row>
    <row r="217" ht="36" customHeight="1">
      <c r="A217" s="2" t="inlineStr">
        <is>
          <t>2026-06-26</t>
        </is>
      </c>
      <c r="B217" s="3" t="inlineStr">
        <is>
          <t>에스에이엠티</t>
        </is>
      </c>
      <c r="C217" s="2" t="inlineStr">
        <is>
          <t>코스닥</t>
        </is>
      </c>
      <c r="D217" s="2" t="inlineStr">
        <is>
          <t>031330</t>
        </is>
      </c>
      <c r="E217" s="3" t="inlineStr">
        <is>
          <t xml:space="preserve">타인에대한채무보증결정              </t>
        </is>
      </c>
      <c r="F217" s="2" t="inlineStr">
        <is>
          <t>채무보증</t>
        </is>
      </c>
      <c r="G217" s="7" t="inlineStr">
        <is>
          <t>성명</t>
        </is>
      </c>
      <c r="H217" s="5" t="n">
        <v>27815400000</v>
      </c>
      <c r="I217" s="13" t="n">
        <v>5.72</v>
      </c>
      <c r="J217" s="2" t="inlineStr">
        <is>
          <t>2026-06-26</t>
        </is>
      </c>
      <c r="K217" s="2" t="inlineStr">
        <is>
          <t>2027-06-25</t>
        </is>
      </c>
      <c r="L217" s="7" t="inlineStr">
        <is>
          <t>-</t>
        </is>
      </c>
      <c r="M217" s="2" t="inlineStr">
        <is>
          <t>20260626900363</t>
        </is>
      </c>
      <c r="N217" s="8">
        <f>HYPERLINK("https://dart.fss.or.kr/dsaf001/main.do?rcpNo=20260626900363", "공시열람")</f>
        <v/>
      </c>
    </row>
    <row r="218" ht="36" customHeight="1">
      <c r="A218" s="2" t="inlineStr">
        <is>
          <t>2025-06-30 (정정: 2026-06-26)</t>
        </is>
      </c>
      <c r="B218" s="3" t="inlineStr">
        <is>
          <t>서한</t>
        </is>
      </c>
      <c r="C218" s="2" t="inlineStr">
        <is>
          <t>코스닥</t>
        </is>
      </c>
      <c r="D218" s="2" t="inlineStr">
        <is>
          <t>011370</t>
        </is>
      </c>
      <c r="E218" s="3" t="inlineStr">
        <is>
          <t xml:space="preserve">[기재정정]금전대여결정              </t>
        </is>
      </c>
      <c r="F218" s="2" t="inlineStr">
        <is>
          <t>금전대여</t>
        </is>
      </c>
      <c r="G218" s="7" t="inlineStr">
        <is>
          <t>-</t>
        </is>
      </c>
      <c r="H218" s="5" t="n">
        <v>27000000000</v>
      </c>
      <c r="I218" s="13" t="n">
        <v>12.71</v>
      </c>
      <c r="J218" s="2" t="inlineStr">
        <is>
          <t>2014-07-01</t>
        </is>
      </c>
      <c r="K218" s="2" t="inlineStr">
        <is>
          <t>2027-06-30</t>
        </is>
      </c>
      <c r="L218" s="7" t="inlineStr">
        <is>
          <t>동고령 일반산업단지 조성사업 운영자금 및 토지매입 및 토지보상비</t>
        </is>
      </c>
      <c r="M218" s="2" t="inlineStr">
        <is>
          <t>20260626900332</t>
        </is>
      </c>
      <c r="N218" s="8">
        <f>HYPERLINK("https://dart.fss.or.kr/dsaf001/main.do?rcpNo=20260626900332", "공시열람")</f>
        <v/>
      </c>
    </row>
    <row r="219" ht="36" customHeight="1">
      <c r="A219" s="2" t="inlineStr">
        <is>
          <t>2026-06-30</t>
        </is>
      </c>
      <c r="B219" s="3" t="inlineStr">
        <is>
          <t>삼성SDI</t>
        </is>
      </c>
      <c r="C219" s="2" t="inlineStr">
        <is>
          <t>코스피</t>
        </is>
      </c>
      <c r="D219" s="2" t="inlineStr">
        <is>
          <t>006400</t>
        </is>
      </c>
      <c r="E219" s="3" t="inlineStr">
        <is>
          <t xml:space="preserve">금전대여결정              </t>
        </is>
      </c>
      <c r="F219" s="2" t="inlineStr">
        <is>
          <t>금전대여</t>
        </is>
      </c>
      <c r="G219" s="7" t="inlineStr">
        <is>
          <t>-</t>
        </is>
      </c>
      <c r="H219" s="5" t="inlineStr"/>
      <c r="I219" s="3" t="inlineStr"/>
      <c r="J219" s="2" t="inlineStr">
        <is>
          <t>-</t>
        </is>
      </c>
      <c r="K219" s="2" t="inlineStr">
        <is>
          <t>-</t>
        </is>
      </c>
      <c r="L219" s="7" t="inlineStr">
        <is>
          <t>-</t>
        </is>
      </c>
      <c r="M219" s="2" t="inlineStr">
        <is>
          <t>20260630801094</t>
        </is>
      </c>
      <c r="N219" s="8">
        <f>HYPERLINK("https://dart.fss.or.kr/dsaf001/main.do?rcpNo=20260630801094", "공시열람")</f>
        <v/>
      </c>
    </row>
    <row r="220" ht="36" customHeight="1">
      <c r="A220" s="2" t="inlineStr">
        <is>
          <t>2026-06-30</t>
        </is>
      </c>
      <c r="B220" s="3" t="inlineStr">
        <is>
          <t>스피어</t>
        </is>
      </c>
      <c r="C220" s="2" t="inlineStr">
        <is>
          <t>코스닥</t>
        </is>
      </c>
      <c r="D220" s="2" t="inlineStr">
        <is>
          <t>347700</t>
        </is>
      </c>
      <c r="E220" s="3" t="inlineStr">
        <is>
          <t xml:space="preserve">[기재정정]타인에대한채무보증결정              </t>
        </is>
      </c>
      <c r="F220" s="2" t="inlineStr">
        <is>
          <t>채무보증</t>
        </is>
      </c>
      <c r="G220" s="7" t="inlineStr">
        <is>
          <t>-</t>
        </is>
      </c>
      <c r="H220" s="5" t="inlineStr"/>
      <c r="I220" s="3" t="inlineStr"/>
      <c r="J220" s="2" t="inlineStr">
        <is>
          <t>-</t>
        </is>
      </c>
      <c r="K220" s="2" t="inlineStr">
        <is>
          <t>-</t>
        </is>
      </c>
      <c r="L220" s="7" t="inlineStr">
        <is>
          <t>-</t>
        </is>
      </c>
      <c r="M220" s="2" t="inlineStr">
        <is>
          <t>20260630901010</t>
        </is>
      </c>
      <c r="N220" s="8">
        <f>HYPERLINK("https://dart.fss.or.kr/dsaf001/main.do?rcpNo=20260630901010", "공시열람")</f>
        <v/>
      </c>
    </row>
    <row r="221" ht="36" customHeight="1">
      <c r="A221" s="2" t="inlineStr">
        <is>
          <t>2026-06-30</t>
        </is>
      </c>
      <c r="B221" s="3" t="inlineStr">
        <is>
          <t>까뮤이앤씨</t>
        </is>
      </c>
      <c r="C221" s="2" t="inlineStr">
        <is>
          <t>코스피</t>
        </is>
      </c>
      <c r="D221" s="2" t="inlineStr">
        <is>
          <t>013700</t>
        </is>
      </c>
      <c r="E221" s="3" t="inlineStr">
        <is>
          <t xml:space="preserve">[기재정정]금전대여결정              </t>
        </is>
      </c>
      <c r="F221" s="2" t="inlineStr">
        <is>
          <t>금전대여</t>
        </is>
      </c>
      <c r="G221" s="7" t="inlineStr">
        <is>
          <t>-</t>
        </is>
      </c>
      <c r="H221" s="5" t="inlineStr"/>
      <c r="I221" s="3" t="inlineStr"/>
      <c r="J221" s="2" t="inlineStr">
        <is>
          <t>-</t>
        </is>
      </c>
      <c r="K221" s="2" t="inlineStr">
        <is>
          <t>-</t>
        </is>
      </c>
      <c r="L221" s="7" t="inlineStr">
        <is>
          <t>-</t>
        </is>
      </c>
      <c r="M221" s="2" t="inlineStr">
        <is>
          <t>20260630800902</t>
        </is>
      </c>
      <c r="N221" s="8">
        <f>HYPERLINK("https://dart.fss.or.kr/dsaf001/main.do?rcpNo=20260630800902", "공시열람")</f>
        <v/>
      </c>
    </row>
    <row r="222" ht="36" customHeight="1">
      <c r="A222" s="2" t="inlineStr">
        <is>
          <t>2026-06-30</t>
        </is>
      </c>
      <c r="B222" s="3" t="inlineStr">
        <is>
          <t>스피어</t>
        </is>
      </c>
      <c r="C222" s="2" t="inlineStr">
        <is>
          <t>코스닥</t>
        </is>
      </c>
      <c r="D222" s="2" t="inlineStr">
        <is>
          <t>347700</t>
        </is>
      </c>
      <c r="E222" s="3" t="inlineStr">
        <is>
          <t xml:space="preserve">[기재정정]타인에대한채무보증결정              </t>
        </is>
      </c>
      <c r="F222" s="2" t="inlineStr">
        <is>
          <t>채무보증</t>
        </is>
      </c>
      <c r="G222" s="7" t="inlineStr">
        <is>
          <t>-</t>
        </is>
      </c>
      <c r="H222" s="5" t="inlineStr"/>
      <c r="I222" s="3" t="inlineStr"/>
      <c r="J222" s="2" t="inlineStr">
        <is>
          <t>-</t>
        </is>
      </c>
      <c r="K222" s="2" t="inlineStr">
        <is>
          <t>-</t>
        </is>
      </c>
      <c r="L222" s="7" t="inlineStr">
        <is>
          <t>-</t>
        </is>
      </c>
      <c r="M222" s="2" t="inlineStr">
        <is>
          <t>20260630901007</t>
        </is>
      </c>
      <c r="N222" s="8">
        <f>HYPERLINK("https://dart.fss.or.kr/dsaf001/main.do?rcpNo=20260630901007", "공시열람")</f>
        <v/>
      </c>
    </row>
    <row r="223" ht="36" customHeight="1">
      <c r="A223" s="2" t="inlineStr">
        <is>
          <t>2026-06-30</t>
        </is>
      </c>
      <c r="B223" s="3" t="inlineStr">
        <is>
          <t>알루코</t>
        </is>
      </c>
      <c r="C223" s="2" t="inlineStr">
        <is>
          <t>코스피</t>
        </is>
      </c>
      <c r="D223" s="2" t="inlineStr">
        <is>
          <t>001780</t>
        </is>
      </c>
      <c r="E223" s="3" t="inlineStr">
        <is>
          <t xml:space="preserve">타인에대한채무보증결정              </t>
        </is>
      </c>
      <c r="F223" s="2" t="inlineStr">
        <is>
          <t>채무보증</t>
        </is>
      </c>
      <c r="G223" s="7" t="inlineStr">
        <is>
          <t>-</t>
        </is>
      </c>
      <c r="H223" s="5" t="inlineStr"/>
      <c r="I223" s="3" t="inlineStr"/>
      <c r="J223" s="2" t="inlineStr">
        <is>
          <t>-</t>
        </is>
      </c>
      <c r="K223" s="2" t="inlineStr">
        <is>
          <t>-</t>
        </is>
      </c>
      <c r="L223" s="7" t="inlineStr">
        <is>
          <t>-</t>
        </is>
      </c>
      <c r="M223" s="2" t="inlineStr">
        <is>
          <t>20260630801000</t>
        </is>
      </c>
      <c r="N223" s="8">
        <f>HYPERLINK("https://dart.fss.or.kr/dsaf001/main.do?rcpNo=20260630801000", "공시열람")</f>
        <v/>
      </c>
    </row>
    <row r="224" ht="36" customHeight="1">
      <c r="A224" s="2" t="inlineStr">
        <is>
          <t>2026-06-30</t>
        </is>
      </c>
      <c r="B224" s="3" t="inlineStr">
        <is>
          <t>한솔로지스틱스</t>
        </is>
      </c>
      <c r="C224" s="2" t="inlineStr">
        <is>
          <t>코스피</t>
        </is>
      </c>
      <c r="D224" s="2" t="inlineStr">
        <is>
          <t>009180</t>
        </is>
      </c>
      <c r="E224" s="3" t="inlineStr">
        <is>
          <t xml:space="preserve">타인에대한채무보증결정              </t>
        </is>
      </c>
      <c r="F224" s="2" t="inlineStr">
        <is>
          <t>채무보증</t>
        </is>
      </c>
      <c r="G224" s="7" t="inlineStr">
        <is>
          <t>-</t>
        </is>
      </c>
      <c r="H224" s="5" t="inlineStr"/>
      <c r="I224" s="3" t="inlineStr"/>
      <c r="J224" s="2" t="inlineStr">
        <is>
          <t>-</t>
        </is>
      </c>
      <c r="K224" s="2" t="inlineStr">
        <is>
          <t>-</t>
        </is>
      </c>
      <c r="L224" s="7" t="inlineStr">
        <is>
          <t>-</t>
        </is>
      </c>
      <c r="M224" s="2" t="inlineStr">
        <is>
          <t>20260630800966</t>
        </is>
      </c>
      <c r="N224" s="8">
        <f>HYPERLINK("https://dart.fss.or.kr/dsaf001/main.do?rcpNo=20260630800966", "공시열람")</f>
        <v/>
      </c>
    </row>
    <row r="225" ht="36" customHeight="1">
      <c r="A225" s="2" t="inlineStr">
        <is>
          <t>2026-06-30</t>
        </is>
      </c>
      <c r="B225" s="3" t="inlineStr">
        <is>
          <t>이지홀딩스</t>
        </is>
      </c>
      <c r="C225" s="2" t="inlineStr">
        <is>
          <t>코스닥</t>
        </is>
      </c>
      <c r="D225" s="2" t="inlineStr">
        <is>
          <t>035810</t>
        </is>
      </c>
      <c r="E225" s="3" t="inlineStr">
        <is>
          <t xml:space="preserve">타인에대한채무보증결정              </t>
        </is>
      </c>
      <c r="F225" s="2" t="inlineStr">
        <is>
          <t>채무보증</t>
        </is>
      </c>
      <c r="G225" s="7" t="inlineStr">
        <is>
          <t>성명</t>
        </is>
      </c>
      <c r="H225" s="5" t="n">
        <v>65000000000</v>
      </c>
      <c r="I225" s="13" t="n">
        <v>5.26</v>
      </c>
      <c r="J225" s="2" t="inlineStr">
        <is>
          <t>2026-07-01</t>
        </is>
      </c>
      <c r="K225" s="2" t="inlineStr">
        <is>
          <t>2027-06-30</t>
        </is>
      </c>
      <c r="L225" s="7" t="inlineStr">
        <is>
          <t>-</t>
        </is>
      </c>
      <c r="M225" s="2" t="inlineStr">
        <is>
          <t>20260630900752</t>
        </is>
      </c>
      <c r="N225" s="8">
        <f>HYPERLINK("https://dart.fss.or.kr/dsaf001/main.do?rcpNo=20260630900752", "공시열람")</f>
        <v/>
      </c>
    </row>
    <row r="226" ht="36" customHeight="1">
      <c r="A226" s="2" t="inlineStr">
        <is>
          <t>2026-06-30</t>
        </is>
      </c>
      <c r="B226" s="3" t="inlineStr">
        <is>
          <t>에스에이엠티</t>
        </is>
      </c>
      <c r="C226" s="2" t="inlineStr">
        <is>
          <t>코스닥</t>
        </is>
      </c>
      <c r="D226" s="2" t="inlineStr">
        <is>
          <t>031330</t>
        </is>
      </c>
      <c r="E226" s="3" t="inlineStr">
        <is>
          <t xml:space="preserve">타인에대한채무보증결정              </t>
        </is>
      </c>
      <c r="F226" s="2" t="inlineStr">
        <is>
          <t>채무보증</t>
        </is>
      </c>
      <c r="G226" s="7" t="inlineStr">
        <is>
          <t>성명</t>
        </is>
      </c>
      <c r="H226" s="5" t="n">
        <v>30830000000</v>
      </c>
      <c r="I226" s="13" t="n">
        <v>6.34</v>
      </c>
      <c r="J226" s="2" t="inlineStr">
        <is>
          <t>2026-06-30</t>
        </is>
      </c>
      <c r="K226" s="2" t="inlineStr">
        <is>
          <t>2027-06-12</t>
        </is>
      </c>
      <c r="L226" s="7" t="inlineStr">
        <is>
          <t>-</t>
        </is>
      </c>
      <c r="M226" s="2" t="inlineStr">
        <is>
          <t>20260630900609</t>
        </is>
      </c>
      <c r="N226" s="8">
        <f>HYPERLINK("https://dart.fss.or.kr/dsaf001/main.do?rcpNo=20260630900609", "공시열람")</f>
        <v/>
      </c>
    </row>
    <row r="227" ht="36" customHeight="1">
      <c r="A227" s="2" t="inlineStr">
        <is>
          <t>2026-06-30</t>
        </is>
      </c>
      <c r="B227" s="3" t="inlineStr">
        <is>
          <t>한창</t>
        </is>
      </c>
      <c r="C227" s="2" t="inlineStr">
        <is>
          <t>코스피</t>
        </is>
      </c>
      <c r="D227" s="2" t="inlineStr">
        <is>
          <t>005110</t>
        </is>
      </c>
      <c r="E227" s="3" t="inlineStr">
        <is>
          <t xml:space="preserve">타인에대한채무보증결정              </t>
        </is>
      </c>
      <c r="F227" s="2" t="inlineStr">
        <is>
          <t>채무보증</t>
        </is>
      </c>
      <c r="G227" s="7" t="inlineStr">
        <is>
          <t>관계</t>
        </is>
      </c>
      <c r="H227" s="5" t="n">
        <v>2654694400</v>
      </c>
      <c r="I227" s="13" t="n">
        <v>25.16</v>
      </c>
      <c r="J227" s="2" t="inlineStr">
        <is>
          <t>2026-07-01</t>
        </is>
      </c>
      <c r="K227" s="2" t="inlineStr">
        <is>
          <t>2026-12-30</t>
        </is>
      </c>
      <c r="L227" s="7" t="inlineStr">
        <is>
          <t>-</t>
        </is>
      </c>
      <c r="M227" s="2" t="inlineStr">
        <is>
          <t>20260630800290</t>
        </is>
      </c>
      <c r="N227" s="8">
        <f>HYPERLINK("https://dart.fss.or.kr/dsaf001/main.do?rcpNo=20260630800290", "공시열람")</f>
        <v/>
      </c>
    </row>
  </sheetData>
  <autoFilter ref="A1:N2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08"/>
  <sheetViews>
    <sheetView workbookViewId="0">
      <selection activeCell="A1" sqref="A1"/>
    </sheetView>
  </sheetViews>
  <sheetFormatPr baseColWidth="8" defaultRowHeight="15"/>
  <cols>
    <col width="30" customWidth="1" min="1" max="1"/>
    <col width="15.6" customWidth="1" min="2" max="2"/>
    <col width="10" customWidth="1" min="3" max="3"/>
    <col width="11.4" customWidth="1" min="4" max="4"/>
    <col width="30" customWidth="1" min="5" max="5"/>
    <col width="14.2" customWidth="1" min="6" max="6"/>
    <col width="24" customWidth="1" min="7" max="7"/>
    <col width="14.2" customWidth="1" min="8" max="8"/>
    <col width="14.2" customWidth="1" min="9" max="9"/>
    <col width="17" customWidth="1" min="10" max="10"/>
    <col width="17" customWidth="1" min="11" max="11"/>
    <col width="17" customWidth="1" min="12" max="12"/>
    <col width="25" customWidth="1" min="13" max="13"/>
    <col width="35" customWidth="1" min="14" max="14"/>
    <col width="22.6" customWidth="1" min="15" max="15"/>
    <col width="11.4" customWidth="1" min="16" max="16"/>
  </cols>
  <sheetData>
    <row r="1" ht="25" customHeight="1">
      <c r="A1" s="1" t="inlineStr">
        <is>
          <t>접수일자</t>
        </is>
      </c>
      <c r="B1" s="1" t="inlineStr">
        <is>
          <t>회사명</t>
        </is>
      </c>
      <c r="C1" s="1" t="inlineStr">
        <is>
          <t>시장구분</t>
        </is>
      </c>
      <c r="D1" s="1" t="inlineStr">
        <is>
          <t>종목코드</t>
        </is>
      </c>
      <c r="E1" s="1" t="inlineStr">
        <is>
          <t>공시명</t>
        </is>
      </c>
      <c r="F1" s="1" t="inlineStr">
        <is>
          <t>유형</t>
        </is>
      </c>
      <c r="G1" s="1" t="inlineStr">
        <is>
          <t>예정금액</t>
        </is>
      </c>
      <c r="H1" s="1" t="inlineStr">
        <is>
          <t>예정주식수</t>
        </is>
      </c>
      <c r="I1" s="1" t="inlineStr">
        <is>
          <t>취득방법</t>
        </is>
      </c>
      <c r="J1" s="1" t="inlineStr">
        <is>
          <t>시작일</t>
        </is>
      </c>
      <c r="K1" s="1" t="inlineStr">
        <is>
          <t>종료일</t>
        </is>
      </c>
      <c r="L1" s="1" t="inlineStr">
        <is>
          <t>소각예정일</t>
        </is>
      </c>
      <c r="M1" s="1" t="inlineStr">
        <is>
          <t>위탁투자업자/수탁기관</t>
        </is>
      </c>
      <c r="N1" s="1" t="inlineStr">
        <is>
          <t>목적</t>
        </is>
      </c>
      <c r="O1" s="1" t="inlineStr">
        <is>
          <t>접수번호</t>
        </is>
      </c>
      <c r="P1" s="1" t="inlineStr">
        <is>
          <t>DART링크</t>
        </is>
      </c>
    </row>
    <row r="2" ht="36" customHeight="1">
      <c r="A2" s="2" t="inlineStr">
        <is>
          <t>2026-01-19 (정정: 2026-01-29)</t>
        </is>
      </c>
      <c r="B2" s="3" t="inlineStr">
        <is>
          <t>세보엠이씨</t>
        </is>
      </c>
      <c r="C2" s="2" t="inlineStr">
        <is>
          <t>코스닥</t>
        </is>
      </c>
      <c r="D2" s="2" t="inlineStr">
        <is>
          <t>011560</t>
        </is>
      </c>
      <c r="E2" s="7" t="inlineStr">
        <is>
          <t>주식소각결정               (정정: 20260129)</t>
        </is>
      </c>
      <c r="F2" s="2" t="inlineStr">
        <is>
          <t>자기주식소각결정</t>
        </is>
      </c>
      <c r="G2" s="5" t="n">
        <v>1122480000</v>
      </c>
      <c r="H2" s="6" t="n">
        <v>180000</v>
      </c>
      <c r="I2" s="3" t="inlineStr">
        <is>
          <t>기취득 자기주식</t>
        </is>
      </c>
      <c r="J2" s="2" t="inlineStr">
        <is>
          <t>-</t>
        </is>
      </c>
      <c r="K2" s="2" t="inlineStr">
        <is>
          <t>-</t>
        </is>
      </c>
      <c r="L2" s="2" t="inlineStr">
        <is>
          <t>2026-01-29</t>
        </is>
      </c>
      <c r="M2" s="7" t="inlineStr">
        <is>
          <t>-</t>
        </is>
      </c>
      <c r="N2" s="7" t="inlineStr">
        <is>
          <t>주주가치 제고 및 주식소각</t>
        </is>
      </c>
      <c r="O2" s="2" t="inlineStr">
        <is>
          <t>20260129901016</t>
        </is>
      </c>
      <c r="P2" s="8">
        <f>HYPERLINK("https://dart.fss.or.kr/dsaf001/main.do?rcpNo=20260129901016", "공시열람")</f>
        <v/>
      </c>
    </row>
    <row r="3" ht="36" customHeight="1">
      <c r="A3" s="2" t="inlineStr">
        <is>
          <t>2026-01-07 (정정: 2026-01-19)</t>
        </is>
      </c>
      <c r="B3" s="3" t="inlineStr">
        <is>
          <t>JTC</t>
        </is>
      </c>
      <c r="C3" s="2" t="inlineStr">
        <is>
          <t>코스닥</t>
        </is>
      </c>
      <c r="D3" s="2" t="inlineStr">
        <is>
          <t>950170</t>
        </is>
      </c>
      <c r="E3" s="7" t="inlineStr">
        <is>
          <t>[기재정정]주요사항보고서(자기주식취득결정)</t>
        </is>
      </c>
      <c r="F3" s="2" t="inlineStr">
        <is>
          <t>자기주식취득결정</t>
        </is>
      </c>
      <c r="G3" s="5" t="n">
        <v>15000000000</v>
      </c>
      <c r="H3" s="6" t="n">
        <v>4021448</v>
      </c>
      <c r="I3" s="3" t="inlineStr">
        <is>
          <t>비고</t>
        </is>
      </c>
      <c r="J3" s="2" t="inlineStr">
        <is>
          <t>2026-01-26</t>
        </is>
      </c>
      <c r="K3" s="2" t="inlineStr">
        <is>
          <t>2026-04-06</t>
        </is>
      </c>
      <c r="L3" s="2" t="inlineStr">
        <is>
          <t>-</t>
        </is>
      </c>
      <c r="M3" s="7" t="inlineStr">
        <is>
          <t>NH투자증권</t>
        </is>
      </c>
      <c r="N3" s="7" t="inlineStr">
        <is>
          <t>- 주가안정- 주주가치 제고를 목적으로 자기주식 취득 후 소각</t>
        </is>
      </c>
      <c r="O3" s="2" t="inlineStr">
        <is>
          <t>20260119000184</t>
        </is>
      </c>
      <c r="P3" s="8">
        <f>HYPERLINK("https://dart.fss.or.kr/dsaf001/main.do?rcpNo=20260119000184", "공시열람")</f>
        <v/>
      </c>
    </row>
    <row r="4" ht="36" customHeight="1">
      <c r="A4" s="2" t="inlineStr">
        <is>
          <t>2026-01-19 (정정: 2026-05-29)</t>
        </is>
      </c>
      <c r="B4" s="3" t="inlineStr">
        <is>
          <t>비트컴퓨터</t>
        </is>
      </c>
      <c r="C4" s="2" t="inlineStr">
        <is>
          <t>코스닥</t>
        </is>
      </c>
      <c r="D4" s="2" t="inlineStr">
        <is>
          <t>032850</t>
        </is>
      </c>
      <c r="E4" s="7" t="inlineStr">
        <is>
          <t>주요사항보고서(자기주식취득결정) (정정: 20260529)</t>
        </is>
      </c>
      <c r="F4" s="2" t="inlineStr">
        <is>
          <t>자기주식취득결정</t>
        </is>
      </c>
      <c r="G4" s="5" t="n">
        <v>1000110000</v>
      </c>
      <c r="H4" s="6" t="n">
        <v>222000</v>
      </c>
      <c r="I4" s="3" t="inlineStr">
        <is>
          <t>비고</t>
        </is>
      </c>
      <c r="J4" s="2" t="inlineStr">
        <is>
          <t>2026-06-01</t>
        </is>
      </c>
      <c r="K4" s="2" t="inlineStr">
        <is>
          <t>2026-08-29</t>
        </is>
      </c>
      <c r="L4" s="2" t="inlineStr">
        <is>
          <t>-</t>
        </is>
      </c>
      <c r="M4" s="7" t="inlineStr">
        <is>
          <t>아이비케이(IBK)투자증권</t>
        </is>
      </c>
      <c r="N4" s="7" t="inlineStr">
        <is>
          <t>주가안정 및 주주가치 제고</t>
        </is>
      </c>
      <c r="O4" s="2" t="inlineStr">
        <is>
          <t>20260529002069</t>
        </is>
      </c>
      <c r="P4" s="8">
        <f>HYPERLINK("https://dart.fss.or.kr/dsaf001/main.do?rcpNo=20260529002069", "공시열람")</f>
        <v/>
      </c>
    </row>
    <row r="5" ht="36" customHeight="1">
      <c r="A5" s="2" t="inlineStr">
        <is>
          <t>2026-01-19</t>
        </is>
      </c>
      <c r="B5" s="3" t="inlineStr">
        <is>
          <t>성도이엔지</t>
        </is>
      </c>
      <c r="C5" s="2" t="inlineStr">
        <is>
          <t>코스닥</t>
        </is>
      </c>
      <c r="D5" s="2" t="inlineStr">
        <is>
          <t>037350</t>
        </is>
      </c>
      <c r="E5" s="7" t="inlineStr">
        <is>
          <t xml:space="preserve">주식소각결정              </t>
        </is>
      </c>
      <c r="F5" s="2" t="inlineStr">
        <is>
          <t>자기주식소각결정</t>
        </is>
      </c>
      <c r="G5" s="5" t="n">
        <v>1356420000</v>
      </c>
      <c r="H5" s="6" t="n">
        <v>260000</v>
      </c>
      <c r="I5" s="3" t="inlineStr">
        <is>
          <t>기취득 자기주식</t>
        </is>
      </c>
      <c r="J5" s="2" t="inlineStr">
        <is>
          <t>-</t>
        </is>
      </c>
      <c r="K5" s="2" t="inlineStr">
        <is>
          <t>-</t>
        </is>
      </c>
      <c r="L5" s="2" t="inlineStr">
        <is>
          <t>2026-01-26</t>
        </is>
      </c>
      <c r="M5" s="7" t="inlineStr">
        <is>
          <t>삼성증권</t>
        </is>
      </c>
      <c r="N5" s="7" t="inlineStr">
        <is>
          <t>주주가치 제고 및 주식소각</t>
        </is>
      </c>
      <c r="O5" s="2" t="inlineStr">
        <is>
          <t>20260119900648</t>
        </is>
      </c>
      <c r="P5" s="8">
        <f>HYPERLINK("https://dart.fss.or.kr/dsaf001/main.do?rcpNo=20260119900648", "공시열람")</f>
        <v/>
      </c>
    </row>
    <row r="6" ht="36" customHeight="1">
      <c r="A6" s="2" t="inlineStr">
        <is>
          <t>2026-01-19</t>
        </is>
      </c>
      <c r="B6" s="3" t="inlineStr">
        <is>
          <t>동원개발</t>
        </is>
      </c>
      <c r="C6" s="2" t="inlineStr">
        <is>
          <t>코스닥</t>
        </is>
      </c>
      <c r="D6" s="2" t="inlineStr">
        <is>
          <t>013120</t>
        </is>
      </c>
      <c r="E6" s="7" t="inlineStr">
        <is>
          <t>주요사항보고서(자기주식취득신탁계약체결결정)</t>
        </is>
      </c>
      <c r="F6" s="2" t="inlineStr">
        <is>
          <t>신탁계약체결결정</t>
        </is>
      </c>
      <c r="G6" s="5" t="n">
        <v>5000000000</v>
      </c>
      <c r="H6" s="6" t="n">
        <v>1769911</v>
      </c>
      <c r="I6" s="3" t="inlineStr">
        <is>
          <t>비고</t>
        </is>
      </c>
      <c r="J6" s="2" t="inlineStr">
        <is>
          <t>2026-01-20</t>
        </is>
      </c>
      <c r="K6" s="2" t="inlineStr">
        <is>
          <t>2026-07-20</t>
        </is>
      </c>
      <c r="L6" s="2" t="inlineStr">
        <is>
          <t>-</t>
        </is>
      </c>
      <c r="M6" s="7" t="inlineStr">
        <is>
          <t>대신증권(DAISHIN Securities Co., Ltd.)</t>
        </is>
      </c>
      <c r="N6" s="7" t="inlineStr">
        <is>
          <t>주가안정 및 주주가치 제고</t>
        </is>
      </c>
      <c r="O6" s="2" t="inlineStr">
        <is>
          <t>20260119000059</t>
        </is>
      </c>
      <c r="P6" s="8">
        <f>HYPERLINK("https://dart.fss.or.kr/dsaf001/main.do?rcpNo=20260119000059", "공시열람")</f>
        <v/>
      </c>
    </row>
    <row r="7" ht="36" customHeight="1">
      <c r="A7" s="2" t="inlineStr">
        <is>
          <t>2026-01-29</t>
        </is>
      </c>
      <c r="B7" s="3" t="inlineStr">
        <is>
          <t>대동고려삼</t>
        </is>
      </c>
      <c r="C7" s="2" t="inlineStr">
        <is>
          <t>코넥스</t>
        </is>
      </c>
      <c r="D7" s="2" t="inlineStr">
        <is>
          <t>178600</t>
        </is>
      </c>
      <c r="E7" s="7" t="inlineStr">
        <is>
          <t xml:space="preserve">주식소각결정              </t>
        </is>
      </c>
      <c r="F7" s="2" t="inlineStr">
        <is>
          <t>자기주식소각결정</t>
        </is>
      </c>
      <c r="G7" s="5" t="n">
        <v>617010452</v>
      </c>
      <c r="H7" s="6" t="inlineStr"/>
      <c r="I7" s="3" t="inlineStr">
        <is>
          <t>장외매수</t>
        </is>
      </c>
      <c r="J7" s="2" t="inlineStr">
        <is>
          <t>2026-02-27</t>
        </is>
      </c>
      <c r="K7" s="2" t="inlineStr">
        <is>
          <t>2026-02-27</t>
        </is>
      </c>
      <c r="L7" s="2" t="inlineStr">
        <is>
          <t>2026-03-03</t>
        </is>
      </c>
      <c r="M7" s="7" t="inlineStr">
        <is>
          <t>-</t>
        </is>
      </c>
      <c r="N7" s="7" t="inlineStr">
        <is>
          <t>주주가치 제고 및 주식소각</t>
        </is>
      </c>
      <c r="O7" s="2" t="inlineStr">
        <is>
          <t>20260129601073</t>
        </is>
      </c>
      <c r="P7" s="8">
        <f>HYPERLINK("https://dart.fss.or.kr/dsaf001/main.do?rcpNo=20260129601073", "공시열람")</f>
        <v/>
      </c>
    </row>
    <row r="8" ht="36" customHeight="1">
      <c r="A8" s="2" t="inlineStr">
        <is>
          <t>2026-01-29</t>
        </is>
      </c>
      <c r="B8" s="3" t="inlineStr">
        <is>
          <t>대동고려삼</t>
        </is>
      </c>
      <c r="C8" s="2" t="inlineStr">
        <is>
          <t>코넥스</t>
        </is>
      </c>
      <c r="D8" s="2" t="inlineStr">
        <is>
          <t>178600</t>
        </is>
      </c>
      <c r="E8" s="7" t="inlineStr">
        <is>
          <t>주요사항보고서(자기주식취득결정)</t>
        </is>
      </c>
      <c r="F8" s="2" t="inlineStr">
        <is>
          <t>자기주식취득결정</t>
        </is>
      </c>
      <c r="G8" s="5" t="inlineStr"/>
      <c r="H8" s="6" t="inlineStr"/>
      <c r="I8" s="3" t="inlineStr">
        <is>
          <t>비고</t>
        </is>
      </c>
      <c r="J8" s="2" t="inlineStr">
        <is>
          <t>2026-02-27</t>
        </is>
      </c>
      <c r="K8" s="2" t="inlineStr">
        <is>
          <t>2026-02-27</t>
        </is>
      </c>
      <c r="L8" s="2" t="inlineStr">
        <is>
          <t>-</t>
        </is>
      </c>
      <c r="M8" s="7" t="inlineStr">
        <is>
          <t>-</t>
        </is>
      </c>
      <c r="N8" s="7" t="inlineStr">
        <is>
          <t>상환전환우선주1 상환 요청에 따른 자기주식 취득 및 소각</t>
        </is>
      </c>
      <c r="O8" s="2" t="inlineStr">
        <is>
          <t>20260129000755</t>
        </is>
      </c>
      <c r="P8" s="8">
        <f>HYPERLINK("https://dart.fss.or.kr/dsaf001/main.do?rcpNo=20260129000755", "공시열람")</f>
        <v/>
      </c>
    </row>
    <row r="9" ht="36" customHeight="1">
      <c r="A9" s="2" t="inlineStr">
        <is>
          <t>2026-01-29</t>
        </is>
      </c>
      <c r="B9" s="3" t="inlineStr">
        <is>
          <t>린드먼아시아</t>
        </is>
      </c>
      <c r="C9" s="2" t="inlineStr">
        <is>
          <t>코스닥</t>
        </is>
      </c>
      <c r="D9" s="2" t="inlineStr">
        <is>
          <t>277070</t>
        </is>
      </c>
      <c r="E9" s="7" t="inlineStr">
        <is>
          <t>주요사항보고서(자기주식취득신탁계약해지결정)</t>
        </is>
      </c>
      <c r="F9" s="2" t="inlineStr">
        <is>
          <t>신탁계약체결결정</t>
        </is>
      </c>
      <c r="G9" s="5" t="n">
        <v>1000000000</v>
      </c>
      <c r="H9" s="6" t="inlineStr"/>
      <c r="I9" s="3" t="inlineStr">
        <is>
          <t>비고</t>
        </is>
      </c>
      <c r="J9" s="2" t="inlineStr">
        <is>
          <t>2025-07-22</t>
        </is>
      </c>
      <c r="K9" s="2" t="inlineStr">
        <is>
          <t>2026-07-21</t>
        </is>
      </c>
      <c r="L9" s="2" t="inlineStr">
        <is>
          <t>-</t>
        </is>
      </c>
      <c r="M9" s="7" t="inlineStr">
        <is>
          <t>-</t>
        </is>
      </c>
      <c r="N9" s="7" t="inlineStr">
        <is>
          <t>계약금액 상당의 자사주 매입완료에 따른 자기주식 취득 신탁계약 해지</t>
        </is>
      </c>
      <c r="O9" s="2" t="inlineStr">
        <is>
          <t>20260129000612</t>
        </is>
      </c>
      <c r="P9" s="8">
        <f>HYPERLINK("https://dart.fss.or.kr/dsaf001/main.do?rcpNo=20260129000612", "공시열람")</f>
        <v/>
      </c>
    </row>
    <row r="10" ht="36" customHeight="1">
      <c r="A10" s="2" t="inlineStr">
        <is>
          <t>2026-01-29 (정정: 2026-01-29)</t>
        </is>
      </c>
      <c r="B10" s="3" t="inlineStr">
        <is>
          <t>매커스</t>
        </is>
      </c>
      <c r="C10" s="2" t="inlineStr">
        <is>
          <t>코스닥</t>
        </is>
      </c>
      <c r="D10" s="2" t="inlineStr">
        <is>
          <t>093520</t>
        </is>
      </c>
      <c r="E10" s="7" t="inlineStr">
        <is>
          <t>[기재정정]주요사항보고서(자기주식취득결정)</t>
        </is>
      </c>
      <c r="F10" s="2" t="inlineStr">
        <is>
          <t>자기주식취득결정</t>
        </is>
      </c>
      <c r="G10" s="5" t="n">
        <v>6510000000</v>
      </c>
      <c r="H10" s="6" t="n">
        <v>300000</v>
      </c>
      <c r="I10" s="3" t="inlineStr">
        <is>
          <t>비고</t>
        </is>
      </c>
      <c r="J10" s="2" t="inlineStr">
        <is>
          <t>2026-02-02</t>
        </is>
      </c>
      <c r="K10" s="2" t="inlineStr">
        <is>
          <t>2026-04-28</t>
        </is>
      </c>
      <c r="L10" s="2" t="inlineStr">
        <is>
          <t>-</t>
        </is>
      </c>
      <c r="M10" s="7" t="inlineStr">
        <is>
          <t>대신증권</t>
        </is>
      </c>
      <c r="N10" s="7" t="inlineStr">
        <is>
          <t>주주가치 제고 목적으로 자기주식 취득 후 소각</t>
        </is>
      </c>
      <c r="O10" s="2" t="inlineStr">
        <is>
          <t>20260129000442</t>
        </is>
      </c>
      <c r="P10" s="8">
        <f>HYPERLINK("https://dart.fss.or.kr/dsaf001/main.do?rcpNo=20260129000442", "공시열람")</f>
        <v/>
      </c>
    </row>
    <row r="11" ht="36" customHeight="1">
      <c r="A11" s="2" t="inlineStr">
        <is>
          <t>2026-01-29</t>
        </is>
      </c>
      <c r="B11" s="3" t="inlineStr">
        <is>
          <t>LG</t>
        </is>
      </c>
      <c r="C11" s="2" t="inlineStr">
        <is>
          <t>코스피</t>
        </is>
      </c>
      <c r="D11" s="2" t="inlineStr">
        <is>
          <t>003550</t>
        </is>
      </c>
      <c r="E11" s="7" t="inlineStr">
        <is>
          <t xml:space="preserve">주요사항보고서(자기주식취득신탁계약체결결정)(자회사의 주요경영사항)              </t>
        </is>
      </c>
      <c r="F11" s="2" t="inlineStr">
        <is>
          <t>신탁계약체결결정</t>
        </is>
      </c>
      <c r="G11" s="5" t="n">
        <v>100000000000</v>
      </c>
      <c r="H11" s="6" t="n">
        <v>905083</v>
      </c>
      <c r="I11" s="3" t="inlineStr">
        <is>
          <t>비고</t>
        </is>
      </c>
      <c r="J11" s="2" t="inlineStr">
        <is>
          <t>2026-02-02</t>
        </is>
      </c>
      <c r="K11" s="2" t="inlineStr">
        <is>
          <t>2026-09-30</t>
        </is>
      </c>
      <c r="L11" s="2" t="inlineStr">
        <is>
          <t>-</t>
        </is>
      </c>
      <c r="M11" s="7" t="inlineStr">
        <is>
          <t>NH투자증권 (NH INVESTMENT &amp; SECURITIES CO., LTD.)</t>
        </is>
      </c>
      <c r="N11" s="7" t="inlineStr">
        <is>
          <t>주주가치 제고</t>
        </is>
      </c>
      <c r="O11" s="2" t="inlineStr">
        <is>
          <t>20260129800386</t>
        </is>
      </c>
      <c r="P11" s="8">
        <f>HYPERLINK("https://dart.fss.or.kr/dsaf001/main.do?rcpNo=20260129800386", "공시열람")</f>
        <v/>
      </c>
    </row>
    <row r="12" ht="36" customHeight="1">
      <c r="A12" s="2" t="inlineStr">
        <is>
          <t>2026-01-29</t>
        </is>
      </c>
      <c r="B12" s="3" t="inlineStr">
        <is>
          <t>LG전자</t>
        </is>
      </c>
      <c r="C12" s="2" t="inlineStr">
        <is>
          <t>코스피</t>
        </is>
      </c>
      <c r="D12" s="2" t="inlineStr">
        <is>
          <t>066570</t>
        </is>
      </c>
      <c r="E12" s="7" t="inlineStr">
        <is>
          <t>주요사항보고서(자기주식취득신탁계약체결결정)</t>
        </is>
      </c>
      <c r="F12" s="2" t="inlineStr">
        <is>
          <t>신탁계약체결결정</t>
        </is>
      </c>
      <c r="G12" s="5" t="n">
        <v>100000000000</v>
      </c>
      <c r="H12" s="6" t="n">
        <v>905083</v>
      </c>
      <c r="I12" s="3" t="inlineStr">
        <is>
          <t>비고</t>
        </is>
      </c>
      <c r="J12" s="2" t="inlineStr">
        <is>
          <t>2026-02-02</t>
        </is>
      </c>
      <c r="K12" s="2" t="inlineStr">
        <is>
          <t>2026-09-30</t>
        </is>
      </c>
      <c r="L12" s="2" t="inlineStr">
        <is>
          <t>-</t>
        </is>
      </c>
      <c r="M12" s="7" t="inlineStr">
        <is>
          <t>NH투자증권 (NH INVESTMENT &amp; SECURITIES CO., LTD.)</t>
        </is>
      </c>
      <c r="N12" s="7" t="inlineStr">
        <is>
          <t>주주가치 제고</t>
        </is>
      </c>
      <c r="O12" s="2" t="inlineStr">
        <is>
          <t>20260129000359</t>
        </is>
      </c>
      <c r="P12" s="8">
        <f>HYPERLINK("https://dart.fss.or.kr/dsaf001/main.do?rcpNo=20260129000359", "공시열람")</f>
        <v/>
      </c>
    </row>
    <row r="13" ht="36" customHeight="1">
      <c r="A13" s="2" t="inlineStr">
        <is>
          <t>2026-01-29</t>
        </is>
      </c>
      <c r="B13" s="3" t="inlineStr">
        <is>
          <t>현대자동차</t>
        </is>
      </c>
      <c r="C13" s="2" t="inlineStr">
        <is>
          <t>코스피</t>
        </is>
      </c>
      <c r="D13" s="2" t="inlineStr">
        <is>
          <t>005380</t>
        </is>
      </c>
      <c r="E13" s="7" t="inlineStr">
        <is>
          <t>주요사항보고서(자기주식취득결정)</t>
        </is>
      </c>
      <c r="F13" s="2" t="inlineStr">
        <is>
          <t>자기주식취득결정</t>
        </is>
      </c>
      <c r="G13" s="5" t="n">
        <v>366848475000</v>
      </c>
      <c r="H13" s="6" t="n">
        <v>744870</v>
      </c>
      <c r="I13" s="3" t="inlineStr">
        <is>
          <t>비고</t>
        </is>
      </c>
      <c r="J13" s="2" t="inlineStr">
        <is>
          <t>2026-01-30</t>
        </is>
      </c>
      <c r="K13" s="2" t="inlineStr">
        <is>
          <t>2026-04-27</t>
        </is>
      </c>
      <c r="L13" s="2" t="inlineStr">
        <is>
          <t>-</t>
        </is>
      </c>
      <c r="M13" s="7" t="inlineStr">
        <is>
          <t>현대차증권</t>
        </is>
      </c>
      <c r="N13" s="7" t="inlineStr">
        <is>
          <t>주주가치 제고</t>
        </is>
      </c>
      <c r="O13" s="2" t="inlineStr">
        <is>
          <t>20260129000336</t>
        </is>
      </c>
      <c r="P13" s="8">
        <f>HYPERLINK("https://dart.fss.or.kr/dsaf001/main.do?rcpNo=20260129000336", "공시열람")</f>
        <v/>
      </c>
    </row>
    <row r="14" ht="36" customHeight="1">
      <c r="A14" s="2" t="inlineStr">
        <is>
          <t>2026-01-29</t>
        </is>
      </c>
      <c r="B14" s="3" t="inlineStr">
        <is>
          <t>매커스</t>
        </is>
      </c>
      <c r="C14" s="2" t="inlineStr">
        <is>
          <t>코스닥</t>
        </is>
      </c>
      <c r="D14" s="2" t="inlineStr">
        <is>
          <t>093520</t>
        </is>
      </c>
      <c r="E14" s="7" t="inlineStr">
        <is>
          <t>주요사항보고서(자기주식취득결정)</t>
        </is>
      </c>
      <c r="F14" s="2" t="inlineStr">
        <is>
          <t>자기주식취득결정</t>
        </is>
      </c>
      <c r="G14" s="5" t="n">
        <v>6510000000</v>
      </c>
      <c r="H14" s="6" t="n">
        <v>300000</v>
      </c>
      <c r="I14" s="3" t="inlineStr">
        <is>
          <t>비고</t>
        </is>
      </c>
      <c r="J14" s="2" t="inlineStr">
        <is>
          <t>2026-02-02</t>
        </is>
      </c>
      <c r="K14" s="2" t="inlineStr">
        <is>
          <t>2026-05-01</t>
        </is>
      </c>
      <c r="L14" s="2" t="inlineStr">
        <is>
          <t>-</t>
        </is>
      </c>
      <c r="M14" s="7" t="inlineStr">
        <is>
          <t>대신증권</t>
        </is>
      </c>
      <c r="N14" s="7" t="inlineStr">
        <is>
          <t>주주가치 제고 목적으로 자기주식 취득 후 소각</t>
        </is>
      </c>
      <c r="O14" s="2" t="inlineStr">
        <is>
          <t>20260129000256</t>
        </is>
      </c>
      <c r="P14" s="8">
        <f>HYPERLINK("https://dart.fss.or.kr/dsaf001/main.do?rcpNo=20260129000256", "공시열람")</f>
        <v/>
      </c>
    </row>
    <row r="15" ht="36" customHeight="1">
      <c r="A15" s="2" t="inlineStr">
        <is>
          <t>2026-01-29</t>
        </is>
      </c>
      <c r="B15" s="3" t="inlineStr">
        <is>
          <t>삼성전자</t>
        </is>
      </c>
      <c r="C15" s="2" t="inlineStr">
        <is>
          <t>코스피</t>
        </is>
      </c>
      <c r="D15" s="2" t="inlineStr">
        <is>
          <t>005930</t>
        </is>
      </c>
      <c r="E15" s="7" t="inlineStr">
        <is>
          <t>주요사항보고서(자기주식취득결정)</t>
        </is>
      </c>
      <c r="F15" s="2" t="inlineStr">
        <is>
          <t>자기주식취득결정</t>
        </is>
      </c>
      <c r="G15" s="5" t="n">
        <v>3572800000000</v>
      </c>
      <c r="H15" s="6" t="n">
        <v>22000000</v>
      </c>
      <c r="I15" s="3" t="inlineStr">
        <is>
          <t>비고</t>
        </is>
      </c>
      <c r="J15" s="2" t="inlineStr">
        <is>
          <t>2026-01-30</t>
        </is>
      </c>
      <c r="K15" s="2" t="inlineStr">
        <is>
          <t>2026-04-29</t>
        </is>
      </c>
      <c r="L15" s="2" t="inlineStr">
        <is>
          <t>-</t>
        </is>
      </c>
      <c r="M15" s="7" t="inlineStr">
        <is>
          <t>삼성증권 (Samsung Securities Co., Ltd.), 신한투자증권 (Shinhan Securities Co., Ltd.), KB증권 (KB Securities Co., Ltd.)</t>
        </is>
      </c>
      <c r="N15" s="7" t="inlineStr">
        <is>
          <t>임직원 주식보상</t>
        </is>
      </c>
      <c r="O15" s="2" t="inlineStr">
        <is>
          <t>20260129000003</t>
        </is>
      </c>
      <c r="P15" s="8">
        <f>HYPERLINK("https://dart.fss.or.kr/dsaf001/main.do?rcpNo=20260129000003", "공시열람")</f>
        <v/>
      </c>
    </row>
    <row r="16" ht="36" customHeight="1">
      <c r="A16" s="2" t="inlineStr">
        <is>
          <t>2026-02-02</t>
        </is>
      </c>
      <c r="B16" s="3" t="inlineStr">
        <is>
          <t>노바렉스</t>
        </is>
      </c>
      <c r="C16" s="2" t="inlineStr">
        <is>
          <t>코스닥</t>
        </is>
      </c>
      <c r="D16" s="2" t="inlineStr">
        <is>
          <t>194700</t>
        </is>
      </c>
      <c r="E16" s="7" t="inlineStr">
        <is>
          <t xml:space="preserve">주식소각결정              </t>
        </is>
      </c>
      <c r="F16" s="2" t="inlineStr">
        <is>
          <t>자기주식소각결정</t>
        </is>
      </c>
      <c r="G16" s="5" t="n">
        <v>0</v>
      </c>
      <c r="H16" s="6" t="n">
        <v>500000</v>
      </c>
      <c r="I16" s="3" t="inlineStr">
        <is>
          <t>기타의 방법</t>
        </is>
      </c>
      <c r="J16" s="2" t="inlineStr">
        <is>
          <t>-</t>
        </is>
      </c>
      <c r="K16" s="2" t="inlineStr">
        <is>
          <t>-</t>
        </is>
      </c>
      <c r="L16" s="2" t="inlineStr">
        <is>
          <t>2026-03-31</t>
        </is>
      </c>
      <c r="M16" s="7" t="inlineStr">
        <is>
          <t>-</t>
        </is>
      </c>
      <c r="N16" s="7" t="inlineStr">
        <is>
          <t>주주가치 제고 및 주식소각</t>
        </is>
      </c>
      <c r="O16" s="2" t="inlineStr">
        <is>
          <t>20260202902121</t>
        </is>
      </c>
      <c r="P16" s="8">
        <f>HYPERLINK("https://dart.fss.or.kr/dsaf001/main.do?rcpNo=20260202902121", "공시열람")</f>
        <v/>
      </c>
    </row>
    <row r="17" ht="36" customHeight="1">
      <c r="A17" s="2" t="inlineStr">
        <is>
          <t>2026-02-02</t>
        </is>
      </c>
      <c r="B17" s="3" t="inlineStr">
        <is>
          <t>덴티움</t>
        </is>
      </c>
      <c r="C17" s="2" t="inlineStr">
        <is>
          <t>코스피</t>
        </is>
      </c>
      <c r="D17" s="2" t="inlineStr">
        <is>
          <t>145720</t>
        </is>
      </c>
      <c r="E17" s="7" t="inlineStr">
        <is>
          <t xml:space="preserve">주식소각결정              </t>
        </is>
      </c>
      <c r="F17" s="2" t="inlineStr">
        <is>
          <t>자기주식소각결정</t>
        </is>
      </c>
      <c r="G17" s="5" t="n">
        <v>39200538000</v>
      </c>
      <c r="H17" s="6" t="n">
        <v>814980</v>
      </c>
      <c r="I17" s="3" t="inlineStr">
        <is>
          <t>기취득 자기주식</t>
        </is>
      </c>
      <c r="J17" s="2" t="inlineStr">
        <is>
          <t>-</t>
        </is>
      </c>
      <c r="K17" s="2" t="inlineStr">
        <is>
          <t>-</t>
        </is>
      </c>
      <c r="L17" s="2" t="inlineStr">
        <is>
          <t>2026-02-09</t>
        </is>
      </c>
      <c r="M17" s="7" t="inlineStr">
        <is>
          <t>-</t>
        </is>
      </c>
      <c r="N17" s="7" t="inlineStr">
        <is>
          <t>주주가치 제고 및 주식소각</t>
        </is>
      </c>
      <c r="O17" s="2" t="inlineStr">
        <is>
          <t>20260202801229</t>
        </is>
      </c>
      <c r="P17" s="8">
        <f>HYPERLINK("https://dart.fss.or.kr/dsaf001/main.do?rcpNo=20260202801229", "공시열람")</f>
        <v/>
      </c>
    </row>
    <row r="18" ht="36" customHeight="1">
      <c r="A18" s="2" t="inlineStr">
        <is>
          <t>2026-02-02 (정정: 2026-02-02)</t>
        </is>
      </c>
      <c r="B18" s="3" t="inlineStr">
        <is>
          <t>티에스아이</t>
        </is>
      </c>
      <c r="C18" s="2" t="inlineStr">
        <is>
          <t>코스닥</t>
        </is>
      </c>
      <c r="D18" s="2" t="inlineStr">
        <is>
          <t>277880</t>
        </is>
      </c>
      <c r="E18" s="7" t="inlineStr">
        <is>
          <t>[기재정정]주요사항보고서(자기주식취득결정) (정정: 20260202)</t>
        </is>
      </c>
      <c r="F18" s="2" t="inlineStr">
        <is>
          <t>자기주식취득결정</t>
        </is>
      </c>
      <c r="G18" s="5" t="n">
        <v>1000000000</v>
      </c>
      <c r="H18" s="6" t="n">
        <v>181818</v>
      </c>
      <c r="I18" s="3" t="inlineStr">
        <is>
          <t>비고</t>
        </is>
      </c>
      <c r="J18" s="2" t="inlineStr">
        <is>
          <t>2025-08-14</t>
        </is>
      </c>
      <c r="K18" s="2" t="inlineStr">
        <is>
          <t>2025-10-31</t>
        </is>
      </c>
      <c r="L18" s="2" t="inlineStr">
        <is>
          <t>-</t>
        </is>
      </c>
      <c r="M18" s="7" t="inlineStr">
        <is>
          <t>SK 증권(SK SECURITIES CO.,LTD</t>
        </is>
      </c>
      <c r="N18" s="7" t="inlineStr">
        <is>
          <t>주식가격의 안정 및 주주가치 제고</t>
        </is>
      </c>
      <c r="O18" s="2" t="inlineStr">
        <is>
          <t>20260202000728</t>
        </is>
      </c>
      <c r="P18" s="8">
        <f>HYPERLINK("https://dart.fss.or.kr/dsaf001/main.do?rcpNo=20260202000728", "공시열람")</f>
        <v/>
      </c>
    </row>
    <row r="19" ht="36" customHeight="1">
      <c r="A19" s="2" t="inlineStr">
        <is>
          <t>2026-02-02</t>
        </is>
      </c>
      <c r="B19" s="3" t="inlineStr">
        <is>
          <t>티에스아이</t>
        </is>
      </c>
      <c r="C19" s="2" t="inlineStr">
        <is>
          <t>코스닥</t>
        </is>
      </c>
      <c r="D19" s="2" t="inlineStr">
        <is>
          <t>277880</t>
        </is>
      </c>
      <c r="E19" s="7" t="inlineStr">
        <is>
          <t xml:space="preserve">주식소각결정              </t>
        </is>
      </c>
      <c r="F19" s="2" t="inlineStr">
        <is>
          <t>자기주식소각결정</t>
        </is>
      </c>
      <c r="G19" s="5" t="n">
        <v>2000473570</v>
      </c>
      <c r="H19" s="6" t="n">
        <v>363036</v>
      </c>
      <c r="I19" s="3" t="inlineStr">
        <is>
          <t>기취득 자기주식</t>
        </is>
      </c>
      <c r="J19" s="2" t="inlineStr">
        <is>
          <t>-</t>
        </is>
      </c>
      <c r="K19" s="2" t="inlineStr">
        <is>
          <t>-</t>
        </is>
      </c>
      <c r="L19" s="2" t="inlineStr">
        <is>
          <t>2026-02-23</t>
        </is>
      </c>
      <c r="M19" s="7" t="inlineStr">
        <is>
          <t>SK증권</t>
        </is>
      </c>
      <c r="N19" s="7" t="inlineStr">
        <is>
          <t>주주가치 제고 및 주식소각</t>
        </is>
      </c>
      <c r="O19" s="2" t="inlineStr">
        <is>
          <t>20260202900817</t>
        </is>
      </c>
      <c r="P19" s="8">
        <f>HYPERLINK("https://dart.fss.or.kr/dsaf001/main.do?rcpNo=20260202900817", "공시열람")</f>
        <v/>
      </c>
    </row>
    <row r="20" ht="36" customHeight="1">
      <c r="A20" s="2" t="inlineStr">
        <is>
          <t>2026-02-02</t>
        </is>
      </c>
      <c r="B20" s="3" t="inlineStr">
        <is>
          <t>토비스</t>
        </is>
      </c>
      <c r="C20" s="2" t="inlineStr">
        <is>
          <t>코스닥</t>
        </is>
      </c>
      <c r="D20" s="2" t="inlineStr">
        <is>
          <t>051360</t>
        </is>
      </c>
      <c r="E20" s="7" t="inlineStr">
        <is>
          <t xml:space="preserve">[기재정정]주식소각결정              </t>
        </is>
      </c>
      <c r="F20" s="2" t="inlineStr">
        <is>
          <t>자기주식소각결정</t>
        </is>
      </c>
      <c r="G20" s="5" t="n">
        <v>1999984945</v>
      </c>
      <c r="H20" s="6" t="n">
        <v>129418</v>
      </c>
      <c r="I20" s="3" t="inlineStr">
        <is>
          <t>장내매수</t>
        </is>
      </c>
      <c r="J20" s="2" t="inlineStr">
        <is>
          <t>2026-01-12</t>
        </is>
      </c>
      <c r="K20" s="2" t="inlineStr">
        <is>
          <t>2026-02-20</t>
        </is>
      </c>
      <c r="L20" s="2" t="inlineStr">
        <is>
          <t>2026-02-26</t>
        </is>
      </c>
      <c r="M20" s="7" t="inlineStr">
        <is>
          <t>KB증권</t>
        </is>
      </c>
      <c r="N20" s="7" t="inlineStr">
        <is>
          <t>주주가치 제고 및 주식소각</t>
        </is>
      </c>
      <c r="O20" s="2" t="inlineStr">
        <is>
          <t>20260202900473</t>
        </is>
      </c>
      <c r="P20" s="8">
        <f>HYPERLINK("https://dart.fss.or.kr/dsaf001/main.do?rcpNo=20260202900473", "공시열람")</f>
        <v/>
      </c>
    </row>
    <row r="21" ht="36" customHeight="1">
      <c r="A21" s="2" t="inlineStr">
        <is>
          <t>2026-03-03</t>
        </is>
      </c>
      <c r="B21" s="3" t="inlineStr">
        <is>
          <t>이씨에스</t>
        </is>
      </c>
      <c r="C21" s="2" t="inlineStr">
        <is>
          <t>코스닥</t>
        </is>
      </c>
      <c r="D21" s="2" t="inlineStr">
        <is>
          <t>067010</t>
        </is>
      </c>
      <c r="E21" s="7" t="inlineStr">
        <is>
          <t xml:space="preserve">[첨부추가]주식소각결정              </t>
        </is>
      </c>
      <c r="F21" s="2" t="inlineStr">
        <is>
          <t>자기주식소각결정</t>
        </is>
      </c>
      <c r="G21" s="5" t="n">
        <v>4450408170</v>
      </c>
      <c r="H21" s="6" t="n">
        <v>1405500</v>
      </c>
      <c r="I21" s="3" t="inlineStr">
        <is>
          <t>기취득 자기주식</t>
        </is>
      </c>
      <c r="J21" s="2" t="inlineStr">
        <is>
          <t>-</t>
        </is>
      </c>
      <c r="K21" s="2" t="inlineStr">
        <is>
          <t>-</t>
        </is>
      </c>
      <c r="L21" s="2" t="inlineStr">
        <is>
          <t>2026-03-11</t>
        </is>
      </c>
      <c r="M21" s="7" t="inlineStr">
        <is>
          <t>-</t>
        </is>
      </c>
      <c r="N21" s="7" t="inlineStr">
        <is>
          <t>주주가치 제고 및 주식소각</t>
        </is>
      </c>
      <c r="O21" s="2" t="inlineStr">
        <is>
          <t>20260303900216</t>
        </is>
      </c>
      <c r="P21" s="8">
        <f>HYPERLINK("https://dart.fss.or.kr/dsaf001/main.do?rcpNo=20260303900216", "공시열람")</f>
        <v/>
      </c>
    </row>
    <row r="22" ht="36" customHeight="1">
      <c r="A22" s="2" t="inlineStr">
        <is>
          <t>2026-03-03</t>
        </is>
      </c>
      <c r="B22" s="3" t="inlineStr">
        <is>
          <t>광무</t>
        </is>
      </c>
      <c r="C22" s="2" t="inlineStr">
        <is>
          <t>코스닥</t>
        </is>
      </c>
      <c r="D22" s="2" t="inlineStr">
        <is>
          <t>029480</t>
        </is>
      </c>
      <c r="E22" s="7" t="inlineStr">
        <is>
          <t xml:space="preserve">주식소각결정              </t>
        </is>
      </c>
      <c r="F22" s="2" t="inlineStr">
        <is>
          <t>자기주식소각결정</t>
        </is>
      </c>
      <c r="G22" s="5" t="n">
        <v>5024498122</v>
      </c>
      <c r="H22" s="6" t="n">
        <v>2160732</v>
      </c>
      <c r="I22" s="3" t="inlineStr">
        <is>
          <t>기취득 자기주식</t>
        </is>
      </c>
      <c r="J22" s="2" t="inlineStr">
        <is>
          <t>-</t>
        </is>
      </c>
      <c r="K22" s="2" t="inlineStr">
        <is>
          <t>-</t>
        </is>
      </c>
      <c r="L22" s="2" t="inlineStr">
        <is>
          <t>2026-03-10</t>
        </is>
      </c>
      <c r="M22" s="7" t="inlineStr">
        <is>
          <t>-</t>
        </is>
      </c>
      <c r="N22" s="7" t="inlineStr">
        <is>
          <t>주주가치 제고 및 주식소각</t>
        </is>
      </c>
      <c r="O22" s="2" t="inlineStr">
        <is>
          <t>20260303901167</t>
        </is>
      </c>
      <c r="P22" s="8">
        <f>HYPERLINK("https://dart.fss.or.kr/dsaf001/main.do?rcpNo=20260303901167", "공시열람")</f>
        <v/>
      </c>
    </row>
    <row r="23" ht="36" customHeight="1">
      <c r="A23" s="2" t="inlineStr">
        <is>
          <t>2026-03-03</t>
        </is>
      </c>
      <c r="B23" s="3" t="inlineStr">
        <is>
          <t>벽산</t>
        </is>
      </c>
      <c r="C23" s="2" t="inlineStr">
        <is>
          <t>코스피</t>
        </is>
      </c>
      <c r="D23" s="2" t="inlineStr">
        <is>
          <t>007210</t>
        </is>
      </c>
      <c r="E23" s="7" t="inlineStr">
        <is>
          <t xml:space="preserve">주식소각결정              </t>
        </is>
      </c>
      <c r="F23" s="2" t="inlineStr">
        <is>
          <t>자기주식소각결정</t>
        </is>
      </c>
      <c r="G23" s="5" t="n">
        <v>2994000000</v>
      </c>
      <c r="H23" s="6" t="n">
        <v>1500000</v>
      </c>
      <c r="I23" s="3" t="inlineStr">
        <is>
          <t>기취득 자기주식</t>
        </is>
      </c>
      <c r="J23" s="2" t="inlineStr">
        <is>
          <t>-</t>
        </is>
      </c>
      <c r="K23" s="2" t="inlineStr">
        <is>
          <t>-</t>
        </is>
      </c>
      <c r="L23" s="2" t="inlineStr">
        <is>
          <t>2026-03-20</t>
        </is>
      </c>
      <c r="M23" s="7" t="inlineStr">
        <is>
          <t>-</t>
        </is>
      </c>
      <c r="N23" s="7" t="inlineStr">
        <is>
          <t>주주가치 제고 및 주식소각</t>
        </is>
      </c>
      <c r="O23" s="2" t="inlineStr">
        <is>
          <t>20260303801126</t>
        </is>
      </c>
      <c r="P23" s="8">
        <f>HYPERLINK("https://dart.fss.or.kr/dsaf001/main.do?rcpNo=20260303801126", "공시열람")</f>
        <v/>
      </c>
    </row>
    <row r="24" ht="36" customHeight="1">
      <c r="A24" s="2" t="inlineStr">
        <is>
          <t>2026-03-03</t>
        </is>
      </c>
      <c r="B24" s="3" t="inlineStr">
        <is>
          <t>제일연마</t>
        </is>
      </c>
      <c r="C24" s="2" t="inlineStr">
        <is>
          <t>코스피</t>
        </is>
      </c>
      <c r="D24" s="2" t="inlineStr">
        <is>
          <t>001560</t>
        </is>
      </c>
      <c r="E24" s="7" t="inlineStr">
        <is>
          <t xml:space="preserve">주식소각결정              </t>
        </is>
      </c>
      <c r="F24" s="2" t="inlineStr">
        <is>
          <t>자기주식소각결정</t>
        </is>
      </c>
      <c r="G24" s="5" t="n">
        <v>15536400000</v>
      </c>
      <c r="H24" s="6" t="n">
        <v>2200000</v>
      </c>
      <c r="I24" s="3" t="inlineStr">
        <is>
          <t>기취득 자기주식</t>
        </is>
      </c>
      <c r="J24" s="2" t="inlineStr">
        <is>
          <t>-</t>
        </is>
      </c>
      <c r="K24" s="2" t="inlineStr">
        <is>
          <t>-</t>
        </is>
      </c>
      <c r="L24" s="2" t="inlineStr">
        <is>
          <t>2026-03-30</t>
        </is>
      </c>
      <c r="M24" s="7" t="inlineStr">
        <is>
          <t>-</t>
        </is>
      </c>
      <c r="N24" s="7" t="inlineStr">
        <is>
          <t>주주가치 제고 및 주식소각</t>
        </is>
      </c>
      <c r="O24" s="2" t="inlineStr">
        <is>
          <t>20260303800284</t>
        </is>
      </c>
      <c r="P24" s="8">
        <f>HYPERLINK("https://dart.fss.or.kr/dsaf001/main.do?rcpNo=20260303800284", "공시열람")</f>
        <v/>
      </c>
    </row>
    <row r="25" ht="36" customHeight="1">
      <c r="A25" s="2" t="inlineStr">
        <is>
          <t>2026-03-04</t>
        </is>
      </c>
      <c r="B25" s="3" t="inlineStr">
        <is>
          <t>소프트센</t>
        </is>
      </c>
      <c r="C25" s="2" t="inlineStr">
        <is>
          <t>코스닥</t>
        </is>
      </c>
      <c r="D25" s="2" t="inlineStr">
        <is>
          <t>032680</t>
        </is>
      </c>
      <c r="E25" s="7" t="inlineStr">
        <is>
          <t xml:space="preserve">주식소각결정              </t>
        </is>
      </c>
      <c r="F25" s="2" t="inlineStr">
        <is>
          <t>자기주식소각결정</t>
        </is>
      </c>
      <c r="G25" s="5" t="n">
        <v>1075317120</v>
      </c>
      <c r="H25" s="6" t="n">
        <v>1311356</v>
      </c>
      <c r="I25" s="3" t="inlineStr">
        <is>
          <t>기취득 자기주식</t>
        </is>
      </c>
      <c r="J25" s="2" t="inlineStr">
        <is>
          <t>-</t>
        </is>
      </c>
      <c r="K25" s="2" t="inlineStr">
        <is>
          <t>-</t>
        </is>
      </c>
      <c r="L25" s="2" t="inlineStr">
        <is>
          <t>2026-03-18</t>
        </is>
      </c>
      <c r="M25" s="7" t="inlineStr">
        <is>
          <t>-</t>
        </is>
      </c>
      <c r="N25" s="7" t="inlineStr">
        <is>
          <t>주주가치 제고 및 주식소각</t>
        </is>
      </c>
      <c r="O25" s="2" t="inlineStr">
        <is>
          <t>20260304901506</t>
        </is>
      </c>
      <c r="P25" s="8">
        <f>HYPERLINK("https://dart.fss.or.kr/dsaf001/main.do?rcpNo=20260304901506", "공시열람")</f>
        <v/>
      </c>
    </row>
    <row r="26" ht="36" customHeight="1">
      <c r="A26" s="2" t="inlineStr">
        <is>
          <t>2026-03-04</t>
        </is>
      </c>
      <c r="B26" s="3" t="inlineStr">
        <is>
          <t>대우건설</t>
        </is>
      </c>
      <c r="C26" s="2" t="inlineStr">
        <is>
          <t>코스피</t>
        </is>
      </c>
      <c r="D26" s="2" t="inlineStr">
        <is>
          <t>047040</t>
        </is>
      </c>
      <c r="E26" s="7" t="inlineStr">
        <is>
          <t xml:space="preserve">주식소각결정              </t>
        </is>
      </c>
      <c r="F26" s="2" t="inlineStr">
        <is>
          <t>자기주식소각결정</t>
        </is>
      </c>
      <c r="G26" s="5" t="n">
        <v>41963500000</v>
      </c>
      <c r="H26" s="6" t="n">
        <v>4715000</v>
      </c>
      <c r="I26" s="3" t="inlineStr">
        <is>
          <t>기취득 자기주식</t>
        </is>
      </c>
      <c r="J26" s="2" t="inlineStr">
        <is>
          <t>-</t>
        </is>
      </c>
      <c r="K26" s="2" t="inlineStr">
        <is>
          <t>-</t>
        </is>
      </c>
      <c r="L26" s="2" t="inlineStr">
        <is>
          <t>2026-03-18</t>
        </is>
      </c>
      <c r="M26" s="7" t="inlineStr">
        <is>
          <t>-</t>
        </is>
      </c>
      <c r="N26" s="7" t="inlineStr">
        <is>
          <t>주주가치 제고 및 주식소각</t>
        </is>
      </c>
      <c r="O26" s="2" t="inlineStr">
        <is>
          <t>20260304801486</t>
        </is>
      </c>
      <c r="P26" s="8">
        <f>HYPERLINK("https://dart.fss.or.kr/dsaf001/main.do?rcpNo=20260304801486", "공시열람")</f>
        <v/>
      </c>
    </row>
    <row r="27" ht="36" customHeight="1">
      <c r="A27" s="2" t="inlineStr">
        <is>
          <t>2026-01-13 (정정: 2026-03-04)</t>
        </is>
      </c>
      <c r="B27" s="3" t="inlineStr">
        <is>
          <t>오아</t>
        </is>
      </c>
      <c r="C27" s="2" t="inlineStr">
        <is>
          <t>코스닥</t>
        </is>
      </c>
      <c r="D27" s="2" t="inlineStr">
        <is>
          <t>342870</t>
        </is>
      </c>
      <c r="E27" s="7" t="inlineStr">
        <is>
          <t xml:space="preserve">[기재정정]주식소각결정              </t>
        </is>
      </c>
      <c r="F27" s="2" t="inlineStr">
        <is>
          <t>자기주식소각결정</t>
        </is>
      </c>
      <c r="G27" s="5" t="n">
        <v>6795112514</v>
      </c>
      <c r="H27" s="6" t="n">
        <v>797917</v>
      </c>
      <c r="I27" s="3" t="inlineStr">
        <is>
          <t>기취득 자기주식</t>
        </is>
      </c>
      <c r="J27" s="2" t="inlineStr">
        <is>
          <t>-</t>
        </is>
      </c>
      <c r="K27" s="2" t="inlineStr">
        <is>
          <t>-</t>
        </is>
      </c>
      <c r="L27" s="2" t="inlineStr">
        <is>
          <t>2026-03-09</t>
        </is>
      </c>
      <c r="M27" s="7" t="inlineStr">
        <is>
          <t>-</t>
        </is>
      </c>
      <c r="N27" s="7" t="inlineStr">
        <is>
          <t>주주가치 제고 및 주식소각</t>
        </is>
      </c>
      <c r="O27" s="2" t="inlineStr">
        <is>
          <t>20260304901507</t>
        </is>
      </c>
      <c r="P27" s="8">
        <f>HYPERLINK("https://dart.fss.or.kr/dsaf001/main.do?rcpNo=20260304901507", "공시열람")</f>
        <v/>
      </c>
    </row>
    <row r="28" ht="36" customHeight="1">
      <c r="A28" s="2" t="inlineStr">
        <is>
          <t>2026-03-04</t>
        </is>
      </c>
      <c r="B28" s="3" t="inlineStr">
        <is>
          <t>한화오션</t>
        </is>
      </c>
      <c r="C28" s="2" t="inlineStr">
        <is>
          <t>코스피</t>
        </is>
      </c>
      <c r="D28" s="2" t="inlineStr">
        <is>
          <t>042660</t>
        </is>
      </c>
      <c r="E28" s="7" t="inlineStr">
        <is>
          <t>주요사항보고서(자기주식취득결정)</t>
        </is>
      </c>
      <c r="F28" s="2" t="inlineStr">
        <is>
          <t>자기주식취득결정</t>
        </is>
      </c>
      <c r="G28" s="5" t="n">
        <v>5107423400</v>
      </c>
      <c r="H28" s="6" t="n">
        <v>37721</v>
      </c>
      <c r="I28" s="3" t="inlineStr">
        <is>
          <t>비고</t>
        </is>
      </c>
      <c r="J28" s="2" t="inlineStr">
        <is>
          <t>2026-03-20</t>
        </is>
      </c>
      <c r="K28" s="2" t="inlineStr">
        <is>
          <t>2026-06-03</t>
        </is>
      </c>
      <c r="L28" s="2" t="inlineStr">
        <is>
          <t>-</t>
        </is>
      </c>
      <c r="M28" s="7" t="inlineStr">
        <is>
          <t>NH투자증권( NH INVESTMENT &amp; SECURITIES CO.,LTD. )</t>
        </is>
      </c>
      <c r="N28" s="7" t="inlineStr">
        <is>
          <t>임직원 주식보상</t>
        </is>
      </c>
      <c r="O28" s="2" t="inlineStr">
        <is>
          <t>20260304001541</t>
        </is>
      </c>
      <c r="P28" s="8">
        <f>HYPERLINK("https://dart.fss.or.kr/dsaf001/main.do?rcpNo=20260304001541", "공시열람")</f>
        <v/>
      </c>
    </row>
    <row r="29" ht="36" customHeight="1">
      <c r="A29" s="2" t="inlineStr">
        <is>
          <t>2026-03-04</t>
        </is>
      </c>
      <c r="B29" s="3" t="inlineStr">
        <is>
          <t>미래에셋생명</t>
        </is>
      </c>
      <c r="C29" s="2" t="inlineStr">
        <is>
          <t>코스피</t>
        </is>
      </c>
      <c r="D29" s="2" t="inlineStr">
        <is>
          <t>085620</t>
        </is>
      </c>
      <c r="E29" s="7" t="inlineStr">
        <is>
          <t xml:space="preserve">주식소각결정              </t>
        </is>
      </c>
      <c r="F29" s="2" t="inlineStr">
        <is>
          <t>자기주식소각결정</t>
        </is>
      </c>
      <c r="G29" s="5" t="n">
        <v>424007034200</v>
      </c>
      <c r="H29" s="6" t="n">
        <v>10000000</v>
      </c>
      <c r="I29" s="3" t="inlineStr">
        <is>
          <t>기취득 자기주식</t>
        </is>
      </c>
      <c r="J29" s="2" t="inlineStr">
        <is>
          <t>-</t>
        </is>
      </c>
      <c r="K29" s="2" t="inlineStr">
        <is>
          <t>-</t>
        </is>
      </c>
      <c r="L29" s="2" t="inlineStr">
        <is>
          <t>2026-03-13</t>
        </is>
      </c>
      <c r="M29" s="7" t="inlineStr">
        <is>
          <t>-</t>
        </is>
      </c>
      <c r="N29" s="7" t="inlineStr">
        <is>
          <t>주주가치 제고 및 주식소각</t>
        </is>
      </c>
      <c r="O29" s="2" t="inlineStr">
        <is>
          <t>20260304801368</t>
        </is>
      </c>
      <c r="P29" s="8">
        <f>HYPERLINK("https://dart.fss.or.kr/dsaf001/main.do?rcpNo=20260304801368", "공시열람")</f>
        <v/>
      </c>
    </row>
    <row r="30" ht="36" customHeight="1">
      <c r="A30" s="2" t="inlineStr">
        <is>
          <t>2026-03-04</t>
        </is>
      </c>
      <c r="B30" s="3" t="inlineStr">
        <is>
          <t>미원상사</t>
        </is>
      </c>
      <c r="C30" s="2" t="inlineStr">
        <is>
          <t>코스피</t>
        </is>
      </c>
      <c r="D30" s="2" t="inlineStr">
        <is>
          <t>002840</t>
        </is>
      </c>
      <c r="E30" s="7" t="inlineStr">
        <is>
          <t>주요사항보고서(자기주식취득결정)</t>
        </is>
      </c>
      <c r="F30" s="2" t="inlineStr">
        <is>
          <t>자기주식취득결정</t>
        </is>
      </c>
      <c r="G30" s="5" t="n">
        <v>4499880000</v>
      </c>
      <c r="H30" s="6" t="n">
        <v>32142</v>
      </c>
      <c r="I30" s="3" t="inlineStr">
        <is>
          <t>비고</t>
        </is>
      </c>
      <c r="J30" s="2" t="inlineStr">
        <is>
          <t>2026-03-05</t>
        </is>
      </c>
      <c r="K30" s="2" t="inlineStr">
        <is>
          <t>2026-06-04</t>
        </is>
      </c>
      <c r="L30" s="2" t="inlineStr">
        <is>
          <t>-</t>
        </is>
      </c>
      <c r="M30" s="7" t="inlineStr">
        <is>
          <t>NH투자증권</t>
        </is>
      </c>
      <c r="N30" s="7" t="inlineStr">
        <is>
          <t>주식가격의 안정</t>
        </is>
      </c>
      <c r="O30" s="2" t="inlineStr">
        <is>
          <t>20260304001442</t>
        </is>
      </c>
      <c r="P30" s="8">
        <f>HYPERLINK("https://dart.fss.or.kr/dsaf001/main.do?rcpNo=20260304001442", "공시열람")</f>
        <v/>
      </c>
    </row>
    <row r="31" ht="36" customHeight="1">
      <c r="A31" s="2" t="inlineStr">
        <is>
          <t>2026-03-04</t>
        </is>
      </c>
      <c r="B31" s="3" t="inlineStr">
        <is>
          <t>토탈소프트</t>
        </is>
      </c>
      <c r="C31" s="2" t="inlineStr">
        <is>
          <t>코스닥</t>
        </is>
      </c>
      <c r="D31" s="2" t="inlineStr">
        <is>
          <t>045340</t>
        </is>
      </c>
      <c r="E31" s="7" t="inlineStr">
        <is>
          <t>주요사항보고서(자기주식취득신탁계약체결결정)</t>
        </is>
      </c>
      <c r="F31" s="2" t="inlineStr">
        <is>
          <t>신탁계약체결결정</t>
        </is>
      </c>
      <c r="G31" s="5" t="n">
        <v>2000000000</v>
      </c>
      <c r="H31" s="6" t="n">
        <v>290275</v>
      </c>
      <c r="I31" s="3" t="inlineStr">
        <is>
          <t>비고</t>
        </is>
      </c>
      <c r="J31" s="2" t="inlineStr">
        <is>
          <t>2026-03-05</t>
        </is>
      </c>
      <c r="K31" s="2" t="inlineStr">
        <is>
          <t>2027-03-04</t>
        </is>
      </c>
      <c r="L31" s="2" t="inlineStr">
        <is>
          <t>-</t>
        </is>
      </c>
      <c r="M31" s="7" t="inlineStr">
        <is>
          <t>대신증권</t>
        </is>
      </c>
      <c r="N31" s="7" t="inlineStr">
        <is>
          <t>주가안정 및 주주가치 제고</t>
        </is>
      </c>
      <c r="O31" s="2" t="inlineStr">
        <is>
          <t>20260304001334</t>
        </is>
      </c>
      <c r="P31" s="8">
        <f>HYPERLINK("https://dart.fss.or.kr/dsaf001/main.do?rcpNo=20260304001334", "공시열람")</f>
        <v/>
      </c>
    </row>
    <row r="32" ht="36" customHeight="1">
      <c r="A32" s="2" t="inlineStr">
        <is>
          <t>2026-03-04</t>
        </is>
      </c>
      <c r="B32" s="3" t="inlineStr">
        <is>
          <t>SK증권</t>
        </is>
      </c>
      <c r="C32" s="2" t="inlineStr">
        <is>
          <t>코스피</t>
        </is>
      </c>
      <c r="D32" s="2" t="inlineStr">
        <is>
          <t>001510</t>
        </is>
      </c>
      <c r="E32" s="7" t="inlineStr">
        <is>
          <t xml:space="preserve">주식소각결정              </t>
        </is>
      </c>
      <c r="F32" s="2" t="inlineStr">
        <is>
          <t>자기주식소각결정</t>
        </is>
      </c>
      <c r="G32" s="5" t="n">
        <v>18200000000</v>
      </c>
      <c r="H32" s="6" t="n">
        <v>10000000</v>
      </c>
      <c r="I32" s="3" t="inlineStr">
        <is>
          <t>기취득 자기주식</t>
        </is>
      </c>
      <c r="J32" s="2" t="inlineStr">
        <is>
          <t>-</t>
        </is>
      </c>
      <c r="K32" s="2" t="inlineStr">
        <is>
          <t>-</t>
        </is>
      </c>
      <c r="L32" s="2" t="inlineStr">
        <is>
          <t>2026-03-11</t>
        </is>
      </c>
      <c r="M32" s="7" t="inlineStr">
        <is>
          <t>-</t>
        </is>
      </c>
      <c r="N32" s="7" t="inlineStr">
        <is>
          <t>주주가치 제고 및 주식소각</t>
        </is>
      </c>
      <c r="O32" s="2" t="inlineStr">
        <is>
          <t>20260304801132</t>
        </is>
      </c>
      <c r="P32" s="8">
        <f>HYPERLINK("https://dart.fss.or.kr/dsaf001/main.do?rcpNo=20260304801132", "공시열람")</f>
        <v/>
      </c>
    </row>
    <row r="33" ht="36" customHeight="1">
      <c r="A33" s="2" t="inlineStr">
        <is>
          <t>2026-03-04</t>
        </is>
      </c>
      <c r="B33" s="3" t="inlineStr">
        <is>
          <t>인화정공</t>
        </is>
      </c>
      <c r="C33" s="2" t="inlineStr">
        <is>
          <t>코스닥</t>
        </is>
      </c>
      <c r="D33" s="2" t="inlineStr">
        <is>
          <t>101930</t>
        </is>
      </c>
      <c r="E33" s="7" t="inlineStr">
        <is>
          <t>주요사항보고서(자기주식취득신탁계약체결결정)</t>
        </is>
      </c>
      <c r="F33" s="2" t="inlineStr">
        <is>
          <t>신탁계약체결결정</t>
        </is>
      </c>
      <c r="G33" s="5" t="n">
        <v>5000000000</v>
      </c>
      <c r="H33" s="6" t="n">
        <v>121359</v>
      </c>
      <c r="I33" s="3" t="inlineStr">
        <is>
          <t>비고</t>
        </is>
      </c>
      <c r="J33" s="2" t="inlineStr">
        <is>
          <t>2026-03-04</t>
        </is>
      </c>
      <c r="K33" s="2" t="inlineStr">
        <is>
          <t>2027-03-04</t>
        </is>
      </c>
      <c r="L33" s="2" t="inlineStr">
        <is>
          <t>-</t>
        </is>
      </c>
      <c r="M33" s="7" t="inlineStr">
        <is>
          <t>신한투자증권</t>
        </is>
      </c>
      <c r="N33" s="7" t="inlineStr">
        <is>
          <t>주가안정 및 주주가치 제고, 소각</t>
        </is>
      </c>
      <c r="O33" s="2" t="inlineStr">
        <is>
          <t>20260304001211</t>
        </is>
      </c>
      <c r="P33" s="8">
        <f>HYPERLINK("https://dart.fss.or.kr/dsaf001/main.do?rcpNo=20260304001211", "공시열람")</f>
        <v/>
      </c>
    </row>
    <row r="34" ht="36" customHeight="1">
      <c r="A34" s="2" t="inlineStr">
        <is>
          <t>2026-03-04</t>
        </is>
      </c>
      <c r="B34" s="3" t="inlineStr">
        <is>
          <t>덴티움</t>
        </is>
      </c>
      <c r="C34" s="2" t="inlineStr">
        <is>
          <t>코스피</t>
        </is>
      </c>
      <c r="D34" s="2" t="inlineStr">
        <is>
          <t>145720</t>
        </is>
      </c>
      <c r="E34" s="7" t="inlineStr">
        <is>
          <t xml:space="preserve">주식소각결정              </t>
        </is>
      </c>
      <c r="F34" s="2" t="inlineStr">
        <is>
          <t>자기주식소각결정</t>
        </is>
      </c>
      <c r="G34" s="5" t="n">
        <v>79379003300</v>
      </c>
      <c r="H34" s="6" t="n">
        <v>1629959</v>
      </c>
      <c r="I34" s="3" t="inlineStr">
        <is>
          <t>기취득 자기주식</t>
        </is>
      </c>
      <c r="J34" s="2" t="inlineStr">
        <is>
          <t>-</t>
        </is>
      </c>
      <c r="K34" s="2" t="inlineStr">
        <is>
          <t>-</t>
        </is>
      </c>
      <c r="L34" s="2" t="inlineStr">
        <is>
          <t>2026-03-11</t>
        </is>
      </c>
      <c r="M34" s="7" t="inlineStr">
        <is>
          <t>-</t>
        </is>
      </c>
      <c r="N34" s="7" t="inlineStr">
        <is>
          <t>주주가치 제고 및 주식소각</t>
        </is>
      </c>
      <c r="O34" s="2" t="inlineStr">
        <is>
          <t>20260304800973</t>
        </is>
      </c>
      <c r="P34" s="8">
        <f>HYPERLINK("https://dart.fss.or.kr/dsaf001/main.do?rcpNo=20260304800973", "공시열람")</f>
        <v/>
      </c>
    </row>
    <row r="35" ht="36" customHeight="1">
      <c r="A35" s="2" t="inlineStr">
        <is>
          <t>2026-03-04</t>
        </is>
      </c>
      <c r="B35" s="3" t="inlineStr">
        <is>
          <t>감성코퍼레이션</t>
        </is>
      </c>
      <c r="C35" s="2" t="inlineStr">
        <is>
          <t>코스닥</t>
        </is>
      </c>
      <c r="D35" s="2" t="inlineStr">
        <is>
          <t>036620</t>
        </is>
      </c>
      <c r="E35" s="7" t="inlineStr">
        <is>
          <t>주요사항보고서(자기주식취득결정)</t>
        </is>
      </c>
      <c r="F35" s="2" t="inlineStr">
        <is>
          <t>자기주식취득결정</t>
        </is>
      </c>
      <c r="G35" s="5" t="n">
        <v>2000000000</v>
      </c>
      <c r="H35" s="6" t="n">
        <v>355239</v>
      </c>
      <c r="I35" s="3" t="inlineStr">
        <is>
          <t>비고</t>
        </is>
      </c>
      <c r="J35" s="2" t="inlineStr">
        <is>
          <t>2026-03-05</t>
        </is>
      </c>
      <c r="K35" s="2" t="inlineStr">
        <is>
          <t>2026-04-03</t>
        </is>
      </c>
      <c r="L35" s="2" t="inlineStr">
        <is>
          <t>-</t>
        </is>
      </c>
      <c r="M35" s="7" t="inlineStr">
        <is>
          <t>삼성증권</t>
        </is>
      </c>
      <c r="N35" s="7" t="inlineStr">
        <is>
          <t>주주가치 제고 계획에 따른 26년도 분 자기주식 취득</t>
        </is>
      </c>
      <c r="O35" s="2" t="inlineStr">
        <is>
          <t>20260304001042</t>
        </is>
      </c>
      <c r="P35" s="8">
        <f>HYPERLINK("https://dart.fss.or.kr/dsaf001/main.do?rcpNo=20260304001042", "공시열람")</f>
        <v/>
      </c>
    </row>
    <row r="36" ht="36" customHeight="1">
      <c r="A36" s="2" t="inlineStr">
        <is>
          <t>2026-03-04</t>
        </is>
      </c>
      <c r="B36" s="3" t="inlineStr">
        <is>
          <t>한국카본</t>
        </is>
      </c>
      <c r="C36" s="2" t="inlineStr">
        <is>
          <t>코스피</t>
        </is>
      </c>
      <c r="D36" s="2" t="inlineStr">
        <is>
          <t>017960</t>
        </is>
      </c>
      <c r="E36" s="7" t="inlineStr">
        <is>
          <t xml:space="preserve">주식소각결정              </t>
        </is>
      </c>
      <c r="F36" s="2" t="inlineStr">
        <is>
          <t>자기주식소각결정</t>
        </is>
      </c>
      <c r="G36" s="5" t="n">
        <v>11362314389</v>
      </c>
      <c r="H36" s="6" t="n">
        <v>938592</v>
      </c>
      <c r="I36" s="3" t="inlineStr">
        <is>
          <t>기취득 자기주식</t>
        </is>
      </c>
      <c r="J36" s="2" t="inlineStr">
        <is>
          <t>-</t>
        </is>
      </c>
      <c r="K36" s="2" t="inlineStr">
        <is>
          <t>-</t>
        </is>
      </c>
      <c r="L36" s="2" t="inlineStr">
        <is>
          <t>2026-03-26</t>
        </is>
      </c>
      <c r="M36" s="7" t="inlineStr">
        <is>
          <t>-</t>
        </is>
      </c>
      <c r="N36" s="7" t="inlineStr">
        <is>
          <t>주주가치 제고 및 주식소각</t>
        </is>
      </c>
      <c r="O36" s="2" t="inlineStr">
        <is>
          <t>20260304800901</t>
        </is>
      </c>
      <c r="P36" s="8">
        <f>HYPERLINK("https://dart.fss.or.kr/dsaf001/main.do?rcpNo=20260304800901", "공시열람")</f>
        <v/>
      </c>
    </row>
    <row r="37" ht="36" customHeight="1">
      <c r="A37" s="2" t="inlineStr">
        <is>
          <t>2026-03-04 (정정: 2026-05-26)</t>
        </is>
      </c>
      <c r="B37" s="3" t="inlineStr">
        <is>
          <t>엔지켐생명과학</t>
        </is>
      </c>
      <c r="C37" s="2" t="inlineStr">
        <is>
          <t>코스닥</t>
        </is>
      </c>
      <c r="D37" s="2" t="inlineStr">
        <is>
          <t>183490</t>
        </is>
      </c>
      <c r="E37" s="7" t="inlineStr">
        <is>
          <t>주요사항보고서(자기주식취득신탁계약체결결정) (정정: 20260526)</t>
        </is>
      </c>
      <c r="F37" s="2" t="inlineStr">
        <is>
          <t>신탁계약체결결정</t>
        </is>
      </c>
      <c r="G37" s="5" t="inlineStr"/>
      <c r="H37" s="6" t="inlineStr">
        <is>
          <t>보통주식: -</t>
        </is>
      </c>
      <c r="I37" s="3" t="inlineStr">
        <is>
          <t>비고</t>
        </is>
      </c>
      <c r="J37" s="2" t="inlineStr">
        <is>
          <t>-</t>
        </is>
      </c>
      <c r="K37" s="2" t="inlineStr">
        <is>
          <t>-</t>
        </is>
      </c>
      <c r="L37" s="2" t="inlineStr">
        <is>
          <t>-</t>
        </is>
      </c>
      <c r="M37" s="7" t="inlineStr">
        <is>
          <t>유안타증권(Yuanta Securities Korea Co.,Ltd.)</t>
        </is>
      </c>
      <c r="N37" s="7" t="inlineStr">
        <is>
          <t>주가안정 및 주주가치 증대(자사주 매입후 전량 소각예정)</t>
        </is>
      </c>
      <c r="O37" s="2" t="inlineStr">
        <is>
          <t>20260526000419</t>
        </is>
      </c>
      <c r="P37" s="8">
        <f>HYPERLINK("https://dart.fss.or.kr/dsaf001/main.do?rcpNo=20260526000419", "공시열람")</f>
        <v/>
      </c>
    </row>
    <row r="38" ht="36" customHeight="1">
      <c r="A38" s="2" t="inlineStr">
        <is>
          <t>2026-03-04</t>
        </is>
      </c>
      <c r="B38" s="3" t="inlineStr">
        <is>
          <t>엔지켐생명과학</t>
        </is>
      </c>
      <c r="C38" s="2" t="inlineStr">
        <is>
          <t>코스닥</t>
        </is>
      </c>
      <c r="D38" s="2" t="inlineStr">
        <is>
          <t>183490</t>
        </is>
      </c>
      <c r="E38" s="7" t="inlineStr">
        <is>
          <t xml:space="preserve">주식소각결정              </t>
        </is>
      </c>
      <c r="F38" s="2" t="inlineStr">
        <is>
          <t>자기주식소각결정</t>
        </is>
      </c>
      <c r="G38" s="5" t="n">
        <v>666418931</v>
      </c>
      <c r="H38" s="6" t="n">
        <v>425327</v>
      </c>
      <c r="I38" s="3" t="inlineStr">
        <is>
          <t>기취득 자기주식</t>
        </is>
      </c>
      <c r="J38" s="2" t="inlineStr">
        <is>
          <t>-</t>
        </is>
      </c>
      <c r="K38" s="2" t="inlineStr">
        <is>
          <t>-</t>
        </is>
      </c>
      <c r="L38" s="2" t="inlineStr">
        <is>
          <t>2026-03-13</t>
        </is>
      </c>
      <c r="M38" s="7" t="inlineStr">
        <is>
          <t>-</t>
        </is>
      </c>
      <c r="N38" s="7" t="inlineStr">
        <is>
          <t>주주가치 제고 및 주식소각</t>
        </is>
      </c>
      <c r="O38" s="2" t="inlineStr">
        <is>
          <t>20260304900781</t>
        </is>
      </c>
      <c r="P38" s="8">
        <f>HYPERLINK("https://dart.fss.or.kr/dsaf001/main.do?rcpNo=20260304900781", "공시열람")</f>
        <v/>
      </c>
    </row>
    <row r="39" ht="36" customHeight="1">
      <c r="A39" s="2" t="inlineStr">
        <is>
          <t>2026-03-05</t>
        </is>
      </c>
      <c r="B39" s="3" t="inlineStr">
        <is>
          <t>바이오스마트</t>
        </is>
      </c>
      <c r="C39" s="2" t="inlineStr">
        <is>
          <t>코스닥</t>
        </is>
      </c>
      <c r="D39" s="2" t="inlineStr">
        <is>
          <t>038460</t>
        </is>
      </c>
      <c r="E39" s="7" t="inlineStr">
        <is>
          <t xml:space="preserve">주식소각결정              </t>
        </is>
      </c>
      <c r="F39" s="2" t="inlineStr">
        <is>
          <t>자기주식소각결정</t>
        </is>
      </c>
      <c r="G39" s="5" t="n">
        <v>2992317220</v>
      </c>
      <c r="H39" s="6" t="n">
        <v>888603</v>
      </c>
      <c r="I39" s="3" t="inlineStr">
        <is>
          <t>기취득 자기주식</t>
        </is>
      </c>
      <c r="J39" s="2" t="inlineStr">
        <is>
          <t>-</t>
        </is>
      </c>
      <c r="K39" s="2" t="inlineStr">
        <is>
          <t>-</t>
        </is>
      </c>
      <c r="L39" s="2" t="inlineStr">
        <is>
          <t>2026-03-27</t>
        </is>
      </c>
      <c r="M39" s="7" t="inlineStr">
        <is>
          <t>-</t>
        </is>
      </c>
      <c r="N39" s="7" t="inlineStr">
        <is>
          <t>주주가치 제고 및 주식소각</t>
        </is>
      </c>
      <c r="O39" s="2" t="inlineStr">
        <is>
          <t>20260305901548</t>
        </is>
      </c>
      <c r="P39" s="8">
        <f>HYPERLINK("https://dart.fss.or.kr/dsaf001/main.do?rcpNo=20260305901548", "공시열람")</f>
        <v/>
      </c>
    </row>
    <row r="40" ht="36" customHeight="1">
      <c r="A40" s="2" t="inlineStr">
        <is>
          <t>2026-03-05</t>
        </is>
      </c>
      <c r="B40" s="3" t="inlineStr">
        <is>
          <t>패션플랫폼</t>
        </is>
      </c>
      <c r="C40" s="2" t="inlineStr">
        <is>
          <t>코스닥</t>
        </is>
      </c>
      <c r="D40" s="2" t="inlineStr">
        <is>
          <t>225590</t>
        </is>
      </c>
      <c r="E40" s="7" t="inlineStr">
        <is>
          <t xml:space="preserve">주식소각결정              </t>
        </is>
      </c>
      <c r="F40" s="2" t="inlineStr">
        <is>
          <t>자기주식소각결정</t>
        </is>
      </c>
      <c r="G40" s="5" t="n">
        <v>2115271962</v>
      </c>
      <c r="H40" s="6" t="n">
        <v>1029831</v>
      </c>
      <c r="I40" s="3" t="inlineStr">
        <is>
          <t>기취득 자기주식</t>
        </is>
      </c>
      <c r="J40" s="2" t="inlineStr">
        <is>
          <t>-</t>
        </is>
      </c>
      <c r="K40" s="2" t="inlineStr">
        <is>
          <t>-</t>
        </is>
      </c>
      <c r="L40" s="2" t="inlineStr">
        <is>
          <t>2026-03-12</t>
        </is>
      </c>
      <c r="M40" s="7" t="inlineStr">
        <is>
          <t>-</t>
        </is>
      </c>
      <c r="N40" s="7" t="inlineStr">
        <is>
          <t>주주가치 제고 및 주식소각</t>
        </is>
      </c>
      <c r="O40" s="2" t="inlineStr">
        <is>
          <t>20260305901343</t>
        </is>
      </c>
      <c r="P40" s="8">
        <f>HYPERLINK("https://dart.fss.or.kr/dsaf001/main.do?rcpNo=20260305901343", "공시열람")</f>
        <v/>
      </c>
    </row>
    <row r="41" ht="36" customHeight="1">
      <c r="A41" s="2" t="inlineStr">
        <is>
          <t>2026-02-27 (정정: 2026-03-06)</t>
        </is>
      </c>
      <c r="B41" s="3" t="inlineStr">
        <is>
          <t>바이오노트</t>
        </is>
      </c>
      <c r="C41" s="2" t="inlineStr">
        <is>
          <t>코스피</t>
        </is>
      </c>
      <c r="D41" s="2" t="inlineStr">
        <is>
          <t>377740</t>
        </is>
      </c>
      <c r="E41" s="7" t="inlineStr">
        <is>
          <t xml:space="preserve">[기재정정]주식소각결정              </t>
        </is>
      </c>
      <c r="F41" s="2" t="inlineStr">
        <is>
          <t>자기주식소각결정</t>
        </is>
      </c>
      <c r="G41" s="5" t="n">
        <v>3685500000</v>
      </c>
      <c r="H41" s="6" t="n">
        <v>650000</v>
      </c>
      <c r="I41" s="3" t="inlineStr">
        <is>
          <t>기취득 자기주식</t>
        </is>
      </c>
      <c r="J41" s="2" t="inlineStr">
        <is>
          <t>-</t>
        </is>
      </c>
      <c r="K41" s="2" t="inlineStr">
        <is>
          <t>-</t>
        </is>
      </c>
      <c r="L41" s="2" t="inlineStr">
        <is>
          <t>2026-03-12</t>
        </is>
      </c>
      <c r="M41" s="7" t="inlineStr">
        <is>
          <t>-</t>
        </is>
      </c>
      <c r="N41" s="7" t="inlineStr">
        <is>
          <t>주주가치 제고 및 주식소각</t>
        </is>
      </c>
      <c r="O41" s="2" t="inlineStr">
        <is>
          <t>20260306801090</t>
        </is>
      </c>
      <c r="P41" s="8">
        <f>HYPERLINK("https://dart.fss.or.kr/dsaf001/main.do?rcpNo=20260306801090", "공시열람")</f>
        <v/>
      </c>
    </row>
    <row r="42" ht="36" customHeight="1">
      <c r="A42" s="2" t="inlineStr">
        <is>
          <t>2026-03-06</t>
        </is>
      </c>
      <c r="B42" s="3" t="inlineStr">
        <is>
          <t>티비씨</t>
        </is>
      </c>
      <c r="C42" s="2" t="inlineStr">
        <is>
          <t>코스닥</t>
        </is>
      </c>
      <c r="D42" s="2" t="inlineStr">
        <is>
          <t>033830</t>
        </is>
      </c>
      <c r="E42" s="7" t="inlineStr">
        <is>
          <t xml:space="preserve">주식소각결정              </t>
        </is>
      </c>
      <c r="F42" s="2" t="inlineStr">
        <is>
          <t>자기주식소각결정</t>
        </is>
      </c>
      <c r="G42" s="5" t="n">
        <v>3819577900</v>
      </c>
      <c r="H42" s="6" t="n">
        <v>5464350</v>
      </c>
      <c r="I42" s="3" t="inlineStr">
        <is>
          <t>기취득 자기주식</t>
        </is>
      </c>
      <c r="J42" s="2" t="inlineStr">
        <is>
          <t>-</t>
        </is>
      </c>
      <c r="K42" s="2" t="inlineStr">
        <is>
          <t>-</t>
        </is>
      </c>
      <c r="L42" s="2" t="inlineStr">
        <is>
          <t>2026-03-31</t>
        </is>
      </c>
      <c r="M42" s="7" t="inlineStr">
        <is>
          <t>-</t>
        </is>
      </c>
      <c r="N42" s="7" t="inlineStr">
        <is>
          <t>주주가치 제고 및 주식소각</t>
        </is>
      </c>
      <c r="O42" s="2" t="inlineStr">
        <is>
          <t>20260306900711</t>
        </is>
      </c>
      <c r="P42" s="8">
        <f>HYPERLINK("https://dart.fss.or.kr/dsaf001/main.do?rcpNo=20260306900711", "공시열람")</f>
        <v/>
      </c>
    </row>
    <row r="43" ht="36" customHeight="1">
      <c r="A43" s="2" t="inlineStr">
        <is>
          <t>2026-03-06</t>
        </is>
      </c>
      <c r="B43" s="3" t="inlineStr">
        <is>
          <t>위더스제약</t>
        </is>
      </c>
      <c r="C43" s="2" t="inlineStr">
        <is>
          <t>코스닥</t>
        </is>
      </c>
      <c r="D43" s="2" t="inlineStr">
        <is>
          <t>330350</t>
        </is>
      </c>
      <c r="E43" s="7" t="inlineStr">
        <is>
          <t xml:space="preserve">주식소각결정              </t>
        </is>
      </c>
      <c r="F43" s="2" t="inlineStr">
        <is>
          <t>자기주식소각결정</t>
        </is>
      </c>
      <c r="G43" s="5" t="n">
        <v>21909690</v>
      </c>
      <c r="H43" s="6" t="n">
        <v>2459</v>
      </c>
      <c r="I43" s="3" t="inlineStr">
        <is>
          <t>기취득 자기주식</t>
        </is>
      </c>
      <c r="J43" s="2" t="inlineStr">
        <is>
          <t>-</t>
        </is>
      </c>
      <c r="K43" s="2" t="inlineStr">
        <is>
          <t>-</t>
        </is>
      </c>
      <c r="L43" s="2" t="inlineStr">
        <is>
          <t>2026-04-10</t>
        </is>
      </c>
      <c r="M43" s="7" t="inlineStr">
        <is>
          <t>-</t>
        </is>
      </c>
      <c r="N43" s="7" t="inlineStr">
        <is>
          <t>주주가치 제고 및 주식소각</t>
        </is>
      </c>
      <c r="O43" s="2" t="inlineStr">
        <is>
          <t>20260306900605</t>
        </is>
      </c>
      <c r="P43" s="8">
        <f>HYPERLINK("https://dart.fss.or.kr/dsaf001/main.do?rcpNo=20260306900605", "공시열람")</f>
        <v/>
      </c>
    </row>
    <row r="44" ht="36" customHeight="1">
      <c r="A44" s="2" t="inlineStr">
        <is>
          <t>2026-03-06</t>
        </is>
      </c>
      <c r="B44" s="3" t="inlineStr">
        <is>
          <t>SK디스커버리</t>
        </is>
      </c>
      <c r="C44" s="2" t="inlineStr">
        <is>
          <t>코스피</t>
        </is>
      </c>
      <c r="D44" s="2" t="inlineStr">
        <is>
          <t>006120</t>
        </is>
      </c>
      <c r="E44" s="7" t="inlineStr">
        <is>
          <t>주요사항보고서(자기주식취득신탁계약체결결정)</t>
        </is>
      </c>
      <c r="F44" s="2" t="inlineStr">
        <is>
          <t>신탁계약체결결정</t>
        </is>
      </c>
      <c r="G44" s="5" t="n">
        <v>20000000000</v>
      </c>
      <c r="H44" s="6" t="n">
        <v>369686</v>
      </c>
      <c r="I44" s="3" t="inlineStr">
        <is>
          <t>비고</t>
        </is>
      </c>
      <c r="J44" s="2" t="inlineStr">
        <is>
          <t>2026-03-06</t>
        </is>
      </c>
      <c r="K44" s="2" t="inlineStr">
        <is>
          <t>2026-09-07</t>
        </is>
      </c>
      <c r="L44" s="2" t="inlineStr">
        <is>
          <t>-</t>
        </is>
      </c>
      <c r="M44" s="7" t="inlineStr">
        <is>
          <t>에스케이증권주식회사(SK Securities Co.,LTD.)</t>
        </is>
      </c>
      <c r="N44" s="7" t="inlineStr">
        <is>
          <t>주가 안정을 통한 주주가치 제고</t>
        </is>
      </c>
      <c r="O44" s="2" t="inlineStr">
        <is>
          <t>20260306000004</t>
        </is>
      </c>
      <c r="P44" s="8">
        <f>HYPERLINK("https://dart.fss.or.kr/dsaf001/main.do?rcpNo=20260306000004", "공시열람")</f>
        <v/>
      </c>
    </row>
    <row r="45" ht="36" customHeight="1">
      <c r="A45" s="2" t="inlineStr">
        <is>
          <t>2026-03-09</t>
        </is>
      </c>
      <c r="B45" s="3" t="inlineStr">
        <is>
          <t>롯데지주</t>
        </is>
      </c>
      <c r="C45" s="2" t="inlineStr">
        <is>
          <t>코스피</t>
        </is>
      </c>
      <c r="D45" s="2" t="inlineStr">
        <is>
          <t>004990</t>
        </is>
      </c>
      <c r="E45" s="7" t="inlineStr">
        <is>
          <t xml:space="preserve">주식소각결정              </t>
        </is>
      </c>
      <c r="F45" s="2" t="inlineStr">
        <is>
          <t>자기주식소각결정</t>
        </is>
      </c>
      <c r="G45" s="5" t="n">
        <v>166281113700</v>
      </c>
      <c r="H45" s="6" t="n">
        <v>5245461</v>
      </c>
      <c r="I45" s="3" t="inlineStr">
        <is>
          <t>기취득 자기주식</t>
        </is>
      </c>
      <c r="J45" s="2" t="inlineStr">
        <is>
          <t>-</t>
        </is>
      </c>
      <c r="K45" s="2" t="inlineStr">
        <is>
          <t>-</t>
        </is>
      </c>
      <c r="L45" s="2" t="inlineStr">
        <is>
          <t>2026-03-31</t>
        </is>
      </c>
      <c r="M45" s="7" t="inlineStr">
        <is>
          <t>-</t>
        </is>
      </c>
      <c r="N45" s="7" t="inlineStr">
        <is>
          <t>주주가치 제고 및 주식소각</t>
        </is>
      </c>
      <c r="O45" s="2" t="inlineStr">
        <is>
          <t>20260309801548</t>
        </is>
      </c>
      <c r="P45" s="8">
        <f>HYPERLINK("https://dart.fss.or.kr/dsaf001/main.do?rcpNo=20260309801548", "공시열람")</f>
        <v/>
      </c>
    </row>
    <row r="46" ht="36" customHeight="1">
      <c r="A46" s="2" t="inlineStr">
        <is>
          <t>2026-03-09</t>
        </is>
      </c>
      <c r="B46" s="3" t="inlineStr">
        <is>
          <t>DSC인베스트먼트</t>
        </is>
      </c>
      <c r="C46" s="2" t="inlineStr">
        <is>
          <t>코스닥</t>
        </is>
      </c>
      <c r="D46" s="2" t="inlineStr">
        <is>
          <t>241520</t>
        </is>
      </c>
      <c r="E46" s="7" t="inlineStr">
        <is>
          <t xml:space="preserve">주식소각결정              </t>
        </is>
      </c>
      <c r="F46" s="2" t="inlineStr">
        <is>
          <t>자기주식소각결정</t>
        </is>
      </c>
      <c r="G46" s="5" t="n">
        <v>1330985403</v>
      </c>
      <c r="H46" s="6" t="n">
        <v>400000</v>
      </c>
      <c r="I46" s="3" t="inlineStr">
        <is>
          <t>기취득 자기주식</t>
        </is>
      </c>
      <c r="J46" s="2" t="inlineStr">
        <is>
          <t>-</t>
        </is>
      </c>
      <c r="K46" s="2" t="inlineStr">
        <is>
          <t>-</t>
        </is>
      </c>
      <c r="L46" s="2" t="inlineStr">
        <is>
          <t>2026-03-31</t>
        </is>
      </c>
      <c r="M46" s="7" t="inlineStr">
        <is>
          <t>-</t>
        </is>
      </c>
      <c r="N46" s="7" t="inlineStr">
        <is>
          <t>주주가치 제고 및 주식소각</t>
        </is>
      </c>
      <c r="O46" s="2" t="inlineStr">
        <is>
          <t>20260309901536</t>
        </is>
      </c>
      <c r="P46" s="8">
        <f>HYPERLINK("https://dart.fss.or.kr/dsaf001/main.do?rcpNo=20260309901536", "공시열람")</f>
        <v/>
      </c>
    </row>
    <row r="47" ht="36" customHeight="1">
      <c r="A47" s="2" t="inlineStr">
        <is>
          <t>2026-03-10</t>
        </is>
      </c>
      <c r="B47" s="3" t="inlineStr">
        <is>
          <t>에이텍모빌리티</t>
        </is>
      </c>
      <c r="C47" s="2" t="inlineStr">
        <is>
          <t>코스닥</t>
        </is>
      </c>
      <c r="D47" s="2" t="inlineStr">
        <is>
          <t>224110</t>
        </is>
      </c>
      <c r="E47" s="7" t="inlineStr">
        <is>
          <t xml:space="preserve">주식소각결정              </t>
        </is>
      </c>
      <c r="F47" s="2" t="inlineStr">
        <is>
          <t>자기주식소각결정</t>
        </is>
      </c>
      <c r="G47" s="5" t="n">
        <v>2261237940</v>
      </c>
      <c r="H47" s="6" t="n">
        <v>259614</v>
      </c>
      <c r="I47" s="3" t="inlineStr">
        <is>
          <t>기취득 자기주식</t>
        </is>
      </c>
      <c r="J47" s="2" t="inlineStr">
        <is>
          <t>-</t>
        </is>
      </c>
      <c r="K47" s="2" t="inlineStr">
        <is>
          <t>-</t>
        </is>
      </c>
      <c r="L47" s="2" t="inlineStr">
        <is>
          <t>2026-03-27</t>
        </is>
      </c>
      <c r="M47" s="7" t="inlineStr">
        <is>
          <t>-</t>
        </is>
      </c>
      <c r="N47" s="7" t="inlineStr">
        <is>
          <t>주주가치 제고 및 주식소각</t>
        </is>
      </c>
      <c r="O47" s="2" t="inlineStr">
        <is>
          <t>20260310901902</t>
        </is>
      </c>
      <c r="P47" s="8">
        <f>HYPERLINK("https://dart.fss.or.kr/dsaf001/main.do?rcpNo=20260310901902", "공시열람")</f>
        <v/>
      </c>
    </row>
    <row r="48" ht="36" customHeight="1">
      <c r="A48" s="2" t="inlineStr">
        <is>
          <t>2026-03-10</t>
        </is>
      </c>
      <c r="B48" s="3" t="inlineStr">
        <is>
          <t>시프트업</t>
        </is>
      </c>
      <c r="C48" s="2" t="inlineStr">
        <is>
          <t>코스피</t>
        </is>
      </c>
      <c r="D48" s="2" t="inlineStr">
        <is>
          <t>462870</t>
        </is>
      </c>
      <c r="E48" s="7" t="inlineStr">
        <is>
          <t>주요사항보고서(자기주식취득신탁계약체결결정)</t>
        </is>
      </c>
      <c r="F48" s="2" t="inlineStr">
        <is>
          <t>신탁계약체결결정</t>
        </is>
      </c>
      <c r="G48" s="5" t="n">
        <v>20000000000</v>
      </c>
      <c r="H48" s="6" t="n">
        <v>651465</v>
      </c>
      <c r="I48" s="3" t="inlineStr">
        <is>
          <t>비고</t>
        </is>
      </c>
      <c r="J48" s="2" t="inlineStr">
        <is>
          <t>2026-03-11</t>
        </is>
      </c>
      <c r="K48" s="2" t="inlineStr">
        <is>
          <t>2026-09-10</t>
        </is>
      </c>
      <c r="L48" s="2" t="inlineStr">
        <is>
          <t>-</t>
        </is>
      </c>
      <c r="M48" s="7" t="inlineStr">
        <is>
          <t>NH투자증권(NH INVESTMENT &amp; SECURITIES CO.,LTD.)</t>
        </is>
      </c>
      <c r="N48" s="7" t="inlineStr">
        <is>
          <t>주주가치 제고</t>
        </is>
      </c>
      <c r="O48" s="2" t="inlineStr">
        <is>
          <t>20260310002972</t>
        </is>
      </c>
      <c r="P48" s="8">
        <f>HYPERLINK("https://dart.fss.or.kr/dsaf001/main.do?rcpNo=20260310002972", "공시열람")</f>
        <v/>
      </c>
    </row>
    <row r="49" ht="36" customHeight="1">
      <c r="A49" s="2" t="inlineStr">
        <is>
          <t>2026-03-10</t>
        </is>
      </c>
      <c r="B49" s="3" t="inlineStr">
        <is>
          <t>시프트업</t>
        </is>
      </c>
      <c r="C49" s="2" t="inlineStr">
        <is>
          <t>코스피</t>
        </is>
      </c>
      <c r="D49" s="2" t="inlineStr">
        <is>
          <t>462870</t>
        </is>
      </c>
      <c r="E49" s="7" t="inlineStr">
        <is>
          <t xml:space="preserve">주식소각결정              </t>
        </is>
      </c>
      <c r="F49" s="2" t="inlineStr">
        <is>
          <t>자기주식소각결정</t>
        </is>
      </c>
      <c r="G49" s="5" t="n">
        <v>10131000000</v>
      </c>
      <c r="H49" s="6" t="n">
        <v>330000</v>
      </c>
      <c r="I49" s="3" t="inlineStr">
        <is>
          <t>기취득 자기주식</t>
        </is>
      </c>
      <c r="J49" s="2" t="inlineStr">
        <is>
          <t>-</t>
        </is>
      </c>
      <c r="K49" s="2" t="inlineStr">
        <is>
          <t>-</t>
        </is>
      </c>
      <c r="L49" s="2" t="inlineStr">
        <is>
          <t>2026-03-31</t>
        </is>
      </c>
      <c r="M49" s="7" t="inlineStr">
        <is>
          <t>-</t>
        </is>
      </c>
      <c r="N49" s="7" t="inlineStr">
        <is>
          <t>주주가치 제고 및 주식소각</t>
        </is>
      </c>
      <c r="O49" s="2" t="inlineStr">
        <is>
          <t>20260310801620</t>
        </is>
      </c>
      <c r="P49" s="8">
        <f>HYPERLINK("https://dart.fss.or.kr/dsaf001/main.do?rcpNo=20260310801620", "공시열람")</f>
        <v/>
      </c>
    </row>
    <row r="50" ht="36" customHeight="1">
      <c r="A50" s="2" t="inlineStr">
        <is>
          <t>2026-03-10</t>
        </is>
      </c>
      <c r="B50" s="3" t="inlineStr">
        <is>
          <t>SK</t>
        </is>
      </c>
      <c r="C50" s="2" t="inlineStr">
        <is>
          <t>코스피</t>
        </is>
      </c>
      <c r="D50" s="2" t="inlineStr">
        <is>
          <t>034730</t>
        </is>
      </c>
      <c r="E50" s="7" t="inlineStr">
        <is>
          <t xml:space="preserve">주식소각결정              </t>
        </is>
      </c>
      <c r="F50" s="2" t="inlineStr">
        <is>
          <t>자기주식소각결정</t>
        </is>
      </c>
      <c r="G50" s="5" t="n">
        <v>4834290141500</v>
      </c>
      <c r="H50" s="6" t="n">
        <v>14692601</v>
      </c>
      <c r="I50" s="3" t="inlineStr">
        <is>
          <t>기취득 자기주식</t>
        </is>
      </c>
      <c r="J50" s="2" t="inlineStr">
        <is>
          <t>-</t>
        </is>
      </c>
      <c r="K50" s="2" t="inlineStr">
        <is>
          <t>-</t>
        </is>
      </c>
      <c r="L50" s="2" t="inlineStr">
        <is>
          <t>2027-01-04</t>
        </is>
      </c>
      <c r="M50" s="7" t="inlineStr">
        <is>
          <t>-</t>
        </is>
      </c>
      <c r="N50" s="7" t="inlineStr">
        <is>
          <t>주주가치 제고 및 주식소각</t>
        </is>
      </c>
      <c r="O50" s="2" t="inlineStr">
        <is>
          <t>20260310801475</t>
        </is>
      </c>
      <c r="P50" s="8">
        <f>HYPERLINK("https://dart.fss.or.kr/dsaf001/main.do?rcpNo=20260310801475", "공시열람")</f>
        <v/>
      </c>
    </row>
    <row r="51" ht="36" customHeight="1">
      <c r="A51" s="2" t="inlineStr">
        <is>
          <t>2026-03-10</t>
        </is>
      </c>
      <c r="B51" s="3" t="inlineStr">
        <is>
          <t>사람인</t>
        </is>
      </c>
      <c r="C51" s="2" t="inlineStr">
        <is>
          <t>코스닥</t>
        </is>
      </c>
      <c r="D51" s="2" t="inlineStr">
        <is>
          <t>143240</t>
        </is>
      </c>
      <c r="E51" s="7" t="inlineStr">
        <is>
          <t xml:space="preserve">주식소각결정              </t>
        </is>
      </c>
      <c r="F51" s="2" t="inlineStr">
        <is>
          <t>자기주식소각결정</t>
        </is>
      </c>
      <c r="G51" s="5" t="n">
        <v>13085528800</v>
      </c>
      <c r="H51" s="6" t="n">
        <v>976532</v>
      </c>
      <c r="I51" s="3" t="inlineStr">
        <is>
          <t>기취득 자기주식</t>
        </is>
      </c>
      <c r="J51" s="2" t="inlineStr">
        <is>
          <t>-</t>
        </is>
      </c>
      <c r="K51" s="2" t="inlineStr">
        <is>
          <t>-</t>
        </is>
      </c>
      <c r="L51" s="2" t="inlineStr">
        <is>
          <t>2026-03-26</t>
        </is>
      </c>
      <c r="M51" s="7" t="inlineStr">
        <is>
          <t>-</t>
        </is>
      </c>
      <c r="N51" s="7" t="inlineStr">
        <is>
          <t>주주가치 제고 및 주식소각</t>
        </is>
      </c>
      <c r="O51" s="2" t="inlineStr">
        <is>
          <t>20260310901146</t>
        </is>
      </c>
      <c r="P51" s="8">
        <f>HYPERLINK("https://dart.fss.or.kr/dsaf001/main.do?rcpNo=20260310901146", "공시열람")</f>
        <v/>
      </c>
    </row>
    <row r="52" ht="36" customHeight="1">
      <c r="A52" s="2" t="inlineStr">
        <is>
          <t>2026-03-10</t>
        </is>
      </c>
      <c r="B52" s="3" t="inlineStr">
        <is>
          <t>뷰웍스</t>
        </is>
      </c>
      <c r="C52" s="2" t="inlineStr">
        <is>
          <t>코스닥</t>
        </is>
      </c>
      <c r="D52" s="2" t="inlineStr">
        <is>
          <t>100120</t>
        </is>
      </c>
      <c r="E52" s="7" t="inlineStr">
        <is>
          <t>주요사항보고서(자기주식취득신탁계약체결결정)</t>
        </is>
      </c>
      <c r="F52" s="2" t="inlineStr">
        <is>
          <t>신탁계약체결결정</t>
        </is>
      </c>
      <c r="G52" s="5" t="n">
        <v>0</v>
      </c>
      <c r="H52" s="6" t="n">
        <v>416666</v>
      </c>
      <c r="I52" s="3" t="inlineStr">
        <is>
          <t>비고</t>
        </is>
      </c>
      <c r="J52" s="2" t="inlineStr">
        <is>
          <t>2026-03-10</t>
        </is>
      </c>
      <c r="K52" s="2" t="inlineStr">
        <is>
          <t>2026-09-09</t>
        </is>
      </c>
      <c r="L52" s="2" t="inlineStr">
        <is>
          <t>-</t>
        </is>
      </c>
      <c r="M52" s="7" t="inlineStr">
        <is>
          <t>삼성증권주식회사( Samsung Securities Co.,Ltd)</t>
        </is>
      </c>
      <c r="N52" s="7" t="inlineStr">
        <is>
          <t>주가안정 및 주주가치 제고</t>
        </is>
      </c>
      <c r="O52" s="2" t="inlineStr">
        <is>
          <t>20260310002577</t>
        </is>
      </c>
      <c r="P52" s="8">
        <f>HYPERLINK("https://dart.fss.or.kr/dsaf001/main.do?rcpNo=20260310002577", "공시열람")</f>
        <v/>
      </c>
    </row>
    <row r="53" ht="36" customHeight="1">
      <c r="A53" s="2" t="inlineStr">
        <is>
          <t>2026-03-10</t>
        </is>
      </c>
      <c r="B53" s="3" t="inlineStr">
        <is>
          <t>에스디바이오센서</t>
        </is>
      </c>
      <c r="C53" s="2" t="inlineStr">
        <is>
          <t>코스피</t>
        </is>
      </c>
      <c r="D53" s="2" t="inlineStr">
        <is>
          <t>137310</t>
        </is>
      </c>
      <c r="E53" s="7" t="inlineStr">
        <is>
          <t xml:space="preserve">주식소각결정              </t>
        </is>
      </c>
      <c r="F53" s="2" t="inlineStr">
        <is>
          <t>자기주식소각결정</t>
        </is>
      </c>
      <c r="G53" s="5" t="n">
        <v>7320000000</v>
      </c>
      <c r="H53" s="6" t="n">
        <v>1000000</v>
      </c>
      <c r="I53" s="3" t="inlineStr">
        <is>
          <t>기취득 자기주식</t>
        </is>
      </c>
      <c r="J53" s="2" t="inlineStr">
        <is>
          <t>-</t>
        </is>
      </c>
      <c r="K53" s="2" t="inlineStr">
        <is>
          <t>-</t>
        </is>
      </c>
      <c r="L53" s="2" t="inlineStr">
        <is>
          <t>2026-03-17</t>
        </is>
      </c>
      <c r="M53" s="7" t="inlineStr">
        <is>
          <t>-</t>
        </is>
      </c>
      <c r="N53" s="7" t="inlineStr">
        <is>
          <t>주주가치 제고 및 주식소각</t>
        </is>
      </c>
      <c r="O53" s="2" t="inlineStr">
        <is>
          <t>20260310800902</t>
        </is>
      </c>
      <c r="P53" s="8">
        <f>HYPERLINK("https://dart.fss.or.kr/dsaf001/main.do?rcpNo=20260310800902", "공시열람")</f>
        <v/>
      </c>
    </row>
    <row r="54" ht="36" customHeight="1">
      <c r="A54" s="2" t="inlineStr">
        <is>
          <t>2026-03-10 (정정: 2026-06-30)</t>
        </is>
      </c>
      <c r="B54" s="3" t="inlineStr">
        <is>
          <t>메디톡스</t>
        </is>
      </c>
      <c r="C54" s="2" t="inlineStr">
        <is>
          <t>코스닥</t>
        </is>
      </c>
      <c r="D54" s="2" t="inlineStr">
        <is>
          <t>086900</t>
        </is>
      </c>
      <c r="E54" s="7" t="inlineStr">
        <is>
          <t>[기재정정]주식소각결정              (상환전환우선주) (정정: 20260630)</t>
        </is>
      </c>
      <c r="F54" s="2" t="inlineStr">
        <is>
          <t>자기주식소각결정</t>
        </is>
      </c>
      <c r="G54" s="5" t="n">
        <v>76719400485</v>
      </c>
      <c r="H54" s="6" t="inlineStr"/>
      <c r="I54" s="3" t="inlineStr">
        <is>
          <t>장외매수</t>
        </is>
      </c>
      <c r="J54" s="2" t="inlineStr">
        <is>
          <t>-</t>
        </is>
      </c>
      <c r="K54" s="2" t="inlineStr">
        <is>
          <t>-</t>
        </is>
      </c>
      <c r="L54" s="2" t="inlineStr">
        <is>
          <t>2026-09-30</t>
        </is>
      </c>
      <c r="M54" s="7" t="inlineStr">
        <is>
          <t>-</t>
        </is>
      </c>
      <c r="N54" s="7" t="inlineStr">
        <is>
          <t>주주가치 제고 및 주식소각</t>
        </is>
      </c>
      <c r="O54" s="2" t="inlineStr">
        <is>
          <t>20260630900585</t>
        </is>
      </c>
      <c r="P54" s="8">
        <f>HYPERLINK("https://dart.fss.or.kr/dsaf001/main.do?rcpNo=20260630900585", "공시열람")</f>
        <v/>
      </c>
    </row>
    <row r="55" ht="36" customHeight="1">
      <c r="A55" s="2" t="inlineStr">
        <is>
          <t>2026-03-10</t>
        </is>
      </c>
      <c r="B55" s="3" t="inlineStr">
        <is>
          <t>대한조선</t>
        </is>
      </c>
      <c r="C55" s="2" t="inlineStr">
        <is>
          <t>코스피</t>
        </is>
      </c>
      <c r="D55" s="2" t="inlineStr">
        <is>
          <t>439260</t>
        </is>
      </c>
      <c r="E55" s="7" t="inlineStr">
        <is>
          <t>주요사항보고서(자기주식취득신탁계약체결결정)</t>
        </is>
      </c>
      <c r="F55" s="2" t="inlineStr">
        <is>
          <t>신탁계약체결결정</t>
        </is>
      </c>
      <c r="G55" s="5" t="n">
        <v>40000000000</v>
      </c>
      <c r="H55" s="6" t="n">
        <v>374882</v>
      </c>
      <c r="I55" s="3" t="inlineStr">
        <is>
          <t>비고</t>
        </is>
      </c>
      <c r="J55" s="2" t="inlineStr">
        <is>
          <t>2026-03-11</t>
        </is>
      </c>
      <c r="K55" s="2" t="inlineStr">
        <is>
          <t>2026-06-10</t>
        </is>
      </c>
      <c r="L55" s="2" t="inlineStr">
        <is>
          <t>-</t>
        </is>
      </c>
      <c r="M55" s="7" t="inlineStr">
        <is>
          <t>케이비증권(KB Securities co.Ltd.)</t>
        </is>
      </c>
      <c r="N55" s="7" t="inlineStr">
        <is>
          <t>주주가치 제고</t>
        </is>
      </c>
      <c r="O55" s="2" t="inlineStr">
        <is>
          <t>20260310002285</t>
        </is>
      </c>
      <c r="P55" s="8">
        <f>HYPERLINK("https://dart.fss.or.kr/dsaf001/main.do?rcpNo=20260310002285", "공시열람")</f>
        <v/>
      </c>
    </row>
    <row r="56" ht="36" customHeight="1">
      <c r="A56" s="2" t="inlineStr">
        <is>
          <t>2026-03-10</t>
        </is>
      </c>
      <c r="B56" s="3" t="inlineStr">
        <is>
          <t>에프에스티</t>
        </is>
      </c>
      <c r="C56" s="2" t="inlineStr">
        <is>
          <t>코스닥</t>
        </is>
      </c>
      <c r="D56" s="2" t="inlineStr">
        <is>
          <t>036810</t>
        </is>
      </c>
      <c r="E56" s="7" t="inlineStr">
        <is>
          <t xml:space="preserve">주식소각결정              </t>
        </is>
      </c>
      <c r="F56" s="2" t="inlineStr">
        <is>
          <t>자기주식소각결정</t>
        </is>
      </c>
      <c r="G56" s="5" t="n">
        <v>17850000000</v>
      </c>
      <c r="H56" s="6" t="n">
        <v>510000</v>
      </c>
      <c r="I56" s="3" t="inlineStr">
        <is>
          <t>기취득 자기주식</t>
        </is>
      </c>
      <c r="J56" s="2" t="inlineStr">
        <is>
          <t>-</t>
        </is>
      </c>
      <c r="K56" s="2" t="inlineStr">
        <is>
          <t>-</t>
        </is>
      </c>
      <c r="L56" s="2" t="inlineStr">
        <is>
          <t>2026-03-20</t>
        </is>
      </c>
      <c r="M56" s="7" t="inlineStr">
        <is>
          <t>-</t>
        </is>
      </c>
      <c r="N56" s="7" t="inlineStr">
        <is>
          <t>주주가치 제고 및 주식소각</t>
        </is>
      </c>
      <c r="O56" s="2" t="inlineStr">
        <is>
          <t>20260310900385</t>
        </is>
      </c>
      <c r="P56" s="8">
        <f>HYPERLINK("https://dart.fss.or.kr/dsaf001/main.do?rcpNo=20260310900385", "공시열람")</f>
        <v/>
      </c>
    </row>
    <row r="57" ht="36" customHeight="1">
      <c r="A57" s="2" t="inlineStr">
        <is>
          <t>2026-03-11</t>
        </is>
      </c>
      <c r="B57" s="3" t="inlineStr">
        <is>
          <t>웅진씽크빅</t>
        </is>
      </c>
      <c r="C57" s="2" t="inlineStr">
        <is>
          <t>코스피</t>
        </is>
      </c>
      <c r="D57" s="2" t="inlineStr">
        <is>
          <t>095720</t>
        </is>
      </c>
      <c r="E57" s="7" t="inlineStr">
        <is>
          <t xml:space="preserve">주식소각결정              </t>
        </is>
      </c>
      <c r="F57" s="2" t="inlineStr">
        <is>
          <t>자기주식소각결정</t>
        </is>
      </c>
      <c r="G57" s="5" t="n">
        <v>15366129474</v>
      </c>
      <c r="H57" s="6" t="n">
        <v>1851814</v>
      </c>
      <c r="I57" s="3" t="inlineStr">
        <is>
          <t>기취득 자기주식</t>
        </is>
      </c>
      <c r="J57" s="2" t="inlineStr">
        <is>
          <t>-</t>
        </is>
      </c>
      <c r="K57" s="2" t="inlineStr">
        <is>
          <t>-</t>
        </is>
      </c>
      <c r="L57" s="2" t="inlineStr">
        <is>
          <t>2026-03-26</t>
        </is>
      </c>
      <c r="M57" s="7" t="inlineStr">
        <is>
          <t>-</t>
        </is>
      </c>
      <c r="N57" s="7" t="inlineStr">
        <is>
          <t>주주가치 제고 및 주식소각</t>
        </is>
      </c>
      <c r="O57" s="2" t="inlineStr">
        <is>
          <t>20260311802513</t>
        </is>
      </c>
      <c r="P57" s="8">
        <f>HYPERLINK("https://dart.fss.or.kr/dsaf001/main.do?rcpNo=20260311802513", "공시열람")</f>
        <v/>
      </c>
    </row>
    <row r="58" ht="36" customHeight="1">
      <c r="A58" s="2" t="inlineStr">
        <is>
          <t>2026-03-11</t>
        </is>
      </c>
      <c r="B58" s="3" t="inlineStr">
        <is>
          <t>코메론</t>
        </is>
      </c>
      <c r="C58" s="2" t="inlineStr">
        <is>
          <t>코스닥</t>
        </is>
      </c>
      <c r="D58" s="2" t="inlineStr">
        <is>
          <t>049430</t>
        </is>
      </c>
      <c r="E58" s="7" t="inlineStr">
        <is>
          <t>주요사항보고서(자기주식취득신탁계약체결결정)</t>
        </is>
      </c>
      <c r="F58" s="2" t="inlineStr">
        <is>
          <t>신탁계약체결결정</t>
        </is>
      </c>
      <c r="G58" s="5" t="n">
        <v>0</v>
      </c>
      <c r="H58" s="6" t="n">
        <v>593120</v>
      </c>
      <c r="I58" s="3" t="inlineStr">
        <is>
          <t>비고</t>
        </is>
      </c>
      <c r="J58" s="2" t="inlineStr">
        <is>
          <t>2026-03-12</t>
        </is>
      </c>
      <c r="K58" s="2" t="inlineStr">
        <is>
          <t>2026-09-11</t>
        </is>
      </c>
      <c r="L58" s="2" t="inlineStr">
        <is>
          <t>-</t>
        </is>
      </c>
      <c r="M58" s="7" t="inlineStr">
        <is>
          <t>SK 증권</t>
        </is>
      </c>
      <c r="N58" s="7" t="inlineStr">
        <is>
          <t>주가 안정 및 주주가치 제고</t>
        </is>
      </c>
      <c r="O58" s="2" t="inlineStr">
        <is>
          <t>20260311004589</t>
        </is>
      </c>
      <c r="P58" s="8">
        <f>HYPERLINK("https://dart.fss.or.kr/dsaf001/main.do?rcpNo=20260311004589", "공시열람")</f>
        <v/>
      </c>
    </row>
    <row r="59" ht="36" customHeight="1">
      <c r="A59" s="2" t="inlineStr">
        <is>
          <t>2026-03-11 (정정: 2026-03-11)</t>
        </is>
      </c>
      <c r="B59" s="3" t="inlineStr">
        <is>
          <t>한화</t>
        </is>
      </c>
      <c r="C59" s="2" t="inlineStr">
        <is>
          <t>코스피</t>
        </is>
      </c>
      <c r="D59" s="2" t="inlineStr">
        <is>
          <t>000880</t>
        </is>
      </c>
      <c r="E59" s="7" t="inlineStr">
        <is>
          <t xml:space="preserve">[기재정정]주식소각결정              </t>
        </is>
      </c>
      <c r="F59" s="2" t="inlineStr">
        <is>
          <t>자기주식소각결정</t>
        </is>
      </c>
      <c r="G59" s="5" t="n">
        <v>560802816000</v>
      </c>
      <c r="H59" s="6" t="n">
        <v>4450816</v>
      </c>
      <c r="I59" s="3" t="inlineStr">
        <is>
          <t>기취득 자기주식</t>
        </is>
      </c>
      <c r="J59" s="2" t="inlineStr">
        <is>
          <t>-</t>
        </is>
      </c>
      <c r="K59" s="2" t="inlineStr">
        <is>
          <t>-</t>
        </is>
      </c>
      <c r="L59" s="2" t="inlineStr">
        <is>
          <t>2026-04-09</t>
        </is>
      </c>
      <c r="M59" s="7" t="inlineStr">
        <is>
          <t>-</t>
        </is>
      </c>
      <c r="N59" s="7" t="inlineStr">
        <is>
          <t>주주가치 제고 및 주식소각</t>
        </is>
      </c>
      <c r="O59" s="2" t="inlineStr">
        <is>
          <t>20260311801580</t>
        </is>
      </c>
      <c r="P59" s="8">
        <f>HYPERLINK("https://dart.fss.or.kr/dsaf001/main.do?rcpNo=20260311801580", "공시열람")</f>
        <v/>
      </c>
    </row>
    <row r="60" ht="36" customHeight="1">
      <c r="A60" s="2" t="inlineStr">
        <is>
          <t>2026-03-11</t>
        </is>
      </c>
      <c r="B60" s="3" t="inlineStr">
        <is>
          <t>씨젠</t>
        </is>
      </c>
      <c r="C60" s="2" t="inlineStr">
        <is>
          <t>코스닥</t>
        </is>
      </c>
      <c r="D60" s="2" t="inlineStr">
        <is>
          <t>096530</t>
        </is>
      </c>
      <c r="E60" s="7" t="inlineStr">
        <is>
          <t>주요사항보고서(자기주식취득신탁계약해지결정)</t>
        </is>
      </c>
      <c r="F60" s="2" t="inlineStr">
        <is>
          <t>신탁계약체결결정</t>
        </is>
      </c>
      <c r="G60" s="5" t="n">
        <v>30000000000</v>
      </c>
      <c r="H60" s="6" t="inlineStr"/>
      <c r="I60" s="3" t="inlineStr">
        <is>
          <t>비고</t>
        </is>
      </c>
      <c r="J60" s="2" t="inlineStr">
        <is>
          <t>2023-07-14</t>
        </is>
      </c>
      <c r="K60" s="2" t="inlineStr">
        <is>
          <t>2026-12-30</t>
        </is>
      </c>
      <c r="L60" s="2" t="inlineStr">
        <is>
          <t>-</t>
        </is>
      </c>
      <c r="M60" s="7" t="inlineStr">
        <is>
          <t>-</t>
        </is>
      </c>
      <c r="N60" s="7" t="inlineStr">
        <is>
          <t>계약금액 상당의 자사주 매입완료에따른 자기주식 취득 신탁계약 해지</t>
        </is>
      </c>
      <c r="O60" s="2" t="inlineStr">
        <is>
          <t>20260311004060</t>
        </is>
      </c>
      <c r="P60" s="8">
        <f>HYPERLINK("https://dart.fss.or.kr/dsaf001/main.do?rcpNo=20260311004060", "공시열람")</f>
        <v/>
      </c>
    </row>
    <row r="61" ht="36" customHeight="1">
      <c r="A61" s="2" t="inlineStr">
        <is>
          <t>2026-03-11</t>
        </is>
      </c>
      <c r="B61" s="3" t="inlineStr">
        <is>
          <t>금호석유화학</t>
        </is>
      </c>
      <c r="C61" s="2" t="inlineStr">
        <is>
          <t>코스피</t>
        </is>
      </c>
      <c r="D61" s="2" t="inlineStr">
        <is>
          <t>011780</t>
        </is>
      </c>
      <c r="E61" s="7" t="inlineStr">
        <is>
          <t>주요사항보고서(자기주식취득신탁계약체결결정)</t>
        </is>
      </c>
      <c r="F61" s="2" t="inlineStr">
        <is>
          <t>신탁계약체결결정</t>
        </is>
      </c>
      <c r="G61" s="5" t="n">
        <v>30000000000</v>
      </c>
      <c r="H61" s="6" t="n">
        <v>246305</v>
      </c>
      <c r="I61" s="3" t="inlineStr">
        <is>
          <t>비고</t>
        </is>
      </c>
      <c r="J61" s="2" t="inlineStr">
        <is>
          <t>2026-03-19</t>
        </is>
      </c>
      <c r="K61" s="2" t="inlineStr">
        <is>
          <t>2026-09-18</t>
        </is>
      </c>
      <c r="L61" s="2" t="inlineStr">
        <is>
          <t>-</t>
        </is>
      </c>
      <c r="M61" s="7" t="inlineStr">
        <is>
          <t>미래에셋증권(MIRAE ASSET SECURITIES CO., LTD.)</t>
        </is>
      </c>
      <c r="N61" s="7" t="inlineStr">
        <is>
          <t>주주가치 제고를 위한 주주환원정책</t>
        </is>
      </c>
      <c r="O61" s="2" t="inlineStr">
        <is>
          <t>20260311003714</t>
        </is>
      </c>
      <c r="P61" s="8">
        <f>HYPERLINK("https://dart.fss.or.kr/dsaf001/main.do?rcpNo=20260311003714", "공시열람")</f>
        <v/>
      </c>
    </row>
    <row r="62" ht="36" customHeight="1">
      <c r="A62" s="2" t="inlineStr">
        <is>
          <t>2026-03-11</t>
        </is>
      </c>
      <c r="B62" s="3" t="inlineStr">
        <is>
          <t>금호석유화학</t>
        </is>
      </c>
      <c r="C62" s="2" t="inlineStr">
        <is>
          <t>코스피</t>
        </is>
      </c>
      <c r="D62" s="2" t="inlineStr">
        <is>
          <t>011780</t>
        </is>
      </c>
      <c r="E62" s="7" t="inlineStr">
        <is>
          <t xml:space="preserve">주식소각결정              </t>
        </is>
      </c>
      <c r="F62" s="2" t="inlineStr">
        <is>
          <t>자기주식소각결정</t>
        </is>
      </c>
      <c r="G62" s="5" t="n">
        <v>106503990600</v>
      </c>
      <c r="H62" s="6" t="n">
        <v>874417</v>
      </c>
      <c r="I62" s="3" t="inlineStr">
        <is>
          <t>기취득 자기주식</t>
        </is>
      </c>
      <c r="J62" s="2" t="inlineStr">
        <is>
          <t>-</t>
        </is>
      </c>
      <c r="K62" s="2" t="inlineStr">
        <is>
          <t>-</t>
        </is>
      </c>
      <c r="L62" s="2" t="inlineStr">
        <is>
          <t>2026-03-20</t>
        </is>
      </c>
      <c r="M62" s="7" t="inlineStr">
        <is>
          <t>-</t>
        </is>
      </c>
      <c r="N62" s="7" t="inlineStr">
        <is>
          <t>주주가치 제고 및 주식소각</t>
        </is>
      </c>
      <c r="O62" s="2" t="inlineStr">
        <is>
          <t>20260311800919</t>
        </is>
      </c>
      <c r="P62" s="8">
        <f>HYPERLINK("https://dart.fss.or.kr/dsaf001/main.do?rcpNo=20260311800919", "공시열람")</f>
        <v/>
      </c>
    </row>
    <row r="63" ht="36" customHeight="1">
      <c r="A63" s="2" t="inlineStr">
        <is>
          <t>2026-03-11</t>
        </is>
      </c>
      <c r="B63" s="3" t="inlineStr">
        <is>
          <t>빙그레</t>
        </is>
      </c>
      <c r="C63" s="2" t="inlineStr">
        <is>
          <t>코스피</t>
        </is>
      </c>
      <c r="D63" s="2" t="inlineStr">
        <is>
          <t>005180</t>
        </is>
      </c>
      <c r="E63" s="7" t="inlineStr">
        <is>
          <t xml:space="preserve">주식소각결정              </t>
        </is>
      </c>
      <c r="F63" s="2" t="inlineStr">
        <is>
          <t>자기주식소각결정</t>
        </is>
      </c>
      <c r="G63" s="5" t="n">
        <v>6384781384</v>
      </c>
      <c r="H63" s="6" t="n">
        <v>286672</v>
      </c>
      <c r="I63" s="3" t="inlineStr">
        <is>
          <t>기취득 자기주식</t>
        </is>
      </c>
      <c r="J63" s="2" t="inlineStr">
        <is>
          <t>-</t>
        </is>
      </c>
      <c r="K63" s="2" t="inlineStr">
        <is>
          <t>-</t>
        </is>
      </c>
      <c r="L63" s="2" t="inlineStr">
        <is>
          <t>2026-03-26</t>
        </is>
      </c>
      <c r="M63" s="7" t="inlineStr">
        <is>
          <t>-</t>
        </is>
      </c>
      <c r="N63" s="7" t="inlineStr">
        <is>
          <t>주주가치 제고 및 주식소각</t>
        </is>
      </c>
      <c r="O63" s="2" t="inlineStr">
        <is>
          <t>20260311800895</t>
        </is>
      </c>
      <c r="P63" s="8">
        <f>HYPERLINK("https://dart.fss.or.kr/dsaf001/main.do?rcpNo=20260311800895", "공시열람")</f>
        <v/>
      </c>
    </row>
    <row r="64" ht="36" customHeight="1">
      <c r="A64" s="2" t="inlineStr">
        <is>
          <t>2026-03-11</t>
        </is>
      </c>
      <c r="B64" s="3" t="inlineStr">
        <is>
          <t>대아티아이</t>
        </is>
      </c>
      <c r="C64" s="2" t="inlineStr">
        <is>
          <t>코스닥</t>
        </is>
      </c>
      <c r="D64" s="2" t="inlineStr">
        <is>
          <t>045390</t>
        </is>
      </c>
      <c r="E64" s="7" t="inlineStr">
        <is>
          <t>주요사항보고서(자기주식취득신탁계약체결결정)</t>
        </is>
      </c>
      <c r="F64" s="2" t="inlineStr">
        <is>
          <t>신탁계약체결결정</t>
        </is>
      </c>
      <c r="G64" s="5" t="n">
        <v>1000000000</v>
      </c>
      <c r="H64" s="6" t="n">
        <v>219538</v>
      </c>
      <c r="I64" s="3" t="inlineStr">
        <is>
          <t>비고</t>
        </is>
      </c>
      <c r="J64" s="2" t="inlineStr">
        <is>
          <t>2026-03-11</t>
        </is>
      </c>
      <c r="K64" s="2" t="inlineStr">
        <is>
          <t>2027-03-11</t>
        </is>
      </c>
      <c r="L64" s="2" t="inlineStr">
        <is>
          <t>-</t>
        </is>
      </c>
      <c r="M64" s="7" t="inlineStr">
        <is>
          <t>유안타증권(주)(Yuanta Securities Korea Co., Ltd)</t>
        </is>
      </c>
      <c r="N64" s="7" t="inlineStr">
        <is>
          <t>주주가치 제고</t>
        </is>
      </c>
      <c r="O64" s="2" t="inlineStr">
        <is>
          <t>20260311003501</t>
        </is>
      </c>
      <c r="P64" s="8">
        <f>HYPERLINK("https://dart.fss.or.kr/dsaf001/main.do?rcpNo=20260311003501", "공시열람")</f>
        <v/>
      </c>
    </row>
    <row r="65" ht="36" customHeight="1">
      <c r="A65" s="2" t="inlineStr">
        <is>
          <t>2026-03-11</t>
        </is>
      </c>
      <c r="B65" s="3" t="inlineStr">
        <is>
          <t>신성이엔지</t>
        </is>
      </c>
      <c r="C65" s="2" t="inlineStr">
        <is>
          <t>코스피</t>
        </is>
      </c>
      <c r="D65" s="2" t="inlineStr">
        <is>
          <t>011930</t>
        </is>
      </c>
      <c r="E65" s="7" t="inlineStr">
        <is>
          <t xml:space="preserve">주식소각결정              </t>
        </is>
      </c>
      <c r="F65" s="2" t="inlineStr">
        <is>
          <t>자기주식소각결정</t>
        </is>
      </c>
      <c r="G65" s="5" t="n">
        <v>4963680600</v>
      </c>
      <c r="H65" s="6" t="n">
        <v>2282152</v>
      </c>
      <c r="I65" s="3" t="inlineStr">
        <is>
          <t>기취득 자기주식</t>
        </is>
      </c>
      <c r="J65" s="2" t="inlineStr">
        <is>
          <t>-</t>
        </is>
      </c>
      <c r="K65" s="2" t="inlineStr">
        <is>
          <t>-</t>
        </is>
      </c>
      <c r="L65" s="2" t="inlineStr">
        <is>
          <t>2026-05-29</t>
        </is>
      </c>
      <c r="M65" s="7" t="inlineStr">
        <is>
          <t>-</t>
        </is>
      </c>
      <c r="N65" s="7" t="inlineStr">
        <is>
          <t>주주가치 제고 및 주식소각</t>
        </is>
      </c>
      <c r="O65" s="2" t="inlineStr">
        <is>
          <t>20260311800492</t>
        </is>
      </c>
      <c r="P65" s="8">
        <f>HYPERLINK("https://dart.fss.or.kr/dsaf001/main.do?rcpNo=20260311800492", "공시열람")</f>
        <v/>
      </c>
    </row>
    <row r="66" ht="36" customHeight="1">
      <c r="A66" s="2" t="inlineStr">
        <is>
          <t>2026-03-11</t>
        </is>
      </c>
      <c r="B66" s="3" t="inlineStr">
        <is>
          <t>모토닉</t>
        </is>
      </c>
      <c r="C66" s="2" t="inlineStr">
        <is>
          <t>코스피</t>
        </is>
      </c>
      <c r="D66" s="2" t="inlineStr">
        <is>
          <t>009680</t>
        </is>
      </c>
      <c r="E66" s="7" t="inlineStr">
        <is>
          <t xml:space="preserve">주식소각결정              </t>
        </is>
      </c>
      <c r="F66" s="2" t="inlineStr">
        <is>
          <t>자기주식소각결정</t>
        </is>
      </c>
      <c r="G66" s="5" t="n">
        <v>13840341046</v>
      </c>
      <c r="H66" s="6" t="n">
        <v>6316906</v>
      </c>
      <c r="I66" s="3" t="inlineStr">
        <is>
          <t>기취득 자기주식</t>
        </is>
      </c>
      <c r="J66" s="2" t="inlineStr">
        <is>
          <t>-</t>
        </is>
      </c>
      <c r="K66" s="2" t="inlineStr">
        <is>
          <t>-</t>
        </is>
      </c>
      <c r="L66" s="2" t="inlineStr">
        <is>
          <t>2026-03-18</t>
        </is>
      </c>
      <c r="M66" s="7" t="inlineStr">
        <is>
          <t>-</t>
        </is>
      </c>
      <c r="N66" s="7" t="inlineStr">
        <is>
          <t>주주가치 제고 및 주식소각</t>
        </is>
      </c>
      <c r="O66" s="2" t="inlineStr">
        <is>
          <t>20260311800294</t>
        </is>
      </c>
      <c r="P66" s="8">
        <f>HYPERLINK("https://dart.fss.or.kr/dsaf001/main.do?rcpNo=20260311800294", "공시열람")</f>
        <v/>
      </c>
    </row>
    <row r="67" ht="36" customHeight="1">
      <c r="A67" s="2" t="inlineStr">
        <is>
          <t>2026-03-11</t>
        </is>
      </c>
      <c r="B67" s="3" t="inlineStr">
        <is>
          <t>한화</t>
        </is>
      </c>
      <c r="C67" s="2" t="inlineStr">
        <is>
          <t>코스피</t>
        </is>
      </c>
      <c r="D67" s="2" t="inlineStr">
        <is>
          <t>000880</t>
        </is>
      </c>
      <c r="E67" s="7" t="inlineStr">
        <is>
          <t xml:space="preserve">주식소각결정              </t>
        </is>
      </c>
      <c r="F67" s="2" t="inlineStr">
        <is>
          <t>자기주식소각결정</t>
        </is>
      </c>
      <c r="G67" s="5" t="n">
        <v>126376469504</v>
      </c>
      <c r="H67" s="6" t="n">
        <v>4450816</v>
      </c>
      <c r="I67" s="3" t="inlineStr">
        <is>
          <t>기취득 자기주식</t>
        </is>
      </c>
      <c r="J67" s="2" t="inlineStr">
        <is>
          <t>-</t>
        </is>
      </c>
      <c r="K67" s="2" t="inlineStr">
        <is>
          <t>-</t>
        </is>
      </c>
      <c r="L67" s="2" t="inlineStr">
        <is>
          <t>2026-04-09</t>
        </is>
      </c>
      <c r="M67" s="7" t="inlineStr">
        <is>
          <t>-</t>
        </is>
      </c>
      <c r="N67" s="7" t="inlineStr">
        <is>
          <t>주주가치 제고 및 주식소각</t>
        </is>
      </c>
      <c r="O67" s="2" t="inlineStr">
        <is>
          <t>20260311800233</t>
        </is>
      </c>
      <c r="P67" s="8">
        <f>HYPERLINK("https://dart.fss.or.kr/dsaf001/main.do?rcpNo=20260311800233", "공시열람")</f>
        <v/>
      </c>
    </row>
    <row r="68" ht="36" customHeight="1">
      <c r="A68" s="2" t="inlineStr">
        <is>
          <t>2026-03-12</t>
        </is>
      </c>
      <c r="B68" s="3" t="inlineStr">
        <is>
          <t>슈프리마에이치큐</t>
        </is>
      </c>
      <c r="C68" s="2" t="inlineStr">
        <is>
          <t>코스닥</t>
        </is>
      </c>
      <c r="D68" s="2" t="inlineStr">
        <is>
          <t>094840</t>
        </is>
      </c>
      <c r="E68" s="7" t="inlineStr">
        <is>
          <t xml:space="preserve">주식소각결정              </t>
        </is>
      </c>
      <c r="F68" s="2" t="inlineStr">
        <is>
          <t>자기주식소각결정</t>
        </is>
      </c>
      <c r="G68" s="5" t="n">
        <v>4636921896</v>
      </c>
      <c r="H68" s="6" t="n">
        <v>523591</v>
      </c>
      <c r="I68" s="3" t="inlineStr">
        <is>
          <t>기취득 자기주식</t>
        </is>
      </c>
      <c r="J68" s="2" t="inlineStr">
        <is>
          <t>-</t>
        </is>
      </c>
      <c r="K68" s="2" t="inlineStr">
        <is>
          <t>-</t>
        </is>
      </c>
      <c r="L68" s="2" t="inlineStr">
        <is>
          <t>2026-03-25</t>
        </is>
      </c>
      <c r="M68" s="7" t="inlineStr">
        <is>
          <t>-</t>
        </is>
      </c>
      <c r="N68" s="7" t="inlineStr">
        <is>
          <t>주주가치 제고 및 주식소각</t>
        </is>
      </c>
      <c r="O68" s="2" t="inlineStr">
        <is>
          <t>20260312902077</t>
        </is>
      </c>
      <c r="P68" s="8">
        <f>HYPERLINK("https://dart.fss.or.kr/dsaf001/main.do?rcpNo=20260312902077", "공시열람")</f>
        <v/>
      </c>
    </row>
    <row r="69" ht="36" customHeight="1">
      <c r="A69" s="2" t="inlineStr">
        <is>
          <t>2026-03-12</t>
        </is>
      </c>
      <c r="B69" s="3" t="inlineStr">
        <is>
          <t>남양유업</t>
        </is>
      </c>
      <c r="C69" s="2" t="inlineStr">
        <is>
          <t>코스피</t>
        </is>
      </c>
      <c r="D69" s="2" t="inlineStr">
        <is>
          <t>003920</t>
        </is>
      </c>
      <c r="E69" s="7" t="inlineStr">
        <is>
          <t>주요사항보고서(자기주식취득신탁계약체결결정)</t>
        </is>
      </c>
      <c r="F69" s="2" t="inlineStr">
        <is>
          <t>신탁계약체결결정</t>
        </is>
      </c>
      <c r="G69" s="5" t="n">
        <v>0</v>
      </c>
      <c r="H69" s="6" t="n">
        <v>322476</v>
      </c>
      <c r="I69" s="3" t="inlineStr">
        <is>
          <t>비고</t>
        </is>
      </c>
      <c r="J69" s="2" t="inlineStr">
        <is>
          <t>2026-03-12</t>
        </is>
      </c>
      <c r="K69" s="2" t="inlineStr">
        <is>
          <t>2026-07-13</t>
        </is>
      </c>
      <c r="L69" s="2" t="inlineStr">
        <is>
          <t>-</t>
        </is>
      </c>
      <c r="M69" s="7" t="inlineStr">
        <is>
          <t>한국투자증권(주)(Korea Investment &amp; Securities Co., Ltd.)</t>
        </is>
      </c>
      <c r="N69" s="7" t="inlineStr">
        <is>
          <t>주가 안정 및 주주가치 제고</t>
        </is>
      </c>
      <c r="O69" s="2" t="inlineStr">
        <is>
          <t>20260312001101</t>
        </is>
      </c>
      <c r="P69" s="8">
        <f>HYPERLINK("https://dart.fss.or.kr/dsaf001/main.do?rcpNo=20260312001101", "공시열람")</f>
        <v/>
      </c>
    </row>
    <row r="70" ht="36" customHeight="1">
      <c r="A70" s="2" t="inlineStr">
        <is>
          <t>2026-03-12</t>
        </is>
      </c>
      <c r="B70" s="3" t="inlineStr">
        <is>
          <t>하이트진로홀딩스</t>
        </is>
      </c>
      <c r="C70" s="2" t="inlineStr">
        <is>
          <t>코스피</t>
        </is>
      </c>
      <c r="D70" s="2" t="inlineStr">
        <is>
          <t>000140</t>
        </is>
      </c>
      <c r="E70" s="7" t="inlineStr">
        <is>
          <t>주요사항보고서(자기주식취득신탁계약해지결정)</t>
        </is>
      </c>
      <c r="F70" s="2" t="inlineStr">
        <is>
          <t>신탁계약체결결정</t>
        </is>
      </c>
      <c r="G70" s="5" t="n">
        <v>1500000000</v>
      </c>
      <c r="H70" s="6" t="inlineStr"/>
      <c r="I70" s="3" t="inlineStr">
        <is>
          <t>비고</t>
        </is>
      </c>
      <c r="J70" s="2" t="inlineStr">
        <is>
          <t>2021-03-12</t>
        </is>
      </c>
      <c r="K70" s="2" t="inlineStr">
        <is>
          <t>2026-03-12</t>
        </is>
      </c>
      <c r="L70" s="2" t="inlineStr">
        <is>
          <t>-</t>
        </is>
      </c>
      <c r="M70" s="7" t="inlineStr">
        <is>
          <t>-</t>
        </is>
      </c>
      <c r="N70" s="7" t="inlineStr">
        <is>
          <t>계약기간 만료에 따른 해지</t>
        </is>
      </c>
      <c r="O70" s="2" t="inlineStr">
        <is>
          <t>20260312001082</t>
        </is>
      </c>
      <c r="P70" s="8">
        <f>HYPERLINK("https://dart.fss.or.kr/dsaf001/main.do?rcpNo=20260312001082", "공시열람")</f>
        <v/>
      </c>
    </row>
    <row r="71" ht="36" customHeight="1">
      <c r="A71" s="2" t="inlineStr">
        <is>
          <t>2026-03-12</t>
        </is>
      </c>
      <c r="B71" s="3" t="inlineStr">
        <is>
          <t>대덕</t>
        </is>
      </c>
      <c r="C71" s="2" t="inlineStr">
        <is>
          <t>코스피</t>
        </is>
      </c>
      <c r="D71" s="2" t="inlineStr">
        <is>
          <t>008060</t>
        </is>
      </c>
      <c r="E71" s="7" t="inlineStr">
        <is>
          <t xml:space="preserve">주식소각결정(자회사의 주요경영사항)              </t>
        </is>
      </c>
      <c r="F71" s="2" t="inlineStr">
        <is>
          <t>자기주식소각결정</t>
        </is>
      </c>
      <c r="G71" s="5" t="n">
        <v>7000000000</v>
      </c>
      <c r="H71" s="6" t="n">
        <v>952380</v>
      </c>
      <c r="I71" s="3" t="inlineStr">
        <is>
          <t>장내매수</t>
        </is>
      </c>
      <c r="J71" s="2" t="inlineStr">
        <is>
          <t>2026-04-01</t>
        </is>
      </c>
      <c r="K71" s="2" t="inlineStr">
        <is>
          <t>2026-09-30</t>
        </is>
      </c>
      <c r="L71" s="2" t="inlineStr">
        <is>
          <t>-</t>
        </is>
      </c>
      <c r="M71" s="7" t="inlineStr">
        <is>
          <t>삼성증권</t>
        </is>
      </c>
      <c r="N71" s="7" t="inlineStr">
        <is>
          <t>주주가치 제고 및 주식소각</t>
        </is>
      </c>
      <c r="O71" s="2" t="inlineStr">
        <is>
          <t>20260312801707</t>
        </is>
      </c>
      <c r="P71" s="8">
        <f>HYPERLINK("https://dart.fss.or.kr/dsaf001/main.do?rcpNo=20260312801707", "공시열람")</f>
        <v/>
      </c>
    </row>
    <row r="72" ht="36" customHeight="1">
      <c r="A72" s="2" t="inlineStr">
        <is>
          <t>2026-03-12</t>
        </is>
      </c>
      <c r="B72" s="3" t="inlineStr">
        <is>
          <t>와이솔</t>
        </is>
      </c>
      <c r="C72" s="2" t="inlineStr">
        <is>
          <t>코스닥</t>
        </is>
      </c>
      <c r="D72" s="2" t="inlineStr">
        <is>
          <t>122990</t>
        </is>
      </c>
      <c r="E72" s="7" t="inlineStr">
        <is>
          <t xml:space="preserve">주식소각결정              </t>
        </is>
      </c>
      <c r="F72" s="2" t="inlineStr">
        <is>
          <t>자기주식소각결정</t>
        </is>
      </c>
      <c r="G72" s="5" t="n">
        <v>7000000000</v>
      </c>
      <c r="H72" s="6" t="n">
        <v>952380</v>
      </c>
      <c r="I72" s="3" t="inlineStr">
        <is>
          <t>장내매수</t>
        </is>
      </c>
      <c r="J72" s="2" t="inlineStr">
        <is>
          <t>2026-04-01</t>
        </is>
      </c>
      <c r="K72" s="2" t="inlineStr">
        <is>
          <t>2026-09-30</t>
        </is>
      </c>
      <c r="L72" s="2" t="inlineStr">
        <is>
          <t>-</t>
        </is>
      </c>
      <c r="M72" s="7" t="inlineStr">
        <is>
          <t>삼성증권</t>
        </is>
      </c>
      <c r="N72" s="7" t="inlineStr">
        <is>
          <t>주주가치 제고 및 주식소각</t>
        </is>
      </c>
      <c r="O72" s="2" t="inlineStr">
        <is>
          <t>20260312901598</t>
        </is>
      </c>
      <c r="P72" s="8">
        <f>HYPERLINK("https://dart.fss.or.kr/dsaf001/main.do?rcpNo=20260312901598", "공시열람")</f>
        <v/>
      </c>
    </row>
    <row r="73" ht="36" customHeight="1">
      <c r="A73" s="2" t="inlineStr">
        <is>
          <t>2026-03-12</t>
        </is>
      </c>
      <c r="B73" s="3" t="inlineStr">
        <is>
          <t>대덕</t>
        </is>
      </c>
      <c r="C73" s="2" t="inlineStr">
        <is>
          <t>코스피</t>
        </is>
      </c>
      <c r="D73" s="2" t="inlineStr">
        <is>
          <t>008060</t>
        </is>
      </c>
      <c r="E73" s="7" t="inlineStr">
        <is>
          <t xml:space="preserve">주요사항보고서(자기주식취득신탁계약체결결정)(자회사의 주요경영사항)              </t>
        </is>
      </c>
      <c r="F73" s="2" t="inlineStr">
        <is>
          <t>신탁계약체결결정</t>
        </is>
      </c>
      <c r="G73" s="5" t="n">
        <v>7000000000</v>
      </c>
      <c r="H73" s="6" t="n">
        <v>952380</v>
      </c>
      <c r="I73" s="3" t="inlineStr">
        <is>
          <t>비고</t>
        </is>
      </c>
      <c r="J73" s="2" t="inlineStr">
        <is>
          <t>2026-04-01</t>
        </is>
      </c>
      <c r="K73" s="2" t="inlineStr">
        <is>
          <t>2026-09-30</t>
        </is>
      </c>
      <c r="L73" s="2" t="inlineStr">
        <is>
          <t>-</t>
        </is>
      </c>
      <c r="M73" s="7" t="inlineStr">
        <is>
          <t>삼성증권(SAMSUNG SECURITIES CO.,LTD)</t>
        </is>
      </c>
      <c r="N73" s="7" t="inlineStr">
        <is>
          <t>자기주식 취득 및 소각을 통한주주가치 제고</t>
        </is>
      </c>
      <c r="O73" s="2" t="inlineStr">
        <is>
          <t>20260312801544</t>
        </is>
      </c>
      <c r="P73" s="8">
        <f>HYPERLINK("https://dart.fss.or.kr/dsaf001/main.do?rcpNo=20260312801544", "공시열람")</f>
        <v/>
      </c>
    </row>
    <row r="74" ht="36" customHeight="1">
      <c r="A74" s="2" t="inlineStr">
        <is>
          <t>2026-03-12</t>
        </is>
      </c>
      <c r="B74" s="3" t="inlineStr">
        <is>
          <t>와이솔</t>
        </is>
      </c>
      <c r="C74" s="2" t="inlineStr">
        <is>
          <t>코스닥</t>
        </is>
      </c>
      <c r="D74" s="2" t="inlineStr">
        <is>
          <t>122990</t>
        </is>
      </c>
      <c r="E74" s="7" t="inlineStr">
        <is>
          <t>주요사항보고서(자기주식취득신탁계약체결결정)</t>
        </is>
      </c>
      <c r="F74" s="2" t="inlineStr">
        <is>
          <t>신탁계약체결결정</t>
        </is>
      </c>
      <c r="G74" s="5" t="n">
        <v>7000000000</v>
      </c>
      <c r="H74" s="6" t="n">
        <v>952380</v>
      </c>
      <c r="I74" s="3" t="inlineStr">
        <is>
          <t>비고</t>
        </is>
      </c>
      <c r="J74" s="2" t="inlineStr">
        <is>
          <t>2026-04-01</t>
        </is>
      </c>
      <c r="K74" s="2" t="inlineStr">
        <is>
          <t>2026-09-30</t>
        </is>
      </c>
      <c r="L74" s="2" t="inlineStr">
        <is>
          <t>-</t>
        </is>
      </c>
      <c r="M74" s="7" t="inlineStr">
        <is>
          <t>삼성증권( SAMSUNG SECURITIES CO.,LTD)</t>
        </is>
      </c>
      <c r="N74" s="7" t="inlineStr">
        <is>
          <t>자기주식 취득 및 소각을 통한주주가치 제고</t>
        </is>
      </c>
      <c r="O74" s="2" t="inlineStr">
        <is>
          <t>20260312000816</t>
        </is>
      </c>
      <c r="P74" s="8">
        <f>HYPERLINK("https://dart.fss.or.kr/dsaf001/main.do?rcpNo=20260312000816", "공시열람")</f>
        <v/>
      </c>
    </row>
    <row r="75" ht="36" customHeight="1">
      <c r="A75" s="2" t="inlineStr">
        <is>
          <t>2026-00-06 (정정: 2026-03-12)</t>
        </is>
      </c>
      <c r="B75" s="3" t="inlineStr">
        <is>
          <t>CS홀딩스</t>
        </is>
      </c>
      <c r="C75" s="2" t="inlineStr">
        <is>
          <t>코스피</t>
        </is>
      </c>
      <c r="D75" s="2" t="inlineStr">
        <is>
          <t>000590</t>
        </is>
      </c>
      <c r="E75" s="7" t="inlineStr">
        <is>
          <t xml:space="preserve">[기재정정]주요사항보고서(자기주식취득신탁계약해지결정)(자회사의 주요경영사항)              </t>
        </is>
      </c>
      <c r="F75" s="2" t="inlineStr">
        <is>
          <t>신탁계약체결결정</t>
        </is>
      </c>
      <c r="G75" s="5" t="n">
        <v>5000000000</v>
      </c>
      <c r="H75" s="6" t="inlineStr"/>
      <c r="I75" s="3" t="inlineStr">
        <is>
          <t>비고</t>
        </is>
      </c>
      <c r="J75" s="2" t="inlineStr">
        <is>
          <t>2025-02-07</t>
        </is>
      </c>
      <c r="K75" s="2" t="inlineStr">
        <is>
          <t>2026-02-06</t>
        </is>
      </c>
      <c r="L75" s="2" t="inlineStr">
        <is>
          <t>-</t>
        </is>
      </c>
      <c r="M75" s="7" t="inlineStr">
        <is>
          <t>-</t>
        </is>
      </c>
      <c r="N75" s="7" t="inlineStr">
        <is>
          <t>신탁계약기간만료</t>
        </is>
      </c>
      <c r="O75" s="2" t="inlineStr">
        <is>
          <t>20260312801004</t>
        </is>
      </c>
      <c r="P75" s="8">
        <f>HYPERLINK("https://dart.fss.or.kr/dsaf001/main.do?rcpNo=20260312801004", "공시열람")</f>
        <v/>
      </c>
    </row>
    <row r="76" ht="36" customHeight="1">
      <c r="A76" s="2" t="inlineStr">
        <is>
          <t>2026-00-06 (정정: 2026-03-12)</t>
        </is>
      </c>
      <c r="B76" s="3" t="inlineStr">
        <is>
          <t>조선선재</t>
        </is>
      </c>
      <c r="C76" s="2" t="inlineStr">
        <is>
          <t>코스피</t>
        </is>
      </c>
      <c r="D76" s="2" t="inlineStr">
        <is>
          <t>120030</t>
        </is>
      </c>
      <c r="E76" s="7" t="inlineStr">
        <is>
          <t>[기재정정]주요사항보고서(자기주식취득신탁계약해지결정)</t>
        </is>
      </c>
      <c r="F76" s="2" t="inlineStr">
        <is>
          <t>신탁계약체결결정</t>
        </is>
      </c>
      <c r="G76" s="5" t="n">
        <v>5000000000</v>
      </c>
      <c r="H76" s="6" t="inlineStr"/>
      <c r="I76" s="3" t="inlineStr">
        <is>
          <t>비고</t>
        </is>
      </c>
      <c r="J76" s="2" t="inlineStr">
        <is>
          <t>2025-02-07</t>
        </is>
      </c>
      <c r="K76" s="2" t="inlineStr">
        <is>
          <t>2026-02-06</t>
        </is>
      </c>
      <c r="L76" s="2" t="inlineStr">
        <is>
          <t>-</t>
        </is>
      </c>
      <c r="M76" s="7" t="inlineStr">
        <is>
          <t>-</t>
        </is>
      </c>
      <c r="N76" s="7" t="inlineStr">
        <is>
          <t>신탁계약기간만료</t>
        </is>
      </c>
      <c r="O76" s="2" t="inlineStr">
        <is>
          <t>20260312000672</t>
        </is>
      </c>
      <c r="P76" s="8">
        <f>HYPERLINK("https://dart.fss.or.kr/dsaf001/main.do?rcpNo=20260312000672", "공시열람")</f>
        <v/>
      </c>
    </row>
    <row r="77" ht="36" customHeight="1">
      <c r="A77" s="2" t="inlineStr">
        <is>
          <t>2026-03-12</t>
        </is>
      </c>
      <c r="B77" s="3" t="inlineStr">
        <is>
          <t>코리안리</t>
        </is>
      </c>
      <c r="C77" s="2" t="inlineStr">
        <is>
          <t>코스피</t>
        </is>
      </c>
      <c r="D77" s="2" t="inlineStr">
        <is>
          <t>003690</t>
        </is>
      </c>
      <c r="E77" s="7" t="inlineStr">
        <is>
          <t xml:space="preserve">주식소각결정              </t>
        </is>
      </c>
      <c r="F77" s="2" t="inlineStr">
        <is>
          <t>자기주식소각결정</t>
        </is>
      </c>
      <c r="G77" s="5" t="n">
        <v>245436000000</v>
      </c>
      <c r="H77" s="6" t="n">
        <v>18100000</v>
      </c>
      <c r="I77" s="3" t="inlineStr">
        <is>
          <t>기취득 자기주식</t>
        </is>
      </c>
      <c r="J77" s="2" t="inlineStr">
        <is>
          <t>-</t>
        </is>
      </c>
      <c r="K77" s="2" t="inlineStr">
        <is>
          <t>-</t>
        </is>
      </c>
      <c r="L77" s="2" t="inlineStr">
        <is>
          <t>2026-03-31</t>
        </is>
      </c>
      <c r="M77" s="7" t="inlineStr">
        <is>
          <t>-</t>
        </is>
      </c>
      <c r="N77" s="7" t="inlineStr">
        <is>
          <t>주주가치 제고 및 주식소각</t>
        </is>
      </c>
      <c r="O77" s="2" t="inlineStr">
        <is>
          <t>20260312800896</t>
        </is>
      </c>
      <c r="P77" s="8">
        <f>HYPERLINK("https://dart.fss.or.kr/dsaf001/main.do?rcpNo=20260312800896", "공시열람")</f>
        <v/>
      </c>
    </row>
    <row r="78" ht="36" customHeight="1">
      <c r="A78" s="2" t="inlineStr">
        <is>
          <t>2026-03-12</t>
        </is>
      </c>
      <c r="B78" s="3" t="inlineStr">
        <is>
          <t>실리콘투</t>
        </is>
      </c>
      <c r="C78" s="2" t="inlineStr">
        <is>
          <t>코스닥</t>
        </is>
      </c>
      <c r="D78" s="2" t="inlineStr">
        <is>
          <t>257720</t>
        </is>
      </c>
      <c r="E78" s="7" t="inlineStr">
        <is>
          <t>주요사항보고서(자기주식취득신탁계약해지결정)</t>
        </is>
      </c>
      <c r="F78" s="2" t="inlineStr">
        <is>
          <t>신탁계약체결결정</t>
        </is>
      </c>
      <c r="G78" s="5" t="n">
        <v>5000000000</v>
      </c>
      <c r="H78" s="6" t="inlineStr"/>
      <c r="I78" s="3" t="inlineStr">
        <is>
          <t>비고</t>
        </is>
      </c>
      <c r="J78" s="2" t="inlineStr">
        <is>
          <t>2026-02-24</t>
        </is>
      </c>
      <c r="K78" s="2" t="inlineStr">
        <is>
          <t>2027-02-23</t>
        </is>
      </c>
      <c r="L78" s="2" t="inlineStr">
        <is>
          <t>-</t>
        </is>
      </c>
      <c r="M78" s="7" t="inlineStr">
        <is>
          <t>-</t>
        </is>
      </c>
      <c r="N78" s="7" t="inlineStr">
        <is>
          <t>자기주식 취득 완료에 따른 중도 해지</t>
        </is>
      </c>
      <c r="O78" s="2" t="inlineStr">
        <is>
          <t>20260312000560</t>
        </is>
      </c>
      <c r="P78" s="8">
        <f>HYPERLINK("https://dart.fss.or.kr/dsaf001/main.do?rcpNo=20260312000560", "공시열람")</f>
        <v/>
      </c>
    </row>
    <row r="79" ht="36" customHeight="1">
      <c r="A79" s="2" t="inlineStr">
        <is>
          <t>2026-04-16</t>
        </is>
      </c>
      <c r="B79" s="3" t="inlineStr">
        <is>
          <t>케이티앤지</t>
        </is>
      </c>
      <c r="C79" s="2" t="inlineStr">
        <is>
          <t>코스피</t>
        </is>
      </c>
      <c r="D79" s="2" t="inlineStr">
        <is>
          <t>033780</t>
        </is>
      </c>
      <c r="E79" s="7" t="inlineStr">
        <is>
          <t xml:space="preserve">주식소각결정              </t>
        </is>
      </c>
      <c r="F79" s="2" t="inlineStr">
        <is>
          <t>자기주식소각결정</t>
        </is>
      </c>
      <c r="G79" s="5" t="n">
        <v>1851598605600</v>
      </c>
      <c r="H79" s="6" t="n">
        <v>10866189</v>
      </c>
      <c r="I79" s="3" t="inlineStr">
        <is>
          <t>기취득 자기주식</t>
        </is>
      </c>
      <c r="J79" s="2" t="inlineStr">
        <is>
          <t>-</t>
        </is>
      </c>
      <c r="K79" s="2" t="inlineStr">
        <is>
          <t>-</t>
        </is>
      </c>
      <c r="L79" s="2" t="inlineStr">
        <is>
          <t>2026-04-23</t>
        </is>
      </c>
      <c r="M79" s="7" t="inlineStr">
        <is>
          <t>-</t>
        </is>
      </c>
      <c r="N79" s="7" t="inlineStr">
        <is>
          <t>주주가치 제고 및 주식소각</t>
        </is>
      </c>
      <c r="O79" s="2" t="inlineStr">
        <is>
          <t>20260416800490</t>
        </is>
      </c>
      <c r="P79" s="8">
        <f>HYPERLINK("https://dart.fss.or.kr/dsaf001/main.do?rcpNo=20260416800490", "공시열람")</f>
        <v/>
      </c>
    </row>
    <row r="80" ht="36" customHeight="1">
      <c r="A80" s="2" t="inlineStr">
        <is>
          <t>2026-05-20</t>
        </is>
      </c>
      <c r="B80" s="3" t="inlineStr">
        <is>
          <t>JTC</t>
        </is>
      </c>
      <c r="C80" s="2" t="inlineStr">
        <is>
          <t>코스닥</t>
        </is>
      </c>
      <c r="D80" s="2" t="inlineStr">
        <is>
          <t>950170</t>
        </is>
      </c>
      <c r="E80" s="7" t="inlineStr">
        <is>
          <t xml:space="preserve">주식소각결정              </t>
        </is>
      </c>
      <c r="F80" s="2" t="inlineStr">
        <is>
          <t>자기주식소각결정</t>
        </is>
      </c>
      <c r="G80" s="5" t="n">
        <v>14999998884</v>
      </c>
      <c r="H80" s="6" t="n">
        <v>2973233</v>
      </c>
      <c r="I80" s="3" t="inlineStr">
        <is>
          <t>기취득 자기주식</t>
        </is>
      </c>
      <c r="J80" s="2" t="inlineStr">
        <is>
          <t>-</t>
        </is>
      </c>
      <c r="K80" s="2" t="inlineStr">
        <is>
          <t>-</t>
        </is>
      </c>
      <c r="L80" s="2" t="inlineStr">
        <is>
          <t>2026-07-21</t>
        </is>
      </c>
      <c r="M80" s="7" t="inlineStr">
        <is>
          <t>-</t>
        </is>
      </c>
      <c r="N80" s="7" t="inlineStr">
        <is>
          <t>주주가치 제고 및 주식소각</t>
        </is>
      </c>
      <c r="O80" s="2" t="inlineStr">
        <is>
          <t>20260520900710</t>
        </is>
      </c>
      <c r="P80" s="8">
        <f>HYPERLINK("https://dart.fss.or.kr/dsaf001/main.do?rcpNo=20260520900710", "공시열람")</f>
        <v/>
      </c>
    </row>
    <row r="81" ht="36" customHeight="1">
      <c r="A81" s="2" t="inlineStr">
        <is>
          <t>2026-05-20</t>
        </is>
      </c>
      <c r="B81" s="3" t="inlineStr">
        <is>
          <t>리메드</t>
        </is>
      </c>
      <c r="C81" s="2" t="inlineStr">
        <is>
          <t>코스닥</t>
        </is>
      </c>
      <c r="D81" s="2" t="inlineStr">
        <is>
          <t>302550</t>
        </is>
      </c>
      <c r="E81" s="7" t="inlineStr">
        <is>
          <t>주요사항보고서(자기주식취득신탁계약체결결정)</t>
        </is>
      </c>
      <c r="F81" s="2" t="inlineStr">
        <is>
          <t>신탁계약체결결정</t>
        </is>
      </c>
      <c r="G81" s="5" t="n">
        <v>2000000000</v>
      </c>
      <c r="H81" s="6" t="n">
        <v>715563</v>
      </c>
      <c r="I81" s="3" t="inlineStr">
        <is>
          <t>비고</t>
        </is>
      </c>
      <c r="J81" s="2" t="inlineStr">
        <is>
          <t>2026-05-21</t>
        </is>
      </c>
      <c r="K81" s="2" t="inlineStr">
        <is>
          <t>2026-11-20</t>
        </is>
      </c>
      <c r="L81" s="2" t="inlineStr">
        <is>
          <t>-</t>
        </is>
      </c>
      <c r="M81" s="7" t="inlineStr">
        <is>
          <t>신한투자증권</t>
        </is>
      </c>
      <c r="N81" s="7" t="inlineStr">
        <is>
          <t>주주가치제고</t>
        </is>
      </c>
      <c r="O81" s="2" t="inlineStr">
        <is>
          <t>20260520000306</t>
        </is>
      </c>
      <c r="P81" s="8">
        <f>HYPERLINK("https://dart.fss.or.kr/dsaf001/main.do?rcpNo=20260520000306", "공시열람")</f>
        <v/>
      </c>
    </row>
    <row r="82" ht="36" customHeight="1">
      <c r="A82" s="2" t="inlineStr">
        <is>
          <t>2026-05-20</t>
        </is>
      </c>
      <c r="B82" s="3" t="inlineStr">
        <is>
          <t>리메드</t>
        </is>
      </c>
      <c r="C82" s="2" t="inlineStr">
        <is>
          <t>코스닥</t>
        </is>
      </c>
      <c r="D82" s="2" t="inlineStr">
        <is>
          <t>302550</t>
        </is>
      </c>
      <c r="E82" s="7" t="inlineStr">
        <is>
          <t>주요사항보고서(자기주식취득신탁계약해지결정)</t>
        </is>
      </c>
      <c r="F82" s="2" t="inlineStr">
        <is>
          <t>신탁계약체결결정</t>
        </is>
      </c>
      <c r="G82" s="5" t="n">
        <v>2000000000</v>
      </c>
      <c r="H82" s="6" t="inlineStr"/>
      <c r="I82" s="3" t="inlineStr">
        <is>
          <t>비고</t>
        </is>
      </c>
      <c r="J82" s="2" t="inlineStr">
        <is>
          <t>2026-02-09</t>
        </is>
      </c>
      <c r="K82" s="2" t="inlineStr">
        <is>
          <t>2026-08-08</t>
        </is>
      </c>
      <c r="L82" s="2" t="inlineStr">
        <is>
          <t>-</t>
        </is>
      </c>
      <c r="M82" s="7" t="inlineStr">
        <is>
          <t>-</t>
        </is>
      </c>
      <c r="N82" s="7" t="inlineStr">
        <is>
          <t>자기주식 취득완료에 따른 중도해지</t>
        </is>
      </c>
      <c r="O82" s="2" t="inlineStr">
        <is>
          <t>20260520000269</t>
        </is>
      </c>
      <c r="P82" s="8">
        <f>HYPERLINK("https://dart.fss.or.kr/dsaf001/main.do?rcpNo=20260520000269", "공시열람")</f>
        <v/>
      </c>
    </row>
    <row r="83" ht="36" customHeight="1">
      <c r="A83" s="2" t="inlineStr">
        <is>
          <t>2026-05-20 (정정: 2026-06-19)</t>
        </is>
      </c>
      <c r="B83" s="3" t="inlineStr">
        <is>
          <t>케이피에프</t>
        </is>
      </c>
      <c r="C83" s="2" t="inlineStr">
        <is>
          <t>코스닥</t>
        </is>
      </c>
      <c r="D83" s="2" t="inlineStr">
        <is>
          <t>024880</t>
        </is>
      </c>
      <c r="E83" s="7" t="inlineStr">
        <is>
          <t>주식소각결정               (정정: 20260619)</t>
        </is>
      </c>
      <c r="F83" s="2" t="inlineStr">
        <is>
          <t>자기주식소각결정</t>
        </is>
      </c>
      <c r="G83" s="5" t="n">
        <v>999878249</v>
      </c>
      <c r="H83" s="6" t="n">
        <v>221130</v>
      </c>
      <c r="I83" s="3" t="inlineStr">
        <is>
          <t>장내매수</t>
        </is>
      </c>
      <c r="J83" s="2" t="inlineStr">
        <is>
          <t>2026-05-21</t>
        </is>
      </c>
      <c r="K83" s="2" t="inlineStr">
        <is>
          <t>2026-06-19</t>
        </is>
      </c>
      <c r="L83" s="2" t="inlineStr">
        <is>
          <t>2026-06-29</t>
        </is>
      </c>
      <c r="M83" s="7" t="inlineStr">
        <is>
          <t>미래에셋증권(주) (MIRAE ASSET SECURITIES CO., LTD.)</t>
        </is>
      </c>
      <c r="N83" s="7" t="inlineStr">
        <is>
          <t>주주가치 제고 및 주식소각</t>
        </is>
      </c>
      <c r="O83" s="2" t="inlineStr">
        <is>
          <t>20260619900568</t>
        </is>
      </c>
      <c r="P83" s="8">
        <f>HYPERLINK("https://dart.fss.or.kr/dsaf001/main.do?rcpNo=20260619900568", "공시열람")</f>
        <v/>
      </c>
    </row>
    <row r="84" ht="36" customHeight="1">
      <c r="A84" s="2" t="inlineStr">
        <is>
          <t>2026-05-20</t>
        </is>
      </c>
      <c r="B84" s="3" t="inlineStr">
        <is>
          <t>케이피에프</t>
        </is>
      </c>
      <c r="C84" s="2" t="inlineStr">
        <is>
          <t>코스닥</t>
        </is>
      </c>
      <c r="D84" s="2" t="inlineStr">
        <is>
          <t>024880</t>
        </is>
      </c>
      <c r="E84" s="7" t="inlineStr">
        <is>
          <t>주요사항보고서(자기주식취득결정)</t>
        </is>
      </c>
      <c r="F84" s="2" t="inlineStr">
        <is>
          <t>자기주식취득결정</t>
        </is>
      </c>
      <c r="G84" s="5" t="n">
        <v>1000000000</v>
      </c>
      <c r="H84" s="6" t="n">
        <v>189393</v>
      </c>
      <c r="I84" s="3" t="inlineStr">
        <is>
          <t>비고</t>
        </is>
      </c>
      <c r="J84" s="2" t="inlineStr">
        <is>
          <t>2026-05-21</t>
        </is>
      </c>
      <c r="K84" s="2" t="inlineStr">
        <is>
          <t>2026-06-19</t>
        </is>
      </c>
      <c r="L84" s="2" t="inlineStr">
        <is>
          <t>-</t>
        </is>
      </c>
      <c r="M84" s="7" t="inlineStr">
        <is>
          <t>미래에셋증권(주)(MIRAE ASSET SECURITIES CO., LTD.)</t>
        </is>
      </c>
      <c r="N84" s="7" t="inlineStr">
        <is>
          <t>2025년 발표 주주환원정책 이행 및주주가치 제고</t>
        </is>
      </c>
      <c r="O84" s="2" t="inlineStr">
        <is>
          <t>20260520000175</t>
        </is>
      </c>
      <c r="P84" s="8">
        <f>HYPERLINK("https://dart.fss.or.kr/dsaf001/main.do?rcpNo=20260520000175", "공시열람")</f>
        <v/>
      </c>
    </row>
    <row r="85" ht="36" customHeight="1">
      <c r="A85" s="2" t="inlineStr">
        <is>
          <t>2026-05-21</t>
        </is>
      </c>
      <c r="B85" s="3" t="inlineStr">
        <is>
          <t>코리아에프티</t>
        </is>
      </c>
      <c r="C85" s="2" t="inlineStr">
        <is>
          <t>코스닥</t>
        </is>
      </c>
      <c r="D85" s="2" t="inlineStr">
        <is>
          <t>123410</t>
        </is>
      </c>
      <c r="E85" s="7" t="inlineStr">
        <is>
          <t>주요사항보고서(자기주식취득신탁계약체결결정)</t>
        </is>
      </c>
      <c r="F85" s="2" t="inlineStr">
        <is>
          <t>신탁계약체결결정</t>
        </is>
      </c>
      <c r="G85" s="5" t="n">
        <v>10000000000</v>
      </c>
      <c r="H85" s="6" t="n">
        <v>1677852</v>
      </c>
      <c r="I85" s="3" t="inlineStr">
        <is>
          <t>비고</t>
        </is>
      </c>
      <c r="J85" s="2" t="inlineStr">
        <is>
          <t>2026-05-26</t>
        </is>
      </c>
      <c r="K85" s="2" t="inlineStr">
        <is>
          <t>2026-11-25</t>
        </is>
      </c>
      <c r="L85" s="2" t="inlineStr">
        <is>
          <t>-</t>
        </is>
      </c>
      <c r="M85" s="7" t="inlineStr">
        <is>
          <t>한국투자증권(Korea Investment &amp; Securities Co., Ltd.)</t>
        </is>
      </c>
      <c r="N85" s="7" t="inlineStr">
        <is>
          <t>주가 안정 및 주주가치 제고</t>
        </is>
      </c>
      <c r="O85" s="2" t="inlineStr">
        <is>
          <t>20260521000710</t>
        </is>
      </c>
      <c r="P85" s="8">
        <f>HYPERLINK("https://dart.fss.or.kr/dsaf001/main.do?rcpNo=20260521000710", "공시열람")</f>
        <v/>
      </c>
    </row>
    <row r="86" ht="36" customHeight="1">
      <c r="A86" s="2" t="inlineStr">
        <is>
          <t>2026-05-21</t>
        </is>
      </c>
      <c r="B86" s="3" t="inlineStr">
        <is>
          <t>아이패밀리에스씨</t>
        </is>
      </c>
      <c r="C86" s="2" t="inlineStr">
        <is>
          <t>코스닥</t>
        </is>
      </c>
      <c r="D86" s="2" t="inlineStr">
        <is>
          <t>114840</t>
        </is>
      </c>
      <c r="E86" s="7" t="inlineStr">
        <is>
          <t>주요사항보고서(자기주식취득신탁계약체결결정)</t>
        </is>
      </c>
      <c r="F86" s="2" t="inlineStr">
        <is>
          <t>신탁계약체결결정</t>
        </is>
      </c>
      <c r="G86" s="5" t="n">
        <v>5000000000</v>
      </c>
      <c r="H86" s="6" t="n">
        <v>573394</v>
      </c>
      <c r="I86" s="3" t="inlineStr">
        <is>
          <t>비고</t>
        </is>
      </c>
      <c r="J86" s="2" t="inlineStr">
        <is>
          <t>2026-05-21</t>
        </is>
      </c>
      <c r="K86" s="2" t="inlineStr">
        <is>
          <t>2026-11-20</t>
        </is>
      </c>
      <c r="L86" s="2" t="inlineStr">
        <is>
          <t>-</t>
        </is>
      </c>
      <c r="M86" s="7" t="inlineStr">
        <is>
          <t>NH투자증권(NH INVESTMENT &amp; SECURITIES CO.,LTD.)</t>
        </is>
      </c>
      <c r="N86" s="7" t="inlineStr">
        <is>
          <t>주가안정 및 주주가치 제고</t>
        </is>
      </c>
      <c r="O86" s="2" t="inlineStr">
        <is>
          <t>20260521000136</t>
        </is>
      </c>
      <c r="P86" s="8">
        <f>HYPERLINK("https://dart.fss.or.kr/dsaf001/main.do?rcpNo=20260521000136", "공시열람")</f>
        <v/>
      </c>
    </row>
    <row r="87" ht="36" customHeight="1">
      <c r="A87" s="2" t="inlineStr">
        <is>
          <t>2026-05-21</t>
        </is>
      </c>
      <c r="B87" s="3" t="inlineStr">
        <is>
          <t>셀트리온</t>
        </is>
      </c>
      <c r="C87" s="2" t="inlineStr">
        <is>
          <t>코스피</t>
        </is>
      </c>
      <c r="D87" s="2" t="inlineStr">
        <is>
          <t>068270</t>
        </is>
      </c>
      <c r="E87" s="7" t="inlineStr">
        <is>
          <t>주요사항보고서(자기주식취득결정)</t>
        </is>
      </c>
      <c r="F87" s="2" t="inlineStr">
        <is>
          <t>자기주식취득결정</t>
        </is>
      </c>
      <c r="G87" s="5" t="n">
        <v>100000071600</v>
      </c>
      <c r="H87" s="6" t="n">
        <v>557414</v>
      </c>
      <c r="I87" s="3" t="inlineStr">
        <is>
          <t>비고</t>
        </is>
      </c>
      <c r="J87" s="2" t="inlineStr">
        <is>
          <t>2026-06-08</t>
        </is>
      </c>
      <c r="K87" s="2" t="inlineStr">
        <is>
          <t>2026-08-21</t>
        </is>
      </c>
      <c r="L87" s="2" t="inlineStr">
        <is>
          <t>-</t>
        </is>
      </c>
      <c r="M87" s="7" t="inlineStr">
        <is>
          <t>NH투자증권(NH INVESTMENT &amp; SECURITIES CO., LTD.)</t>
        </is>
      </c>
      <c r="N87" s="7" t="inlineStr">
        <is>
          <t>주가 안정 및 주주가치 제고</t>
        </is>
      </c>
      <c r="O87" s="2" t="inlineStr">
        <is>
          <t>20260521000061</t>
        </is>
      </c>
      <c r="P87" s="8">
        <f>HYPERLINK("https://dart.fss.or.kr/dsaf001/main.do?rcpNo=20260521000061", "공시열람")</f>
        <v/>
      </c>
    </row>
    <row r="88" ht="36" customHeight="1">
      <c r="A88" s="2" t="inlineStr">
        <is>
          <t>2026-03-23 (정정: 2026-05-21)</t>
        </is>
      </c>
      <c r="B88" s="3" t="inlineStr">
        <is>
          <t>한국특강</t>
        </is>
      </c>
      <c r="C88" s="2" t="inlineStr">
        <is>
          <t>코스피</t>
        </is>
      </c>
      <c r="D88" s="2" t="inlineStr">
        <is>
          <t>007280</t>
        </is>
      </c>
      <c r="E88" s="7" t="inlineStr">
        <is>
          <t xml:space="preserve">[기재정정]주식소각결정              </t>
        </is>
      </c>
      <c r="F88" s="2" t="inlineStr">
        <is>
          <t>자기주식소각결정</t>
        </is>
      </c>
      <c r="G88" s="5" t="n">
        <v>4819194870</v>
      </c>
      <c r="H88" s="6" t="n">
        <v>1760115</v>
      </c>
      <c r="I88" s="3" t="inlineStr">
        <is>
          <t>기취득 자기주식</t>
        </is>
      </c>
      <c r="J88" s="2" t="inlineStr">
        <is>
          <t>-</t>
        </is>
      </c>
      <c r="K88" s="2" t="inlineStr">
        <is>
          <t>-</t>
        </is>
      </c>
      <c r="L88" s="2" t="inlineStr">
        <is>
          <t>2026-05-28</t>
        </is>
      </c>
      <c r="M88" s="7" t="inlineStr">
        <is>
          <t>-</t>
        </is>
      </c>
      <c r="N88" s="7" t="inlineStr">
        <is>
          <t>주주가치 제고 및 주식소각</t>
        </is>
      </c>
      <c r="O88" s="2" t="inlineStr">
        <is>
          <t>20260521800173</t>
        </is>
      </c>
      <c r="P88" s="8">
        <f>HYPERLINK("https://dart.fss.or.kr/dsaf001/main.do?rcpNo=20260521800173", "공시열람")</f>
        <v/>
      </c>
    </row>
    <row r="89" ht="36" customHeight="1">
      <c r="A89" s="2" t="inlineStr">
        <is>
          <t>2026-05-22</t>
        </is>
      </c>
      <c r="B89" s="3" t="inlineStr">
        <is>
          <t>LG</t>
        </is>
      </c>
      <c r="C89" s="2" t="inlineStr">
        <is>
          <t>코스피</t>
        </is>
      </c>
      <c r="D89" s="2" t="inlineStr">
        <is>
          <t>003550</t>
        </is>
      </c>
      <c r="E89" s="7" t="inlineStr">
        <is>
          <t xml:space="preserve">주식소각결정              </t>
        </is>
      </c>
      <c r="F89" s="2" t="inlineStr">
        <is>
          <t>자기주식소각결정</t>
        </is>
      </c>
      <c r="G89" s="5" t="n">
        <v>250000025960</v>
      </c>
      <c r="H89" s="6" t="n">
        <v>3029581</v>
      </c>
      <c r="I89" s="3" t="inlineStr">
        <is>
          <t>기취득 자기주식</t>
        </is>
      </c>
      <c r="J89" s="2" t="inlineStr">
        <is>
          <t>-</t>
        </is>
      </c>
      <c r="K89" s="2" t="inlineStr">
        <is>
          <t>-</t>
        </is>
      </c>
      <c r="L89" s="2" t="inlineStr">
        <is>
          <t>2026-05-28</t>
        </is>
      </c>
      <c r="M89" s="7" t="inlineStr">
        <is>
          <t>-</t>
        </is>
      </c>
      <c r="N89" s="7" t="inlineStr">
        <is>
          <t>주주가치 제고 및 주식소각</t>
        </is>
      </c>
      <c r="O89" s="2" t="inlineStr">
        <is>
          <t>20260522800934</t>
        </is>
      </c>
      <c r="P89" s="8">
        <f>HYPERLINK("https://dart.fss.or.kr/dsaf001/main.do?rcpNo=20260522800934", "공시열람")</f>
        <v/>
      </c>
    </row>
    <row r="90" ht="36" customHeight="1">
      <c r="A90" s="2" t="inlineStr">
        <is>
          <t>2026-05-22</t>
        </is>
      </c>
      <c r="B90" s="3" t="inlineStr">
        <is>
          <t>인터로조</t>
        </is>
      </c>
      <c r="C90" s="2" t="inlineStr">
        <is>
          <t>코스닥</t>
        </is>
      </c>
      <c r="D90" s="2" t="inlineStr">
        <is>
          <t>119610</t>
        </is>
      </c>
      <c r="E90" s="7" t="inlineStr">
        <is>
          <t>주요사항보고서(자기주식취득신탁계약해지결정)</t>
        </is>
      </c>
      <c r="F90" s="2" t="inlineStr">
        <is>
          <t>신탁계약체결결정</t>
        </is>
      </c>
      <c r="G90" s="5" t="n">
        <v>3000000000</v>
      </c>
      <c r="H90" s="6" t="inlineStr"/>
      <c r="I90" s="3" t="inlineStr">
        <is>
          <t>비고</t>
        </is>
      </c>
      <c r="J90" s="2" t="inlineStr">
        <is>
          <t>2025-11-24</t>
        </is>
      </c>
      <c r="K90" s="2" t="inlineStr">
        <is>
          <t>2026-05-22</t>
        </is>
      </c>
      <c r="L90" s="2" t="inlineStr">
        <is>
          <t>-</t>
        </is>
      </c>
      <c r="M90" s="7" t="inlineStr">
        <is>
          <t>-</t>
        </is>
      </c>
      <c r="N90" s="7" t="inlineStr">
        <is>
          <t>신탁계약 기간 만료에 의한 해지</t>
        </is>
      </c>
      <c r="O90" s="2" t="inlineStr">
        <is>
          <t>20260522000348</t>
        </is>
      </c>
      <c r="P90" s="8">
        <f>HYPERLINK("https://dart.fss.or.kr/dsaf001/main.do?rcpNo=20260522000348", "공시열람")</f>
        <v/>
      </c>
    </row>
    <row r="91" ht="36" customHeight="1">
      <c r="A91" s="2" t="inlineStr">
        <is>
          <t>2026-05-22</t>
        </is>
      </c>
      <c r="B91" s="3" t="inlineStr">
        <is>
          <t>인화정공</t>
        </is>
      </c>
      <c r="C91" s="2" t="inlineStr">
        <is>
          <t>코스닥</t>
        </is>
      </c>
      <c r="D91" s="2" t="inlineStr">
        <is>
          <t>101930</t>
        </is>
      </c>
      <c r="E91" s="7" t="inlineStr">
        <is>
          <t xml:space="preserve">주식소각결정              </t>
        </is>
      </c>
      <c r="F91" s="2" t="inlineStr">
        <is>
          <t>자기주식소각결정</t>
        </is>
      </c>
      <c r="G91" s="5" t="n">
        <v>4999995755</v>
      </c>
      <c r="H91" s="6" t="n">
        <v>469739</v>
      </c>
      <c r="I91" s="3" t="inlineStr">
        <is>
          <t>기취득 자기주식</t>
        </is>
      </c>
      <c r="J91" s="2" t="inlineStr">
        <is>
          <t>-</t>
        </is>
      </c>
      <c r="K91" s="2" t="inlineStr">
        <is>
          <t>-</t>
        </is>
      </c>
      <c r="L91" s="2" t="inlineStr">
        <is>
          <t>2026-06-01</t>
        </is>
      </c>
      <c r="M91" s="7" t="inlineStr">
        <is>
          <t>-</t>
        </is>
      </c>
      <c r="N91" s="7" t="inlineStr">
        <is>
          <t>주주가치 제고 및 주식소각</t>
        </is>
      </c>
      <c r="O91" s="2" t="inlineStr">
        <is>
          <t>20260522900361</t>
        </is>
      </c>
      <c r="P91" s="8">
        <f>HYPERLINK("https://dart.fss.or.kr/dsaf001/main.do?rcpNo=20260522900361", "공시열람")</f>
        <v/>
      </c>
    </row>
    <row r="92" ht="36" customHeight="1">
      <c r="A92" s="2" t="inlineStr">
        <is>
          <t>2026-05-22</t>
        </is>
      </c>
      <c r="B92" s="3" t="inlineStr">
        <is>
          <t>인화정공</t>
        </is>
      </c>
      <c r="C92" s="2" t="inlineStr">
        <is>
          <t>코스닥</t>
        </is>
      </c>
      <c r="D92" s="2" t="inlineStr">
        <is>
          <t>101930</t>
        </is>
      </c>
      <c r="E92" s="7" t="inlineStr">
        <is>
          <t>주요사항보고서(자기주식취득신탁계약해지결정)</t>
        </is>
      </c>
      <c r="F92" s="2" t="inlineStr">
        <is>
          <t>신탁계약체결결정</t>
        </is>
      </c>
      <c r="G92" s="5" t="n">
        <v>5000000000</v>
      </c>
      <c r="H92" s="6" t="inlineStr"/>
      <c r="I92" s="3" t="inlineStr">
        <is>
          <t>비고</t>
        </is>
      </c>
      <c r="J92" s="2" t="inlineStr">
        <is>
          <t>2026-03-04</t>
        </is>
      </c>
      <c r="K92" s="2" t="inlineStr">
        <is>
          <t>2027-03-04</t>
        </is>
      </c>
      <c r="L92" s="2" t="inlineStr">
        <is>
          <t>-</t>
        </is>
      </c>
      <c r="M92" s="7" t="inlineStr">
        <is>
          <t>-</t>
        </is>
      </c>
      <c r="N92" s="7" t="inlineStr">
        <is>
          <t>계약금액 취득완료 및 소각</t>
        </is>
      </c>
      <c r="O92" s="2" t="inlineStr">
        <is>
          <t>20260522000207</t>
        </is>
      </c>
      <c r="P92" s="8">
        <f>HYPERLINK("https://dart.fss.or.kr/dsaf001/main.do?rcpNo=20260522000207", "공시열람")</f>
        <v/>
      </c>
    </row>
    <row r="93" ht="36" customHeight="1">
      <c r="A93" s="2" t="inlineStr">
        <is>
          <t>2026-05-26</t>
        </is>
      </c>
      <c r="B93" s="3" t="inlineStr">
        <is>
          <t>지아이에스</t>
        </is>
      </c>
      <c r="C93" s="2" t="inlineStr">
        <is>
          <t>코스닥</t>
        </is>
      </c>
      <c r="D93" s="2" t="inlineStr">
        <is>
          <t>306620</t>
        </is>
      </c>
      <c r="E93" s="7" t="inlineStr">
        <is>
          <t>주요사항보고서(자기주식취득신탁계약해지결정)</t>
        </is>
      </c>
      <c r="F93" s="2" t="inlineStr">
        <is>
          <t>신탁계약체결결정</t>
        </is>
      </c>
      <c r="G93" s="5" t="n">
        <v>1000000000</v>
      </c>
      <c r="H93" s="6" t="inlineStr"/>
      <c r="I93" s="3" t="inlineStr">
        <is>
          <t>비고</t>
        </is>
      </c>
      <c r="J93" s="2" t="inlineStr">
        <is>
          <t>2025-11-26</t>
        </is>
      </c>
      <c r="K93" s="2" t="inlineStr">
        <is>
          <t>2026-05-26</t>
        </is>
      </c>
      <c r="L93" s="2" t="inlineStr">
        <is>
          <t>-</t>
        </is>
      </c>
      <c r="M93" s="7" t="inlineStr">
        <is>
          <t>-</t>
        </is>
      </c>
      <c r="N93" s="7" t="inlineStr">
        <is>
          <t>신탁계약 기간 만료에 따른 해지</t>
        </is>
      </c>
      <c r="O93" s="2" t="inlineStr">
        <is>
          <t>20260526000409</t>
        </is>
      </c>
      <c r="P93" s="8">
        <f>HYPERLINK("https://dart.fss.or.kr/dsaf001/main.do?rcpNo=20260526000409", "공시열람")</f>
        <v/>
      </c>
    </row>
    <row r="94" ht="36" customHeight="1">
      <c r="A94" s="2" t="inlineStr">
        <is>
          <t>2026-05-26</t>
        </is>
      </c>
      <c r="B94" s="3" t="inlineStr">
        <is>
          <t>우듬지팜</t>
        </is>
      </c>
      <c r="C94" s="2" t="inlineStr">
        <is>
          <t>코스닥</t>
        </is>
      </c>
      <c r="D94" s="2" t="inlineStr">
        <is>
          <t>403490</t>
        </is>
      </c>
      <c r="E94" s="7" t="inlineStr">
        <is>
          <t>주요사항보고서(자기주식취득신탁계약체결결정)</t>
        </is>
      </c>
      <c r="F94" s="2" t="inlineStr">
        <is>
          <t>신탁계약체결결정</t>
        </is>
      </c>
      <c r="G94" s="5" t="n">
        <v>1000000000</v>
      </c>
      <c r="H94" s="6" t="n">
        <v>1069518</v>
      </c>
      <c r="I94" s="3" t="inlineStr">
        <is>
          <t>비고</t>
        </is>
      </c>
      <c r="J94" s="2" t="inlineStr">
        <is>
          <t>2026-05-27</t>
        </is>
      </c>
      <c r="K94" s="2" t="inlineStr">
        <is>
          <t>2026-11-26</t>
        </is>
      </c>
      <c r="L94" s="2" t="inlineStr">
        <is>
          <t>-</t>
        </is>
      </c>
      <c r="M94" s="7" t="inlineStr">
        <is>
          <t>대신증권 주식회사</t>
        </is>
      </c>
      <c r="N94" s="7" t="inlineStr">
        <is>
          <t>주가안정 및 주주가치 제고</t>
        </is>
      </c>
      <c r="O94" s="2" t="inlineStr">
        <is>
          <t>20260526000333</t>
        </is>
      </c>
      <c r="P94" s="8">
        <f>HYPERLINK("https://dart.fss.or.kr/dsaf001/main.do?rcpNo=20260526000333", "공시열람")</f>
        <v/>
      </c>
    </row>
    <row r="95" ht="36" customHeight="1">
      <c r="A95" s="2" t="inlineStr">
        <is>
          <t>2026-05-26</t>
        </is>
      </c>
      <c r="B95" s="3" t="inlineStr">
        <is>
          <t>이상네트웍스</t>
        </is>
      </c>
      <c r="C95" s="2" t="inlineStr">
        <is>
          <t>코스닥</t>
        </is>
      </c>
      <c r="D95" s="2" t="inlineStr">
        <is>
          <t>080010</t>
        </is>
      </c>
      <c r="E95" s="7" t="inlineStr">
        <is>
          <t>주요사항보고서(자기주식취득신탁계약해지결정)</t>
        </is>
      </c>
      <c r="F95" s="2" t="inlineStr">
        <is>
          <t>신탁계약체결결정</t>
        </is>
      </c>
      <c r="G95" s="5" t="n">
        <v>1000000000</v>
      </c>
      <c r="H95" s="6" t="inlineStr"/>
      <c r="I95" s="3" t="inlineStr">
        <is>
          <t>비고</t>
        </is>
      </c>
      <c r="J95" s="2" t="inlineStr">
        <is>
          <t>2024-11-25</t>
        </is>
      </c>
      <c r="K95" s="2" t="inlineStr">
        <is>
          <t>2026-05-24</t>
        </is>
      </c>
      <c r="L95" s="2" t="inlineStr">
        <is>
          <t>-</t>
        </is>
      </c>
      <c r="M95" s="7" t="inlineStr">
        <is>
          <t>-</t>
        </is>
      </c>
      <c r="N95" s="7" t="inlineStr">
        <is>
          <t>신탁계약 기간만료에 의한 해지</t>
        </is>
      </c>
      <c r="O95" s="2" t="inlineStr">
        <is>
          <t>20260526000279</t>
        </is>
      </c>
      <c r="P95" s="8">
        <f>HYPERLINK("https://dart.fss.or.kr/dsaf001/main.do?rcpNo=20260526000279", "공시열람")</f>
        <v/>
      </c>
    </row>
    <row r="96" ht="36" customHeight="1">
      <c r="A96" s="2" t="inlineStr">
        <is>
          <t>2026-05-26</t>
        </is>
      </c>
      <c r="B96" s="3" t="inlineStr">
        <is>
          <t>씨앤씨인터내셔널</t>
        </is>
      </c>
      <c r="C96" s="2" t="inlineStr">
        <is>
          <t>코스닥</t>
        </is>
      </c>
      <c r="D96" s="2" t="inlineStr">
        <is>
          <t>352480</t>
        </is>
      </c>
      <c r="E96" s="7" t="inlineStr">
        <is>
          <t>주요사항보고서(자기주식취득신탁계약체결결정)</t>
        </is>
      </c>
      <c r="F96" s="2" t="inlineStr">
        <is>
          <t>신탁계약체결결정</t>
        </is>
      </c>
      <c r="G96" s="5" t="n">
        <v>0</v>
      </c>
      <c r="H96" s="6" t="n">
        <v>235849</v>
      </c>
      <c r="I96" s="3" t="inlineStr">
        <is>
          <t>비고</t>
        </is>
      </c>
      <c r="J96" s="2" t="inlineStr">
        <is>
          <t>2026-05-27</t>
        </is>
      </c>
      <c r="K96" s="2" t="inlineStr">
        <is>
          <t>2026-11-30</t>
        </is>
      </c>
      <c r="L96" s="2" t="inlineStr">
        <is>
          <t>-</t>
        </is>
      </c>
      <c r="M96" s="7" t="inlineStr">
        <is>
          <t>KB증권(KB Securities Co.,Ltd.)</t>
        </is>
      </c>
      <c r="N96" s="7" t="inlineStr">
        <is>
          <t>주가안정 및 주주가치 제고,임직원 보상재원 활용</t>
        </is>
      </c>
      <c r="O96" s="2" t="inlineStr">
        <is>
          <t>20260526000181</t>
        </is>
      </c>
      <c r="P96" s="8">
        <f>HYPERLINK("https://dart.fss.or.kr/dsaf001/main.do?rcpNo=20260526000181", "공시열람")</f>
        <v/>
      </c>
    </row>
    <row r="97" ht="36" customHeight="1">
      <c r="A97" s="2" t="inlineStr">
        <is>
          <t>2026-05-26</t>
        </is>
      </c>
      <c r="B97" s="3" t="inlineStr">
        <is>
          <t>우리이앤엘하루틴</t>
        </is>
      </c>
      <c r="C97" s="2" t="inlineStr">
        <is>
          <t>코스닥</t>
        </is>
      </c>
      <c r="D97" s="2" t="inlineStr">
        <is>
          <t>153490</t>
        </is>
      </c>
      <c r="E97" s="7" t="inlineStr">
        <is>
          <t>주요사항보고서(자기주식취득결정)</t>
        </is>
      </c>
      <c r="F97" s="2" t="inlineStr">
        <is>
          <t>자기주식취득결정</t>
        </is>
      </c>
      <c r="G97" s="5" t="n">
        <v>1000000000</v>
      </c>
      <c r="H97" s="6" t="n">
        <v>1326259</v>
      </c>
      <c r="I97" s="3" t="inlineStr">
        <is>
          <t>비고</t>
        </is>
      </c>
      <c r="J97" s="2" t="inlineStr">
        <is>
          <t>2026-05-27</t>
        </is>
      </c>
      <c r="K97" s="2" t="inlineStr">
        <is>
          <t>2026-08-26</t>
        </is>
      </c>
      <c r="L97" s="2" t="inlineStr">
        <is>
          <t>-</t>
        </is>
      </c>
      <c r="M97" s="7" t="inlineStr">
        <is>
          <t>KB증권 (KB Securities Co.,Ltd.)</t>
        </is>
      </c>
      <c r="N97" s="7" t="inlineStr">
        <is>
          <t>주주가치 제고 및 임직원 성과 보상</t>
        </is>
      </c>
      <c r="O97" s="2" t="inlineStr">
        <is>
          <t>20260526000118</t>
        </is>
      </c>
      <c r="P97" s="8">
        <f>HYPERLINK("https://dart.fss.or.kr/dsaf001/main.do?rcpNo=20260526000118", "공시열람")</f>
        <v/>
      </c>
    </row>
    <row r="98" ht="36" customHeight="1">
      <c r="A98" s="2" t="inlineStr">
        <is>
          <t>2026-05-26</t>
        </is>
      </c>
      <c r="B98" s="3" t="inlineStr">
        <is>
          <t>오스템</t>
        </is>
      </c>
      <c r="C98" s="2" t="inlineStr">
        <is>
          <t>코스닥</t>
        </is>
      </c>
      <c r="D98" s="2" t="inlineStr">
        <is>
          <t>031510</t>
        </is>
      </c>
      <c r="E98" s="7" t="inlineStr">
        <is>
          <t xml:space="preserve">주식소각결정              </t>
        </is>
      </c>
      <c r="F98" s="2" t="inlineStr">
        <is>
          <t>자기주식소각결정</t>
        </is>
      </c>
      <c r="G98" s="5" t="n">
        <v>4347772608</v>
      </c>
      <c r="H98" s="6" t="n">
        <v>2910000</v>
      </c>
      <c r="I98" s="3" t="inlineStr">
        <is>
          <t>기취득 자기주식</t>
        </is>
      </c>
      <c r="J98" s="2" t="inlineStr">
        <is>
          <t>-</t>
        </is>
      </c>
      <c r="K98" s="2" t="inlineStr">
        <is>
          <t>-</t>
        </is>
      </c>
      <c r="L98" s="2" t="inlineStr">
        <is>
          <t>2026-06-05</t>
        </is>
      </c>
      <c r="M98" s="7" t="inlineStr">
        <is>
          <t>-</t>
        </is>
      </c>
      <c r="N98" s="7" t="inlineStr">
        <is>
          <t>주주가치 제고 및 주식소각</t>
        </is>
      </c>
      <c r="O98" s="2" t="inlineStr">
        <is>
          <t>20260526900163</t>
        </is>
      </c>
      <c r="P98" s="8">
        <f>HYPERLINK("https://dart.fss.or.kr/dsaf001/main.do?rcpNo=20260526900163", "공시열람")</f>
        <v/>
      </c>
    </row>
    <row r="99" ht="36" customHeight="1">
      <c r="A99" s="2" t="inlineStr">
        <is>
          <t>2026-05-27</t>
        </is>
      </c>
      <c r="B99" s="3" t="inlineStr">
        <is>
          <t>뉴키즈온</t>
        </is>
      </c>
      <c r="C99" s="2" t="inlineStr">
        <is>
          <t>코스닥</t>
        </is>
      </c>
      <c r="D99" s="2" t="inlineStr">
        <is>
          <t>462310</t>
        </is>
      </c>
      <c r="E99" s="7" t="inlineStr">
        <is>
          <t>주요사항보고서(자기주식취득신탁계약해지결정)</t>
        </is>
      </c>
      <c r="F99" s="2" t="inlineStr">
        <is>
          <t>신탁계약체결결정</t>
        </is>
      </c>
      <c r="G99" s="5" t="n">
        <v>1000000000</v>
      </c>
      <c r="H99" s="6" t="inlineStr"/>
      <c r="I99" s="3" t="inlineStr">
        <is>
          <t>비고</t>
        </is>
      </c>
      <c r="J99" s="2" t="inlineStr">
        <is>
          <t>2026-03-24</t>
        </is>
      </c>
      <c r="K99" s="2" t="inlineStr">
        <is>
          <t>2026-07-24</t>
        </is>
      </c>
      <c r="L99" s="2" t="inlineStr">
        <is>
          <t>-</t>
        </is>
      </c>
      <c r="M99" s="7" t="inlineStr">
        <is>
          <t>-</t>
        </is>
      </c>
      <c r="N99" s="7" t="inlineStr">
        <is>
          <t>자기주식 취득 완료에 따른 중도 해지</t>
        </is>
      </c>
      <c r="O99" s="2" t="inlineStr">
        <is>
          <t>20260527000501</t>
        </is>
      </c>
      <c r="P99" s="8">
        <f>HYPERLINK("https://dart.fss.or.kr/dsaf001/main.do?rcpNo=20260527000501", "공시열람")</f>
        <v/>
      </c>
    </row>
    <row r="100" ht="36" customHeight="1">
      <c r="A100" s="2" t="inlineStr">
        <is>
          <t>2026-05-27</t>
        </is>
      </c>
      <c r="B100" s="3" t="inlineStr">
        <is>
          <t>미래에셋벤처투자</t>
        </is>
      </c>
      <c r="C100" s="2" t="inlineStr">
        <is>
          <t>코스닥</t>
        </is>
      </c>
      <c r="D100" s="2" t="inlineStr">
        <is>
          <t>100790</t>
        </is>
      </c>
      <c r="E100" s="7" t="inlineStr">
        <is>
          <t xml:space="preserve">주식소각결정              </t>
        </is>
      </c>
      <c r="F100" s="2" t="inlineStr">
        <is>
          <t>자기주식소각결정</t>
        </is>
      </c>
      <c r="G100" s="5" t="n">
        <v>39346110</v>
      </c>
      <c r="H100" s="6" t="n">
        <v>4056</v>
      </c>
      <c r="I100" s="3" t="inlineStr">
        <is>
          <t>기취득 자기주식</t>
        </is>
      </c>
      <c r="J100" s="2" t="inlineStr">
        <is>
          <t>-</t>
        </is>
      </c>
      <c r="K100" s="2" t="inlineStr">
        <is>
          <t>-</t>
        </is>
      </c>
      <c r="L100" s="2" t="inlineStr">
        <is>
          <t>2026-06-19</t>
        </is>
      </c>
      <c r="M100" s="7" t="inlineStr">
        <is>
          <t>-</t>
        </is>
      </c>
      <c r="N100" s="7" t="inlineStr">
        <is>
          <t>주주가치 제고 및 주식소각</t>
        </is>
      </c>
      <c r="O100" s="2" t="inlineStr">
        <is>
          <t>20260527900683</t>
        </is>
      </c>
      <c r="P100" s="8">
        <f>HYPERLINK("https://dart.fss.or.kr/dsaf001/main.do?rcpNo=20260527900683", "공시열람")</f>
        <v/>
      </c>
    </row>
    <row r="101" ht="36" customHeight="1">
      <c r="A101" s="2" t="inlineStr">
        <is>
          <t>2026-05-27</t>
        </is>
      </c>
      <c r="B101" s="3" t="inlineStr">
        <is>
          <t>대륙제관</t>
        </is>
      </c>
      <c r="C101" s="2" t="inlineStr">
        <is>
          <t>코스닥</t>
        </is>
      </c>
      <c r="D101" s="2" t="inlineStr">
        <is>
          <t>004780</t>
        </is>
      </c>
      <c r="E101" s="7" t="inlineStr">
        <is>
          <t>주요사항보고서(자기주식취득신탁계약체결결정)</t>
        </is>
      </c>
      <c r="F101" s="2" t="inlineStr">
        <is>
          <t>신탁계약체결결정</t>
        </is>
      </c>
      <c r="G101" s="5" t="n">
        <v>0</v>
      </c>
      <c r="H101" s="6" t="n">
        <v>781250</v>
      </c>
      <c r="I101" s="3" t="inlineStr">
        <is>
          <t>비고</t>
        </is>
      </c>
      <c r="J101" s="2" t="inlineStr">
        <is>
          <t>2026-05-28</t>
        </is>
      </c>
      <c r="K101" s="2" t="inlineStr">
        <is>
          <t>2027-02-27</t>
        </is>
      </c>
      <c r="L101" s="2" t="inlineStr">
        <is>
          <t>-</t>
        </is>
      </c>
      <c r="M101" s="7" t="inlineStr">
        <is>
          <t>미래에셋증권 주식회사(MIRAE ASSET SECURITIES CO., LTD.)</t>
        </is>
      </c>
      <c r="N101" s="7" t="inlineStr">
        <is>
          <t>주식가격의 안정 및 주주가치 제고</t>
        </is>
      </c>
      <c r="O101" s="2" t="inlineStr">
        <is>
          <t>20260527000416</t>
        </is>
      </c>
      <c r="P101" s="8">
        <f>HYPERLINK("https://dart.fss.or.kr/dsaf001/main.do?rcpNo=20260527000416", "공시열람")</f>
        <v/>
      </c>
    </row>
    <row r="102" ht="36" customHeight="1">
      <c r="A102" s="2" t="inlineStr">
        <is>
          <t>2026-05-27</t>
        </is>
      </c>
      <c r="B102" s="3" t="inlineStr">
        <is>
          <t>시큐브</t>
        </is>
      </c>
      <c r="C102" s="2" t="inlineStr">
        <is>
          <t>코스닥</t>
        </is>
      </c>
      <c r="D102" s="2" t="inlineStr">
        <is>
          <t>131090</t>
        </is>
      </c>
      <c r="E102" s="7" t="inlineStr">
        <is>
          <t>주요사항보고서(자기주식취득신탁계약체결결정)</t>
        </is>
      </c>
      <c r="F102" s="2" t="inlineStr">
        <is>
          <t>신탁계약체결결정</t>
        </is>
      </c>
      <c r="G102" s="5" t="n">
        <v>2000000000</v>
      </c>
      <c r="H102" s="6" t="n">
        <v>518134</v>
      </c>
      <c r="I102" s="3" t="inlineStr">
        <is>
          <t>비고</t>
        </is>
      </c>
      <c r="J102" s="2" t="inlineStr">
        <is>
          <t>2026-05-27</t>
        </is>
      </c>
      <c r="K102" s="2" t="inlineStr">
        <is>
          <t>2026-11-27</t>
        </is>
      </c>
      <c r="L102" s="2" t="inlineStr">
        <is>
          <t>-</t>
        </is>
      </c>
      <c r="M102" s="7" t="inlineStr">
        <is>
          <t>엔에이치투자증권(주) (NH INVESTMENT &amp; SECURITIES CO.,LTD)</t>
        </is>
      </c>
      <c r="N102" s="7" t="inlineStr">
        <is>
          <t>주주가치 제고</t>
        </is>
      </c>
      <c r="O102" s="2" t="inlineStr">
        <is>
          <t>20260527000261</t>
        </is>
      </c>
      <c r="P102" s="8">
        <f>HYPERLINK("https://dart.fss.or.kr/dsaf001/main.do?rcpNo=20260527000261", "공시열람")</f>
        <v/>
      </c>
    </row>
    <row r="103" ht="36" customHeight="1">
      <c r="A103" s="2" t="inlineStr">
        <is>
          <t>2026-05-28</t>
        </is>
      </c>
      <c r="B103" s="3" t="inlineStr">
        <is>
          <t>뉴키즈온</t>
        </is>
      </c>
      <c r="C103" s="2" t="inlineStr">
        <is>
          <t>코스닥</t>
        </is>
      </c>
      <c r="D103" s="2" t="inlineStr">
        <is>
          <t>462310</t>
        </is>
      </c>
      <c r="E103" s="7" t="inlineStr">
        <is>
          <t>주요사항보고서(자기주식취득신탁계약체결결정)</t>
        </is>
      </c>
      <c r="F103" s="2" t="inlineStr">
        <is>
          <t>신탁계약체결결정</t>
        </is>
      </c>
      <c r="G103" s="5" t="n">
        <v>1500000000</v>
      </c>
      <c r="H103" s="6" t="n">
        <v>480000</v>
      </c>
      <c r="I103" s="3" t="inlineStr">
        <is>
          <t>비고</t>
        </is>
      </c>
      <c r="J103" s="2" t="inlineStr">
        <is>
          <t>2026-05-28</t>
        </is>
      </c>
      <c r="K103" s="2" t="inlineStr">
        <is>
          <t>2026-09-28</t>
        </is>
      </c>
      <c r="L103" s="2" t="inlineStr">
        <is>
          <t>-</t>
        </is>
      </c>
      <c r="M103" s="7" t="inlineStr">
        <is>
          <t>한국투자증권(주)(Korea Investment &amp; Securities Co., Ltd.)</t>
        </is>
      </c>
      <c r="N103" s="7" t="inlineStr">
        <is>
          <t>주가안정 및 주주가치 제고</t>
        </is>
      </c>
      <c r="O103" s="2" t="inlineStr">
        <is>
          <t>20260528000528</t>
        </is>
      </c>
      <c r="P103" s="8">
        <f>HYPERLINK("https://dart.fss.or.kr/dsaf001/main.do?rcpNo=20260528000528", "공시열람")</f>
        <v/>
      </c>
    </row>
    <row r="104" ht="36" customHeight="1">
      <c r="A104" s="2" t="inlineStr">
        <is>
          <t>2026-05-28</t>
        </is>
      </c>
      <c r="B104" s="3" t="inlineStr">
        <is>
          <t>솔트웨어</t>
        </is>
      </c>
      <c r="C104" s="2" t="inlineStr">
        <is>
          <t>코스닥</t>
        </is>
      </c>
      <c r="D104" s="2" t="inlineStr">
        <is>
          <t>328380</t>
        </is>
      </c>
      <c r="E104" s="7" t="inlineStr">
        <is>
          <t>주요사항보고서(자기주식취득신탁계약체결결정)</t>
        </is>
      </c>
      <c r="F104" s="2" t="inlineStr">
        <is>
          <t>신탁계약체결결정</t>
        </is>
      </c>
      <c r="G104" s="5" t="n">
        <v>1000000000</v>
      </c>
      <c r="H104" s="6" t="n">
        <v>338983</v>
      </c>
      <c r="I104" s="3" t="inlineStr">
        <is>
          <t>비고</t>
        </is>
      </c>
      <c r="J104" s="2" t="inlineStr">
        <is>
          <t>2026-05-28</t>
        </is>
      </c>
      <c r="K104" s="2" t="inlineStr">
        <is>
          <t>2027-01-27</t>
        </is>
      </c>
      <c r="L104" s="2" t="inlineStr">
        <is>
          <t>-</t>
        </is>
      </c>
      <c r="M104" s="7" t="inlineStr">
        <is>
          <t>한국투자증권(KOREA INVESTMENT &amp; SECURITIES CO.,LTD)</t>
        </is>
      </c>
      <c r="N104" s="7" t="inlineStr">
        <is>
          <t>주가안정을 통한 주주가치 제고</t>
        </is>
      </c>
      <c r="O104" s="2" t="inlineStr">
        <is>
          <t>20260528000521</t>
        </is>
      </c>
      <c r="P104" s="8">
        <f>HYPERLINK("https://dart.fss.or.kr/dsaf001/main.do?rcpNo=20260528000521", "공시열람")</f>
        <v/>
      </c>
    </row>
    <row r="105" ht="36" customHeight="1">
      <c r="A105" s="2" t="inlineStr">
        <is>
          <t>2026-05-28</t>
        </is>
      </c>
      <c r="B105" s="3" t="inlineStr">
        <is>
          <t>신원</t>
        </is>
      </c>
      <c r="C105" s="2" t="inlineStr">
        <is>
          <t>코스피</t>
        </is>
      </c>
      <c r="D105" s="2" t="inlineStr">
        <is>
          <t>009270</t>
        </is>
      </c>
      <c r="E105" s="7" t="inlineStr">
        <is>
          <t>주요사항보고서(자기주식취득결정)</t>
        </is>
      </c>
      <c r="F105" s="2" t="inlineStr">
        <is>
          <t>자기주식취득결정</t>
        </is>
      </c>
      <c r="G105" s="5" t="n">
        <v>2202000000</v>
      </c>
      <c r="H105" s="6" t="n">
        <v>2000000</v>
      </c>
      <c r="I105" s="3" t="inlineStr">
        <is>
          <t>비고</t>
        </is>
      </c>
      <c r="J105" s="2" t="inlineStr">
        <is>
          <t>2026-05-29</t>
        </is>
      </c>
      <c r="K105" s="2" t="inlineStr">
        <is>
          <t>2026-08-28</t>
        </is>
      </c>
      <c r="L105" s="2" t="inlineStr">
        <is>
          <t>-</t>
        </is>
      </c>
      <c r="M105" s="7" t="inlineStr">
        <is>
          <t>미래에셋증권</t>
        </is>
      </c>
      <c r="N105" s="7" t="inlineStr">
        <is>
          <t>자사주식가격 안정 및 주주가치 제고</t>
        </is>
      </c>
      <c r="O105" s="2" t="inlineStr">
        <is>
          <t>20260528000480</t>
        </is>
      </c>
      <c r="P105" s="8">
        <f>HYPERLINK("https://dart.fss.or.kr/dsaf001/main.do?rcpNo=20260528000480", "공시열람")</f>
        <v/>
      </c>
    </row>
    <row r="106" ht="36" customHeight="1">
      <c r="A106" s="2" t="inlineStr">
        <is>
          <t>2026-05-28</t>
        </is>
      </c>
      <c r="B106" s="3" t="inlineStr">
        <is>
          <t>아남전자</t>
        </is>
      </c>
      <c r="C106" s="2" t="inlineStr">
        <is>
          <t>코스피</t>
        </is>
      </c>
      <c r="D106" s="2" t="inlineStr">
        <is>
          <t>008700</t>
        </is>
      </c>
      <c r="E106" s="7" t="inlineStr">
        <is>
          <t>주요사항보고서(자기주식취득신탁계약체결결정)</t>
        </is>
      </c>
      <c r="F106" s="2" t="inlineStr">
        <is>
          <t>신탁계약체결결정</t>
        </is>
      </c>
      <c r="G106" s="5" t="n">
        <v>2000000000</v>
      </c>
      <c r="H106" s="6" t="n">
        <v>1648804</v>
      </c>
      <c r="I106" s="3" t="inlineStr">
        <is>
          <t>비고</t>
        </is>
      </c>
      <c r="J106" s="2" t="inlineStr">
        <is>
          <t>2026-05-28</t>
        </is>
      </c>
      <c r="K106" s="2" t="inlineStr">
        <is>
          <t>2027-05-27</t>
        </is>
      </c>
      <c r="L106" s="2" t="inlineStr">
        <is>
          <t>-</t>
        </is>
      </c>
      <c r="M106" s="7" t="inlineStr">
        <is>
          <t>신한투자증권</t>
        </is>
      </c>
      <c r="N106" s="7" t="inlineStr">
        <is>
          <t>주주가치제고</t>
        </is>
      </c>
      <c r="O106" s="2" t="inlineStr">
        <is>
          <t>20260528000311</t>
        </is>
      </c>
      <c r="P106" s="8">
        <f>HYPERLINK("https://dart.fss.or.kr/dsaf001/main.do?rcpNo=20260528000311", "공시열람")</f>
        <v/>
      </c>
    </row>
    <row r="107" ht="36" customHeight="1">
      <c r="A107" s="2" t="inlineStr">
        <is>
          <t>2026-05-28</t>
        </is>
      </c>
      <c r="B107" s="3" t="inlineStr">
        <is>
          <t>대한방직</t>
        </is>
      </c>
      <c r="C107" s="2" t="inlineStr">
        <is>
          <t>코스피</t>
        </is>
      </c>
      <c r="D107" s="2" t="inlineStr">
        <is>
          <t>001070</t>
        </is>
      </c>
      <c r="E107" s="7" t="inlineStr">
        <is>
          <t xml:space="preserve">주식소각결정              </t>
        </is>
      </c>
      <c r="F107" s="2" t="inlineStr">
        <is>
          <t>자기주식소각결정</t>
        </is>
      </c>
      <c r="G107" s="5" t="n">
        <v>10330000000</v>
      </c>
      <c r="H107" s="6" t="n">
        <v>500000</v>
      </c>
      <c r="I107" s="3" t="inlineStr">
        <is>
          <t>기취득 자기주식</t>
        </is>
      </c>
      <c r="J107" s="2" t="inlineStr">
        <is>
          <t>-</t>
        </is>
      </c>
      <c r="K107" s="2" t="inlineStr">
        <is>
          <t>-</t>
        </is>
      </c>
      <c r="L107" s="2" t="inlineStr">
        <is>
          <t>2026-07-31</t>
        </is>
      </c>
      <c r="M107" s="7" t="inlineStr">
        <is>
          <t>미해당</t>
        </is>
      </c>
      <c r="N107" s="7" t="inlineStr">
        <is>
          <t>주주가치 제고 및 주식소각</t>
        </is>
      </c>
      <c r="O107" s="2" t="inlineStr">
        <is>
          <t>20260528800320</t>
        </is>
      </c>
      <c r="P107" s="8">
        <f>HYPERLINK("https://dart.fss.or.kr/dsaf001/main.do?rcpNo=20260528800320", "공시열람")</f>
        <v/>
      </c>
    </row>
    <row r="108" ht="36" customHeight="1">
      <c r="A108" s="2" t="inlineStr">
        <is>
          <t>2026-05-28</t>
        </is>
      </c>
      <c r="B108" s="3" t="inlineStr">
        <is>
          <t>케이티알파</t>
        </is>
      </c>
      <c r="C108" s="2" t="inlineStr">
        <is>
          <t>코스닥</t>
        </is>
      </c>
      <c r="D108" s="2" t="inlineStr">
        <is>
          <t>036030</t>
        </is>
      </c>
      <c r="E108" s="7" t="inlineStr">
        <is>
          <t xml:space="preserve">주식소각결정              </t>
        </is>
      </c>
      <c r="F108" s="2" t="inlineStr">
        <is>
          <t>자기주식소각결정</t>
        </is>
      </c>
      <c r="G108" s="5" t="n">
        <v>1158169</v>
      </c>
      <c r="H108" s="6" t="n">
        <v>142</v>
      </c>
      <c r="I108" s="3" t="inlineStr">
        <is>
          <t>기취득 자기주식</t>
        </is>
      </c>
      <c r="J108" s="2" t="inlineStr">
        <is>
          <t>-</t>
        </is>
      </c>
      <c r="K108" s="2" t="inlineStr">
        <is>
          <t>-</t>
        </is>
      </c>
      <c r="L108" s="2" t="inlineStr">
        <is>
          <t>2026-06-12</t>
        </is>
      </c>
      <c r="M108" s="7" t="inlineStr">
        <is>
          <t>-</t>
        </is>
      </c>
      <c r="N108" s="7" t="inlineStr">
        <is>
          <t>주주가치 제고 및 주식소각</t>
        </is>
      </c>
      <c r="O108" s="2" t="inlineStr">
        <is>
          <t>20260528900310</t>
        </is>
      </c>
      <c r="P108" s="8">
        <f>HYPERLINK("https://dart.fss.or.kr/dsaf001/main.do?rcpNo=20260528900310", "공시열람")</f>
        <v/>
      </c>
    </row>
    <row r="109" ht="36" customHeight="1">
      <c r="A109" s="2" t="inlineStr">
        <is>
          <t>2026-05-28</t>
        </is>
      </c>
      <c r="B109" s="3" t="inlineStr">
        <is>
          <t>대원</t>
        </is>
      </c>
      <c r="C109" s="2" t="inlineStr">
        <is>
          <t>코스닥</t>
        </is>
      </c>
      <c r="D109" s="2" t="inlineStr">
        <is>
          <t>007680</t>
        </is>
      </c>
      <c r="E109" s="7" t="inlineStr">
        <is>
          <t xml:space="preserve">주식소각결정              </t>
        </is>
      </c>
      <c r="F109" s="2" t="inlineStr">
        <is>
          <t>자기주식소각결정</t>
        </is>
      </c>
      <c r="G109" s="5" t="n">
        <v>1000209379</v>
      </c>
      <c r="H109" s="6" t="n">
        <v>223736</v>
      </c>
      <c r="I109" s="3" t="inlineStr">
        <is>
          <t>기취득 자기주식</t>
        </is>
      </c>
      <c r="J109" s="2" t="inlineStr">
        <is>
          <t>-</t>
        </is>
      </c>
      <c r="K109" s="2" t="inlineStr">
        <is>
          <t>-</t>
        </is>
      </c>
      <c r="L109" s="2" t="inlineStr">
        <is>
          <t>2026-06-11</t>
        </is>
      </c>
      <c r="M109" s="7" t="inlineStr">
        <is>
          <t>-</t>
        </is>
      </c>
      <c r="N109" s="7" t="inlineStr">
        <is>
          <t>주주가치 제고 및 주식소각</t>
        </is>
      </c>
      <c r="O109" s="2" t="inlineStr">
        <is>
          <t>20260528900281</t>
        </is>
      </c>
      <c r="P109" s="8">
        <f>HYPERLINK("https://dart.fss.or.kr/dsaf001/main.do?rcpNo=20260528900281", "공시열람")</f>
        <v/>
      </c>
    </row>
    <row r="110" ht="36" customHeight="1">
      <c r="A110" s="2" t="inlineStr">
        <is>
          <t>2026-05-28</t>
        </is>
      </c>
      <c r="B110" s="3" t="inlineStr">
        <is>
          <t>에넥스</t>
        </is>
      </c>
      <c r="C110" s="2" t="inlineStr">
        <is>
          <t>코스피</t>
        </is>
      </c>
      <c r="D110" s="2" t="inlineStr">
        <is>
          <t>011090</t>
        </is>
      </c>
      <c r="E110" s="7" t="inlineStr">
        <is>
          <t xml:space="preserve">주식소각결정              </t>
        </is>
      </c>
      <c r="F110" s="2" t="inlineStr">
        <is>
          <t>자기주식소각결정</t>
        </is>
      </c>
      <c r="G110" s="5" t="n">
        <v>727153482</v>
      </c>
      <c r="H110" s="6" t="n">
        <v>141274</v>
      </c>
      <c r="I110" s="3" t="inlineStr">
        <is>
          <t>기취득 자기주식</t>
        </is>
      </c>
      <c r="J110" s="2" t="inlineStr">
        <is>
          <t>-</t>
        </is>
      </c>
      <c r="K110" s="2" t="inlineStr">
        <is>
          <t>-</t>
        </is>
      </c>
      <c r="L110" s="2" t="inlineStr">
        <is>
          <t>2026-06-04</t>
        </is>
      </c>
      <c r="M110" s="7" t="inlineStr">
        <is>
          <t>-</t>
        </is>
      </c>
      <c r="N110" s="7" t="inlineStr">
        <is>
          <t>주주가치 제고 및 주식소각</t>
        </is>
      </c>
      <c r="O110" s="2" t="inlineStr">
        <is>
          <t>20260528800170</t>
        </is>
      </c>
      <c r="P110" s="8">
        <f>HYPERLINK("https://dart.fss.or.kr/dsaf001/main.do?rcpNo=20260528800170", "공시열람")</f>
        <v/>
      </c>
    </row>
    <row r="111" ht="36" customHeight="1">
      <c r="A111" s="2" t="inlineStr">
        <is>
          <t>2026-05-29</t>
        </is>
      </c>
      <c r="B111" s="3" t="inlineStr">
        <is>
          <t>얼라인드</t>
        </is>
      </c>
      <c r="C111" s="2" t="inlineStr">
        <is>
          <t>코스닥</t>
        </is>
      </c>
      <c r="D111" s="2" t="inlineStr">
        <is>
          <t>238120</t>
        </is>
      </c>
      <c r="E111" s="7" t="inlineStr">
        <is>
          <t xml:space="preserve">주식소각결정              </t>
        </is>
      </c>
      <c r="F111" s="2" t="inlineStr">
        <is>
          <t>자기주식소각결정</t>
        </is>
      </c>
      <c r="G111" s="5" t="n">
        <v>499695042</v>
      </c>
      <c r="H111" s="6" t="n">
        <v>160622</v>
      </c>
      <c r="I111" s="3" t="inlineStr">
        <is>
          <t>기취득 자기주식</t>
        </is>
      </c>
      <c r="J111" s="2" t="inlineStr">
        <is>
          <t>-</t>
        </is>
      </c>
      <c r="K111" s="2" t="inlineStr">
        <is>
          <t>-</t>
        </is>
      </c>
      <c r="L111" s="2" t="inlineStr">
        <is>
          <t>2026-06-15</t>
        </is>
      </c>
      <c r="M111" s="7" t="inlineStr">
        <is>
          <t>-</t>
        </is>
      </c>
      <c r="N111" s="7" t="inlineStr">
        <is>
          <t>주주가치 제고 및 주식소각</t>
        </is>
      </c>
      <c r="O111" s="2" t="inlineStr">
        <is>
          <t>20260529901628</t>
        </is>
      </c>
      <c r="P111" s="8">
        <f>HYPERLINK("https://dart.fss.or.kr/dsaf001/main.do?rcpNo=20260529901628", "공시열람")</f>
        <v/>
      </c>
    </row>
    <row r="112" ht="36" customHeight="1">
      <c r="A112" s="2" t="inlineStr">
        <is>
          <t>2026-05-29 (정정: 2026-05-29)</t>
        </is>
      </c>
      <c r="B112" s="3" t="inlineStr">
        <is>
          <t>에스켐</t>
        </is>
      </c>
      <c r="C112" s="2" t="inlineStr">
        <is>
          <t>코스닥</t>
        </is>
      </c>
      <c r="D112" s="2" t="inlineStr">
        <is>
          <t>475660</t>
        </is>
      </c>
      <c r="E112" s="7" t="inlineStr">
        <is>
          <t>[기재정정]주요사항보고서(자기주식취득결정)</t>
        </is>
      </c>
      <c r="F112" s="2" t="inlineStr">
        <is>
          <t>자기주식취득결정</t>
        </is>
      </c>
      <c r="G112" s="5" t="n">
        <v>500000000</v>
      </c>
      <c r="H112" s="6" t="n">
        <v>120481</v>
      </c>
      <c r="I112" s="3" t="inlineStr">
        <is>
          <t>비고</t>
        </is>
      </c>
      <c r="J112" s="2" t="inlineStr">
        <is>
          <t>2026-05-30</t>
        </is>
      </c>
      <c r="K112" s="2" t="inlineStr">
        <is>
          <t>2026-08-29</t>
        </is>
      </c>
      <c r="L112" s="2" t="inlineStr">
        <is>
          <t>-</t>
        </is>
      </c>
      <c r="M112" s="7" t="inlineStr">
        <is>
          <t>NH투자증권(NH INVESTMENT &amp; SECURITIES CO.,LTD.)</t>
        </is>
      </c>
      <c r="N112" s="7" t="inlineStr">
        <is>
          <t>주가 안정 및 임직원 성과보상</t>
        </is>
      </c>
      <c r="O112" s="2" t="inlineStr">
        <is>
          <t>20260529001788</t>
        </is>
      </c>
      <c r="P112" s="8">
        <f>HYPERLINK("https://dart.fss.or.kr/dsaf001/main.do?rcpNo=20260529001788", "공시열람")</f>
        <v/>
      </c>
    </row>
    <row r="113" ht="36" customHeight="1">
      <c r="A113" s="2" t="inlineStr">
        <is>
          <t>2026-05-29</t>
        </is>
      </c>
      <c r="B113" s="3" t="inlineStr">
        <is>
          <t>미래아이앤지</t>
        </is>
      </c>
      <c r="C113" s="2" t="inlineStr">
        <is>
          <t>코스피</t>
        </is>
      </c>
      <c r="D113" s="2" t="inlineStr">
        <is>
          <t>007120</t>
        </is>
      </c>
      <c r="E113" s="7" t="inlineStr">
        <is>
          <t xml:space="preserve">주식소각결정              </t>
        </is>
      </c>
      <c r="F113" s="2" t="inlineStr">
        <is>
          <t>자기주식소각결정</t>
        </is>
      </c>
      <c r="G113" s="5" t="n">
        <v>3708291087</v>
      </c>
      <c r="H113" s="6" t="n">
        <v>1555494</v>
      </c>
      <c r="I113" s="3" t="inlineStr">
        <is>
          <t>기취득 자기주식</t>
        </is>
      </c>
      <c r="J113" s="2" t="inlineStr">
        <is>
          <t>-</t>
        </is>
      </c>
      <c r="K113" s="2" t="inlineStr">
        <is>
          <t>-</t>
        </is>
      </c>
      <c r="L113" s="2" t="inlineStr">
        <is>
          <t>2026-06-15</t>
        </is>
      </c>
      <c r="M113" s="7" t="inlineStr">
        <is>
          <t>미해당</t>
        </is>
      </c>
      <c r="N113" s="7" t="inlineStr">
        <is>
          <t>주주가치 제고 및 주식소각</t>
        </is>
      </c>
      <c r="O113" s="2" t="inlineStr">
        <is>
          <t>20260529801434</t>
        </is>
      </c>
      <c r="P113" s="8">
        <f>HYPERLINK("https://dart.fss.or.kr/dsaf001/main.do?rcpNo=20260529801434", "공시열람")</f>
        <v/>
      </c>
    </row>
    <row r="114" ht="36" customHeight="1">
      <c r="A114" s="2" t="inlineStr">
        <is>
          <t>2026-05-29 (정정: 2026-05-29)</t>
        </is>
      </c>
      <c r="B114" s="3" t="inlineStr">
        <is>
          <t>엑셈</t>
        </is>
      </c>
      <c r="C114" s="2" t="inlineStr">
        <is>
          <t>코스닥</t>
        </is>
      </c>
      <c r="D114" s="2" t="inlineStr">
        <is>
          <t>205100</t>
        </is>
      </c>
      <c r="E114" s="7" t="inlineStr">
        <is>
          <t>[기재정정]주요사항보고서(자기주식취득결정)</t>
        </is>
      </c>
      <c r="F114" s="2" t="inlineStr">
        <is>
          <t>자기주식취득결정</t>
        </is>
      </c>
      <c r="G114" s="5" t="n">
        <v>1000000000</v>
      </c>
      <c r="H114" s="6" t="n">
        <v>575373</v>
      </c>
      <c r="I114" s="3" t="inlineStr">
        <is>
          <t>비고</t>
        </is>
      </c>
      <c r="J114" s="2" t="inlineStr">
        <is>
          <t>2026-05-30</t>
        </is>
      </c>
      <c r="K114" s="2" t="inlineStr">
        <is>
          <t>2026-08-29</t>
        </is>
      </c>
      <c r="L114" s="2" t="inlineStr">
        <is>
          <t>-</t>
        </is>
      </c>
      <c r="M114" s="7" t="inlineStr">
        <is>
          <t>삼성증권(Samsung Securities Co., Ltd)</t>
        </is>
      </c>
      <c r="N114" s="7" t="inlineStr">
        <is>
          <t>임직원 등의 성과보상 재원 마련 목적</t>
        </is>
      </c>
      <c r="O114" s="2" t="inlineStr">
        <is>
          <t>20260529001406</t>
        </is>
      </c>
      <c r="P114" s="8">
        <f>HYPERLINK("https://dart.fss.or.kr/dsaf001/main.do?rcpNo=20260529001406", "공시열람")</f>
        <v/>
      </c>
    </row>
    <row r="115" ht="36" customHeight="1">
      <c r="A115" s="2" t="inlineStr">
        <is>
          <t>2026-05-29</t>
        </is>
      </c>
      <c r="B115" s="3" t="inlineStr">
        <is>
          <t>비트컴퓨터</t>
        </is>
      </c>
      <c r="C115" s="2" t="inlineStr">
        <is>
          <t>코스닥</t>
        </is>
      </c>
      <c r="D115" s="2" t="inlineStr">
        <is>
          <t>032850</t>
        </is>
      </c>
      <c r="E115" s="7" t="inlineStr">
        <is>
          <t>주요사항보고서(자기주식취득결정)</t>
        </is>
      </c>
      <c r="F115" s="2" t="inlineStr">
        <is>
          <t>자기주식취득결정</t>
        </is>
      </c>
      <c r="G115" s="5" t="n">
        <v>1000110000</v>
      </c>
      <c r="H115" s="6" t="n">
        <v>222000</v>
      </c>
      <c r="I115" s="3" t="inlineStr">
        <is>
          <t>비고</t>
        </is>
      </c>
      <c r="J115" s="2" t="inlineStr">
        <is>
          <t>2026-06-01</t>
        </is>
      </c>
      <c r="K115" s="2" t="inlineStr">
        <is>
          <t>2026-08-31</t>
        </is>
      </c>
      <c r="L115" s="2" t="inlineStr">
        <is>
          <t>-</t>
        </is>
      </c>
      <c r="M115" s="7" t="inlineStr">
        <is>
          <t>아이비케이(IBK)투자증권</t>
        </is>
      </c>
      <c r="N115" s="7" t="inlineStr">
        <is>
          <t>주가안정 및 주주가치 제고</t>
        </is>
      </c>
      <c r="O115" s="2" t="inlineStr">
        <is>
          <t>20260529001351</t>
        </is>
      </c>
      <c r="P115" s="8">
        <f>HYPERLINK("https://dart.fss.or.kr/dsaf001/main.do?rcpNo=20260529001351", "공시열람")</f>
        <v/>
      </c>
    </row>
    <row r="116" ht="36" customHeight="1">
      <c r="A116" s="2" t="inlineStr">
        <is>
          <t>2026-05-29</t>
        </is>
      </c>
      <c r="B116" s="3" t="inlineStr">
        <is>
          <t>에스켐</t>
        </is>
      </c>
      <c r="C116" s="2" t="inlineStr">
        <is>
          <t>코스닥</t>
        </is>
      </c>
      <c r="D116" s="2" t="inlineStr">
        <is>
          <t>475660</t>
        </is>
      </c>
      <c r="E116" s="7" t="inlineStr">
        <is>
          <t>주요사항보고서(자기주식취득결정)</t>
        </is>
      </c>
      <c r="F116" s="2" t="inlineStr">
        <is>
          <t>자기주식취득결정</t>
        </is>
      </c>
      <c r="G116" s="5" t="n">
        <v>500000000</v>
      </c>
      <c r="H116" s="6" t="n">
        <v>120481</v>
      </c>
      <c r="I116" s="3" t="inlineStr">
        <is>
          <t>비고</t>
        </is>
      </c>
      <c r="J116" s="2" t="inlineStr">
        <is>
          <t>2026-06-01</t>
        </is>
      </c>
      <c r="K116" s="2" t="inlineStr">
        <is>
          <t>2026-08-31</t>
        </is>
      </c>
      <c r="L116" s="2" t="inlineStr">
        <is>
          <t>-</t>
        </is>
      </c>
      <c r="M116" s="7" t="inlineStr">
        <is>
          <t>NH투자증권(NH INVESTMENT &amp; SECURITIES CO.,LTD.)</t>
        </is>
      </c>
      <c r="N116" s="7" t="inlineStr">
        <is>
          <t>주가 안정 및 임직원 성과보상</t>
        </is>
      </c>
      <c r="O116" s="2" t="inlineStr">
        <is>
          <t>20260529001131</t>
        </is>
      </c>
      <c r="P116" s="8">
        <f>HYPERLINK("https://dart.fss.or.kr/dsaf001/main.do?rcpNo=20260529001131", "공시열람")</f>
        <v/>
      </c>
    </row>
    <row r="117" ht="36" customHeight="1">
      <c r="A117" s="2" t="inlineStr">
        <is>
          <t>2026-05-29</t>
        </is>
      </c>
      <c r="B117" s="3" t="inlineStr">
        <is>
          <t>씨피시스템</t>
        </is>
      </c>
      <c r="C117" s="2" t="inlineStr">
        <is>
          <t>코스닥</t>
        </is>
      </c>
      <c r="D117" s="2" t="inlineStr">
        <is>
          <t>413630</t>
        </is>
      </c>
      <c r="E117" s="7" t="inlineStr">
        <is>
          <t xml:space="preserve">주식소각결정              </t>
        </is>
      </c>
      <c r="F117" s="2" t="inlineStr">
        <is>
          <t>자기주식소각결정</t>
        </is>
      </c>
      <c r="G117" s="5" t="n">
        <v>45228</v>
      </c>
      <c r="H117" s="6" t="n">
        <v>21</v>
      </c>
      <c r="I117" s="3" t="inlineStr">
        <is>
          <t>기취득 자기주식</t>
        </is>
      </c>
      <c r="J117" s="2" t="inlineStr">
        <is>
          <t>-</t>
        </is>
      </c>
      <c r="K117" s="2" t="inlineStr">
        <is>
          <t>-</t>
        </is>
      </c>
      <c r="L117" s="2" t="inlineStr">
        <is>
          <t>2026-06-08</t>
        </is>
      </c>
      <c r="M117" s="7" t="inlineStr">
        <is>
          <t>-</t>
        </is>
      </c>
      <c r="N117" s="7" t="inlineStr">
        <is>
          <t>주주가치 제고 및 주식소각</t>
        </is>
      </c>
      <c r="O117" s="2" t="inlineStr">
        <is>
          <t>20260529900799</t>
        </is>
      </c>
      <c r="P117" s="8">
        <f>HYPERLINK("https://dart.fss.or.kr/dsaf001/main.do?rcpNo=20260529900799", "공시열람")</f>
        <v/>
      </c>
    </row>
    <row r="118" ht="36" customHeight="1">
      <c r="A118" s="2" t="inlineStr">
        <is>
          <t>2026-05-29</t>
        </is>
      </c>
      <c r="B118" s="3" t="inlineStr">
        <is>
          <t>엑셈</t>
        </is>
      </c>
      <c r="C118" s="2" t="inlineStr">
        <is>
          <t>코스닥</t>
        </is>
      </c>
      <c r="D118" s="2" t="inlineStr">
        <is>
          <t>205100</t>
        </is>
      </c>
      <c r="E118" s="7" t="inlineStr">
        <is>
          <t>주요사항보고서(자기주식취득결정)</t>
        </is>
      </c>
      <c r="F118" s="2" t="inlineStr">
        <is>
          <t>자기주식취득결정</t>
        </is>
      </c>
      <c r="G118" s="5" t="n">
        <v>1000000000</v>
      </c>
      <c r="H118" s="6" t="n">
        <v>575373</v>
      </c>
      <c r="I118" s="3" t="inlineStr">
        <is>
          <t>비고</t>
        </is>
      </c>
      <c r="J118" s="2" t="inlineStr">
        <is>
          <t>2026-06-01</t>
        </is>
      </c>
      <c r="K118" s="2" t="inlineStr">
        <is>
          <t>2026-08-31</t>
        </is>
      </c>
      <c r="L118" s="2" t="inlineStr">
        <is>
          <t>-</t>
        </is>
      </c>
      <c r="M118" s="7" t="inlineStr">
        <is>
          <t>삼성증권(Samsung Securities Co., Ltd)</t>
        </is>
      </c>
      <c r="N118" s="7" t="inlineStr">
        <is>
          <t>임직원 등의 성과보상 재원 마련 목적</t>
        </is>
      </c>
      <c r="O118" s="2" t="inlineStr">
        <is>
          <t>20260529000753</t>
        </is>
      </c>
      <c r="P118" s="8">
        <f>HYPERLINK("https://dart.fss.or.kr/dsaf001/main.do?rcpNo=20260529000753", "공시열람")</f>
        <v/>
      </c>
    </row>
    <row r="119" ht="36" customHeight="1">
      <c r="A119" s="2" t="inlineStr">
        <is>
          <t>2026-05-29</t>
        </is>
      </c>
      <c r="B119" s="3" t="inlineStr">
        <is>
          <t>고스트스튜디오</t>
        </is>
      </c>
      <c r="C119" s="2" t="inlineStr">
        <is>
          <t>코스닥</t>
        </is>
      </c>
      <c r="D119" s="2" t="inlineStr">
        <is>
          <t>950190</t>
        </is>
      </c>
      <c r="E119" s="7" t="inlineStr">
        <is>
          <t>주요사항보고서(자기주식취득결정)</t>
        </is>
      </c>
      <c r="F119" s="2" t="inlineStr">
        <is>
          <t>자기주식취득결정</t>
        </is>
      </c>
      <c r="G119" s="5" t="n">
        <v>12644582400</v>
      </c>
      <c r="H119" s="6" t="n">
        <v>1756192</v>
      </c>
      <c r="I119" s="3" t="inlineStr">
        <is>
          <t>비고</t>
        </is>
      </c>
      <c r="J119" s="2" t="inlineStr">
        <is>
          <t>2026-06-10</t>
        </is>
      </c>
      <c r="K119" s="2" t="inlineStr">
        <is>
          <t>2026-08-28</t>
        </is>
      </c>
      <c r="L119" s="2" t="inlineStr">
        <is>
          <t>-</t>
        </is>
      </c>
      <c r="M119" s="7" t="inlineStr">
        <is>
          <t>교보증권(KYOBO SECURITIES CO., LTD.)</t>
        </is>
      </c>
      <c r="N119" s="7" t="inlineStr">
        <is>
          <t>자사주 매입 및 소각을 통한주주환원</t>
        </is>
      </c>
      <c r="O119" s="2" t="inlineStr">
        <is>
          <t>20260529000175</t>
        </is>
      </c>
      <c r="P119" s="8">
        <f>HYPERLINK("https://dart.fss.or.kr/dsaf001/main.do?rcpNo=20260529000175", "공시열람")</f>
        <v/>
      </c>
    </row>
    <row r="120" ht="36" customHeight="1">
      <c r="A120" s="2" t="inlineStr">
        <is>
          <t>2026-06-01</t>
        </is>
      </c>
      <c r="B120" s="3" t="inlineStr">
        <is>
          <t>바이오포트</t>
        </is>
      </c>
      <c r="C120" s="2" t="inlineStr">
        <is>
          <t>코스닥</t>
        </is>
      </c>
      <c r="D120" s="2" t="inlineStr">
        <is>
          <t>188040</t>
        </is>
      </c>
      <c r="E120" s="7" t="inlineStr">
        <is>
          <t>주요사항보고서(자기주식취득결정)</t>
        </is>
      </c>
      <c r="F120" s="2" t="inlineStr">
        <is>
          <t>자기주식취득결정</t>
        </is>
      </c>
      <c r="G120" s="5" t="n">
        <v>1000000000</v>
      </c>
      <c r="H120" s="6" t="n">
        <v>235294</v>
      </c>
      <c r="I120" s="3" t="inlineStr">
        <is>
          <t>비고</t>
        </is>
      </c>
      <c r="J120" s="2" t="inlineStr">
        <is>
          <t>2026-06-02</t>
        </is>
      </c>
      <c r="K120" s="2" t="inlineStr">
        <is>
          <t>2026-09-01</t>
        </is>
      </c>
      <c r="L120" s="2" t="inlineStr">
        <is>
          <t>-</t>
        </is>
      </c>
      <c r="M120" s="7" t="inlineStr">
        <is>
          <t>NH투자증권(NH INVESTMENT &amp; SECURITIES CO.,LTD.)</t>
        </is>
      </c>
      <c r="N120" s="7" t="inlineStr">
        <is>
          <t>주가 안정 및 소각을 통한 주주가치 제고</t>
        </is>
      </c>
      <c r="O120" s="2" t="inlineStr">
        <is>
          <t>20260601001757</t>
        </is>
      </c>
      <c r="P120" s="8">
        <f>HYPERLINK("https://dart.fss.or.kr/dsaf001/main.do?rcpNo=20260601001757", "공시열람")</f>
        <v/>
      </c>
    </row>
    <row r="121" ht="36" customHeight="1">
      <c r="A121" s="2" t="inlineStr">
        <is>
          <t>2026-06-01</t>
        </is>
      </c>
      <c r="B121" s="3" t="inlineStr">
        <is>
          <t>삼성출판사</t>
        </is>
      </c>
      <c r="C121" s="2" t="inlineStr">
        <is>
          <t>코스피</t>
        </is>
      </c>
      <c r="D121" s="2" t="inlineStr">
        <is>
          <t>068290</t>
        </is>
      </c>
      <c r="E121" s="7" t="inlineStr">
        <is>
          <t>주요사항보고서(자기주식취득신탁계약체결결정)</t>
        </is>
      </c>
      <c r="F121" s="2" t="inlineStr">
        <is>
          <t>신탁계약체결결정</t>
        </is>
      </c>
      <c r="G121" s="5" t="n">
        <v>0</v>
      </c>
      <c r="H121" s="6" t="n">
        <v>153139</v>
      </c>
      <c r="I121" s="3" t="inlineStr">
        <is>
          <t>비고</t>
        </is>
      </c>
      <c r="J121" s="2" t="inlineStr">
        <is>
          <t>2026-06-01</t>
        </is>
      </c>
      <c r="K121" s="2" t="inlineStr">
        <is>
          <t>2026-11-30</t>
        </is>
      </c>
      <c r="L121" s="2" t="inlineStr">
        <is>
          <t>-</t>
        </is>
      </c>
      <c r="M121" s="7" t="inlineStr">
        <is>
          <t>주식회사 대신증권</t>
        </is>
      </c>
      <c r="N121" s="7" t="inlineStr">
        <is>
          <t>주식가격의 안정 및 주주가치 제고</t>
        </is>
      </c>
      <c r="O121" s="2" t="inlineStr">
        <is>
          <t>20260601001298</t>
        </is>
      </c>
      <c r="P121" s="8">
        <f>HYPERLINK("https://dart.fss.or.kr/dsaf001/main.do?rcpNo=20260601001298", "공시열람")</f>
        <v/>
      </c>
    </row>
    <row r="122" ht="36" customHeight="1">
      <c r="A122" s="2" t="inlineStr">
        <is>
          <t>2026-06-01</t>
        </is>
      </c>
      <c r="B122" s="3" t="inlineStr">
        <is>
          <t>RF시스템즈</t>
        </is>
      </c>
      <c r="C122" s="2" t="inlineStr">
        <is>
          <t>코스닥</t>
        </is>
      </c>
      <c r="D122" s="2" t="inlineStr">
        <is>
          <t>474610</t>
        </is>
      </c>
      <c r="E122" s="7" t="inlineStr">
        <is>
          <t xml:space="preserve">주식소각결정              </t>
        </is>
      </c>
      <c r="F122" s="2" t="inlineStr">
        <is>
          <t>자기주식소각결정</t>
        </is>
      </c>
      <c r="G122" s="5" t="n">
        <v>983796840</v>
      </c>
      <c r="H122" s="6" t="n">
        <v>93428</v>
      </c>
      <c r="I122" s="3" t="inlineStr">
        <is>
          <t>기취득 자기주식</t>
        </is>
      </c>
      <c r="J122" s="2" t="inlineStr">
        <is>
          <t>-</t>
        </is>
      </c>
      <c r="K122" s="2" t="inlineStr">
        <is>
          <t>-</t>
        </is>
      </c>
      <c r="L122" s="2" t="inlineStr">
        <is>
          <t>2026-06-12</t>
        </is>
      </c>
      <c r="M122" s="7" t="inlineStr">
        <is>
          <t>-</t>
        </is>
      </c>
      <c r="N122" s="7" t="inlineStr">
        <is>
          <t>주주가치 제고 및 주식소각</t>
        </is>
      </c>
      <c r="O122" s="2" t="inlineStr">
        <is>
          <t>20260601900973</t>
        </is>
      </c>
      <c r="P122" s="8">
        <f>HYPERLINK("https://dart.fss.or.kr/dsaf001/main.do?rcpNo=20260601900973", "공시열람")</f>
        <v/>
      </c>
    </row>
    <row r="123" ht="36" customHeight="1">
      <c r="A123" s="2" t="inlineStr">
        <is>
          <t>2026-06-01</t>
        </is>
      </c>
      <c r="B123" s="3" t="inlineStr">
        <is>
          <t>폰드그룹</t>
        </is>
      </c>
      <c r="C123" s="2" t="inlineStr">
        <is>
          <t>코스닥</t>
        </is>
      </c>
      <c r="D123" s="2" t="inlineStr">
        <is>
          <t>472850</t>
        </is>
      </c>
      <c r="E123" s="7" t="inlineStr">
        <is>
          <t>주요사항보고서(자기주식취득신탁계약체결결정)</t>
        </is>
      </c>
      <c r="F123" s="2" t="inlineStr">
        <is>
          <t>신탁계약체결결정</t>
        </is>
      </c>
      <c r="G123" s="5" t="n">
        <v>1300000000</v>
      </c>
      <c r="H123" s="6" t="n">
        <v>302677</v>
      </c>
      <c r="I123" s="3" t="inlineStr">
        <is>
          <t>비고</t>
        </is>
      </c>
      <c r="J123" s="2" t="inlineStr">
        <is>
          <t>2026-06-02</t>
        </is>
      </c>
      <c r="K123" s="2" t="inlineStr">
        <is>
          <t>2026-12-02</t>
        </is>
      </c>
      <c r="L123" s="2" t="inlineStr">
        <is>
          <t>-</t>
        </is>
      </c>
      <c r="M123" s="7" t="inlineStr">
        <is>
          <t>삼성증권(Samsung Securities Co., Ltd.)</t>
        </is>
      </c>
      <c r="N123" s="7" t="inlineStr">
        <is>
          <t>주가안정 및 주주가치 제고</t>
        </is>
      </c>
      <c r="O123" s="2" t="inlineStr">
        <is>
          <t>20260601000993</t>
        </is>
      </c>
      <c r="P123" s="8">
        <f>HYPERLINK("https://dart.fss.or.kr/dsaf001/main.do?rcpNo=20260601000993", "공시열람")</f>
        <v/>
      </c>
    </row>
    <row r="124" ht="36" customHeight="1">
      <c r="A124" s="2" t="inlineStr">
        <is>
          <t>2026-06-01</t>
        </is>
      </c>
      <c r="B124" s="3" t="inlineStr">
        <is>
          <t>MH에탄올</t>
        </is>
      </c>
      <c r="C124" s="2" t="inlineStr">
        <is>
          <t>코스피</t>
        </is>
      </c>
      <c r="D124" s="2" t="inlineStr">
        <is>
          <t>023150</t>
        </is>
      </c>
      <c r="E124" s="7" t="inlineStr">
        <is>
          <t>주요사항보고서(자기주식취득결정)</t>
        </is>
      </c>
      <c r="F124" s="2" t="inlineStr">
        <is>
          <t>자기주식취득결정</t>
        </is>
      </c>
      <c r="G124" s="5" t="n">
        <v>371000000</v>
      </c>
      <c r="H124" s="6" t="n">
        <v>100000</v>
      </c>
      <c r="I124" s="3" t="inlineStr">
        <is>
          <t>비고</t>
        </is>
      </c>
      <c r="J124" s="2" t="inlineStr">
        <is>
          <t>2026-06-02</t>
        </is>
      </c>
      <c r="K124" s="2" t="inlineStr">
        <is>
          <t>2026-09-01</t>
        </is>
      </c>
      <c r="L124" s="2" t="inlineStr">
        <is>
          <t>-</t>
        </is>
      </c>
      <c r="M124" s="7" t="inlineStr">
        <is>
          <t>BNK투자증권</t>
        </is>
      </c>
      <c r="N124" s="7" t="inlineStr">
        <is>
          <t>주가 안정 및 주주가치 제고</t>
        </is>
      </c>
      <c r="O124" s="2" t="inlineStr">
        <is>
          <t>20260601000804</t>
        </is>
      </c>
      <c r="P124" s="8">
        <f>HYPERLINK("https://dart.fss.or.kr/dsaf001/main.do?rcpNo=20260601000804", "공시열람")</f>
        <v/>
      </c>
    </row>
    <row r="125" ht="36" customHeight="1">
      <c r="A125" s="2" t="inlineStr">
        <is>
          <t>2026-06-01</t>
        </is>
      </c>
      <c r="B125" s="3" t="inlineStr">
        <is>
          <t>티피씨글로벌</t>
        </is>
      </c>
      <c r="C125" s="2" t="inlineStr">
        <is>
          <t>코스닥</t>
        </is>
      </c>
      <c r="D125" s="2" t="inlineStr">
        <is>
          <t>130740</t>
        </is>
      </c>
      <c r="E125" s="7" t="inlineStr">
        <is>
          <t>주요사항보고서(자기주식취득신탁계약체결결정)</t>
        </is>
      </c>
      <c r="F125" s="2" t="inlineStr">
        <is>
          <t>신탁계약체결결정</t>
        </is>
      </c>
      <c r="G125" s="5" t="n">
        <v>2000000000</v>
      </c>
      <c r="H125" s="6" t="n">
        <v>1170960</v>
      </c>
      <c r="I125" s="3" t="inlineStr">
        <is>
          <t>비고</t>
        </is>
      </c>
      <c r="J125" s="2" t="inlineStr">
        <is>
          <t>2026-06-01</t>
        </is>
      </c>
      <c r="K125" s="2" t="inlineStr">
        <is>
          <t>2027-06-01</t>
        </is>
      </c>
      <c r="L125" s="2" t="inlineStr">
        <is>
          <t>-</t>
        </is>
      </c>
      <c r="M125" s="7" t="inlineStr">
        <is>
          <t>NH투자증권</t>
        </is>
      </c>
      <c r="N125" s="7" t="inlineStr">
        <is>
          <t>주가 안정 및 주주가치 제고</t>
        </is>
      </c>
      <c r="O125" s="2" t="inlineStr">
        <is>
          <t>20260601000628</t>
        </is>
      </c>
      <c r="P125" s="8">
        <f>HYPERLINK("https://dart.fss.or.kr/dsaf001/main.do?rcpNo=20260601000628", "공시열람")</f>
        <v/>
      </c>
    </row>
    <row r="126" ht="36" customHeight="1">
      <c r="A126" s="2" t="inlineStr">
        <is>
          <t>2026-06-01</t>
        </is>
      </c>
      <c r="B126" s="3" t="inlineStr">
        <is>
          <t>휴럼</t>
        </is>
      </c>
      <c r="C126" s="2" t="inlineStr">
        <is>
          <t>코스닥</t>
        </is>
      </c>
      <c r="D126" s="2" t="inlineStr">
        <is>
          <t>353190</t>
        </is>
      </c>
      <c r="E126" s="7" t="inlineStr">
        <is>
          <t>주요사항보고서(자기주식취득결정)</t>
        </is>
      </c>
      <c r="F126" s="2" t="inlineStr">
        <is>
          <t>자기주식취득결정</t>
        </is>
      </c>
      <c r="G126" s="5" t="n">
        <v>1000000000</v>
      </c>
      <c r="H126" s="6" t="n">
        <v>384615</v>
      </c>
      <c r="I126" s="3" t="inlineStr">
        <is>
          <t>비고</t>
        </is>
      </c>
      <c r="J126" s="2" t="inlineStr">
        <is>
          <t>2026-06-02</t>
        </is>
      </c>
      <c r="K126" s="2" t="inlineStr">
        <is>
          <t>2026-08-31</t>
        </is>
      </c>
      <c r="L126" s="2" t="inlineStr">
        <is>
          <t>-</t>
        </is>
      </c>
      <c r="M126" s="7" t="inlineStr">
        <is>
          <t>NH투자증권</t>
        </is>
      </c>
      <c r="N126" s="7" t="inlineStr">
        <is>
          <t>자기주식 취득 및 소각을 통한 주주환원과 기업가치 제고</t>
        </is>
      </c>
      <c r="O126" s="2" t="inlineStr">
        <is>
          <t>20260601000479</t>
        </is>
      </c>
      <c r="P126" s="8">
        <f>HYPERLINK("https://dart.fss.or.kr/dsaf001/main.do?rcpNo=20260601000479", "공시열람")</f>
        <v/>
      </c>
    </row>
    <row r="127" ht="36" customHeight="1">
      <c r="A127" s="2" t="inlineStr">
        <is>
          <t>2026-06-01</t>
        </is>
      </c>
      <c r="B127" s="3" t="inlineStr">
        <is>
          <t>바이오비쥬</t>
        </is>
      </c>
      <c r="C127" s="2" t="inlineStr">
        <is>
          <t>코스닥</t>
        </is>
      </c>
      <c r="D127" s="2" t="inlineStr">
        <is>
          <t>489460</t>
        </is>
      </c>
      <c r="E127" s="7" t="inlineStr">
        <is>
          <t>주요사항보고서(자기주식취득결정)</t>
        </is>
      </c>
      <c r="F127" s="2" t="inlineStr">
        <is>
          <t>자기주식취득결정</t>
        </is>
      </c>
      <c r="G127" s="5" t="n">
        <v>0</v>
      </c>
      <c r="H127" s="6" t="n">
        <v>322100</v>
      </c>
      <c r="I127" s="3" t="inlineStr">
        <is>
          <t>비고</t>
        </is>
      </c>
      <c r="J127" s="2" t="inlineStr">
        <is>
          <t>2026-06-02</t>
        </is>
      </c>
      <c r="K127" s="2" t="inlineStr">
        <is>
          <t>2026-08-31</t>
        </is>
      </c>
      <c r="L127" s="2" t="inlineStr">
        <is>
          <t>-</t>
        </is>
      </c>
      <c r="M127" s="7" t="inlineStr">
        <is>
          <t>KB증권</t>
        </is>
      </c>
      <c r="N127" s="7" t="inlineStr">
        <is>
          <t>주주환원 정책 및 주주가치 제고(자사주 매입 후 소각)</t>
        </is>
      </c>
      <c r="O127" s="2" t="inlineStr">
        <is>
          <t>20260601000391</t>
        </is>
      </c>
      <c r="P127" s="8">
        <f>HYPERLINK("https://dart.fss.or.kr/dsaf001/main.do?rcpNo=20260601000391", "공시열람")</f>
        <v/>
      </c>
    </row>
    <row r="128" ht="36" customHeight="1">
      <c r="A128" s="2" t="inlineStr">
        <is>
          <t>2026-06-01</t>
        </is>
      </c>
      <c r="B128" s="3" t="inlineStr">
        <is>
          <t>씨아이테크</t>
        </is>
      </c>
      <c r="C128" s="2" t="inlineStr">
        <is>
          <t>코스피</t>
        </is>
      </c>
      <c r="D128" s="2" t="inlineStr">
        <is>
          <t>004920</t>
        </is>
      </c>
      <c r="E128" s="7" t="inlineStr">
        <is>
          <t>주요사항보고서(자기주식취득결정)</t>
        </is>
      </c>
      <c r="F128" s="2" t="inlineStr">
        <is>
          <t>자기주식취득결정</t>
        </is>
      </c>
      <c r="G128" s="5" t="n">
        <v>1000000000</v>
      </c>
      <c r="H128" s="6" t="n">
        <v>1030927</v>
      </c>
      <c r="I128" s="3" t="inlineStr">
        <is>
          <t>비고</t>
        </is>
      </c>
      <c r="J128" s="2" t="inlineStr">
        <is>
          <t>2026-06-02</t>
        </is>
      </c>
      <c r="K128" s="2" t="inlineStr">
        <is>
          <t>2026-09-01</t>
        </is>
      </c>
      <c r="L128" s="2" t="inlineStr">
        <is>
          <t>-</t>
        </is>
      </c>
      <c r="M128" s="7" t="inlineStr">
        <is>
          <t>삼성증권( SAMSUNG SECURITIES CO.,LTD)</t>
        </is>
      </c>
      <c r="N128" s="7" t="inlineStr">
        <is>
          <t>주가안정 및 소각을 통한 주주가치 제고</t>
        </is>
      </c>
      <c r="O128" s="2" t="inlineStr">
        <is>
          <t>20260601000347</t>
        </is>
      </c>
      <c r="P128" s="8">
        <f>HYPERLINK("https://dart.fss.or.kr/dsaf001/main.do?rcpNo=20260601000347", "공시열람")</f>
        <v/>
      </c>
    </row>
    <row r="129" ht="36" customHeight="1">
      <c r="A129" s="2" t="inlineStr">
        <is>
          <t>2026-06-02</t>
        </is>
      </c>
      <c r="B129" s="3" t="inlineStr">
        <is>
          <t>나이스정보통신</t>
        </is>
      </c>
      <c r="C129" s="2" t="inlineStr">
        <is>
          <t>코스닥</t>
        </is>
      </c>
      <c r="D129" s="2" t="inlineStr">
        <is>
          <t>036800</t>
        </is>
      </c>
      <c r="E129" s="7" t="inlineStr">
        <is>
          <t>주요사항보고서(자기주식취득신탁계약체결결정)</t>
        </is>
      </c>
      <c r="F129" s="2" t="inlineStr">
        <is>
          <t>신탁계약체결결정</t>
        </is>
      </c>
      <c r="G129" s="5" t="n">
        <v>3000000000</v>
      </c>
      <c r="H129" s="6" t="n">
        <v>113852</v>
      </c>
      <c r="I129" s="3" t="inlineStr">
        <is>
          <t>비고</t>
        </is>
      </c>
      <c r="J129" s="2" t="inlineStr">
        <is>
          <t>2026-06-10</t>
        </is>
      </c>
      <c r="K129" s="2" t="inlineStr">
        <is>
          <t>2027-06-09</t>
        </is>
      </c>
      <c r="L129" s="2" t="inlineStr">
        <is>
          <t>-</t>
        </is>
      </c>
      <c r="M129" s="7" t="inlineStr">
        <is>
          <t>신한투자증권(Shinhan Securities Co., Ltd.)</t>
        </is>
      </c>
      <c r="N129" s="7" t="inlineStr">
        <is>
          <t>주주가치 제고 및 임직원 보상 활용</t>
        </is>
      </c>
      <c r="O129" s="2" t="inlineStr">
        <is>
          <t>20260602000537</t>
        </is>
      </c>
      <c r="P129" s="8">
        <f>HYPERLINK("https://dart.fss.or.kr/dsaf001/main.do?rcpNo=20260602000537", "공시열람")</f>
        <v/>
      </c>
    </row>
    <row r="130" ht="36" customHeight="1">
      <c r="A130" s="2" t="inlineStr">
        <is>
          <t>2026-06-02</t>
        </is>
      </c>
      <c r="B130" s="3" t="inlineStr">
        <is>
          <t>나이스정보통신</t>
        </is>
      </c>
      <c r="C130" s="2" t="inlineStr">
        <is>
          <t>코스닥</t>
        </is>
      </c>
      <c r="D130" s="2" t="inlineStr">
        <is>
          <t>036800</t>
        </is>
      </c>
      <c r="E130" s="7" t="inlineStr">
        <is>
          <t xml:space="preserve">주식소각결정              </t>
        </is>
      </c>
      <c r="F130" s="2" t="inlineStr">
        <is>
          <t>자기주식소각결정</t>
        </is>
      </c>
      <c r="G130" s="5" t="n">
        <v>14716800000</v>
      </c>
      <c r="H130" s="6" t="n">
        <v>900000</v>
      </c>
      <c r="I130" s="3" t="inlineStr">
        <is>
          <t>기취득 자기주식</t>
        </is>
      </c>
      <c r="J130" s="2" t="inlineStr">
        <is>
          <t>-</t>
        </is>
      </c>
      <c r="K130" s="2" t="inlineStr">
        <is>
          <t>-</t>
        </is>
      </c>
      <c r="L130" s="2" t="inlineStr">
        <is>
          <t>2026-06-08</t>
        </is>
      </c>
      <c r="M130" s="7" t="inlineStr">
        <is>
          <t>-</t>
        </is>
      </c>
      <c r="N130" s="7" t="inlineStr">
        <is>
          <t>주주가치 제고 및 주식소각</t>
        </is>
      </c>
      <c r="O130" s="2" t="inlineStr">
        <is>
          <t>20260602900582</t>
        </is>
      </c>
      <c r="P130" s="8">
        <f>HYPERLINK("https://dart.fss.or.kr/dsaf001/main.do?rcpNo=20260602900582", "공시열람")</f>
        <v/>
      </c>
    </row>
    <row r="131" ht="36" customHeight="1">
      <c r="A131" s="2" t="inlineStr">
        <is>
          <t>2026-06-02</t>
        </is>
      </c>
      <c r="B131" s="3" t="inlineStr">
        <is>
          <t>마녀공장</t>
        </is>
      </c>
      <c r="C131" s="2" t="inlineStr">
        <is>
          <t>코스닥</t>
        </is>
      </c>
      <c r="D131" s="2" t="inlineStr">
        <is>
          <t>439090</t>
        </is>
      </c>
      <c r="E131" s="7" t="inlineStr">
        <is>
          <t>주요사항보고서(자기주식취득신탁계약체결결정)</t>
        </is>
      </c>
      <c r="F131" s="2" t="inlineStr">
        <is>
          <t>신탁계약체결결정</t>
        </is>
      </c>
      <c r="G131" s="5" t="n">
        <v>5000000000</v>
      </c>
      <c r="H131" s="6" t="n">
        <v>362581</v>
      </c>
      <c r="I131" s="3" t="inlineStr">
        <is>
          <t>비고</t>
        </is>
      </c>
      <c r="J131" s="2" t="inlineStr">
        <is>
          <t>2026-06-02</t>
        </is>
      </c>
      <c r="K131" s="2" t="inlineStr">
        <is>
          <t>2026-12-02</t>
        </is>
      </c>
      <c r="L131" s="2" t="inlineStr">
        <is>
          <t>-</t>
        </is>
      </c>
      <c r="M131" s="7" t="inlineStr">
        <is>
          <t>NH투자증권(NH INVESTMENT &amp; SECURITIES CO.,LTD.)</t>
        </is>
      </c>
      <c r="N131" s="7" t="inlineStr">
        <is>
          <t>주주 가치 제고 및 주가 안정</t>
        </is>
      </c>
      <c r="O131" s="2" t="inlineStr">
        <is>
          <t>20260602000317</t>
        </is>
      </c>
      <c r="P131" s="8">
        <f>HYPERLINK("https://dart.fss.or.kr/dsaf001/main.do?rcpNo=20260602000317", "공시열람")</f>
        <v/>
      </c>
    </row>
    <row r="132" ht="36" customHeight="1">
      <c r="A132" s="2" t="inlineStr">
        <is>
          <t>2026-06-02</t>
        </is>
      </c>
      <c r="B132" s="3" t="inlineStr">
        <is>
          <t>미원상사</t>
        </is>
      </c>
      <c r="C132" s="2" t="inlineStr">
        <is>
          <t>코스피</t>
        </is>
      </c>
      <c r="D132" s="2" t="inlineStr">
        <is>
          <t>002840</t>
        </is>
      </c>
      <c r="E132" s="7" t="inlineStr">
        <is>
          <t>주요사항보고서(자기주식취득결정)</t>
        </is>
      </c>
      <c r="F132" s="2" t="inlineStr">
        <is>
          <t>자기주식취득결정</t>
        </is>
      </c>
      <c r="G132" s="5" t="n">
        <v>2999992000</v>
      </c>
      <c r="H132" s="6" t="n">
        <v>25862</v>
      </c>
      <c r="I132" s="3" t="inlineStr">
        <is>
          <t>비고</t>
        </is>
      </c>
      <c r="J132" s="2" t="inlineStr">
        <is>
          <t>2026-06-04</t>
        </is>
      </c>
      <c r="K132" s="2" t="inlineStr">
        <is>
          <t>2026-09-03</t>
        </is>
      </c>
      <c r="L132" s="2" t="inlineStr">
        <is>
          <t>-</t>
        </is>
      </c>
      <c r="M132" s="7" t="inlineStr">
        <is>
          <t>NH투자증권</t>
        </is>
      </c>
      <c r="N132" s="7" t="inlineStr">
        <is>
          <t>주식가격의 안정</t>
        </is>
      </c>
      <c r="O132" s="2" t="inlineStr">
        <is>
          <t>20260602000280</t>
        </is>
      </c>
      <c r="P132" s="8">
        <f>HYPERLINK("https://dart.fss.or.kr/dsaf001/main.do?rcpNo=20260602000280", "공시열람")</f>
        <v/>
      </c>
    </row>
    <row r="133" ht="36" customHeight="1">
      <c r="A133" s="2" t="inlineStr">
        <is>
          <t>2026-06-02</t>
        </is>
      </c>
      <c r="B133" s="3" t="inlineStr">
        <is>
          <t>마녀공장</t>
        </is>
      </c>
      <c r="C133" s="2" t="inlineStr">
        <is>
          <t>코스닥</t>
        </is>
      </c>
      <c r="D133" s="2" t="inlineStr">
        <is>
          <t>439090</t>
        </is>
      </c>
      <c r="E133" s="7" t="inlineStr">
        <is>
          <t>주요사항보고서(자기주식취득신탁계약해지결정)</t>
        </is>
      </c>
      <c r="F133" s="2" t="inlineStr">
        <is>
          <t>신탁계약체결결정</t>
        </is>
      </c>
      <c r="G133" s="5" t="n">
        <v>5000000000</v>
      </c>
      <c r="H133" s="6" t="inlineStr"/>
      <c r="I133" s="3" t="inlineStr">
        <is>
          <t>비고</t>
        </is>
      </c>
      <c r="J133" s="2" t="inlineStr">
        <is>
          <t>2026-03-25</t>
        </is>
      </c>
      <c r="K133" s="2" t="inlineStr">
        <is>
          <t>2026-09-24</t>
        </is>
      </c>
      <c r="L133" s="2" t="inlineStr">
        <is>
          <t>-</t>
        </is>
      </c>
      <c r="M133" s="7" t="inlineStr">
        <is>
          <t>-</t>
        </is>
      </c>
      <c r="N133" s="7" t="inlineStr">
        <is>
          <t>자기주식 취득 완료에 따른 중도 해지</t>
        </is>
      </c>
      <c r="O133" s="2" t="inlineStr">
        <is>
          <t>20260602000177</t>
        </is>
      </c>
      <c r="P133" s="8">
        <f>HYPERLINK("https://dart.fss.or.kr/dsaf001/main.do?rcpNo=20260602000177", "공시열람")</f>
        <v/>
      </c>
    </row>
    <row r="134" ht="36" customHeight="1">
      <c r="A134" s="2" t="inlineStr">
        <is>
          <t>2026-06-02</t>
        </is>
      </c>
      <c r="B134" s="3" t="inlineStr">
        <is>
          <t>이퓨쳐</t>
        </is>
      </c>
      <c r="C134" s="2" t="inlineStr">
        <is>
          <t>코스닥</t>
        </is>
      </c>
      <c r="D134" s="2" t="inlineStr">
        <is>
          <t>134060</t>
        </is>
      </c>
      <c r="E134" s="7" t="inlineStr">
        <is>
          <t>주요사항보고서(자기주식취득신탁계약체결결정)</t>
        </is>
      </c>
      <c r="F134" s="2" t="inlineStr">
        <is>
          <t>신탁계약체결결정</t>
        </is>
      </c>
      <c r="G134" s="5" t="n">
        <v>1000000000</v>
      </c>
      <c r="H134" s="6" t="n">
        <v>266666</v>
      </c>
      <c r="I134" s="3" t="inlineStr">
        <is>
          <t>비고</t>
        </is>
      </c>
      <c r="J134" s="2" t="inlineStr">
        <is>
          <t>2026-06-02</t>
        </is>
      </c>
      <c r="K134" s="2" t="inlineStr">
        <is>
          <t>2026-12-01</t>
        </is>
      </c>
      <c r="L134" s="2" t="inlineStr">
        <is>
          <t>-</t>
        </is>
      </c>
      <c r="M134" s="7" t="inlineStr">
        <is>
          <t>삼성증권(주)(SAMSUNG SECURITIES CO.,LTD)</t>
        </is>
      </c>
      <c r="N134" s="7" t="inlineStr">
        <is>
          <t>주가안정 및 주주가치 제고</t>
        </is>
      </c>
      <c r="O134" s="2" t="inlineStr">
        <is>
          <t>20260602000189</t>
        </is>
      </c>
      <c r="P134" s="8">
        <f>HYPERLINK("https://dart.fss.or.kr/dsaf001/main.do?rcpNo=20260602000189", "공시열람")</f>
        <v/>
      </c>
    </row>
    <row r="135" ht="36" customHeight="1">
      <c r="A135" s="2" t="inlineStr">
        <is>
          <t>2026-06-02</t>
        </is>
      </c>
      <c r="B135" s="3" t="inlineStr">
        <is>
          <t>휴비츠</t>
        </is>
      </c>
      <c r="C135" s="2" t="inlineStr">
        <is>
          <t>코스닥</t>
        </is>
      </c>
      <c r="D135" s="2" t="inlineStr">
        <is>
          <t>065510</t>
        </is>
      </c>
      <c r="E135" s="7" t="inlineStr">
        <is>
          <t>주요사항보고서(자기주식취득신탁계약해지결정)</t>
        </is>
      </c>
      <c r="F135" s="2" t="inlineStr">
        <is>
          <t>신탁계약체결결정</t>
        </is>
      </c>
      <c r="G135" s="5" t="n">
        <v>3000000000</v>
      </c>
      <c r="H135" s="6" t="inlineStr"/>
      <c r="I135" s="3" t="inlineStr">
        <is>
          <t>비고</t>
        </is>
      </c>
      <c r="J135" s="2" t="inlineStr">
        <is>
          <t>2025-08-04</t>
        </is>
      </c>
      <c r="K135" s="2" t="inlineStr">
        <is>
          <t>2026-08-03</t>
        </is>
      </c>
      <c r="L135" s="2" t="inlineStr">
        <is>
          <t>-</t>
        </is>
      </c>
      <c r="M135" s="7" t="inlineStr">
        <is>
          <t>-</t>
        </is>
      </c>
      <c r="N135" s="7" t="inlineStr">
        <is>
          <t>자기주식 취득완료에 따른 중도해지</t>
        </is>
      </c>
      <c r="O135" s="2" t="inlineStr">
        <is>
          <t>20260602000141</t>
        </is>
      </c>
      <c r="P135" s="8">
        <f>HYPERLINK("https://dart.fss.or.kr/dsaf001/main.do?rcpNo=20260602000141", "공시열람")</f>
        <v/>
      </c>
    </row>
    <row r="136" ht="36" customHeight="1">
      <c r="A136" s="2" t="inlineStr">
        <is>
          <t>2026-06-02 (정정: 2026-06-02)</t>
        </is>
      </c>
      <c r="B136" s="3" t="inlineStr">
        <is>
          <t>엠씨넥스</t>
        </is>
      </c>
      <c r="C136" s="2" t="inlineStr">
        <is>
          <t>코스피</t>
        </is>
      </c>
      <c r="D136" s="2" t="inlineStr">
        <is>
          <t>097520</t>
        </is>
      </c>
      <c r="E136" s="7" t="inlineStr">
        <is>
          <t>[기재정정]주요사항보고서(자기주식취득결정)</t>
        </is>
      </c>
      <c r="F136" s="2" t="inlineStr">
        <is>
          <t>자기주식취득결정</t>
        </is>
      </c>
      <c r="G136" s="5" t="n">
        <v>4999985450</v>
      </c>
      <c r="H136" s="6" t="n">
        <v>237529</v>
      </c>
      <c r="I136" s="3" t="inlineStr">
        <is>
          <t>비고</t>
        </is>
      </c>
      <c r="J136" s="2" t="inlineStr">
        <is>
          <t>2026-06-04</t>
        </is>
      </c>
      <c r="K136" s="2" t="inlineStr">
        <is>
          <t>2026-09-03</t>
        </is>
      </c>
      <c r="L136" s="2" t="inlineStr">
        <is>
          <t>-</t>
        </is>
      </c>
      <c r="M136" s="7" t="inlineStr">
        <is>
          <t>한국투자증권</t>
        </is>
      </c>
      <c r="N136" s="7" t="inlineStr">
        <is>
          <t>주가 안정 및 주주가치 제고</t>
        </is>
      </c>
      <c r="O136" s="2" t="inlineStr">
        <is>
          <t>20260602000130</t>
        </is>
      </c>
      <c r="P136" s="8">
        <f>HYPERLINK("https://dart.fss.or.kr/dsaf001/main.do?rcpNo=20260602000130", "공시열람")</f>
        <v/>
      </c>
    </row>
    <row r="137" ht="36" customHeight="1">
      <c r="A137" s="2" t="inlineStr">
        <is>
          <t>2026-06-02</t>
        </is>
      </c>
      <c r="B137" s="3" t="inlineStr">
        <is>
          <t>동양</t>
        </is>
      </c>
      <c r="C137" s="2" t="inlineStr">
        <is>
          <t>코스피</t>
        </is>
      </c>
      <c r="D137" s="2" t="inlineStr">
        <is>
          <t>001520</t>
        </is>
      </c>
      <c r="E137" s="7" t="inlineStr">
        <is>
          <t xml:space="preserve">주식소각결정              </t>
        </is>
      </c>
      <c r="F137" s="2" t="inlineStr">
        <is>
          <t>자기주식소각결정</t>
        </is>
      </c>
      <c r="G137" s="5" t="n">
        <v>71933907946</v>
      </c>
      <c r="H137" s="6" t="n">
        <v>24439999</v>
      </c>
      <c r="I137" s="3" t="inlineStr">
        <is>
          <t>기취득 자기주식</t>
        </is>
      </c>
      <c r="J137" s="2" t="inlineStr">
        <is>
          <t>-</t>
        </is>
      </c>
      <c r="K137" s="2" t="inlineStr">
        <is>
          <t>-</t>
        </is>
      </c>
      <c r="L137" s="2" t="inlineStr">
        <is>
          <t>2026-06-09</t>
        </is>
      </c>
      <c r="M137" s="7" t="inlineStr">
        <is>
          <t>-</t>
        </is>
      </c>
      <c r="N137" s="7" t="inlineStr">
        <is>
          <t>주주가치 제고 및 주식소각</t>
        </is>
      </c>
      <c r="O137" s="2" t="inlineStr">
        <is>
          <t>20260602800243</t>
        </is>
      </c>
      <c r="P137" s="8">
        <f>HYPERLINK("https://dart.fss.or.kr/dsaf001/main.do?rcpNo=20260602800243", "공시열람")</f>
        <v/>
      </c>
    </row>
    <row r="138" ht="36" customHeight="1">
      <c r="A138" s="2" t="inlineStr">
        <is>
          <t>2026-06-02</t>
        </is>
      </c>
      <c r="B138" s="3" t="inlineStr">
        <is>
          <t>엠씨넥스</t>
        </is>
      </c>
      <c r="C138" s="2" t="inlineStr">
        <is>
          <t>코스피</t>
        </is>
      </c>
      <c r="D138" s="2" t="inlineStr">
        <is>
          <t>097520</t>
        </is>
      </c>
      <c r="E138" s="7" t="inlineStr">
        <is>
          <t>주요사항보고서(자기주식취득결정)</t>
        </is>
      </c>
      <c r="F138" s="2" t="inlineStr">
        <is>
          <t>자기주식취득결정</t>
        </is>
      </c>
      <c r="G138" s="5" t="n">
        <v>4999985450</v>
      </c>
      <c r="H138" s="6" t="n">
        <v>237529</v>
      </c>
      <c r="I138" s="3" t="inlineStr">
        <is>
          <t>비고</t>
        </is>
      </c>
      <c r="J138" s="2" t="inlineStr">
        <is>
          <t>2026-06-04</t>
        </is>
      </c>
      <c r="K138" s="2" t="inlineStr">
        <is>
          <t>2026-09-03</t>
        </is>
      </c>
      <c r="L138" s="2" t="inlineStr">
        <is>
          <t>-</t>
        </is>
      </c>
      <c r="M138" s="7" t="inlineStr">
        <is>
          <t>한국투자증권</t>
        </is>
      </c>
      <c r="N138" s="7" t="inlineStr">
        <is>
          <t>주가 안정 및 주주가치 제고</t>
        </is>
      </c>
      <c r="O138" s="2" t="inlineStr">
        <is>
          <t>20260602000125</t>
        </is>
      </c>
      <c r="P138" s="8">
        <f>HYPERLINK("https://dart.fss.or.kr/dsaf001/main.do?rcpNo=20260602000125", "공시열람")</f>
        <v/>
      </c>
    </row>
    <row r="139" ht="36" customHeight="1">
      <c r="A139" s="2" t="inlineStr">
        <is>
          <t>2026-06-02</t>
        </is>
      </c>
      <c r="B139" s="3" t="inlineStr">
        <is>
          <t>윈하이텍</t>
        </is>
      </c>
      <c r="C139" s="2" t="inlineStr">
        <is>
          <t>코스닥</t>
        </is>
      </c>
      <c r="D139" s="2" t="inlineStr">
        <is>
          <t>192390</t>
        </is>
      </c>
      <c r="E139" s="7" t="inlineStr">
        <is>
          <t>주요사항보고서(자기주식취득신탁계약체결결정)</t>
        </is>
      </c>
      <c r="F139" s="2" t="inlineStr">
        <is>
          <t>신탁계약체결결정</t>
        </is>
      </c>
      <c r="G139" s="5" t="n">
        <v>2000000000</v>
      </c>
      <c r="H139" s="6" t="n">
        <v>1414427</v>
      </c>
      <c r="I139" s="3" t="inlineStr">
        <is>
          <t>비고</t>
        </is>
      </c>
      <c r="J139" s="2" t="inlineStr">
        <is>
          <t>2026-06-02</t>
        </is>
      </c>
      <c r="K139" s="2" t="inlineStr">
        <is>
          <t>2026-12-01</t>
        </is>
      </c>
      <c r="L139" s="2" t="inlineStr">
        <is>
          <t>-</t>
        </is>
      </c>
      <c r="M139" s="7" t="inlineStr">
        <is>
          <t>유진투자증권</t>
        </is>
      </c>
      <c r="N139" s="7" t="inlineStr">
        <is>
          <t>주가 안정 및 주주가치 제고</t>
        </is>
      </c>
      <c r="O139" s="2" t="inlineStr">
        <is>
          <t>20260602000084</t>
        </is>
      </c>
      <c r="P139" s="8">
        <f>HYPERLINK("https://dart.fss.or.kr/dsaf001/main.do?rcpNo=20260602000084", "공시열람")</f>
        <v/>
      </c>
    </row>
    <row r="140" ht="36" customHeight="1">
      <c r="A140" s="2" t="inlineStr">
        <is>
          <t>2026-06-04 (정정: 2026-06-05)</t>
        </is>
      </c>
      <c r="B140" s="3" t="inlineStr">
        <is>
          <t>달바글로벌</t>
        </is>
      </c>
      <c r="C140" s="2" t="inlineStr">
        <is>
          <t>코스피</t>
        </is>
      </c>
      <c r="D140" s="2" t="inlineStr">
        <is>
          <t>483650</t>
        </is>
      </c>
      <c r="E140" s="7" t="inlineStr">
        <is>
          <t>주요사항보고서(자기주식취득신탁계약해지결정) (정정: 20260605) (정정: 20260605)</t>
        </is>
      </c>
      <c r="F140" s="2" t="inlineStr">
        <is>
          <t>신탁계약체결결정</t>
        </is>
      </c>
      <c r="G140" s="5" t="n">
        <v>19999953600</v>
      </c>
      <c r="H140" s="6" t="inlineStr"/>
      <c r="I140" s="3" t="inlineStr">
        <is>
          <t>비고</t>
        </is>
      </c>
      <c r="J140" s="2" t="inlineStr">
        <is>
          <t>2026-04-22</t>
        </is>
      </c>
      <c r="K140" s="2" t="inlineStr">
        <is>
          <t>2026-07-21</t>
        </is>
      </c>
      <c r="L140" s="2" t="inlineStr">
        <is>
          <t>-</t>
        </is>
      </c>
      <c r="M140" s="7" t="inlineStr">
        <is>
          <t>-</t>
        </is>
      </c>
      <c r="N140" s="7" t="inlineStr">
        <is>
          <t>임원 대상 자기주식 상여 지급</t>
        </is>
      </c>
      <c r="O140" s="2" t="inlineStr">
        <is>
          <t>20260605000620</t>
        </is>
      </c>
      <c r="P140" s="8">
        <f>HYPERLINK("https://dart.fss.or.kr/dsaf001/main.do?rcpNo=20260605000620", "공시열람")</f>
        <v/>
      </c>
    </row>
    <row r="141" ht="36" customHeight="1">
      <c r="A141" s="2" t="inlineStr">
        <is>
          <t>2026-05-11 (정정: 2026-06-04)</t>
        </is>
      </c>
      <c r="B141" s="3" t="inlineStr">
        <is>
          <t>NHN</t>
        </is>
      </c>
      <c r="C141" s="2" t="inlineStr">
        <is>
          <t>코스피</t>
        </is>
      </c>
      <c r="D141" s="2" t="inlineStr">
        <is>
          <t>181710</t>
        </is>
      </c>
      <c r="E141" s="7" t="inlineStr">
        <is>
          <t xml:space="preserve">[기재정정]주식소각결정              </t>
        </is>
      </c>
      <c r="F141" s="2" t="inlineStr">
        <is>
          <t>자기주식소각결정</t>
        </is>
      </c>
      <c r="G141" s="5" t="n">
        <v>16702584855</v>
      </c>
      <c r="H141" s="6" t="n">
        <v>424174</v>
      </c>
      <c r="I141" s="3" t="inlineStr">
        <is>
          <t>장내매수</t>
        </is>
      </c>
      <c r="J141" s="2" t="inlineStr">
        <is>
          <t>2026-05-12</t>
        </is>
      </c>
      <c r="K141" s="2" t="inlineStr">
        <is>
          <t>2026-05-29</t>
        </is>
      </c>
      <c r="L141" s="2" t="inlineStr">
        <is>
          <t>2026-08-12</t>
        </is>
      </c>
      <c r="M141" s="7" t="inlineStr">
        <is>
          <t>KB증권</t>
        </is>
      </c>
      <c r="N141" s="7" t="inlineStr">
        <is>
          <t>주주가치 제고 및 주식소각</t>
        </is>
      </c>
      <c r="O141" s="2" t="inlineStr">
        <is>
          <t>20260604800718</t>
        </is>
      </c>
      <c r="P141" s="8">
        <f>HYPERLINK("https://dart.fss.or.kr/dsaf001/main.do?rcpNo=20260604800718", "공시열람")</f>
        <v/>
      </c>
    </row>
    <row r="142" ht="36" customHeight="1">
      <c r="A142" s="2" t="inlineStr">
        <is>
          <t>2026-06-04</t>
        </is>
      </c>
      <c r="B142" s="3" t="inlineStr">
        <is>
          <t>블루엠텍</t>
        </is>
      </c>
      <c r="C142" s="2" t="inlineStr">
        <is>
          <t>코스닥</t>
        </is>
      </c>
      <c r="D142" s="2" t="inlineStr">
        <is>
          <t>439580</t>
        </is>
      </c>
      <c r="E142" s="7" t="inlineStr">
        <is>
          <t>주요사항보고서(자기주식취득신탁계약체결결정)</t>
        </is>
      </c>
      <c r="F142" s="2" t="inlineStr">
        <is>
          <t>신탁계약체결결정</t>
        </is>
      </c>
      <c r="G142" s="5" t="n">
        <v>1000000000</v>
      </c>
      <c r="H142" s="6" t="n">
        <v>449438</v>
      </c>
      <c r="I142" s="3" t="inlineStr">
        <is>
          <t>비고</t>
        </is>
      </c>
      <c r="J142" s="2" t="inlineStr">
        <is>
          <t>2026-06-04</t>
        </is>
      </c>
      <c r="K142" s="2" t="inlineStr">
        <is>
          <t>2026-12-04</t>
        </is>
      </c>
      <c r="L142" s="2" t="inlineStr">
        <is>
          <t>-</t>
        </is>
      </c>
      <c r="M142" s="7" t="inlineStr">
        <is>
          <t>NH투자증권(주)(NH INVESTMENT &amp; SECURITIES CO.,LTD.</t>
        </is>
      </c>
      <c r="N142" s="7" t="inlineStr">
        <is>
          <t>주가 안정 및 주주가치 제고</t>
        </is>
      </c>
      <c r="O142" s="2" t="inlineStr">
        <is>
          <t>20260604000344</t>
        </is>
      </c>
      <c r="P142" s="8">
        <f>HYPERLINK("https://dart.fss.or.kr/dsaf001/main.do?rcpNo=20260604000344", "공시열람")</f>
        <v/>
      </c>
    </row>
    <row r="143" ht="36" customHeight="1">
      <c r="A143" s="2" t="inlineStr">
        <is>
          <t>2026-06-04</t>
        </is>
      </c>
      <c r="B143" s="3" t="inlineStr">
        <is>
          <t>케이옥션</t>
        </is>
      </c>
      <c r="C143" s="2" t="inlineStr">
        <is>
          <t>코스닥</t>
        </is>
      </c>
      <c r="D143" s="2" t="inlineStr">
        <is>
          <t>102370</t>
        </is>
      </c>
      <c r="E143" s="7" t="inlineStr">
        <is>
          <t xml:space="preserve">주식소각결정              </t>
        </is>
      </c>
      <c r="F143" s="2" t="inlineStr">
        <is>
          <t>자기주식소각결정</t>
        </is>
      </c>
      <c r="G143" s="5" t="n">
        <v>7957219670</v>
      </c>
      <c r="H143" s="6" t="n">
        <v>1340920</v>
      </c>
      <c r="I143" s="3" t="inlineStr">
        <is>
          <t>기취득 자기주식</t>
        </is>
      </c>
      <c r="J143" s="2" t="inlineStr">
        <is>
          <t>-</t>
        </is>
      </c>
      <c r="K143" s="2" t="inlineStr">
        <is>
          <t>-</t>
        </is>
      </c>
      <c r="L143" s="2" t="inlineStr">
        <is>
          <t>2026-06-24</t>
        </is>
      </c>
      <c r="M143" s="7" t="inlineStr">
        <is>
          <t>-</t>
        </is>
      </c>
      <c r="N143" s="7" t="inlineStr">
        <is>
          <t>주주가치 제고 및 주식소각</t>
        </is>
      </c>
      <c r="O143" s="2" t="inlineStr">
        <is>
          <t>20260604900345</t>
        </is>
      </c>
      <c r="P143" s="8">
        <f>HYPERLINK("https://dart.fss.or.kr/dsaf001/main.do?rcpNo=20260604900345", "공시열람")</f>
        <v/>
      </c>
    </row>
    <row r="144" ht="36" customHeight="1">
      <c r="A144" s="2" t="inlineStr">
        <is>
          <t>2026-06-04</t>
        </is>
      </c>
      <c r="B144" s="3" t="inlineStr">
        <is>
          <t>세나테크놀로지</t>
        </is>
      </c>
      <c r="C144" s="2" t="inlineStr">
        <is>
          <t>코스닥</t>
        </is>
      </c>
      <c r="D144" s="2" t="inlineStr">
        <is>
          <t>061090</t>
        </is>
      </c>
      <c r="E144" s="7" t="inlineStr">
        <is>
          <t xml:space="preserve">주식소각결정              </t>
        </is>
      </c>
      <c r="F144" s="2" t="inlineStr">
        <is>
          <t>자기주식소각결정</t>
        </is>
      </c>
      <c r="G144" s="5" t="n">
        <v>4995425000</v>
      </c>
      <c r="H144" s="6" t="n">
        <v>121650</v>
      </c>
      <c r="I144" s="3" t="inlineStr">
        <is>
          <t>기취득 자기주식</t>
        </is>
      </c>
      <c r="J144" s="2" t="inlineStr">
        <is>
          <t>-</t>
        </is>
      </c>
      <c r="K144" s="2" t="inlineStr">
        <is>
          <t>-</t>
        </is>
      </c>
      <c r="L144" s="2" t="inlineStr">
        <is>
          <t>2026-06-11</t>
        </is>
      </c>
      <c r="M144" s="7" t="inlineStr">
        <is>
          <t>신한투자증권 (Shinhan Securities Co., Ltd)</t>
        </is>
      </c>
      <c r="N144" s="7" t="inlineStr">
        <is>
          <t>주주가치 제고 및 주식소각</t>
        </is>
      </c>
      <c r="O144" s="2" t="inlineStr">
        <is>
          <t>20260604900275</t>
        </is>
      </c>
      <c r="P144" s="8">
        <f>HYPERLINK("https://dart.fss.or.kr/dsaf001/main.do?rcpNo=20260604900275", "공시열람")</f>
        <v/>
      </c>
    </row>
    <row r="145" ht="36" customHeight="1">
      <c r="A145" s="2" t="inlineStr">
        <is>
          <t>2026-06-04</t>
        </is>
      </c>
      <c r="B145" s="3" t="inlineStr">
        <is>
          <t>세나테크놀로지</t>
        </is>
      </c>
      <c r="C145" s="2" t="inlineStr">
        <is>
          <t>코스닥</t>
        </is>
      </c>
      <c r="D145" s="2" t="inlineStr">
        <is>
          <t>061090</t>
        </is>
      </c>
      <c r="E145" s="7" t="inlineStr">
        <is>
          <t>주요사항보고서(자기주식취득신탁계약해지결정)</t>
        </is>
      </c>
      <c r="F145" s="2" t="inlineStr">
        <is>
          <t>신탁계약체결결정</t>
        </is>
      </c>
      <c r="G145" s="5" t="n">
        <v>5000000000</v>
      </c>
      <c r="H145" s="6" t="inlineStr"/>
      <c r="I145" s="3" t="inlineStr">
        <is>
          <t>비고</t>
        </is>
      </c>
      <c r="J145" s="2" t="inlineStr">
        <is>
          <t>2026-04-01</t>
        </is>
      </c>
      <c r="K145" s="2" t="inlineStr">
        <is>
          <t>2026-09-30</t>
        </is>
      </c>
      <c r="L145" s="2" t="inlineStr">
        <is>
          <t>-</t>
        </is>
      </c>
      <c r="M145" s="7" t="inlineStr">
        <is>
          <t>-</t>
        </is>
      </c>
      <c r="N145" s="7" t="inlineStr">
        <is>
          <t>자기주식 취득 완료에 따른 중도해지</t>
        </is>
      </c>
      <c r="O145" s="2" t="inlineStr">
        <is>
          <t>20260604000139</t>
        </is>
      </c>
      <c r="P145" s="8">
        <f>HYPERLINK("https://dart.fss.or.kr/dsaf001/main.do?rcpNo=20260604000139", "공시열람")</f>
        <v/>
      </c>
    </row>
    <row r="146" ht="36" customHeight="1">
      <c r="A146" s="2" t="inlineStr">
        <is>
          <t>2026-06-04</t>
        </is>
      </c>
      <c r="B146" s="3" t="inlineStr">
        <is>
          <t>플랜티넷</t>
        </is>
      </c>
      <c r="C146" s="2" t="inlineStr">
        <is>
          <t>코스닥</t>
        </is>
      </c>
      <c r="D146" s="2" t="inlineStr">
        <is>
          <t>075130</t>
        </is>
      </c>
      <c r="E146" s="7" t="inlineStr">
        <is>
          <t xml:space="preserve">주식소각결정              </t>
        </is>
      </c>
      <c r="F146" s="2" t="inlineStr">
        <is>
          <t>자기주식소각결정</t>
        </is>
      </c>
      <c r="G146" s="5" t="n">
        <v>3288124685</v>
      </c>
      <c r="H146" s="6" t="n">
        <v>500000</v>
      </c>
      <c r="I146" s="3" t="inlineStr">
        <is>
          <t>기취득 자기주식</t>
        </is>
      </c>
      <c r="J146" s="2" t="inlineStr">
        <is>
          <t>-</t>
        </is>
      </c>
      <c r="K146" s="2" t="inlineStr">
        <is>
          <t>-</t>
        </is>
      </c>
      <c r="L146" s="2" t="inlineStr">
        <is>
          <t>2026-06-19</t>
        </is>
      </c>
      <c r="M146" s="7" t="inlineStr">
        <is>
          <t>-</t>
        </is>
      </c>
      <c r="N146" s="7" t="inlineStr">
        <is>
          <t>주주가치 제고 및 주식소각</t>
        </is>
      </c>
      <c r="O146" s="2" t="inlineStr">
        <is>
          <t>20260604900227</t>
        </is>
      </c>
      <c r="P146" s="8">
        <f>HYPERLINK("https://dart.fss.or.kr/dsaf001/main.do?rcpNo=20260604900227", "공시열람")</f>
        <v/>
      </c>
    </row>
    <row r="147" ht="36" customHeight="1">
      <c r="A147" s="2" t="inlineStr">
        <is>
          <t>2026-06-04</t>
        </is>
      </c>
      <c r="B147" s="3" t="inlineStr">
        <is>
          <t>젝시믹스</t>
        </is>
      </c>
      <c r="C147" s="2" t="inlineStr">
        <is>
          <t>코스닥</t>
        </is>
      </c>
      <c r="D147" s="2" t="inlineStr">
        <is>
          <t>337930</t>
        </is>
      </c>
      <c r="E147" s="7" t="inlineStr">
        <is>
          <t>주요사항보고서(자기주식취득신탁계약체결결정)</t>
        </is>
      </c>
      <c r="F147" s="2" t="inlineStr">
        <is>
          <t>신탁계약체결결정</t>
        </is>
      </c>
      <c r="G147" s="5" t="n">
        <v>2000000000</v>
      </c>
      <c r="H147" s="6" t="n">
        <v>682593</v>
      </c>
      <c r="I147" s="3" t="inlineStr">
        <is>
          <t>비고</t>
        </is>
      </c>
      <c r="J147" s="2" t="inlineStr">
        <is>
          <t>2026-06-08</t>
        </is>
      </c>
      <c r="K147" s="2" t="inlineStr">
        <is>
          <t>2026-12-07</t>
        </is>
      </c>
      <c r="L147" s="2" t="inlineStr">
        <is>
          <t>-</t>
        </is>
      </c>
      <c r="M147" s="7" t="inlineStr">
        <is>
          <t>삼성증권 주식회사(Samsung Securities Co., Ltd)</t>
        </is>
      </c>
      <c r="N147" s="7" t="inlineStr">
        <is>
          <t>주가 안정 및 주주가치 제고 등</t>
        </is>
      </c>
      <c r="O147" s="2" t="inlineStr">
        <is>
          <t>20260604000053</t>
        </is>
      </c>
      <c r="P147" s="8">
        <f>HYPERLINK("https://dart.fss.or.kr/dsaf001/main.do?rcpNo=20260604000053", "공시열람")</f>
        <v/>
      </c>
    </row>
    <row r="148" ht="36" customHeight="1">
      <c r="A148" s="2" t="inlineStr">
        <is>
          <t>2026-06-05 (정정: 2026-06-05)</t>
        </is>
      </c>
      <c r="B148" s="3" t="inlineStr">
        <is>
          <t>달바글로벌</t>
        </is>
      </c>
      <c r="C148" s="2" t="inlineStr">
        <is>
          <t>코스피</t>
        </is>
      </c>
      <c r="D148" s="2" t="inlineStr">
        <is>
          <t>483650</t>
        </is>
      </c>
      <c r="E148" s="7" t="inlineStr">
        <is>
          <t>[첨부정정]주요사항보고서(자기주식취득신탁계약해지결정) (정정: 20260605)</t>
        </is>
      </c>
      <c r="F148" s="2" t="inlineStr">
        <is>
          <t>신탁계약체결결정</t>
        </is>
      </c>
      <c r="G148" s="5" t="n">
        <v>17056461800</v>
      </c>
      <c r="H148" s="6" t="n">
        <v>91016</v>
      </c>
      <c r="I148" s="3" t="inlineStr">
        <is>
          <t>비고</t>
        </is>
      </c>
      <c r="J148" s="2" t="inlineStr">
        <is>
          <t>2026-04-22</t>
        </is>
      </c>
      <c r="K148" s="2" t="inlineStr">
        <is>
          <t>2026-07-21</t>
        </is>
      </c>
      <c r="L148" s="2" t="inlineStr">
        <is>
          <t>-</t>
        </is>
      </c>
      <c r="M148" s="7" t="inlineStr">
        <is>
          <t>NH투자증권</t>
        </is>
      </c>
      <c r="N148" s="7" t="inlineStr">
        <is>
          <t>주주가치제고, 임직원 주식보상</t>
        </is>
      </c>
      <c r="O148" s="2" t="inlineStr">
        <is>
          <t>20260604000657</t>
        </is>
      </c>
      <c r="P148" s="8">
        <f>HYPERLINK("https://dart.fss.or.kr/dsaf001/main.do?rcpNo=20260604000657", "공시열람")</f>
        <v/>
      </c>
    </row>
    <row r="149" ht="36" customHeight="1">
      <c r="A149" s="2" t="inlineStr">
        <is>
          <t>2026-06-05</t>
        </is>
      </c>
      <c r="B149" s="3" t="inlineStr">
        <is>
          <t>알트</t>
        </is>
      </c>
      <c r="C149" s="2" t="inlineStr">
        <is>
          <t>코스닥</t>
        </is>
      </c>
      <c r="D149" s="2" t="inlineStr">
        <is>
          <t>459550</t>
        </is>
      </c>
      <c r="E149" s="7" t="inlineStr">
        <is>
          <t>주요사항보고서(자기주식취득신탁계약체결결정)</t>
        </is>
      </c>
      <c r="F149" s="2" t="inlineStr">
        <is>
          <t>신탁계약체결결정</t>
        </is>
      </c>
      <c r="G149" s="5" t="n">
        <v>3000000000</v>
      </c>
      <c r="H149" s="6" t="n">
        <v>2076124</v>
      </c>
      <c r="I149" s="3" t="inlineStr">
        <is>
          <t>비고</t>
        </is>
      </c>
      <c r="J149" s="2" t="inlineStr">
        <is>
          <t>2026-06-05</t>
        </is>
      </c>
      <c r="K149" s="2" t="inlineStr">
        <is>
          <t>2026-12-07</t>
        </is>
      </c>
      <c r="L149" s="2" t="inlineStr">
        <is>
          <t>-</t>
        </is>
      </c>
      <c r="M149" s="7" t="inlineStr">
        <is>
          <t>대신증권(주)(DAISHIN SECURITIES CO., LTD.)</t>
        </is>
      </c>
      <c r="N149" s="7" t="inlineStr">
        <is>
          <t>주주가치 제고</t>
        </is>
      </c>
      <c r="O149" s="2" t="inlineStr">
        <is>
          <t>20260605000397</t>
        </is>
      </c>
      <c r="P149" s="8">
        <f>HYPERLINK("https://dart.fss.or.kr/dsaf001/main.do?rcpNo=20260605000397", "공시열람")</f>
        <v/>
      </c>
    </row>
    <row r="150" ht="36" customHeight="1">
      <c r="A150" s="2" t="inlineStr">
        <is>
          <t>2026-06-05 (정정: 2026-06-05)</t>
        </is>
      </c>
      <c r="B150" s="3" t="inlineStr">
        <is>
          <t>코나아이</t>
        </is>
      </c>
      <c r="C150" s="2" t="inlineStr">
        <is>
          <t>코스닥</t>
        </is>
      </c>
      <c r="D150" s="2" t="inlineStr">
        <is>
          <t>052400</t>
        </is>
      </c>
      <c r="E150" s="7" t="inlineStr">
        <is>
          <t>[기재정정]주요사항보고서(자기주식취득결정)</t>
        </is>
      </c>
      <c r="F150" s="2" t="inlineStr">
        <is>
          <t>자기주식취득결정</t>
        </is>
      </c>
      <c r="G150" s="5" t="n">
        <v>5010000000</v>
      </c>
      <c r="H150" s="6" t="n">
        <v>100000</v>
      </c>
      <c r="I150" s="3" t="inlineStr">
        <is>
          <t>비고</t>
        </is>
      </c>
      <c r="J150" s="2" t="inlineStr">
        <is>
          <t>2026-06-06</t>
        </is>
      </c>
      <c r="K150" s="2" t="inlineStr">
        <is>
          <t>2026-09-05</t>
        </is>
      </c>
      <c r="L150" s="2" t="inlineStr">
        <is>
          <t>-</t>
        </is>
      </c>
      <c r="M150" s="7" t="inlineStr">
        <is>
          <t>신한투자증권( Shinhan Securities Co.,Ltd.)</t>
        </is>
      </c>
      <c r="N150" s="7" t="inlineStr">
        <is>
          <t>주가안정 및 주주가치 제고</t>
        </is>
      </c>
      <c r="O150" s="2" t="inlineStr">
        <is>
          <t>20260605000384</t>
        </is>
      </c>
      <c r="P150" s="8">
        <f>HYPERLINK("https://dart.fss.or.kr/dsaf001/main.do?rcpNo=20260605000384", "공시열람")</f>
        <v/>
      </c>
    </row>
    <row r="151" ht="36" customHeight="1">
      <c r="A151" s="2" t="inlineStr">
        <is>
          <t>2026-06-05</t>
        </is>
      </c>
      <c r="B151" s="3" t="inlineStr">
        <is>
          <t>레뷰코퍼레이션</t>
        </is>
      </c>
      <c r="C151" s="2" t="inlineStr">
        <is>
          <t>코스닥</t>
        </is>
      </c>
      <c r="D151" s="2" t="inlineStr">
        <is>
          <t>443250</t>
        </is>
      </c>
      <c r="E151" s="7" t="inlineStr">
        <is>
          <t xml:space="preserve">주식소각결정              </t>
        </is>
      </c>
      <c r="F151" s="2" t="inlineStr">
        <is>
          <t>자기주식소각결정</t>
        </is>
      </c>
      <c r="G151" s="5" t="n">
        <v>2995762470</v>
      </c>
      <c r="H151" s="6" t="n">
        <v>327943</v>
      </c>
      <c r="I151" s="3" t="inlineStr">
        <is>
          <t>기취득 자기주식</t>
        </is>
      </c>
      <c r="J151" s="2" t="inlineStr">
        <is>
          <t>-</t>
        </is>
      </c>
      <c r="K151" s="2" t="inlineStr">
        <is>
          <t>-</t>
        </is>
      </c>
      <c r="L151" s="2" t="inlineStr">
        <is>
          <t>2026-06-17</t>
        </is>
      </c>
      <c r="M151" s="7" t="inlineStr">
        <is>
          <t>-</t>
        </is>
      </c>
      <c r="N151" s="7" t="inlineStr">
        <is>
          <t>주주가치 제고 및 주식소각</t>
        </is>
      </c>
      <c r="O151" s="2" t="inlineStr">
        <is>
          <t>20260605900464</t>
        </is>
      </c>
      <c r="P151" s="8">
        <f>HYPERLINK("https://dart.fss.or.kr/dsaf001/main.do?rcpNo=20260605900464", "공시열람")</f>
        <v/>
      </c>
    </row>
    <row r="152" ht="36" customHeight="1">
      <c r="A152" s="2" t="inlineStr">
        <is>
          <t>2026-06-05</t>
        </is>
      </c>
      <c r="B152" s="3" t="inlineStr">
        <is>
          <t>모비릭스</t>
        </is>
      </c>
      <c r="C152" s="2" t="inlineStr">
        <is>
          <t>코스닥</t>
        </is>
      </c>
      <c r="D152" s="2" t="inlineStr">
        <is>
          <t>348030</t>
        </is>
      </c>
      <c r="E152" s="7" t="inlineStr">
        <is>
          <t>주요사항보고서(자기주식취득신탁계약체결결정)</t>
        </is>
      </c>
      <c r="F152" s="2" t="inlineStr">
        <is>
          <t>신탁계약체결결정</t>
        </is>
      </c>
      <c r="G152" s="5" t="n">
        <v>4000000000</v>
      </c>
      <c r="H152" s="6" t="n">
        <v>1773835</v>
      </c>
      <c r="I152" s="3" t="inlineStr">
        <is>
          <t>비고</t>
        </is>
      </c>
      <c r="J152" s="2" t="inlineStr">
        <is>
          <t>2026-06-05</t>
        </is>
      </c>
      <c r="K152" s="2" t="inlineStr">
        <is>
          <t>2027-06-04</t>
        </is>
      </c>
      <c r="L152" s="2" t="inlineStr">
        <is>
          <t>-</t>
        </is>
      </c>
      <c r="M152" s="7" t="inlineStr">
        <is>
          <t>유안타증권( Yuanta Securities Korea Co., Ltd.)</t>
        </is>
      </c>
      <c r="N152" s="7" t="inlineStr">
        <is>
          <t>자기주식 취득 후 소각을 통한 주주가치 제고</t>
        </is>
      </c>
      <c r="O152" s="2" t="inlineStr">
        <is>
          <t>20260605000266</t>
        </is>
      </c>
      <c r="P152" s="8">
        <f>HYPERLINK("https://dart.fss.or.kr/dsaf001/main.do?rcpNo=20260605000266", "공시열람")</f>
        <v/>
      </c>
    </row>
    <row r="153" ht="36" customHeight="1">
      <c r="A153" s="2" t="inlineStr">
        <is>
          <t>2026-06-05</t>
        </is>
      </c>
      <c r="B153" s="3" t="inlineStr">
        <is>
          <t>신흥</t>
        </is>
      </c>
      <c r="C153" s="2" t="inlineStr">
        <is>
          <t>코스피</t>
        </is>
      </c>
      <c r="D153" s="2" t="inlineStr">
        <is>
          <t>004080</t>
        </is>
      </c>
      <c r="E153" s="7" t="inlineStr">
        <is>
          <t>주요사항보고서(자기주식취득결정)</t>
        </is>
      </c>
      <c r="F153" s="2" t="inlineStr">
        <is>
          <t>자기주식취득결정</t>
        </is>
      </c>
      <c r="G153" s="5" t="n">
        <v>1357000000</v>
      </c>
      <c r="H153" s="6" t="n">
        <v>100000</v>
      </c>
      <c r="I153" s="3" t="inlineStr">
        <is>
          <t>비고</t>
        </is>
      </c>
      <c r="J153" s="2" t="inlineStr">
        <is>
          <t>2026-06-08</t>
        </is>
      </c>
      <c r="K153" s="2" t="inlineStr">
        <is>
          <t>2026-09-07</t>
        </is>
      </c>
      <c r="L153" s="2" t="inlineStr">
        <is>
          <t>-</t>
        </is>
      </c>
      <c r="M153" s="7" t="inlineStr">
        <is>
          <t>미래에셋증권 (Mirae Asset Securities Co., Ltd)</t>
        </is>
      </c>
      <c r="N153" s="7" t="inlineStr">
        <is>
          <t>주주가치 제고를 위한 자기주식 취득</t>
        </is>
      </c>
      <c r="O153" s="2" t="inlineStr">
        <is>
          <t>20260605000222</t>
        </is>
      </c>
      <c r="P153" s="8">
        <f>HYPERLINK("https://dart.fss.or.kr/dsaf001/main.do?rcpNo=20260605000222", "공시열람")</f>
        <v/>
      </c>
    </row>
    <row r="154" ht="36" customHeight="1">
      <c r="A154" s="2" t="inlineStr">
        <is>
          <t>2026-06-05</t>
        </is>
      </c>
      <c r="B154" s="3" t="inlineStr">
        <is>
          <t>에이치와이티씨</t>
        </is>
      </c>
      <c r="C154" s="2" t="inlineStr">
        <is>
          <t>코스닥</t>
        </is>
      </c>
      <c r="D154" s="2" t="inlineStr">
        <is>
          <t>148930</t>
        </is>
      </c>
      <c r="E154" s="7" t="inlineStr">
        <is>
          <t>주요사항보고서(자기주식취득신탁계약체결결정)</t>
        </is>
      </c>
      <c r="F154" s="2" t="inlineStr">
        <is>
          <t>신탁계약체결결정</t>
        </is>
      </c>
      <c r="G154" s="5" t="n">
        <v>5000000000</v>
      </c>
      <c r="H154" s="6" t="n">
        <v>2123142</v>
      </c>
      <c r="I154" s="3" t="inlineStr">
        <is>
          <t>비고</t>
        </is>
      </c>
      <c r="J154" s="2" t="inlineStr">
        <is>
          <t>2026-06-10</t>
        </is>
      </c>
      <c r="K154" s="2" t="inlineStr">
        <is>
          <t>2027-06-09</t>
        </is>
      </c>
      <c r="L154" s="2" t="inlineStr">
        <is>
          <t>-</t>
        </is>
      </c>
      <c r="M154" s="7" t="inlineStr">
        <is>
          <t>신영증권 주식회사</t>
        </is>
      </c>
      <c r="N154" s="7" t="inlineStr">
        <is>
          <t>주주가치 제고</t>
        </is>
      </c>
      <c r="O154" s="2" t="inlineStr">
        <is>
          <t>20260605000150</t>
        </is>
      </c>
      <c r="P154" s="8">
        <f>HYPERLINK("https://dart.fss.or.kr/dsaf001/main.do?rcpNo=20260605000150", "공시열람")</f>
        <v/>
      </c>
    </row>
    <row r="155" ht="36" customHeight="1">
      <c r="A155" s="2" t="inlineStr">
        <is>
          <t>2026-06-05</t>
        </is>
      </c>
      <c r="B155" s="3" t="inlineStr">
        <is>
          <t>코나아이</t>
        </is>
      </c>
      <c r="C155" s="2" t="inlineStr">
        <is>
          <t>코스닥</t>
        </is>
      </c>
      <c r="D155" s="2" t="inlineStr">
        <is>
          <t>052400</t>
        </is>
      </c>
      <c r="E155" s="7" t="inlineStr">
        <is>
          <t>주요사항보고서(자기주식취득결정)</t>
        </is>
      </c>
      <c r="F155" s="2" t="inlineStr">
        <is>
          <t>자기주식취득결정</t>
        </is>
      </c>
      <c r="G155" s="5" t="n">
        <v>5010000000</v>
      </c>
      <c r="H155" s="6" t="n">
        <v>100000</v>
      </c>
      <c r="I155" s="3" t="inlineStr">
        <is>
          <t>비고</t>
        </is>
      </c>
      <c r="J155" s="2" t="inlineStr">
        <is>
          <t>2026-06-08</t>
        </is>
      </c>
      <c r="K155" s="2" t="inlineStr">
        <is>
          <t>2026-09-07</t>
        </is>
      </c>
      <c r="L155" s="2" t="inlineStr">
        <is>
          <t>-</t>
        </is>
      </c>
      <c r="M155" s="7" t="inlineStr">
        <is>
          <t>신한투자증권( Shinhan Securities Co.,Ltd.)</t>
        </is>
      </c>
      <c r="N155" s="7" t="inlineStr">
        <is>
          <t>주가안정 및 주주가치 제고</t>
        </is>
      </c>
      <c r="O155" s="2" t="inlineStr">
        <is>
          <t>20260605000102</t>
        </is>
      </c>
      <c r="P155" s="8">
        <f>HYPERLINK("https://dart.fss.or.kr/dsaf001/main.do?rcpNo=20260605000102", "공시열람")</f>
        <v/>
      </c>
    </row>
    <row r="156" ht="36" customHeight="1">
      <c r="A156" s="2" t="inlineStr">
        <is>
          <t>2026-06-08</t>
        </is>
      </c>
      <c r="B156" s="3" t="inlineStr">
        <is>
          <t>뉴보텍</t>
        </is>
      </c>
      <c r="C156" s="2" t="inlineStr">
        <is>
          <t>코스닥</t>
        </is>
      </c>
      <c r="D156" s="2" t="inlineStr">
        <is>
          <t>060260</t>
        </is>
      </c>
      <c r="E156" s="7" t="inlineStr">
        <is>
          <t>[기재정정]주요사항보고서(자기주식취득신탁계약체결결정)</t>
        </is>
      </c>
      <c r="F156" s="2" t="inlineStr">
        <is>
          <t>신탁계약체결결정</t>
        </is>
      </c>
      <c r="G156" s="5" t="n">
        <v>1400000000</v>
      </c>
      <c r="H156" s="6" t="n">
        <v>1348747</v>
      </c>
      <c r="I156" s="3" t="inlineStr">
        <is>
          <t>비고</t>
        </is>
      </c>
      <c r="J156" s="2" t="inlineStr">
        <is>
          <t>2026-06-08</t>
        </is>
      </c>
      <c r="K156" s="2" t="inlineStr">
        <is>
          <t>2026-12-07</t>
        </is>
      </c>
      <c r="L156" s="2" t="inlineStr">
        <is>
          <t>-</t>
        </is>
      </c>
      <c r="M156" s="7" t="inlineStr">
        <is>
          <t>SK증권(SK Securities Co., Ltd.)</t>
        </is>
      </c>
      <c r="N156" s="7" t="inlineStr">
        <is>
          <t>주가 안정 및 주주가치 제고</t>
        </is>
      </c>
      <c r="O156" s="2" t="inlineStr">
        <is>
          <t>20260608000355</t>
        </is>
      </c>
      <c r="P156" s="8">
        <f>HYPERLINK("https://dart.fss.or.kr/dsaf001/main.do?rcpNo=20260608000355", "공시열람")</f>
        <v/>
      </c>
    </row>
    <row r="157" ht="36" customHeight="1">
      <c r="A157" s="2" t="inlineStr">
        <is>
          <t>2026-06-08</t>
        </is>
      </c>
      <c r="B157" s="3" t="inlineStr">
        <is>
          <t>팅크웨어</t>
        </is>
      </c>
      <c r="C157" s="2" t="inlineStr">
        <is>
          <t>코스닥</t>
        </is>
      </c>
      <c r="D157" s="2" t="inlineStr">
        <is>
          <t>084730</t>
        </is>
      </c>
      <c r="E157" s="7" t="inlineStr">
        <is>
          <t>주식소각결정              (상환전환우선주)</t>
        </is>
      </c>
      <c r="F157" s="2" t="inlineStr">
        <is>
          <t>자기주식소각결정</t>
        </is>
      </c>
      <c r="G157" s="5" t="n">
        <v>23703261513</v>
      </c>
      <c r="H157" s="6" t="n">
        <v>0</v>
      </c>
      <c r="I157" s="3" t="inlineStr">
        <is>
          <t>장외매수</t>
        </is>
      </c>
      <c r="J157" s="2" t="inlineStr">
        <is>
          <t>2026-06-16</t>
        </is>
      </c>
      <c r="K157" s="2" t="inlineStr">
        <is>
          <t>2026-06-16</t>
        </is>
      </c>
      <c r="L157" s="2" t="inlineStr">
        <is>
          <t>2026-06-24</t>
        </is>
      </c>
      <c r="M157" s="7" t="inlineStr">
        <is>
          <t>-</t>
        </is>
      </c>
      <c r="N157" s="7" t="inlineStr">
        <is>
          <t>주주가치 제고 및 주식소각</t>
        </is>
      </c>
      <c r="O157" s="2" t="inlineStr">
        <is>
          <t>20260608900787</t>
        </is>
      </c>
      <c r="P157" s="8">
        <f>HYPERLINK("https://dart.fss.or.kr/dsaf001/main.do?rcpNo=20260608900787", "공시열람")</f>
        <v/>
      </c>
    </row>
    <row r="158" ht="36" customHeight="1">
      <c r="A158" s="2" t="inlineStr">
        <is>
          <t>2026-06-08</t>
        </is>
      </c>
      <c r="B158" s="3" t="inlineStr">
        <is>
          <t>팅크웨어</t>
        </is>
      </c>
      <c r="C158" s="2" t="inlineStr">
        <is>
          <t>코스닥</t>
        </is>
      </c>
      <c r="D158" s="2" t="inlineStr">
        <is>
          <t>084730</t>
        </is>
      </c>
      <c r="E158" s="7" t="inlineStr">
        <is>
          <t>주요사항보고서(자기주식취득결정)</t>
        </is>
      </c>
      <c r="F158" s="2" t="inlineStr">
        <is>
          <t>자기주식취득결정</t>
        </is>
      </c>
      <c r="G158" s="5" t="inlineStr"/>
      <c r="H158" s="6" t="inlineStr"/>
      <c r="I158" s="3" t="inlineStr">
        <is>
          <t>비고</t>
        </is>
      </c>
      <c r="J158" s="2" t="inlineStr">
        <is>
          <t>2026-06-16</t>
        </is>
      </c>
      <c r="K158" s="2" t="inlineStr">
        <is>
          <t>2026-06-16</t>
        </is>
      </c>
      <c r="L158" s="2" t="inlineStr">
        <is>
          <t>-</t>
        </is>
      </c>
      <c r="M158" s="7" t="inlineStr">
        <is>
          <t>-</t>
        </is>
      </c>
      <c r="N158" s="7" t="inlineStr">
        <is>
          <t>상환전환우선주 상환에 따른 자기주식 취득</t>
        </is>
      </c>
      <c r="O158" s="2" t="inlineStr">
        <is>
          <t>20260608000267</t>
        </is>
      </c>
      <c r="P158" s="8">
        <f>HYPERLINK("https://dart.fss.or.kr/dsaf001/main.do?rcpNo=20260608000267", "공시열람")</f>
        <v/>
      </c>
    </row>
    <row r="159" ht="36" customHeight="1">
      <c r="A159" s="2" t="inlineStr">
        <is>
          <t>2026-06-08 (정정: 2026-06-09)</t>
        </is>
      </c>
      <c r="B159" s="3" t="inlineStr">
        <is>
          <t>인카금융서비스</t>
        </is>
      </c>
      <c r="C159" s="2" t="inlineStr">
        <is>
          <t>코스닥</t>
        </is>
      </c>
      <c r="D159" s="2" t="inlineStr">
        <is>
          <t>211050</t>
        </is>
      </c>
      <c r="E159" s="7" t="inlineStr">
        <is>
          <t>주요사항보고서(자기주식취득신탁계약체결결정) (정정: 20260609)</t>
        </is>
      </c>
      <c r="F159" s="2" t="inlineStr">
        <is>
          <t>신탁계약체결결정</t>
        </is>
      </c>
      <c r="G159" s="5" t="n">
        <v>7000000000</v>
      </c>
      <c r="H159" s="6" t="n">
        <v>776053</v>
      </c>
      <c r="I159" s="3" t="inlineStr">
        <is>
          <t>비고</t>
        </is>
      </c>
      <c r="J159" s="2" t="inlineStr">
        <is>
          <t>2026-06-08</t>
        </is>
      </c>
      <c r="K159" s="2" t="inlineStr">
        <is>
          <t>2026-11-09</t>
        </is>
      </c>
      <c r="L159" s="2" t="inlineStr">
        <is>
          <t>-</t>
        </is>
      </c>
      <c r="M159" s="7" t="inlineStr">
        <is>
          <t>한국투자증권(Korea Investment &amp; Securities Co., Ltd)</t>
        </is>
      </c>
      <c r="N159" s="7" t="inlineStr">
        <is>
          <t>주주가치 제고, 임직원 등 주식보상</t>
        </is>
      </c>
      <c r="O159" s="2" t="inlineStr">
        <is>
          <t>20260608000474</t>
        </is>
      </c>
      <c r="P159" s="8">
        <f>HYPERLINK("https://dart.fss.or.kr/dsaf001/main.do?rcpNo=20260608000474", "공시열람")</f>
        <v/>
      </c>
    </row>
    <row r="160" ht="36" customHeight="1">
      <c r="A160" s="2" t="inlineStr">
        <is>
          <t>2026-06-08</t>
        </is>
      </c>
      <c r="B160" s="3" t="inlineStr">
        <is>
          <t>뉴보텍</t>
        </is>
      </c>
      <c r="C160" s="2" t="inlineStr">
        <is>
          <t>코스닥</t>
        </is>
      </c>
      <c r="D160" s="2" t="inlineStr">
        <is>
          <t>060260</t>
        </is>
      </c>
      <c r="E160" s="7" t="inlineStr">
        <is>
          <t>주요사항보고서(자기주식취득신탁계약체결결정)</t>
        </is>
      </c>
      <c r="F160" s="2" t="inlineStr">
        <is>
          <t>신탁계약체결결정</t>
        </is>
      </c>
      <c r="G160" s="5" t="n">
        <v>1400000000</v>
      </c>
      <c r="H160" s="6" t="n">
        <v>1348747</v>
      </c>
      <c r="I160" s="3" t="inlineStr">
        <is>
          <t>비고</t>
        </is>
      </c>
      <c r="J160" s="2" t="inlineStr">
        <is>
          <t>2026-06-08</t>
        </is>
      </c>
      <c r="K160" s="2" t="inlineStr">
        <is>
          <t>2026-12-07</t>
        </is>
      </c>
      <c r="L160" s="2" t="inlineStr">
        <is>
          <t>-</t>
        </is>
      </c>
      <c r="M160" s="7" t="inlineStr">
        <is>
          <t>-</t>
        </is>
      </c>
      <c r="N160" s="7" t="inlineStr">
        <is>
          <t>주가 안정 및 주주가치 제고</t>
        </is>
      </c>
      <c r="O160" s="2" t="inlineStr">
        <is>
          <t>20260608000199</t>
        </is>
      </c>
      <c r="P160" s="8">
        <f>HYPERLINK("https://dart.fss.or.kr/dsaf001/main.do?rcpNo=20260608000199", "공시열람")</f>
        <v/>
      </c>
    </row>
    <row r="161" ht="36" customHeight="1">
      <c r="A161" s="2" t="inlineStr">
        <is>
          <t>2026-06-08</t>
        </is>
      </c>
      <c r="B161" s="3" t="inlineStr">
        <is>
          <t>유유제약</t>
        </is>
      </c>
      <c r="C161" s="2" t="inlineStr">
        <is>
          <t>코스피</t>
        </is>
      </c>
      <c r="D161" s="2" t="inlineStr">
        <is>
          <t>000220</t>
        </is>
      </c>
      <c r="E161" s="7" t="inlineStr">
        <is>
          <t xml:space="preserve">주식소각결정              </t>
        </is>
      </c>
      <c r="F161" s="2" t="inlineStr">
        <is>
          <t>자기주식소각결정</t>
        </is>
      </c>
      <c r="G161" s="5" t="n">
        <v>7788381152</v>
      </c>
      <c r="H161" s="6" t="n">
        <v>1284889</v>
      </c>
      <c r="I161" s="3" t="inlineStr">
        <is>
          <t>기취득 자기주식</t>
        </is>
      </c>
      <c r="J161" s="2" t="inlineStr">
        <is>
          <t>-</t>
        </is>
      </c>
      <c r="K161" s="2" t="inlineStr">
        <is>
          <t>-</t>
        </is>
      </c>
      <c r="L161" s="2" t="inlineStr">
        <is>
          <t>2026-06-15</t>
        </is>
      </c>
      <c r="M161" s="7" t="inlineStr">
        <is>
          <t>-</t>
        </is>
      </c>
      <c r="N161" s="7" t="inlineStr">
        <is>
          <t>주주가치 제고 및 주식소각</t>
        </is>
      </c>
      <c r="O161" s="2" t="inlineStr">
        <is>
          <t>20260608800505</t>
        </is>
      </c>
      <c r="P161" s="8">
        <f>HYPERLINK("https://dart.fss.or.kr/dsaf001/main.do?rcpNo=20260608800505", "공시열람")</f>
        <v/>
      </c>
    </row>
    <row r="162" ht="36" customHeight="1">
      <c r="A162" s="2" t="inlineStr">
        <is>
          <t>2026-06-08</t>
        </is>
      </c>
      <c r="B162" s="3" t="inlineStr">
        <is>
          <t>한창제지</t>
        </is>
      </c>
      <c r="C162" s="2" t="inlineStr">
        <is>
          <t>코스피</t>
        </is>
      </c>
      <c r="D162" s="2" t="inlineStr">
        <is>
          <t>009460</t>
        </is>
      </c>
      <c r="E162" s="7" t="inlineStr">
        <is>
          <t>주요사항보고서(자기주식취득결정)</t>
        </is>
      </c>
      <c r="F162" s="2" t="inlineStr">
        <is>
          <t>자기주식취득결정</t>
        </is>
      </c>
      <c r="G162" s="5" t="n">
        <v>1999999040</v>
      </c>
      <c r="H162" s="6" t="n">
        <v>1086956</v>
      </c>
      <c r="I162" s="3" t="inlineStr">
        <is>
          <t>비고</t>
        </is>
      </c>
      <c r="J162" s="2" t="inlineStr">
        <is>
          <t>2026-06-09</t>
        </is>
      </c>
      <c r="K162" s="2" t="inlineStr">
        <is>
          <t>2026-09-08</t>
        </is>
      </c>
      <c r="L162" s="2" t="inlineStr">
        <is>
          <t>-</t>
        </is>
      </c>
      <c r="M162" s="7" t="inlineStr">
        <is>
          <t>한화투자증권</t>
        </is>
      </c>
      <c r="N162" s="7" t="inlineStr">
        <is>
          <t>주가안정 및 주주가치 제고</t>
        </is>
      </c>
      <c r="O162" s="2" t="inlineStr">
        <is>
          <t>20260608000094</t>
        </is>
      </c>
      <c r="P162" s="8">
        <f>HYPERLINK("https://dart.fss.or.kr/dsaf001/main.do?rcpNo=20260608000094", "공시열람")</f>
        <v/>
      </c>
    </row>
    <row r="163" ht="36" customHeight="1">
      <c r="A163" s="2" t="inlineStr">
        <is>
          <t>2026-06-08</t>
        </is>
      </c>
      <c r="B163" s="3" t="inlineStr">
        <is>
          <t>대신정보통신</t>
        </is>
      </c>
      <c r="C163" s="2" t="inlineStr">
        <is>
          <t>코스닥</t>
        </is>
      </c>
      <c r="D163" s="2" t="inlineStr">
        <is>
          <t>020180</t>
        </is>
      </c>
      <c r="E163" s="7" t="inlineStr">
        <is>
          <t>주요사항보고서(자기주식취득신탁계약체결결정)</t>
        </is>
      </c>
      <c r="F163" s="2" t="inlineStr">
        <is>
          <t>신탁계약체결결정</t>
        </is>
      </c>
      <c r="G163" s="5" t="n">
        <v>2000000000</v>
      </c>
      <c r="H163" s="6" t="n">
        <v>2012072</v>
      </c>
      <c r="I163" s="3" t="inlineStr">
        <is>
          <t>비고</t>
        </is>
      </c>
      <c r="J163" s="2" t="inlineStr">
        <is>
          <t>2026-06-08</t>
        </is>
      </c>
      <c r="K163" s="2" t="inlineStr">
        <is>
          <t>2026-12-07</t>
        </is>
      </c>
      <c r="L163" s="2" t="inlineStr">
        <is>
          <t>-</t>
        </is>
      </c>
      <c r="M163" s="7" t="inlineStr">
        <is>
          <t>대신증권(주)( Daishin Securities Co., Ltd)</t>
        </is>
      </c>
      <c r="N163" s="7" t="inlineStr">
        <is>
          <t>주주가치 제고를 위한 소각 목적 취득</t>
        </is>
      </c>
      <c r="O163" s="2" t="inlineStr">
        <is>
          <t>20260608000061</t>
        </is>
      </c>
      <c r="P163" s="8">
        <f>HYPERLINK("https://dart.fss.or.kr/dsaf001/main.do?rcpNo=20260608000061", "공시열람")</f>
        <v/>
      </c>
    </row>
    <row r="164" ht="36" customHeight="1">
      <c r="A164" s="2" t="inlineStr">
        <is>
          <t>2026-06-09</t>
        </is>
      </c>
      <c r="B164" s="3" t="inlineStr">
        <is>
          <t>하이로닉</t>
        </is>
      </c>
      <c r="C164" s="2" t="inlineStr">
        <is>
          <t>코스닥</t>
        </is>
      </c>
      <c r="D164" s="2" t="inlineStr">
        <is>
          <t>149980</t>
        </is>
      </c>
      <c r="E164" s="7" t="inlineStr">
        <is>
          <t xml:space="preserve">[첨부추가]주식소각결정              </t>
        </is>
      </c>
      <c r="F164" s="2" t="inlineStr">
        <is>
          <t>자기주식소각결정</t>
        </is>
      </c>
      <c r="G164" s="5" t="n">
        <v>27708767925</v>
      </c>
      <c r="H164" s="6" t="n">
        <v>3995317</v>
      </c>
      <c r="I164" s="3" t="inlineStr">
        <is>
          <t>기취득 자기주식</t>
        </is>
      </c>
      <c r="J164" s="2" t="inlineStr">
        <is>
          <t>-</t>
        </is>
      </c>
      <c r="K164" s="2" t="inlineStr">
        <is>
          <t>-</t>
        </is>
      </c>
      <c r="L164" s="2" t="inlineStr">
        <is>
          <t>2026-06-11</t>
        </is>
      </c>
      <c r="M164" s="7" t="inlineStr">
        <is>
          <t>-</t>
        </is>
      </c>
      <c r="N164" s="7" t="inlineStr">
        <is>
          <t>주주가치 제고 및 주식소각</t>
        </is>
      </c>
      <c r="O164" s="2" t="inlineStr">
        <is>
          <t>20260609900774</t>
        </is>
      </c>
      <c r="P164" s="8">
        <f>HYPERLINK("https://dart.fss.or.kr/dsaf001/main.do?rcpNo=20260609900774", "공시열람")</f>
        <v/>
      </c>
    </row>
    <row r="165" ht="36" customHeight="1">
      <c r="A165" s="2" t="inlineStr">
        <is>
          <t>2026-06-09</t>
        </is>
      </c>
      <c r="B165" s="3" t="inlineStr">
        <is>
          <t>한샘</t>
        </is>
      </c>
      <c r="C165" s="2" t="inlineStr">
        <is>
          <t>코스피</t>
        </is>
      </c>
      <c r="D165" s="2" t="inlineStr">
        <is>
          <t>009240</t>
        </is>
      </c>
      <c r="E165" s="7" t="inlineStr">
        <is>
          <t>주요사항보고서(자기주식취득신탁계약체결결정)</t>
        </is>
      </c>
      <c r="F165" s="2" t="inlineStr">
        <is>
          <t>신탁계약체결결정</t>
        </is>
      </c>
      <c r="G165" s="5" t="n">
        <v>50000000000</v>
      </c>
      <c r="H165" s="6" t="n">
        <v>1751313</v>
      </c>
      <c r="I165" s="3" t="inlineStr">
        <is>
          <t>비고</t>
        </is>
      </c>
      <c r="J165" s="2" t="inlineStr">
        <is>
          <t>2026-06-10</t>
        </is>
      </c>
      <c r="K165" s="2" t="inlineStr">
        <is>
          <t>2026-12-09</t>
        </is>
      </c>
      <c r="L165" s="2" t="inlineStr">
        <is>
          <t>-</t>
        </is>
      </c>
      <c r="M165" s="7" t="inlineStr">
        <is>
          <t>신한투자증권 주식회사(SHINHAN SECURITIES CO.,LTD.)</t>
        </is>
      </c>
      <c r="N165" s="7" t="inlineStr">
        <is>
          <t>주가 안정 및 주주가치 제고</t>
        </is>
      </c>
      <c r="O165" s="2" t="inlineStr">
        <is>
          <t>20260609000507</t>
        </is>
      </c>
      <c r="P165" s="8">
        <f>HYPERLINK("https://dart.fss.or.kr/dsaf001/main.do?rcpNo=20260609000507", "공시열람")</f>
        <v/>
      </c>
    </row>
    <row r="166" ht="36" customHeight="1">
      <c r="A166" s="2" t="inlineStr">
        <is>
          <t>2026-06-09 (정정: 2026-06-11)</t>
        </is>
      </c>
      <c r="B166" s="3" t="inlineStr">
        <is>
          <t>삼진엘앤디</t>
        </is>
      </c>
      <c r="C166" s="2" t="inlineStr">
        <is>
          <t>코스닥</t>
        </is>
      </c>
      <c r="D166" s="2" t="inlineStr">
        <is>
          <t>054090</t>
        </is>
      </c>
      <c r="E166" s="7" t="inlineStr">
        <is>
          <t>주요사항보고서(자기주식취득신탁계약체결결정) (정정: 20260610) (정정: 20260611)</t>
        </is>
      </c>
      <c r="F166" s="2" t="inlineStr">
        <is>
          <t>신탁계약체결결정</t>
        </is>
      </c>
      <c r="G166" s="5" t="n">
        <v>846000000</v>
      </c>
      <c r="H166" s="6" t="n">
        <v>1000000</v>
      </c>
      <c r="I166" s="3" t="inlineStr">
        <is>
          <t>비고</t>
        </is>
      </c>
      <c r="J166" s="2" t="inlineStr">
        <is>
          <t>2026-06-11</t>
        </is>
      </c>
      <c r="K166" s="2" t="inlineStr">
        <is>
          <t>2026-12-10</t>
        </is>
      </c>
      <c r="L166" s="2" t="inlineStr">
        <is>
          <t>-</t>
        </is>
      </c>
      <c r="M166" s="7" t="inlineStr">
        <is>
          <t>삼성증권</t>
        </is>
      </c>
      <c r="N166" s="7" t="inlineStr">
        <is>
          <t>1. 주가 안정 및 주주가치 제고2. 임직원 성과보상 재원</t>
        </is>
      </c>
      <c r="O166" s="2" t="inlineStr">
        <is>
          <t>20260611000253</t>
        </is>
      </c>
      <c r="P166" s="8">
        <f>HYPERLINK("https://dart.fss.or.kr/dsaf001/main.do?rcpNo=20260611000253", "공시열람")</f>
        <v/>
      </c>
    </row>
    <row r="167" ht="36" customHeight="1">
      <c r="A167" s="2" t="inlineStr">
        <is>
          <t>2026-06-09</t>
        </is>
      </c>
      <c r="B167" s="3" t="inlineStr">
        <is>
          <t>KISCO홀딩스</t>
        </is>
      </c>
      <c r="C167" s="2" t="inlineStr">
        <is>
          <t>코스피</t>
        </is>
      </c>
      <c r="D167" s="2" t="inlineStr">
        <is>
          <t>001940</t>
        </is>
      </c>
      <c r="E167" s="7" t="inlineStr">
        <is>
          <t xml:space="preserve">주요사항보고서(자기주식취득신탁계약체결결정)(자회사의 주요경영사항)              </t>
        </is>
      </c>
      <c r="F167" s="2" t="inlineStr">
        <is>
          <t>신탁계약체결결정</t>
        </is>
      </c>
      <c r="G167" s="5" t="n">
        <v>10000000000</v>
      </c>
      <c r="H167" s="6" t="n">
        <v>1243781</v>
      </c>
      <c r="I167" s="3" t="inlineStr">
        <is>
          <t>비고</t>
        </is>
      </c>
      <c r="J167" s="2" t="inlineStr">
        <is>
          <t>2026-06-09</t>
        </is>
      </c>
      <c r="K167" s="2" t="inlineStr">
        <is>
          <t>2026-09-09</t>
        </is>
      </c>
      <c r="L167" s="2" t="inlineStr">
        <is>
          <t>-</t>
        </is>
      </c>
      <c r="M167" s="7" t="inlineStr">
        <is>
          <t>NH투자증권(주)NH INVESTMENT &amp; SECURITIES CO.,LTD.</t>
        </is>
      </c>
      <c r="N167" s="7" t="inlineStr">
        <is>
          <t>주가 안정 및 주주가치 제고</t>
        </is>
      </c>
      <c r="O167" s="2" t="inlineStr">
        <is>
          <t>20260609800642</t>
        </is>
      </c>
      <c r="P167" s="8">
        <f>HYPERLINK("https://dart.fss.or.kr/dsaf001/main.do?rcpNo=20260609800642", "공시열람")</f>
        <v/>
      </c>
    </row>
    <row r="168" ht="36" customHeight="1">
      <c r="A168" s="2" t="inlineStr">
        <is>
          <t>2026-06-09</t>
        </is>
      </c>
      <c r="B168" s="3" t="inlineStr">
        <is>
          <t>KISCO홀딩스</t>
        </is>
      </c>
      <c r="C168" s="2" t="inlineStr">
        <is>
          <t>코스피</t>
        </is>
      </c>
      <c r="D168" s="2" t="inlineStr">
        <is>
          <t>001940</t>
        </is>
      </c>
      <c r="E168" s="7" t="inlineStr">
        <is>
          <t>주요사항보고서(자기주식취득신탁계약체결결정)</t>
        </is>
      </c>
      <c r="F168" s="2" t="inlineStr">
        <is>
          <t>신탁계약체결결정</t>
        </is>
      </c>
      <c r="G168" s="5" t="n">
        <v>10000000000</v>
      </c>
      <c r="H168" s="6" t="n">
        <v>479616</v>
      </c>
      <c r="I168" s="3" t="inlineStr">
        <is>
          <t>비고</t>
        </is>
      </c>
      <c r="J168" s="2" t="inlineStr">
        <is>
          <t>2026-06-09</t>
        </is>
      </c>
      <c r="K168" s="2" t="inlineStr">
        <is>
          <t>2026-09-09</t>
        </is>
      </c>
      <c r="L168" s="2" t="inlineStr">
        <is>
          <t>-</t>
        </is>
      </c>
      <c r="M168" s="7" t="inlineStr">
        <is>
          <t>NH투자증권(주) NH INVESTMENT &amp; SECURITIES CO.,LTD.</t>
        </is>
      </c>
      <c r="N168" s="7" t="inlineStr">
        <is>
          <t>주가 안정 및 주주가치 제고</t>
        </is>
      </c>
      <c r="O168" s="2" t="inlineStr">
        <is>
          <t>20260609000407</t>
        </is>
      </c>
      <c r="P168" s="8">
        <f>HYPERLINK("https://dart.fss.or.kr/dsaf001/main.do?rcpNo=20260609000407", "공시열람")</f>
        <v/>
      </c>
    </row>
    <row r="169" ht="36" customHeight="1">
      <c r="A169" s="2" t="inlineStr">
        <is>
          <t>2026-06-09</t>
        </is>
      </c>
      <c r="B169" s="3" t="inlineStr">
        <is>
          <t>한국철강</t>
        </is>
      </c>
      <c r="C169" s="2" t="inlineStr">
        <is>
          <t>코스피</t>
        </is>
      </c>
      <c r="D169" s="2" t="inlineStr">
        <is>
          <t>104700</t>
        </is>
      </c>
      <c r="E169" s="7" t="inlineStr">
        <is>
          <t>주요사항보고서(자기주식취득신탁계약체결결정)</t>
        </is>
      </c>
      <c r="F169" s="2" t="inlineStr">
        <is>
          <t>신탁계약체결결정</t>
        </is>
      </c>
      <c r="G169" s="5" t="n">
        <v>10000000000</v>
      </c>
      <c r="H169" s="6" t="n">
        <v>1243781</v>
      </c>
      <c r="I169" s="3" t="inlineStr">
        <is>
          <t>비고</t>
        </is>
      </c>
      <c r="J169" s="2" t="inlineStr">
        <is>
          <t>2026-06-09</t>
        </is>
      </c>
      <c r="K169" s="2" t="inlineStr">
        <is>
          <t>2026-09-09</t>
        </is>
      </c>
      <c r="L169" s="2" t="inlineStr">
        <is>
          <t>-</t>
        </is>
      </c>
      <c r="M169" s="7" t="inlineStr">
        <is>
          <t>NH투자증권(주) NH INVESTMENT &amp; SECURITIES CO.,LTD.</t>
        </is>
      </c>
      <c r="N169" s="7" t="inlineStr">
        <is>
          <t>주가 안정 및 주주가치 제고</t>
        </is>
      </c>
      <c r="O169" s="2" t="inlineStr">
        <is>
          <t>20260609000403</t>
        </is>
      </c>
      <c r="P169" s="8">
        <f>HYPERLINK("https://dart.fss.or.kr/dsaf001/main.do?rcpNo=20260609000403", "공시열람")</f>
        <v/>
      </c>
    </row>
    <row r="170" ht="36" customHeight="1">
      <c r="A170" s="2" t="inlineStr">
        <is>
          <t>2026-06-09</t>
        </is>
      </c>
      <c r="B170" s="3" t="inlineStr">
        <is>
          <t>펄어비스</t>
        </is>
      </c>
      <c r="C170" s="2" t="inlineStr">
        <is>
          <t>코스닥</t>
        </is>
      </c>
      <c r="D170" s="2" t="inlineStr">
        <is>
          <t>263750</t>
        </is>
      </c>
      <c r="E170" s="7" t="inlineStr">
        <is>
          <t>주요사항보고서(자기주식취득신탁계약체결결정)</t>
        </is>
      </c>
      <c r="F170" s="2" t="inlineStr">
        <is>
          <t>신탁계약체결결정</t>
        </is>
      </c>
      <c r="G170" s="5" t="n">
        <v>100000000000</v>
      </c>
      <c r="H170" s="6" t="n">
        <v>2597402</v>
      </c>
      <c r="I170" s="3" t="inlineStr">
        <is>
          <t>비고</t>
        </is>
      </c>
      <c r="J170" s="2" t="inlineStr">
        <is>
          <t>2026-06-09</t>
        </is>
      </c>
      <c r="K170" s="2" t="inlineStr">
        <is>
          <t>2026-12-09</t>
        </is>
      </c>
      <c r="L170" s="2" t="inlineStr">
        <is>
          <t>-</t>
        </is>
      </c>
      <c r="M170" s="7" t="inlineStr">
        <is>
          <t>한국투자증권(주)(Korea Investment &amp; Securities Co., Ltd.)</t>
        </is>
      </c>
      <c r="N170" s="7" t="inlineStr">
        <is>
          <t>주주 가치 제고</t>
        </is>
      </c>
      <c r="O170" s="2" t="inlineStr">
        <is>
          <t>20260609000374</t>
        </is>
      </c>
      <c r="P170" s="8">
        <f>HYPERLINK("https://dart.fss.or.kr/dsaf001/main.do?rcpNo=20260609000374", "공시열람")</f>
        <v/>
      </c>
    </row>
    <row r="171" ht="36" customHeight="1">
      <c r="A171" s="2" t="inlineStr">
        <is>
          <t>2026-06-09</t>
        </is>
      </c>
      <c r="B171" s="3" t="inlineStr">
        <is>
          <t>펄어비스</t>
        </is>
      </c>
      <c r="C171" s="2" t="inlineStr">
        <is>
          <t>코스닥</t>
        </is>
      </c>
      <c r="D171" s="2" t="inlineStr">
        <is>
          <t>263750</t>
        </is>
      </c>
      <c r="E171" s="7" t="inlineStr">
        <is>
          <t xml:space="preserve">주식소각결정              </t>
        </is>
      </c>
      <c r="F171" s="2" t="inlineStr">
        <is>
          <t>자기주식소각결정</t>
        </is>
      </c>
      <c r="G171" s="5" t="n">
        <v>17261503775</v>
      </c>
      <c r="H171" s="6" t="n">
        <v>1403945</v>
      </c>
      <c r="I171" s="3" t="inlineStr">
        <is>
          <t>기취득 자기주식</t>
        </is>
      </c>
      <c r="J171" s="2" t="inlineStr">
        <is>
          <t>-</t>
        </is>
      </c>
      <c r="K171" s="2" t="inlineStr">
        <is>
          <t>-</t>
        </is>
      </c>
      <c r="L171" s="2" t="inlineStr">
        <is>
          <t>2026-06-12</t>
        </is>
      </c>
      <c r="M171" s="7" t="inlineStr">
        <is>
          <t>-</t>
        </is>
      </c>
      <c r="N171" s="7" t="inlineStr">
        <is>
          <t>주주가치 제고 및 주식소각</t>
        </is>
      </c>
      <c r="O171" s="2" t="inlineStr">
        <is>
          <t>20260609900503</t>
        </is>
      </c>
      <c r="P171" s="8">
        <f>HYPERLINK("https://dart.fss.or.kr/dsaf001/main.do?rcpNo=20260609900503", "공시열람")</f>
        <v/>
      </c>
    </row>
    <row r="172" ht="36" customHeight="1">
      <c r="A172" s="2" t="inlineStr">
        <is>
          <t>2026-06-09</t>
        </is>
      </c>
      <c r="B172" s="3" t="inlineStr">
        <is>
          <t>휴메딕스</t>
        </is>
      </c>
      <c r="C172" s="2" t="inlineStr">
        <is>
          <t>코스닥</t>
        </is>
      </c>
      <c r="D172" s="2" t="inlineStr">
        <is>
          <t>200670</t>
        </is>
      </c>
      <c r="E172" s="7" t="inlineStr">
        <is>
          <t>주요사항보고서(자기주식취득신탁계약체결결정)</t>
        </is>
      </c>
      <c r="F172" s="2" t="inlineStr">
        <is>
          <t>신탁계약체결결정</t>
        </is>
      </c>
      <c r="G172" s="5" t="n">
        <v>5000000000</v>
      </c>
      <c r="H172" s="6" t="n">
        <v>204918</v>
      </c>
      <c r="I172" s="3" t="inlineStr">
        <is>
          <t>비고</t>
        </is>
      </c>
      <c r="J172" s="2" t="inlineStr">
        <is>
          <t>2026-06-10</t>
        </is>
      </c>
      <c r="K172" s="2" t="inlineStr">
        <is>
          <t>2026-09-09</t>
        </is>
      </c>
      <c r="L172" s="2" t="inlineStr">
        <is>
          <t>-</t>
        </is>
      </c>
      <c r="M172" s="7" t="inlineStr">
        <is>
          <t>삼성증권(SAMSUNG SECURITIES Co., Ltd.)</t>
        </is>
      </c>
      <c r="N172" s="7" t="inlineStr">
        <is>
          <t>주주가치 제고</t>
        </is>
      </c>
      <c r="O172" s="2" t="inlineStr">
        <is>
          <t>20260609000334</t>
        </is>
      </c>
      <c r="P172" s="8">
        <f>HYPERLINK("https://dart.fss.or.kr/dsaf001/main.do?rcpNo=20260609000334", "공시열람")</f>
        <v/>
      </c>
    </row>
    <row r="173" ht="36" customHeight="1">
      <c r="A173" s="2" t="inlineStr">
        <is>
          <t>2026-06-09</t>
        </is>
      </c>
      <c r="B173" s="3" t="inlineStr">
        <is>
          <t>뉴트리</t>
        </is>
      </c>
      <c r="C173" s="2" t="inlineStr">
        <is>
          <t>코스닥</t>
        </is>
      </c>
      <c r="D173" s="2" t="inlineStr">
        <is>
          <t>270870</t>
        </is>
      </c>
      <c r="E173" s="7" t="inlineStr">
        <is>
          <t>주요사항보고서(자기주식취득신탁계약체결결정)</t>
        </is>
      </c>
      <c r="F173" s="2" t="inlineStr">
        <is>
          <t>신탁계약체결결정</t>
        </is>
      </c>
      <c r="G173" s="5" t="n">
        <v>1500000000</v>
      </c>
      <c r="H173" s="6" t="n">
        <v>468750</v>
      </c>
      <c r="I173" s="3" t="inlineStr">
        <is>
          <t>비고</t>
        </is>
      </c>
      <c r="J173" s="2" t="inlineStr">
        <is>
          <t>2026-06-11</t>
        </is>
      </c>
      <c r="K173" s="2" t="inlineStr">
        <is>
          <t>2026-09-10</t>
        </is>
      </c>
      <c r="L173" s="2" t="inlineStr">
        <is>
          <t>-</t>
        </is>
      </c>
      <c r="M173" s="7" t="inlineStr">
        <is>
          <t>미래에셋증권</t>
        </is>
      </c>
      <c r="N173" s="7" t="inlineStr">
        <is>
          <t>기업가치 및 주주가치 제고</t>
        </is>
      </c>
      <c r="O173" s="2" t="inlineStr">
        <is>
          <t>20260609000237</t>
        </is>
      </c>
      <c r="P173" s="8">
        <f>HYPERLINK("https://dart.fss.or.kr/dsaf001/main.do?rcpNo=20260609000237", "공시열람")</f>
        <v/>
      </c>
    </row>
    <row r="174" ht="36" customHeight="1">
      <c r="A174" s="2" t="inlineStr">
        <is>
          <t>2026-06-09</t>
        </is>
      </c>
      <c r="B174" s="3" t="inlineStr">
        <is>
          <t>삐아</t>
        </is>
      </c>
      <c r="C174" s="2" t="inlineStr">
        <is>
          <t>코스닥</t>
        </is>
      </c>
      <c r="D174" s="2" t="inlineStr">
        <is>
          <t>451250</t>
        </is>
      </c>
      <c r="E174" s="7" t="inlineStr">
        <is>
          <t>주요사항보고서(자기주식취득신탁계약체결결정)</t>
        </is>
      </c>
      <c r="F174" s="2" t="inlineStr">
        <is>
          <t>신탁계약체결결정</t>
        </is>
      </c>
      <c r="G174" s="5" t="n">
        <v>3000000000</v>
      </c>
      <c r="H174" s="6" t="n">
        <v>475435</v>
      </c>
      <c r="I174" s="3" t="inlineStr">
        <is>
          <t>비고</t>
        </is>
      </c>
      <c r="J174" s="2" t="inlineStr">
        <is>
          <t>2026-06-09</t>
        </is>
      </c>
      <c r="K174" s="2" t="inlineStr">
        <is>
          <t>2026-12-08</t>
        </is>
      </c>
      <c r="L174" s="2" t="inlineStr">
        <is>
          <t>-</t>
        </is>
      </c>
      <c r="M174" s="7" t="inlineStr">
        <is>
          <t>신영증권(주)SHINYOUNG SECURITIES CO.,LTD</t>
        </is>
      </c>
      <c r="N174" s="7" t="inlineStr">
        <is>
          <t>주주가치 제고를 위한 소각목적</t>
        </is>
      </c>
      <c r="O174" s="2" t="inlineStr">
        <is>
          <t>20260609000231</t>
        </is>
      </c>
      <c r="P174" s="8">
        <f>HYPERLINK("https://dart.fss.or.kr/dsaf001/main.do?rcpNo=20260609000231", "공시열람")</f>
        <v/>
      </c>
    </row>
    <row r="175" ht="36" customHeight="1">
      <c r="A175" s="2" t="inlineStr">
        <is>
          <t>2026-06-09</t>
        </is>
      </c>
      <c r="B175" s="3" t="inlineStr">
        <is>
          <t>뉴트리</t>
        </is>
      </c>
      <c r="C175" s="2" t="inlineStr">
        <is>
          <t>코스닥</t>
        </is>
      </c>
      <c r="D175" s="2" t="inlineStr">
        <is>
          <t>270870</t>
        </is>
      </c>
      <c r="E175" s="7" t="inlineStr">
        <is>
          <t xml:space="preserve">주식소각결정              </t>
        </is>
      </c>
      <c r="F175" s="2" t="inlineStr">
        <is>
          <t>자기주식소각결정</t>
        </is>
      </c>
      <c r="G175" s="5" t="n">
        <v>4985683350</v>
      </c>
      <c r="H175" s="6" t="n">
        <v>205378</v>
      </c>
      <c r="I175" s="3" t="inlineStr">
        <is>
          <t>기취득 자기주식</t>
        </is>
      </c>
      <c r="J175" s="2" t="inlineStr">
        <is>
          <t>-</t>
        </is>
      </c>
      <c r="K175" s="2" t="inlineStr">
        <is>
          <t>-</t>
        </is>
      </c>
      <c r="L175" s="2" t="inlineStr">
        <is>
          <t>2026-06-30</t>
        </is>
      </c>
      <c r="M175" s="7" t="inlineStr">
        <is>
          <t>-</t>
        </is>
      </c>
      <c r="N175" s="7" t="inlineStr">
        <is>
          <t>주주가치 제고 및 주식소각</t>
        </is>
      </c>
      <c r="O175" s="2" t="inlineStr">
        <is>
          <t>20260609900385</t>
        </is>
      </c>
      <c r="P175" s="8">
        <f>HYPERLINK("https://dart.fss.or.kr/dsaf001/main.do?rcpNo=20260609900385", "공시열람")</f>
        <v/>
      </c>
    </row>
    <row r="176" ht="36" customHeight="1">
      <c r="A176" s="2" t="inlineStr">
        <is>
          <t>2026-06-09</t>
        </is>
      </c>
      <c r="B176" s="3" t="inlineStr">
        <is>
          <t>SDN</t>
        </is>
      </c>
      <c r="C176" s="2" t="inlineStr">
        <is>
          <t>코스닥</t>
        </is>
      </c>
      <c r="D176" s="2" t="inlineStr">
        <is>
          <t>099220</t>
        </is>
      </c>
      <c r="E176" s="7" t="inlineStr">
        <is>
          <t xml:space="preserve">주식소각결정              </t>
        </is>
      </c>
      <c r="F176" s="2" t="inlineStr">
        <is>
          <t>자기주식소각결정</t>
        </is>
      </c>
      <c r="G176" s="5" t="n">
        <v>5157127405</v>
      </c>
      <c r="H176" s="6" t="n">
        <v>2000000</v>
      </c>
      <c r="I176" s="3" t="inlineStr">
        <is>
          <t>기취득 자기주식</t>
        </is>
      </c>
      <c r="J176" s="2" t="inlineStr">
        <is>
          <t>-</t>
        </is>
      </c>
      <c r="K176" s="2" t="inlineStr">
        <is>
          <t>-</t>
        </is>
      </c>
      <c r="L176" s="2" t="inlineStr">
        <is>
          <t>2026-06-16</t>
        </is>
      </c>
      <c r="M176" s="7" t="inlineStr">
        <is>
          <t>-</t>
        </is>
      </c>
      <c r="N176" s="7" t="inlineStr">
        <is>
          <t>주주가치 제고 및 주식소각</t>
        </is>
      </c>
      <c r="O176" s="2" t="inlineStr">
        <is>
          <t>20260609900357</t>
        </is>
      </c>
      <c r="P176" s="8">
        <f>HYPERLINK("https://dart.fss.or.kr/dsaf001/main.do?rcpNo=20260609900357", "공시열람")</f>
        <v/>
      </c>
    </row>
    <row r="177" ht="36" customHeight="1">
      <c r="A177" s="2" t="inlineStr">
        <is>
          <t>2026-06-09</t>
        </is>
      </c>
      <c r="B177" s="3" t="inlineStr">
        <is>
          <t>메디톡스</t>
        </is>
      </c>
      <c r="C177" s="2" t="inlineStr">
        <is>
          <t>코스닥</t>
        </is>
      </c>
      <c r="D177" s="2" t="inlineStr">
        <is>
          <t>086900</t>
        </is>
      </c>
      <c r="E177" s="7" t="inlineStr">
        <is>
          <t>주요사항보고서(자기주식취득결정)</t>
        </is>
      </c>
      <c r="F177" s="2" t="inlineStr">
        <is>
          <t>자기주식취득결정</t>
        </is>
      </c>
      <c r="G177" s="5" t="n">
        <v>4999995000</v>
      </c>
      <c r="H177" s="6" t="n">
        <v>64350</v>
      </c>
      <c r="I177" s="3" t="inlineStr">
        <is>
          <t>비고</t>
        </is>
      </c>
      <c r="J177" s="2" t="inlineStr">
        <is>
          <t>2026-06-10</t>
        </is>
      </c>
      <c r="K177" s="2" t="inlineStr">
        <is>
          <t>2026-09-09</t>
        </is>
      </c>
      <c r="L177" s="2" t="inlineStr">
        <is>
          <t>-</t>
        </is>
      </c>
      <c r="M177" s="7" t="inlineStr">
        <is>
          <t>신한투자증권(SHINHAN SECURITIES CO.,LTD.)</t>
        </is>
      </c>
      <c r="N177" s="7" t="inlineStr">
        <is>
          <t>주가안정 및 주주가치 제고</t>
        </is>
      </c>
      <c r="O177" s="2" t="inlineStr">
        <is>
          <t>20260609000108</t>
        </is>
      </c>
      <c r="P177" s="8">
        <f>HYPERLINK("https://dart.fss.or.kr/dsaf001/main.do?rcpNo=20260609000108", "공시열람")</f>
        <v/>
      </c>
    </row>
    <row r="178" ht="36" customHeight="1">
      <c r="A178" s="2" t="inlineStr">
        <is>
          <t>2026-06-09</t>
        </is>
      </c>
      <c r="B178" s="3" t="inlineStr">
        <is>
          <t>휴비츠</t>
        </is>
      </c>
      <c r="C178" s="2" t="inlineStr">
        <is>
          <t>코스닥</t>
        </is>
      </c>
      <c r="D178" s="2" t="inlineStr">
        <is>
          <t>065510</t>
        </is>
      </c>
      <c r="E178" s="7" t="inlineStr">
        <is>
          <t>주요사항보고서(자기주식취득신탁계약체결결정)</t>
        </is>
      </c>
      <c r="F178" s="2" t="inlineStr">
        <is>
          <t>신탁계약체결결정</t>
        </is>
      </c>
      <c r="G178" s="5" t="n">
        <v>5000000000</v>
      </c>
      <c r="H178" s="6" t="n">
        <v>751879</v>
      </c>
      <c r="I178" s="3" t="inlineStr">
        <is>
          <t>비고</t>
        </is>
      </c>
      <c r="J178" s="2" t="inlineStr">
        <is>
          <t>2026-06-09</t>
        </is>
      </c>
      <c r="K178" s="2" t="inlineStr">
        <is>
          <t>2027-06-08</t>
        </is>
      </c>
      <c r="L178" s="2" t="inlineStr">
        <is>
          <t>-</t>
        </is>
      </c>
      <c r="M178" s="7" t="inlineStr">
        <is>
          <t>대신증권 (DAISHIN SECURITIES CO., LTD.)</t>
        </is>
      </c>
      <c r="N178" s="7" t="inlineStr">
        <is>
          <t>주가 안정 및 주주가치 증대</t>
        </is>
      </c>
      <c r="O178" s="2" t="inlineStr">
        <is>
          <t>20260609000097</t>
        </is>
      </c>
      <c r="P178" s="8">
        <f>HYPERLINK("https://dart.fss.or.kr/dsaf001/main.do?rcpNo=20260609000097", "공시열람")</f>
        <v/>
      </c>
    </row>
    <row r="179" ht="36" customHeight="1">
      <c r="A179" s="2" t="inlineStr">
        <is>
          <t>2026-06-09</t>
        </is>
      </c>
      <c r="B179" s="3" t="inlineStr">
        <is>
          <t>셀바이오휴먼텍</t>
        </is>
      </c>
      <c r="C179" s="2" t="inlineStr">
        <is>
          <t>코스닥</t>
        </is>
      </c>
      <c r="D179" s="2" t="inlineStr">
        <is>
          <t>318160</t>
        </is>
      </c>
      <c r="E179" s="7" t="inlineStr">
        <is>
          <t>주요사항보고서(자기주식취득신탁계약해지결정)</t>
        </is>
      </c>
      <c r="F179" s="2" t="inlineStr">
        <is>
          <t>신탁계약체결결정</t>
        </is>
      </c>
      <c r="G179" s="5" t="n">
        <v>500000000</v>
      </c>
      <c r="H179" s="6" t="inlineStr"/>
      <c r="I179" s="3" t="inlineStr">
        <is>
          <t>비고</t>
        </is>
      </c>
      <c r="J179" s="2" t="inlineStr">
        <is>
          <t>2026-04-14</t>
        </is>
      </c>
      <c r="K179" s="2" t="inlineStr">
        <is>
          <t>2027-04-14</t>
        </is>
      </c>
      <c r="L179" s="2" t="inlineStr">
        <is>
          <t>-</t>
        </is>
      </c>
      <c r="M179" s="7" t="inlineStr">
        <is>
          <t>-</t>
        </is>
      </c>
      <c r="N179" s="7" t="inlineStr">
        <is>
          <t>자기주식 취득 완료에 따른 중도해지</t>
        </is>
      </c>
      <c r="O179" s="2" t="inlineStr">
        <is>
          <t>20260609000068</t>
        </is>
      </c>
      <c r="P179" s="8">
        <f>HYPERLINK("https://dart.fss.or.kr/dsaf001/main.do?rcpNo=20260609000068", "공시열람")</f>
        <v/>
      </c>
    </row>
    <row r="180" ht="36" customHeight="1">
      <c r="A180" s="2" t="inlineStr">
        <is>
          <t>2026-06-10</t>
        </is>
      </c>
      <c r="B180" s="3" t="inlineStr">
        <is>
          <t>코데즈컴바인</t>
        </is>
      </c>
      <c r="C180" s="2" t="inlineStr">
        <is>
          <t>코스닥</t>
        </is>
      </c>
      <c r="D180" s="2" t="inlineStr">
        <is>
          <t>047770</t>
        </is>
      </c>
      <c r="E180" s="7" t="inlineStr">
        <is>
          <t xml:space="preserve">[첨부추가]주식소각결정              </t>
        </is>
      </c>
      <c r="F180" s="2" t="inlineStr">
        <is>
          <t>자기주식소각결정</t>
        </is>
      </c>
      <c r="G180" s="5" t="n">
        <v>2500</v>
      </c>
      <c r="H180" s="6" t="n">
        <v>93343</v>
      </c>
      <c r="I180" s="3" t="inlineStr">
        <is>
          <t>기취득 자기주식</t>
        </is>
      </c>
      <c r="J180" s="2" t="inlineStr">
        <is>
          <t>-</t>
        </is>
      </c>
      <c r="K180" s="2" t="inlineStr">
        <is>
          <t>-</t>
        </is>
      </c>
      <c r="L180" s="2" t="inlineStr">
        <is>
          <t>2026-06-18</t>
        </is>
      </c>
      <c r="M180" s="7" t="inlineStr">
        <is>
          <t>-</t>
        </is>
      </c>
      <c r="N180" s="7" t="inlineStr">
        <is>
          <t>주주가치 제고 및 주식소각</t>
        </is>
      </c>
      <c r="O180" s="2" t="inlineStr">
        <is>
          <t>20260610900559</t>
        </is>
      </c>
      <c r="P180" s="8">
        <f>HYPERLINK("https://dart.fss.or.kr/dsaf001/main.do?rcpNo=20260610900559", "공시열람")</f>
        <v/>
      </c>
    </row>
    <row r="181" ht="36" customHeight="1">
      <c r="A181" s="2" t="inlineStr">
        <is>
          <t>2026-06-10</t>
        </is>
      </c>
      <c r="B181" s="3" t="inlineStr">
        <is>
          <t>노머스</t>
        </is>
      </c>
      <c r="C181" s="2" t="inlineStr">
        <is>
          <t>코스닥</t>
        </is>
      </c>
      <c r="D181" s="2" t="inlineStr">
        <is>
          <t>473980</t>
        </is>
      </c>
      <c r="E181" s="7" t="inlineStr">
        <is>
          <t>주요사항보고서(자기주식취득결정)</t>
        </is>
      </c>
      <c r="F181" s="2" t="inlineStr">
        <is>
          <t>자기주식취득결정</t>
        </is>
      </c>
      <c r="G181" s="5" t="n">
        <v>1000000000</v>
      </c>
      <c r="H181" s="6" t="n">
        <v>80128</v>
      </c>
      <c r="I181" s="3" t="inlineStr">
        <is>
          <t>비고</t>
        </is>
      </c>
      <c r="J181" s="2" t="inlineStr">
        <is>
          <t>2026-06-11</t>
        </is>
      </c>
      <c r="K181" s="2" t="inlineStr">
        <is>
          <t>2026-09-10</t>
        </is>
      </c>
      <c r="L181" s="2" t="inlineStr">
        <is>
          <t>-</t>
        </is>
      </c>
      <c r="M181" s="7" t="inlineStr">
        <is>
          <t>삼성증권</t>
        </is>
      </c>
      <c r="N181" s="7" t="inlineStr">
        <is>
          <t>주주가치 제고 및 주식 소각</t>
        </is>
      </c>
      <c r="O181" s="2" t="inlineStr">
        <is>
          <t>20260610000586</t>
        </is>
      </c>
      <c r="P181" s="8">
        <f>HYPERLINK("https://dart.fss.or.kr/dsaf001/main.do?rcpNo=20260610000586", "공시열람")</f>
        <v/>
      </c>
    </row>
    <row r="182" ht="36" customHeight="1">
      <c r="A182" s="2" t="inlineStr">
        <is>
          <t>2026-02-06 (정정: 2026-06-10)</t>
        </is>
      </c>
      <c r="B182" s="3" t="inlineStr">
        <is>
          <t>우리금융지주</t>
        </is>
      </c>
      <c r="C182" s="2" t="inlineStr">
        <is>
          <t>코스피</t>
        </is>
      </c>
      <c r="D182" s="2" t="inlineStr">
        <is>
          <t>316140</t>
        </is>
      </c>
      <c r="E182" s="7" t="inlineStr">
        <is>
          <t xml:space="preserve">[기재정정]주식소각결정              </t>
        </is>
      </c>
      <c r="F182" s="2" t="inlineStr">
        <is>
          <t>자기주식소각결정</t>
        </is>
      </c>
      <c r="G182" s="5" t="n">
        <v>199999876475</v>
      </c>
      <c r="H182" s="6" t="n">
        <v>5986638</v>
      </c>
      <c r="I182" s="3" t="inlineStr">
        <is>
          <t>기타의 방법</t>
        </is>
      </c>
      <c r="J182" s="2" t="inlineStr">
        <is>
          <t>2026-02-10</t>
        </is>
      </c>
      <c r="K182" s="2" t="inlineStr">
        <is>
          <t>2026-06-10</t>
        </is>
      </c>
      <c r="L182" s="2" t="inlineStr">
        <is>
          <t>2026-06-18</t>
        </is>
      </c>
      <c r="M182" s="7" t="inlineStr">
        <is>
          <t>유진투자증권</t>
        </is>
      </c>
      <c r="N182" s="7" t="inlineStr">
        <is>
          <t>주주가치 제고 및 주식소각</t>
        </is>
      </c>
      <c r="O182" s="2" t="inlineStr">
        <is>
          <t>20260610800817</t>
        </is>
      </c>
      <c r="P182" s="8">
        <f>HYPERLINK("https://dart.fss.or.kr/dsaf001/main.do?rcpNo=20260610800817", "공시열람")</f>
        <v/>
      </c>
    </row>
    <row r="183" ht="36" customHeight="1">
      <c r="A183" s="2" t="inlineStr">
        <is>
          <t>2026-06-10</t>
        </is>
      </c>
      <c r="B183" s="3" t="inlineStr">
        <is>
          <t>코메론</t>
        </is>
      </c>
      <c r="C183" s="2" t="inlineStr">
        <is>
          <t>코스닥</t>
        </is>
      </c>
      <c r="D183" s="2" t="inlineStr">
        <is>
          <t>049430</t>
        </is>
      </c>
      <c r="E183" s="7" t="inlineStr">
        <is>
          <t>주요사항보고서(자기주식취득신탁계약해지결정)</t>
        </is>
      </c>
      <c r="F183" s="2" t="inlineStr">
        <is>
          <t>신탁계약체결결정</t>
        </is>
      </c>
      <c r="G183" s="5" t="n">
        <v>10000000000</v>
      </c>
      <c r="H183" s="6" t="inlineStr"/>
      <c r="I183" s="3" t="inlineStr">
        <is>
          <t>비고</t>
        </is>
      </c>
      <c r="J183" s="2" t="inlineStr">
        <is>
          <t>2026-03-12</t>
        </is>
      </c>
      <c r="K183" s="2" t="inlineStr">
        <is>
          <t>2026-09-11</t>
        </is>
      </c>
      <c r="L183" s="2" t="inlineStr">
        <is>
          <t>-</t>
        </is>
      </c>
      <c r="M183" s="7" t="inlineStr">
        <is>
          <t>-</t>
        </is>
      </c>
      <c r="N183" s="7" t="inlineStr">
        <is>
          <t>자기주식 취득 완료(계약금액 소진)에 따른 중도해지</t>
        </is>
      </c>
      <c r="O183" s="2" t="inlineStr">
        <is>
          <t>20260610000585</t>
        </is>
      </c>
      <c r="P183" s="8">
        <f>HYPERLINK("https://dart.fss.or.kr/dsaf001/main.do?rcpNo=20260610000585", "공시열람")</f>
        <v/>
      </c>
    </row>
    <row r="184" ht="36" customHeight="1">
      <c r="A184" s="2" t="inlineStr">
        <is>
          <t>2026-06-10 (정정: 2026-06-10)</t>
        </is>
      </c>
      <c r="B184" s="3" t="inlineStr">
        <is>
          <t>카스</t>
        </is>
      </c>
      <c r="C184" s="2" t="inlineStr">
        <is>
          <t>코스닥</t>
        </is>
      </c>
      <c r="D184" s="2" t="inlineStr">
        <is>
          <t>016920</t>
        </is>
      </c>
      <c r="E184" s="7" t="inlineStr">
        <is>
          <t>[기재정정]주요사항보고서(자기주식취득결정)</t>
        </is>
      </c>
      <c r="F184" s="2" t="inlineStr">
        <is>
          <t>자기주식취득결정</t>
        </is>
      </c>
      <c r="G184" s="5" t="n">
        <v>499999920</v>
      </c>
      <c r="H184" s="6" t="n">
        <v>600240</v>
      </c>
      <c r="I184" s="3" t="inlineStr">
        <is>
          <t>비고</t>
        </is>
      </c>
      <c r="J184" s="2" t="inlineStr">
        <is>
          <t>2026-06-11</t>
        </is>
      </c>
      <c r="K184" s="2" t="inlineStr">
        <is>
          <t>2026-09-10</t>
        </is>
      </c>
      <c r="L184" s="2" t="inlineStr">
        <is>
          <t>-</t>
        </is>
      </c>
      <c r="M184" s="7" t="inlineStr">
        <is>
          <t>신한투자증권</t>
        </is>
      </c>
      <c r="N184" s="7" t="inlineStr">
        <is>
          <t>주가안정 및 주주가치 제고</t>
        </is>
      </c>
      <c r="O184" s="2" t="inlineStr">
        <is>
          <t>20260610000538</t>
        </is>
      </c>
      <c r="P184" s="8">
        <f>HYPERLINK("https://dart.fss.or.kr/dsaf001/main.do?rcpNo=20260610000538", "공시열람")</f>
        <v/>
      </c>
    </row>
    <row r="185" ht="36" customHeight="1">
      <c r="A185" s="2" t="inlineStr">
        <is>
          <t>2026-06-10</t>
        </is>
      </c>
      <c r="B185" s="3" t="inlineStr">
        <is>
          <t>우리금융지주</t>
        </is>
      </c>
      <c r="C185" s="2" t="inlineStr">
        <is>
          <t>코스피</t>
        </is>
      </c>
      <c r="D185" s="2" t="inlineStr">
        <is>
          <t>316140</t>
        </is>
      </c>
      <c r="E185" s="7" t="inlineStr">
        <is>
          <t>주요사항보고서(자기주식취득신탁계약해지결정)</t>
        </is>
      </c>
      <c r="F185" s="2" t="inlineStr">
        <is>
          <t>신탁계약체결결정</t>
        </is>
      </c>
      <c r="G185" s="5" t="n">
        <v>200000000000</v>
      </c>
      <c r="H185" s="6" t="inlineStr"/>
      <c r="I185" s="3" t="inlineStr">
        <is>
          <t>비고</t>
        </is>
      </c>
      <c r="J185" s="2" t="inlineStr">
        <is>
          <t>2026-02-10</t>
        </is>
      </c>
      <c r="K185" s="2" t="inlineStr">
        <is>
          <t>2026-06-10</t>
        </is>
      </c>
      <c r="L185" s="2" t="inlineStr">
        <is>
          <t>-</t>
        </is>
      </c>
      <c r="M185" s="7" t="inlineStr">
        <is>
          <t>-</t>
        </is>
      </c>
      <c r="N185" s="7" t="inlineStr">
        <is>
          <t>신탁계약기간 만료에 따른 해지</t>
        </is>
      </c>
      <c r="O185" s="2" t="inlineStr">
        <is>
          <t>20260610000461</t>
        </is>
      </c>
      <c r="P185" s="8">
        <f>HYPERLINK("https://dart.fss.or.kr/dsaf001/main.do?rcpNo=20260610000461", "공시열람")</f>
        <v/>
      </c>
    </row>
    <row r="186" ht="36" customHeight="1">
      <c r="A186" s="2" t="inlineStr">
        <is>
          <t>2026-06-10</t>
        </is>
      </c>
      <c r="B186" s="3" t="inlineStr">
        <is>
          <t>디지캡</t>
        </is>
      </c>
      <c r="C186" s="2" t="inlineStr">
        <is>
          <t>코스닥</t>
        </is>
      </c>
      <c r="D186" s="2" t="inlineStr">
        <is>
          <t>197140</t>
        </is>
      </c>
      <c r="E186" s="7" t="inlineStr">
        <is>
          <t>주요사항보고서(자기주식취득신탁계약체결결정)</t>
        </is>
      </c>
      <c r="F186" s="2" t="inlineStr">
        <is>
          <t>신탁계약체결결정</t>
        </is>
      </c>
      <c r="G186" s="5" t="n">
        <v>3000000000</v>
      </c>
      <c r="H186" s="6" t="n">
        <v>1824817</v>
      </c>
      <c r="I186" s="3" t="inlineStr">
        <is>
          <t>비고</t>
        </is>
      </c>
      <c r="J186" s="2" t="inlineStr">
        <is>
          <t>2026-06-10</t>
        </is>
      </c>
      <c r="K186" s="2" t="inlineStr">
        <is>
          <t>2026-12-09</t>
        </is>
      </c>
      <c r="L186" s="2" t="inlineStr">
        <is>
          <t>-</t>
        </is>
      </c>
      <c r="M186" s="7" t="inlineStr">
        <is>
          <t>삼성증권(주)(SAMSUNG SECURITIES Co., Ltd.)</t>
        </is>
      </c>
      <c r="N186" s="7" t="inlineStr">
        <is>
          <t>주가 안정 및 주주가치 제고</t>
        </is>
      </c>
      <c r="O186" s="2" t="inlineStr">
        <is>
          <t>20260610000371</t>
        </is>
      </c>
      <c r="P186" s="8">
        <f>HYPERLINK("https://dart.fss.or.kr/dsaf001/main.do?rcpNo=20260610000371", "공시열람")</f>
        <v/>
      </c>
    </row>
    <row r="187" ht="36" customHeight="1">
      <c r="A187" s="2" t="inlineStr">
        <is>
          <t>2026-06-10</t>
        </is>
      </c>
      <c r="B187" s="3" t="inlineStr">
        <is>
          <t>카스</t>
        </is>
      </c>
      <c r="C187" s="2" t="inlineStr">
        <is>
          <t>코스닥</t>
        </is>
      </c>
      <c r="D187" s="2" t="inlineStr">
        <is>
          <t>016920</t>
        </is>
      </c>
      <c r="E187" s="7" t="inlineStr">
        <is>
          <t>주요사항보고서(자기주식취득결정)</t>
        </is>
      </c>
      <c r="F187" s="2" t="inlineStr">
        <is>
          <t>자기주식취득결정</t>
        </is>
      </c>
      <c r="G187" s="5" t="n">
        <v>499999920</v>
      </c>
      <c r="H187" s="6" t="n">
        <v>600240</v>
      </c>
      <c r="I187" s="3" t="inlineStr">
        <is>
          <t>비고</t>
        </is>
      </c>
      <c r="J187" s="2" t="inlineStr">
        <is>
          <t>2026-06-11</t>
        </is>
      </c>
      <c r="K187" s="2" t="inlineStr">
        <is>
          <t>2026-09-10</t>
        </is>
      </c>
      <c r="L187" s="2" t="inlineStr">
        <is>
          <t>-</t>
        </is>
      </c>
      <c r="M187" s="7" t="inlineStr">
        <is>
          <t>신한투자증권</t>
        </is>
      </c>
      <c r="N187" s="7" t="inlineStr">
        <is>
          <t>주가안정 및 주주가치 제고</t>
        </is>
      </c>
      <c r="O187" s="2" t="inlineStr">
        <is>
          <t>20260610000366</t>
        </is>
      </c>
      <c r="P187" s="8">
        <f>HYPERLINK("https://dart.fss.or.kr/dsaf001/main.do?rcpNo=20260610000366", "공시열람")</f>
        <v/>
      </c>
    </row>
    <row r="188" ht="36" customHeight="1">
      <c r="A188" s="2" t="inlineStr">
        <is>
          <t>2026-06-10</t>
        </is>
      </c>
      <c r="B188" s="3" t="inlineStr">
        <is>
          <t>아세아</t>
        </is>
      </c>
      <c r="C188" s="2" t="inlineStr">
        <is>
          <t>코스피</t>
        </is>
      </c>
      <c r="D188" s="2" t="inlineStr">
        <is>
          <t>002030</t>
        </is>
      </c>
      <c r="E188" s="7" t="inlineStr">
        <is>
          <t>주요사항보고서(자기주식취득신탁계약체결결정)</t>
        </is>
      </c>
      <c r="F188" s="2" t="inlineStr">
        <is>
          <t>신탁계약체결결정</t>
        </is>
      </c>
      <c r="G188" s="5" t="n">
        <v>8000000000</v>
      </c>
      <c r="H188" s="6" t="n">
        <v>46377</v>
      </c>
      <c r="I188" s="3" t="inlineStr">
        <is>
          <t>비고</t>
        </is>
      </c>
      <c r="J188" s="2" t="inlineStr">
        <is>
          <t>2026-06-10</t>
        </is>
      </c>
      <c r="K188" s="2" t="inlineStr">
        <is>
          <t>2026-12-09</t>
        </is>
      </c>
      <c r="L188" s="2" t="inlineStr">
        <is>
          <t>-</t>
        </is>
      </c>
      <c r="M188" s="7" t="inlineStr">
        <is>
          <t>NH투자증권 (NH INVESTMENT &amp; SECURITIES CO., LTD.)</t>
        </is>
      </c>
      <c r="N188" s="7" t="inlineStr">
        <is>
          <t>주주가치 제고</t>
        </is>
      </c>
      <c r="O188" s="2" t="inlineStr">
        <is>
          <t>20260610000379</t>
        </is>
      </c>
      <c r="P188" s="8">
        <f>HYPERLINK("https://dart.fss.or.kr/dsaf001/main.do?rcpNo=20260610000379", "공시열람")</f>
        <v/>
      </c>
    </row>
    <row r="189" ht="36" customHeight="1">
      <c r="A189" s="2" t="inlineStr">
        <is>
          <t>2026-06-10</t>
        </is>
      </c>
      <c r="B189" s="3" t="inlineStr">
        <is>
          <t>동아지질</t>
        </is>
      </c>
      <c r="C189" s="2" t="inlineStr">
        <is>
          <t>코스피</t>
        </is>
      </c>
      <c r="D189" s="2" t="inlineStr">
        <is>
          <t>028100</t>
        </is>
      </c>
      <c r="E189" s="7" t="inlineStr">
        <is>
          <t>주요사항보고서(자기주식취득신탁계약체결결정)</t>
        </is>
      </c>
      <c r="F189" s="2" t="inlineStr">
        <is>
          <t>신탁계약체결결정</t>
        </is>
      </c>
      <c r="G189" s="5" t="n">
        <v>0</v>
      </c>
      <c r="H189" s="6" t="n">
        <v>534188</v>
      </c>
      <c r="I189" s="3" t="inlineStr">
        <is>
          <t>비고</t>
        </is>
      </c>
      <c r="J189" s="2" t="inlineStr">
        <is>
          <t>2026-06-10</t>
        </is>
      </c>
      <c r="K189" s="2" t="inlineStr">
        <is>
          <t>2027-06-09</t>
        </is>
      </c>
      <c r="L189" s="2" t="inlineStr">
        <is>
          <t>-</t>
        </is>
      </c>
      <c r="M189" s="7" t="inlineStr">
        <is>
          <t>KB증권 (KB Securities Co., Ltd.)</t>
        </is>
      </c>
      <c r="N189" s="7" t="inlineStr">
        <is>
          <t>주가안정 및 주주가치 제고</t>
        </is>
      </c>
      <c r="O189" s="2" t="inlineStr">
        <is>
          <t>20260610000346</t>
        </is>
      </c>
      <c r="P189" s="8">
        <f>HYPERLINK("https://dart.fss.or.kr/dsaf001/main.do?rcpNo=20260610000346", "공시열람")</f>
        <v/>
      </c>
    </row>
    <row r="190" ht="36" customHeight="1">
      <c r="A190" s="2" t="inlineStr">
        <is>
          <t>2026-06-10</t>
        </is>
      </c>
      <c r="B190" s="3" t="inlineStr">
        <is>
          <t>서부T&amp;D</t>
        </is>
      </c>
      <c r="C190" s="2" t="inlineStr">
        <is>
          <t>코스닥</t>
        </is>
      </c>
      <c r="D190" s="2" t="inlineStr">
        <is>
          <t>006730</t>
        </is>
      </c>
      <c r="E190" s="7" t="inlineStr">
        <is>
          <t xml:space="preserve">주식소각결정              </t>
        </is>
      </c>
      <c r="F190" s="2" t="inlineStr">
        <is>
          <t>자기주식소각결정</t>
        </is>
      </c>
      <c r="G190" s="5" t="n">
        <v>4544059722</v>
      </c>
      <c r="H190" s="6" t="n">
        <v>650000</v>
      </c>
      <c r="I190" s="3" t="inlineStr">
        <is>
          <t>기취득 자기주식</t>
        </is>
      </c>
      <c r="J190" s="2" t="inlineStr">
        <is>
          <t>-</t>
        </is>
      </c>
      <c r="K190" s="2" t="inlineStr">
        <is>
          <t>-</t>
        </is>
      </c>
      <c r="L190" s="2" t="inlineStr">
        <is>
          <t>2026-06-18</t>
        </is>
      </c>
      <c r="M190" s="7" t="inlineStr">
        <is>
          <t>-</t>
        </is>
      </c>
      <c r="N190" s="7" t="inlineStr">
        <is>
          <t>주주가치 제고 및 주식소각</t>
        </is>
      </c>
      <c r="O190" s="2" t="inlineStr">
        <is>
          <t>20260610900425</t>
        </is>
      </c>
      <c r="P190" s="8">
        <f>HYPERLINK("https://dart.fss.or.kr/dsaf001/main.do?rcpNo=20260610900425", "공시열람")</f>
        <v/>
      </c>
    </row>
    <row r="191" ht="36" customHeight="1">
      <c r="A191" s="2" t="inlineStr">
        <is>
          <t>2026-06-10</t>
        </is>
      </c>
      <c r="B191" s="3" t="inlineStr">
        <is>
          <t>웹젠</t>
        </is>
      </c>
      <c r="C191" s="2" t="inlineStr">
        <is>
          <t>코스닥</t>
        </is>
      </c>
      <c r="D191" s="2" t="inlineStr">
        <is>
          <t>069080</t>
        </is>
      </c>
      <c r="E191" s="7" t="inlineStr">
        <is>
          <t>주요사항보고서(자기주식취득결정)</t>
        </is>
      </c>
      <c r="F191" s="2" t="inlineStr">
        <is>
          <t>자기주식취득결정</t>
        </is>
      </c>
      <c r="G191" s="5" t="n">
        <v>10923000000</v>
      </c>
      <c r="H191" s="6" t="n">
        <v>1100000</v>
      </c>
      <c r="I191" s="3" t="inlineStr">
        <is>
          <t>비고</t>
        </is>
      </c>
      <c r="J191" s="2" t="inlineStr">
        <is>
          <t>2026-06-11</t>
        </is>
      </c>
      <c r="K191" s="2" t="inlineStr">
        <is>
          <t>2026-09-10</t>
        </is>
      </c>
      <c r="L191" s="2" t="inlineStr">
        <is>
          <t>-</t>
        </is>
      </c>
      <c r="M191" s="7" t="inlineStr">
        <is>
          <t>삼성증권</t>
        </is>
      </c>
      <c r="N191" s="7" t="inlineStr">
        <is>
          <t>주가안정 및 주주가치 제고</t>
        </is>
      </c>
      <c r="O191" s="2" t="inlineStr">
        <is>
          <t>20260610000289</t>
        </is>
      </c>
      <c r="P191" s="8">
        <f>HYPERLINK("https://dart.fss.or.kr/dsaf001/main.do?rcpNo=20260610000289", "공시열람")</f>
        <v/>
      </c>
    </row>
    <row r="192" ht="36" customHeight="1">
      <c r="A192" s="2" t="inlineStr">
        <is>
          <t>2026-06-10</t>
        </is>
      </c>
      <c r="B192" s="3" t="inlineStr">
        <is>
          <t>지투파워</t>
        </is>
      </c>
      <c r="C192" s="2" t="inlineStr">
        <is>
          <t>코스닥</t>
        </is>
      </c>
      <c r="D192" s="2" t="inlineStr">
        <is>
          <t>388050</t>
        </is>
      </c>
      <c r="E192" s="7" t="inlineStr">
        <is>
          <t>주요사항보고서(자기주식취득신탁계약체결결정)</t>
        </is>
      </c>
      <c r="F192" s="2" t="inlineStr">
        <is>
          <t>신탁계약체결결정</t>
        </is>
      </c>
      <c r="G192" s="5" t="n">
        <v>600000000</v>
      </c>
      <c r="H192" s="6" t="n">
        <v>68493</v>
      </c>
      <c r="I192" s="3" t="inlineStr">
        <is>
          <t>비고</t>
        </is>
      </c>
      <c r="J192" s="2" t="inlineStr">
        <is>
          <t>2026-06-16</t>
        </is>
      </c>
      <c r="K192" s="2" t="inlineStr">
        <is>
          <t>2026-12-15</t>
        </is>
      </c>
      <c r="L192" s="2" t="inlineStr">
        <is>
          <t>-</t>
        </is>
      </c>
      <c r="M192" s="7" t="inlineStr">
        <is>
          <t>한국투자증권((Korea Investment &amp; Securities Co., Ltd)</t>
        </is>
      </c>
      <c r="N192" s="7" t="inlineStr">
        <is>
          <t>주주가치 제고 및 임직원 등 주식보상</t>
        </is>
      </c>
      <c r="O192" s="2" t="inlineStr">
        <is>
          <t>20260610000263</t>
        </is>
      </c>
      <c r="P192" s="8">
        <f>HYPERLINK("https://dart.fss.or.kr/dsaf001/main.do?rcpNo=20260610000263", "공시열람")</f>
        <v/>
      </c>
    </row>
    <row r="193" ht="36" customHeight="1">
      <c r="A193" s="2" t="inlineStr">
        <is>
          <t>2026-06-10</t>
        </is>
      </c>
      <c r="B193" s="3" t="inlineStr">
        <is>
          <t>청담글로벌</t>
        </is>
      </c>
      <c r="C193" s="2" t="inlineStr">
        <is>
          <t>코스닥</t>
        </is>
      </c>
      <c r="D193" s="2" t="inlineStr">
        <is>
          <t>362320</t>
        </is>
      </c>
      <c r="E193" s="7" t="inlineStr">
        <is>
          <t>주요사항보고서(자기주식취득결정)</t>
        </is>
      </c>
      <c r="F193" s="2" t="inlineStr">
        <is>
          <t>자기주식취득결정</t>
        </is>
      </c>
      <c r="G193" s="5" t="n">
        <v>2000002200</v>
      </c>
      <c r="H193" s="6" t="n">
        <v>537635</v>
      </c>
      <c r="I193" s="3" t="inlineStr">
        <is>
          <t>비고</t>
        </is>
      </c>
      <c r="J193" s="2" t="inlineStr">
        <is>
          <t>2026-06-11</t>
        </is>
      </c>
      <c r="K193" s="2" t="inlineStr">
        <is>
          <t>2026-08-31</t>
        </is>
      </c>
      <c r="L193" s="2" t="inlineStr">
        <is>
          <t>-</t>
        </is>
      </c>
      <c r="M193" s="7" t="inlineStr">
        <is>
          <t>KB증권</t>
        </is>
      </c>
      <c r="N193" s="7" t="inlineStr">
        <is>
          <t>주주환원 정책 및 주주가치 제고 (자사주 매입 후 소각)</t>
        </is>
      </c>
      <c r="O193" s="2" t="inlineStr">
        <is>
          <t>20260610000270</t>
        </is>
      </c>
      <c r="P193" s="8">
        <f>HYPERLINK("https://dart.fss.or.kr/dsaf001/main.do?rcpNo=20260610000270", "공시열람")</f>
        <v/>
      </c>
    </row>
    <row r="194" ht="36" customHeight="1">
      <c r="A194" s="2" t="inlineStr">
        <is>
          <t>2026-06-10</t>
        </is>
      </c>
      <c r="B194" s="3" t="inlineStr">
        <is>
          <t>태광</t>
        </is>
      </c>
      <c r="C194" s="2" t="inlineStr">
        <is>
          <t>코스닥</t>
        </is>
      </c>
      <c r="D194" s="2" t="inlineStr">
        <is>
          <t>023160</t>
        </is>
      </c>
      <c r="E194" s="7" t="inlineStr">
        <is>
          <t>주요사항보고서(자기주식취득신탁계약체결결정)</t>
        </is>
      </c>
      <c r="F194" s="2" t="inlineStr">
        <is>
          <t>신탁계약체결결정</t>
        </is>
      </c>
      <c r="G194" s="5" t="n">
        <v>10000000000</v>
      </c>
      <c r="H194" s="6" t="n">
        <v>365630</v>
      </c>
      <c r="I194" s="3" t="inlineStr">
        <is>
          <t>비고</t>
        </is>
      </c>
      <c r="J194" s="2" t="inlineStr">
        <is>
          <t>2026-06-11</t>
        </is>
      </c>
      <c r="K194" s="2" t="inlineStr">
        <is>
          <t>2026-10-12</t>
        </is>
      </c>
      <c r="L194" s="2" t="inlineStr">
        <is>
          <t>-</t>
        </is>
      </c>
      <c r="M194" s="7" t="inlineStr">
        <is>
          <t>삼성증권(Samsung Securities Co.,Ltd.)</t>
        </is>
      </c>
      <c r="N194" s="7" t="inlineStr">
        <is>
          <t>주식가격의 안정 및 주주가치 제고</t>
        </is>
      </c>
      <c r="O194" s="2" t="inlineStr">
        <is>
          <t>20260610000233</t>
        </is>
      </c>
      <c r="P194" s="8">
        <f>HYPERLINK("https://dart.fss.or.kr/dsaf001/main.do?rcpNo=20260610000233", "공시열람")</f>
        <v/>
      </c>
    </row>
    <row r="195" ht="36" customHeight="1">
      <c r="A195" s="2" t="inlineStr">
        <is>
          <t>2026-06-10</t>
        </is>
      </c>
      <c r="B195" s="3" t="inlineStr">
        <is>
          <t>아세아시멘트</t>
        </is>
      </c>
      <c r="C195" s="2" t="inlineStr">
        <is>
          <t>코스피</t>
        </is>
      </c>
      <c r="D195" s="2" t="inlineStr">
        <is>
          <t>183190</t>
        </is>
      </c>
      <c r="E195" s="7" t="inlineStr">
        <is>
          <t xml:space="preserve">주식소각결정              </t>
        </is>
      </c>
      <c r="F195" s="2" t="inlineStr">
        <is>
          <t>자기주식소각결정</t>
        </is>
      </c>
      <c r="G195" s="5" t="n">
        <v>5022763560</v>
      </c>
      <c r="H195" s="6" t="n">
        <v>528156</v>
      </c>
      <c r="I195" s="3" t="inlineStr">
        <is>
          <t>기취득 자기주식</t>
        </is>
      </c>
      <c r="J195" s="2" t="inlineStr">
        <is>
          <t>-</t>
        </is>
      </c>
      <c r="K195" s="2" t="inlineStr">
        <is>
          <t>-</t>
        </is>
      </c>
      <c r="L195" s="2" t="inlineStr">
        <is>
          <t>2026-06-18</t>
        </is>
      </c>
      <c r="M195" s="7" t="inlineStr">
        <is>
          <t>-</t>
        </is>
      </c>
      <c r="N195" s="7" t="inlineStr">
        <is>
          <t>주주가치 제고 및 주식소각</t>
        </is>
      </c>
      <c r="O195" s="2" t="inlineStr">
        <is>
          <t>20260610800342</t>
        </is>
      </c>
      <c r="P195" s="8">
        <f>HYPERLINK("https://dart.fss.or.kr/dsaf001/main.do?rcpNo=20260610800342", "공시열람")</f>
        <v/>
      </c>
    </row>
    <row r="196" ht="36" customHeight="1">
      <c r="A196" s="2" t="inlineStr">
        <is>
          <t>2026-06-10</t>
        </is>
      </c>
      <c r="B196" s="3" t="inlineStr">
        <is>
          <t>셀바이오휴먼텍</t>
        </is>
      </c>
      <c r="C196" s="2" t="inlineStr">
        <is>
          <t>코스닥</t>
        </is>
      </c>
      <c r="D196" s="2" t="inlineStr">
        <is>
          <t>318160</t>
        </is>
      </c>
      <c r="E196" s="7" t="inlineStr">
        <is>
          <t>주요사항보고서(자기주식취득신탁계약체결결정)</t>
        </is>
      </c>
      <c r="F196" s="2" t="inlineStr">
        <is>
          <t>신탁계약체결결정</t>
        </is>
      </c>
      <c r="G196" s="5" t="n">
        <v>1000000000</v>
      </c>
      <c r="H196" s="6" t="n">
        <v>182815</v>
      </c>
      <c r="I196" s="3" t="inlineStr">
        <is>
          <t>비고</t>
        </is>
      </c>
      <c r="J196" s="2" t="inlineStr">
        <is>
          <t>2026-06-10</t>
        </is>
      </c>
      <c r="K196" s="2" t="inlineStr">
        <is>
          <t>2027-06-10</t>
        </is>
      </c>
      <c r="L196" s="2" t="inlineStr">
        <is>
          <t>-</t>
        </is>
      </c>
      <c r="M196" s="7" t="inlineStr">
        <is>
          <t>대신증권 (DAISHIN Securities Co., Ltd)</t>
        </is>
      </c>
      <c r="N196" s="7" t="inlineStr">
        <is>
          <t>주주가치 제고</t>
        </is>
      </c>
      <c r="O196" s="2" t="inlineStr">
        <is>
          <t>20260610000207</t>
        </is>
      </c>
      <c r="P196" s="8">
        <f>HYPERLINK("https://dart.fss.or.kr/dsaf001/main.do?rcpNo=20260610000207", "공시열람")</f>
        <v/>
      </c>
    </row>
    <row r="197" ht="36" customHeight="1">
      <c r="A197" s="2" t="inlineStr">
        <is>
          <t>2026-06-10</t>
        </is>
      </c>
      <c r="B197" s="3" t="inlineStr">
        <is>
          <t>동아지질</t>
        </is>
      </c>
      <c r="C197" s="2" t="inlineStr">
        <is>
          <t>코스피</t>
        </is>
      </c>
      <c r="D197" s="2" t="inlineStr">
        <is>
          <t>028100</t>
        </is>
      </c>
      <c r="E197" s="7" t="inlineStr">
        <is>
          <t>주요사항보고서(자기주식취득신탁계약해지결정)</t>
        </is>
      </c>
      <c r="F197" s="2" t="inlineStr">
        <is>
          <t>신탁계약체결결정</t>
        </is>
      </c>
      <c r="G197" s="5" t="n">
        <v>7500000000</v>
      </c>
      <c r="H197" s="6" t="inlineStr"/>
      <c r="I197" s="3" t="inlineStr">
        <is>
          <t>비고</t>
        </is>
      </c>
      <c r="J197" s="2" t="inlineStr">
        <is>
          <t>2026-03-17</t>
        </is>
      </c>
      <c r="K197" s="2" t="inlineStr">
        <is>
          <t>2027-03-16</t>
        </is>
      </c>
      <c r="L197" s="2" t="inlineStr">
        <is>
          <t>-</t>
        </is>
      </c>
      <c r="M197" s="7" t="inlineStr">
        <is>
          <t>-</t>
        </is>
      </c>
      <c r="N197" s="7" t="inlineStr">
        <is>
          <t>자기주식 취득 완료(계약금액 소진)에 따른 중도해지</t>
        </is>
      </c>
      <c r="O197" s="2" t="inlineStr">
        <is>
          <t>20260610000089</t>
        </is>
      </c>
      <c r="P197" s="8">
        <f>HYPERLINK("https://dart.fss.or.kr/dsaf001/main.do?rcpNo=20260610000089", "공시열람")</f>
        <v/>
      </c>
    </row>
    <row r="198" ht="36" customHeight="1">
      <c r="A198" s="2" t="inlineStr">
        <is>
          <t>2026-06-10</t>
        </is>
      </c>
      <c r="B198" s="3" t="inlineStr">
        <is>
          <t>서울평가정보</t>
        </is>
      </c>
      <c r="C198" s="2" t="inlineStr">
        <is>
          <t>코스닥</t>
        </is>
      </c>
      <c r="D198" s="2" t="inlineStr">
        <is>
          <t>036120</t>
        </is>
      </c>
      <c r="E198" s="7" t="inlineStr">
        <is>
          <t>주요사항보고서(자기주식취득신탁계약체결결정)</t>
        </is>
      </c>
      <c r="F198" s="2" t="inlineStr">
        <is>
          <t>신탁계약체결결정</t>
        </is>
      </c>
      <c r="G198" s="5" t="n">
        <v>1200000000</v>
      </c>
      <c r="H198" s="6" t="n">
        <v>764331</v>
      </c>
      <c r="I198" s="3" t="inlineStr">
        <is>
          <t>비고</t>
        </is>
      </c>
      <c r="J198" s="2" t="inlineStr">
        <is>
          <t>2026-06-11</t>
        </is>
      </c>
      <c r="K198" s="2" t="inlineStr">
        <is>
          <t>2027-06-10</t>
        </is>
      </c>
      <c r="L198" s="2" t="inlineStr">
        <is>
          <t>-</t>
        </is>
      </c>
      <c r="M198" s="7" t="inlineStr">
        <is>
          <t>신한투자증권 주식회사(Shinhan Securities Co., LTD)</t>
        </is>
      </c>
      <c r="N198" s="7" t="inlineStr">
        <is>
          <t>주식가격의 안정 및 주주가치 제고</t>
        </is>
      </c>
      <c r="O198" s="2" t="inlineStr">
        <is>
          <t>20260610000076</t>
        </is>
      </c>
      <c r="P198" s="8">
        <f>HYPERLINK("https://dart.fss.or.kr/dsaf001/main.do?rcpNo=20260610000076", "공시열람")</f>
        <v/>
      </c>
    </row>
    <row r="199" ht="36" customHeight="1">
      <c r="A199" s="2" t="inlineStr">
        <is>
          <t>2026-06-11</t>
        </is>
      </c>
      <c r="B199" s="3" t="inlineStr">
        <is>
          <t>한국전자인증</t>
        </is>
      </c>
      <c r="C199" s="2" t="inlineStr">
        <is>
          <t>코스닥</t>
        </is>
      </c>
      <c r="D199" s="2" t="inlineStr">
        <is>
          <t>041460</t>
        </is>
      </c>
      <c r="E199" s="7" t="inlineStr">
        <is>
          <t>주요사항보고서(자기주식취득신탁계약체결결정)</t>
        </is>
      </c>
      <c r="F199" s="2" t="inlineStr">
        <is>
          <t>신탁계약체결결정</t>
        </is>
      </c>
      <c r="G199" s="5" t="n">
        <v>3500000000</v>
      </c>
      <c r="H199" s="6" t="n">
        <v>1134521</v>
      </c>
      <c r="I199" s="3" t="inlineStr">
        <is>
          <t>비고</t>
        </is>
      </c>
      <c r="J199" s="2" t="inlineStr">
        <is>
          <t>2026-06-17</t>
        </is>
      </c>
      <c r="K199" s="2" t="inlineStr">
        <is>
          <t>2026-12-17</t>
        </is>
      </c>
      <c r="L199" s="2" t="inlineStr">
        <is>
          <t>-</t>
        </is>
      </c>
      <c r="M199" s="7" t="inlineStr">
        <is>
          <t>한국투자증권 주식회사 KOREA INVESTMENT &amp; SECURITIES CO,LTD</t>
        </is>
      </c>
      <c r="N199" s="7" t="inlineStr">
        <is>
          <t>주가안정 및 주주가치 제고, 사외이사 주식기준보상(RSU) 재원 마련</t>
        </is>
      </c>
      <c r="O199" s="2" t="inlineStr">
        <is>
          <t>20260611000681</t>
        </is>
      </c>
      <c r="P199" s="8">
        <f>HYPERLINK("https://dart.fss.or.kr/dsaf001/main.do?rcpNo=20260611000681", "공시열람")</f>
        <v/>
      </c>
    </row>
    <row r="200" ht="36" customHeight="1">
      <c r="A200" s="2" t="inlineStr">
        <is>
          <t>2026-06-11</t>
        </is>
      </c>
      <c r="B200" s="3" t="inlineStr">
        <is>
          <t>한국전자인증</t>
        </is>
      </c>
      <c r="C200" s="2" t="inlineStr">
        <is>
          <t>코스닥</t>
        </is>
      </c>
      <c r="D200" s="2" t="inlineStr">
        <is>
          <t>041460</t>
        </is>
      </c>
      <c r="E200" s="7" t="inlineStr">
        <is>
          <t xml:space="preserve">주식소각결정              </t>
        </is>
      </c>
      <c r="F200" s="2" t="inlineStr">
        <is>
          <t>자기주식소각결정</t>
        </is>
      </c>
      <c r="G200" s="5" t="n">
        <v>1949027220</v>
      </c>
      <c r="H200" s="6" t="n">
        <v>569891</v>
      </c>
      <c r="I200" s="3" t="inlineStr">
        <is>
          <t>기취득 자기주식</t>
        </is>
      </c>
      <c r="J200" s="2" t="inlineStr">
        <is>
          <t>-</t>
        </is>
      </c>
      <c r="K200" s="2" t="inlineStr">
        <is>
          <t>-</t>
        </is>
      </c>
      <c r="L200" s="2" t="inlineStr">
        <is>
          <t>2026-06-19</t>
        </is>
      </c>
      <c r="M200" s="7" t="inlineStr">
        <is>
          <t>-</t>
        </is>
      </c>
      <c r="N200" s="7" t="inlineStr">
        <is>
          <t>주주가치 제고 및 주식소각</t>
        </is>
      </c>
      <c r="O200" s="2" t="inlineStr">
        <is>
          <t>20260611900641</t>
        </is>
      </c>
      <c r="P200" s="8">
        <f>HYPERLINK("https://dart.fss.or.kr/dsaf001/main.do?rcpNo=20260611900641", "공시열람")</f>
        <v/>
      </c>
    </row>
    <row r="201" ht="36" customHeight="1">
      <c r="A201" s="2" t="inlineStr">
        <is>
          <t>2026-06-11</t>
        </is>
      </c>
      <c r="B201" s="3" t="inlineStr">
        <is>
          <t>제우스</t>
        </is>
      </c>
      <c r="C201" s="2" t="inlineStr">
        <is>
          <t>코스닥</t>
        </is>
      </c>
      <c r="D201" s="2" t="inlineStr">
        <is>
          <t>079370</t>
        </is>
      </c>
      <c r="E201" s="7" t="inlineStr">
        <is>
          <t>주요사항보고서(자기주식취득신탁계약체결결정)</t>
        </is>
      </c>
      <c r="F201" s="2" t="inlineStr">
        <is>
          <t>신탁계약체결결정</t>
        </is>
      </c>
      <c r="G201" s="5" t="n">
        <v>5000000000</v>
      </c>
      <c r="H201" s="6" t="n">
        <v>473037</v>
      </c>
      <c r="I201" s="3" t="inlineStr">
        <is>
          <t>비고</t>
        </is>
      </c>
      <c r="J201" s="2" t="inlineStr">
        <is>
          <t>2026-06-11</t>
        </is>
      </c>
      <c r="K201" s="2" t="inlineStr">
        <is>
          <t>2026-12-11</t>
        </is>
      </c>
      <c r="L201" s="2" t="inlineStr">
        <is>
          <t>-</t>
        </is>
      </c>
      <c r="M201" s="7" t="inlineStr">
        <is>
          <t>삼성증권주식회사(SAMSUNG SECURITIES CO.,LTD.)</t>
        </is>
      </c>
      <c r="N201" s="7" t="inlineStr">
        <is>
          <t>임직원 보상</t>
        </is>
      </c>
      <c r="O201" s="2" t="inlineStr">
        <is>
          <t>20260611000550</t>
        </is>
      </c>
      <c r="P201" s="8">
        <f>HYPERLINK("https://dart.fss.or.kr/dsaf001/main.do?rcpNo=20260611000550", "공시열람")</f>
        <v/>
      </c>
    </row>
    <row r="202" ht="36" customHeight="1">
      <c r="A202" s="2" t="inlineStr">
        <is>
          <t>2026-06-11</t>
        </is>
      </c>
      <c r="B202" s="3" t="inlineStr">
        <is>
          <t>디씨엠</t>
        </is>
      </c>
      <c r="C202" s="2" t="inlineStr">
        <is>
          <t>코스피</t>
        </is>
      </c>
      <c r="D202" s="2" t="inlineStr">
        <is>
          <t>024090</t>
        </is>
      </c>
      <c r="E202" s="7" t="inlineStr">
        <is>
          <t>주요사항보고서(자기주식취득신탁계약해지결정)</t>
        </is>
      </c>
      <c r="F202" s="2" t="inlineStr">
        <is>
          <t>신탁계약체결결정</t>
        </is>
      </c>
      <c r="G202" s="5" t="n">
        <v>2000000000</v>
      </c>
      <c r="H202" s="6" t="inlineStr"/>
      <c r="I202" s="3" t="inlineStr">
        <is>
          <t>비고</t>
        </is>
      </c>
      <c r="J202" s="2" t="inlineStr">
        <is>
          <t>2025-11-20</t>
        </is>
      </c>
      <c r="K202" s="2" t="inlineStr">
        <is>
          <t>2026-11-19</t>
        </is>
      </c>
      <c r="L202" s="2" t="inlineStr">
        <is>
          <t>-</t>
        </is>
      </c>
      <c r="M202" s="7" t="inlineStr">
        <is>
          <t>-</t>
        </is>
      </c>
      <c r="N202" s="7" t="inlineStr">
        <is>
          <t>자기주식 취득 완료(계약금액 소진)에 따른 중도해지</t>
        </is>
      </c>
      <c r="O202" s="2" t="inlineStr">
        <is>
          <t>20260611000448</t>
        </is>
      </c>
      <c r="P202" s="8">
        <f>HYPERLINK("https://dart.fss.or.kr/dsaf001/main.do?rcpNo=20260611000448", "공시열람")</f>
        <v/>
      </c>
    </row>
    <row r="203" ht="36" customHeight="1">
      <c r="A203" s="2" t="inlineStr">
        <is>
          <t>2026-06-11</t>
        </is>
      </c>
      <c r="B203" s="3" t="inlineStr">
        <is>
          <t>사람인</t>
        </is>
      </c>
      <c r="C203" s="2" t="inlineStr">
        <is>
          <t>코스닥</t>
        </is>
      </c>
      <c r="D203" s="2" t="inlineStr">
        <is>
          <t>143240</t>
        </is>
      </c>
      <c r="E203" s="7" t="inlineStr">
        <is>
          <t>주요사항보고서(자기주식취득신탁계약체결결정)</t>
        </is>
      </c>
      <c r="F203" s="2" t="inlineStr">
        <is>
          <t>신탁계약체결결정</t>
        </is>
      </c>
      <c r="G203" s="5" t="n">
        <v>6000000000</v>
      </c>
      <c r="H203" s="6" t="n">
        <v>392156</v>
      </c>
      <c r="I203" s="3" t="inlineStr">
        <is>
          <t>비고</t>
        </is>
      </c>
      <c r="J203" s="2" t="inlineStr">
        <is>
          <t>2026-06-11</t>
        </is>
      </c>
      <c r="K203" s="2" t="inlineStr">
        <is>
          <t>2026-12-11</t>
        </is>
      </c>
      <c r="L203" s="2" t="inlineStr">
        <is>
          <t>-</t>
        </is>
      </c>
      <c r="M203" s="7" t="inlineStr">
        <is>
          <t>키움증권(주)(KIWOOM SECURITIES Corp.)</t>
        </is>
      </c>
      <c r="N203" s="7" t="inlineStr">
        <is>
          <t>주가 안정, 주주가치 제고 및 임직원 보상 재원 활용</t>
        </is>
      </c>
      <c r="O203" s="2" t="inlineStr">
        <is>
          <t>20260611000454</t>
        </is>
      </c>
      <c r="P203" s="8">
        <f>HYPERLINK("https://dart.fss.or.kr/dsaf001/main.do?rcpNo=20260611000454", "공시열람")</f>
        <v/>
      </c>
    </row>
    <row r="204" ht="36" customHeight="1">
      <c r="A204" s="2" t="inlineStr">
        <is>
          <t>2026-06-11</t>
        </is>
      </c>
      <c r="B204" s="3" t="inlineStr">
        <is>
          <t>비스토스</t>
        </is>
      </c>
      <c r="C204" s="2" t="inlineStr">
        <is>
          <t>코스닥</t>
        </is>
      </c>
      <c r="D204" s="2" t="inlineStr">
        <is>
          <t>419540</t>
        </is>
      </c>
      <c r="E204" s="7" t="inlineStr">
        <is>
          <t>주요사항보고서(자기주식취득신탁계약체결결정)</t>
        </is>
      </c>
      <c r="F204" s="2" t="inlineStr">
        <is>
          <t>신탁계약체결결정</t>
        </is>
      </c>
      <c r="G204" s="5" t="n">
        <v>2000000000</v>
      </c>
      <c r="H204" s="6" t="n">
        <v>829876</v>
      </c>
      <c r="I204" s="3" t="inlineStr">
        <is>
          <t>비고</t>
        </is>
      </c>
      <c r="J204" s="2" t="inlineStr">
        <is>
          <t>2026-06-11</t>
        </is>
      </c>
      <c r="K204" s="2" t="inlineStr">
        <is>
          <t>2026-12-10</t>
        </is>
      </c>
      <c r="L204" s="2" t="inlineStr">
        <is>
          <t>-</t>
        </is>
      </c>
      <c r="M204" s="7" t="inlineStr">
        <is>
          <t>KB증권(KB SECURITIES CO., LTD.)</t>
        </is>
      </c>
      <c r="N204" s="7" t="inlineStr">
        <is>
          <t>주가 안정 및 주주가치 증대</t>
        </is>
      </c>
      <c r="O204" s="2" t="inlineStr">
        <is>
          <t>20260611000364</t>
        </is>
      </c>
      <c r="P204" s="8">
        <f>HYPERLINK("https://dart.fss.or.kr/dsaf001/main.do?rcpNo=20260611000364", "공시열람")</f>
        <v/>
      </c>
    </row>
    <row r="205" ht="36" customHeight="1">
      <c r="A205" s="2" t="inlineStr">
        <is>
          <t>2026-06-11</t>
        </is>
      </c>
      <c r="B205" s="3" t="inlineStr">
        <is>
          <t>에스피소프트</t>
        </is>
      </c>
      <c r="C205" s="2" t="inlineStr">
        <is>
          <t>코스닥</t>
        </is>
      </c>
      <c r="D205" s="2" t="inlineStr">
        <is>
          <t>443670</t>
        </is>
      </c>
      <c r="E205" s="7" t="inlineStr">
        <is>
          <t xml:space="preserve">주식소각결정              </t>
        </is>
      </c>
      <c r="F205" s="2" t="inlineStr">
        <is>
          <t>자기주식소각결정</t>
        </is>
      </c>
      <c r="G205" s="5" t="n">
        <v>3992151896</v>
      </c>
      <c r="H205" s="6" t="n">
        <v>730828</v>
      </c>
      <c r="I205" s="3" t="inlineStr">
        <is>
          <t>기취득 자기주식</t>
        </is>
      </c>
      <c r="J205" s="2" t="inlineStr">
        <is>
          <t>-</t>
        </is>
      </c>
      <c r="K205" s="2" t="inlineStr">
        <is>
          <t>-</t>
        </is>
      </c>
      <c r="L205" s="2" t="inlineStr">
        <is>
          <t>2026-06-16</t>
        </is>
      </c>
      <c r="M205" s="7" t="inlineStr">
        <is>
          <t>-</t>
        </is>
      </c>
      <c r="N205" s="7" t="inlineStr">
        <is>
          <t>주주가치 제고 및 주식소각</t>
        </is>
      </c>
      <c r="O205" s="2" t="inlineStr">
        <is>
          <t>20260611900379</t>
        </is>
      </c>
      <c r="P205" s="8">
        <f>HYPERLINK("https://dart.fss.or.kr/dsaf001/main.do?rcpNo=20260611900379", "공시열람")</f>
        <v/>
      </c>
    </row>
    <row r="206" ht="36" customHeight="1">
      <c r="A206" s="2" t="inlineStr">
        <is>
          <t>2026-06-11</t>
        </is>
      </c>
      <c r="B206" s="3" t="inlineStr">
        <is>
          <t>에이텍모빌리티</t>
        </is>
      </c>
      <c r="C206" s="2" t="inlineStr">
        <is>
          <t>코스닥</t>
        </is>
      </c>
      <c r="D206" s="2" t="inlineStr">
        <is>
          <t>224110</t>
        </is>
      </c>
      <c r="E206" s="7" t="inlineStr">
        <is>
          <t>주요사항보고서(자기주식취득신탁계약체결결정)</t>
        </is>
      </c>
      <c r="F206" s="2" t="inlineStr">
        <is>
          <t>신탁계약체결결정</t>
        </is>
      </c>
      <c r="G206" s="5" t="n">
        <v>2000000000</v>
      </c>
      <c r="H206" s="6" t="n">
        <v>258065</v>
      </c>
      <c r="I206" s="3" t="inlineStr">
        <is>
          <t>비고</t>
        </is>
      </c>
      <c r="J206" s="2" t="inlineStr">
        <is>
          <t>2026-06-11</t>
        </is>
      </c>
      <c r="K206" s="2" t="inlineStr">
        <is>
          <t>2026-09-10</t>
        </is>
      </c>
      <c r="L206" s="2" t="inlineStr">
        <is>
          <t>-</t>
        </is>
      </c>
      <c r="M206" s="7" t="inlineStr">
        <is>
          <t>삼성증권 주식회사</t>
        </is>
      </c>
      <c r="N206" s="7" t="inlineStr">
        <is>
          <t>주가안정 및 주주가치 제고</t>
        </is>
      </c>
      <c r="O206" s="2" t="inlineStr">
        <is>
          <t>20260611000338</t>
        </is>
      </c>
      <c r="P206" s="8">
        <f>HYPERLINK("https://dart.fss.or.kr/dsaf001/main.do?rcpNo=20260611000338", "공시열람")</f>
        <v/>
      </c>
    </row>
    <row r="207" ht="36" customHeight="1">
      <c r="A207" s="2" t="inlineStr">
        <is>
          <t>2026-06-11</t>
        </is>
      </c>
      <c r="B207" s="3" t="inlineStr">
        <is>
          <t>대동금속</t>
        </is>
      </c>
      <c r="C207" s="2" t="inlineStr">
        <is>
          <t>코스닥</t>
        </is>
      </c>
      <c r="D207" s="2" t="inlineStr">
        <is>
          <t>020400</t>
        </is>
      </c>
      <c r="E207" s="7" t="inlineStr">
        <is>
          <t>주요사항보고서(자기주식취득신탁계약체결결정)</t>
        </is>
      </c>
      <c r="F207" s="2" t="inlineStr">
        <is>
          <t>신탁계약체결결정</t>
        </is>
      </c>
      <c r="G207" s="5" t="n">
        <v>1000000000</v>
      </c>
      <c r="H207" s="6" t="n">
        <v>333889</v>
      </c>
      <c r="I207" s="3" t="inlineStr">
        <is>
          <t>비고</t>
        </is>
      </c>
      <c r="J207" s="2" t="inlineStr">
        <is>
          <t>2026-06-11</t>
        </is>
      </c>
      <c r="K207" s="2" t="inlineStr">
        <is>
          <t>2026-12-10</t>
        </is>
      </c>
      <c r="L207" s="2" t="inlineStr">
        <is>
          <t>-</t>
        </is>
      </c>
      <c r="M207" s="7" t="inlineStr">
        <is>
          <t>삼성증권(Samsung Securities Co., Ltd.)</t>
        </is>
      </c>
      <c r="N207" s="7" t="inlineStr">
        <is>
          <t>자기주식 취득 및 소각을 통한주주가치 제고</t>
        </is>
      </c>
      <c r="O207" s="2" t="inlineStr">
        <is>
          <t>20260611000319</t>
        </is>
      </c>
      <c r="P207" s="8">
        <f>HYPERLINK("https://dart.fss.or.kr/dsaf001/main.do?rcpNo=20260611000319", "공시열람")</f>
        <v/>
      </c>
    </row>
    <row r="208" ht="36" customHeight="1">
      <c r="A208" s="2" t="inlineStr">
        <is>
          <t>2026-06-11</t>
        </is>
      </c>
      <c r="B208" s="3" t="inlineStr">
        <is>
          <t>아이패밀리에스씨</t>
        </is>
      </c>
      <c r="C208" s="2" t="inlineStr">
        <is>
          <t>코스닥</t>
        </is>
      </c>
      <c r="D208" s="2" t="inlineStr">
        <is>
          <t>114840</t>
        </is>
      </c>
      <c r="E208" s="7" t="inlineStr">
        <is>
          <t xml:space="preserve">주식소각결정              </t>
        </is>
      </c>
      <c r="F208" s="2" t="inlineStr">
        <is>
          <t>자기주식소각결정</t>
        </is>
      </c>
      <c r="G208" s="5" t="n">
        <v>8950332931</v>
      </c>
      <c r="H208" s="6" t="n">
        <v>638515</v>
      </c>
      <c r="I208" s="3" t="inlineStr">
        <is>
          <t>기취득 자기주식</t>
        </is>
      </c>
      <c r="J208" s="2" t="inlineStr">
        <is>
          <t>-</t>
        </is>
      </c>
      <c r="K208" s="2" t="inlineStr">
        <is>
          <t>-</t>
        </is>
      </c>
      <c r="L208" s="2" t="inlineStr">
        <is>
          <t>2026-06-17</t>
        </is>
      </c>
      <c r="M208" s="7" t="inlineStr">
        <is>
          <t>-</t>
        </is>
      </c>
      <c r="N208" s="7" t="inlineStr">
        <is>
          <t>주주가치 제고 및 주식소각</t>
        </is>
      </c>
      <c r="O208" s="2" t="inlineStr">
        <is>
          <t>20260611900339</t>
        </is>
      </c>
      <c r="P208" s="8">
        <f>HYPERLINK("https://dart.fss.or.kr/dsaf001/main.do?rcpNo=20260611900339", "공시열람")</f>
        <v/>
      </c>
    </row>
    <row r="209" ht="36" customHeight="1">
      <c r="A209" s="2" t="inlineStr">
        <is>
          <t>2026-06-11</t>
        </is>
      </c>
      <c r="B209" s="3" t="inlineStr">
        <is>
          <t>아이패밀리에스씨</t>
        </is>
      </c>
      <c r="C209" s="2" t="inlineStr">
        <is>
          <t>코스닥</t>
        </is>
      </c>
      <c r="D209" s="2" t="inlineStr">
        <is>
          <t>114840</t>
        </is>
      </c>
      <c r="E209" s="7" t="inlineStr">
        <is>
          <t>주요사항보고서(자기주식취득신탁계약해지결정)</t>
        </is>
      </c>
      <c r="F209" s="2" t="inlineStr">
        <is>
          <t>신탁계약체결결정</t>
        </is>
      </c>
      <c r="G209" s="5" t="n">
        <v>5000000000</v>
      </c>
      <c r="H209" s="6" t="inlineStr"/>
      <c r="I209" s="3" t="inlineStr">
        <is>
          <t>비고</t>
        </is>
      </c>
      <c r="J209" s="2" t="inlineStr">
        <is>
          <t>2026-05-21</t>
        </is>
      </c>
      <c r="K209" s="2" t="inlineStr">
        <is>
          <t>2026-11-20</t>
        </is>
      </c>
      <c r="L209" s="2" t="inlineStr">
        <is>
          <t>-</t>
        </is>
      </c>
      <c r="M209" s="7" t="inlineStr">
        <is>
          <t>-</t>
        </is>
      </c>
      <c r="N209" s="7" t="inlineStr">
        <is>
          <t>자기주식 취득 완료에 따른 중도해지</t>
        </is>
      </c>
      <c r="O209" s="2" t="inlineStr">
        <is>
          <t>20260611000295</t>
        </is>
      </c>
      <c r="P209" s="8">
        <f>HYPERLINK("https://dart.fss.or.kr/dsaf001/main.do?rcpNo=20260611000295", "공시열람")</f>
        <v/>
      </c>
    </row>
    <row r="210" ht="36" customHeight="1">
      <c r="A210" s="2" t="inlineStr">
        <is>
          <t>2026-06-11</t>
        </is>
      </c>
      <c r="B210" s="3" t="inlineStr">
        <is>
          <t>휴엠앤씨</t>
        </is>
      </c>
      <c r="C210" s="2" t="inlineStr">
        <is>
          <t>코스닥</t>
        </is>
      </c>
      <c r="D210" s="2" t="inlineStr">
        <is>
          <t>263920</t>
        </is>
      </c>
      <c r="E210" s="7" t="inlineStr">
        <is>
          <t>주요사항보고서(자기주식취득신탁계약체결결정)</t>
        </is>
      </c>
      <c r="F210" s="2" t="inlineStr">
        <is>
          <t>신탁계약체결결정</t>
        </is>
      </c>
      <c r="G210" s="5" t="n">
        <v>1000000000</v>
      </c>
      <c r="H210" s="6" t="n">
        <v>315493</v>
      </c>
      <c r="I210" s="3" t="inlineStr">
        <is>
          <t>비고</t>
        </is>
      </c>
      <c r="J210" s="2" t="inlineStr">
        <is>
          <t>2026-06-12</t>
        </is>
      </c>
      <c r="K210" s="2" t="inlineStr">
        <is>
          <t>2026-12-11</t>
        </is>
      </c>
      <c r="L210" s="2" t="inlineStr">
        <is>
          <t>-</t>
        </is>
      </c>
      <c r="M210" s="7" t="inlineStr">
        <is>
          <t>삼성증권(SAMSUNG SECURITIES Co., Ltd.)</t>
        </is>
      </c>
      <c r="N210" s="7" t="inlineStr">
        <is>
          <t>주가안정 및 주주가치 제고</t>
        </is>
      </c>
      <c r="O210" s="2" t="inlineStr">
        <is>
          <t>20260611000290</t>
        </is>
      </c>
      <c r="P210" s="8">
        <f>HYPERLINK("https://dart.fss.or.kr/dsaf001/main.do?rcpNo=20260611000290", "공시열람")</f>
        <v/>
      </c>
    </row>
    <row r="211" ht="36" customHeight="1">
      <c r="A211" s="2" t="inlineStr">
        <is>
          <t>2026-06-11</t>
        </is>
      </c>
      <c r="B211" s="3" t="inlineStr">
        <is>
          <t>상상인</t>
        </is>
      </c>
      <c r="C211" s="2" t="inlineStr">
        <is>
          <t>코스닥</t>
        </is>
      </c>
      <c r="D211" s="2" t="inlineStr">
        <is>
          <t>038540</t>
        </is>
      </c>
      <c r="E211" s="7" t="inlineStr">
        <is>
          <t>주요사항보고서(자기주식취득신탁계약해지결정)</t>
        </is>
      </c>
      <c r="F211" s="2" t="inlineStr">
        <is>
          <t>신탁계약체결결정</t>
        </is>
      </c>
      <c r="G211" s="5" t="n">
        <v>2000000000</v>
      </c>
      <c r="H211" s="6" t="inlineStr"/>
      <c r="I211" s="3" t="inlineStr">
        <is>
          <t>비고</t>
        </is>
      </c>
      <c r="J211" s="2" t="inlineStr">
        <is>
          <t>2026-04-15</t>
        </is>
      </c>
      <c r="K211" s="2" t="inlineStr">
        <is>
          <t>2026-10-14</t>
        </is>
      </c>
      <c r="L211" s="2" t="inlineStr">
        <is>
          <t>-</t>
        </is>
      </c>
      <c r="M211" s="7" t="inlineStr">
        <is>
          <t>-</t>
        </is>
      </c>
      <c r="N211" s="7" t="inlineStr">
        <is>
          <t>자기주식 취득 완료에 따른 중도 해지</t>
        </is>
      </c>
      <c r="O211" s="2" t="inlineStr">
        <is>
          <t>20260611000256</t>
        </is>
      </c>
      <c r="P211" s="8">
        <f>HYPERLINK("https://dart.fss.or.kr/dsaf001/main.do?rcpNo=20260611000256", "공시열람")</f>
        <v/>
      </c>
    </row>
    <row r="212" ht="36" customHeight="1">
      <c r="A212" s="2" t="inlineStr">
        <is>
          <t>2026-06-11</t>
        </is>
      </c>
      <c r="B212" s="3" t="inlineStr">
        <is>
          <t>쏘카</t>
        </is>
      </c>
      <c r="C212" s="2" t="inlineStr">
        <is>
          <t>코스피</t>
        </is>
      </c>
      <c r="D212" s="2" t="inlineStr">
        <is>
          <t>403550</t>
        </is>
      </c>
      <c r="E212" s="7" t="inlineStr">
        <is>
          <t>주요사항보고서(자기주식취득신탁계약체결결정)</t>
        </is>
      </c>
      <c r="F212" s="2" t="inlineStr">
        <is>
          <t>신탁계약체결결정</t>
        </is>
      </c>
      <c r="G212" s="5" t="n">
        <v>3000000000</v>
      </c>
      <c r="H212" s="6" t="n">
        <v>274473</v>
      </c>
      <c r="I212" s="3" t="inlineStr">
        <is>
          <t>비고</t>
        </is>
      </c>
      <c r="J212" s="2" t="inlineStr">
        <is>
          <t>2026-06-11</t>
        </is>
      </c>
      <c r="K212" s="2" t="inlineStr">
        <is>
          <t>2026-11-10</t>
        </is>
      </c>
      <c r="L212" s="2" t="inlineStr">
        <is>
          <t>-</t>
        </is>
      </c>
      <c r="M212" s="7" t="inlineStr">
        <is>
          <t>삼성증권( SAMSUNG SECURITIES CO.,LTD)</t>
        </is>
      </c>
      <c r="N212" s="7" t="inlineStr">
        <is>
          <t>주주가치 제고 및 임직원 보상</t>
        </is>
      </c>
      <c r="O212" s="2" t="inlineStr">
        <is>
          <t>20260611000219</t>
        </is>
      </c>
      <c r="P212" s="8">
        <f>HYPERLINK("https://dart.fss.or.kr/dsaf001/main.do?rcpNo=20260611000219", "공시열람")</f>
        <v/>
      </c>
    </row>
    <row r="213" ht="36" customHeight="1">
      <c r="A213" s="2" t="inlineStr">
        <is>
          <t>2026-06-11</t>
        </is>
      </c>
      <c r="B213" s="3" t="inlineStr">
        <is>
          <t>인포뱅크</t>
        </is>
      </c>
      <c r="C213" s="2" t="inlineStr">
        <is>
          <t>코스닥</t>
        </is>
      </c>
      <c r="D213" s="2" t="inlineStr">
        <is>
          <t>039290</t>
        </is>
      </c>
      <c r="E213" s="7" t="inlineStr">
        <is>
          <t>주요사항보고서(자기주식취득신탁계약체결결정)</t>
        </is>
      </c>
      <c r="F213" s="2" t="inlineStr">
        <is>
          <t>신탁계약체결결정</t>
        </is>
      </c>
      <c r="G213" s="5" t="n">
        <v>1000000000</v>
      </c>
      <c r="H213" s="6" t="n">
        <v>368324</v>
      </c>
      <c r="I213" s="3" t="inlineStr">
        <is>
          <t>비고</t>
        </is>
      </c>
      <c r="J213" s="2" t="inlineStr">
        <is>
          <t>2026-06-12</t>
        </is>
      </c>
      <c r="K213" s="2" t="inlineStr">
        <is>
          <t>2026-12-11</t>
        </is>
      </c>
      <c r="L213" s="2" t="inlineStr">
        <is>
          <t>-</t>
        </is>
      </c>
      <c r="M213" s="7" t="inlineStr">
        <is>
          <t>아이비케이투자증권주식회사(IBK SECURITIES CO., LTD)</t>
        </is>
      </c>
      <c r="N213" s="7" t="inlineStr">
        <is>
          <t>주가안정 및 투자가치 제고</t>
        </is>
      </c>
      <c r="O213" s="2" t="inlineStr">
        <is>
          <t>20260611000182</t>
        </is>
      </c>
      <c r="P213" s="8">
        <f>HYPERLINK("https://dart.fss.or.kr/dsaf001/main.do?rcpNo=20260611000182", "공시열람")</f>
        <v/>
      </c>
    </row>
    <row r="214" ht="36" customHeight="1">
      <c r="A214" s="2" t="inlineStr">
        <is>
          <t>2026-06-12</t>
        </is>
      </c>
      <c r="B214" s="3" t="inlineStr">
        <is>
          <t>SYTS</t>
        </is>
      </c>
      <c r="C214" s="2" t="inlineStr">
        <is>
          <t>코스피</t>
        </is>
      </c>
      <c r="D214" s="2" t="inlineStr">
        <is>
          <t>002170</t>
        </is>
      </c>
      <c r="E214" s="7" t="inlineStr">
        <is>
          <t>주요사항보고서(자기주식취득신탁계약체결결정)</t>
        </is>
      </c>
      <c r="F214" s="2" t="inlineStr">
        <is>
          <t>신탁계약체결결정</t>
        </is>
      </c>
      <c r="G214" s="5" t="n">
        <v>5000000000</v>
      </c>
      <c r="H214" s="6" t="n">
        <v>101010</v>
      </c>
      <c r="I214" s="3" t="inlineStr">
        <is>
          <t>비고</t>
        </is>
      </c>
      <c r="J214" s="2" t="inlineStr">
        <is>
          <t>2026-06-15</t>
        </is>
      </c>
      <c r="K214" s="2" t="inlineStr">
        <is>
          <t>2027-03-14</t>
        </is>
      </c>
      <c r="L214" s="2" t="inlineStr">
        <is>
          <t>-</t>
        </is>
      </c>
      <c r="M214" s="7" t="inlineStr">
        <is>
          <t>미래에셋증권</t>
        </is>
      </c>
      <c r="N214" s="7" t="inlineStr">
        <is>
          <t>주가 안정화를 통한 주주가치 제고</t>
        </is>
      </c>
      <c r="O214" s="2" t="inlineStr">
        <is>
          <t>20260612000628</t>
        </is>
      </c>
      <c r="P214" s="8">
        <f>HYPERLINK("https://dart.fss.or.kr/dsaf001/main.do?rcpNo=20260612000628", "공시열람")</f>
        <v/>
      </c>
    </row>
    <row r="215" ht="36" customHeight="1">
      <c r="A215" s="2" t="inlineStr">
        <is>
          <t>2026-06-12</t>
        </is>
      </c>
      <c r="B215" s="3" t="inlineStr">
        <is>
          <t>옴니시스템</t>
        </is>
      </c>
      <c r="C215" s="2" t="inlineStr">
        <is>
          <t>코스닥</t>
        </is>
      </c>
      <c r="D215" s="2" t="inlineStr">
        <is>
          <t>057540</t>
        </is>
      </c>
      <c r="E215" s="7" t="inlineStr">
        <is>
          <t>주요사항보고서(자기주식취득결정)</t>
        </is>
      </c>
      <c r="F215" s="2" t="inlineStr">
        <is>
          <t>자기주식취득결정</t>
        </is>
      </c>
      <c r="G215" s="5" t="n">
        <v>2000000000</v>
      </c>
      <c r="H215" s="6" t="n">
        <v>3194888</v>
      </c>
      <c r="I215" s="3" t="inlineStr">
        <is>
          <t>비고</t>
        </is>
      </c>
      <c r="J215" s="2" t="inlineStr">
        <is>
          <t>2026-06-15</t>
        </is>
      </c>
      <c r="K215" s="2" t="inlineStr">
        <is>
          <t>2026-09-14</t>
        </is>
      </c>
      <c r="L215" s="2" t="inlineStr">
        <is>
          <t>-</t>
        </is>
      </c>
      <c r="M215" s="7" t="inlineStr">
        <is>
          <t>대신증권</t>
        </is>
      </c>
      <c r="N215" s="7" t="inlineStr">
        <is>
          <t>주가안정 및 주주가치 제고</t>
        </is>
      </c>
      <c r="O215" s="2" t="inlineStr">
        <is>
          <t>20260612000592</t>
        </is>
      </c>
      <c r="P215" s="8">
        <f>HYPERLINK("https://dart.fss.or.kr/dsaf001/main.do?rcpNo=20260612000592", "공시열람")</f>
        <v/>
      </c>
    </row>
    <row r="216" ht="36" customHeight="1">
      <c r="A216" s="2" t="inlineStr">
        <is>
          <t>2026-06-12</t>
        </is>
      </c>
      <c r="B216" s="3" t="inlineStr">
        <is>
          <t>보령</t>
        </is>
      </c>
      <c r="C216" s="2" t="inlineStr">
        <is>
          <t>코스피</t>
        </is>
      </c>
      <c r="D216" s="2" t="inlineStr">
        <is>
          <t>003850</t>
        </is>
      </c>
      <c r="E216" s="7" t="inlineStr">
        <is>
          <t>주요사항보고서(자기주식취득결정)</t>
        </is>
      </c>
      <c r="F216" s="2" t="inlineStr">
        <is>
          <t>자기주식취득결정</t>
        </is>
      </c>
      <c r="G216" s="5" t="n">
        <v>20000000000</v>
      </c>
      <c r="H216" s="6" t="n">
        <v>2380952</v>
      </c>
      <c r="I216" s="3" t="inlineStr">
        <is>
          <t>비고</t>
        </is>
      </c>
      <c r="J216" s="2" t="inlineStr">
        <is>
          <t>2026-06-15</t>
        </is>
      </c>
      <c r="K216" s="2" t="inlineStr">
        <is>
          <t>2026-09-14</t>
        </is>
      </c>
      <c r="L216" s="2" t="inlineStr">
        <is>
          <t>-</t>
        </is>
      </c>
      <c r="M216" s="7" t="inlineStr">
        <is>
          <t>신한투자증권(Shinhan Securities Co., Ltd.)</t>
        </is>
      </c>
      <c r="N216" s="7" t="inlineStr">
        <is>
          <t>임직원 보상 재원 활용</t>
        </is>
      </c>
      <c r="O216" s="2" t="inlineStr">
        <is>
          <t>20260612000606</t>
        </is>
      </c>
      <c r="P216" s="8">
        <f>HYPERLINK("https://dart.fss.or.kr/dsaf001/main.do?rcpNo=20260612000606", "공시열람")</f>
        <v/>
      </c>
    </row>
    <row r="217" ht="36" customHeight="1">
      <c r="A217" s="2" t="inlineStr">
        <is>
          <t>2026-06-12</t>
        </is>
      </c>
      <c r="B217" s="3" t="inlineStr">
        <is>
          <t>아로마티카</t>
        </is>
      </c>
      <c r="C217" s="2" t="inlineStr">
        <is>
          <t>코스닥</t>
        </is>
      </c>
      <c r="D217" s="2" t="inlineStr">
        <is>
          <t>0015N0</t>
        </is>
      </c>
      <c r="E217" s="7" t="inlineStr">
        <is>
          <t xml:space="preserve">주식소각결정              </t>
        </is>
      </c>
      <c r="F217" s="2" t="inlineStr">
        <is>
          <t>자기주식소각결정</t>
        </is>
      </c>
      <c r="G217" s="5" t="n">
        <v>792854720</v>
      </c>
      <c r="H217" s="6" t="n">
        <v>138128</v>
      </c>
      <c r="I217" s="3" t="inlineStr">
        <is>
          <t>기취득 자기주식</t>
        </is>
      </c>
      <c r="J217" s="2" t="inlineStr">
        <is>
          <t>-</t>
        </is>
      </c>
      <c r="K217" s="2" t="inlineStr">
        <is>
          <t>-</t>
        </is>
      </c>
      <c r="L217" s="2" t="inlineStr">
        <is>
          <t>2026-06-17</t>
        </is>
      </c>
      <c r="M217" s="7" t="inlineStr">
        <is>
          <t>-</t>
        </is>
      </c>
      <c r="N217" s="7" t="inlineStr">
        <is>
          <t>주주가치 제고 및 주식소각</t>
        </is>
      </c>
      <c r="O217" s="2" t="inlineStr">
        <is>
          <t>20260612900499</t>
        </is>
      </c>
      <c r="P217" s="8">
        <f>HYPERLINK("https://dart.fss.or.kr/dsaf001/main.do?rcpNo=20260612900499", "공시열람")</f>
        <v/>
      </c>
    </row>
    <row r="218" ht="36" customHeight="1">
      <c r="A218" s="2" t="inlineStr">
        <is>
          <t>2026-06-12</t>
        </is>
      </c>
      <c r="B218" s="3" t="inlineStr">
        <is>
          <t>신도기연</t>
        </is>
      </c>
      <c r="C218" s="2" t="inlineStr">
        <is>
          <t>코스닥</t>
        </is>
      </c>
      <c r="D218" s="2" t="inlineStr">
        <is>
          <t>290520</t>
        </is>
      </c>
      <c r="E218" s="7" t="inlineStr">
        <is>
          <t xml:space="preserve">주식소각결정              </t>
        </is>
      </c>
      <c r="F218" s="2" t="inlineStr">
        <is>
          <t>자기주식소각결정</t>
        </is>
      </c>
      <c r="G218" s="5" t="n">
        <v>2941908350</v>
      </c>
      <c r="H218" s="6" t="n">
        <v>193198</v>
      </c>
      <c r="I218" s="3" t="inlineStr">
        <is>
          <t>기취득 자기주식</t>
        </is>
      </c>
      <c r="J218" s="2" t="inlineStr">
        <is>
          <t>-</t>
        </is>
      </c>
      <c r="K218" s="2" t="inlineStr">
        <is>
          <t>-</t>
        </is>
      </c>
      <c r="L218" s="2" t="inlineStr">
        <is>
          <t>2026-06-19</t>
        </is>
      </c>
      <c r="M218" s="7" t="inlineStr">
        <is>
          <t>-</t>
        </is>
      </c>
      <c r="N218" s="7" t="inlineStr">
        <is>
          <t>주주가치 제고 및 주식소각</t>
        </is>
      </c>
      <c r="O218" s="2" t="inlineStr">
        <is>
          <t>20260612900467</t>
        </is>
      </c>
      <c r="P218" s="8">
        <f>HYPERLINK("https://dart.fss.or.kr/dsaf001/main.do?rcpNo=20260612900467", "공시열람")</f>
        <v/>
      </c>
    </row>
    <row r="219" ht="36" customHeight="1">
      <c r="A219" s="2" t="inlineStr">
        <is>
          <t>2026-06-15</t>
        </is>
      </c>
      <c r="B219" s="3" t="inlineStr">
        <is>
          <t>배럴</t>
        </is>
      </c>
      <c r="C219" s="2" t="inlineStr">
        <is>
          <t>코스닥</t>
        </is>
      </c>
      <c r="D219" s="2" t="inlineStr">
        <is>
          <t>267790</t>
        </is>
      </c>
      <c r="E219" s="7" t="inlineStr">
        <is>
          <t>주요사항보고서(자기주식취득결정)</t>
        </is>
      </c>
      <c r="F219" s="2" t="inlineStr">
        <is>
          <t>자기주식취득결정</t>
        </is>
      </c>
      <c r="G219" s="5" t="n">
        <v>1000000000</v>
      </c>
      <c r="H219" s="6" t="n">
        <v>307219</v>
      </c>
      <c r="I219" s="3" t="inlineStr">
        <is>
          <t>비고</t>
        </is>
      </c>
      <c r="J219" s="2" t="inlineStr">
        <is>
          <t>2026-06-16</t>
        </is>
      </c>
      <c r="K219" s="2" t="inlineStr">
        <is>
          <t>2026-08-31</t>
        </is>
      </c>
      <c r="L219" s="2" t="inlineStr">
        <is>
          <t>-</t>
        </is>
      </c>
      <c r="M219" s="7" t="inlineStr">
        <is>
          <t>삼성증권</t>
        </is>
      </c>
      <c r="N219" s="7" t="inlineStr">
        <is>
          <t>주가 안정 및 주주가치 제고</t>
        </is>
      </c>
      <c r="O219" s="2" t="inlineStr">
        <is>
          <t>20260615000433</t>
        </is>
      </c>
      <c r="P219" s="8">
        <f>HYPERLINK("https://dart.fss.or.kr/dsaf001/main.do?rcpNo=20260615000433", "공시열람")</f>
        <v/>
      </c>
    </row>
    <row r="220" ht="36" customHeight="1">
      <c r="A220" s="2" t="inlineStr">
        <is>
          <t>2026-06-15</t>
        </is>
      </c>
      <c r="B220" s="3" t="inlineStr">
        <is>
          <t>에스에이티</t>
        </is>
      </c>
      <c r="C220" s="2" t="inlineStr">
        <is>
          <t>코스닥</t>
        </is>
      </c>
      <c r="D220" s="2" t="inlineStr">
        <is>
          <t>060540</t>
        </is>
      </c>
      <c r="E220" s="7" t="inlineStr">
        <is>
          <t xml:space="preserve">주식소각결정              </t>
        </is>
      </c>
      <c r="F220" s="2" t="inlineStr">
        <is>
          <t>자기주식소각결정</t>
        </is>
      </c>
      <c r="G220" s="5" t="n">
        <v>1244364</v>
      </c>
      <c r="H220" s="6" t="n">
        <v>372</v>
      </c>
      <c r="I220" s="3" t="inlineStr">
        <is>
          <t>기취득 자기주식</t>
        </is>
      </c>
      <c r="J220" s="2" t="inlineStr">
        <is>
          <t>-</t>
        </is>
      </c>
      <c r="K220" s="2" t="inlineStr">
        <is>
          <t>-</t>
        </is>
      </c>
      <c r="L220" s="2" t="inlineStr">
        <is>
          <t>2026-06-22</t>
        </is>
      </c>
      <c r="M220" s="7" t="inlineStr">
        <is>
          <t>-</t>
        </is>
      </c>
      <c r="N220" s="7" t="inlineStr">
        <is>
          <t>주주가치 제고 및 주식소각</t>
        </is>
      </c>
      <c r="O220" s="2" t="inlineStr">
        <is>
          <t>20260615900738</t>
        </is>
      </c>
      <c r="P220" s="8">
        <f>HYPERLINK("https://dart.fss.or.kr/dsaf001/main.do?rcpNo=20260615900738", "공시열람")</f>
        <v/>
      </c>
    </row>
    <row r="221" ht="36" customHeight="1">
      <c r="A221" s="2" t="inlineStr">
        <is>
          <t>2026-06-15</t>
        </is>
      </c>
      <c r="B221" s="3" t="inlineStr">
        <is>
          <t>인탑스</t>
        </is>
      </c>
      <c r="C221" s="2" t="inlineStr">
        <is>
          <t>코스닥</t>
        </is>
      </c>
      <c r="D221" s="2" t="inlineStr">
        <is>
          <t>049070</t>
        </is>
      </c>
      <c r="E221" s="7" t="inlineStr">
        <is>
          <t>주요사항보고서(자기주식취득신탁계약체결결정)</t>
        </is>
      </c>
      <c r="F221" s="2" t="inlineStr">
        <is>
          <t>신탁계약체결결정</t>
        </is>
      </c>
      <c r="G221" s="5" t="n">
        <v>13000000000</v>
      </c>
      <c r="H221" s="6" t="n">
        <v>672878</v>
      </c>
      <c r="I221" s="3" t="inlineStr">
        <is>
          <t>비고</t>
        </is>
      </c>
      <c r="J221" s="2" t="inlineStr">
        <is>
          <t>2026-06-16</t>
        </is>
      </c>
      <c r="K221" s="2" t="inlineStr">
        <is>
          <t>2026-12-15</t>
        </is>
      </c>
      <c r="L221" s="2" t="inlineStr">
        <is>
          <t>-</t>
        </is>
      </c>
      <c r="M221" s="7" t="inlineStr">
        <is>
          <t>NH투자증권(NH INVESTMENT &amp; SECURITIES CO.,LTD)</t>
        </is>
      </c>
      <c r="N221" s="7" t="inlineStr">
        <is>
          <t>주가 안정 및 주주가치 제고</t>
        </is>
      </c>
      <c r="O221" s="2" t="inlineStr">
        <is>
          <t>20260615000212</t>
        </is>
      </c>
      <c r="P221" s="8">
        <f>HYPERLINK("https://dart.fss.or.kr/dsaf001/main.do?rcpNo=20260615000212", "공시열람")</f>
        <v/>
      </c>
    </row>
    <row r="222" ht="36" customHeight="1">
      <c r="A222" s="2" t="inlineStr">
        <is>
          <t>2026-06-15</t>
        </is>
      </c>
      <c r="B222" s="3" t="inlineStr">
        <is>
          <t>프리엠스</t>
        </is>
      </c>
      <c r="C222" s="2" t="inlineStr">
        <is>
          <t>코스닥</t>
        </is>
      </c>
      <c r="D222" s="2" t="inlineStr">
        <is>
          <t>053160</t>
        </is>
      </c>
      <c r="E222" s="7" t="inlineStr">
        <is>
          <t>주요사항보고서(자기주식취득결정)</t>
        </is>
      </c>
      <c r="F222" s="2" t="inlineStr">
        <is>
          <t>자기주식취득결정</t>
        </is>
      </c>
      <c r="G222" s="5" t="n">
        <v>5000000000</v>
      </c>
      <c r="H222" s="6" t="n">
        <v>625000</v>
      </c>
      <c r="I222" s="3" t="inlineStr">
        <is>
          <t>비고</t>
        </is>
      </c>
      <c r="J222" s="2" t="inlineStr">
        <is>
          <t>2026-06-16</t>
        </is>
      </c>
      <c r="K222" s="2" t="inlineStr">
        <is>
          <t>2026-09-15</t>
        </is>
      </c>
      <c r="L222" s="2" t="inlineStr">
        <is>
          <t>-</t>
        </is>
      </c>
      <c r="M222" s="7" t="inlineStr">
        <is>
          <t>KB증권</t>
        </is>
      </c>
      <c r="N222" s="7" t="inlineStr">
        <is>
          <t>자기주식 취득 및 소각을 통한 주주가치 제고</t>
        </is>
      </c>
      <c r="O222" s="2" t="inlineStr">
        <is>
          <t>20260615000211</t>
        </is>
      </c>
      <c r="P222" s="8">
        <f>HYPERLINK("https://dart.fss.or.kr/dsaf001/main.do?rcpNo=20260615000211", "공시열람")</f>
        <v/>
      </c>
    </row>
    <row r="223" ht="36" customHeight="1">
      <c r="A223" s="2" t="inlineStr">
        <is>
          <t>2026-06-15</t>
        </is>
      </c>
      <c r="B223" s="3" t="inlineStr">
        <is>
          <t>인탑스</t>
        </is>
      </c>
      <c r="C223" s="2" t="inlineStr">
        <is>
          <t>코스닥</t>
        </is>
      </c>
      <c r="D223" s="2" t="inlineStr">
        <is>
          <t>049070</t>
        </is>
      </c>
      <c r="E223" s="7" t="inlineStr">
        <is>
          <t xml:space="preserve">주식소각결정              </t>
        </is>
      </c>
      <c r="F223" s="2" t="inlineStr">
        <is>
          <t>자기주식소각결정</t>
        </is>
      </c>
      <c r="G223" s="5" t="n">
        <v>17563329195</v>
      </c>
      <c r="H223" s="6" t="n">
        <v>735393</v>
      </c>
      <c r="I223" s="3" t="inlineStr">
        <is>
          <t>기취득 자기주식</t>
        </is>
      </c>
      <c r="J223" s="2" t="inlineStr">
        <is>
          <t>-</t>
        </is>
      </c>
      <c r="K223" s="2" t="inlineStr">
        <is>
          <t>-</t>
        </is>
      </c>
      <c r="L223" s="2" t="inlineStr">
        <is>
          <t>2026-06-29</t>
        </is>
      </c>
      <c r="M223" s="7" t="inlineStr">
        <is>
          <t>-</t>
        </is>
      </c>
      <c r="N223" s="7" t="inlineStr">
        <is>
          <t>주주가치 제고 및 주식소각</t>
        </is>
      </c>
      <c r="O223" s="2" t="inlineStr">
        <is>
          <t>20260615900459</t>
        </is>
      </c>
      <c r="P223" s="8">
        <f>HYPERLINK("https://dart.fss.or.kr/dsaf001/main.do?rcpNo=20260615900459", "공시열람")</f>
        <v/>
      </c>
    </row>
    <row r="224" ht="36" customHeight="1">
      <c r="A224" s="2" t="inlineStr">
        <is>
          <t>2026-06-15</t>
        </is>
      </c>
      <c r="B224" s="3" t="inlineStr">
        <is>
          <t>엠에프씨</t>
        </is>
      </c>
      <c r="C224" s="2" t="inlineStr">
        <is>
          <t>코스닥</t>
        </is>
      </c>
      <c r="D224" s="2" t="inlineStr">
        <is>
          <t>432980</t>
        </is>
      </c>
      <c r="E224" s="7" t="inlineStr">
        <is>
          <t>주요사항보고서(자기주식취득결정)</t>
        </is>
      </c>
      <c r="F224" s="2" t="inlineStr">
        <is>
          <t>자기주식취득결정</t>
        </is>
      </c>
      <c r="G224" s="5" t="n">
        <v>1000000000</v>
      </c>
      <c r="H224" s="6" t="n">
        <v>350262</v>
      </c>
      <c r="I224" s="3" t="inlineStr">
        <is>
          <t>비고</t>
        </is>
      </c>
      <c r="J224" s="2" t="inlineStr">
        <is>
          <t>2026-06-16</t>
        </is>
      </c>
      <c r="K224" s="2" t="inlineStr">
        <is>
          <t>2026-09-15</t>
        </is>
      </c>
      <c r="L224" s="2" t="inlineStr">
        <is>
          <t>-</t>
        </is>
      </c>
      <c r="M224" s="7" t="inlineStr">
        <is>
          <t>하나증권(Hana Securities Co., Ltd.)</t>
        </is>
      </c>
      <c r="N224" s="7" t="inlineStr">
        <is>
          <t>주가안정 및 주주가치 제고</t>
        </is>
      </c>
      <c r="O224" s="2" t="inlineStr">
        <is>
          <t>20260615000137</t>
        </is>
      </c>
      <c r="P224" s="8">
        <f>HYPERLINK("https://dart.fss.or.kr/dsaf001/main.do?rcpNo=20260615000137", "공시열람")</f>
        <v/>
      </c>
    </row>
    <row r="225" ht="36" customHeight="1">
      <c r="A225" s="2" t="inlineStr">
        <is>
          <t>2026-06-15</t>
        </is>
      </c>
      <c r="B225" s="3" t="inlineStr">
        <is>
          <t>피씨디렉트</t>
        </is>
      </c>
      <c r="C225" s="2" t="inlineStr">
        <is>
          <t>코스닥</t>
        </is>
      </c>
      <c r="D225" s="2" t="inlineStr">
        <is>
          <t>051380</t>
        </is>
      </c>
      <c r="E225" s="7" t="inlineStr">
        <is>
          <t>주요사항보고서(자기주식취득결정)</t>
        </is>
      </c>
      <c r="F225" s="2" t="inlineStr">
        <is>
          <t>자기주식취득결정</t>
        </is>
      </c>
      <c r="G225" s="5" t="n">
        <v>1000000000</v>
      </c>
      <c r="H225" s="6" t="n">
        <v>625000</v>
      </c>
      <c r="I225" s="3" t="inlineStr">
        <is>
          <t>비고</t>
        </is>
      </c>
      <c r="J225" s="2" t="inlineStr">
        <is>
          <t>2026-06-16</t>
        </is>
      </c>
      <c r="K225" s="2" t="inlineStr">
        <is>
          <t>2026-09-15</t>
        </is>
      </c>
      <c r="L225" s="2" t="inlineStr">
        <is>
          <t>-</t>
        </is>
      </c>
      <c r="M225" s="7" t="inlineStr">
        <is>
          <t>신한투자증권(Shinhan Securities Co., Ltd.)</t>
        </is>
      </c>
      <c r="N225" s="7" t="inlineStr">
        <is>
          <t>임직원 성과 보상 및 주가안정</t>
        </is>
      </c>
      <c r="O225" s="2" t="inlineStr">
        <is>
          <t>20260615000145</t>
        </is>
      </c>
      <c r="P225" s="8">
        <f>HYPERLINK("https://dart.fss.or.kr/dsaf001/main.do?rcpNo=20260615000145", "공시열람")</f>
        <v/>
      </c>
    </row>
    <row r="226" ht="36" customHeight="1">
      <c r="A226" s="2" t="inlineStr">
        <is>
          <t>2026-06-15</t>
        </is>
      </c>
      <c r="B226" s="3" t="inlineStr">
        <is>
          <t>코메론</t>
        </is>
      </c>
      <c r="C226" s="2" t="inlineStr">
        <is>
          <t>코스닥</t>
        </is>
      </c>
      <c r="D226" s="2" t="inlineStr">
        <is>
          <t>049430</t>
        </is>
      </c>
      <c r="E226" s="7" t="inlineStr">
        <is>
          <t>주요사항보고서(자기주식취득신탁계약체결결정)</t>
        </is>
      </c>
      <c r="F226" s="2" t="inlineStr">
        <is>
          <t>신탁계약체결결정</t>
        </is>
      </c>
      <c r="G226" s="5" t="n">
        <v>0</v>
      </c>
      <c r="H226" s="6" t="n">
        <v>549451</v>
      </c>
      <c r="I226" s="3" t="inlineStr">
        <is>
          <t>비고</t>
        </is>
      </c>
      <c r="J226" s="2" t="inlineStr">
        <is>
          <t>2026-06-16</t>
        </is>
      </c>
      <c r="K226" s="2" t="inlineStr">
        <is>
          <t>2026-12-15</t>
        </is>
      </c>
      <c r="L226" s="2" t="inlineStr">
        <is>
          <t>-</t>
        </is>
      </c>
      <c r="M226" s="7" t="inlineStr">
        <is>
          <t>NH 투자증권</t>
        </is>
      </c>
      <c r="N226" s="7" t="inlineStr">
        <is>
          <t>주주총회 승인 한도 내 주가 안정 및 주주가치 제고</t>
        </is>
      </c>
      <c r="O226" s="2" t="inlineStr">
        <is>
          <t>20260615000119</t>
        </is>
      </c>
      <c r="P226" s="8">
        <f>HYPERLINK("https://dart.fss.or.kr/dsaf001/main.do?rcpNo=20260615000119", "공시열람")</f>
        <v/>
      </c>
    </row>
    <row r="227" ht="36" customHeight="1">
      <c r="A227" s="2" t="inlineStr">
        <is>
          <t>2026-06-15</t>
        </is>
      </c>
      <c r="B227" s="3" t="inlineStr">
        <is>
          <t>감성코퍼레이션</t>
        </is>
      </c>
      <c r="C227" s="2" t="inlineStr">
        <is>
          <t>코스닥</t>
        </is>
      </c>
      <c r="D227" s="2" t="inlineStr">
        <is>
          <t>036620</t>
        </is>
      </c>
      <c r="E227" s="7" t="inlineStr">
        <is>
          <t xml:space="preserve">주식소각결정              </t>
        </is>
      </c>
      <c r="F227" s="2" t="inlineStr">
        <is>
          <t>자기주식소각결정</t>
        </is>
      </c>
      <c r="G227" s="5" t="n">
        <v>3705695730</v>
      </c>
      <c r="H227" s="6" t="n">
        <v>640827</v>
      </c>
      <c r="I227" s="3" t="inlineStr">
        <is>
          <t>기취득 자기주식</t>
        </is>
      </c>
      <c r="J227" s="2" t="inlineStr">
        <is>
          <t>-</t>
        </is>
      </c>
      <c r="K227" s="2" t="inlineStr">
        <is>
          <t>-</t>
        </is>
      </c>
      <c r="L227" s="2" t="inlineStr">
        <is>
          <t>2026-06-23</t>
        </is>
      </c>
      <c r="M227" s="7" t="inlineStr">
        <is>
          <t>-</t>
        </is>
      </c>
      <c r="N227" s="7" t="inlineStr">
        <is>
          <t>주주가치 제고 및 주식소각</t>
        </is>
      </c>
      <c r="O227" s="2" t="inlineStr">
        <is>
          <t>20260615900346</t>
        </is>
      </c>
      <c r="P227" s="8">
        <f>HYPERLINK("https://dart.fss.or.kr/dsaf001/main.do?rcpNo=20260615900346", "공시열람")</f>
        <v/>
      </c>
    </row>
    <row r="228" ht="36" customHeight="1">
      <c r="A228" s="2" t="inlineStr">
        <is>
          <t>2026-06-15</t>
        </is>
      </c>
      <c r="B228" s="3" t="inlineStr">
        <is>
          <t>신흥</t>
        </is>
      </c>
      <c r="C228" s="2" t="inlineStr">
        <is>
          <t>코스피</t>
        </is>
      </c>
      <c r="D228" s="2" t="inlineStr">
        <is>
          <t>004080</t>
        </is>
      </c>
      <c r="E228" s="7" t="inlineStr">
        <is>
          <t xml:space="preserve">주식소각결정              </t>
        </is>
      </c>
      <c r="F228" s="2" t="inlineStr">
        <is>
          <t>자기주식소각결정</t>
        </is>
      </c>
      <c r="G228" s="5" t="n">
        <v>1418316246</v>
      </c>
      <c r="H228" s="6" t="n">
        <v>100000</v>
      </c>
      <c r="I228" s="3" t="inlineStr">
        <is>
          <t>기취득 자기주식</t>
        </is>
      </c>
      <c r="J228" s="2" t="inlineStr">
        <is>
          <t>-</t>
        </is>
      </c>
      <c r="K228" s="2" t="inlineStr">
        <is>
          <t>-</t>
        </is>
      </c>
      <c r="L228" s="2" t="inlineStr">
        <is>
          <t>2026-06-22</t>
        </is>
      </c>
      <c r="M228" s="7" t="inlineStr">
        <is>
          <t>-</t>
        </is>
      </c>
      <c r="N228" s="7" t="inlineStr">
        <is>
          <t>주주가치 제고 및 주식소각</t>
        </is>
      </c>
      <c r="O228" s="2" t="inlineStr">
        <is>
          <t>20260615800230</t>
        </is>
      </c>
      <c r="P228" s="8">
        <f>HYPERLINK("https://dart.fss.or.kr/dsaf001/main.do?rcpNo=20260615800230", "공시열람")</f>
        <v/>
      </c>
    </row>
    <row r="229" ht="36" customHeight="1">
      <c r="A229" s="2" t="inlineStr">
        <is>
          <t>2026-06-16 (정정: 2026-06-16)</t>
        </is>
      </c>
      <c r="B229" s="3" t="inlineStr">
        <is>
          <t>디와이씨</t>
        </is>
      </c>
      <c r="C229" s="2" t="inlineStr">
        <is>
          <t>코스닥</t>
        </is>
      </c>
      <c r="D229" s="2" t="inlineStr">
        <is>
          <t>310870</t>
        </is>
      </c>
      <c r="E229" s="7" t="inlineStr">
        <is>
          <t>[기재정정]주요사항보고서(자기주식취득신탁계약체결결정)</t>
        </is>
      </c>
      <c r="F229" s="2" t="inlineStr">
        <is>
          <t>신탁계약체결결정</t>
        </is>
      </c>
      <c r="G229" s="5" t="n">
        <v>1000000000</v>
      </c>
      <c r="H229" s="6" t="n">
        <v>633713</v>
      </c>
      <c r="I229" s="3" t="inlineStr">
        <is>
          <t>비고</t>
        </is>
      </c>
      <c r="J229" s="2" t="inlineStr">
        <is>
          <t>2026-06-16</t>
        </is>
      </c>
      <c r="K229" s="2" t="inlineStr">
        <is>
          <t>2026-10-15</t>
        </is>
      </c>
      <c r="L229" s="2" t="inlineStr">
        <is>
          <t>-</t>
        </is>
      </c>
      <c r="M229" s="7" t="inlineStr">
        <is>
          <t>한국투자증권(주)(Korea Investment &amp; Securities Co., Ltd.)</t>
        </is>
      </c>
      <c r="N229" s="7" t="inlineStr">
        <is>
          <t>주가안정 및 주주가치 제고, 임직원 양도제한조건부주식(RSU) 재원 마련</t>
        </is>
      </c>
      <c r="O229" s="2" t="inlineStr">
        <is>
          <t>20260616000328</t>
        </is>
      </c>
      <c r="P229" s="8">
        <f>HYPERLINK("https://dart.fss.or.kr/dsaf001/main.do?rcpNo=20260616000328", "공시열람")</f>
        <v/>
      </c>
    </row>
    <row r="230" ht="36" customHeight="1">
      <c r="A230" s="2" t="inlineStr">
        <is>
          <t>2026-06-16</t>
        </is>
      </c>
      <c r="B230" s="3" t="inlineStr">
        <is>
          <t>상상인</t>
        </is>
      </c>
      <c r="C230" s="2" t="inlineStr">
        <is>
          <t>코스닥</t>
        </is>
      </c>
      <c r="D230" s="2" t="inlineStr">
        <is>
          <t>038540</t>
        </is>
      </c>
      <c r="E230" s="7" t="inlineStr">
        <is>
          <t>주요사항보고서(자기주식취득신탁계약체결결정)</t>
        </is>
      </c>
      <c r="F230" s="2" t="inlineStr">
        <is>
          <t>신탁계약체결결정</t>
        </is>
      </c>
      <c r="G230" s="5" t="n">
        <v>2000000000</v>
      </c>
      <c r="H230" s="6" t="n">
        <v>1058201</v>
      </c>
      <c r="I230" s="3" t="inlineStr">
        <is>
          <t>비고</t>
        </is>
      </c>
      <c r="J230" s="2" t="inlineStr">
        <is>
          <t>2026-06-17</t>
        </is>
      </c>
      <c r="K230" s="2" t="inlineStr">
        <is>
          <t>2026-12-16</t>
        </is>
      </c>
      <c r="L230" s="2" t="inlineStr">
        <is>
          <t>-</t>
        </is>
      </c>
      <c r="M230" s="7" t="inlineStr">
        <is>
          <t>NH투자증권(NH Investment &amp; Securities Co.,Ltd.)</t>
        </is>
      </c>
      <c r="N230" s="7" t="inlineStr">
        <is>
          <t>주주가치 제고</t>
        </is>
      </c>
      <c r="O230" s="2" t="inlineStr">
        <is>
          <t>20260616000253</t>
        </is>
      </c>
      <c r="P230" s="8">
        <f>HYPERLINK("https://dart.fss.or.kr/dsaf001/main.do?rcpNo=20260616000253", "공시열람")</f>
        <v/>
      </c>
    </row>
    <row r="231" ht="36" customHeight="1">
      <c r="A231" s="2" t="inlineStr">
        <is>
          <t>2026-06-16</t>
        </is>
      </c>
      <c r="B231" s="3" t="inlineStr">
        <is>
          <t>한국알콜</t>
        </is>
      </c>
      <c r="C231" s="2" t="inlineStr">
        <is>
          <t>코스닥</t>
        </is>
      </c>
      <c r="D231" s="2" t="inlineStr">
        <is>
          <t>017890</t>
        </is>
      </c>
      <c r="E231" s="7" t="inlineStr">
        <is>
          <t xml:space="preserve">주식소각결정              </t>
        </is>
      </c>
      <c r="F231" s="2" t="inlineStr">
        <is>
          <t>자기주식소각결정</t>
        </is>
      </c>
      <c r="G231" s="5" t="n">
        <v>7230000000</v>
      </c>
      <c r="H231" s="6" t="n">
        <v>600000</v>
      </c>
      <c r="I231" s="3" t="inlineStr">
        <is>
          <t>기취득 자기주식</t>
        </is>
      </c>
      <c r="J231" s="2" t="inlineStr">
        <is>
          <t>-</t>
        </is>
      </c>
      <c r="K231" s="2" t="inlineStr">
        <is>
          <t>-</t>
        </is>
      </c>
      <c r="L231" s="2" t="inlineStr">
        <is>
          <t>2026-06-24</t>
        </is>
      </c>
      <c r="M231" s="7" t="inlineStr">
        <is>
          <t>-</t>
        </is>
      </c>
      <c r="N231" s="7" t="inlineStr">
        <is>
          <t>주주가치 제고 및 주식소각</t>
        </is>
      </c>
      <c r="O231" s="2" t="inlineStr">
        <is>
          <t>20260616900552</t>
        </is>
      </c>
      <c r="P231" s="8">
        <f>HYPERLINK("https://dart.fss.or.kr/dsaf001/main.do?rcpNo=20260616900552", "공시열람")</f>
        <v/>
      </c>
    </row>
    <row r="232" ht="36" customHeight="1">
      <c r="A232" s="2" t="inlineStr">
        <is>
          <t>2026-06-16</t>
        </is>
      </c>
      <c r="B232" s="3" t="inlineStr">
        <is>
          <t>만호제강</t>
        </is>
      </c>
      <c r="C232" s="2" t="inlineStr">
        <is>
          <t>코스피</t>
        </is>
      </c>
      <c r="D232" s="2" t="inlineStr">
        <is>
          <t>001080</t>
        </is>
      </c>
      <c r="E232" s="7" t="inlineStr">
        <is>
          <t>주요사항보고서(자기주식취득신탁계약해지결정)</t>
        </is>
      </c>
      <c r="F232" s="2" t="inlineStr">
        <is>
          <t>신탁계약체결결정</t>
        </is>
      </c>
      <c r="G232" s="5" t="n">
        <v>3000000000</v>
      </c>
      <c r="H232" s="6" t="inlineStr"/>
      <c r="I232" s="3" t="inlineStr">
        <is>
          <t>비고</t>
        </is>
      </c>
      <c r="J232" s="2" t="inlineStr">
        <is>
          <t>2022-09-26</t>
        </is>
      </c>
      <c r="K232" s="2" t="inlineStr">
        <is>
          <t>2027-09-25</t>
        </is>
      </c>
      <c r="L232" s="2" t="inlineStr">
        <is>
          <t>-</t>
        </is>
      </c>
      <c r="M232" s="7" t="inlineStr">
        <is>
          <t>-</t>
        </is>
      </c>
      <c r="N232" s="7" t="inlineStr">
        <is>
          <t>자기주식 취득 완료에 따른 중도해지</t>
        </is>
      </c>
      <c r="O232" s="2" t="inlineStr">
        <is>
          <t>20260616000189</t>
        </is>
      </c>
      <c r="P232" s="8">
        <f>HYPERLINK("https://dart.fss.or.kr/dsaf001/main.do?rcpNo=20260616000189", "공시열람")</f>
        <v/>
      </c>
    </row>
    <row r="233" ht="36" customHeight="1">
      <c r="A233" s="2" t="inlineStr">
        <is>
          <t>2026-06-16</t>
        </is>
      </c>
      <c r="B233" s="3" t="inlineStr">
        <is>
          <t>디와이씨</t>
        </is>
      </c>
      <c r="C233" s="2" t="inlineStr">
        <is>
          <t>코스닥</t>
        </is>
      </c>
      <c r="D233" s="2" t="inlineStr">
        <is>
          <t>310870</t>
        </is>
      </c>
      <c r="E233" s="7" t="inlineStr">
        <is>
          <t>주요사항보고서(자기주식취득신탁계약체결결정)</t>
        </is>
      </c>
      <c r="F233" s="2" t="inlineStr">
        <is>
          <t>신탁계약체결결정</t>
        </is>
      </c>
      <c r="G233" s="5" t="n">
        <v>1000000000</v>
      </c>
      <c r="H233" s="6" t="n">
        <v>633713</v>
      </c>
      <c r="I233" s="3" t="inlineStr">
        <is>
          <t>비고</t>
        </is>
      </c>
      <c r="J233" s="2" t="inlineStr">
        <is>
          <t>2026-06-16</t>
        </is>
      </c>
      <c r="K233" s="2" t="inlineStr">
        <is>
          <t>2026-10-15</t>
        </is>
      </c>
      <c r="L233" s="2" t="inlineStr">
        <is>
          <t>-</t>
        </is>
      </c>
      <c r="M233" s="7" t="inlineStr">
        <is>
          <t>한국투자증권(주)(Korea Investment &amp; Securities Co., Ltd.)</t>
        </is>
      </c>
      <c r="N233" s="7" t="inlineStr">
        <is>
          <t>주가안정 및 주주가치 제고, 임직원 양도제한조건부주식(RSU) 재원 마련</t>
        </is>
      </c>
      <c r="O233" s="2" t="inlineStr">
        <is>
          <t>20260616000133</t>
        </is>
      </c>
      <c r="P233" s="8">
        <f>HYPERLINK("https://dart.fss.or.kr/dsaf001/main.do?rcpNo=20260616000133", "공시열람")</f>
        <v/>
      </c>
    </row>
    <row r="234" ht="36" customHeight="1">
      <c r="A234" s="2" t="inlineStr">
        <is>
          <t>2026-06-16</t>
        </is>
      </c>
      <c r="B234" s="3" t="inlineStr">
        <is>
          <t>나래나노텍</t>
        </is>
      </c>
      <c r="C234" s="2" t="inlineStr">
        <is>
          <t>코스닥</t>
        </is>
      </c>
      <c r="D234" s="2" t="inlineStr">
        <is>
          <t>137080</t>
        </is>
      </c>
      <c r="E234" s="7" t="inlineStr">
        <is>
          <t xml:space="preserve">주식소각결정              </t>
        </is>
      </c>
      <c r="F234" s="2" t="inlineStr">
        <is>
          <t>자기주식소각결정</t>
        </is>
      </c>
      <c r="G234" s="5" t="n">
        <v>1999782790</v>
      </c>
      <c r="H234" s="6" t="n">
        <v>349473</v>
      </c>
      <c r="I234" s="3" t="inlineStr">
        <is>
          <t>기취득 자기주식</t>
        </is>
      </c>
      <c r="J234" s="2" t="inlineStr">
        <is>
          <t>-</t>
        </is>
      </c>
      <c r="K234" s="2" t="inlineStr">
        <is>
          <t>-</t>
        </is>
      </c>
      <c r="L234" s="2" t="inlineStr">
        <is>
          <t>2026-06-24</t>
        </is>
      </c>
      <c r="M234" s="7" t="inlineStr">
        <is>
          <t>-</t>
        </is>
      </c>
      <c r="N234" s="7" t="inlineStr">
        <is>
          <t>주주가치 제고 및 주식소각</t>
        </is>
      </c>
      <c r="O234" s="2" t="inlineStr">
        <is>
          <t>20260616900419</t>
        </is>
      </c>
      <c r="P234" s="8">
        <f>HYPERLINK("https://dart.fss.or.kr/dsaf001/main.do?rcpNo=20260616900419", "공시열람")</f>
        <v/>
      </c>
    </row>
    <row r="235" ht="36" customHeight="1">
      <c r="A235" s="2" t="inlineStr">
        <is>
          <t>2026-06-16</t>
        </is>
      </c>
      <c r="B235" s="3" t="inlineStr">
        <is>
          <t>나래나노텍</t>
        </is>
      </c>
      <c r="C235" s="2" t="inlineStr">
        <is>
          <t>코스닥</t>
        </is>
      </c>
      <c r="D235" s="2" t="inlineStr">
        <is>
          <t>137080</t>
        </is>
      </c>
      <c r="E235" s="7" t="inlineStr">
        <is>
          <t>주요사항보고서(자기주식취득결정)</t>
        </is>
      </c>
      <c r="F235" s="2" t="inlineStr">
        <is>
          <t>자기주식취득결정</t>
        </is>
      </c>
      <c r="G235" s="5" t="n">
        <v>2000000000</v>
      </c>
      <c r="H235" s="6" t="n">
        <v>443951</v>
      </c>
      <c r="I235" s="3" t="inlineStr">
        <is>
          <t>비고</t>
        </is>
      </c>
      <c r="J235" s="2" t="inlineStr">
        <is>
          <t>2026-06-17</t>
        </is>
      </c>
      <c r="K235" s="2" t="inlineStr">
        <is>
          <t>2026-09-16</t>
        </is>
      </c>
      <c r="L235" s="2" t="inlineStr">
        <is>
          <t>-</t>
        </is>
      </c>
      <c r="M235" s="7" t="inlineStr">
        <is>
          <t>미래에셋증권</t>
        </is>
      </c>
      <c r="N235" s="7" t="inlineStr">
        <is>
          <t>기업가치 제고를 위한 주주환원정책의 일환으로 자기주식 취득 후 소각</t>
        </is>
      </c>
      <c r="O235" s="2" t="inlineStr">
        <is>
          <t>20260616000124</t>
        </is>
      </c>
      <c r="P235" s="8">
        <f>HYPERLINK("https://dart.fss.or.kr/dsaf001/main.do?rcpNo=20260616000124", "공시열람")</f>
        <v/>
      </c>
    </row>
    <row r="236" ht="36" customHeight="1">
      <c r="A236" s="2" t="inlineStr">
        <is>
          <t>2026-06-16</t>
        </is>
      </c>
      <c r="B236" s="3" t="inlineStr">
        <is>
          <t>오리온홀딩스</t>
        </is>
      </c>
      <c r="C236" s="2" t="inlineStr">
        <is>
          <t>코스피</t>
        </is>
      </c>
      <c r="D236" s="2" t="inlineStr">
        <is>
          <t>001800</t>
        </is>
      </c>
      <c r="E236" s="7" t="inlineStr">
        <is>
          <t xml:space="preserve">주식소각결정(자회사의 주요경영사항)              </t>
        </is>
      </c>
      <c r="F236" s="2" t="inlineStr">
        <is>
          <t>자기주식소각결정</t>
        </is>
      </c>
      <c r="G236" s="5" t="n">
        <v>982627200</v>
      </c>
      <c r="H236" s="6" t="n">
        <v>7344</v>
      </c>
      <c r="I236" s="3" t="inlineStr">
        <is>
          <t>기취득 자기주식</t>
        </is>
      </c>
      <c r="J236" s="2" t="inlineStr">
        <is>
          <t>-</t>
        </is>
      </c>
      <c r="K236" s="2" t="inlineStr">
        <is>
          <t>-</t>
        </is>
      </c>
      <c r="L236" s="2" t="inlineStr">
        <is>
          <t>2026-06-23</t>
        </is>
      </c>
      <c r="M236" s="7" t="inlineStr">
        <is>
          <t>-</t>
        </is>
      </c>
      <c r="N236" s="7" t="inlineStr">
        <is>
          <t>주주가치 제고 및 주식소각</t>
        </is>
      </c>
      <c r="O236" s="2" t="inlineStr">
        <is>
          <t>20260616800302</t>
        </is>
      </c>
      <c r="P236" s="8">
        <f>HYPERLINK("https://dart.fss.or.kr/dsaf001/main.do?rcpNo=20260616800302", "공시열람")</f>
        <v/>
      </c>
    </row>
    <row r="237" ht="36" customHeight="1">
      <c r="A237" s="2" t="inlineStr">
        <is>
          <t>2026-06-16</t>
        </is>
      </c>
      <c r="B237" s="3" t="inlineStr">
        <is>
          <t>오리온</t>
        </is>
      </c>
      <c r="C237" s="2" t="inlineStr">
        <is>
          <t>코스피</t>
        </is>
      </c>
      <c r="D237" s="2" t="inlineStr">
        <is>
          <t>271560</t>
        </is>
      </c>
      <c r="E237" s="7" t="inlineStr">
        <is>
          <t xml:space="preserve">주식소각결정              </t>
        </is>
      </c>
      <c r="F237" s="2" t="inlineStr">
        <is>
          <t>자기주식소각결정</t>
        </is>
      </c>
      <c r="G237" s="5" t="n">
        <v>982627200</v>
      </c>
      <c r="H237" s="6" t="n">
        <v>7344</v>
      </c>
      <c r="I237" s="3" t="inlineStr">
        <is>
          <t>기취득 자기주식</t>
        </is>
      </c>
      <c r="J237" s="2" t="inlineStr">
        <is>
          <t>-</t>
        </is>
      </c>
      <c r="K237" s="2" t="inlineStr">
        <is>
          <t>-</t>
        </is>
      </c>
      <c r="L237" s="2" t="inlineStr">
        <is>
          <t>2026-06-23</t>
        </is>
      </c>
      <c r="M237" s="7" t="inlineStr">
        <is>
          <t>-</t>
        </is>
      </c>
      <c r="N237" s="7" t="inlineStr">
        <is>
          <t>주주가치 제고 및 주식소각</t>
        </is>
      </c>
      <c r="O237" s="2" t="inlineStr">
        <is>
          <t>20260616800298</t>
        </is>
      </c>
      <c r="P237" s="8">
        <f>HYPERLINK("https://dart.fss.or.kr/dsaf001/main.do?rcpNo=20260616800298", "공시열람")</f>
        <v/>
      </c>
    </row>
    <row r="238" ht="36" customHeight="1">
      <c r="A238" s="2" t="inlineStr">
        <is>
          <t>2026-06-16</t>
        </is>
      </c>
      <c r="B238" s="3" t="inlineStr">
        <is>
          <t>코셈</t>
        </is>
      </c>
      <c r="C238" s="2" t="inlineStr">
        <is>
          <t>코스닥</t>
        </is>
      </c>
      <c r="D238" s="2" t="inlineStr">
        <is>
          <t>360350</t>
        </is>
      </c>
      <c r="E238" s="7" t="inlineStr">
        <is>
          <t xml:space="preserve">주식소각결정              </t>
        </is>
      </c>
      <c r="F238" s="2" t="inlineStr">
        <is>
          <t>자기주식소각결정</t>
        </is>
      </c>
      <c r="G238" s="5" t="n">
        <v>2572500000</v>
      </c>
      <c r="H238" s="6" t="n">
        <v>300000</v>
      </c>
      <c r="I238" s="3" t="inlineStr">
        <is>
          <t>기취득 자기주식</t>
        </is>
      </c>
      <c r="J238" s="2" t="inlineStr">
        <is>
          <t>-</t>
        </is>
      </c>
      <c r="K238" s="2" t="inlineStr">
        <is>
          <t>-</t>
        </is>
      </c>
      <c r="L238" s="2" t="inlineStr">
        <is>
          <t>2026-06-24</t>
        </is>
      </c>
      <c r="M238" s="7" t="inlineStr">
        <is>
          <t>-</t>
        </is>
      </c>
      <c r="N238" s="7" t="inlineStr">
        <is>
          <t>주주가치 제고 및 주식소각</t>
        </is>
      </c>
      <c r="O238" s="2" t="inlineStr">
        <is>
          <t>20260616900263</t>
        </is>
      </c>
      <c r="P238" s="8">
        <f>HYPERLINK("https://dart.fss.or.kr/dsaf001/main.do?rcpNo=20260616900263", "공시열람")</f>
        <v/>
      </c>
    </row>
    <row r="239" ht="36" customHeight="1">
      <c r="A239" s="2" t="inlineStr">
        <is>
          <t>2026-06-16</t>
        </is>
      </c>
      <c r="B239" s="3" t="inlineStr">
        <is>
          <t>오리온홀딩스</t>
        </is>
      </c>
      <c r="C239" s="2" t="inlineStr">
        <is>
          <t>코스피</t>
        </is>
      </c>
      <c r="D239" s="2" t="inlineStr">
        <is>
          <t>001800</t>
        </is>
      </c>
      <c r="E239" s="7" t="inlineStr">
        <is>
          <t xml:space="preserve">주식소각결정              </t>
        </is>
      </c>
      <c r="F239" s="2" t="inlineStr">
        <is>
          <t>자기주식소각결정</t>
        </is>
      </c>
      <c r="G239" s="5" t="n">
        <v>66450159000</v>
      </c>
      <c r="H239" s="6" t="n">
        <v>2488770</v>
      </c>
      <c r="I239" s="3" t="inlineStr">
        <is>
          <t>기취득 자기주식</t>
        </is>
      </c>
      <c r="J239" s="2" t="inlineStr">
        <is>
          <t>-</t>
        </is>
      </c>
      <c r="K239" s="2" t="inlineStr">
        <is>
          <t>-</t>
        </is>
      </c>
      <c r="L239" s="2" t="inlineStr">
        <is>
          <t>2026-06-23</t>
        </is>
      </c>
      <c r="M239" s="7" t="inlineStr">
        <is>
          <t>-</t>
        </is>
      </c>
      <c r="N239" s="7" t="inlineStr">
        <is>
          <t>주주가치 제고 및 주식소각</t>
        </is>
      </c>
      <c r="O239" s="2" t="inlineStr">
        <is>
          <t>20260616800251</t>
        </is>
      </c>
      <c r="P239" s="8">
        <f>HYPERLINK("https://dart.fss.or.kr/dsaf001/main.do?rcpNo=20260616800251", "공시열람")</f>
        <v/>
      </c>
    </row>
    <row r="240" ht="36" customHeight="1">
      <c r="A240" s="2" t="inlineStr">
        <is>
          <t>2026-06-17 (정정: 2026-06-17)</t>
        </is>
      </c>
      <c r="B240" s="3" t="inlineStr">
        <is>
          <t>미래에셋증권</t>
        </is>
      </c>
      <c r="C240" s="2" t="inlineStr">
        <is>
          <t>코스피</t>
        </is>
      </c>
      <c r="D240" s="2" t="inlineStr">
        <is>
          <t>006800</t>
        </is>
      </c>
      <c r="E240" s="7" t="inlineStr">
        <is>
          <t>[기재정정]주요사항보고서(자기주식취득결정)</t>
        </is>
      </c>
      <c r="F240" s="2" t="inlineStr">
        <is>
          <t>자기주식취득결정</t>
        </is>
      </c>
      <c r="G240" s="5" t="n">
        <v>200000000000</v>
      </c>
      <c r="H240" s="6" t="n">
        <v>3898635</v>
      </c>
      <c r="I240" s="3" t="inlineStr">
        <is>
          <t>비고</t>
        </is>
      </c>
      <c r="J240" s="2" t="inlineStr">
        <is>
          <t>2026-06-18</t>
        </is>
      </c>
      <c r="K240" s="2" t="inlineStr">
        <is>
          <t>2026-09-17</t>
        </is>
      </c>
      <c r="L240" s="2" t="inlineStr">
        <is>
          <t>-</t>
        </is>
      </c>
      <c r="M240" s="7" t="inlineStr">
        <is>
          <t>미래에셋증권(주)(MIRAE ASSET SECURITIES CO., LTD.)</t>
        </is>
      </c>
      <c r="N240" s="7" t="inlineStr">
        <is>
          <t>주식 소각을 통한 주주가치 제고</t>
        </is>
      </c>
      <c r="O240" s="2" t="inlineStr">
        <is>
          <t>20260617000504</t>
        </is>
      </c>
      <c r="P240" s="8">
        <f>HYPERLINK("https://dart.fss.or.kr/dsaf001/main.do?rcpNo=20260617000504", "공시열람")</f>
        <v/>
      </c>
    </row>
    <row r="241" ht="36" customHeight="1">
      <c r="A241" s="2" t="inlineStr">
        <is>
          <t>2026-06-17</t>
        </is>
      </c>
      <c r="B241" s="3" t="inlineStr">
        <is>
          <t>미래에셋증권</t>
        </is>
      </c>
      <c r="C241" s="2" t="inlineStr">
        <is>
          <t>코스피</t>
        </is>
      </c>
      <c r="D241" s="2" t="inlineStr">
        <is>
          <t>006800</t>
        </is>
      </c>
      <c r="E241" s="7" t="inlineStr">
        <is>
          <t>주요사항보고서(자기주식취득결정)</t>
        </is>
      </c>
      <c r="F241" s="2" t="inlineStr">
        <is>
          <t>자기주식취득결정</t>
        </is>
      </c>
      <c r="G241" s="5" t="n">
        <v>200000000000</v>
      </c>
      <c r="H241" s="6" t="n">
        <v>3898635</v>
      </c>
      <c r="I241" s="3" t="inlineStr">
        <is>
          <t>비고</t>
        </is>
      </c>
      <c r="J241" s="2" t="inlineStr">
        <is>
          <t>2026-06-18</t>
        </is>
      </c>
      <c r="K241" s="2" t="inlineStr">
        <is>
          <t>2026-09-17</t>
        </is>
      </c>
      <c r="L241" s="2" t="inlineStr">
        <is>
          <t>-</t>
        </is>
      </c>
      <c r="M241" s="7" t="inlineStr">
        <is>
          <t>미래에셋증권(주)(MIRAE ASSET SECURITIES CO., LTD.)</t>
        </is>
      </c>
      <c r="N241" s="7" t="inlineStr">
        <is>
          <t>주식 소각을 통한 주주가치 제고</t>
        </is>
      </c>
      <c r="O241" s="2" t="inlineStr">
        <is>
          <t>20260617000479</t>
        </is>
      </c>
      <c r="P241" s="8">
        <f>HYPERLINK("https://dart.fss.or.kr/dsaf001/main.do?rcpNo=20260617000479", "공시열람")</f>
        <v/>
      </c>
    </row>
    <row r="242" ht="36" customHeight="1">
      <c r="A242" s="2" t="inlineStr">
        <is>
          <t>2026-06-17</t>
        </is>
      </c>
      <c r="B242" s="3" t="inlineStr">
        <is>
          <t>와이즈넛</t>
        </is>
      </c>
      <c r="C242" s="2" t="inlineStr">
        <is>
          <t>코스닥</t>
        </is>
      </c>
      <c r="D242" s="2" t="inlineStr">
        <is>
          <t>096250</t>
        </is>
      </c>
      <c r="E242" s="7" t="inlineStr">
        <is>
          <t>주요사항보고서(자기주식취득결정)</t>
        </is>
      </c>
      <c r="F242" s="2" t="inlineStr">
        <is>
          <t>자기주식취득결정</t>
        </is>
      </c>
      <c r="G242" s="5" t="n">
        <v>10000228000</v>
      </c>
      <c r="H242" s="6" t="n">
        <v>1742200</v>
      </c>
      <c r="I242" s="3" t="inlineStr">
        <is>
          <t>비고</t>
        </is>
      </c>
      <c r="J242" s="2" t="inlineStr">
        <is>
          <t>2026-06-18</t>
        </is>
      </c>
      <c r="K242" s="2" t="inlineStr">
        <is>
          <t>2026-09-17</t>
        </is>
      </c>
      <c r="L242" s="2" t="inlineStr">
        <is>
          <t>-</t>
        </is>
      </c>
      <c r="M242" s="7" t="inlineStr">
        <is>
          <t>삼성증권 주식회사(SAMSUNG SECURITIES Co., Ltd.)</t>
        </is>
      </c>
      <c r="N242" s="7" t="inlineStr">
        <is>
          <t>주가안정 및 주주가치 제고목적 자기주식 취득</t>
        </is>
      </c>
      <c r="O242" s="2" t="inlineStr">
        <is>
          <t>20260617000461</t>
        </is>
      </c>
      <c r="P242" s="8">
        <f>HYPERLINK("https://dart.fss.or.kr/dsaf001/main.do?rcpNo=20260617000461", "공시열람")</f>
        <v/>
      </c>
    </row>
    <row r="243" ht="36" customHeight="1">
      <c r="A243" s="2" t="inlineStr">
        <is>
          <t>2026-06-17</t>
        </is>
      </c>
      <c r="B243" s="3" t="inlineStr">
        <is>
          <t>심텍</t>
        </is>
      </c>
      <c r="C243" s="2" t="inlineStr">
        <is>
          <t>코스닥</t>
        </is>
      </c>
      <c r="D243" s="2" t="inlineStr">
        <is>
          <t>222800</t>
        </is>
      </c>
      <c r="E243" s="7" t="inlineStr">
        <is>
          <t>주요사항보고서(자기주식취득결정)</t>
        </is>
      </c>
      <c r="F243" s="2" t="inlineStr">
        <is>
          <t>자기주식취득결정</t>
        </is>
      </c>
      <c r="G243" s="5" t="n">
        <v>7596000000</v>
      </c>
      <c r="H243" s="6" t="n">
        <v>60000</v>
      </c>
      <c r="I243" s="3" t="inlineStr">
        <is>
          <t>비고</t>
        </is>
      </c>
      <c r="J243" s="2" t="inlineStr">
        <is>
          <t>2026-06-19</t>
        </is>
      </c>
      <c r="K243" s="2" t="inlineStr">
        <is>
          <t>2026-07-19</t>
        </is>
      </c>
      <c r="L243" s="2" t="inlineStr">
        <is>
          <t>-</t>
        </is>
      </c>
      <c r="M243" s="7" t="inlineStr">
        <is>
          <t>신한투자증권</t>
        </is>
      </c>
      <c r="N243" s="7" t="inlineStr">
        <is>
          <t>양도제한 조건부 주식 재원 마련</t>
        </is>
      </c>
      <c r="O243" s="2" t="inlineStr">
        <is>
          <t>20260617000364</t>
        </is>
      </c>
      <c r="P243" s="8">
        <f>HYPERLINK("https://dart.fss.or.kr/dsaf001/main.do?rcpNo=20260617000364", "공시열람")</f>
        <v/>
      </c>
    </row>
    <row r="244" ht="36" customHeight="1">
      <c r="A244" s="2" t="inlineStr">
        <is>
          <t>2026-06-17</t>
        </is>
      </c>
      <c r="B244" s="3" t="inlineStr">
        <is>
          <t>삼화네트웍스</t>
        </is>
      </c>
      <c r="C244" s="2" t="inlineStr">
        <is>
          <t>코스닥</t>
        </is>
      </c>
      <c r="D244" s="2" t="inlineStr">
        <is>
          <t>046390</t>
        </is>
      </c>
      <c r="E244" s="7" t="inlineStr">
        <is>
          <t>주요사항보고서(자기주식취득신탁계약해지결정)</t>
        </is>
      </c>
      <c r="F244" s="2" t="inlineStr">
        <is>
          <t>신탁계약체결결정</t>
        </is>
      </c>
      <c r="G244" s="5" t="n">
        <v>1500000000</v>
      </c>
      <c r="H244" s="6" t="inlineStr"/>
      <c r="I244" s="3" t="inlineStr">
        <is>
          <t>비고</t>
        </is>
      </c>
      <c r="J244" s="2" t="inlineStr">
        <is>
          <t>2026-03-05</t>
        </is>
      </c>
      <c r="K244" s="2" t="inlineStr">
        <is>
          <t>2026-09-04</t>
        </is>
      </c>
      <c r="L244" s="2" t="inlineStr">
        <is>
          <t>-</t>
        </is>
      </c>
      <c r="M244" s="7" t="inlineStr">
        <is>
          <t>-</t>
        </is>
      </c>
      <c r="N244" s="7" t="inlineStr">
        <is>
          <t>자기주식 취득 완료에 따른 중도 해지</t>
        </is>
      </c>
      <c r="O244" s="2" t="inlineStr">
        <is>
          <t>20260617000379</t>
        </is>
      </c>
      <c r="P244" s="8">
        <f>HYPERLINK("https://dart.fss.or.kr/dsaf001/main.do?rcpNo=20260617000379", "공시열람")</f>
        <v/>
      </c>
    </row>
    <row r="245" ht="36" customHeight="1">
      <c r="A245" s="2" t="inlineStr">
        <is>
          <t>2026-06-17</t>
        </is>
      </c>
      <c r="B245" s="3" t="inlineStr">
        <is>
          <t>엑셈</t>
        </is>
      </c>
      <c r="C245" s="2" t="inlineStr">
        <is>
          <t>코스닥</t>
        </is>
      </c>
      <c r="D245" s="2" t="inlineStr">
        <is>
          <t>205100</t>
        </is>
      </c>
      <c r="E245" s="7" t="inlineStr">
        <is>
          <t>주요사항보고서(자기주식취득결정)</t>
        </is>
      </c>
      <c r="F245" s="2" t="inlineStr">
        <is>
          <t>자기주식취득결정</t>
        </is>
      </c>
      <c r="G245" s="5" t="n">
        <v>1999999956</v>
      </c>
      <c r="H245" s="6" t="n">
        <v>1305483</v>
      </c>
      <c r="I245" s="3" t="inlineStr">
        <is>
          <t>비고</t>
        </is>
      </c>
      <c r="J245" s="2" t="inlineStr">
        <is>
          <t>2026-06-18</t>
        </is>
      </c>
      <c r="K245" s="2" t="inlineStr">
        <is>
          <t>2026-07-17</t>
        </is>
      </c>
      <c r="L245" s="2" t="inlineStr">
        <is>
          <t>-</t>
        </is>
      </c>
      <c r="M245" s="7" t="inlineStr">
        <is>
          <t>삼성증권(Samsung Securities Co., Ltd)</t>
        </is>
      </c>
      <c r="N245" s="7" t="inlineStr">
        <is>
          <t>주가 안정 및 임직원 등의 성과보상 재원 마련</t>
        </is>
      </c>
      <c r="O245" s="2" t="inlineStr">
        <is>
          <t>20260617000328</t>
        </is>
      </c>
      <c r="P245" s="8">
        <f>HYPERLINK("https://dart.fss.or.kr/dsaf001/main.do?rcpNo=20260617000328", "공시열람")</f>
        <v/>
      </c>
    </row>
    <row r="246" ht="36" customHeight="1">
      <c r="A246" s="2" t="inlineStr">
        <is>
          <t>2026-06-17</t>
        </is>
      </c>
      <c r="B246" s="3" t="inlineStr">
        <is>
          <t>신일전자</t>
        </is>
      </c>
      <c r="C246" s="2" t="inlineStr">
        <is>
          <t>코스피</t>
        </is>
      </c>
      <c r="D246" s="2" t="inlineStr">
        <is>
          <t>002700</t>
        </is>
      </c>
      <c r="E246" s="7" t="inlineStr">
        <is>
          <t>주요사항보고서(자기주식취득결정)</t>
        </is>
      </c>
      <c r="F246" s="2" t="inlineStr">
        <is>
          <t>자기주식취득결정</t>
        </is>
      </c>
      <c r="G246" s="5" t="n">
        <v>0</v>
      </c>
      <c r="H246" s="6" t="n">
        <v>1651000</v>
      </c>
      <c r="I246" s="3" t="inlineStr">
        <is>
          <t>비고</t>
        </is>
      </c>
      <c r="J246" s="2" t="inlineStr">
        <is>
          <t>2026-06-18</t>
        </is>
      </c>
      <c r="K246" s="2" t="inlineStr">
        <is>
          <t>2026-09-17</t>
        </is>
      </c>
      <c r="L246" s="2" t="inlineStr">
        <is>
          <t>-</t>
        </is>
      </c>
      <c r="M246" s="7" t="inlineStr">
        <is>
          <t>한국투자증권</t>
        </is>
      </c>
      <c r="N246" s="7" t="inlineStr">
        <is>
          <t>주식가격안정 및 주주가치제고</t>
        </is>
      </c>
      <c r="O246" s="2" t="inlineStr">
        <is>
          <t>20260617000178</t>
        </is>
      </c>
      <c r="P246" s="8">
        <f>HYPERLINK("https://dart.fss.or.kr/dsaf001/main.do?rcpNo=20260617000178", "공시열람")</f>
        <v/>
      </c>
    </row>
    <row r="247" ht="36" customHeight="1">
      <c r="A247" s="2" t="inlineStr">
        <is>
          <t>2026-06-17</t>
        </is>
      </c>
      <c r="B247" s="3" t="inlineStr">
        <is>
          <t>신일전자</t>
        </is>
      </c>
      <c r="C247" s="2" t="inlineStr">
        <is>
          <t>코스피</t>
        </is>
      </c>
      <c r="D247" s="2" t="inlineStr">
        <is>
          <t>002700</t>
        </is>
      </c>
      <c r="E247" s="7" t="inlineStr">
        <is>
          <t xml:space="preserve">주식소각결정              </t>
        </is>
      </c>
      <c r="F247" s="2" t="inlineStr">
        <is>
          <t>자기주식소각결정</t>
        </is>
      </c>
      <c r="G247" s="5" t="n">
        <v>2118908616</v>
      </c>
      <c r="H247" s="6" t="n">
        <v>1500000</v>
      </c>
      <c r="I247" s="3" t="inlineStr">
        <is>
          <t>기취득 자기주식</t>
        </is>
      </c>
      <c r="J247" s="2" t="inlineStr">
        <is>
          <t>-</t>
        </is>
      </c>
      <c r="K247" s="2" t="inlineStr">
        <is>
          <t>-</t>
        </is>
      </c>
      <c r="L247" s="2" t="inlineStr">
        <is>
          <t>2026-06-24</t>
        </is>
      </c>
      <c r="M247" s="7" t="inlineStr">
        <is>
          <t>-</t>
        </is>
      </c>
      <c r="N247" s="7" t="inlineStr">
        <is>
          <t>주주가치 제고 및 주식소각</t>
        </is>
      </c>
      <c r="O247" s="2" t="inlineStr">
        <is>
          <t>20260617800213</t>
        </is>
      </c>
      <c r="P247" s="8">
        <f>HYPERLINK("https://dart.fss.or.kr/dsaf001/main.do?rcpNo=20260617800213", "공시열람")</f>
        <v/>
      </c>
    </row>
    <row r="248" ht="36" customHeight="1">
      <c r="A248" s="2" t="inlineStr">
        <is>
          <t>2026-06-17</t>
        </is>
      </c>
      <c r="B248" s="3" t="inlineStr">
        <is>
          <t>우양에이치씨</t>
        </is>
      </c>
      <c r="C248" s="2" t="inlineStr">
        <is>
          <t>코스닥</t>
        </is>
      </c>
      <c r="D248" s="2" t="inlineStr">
        <is>
          <t>101970</t>
        </is>
      </c>
      <c r="E248" s="7" t="inlineStr">
        <is>
          <t>주요사항보고서(자기주식취득신탁계약체결결정)</t>
        </is>
      </c>
      <c r="F248" s="2" t="inlineStr">
        <is>
          <t>신탁계약체결결정</t>
        </is>
      </c>
      <c r="G248" s="5" t="n">
        <v>3000000000</v>
      </c>
      <c r="H248" s="6" t="n">
        <v>322927</v>
      </c>
      <c r="I248" s="3" t="inlineStr">
        <is>
          <t>비고</t>
        </is>
      </c>
      <c r="J248" s="2" t="inlineStr">
        <is>
          <t>2026-06-17</t>
        </is>
      </c>
      <c r="K248" s="2" t="inlineStr">
        <is>
          <t>2026-12-16</t>
        </is>
      </c>
      <c r="L248" s="2" t="inlineStr">
        <is>
          <t>-</t>
        </is>
      </c>
      <c r="M248" s="7" t="inlineStr">
        <is>
          <t>KB증권(주)(KB Securities co., Ltd.)</t>
        </is>
      </c>
      <c r="N248" s="7" t="inlineStr">
        <is>
          <t>주주가치 제고를 위한 소각목적</t>
        </is>
      </c>
      <c r="O248" s="2" t="inlineStr">
        <is>
          <t>20260617000116</t>
        </is>
      </c>
      <c r="P248" s="8">
        <f>HYPERLINK("https://dart.fss.or.kr/dsaf001/main.do?rcpNo=20260617000116", "공시열람")</f>
        <v/>
      </c>
    </row>
    <row r="249" ht="36" customHeight="1">
      <c r="A249" s="2" t="inlineStr">
        <is>
          <t>2026-06-18</t>
        </is>
      </c>
      <c r="B249" s="3" t="inlineStr">
        <is>
          <t>프럼파스트</t>
        </is>
      </c>
      <c r="C249" s="2" t="inlineStr">
        <is>
          <t>코스닥</t>
        </is>
      </c>
      <c r="D249" s="2" t="inlineStr">
        <is>
          <t>035200</t>
        </is>
      </c>
      <c r="E249" s="7" t="inlineStr">
        <is>
          <t xml:space="preserve">주식소각결정              </t>
        </is>
      </c>
      <c r="F249" s="2" t="inlineStr">
        <is>
          <t>자기주식소각결정</t>
        </is>
      </c>
      <c r="G249" s="5" t="n">
        <v>1788738379</v>
      </c>
      <c r="H249" s="6" t="n">
        <v>510609</v>
      </c>
      <c r="I249" s="3" t="inlineStr">
        <is>
          <t>기취득 자기주식</t>
        </is>
      </c>
      <c r="J249" s="2" t="inlineStr">
        <is>
          <t>-</t>
        </is>
      </c>
      <c r="K249" s="2" t="inlineStr">
        <is>
          <t>-</t>
        </is>
      </c>
      <c r="L249" s="2" t="inlineStr">
        <is>
          <t>2026-06-30</t>
        </is>
      </c>
      <c r="M249" s="7" t="inlineStr">
        <is>
          <t>-</t>
        </is>
      </c>
      <c r="N249" s="7" t="inlineStr">
        <is>
          <t>주주가치 제고 및 주식소각</t>
        </is>
      </c>
      <c r="O249" s="2" t="inlineStr">
        <is>
          <t>20260618900326</t>
        </is>
      </c>
      <c r="P249" s="8">
        <f>HYPERLINK("https://dart.fss.or.kr/dsaf001/main.do?rcpNo=20260618900326", "공시열람")</f>
        <v/>
      </c>
    </row>
    <row r="250" ht="36" customHeight="1">
      <c r="A250" s="2" t="inlineStr">
        <is>
          <t>2026-06-18</t>
        </is>
      </c>
      <c r="B250" s="3" t="inlineStr">
        <is>
          <t>와이제이링크</t>
        </is>
      </c>
      <c r="C250" s="2" t="inlineStr">
        <is>
          <t>코스닥</t>
        </is>
      </c>
      <c r="D250" s="2" t="inlineStr">
        <is>
          <t>209640</t>
        </is>
      </c>
      <c r="E250" s="7" t="inlineStr">
        <is>
          <t>주요사항보고서(자기주식취득신탁계약체결결정)</t>
        </is>
      </c>
      <c r="F250" s="2" t="inlineStr">
        <is>
          <t>신탁계약체결결정</t>
        </is>
      </c>
      <c r="G250" s="5" t="n">
        <v>2000000000</v>
      </c>
      <c r="H250" s="6" t="n">
        <v>414078</v>
      </c>
      <c r="I250" s="3" t="inlineStr">
        <is>
          <t>비고</t>
        </is>
      </c>
      <c r="J250" s="2" t="inlineStr">
        <is>
          <t>2026-06-19</t>
        </is>
      </c>
      <c r="K250" s="2" t="inlineStr">
        <is>
          <t>2026-12-19</t>
        </is>
      </c>
      <c r="L250" s="2" t="inlineStr">
        <is>
          <t>-</t>
        </is>
      </c>
      <c r="M250" s="7" t="inlineStr">
        <is>
          <t>엔에이치투자증권(주)</t>
        </is>
      </c>
      <c r="N250" s="7" t="inlineStr">
        <is>
          <t>주가 안정 및 임직원 보상</t>
        </is>
      </c>
      <c r="O250" s="2" t="inlineStr">
        <is>
          <t>20260618000129</t>
        </is>
      </c>
      <c r="P250" s="8">
        <f>HYPERLINK("https://dart.fss.or.kr/dsaf001/main.do?rcpNo=20260618000129", "공시열람")</f>
        <v/>
      </c>
    </row>
    <row r="251" ht="36" customHeight="1">
      <c r="A251" s="2" t="inlineStr">
        <is>
          <t>2026-06-18</t>
        </is>
      </c>
      <c r="B251" s="3" t="inlineStr">
        <is>
          <t>피에스텍</t>
        </is>
      </c>
      <c r="C251" s="2" t="inlineStr">
        <is>
          <t>코스닥</t>
        </is>
      </c>
      <c r="D251" s="2" t="inlineStr">
        <is>
          <t>002230</t>
        </is>
      </c>
      <c r="E251" s="7" t="inlineStr">
        <is>
          <t xml:space="preserve">주식소각결정              </t>
        </is>
      </c>
      <c r="F251" s="2" t="inlineStr">
        <is>
          <t>자기주식소각결정</t>
        </is>
      </c>
      <c r="G251" s="5" t="n">
        <v>1623067500</v>
      </c>
      <c r="H251" s="6" t="n">
        <v>284250</v>
      </c>
      <c r="I251" s="3" t="inlineStr">
        <is>
          <t>기취득 자기주식</t>
        </is>
      </c>
      <c r="J251" s="2" t="inlineStr">
        <is>
          <t>-</t>
        </is>
      </c>
      <c r="K251" s="2" t="inlineStr">
        <is>
          <t>-</t>
        </is>
      </c>
      <c r="L251" s="2" t="inlineStr">
        <is>
          <t>2026-06-30</t>
        </is>
      </c>
      <c r="M251" s="7" t="inlineStr">
        <is>
          <t>-</t>
        </is>
      </c>
      <c r="N251" s="7" t="inlineStr">
        <is>
          <t>주주가치 제고 및 주식소각</t>
        </is>
      </c>
      <c r="O251" s="2" t="inlineStr">
        <is>
          <t>20260618900200</t>
        </is>
      </c>
      <c r="P251" s="8">
        <f>HYPERLINK("https://dart.fss.or.kr/dsaf001/main.do?rcpNo=20260618900200", "공시열람")</f>
        <v/>
      </c>
    </row>
    <row r="252" ht="36" customHeight="1">
      <c r="A252" s="2" t="inlineStr">
        <is>
          <t>2026-06-18</t>
        </is>
      </c>
      <c r="B252" s="3" t="inlineStr">
        <is>
          <t>삼화네트웍스</t>
        </is>
      </c>
      <c r="C252" s="2" t="inlineStr">
        <is>
          <t>코스닥</t>
        </is>
      </c>
      <c r="D252" s="2" t="inlineStr">
        <is>
          <t>046390</t>
        </is>
      </c>
      <c r="E252" s="7" t="inlineStr">
        <is>
          <t>주요사항보고서(자기주식취득신탁계약체결결정)</t>
        </is>
      </c>
      <c r="F252" s="2" t="inlineStr">
        <is>
          <t>신탁계약체결결정</t>
        </is>
      </c>
      <c r="G252" s="5" t="n">
        <v>2000000000</v>
      </c>
      <c r="H252" s="6" t="n">
        <v>1333333</v>
      </c>
      <c r="I252" s="3" t="inlineStr">
        <is>
          <t>비고</t>
        </is>
      </c>
      <c r="J252" s="2" t="inlineStr">
        <is>
          <t>2026-06-19</t>
        </is>
      </c>
      <c r="K252" s="2" t="inlineStr">
        <is>
          <t>2026-12-18</t>
        </is>
      </c>
      <c r="L252" s="2" t="inlineStr">
        <is>
          <t>-</t>
        </is>
      </c>
      <c r="M252" s="7" t="inlineStr">
        <is>
          <t>NH투자증권</t>
        </is>
      </c>
      <c r="N252" s="7" t="inlineStr">
        <is>
          <t>주가안정 및 주주가치 제고</t>
        </is>
      </c>
      <c r="O252" s="2" t="inlineStr">
        <is>
          <t>20260618000072</t>
        </is>
      </c>
      <c r="P252" s="8">
        <f>HYPERLINK("https://dart.fss.or.kr/dsaf001/main.do?rcpNo=20260618000072", "공시열람")</f>
        <v/>
      </c>
    </row>
    <row r="253" ht="36" customHeight="1">
      <c r="A253" s="2" t="inlineStr">
        <is>
          <t>2026-06-18</t>
        </is>
      </c>
      <c r="B253" s="3" t="inlineStr">
        <is>
          <t>원텍</t>
        </is>
      </c>
      <c r="C253" s="2" t="inlineStr">
        <is>
          <t>코스닥</t>
        </is>
      </c>
      <c r="D253" s="2" t="inlineStr">
        <is>
          <t>336570</t>
        </is>
      </c>
      <c r="E253" s="7" t="inlineStr">
        <is>
          <t xml:space="preserve">주식소각결정              </t>
        </is>
      </c>
      <c r="F253" s="2" t="inlineStr">
        <is>
          <t>자기주식소각결정</t>
        </is>
      </c>
      <c r="G253" s="5" t="n">
        <v>2267829232</v>
      </c>
      <c r="H253" s="6" t="n">
        <v>300000</v>
      </c>
      <c r="I253" s="3" t="inlineStr">
        <is>
          <t>기취득 자기주식</t>
        </is>
      </c>
      <c r="J253" s="2" t="inlineStr">
        <is>
          <t>-</t>
        </is>
      </c>
      <c r="K253" s="2" t="inlineStr">
        <is>
          <t>-</t>
        </is>
      </c>
      <c r="L253" s="2" t="inlineStr">
        <is>
          <t>2026-06-30</t>
        </is>
      </c>
      <c r="M253" s="7" t="inlineStr">
        <is>
          <t>-</t>
        </is>
      </c>
      <c r="N253" s="7" t="inlineStr">
        <is>
          <t>주주가치 제고 및 주식소각</t>
        </is>
      </c>
      <c r="O253" s="2" t="inlineStr">
        <is>
          <t>20260618900115</t>
        </is>
      </c>
      <c r="P253" s="8">
        <f>HYPERLINK("https://dart.fss.or.kr/dsaf001/main.do?rcpNo=20260618900115", "공시열람")</f>
        <v/>
      </c>
    </row>
    <row r="254" ht="36" customHeight="1">
      <c r="A254" s="2" t="inlineStr">
        <is>
          <t>2026-06-19</t>
        </is>
      </c>
      <c r="B254" s="3" t="inlineStr">
        <is>
          <t>대신증권</t>
        </is>
      </c>
      <c r="C254" s="2" t="inlineStr">
        <is>
          <t>코스피</t>
        </is>
      </c>
      <c r="D254" s="2" t="inlineStr">
        <is>
          <t>003540</t>
        </is>
      </c>
      <c r="E254" s="7" t="inlineStr">
        <is>
          <t xml:space="preserve">주식소각결정              </t>
        </is>
      </c>
      <c r="F254" s="2" t="inlineStr">
        <is>
          <t>자기주식소각결정</t>
        </is>
      </c>
      <c r="G254" s="5" t="n">
        <v>66496435400</v>
      </c>
      <c r="H254" s="6" t="n">
        <v>1553637</v>
      </c>
      <c r="I254" s="3" t="inlineStr">
        <is>
          <t>기취득 자기주식</t>
        </is>
      </c>
      <c r="J254" s="2" t="inlineStr">
        <is>
          <t>-</t>
        </is>
      </c>
      <c r="K254" s="2" t="inlineStr">
        <is>
          <t>-</t>
        </is>
      </c>
      <c r="L254" s="2" t="inlineStr">
        <is>
          <t>2026-06-29</t>
        </is>
      </c>
      <c r="M254" s="7" t="inlineStr">
        <is>
          <t>-</t>
        </is>
      </c>
      <c r="N254" s="7" t="inlineStr">
        <is>
          <t>주주가치 제고 및 주식소각</t>
        </is>
      </c>
      <c r="O254" s="2" t="inlineStr">
        <is>
          <t>20260619800826</t>
        </is>
      </c>
      <c r="P254" s="8">
        <f>HYPERLINK("https://dart.fss.or.kr/dsaf001/main.do?rcpNo=20260619800826", "공시열람")</f>
        <v/>
      </c>
    </row>
    <row r="255" ht="36" customHeight="1">
      <c r="A255" s="2" t="inlineStr">
        <is>
          <t>2026-06-19</t>
        </is>
      </c>
      <c r="B255" s="3" t="inlineStr">
        <is>
          <t>쇼박스</t>
        </is>
      </c>
      <c r="C255" s="2" t="inlineStr">
        <is>
          <t>코스닥</t>
        </is>
      </c>
      <c r="D255" s="2" t="inlineStr">
        <is>
          <t>086980</t>
        </is>
      </c>
      <c r="E255" s="7" t="inlineStr">
        <is>
          <t xml:space="preserve">주식소각결정              </t>
        </is>
      </c>
      <c r="F255" s="2" t="inlineStr">
        <is>
          <t>자기주식소각결정</t>
        </is>
      </c>
      <c r="G255" s="5" t="n">
        <v>483000000</v>
      </c>
      <c r="H255" s="6" t="n">
        <v>200000</v>
      </c>
      <c r="I255" s="3" t="inlineStr">
        <is>
          <t>기취득 자기주식</t>
        </is>
      </c>
      <c r="J255" s="2" t="inlineStr">
        <is>
          <t>-</t>
        </is>
      </c>
      <c r="K255" s="2" t="inlineStr">
        <is>
          <t>-</t>
        </is>
      </c>
      <c r="L255" s="2" t="inlineStr">
        <is>
          <t>2026-06-30</t>
        </is>
      </c>
      <c r="M255" s="7" t="inlineStr">
        <is>
          <t>-</t>
        </is>
      </c>
      <c r="N255" s="7" t="inlineStr">
        <is>
          <t>주주가치 제고 및 주식소각</t>
        </is>
      </c>
      <c r="O255" s="2" t="inlineStr">
        <is>
          <t>20260619900557</t>
        </is>
      </c>
      <c r="P255" s="8">
        <f>HYPERLINK("https://dart.fss.or.kr/dsaf001/main.do?rcpNo=20260619900557", "공시열람")</f>
        <v/>
      </c>
    </row>
    <row r="256" ht="36" customHeight="1">
      <c r="A256" s="2" t="inlineStr">
        <is>
          <t>2026-06-19</t>
        </is>
      </c>
      <c r="B256" s="3" t="inlineStr">
        <is>
          <t>코디</t>
        </is>
      </c>
      <c r="C256" s="2" t="inlineStr">
        <is>
          <t>코스닥</t>
        </is>
      </c>
      <c r="D256" s="2" t="inlineStr">
        <is>
          <t>080530</t>
        </is>
      </c>
      <c r="E256" s="7" t="inlineStr">
        <is>
          <t xml:space="preserve">주식소각결정              </t>
        </is>
      </c>
      <c r="F256" s="2" t="inlineStr">
        <is>
          <t>자기주식소각결정</t>
        </is>
      </c>
      <c r="G256" s="5" t="n">
        <v>724098944</v>
      </c>
      <c r="H256" s="6" t="n">
        <v>30491</v>
      </c>
      <c r="I256" s="3" t="inlineStr">
        <is>
          <t>기취득 자기주식</t>
        </is>
      </c>
      <c r="J256" s="2" t="inlineStr">
        <is>
          <t>-</t>
        </is>
      </c>
      <c r="K256" s="2" t="inlineStr">
        <is>
          <t>-</t>
        </is>
      </c>
      <c r="L256" s="2" t="inlineStr">
        <is>
          <t>2026-06-26</t>
        </is>
      </c>
      <c r="M256" s="7" t="inlineStr">
        <is>
          <t>-</t>
        </is>
      </c>
      <c r="N256" s="7" t="inlineStr">
        <is>
          <t>주주가치 제고 및 주식소각</t>
        </is>
      </c>
      <c r="O256" s="2" t="inlineStr">
        <is>
          <t>20260619900514</t>
        </is>
      </c>
      <c r="P256" s="8">
        <f>HYPERLINK("https://dart.fss.or.kr/dsaf001/main.do?rcpNo=20260619900514", "공시열람")</f>
        <v/>
      </c>
    </row>
    <row r="257" ht="36" customHeight="1">
      <c r="A257" s="2" t="inlineStr">
        <is>
          <t>2026-06-19</t>
        </is>
      </c>
      <c r="B257" s="3" t="inlineStr">
        <is>
          <t>한솔케미칼</t>
        </is>
      </c>
      <c r="C257" s="2" t="inlineStr">
        <is>
          <t>코스피</t>
        </is>
      </c>
      <c r="D257" s="2" t="inlineStr">
        <is>
          <t>014680</t>
        </is>
      </c>
      <c r="E257" s="7" t="inlineStr">
        <is>
          <t xml:space="preserve">주식소각결정              </t>
        </is>
      </c>
      <c r="F257" s="2" t="inlineStr">
        <is>
          <t>자기주식소각결정</t>
        </is>
      </c>
      <c r="G257" s="5" t="n">
        <v>60040358270</v>
      </c>
      <c r="H257" s="6" t="n">
        <v>218863</v>
      </c>
      <c r="I257" s="3" t="inlineStr">
        <is>
          <t>기취득 자기주식</t>
        </is>
      </c>
      <c r="J257" s="2" t="inlineStr">
        <is>
          <t>-</t>
        </is>
      </c>
      <c r="K257" s="2" t="inlineStr">
        <is>
          <t>-</t>
        </is>
      </c>
      <c r="L257" s="2" t="inlineStr">
        <is>
          <t>2026-06-26</t>
        </is>
      </c>
      <c r="M257" s="7" t="inlineStr">
        <is>
          <t>-</t>
        </is>
      </c>
      <c r="N257" s="7" t="inlineStr">
        <is>
          <t>주주가치 제고 및 주식소각</t>
        </is>
      </c>
      <c r="O257" s="2" t="inlineStr">
        <is>
          <t>20260619800508</t>
        </is>
      </c>
      <c r="P257" s="8">
        <f>HYPERLINK("https://dart.fss.or.kr/dsaf001/main.do?rcpNo=20260619800508", "공시열람")</f>
        <v/>
      </c>
    </row>
    <row r="258" ht="36" customHeight="1">
      <c r="A258" s="2" t="inlineStr">
        <is>
          <t>2026-06-19</t>
        </is>
      </c>
      <c r="B258" s="3" t="inlineStr">
        <is>
          <t>엘디티</t>
        </is>
      </c>
      <c r="C258" s="2" t="inlineStr">
        <is>
          <t>코스닥</t>
        </is>
      </c>
      <c r="D258" s="2" t="inlineStr">
        <is>
          <t>096870</t>
        </is>
      </c>
      <c r="E258" s="7" t="inlineStr">
        <is>
          <t>주요사항보고서(자기주식취득결정)</t>
        </is>
      </c>
      <c r="F258" s="2" t="inlineStr">
        <is>
          <t>자기주식취득결정</t>
        </is>
      </c>
      <c r="G258" s="5" t="n">
        <v>1500000000</v>
      </c>
      <c r="H258" s="6" t="n">
        <v>851788</v>
      </c>
      <c r="I258" s="3" t="inlineStr">
        <is>
          <t>비고</t>
        </is>
      </c>
      <c r="J258" s="2" t="inlineStr">
        <is>
          <t>2026-06-22</t>
        </is>
      </c>
      <c r="K258" s="2" t="inlineStr">
        <is>
          <t>2026-09-21</t>
        </is>
      </c>
      <c r="L258" s="2" t="inlineStr">
        <is>
          <t>-</t>
        </is>
      </c>
      <c r="M258" s="7" t="inlineStr">
        <is>
          <t>NH투자증권</t>
        </is>
      </c>
      <c r="N258" s="7" t="inlineStr">
        <is>
          <t>소각을 통한 주주가치 제고 및우수 인재 확보의 재원</t>
        </is>
      </c>
      <c r="O258" s="2" t="inlineStr">
        <is>
          <t>20260619000219</t>
        </is>
      </c>
      <c r="P258" s="8">
        <f>HYPERLINK("https://dart.fss.or.kr/dsaf001/main.do?rcpNo=20260619000219", "공시열람")</f>
        <v/>
      </c>
    </row>
    <row r="259" ht="36" customHeight="1">
      <c r="A259" s="2" t="inlineStr">
        <is>
          <t>2026-06-19</t>
        </is>
      </c>
      <c r="B259" s="3" t="inlineStr">
        <is>
          <t>재영솔루텍</t>
        </is>
      </c>
      <c r="C259" s="2" t="inlineStr">
        <is>
          <t>코스닥</t>
        </is>
      </c>
      <c r="D259" s="2" t="inlineStr">
        <is>
          <t>049630</t>
        </is>
      </c>
      <c r="E259" s="7" t="inlineStr">
        <is>
          <t xml:space="preserve">주식소각결정              </t>
        </is>
      </c>
      <c r="F259" s="2" t="inlineStr">
        <is>
          <t>자기주식소각결정</t>
        </is>
      </c>
      <c r="G259" s="5" t="n">
        <v>245778300</v>
      </c>
      <c r="H259" s="6" t="n">
        <v>14373</v>
      </c>
      <c r="I259" s="3" t="inlineStr">
        <is>
          <t>기취득 자기주식</t>
        </is>
      </c>
      <c r="J259" s="2" t="inlineStr">
        <is>
          <t>-</t>
        </is>
      </c>
      <c r="K259" s="2" t="inlineStr">
        <is>
          <t>-</t>
        </is>
      </c>
      <c r="L259" s="2" t="inlineStr">
        <is>
          <t>2026-07-03</t>
        </is>
      </c>
      <c r="M259" s="7" t="inlineStr">
        <is>
          <t>-</t>
        </is>
      </c>
      <c r="N259" s="7" t="inlineStr">
        <is>
          <t>주주가치 제고 및 주식소각</t>
        </is>
      </c>
      <c r="O259" s="2" t="inlineStr">
        <is>
          <t>20260619900449</t>
        </is>
      </c>
      <c r="P259" s="8">
        <f>HYPERLINK("https://dart.fss.or.kr/dsaf001/main.do?rcpNo=20260619900449", "공시열람")</f>
        <v/>
      </c>
    </row>
    <row r="260" ht="36" customHeight="1">
      <c r="A260" s="2" t="inlineStr">
        <is>
          <t>2026-06-22</t>
        </is>
      </c>
      <c r="B260" s="3" t="inlineStr">
        <is>
          <t>비트컴퓨터</t>
        </is>
      </c>
      <c r="C260" s="2" t="inlineStr">
        <is>
          <t>코스닥</t>
        </is>
      </c>
      <c r="D260" s="2" t="inlineStr">
        <is>
          <t>032850</t>
        </is>
      </c>
      <c r="E260" s="7" t="inlineStr">
        <is>
          <t>주요사항보고서(자기주식취득결정)</t>
        </is>
      </c>
      <c r="F260" s="2" t="inlineStr">
        <is>
          <t>자기주식취득결정</t>
        </is>
      </c>
      <c r="G260" s="5" t="n">
        <v>1000048500</v>
      </c>
      <c r="H260" s="6" t="n">
        <v>249700</v>
      </c>
      <c r="I260" s="3" t="inlineStr">
        <is>
          <t>비고</t>
        </is>
      </c>
      <c r="J260" s="2" t="inlineStr">
        <is>
          <t>2026-06-23</t>
        </is>
      </c>
      <c r="K260" s="2" t="inlineStr">
        <is>
          <t>2026-09-18</t>
        </is>
      </c>
      <c r="L260" s="2" t="inlineStr">
        <is>
          <t>-</t>
        </is>
      </c>
      <c r="M260" s="7" t="inlineStr">
        <is>
          <t>아이비케이(IBK)투자증권</t>
        </is>
      </c>
      <c r="N260" s="7" t="inlineStr">
        <is>
          <t>주가안정 및 주주가치 제고</t>
        </is>
      </c>
      <c r="O260" s="2" t="inlineStr">
        <is>
          <t>20260622000324</t>
        </is>
      </c>
      <c r="P260" s="8">
        <f>HYPERLINK("https://dart.fss.or.kr/dsaf001/main.do?rcpNo=20260622000324", "공시열람")</f>
        <v/>
      </c>
    </row>
    <row r="261" ht="36" customHeight="1">
      <c r="A261" s="2" t="inlineStr">
        <is>
          <t>2026-06-22</t>
        </is>
      </c>
      <c r="B261" s="3" t="inlineStr">
        <is>
          <t>태원물산</t>
        </is>
      </c>
      <c r="C261" s="2" t="inlineStr">
        <is>
          <t>코스피</t>
        </is>
      </c>
      <c r="D261" s="2" t="inlineStr">
        <is>
          <t>001420</t>
        </is>
      </c>
      <c r="E261" s="7" t="inlineStr">
        <is>
          <t>주요사항보고서(자기주식취득결정)</t>
        </is>
      </c>
      <c r="F261" s="2" t="inlineStr">
        <is>
          <t>자기주식취득결정</t>
        </is>
      </c>
      <c r="G261" s="5" t="n">
        <v>0</v>
      </c>
      <c r="H261" s="6" t="n">
        <v>329218</v>
      </c>
      <c r="I261" s="3" t="inlineStr">
        <is>
          <t>비고</t>
        </is>
      </c>
      <c r="J261" s="2" t="inlineStr">
        <is>
          <t>2026-06-23</t>
        </is>
      </c>
      <c r="K261" s="2" t="inlineStr">
        <is>
          <t>2026-09-22</t>
        </is>
      </c>
      <c r="L261" s="2" t="inlineStr">
        <is>
          <t>-</t>
        </is>
      </c>
      <c r="M261" s="7" t="inlineStr">
        <is>
          <t>NH투자증권(NH INVESTMENT &amp; SECURITIES CO.,LTD.)</t>
        </is>
      </c>
      <c r="N261" s="7" t="inlineStr">
        <is>
          <t>주식가격의 안정 및 주주가치 제고</t>
        </is>
      </c>
      <c r="O261" s="2" t="inlineStr">
        <is>
          <t>20260622000235</t>
        </is>
      </c>
      <c r="P261" s="8">
        <f>HYPERLINK("https://dart.fss.or.kr/dsaf001/main.do?rcpNo=20260622000235", "공시열람")</f>
        <v/>
      </c>
    </row>
    <row r="262" ht="36" customHeight="1">
      <c r="A262" s="2" t="inlineStr">
        <is>
          <t>2026-06-22</t>
        </is>
      </c>
      <c r="B262" s="3" t="inlineStr">
        <is>
          <t>크레버스</t>
        </is>
      </c>
      <c r="C262" s="2" t="inlineStr">
        <is>
          <t>코스닥</t>
        </is>
      </c>
      <c r="D262" s="2" t="inlineStr">
        <is>
          <t>096240</t>
        </is>
      </c>
      <c r="E262" s="7" t="inlineStr">
        <is>
          <t xml:space="preserve">주식소각결정              </t>
        </is>
      </c>
      <c r="F262" s="2" t="inlineStr">
        <is>
          <t>자기주식소각결정</t>
        </is>
      </c>
      <c r="G262" s="5" t="n">
        <v>12160500000</v>
      </c>
      <c r="H262" s="6" t="n">
        <v>500000</v>
      </c>
      <c r="I262" s="3" t="inlineStr">
        <is>
          <t>기취득 자기주식</t>
        </is>
      </c>
      <c r="J262" s="2" t="inlineStr">
        <is>
          <t>-</t>
        </is>
      </c>
      <c r="K262" s="2" t="inlineStr">
        <is>
          <t>-</t>
        </is>
      </c>
      <c r="L262" s="2" t="inlineStr">
        <is>
          <t>2026-06-29</t>
        </is>
      </c>
      <c r="M262" s="7" t="inlineStr">
        <is>
          <t>-</t>
        </is>
      </c>
      <c r="N262" s="7" t="inlineStr">
        <is>
          <t>주주가치 제고 및 주식소각</t>
        </is>
      </c>
      <c r="O262" s="2" t="inlineStr">
        <is>
          <t>20260622900494</t>
        </is>
      </c>
      <c r="P262" s="8">
        <f>HYPERLINK("https://dart.fss.or.kr/dsaf001/main.do?rcpNo=20260622900494", "공시열람")</f>
        <v/>
      </c>
    </row>
    <row r="263" ht="36" customHeight="1">
      <c r="A263" s="2" t="inlineStr">
        <is>
          <t>2026-06-22</t>
        </is>
      </c>
      <c r="B263" s="3" t="inlineStr">
        <is>
          <t>인포바인</t>
        </is>
      </c>
      <c r="C263" s="2" t="inlineStr">
        <is>
          <t>코스닥</t>
        </is>
      </c>
      <c r="D263" s="2" t="inlineStr">
        <is>
          <t>115310</t>
        </is>
      </c>
      <c r="E263" s="7" t="inlineStr">
        <is>
          <t xml:space="preserve">주식소각결정              </t>
        </is>
      </c>
      <c r="F263" s="2" t="inlineStr">
        <is>
          <t>자기주식소각결정</t>
        </is>
      </c>
      <c r="G263" s="5" t="n">
        <v>6401825766</v>
      </c>
      <c r="H263" s="6" t="n">
        <v>1132866</v>
      </c>
      <c r="I263" s="3" t="inlineStr">
        <is>
          <t>기취득 자기주식</t>
        </is>
      </c>
      <c r="J263" s="2" t="inlineStr">
        <is>
          <t>-</t>
        </is>
      </c>
      <c r="K263" s="2" t="inlineStr">
        <is>
          <t>-</t>
        </is>
      </c>
      <c r="L263" s="2" t="inlineStr">
        <is>
          <t>2026-06-30</t>
        </is>
      </c>
      <c r="M263" s="7" t="inlineStr">
        <is>
          <t>-</t>
        </is>
      </c>
      <c r="N263" s="7" t="inlineStr">
        <is>
          <t>주주가치 제고 및 주식소각</t>
        </is>
      </c>
      <c r="O263" s="2" t="inlineStr">
        <is>
          <t>20260622900477</t>
        </is>
      </c>
      <c r="P263" s="8">
        <f>HYPERLINK("https://dart.fss.or.kr/dsaf001/main.do?rcpNo=20260622900477", "공시열람")</f>
        <v/>
      </c>
    </row>
    <row r="264" ht="36" customHeight="1">
      <c r="A264" s="2" t="inlineStr">
        <is>
          <t>2026-06-22</t>
        </is>
      </c>
      <c r="B264" s="3" t="inlineStr">
        <is>
          <t>알티캐스트</t>
        </is>
      </c>
      <c r="C264" s="2" t="inlineStr">
        <is>
          <t>코스닥</t>
        </is>
      </c>
      <c r="D264" s="2" t="inlineStr">
        <is>
          <t>085810</t>
        </is>
      </c>
      <c r="E264" s="7" t="inlineStr">
        <is>
          <t xml:space="preserve">주식소각결정              </t>
        </is>
      </c>
      <c r="F264" s="2" t="inlineStr">
        <is>
          <t>자기주식소각결정</t>
        </is>
      </c>
      <c r="G264" s="5" t="n">
        <v>628555479</v>
      </c>
      <c r="H264" s="6" t="n">
        <v>157438</v>
      </c>
      <c r="I264" s="3" t="inlineStr">
        <is>
          <t>기취득 자기주식</t>
        </is>
      </c>
      <c r="J264" s="2" t="inlineStr">
        <is>
          <t>-</t>
        </is>
      </c>
      <c r="K264" s="2" t="inlineStr">
        <is>
          <t>-</t>
        </is>
      </c>
      <c r="L264" s="2" t="inlineStr">
        <is>
          <t>2026-06-30</t>
        </is>
      </c>
      <c r="M264" s="7" t="inlineStr">
        <is>
          <t>-</t>
        </is>
      </c>
      <c r="N264" s="7" t="inlineStr">
        <is>
          <t>주주가치 제고 및 주식소각</t>
        </is>
      </c>
      <c r="O264" s="2" t="inlineStr">
        <is>
          <t>20260622900380</t>
        </is>
      </c>
      <c r="P264" s="8">
        <f>HYPERLINK("https://dart.fss.or.kr/dsaf001/main.do?rcpNo=20260622900380", "공시열람")</f>
        <v/>
      </c>
    </row>
    <row r="265" ht="36" customHeight="1">
      <c r="A265" s="2" t="inlineStr">
        <is>
          <t>2026-06-22</t>
        </is>
      </c>
      <c r="B265" s="3" t="inlineStr">
        <is>
          <t>유니드비티플러스</t>
        </is>
      </c>
      <c r="C265" s="2" t="inlineStr">
        <is>
          <t>코스피</t>
        </is>
      </c>
      <c r="D265" s="2" t="inlineStr">
        <is>
          <t>446070</t>
        </is>
      </c>
      <c r="E265" s="7" t="inlineStr">
        <is>
          <t>주요사항보고서(자기주식취득신탁계약체결결정)</t>
        </is>
      </c>
      <c r="F265" s="2" t="inlineStr">
        <is>
          <t>신탁계약체결결정</t>
        </is>
      </c>
      <c r="G265" s="5" t="n">
        <v>7500000000</v>
      </c>
      <c r="H265" s="6" t="n">
        <v>3303964</v>
      </c>
      <c r="I265" s="3" t="inlineStr">
        <is>
          <t>비고</t>
        </is>
      </c>
      <c r="J265" s="2" t="inlineStr">
        <is>
          <t>2026-06-22</t>
        </is>
      </c>
      <c r="K265" s="2" t="inlineStr">
        <is>
          <t>2026-12-22</t>
        </is>
      </c>
      <c r="L265" s="2" t="inlineStr">
        <is>
          <t>-</t>
        </is>
      </c>
      <c r="M265" s="7" t="inlineStr">
        <is>
          <t>삼성증권(SAMSUNG SECURITIES)</t>
        </is>
      </c>
      <c r="N265" s="7" t="inlineStr">
        <is>
          <t>주가 안정을 통한 주주가치 제고</t>
        </is>
      </c>
      <c r="O265" s="2" t="inlineStr">
        <is>
          <t>20260622000157</t>
        </is>
      </c>
      <c r="P265" s="8">
        <f>HYPERLINK("https://dart.fss.or.kr/dsaf001/main.do?rcpNo=20260622000157", "공시열람")</f>
        <v/>
      </c>
    </row>
    <row r="266" ht="36" customHeight="1">
      <c r="A266" s="2" t="inlineStr">
        <is>
          <t>2026-06-22</t>
        </is>
      </c>
      <c r="B266" s="3" t="inlineStr">
        <is>
          <t>동양이엔피</t>
        </is>
      </c>
      <c r="C266" s="2" t="inlineStr">
        <is>
          <t>코스닥</t>
        </is>
      </c>
      <c r="D266" s="2" t="inlineStr">
        <is>
          <t>079960</t>
        </is>
      </c>
      <c r="E266" s="7" t="inlineStr">
        <is>
          <t xml:space="preserve">주식소각결정              </t>
        </is>
      </c>
      <c r="F266" s="2" t="inlineStr">
        <is>
          <t>자기주식소각결정</t>
        </is>
      </c>
      <c r="G266" s="5" t="n">
        <v>5999067805</v>
      </c>
      <c r="H266" s="6" t="n">
        <v>308342</v>
      </c>
      <c r="I266" s="3" t="inlineStr">
        <is>
          <t>기취득 자기주식</t>
        </is>
      </c>
      <c r="J266" s="2" t="inlineStr">
        <is>
          <t>-</t>
        </is>
      </c>
      <c r="K266" s="2" t="inlineStr">
        <is>
          <t>-</t>
        </is>
      </c>
      <c r="L266" s="2" t="inlineStr">
        <is>
          <t>2026-06-30</t>
        </is>
      </c>
      <c r="M266" s="7" t="inlineStr">
        <is>
          <t>-</t>
        </is>
      </c>
      <c r="N266" s="7" t="inlineStr">
        <is>
          <t>주주가치 제고 및 주식소각</t>
        </is>
      </c>
      <c r="O266" s="2" t="inlineStr">
        <is>
          <t>20260622900303</t>
        </is>
      </c>
      <c r="P266" s="8">
        <f>HYPERLINK("https://dart.fss.or.kr/dsaf001/main.do?rcpNo=20260622900303", "공시열람")</f>
        <v/>
      </c>
    </row>
    <row r="267" ht="36" customHeight="1">
      <c r="A267" s="2" t="inlineStr">
        <is>
          <t>2026-06-22</t>
        </is>
      </c>
      <c r="B267" s="3" t="inlineStr">
        <is>
          <t>원텍</t>
        </is>
      </c>
      <c r="C267" s="2" t="inlineStr">
        <is>
          <t>코스닥</t>
        </is>
      </c>
      <c r="D267" s="2" t="inlineStr">
        <is>
          <t>336570</t>
        </is>
      </c>
      <c r="E267" s="7" t="inlineStr">
        <is>
          <t>주요사항보고서(자기주식취득신탁계약체결결정)</t>
        </is>
      </c>
      <c r="F267" s="2" t="inlineStr">
        <is>
          <t>신탁계약체결결정</t>
        </is>
      </c>
      <c r="G267" s="5" t="n">
        <v>5000000000</v>
      </c>
      <c r="H267" s="6" t="n">
        <v>851788</v>
      </c>
      <c r="I267" s="3" t="inlineStr">
        <is>
          <t>비고</t>
        </is>
      </c>
      <c r="J267" s="2" t="inlineStr">
        <is>
          <t>2026-06-22</t>
        </is>
      </c>
      <c r="K267" s="2" t="inlineStr">
        <is>
          <t>2026-12-22</t>
        </is>
      </c>
      <c r="L267" s="2" t="inlineStr">
        <is>
          <t>-</t>
        </is>
      </c>
      <c r="M267" s="7" t="inlineStr">
        <is>
          <t>삼성증권(Samsung Securities)</t>
        </is>
      </c>
      <c r="N267" s="7" t="inlineStr">
        <is>
          <t>주가 안정, 임직원 보상, 주주가치 제고</t>
        </is>
      </c>
      <c r="O267" s="2" t="inlineStr">
        <is>
          <t>20260622000092</t>
        </is>
      </c>
      <c r="P267" s="8">
        <f>HYPERLINK("https://dart.fss.or.kr/dsaf001/main.do?rcpNo=20260622000092", "공시열람")</f>
        <v/>
      </c>
    </row>
    <row r="268" ht="36" customHeight="1">
      <c r="A268" s="2" t="inlineStr">
        <is>
          <t>2026-06-22 (정정: 2026-06-22)</t>
        </is>
      </c>
      <c r="B268" s="3" t="inlineStr">
        <is>
          <t>정원엔시스</t>
        </is>
      </c>
      <c r="C268" s="2" t="inlineStr">
        <is>
          <t>코스닥</t>
        </is>
      </c>
      <c r="D268" s="2" t="inlineStr">
        <is>
          <t>045510</t>
        </is>
      </c>
      <c r="E268" s="7" t="inlineStr">
        <is>
          <t xml:space="preserve">[기재정정]주식소각결정              </t>
        </is>
      </c>
      <c r="F268" s="2" t="inlineStr">
        <is>
          <t>자기주식소각결정</t>
        </is>
      </c>
      <c r="G268" s="5" t="n">
        <v>1436191020</v>
      </c>
      <c r="H268" s="6" t="n">
        <v>729335</v>
      </c>
      <c r="I268" s="3" t="inlineStr">
        <is>
          <t>기취득 자기주식</t>
        </is>
      </c>
      <c r="J268" s="2" t="inlineStr">
        <is>
          <t>-</t>
        </is>
      </c>
      <c r="K268" s="2" t="inlineStr">
        <is>
          <t>-</t>
        </is>
      </c>
      <c r="L268" s="2" t="inlineStr">
        <is>
          <t>2026-06-29</t>
        </is>
      </c>
      <c r="M268" s="7" t="inlineStr">
        <is>
          <t>-</t>
        </is>
      </c>
      <c r="N268" s="7" t="inlineStr">
        <is>
          <t>주주가치 제고 및 주식소각</t>
        </is>
      </c>
      <c r="O268" s="2" t="inlineStr">
        <is>
          <t>20260622900281</t>
        </is>
      </c>
      <c r="P268" s="8">
        <f>HYPERLINK("https://dart.fss.or.kr/dsaf001/main.do?rcpNo=20260622900281", "공시열람")</f>
        <v/>
      </c>
    </row>
    <row r="269" ht="36" customHeight="1">
      <c r="A269" s="2" t="inlineStr">
        <is>
          <t>2026-06-22</t>
        </is>
      </c>
      <c r="B269" s="3" t="inlineStr">
        <is>
          <t>정원엔시스</t>
        </is>
      </c>
      <c r="C269" s="2" t="inlineStr">
        <is>
          <t>코스닥</t>
        </is>
      </c>
      <c r="D269" s="2" t="inlineStr">
        <is>
          <t>045510</t>
        </is>
      </c>
      <c r="E269" s="7" t="inlineStr">
        <is>
          <t xml:space="preserve">주식소각결정              </t>
        </is>
      </c>
      <c r="F269" s="2" t="inlineStr">
        <is>
          <t>자기주식소각결정</t>
        </is>
      </c>
      <c r="G269" s="5" t="n">
        <v>1436191020</v>
      </c>
      <c r="H269" s="6" t="n">
        <v>729335</v>
      </c>
      <c r="I269" s="3" t="inlineStr">
        <is>
          <t>기취득 자기주식</t>
        </is>
      </c>
      <c r="J269" s="2" t="inlineStr">
        <is>
          <t>-</t>
        </is>
      </c>
      <c r="K269" s="2" t="inlineStr">
        <is>
          <t>-</t>
        </is>
      </c>
      <c r="L269" s="2" t="inlineStr">
        <is>
          <t>2026-06-29</t>
        </is>
      </c>
      <c r="M269" s="7" t="inlineStr">
        <is>
          <t>-</t>
        </is>
      </c>
      <c r="N269" s="7" t="inlineStr">
        <is>
          <t>주주가치 제고 및 주식소각</t>
        </is>
      </c>
      <c r="O269" s="2" t="inlineStr">
        <is>
          <t>20260622900246</t>
        </is>
      </c>
      <c r="P269" s="8">
        <f>HYPERLINK("https://dart.fss.or.kr/dsaf001/main.do?rcpNo=20260622900246", "공시열람")</f>
        <v/>
      </c>
    </row>
    <row r="270" ht="36" customHeight="1">
      <c r="A270" s="2" t="inlineStr">
        <is>
          <t>2026-06-23</t>
        </is>
      </c>
      <c r="B270" s="3" t="inlineStr">
        <is>
          <t>백산</t>
        </is>
      </c>
      <c r="C270" s="2" t="inlineStr">
        <is>
          <t>코스피</t>
        </is>
      </c>
      <c r="D270" s="2" t="inlineStr">
        <is>
          <t>035150</t>
        </is>
      </c>
      <c r="E270" s="7" t="inlineStr">
        <is>
          <t xml:space="preserve">주식소각결정              </t>
        </is>
      </c>
      <c r="F270" s="2" t="inlineStr">
        <is>
          <t>자기주식소각결정</t>
        </is>
      </c>
      <c r="G270" s="5" t="n">
        <v>2759997700</v>
      </c>
      <c r="H270" s="6" t="n">
        <v>257762</v>
      </c>
      <c r="I270" s="3" t="inlineStr">
        <is>
          <t>기취득 자기주식</t>
        </is>
      </c>
      <c r="J270" s="2" t="inlineStr">
        <is>
          <t>-</t>
        </is>
      </c>
      <c r="K270" s="2" t="inlineStr">
        <is>
          <t>-</t>
        </is>
      </c>
      <c r="L270" s="2" t="inlineStr">
        <is>
          <t>2026-06-30</t>
        </is>
      </c>
      <c r="M270" s="7" t="inlineStr">
        <is>
          <t>-</t>
        </is>
      </c>
      <c r="N270" s="7" t="inlineStr">
        <is>
          <t>주주가치 제고 및 주식소각</t>
        </is>
      </c>
      <c r="O270" s="2" t="inlineStr">
        <is>
          <t>20260623800463</t>
        </is>
      </c>
      <c r="P270" s="8">
        <f>HYPERLINK("https://dart.fss.or.kr/dsaf001/main.do?rcpNo=20260623800463", "공시열람")</f>
        <v/>
      </c>
    </row>
    <row r="271" ht="36" customHeight="1">
      <c r="A271" s="2" t="inlineStr">
        <is>
          <t>2026-06-23</t>
        </is>
      </c>
      <c r="B271" s="3" t="inlineStr">
        <is>
          <t>감성코퍼레이션</t>
        </is>
      </c>
      <c r="C271" s="2" t="inlineStr">
        <is>
          <t>코스닥</t>
        </is>
      </c>
      <c r="D271" s="2" t="inlineStr">
        <is>
          <t>036620</t>
        </is>
      </c>
      <c r="E271" s="7" t="inlineStr">
        <is>
          <t>주요사항보고서(자기주식취득결정)</t>
        </is>
      </c>
      <c r="F271" s="2" t="inlineStr">
        <is>
          <t>자기주식취득결정</t>
        </is>
      </c>
      <c r="G271" s="5" t="n">
        <v>2500000000</v>
      </c>
      <c r="H271" s="6" t="n">
        <v>571428</v>
      </c>
      <c r="I271" s="3" t="inlineStr">
        <is>
          <t>비고</t>
        </is>
      </c>
      <c r="J271" s="2" t="inlineStr">
        <is>
          <t>2026-06-24</t>
        </is>
      </c>
      <c r="K271" s="2" t="inlineStr">
        <is>
          <t>2026-07-31</t>
        </is>
      </c>
      <c r="L271" s="2" t="inlineStr">
        <is>
          <t>-</t>
        </is>
      </c>
      <c r="M271" s="7" t="inlineStr">
        <is>
          <t>삼성증권</t>
        </is>
      </c>
      <c r="N271" s="7" t="inlineStr">
        <is>
          <t>주주가치 제고 계획에 따른 26년도 2차분 자기주식 취득</t>
        </is>
      </c>
      <c r="O271" s="2" t="inlineStr">
        <is>
          <t>20260623000188</t>
        </is>
      </c>
      <c r="P271" s="8">
        <f>HYPERLINK("https://dart.fss.or.kr/dsaf001/main.do?rcpNo=20260623000188", "공시열람")</f>
        <v/>
      </c>
    </row>
    <row r="272" ht="36" customHeight="1">
      <c r="A272" s="2" t="inlineStr">
        <is>
          <t>2026-02-06 (정정: 2026-06-23)</t>
        </is>
      </c>
      <c r="B272" s="3" t="inlineStr">
        <is>
          <t>iM금융지주</t>
        </is>
      </c>
      <c r="C272" s="2" t="inlineStr">
        <is>
          <t>코스피</t>
        </is>
      </c>
      <c r="D272" s="2" t="inlineStr">
        <is>
          <t>139130</t>
        </is>
      </c>
      <c r="E272" s="7" t="inlineStr">
        <is>
          <t xml:space="preserve">[기재정정]주식소각결정              </t>
        </is>
      </c>
      <c r="F272" s="2" t="inlineStr">
        <is>
          <t>자기주식소각결정</t>
        </is>
      </c>
      <c r="G272" s="5" t="n">
        <v>39999994620</v>
      </c>
      <c r="H272" s="6" t="n">
        <v>2261175</v>
      </c>
      <c r="I272" s="3" t="inlineStr">
        <is>
          <t>장내매수</t>
        </is>
      </c>
      <c r="J272" s="2" t="inlineStr">
        <is>
          <t>2026-02-23</t>
        </is>
      </c>
      <c r="K272" s="2" t="inlineStr">
        <is>
          <t>2026-06-23</t>
        </is>
      </c>
      <c r="L272" s="2" t="inlineStr">
        <is>
          <t>2026-06-29</t>
        </is>
      </c>
      <c r="M272" s="7" t="inlineStr">
        <is>
          <t>삼성증권</t>
        </is>
      </c>
      <c r="N272" s="7" t="inlineStr">
        <is>
          <t>주주가치 제고 및 주식소각</t>
        </is>
      </c>
      <c r="O272" s="2" t="inlineStr">
        <is>
          <t>20260623800289</t>
        </is>
      </c>
      <c r="P272" s="8">
        <f>HYPERLINK("https://dart.fss.or.kr/dsaf001/main.do?rcpNo=20260623800289", "공시열람")</f>
        <v/>
      </c>
    </row>
    <row r="273" ht="36" customHeight="1">
      <c r="A273" s="2" t="inlineStr">
        <is>
          <t>2026-06-23</t>
        </is>
      </c>
      <c r="B273" s="3" t="inlineStr">
        <is>
          <t>iM금융지주</t>
        </is>
      </c>
      <c r="C273" s="2" t="inlineStr">
        <is>
          <t>코스피</t>
        </is>
      </c>
      <c r="D273" s="2" t="inlineStr">
        <is>
          <t>139130</t>
        </is>
      </c>
      <c r="E273" s="7" t="inlineStr">
        <is>
          <t>주요사항보고서(자기주식취득신탁계약해지결정)</t>
        </is>
      </c>
      <c r="F273" s="2" t="inlineStr">
        <is>
          <t>신탁계약체결결정</t>
        </is>
      </c>
      <c r="G273" s="5" t="n">
        <v>40000000000</v>
      </c>
      <c r="H273" s="6" t="inlineStr"/>
      <c r="I273" s="3" t="inlineStr">
        <is>
          <t>비고</t>
        </is>
      </c>
      <c r="J273" s="2" t="inlineStr">
        <is>
          <t>2026-02-23</t>
        </is>
      </c>
      <c r="K273" s="2" t="inlineStr">
        <is>
          <t>2026-06-23</t>
        </is>
      </c>
      <c r="L273" s="2" t="inlineStr">
        <is>
          <t>-</t>
        </is>
      </c>
      <c r="M273" s="7" t="inlineStr">
        <is>
          <t>-</t>
        </is>
      </c>
      <c r="N273" s="7" t="inlineStr">
        <is>
          <t>신탁계약기간 만료</t>
        </is>
      </c>
      <c r="O273" s="2" t="inlineStr">
        <is>
          <t>20260623000139</t>
        </is>
      </c>
      <c r="P273" s="8">
        <f>HYPERLINK("https://dart.fss.or.kr/dsaf001/main.do?rcpNo=20260623000139", "공시열람")</f>
        <v/>
      </c>
    </row>
    <row r="274" ht="36" customHeight="1">
      <c r="A274" s="2" t="inlineStr">
        <is>
          <t>2026-06-23</t>
        </is>
      </c>
      <c r="B274" s="3" t="inlineStr">
        <is>
          <t>영화금속</t>
        </is>
      </c>
      <c r="C274" s="2" t="inlineStr">
        <is>
          <t>코스피</t>
        </is>
      </c>
      <c r="D274" s="2" t="inlineStr">
        <is>
          <t>012280</t>
        </is>
      </c>
      <c r="E274" s="7" t="inlineStr">
        <is>
          <t>주요사항보고서(자기주식취득신탁계약체결결정)</t>
        </is>
      </c>
      <c r="F274" s="2" t="inlineStr">
        <is>
          <t>신탁계약체결결정</t>
        </is>
      </c>
      <c r="G274" s="5" t="n">
        <v>1000000000</v>
      </c>
      <c r="H274" s="6" t="n">
        <v>1428571</v>
      </c>
      <c r="I274" s="3" t="inlineStr">
        <is>
          <t>비고</t>
        </is>
      </c>
      <c r="J274" s="2" t="inlineStr">
        <is>
          <t>2026-06-24</t>
        </is>
      </c>
      <c r="K274" s="2" t="inlineStr">
        <is>
          <t>2026-12-24</t>
        </is>
      </c>
      <c r="L274" s="2" t="inlineStr">
        <is>
          <t>-</t>
        </is>
      </c>
      <c r="M274" s="7" t="inlineStr">
        <is>
          <t>BNK 투자증권 ( BNK Securities co.,Ltd. )</t>
        </is>
      </c>
      <c r="N274" s="7" t="inlineStr">
        <is>
          <t>주식가격의 안정 및 기업이미지 제고</t>
        </is>
      </c>
      <c r="O274" s="2" t="inlineStr">
        <is>
          <t>20260623000084</t>
        </is>
      </c>
      <c r="P274" s="8">
        <f>HYPERLINK("https://dart.fss.or.kr/dsaf001/main.do?rcpNo=20260623000084", "공시열람")</f>
        <v/>
      </c>
    </row>
    <row r="275" ht="36" customHeight="1">
      <c r="A275" s="2" t="inlineStr">
        <is>
          <t>2026-06-23</t>
        </is>
      </c>
      <c r="B275" s="3" t="inlineStr">
        <is>
          <t>베셀</t>
        </is>
      </c>
      <c r="C275" s="2" t="inlineStr">
        <is>
          <t>코스닥</t>
        </is>
      </c>
      <c r="D275" s="2" t="inlineStr">
        <is>
          <t>177350</t>
        </is>
      </c>
      <c r="E275" s="7" t="inlineStr">
        <is>
          <t>주요사항보고서(자기주식취득신탁계약체결결정)</t>
        </is>
      </c>
      <c r="F275" s="2" t="inlineStr">
        <is>
          <t>신탁계약체결결정</t>
        </is>
      </c>
      <c r="G275" s="5" t="n">
        <v>1000000000</v>
      </c>
      <c r="H275" s="6" t="n">
        <v>1449275</v>
      </c>
      <c r="I275" s="3" t="inlineStr">
        <is>
          <t>비고</t>
        </is>
      </c>
      <c r="J275" s="2" t="inlineStr">
        <is>
          <t>2026-06-23</t>
        </is>
      </c>
      <c r="K275" s="2" t="inlineStr">
        <is>
          <t>2027-03-12</t>
        </is>
      </c>
      <c r="L275" s="2" t="inlineStr">
        <is>
          <t>-</t>
        </is>
      </c>
      <c r="M275" s="7" t="inlineStr">
        <is>
          <t>삼성증권주식회사(SAMSUNG SECURITIES CO.,LTD.)</t>
        </is>
      </c>
      <c r="N275" s="7" t="inlineStr">
        <is>
          <t>주가 안정 및 주주가치 제고1) 주주환원 정책의 일환으로 자기주식 취득 결정 2) 취득 주식으로 추후 현물 배당을 실시하여 실질적인 주주가치 제고 및 기업 신뢰도 회복 *현물 배당의 경우 2027년 3월 정기주주총회 안건 상정 후 진행시킬 계획</t>
        </is>
      </c>
      <c r="O275" s="2" t="inlineStr">
        <is>
          <t>20260623000051</t>
        </is>
      </c>
      <c r="P275" s="8">
        <f>HYPERLINK("https://dart.fss.or.kr/dsaf001/main.do?rcpNo=20260623000051", "공시열람")</f>
        <v/>
      </c>
    </row>
    <row r="276" ht="36" customHeight="1">
      <c r="A276" s="2" t="inlineStr">
        <is>
          <t>2026-06-24</t>
        </is>
      </c>
      <c r="B276" s="3" t="inlineStr">
        <is>
          <t>노머스</t>
        </is>
      </c>
      <c r="C276" s="2" t="inlineStr">
        <is>
          <t>코스닥</t>
        </is>
      </c>
      <c r="D276" s="2" t="inlineStr">
        <is>
          <t>473980</t>
        </is>
      </c>
      <c r="E276" s="7" t="inlineStr">
        <is>
          <t>주요사항보고서(자기주식취득신탁계약체결결정)</t>
        </is>
      </c>
      <c r="F276" s="2" t="inlineStr">
        <is>
          <t>신탁계약체결결정</t>
        </is>
      </c>
      <c r="G276" s="5" t="n">
        <v>1000000000</v>
      </c>
      <c r="H276" s="6" t="n">
        <v>99900</v>
      </c>
      <c r="I276" s="3" t="inlineStr">
        <is>
          <t>비고</t>
        </is>
      </c>
      <c r="J276" s="2" t="inlineStr">
        <is>
          <t>2026-06-25</t>
        </is>
      </c>
      <c r="K276" s="2" t="inlineStr">
        <is>
          <t>2026-12-31</t>
        </is>
      </c>
      <c r="L276" s="2" t="inlineStr">
        <is>
          <t>-</t>
        </is>
      </c>
      <c r="M276" s="7" t="inlineStr">
        <is>
          <t>삼성증권(주)(SAMSUNG SECURITIES CO.,LTD)</t>
        </is>
      </c>
      <c r="N276" s="7" t="inlineStr">
        <is>
          <t>주가안정 및 주주가치 제고</t>
        </is>
      </c>
      <c r="O276" s="2" t="inlineStr">
        <is>
          <t>20260624000491</t>
        </is>
      </c>
      <c r="P276" s="8">
        <f>HYPERLINK("https://dart.fss.or.kr/dsaf001/main.do?rcpNo=20260624000491", "공시열람")</f>
        <v/>
      </c>
    </row>
    <row r="277" ht="36" customHeight="1">
      <c r="A277" s="2" t="inlineStr">
        <is>
          <t>2026-06-24</t>
        </is>
      </c>
      <c r="B277" s="3" t="inlineStr">
        <is>
          <t>저스템</t>
        </is>
      </c>
      <c r="C277" s="2" t="inlineStr">
        <is>
          <t>코스닥</t>
        </is>
      </c>
      <c r="D277" s="2" t="inlineStr">
        <is>
          <t>417840</t>
        </is>
      </c>
      <c r="E277" s="7" t="inlineStr">
        <is>
          <t>주요사항보고서(자기주식취득결정)</t>
        </is>
      </c>
      <c r="F277" s="2" t="inlineStr">
        <is>
          <t>자기주식취득결정</t>
        </is>
      </c>
      <c r="G277" s="5" t="n">
        <v>1562400000</v>
      </c>
      <c r="H277" s="6" t="n">
        <v>126000</v>
      </c>
      <c r="I277" s="3" t="inlineStr">
        <is>
          <t>비고</t>
        </is>
      </c>
      <c r="J277" s="2" t="inlineStr">
        <is>
          <t>2026-06-25</t>
        </is>
      </c>
      <c r="K277" s="2" t="inlineStr">
        <is>
          <t>2026-09-24</t>
        </is>
      </c>
      <c r="L277" s="2" t="inlineStr">
        <is>
          <t>-</t>
        </is>
      </c>
      <c r="M277" s="7" t="inlineStr">
        <is>
          <t>유진투자증권(Eugene investment &amp; securities)</t>
        </is>
      </c>
      <c r="N277" s="7" t="inlineStr">
        <is>
          <t>주주가치 제고 및 임직원 성과보상 재원마련</t>
        </is>
      </c>
      <c r="O277" s="2" t="inlineStr">
        <is>
          <t>20260624000318</t>
        </is>
      </c>
      <c r="P277" s="8">
        <f>HYPERLINK("https://dart.fss.or.kr/dsaf001/main.do?rcpNo=20260624000318", "공시열람")</f>
        <v/>
      </c>
    </row>
    <row r="278" ht="36" customHeight="1">
      <c r="A278" s="2" t="inlineStr">
        <is>
          <t>2026-06-24</t>
        </is>
      </c>
      <c r="B278" s="3" t="inlineStr">
        <is>
          <t>마녀공장</t>
        </is>
      </c>
      <c r="C278" s="2" t="inlineStr">
        <is>
          <t>코스닥</t>
        </is>
      </c>
      <c r="D278" s="2" t="inlineStr">
        <is>
          <t>439090</t>
        </is>
      </c>
      <c r="E278" s="7" t="inlineStr">
        <is>
          <t>주요사항보고서(자기주식취득신탁계약체결결정)</t>
        </is>
      </c>
      <c r="F278" s="2" t="inlineStr">
        <is>
          <t>신탁계약체결결정</t>
        </is>
      </c>
      <c r="G278" s="5" t="n">
        <v>10000000000</v>
      </c>
      <c r="H278" s="6" t="n">
        <v>778816</v>
      </c>
      <c r="I278" s="3" t="inlineStr">
        <is>
          <t>비고</t>
        </is>
      </c>
      <c r="J278" s="2" t="inlineStr">
        <is>
          <t>2026-06-24</t>
        </is>
      </c>
      <c r="K278" s="2" t="inlineStr">
        <is>
          <t>2026-12-23</t>
        </is>
      </c>
      <c r="L278" s="2" t="inlineStr">
        <is>
          <t>-</t>
        </is>
      </c>
      <c r="M278" s="7" t="inlineStr">
        <is>
          <t>NH투자증권(NH INVESTMENT&amp;SECURITIES CO.,LTD.)</t>
        </is>
      </c>
      <c r="N278" s="7" t="inlineStr">
        <is>
          <t>주주 가치 제고 및 주가 안정</t>
        </is>
      </c>
      <c r="O278" s="2" t="inlineStr">
        <is>
          <t>20260624000284</t>
        </is>
      </c>
      <c r="P278" s="8">
        <f>HYPERLINK("https://dart.fss.or.kr/dsaf001/main.do?rcpNo=20260624000284", "공시열람")</f>
        <v/>
      </c>
    </row>
    <row r="279" ht="36" customHeight="1">
      <c r="A279" s="2" t="inlineStr">
        <is>
          <t>2026-06-24</t>
        </is>
      </c>
      <c r="B279" s="3" t="inlineStr">
        <is>
          <t>오스템</t>
        </is>
      </c>
      <c r="C279" s="2" t="inlineStr">
        <is>
          <t>코스닥</t>
        </is>
      </c>
      <c r="D279" s="2" t="inlineStr">
        <is>
          <t>031510</t>
        </is>
      </c>
      <c r="E279" s="7" t="inlineStr">
        <is>
          <t>주요사항보고서(자기주식취득신탁계약체결결정)</t>
        </is>
      </c>
      <c r="F279" s="2" t="inlineStr">
        <is>
          <t>신탁계약체결결정</t>
        </is>
      </c>
      <c r="G279" s="5" t="n">
        <v>3000000000</v>
      </c>
      <c r="H279" s="6" t="n">
        <v>3253796</v>
      </c>
      <c r="I279" s="3" t="inlineStr">
        <is>
          <t>비고</t>
        </is>
      </c>
      <c r="J279" s="2" t="inlineStr">
        <is>
          <t>2026-06-24</t>
        </is>
      </c>
      <c r="K279" s="2" t="inlineStr">
        <is>
          <t>2027-06-24</t>
        </is>
      </c>
      <c r="L279" s="2" t="inlineStr">
        <is>
          <t>-</t>
        </is>
      </c>
      <c r="M279" s="7" t="inlineStr">
        <is>
          <t>삼성증권(SAMSUNG SECURITIES Co. Ltd)</t>
        </is>
      </c>
      <c r="N279" s="7" t="inlineStr">
        <is>
          <t>주가안정 및 주주가치 제고</t>
        </is>
      </c>
      <c r="O279" s="2" t="inlineStr">
        <is>
          <t>20260624000190</t>
        </is>
      </c>
      <c r="P279" s="8">
        <f>HYPERLINK("https://dart.fss.or.kr/dsaf001/main.do?rcpNo=20260624000190", "공시열람")</f>
        <v/>
      </c>
    </row>
    <row r="280" ht="36" customHeight="1">
      <c r="A280" s="2" t="inlineStr">
        <is>
          <t>2026-06-24</t>
        </is>
      </c>
      <c r="B280" s="3" t="inlineStr">
        <is>
          <t>프럼파스트</t>
        </is>
      </c>
      <c r="C280" s="2" t="inlineStr">
        <is>
          <t>코스닥</t>
        </is>
      </c>
      <c r="D280" s="2" t="inlineStr">
        <is>
          <t>035200</t>
        </is>
      </c>
      <c r="E280" s="7" t="inlineStr">
        <is>
          <t>주요사항보고서(자기주식취득신탁계약체결결정)</t>
        </is>
      </c>
      <c r="F280" s="2" t="inlineStr">
        <is>
          <t>신탁계약체결결정</t>
        </is>
      </c>
      <c r="G280" s="5" t="n">
        <v>1000000000</v>
      </c>
      <c r="H280" s="6" t="n">
        <v>396825</v>
      </c>
      <c r="I280" s="3" t="inlineStr">
        <is>
          <t>비고</t>
        </is>
      </c>
      <c r="J280" s="2" t="inlineStr">
        <is>
          <t>2026-06-24</t>
        </is>
      </c>
      <c r="K280" s="2" t="inlineStr">
        <is>
          <t>2027-06-23</t>
        </is>
      </c>
      <c r="L280" s="2" t="inlineStr">
        <is>
          <t>-</t>
        </is>
      </c>
      <c r="M280" s="7" t="inlineStr">
        <is>
          <t>삼성증권</t>
        </is>
      </c>
      <c r="N280" s="7" t="inlineStr">
        <is>
          <t>주주가치 제고를 위한 소각목적</t>
        </is>
      </c>
      <c r="O280" s="2" t="inlineStr">
        <is>
          <t>20260624000220</t>
        </is>
      </c>
      <c r="P280" s="8">
        <f>HYPERLINK("https://dart.fss.or.kr/dsaf001/main.do?rcpNo=20260624000220", "공시열람")</f>
        <v/>
      </c>
    </row>
    <row r="281" ht="36" customHeight="1">
      <c r="A281" s="2" t="inlineStr">
        <is>
          <t>2026-06-24</t>
        </is>
      </c>
      <c r="B281" s="3" t="inlineStr">
        <is>
          <t>에스팀</t>
        </is>
      </c>
      <c r="C281" s="2" t="inlineStr">
        <is>
          <t>코스닥</t>
        </is>
      </c>
      <c r="D281" s="2" t="inlineStr">
        <is>
          <t>458350</t>
        </is>
      </c>
      <c r="E281" s="7" t="inlineStr">
        <is>
          <t>주요사항보고서(자기주식취득신탁계약체결결정)</t>
        </is>
      </c>
      <c r="F281" s="2" t="inlineStr">
        <is>
          <t>신탁계약체결결정</t>
        </is>
      </c>
      <c r="G281" s="5" t="n">
        <v>900000000</v>
      </c>
      <c r="H281" s="6" t="n">
        <v>238095</v>
      </c>
      <c r="I281" s="3" t="inlineStr">
        <is>
          <t>비고</t>
        </is>
      </c>
      <c r="J281" s="2" t="inlineStr">
        <is>
          <t>2026-06-25</t>
        </is>
      </c>
      <c r="K281" s="2" t="inlineStr">
        <is>
          <t>2026-12-24</t>
        </is>
      </c>
      <c r="L281" s="2" t="inlineStr">
        <is>
          <t>-</t>
        </is>
      </c>
      <c r="M281" s="7" t="inlineStr">
        <is>
          <t>한국투자증권(Korea Investment &amp; Securities Co., Ltd.)</t>
        </is>
      </c>
      <c r="N281" s="7" t="inlineStr">
        <is>
          <t>주주가치 제고 및 우수 인재 확보의 재원</t>
        </is>
      </c>
      <c r="O281" s="2" t="inlineStr">
        <is>
          <t>20260624000198</t>
        </is>
      </c>
      <c r="P281" s="8">
        <f>HYPERLINK("https://dart.fss.or.kr/dsaf001/main.do?rcpNo=20260624000198", "공시열람")</f>
        <v/>
      </c>
    </row>
    <row r="282" ht="36" customHeight="1">
      <c r="A282" s="2" t="inlineStr">
        <is>
          <t>2026-06-24</t>
        </is>
      </c>
      <c r="B282" s="3" t="inlineStr">
        <is>
          <t>이퓨쳐</t>
        </is>
      </c>
      <c r="C282" s="2" t="inlineStr">
        <is>
          <t>코스닥</t>
        </is>
      </c>
      <c r="D282" s="2" t="inlineStr">
        <is>
          <t>134060</t>
        </is>
      </c>
      <c r="E282" s="7" t="inlineStr">
        <is>
          <t>주요사항보고서(자기주식취득신탁계약체결결정)</t>
        </is>
      </c>
      <c r="F282" s="2" t="inlineStr">
        <is>
          <t>신탁계약체결결정</t>
        </is>
      </c>
      <c r="G282" s="5" t="n">
        <v>999607482</v>
      </c>
      <c r="H282" s="6" t="n">
        <v>497512</v>
      </c>
      <c r="I282" s="3" t="inlineStr">
        <is>
          <t>비고</t>
        </is>
      </c>
      <c r="J282" s="2" t="inlineStr">
        <is>
          <t>2026-06-24</t>
        </is>
      </c>
      <c r="K282" s="2" t="inlineStr">
        <is>
          <t>2026-12-23</t>
        </is>
      </c>
      <c r="L282" s="2" t="inlineStr">
        <is>
          <t>-</t>
        </is>
      </c>
      <c r="M282" s="7" t="inlineStr">
        <is>
          <t>삼성증권(주)(SAMSUNG SECURITIES CO.,LTD)</t>
        </is>
      </c>
      <c r="N282" s="7" t="inlineStr">
        <is>
          <t>주가안정 및 주주가치 제고</t>
        </is>
      </c>
      <c r="O282" s="2" t="inlineStr">
        <is>
          <t>20260624000194</t>
        </is>
      </c>
      <c r="P282" s="8">
        <f>HYPERLINK("https://dart.fss.or.kr/dsaf001/main.do?rcpNo=20260624000194", "공시열람")</f>
        <v/>
      </c>
    </row>
    <row r="283" ht="36" customHeight="1">
      <c r="A283" s="2" t="inlineStr">
        <is>
          <t>2026-06-24</t>
        </is>
      </c>
      <c r="B283" s="3" t="inlineStr">
        <is>
          <t>KH바텍</t>
        </is>
      </c>
      <c r="C283" s="2" t="inlineStr">
        <is>
          <t>코스닥</t>
        </is>
      </c>
      <c r="D283" s="2" t="inlineStr">
        <is>
          <t>060720</t>
        </is>
      </c>
      <c r="E283" s="7" t="inlineStr">
        <is>
          <t>주요사항보고서(자기주식취득결정)</t>
        </is>
      </c>
      <c r="F283" s="2" t="inlineStr">
        <is>
          <t>자기주식취득결정</t>
        </is>
      </c>
      <c r="G283" s="5" t="n">
        <v>2400000000</v>
      </c>
      <c r="H283" s="6" t="n">
        <v>231660</v>
      </c>
      <c r="I283" s="3" t="inlineStr">
        <is>
          <t>비고</t>
        </is>
      </c>
      <c r="J283" s="2" t="inlineStr">
        <is>
          <t>2026-06-25</t>
        </is>
      </c>
      <c r="K283" s="2" t="inlineStr">
        <is>
          <t>2026-09-24</t>
        </is>
      </c>
      <c r="L283" s="2" t="inlineStr">
        <is>
          <t>-</t>
        </is>
      </c>
      <c r="M283" s="7" t="inlineStr">
        <is>
          <t>현대차증권</t>
        </is>
      </c>
      <c r="N283" s="7" t="inlineStr">
        <is>
          <t>자기주식 취득 및 소각을 통한 주주가치 제고</t>
        </is>
      </c>
      <c r="O283" s="2" t="inlineStr">
        <is>
          <t>20260624000185</t>
        </is>
      </c>
      <c r="P283" s="8">
        <f>HYPERLINK("https://dart.fss.or.kr/dsaf001/main.do?rcpNo=20260624000185", "공시열람")</f>
        <v/>
      </c>
    </row>
    <row r="284" ht="36" customHeight="1">
      <c r="A284" s="2" t="inlineStr">
        <is>
          <t>2026-06-24</t>
        </is>
      </c>
      <c r="B284" s="3" t="inlineStr">
        <is>
          <t>마녀공장</t>
        </is>
      </c>
      <c r="C284" s="2" t="inlineStr">
        <is>
          <t>코스닥</t>
        </is>
      </c>
      <c r="D284" s="2" t="inlineStr">
        <is>
          <t>439090</t>
        </is>
      </c>
      <c r="E284" s="7" t="inlineStr">
        <is>
          <t>주요사항보고서(자기주식취득신탁계약해지결정)</t>
        </is>
      </c>
      <c r="F284" s="2" t="inlineStr">
        <is>
          <t>신탁계약체결결정</t>
        </is>
      </c>
      <c r="G284" s="5" t="n">
        <v>5000000000</v>
      </c>
      <c r="H284" s="6" t="inlineStr"/>
      <c r="I284" s="3" t="inlineStr">
        <is>
          <t>비고</t>
        </is>
      </c>
      <c r="J284" s="2" t="inlineStr">
        <is>
          <t>2026-06-02</t>
        </is>
      </c>
      <c r="K284" s="2" t="inlineStr">
        <is>
          <t>2026-12-02</t>
        </is>
      </c>
      <c r="L284" s="2" t="inlineStr">
        <is>
          <t>-</t>
        </is>
      </c>
      <c r="M284" s="7" t="inlineStr">
        <is>
          <t>-</t>
        </is>
      </c>
      <c r="N284" s="7" t="inlineStr">
        <is>
          <t>자기주식 취득 완료에 따른 중도 해지</t>
        </is>
      </c>
      <c r="O284" s="2" t="inlineStr">
        <is>
          <t>20260624000155</t>
        </is>
      </c>
      <c r="P284" s="8">
        <f>HYPERLINK("https://dart.fss.or.kr/dsaf001/main.do?rcpNo=20260624000155", "공시열람")</f>
        <v/>
      </c>
    </row>
    <row r="285" ht="36" customHeight="1">
      <c r="A285" s="2" t="inlineStr">
        <is>
          <t>2026-06-24</t>
        </is>
      </c>
      <c r="B285" s="3" t="inlineStr">
        <is>
          <t>누리플렉스</t>
        </is>
      </c>
      <c r="C285" s="2" t="inlineStr">
        <is>
          <t>코스닥</t>
        </is>
      </c>
      <c r="D285" s="2" t="inlineStr">
        <is>
          <t>040160</t>
        </is>
      </c>
      <c r="E285" s="7" t="inlineStr">
        <is>
          <t xml:space="preserve">주식소각결정              </t>
        </is>
      </c>
      <c r="F285" s="2" t="inlineStr">
        <is>
          <t>자기주식소각결정</t>
        </is>
      </c>
      <c r="G285" s="5" t="n">
        <v>966296608</v>
      </c>
      <c r="H285" s="6" t="n">
        <v>172184</v>
      </c>
      <c r="I285" s="3" t="inlineStr">
        <is>
          <t>기취득 자기주식</t>
        </is>
      </c>
      <c r="J285" s="2" t="inlineStr">
        <is>
          <t>-</t>
        </is>
      </c>
      <c r="K285" s="2" t="inlineStr">
        <is>
          <t>-</t>
        </is>
      </c>
      <c r="L285" s="2" t="inlineStr">
        <is>
          <t>2026-07-31</t>
        </is>
      </c>
      <c r="M285" s="7" t="inlineStr">
        <is>
          <t>-</t>
        </is>
      </c>
      <c r="N285" s="7" t="inlineStr">
        <is>
          <t>주주가치 제고 및 주식소각</t>
        </is>
      </c>
      <c r="O285" s="2" t="inlineStr">
        <is>
          <t>20260624900438</t>
        </is>
      </c>
      <c r="P285" s="8">
        <f>HYPERLINK("https://dart.fss.or.kr/dsaf001/main.do?rcpNo=20260624900438", "공시열람")</f>
        <v/>
      </c>
    </row>
    <row r="286" ht="36" customHeight="1">
      <c r="A286" s="2" t="inlineStr">
        <is>
          <t>2026-06-24</t>
        </is>
      </c>
      <c r="B286" s="3" t="inlineStr">
        <is>
          <t>키다리스튜디오</t>
        </is>
      </c>
      <c r="C286" s="2" t="inlineStr">
        <is>
          <t>코스피</t>
        </is>
      </c>
      <c r="D286" s="2" t="inlineStr">
        <is>
          <t>020120</t>
        </is>
      </c>
      <c r="E286" s="7" t="inlineStr">
        <is>
          <t>주요사항보고서(자기주식취득신탁계약체결결정)</t>
        </is>
      </c>
      <c r="F286" s="2" t="inlineStr">
        <is>
          <t>신탁계약체결결정</t>
        </is>
      </c>
      <c r="G286" s="5" t="n">
        <v>3000000000</v>
      </c>
      <c r="H286" s="6" t="n">
        <v>1050788</v>
      </c>
      <c r="I286" s="3" t="inlineStr">
        <is>
          <t>비고</t>
        </is>
      </c>
      <c r="J286" s="2" t="inlineStr">
        <is>
          <t>2026-06-24</t>
        </is>
      </c>
      <c r="K286" s="2" t="inlineStr">
        <is>
          <t>2026-12-24</t>
        </is>
      </c>
      <c r="L286" s="2" t="inlineStr">
        <is>
          <t>-</t>
        </is>
      </c>
      <c r="M286" s="7" t="inlineStr">
        <is>
          <t>키움증권㈜(KIWOOM SECURITIES Corp.)</t>
        </is>
      </c>
      <c r="N286" s="7" t="inlineStr">
        <is>
          <t>주주가치 제고 및 임직원 보상</t>
        </is>
      </c>
      <c r="O286" s="2" t="inlineStr">
        <is>
          <t>20260624000152</t>
        </is>
      </c>
      <c r="P286" s="8">
        <f>HYPERLINK("https://dart.fss.or.kr/dsaf001/main.do?rcpNo=20260624000152", "공시열람")</f>
        <v/>
      </c>
    </row>
    <row r="287" ht="36" customHeight="1">
      <c r="A287" s="2" t="inlineStr">
        <is>
          <t>2026-06-24</t>
        </is>
      </c>
      <c r="B287" s="3" t="inlineStr">
        <is>
          <t>이퓨쳐</t>
        </is>
      </c>
      <c r="C287" s="2" t="inlineStr">
        <is>
          <t>코스닥</t>
        </is>
      </c>
      <c r="D287" s="2" t="inlineStr">
        <is>
          <t>134060</t>
        </is>
      </c>
      <c r="E287" s="7" t="inlineStr">
        <is>
          <t>주요사항보고서(자기주식취득신탁계약해지결정)</t>
        </is>
      </c>
      <c r="F287" s="2" t="inlineStr">
        <is>
          <t>신탁계약체결결정</t>
        </is>
      </c>
      <c r="G287" s="5" t="n">
        <v>1000000000</v>
      </c>
      <c r="H287" s="6" t="inlineStr"/>
      <c r="I287" s="3" t="inlineStr">
        <is>
          <t>비고</t>
        </is>
      </c>
      <c r="J287" s="2" t="inlineStr">
        <is>
          <t>2026-06-02</t>
        </is>
      </c>
      <c r="K287" s="2" t="inlineStr">
        <is>
          <t>2026-12-01</t>
        </is>
      </c>
      <c r="L287" s="2" t="inlineStr">
        <is>
          <t>-</t>
        </is>
      </c>
      <c r="M287" s="7" t="inlineStr">
        <is>
          <t>-</t>
        </is>
      </c>
      <c r="N287" s="7" t="inlineStr">
        <is>
          <t>자기주식 취득 완료(계약금액 소진)에 따른 중도 해지</t>
        </is>
      </c>
      <c r="O287" s="2" t="inlineStr">
        <is>
          <t>20260624000124</t>
        </is>
      </c>
      <c r="P287" s="8">
        <f>HYPERLINK("https://dart.fss.or.kr/dsaf001/main.do?rcpNo=20260624000124", "공시열람")</f>
        <v/>
      </c>
    </row>
    <row r="288" ht="36" customHeight="1">
      <c r="A288" s="2" t="inlineStr">
        <is>
          <t>2026-06-24</t>
        </is>
      </c>
      <c r="B288" s="3" t="inlineStr">
        <is>
          <t>코윈테크</t>
        </is>
      </c>
      <c r="C288" s="2" t="inlineStr">
        <is>
          <t>코스닥</t>
        </is>
      </c>
      <c r="D288" s="2" t="inlineStr">
        <is>
          <t>282880</t>
        </is>
      </c>
      <c r="E288" s="7" t="inlineStr">
        <is>
          <t>주요사항보고서(자기주식취득신탁계약체결결정)</t>
        </is>
      </c>
      <c r="F288" s="2" t="inlineStr">
        <is>
          <t>신탁계약체결결정</t>
        </is>
      </c>
      <c r="G288" s="5" t="n">
        <v>1500000000</v>
      </c>
      <c r="H288" s="6" t="n">
        <v>145067</v>
      </c>
      <c r="I288" s="3" t="inlineStr">
        <is>
          <t>비고</t>
        </is>
      </c>
      <c r="J288" s="2" t="inlineStr">
        <is>
          <t>2026-06-25</t>
        </is>
      </c>
      <c r="K288" s="2" t="inlineStr">
        <is>
          <t>2027-06-24</t>
        </is>
      </c>
      <c r="L288" s="2" t="inlineStr">
        <is>
          <t>-</t>
        </is>
      </c>
      <c r="M288" s="7" t="inlineStr">
        <is>
          <t>미래에셋증권</t>
        </is>
      </c>
      <c r="N288" s="7" t="inlineStr">
        <is>
          <t>주가 안정화 및 주주가치 제고</t>
        </is>
      </c>
      <c r="O288" s="2" t="inlineStr">
        <is>
          <t>20260624000088</t>
        </is>
      </c>
      <c r="P288" s="8">
        <f>HYPERLINK("https://dart.fss.or.kr/dsaf001/main.do?rcpNo=20260624000088", "공시열람")</f>
        <v/>
      </c>
    </row>
    <row r="289" ht="36" customHeight="1">
      <c r="A289" s="2" t="inlineStr">
        <is>
          <t>2026-06-24</t>
        </is>
      </c>
      <c r="B289" s="3" t="inlineStr">
        <is>
          <t>키다리스튜디오</t>
        </is>
      </c>
      <c r="C289" s="2" t="inlineStr">
        <is>
          <t>코스피</t>
        </is>
      </c>
      <c r="D289" s="2" t="inlineStr">
        <is>
          <t>020120</t>
        </is>
      </c>
      <c r="E289" s="7" t="inlineStr">
        <is>
          <t>주요사항보고서(자기주식취득신탁계약해지결정)</t>
        </is>
      </c>
      <c r="F289" s="2" t="inlineStr">
        <is>
          <t>신탁계약체결결정</t>
        </is>
      </c>
      <c r="G289" s="5" t="n">
        <v>3085000000</v>
      </c>
      <c r="H289" s="6" t="inlineStr"/>
      <c r="I289" s="3" t="inlineStr">
        <is>
          <t>비고</t>
        </is>
      </c>
      <c r="J289" s="2" t="inlineStr">
        <is>
          <t>2026-04-01</t>
        </is>
      </c>
      <c r="K289" s="2" t="inlineStr">
        <is>
          <t>2026-10-02</t>
        </is>
      </c>
      <c r="L289" s="2" t="inlineStr">
        <is>
          <t>-</t>
        </is>
      </c>
      <c r="M289" s="7" t="inlineStr">
        <is>
          <t>-</t>
        </is>
      </c>
      <c r="N289" s="7" t="inlineStr">
        <is>
          <t>자기주식 취득 완료(계약금액 소진)에 따른 중도 해지</t>
        </is>
      </c>
      <c r="O289" s="2" t="inlineStr">
        <is>
          <t>20260624000047</t>
        </is>
      </c>
      <c r="P289" s="8">
        <f>HYPERLINK("https://dart.fss.or.kr/dsaf001/main.do?rcpNo=20260624000047", "공시열람")</f>
        <v/>
      </c>
    </row>
    <row r="290" ht="36" customHeight="1">
      <c r="A290" s="2" t="inlineStr">
        <is>
          <t>2026-06-25</t>
        </is>
      </c>
      <c r="B290" s="3" t="inlineStr">
        <is>
          <t>넷마블</t>
        </is>
      </c>
      <c r="C290" s="2" t="inlineStr">
        <is>
          <t>코스피</t>
        </is>
      </c>
      <c r="D290" s="2" t="inlineStr">
        <is>
          <t>251270</t>
        </is>
      </c>
      <c r="E290" s="7" t="inlineStr">
        <is>
          <t>주요사항보고서(자기주식취득신탁계약해지결정)</t>
        </is>
      </c>
      <c r="F290" s="2" t="inlineStr">
        <is>
          <t>신탁계약체결결정</t>
        </is>
      </c>
      <c r="G290" s="5" t="n">
        <v>82800000000</v>
      </c>
      <c r="H290" s="6" t="inlineStr"/>
      <c r="I290" s="3" t="inlineStr">
        <is>
          <t>비고</t>
        </is>
      </c>
      <c r="J290" s="2" t="inlineStr">
        <is>
          <t>2026-03-26</t>
        </is>
      </c>
      <c r="K290" s="2" t="inlineStr">
        <is>
          <t>2026-06-25</t>
        </is>
      </c>
      <c r="L290" s="2" t="inlineStr">
        <is>
          <t>-</t>
        </is>
      </c>
      <c r="M290" s="7" t="inlineStr">
        <is>
          <t>-</t>
        </is>
      </c>
      <c r="N290" s="7" t="inlineStr">
        <is>
          <t>신탁계약기간 만료</t>
        </is>
      </c>
      <c r="O290" s="2" t="inlineStr">
        <is>
          <t>20260625000446</t>
        </is>
      </c>
      <c r="P290" s="8">
        <f>HYPERLINK("https://dart.fss.or.kr/dsaf001/main.do?rcpNo=20260625000446", "공시열람")</f>
        <v/>
      </c>
    </row>
    <row r="291" ht="36" customHeight="1">
      <c r="A291" s="2" t="inlineStr">
        <is>
          <t>2026-06-25</t>
        </is>
      </c>
      <c r="B291" s="3" t="inlineStr">
        <is>
          <t>티쓰리</t>
        </is>
      </c>
      <c r="C291" s="2" t="inlineStr">
        <is>
          <t>코스닥</t>
        </is>
      </c>
      <c r="D291" s="2" t="inlineStr">
        <is>
          <t>204610</t>
        </is>
      </c>
      <c r="E291" s="7" t="inlineStr">
        <is>
          <t>주요사항보고서(자기주식취득결정)</t>
        </is>
      </c>
      <c r="F291" s="2" t="inlineStr">
        <is>
          <t>자기주식취득결정</t>
        </is>
      </c>
      <c r="G291" s="5" t="n">
        <v>4000000000</v>
      </c>
      <c r="H291" s="6" t="n">
        <v>1742919</v>
      </c>
      <c r="I291" s="3" t="inlineStr">
        <is>
          <t>비고</t>
        </is>
      </c>
      <c r="J291" s="2" t="inlineStr">
        <is>
          <t>2026-06-26</t>
        </is>
      </c>
      <c r="K291" s="2" t="inlineStr">
        <is>
          <t>2026-09-23</t>
        </is>
      </c>
      <c r="L291" s="2" t="inlineStr">
        <is>
          <t>-</t>
        </is>
      </c>
      <c r="M291" s="7" t="inlineStr">
        <is>
          <t>유안타증권</t>
        </is>
      </c>
      <c r="N291" s="7" t="inlineStr">
        <is>
          <t>주주가치 제고 및 임직원 주식보상</t>
        </is>
      </c>
      <c r="O291" s="2" t="inlineStr">
        <is>
          <t>20260625000376</t>
        </is>
      </c>
      <c r="P291" s="8">
        <f>HYPERLINK("https://dart.fss.or.kr/dsaf001/main.do?rcpNo=20260625000376", "공시열람")</f>
        <v/>
      </c>
    </row>
    <row r="292" ht="36" customHeight="1">
      <c r="A292" s="2" t="inlineStr">
        <is>
          <t>2026-06-25</t>
        </is>
      </c>
      <c r="B292" s="3" t="inlineStr">
        <is>
          <t>드림인사이트</t>
        </is>
      </c>
      <c r="C292" s="2" t="inlineStr">
        <is>
          <t>코스닥</t>
        </is>
      </c>
      <c r="D292" s="2" t="inlineStr">
        <is>
          <t>362990</t>
        </is>
      </c>
      <c r="E292" s="7" t="inlineStr">
        <is>
          <t>주요사항보고서(자기주식취득결정)</t>
        </is>
      </c>
      <c r="F292" s="2" t="inlineStr">
        <is>
          <t>자기주식취득결정</t>
        </is>
      </c>
      <c r="G292" s="5" t="n">
        <v>1000000000</v>
      </c>
      <c r="H292" s="6" t="n">
        <v>1052631</v>
      </c>
      <c r="I292" s="3" t="inlineStr">
        <is>
          <t>비고</t>
        </is>
      </c>
      <c r="J292" s="2" t="inlineStr">
        <is>
          <t>2026-06-26</t>
        </is>
      </c>
      <c r="K292" s="2" t="inlineStr">
        <is>
          <t>2026-09-23</t>
        </is>
      </c>
      <c r="L292" s="2" t="inlineStr">
        <is>
          <t>-</t>
        </is>
      </c>
      <c r="M292" s="7" t="inlineStr">
        <is>
          <t>메리츠증권</t>
        </is>
      </c>
      <c r="N292" s="7" t="inlineStr">
        <is>
          <t>주가안정 및 주주가치 제고</t>
        </is>
      </c>
      <c r="O292" s="2" t="inlineStr">
        <is>
          <t>20260625000277</t>
        </is>
      </c>
      <c r="P292" s="8">
        <f>HYPERLINK("https://dart.fss.or.kr/dsaf001/main.do?rcpNo=20260625000277", "공시열람")</f>
        <v/>
      </c>
    </row>
    <row r="293" ht="36" customHeight="1">
      <c r="A293" s="2" t="inlineStr">
        <is>
          <t>2026-06-25</t>
        </is>
      </c>
      <c r="B293" s="3" t="inlineStr">
        <is>
          <t>이스트소프트</t>
        </is>
      </c>
      <c r="C293" s="2" t="inlineStr">
        <is>
          <t>코스닥</t>
        </is>
      </c>
      <c r="D293" s="2" t="inlineStr">
        <is>
          <t>047560</t>
        </is>
      </c>
      <c r="E293" s="7" t="inlineStr">
        <is>
          <t>주요사항보고서(자기주식취득신탁계약체결결정)</t>
        </is>
      </c>
      <c r="F293" s="2" t="inlineStr">
        <is>
          <t>신탁계약체결결정</t>
        </is>
      </c>
      <c r="G293" s="5" t="n">
        <v>2000000000</v>
      </c>
      <c r="H293" s="6" t="n">
        <v>269541</v>
      </c>
      <c r="I293" s="3" t="inlineStr">
        <is>
          <t>비고</t>
        </is>
      </c>
      <c r="J293" s="2" t="inlineStr">
        <is>
          <t>2026-06-25</t>
        </is>
      </c>
      <c r="K293" s="2" t="inlineStr">
        <is>
          <t>2026-12-24</t>
        </is>
      </c>
      <c r="L293" s="2" t="inlineStr">
        <is>
          <t>-</t>
        </is>
      </c>
      <c r="M293" s="7" t="inlineStr">
        <is>
          <t>NH투자증권(NH INVESTMENT &amp; SECURITIES CO.,LTD.)</t>
        </is>
      </c>
      <c r="N293" s="7" t="inlineStr">
        <is>
          <t>주가안정 및 주주가치 제고</t>
        </is>
      </c>
      <c r="O293" s="2" t="inlineStr">
        <is>
          <t>20260625000245</t>
        </is>
      </c>
      <c r="P293" s="8">
        <f>HYPERLINK("https://dart.fss.or.kr/dsaf001/main.do?rcpNo=20260625000245", "공시열람")</f>
        <v/>
      </c>
    </row>
    <row r="294" ht="36" customHeight="1">
      <c r="A294" s="2" t="inlineStr">
        <is>
          <t>2026-06-25</t>
        </is>
      </c>
      <c r="B294" s="3" t="inlineStr">
        <is>
          <t>MH에탄올</t>
        </is>
      </c>
      <c r="C294" s="2" t="inlineStr">
        <is>
          <t>코스피</t>
        </is>
      </c>
      <c r="D294" s="2" t="inlineStr">
        <is>
          <t>023150</t>
        </is>
      </c>
      <c r="E294" s="7" t="inlineStr">
        <is>
          <t>주요사항보고서(자기주식취득결정)</t>
        </is>
      </c>
      <c r="F294" s="2" t="inlineStr">
        <is>
          <t>자기주식취득결정</t>
        </is>
      </c>
      <c r="G294" s="5" t="n">
        <v>518050000</v>
      </c>
      <c r="H294" s="6" t="n">
        <v>130000</v>
      </c>
      <c r="I294" s="3" t="inlineStr">
        <is>
          <t>비고</t>
        </is>
      </c>
      <c r="J294" s="2" t="inlineStr">
        <is>
          <t>2026-06-26</t>
        </is>
      </c>
      <c r="K294" s="2" t="inlineStr">
        <is>
          <t>2026-09-23</t>
        </is>
      </c>
      <c r="L294" s="2" t="inlineStr">
        <is>
          <t>-</t>
        </is>
      </c>
      <c r="M294" s="7" t="inlineStr">
        <is>
          <t>BNK투자증권</t>
        </is>
      </c>
      <c r="N294" s="7" t="inlineStr">
        <is>
          <t>주가 안정 및 주주가치 제고</t>
        </is>
      </c>
      <c r="O294" s="2" t="inlineStr">
        <is>
          <t>20260625000249</t>
        </is>
      </c>
      <c r="P294" s="8">
        <f>HYPERLINK("https://dart.fss.or.kr/dsaf001/main.do?rcpNo=20260625000249", "공시열람")</f>
        <v/>
      </c>
    </row>
    <row r="295" ht="36" customHeight="1">
      <c r="A295" s="2" t="inlineStr">
        <is>
          <t>2026-06-25</t>
        </is>
      </c>
      <c r="B295" s="3" t="inlineStr">
        <is>
          <t>중앙백신</t>
        </is>
      </c>
      <c r="C295" s="2" t="inlineStr">
        <is>
          <t>코스닥</t>
        </is>
      </c>
      <c r="D295" s="2" t="inlineStr">
        <is>
          <t>072020</t>
        </is>
      </c>
      <c r="E295" s="7" t="inlineStr">
        <is>
          <t xml:space="preserve">주식소각결정              </t>
        </is>
      </c>
      <c r="F295" s="2" t="inlineStr">
        <is>
          <t>자기주식소각결정</t>
        </is>
      </c>
      <c r="G295" s="5" t="n">
        <v>2053148966</v>
      </c>
      <c r="H295" s="6" t="n">
        <v>201906</v>
      </c>
      <c r="I295" s="3" t="inlineStr">
        <is>
          <t>기취득 자기주식</t>
        </is>
      </c>
      <c r="J295" s="2" t="inlineStr">
        <is>
          <t>-</t>
        </is>
      </c>
      <c r="K295" s="2" t="inlineStr">
        <is>
          <t>-</t>
        </is>
      </c>
      <c r="L295" s="2" t="inlineStr">
        <is>
          <t>2026-07-06</t>
        </is>
      </c>
      <c r="M295" s="7" t="inlineStr">
        <is>
          <t>-</t>
        </is>
      </c>
      <c r="N295" s="7" t="inlineStr">
        <is>
          <t>주주가치 제고 및 주식소각</t>
        </is>
      </c>
      <c r="O295" s="2" t="inlineStr">
        <is>
          <t>20260625900283</t>
        </is>
      </c>
      <c r="P295" s="8">
        <f>HYPERLINK("https://dart.fss.or.kr/dsaf001/main.do?rcpNo=20260625900283", "공시열람")</f>
        <v/>
      </c>
    </row>
    <row r="296" ht="36" customHeight="1">
      <c r="A296" s="2" t="inlineStr">
        <is>
          <t>2026-06-25</t>
        </is>
      </c>
      <c r="B296" s="3" t="inlineStr">
        <is>
          <t>웹케시</t>
        </is>
      </c>
      <c r="C296" s="2" t="inlineStr">
        <is>
          <t>코스닥</t>
        </is>
      </c>
      <c r="D296" s="2" t="inlineStr">
        <is>
          <t>053580</t>
        </is>
      </c>
      <c r="E296" s="7" t="inlineStr">
        <is>
          <t>주요사항보고서(자기주식취득신탁계약체결결정)</t>
        </is>
      </c>
      <c r="F296" s="2" t="inlineStr">
        <is>
          <t>신탁계약체결결정</t>
        </is>
      </c>
      <c r="G296" s="5" t="n">
        <v>3000000000</v>
      </c>
      <c r="H296" s="6" t="n">
        <v>513698</v>
      </c>
      <c r="I296" s="3" t="inlineStr">
        <is>
          <t>비고</t>
        </is>
      </c>
      <c r="J296" s="2" t="inlineStr">
        <is>
          <t>2026-06-25</t>
        </is>
      </c>
      <c r="K296" s="2" t="inlineStr">
        <is>
          <t>2026-12-28</t>
        </is>
      </c>
      <c r="L296" s="2" t="inlineStr">
        <is>
          <t>-</t>
        </is>
      </c>
      <c r="M296" s="7" t="inlineStr">
        <is>
          <t>NH투자증권 (NH INVESTMENT &amp; SECURITIES CO.,LTD)</t>
        </is>
      </c>
      <c r="N296" s="7" t="inlineStr">
        <is>
          <t>주가 안정 및 주주가치 제고를 위한 자사주 소각</t>
        </is>
      </c>
      <c r="O296" s="2" t="inlineStr">
        <is>
          <t>20260625000093</t>
        </is>
      </c>
      <c r="P296" s="8">
        <f>HYPERLINK("https://dart.fss.or.kr/dsaf001/main.do?rcpNo=20260625000093", "공시열람")</f>
        <v/>
      </c>
    </row>
    <row r="297" ht="36" customHeight="1">
      <c r="A297" s="2" t="inlineStr">
        <is>
          <t>2026-06-26</t>
        </is>
      </c>
      <c r="B297" s="3" t="inlineStr">
        <is>
          <t>코나아이</t>
        </is>
      </c>
      <c r="C297" s="2" t="inlineStr">
        <is>
          <t>코스닥</t>
        </is>
      </c>
      <c r="D297" s="2" t="inlineStr">
        <is>
          <t>052400</t>
        </is>
      </c>
      <c r="E297" s="7" t="inlineStr">
        <is>
          <t>주요사항보고서(자기주식취득결정)</t>
        </is>
      </c>
      <c r="F297" s="2" t="inlineStr">
        <is>
          <t>자기주식취득결정</t>
        </is>
      </c>
      <c r="G297" s="5" t="n">
        <v>5010150000</v>
      </c>
      <c r="H297" s="6" t="n">
        <v>127000</v>
      </c>
      <c r="I297" s="3" t="inlineStr">
        <is>
          <t>비고</t>
        </is>
      </c>
      <c r="J297" s="2" t="inlineStr">
        <is>
          <t>2026-06-27</t>
        </is>
      </c>
      <c r="K297" s="2" t="inlineStr">
        <is>
          <t>2026-09-26</t>
        </is>
      </c>
      <c r="L297" s="2" t="inlineStr">
        <is>
          <t>-</t>
        </is>
      </c>
      <c r="M297" s="7" t="inlineStr">
        <is>
          <t>신한투자증권( Shinhan Securities Co.,Ltd.)</t>
        </is>
      </c>
      <c r="N297" s="7" t="inlineStr">
        <is>
          <t>주가안정 및 주주가치 제고(자사주 매입 후 소각)</t>
        </is>
      </c>
      <c r="O297" s="2" t="inlineStr">
        <is>
          <t>20260626000697</t>
        </is>
      </c>
      <c r="P297" s="8">
        <f>HYPERLINK("https://dart.fss.or.kr/dsaf001/main.do?rcpNo=20260626000697", "공시열람")</f>
        <v/>
      </c>
    </row>
    <row r="298" ht="36" customHeight="1">
      <c r="A298" s="2" t="inlineStr">
        <is>
          <t>2026-06-26 (정정: 2026-06-26)</t>
        </is>
      </c>
      <c r="B298" s="3" t="inlineStr">
        <is>
          <t>엠게임</t>
        </is>
      </c>
      <c r="C298" s="2" t="inlineStr">
        <is>
          <t>코스닥</t>
        </is>
      </c>
      <c r="D298" s="2" t="inlineStr">
        <is>
          <t>058630</t>
        </is>
      </c>
      <c r="E298" s="7" t="inlineStr">
        <is>
          <t>[기재정정]주요사항보고서(자기주식취득결정)</t>
        </is>
      </c>
      <c r="F298" s="2" t="inlineStr">
        <is>
          <t>자기주식취득결정</t>
        </is>
      </c>
      <c r="G298" s="5" t="n">
        <v>1999998660</v>
      </c>
      <c r="H298" s="6" t="n">
        <v>503778</v>
      </c>
      <c r="I298" s="3" t="inlineStr">
        <is>
          <t>비고</t>
        </is>
      </c>
      <c r="J298" s="2" t="inlineStr">
        <is>
          <t>2026-06-29</t>
        </is>
      </c>
      <c r="K298" s="2" t="inlineStr">
        <is>
          <t>2026-09-28</t>
        </is>
      </c>
      <c r="L298" s="2" t="inlineStr">
        <is>
          <t>-</t>
        </is>
      </c>
      <c r="M298" s="7" t="inlineStr">
        <is>
          <t>미래에셋증권</t>
        </is>
      </c>
      <c r="N298" s="7" t="inlineStr">
        <is>
          <t>기업가치 제고를 위한 주주환원정책의 일환으로 자기주식 취득 후 소각</t>
        </is>
      </c>
      <c r="O298" s="2" t="inlineStr">
        <is>
          <t>20260626000651</t>
        </is>
      </c>
      <c r="P298" s="8">
        <f>HYPERLINK("https://dart.fss.or.kr/dsaf001/main.do?rcpNo=20260626000651", "공시열람")</f>
        <v/>
      </c>
    </row>
    <row r="299" ht="36" customHeight="1">
      <c r="A299" s="2" t="inlineStr">
        <is>
          <t>2026-06-26</t>
        </is>
      </c>
      <c r="B299" s="3" t="inlineStr">
        <is>
          <t>파수AI</t>
        </is>
      </c>
      <c r="C299" s="2" t="inlineStr">
        <is>
          <t>코스닥</t>
        </is>
      </c>
      <c r="D299" s="2" t="inlineStr">
        <is>
          <t>150900</t>
        </is>
      </c>
      <c r="E299" s="7" t="inlineStr">
        <is>
          <t>주요사항보고서(자기주식취득신탁계약체결결정)</t>
        </is>
      </c>
      <c r="F299" s="2" t="inlineStr">
        <is>
          <t>신탁계약체결결정</t>
        </is>
      </c>
      <c r="G299" s="5" t="n">
        <v>1000000000</v>
      </c>
      <c r="H299" s="6" t="n">
        <v>324675</v>
      </c>
      <c r="I299" s="3" t="inlineStr">
        <is>
          <t>비고</t>
        </is>
      </c>
      <c r="J299" s="2" t="inlineStr">
        <is>
          <t>2026-06-26</t>
        </is>
      </c>
      <c r="K299" s="2" t="inlineStr">
        <is>
          <t>2026-12-25</t>
        </is>
      </c>
      <c r="L299" s="2" t="inlineStr">
        <is>
          <t>-</t>
        </is>
      </c>
      <c r="M299" s="7" t="inlineStr">
        <is>
          <t>대신증권</t>
        </is>
      </c>
      <c r="N299" s="7" t="inlineStr">
        <is>
          <t>주주가치 제고 및 종업원 복리 증진</t>
        </is>
      </c>
      <c r="O299" s="2" t="inlineStr">
        <is>
          <t>20260626000389</t>
        </is>
      </c>
      <c r="P299" s="8">
        <f>HYPERLINK("https://dart.fss.or.kr/dsaf001/main.do?rcpNo=20260626000389", "공시열람")</f>
        <v/>
      </c>
    </row>
    <row r="300" ht="36" customHeight="1">
      <c r="A300" s="2" t="inlineStr">
        <is>
          <t>2026-06-26</t>
        </is>
      </c>
      <c r="B300" s="3" t="inlineStr">
        <is>
          <t>엠게임</t>
        </is>
      </c>
      <c r="C300" s="2" t="inlineStr">
        <is>
          <t>코스닥</t>
        </is>
      </c>
      <c r="D300" s="2" t="inlineStr">
        <is>
          <t>058630</t>
        </is>
      </c>
      <c r="E300" s="7" t="inlineStr">
        <is>
          <t>주요사항보고서(자기주식취득결정)</t>
        </is>
      </c>
      <c r="F300" s="2" t="inlineStr">
        <is>
          <t>자기주식취득결정</t>
        </is>
      </c>
      <c r="G300" s="5" t="n">
        <v>1999998660</v>
      </c>
      <c r="H300" s="6" t="n">
        <v>503778</v>
      </c>
      <c r="I300" s="3" t="inlineStr">
        <is>
          <t>비고</t>
        </is>
      </c>
      <c r="J300" s="2" t="inlineStr">
        <is>
          <t>2026-06-29</t>
        </is>
      </c>
      <c r="K300" s="2" t="inlineStr">
        <is>
          <t>2026-09-28</t>
        </is>
      </c>
      <c r="L300" s="2" t="inlineStr">
        <is>
          <t>-</t>
        </is>
      </c>
      <c r="M300" s="7" t="inlineStr">
        <is>
          <t>미래에셋증권</t>
        </is>
      </c>
      <c r="N300" s="7" t="inlineStr">
        <is>
          <t>기업가치 제고를 위한 주주환원정책의 일환으로 자기주식 취득 후 소각</t>
        </is>
      </c>
      <c r="O300" s="2" t="inlineStr">
        <is>
          <t>20260626000391</t>
        </is>
      </c>
      <c r="P300" s="8">
        <f>HYPERLINK("https://dart.fss.or.kr/dsaf001/main.do?rcpNo=20260626000391", "공시열람")</f>
        <v/>
      </c>
    </row>
    <row r="301" ht="36" customHeight="1">
      <c r="A301" s="2" t="inlineStr">
        <is>
          <t>2026-06-26</t>
        </is>
      </c>
      <c r="B301" s="3" t="inlineStr">
        <is>
          <t>팬엔터테인먼트</t>
        </is>
      </c>
      <c r="C301" s="2" t="inlineStr">
        <is>
          <t>코스닥</t>
        </is>
      </c>
      <c r="D301" s="2" t="inlineStr">
        <is>
          <t>068050</t>
        </is>
      </c>
      <c r="E301" s="7" t="inlineStr">
        <is>
          <t>주요사항보고서(자기주식취득신탁계약체결결정)</t>
        </is>
      </c>
      <c r="F301" s="2" t="inlineStr">
        <is>
          <t>신탁계약체결결정</t>
        </is>
      </c>
      <c r="G301" s="5" t="n">
        <v>1000000000</v>
      </c>
      <c r="H301" s="6" t="n">
        <v>968992</v>
      </c>
      <c r="I301" s="3" t="inlineStr">
        <is>
          <t>비고</t>
        </is>
      </c>
      <c r="J301" s="2" t="inlineStr">
        <is>
          <t>2026-06-26</t>
        </is>
      </c>
      <c r="K301" s="2" t="inlineStr">
        <is>
          <t>2026-12-25</t>
        </is>
      </c>
      <c r="L301" s="2" t="inlineStr">
        <is>
          <t>-</t>
        </is>
      </c>
      <c r="M301" s="7" t="inlineStr">
        <is>
          <t>NH투자증권</t>
        </is>
      </c>
      <c r="N301" s="7" t="inlineStr">
        <is>
          <t>주가 안정화를 통한 주주가치 제고</t>
        </is>
      </c>
      <c r="O301" s="2" t="inlineStr">
        <is>
          <t>20260626000322</t>
        </is>
      </c>
      <c r="P301" s="8">
        <f>HYPERLINK("https://dart.fss.or.kr/dsaf001/main.do?rcpNo=20260626000322", "공시열람")</f>
        <v/>
      </c>
    </row>
    <row r="302" ht="36" customHeight="1">
      <c r="A302" s="2" t="inlineStr">
        <is>
          <t>2026-06-26</t>
        </is>
      </c>
      <c r="B302" s="3" t="inlineStr">
        <is>
          <t>노머스</t>
        </is>
      </c>
      <c r="C302" s="2" t="inlineStr">
        <is>
          <t>코스닥</t>
        </is>
      </c>
      <c r="D302" s="2" t="inlineStr">
        <is>
          <t>473980</t>
        </is>
      </c>
      <c r="E302" s="7" t="inlineStr">
        <is>
          <t xml:space="preserve">주식소각결정              </t>
        </is>
      </c>
      <c r="F302" s="2" t="inlineStr">
        <is>
          <t>자기주식소각결정</t>
        </is>
      </c>
      <c r="G302" s="5" t="n">
        <v>845483340</v>
      </c>
      <c r="H302" s="6" t="n">
        <v>83381</v>
      </c>
      <c r="I302" s="3" t="inlineStr">
        <is>
          <t>기취득 자기주식</t>
        </is>
      </c>
      <c r="J302" s="2" t="inlineStr">
        <is>
          <t>-</t>
        </is>
      </c>
      <c r="K302" s="2" t="inlineStr">
        <is>
          <t>-</t>
        </is>
      </c>
      <c r="L302" s="2" t="inlineStr">
        <is>
          <t>2026-06-29</t>
        </is>
      </c>
      <c r="M302" s="7" t="inlineStr">
        <is>
          <t>삼성증권</t>
        </is>
      </c>
      <c r="N302" s="7" t="inlineStr">
        <is>
          <t>주주가치 제고 및 주식소각</t>
        </is>
      </c>
      <c r="O302" s="2" t="inlineStr">
        <is>
          <t>20260626900402</t>
        </is>
      </c>
      <c r="P302" s="8">
        <f>HYPERLINK("https://dart.fss.or.kr/dsaf001/main.do?rcpNo=20260626900402", "공시열람")</f>
        <v/>
      </c>
    </row>
    <row r="303" ht="36" customHeight="1">
      <c r="A303" s="2" t="inlineStr">
        <is>
          <t>2026-06-30</t>
        </is>
      </c>
      <c r="B303" s="3" t="inlineStr">
        <is>
          <t>와이즈버즈</t>
        </is>
      </c>
      <c r="C303" s="2" t="inlineStr">
        <is>
          <t>코스닥</t>
        </is>
      </c>
      <c r="D303" s="2" t="inlineStr">
        <is>
          <t>273060</t>
        </is>
      </c>
      <c r="E303" s="7" t="inlineStr">
        <is>
          <t xml:space="preserve">[기재정정]주식소각결정              </t>
        </is>
      </c>
      <c r="F303" s="2" t="inlineStr">
        <is>
          <t>자기주식소각결정</t>
        </is>
      </c>
      <c r="G303" s="5" t="inlineStr"/>
      <c r="H303" s="6" t="inlineStr"/>
      <c r="I303" s="3" t="inlineStr">
        <is>
          <t>-</t>
        </is>
      </c>
      <c r="J303" s="2" t="inlineStr">
        <is>
          <t>-</t>
        </is>
      </c>
      <c r="K303" s="2" t="inlineStr">
        <is>
          <t>-</t>
        </is>
      </c>
      <c r="L303" s="2" t="inlineStr">
        <is>
          <t>-</t>
        </is>
      </c>
      <c r="M303" s="7" t="inlineStr">
        <is>
          <t>-</t>
        </is>
      </c>
      <c r="N303" s="7" t="inlineStr">
        <is>
          <t>-</t>
        </is>
      </c>
      <c r="O303" s="2" t="inlineStr">
        <is>
          <t>20260630900838</t>
        </is>
      </c>
      <c r="P303" s="8">
        <f>HYPERLINK("https://dart.fss.or.kr/dsaf001/main.do?rcpNo=20260630900838", "공시열람")</f>
        <v/>
      </c>
    </row>
    <row r="304" ht="36" customHeight="1">
      <c r="A304" s="2" t="inlineStr">
        <is>
          <t>2026-06-30</t>
        </is>
      </c>
      <c r="B304" s="3" t="inlineStr">
        <is>
          <t>와이즈버즈</t>
        </is>
      </c>
      <c r="C304" s="2" t="inlineStr">
        <is>
          <t>코스닥</t>
        </is>
      </c>
      <c r="D304" s="2" t="inlineStr">
        <is>
          <t>273060</t>
        </is>
      </c>
      <c r="E304" s="7" t="inlineStr">
        <is>
          <t>주요사항보고서(자기주식취득신탁계약해지결정)</t>
        </is>
      </c>
      <c r="F304" s="2" t="inlineStr">
        <is>
          <t>신탁계약체결결정</t>
        </is>
      </c>
      <c r="G304" s="5" t="inlineStr"/>
      <c r="H304" s="6" t="inlineStr"/>
      <c r="I304" s="3" t="inlineStr">
        <is>
          <t>-</t>
        </is>
      </c>
      <c r="J304" s="2" t="inlineStr">
        <is>
          <t>-</t>
        </is>
      </c>
      <c r="K304" s="2" t="inlineStr">
        <is>
          <t>-</t>
        </is>
      </c>
      <c r="L304" s="2" t="inlineStr">
        <is>
          <t>-</t>
        </is>
      </c>
      <c r="M304" s="7" t="inlineStr">
        <is>
          <t>-</t>
        </is>
      </c>
      <c r="N304" s="7" t="inlineStr">
        <is>
          <t>-</t>
        </is>
      </c>
      <c r="O304" s="2" t="inlineStr">
        <is>
          <t>20260630000698</t>
        </is>
      </c>
      <c r="P304" s="8">
        <f>HYPERLINK("https://dart.fss.or.kr/dsaf001/main.do?rcpNo=20260630000698", "공시열람")</f>
        <v/>
      </c>
    </row>
    <row r="305" ht="36" customHeight="1">
      <c r="A305" s="2" t="inlineStr">
        <is>
          <t>2026-06-30</t>
        </is>
      </c>
      <c r="B305" s="3" t="inlineStr">
        <is>
          <t>비츠로테크</t>
        </is>
      </c>
      <c r="C305" s="2" t="inlineStr">
        <is>
          <t>코스닥</t>
        </is>
      </c>
      <c r="D305" s="2" t="inlineStr">
        <is>
          <t>042370</t>
        </is>
      </c>
      <c r="E305" s="7" t="inlineStr">
        <is>
          <t xml:space="preserve">주식소각결정(자회사의 주요경영사항)              </t>
        </is>
      </c>
      <c r="F305" s="2" t="inlineStr">
        <is>
          <t>자기주식소각결정</t>
        </is>
      </c>
      <c r="G305" s="5" t="n">
        <v>2999368318</v>
      </c>
      <c r="H305" s="6" t="n">
        <v>200000</v>
      </c>
      <c r="I305" s="3" t="inlineStr">
        <is>
          <t>기취득 자기주식</t>
        </is>
      </c>
      <c r="J305" s="2" t="inlineStr">
        <is>
          <t>-</t>
        </is>
      </c>
      <c r="K305" s="2" t="inlineStr">
        <is>
          <t>-</t>
        </is>
      </c>
      <c r="L305" s="2" t="inlineStr">
        <is>
          <t>2026-07-06</t>
        </is>
      </c>
      <c r="M305" s="7" t="inlineStr">
        <is>
          <t>-</t>
        </is>
      </c>
      <c r="N305" s="7" t="inlineStr">
        <is>
          <t>주주가치 제고 및 주식소각</t>
        </is>
      </c>
      <c r="O305" s="2" t="inlineStr">
        <is>
          <t>20260630900579</t>
        </is>
      </c>
      <c r="P305" s="8">
        <f>HYPERLINK("https://dart.fss.or.kr/dsaf001/main.do?rcpNo=20260630900579", "공시열람")</f>
        <v/>
      </c>
    </row>
    <row r="306" ht="36" customHeight="1">
      <c r="A306" s="2" t="inlineStr">
        <is>
          <t>2026-06-30</t>
        </is>
      </c>
      <c r="B306" s="3" t="inlineStr">
        <is>
          <t>비츠로셀</t>
        </is>
      </c>
      <c r="C306" s="2" t="inlineStr">
        <is>
          <t>코스닥</t>
        </is>
      </c>
      <c r="D306" s="2" t="inlineStr">
        <is>
          <t>082920</t>
        </is>
      </c>
      <c r="E306" s="7" t="inlineStr">
        <is>
          <t xml:space="preserve">주식소각결정              </t>
        </is>
      </c>
      <c r="F306" s="2" t="inlineStr">
        <is>
          <t>자기주식소각결정</t>
        </is>
      </c>
      <c r="G306" s="5" t="n">
        <v>2999368318</v>
      </c>
      <c r="H306" s="6" t="n">
        <v>200000</v>
      </c>
      <c r="I306" s="3" t="inlineStr">
        <is>
          <t>기취득 자기주식</t>
        </is>
      </c>
      <c r="J306" s="2" t="inlineStr">
        <is>
          <t>-</t>
        </is>
      </c>
      <c r="K306" s="2" t="inlineStr">
        <is>
          <t>-</t>
        </is>
      </c>
      <c r="L306" s="2" t="inlineStr">
        <is>
          <t>2026-07-06</t>
        </is>
      </c>
      <c r="M306" s="7" t="inlineStr">
        <is>
          <t>-</t>
        </is>
      </c>
      <c r="N306" s="7" t="inlineStr">
        <is>
          <t>주주가치 제고 및 주식소각</t>
        </is>
      </c>
      <c r="O306" s="2" t="inlineStr">
        <is>
          <t>20260630900485</t>
        </is>
      </c>
      <c r="P306" s="8">
        <f>HYPERLINK("https://dart.fss.or.kr/dsaf001/main.do?rcpNo=20260630900485", "공시열람")</f>
        <v/>
      </c>
    </row>
    <row r="307" ht="36" customHeight="1">
      <c r="A307" s="2" t="inlineStr">
        <is>
          <t>2026-06-30</t>
        </is>
      </c>
      <c r="B307" s="3" t="inlineStr">
        <is>
          <t>뉴키즈온</t>
        </is>
      </c>
      <c r="C307" s="2" t="inlineStr">
        <is>
          <t>코스닥</t>
        </is>
      </c>
      <c r="D307" s="2" t="inlineStr">
        <is>
          <t>462310</t>
        </is>
      </c>
      <c r="E307" s="7" t="inlineStr">
        <is>
          <t xml:space="preserve">주식소각결정              </t>
        </is>
      </c>
      <c r="F307" s="2" t="inlineStr">
        <is>
          <t>자기주식소각결정</t>
        </is>
      </c>
      <c r="G307" s="5" t="n">
        <v>948367960</v>
      </c>
      <c r="H307" s="6" t="n">
        <v>286516</v>
      </c>
      <c r="I307" s="3" t="inlineStr">
        <is>
          <t>기취득 자기주식</t>
        </is>
      </c>
      <c r="J307" s="2" t="inlineStr">
        <is>
          <t>-</t>
        </is>
      </c>
      <c r="K307" s="2" t="inlineStr">
        <is>
          <t>-</t>
        </is>
      </c>
      <c r="L307" s="2" t="inlineStr">
        <is>
          <t>2026-07-08</t>
        </is>
      </c>
      <c r="M307" s="7" t="inlineStr">
        <is>
          <t>-</t>
        </is>
      </c>
      <c r="N307" s="7" t="inlineStr">
        <is>
          <t>주주가치 제고 및 주식소각</t>
        </is>
      </c>
      <c r="O307" s="2" t="inlineStr">
        <is>
          <t>20260630900287</t>
        </is>
      </c>
      <c r="P307" s="8">
        <f>HYPERLINK("https://dart.fss.or.kr/dsaf001/main.do?rcpNo=20260630900287", "공시열람")</f>
        <v/>
      </c>
    </row>
    <row r="308" ht="36" customHeight="1">
      <c r="A308" s="2" t="inlineStr">
        <is>
          <t>2026-06-30</t>
        </is>
      </c>
      <c r="B308" s="3" t="inlineStr">
        <is>
          <t>씨유테크</t>
        </is>
      </c>
      <c r="C308" s="2" t="inlineStr">
        <is>
          <t>코스닥</t>
        </is>
      </c>
      <c r="D308" s="2" t="inlineStr">
        <is>
          <t>376290</t>
        </is>
      </c>
      <c r="E308" s="7" t="inlineStr">
        <is>
          <t>주요사항보고서(자기주식취득신탁계약체결결정)</t>
        </is>
      </c>
      <c r="F308" s="2" t="inlineStr">
        <is>
          <t>신탁계약체결결정</t>
        </is>
      </c>
      <c r="G308" s="5" t="n">
        <v>1000000000</v>
      </c>
      <c r="H308" s="6" t="n">
        <v>442477</v>
      </c>
      <c r="I308" s="3" t="inlineStr">
        <is>
          <t>비고</t>
        </is>
      </c>
      <c r="J308" s="2" t="inlineStr">
        <is>
          <t>2026-07-01</t>
        </is>
      </c>
      <c r="K308" s="2" t="inlineStr">
        <is>
          <t>2026-12-31</t>
        </is>
      </c>
      <c r="L308" s="2" t="inlineStr">
        <is>
          <t>-</t>
        </is>
      </c>
      <c r="M308" s="7" t="inlineStr">
        <is>
          <t>대신증권(DAISHIN Securities Co., Ltd)</t>
        </is>
      </c>
      <c r="N308" s="7" t="inlineStr">
        <is>
          <t>주가안정 및 주주가치 제고</t>
        </is>
      </c>
      <c r="O308" s="2" t="inlineStr">
        <is>
          <t>20260630000236</t>
        </is>
      </c>
      <c r="P308" s="8">
        <f>HYPERLINK("https://dart.fss.or.kr/dsaf001/main.do?rcpNo=20260630000236", "공시열람")</f>
        <v/>
      </c>
    </row>
  </sheetData>
  <autoFilter ref="A1:P3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279"/>
  <sheetViews>
    <sheetView workbookViewId="0">
      <selection activeCell="A1" sqref="A1"/>
    </sheetView>
  </sheetViews>
  <sheetFormatPr baseColWidth="8" defaultRowHeight="15"/>
  <cols>
    <col width="43.5" customWidth="1" min="1" max="1"/>
    <col width="24" customWidth="1" min="2" max="2"/>
    <col width="10" customWidth="1" min="3" max="3"/>
    <col width="12" customWidth="1" min="4" max="4"/>
    <col width="60" customWidth="1" min="5" max="5"/>
    <col width="24" customWidth="1" min="6" max="6"/>
    <col width="24" customWidth="1" min="7" max="7"/>
    <col width="12" customWidth="1" min="8" max="8"/>
  </cols>
  <sheetData>
    <row r="1">
      <c r="A1" s="14" t="inlineStr">
        <is>
          <t>접수일자</t>
        </is>
      </c>
      <c r="B1" s="14" t="inlineStr">
        <is>
          <t>회사명</t>
        </is>
      </c>
      <c r="C1" s="14" t="inlineStr">
        <is>
          <t>시장구분</t>
        </is>
      </c>
      <c r="D1" s="14" t="inlineStr">
        <is>
          <t>종목코드</t>
        </is>
      </c>
      <c r="E1" s="14" t="inlineStr">
        <is>
          <t>공시명</t>
        </is>
      </c>
      <c r="F1" s="14" t="inlineStr">
        <is>
          <t>제출인</t>
        </is>
      </c>
      <c r="G1" s="14" t="inlineStr">
        <is>
          <t>접수번호</t>
        </is>
      </c>
      <c r="H1" s="14" t="inlineStr">
        <is>
          <t>DART링크</t>
        </is>
      </c>
    </row>
    <row r="2">
      <c r="A2" s="2" t="inlineStr">
        <is>
          <t>2025-11-12 (정정: 2025-11-27)</t>
        </is>
      </c>
      <c r="B2" s="3" t="inlineStr">
        <is>
          <t>광무</t>
        </is>
      </c>
      <c r="C2" s="2" t="inlineStr">
        <is>
          <t>코스닥</t>
        </is>
      </c>
      <c r="D2" s="2" t="inlineStr">
        <is>
          <t>029480</t>
        </is>
      </c>
      <c r="E2" s="3" t="inlineStr">
        <is>
          <t>[기재정정]주주총회소집공고 (정정: 20251127)</t>
        </is>
      </c>
      <c r="F2" s="3" t="inlineStr">
        <is>
          <t>광무</t>
        </is>
      </c>
      <c r="G2" s="2" t="inlineStr">
        <is>
          <t>20251127000857</t>
        </is>
      </c>
      <c r="H2" s="8">
        <f>HYPERLINK("https://dart.fss.or.kr/dsaf001/main.do?rcpNo=20251127000857", "공시열람")</f>
        <v/>
      </c>
    </row>
    <row r="3">
      <c r="A3" s="2" t="inlineStr">
        <is>
          <t>2025-11-12 (정정: 2025-11-20)</t>
        </is>
      </c>
      <c r="B3" s="3" t="inlineStr">
        <is>
          <t>씨엔플러스</t>
        </is>
      </c>
      <c r="C3" s="2" t="inlineStr">
        <is>
          <t>코스닥</t>
        </is>
      </c>
      <c r="D3" s="2" t="inlineStr">
        <is>
          <t>115530</t>
        </is>
      </c>
      <c r="E3" s="3" t="inlineStr">
        <is>
          <t>주주총회소집공고 (정정: 20251114) (정정: 20251120) (정정: 20251120)</t>
        </is>
      </c>
      <c r="F3" s="3" t="inlineStr">
        <is>
          <t>씨엔플러스</t>
        </is>
      </c>
      <c r="G3" s="2" t="inlineStr">
        <is>
          <t>20251119000318</t>
        </is>
      </c>
      <c r="H3" s="8">
        <f>HYPERLINK("https://dart.fss.or.kr/dsaf001/main.do?rcpNo=20251119000318", "공시열람")</f>
        <v/>
      </c>
    </row>
    <row r="4">
      <c r="A4" s="2" t="inlineStr">
        <is>
          <t>2025-11-12</t>
        </is>
      </c>
      <c r="B4" s="3" t="inlineStr">
        <is>
          <t>신한글로벌액티브리츠</t>
        </is>
      </c>
      <c r="C4" s="2" t="inlineStr">
        <is>
          <t>코스피</t>
        </is>
      </c>
      <c r="D4" s="2" t="inlineStr">
        <is>
          <t>481850</t>
        </is>
      </c>
      <c r="E4" s="3" t="inlineStr">
        <is>
          <t>주주총회소집공고</t>
        </is>
      </c>
      <c r="F4" s="3" t="inlineStr">
        <is>
          <t>신한글로벌액티브리츠</t>
        </is>
      </c>
      <c r="G4" s="2" t="inlineStr">
        <is>
          <t>20251112000433</t>
        </is>
      </c>
      <c r="H4" s="8">
        <f>HYPERLINK("https://dart.fss.or.kr/dsaf001/main.do?rcpNo=20251112000433", "공시열람")</f>
        <v/>
      </c>
    </row>
    <row r="5">
      <c r="A5" s="2" t="inlineStr">
        <is>
          <t>2025-11-12</t>
        </is>
      </c>
      <c r="B5" s="3" t="inlineStr">
        <is>
          <t>대호에이엘</t>
        </is>
      </c>
      <c r="C5" s="2" t="inlineStr">
        <is>
          <t>코스피</t>
        </is>
      </c>
      <c r="D5" s="2" t="inlineStr">
        <is>
          <t>069460</t>
        </is>
      </c>
      <c r="E5" s="3" t="inlineStr">
        <is>
          <t>주주총회소집공고</t>
        </is>
      </c>
      <c r="F5" s="3" t="inlineStr">
        <is>
          <t>대호에이엘</t>
        </is>
      </c>
      <c r="G5" s="2" t="inlineStr">
        <is>
          <t>20251112000357</t>
        </is>
      </c>
      <c r="H5" s="8">
        <f>HYPERLINK("https://dart.fss.or.kr/dsaf001/main.do?rcpNo=20251112000357", "공시열람")</f>
        <v/>
      </c>
    </row>
    <row r="6">
      <c r="A6" s="2" t="inlineStr">
        <is>
          <t>2025-11-13</t>
        </is>
      </c>
      <c r="B6" s="3" t="inlineStr">
        <is>
          <t>이지스밸류플러스리츠</t>
        </is>
      </c>
      <c r="C6" s="2" t="inlineStr">
        <is>
          <t>코스피</t>
        </is>
      </c>
      <c r="D6" s="2" t="inlineStr">
        <is>
          <t>334890</t>
        </is>
      </c>
      <c r="E6" s="3" t="inlineStr">
        <is>
          <t>주주총회소집공고</t>
        </is>
      </c>
      <c r="F6" s="3" t="inlineStr">
        <is>
          <t>이지스밸류플러스리츠</t>
        </is>
      </c>
      <c r="G6" s="2" t="inlineStr">
        <is>
          <t>20251113000903</t>
        </is>
      </c>
      <c r="H6" s="8">
        <f>HYPERLINK("https://dart.fss.or.kr/dsaf001/main.do?rcpNo=20251113000903", "공시열람")</f>
        <v/>
      </c>
    </row>
    <row r="7">
      <c r="A7" s="2" t="inlineStr">
        <is>
          <t>2025-11-13 (정정: 2026-03-03)</t>
        </is>
      </c>
      <c r="B7" s="3" t="inlineStr">
        <is>
          <t>DH오토넥스</t>
        </is>
      </c>
      <c r="C7" s="2" t="inlineStr">
        <is>
          <t>코스피</t>
        </is>
      </c>
      <c r="D7" s="2" t="inlineStr">
        <is>
          <t>000300</t>
        </is>
      </c>
      <c r="E7" s="3" t="inlineStr">
        <is>
          <t>[기재정정]주주총회소집공고 (정정: 20251114) (정정: 20260303)</t>
        </is>
      </c>
      <c r="F7" s="3" t="inlineStr">
        <is>
          <t>DH오토넥스</t>
        </is>
      </c>
      <c r="G7" s="2" t="inlineStr">
        <is>
          <t>20260303000101</t>
        </is>
      </c>
      <c r="H7" s="8">
        <f>HYPERLINK("https://dart.fss.or.kr/dsaf001/main.do?rcpNo=20260303000101", "공시열람")</f>
        <v/>
      </c>
    </row>
    <row r="8">
      <c r="A8" s="2" t="inlineStr">
        <is>
          <t>2025-11-13 (정정: 2025-11-28)</t>
        </is>
      </c>
      <c r="B8" s="3" t="inlineStr">
        <is>
          <t>NPX</t>
        </is>
      </c>
      <c r="C8" s="2" t="inlineStr">
        <is>
          <t>코스닥</t>
        </is>
      </c>
      <c r="D8" s="2" t="inlineStr">
        <is>
          <t>222160</t>
        </is>
      </c>
      <c r="E8" s="3" t="inlineStr">
        <is>
          <t>주주총회소집공고 (정정: 20251128)</t>
        </is>
      </c>
      <c r="F8" s="3" t="inlineStr">
        <is>
          <t>NPX</t>
        </is>
      </c>
      <c r="G8" s="2" t="inlineStr">
        <is>
          <t>20251128000283</t>
        </is>
      </c>
      <c r="H8" s="8">
        <f>HYPERLINK("https://dart.fss.or.kr/dsaf001/main.do?rcpNo=20251128000283", "공시열람")</f>
        <v/>
      </c>
    </row>
    <row r="9">
      <c r="A9" s="2" t="inlineStr">
        <is>
          <t>2025-11-13</t>
        </is>
      </c>
      <c r="B9" s="3" t="inlineStr">
        <is>
          <t>오스코텍</t>
        </is>
      </c>
      <c r="C9" s="2" t="inlineStr">
        <is>
          <t>코스닥</t>
        </is>
      </c>
      <c r="D9" s="2" t="inlineStr">
        <is>
          <t>039200</t>
        </is>
      </c>
      <c r="E9" s="3" t="inlineStr">
        <is>
          <t>주주총회소집공고</t>
        </is>
      </c>
      <c r="F9" s="3" t="inlineStr">
        <is>
          <t>오스코텍</t>
        </is>
      </c>
      <c r="G9" s="2" t="inlineStr">
        <is>
          <t>20251113000678</t>
        </is>
      </c>
      <c r="H9" s="8">
        <f>HYPERLINK("https://dart.fss.or.kr/dsaf001/main.do?rcpNo=20251113000678", "공시열람")</f>
        <v/>
      </c>
    </row>
    <row r="10">
      <c r="A10" s="2" t="inlineStr">
        <is>
          <t>2025-11-13</t>
        </is>
      </c>
      <c r="B10" s="3" t="inlineStr">
        <is>
          <t>티웨이홀딩스</t>
        </is>
      </c>
      <c r="C10" s="2" t="inlineStr">
        <is>
          <t>코스피</t>
        </is>
      </c>
      <c r="D10" s="2" t="inlineStr">
        <is>
          <t>004870</t>
        </is>
      </c>
      <c r="E10" s="3" t="inlineStr">
        <is>
          <t>주주총회소집공고</t>
        </is>
      </c>
      <c r="F10" s="3" t="inlineStr">
        <is>
          <t>티웨이홀딩스</t>
        </is>
      </c>
      <c r="G10" s="2" t="inlineStr">
        <is>
          <t>20251113000657</t>
        </is>
      </c>
      <c r="H10" s="8">
        <f>HYPERLINK("https://dart.fss.or.kr/dsaf001/main.do?rcpNo=20251113000657", "공시열람")</f>
        <v/>
      </c>
    </row>
    <row r="11">
      <c r="A11" s="2" t="inlineStr">
        <is>
          <t>2025-11-13</t>
        </is>
      </c>
      <c r="B11" s="3" t="inlineStr">
        <is>
          <t>이노벡스</t>
        </is>
      </c>
      <c r="C11" s="2" t="inlineStr">
        <is>
          <t>코넥스</t>
        </is>
      </c>
      <c r="D11" s="2" t="inlineStr">
        <is>
          <t>279060</t>
        </is>
      </c>
      <c r="E11" s="3" t="inlineStr">
        <is>
          <t>주주총회소집공고</t>
        </is>
      </c>
      <c r="F11" s="3" t="inlineStr">
        <is>
          <t>이노벡스</t>
        </is>
      </c>
      <c r="G11" s="2" t="inlineStr">
        <is>
          <t>20251113000588</t>
        </is>
      </c>
      <c r="H11" s="8">
        <f>HYPERLINK("https://dart.fss.or.kr/dsaf001/main.do?rcpNo=20251113000588", "공시열람")</f>
        <v/>
      </c>
    </row>
    <row r="12">
      <c r="A12" s="2" t="inlineStr">
        <is>
          <t>2025-11-13</t>
        </is>
      </c>
      <c r="B12" s="3" t="inlineStr">
        <is>
          <t>와이엠</t>
        </is>
      </c>
      <c r="C12" s="2" t="inlineStr">
        <is>
          <t>코스닥</t>
        </is>
      </c>
      <c r="D12" s="2" t="inlineStr">
        <is>
          <t>007530</t>
        </is>
      </c>
      <c r="E12" s="3" t="inlineStr">
        <is>
          <t>주주총회소집공고</t>
        </is>
      </c>
      <c r="F12" s="3" t="inlineStr">
        <is>
          <t>와이엠</t>
        </is>
      </c>
      <c r="G12" s="2" t="inlineStr">
        <is>
          <t>20251113000467</t>
        </is>
      </c>
      <c r="H12" s="8">
        <f>HYPERLINK("https://dart.fss.or.kr/dsaf001/main.do?rcpNo=20251113000467", "공시열람")</f>
        <v/>
      </c>
    </row>
    <row r="13">
      <c r="A13" s="2" t="inlineStr">
        <is>
          <t>2025-11-13</t>
        </is>
      </c>
      <c r="B13" s="3" t="inlineStr">
        <is>
          <t>현대공업</t>
        </is>
      </c>
      <c r="C13" s="2" t="inlineStr">
        <is>
          <t>코스닥</t>
        </is>
      </c>
      <c r="D13" s="2" t="inlineStr">
        <is>
          <t>170030</t>
        </is>
      </c>
      <c r="E13" s="3" t="inlineStr">
        <is>
          <t>주주총회소집공고</t>
        </is>
      </c>
      <c r="F13" s="3" t="inlineStr">
        <is>
          <t>현대공업</t>
        </is>
      </c>
      <c r="G13" s="2" t="inlineStr">
        <is>
          <t>20251113000279</t>
        </is>
      </c>
      <c r="H13" s="8">
        <f>HYPERLINK("https://dart.fss.or.kr/dsaf001/main.do?rcpNo=20251113000279", "공시열람")</f>
        <v/>
      </c>
    </row>
    <row r="14">
      <c r="A14" s="2" t="inlineStr">
        <is>
          <t>2025-11-13</t>
        </is>
      </c>
      <c r="B14" s="3" t="inlineStr">
        <is>
          <t>엑시큐어하이트론</t>
        </is>
      </c>
      <c r="C14" s="2" t="inlineStr">
        <is>
          <t>코스피</t>
        </is>
      </c>
      <c r="D14" s="2" t="inlineStr">
        <is>
          <t>019490</t>
        </is>
      </c>
      <c r="E14" s="3" t="inlineStr">
        <is>
          <t>주주총회소집공고</t>
        </is>
      </c>
      <c r="F14" s="3" t="inlineStr">
        <is>
          <t>엑시큐어하이트론</t>
        </is>
      </c>
      <c r="G14" s="2" t="inlineStr">
        <is>
          <t>20251113000264</t>
        </is>
      </c>
      <c r="H14" s="8">
        <f>HYPERLINK("https://dart.fss.or.kr/dsaf001/main.do?rcpNo=20251113000264", "공시열람")</f>
        <v/>
      </c>
    </row>
    <row r="15">
      <c r="A15" s="2" t="inlineStr">
        <is>
          <t>2025-11-12 (정정: 2025-11-13)</t>
        </is>
      </c>
      <c r="B15" s="3" t="inlineStr">
        <is>
          <t>비투엔</t>
        </is>
      </c>
      <c r="C15" s="2" t="inlineStr">
        <is>
          <t>코스닥</t>
        </is>
      </c>
      <c r="D15" s="2" t="inlineStr">
        <is>
          <t>307870</t>
        </is>
      </c>
      <c r="E15" s="3" t="inlineStr">
        <is>
          <t>[기재정정]주주총회소집공고</t>
        </is>
      </c>
      <c r="F15" s="3" t="inlineStr">
        <is>
          <t>비투엔</t>
        </is>
      </c>
      <c r="G15" s="2" t="inlineStr">
        <is>
          <t>20251113000074</t>
        </is>
      </c>
      <c r="H15" s="8">
        <f>HYPERLINK("https://dart.fss.or.kr/dsaf001/main.do?rcpNo=20251113000074", "공시열람")</f>
        <v/>
      </c>
    </row>
    <row r="16">
      <c r="A16" s="2" t="inlineStr">
        <is>
          <t>2025-11-13 (정정: 2026-03-06)</t>
        </is>
      </c>
      <c r="B16" s="3" t="inlineStr">
        <is>
          <t>이노진</t>
        </is>
      </c>
      <c r="C16" s="2" t="inlineStr">
        <is>
          <t>코스닥</t>
        </is>
      </c>
      <c r="D16" s="2" t="inlineStr">
        <is>
          <t>344860</t>
        </is>
      </c>
      <c r="E16" s="3" t="inlineStr">
        <is>
          <t>주주총회소집공고 (정정: 20260306)</t>
        </is>
      </c>
      <c r="F16" s="3" t="inlineStr">
        <is>
          <t>이노진</t>
        </is>
      </c>
      <c r="G16" s="2" t="inlineStr">
        <is>
          <t>20260306900803</t>
        </is>
      </c>
      <c r="H16" s="8">
        <f>HYPERLINK("https://dart.fss.or.kr/dsaf001/main.do?rcpNo=20260306900803", "공시열람")</f>
        <v/>
      </c>
    </row>
    <row r="17">
      <c r="A17" s="2" t="inlineStr">
        <is>
          <t>2025-11-13 (정정: 2025-11-26)</t>
        </is>
      </c>
      <c r="B17" s="3" t="inlineStr">
        <is>
          <t>비투엔</t>
        </is>
      </c>
      <c r="C17" s="2" t="inlineStr">
        <is>
          <t>코스닥</t>
        </is>
      </c>
      <c r="D17" s="2" t="inlineStr">
        <is>
          <t>307870</t>
        </is>
      </c>
      <c r="E17" s="3" t="inlineStr">
        <is>
          <t>주주총회소집공고 (정정: 20251126)</t>
        </is>
      </c>
      <c r="F17" s="3" t="inlineStr">
        <is>
          <t>비투엔</t>
        </is>
      </c>
      <c r="G17" s="2" t="inlineStr">
        <is>
          <t>20251126000527</t>
        </is>
      </c>
      <c r="H17" s="8">
        <f>HYPERLINK("https://dart.fss.or.kr/dsaf001/main.do?rcpNo=20251126000527", "공시열람")</f>
        <v/>
      </c>
    </row>
    <row r="18">
      <c r="A18" s="2" t="inlineStr">
        <is>
          <t>2025-11-14</t>
        </is>
      </c>
      <c r="B18" s="3" t="inlineStr">
        <is>
          <t>로젠</t>
        </is>
      </c>
      <c r="C18" s="2" t="inlineStr">
        <is>
          <t>코스닥</t>
        </is>
      </c>
      <c r="D18" s="2" t="inlineStr">
        <is>
          <t>033290</t>
        </is>
      </c>
      <c r="E18" s="3" t="inlineStr">
        <is>
          <t>주주총회소집공고</t>
        </is>
      </c>
      <c r="F18" s="3" t="inlineStr">
        <is>
          <t>로젠</t>
        </is>
      </c>
      <c r="G18" s="2" t="inlineStr">
        <is>
          <t>20251114001367</t>
        </is>
      </c>
      <c r="H18" s="8">
        <f>HYPERLINK("https://dart.fss.or.kr/dsaf001/main.do?rcpNo=20251114001367", "공시열람")</f>
        <v/>
      </c>
    </row>
    <row r="19">
      <c r="A19" s="2" t="inlineStr">
        <is>
          <t>2025-10-17 (정정: 2025-11-14)</t>
        </is>
      </c>
      <c r="B19" s="3" t="inlineStr">
        <is>
          <t>우정바이오</t>
        </is>
      </c>
      <c r="C19" s="2" t="inlineStr">
        <is>
          <t>코스닥</t>
        </is>
      </c>
      <c r="D19" s="2" t="inlineStr">
        <is>
          <t>215380</t>
        </is>
      </c>
      <c r="E19" s="3" t="inlineStr">
        <is>
          <t>[기재정정]주주총회소집공고</t>
        </is>
      </c>
      <c r="F19" s="3" t="inlineStr">
        <is>
          <t>우정바이오</t>
        </is>
      </c>
      <c r="G19" s="2" t="inlineStr">
        <is>
          <t>20251114001089</t>
        </is>
      </c>
      <c r="H19" s="8">
        <f>HYPERLINK("https://dart.fss.or.kr/dsaf001/main.do?rcpNo=20251114001089", "공시열람")</f>
        <v/>
      </c>
    </row>
    <row r="20">
      <c r="A20" s="2" t="inlineStr">
        <is>
          <t>2025-11-14</t>
        </is>
      </c>
      <c r="B20" s="3" t="inlineStr">
        <is>
          <t>삼익THK</t>
        </is>
      </c>
      <c r="C20" s="2" t="inlineStr">
        <is>
          <t>코스피</t>
        </is>
      </c>
      <c r="D20" s="2" t="inlineStr">
        <is>
          <t>004380</t>
        </is>
      </c>
      <c r="E20" s="3" t="inlineStr">
        <is>
          <t>주주총회소집공고</t>
        </is>
      </c>
      <c r="F20" s="3" t="inlineStr">
        <is>
          <t>삼익THK</t>
        </is>
      </c>
      <c r="G20" s="2" t="inlineStr">
        <is>
          <t>20251114000870</t>
        </is>
      </c>
      <c r="H20" s="8">
        <f>HYPERLINK("https://dart.fss.or.kr/dsaf001/main.do?rcpNo=20251114000870", "공시열람")</f>
        <v/>
      </c>
    </row>
    <row r="21">
      <c r="A21" s="2" t="inlineStr">
        <is>
          <t>2025-11-14</t>
        </is>
      </c>
      <c r="B21" s="3" t="inlineStr">
        <is>
          <t>다이나믹솔루션</t>
        </is>
      </c>
      <c r="C21" s="2" t="inlineStr">
        <is>
          <t>코스닥</t>
        </is>
      </c>
      <c r="D21" s="2" t="inlineStr">
        <is>
          <t>290660</t>
        </is>
      </c>
      <c r="E21" s="3" t="inlineStr">
        <is>
          <t>주주총회소집공고</t>
        </is>
      </c>
      <c r="F21" s="3" t="inlineStr">
        <is>
          <t>다이나믹솔루션</t>
        </is>
      </c>
      <c r="G21" s="2" t="inlineStr">
        <is>
          <t>20251114000559</t>
        </is>
      </c>
      <c r="H21" s="8">
        <f>HYPERLINK("https://dart.fss.or.kr/dsaf001/main.do?rcpNo=20251114000559", "공시열람")</f>
        <v/>
      </c>
    </row>
    <row r="22">
      <c r="A22" s="2" t="inlineStr">
        <is>
          <t>2025-11-14</t>
        </is>
      </c>
      <c r="B22" s="3" t="inlineStr">
        <is>
          <t>루켄테크놀러지스</t>
        </is>
      </c>
      <c r="C22" s="2" t="inlineStr">
        <is>
          <t>코넥스</t>
        </is>
      </c>
      <c r="D22" s="2" t="inlineStr">
        <is>
          <t>162120</t>
        </is>
      </c>
      <c r="E22" s="3" t="inlineStr">
        <is>
          <t>주주총회소집공고</t>
        </is>
      </c>
      <c r="F22" s="3" t="inlineStr">
        <is>
          <t>루켄테크놀러지스</t>
        </is>
      </c>
      <c r="G22" s="2" t="inlineStr">
        <is>
          <t>20251114000158</t>
        </is>
      </c>
      <c r="H22" s="8">
        <f>HYPERLINK("https://dart.fss.or.kr/dsaf001/main.do?rcpNo=20251114000158", "공시열람")</f>
        <v/>
      </c>
    </row>
    <row r="23">
      <c r="A23" s="2" t="inlineStr">
        <is>
          <t>2025-11-17</t>
        </is>
      </c>
      <c r="B23" s="3" t="inlineStr">
        <is>
          <t>레드우즈</t>
        </is>
      </c>
      <c r="C23" s="2" t="inlineStr">
        <is>
          <t>코넥스</t>
        </is>
      </c>
      <c r="D23" s="2" t="inlineStr">
        <is>
          <t>266170</t>
        </is>
      </c>
      <c r="E23" s="3" t="inlineStr">
        <is>
          <t>주주총회소집공고</t>
        </is>
      </c>
      <c r="F23" s="3" t="inlineStr">
        <is>
          <t>레드우즈</t>
        </is>
      </c>
      <c r="G23" s="2" t="inlineStr">
        <is>
          <t>20251117000163</t>
        </is>
      </c>
      <c r="H23" s="8">
        <f>HYPERLINK("https://dart.fss.or.kr/dsaf001/main.do?rcpNo=20251117000163", "공시열람")</f>
        <v/>
      </c>
    </row>
    <row r="24">
      <c r="A24" s="2" t="inlineStr">
        <is>
          <t>2025-11-17</t>
        </is>
      </c>
      <c r="B24" s="3" t="inlineStr">
        <is>
          <t>다보링크</t>
        </is>
      </c>
      <c r="C24" s="2" t="inlineStr">
        <is>
          <t>코스닥</t>
        </is>
      </c>
      <c r="D24" s="2" t="inlineStr">
        <is>
          <t>340360</t>
        </is>
      </c>
      <c r="E24" s="3" t="inlineStr">
        <is>
          <t>주주총회소집공고</t>
        </is>
      </c>
      <c r="F24" s="3" t="inlineStr">
        <is>
          <t>다보링크</t>
        </is>
      </c>
      <c r="G24" s="2" t="inlineStr">
        <is>
          <t>20251117000143</t>
        </is>
      </c>
      <c r="H24" s="8">
        <f>HYPERLINK("https://dart.fss.or.kr/dsaf001/main.do?rcpNo=20251117000143", "공시열람")</f>
        <v/>
      </c>
    </row>
    <row r="25">
      <c r="A25" s="2" t="inlineStr">
        <is>
          <t>2025-11-18</t>
        </is>
      </c>
      <c r="B25" s="3" t="inlineStr">
        <is>
          <t>베뉴지</t>
        </is>
      </c>
      <c r="C25" s="2" t="inlineStr">
        <is>
          <t>코스닥</t>
        </is>
      </c>
      <c r="D25" s="2" t="inlineStr">
        <is>
          <t>019010</t>
        </is>
      </c>
      <c r="E25" s="3" t="inlineStr">
        <is>
          <t>주주총회소집공고</t>
        </is>
      </c>
      <c r="F25" s="3" t="inlineStr">
        <is>
          <t>베뉴지</t>
        </is>
      </c>
      <c r="G25" s="2" t="inlineStr">
        <is>
          <t>20251118000272</t>
        </is>
      </c>
      <c r="H25" s="8">
        <f>HYPERLINK("https://dart.fss.or.kr/dsaf001/main.do?rcpNo=20251118000272", "공시열람")</f>
        <v/>
      </c>
    </row>
    <row r="26">
      <c r="A26" s="2" t="inlineStr">
        <is>
          <t>2025-11-18</t>
        </is>
      </c>
      <c r="B26" s="3" t="inlineStr">
        <is>
          <t>아우딘퓨쳐스</t>
        </is>
      </c>
      <c r="C26" s="2" t="inlineStr">
        <is>
          <t>코스닥</t>
        </is>
      </c>
      <c r="D26" s="2" t="inlineStr">
        <is>
          <t>227610</t>
        </is>
      </c>
      <c r="E26" s="3" t="inlineStr">
        <is>
          <t>주주총회소집공고</t>
        </is>
      </c>
      <c r="F26" s="3" t="inlineStr">
        <is>
          <t>아우딘퓨쳐스</t>
        </is>
      </c>
      <c r="G26" s="2" t="inlineStr">
        <is>
          <t>20251118000267</t>
        </is>
      </c>
      <c r="H26" s="8">
        <f>HYPERLINK("https://dart.fss.or.kr/dsaf001/main.do?rcpNo=20251118000267", "공시열람")</f>
        <v/>
      </c>
    </row>
    <row r="27">
      <c r="A27" s="2" t="inlineStr">
        <is>
          <t>2025-11-18</t>
        </is>
      </c>
      <c r="B27" s="3" t="inlineStr">
        <is>
          <t>애드바이오텍</t>
        </is>
      </c>
      <c r="C27" s="2" t="inlineStr">
        <is>
          <t>코스닥</t>
        </is>
      </c>
      <c r="D27" s="2" t="inlineStr">
        <is>
          <t>179530</t>
        </is>
      </c>
      <c r="E27" s="3" t="inlineStr">
        <is>
          <t>주주총회소집공고</t>
        </is>
      </c>
      <c r="F27" s="3" t="inlineStr">
        <is>
          <t>애드바이오텍</t>
        </is>
      </c>
      <c r="G27" s="2" t="inlineStr">
        <is>
          <t>20251118000248</t>
        </is>
      </c>
      <c r="H27" s="8">
        <f>HYPERLINK("https://dart.fss.or.kr/dsaf001/main.do?rcpNo=20251118000248", "공시열람")</f>
        <v/>
      </c>
    </row>
    <row r="28">
      <c r="A28" s="2" t="inlineStr">
        <is>
          <t>2025-11-18</t>
        </is>
      </c>
      <c r="B28" s="3" t="inlineStr">
        <is>
          <t>AJ네트웍스</t>
        </is>
      </c>
      <c r="C28" s="2" t="inlineStr">
        <is>
          <t>코스피</t>
        </is>
      </c>
      <c r="D28" s="2" t="inlineStr">
        <is>
          <t>095570</t>
        </is>
      </c>
      <c r="E28" s="3" t="inlineStr">
        <is>
          <t>주주총회소집공고</t>
        </is>
      </c>
      <c r="F28" s="3" t="inlineStr">
        <is>
          <t>AJ네트웍스</t>
        </is>
      </c>
      <c r="G28" s="2" t="inlineStr">
        <is>
          <t>20251118000151</t>
        </is>
      </c>
      <c r="H28" s="8">
        <f>HYPERLINK("https://dart.fss.or.kr/dsaf001/main.do?rcpNo=20251118000151", "공시열람")</f>
        <v/>
      </c>
    </row>
    <row r="29">
      <c r="A29" s="2" t="inlineStr">
        <is>
          <t>2025-11-18 (정정: 2026-01-29)</t>
        </is>
      </c>
      <c r="B29" s="3" t="inlineStr">
        <is>
          <t>캔버스엔</t>
        </is>
      </c>
      <c r="C29" s="2" t="inlineStr">
        <is>
          <t>코스닥</t>
        </is>
      </c>
      <c r="D29" s="2" t="inlineStr">
        <is>
          <t>210120</t>
        </is>
      </c>
      <c r="E29" s="3" t="inlineStr">
        <is>
          <t>[기재정정]주주총회소집공고 (정정: 20251201) (정정: 20251204) (정정: 20260129)</t>
        </is>
      </c>
      <c r="F29" s="3" t="inlineStr">
        <is>
          <t>캔버스엔</t>
        </is>
      </c>
      <c r="G29" s="2" t="inlineStr">
        <is>
          <t>20260129000540</t>
        </is>
      </c>
      <c r="H29" s="8">
        <f>HYPERLINK("https://dart.fss.or.kr/dsaf001/main.do?rcpNo=20260129000540", "공시열람")</f>
        <v/>
      </c>
    </row>
    <row r="30">
      <c r="A30" s="2" t="inlineStr">
        <is>
          <t>2025-11-18</t>
        </is>
      </c>
      <c r="B30" s="3" t="inlineStr">
        <is>
          <t>유비쿼스홀딩스</t>
        </is>
      </c>
      <c r="C30" s="2" t="inlineStr">
        <is>
          <t>코스닥</t>
        </is>
      </c>
      <c r="D30" s="2" t="inlineStr">
        <is>
          <t>078070</t>
        </is>
      </c>
      <c r="E30" s="3" t="inlineStr">
        <is>
          <t>주주총회소집공고</t>
        </is>
      </c>
      <c r="F30" s="3" t="inlineStr">
        <is>
          <t>유비쿼스홀딩스</t>
        </is>
      </c>
      <c r="G30" s="2" t="inlineStr">
        <is>
          <t>20251118000028</t>
        </is>
      </c>
      <c r="H30" s="8">
        <f>HYPERLINK("https://dart.fss.or.kr/dsaf001/main.do?rcpNo=20251118000028", "공시열람")</f>
        <v/>
      </c>
    </row>
    <row r="31">
      <c r="A31" s="2" t="inlineStr">
        <is>
          <t>2025-11-18</t>
        </is>
      </c>
      <c r="B31" s="3" t="inlineStr">
        <is>
          <t>유비쿼스</t>
        </is>
      </c>
      <c r="C31" s="2" t="inlineStr">
        <is>
          <t>코스닥</t>
        </is>
      </c>
      <c r="D31" s="2" t="inlineStr">
        <is>
          <t>264450</t>
        </is>
      </c>
      <c r="E31" s="3" t="inlineStr">
        <is>
          <t>주주총회소집공고</t>
        </is>
      </c>
      <c r="F31" s="3" t="inlineStr">
        <is>
          <t>유비쿼스</t>
        </is>
      </c>
      <c r="G31" s="2" t="inlineStr">
        <is>
          <t>20251118000026</t>
        </is>
      </c>
      <c r="H31" s="8">
        <f>HYPERLINK("https://dart.fss.or.kr/dsaf001/main.do?rcpNo=20251118000026", "공시열람")</f>
        <v/>
      </c>
    </row>
    <row r="32">
      <c r="A32" s="2" t="inlineStr">
        <is>
          <t>2025-11-19</t>
        </is>
      </c>
      <c r="B32" s="3" t="inlineStr">
        <is>
          <t>멤레이비티</t>
        </is>
      </c>
      <c r="C32" s="2" t="inlineStr">
        <is>
          <t>코스닥</t>
        </is>
      </c>
      <c r="D32" s="2" t="inlineStr">
        <is>
          <t>072770</t>
        </is>
      </c>
      <c r="E32" s="3" t="inlineStr">
        <is>
          <t>주주총회소집공고</t>
        </is>
      </c>
      <c r="F32" s="3" t="inlineStr">
        <is>
          <t>멤레이비티</t>
        </is>
      </c>
      <c r="G32" s="2" t="inlineStr">
        <is>
          <t>20251119000239</t>
        </is>
      </c>
      <c r="H32" s="8">
        <f>HYPERLINK("https://dart.fss.or.kr/dsaf001/main.do?rcpNo=20251119000239", "공시열람")</f>
        <v/>
      </c>
    </row>
    <row r="33">
      <c r="A33" s="2" t="inlineStr">
        <is>
          <t>2025-11-19</t>
        </is>
      </c>
      <c r="B33" s="3" t="inlineStr">
        <is>
          <t>하이딥</t>
        </is>
      </c>
      <c r="C33" s="2" t="inlineStr">
        <is>
          <t>코스닥</t>
        </is>
      </c>
      <c r="D33" s="2" t="inlineStr">
        <is>
          <t>365590</t>
        </is>
      </c>
      <c r="E33" s="3" t="inlineStr">
        <is>
          <t>주주총회소집공고</t>
        </is>
      </c>
      <c r="F33" s="3" t="inlineStr">
        <is>
          <t>하이딥</t>
        </is>
      </c>
      <c r="G33" s="2" t="inlineStr">
        <is>
          <t>20251119000219</t>
        </is>
      </c>
      <c r="H33" s="8">
        <f>HYPERLINK("https://dart.fss.or.kr/dsaf001/main.do?rcpNo=20251119000219", "공시열람")</f>
        <v/>
      </c>
    </row>
    <row r="34">
      <c r="A34" s="2" t="inlineStr">
        <is>
          <t>2025-11-19</t>
        </is>
      </c>
      <c r="B34" s="3" t="inlineStr">
        <is>
          <t>에스엠벡셀</t>
        </is>
      </c>
      <c r="C34" s="2" t="inlineStr">
        <is>
          <t>코스피</t>
        </is>
      </c>
      <c r="D34" s="2" t="inlineStr">
        <is>
          <t>010580</t>
        </is>
      </c>
      <c r="E34" s="3" t="inlineStr">
        <is>
          <t>주주총회소집공고</t>
        </is>
      </c>
      <c r="F34" s="3" t="inlineStr">
        <is>
          <t>에스엠벡셀</t>
        </is>
      </c>
      <c r="G34" s="2" t="inlineStr">
        <is>
          <t>20251119000199</t>
        </is>
      </c>
      <c r="H34" s="8">
        <f>HYPERLINK("https://dart.fss.or.kr/dsaf001/main.do?rcpNo=20251119000199", "공시열람")</f>
        <v/>
      </c>
    </row>
    <row r="35">
      <c r="A35" s="2" t="inlineStr">
        <is>
          <t>2025-11-19</t>
        </is>
      </c>
      <c r="B35" s="3" t="inlineStr">
        <is>
          <t>서울평가정보</t>
        </is>
      </c>
      <c r="C35" s="2" t="inlineStr">
        <is>
          <t>코스닥</t>
        </is>
      </c>
      <c r="D35" s="2" t="inlineStr">
        <is>
          <t>036120</t>
        </is>
      </c>
      <c r="E35" s="3" t="inlineStr">
        <is>
          <t>주주총회소집공고</t>
        </is>
      </c>
      <c r="F35" s="3" t="inlineStr">
        <is>
          <t>서울평가정보</t>
        </is>
      </c>
      <c r="G35" s="2" t="inlineStr">
        <is>
          <t>20251119000143</t>
        </is>
      </c>
      <c r="H35" s="8">
        <f>HYPERLINK("https://dart.fss.or.kr/dsaf001/main.do?rcpNo=20251119000143", "공시열람")</f>
        <v/>
      </c>
    </row>
    <row r="36">
      <c r="A36" s="2" t="inlineStr">
        <is>
          <t>2025-11-19</t>
        </is>
      </c>
      <c r="B36" s="3" t="inlineStr">
        <is>
          <t>웹젠</t>
        </is>
      </c>
      <c r="C36" s="2" t="inlineStr">
        <is>
          <t>코스닥</t>
        </is>
      </c>
      <c r="D36" s="2" t="inlineStr">
        <is>
          <t>069080</t>
        </is>
      </c>
      <c r="E36" s="3" t="inlineStr">
        <is>
          <t>주주총회소집공고</t>
        </is>
      </c>
      <c r="F36" s="3" t="inlineStr">
        <is>
          <t>웹젠</t>
        </is>
      </c>
      <c r="G36" s="2" t="inlineStr">
        <is>
          <t>20251119000130</t>
        </is>
      </c>
      <c r="H36" s="8">
        <f>HYPERLINK("https://dart.fss.or.kr/dsaf001/main.do?rcpNo=20251119000130", "공시열람")</f>
        <v/>
      </c>
    </row>
    <row r="37">
      <c r="A37" s="2" t="inlineStr">
        <is>
          <t>2025-11-20</t>
        </is>
      </c>
      <c r="B37" s="3" t="inlineStr">
        <is>
          <t>케이이엠텍</t>
        </is>
      </c>
      <c r="C37" s="2" t="inlineStr">
        <is>
          <t>코스닥</t>
        </is>
      </c>
      <c r="D37" s="2" t="inlineStr">
        <is>
          <t>106080</t>
        </is>
      </c>
      <c r="E37" s="3" t="inlineStr">
        <is>
          <t>주주총회소집공고</t>
        </is>
      </c>
      <c r="F37" s="3" t="inlineStr">
        <is>
          <t>케이이엠텍</t>
        </is>
      </c>
      <c r="G37" s="2" t="inlineStr">
        <is>
          <t>20251120000595</t>
        </is>
      </c>
      <c r="H37" s="8">
        <f>HYPERLINK("https://dart.fss.or.kr/dsaf001/main.do?rcpNo=20251120000595", "공시열람")</f>
        <v/>
      </c>
    </row>
    <row r="38">
      <c r="A38" s="2" t="inlineStr">
        <is>
          <t>2025-11-20 (정정: 2026-02-26)</t>
        </is>
      </c>
      <c r="B38" s="3" t="inlineStr">
        <is>
          <t>이오플로우</t>
        </is>
      </c>
      <c r="C38" s="2" t="inlineStr">
        <is>
          <t>코스닥</t>
        </is>
      </c>
      <c r="D38" s="2" t="inlineStr">
        <is>
          <t>294090</t>
        </is>
      </c>
      <c r="E38" s="3" t="inlineStr">
        <is>
          <t>주주총회소집공고 (정정: 20260226)</t>
        </is>
      </c>
      <c r="F38" s="3" t="inlineStr">
        <is>
          <t>이오플로우</t>
        </is>
      </c>
      <c r="G38" s="2" t="inlineStr">
        <is>
          <t>20260226004395</t>
        </is>
      </c>
      <c r="H38" s="8">
        <f>HYPERLINK("https://dart.fss.or.kr/dsaf001/main.do?rcpNo=20260226004395", "공시열람")</f>
        <v/>
      </c>
    </row>
    <row r="39">
      <c r="A39" s="2" t="inlineStr">
        <is>
          <t>2025-11-20</t>
        </is>
      </c>
      <c r="B39" s="3" t="inlineStr">
        <is>
          <t>엔케이젠바이오텍코리아</t>
        </is>
      </c>
      <c r="C39" s="2" t="inlineStr">
        <is>
          <t>코스닥</t>
        </is>
      </c>
      <c r="D39" s="2" t="inlineStr">
        <is>
          <t>182400</t>
        </is>
      </c>
      <c r="E39" s="3" t="inlineStr">
        <is>
          <t>[기재정정]주주총회소집공고</t>
        </is>
      </c>
      <c r="F39" s="3" t="inlineStr">
        <is>
          <t>엔케이젠바이오텍코리아</t>
        </is>
      </c>
      <c r="G39" s="2" t="inlineStr">
        <is>
          <t>20251120000568</t>
        </is>
      </c>
      <c r="H39" s="8">
        <f>HYPERLINK("https://dart.fss.or.kr/dsaf001/main.do?rcpNo=20251120000568", "공시열람")</f>
        <v/>
      </c>
    </row>
    <row r="40">
      <c r="A40" s="2" t="inlineStr">
        <is>
          <t>2025-11-20</t>
        </is>
      </c>
      <c r="B40" s="3" t="inlineStr">
        <is>
          <t>탑선</t>
        </is>
      </c>
      <c r="C40" s="2" t="inlineStr">
        <is>
          <t>코넥스</t>
        </is>
      </c>
      <c r="D40" s="2" t="inlineStr">
        <is>
          <t>180060</t>
        </is>
      </c>
      <c r="E40" s="3" t="inlineStr">
        <is>
          <t>주주총회소집공고</t>
        </is>
      </c>
      <c r="F40" s="3" t="inlineStr">
        <is>
          <t>탑선</t>
        </is>
      </c>
      <c r="G40" s="2" t="inlineStr">
        <is>
          <t>20251120000372</t>
        </is>
      </c>
      <c r="H40" s="8">
        <f>HYPERLINK("https://dart.fss.or.kr/dsaf001/main.do?rcpNo=20251120000372", "공시열람")</f>
        <v/>
      </c>
    </row>
    <row r="41">
      <c r="A41" s="2" t="inlineStr">
        <is>
          <t>2025-10-23 (정정: 2025-11-20)</t>
        </is>
      </c>
      <c r="B41" s="3" t="inlineStr">
        <is>
          <t>엑스큐어</t>
        </is>
      </c>
      <c r="C41" s="2" t="inlineStr">
        <is>
          <t>코스닥</t>
        </is>
      </c>
      <c r="D41" s="2" t="inlineStr">
        <is>
          <t>070300</t>
        </is>
      </c>
      <c r="E41" s="3" t="inlineStr">
        <is>
          <t>[기재정정]주주총회소집공고</t>
        </is>
      </c>
      <c r="F41" s="3" t="inlineStr">
        <is>
          <t>엑스큐어</t>
        </is>
      </c>
      <c r="G41" s="2" t="inlineStr">
        <is>
          <t>20251120000294</t>
        </is>
      </c>
      <c r="H41" s="8">
        <f>HYPERLINK("https://dart.fss.or.kr/dsaf001/main.do?rcpNo=20251120000294", "공시열람")</f>
        <v/>
      </c>
    </row>
    <row r="42">
      <c r="A42" s="2" t="inlineStr">
        <is>
          <t>2025-11-20</t>
        </is>
      </c>
      <c r="B42" s="3" t="inlineStr">
        <is>
          <t>투비소프트</t>
        </is>
      </c>
      <c r="C42" s="2" t="inlineStr">
        <is>
          <t>코스닥</t>
        </is>
      </c>
      <c r="D42" s="2" t="inlineStr">
        <is>
          <t>079970</t>
        </is>
      </c>
      <c r="E42" s="3" t="inlineStr">
        <is>
          <t>주주총회소집공고</t>
        </is>
      </c>
      <c r="F42" s="3" t="inlineStr">
        <is>
          <t>투비소프트</t>
        </is>
      </c>
      <c r="G42" s="2" t="inlineStr">
        <is>
          <t>20251120000236</t>
        </is>
      </c>
      <c r="H42" s="8">
        <f>HYPERLINK("https://dart.fss.or.kr/dsaf001/main.do?rcpNo=20251120000236", "공시열람")</f>
        <v/>
      </c>
    </row>
    <row r="43">
      <c r="A43" s="2" t="inlineStr">
        <is>
          <t>2025-11-21</t>
        </is>
      </c>
      <c r="B43" s="3" t="inlineStr">
        <is>
          <t>크리스탈신소재</t>
        </is>
      </c>
      <c r="C43" s="2" t="inlineStr">
        <is>
          <t>코스닥</t>
        </is>
      </c>
      <c r="D43" s="2" t="inlineStr">
        <is>
          <t>900250</t>
        </is>
      </c>
      <c r="E43" s="3" t="inlineStr">
        <is>
          <t>주주총회소집공고</t>
        </is>
      </c>
      <c r="F43" s="3" t="inlineStr">
        <is>
          <t>크리스탈신소재</t>
        </is>
      </c>
      <c r="G43" s="2" t="inlineStr">
        <is>
          <t>20251121000447</t>
        </is>
      </c>
      <c r="H43" s="8">
        <f>HYPERLINK("https://dart.fss.or.kr/dsaf001/main.do?rcpNo=20251121000447", "공시열람")</f>
        <v/>
      </c>
    </row>
    <row r="44">
      <c r="A44" s="2" t="inlineStr">
        <is>
          <t>2025-11-21</t>
        </is>
      </c>
      <c r="B44" s="3" t="inlineStr">
        <is>
          <t>알테오젠</t>
        </is>
      </c>
      <c r="C44" s="2" t="inlineStr">
        <is>
          <t>코스닥</t>
        </is>
      </c>
      <c r="D44" s="2" t="inlineStr">
        <is>
          <t>196170</t>
        </is>
      </c>
      <c r="E44" s="3" t="inlineStr">
        <is>
          <t>주주총회소집공고</t>
        </is>
      </c>
      <c r="F44" s="3" t="inlineStr">
        <is>
          <t>알테오젠</t>
        </is>
      </c>
      <c r="G44" s="2" t="inlineStr">
        <is>
          <t>20251121000317</t>
        </is>
      </c>
      <c r="H44" s="8">
        <f>HYPERLINK("https://dart.fss.or.kr/dsaf001/main.do?rcpNo=20251121000317", "공시열람")</f>
        <v/>
      </c>
    </row>
    <row r="45">
      <c r="A45" s="2" t="inlineStr">
        <is>
          <t>2025-11-21</t>
        </is>
      </c>
      <c r="B45" s="3" t="inlineStr">
        <is>
          <t>파세코</t>
        </is>
      </c>
      <c r="C45" s="2" t="inlineStr">
        <is>
          <t>코스닥</t>
        </is>
      </c>
      <c r="D45" s="2" t="inlineStr">
        <is>
          <t>037070</t>
        </is>
      </c>
      <c r="E45" s="3" t="inlineStr">
        <is>
          <t>주주총회소집공고</t>
        </is>
      </c>
      <c r="F45" s="3" t="inlineStr">
        <is>
          <t>파세코</t>
        </is>
      </c>
      <c r="G45" s="2" t="inlineStr">
        <is>
          <t>20251121000100</t>
        </is>
      </c>
      <c r="H45" s="8">
        <f>HYPERLINK("https://dart.fss.or.kr/dsaf001/main.do?rcpNo=20251121000100", "공시열람")</f>
        <v/>
      </c>
    </row>
    <row r="46">
      <c r="A46" s="2" t="inlineStr">
        <is>
          <t>2025-11-21</t>
        </is>
      </c>
      <c r="B46" s="3" t="inlineStr">
        <is>
          <t>피엔에이치테크</t>
        </is>
      </c>
      <c r="C46" s="2" t="inlineStr">
        <is>
          <t>코스닥</t>
        </is>
      </c>
      <c r="D46" s="2" t="inlineStr">
        <is>
          <t>239890</t>
        </is>
      </c>
      <c r="E46" s="3" t="inlineStr">
        <is>
          <t>주주총회소집공고</t>
        </is>
      </c>
      <c r="F46" s="3" t="inlineStr">
        <is>
          <t>피엔에이치테크</t>
        </is>
      </c>
      <c r="G46" s="2" t="inlineStr">
        <is>
          <t>20251120000610</t>
        </is>
      </c>
      <c r="H46" s="8">
        <f>HYPERLINK("https://dart.fss.or.kr/dsaf001/main.do?rcpNo=20251120000610", "공시열람")</f>
        <v/>
      </c>
    </row>
    <row r="47">
      <c r="A47" s="2" t="inlineStr">
        <is>
          <t>2025-11-24 (정정: 2025-12-10)</t>
        </is>
      </c>
      <c r="B47" s="3" t="inlineStr">
        <is>
          <t>이렘</t>
        </is>
      </c>
      <c r="C47" s="2" t="inlineStr">
        <is>
          <t>코스닥</t>
        </is>
      </c>
      <c r="D47" s="2" t="inlineStr">
        <is>
          <t>009730</t>
        </is>
      </c>
      <c r="E47" s="3" t="inlineStr">
        <is>
          <t>[기재정정]주주총회소집공고 (정정: 20251210)</t>
        </is>
      </c>
      <c r="F47" s="3" t="inlineStr">
        <is>
          <t>이렘</t>
        </is>
      </c>
      <c r="G47" s="2" t="inlineStr">
        <is>
          <t>20251210000411</t>
        </is>
      </c>
      <c r="H47" s="8">
        <f>HYPERLINK("https://dart.fss.or.kr/dsaf001/main.do?rcpNo=20251210000411", "공시열람")</f>
        <v/>
      </c>
    </row>
    <row r="48">
      <c r="A48" s="2" t="inlineStr">
        <is>
          <t>2025-11-25</t>
        </is>
      </c>
      <c r="B48" s="3" t="inlineStr">
        <is>
          <t>NE능률</t>
        </is>
      </c>
      <c r="C48" s="2" t="inlineStr">
        <is>
          <t>코스닥</t>
        </is>
      </c>
      <c r="D48" s="2" t="inlineStr">
        <is>
          <t>053290</t>
        </is>
      </c>
      <c r="E48" s="3" t="inlineStr">
        <is>
          <t>주주총회소집공고</t>
        </is>
      </c>
      <c r="F48" s="3" t="inlineStr">
        <is>
          <t>NE능률</t>
        </is>
      </c>
      <c r="G48" s="2" t="inlineStr">
        <is>
          <t>20251125000497</t>
        </is>
      </c>
      <c r="H48" s="8">
        <f>HYPERLINK("https://dart.fss.or.kr/dsaf001/main.do?rcpNo=20251125000497", "공시열람")</f>
        <v/>
      </c>
    </row>
    <row r="49">
      <c r="A49" s="2" t="inlineStr">
        <is>
          <t>2025-11-25</t>
        </is>
      </c>
      <c r="B49" s="3" t="inlineStr">
        <is>
          <t>신세계인터내셔날</t>
        </is>
      </c>
      <c r="C49" s="2" t="inlineStr">
        <is>
          <t>코스피</t>
        </is>
      </c>
      <c r="D49" s="2" t="inlineStr">
        <is>
          <t>031430</t>
        </is>
      </c>
      <c r="E49" s="3" t="inlineStr">
        <is>
          <t>주주총회소집공고</t>
        </is>
      </c>
      <c r="F49" s="3" t="inlineStr">
        <is>
          <t>신세계인터내셔날</t>
        </is>
      </c>
      <c r="G49" s="2" t="inlineStr">
        <is>
          <t>20251125000434</t>
        </is>
      </c>
      <c r="H49" s="8">
        <f>HYPERLINK("https://dart.fss.or.kr/dsaf001/main.do?rcpNo=20251125000434", "공시열람")</f>
        <v/>
      </c>
    </row>
    <row r="50">
      <c r="A50" s="2" t="inlineStr">
        <is>
          <t>2025-11-25</t>
        </is>
      </c>
      <c r="B50" s="3" t="inlineStr">
        <is>
          <t>신한알파리츠</t>
        </is>
      </c>
      <c r="C50" s="2" t="inlineStr">
        <is>
          <t>코스피</t>
        </is>
      </c>
      <c r="D50" s="2" t="inlineStr">
        <is>
          <t>293940</t>
        </is>
      </c>
      <c r="E50" s="3" t="inlineStr">
        <is>
          <t>주주총회소집공고</t>
        </is>
      </c>
      <c r="F50" s="3" t="inlineStr">
        <is>
          <t>신한알파리츠</t>
        </is>
      </c>
      <c r="G50" s="2" t="inlineStr">
        <is>
          <t>20251125000404</t>
        </is>
      </c>
      <c r="H50" s="8">
        <f>HYPERLINK("https://dart.fss.or.kr/dsaf001/main.do?rcpNo=20251125000404", "공시열람")</f>
        <v/>
      </c>
    </row>
    <row r="51">
      <c r="A51" s="2" t="inlineStr">
        <is>
          <t>2025-11-26</t>
        </is>
      </c>
      <c r="B51" s="3" t="inlineStr">
        <is>
          <t>솔디펜스</t>
        </is>
      </c>
      <c r="C51" s="2" t="inlineStr">
        <is>
          <t>코스닥</t>
        </is>
      </c>
      <c r="D51" s="2" t="inlineStr">
        <is>
          <t>215090</t>
        </is>
      </c>
      <c r="E51" s="3" t="inlineStr">
        <is>
          <t>주주총회소집공고</t>
        </is>
      </c>
      <c r="F51" s="3" t="inlineStr">
        <is>
          <t>솔디펜스</t>
        </is>
      </c>
      <c r="G51" s="2" t="inlineStr">
        <is>
          <t>20251126000565</t>
        </is>
      </c>
      <c r="H51" s="8">
        <f>HYPERLINK("https://dart.fss.or.kr/dsaf001/main.do?rcpNo=20251126000565", "공시열람")</f>
        <v/>
      </c>
    </row>
    <row r="52">
      <c r="A52" s="2" t="inlineStr">
        <is>
          <t>2025-11-26</t>
        </is>
      </c>
      <c r="B52" s="3" t="inlineStr">
        <is>
          <t>TCC스틸</t>
        </is>
      </c>
      <c r="C52" s="2" t="inlineStr">
        <is>
          <t>코스피</t>
        </is>
      </c>
      <c r="D52" s="2" t="inlineStr">
        <is>
          <t>002710</t>
        </is>
      </c>
      <c r="E52" s="3" t="inlineStr">
        <is>
          <t>주주총회소집공고</t>
        </is>
      </c>
      <c r="F52" s="3" t="inlineStr">
        <is>
          <t>TCC스틸</t>
        </is>
      </c>
      <c r="G52" s="2" t="inlineStr">
        <is>
          <t>20251126000267</t>
        </is>
      </c>
      <c r="H52" s="8">
        <f>HYPERLINK("https://dart.fss.or.kr/dsaf001/main.do?rcpNo=20251126000267", "공시열람")</f>
        <v/>
      </c>
    </row>
    <row r="53">
      <c r="A53" s="2" t="inlineStr">
        <is>
          <t>2025-11-26 (정정: 2025-11-26)</t>
        </is>
      </c>
      <c r="B53" s="3" t="inlineStr">
        <is>
          <t>LK삼양</t>
        </is>
      </c>
      <c r="C53" s="2" t="inlineStr">
        <is>
          <t>코스닥</t>
        </is>
      </c>
      <c r="D53" s="2" t="inlineStr">
        <is>
          <t>225190</t>
        </is>
      </c>
      <c r="E53" s="3" t="inlineStr">
        <is>
          <t>[기재정정]주주총회소집공고</t>
        </is>
      </c>
      <c r="F53" s="3" t="inlineStr">
        <is>
          <t>LK삼양</t>
        </is>
      </c>
      <c r="G53" s="2" t="inlineStr">
        <is>
          <t>20251126000245</t>
        </is>
      </c>
      <c r="H53" s="8">
        <f>HYPERLINK("https://dart.fss.or.kr/dsaf001/main.do?rcpNo=20251126000245", "공시열람")</f>
        <v/>
      </c>
    </row>
    <row r="54">
      <c r="A54" s="2" t="inlineStr">
        <is>
          <t>2025-11-26</t>
        </is>
      </c>
      <c r="B54" s="3" t="inlineStr">
        <is>
          <t>LK삼양</t>
        </is>
      </c>
      <c r="C54" s="2" t="inlineStr">
        <is>
          <t>코스닥</t>
        </is>
      </c>
      <c r="D54" s="2" t="inlineStr">
        <is>
          <t>225190</t>
        </is>
      </c>
      <c r="E54" s="3" t="inlineStr">
        <is>
          <t>주주총회소집공고</t>
        </is>
      </c>
      <c r="F54" s="3" t="inlineStr">
        <is>
          <t>LK삼양</t>
        </is>
      </c>
      <c r="G54" s="2" t="inlineStr">
        <is>
          <t>20251126000131</t>
        </is>
      </c>
      <c r="H54" s="8">
        <f>HYPERLINK("https://dart.fss.or.kr/dsaf001/main.do?rcpNo=20251126000131", "공시열람")</f>
        <v/>
      </c>
    </row>
    <row r="55">
      <c r="A55" s="2" t="inlineStr">
        <is>
          <t>2025-11-27 (정정: 2025-12-08)</t>
        </is>
      </c>
      <c r="B55" s="3" t="inlineStr">
        <is>
          <t>CNT85</t>
        </is>
      </c>
      <c r="C55" s="2" t="inlineStr">
        <is>
          <t>코스닥</t>
        </is>
      </c>
      <c r="D55" s="2" t="inlineStr">
        <is>
          <t>056730</t>
        </is>
      </c>
      <c r="E55" s="3" t="inlineStr">
        <is>
          <t>주주총회소집공고 (정정: 20251208)</t>
        </is>
      </c>
      <c r="F55" s="3" t="inlineStr">
        <is>
          <t>CNT85</t>
        </is>
      </c>
      <c r="G55" s="2" t="inlineStr">
        <is>
          <t>20251208000355</t>
        </is>
      </c>
      <c r="H55" s="8">
        <f>HYPERLINK("https://dart.fss.or.kr/dsaf001/main.do?rcpNo=20251208000355", "공시열람")</f>
        <v/>
      </c>
    </row>
    <row r="56">
      <c r="A56" s="2" t="inlineStr">
        <is>
          <t>2025-11-27</t>
        </is>
      </c>
      <c r="B56" s="3" t="inlineStr">
        <is>
          <t>디앤디플랫폼리츠</t>
        </is>
      </c>
      <c r="C56" s="2" t="inlineStr">
        <is>
          <t>코스피</t>
        </is>
      </c>
      <c r="D56" s="2" t="inlineStr">
        <is>
          <t>377190</t>
        </is>
      </c>
      <c r="E56" s="3" t="inlineStr">
        <is>
          <t>주주총회소집공고</t>
        </is>
      </c>
      <c r="F56" s="3" t="inlineStr">
        <is>
          <t>디앤디플랫폼리츠</t>
        </is>
      </c>
      <c r="G56" s="2" t="inlineStr">
        <is>
          <t>20251127001306</t>
        </is>
      </c>
      <c r="H56" s="8">
        <f>HYPERLINK("https://dart.fss.or.kr/dsaf001/main.do?rcpNo=20251127001306", "공시열람")</f>
        <v/>
      </c>
    </row>
    <row r="57">
      <c r="A57" s="2" t="inlineStr">
        <is>
          <t>2025-11-27 (정정: 2026-03-04)</t>
        </is>
      </c>
      <c r="B57" s="3" t="inlineStr">
        <is>
          <t>제이에스코퍼레이션</t>
        </is>
      </c>
      <c r="C57" s="2" t="inlineStr">
        <is>
          <t>코스피</t>
        </is>
      </c>
      <c r="D57" s="2" t="inlineStr">
        <is>
          <t>194370</t>
        </is>
      </c>
      <c r="E57" s="3" t="inlineStr">
        <is>
          <t>주주총회소집공고 (정정: 20260304)</t>
        </is>
      </c>
      <c r="F57" s="3" t="inlineStr">
        <is>
          <t>제이에스코퍼레이션</t>
        </is>
      </c>
      <c r="G57" s="2" t="inlineStr">
        <is>
          <t>20260304001679</t>
        </is>
      </c>
      <c r="H57" s="8">
        <f>HYPERLINK("https://dart.fss.or.kr/dsaf001/main.do?rcpNo=20260304001679", "공시열람")</f>
        <v/>
      </c>
    </row>
    <row r="58">
      <c r="A58" s="2" t="inlineStr">
        <is>
          <t>2025-11-27</t>
        </is>
      </c>
      <c r="B58" s="3" t="inlineStr">
        <is>
          <t>드림시큐리티</t>
        </is>
      </c>
      <c r="C58" s="2" t="inlineStr">
        <is>
          <t>코스닥</t>
        </is>
      </c>
      <c r="D58" s="2" t="inlineStr">
        <is>
          <t>203650</t>
        </is>
      </c>
      <c r="E58" s="3" t="inlineStr">
        <is>
          <t>주주총회소집공고</t>
        </is>
      </c>
      <c r="F58" s="3" t="inlineStr">
        <is>
          <t>드림시큐리티</t>
        </is>
      </c>
      <c r="G58" s="2" t="inlineStr">
        <is>
          <t>20251127001136</t>
        </is>
      </c>
      <c r="H58" s="8">
        <f>HYPERLINK("https://dart.fss.or.kr/dsaf001/main.do?rcpNo=20251127001136", "공시열람")</f>
        <v/>
      </c>
    </row>
    <row r="59">
      <c r="A59" s="2" t="inlineStr">
        <is>
          <t>2025-11-27</t>
        </is>
      </c>
      <c r="B59" s="3" t="inlineStr">
        <is>
          <t>일양약품</t>
        </is>
      </c>
      <c r="C59" s="2" t="inlineStr">
        <is>
          <t>코스피</t>
        </is>
      </c>
      <c r="D59" s="2" t="inlineStr">
        <is>
          <t>007570</t>
        </is>
      </c>
      <c r="E59" s="3" t="inlineStr">
        <is>
          <t>주주총회소집공고</t>
        </is>
      </c>
      <c r="F59" s="3" t="inlineStr">
        <is>
          <t>일양약품</t>
        </is>
      </c>
      <c r="G59" s="2" t="inlineStr">
        <is>
          <t>20251127000576</t>
        </is>
      </c>
      <c r="H59" s="8">
        <f>HYPERLINK("https://dart.fss.or.kr/dsaf001/main.do?rcpNo=20251127000576", "공시열람")</f>
        <v/>
      </c>
    </row>
    <row r="60">
      <c r="A60" s="2" t="inlineStr">
        <is>
          <t>2025-11-27</t>
        </is>
      </c>
      <c r="B60" s="3" t="inlineStr">
        <is>
          <t>DH오토웨어</t>
        </is>
      </c>
      <c r="C60" s="2" t="inlineStr">
        <is>
          <t>코스닥</t>
        </is>
      </c>
      <c r="D60" s="2" t="inlineStr">
        <is>
          <t>025440</t>
        </is>
      </c>
      <c r="E60" s="3" t="inlineStr">
        <is>
          <t>주주총회소집공고</t>
        </is>
      </c>
      <c r="F60" s="3" t="inlineStr">
        <is>
          <t>DH오토웨어</t>
        </is>
      </c>
      <c r="G60" s="2" t="inlineStr">
        <is>
          <t>20251127000485</t>
        </is>
      </c>
      <c r="H60" s="8">
        <f>HYPERLINK("https://dart.fss.or.kr/dsaf001/main.do?rcpNo=20251127000485", "공시열람")</f>
        <v/>
      </c>
    </row>
    <row r="61">
      <c r="A61" s="2" t="inlineStr">
        <is>
          <t>2025-11-28</t>
        </is>
      </c>
      <c r="B61" s="3" t="inlineStr">
        <is>
          <t>블루탑</t>
        </is>
      </c>
      <c r="C61" s="2" t="inlineStr">
        <is>
          <t>코넥스</t>
        </is>
      </c>
      <c r="D61" s="2" t="inlineStr">
        <is>
          <t>191600</t>
        </is>
      </c>
      <c r="E61" s="3" t="inlineStr">
        <is>
          <t>주주총회소집공고</t>
        </is>
      </c>
      <c r="F61" s="3" t="inlineStr">
        <is>
          <t>블루탑</t>
        </is>
      </c>
      <c r="G61" s="2" t="inlineStr">
        <is>
          <t>20251128001604</t>
        </is>
      </c>
      <c r="H61" s="8">
        <f>HYPERLINK("https://dart.fss.or.kr/dsaf001/main.do?rcpNo=20251128001604", "공시열람")</f>
        <v/>
      </c>
    </row>
    <row r="62">
      <c r="A62" s="2" t="inlineStr">
        <is>
          <t>2025-11-28</t>
        </is>
      </c>
      <c r="B62" s="3" t="inlineStr">
        <is>
          <t>디모아</t>
        </is>
      </c>
      <c r="C62" s="2" t="inlineStr">
        <is>
          <t>코스닥</t>
        </is>
      </c>
      <c r="D62" s="2" t="inlineStr">
        <is>
          <t>016670</t>
        </is>
      </c>
      <c r="E62" s="3" t="inlineStr">
        <is>
          <t>주주총회소집공고</t>
        </is>
      </c>
      <c r="F62" s="3" t="inlineStr">
        <is>
          <t>디모아</t>
        </is>
      </c>
      <c r="G62" s="2" t="inlineStr">
        <is>
          <t>20251128001582</t>
        </is>
      </c>
      <c r="H62" s="8">
        <f>HYPERLINK("https://dart.fss.or.kr/dsaf001/main.do?rcpNo=20251128001582", "공시열람")</f>
        <v/>
      </c>
    </row>
    <row r="63">
      <c r="A63" s="2" t="inlineStr">
        <is>
          <t>2025-11-28</t>
        </is>
      </c>
      <c r="B63" s="3" t="inlineStr">
        <is>
          <t>드림어스컴퍼니</t>
        </is>
      </c>
      <c r="C63" s="2" t="inlineStr">
        <is>
          <t>코스닥</t>
        </is>
      </c>
      <c r="D63" s="2" t="inlineStr">
        <is>
          <t>060570</t>
        </is>
      </c>
      <c r="E63" s="3" t="inlineStr">
        <is>
          <t>주주총회소집공고</t>
        </is>
      </c>
      <c r="F63" s="3" t="inlineStr">
        <is>
          <t>드림어스컴퍼니</t>
        </is>
      </c>
      <c r="G63" s="2" t="inlineStr">
        <is>
          <t>20251128001392</t>
        </is>
      </c>
      <c r="H63" s="8">
        <f>HYPERLINK("https://dart.fss.or.kr/dsaf001/main.do?rcpNo=20251128001392", "공시열람")</f>
        <v/>
      </c>
    </row>
    <row r="64">
      <c r="A64" s="2" t="inlineStr">
        <is>
          <t>2025-11-28 (정정: 2025-12-01)</t>
        </is>
      </c>
      <c r="B64" s="3" t="inlineStr">
        <is>
          <t>스코넥</t>
        </is>
      </c>
      <c r="C64" s="2" t="inlineStr">
        <is>
          <t>코스닥</t>
        </is>
      </c>
      <c r="D64" s="2" t="inlineStr">
        <is>
          <t>276040</t>
        </is>
      </c>
      <c r="E64" s="3" t="inlineStr">
        <is>
          <t>[기재정정]주주총회소집공고</t>
        </is>
      </c>
      <c r="F64" s="3" t="inlineStr">
        <is>
          <t>스코넥</t>
        </is>
      </c>
      <c r="G64" s="2" t="inlineStr">
        <is>
          <t>20251201000756</t>
        </is>
      </c>
      <c r="H64" s="8">
        <f>HYPERLINK("https://dart.fss.or.kr/dsaf001/main.do?rcpNo=20251201000756", "공시열람")</f>
        <v/>
      </c>
    </row>
    <row r="65">
      <c r="A65" s="2" t="inlineStr">
        <is>
          <t>2025-12-01</t>
        </is>
      </c>
      <c r="B65" s="3" t="inlineStr">
        <is>
          <t>코츠테크놀로지</t>
        </is>
      </c>
      <c r="C65" s="2" t="inlineStr">
        <is>
          <t>코스닥</t>
        </is>
      </c>
      <c r="D65" s="2" t="inlineStr">
        <is>
          <t>448710</t>
        </is>
      </c>
      <c r="E65" s="3" t="inlineStr">
        <is>
          <t>주주총회소집공고</t>
        </is>
      </c>
      <c r="F65" s="3" t="inlineStr">
        <is>
          <t>코츠테크놀로지</t>
        </is>
      </c>
      <c r="G65" s="2" t="inlineStr">
        <is>
          <t>20251201000513</t>
        </is>
      </c>
      <c r="H65" s="8">
        <f>HYPERLINK("https://dart.fss.or.kr/dsaf001/main.do?rcpNo=20251201000513", "공시열람")</f>
        <v/>
      </c>
    </row>
    <row r="66">
      <c r="A66" s="2" t="inlineStr">
        <is>
          <t>2025-12-01</t>
        </is>
      </c>
      <c r="B66" s="3" t="inlineStr">
        <is>
          <t>온타이드</t>
        </is>
      </c>
      <c r="C66" s="2" t="inlineStr">
        <is>
          <t>코스피</t>
        </is>
      </c>
      <c r="D66" s="2" t="inlineStr">
        <is>
          <t>005320</t>
        </is>
      </c>
      <c r="E66" s="3" t="inlineStr">
        <is>
          <t>주주총회소집공고</t>
        </is>
      </c>
      <c r="F66" s="3" t="inlineStr">
        <is>
          <t>온타이드</t>
        </is>
      </c>
      <c r="G66" s="2" t="inlineStr">
        <is>
          <t>20251201000424</t>
        </is>
      </c>
      <c r="H66" s="8">
        <f>HYPERLINK("https://dart.fss.or.kr/dsaf001/main.do?rcpNo=20251201000424", "공시열람")</f>
        <v/>
      </c>
    </row>
    <row r="67">
      <c r="A67" s="2" t="inlineStr">
        <is>
          <t>2025-12-01 (정정: 2026-03-04)</t>
        </is>
      </c>
      <c r="B67" s="3" t="inlineStr">
        <is>
          <t>SY동아</t>
        </is>
      </c>
      <c r="C67" s="2" t="inlineStr">
        <is>
          <t>코스닥</t>
        </is>
      </c>
      <c r="D67" s="2" t="inlineStr">
        <is>
          <t>041930</t>
        </is>
      </c>
      <c r="E67" s="3" t="inlineStr">
        <is>
          <t>주주총회소집공고 (정정: 20260304)</t>
        </is>
      </c>
      <c r="F67" s="3" t="inlineStr">
        <is>
          <t>SY동아</t>
        </is>
      </c>
      <c r="G67" s="2" t="inlineStr">
        <is>
          <t>20260304900380</t>
        </is>
      </c>
      <c r="H67" s="8">
        <f>HYPERLINK("https://dart.fss.or.kr/dsaf001/main.do?rcpNo=20260304900380", "공시열람")</f>
        <v/>
      </c>
    </row>
    <row r="68">
      <c r="A68" s="2" t="inlineStr">
        <is>
          <t>2025-12-01</t>
        </is>
      </c>
      <c r="B68" s="3" t="inlineStr">
        <is>
          <t>에이에스텍</t>
        </is>
      </c>
      <c r="C68" s="2" t="inlineStr">
        <is>
          <t>코스닥</t>
        </is>
      </c>
      <c r="D68" s="2" t="inlineStr">
        <is>
          <t>453860</t>
        </is>
      </c>
      <c r="E68" s="3" t="inlineStr">
        <is>
          <t>주주총회소집공고</t>
        </is>
      </c>
      <c r="F68" s="3" t="inlineStr">
        <is>
          <t>에이에스텍</t>
        </is>
      </c>
      <c r="G68" s="2" t="inlineStr">
        <is>
          <t>20251201000150</t>
        </is>
      </c>
      <c r="H68" s="8">
        <f>HYPERLINK("https://dart.fss.or.kr/dsaf001/main.do?rcpNo=20251201000150", "공시열람")</f>
        <v/>
      </c>
    </row>
    <row r="69">
      <c r="A69" s="2" t="inlineStr">
        <is>
          <t>2025-12-01 (정정: 2026-01-29)</t>
        </is>
      </c>
      <c r="B69" s="3" t="inlineStr">
        <is>
          <t>나우로보틱스</t>
        </is>
      </c>
      <c r="C69" s="2" t="inlineStr">
        <is>
          <t>코스닥</t>
        </is>
      </c>
      <c r="D69" s="2" t="inlineStr">
        <is>
          <t>459510</t>
        </is>
      </c>
      <c r="E69" s="3" t="inlineStr">
        <is>
          <t>주주총회소집공고 (정정: 20260129)</t>
        </is>
      </c>
      <c r="F69" s="3" t="inlineStr">
        <is>
          <t>나우로보틱스</t>
        </is>
      </c>
      <c r="G69" s="2" t="inlineStr">
        <is>
          <t>20260129000231</t>
        </is>
      </c>
      <c r="H69" s="8">
        <f>HYPERLINK("https://dart.fss.or.kr/dsaf001/main.do?rcpNo=20260129000231", "공시열람")</f>
        <v/>
      </c>
    </row>
    <row r="70">
      <c r="A70" s="2" t="inlineStr">
        <is>
          <t>2025-12-01</t>
        </is>
      </c>
      <c r="B70" s="3" t="inlineStr">
        <is>
          <t>한화</t>
        </is>
      </c>
      <c r="C70" s="2" t="inlineStr">
        <is>
          <t>코스피</t>
        </is>
      </c>
      <c r="D70" s="2" t="inlineStr">
        <is>
          <t>000880</t>
        </is>
      </c>
      <c r="E70" s="3" t="inlineStr">
        <is>
          <t>주주총회소집공고</t>
        </is>
      </c>
      <c r="F70" s="3" t="inlineStr">
        <is>
          <t>한화</t>
        </is>
      </c>
      <c r="G70" s="2" t="inlineStr">
        <is>
          <t>20251201000037</t>
        </is>
      </c>
      <c r="H70" s="8">
        <f>HYPERLINK("https://dart.fss.or.kr/dsaf001/main.do?rcpNo=20251201000037", "공시열람")</f>
        <v/>
      </c>
    </row>
    <row r="71">
      <c r="A71" s="2" t="inlineStr">
        <is>
          <t>2025-12-01</t>
        </is>
      </c>
      <c r="B71" s="3" t="inlineStr">
        <is>
          <t>스코넥</t>
        </is>
      </c>
      <c r="C71" s="2" t="inlineStr">
        <is>
          <t>코스닥</t>
        </is>
      </c>
      <c r="D71" s="2" t="inlineStr">
        <is>
          <t>276040</t>
        </is>
      </c>
      <c r="E71" s="3" t="inlineStr">
        <is>
          <t>주주총회소집공고</t>
        </is>
      </c>
      <c r="F71" s="3" t="inlineStr">
        <is>
          <t>스코넥</t>
        </is>
      </c>
      <c r="G71" s="2" t="inlineStr">
        <is>
          <t>20251128002175</t>
        </is>
      </c>
      <c r="H71" s="8">
        <f>HYPERLINK("https://dart.fss.or.kr/dsaf001/main.do?rcpNo=20251128002175", "공시열람")</f>
        <v/>
      </c>
    </row>
    <row r="72">
      <c r="A72" s="2" t="inlineStr">
        <is>
          <t>2025-12-02</t>
        </is>
      </c>
      <c r="B72" s="3" t="inlineStr">
        <is>
          <t>한전기술</t>
        </is>
      </c>
      <c r="C72" s="2" t="inlineStr">
        <is>
          <t>코스피</t>
        </is>
      </c>
      <c r="D72" s="2" t="inlineStr">
        <is>
          <t>052690</t>
        </is>
      </c>
      <c r="E72" s="3" t="inlineStr">
        <is>
          <t>주주총회소집공고</t>
        </is>
      </c>
      <c r="F72" s="3" t="inlineStr">
        <is>
          <t>한전기술</t>
        </is>
      </c>
      <c r="G72" s="2" t="inlineStr">
        <is>
          <t>20251202000332</t>
        </is>
      </c>
      <c r="H72" s="8">
        <f>HYPERLINK("https://dart.fss.or.kr/dsaf001/main.do?rcpNo=20251202000332", "공시열람")</f>
        <v/>
      </c>
    </row>
    <row r="73">
      <c r="A73" s="2" t="inlineStr">
        <is>
          <t>2025-12-02</t>
        </is>
      </c>
      <c r="B73" s="3" t="inlineStr">
        <is>
          <t>셀로맥스사이언스</t>
        </is>
      </c>
      <c r="C73" s="2" t="inlineStr">
        <is>
          <t>코스닥</t>
        </is>
      </c>
      <c r="D73" s="2" t="inlineStr">
        <is>
          <t>471820</t>
        </is>
      </c>
      <c r="E73" s="3" t="inlineStr">
        <is>
          <t>주주총회소집공고</t>
        </is>
      </c>
      <c r="F73" s="3" t="inlineStr">
        <is>
          <t>셀로맥스사이언스</t>
        </is>
      </c>
      <c r="G73" s="2" t="inlineStr">
        <is>
          <t>20251202000222</t>
        </is>
      </c>
      <c r="H73" s="8">
        <f>HYPERLINK("https://dart.fss.or.kr/dsaf001/main.do?rcpNo=20251202000222", "공시열람")</f>
        <v/>
      </c>
    </row>
    <row r="74">
      <c r="A74" s="2" t="inlineStr">
        <is>
          <t>2025-12-02</t>
        </is>
      </c>
      <c r="B74" s="3" t="inlineStr">
        <is>
          <t>티케이지애강</t>
        </is>
      </c>
      <c r="C74" s="2" t="inlineStr">
        <is>
          <t>코스닥</t>
        </is>
      </c>
      <c r="D74" s="2" t="inlineStr">
        <is>
          <t>022220</t>
        </is>
      </c>
      <c r="E74" s="3" t="inlineStr">
        <is>
          <t>주주총회소집공고</t>
        </is>
      </c>
      <c r="F74" s="3" t="inlineStr">
        <is>
          <t>티케이지애강</t>
        </is>
      </c>
      <c r="G74" s="2" t="inlineStr">
        <is>
          <t>20251202000220</t>
        </is>
      </c>
      <c r="H74" s="8">
        <f>HYPERLINK("https://dart.fss.or.kr/dsaf001/main.do?rcpNo=20251202000220", "공시열람")</f>
        <v/>
      </c>
    </row>
    <row r="75">
      <c r="A75" s="2" t="inlineStr">
        <is>
          <t>2025-12-02</t>
        </is>
      </c>
      <c r="B75" s="3" t="inlineStr">
        <is>
          <t>이노션</t>
        </is>
      </c>
      <c r="C75" s="2" t="inlineStr">
        <is>
          <t>코스피</t>
        </is>
      </c>
      <c r="D75" s="2" t="inlineStr">
        <is>
          <t>214320</t>
        </is>
      </c>
      <c r="E75" s="3" t="inlineStr">
        <is>
          <t>주주총회소집공고</t>
        </is>
      </c>
      <c r="F75" s="3" t="inlineStr">
        <is>
          <t>이노션</t>
        </is>
      </c>
      <c r="G75" s="2" t="inlineStr">
        <is>
          <t>20251202000218</t>
        </is>
      </c>
      <c r="H75" s="8">
        <f>HYPERLINK("https://dart.fss.or.kr/dsaf001/main.do?rcpNo=20251202000218", "공시열람")</f>
        <v/>
      </c>
    </row>
    <row r="76">
      <c r="A76" s="2" t="inlineStr">
        <is>
          <t>2025-12-02</t>
        </is>
      </c>
      <c r="B76" s="3" t="inlineStr">
        <is>
          <t>인피니트헬스케어</t>
        </is>
      </c>
      <c r="C76" s="2" t="inlineStr">
        <is>
          <t>코스닥</t>
        </is>
      </c>
      <c r="D76" s="2" t="inlineStr">
        <is>
          <t>071200</t>
        </is>
      </c>
      <c r="E76" s="3" t="inlineStr">
        <is>
          <t>주주총회소집공고</t>
        </is>
      </c>
      <c r="F76" s="3" t="inlineStr">
        <is>
          <t>인피니트헬스케어</t>
        </is>
      </c>
      <c r="G76" s="2" t="inlineStr">
        <is>
          <t>20251202000173</t>
        </is>
      </c>
      <c r="H76" s="8">
        <f>HYPERLINK("https://dart.fss.or.kr/dsaf001/main.do?rcpNo=20251202000173", "공시열람")</f>
        <v/>
      </c>
    </row>
    <row r="77">
      <c r="A77" s="2" t="inlineStr">
        <is>
          <t>2025-12-03</t>
        </is>
      </c>
      <c r="B77" s="3" t="inlineStr">
        <is>
          <t>SK리츠</t>
        </is>
      </c>
      <c r="C77" s="2" t="inlineStr">
        <is>
          <t>코스피</t>
        </is>
      </c>
      <c r="D77" s="2" t="inlineStr">
        <is>
          <t>395400</t>
        </is>
      </c>
      <c r="E77" s="3" t="inlineStr">
        <is>
          <t>주주총회소집공고</t>
        </is>
      </c>
      <c r="F77" s="3" t="inlineStr">
        <is>
          <t>SK리츠</t>
        </is>
      </c>
      <c r="G77" s="2" t="inlineStr">
        <is>
          <t>20251203000341</t>
        </is>
      </c>
      <c r="H77" s="8">
        <f>HYPERLINK("https://dart.fss.or.kr/dsaf001/main.do?rcpNo=20251203000341", "공시열람")</f>
        <v/>
      </c>
    </row>
    <row r="78">
      <c r="A78" s="2" t="inlineStr">
        <is>
          <t>2025-12-03</t>
        </is>
      </c>
      <c r="B78" s="3" t="inlineStr">
        <is>
          <t>대덕</t>
        </is>
      </c>
      <c r="C78" s="2" t="inlineStr">
        <is>
          <t>코스피</t>
        </is>
      </c>
      <c r="D78" s="2" t="inlineStr">
        <is>
          <t>008060</t>
        </is>
      </c>
      <c r="E78" s="3" t="inlineStr">
        <is>
          <t>주주총회소집공고</t>
        </is>
      </c>
      <c r="F78" s="3" t="inlineStr">
        <is>
          <t>대덕</t>
        </is>
      </c>
      <c r="G78" s="2" t="inlineStr">
        <is>
          <t>20251203000286</t>
        </is>
      </c>
      <c r="H78" s="8">
        <f>HYPERLINK("https://dart.fss.or.kr/dsaf001/main.do?rcpNo=20251203000286", "공시열람")</f>
        <v/>
      </c>
    </row>
    <row r="79">
      <c r="A79" s="2" t="inlineStr">
        <is>
          <t>2025-12-03</t>
        </is>
      </c>
      <c r="B79" s="3" t="inlineStr">
        <is>
          <t>네오위즈홀딩스</t>
        </is>
      </c>
      <c r="C79" s="2" t="inlineStr">
        <is>
          <t>코스닥</t>
        </is>
      </c>
      <c r="D79" s="2" t="inlineStr">
        <is>
          <t>042420</t>
        </is>
      </c>
      <c r="E79" s="3" t="inlineStr">
        <is>
          <t>주주총회소집공고</t>
        </is>
      </c>
      <c r="F79" s="3" t="inlineStr">
        <is>
          <t>네오위즈홀딩스</t>
        </is>
      </c>
      <c r="G79" s="2" t="inlineStr">
        <is>
          <t>20251203000207</t>
        </is>
      </c>
      <c r="H79" s="8">
        <f>HYPERLINK("https://dart.fss.or.kr/dsaf001/main.do?rcpNo=20251203000207", "공시열람")</f>
        <v/>
      </c>
    </row>
    <row r="80">
      <c r="A80" s="2" t="inlineStr">
        <is>
          <t>2025-12-03</t>
        </is>
      </c>
      <c r="B80" s="3" t="inlineStr">
        <is>
          <t>네오위즈</t>
        </is>
      </c>
      <c r="C80" s="2" t="inlineStr">
        <is>
          <t>코스닥</t>
        </is>
      </c>
      <c r="D80" s="2" t="inlineStr">
        <is>
          <t>095660</t>
        </is>
      </c>
      <c r="E80" s="3" t="inlineStr">
        <is>
          <t>주주총회소집공고</t>
        </is>
      </c>
      <c r="F80" s="3" t="inlineStr">
        <is>
          <t>네오위즈</t>
        </is>
      </c>
      <c r="G80" s="2" t="inlineStr">
        <is>
          <t>20251203000190</t>
        </is>
      </c>
      <c r="H80" s="8">
        <f>HYPERLINK("https://dart.fss.or.kr/dsaf001/main.do?rcpNo=20251203000190", "공시열람")</f>
        <v/>
      </c>
    </row>
    <row r="81">
      <c r="A81" s="2" t="inlineStr">
        <is>
          <t>2025-12-03 (정정: 2025-12-03)</t>
        </is>
      </c>
      <c r="B81" s="3" t="inlineStr">
        <is>
          <t>DMS</t>
        </is>
      </c>
      <c r="C81" s="2" t="inlineStr">
        <is>
          <t>코스닥</t>
        </is>
      </c>
      <c r="D81" s="2" t="inlineStr">
        <is>
          <t>068790</t>
        </is>
      </c>
      <c r="E81" s="3" t="inlineStr">
        <is>
          <t>[기재정정]주주총회소집공고</t>
        </is>
      </c>
      <c r="F81" s="3" t="inlineStr">
        <is>
          <t>DMS</t>
        </is>
      </c>
      <c r="G81" s="2" t="inlineStr">
        <is>
          <t>20251203000145</t>
        </is>
      </c>
      <c r="H81" s="8">
        <f>HYPERLINK("https://dart.fss.or.kr/dsaf001/main.do?rcpNo=20251203000145", "공시열람")</f>
        <v/>
      </c>
    </row>
    <row r="82">
      <c r="A82" s="2" t="inlineStr">
        <is>
          <t>2025-12-03 (정정: 2026-03-03)</t>
        </is>
      </c>
      <c r="B82" s="3" t="inlineStr">
        <is>
          <t>와이엔텍</t>
        </is>
      </c>
      <c r="C82" s="2" t="inlineStr">
        <is>
          <t>코스닥</t>
        </is>
      </c>
      <c r="D82" s="2" t="inlineStr">
        <is>
          <t>067900</t>
        </is>
      </c>
      <c r="E82" s="3" t="inlineStr">
        <is>
          <t>주주총회소집공고 (정정: 20260303)</t>
        </is>
      </c>
      <c r="F82" s="3" t="inlineStr">
        <is>
          <t>와이엔텍</t>
        </is>
      </c>
      <c r="G82" s="2" t="inlineStr">
        <is>
          <t>20260303900261</t>
        </is>
      </c>
      <c r="H82" s="8">
        <f>HYPERLINK("https://dart.fss.or.kr/dsaf001/main.do?rcpNo=20260303900261", "공시열람")</f>
        <v/>
      </c>
    </row>
    <row r="83">
      <c r="A83" s="2" t="inlineStr">
        <is>
          <t>2025-12-03</t>
        </is>
      </c>
      <c r="B83" s="3" t="inlineStr">
        <is>
          <t>DMS</t>
        </is>
      </c>
      <c r="C83" s="2" t="inlineStr">
        <is>
          <t>코스닥</t>
        </is>
      </c>
      <c r="D83" s="2" t="inlineStr">
        <is>
          <t>068790</t>
        </is>
      </c>
      <c r="E83" s="3" t="inlineStr">
        <is>
          <t>주주총회소집공고</t>
        </is>
      </c>
      <c r="F83" s="3" t="inlineStr">
        <is>
          <t>DMS</t>
        </is>
      </c>
      <c r="G83" s="2" t="inlineStr">
        <is>
          <t>20251203000023</t>
        </is>
      </c>
      <c r="H83" s="8">
        <f>HYPERLINK("https://dart.fss.or.kr/dsaf001/main.do?rcpNo=20251203000023", "공시열람")</f>
        <v/>
      </c>
    </row>
    <row r="84">
      <c r="A84" s="2" t="inlineStr">
        <is>
          <t>2025-12-03</t>
        </is>
      </c>
      <c r="B84" s="3" t="inlineStr">
        <is>
          <t>이화공영</t>
        </is>
      </c>
      <c r="C84" s="2" t="inlineStr">
        <is>
          <t>코스닥</t>
        </is>
      </c>
      <c r="D84" s="2" t="inlineStr">
        <is>
          <t>001840</t>
        </is>
      </c>
      <c r="E84" s="3" t="inlineStr">
        <is>
          <t>주주총회소집공고</t>
        </is>
      </c>
      <c r="F84" s="3" t="inlineStr">
        <is>
          <t>이화공영</t>
        </is>
      </c>
      <c r="G84" s="2" t="inlineStr">
        <is>
          <t>20251203000012</t>
        </is>
      </c>
      <c r="H84" s="8">
        <f>HYPERLINK("https://dart.fss.or.kr/dsaf001/main.do?rcpNo=20251203000012", "공시열람")</f>
        <v/>
      </c>
    </row>
    <row r="85">
      <c r="A85" s="2" t="inlineStr">
        <is>
          <t>2025-12-04 (정정: 2025-12-17)</t>
        </is>
      </c>
      <c r="B85" s="3" t="inlineStr">
        <is>
          <t>알엔투테크놀로지</t>
        </is>
      </c>
      <c r="C85" s="2" t="inlineStr">
        <is>
          <t>코스닥</t>
        </is>
      </c>
      <c r="D85" s="2" t="inlineStr">
        <is>
          <t>148250</t>
        </is>
      </c>
      <c r="E85" s="3" t="inlineStr">
        <is>
          <t>주주총회소집공고 (정정: 20251217)</t>
        </is>
      </c>
      <c r="F85" s="3" t="inlineStr">
        <is>
          <t>알엔투테크놀로지</t>
        </is>
      </c>
      <c r="G85" s="2" t="inlineStr">
        <is>
          <t>20251217000594</t>
        </is>
      </c>
      <c r="H85" s="8">
        <f>HYPERLINK("https://dart.fss.or.kr/dsaf001/main.do?rcpNo=20251217000594", "공시열람")</f>
        <v/>
      </c>
    </row>
    <row r="86">
      <c r="A86" s="2" t="inlineStr">
        <is>
          <t>2025-12-04</t>
        </is>
      </c>
      <c r="B86" s="3" t="inlineStr">
        <is>
          <t>클래시스</t>
        </is>
      </c>
      <c r="C86" s="2" t="inlineStr">
        <is>
          <t>코스닥</t>
        </is>
      </c>
      <c r="D86" s="2" t="inlineStr">
        <is>
          <t>214150</t>
        </is>
      </c>
      <c r="E86" s="3" t="inlineStr">
        <is>
          <t>주주총회소집공고</t>
        </is>
      </c>
      <c r="F86" s="3" t="inlineStr">
        <is>
          <t>클래시스</t>
        </is>
      </c>
      <c r="G86" s="2" t="inlineStr">
        <is>
          <t>20251204000413</t>
        </is>
      </c>
      <c r="H86" s="8">
        <f>HYPERLINK("https://dart.fss.or.kr/dsaf001/main.do?rcpNo=20251204000413", "공시열람")</f>
        <v/>
      </c>
    </row>
    <row r="87">
      <c r="A87" s="2" t="inlineStr">
        <is>
          <t>2025-12-04</t>
        </is>
      </c>
      <c r="B87" s="3" t="inlineStr">
        <is>
          <t>링크드</t>
        </is>
      </c>
      <c r="C87" s="2" t="inlineStr">
        <is>
          <t>코스닥</t>
        </is>
      </c>
      <c r="D87" s="2" t="inlineStr">
        <is>
          <t>193250</t>
        </is>
      </c>
      <c r="E87" s="3" t="inlineStr">
        <is>
          <t>주주총회소집공고</t>
        </is>
      </c>
      <c r="F87" s="3" t="inlineStr">
        <is>
          <t>링크드</t>
        </is>
      </c>
      <c r="G87" s="2" t="inlineStr">
        <is>
          <t>20251204000337</t>
        </is>
      </c>
      <c r="H87" s="8">
        <f>HYPERLINK("https://dart.fss.or.kr/dsaf001/main.do?rcpNo=20251204000337", "공시열람")</f>
        <v/>
      </c>
    </row>
    <row r="88">
      <c r="A88" s="2" t="inlineStr">
        <is>
          <t>2025-12-05</t>
        </is>
      </c>
      <c r="B88" s="3" t="inlineStr">
        <is>
          <t>케이피에프</t>
        </is>
      </c>
      <c r="C88" s="2" t="inlineStr">
        <is>
          <t>코스닥</t>
        </is>
      </c>
      <c r="D88" s="2" t="inlineStr">
        <is>
          <t>024880</t>
        </is>
      </c>
      <c r="E88" s="3" t="inlineStr">
        <is>
          <t>주주총회소집공고</t>
        </is>
      </c>
      <c r="F88" s="3" t="inlineStr">
        <is>
          <t>케이피에프</t>
        </is>
      </c>
      <c r="G88" s="2" t="inlineStr">
        <is>
          <t>20251205000425</t>
        </is>
      </c>
      <c r="H88" s="8">
        <f>HYPERLINK("https://dart.fss.or.kr/dsaf001/main.do?rcpNo=20251205000425", "공시열람")</f>
        <v/>
      </c>
    </row>
    <row r="89">
      <c r="A89" s="2" t="inlineStr">
        <is>
          <t>2025-12-05</t>
        </is>
      </c>
      <c r="B89" s="3" t="inlineStr">
        <is>
          <t>뉴트리</t>
        </is>
      </c>
      <c r="C89" s="2" t="inlineStr">
        <is>
          <t>코스닥</t>
        </is>
      </c>
      <c r="D89" s="2" t="inlineStr">
        <is>
          <t>270870</t>
        </is>
      </c>
      <c r="E89" s="3" t="inlineStr">
        <is>
          <t>주주총회소집공고</t>
        </is>
      </c>
      <c r="F89" s="3" t="inlineStr">
        <is>
          <t>뉴트리</t>
        </is>
      </c>
      <c r="G89" s="2" t="inlineStr">
        <is>
          <t>20251205000180</t>
        </is>
      </c>
      <c r="H89" s="8">
        <f>HYPERLINK("https://dart.fss.or.kr/dsaf001/main.do?rcpNo=20251205000180", "공시열람")</f>
        <v/>
      </c>
    </row>
    <row r="90">
      <c r="A90" s="2" t="inlineStr">
        <is>
          <t>2025-12-08</t>
        </is>
      </c>
      <c r="B90" s="3" t="inlineStr">
        <is>
          <t>와이엠텍</t>
        </is>
      </c>
      <c r="C90" s="2" t="inlineStr">
        <is>
          <t>코스닥</t>
        </is>
      </c>
      <c r="D90" s="2" t="inlineStr">
        <is>
          <t>273640</t>
        </is>
      </c>
      <c r="E90" s="3" t="inlineStr">
        <is>
          <t>주주총회소집공고</t>
        </is>
      </c>
      <c r="F90" s="3" t="inlineStr">
        <is>
          <t>와이엠텍</t>
        </is>
      </c>
      <c r="G90" s="2" t="inlineStr">
        <is>
          <t>20251208000376</t>
        </is>
      </c>
      <c r="H90" s="8">
        <f>HYPERLINK("https://dart.fss.or.kr/dsaf001/main.do?rcpNo=20251208000376", "공시열람")</f>
        <v/>
      </c>
    </row>
    <row r="91">
      <c r="A91" s="2" t="inlineStr">
        <is>
          <t>2025-12-08</t>
        </is>
      </c>
      <c r="B91" s="3" t="inlineStr">
        <is>
          <t>대우건설</t>
        </is>
      </c>
      <c r="C91" s="2" t="inlineStr">
        <is>
          <t>코스피</t>
        </is>
      </c>
      <c r="D91" s="2" t="inlineStr">
        <is>
          <t>047040</t>
        </is>
      </c>
      <c r="E91" s="3" t="inlineStr">
        <is>
          <t>주주총회소집공고</t>
        </is>
      </c>
      <c r="F91" s="3" t="inlineStr">
        <is>
          <t>대우건설</t>
        </is>
      </c>
      <c r="G91" s="2" t="inlineStr">
        <is>
          <t>20251208000343</t>
        </is>
      </c>
      <c r="H91" s="8">
        <f>HYPERLINK("https://dart.fss.or.kr/dsaf001/main.do?rcpNo=20251208000343", "공시열람")</f>
        <v/>
      </c>
    </row>
    <row r="92">
      <c r="A92" s="2" t="inlineStr">
        <is>
          <t>2025-12-08 (정정: 2026-03-03)</t>
        </is>
      </c>
      <c r="B92" s="3" t="inlineStr">
        <is>
          <t>젬백스</t>
        </is>
      </c>
      <c r="C92" s="2" t="inlineStr">
        <is>
          <t>코스닥</t>
        </is>
      </c>
      <c r="D92" s="2" t="inlineStr">
        <is>
          <t>082270</t>
        </is>
      </c>
      <c r="E92" s="3" t="inlineStr">
        <is>
          <t>주주총회소집공고 (정정: 20260119) (정정: 20260129) (정정: 20260303)</t>
        </is>
      </c>
      <c r="F92" s="3" t="inlineStr">
        <is>
          <t>젬백스</t>
        </is>
      </c>
      <c r="G92" s="2" t="inlineStr">
        <is>
          <t>20260303901422</t>
        </is>
      </c>
      <c r="H92" s="8">
        <f>HYPERLINK("https://dart.fss.or.kr/dsaf001/main.do?rcpNo=20260303901422", "공시열람")</f>
        <v/>
      </c>
    </row>
    <row r="93">
      <c r="A93" s="2" t="inlineStr">
        <is>
          <t>2025-12-08</t>
        </is>
      </c>
      <c r="B93" s="3" t="inlineStr">
        <is>
          <t>금비</t>
        </is>
      </c>
      <c r="C93" s="2" t="inlineStr">
        <is>
          <t>코스피</t>
        </is>
      </c>
      <c r="D93" s="2" t="inlineStr">
        <is>
          <t>008870</t>
        </is>
      </c>
      <c r="E93" s="3" t="inlineStr">
        <is>
          <t>주주총회소집공고</t>
        </is>
      </c>
      <c r="F93" s="3" t="inlineStr">
        <is>
          <t>금비</t>
        </is>
      </c>
      <c r="G93" s="2" t="inlineStr">
        <is>
          <t>20251208000311</t>
        </is>
      </c>
      <c r="H93" s="8">
        <f>HYPERLINK("https://dart.fss.or.kr/dsaf001/main.do?rcpNo=20251208000311", "공시열람")</f>
        <v/>
      </c>
    </row>
    <row r="94">
      <c r="A94" s="2" t="inlineStr">
        <is>
          <t>2025-12-08</t>
        </is>
      </c>
      <c r="B94" s="3" t="inlineStr">
        <is>
          <t>더코디</t>
        </is>
      </c>
      <c r="C94" s="2" t="inlineStr">
        <is>
          <t>코스닥</t>
        </is>
      </c>
      <c r="D94" s="2" t="inlineStr">
        <is>
          <t>224060</t>
        </is>
      </c>
      <c r="E94" s="3" t="inlineStr">
        <is>
          <t>주주총회소집공고</t>
        </is>
      </c>
      <c r="F94" s="3" t="inlineStr">
        <is>
          <t>더코디</t>
        </is>
      </c>
      <c r="G94" s="2" t="inlineStr">
        <is>
          <t>20251208000229</t>
        </is>
      </c>
      <c r="H94" s="8">
        <f>HYPERLINK("https://dart.fss.or.kr/dsaf001/main.do?rcpNo=20251208000229", "공시열람")</f>
        <v/>
      </c>
    </row>
    <row r="95">
      <c r="A95" s="2" t="inlineStr">
        <is>
          <t>2025-12-08</t>
        </is>
      </c>
      <c r="B95" s="3" t="inlineStr">
        <is>
          <t>하이트진로</t>
        </is>
      </c>
      <c r="C95" s="2" t="inlineStr">
        <is>
          <t>코스피</t>
        </is>
      </c>
      <c r="D95" s="2" t="inlineStr">
        <is>
          <t>000080</t>
        </is>
      </c>
      <c r="E95" s="3" t="inlineStr">
        <is>
          <t>주주총회소집공고</t>
        </is>
      </c>
      <c r="F95" s="3" t="inlineStr">
        <is>
          <t>하이트진로</t>
        </is>
      </c>
      <c r="G95" s="2" t="inlineStr">
        <is>
          <t>20251208000127</t>
        </is>
      </c>
      <c r="H95" s="8">
        <f>HYPERLINK("https://dart.fss.or.kr/dsaf001/main.do?rcpNo=20251208000127", "공시열람")</f>
        <v/>
      </c>
    </row>
    <row r="96">
      <c r="A96" s="2" t="inlineStr">
        <is>
          <t>2025-12-08</t>
        </is>
      </c>
      <c r="B96" s="3" t="inlineStr">
        <is>
          <t>하이트진로홀딩스</t>
        </is>
      </c>
      <c r="C96" s="2" t="inlineStr">
        <is>
          <t>코스피</t>
        </is>
      </c>
      <c r="D96" s="2" t="inlineStr">
        <is>
          <t>000140</t>
        </is>
      </c>
      <c r="E96" s="3" t="inlineStr">
        <is>
          <t>주주총회소집공고</t>
        </is>
      </c>
      <c r="F96" s="3" t="inlineStr">
        <is>
          <t>하이트진로홀딩스</t>
        </is>
      </c>
      <c r="G96" s="2" t="inlineStr">
        <is>
          <t>20251208000126</t>
        </is>
      </c>
      <c r="H96" s="8">
        <f>HYPERLINK("https://dart.fss.or.kr/dsaf001/main.do?rcpNo=20251208000126", "공시열람")</f>
        <v/>
      </c>
    </row>
    <row r="97">
      <c r="A97" s="2" t="inlineStr">
        <is>
          <t>2025-12-08</t>
        </is>
      </c>
      <c r="B97" s="3" t="inlineStr">
        <is>
          <t>미래에셋글로벌리츠</t>
        </is>
      </c>
      <c r="C97" s="2" t="inlineStr">
        <is>
          <t>코스피</t>
        </is>
      </c>
      <c r="D97" s="2" t="inlineStr">
        <is>
          <t>396690</t>
        </is>
      </c>
      <c r="E97" s="3" t="inlineStr">
        <is>
          <t>주주총회소집공고</t>
        </is>
      </c>
      <c r="F97" s="3" t="inlineStr">
        <is>
          <t>미래에셋글로벌리츠</t>
        </is>
      </c>
      <c r="G97" s="2" t="inlineStr">
        <is>
          <t>20251208000097</t>
        </is>
      </c>
      <c r="H97" s="8">
        <f>HYPERLINK("https://dart.fss.or.kr/dsaf001/main.do?rcpNo=20251208000097", "공시열람")</f>
        <v/>
      </c>
    </row>
    <row r="98">
      <c r="A98" s="2" t="inlineStr">
        <is>
          <t>2025-12-09</t>
        </is>
      </c>
      <c r="B98" s="3" t="inlineStr">
        <is>
          <t>폴라리스AI파마</t>
        </is>
      </c>
      <c r="C98" s="2" t="inlineStr">
        <is>
          <t>코스닥</t>
        </is>
      </c>
      <c r="D98" s="2" t="inlineStr">
        <is>
          <t>041910</t>
        </is>
      </c>
      <c r="E98" s="3" t="inlineStr">
        <is>
          <t>주주총회소집공고</t>
        </is>
      </c>
      <c r="F98" s="3" t="inlineStr">
        <is>
          <t>폴라리스AI파마</t>
        </is>
      </c>
      <c r="G98" s="2" t="inlineStr">
        <is>
          <t>20251209000384</t>
        </is>
      </c>
      <c r="H98" s="8">
        <f>HYPERLINK("https://dart.fss.or.kr/dsaf001/main.do?rcpNo=20251209000384", "공시열람")</f>
        <v/>
      </c>
    </row>
    <row r="99">
      <c r="A99" s="2" t="inlineStr">
        <is>
          <t>2025-12-09</t>
        </is>
      </c>
      <c r="B99" s="3" t="inlineStr">
        <is>
          <t>폴라리스AI</t>
        </is>
      </c>
      <c r="C99" s="2" t="inlineStr">
        <is>
          <t>코스닥</t>
        </is>
      </c>
      <c r="D99" s="2" t="inlineStr">
        <is>
          <t>039980</t>
        </is>
      </c>
      <c r="E99" s="3" t="inlineStr">
        <is>
          <t>주주총회소집공고</t>
        </is>
      </c>
      <c r="F99" s="3" t="inlineStr">
        <is>
          <t>폴라리스AI</t>
        </is>
      </c>
      <c r="G99" s="2" t="inlineStr">
        <is>
          <t>20251209000383</t>
        </is>
      </c>
      <c r="H99" s="8">
        <f>HYPERLINK("https://dart.fss.or.kr/dsaf001/main.do?rcpNo=20251209000383", "공시열람")</f>
        <v/>
      </c>
    </row>
    <row r="100">
      <c r="A100" s="2" t="inlineStr">
        <is>
          <t>2025-12-09</t>
        </is>
      </c>
      <c r="B100" s="3" t="inlineStr">
        <is>
          <t>광동헬스바이오</t>
        </is>
      </c>
      <c r="C100" s="2" t="inlineStr">
        <is>
          <t>코넥스</t>
        </is>
      </c>
      <c r="D100" s="2" t="inlineStr">
        <is>
          <t>086220</t>
        </is>
      </c>
      <c r="E100" s="3" t="inlineStr">
        <is>
          <t>주주총회소집공고</t>
        </is>
      </c>
      <c r="F100" s="3" t="inlineStr">
        <is>
          <t>광동헬스바이오</t>
        </is>
      </c>
      <c r="G100" s="2" t="inlineStr">
        <is>
          <t>20251209000349</t>
        </is>
      </c>
      <c r="H100" s="8">
        <f>HYPERLINK("https://dart.fss.or.kr/dsaf001/main.do?rcpNo=20251209000349", "공시열람")</f>
        <v/>
      </c>
    </row>
    <row r="101">
      <c r="A101" s="2" t="inlineStr">
        <is>
          <t>2025-12-09 (정정: 2025-12-12)</t>
        </is>
      </c>
      <c r="B101" s="3" t="inlineStr">
        <is>
          <t>에피소드컴퍼니</t>
        </is>
      </c>
      <c r="C101" s="2" t="inlineStr">
        <is>
          <t>코스닥</t>
        </is>
      </c>
      <c r="D101" s="2" t="inlineStr">
        <is>
          <t>317530</t>
        </is>
      </c>
      <c r="E101" s="3" t="inlineStr">
        <is>
          <t>주주총회소집공고 (정정: 20251212)</t>
        </is>
      </c>
      <c r="F101" s="3" t="inlineStr">
        <is>
          <t>에피소드컴퍼니</t>
        </is>
      </c>
      <c r="G101" s="2" t="inlineStr">
        <is>
          <t>20251212000229</t>
        </is>
      </c>
      <c r="H101" s="8">
        <f>HYPERLINK("https://dart.fss.or.kr/dsaf001/main.do?rcpNo=20251212000229", "공시열람")</f>
        <v/>
      </c>
    </row>
    <row r="102">
      <c r="A102" s="2" t="inlineStr">
        <is>
          <t>2025-12-09</t>
        </is>
      </c>
      <c r="B102" s="3" t="inlineStr">
        <is>
          <t>유비온</t>
        </is>
      </c>
      <c r="C102" s="2" t="inlineStr">
        <is>
          <t>코스닥</t>
        </is>
      </c>
      <c r="D102" s="2" t="inlineStr">
        <is>
          <t>084440</t>
        </is>
      </c>
      <c r="E102" s="3" t="inlineStr">
        <is>
          <t>주주총회소집공고</t>
        </is>
      </c>
      <c r="F102" s="3" t="inlineStr">
        <is>
          <t>유비온</t>
        </is>
      </c>
      <c r="G102" s="2" t="inlineStr">
        <is>
          <t>20251209000218</t>
        </is>
      </c>
      <c r="H102" s="8">
        <f>HYPERLINK("https://dart.fss.or.kr/dsaf001/main.do?rcpNo=20251209000218", "공시열람")</f>
        <v/>
      </c>
    </row>
    <row r="103">
      <c r="A103" s="2" t="inlineStr">
        <is>
          <t>2025-12-09</t>
        </is>
      </c>
      <c r="B103" s="3" t="inlineStr">
        <is>
          <t>인터엠</t>
        </is>
      </c>
      <c r="C103" s="2" t="inlineStr">
        <is>
          <t>코스닥</t>
        </is>
      </c>
      <c r="D103" s="2" t="inlineStr">
        <is>
          <t>017250</t>
        </is>
      </c>
      <c r="E103" s="3" t="inlineStr">
        <is>
          <t>주주총회소집공고</t>
        </is>
      </c>
      <c r="F103" s="3" t="inlineStr">
        <is>
          <t>인터엠</t>
        </is>
      </c>
      <c r="G103" s="2" t="inlineStr">
        <is>
          <t>20251209000198</t>
        </is>
      </c>
      <c r="H103" s="8">
        <f>HYPERLINK("https://dart.fss.or.kr/dsaf001/main.do?rcpNo=20251209000198", "공시열람")</f>
        <v/>
      </c>
    </row>
    <row r="104">
      <c r="A104" s="2" t="inlineStr">
        <is>
          <t>2025-12-10</t>
        </is>
      </c>
      <c r="B104" s="3" t="inlineStr">
        <is>
          <t>아이큐어</t>
        </is>
      </c>
      <c r="C104" s="2" t="inlineStr">
        <is>
          <t>코스닥</t>
        </is>
      </c>
      <c r="D104" s="2" t="inlineStr">
        <is>
          <t>175250</t>
        </is>
      </c>
      <c r="E104" s="3" t="inlineStr">
        <is>
          <t>주주총회소집공고</t>
        </is>
      </c>
      <c r="F104" s="3" t="inlineStr">
        <is>
          <t>아이큐어</t>
        </is>
      </c>
      <c r="G104" s="2" t="inlineStr">
        <is>
          <t>20251210000540</t>
        </is>
      </c>
      <c r="H104" s="8">
        <f>HYPERLINK("https://dart.fss.or.kr/dsaf001/main.do?rcpNo=20251210000540", "공시열람")</f>
        <v/>
      </c>
    </row>
    <row r="105">
      <c r="A105" s="2" t="inlineStr">
        <is>
          <t>2025-12-10</t>
        </is>
      </c>
      <c r="B105" s="3" t="inlineStr">
        <is>
          <t>엔시트론</t>
        </is>
      </c>
      <c r="C105" s="2" t="inlineStr">
        <is>
          <t>코스닥</t>
        </is>
      </c>
      <c r="D105" s="2" t="inlineStr">
        <is>
          <t>101400</t>
        </is>
      </c>
      <c r="E105" s="3" t="inlineStr">
        <is>
          <t>주주총회소집공고</t>
        </is>
      </c>
      <c r="F105" s="3" t="inlineStr">
        <is>
          <t>엔시트론</t>
        </is>
      </c>
      <c r="G105" s="2" t="inlineStr">
        <is>
          <t>20251210000386</t>
        </is>
      </c>
      <c r="H105" s="8">
        <f>HYPERLINK("https://dart.fss.or.kr/dsaf001/main.do?rcpNo=20251210000386", "공시열람")</f>
        <v/>
      </c>
    </row>
    <row r="106">
      <c r="A106" s="2" t="inlineStr">
        <is>
          <t>2025-12-10</t>
        </is>
      </c>
      <c r="B106" s="3" t="inlineStr">
        <is>
          <t>라온로보틱스</t>
        </is>
      </c>
      <c r="C106" s="2" t="inlineStr">
        <is>
          <t>코스닥</t>
        </is>
      </c>
      <c r="D106" s="2" t="inlineStr">
        <is>
          <t>232680</t>
        </is>
      </c>
      <c r="E106" s="3" t="inlineStr">
        <is>
          <t>주주총회소집공고</t>
        </is>
      </c>
      <c r="F106" s="3" t="inlineStr">
        <is>
          <t>라온로보틱스</t>
        </is>
      </c>
      <c r="G106" s="2" t="inlineStr">
        <is>
          <t>20251210000330</t>
        </is>
      </c>
      <c r="H106" s="8">
        <f>HYPERLINK("https://dart.fss.or.kr/dsaf001/main.do?rcpNo=20251210000330", "공시열람")</f>
        <v/>
      </c>
    </row>
    <row r="107">
      <c r="A107" s="2" t="inlineStr">
        <is>
          <t>2025-12-11</t>
        </is>
      </c>
      <c r="B107" s="3" t="inlineStr">
        <is>
          <t>한스바이오메드</t>
        </is>
      </c>
      <c r="C107" s="2" t="inlineStr">
        <is>
          <t>코스닥</t>
        </is>
      </c>
      <c r="D107" s="2" t="inlineStr">
        <is>
          <t>042520</t>
        </is>
      </c>
      <c r="E107" s="3" t="inlineStr">
        <is>
          <t>주주총회소집공고</t>
        </is>
      </c>
      <c r="F107" s="3" t="inlineStr">
        <is>
          <t>한스바이오메드</t>
        </is>
      </c>
      <c r="G107" s="2" t="inlineStr">
        <is>
          <t>20251211000351</t>
        </is>
      </c>
      <c r="H107" s="8">
        <f>HYPERLINK("https://dart.fss.or.kr/dsaf001/main.do?rcpNo=20251211000351", "공시열람")</f>
        <v/>
      </c>
    </row>
    <row r="108">
      <c r="A108" s="2" t="inlineStr">
        <is>
          <t>2025-12-11</t>
        </is>
      </c>
      <c r="B108" s="3" t="inlineStr">
        <is>
          <t>마스턴프리미어리츠</t>
        </is>
      </c>
      <c r="C108" s="2" t="inlineStr">
        <is>
          <t>코스피</t>
        </is>
      </c>
      <c r="D108" s="2" t="inlineStr">
        <is>
          <t>357430</t>
        </is>
      </c>
      <c r="E108" s="3" t="inlineStr">
        <is>
          <t>주주총회소집공고</t>
        </is>
      </c>
      <c r="F108" s="3" t="inlineStr">
        <is>
          <t>마스턴프리미어리츠</t>
        </is>
      </c>
      <c r="G108" s="2" t="inlineStr">
        <is>
          <t>20251211000316</t>
        </is>
      </c>
      <c r="H108" s="8">
        <f>HYPERLINK("https://dart.fss.or.kr/dsaf001/main.do?rcpNo=20251211000316", "공시열람")</f>
        <v/>
      </c>
    </row>
    <row r="109">
      <c r="A109" s="2" t="inlineStr">
        <is>
          <t>2025-12-11</t>
        </is>
      </c>
      <c r="B109" s="3" t="inlineStr">
        <is>
          <t>국일제지</t>
        </is>
      </c>
      <c r="C109" s="2" t="inlineStr">
        <is>
          <t>코스닥</t>
        </is>
      </c>
      <c r="D109" s="2" t="inlineStr">
        <is>
          <t>078130</t>
        </is>
      </c>
      <c r="E109" s="3" t="inlineStr">
        <is>
          <t>주주총회소집공고</t>
        </is>
      </c>
      <c r="F109" s="3" t="inlineStr">
        <is>
          <t>국일제지</t>
        </is>
      </c>
      <c r="G109" s="2" t="inlineStr">
        <is>
          <t>20251211000269</t>
        </is>
      </c>
      <c r="H109" s="8">
        <f>HYPERLINK("https://dart.fss.or.kr/dsaf001/main.do?rcpNo=20251211000269", "공시열람")</f>
        <v/>
      </c>
    </row>
    <row r="110">
      <c r="A110" s="2" t="inlineStr">
        <is>
          <t>2025-12-11</t>
        </is>
      </c>
      <c r="B110" s="3" t="inlineStr">
        <is>
          <t>파인테크닉스</t>
        </is>
      </c>
      <c r="C110" s="2" t="inlineStr">
        <is>
          <t>코스닥</t>
        </is>
      </c>
      <c r="D110" s="2" t="inlineStr">
        <is>
          <t>106240</t>
        </is>
      </c>
      <c r="E110" s="3" t="inlineStr">
        <is>
          <t>주주총회소집공고</t>
        </is>
      </c>
      <c r="F110" s="3" t="inlineStr">
        <is>
          <t>파인테크닉스</t>
        </is>
      </c>
      <c r="G110" s="2" t="inlineStr">
        <is>
          <t>20251211000123</t>
        </is>
      </c>
      <c r="H110" s="8">
        <f>HYPERLINK("https://dart.fss.or.kr/dsaf001/main.do?rcpNo=20251211000123", "공시열람")</f>
        <v/>
      </c>
    </row>
    <row r="111">
      <c r="A111" s="2" t="inlineStr">
        <is>
          <t>2025-12-12</t>
        </is>
      </c>
      <c r="B111" s="3" t="inlineStr">
        <is>
          <t>아이오케이이엔엠</t>
        </is>
      </c>
      <c r="C111" s="2" t="inlineStr">
        <is>
          <t>코스닥</t>
        </is>
      </c>
      <c r="D111" s="2" t="inlineStr">
        <is>
          <t>078860</t>
        </is>
      </c>
      <c r="E111" s="3" t="inlineStr">
        <is>
          <t>주주총회소집공고</t>
        </is>
      </c>
      <c r="F111" s="3" t="inlineStr">
        <is>
          <t>아이오케이이엔엠</t>
        </is>
      </c>
      <c r="G111" s="2" t="inlineStr">
        <is>
          <t>20251212000552</t>
        </is>
      </c>
      <c r="H111" s="8">
        <f>HYPERLINK("https://dart.fss.or.kr/dsaf001/main.do?rcpNo=20251212000552", "공시열람")</f>
        <v/>
      </c>
    </row>
    <row r="112">
      <c r="A112" s="2" t="inlineStr">
        <is>
          <t>2025-12-12</t>
        </is>
      </c>
      <c r="B112" s="3" t="inlineStr">
        <is>
          <t>애드바이오텍</t>
        </is>
      </c>
      <c r="C112" s="2" t="inlineStr">
        <is>
          <t>코스닥</t>
        </is>
      </c>
      <c r="D112" s="2" t="inlineStr">
        <is>
          <t>179530</t>
        </is>
      </c>
      <c r="E112" s="3" t="inlineStr">
        <is>
          <t>주주총회소집공고</t>
        </is>
      </c>
      <c r="F112" s="3" t="inlineStr">
        <is>
          <t>애드바이오텍</t>
        </is>
      </c>
      <c r="G112" s="2" t="inlineStr">
        <is>
          <t>20251212000413</t>
        </is>
      </c>
      <c r="H112" s="8">
        <f>HYPERLINK("https://dart.fss.or.kr/dsaf001/main.do?rcpNo=20251212000413", "공시열람")</f>
        <v/>
      </c>
    </row>
    <row r="113">
      <c r="A113" s="2" t="inlineStr">
        <is>
          <t>2025-12-12</t>
        </is>
      </c>
      <c r="B113" s="3" t="inlineStr">
        <is>
          <t>바이오인프라</t>
        </is>
      </c>
      <c r="C113" s="2" t="inlineStr">
        <is>
          <t>코스닥</t>
        </is>
      </c>
      <c r="D113" s="2" t="inlineStr">
        <is>
          <t>199730</t>
        </is>
      </c>
      <c r="E113" s="3" t="inlineStr">
        <is>
          <t>주주총회소집공고</t>
        </is>
      </c>
      <c r="F113" s="3" t="inlineStr">
        <is>
          <t>바이오인프라</t>
        </is>
      </c>
      <c r="G113" s="2" t="inlineStr">
        <is>
          <t>20251212000399</t>
        </is>
      </c>
      <c r="H113" s="8">
        <f>HYPERLINK("https://dart.fss.or.kr/dsaf001/main.do?rcpNo=20251212000399", "공시열람")</f>
        <v/>
      </c>
    </row>
    <row r="114">
      <c r="A114" s="2" t="inlineStr">
        <is>
          <t>2025-12-12</t>
        </is>
      </c>
      <c r="B114" s="3" t="inlineStr">
        <is>
          <t>아이엘로보틱스</t>
        </is>
      </c>
      <c r="C114" s="2" t="inlineStr">
        <is>
          <t>코넥스</t>
        </is>
      </c>
      <c r="D114" s="2" t="inlineStr">
        <is>
          <t>403810</t>
        </is>
      </c>
      <c r="E114" s="3" t="inlineStr">
        <is>
          <t>주주총회소집공고</t>
        </is>
      </c>
      <c r="F114" s="3" t="inlineStr">
        <is>
          <t>아이엘로보틱스</t>
        </is>
      </c>
      <c r="G114" s="2" t="inlineStr">
        <is>
          <t>20251212000257</t>
        </is>
      </c>
      <c r="H114" s="8">
        <f>HYPERLINK("https://dart.fss.or.kr/dsaf001/main.do?rcpNo=20251212000257", "공시열람")</f>
        <v/>
      </c>
    </row>
    <row r="115">
      <c r="A115" s="2" t="inlineStr">
        <is>
          <t>2025-12-12</t>
        </is>
      </c>
      <c r="B115" s="3" t="inlineStr">
        <is>
          <t>SFA반도체</t>
        </is>
      </c>
      <c r="C115" s="2" t="inlineStr">
        <is>
          <t>코스닥</t>
        </is>
      </c>
      <c r="D115" s="2" t="inlineStr">
        <is>
          <t>036540</t>
        </is>
      </c>
      <c r="E115" s="3" t="inlineStr">
        <is>
          <t>주주총회소집공고</t>
        </is>
      </c>
      <c r="F115" s="3" t="inlineStr">
        <is>
          <t>SFA반도체</t>
        </is>
      </c>
      <c r="G115" s="2" t="inlineStr">
        <is>
          <t>20251212000021</t>
        </is>
      </c>
      <c r="H115" s="8">
        <f>HYPERLINK("https://dart.fss.or.kr/dsaf001/main.do?rcpNo=20251212000021", "공시열람")</f>
        <v/>
      </c>
    </row>
    <row r="116">
      <c r="A116" s="2" t="inlineStr">
        <is>
          <t>2025-12-12</t>
        </is>
      </c>
      <c r="B116" s="3" t="inlineStr">
        <is>
          <t>에스에프에이</t>
        </is>
      </c>
      <c r="C116" s="2" t="inlineStr">
        <is>
          <t>코스닥</t>
        </is>
      </c>
      <c r="D116" s="2" t="inlineStr">
        <is>
          <t>056190</t>
        </is>
      </c>
      <c r="E116" s="3" t="inlineStr">
        <is>
          <t>주주총회소집공고</t>
        </is>
      </c>
      <c r="F116" s="3" t="inlineStr">
        <is>
          <t>에스에프에이</t>
        </is>
      </c>
      <c r="G116" s="2" t="inlineStr">
        <is>
          <t>20251212000014</t>
        </is>
      </c>
      <c r="H116" s="8">
        <f>HYPERLINK("https://dart.fss.or.kr/dsaf001/main.do?rcpNo=20251212000014", "공시열람")</f>
        <v/>
      </c>
    </row>
    <row r="117">
      <c r="A117" s="2" t="inlineStr">
        <is>
          <t>2025-12-15 (정정: 2026-01-14)</t>
        </is>
      </c>
      <c r="B117" s="3" t="inlineStr">
        <is>
          <t>디에이치엑스컴퍼니</t>
        </is>
      </c>
      <c r="C117" s="2" t="inlineStr">
        <is>
          <t>코스닥</t>
        </is>
      </c>
      <c r="D117" s="2" t="inlineStr">
        <is>
          <t>031860</t>
        </is>
      </c>
      <c r="E117" s="3" t="inlineStr">
        <is>
          <t>주주총회소집공고 (정정: 20260114)</t>
        </is>
      </c>
      <c r="F117" s="3" t="inlineStr">
        <is>
          <t>디에이치엑스컴퍼니</t>
        </is>
      </c>
      <c r="G117" s="2" t="inlineStr">
        <is>
          <t>20260114000271</t>
        </is>
      </c>
      <c r="H117" s="8">
        <f>HYPERLINK("https://dart.fss.or.kr/dsaf001/main.do?rcpNo=20260114000271", "공시열람")</f>
        <v/>
      </c>
    </row>
    <row r="118">
      <c r="A118" s="2" t="inlineStr">
        <is>
          <t>2025-12-15</t>
        </is>
      </c>
      <c r="B118" s="3" t="inlineStr">
        <is>
          <t>노머스</t>
        </is>
      </c>
      <c r="C118" s="2" t="inlineStr">
        <is>
          <t>코스닥</t>
        </is>
      </c>
      <c r="D118" s="2" t="inlineStr">
        <is>
          <t>473980</t>
        </is>
      </c>
      <c r="E118" s="3" t="inlineStr">
        <is>
          <t>주주총회소집공고</t>
        </is>
      </c>
      <c r="F118" s="3" t="inlineStr">
        <is>
          <t>노머스</t>
        </is>
      </c>
      <c r="G118" s="2" t="inlineStr">
        <is>
          <t>20251215000384</t>
        </is>
      </c>
      <c r="H118" s="8">
        <f>HYPERLINK("https://dart.fss.or.kr/dsaf001/main.do?rcpNo=20251215000384", "공시열람")</f>
        <v/>
      </c>
    </row>
    <row r="119">
      <c r="A119" s="2" t="inlineStr">
        <is>
          <t>2025-12-15</t>
        </is>
      </c>
      <c r="B119" s="3" t="inlineStr">
        <is>
          <t>엣지파운드리</t>
        </is>
      </c>
      <c r="C119" s="2" t="inlineStr">
        <is>
          <t>코스닥</t>
        </is>
      </c>
      <c r="D119" s="2" t="inlineStr">
        <is>
          <t>105550</t>
        </is>
      </c>
      <c r="E119" s="3" t="inlineStr">
        <is>
          <t>주주총회소집공고</t>
        </is>
      </c>
      <c r="F119" s="3" t="inlineStr">
        <is>
          <t>엣지파운드리</t>
        </is>
      </c>
      <c r="G119" s="2" t="inlineStr">
        <is>
          <t>20251215000345</t>
        </is>
      </c>
      <c r="H119" s="8">
        <f>HYPERLINK("https://dart.fss.or.kr/dsaf001/main.do?rcpNo=20251215000345", "공시열람")</f>
        <v/>
      </c>
    </row>
    <row r="120">
      <c r="A120" s="2" t="inlineStr">
        <is>
          <t>2025-12-15</t>
        </is>
      </c>
      <c r="B120" s="3" t="inlineStr">
        <is>
          <t>에코글로우</t>
        </is>
      </c>
      <c r="C120" s="2" t="inlineStr">
        <is>
          <t>코스닥</t>
        </is>
      </c>
      <c r="D120" s="2" t="inlineStr">
        <is>
          <t>159910</t>
        </is>
      </c>
      <c r="E120" s="3" t="inlineStr">
        <is>
          <t>주주총회소집공고</t>
        </is>
      </c>
      <c r="F120" s="3" t="inlineStr">
        <is>
          <t>에코글로우</t>
        </is>
      </c>
      <c r="G120" s="2" t="inlineStr">
        <is>
          <t>20251215000343</t>
        </is>
      </c>
      <c r="H120" s="8">
        <f>HYPERLINK("https://dart.fss.or.kr/dsaf001/main.do?rcpNo=20251215000343", "공시열람")</f>
        <v/>
      </c>
    </row>
    <row r="121">
      <c r="A121" s="2" t="inlineStr">
        <is>
          <t>2025-12-15</t>
        </is>
      </c>
      <c r="B121" s="3" t="inlineStr">
        <is>
          <t>엔젯</t>
        </is>
      </c>
      <c r="C121" s="2" t="inlineStr">
        <is>
          <t>코스닥</t>
        </is>
      </c>
      <c r="D121" s="2" t="inlineStr">
        <is>
          <t>419080</t>
        </is>
      </c>
      <c r="E121" s="3" t="inlineStr">
        <is>
          <t>주주총회소집공고</t>
        </is>
      </c>
      <c r="F121" s="3" t="inlineStr">
        <is>
          <t>엔젯</t>
        </is>
      </c>
      <c r="G121" s="2" t="inlineStr">
        <is>
          <t>20251215000257</t>
        </is>
      </c>
      <c r="H121" s="8">
        <f>HYPERLINK("https://dart.fss.or.kr/dsaf001/main.do?rcpNo=20251215000257", "공시열람")</f>
        <v/>
      </c>
    </row>
    <row r="122">
      <c r="A122" s="2" t="inlineStr">
        <is>
          <t>2025-12-15</t>
        </is>
      </c>
      <c r="B122" s="3" t="inlineStr">
        <is>
          <t>STX</t>
        </is>
      </c>
      <c r="C122" s="2" t="inlineStr">
        <is>
          <t>코스피</t>
        </is>
      </c>
      <c r="D122" s="2" t="inlineStr">
        <is>
          <t>011810</t>
        </is>
      </c>
      <c r="E122" s="3" t="inlineStr">
        <is>
          <t>주주총회소집공고</t>
        </is>
      </c>
      <c r="F122" s="3" t="inlineStr">
        <is>
          <t>STX</t>
        </is>
      </c>
      <c r="G122" s="2" t="inlineStr">
        <is>
          <t>20251215000252</t>
        </is>
      </c>
      <c r="H122" s="8">
        <f>HYPERLINK("https://dart.fss.or.kr/dsaf001/main.do?rcpNo=20251215000252", "공시열람")</f>
        <v/>
      </c>
    </row>
    <row r="123">
      <c r="A123" s="2" t="inlineStr">
        <is>
          <t>2025-12-15</t>
        </is>
      </c>
      <c r="B123" s="3" t="inlineStr">
        <is>
          <t>인크로스</t>
        </is>
      </c>
      <c r="C123" s="2" t="inlineStr">
        <is>
          <t>코스닥</t>
        </is>
      </c>
      <c r="D123" s="2" t="inlineStr">
        <is>
          <t>216050</t>
        </is>
      </c>
      <c r="E123" s="3" t="inlineStr">
        <is>
          <t>주주총회소집공고</t>
        </is>
      </c>
      <c r="F123" s="3" t="inlineStr">
        <is>
          <t>인크로스</t>
        </is>
      </c>
      <c r="G123" s="2" t="inlineStr">
        <is>
          <t>20251215000211</t>
        </is>
      </c>
      <c r="H123" s="8">
        <f>HYPERLINK("https://dart.fss.or.kr/dsaf001/main.do?rcpNo=20251215000211", "공시열람")</f>
        <v/>
      </c>
    </row>
    <row r="124">
      <c r="A124" s="2" t="inlineStr">
        <is>
          <t>2025-12-15</t>
        </is>
      </c>
      <c r="B124" s="3" t="inlineStr">
        <is>
          <t>성호전자</t>
        </is>
      </c>
      <c r="C124" s="2" t="inlineStr">
        <is>
          <t>코스닥</t>
        </is>
      </c>
      <c r="D124" s="2" t="inlineStr">
        <is>
          <t>043260</t>
        </is>
      </c>
      <c r="E124" s="3" t="inlineStr">
        <is>
          <t>주주총회소집공고</t>
        </is>
      </c>
      <c r="F124" s="3" t="inlineStr">
        <is>
          <t>성호전자</t>
        </is>
      </c>
      <c r="G124" s="2" t="inlineStr">
        <is>
          <t>20251215000182</t>
        </is>
      </c>
      <c r="H124" s="8">
        <f>HYPERLINK("https://dart.fss.or.kr/dsaf001/main.do?rcpNo=20251215000182", "공시열람")</f>
        <v/>
      </c>
    </row>
    <row r="125">
      <c r="A125" s="2" t="inlineStr">
        <is>
          <t>2025-12-15 (정정: 2026-03-10)</t>
        </is>
      </c>
      <c r="B125" s="3" t="inlineStr">
        <is>
          <t>수성웹툰</t>
        </is>
      </c>
      <c r="C125" s="2" t="inlineStr">
        <is>
          <t>코스닥</t>
        </is>
      </c>
      <c r="D125" s="2" t="inlineStr">
        <is>
          <t>084180</t>
        </is>
      </c>
      <c r="E125" s="3" t="inlineStr">
        <is>
          <t>주주총회소집공고 (정정: 20260310)</t>
        </is>
      </c>
      <c r="F125" s="3" t="inlineStr">
        <is>
          <t>수성웹툰</t>
        </is>
      </c>
      <c r="G125" s="2" t="inlineStr">
        <is>
          <t>20260310901827</t>
        </is>
      </c>
      <c r="H125" s="8">
        <f>HYPERLINK("https://dart.fss.or.kr/dsaf001/main.do?rcpNo=20260310901827", "공시열람")</f>
        <v/>
      </c>
    </row>
    <row r="126">
      <c r="A126" s="2" t="inlineStr">
        <is>
          <t>2025-12-15</t>
        </is>
      </c>
      <c r="B126" s="3" t="inlineStr">
        <is>
          <t>방림</t>
        </is>
      </c>
      <c r="C126" s="2" t="inlineStr">
        <is>
          <t>코스피</t>
        </is>
      </c>
      <c r="D126" s="2" t="inlineStr">
        <is>
          <t>003610</t>
        </is>
      </c>
      <c r="E126" s="3" t="inlineStr">
        <is>
          <t>주주총회소집공고</t>
        </is>
      </c>
      <c r="F126" s="3" t="inlineStr">
        <is>
          <t>방림</t>
        </is>
      </c>
      <c r="G126" s="2" t="inlineStr">
        <is>
          <t>20251215000115</t>
        </is>
      </c>
      <c r="H126" s="8">
        <f>HYPERLINK("https://dart.fss.or.kr/dsaf001/main.do?rcpNo=20251215000115", "공시열람")</f>
        <v/>
      </c>
    </row>
    <row r="127">
      <c r="A127" s="2" t="inlineStr">
        <is>
          <t>2025-12-15</t>
        </is>
      </c>
      <c r="B127" s="3" t="inlineStr">
        <is>
          <t>프리시젼바이오</t>
        </is>
      </c>
      <c r="C127" s="2" t="inlineStr">
        <is>
          <t>코스닥</t>
        </is>
      </c>
      <c r="D127" s="2" t="inlineStr">
        <is>
          <t>335810</t>
        </is>
      </c>
      <c r="E127" s="3" t="inlineStr">
        <is>
          <t>주주총회소집공고</t>
        </is>
      </c>
      <c r="F127" s="3" t="inlineStr">
        <is>
          <t>프리시젼바이오</t>
        </is>
      </c>
      <c r="G127" s="2" t="inlineStr">
        <is>
          <t>20251215000091</t>
        </is>
      </c>
      <c r="H127" s="8">
        <f>HYPERLINK("https://dart.fss.or.kr/dsaf001/main.do?rcpNo=20251215000091", "공시열람")</f>
        <v/>
      </c>
    </row>
    <row r="128">
      <c r="A128" s="2" t="inlineStr">
        <is>
          <t>2025-12-15</t>
        </is>
      </c>
      <c r="B128" s="3" t="inlineStr">
        <is>
          <t>바스칸바이오제약</t>
        </is>
      </c>
      <c r="C128" s="2" t="inlineStr">
        <is>
          <t>코넥스</t>
        </is>
      </c>
      <c r="D128" s="2" t="inlineStr">
        <is>
          <t>354390</t>
        </is>
      </c>
      <c r="E128" s="3" t="inlineStr">
        <is>
          <t>주주총회소집공고</t>
        </is>
      </c>
      <c r="F128" s="3" t="inlineStr">
        <is>
          <t>바스칸바이오제약</t>
        </is>
      </c>
      <c r="G128" s="2" t="inlineStr">
        <is>
          <t>20251215000039</t>
        </is>
      </c>
      <c r="H128" s="8">
        <f>HYPERLINK("https://dart.fss.or.kr/dsaf001/main.do?rcpNo=20251215000039", "공시열람")</f>
        <v/>
      </c>
    </row>
    <row r="129">
      <c r="A129" s="2" t="inlineStr">
        <is>
          <t>2025-12-15</t>
        </is>
      </c>
      <c r="B129" s="3" t="inlineStr">
        <is>
          <t>아크솔루션스</t>
        </is>
      </c>
      <c r="C129" s="2" t="inlineStr">
        <is>
          <t>코스닥</t>
        </is>
      </c>
      <c r="D129" s="2" t="inlineStr">
        <is>
          <t>203690</t>
        </is>
      </c>
      <c r="E129" s="3" t="inlineStr">
        <is>
          <t>주주총회소집공고</t>
        </is>
      </c>
      <c r="F129" s="3" t="inlineStr">
        <is>
          <t>아크솔루션스</t>
        </is>
      </c>
      <c r="G129" s="2" t="inlineStr">
        <is>
          <t>20251212000567</t>
        </is>
      </c>
      <c r="H129" s="8">
        <f>HYPERLINK("https://dart.fss.or.kr/dsaf001/main.do?rcpNo=20251212000567", "공시열람")</f>
        <v/>
      </c>
    </row>
    <row r="130">
      <c r="A130" s="2" t="inlineStr">
        <is>
          <t>2025-12-16</t>
        </is>
      </c>
      <c r="B130" s="3" t="inlineStr">
        <is>
          <t>코렌텍</t>
        </is>
      </c>
      <c r="C130" s="2" t="inlineStr">
        <is>
          <t>코스닥</t>
        </is>
      </c>
      <c r="D130" s="2" t="inlineStr">
        <is>
          <t>104540</t>
        </is>
      </c>
      <c r="E130" s="3" t="inlineStr">
        <is>
          <t>주주총회소집공고</t>
        </is>
      </c>
      <c r="F130" s="3" t="inlineStr">
        <is>
          <t>코렌텍</t>
        </is>
      </c>
      <c r="G130" s="2" t="inlineStr">
        <is>
          <t>20251216000179</t>
        </is>
      </c>
      <c r="H130" s="8">
        <f>HYPERLINK("https://dart.fss.or.kr/dsaf001/main.do?rcpNo=20251216000179", "공시열람")</f>
        <v/>
      </c>
    </row>
    <row r="131">
      <c r="A131" s="2" t="inlineStr">
        <is>
          <t>2025-12-16</t>
        </is>
      </c>
      <c r="B131" s="3" t="inlineStr">
        <is>
          <t>지구홀딩스</t>
        </is>
      </c>
      <c r="C131" s="2" t="inlineStr">
        <is>
          <t>코스닥</t>
        </is>
      </c>
      <c r="D131" s="2" t="inlineStr">
        <is>
          <t>221800</t>
        </is>
      </c>
      <c r="E131" s="3" t="inlineStr">
        <is>
          <t>주주총회소집공고</t>
        </is>
      </c>
      <c r="F131" s="3" t="inlineStr">
        <is>
          <t>지구홀딩스</t>
        </is>
      </c>
      <c r="G131" s="2" t="inlineStr">
        <is>
          <t>20251216000117</t>
        </is>
      </c>
      <c r="H131" s="8">
        <f>HYPERLINK("https://dart.fss.or.kr/dsaf001/main.do?rcpNo=20251216000117", "공시열람")</f>
        <v/>
      </c>
    </row>
    <row r="132">
      <c r="A132" s="2" t="inlineStr">
        <is>
          <t>2025-12-16</t>
        </is>
      </c>
      <c r="B132" s="3" t="inlineStr">
        <is>
          <t>태림포장</t>
        </is>
      </c>
      <c r="C132" s="2" t="inlineStr">
        <is>
          <t>코스피</t>
        </is>
      </c>
      <c r="D132" s="2" t="inlineStr">
        <is>
          <t>011280</t>
        </is>
      </c>
      <c r="E132" s="3" t="inlineStr">
        <is>
          <t>주주총회소집공고</t>
        </is>
      </c>
      <c r="F132" s="3" t="inlineStr">
        <is>
          <t>태림포장</t>
        </is>
      </c>
      <c r="G132" s="2" t="inlineStr">
        <is>
          <t>20251216000077</t>
        </is>
      </c>
      <c r="H132" s="8">
        <f>HYPERLINK("https://dart.fss.or.kr/dsaf001/main.do?rcpNo=20251216000077", "공시열람")</f>
        <v/>
      </c>
    </row>
    <row r="133">
      <c r="A133" s="2" t="inlineStr">
        <is>
          <t>2025-12-17 (정정: 2025-12-17)</t>
        </is>
      </c>
      <c r="B133" s="3" t="inlineStr">
        <is>
          <t>아시아종묘</t>
        </is>
      </c>
      <c r="C133" s="2" t="inlineStr">
        <is>
          <t>코스닥</t>
        </is>
      </c>
      <c r="D133" s="2" t="inlineStr">
        <is>
          <t>154030</t>
        </is>
      </c>
      <c r="E133" s="3" t="inlineStr">
        <is>
          <t>[기재정정]주주총회소집공고 (정정: 20251217)</t>
        </is>
      </c>
      <c r="F133" s="3" t="inlineStr">
        <is>
          <t>아시아종묘</t>
        </is>
      </c>
      <c r="G133" s="2" t="inlineStr">
        <is>
          <t>20251217000464</t>
        </is>
      </c>
      <c r="H133" s="8">
        <f>HYPERLINK("https://dart.fss.or.kr/dsaf001/main.do?rcpNo=20251217000464", "공시열람")</f>
        <v/>
      </c>
    </row>
    <row r="134">
      <c r="A134" s="2" t="inlineStr">
        <is>
          <t>2025-12-17</t>
        </is>
      </c>
      <c r="B134" s="3" t="inlineStr">
        <is>
          <t>한스바이오메드</t>
        </is>
      </c>
      <c r="C134" s="2" t="inlineStr">
        <is>
          <t>코스닥</t>
        </is>
      </c>
      <c r="D134" s="2" t="inlineStr">
        <is>
          <t>042520</t>
        </is>
      </c>
      <c r="E134" s="3" t="inlineStr">
        <is>
          <t>[기재정정]주주총회소집공고</t>
        </is>
      </c>
      <c r="F134" s="3" t="inlineStr">
        <is>
          <t>한스바이오메드</t>
        </is>
      </c>
      <c r="G134" s="2" t="inlineStr">
        <is>
          <t>20251217000416</t>
        </is>
      </c>
      <c r="H134" s="8">
        <f>HYPERLINK("https://dart.fss.or.kr/dsaf001/main.do?rcpNo=20251217000416", "공시열람")</f>
        <v/>
      </c>
    </row>
    <row r="135">
      <c r="A135" s="2" t="inlineStr">
        <is>
          <t>2025-12-17 (정정: 2025-12-18)</t>
        </is>
      </c>
      <c r="B135" s="3" t="inlineStr">
        <is>
          <t>아시아종묘</t>
        </is>
      </c>
      <c r="C135" s="2" t="inlineStr">
        <is>
          <t>코스닥</t>
        </is>
      </c>
      <c r="D135" s="2" t="inlineStr">
        <is>
          <t>154030</t>
        </is>
      </c>
      <c r="E135" s="3" t="inlineStr">
        <is>
          <t>주주총회소집공고 (정정: 20251218)</t>
        </is>
      </c>
      <c r="F135" s="3" t="inlineStr">
        <is>
          <t>아시아종묘</t>
        </is>
      </c>
      <c r="G135" s="2" t="inlineStr">
        <is>
          <t>20251217000605</t>
        </is>
      </c>
      <c r="H135" s="8">
        <f>HYPERLINK("https://dart.fss.or.kr/dsaf001/main.do?rcpNo=20251217000605", "공시열람")</f>
        <v/>
      </c>
    </row>
    <row r="136">
      <c r="A136" s="2" t="inlineStr">
        <is>
          <t>2025-12-18 (정정: 2026-03-13)</t>
        </is>
      </c>
      <c r="B136" s="3" t="inlineStr">
        <is>
          <t>지아이에스</t>
        </is>
      </c>
      <c r="C136" s="2" t="inlineStr">
        <is>
          <t>코스닥</t>
        </is>
      </c>
      <c r="D136" s="2" t="inlineStr">
        <is>
          <t>306620</t>
        </is>
      </c>
      <c r="E136" s="3" t="inlineStr">
        <is>
          <t>주주총회소집공고 (정정: 20251230) (정정: 20260313)</t>
        </is>
      </c>
      <c r="F136" s="3" t="inlineStr">
        <is>
          <t>지아이에스</t>
        </is>
      </c>
      <c r="G136" s="2" t="inlineStr">
        <is>
          <t>20260313902144</t>
        </is>
      </c>
      <c r="H136" s="8">
        <f>HYPERLINK("https://dart.fss.or.kr/dsaf001/main.do?rcpNo=20260313902144", "공시열람")</f>
        <v/>
      </c>
    </row>
    <row r="137">
      <c r="A137" s="2" t="inlineStr">
        <is>
          <t>2025-12-18</t>
        </is>
      </c>
      <c r="B137" s="3" t="inlineStr">
        <is>
          <t>앤로보틱스</t>
        </is>
      </c>
      <c r="C137" s="2" t="inlineStr">
        <is>
          <t>코스닥</t>
        </is>
      </c>
      <c r="D137" s="2" t="inlineStr">
        <is>
          <t>138360</t>
        </is>
      </c>
      <c r="E137" s="3" t="inlineStr">
        <is>
          <t>주주총회소집공고</t>
        </is>
      </c>
      <c r="F137" s="3" t="inlineStr">
        <is>
          <t>앤로보틱스</t>
        </is>
      </c>
      <c r="G137" s="2" t="inlineStr">
        <is>
          <t>20251218000371</t>
        </is>
      </c>
      <c r="H137" s="8">
        <f>HYPERLINK("https://dart.fss.or.kr/dsaf001/main.do?rcpNo=20251218000371", "공시열람")</f>
        <v/>
      </c>
    </row>
    <row r="138">
      <c r="A138" s="2" t="inlineStr">
        <is>
          <t>2025-12-18 (정정: 2026-01-05)</t>
        </is>
      </c>
      <c r="B138" s="3" t="inlineStr">
        <is>
          <t>에이비프로바이오</t>
        </is>
      </c>
      <c r="C138" s="2" t="inlineStr">
        <is>
          <t>코스닥</t>
        </is>
      </c>
      <c r="D138" s="2" t="inlineStr">
        <is>
          <t>195990</t>
        </is>
      </c>
      <c r="E138" s="3" t="inlineStr">
        <is>
          <t>주주총회소집공고 (정정: 20260105)</t>
        </is>
      </c>
      <c r="F138" s="3" t="inlineStr">
        <is>
          <t>에이비프로바이오</t>
        </is>
      </c>
      <c r="G138" s="2" t="inlineStr">
        <is>
          <t>20260105000376</t>
        </is>
      </c>
      <c r="H138" s="8">
        <f>HYPERLINK("https://dart.fss.or.kr/dsaf001/main.do?rcpNo=20260105000376", "공시열람")</f>
        <v/>
      </c>
    </row>
    <row r="139">
      <c r="A139" s="2" t="inlineStr">
        <is>
          <t>2025-12-18</t>
        </is>
      </c>
      <c r="B139" s="3" t="inlineStr">
        <is>
          <t>인터지스</t>
        </is>
      </c>
      <c r="C139" s="2" t="inlineStr">
        <is>
          <t>코스피</t>
        </is>
      </c>
      <c r="D139" s="2" t="inlineStr">
        <is>
          <t>129260</t>
        </is>
      </c>
      <c r="E139" s="3" t="inlineStr">
        <is>
          <t>주주총회소집공고</t>
        </is>
      </c>
      <c r="F139" s="3" t="inlineStr">
        <is>
          <t>인터지스</t>
        </is>
      </c>
      <c r="G139" s="2" t="inlineStr">
        <is>
          <t>20251218000231</t>
        </is>
      </c>
      <c r="H139" s="8">
        <f>HYPERLINK("https://dart.fss.or.kr/dsaf001/main.do?rcpNo=20251218000231", "공시열람")</f>
        <v/>
      </c>
    </row>
    <row r="140">
      <c r="A140" s="2" t="inlineStr">
        <is>
          <t>2025-12-18</t>
        </is>
      </c>
      <c r="B140" s="3" t="inlineStr">
        <is>
          <t>오가노이드사이언스</t>
        </is>
      </c>
      <c r="C140" s="2" t="inlineStr">
        <is>
          <t>코스닥</t>
        </is>
      </c>
      <c r="D140" s="2" t="inlineStr">
        <is>
          <t>476040</t>
        </is>
      </c>
      <c r="E140" s="3" t="inlineStr">
        <is>
          <t>주주총회소집공고</t>
        </is>
      </c>
      <c r="F140" s="3" t="inlineStr">
        <is>
          <t>오가노이드사이언스</t>
        </is>
      </c>
      <c r="G140" s="2" t="inlineStr">
        <is>
          <t>20251218000152</t>
        </is>
      </c>
      <c r="H140" s="8">
        <f>HYPERLINK("https://dart.fss.or.kr/dsaf001/main.do?rcpNo=20251218000152", "공시열람")</f>
        <v/>
      </c>
    </row>
    <row r="141">
      <c r="A141" s="2" t="inlineStr">
        <is>
          <t>2025-12-18</t>
        </is>
      </c>
      <c r="B141" s="3" t="inlineStr">
        <is>
          <t>위월드</t>
        </is>
      </c>
      <c r="C141" s="2" t="inlineStr">
        <is>
          <t>코넥스</t>
        </is>
      </c>
      <c r="D141" s="2" t="inlineStr">
        <is>
          <t>140660</t>
        </is>
      </c>
      <c r="E141" s="3" t="inlineStr">
        <is>
          <t>주주총회소집공고</t>
        </is>
      </c>
      <c r="F141" s="3" t="inlineStr">
        <is>
          <t>위월드</t>
        </is>
      </c>
      <c r="G141" s="2" t="inlineStr">
        <is>
          <t>20251218000114</t>
        </is>
      </c>
      <c r="H141" s="8">
        <f>HYPERLINK("https://dart.fss.or.kr/dsaf001/main.do?rcpNo=20251218000114", "공시열람")</f>
        <v/>
      </c>
    </row>
    <row r="142">
      <c r="A142" s="2" t="inlineStr">
        <is>
          <t>2025-12-19</t>
        </is>
      </c>
      <c r="B142" s="3" t="inlineStr">
        <is>
          <t>플레이그램</t>
        </is>
      </c>
      <c r="C142" s="2" t="inlineStr">
        <is>
          <t>코스피</t>
        </is>
      </c>
      <c r="D142" s="2" t="inlineStr">
        <is>
          <t>009810</t>
        </is>
      </c>
      <c r="E142" s="3" t="inlineStr">
        <is>
          <t>주주총회소집공고</t>
        </is>
      </c>
      <c r="F142" s="3" t="inlineStr">
        <is>
          <t>플레이그램</t>
        </is>
      </c>
      <c r="G142" s="2" t="inlineStr">
        <is>
          <t>20251219000388</t>
        </is>
      </c>
      <c r="H142" s="8">
        <f>HYPERLINK("https://dart.fss.or.kr/dsaf001/main.do?rcpNo=20251219000388", "공시열람")</f>
        <v/>
      </c>
    </row>
    <row r="143">
      <c r="A143" s="2" t="inlineStr">
        <is>
          <t>2025-12-19</t>
        </is>
      </c>
      <c r="B143" s="3" t="inlineStr">
        <is>
          <t>롯데리츠</t>
        </is>
      </c>
      <c r="C143" s="2" t="inlineStr">
        <is>
          <t>코스피</t>
        </is>
      </c>
      <c r="D143" s="2" t="inlineStr">
        <is>
          <t>330590</t>
        </is>
      </c>
      <c r="E143" s="3" t="inlineStr">
        <is>
          <t>주주총회소집공고</t>
        </is>
      </c>
      <c r="F143" s="3" t="inlineStr">
        <is>
          <t>롯데리츠</t>
        </is>
      </c>
      <c r="G143" s="2" t="inlineStr">
        <is>
          <t>20251219000372</t>
        </is>
      </c>
      <c r="H143" s="8">
        <f>HYPERLINK("https://dart.fss.or.kr/dsaf001/main.do?rcpNo=20251219000372", "공시열람")</f>
        <v/>
      </c>
    </row>
    <row r="144">
      <c r="A144" s="2" t="inlineStr">
        <is>
          <t>2025-12-19 (정정: 2025-12-19)</t>
        </is>
      </c>
      <c r="B144" s="3" t="inlineStr">
        <is>
          <t>크로넥스</t>
        </is>
      </c>
      <c r="C144" s="2" t="inlineStr">
        <is>
          <t>코넥스</t>
        </is>
      </c>
      <c r="D144" s="2" t="inlineStr">
        <is>
          <t>215570</t>
        </is>
      </c>
      <c r="E144" s="3" t="inlineStr">
        <is>
          <t>[기재정정]주주총회소집공고</t>
        </is>
      </c>
      <c r="F144" s="3" t="inlineStr">
        <is>
          <t>크로넥스</t>
        </is>
      </c>
      <c r="G144" s="2" t="inlineStr">
        <is>
          <t>20251219000291</t>
        </is>
      </c>
      <c r="H144" s="8">
        <f>HYPERLINK("https://dart.fss.or.kr/dsaf001/main.do?rcpNo=20251219000291", "공시열람")</f>
        <v/>
      </c>
    </row>
    <row r="145">
      <c r="A145" s="2" t="inlineStr">
        <is>
          <t>2025-12-19</t>
        </is>
      </c>
      <c r="B145" s="3" t="inlineStr">
        <is>
          <t>크로넥스</t>
        </is>
      </c>
      <c r="C145" s="2" t="inlineStr">
        <is>
          <t>코넥스</t>
        </is>
      </c>
      <c r="D145" s="2" t="inlineStr">
        <is>
          <t>215570</t>
        </is>
      </c>
      <c r="E145" s="3" t="inlineStr">
        <is>
          <t>주주총회소집공고</t>
        </is>
      </c>
      <c r="F145" s="3" t="inlineStr">
        <is>
          <t>크로넥스</t>
        </is>
      </c>
      <c r="G145" s="2" t="inlineStr">
        <is>
          <t>20251219000258</t>
        </is>
      </c>
      <c r="H145" s="8">
        <f>HYPERLINK("https://dart.fss.or.kr/dsaf001/main.do?rcpNo=20251219000258", "공시열람")</f>
        <v/>
      </c>
    </row>
    <row r="146">
      <c r="A146" s="2" t="inlineStr">
        <is>
          <t>2025-12-19</t>
        </is>
      </c>
      <c r="B146" s="3" t="inlineStr">
        <is>
          <t>아이티센코어</t>
        </is>
      </c>
      <c r="C146" s="2" t="inlineStr">
        <is>
          <t>코넥스</t>
        </is>
      </c>
      <c r="D146" s="2" t="inlineStr">
        <is>
          <t>243870</t>
        </is>
      </c>
      <c r="E146" s="3" t="inlineStr">
        <is>
          <t>주주총회소집공고</t>
        </is>
      </c>
      <c r="F146" s="3" t="inlineStr">
        <is>
          <t>아이티센코어</t>
        </is>
      </c>
      <c r="G146" s="2" t="inlineStr">
        <is>
          <t>20251219000127</t>
        </is>
      </c>
      <c r="H146" s="8">
        <f>HYPERLINK("https://dart.fss.or.kr/dsaf001/main.do?rcpNo=20251219000127", "공시열람")</f>
        <v/>
      </c>
    </row>
    <row r="147">
      <c r="A147" s="2" t="inlineStr">
        <is>
          <t>2025-12-22</t>
        </is>
      </c>
      <c r="B147" s="3" t="inlineStr">
        <is>
          <t>바이오인프라생명과학</t>
        </is>
      </c>
      <c r="C147" s="2" t="inlineStr">
        <is>
          <t>코넥스</t>
        </is>
      </c>
      <c r="D147" s="2" t="inlineStr">
        <is>
          <t>266470</t>
        </is>
      </c>
      <c r="E147" s="3" t="inlineStr">
        <is>
          <t>주주총회소집공고</t>
        </is>
      </c>
      <c r="F147" s="3" t="inlineStr">
        <is>
          <t>바이오인프라생명과학</t>
        </is>
      </c>
      <c r="G147" s="2" t="inlineStr">
        <is>
          <t>20251222000017</t>
        </is>
      </c>
      <c r="H147" s="8">
        <f>HYPERLINK("https://dart.fss.or.kr/dsaf001/main.do?rcpNo=20251222000017", "공시열람")</f>
        <v/>
      </c>
    </row>
    <row r="148">
      <c r="A148" s="2" t="inlineStr">
        <is>
          <t>2025-12-23</t>
        </is>
      </c>
      <c r="B148" s="3" t="inlineStr">
        <is>
          <t>JTC</t>
        </is>
      </c>
      <c r="C148" s="2" t="inlineStr">
        <is>
          <t>코스닥</t>
        </is>
      </c>
      <c r="D148" s="2" t="inlineStr">
        <is>
          <t>950170</t>
        </is>
      </c>
      <c r="E148" s="3" t="inlineStr">
        <is>
          <t>주주총회소집공고</t>
        </is>
      </c>
      <c r="F148" s="3" t="inlineStr">
        <is>
          <t>JTC</t>
        </is>
      </c>
      <c r="G148" s="2" t="inlineStr">
        <is>
          <t>20251223000616</t>
        </is>
      </c>
      <c r="H148" s="8">
        <f>HYPERLINK("https://dart.fss.or.kr/dsaf001/main.do?rcpNo=20251223000616", "공시열람")</f>
        <v/>
      </c>
    </row>
    <row r="149">
      <c r="A149" s="2" t="inlineStr">
        <is>
          <t>2025-12-23</t>
        </is>
      </c>
      <c r="B149" s="3" t="inlineStr">
        <is>
          <t>메이슨캐피탈</t>
        </is>
      </c>
      <c r="C149" s="2" t="inlineStr">
        <is>
          <t>코스닥</t>
        </is>
      </c>
      <c r="D149" s="2" t="inlineStr">
        <is>
          <t>021880</t>
        </is>
      </c>
      <c r="E149" s="3" t="inlineStr">
        <is>
          <t>주주총회소집공고</t>
        </is>
      </c>
      <c r="F149" s="3" t="inlineStr">
        <is>
          <t>메이슨캐피탈</t>
        </is>
      </c>
      <c r="G149" s="2" t="inlineStr">
        <is>
          <t>20251223000296</t>
        </is>
      </c>
      <c r="H149" s="8">
        <f>HYPERLINK("https://dart.fss.or.kr/dsaf001/main.do?rcpNo=20251223000296", "공시열람")</f>
        <v/>
      </c>
    </row>
    <row r="150">
      <c r="A150" s="2" t="inlineStr">
        <is>
          <t>2025-12-26</t>
        </is>
      </c>
      <c r="B150" s="3" t="inlineStr">
        <is>
          <t>코칩</t>
        </is>
      </c>
      <c r="C150" s="2" t="inlineStr">
        <is>
          <t>코스닥</t>
        </is>
      </c>
      <c r="D150" s="2" t="inlineStr">
        <is>
          <t>126730</t>
        </is>
      </c>
      <c r="E150" s="3" t="inlineStr">
        <is>
          <t>주주총회소집공고</t>
        </is>
      </c>
      <c r="F150" s="3" t="inlineStr">
        <is>
          <t>코칩</t>
        </is>
      </c>
      <c r="G150" s="2" t="inlineStr">
        <is>
          <t>20251226000282</t>
        </is>
      </c>
      <c r="H150" s="8">
        <f>HYPERLINK("https://dart.fss.or.kr/dsaf001/main.do?rcpNo=20251226000282", "공시열람")</f>
        <v/>
      </c>
    </row>
    <row r="151">
      <c r="A151" s="2" t="inlineStr">
        <is>
          <t>2025-12-29</t>
        </is>
      </c>
      <c r="B151" s="3" t="inlineStr">
        <is>
          <t>차바이오텍</t>
        </is>
      </c>
      <c r="C151" s="2" t="inlineStr">
        <is>
          <t>코스닥</t>
        </is>
      </c>
      <c r="D151" s="2" t="inlineStr">
        <is>
          <t>085660</t>
        </is>
      </c>
      <c r="E151" s="3" t="inlineStr">
        <is>
          <t>주주총회소집공고</t>
        </is>
      </c>
      <c r="F151" s="3" t="inlineStr">
        <is>
          <t>차바이오텍</t>
        </is>
      </c>
      <c r="G151" s="2" t="inlineStr">
        <is>
          <t>20251229000727</t>
        </is>
      </c>
      <c r="H151" s="8">
        <f>HYPERLINK("https://dart.fss.or.kr/dsaf001/main.do?rcpNo=20251229000727", "공시열람")</f>
        <v/>
      </c>
    </row>
    <row r="152">
      <c r="A152" s="2" t="inlineStr">
        <is>
          <t>2025-12-29 (정정: 2026-01-29)</t>
        </is>
      </c>
      <c r="B152" s="3" t="inlineStr">
        <is>
          <t>캠시스</t>
        </is>
      </c>
      <c r="C152" s="2" t="inlineStr">
        <is>
          <t>코스닥</t>
        </is>
      </c>
      <c r="D152" s="2" t="inlineStr">
        <is>
          <t>050110</t>
        </is>
      </c>
      <c r="E152" s="3" t="inlineStr">
        <is>
          <t>주주총회소집공고 (정정: 20260129)</t>
        </is>
      </c>
      <c r="F152" s="3" t="inlineStr">
        <is>
          <t>캠시스</t>
        </is>
      </c>
      <c r="G152" s="2" t="inlineStr">
        <is>
          <t>20260129000602</t>
        </is>
      </c>
      <c r="H152" s="8">
        <f>HYPERLINK("https://dart.fss.or.kr/dsaf001/main.do?rcpNo=20260129000602", "공시열람")</f>
        <v/>
      </c>
    </row>
    <row r="153">
      <c r="A153" s="2" t="inlineStr">
        <is>
          <t>2025-12-29</t>
        </is>
      </c>
      <c r="B153" s="3" t="inlineStr">
        <is>
          <t>에스오에스랩</t>
        </is>
      </c>
      <c r="C153" s="2" t="inlineStr">
        <is>
          <t>코스닥</t>
        </is>
      </c>
      <c r="D153" s="2" t="inlineStr">
        <is>
          <t>464080</t>
        </is>
      </c>
      <c r="E153" s="3" t="inlineStr">
        <is>
          <t>주주총회소집공고</t>
        </is>
      </c>
      <c r="F153" s="3" t="inlineStr">
        <is>
          <t>에스오에스랩</t>
        </is>
      </c>
      <c r="G153" s="2" t="inlineStr">
        <is>
          <t>20251229000458</t>
        </is>
      </c>
      <c r="H153" s="8">
        <f>HYPERLINK("https://dart.fss.or.kr/dsaf001/main.do?rcpNo=20251229000458", "공시열람")</f>
        <v/>
      </c>
    </row>
    <row r="154">
      <c r="A154" s="2" t="inlineStr">
        <is>
          <t>2025-12-29</t>
        </is>
      </c>
      <c r="B154" s="3" t="inlineStr">
        <is>
          <t>한화리츠</t>
        </is>
      </c>
      <c r="C154" s="2" t="inlineStr">
        <is>
          <t>코스피</t>
        </is>
      </c>
      <c r="D154" s="2" t="inlineStr">
        <is>
          <t>451800</t>
        </is>
      </c>
      <c r="E154" s="3" t="inlineStr">
        <is>
          <t>주주총회소집공고</t>
        </is>
      </c>
      <c r="F154" s="3" t="inlineStr">
        <is>
          <t>한화리츠</t>
        </is>
      </c>
      <c r="G154" s="2" t="inlineStr">
        <is>
          <t>20251229000399</t>
        </is>
      </c>
      <c r="H154" s="8">
        <f>HYPERLINK("https://dart.fss.or.kr/dsaf001/main.do?rcpNo=20251229000399", "공시열람")</f>
        <v/>
      </c>
    </row>
    <row r="155">
      <c r="A155" s="2" t="inlineStr">
        <is>
          <t>2025-12-29 (정정: 2025-12-31)</t>
        </is>
      </c>
      <c r="B155" s="3" t="inlineStr">
        <is>
          <t>멕아이씨에스</t>
        </is>
      </c>
      <c r="C155" s="2" t="inlineStr">
        <is>
          <t>코스닥</t>
        </is>
      </c>
      <c r="D155" s="2" t="inlineStr">
        <is>
          <t>058110</t>
        </is>
      </c>
      <c r="E155" s="3" t="inlineStr">
        <is>
          <t>주주총회소집공고 (정정: 20251231) (정정: 20251231)</t>
        </is>
      </c>
      <c r="F155" s="3" t="inlineStr">
        <is>
          <t>멕아이씨에스</t>
        </is>
      </c>
      <c r="G155" s="2" t="inlineStr">
        <is>
          <t>20251231000281</t>
        </is>
      </c>
      <c r="H155" s="8">
        <f>HYPERLINK("https://dart.fss.or.kr/dsaf001/main.do?rcpNo=20251231000281", "공시열람")</f>
        <v/>
      </c>
    </row>
    <row r="156">
      <c r="A156" s="2" t="inlineStr">
        <is>
          <t>2025-12-30</t>
        </is>
      </c>
      <c r="B156" s="3" t="inlineStr">
        <is>
          <t>파라택시스이더리움</t>
        </is>
      </c>
      <c r="C156" s="2" t="inlineStr">
        <is>
          <t>코스닥</t>
        </is>
      </c>
      <c r="D156" s="2" t="inlineStr">
        <is>
          <t>290560</t>
        </is>
      </c>
      <c r="E156" s="3" t="inlineStr">
        <is>
          <t>주주총회소집공고</t>
        </is>
      </c>
      <c r="F156" s="3" t="inlineStr">
        <is>
          <t>파라택시스이더리움</t>
        </is>
      </c>
      <c r="G156" s="2" t="inlineStr">
        <is>
          <t>20251230000905</t>
        </is>
      </c>
      <c r="H156" s="8">
        <f>HYPERLINK("https://dart.fss.or.kr/dsaf001/main.do?rcpNo=20251230000905", "공시열람")</f>
        <v/>
      </c>
    </row>
    <row r="157">
      <c r="A157" s="2" t="inlineStr">
        <is>
          <t>2025-12-30</t>
        </is>
      </c>
      <c r="B157" s="3" t="inlineStr">
        <is>
          <t>풍전약품</t>
        </is>
      </c>
      <c r="C157" s="2" t="inlineStr">
        <is>
          <t>코스닥</t>
        </is>
      </c>
      <c r="D157" s="2" t="inlineStr">
        <is>
          <t>298060</t>
        </is>
      </c>
      <c r="E157" s="3" t="inlineStr">
        <is>
          <t>주주총회소집공고</t>
        </is>
      </c>
      <c r="F157" s="3" t="inlineStr">
        <is>
          <t>풍전약품</t>
        </is>
      </c>
      <c r="G157" s="2" t="inlineStr">
        <is>
          <t>20251230000547</t>
        </is>
      </c>
      <c r="H157" s="8">
        <f>HYPERLINK("https://dart.fss.or.kr/dsaf001/main.do?rcpNo=20251230000547", "공시열람")</f>
        <v/>
      </c>
    </row>
    <row r="158">
      <c r="A158" s="2" t="inlineStr">
        <is>
          <t>2025-12-30</t>
        </is>
      </c>
      <c r="B158" s="3" t="inlineStr">
        <is>
          <t>아센디오</t>
        </is>
      </c>
      <c r="C158" s="2" t="inlineStr">
        <is>
          <t>코스피</t>
        </is>
      </c>
      <c r="D158" s="2" t="inlineStr">
        <is>
          <t>012170</t>
        </is>
      </c>
      <c r="E158" s="3" t="inlineStr">
        <is>
          <t>주주총회소집공고</t>
        </is>
      </c>
      <c r="F158" s="3" t="inlineStr">
        <is>
          <t>아센디오</t>
        </is>
      </c>
      <c r="G158" s="2" t="inlineStr">
        <is>
          <t>20251230000512</t>
        </is>
      </c>
      <c r="H158" s="8">
        <f>HYPERLINK("https://dart.fss.or.kr/dsaf001/main.do?rcpNo=20251230000512", "공시열람")</f>
        <v/>
      </c>
    </row>
    <row r="159">
      <c r="A159" s="2" t="inlineStr">
        <is>
          <t>2025-12-30</t>
        </is>
      </c>
      <c r="B159" s="3" t="inlineStr">
        <is>
          <t>비스토스</t>
        </is>
      </c>
      <c r="C159" s="2" t="inlineStr">
        <is>
          <t>코스닥</t>
        </is>
      </c>
      <c r="D159" s="2" t="inlineStr">
        <is>
          <t>419540</t>
        </is>
      </c>
      <c r="E159" s="3" t="inlineStr">
        <is>
          <t>주주총회소집공고</t>
        </is>
      </c>
      <c r="F159" s="3" t="inlineStr">
        <is>
          <t>비스토스</t>
        </is>
      </c>
      <c r="G159" s="2" t="inlineStr">
        <is>
          <t>20251230000340</t>
        </is>
      </c>
      <c r="H159" s="8">
        <f>HYPERLINK("https://dart.fss.or.kr/dsaf001/main.do?rcpNo=20251230000340", "공시열람")</f>
        <v/>
      </c>
    </row>
    <row r="160">
      <c r="A160" s="2" t="inlineStr">
        <is>
          <t>2025-12-31</t>
        </is>
      </c>
      <c r="B160" s="3" t="inlineStr">
        <is>
          <t>유틸렉스</t>
        </is>
      </c>
      <c r="C160" s="2" t="inlineStr">
        <is>
          <t>코스닥</t>
        </is>
      </c>
      <c r="D160" s="2" t="inlineStr">
        <is>
          <t>263050</t>
        </is>
      </c>
      <c r="E160" s="3" t="inlineStr">
        <is>
          <t>주주총회소집공고</t>
        </is>
      </c>
      <c r="F160" s="3" t="inlineStr">
        <is>
          <t>유틸렉스</t>
        </is>
      </c>
      <c r="G160" s="2" t="inlineStr">
        <is>
          <t>20251231000633</t>
        </is>
      </c>
      <c r="H160" s="8">
        <f>HYPERLINK("https://dart.fss.or.kr/dsaf001/main.do?rcpNo=20251231000633", "공시열람")</f>
        <v/>
      </c>
    </row>
    <row r="161">
      <c r="A161" s="2" t="inlineStr">
        <is>
          <t>2025-12-31</t>
        </is>
      </c>
      <c r="B161" s="3" t="inlineStr">
        <is>
          <t>넥사다이내믹스</t>
        </is>
      </c>
      <c r="C161" s="2" t="inlineStr">
        <is>
          <t>코스닥</t>
        </is>
      </c>
      <c r="D161" s="2" t="inlineStr">
        <is>
          <t>351320</t>
        </is>
      </c>
      <c r="E161" s="3" t="inlineStr">
        <is>
          <t>주주총회소집공고</t>
        </is>
      </c>
      <c r="F161" s="3" t="inlineStr">
        <is>
          <t>넥사다이내믹스</t>
        </is>
      </c>
      <c r="G161" s="2" t="inlineStr">
        <is>
          <t>20251231000573</t>
        </is>
      </c>
      <c r="H161" s="8">
        <f>HYPERLINK("https://dart.fss.or.kr/dsaf001/main.do?rcpNo=20251231000573", "공시열람")</f>
        <v/>
      </c>
    </row>
    <row r="162">
      <c r="A162" s="2" t="inlineStr">
        <is>
          <t>2025-12-31</t>
        </is>
      </c>
      <c r="B162" s="3" t="inlineStr">
        <is>
          <t>파라택시스이더리움</t>
        </is>
      </c>
      <c r="C162" s="2" t="inlineStr">
        <is>
          <t>코스닥</t>
        </is>
      </c>
      <c r="D162" s="2" t="inlineStr">
        <is>
          <t>290560</t>
        </is>
      </c>
      <c r="E162" s="3" t="inlineStr">
        <is>
          <t>[기재정정]주주총회소집공고</t>
        </is>
      </c>
      <c r="F162" s="3" t="inlineStr">
        <is>
          <t>파라택시스이더리움</t>
        </is>
      </c>
      <c r="G162" s="2" t="inlineStr">
        <is>
          <t>20251231000288</t>
        </is>
      </c>
      <c r="H162" s="8">
        <f>HYPERLINK("https://dart.fss.or.kr/dsaf001/main.do?rcpNo=20251231000288", "공시열람")</f>
        <v/>
      </c>
    </row>
    <row r="163">
      <c r="A163" s="2" t="inlineStr">
        <is>
          <t>2025-12-31 (정정: 2026-01-19)</t>
        </is>
      </c>
      <c r="B163" s="3" t="inlineStr">
        <is>
          <t>THE E&amp;M</t>
        </is>
      </c>
      <c r="C163" s="2" t="inlineStr">
        <is>
          <t>코스닥</t>
        </is>
      </c>
      <c r="D163" s="2" t="inlineStr">
        <is>
          <t>089230</t>
        </is>
      </c>
      <c r="E163" s="3" t="inlineStr">
        <is>
          <t>주주총회소집공고 (정정: 20260119) (정정: 20260119)</t>
        </is>
      </c>
      <c r="F163" s="3" t="inlineStr">
        <is>
          <t>THE E&amp;M</t>
        </is>
      </c>
      <c r="G163" s="2" t="inlineStr">
        <is>
          <t>20260119000211</t>
        </is>
      </c>
      <c r="H163" s="8">
        <f>HYPERLINK("https://dart.fss.or.kr/dsaf001/main.do?rcpNo=20260119000211", "공시열람")</f>
        <v/>
      </c>
    </row>
    <row r="164">
      <c r="A164" s="2" t="inlineStr">
        <is>
          <t>2025-12-31</t>
        </is>
      </c>
      <c r="B164" s="3" t="inlineStr">
        <is>
          <t>삼성FN리츠</t>
        </is>
      </c>
      <c r="C164" s="2" t="inlineStr">
        <is>
          <t>코스피</t>
        </is>
      </c>
      <c r="D164" s="2" t="inlineStr">
        <is>
          <t>448730</t>
        </is>
      </c>
      <c r="E164" s="3" t="inlineStr">
        <is>
          <t>주주총회소집공고</t>
        </is>
      </c>
      <c r="F164" s="3" t="inlineStr">
        <is>
          <t>삼성FN리츠</t>
        </is>
      </c>
      <c r="G164" s="2" t="inlineStr">
        <is>
          <t>20251231000035</t>
        </is>
      </c>
      <c r="H164" s="8">
        <f>HYPERLINK("https://dart.fss.or.kr/dsaf001/main.do?rcpNo=20251231000035", "공시열람")</f>
        <v/>
      </c>
    </row>
    <row r="165">
      <c r="A165" s="2" t="inlineStr">
        <is>
          <t>2026-01-02</t>
        </is>
      </c>
      <c r="B165" s="3" t="inlineStr">
        <is>
          <t>신한제14호스팩</t>
        </is>
      </c>
      <c r="C165" s="2" t="inlineStr">
        <is>
          <t>코스닥</t>
        </is>
      </c>
      <c r="D165" s="2" t="inlineStr">
        <is>
          <t>487360</t>
        </is>
      </c>
      <c r="E165" s="3" t="inlineStr">
        <is>
          <t>주주총회소집공고</t>
        </is>
      </c>
      <c r="F165" s="3" t="inlineStr">
        <is>
          <t>신한제14호스팩</t>
        </is>
      </c>
      <c r="G165" s="2" t="inlineStr">
        <is>
          <t>20260102000096</t>
        </is>
      </c>
      <c r="H165" s="8">
        <f>HYPERLINK("https://dart.fss.or.kr/dsaf001/main.do?rcpNo=20260102000096", "공시열람")</f>
        <v/>
      </c>
    </row>
    <row r="166">
      <c r="A166" s="2" t="inlineStr">
        <is>
          <t>2026-01-06</t>
        </is>
      </c>
      <c r="B166" s="3" t="inlineStr">
        <is>
          <t>프레스티지바이오파마</t>
        </is>
      </c>
      <c r="C166" s="2" t="inlineStr">
        <is>
          <t>코스피</t>
        </is>
      </c>
      <c r="D166" s="2" t="inlineStr">
        <is>
          <t>950210</t>
        </is>
      </c>
      <c r="E166" s="3" t="inlineStr">
        <is>
          <t>주주총회소집공고</t>
        </is>
      </c>
      <c r="F166" s="3" t="inlineStr">
        <is>
          <t>프레스티지바이오파마</t>
        </is>
      </c>
      <c r="G166" s="2" t="inlineStr">
        <is>
          <t>20260106000577</t>
        </is>
      </c>
      <c r="H166" s="8">
        <f>HYPERLINK("https://dart.fss.or.kr/dsaf001/main.do?rcpNo=20260106000577", "공시열람")</f>
        <v/>
      </c>
    </row>
    <row r="167">
      <c r="A167" s="2" t="inlineStr">
        <is>
          <t>2026-01-06</t>
        </is>
      </c>
      <c r="B167" s="3" t="inlineStr">
        <is>
          <t>한주에이알티</t>
        </is>
      </c>
      <c r="C167" s="2" t="inlineStr">
        <is>
          <t>코스닥</t>
        </is>
      </c>
      <c r="D167" s="2" t="inlineStr">
        <is>
          <t>058450</t>
        </is>
      </c>
      <c r="E167" s="3" t="inlineStr">
        <is>
          <t>주주총회소집공고</t>
        </is>
      </c>
      <c r="F167" s="3" t="inlineStr">
        <is>
          <t>한주에이알티</t>
        </is>
      </c>
      <c r="G167" s="2" t="inlineStr">
        <is>
          <t>20260106000479</t>
        </is>
      </c>
      <c r="H167" s="8">
        <f>HYPERLINK("https://dart.fss.or.kr/dsaf001/main.do?rcpNo=20260106000479", "공시열람")</f>
        <v/>
      </c>
    </row>
    <row r="168">
      <c r="A168" s="2" t="inlineStr">
        <is>
          <t>2026-01-07 (정정: 2026-03-10)</t>
        </is>
      </c>
      <c r="B168" s="3" t="inlineStr">
        <is>
          <t>다보링크</t>
        </is>
      </c>
      <c r="C168" s="2" t="inlineStr">
        <is>
          <t>코스닥</t>
        </is>
      </c>
      <c r="D168" s="2" t="inlineStr">
        <is>
          <t>340360</t>
        </is>
      </c>
      <c r="E168" s="3" t="inlineStr">
        <is>
          <t>주주총회소집공고 (정정: 20260310)</t>
        </is>
      </c>
      <c r="F168" s="3" t="inlineStr">
        <is>
          <t>다보링크</t>
        </is>
      </c>
      <c r="G168" s="2" t="inlineStr">
        <is>
          <t>20260310002654</t>
        </is>
      </c>
      <c r="H168" s="8">
        <f>HYPERLINK("https://dart.fss.or.kr/dsaf001/main.do?rcpNo=20260310002654", "공시열람")</f>
        <v/>
      </c>
    </row>
    <row r="169">
      <c r="A169" s="2" t="inlineStr">
        <is>
          <t>2026-01-08</t>
        </is>
      </c>
      <c r="B169" s="3" t="inlineStr">
        <is>
          <t>시큐레터</t>
        </is>
      </c>
      <c r="C169" s="2" t="inlineStr">
        <is>
          <t>코스닥</t>
        </is>
      </c>
      <c r="D169" s="2" t="inlineStr">
        <is>
          <t>418250</t>
        </is>
      </c>
      <c r="E169" s="3" t="inlineStr">
        <is>
          <t>주주총회소집공고</t>
        </is>
      </c>
      <c r="F169" s="3" t="inlineStr">
        <is>
          <t>시큐레터</t>
        </is>
      </c>
      <c r="G169" s="2" t="inlineStr">
        <is>
          <t>20260108000283</t>
        </is>
      </c>
      <c r="H169" s="8">
        <f>HYPERLINK("https://dart.fss.or.kr/dsaf001/main.do?rcpNo=20260108000283", "공시열람")</f>
        <v/>
      </c>
    </row>
    <row r="170">
      <c r="A170" s="2" t="inlineStr">
        <is>
          <t>2026-01-08</t>
        </is>
      </c>
      <c r="B170" s="3" t="inlineStr">
        <is>
          <t>서울보증보험</t>
        </is>
      </c>
      <c r="C170" s="2" t="inlineStr">
        <is>
          <t>코스피</t>
        </is>
      </c>
      <c r="D170" s="2" t="inlineStr">
        <is>
          <t>031210</t>
        </is>
      </c>
      <c r="E170" s="3" t="inlineStr">
        <is>
          <t>주주총회소집공고</t>
        </is>
      </c>
      <c r="F170" s="3" t="inlineStr">
        <is>
          <t>서울보증보험</t>
        </is>
      </c>
      <c r="G170" s="2" t="inlineStr">
        <is>
          <t>20260108000234</t>
        </is>
      </c>
      <c r="H170" s="8">
        <f>HYPERLINK("https://dart.fss.or.kr/dsaf001/main.do?rcpNo=20260108000234", "공시열람")</f>
        <v/>
      </c>
    </row>
    <row r="171">
      <c r="A171" s="2" t="inlineStr">
        <is>
          <t>2026-01-09</t>
        </is>
      </c>
      <c r="B171" s="3" t="inlineStr">
        <is>
          <t>알엔티엑스</t>
        </is>
      </c>
      <c r="C171" s="2" t="inlineStr">
        <is>
          <t>코스닥</t>
        </is>
      </c>
      <c r="D171" s="2" t="inlineStr">
        <is>
          <t>123010</t>
        </is>
      </c>
      <c r="E171" s="3" t="inlineStr">
        <is>
          <t>주주총회소집공고</t>
        </is>
      </c>
      <c r="F171" s="3" t="inlineStr">
        <is>
          <t>알엔티엑스</t>
        </is>
      </c>
      <c r="G171" s="2" t="inlineStr">
        <is>
          <t>20260109000536</t>
        </is>
      </c>
      <c r="H171" s="8">
        <f>HYPERLINK("https://dart.fss.or.kr/dsaf001/main.do?rcpNo=20260109000536", "공시열람")</f>
        <v/>
      </c>
    </row>
    <row r="172">
      <c r="A172" s="2" t="inlineStr">
        <is>
          <t>2026-01-09 (정정: 2026-01-23)</t>
        </is>
      </c>
      <c r="B172" s="3" t="inlineStr">
        <is>
          <t>헝셩그룹</t>
        </is>
      </c>
      <c r="C172" s="2" t="inlineStr">
        <is>
          <t>코스닥</t>
        </is>
      </c>
      <c r="D172" s="2" t="inlineStr">
        <is>
          <t>900270</t>
        </is>
      </c>
      <c r="E172" s="3" t="inlineStr">
        <is>
          <t>주주총회소집공고 (정정: 20260123)</t>
        </is>
      </c>
      <c r="F172" s="3" t="inlineStr">
        <is>
          <t>헝셩그룹</t>
        </is>
      </c>
      <c r="G172" s="2" t="inlineStr">
        <is>
          <t>20260123000285</t>
        </is>
      </c>
      <c r="H172" s="8">
        <f>HYPERLINK("https://dart.fss.or.kr/dsaf001/main.do?rcpNo=20260123000285", "공시열람")</f>
        <v/>
      </c>
    </row>
    <row r="173">
      <c r="A173" s="2" t="inlineStr">
        <is>
          <t>2026-01-12</t>
        </is>
      </c>
      <c r="B173" s="3" t="inlineStr">
        <is>
          <t>모비스</t>
        </is>
      </c>
      <c r="C173" s="2" t="inlineStr">
        <is>
          <t>코스닥</t>
        </is>
      </c>
      <c r="D173" s="2" t="inlineStr">
        <is>
          <t>250060</t>
        </is>
      </c>
      <c r="E173" s="3" t="inlineStr">
        <is>
          <t>주주총회소집공고</t>
        </is>
      </c>
      <c r="F173" s="3" t="inlineStr">
        <is>
          <t>모비스</t>
        </is>
      </c>
      <c r="G173" s="2" t="inlineStr">
        <is>
          <t>20260112000474</t>
        </is>
      </c>
      <c r="H173" s="8">
        <f>HYPERLINK("https://dart.fss.or.kr/dsaf001/main.do?rcpNo=20260112000474", "공시열람")</f>
        <v/>
      </c>
    </row>
    <row r="174">
      <c r="A174" s="2" t="inlineStr">
        <is>
          <t>2026-01-12</t>
        </is>
      </c>
      <c r="B174" s="3" t="inlineStr">
        <is>
          <t>KS인더스트리</t>
        </is>
      </c>
      <c r="C174" s="2" t="inlineStr">
        <is>
          <t>코스닥</t>
        </is>
      </c>
      <c r="D174" s="2" t="inlineStr">
        <is>
          <t>101000</t>
        </is>
      </c>
      <c r="E174" s="3" t="inlineStr">
        <is>
          <t>주주총회소집공고</t>
        </is>
      </c>
      <c r="F174" s="3" t="inlineStr">
        <is>
          <t>KS인더스트리</t>
        </is>
      </c>
      <c r="G174" s="2" t="inlineStr">
        <is>
          <t>20260112000354</t>
        </is>
      </c>
      <c r="H174" s="8">
        <f>HYPERLINK("https://dart.fss.or.kr/dsaf001/main.do?rcpNo=20260112000354", "공시열람")</f>
        <v/>
      </c>
    </row>
    <row r="175">
      <c r="A175" s="2" t="inlineStr">
        <is>
          <t>2026-01-13</t>
        </is>
      </c>
      <c r="B175" s="3" t="inlineStr">
        <is>
          <t>코퍼스코리아</t>
        </is>
      </c>
      <c r="C175" s="2" t="inlineStr">
        <is>
          <t>코스닥</t>
        </is>
      </c>
      <c r="D175" s="2" t="inlineStr">
        <is>
          <t>322780</t>
        </is>
      </c>
      <c r="E175" s="3" t="inlineStr">
        <is>
          <t>주주총회소집공고</t>
        </is>
      </c>
      <c r="F175" s="3" t="inlineStr">
        <is>
          <t>코퍼스코리아</t>
        </is>
      </c>
      <c r="G175" s="2" t="inlineStr">
        <is>
          <t>20260113000736</t>
        </is>
      </c>
      <c r="H175" s="8">
        <f>HYPERLINK("https://dart.fss.or.kr/dsaf001/main.do?rcpNo=20260113000736", "공시열람")</f>
        <v/>
      </c>
    </row>
    <row r="176">
      <c r="A176" s="2" t="inlineStr">
        <is>
          <t>2026-01-13</t>
        </is>
      </c>
      <c r="B176" s="3" t="inlineStr">
        <is>
          <t>금양그린파워</t>
        </is>
      </c>
      <c r="C176" s="2" t="inlineStr">
        <is>
          <t>코스닥</t>
        </is>
      </c>
      <c r="D176" s="2" t="inlineStr">
        <is>
          <t>282720</t>
        </is>
      </c>
      <c r="E176" s="3" t="inlineStr">
        <is>
          <t>주주총회소집공고</t>
        </is>
      </c>
      <c r="F176" s="3" t="inlineStr">
        <is>
          <t>금양그린파워</t>
        </is>
      </c>
      <c r="G176" s="2" t="inlineStr">
        <is>
          <t>20260113000649</t>
        </is>
      </c>
      <c r="H176" s="8">
        <f>HYPERLINK("https://dart.fss.or.kr/dsaf001/main.do?rcpNo=20260113000649", "공시열람")</f>
        <v/>
      </c>
    </row>
    <row r="177">
      <c r="A177" s="2" t="inlineStr">
        <is>
          <t>2026-01-14</t>
        </is>
      </c>
      <c r="B177" s="3" t="inlineStr">
        <is>
          <t>윌비스</t>
        </is>
      </c>
      <c r="C177" s="2" t="inlineStr">
        <is>
          <t>코스피</t>
        </is>
      </c>
      <c r="D177" s="2" t="inlineStr">
        <is>
          <t>008600</t>
        </is>
      </c>
      <c r="E177" s="3" t="inlineStr">
        <is>
          <t>주주총회소집공고</t>
        </is>
      </c>
      <c r="F177" s="3" t="inlineStr">
        <is>
          <t>윌비스</t>
        </is>
      </c>
      <c r="G177" s="2" t="inlineStr">
        <is>
          <t>20260114000300</t>
        </is>
      </c>
      <c r="H177" s="8">
        <f>HYPERLINK("https://dart.fss.or.kr/dsaf001/main.do?rcpNo=20260114000300", "공시열람")</f>
        <v/>
      </c>
    </row>
    <row r="178">
      <c r="A178" s="2" t="inlineStr">
        <is>
          <t>2026-01-14</t>
        </is>
      </c>
      <c r="B178" s="3" t="inlineStr">
        <is>
          <t>이월드</t>
        </is>
      </c>
      <c r="C178" s="2" t="inlineStr">
        <is>
          <t>코스피</t>
        </is>
      </c>
      <c r="D178" s="2" t="inlineStr">
        <is>
          <t>084680</t>
        </is>
      </c>
      <c r="E178" s="3" t="inlineStr">
        <is>
          <t>주주총회소집공고</t>
        </is>
      </c>
      <c r="F178" s="3" t="inlineStr">
        <is>
          <t>이월드</t>
        </is>
      </c>
      <c r="G178" s="2" t="inlineStr">
        <is>
          <t>20260114000159</t>
        </is>
      </c>
      <c r="H178" s="8">
        <f>HYPERLINK("https://dart.fss.or.kr/dsaf001/main.do?rcpNo=20260114000159", "공시열람")</f>
        <v/>
      </c>
    </row>
    <row r="179">
      <c r="A179" s="2" t="inlineStr">
        <is>
          <t>2026-01-15</t>
        </is>
      </c>
      <c r="B179" s="3" t="inlineStr">
        <is>
          <t>아이톡시</t>
        </is>
      </c>
      <c r="C179" s="2" t="inlineStr">
        <is>
          <t>코스닥</t>
        </is>
      </c>
      <c r="D179" s="2" t="inlineStr">
        <is>
          <t>052770</t>
        </is>
      </c>
      <c r="E179" s="3" t="inlineStr">
        <is>
          <t>주주총회소집공고</t>
        </is>
      </c>
      <c r="F179" s="3" t="inlineStr">
        <is>
          <t>아이톡시</t>
        </is>
      </c>
      <c r="G179" s="2" t="inlineStr">
        <is>
          <t>20260115000411</t>
        </is>
      </c>
      <c r="H179" s="8">
        <f>HYPERLINK("https://dart.fss.or.kr/dsaf001/main.do?rcpNo=20260115000411", "공시열람")</f>
        <v/>
      </c>
    </row>
    <row r="180">
      <c r="A180" s="2" t="inlineStr">
        <is>
          <t>2026-01-15 (정정: 2026-03-04)</t>
        </is>
      </c>
      <c r="B180" s="3" t="inlineStr">
        <is>
          <t>오늘이엔엠</t>
        </is>
      </c>
      <c r="C180" s="2" t="inlineStr">
        <is>
          <t>코스닥</t>
        </is>
      </c>
      <c r="D180" s="2" t="inlineStr">
        <is>
          <t>192410</t>
        </is>
      </c>
      <c r="E180" s="3" t="inlineStr">
        <is>
          <t>주주총회소집공고 (정정: 20260130) (정정: 20260304)</t>
        </is>
      </c>
      <c r="F180" s="3" t="inlineStr">
        <is>
          <t>오늘이엔엠</t>
        </is>
      </c>
      <c r="G180" s="2" t="inlineStr">
        <is>
          <t>20260304000413</t>
        </is>
      </c>
      <c r="H180" s="8">
        <f>HYPERLINK("https://dart.fss.or.kr/dsaf001/main.do?rcpNo=20260304000413", "공시열람")</f>
        <v/>
      </c>
    </row>
    <row r="181">
      <c r="A181" s="2" t="inlineStr">
        <is>
          <t>2026-01-15</t>
        </is>
      </c>
      <c r="B181" s="3" t="inlineStr">
        <is>
          <t>대양금속</t>
        </is>
      </c>
      <c r="C181" s="2" t="inlineStr">
        <is>
          <t>코스피</t>
        </is>
      </c>
      <c r="D181" s="2" t="inlineStr">
        <is>
          <t>009190</t>
        </is>
      </c>
      <c r="E181" s="3" t="inlineStr">
        <is>
          <t>주주총회소집공고</t>
        </is>
      </c>
      <c r="F181" s="3" t="inlineStr">
        <is>
          <t>대양금속</t>
        </is>
      </c>
      <c r="G181" s="2" t="inlineStr">
        <is>
          <t>20260115000271</t>
        </is>
      </c>
      <c r="H181" s="8">
        <f>HYPERLINK("https://dart.fss.or.kr/dsaf001/main.do?rcpNo=20260115000271", "공시열람")</f>
        <v/>
      </c>
    </row>
    <row r="182">
      <c r="A182" s="2" t="inlineStr">
        <is>
          <t>2026-01-15</t>
        </is>
      </c>
      <c r="B182" s="3" t="inlineStr">
        <is>
          <t>골드앤에스</t>
        </is>
      </c>
      <c r="C182" s="2" t="inlineStr">
        <is>
          <t>코스닥</t>
        </is>
      </c>
      <c r="D182" s="2" t="inlineStr">
        <is>
          <t>035290</t>
        </is>
      </c>
      <c r="E182" s="3" t="inlineStr">
        <is>
          <t>주주총회소집공고</t>
        </is>
      </c>
      <c r="F182" s="3" t="inlineStr">
        <is>
          <t>골드앤에스</t>
        </is>
      </c>
      <c r="G182" s="2" t="inlineStr">
        <is>
          <t>20260115000179</t>
        </is>
      </c>
      <c r="H182" s="8">
        <f>HYPERLINK("https://dart.fss.or.kr/dsaf001/main.do?rcpNo=20260115000179", "공시열람")</f>
        <v/>
      </c>
    </row>
    <row r="183">
      <c r="A183" s="2" t="inlineStr">
        <is>
          <t>2026-01-16</t>
        </is>
      </c>
      <c r="B183" s="3" t="inlineStr">
        <is>
          <t>유틸렉스</t>
        </is>
      </c>
      <c r="C183" s="2" t="inlineStr">
        <is>
          <t>코스닥</t>
        </is>
      </c>
      <c r="D183" s="2" t="inlineStr">
        <is>
          <t>263050</t>
        </is>
      </c>
      <c r="E183" s="3" t="inlineStr">
        <is>
          <t>[기재정정]주주총회소집공고</t>
        </is>
      </c>
      <c r="F183" s="3" t="inlineStr">
        <is>
          <t>유틸렉스</t>
        </is>
      </c>
      <c r="G183" s="2" t="inlineStr">
        <is>
          <t>20260116000241</t>
        </is>
      </c>
      <c r="H183" s="8">
        <f>HYPERLINK("https://dart.fss.or.kr/dsaf001/main.do?rcpNo=20260116000241", "공시열람")</f>
        <v/>
      </c>
    </row>
    <row r="184">
      <c r="A184" s="2" t="inlineStr">
        <is>
          <t>2026-01-19</t>
        </is>
      </c>
      <c r="B184" s="3" t="inlineStr">
        <is>
          <t>하나마이크론</t>
        </is>
      </c>
      <c r="C184" s="2" t="inlineStr">
        <is>
          <t>코스닥</t>
        </is>
      </c>
      <c r="D184" s="2" t="inlineStr">
        <is>
          <t>067310</t>
        </is>
      </c>
      <c r="E184" s="3" t="inlineStr">
        <is>
          <t>소송등의판결ㆍ결정              (주주총회결의취소)</t>
        </is>
      </c>
      <c r="F184" s="3" t="inlineStr">
        <is>
          <t>하나마이크론</t>
        </is>
      </c>
      <c r="G184" s="2" t="inlineStr">
        <is>
          <t>20260119900819</t>
        </is>
      </c>
      <c r="H184" s="8">
        <f>HYPERLINK("https://dart.fss.or.kr/dsaf001/main.do?rcpNo=20260119900819", "공시열람")</f>
        <v/>
      </c>
    </row>
    <row r="185">
      <c r="A185" s="2" t="inlineStr">
        <is>
          <t>2026-01-19 (정정: 2026-01-29)</t>
        </is>
      </c>
      <c r="B185" s="3" t="inlineStr">
        <is>
          <t>엠투엔</t>
        </is>
      </c>
      <c r="C185" s="2" t="inlineStr">
        <is>
          <t>코스닥</t>
        </is>
      </c>
      <c r="D185" s="2" t="inlineStr">
        <is>
          <t>033310</t>
        </is>
      </c>
      <c r="E185" s="3" t="inlineStr">
        <is>
          <t>[기재정정]최대주주변경을수반하는주식담보제공계약체결               (정정: 20260129)</t>
        </is>
      </c>
      <c r="F185" s="3" t="inlineStr">
        <is>
          <t>엠투엔</t>
        </is>
      </c>
      <c r="G185" s="2" t="inlineStr">
        <is>
          <t>20260129901004</t>
        </is>
      </c>
      <c r="H185" s="8">
        <f>HYPERLINK("https://dart.fss.or.kr/dsaf001/main.do?rcpNo=20260129901004", "공시열람")</f>
        <v/>
      </c>
    </row>
    <row r="186">
      <c r="A186" s="2" t="inlineStr">
        <is>
          <t>2026-01-19</t>
        </is>
      </c>
      <c r="B186" s="3" t="inlineStr">
        <is>
          <t>신한제14호스팩</t>
        </is>
      </c>
      <c r="C186" s="2" t="inlineStr">
        <is>
          <t>코스닥</t>
        </is>
      </c>
      <c r="D186" s="2" t="inlineStr">
        <is>
          <t>487360</t>
        </is>
      </c>
      <c r="E186" s="3" t="inlineStr">
        <is>
          <t xml:space="preserve">임시주주총회결과              </t>
        </is>
      </c>
      <c r="F186" s="3" t="inlineStr">
        <is>
          <t>신한제14호스팩</t>
        </is>
      </c>
      <c r="G186" s="2" t="inlineStr">
        <is>
          <t>20260119900774</t>
        </is>
      </c>
      <c r="H186" s="8">
        <f>HYPERLINK("https://dart.fss.or.kr/dsaf001/main.do?rcpNo=20260119900774", "공시열람")</f>
        <v/>
      </c>
    </row>
    <row r="187">
      <c r="A187" s="2" t="inlineStr">
        <is>
          <t>2025-09-01 (정정: 2026-01-19)</t>
        </is>
      </c>
      <c r="B187" s="3" t="inlineStr">
        <is>
          <t>다산네트웍스</t>
        </is>
      </c>
      <c r="C187" s="2" t="inlineStr">
        <is>
          <t>코스닥</t>
        </is>
      </c>
      <c r="D187" s="2" t="inlineStr">
        <is>
          <t>039560</t>
        </is>
      </c>
      <c r="E187" s="3" t="inlineStr">
        <is>
          <t xml:space="preserve">[기재정정]최대주주변경을수반하는주식담보제공계약체결              </t>
        </is>
      </c>
      <c r="F187" s="3" t="inlineStr">
        <is>
          <t>다산네트웍스</t>
        </is>
      </c>
      <c r="G187" s="2" t="inlineStr">
        <is>
          <t>20260119900694</t>
        </is>
      </c>
      <c r="H187" s="8">
        <f>HYPERLINK("https://dart.fss.or.kr/dsaf001/main.do?rcpNo=20260119900694", "공시열람")</f>
        <v/>
      </c>
    </row>
    <row r="188">
      <c r="A188" s="2" t="inlineStr">
        <is>
          <t>2026-01-19</t>
        </is>
      </c>
      <c r="B188" s="3" t="inlineStr">
        <is>
          <t>셀피글로벌</t>
        </is>
      </c>
      <c r="C188" s="2" t="inlineStr">
        <is>
          <t>코스닥</t>
        </is>
      </c>
      <c r="D188" s="2" t="inlineStr">
        <is>
          <t>068940</t>
        </is>
      </c>
      <c r="E188" s="3" t="inlineStr">
        <is>
          <t>소송등의판결ㆍ결정              (주주총회결의 존재확인의 소-취하)</t>
        </is>
      </c>
      <c r="F188" s="3" t="inlineStr">
        <is>
          <t>셀피글로벌</t>
        </is>
      </c>
      <c r="G188" s="2" t="inlineStr">
        <is>
          <t>20260119900559</t>
        </is>
      </c>
      <c r="H188" s="8">
        <f>HYPERLINK("https://dart.fss.or.kr/dsaf001/main.do?rcpNo=20260119900559", "공시열람")</f>
        <v/>
      </c>
    </row>
    <row r="189">
      <c r="A189" s="2" t="inlineStr">
        <is>
          <t>2026-01-19</t>
        </is>
      </c>
      <c r="B189" s="3" t="inlineStr">
        <is>
          <t>아이엠</t>
        </is>
      </c>
      <c r="C189" s="2" t="inlineStr">
        <is>
          <t>코스닥</t>
        </is>
      </c>
      <c r="D189" s="2" t="inlineStr">
        <is>
          <t>101390</t>
        </is>
      </c>
      <c r="E189" s="3" t="inlineStr">
        <is>
          <t>[기재정정]주주총회소집결의              (임시주주총회)</t>
        </is>
      </c>
      <c r="F189" s="3" t="inlineStr">
        <is>
          <t>아이엠</t>
        </is>
      </c>
      <c r="G189" s="2" t="inlineStr">
        <is>
          <t>20260119900504</t>
        </is>
      </c>
      <c r="H189" s="8">
        <f>HYPERLINK("https://dart.fss.or.kr/dsaf001/main.do?rcpNo=20260119900504", "공시열람")</f>
        <v/>
      </c>
    </row>
    <row r="190">
      <c r="A190" s="2" t="inlineStr">
        <is>
          <t>2026-01-19</t>
        </is>
      </c>
      <c r="B190" s="3" t="inlineStr">
        <is>
          <t>글로벌텍스프리</t>
        </is>
      </c>
      <c r="C190" s="2" t="inlineStr">
        <is>
          <t>코스닥</t>
        </is>
      </c>
      <c r="D190" s="2" t="inlineStr">
        <is>
          <t>204620</t>
        </is>
      </c>
      <c r="E190" s="3" t="inlineStr">
        <is>
          <t>주주총회소집결의              (임시주주총회)</t>
        </is>
      </c>
      <c r="F190" s="3" t="inlineStr">
        <is>
          <t>글로벌텍스프리</t>
        </is>
      </c>
      <c r="G190" s="2" t="inlineStr">
        <is>
          <t>20260119900223</t>
        </is>
      </c>
      <c r="H190" s="8">
        <f>HYPERLINK("https://dart.fss.or.kr/dsaf001/main.do?rcpNo=20260119900223", "공시열람")</f>
        <v/>
      </c>
    </row>
    <row r="191">
      <c r="A191" s="2" t="inlineStr">
        <is>
          <t>2026-01-20</t>
        </is>
      </c>
      <c r="B191" s="3" t="inlineStr">
        <is>
          <t>코맥스</t>
        </is>
      </c>
      <c r="C191" s="2" t="inlineStr">
        <is>
          <t>코스닥</t>
        </is>
      </c>
      <c r="D191" s="2" t="inlineStr">
        <is>
          <t>036690</t>
        </is>
      </c>
      <c r="E191" s="3" t="inlineStr">
        <is>
          <t>주주총회소집공고</t>
        </is>
      </c>
      <c r="F191" s="3" t="inlineStr">
        <is>
          <t>코맥스</t>
        </is>
      </c>
      <c r="G191" s="2" t="inlineStr">
        <is>
          <t>20260120000305</t>
        </is>
      </c>
      <c r="H191" s="8">
        <f>HYPERLINK("https://dart.fss.or.kr/dsaf001/main.do?rcpNo=20260120000305", "공시열람")</f>
        <v/>
      </c>
    </row>
    <row r="192">
      <c r="A192" s="2" t="inlineStr">
        <is>
          <t>2026-01-20</t>
        </is>
      </c>
      <c r="B192" s="3" t="inlineStr">
        <is>
          <t>에쓰씨엔지니어링</t>
        </is>
      </c>
      <c r="C192" s="2" t="inlineStr">
        <is>
          <t>코스피</t>
        </is>
      </c>
      <c r="D192" s="2" t="inlineStr">
        <is>
          <t>023960</t>
        </is>
      </c>
      <c r="E192" s="3" t="inlineStr">
        <is>
          <t>주주총회소집공고</t>
        </is>
      </c>
      <c r="F192" s="3" t="inlineStr">
        <is>
          <t>에쓰씨엔지니어링</t>
        </is>
      </c>
      <c r="G192" s="2" t="inlineStr">
        <is>
          <t>20260120000288</t>
        </is>
      </c>
      <c r="H192" s="8">
        <f>HYPERLINK("https://dart.fss.or.kr/dsaf001/main.do?rcpNo=20260120000288", "공시열람")</f>
        <v/>
      </c>
    </row>
    <row r="193">
      <c r="A193" s="2" t="inlineStr">
        <is>
          <t>2026-01-20</t>
        </is>
      </c>
      <c r="B193" s="3" t="inlineStr">
        <is>
          <t>대진첨단소재</t>
        </is>
      </c>
      <c r="C193" s="2" t="inlineStr">
        <is>
          <t>코스닥</t>
        </is>
      </c>
      <c r="D193" s="2" t="inlineStr">
        <is>
          <t>393970</t>
        </is>
      </c>
      <c r="E193" s="3" t="inlineStr">
        <is>
          <t>주주총회소집공고</t>
        </is>
      </c>
      <c r="F193" s="3" t="inlineStr">
        <is>
          <t>대진첨단소재</t>
        </is>
      </c>
      <c r="G193" s="2" t="inlineStr">
        <is>
          <t>20260120000218</t>
        </is>
      </c>
      <c r="H193" s="8">
        <f>HYPERLINK("https://dart.fss.or.kr/dsaf001/main.do?rcpNo=20260120000218", "공시열람")</f>
        <v/>
      </c>
    </row>
    <row r="194">
      <c r="A194" s="2" t="inlineStr">
        <is>
          <t>2026-01-20</t>
        </is>
      </c>
      <c r="B194" s="3" t="inlineStr">
        <is>
          <t>강원에너지</t>
        </is>
      </c>
      <c r="C194" s="2" t="inlineStr">
        <is>
          <t>코스닥</t>
        </is>
      </c>
      <c r="D194" s="2" t="inlineStr">
        <is>
          <t>114190</t>
        </is>
      </c>
      <c r="E194" s="3" t="inlineStr">
        <is>
          <t>주주총회소집공고</t>
        </is>
      </c>
      <c r="F194" s="3" t="inlineStr">
        <is>
          <t>강원에너지</t>
        </is>
      </c>
      <c r="G194" s="2" t="inlineStr">
        <is>
          <t>20260120000170</t>
        </is>
      </c>
      <c r="H194" s="8">
        <f>HYPERLINK("https://dart.fss.or.kr/dsaf001/main.do?rcpNo=20260120000170", "공시열람")</f>
        <v/>
      </c>
    </row>
    <row r="195">
      <c r="A195" s="2" t="inlineStr">
        <is>
          <t>2026-01-22</t>
        </is>
      </c>
      <c r="B195" s="3" t="inlineStr">
        <is>
          <t>크라우드웍스</t>
        </is>
      </c>
      <c r="C195" s="2" t="inlineStr">
        <is>
          <t>코스닥</t>
        </is>
      </c>
      <c r="D195" s="2" t="inlineStr">
        <is>
          <t>355390</t>
        </is>
      </c>
      <c r="E195" s="3" t="inlineStr">
        <is>
          <t>주주총회소집공고</t>
        </is>
      </c>
      <c r="F195" s="3" t="inlineStr">
        <is>
          <t>크라우드웍스</t>
        </is>
      </c>
      <c r="G195" s="2" t="inlineStr">
        <is>
          <t>20260122000511</t>
        </is>
      </c>
      <c r="H195" s="8">
        <f>HYPERLINK("https://dart.fss.or.kr/dsaf001/main.do?rcpNo=20260122000511", "공시열람")</f>
        <v/>
      </c>
    </row>
    <row r="196">
      <c r="A196" s="2" t="inlineStr">
        <is>
          <t>2026-01-22 (정정: 2026-01-23)</t>
        </is>
      </c>
      <c r="B196" s="3" t="inlineStr">
        <is>
          <t>만호제강</t>
        </is>
      </c>
      <c r="C196" s="2" t="inlineStr">
        <is>
          <t>코스피</t>
        </is>
      </c>
      <c r="D196" s="2" t="inlineStr">
        <is>
          <t>001080</t>
        </is>
      </c>
      <c r="E196" s="3" t="inlineStr">
        <is>
          <t>주주총회소집공고 (정정: 20260123)</t>
        </is>
      </c>
      <c r="F196" s="3" t="inlineStr">
        <is>
          <t>만호제강</t>
        </is>
      </c>
      <c r="G196" s="2" t="inlineStr">
        <is>
          <t>20260123000270</t>
        </is>
      </c>
      <c r="H196" s="8">
        <f>HYPERLINK("https://dart.fss.or.kr/dsaf001/main.do?rcpNo=20260123000270", "공시열람")</f>
        <v/>
      </c>
    </row>
    <row r="197">
      <c r="A197" s="2" t="inlineStr">
        <is>
          <t>2026-01-22 (정정: 2026-02-05)</t>
        </is>
      </c>
      <c r="B197" s="3" t="inlineStr">
        <is>
          <t>NPX</t>
        </is>
      </c>
      <c r="C197" s="2" t="inlineStr">
        <is>
          <t>코스닥</t>
        </is>
      </c>
      <c r="D197" s="2" t="inlineStr">
        <is>
          <t>222160</t>
        </is>
      </c>
      <c r="E197" s="3" t="inlineStr">
        <is>
          <t>주주총회소집공고 (정정: 20260205)</t>
        </is>
      </c>
      <c r="F197" s="3" t="inlineStr">
        <is>
          <t>NPX</t>
        </is>
      </c>
      <c r="G197" s="2" t="inlineStr">
        <is>
          <t>20260205000527</t>
        </is>
      </c>
      <c r="H197" s="8">
        <f>HYPERLINK("https://dart.fss.or.kr/dsaf001/main.do?rcpNo=20260205000527", "공시열람")</f>
        <v/>
      </c>
    </row>
    <row r="198">
      <c r="A198" s="2" t="inlineStr">
        <is>
          <t>2026-01-22 (정정: 2026-01-23)</t>
        </is>
      </c>
      <c r="B198" s="3" t="inlineStr">
        <is>
          <t>푸드나무</t>
        </is>
      </c>
      <c r="C198" s="2" t="inlineStr">
        <is>
          <t>코스닥</t>
        </is>
      </c>
      <c r="D198" s="2" t="inlineStr">
        <is>
          <t>290720</t>
        </is>
      </c>
      <c r="E198" s="3" t="inlineStr">
        <is>
          <t>[기재정정]주주총회소집공고</t>
        </is>
      </c>
      <c r="F198" s="3" t="inlineStr">
        <is>
          <t>푸드나무</t>
        </is>
      </c>
      <c r="G198" s="2" t="inlineStr">
        <is>
          <t>20260123000352</t>
        </is>
      </c>
      <c r="H198" s="8">
        <f>HYPERLINK("https://dart.fss.or.kr/dsaf001/main.do?rcpNo=20260123000352", "공시열람")</f>
        <v/>
      </c>
    </row>
    <row r="199">
      <c r="A199" s="2" t="inlineStr">
        <is>
          <t>2026-01-23 (정정: 2026-01-28)</t>
        </is>
      </c>
      <c r="B199" s="3" t="inlineStr">
        <is>
          <t>푸드나무</t>
        </is>
      </c>
      <c r="C199" s="2" t="inlineStr">
        <is>
          <t>코스닥</t>
        </is>
      </c>
      <c r="D199" s="2" t="inlineStr">
        <is>
          <t>290720</t>
        </is>
      </c>
      <c r="E199" s="3" t="inlineStr">
        <is>
          <t>주주총회소집공고 (정정: 20260128)</t>
        </is>
      </c>
      <c r="F199" s="3" t="inlineStr">
        <is>
          <t>푸드나무</t>
        </is>
      </c>
      <c r="G199" s="2" t="inlineStr">
        <is>
          <t>20260128000473</t>
        </is>
      </c>
      <c r="H199" s="8">
        <f>HYPERLINK("https://dart.fss.or.kr/dsaf001/main.do?rcpNo=20260128000473", "공시열람")</f>
        <v/>
      </c>
    </row>
    <row r="200">
      <c r="A200" s="2" t="inlineStr">
        <is>
          <t>2026-01-26</t>
        </is>
      </c>
      <c r="B200" s="3" t="inlineStr">
        <is>
          <t>KS인더스트리</t>
        </is>
      </c>
      <c r="C200" s="2" t="inlineStr">
        <is>
          <t>코스닥</t>
        </is>
      </c>
      <c r="D200" s="2" t="inlineStr">
        <is>
          <t>101000</t>
        </is>
      </c>
      <c r="E200" s="3" t="inlineStr">
        <is>
          <t>[기재정정]주주총회소집공고</t>
        </is>
      </c>
      <c r="F200" s="3" t="inlineStr">
        <is>
          <t>KS인더스트리</t>
        </is>
      </c>
      <c r="G200" s="2" t="inlineStr">
        <is>
          <t>20260126000548</t>
        </is>
      </c>
      <c r="H200" s="8">
        <f>HYPERLINK("https://dart.fss.or.kr/dsaf001/main.do?rcpNo=20260126000548", "공시열람")</f>
        <v/>
      </c>
    </row>
    <row r="201">
      <c r="A201" s="2" t="inlineStr">
        <is>
          <t>2026-01-26</t>
        </is>
      </c>
      <c r="B201" s="3" t="inlineStr">
        <is>
          <t>인산가</t>
        </is>
      </c>
      <c r="C201" s="2" t="inlineStr">
        <is>
          <t>코스닥</t>
        </is>
      </c>
      <c r="D201" s="2" t="inlineStr">
        <is>
          <t>277410</t>
        </is>
      </c>
      <c r="E201" s="3" t="inlineStr">
        <is>
          <t>주주총회소집공고</t>
        </is>
      </c>
      <c r="F201" s="3" t="inlineStr">
        <is>
          <t>인산가</t>
        </is>
      </c>
      <c r="G201" s="2" t="inlineStr">
        <is>
          <t>20260126000413</t>
        </is>
      </c>
      <c r="H201" s="8">
        <f>HYPERLINK("https://dart.fss.or.kr/dsaf001/main.do?rcpNo=20260126000413", "공시열람")</f>
        <v/>
      </c>
    </row>
    <row r="202">
      <c r="A202" s="2" t="inlineStr">
        <is>
          <t>2026-01-27</t>
        </is>
      </c>
      <c r="B202" s="3" t="inlineStr">
        <is>
          <t>제이케이시냅스</t>
        </is>
      </c>
      <c r="C202" s="2" t="inlineStr">
        <is>
          <t>코스닥</t>
        </is>
      </c>
      <c r="D202" s="2" t="inlineStr">
        <is>
          <t>060230</t>
        </is>
      </c>
      <c r="E202" s="3" t="inlineStr">
        <is>
          <t>주주총회소집공고</t>
        </is>
      </c>
      <c r="F202" s="3" t="inlineStr">
        <is>
          <t>제이케이시냅스</t>
        </is>
      </c>
      <c r="G202" s="2" t="inlineStr">
        <is>
          <t>20260127000355</t>
        </is>
      </c>
      <c r="H202" s="8">
        <f>HYPERLINK("https://dart.fss.or.kr/dsaf001/main.do?rcpNo=20260127000355", "공시열람")</f>
        <v/>
      </c>
    </row>
    <row r="203">
      <c r="A203" s="2" t="inlineStr">
        <is>
          <t>2026-01-27</t>
        </is>
      </c>
      <c r="B203" s="3" t="inlineStr">
        <is>
          <t>오텍</t>
        </is>
      </c>
      <c r="C203" s="2" t="inlineStr">
        <is>
          <t>코스닥</t>
        </is>
      </c>
      <c r="D203" s="2" t="inlineStr">
        <is>
          <t>067170</t>
        </is>
      </c>
      <c r="E203" s="3" t="inlineStr">
        <is>
          <t>주주총회소집공고</t>
        </is>
      </c>
      <c r="F203" s="3" t="inlineStr">
        <is>
          <t>오텍</t>
        </is>
      </c>
      <c r="G203" s="2" t="inlineStr">
        <is>
          <t>20260127000114</t>
        </is>
      </c>
      <c r="H203" s="8">
        <f>HYPERLINK("https://dart.fss.or.kr/dsaf001/main.do?rcpNo=20260127000114", "공시열람")</f>
        <v/>
      </c>
    </row>
    <row r="204">
      <c r="A204" s="2" t="inlineStr">
        <is>
          <t>2026-01-28</t>
        </is>
      </c>
      <c r="B204" s="3" t="inlineStr">
        <is>
          <t>모바일어플라이언스</t>
        </is>
      </c>
      <c r="C204" s="2" t="inlineStr">
        <is>
          <t>코스닥</t>
        </is>
      </c>
      <c r="D204" s="2" t="inlineStr">
        <is>
          <t>087260</t>
        </is>
      </c>
      <c r="E204" s="3" t="inlineStr">
        <is>
          <t>주주총회소집공고</t>
        </is>
      </c>
      <c r="F204" s="3" t="inlineStr">
        <is>
          <t>모바일어플라이언스</t>
        </is>
      </c>
      <c r="G204" s="2" t="inlineStr">
        <is>
          <t>20260128000526</t>
        </is>
      </c>
      <c r="H204" s="8">
        <f>HYPERLINK("https://dart.fss.or.kr/dsaf001/main.do?rcpNo=20260128000526", "공시열람")</f>
        <v/>
      </c>
    </row>
    <row r="205">
      <c r="A205" s="2" t="inlineStr">
        <is>
          <t>2026-01-28</t>
        </is>
      </c>
      <c r="B205" s="3" t="inlineStr">
        <is>
          <t>대신밸류리츠</t>
        </is>
      </c>
      <c r="C205" s="2" t="inlineStr">
        <is>
          <t>코스피</t>
        </is>
      </c>
      <c r="D205" s="2" t="inlineStr">
        <is>
          <t>0030R0</t>
        </is>
      </c>
      <c r="E205" s="3" t="inlineStr">
        <is>
          <t>주주총회소집공고</t>
        </is>
      </c>
      <c r="F205" s="3" t="inlineStr">
        <is>
          <t>대신밸류리츠</t>
        </is>
      </c>
      <c r="G205" s="2" t="inlineStr">
        <is>
          <t>20260128000298</t>
        </is>
      </c>
      <c r="H205" s="8">
        <f>HYPERLINK("https://dart.fss.or.kr/dsaf001/main.do?rcpNo=20260128000298", "공시열람")</f>
        <v/>
      </c>
    </row>
    <row r="206">
      <c r="A206" s="2" t="inlineStr">
        <is>
          <t>2026-01-28</t>
        </is>
      </c>
      <c r="B206" s="3" t="inlineStr">
        <is>
          <t>한전산업</t>
        </is>
      </c>
      <c r="C206" s="2" t="inlineStr">
        <is>
          <t>코스피</t>
        </is>
      </c>
      <c r="D206" s="2" t="inlineStr">
        <is>
          <t>130660</t>
        </is>
      </c>
      <c r="E206" s="3" t="inlineStr">
        <is>
          <t>주주총회소집공고</t>
        </is>
      </c>
      <c r="F206" s="3" t="inlineStr">
        <is>
          <t>한전산업</t>
        </is>
      </c>
      <c r="G206" s="2" t="inlineStr">
        <is>
          <t>20260128000250</t>
        </is>
      </c>
      <c r="H206" s="8">
        <f>HYPERLINK("https://dart.fss.or.kr/dsaf001/main.do?rcpNo=20260128000250", "공시열람")</f>
        <v/>
      </c>
    </row>
    <row r="207">
      <c r="A207" s="2" t="inlineStr">
        <is>
          <t>2026-01-29</t>
        </is>
      </c>
      <c r="B207" s="3" t="inlineStr">
        <is>
          <t>대신밸런스제19호스팩</t>
        </is>
      </c>
      <c r="C207" s="2" t="inlineStr">
        <is>
          <t>코스닥</t>
        </is>
      </c>
      <c r="D207" s="2" t="inlineStr">
        <is>
          <t>482690</t>
        </is>
      </c>
      <c r="E207" s="3" t="inlineStr">
        <is>
          <t xml:space="preserve">최대주주변경              </t>
        </is>
      </c>
      <c r="F207" s="3" t="inlineStr">
        <is>
          <t>대신밸런스제19호스팩</t>
        </is>
      </c>
      <c r="G207" s="2" t="inlineStr">
        <is>
          <t>20260129901106</t>
        </is>
      </c>
      <c r="H207" s="8">
        <f>HYPERLINK("https://dart.fss.or.kr/dsaf001/main.do?rcpNo=20260129901106", "공시열람")</f>
        <v/>
      </c>
    </row>
    <row r="208">
      <c r="A208" s="2" t="inlineStr">
        <is>
          <t>2026-01-29</t>
        </is>
      </c>
      <c r="B208" s="3" t="inlineStr">
        <is>
          <t>KD</t>
        </is>
      </c>
      <c r="C208" s="2" t="inlineStr">
        <is>
          <t>코스닥</t>
        </is>
      </c>
      <c r="D208" s="2" t="inlineStr">
        <is>
          <t>044180</t>
        </is>
      </c>
      <c r="E208" s="3" t="inlineStr">
        <is>
          <t xml:space="preserve">최대주주변경을수반하는주식담보제공계약해제ㆍ취소등              </t>
        </is>
      </c>
      <c r="F208" s="3" t="inlineStr">
        <is>
          <t>KD</t>
        </is>
      </c>
      <c r="G208" s="2" t="inlineStr">
        <is>
          <t>20260129901108</t>
        </is>
      </c>
      <c r="H208" s="8">
        <f>HYPERLINK("https://dart.fss.or.kr/dsaf001/main.do?rcpNo=20260129901108", "공시열람")</f>
        <v/>
      </c>
    </row>
    <row r="209">
      <c r="A209" s="2" t="inlineStr">
        <is>
          <t>2026-01-29</t>
        </is>
      </c>
      <c r="B209" s="3" t="inlineStr">
        <is>
          <t>빛과전자</t>
        </is>
      </c>
      <c r="C209" s="2" t="inlineStr">
        <is>
          <t>코스닥</t>
        </is>
      </c>
      <c r="D209" s="2" t="inlineStr">
        <is>
          <t>069540</t>
        </is>
      </c>
      <c r="E209" s="3" t="inlineStr">
        <is>
          <t xml:space="preserve">최대주주변경              </t>
        </is>
      </c>
      <c r="F209" s="3" t="inlineStr">
        <is>
          <t>빛과전자</t>
        </is>
      </c>
      <c r="G209" s="2" t="inlineStr">
        <is>
          <t>20260129901075</t>
        </is>
      </c>
      <c r="H209" s="8">
        <f>HYPERLINK("https://dart.fss.or.kr/dsaf001/main.do?rcpNo=20260129901075", "공시열람")</f>
        <v/>
      </c>
    </row>
    <row r="210">
      <c r="A210" s="2" t="inlineStr">
        <is>
          <t>2026-01-29</t>
        </is>
      </c>
      <c r="B210" s="3" t="inlineStr">
        <is>
          <t>피앤씨테크</t>
        </is>
      </c>
      <c r="C210" s="2" t="inlineStr">
        <is>
          <t>코스닥</t>
        </is>
      </c>
      <c r="D210" s="2" t="inlineStr">
        <is>
          <t>237750</t>
        </is>
      </c>
      <c r="E210" s="3" t="inlineStr">
        <is>
          <t>소송등의제기ㆍ신청(경영권분쟁소송)              (전자등록주식반환청구 등)</t>
        </is>
      </c>
      <c r="F210" s="3" t="inlineStr">
        <is>
          <t>피앤씨테크</t>
        </is>
      </c>
      <c r="G210" s="2" t="inlineStr">
        <is>
          <t>20260129901014</t>
        </is>
      </c>
      <c r="H210" s="8">
        <f>HYPERLINK("https://dart.fss.or.kr/dsaf001/main.do?rcpNo=20260129901014", "공시열람")</f>
        <v/>
      </c>
    </row>
    <row r="211">
      <c r="A211" s="2" t="inlineStr">
        <is>
          <t>2026-01-29</t>
        </is>
      </c>
      <c r="B211" s="3" t="inlineStr">
        <is>
          <t>폰드그룹</t>
        </is>
      </c>
      <c r="C211" s="2" t="inlineStr">
        <is>
          <t>코스닥</t>
        </is>
      </c>
      <c r="D211" s="2" t="inlineStr">
        <is>
          <t>472850</t>
        </is>
      </c>
      <c r="E211" s="3" t="inlineStr">
        <is>
          <t>[첨부정정]주요사항보고서(회사합병결정)</t>
        </is>
      </c>
      <c r="F211" s="3" t="inlineStr">
        <is>
          <t>폰드그룹</t>
        </is>
      </c>
      <c r="G211" s="2" t="inlineStr">
        <is>
          <t>20260129000677</t>
        </is>
      </c>
      <c r="H211" s="8">
        <f>HYPERLINK("https://dart.fss.or.kr/dsaf001/main.do?rcpNo=20260129000677", "공시열람")</f>
        <v/>
      </c>
    </row>
    <row r="212">
      <c r="A212" s="2" t="inlineStr">
        <is>
          <t>2026-01-29</t>
        </is>
      </c>
      <c r="B212" s="3" t="inlineStr">
        <is>
          <t>폰드그룹</t>
        </is>
      </c>
      <c r="C212" s="2" t="inlineStr">
        <is>
          <t>코스닥</t>
        </is>
      </c>
      <c r="D212" s="2" t="inlineStr">
        <is>
          <t>472850</t>
        </is>
      </c>
      <c r="E212" s="3" t="inlineStr">
        <is>
          <t>[첨부정정]주요사항보고서(회사합병결정)</t>
        </is>
      </c>
      <c r="F212" s="3" t="inlineStr">
        <is>
          <t>폰드그룹</t>
        </is>
      </c>
      <c r="G212" s="2" t="inlineStr">
        <is>
          <t>20260129000667</t>
        </is>
      </c>
      <c r="H212" s="8">
        <f>HYPERLINK("https://dart.fss.or.kr/dsaf001/main.do?rcpNo=20260129000667", "공시열람")</f>
        <v/>
      </c>
    </row>
    <row r="213">
      <c r="A213" s="2" t="inlineStr">
        <is>
          <t>2026-01-29</t>
        </is>
      </c>
      <c r="B213" s="3" t="inlineStr">
        <is>
          <t>세종메디칼</t>
        </is>
      </c>
      <c r="C213" s="2" t="inlineStr">
        <is>
          <t>코스닥</t>
        </is>
      </c>
      <c r="D213" s="2" t="inlineStr">
        <is>
          <t>258830</t>
        </is>
      </c>
      <c r="E213" s="3" t="inlineStr">
        <is>
          <t>주주총회소집결의              (임시주주총회)</t>
        </is>
      </c>
      <c r="F213" s="3" t="inlineStr">
        <is>
          <t>세종메디칼</t>
        </is>
      </c>
      <c r="G213" s="2" t="inlineStr">
        <is>
          <t>20260129900832</t>
        </is>
      </c>
      <c r="H213" s="8">
        <f>HYPERLINK("https://dart.fss.or.kr/dsaf001/main.do?rcpNo=20260129900832", "공시열람")</f>
        <v/>
      </c>
    </row>
    <row r="214">
      <c r="A214" s="2" t="inlineStr">
        <is>
          <t>2025-11-28 (정정: 2026-01-29)</t>
        </is>
      </c>
      <c r="B214" s="3" t="inlineStr">
        <is>
          <t>하이퍼코퍼레이션</t>
        </is>
      </c>
      <c r="C214" s="2" t="inlineStr">
        <is>
          <t>코스닥</t>
        </is>
      </c>
      <c r="D214" s="2" t="inlineStr">
        <is>
          <t>065650</t>
        </is>
      </c>
      <c r="E214" s="3" t="inlineStr">
        <is>
          <t>[기재정정]주주총회소집결의              (임시주주총회)</t>
        </is>
      </c>
      <c r="F214" s="3" t="inlineStr">
        <is>
          <t>하이퍼코퍼레이션</t>
        </is>
      </c>
      <c r="G214" s="2" t="inlineStr">
        <is>
          <t>20260129900739</t>
        </is>
      </c>
      <c r="H214" s="8">
        <f>HYPERLINK("https://dart.fss.or.kr/dsaf001/main.do?rcpNo=20260129900739", "공시열람")</f>
        <v/>
      </c>
    </row>
    <row r="215">
      <c r="A215" s="2" t="inlineStr">
        <is>
          <t>2026-01-29</t>
        </is>
      </c>
      <c r="B215" s="3" t="inlineStr">
        <is>
          <t>디에이치엑스컴퍼니</t>
        </is>
      </c>
      <c r="C215" s="2" t="inlineStr">
        <is>
          <t>코스닥</t>
        </is>
      </c>
      <c r="D215" s="2" t="inlineStr">
        <is>
          <t>031860</t>
        </is>
      </c>
      <c r="E215" s="3" t="inlineStr">
        <is>
          <t xml:space="preserve">임시주주총회결과              </t>
        </is>
      </c>
      <c r="F215" s="3" t="inlineStr">
        <is>
          <t>디에이치엑스컴퍼니</t>
        </is>
      </c>
      <c r="G215" s="2" t="inlineStr">
        <is>
          <t>20260129900664</t>
        </is>
      </c>
      <c r="H215" s="8">
        <f>HYPERLINK("https://dart.fss.or.kr/dsaf001/main.do?rcpNo=20260129900664", "공시열람")</f>
        <v/>
      </c>
    </row>
    <row r="216">
      <c r="A216" s="2" t="inlineStr">
        <is>
          <t>2026-01-29</t>
        </is>
      </c>
      <c r="B216" s="3" t="inlineStr">
        <is>
          <t>인트론바이오</t>
        </is>
      </c>
      <c r="C216" s="2" t="inlineStr">
        <is>
          <t>코스닥</t>
        </is>
      </c>
      <c r="D216" s="2" t="inlineStr">
        <is>
          <t>048530</t>
        </is>
      </c>
      <c r="E216" s="3" t="inlineStr">
        <is>
          <t xml:space="preserve">주주총회소집결의              </t>
        </is>
      </c>
      <c r="F216" s="3" t="inlineStr">
        <is>
          <t>인트론바이오</t>
        </is>
      </c>
      <c r="G216" s="2" t="inlineStr">
        <is>
          <t>20260129900626</t>
        </is>
      </c>
      <c r="H216" s="8">
        <f>HYPERLINK("https://dart.fss.or.kr/dsaf001/main.do?rcpNo=20260129900626", "공시열람")</f>
        <v/>
      </c>
    </row>
    <row r="217">
      <c r="A217" s="2" t="inlineStr">
        <is>
          <t>2026-01-29</t>
        </is>
      </c>
      <c r="B217" s="3" t="inlineStr">
        <is>
          <t>폰드그룹</t>
        </is>
      </c>
      <c r="C217" s="2" t="inlineStr">
        <is>
          <t>코스닥</t>
        </is>
      </c>
      <c r="D217" s="2" t="inlineStr">
        <is>
          <t>472850</t>
        </is>
      </c>
      <c r="E217" s="3" t="inlineStr">
        <is>
          <t>주요사항보고서(회사합병결정)</t>
        </is>
      </c>
      <c r="F217" s="3" t="inlineStr">
        <is>
          <t>폰드그룹</t>
        </is>
      </c>
      <c r="G217" s="2" t="inlineStr">
        <is>
          <t>20260129000497</t>
        </is>
      </c>
      <c r="H217" s="8">
        <f>HYPERLINK("https://dart.fss.or.kr/dsaf001/main.do?rcpNo=20260129000497", "공시열람")</f>
        <v/>
      </c>
    </row>
    <row r="218">
      <c r="A218" s="2" t="inlineStr">
        <is>
          <t>2026-01-29</t>
        </is>
      </c>
      <c r="B218" s="3" t="inlineStr">
        <is>
          <t>폰드그룹</t>
        </is>
      </c>
      <c r="C218" s="2" t="inlineStr">
        <is>
          <t>코스닥</t>
        </is>
      </c>
      <c r="D218" s="2" t="inlineStr">
        <is>
          <t>472850</t>
        </is>
      </c>
      <c r="E218" s="3" t="inlineStr">
        <is>
          <t>주요사항보고서(회사합병결정)</t>
        </is>
      </c>
      <c r="F218" s="3" t="inlineStr">
        <is>
          <t>폰드그룹</t>
        </is>
      </c>
      <c r="G218" s="2" t="inlineStr">
        <is>
          <t>20260129000493</t>
        </is>
      </c>
      <c r="H218" s="8">
        <f>HYPERLINK("https://dart.fss.or.kr/dsaf001/main.do?rcpNo=20260129000493", "공시열람")</f>
        <v/>
      </c>
    </row>
    <row r="219">
      <c r="A219" s="2" t="inlineStr">
        <is>
          <t>2026-01-29</t>
        </is>
      </c>
      <c r="B219" s="3" t="inlineStr">
        <is>
          <t>DKME</t>
        </is>
      </c>
      <c r="C219" s="2" t="inlineStr">
        <is>
          <t>코스피</t>
        </is>
      </c>
      <c r="D219" s="2" t="inlineStr">
        <is>
          <t>015590</t>
        </is>
      </c>
      <c r="E219" s="3" t="inlineStr">
        <is>
          <t xml:space="preserve">소송등의제기ㆍ신청(경영권분쟁소송)              </t>
        </is>
      </c>
      <c r="F219" s="3" t="inlineStr">
        <is>
          <t>DKME</t>
        </is>
      </c>
      <c r="G219" s="2" t="inlineStr">
        <is>
          <t>20260129800543</t>
        </is>
      </c>
      <c r="H219" s="8">
        <f>HYPERLINK("https://dart.fss.or.kr/dsaf001/main.do?rcpNo=20260129800543", "공시열람")</f>
        <v/>
      </c>
    </row>
    <row r="220">
      <c r="A220" s="2" t="inlineStr">
        <is>
          <t>2026-01-29 (정정: 2026-03-06)</t>
        </is>
      </c>
      <c r="B220" s="3" t="inlineStr">
        <is>
          <t>윌비스</t>
        </is>
      </c>
      <c r="C220" s="2" t="inlineStr">
        <is>
          <t>코스피</t>
        </is>
      </c>
      <c r="D220" s="2" t="inlineStr">
        <is>
          <t>008600</t>
        </is>
      </c>
      <c r="E220" s="3" t="inlineStr">
        <is>
          <t>임시주주총회결과               (정정: 20260306)</t>
        </is>
      </c>
      <c r="F220" s="3" t="inlineStr">
        <is>
          <t>윌비스</t>
        </is>
      </c>
      <c r="G220" s="2" t="inlineStr">
        <is>
          <t>20260306000973</t>
        </is>
      </c>
      <c r="H220" s="8">
        <f>HYPERLINK("https://dart.fss.or.kr/dsaf001/main.do?rcpNo=20260306000973", "공시열람")</f>
        <v/>
      </c>
    </row>
    <row r="221">
      <c r="A221" s="2" t="inlineStr">
        <is>
          <t>2026-01-29</t>
        </is>
      </c>
      <c r="B221" s="3" t="inlineStr">
        <is>
          <t>알로이스</t>
        </is>
      </c>
      <c r="C221" s="2" t="inlineStr">
        <is>
          <t>코스닥</t>
        </is>
      </c>
      <c r="D221" s="2" t="inlineStr">
        <is>
          <t>297570</t>
        </is>
      </c>
      <c r="E221" s="3" t="inlineStr">
        <is>
          <t xml:space="preserve">최대주주변경              </t>
        </is>
      </c>
      <c r="F221" s="3" t="inlineStr">
        <is>
          <t>알로이스</t>
        </is>
      </c>
      <c r="G221" s="2" t="inlineStr">
        <is>
          <t>20260129900413</t>
        </is>
      </c>
      <c r="H221" s="8">
        <f>HYPERLINK("https://dart.fss.or.kr/dsaf001/main.do?rcpNo=20260129900413", "공시열람")</f>
        <v/>
      </c>
    </row>
    <row r="222">
      <c r="A222" s="2" t="inlineStr">
        <is>
          <t>2026-01-29</t>
        </is>
      </c>
      <c r="B222" s="3" t="inlineStr">
        <is>
          <t>이월드</t>
        </is>
      </c>
      <c r="C222" s="2" t="inlineStr">
        <is>
          <t>코스피</t>
        </is>
      </c>
      <c r="D222" s="2" t="inlineStr">
        <is>
          <t>084680</t>
        </is>
      </c>
      <c r="E222" s="3" t="inlineStr">
        <is>
          <t xml:space="preserve">임시주주총회결과              </t>
        </is>
      </c>
      <c r="F222" s="3" t="inlineStr">
        <is>
          <t>이월드</t>
        </is>
      </c>
      <c r="G222" s="2" t="inlineStr">
        <is>
          <t>20260129800262</t>
        </is>
      </c>
      <c r="H222" s="8">
        <f>HYPERLINK("https://dart.fss.or.kr/dsaf001/main.do?rcpNo=20260129800262", "공시열람")</f>
        <v/>
      </c>
    </row>
    <row r="223">
      <c r="A223" s="2" t="inlineStr">
        <is>
          <t>2026-01-29</t>
        </is>
      </c>
      <c r="B223" s="3" t="inlineStr">
        <is>
          <t>SNT홀딩스</t>
        </is>
      </c>
      <c r="C223" s="2" t="inlineStr">
        <is>
          <t>코스피</t>
        </is>
      </c>
      <c r="D223" s="2" t="inlineStr">
        <is>
          <t>036530</t>
        </is>
      </c>
      <c r="E223" s="3" t="inlineStr">
        <is>
          <t xml:space="preserve">주주총회소집결의              </t>
        </is>
      </c>
      <c r="F223" s="3" t="inlineStr">
        <is>
          <t>SNT홀딩스</t>
        </is>
      </c>
      <c r="G223" s="2" t="inlineStr">
        <is>
          <t>20260129800139</t>
        </is>
      </c>
      <c r="H223" s="8">
        <f>HYPERLINK("https://dart.fss.or.kr/dsaf001/main.do?rcpNo=20260129800139", "공시열람")</f>
        <v/>
      </c>
    </row>
    <row r="224">
      <c r="A224" s="2" t="inlineStr">
        <is>
          <t>2026-01-29</t>
        </is>
      </c>
      <c r="B224" s="3" t="inlineStr">
        <is>
          <t>SNT에너지</t>
        </is>
      </c>
      <c r="C224" s="2" t="inlineStr">
        <is>
          <t>코스피</t>
        </is>
      </c>
      <c r="D224" s="2" t="inlineStr">
        <is>
          <t>100840</t>
        </is>
      </c>
      <c r="E224" s="3" t="inlineStr">
        <is>
          <t xml:space="preserve">주주총회소집결의              </t>
        </is>
      </c>
      <c r="F224" s="3" t="inlineStr">
        <is>
          <t>SNT에너지</t>
        </is>
      </c>
      <c r="G224" s="2" t="inlineStr">
        <is>
          <t>20260129800143</t>
        </is>
      </c>
      <c r="H224" s="8">
        <f>HYPERLINK("https://dart.fss.or.kr/dsaf001/main.do?rcpNo=20260129800143", "공시열람")</f>
        <v/>
      </c>
    </row>
    <row r="225">
      <c r="A225" s="2" t="inlineStr">
        <is>
          <t>2026-01-29</t>
        </is>
      </c>
      <c r="B225" s="3" t="inlineStr">
        <is>
          <t>SNT모티브</t>
        </is>
      </c>
      <c r="C225" s="2" t="inlineStr">
        <is>
          <t>코스피</t>
        </is>
      </c>
      <c r="D225" s="2" t="inlineStr">
        <is>
          <t>064960</t>
        </is>
      </c>
      <c r="E225" s="3" t="inlineStr">
        <is>
          <t xml:space="preserve">주주총회소집결의              </t>
        </is>
      </c>
      <c r="F225" s="3" t="inlineStr">
        <is>
          <t>SNT모티브</t>
        </is>
      </c>
      <c r="G225" s="2" t="inlineStr">
        <is>
          <t>20260129800109</t>
        </is>
      </c>
      <c r="H225" s="8">
        <f>HYPERLINK("https://dart.fss.or.kr/dsaf001/main.do?rcpNo=20260129800109", "공시열람")</f>
        <v/>
      </c>
    </row>
    <row r="226">
      <c r="A226" s="2" t="inlineStr">
        <is>
          <t>2026-01-29</t>
        </is>
      </c>
      <c r="B226" s="3" t="inlineStr">
        <is>
          <t>SNT다이내믹스</t>
        </is>
      </c>
      <c r="C226" s="2" t="inlineStr">
        <is>
          <t>코스피</t>
        </is>
      </c>
      <c r="D226" s="2" t="inlineStr">
        <is>
          <t>003570</t>
        </is>
      </c>
      <c r="E226" s="3" t="inlineStr">
        <is>
          <t xml:space="preserve">주주총회소집결의              </t>
        </is>
      </c>
      <c r="F226" s="3" t="inlineStr">
        <is>
          <t>SNT다이내믹스</t>
        </is>
      </c>
      <c r="G226" s="2" t="inlineStr">
        <is>
          <t>20260129800104</t>
        </is>
      </c>
      <c r="H226" s="8">
        <f>HYPERLINK("https://dart.fss.or.kr/dsaf001/main.do?rcpNo=20260129800104", "공시열람")</f>
        <v/>
      </c>
    </row>
    <row r="227">
      <c r="A227" s="2" t="inlineStr">
        <is>
          <t>2026-02-02</t>
        </is>
      </c>
      <c r="B227" s="3" t="inlineStr">
        <is>
          <t>에코볼트</t>
        </is>
      </c>
      <c r="C227" s="2" t="inlineStr">
        <is>
          <t>코스닥</t>
        </is>
      </c>
      <c r="D227" s="2" t="inlineStr">
        <is>
          <t>097780</t>
        </is>
      </c>
      <c r="E227" s="3" t="inlineStr">
        <is>
          <t xml:space="preserve">주주총회소집결의              </t>
        </is>
      </c>
      <c r="F227" s="3" t="inlineStr">
        <is>
          <t>에코볼트</t>
        </is>
      </c>
      <c r="G227" s="2" t="inlineStr">
        <is>
          <t>20260202901860</t>
        </is>
      </c>
      <c r="H227" s="8">
        <f>HYPERLINK("https://dart.fss.or.kr/dsaf001/main.do?rcpNo=20260202901860", "공시열람")</f>
        <v/>
      </c>
    </row>
    <row r="228">
      <c r="A228" s="2" t="inlineStr">
        <is>
          <t>2026-02-02</t>
        </is>
      </c>
      <c r="B228" s="3" t="inlineStr">
        <is>
          <t>에코볼트</t>
        </is>
      </c>
      <c r="C228" s="2" t="inlineStr">
        <is>
          <t>코스닥</t>
        </is>
      </c>
      <c r="D228" s="2" t="inlineStr">
        <is>
          <t>097780</t>
        </is>
      </c>
      <c r="E228" s="3" t="inlineStr">
        <is>
          <t xml:space="preserve">주식분할결정              </t>
        </is>
      </c>
      <c r="F228" s="3" t="inlineStr">
        <is>
          <t>에코볼트</t>
        </is>
      </c>
      <c r="G228" s="2" t="inlineStr">
        <is>
          <t>20260202901855</t>
        </is>
      </c>
      <c r="H228" s="8">
        <f>HYPERLINK("https://dart.fss.or.kr/dsaf001/main.do?rcpNo=20260202901855", "공시열람")</f>
        <v/>
      </c>
    </row>
    <row r="229">
      <c r="A229" s="2" t="inlineStr">
        <is>
          <t>2026-02-02 (정정: 2026-02-02)</t>
        </is>
      </c>
      <c r="B229" s="3" t="inlineStr">
        <is>
          <t>켐트로스</t>
        </is>
      </c>
      <c r="C229" s="2" t="inlineStr">
        <is>
          <t>코스닥</t>
        </is>
      </c>
      <c r="D229" s="2" t="inlineStr">
        <is>
          <t>220260</t>
        </is>
      </c>
      <c r="E229" s="3" t="inlineStr">
        <is>
          <t>최대주주변경               (정정: 20260202)</t>
        </is>
      </c>
      <c r="F229" s="3" t="inlineStr">
        <is>
          <t>켐트로스</t>
        </is>
      </c>
      <c r="G229" s="2" t="inlineStr">
        <is>
          <t>20260202901754</t>
        </is>
      </c>
      <c r="H229" s="8">
        <f>HYPERLINK("https://dart.fss.or.kr/dsaf001/main.do?rcpNo=20260202901754", "공시열람")</f>
        <v/>
      </c>
    </row>
    <row r="230">
      <c r="A230" s="2" t="inlineStr">
        <is>
          <t>2026-02-02</t>
        </is>
      </c>
      <c r="B230" s="3" t="inlineStr">
        <is>
          <t>SGA솔루션즈</t>
        </is>
      </c>
      <c r="C230" s="2" t="inlineStr">
        <is>
          <t>코스닥</t>
        </is>
      </c>
      <c r="D230" s="2" t="inlineStr">
        <is>
          <t>184230</t>
        </is>
      </c>
      <c r="E230" s="3" t="inlineStr">
        <is>
          <t xml:space="preserve">최대주주변경을수반하는주식담보제공계약해제ㆍ취소등              </t>
        </is>
      </c>
      <c r="F230" s="3" t="inlineStr">
        <is>
          <t>SGA솔루션즈</t>
        </is>
      </c>
      <c r="G230" s="2" t="inlineStr">
        <is>
          <t>20260202901816</t>
        </is>
      </c>
      <c r="H230" s="8">
        <f>HYPERLINK("https://dart.fss.or.kr/dsaf001/main.do?rcpNo=20260202901816", "공시열람")</f>
        <v/>
      </c>
    </row>
    <row r="231">
      <c r="A231" s="2" t="inlineStr">
        <is>
          <t>2025-11-24 (정정: 2026-02-02)</t>
        </is>
      </c>
      <c r="B231" s="3" t="inlineStr">
        <is>
          <t>오이솔루션</t>
        </is>
      </c>
      <c r="C231" s="2" t="inlineStr">
        <is>
          <t>코스닥</t>
        </is>
      </c>
      <c r="D231" s="2" t="inlineStr">
        <is>
          <t>138080</t>
        </is>
      </c>
      <c r="E231" s="3" t="inlineStr">
        <is>
          <t xml:space="preserve">[기재정정]최대주주변경을수반하는주식담보제공계약체결              </t>
        </is>
      </c>
      <c r="F231" s="3" t="inlineStr">
        <is>
          <t>오이솔루션</t>
        </is>
      </c>
      <c r="G231" s="2" t="inlineStr">
        <is>
          <t>20260202901840</t>
        </is>
      </c>
      <c r="H231" s="8">
        <f>HYPERLINK("https://dart.fss.or.kr/dsaf001/main.do?rcpNo=20260202901840", "공시열람")</f>
        <v/>
      </c>
    </row>
    <row r="232">
      <c r="A232" s="2" t="inlineStr">
        <is>
          <t>2026-02-02 (정정: 2026-03-03)</t>
        </is>
      </c>
      <c r="B232" s="3" t="inlineStr">
        <is>
          <t>한주라이트메탈</t>
        </is>
      </c>
      <c r="C232" s="2" t="inlineStr">
        <is>
          <t>코스닥</t>
        </is>
      </c>
      <c r="D232" s="2" t="inlineStr">
        <is>
          <t>198940</t>
        </is>
      </c>
      <c r="E232" s="3" t="inlineStr">
        <is>
          <t>주주총회소집결의               (정정: 20260303)</t>
        </is>
      </c>
      <c r="F232" s="3" t="inlineStr">
        <is>
          <t>한주라이트메탈</t>
        </is>
      </c>
      <c r="G232" s="2" t="inlineStr">
        <is>
          <t>20260303901234</t>
        </is>
      </c>
      <c r="H232" s="8">
        <f>HYPERLINK("https://dart.fss.or.kr/dsaf001/main.do?rcpNo=20260303901234", "공시열람")</f>
        <v/>
      </c>
    </row>
    <row r="233">
      <c r="A233" s="2" t="inlineStr">
        <is>
          <t>2026-02-02</t>
        </is>
      </c>
      <c r="B233" s="3" t="inlineStr">
        <is>
          <t>삼양바이오팜</t>
        </is>
      </c>
      <c r="C233" s="2" t="inlineStr">
        <is>
          <t>코스피</t>
        </is>
      </c>
      <c r="D233" s="2" t="inlineStr">
        <is>
          <t>0120G0</t>
        </is>
      </c>
      <c r="E233" s="3" t="inlineStr">
        <is>
          <t xml:space="preserve">주주총회소집결의              </t>
        </is>
      </c>
      <c r="F233" s="3" t="inlineStr">
        <is>
          <t>삼양바이오팜</t>
        </is>
      </c>
      <c r="G233" s="2" t="inlineStr">
        <is>
          <t>20260202801770</t>
        </is>
      </c>
      <c r="H233" s="8">
        <f>HYPERLINK("https://dart.fss.or.kr/dsaf001/main.do?rcpNo=20260202801770", "공시열람")</f>
        <v/>
      </c>
    </row>
    <row r="234">
      <c r="A234" s="2" t="inlineStr">
        <is>
          <t>2026-02-02</t>
        </is>
      </c>
      <c r="B234" s="3" t="inlineStr">
        <is>
          <t>하이비젼시스템</t>
        </is>
      </c>
      <c r="C234" s="2" t="inlineStr">
        <is>
          <t>코스닥</t>
        </is>
      </c>
      <c r="D234" s="2" t="inlineStr">
        <is>
          <t>126700</t>
        </is>
      </c>
      <c r="E234" s="3" t="inlineStr">
        <is>
          <t xml:space="preserve">주주총회집중일개최사유신고              </t>
        </is>
      </c>
      <c r="F234" s="3" t="inlineStr">
        <is>
          <t>하이비젼시스템</t>
        </is>
      </c>
      <c r="G234" s="2" t="inlineStr">
        <is>
          <t>20260202901465</t>
        </is>
      </c>
      <c r="H234" s="8">
        <f>HYPERLINK("https://dart.fss.or.kr/dsaf001/main.do?rcpNo=20260202901465", "공시열람")</f>
        <v/>
      </c>
    </row>
    <row r="235">
      <c r="A235" s="2" t="inlineStr">
        <is>
          <t>2026-02-02</t>
        </is>
      </c>
      <c r="B235" s="3" t="inlineStr">
        <is>
          <t>삼영이엔씨</t>
        </is>
      </c>
      <c r="C235" s="2" t="inlineStr">
        <is>
          <t>코스닥</t>
        </is>
      </c>
      <c r="D235" s="2" t="inlineStr">
        <is>
          <t>065570</t>
        </is>
      </c>
      <c r="E235" s="3" t="inlineStr">
        <is>
          <t>기타경영사항(자율공시)              (소수주주에 의한 임시주주총회 소집 통보)</t>
        </is>
      </c>
      <c r="F235" s="3" t="inlineStr">
        <is>
          <t>삼영이엔씨</t>
        </is>
      </c>
      <c r="G235" s="2" t="inlineStr">
        <is>
          <t>20260202901569</t>
        </is>
      </c>
      <c r="H235" s="8">
        <f>HYPERLINK("https://dart.fss.or.kr/dsaf001/main.do?rcpNo=20260202901569", "공시열람")</f>
        <v/>
      </c>
    </row>
    <row r="236">
      <c r="A236" s="2" t="inlineStr">
        <is>
          <t>2026-02-02</t>
        </is>
      </c>
      <c r="B236" s="3" t="inlineStr">
        <is>
          <t>인피니트헬스케어</t>
        </is>
      </c>
      <c r="C236" s="2" t="inlineStr">
        <is>
          <t>코스닥</t>
        </is>
      </c>
      <c r="D236" s="2" t="inlineStr">
        <is>
          <t>071200</t>
        </is>
      </c>
      <c r="E236" s="3" t="inlineStr">
        <is>
          <t>소송등의제기ㆍ신청(경영권분쟁소송)              (이사해임의 소)</t>
        </is>
      </c>
      <c r="F236" s="3" t="inlineStr">
        <is>
          <t>인피니트헬스케어</t>
        </is>
      </c>
      <c r="G236" s="2" t="inlineStr">
        <is>
          <t>20260202901451</t>
        </is>
      </c>
      <c r="H236" s="8">
        <f>HYPERLINK("https://dart.fss.or.kr/dsaf001/main.do?rcpNo=20260202901451", "공시열람")</f>
        <v/>
      </c>
    </row>
    <row r="237">
      <c r="A237" s="2" t="inlineStr">
        <is>
          <t>2026-02-02</t>
        </is>
      </c>
      <c r="B237" s="3" t="inlineStr">
        <is>
          <t>하이비젼시스템</t>
        </is>
      </c>
      <c r="C237" s="2" t="inlineStr">
        <is>
          <t>코스닥</t>
        </is>
      </c>
      <c r="D237" s="2" t="inlineStr">
        <is>
          <t>126700</t>
        </is>
      </c>
      <c r="E237" s="3" t="inlineStr">
        <is>
          <t>주주총회소집결의              (정기주주총회)</t>
        </is>
      </c>
      <c r="F237" s="3" t="inlineStr">
        <is>
          <t>하이비젼시스템</t>
        </is>
      </c>
      <c r="G237" s="2" t="inlineStr">
        <is>
          <t>20260202901245</t>
        </is>
      </c>
      <c r="H237" s="8">
        <f>HYPERLINK("https://dart.fss.or.kr/dsaf001/main.do?rcpNo=20260202901245", "공시열람")</f>
        <v/>
      </c>
    </row>
    <row r="238">
      <c r="A238" s="2" t="inlineStr">
        <is>
          <t>2026-02-02</t>
        </is>
      </c>
      <c r="B238" s="3" t="inlineStr">
        <is>
          <t>삼양케이씨아이</t>
        </is>
      </c>
      <c r="C238" s="2" t="inlineStr">
        <is>
          <t>코스닥</t>
        </is>
      </c>
      <c r="D238" s="2" t="inlineStr">
        <is>
          <t>036670</t>
        </is>
      </c>
      <c r="E238" s="3" t="inlineStr">
        <is>
          <t>주주총회소집결의              (정기주주총회)</t>
        </is>
      </c>
      <c r="F238" s="3" t="inlineStr">
        <is>
          <t>삼양케이씨아이</t>
        </is>
      </c>
      <c r="G238" s="2" t="inlineStr">
        <is>
          <t>20260202901362</t>
        </is>
      </c>
      <c r="H238" s="8">
        <f>HYPERLINK("https://dart.fss.or.kr/dsaf001/main.do?rcpNo=20260202901362", "공시열람")</f>
        <v/>
      </c>
    </row>
    <row r="239">
      <c r="A239" s="2" t="inlineStr">
        <is>
          <t>2026-02-02</t>
        </is>
      </c>
      <c r="B239" s="3" t="inlineStr">
        <is>
          <t>지란지교시큐리티</t>
        </is>
      </c>
      <c r="C239" s="2" t="inlineStr">
        <is>
          <t>코스닥</t>
        </is>
      </c>
      <c r="D239" s="2" t="inlineStr">
        <is>
          <t>208350</t>
        </is>
      </c>
      <c r="E239" s="3" t="inlineStr">
        <is>
          <t>주주총회소집결의              (정기주주총회)</t>
        </is>
      </c>
      <c r="F239" s="3" t="inlineStr">
        <is>
          <t>지란지교시큐리티</t>
        </is>
      </c>
      <c r="G239" s="2" t="inlineStr">
        <is>
          <t>20260202900962</t>
        </is>
      </c>
      <c r="H239" s="8">
        <f>HYPERLINK("https://dart.fss.or.kr/dsaf001/main.do?rcpNo=20260202900962", "공시열람")</f>
        <v/>
      </c>
    </row>
    <row r="240">
      <c r="A240" s="2" t="inlineStr">
        <is>
          <t>2026-02-02</t>
        </is>
      </c>
      <c r="B240" s="3" t="inlineStr">
        <is>
          <t>SP삼화</t>
        </is>
      </c>
      <c r="C240" s="2" t="inlineStr">
        <is>
          <t>코스피</t>
        </is>
      </c>
      <c r="D240" s="2" t="inlineStr">
        <is>
          <t>000390</t>
        </is>
      </c>
      <c r="E240" s="3" t="inlineStr">
        <is>
          <t xml:space="preserve">주주총회소집결의              </t>
        </is>
      </c>
      <c r="F240" s="3" t="inlineStr">
        <is>
          <t>SP삼화</t>
        </is>
      </c>
      <c r="G240" s="2" t="inlineStr">
        <is>
          <t>20260202800910</t>
        </is>
      </c>
      <c r="H240" s="8">
        <f>HYPERLINK("https://dart.fss.or.kr/dsaf001/main.do?rcpNo=20260202800910", "공시열람")</f>
        <v/>
      </c>
    </row>
    <row r="241">
      <c r="A241" s="2" t="inlineStr">
        <is>
          <t>2026-02-02</t>
        </is>
      </c>
      <c r="B241" s="3" t="inlineStr">
        <is>
          <t>아이엠</t>
        </is>
      </c>
      <c r="C241" s="2" t="inlineStr">
        <is>
          <t>코스닥</t>
        </is>
      </c>
      <c r="D241" s="2" t="inlineStr">
        <is>
          <t>101390</t>
        </is>
      </c>
      <c r="E241" s="3" t="inlineStr">
        <is>
          <t>[기재정정]주주총회소집결의              (임시주주총회)</t>
        </is>
      </c>
      <c r="F241" s="3" t="inlineStr">
        <is>
          <t>아이엠</t>
        </is>
      </c>
      <c r="G241" s="2" t="inlineStr">
        <is>
          <t>20260202900715</t>
        </is>
      </c>
      <c r="H241" s="8">
        <f>HYPERLINK("https://dart.fss.or.kr/dsaf001/main.do?rcpNo=20260202900715", "공시열람")</f>
        <v/>
      </c>
    </row>
    <row r="242">
      <c r="A242" s="2" t="inlineStr">
        <is>
          <t>2026-02-02</t>
        </is>
      </c>
      <c r="B242" s="3" t="inlineStr">
        <is>
          <t>코람코더원리츠</t>
        </is>
      </c>
      <c r="C242" s="2" t="inlineStr">
        <is>
          <t>코스피</t>
        </is>
      </c>
      <c r="D242" s="2" t="inlineStr">
        <is>
          <t>417310</t>
        </is>
      </c>
      <c r="E242" s="3" t="inlineStr">
        <is>
          <t xml:space="preserve">주주총회소집결의              </t>
        </is>
      </c>
      <c r="F242" s="3" t="inlineStr">
        <is>
          <t>코람코더원리츠</t>
        </is>
      </c>
      <c r="G242" s="2" t="inlineStr">
        <is>
          <t>20260202800324</t>
        </is>
      </c>
      <c r="H242" s="8">
        <f>HYPERLINK("https://dart.fss.or.kr/dsaf001/main.do?rcpNo=20260202800324", "공시열람")</f>
        <v/>
      </c>
    </row>
    <row r="243">
      <c r="A243" s="2" t="inlineStr">
        <is>
          <t>2026-02-03</t>
        </is>
      </c>
      <c r="B243" s="3" t="inlineStr">
        <is>
          <t>대진첨단소재</t>
        </is>
      </c>
      <c r="C243" s="2" t="inlineStr">
        <is>
          <t>코스닥</t>
        </is>
      </c>
      <c r="D243" s="2" t="inlineStr">
        <is>
          <t>393970</t>
        </is>
      </c>
      <c r="E243" s="3" t="inlineStr">
        <is>
          <t>[기재정정]주주총회소집공고</t>
        </is>
      </c>
      <c r="F243" s="3" t="inlineStr">
        <is>
          <t>대진첨단소재</t>
        </is>
      </c>
      <c r="G243" s="2" t="inlineStr">
        <is>
          <t>20260203000447</t>
        </is>
      </c>
      <c r="H243" s="8">
        <f>HYPERLINK("https://dart.fss.or.kr/dsaf001/main.do?rcpNo=20260203000447", "공시열람")</f>
        <v/>
      </c>
    </row>
    <row r="244">
      <c r="A244" s="2" t="inlineStr">
        <is>
          <t>2026-02-04</t>
        </is>
      </c>
      <c r="B244" s="3" t="inlineStr">
        <is>
          <t>CSA 코스믹</t>
        </is>
      </c>
      <c r="C244" s="2" t="inlineStr">
        <is>
          <t>코스닥</t>
        </is>
      </c>
      <c r="D244" s="2" t="inlineStr">
        <is>
          <t>083660</t>
        </is>
      </c>
      <c r="E244" s="3" t="inlineStr">
        <is>
          <t>주주총회소집공고</t>
        </is>
      </c>
      <c r="F244" s="3" t="inlineStr">
        <is>
          <t>CSA 코스믹</t>
        </is>
      </c>
      <c r="G244" s="2" t="inlineStr">
        <is>
          <t>20260204000467</t>
        </is>
      </c>
      <c r="H244" s="8">
        <f>HYPERLINK("https://dart.fss.or.kr/dsaf001/main.do?rcpNo=20260204000467", "공시열람")</f>
        <v/>
      </c>
    </row>
    <row r="245">
      <c r="A245" s="2" t="inlineStr">
        <is>
          <t>2026-02-04</t>
        </is>
      </c>
      <c r="B245" s="3" t="inlineStr">
        <is>
          <t>NH프라임리츠</t>
        </is>
      </c>
      <c r="C245" s="2" t="inlineStr">
        <is>
          <t>코스피</t>
        </is>
      </c>
      <c r="D245" s="2" t="inlineStr">
        <is>
          <t>338100</t>
        </is>
      </c>
      <c r="E245" s="3" t="inlineStr">
        <is>
          <t>주주총회소집공고</t>
        </is>
      </c>
      <c r="F245" s="3" t="inlineStr">
        <is>
          <t>NH프라임리츠</t>
        </is>
      </c>
      <c r="G245" s="2" t="inlineStr">
        <is>
          <t>20260204000415</t>
        </is>
      </c>
      <c r="H245" s="8">
        <f>HYPERLINK("https://dart.fss.or.kr/dsaf001/main.do?rcpNo=20260204000415", "공시열람")</f>
        <v/>
      </c>
    </row>
    <row r="246">
      <c r="A246" s="2" t="inlineStr">
        <is>
          <t>2026-02-04</t>
        </is>
      </c>
      <c r="B246" s="3" t="inlineStr">
        <is>
          <t>삼성FN리츠</t>
        </is>
      </c>
      <c r="C246" s="2" t="inlineStr">
        <is>
          <t>코스피</t>
        </is>
      </c>
      <c r="D246" s="2" t="inlineStr">
        <is>
          <t>448730</t>
        </is>
      </c>
      <c r="E246" s="3" t="inlineStr">
        <is>
          <t>주주총회소집공고</t>
        </is>
      </c>
      <c r="F246" s="3" t="inlineStr">
        <is>
          <t>삼성FN리츠</t>
        </is>
      </c>
      <c r="G246" s="2" t="inlineStr">
        <is>
          <t>20260204000029</t>
        </is>
      </c>
      <c r="H246" s="8">
        <f>HYPERLINK("https://dart.fss.or.kr/dsaf001/main.do?rcpNo=20260204000029", "공시열람")</f>
        <v/>
      </c>
    </row>
    <row r="247">
      <c r="A247" s="2" t="inlineStr">
        <is>
          <t>2026-02-05 (정정: 2026-03-03)</t>
        </is>
      </c>
      <c r="B247" s="3" t="inlineStr">
        <is>
          <t>엑스큐어</t>
        </is>
      </c>
      <c r="C247" s="2" t="inlineStr">
        <is>
          <t>코스닥</t>
        </is>
      </c>
      <c r="D247" s="2" t="inlineStr">
        <is>
          <t>070300</t>
        </is>
      </c>
      <c r="E247" s="3" t="inlineStr">
        <is>
          <t>주주총회소집공고 (정정: 20260303)</t>
        </is>
      </c>
      <c r="F247" s="3" t="inlineStr">
        <is>
          <t>엑스큐어</t>
        </is>
      </c>
      <c r="G247" s="2" t="inlineStr">
        <is>
          <t>20260303901098</t>
        </is>
      </c>
      <c r="H247" s="8">
        <f>HYPERLINK("https://dart.fss.or.kr/dsaf001/main.do?rcpNo=20260303901098", "공시열람")</f>
        <v/>
      </c>
    </row>
    <row r="248">
      <c r="A248" s="2" t="inlineStr">
        <is>
          <t>2026-02-05</t>
        </is>
      </c>
      <c r="B248" s="3" t="inlineStr">
        <is>
          <t>로지스몬</t>
        </is>
      </c>
      <c r="C248" s="2" t="inlineStr">
        <is>
          <t>코넥스</t>
        </is>
      </c>
      <c r="D248" s="2" t="inlineStr">
        <is>
          <t>223220</t>
        </is>
      </c>
      <c r="E248" s="3" t="inlineStr">
        <is>
          <t>[기재정정]주주총회소집공고</t>
        </is>
      </c>
      <c r="F248" s="3" t="inlineStr">
        <is>
          <t>로지스몬</t>
        </is>
      </c>
      <c r="G248" s="2" t="inlineStr">
        <is>
          <t>20260205000465</t>
        </is>
      </c>
      <c r="H248" s="8">
        <f>HYPERLINK("https://dart.fss.or.kr/dsaf001/main.do?rcpNo=20260205000465", "공시열람")</f>
        <v/>
      </c>
    </row>
    <row r="249">
      <c r="A249" s="2" t="inlineStr">
        <is>
          <t>2026-02-05</t>
        </is>
      </c>
      <c r="B249" s="3" t="inlineStr">
        <is>
          <t>로지스몬</t>
        </is>
      </c>
      <c r="C249" s="2" t="inlineStr">
        <is>
          <t>코넥스</t>
        </is>
      </c>
      <c r="D249" s="2" t="inlineStr">
        <is>
          <t>223220</t>
        </is>
      </c>
      <c r="E249" s="3" t="inlineStr">
        <is>
          <t>주주총회소집공고</t>
        </is>
      </c>
      <c r="F249" s="3" t="inlineStr">
        <is>
          <t>로지스몬</t>
        </is>
      </c>
      <c r="G249" s="2" t="inlineStr">
        <is>
          <t>20260205000448</t>
        </is>
      </c>
      <c r="H249" s="8">
        <f>HYPERLINK("https://dart.fss.or.kr/dsaf001/main.do?rcpNo=20260205000448", "공시열람")</f>
        <v/>
      </c>
    </row>
    <row r="250">
      <c r="A250" s="2" t="inlineStr">
        <is>
          <t>2026-02-05</t>
        </is>
      </c>
      <c r="B250" s="3" t="inlineStr">
        <is>
          <t>플루토스</t>
        </is>
      </c>
      <c r="C250" s="2" t="inlineStr">
        <is>
          <t>코스닥</t>
        </is>
      </c>
      <c r="D250" s="2" t="inlineStr">
        <is>
          <t>019570</t>
        </is>
      </c>
      <c r="E250" s="3" t="inlineStr">
        <is>
          <t>주주총회소집공고</t>
        </is>
      </c>
      <c r="F250" s="3" t="inlineStr">
        <is>
          <t>플루토스</t>
        </is>
      </c>
      <c r="G250" s="2" t="inlineStr">
        <is>
          <t>20260205000403</t>
        </is>
      </c>
      <c r="H250" s="8">
        <f>HYPERLINK("https://dart.fss.or.kr/dsaf001/main.do?rcpNo=20260205000403", "공시열람")</f>
        <v/>
      </c>
    </row>
    <row r="251">
      <c r="A251" s="2" t="inlineStr">
        <is>
          <t>2026-02-06</t>
        </is>
      </c>
      <c r="B251" s="3" t="inlineStr">
        <is>
          <t>에스원</t>
        </is>
      </c>
      <c r="C251" s="2" t="inlineStr">
        <is>
          <t>코스피</t>
        </is>
      </c>
      <c r="D251" s="2" t="inlineStr">
        <is>
          <t>012750</t>
        </is>
      </c>
      <c r="E251" s="3" t="inlineStr">
        <is>
          <t>주주총회소집공고</t>
        </is>
      </c>
      <c r="F251" s="3" t="inlineStr">
        <is>
          <t>에스원</t>
        </is>
      </c>
      <c r="G251" s="2" t="inlineStr">
        <is>
          <t>20260206002084</t>
        </is>
      </c>
      <c r="H251" s="8">
        <f>HYPERLINK("https://dart.fss.or.kr/dsaf001/main.do?rcpNo=20260206002084", "공시열람")</f>
        <v/>
      </c>
    </row>
    <row r="252">
      <c r="A252" s="2" t="inlineStr">
        <is>
          <t>2026-02-06</t>
        </is>
      </c>
      <c r="B252" s="3" t="inlineStr">
        <is>
          <t>인크레더블버즈</t>
        </is>
      </c>
      <c r="C252" s="2" t="inlineStr">
        <is>
          <t>코스닥</t>
        </is>
      </c>
      <c r="D252" s="2" t="inlineStr">
        <is>
          <t>064090</t>
        </is>
      </c>
      <c r="E252" s="3" t="inlineStr">
        <is>
          <t>주주총회소집공고</t>
        </is>
      </c>
      <c r="F252" s="3" t="inlineStr">
        <is>
          <t>인크레더블버즈</t>
        </is>
      </c>
      <c r="G252" s="2" t="inlineStr">
        <is>
          <t>20260206002059</t>
        </is>
      </c>
      <c r="H252" s="8">
        <f>HYPERLINK("https://dart.fss.or.kr/dsaf001/main.do?rcpNo=20260206002059", "공시열람")</f>
        <v/>
      </c>
    </row>
    <row r="253">
      <c r="A253" s="2" t="inlineStr">
        <is>
          <t>2026-02-06</t>
        </is>
      </c>
      <c r="B253" s="3" t="inlineStr">
        <is>
          <t>DKME</t>
        </is>
      </c>
      <c r="C253" s="2" t="inlineStr">
        <is>
          <t>코스피</t>
        </is>
      </c>
      <c r="D253" s="2" t="inlineStr">
        <is>
          <t>015590</t>
        </is>
      </c>
      <c r="E253" s="3" t="inlineStr">
        <is>
          <t>주주총회소집공고</t>
        </is>
      </c>
      <c r="F253" s="3" t="inlineStr">
        <is>
          <t>DKME</t>
        </is>
      </c>
      <c r="G253" s="2" t="inlineStr">
        <is>
          <t>20260206002030</t>
        </is>
      </c>
      <c r="H253" s="8">
        <f>HYPERLINK("https://dart.fss.or.kr/dsaf001/main.do?rcpNo=20260206002030", "공시열람")</f>
        <v/>
      </c>
    </row>
    <row r="254">
      <c r="A254" s="2" t="inlineStr">
        <is>
          <t>2026-02-06 (정정: 2026-02-06)</t>
        </is>
      </c>
      <c r="B254" s="3" t="inlineStr">
        <is>
          <t>오성첨단소재</t>
        </is>
      </c>
      <c r="C254" s="2" t="inlineStr">
        <is>
          <t>코스닥</t>
        </is>
      </c>
      <c r="D254" s="2" t="inlineStr">
        <is>
          <t>052420</t>
        </is>
      </c>
      <c r="E254" s="3" t="inlineStr">
        <is>
          <t>[기재정정]주주총회소집공고</t>
        </is>
      </c>
      <c r="F254" s="3" t="inlineStr">
        <is>
          <t>오성첨단소재</t>
        </is>
      </c>
      <c r="G254" s="2" t="inlineStr">
        <is>
          <t>20260206001585</t>
        </is>
      </c>
      <c r="H254" s="8">
        <f>HYPERLINK("https://dart.fss.or.kr/dsaf001/main.do?rcpNo=20260206001585", "공시열람")</f>
        <v/>
      </c>
    </row>
    <row r="255">
      <c r="A255" s="2" t="inlineStr">
        <is>
          <t>2026-02-06</t>
        </is>
      </c>
      <c r="B255" s="3" t="inlineStr">
        <is>
          <t>오성첨단소재</t>
        </is>
      </c>
      <c r="C255" s="2" t="inlineStr">
        <is>
          <t>코스닥</t>
        </is>
      </c>
      <c r="D255" s="2" t="inlineStr">
        <is>
          <t>052420</t>
        </is>
      </c>
      <c r="E255" s="3" t="inlineStr">
        <is>
          <t>주주총회소집공고</t>
        </is>
      </c>
      <c r="F255" s="3" t="inlineStr">
        <is>
          <t>오성첨단소재</t>
        </is>
      </c>
      <c r="G255" s="2" t="inlineStr">
        <is>
          <t>20260206001377</t>
        </is>
      </c>
      <c r="H255" s="8">
        <f>HYPERLINK("https://dart.fss.or.kr/dsaf001/main.do?rcpNo=20260206001377", "공시열람")</f>
        <v/>
      </c>
    </row>
    <row r="256">
      <c r="A256" s="2" t="inlineStr">
        <is>
          <t>2026-02-09 (정정: 2026-02-10)</t>
        </is>
      </c>
      <c r="B256" s="3" t="inlineStr">
        <is>
          <t>이니텍</t>
        </is>
      </c>
      <c r="C256" s="2" t="inlineStr">
        <is>
          <t>코스닥</t>
        </is>
      </c>
      <c r="D256" s="2" t="inlineStr">
        <is>
          <t>053350</t>
        </is>
      </c>
      <c r="E256" s="3" t="inlineStr">
        <is>
          <t>주주총회소집공고 (정정: 20260210)</t>
        </is>
      </c>
      <c r="F256" s="3" t="inlineStr">
        <is>
          <t>이니텍</t>
        </is>
      </c>
      <c r="G256" s="2" t="inlineStr">
        <is>
          <t>20260209000735</t>
        </is>
      </c>
      <c r="H256" s="8">
        <f>HYPERLINK("https://dart.fss.or.kr/dsaf001/main.do?rcpNo=20260209000735", "공시열람")</f>
        <v/>
      </c>
    </row>
    <row r="257">
      <c r="A257" s="2" t="inlineStr">
        <is>
          <t>2026-02-09</t>
        </is>
      </c>
      <c r="B257" s="3" t="inlineStr">
        <is>
          <t>엑시온그룹</t>
        </is>
      </c>
      <c r="C257" s="2" t="inlineStr">
        <is>
          <t>코스닥</t>
        </is>
      </c>
      <c r="D257" s="2" t="inlineStr">
        <is>
          <t>069920</t>
        </is>
      </c>
      <c r="E257" s="3" t="inlineStr">
        <is>
          <t>주주총회소집공고</t>
        </is>
      </c>
      <c r="F257" s="3" t="inlineStr">
        <is>
          <t>엑시온그룹</t>
        </is>
      </c>
      <c r="G257" s="2" t="inlineStr">
        <is>
          <t>20260209000579</t>
        </is>
      </c>
      <c r="H257" s="8">
        <f>HYPERLINK("https://dart.fss.or.kr/dsaf001/main.do?rcpNo=20260209000579", "공시열람")</f>
        <v/>
      </c>
    </row>
    <row r="258">
      <c r="A258" s="2" t="inlineStr">
        <is>
          <t>2026-02-09</t>
        </is>
      </c>
      <c r="B258" s="3" t="inlineStr">
        <is>
          <t>현대약품</t>
        </is>
      </c>
      <c r="C258" s="2" t="inlineStr">
        <is>
          <t>코스피</t>
        </is>
      </c>
      <c r="D258" s="2" t="inlineStr">
        <is>
          <t>004310</t>
        </is>
      </c>
      <c r="E258" s="3" t="inlineStr">
        <is>
          <t>주주총회소집공고</t>
        </is>
      </c>
      <c r="F258" s="3" t="inlineStr">
        <is>
          <t>현대약품</t>
        </is>
      </c>
      <c r="G258" s="2" t="inlineStr">
        <is>
          <t>20260209000449</t>
        </is>
      </c>
      <c r="H258" s="8">
        <f>HYPERLINK("https://dart.fss.or.kr/dsaf001/main.do?rcpNo=20260209000449", "공시열람")</f>
        <v/>
      </c>
    </row>
    <row r="259">
      <c r="A259" s="2" t="inlineStr">
        <is>
          <t>2026-02-09</t>
        </is>
      </c>
      <c r="B259" s="3" t="inlineStr">
        <is>
          <t>신한글로벌액티브리츠</t>
        </is>
      </c>
      <c r="C259" s="2" t="inlineStr">
        <is>
          <t>코스피</t>
        </is>
      </c>
      <c r="D259" s="2" t="inlineStr">
        <is>
          <t>481850</t>
        </is>
      </c>
      <c r="E259" s="3" t="inlineStr">
        <is>
          <t>주주총회소집공고</t>
        </is>
      </c>
      <c r="F259" s="3" t="inlineStr">
        <is>
          <t>신한글로벌액티브리츠</t>
        </is>
      </c>
      <c r="G259" s="2" t="inlineStr">
        <is>
          <t>20260209000444</t>
        </is>
      </c>
      <c r="H259" s="8">
        <f>HYPERLINK("https://dart.fss.or.kr/dsaf001/main.do?rcpNo=20260209000444", "공시열람")</f>
        <v/>
      </c>
    </row>
    <row r="260">
      <c r="A260" s="2" t="inlineStr">
        <is>
          <t>2026-02-09</t>
        </is>
      </c>
      <c r="B260" s="3" t="inlineStr">
        <is>
          <t>코람코더원리츠</t>
        </is>
      </c>
      <c r="C260" s="2" t="inlineStr">
        <is>
          <t>코스피</t>
        </is>
      </c>
      <c r="D260" s="2" t="inlineStr">
        <is>
          <t>417310</t>
        </is>
      </c>
      <c r="E260" s="3" t="inlineStr">
        <is>
          <t>주주총회소집공고</t>
        </is>
      </c>
      <c r="F260" s="3" t="inlineStr">
        <is>
          <t>코람코더원리츠</t>
        </is>
      </c>
      <c r="G260" s="2" t="inlineStr">
        <is>
          <t>20260209000274</t>
        </is>
      </c>
      <c r="H260" s="8">
        <f>HYPERLINK("https://dart.fss.or.kr/dsaf001/main.do?rcpNo=20260209000274", "공시열람")</f>
        <v/>
      </c>
    </row>
    <row r="261">
      <c r="A261" s="2" t="inlineStr">
        <is>
          <t>2026-02-09</t>
        </is>
      </c>
      <c r="B261" s="3" t="inlineStr">
        <is>
          <t>미래에셋맵스리츠</t>
        </is>
      </c>
      <c r="C261" s="2" t="inlineStr">
        <is>
          <t>코스피</t>
        </is>
      </c>
      <c r="D261" s="2" t="inlineStr">
        <is>
          <t>357250</t>
        </is>
      </c>
      <c r="E261" s="3" t="inlineStr">
        <is>
          <t>주주총회소집공고</t>
        </is>
      </c>
      <c r="F261" s="3" t="inlineStr">
        <is>
          <t>미래에셋맵스리츠</t>
        </is>
      </c>
      <c r="G261" s="2" t="inlineStr">
        <is>
          <t>20260209000063</t>
        </is>
      </c>
      <c r="H261" s="8">
        <f>HYPERLINK("https://dart.fss.or.kr/dsaf001/main.do?rcpNo=20260209000063", "공시열람")</f>
        <v/>
      </c>
    </row>
    <row r="262">
      <c r="A262" s="2" t="inlineStr">
        <is>
          <t>2026-02-09</t>
        </is>
      </c>
      <c r="B262" s="3" t="inlineStr">
        <is>
          <t>DH오토웨어</t>
        </is>
      </c>
      <c r="C262" s="2" t="inlineStr">
        <is>
          <t>코스닥</t>
        </is>
      </c>
      <c r="D262" s="2" t="inlineStr">
        <is>
          <t>025440</t>
        </is>
      </c>
      <c r="E262" s="3" t="inlineStr">
        <is>
          <t>주주총회소집공고</t>
        </is>
      </c>
      <c r="F262" s="3" t="inlineStr">
        <is>
          <t>DH오토웨어</t>
        </is>
      </c>
      <c r="G262" s="2" t="inlineStr">
        <is>
          <t>20260209000014</t>
        </is>
      </c>
      <c r="H262" s="8">
        <f>HYPERLINK("https://dart.fss.or.kr/dsaf001/main.do?rcpNo=20260209000014", "공시열람")</f>
        <v/>
      </c>
    </row>
    <row r="263">
      <c r="A263" s="2" t="inlineStr">
        <is>
          <t>2026-02-10 (정정: 2026-02-27)</t>
        </is>
      </c>
      <c r="B263" s="3" t="inlineStr">
        <is>
          <t>현대모비스</t>
        </is>
      </c>
      <c r="C263" s="2" t="inlineStr">
        <is>
          <t>코스피</t>
        </is>
      </c>
      <c r="D263" s="2" t="inlineStr">
        <is>
          <t>012330</t>
        </is>
      </c>
      <c r="E263" s="3" t="inlineStr">
        <is>
          <t>주주총회소집공고 (정정: 20260227)</t>
        </is>
      </c>
      <c r="F263" s="3" t="inlineStr">
        <is>
          <t>현대모비스</t>
        </is>
      </c>
      <c r="G263" s="2" t="inlineStr">
        <is>
          <t>20260227008215</t>
        </is>
      </c>
      <c r="H263" s="8">
        <f>HYPERLINK("https://dart.fss.or.kr/dsaf001/main.do?rcpNo=20260227008215", "공시열람")</f>
        <v/>
      </c>
    </row>
    <row r="264">
      <c r="A264" s="2" t="inlineStr">
        <is>
          <t>2026-02-10</t>
        </is>
      </c>
      <c r="B264" s="3" t="inlineStr">
        <is>
          <t>코람코라이프인프라리츠</t>
        </is>
      </c>
      <c r="C264" s="2" t="inlineStr">
        <is>
          <t>코스피</t>
        </is>
      </c>
      <c r="D264" s="2" t="inlineStr">
        <is>
          <t>357120</t>
        </is>
      </c>
      <c r="E264" s="3" t="inlineStr">
        <is>
          <t>주주총회소집공고</t>
        </is>
      </c>
      <c r="F264" s="3" t="inlineStr">
        <is>
          <t>코람코라이프인프라리츠</t>
        </is>
      </c>
      <c r="G264" s="2" t="inlineStr">
        <is>
          <t>20260210000466</t>
        </is>
      </c>
      <c r="H264" s="8">
        <f>HYPERLINK("https://dart.fss.or.kr/dsaf001/main.do?rcpNo=20260210000466", "공시열람")</f>
        <v/>
      </c>
    </row>
    <row r="265">
      <c r="A265" s="2" t="inlineStr">
        <is>
          <t>2026-02-11</t>
        </is>
      </c>
      <c r="B265" s="3" t="inlineStr">
        <is>
          <t>케이이엠텍</t>
        </is>
      </c>
      <c r="C265" s="2" t="inlineStr">
        <is>
          <t>코스닥</t>
        </is>
      </c>
      <c r="D265" s="2" t="inlineStr">
        <is>
          <t>106080</t>
        </is>
      </c>
      <c r="E265" s="3" t="inlineStr">
        <is>
          <t>주주총회소집공고</t>
        </is>
      </c>
      <c r="F265" s="3" t="inlineStr">
        <is>
          <t>케이이엠텍</t>
        </is>
      </c>
      <c r="G265" s="2" t="inlineStr">
        <is>
          <t>20260211000877</t>
        </is>
      </c>
      <c r="H265" s="8">
        <f>HYPERLINK("https://dart.fss.or.kr/dsaf001/main.do?rcpNo=20260211000877", "공시열람")</f>
        <v/>
      </c>
    </row>
    <row r="266">
      <c r="A266" s="2" t="inlineStr">
        <is>
          <t>2026-02-11</t>
        </is>
      </c>
      <c r="B266" s="3" t="inlineStr">
        <is>
          <t>ESR켄달스퀘어리츠</t>
        </is>
      </c>
      <c r="C266" s="2" t="inlineStr">
        <is>
          <t>코스피</t>
        </is>
      </c>
      <c r="D266" s="2" t="inlineStr">
        <is>
          <t>365550</t>
        </is>
      </c>
      <c r="E266" s="3" t="inlineStr">
        <is>
          <t>주주총회소집공고</t>
        </is>
      </c>
      <c r="F266" s="3" t="inlineStr">
        <is>
          <t>ESR켄달스퀘어리츠</t>
        </is>
      </c>
      <c r="G266" s="2" t="inlineStr">
        <is>
          <t>20260211000875</t>
        </is>
      </c>
      <c r="H266" s="8">
        <f>HYPERLINK("https://dart.fss.or.kr/dsaf001/main.do?rcpNo=20260211000875", "공시열람")</f>
        <v/>
      </c>
    </row>
    <row r="267">
      <c r="A267" s="2" t="inlineStr">
        <is>
          <t>2026-02-11</t>
        </is>
      </c>
      <c r="B267" s="3" t="inlineStr">
        <is>
          <t>비투엔</t>
        </is>
      </c>
      <c r="C267" s="2" t="inlineStr">
        <is>
          <t>코스닥</t>
        </is>
      </c>
      <c r="D267" s="2" t="inlineStr">
        <is>
          <t>307870</t>
        </is>
      </c>
      <c r="E267" s="3" t="inlineStr">
        <is>
          <t>주주총회소집공고</t>
        </is>
      </c>
      <c r="F267" s="3" t="inlineStr">
        <is>
          <t>비투엔</t>
        </is>
      </c>
      <c r="G267" s="2" t="inlineStr">
        <is>
          <t>20260211000862</t>
        </is>
      </c>
      <c r="H267" s="8">
        <f>HYPERLINK("https://dart.fss.or.kr/dsaf001/main.do?rcpNo=20260211000862", "공시열람")</f>
        <v/>
      </c>
    </row>
    <row r="268">
      <c r="A268" s="2" t="inlineStr">
        <is>
          <t>2026-02-11 (정정: 2026-02-25)</t>
        </is>
      </c>
      <c r="B268" s="3" t="inlineStr">
        <is>
          <t>삼성바이오로직스</t>
        </is>
      </c>
      <c r="C268" s="2" t="inlineStr">
        <is>
          <t>코스피</t>
        </is>
      </c>
      <c r="D268" s="2" t="inlineStr">
        <is>
          <t>207940</t>
        </is>
      </c>
      <c r="E268" s="3" t="inlineStr">
        <is>
          <t>주주총회소집공고 (정정: 20260212) (정정: 20260225)</t>
        </is>
      </c>
      <c r="F268" s="3" t="inlineStr">
        <is>
          <t>삼성바이오로직스</t>
        </is>
      </c>
      <c r="G268" s="2" t="inlineStr">
        <is>
          <t>20260225005121</t>
        </is>
      </c>
      <c r="H268" s="8">
        <f>HYPERLINK("https://dart.fss.or.kr/dsaf001/main.do?rcpNo=20260225005121", "공시열람")</f>
        <v/>
      </c>
    </row>
    <row r="269">
      <c r="A269" s="2" t="inlineStr">
        <is>
          <t>2026-02-11</t>
        </is>
      </c>
      <c r="B269" s="3" t="inlineStr">
        <is>
          <t>대아티아이</t>
        </is>
      </c>
      <c r="C269" s="2" t="inlineStr">
        <is>
          <t>코스닥</t>
        </is>
      </c>
      <c r="D269" s="2" t="inlineStr">
        <is>
          <t>045390</t>
        </is>
      </c>
      <c r="E269" s="3" t="inlineStr">
        <is>
          <t>주주총회소집공고</t>
        </is>
      </c>
      <c r="F269" s="3" t="inlineStr">
        <is>
          <t>대아티아이</t>
        </is>
      </c>
      <c r="G269" s="2" t="inlineStr">
        <is>
          <t>20260211000669</t>
        </is>
      </c>
      <c r="H269" s="8">
        <f>HYPERLINK("https://dart.fss.or.kr/dsaf001/main.do?rcpNo=20260211000669", "공시열람")</f>
        <v/>
      </c>
    </row>
    <row r="270">
      <c r="A270" s="2" t="inlineStr">
        <is>
          <t>2026-02-11</t>
        </is>
      </c>
      <c r="B270" s="3" t="inlineStr">
        <is>
          <t>지니틱스</t>
        </is>
      </c>
      <c r="C270" s="2" t="inlineStr">
        <is>
          <t>코스닥</t>
        </is>
      </c>
      <c r="D270" s="2" t="inlineStr">
        <is>
          <t>303030</t>
        </is>
      </c>
      <c r="E270" s="3" t="inlineStr">
        <is>
          <t>주주총회소집공고</t>
        </is>
      </c>
      <c r="F270" s="3" t="inlineStr">
        <is>
          <t>지니틱스</t>
        </is>
      </c>
      <c r="G270" s="2" t="inlineStr">
        <is>
          <t>20260211000616</t>
        </is>
      </c>
      <c r="H270" s="8">
        <f>HYPERLINK("https://dart.fss.or.kr/dsaf001/main.do?rcpNo=20260211000616", "공시열람")</f>
        <v/>
      </c>
    </row>
    <row r="271">
      <c r="A271" s="2" t="inlineStr">
        <is>
          <t>2026-02-12</t>
        </is>
      </c>
      <c r="B271" s="3" t="inlineStr">
        <is>
          <t>삼성전기</t>
        </is>
      </c>
      <c r="C271" s="2" t="inlineStr">
        <is>
          <t>코스피</t>
        </is>
      </c>
      <c r="D271" s="2" t="inlineStr">
        <is>
          <t>009150</t>
        </is>
      </c>
      <c r="E271" s="3" t="inlineStr">
        <is>
          <t>주주총회소집공고</t>
        </is>
      </c>
      <c r="F271" s="3" t="inlineStr">
        <is>
          <t>삼성전기</t>
        </is>
      </c>
      <c r="G271" s="2" t="inlineStr">
        <is>
          <t>20260212001719</t>
        </is>
      </c>
      <c r="H271" s="8">
        <f>HYPERLINK("https://dart.fss.or.kr/dsaf001/main.do?rcpNo=20260212001719", "공시열람")</f>
        <v/>
      </c>
    </row>
    <row r="272">
      <c r="A272" s="2" t="inlineStr">
        <is>
          <t>2026-02-12 (정정: 2026-02-12)</t>
        </is>
      </c>
      <c r="B272" s="3" t="inlineStr">
        <is>
          <t>비덴트</t>
        </is>
      </c>
      <c r="C272" s="2" t="inlineStr">
        <is>
          <t>코스닥</t>
        </is>
      </c>
      <c r="D272" s="2" t="inlineStr">
        <is>
          <t>121800</t>
        </is>
      </c>
      <c r="E272" s="3" t="inlineStr">
        <is>
          <t>[기재정정]주주총회소집공고</t>
        </is>
      </c>
      <c r="F272" s="3" t="inlineStr">
        <is>
          <t>비덴트</t>
        </is>
      </c>
      <c r="G272" s="2" t="inlineStr">
        <is>
          <t>20260212001562</t>
        </is>
      </c>
      <c r="H272" s="8">
        <f>HYPERLINK("https://dart.fss.or.kr/dsaf001/main.do?rcpNo=20260212001562", "공시열람")</f>
        <v/>
      </c>
    </row>
    <row r="273">
      <c r="A273" s="2" t="inlineStr">
        <is>
          <t>2026-02-12</t>
        </is>
      </c>
      <c r="B273" s="3" t="inlineStr">
        <is>
          <t>제이에스티나</t>
        </is>
      </c>
      <c r="C273" s="2" t="inlineStr">
        <is>
          <t>코스닥</t>
        </is>
      </c>
      <c r="D273" s="2" t="inlineStr">
        <is>
          <t>026040</t>
        </is>
      </c>
      <c r="E273" s="3" t="inlineStr">
        <is>
          <t>주주총회소집공고</t>
        </is>
      </c>
      <c r="F273" s="3" t="inlineStr">
        <is>
          <t>제이에스티나</t>
        </is>
      </c>
      <c r="G273" s="2" t="inlineStr">
        <is>
          <t>20260212001374</t>
        </is>
      </c>
      <c r="H273" s="8">
        <f>HYPERLINK("https://dart.fss.or.kr/dsaf001/main.do?rcpNo=20260212001374", "공시열람")</f>
        <v/>
      </c>
    </row>
    <row r="274">
      <c r="A274" s="2" t="inlineStr">
        <is>
          <t>2026-02-12 (정정: 2026-03-03)</t>
        </is>
      </c>
      <c r="B274" s="3" t="inlineStr">
        <is>
          <t>기아</t>
        </is>
      </c>
      <c r="C274" s="2" t="inlineStr">
        <is>
          <t>코스피</t>
        </is>
      </c>
      <c r="D274" s="2" t="inlineStr">
        <is>
          <t>000270</t>
        </is>
      </c>
      <c r="E274" s="3" t="inlineStr">
        <is>
          <t>주주총회소집공고 (정정: 20260303) (정정: 20260303)</t>
        </is>
      </c>
      <c r="F274" s="3" t="inlineStr">
        <is>
          <t>기아</t>
        </is>
      </c>
      <c r="G274" s="2" t="inlineStr">
        <is>
          <t>20260303801049</t>
        </is>
      </c>
      <c r="H274" s="8">
        <f>HYPERLINK("https://dart.fss.or.kr/dsaf001/main.do?rcpNo=20260303801049", "공시열람")</f>
        <v/>
      </c>
    </row>
    <row r="275">
      <c r="A275" s="2" t="inlineStr">
        <is>
          <t>2026-02-12</t>
        </is>
      </c>
      <c r="B275" s="3" t="inlineStr">
        <is>
          <t>한울앤제주</t>
        </is>
      </c>
      <c r="C275" s="2" t="inlineStr">
        <is>
          <t>코스닥</t>
        </is>
      </c>
      <c r="D275" s="2" t="inlineStr">
        <is>
          <t>276730</t>
        </is>
      </c>
      <c r="E275" s="3" t="inlineStr">
        <is>
          <t>주주총회소집공고</t>
        </is>
      </c>
      <c r="F275" s="3" t="inlineStr">
        <is>
          <t>한울앤제주</t>
        </is>
      </c>
      <c r="G275" s="2" t="inlineStr">
        <is>
          <t>20260212001204</t>
        </is>
      </c>
      <c r="H275" s="8">
        <f>HYPERLINK("https://dart.fss.or.kr/dsaf001/main.do?rcpNo=20260212001204", "공시열람")</f>
        <v/>
      </c>
    </row>
    <row r="276">
      <c r="A276" s="2" t="inlineStr">
        <is>
          <t>2026-02-12</t>
        </is>
      </c>
      <c r="B276" s="3" t="inlineStr">
        <is>
          <t>글로벌텍스프리</t>
        </is>
      </c>
      <c r="C276" s="2" t="inlineStr">
        <is>
          <t>코스닥</t>
        </is>
      </c>
      <c r="D276" s="2" t="inlineStr">
        <is>
          <t>204620</t>
        </is>
      </c>
      <c r="E276" s="3" t="inlineStr">
        <is>
          <t>주주총회소집공고</t>
        </is>
      </c>
      <c r="F276" s="3" t="inlineStr">
        <is>
          <t>글로벌텍스프리</t>
        </is>
      </c>
      <c r="G276" s="2" t="inlineStr">
        <is>
          <t>20260212001179</t>
        </is>
      </c>
      <c r="H276" s="8">
        <f>HYPERLINK("https://dart.fss.or.kr/dsaf001/main.do?rcpNo=20260212001179", "공시열람")</f>
        <v/>
      </c>
    </row>
    <row r="277">
      <c r="A277" s="2" t="inlineStr">
        <is>
          <t>2026-02-12</t>
        </is>
      </c>
      <c r="B277" s="3" t="inlineStr">
        <is>
          <t>비덴트</t>
        </is>
      </c>
      <c r="C277" s="2" t="inlineStr">
        <is>
          <t>코스닥</t>
        </is>
      </c>
      <c r="D277" s="2" t="inlineStr">
        <is>
          <t>121800</t>
        </is>
      </c>
      <c r="E277" s="3" t="inlineStr">
        <is>
          <t>주주총회소집공고</t>
        </is>
      </c>
      <c r="F277" s="3" t="inlineStr">
        <is>
          <t>비덴트</t>
        </is>
      </c>
      <c r="G277" s="2" t="inlineStr">
        <is>
          <t>20260212001177</t>
        </is>
      </c>
      <c r="H277" s="8">
        <f>HYPERLINK("https://dart.fss.or.kr/dsaf001/main.do?rcpNo=20260212001177", "공시열람")</f>
        <v/>
      </c>
    </row>
    <row r="278">
      <c r="A278" s="2" t="inlineStr">
        <is>
          <t>2026-02-12</t>
        </is>
      </c>
      <c r="B278" s="3" t="inlineStr">
        <is>
          <t>한국단자공업</t>
        </is>
      </c>
      <c r="C278" s="2" t="inlineStr">
        <is>
          <t>코스피</t>
        </is>
      </c>
      <c r="D278" s="2" t="inlineStr">
        <is>
          <t>025540</t>
        </is>
      </c>
      <c r="E278" s="3" t="inlineStr">
        <is>
          <t>주주총회소집공고</t>
        </is>
      </c>
      <c r="F278" s="3" t="inlineStr">
        <is>
          <t>한국단자공업</t>
        </is>
      </c>
      <c r="G278" s="2" t="inlineStr">
        <is>
          <t>20260212001098</t>
        </is>
      </c>
      <c r="H278" s="8">
        <f>HYPERLINK("https://dart.fss.or.kr/dsaf001/main.do?rcpNo=20260212001098", "공시열람")</f>
        <v/>
      </c>
    </row>
    <row r="279">
      <c r="A279" s="2" t="inlineStr">
        <is>
          <t>2026-02-12 (정정: 2026-02-26)</t>
        </is>
      </c>
      <c r="B279" s="3" t="inlineStr">
        <is>
          <t>삼성E&amp;A</t>
        </is>
      </c>
      <c r="C279" s="2" t="inlineStr">
        <is>
          <t>코스피</t>
        </is>
      </c>
      <c r="D279" s="2" t="inlineStr">
        <is>
          <t>028050</t>
        </is>
      </c>
      <c r="E279" s="3" t="inlineStr">
        <is>
          <t>주주총회소집공고 (정정: 20260226)</t>
        </is>
      </c>
      <c r="F279" s="3" t="inlineStr">
        <is>
          <t>삼성E&amp;A</t>
        </is>
      </c>
      <c r="G279" s="2" t="inlineStr">
        <is>
          <t>20260226005758</t>
        </is>
      </c>
      <c r="H279" s="8">
        <f>HYPERLINK("https://dart.fss.or.kr/dsaf001/main.do?rcpNo=20260226005758", "공시열람")</f>
        <v/>
      </c>
    </row>
    <row r="280">
      <c r="A280" s="2" t="inlineStr">
        <is>
          <t>2026-02-12</t>
        </is>
      </c>
      <c r="B280" s="3" t="inlineStr">
        <is>
          <t>버킷스튜디오</t>
        </is>
      </c>
      <c r="C280" s="2" t="inlineStr">
        <is>
          <t>코스닥</t>
        </is>
      </c>
      <c r="D280" s="2" t="inlineStr">
        <is>
          <t>066410</t>
        </is>
      </c>
      <c r="E280" s="3" t="inlineStr">
        <is>
          <t>주주총회소집공고</t>
        </is>
      </c>
      <c r="F280" s="3" t="inlineStr">
        <is>
          <t>버킷스튜디오</t>
        </is>
      </c>
      <c r="G280" s="2" t="inlineStr">
        <is>
          <t>20260212001063</t>
        </is>
      </c>
      <c r="H280" s="8">
        <f>HYPERLINK("https://dart.fss.or.kr/dsaf001/main.do?rcpNo=20260212001063", "공시열람")</f>
        <v/>
      </c>
    </row>
    <row r="281">
      <c r="A281" s="2" t="inlineStr">
        <is>
          <t>2026-02-12</t>
        </is>
      </c>
      <c r="B281" s="3" t="inlineStr">
        <is>
          <t>인바이오젠</t>
        </is>
      </c>
      <c r="C281" s="2" t="inlineStr">
        <is>
          <t>코스피</t>
        </is>
      </c>
      <c r="D281" s="2" t="inlineStr">
        <is>
          <t>101140</t>
        </is>
      </c>
      <c r="E281" s="3" t="inlineStr">
        <is>
          <t>주주총회소집공고</t>
        </is>
      </c>
      <c r="F281" s="3" t="inlineStr">
        <is>
          <t>인바이오젠</t>
        </is>
      </c>
      <c r="G281" s="2" t="inlineStr">
        <is>
          <t>20260212000958</t>
        </is>
      </c>
      <c r="H281" s="8">
        <f>HYPERLINK("https://dart.fss.or.kr/dsaf001/main.do?rcpNo=20260212000958", "공시열람")</f>
        <v/>
      </c>
    </row>
    <row r="282">
      <c r="A282" s="2" t="inlineStr">
        <is>
          <t>2026-02-12</t>
        </is>
      </c>
      <c r="B282" s="3" t="inlineStr">
        <is>
          <t>한솔아이원스</t>
        </is>
      </c>
      <c r="C282" s="2" t="inlineStr">
        <is>
          <t>코스닥</t>
        </is>
      </c>
      <c r="D282" s="2" t="inlineStr">
        <is>
          <t>114810</t>
        </is>
      </c>
      <c r="E282" s="3" t="inlineStr">
        <is>
          <t>주주총회소집공고</t>
        </is>
      </c>
      <c r="F282" s="3" t="inlineStr">
        <is>
          <t>한솔아이원스</t>
        </is>
      </c>
      <c r="G282" s="2" t="inlineStr">
        <is>
          <t>20260212000925</t>
        </is>
      </c>
      <c r="H282" s="8">
        <f>HYPERLINK("https://dart.fss.or.kr/dsaf001/main.do?rcpNo=20260212000925", "공시열람")</f>
        <v/>
      </c>
    </row>
    <row r="283">
      <c r="A283" s="2" t="inlineStr">
        <is>
          <t>2026-02-12 (정정: 2026-03-06)</t>
        </is>
      </c>
      <c r="B283" s="3" t="inlineStr">
        <is>
          <t>셀트리온</t>
        </is>
      </c>
      <c r="C283" s="2" t="inlineStr">
        <is>
          <t>코스피</t>
        </is>
      </c>
      <c r="D283" s="2" t="inlineStr">
        <is>
          <t>068270</t>
        </is>
      </c>
      <c r="E283" s="3" t="inlineStr">
        <is>
          <t>주주총회소집공고 (정정: 20260306) (정정: 20260306) (정정: 20260306)</t>
        </is>
      </c>
      <c r="F283" s="3" t="inlineStr">
        <is>
          <t>셀트리온</t>
        </is>
      </c>
      <c r="G283" s="2" t="inlineStr">
        <is>
          <t>20260306800003</t>
        </is>
      </c>
      <c r="H283" s="8">
        <f>HYPERLINK("https://dart.fss.or.kr/dsaf001/main.do?rcpNo=20260306800003", "공시열람")</f>
        <v/>
      </c>
    </row>
    <row r="284">
      <c r="A284" s="2" t="inlineStr">
        <is>
          <t>2026-02-12</t>
        </is>
      </c>
      <c r="B284" s="3" t="inlineStr">
        <is>
          <t>SNT모티브</t>
        </is>
      </c>
      <c r="C284" s="2" t="inlineStr">
        <is>
          <t>코스피</t>
        </is>
      </c>
      <c r="D284" s="2" t="inlineStr">
        <is>
          <t>064960</t>
        </is>
      </c>
      <c r="E284" s="3" t="inlineStr">
        <is>
          <t>주주총회소집공고</t>
        </is>
      </c>
      <c r="F284" s="3" t="inlineStr">
        <is>
          <t>SNT모티브</t>
        </is>
      </c>
      <c r="G284" s="2" t="inlineStr">
        <is>
          <t>20260212000320</t>
        </is>
      </c>
      <c r="H284" s="8">
        <f>HYPERLINK("https://dart.fss.or.kr/dsaf001/main.do?rcpNo=20260212000320", "공시열람")</f>
        <v/>
      </c>
    </row>
    <row r="285">
      <c r="A285" s="2" t="inlineStr">
        <is>
          <t>2026-02-12</t>
        </is>
      </c>
      <c r="B285" s="3" t="inlineStr">
        <is>
          <t>SNT에너지</t>
        </is>
      </c>
      <c r="C285" s="2" t="inlineStr">
        <is>
          <t>코스피</t>
        </is>
      </c>
      <c r="D285" s="2" t="inlineStr">
        <is>
          <t>100840</t>
        </is>
      </c>
      <c r="E285" s="3" t="inlineStr">
        <is>
          <t>주주총회소집공고</t>
        </is>
      </c>
      <c r="F285" s="3" t="inlineStr">
        <is>
          <t>SNT에너지</t>
        </is>
      </c>
      <c r="G285" s="2" t="inlineStr">
        <is>
          <t>20260212000314</t>
        </is>
      </c>
      <c r="H285" s="8">
        <f>HYPERLINK("https://dart.fss.or.kr/dsaf001/main.do?rcpNo=20260212000314", "공시열람")</f>
        <v/>
      </c>
    </row>
    <row r="286">
      <c r="A286" s="2" t="inlineStr">
        <is>
          <t>2026-02-12</t>
        </is>
      </c>
      <c r="B286" s="3" t="inlineStr">
        <is>
          <t>SNT다이내믹스</t>
        </is>
      </c>
      <c r="C286" s="2" t="inlineStr">
        <is>
          <t>코스피</t>
        </is>
      </c>
      <c r="D286" s="2" t="inlineStr">
        <is>
          <t>003570</t>
        </is>
      </c>
      <c r="E286" s="3" t="inlineStr">
        <is>
          <t>주주총회소집공고</t>
        </is>
      </c>
      <c r="F286" s="3" t="inlineStr">
        <is>
          <t>SNT다이내믹스</t>
        </is>
      </c>
      <c r="G286" s="2" t="inlineStr">
        <is>
          <t>20260212000306</t>
        </is>
      </c>
      <c r="H286" s="8">
        <f>HYPERLINK("https://dart.fss.or.kr/dsaf001/main.do?rcpNo=20260212000306", "공시열람")</f>
        <v/>
      </c>
    </row>
    <row r="287">
      <c r="A287" s="2" t="inlineStr">
        <is>
          <t>2026-02-12</t>
        </is>
      </c>
      <c r="B287" s="3" t="inlineStr">
        <is>
          <t>SNT홀딩스</t>
        </is>
      </c>
      <c r="C287" s="2" t="inlineStr">
        <is>
          <t>코스피</t>
        </is>
      </c>
      <c r="D287" s="2" t="inlineStr">
        <is>
          <t>036530</t>
        </is>
      </c>
      <c r="E287" s="3" t="inlineStr">
        <is>
          <t>주주총회소집공고</t>
        </is>
      </c>
      <c r="F287" s="3" t="inlineStr">
        <is>
          <t>SNT홀딩스</t>
        </is>
      </c>
      <c r="G287" s="2" t="inlineStr">
        <is>
          <t>20260212000302</t>
        </is>
      </c>
      <c r="H287" s="8">
        <f>HYPERLINK("https://dart.fss.or.kr/dsaf001/main.do?rcpNo=20260212000302", "공시열람")</f>
        <v/>
      </c>
    </row>
    <row r="288">
      <c r="A288" s="2" t="inlineStr">
        <is>
          <t>2026-02-13</t>
        </is>
      </c>
      <c r="B288" s="3" t="inlineStr">
        <is>
          <t>디에이테크놀로지</t>
        </is>
      </c>
      <c r="C288" s="2" t="inlineStr">
        <is>
          <t>코스닥</t>
        </is>
      </c>
      <c r="D288" s="2" t="inlineStr">
        <is>
          <t>196490</t>
        </is>
      </c>
      <c r="E288" s="3" t="inlineStr">
        <is>
          <t>주주총회소집공고</t>
        </is>
      </c>
      <c r="F288" s="3" t="inlineStr">
        <is>
          <t>디에이테크놀로지</t>
        </is>
      </c>
      <c r="G288" s="2" t="inlineStr">
        <is>
          <t>20260213002889</t>
        </is>
      </c>
      <c r="H288" s="8">
        <f>HYPERLINK("https://dart.fss.or.kr/dsaf001/main.do?rcpNo=20260213002889", "공시열람")</f>
        <v/>
      </c>
    </row>
    <row r="289">
      <c r="A289" s="2" t="inlineStr">
        <is>
          <t>2026-02-13</t>
        </is>
      </c>
      <c r="B289" s="3" t="inlineStr">
        <is>
          <t>LG디스플레이</t>
        </is>
      </c>
      <c r="C289" s="2" t="inlineStr">
        <is>
          <t>코스피</t>
        </is>
      </c>
      <c r="D289" s="2" t="inlineStr">
        <is>
          <t>034220</t>
        </is>
      </c>
      <c r="E289" s="3" t="inlineStr">
        <is>
          <t>주주총회소집공고</t>
        </is>
      </c>
      <c r="F289" s="3" t="inlineStr">
        <is>
          <t>LG디스플레이</t>
        </is>
      </c>
      <c r="G289" s="2" t="inlineStr">
        <is>
          <t>20260213002840</t>
        </is>
      </c>
      <c r="H289" s="8">
        <f>HYPERLINK("https://dart.fss.or.kr/dsaf001/main.do?rcpNo=20260213002840", "공시열람")</f>
        <v/>
      </c>
    </row>
    <row r="290">
      <c r="A290" s="2" t="inlineStr">
        <is>
          <t>2026-02-13</t>
        </is>
      </c>
      <c r="B290" s="3" t="inlineStr">
        <is>
          <t>한화오션</t>
        </is>
      </c>
      <c r="C290" s="2" t="inlineStr">
        <is>
          <t>코스피</t>
        </is>
      </c>
      <c r="D290" s="2" t="inlineStr">
        <is>
          <t>042660</t>
        </is>
      </c>
      <c r="E290" s="3" t="inlineStr">
        <is>
          <t>주주총회소집공고</t>
        </is>
      </c>
      <c r="F290" s="3" t="inlineStr">
        <is>
          <t>한화오션</t>
        </is>
      </c>
      <c r="G290" s="2" t="inlineStr">
        <is>
          <t>20260213002781</t>
        </is>
      </c>
      <c r="H290" s="8">
        <f>HYPERLINK("https://dart.fss.or.kr/dsaf001/main.do?rcpNo=20260213002781", "공시열람")</f>
        <v/>
      </c>
    </row>
    <row r="291">
      <c r="A291" s="2" t="inlineStr">
        <is>
          <t>2026-02-13</t>
        </is>
      </c>
      <c r="B291" s="3" t="inlineStr">
        <is>
          <t>삼성에스디에스</t>
        </is>
      </c>
      <c r="C291" s="2" t="inlineStr">
        <is>
          <t>코스피</t>
        </is>
      </c>
      <c r="D291" s="2" t="inlineStr">
        <is>
          <t>018260</t>
        </is>
      </c>
      <c r="E291" s="3" t="inlineStr">
        <is>
          <t>주주총회소집공고</t>
        </is>
      </c>
      <c r="F291" s="3" t="inlineStr">
        <is>
          <t>삼성에스디에스</t>
        </is>
      </c>
      <c r="G291" s="2" t="inlineStr">
        <is>
          <t>20260213002614</t>
        </is>
      </c>
      <c r="H291" s="8">
        <f>HYPERLINK("https://dart.fss.or.kr/dsaf001/main.do?rcpNo=20260213002614", "공시열람")</f>
        <v/>
      </c>
    </row>
    <row r="292">
      <c r="A292" s="2" t="inlineStr">
        <is>
          <t>2026-02-13</t>
        </is>
      </c>
      <c r="B292" s="3" t="inlineStr">
        <is>
          <t>HS애드</t>
        </is>
      </c>
      <c r="C292" s="2" t="inlineStr">
        <is>
          <t>코스피</t>
        </is>
      </c>
      <c r="D292" s="2" t="inlineStr">
        <is>
          <t>035000</t>
        </is>
      </c>
      <c r="E292" s="3" t="inlineStr">
        <is>
          <t>주주총회소집공고</t>
        </is>
      </c>
      <c r="F292" s="3" t="inlineStr">
        <is>
          <t>HS애드</t>
        </is>
      </c>
      <c r="G292" s="2" t="inlineStr">
        <is>
          <t>20260213002597</t>
        </is>
      </c>
      <c r="H292" s="8">
        <f>HYPERLINK("https://dart.fss.or.kr/dsaf001/main.do?rcpNo=20260213002597", "공시열람")</f>
        <v/>
      </c>
    </row>
    <row r="293">
      <c r="A293" s="2" t="inlineStr">
        <is>
          <t>2026-02-13 (정정: 2026-03-03)</t>
        </is>
      </c>
      <c r="B293" s="3" t="inlineStr">
        <is>
          <t>호텔신라</t>
        </is>
      </c>
      <c r="C293" s="2" t="inlineStr">
        <is>
          <t>코스피</t>
        </is>
      </c>
      <c r="D293" s="2" t="inlineStr">
        <is>
          <t>008770</t>
        </is>
      </c>
      <c r="E293" s="3" t="inlineStr">
        <is>
          <t>주주총회소집공고 (정정: 20260303) (정정: 20260303) (정정: 20260303)</t>
        </is>
      </c>
      <c r="F293" s="3" t="inlineStr">
        <is>
          <t>호텔신라</t>
        </is>
      </c>
      <c r="G293" s="2" t="inlineStr">
        <is>
          <t>20260303800913</t>
        </is>
      </c>
      <c r="H293" s="8">
        <f>HYPERLINK("https://dart.fss.or.kr/dsaf001/main.do?rcpNo=20260303800913", "공시열람")</f>
        <v/>
      </c>
    </row>
    <row r="294">
      <c r="A294" s="2" t="inlineStr">
        <is>
          <t>2026-02-13</t>
        </is>
      </c>
      <c r="B294" s="3" t="inlineStr">
        <is>
          <t>경인전자</t>
        </is>
      </c>
      <c r="C294" s="2" t="inlineStr">
        <is>
          <t>코스피</t>
        </is>
      </c>
      <c r="D294" s="2" t="inlineStr">
        <is>
          <t>009140</t>
        </is>
      </c>
      <c r="E294" s="3" t="inlineStr">
        <is>
          <t>주주총회소집공고</t>
        </is>
      </c>
      <c r="F294" s="3" t="inlineStr">
        <is>
          <t>경인전자</t>
        </is>
      </c>
      <c r="G294" s="2" t="inlineStr">
        <is>
          <t>20260213002551</t>
        </is>
      </c>
      <c r="H294" s="8">
        <f>HYPERLINK("https://dart.fss.or.kr/dsaf001/main.do?rcpNo=20260213002551", "공시열람")</f>
        <v/>
      </c>
    </row>
    <row r="295">
      <c r="A295" s="2" t="inlineStr">
        <is>
          <t>2026-02-13 (정정: 2026-03-18)</t>
        </is>
      </c>
      <c r="B295" s="3" t="inlineStr">
        <is>
          <t>써니전자</t>
        </is>
      </c>
      <c r="C295" s="2" t="inlineStr">
        <is>
          <t>코스피</t>
        </is>
      </c>
      <c r="D295" s="2" t="inlineStr">
        <is>
          <t>004770</t>
        </is>
      </c>
      <c r="E295" s="3" t="inlineStr">
        <is>
          <t>주주총회소집공고 (정정: 20260318)</t>
        </is>
      </c>
      <c r="F295" s="3" t="inlineStr">
        <is>
          <t>써니전자</t>
        </is>
      </c>
      <c r="G295" s="2" t="inlineStr">
        <is>
          <t>20260318001402</t>
        </is>
      </c>
      <c r="H295" s="8">
        <f>HYPERLINK("https://dart.fss.or.kr/dsaf001/main.do?rcpNo=20260318001402", "공시열람")</f>
        <v/>
      </c>
    </row>
    <row r="296">
      <c r="A296" s="2" t="inlineStr">
        <is>
          <t>2026-02-13</t>
        </is>
      </c>
      <c r="B296" s="3" t="inlineStr">
        <is>
          <t>삼성중공업</t>
        </is>
      </c>
      <c r="C296" s="2" t="inlineStr">
        <is>
          <t>코스피</t>
        </is>
      </c>
      <c r="D296" s="2" t="inlineStr">
        <is>
          <t>010140</t>
        </is>
      </c>
      <c r="E296" s="3" t="inlineStr">
        <is>
          <t>주주총회소집공고</t>
        </is>
      </c>
      <c r="F296" s="3" t="inlineStr">
        <is>
          <t>삼성중공업</t>
        </is>
      </c>
      <c r="G296" s="2" t="inlineStr">
        <is>
          <t>20260213002416</t>
        </is>
      </c>
      <c r="H296" s="8">
        <f>HYPERLINK("https://dart.fss.or.kr/dsaf001/main.do?rcpNo=20260213002416", "공시열람")</f>
        <v/>
      </c>
    </row>
    <row r="297">
      <c r="A297" s="2" t="inlineStr">
        <is>
          <t>2026-02-13</t>
        </is>
      </c>
      <c r="B297" s="3" t="inlineStr">
        <is>
          <t>멀티캠퍼스</t>
        </is>
      </c>
      <c r="C297" s="2" t="inlineStr">
        <is>
          <t>코스닥</t>
        </is>
      </c>
      <c r="D297" s="2" t="inlineStr">
        <is>
          <t>067280</t>
        </is>
      </c>
      <c r="E297" s="3" t="inlineStr">
        <is>
          <t>주주총회소집공고</t>
        </is>
      </c>
      <c r="F297" s="3" t="inlineStr">
        <is>
          <t>멀티캠퍼스</t>
        </is>
      </c>
      <c r="G297" s="2" t="inlineStr">
        <is>
          <t>20260213002309</t>
        </is>
      </c>
      <c r="H297" s="8">
        <f>HYPERLINK("https://dart.fss.or.kr/dsaf001/main.do?rcpNo=20260213002309", "공시열람")</f>
        <v/>
      </c>
    </row>
    <row r="298">
      <c r="A298" s="2" t="inlineStr">
        <is>
          <t>2026-02-13</t>
        </is>
      </c>
      <c r="B298" s="3" t="inlineStr">
        <is>
          <t>제일기획</t>
        </is>
      </c>
      <c r="C298" s="2" t="inlineStr">
        <is>
          <t>코스피</t>
        </is>
      </c>
      <c r="D298" s="2" t="inlineStr">
        <is>
          <t>030000</t>
        </is>
      </c>
      <c r="E298" s="3" t="inlineStr">
        <is>
          <t>주주총회소집공고</t>
        </is>
      </c>
      <c r="F298" s="3" t="inlineStr">
        <is>
          <t>제일기획</t>
        </is>
      </c>
      <c r="G298" s="2" t="inlineStr">
        <is>
          <t>20260213002179</t>
        </is>
      </c>
      <c r="H298" s="8">
        <f>HYPERLINK("https://dart.fss.or.kr/dsaf001/main.do?rcpNo=20260213002179", "공시열람")</f>
        <v/>
      </c>
    </row>
    <row r="299">
      <c r="A299" s="2" t="inlineStr">
        <is>
          <t>2026-02-13 (정정: 2026-03-11)</t>
        </is>
      </c>
      <c r="B299" s="3" t="inlineStr">
        <is>
          <t>현대글로비스</t>
        </is>
      </c>
      <c r="C299" s="2" t="inlineStr">
        <is>
          <t>코스피</t>
        </is>
      </c>
      <c r="D299" s="2" t="inlineStr">
        <is>
          <t>086280</t>
        </is>
      </c>
      <c r="E299" s="3" t="inlineStr">
        <is>
          <t>주주총회소집공고 (정정: 20260311) (정정: 20260311)</t>
        </is>
      </c>
      <c r="F299" s="3" t="inlineStr">
        <is>
          <t>현대글로비스</t>
        </is>
      </c>
      <c r="G299" s="2" t="inlineStr">
        <is>
          <t>20260311004391</t>
        </is>
      </c>
      <c r="H299" s="8">
        <f>HYPERLINK("https://dart.fss.or.kr/dsaf001/main.do?rcpNo=20260311004391", "공시열람")</f>
        <v/>
      </c>
    </row>
    <row r="300">
      <c r="A300" s="2" t="inlineStr">
        <is>
          <t>2026-02-13</t>
        </is>
      </c>
      <c r="B300" s="3" t="inlineStr">
        <is>
          <t>LG에너지솔루션</t>
        </is>
      </c>
      <c r="C300" s="2" t="inlineStr">
        <is>
          <t>코스피</t>
        </is>
      </c>
      <c r="D300" s="2" t="inlineStr">
        <is>
          <t>373220</t>
        </is>
      </c>
      <c r="E300" s="3" t="inlineStr">
        <is>
          <t>주주총회소집공고</t>
        </is>
      </c>
      <c r="F300" s="3" t="inlineStr">
        <is>
          <t>LG에너지솔루션</t>
        </is>
      </c>
      <c r="G300" s="2" t="inlineStr">
        <is>
          <t>20260213002143</t>
        </is>
      </c>
      <c r="H300" s="8">
        <f>HYPERLINK("https://dart.fss.or.kr/dsaf001/main.do?rcpNo=20260213002143", "공시열람")</f>
        <v/>
      </c>
    </row>
    <row r="301">
      <c r="A301" s="2" t="inlineStr">
        <is>
          <t>2026-02-13</t>
        </is>
      </c>
      <c r="B301" s="3" t="inlineStr">
        <is>
          <t>유한양행</t>
        </is>
      </c>
      <c r="C301" s="2" t="inlineStr">
        <is>
          <t>코스피</t>
        </is>
      </c>
      <c r="D301" s="2" t="inlineStr">
        <is>
          <t>000100</t>
        </is>
      </c>
      <c r="E301" s="3" t="inlineStr">
        <is>
          <t>주주총회소집공고</t>
        </is>
      </c>
      <c r="F301" s="3" t="inlineStr">
        <is>
          <t>유한양행</t>
        </is>
      </c>
      <c r="G301" s="2" t="inlineStr">
        <is>
          <t>20260213002139</t>
        </is>
      </c>
      <c r="H301" s="8">
        <f>HYPERLINK("https://dart.fss.or.kr/dsaf001/main.do?rcpNo=20260213002139", "공시열람")</f>
        <v/>
      </c>
    </row>
    <row r="302">
      <c r="A302" s="2" t="inlineStr">
        <is>
          <t>2026-02-13</t>
        </is>
      </c>
      <c r="B302" s="3" t="inlineStr">
        <is>
          <t>캔버스엔</t>
        </is>
      </c>
      <c r="C302" s="2" t="inlineStr">
        <is>
          <t>코스닥</t>
        </is>
      </c>
      <c r="D302" s="2" t="inlineStr">
        <is>
          <t>210120</t>
        </is>
      </c>
      <c r="E302" s="3" t="inlineStr">
        <is>
          <t>주주총회소집공고</t>
        </is>
      </c>
      <c r="F302" s="3" t="inlineStr">
        <is>
          <t>캔버스엔</t>
        </is>
      </c>
      <c r="G302" s="2" t="inlineStr">
        <is>
          <t>20260213002106</t>
        </is>
      </c>
      <c r="H302" s="8">
        <f>HYPERLINK("https://dart.fss.or.kr/dsaf001/main.do?rcpNo=20260213002106", "공시열람")</f>
        <v/>
      </c>
    </row>
    <row r="303">
      <c r="A303" s="2" t="inlineStr">
        <is>
          <t>2026-02-13</t>
        </is>
      </c>
      <c r="B303" s="3" t="inlineStr">
        <is>
          <t>오아</t>
        </is>
      </c>
      <c r="C303" s="2" t="inlineStr">
        <is>
          <t>코스닥</t>
        </is>
      </c>
      <c r="D303" s="2" t="inlineStr">
        <is>
          <t>342870</t>
        </is>
      </c>
      <c r="E303" s="3" t="inlineStr">
        <is>
          <t>주주총회소집공고</t>
        </is>
      </c>
      <c r="F303" s="3" t="inlineStr">
        <is>
          <t>오아</t>
        </is>
      </c>
      <c r="G303" s="2" t="inlineStr">
        <is>
          <t>20260213002006</t>
        </is>
      </c>
      <c r="H303" s="8">
        <f>HYPERLINK("https://dart.fss.or.kr/dsaf001/main.do?rcpNo=20260213002006", "공시열람")</f>
        <v/>
      </c>
    </row>
    <row r="304">
      <c r="A304" s="2" t="inlineStr">
        <is>
          <t>2026-02-13</t>
        </is>
      </c>
      <c r="B304" s="3" t="inlineStr">
        <is>
          <t>한솔테크닉스</t>
        </is>
      </c>
      <c r="C304" s="2" t="inlineStr">
        <is>
          <t>코스피</t>
        </is>
      </c>
      <c r="D304" s="2" t="inlineStr">
        <is>
          <t>004710</t>
        </is>
      </c>
      <c r="E304" s="3" t="inlineStr">
        <is>
          <t>주주총회소집공고</t>
        </is>
      </c>
      <c r="F304" s="3" t="inlineStr">
        <is>
          <t>한솔테크닉스</t>
        </is>
      </c>
      <c r="G304" s="2" t="inlineStr">
        <is>
          <t>20260213001763</t>
        </is>
      </c>
      <c r="H304" s="8">
        <f>HYPERLINK("https://dart.fss.or.kr/dsaf001/main.do?rcpNo=20260213001763", "공시열람")</f>
        <v/>
      </c>
    </row>
    <row r="305">
      <c r="A305" s="2" t="inlineStr">
        <is>
          <t>2026-02-13</t>
        </is>
      </c>
      <c r="B305" s="3" t="inlineStr">
        <is>
          <t>지앤비에스 에코</t>
        </is>
      </c>
      <c r="C305" s="2" t="inlineStr">
        <is>
          <t>코스닥</t>
        </is>
      </c>
      <c r="D305" s="2" t="inlineStr">
        <is>
          <t>382800</t>
        </is>
      </c>
      <c r="E305" s="3" t="inlineStr">
        <is>
          <t>주주총회소집공고</t>
        </is>
      </c>
      <c r="F305" s="3" t="inlineStr">
        <is>
          <t>지앤비에스 에코</t>
        </is>
      </c>
      <c r="G305" s="2" t="inlineStr">
        <is>
          <t>20260213001707</t>
        </is>
      </c>
      <c r="H305" s="8">
        <f>HYPERLINK("https://dart.fss.or.kr/dsaf001/main.do?rcpNo=20260213001707", "공시열람")</f>
        <v/>
      </c>
    </row>
    <row r="306">
      <c r="A306" s="2" t="inlineStr">
        <is>
          <t>2026-02-13</t>
        </is>
      </c>
      <c r="B306" s="3" t="inlineStr">
        <is>
          <t>LG전자</t>
        </is>
      </c>
      <c r="C306" s="2" t="inlineStr">
        <is>
          <t>코스피</t>
        </is>
      </c>
      <c r="D306" s="2" t="inlineStr">
        <is>
          <t>066570</t>
        </is>
      </c>
      <c r="E306" s="3" t="inlineStr">
        <is>
          <t>주주총회소집공고</t>
        </is>
      </c>
      <c r="F306" s="3" t="inlineStr">
        <is>
          <t>LG전자</t>
        </is>
      </c>
      <c r="G306" s="2" t="inlineStr">
        <is>
          <t>20260213001665</t>
        </is>
      </c>
      <c r="H306" s="8">
        <f>HYPERLINK("https://dart.fss.or.kr/dsaf001/main.do?rcpNo=20260213001665", "공시열람")</f>
        <v/>
      </c>
    </row>
    <row r="307">
      <c r="A307" s="2" t="inlineStr">
        <is>
          <t>2026-02-13 (정정: 2026-03-12)</t>
        </is>
      </c>
      <c r="B307" s="3" t="inlineStr">
        <is>
          <t>삼성전자</t>
        </is>
      </c>
      <c r="C307" s="2" t="inlineStr">
        <is>
          <t>코스피</t>
        </is>
      </c>
      <c r="D307" s="2" t="inlineStr">
        <is>
          <t>005930</t>
        </is>
      </c>
      <c r="E307" s="3" t="inlineStr">
        <is>
          <t>주주총회소집공고 (정정: 20260312)</t>
        </is>
      </c>
      <c r="F307" s="3" t="inlineStr">
        <is>
          <t>삼성전자</t>
        </is>
      </c>
      <c r="G307" s="2" t="inlineStr">
        <is>
          <t>20260312001008</t>
        </is>
      </c>
      <c r="H307" s="8">
        <f>HYPERLINK("https://dart.fss.or.kr/dsaf001/main.do?rcpNo=20260312001008", "공시열람")</f>
        <v/>
      </c>
    </row>
    <row r="308">
      <c r="A308" s="2" t="inlineStr">
        <is>
          <t>2026-02-13</t>
        </is>
      </c>
      <c r="B308" s="3" t="inlineStr">
        <is>
          <t>세아제강</t>
        </is>
      </c>
      <c r="C308" s="2" t="inlineStr">
        <is>
          <t>코스피</t>
        </is>
      </c>
      <c r="D308" s="2" t="inlineStr">
        <is>
          <t>306200</t>
        </is>
      </c>
      <c r="E308" s="3" t="inlineStr">
        <is>
          <t>주주총회소집공고</t>
        </is>
      </c>
      <c r="F308" s="3" t="inlineStr">
        <is>
          <t>세아제강</t>
        </is>
      </c>
      <c r="G308" s="2" t="inlineStr">
        <is>
          <t>20260213000806</t>
        </is>
      </c>
      <c r="H308" s="8">
        <f>HYPERLINK("https://dart.fss.or.kr/dsaf001/main.do?rcpNo=20260213000806", "공시열람")</f>
        <v/>
      </c>
    </row>
    <row r="309">
      <c r="A309" s="2" t="inlineStr">
        <is>
          <t>2026-02-13</t>
        </is>
      </c>
      <c r="B309" s="3" t="inlineStr">
        <is>
          <t>셀트리온제약</t>
        </is>
      </c>
      <c r="C309" s="2" t="inlineStr">
        <is>
          <t>코스닥</t>
        </is>
      </c>
      <c r="D309" s="2" t="inlineStr">
        <is>
          <t>068760</t>
        </is>
      </c>
      <c r="E309" s="3" t="inlineStr">
        <is>
          <t>주주총회소집공고</t>
        </is>
      </c>
      <c r="F309" s="3" t="inlineStr">
        <is>
          <t>셀트리온제약</t>
        </is>
      </c>
      <c r="G309" s="2" t="inlineStr">
        <is>
          <t>20260213000509</t>
        </is>
      </c>
      <c r="H309" s="8">
        <f>HYPERLINK("https://dart.fss.or.kr/dsaf001/main.do?rcpNo=20260213000509", "공시열람")</f>
        <v/>
      </c>
    </row>
    <row r="310">
      <c r="A310" s="2" t="inlineStr">
        <is>
          <t>2026-02-19</t>
        </is>
      </c>
      <c r="B310" s="3" t="inlineStr">
        <is>
          <t>삼성생명</t>
        </is>
      </c>
      <c r="C310" s="2" t="inlineStr">
        <is>
          <t>코스피</t>
        </is>
      </c>
      <c r="D310" s="2" t="inlineStr">
        <is>
          <t>032830</t>
        </is>
      </c>
      <c r="E310" s="3" t="inlineStr">
        <is>
          <t>주주총회소집공고</t>
        </is>
      </c>
      <c r="F310" s="3" t="inlineStr">
        <is>
          <t>삼성생명</t>
        </is>
      </c>
      <c r="G310" s="2" t="inlineStr">
        <is>
          <t>20260219002857</t>
        </is>
      </c>
      <c r="H310" s="8">
        <f>HYPERLINK("https://dart.fss.or.kr/dsaf001/main.do?rcpNo=20260219002857", "공시열람")</f>
        <v/>
      </c>
    </row>
    <row r="311">
      <c r="A311" s="2" t="inlineStr">
        <is>
          <t>2026-02-19 (정정: 2026-03-03)</t>
        </is>
      </c>
      <c r="B311" s="3" t="inlineStr">
        <is>
          <t>POSCO홀딩스</t>
        </is>
      </c>
      <c r="C311" s="2" t="inlineStr">
        <is>
          <t>코스피</t>
        </is>
      </c>
      <c r="D311" s="2" t="inlineStr">
        <is>
          <t>005490</t>
        </is>
      </c>
      <c r="E311" s="3" t="inlineStr">
        <is>
          <t>주주총회소집공고 (정정: 20260303)</t>
        </is>
      </c>
      <c r="F311" s="3" t="inlineStr">
        <is>
          <t>POSCO홀딩스</t>
        </is>
      </c>
      <c r="G311" s="2" t="inlineStr">
        <is>
          <t>20260303002201</t>
        </is>
      </c>
      <c r="H311" s="8">
        <f>HYPERLINK("https://dart.fss.or.kr/dsaf001/main.do?rcpNo=20260303002201", "공시열람")</f>
        <v/>
      </c>
    </row>
    <row r="312">
      <c r="A312" s="2" t="inlineStr">
        <is>
          <t>2026-02-19</t>
        </is>
      </c>
      <c r="B312" s="3" t="inlineStr">
        <is>
          <t>네이처셀</t>
        </is>
      </c>
      <c r="C312" s="2" t="inlineStr">
        <is>
          <t>코스닥</t>
        </is>
      </c>
      <c r="D312" s="2" t="inlineStr">
        <is>
          <t>007390</t>
        </is>
      </c>
      <c r="E312" s="3" t="inlineStr">
        <is>
          <t>주주총회소집공고</t>
        </is>
      </c>
      <c r="F312" s="3" t="inlineStr">
        <is>
          <t>네이처셀</t>
        </is>
      </c>
      <c r="G312" s="2" t="inlineStr">
        <is>
          <t>20260219002769</t>
        </is>
      </c>
      <c r="H312" s="8">
        <f>HYPERLINK("https://dart.fss.or.kr/dsaf001/main.do?rcpNo=20260219002769", "공시열람")</f>
        <v/>
      </c>
    </row>
    <row r="313">
      <c r="A313" s="2" t="inlineStr">
        <is>
          <t>2026-02-19</t>
        </is>
      </c>
      <c r="B313" s="3" t="inlineStr">
        <is>
          <t>삼성화재해상보험</t>
        </is>
      </c>
      <c r="C313" s="2" t="inlineStr">
        <is>
          <t>코스피</t>
        </is>
      </c>
      <c r="D313" s="2" t="inlineStr">
        <is>
          <t>000810</t>
        </is>
      </c>
      <c r="E313" s="3" t="inlineStr">
        <is>
          <t>주주총회소집공고</t>
        </is>
      </c>
      <c r="F313" s="3" t="inlineStr">
        <is>
          <t>삼성화재해상보험</t>
        </is>
      </c>
      <c r="G313" s="2" t="inlineStr">
        <is>
          <t>20260219002756</t>
        </is>
      </c>
      <c r="H313" s="8">
        <f>HYPERLINK("https://dart.fss.or.kr/dsaf001/main.do?rcpNo=20260219002756", "공시열람")</f>
        <v/>
      </c>
    </row>
    <row r="314">
      <c r="A314" s="2" t="inlineStr">
        <is>
          <t>2026-02-19</t>
        </is>
      </c>
      <c r="B314" s="3" t="inlineStr">
        <is>
          <t>삼성SDI</t>
        </is>
      </c>
      <c r="C314" s="2" t="inlineStr">
        <is>
          <t>코스피</t>
        </is>
      </c>
      <c r="D314" s="2" t="inlineStr">
        <is>
          <t>006400</t>
        </is>
      </c>
      <c r="E314" s="3" t="inlineStr">
        <is>
          <t>주주총회소집공고</t>
        </is>
      </c>
      <c r="F314" s="3" t="inlineStr">
        <is>
          <t>삼성SDI</t>
        </is>
      </c>
      <c r="G314" s="2" t="inlineStr">
        <is>
          <t>20260219002694</t>
        </is>
      </c>
      <c r="H314" s="8">
        <f>HYPERLINK("https://dart.fss.or.kr/dsaf001/main.do?rcpNo=20260219002694", "공시열람")</f>
        <v/>
      </c>
    </row>
    <row r="315">
      <c r="A315" s="2" t="inlineStr">
        <is>
          <t>2026-02-19</t>
        </is>
      </c>
      <c r="B315" s="3" t="inlineStr">
        <is>
          <t>풍산홀딩스</t>
        </is>
      </c>
      <c r="C315" s="2" t="inlineStr">
        <is>
          <t>코스피</t>
        </is>
      </c>
      <c r="D315" s="2" t="inlineStr">
        <is>
          <t>005810</t>
        </is>
      </c>
      <c r="E315" s="3" t="inlineStr">
        <is>
          <t>주주총회소집공고</t>
        </is>
      </c>
      <c r="F315" s="3" t="inlineStr">
        <is>
          <t>풍산홀딩스</t>
        </is>
      </c>
      <c r="G315" s="2" t="inlineStr">
        <is>
          <t>20260219002689</t>
        </is>
      </c>
      <c r="H315" s="8">
        <f>HYPERLINK("https://dart.fss.or.kr/dsaf001/main.do?rcpNo=20260219002689", "공시열람")</f>
        <v/>
      </c>
    </row>
    <row r="316">
      <c r="A316" s="2" t="inlineStr">
        <is>
          <t>2026-02-19</t>
        </is>
      </c>
      <c r="B316" s="3" t="inlineStr">
        <is>
          <t>삼성카드</t>
        </is>
      </c>
      <c r="C316" s="2" t="inlineStr">
        <is>
          <t>코스피</t>
        </is>
      </c>
      <c r="D316" s="2" t="inlineStr">
        <is>
          <t>029780</t>
        </is>
      </c>
      <c r="E316" s="3" t="inlineStr">
        <is>
          <t>주주총회소집공고</t>
        </is>
      </c>
      <c r="F316" s="3" t="inlineStr">
        <is>
          <t>삼성카드</t>
        </is>
      </c>
      <c r="G316" s="2" t="inlineStr">
        <is>
          <t>20260219002656</t>
        </is>
      </c>
      <c r="H316" s="8">
        <f>HYPERLINK("https://dart.fss.or.kr/dsaf001/main.do?rcpNo=20260219002656", "공시열람")</f>
        <v/>
      </c>
    </row>
    <row r="317">
      <c r="A317" s="2" t="inlineStr">
        <is>
          <t>2026-02-19</t>
        </is>
      </c>
      <c r="B317" s="3" t="inlineStr">
        <is>
          <t>풍산</t>
        </is>
      </c>
      <c r="C317" s="2" t="inlineStr">
        <is>
          <t>코스피</t>
        </is>
      </c>
      <c r="D317" s="2" t="inlineStr">
        <is>
          <t>103140</t>
        </is>
      </c>
      <c r="E317" s="3" t="inlineStr">
        <is>
          <t>주주총회소집공고</t>
        </is>
      </c>
      <c r="F317" s="3" t="inlineStr">
        <is>
          <t>풍산</t>
        </is>
      </c>
      <c r="G317" s="2" t="inlineStr">
        <is>
          <t>20260219002639</t>
        </is>
      </c>
      <c r="H317" s="8">
        <f>HYPERLINK("https://dart.fss.or.kr/dsaf001/main.do?rcpNo=20260219002639", "공시열람")</f>
        <v/>
      </c>
    </row>
    <row r="318">
      <c r="A318" s="2" t="inlineStr">
        <is>
          <t>2026-02-19 (정정: 2026-02-20)</t>
        </is>
      </c>
      <c r="B318" s="3" t="inlineStr">
        <is>
          <t>페니트리움바이오</t>
        </is>
      </c>
      <c r="C318" s="2" t="inlineStr">
        <is>
          <t>코스닥</t>
        </is>
      </c>
      <c r="D318" s="2" t="inlineStr">
        <is>
          <t>187660</t>
        </is>
      </c>
      <c r="E318" s="3" t="inlineStr">
        <is>
          <t>주주총회소집공고 (정정: 20260220)</t>
        </is>
      </c>
      <c r="F318" s="3" t="inlineStr">
        <is>
          <t>페니트리움바이오</t>
        </is>
      </c>
      <c r="G318" s="2" t="inlineStr">
        <is>
          <t>20260220000017</t>
        </is>
      </c>
      <c r="H318" s="8">
        <f>HYPERLINK("https://dart.fss.or.kr/dsaf001/main.do?rcpNo=20260220000017", "공시열람")</f>
        <v/>
      </c>
    </row>
    <row r="319">
      <c r="A319" s="2" t="inlineStr">
        <is>
          <t>2026-02-19 (정정: 2026-02-23)</t>
        </is>
      </c>
      <c r="B319" s="3" t="inlineStr">
        <is>
          <t>상보</t>
        </is>
      </c>
      <c r="C319" s="2" t="inlineStr">
        <is>
          <t>코스닥</t>
        </is>
      </c>
      <c r="D319" s="2" t="inlineStr">
        <is>
          <t>027580</t>
        </is>
      </c>
      <c r="E319" s="3" t="inlineStr">
        <is>
          <t>주주총회소집공고 (정정: 20260223)</t>
        </is>
      </c>
      <c r="F319" s="3" t="inlineStr">
        <is>
          <t>상보</t>
        </is>
      </c>
      <c r="G319" s="2" t="inlineStr">
        <is>
          <t>20260223001900</t>
        </is>
      </c>
      <c r="H319" s="8">
        <f>HYPERLINK("https://dart.fss.or.kr/dsaf001/main.do?rcpNo=20260223001900", "공시열람")</f>
        <v/>
      </c>
    </row>
    <row r="320">
      <c r="A320" s="2" t="inlineStr">
        <is>
          <t>2026-02-19</t>
        </is>
      </c>
      <c r="B320" s="3" t="inlineStr">
        <is>
          <t>현대바이오랜드</t>
        </is>
      </c>
      <c r="C320" s="2" t="inlineStr">
        <is>
          <t>코스닥</t>
        </is>
      </c>
      <c r="D320" s="2" t="inlineStr">
        <is>
          <t>052260</t>
        </is>
      </c>
      <c r="E320" s="3" t="inlineStr">
        <is>
          <t>주주총회소집공고</t>
        </is>
      </c>
      <c r="F320" s="3" t="inlineStr">
        <is>
          <t>현대바이오랜드</t>
        </is>
      </c>
      <c r="G320" s="2" t="inlineStr">
        <is>
          <t>20260219002433</t>
        </is>
      </c>
      <c r="H320" s="8">
        <f>HYPERLINK("https://dart.fss.or.kr/dsaf001/main.do?rcpNo=20260219002433", "공시열람")</f>
        <v/>
      </c>
    </row>
    <row r="321">
      <c r="A321" s="2" t="inlineStr">
        <is>
          <t>2026-02-19</t>
        </is>
      </c>
      <c r="B321" s="3" t="inlineStr">
        <is>
          <t>신영와코루</t>
        </is>
      </c>
      <c r="C321" s="2" t="inlineStr">
        <is>
          <t>코스피</t>
        </is>
      </c>
      <c r="D321" s="2" t="inlineStr">
        <is>
          <t>005800</t>
        </is>
      </c>
      <c r="E321" s="3" t="inlineStr">
        <is>
          <t>주주총회소집공고</t>
        </is>
      </c>
      <c r="F321" s="3" t="inlineStr">
        <is>
          <t>신영와코루</t>
        </is>
      </c>
      <c r="G321" s="2" t="inlineStr">
        <is>
          <t>20260219002312</t>
        </is>
      </c>
      <c r="H321" s="8">
        <f>HYPERLINK("https://dart.fss.or.kr/dsaf001/main.do?rcpNo=20260219002312", "공시열람")</f>
        <v/>
      </c>
    </row>
    <row r="322">
      <c r="A322" s="2" t="inlineStr">
        <is>
          <t>2026-02-19</t>
        </is>
      </c>
      <c r="B322" s="3" t="inlineStr">
        <is>
          <t>파인디지털</t>
        </is>
      </c>
      <c r="C322" s="2" t="inlineStr">
        <is>
          <t>코스닥</t>
        </is>
      </c>
      <c r="D322" s="2" t="inlineStr">
        <is>
          <t>038950</t>
        </is>
      </c>
      <c r="E322" s="3" t="inlineStr">
        <is>
          <t>주주총회소집공고</t>
        </is>
      </c>
      <c r="F322" s="3" t="inlineStr">
        <is>
          <t>파인디지털</t>
        </is>
      </c>
      <c r="G322" s="2" t="inlineStr">
        <is>
          <t>20260219002220</t>
        </is>
      </c>
      <c r="H322" s="8">
        <f>HYPERLINK("https://dart.fss.or.kr/dsaf001/main.do?rcpNo=20260219002220", "공시열람")</f>
        <v/>
      </c>
    </row>
    <row r="323">
      <c r="A323" s="2" t="inlineStr">
        <is>
          <t>2026-02-19 (정정: 2026-03-19)</t>
        </is>
      </c>
      <c r="B323" s="3" t="inlineStr">
        <is>
          <t>신라에스지</t>
        </is>
      </c>
      <c r="C323" s="2" t="inlineStr">
        <is>
          <t>코스닥</t>
        </is>
      </c>
      <c r="D323" s="2" t="inlineStr">
        <is>
          <t>025870</t>
        </is>
      </c>
      <c r="E323" s="3" t="inlineStr">
        <is>
          <t>주주총회소집공고 (정정: 20260319)</t>
        </is>
      </c>
      <c r="F323" s="3" t="inlineStr">
        <is>
          <t>신라에스지</t>
        </is>
      </c>
      <c r="G323" s="2" t="inlineStr">
        <is>
          <t>20260319000697</t>
        </is>
      </c>
      <c r="H323" s="8">
        <f>HYPERLINK("https://dart.fss.or.kr/dsaf001/main.do?rcpNo=20260319000697", "공시열람")</f>
        <v/>
      </c>
    </row>
    <row r="324">
      <c r="A324" s="2" t="inlineStr">
        <is>
          <t>2026-02-19</t>
        </is>
      </c>
      <c r="B324" s="3" t="inlineStr">
        <is>
          <t>대호에이엘</t>
        </is>
      </c>
      <c r="C324" s="2" t="inlineStr">
        <is>
          <t>코스피</t>
        </is>
      </c>
      <c r="D324" s="2" t="inlineStr">
        <is>
          <t>069460</t>
        </is>
      </c>
      <c r="E324" s="3" t="inlineStr">
        <is>
          <t>주주총회소집공고</t>
        </is>
      </c>
      <c r="F324" s="3" t="inlineStr">
        <is>
          <t>대호에이엘</t>
        </is>
      </c>
      <c r="G324" s="2" t="inlineStr">
        <is>
          <t>20260219002179</t>
        </is>
      </c>
      <c r="H324" s="8">
        <f>HYPERLINK("https://dart.fss.or.kr/dsaf001/main.do?rcpNo=20260219002179", "공시열람")</f>
        <v/>
      </c>
    </row>
    <row r="325">
      <c r="A325" s="2" t="inlineStr">
        <is>
          <t>2026-02-19 (정정: 2026-03-10)</t>
        </is>
      </c>
      <c r="B325" s="3" t="inlineStr">
        <is>
          <t>농심</t>
        </is>
      </c>
      <c r="C325" s="2" t="inlineStr">
        <is>
          <t>코스피</t>
        </is>
      </c>
      <c r="D325" s="2" t="inlineStr">
        <is>
          <t>004370</t>
        </is>
      </c>
      <c r="E325" s="3" t="inlineStr">
        <is>
          <t>주주총회소집공고 (정정: 20260310)</t>
        </is>
      </c>
      <c r="F325" s="3" t="inlineStr">
        <is>
          <t>농심</t>
        </is>
      </c>
      <c r="G325" s="2" t="inlineStr">
        <is>
          <t>20260310002739</t>
        </is>
      </c>
      <c r="H325" s="8">
        <f>HYPERLINK("https://dart.fss.or.kr/dsaf001/main.do?rcpNo=20260310002739", "공시열람")</f>
        <v/>
      </c>
    </row>
    <row r="326">
      <c r="A326" s="2" t="inlineStr">
        <is>
          <t>2026-02-19</t>
        </is>
      </c>
      <c r="B326" s="3" t="inlineStr">
        <is>
          <t>동방아그로</t>
        </is>
      </c>
      <c r="C326" s="2" t="inlineStr">
        <is>
          <t>코스피</t>
        </is>
      </c>
      <c r="D326" s="2" t="inlineStr">
        <is>
          <t>007590</t>
        </is>
      </c>
      <c r="E326" s="3" t="inlineStr">
        <is>
          <t>주주총회소집공고</t>
        </is>
      </c>
      <c r="F326" s="3" t="inlineStr">
        <is>
          <t>동방아그로</t>
        </is>
      </c>
      <c r="G326" s="2" t="inlineStr">
        <is>
          <t>20260219002046</t>
        </is>
      </c>
      <c r="H326" s="8">
        <f>HYPERLINK("https://dart.fss.or.kr/dsaf001/main.do?rcpNo=20260219002046", "공시열람")</f>
        <v/>
      </c>
    </row>
    <row r="327">
      <c r="A327" s="2" t="inlineStr">
        <is>
          <t>2026-02-19</t>
        </is>
      </c>
      <c r="B327" s="3" t="inlineStr">
        <is>
          <t>조흥</t>
        </is>
      </c>
      <c r="C327" s="2" t="inlineStr">
        <is>
          <t>코스피</t>
        </is>
      </c>
      <c r="D327" s="2" t="inlineStr">
        <is>
          <t>002600</t>
        </is>
      </c>
      <c r="E327" s="3" t="inlineStr">
        <is>
          <t>주주총회소집공고</t>
        </is>
      </c>
      <c r="F327" s="3" t="inlineStr">
        <is>
          <t>조흥</t>
        </is>
      </c>
      <c r="G327" s="2" t="inlineStr">
        <is>
          <t>20260219002009</t>
        </is>
      </c>
      <c r="H327" s="8">
        <f>HYPERLINK("https://dart.fss.or.kr/dsaf001/main.do?rcpNo=20260219002009", "공시열람")</f>
        <v/>
      </c>
    </row>
    <row r="328">
      <c r="A328" s="2" t="inlineStr">
        <is>
          <t>2026-02-19 (정정: 2026-02-27)</t>
        </is>
      </c>
      <c r="B328" s="3" t="inlineStr">
        <is>
          <t>삼성에피스홀딩스</t>
        </is>
      </c>
      <c r="C328" s="2" t="inlineStr">
        <is>
          <t>코스피</t>
        </is>
      </c>
      <c r="D328" s="2" t="inlineStr">
        <is>
          <t>0126Z0</t>
        </is>
      </c>
      <c r="E328" s="3" t="inlineStr">
        <is>
          <t>주주총회소집공고 (정정: 20260220) (정정: 20260227)</t>
        </is>
      </c>
      <c r="F328" s="3" t="inlineStr">
        <is>
          <t>삼성에피스홀딩스</t>
        </is>
      </c>
      <c r="G328" s="2" t="inlineStr">
        <is>
          <t>20260227006817</t>
        </is>
      </c>
      <c r="H328" s="8">
        <f>HYPERLINK("https://dart.fss.or.kr/dsaf001/main.do?rcpNo=20260227006817", "공시열람")</f>
        <v/>
      </c>
    </row>
    <row r="329">
      <c r="A329" s="2" t="inlineStr">
        <is>
          <t>2026-02-19</t>
        </is>
      </c>
      <c r="B329" s="3" t="inlineStr">
        <is>
          <t>코리아나</t>
        </is>
      </c>
      <c r="C329" s="2" t="inlineStr">
        <is>
          <t>코스닥</t>
        </is>
      </c>
      <c r="D329" s="2" t="inlineStr">
        <is>
          <t>027050</t>
        </is>
      </c>
      <c r="E329" s="3" t="inlineStr">
        <is>
          <t>주주총회소집공고</t>
        </is>
      </c>
      <c r="F329" s="3" t="inlineStr">
        <is>
          <t>코리아나</t>
        </is>
      </c>
      <c r="G329" s="2" t="inlineStr">
        <is>
          <t>20260219000950</t>
        </is>
      </c>
      <c r="H329" s="8">
        <f>HYPERLINK("https://dart.fss.or.kr/dsaf001/main.do?rcpNo=20260219000950", "공시열람")</f>
        <v/>
      </c>
    </row>
    <row r="330">
      <c r="A330" s="2" t="inlineStr">
        <is>
          <t>2026-02-19 (정정: 2026-02-27)</t>
        </is>
      </c>
      <c r="B330" s="3" t="inlineStr">
        <is>
          <t>삼성물산</t>
        </is>
      </c>
      <c r="C330" s="2" t="inlineStr">
        <is>
          <t>코스피</t>
        </is>
      </c>
      <c r="D330" s="2" t="inlineStr">
        <is>
          <t>028260</t>
        </is>
      </c>
      <c r="E330" s="3" t="inlineStr">
        <is>
          <t>주주총회소집공고 (정정: 20260227)</t>
        </is>
      </c>
      <c r="F330" s="3" t="inlineStr">
        <is>
          <t>삼성물산</t>
        </is>
      </c>
      <c r="G330" s="2" t="inlineStr">
        <is>
          <t>20260227008642</t>
        </is>
      </c>
      <c r="H330" s="8">
        <f>HYPERLINK("https://dart.fss.or.kr/dsaf001/main.do?rcpNo=20260227008642", "공시열람")</f>
        <v/>
      </c>
    </row>
    <row r="331">
      <c r="A331" s="2" t="inlineStr">
        <is>
          <t>2026-02-20 (정정: 2026-02-23)</t>
        </is>
      </c>
      <c r="B331" s="3" t="inlineStr">
        <is>
          <t>무림SP</t>
        </is>
      </c>
      <c r="C331" s="2" t="inlineStr">
        <is>
          <t>코스닥</t>
        </is>
      </c>
      <c r="D331" s="2" t="inlineStr">
        <is>
          <t>001810</t>
        </is>
      </c>
      <c r="E331" s="3" t="inlineStr">
        <is>
          <t>주주총회소집공고 (정정: 20260223)</t>
        </is>
      </c>
      <c r="F331" s="3" t="inlineStr">
        <is>
          <t>무림SP</t>
        </is>
      </c>
      <c r="G331" s="2" t="inlineStr">
        <is>
          <t>20260223001594</t>
        </is>
      </c>
      <c r="H331" s="8">
        <f>HYPERLINK("https://dart.fss.or.kr/dsaf001/main.do?rcpNo=20260223001594", "공시열람")</f>
        <v/>
      </c>
    </row>
    <row r="332">
      <c r="A332" s="2" t="inlineStr">
        <is>
          <t>2026-02-20</t>
        </is>
      </c>
      <c r="B332" s="3" t="inlineStr">
        <is>
          <t>무림페이퍼</t>
        </is>
      </c>
      <c r="C332" s="2" t="inlineStr">
        <is>
          <t>코스피</t>
        </is>
      </c>
      <c r="D332" s="2" t="inlineStr">
        <is>
          <t>009200</t>
        </is>
      </c>
      <c r="E332" s="3" t="inlineStr">
        <is>
          <t>주주총회소집공고</t>
        </is>
      </c>
      <c r="F332" s="3" t="inlineStr">
        <is>
          <t>무림페이퍼</t>
        </is>
      </c>
      <c r="G332" s="2" t="inlineStr">
        <is>
          <t>20260220002602</t>
        </is>
      </c>
      <c r="H332" s="8">
        <f>HYPERLINK("https://dart.fss.or.kr/dsaf001/main.do?rcpNo=20260220002602", "공시열람")</f>
        <v/>
      </c>
    </row>
    <row r="333">
      <c r="A333" s="2" t="inlineStr">
        <is>
          <t>2026-02-20 (정정: 2026-02-24)</t>
        </is>
      </c>
      <c r="B333" s="3" t="inlineStr">
        <is>
          <t>무림P&amp;P</t>
        </is>
      </c>
      <c r="C333" s="2" t="inlineStr">
        <is>
          <t>코스피</t>
        </is>
      </c>
      <c r="D333" s="2" t="inlineStr">
        <is>
          <t>009580</t>
        </is>
      </c>
      <c r="E333" s="3" t="inlineStr">
        <is>
          <t>주주총회소집공고 (정정: 20260224)</t>
        </is>
      </c>
      <c r="F333" s="3" t="inlineStr">
        <is>
          <t>무림P&amp;P</t>
        </is>
      </c>
      <c r="G333" s="2" t="inlineStr">
        <is>
          <t>20260224001819</t>
        </is>
      </c>
      <c r="H333" s="8">
        <f>HYPERLINK("https://dart.fss.or.kr/dsaf001/main.do?rcpNo=20260224001819", "공시열람")</f>
        <v/>
      </c>
    </row>
    <row r="334">
      <c r="A334" s="2" t="inlineStr">
        <is>
          <t>2026-02-20</t>
        </is>
      </c>
      <c r="B334" s="3" t="inlineStr">
        <is>
          <t>SK바이오사이언스</t>
        </is>
      </c>
      <c r="C334" s="2" t="inlineStr">
        <is>
          <t>코스피</t>
        </is>
      </c>
      <c r="D334" s="2" t="inlineStr">
        <is>
          <t>302440</t>
        </is>
      </c>
      <c r="E334" s="3" t="inlineStr">
        <is>
          <t>주주총회소집공고</t>
        </is>
      </c>
      <c r="F334" s="3" t="inlineStr">
        <is>
          <t>SK바이오사이언스</t>
        </is>
      </c>
      <c r="G334" s="2" t="inlineStr">
        <is>
          <t>20260220002585</t>
        </is>
      </c>
      <c r="H334" s="8">
        <f>HYPERLINK("https://dart.fss.or.kr/dsaf001/main.do?rcpNo=20260220002585", "공시열람")</f>
        <v/>
      </c>
    </row>
    <row r="335">
      <c r="A335" s="2" t="inlineStr">
        <is>
          <t>2026-02-20 (정정: 2026-02-26)</t>
        </is>
      </c>
      <c r="B335" s="3" t="inlineStr">
        <is>
          <t>HD현대에너지솔루션</t>
        </is>
      </c>
      <c r="C335" s="2" t="inlineStr">
        <is>
          <t>코스피</t>
        </is>
      </c>
      <c r="D335" s="2" t="inlineStr">
        <is>
          <t>322000</t>
        </is>
      </c>
      <c r="E335" s="3" t="inlineStr">
        <is>
          <t>주주총회소집공고 (정정: 20260226)</t>
        </is>
      </c>
      <c r="F335" s="3" t="inlineStr">
        <is>
          <t>HD현대에너지솔루션</t>
        </is>
      </c>
      <c r="G335" s="2" t="inlineStr">
        <is>
          <t>20260226005305</t>
        </is>
      </c>
      <c r="H335" s="8">
        <f>HYPERLINK("https://dart.fss.or.kr/dsaf001/main.do?rcpNo=20260226005305", "공시열람")</f>
        <v/>
      </c>
    </row>
    <row r="336">
      <c r="A336" s="2" t="inlineStr">
        <is>
          <t>2026-02-20 (정정: 2026-03-06)</t>
        </is>
      </c>
      <c r="B336" s="3" t="inlineStr">
        <is>
          <t>한화시스템</t>
        </is>
      </c>
      <c r="C336" s="2" t="inlineStr">
        <is>
          <t>코스피</t>
        </is>
      </c>
      <c r="D336" s="2" t="inlineStr">
        <is>
          <t>272210</t>
        </is>
      </c>
      <c r="E336" s="3" t="inlineStr">
        <is>
          <t>주주총회소집공고 (정정: 20260306) (정정: 20260306)</t>
        </is>
      </c>
      <c r="F336" s="3" t="inlineStr">
        <is>
          <t>한화시스템</t>
        </is>
      </c>
      <c r="G336" s="2" t="inlineStr">
        <is>
          <t>20260306000242</t>
        </is>
      </c>
      <c r="H336" s="8">
        <f>HYPERLINK("https://dart.fss.or.kr/dsaf001/main.do?rcpNo=20260306000242", "공시열람")</f>
        <v/>
      </c>
    </row>
    <row r="337">
      <c r="A337" s="2" t="inlineStr">
        <is>
          <t>2026-02-20</t>
        </is>
      </c>
      <c r="B337" s="3" t="inlineStr">
        <is>
          <t>카카오페이</t>
        </is>
      </c>
      <c r="C337" s="2" t="inlineStr">
        <is>
          <t>코스피</t>
        </is>
      </c>
      <c r="D337" s="2" t="inlineStr">
        <is>
          <t>377300</t>
        </is>
      </c>
      <c r="E337" s="3" t="inlineStr">
        <is>
          <t>주주총회소집공고</t>
        </is>
      </c>
      <c r="F337" s="3" t="inlineStr">
        <is>
          <t>카카오페이</t>
        </is>
      </c>
      <c r="G337" s="2" t="inlineStr">
        <is>
          <t>20260220002235</t>
        </is>
      </c>
      <c r="H337" s="8">
        <f>HYPERLINK("https://dart.fss.or.kr/dsaf001/main.do?rcpNo=20260220002235", "공시열람")</f>
        <v/>
      </c>
    </row>
    <row r="338">
      <c r="A338" s="2" t="inlineStr">
        <is>
          <t>2026-02-20 (정정: 2026-02-24)</t>
        </is>
      </c>
      <c r="B338" s="3" t="inlineStr">
        <is>
          <t>현대그린푸드</t>
        </is>
      </c>
      <c r="C338" s="2" t="inlineStr">
        <is>
          <t>코스피</t>
        </is>
      </c>
      <c r="D338" s="2" t="inlineStr">
        <is>
          <t>453340</t>
        </is>
      </c>
      <c r="E338" s="3" t="inlineStr">
        <is>
          <t>주주총회소집공고 (정정: 20260224)</t>
        </is>
      </c>
      <c r="F338" s="3" t="inlineStr">
        <is>
          <t>현대그린푸드</t>
        </is>
      </c>
      <c r="G338" s="2" t="inlineStr">
        <is>
          <t>20260224001546</t>
        </is>
      </c>
      <c r="H338" s="8">
        <f>HYPERLINK("https://dart.fss.or.kr/dsaf001/main.do?rcpNo=20260224001546", "공시열람")</f>
        <v/>
      </c>
    </row>
    <row r="339">
      <c r="A339" s="2" t="inlineStr">
        <is>
          <t>2026-02-20</t>
        </is>
      </c>
      <c r="B339" s="3" t="inlineStr">
        <is>
          <t>한솔로지스틱스</t>
        </is>
      </c>
      <c r="C339" s="2" t="inlineStr">
        <is>
          <t>코스피</t>
        </is>
      </c>
      <c r="D339" s="2" t="inlineStr">
        <is>
          <t>009180</t>
        </is>
      </c>
      <c r="E339" s="3" t="inlineStr">
        <is>
          <t>주주총회소집공고</t>
        </is>
      </c>
      <c r="F339" s="3" t="inlineStr">
        <is>
          <t>한솔로지스틱스</t>
        </is>
      </c>
      <c r="G339" s="2" t="inlineStr">
        <is>
          <t>20260220002204</t>
        </is>
      </c>
      <c r="H339" s="8">
        <f>HYPERLINK("https://dart.fss.or.kr/dsaf001/main.do?rcpNo=20260220002204", "공시열람")</f>
        <v/>
      </c>
    </row>
    <row r="340">
      <c r="A340" s="2" t="inlineStr">
        <is>
          <t>2026-02-20 (정정: 2026-03-13)</t>
        </is>
      </c>
      <c r="B340" s="3" t="inlineStr">
        <is>
          <t>한솔제지</t>
        </is>
      </c>
      <c r="C340" s="2" t="inlineStr">
        <is>
          <t>코스피</t>
        </is>
      </c>
      <c r="D340" s="2" t="inlineStr">
        <is>
          <t>213500</t>
        </is>
      </c>
      <c r="E340" s="3" t="inlineStr">
        <is>
          <t>주주총회소집공고 (정정: 20260313)</t>
        </is>
      </c>
      <c r="F340" s="3" t="inlineStr">
        <is>
          <t>한솔제지</t>
        </is>
      </c>
      <c r="G340" s="2" t="inlineStr">
        <is>
          <t>20260313001328</t>
        </is>
      </c>
      <c r="H340" s="8">
        <f>HYPERLINK("https://dart.fss.or.kr/dsaf001/main.do?rcpNo=20260313001328", "공시열람")</f>
        <v/>
      </c>
    </row>
    <row r="341">
      <c r="A341" s="2" t="inlineStr">
        <is>
          <t>2026-02-20</t>
        </is>
      </c>
      <c r="B341" s="3" t="inlineStr">
        <is>
          <t>현대에버다임</t>
        </is>
      </c>
      <c r="C341" s="2" t="inlineStr">
        <is>
          <t>코스닥</t>
        </is>
      </c>
      <c r="D341" s="2" t="inlineStr">
        <is>
          <t>041440</t>
        </is>
      </c>
      <c r="E341" s="3" t="inlineStr">
        <is>
          <t>주주총회소집공고</t>
        </is>
      </c>
      <c r="F341" s="3" t="inlineStr">
        <is>
          <t>현대에버다임</t>
        </is>
      </c>
      <c r="G341" s="2" t="inlineStr">
        <is>
          <t>20260220002133</t>
        </is>
      </c>
      <c r="H341" s="8">
        <f>HYPERLINK("https://dart.fss.or.kr/dsaf001/main.do?rcpNo=20260220002133", "공시열람")</f>
        <v/>
      </c>
    </row>
    <row r="342">
      <c r="A342" s="2" t="inlineStr">
        <is>
          <t>2026-02-20 (정정: 2026-02-27)</t>
        </is>
      </c>
      <c r="B342" s="3" t="inlineStr">
        <is>
          <t>한탑</t>
        </is>
      </c>
      <c r="C342" s="2" t="inlineStr">
        <is>
          <t>코스닥</t>
        </is>
      </c>
      <c r="D342" s="2" t="inlineStr">
        <is>
          <t>002680</t>
        </is>
      </c>
      <c r="E342" s="3" t="inlineStr">
        <is>
          <t>주주총회소집공고 (정정: 20260227)</t>
        </is>
      </c>
      <c r="F342" s="3" t="inlineStr">
        <is>
          <t>한탑</t>
        </is>
      </c>
      <c r="G342" s="2" t="inlineStr">
        <is>
          <t>20260227007397</t>
        </is>
      </c>
      <c r="H342" s="8">
        <f>HYPERLINK("https://dart.fss.or.kr/dsaf001/main.do?rcpNo=20260227007397", "공시열람")</f>
        <v/>
      </c>
    </row>
    <row r="343">
      <c r="A343" s="2" t="inlineStr">
        <is>
          <t>2026-02-20 (정정: 2026-02-25)</t>
        </is>
      </c>
      <c r="B343" s="3" t="inlineStr">
        <is>
          <t>에코마케팅</t>
        </is>
      </c>
      <c r="C343" s="2" t="inlineStr">
        <is>
          <t>코스닥</t>
        </is>
      </c>
      <c r="D343" s="2" t="inlineStr">
        <is>
          <t>230360</t>
        </is>
      </c>
      <c r="E343" s="3" t="inlineStr">
        <is>
          <t>주주총회소집공고 (정정: 20260225)</t>
        </is>
      </c>
      <c r="F343" s="3" t="inlineStr">
        <is>
          <t>에코마케팅</t>
        </is>
      </c>
      <c r="G343" s="2" t="inlineStr">
        <is>
          <t>20260225004954</t>
        </is>
      </c>
      <c r="H343" s="8">
        <f>HYPERLINK("https://dart.fss.or.kr/dsaf001/main.do?rcpNo=20260225004954", "공시열람")</f>
        <v/>
      </c>
    </row>
    <row r="344">
      <c r="A344" s="2" t="inlineStr">
        <is>
          <t>2026-02-20</t>
        </is>
      </c>
      <c r="B344" s="3" t="inlineStr">
        <is>
          <t>지누스</t>
        </is>
      </c>
      <c r="C344" s="2" t="inlineStr">
        <is>
          <t>코스피</t>
        </is>
      </c>
      <c r="D344" s="2" t="inlineStr">
        <is>
          <t>013890</t>
        </is>
      </c>
      <c r="E344" s="3" t="inlineStr">
        <is>
          <t>주주총회소집공고</t>
        </is>
      </c>
      <c r="F344" s="3" t="inlineStr">
        <is>
          <t>지누스</t>
        </is>
      </c>
      <c r="G344" s="2" t="inlineStr">
        <is>
          <t>20260220001976</t>
        </is>
      </c>
      <c r="H344" s="8">
        <f>HYPERLINK("https://dart.fss.or.kr/dsaf001/main.do?rcpNo=20260220001976", "공시열람")</f>
        <v/>
      </c>
    </row>
    <row r="345">
      <c r="A345" s="2" t="inlineStr">
        <is>
          <t>2026-02-20</t>
        </is>
      </c>
      <c r="B345" s="3" t="inlineStr">
        <is>
          <t>삼양바이오팜</t>
        </is>
      </c>
      <c r="C345" s="2" t="inlineStr">
        <is>
          <t>코스피</t>
        </is>
      </c>
      <c r="D345" s="2" t="inlineStr">
        <is>
          <t>0120G0</t>
        </is>
      </c>
      <c r="E345" s="3" t="inlineStr">
        <is>
          <t>주주총회소집공고</t>
        </is>
      </c>
      <c r="F345" s="3" t="inlineStr">
        <is>
          <t>삼양바이오팜</t>
        </is>
      </c>
      <c r="G345" s="2" t="inlineStr">
        <is>
          <t>20260220001936</t>
        </is>
      </c>
      <c r="H345" s="8">
        <f>HYPERLINK("https://dart.fss.or.kr/dsaf001/main.do?rcpNo=20260220001936", "공시열람")</f>
        <v/>
      </c>
    </row>
    <row r="346">
      <c r="A346" s="2" t="inlineStr">
        <is>
          <t>2026-02-20</t>
        </is>
      </c>
      <c r="B346" s="3" t="inlineStr">
        <is>
          <t>삼양패키징</t>
        </is>
      </c>
      <c r="C346" s="2" t="inlineStr">
        <is>
          <t>코스피</t>
        </is>
      </c>
      <c r="D346" s="2" t="inlineStr">
        <is>
          <t>272550</t>
        </is>
      </c>
      <c r="E346" s="3" t="inlineStr">
        <is>
          <t>주주총회소집공고</t>
        </is>
      </c>
      <c r="F346" s="3" t="inlineStr">
        <is>
          <t>삼양패키징</t>
        </is>
      </c>
      <c r="G346" s="2" t="inlineStr">
        <is>
          <t>20260220001743</t>
        </is>
      </c>
      <c r="H346" s="8">
        <f>HYPERLINK("https://dart.fss.or.kr/dsaf001/main.do?rcpNo=20260220001743", "공시열람")</f>
        <v/>
      </c>
    </row>
    <row r="347">
      <c r="A347" s="2" t="inlineStr">
        <is>
          <t>2026-02-20</t>
        </is>
      </c>
      <c r="B347" s="3" t="inlineStr">
        <is>
          <t>솔본</t>
        </is>
      </c>
      <c r="C347" s="2" t="inlineStr">
        <is>
          <t>코스닥</t>
        </is>
      </c>
      <c r="D347" s="2" t="inlineStr">
        <is>
          <t>035610</t>
        </is>
      </c>
      <c r="E347" s="3" t="inlineStr">
        <is>
          <t>주주총회소집공고</t>
        </is>
      </c>
      <c r="F347" s="3" t="inlineStr">
        <is>
          <t>솔본</t>
        </is>
      </c>
      <c r="G347" s="2" t="inlineStr">
        <is>
          <t>20260220001732</t>
        </is>
      </c>
      <c r="H347" s="8">
        <f>HYPERLINK("https://dart.fss.or.kr/dsaf001/main.do?rcpNo=20260220001732", "공시열람")</f>
        <v/>
      </c>
    </row>
    <row r="348">
      <c r="A348" s="2" t="inlineStr">
        <is>
          <t>2026-02-20 (정정: 2026-02-24)</t>
        </is>
      </c>
      <c r="B348" s="3" t="inlineStr">
        <is>
          <t>NAVER</t>
        </is>
      </c>
      <c r="C348" s="2" t="inlineStr">
        <is>
          <t>코스피</t>
        </is>
      </c>
      <c r="D348" s="2" t="inlineStr">
        <is>
          <t>035420</t>
        </is>
      </c>
      <c r="E348" s="3" t="inlineStr">
        <is>
          <t>주주총회소집공고 (정정: 20260224)</t>
        </is>
      </c>
      <c r="F348" s="3" t="inlineStr">
        <is>
          <t>NAVER</t>
        </is>
      </c>
      <c r="G348" s="2" t="inlineStr">
        <is>
          <t>20260224003127</t>
        </is>
      </c>
      <c r="H348" s="8">
        <f>HYPERLINK("https://dart.fss.or.kr/dsaf001/main.do?rcpNo=20260224003127", "공시열람")</f>
        <v/>
      </c>
    </row>
    <row r="349">
      <c r="A349" s="2" t="inlineStr">
        <is>
          <t>2026-02-20</t>
        </is>
      </c>
      <c r="B349" s="3" t="inlineStr">
        <is>
          <t>상신전자</t>
        </is>
      </c>
      <c r="C349" s="2" t="inlineStr">
        <is>
          <t>코스닥</t>
        </is>
      </c>
      <c r="D349" s="2" t="inlineStr">
        <is>
          <t>263810</t>
        </is>
      </c>
      <c r="E349" s="3" t="inlineStr">
        <is>
          <t>주주총회소집공고</t>
        </is>
      </c>
      <c r="F349" s="3" t="inlineStr">
        <is>
          <t>상신전자</t>
        </is>
      </c>
      <c r="G349" s="2" t="inlineStr">
        <is>
          <t>20260220001684</t>
        </is>
      </c>
      <c r="H349" s="8">
        <f>HYPERLINK("https://dart.fss.or.kr/dsaf001/main.do?rcpNo=20260220001684", "공시열람")</f>
        <v/>
      </c>
    </row>
    <row r="350">
      <c r="A350" s="2" t="inlineStr">
        <is>
          <t>2026-02-20 (정정: 2026-02-23)</t>
        </is>
      </c>
      <c r="B350" s="3" t="inlineStr">
        <is>
          <t>삼양엔씨켐</t>
        </is>
      </c>
      <c r="C350" s="2" t="inlineStr">
        <is>
          <t>코스닥</t>
        </is>
      </c>
      <c r="D350" s="2" t="inlineStr">
        <is>
          <t>482630</t>
        </is>
      </c>
      <c r="E350" s="3" t="inlineStr">
        <is>
          <t>주주총회소집공고 (정정: 20260223)</t>
        </is>
      </c>
      <c r="F350" s="3" t="inlineStr">
        <is>
          <t>삼양엔씨켐</t>
        </is>
      </c>
      <c r="G350" s="2" t="inlineStr">
        <is>
          <t>20260223001543</t>
        </is>
      </c>
      <c r="H350" s="8">
        <f>HYPERLINK("https://dart.fss.or.kr/dsaf001/main.do?rcpNo=20260223001543", "공시열람")</f>
        <v/>
      </c>
    </row>
    <row r="351">
      <c r="A351" s="2" t="inlineStr">
        <is>
          <t>2026-02-20</t>
        </is>
      </c>
      <c r="B351" s="3" t="inlineStr">
        <is>
          <t>신성이엔지</t>
        </is>
      </c>
      <c r="C351" s="2" t="inlineStr">
        <is>
          <t>코스피</t>
        </is>
      </c>
      <c r="D351" s="2" t="inlineStr">
        <is>
          <t>011930</t>
        </is>
      </c>
      <c r="E351" s="3" t="inlineStr">
        <is>
          <t>주주총회소집공고</t>
        </is>
      </c>
      <c r="F351" s="3" t="inlineStr">
        <is>
          <t>신성이엔지</t>
        </is>
      </c>
      <c r="G351" s="2" t="inlineStr">
        <is>
          <t>20260220001476</t>
        </is>
      </c>
      <c r="H351" s="8">
        <f>HYPERLINK("https://dart.fss.or.kr/dsaf001/main.do?rcpNo=20260220001476", "공시열람")</f>
        <v/>
      </c>
    </row>
    <row r="352">
      <c r="A352" s="2" t="inlineStr">
        <is>
          <t>2026-02-20 (정정: 2026-03-04)</t>
        </is>
      </c>
      <c r="B352" s="3" t="inlineStr">
        <is>
          <t>케이씨텍</t>
        </is>
      </c>
      <c r="C352" s="2" t="inlineStr">
        <is>
          <t>코스피</t>
        </is>
      </c>
      <c r="D352" s="2" t="inlineStr">
        <is>
          <t>281820</t>
        </is>
      </c>
      <c r="E352" s="3" t="inlineStr">
        <is>
          <t>주주총회소집공고 (정정: 20260304)</t>
        </is>
      </c>
      <c r="F352" s="3" t="inlineStr">
        <is>
          <t>케이씨텍</t>
        </is>
      </c>
      <c r="G352" s="2" t="inlineStr">
        <is>
          <t>20260304001644</t>
        </is>
      </c>
      <c r="H352" s="8">
        <f>HYPERLINK("https://dart.fss.or.kr/dsaf001/main.do?rcpNo=20260304001644", "공시열람")</f>
        <v/>
      </c>
    </row>
    <row r="353">
      <c r="A353" s="2" t="inlineStr">
        <is>
          <t>2026-02-20</t>
        </is>
      </c>
      <c r="B353" s="3" t="inlineStr">
        <is>
          <t>진양폴리우레탄</t>
        </is>
      </c>
      <c r="C353" s="2" t="inlineStr">
        <is>
          <t>코스피</t>
        </is>
      </c>
      <c r="D353" s="2" t="inlineStr">
        <is>
          <t>010640</t>
        </is>
      </c>
      <c r="E353" s="3" t="inlineStr">
        <is>
          <t>주주총회소집공고</t>
        </is>
      </c>
      <c r="F353" s="3" t="inlineStr">
        <is>
          <t>진양폴리우레탄</t>
        </is>
      </c>
      <c r="G353" s="2" t="inlineStr">
        <is>
          <t>20260220001216</t>
        </is>
      </c>
      <c r="H353" s="8">
        <f>HYPERLINK("https://dart.fss.or.kr/dsaf001/main.do?rcpNo=20260220001216", "공시열람")</f>
        <v/>
      </c>
    </row>
    <row r="354">
      <c r="A354" s="2" t="inlineStr">
        <is>
          <t>2026-02-20</t>
        </is>
      </c>
      <c r="B354" s="3" t="inlineStr">
        <is>
          <t>자이글</t>
        </is>
      </c>
      <c r="C354" s="2" t="inlineStr">
        <is>
          <t>코스닥</t>
        </is>
      </c>
      <c r="D354" s="2" t="inlineStr">
        <is>
          <t>234920</t>
        </is>
      </c>
      <c r="E354" s="3" t="inlineStr">
        <is>
          <t>주주총회소집공고</t>
        </is>
      </c>
      <c r="F354" s="3" t="inlineStr">
        <is>
          <t>자이글</t>
        </is>
      </c>
      <c r="G354" s="2" t="inlineStr">
        <is>
          <t>20260220001028</t>
        </is>
      </c>
      <c r="H354" s="8">
        <f>HYPERLINK("https://dart.fss.or.kr/dsaf001/main.do?rcpNo=20260220001028", "공시열람")</f>
        <v/>
      </c>
    </row>
    <row r="355">
      <c r="A355" s="2" t="inlineStr">
        <is>
          <t>2026-02-20 (정정: 2026-03-19)</t>
        </is>
      </c>
      <c r="B355" s="3" t="inlineStr">
        <is>
          <t>삼양케이씨아이</t>
        </is>
      </c>
      <c r="C355" s="2" t="inlineStr">
        <is>
          <t>코스닥</t>
        </is>
      </c>
      <c r="D355" s="2" t="inlineStr">
        <is>
          <t>036670</t>
        </is>
      </c>
      <c r="E355" s="3" t="inlineStr">
        <is>
          <t>주주총회소집공고 (정정: 20260304) (정정: 20260304) (정정: 20260319)</t>
        </is>
      </c>
      <c r="F355" s="3" t="inlineStr">
        <is>
          <t>삼양케이씨아이</t>
        </is>
      </c>
      <c r="G355" s="2" t="inlineStr">
        <is>
          <t>20260319000673</t>
        </is>
      </c>
      <c r="H355" s="8">
        <f>HYPERLINK("https://dart.fss.or.kr/dsaf001/main.do?rcpNo=20260319000673", "공시열람")</f>
        <v/>
      </c>
    </row>
    <row r="356">
      <c r="A356" s="2" t="inlineStr">
        <is>
          <t>2026-02-20</t>
        </is>
      </c>
      <c r="B356" s="3" t="inlineStr">
        <is>
          <t>우리기술투자</t>
        </is>
      </c>
      <c r="C356" s="2" t="inlineStr">
        <is>
          <t>코스닥</t>
        </is>
      </c>
      <c r="D356" s="2" t="inlineStr">
        <is>
          <t>041190</t>
        </is>
      </c>
      <c r="E356" s="3" t="inlineStr">
        <is>
          <t>주주총회소집공고</t>
        </is>
      </c>
      <c r="F356" s="3" t="inlineStr">
        <is>
          <t>우리기술투자</t>
        </is>
      </c>
      <c r="G356" s="2" t="inlineStr">
        <is>
          <t>20260220000945</t>
        </is>
      </c>
      <c r="H356" s="8">
        <f>HYPERLINK("https://dart.fss.or.kr/dsaf001/main.do?rcpNo=20260220000945", "공시열람")</f>
        <v/>
      </c>
    </row>
    <row r="357">
      <c r="A357" s="2" t="inlineStr">
        <is>
          <t>2026-02-20</t>
        </is>
      </c>
      <c r="B357" s="3" t="inlineStr">
        <is>
          <t>미래에셋비전스팩4호</t>
        </is>
      </c>
      <c r="C357" s="2" t="inlineStr">
        <is>
          <t>코스닥</t>
        </is>
      </c>
      <c r="D357" s="2" t="inlineStr">
        <is>
          <t>477380</t>
        </is>
      </c>
      <c r="E357" s="3" t="inlineStr">
        <is>
          <t>주주총회소집공고</t>
        </is>
      </c>
      <c r="F357" s="3" t="inlineStr">
        <is>
          <t>미래에셋비전스팩4호</t>
        </is>
      </c>
      <c r="G357" s="2" t="inlineStr">
        <is>
          <t>20260220000593</t>
        </is>
      </c>
      <c r="H357" s="8">
        <f>HYPERLINK("https://dart.fss.or.kr/dsaf001/main.do?rcpNo=20260220000593", "공시열람")</f>
        <v/>
      </c>
    </row>
    <row r="358">
      <c r="A358" s="2" t="inlineStr">
        <is>
          <t>2026-02-20</t>
        </is>
      </c>
      <c r="B358" s="3" t="inlineStr">
        <is>
          <t>진양화학</t>
        </is>
      </c>
      <c r="C358" s="2" t="inlineStr">
        <is>
          <t>코스피</t>
        </is>
      </c>
      <c r="D358" s="2" t="inlineStr">
        <is>
          <t>051630</t>
        </is>
      </c>
      <c r="E358" s="3" t="inlineStr">
        <is>
          <t>주주총회소집공고</t>
        </is>
      </c>
      <c r="F358" s="3" t="inlineStr">
        <is>
          <t>진양화학</t>
        </is>
      </c>
      <c r="G358" s="2" t="inlineStr">
        <is>
          <t>20260220000495</t>
        </is>
      </c>
      <c r="H358" s="8">
        <f>HYPERLINK("https://dart.fss.or.kr/dsaf001/main.do?rcpNo=20260220000495", "공시열람")</f>
        <v/>
      </c>
    </row>
    <row r="359">
      <c r="A359" s="2" t="inlineStr">
        <is>
          <t>2026-02-23 (정정: 2026-03-05)</t>
        </is>
      </c>
      <c r="B359" s="3" t="inlineStr">
        <is>
          <t>고려아연</t>
        </is>
      </c>
      <c r="C359" s="2" t="inlineStr">
        <is>
          <t>코스피</t>
        </is>
      </c>
      <c r="D359" s="2" t="inlineStr">
        <is>
          <t>010130</t>
        </is>
      </c>
      <c r="E359" s="3" t="inlineStr">
        <is>
          <t>주주총회소집공고 (정정: 20260225) (정정: 20260305) (정정: 20260305)</t>
        </is>
      </c>
      <c r="F359" s="3" t="inlineStr">
        <is>
          <t>고려아연</t>
        </is>
      </c>
      <c r="G359" s="2" t="inlineStr">
        <is>
          <t>20260305001616</t>
        </is>
      </c>
      <c r="H359" s="8">
        <f>HYPERLINK("https://dart.fss.or.kr/dsaf001/main.do?rcpNo=20260305001616", "공시열람")</f>
        <v/>
      </c>
    </row>
    <row r="360">
      <c r="A360" s="2" t="inlineStr">
        <is>
          <t>2026-02-23 (정정: 2026-03-06)</t>
        </is>
      </c>
      <c r="B360" s="3" t="inlineStr">
        <is>
          <t>SKC</t>
        </is>
      </c>
      <c r="C360" s="2" t="inlineStr">
        <is>
          <t>코스피</t>
        </is>
      </c>
      <c r="D360" s="2" t="inlineStr">
        <is>
          <t>011790</t>
        </is>
      </c>
      <c r="E360" s="3" t="inlineStr">
        <is>
          <t>주주총회소집공고 (정정: 20260304) (정정: 20260304) (정정: 20260304) (정정: 20260306)</t>
        </is>
      </c>
      <c r="F360" s="3" t="inlineStr">
        <is>
          <t>SKC</t>
        </is>
      </c>
      <c r="G360" s="2" t="inlineStr">
        <is>
          <t>20260306800447</t>
        </is>
      </c>
      <c r="H360" s="8">
        <f>HYPERLINK("https://dart.fss.or.kr/dsaf001/main.do?rcpNo=20260306800447", "공시열람")</f>
        <v/>
      </c>
    </row>
    <row r="361">
      <c r="A361" s="2" t="inlineStr">
        <is>
          <t>2026-02-23</t>
        </is>
      </c>
      <c r="B361" s="3" t="inlineStr">
        <is>
          <t>에코프로에이치엔</t>
        </is>
      </c>
      <c r="C361" s="2" t="inlineStr">
        <is>
          <t>코스닥</t>
        </is>
      </c>
      <c r="D361" s="2" t="inlineStr">
        <is>
          <t>383310</t>
        </is>
      </c>
      <c r="E361" s="3" t="inlineStr">
        <is>
          <t>주주총회소집공고</t>
        </is>
      </c>
      <c r="F361" s="3" t="inlineStr">
        <is>
          <t>에코프로에이치엔</t>
        </is>
      </c>
      <c r="G361" s="2" t="inlineStr">
        <is>
          <t>20260223004129</t>
        </is>
      </c>
      <c r="H361" s="8">
        <f>HYPERLINK("https://dart.fss.or.kr/dsaf001/main.do?rcpNo=20260223004129", "공시열람")</f>
        <v/>
      </c>
    </row>
    <row r="362">
      <c r="A362" s="2" t="inlineStr">
        <is>
          <t>2026-02-23</t>
        </is>
      </c>
      <c r="B362" s="3" t="inlineStr">
        <is>
          <t>GS건설</t>
        </is>
      </c>
      <c r="C362" s="2" t="inlineStr">
        <is>
          <t>코스피</t>
        </is>
      </c>
      <c r="D362" s="2" t="inlineStr">
        <is>
          <t>006360</t>
        </is>
      </c>
      <c r="E362" s="3" t="inlineStr">
        <is>
          <t>주주총회소집공고</t>
        </is>
      </c>
      <c r="F362" s="3" t="inlineStr">
        <is>
          <t>GS건설</t>
        </is>
      </c>
      <c r="G362" s="2" t="inlineStr">
        <is>
          <t>20260223004100</t>
        </is>
      </c>
      <c r="H362" s="8">
        <f>HYPERLINK("https://dart.fss.or.kr/dsaf001/main.do?rcpNo=20260223004100", "공시열람")</f>
        <v/>
      </c>
    </row>
    <row r="363">
      <c r="A363" s="2" t="inlineStr">
        <is>
          <t>2026-02-23</t>
        </is>
      </c>
      <c r="B363" s="3" t="inlineStr">
        <is>
          <t>테이팩스</t>
        </is>
      </c>
      <c r="C363" s="2" t="inlineStr">
        <is>
          <t>코스피</t>
        </is>
      </c>
      <c r="D363" s="2" t="inlineStr">
        <is>
          <t>055490</t>
        </is>
      </c>
      <c r="E363" s="3" t="inlineStr">
        <is>
          <t>주주총회소집공고</t>
        </is>
      </c>
      <c r="F363" s="3" t="inlineStr">
        <is>
          <t>테이팩스</t>
        </is>
      </c>
      <c r="G363" s="2" t="inlineStr">
        <is>
          <t>20260223004093</t>
        </is>
      </c>
      <c r="H363" s="8">
        <f>HYPERLINK("https://dart.fss.or.kr/dsaf001/main.do?rcpNo=20260223004093", "공시열람")</f>
        <v/>
      </c>
    </row>
    <row r="364">
      <c r="A364" s="2" t="inlineStr">
        <is>
          <t>2026-02-23 (정정: 2026-03-09)</t>
        </is>
      </c>
      <c r="B364" s="3" t="inlineStr">
        <is>
          <t>한화에어로스페이스</t>
        </is>
      </c>
      <c r="C364" s="2" t="inlineStr">
        <is>
          <t>코스피</t>
        </is>
      </c>
      <c r="D364" s="2" t="inlineStr">
        <is>
          <t>012450</t>
        </is>
      </c>
      <c r="E364" s="3" t="inlineStr">
        <is>
          <t>주주총회소집공고 (정정: 20260309) (정정: 20260309) (정정: 20260309)</t>
        </is>
      </c>
      <c r="F364" s="3" t="inlineStr">
        <is>
          <t>한화에어로스페이스</t>
        </is>
      </c>
      <c r="G364" s="2" t="inlineStr">
        <is>
          <t>20260309801319</t>
        </is>
      </c>
      <c r="H364" s="8">
        <f>HYPERLINK("https://dart.fss.or.kr/dsaf001/main.do?rcpNo=20260309801319", "공시열람")</f>
        <v/>
      </c>
    </row>
    <row r="365">
      <c r="A365" s="2" t="inlineStr">
        <is>
          <t>2026-02-23</t>
        </is>
      </c>
      <c r="B365" s="3" t="inlineStr">
        <is>
          <t>삼성증권</t>
        </is>
      </c>
      <c r="C365" s="2" t="inlineStr">
        <is>
          <t>코스피</t>
        </is>
      </c>
      <c r="D365" s="2" t="inlineStr">
        <is>
          <t>016360</t>
        </is>
      </c>
      <c r="E365" s="3" t="inlineStr">
        <is>
          <t>주주총회소집공고</t>
        </is>
      </c>
      <c r="F365" s="3" t="inlineStr">
        <is>
          <t>삼성증권</t>
        </is>
      </c>
      <c r="G365" s="2" t="inlineStr">
        <is>
          <t>20260223004027</t>
        </is>
      </c>
      <c r="H365" s="8">
        <f>HYPERLINK("https://dart.fss.or.kr/dsaf001/main.do?rcpNo=20260223004027", "공시열람")</f>
        <v/>
      </c>
    </row>
    <row r="366">
      <c r="A366" s="2" t="inlineStr">
        <is>
          <t>2026-02-23 (정정: 2026-02-25)</t>
        </is>
      </c>
      <c r="B366" s="3" t="inlineStr">
        <is>
          <t>KG스틸</t>
        </is>
      </c>
      <c r="C366" s="2" t="inlineStr">
        <is>
          <t>코스피</t>
        </is>
      </c>
      <c r="D366" s="2" t="inlineStr">
        <is>
          <t>016380</t>
        </is>
      </c>
      <c r="E366" s="3" t="inlineStr">
        <is>
          <t>주주총회소집공고 (정정: 20260225)</t>
        </is>
      </c>
      <c r="F366" s="3" t="inlineStr">
        <is>
          <t>KG스틸</t>
        </is>
      </c>
      <c r="G366" s="2" t="inlineStr">
        <is>
          <t>20260225001611</t>
        </is>
      </c>
      <c r="H366" s="8">
        <f>HYPERLINK("https://dart.fss.or.kr/dsaf001/main.do?rcpNo=20260225001611", "공시열람")</f>
        <v/>
      </c>
    </row>
    <row r="367">
      <c r="A367" s="2" t="inlineStr">
        <is>
          <t>2026-02-23 (정정: 2026-03-06)</t>
        </is>
      </c>
      <c r="B367" s="3" t="inlineStr">
        <is>
          <t>한화비전</t>
        </is>
      </c>
      <c r="C367" s="2" t="inlineStr">
        <is>
          <t>코스피</t>
        </is>
      </c>
      <c r="D367" s="2" t="inlineStr">
        <is>
          <t>489790</t>
        </is>
      </c>
      <c r="E367" s="3" t="inlineStr">
        <is>
          <t>주주총회소집공고 (정정: 20260227) (정정: 20260306) (정정: 20260306) (정정: 20260306)</t>
        </is>
      </c>
      <c r="F367" s="3" t="inlineStr">
        <is>
          <t>한화비전</t>
        </is>
      </c>
      <c r="G367" s="2" t="inlineStr">
        <is>
          <t>20260306800629</t>
        </is>
      </c>
      <c r="H367" s="8">
        <f>HYPERLINK("https://dart.fss.or.kr/dsaf001/main.do?rcpNo=20260306800629", "공시열람")</f>
        <v/>
      </c>
    </row>
    <row r="368">
      <c r="A368" s="2" t="inlineStr">
        <is>
          <t>2026-02-23 (정정: 2026-03-04)</t>
        </is>
      </c>
      <c r="B368" s="3" t="inlineStr">
        <is>
          <t>브이엠</t>
        </is>
      </c>
      <c r="C368" s="2" t="inlineStr">
        <is>
          <t>코스닥</t>
        </is>
      </c>
      <c r="D368" s="2" t="inlineStr">
        <is>
          <t>089970</t>
        </is>
      </c>
      <c r="E368" s="3" t="inlineStr">
        <is>
          <t>주주총회소집공고 (정정: 20260304)</t>
        </is>
      </c>
      <c r="F368" s="3" t="inlineStr">
        <is>
          <t>브이엠</t>
        </is>
      </c>
      <c r="G368" s="2" t="inlineStr">
        <is>
          <t>20260304000197</t>
        </is>
      </c>
      <c r="H368" s="8">
        <f>HYPERLINK("https://dart.fss.or.kr/dsaf001/main.do?rcpNo=20260304000197", "공시열람")</f>
        <v/>
      </c>
    </row>
    <row r="369">
      <c r="A369" s="2" t="inlineStr">
        <is>
          <t>2026-02-23 (정정: 2026-03-18)</t>
        </is>
      </c>
      <c r="B369" s="3" t="inlineStr">
        <is>
          <t>LG헬로비전</t>
        </is>
      </c>
      <c r="C369" s="2" t="inlineStr">
        <is>
          <t>코스피</t>
        </is>
      </c>
      <c r="D369" s="2" t="inlineStr">
        <is>
          <t>037560</t>
        </is>
      </c>
      <c r="E369" s="3" t="inlineStr">
        <is>
          <t>주주총회소집공고 (정정: 20260318)</t>
        </is>
      </c>
      <c r="F369" s="3" t="inlineStr">
        <is>
          <t>LG헬로비전</t>
        </is>
      </c>
      <c r="G369" s="2" t="inlineStr">
        <is>
          <t>20260318000550</t>
        </is>
      </c>
      <c r="H369" s="8">
        <f>HYPERLINK("https://dart.fss.or.kr/dsaf001/main.do?rcpNo=20260318000550", "공시열람")</f>
        <v/>
      </c>
    </row>
    <row r="370">
      <c r="A370" s="2" t="inlineStr">
        <is>
          <t>2026-02-23</t>
        </is>
      </c>
      <c r="B370" s="3" t="inlineStr">
        <is>
          <t>삼립</t>
        </is>
      </c>
      <c r="C370" s="2" t="inlineStr">
        <is>
          <t>코스피</t>
        </is>
      </c>
      <c r="D370" s="2" t="inlineStr">
        <is>
          <t>005610</t>
        </is>
      </c>
      <c r="E370" s="3" t="inlineStr">
        <is>
          <t>주주총회소집공고</t>
        </is>
      </c>
      <c r="F370" s="3" t="inlineStr">
        <is>
          <t>삼립</t>
        </is>
      </c>
      <c r="G370" s="2" t="inlineStr">
        <is>
          <t>20260223003931</t>
        </is>
      </c>
      <c r="H370" s="8">
        <f>HYPERLINK("https://dart.fss.or.kr/dsaf001/main.do?rcpNo=20260223003931", "공시열람")</f>
        <v/>
      </c>
    </row>
    <row r="371">
      <c r="A371" s="2" t="inlineStr">
        <is>
          <t>2026-02-23</t>
        </is>
      </c>
      <c r="B371" s="3" t="inlineStr">
        <is>
          <t>HD현대마린엔진</t>
        </is>
      </c>
      <c r="C371" s="2" t="inlineStr">
        <is>
          <t>코스피</t>
        </is>
      </c>
      <c r="D371" s="2" t="inlineStr">
        <is>
          <t>071970</t>
        </is>
      </c>
      <c r="E371" s="3" t="inlineStr">
        <is>
          <t>주주총회소집공고</t>
        </is>
      </c>
      <c r="F371" s="3" t="inlineStr">
        <is>
          <t>HD현대마린엔진</t>
        </is>
      </c>
      <c r="G371" s="2" t="inlineStr">
        <is>
          <t>20260223003906</t>
        </is>
      </c>
      <c r="H371" s="8">
        <f>HYPERLINK("https://dart.fss.or.kr/dsaf001/main.do?rcpNo=20260223003906", "공시열람")</f>
        <v/>
      </c>
    </row>
    <row r="372">
      <c r="A372" s="2" t="inlineStr">
        <is>
          <t>2026-02-23</t>
        </is>
      </c>
      <c r="B372" s="3" t="inlineStr">
        <is>
          <t>인티큐브</t>
        </is>
      </c>
      <c r="C372" s="2" t="inlineStr">
        <is>
          <t>코스닥</t>
        </is>
      </c>
      <c r="D372" s="2" t="inlineStr">
        <is>
          <t>070590</t>
        </is>
      </c>
      <c r="E372" s="3" t="inlineStr">
        <is>
          <t>주주총회소집공고</t>
        </is>
      </c>
      <c r="F372" s="3" t="inlineStr">
        <is>
          <t>인티큐브</t>
        </is>
      </c>
      <c r="G372" s="2" t="inlineStr">
        <is>
          <t>20260223003895</t>
        </is>
      </c>
      <c r="H372" s="8">
        <f>HYPERLINK("https://dart.fss.or.kr/dsaf001/main.do?rcpNo=20260223003895", "공시열람")</f>
        <v/>
      </c>
    </row>
    <row r="373">
      <c r="A373" s="2" t="inlineStr">
        <is>
          <t>2026-02-23</t>
        </is>
      </c>
      <c r="B373" s="3" t="inlineStr">
        <is>
          <t>신세계인터내셔날</t>
        </is>
      </c>
      <c r="C373" s="2" t="inlineStr">
        <is>
          <t>코스피</t>
        </is>
      </c>
      <c r="D373" s="2" t="inlineStr">
        <is>
          <t>031430</t>
        </is>
      </c>
      <c r="E373" s="3" t="inlineStr">
        <is>
          <t>주주총회소집공고</t>
        </is>
      </c>
      <c r="F373" s="3" t="inlineStr">
        <is>
          <t>신세계인터내셔날</t>
        </is>
      </c>
      <c r="G373" s="2" t="inlineStr">
        <is>
          <t>20260223003872</t>
        </is>
      </c>
      <c r="H373" s="8">
        <f>HYPERLINK("https://dart.fss.or.kr/dsaf001/main.do?rcpNo=20260223003872", "공시열람")</f>
        <v/>
      </c>
    </row>
    <row r="374">
      <c r="A374" s="2" t="inlineStr">
        <is>
          <t>2026-02-23</t>
        </is>
      </c>
      <c r="B374" s="3" t="inlineStr">
        <is>
          <t>현대비앤지스틸</t>
        </is>
      </c>
      <c r="C374" s="2" t="inlineStr">
        <is>
          <t>코스피</t>
        </is>
      </c>
      <c r="D374" s="2" t="inlineStr">
        <is>
          <t>004560</t>
        </is>
      </c>
      <c r="E374" s="3" t="inlineStr">
        <is>
          <t>주주총회소집공고</t>
        </is>
      </c>
      <c r="F374" s="3" t="inlineStr">
        <is>
          <t>현대비앤지스틸</t>
        </is>
      </c>
      <c r="G374" s="2" t="inlineStr">
        <is>
          <t>20260223003797</t>
        </is>
      </c>
      <c r="H374" s="8">
        <f>HYPERLINK("https://dart.fss.or.kr/dsaf001/main.do?rcpNo=20260223003797", "공시열람")</f>
        <v/>
      </c>
    </row>
    <row r="375">
      <c r="A375" s="2" t="inlineStr">
        <is>
          <t>2026-02-23 (정정: 2026-03-06)</t>
        </is>
      </c>
      <c r="B375" s="3" t="inlineStr">
        <is>
          <t>크래프톤</t>
        </is>
      </c>
      <c r="C375" s="2" t="inlineStr">
        <is>
          <t>코스피</t>
        </is>
      </c>
      <c r="D375" s="2" t="inlineStr">
        <is>
          <t>259960</t>
        </is>
      </c>
      <c r="E375" s="3" t="inlineStr">
        <is>
          <t>주주총회소집공고 (정정: 20260306)</t>
        </is>
      </c>
      <c r="F375" s="3" t="inlineStr">
        <is>
          <t>크래프톤</t>
        </is>
      </c>
      <c r="G375" s="2" t="inlineStr">
        <is>
          <t>20260306801011</t>
        </is>
      </c>
      <c r="H375" s="8">
        <f>HYPERLINK("https://dart.fss.or.kr/dsaf001/main.do?rcpNo=20260306801011", "공시열람")</f>
        <v/>
      </c>
    </row>
    <row r="376">
      <c r="A376" s="2" t="inlineStr">
        <is>
          <t>2026-02-23</t>
        </is>
      </c>
      <c r="B376" s="3" t="inlineStr">
        <is>
          <t>LG생활건강</t>
        </is>
      </c>
      <c r="C376" s="2" t="inlineStr">
        <is>
          <t>코스피</t>
        </is>
      </c>
      <c r="D376" s="2" t="inlineStr">
        <is>
          <t>051900</t>
        </is>
      </c>
      <c r="E376" s="3" t="inlineStr">
        <is>
          <t>주주총회소집공고</t>
        </is>
      </c>
      <c r="F376" s="3" t="inlineStr">
        <is>
          <t>LG생활건강</t>
        </is>
      </c>
      <c r="G376" s="2" t="inlineStr">
        <is>
          <t>20260223003794</t>
        </is>
      </c>
      <c r="H376" s="8">
        <f>HYPERLINK("https://dart.fss.or.kr/dsaf001/main.do?rcpNo=20260223003794", "공시열람")</f>
        <v/>
      </c>
    </row>
    <row r="377">
      <c r="A377" s="2" t="inlineStr">
        <is>
          <t>2026-02-23 (정정: 2026-03-10)</t>
        </is>
      </c>
      <c r="B377" s="3" t="inlineStr">
        <is>
          <t>NC</t>
        </is>
      </c>
      <c r="C377" s="2" t="inlineStr">
        <is>
          <t>코스피</t>
        </is>
      </c>
      <c r="D377" s="2" t="inlineStr">
        <is>
          <t>036570</t>
        </is>
      </c>
      <c r="E377" s="3" t="inlineStr">
        <is>
          <t>주주총회소집공고 (정정: 20260310) (정정: 20260310)</t>
        </is>
      </c>
      <c r="F377" s="3" t="inlineStr">
        <is>
          <t>NC</t>
        </is>
      </c>
      <c r="G377" s="2" t="inlineStr">
        <is>
          <t>20260310002522</t>
        </is>
      </c>
      <c r="H377" s="8">
        <f>HYPERLINK("https://dart.fss.or.kr/dsaf001/main.do?rcpNo=20260310002522", "공시열람")</f>
        <v/>
      </c>
    </row>
    <row r="378">
      <c r="A378" s="2" t="inlineStr">
        <is>
          <t>2026-02-23</t>
        </is>
      </c>
      <c r="B378" s="3" t="inlineStr">
        <is>
          <t>세아베스틸지주</t>
        </is>
      </c>
      <c r="C378" s="2" t="inlineStr">
        <is>
          <t>코스피</t>
        </is>
      </c>
      <c r="D378" s="2" t="inlineStr">
        <is>
          <t>001430</t>
        </is>
      </c>
      <c r="E378" s="3" t="inlineStr">
        <is>
          <t>주주총회소집공고</t>
        </is>
      </c>
      <c r="F378" s="3" t="inlineStr">
        <is>
          <t>세아베스틸지주</t>
        </is>
      </c>
      <c r="G378" s="2" t="inlineStr">
        <is>
          <t>20260223003724</t>
        </is>
      </c>
      <c r="H378" s="8">
        <f>HYPERLINK("https://dart.fss.or.kr/dsaf001/main.do?rcpNo=20260223003724", "공시열람")</f>
        <v/>
      </c>
    </row>
    <row r="379">
      <c r="A379" s="2" t="inlineStr">
        <is>
          <t>2026-02-23</t>
        </is>
      </c>
      <c r="B379" s="3" t="inlineStr">
        <is>
          <t>아시아나항공</t>
        </is>
      </c>
      <c r="C379" s="2" t="inlineStr">
        <is>
          <t>코스피</t>
        </is>
      </c>
      <c r="D379" s="2" t="inlineStr">
        <is>
          <t>020560</t>
        </is>
      </c>
      <c r="E379" s="3" t="inlineStr">
        <is>
          <t>주주총회소집공고</t>
        </is>
      </c>
      <c r="F379" s="3" t="inlineStr">
        <is>
          <t>아시아나항공</t>
        </is>
      </c>
      <c r="G379" s="2" t="inlineStr">
        <is>
          <t>20260223003696</t>
        </is>
      </c>
      <c r="H379" s="8">
        <f>HYPERLINK("https://dart.fss.or.kr/dsaf001/main.do?rcpNo=20260223003696", "공시열람")</f>
        <v/>
      </c>
    </row>
    <row r="380">
      <c r="A380" s="2" t="inlineStr">
        <is>
          <t>2026-02-23</t>
        </is>
      </c>
      <c r="B380" s="3" t="inlineStr">
        <is>
          <t>DB하이텍</t>
        </is>
      </c>
      <c r="C380" s="2" t="inlineStr">
        <is>
          <t>코스피</t>
        </is>
      </c>
      <c r="D380" s="2" t="inlineStr">
        <is>
          <t>000990</t>
        </is>
      </c>
      <c r="E380" s="3" t="inlineStr">
        <is>
          <t>주주총회소집공고</t>
        </is>
      </c>
      <c r="F380" s="3" t="inlineStr">
        <is>
          <t>DB하이텍</t>
        </is>
      </c>
      <c r="G380" s="2" t="inlineStr">
        <is>
          <t>20260223003628</t>
        </is>
      </c>
      <c r="H380" s="8">
        <f>HYPERLINK("https://dart.fss.or.kr/dsaf001/main.do?rcpNo=20260223003628", "공시열람")</f>
        <v/>
      </c>
    </row>
    <row r="381">
      <c r="A381" s="2" t="inlineStr">
        <is>
          <t>2026-02-23</t>
        </is>
      </c>
      <c r="B381" s="3" t="inlineStr">
        <is>
          <t>한화솔루션</t>
        </is>
      </c>
      <c r="C381" s="2" t="inlineStr">
        <is>
          <t>코스피</t>
        </is>
      </c>
      <c r="D381" s="2" t="inlineStr">
        <is>
          <t>009830</t>
        </is>
      </c>
      <c r="E381" s="3" t="inlineStr">
        <is>
          <t>주주총회소집공고</t>
        </is>
      </c>
      <c r="F381" s="3" t="inlineStr">
        <is>
          <t>한화솔루션</t>
        </is>
      </c>
      <c r="G381" s="2" t="inlineStr">
        <is>
          <t>20260223003624</t>
        </is>
      </c>
      <c r="H381" s="8">
        <f>HYPERLINK("https://dart.fss.or.kr/dsaf001/main.do?rcpNo=20260223003624", "공시열람")</f>
        <v/>
      </c>
    </row>
    <row r="382">
      <c r="A382" s="2" t="inlineStr">
        <is>
          <t>2026-02-23</t>
        </is>
      </c>
      <c r="B382" s="3" t="inlineStr">
        <is>
          <t>대한유화</t>
        </is>
      </c>
      <c r="C382" s="2" t="inlineStr">
        <is>
          <t>코스피</t>
        </is>
      </c>
      <c r="D382" s="2" t="inlineStr">
        <is>
          <t>006650</t>
        </is>
      </c>
      <c r="E382" s="3" t="inlineStr">
        <is>
          <t>주주총회소집공고</t>
        </is>
      </c>
      <c r="F382" s="3" t="inlineStr">
        <is>
          <t>대한유화</t>
        </is>
      </c>
      <c r="G382" s="2" t="inlineStr">
        <is>
          <t>20260223003619</t>
        </is>
      </c>
      <c r="H382" s="8">
        <f>HYPERLINK("https://dart.fss.or.kr/dsaf001/main.do?rcpNo=20260223003619", "공시열람")</f>
        <v/>
      </c>
    </row>
    <row r="383">
      <c r="A383" s="2" t="inlineStr">
        <is>
          <t>2026-02-23</t>
        </is>
      </c>
      <c r="B383" s="3" t="inlineStr">
        <is>
          <t>평화홀딩스</t>
        </is>
      </c>
      <c r="C383" s="2" t="inlineStr">
        <is>
          <t>코스피</t>
        </is>
      </c>
      <c r="D383" s="2" t="inlineStr">
        <is>
          <t>010770</t>
        </is>
      </c>
      <c r="E383" s="3" t="inlineStr">
        <is>
          <t>주주총회소집공고</t>
        </is>
      </c>
      <c r="F383" s="3" t="inlineStr">
        <is>
          <t>평화홀딩스</t>
        </is>
      </c>
      <c r="G383" s="2" t="inlineStr">
        <is>
          <t>20260223003610</t>
        </is>
      </c>
      <c r="H383" s="8">
        <f>HYPERLINK("https://dart.fss.or.kr/dsaf001/main.do?rcpNo=20260223003610", "공시열람")</f>
        <v/>
      </c>
    </row>
    <row r="384">
      <c r="A384" s="2" t="inlineStr">
        <is>
          <t>2026-02-23</t>
        </is>
      </c>
      <c r="B384" s="3" t="inlineStr">
        <is>
          <t>평화산업</t>
        </is>
      </c>
      <c r="C384" s="2" t="inlineStr">
        <is>
          <t>코스피</t>
        </is>
      </c>
      <c r="D384" s="2" t="inlineStr">
        <is>
          <t>090080</t>
        </is>
      </c>
      <c r="E384" s="3" t="inlineStr">
        <is>
          <t>주주총회소집공고</t>
        </is>
      </c>
      <c r="F384" s="3" t="inlineStr">
        <is>
          <t>평화산업</t>
        </is>
      </c>
      <c r="G384" s="2" t="inlineStr">
        <is>
          <t>20260223003597</t>
        </is>
      </c>
      <c r="H384" s="8">
        <f>HYPERLINK("https://dart.fss.or.kr/dsaf001/main.do?rcpNo=20260223003597", "공시열람")</f>
        <v/>
      </c>
    </row>
    <row r="385">
      <c r="A385" s="2" t="inlineStr">
        <is>
          <t>2026-02-23</t>
        </is>
      </c>
      <c r="B385" s="3" t="inlineStr">
        <is>
          <t>LG유플러스</t>
        </is>
      </c>
      <c r="C385" s="2" t="inlineStr">
        <is>
          <t>코스피</t>
        </is>
      </c>
      <c r="D385" s="2" t="inlineStr">
        <is>
          <t>032640</t>
        </is>
      </c>
      <c r="E385" s="3" t="inlineStr">
        <is>
          <t>주주총회소집공고</t>
        </is>
      </c>
      <c r="F385" s="3" t="inlineStr">
        <is>
          <t>LG유플러스</t>
        </is>
      </c>
      <c r="G385" s="2" t="inlineStr">
        <is>
          <t>20260223003574</t>
        </is>
      </c>
      <c r="H385" s="8">
        <f>HYPERLINK("https://dart.fss.or.kr/dsaf001/main.do?rcpNo=20260223003574", "공시열람")</f>
        <v/>
      </c>
    </row>
    <row r="386">
      <c r="A386" s="2" t="inlineStr">
        <is>
          <t>2026-02-23</t>
        </is>
      </c>
      <c r="B386" s="3" t="inlineStr">
        <is>
          <t>경동도시가스</t>
        </is>
      </c>
      <c r="C386" s="2" t="inlineStr">
        <is>
          <t>코스피</t>
        </is>
      </c>
      <c r="D386" s="2" t="inlineStr">
        <is>
          <t>267290</t>
        </is>
      </c>
      <c r="E386" s="3" t="inlineStr">
        <is>
          <t>주주총회소집공고</t>
        </is>
      </c>
      <c r="F386" s="3" t="inlineStr">
        <is>
          <t>경동도시가스</t>
        </is>
      </c>
      <c r="G386" s="2" t="inlineStr">
        <is>
          <t>20260223003528</t>
        </is>
      </c>
      <c r="H386" s="8">
        <f>HYPERLINK("https://dart.fss.or.kr/dsaf001/main.do?rcpNo=20260223003528", "공시열람")</f>
        <v/>
      </c>
    </row>
    <row r="387">
      <c r="A387" s="2" t="inlineStr">
        <is>
          <t>2026-02-23</t>
        </is>
      </c>
      <c r="B387" s="3" t="inlineStr">
        <is>
          <t>클로봇</t>
        </is>
      </c>
      <c r="C387" s="2" t="inlineStr">
        <is>
          <t>코스닥</t>
        </is>
      </c>
      <c r="D387" s="2" t="inlineStr">
        <is>
          <t>466100</t>
        </is>
      </c>
      <c r="E387" s="3" t="inlineStr">
        <is>
          <t>주주총회소집공고</t>
        </is>
      </c>
      <c r="F387" s="3" t="inlineStr">
        <is>
          <t>클로봇</t>
        </is>
      </c>
      <c r="G387" s="2" t="inlineStr">
        <is>
          <t>20260223003514</t>
        </is>
      </c>
      <c r="H387" s="8">
        <f>HYPERLINK("https://dart.fss.or.kr/dsaf001/main.do?rcpNo=20260223003514", "공시열람")</f>
        <v/>
      </c>
    </row>
    <row r="388">
      <c r="A388" s="2" t="inlineStr">
        <is>
          <t>2026-02-23</t>
        </is>
      </c>
      <c r="B388" s="3" t="inlineStr">
        <is>
          <t>인천도시가스</t>
        </is>
      </c>
      <c r="C388" s="2" t="inlineStr">
        <is>
          <t>코스피</t>
        </is>
      </c>
      <c r="D388" s="2" t="inlineStr">
        <is>
          <t>034590</t>
        </is>
      </c>
      <c r="E388" s="3" t="inlineStr">
        <is>
          <t>주주총회소집공고</t>
        </is>
      </c>
      <c r="F388" s="3" t="inlineStr">
        <is>
          <t>인천도시가스</t>
        </is>
      </c>
      <c r="G388" s="2" t="inlineStr">
        <is>
          <t>20260223003503</t>
        </is>
      </c>
      <c r="H388" s="8">
        <f>HYPERLINK("https://dart.fss.or.kr/dsaf001/main.do?rcpNo=20260223003503", "공시열람")</f>
        <v/>
      </c>
    </row>
    <row r="389">
      <c r="A389" s="2" t="inlineStr">
        <is>
          <t>2026-02-23</t>
        </is>
      </c>
      <c r="B389" s="3" t="inlineStr">
        <is>
          <t>빅솔론</t>
        </is>
      </c>
      <c r="C389" s="2" t="inlineStr">
        <is>
          <t>코스닥</t>
        </is>
      </c>
      <c r="D389" s="2" t="inlineStr">
        <is>
          <t>093190</t>
        </is>
      </c>
      <c r="E389" s="3" t="inlineStr">
        <is>
          <t>주주총회소집공고</t>
        </is>
      </c>
      <c r="F389" s="3" t="inlineStr">
        <is>
          <t>빅솔론</t>
        </is>
      </c>
      <c r="G389" s="2" t="inlineStr">
        <is>
          <t>20260223003435</t>
        </is>
      </c>
      <c r="H389" s="8">
        <f>HYPERLINK("https://dart.fss.or.kr/dsaf001/main.do?rcpNo=20260223003435", "공시열람")</f>
        <v/>
      </c>
    </row>
    <row r="390">
      <c r="A390" s="2" t="inlineStr">
        <is>
          <t>2026-02-23 (정정: 2026-03-04)</t>
        </is>
      </c>
      <c r="B390" s="3" t="inlineStr">
        <is>
          <t>케이씨</t>
        </is>
      </c>
      <c r="C390" s="2" t="inlineStr">
        <is>
          <t>코스피</t>
        </is>
      </c>
      <c r="D390" s="2" t="inlineStr">
        <is>
          <t>029460</t>
        </is>
      </c>
      <c r="E390" s="3" t="inlineStr">
        <is>
          <t>주주총회소집공고 (정정: 20260304)</t>
        </is>
      </c>
      <c r="F390" s="3" t="inlineStr">
        <is>
          <t>케이씨</t>
        </is>
      </c>
      <c r="G390" s="2" t="inlineStr">
        <is>
          <t>20260304001607</t>
        </is>
      </c>
      <c r="H390" s="8">
        <f>HYPERLINK("https://dart.fss.or.kr/dsaf001/main.do?rcpNo=20260304001607", "공시열람")</f>
        <v/>
      </c>
    </row>
    <row r="391">
      <c r="A391" s="2" t="inlineStr">
        <is>
          <t>2026-02-23</t>
        </is>
      </c>
      <c r="B391" s="3" t="inlineStr">
        <is>
          <t>신세계</t>
        </is>
      </c>
      <c r="C391" s="2" t="inlineStr">
        <is>
          <t>코스피</t>
        </is>
      </c>
      <c r="D391" s="2" t="inlineStr">
        <is>
          <t>004170</t>
        </is>
      </c>
      <c r="E391" s="3" t="inlineStr">
        <is>
          <t>주주총회소집공고</t>
        </is>
      </c>
      <c r="F391" s="3" t="inlineStr">
        <is>
          <t>신세계</t>
        </is>
      </c>
      <c r="G391" s="2" t="inlineStr">
        <is>
          <t>20260223003373</t>
        </is>
      </c>
      <c r="H391" s="8">
        <f>HYPERLINK("https://dart.fss.or.kr/dsaf001/main.do?rcpNo=20260223003373", "공시열람")</f>
        <v/>
      </c>
    </row>
    <row r="392">
      <c r="A392" s="2" t="inlineStr">
        <is>
          <t>2026-02-23</t>
        </is>
      </c>
      <c r="B392" s="3" t="inlineStr">
        <is>
          <t>경남스틸</t>
        </is>
      </c>
      <c r="C392" s="2" t="inlineStr">
        <is>
          <t>코스닥</t>
        </is>
      </c>
      <c r="D392" s="2" t="inlineStr">
        <is>
          <t>039240</t>
        </is>
      </c>
      <c r="E392" s="3" t="inlineStr">
        <is>
          <t>주주총회소집공고</t>
        </is>
      </c>
      <c r="F392" s="3" t="inlineStr">
        <is>
          <t>경남스틸</t>
        </is>
      </c>
      <c r="G392" s="2" t="inlineStr">
        <is>
          <t>20260223003338</t>
        </is>
      </c>
      <c r="H392" s="8">
        <f>HYPERLINK("https://dart.fss.or.kr/dsaf001/main.do?rcpNo=20260223003338", "공시열람")</f>
        <v/>
      </c>
    </row>
    <row r="393">
      <c r="A393" s="2" t="inlineStr">
        <is>
          <t>2026-02-23</t>
        </is>
      </c>
      <c r="B393" s="3" t="inlineStr">
        <is>
          <t>자이에스앤디</t>
        </is>
      </c>
      <c r="C393" s="2" t="inlineStr">
        <is>
          <t>코스피</t>
        </is>
      </c>
      <c r="D393" s="2" t="inlineStr">
        <is>
          <t>317400</t>
        </is>
      </c>
      <c r="E393" s="3" t="inlineStr">
        <is>
          <t>주주총회소집공고</t>
        </is>
      </c>
      <c r="F393" s="3" t="inlineStr">
        <is>
          <t>자이에스앤디</t>
        </is>
      </c>
      <c r="G393" s="2" t="inlineStr">
        <is>
          <t>20260223003326</t>
        </is>
      </c>
      <c r="H393" s="8">
        <f>HYPERLINK("https://dart.fss.or.kr/dsaf001/main.do?rcpNo=20260223003326", "공시열람")</f>
        <v/>
      </c>
    </row>
    <row r="394">
      <c r="A394" s="2" t="inlineStr">
        <is>
          <t>2026-02-23 (정정: 2026-02-24)</t>
        </is>
      </c>
      <c r="B394" s="3" t="inlineStr">
        <is>
          <t>HDC랩스</t>
        </is>
      </c>
      <c r="C394" s="2" t="inlineStr">
        <is>
          <t>코스피</t>
        </is>
      </c>
      <c r="D394" s="2" t="inlineStr">
        <is>
          <t>039570</t>
        </is>
      </c>
      <c r="E394" s="3" t="inlineStr">
        <is>
          <t>주주총회소집공고 (정정: 20260224)</t>
        </is>
      </c>
      <c r="F394" s="3" t="inlineStr">
        <is>
          <t>HDC랩스</t>
        </is>
      </c>
      <c r="G394" s="2" t="inlineStr">
        <is>
          <t>20260224004398</t>
        </is>
      </c>
      <c r="H394" s="8">
        <f>HYPERLINK("https://dart.fss.or.kr/dsaf001/main.do?rcpNo=20260224004398", "공시열람")</f>
        <v/>
      </c>
    </row>
    <row r="395">
      <c r="A395" s="2" t="inlineStr">
        <is>
          <t>2026-02-23 (정정: 2026-03-11)</t>
        </is>
      </c>
      <c r="B395" s="3" t="inlineStr">
        <is>
          <t>애경케미칼</t>
        </is>
      </c>
      <c r="C395" s="2" t="inlineStr">
        <is>
          <t>코스피</t>
        </is>
      </c>
      <c r="D395" s="2" t="inlineStr">
        <is>
          <t>161000</t>
        </is>
      </c>
      <c r="E395" s="3" t="inlineStr">
        <is>
          <t>주주총회소집공고 (정정: 20260306) (정정: 20260306) (정정: 20260311)</t>
        </is>
      </c>
      <c r="F395" s="3" t="inlineStr">
        <is>
          <t>애경케미칼</t>
        </is>
      </c>
      <c r="G395" s="2" t="inlineStr">
        <is>
          <t>20260311003331</t>
        </is>
      </c>
      <c r="H395" s="8">
        <f>HYPERLINK("https://dart.fss.or.kr/dsaf001/main.do?rcpNo=20260311003331", "공시열람")</f>
        <v/>
      </c>
    </row>
    <row r="396">
      <c r="A396" s="2" t="inlineStr">
        <is>
          <t>2026-02-23</t>
        </is>
      </c>
      <c r="B396" s="3" t="inlineStr">
        <is>
          <t>삼진제약</t>
        </is>
      </c>
      <c r="C396" s="2" t="inlineStr">
        <is>
          <t>코스피</t>
        </is>
      </c>
      <c r="D396" s="2" t="inlineStr">
        <is>
          <t>005500</t>
        </is>
      </c>
      <c r="E396" s="3" t="inlineStr">
        <is>
          <t>주주총회소집공고</t>
        </is>
      </c>
      <c r="F396" s="3" t="inlineStr">
        <is>
          <t>삼진제약</t>
        </is>
      </c>
      <c r="G396" s="2" t="inlineStr">
        <is>
          <t>20260223003160</t>
        </is>
      </c>
      <c r="H396" s="8">
        <f>HYPERLINK("https://dart.fss.or.kr/dsaf001/main.do?rcpNo=20260223003160", "공시열람")</f>
        <v/>
      </c>
    </row>
    <row r="397">
      <c r="A397" s="2" t="inlineStr">
        <is>
          <t>2026-02-23</t>
        </is>
      </c>
      <c r="B397" s="3" t="inlineStr">
        <is>
          <t>한섬</t>
        </is>
      </c>
      <c r="C397" s="2" t="inlineStr">
        <is>
          <t>코스피</t>
        </is>
      </c>
      <c r="D397" s="2" t="inlineStr">
        <is>
          <t>020000</t>
        </is>
      </c>
      <c r="E397" s="3" t="inlineStr">
        <is>
          <t>주주총회소집공고</t>
        </is>
      </c>
      <c r="F397" s="3" t="inlineStr">
        <is>
          <t>한섬</t>
        </is>
      </c>
      <c r="G397" s="2" t="inlineStr">
        <is>
          <t>20260223003055</t>
        </is>
      </c>
      <c r="H397" s="8">
        <f>HYPERLINK("https://dart.fss.or.kr/dsaf001/main.do?rcpNo=20260223003055", "공시열람")</f>
        <v/>
      </c>
    </row>
    <row r="398">
      <c r="A398" s="2" t="inlineStr">
        <is>
          <t>2026-02-23</t>
        </is>
      </c>
      <c r="B398" s="3" t="inlineStr">
        <is>
          <t>효성 ITX</t>
        </is>
      </c>
      <c r="C398" s="2" t="inlineStr">
        <is>
          <t>코스피</t>
        </is>
      </c>
      <c r="D398" s="2" t="inlineStr">
        <is>
          <t>094280</t>
        </is>
      </c>
      <c r="E398" s="3" t="inlineStr">
        <is>
          <t>주주총회소집공고</t>
        </is>
      </c>
      <c r="F398" s="3" t="inlineStr">
        <is>
          <t>효성 ITX</t>
        </is>
      </c>
      <c r="G398" s="2" t="inlineStr">
        <is>
          <t>20260223002979</t>
        </is>
      </c>
      <c r="H398" s="8">
        <f>HYPERLINK("https://dart.fss.or.kr/dsaf001/main.do?rcpNo=20260223002979", "공시열람")</f>
        <v/>
      </c>
    </row>
    <row r="399">
      <c r="A399" s="2" t="inlineStr">
        <is>
          <t>2026-02-23</t>
        </is>
      </c>
      <c r="B399" s="3" t="inlineStr">
        <is>
          <t>HD현대일렉트릭</t>
        </is>
      </c>
      <c r="C399" s="2" t="inlineStr">
        <is>
          <t>코스피</t>
        </is>
      </c>
      <c r="D399" s="2" t="inlineStr">
        <is>
          <t>267260</t>
        </is>
      </c>
      <c r="E399" s="3" t="inlineStr">
        <is>
          <t>주주총회소집공고</t>
        </is>
      </c>
      <c r="F399" s="3" t="inlineStr">
        <is>
          <t>HD현대일렉트릭</t>
        </is>
      </c>
      <c r="G399" s="2" t="inlineStr">
        <is>
          <t>20260223002953</t>
        </is>
      </c>
      <c r="H399" s="8">
        <f>HYPERLINK("https://dart.fss.or.kr/dsaf001/main.do?rcpNo=20260223002953", "공시열람")</f>
        <v/>
      </c>
    </row>
    <row r="400">
      <c r="A400" s="2" t="inlineStr">
        <is>
          <t>2026-02-23</t>
        </is>
      </c>
      <c r="B400" s="3" t="inlineStr">
        <is>
          <t>가온전선</t>
        </is>
      </c>
      <c r="C400" s="2" t="inlineStr">
        <is>
          <t>코스피</t>
        </is>
      </c>
      <c r="D400" s="2" t="inlineStr">
        <is>
          <t>000500</t>
        </is>
      </c>
      <c r="E400" s="3" t="inlineStr">
        <is>
          <t>주주총회소집공고</t>
        </is>
      </c>
      <c r="F400" s="3" t="inlineStr">
        <is>
          <t>가온전선</t>
        </is>
      </c>
      <c r="G400" s="2" t="inlineStr">
        <is>
          <t>20260223002946</t>
        </is>
      </c>
      <c r="H400" s="8">
        <f>HYPERLINK("https://dart.fss.or.kr/dsaf001/main.do?rcpNo=20260223002946", "공시열람")</f>
        <v/>
      </c>
    </row>
    <row r="401">
      <c r="A401" s="2" t="inlineStr">
        <is>
          <t>2026-02-23</t>
        </is>
      </c>
      <c r="B401" s="3" t="inlineStr">
        <is>
          <t>HDC현대EP</t>
        </is>
      </c>
      <c r="C401" s="2" t="inlineStr">
        <is>
          <t>코스피</t>
        </is>
      </c>
      <c r="D401" s="2" t="inlineStr">
        <is>
          <t>089470</t>
        </is>
      </c>
      <c r="E401" s="3" t="inlineStr">
        <is>
          <t>주주총회소집공고</t>
        </is>
      </c>
      <c r="F401" s="3" t="inlineStr">
        <is>
          <t>HDC현대EP</t>
        </is>
      </c>
      <c r="G401" s="2" t="inlineStr">
        <is>
          <t>20260223002792</t>
        </is>
      </c>
      <c r="H401" s="8">
        <f>HYPERLINK("https://dart.fss.or.kr/dsaf001/main.do?rcpNo=20260223002792", "공시열람")</f>
        <v/>
      </c>
    </row>
    <row r="402">
      <c r="A402" s="2" t="inlineStr">
        <is>
          <t>2026-02-23</t>
        </is>
      </c>
      <c r="B402" s="3" t="inlineStr">
        <is>
          <t>INVENI</t>
        </is>
      </c>
      <c r="C402" s="2" t="inlineStr">
        <is>
          <t>코스피</t>
        </is>
      </c>
      <c r="D402" s="2" t="inlineStr">
        <is>
          <t>015360</t>
        </is>
      </c>
      <c r="E402" s="3" t="inlineStr">
        <is>
          <t>주주총회소집공고</t>
        </is>
      </c>
      <c r="F402" s="3" t="inlineStr">
        <is>
          <t>INVENI</t>
        </is>
      </c>
      <c r="G402" s="2" t="inlineStr">
        <is>
          <t>20260223002782</t>
        </is>
      </c>
      <c r="H402" s="8">
        <f>HYPERLINK("https://dart.fss.or.kr/dsaf001/main.do?rcpNo=20260223002782", "공시열람")</f>
        <v/>
      </c>
    </row>
    <row r="403">
      <c r="A403" s="2" t="inlineStr">
        <is>
          <t>2026-02-23 (정정: 2026-05-29)</t>
        </is>
      </c>
      <c r="B403" s="3" t="inlineStr">
        <is>
          <t>삼원강재</t>
        </is>
      </c>
      <c r="C403" s="2" t="inlineStr">
        <is>
          <t>코스피</t>
        </is>
      </c>
      <c r="D403" s="2" t="inlineStr">
        <is>
          <t>023000</t>
        </is>
      </c>
      <c r="E403" s="3" t="inlineStr">
        <is>
          <t>주주총회소집공고 (정정: 20260529)</t>
        </is>
      </c>
      <c r="F403" s="3" t="inlineStr">
        <is>
          <t>삼원강재</t>
        </is>
      </c>
      <c r="G403" s="2" t="inlineStr">
        <is>
          <t>20260529801702</t>
        </is>
      </c>
      <c r="H403" s="8">
        <f>HYPERLINK("https://dart.fss.or.kr/dsaf001/main.do?rcpNo=20260529801702", "공시열람")</f>
        <v/>
      </c>
    </row>
    <row r="404">
      <c r="A404" s="2" t="inlineStr">
        <is>
          <t>2026-02-23 (정정: 2026-03-19)</t>
        </is>
      </c>
      <c r="B404" s="3" t="inlineStr">
        <is>
          <t>현대리바트</t>
        </is>
      </c>
      <c r="C404" s="2" t="inlineStr">
        <is>
          <t>코스피</t>
        </is>
      </c>
      <c r="D404" s="2" t="inlineStr">
        <is>
          <t>079430</t>
        </is>
      </c>
      <c r="E404" s="3" t="inlineStr">
        <is>
          <t>주주총회소집공고 (정정: 20260319)</t>
        </is>
      </c>
      <c r="F404" s="3" t="inlineStr">
        <is>
          <t>현대리바트</t>
        </is>
      </c>
      <c r="G404" s="2" t="inlineStr">
        <is>
          <t>20260319000207</t>
        </is>
      </c>
      <c r="H404" s="8">
        <f>HYPERLINK("https://dart.fss.or.kr/dsaf001/main.do?rcpNo=20260319000207", "공시열람")</f>
        <v/>
      </c>
    </row>
    <row r="405">
      <c r="A405" s="2" t="inlineStr">
        <is>
          <t>2026-02-23 (정정: 2026-03-05)</t>
        </is>
      </c>
      <c r="B405" s="3" t="inlineStr">
        <is>
          <t>화승엔터프라이즈</t>
        </is>
      </c>
      <c r="C405" s="2" t="inlineStr">
        <is>
          <t>코스피</t>
        </is>
      </c>
      <c r="D405" s="2" t="inlineStr">
        <is>
          <t>241590</t>
        </is>
      </c>
      <c r="E405" s="3" t="inlineStr">
        <is>
          <t>주주총회소집공고 (정정: 20260305) (정정: 20260305) (정정: 20260305)</t>
        </is>
      </c>
      <c r="F405" s="3" t="inlineStr">
        <is>
          <t>화승엔터프라이즈</t>
        </is>
      </c>
      <c r="G405" s="2" t="inlineStr">
        <is>
          <t>20260305801348</t>
        </is>
      </c>
      <c r="H405" s="8">
        <f>HYPERLINK("https://dart.fss.or.kr/dsaf001/main.do?rcpNo=20260305801348", "공시열람")</f>
        <v/>
      </c>
    </row>
    <row r="406">
      <c r="A406" s="2" t="inlineStr">
        <is>
          <t>2026-02-23</t>
        </is>
      </c>
      <c r="B406" s="3" t="inlineStr">
        <is>
          <t>HD현대마린솔루션</t>
        </is>
      </c>
      <c r="C406" s="2" t="inlineStr">
        <is>
          <t>코스피</t>
        </is>
      </c>
      <c r="D406" s="2" t="inlineStr">
        <is>
          <t>443060</t>
        </is>
      </c>
      <c r="E406" s="3" t="inlineStr">
        <is>
          <t>주주총회소집공고</t>
        </is>
      </c>
      <c r="F406" s="3" t="inlineStr">
        <is>
          <t>HD현대마린솔루션</t>
        </is>
      </c>
      <c r="G406" s="2" t="inlineStr">
        <is>
          <t>20260223002367</t>
        </is>
      </c>
      <c r="H406" s="8">
        <f>HYPERLINK("https://dart.fss.or.kr/dsaf001/main.do?rcpNo=20260223002367", "공시열람")</f>
        <v/>
      </c>
    </row>
    <row r="407">
      <c r="A407" s="2" t="inlineStr">
        <is>
          <t>2026-02-23 (정정: 2026-03-05)</t>
        </is>
      </c>
      <c r="B407" s="3" t="inlineStr">
        <is>
          <t>화승인더스트리</t>
        </is>
      </c>
      <c r="C407" s="2" t="inlineStr">
        <is>
          <t>코스피</t>
        </is>
      </c>
      <c r="D407" s="2" t="inlineStr">
        <is>
          <t>006060</t>
        </is>
      </c>
      <c r="E407" s="3" t="inlineStr">
        <is>
          <t>주주총회소집공고 (정정: 20260305) (정정: 20260305)</t>
        </is>
      </c>
      <c r="F407" s="3" t="inlineStr">
        <is>
          <t>화승인더스트리</t>
        </is>
      </c>
      <c r="G407" s="2" t="inlineStr">
        <is>
          <t>20260305001311</t>
        </is>
      </c>
      <c r="H407" s="8">
        <f>HYPERLINK("https://dart.fss.or.kr/dsaf001/main.do?rcpNo=20260305001311", "공시열람")</f>
        <v/>
      </c>
    </row>
    <row r="408">
      <c r="A408" s="2" t="inlineStr">
        <is>
          <t>2026-02-23</t>
        </is>
      </c>
      <c r="B408" s="3" t="inlineStr">
        <is>
          <t>진양홀딩스</t>
        </is>
      </c>
      <c r="C408" s="2" t="inlineStr">
        <is>
          <t>코스피</t>
        </is>
      </c>
      <c r="D408" s="2" t="inlineStr">
        <is>
          <t>100250</t>
        </is>
      </c>
      <c r="E408" s="3" t="inlineStr">
        <is>
          <t>주주총회소집공고</t>
        </is>
      </c>
      <c r="F408" s="3" t="inlineStr">
        <is>
          <t>진양홀딩스</t>
        </is>
      </c>
      <c r="G408" s="2" t="inlineStr">
        <is>
          <t>20260223002008</t>
        </is>
      </c>
      <c r="H408" s="8">
        <f>HYPERLINK("https://dart.fss.or.kr/dsaf001/main.do?rcpNo=20260223002008", "공시열람")</f>
        <v/>
      </c>
    </row>
    <row r="409">
      <c r="A409" s="2" t="inlineStr">
        <is>
          <t>2026-02-23</t>
        </is>
      </c>
      <c r="B409" s="3" t="inlineStr">
        <is>
          <t>SP삼화</t>
        </is>
      </c>
      <c r="C409" s="2" t="inlineStr">
        <is>
          <t>코스피</t>
        </is>
      </c>
      <c r="D409" s="2" t="inlineStr">
        <is>
          <t>000390</t>
        </is>
      </c>
      <c r="E409" s="3" t="inlineStr">
        <is>
          <t>주주총회소집공고</t>
        </is>
      </c>
      <c r="F409" s="3" t="inlineStr">
        <is>
          <t>SP삼화</t>
        </is>
      </c>
      <c r="G409" s="2" t="inlineStr">
        <is>
          <t>20260223001848</t>
        </is>
      </c>
      <c r="H409" s="8">
        <f>HYPERLINK("https://dart.fss.or.kr/dsaf001/main.do?rcpNo=20260223001848", "공시열람")</f>
        <v/>
      </c>
    </row>
    <row r="410">
      <c r="A410" s="2" t="inlineStr">
        <is>
          <t>2026-02-23</t>
        </is>
      </c>
      <c r="B410" s="3" t="inlineStr">
        <is>
          <t>포스코스틸리온</t>
        </is>
      </c>
      <c r="C410" s="2" t="inlineStr">
        <is>
          <t>코스피</t>
        </is>
      </c>
      <c r="D410" s="2" t="inlineStr">
        <is>
          <t>058430</t>
        </is>
      </c>
      <c r="E410" s="3" t="inlineStr">
        <is>
          <t>주주총회소집공고</t>
        </is>
      </c>
      <c r="F410" s="3" t="inlineStr">
        <is>
          <t>포스코스틸리온</t>
        </is>
      </c>
      <c r="G410" s="2" t="inlineStr">
        <is>
          <t>20260223001832</t>
        </is>
      </c>
      <c r="H410" s="8">
        <f>HYPERLINK("https://dart.fss.or.kr/dsaf001/main.do?rcpNo=20260223001832", "공시열람")</f>
        <v/>
      </c>
    </row>
    <row r="411">
      <c r="A411" s="2" t="inlineStr">
        <is>
          <t>2026-02-23</t>
        </is>
      </c>
      <c r="B411" s="3" t="inlineStr">
        <is>
          <t>스페코</t>
        </is>
      </c>
      <c r="C411" s="2" t="inlineStr">
        <is>
          <t>코스닥</t>
        </is>
      </c>
      <c r="D411" s="2" t="inlineStr">
        <is>
          <t>013810</t>
        </is>
      </c>
      <c r="E411" s="3" t="inlineStr">
        <is>
          <t>주주총회소집공고</t>
        </is>
      </c>
      <c r="F411" s="3" t="inlineStr">
        <is>
          <t>스페코</t>
        </is>
      </c>
      <c r="G411" s="2" t="inlineStr">
        <is>
          <t>20260223001618</t>
        </is>
      </c>
      <c r="H411" s="8">
        <f>HYPERLINK("https://dart.fss.or.kr/dsaf001/main.do?rcpNo=20260223001618", "공시열람")</f>
        <v/>
      </c>
    </row>
    <row r="412">
      <c r="A412" s="2" t="inlineStr">
        <is>
          <t>2026-02-23</t>
        </is>
      </c>
      <c r="B412" s="3" t="inlineStr">
        <is>
          <t>이구산업</t>
        </is>
      </c>
      <c r="C412" s="2" t="inlineStr">
        <is>
          <t>코스피</t>
        </is>
      </c>
      <c r="D412" s="2" t="inlineStr">
        <is>
          <t>025820</t>
        </is>
      </c>
      <c r="E412" s="3" t="inlineStr">
        <is>
          <t>주주총회소집공고</t>
        </is>
      </c>
      <c r="F412" s="3" t="inlineStr">
        <is>
          <t>이구산업</t>
        </is>
      </c>
      <c r="G412" s="2" t="inlineStr">
        <is>
          <t>20260223001305</t>
        </is>
      </c>
      <c r="H412" s="8">
        <f>HYPERLINK("https://dart.fss.or.kr/dsaf001/main.do?rcpNo=20260223001305", "공시열람")</f>
        <v/>
      </c>
    </row>
    <row r="413">
      <c r="A413" s="2" t="inlineStr">
        <is>
          <t>2026-02-23</t>
        </is>
      </c>
      <c r="B413" s="3" t="inlineStr">
        <is>
          <t>LG씨엔에스</t>
        </is>
      </c>
      <c r="C413" s="2" t="inlineStr">
        <is>
          <t>코스피</t>
        </is>
      </c>
      <c r="D413" s="2" t="inlineStr">
        <is>
          <t>064400</t>
        </is>
      </c>
      <c r="E413" s="3" t="inlineStr">
        <is>
          <t>주주총회소집공고</t>
        </is>
      </c>
      <c r="F413" s="3" t="inlineStr">
        <is>
          <t>LG씨엔에스</t>
        </is>
      </c>
      <c r="G413" s="2" t="inlineStr">
        <is>
          <t>20260223000996</t>
        </is>
      </c>
      <c r="H413" s="8">
        <f>HYPERLINK("https://dart.fss.or.kr/dsaf001/main.do?rcpNo=20260223000996", "공시열람")</f>
        <v/>
      </c>
    </row>
    <row r="414">
      <c r="A414" s="2" t="inlineStr">
        <is>
          <t>2026-02-23</t>
        </is>
      </c>
      <c r="B414" s="3" t="inlineStr">
        <is>
          <t>코스모신소재</t>
        </is>
      </c>
      <c r="C414" s="2" t="inlineStr">
        <is>
          <t>코스피</t>
        </is>
      </c>
      <c r="D414" s="2" t="inlineStr">
        <is>
          <t>005070</t>
        </is>
      </c>
      <c r="E414" s="3" t="inlineStr">
        <is>
          <t>주주총회소집공고</t>
        </is>
      </c>
      <c r="F414" s="3" t="inlineStr">
        <is>
          <t>코스모신소재</t>
        </is>
      </c>
      <c r="G414" s="2" t="inlineStr">
        <is>
          <t>20260223000970</t>
        </is>
      </c>
      <c r="H414" s="8">
        <f>HYPERLINK("https://dart.fss.or.kr/dsaf001/main.do?rcpNo=20260223000970", "공시열람")</f>
        <v/>
      </c>
    </row>
    <row r="415">
      <c r="A415" s="2" t="inlineStr">
        <is>
          <t>2026-02-23</t>
        </is>
      </c>
      <c r="B415" s="3" t="inlineStr">
        <is>
          <t>대원전선</t>
        </is>
      </c>
      <c r="C415" s="2" t="inlineStr">
        <is>
          <t>코스피</t>
        </is>
      </c>
      <c r="D415" s="2" t="inlineStr">
        <is>
          <t>006340</t>
        </is>
      </c>
      <c r="E415" s="3" t="inlineStr">
        <is>
          <t>주주총회소집공고</t>
        </is>
      </c>
      <c r="F415" s="3" t="inlineStr">
        <is>
          <t>대원전선</t>
        </is>
      </c>
      <c r="G415" s="2" t="inlineStr">
        <is>
          <t>20260223000957</t>
        </is>
      </c>
      <c r="H415" s="8">
        <f>HYPERLINK("https://dart.fss.or.kr/dsaf001/main.do?rcpNo=20260223000957", "공시열람")</f>
        <v/>
      </c>
    </row>
    <row r="416">
      <c r="A416" s="2" t="inlineStr">
        <is>
          <t>2026-02-24 (정정: 2026-03-11)</t>
        </is>
      </c>
      <c r="B416" s="3" t="inlineStr">
        <is>
          <t>에코프로</t>
        </is>
      </c>
      <c r="C416" s="2" t="inlineStr">
        <is>
          <t>코스닥</t>
        </is>
      </c>
      <c r="D416" s="2" t="inlineStr">
        <is>
          <t>086520</t>
        </is>
      </c>
      <c r="E416" s="3" t="inlineStr">
        <is>
          <t>주주총회소집공고 (정정: 20260311) (정정: 20260311) (정정: 20260311)</t>
        </is>
      </c>
      <c r="F416" s="3" t="inlineStr">
        <is>
          <t>에코프로</t>
        </is>
      </c>
      <c r="G416" s="2" t="inlineStr">
        <is>
          <t>20260311900305</t>
        </is>
      </c>
      <c r="H416" s="8">
        <f>HYPERLINK("https://dart.fss.or.kr/dsaf001/main.do?rcpNo=20260311900305", "공시열람")</f>
        <v/>
      </c>
    </row>
    <row r="417">
      <c r="A417" s="2" t="inlineStr">
        <is>
          <t>2026-02-24</t>
        </is>
      </c>
      <c r="B417" s="3" t="inlineStr">
        <is>
          <t>포스코퓨처엠</t>
        </is>
      </c>
      <c r="C417" s="2" t="inlineStr">
        <is>
          <t>코스피</t>
        </is>
      </c>
      <c r="D417" s="2" t="inlineStr">
        <is>
          <t>003670</t>
        </is>
      </c>
      <c r="E417" s="3" t="inlineStr">
        <is>
          <t>주주총회소집공고</t>
        </is>
      </c>
      <c r="F417" s="3" t="inlineStr">
        <is>
          <t>포스코퓨처엠</t>
        </is>
      </c>
      <c r="G417" s="2" t="inlineStr">
        <is>
          <t>20260224004492</t>
        </is>
      </c>
      <c r="H417" s="8">
        <f>HYPERLINK("https://dart.fss.or.kr/dsaf001/main.do?rcpNo=20260224004492", "공시열람")</f>
        <v/>
      </c>
    </row>
    <row r="418">
      <c r="A418" s="2" t="inlineStr">
        <is>
          <t>2026-02-24 (정정: 2026-03-11)</t>
        </is>
      </c>
      <c r="B418" s="3" t="inlineStr">
        <is>
          <t>카카오</t>
        </is>
      </c>
      <c r="C418" s="2" t="inlineStr">
        <is>
          <t>코스피</t>
        </is>
      </c>
      <c r="D418" s="2" t="inlineStr">
        <is>
          <t>035720</t>
        </is>
      </c>
      <c r="E418" s="3" t="inlineStr">
        <is>
          <t>주주총회소집공고 (정정: 20260311) (정정: 20260311)</t>
        </is>
      </c>
      <c r="F418" s="3" t="inlineStr">
        <is>
          <t>카카오</t>
        </is>
      </c>
      <c r="G418" s="2" t="inlineStr">
        <is>
          <t>20260311004482</t>
        </is>
      </c>
      <c r="H418" s="8">
        <f>HYPERLINK("https://dart.fss.or.kr/dsaf001/main.do?rcpNo=20260311004482", "공시열람")</f>
        <v/>
      </c>
    </row>
    <row r="419">
      <c r="A419" s="2" t="inlineStr">
        <is>
          <t>2026-02-24</t>
        </is>
      </c>
      <c r="B419" s="3" t="inlineStr">
        <is>
          <t>DL이앤씨</t>
        </is>
      </c>
      <c r="C419" s="2" t="inlineStr">
        <is>
          <t>코스피</t>
        </is>
      </c>
      <c r="D419" s="2" t="inlineStr">
        <is>
          <t>375500</t>
        </is>
      </c>
      <c r="E419" s="3" t="inlineStr">
        <is>
          <t>주주총회소집공고</t>
        </is>
      </c>
      <c r="F419" s="3" t="inlineStr">
        <is>
          <t>DL이앤씨</t>
        </is>
      </c>
      <c r="G419" s="2" t="inlineStr">
        <is>
          <t>20260224004334</t>
        </is>
      </c>
      <c r="H419" s="8">
        <f>HYPERLINK("https://dart.fss.or.kr/dsaf001/main.do?rcpNo=20260224004334", "공시열람")</f>
        <v/>
      </c>
    </row>
    <row r="420">
      <c r="A420" s="2" t="inlineStr">
        <is>
          <t>2026-02-24</t>
        </is>
      </c>
      <c r="B420" s="3" t="inlineStr">
        <is>
          <t>SK스퀘어</t>
        </is>
      </c>
      <c r="C420" s="2" t="inlineStr">
        <is>
          <t>코스피</t>
        </is>
      </c>
      <c r="D420" s="2" t="inlineStr">
        <is>
          <t>402340</t>
        </is>
      </c>
      <c r="E420" s="3" t="inlineStr">
        <is>
          <t>주주총회소집공고</t>
        </is>
      </c>
      <c r="F420" s="3" t="inlineStr">
        <is>
          <t>SK스퀘어</t>
        </is>
      </c>
      <c r="G420" s="2" t="inlineStr">
        <is>
          <t>20260224004330</t>
        </is>
      </c>
      <c r="H420" s="8">
        <f>HYPERLINK("https://dart.fss.or.kr/dsaf001/main.do?rcpNo=20260224004330", "공시열람")</f>
        <v/>
      </c>
    </row>
    <row r="421">
      <c r="A421" s="2" t="inlineStr">
        <is>
          <t>2026-02-24</t>
        </is>
      </c>
      <c r="B421" s="3" t="inlineStr">
        <is>
          <t>조광페인트</t>
        </is>
      </c>
      <c r="C421" s="2" t="inlineStr">
        <is>
          <t>코스피</t>
        </is>
      </c>
      <c r="D421" s="2" t="inlineStr">
        <is>
          <t>004910</t>
        </is>
      </c>
      <c r="E421" s="3" t="inlineStr">
        <is>
          <t>주주총회소집공고</t>
        </is>
      </c>
      <c r="F421" s="3" t="inlineStr">
        <is>
          <t>조광페인트</t>
        </is>
      </c>
      <c r="G421" s="2" t="inlineStr">
        <is>
          <t>20260224004329</t>
        </is>
      </c>
      <c r="H421" s="8">
        <f>HYPERLINK("https://dart.fss.or.kr/dsaf001/main.do?rcpNo=20260224004329", "공시열람")</f>
        <v/>
      </c>
    </row>
    <row r="422">
      <c r="A422" s="2" t="inlineStr">
        <is>
          <t>2026-02-24</t>
        </is>
      </c>
      <c r="B422" s="3" t="inlineStr">
        <is>
          <t>LG화학</t>
        </is>
      </c>
      <c r="C422" s="2" t="inlineStr">
        <is>
          <t>코스피</t>
        </is>
      </c>
      <c r="D422" s="2" t="inlineStr">
        <is>
          <t>051910</t>
        </is>
      </c>
      <c r="E422" s="3" t="inlineStr">
        <is>
          <t>주주총회소집공고</t>
        </is>
      </c>
      <c r="F422" s="3" t="inlineStr">
        <is>
          <t>LG화학</t>
        </is>
      </c>
      <c r="G422" s="2" t="inlineStr">
        <is>
          <t>20260224004273</t>
        </is>
      </c>
      <c r="H422" s="8">
        <f>HYPERLINK("https://dart.fss.or.kr/dsaf001/main.do?rcpNo=20260224004273", "공시열람")</f>
        <v/>
      </c>
    </row>
    <row r="423">
      <c r="A423" s="2" t="inlineStr">
        <is>
          <t>2026-02-24</t>
        </is>
      </c>
      <c r="B423" s="3" t="inlineStr">
        <is>
          <t>한화투자증권</t>
        </is>
      </c>
      <c r="C423" s="2" t="inlineStr">
        <is>
          <t>코스피</t>
        </is>
      </c>
      <c r="D423" s="2" t="inlineStr">
        <is>
          <t>003530</t>
        </is>
      </c>
      <c r="E423" s="3" t="inlineStr">
        <is>
          <t>주주총회소집공고</t>
        </is>
      </c>
      <c r="F423" s="3" t="inlineStr">
        <is>
          <t>한화투자증권</t>
        </is>
      </c>
      <c r="G423" s="2" t="inlineStr">
        <is>
          <t>20260224004187</t>
        </is>
      </c>
      <c r="H423" s="8">
        <f>HYPERLINK("https://dart.fss.or.kr/dsaf001/main.do?rcpNo=20260224004187", "공시열람")</f>
        <v/>
      </c>
    </row>
    <row r="424">
      <c r="A424" s="2" t="inlineStr">
        <is>
          <t>2026-02-24</t>
        </is>
      </c>
      <c r="B424" s="3" t="inlineStr">
        <is>
          <t>현대코퍼레이션홀딩스</t>
        </is>
      </c>
      <c r="C424" s="2" t="inlineStr">
        <is>
          <t>코스피</t>
        </is>
      </c>
      <c r="D424" s="2" t="inlineStr">
        <is>
          <t>227840</t>
        </is>
      </c>
      <c r="E424" s="3" t="inlineStr">
        <is>
          <t>주주총회소집공고</t>
        </is>
      </c>
      <c r="F424" s="3" t="inlineStr">
        <is>
          <t>현대코퍼레이션홀딩스</t>
        </is>
      </c>
      <c r="G424" s="2" t="inlineStr">
        <is>
          <t>20260224004181</t>
        </is>
      </c>
      <c r="H424" s="8">
        <f>HYPERLINK("https://dart.fss.or.kr/dsaf001/main.do?rcpNo=20260224004181", "공시열람")</f>
        <v/>
      </c>
    </row>
    <row r="425">
      <c r="A425" s="2" t="inlineStr">
        <is>
          <t>2026-02-24</t>
        </is>
      </c>
      <c r="B425" s="3" t="inlineStr">
        <is>
          <t>F&amp;F 홀딩스</t>
        </is>
      </c>
      <c r="C425" s="2" t="inlineStr">
        <is>
          <t>코스피</t>
        </is>
      </c>
      <c r="D425" s="2" t="inlineStr">
        <is>
          <t>007700</t>
        </is>
      </c>
      <c r="E425" s="3" t="inlineStr">
        <is>
          <t>주주총회소집공고</t>
        </is>
      </c>
      <c r="F425" s="3" t="inlineStr">
        <is>
          <t>F&amp;F 홀딩스</t>
        </is>
      </c>
      <c r="G425" s="2" t="inlineStr">
        <is>
          <t>20260224004122</t>
        </is>
      </c>
      <c r="H425" s="8">
        <f>HYPERLINK("https://dart.fss.or.kr/dsaf001/main.do?rcpNo=20260224004122", "공시열람")</f>
        <v/>
      </c>
    </row>
    <row r="426">
      <c r="A426" s="2" t="inlineStr">
        <is>
          <t>2026-02-24</t>
        </is>
      </c>
      <c r="B426" s="3" t="inlineStr">
        <is>
          <t>신송홀딩스</t>
        </is>
      </c>
      <c r="C426" s="2" t="inlineStr">
        <is>
          <t>코스피</t>
        </is>
      </c>
      <c r="D426" s="2" t="inlineStr">
        <is>
          <t>006880</t>
        </is>
      </c>
      <c r="E426" s="3" t="inlineStr">
        <is>
          <t>주주총회소집공고</t>
        </is>
      </c>
      <c r="F426" s="3" t="inlineStr">
        <is>
          <t>신송홀딩스</t>
        </is>
      </c>
      <c r="G426" s="2" t="inlineStr">
        <is>
          <t>20260224004104</t>
        </is>
      </c>
      <c r="H426" s="8">
        <f>HYPERLINK("https://dart.fss.or.kr/dsaf001/main.do?rcpNo=20260224004104", "공시열람")</f>
        <v/>
      </c>
    </row>
    <row r="427">
      <c r="A427" s="2" t="inlineStr">
        <is>
          <t>2026-02-24</t>
        </is>
      </c>
      <c r="B427" s="3" t="inlineStr">
        <is>
          <t>현대코퍼레이션</t>
        </is>
      </c>
      <c r="C427" s="2" t="inlineStr">
        <is>
          <t>코스피</t>
        </is>
      </c>
      <c r="D427" s="2" t="inlineStr">
        <is>
          <t>011760</t>
        </is>
      </c>
      <c r="E427" s="3" t="inlineStr">
        <is>
          <t>주주총회소집공고</t>
        </is>
      </c>
      <c r="F427" s="3" t="inlineStr">
        <is>
          <t>현대코퍼레이션</t>
        </is>
      </c>
      <c r="G427" s="2" t="inlineStr">
        <is>
          <t>20260224004087</t>
        </is>
      </c>
      <c r="H427" s="8">
        <f>HYPERLINK("https://dart.fss.or.kr/dsaf001/main.do?rcpNo=20260224004087", "공시열람")</f>
        <v/>
      </c>
    </row>
    <row r="428">
      <c r="A428" s="2" t="inlineStr">
        <is>
          <t>2026-02-24 (정정: 2026-03-19)</t>
        </is>
      </c>
      <c r="B428" s="3" t="inlineStr">
        <is>
          <t>세방전지</t>
        </is>
      </c>
      <c r="C428" s="2" t="inlineStr">
        <is>
          <t>코스피</t>
        </is>
      </c>
      <c r="D428" s="2" t="inlineStr">
        <is>
          <t>004490</t>
        </is>
      </c>
      <c r="E428" s="3" t="inlineStr">
        <is>
          <t>주주총회소집공고 (정정: 20260319)</t>
        </is>
      </c>
      <c r="F428" s="3" t="inlineStr">
        <is>
          <t>세방전지</t>
        </is>
      </c>
      <c r="G428" s="2" t="inlineStr">
        <is>
          <t>20260319000749</t>
        </is>
      </c>
      <c r="H428" s="8">
        <f>HYPERLINK("https://dart.fss.or.kr/dsaf001/main.do?rcpNo=20260319000749", "공시열람")</f>
        <v/>
      </c>
    </row>
    <row r="429">
      <c r="A429" s="2" t="inlineStr">
        <is>
          <t>2026-02-24</t>
        </is>
      </c>
      <c r="B429" s="3" t="inlineStr">
        <is>
          <t>홈캐스트</t>
        </is>
      </c>
      <c r="C429" s="2" t="inlineStr">
        <is>
          <t>코스닥</t>
        </is>
      </c>
      <c r="D429" s="2" t="inlineStr">
        <is>
          <t>064240</t>
        </is>
      </c>
      <c r="E429" s="3" t="inlineStr">
        <is>
          <t>주주총회소집공고</t>
        </is>
      </c>
      <c r="F429" s="3" t="inlineStr">
        <is>
          <t>홈캐스트</t>
        </is>
      </c>
      <c r="G429" s="2" t="inlineStr">
        <is>
          <t>20260224004048</t>
        </is>
      </c>
      <c r="H429" s="8">
        <f>HYPERLINK("https://dart.fss.or.kr/dsaf001/main.do?rcpNo=20260224004048", "공시열람")</f>
        <v/>
      </c>
    </row>
    <row r="430">
      <c r="A430" s="2" t="inlineStr">
        <is>
          <t>2026-02-24</t>
        </is>
      </c>
      <c r="B430" s="3" t="inlineStr">
        <is>
          <t>한국공항</t>
        </is>
      </c>
      <c r="C430" s="2" t="inlineStr">
        <is>
          <t>코스피</t>
        </is>
      </c>
      <c r="D430" s="2" t="inlineStr">
        <is>
          <t>005430</t>
        </is>
      </c>
      <c r="E430" s="3" t="inlineStr">
        <is>
          <t>주주총회소집공고</t>
        </is>
      </c>
      <c r="F430" s="3" t="inlineStr">
        <is>
          <t>한국공항</t>
        </is>
      </c>
      <c r="G430" s="2" t="inlineStr">
        <is>
          <t>20260224003976</t>
        </is>
      </c>
      <c r="H430" s="8">
        <f>HYPERLINK("https://dart.fss.or.kr/dsaf001/main.do?rcpNo=20260224003976", "공시열람")</f>
        <v/>
      </c>
    </row>
    <row r="431">
      <c r="A431" s="2" t="inlineStr">
        <is>
          <t>2026-02-24</t>
        </is>
      </c>
      <c r="B431" s="3" t="inlineStr">
        <is>
          <t>HDC</t>
        </is>
      </c>
      <c r="C431" s="2" t="inlineStr">
        <is>
          <t>코스피</t>
        </is>
      </c>
      <c r="D431" s="2" t="inlineStr">
        <is>
          <t>012630</t>
        </is>
      </c>
      <c r="E431" s="3" t="inlineStr">
        <is>
          <t>주주총회소집공고</t>
        </is>
      </c>
      <c r="F431" s="3" t="inlineStr">
        <is>
          <t>HDC</t>
        </is>
      </c>
      <c r="G431" s="2" t="inlineStr">
        <is>
          <t>20260224003946</t>
        </is>
      </c>
      <c r="H431" s="8">
        <f>HYPERLINK("https://dart.fss.or.kr/dsaf001/main.do?rcpNo=20260224003946", "공시열람")</f>
        <v/>
      </c>
    </row>
    <row r="432">
      <c r="A432" s="2" t="inlineStr">
        <is>
          <t>2026-02-24 (정정: 2026-02-25)</t>
        </is>
      </c>
      <c r="B432" s="3" t="inlineStr">
        <is>
          <t>한화손해보험</t>
        </is>
      </c>
      <c r="C432" s="2" t="inlineStr">
        <is>
          <t>코스피</t>
        </is>
      </c>
      <c r="D432" s="2" t="inlineStr">
        <is>
          <t>000370</t>
        </is>
      </c>
      <c r="E432" s="3" t="inlineStr">
        <is>
          <t>주주총회소집공고 (정정: 20260225)</t>
        </is>
      </c>
      <c r="F432" s="3" t="inlineStr">
        <is>
          <t>한화손해보험</t>
        </is>
      </c>
      <c r="G432" s="2" t="inlineStr">
        <is>
          <t>20260225004678</t>
        </is>
      </c>
      <c r="H432" s="8">
        <f>HYPERLINK("https://dart.fss.or.kr/dsaf001/main.do?rcpNo=20260225004678", "공시열람")</f>
        <v/>
      </c>
    </row>
    <row r="433">
      <c r="A433" s="2" t="inlineStr">
        <is>
          <t>2026-02-24</t>
        </is>
      </c>
      <c r="B433" s="3" t="inlineStr">
        <is>
          <t>한화갤러리아</t>
        </is>
      </c>
      <c r="C433" s="2" t="inlineStr">
        <is>
          <t>코스피</t>
        </is>
      </c>
      <c r="D433" s="2" t="inlineStr">
        <is>
          <t>452260</t>
        </is>
      </c>
      <c r="E433" s="3" t="inlineStr">
        <is>
          <t>주주총회소집공고</t>
        </is>
      </c>
      <c r="F433" s="3" t="inlineStr">
        <is>
          <t>한화갤러리아</t>
        </is>
      </c>
      <c r="G433" s="2" t="inlineStr">
        <is>
          <t>20260224003898</t>
        </is>
      </c>
      <c r="H433" s="8">
        <f>HYPERLINK("https://dart.fss.or.kr/dsaf001/main.do?rcpNo=20260224003898", "공시열람")</f>
        <v/>
      </c>
    </row>
    <row r="434">
      <c r="A434" s="2" t="inlineStr">
        <is>
          <t>2026-02-24</t>
        </is>
      </c>
      <c r="B434" s="3" t="inlineStr">
        <is>
          <t>코웨이</t>
        </is>
      </c>
      <c r="C434" s="2" t="inlineStr">
        <is>
          <t>코스피</t>
        </is>
      </c>
      <c r="D434" s="2" t="inlineStr">
        <is>
          <t>021240</t>
        </is>
      </c>
      <c r="E434" s="3" t="inlineStr">
        <is>
          <t>주주총회소집공고</t>
        </is>
      </c>
      <c r="F434" s="3" t="inlineStr">
        <is>
          <t>코웨이</t>
        </is>
      </c>
      <c r="G434" s="2" t="inlineStr">
        <is>
          <t>20260224003842</t>
        </is>
      </c>
      <c r="H434" s="8">
        <f>HYPERLINK("https://dart.fss.or.kr/dsaf001/main.do?rcpNo=20260224003842", "공시열람")</f>
        <v/>
      </c>
    </row>
    <row r="435">
      <c r="A435" s="2" t="inlineStr">
        <is>
          <t>2026-02-24</t>
        </is>
      </c>
      <c r="B435" s="3" t="inlineStr">
        <is>
          <t>F&amp;F</t>
        </is>
      </c>
      <c r="C435" s="2" t="inlineStr">
        <is>
          <t>코스피</t>
        </is>
      </c>
      <c r="D435" s="2" t="inlineStr">
        <is>
          <t>383220</t>
        </is>
      </c>
      <c r="E435" s="3" t="inlineStr">
        <is>
          <t>주주총회소집공고</t>
        </is>
      </c>
      <c r="F435" s="3" t="inlineStr">
        <is>
          <t>F&amp;F</t>
        </is>
      </c>
      <c r="G435" s="2" t="inlineStr">
        <is>
          <t>20260224003816</t>
        </is>
      </c>
      <c r="H435" s="8">
        <f>HYPERLINK("https://dart.fss.or.kr/dsaf001/main.do?rcpNo=20260224003816", "공시열람")</f>
        <v/>
      </c>
    </row>
    <row r="436">
      <c r="A436" s="2" t="inlineStr">
        <is>
          <t>2026-02-24</t>
        </is>
      </c>
      <c r="B436" s="3" t="inlineStr">
        <is>
          <t>LX홀딩스</t>
        </is>
      </c>
      <c r="C436" s="2" t="inlineStr">
        <is>
          <t>코스피</t>
        </is>
      </c>
      <c r="D436" s="2" t="inlineStr">
        <is>
          <t>383800</t>
        </is>
      </c>
      <c r="E436" s="3" t="inlineStr">
        <is>
          <t>주주총회소집공고</t>
        </is>
      </c>
      <c r="F436" s="3" t="inlineStr">
        <is>
          <t>LX홀딩스</t>
        </is>
      </c>
      <c r="G436" s="2" t="inlineStr">
        <is>
          <t>20260224003801</t>
        </is>
      </c>
      <c r="H436" s="8">
        <f>HYPERLINK("https://dart.fss.or.kr/dsaf001/main.do?rcpNo=20260224003801", "공시열람")</f>
        <v/>
      </c>
    </row>
    <row r="437">
      <c r="A437" s="2" t="inlineStr">
        <is>
          <t>2026-02-24</t>
        </is>
      </c>
      <c r="B437" s="3" t="inlineStr">
        <is>
          <t>포스코인터내셔널</t>
        </is>
      </c>
      <c r="C437" s="2" t="inlineStr">
        <is>
          <t>코스피</t>
        </is>
      </c>
      <c r="D437" s="2" t="inlineStr">
        <is>
          <t>047050</t>
        </is>
      </c>
      <c r="E437" s="3" t="inlineStr">
        <is>
          <t>주주총회소집공고</t>
        </is>
      </c>
      <c r="F437" s="3" t="inlineStr">
        <is>
          <t>포스코인터내셔널</t>
        </is>
      </c>
      <c r="G437" s="2" t="inlineStr">
        <is>
          <t>20260224003800</t>
        </is>
      </c>
      <c r="H437" s="8">
        <f>HYPERLINK("https://dart.fss.or.kr/dsaf001/main.do?rcpNo=20260224003800", "공시열람")</f>
        <v/>
      </c>
    </row>
    <row r="438">
      <c r="A438" s="2" t="inlineStr">
        <is>
          <t>2026-02-24 (정정: 2026-03-06)</t>
        </is>
      </c>
      <c r="B438" s="3" t="inlineStr">
        <is>
          <t>LX인터내셔널</t>
        </is>
      </c>
      <c r="C438" s="2" t="inlineStr">
        <is>
          <t>코스피</t>
        </is>
      </c>
      <c r="D438" s="2" t="inlineStr">
        <is>
          <t>001120</t>
        </is>
      </c>
      <c r="E438" s="3" t="inlineStr">
        <is>
          <t>주주총회소집공고 (정정: 20260306)</t>
        </is>
      </c>
      <c r="F438" s="3" t="inlineStr">
        <is>
          <t>LX인터내셔널</t>
        </is>
      </c>
      <c r="G438" s="2" t="inlineStr">
        <is>
          <t>20260306000274</t>
        </is>
      </c>
      <c r="H438" s="8">
        <f>HYPERLINK("https://dart.fss.or.kr/dsaf001/main.do?rcpNo=20260306000274", "공시열람")</f>
        <v/>
      </c>
    </row>
    <row r="439">
      <c r="A439" s="2" t="inlineStr">
        <is>
          <t>2026-02-24</t>
        </is>
      </c>
      <c r="B439" s="3" t="inlineStr">
        <is>
          <t>한국알콜</t>
        </is>
      </c>
      <c r="C439" s="2" t="inlineStr">
        <is>
          <t>코스닥</t>
        </is>
      </c>
      <c r="D439" s="2" t="inlineStr">
        <is>
          <t>017890</t>
        </is>
      </c>
      <c r="E439" s="3" t="inlineStr">
        <is>
          <t>주주총회소집공고</t>
        </is>
      </c>
      <c r="F439" s="3" t="inlineStr">
        <is>
          <t>한국알콜</t>
        </is>
      </c>
      <c r="G439" s="2" t="inlineStr">
        <is>
          <t>20260224003661</t>
        </is>
      </c>
      <c r="H439" s="8">
        <f>HYPERLINK("https://dart.fss.or.kr/dsaf001/main.do?rcpNo=20260224003661", "공시열람")</f>
        <v/>
      </c>
    </row>
    <row r="440">
      <c r="A440" s="2" t="inlineStr">
        <is>
          <t>2026-02-24</t>
        </is>
      </c>
      <c r="B440" s="3" t="inlineStr">
        <is>
          <t>LX세미콘</t>
        </is>
      </c>
      <c r="C440" s="2" t="inlineStr">
        <is>
          <t>코스피</t>
        </is>
      </c>
      <c r="D440" s="2" t="inlineStr">
        <is>
          <t>108320</t>
        </is>
      </c>
      <c r="E440" s="3" t="inlineStr">
        <is>
          <t>주주총회소집공고</t>
        </is>
      </c>
      <c r="F440" s="3" t="inlineStr">
        <is>
          <t>LX세미콘</t>
        </is>
      </c>
      <c r="G440" s="2" t="inlineStr">
        <is>
          <t>20260224003570</t>
        </is>
      </c>
      <c r="H440" s="8">
        <f>HYPERLINK("https://dart.fss.or.kr/dsaf001/main.do?rcpNo=20260224003570", "공시열람")</f>
        <v/>
      </c>
    </row>
    <row r="441">
      <c r="A441" s="2" t="inlineStr">
        <is>
          <t>2026-02-24</t>
        </is>
      </c>
      <c r="B441" s="3" t="inlineStr">
        <is>
          <t>롯데이노베이트</t>
        </is>
      </c>
      <c r="C441" s="2" t="inlineStr">
        <is>
          <t>코스피</t>
        </is>
      </c>
      <c r="D441" s="2" t="inlineStr">
        <is>
          <t>286940</t>
        </is>
      </c>
      <c r="E441" s="3" t="inlineStr">
        <is>
          <t>주주총회소집공고</t>
        </is>
      </c>
      <c r="F441" s="3" t="inlineStr">
        <is>
          <t>롯데이노베이트</t>
        </is>
      </c>
      <c r="G441" s="2" t="inlineStr">
        <is>
          <t>20260224003563</t>
        </is>
      </c>
      <c r="H441" s="8">
        <f>HYPERLINK("https://dart.fss.or.kr/dsaf001/main.do?rcpNo=20260224003563", "공시열람")</f>
        <v/>
      </c>
    </row>
    <row r="442">
      <c r="A442" s="2" t="inlineStr">
        <is>
          <t>2026-02-24</t>
        </is>
      </c>
      <c r="B442" s="3" t="inlineStr">
        <is>
          <t>유니슨</t>
        </is>
      </c>
      <c r="C442" s="2" t="inlineStr">
        <is>
          <t>코스닥</t>
        </is>
      </c>
      <c r="D442" s="2" t="inlineStr">
        <is>
          <t>018000</t>
        </is>
      </c>
      <c r="E442" s="3" t="inlineStr">
        <is>
          <t>주주총회소집공고</t>
        </is>
      </c>
      <c r="F442" s="3" t="inlineStr">
        <is>
          <t>유니슨</t>
        </is>
      </c>
      <c r="G442" s="2" t="inlineStr">
        <is>
          <t>20260224003524</t>
        </is>
      </c>
      <c r="H442" s="8">
        <f>HYPERLINK("https://dart.fss.or.kr/dsaf001/main.do?rcpNo=20260224003524", "공시열람")</f>
        <v/>
      </c>
    </row>
    <row r="443">
      <c r="A443" s="2" t="inlineStr">
        <is>
          <t>2026-02-24 (정정: 2026-02-25)</t>
        </is>
      </c>
      <c r="B443" s="3" t="inlineStr">
        <is>
          <t>HD건설기계</t>
        </is>
      </c>
      <c r="C443" s="2" t="inlineStr">
        <is>
          <t>코스피</t>
        </is>
      </c>
      <c r="D443" s="2" t="inlineStr">
        <is>
          <t>267270</t>
        </is>
      </c>
      <c r="E443" s="3" t="inlineStr">
        <is>
          <t>주주총회소집공고 (정정: 20260225)</t>
        </is>
      </c>
      <c r="F443" s="3" t="inlineStr">
        <is>
          <t>HD건설기계</t>
        </is>
      </c>
      <c r="G443" s="2" t="inlineStr">
        <is>
          <t>20260225004969</t>
        </is>
      </c>
      <c r="H443" s="8">
        <f>HYPERLINK("https://dart.fss.or.kr/dsaf001/main.do?rcpNo=20260225004969", "공시열람")</f>
        <v/>
      </c>
    </row>
    <row r="444">
      <c r="A444" s="2" t="inlineStr">
        <is>
          <t>2026-02-24</t>
        </is>
      </c>
      <c r="B444" s="3" t="inlineStr">
        <is>
          <t>현대건설</t>
        </is>
      </c>
      <c r="C444" s="2" t="inlineStr">
        <is>
          <t>코스피</t>
        </is>
      </c>
      <c r="D444" s="2" t="inlineStr">
        <is>
          <t>000720</t>
        </is>
      </c>
      <c r="E444" s="3" t="inlineStr">
        <is>
          <t>주주총회소집공고</t>
        </is>
      </c>
      <c r="F444" s="3" t="inlineStr">
        <is>
          <t>현대건설</t>
        </is>
      </c>
      <c r="G444" s="2" t="inlineStr">
        <is>
          <t>20260224003471</t>
        </is>
      </c>
      <c r="H444" s="8">
        <f>HYPERLINK("https://dart.fss.or.kr/dsaf001/main.do?rcpNo=20260224003471", "공시열람")</f>
        <v/>
      </c>
    </row>
    <row r="445">
      <c r="A445" s="2" t="inlineStr">
        <is>
          <t>2026-02-24</t>
        </is>
      </c>
      <c r="B445" s="3" t="inlineStr">
        <is>
          <t>에스티큐브</t>
        </is>
      </c>
      <c r="C445" s="2" t="inlineStr">
        <is>
          <t>코스닥</t>
        </is>
      </c>
      <c r="D445" s="2" t="inlineStr">
        <is>
          <t>052020</t>
        </is>
      </c>
      <c r="E445" s="3" t="inlineStr">
        <is>
          <t>주주총회소집공고</t>
        </is>
      </c>
      <c r="F445" s="3" t="inlineStr">
        <is>
          <t>에스티큐브</t>
        </is>
      </c>
      <c r="G445" s="2" t="inlineStr">
        <is>
          <t>20260224003399</t>
        </is>
      </c>
      <c r="H445" s="8">
        <f>HYPERLINK("https://dart.fss.or.kr/dsaf001/main.do?rcpNo=20260224003399", "공시열람")</f>
        <v/>
      </c>
    </row>
    <row r="446">
      <c r="A446" s="2" t="inlineStr">
        <is>
          <t>2026-02-24</t>
        </is>
      </c>
      <c r="B446" s="3" t="inlineStr">
        <is>
          <t>대한항공</t>
        </is>
      </c>
      <c r="C446" s="2" t="inlineStr">
        <is>
          <t>코스피</t>
        </is>
      </c>
      <c r="D446" s="2" t="inlineStr">
        <is>
          <t>003490</t>
        </is>
      </c>
      <c r="E446" s="3" t="inlineStr">
        <is>
          <t>주주총회소집공고</t>
        </is>
      </c>
      <c r="F446" s="3" t="inlineStr">
        <is>
          <t>대한항공</t>
        </is>
      </c>
      <c r="G446" s="2" t="inlineStr">
        <is>
          <t>20260224003344</t>
        </is>
      </c>
      <c r="H446" s="8">
        <f>HYPERLINK("https://dart.fss.or.kr/dsaf001/main.do?rcpNo=20260224003344", "공시열람")</f>
        <v/>
      </c>
    </row>
    <row r="447">
      <c r="A447" s="2" t="inlineStr">
        <is>
          <t>2026-02-24</t>
        </is>
      </c>
      <c r="B447" s="3" t="inlineStr">
        <is>
          <t>미원화학</t>
        </is>
      </c>
      <c r="C447" s="2" t="inlineStr">
        <is>
          <t>코스피</t>
        </is>
      </c>
      <c r="D447" s="2" t="inlineStr">
        <is>
          <t>134380</t>
        </is>
      </c>
      <c r="E447" s="3" t="inlineStr">
        <is>
          <t>주주총회소집공고</t>
        </is>
      </c>
      <c r="F447" s="3" t="inlineStr">
        <is>
          <t>미원화학</t>
        </is>
      </c>
      <c r="G447" s="2" t="inlineStr">
        <is>
          <t>20260224003340</t>
        </is>
      </c>
      <c r="H447" s="8">
        <f>HYPERLINK("https://dart.fss.or.kr/dsaf001/main.do?rcpNo=20260224003340", "공시열람")</f>
        <v/>
      </c>
    </row>
    <row r="448">
      <c r="A448" s="2" t="inlineStr">
        <is>
          <t>2026-02-24</t>
        </is>
      </c>
      <c r="B448" s="3" t="inlineStr">
        <is>
          <t>캠시스</t>
        </is>
      </c>
      <c r="C448" s="2" t="inlineStr">
        <is>
          <t>코스닥</t>
        </is>
      </c>
      <c r="D448" s="2" t="inlineStr">
        <is>
          <t>050110</t>
        </is>
      </c>
      <c r="E448" s="3" t="inlineStr">
        <is>
          <t>주주총회소집공고</t>
        </is>
      </c>
      <c r="F448" s="3" t="inlineStr">
        <is>
          <t>캠시스</t>
        </is>
      </c>
      <c r="G448" s="2" t="inlineStr">
        <is>
          <t>20260224003246</t>
        </is>
      </c>
      <c r="H448" s="8">
        <f>HYPERLINK("https://dart.fss.or.kr/dsaf001/main.do?rcpNo=20260224003246", "공시열람")</f>
        <v/>
      </c>
    </row>
    <row r="449">
      <c r="A449" s="2" t="inlineStr">
        <is>
          <t>2026-02-24</t>
        </is>
      </c>
      <c r="B449" s="3" t="inlineStr">
        <is>
          <t>파라다이스</t>
        </is>
      </c>
      <c r="C449" s="2" t="inlineStr">
        <is>
          <t>코스피</t>
        </is>
      </c>
      <c r="D449" s="2" t="inlineStr">
        <is>
          <t>034230</t>
        </is>
      </c>
      <c r="E449" s="3" t="inlineStr">
        <is>
          <t>주주총회소집공고</t>
        </is>
      </c>
      <c r="F449" s="3" t="inlineStr">
        <is>
          <t>파라다이스</t>
        </is>
      </c>
      <c r="G449" s="2" t="inlineStr">
        <is>
          <t>20260224003119</t>
        </is>
      </c>
      <c r="H449" s="8">
        <f>HYPERLINK("https://dart.fss.or.kr/dsaf001/main.do?rcpNo=20260224003119", "공시열람")</f>
        <v/>
      </c>
    </row>
    <row r="450">
      <c r="A450" s="2" t="inlineStr">
        <is>
          <t>2026-02-24 (정정: 2026-03-17)</t>
        </is>
      </c>
      <c r="B450" s="3" t="inlineStr">
        <is>
          <t>동일산업</t>
        </is>
      </c>
      <c r="C450" s="2" t="inlineStr">
        <is>
          <t>코스피</t>
        </is>
      </c>
      <c r="D450" s="2" t="inlineStr">
        <is>
          <t>004890</t>
        </is>
      </c>
      <c r="E450" s="3" t="inlineStr">
        <is>
          <t>주주총회소집공고 (정정: 20260317)</t>
        </is>
      </c>
      <c r="F450" s="3" t="inlineStr">
        <is>
          <t>동일산업</t>
        </is>
      </c>
      <c r="G450" s="2" t="inlineStr">
        <is>
          <t>20260317000551</t>
        </is>
      </c>
      <c r="H450" s="8">
        <f>HYPERLINK("https://dart.fss.or.kr/dsaf001/main.do?rcpNo=20260317000551", "공시열람")</f>
        <v/>
      </c>
    </row>
    <row r="451">
      <c r="A451" s="2" t="inlineStr">
        <is>
          <t>2026-02-24</t>
        </is>
      </c>
      <c r="B451" s="3" t="inlineStr">
        <is>
          <t>신세계I&amp;C</t>
        </is>
      </c>
      <c r="C451" s="2" t="inlineStr">
        <is>
          <t>코스피</t>
        </is>
      </c>
      <c r="D451" s="2" t="inlineStr">
        <is>
          <t>035510</t>
        </is>
      </c>
      <c r="E451" s="3" t="inlineStr">
        <is>
          <t>주주총회소집공고</t>
        </is>
      </c>
      <c r="F451" s="3" t="inlineStr">
        <is>
          <t>신세계I&amp;C</t>
        </is>
      </c>
      <c r="G451" s="2" t="inlineStr">
        <is>
          <t>20260224002953</t>
        </is>
      </c>
      <c r="H451" s="8">
        <f>HYPERLINK("https://dart.fss.or.kr/dsaf001/main.do?rcpNo=20260224002953", "공시열람")</f>
        <v/>
      </c>
    </row>
    <row r="452">
      <c r="A452" s="2" t="inlineStr">
        <is>
          <t>2026-02-24</t>
        </is>
      </c>
      <c r="B452" s="3" t="inlineStr">
        <is>
          <t>LS에코에너지</t>
        </is>
      </c>
      <c r="C452" s="2" t="inlineStr">
        <is>
          <t>코스피</t>
        </is>
      </c>
      <c r="D452" s="2" t="inlineStr">
        <is>
          <t>229640</t>
        </is>
      </c>
      <c r="E452" s="3" t="inlineStr">
        <is>
          <t>주주총회소집공고</t>
        </is>
      </c>
      <c r="F452" s="3" t="inlineStr">
        <is>
          <t>LS에코에너지</t>
        </is>
      </c>
      <c r="G452" s="2" t="inlineStr">
        <is>
          <t>20260224002745</t>
        </is>
      </c>
      <c r="H452" s="8">
        <f>HYPERLINK("https://dart.fss.or.kr/dsaf001/main.do?rcpNo=20260224002745", "공시열람")</f>
        <v/>
      </c>
    </row>
    <row r="453">
      <c r="A453" s="2" t="inlineStr">
        <is>
          <t>2026-02-24</t>
        </is>
      </c>
      <c r="B453" s="3" t="inlineStr">
        <is>
          <t>LG이노텍</t>
        </is>
      </c>
      <c r="C453" s="2" t="inlineStr">
        <is>
          <t>코스피</t>
        </is>
      </c>
      <c r="D453" s="2" t="inlineStr">
        <is>
          <t>011070</t>
        </is>
      </c>
      <c r="E453" s="3" t="inlineStr">
        <is>
          <t>주주총회소집공고</t>
        </is>
      </c>
      <c r="F453" s="3" t="inlineStr">
        <is>
          <t>LG이노텍</t>
        </is>
      </c>
      <c r="G453" s="2" t="inlineStr">
        <is>
          <t>20260224002638</t>
        </is>
      </c>
      <c r="H453" s="8">
        <f>HYPERLINK("https://dart.fss.or.kr/dsaf001/main.do?rcpNo=20260224002638", "공시열람")</f>
        <v/>
      </c>
    </row>
    <row r="454">
      <c r="A454" s="2" t="inlineStr">
        <is>
          <t>2026-02-24</t>
        </is>
      </c>
      <c r="B454" s="3" t="inlineStr">
        <is>
          <t>아모레퍼시픽홀딩스</t>
        </is>
      </c>
      <c r="C454" s="2" t="inlineStr">
        <is>
          <t>코스피</t>
        </is>
      </c>
      <c r="D454" s="2" t="inlineStr">
        <is>
          <t>002790</t>
        </is>
      </c>
      <c r="E454" s="3" t="inlineStr">
        <is>
          <t>주주총회소집공고</t>
        </is>
      </c>
      <c r="F454" s="3" t="inlineStr">
        <is>
          <t>아모레퍼시픽홀딩스</t>
        </is>
      </c>
      <c r="G454" s="2" t="inlineStr">
        <is>
          <t>20260224002584</t>
        </is>
      </c>
      <c r="H454" s="8">
        <f>HYPERLINK("https://dart.fss.or.kr/dsaf001/main.do?rcpNo=20260224002584", "공시열람")</f>
        <v/>
      </c>
    </row>
    <row r="455">
      <c r="A455" s="2" t="inlineStr">
        <is>
          <t>2026-02-24</t>
        </is>
      </c>
      <c r="B455" s="3" t="inlineStr">
        <is>
          <t>아모레퍼시픽</t>
        </is>
      </c>
      <c r="C455" s="2" t="inlineStr">
        <is>
          <t>코스피</t>
        </is>
      </c>
      <c r="D455" s="2" t="inlineStr">
        <is>
          <t>090430</t>
        </is>
      </c>
      <c r="E455" s="3" t="inlineStr">
        <is>
          <t>주주총회소집공고</t>
        </is>
      </c>
      <c r="F455" s="3" t="inlineStr">
        <is>
          <t>아모레퍼시픽</t>
        </is>
      </c>
      <c r="G455" s="2" t="inlineStr">
        <is>
          <t>20260224002345</t>
        </is>
      </c>
      <c r="H455" s="8">
        <f>HYPERLINK("https://dart.fss.or.kr/dsaf001/main.do?rcpNo=20260224002345", "공시열람")</f>
        <v/>
      </c>
    </row>
    <row r="456">
      <c r="A456" s="2" t="inlineStr">
        <is>
          <t>2026-02-24</t>
        </is>
      </c>
      <c r="B456" s="3" t="inlineStr">
        <is>
          <t>클로봇</t>
        </is>
      </c>
      <c r="C456" s="2" t="inlineStr">
        <is>
          <t>코스닥</t>
        </is>
      </c>
      <c r="D456" s="2" t="inlineStr">
        <is>
          <t>466100</t>
        </is>
      </c>
      <c r="E456" s="3" t="inlineStr">
        <is>
          <t>[기재정정]주주총회소집공고</t>
        </is>
      </c>
      <c r="F456" s="3" t="inlineStr">
        <is>
          <t>클로봇</t>
        </is>
      </c>
      <c r="G456" s="2" t="inlineStr">
        <is>
          <t>20260224002065</t>
        </is>
      </c>
      <c r="H456" s="8">
        <f>HYPERLINK("https://dart.fss.or.kr/dsaf001/main.do?rcpNo=20260224002065", "공시열람")</f>
        <v/>
      </c>
    </row>
    <row r="457">
      <c r="A457" s="2" t="inlineStr">
        <is>
          <t>2026-02-24</t>
        </is>
      </c>
      <c r="B457" s="3" t="inlineStr">
        <is>
          <t>티씨케이</t>
        </is>
      </c>
      <c r="C457" s="2" t="inlineStr">
        <is>
          <t>코스닥</t>
        </is>
      </c>
      <c r="D457" s="2" t="inlineStr">
        <is>
          <t>064760</t>
        </is>
      </c>
      <c r="E457" s="3" t="inlineStr">
        <is>
          <t>주주총회소집공고</t>
        </is>
      </c>
      <c r="F457" s="3" t="inlineStr">
        <is>
          <t>티씨케이</t>
        </is>
      </c>
      <c r="G457" s="2" t="inlineStr">
        <is>
          <t>20260224001802</t>
        </is>
      </c>
      <c r="H457" s="8">
        <f>HYPERLINK("https://dart.fss.or.kr/dsaf001/main.do?rcpNo=20260224001802", "공시열람")</f>
        <v/>
      </c>
    </row>
    <row r="458">
      <c r="A458" s="2" t="inlineStr">
        <is>
          <t>2026-02-24</t>
        </is>
      </c>
      <c r="B458" s="3" t="inlineStr">
        <is>
          <t>미래에셋비전스팩9호</t>
        </is>
      </c>
      <c r="C458" s="2" t="inlineStr">
        <is>
          <t>코스닥</t>
        </is>
      </c>
      <c r="D458" s="2" t="inlineStr">
        <is>
          <t>0096D0</t>
        </is>
      </c>
      <c r="E458" s="3" t="inlineStr">
        <is>
          <t>주주총회소집공고</t>
        </is>
      </c>
      <c r="F458" s="3" t="inlineStr">
        <is>
          <t>미래에셋비전스팩9호</t>
        </is>
      </c>
      <c r="G458" s="2" t="inlineStr">
        <is>
          <t>20260224001365</t>
        </is>
      </c>
      <c r="H458" s="8">
        <f>HYPERLINK("https://dart.fss.or.kr/dsaf001/main.do?rcpNo=20260224001365", "공시열람")</f>
        <v/>
      </c>
    </row>
    <row r="459">
      <c r="A459" s="2" t="inlineStr">
        <is>
          <t>2026-02-24</t>
        </is>
      </c>
      <c r="B459" s="3" t="inlineStr">
        <is>
          <t>인터로조</t>
        </is>
      </c>
      <c r="C459" s="2" t="inlineStr">
        <is>
          <t>코스닥</t>
        </is>
      </c>
      <c r="D459" s="2" t="inlineStr">
        <is>
          <t>119610</t>
        </is>
      </c>
      <c r="E459" s="3" t="inlineStr">
        <is>
          <t>주주총회소집공고</t>
        </is>
      </c>
      <c r="F459" s="3" t="inlineStr">
        <is>
          <t>인터로조</t>
        </is>
      </c>
      <c r="G459" s="2" t="inlineStr">
        <is>
          <t>20260224001227</t>
        </is>
      </c>
      <c r="H459" s="8">
        <f>HYPERLINK("https://dart.fss.or.kr/dsaf001/main.do?rcpNo=20260224001227", "공시열람")</f>
        <v/>
      </c>
    </row>
    <row r="460">
      <c r="A460" s="2" t="inlineStr">
        <is>
          <t>2026-02-24</t>
        </is>
      </c>
      <c r="B460" s="3" t="inlineStr">
        <is>
          <t>클로봇</t>
        </is>
      </c>
      <c r="C460" s="2" t="inlineStr">
        <is>
          <t>코스닥</t>
        </is>
      </c>
      <c r="D460" s="2" t="inlineStr">
        <is>
          <t>466100</t>
        </is>
      </c>
      <c r="E460" s="3" t="inlineStr">
        <is>
          <t>[기재정정]주주총회소집공고</t>
        </is>
      </c>
      <c r="F460" s="3" t="inlineStr">
        <is>
          <t>클로봇</t>
        </is>
      </c>
      <c r="G460" s="2" t="inlineStr">
        <is>
          <t>20260224001153</t>
        </is>
      </c>
      <c r="H460" s="8">
        <f>HYPERLINK("https://dart.fss.or.kr/dsaf001/main.do?rcpNo=20260224001153", "공시열람")</f>
        <v/>
      </c>
    </row>
    <row r="461">
      <c r="A461" s="2" t="inlineStr">
        <is>
          <t>2026-02-24</t>
        </is>
      </c>
      <c r="B461" s="3" t="inlineStr">
        <is>
          <t>클로봇</t>
        </is>
      </c>
      <c r="C461" s="2" t="inlineStr">
        <is>
          <t>코스닥</t>
        </is>
      </c>
      <c r="D461" s="2" t="inlineStr">
        <is>
          <t>466100</t>
        </is>
      </c>
      <c r="E461" s="3" t="inlineStr">
        <is>
          <t>[기재정정]주주총회소집공고</t>
        </is>
      </c>
      <c r="F461" s="3" t="inlineStr">
        <is>
          <t>클로봇</t>
        </is>
      </c>
      <c r="G461" s="2" t="inlineStr">
        <is>
          <t>20260224001029</t>
        </is>
      </c>
      <c r="H461" s="8">
        <f>HYPERLINK("https://dart.fss.or.kr/dsaf001/main.do?rcpNo=20260224001029", "공시열람")</f>
        <v/>
      </c>
    </row>
    <row r="462">
      <c r="A462" s="2" t="inlineStr">
        <is>
          <t>2026-02-24 (정정: 2026-03-23)</t>
        </is>
      </c>
      <c r="B462" s="3" t="inlineStr">
        <is>
          <t>나노</t>
        </is>
      </c>
      <c r="C462" s="2" t="inlineStr">
        <is>
          <t>코스닥</t>
        </is>
      </c>
      <c r="D462" s="2" t="inlineStr">
        <is>
          <t>187790</t>
        </is>
      </c>
      <c r="E462" s="3" t="inlineStr">
        <is>
          <t>주주총회소집공고 (정정: 20260323)</t>
        </is>
      </c>
      <c r="F462" s="3" t="inlineStr">
        <is>
          <t>나노</t>
        </is>
      </c>
      <c r="G462" s="2" t="inlineStr">
        <is>
          <t>20260323001617</t>
        </is>
      </c>
      <c r="H462" s="8">
        <f>HYPERLINK("https://dart.fss.or.kr/dsaf001/main.do?rcpNo=20260323001617", "공시열람")</f>
        <v/>
      </c>
    </row>
    <row r="463">
      <c r="A463" s="2" t="inlineStr">
        <is>
          <t>2026-02-25</t>
        </is>
      </c>
      <c r="B463" s="3" t="inlineStr">
        <is>
          <t>신성이엔지</t>
        </is>
      </c>
      <c r="C463" s="2" t="inlineStr">
        <is>
          <t>코스피</t>
        </is>
      </c>
      <c r="D463" s="2" t="inlineStr">
        <is>
          <t>011930</t>
        </is>
      </c>
      <c r="E463" s="3" t="inlineStr">
        <is>
          <t>[기재정정]주주총회소집공고</t>
        </is>
      </c>
      <c r="F463" s="3" t="inlineStr">
        <is>
          <t>신성이엔지</t>
        </is>
      </c>
      <c r="G463" s="2" t="inlineStr">
        <is>
          <t>20260225005930</t>
        </is>
      </c>
      <c r="H463" s="8">
        <f>HYPERLINK("https://dart.fss.or.kr/dsaf001/main.do?rcpNo=20260225005930", "공시열람")</f>
        <v/>
      </c>
    </row>
    <row r="464">
      <c r="A464" s="2" t="inlineStr">
        <is>
          <t>2026-02-25 (정정: 2026-03-10)</t>
        </is>
      </c>
      <c r="B464" s="3" t="inlineStr">
        <is>
          <t>시프트업</t>
        </is>
      </c>
      <c r="C464" s="2" t="inlineStr">
        <is>
          <t>코스피</t>
        </is>
      </c>
      <c r="D464" s="2" t="inlineStr">
        <is>
          <t>462870</t>
        </is>
      </c>
      <c r="E464" s="3" t="inlineStr">
        <is>
          <t>주주총회소집공고 (정정: 20260310) (정정: 20260310) (정정: 20260310)</t>
        </is>
      </c>
      <c r="F464" s="3" t="inlineStr">
        <is>
          <t>시프트업</t>
        </is>
      </c>
      <c r="G464" s="2" t="inlineStr">
        <is>
          <t>20260310801859</t>
        </is>
      </c>
      <c r="H464" s="8">
        <f>HYPERLINK("https://dart.fss.or.kr/dsaf001/main.do?rcpNo=20260310801859", "공시열람")</f>
        <v/>
      </c>
    </row>
    <row r="465">
      <c r="A465" s="2" t="inlineStr">
        <is>
          <t>2026-02-25</t>
        </is>
      </c>
      <c r="B465" s="3" t="inlineStr">
        <is>
          <t>DL</t>
        </is>
      </c>
      <c r="C465" s="2" t="inlineStr">
        <is>
          <t>코스피</t>
        </is>
      </c>
      <c r="D465" s="2" t="inlineStr">
        <is>
          <t>000210</t>
        </is>
      </c>
      <c r="E465" s="3" t="inlineStr">
        <is>
          <t>주주총회소집공고</t>
        </is>
      </c>
      <c r="F465" s="3" t="inlineStr">
        <is>
          <t>DL</t>
        </is>
      </c>
      <c r="G465" s="2" t="inlineStr">
        <is>
          <t>20260225005901</t>
        </is>
      </c>
      <c r="H465" s="8">
        <f>HYPERLINK("https://dart.fss.or.kr/dsaf001/main.do?rcpNo=20260225005901", "공시열람")</f>
        <v/>
      </c>
    </row>
    <row r="466">
      <c r="A466" s="2" t="inlineStr">
        <is>
          <t>2026-02-25</t>
        </is>
      </c>
      <c r="B466" s="3" t="inlineStr">
        <is>
          <t>코나아이</t>
        </is>
      </c>
      <c r="C466" s="2" t="inlineStr">
        <is>
          <t>코스닥</t>
        </is>
      </c>
      <c r="D466" s="2" t="inlineStr">
        <is>
          <t>052400</t>
        </is>
      </c>
      <c r="E466" s="3" t="inlineStr">
        <is>
          <t>주주총회소집공고</t>
        </is>
      </c>
      <c r="F466" s="3" t="inlineStr">
        <is>
          <t>코나아이</t>
        </is>
      </c>
      <c r="G466" s="2" t="inlineStr">
        <is>
          <t>20260225005883</t>
        </is>
      </c>
      <c r="H466" s="8">
        <f>HYPERLINK("https://dart.fss.or.kr/dsaf001/main.do?rcpNo=20260225005883", "공시열람")</f>
        <v/>
      </c>
    </row>
    <row r="467">
      <c r="A467" s="2" t="inlineStr">
        <is>
          <t>2026-02-25</t>
        </is>
      </c>
      <c r="B467" s="3" t="inlineStr">
        <is>
          <t>한올바이오파마</t>
        </is>
      </c>
      <c r="C467" s="2" t="inlineStr">
        <is>
          <t>코스피</t>
        </is>
      </c>
      <c r="D467" s="2" t="inlineStr">
        <is>
          <t>009420</t>
        </is>
      </c>
      <c r="E467" s="3" t="inlineStr">
        <is>
          <t>주주총회소집공고</t>
        </is>
      </c>
      <c r="F467" s="3" t="inlineStr">
        <is>
          <t>한올바이오파마</t>
        </is>
      </c>
      <c r="G467" s="2" t="inlineStr">
        <is>
          <t>20260225005862</t>
        </is>
      </c>
      <c r="H467" s="8">
        <f>HYPERLINK("https://dart.fss.or.kr/dsaf001/main.do?rcpNo=20260225005862", "공시열람")</f>
        <v/>
      </c>
    </row>
    <row r="468">
      <c r="A468" s="2" t="inlineStr">
        <is>
          <t>2026-02-25 (정정: 2026-03-11)</t>
        </is>
      </c>
      <c r="B468" s="3" t="inlineStr">
        <is>
          <t>JW중외제약</t>
        </is>
      </c>
      <c r="C468" s="2" t="inlineStr">
        <is>
          <t>코스피</t>
        </is>
      </c>
      <c r="D468" s="2" t="inlineStr">
        <is>
          <t>001060</t>
        </is>
      </c>
      <c r="E468" s="3" t="inlineStr">
        <is>
          <t>주주총회소집공고 (정정: 20260311) (정정: 20260311) (정정: 20260311)</t>
        </is>
      </c>
      <c r="F468" s="3" t="inlineStr">
        <is>
          <t>JW중외제약</t>
        </is>
      </c>
      <c r="G468" s="2" t="inlineStr">
        <is>
          <t>20260311802453</t>
        </is>
      </c>
      <c r="H468" s="8">
        <f>HYPERLINK("https://dart.fss.or.kr/dsaf001/main.do?rcpNo=20260311802453", "공시열람")</f>
        <v/>
      </c>
    </row>
    <row r="469">
      <c r="A469" s="2" t="inlineStr">
        <is>
          <t>2026-02-25 (정정: 2026-03-10)</t>
        </is>
      </c>
      <c r="B469" s="3" t="inlineStr">
        <is>
          <t>IPARK현대산업개발</t>
        </is>
      </c>
      <c r="C469" s="2" t="inlineStr">
        <is>
          <t>코스피</t>
        </is>
      </c>
      <c r="D469" s="2" t="inlineStr">
        <is>
          <t>294870</t>
        </is>
      </c>
      <c r="E469" s="3" t="inlineStr">
        <is>
          <t>주주총회소집공고 (정정: 20260310)</t>
        </is>
      </c>
      <c r="F469" s="3" t="inlineStr">
        <is>
          <t>IPARK현대산업개발</t>
        </is>
      </c>
      <c r="G469" s="2" t="inlineStr">
        <is>
          <t>20260310002401</t>
        </is>
      </c>
      <c r="H469" s="8">
        <f>HYPERLINK("https://dart.fss.or.kr/dsaf001/main.do?rcpNo=20260310002401", "공시열람")</f>
        <v/>
      </c>
    </row>
    <row r="470">
      <c r="A470" s="2" t="inlineStr">
        <is>
          <t>2026-02-25 (정정: 2026-03-11)</t>
        </is>
      </c>
      <c r="B470" s="3" t="inlineStr">
        <is>
          <t>JW생명과학</t>
        </is>
      </c>
      <c r="C470" s="2" t="inlineStr">
        <is>
          <t>코스피</t>
        </is>
      </c>
      <c r="D470" s="2" t="inlineStr">
        <is>
          <t>234080</t>
        </is>
      </c>
      <c r="E470" s="3" t="inlineStr">
        <is>
          <t>주주총회소집공고 (정정: 20260311) (정정: 20260311) (정정: 20260311)</t>
        </is>
      </c>
      <c r="F470" s="3" t="inlineStr">
        <is>
          <t>JW생명과학</t>
        </is>
      </c>
      <c r="G470" s="2" t="inlineStr">
        <is>
          <t>20260311802341</t>
        </is>
      </c>
      <c r="H470" s="8">
        <f>HYPERLINK("https://dart.fss.or.kr/dsaf001/main.do?rcpNo=20260311802341", "공시열람")</f>
        <v/>
      </c>
    </row>
    <row r="471">
      <c r="A471" s="2" t="inlineStr">
        <is>
          <t>2026-02-25</t>
        </is>
      </c>
      <c r="B471" s="3" t="inlineStr">
        <is>
          <t>광동제약</t>
        </is>
      </c>
      <c r="C471" s="2" t="inlineStr">
        <is>
          <t>코스피</t>
        </is>
      </c>
      <c r="D471" s="2" t="inlineStr">
        <is>
          <t>009290</t>
        </is>
      </c>
      <c r="E471" s="3" t="inlineStr">
        <is>
          <t>주주총회소집공고</t>
        </is>
      </c>
      <c r="F471" s="3" t="inlineStr">
        <is>
          <t>광동제약</t>
        </is>
      </c>
      <c r="G471" s="2" t="inlineStr">
        <is>
          <t>20260225005822</t>
        </is>
      </c>
      <c r="H471" s="8">
        <f>HYPERLINK("https://dart.fss.or.kr/dsaf001/main.do?rcpNo=20260225005822", "공시열람")</f>
        <v/>
      </c>
    </row>
    <row r="472">
      <c r="A472" s="2" t="inlineStr">
        <is>
          <t>2026-02-25 (정정: 2026-03-09)</t>
        </is>
      </c>
      <c r="B472" s="3" t="inlineStr">
        <is>
          <t>효성티앤씨</t>
        </is>
      </c>
      <c r="C472" s="2" t="inlineStr">
        <is>
          <t>코스피</t>
        </is>
      </c>
      <c r="D472" s="2" t="inlineStr">
        <is>
          <t>298020</t>
        </is>
      </c>
      <c r="E472" s="3" t="inlineStr">
        <is>
          <t>주주총회소집공고 (정정: 20260309)</t>
        </is>
      </c>
      <c r="F472" s="3" t="inlineStr">
        <is>
          <t>효성티앤씨</t>
        </is>
      </c>
      <c r="G472" s="2" t="inlineStr">
        <is>
          <t>20260309801492</t>
        </is>
      </c>
      <c r="H472" s="8">
        <f>HYPERLINK("https://dart.fss.or.kr/dsaf001/main.do?rcpNo=20260309801492", "공시열람")</f>
        <v/>
      </c>
    </row>
    <row r="473">
      <c r="A473" s="2" t="inlineStr">
        <is>
          <t>2026-02-25 (정정: 2026-03-11)</t>
        </is>
      </c>
      <c r="B473" s="3" t="inlineStr">
        <is>
          <t>JW홀딩스</t>
        </is>
      </c>
      <c r="C473" s="2" t="inlineStr">
        <is>
          <t>코스피</t>
        </is>
      </c>
      <c r="D473" s="2" t="inlineStr">
        <is>
          <t>096760</t>
        </is>
      </c>
      <c r="E473" s="3" t="inlineStr">
        <is>
          <t>주주총회소집공고 (정정: 20260311) (정정: 20260311) (정정: 20260311) (정정: 20260311) (정정: 20260311)</t>
        </is>
      </c>
      <c r="F473" s="3" t="inlineStr">
        <is>
          <t>JW홀딩스</t>
        </is>
      </c>
      <c r="G473" s="2" t="inlineStr">
        <is>
          <t>20260311802367</t>
        </is>
      </c>
      <c r="H473" s="8">
        <f>HYPERLINK("https://dart.fss.or.kr/dsaf001/main.do?rcpNo=20260311802367", "공시열람")</f>
        <v/>
      </c>
    </row>
    <row r="474">
      <c r="A474" s="2" t="inlineStr">
        <is>
          <t>2026-02-25</t>
        </is>
      </c>
      <c r="B474" s="3" t="inlineStr">
        <is>
          <t>케이티앤지</t>
        </is>
      </c>
      <c r="C474" s="2" t="inlineStr">
        <is>
          <t>코스피</t>
        </is>
      </c>
      <c r="D474" s="2" t="inlineStr">
        <is>
          <t>033780</t>
        </is>
      </c>
      <c r="E474" s="3" t="inlineStr">
        <is>
          <t>주주총회소집공고</t>
        </is>
      </c>
      <c r="F474" s="3" t="inlineStr">
        <is>
          <t>케이티앤지</t>
        </is>
      </c>
      <c r="G474" s="2" t="inlineStr">
        <is>
          <t>20260225005779</t>
        </is>
      </c>
      <c r="H474" s="8">
        <f>HYPERLINK("https://dart.fss.or.kr/dsaf001/main.do?rcpNo=20260225005779", "공시열람")</f>
        <v/>
      </c>
    </row>
    <row r="475">
      <c r="A475" s="2" t="inlineStr">
        <is>
          <t>2026-02-25</t>
        </is>
      </c>
      <c r="B475" s="3" t="inlineStr">
        <is>
          <t>한일시멘트</t>
        </is>
      </c>
      <c r="C475" s="2" t="inlineStr">
        <is>
          <t>코스피</t>
        </is>
      </c>
      <c r="D475" s="2" t="inlineStr">
        <is>
          <t>300720</t>
        </is>
      </c>
      <c r="E475" s="3" t="inlineStr">
        <is>
          <t>주주총회소집공고</t>
        </is>
      </c>
      <c r="F475" s="3" t="inlineStr">
        <is>
          <t>한일시멘트</t>
        </is>
      </c>
      <c r="G475" s="2" t="inlineStr">
        <is>
          <t>20260225005763</t>
        </is>
      </c>
      <c r="H475" s="8">
        <f>HYPERLINK("https://dart.fss.or.kr/dsaf001/main.do?rcpNo=20260225005763", "공시열람")</f>
        <v/>
      </c>
    </row>
    <row r="476">
      <c r="A476" s="2" t="inlineStr">
        <is>
          <t>2026-02-25 (정정: 2026-03-05)</t>
        </is>
      </c>
      <c r="B476" s="3" t="inlineStr">
        <is>
          <t>SK하이닉스</t>
        </is>
      </c>
      <c r="C476" s="2" t="inlineStr">
        <is>
          <t>코스피</t>
        </is>
      </c>
      <c r="D476" s="2" t="inlineStr">
        <is>
          <t>000660</t>
        </is>
      </c>
      <c r="E476" s="3" t="inlineStr">
        <is>
          <t>주주총회소집공고 (정정: 20260303) (정정: 20260305)</t>
        </is>
      </c>
      <c r="F476" s="3" t="inlineStr">
        <is>
          <t>SK하이닉스</t>
        </is>
      </c>
      <c r="G476" s="2" t="inlineStr">
        <is>
          <t>20260305801429</t>
        </is>
      </c>
      <c r="H476" s="8">
        <f>HYPERLINK("https://dart.fss.or.kr/dsaf001/main.do?rcpNo=20260305801429", "공시열람")</f>
        <v/>
      </c>
    </row>
    <row r="477">
      <c r="A477" s="2" t="inlineStr">
        <is>
          <t>2026-02-25</t>
        </is>
      </c>
      <c r="B477" s="3" t="inlineStr">
        <is>
          <t>롯데정밀화학</t>
        </is>
      </c>
      <c r="C477" s="2" t="inlineStr">
        <is>
          <t>코스피</t>
        </is>
      </c>
      <c r="D477" s="2" t="inlineStr">
        <is>
          <t>004000</t>
        </is>
      </c>
      <c r="E477" s="3" t="inlineStr">
        <is>
          <t>주주총회소집공고</t>
        </is>
      </c>
      <c r="F477" s="3" t="inlineStr">
        <is>
          <t>롯데정밀화학</t>
        </is>
      </c>
      <c r="G477" s="2" t="inlineStr">
        <is>
          <t>20260225005719</t>
        </is>
      </c>
      <c r="H477" s="8">
        <f>HYPERLINK("https://dart.fss.or.kr/dsaf001/main.do?rcpNo=20260225005719", "공시열람")</f>
        <v/>
      </c>
    </row>
    <row r="478">
      <c r="A478" s="2" t="inlineStr">
        <is>
          <t>2026-02-25 (정정: 2026-03-05)</t>
        </is>
      </c>
      <c r="B478" s="3" t="inlineStr">
        <is>
          <t>SK텔레콤</t>
        </is>
      </c>
      <c r="C478" s="2" t="inlineStr">
        <is>
          <t>코스피</t>
        </is>
      </c>
      <c r="D478" s="2" t="inlineStr">
        <is>
          <t>017670</t>
        </is>
      </c>
      <c r="E478" s="3" t="inlineStr">
        <is>
          <t>주주총회소집공고 (정정: 20260305)</t>
        </is>
      </c>
      <c r="F478" s="3" t="inlineStr">
        <is>
          <t>SK텔레콤</t>
        </is>
      </c>
      <c r="G478" s="2" t="inlineStr">
        <is>
          <t>20260305801560</t>
        </is>
      </c>
      <c r="H478" s="8">
        <f>HYPERLINK("https://dart.fss.or.kr/dsaf001/main.do?rcpNo=20260305801560", "공시열람")</f>
        <v/>
      </c>
    </row>
    <row r="479">
      <c r="A479" s="2" t="inlineStr">
        <is>
          <t>2026-02-25</t>
        </is>
      </c>
      <c r="B479" s="3" t="inlineStr">
        <is>
          <t>두산로보틱스</t>
        </is>
      </c>
      <c r="C479" s="2" t="inlineStr">
        <is>
          <t>코스피</t>
        </is>
      </c>
      <c r="D479" s="2" t="inlineStr">
        <is>
          <t>454910</t>
        </is>
      </c>
      <c r="E479" s="3" t="inlineStr">
        <is>
          <t>주주총회소집공고</t>
        </is>
      </c>
      <c r="F479" s="3" t="inlineStr">
        <is>
          <t>두산로보틱스</t>
        </is>
      </c>
      <c r="G479" s="2" t="inlineStr">
        <is>
          <t>20260225005684</t>
        </is>
      </c>
      <c r="H479" s="8">
        <f>HYPERLINK("https://dart.fss.or.kr/dsaf001/main.do?rcpNo=20260225005684", "공시열람")</f>
        <v/>
      </c>
    </row>
    <row r="480">
      <c r="A480" s="2" t="inlineStr">
        <is>
          <t>2026-02-25</t>
        </is>
      </c>
      <c r="B480" s="3" t="inlineStr">
        <is>
          <t>NHN</t>
        </is>
      </c>
      <c r="C480" s="2" t="inlineStr">
        <is>
          <t>코스피</t>
        </is>
      </c>
      <c r="D480" s="2" t="inlineStr">
        <is>
          <t>181710</t>
        </is>
      </c>
      <c r="E480" s="3" t="inlineStr">
        <is>
          <t>주주총회소집공고</t>
        </is>
      </c>
      <c r="F480" s="3" t="inlineStr">
        <is>
          <t>NHN</t>
        </is>
      </c>
      <c r="G480" s="2" t="inlineStr">
        <is>
          <t>20260225005678</t>
        </is>
      </c>
      <c r="H480" s="8">
        <f>HYPERLINK("https://dart.fss.or.kr/dsaf001/main.do?rcpNo=20260225005678", "공시열람")</f>
        <v/>
      </c>
    </row>
    <row r="481">
      <c r="A481" s="2" t="inlineStr">
        <is>
          <t>2026-02-25</t>
        </is>
      </c>
      <c r="B481" s="3" t="inlineStr">
        <is>
          <t>현대홈쇼핑</t>
        </is>
      </c>
      <c r="C481" s="2" t="inlineStr">
        <is>
          <t>코스피</t>
        </is>
      </c>
      <c r="D481" s="2" t="inlineStr">
        <is>
          <t>057050</t>
        </is>
      </c>
      <c r="E481" s="3" t="inlineStr">
        <is>
          <t>주주총회소집공고</t>
        </is>
      </c>
      <c r="F481" s="3" t="inlineStr">
        <is>
          <t>현대홈쇼핑</t>
        </is>
      </c>
      <c r="G481" s="2" t="inlineStr">
        <is>
          <t>20260225005668</t>
        </is>
      </c>
      <c r="H481" s="8">
        <f>HYPERLINK("https://dart.fss.or.kr/dsaf001/main.do?rcpNo=20260225005668", "공시열람")</f>
        <v/>
      </c>
    </row>
    <row r="482">
      <c r="A482" s="2" t="inlineStr">
        <is>
          <t>2026-02-25</t>
        </is>
      </c>
      <c r="B482" s="3" t="inlineStr">
        <is>
          <t>해성디에스</t>
        </is>
      </c>
      <c r="C482" s="2" t="inlineStr">
        <is>
          <t>코스피</t>
        </is>
      </c>
      <c r="D482" s="2" t="inlineStr">
        <is>
          <t>195870</t>
        </is>
      </c>
      <c r="E482" s="3" t="inlineStr">
        <is>
          <t>주주총회소집공고</t>
        </is>
      </c>
      <c r="F482" s="3" t="inlineStr">
        <is>
          <t>해성디에스</t>
        </is>
      </c>
      <c r="G482" s="2" t="inlineStr">
        <is>
          <t>20260225005604</t>
        </is>
      </c>
      <c r="H482" s="8">
        <f>HYPERLINK("https://dart.fss.or.kr/dsaf001/main.do?rcpNo=20260225005604", "공시열람")</f>
        <v/>
      </c>
    </row>
    <row r="483">
      <c r="A483" s="2" t="inlineStr">
        <is>
          <t>2026-02-25</t>
        </is>
      </c>
      <c r="B483" s="3" t="inlineStr">
        <is>
          <t>해태제과식품</t>
        </is>
      </c>
      <c r="C483" s="2" t="inlineStr">
        <is>
          <t>코스피</t>
        </is>
      </c>
      <c r="D483" s="2" t="inlineStr">
        <is>
          <t>101530</t>
        </is>
      </c>
      <c r="E483" s="3" t="inlineStr">
        <is>
          <t>주주총회소집공고</t>
        </is>
      </c>
      <c r="F483" s="3" t="inlineStr">
        <is>
          <t>해태제과식품</t>
        </is>
      </c>
      <c r="G483" s="2" t="inlineStr">
        <is>
          <t>20260225005576</t>
        </is>
      </c>
      <c r="H483" s="8">
        <f>HYPERLINK("https://dart.fss.or.kr/dsaf001/main.do?rcpNo=20260225005576", "공시열람")</f>
        <v/>
      </c>
    </row>
    <row r="484">
      <c r="A484" s="2" t="inlineStr">
        <is>
          <t>2026-02-25</t>
        </is>
      </c>
      <c r="B484" s="3" t="inlineStr">
        <is>
          <t>코스모화학</t>
        </is>
      </c>
      <c r="C484" s="2" t="inlineStr">
        <is>
          <t>코스피</t>
        </is>
      </c>
      <c r="D484" s="2" t="inlineStr">
        <is>
          <t>005420</t>
        </is>
      </c>
      <c r="E484" s="3" t="inlineStr">
        <is>
          <t>주주총회소집공고</t>
        </is>
      </c>
      <c r="F484" s="3" t="inlineStr">
        <is>
          <t>코스모화학</t>
        </is>
      </c>
      <c r="G484" s="2" t="inlineStr">
        <is>
          <t>20260225005571</t>
        </is>
      </c>
      <c r="H484" s="8">
        <f>HYPERLINK("https://dart.fss.or.kr/dsaf001/main.do?rcpNo=20260225005571", "공시열람")</f>
        <v/>
      </c>
    </row>
    <row r="485">
      <c r="A485" s="2" t="inlineStr">
        <is>
          <t>2026-02-25 (정정: 2026-03-18)</t>
        </is>
      </c>
      <c r="B485" s="3" t="inlineStr">
        <is>
          <t>삼양사</t>
        </is>
      </c>
      <c r="C485" s="2" t="inlineStr">
        <is>
          <t>코스피</t>
        </is>
      </c>
      <c r="D485" s="2" t="inlineStr">
        <is>
          <t>145990</t>
        </is>
      </c>
      <c r="E485" s="3" t="inlineStr">
        <is>
          <t>주주총회소집공고 (정정: 20260318)</t>
        </is>
      </c>
      <c r="F485" s="3" t="inlineStr">
        <is>
          <t>삼양사</t>
        </is>
      </c>
      <c r="G485" s="2" t="inlineStr">
        <is>
          <t>20260318001106</t>
        </is>
      </c>
      <c r="H485" s="8">
        <f>HYPERLINK("https://dart.fss.or.kr/dsaf001/main.do?rcpNo=20260318001106", "공시열람")</f>
        <v/>
      </c>
    </row>
    <row r="486">
      <c r="A486" s="2" t="inlineStr">
        <is>
          <t>2026-02-25</t>
        </is>
      </c>
      <c r="B486" s="3" t="inlineStr">
        <is>
          <t>파미셀</t>
        </is>
      </c>
      <c r="C486" s="2" t="inlineStr">
        <is>
          <t>코스피</t>
        </is>
      </c>
      <c r="D486" s="2" t="inlineStr">
        <is>
          <t>005690</t>
        </is>
      </c>
      <c r="E486" s="3" t="inlineStr">
        <is>
          <t>주주총회소집공고</t>
        </is>
      </c>
      <c r="F486" s="3" t="inlineStr">
        <is>
          <t>파미셀</t>
        </is>
      </c>
      <c r="G486" s="2" t="inlineStr">
        <is>
          <t>20260225005474</t>
        </is>
      </c>
      <c r="H486" s="8">
        <f>HYPERLINK("https://dart.fss.or.kr/dsaf001/main.do?rcpNo=20260225005474", "공시열람")</f>
        <v/>
      </c>
    </row>
    <row r="487">
      <c r="A487" s="2" t="inlineStr">
        <is>
          <t>2026-02-25</t>
        </is>
      </c>
      <c r="B487" s="3" t="inlineStr">
        <is>
          <t>효성화학</t>
        </is>
      </c>
      <c r="C487" s="2" t="inlineStr">
        <is>
          <t>코스피</t>
        </is>
      </c>
      <c r="D487" s="2" t="inlineStr">
        <is>
          <t>298000</t>
        </is>
      </c>
      <c r="E487" s="3" t="inlineStr">
        <is>
          <t>주주총회소집공고</t>
        </is>
      </c>
      <c r="F487" s="3" t="inlineStr">
        <is>
          <t>효성화학</t>
        </is>
      </c>
      <c r="G487" s="2" t="inlineStr">
        <is>
          <t>20260225005414</t>
        </is>
      </c>
      <c r="H487" s="8">
        <f>HYPERLINK("https://dart.fss.or.kr/dsaf001/main.do?rcpNo=20260225005414", "공시열람")</f>
        <v/>
      </c>
    </row>
    <row r="488">
      <c r="A488" s="2" t="inlineStr">
        <is>
          <t>2026-02-25</t>
        </is>
      </c>
      <c r="B488" s="3" t="inlineStr">
        <is>
          <t>현대백화점</t>
        </is>
      </c>
      <c r="C488" s="2" t="inlineStr">
        <is>
          <t>코스피</t>
        </is>
      </c>
      <c r="D488" s="2" t="inlineStr">
        <is>
          <t>069960</t>
        </is>
      </c>
      <c r="E488" s="3" t="inlineStr">
        <is>
          <t>[기재정정]주주총회소집공고</t>
        </is>
      </c>
      <c r="F488" s="3" t="inlineStr">
        <is>
          <t>현대백화점</t>
        </is>
      </c>
      <c r="G488" s="2" t="inlineStr">
        <is>
          <t>20260225005400</t>
        </is>
      </c>
      <c r="H488" s="8">
        <f>HYPERLINK("https://dart.fss.or.kr/dsaf001/main.do?rcpNo=20260225005400", "공시열람")</f>
        <v/>
      </c>
    </row>
    <row r="489">
      <c r="A489" s="2" t="inlineStr">
        <is>
          <t>2026-02-25 (정정: 2026-03-11)</t>
        </is>
      </c>
      <c r="B489" s="3" t="inlineStr">
        <is>
          <t>효성중공업</t>
        </is>
      </c>
      <c r="C489" s="2" t="inlineStr">
        <is>
          <t>코스피</t>
        </is>
      </c>
      <c r="D489" s="2" t="inlineStr">
        <is>
          <t>298040</t>
        </is>
      </c>
      <c r="E489" s="3" t="inlineStr">
        <is>
          <t>주주총회소집공고 (정정: 20260311)</t>
        </is>
      </c>
      <c r="F489" s="3" t="inlineStr">
        <is>
          <t>효성중공업</t>
        </is>
      </c>
      <c r="G489" s="2" t="inlineStr">
        <is>
          <t>20260311004649</t>
        </is>
      </c>
      <c r="H489" s="8">
        <f>HYPERLINK("https://dart.fss.or.kr/dsaf001/main.do?rcpNo=20260311004649", "공시열람")</f>
        <v/>
      </c>
    </row>
    <row r="490">
      <c r="A490" s="2" t="inlineStr">
        <is>
          <t>2026-02-25</t>
        </is>
      </c>
      <c r="B490" s="3" t="inlineStr">
        <is>
          <t>한일홀딩스</t>
        </is>
      </c>
      <c r="C490" s="2" t="inlineStr">
        <is>
          <t>코스피</t>
        </is>
      </c>
      <c r="D490" s="2" t="inlineStr">
        <is>
          <t>003300</t>
        </is>
      </c>
      <c r="E490" s="3" t="inlineStr">
        <is>
          <t>주주총회소집공고</t>
        </is>
      </c>
      <c r="F490" s="3" t="inlineStr">
        <is>
          <t>한일홀딩스</t>
        </is>
      </c>
      <c r="G490" s="2" t="inlineStr">
        <is>
          <t>20260225005371</t>
        </is>
      </c>
      <c r="H490" s="8">
        <f>HYPERLINK("https://dart.fss.or.kr/dsaf001/main.do?rcpNo=20260225005371", "공시열람")</f>
        <v/>
      </c>
    </row>
    <row r="491">
      <c r="A491" s="2" t="inlineStr">
        <is>
          <t>2026-02-25 (정정: 2026-03-05)</t>
        </is>
      </c>
      <c r="B491" s="3" t="inlineStr">
        <is>
          <t>현대자동차</t>
        </is>
      </c>
      <c r="C491" s="2" t="inlineStr">
        <is>
          <t>코스피</t>
        </is>
      </c>
      <c r="D491" s="2" t="inlineStr">
        <is>
          <t>005380</t>
        </is>
      </c>
      <c r="E491" s="3" t="inlineStr">
        <is>
          <t>주주총회소집공고 (정정: 20260305)</t>
        </is>
      </c>
      <c r="F491" s="3" t="inlineStr">
        <is>
          <t>현대자동차</t>
        </is>
      </c>
      <c r="G491" s="2" t="inlineStr">
        <is>
          <t>20260305801382</t>
        </is>
      </c>
      <c r="H491" s="8">
        <f>HYPERLINK("https://dart.fss.or.kr/dsaf001/main.do?rcpNo=20260305801382", "공시열람")</f>
        <v/>
      </c>
    </row>
    <row r="492">
      <c r="A492" s="2" t="inlineStr">
        <is>
          <t>2026-02-25</t>
        </is>
      </c>
      <c r="B492" s="3" t="inlineStr">
        <is>
          <t>티케이지휴켐스</t>
        </is>
      </c>
      <c r="C492" s="2" t="inlineStr">
        <is>
          <t>코스피</t>
        </is>
      </c>
      <c r="D492" s="2" t="inlineStr">
        <is>
          <t>069260</t>
        </is>
      </c>
      <c r="E492" s="3" t="inlineStr">
        <is>
          <t>주주총회소집공고</t>
        </is>
      </c>
      <c r="F492" s="3" t="inlineStr">
        <is>
          <t>티케이지휴켐스</t>
        </is>
      </c>
      <c r="G492" s="2" t="inlineStr">
        <is>
          <t>20260225005329</t>
        </is>
      </c>
      <c r="H492" s="8">
        <f>HYPERLINK("https://dart.fss.or.kr/dsaf001/main.do?rcpNo=20260225005329", "공시열람")</f>
        <v/>
      </c>
    </row>
    <row r="493">
      <c r="A493" s="2" t="inlineStr">
        <is>
          <t>2026-02-25</t>
        </is>
      </c>
      <c r="B493" s="3" t="inlineStr">
        <is>
          <t>광주신세계</t>
        </is>
      </c>
      <c r="C493" s="2" t="inlineStr">
        <is>
          <t>코스피</t>
        </is>
      </c>
      <c r="D493" s="2" t="inlineStr">
        <is>
          <t>037710</t>
        </is>
      </c>
      <c r="E493" s="3" t="inlineStr">
        <is>
          <t>주주총회소집공고</t>
        </is>
      </c>
      <c r="F493" s="3" t="inlineStr">
        <is>
          <t>광주신세계</t>
        </is>
      </c>
      <c r="G493" s="2" t="inlineStr">
        <is>
          <t>20260225005310</t>
        </is>
      </c>
      <c r="H493" s="8">
        <f>HYPERLINK("https://dart.fss.or.kr/dsaf001/main.do?rcpNo=20260225005310", "공시열람")</f>
        <v/>
      </c>
    </row>
    <row r="494">
      <c r="A494" s="2" t="inlineStr">
        <is>
          <t>2026-02-25 (정정: 2026-03-11)</t>
        </is>
      </c>
      <c r="B494" s="3" t="inlineStr">
        <is>
          <t>한국타이어앤테크놀로지</t>
        </is>
      </c>
      <c r="C494" s="2" t="inlineStr">
        <is>
          <t>코스피</t>
        </is>
      </c>
      <c r="D494" s="2" t="inlineStr">
        <is>
          <t>161390</t>
        </is>
      </c>
      <c r="E494" s="3" t="inlineStr">
        <is>
          <t>주주총회소집공고 (정정: 20260311) (정정: 20260311) (정정: 20260311) (정정: 20260311) (정정: 20260311)</t>
        </is>
      </c>
      <c r="F494" s="3" t="inlineStr">
        <is>
          <t>한국타이어앤테크놀로지</t>
        </is>
      </c>
      <c r="G494" s="2" t="inlineStr">
        <is>
          <t>20260311801275</t>
        </is>
      </c>
      <c r="H494" s="8">
        <f>HYPERLINK("https://dart.fss.or.kr/dsaf001/main.do?rcpNo=20260311801275", "공시열람")</f>
        <v/>
      </c>
    </row>
    <row r="495">
      <c r="A495" s="2" t="inlineStr">
        <is>
          <t>2026-02-25 (정정: 2026-03-05)</t>
        </is>
      </c>
      <c r="B495" s="3" t="inlineStr">
        <is>
          <t>한세실업</t>
        </is>
      </c>
      <c r="C495" s="2" t="inlineStr">
        <is>
          <t>코스피</t>
        </is>
      </c>
      <c r="D495" s="2" t="inlineStr">
        <is>
          <t>105630</t>
        </is>
      </c>
      <c r="E495" s="3" t="inlineStr">
        <is>
          <t>주주총회소집공고 (정정: 20260305) (정정: 20260305)</t>
        </is>
      </c>
      <c r="F495" s="3" t="inlineStr">
        <is>
          <t>한세실업</t>
        </is>
      </c>
      <c r="G495" s="2" t="inlineStr">
        <is>
          <t>20260305801648</t>
        </is>
      </c>
      <c r="H495" s="8">
        <f>HYPERLINK("https://dart.fss.or.kr/dsaf001/main.do?rcpNo=20260305801648", "공시열람")</f>
        <v/>
      </c>
    </row>
    <row r="496">
      <c r="A496" s="2" t="inlineStr">
        <is>
          <t>2026-02-25</t>
        </is>
      </c>
      <c r="B496" s="3" t="inlineStr">
        <is>
          <t>유화증권</t>
        </is>
      </c>
      <c r="C496" s="2" t="inlineStr">
        <is>
          <t>코스피</t>
        </is>
      </c>
      <c r="D496" s="2" t="inlineStr">
        <is>
          <t>003460</t>
        </is>
      </c>
      <c r="E496" s="3" t="inlineStr">
        <is>
          <t>주주총회소집공고</t>
        </is>
      </c>
      <c r="F496" s="3" t="inlineStr">
        <is>
          <t>유화증권</t>
        </is>
      </c>
      <c r="G496" s="2" t="inlineStr">
        <is>
          <t>20260225005299</t>
        </is>
      </c>
      <c r="H496" s="8">
        <f>HYPERLINK("https://dart.fss.or.kr/dsaf001/main.do?rcpNo=20260225005299", "공시열람")</f>
        <v/>
      </c>
    </row>
    <row r="497">
      <c r="A497" s="2" t="inlineStr">
        <is>
          <t>2026-02-25</t>
        </is>
      </c>
      <c r="B497" s="3" t="inlineStr">
        <is>
          <t>LG</t>
        </is>
      </c>
      <c r="C497" s="2" t="inlineStr">
        <is>
          <t>코스피</t>
        </is>
      </c>
      <c r="D497" s="2" t="inlineStr">
        <is>
          <t>003550</t>
        </is>
      </c>
      <c r="E497" s="3" t="inlineStr">
        <is>
          <t>주주총회소집공고</t>
        </is>
      </c>
      <c r="F497" s="3" t="inlineStr">
        <is>
          <t>LG</t>
        </is>
      </c>
      <c r="G497" s="2" t="inlineStr">
        <is>
          <t>20260225005289</t>
        </is>
      </c>
      <c r="H497" s="8">
        <f>HYPERLINK("https://dart.fss.or.kr/dsaf001/main.do?rcpNo=20260225005289", "공시열람")</f>
        <v/>
      </c>
    </row>
    <row r="498">
      <c r="A498" s="2" t="inlineStr">
        <is>
          <t>2026-02-25</t>
        </is>
      </c>
      <c r="B498" s="3" t="inlineStr">
        <is>
          <t>무학</t>
        </is>
      </c>
      <c r="C498" s="2" t="inlineStr">
        <is>
          <t>코스피</t>
        </is>
      </c>
      <c r="D498" s="2" t="inlineStr">
        <is>
          <t>033920</t>
        </is>
      </c>
      <c r="E498" s="3" t="inlineStr">
        <is>
          <t>주주총회소집공고</t>
        </is>
      </c>
      <c r="F498" s="3" t="inlineStr">
        <is>
          <t>무학</t>
        </is>
      </c>
      <c r="G498" s="2" t="inlineStr">
        <is>
          <t>20260225005281</t>
        </is>
      </c>
      <c r="H498" s="8">
        <f>HYPERLINK("https://dart.fss.or.kr/dsaf001/main.do?rcpNo=20260225005281", "공시열람")</f>
        <v/>
      </c>
    </row>
    <row r="499">
      <c r="A499" s="2" t="inlineStr">
        <is>
          <t>2026-02-25</t>
        </is>
      </c>
      <c r="B499" s="3" t="inlineStr">
        <is>
          <t>효성</t>
        </is>
      </c>
      <c r="C499" s="2" t="inlineStr">
        <is>
          <t>코스피</t>
        </is>
      </c>
      <c r="D499" s="2" t="inlineStr">
        <is>
          <t>004800</t>
        </is>
      </c>
      <c r="E499" s="3" t="inlineStr">
        <is>
          <t>주주총회소집공고</t>
        </is>
      </c>
      <c r="F499" s="3" t="inlineStr">
        <is>
          <t>효성</t>
        </is>
      </c>
      <c r="G499" s="2" t="inlineStr">
        <is>
          <t>20260225005260</t>
        </is>
      </c>
      <c r="H499" s="8">
        <f>HYPERLINK("https://dart.fss.or.kr/dsaf001/main.do?rcpNo=20260225005260", "공시열람")</f>
        <v/>
      </c>
    </row>
    <row r="500">
      <c r="A500" s="2" t="inlineStr">
        <is>
          <t>2026-02-25</t>
        </is>
      </c>
      <c r="B500" s="3" t="inlineStr">
        <is>
          <t>한진칼</t>
        </is>
      </c>
      <c r="C500" s="2" t="inlineStr">
        <is>
          <t>코스피</t>
        </is>
      </c>
      <c r="D500" s="2" t="inlineStr">
        <is>
          <t>180640</t>
        </is>
      </c>
      <c r="E500" s="3" t="inlineStr">
        <is>
          <t>주주총회소집공고</t>
        </is>
      </c>
      <c r="F500" s="3" t="inlineStr">
        <is>
          <t>한진칼</t>
        </is>
      </c>
      <c r="G500" s="2" t="inlineStr">
        <is>
          <t>20260225005184</t>
        </is>
      </c>
      <c r="H500" s="8">
        <f>HYPERLINK("https://dart.fss.or.kr/dsaf001/main.do?rcpNo=20260225005184", "공시열람")</f>
        <v/>
      </c>
    </row>
    <row r="501">
      <c r="A501" s="2" t="inlineStr">
        <is>
          <t>2026-02-25</t>
        </is>
      </c>
      <c r="B501" s="3" t="inlineStr">
        <is>
          <t>한국제지</t>
        </is>
      </c>
      <c r="C501" s="2" t="inlineStr">
        <is>
          <t>코스피</t>
        </is>
      </c>
      <c r="D501" s="2" t="inlineStr">
        <is>
          <t>027970</t>
        </is>
      </c>
      <c r="E501" s="3" t="inlineStr">
        <is>
          <t>주주총회소집공고</t>
        </is>
      </c>
      <c r="F501" s="3" t="inlineStr">
        <is>
          <t>한국제지</t>
        </is>
      </c>
      <c r="G501" s="2" t="inlineStr">
        <is>
          <t>20260225005150</t>
        </is>
      </c>
      <c r="H501" s="8">
        <f>HYPERLINK("https://dart.fss.or.kr/dsaf001/main.do?rcpNo=20260225005150", "공시열람")</f>
        <v/>
      </c>
    </row>
    <row r="502">
      <c r="A502" s="2" t="inlineStr">
        <is>
          <t>2026-02-25</t>
        </is>
      </c>
      <c r="B502" s="3" t="inlineStr">
        <is>
          <t>세아홀딩스</t>
        </is>
      </c>
      <c r="C502" s="2" t="inlineStr">
        <is>
          <t>코스피</t>
        </is>
      </c>
      <c r="D502" s="2" t="inlineStr">
        <is>
          <t>058650</t>
        </is>
      </c>
      <c r="E502" s="3" t="inlineStr">
        <is>
          <t>주주총회소집공고</t>
        </is>
      </c>
      <c r="F502" s="3" t="inlineStr">
        <is>
          <t>세아홀딩스</t>
        </is>
      </c>
      <c r="G502" s="2" t="inlineStr">
        <is>
          <t>20260225005108</t>
        </is>
      </c>
      <c r="H502" s="8">
        <f>HYPERLINK("https://dart.fss.or.kr/dsaf001/main.do?rcpNo=20260225005108", "공시열람")</f>
        <v/>
      </c>
    </row>
    <row r="503">
      <c r="A503" s="2" t="inlineStr">
        <is>
          <t>2026-02-25 (정정: 2026-03-06)</t>
        </is>
      </c>
      <c r="B503" s="3" t="inlineStr">
        <is>
          <t>한국항공우주</t>
        </is>
      </c>
      <c r="C503" s="2" t="inlineStr">
        <is>
          <t>코스피</t>
        </is>
      </c>
      <c r="D503" s="2" t="inlineStr">
        <is>
          <t>047810</t>
        </is>
      </c>
      <c r="E503" s="3" t="inlineStr">
        <is>
          <t>주주총회소집공고 (정정: 20260306) (정정: 20260306)</t>
        </is>
      </c>
      <c r="F503" s="3" t="inlineStr">
        <is>
          <t>한국항공우주</t>
        </is>
      </c>
      <c r="G503" s="2" t="inlineStr">
        <is>
          <t>20260306800841</t>
        </is>
      </c>
      <c r="H503" s="8">
        <f>HYPERLINK("https://dart.fss.or.kr/dsaf001/main.do?rcpNo=20260306800841", "공시열람")</f>
        <v/>
      </c>
    </row>
    <row r="504">
      <c r="A504" s="2" t="inlineStr">
        <is>
          <t>2026-02-25</t>
        </is>
      </c>
      <c r="B504" s="3" t="inlineStr">
        <is>
          <t>HL D&amp;I</t>
        </is>
      </c>
      <c r="C504" s="2" t="inlineStr">
        <is>
          <t>코스피</t>
        </is>
      </c>
      <c r="D504" s="2" t="inlineStr">
        <is>
          <t>014790</t>
        </is>
      </c>
      <c r="E504" s="3" t="inlineStr">
        <is>
          <t>주주총회소집공고</t>
        </is>
      </c>
      <c r="F504" s="3" t="inlineStr">
        <is>
          <t>HL D&amp;I</t>
        </is>
      </c>
      <c r="G504" s="2" t="inlineStr">
        <is>
          <t>20260225005028</t>
        </is>
      </c>
      <c r="H504" s="8">
        <f>HYPERLINK("https://dart.fss.or.kr/dsaf001/main.do?rcpNo=20260225005028", "공시열람")</f>
        <v/>
      </c>
    </row>
    <row r="505">
      <c r="A505" s="2" t="inlineStr">
        <is>
          <t>2026-02-25 (정정: 2026-06-01)</t>
        </is>
      </c>
      <c r="B505" s="3" t="inlineStr">
        <is>
          <t>흥아해운</t>
        </is>
      </c>
      <c r="C505" s="2" t="inlineStr">
        <is>
          <t>코스피</t>
        </is>
      </c>
      <c r="D505" s="2" t="inlineStr">
        <is>
          <t>003280</t>
        </is>
      </c>
      <c r="E505" s="3" t="inlineStr">
        <is>
          <t>주주총회소집공고 (정정: 20260317) (정정: 20260601)</t>
        </is>
      </c>
      <c r="F505" s="3" t="inlineStr">
        <is>
          <t>흥아해운</t>
        </is>
      </c>
      <c r="G505" s="2" t="inlineStr">
        <is>
          <t>20260601001489</t>
        </is>
      </c>
      <c r="H505" s="8">
        <f>HYPERLINK("https://dart.fss.or.kr/dsaf001/main.do?rcpNo=20260601001489", "공시열람")</f>
        <v/>
      </c>
    </row>
    <row r="506">
      <c r="A506" s="2" t="inlineStr">
        <is>
          <t>2026-02-25</t>
        </is>
      </c>
      <c r="B506" s="3" t="inlineStr">
        <is>
          <t>경보제약</t>
        </is>
      </c>
      <c r="C506" s="2" t="inlineStr">
        <is>
          <t>코스피</t>
        </is>
      </c>
      <c r="D506" s="2" t="inlineStr">
        <is>
          <t>214390</t>
        </is>
      </c>
      <c r="E506" s="3" t="inlineStr">
        <is>
          <t>주주총회소집공고</t>
        </is>
      </c>
      <c r="F506" s="3" t="inlineStr">
        <is>
          <t>경보제약</t>
        </is>
      </c>
      <c r="G506" s="2" t="inlineStr">
        <is>
          <t>20260225004961</t>
        </is>
      </c>
      <c r="H506" s="8">
        <f>HYPERLINK("https://dart.fss.or.kr/dsaf001/main.do?rcpNo=20260225004961", "공시열람")</f>
        <v/>
      </c>
    </row>
    <row r="507">
      <c r="A507" s="2" t="inlineStr">
        <is>
          <t>2026-02-25</t>
        </is>
      </c>
      <c r="B507" s="3" t="inlineStr">
        <is>
          <t>경동나비엔</t>
        </is>
      </c>
      <c r="C507" s="2" t="inlineStr">
        <is>
          <t>코스피</t>
        </is>
      </c>
      <c r="D507" s="2" t="inlineStr">
        <is>
          <t>009450</t>
        </is>
      </c>
      <c r="E507" s="3" t="inlineStr">
        <is>
          <t>주주총회소집공고</t>
        </is>
      </c>
      <c r="F507" s="3" t="inlineStr">
        <is>
          <t>경동나비엔</t>
        </is>
      </c>
      <c r="G507" s="2" t="inlineStr">
        <is>
          <t>20260225004958</t>
        </is>
      </c>
      <c r="H507" s="8">
        <f>HYPERLINK("https://dart.fss.or.kr/dsaf001/main.do?rcpNo=20260225004958", "공시열람")</f>
        <v/>
      </c>
    </row>
    <row r="508">
      <c r="A508" s="2" t="inlineStr">
        <is>
          <t>2026-02-25</t>
        </is>
      </c>
      <c r="B508" s="3" t="inlineStr">
        <is>
          <t>진매트릭스</t>
        </is>
      </c>
      <c r="C508" s="2" t="inlineStr">
        <is>
          <t>코스닥</t>
        </is>
      </c>
      <c r="D508" s="2" t="inlineStr">
        <is>
          <t>109820</t>
        </is>
      </c>
      <c r="E508" s="3" t="inlineStr">
        <is>
          <t>주주총회소집공고</t>
        </is>
      </c>
      <c r="F508" s="3" t="inlineStr">
        <is>
          <t>진매트릭스</t>
        </is>
      </c>
      <c r="G508" s="2" t="inlineStr">
        <is>
          <t>20260225004950</t>
        </is>
      </c>
      <c r="H508" s="8">
        <f>HYPERLINK("https://dart.fss.or.kr/dsaf001/main.do?rcpNo=20260225004950", "공시열람")</f>
        <v/>
      </c>
    </row>
    <row r="509">
      <c r="A509" s="2" t="inlineStr">
        <is>
          <t>2026-02-25</t>
        </is>
      </c>
      <c r="B509" s="3" t="inlineStr">
        <is>
          <t>대원강업</t>
        </is>
      </c>
      <c r="C509" s="2" t="inlineStr">
        <is>
          <t>코스피</t>
        </is>
      </c>
      <c r="D509" s="2" t="inlineStr">
        <is>
          <t>000430</t>
        </is>
      </c>
      <c r="E509" s="3" t="inlineStr">
        <is>
          <t>주주총회소집공고</t>
        </is>
      </c>
      <c r="F509" s="3" t="inlineStr">
        <is>
          <t>대원강업</t>
        </is>
      </c>
      <c r="G509" s="2" t="inlineStr">
        <is>
          <t>20260225004928</t>
        </is>
      </c>
      <c r="H509" s="8">
        <f>HYPERLINK("https://dart.fss.or.kr/dsaf001/main.do?rcpNo=20260225004928", "공시열람")</f>
        <v/>
      </c>
    </row>
    <row r="510">
      <c r="A510" s="2" t="inlineStr">
        <is>
          <t>2026-02-25 (정정: 2026-03-11)</t>
        </is>
      </c>
      <c r="B510" s="3" t="inlineStr">
        <is>
          <t>한솔홀딩스</t>
        </is>
      </c>
      <c r="C510" s="2" t="inlineStr">
        <is>
          <t>코스피</t>
        </is>
      </c>
      <c r="D510" s="2" t="inlineStr">
        <is>
          <t>004150</t>
        </is>
      </c>
      <c r="E510" s="3" t="inlineStr">
        <is>
          <t>주주총회소집공고 (정정: 20260311) (정정: 20260311)</t>
        </is>
      </c>
      <c r="F510" s="3" t="inlineStr">
        <is>
          <t>한솔홀딩스</t>
        </is>
      </c>
      <c r="G510" s="2" t="inlineStr">
        <is>
          <t>20260311003962</t>
        </is>
      </c>
      <c r="H510" s="8">
        <f>HYPERLINK("https://dart.fss.or.kr/dsaf001/main.do?rcpNo=20260311003962", "공시열람")</f>
        <v/>
      </c>
    </row>
    <row r="511">
      <c r="A511" s="2" t="inlineStr">
        <is>
          <t>2026-02-25 (정정: 2026-03-19)</t>
        </is>
      </c>
      <c r="B511" s="3" t="inlineStr">
        <is>
          <t>하이드로리튬</t>
        </is>
      </c>
      <c r="C511" s="2" t="inlineStr">
        <is>
          <t>코스닥</t>
        </is>
      </c>
      <c r="D511" s="2" t="inlineStr">
        <is>
          <t>101670</t>
        </is>
      </c>
      <c r="E511" s="3" t="inlineStr">
        <is>
          <t>주주총회소집공고 (정정: 20260303) (정정: 20260319)</t>
        </is>
      </c>
      <c r="F511" s="3" t="inlineStr">
        <is>
          <t>하이드로리튬</t>
        </is>
      </c>
      <c r="G511" s="2" t="inlineStr">
        <is>
          <t>20260319001134</t>
        </is>
      </c>
      <c r="H511" s="8">
        <f>HYPERLINK("https://dart.fss.or.kr/dsaf001/main.do?rcpNo=20260319001134", "공시열람")</f>
        <v/>
      </c>
    </row>
    <row r="512">
      <c r="A512" s="2" t="inlineStr">
        <is>
          <t>2026-02-25</t>
        </is>
      </c>
      <c r="B512" s="3" t="inlineStr">
        <is>
          <t>E8</t>
        </is>
      </c>
      <c r="C512" s="2" t="inlineStr">
        <is>
          <t>코스닥</t>
        </is>
      </c>
      <c r="D512" s="2" t="inlineStr">
        <is>
          <t>418620</t>
        </is>
      </c>
      <c r="E512" s="3" t="inlineStr">
        <is>
          <t>주주총회소집공고</t>
        </is>
      </c>
      <c r="F512" s="3" t="inlineStr">
        <is>
          <t>E8</t>
        </is>
      </c>
      <c r="G512" s="2" t="inlineStr">
        <is>
          <t>20260225004870</t>
        </is>
      </c>
      <c r="H512" s="8">
        <f>HYPERLINK("https://dart.fss.or.kr/dsaf001/main.do?rcpNo=20260225004870", "공시열람")</f>
        <v/>
      </c>
    </row>
    <row r="513">
      <c r="A513" s="2" t="inlineStr">
        <is>
          <t>2026-02-25 (정정: 2026-02-26)</t>
        </is>
      </c>
      <c r="B513" s="3" t="inlineStr">
        <is>
          <t>LF</t>
        </is>
      </c>
      <c r="C513" s="2" t="inlineStr">
        <is>
          <t>코스피</t>
        </is>
      </c>
      <c r="D513" s="2" t="inlineStr">
        <is>
          <t>093050</t>
        </is>
      </c>
      <c r="E513" s="3" t="inlineStr">
        <is>
          <t>주주총회소집공고 (정정: 20260226)</t>
        </is>
      </c>
      <c r="F513" s="3" t="inlineStr">
        <is>
          <t>LF</t>
        </is>
      </c>
      <c r="G513" s="2" t="inlineStr">
        <is>
          <t>20260226004757</t>
        </is>
      </c>
      <c r="H513" s="8">
        <f>HYPERLINK("https://dart.fss.or.kr/dsaf001/main.do?rcpNo=20260226004757", "공시열람")</f>
        <v/>
      </c>
    </row>
    <row r="514">
      <c r="A514" s="2" t="inlineStr">
        <is>
          <t>2026-02-25</t>
        </is>
      </c>
      <c r="B514" s="3" t="inlineStr">
        <is>
          <t>BGF</t>
        </is>
      </c>
      <c r="C514" s="2" t="inlineStr">
        <is>
          <t>코스피</t>
        </is>
      </c>
      <c r="D514" s="2" t="inlineStr">
        <is>
          <t>027410</t>
        </is>
      </c>
      <c r="E514" s="3" t="inlineStr">
        <is>
          <t>주주총회소집공고</t>
        </is>
      </c>
      <c r="F514" s="3" t="inlineStr">
        <is>
          <t>BGF</t>
        </is>
      </c>
      <c r="G514" s="2" t="inlineStr">
        <is>
          <t>20260225004838</t>
        </is>
      </c>
      <c r="H514" s="8">
        <f>HYPERLINK("https://dart.fss.or.kr/dsaf001/main.do?rcpNo=20260225004838", "공시열람")</f>
        <v/>
      </c>
    </row>
    <row r="515">
      <c r="A515" s="2" t="inlineStr">
        <is>
          <t>2026-02-25</t>
        </is>
      </c>
      <c r="B515" s="3" t="inlineStr">
        <is>
          <t>포스코DX</t>
        </is>
      </c>
      <c r="C515" s="2" t="inlineStr">
        <is>
          <t>코스피</t>
        </is>
      </c>
      <c r="D515" s="2" t="inlineStr">
        <is>
          <t>022100</t>
        </is>
      </c>
      <c r="E515" s="3" t="inlineStr">
        <is>
          <t>주주총회소집공고</t>
        </is>
      </c>
      <c r="F515" s="3" t="inlineStr">
        <is>
          <t>포스코DX</t>
        </is>
      </c>
      <c r="G515" s="2" t="inlineStr">
        <is>
          <t>20260225004735</t>
        </is>
      </c>
      <c r="H515" s="8">
        <f>HYPERLINK("https://dart.fss.or.kr/dsaf001/main.do?rcpNo=20260225004735", "공시열람")</f>
        <v/>
      </c>
    </row>
    <row r="516">
      <c r="A516" s="2" t="inlineStr">
        <is>
          <t>2026-02-25</t>
        </is>
      </c>
      <c r="B516" s="3" t="inlineStr">
        <is>
          <t>키움증권</t>
        </is>
      </c>
      <c r="C516" s="2" t="inlineStr">
        <is>
          <t>코스피</t>
        </is>
      </c>
      <c r="D516" s="2" t="inlineStr">
        <is>
          <t>039490</t>
        </is>
      </c>
      <c r="E516" s="3" t="inlineStr">
        <is>
          <t>주주총회소집공고</t>
        </is>
      </c>
      <c r="F516" s="3" t="inlineStr">
        <is>
          <t>키움증권</t>
        </is>
      </c>
      <c r="G516" s="2" t="inlineStr">
        <is>
          <t>20260225004712</t>
        </is>
      </c>
      <c r="H516" s="8">
        <f>HYPERLINK("https://dart.fss.or.kr/dsaf001/main.do?rcpNo=20260225004712", "공시열람")</f>
        <v/>
      </c>
    </row>
    <row r="517">
      <c r="A517" s="2" t="inlineStr">
        <is>
          <t>2026-02-25</t>
        </is>
      </c>
      <c r="B517" s="3" t="inlineStr">
        <is>
          <t>현대제철</t>
        </is>
      </c>
      <c r="C517" s="2" t="inlineStr">
        <is>
          <t>코스피</t>
        </is>
      </c>
      <c r="D517" s="2" t="inlineStr">
        <is>
          <t>004020</t>
        </is>
      </c>
      <c r="E517" s="3" t="inlineStr">
        <is>
          <t>주주총회소집공고</t>
        </is>
      </c>
      <c r="F517" s="3" t="inlineStr">
        <is>
          <t>현대제철</t>
        </is>
      </c>
      <c r="G517" s="2" t="inlineStr">
        <is>
          <t>20260225004706</t>
        </is>
      </c>
      <c r="H517" s="8">
        <f>HYPERLINK("https://dart.fss.or.kr/dsaf001/main.do?rcpNo=20260225004706", "공시열람")</f>
        <v/>
      </c>
    </row>
    <row r="518">
      <c r="A518" s="2" t="inlineStr">
        <is>
          <t>2026-02-25</t>
        </is>
      </c>
      <c r="B518" s="3" t="inlineStr">
        <is>
          <t>BGF리테일</t>
        </is>
      </c>
      <c r="C518" s="2" t="inlineStr">
        <is>
          <t>코스피</t>
        </is>
      </c>
      <c r="D518" s="2" t="inlineStr">
        <is>
          <t>282330</t>
        </is>
      </c>
      <c r="E518" s="3" t="inlineStr">
        <is>
          <t>주주총회소집공고</t>
        </is>
      </c>
      <c r="F518" s="3" t="inlineStr">
        <is>
          <t>BGF리테일</t>
        </is>
      </c>
      <c r="G518" s="2" t="inlineStr">
        <is>
          <t>20260225004697</t>
        </is>
      </c>
      <c r="H518" s="8">
        <f>HYPERLINK("https://dart.fss.or.kr/dsaf001/main.do?rcpNo=20260225004697", "공시열람")</f>
        <v/>
      </c>
    </row>
    <row r="519">
      <c r="A519" s="2" t="inlineStr">
        <is>
          <t>2026-02-25</t>
        </is>
      </c>
      <c r="B519" s="3" t="inlineStr">
        <is>
          <t>에스티큐브</t>
        </is>
      </c>
      <c r="C519" s="2" t="inlineStr">
        <is>
          <t>코스닥</t>
        </is>
      </c>
      <c r="D519" s="2" t="inlineStr">
        <is>
          <t>052020</t>
        </is>
      </c>
      <c r="E519" s="3" t="inlineStr">
        <is>
          <t>[기재정정]주주총회소집공고</t>
        </is>
      </c>
      <c r="F519" s="3" t="inlineStr">
        <is>
          <t>에스티큐브</t>
        </is>
      </c>
      <c r="G519" s="2" t="inlineStr">
        <is>
          <t>20260225004679</t>
        </is>
      </c>
      <c r="H519" s="8">
        <f>HYPERLINK("https://dart.fss.or.kr/dsaf001/main.do?rcpNo=20260225004679", "공시열람")</f>
        <v/>
      </c>
    </row>
    <row r="520">
      <c r="A520" s="2" t="inlineStr">
        <is>
          <t>2026-02-25 (정정: 2026-03-18)</t>
        </is>
      </c>
      <c r="B520" s="3" t="inlineStr">
        <is>
          <t>삼영무역</t>
        </is>
      </c>
      <c r="C520" s="2" t="inlineStr">
        <is>
          <t>코스피</t>
        </is>
      </c>
      <c r="D520" s="2" t="inlineStr">
        <is>
          <t>002810</t>
        </is>
      </c>
      <c r="E520" s="3" t="inlineStr">
        <is>
          <t>주주총회소집공고 (정정: 20260318)</t>
        </is>
      </c>
      <c r="F520" s="3" t="inlineStr">
        <is>
          <t>삼영무역</t>
        </is>
      </c>
      <c r="G520" s="2" t="inlineStr">
        <is>
          <t>20260318000502</t>
        </is>
      </c>
      <c r="H520" s="8">
        <f>HYPERLINK("https://dart.fss.or.kr/dsaf001/main.do?rcpNo=20260318000502", "공시열람")</f>
        <v/>
      </c>
    </row>
    <row r="521">
      <c r="A521" s="2" t="inlineStr">
        <is>
          <t>2026-02-25</t>
        </is>
      </c>
      <c r="B521" s="3" t="inlineStr">
        <is>
          <t>티엠씨</t>
        </is>
      </c>
      <c r="C521" s="2" t="inlineStr">
        <is>
          <t>코스피</t>
        </is>
      </c>
      <c r="D521" s="2" t="inlineStr">
        <is>
          <t>217590</t>
        </is>
      </c>
      <c r="E521" s="3" t="inlineStr">
        <is>
          <t>주주총회소집공고</t>
        </is>
      </c>
      <c r="F521" s="3" t="inlineStr">
        <is>
          <t>티엠씨</t>
        </is>
      </c>
      <c r="G521" s="2" t="inlineStr">
        <is>
          <t>20260225004640</t>
        </is>
      </c>
      <c r="H521" s="8">
        <f>HYPERLINK("https://dart.fss.or.kr/dsaf001/main.do?rcpNo=20260225004640", "공시열람")</f>
        <v/>
      </c>
    </row>
    <row r="522">
      <c r="A522" s="2" t="inlineStr">
        <is>
          <t>2026-02-25</t>
        </is>
      </c>
      <c r="B522" s="3" t="inlineStr">
        <is>
          <t>사조오양</t>
        </is>
      </c>
      <c r="C522" s="2" t="inlineStr">
        <is>
          <t>코스피</t>
        </is>
      </c>
      <c r="D522" s="2" t="inlineStr">
        <is>
          <t>006090</t>
        </is>
      </c>
      <c r="E522" s="3" t="inlineStr">
        <is>
          <t>주주총회소집공고</t>
        </is>
      </c>
      <c r="F522" s="3" t="inlineStr">
        <is>
          <t>사조오양</t>
        </is>
      </c>
      <c r="G522" s="2" t="inlineStr">
        <is>
          <t>20260225004581</t>
        </is>
      </c>
      <c r="H522" s="8">
        <f>HYPERLINK("https://dart.fss.or.kr/dsaf001/main.do?rcpNo=20260225004581", "공시열람")</f>
        <v/>
      </c>
    </row>
    <row r="523">
      <c r="A523" s="2" t="inlineStr">
        <is>
          <t>2026-02-25 (정정: 2026-02-25)</t>
        </is>
      </c>
      <c r="B523" s="3" t="inlineStr">
        <is>
          <t>시알홀딩스</t>
        </is>
      </c>
      <c r="C523" s="2" t="inlineStr">
        <is>
          <t>코스피</t>
        </is>
      </c>
      <c r="D523" s="2" t="inlineStr">
        <is>
          <t>000480</t>
        </is>
      </c>
      <c r="E523" s="3" t="inlineStr">
        <is>
          <t>[기재정정]주주총회소집공고</t>
        </is>
      </c>
      <c r="F523" s="3" t="inlineStr">
        <is>
          <t>시알홀딩스</t>
        </is>
      </c>
      <c r="G523" s="2" t="inlineStr">
        <is>
          <t>20260225004532</t>
        </is>
      </c>
      <c r="H523" s="8">
        <f>HYPERLINK("https://dart.fss.or.kr/dsaf001/main.do?rcpNo=20260225004532", "공시열람")</f>
        <v/>
      </c>
    </row>
    <row r="524">
      <c r="A524" s="2" t="inlineStr">
        <is>
          <t>2026-02-25 (정정: 2026-02-26)</t>
        </is>
      </c>
      <c r="B524" s="3" t="inlineStr">
        <is>
          <t>롯데하이마트</t>
        </is>
      </c>
      <c r="C524" s="2" t="inlineStr">
        <is>
          <t>코스피</t>
        </is>
      </c>
      <c r="D524" s="2" t="inlineStr">
        <is>
          <t>071840</t>
        </is>
      </c>
      <c r="E524" s="3" t="inlineStr">
        <is>
          <t>주주총회소집공고 (정정: 20260226)</t>
        </is>
      </c>
      <c r="F524" s="3" t="inlineStr">
        <is>
          <t>롯데하이마트</t>
        </is>
      </c>
      <c r="G524" s="2" t="inlineStr">
        <is>
          <t>20260226006362</t>
        </is>
      </c>
      <c r="H524" s="8">
        <f>HYPERLINK("https://dart.fss.or.kr/dsaf001/main.do?rcpNo=20260226006362", "공시열람")</f>
        <v/>
      </c>
    </row>
    <row r="525">
      <c r="A525" s="2" t="inlineStr">
        <is>
          <t>2026-02-25</t>
        </is>
      </c>
      <c r="B525" s="3" t="inlineStr">
        <is>
          <t>일동홀딩스</t>
        </is>
      </c>
      <c r="C525" s="2" t="inlineStr">
        <is>
          <t>코스피</t>
        </is>
      </c>
      <c r="D525" s="2" t="inlineStr">
        <is>
          <t>000230</t>
        </is>
      </c>
      <c r="E525" s="3" t="inlineStr">
        <is>
          <t>주주총회소집공고</t>
        </is>
      </c>
      <c r="F525" s="3" t="inlineStr">
        <is>
          <t>일동홀딩스</t>
        </is>
      </c>
      <c r="G525" s="2" t="inlineStr">
        <is>
          <t>20260225004452</t>
        </is>
      </c>
      <c r="H525" s="8">
        <f>HYPERLINK("https://dart.fss.or.kr/dsaf001/main.do?rcpNo=20260225004452", "공시열람")</f>
        <v/>
      </c>
    </row>
    <row r="526">
      <c r="A526" s="2" t="inlineStr">
        <is>
          <t>2026-02-25</t>
        </is>
      </c>
      <c r="B526" s="3" t="inlineStr">
        <is>
          <t>진에어</t>
        </is>
      </c>
      <c r="C526" s="2" t="inlineStr">
        <is>
          <t>코스피</t>
        </is>
      </c>
      <c r="D526" s="2" t="inlineStr">
        <is>
          <t>272450</t>
        </is>
      </c>
      <c r="E526" s="3" t="inlineStr">
        <is>
          <t>주주총회소집공고</t>
        </is>
      </c>
      <c r="F526" s="3" t="inlineStr">
        <is>
          <t>진에어</t>
        </is>
      </c>
      <c r="G526" s="2" t="inlineStr">
        <is>
          <t>20260225004416</t>
        </is>
      </c>
      <c r="H526" s="8">
        <f>HYPERLINK("https://dart.fss.or.kr/dsaf001/main.do?rcpNo=20260225004416", "공시열람")</f>
        <v/>
      </c>
    </row>
    <row r="527">
      <c r="A527" s="2" t="inlineStr">
        <is>
          <t>2026-02-25</t>
        </is>
      </c>
      <c r="B527" s="3" t="inlineStr">
        <is>
          <t>미스토홀딩스</t>
        </is>
      </c>
      <c r="C527" s="2" t="inlineStr">
        <is>
          <t>코스피</t>
        </is>
      </c>
      <c r="D527" s="2" t="inlineStr">
        <is>
          <t>081660</t>
        </is>
      </c>
      <c r="E527" s="3" t="inlineStr">
        <is>
          <t>주주총회소집공고</t>
        </is>
      </c>
      <c r="F527" s="3" t="inlineStr">
        <is>
          <t>미스토홀딩스</t>
        </is>
      </c>
      <c r="G527" s="2" t="inlineStr">
        <is>
          <t>20260225004415</t>
        </is>
      </c>
      <c r="H527" s="8">
        <f>HYPERLINK("https://dart.fss.or.kr/dsaf001/main.do?rcpNo=20260225004415", "공시열람")</f>
        <v/>
      </c>
    </row>
    <row r="528">
      <c r="A528" s="2" t="inlineStr">
        <is>
          <t>2026-02-25</t>
        </is>
      </c>
      <c r="B528" s="3" t="inlineStr">
        <is>
          <t>케이씨씨</t>
        </is>
      </c>
      <c r="C528" s="2" t="inlineStr">
        <is>
          <t>코스피</t>
        </is>
      </c>
      <c r="D528" s="2" t="inlineStr">
        <is>
          <t>002380</t>
        </is>
      </c>
      <c r="E528" s="3" t="inlineStr">
        <is>
          <t>주주총회소집공고</t>
        </is>
      </c>
      <c r="F528" s="3" t="inlineStr">
        <is>
          <t>케이씨씨</t>
        </is>
      </c>
      <c r="G528" s="2" t="inlineStr">
        <is>
          <t>20260225004382</t>
        </is>
      </c>
      <c r="H528" s="8">
        <f>HYPERLINK("https://dart.fss.or.kr/dsaf001/main.do?rcpNo=20260225004382", "공시열람")</f>
        <v/>
      </c>
    </row>
    <row r="529">
      <c r="A529" s="2" t="inlineStr">
        <is>
          <t>2026-02-25</t>
        </is>
      </c>
      <c r="B529" s="3" t="inlineStr">
        <is>
          <t>조선내화</t>
        </is>
      </c>
      <c r="C529" s="2" t="inlineStr">
        <is>
          <t>코스피</t>
        </is>
      </c>
      <c r="D529" s="2" t="inlineStr">
        <is>
          <t>462520</t>
        </is>
      </c>
      <c r="E529" s="3" t="inlineStr">
        <is>
          <t>주주총회소집공고</t>
        </is>
      </c>
      <c r="F529" s="3" t="inlineStr">
        <is>
          <t>조선내화</t>
        </is>
      </c>
      <c r="G529" s="2" t="inlineStr">
        <is>
          <t>20260225004374</t>
        </is>
      </c>
      <c r="H529" s="8">
        <f>HYPERLINK("https://dart.fss.or.kr/dsaf001/main.do?rcpNo=20260225004374", "공시열람")</f>
        <v/>
      </c>
    </row>
    <row r="530">
      <c r="A530" s="2" t="inlineStr">
        <is>
          <t>2026-02-25</t>
        </is>
      </c>
      <c r="B530" s="3" t="inlineStr">
        <is>
          <t>국제약품</t>
        </is>
      </c>
      <c r="C530" s="2" t="inlineStr">
        <is>
          <t>코스피</t>
        </is>
      </c>
      <c r="D530" s="2" t="inlineStr">
        <is>
          <t>002720</t>
        </is>
      </c>
      <c r="E530" s="3" t="inlineStr">
        <is>
          <t>주주총회소집공고</t>
        </is>
      </c>
      <c r="F530" s="3" t="inlineStr">
        <is>
          <t>국제약품</t>
        </is>
      </c>
      <c r="G530" s="2" t="inlineStr">
        <is>
          <t>20260225004372</t>
        </is>
      </c>
      <c r="H530" s="8">
        <f>HYPERLINK("https://dart.fss.or.kr/dsaf001/main.do?rcpNo=20260225004372", "공시열람")</f>
        <v/>
      </c>
    </row>
    <row r="531">
      <c r="A531" s="2" t="inlineStr">
        <is>
          <t>2026-02-25 (정정: 2026-03-11)</t>
        </is>
      </c>
      <c r="B531" s="3" t="inlineStr">
        <is>
          <t>대원제약</t>
        </is>
      </c>
      <c r="C531" s="2" t="inlineStr">
        <is>
          <t>코스피</t>
        </is>
      </c>
      <c r="D531" s="2" t="inlineStr">
        <is>
          <t>003220</t>
        </is>
      </c>
      <c r="E531" s="3" t="inlineStr">
        <is>
          <t>주주총회소집공고 (정정: 20260311)</t>
        </is>
      </c>
      <c r="F531" s="3" t="inlineStr">
        <is>
          <t>대원제약</t>
        </is>
      </c>
      <c r="G531" s="2" t="inlineStr">
        <is>
          <t>20260311004444</t>
        </is>
      </c>
      <c r="H531" s="8">
        <f>HYPERLINK("https://dart.fss.or.kr/dsaf001/main.do?rcpNo=20260311004444", "공시열람")</f>
        <v/>
      </c>
    </row>
    <row r="532">
      <c r="A532" s="2" t="inlineStr">
        <is>
          <t>2026-02-25</t>
        </is>
      </c>
      <c r="B532" s="3" t="inlineStr">
        <is>
          <t>동아에스티</t>
        </is>
      </c>
      <c r="C532" s="2" t="inlineStr">
        <is>
          <t>코스피</t>
        </is>
      </c>
      <c r="D532" s="2" t="inlineStr">
        <is>
          <t>170900</t>
        </is>
      </c>
      <c r="E532" s="3" t="inlineStr">
        <is>
          <t>주주총회소집공고</t>
        </is>
      </c>
      <c r="F532" s="3" t="inlineStr">
        <is>
          <t>동아에스티</t>
        </is>
      </c>
      <c r="G532" s="2" t="inlineStr">
        <is>
          <t>20260225004348</t>
        </is>
      </c>
      <c r="H532" s="8">
        <f>HYPERLINK("https://dart.fss.or.kr/dsaf001/main.do?rcpNo=20260225004348", "공시열람")</f>
        <v/>
      </c>
    </row>
    <row r="533">
      <c r="A533" s="2" t="inlineStr">
        <is>
          <t>2026-02-25 (정정: 2026-03-18)</t>
        </is>
      </c>
      <c r="B533" s="3" t="inlineStr">
        <is>
          <t>한창제지</t>
        </is>
      </c>
      <c r="C533" s="2" t="inlineStr">
        <is>
          <t>코스피</t>
        </is>
      </c>
      <c r="D533" s="2" t="inlineStr">
        <is>
          <t>009460</t>
        </is>
      </c>
      <c r="E533" s="3" t="inlineStr">
        <is>
          <t>주주총회소집공고 (정정: 20260318)</t>
        </is>
      </c>
      <c r="F533" s="3" t="inlineStr">
        <is>
          <t>한창제지</t>
        </is>
      </c>
      <c r="G533" s="2" t="inlineStr">
        <is>
          <t>20260318001158</t>
        </is>
      </c>
      <c r="H533" s="8">
        <f>HYPERLINK("https://dart.fss.or.kr/dsaf001/main.do?rcpNo=20260318001158", "공시열람")</f>
        <v/>
      </c>
    </row>
    <row r="534">
      <c r="A534" s="2" t="inlineStr">
        <is>
          <t>2026-02-25</t>
        </is>
      </c>
      <c r="B534" s="3" t="inlineStr">
        <is>
          <t>하림</t>
        </is>
      </c>
      <c r="C534" s="2" t="inlineStr">
        <is>
          <t>코스닥</t>
        </is>
      </c>
      <c r="D534" s="2" t="inlineStr">
        <is>
          <t>136480</t>
        </is>
      </c>
      <c r="E534" s="3" t="inlineStr">
        <is>
          <t>주주총회소집공고</t>
        </is>
      </c>
      <c r="F534" s="3" t="inlineStr">
        <is>
          <t>하림</t>
        </is>
      </c>
      <c r="G534" s="2" t="inlineStr">
        <is>
          <t>20260225004270</t>
        </is>
      </c>
      <c r="H534" s="8">
        <f>HYPERLINK("https://dart.fss.or.kr/dsaf001/main.do?rcpNo=20260225004270", "공시열람")</f>
        <v/>
      </c>
    </row>
    <row r="535">
      <c r="A535" s="2" t="inlineStr">
        <is>
          <t>2026-02-25</t>
        </is>
      </c>
      <c r="B535" s="3" t="inlineStr">
        <is>
          <t>현대퓨처넷</t>
        </is>
      </c>
      <c r="C535" s="2" t="inlineStr">
        <is>
          <t>코스피</t>
        </is>
      </c>
      <c r="D535" s="2" t="inlineStr">
        <is>
          <t>126560</t>
        </is>
      </c>
      <c r="E535" s="3" t="inlineStr">
        <is>
          <t>주주총회소집공고</t>
        </is>
      </c>
      <c r="F535" s="3" t="inlineStr">
        <is>
          <t>현대퓨처넷</t>
        </is>
      </c>
      <c r="G535" s="2" t="inlineStr">
        <is>
          <t>20260225004247</t>
        </is>
      </c>
      <c r="H535" s="8">
        <f>HYPERLINK("https://dart.fss.or.kr/dsaf001/main.do?rcpNo=20260225004247", "공시열람")</f>
        <v/>
      </c>
    </row>
    <row r="536">
      <c r="A536" s="2" t="inlineStr">
        <is>
          <t>2026-02-25</t>
        </is>
      </c>
      <c r="B536" s="3" t="inlineStr">
        <is>
          <t>콘텐트리중앙</t>
        </is>
      </c>
      <c r="C536" s="2" t="inlineStr">
        <is>
          <t>코스피</t>
        </is>
      </c>
      <c r="D536" s="2" t="inlineStr">
        <is>
          <t>036420</t>
        </is>
      </c>
      <c r="E536" s="3" t="inlineStr">
        <is>
          <t>주주총회소집공고</t>
        </is>
      </c>
      <c r="F536" s="3" t="inlineStr">
        <is>
          <t>콘텐트리중앙</t>
        </is>
      </c>
      <c r="G536" s="2" t="inlineStr">
        <is>
          <t>20260225004236</t>
        </is>
      </c>
      <c r="H536" s="8">
        <f>HYPERLINK("https://dart.fss.or.kr/dsaf001/main.do?rcpNo=20260225004236", "공시열람")</f>
        <v/>
      </c>
    </row>
    <row r="537">
      <c r="A537" s="2" t="inlineStr">
        <is>
          <t>2026-02-25</t>
        </is>
      </c>
      <c r="B537" s="3" t="inlineStr">
        <is>
          <t>동아쏘시오홀딩스</t>
        </is>
      </c>
      <c r="C537" s="2" t="inlineStr">
        <is>
          <t>코스피</t>
        </is>
      </c>
      <c r="D537" s="2" t="inlineStr">
        <is>
          <t>000640</t>
        </is>
      </c>
      <c r="E537" s="3" t="inlineStr">
        <is>
          <t>주주총회소집공고</t>
        </is>
      </c>
      <c r="F537" s="3" t="inlineStr">
        <is>
          <t>동아쏘시오홀딩스</t>
        </is>
      </c>
      <c r="G537" s="2" t="inlineStr">
        <is>
          <t>20260225004226</t>
        </is>
      </c>
      <c r="H537" s="8">
        <f>HYPERLINK("https://dart.fss.or.kr/dsaf001/main.do?rcpNo=20260225004226", "공시열람")</f>
        <v/>
      </c>
    </row>
    <row r="538">
      <c r="A538" s="2" t="inlineStr">
        <is>
          <t>2026-02-25</t>
        </is>
      </c>
      <c r="B538" s="3" t="inlineStr">
        <is>
          <t>일동제약</t>
        </is>
      </c>
      <c r="C538" s="2" t="inlineStr">
        <is>
          <t>코스피</t>
        </is>
      </c>
      <c r="D538" s="2" t="inlineStr">
        <is>
          <t>249420</t>
        </is>
      </c>
      <c r="E538" s="3" t="inlineStr">
        <is>
          <t>주주총회소집공고</t>
        </is>
      </c>
      <c r="F538" s="3" t="inlineStr">
        <is>
          <t>일동제약</t>
        </is>
      </c>
      <c r="G538" s="2" t="inlineStr">
        <is>
          <t>20260225004221</t>
        </is>
      </c>
      <c r="H538" s="8">
        <f>HYPERLINK("https://dart.fss.or.kr/dsaf001/main.do?rcpNo=20260225004221", "공시열람")</f>
        <v/>
      </c>
    </row>
    <row r="539">
      <c r="A539" s="2" t="inlineStr">
        <is>
          <t>2026-02-25</t>
        </is>
      </c>
      <c r="B539" s="3" t="inlineStr">
        <is>
          <t>마크로젠</t>
        </is>
      </c>
      <c r="C539" s="2" t="inlineStr">
        <is>
          <t>코스닥</t>
        </is>
      </c>
      <c r="D539" s="2" t="inlineStr">
        <is>
          <t>038290</t>
        </is>
      </c>
      <c r="E539" s="3" t="inlineStr">
        <is>
          <t>주주총회소집공고</t>
        </is>
      </c>
      <c r="F539" s="3" t="inlineStr">
        <is>
          <t>마크로젠</t>
        </is>
      </c>
      <c r="G539" s="2" t="inlineStr">
        <is>
          <t>20260225004198</t>
        </is>
      </c>
      <c r="H539" s="8">
        <f>HYPERLINK("https://dart.fss.or.kr/dsaf001/main.do?rcpNo=20260225004198", "공시열람")</f>
        <v/>
      </c>
    </row>
    <row r="540">
      <c r="A540" s="2" t="inlineStr">
        <is>
          <t>2026-02-25</t>
        </is>
      </c>
      <c r="B540" s="3" t="inlineStr">
        <is>
          <t>HB솔루션</t>
        </is>
      </c>
      <c r="C540" s="2" t="inlineStr">
        <is>
          <t>코스닥</t>
        </is>
      </c>
      <c r="D540" s="2" t="inlineStr">
        <is>
          <t>297890</t>
        </is>
      </c>
      <c r="E540" s="3" t="inlineStr">
        <is>
          <t>주주총회소집공고</t>
        </is>
      </c>
      <c r="F540" s="3" t="inlineStr">
        <is>
          <t>HB솔루션</t>
        </is>
      </c>
      <c r="G540" s="2" t="inlineStr">
        <is>
          <t>20260225004074</t>
        </is>
      </c>
      <c r="H540" s="8">
        <f>HYPERLINK("https://dart.fss.or.kr/dsaf001/main.do?rcpNo=20260225004074", "공시열람")</f>
        <v/>
      </c>
    </row>
    <row r="541">
      <c r="A541" s="2" t="inlineStr">
        <is>
          <t>2026-02-25</t>
        </is>
      </c>
      <c r="B541" s="3" t="inlineStr">
        <is>
          <t>하이퍼코퍼레이션</t>
        </is>
      </c>
      <c r="C541" s="2" t="inlineStr">
        <is>
          <t>코스닥</t>
        </is>
      </c>
      <c r="D541" s="2" t="inlineStr">
        <is>
          <t>065650</t>
        </is>
      </c>
      <c r="E541" s="3" t="inlineStr">
        <is>
          <t>주주총회소집공고</t>
        </is>
      </c>
      <c r="F541" s="3" t="inlineStr">
        <is>
          <t>하이퍼코퍼레이션</t>
        </is>
      </c>
      <c r="G541" s="2" t="inlineStr">
        <is>
          <t>20260225004033</t>
        </is>
      </c>
      <c r="H541" s="8">
        <f>HYPERLINK("https://dart.fss.or.kr/dsaf001/main.do?rcpNo=20260225004033", "공시열람")</f>
        <v/>
      </c>
    </row>
    <row r="542">
      <c r="A542" s="2" t="inlineStr">
        <is>
          <t>2026-02-25 (정정: 2026-03-10)</t>
        </is>
      </c>
      <c r="B542" s="3" t="inlineStr">
        <is>
          <t>에스디바이오센서</t>
        </is>
      </c>
      <c r="C542" s="2" t="inlineStr">
        <is>
          <t>코스피</t>
        </is>
      </c>
      <c r="D542" s="2" t="inlineStr">
        <is>
          <t>137310</t>
        </is>
      </c>
      <c r="E542" s="3" t="inlineStr">
        <is>
          <t>주주총회소집공고 (정정: 20260304) (정정: 20260304) (정정: 20260310)</t>
        </is>
      </c>
      <c r="F542" s="3" t="inlineStr">
        <is>
          <t>에스디바이오센서</t>
        </is>
      </c>
      <c r="G542" s="2" t="inlineStr">
        <is>
          <t>20260310800811</t>
        </is>
      </c>
      <c r="H542" s="8">
        <f>HYPERLINK("https://dart.fss.or.kr/dsaf001/main.do?rcpNo=20260310800811", "공시열람")</f>
        <v/>
      </c>
    </row>
    <row r="543">
      <c r="A543" s="2" t="inlineStr">
        <is>
          <t>2026-02-25</t>
        </is>
      </c>
      <c r="B543" s="3" t="inlineStr">
        <is>
          <t>현대백화점</t>
        </is>
      </c>
      <c r="C543" s="2" t="inlineStr">
        <is>
          <t>코스피</t>
        </is>
      </c>
      <c r="D543" s="2" t="inlineStr">
        <is>
          <t>069960</t>
        </is>
      </c>
      <c r="E543" s="3" t="inlineStr">
        <is>
          <t>주주총회소집공고</t>
        </is>
      </c>
      <c r="F543" s="3" t="inlineStr">
        <is>
          <t>현대백화점</t>
        </is>
      </c>
      <c r="G543" s="2" t="inlineStr">
        <is>
          <t>20260225003912</t>
        </is>
      </c>
      <c r="H543" s="8">
        <f>HYPERLINK("https://dart.fss.or.kr/dsaf001/main.do?rcpNo=20260225003912", "공시열람")</f>
        <v/>
      </c>
    </row>
    <row r="544">
      <c r="A544" s="2" t="inlineStr">
        <is>
          <t>2026-02-25</t>
        </is>
      </c>
      <c r="B544" s="3" t="inlineStr">
        <is>
          <t>진양산업</t>
        </is>
      </c>
      <c r="C544" s="2" t="inlineStr">
        <is>
          <t>코스피</t>
        </is>
      </c>
      <c r="D544" s="2" t="inlineStr">
        <is>
          <t>003780</t>
        </is>
      </c>
      <c r="E544" s="3" t="inlineStr">
        <is>
          <t>주주총회소집공고</t>
        </is>
      </c>
      <c r="F544" s="3" t="inlineStr">
        <is>
          <t>진양산업</t>
        </is>
      </c>
      <c r="G544" s="2" t="inlineStr">
        <is>
          <t>20260225003855</t>
        </is>
      </c>
      <c r="H544" s="8">
        <f>HYPERLINK("https://dart.fss.or.kr/dsaf001/main.do?rcpNo=20260225003855", "공시열람")</f>
        <v/>
      </c>
    </row>
    <row r="545">
      <c r="A545" s="2" t="inlineStr">
        <is>
          <t>2026-02-25</t>
        </is>
      </c>
      <c r="B545" s="3" t="inlineStr">
        <is>
          <t>BGF에코머티리얼즈</t>
        </is>
      </c>
      <c r="C545" s="2" t="inlineStr">
        <is>
          <t>코스닥</t>
        </is>
      </c>
      <c r="D545" s="2" t="inlineStr">
        <is>
          <t>126600</t>
        </is>
      </c>
      <c r="E545" s="3" t="inlineStr">
        <is>
          <t>주주총회소집공고</t>
        </is>
      </c>
      <c r="F545" s="3" t="inlineStr">
        <is>
          <t>BGF에코머티리얼즈</t>
        </is>
      </c>
      <c r="G545" s="2" t="inlineStr">
        <is>
          <t>20260225003747</t>
        </is>
      </c>
      <c r="H545" s="8">
        <f>HYPERLINK("https://dart.fss.or.kr/dsaf001/main.do?rcpNo=20260225003747", "공시열람")</f>
        <v/>
      </c>
    </row>
    <row r="546">
      <c r="A546" s="2" t="inlineStr">
        <is>
          <t>2026-02-25 (정정: 2026-03-11)</t>
        </is>
      </c>
      <c r="B546" s="3" t="inlineStr">
        <is>
          <t>이녹스첨단소재</t>
        </is>
      </c>
      <c r="C546" s="2" t="inlineStr">
        <is>
          <t>코스닥</t>
        </is>
      </c>
      <c r="D546" s="2" t="inlineStr">
        <is>
          <t>272290</t>
        </is>
      </c>
      <c r="E546" s="3" t="inlineStr">
        <is>
          <t>주주총회소집공고 (정정: 20260311) (정정: 20260311) (정정: 20260311)</t>
        </is>
      </c>
      <c r="F546" s="3" t="inlineStr">
        <is>
          <t>이녹스첨단소재</t>
        </is>
      </c>
      <c r="G546" s="2" t="inlineStr">
        <is>
          <t>20260311900980</t>
        </is>
      </c>
      <c r="H546" s="8">
        <f>HYPERLINK("https://dart.fss.or.kr/dsaf001/main.do?rcpNo=20260311900980", "공시열람")</f>
        <v/>
      </c>
    </row>
    <row r="547">
      <c r="A547" s="2" t="inlineStr">
        <is>
          <t>2026-02-25</t>
        </is>
      </c>
      <c r="B547" s="3" t="inlineStr">
        <is>
          <t>종근당바이오</t>
        </is>
      </c>
      <c r="C547" s="2" t="inlineStr">
        <is>
          <t>코스피</t>
        </is>
      </c>
      <c r="D547" s="2" t="inlineStr">
        <is>
          <t>063160</t>
        </is>
      </c>
      <c r="E547" s="3" t="inlineStr">
        <is>
          <t>주주총회소집공고</t>
        </is>
      </c>
      <c r="F547" s="3" t="inlineStr">
        <is>
          <t>종근당바이오</t>
        </is>
      </c>
      <c r="G547" s="2" t="inlineStr">
        <is>
          <t>20260225003644</t>
        </is>
      </c>
      <c r="H547" s="8">
        <f>HYPERLINK("https://dart.fss.or.kr/dsaf001/main.do?rcpNo=20260225003644", "공시열람")</f>
        <v/>
      </c>
    </row>
    <row r="548">
      <c r="A548" s="2" t="inlineStr">
        <is>
          <t>2026-02-25</t>
        </is>
      </c>
      <c r="B548" s="3" t="inlineStr">
        <is>
          <t>현대이지웰</t>
        </is>
      </c>
      <c r="C548" s="2" t="inlineStr">
        <is>
          <t>코스닥</t>
        </is>
      </c>
      <c r="D548" s="2" t="inlineStr">
        <is>
          <t>090850</t>
        </is>
      </c>
      <c r="E548" s="3" t="inlineStr">
        <is>
          <t>주주총회소집공고</t>
        </is>
      </c>
      <c r="F548" s="3" t="inlineStr">
        <is>
          <t>현대이지웰</t>
        </is>
      </c>
      <c r="G548" s="2" t="inlineStr">
        <is>
          <t>20260225003642</t>
        </is>
      </c>
      <c r="H548" s="8">
        <f>HYPERLINK("https://dart.fss.or.kr/dsaf001/main.do?rcpNo=20260225003642", "공시열람")</f>
        <v/>
      </c>
    </row>
    <row r="549">
      <c r="A549" s="2" t="inlineStr">
        <is>
          <t>2026-02-25</t>
        </is>
      </c>
      <c r="B549" s="3" t="inlineStr">
        <is>
          <t>NHN KCP</t>
        </is>
      </c>
      <c r="C549" s="2" t="inlineStr">
        <is>
          <t>코스닥</t>
        </is>
      </c>
      <c r="D549" s="2" t="inlineStr">
        <is>
          <t>060250</t>
        </is>
      </c>
      <c r="E549" s="3" t="inlineStr">
        <is>
          <t>주주총회소집공고</t>
        </is>
      </c>
      <c r="F549" s="3" t="inlineStr">
        <is>
          <t>NHN KCP</t>
        </is>
      </c>
      <c r="G549" s="2" t="inlineStr">
        <is>
          <t>20260225003634</t>
        </is>
      </c>
      <c r="H549" s="8">
        <f>HYPERLINK("https://dart.fss.or.kr/dsaf001/main.do?rcpNo=20260225003634", "공시열람")</f>
        <v/>
      </c>
    </row>
    <row r="550">
      <c r="A550" s="2" t="inlineStr">
        <is>
          <t>2026-02-25</t>
        </is>
      </c>
      <c r="B550" s="3" t="inlineStr">
        <is>
          <t>상신브레이크</t>
        </is>
      </c>
      <c r="C550" s="2" t="inlineStr">
        <is>
          <t>코스피</t>
        </is>
      </c>
      <c r="D550" s="2" t="inlineStr">
        <is>
          <t>041650</t>
        </is>
      </c>
      <c r="E550" s="3" t="inlineStr">
        <is>
          <t>주주총회소집공고</t>
        </is>
      </c>
      <c r="F550" s="3" t="inlineStr">
        <is>
          <t>상신브레이크</t>
        </is>
      </c>
      <c r="G550" s="2" t="inlineStr">
        <is>
          <t>20260225003608</t>
        </is>
      </c>
      <c r="H550" s="8">
        <f>HYPERLINK("https://dart.fss.or.kr/dsaf001/main.do?rcpNo=20260225003608", "공시열람")</f>
        <v/>
      </c>
    </row>
    <row r="551">
      <c r="A551" s="2" t="inlineStr">
        <is>
          <t>2026-02-25</t>
        </is>
      </c>
      <c r="B551" s="3" t="inlineStr">
        <is>
          <t>신세계푸드</t>
        </is>
      </c>
      <c r="C551" s="2" t="inlineStr">
        <is>
          <t>코스피</t>
        </is>
      </c>
      <c r="D551" s="2" t="inlineStr">
        <is>
          <t>031440</t>
        </is>
      </c>
      <c r="E551" s="3" t="inlineStr">
        <is>
          <t>주주총회소집공고</t>
        </is>
      </c>
      <c r="F551" s="3" t="inlineStr">
        <is>
          <t>신세계푸드</t>
        </is>
      </c>
      <c r="G551" s="2" t="inlineStr">
        <is>
          <t>20260225003601</t>
        </is>
      </c>
      <c r="H551" s="8">
        <f>HYPERLINK("https://dart.fss.or.kr/dsaf001/main.do?rcpNo=20260225003601", "공시열람")</f>
        <v/>
      </c>
    </row>
    <row r="552">
      <c r="A552" s="2" t="inlineStr">
        <is>
          <t>2026-02-25 (정정: 2026-03-11)</t>
        </is>
      </c>
      <c r="B552" s="3" t="inlineStr">
        <is>
          <t>지역난방공사</t>
        </is>
      </c>
      <c r="C552" s="2" t="inlineStr">
        <is>
          <t>코스피</t>
        </is>
      </c>
      <c r="D552" s="2" t="inlineStr">
        <is>
          <t>071320</t>
        </is>
      </c>
      <c r="E552" s="3" t="inlineStr">
        <is>
          <t>주주총회소집공고 (정정: 20260311) (정정: 20260311)</t>
        </is>
      </c>
      <c r="F552" s="3" t="inlineStr">
        <is>
          <t>지역난방공사</t>
        </is>
      </c>
      <c r="G552" s="2" t="inlineStr">
        <is>
          <t>20260311003359</t>
        </is>
      </c>
      <c r="H552" s="8">
        <f>HYPERLINK("https://dart.fss.or.kr/dsaf001/main.do?rcpNo=20260311003359", "공시열람")</f>
        <v/>
      </c>
    </row>
    <row r="553">
      <c r="A553" s="2" t="inlineStr">
        <is>
          <t>2026-02-25</t>
        </is>
      </c>
      <c r="B553" s="3" t="inlineStr">
        <is>
          <t>시알홀딩스</t>
        </is>
      </c>
      <c r="C553" s="2" t="inlineStr">
        <is>
          <t>코스피</t>
        </is>
      </c>
      <c r="D553" s="2" t="inlineStr">
        <is>
          <t>000480</t>
        </is>
      </c>
      <c r="E553" s="3" t="inlineStr">
        <is>
          <t>주주총회소집공고</t>
        </is>
      </c>
      <c r="F553" s="3" t="inlineStr">
        <is>
          <t>시알홀딩스</t>
        </is>
      </c>
      <c r="G553" s="2" t="inlineStr">
        <is>
          <t>20260225003450</t>
        </is>
      </c>
      <c r="H553" s="8">
        <f>HYPERLINK("https://dart.fss.or.kr/dsaf001/main.do?rcpNo=20260225003450", "공시열람")</f>
        <v/>
      </c>
    </row>
    <row r="554">
      <c r="A554" s="2" t="inlineStr">
        <is>
          <t>2026-02-25</t>
        </is>
      </c>
      <c r="B554" s="3" t="inlineStr">
        <is>
          <t>현대위아</t>
        </is>
      </c>
      <c r="C554" s="2" t="inlineStr">
        <is>
          <t>코스피</t>
        </is>
      </c>
      <c r="D554" s="2" t="inlineStr">
        <is>
          <t>011210</t>
        </is>
      </c>
      <c r="E554" s="3" t="inlineStr">
        <is>
          <t>주주총회소집공고</t>
        </is>
      </c>
      <c r="F554" s="3" t="inlineStr">
        <is>
          <t>현대위아</t>
        </is>
      </c>
      <c r="G554" s="2" t="inlineStr">
        <is>
          <t>20260225003345</t>
        </is>
      </c>
      <c r="H554" s="8">
        <f>HYPERLINK("https://dart.fss.or.kr/dsaf001/main.do?rcpNo=20260225003345", "공시열람")</f>
        <v/>
      </c>
    </row>
    <row r="555">
      <c r="A555" s="2" t="inlineStr">
        <is>
          <t>2026-02-25</t>
        </is>
      </c>
      <c r="B555" s="3" t="inlineStr">
        <is>
          <t>현대오토에버</t>
        </is>
      </c>
      <c r="C555" s="2" t="inlineStr">
        <is>
          <t>코스피</t>
        </is>
      </c>
      <c r="D555" s="2" t="inlineStr">
        <is>
          <t>307950</t>
        </is>
      </c>
      <c r="E555" s="3" t="inlineStr">
        <is>
          <t>주주총회소집공고</t>
        </is>
      </c>
      <c r="F555" s="3" t="inlineStr">
        <is>
          <t>현대오토에버</t>
        </is>
      </c>
      <c r="G555" s="2" t="inlineStr">
        <is>
          <t>20260225003206</t>
        </is>
      </c>
      <c r="H555" s="8">
        <f>HYPERLINK("https://dart.fss.or.kr/dsaf001/main.do?rcpNo=20260225003206", "공시열람")</f>
        <v/>
      </c>
    </row>
    <row r="556">
      <c r="A556" s="2" t="inlineStr">
        <is>
          <t>2026-02-25 (정정: 2026-06-01)</t>
        </is>
      </c>
      <c r="B556" s="3" t="inlineStr">
        <is>
          <t>오리온홀딩스</t>
        </is>
      </c>
      <c r="C556" s="2" t="inlineStr">
        <is>
          <t>코스피</t>
        </is>
      </c>
      <c r="D556" s="2" t="inlineStr">
        <is>
          <t>001800</t>
        </is>
      </c>
      <c r="E556" s="3" t="inlineStr">
        <is>
          <t>주주총회소집공고 (정정: 20260318) (정정: 20260601)</t>
        </is>
      </c>
      <c r="F556" s="3" t="inlineStr">
        <is>
          <t>오리온홀딩스</t>
        </is>
      </c>
      <c r="G556" s="2" t="inlineStr">
        <is>
          <t>20260601002017</t>
        </is>
      </c>
      <c r="H556" s="8">
        <f>HYPERLINK("https://dart.fss.or.kr/dsaf001/main.do?rcpNo=20260601002017", "공시열람")</f>
        <v/>
      </c>
    </row>
    <row r="557">
      <c r="A557" s="2" t="inlineStr">
        <is>
          <t>2026-02-25</t>
        </is>
      </c>
      <c r="B557" s="3" t="inlineStr">
        <is>
          <t>종근당홀딩스</t>
        </is>
      </c>
      <c r="C557" s="2" t="inlineStr">
        <is>
          <t>코스피</t>
        </is>
      </c>
      <c r="D557" s="2" t="inlineStr">
        <is>
          <t>001630</t>
        </is>
      </c>
      <c r="E557" s="3" t="inlineStr">
        <is>
          <t>주주총회소집공고</t>
        </is>
      </c>
      <c r="F557" s="3" t="inlineStr">
        <is>
          <t>종근당홀딩스</t>
        </is>
      </c>
      <c r="G557" s="2" t="inlineStr">
        <is>
          <t>20260225003126</t>
        </is>
      </c>
      <c r="H557" s="8">
        <f>HYPERLINK("https://dart.fss.or.kr/dsaf001/main.do?rcpNo=20260225003126", "공시열람")</f>
        <v/>
      </c>
    </row>
    <row r="558">
      <c r="A558" s="2" t="inlineStr">
        <is>
          <t>2026-02-25 (정정: 2026-03-18)</t>
        </is>
      </c>
      <c r="B558" s="3" t="inlineStr">
        <is>
          <t>오리온</t>
        </is>
      </c>
      <c r="C558" s="2" t="inlineStr">
        <is>
          <t>코스피</t>
        </is>
      </c>
      <c r="D558" s="2" t="inlineStr">
        <is>
          <t>271560</t>
        </is>
      </c>
      <c r="E558" s="3" t="inlineStr">
        <is>
          <t>주주총회소집공고 (정정: 20260312) (정정: 20260312) (정정: 20260312) (정정: 20260318)</t>
        </is>
      </c>
      <c r="F558" s="3" t="inlineStr">
        <is>
          <t>오리온</t>
        </is>
      </c>
      <c r="G558" s="2" t="inlineStr">
        <is>
          <t>20260318000680</t>
        </is>
      </c>
      <c r="H558" s="8">
        <f>HYPERLINK("https://dart.fss.or.kr/dsaf001/main.do?rcpNo=20260318000680", "공시열람")</f>
        <v/>
      </c>
    </row>
    <row r="559">
      <c r="A559" s="2" t="inlineStr">
        <is>
          <t>2026-02-25</t>
        </is>
      </c>
      <c r="B559" s="3" t="inlineStr">
        <is>
          <t>쏘카</t>
        </is>
      </c>
      <c r="C559" s="2" t="inlineStr">
        <is>
          <t>코스피</t>
        </is>
      </c>
      <c r="D559" s="2" t="inlineStr">
        <is>
          <t>403550</t>
        </is>
      </c>
      <c r="E559" s="3" t="inlineStr">
        <is>
          <t>주주총회소집공고</t>
        </is>
      </c>
      <c r="F559" s="3" t="inlineStr">
        <is>
          <t>쏘카</t>
        </is>
      </c>
      <c r="G559" s="2" t="inlineStr">
        <is>
          <t>20260225003088</t>
        </is>
      </c>
      <c r="H559" s="8">
        <f>HYPERLINK("https://dart.fss.or.kr/dsaf001/main.do?rcpNo=20260225003088", "공시열람")</f>
        <v/>
      </c>
    </row>
    <row r="560">
      <c r="A560" s="2" t="inlineStr">
        <is>
          <t>2026-02-25 (정정: 2026-03-20)</t>
        </is>
      </c>
      <c r="B560" s="3" t="inlineStr">
        <is>
          <t>프로이천</t>
        </is>
      </c>
      <c r="C560" s="2" t="inlineStr">
        <is>
          <t>코스닥</t>
        </is>
      </c>
      <c r="D560" s="2" t="inlineStr">
        <is>
          <t>321260</t>
        </is>
      </c>
      <c r="E560" s="3" t="inlineStr">
        <is>
          <t>주주총회소집공고 (정정: 20260311) (정정: 20260311) (정정: 20260320)</t>
        </is>
      </c>
      <c r="F560" s="3" t="inlineStr">
        <is>
          <t>프로이천</t>
        </is>
      </c>
      <c r="G560" s="2" t="inlineStr">
        <is>
          <t>20260320000191</t>
        </is>
      </c>
      <c r="H560" s="8">
        <f>HYPERLINK("https://dart.fss.or.kr/dsaf001/main.do?rcpNo=20260320000191", "공시열람")</f>
        <v/>
      </c>
    </row>
    <row r="561">
      <c r="A561" s="2" t="inlineStr">
        <is>
          <t>2026-02-25</t>
        </is>
      </c>
      <c r="B561" s="3" t="inlineStr">
        <is>
          <t>주성코퍼레이션</t>
        </is>
      </c>
      <c r="C561" s="2" t="inlineStr">
        <is>
          <t>코스피</t>
        </is>
      </c>
      <c r="D561" s="2" t="inlineStr">
        <is>
          <t>109070</t>
        </is>
      </c>
      <c r="E561" s="3" t="inlineStr">
        <is>
          <t>주주총회소집공고</t>
        </is>
      </c>
      <c r="F561" s="3" t="inlineStr">
        <is>
          <t>주성코퍼레이션</t>
        </is>
      </c>
      <c r="G561" s="2" t="inlineStr">
        <is>
          <t>20260225002761</t>
        </is>
      </c>
      <c r="H561" s="8">
        <f>HYPERLINK("https://dart.fss.or.kr/dsaf001/main.do?rcpNo=20260225002761", "공시열람")</f>
        <v/>
      </c>
    </row>
    <row r="562">
      <c r="A562" s="2" t="inlineStr">
        <is>
          <t>2026-02-25</t>
        </is>
      </c>
      <c r="B562" s="3" t="inlineStr">
        <is>
          <t>서남</t>
        </is>
      </c>
      <c r="C562" s="2" t="inlineStr">
        <is>
          <t>코스닥</t>
        </is>
      </c>
      <c r="D562" s="2" t="inlineStr">
        <is>
          <t>294630</t>
        </is>
      </c>
      <c r="E562" s="3" t="inlineStr">
        <is>
          <t>주주총회소집공고</t>
        </is>
      </c>
      <c r="F562" s="3" t="inlineStr">
        <is>
          <t>서남</t>
        </is>
      </c>
      <c r="G562" s="2" t="inlineStr">
        <is>
          <t>20260225002734</t>
        </is>
      </c>
      <c r="H562" s="8">
        <f>HYPERLINK("https://dart.fss.or.kr/dsaf001/main.do?rcpNo=20260225002734", "공시열람")</f>
        <v/>
      </c>
    </row>
    <row r="563">
      <c r="A563" s="2" t="inlineStr">
        <is>
          <t>2026-02-25 (정정: 2026-03-10)</t>
        </is>
      </c>
      <c r="B563" s="3" t="inlineStr">
        <is>
          <t>한독</t>
        </is>
      </c>
      <c r="C563" s="2" t="inlineStr">
        <is>
          <t>코스피</t>
        </is>
      </c>
      <c r="D563" s="2" t="inlineStr">
        <is>
          <t>002390</t>
        </is>
      </c>
      <c r="E563" s="3" t="inlineStr">
        <is>
          <t>주주총회소집공고 (정정: 20260310)</t>
        </is>
      </c>
      <c r="F563" s="3" t="inlineStr">
        <is>
          <t>한독</t>
        </is>
      </c>
      <c r="G563" s="2" t="inlineStr">
        <is>
          <t>20260310003101</t>
        </is>
      </c>
      <c r="H563" s="8">
        <f>HYPERLINK("https://dart.fss.or.kr/dsaf001/main.do?rcpNo=20260310003101", "공시열람")</f>
        <v/>
      </c>
    </row>
    <row r="564">
      <c r="A564" s="2" t="inlineStr">
        <is>
          <t>2026-02-25 (정정: 2026-03-10)</t>
        </is>
      </c>
      <c r="B564" s="3" t="inlineStr">
        <is>
          <t>엘에스일렉트릭</t>
        </is>
      </c>
      <c r="C564" s="2" t="inlineStr">
        <is>
          <t>코스피</t>
        </is>
      </c>
      <c r="D564" s="2" t="inlineStr">
        <is>
          <t>010120</t>
        </is>
      </c>
      <c r="E564" s="3" t="inlineStr">
        <is>
          <t>[기재정정]주주총회소집공고 (정정: 20260310) (정정: 20260310)</t>
        </is>
      </c>
      <c r="F564" s="3" t="inlineStr">
        <is>
          <t>엘에스일렉트릭</t>
        </is>
      </c>
      <c r="G564" s="2" t="inlineStr">
        <is>
          <t>20260310002425</t>
        </is>
      </c>
      <c r="H564" s="8">
        <f>HYPERLINK("https://dart.fss.or.kr/dsaf001/main.do?rcpNo=20260310002425", "공시열람")</f>
        <v/>
      </c>
    </row>
    <row r="565">
      <c r="A565" s="2" t="inlineStr">
        <is>
          <t>2026-02-25</t>
        </is>
      </c>
      <c r="B565" s="3" t="inlineStr">
        <is>
          <t>이노션</t>
        </is>
      </c>
      <c r="C565" s="2" t="inlineStr">
        <is>
          <t>코스피</t>
        </is>
      </c>
      <c r="D565" s="2" t="inlineStr">
        <is>
          <t>214320</t>
        </is>
      </c>
      <c r="E565" s="3" t="inlineStr">
        <is>
          <t>주주총회소집공고</t>
        </is>
      </c>
      <c r="F565" s="3" t="inlineStr">
        <is>
          <t>이노션</t>
        </is>
      </c>
      <c r="G565" s="2" t="inlineStr">
        <is>
          <t>20260225002487</t>
        </is>
      </c>
      <c r="H565" s="8">
        <f>HYPERLINK("https://dart.fss.or.kr/dsaf001/main.do?rcpNo=20260225002487", "공시열람")</f>
        <v/>
      </c>
    </row>
    <row r="566">
      <c r="A566" s="2" t="inlineStr">
        <is>
          <t>2026-02-25</t>
        </is>
      </c>
      <c r="B566" s="3" t="inlineStr">
        <is>
          <t>조아제약</t>
        </is>
      </c>
      <c r="C566" s="2" t="inlineStr">
        <is>
          <t>코스닥</t>
        </is>
      </c>
      <c r="D566" s="2" t="inlineStr">
        <is>
          <t>034940</t>
        </is>
      </c>
      <c r="E566" s="3" t="inlineStr">
        <is>
          <t>주주총회소집공고</t>
        </is>
      </c>
      <c r="F566" s="3" t="inlineStr">
        <is>
          <t>조아제약</t>
        </is>
      </c>
      <c r="G566" s="2" t="inlineStr">
        <is>
          <t>20260225002443</t>
        </is>
      </c>
      <c r="H566" s="8">
        <f>HYPERLINK("https://dart.fss.or.kr/dsaf001/main.do?rcpNo=20260225002443", "공시열람")</f>
        <v/>
      </c>
    </row>
    <row r="567">
      <c r="A567" s="2" t="inlineStr">
        <is>
          <t>2026-02-25 (정정: 2026-03-10)</t>
        </is>
      </c>
      <c r="B567" s="3" t="inlineStr">
        <is>
          <t>이마트</t>
        </is>
      </c>
      <c r="C567" s="2" t="inlineStr">
        <is>
          <t>코스피</t>
        </is>
      </c>
      <c r="D567" s="2" t="inlineStr">
        <is>
          <t>139480</t>
        </is>
      </c>
      <c r="E567" s="3" t="inlineStr">
        <is>
          <t>주주총회소집공고 (정정: 20260310)</t>
        </is>
      </c>
      <c r="F567" s="3" t="inlineStr">
        <is>
          <t>이마트</t>
        </is>
      </c>
      <c r="G567" s="2" t="inlineStr">
        <is>
          <t>20260310003028</t>
        </is>
      </c>
      <c r="H567" s="8">
        <f>HYPERLINK("https://dart.fss.or.kr/dsaf001/main.do?rcpNo=20260310003028", "공시열람")</f>
        <v/>
      </c>
    </row>
    <row r="568">
      <c r="A568" s="2" t="inlineStr">
        <is>
          <t>2026-02-25 (정정: 2026-03-10)</t>
        </is>
      </c>
      <c r="B568" s="3" t="inlineStr">
        <is>
          <t>엘에스일렉트릭</t>
        </is>
      </c>
      <c r="C568" s="2" t="inlineStr">
        <is>
          <t>코스피</t>
        </is>
      </c>
      <c r="D568" s="2" t="inlineStr">
        <is>
          <t>010120</t>
        </is>
      </c>
      <c r="E568" s="3" t="inlineStr">
        <is>
          <t>주주총회소집공고 (정정: 20260310)</t>
        </is>
      </c>
      <c r="F568" s="3" t="inlineStr">
        <is>
          <t>엘에스일렉트릭</t>
        </is>
      </c>
      <c r="G568" s="2" t="inlineStr">
        <is>
          <t>20260310800677</t>
        </is>
      </c>
      <c r="H568" s="8">
        <f>HYPERLINK("https://dart.fss.or.kr/dsaf001/main.do?rcpNo=20260310800677", "공시열람")</f>
        <v/>
      </c>
    </row>
    <row r="569">
      <c r="A569" s="2" t="inlineStr">
        <is>
          <t>2026-02-25 (정정: 2026-03-09)</t>
        </is>
      </c>
      <c r="B569" s="3" t="inlineStr">
        <is>
          <t>한화엔진</t>
        </is>
      </c>
      <c r="C569" s="2" t="inlineStr">
        <is>
          <t>코스피</t>
        </is>
      </c>
      <c r="D569" s="2" t="inlineStr">
        <is>
          <t>082740</t>
        </is>
      </c>
      <c r="E569" s="3" t="inlineStr">
        <is>
          <t>주주총회소집공고 (정정: 20260309) (정정: 20260309) (정정: 20260309)</t>
        </is>
      </c>
      <c r="F569" s="3" t="inlineStr">
        <is>
          <t>한화엔진</t>
        </is>
      </c>
      <c r="G569" s="2" t="inlineStr">
        <is>
          <t>20260309001804</t>
        </is>
      </c>
      <c r="H569" s="8">
        <f>HYPERLINK("https://dart.fss.or.kr/dsaf001/main.do?rcpNo=20260309001804", "공시열람")</f>
        <v/>
      </c>
    </row>
    <row r="570">
      <c r="A570" s="2" t="inlineStr">
        <is>
          <t>2026-02-25</t>
        </is>
      </c>
      <c r="B570" s="3" t="inlineStr">
        <is>
          <t>일신방직</t>
        </is>
      </c>
      <c r="C570" s="2" t="inlineStr">
        <is>
          <t>코스피</t>
        </is>
      </c>
      <c r="D570" s="2" t="inlineStr">
        <is>
          <t>003200</t>
        </is>
      </c>
      <c r="E570" s="3" t="inlineStr">
        <is>
          <t>[기재정정]주주총회소집공고</t>
        </is>
      </c>
      <c r="F570" s="3" t="inlineStr">
        <is>
          <t>일신방직</t>
        </is>
      </c>
      <c r="G570" s="2" t="inlineStr">
        <is>
          <t>20260225001641</t>
        </is>
      </c>
      <c r="H570" s="8">
        <f>HYPERLINK("https://dart.fss.or.kr/dsaf001/main.do?rcpNo=20260225001641", "공시열람")</f>
        <v/>
      </c>
    </row>
    <row r="571">
      <c r="A571" s="2" t="inlineStr">
        <is>
          <t>2026-02-25</t>
        </is>
      </c>
      <c r="B571" s="3" t="inlineStr">
        <is>
          <t>삼성전자</t>
        </is>
      </c>
      <c r="C571" s="2" t="inlineStr">
        <is>
          <t>코스피</t>
        </is>
      </c>
      <c r="D571" s="2" t="inlineStr">
        <is>
          <t>005930</t>
        </is>
      </c>
      <c r="E571" s="3" t="inlineStr">
        <is>
          <t>[기재정정]주주총회소집공고</t>
        </is>
      </c>
      <c r="F571" s="3" t="inlineStr">
        <is>
          <t>삼성전자</t>
        </is>
      </c>
      <c r="G571" s="2" t="inlineStr">
        <is>
          <t>20260225001623</t>
        </is>
      </c>
      <c r="H571" s="8">
        <f>HYPERLINK("https://dart.fss.or.kr/dsaf001/main.do?rcpNo=20260225001623", "공시열람")</f>
        <v/>
      </c>
    </row>
    <row r="572">
      <c r="A572" s="2" t="inlineStr">
        <is>
          <t>2026-02-25</t>
        </is>
      </c>
      <c r="B572" s="3" t="inlineStr">
        <is>
          <t>드림텍</t>
        </is>
      </c>
      <c r="C572" s="2" t="inlineStr">
        <is>
          <t>코스피</t>
        </is>
      </c>
      <c r="D572" s="2" t="inlineStr">
        <is>
          <t>192650</t>
        </is>
      </c>
      <c r="E572" s="3" t="inlineStr">
        <is>
          <t>주주총회소집공고</t>
        </is>
      </c>
      <c r="F572" s="3" t="inlineStr">
        <is>
          <t>드림텍</t>
        </is>
      </c>
      <c r="G572" s="2" t="inlineStr">
        <is>
          <t>20260225001549</t>
        </is>
      </c>
      <c r="H572" s="8">
        <f>HYPERLINK("https://dart.fss.or.kr/dsaf001/main.do?rcpNo=20260225001549", "공시열람")</f>
        <v/>
      </c>
    </row>
    <row r="573">
      <c r="A573" s="2" t="inlineStr">
        <is>
          <t>2026-02-25</t>
        </is>
      </c>
      <c r="B573" s="3" t="inlineStr">
        <is>
          <t>일신방직</t>
        </is>
      </c>
      <c r="C573" s="2" t="inlineStr">
        <is>
          <t>코스피</t>
        </is>
      </c>
      <c r="D573" s="2" t="inlineStr">
        <is>
          <t>003200</t>
        </is>
      </c>
      <c r="E573" s="3" t="inlineStr">
        <is>
          <t>주주총회소집공고</t>
        </is>
      </c>
      <c r="F573" s="3" t="inlineStr">
        <is>
          <t>일신방직</t>
        </is>
      </c>
      <c r="G573" s="2" t="inlineStr">
        <is>
          <t>20260225001233</t>
        </is>
      </c>
      <c r="H573" s="8">
        <f>HYPERLINK("https://dart.fss.or.kr/dsaf001/main.do?rcpNo=20260225001233", "공시열람")</f>
        <v/>
      </c>
    </row>
    <row r="574">
      <c r="A574" s="2" t="inlineStr">
        <is>
          <t>2026-02-25</t>
        </is>
      </c>
      <c r="B574" s="3" t="inlineStr">
        <is>
          <t>오뚜기</t>
        </is>
      </c>
      <c r="C574" s="2" t="inlineStr">
        <is>
          <t>코스피</t>
        </is>
      </c>
      <c r="D574" s="2" t="inlineStr">
        <is>
          <t>007310</t>
        </is>
      </c>
      <c r="E574" s="3" t="inlineStr">
        <is>
          <t>주주총회소집공고</t>
        </is>
      </c>
      <c r="F574" s="3" t="inlineStr">
        <is>
          <t>오뚜기</t>
        </is>
      </c>
      <c r="G574" s="2" t="inlineStr">
        <is>
          <t>20260225001156</t>
        </is>
      </c>
      <c r="H574" s="8">
        <f>HYPERLINK("https://dart.fss.or.kr/dsaf001/main.do?rcpNo=20260225001156", "공시열람")</f>
        <v/>
      </c>
    </row>
    <row r="575">
      <c r="A575" s="2" t="inlineStr">
        <is>
          <t>2026-02-25</t>
        </is>
      </c>
      <c r="B575" s="3" t="inlineStr">
        <is>
          <t>삼아알미늄</t>
        </is>
      </c>
      <c r="C575" s="2" t="inlineStr">
        <is>
          <t>코스피</t>
        </is>
      </c>
      <c r="D575" s="2" t="inlineStr">
        <is>
          <t>006110</t>
        </is>
      </c>
      <c r="E575" s="3" t="inlineStr">
        <is>
          <t>주주총회소집공고</t>
        </is>
      </c>
      <c r="F575" s="3" t="inlineStr">
        <is>
          <t>삼아알미늄</t>
        </is>
      </c>
      <c r="G575" s="2" t="inlineStr">
        <is>
          <t>20260225001055</t>
        </is>
      </c>
      <c r="H575" s="8">
        <f>HYPERLINK("https://dart.fss.or.kr/dsaf001/main.do?rcpNo=20260225001055", "공시열람")</f>
        <v/>
      </c>
    </row>
    <row r="576">
      <c r="A576" s="2" t="inlineStr">
        <is>
          <t>2026-02-25</t>
        </is>
      </c>
      <c r="B576" s="3" t="inlineStr">
        <is>
          <t>고려제약</t>
        </is>
      </c>
      <c r="C576" s="2" t="inlineStr">
        <is>
          <t>코스닥</t>
        </is>
      </c>
      <c r="D576" s="2" t="inlineStr">
        <is>
          <t>014570</t>
        </is>
      </c>
      <c r="E576" s="3" t="inlineStr">
        <is>
          <t>주주총회소집공고</t>
        </is>
      </c>
      <c r="F576" s="3" t="inlineStr">
        <is>
          <t>고려제약</t>
        </is>
      </c>
      <c r="G576" s="2" t="inlineStr">
        <is>
          <t>20260225000784</t>
        </is>
      </c>
      <c r="H576" s="8">
        <f>HYPERLINK("https://dart.fss.or.kr/dsaf001/main.do?rcpNo=20260225000784", "공시열람")</f>
        <v/>
      </c>
    </row>
    <row r="577">
      <c r="A577" s="2" t="inlineStr">
        <is>
          <t>2026-02-25</t>
        </is>
      </c>
      <c r="B577" s="3" t="inlineStr">
        <is>
          <t>GKL</t>
        </is>
      </c>
      <c r="C577" s="2" t="inlineStr">
        <is>
          <t>코스피</t>
        </is>
      </c>
      <c r="D577" s="2" t="inlineStr">
        <is>
          <t>114090</t>
        </is>
      </c>
      <c r="E577" s="3" t="inlineStr">
        <is>
          <t>주주총회소집공고</t>
        </is>
      </c>
      <c r="F577" s="3" t="inlineStr">
        <is>
          <t>GKL</t>
        </is>
      </c>
      <c r="G577" s="2" t="inlineStr">
        <is>
          <t>20260225000594</t>
        </is>
      </c>
      <c r="H577" s="8">
        <f>HYPERLINK("https://dart.fss.or.kr/dsaf001/main.do?rcpNo=20260225000594", "공시열람")</f>
        <v/>
      </c>
    </row>
    <row r="578">
      <c r="A578" s="2" t="inlineStr">
        <is>
          <t>2026-02-25 (정정: 2026-03-10)</t>
        </is>
      </c>
      <c r="B578" s="3" t="inlineStr">
        <is>
          <t>한솔케미칼</t>
        </is>
      </c>
      <c r="C578" s="2" t="inlineStr">
        <is>
          <t>코스피</t>
        </is>
      </c>
      <c r="D578" s="2" t="inlineStr">
        <is>
          <t>014680</t>
        </is>
      </c>
      <c r="E578" s="3" t="inlineStr">
        <is>
          <t>주주총회소집공고 (정정: 20260310)</t>
        </is>
      </c>
      <c r="F578" s="3" t="inlineStr">
        <is>
          <t>한솔케미칼</t>
        </is>
      </c>
      <c r="G578" s="2" t="inlineStr">
        <is>
          <t>20260310003035</t>
        </is>
      </c>
      <c r="H578" s="8">
        <f>HYPERLINK("https://dart.fss.or.kr/dsaf001/main.do?rcpNo=20260310003035", "공시열람")</f>
        <v/>
      </c>
    </row>
    <row r="579">
      <c r="A579" s="2" t="inlineStr">
        <is>
          <t>2026-02-26 (정정: 2026-03-12)</t>
        </is>
      </c>
      <c r="B579" s="3" t="inlineStr">
        <is>
          <t>두산밥캣</t>
        </is>
      </c>
      <c r="C579" s="2" t="inlineStr">
        <is>
          <t>코스피</t>
        </is>
      </c>
      <c r="D579" s="2" t="inlineStr">
        <is>
          <t>241560</t>
        </is>
      </c>
      <c r="E579" s="3" t="inlineStr">
        <is>
          <t>주주총회소집공고 (정정: 20260312) (정정: 20260312)</t>
        </is>
      </c>
      <c r="F579" s="3" t="inlineStr">
        <is>
          <t>두산밥캣</t>
        </is>
      </c>
      <c r="G579" s="2" t="inlineStr">
        <is>
          <t>20260312000719</t>
        </is>
      </c>
      <c r="H579" s="8">
        <f>HYPERLINK("https://dart.fss.or.kr/dsaf001/main.do?rcpNo=20260312000719", "공시열람")</f>
        <v/>
      </c>
    </row>
    <row r="580">
      <c r="A580" s="2" t="inlineStr">
        <is>
          <t>2026-02-26</t>
        </is>
      </c>
      <c r="B580" s="3" t="inlineStr">
        <is>
          <t>남해화학</t>
        </is>
      </c>
      <c r="C580" s="2" t="inlineStr">
        <is>
          <t>코스피</t>
        </is>
      </c>
      <c r="D580" s="2" t="inlineStr">
        <is>
          <t>025860</t>
        </is>
      </c>
      <c r="E580" s="3" t="inlineStr">
        <is>
          <t>주주총회소집공고</t>
        </is>
      </c>
      <c r="F580" s="3" t="inlineStr">
        <is>
          <t>남해화학</t>
        </is>
      </c>
      <c r="G580" s="2" t="inlineStr">
        <is>
          <t>20260226006969</t>
        </is>
      </c>
      <c r="H580" s="8">
        <f>HYPERLINK("https://dart.fss.or.kr/dsaf001/main.do?rcpNo=20260226006969", "공시열람")</f>
        <v/>
      </c>
    </row>
    <row r="581">
      <c r="A581" s="2" t="inlineStr">
        <is>
          <t>2026-02-26 (정정: 2026-02-26)</t>
        </is>
      </c>
      <c r="B581" s="3" t="inlineStr">
        <is>
          <t>제주반도체</t>
        </is>
      </c>
      <c r="C581" s="2" t="inlineStr">
        <is>
          <t>코스닥</t>
        </is>
      </c>
      <c r="D581" s="2" t="inlineStr">
        <is>
          <t>080220</t>
        </is>
      </c>
      <c r="E581" s="3" t="inlineStr">
        <is>
          <t>[기재정정]주주총회소집공고</t>
        </is>
      </c>
      <c r="F581" s="3" t="inlineStr">
        <is>
          <t>제주반도체</t>
        </is>
      </c>
      <c r="G581" s="2" t="inlineStr">
        <is>
          <t>20260226006850</t>
        </is>
      </c>
      <c r="H581" s="8">
        <f>HYPERLINK("https://dart.fss.or.kr/dsaf001/main.do?rcpNo=20260226006850", "공시열람")</f>
        <v/>
      </c>
    </row>
    <row r="582">
      <c r="A582" s="2" t="inlineStr">
        <is>
          <t>2026-02-26</t>
        </is>
      </c>
      <c r="B582" s="3" t="inlineStr">
        <is>
          <t>호전실업</t>
        </is>
      </c>
      <c r="C582" s="2" t="inlineStr">
        <is>
          <t>코스피</t>
        </is>
      </c>
      <c r="D582" s="2" t="inlineStr">
        <is>
          <t>111110</t>
        </is>
      </c>
      <c r="E582" s="3" t="inlineStr">
        <is>
          <t>주주총회소집공고</t>
        </is>
      </c>
      <c r="F582" s="3" t="inlineStr">
        <is>
          <t>호전실업</t>
        </is>
      </c>
      <c r="G582" s="2" t="inlineStr">
        <is>
          <t>20260226006815</t>
        </is>
      </c>
      <c r="H582" s="8">
        <f>HYPERLINK("https://dart.fss.or.kr/dsaf001/main.do?rcpNo=20260226006815", "공시열람")</f>
        <v/>
      </c>
    </row>
    <row r="583">
      <c r="A583" s="2" t="inlineStr">
        <is>
          <t>2026-02-26</t>
        </is>
      </c>
      <c r="B583" s="3" t="inlineStr">
        <is>
          <t>제주은행</t>
        </is>
      </c>
      <c r="C583" s="2" t="inlineStr">
        <is>
          <t>코스피</t>
        </is>
      </c>
      <c r="D583" s="2" t="inlineStr">
        <is>
          <t>006220</t>
        </is>
      </c>
      <c r="E583" s="3" t="inlineStr">
        <is>
          <t>주주총회소집공고</t>
        </is>
      </c>
      <c r="F583" s="3" t="inlineStr">
        <is>
          <t>제주은행</t>
        </is>
      </c>
      <c r="G583" s="2" t="inlineStr">
        <is>
          <t>20260226006780</t>
        </is>
      </c>
      <c r="H583" s="8">
        <f>HYPERLINK("https://dart.fss.or.kr/dsaf001/main.do?rcpNo=20260226006780", "공시열람")</f>
        <v/>
      </c>
    </row>
    <row r="584">
      <c r="A584" s="2" t="inlineStr">
        <is>
          <t>2026-02-26 (정정: 2026-03-18)</t>
        </is>
      </c>
      <c r="B584" s="3" t="inlineStr">
        <is>
          <t>셀레믹스</t>
        </is>
      </c>
      <c r="C584" s="2" t="inlineStr">
        <is>
          <t>코스닥</t>
        </is>
      </c>
      <c r="D584" s="2" t="inlineStr">
        <is>
          <t>331920</t>
        </is>
      </c>
      <c r="E584" s="3" t="inlineStr">
        <is>
          <t>주주총회소집공고 (정정: 20260318)</t>
        </is>
      </c>
      <c r="F584" s="3" t="inlineStr">
        <is>
          <t>셀레믹스</t>
        </is>
      </c>
      <c r="G584" s="2" t="inlineStr">
        <is>
          <t>20260318000373</t>
        </is>
      </c>
      <c r="H584" s="8">
        <f>HYPERLINK("https://dart.fss.or.kr/dsaf001/main.do?rcpNo=20260318000373", "공시열람")</f>
        <v/>
      </c>
    </row>
    <row r="585">
      <c r="A585" s="2" t="inlineStr">
        <is>
          <t>2026-02-26</t>
        </is>
      </c>
      <c r="B585" s="3" t="inlineStr">
        <is>
          <t>국도화학</t>
        </is>
      </c>
      <c r="C585" s="2" t="inlineStr">
        <is>
          <t>코스피</t>
        </is>
      </c>
      <c r="D585" s="2" t="inlineStr">
        <is>
          <t>007690</t>
        </is>
      </c>
      <c r="E585" s="3" t="inlineStr">
        <is>
          <t>주주총회소집공고</t>
        </is>
      </c>
      <c r="F585" s="3" t="inlineStr">
        <is>
          <t>국도화학</t>
        </is>
      </c>
      <c r="G585" s="2" t="inlineStr">
        <is>
          <t>20260226006483</t>
        </is>
      </c>
      <c r="H585" s="8">
        <f>HYPERLINK("https://dart.fss.or.kr/dsaf001/main.do?rcpNo=20260226006483", "공시열람")</f>
        <v/>
      </c>
    </row>
    <row r="586">
      <c r="A586" s="2" t="inlineStr">
        <is>
          <t>2026-02-26</t>
        </is>
      </c>
      <c r="B586" s="3" t="inlineStr">
        <is>
          <t>HD현대</t>
        </is>
      </c>
      <c r="C586" s="2" t="inlineStr">
        <is>
          <t>코스피</t>
        </is>
      </c>
      <c r="D586" s="2" t="inlineStr">
        <is>
          <t>267250</t>
        </is>
      </c>
      <c r="E586" s="3" t="inlineStr">
        <is>
          <t>주주총회소집공고</t>
        </is>
      </c>
      <c r="F586" s="3" t="inlineStr">
        <is>
          <t>HD현대</t>
        </is>
      </c>
      <c r="G586" s="2" t="inlineStr">
        <is>
          <t>20260226006307</t>
        </is>
      </c>
      <c r="H586" s="8">
        <f>HYPERLINK("https://dart.fss.or.kr/dsaf001/main.do?rcpNo=20260226006307", "공시열람")</f>
        <v/>
      </c>
    </row>
    <row r="587">
      <c r="A587" s="2" t="inlineStr">
        <is>
          <t>2026-02-26 (정정: 2026-03-23)</t>
        </is>
      </c>
      <c r="B587" s="3" t="inlineStr">
        <is>
          <t>코오롱글로벌</t>
        </is>
      </c>
      <c r="C587" s="2" t="inlineStr">
        <is>
          <t>코스피</t>
        </is>
      </c>
      <c r="D587" s="2" t="inlineStr">
        <is>
          <t>003070</t>
        </is>
      </c>
      <c r="E587" s="3" t="inlineStr">
        <is>
          <t>주주총회소집공고 (정정: 20260323)</t>
        </is>
      </c>
      <c r="F587" s="3" t="inlineStr">
        <is>
          <t>코오롱글로벌</t>
        </is>
      </c>
      <c r="G587" s="2" t="inlineStr">
        <is>
          <t>20260323001345</t>
        </is>
      </c>
      <c r="H587" s="8">
        <f>HYPERLINK("https://dart.fss.or.kr/dsaf001/main.do?rcpNo=20260323001345", "공시열람")</f>
        <v/>
      </c>
    </row>
    <row r="588">
      <c r="A588" s="2" t="inlineStr">
        <is>
          <t>2026-02-26</t>
        </is>
      </c>
      <c r="B588" s="3" t="inlineStr">
        <is>
          <t>퀄리타스반도체</t>
        </is>
      </c>
      <c r="C588" s="2" t="inlineStr">
        <is>
          <t>코스닥</t>
        </is>
      </c>
      <c r="D588" s="2" t="inlineStr">
        <is>
          <t>432720</t>
        </is>
      </c>
      <c r="E588" s="3" t="inlineStr">
        <is>
          <t>주주총회소집공고</t>
        </is>
      </c>
      <c r="F588" s="3" t="inlineStr">
        <is>
          <t>퀄리타스반도체</t>
        </is>
      </c>
      <c r="G588" s="2" t="inlineStr">
        <is>
          <t>20260226006117</t>
        </is>
      </c>
      <c r="H588" s="8">
        <f>HYPERLINK("https://dart.fss.or.kr/dsaf001/main.do?rcpNo=20260226006117", "공시열람")</f>
        <v/>
      </c>
    </row>
    <row r="589">
      <c r="A589" s="2" t="inlineStr">
        <is>
          <t>2026-02-26</t>
        </is>
      </c>
      <c r="B589" s="3" t="inlineStr">
        <is>
          <t>HLB테라퓨틱스</t>
        </is>
      </c>
      <c r="C589" s="2" t="inlineStr">
        <is>
          <t>코스닥</t>
        </is>
      </c>
      <c r="D589" s="2" t="inlineStr">
        <is>
          <t>115450</t>
        </is>
      </c>
      <c r="E589" s="3" t="inlineStr">
        <is>
          <t>주주총회소집공고</t>
        </is>
      </c>
      <c r="F589" s="3" t="inlineStr">
        <is>
          <t>HLB테라퓨틱스</t>
        </is>
      </c>
      <c r="G589" s="2" t="inlineStr">
        <is>
          <t>20260226006100</t>
        </is>
      </c>
      <c r="H589" s="8">
        <f>HYPERLINK("https://dart.fss.or.kr/dsaf001/main.do?rcpNo=20260226006100", "공시열람")</f>
        <v/>
      </c>
    </row>
    <row r="590">
      <c r="A590" s="2" t="inlineStr">
        <is>
          <t>2026-02-26</t>
        </is>
      </c>
      <c r="B590" s="3" t="inlineStr">
        <is>
          <t>쏠리드</t>
        </is>
      </c>
      <c r="C590" s="2" t="inlineStr">
        <is>
          <t>코스닥</t>
        </is>
      </c>
      <c r="D590" s="2" t="inlineStr">
        <is>
          <t>050890</t>
        </is>
      </c>
      <c r="E590" s="3" t="inlineStr">
        <is>
          <t>주주총회소집공고</t>
        </is>
      </c>
      <c r="F590" s="3" t="inlineStr">
        <is>
          <t>쏠리드</t>
        </is>
      </c>
      <c r="G590" s="2" t="inlineStr">
        <is>
          <t>20260226006012</t>
        </is>
      </c>
      <c r="H590" s="8">
        <f>HYPERLINK("https://dart.fss.or.kr/dsaf001/main.do?rcpNo=20260226006012", "공시열람")</f>
        <v/>
      </c>
    </row>
    <row r="591">
      <c r="A591" s="2" t="inlineStr">
        <is>
          <t>2026-02-26</t>
        </is>
      </c>
      <c r="B591" s="3" t="inlineStr">
        <is>
          <t>현대지에프홀딩스</t>
        </is>
      </c>
      <c r="C591" s="2" t="inlineStr">
        <is>
          <t>코스피</t>
        </is>
      </c>
      <c r="D591" s="2" t="inlineStr">
        <is>
          <t>005440</t>
        </is>
      </c>
      <c r="E591" s="3" t="inlineStr">
        <is>
          <t>주주총회소집공고</t>
        </is>
      </c>
      <c r="F591" s="3" t="inlineStr">
        <is>
          <t>현대지에프홀딩스</t>
        </is>
      </c>
      <c r="G591" s="2" t="inlineStr">
        <is>
          <t>20260226005966</t>
        </is>
      </c>
      <c r="H591" s="8">
        <f>HYPERLINK("https://dart.fss.or.kr/dsaf001/main.do?rcpNo=20260226005966", "공시열람")</f>
        <v/>
      </c>
    </row>
    <row r="592">
      <c r="A592" s="2" t="inlineStr">
        <is>
          <t>2026-02-26</t>
        </is>
      </c>
      <c r="B592" s="3" t="inlineStr">
        <is>
          <t>서흥</t>
        </is>
      </c>
      <c r="C592" s="2" t="inlineStr">
        <is>
          <t>코스피</t>
        </is>
      </c>
      <c r="D592" s="2" t="inlineStr">
        <is>
          <t>008490</t>
        </is>
      </c>
      <c r="E592" s="3" t="inlineStr">
        <is>
          <t>주주총회소집공고</t>
        </is>
      </c>
      <c r="F592" s="3" t="inlineStr">
        <is>
          <t>서흥</t>
        </is>
      </c>
      <c r="G592" s="2" t="inlineStr">
        <is>
          <t>20260226005910</t>
        </is>
      </c>
      <c r="H592" s="8">
        <f>HYPERLINK("https://dart.fss.or.kr/dsaf001/main.do?rcpNo=20260226005910", "공시열람")</f>
        <v/>
      </c>
    </row>
    <row r="593">
      <c r="A593" s="2" t="inlineStr">
        <is>
          <t>2026-02-26</t>
        </is>
      </c>
      <c r="B593" s="3" t="inlineStr">
        <is>
          <t>GS글로벌</t>
        </is>
      </c>
      <c r="C593" s="2" t="inlineStr">
        <is>
          <t>코스피</t>
        </is>
      </c>
      <c r="D593" s="2" t="inlineStr">
        <is>
          <t>001250</t>
        </is>
      </c>
      <c r="E593" s="3" t="inlineStr">
        <is>
          <t>주주총회소집공고</t>
        </is>
      </c>
      <c r="F593" s="3" t="inlineStr">
        <is>
          <t>GS글로벌</t>
        </is>
      </c>
      <c r="G593" s="2" t="inlineStr">
        <is>
          <t>20260226005854</t>
        </is>
      </c>
      <c r="H593" s="8">
        <f>HYPERLINK("https://dart.fss.or.kr/dsaf001/main.do?rcpNo=20260226005854", "공시열람")</f>
        <v/>
      </c>
    </row>
    <row r="594">
      <c r="A594" s="2" t="inlineStr">
        <is>
          <t>2026-02-26 (정정: 2026-02-27)</t>
        </is>
      </c>
      <c r="B594" s="3" t="inlineStr">
        <is>
          <t>안국약품</t>
        </is>
      </c>
      <c r="C594" s="2" t="inlineStr">
        <is>
          <t>코스닥</t>
        </is>
      </c>
      <c r="D594" s="2" t="inlineStr">
        <is>
          <t>001540</t>
        </is>
      </c>
      <c r="E594" s="3" t="inlineStr">
        <is>
          <t>주주총회소집공고 (정정: 20260227)</t>
        </is>
      </c>
      <c r="F594" s="3" t="inlineStr">
        <is>
          <t>안국약품</t>
        </is>
      </c>
      <c r="G594" s="2" t="inlineStr">
        <is>
          <t>20260227007640</t>
        </is>
      </c>
      <c r="H594" s="8">
        <f>HYPERLINK("https://dart.fss.or.kr/dsaf001/main.do?rcpNo=20260227007640", "공시열람")</f>
        <v/>
      </c>
    </row>
    <row r="595">
      <c r="A595" s="2" t="inlineStr">
        <is>
          <t>2026-02-26</t>
        </is>
      </c>
      <c r="B595" s="3" t="inlineStr">
        <is>
          <t>HD한국조선해양</t>
        </is>
      </c>
      <c r="C595" s="2" t="inlineStr">
        <is>
          <t>코스피</t>
        </is>
      </c>
      <c r="D595" s="2" t="inlineStr">
        <is>
          <t>009540</t>
        </is>
      </c>
      <c r="E595" s="3" t="inlineStr">
        <is>
          <t>주주총회소집공고</t>
        </is>
      </c>
      <c r="F595" s="3" t="inlineStr">
        <is>
          <t>HD한국조선해양</t>
        </is>
      </c>
      <c r="G595" s="2" t="inlineStr">
        <is>
          <t>20260226005691</t>
        </is>
      </c>
      <c r="H595" s="8">
        <f>HYPERLINK("https://dart.fss.or.kr/dsaf001/main.do?rcpNo=20260226005691", "공시열람")</f>
        <v/>
      </c>
    </row>
    <row r="596">
      <c r="A596" s="2" t="inlineStr">
        <is>
          <t>2026-02-26</t>
        </is>
      </c>
      <c r="B596" s="3" t="inlineStr">
        <is>
          <t>카프로</t>
        </is>
      </c>
      <c r="C596" s="2" t="inlineStr">
        <is>
          <t>코스피</t>
        </is>
      </c>
      <c r="D596" s="2" t="inlineStr">
        <is>
          <t>006380</t>
        </is>
      </c>
      <c r="E596" s="3" t="inlineStr">
        <is>
          <t>주주총회소집공고</t>
        </is>
      </c>
      <c r="F596" s="3" t="inlineStr">
        <is>
          <t>카프로</t>
        </is>
      </c>
      <c r="G596" s="2" t="inlineStr">
        <is>
          <t>20260226005661</t>
        </is>
      </c>
      <c r="H596" s="8">
        <f>HYPERLINK("https://dart.fss.or.kr/dsaf001/main.do?rcpNo=20260226005661", "공시열람")</f>
        <v/>
      </c>
    </row>
    <row r="597">
      <c r="A597" s="2" t="inlineStr">
        <is>
          <t>2026-02-26</t>
        </is>
      </c>
      <c r="B597" s="3" t="inlineStr">
        <is>
          <t>포스뱅크</t>
        </is>
      </c>
      <c r="C597" s="2" t="inlineStr">
        <is>
          <t>코스닥</t>
        </is>
      </c>
      <c r="D597" s="2" t="inlineStr">
        <is>
          <t>105760</t>
        </is>
      </c>
      <c r="E597" s="3" t="inlineStr">
        <is>
          <t>주주총회소집공고</t>
        </is>
      </c>
      <c r="F597" s="3" t="inlineStr">
        <is>
          <t>포스뱅크</t>
        </is>
      </c>
      <c r="G597" s="2" t="inlineStr">
        <is>
          <t>20260226005633</t>
        </is>
      </c>
      <c r="H597" s="8">
        <f>HYPERLINK("https://dart.fss.or.kr/dsaf001/main.do?rcpNo=20260226005633", "공시열람")</f>
        <v/>
      </c>
    </row>
    <row r="598">
      <c r="A598" s="2" t="inlineStr">
        <is>
          <t>2026-02-26</t>
        </is>
      </c>
      <c r="B598" s="3" t="inlineStr">
        <is>
          <t>신원</t>
        </is>
      </c>
      <c r="C598" s="2" t="inlineStr">
        <is>
          <t>코스피</t>
        </is>
      </c>
      <c r="D598" s="2" t="inlineStr">
        <is>
          <t>009270</t>
        </is>
      </c>
      <c r="E598" s="3" t="inlineStr">
        <is>
          <t>주주총회소집공고</t>
        </is>
      </c>
      <c r="F598" s="3" t="inlineStr">
        <is>
          <t>신원</t>
        </is>
      </c>
      <c r="G598" s="2" t="inlineStr">
        <is>
          <t>20260226005440</t>
        </is>
      </c>
      <c r="H598" s="8">
        <f>HYPERLINK("https://dart.fss.or.kr/dsaf001/main.do?rcpNo=20260226005440", "공시열람")</f>
        <v/>
      </c>
    </row>
    <row r="599">
      <c r="A599" s="2" t="inlineStr">
        <is>
          <t>2026-02-26 (정정: 2026-03-23)</t>
        </is>
      </c>
      <c r="B599" s="3" t="inlineStr">
        <is>
          <t>이수페타시스</t>
        </is>
      </c>
      <c r="C599" s="2" t="inlineStr">
        <is>
          <t>코스피</t>
        </is>
      </c>
      <c r="D599" s="2" t="inlineStr">
        <is>
          <t>007660</t>
        </is>
      </c>
      <c r="E599" s="3" t="inlineStr">
        <is>
          <t>주주총회소집공고 (정정: 20260323)</t>
        </is>
      </c>
      <c r="F599" s="3" t="inlineStr">
        <is>
          <t>이수페타시스</t>
        </is>
      </c>
      <c r="G599" s="2" t="inlineStr">
        <is>
          <t>20260323001152</t>
        </is>
      </c>
      <c r="H599" s="8">
        <f>HYPERLINK("https://dart.fss.or.kr/dsaf001/main.do?rcpNo=20260323001152", "공시열람")</f>
        <v/>
      </c>
    </row>
    <row r="600">
      <c r="A600" s="2" t="inlineStr">
        <is>
          <t>2026-02-26</t>
        </is>
      </c>
      <c r="B600" s="3" t="inlineStr">
        <is>
          <t>케이씨씨글라스</t>
        </is>
      </c>
      <c r="C600" s="2" t="inlineStr">
        <is>
          <t>코스피</t>
        </is>
      </c>
      <c r="D600" s="2" t="inlineStr">
        <is>
          <t>344820</t>
        </is>
      </c>
      <c r="E600" s="3" t="inlineStr">
        <is>
          <t>주주총회소집공고</t>
        </is>
      </c>
      <c r="F600" s="3" t="inlineStr">
        <is>
          <t>케이씨씨글라스</t>
        </is>
      </c>
      <c r="G600" s="2" t="inlineStr">
        <is>
          <t>20260226005378</t>
        </is>
      </c>
      <c r="H600" s="8">
        <f>HYPERLINK("https://dart.fss.or.kr/dsaf001/main.do?rcpNo=20260226005378", "공시열람")</f>
        <v/>
      </c>
    </row>
    <row r="601">
      <c r="A601" s="2" t="inlineStr">
        <is>
          <t>2026-02-26</t>
        </is>
      </c>
      <c r="B601" s="3" t="inlineStr">
        <is>
          <t>코오롱인더</t>
        </is>
      </c>
      <c r="C601" s="2" t="inlineStr">
        <is>
          <t>코스피</t>
        </is>
      </c>
      <c r="D601" s="2" t="inlineStr">
        <is>
          <t>120110</t>
        </is>
      </c>
      <c r="E601" s="3" t="inlineStr">
        <is>
          <t>주주총회소집공고</t>
        </is>
      </c>
      <c r="F601" s="3" t="inlineStr">
        <is>
          <t>코오롱인더</t>
        </is>
      </c>
      <c r="G601" s="2" t="inlineStr">
        <is>
          <t>20260226005122</t>
        </is>
      </c>
      <c r="H601" s="8">
        <f>HYPERLINK("https://dart.fss.or.kr/dsaf001/main.do?rcpNo=20260226005122", "공시열람")</f>
        <v/>
      </c>
    </row>
    <row r="602">
      <c r="A602" s="2" t="inlineStr">
        <is>
          <t>2026-02-26</t>
        </is>
      </c>
      <c r="B602" s="3" t="inlineStr">
        <is>
          <t>한국석유공업</t>
        </is>
      </c>
      <c r="C602" s="2" t="inlineStr">
        <is>
          <t>코스피</t>
        </is>
      </c>
      <c r="D602" s="2" t="inlineStr">
        <is>
          <t>004090</t>
        </is>
      </c>
      <c r="E602" s="3" t="inlineStr">
        <is>
          <t>주주총회소집공고</t>
        </is>
      </c>
      <c r="F602" s="3" t="inlineStr">
        <is>
          <t>한국석유공업</t>
        </is>
      </c>
      <c r="G602" s="2" t="inlineStr">
        <is>
          <t>20260226005072</t>
        </is>
      </c>
      <c r="H602" s="8">
        <f>HYPERLINK("https://dart.fss.or.kr/dsaf001/main.do?rcpNo=20260226005072", "공시열람")</f>
        <v/>
      </c>
    </row>
    <row r="603">
      <c r="A603" s="2" t="inlineStr">
        <is>
          <t>2026-02-26</t>
        </is>
      </c>
      <c r="B603" s="3" t="inlineStr">
        <is>
          <t>세이브존I&amp;C</t>
        </is>
      </c>
      <c r="C603" s="2" t="inlineStr">
        <is>
          <t>코스피</t>
        </is>
      </c>
      <c r="D603" s="2" t="inlineStr">
        <is>
          <t>067830</t>
        </is>
      </c>
      <c r="E603" s="3" t="inlineStr">
        <is>
          <t>주주총회소집공고</t>
        </is>
      </c>
      <c r="F603" s="3" t="inlineStr">
        <is>
          <t>세이브존I&amp;C</t>
        </is>
      </c>
      <c r="G603" s="2" t="inlineStr">
        <is>
          <t>20260226005022</t>
        </is>
      </c>
      <c r="H603" s="8">
        <f>HYPERLINK("https://dart.fss.or.kr/dsaf001/main.do?rcpNo=20260226005022", "공시열람")</f>
        <v/>
      </c>
    </row>
    <row r="604">
      <c r="A604" s="2" t="inlineStr">
        <is>
          <t>2026-02-26</t>
        </is>
      </c>
      <c r="B604" s="3" t="inlineStr">
        <is>
          <t>펄어비스</t>
        </is>
      </c>
      <c r="C604" s="2" t="inlineStr">
        <is>
          <t>코스닥</t>
        </is>
      </c>
      <c r="D604" s="2" t="inlineStr">
        <is>
          <t>263750</t>
        </is>
      </c>
      <c r="E604" s="3" t="inlineStr">
        <is>
          <t>주주총회소집공고</t>
        </is>
      </c>
      <c r="F604" s="3" t="inlineStr">
        <is>
          <t>펄어비스</t>
        </is>
      </c>
      <c r="G604" s="2" t="inlineStr">
        <is>
          <t>20260226005016</t>
        </is>
      </c>
      <c r="H604" s="8">
        <f>HYPERLINK("https://dart.fss.or.kr/dsaf001/main.do?rcpNo=20260226005016", "공시열람")</f>
        <v/>
      </c>
    </row>
    <row r="605">
      <c r="A605" s="2" t="inlineStr">
        <is>
          <t>2026-02-26 (정정: 2026-03-12)</t>
        </is>
      </c>
      <c r="B605" s="3" t="inlineStr">
        <is>
          <t>전방</t>
        </is>
      </c>
      <c r="C605" s="2" t="inlineStr">
        <is>
          <t>코스피</t>
        </is>
      </c>
      <c r="D605" s="2" t="inlineStr">
        <is>
          <t>000950</t>
        </is>
      </c>
      <c r="E605" s="3" t="inlineStr">
        <is>
          <t>주주총회소집공고 (정정: 20260312) (정정: 20260312)</t>
        </is>
      </c>
      <c r="F605" s="3" t="inlineStr">
        <is>
          <t>전방</t>
        </is>
      </c>
      <c r="G605" s="2" t="inlineStr">
        <is>
          <t>20260312000774</t>
        </is>
      </c>
      <c r="H605" s="8">
        <f>HYPERLINK("https://dart.fss.or.kr/dsaf001/main.do?rcpNo=20260312000774", "공시열람")</f>
        <v/>
      </c>
    </row>
    <row r="606">
      <c r="A606" s="2" t="inlineStr">
        <is>
          <t>2026-02-26</t>
        </is>
      </c>
      <c r="B606" s="3" t="inlineStr">
        <is>
          <t>삼성에스디에스</t>
        </is>
      </c>
      <c r="C606" s="2" t="inlineStr">
        <is>
          <t>코스피</t>
        </is>
      </c>
      <c r="D606" s="2" t="inlineStr">
        <is>
          <t>018260</t>
        </is>
      </c>
      <c r="E606" s="3" t="inlineStr">
        <is>
          <t>[기재정정]주주총회소집공고</t>
        </is>
      </c>
      <c r="F606" s="3" t="inlineStr">
        <is>
          <t>삼성에스디에스</t>
        </is>
      </c>
      <c r="G606" s="2" t="inlineStr">
        <is>
          <t>20260226004916</t>
        </is>
      </c>
      <c r="H606" s="8">
        <f>HYPERLINK("https://dart.fss.or.kr/dsaf001/main.do?rcpNo=20260226004916", "공시열람")</f>
        <v/>
      </c>
    </row>
    <row r="607">
      <c r="A607" s="2" t="inlineStr">
        <is>
          <t>2026-02-26</t>
        </is>
      </c>
      <c r="B607" s="3" t="inlineStr">
        <is>
          <t>HLB글로벌</t>
        </is>
      </c>
      <c r="C607" s="2" t="inlineStr">
        <is>
          <t>코스피</t>
        </is>
      </c>
      <c r="D607" s="2" t="inlineStr">
        <is>
          <t>003580</t>
        </is>
      </c>
      <c r="E607" s="3" t="inlineStr">
        <is>
          <t>주주총회소집공고</t>
        </is>
      </c>
      <c r="F607" s="3" t="inlineStr">
        <is>
          <t>HLB글로벌</t>
        </is>
      </c>
      <c r="G607" s="2" t="inlineStr">
        <is>
          <t>20260226004868</t>
        </is>
      </c>
      <c r="H607" s="8">
        <f>HYPERLINK("https://dart.fss.or.kr/dsaf001/main.do?rcpNo=20260226004868", "공시열람")</f>
        <v/>
      </c>
    </row>
    <row r="608">
      <c r="A608" s="2" t="inlineStr">
        <is>
          <t>2026-02-26</t>
        </is>
      </c>
      <c r="B608" s="3" t="inlineStr">
        <is>
          <t>씨이랩</t>
        </is>
      </c>
      <c r="C608" s="2" t="inlineStr">
        <is>
          <t>코스닥</t>
        </is>
      </c>
      <c r="D608" s="2" t="inlineStr">
        <is>
          <t>189330</t>
        </is>
      </c>
      <c r="E608" s="3" t="inlineStr">
        <is>
          <t>주주총회소집공고</t>
        </is>
      </c>
      <c r="F608" s="3" t="inlineStr">
        <is>
          <t>씨이랩</t>
        </is>
      </c>
      <c r="G608" s="2" t="inlineStr">
        <is>
          <t>20260226004626</t>
        </is>
      </c>
      <c r="H608" s="8">
        <f>HYPERLINK("https://dart.fss.or.kr/dsaf001/main.do?rcpNo=20260226004626", "공시열람")</f>
        <v/>
      </c>
    </row>
    <row r="609">
      <c r="A609" s="2" t="inlineStr">
        <is>
          <t>2026-02-26</t>
        </is>
      </c>
      <c r="B609" s="3" t="inlineStr">
        <is>
          <t>미래에셋비전스팩5호</t>
        </is>
      </c>
      <c r="C609" s="2" t="inlineStr">
        <is>
          <t>코스닥</t>
        </is>
      </c>
      <c r="D609" s="2" t="inlineStr">
        <is>
          <t>477470</t>
        </is>
      </c>
      <c r="E609" s="3" t="inlineStr">
        <is>
          <t>주주총회소집공고</t>
        </is>
      </c>
      <c r="F609" s="3" t="inlineStr">
        <is>
          <t>미래에셋비전스팩5호</t>
        </is>
      </c>
      <c r="G609" s="2" t="inlineStr">
        <is>
          <t>20260226004475</t>
        </is>
      </c>
      <c r="H609" s="8">
        <f>HYPERLINK("https://dart.fss.or.kr/dsaf001/main.do?rcpNo=20260226004475", "공시열람")</f>
        <v/>
      </c>
    </row>
    <row r="610">
      <c r="A610" s="2" t="inlineStr">
        <is>
          <t>2026-02-26</t>
        </is>
      </c>
      <c r="B610" s="3" t="inlineStr">
        <is>
          <t>아이디피</t>
        </is>
      </c>
      <c r="C610" s="2" t="inlineStr">
        <is>
          <t>코스닥</t>
        </is>
      </c>
      <c r="D610" s="2" t="inlineStr">
        <is>
          <t>332370</t>
        </is>
      </c>
      <c r="E610" s="3" t="inlineStr">
        <is>
          <t>주주총회소집공고</t>
        </is>
      </c>
      <c r="F610" s="3" t="inlineStr">
        <is>
          <t>아이디피</t>
        </is>
      </c>
      <c r="G610" s="2" t="inlineStr">
        <is>
          <t>20260226004302</t>
        </is>
      </c>
      <c r="H610" s="8">
        <f>HYPERLINK("https://dart.fss.or.kr/dsaf001/main.do?rcpNo=20260226004302", "공시열람")</f>
        <v/>
      </c>
    </row>
    <row r="611">
      <c r="A611" s="2" t="inlineStr">
        <is>
          <t>2026-02-26 (정정: 2026-02-27)</t>
        </is>
      </c>
      <c r="B611" s="3" t="inlineStr">
        <is>
          <t>유엔젤</t>
        </is>
      </c>
      <c r="C611" s="2" t="inlineStr">
        <is>
          <t>코스피</t>
        </is>
      </c>
      <c r="D611" s="2" t="inlineStr">
        <is>
          <t>072130</t>
        </is>
      </c>
      <c r="E611" s="3" t="inlineStr">
        <is>
          <t>주주총회소집공고 (정정: 20260227)</t>
        </is>
      </c>
      <c r="F611" s="3" t="inlineStr">
        <is>
          <t>유엔젤</t>
        </is>
      </c>
      <c r="G611" s="2" t="inlineStr">
        <is>
          <t>20260227006878</t>
        </is>
      </c>
      <c r="H611" s="8">
        <f>HYPERLINK("https://dart.fss.or.kr/dsaf001/main.do?rcpNo=20260227006878", "공시열람")</f>
        <v/>
      </c>
    </row>
    <row r="612">
      <c r="A612" s="2" t="inlineStr">
        <is>
          <t>2026-02-26 (정정: 2026-03-19)</t>
        </is>
      </c>
      <c r="B612" s="3" t="inlineStr">
        <is>
          <t>재영솔루텍</t>
        </is>
      </c>
      <c r="C612" s="2" t="inlineStr">
        <is>
          <t>코스닥</t>
        </is>
      </c>
      <c r="D612" s="2" t="inlineStr">
        <is>
          <t>049630</t>
        </is>
      </c>
      <c r="E612" s="3" t="inlineStr">
        <is>
          <t>주주총회소집공고 (정정: 20260319)</t>
        </is>
      </c>
      <c r="F612" s="3" t="inlineStr">
        <is>
          <t>재영솔루텍</t>
        </is>
      </c>
      <c r="G612" s="2" t="inlineStr">
        <is>
          <t>20260319001136</t>
        </is>
      </c>
      <c r="H612" s="8">
        <f>HYPERLINK("https://dart.fss.or.kr/dsaf001/main.do?rcpNo=20260319001136", "공시열람")</f>
        <v/>
      </c>
    </row>
    <row r="613">
      <c r="A613" s="2" t="inlineStr">
        <is>
          <t>2026-02-26</t>
        </is>
      </c>
      <c r="B613" s="3" t="inlineStr">
        <is>
          <t>아이디스홀딩스</t>
        </is>
      </c>
      <c r="C613" s="2" t="inlineStr">
        <is>
          <t>코스닥</t>
        </is>
      </c>
      <c r="D613" s="2" t="inlineStr">
        <is>
          <t>054800</t>
        </is>
      </c>
      <c r="E613" s="3" t="inlineStr">
        <is>
          <t>주주총회소집공고</t>
        </is>
      </c>
      <c r="F613" s="3" t="inlineStr">
        <is>
          <t>아이디스홀딩스</t>
        </is>
      </c>
      <c r="G613" s="2" t="inlineStr">
        <is>
          <t>20260226003809</t>
        </is>
      </c>
      <c r="H613" s="8">
        <f>HYPERLINK("https://dart.fss.or.kr/dsaf001/main.do?rcpNo=20260226003809", "공시열람")</f>
        <v/>
      </c>
    </row>
    <row r="614">
      <c r="A614" s="2" t="inlineStr">
        <is>
          <t>2026-02-26</t>
        </is>
      </c>
      <c r="B614" s="3" t="inlineStr">
        <is>
          <t>아이디스</t>
        </is>
      </c>
      <c r="C614" s="2" t="inlineStr">
        <is>
          <t>코스닥</t>
        </is>
      </c>
      <c r="D614" s="2" t="inlineStr">
        <is>
          <t>143160</t>
        </is>
      </c>
      <c r="E614" s="3" t="inlineStr">
        <is>
          <t>주주총회소집공고</t>
        </is>
      </c>
      <c r="F614" s="3" t="inlineStr">
        <is>
          <t>아이디스</t>
        </is>
      </c>
      <c r="G614" s="2" t="inlineStr">
        <is>
          <t>20260226003776</t>
        </is>
      </c>
      <c r="H614" s="8">
        <f>HYPERLINK("https://dart.fss.or.kr/dsaf001/main.do?rcpNo=20260226003776", "공시열람")</f>
        <v/>
      </c>
    </row>
    <row r="615">
      <c r="A615" s="2" t="inlineStr">
        <is>
          <t>2026-02-26 (정정: 2026-03-06)</t>
        </is>
      </c>
      <c r="B615" s="3" t="inlineStr">
        <is>
          <t>한양이엔지</t>
        </is>
      </c>
      <c r="C615" s="2" t="inlineStr">
        <is>
          <t>코스닥</t>
        </is>
      </c>
      <c r="D615" s="2" t="inlineStr">
        <is>
          <t>045100</t>
        </is>
      </c>
      <c r="E615" s="3" t="inlineStr">
        <is>
          <t>주주총회소집공고 (정정: 20260306)</t>
        </is>
      </c>
      <c r="F615" s="3" t="inlineStr">
        <is>
          <t>한양이엔지</t>
        </is>
      </c>
      <c r="G615" s="2" t="inlineStr">
        <is>
          <t>20260306000491</t>
        </is>
      </c>
      <c r="H615" s="8">
        <f>HYPERLINK("https://dart.fss.or.kr/dsaf001/main.do?rcpNo=20260306000491", "공시열람")</f>
        <v/>
      </c>
    </row>
    <row r="616">
      <c r="A616" s="2" t="inlineStr">
        <is>
          <t>2026-02-26</t>
        </is>
      </c>
      <c r="B616" s="3" t="inlineStr">
        <is>
          <t>현대로템</t>
        </is>
      </c>
      <c r="C616" s="2" t="inlineStr">
        <is>
          <t>코스피</t>
        </is>
      </c>
      <c r="D616" s="2" t="inlineStr">
        <is>
          <t>064350</t>
        </is>
      </c>
      <c r="E616" s="3" t="inlineStr">
        <is>
          <t>주주총회소집공고</t>
        </is>
      </c>
      <c r="F616" s="3" t="inlineStr">
        <is>
          <t>현대로템</t>
        </is>
      </c>
      <c r="G616" s="2" t="inlineStr">
        <is>
          <t>20260226002495</t>
        </is>
      </c>
      <c r="H616" s="8">
        <f>HYPERLINK("https://dart.fss.or.kr/dsaf001/main.do?rcpNo=20260226002495", "공시열람")</f>
        <v/>
      </c>
    </row>
    <row r="617">
      <c r="A617" s="2" t="inlineStr">
        <is>
          <t>2026-02-26</t>
        </is>
      </c>
      <c r="B617" s="3" t="inlineStr">
        <is>
          <t>제주반도체</t>
        </is>
      </c>
      <c r="C617" s="2" t="inlineStr">
        <is>
          <t>코스닥</t>
        </is>
      </c>
      <c r="D617" s="2" t="inlineStr">
        <is>
          <t>080220</t>
        </is>
      </c>
      <c r="E617" s="3" t="inlineStr">
        <is>
          <t>주주총회소집공고</t>
        </is>
      </c>
      <c r="F617" s="3" t="inlineStr">
        <is>
          <t>제주반도체</t>
        </is>
      </c>
      <c r="G617" s="2" t="inlineStr">
        <is>
          <t>20260226002423</t>
        </is>
      </c>
      <c r="H617" s="8">
        <f>HYPERLINK("https://dart.fss.or.kr/dsaf001/main.do?rcpNo=20260226002423", "공시열람")</f>
        <v/>
      </c>
    </row>
    <row r="618">
      <c r="A618" s="2" t="inlineStr">
        <is>
          <t>2026-02-26</t>
        </is>
      </c>
      <c r="B618" s="3" t="inlineStr">
        <is>
          <t>이오플로우</t>
        </is>
      </c>
      <c r="C618" s="2" t="inlineStr">
        <is>
          <t>코스닥</t>
        </is>
      </c>
      <c r="D618" s="2" t="inlineStr">
        <is>
          <t>294090</t>
        </is>
      </c>
      <c r="E618" s="3" t="inlineStr">
        <is>
          <t>주주총회소집공고</t>
        </is>
      </c>
      <c r="F618" s="3" t="inlineStr">
        <is>
          <t>이오플로우</t>
        </is>
      </c>
      <c r="G618" s="2" t="inlineStr">
        <is>
          <t>20260226002300</t>
        </is>
      </c>
      <c r="H618" s="8">
        <f>HYPERLINK("https://dart.fss.or.kr/dsaf001/main.do?rcpNo=20260226002300", "공시열람")</f>
        <v/>
      </c>
    </row>
    <row r="619">
      <c r="A619" s="2" t="inlineStr">
        <is>
          <t>2026-02-26</t>
        </is>
      </c>
      <c r="B619" s="3" t="inlineStr">
        <is>
          <t>EG</t>
        </is>
      </c>
      <c r="C619" s="2" t="inlineStr">
        <is>
          <t>코스닥</t>
        </is>
      </c>
      <c r="D619" s="2" t="inlineStr">
        <is>
          <t>037370</t>
        </is>
      </c>
      <c r="E619" s="3" t="inlineStr">
        <is>
          <t>주주총회소집공고</t>
        </is>
      </c>
      <c r="F619" s="3" t="inlineStr">
        <is>
          <t>EG</t>
        </is>
      </c>
      <c r="G619" s="2" t="inlineStr">
        <is>
          <t>20260226002029</t>
        </is>
      </c>
      <c r="H619" s="8">
        <f>HYPERLINK("https://dart.fss.or.kr/dsaf001/main.do?rcpNo=20260226002029", "공시열람")</f>
        <v/>
      </c>
    </row>
    <row r="620">
      <c r="A620" s="2" t="inlineStr">
        <is>
          <t>2026-02-26 (정정: 2026-03-03)</t>
        </is>
      </c>
      <c r="B620" s="3" t="inlineStr">
        <is>
          <t>팬오션</t>
        </is>
      </c>
      <c r="C620" s="2" t="inlineStr">
        <is>
          <t>코스피</t>
        </is>
      </c>
      <c r="D620" s="2" t="inlineStr">
        <is>
          <t>028670</t>
        </is>
      </c>
      <c r="E620" s="3" t="inlineStr">
        <is>
          <t>주주총회소집공고 (정정: 20260303) (정정: 20260303) (정정: 20260303)</t>
        </is>
      </c>
      <c r="F620" s="3" t="inlineStr">
        <is>
          <t>팬오션</t>
        </is>
      </c>
      <c r="G620" s="2" t="inlineStr">
        <is>
          <t>20260303800612</t>
        </is>
      </c>
      <c r="H620" s="8">
        <f>HYPERLINK("https://dart.fss.or.kr/dsaf001/main.do?rcpNo=20260303800612", "공시열람")</f>
        <v/>
      </c>
    </row>
    <row r="621">
      <c r="A621" s="2" t="inlineStr">
        <is>
          <t>2026-02-26</t>
        </is>
      </c>
      <c r="B621" s="3" t="inlineStr">
        <is>
          <t>제닉스로보틱스</t>
        </is>
      </c>
      <c r="C621" s="2" t="inlineStr">
        <is>
          <t>코스닥</t>
        </is>
      </c>
      <c r="D621" s="2" t="inlineStr">
        <is>
          <t>381620</t>
        </is>
      </c>
      <c r="E621" s="3" t="inlineStr">
        <is>
          <t>주주총회소집공고</t>
        </is>
      </c>
      <c r="F621" s="3" t="inlineStr">
        <is>
          <t>제닉스로보틱스</t>
        </is>
      </c>
      <c r="G621" s="2" t="inlineStr">
        <is>
          <t>20260226000690</t>
        </is>
      </c>
      <c r="H621" s="8">
        <f>HYPERLINK("https://dart.fss.or.kr/dsaf001/main.do?rcpNo=20260226000690", "공시열람")</f>
        <v/>
      </c>
    </row>
    <row r="622">
      <c r="A622" s="2" t="inlineStr">
        <is>
          <t>2026-02-26 (정정: 2026-03-03)</t>
        </is>
      </c>
      <c r="B622" s="3" t="inlineStr">
        <is>
          <t>알리코제약</t>
        </is>
      </c>
      <c r="C622" s="2" t="inlineStr">
        <is>
          <t>코스닥</t>
        </is>
      </c>
      <c r="D622" s="2" t="inlineStr">
        <is>
          <t>260660</t>
        </is>
      </c>
      <c r="E622" s="3" t="inlineStr">
        <is>
          <t>주주총회소집공고 (정정: 20260303) (정정: 20260303)</t>
        </is>
      </c>
      <c r="F622" s="3" t="inlineStr">
        <is>
          <t>알리코제약</t>
        </is>
      </c>
      <c r="G622" s="2" t="inlineStr">
        <is>
          <t>20260303003283</t>
        </is>
      </c>
      <c r="H622" s="8">
        <f>HYPERLINK("https://dart.fss.or.kr/dsaf001/main.do?rcpNo=20260303003283", "공시열람")</f>
        <v/>
      </c>
    </row>
    <row r="623">
      <c r="A623" s="2" t="inlineStr">
        <is>
          <t>2026-02-26</t>
        </is>
      </c>
      <c r="B623" s="3" t="inlineStr">
        <is>
          <t>에스엔시스</t>
        </is>
      </c>
      <c r="C623" s="2" t="inlineStr">
        <is>
          <t>코스닥</t>
        </is>
      </c>
      <c r="D623" s="2" t="inlineStr">
        <is>
          <t>0008Z0</t>
        </is>
      </c>
      <c r="E623" s="3" t="inlineStr">
        <is>
          <t>주주총회소집공고</t>
        </is>
      </c>
      <c r="F623" s="3" t="inlineStr">
        <is>
          <t>에스엔시스</t>
        </is>
      </c>
      <c r="G623" s="2" t="inlineStr">
        <is>
          <t>20260226000443</t>
        </is>
      </c>
      <c r="H623" s="8">
        <f>HYPERLINK("https://dart.fss.or.kr/dsaf001/main.do?rcpNo=20260226000443", "공시열람")</f>
        <v/>
      </c>
    </row>
    <row r="624">
      <c r="A624" s="2" t="inlineStr">
        <is>
          <t>2026-02-26</t>
        </is>
      </c>
      <c r="B624" s="3" t="inlineStr">
        <is>
          <t>KG모빌리티</t>
        </is>
      </c>
      <c r="C624" s="2" t="inlineStr">
        <is>
          <t>코스피</t>
        </is>
      </c>
      <c r="D624" s="2" t="inlineStr">
        <is>
          <t>003620</t>
        </is>
      </c>
      <c r="E624" s="3" t="inlineStr">
        <is>
          <t>주주총회소집공고</t>
        </is>
      </c>
      <c r="F624" s="3" t="inlineStr">
        <is>
          <t>KG모빌리티</t>
        </is>
      </c>
      <c r="G624" s="2" t="inlineStr">
        <is>
          <t>20260225006016</t>
        </is>
      </c>
      <c r="H624" s="8">
        <f>HYPERLINK("https://dart.fss.or.kr/dsaf001/main.do?rcpNo=20260225006016", "공시열람")</f>
        <v/>
      </c>
    </row>
    <row r="625">
      <c r="A625" s="2" t="inlineStr">
        <is>
          <t>2026-02-26</t>
        </is>
      </c>
      <c r="B625" s="3" t="inlineStr">
        <is>
          <t>대상</t>
        </is>
      </c>
      <c r="C625" s="2" t="inlineStr">
        <is>
          <t>코스피</t>
        </is>
      </c>
      <c r="D625" s="2" t="inlineStr">
        <is>
          <t>001680</t>
        </is>
      </c>
      <c r="E625" s="3" t="inlineStr">
        <is>
          <t>주주총회소집공고</t>
        </is>
      </c>
      <c r="F625" s="3" t="inlineStr">
        <is>
          <t>대상</t>
        </is>
      </c>
      <c r="G625" s="2" t="inlineStr">
        <is>
          <t>20260225006121</t>
        </is>
      </c>
      <c r="H625" s="8">
        <f>HYPERLINK("https://dart.fss.or.kr/dsaf001/main.do?rcpNo=20260225006121", "공시열람")</f>
        <v/>
      </c>
    </row>
    <row r="626">
      <c r="A626" s="2" t="inlineStr">
        <is>
          <t>2026-02-26</t>
        </is>
      </c>
      <c r="B626" s="3" t="inlineStr">
        <is>
          <t>대웅</t>
        </is>
      </c>
      <c r="C626" s="2" t="inlineStr">
        <is>
          <t>코스피</t>
        </is>
      </c>
      <c r="D626" s="2" t="inlineStr">
        <is>
          <t>003090</t>
        </is>
      </c>
      <c r="E626" s="3" t="inlineStr">
        <is>
          <t>주주총회소집공고</t>
        </is>
      </c>
      <c r="F626" s="3" t="inlineStr">
        <is>
          <t>대웅</t>
        </is>
      </c>
      <c r="G626" s="2" t="inlineStr">
        <is>
          <t>20260225006045</t>
        </is>
      </c>
      <c r="H626" s="8">
        <f>HYPERLINK("https://dart.fss.or.kr/dsaf001/main.do?rcpNo=20260225006045", "공시열람")</f>
        <v/>
      </c>
    </row>
    <row r="627">
      <c r="A627" s="2" t="inlineStr">
        <is>
          <t>2026-02-26</t>
        </is>
      </c>
      <c r="B627" s="3" t="inlineStr">
        <is>
          <t>대웅제약</t>
        </is>
      </c>
      <c r="C627" s="2" t="inlineStr">
        <is>
          <t>코스피</t>
        </is>
      </c>
      <c r="D627" s="2" t="inlineStr">
        <is>
          <t>069620</t>
        </is>
      </c>
      <c r="E627" s="3" t="inlineStr">
        <is>
          <t>주주총회소집공고</t>
        </is>
      </c>
      <c r="F627" s="3" t="inlineStr">
        <is>
          <t>대웅제약</t>
        </is>
      </c>
      <c r="G627" s="2" t="inlineStr">
        <is>
          <t>20260225006062</t>
        </is>
      </c>
      <c r="H627" s="8">
        <f>HYPERLINK("https://dart.fss.or.kr/dsaf001/main.do?rcpNo=20260225006062", "공시열람")</f>
        <v/>
      </c>
    </row>
    <row r="628">
      <c r="A628" s="2" t="inlineStr">
        <is>
          <t>2026-02-26</t>
        </is>
      </c>
      <c r="B628" s="3" t="inlineStr">
        <is>
          <t>에코프로머티</t>
        </is>
      </c>
      <c r="C628" s="2" t="inlineStr">
        <is>
          <t>코스피</t>
        </is>
      </c>
      <c r="D628" s="2" t="inlineStr">
        <is>
          <t>450080</t>
        </is>
      </c>
      <c r="E628" s="3" t="inlineStr">
        <is>
          <t>주주총회소집공고</t>
        </is>
      </c>
      <c r="F628" s="3" t="inlineStr">
        <is>
          <t>에코프로머티</t>
        </is>
      </c>
      <c r="G628" s="2" t="inlineStr">
        <is>
          <t>20260225006068</t>
        </is>
      </c>
      <c r="H628" s="8">
        <f>HYPERLINK("https://dart.fss.or.kr/dsaf001/main.do?rcpNo=20260225006068", "공시열람")</f>
        <v/>
      </c>
    </row>
    <row r="629">
      <c r="A629" s="2" t="inlineStr">
        <is>
          <t>2026-02-27</t>
        </is>
      </c>
      <c r="B629" s="3" t="inlineStr">
        <is>
          <t>유니켐</t>
        </is>
      </c>
      <c r="C629" s="2" t="inlineStr">
        <is>
          <t>코스피</t>
        </is>
      </c>
      <c r="D629" s="2" t="inlineStr">
        <is>
          <t>011330</t>
        </is>
      </c>
      <c r="E629" s="3" t="inlineStr">
        <is>
          <t>주주총회소집공고</t>
        </is>
      </c>
      <c r="F629" s="3" t="inlineStr">
        <is>
          <t>유니켐</t>
        </is>
      </c>
      <c r="G629" s="2" t="inlineStr">
        <is>
          <t>20260227008901</t>
        </is>
      </c>
      <c r="H629" s="8">
        <f>HYPERLINK("https://dart.fss.or.kr/dsaf001/main.do?rcpNo=20260227008901", "공시열람")</f>
        <v/>
      </c>
    </row>
    <row r="630">
      <c r="A630" s="2" t="inlineStr">
        <is>
          <t>2026-02-27 (정정: 2026-05-28)</t>
        </is>
      </c>
      <c r="B630" s="3" t="inlineStr">
        <is>
          <t>SK이노베이션</t>
        </is>
      </c>
      <c r="C630" s="2" t="inlineStr">
        <is>
          <t>코스피</t>
        </is>
      </c>
      <c r="D630" s="2" t="inlineStr">
        <is>
          <t>096770</t>
        </is>
      </c>
      <c r="E630" s="3" t="inlineStr">
        <is>
          <t>주주총회소집공고 (정정: 20260528) (정정: 20260528)</t>
        </is>
      </c>
      <c r="F630" s="3" t="inlineStr">
        <is>
          <t>SK이노베이션</t>
        </is>
      </c>
      <c r="G630" s="2" t="inlineStr">
        <is>
          <t>20260528800639</t>
        </is>
      </c>
      <c r="H630" s="8">
        <f>HYPERLINK("https://dart.fss.or.kr/dsaf001/main.do?rcpNo=20260528800639", "공시열람")</f>
        <v/>
      </c>
    </row>
    <row r="631">
      <c r="A631" s="2" t="inlineStr">
        <is>
          <t>2026-02-27</t>
        </is>
      </c>
      <c r="B631" s="3" t="inlineStr">
        <is>
          <t>나인테크</t>
        </is>
      </c>
      <c r="C631" s="2" t="inlineStr">
        <is>
          <t>코스닥</t>
        </is>
      </c>
      <c r="D631" s="2" t="inlineStr">
        <is>
          <t>267320</t>
        </is>
      </c>
      <c r="E631" s="3" t="inlineStr">
        <is>
          <t>주주총회소집공고</t>
        </is>
      </c>
      <c r="F631" s="3" t="inlineStr">
        <is>
          <t>나인테크</t>
        </is>
      </c>
      <c r="G631" s="2" t="inlineStr">
        <is>
          <t>20260227008893</t>
        </is>
      </c>
      <c r="H631" s="8">
        <f>HYPERLINK("https://dart.fss.or.kr/dsaf001/main.do?rcpNo=20260227008893", "공시열람")</f>
        <v/>
      </c>
    </row>
    <row r="632">
      <c r="A632" s="2" t="inlineStr">
        <is>
          <t>2026-02-27</t>
        </is>
      </c>
      <c r="B632" s="3" t="inlineStr">
        <is>
          <t>시노펙스</t>
        </is>
      </c>
      <c r="C632" s="2" t="inlineStr">
        <is>
          <t>코스닥</t>
        </is>
      </c>
      <c r="D632" s="2" t="inlineStr">
        <is>
          <t>025320</t>
        </is>
      </c>
      <c r="E632" s="3" t="inlineStr">
        <is>
          <t>주주총회소집공고</t>
        </is>
      </c>
      <c r="F632" s="3" t="inlineStr">
        <is>
          <t>시노펙스</t>
        </is>
      </c>
      <c r="G632" s="2" t="inlineStr">
        <is>
          <t>20260227008857</t>
        </is>
      </c>
      <c r="H632" s="8">
        <f>HYPERLINK("https://dart.fss.or.kr/dsaf001/main.do?rcpNo=20260227008857", "공시열람")</f>
        <v/>
      </c>
    </row>
    <row r="633">
      <c r="A633" s="2" t="inlineStr">
        <is>
          <t>2026-02-27</t>
        </is>
      </c>
      <c r="B633" s="3" t="inlineStr">
        <is>
          <t>에스엠</t>
        </is>
      </c>
      <c r="C633" s="2" t="inlineStr">
        <is>
          <t>코스닥</t>
        </is>
      </c>
      <c r="D633" s="2" t="inlineStr">
        <is>
          <t>041510</t>
        </is>
      </c>
      <c r="E633" s="3" t="inlineStr">
        <is>
          <t>주주총회소집공고</t>
        </is>
      </c>
      <c r="F633" s="3" t="inlineStr">
        <is>
          <t>에스엠</t>
        </is>
      </c>
      <c r="G633" s="2" t="inlineStr">
        <is>
          <t>20260227008845</t>
        </is>
      </c>
      <c r="H633" s="8">
        <f>HYPERLINK("https://dart.fss.or.kr/dsaf001/main.do?rcpNo=20260227008845", "공시열람")</f>
        <v/>
      </c>
    </row>
    <row r="634">
      <c r="A634" s="2" t="inlineStr">
        <is>
          <t>2026-02-27</t>
        </is>
      </c>
      <c r="B634" s="3" t="inlineStr">
        <is>
          <t>트리니티항공</t>
        </is>
      </c>
      <c r="C634" s="2" t="inlineStr">
        <is>
          <t>코스피</t>
        </is>
      </c>
      <c r="D634" s="2" t="inlineStr">
        <is>
          <t>091810</t>
        </is>
      </c>
      <c r="E634" s="3" t="inlineStr">
        <is>
          <t>주주총회소집공고</t>
        </is>
      </c>
      <c r="F634" s="3" t="inlineStr">
        <is>
          <t>트리니티항공</t>
        </is>
      </c>
      <c r="G634" s="2" t="inlineStr">
        <is>
          <t>20260227008834</t>
        </is>
      </c>
      <c r="H634" s="8">
        <f>HYPERLINK("https://dart.fss.or.kr/dsaf001/main.do?rcpNo=20260227008834", "공시열람")</f>
        <v/>
      </c>
    </row>
    <row r="635">
      <c r="A635" s="2" t="inlineStr">
        <is>
          <t>2026-02-27</t>
        </is>
      </c>
      <c r="B635" s="3" t="inlineStr">
        <is>
          <t>에이엔피</t>
        </is>
      </c>
      <c r="C635" s="2" t="inlineStr">
        <is>
          <t>코스피</t>
        </is>
      </c>
      <c r="D635" s="2" t="inlineStr">
        <is>
          <t>015260</t>
        </is>
      </c>
      <c r="E635" s="3" t="inlineStr">
        <is>
          <t>주주총회소집공고</t>
        </is>
      </c>
      <c r="F635" s="3" t="inlineStr">
        <is>
          <t>에이엔피</t>
        </is>
      </c>
      <c r="G635" s="2" t="inlineStr">
        <is>
          <t>20260227008770</t>
        </is>
      </c>
      <c r="H635" s="8">
        <f>HYPERLINK("https://dart.fss.or.kr/dsaf001/main.do?rcpNo=20260227008770", "공시열람")</f>
        <v/>
      </c>
    </row>
    <row r="636">
      <c r="A636" s="2" t="inlineStr">
        <is>
          <t>2026-02-27</t>
        </is>
      </c>
      <c r="B636" s="3" t="inlineStr">
        <is>
          <t>씨티케이</t>
        </is>
      </c>
      <c r="C636" s="2" t="inlineStr">
        <is>
          <t>코스닥</t>
        </is>
      </c>
      <c r="D636" s="2" t="inlineStr">
        <is>
          <t>260930</t>
        </is>
      </c>
      <c r="E636" s="3" t="inlineStr">
        <is>
          <t>주주총회소집공고</t>
        </is>
      </c>
      <c r="F636" s="3" t="inlineStr">
        <is>
          <t>씨티케이</t>
        </is>
      </c>
      <c r="G636" s="2" t="inlineStr">
        <is>
          <t>20260227008745</t>
        </is>
      </c>
      <c r="H636" s="8">
        <f>HYPERLINK("https://dart.fss.or.kr/dsaf001/main.do?rcpNo=20260227008745", "공시열람")</f>
        <v/>
      </c>
    </row>
    <row r="637">
      <c r="A637" s="2" t="inlineStr">
        <is>
          <t>2026-02-27 (정정: 2026-03-10)</t>
        </is>
      </c>
      <c r="B637" s="3" t="inlineStr">
        <is>
          <t>DB손해보험</t>
        </is>
      </c>
      <c r="C637" s="2" t="inlineStr">
        <is>
          <t>코스피</t>
        </is>
      </c>
      <c r="D637" s="2" t="inlineStr">
        <is>
          <t>005830</t>
        </is>
      </c>
      <c r="E637" s="3" t="inlineStr">
        <is>
          <t>주주총회소집공고 (정정: 20260303) (정정: 20260303) (정정: 20260310)</t>
        </is>
      </c>
      <c r="F637" s="3" t="inlineStr">
        <is>
          <t>DB손해보험</t>
        </is>
      </c>
      <c r="G637" s="2" t="inlineStr">
        <is>
          <t>20260310801687</t>
        </is>
      </c>
      <c r="H637" s="8">
        <f>HYPERLINK("https://dart.fss.or.kr/dsaf001/main.do?rcpNo=20260310801687", "공시열람")</f>
        <v/>
      </c>
    </row>
    <row r="638">
      <c r="A638" s="2" t="inlineStr">
        <is>
          <t>2026-02-27</t>
        </is>
      </c>
      <c r="B638" s="3" t="inlineStr">
        <is>
          <t>SK가스</t>
        </is>
      </c>
      <c r="C638" s="2" t="inlineStr">
        <is>
          <t>코스피</t>
        </is>
      </c>
      <c r="D638" s="2" t="inlineStr">
        <is>
          <t>018670</t>
        </is>
      </c>
      <c r="E638" s="3" t="inlineStr">
        <is>
          <t>주주총회소집공고</t>
        </is>
      </c>
      <c r="F638" s="3" t="inlineStr">
        <is>
          <t>SK가스</t>
        </is>
      </c>
      <c r="G638" s="2" t="inlineStr">
        <is>
          <t>20260227008667</t>
        </is>
      </c>
      <c r="H638" s="8">
        <f>HYPERLINK("https://dart.fss.or.kr/dsaf001/main.do?rcpNo=20260227008667", "공시열람")</f>
        <v/>
      </c>
    </row>
    <row r="639">
      <c r="A639" s="2" t="inlineStr">
        <is>
          <t>2026-02-27</t>
        </is>
      </c>
      <c r="B639" s="3" t="inlineStr">
        <is>
          <t>미래에셋비전스팩8호</t>
        </is>
      </c>
      <c r="C639" s="2" t="inlineStr">
        <is>
          <t>코스닥</t>
        </is>
      </c>
      <c r="D639" s="2" t="inlineStr">
        <is>
          <t>0093G0</t>
        </is>
      </c>
      <c r="E639" s="3" t="inlineStr">
        <is>
          <t>주주총회소집공고</t>
        </is>
      </c>
      <c r="F639" s="3" t="inlineStr">
        <is>
          <t>미래에셋비전스팩8호</t>
        </is>
      </c>
      <c r="G639" s="2" t="inlineStr">
        <is>
          <t>20260227008646</t>
        </is>
      </c>
      <c r="H639" s="8">
        <f>HYPERLINK("https://dart.fss.or.kr/dsaf001/main.do?rcpNo=20260227008646", "공시열람")</f>
        <v/>
      </c>
    </row>
    <row r="640">
      <c r="A640" s="2" t="inlineStr">
        <is>
          <t>2026-02-27</t>
        </is>
      </c>
      <c r="B640" s="3" t="inlineStr">
        <is>
          <t>풀무원</t>
        </is>
      </c>
      <c r="C640" s="2" t="inlineStr">
        <is>
          <t>코스피</t>
        </is>
      </c>
      <c r="D640" s="2" t="inlineStr">
        <is>
          <t>017810</t>
        </is>
      </c>
      <c r="E640" s="3" t="inlineStr">
        <is>
          <t>주주총회소집공고</t>
        </is>
      </c>
      <c r="F640" s="3" t="inlineStr">
        <is>
          <t>풀무원</t>
        </is>
      </c>
      <c r="G640" s="2" t="inlineStr">
        <is>
          <t>20260227008619</t>
        </is>
      </c>
      <c r="H640" s="8">
        <f>HYPERLINK("https://dart.fss.or.kr/dsaf001/main.do?rcpNo=20260227008619", "공시열람")</f>
        <v/>
      </c>
    </row>
    <row r="641">
      <c r="A641" s="2" t="inlineStr">
        <is>
          <t>2026-02-27</t>
        </is>
      </c>
      <c r="B641" s="3" t="inlineStr">
        <is>
          <t>SG</t>
        </is>
      </c>
      <c r="C641" s="2" t="inlineStr">
        <is>
          <t>코스닥</t>
        </is>
      </c>
      <c r="D641" s="2" t="inlineStr">
        <is>
          <t>255220</t>
        </is>
      </c>
      <c r="E641" s="3" t="inlineStr">
        <is>
          <t>주주총회소집공고</t>
        </is>
      </c>
      <c r="F641" s="3" t="inlineStr">
        <is>
          <t>SG</t>
        </is>
      </c>
      <c r="G641" s="2" t="inlineStr">
        <is>
          <t>20260227008542</t>
        </is>
      </c>
      <c r="H641" s="8">
        <f>HYPERLINK("https://dart.fss.or.kr/dsaf001/main.do?rcpNo=20260227008542", "공시열람")</f>
        <v/>
      </c>
    </row>
    <row r="642">
      <c r="A642" s="2" t="inlineStr">
        <is>
          <t>2026-02-27 (정정: 2026-03-12)</t>
        </is>
      </c>
      <c r="B642" s="3" t="inlineStr">
        <is>
          <t>코아시아</t>
        </is>
      </c>
      <c r="C642" s="2" t="inlineStr">
        <is>
          <t>코스닥</t>
        </is>
      </c>
      <c r="D642" s="2" t="inlineStr">
        <is>
          <t>045970</t>
        </is>
      </c>
      <c r="E642" s="3" t="inlineStr">
        <is>
          <t>주주총회소집공고 (정정: 20260312) (정정: 20260312)</t>
        </is>
      </c>
      <c r="F642" s="3" t="inlineStr">
        <is>
          <t>코아시아</t>
        </is>
      </c>
      <c r="G642" s="2" t="inlineStr">
        <is>
          <t>20260312000331</t>
        </is>
      </c>
      <c r="H642" s="8">
        <f>HYPERLINK("https://dart.fss.or.kr/dsaf001/main.do?rcpNo=20260312000331", "공시열람")</f>
        <v/>
      </c>
    </row>
    <row r="643">
      <c r="A643" s="2" t="inlineStr">
        <is>
          <t>2026-02-27 (정정: 2026-03-18)</t>
        </is>
      </c>
      <c r="B643" s="3" t="inlineStr">
        <is>
          <t>수산세보틱스</t>
        </is>
      </c>
      <c r="C643" s="2" t="inlineStr">
        <is>
          <t>코스피</t>
        </is>
      </c>
      <c r="D643" s="2" t="inlineStr">
        <is>
          <t>017550</t>
        </is>
      </c>
      <c r="E643" s="3" t="inlineStr">
        <is>
          <t>주주총회소집공고 (정정: 20260318)</t>
        </is>
      </c>
      <c r="F643" s="3" t="inlineStr">
        <is>
          <t>수산세보틱스</t>
        </is>
      </c>
      <c r="G643" s="2" t="inlineStr">
        <is>
          <t>20260318000972</t>
        </is>
      </c>
      <c r="H643" s="8">
        <f>HYPERLINK("https://dart.fss.or.kr/dsaf001/main.do?rcpNo=20260318000972", "공시열람")</f>
        <v/>
      </c>
    </row>
    <row r="644">
      <c r="A644" s="2" t="inlineStr">
        <is>
          <t>2026-02-27</t>
        </is>
      </c>
      <c r="B644" s="3" t="inlineStr">
        <is>
          <t>케이프</t>
        </is>
      </c>
      <c r="C644" s="2" t="inlineStr">
        <is>
          <t>코스닥</t>
        </is>
      </c>
      <c r="D644" s="2" t="inlineStr">
        <is>
          <t>064820</t>
        </is>
      </c>
      <c r="E644" s="3" t="inlineStr">
        <is>
          <t>주주총회소집공고</t>
        </is>
      </c>
      <c r="F644" s="3" t="inlineStr">
        <is>
          <t>케이프</t>
        </is>
      </c>
      <c r="G644" s="2" t="inlineStr">
        <is>
          <t>20260227008409</t>
        </is>
      </c>
      <c r="H644" s="8">
        <f>HYPERLINK("https://dart.fss.or.kr/dsaf001/main.do?rcpNo=20260227008409", "공시열람")</f>
        <v/>
      </c>
    </row>
    <row r="645">
      <c r="A645" s="2" t="inlineStr">
        <is>
          <t>2026-02-27</t>
        </is>
      </c>
      <c r="B645" s="3" t="inlineStr">
        <is>
          <t>유나이티드</t>
        </is>
      </c>
      <c r="C645" s="2" t="inlineStr">
        <is>
          <t>코스피</t>
        </is>
      </c>
      <c r="D645" s="2" t="inlineStr">
        <is>
          <t>033270</t>
        </is>
      </c>
      <c r="E645" s="3" t="inlineStr">
        <is>
          <t>주주총회소집공고</t>
        </is>
      </c>
      <c r="F645" s="3" t="inlineStr">
        <is>
          <t>유나이티드</t>
        </is>
      </c>
      <c r="G645" s="2" t="inlineStr">
        <is>
          <t>20260227008395</t>
        </is>
      </c>
      <c r="H645" s="8">
        <f>HYPERLINK("https://dart.fss.or.kr/dsaf001/main.do?rcpNo=20260227008395", "공시열람")</f>
        <v/>
      </c>
    </row>
    <row r="646">
      <c r="A646" s="2" t="inlineStr">
        <is>
          <t>2026-02-27 (정정: 2026-03-10)</t>
        </is>
      </c>
      <c r="B646" s="3" t="inlineStr">
        <is>
          <t>삼영</t>
        </is>
      </c>
      <c r="C646" s="2" t="inlineStr">
        <is>
          <t>코스피</t>
        </is>
      </c>
      <c r="D646" s="2" t="inlineStr">
        <is>
          <t>003720</t>
        </is>
      </c>
      <c r="E646" s="3" t="inlineStr">
        <is>
          <t>주주총회소집공고 (정정: 20260310)</t>
        </is>
      </c>
      <c r="F646" s="3" t="inlineStr">
        <is>
          <t>삼영</t>
        </is>
      </c>
      <c r="G646" s="2" t="inlineStr">
        <is>
          <t>20260310800485</t>
        </is>
      </c>
      <c r="H646" s="8">
        <f>HYPERLINK("https://dart.fss.or.kr/dsaf001/main.do?rcpNo=20260310800485", "공시열람")</f>
        <v/>
      </c>
    </row>
    <row r="647">
      <c r="A647" s="2" t="inlineStr">
        <is>
          <t>2026-02-27</t>
        </is>
      </c>
      <c r="B647" s="3" t="inlineStr">
        <is>
          <t>선진</t>
        </is>
      </c>
      <c r="C647" s="2" t="inlineStr">
        <is>
          <t>코스피</t>
        </is>
      </c>
      <c r="D647" s="2" t="inlineStr">
        <is>
          <t>136490</t>
        </is>
      </c>
      <c r="E647" s="3" t="inlineStr">
        <is>
          <t>주주총회소집공고</t>
        </is>
      </c>
      <c r="F647" s="3" t="inlineStr">
        <is>
          <t>선진</t>
        </is>
      </c>
      <c r="G647" s="2" t="inlineStr">
        <is>
          <t>20260227008369</t>
        </is>
      </c>
      <c r="H647" s="8">
        <f>HYPERLINK("https://dart.fss.or.kr/dsaf001/main.do?rcpNo=20260227008369", "공시열람")</f>
        <v/>
      </c>
    </row>
    <row r="648">
      <c r="A648" s="2" t="inlineStr">
        <is>
          <t>2026-02-27</t>
        </is>
      </c>
      <c r="B648" s="3" t="inlineStr">
        <is>
          <t>한국첨단소재</t>
        </is>
      </c>
      <c r="C648" s="2" t="inlineStr">
        <is>
          <t>코스닥</t>
        </is>
      </c>
      <c r="D648" s="2" t="inlineStr">
        <is>
          <t>062970</t>
        </is>
      </c>
      <c r="E648" s="3" t="inlineStr">
        <is>
          <t>주주총회소집공고</t>
        </is>
      </c>
      <c r="F648" s="3" t="inlineStr">
        <is>
          <t>한국첨단소재</t>
        </is>
      </c>
      <c r="G648" s="2" t="inlineStr">
        <is>
          <t>20260227008355</t>
        </is>
      </c>
      <c r="H648" s="8">
        <f>HYPERLINK("https://dart.fss.or.kr/dsaf001/main.do?rcpNo=20260227008355", "공시열람")</f>
        <v/>
      </c>
    </row>
    <row r="649">
      <c r="A649" s="2" t="inlineStr">
        <is>
          <t>2026-02-27 (정정: 2026-03-23)</t>
        </is>
      </c>
      <c r="B649" s="3" t="inlineStr">
        <is>
          <t>인팩</t>
        </is>
      </c>
      <c r="C649" s="2" t="inlineStr">
        <is>
          <t>코스피</t>
        </is>
      </c>
      <c r="D649" s="2" t="inlineStr">
        <is>
          <t>023810</t>
        </is>
      </c>
      <c r="E649" s="3" t="inlineStr">
        <is>
          <t>주주총회소집공고 (정정: 20260323)</t>
        </is>
      </c>
      <c r="F649" s="3" t="inlineStr">
        <is>
          <t>인팩</t>
        </is>
      </c>
      <c r="G649" s="2" t="inlineStr">
        <is>
          <t>20260323001126</t>
        </is>
      </c>
      <c r="H649" s="8">
        <f>HYPERLINK("https://dart.fss.or.kr/dsaf001/main.do?rcpNo=20260323001126", "공시열람")</f>
        <v/>
      </c>
    </row>
    <row r="650">
      <c r="A650" s="2" t="inlineStr">
        <is>
          <t>2026-02-27</t>
        </is>
      </c>
      <c r="B650" s="3" t="inlineStr">
        <is>
          <t>우리금융지주</t>
        </is>
      </c>
      <c r="C650" s="2" t="inlineStr">
        <is>
          <t>코스피</t>
        </is>
      </c>
      <c r="D650" s="2" t="inlineStr">
        <is>
          <t>316140</t>
        </is>
      </c>
      <c r="E650" s="3" t="inlineStr">
        <is>
          <t>주주총회소집공고</t>
        </is>
      </c>
      <c r="F650" s="3" t="inlineStr">
        <is>
          <t>우리금융지주</t>
        </is>
      </c>
      <c r="G650" s="2" t="inlineStr">
        <is>
          <t>20260227008132</t>
        </is>
      </c>
      <c r="H650" s="8">
        <f>HYPERLINK("https://dart.fss.or.kr/dsaf001/main.do?rcpNo=20260227008132", "공시열람")</f>
        <v/>
      </c>
    </row>
    <row r="651">
      <c r="A651" s="2" t="inlineStr">
        <is>
          <t>2026-02-27</t>
        </is>
      </c>
      <c r="B651" s="3" t="inlineStr">
        <is>
          <t>세방</t>
        </is>
      </c>
      <c r="C651" s="2" t="inlineStr">
        <is>
          <t>코스피</t>
        </is>
      </c>
      <c r="D651" s="2" t="inlineStr">
        <is>
          <t>004360</t>
        </is>
      </c>
      <c r="E651" s="3" t="inlineStr">
        <is>
          <t>주주총회소집공고</t>
        </is>
      </c>
      <c r="F651" s="3" t="inlineStr">
        <is>
          <t>세방</t>
        </is>
      </c>
      <c r="G651" s="2" t="inlineStr">
        <is>
          <t>20260227008115</t>
        </is>
      </c>
      <c r="H651" s="8">
        <f>HYPERLINK("https://dart.fss.or.kr/dsaf001/main.do?rcpNo=20260227008115", "공시열람")</f>
        <v/>
      </c>
    </row>
    <row r="652">
      <c r="A652" s="2" t="inlineStr">
        <is>
          <t>2026-02-27 (정정: 2026-06-15)</t>
        </is>
      </c>
      <c r="B652" s="3" t="inlineStr">
        <is>
          <t>현대사료</t>
        </is>
      </c>
      <c r="C652" s="2" t="inlineStr">
        <is>
          <t>코스닥</t>
        </is>
      </c>
      <c r="D652" s="2" t="inlineStr">
        <is>
          <t>016790</t>
        </is>
      </c>
      <c r="E652" s="3" t="inlineStr">
        <is>
          <t>주주총회소집공고 (정정: 20260312) (정정: 20260312) (정정: 20260417) (정정: 20260615)</t>
        </is>
      </c>
      <c r="F652" s="3" t="inlineStr">
        <is>
          <t>현대사료</t>
        </is>
      </c>
      <c r="G652" s="2" t="inlineStr">
        <is>
          <t>20260615000320</t>
        </is>
      </c>
      <c r="H652" s="8">
        <f>HYPERLINK("https://dart.fss.or.kr/dsaf001/main.do?rcpNo=20260615000320", "공시열람")</f>
        <v/>
      </c>
    </row>
    <row r="653">
      <c r="A653" s="2" t="inlineStr">
        <is>
          <t>2026-02-27</t>
        </is>
      </c>
      <c r="B653" s="3" t="inlineStr">
        <is>
          <t>AP위성</t>
        </is>
      </c>
      <c r="C653" s="2" t="inlineStr">
        <is>
          <t>코스닥</t>
        </is>
      </c>
      <c r="D653" s="2" t="inlineStr">
        <is>
          <t>211270</t>
        </is>
      </c>
      <c r="E653" s="3" t="inlineStr">
        <is>
          <t>주주총회소집공고</t>
        </is>
      </c>
      <c r="F653" s="3" t="inlineStr">
        <is>
          <t>AP위성</t>
        </is>
      </c>
      <c r="G653" s="2" t="inlineStr">
        <is>
          <t>20260227007800</t>
        </is>
      </c>
      <c r="H653" s="8">
        <f>HYPERLINK("https://dart.fss.or.kr/dsaf001/main.do?rcpNo=20260227007800", "공시열람")</f>
        <v/>
      </c>
    </row>
    <row r="654">
      <c r="A654" s="2" t="inlineStr">
        <is>
          <t>2026-02-27</t>
        </is>
      </c>
      <c r="B654" s="3" t="inlineStr">
        <is>
          <t>하나금융지주</t>
        </is>
      </c>
      <c r="C654" s="2" t="inlineStr">
        <is>
          <t>코스피</t>
        </is>
      </c>
      <c r="D654" s="2" t="inlineStr">
        <is>
          <t>086790</t>
        </is>
      </c>
      <c r="E654" s="3" t="inlineStr">
        <is>
          <t>주주총회소집공고</t>
        </is>
      </c>
      <c r="F654" s="3" t="inlineStr">
        <is>
          <t>하나금융지주</t>
        </is>
      </c>
      <c r="G654" s="2" t="inlineStr">
        <is>
          <t>20260227007762</t>
        </is>
      </c>
      <c r="H654" s="8">
        <f>HYPERLINK("https://dart.fss.or.kr/dsaf001/main.do?rcpNo=20260227007762", "공시열람")</f>
        <v/>
      </c>
    </row>
    <row r="655">
      <c r="A655" s="2" t="inlineStr">
        <is>
          <t>2026-02-27</t>
        </is>
      </c>
      <c r="B655" s="3" t="inlineStr">
        <is>
          <t>남해화학</t>
        </is>
      </c>
      <c r="C655" s="2" t="inlineStr">
        <is>
          <t>코스피</t>
        </is>
      </c>
      <c r="D655" s="2" t="inlineStr">
        <is>
          <t>025860</t>
        </is>
      </c>
      <c r="E655" s="3" t="inlineStr">
        <is>
          <t>[기재정정]주주총회소집공고</t>
        </is>
      </c>
      <c r="F655" s="3" t="inlineStr">
        <is>
          <t>남해화학</t>
        </is>
      </c>
      <c r="G655" s="2" t="inlineStr">
        <is>
          <t>20260227007715</t>
        </is>
      </c>
      <c r="H655" s="8">
        <f>HYPERLINK("https://dart.fss.or.kr/dsaf001/main.do?rcpNo=20260227007715", "공시열람")</f>
        <v/>
      </c>
    </row>
    <row r="656">
      <c r="A656" s="2" t="inlineStr">
        <is>
          <t>2026-02-27</t>
        </is>
      </c>
      <c r="B656" s="3" t="inlineStr">
        <is>
          <t>에코볼트</t>
        </is>
      </c>
      <c r="C656" s="2" t="inlineStr">
        <is>
          <t>코스닥</t>
        </is>
      </c>
      <c r="D656" s="2" t="inlineStr">
        <is>
          <t>097780</t>
        </is>
      </c>
      <c r="E656" s="3" t="inlineStr">
        <is>
          <t>주주총회소집공고</t>
        </is>
      </c>
      <c r="F656" s="3" t="inlineStr">
        <is>
          <t>에코볼트</t>
        </is>
      </c>
      <c r="G656" s="2" t="inlineStr">
        <is>
          <t>20260227007702</t>
        </is>
      </c>
      <c r="H656" s="8">
        <f>HYPERLINK("https://dart.fss.or.kr/dsaf001/main.do?rcpNo=20260227007702", "공시열람")</f>
        <v/>
      </c>
    </row>
    <row r="657">
      <c r="A657" s="2" t="inlineStr">
        <is>
          <t>2026-02-27 (정정: 2026-03-18)</t>
        </is>
      </c>
      <c r="B657" s="3" t="inlineStr">
        <is>
          <t>삼양홀딩스</t>
        </is>
      </c>
      <c r="C657" s="2" t="inlineStr">
        <is>
          <t>코스피</t>
        </is>
      </c>
      <c r="D657" s="2" t="inlineStr">
        <is>
          <t>000070</t>
        </is>
      </c>
      <c r="E657" s="3" t="inlineStr">
        <is>
          <t>주주총회소집공고 (정정: 20260318)</t>
        </is>
      </c>
      <c r="F657" s="3" t="inlineStr">
        <is>
          <t>삼양홀딩스</t>
        </is>
      </c>
      <c r="G657" s="2" t="inlineStr">
        <is>
          <t>20260318001049</t>
        </is>
      </c>
      <c r="H657" s="8">
        <f>HYPERLINK("https://dart.fss.or.kr/dsaf001/main.do?rcpNo=20260318001049", "공시열람")</f>
        <v/>
      </c>
    </row>
    <row r="658">
      <c r="A658" s="2" t="inlineStr">
        <is>
          <t>2026-02-27</t>
        </is>
      </c>
      <c r="B658" s="3" t="inlineStr">
        <is>
          <t>수젠텍</t>
        </is>
      </c>
      <c r="C658" s="2" t="inlineStr">
        <is>
          <t>코스닥</t>
        </is>
      </c>
      <c r="D658" s="2" t="inlineStr">
        <is>
          <t>253840</t>
        </is>
      </c>
      <c r="E658" s="3" t="inlineStr">
        <is>
          <t>주주총회소집공고</t>
        </is>
      </c>
      <c r="F658" s="3" t="inlineStr">
        <is>
          <t>수젠텍</t>
        </is>
      </c>
      <c r="G658" s="2" t="inlineStr">
        <is>
          <t>20260227007601</t>
        </is>
      </c>
      <c r="H658" s="8">
        <f>HYPERLINK("https://dart.fss.or.kr/dsaf001/main.do?rcpNo=20260227007601", "공시열람")</f>
        <v/>
      </c>
    </row>
    <row r="659">
      <c r="A659" s="2" t="inlineStr">
        <is>
          <t>2026-02-27 (정정: 2026-03-17)</t>
        </is>
      </c>
      <c r="B659" s="3" t="inlineStr">
        <is>
          <t>삼익악기</t>
        </is>
      </c>
      <c r="C659" s="2" t="inlineStr">
        <is>
          <t>코스피</t>
        </is>
      </c>
      <c r="D659" s="2" t="inlineStr">
        <is>
          <t>002450</t>
        </is>
      </c>
      <c r="E659" s="3" t="inlineStr">
        <is>
          <t>주주총회소집공고 (정정: 20260317)</t>
        </is>
      </c>
      <c r="F659" s="3" t="inlineStr">
        <is>
          <t>삼익악기</t>
        </is>
      </c>
      <c r="G659" s="2" t="inlineStr">
        <is>
          <t>20260317000108</t>
        </is>
      </c>
      <c r="H659" s="8">
        <f>HYPERLINK("https://dart.fss.or.kr/dsaf001/main.do?rcpNo=20260317000108", "공시열람")</f>
        <v/>
      </c>
    </row>
    <row r="660">
      <c r="A660" s="2" t="inlineStr">
        <is>
          <t>2026-02-27</t>
        </is>
      </c>
      <c r="B660" s="3" t="inlineStr">
        <is>
          <t>LS머트리얼즈</t>
        </is>
      </c>
      <c r="C660" s="2" t="inlineStr">
        <is>
          <t>코스닥</t>
        </is>
      </c>
      <c r="D660" s="2" t="inlineStr">
        <is>
          <t>417200</t>
        </is>
      </c>
      <c r="E660" s="3" t="inlineStr">
        <is>
          <t>주주총회소집공고</t>
        </is>
      </c>
      <c r="F660" s="3" t="inlineStr">
        <is>
          <t>LS머트리얼즈</t>
        </is>
      </c>
      <c r="G660" s="2" t="inlineStr">
        <is>
          <t>20260227007507</t>
        </is>
      </c>
      <c r="H660" s="8">
        <f>HYPERLINK("https://dart.fss.or.kr/dsaf001/main.do?rcpNo=20260227007507", "공시열람")</f>
        <v/>
      </c>
    </row>
    <row r="661">
      <c r="A661" s="2" t="inlineStr">
        <is>
          <t>2026-02-27</t>
        </is>
      </c>
      <c r="B661" s="3" t="inlineStr">
        <is>
          <t>셀비온</t>
        </is>
      </c>
      <c r="C661" s="2" t="inlineStr">
        <is>
          <t>코스닥</t>
        </is>
      </c>
      <c r="D661" s="2" t="inlineStr">
        <is>
          <t>308430</t>
        </is>
      </c>
      <c r="E661" s="3" t="inlineStr">
        <is>
          <t>주주총회소집공고</t>
        </is>
      </c>
      <c r="F661" s="3" t="inlineStr">
        <is>
          <t>셀비온</t>
        </is>
      </c>
      <c r="G661" s="2" t="inlineStr">
        <is>
          <t>20260227007456</t>
        </is>
      </c>
      <c r="H661" s="8">
        <f>HYPERLINK("https://dart.fss.or.kr/dsaf001/main.do?rcpNo=20260227007456", "공시열람")</f>
        <v/>
      </c>
    </row>
    <row r="662">
      <c r="A662" s="2" t="inlineStr">
        <is>
          <t>2026-02-27</t>
        </is>
      </c>
      <c r="B662" s="3" t="inlineStr">
        <is>
          <t>한국가구</t>
        </is>
      </c>
      <c r="C662" s="2" t="inlineStr">
        <is>
          <t>코스닥</t>
        </is>
      </c>
      <c r="D662" s="2" t="inlineStr">
        <is>
          <t>004590</t>
        </is>
      </c>
      <c r="E662" s="3" t="inlineStr">
        <is>
          <t>주주총회소집공고</t>
        </is>
      </c>
      <c r="F662" s="3" t="inlineStr">
        <is>
          <t>한국가구</t>
        </is>
      </c>
      <c r="G662" s="2" t="inlineStr">
        <is>
          <t>20260227007394</t>
        </is>
      </c>
      <c r="H662" s="8">
        <f>HYPERLINK("https://dart.fss.or.kr/dsaf001/main.do?rcpNo=20260227007394", "공시열람")</f>
        <v/>
      </c>
    </row>
    <row r="663">
      <c r="A663" s="2" t="inlineStr">
        <is>
          <t>2026-02-27</t>
        </is>
      </c>
      <c r="B663" s="3" t="inlineStr">
        <is>
          <t>신라섬유</t>
        </is>
      </c>
      <c r="C663" s="2" t="inlineStr">
        <is>
          <t>코스닥</t>
        </is>
      </c>
      <c r="D663" s="2" t="inlineStr">
        <is>
          <t>001000</t>
        </is>
      </c>
      <c r="E663" s="3" t="inlineStr">
        <is>
          <t>주주총회소집공고</t>
        </is>
      </c>
      <c r="F663" s="3" t="inlineStr">
        <is>
          <t>신라섬유</t>
        </is>
      </c>
      <c r="G663" s="2" t="inlineStr">
        <is>
          <t>20260227007382</t>
        </is>
      </c>
      <c r="H663" s="8">
        <f>HYPERLINK("https://dart.fss.or.kr/dsaf001/main.do?rcpNo=20260227007382", "공시열람")</f>
        <v/>
      </c>
    </row>
    <row r="664">
      <c r="A664" s="2" t="inlineStr">
        <is>
          <t>2026-02-27 (정정: 2026-03-04)</t>
        </is>
      </c>
      <c r="B664" s="3" t="inlineStr">
        <is>
          <t>DS단석</t>
        </is>
      </c>
      <c r="C664" s="2" t="inlineStr">
        <is>
          <t>코스피</t>
        </is>
      </c>
      <c r="D664" s="2" t="inlineStr">
        <is>
          <t>017860</t>
        </is>
      </c>
      <c r="E664" s="3" t="inlineStr">
        <is>
          <t>주주총회소집공고 (정정: 20260304) (정정: 20260304)</t>
        </is>
      </c>
      <c r="F664" s="3" t="inlineStr">
        <is>
          <t>DS단석</t>
        </is>
      </c>
      <c r="G664" s="2" t="inlineStr">
        <is>
          <t>20260304800737</t>
        </is>
      </c>
      <c r="H664" s="8">
        <f>HYPERLINK("https://dart.fss.or.kr/dsaf001/main.do?rcpNo=20260304800737", "공시열람")</f>
        <v/>
      </c>
    </row>
    <row r="665">
      <c r="A665" s="2" t="inlineStr">
        <is>
          <t>2026-02-27</t>
        </is>
      </c>
      <c r="B665" s="3" t="inlineStr">
        <is>
          <t>세니젠</t>
        </is>
      </c>
      <c r="C665" s="2" t="inlineStr">
        <is>
          <t>코스닥</t>
        </is>
      </c>
      <c r="D665" s="2" t="inlineStr">
        <is>
          <t>188260</t>
        </is>
      </c>
      <c r="E665" s="3" t="inlineStr">
        <is>
          <t>주주총회소집공고</t>
        </is>
      </c>
      <c r="F665" s="3" t="inlineStr">
        <is>
          <t>세니젠</t>
        </is>
      </c>
      <c r="G665" s="2" t="inlineStr">
        <is>
          <t>20260227007355</t>
        </is>
      </c>
      <c r="H665" s="8">
        <f>HYPERLINK("https://dart.fss.or.kr/dsaf001/main.do?rcpNo=20260227007355", "공시열람")</f>
        <v/>
      </c>
    </row>
    <row r="666">
      <c r="A666" s="2" t="inlineStr">
        <is>
          <t>2026-02-27 (정정: 2026-03-06)</t>
        </is>
      </c>
      <c r="B666" s="3" t="inlineStr">
        <is>
          <t>일정실업</t>
        </is>
      </c>
      <c r="C666" s="2" t="inlineStr">
        <is>
          <t>코스피</t>
        </is>
      </c>
      <c r="D666" s="2" t="inlineStr">
        <is>
          <t>008500</t>
        </is>
      </c>
      <c r="E666" s="3" t="inlineStr">
        <is>
          <t>주주총회소집공고 (정정: 20260306)</t>
        </is>
      </c>
      <c r="F666" s="3" t="inlineStr">
        <is>
          <t>일정실업</t>
        </is>
      </c>
      <c r="G666" s="2" t="inlineStr">
        <is>
          <t>20260306000963</t>
        </is>
      </c>
      <c r="H666" s="8">
        <f>HYPERLINK("https://dart.fss.or.kr/dsaf001/main.do?rcpNo=20260306000963", "공시열람")</f>
        <v/>
      </c>
    </row>
    <row r="667">
      <c r="A667" s="2" t="inlineStr">
        <is>
          <t>2026-02-27 (정정: 2026-03-12)</t>
        </is>
      </c>
      <c r="B667" s="3" t="inlineStr">
        <is>
          <t>엘앤케이바이오</t>
        </is>
      </c>
      <c r="C667" s="2" t="inlineStr">
        <is>
          <t>코스닥</t>
        </is>
      </c>
      <c r="D667" s="2" t="inlineStr">
        <is>
          <t>156100</t>
        </is>
      </c>
      <c r="E667" s="3" t="inlineStr">
        <is>
          <t>주주총회소집공고 (정정: 20260312)</t>
        </is>
      </c>
      <c r="F667" s="3" t="inlineStr">
        <is>
          <t>엘앤케이바이오</t>
        </is>
      </c>
      <c r="G667" s="2" t="inlineStr">
        <is>
          <t>20260312001180</t>
        </is>
      </c>
      <c r="H667" s="8">
        <f>HYPERLINK("https://dart.fss.or.kr/dsaf001/main.do?rcpNo=20260312001180", "공시열람")</f>
        <v/>
      </c>
    </row>
    <row r="668">
      <c r="A668" s="2" t="inlineStr">
        <is>
          <t>2026-02-27</t>
        </is>
      </c>
      <c r="B668" s="3" t="inlineStr">
        <is>
          <t>한국비엔씨</t>
        </is>
      </c>
      <c r="C668" s="2" t="inlineStr">
        <is>
          <t>코스닥</t>
        </is>
      </c>
      <c r="D668" s="2" t="inlineStr">
        <is>
          <t>256840</t>
        </is>
      </c>
      <c r="E668" s="3" t="inlineStr">
        <is>
          <t>주주총회소집공고</t>
        </is>
      </c>
      <c r="F668" s="3" t="inlineStr">
        <is>
          <t>한국비엔씨</t>
        </is>
      </c>
      <c r="G668" s="2" t="inlineStr">
        <is>
          <t>20260227006959</t>
        </is>
      </c>
      <c r="H668" s="8">
        <f>HYPERLINK("https://dart.fss.or.kr/dsaf001/main.do?rcpNo=20260227006959", "공시열람")</f>
        <v/>
      </c>
    </row>
    <row r="669">
      <c r="A669" s="2" t="inlineStr">
        <is>
          <t>2026-02-27</t>
        </is>
      </c>
      <c r="B669" s="3" t="inlineStr">
        <is>
          <t>다이나믹디자인</t>
        </is>
      </c>
      <c r="C669" s="2" t="inlineStr">
        <is>
          <t>코스피</t>
        </is>
      </c>
      <c r="D669" s="2" t="inlineStr">
        <is>
          <t>145210</t>
        </is>
      </c>
      <c r="E669" s="3" t="inlineStr">
        <is>
          <t>주주총회소집공고</t>
        </is>
      </c>
      <c r="F669" s="3" t="inlineStr">
        <is>
          <t>다이나믹디자인</t>
        </is>
      </c>
      <c r="G669" s="2" t="inlineStr">
        <is>
          <t>20260227006757</t>
        </is>
      </c>
      <c r="H669" s="8">
        <f>HYPERLINK("https://dart.fss.or.kr/dsaf001/main.do?rcpNo=20260227006757", "공시열람")</f>
        <v/>
      </c>
    </row>
    <row r="670">
      <c r="A670" s="2" t="inlineStr">
        <is>
          <t>2026-02-27</t>
        </is>
      </c>
      <c r="B670" s="3" t="inlineStr">
        <is>
          <t>S-Oil</t>
        </is>
      </c>
      <c r="C670" s="2" t="inlineStr">
        <is>
          <t>코스피</t>
        </is>
      </c>
      <c r="D670" s="2" t="inlineStr">
        <is>
          <t>010950</t>
        </is>
      </c>
      <c r="E670" s="3" t="inlineStr">
        <is>
          <t>주주총회소집공고</t>
        </is>
      </c>
      <c r="F670" s="3" t="inlineStr">
        <is>
          <t>S-Oil</t>
        </is>
      </c>
      <c r="G670" s="2" t="inlineStr">
        <is>
          <t>20260227006711</t>
        </is>
      </c>
      <c r="H670" s="8">
        <f>HYPERLINK("https://dart.fss.or.kr/dsaf001/main.do?rcpNo=20260227006711", "공시열람")</f>
        <v/>
      </c>
    </row>
    <row r="671">
      <c r="A671" s="2" t="inlineStr">
        <is>
          <t>2026-02-27 (정정: 2026-03-13)</t>
        </is>
      </c>
      <c r="B671" s="3" t="inlineStr">
        <is>
          <t>모나리자</t>
        </is>
      </c>
      <c r="C671" s="2" t="inlineStr">
        <is>
          <t>코스피</t>
        </is>
      </c>
      <c r="D671" s="2" t="inlineStr">
        <is>
          <t>012690</t>
        </is>
      </c>
      <c r="E671" s="3" t="inlineStr">
        <is>
          <t>주주총회소집공고 (정정: 20260313) (정정: 20260313)</t>
        </is>
      </c>
      <c r="F671" s="3" t="inlineStr">
        <is>
          <t>모나리자</t>
        </is>
      </c>
      <c r="G671" s="2" t="inlineStr">
        <is>
          <t>20260313802129</t>
        </is>
      </c>
      <c r="H671" s="8">
        <f>HYPERLINK("https://dart.fss.or.kr/dsaf001/main.do?rcpNo=20260313802129", "공시열람")</f>
        <v/>
      </c>
    </row>
    <row r="672">
      <c r="A672" s="2" t="inlineStr">
        <is>
          <t>2026-02-27</t>
        </is>
      </c>
      <c r="B672" s="3" t="inlineStr">
        <is>
          <t>가온그룹</t>
        </is>
      </c>
      <c r="C672" s="2" t="inlineStr">
        <is>
          <t>코스닥</t>
        </is>
      </c>
      <c r="D672" s="2" t="inlineStr">
        <is>
          <t>078890</t>
        </is>
      </c>
      <c r="E672" s="3" t="inlineStr">
        <is>
          <t>주주총회소집공고</t>
        </is>
      </c>
      <c r="F672" s="3" t="inlineStr">
        <is>
          <t>가온그룹</t>
        </is>
      </c>
      <c r="G672" s="2" t="inlineStr">
        <is>
          <t>20260227006592</t>
        </is>
      </c>
      <c r="H672" s="8">
        <f>HYPERLINK("https://dart.fss.or.kr/dsaf001/main.do?rcpNo=20260227006592", "공시열람")</f>
        <v/>
      </c>
    </row>
    <row r="673">
      <c r="A673" s="2" t="inlineStr">
        <is>
          <t>2026-02-27 (정정: 2026-03-03)</t>
        </is>
      </c>
      <c r="B673" s="3" t="inlineStr">
        <is>
          <t>SK스퀘어</t>
        </is>
      </c>
      <c r="C673" s="2" t="inlineStr">
        <is>
          <t>코스피</t>
        </is>
      </c>
      <c r="D673" s="2" t="inlineStr">
        <is>
          <t>402340</t>
        </is>
      </c>
      <c r="E673" s="3" t="inlineStr">
        <is>
          <t>[기재정정]주주총회소집공고 (정정: 20260303)</t>
        </is>
      </c>
      <c r="F673" s="3" t="inlineStr">
        <is>
          <t>SK스퀘어</t>
        </is>
      </c>
      <c r="G673" s="2" t="inlineStr">
        <is>
          <t>20260303801411</t>
        </is>
      </c>
      <c r="H673" s="8">
        <f>HYPERLINK("https://dart.fss.or.kr/dsaf001/main.do?rcpNo=20260303801411", "공시열람")</f>
        <v/>
      </c>
    </row>
    <row r="674">
      <c r="A674" s="2" t="inlineStr">
        <is>
          <t>2026-02-27</t>
        </is>
      </c>
      <c r="B674" s="3" t="inlineStr">
        <is>
          <t>테스</t>
        </is>
      </c>
      <c r="C674" s="2" t="inlineStr">
        <is>
          <t>코스닥</t>
        </is>
      </c>
      <c r="D674" s="2" t="inlineStr">
        <is>
          <t>095610</t>
        </is>
      </c>
      <c r="E674" s="3" t="inlineStr">
        <is>
          <t>주주총회소집공고</t>
        </is>
      </c>
      <c r="F674" s="3" t="inlineStr">
        <is>
          <t>테스</t>
        </is>
      </c>
      <c r="G674" s="2" t="inlineStr">
        <is>
          <t>20260227006575</t>
        </is>
      </c>
      <c r="H674" s="8">
        <f>HYPERLINK("https://dart.fss.or.kr/dsaf001/main.do?rcpNo=20260227006575", "공시열람")</f>
        <v/>
      </c>
    </row>
    <row r="675">
      <c r="A675" s="2" t="inlineStr">
        <is>
          <t>2026-02-27</t>
        </is>
      </c>
      <c r="B675" s="3" t="inlineStr">
        <is>
          <t>LIG디펜스앤에어로스페이스</t>
        </is>
      </c>
      <c r="C675" s="2" t="inlineStr">
        <is>
          <t>코스피</t>
        </is>
      </c>
      <c r="D675" s="2" t="inlineStr">
        <is>
          <t>079550</t>
        </is>
      </c>
      <c r="E675" s="3" t="inlineStr">
        <is>
          <t>주주총회소집공고</t>
        </is>
      </c>
      <c r="F675" s="3" t="inlineStr">
        <is>
          <t>LIG디펜스앤에어로스페이스</t>
        </is>
      </c>
      <c r="G675" s="2" t="inlineStr">
        <is>
          <t>20260227006218</t>
        </is>
      </c>
      <c r="H675" s="8">
        <f>HYPERLINK("https://dart.fss.or.kr/dsaf001/main.do?rcpNo=20260227006218", "공시열람")</f>
        <v/>
      </c>
    </row>
    <row r="676">
      <c r="A676" s="2" t="inlineStr">
        <is>
          <t>2026-02-27</t>
        </is>
      </c>
      <c r="B676" s="3" t="inlineStr">
        <is>
          <t>디지아이</t>
        </is>
      </c>
      <c r="C676" s="2" t="inlineStr">
        <is>
          <t>코스닥</t>
        </is>
      </c>
      <c r="D676" s="2" t="inlineStr">
        <is>
          <t>043360</t>
        </is>
      </c>
      <c r="E676" s="3" t="inlineStr">
        <is>
          <t>주주총회소집공고</t>
        </is>
      </c>
      <c r="F676" s="3" t="inlineStr">
        <is>
          <t>디지아이</t>
        </is>
      </c>
      <c r="G676" s="2" t="inlineStr">
        <is>
          <t>20260227006185</t>
        </is>
      </c>
      <c r="H676" s="8">
        <f>HYPERLINK("https://dart.fss.or.kr/dsaf001/main.do?rcpNo=20260227006185", "공시열람")</f>
        <v/>
      </c>
    </row>
    <row r="677">
      <c r="A677" s="2" t="inlineStr">
        <is>
          <t>2026-02-27</t>
        </is>
      </c>
      <c r="B677" s="3" t="inlineStr">
        <is>
          <t>강원랜드</t>
        </is>
      </c>
      <c r="C677" s="2" t="inlineStr">
        <is>
          <t>코스피</t>
        </is>
      </c>
      <c r="D677" s="2" t="inlineStr">
        <is>
          <t>035250</t>
        </is>
      </c>
      <c r="E677" s="3" t="inlineStr">
        <is>
          <t>주주총회소집공고</t>
        </is>
      </c>
      <c r="F677" s="3" t="inlineStr">
        <is>
          <t>강원랜드</t>
        </is>
      </c>
      <c r="G677" s="2" t="inlineStr">
        <is>
          <t>20260227006101</t>
        </is>
      </c>
      <c r="H677" s="8">
        <f>HYPERLINK("https://dart.fss.or.kr/dsaf001/main.do?rcpNo=20260227006101", "공시열람")</f>
        <v/>
      </c>
    </row>
    <row r="678">
      <c r="A678" s="2" t="inlineStr">
        <is>
          <t>2026-02-27</t>
        </is>
      </c>
      <c r="B678" s="3" t="inlineStr">
        <is>
          <t>투비소프트</t>
        </is>
      </c>
      <c r="C678" s="2" t="inlineStr">
        <is>
          <t>코스닥</t>
        </is>
      </c>
      <c r="D678" s="2" t="inlineStr">
        <is>
          <t>079970</t>
        </is>
      </c>
      <c r="E678" s="3" t="inlineStr">
        <is>
          <t>주주총회소집공고</t>
        </is>
      </c>
      <c r="F678" s="3" t="inlineStr">
        <is>
          <t>투비소프트</t>
        </is>
      </c>
      <c r="G678" s="2" t="inlineStr">
        <is>
          <t>20260227005782</t>
        </is>
      </c>
      <c r="H678" s="8">
        <f>HYPERLINK("https://dart.fss.or.kr/dsaf001/main.do?rcpNo=20260227005782", "공시열람")</f>
        <v/>
      </c>
    </row>
    <row r="679">
      <c r="A679" s="2" t="inlineStr">
        <is>
          <t>2026-02-27</t>
        </is>
      </c>
      <c r="B679" s="3" t="inlineStr">
        <is>
          <t>앱클론</t>
        </is>
      </c>
      <c r="C679" s="2" t="inlineStr">
        <is>
          <t>코스닥</t>
        </is>
      </c>
      <c r="D679" s="2" t="inlineStr">
        <is>
          <t>174900</t>
        </is>
      </c>
      <c r="E679" s="3" t="inlineStr">
        <is>
          <t>주주총회소집공고</t>
        </is>
      </c>
      <c r="F679" s="3" t="inlineStr">
        <is>
          <t>앱클론</t>
        </is>
      </c>
      <c r="G679" s="2" t="inlineStr">
        <is>
          <t>20260227005778</t>
        </is>
      </c>
      <c r="H679" s="8">
        <f>HYPERLINK("https://dart.fss.or.kr/dsaf001/main.do?rcpNo=20260227005778", "공시열람")</f>
        <v/>
      </c>
    </row>
    <row r="680">
      <c r="A680" s="2" t="inlineStr">
        <is>
          <t>2026-02-27</t>
        </is>
      </c>
      <c r="B680" s="3" t="inlineStr">
        <is>
          <t>HD현대중공업</t>
        </is>
      </c>
      <c r="C680" s="2" t="inlineStr">
        <is>
          <t>코스피</t>
        </is>
      </c>
      <c r="D680" s="2" t="inlineStr">
        <is>
          <t>329180</t>
        </is>
      </c>
      <c r="E680" s="3" t="inlineStr">
        <is>
          <t>주주총회소집공고</t>
        </is>
      </c>
      <c r="F680" s="3" t="inlineStr">
        <is>
          <t>HD현대중공업</t>
        </is>
      </c>
      <c r="G680" s="2" t="inlineStr">
        <is>
          <t>20260227005715</t>
        </is>
      </c>
      <c r="H680" s="8">
        <f>HYPERLINK("https://dart.fss.or.kr/dsaf001/main.do?rcpNo=20260227005715", "공시열람")</f>
        <v/>
      </c>
    </row>
    <row r="681">
      <c r="A681" s="2" t="inlineStr">
        <is>
          <t>2026-02-27</t>
        </is>
      </c>
      <c r="B681" s="3" t="inlineStr">
        <is>
          <t>휴비스</t>
        </is>
      </c>
      <c r="C681" s="2" t="inlineStr">
        <is>
          <t>코스피</t>
        </is>
      </c>
      <c r="D681" s="2" t="inlineStr">
        <is>
          <t>079980</t>
        </is>
      </c>
      <c r="E681" s="3" t="inlineStr">
        <is>
          <t>주주총회소집공고</t>
        </is>
      </c>
      <c r="F681" s="3" t="inlineStr">
        <is>
          <t>휴비스</t>
        </is>
      </c>
      <c r="G681" s="2" t="inlineStr">
        <is>
          <t>20260227005695</t>
        </is>
      </c>
      <c r="H681" s="8">
        <f>HYPERLINK("https://dart.fss.or.kr/dsaf001/main.do?rcpNo=20260227005695", "공시열람")</f>
        <v/>
      </c>
    </row>
    <row r="682">
      <c r="A682" s="2" t="inlineStr">
        <is>
          <t>2026-02-27</t>
        </is>
      </c>
      <c r="B682" s="3" t="inlineStr">
        <is>
          <t>도화엔지니어링</t>
        </is>
      </c>
      <c r="C682" s="2" t="inlineStr">
        <is>
          <t>코스피</t>
        </is>
      </c>
      <c r="D682" s="2" t="inlineStr">
        <is>
          <t>002150</t>
        </is>
      </c>
      <c r="E682" s="3" t="inlineStr">
        <is>
          <t>주주총회소집공고</t>
        </is>
      </c>
      <c r="F682" s="3" t="inlineStr">
        <is>
          <t>도화엔지니어링</t>
        </is>
      </c>
      <c r="G682" s="2" t="inlineStr">
        <is>
          <t>20260227004924</t>
        </is>
      </c>
      <c r="H682" s="8">
        <f>HYPERLINK("https://dart.fss.or.kr/dsaf001/main.do?rcpNo=20260227004924", "공시열람")</f>
        <v/>
      </c>
    </row>
    <row r="683">
      <c r="A683" s="2" t="inlineStr">
        <is>
          <t>2026-02-27 (정정: 2026-03-23)</t>
        </is>
      </c>
      <c r="B683" s="3" t="inlineStr">
        <is>
          <t>에이엘티</t>
        </is>
      </c>
      <c r="C683" s="2" t="inlineStr">
        <is>
          <t>코스닥</t>
        </is>
      </c>
      <c r="D683" s="2" t="inlineStr">
        <is>
          <t>172670</t>
        </is>
      </c>
      <c r="E683" s="3" t="inlineStr">
        <is>
          <t>주주총회소집공고 (정정: 20260323)</t>
        </is>
      </c>
      <c r="F683" s="3" t="inlineStr">
        <is>
          <t>에이엘티</t>
        </is>
      </c>
      <c r="G683" s="2" t="inlineStr">
        <is>
          <t>20260323000782</t>
        </is>
      </c>
      <c r="H683" s="8">
        <f>HYPERLINK("https://dart.fss.or.kr/dsaf001/main.do?rcpNo=20260323000782", "공시열람")</f>
        <v/>
      </c>
    </row>
    <row r="684">
      <c r="A684" s="2" t="inlineStr">
        <is>
          <t>2026-02-27</t>
        </is>
      </c>
      <c r="B684" s="3" t="inlineStr">
        <is>
          <t>켐트로닉스</t>
        </is>
      </c>
      <c r="C684" s="2" t="inlineStr">
        <is>
          <t>코스닥</t>
        </is>
      </c>
      <c r="D684" s="2" t="inlineStr">
        <is>
          <t>089010</t>
        </is>
      </c>
      <c r="E684" s="3" t="inlineStr">
        <is>
          <t>주주총회소집공고</t>
        </is>
      </c>
      <c r="F684" s="3" t="inlineStr">
        <is>
          <t>켐트로닉스</t>
        </is>
      </c>
      <c r="G684" s="2" t="inlineStr">
        <is>
          <t>20260227004188</t>
        </is>
      </c>
      <c r="H684" s="8">
        <f>HYPERLINK("https://dart.fss.or.kr/dsaf001/main.do?rcpNo=20260227004188", "공시열람")</f>
        <v/>
      </c>
    </row>
    <row r="685">
      <c r="A685" s="2" t="inlineStr">
        <is>
          <t>2026-02-27 (정정: 2026-03-04)</t>
        </is>
      </c>
      <c r="B685" s="3" t="inlineStr">
        <is>
          <t>셀바스AI</t>
        </is>
      </c>
      <c r="C685" s="2" t="inlineStr">
        <is>
          <t>코스닥</t>
        </is>
      </c>
      <c r="D685" s="2" t="inlineStr">
        <is>
          <t>108860</t>
        </is>
      </c>
      <c r="E685" s="3" t="inlineStr">
        <is>
          <t>주주총회소집공고 (정정: 20260304)</t>
        </is>
      </c>
      <c r="F685" s="3" t="inlineStr">
        <is>
          <t>셀바스AI</t>
        </is>
      </c>
      <c r="G685" s="2" t="inlineStr">
        <is>
          <t>20260304901466</t>
        </is>
      </c>
      <c r="H685" s="8">
        <f>HYPERLINK("https://dart.fss.or.kr/dsaf001/main.do?rcpNo=20260304901466", "공시열람")</f>
        <v/>
      </c>
    </row>
    <row r="686">
      <c r="A686" s="2" t="inlineStr">
        <is>
          <t>2026-02-27</t>
        </is>
      </c>
      <c r="B686" s="3" t="inlineStr">
        <is>
          <t>크린앤사이언스</t>
        </is>
      </c>
      <c r="C686" s="2" t="inlineStr">
        <is>
          <t>코스닥</t>
        </is>
      </c>
      <c r="D686" s="2" t="inlineStr">
        <is>
          <t>045520</t>
        </is>
      </c>
      <c r="E686" s="3" t="inlineStr">
        <is>
          <t>주주총회소집공고</t>
        </is>
      </c>
      <c r="F686" s="3" t="inlineStr">
        <is>
          <t>크린앤사이언스</t>
        </is>
      </c>
      <c r="G686" s="2" t="inlineStr">
        <is>
          <t>20260227003523</t>
        </is>
      </c>
      <c r="H686" s="8">
        <f>HYPERLINK("https://dart.fss.or.kr/dsaf001/main.do?rcpNo=20260227003523", "공시열람")</f>
        <v/>
      </c>
    </row>
    <row r="687">
      <c r="A687" s="2" t="inlineStr">
        <is>
          <t>2026-02-27</t>
        </is>
      </c>
      <c r="B687" s="3" t="inlineStr">
        <is>
          <t>에이피알</t>
        </is>
      </c>
      <c r="C687" s="2" t="inlineStr">
        <is>
          <t>코스피</t>
        </is>
      </c>
      <c r="D687" s="2" t="inlineStr">
        <is>
          <t>278470</t>
        </is>
      </c>
      <c r="E687" s="3" t="inlineStr">
        <is>
          <t>주주총회소집공고</t>
        </is>
      </c>
      <c r="F687" s="3" t="inlineStr">
        <is>
          <t>에이피알</t>
        </is>
      </c>
      <c r="G687" s="2" t="inlineStr">
        <is>
          <t>20260227003494</t>
        </is>
      </c>
      <c r="H687" s="8">
        <f>HYPERLINK("https://dart.fss.or.kr/dsaf001/main.do?rcpNo=20260227003494", "공시열람")</f>
        <v/>
      </c>
    </row>
    <row r="688">
      <c r="A688" s="2" t="inlineStr">
        <is>
          <t>2026-02-27</t>
        </is>
      </c>
      <c r="B688" s="3" t="inlineStr">
        <is>
          <t>일신바이오</t>
        </is>
      </c>
      <c r="C688" s="2" t="inlineStr">
        <is>
          <t>코스닥</t>
        </is>
      </c>
      <c r="D688" s="2" t="inlineStr">
        <is>
          <t>068330</t>
        </is>
      </c>
      <c r="E688" s="3" t="inlineStr">
        <is>
          <t>주주총회소집공고</t>
        </is>
      </c>
      <c r="F688" s="3" t="inlineStr">
        <is>
          <t>일신바이오</t>
        </is>
      </c>
      <c r="G688" s="2" t="inlineStr">
        <is>
          <t>20260227003072</t>
        </is>
      </c>
      <c r="H688" s="8">
        <f>HYPERLINK("https://dart.fss.or.kr/dsaf001/main.do?rcpNo=20260227003072", "공시열람")</f>
        <v/>
      </c>
    </row>
    <row r="689">
      <c r="A689" s="2" t="inlineStr">
        <is>
          <t>2026-02-27</t>
        </is>
      </c>
      <c r="B689" s="3" t="inlineStr">
        <is>
          <t>에이치엔에스하이텍</t>
        </is>
      </c>
      <c r="C689" s="2" t="inlineStr">
        <is>
          <t>코스닥</t>
        </is>
      </c>
      <c r="D689" s="2" t="inlineStr">
        <is>
          <t>044990</t>
        </is>
      </c>
      <c r="E689" s="3" t="inlineStr">
        <is>
          <t>주주총회소집공고</t>
        </is>
      </c>
      <c r="F689" s="3" t="inlineStr">
        <is>
          <t>에이치엔에스하이텍</t>
        </is>
      </c>
      <c r="G689" s="2" t="inlineStr">
        <is>
          <t>20260227002074</t>
        </is>
      </c>
      <c r="H689" s="8">
        <f>HYPERLINK("https://dart.fss.or.kr/dsaf001/main.do?rcpNo=20260227002074", "공시열람")</f>
        <v/>
      </c>
    </row>
    <row r="690">
      <c r="A690" s="2" t="inlineStr">
        <is>
          <t>2026-02-27</t>
        </is>
      </c>
      <c r="B690" s="3" t="inlineStr">
        <is>
          <t>비엔케이제3호스팩</t>
        </is>
      </c>
      <c r="C690" s="2" t="inlineStr">
        <is>
          <t>코스닥</t>
        </is>
      </c>
      <c r="D690" s="2" t="inlineStr">
        <is>
          <t>0068Y0</t>
        </is>
      </c>
      <c r="E690" s="3" t="inlineStr">
        <is>
          <t>주주총회소집공고</t>
        </is>
      </c>
      <c r="F690" s="3" t="inlineStr">
        <is>
          <t>비엔케이제3호스팩</t>
        </is>
      </c>
      <c r="G690" s="2" t="inlineStr">
        <is>
          <t>20260227001373</t>
        </is>
      </c>
      <c r="H690" s="8">
        <f>HYPERLINK("https://dart.fss.or.kr/dsaf001/main.do?rcpNo=20260227001373", "공시열람")</f>
        <v/>
      </c>
    </row>
    <row r="691">
      <c r="A691" s="2" t="inlineStr">
        <is>
          <t>2026-02-27</t>
        </is>
      </c>
      <c r="B691" s="3" t="inlineStr">
        <is>
          <t>팜스코</t>
        </is>
      </c>
      <c r="C691" s="2" t="inlineStr">
        <is>
          <t>코스피</t>
        </is>
      </c>
      <c r="D691" s="2" t="inlineStr">
        <is>
          <t>036580</t>
        </is>
      </c>
      <c r="E691" s="3" t="inlineStr">
        <is>
          <t>주주총회소집공고</t>
        </is>
      </c>
      <c r="F691" s="3" t="inlineStr">
        <is>
          <t>팜스코</t>
        </is>
      </c>
      <c r="G691" s="2" t="inlineStr">
        <is>
          <t>20260227001360</t>
        </is>
      </c>
      <c r="H691" s="8">
        <f>HYPERLINK("https://dart.fss.or.kr/dsaf001/main.do?rcpNo=20260227001360", "공시열람")</f>
        <v/>
      </c>
    </row>
    <row r="692">
      <c r="A692" s="2" t="inlineStr">
        <is>
          <t>2026-02-27</t>
        </is>
      </c>
      <c r="B692" s="3" t="inlineStr">
        <is>
          <t>미래에셋비전스팩11호</t>
        </is>
      </c>
      <c r="C692" s="2" t="inlineStr">
        <is>
          <t>코스닥</t>
        </is>
      </c>
      <c r="D692" s="2" t="inlineStr">
        <is>
          <t>0099W0</t>
        </is>
      </c>
      <c r="E692" s="3" t="inlineStr">
        <is>
          <t>주주총회소집공고</t>
        </is>
      </c>
      <c r="F692" s="3" t="inlineStr">
        <is>
          <t>미래에셋비전스팩11호</t>
        </is>
      </c>
      <c r="G692" s="2" t="inlineStr">
        <is>
          <t>20260227001338</t>
        </is>
      </c>
      <c r="H692" s="8">
        <f>HYPERLINK("https://dart.fss.or.kr/dsaf001/main.do?rcpNo=20260227001338", "공시열람")</f>
        <v/>
      </c>
    </row>
    <row r="693">
      <c r="A693" s="2" t="inlineStr">
        <is>
          <t>2026-02-27</t>
        </is>
      </c>
      <c r="B693" s="3" t="inlineStr">
        <is>
          <t>아이컴포넌트</t>
        </is>
      </c>
      <c r="C693" s="2" t="inlineStr">
        <is>
          <t>코스닥</t>
        </is>
      </c>
      <c r="D693" s="2" t="inlineStr">
        <is>
          <t>059100</t>
        </is>
      </c>
      <c r="E693" s="3" t="inlineStr">
        <is>
          <t>주주총회소집공고</t>
        </is>
      </c>
      <c r="F693" s="3" t="inlineStr">
        <is>
          <t>아이컴포넌트</t>
        </is>
      </c>
      <c r="G693" s="2" t="inlineStr">
        <is>
          <t>20260227000400</t>
        </is>
      </c>
      <c r="H693" s="8">
        <f>HYPERLINK("https://dart.fss.or.kr/dsaf001/main.do?rcpNo=20260227000400", "공시열람")</f>
        <v/>
      </c>
    </row>
    <row r="694">
      <c r="A694" s="2" t="inlineStr">
        <is>
          <t>2026-02-27</t>
        </is>
      </c>
      <c r="B694" s="3" t="inlineStr">
        <is>
          <t>스틱인베스트먼트</t>
        </is>
      </c>
      <c r="C694" s="2" t="inlineStr">
        <is>
          <t>코스피</t>
        </is>
      </c>
      <c r="D694" s="2" t="inlineStr">
        <is>
          <t>026890</t>
        </is>
      </c>
      <c r="E694" s="3" t="inlineStr">
        <is>
          <t>주주총회소집공고</t>
        </is>
      </c>
      <c r="F694" s="3" t="inlineStr">
        <is>
          <t>스틱인베스트먼트</t>
        </is>
      </c>
      <c r="G694" s="2" t="inlineStr">
        <is>
          <t>20260226007228</t>
        </is>
      </c>
      <c r="H694" s="8">
        <f>HYPERLINK("https://dart.fss.or.kr/dsaf001/main.do?rcpNo=20260226007228", "공시열람")</f>
        <v/>
      </c>
    </row>
    <row r="695">
      <c r="A695" s="2" t="inlineStr">
        <is>
          <t>2026-03-03 (정정: 2026-03-03)</t>
        </is>
      </c>
      <c r="B695" s="3" t="inlineStr">
        <is>
          <t>하나투어</t>
        </is>
      </c>
      <c r="C695" s="2" t="inlineStr">
        <is>
          <t>코스피</t>
        </is>
      </c>
      <c r="D695" s="2" t="inlineStr">
        <is>
          <t>039130</t>
        </is>
      </c>
      <c r="E695" s="3" t="inlineStr">
        <is>
          <t>주주총회소집결의               (정정: 20260303)</t>
        </is>
      </c>
      <c r="F695" s="3" t="inlineStr">
        <is>
          <t>하나투어</t>
        </is>
      </c>
      <c r="G695" s="2" t="inlineStr">
        <is>
          <t>20260303801348</t>
        </is>
      </c>
      <c r="H695" s="8">
        <f>HYPERLINK("https://dart.fss.or.kr/dsaf001/main.do?rcpNo=20260303801348", "공시열람")</f>
        <v/>
      </c>
    </row>
    <row r="696">
      <c r="A696" s="2" t="inlineStr">
        <is>
          <t>2026-03-03</t>
        </is>
      </c>
      <c r="B696" s="3" t="inlineStr">
        <is>
          <t>레이저쎌</t>
        </is>
      </c>
      <c r="C696" s="2" t="inlineStr">
        <is>
          <t>코스닥</t>
        </is>
      </c>
      <c r="D696" s="2" t="inlineStr">
        <is>
          <t>412350</t>
        </is>
      </c>
      <c r="E696" s="3" t="inlineStr">
        <is>
          <t xml:space="preserve">주주총회소집결의              </t>
        </is>
      </c>
      <c r="F696" s="3" t="inlineStr">
        <is>
          <t>레이저쎌</t>
        </is>
      </c>
      <c r="G696" s="2" t="inlineStr">
        <is>
          <t>20260303901434</t>
        </is>
      </c>
      <c r="H696" s="8">
        <f>HYPERLINK("https://dart.fss.or.kr/dsaf001/main.do?rcpNo=20260303901434", "공시열람")</f>
        <v/>
      </c>
    </row>
    <row r="697">
      <c r="A697" s="2" t="inlineStr">
        <is>
          <t>2026-03-03</t>
        </is>
      </c>
      <c r="B697" s="3" t="inlineStr">
        <is>
          <t>리튬포어스</t>
        </is>
      </c>
      <c r="C697" s="2" t="inlineStr">
        <is>
          <t>코스닥</t>
        </is>
      </c>
      <c r="D697" s="2" t="inlineStr">
        <is>
          <t>073570</t>
        </is>
      </c>
      <c r="E697" s="3" t="inlineStr">
        <is>
          <t xml:space="preserve">주주총회소집결의              </t>
        </is>
      </c>
      <c r="F697" s="3" t="inlineStr">
        <is>
          <t>리튬포어스</t>
        </is>
      </c>
      <c r="G697" s="2" t="inlineStr">
        <is>
          <t>20260303901337</t>
        </is>
      </c>
      <c r="H697" s="8">
        <f>HYPERLINK("https://dart.fss.or.kr/dsaf001/main.do?rcpNo=20260303901337", "공시열람")</f>
        <v/>
      </c>
    </row>
    <row r="698">
      <c r="A698" s="2" t="inlineStr">
        <is>
          <t>2026-02-19 (정정: 2026-03-03)</t>
        </is>
      </c>
      <c r="B698" s="3" t="inlineStr">
        <is>
          <t>우성</t>
        </is>
      </c>
      <c r="C698" s="2" t="inlineStr">
        <is>
          <t>코스피</t>
        </is>
      </c>
      <c r="D698" s="2" t="inlineStr">
        <is>
          <t>006980</t>
        </is>
      </c>
      <c r="E698" s="3" t="inlineStr">
        <is>
          <t xml:space="preserve">[기재정정]주주총회소집결의              </t>
        </is>
      </c>
      <c r="F698" s="3" t="inlineStr">
        <is>
          <t>우성</t>
        </is>
      </c>
      <c r="G698" s="2" t="inlineStr">
        <is>
          <t>20260303801309</t>
        </is>
      </c>
      <c r="H698" s="8">
        <f>HYPERLINK("https://dart.fss.or.kr/dsaf001/main.do?rcpNo=20260303801309", "공시열람")</f>
        <v/>
      </c>
    </row>
    <row r="699">
      <c r="A699" s="2" t="inlineStr">
        <is>
          <t>2026-03-03</t>
        </is>
      </c>
      <c r="B699" s="3" t="inlineStr">
        <is>
          <t>다올투자증권</t>
        </is>
      </c>
      <c r="C699" s="2" t="inlineStr">
        <is>
          <t>코스피</t>
        </is>
      </c>
      <c r="D699" s="2" t="inlineStr">
        <is>
          <t>030210</t>
        </is>
      </c>
      <c r="E699" s="3" t="inlineStr">
        <is>
          <t xml:space="preserve">주주총회소집결의              </t>
        </is>
      </c>
      <c r="F699" s="3" t="inlineStr">
        <is>
          <t>다올투자증권</t>
        </is>
      </c>
      <c r="G699" s="2" t="inlineStr">
        <is>
          <t>20260303801290</t>
        </is>
      </c>
      <c r="H699" s="8">
        <f>HYPERLINK("https://dart.fss.or.kr/dsaf001/main.do?rcpNo=20260303801290", "공시열람")</f>
        <v/>
      </c>
    </row>
    <row r="700">
      <c r="A700" s="2" t="inlineStr">
        <is>
          <t>2026-02-12 (정정: 2026-03-03)</t>
        </is>
      </c>
      <c r="B700" s="3" t="inlineStr">
        <is>
          <t>퍼시스</t>
        </is>
      </c>
      <c r="C700" s="2" t="inlineStr">
        <is>
          <t>코스피</t>
        </is>
      </c>
      <c r="D700" s="2" t="inlineStr">
        <is>
          <t>016800</t>
        </is>
      </c>
      <c r="E700" s="3" t="inlineStr">
        <is>
          <t xml:space="preserve">[기재정정]주주총회소집결의              </t>
        </is>
      </c>
      <c r="F700" s="3" t="inlineStr">
        <is>
          <t>퍼시스</t>
        </is>
      </c>
      <c r="G700" s="2" t="inlineStr">
        <is>
          <t>20260303801313</t>
        </is>
      </c>
      <c r="H700" s="8">
        <f>HYPERLINK("https://dart.fss.or.kr/dsaf001/main.do?rcpNo=20260303801313", "공시열람")</f>
        <v/>
      </c>
    </row>
    <row r="701">
      <c r="A701" s="2" t="inlineStr">
        <is>
          <t>2026-03-03</t>
        </is>
      </c>
      <c r="B701" s="3" t="inlineStr">
        <is>
          <t>다올투자증권</t>
        </is>
      </c>
      <c r="C701" s="2" t="inlineStr">
        <is>
          <t>코스피</t>
        </is>
      </c>
      <c r="D701" s="2" t="inlineStr">
        <is>
          <t>030210</t>
        </is>
      </c>
      <c r="E701" s="3" t="inlineStr">
        <is>
          <t>주주총회소집공고</t>
        </is>
      </c>
      <c r="F701" s="3" t="inlineStr">
        <is>
          <t>다올투자증권</t>
        </is>
      </c>
      <c r="G701" s="2" t="inlineStr">
        <is>
          <t>20260303003272</t>
        </is>
      </c>
      <c r="H701" s="8">
        <f>HYPERLINK("https://dart.fss.or.kr/dsaf001/main.do?rcpNo=20260303003272", "공시열람")</f>
        <v/>
      </c>
    </row>
    <row r="702">
      <c r="A702" s="2" t="inlineStr">
        <is>
          <t>2026-03-03</t>
        </is>
      </c>
      <c r="B702" s="3" t="inlineStr">
        <is>
          <t>레이저쎌</t>
        </is>
      </c>
      <c r="C702" s="2" t="inlineStr">
        <is>
          <t>코스닥</t>
        </is>
      </c>
      <c r="D702" s="2" t="inlineStr">
        <is>
          <t>412350</t>
        </is>
      </c>
      <c r="E702" s="3" t="inlineStr">
        <is>
          <t>주주총회소집공고</t>
        </is>
      </c>
      <c r="F702" s="3" t="inlineStr">
        <is>
          <t>레이저쎌</t>
        </is>
      </c>
      <c r="G702" s="2" t="inlineStr">
        <is>
          <t>20260303003267</t>
        </is>
      </c>
      <c r="H702" s="8">
        <f>HYPERLINK("https://dart.fss.or.kr/dsaf001/main.do?rcpNo=20260303003267", "공시열람")</f>
        <v/>
      </c>
    </row>
    <row r="703">
      <c r="A703" s="2" t="inlineStr">
        <is>
          <t>2026-03-03</t>
        </is>
      </c>
      <c r="B703" s="3" t="inlineStr">
        <is>
          <t>신한지주</t>
        </is>
      </c>
      <c r="C703" s="2" t="inlineStr">
        <is>
          <t>코스피</t>
        </is>
      </c>
      <c r="D703" s="2" t="inlineStr">
        <is>
          <t>055550</t>
        </is>
      </c>
      <c r="E703" s="3" t="inlineStr">
        <is>
          <t>주주총회소집공고</t>
        </is>
      </c>
      <c r="F703" s="3" t="inlineStr">
        <is>
          <t>신한지주</t>
        </is>
      </c>
      <c r="G703" s="2" t="inlineStr">
        <is>
          <t>20260303003230</t>
        </is>
      </c>
      <c r="H703" s="8">
        <f>HYPERLINK("https://dart.fss.or.kr/dsaf001/main.do?rcpNo=20260303003230", "공시열람")</f>
        <v/>
      </c>
    </row>
    <row r="704">
      <c r="A704" s="2" t="inlineStr">
        <is>
          <t>2026-03-03</t>
        </is>
      </c>
      <c r="B704" s="3" t="inlineStr">
        <is>
          <t>신한지주</t>
        </is>
      </c>
      <c r="C704" s="2" t="inlineStr">
        <is>
          <t>코스피</t>
        </is>
      </c>
      <c r="D704" s="2" t="inlineStr">
        <is>
          <t>055550</t>
        </is>
      </c>
      <c r="E704" s="3" t="inlineStr">
        <is>
          <t xml:space="preserve">주주총회소집결의              </t>
        </is>
      </c>
      <c r="F704" s="3" t="inlineStr">
        <is>
          <t>신한지주</t>
        </is>
      </c>
      <c r="G704" s="2" t="inlineStr">
        <is>
          <t>20260303801241</t>
        </is>
      </c>
      <c r="H704" s="8">
        <f>HYPERLINK("https://dart.fss.or.kr/dsaf001/main.do?rcpNo=20260303801241", "공시열람")</f>
        <v/>
      </c>
    </row>
    <row r="705">
      <c r="A705" s="2" t="inlineStr">
        <is>
          <t>2026-03-03</t>
        </is>
      </c>
      <c r="B705" s="3" t="inlineStr">
        <is>
          <t>SGC E&amp;C</t>
        </is>
      </c>
      <c r="C705" s="2" t="inlineStr">
        <is>
          <t>코스닥</t>
        </is>
      </c>
      <c r="D705" s="2" t="inlineStr">
        <is>
          <t>016250</t>
        </is>
      </c>
      <c r="E705" s="3" t="inlineStr">
        <is>
          <t>주주총회소집공고</t>
        </is>
      </c>
      <c r="F705" s="3" t="inlineStr">
        <is>
          <t>SGC E&amp;C</t>
        </is>
      </c>
      <c r="G705" s="2" t="inlineStr">
        <is>
          <t>20260303003175</t>
        </is>
      </c>
      <c r="H705" s="8">
        <f>HYPERLINK("https://dart.fss.or.kr/dsaf001/main.do?rcpNo=20260303003175", "공시열람")</f>
        <v/>
      </c>
    </row>
    <row r="706">
      <c r="A706" s="2" t="inlineStr">
        <is>
          <t>2026-03-03</t>
        </is>
      </c>
      <c r="B706" s="3" t="inlineStr">
        <is>
          <t>SGC E&amp;C</t>
        </is>
      </c>
      <c r="C706" s="2" t="inlineStr">
        <is>
          <t>코스닥</t>
        </is>
      </c>
      <c r="D706" s="2" t="inlineStr">
        <is>
          <t>016250</t>
        </is>
      </c>
      <c r="E706" s="3" t="inlineStr">
        <is>
          <t xml:space="preserve">주주총회소집결의              </t>
        </is>
      </c>
      <c r="F706" s="3" t="inlineStr">
        <is>
          <t>SGC E&amp;C</t>
        </is>
      </c>
      <c r="G706" s="2" t="inlineStr">
        <is>
          <t>20260303901296</t>
        </is>
      </c>
      <c r="H706" s="8">
        <f>HYPERLINK("https://dart.fss.or.kr/dsaf001/main.do?rcpNo=20260303901296", "공시열람")</f>
        <v/>
      </c>
    </row>
    <row r="707">
      <c r="A707" s="2" t="inlineStr">
        <is>
          <t>2026-03-03</t>
        </is>
      </c>
      <c r="B707" s="3" t="inlineStr">
        <is>
          <t>가비아</t>
        </is>
      </c>
      <c r="C707" s="2" t="inlineStr">
        <is>
          <t>코스닥</t>
        </is>
      </c>
      <c r="D707" s="2" t="inlineStr">
        <is>
          <t>079940</t>
        </is>
      </c>
      <c r="E707" s="3" t="inlineStr">
        <is>
          <t>소송등의제기ㆍ신청(경영권분쟁소송)              (의안상정 가처분)</t>
        </is>
      </c>
      <c r="F707" s="3" t="inlineStr">
        <is>
          <t>가비아</t>
        </is>
      </c>
      <c r="G707" s="2" t="inlineStr">
        <is>
          <t>20260303901286</t>
        </is>
      </c>
      <c r="H707" s="8">
        <f>HYPERLINK("https://dart.fss.or.kr/dsaf001/main.do?rcpNo=20260303901286", "공시열람")</f>
        <v/>
      </c>
    </row>
    <row r="708">
      <c r="A708" s="2" t="inlineStr">
        <is>
          <t>2025-12-23 (정정: 2026-03-03)</t>
        </is>
      </c>
      <c r="B708" s="3" t="inlineStr">
        <is>
          <t>크레버스</t>
        </is>
      </c>
      <c r="C708" s="2" t="inlineStr">
        <is>
          <t>코스닥</t>
        </is>
      </c>
      <c r="D708" s="2" t="inlineStr">
        <is>
          <t>096240</t>
        </is>
      </c>
      <c r="E708" s="3" t="inlineStr">
        <is>
          <t xml:space="preserve">[기재정정]최대주주변경을수반하는주식담보제공계약체결              </t>
        </is>
      </c>
      <c r="F708" s="3" t="inlineStr">
        <is>
          <t>크레버스</t>
        </is>
      </c>
      <c r="G708" s="2" t="inlineStr">
        <is>
          <t>20260303901265</t>
        </is>
      </c>
      <c r="H708" s="8">
        <f>HYPERLINK("https://dart.fss.or.kr/dsaf001/main.do?rcpNo=20260303901265", "공시열람")</f>
        <v/>
      </c>
    </row>
    <row r="709">
      <c r="A709" s="2" t="inlineStr">
        <is>
          <t>2026-03-03</t>
        </is>
      </c>
      <c r="B709" s="3" t="inlineStr">
        <is>
          <t>백금T&amp;A</t>
        </is>
      </c>
      <c r="C709" s="2" t="inlineStr">
        <is>
          <t>코스닥</t>
        </is>
      </c>
      <c r="D709" s="2" t="inlineStr">
        <is>
          <t>046310</t>
        </is>
      </c>
      <c r="E709" s="3" t="inlineStr">
        <is>
          <t>주주총회소집공고</t>
        </is>
      </c>
      <c r="F709" s="3" t="inlineStr">
        <is>
          <t>백금T&amp;A</t>
        </is>
      </c>
      <c r="G709" s="2" t="inlineStr">
        <is>
          <t>20260303003112</t>
        </is>
      </c>
      <c r="H709" s="8">
        <f>HYPERLINK("https://dart.fss.or.kr/dsaf001/main.do?rcpNo=20260303003112", "공시열람")</f>
        <v/>
      </c>
    </row>
    <row r="710">
      <c r="A710" s="2" t="inlineStr">
        <is>
          <t>2026-03-03</t>
        </is>
      </c>
      <c r="B710" s="3" t="inlineStr">
        <is>
          <t>덕신이피씨</t>
        </is>
      </c>
      <c r="C710" s="2" t="inlineStr">
        <is>
          <t>코스닥</t>
        </is>
      </c>
      <c r="D710" s="2" t="inlineStr">
        <is>
          <t>090410</t>
        </is>
      </c>
      <c r="E710" s="3" t="inlineStr">
        <is>
          <t xml:space="preserve">주주총회소집결의              </t>
        </is>
      </c>
      <c r="F710" s="3" t="inlineStr">
        <is>
          <t>덕신이피씨</t>
        </is>
      </c>
      <c r="G710" s="2" t="inlineStr">
        <is>
          <t>20260303901225</t>
        </is>
      </c>
      <c r="H710" s="8">
        <f>HYPERLINK("https://dart.fss.or.kr/dsaf001/main.do?rcpNo=20260303901225", "공시열람")</f>
        <v/>
      </c>
    </row>
    <row r="711">
      <c r="A711" s="2" t="inlineStr">
        <is>
          <t>2026-03-03</t>
        </is>
      </c>
      <c r="B711" s="3" t="inlineStr">
        <is>
          <t>이수화학</t>
        </is>
      </c>
      <c r="C711" s="2" t="inlineStr">
        <is>
          <t>코스피</t>
        </is>
      </c>
      <c r="D711" s="2" t="inlineStr">
        <is>
          <t>005950</t>
        </is>
      </c>
      <c r="E711" s="3" t="inlineStr">
        <is>
          <t xml:space="preserve">주주총회소집결의              </t>
        </is>
      </c>
      <c r="F711" s="3" t="inlineStr">
        <is>
          <t>이수화학</t>
        </is>
      </c>
      <c r="G711" s="2" t="inlineStr">
        <is>
          <t>20260303801226</t>
        </is>
      </c>
      <c r="H711" s="8">
        <f>HYPERLINK("https://dart.fss.or.kr/dsaf001/main.do?rcpNo=20260303801226", "공시열람")</f>
        <v/>
      </c>
    </row>
    <row r="712">
      <c r="A712" s="2" t="inlineStr">
        <is>
          <t>2026-03-03</t>
        </is>
      </c>
      <c r="B712" s="3" t="inlineStr">
        <is>
          <t>백금T&amp;A</t>
        </is>
      </c>
      <c r="C712" s="2" t="inlineStr">
        <is>
          <t>코스닥</t>
        </is>
      </c>
      <c r="D712" s="2" t="inlineStr">
        <is>
          <t>046310</t>
        </is>
      </c>
      <c r="E712" s="3" t="inlineStr">
        <is>
          <t xml:space="preserve">주주총회집중일개최사유신고              </t>
        </is>
      </c>
      <c r="F712" s="3" t="inlineStr">
        <is>
          <t>백금T&amp;A</t>
        </is>
      </c>
      <c r="G712" s="2" t="inlineStr">
        <is>
          <t>20260303901130</t>
        </is>
      </c>
      <c r="H712" s="8">
        <f>HYPERLINK("https://dart.fss.or.kr/dsaf001/main.do?rcpNo=20260303901130", "공시열람")</f>
        <v/>
      </c>
    </row>
    <row r="713">
      <c r="A713" s="2" t="inlineStr">
        <is>
          <t>2026-03-03</t>
        </is>
      </c>
      <c r="B713" s="3" t="inlineStr">
        <is>
          <t>백금T&amp;A</t>
        </is>
      </c>
      <c r="C713" s="2" t="inlineStr">
        <is>
          <t>코스닥</t>
        </is>
      </c>
      <c r="D713" s="2" t="inlineStr">
        <is>
          <t>046310</t>
        </is>
      </c>
      <c r="E713" s="3" t="inlineStr">
        <is>
          <t xml:space="preserve">주주총회소집결의              </t>
        </is>
      </c>
      <c r="F713" s="3" t="inlineStr">
        <is>
          <t>백금T&amp;A</t>
        </is>
      </c>
      <c r="G713" s="2" t="inlineStr">
        <is>
          <t>20260303901273</t>
        </is>
      </c>
      <c r="H713" s="8">
        <f>HYPERLINK("https://dart.fss.or.kr/dsaf001/main.do?rcpNo=20260303901273", "공시열람")</f>
        <v/>
      </c>
    </row>
    <row r="714">
      <c r="A714" s="2" t="inlineStr">
        <is>
          <t>2026-03-03</t>
        </is>
      </c>
      <c r="B714" s="3" t="inlineStr">
        <is>
          <t>동양고속</t>
        </is>
      </c>
      <c r="C714" s="2" t="inlineStr">
        <is>
          <t>코스피</t>
        </is>
      </c>
      <c r="D714" s="2" t="inlineStr">
        <is>
          <t>084670</t>
        </is>
      </c>
      <c r="E714" s="3" t="inlineStr">
        <is>
          <t xml:space="preserve">주주총회소집결의              </t>
        </is>
      </c>
      <c r="F714" s="3" t="inlineStr">
        <is>
          <t>동양고속</t>
        </is>
      </c>
      <c r="G714" s="2" t="inlineStr">
        <is>
          <t>20260303801262</t>
        </is>
      </c>
      <c r="H714" s="8">
        <f>HYPERLINK("https://dart.fss.or.kr/dsaf001/main.do?rcpNo=20260303801262", "공시열람")</f>
        <v/>
      </c>
    </row>
    <row r="715">
      <c r="A715" s="2" t="inlineStr">
        <is>
          <t>2026-03-03 (정정: 2026-03-05)</t>
        </is>
      </c>
      <c r="B715" s="3" t="inlineStr">
        <is>
          <t>덕신이피씨</t>
        </is>
      </c>
      <c r="C715" s="2" t="inlineStr">
        <is>
          <t>코스닥</t>
        </is>
      </c>
      <c r="D715" s="2" t="inlineStr">
        <is>
          <t>090410</t>
        </is>
      </c>
      <c r="E715" s="3" t="inlineStr">
        <is>
          <t>주주총회소집공고 (정정: 20260305)</t>
        </is>
      </c>
      <c r="F715" s="3" t="inlineStr">
        <is>
          <t>덕신이피씨</t>
        </is>
      </c>
      <c r="G715" s="2" t="inlineStr">
        <is>
          <t>20260305001560</t>
        </is>
      </c>
      <c r="H715" s="8">
        <f>HYPERLINK("https://dart.fss.or.kr/dsaf001/main.do?rcpNo=20260305001560", "공시열람")</f>
        <v/>
      </c>
    </row>
    <row r="716">
      <c r="A716" s="2" t="inlineStr">
        <is>
          <t>2026-03-03</t>
        </is>
      </c>
      <c r="B716" s="3" t="inlineStr">
        <is>
          <t>아이티센씨티에스</t>
        </is>
      </c>
      <c r="C716" s="2" t="inlineStr">
        <is>
          <t>코스피</t>
        </is>
      </c>
      <c r="D716" s="2" t="inlineStr">
        <is>
          <t>031820</t>
        </is>
      </c>
      <c r="E716" s="3" t="inlineStr">
        <is>
          <t xml:space="preserve">주주총회소집결의              </t>
        </is>
      </c>
      <c r="F716" s="3" t="inlineStr">
        <is>
          <t>아이티센씨티에스</t>
        </is>
      </c>
      <c r="G716" s="2" t="inlineStr">
        <is>
          <t>20260303801207</t>
        </is>
      </c>
      <c r="H716" s="8">
        <f>HYPERLINK("https://dart.fss.or.kr/dsaf001/main.do?rcpNo=20260303801207", "공시열람")</f>
        <v/>
      </c>
    </row>
    <row r="717">
      <c r="A717" s="2" t="inlineStr">
        <is>
          <t>2026-03-03</t>
        </is>
      </c>
      <c r="B717" s="3" t="inlineStr">
        <is>
          <t>프리티</t>
        </is>
      </c>
      <c r="C717" s="2" t="inlineStr">
        <is>
          <t>코스피</t>
        </is>
      </c>
      <c r="D717" s="2" t="inlineStr">
        <is>
          <t>006490</t>
        </is>
      </c>
      <c r="E717" s="3" t="inlineStr">
        <is>
          <t xml:space="preserve">소송등의제기ㆍ신청(경영권분쟁소송)              </t>
        </is>
      </c>
      <c r="F717" s="3" t="inlineStr">
        <is>
          <t>프리티</t>
        </is>
      </c>
      <c r="G717" s="2" t="inlineStr">
        <is>
          <t>20260303801230</t>
        </is>
      </c>
      <c r="H717" s="8">
        <f>HYPERLINK("https://dart.fss.or.kr/dsaf001/main.do?rcpNo=20260303801230", "공시열람")</f>
        <v/>
      </c>
    </row>
    <row r="718">
      <c r="A718" s="2" t="inlineStr">
        <is>
          <t>2026-03-03 (정정: 2026-03-10)</t>
        </is>
      </c>
      <c r="B718" s="3" t="inlineStr">
        <is>
          <t>지에프아이</t>
        </is>
      </c>
      <c r="C718" s="2" t="inlineStr">
        <is>
          <t>코스닥</t>
        </is>
      </c>
      <c r="D718" s="2" t="inlineStr">
        <is>
          <t>493330</t>
        </is>
      </c>
      <c r="E718" s="3" t="inlineStr">
        <is>
          <t>주주총회집중일개최사유신고               (정정: 20260310)</t>
        </is>
      </c>
      <c r="F718" s="3" t="inlineStr">
        <is>
          <t>지에프아이</t>
        </is>
      </c>
      <c r="G718" s="2" t="inlineStr">
        <is>
          <t>20260310901205</t>
        </is>
      </c>
      <c r="H718" s="8">
        <f>HYPERLINK("https://dart.fss.or.kr/dsaf001/main.do?rcpNo=20260310901205", "공시열람")</f>
        <v/>
      </c>
    </row>
    <row r="719">
      <c r="A719" s="2" t="inlineStr">
        <is>
          <t>2026-03-03</t>
        </is>
      </c>
      <c r="B719" s="3" t="inlineStr">
        <is>
          <t>웰크론한텍</t>
        </is>
      </c>
      <c r="C719" s="2" t="inlineStr">
        <is>
          <t>코스닥</t>
        </is>
      </c>
      <c r="D719" s="2" t="inlineStr">
        <is>
          <t>076080</t>
        </is>
      </c>
      <c r="E719" s="3" t="inlineStr">
        <is>
          <t xml:space="preserve">주주총회집중일개최사유신고              </t>
        </is>
      </c>
      <c r="F719" s="3" t="inlineStr">
        <is>
          <t>웰크론한텍</t>
        </is>
      </c>
      <c r="G719" s="2" t="inlineStr">
        <is>
          <t>20260303900989</t>
        </is>
      </c>
      <c r="H719" s="8">
        <f>HYPERLINK("https://dart.fss.or.kr/dsaf001/main.do?rcpNo=20260303900989", "공시열람")</f>
        <v/>
      </c>
    </row>
    <row r="720">
      <c r="A720" s="2" t="inlineStr">
        <is>
          <t>2026-03-03</t>
        </is>
      </c>
      <c r="B720" s="3" t="inlineStr">
        <is>
          <t>웰크론</t>
        </is>
      </c>
      <c r="C720" s="2" t="inlineStr">
        <is>
          <t>코스닥</t>
        </is>
      </c>
      <c r="D720" s="2" t="inlineStr">
        <is>
          <t>065950</t>
        </is>
      </c>
      <c r="E720" s="3" t="inlineStr">
        <is>
          <t xml:space="preserve">주주총회소집결의              </t>
        </is>
      </c>
      <c r="F720" s="3" t="inlineStr">
        <is>
          <t>웰크론</t>
        </is>
      </c>
      <c r="G720" s="2" t="inlineStr">
        <is>
          <t>20260303901013</t>
        </is>
      </c>
      <c r="H720" s="8">
        <f>HYPERLINK("https://dart.fss.or.kr/dsaf001/main.do?rcpNo=20260303901013", "공시열람")</f>
        <v/>
      </c>
    </row>
    <row r="721">
      <c r="A721" s="2" t="inlineStr">
        <is>
          <t>2026-03-03</t>
        </is>
      </c>
      <c r="B721" s="3" t="inlineStr">
        <is>
          <t>롯데에너지머티리얼즈</t>
        </is>
      </c>
      <c r="C721" s="2" t="inlineStr">
        <is>
          <t>코스피</t>
        </is>
      </c>
      <c r="D721" s="2" t="inlineStr">
        <is>
          <t>020150</t>
        </is>
      </c>
      <c r="E721" s="3" t="inlineStr">
        <is>
          <t>주주총회소집공고</t>
        </is>
      </c>
      <c r="F721" s="3" t="inlineStr">
        <is>
          <t>롯데에너지머티리얼즈</t>
        </is>
      </c>
      <c r="G721" s="2" t="inlineStr">
        <is>
          <t>20260303003004</t>
        </is>
      </c>
      <c r="H721" s="8">
        <f>HYPERLINK("https://dart.fss.or.kr/dsaf001/main.do?rcpNo=20260303003004", "공시열람")</f>
        <v/>
      </c>
    </row>
    <row r="722">
      <c r="A722" s="2" t="inlineStr">
        <is>
          <t>2026-03-03</t>
        </is>
      </c>
      <c r="B722" s="3" t="inlineStr">
        <is>
          <t>쎄노텍</t>
        </is>
      </c>
      <c r="C722" s="2" t="inlineStr">
        <is>
          <t>코스닥</t>
        </is>
      </c>
      <c r="D722" s="2" t="inlineStr">
        <is>
          <t>222420</t>
        </is>
      </c>
      <c r="E722" s="3" t="inlineStr">
        <is>
          <t xml:space="preserve">주주총회소집결의              </t>
        </is>
      </c>
      <c r="F722" s="3" t="inlineStr">
        <is>
          <t>쎄노텍</t>
        </is>
      </c>
      <c r="G722" s="2" t="inlineStr">
        <is>
          <t>20260303901229</t>
        </is>
      </c>
      <c r="H722" s="8">
        <f>HYPERLINK("https://dart.fss.or.kr/dsaf001/main.do?rcpNo=20260303901229", "공시열람")</f>
        <v/>
      </c>
    </row>
    <row r="723">
      <c r="A723" s="2" t="inlineStr">
        <is>
          <t>2026-03-03</t>
        </is>
      </c>
      <c r="B723" s="3" t="inlineStr">
        <is>
          <t>티앤엘</t>
        </is>
      </c>
      <c r="C723" s="2" t="inlineStr">
        <is>
          <t>코스닥</t>
        </is>
      </c>
      <c r="D723" s="2" t="inlineStr">
        <is>
          <t>340570</t>
        </is>
      </c>
      <c r="E723" s="3" t="inlineStr">
        <is>
          <t xml:space="preserve">[기재정정]주주총회소집결의              </t>
        </is>
      </c>
      <c r="F723" s="3" t="inlineStr">
        <is>
          <t>티앤엘</t>
        </is>
      </c>
      <c r="G723" s="2" t="inlineStr">
        <is>
          <t>20260303901148</t>
        </is>
      </c>
      <c r="H723" s="8">
        <f>HYPERLINK("https://dart.fss.or.kr/dsaf001/main.do?rcpNo=20260303901148", "공시열람")</f>
        <v/>
      </c>
    </row>
    <row r="724">
      <c r="A724" s="2" t="inlineStr">
        <is>
          <t>2026-03-03</t>
        </is>
      </c>
      <c r="B724" s="3" t="inlineStr">
        <is>
          <t>지에프아이</t>
        </is>
      </c>
      <c r="C724" s="2" t="inlineStr">
        <is>
          <t>코스닥</t>
        </is>
      </c>
      <c r="D724" s="2" t="inlineStr">
        <is>
          <t>493330</t>
        </is>
      </c>
      <c r="E724" s="3" t="inlineStr">
        <is>
          <t xml:space="preserve">주주총회소집결의              </t>
        </is>
      </c>
      <c r="F724" s="3" t="inlineStr">
        <is>
          <t>지에프아이</t>
        </is>
      </c>
      <c r="G724" s="2" t="inlineStr">
        <is>
          <t>20260303901145</t>
        </is>
      </c>
      <c r="H724" s="8">
        <f>HYPERLINK("https://dart.fss.or.kr/dsaf001/main.do?rcpNo=20260303901145", "공시열람")</f>
        <v/>
      </c>
    </row>
    <row r="725">
      <c r="A725" s="2" t="inlineStr">
        <is>
          <t>2026-03-03 (정정: 2026-03-03)</t>
        </is>
      </c>
      <c r="B725" s="3" t="inlineStr">
        <is>
          <t>롯데에너지머티리얼즈</t>
        </is>
      </c>
      <c r="C725" s="2" t="inlineStr">
        <is>
          <t>코스피</t>
        </is>
      </c>
      <c r="D725" s="2" t="inlineStr">
        <is>
          <t>020150</t>
        </is>
      </c>
      <c r="E725" s="3" t="inlineStr">
        <is>
          <t>주주총회소집결의               (정정: 20260303) (정정: 20260303)</t>
        </is>
      </c>
      <c r="F725" s="3" t="inlineStr">
        <is>
          <t>롯데에너지머티리얼즈</t>
        </is>
      </c>
      <c r="G725" s="2" t="inlineStr">
        <is>
          <t>20260303800792</t>
        </is>
      </c>
      <c r="H725" s="8">
        <f>HYPERLINK("https://dart.fss.or.kr/dsaf001/main.do?rcpNo=20260303800792", "공시열람")</f>
        <v/>
      </c>
    </row>
    <row r="726">
      <c r="A726" s="2" t="inlineStr">
        <is>
          <t>2026-03-03</t>
        </is>
      </c>
      <c r="B726" s="3" t="inlineStr">
        <is>
          <t>한국정보통신</t>
        </is>
      </c>
      <c r="C726" s="2" t="inlineStr">
        <is>
          <t>코스닥</t>
        </is>
      </c>
      <c r="D726" s="2" t="inlineStr">
        <is>
          <t>025770</t>
        </is>
      </c>
      <c r="E726" s="3" t="inlineStr">
        <is>
          <t xml:space="preserve">주주총회소집결의              </t>
        </is>
      </c>
      <c r="F726" s="3" t="inlineStr">
        <is>
          <t>한국정보통신</t>
        </is>
      </c>
      <c r="G726" s="2" t="inlineStr">
        <is>
          <t>20260303901131</t>
        </is>
      </c>
      <c r="H726" s="8">
        <f>HYPERLINK("https://dart.fss.or.kr/dsaf001/main.do?rcpNo=20260303901131", "공시열람")</f>
        <v/>
      </c>
    </row>
    <row r="727">
      <c r="A727" s="2" t="inlineStr">
        <is>
          <t>2026-03-03</t>
        </is>
      </c>
      <c r="B727" s="3" t="inlineStr">
        <is>
          <t>현대해상</t>
        </is>
      </c>
      <c r="C727" s="2" t="inlineStr">
        <is>
          <t>코스피</t>
        </is>
      </c>
      <c r="D727" s="2" t="inlineStr">
        <is>
          <t>001450</t>
        </is>
      </c>
      <c r="E727" s="3" t="inlineStr">
        <is>
          <t>주주총회소집공고</t>
        </is>
      </c>
      <c r="F727" s="3" t="inlineStr">
        <is>
          <t>현대해상</t>
        </is>
      </c>
      <c r="G727" s="2" t="inlineStr">
        <is>
          <t>20260303002978</t>
        </is>
      </c>
      <c r="H727" s="8">
        <f>HYPERLINK("https://dart.fss.or.kr/dsaf001/main.do?rcpNo=20260303002978", "공시열람")</f>
        <v/>
      </c>
    </row>
    <row r="728">
      <c r="A728" s="2" t="inlineStr">
        <is>
          <t>2026-03-03</t>
        </is>
      </c>
      <c r="B728" s="3" t="inlineStr">
        <is>
          <t>SAMG엔터</t>
        </is>
      </c>
      <c r="C728" s="2" t="inlineStr">
        <is>
          <t>코스닥</t>
        </is>
      </c>
      <c r="D728" s="2" t="inlineStr">
        <is>
          <t>419530</t>
        </is>
      </c>
      <c r="E728" s="3" t="inlineStr">
        <is>
          <t xml:space="preserve">주주총회소집결의              </t>
        </is>
      </c>
      <c r="F728" s="3" t="inlineStr">
        <is>
          <t>SAMG엔터</t>
        </is>
      </c>
      <c r="G728" s="2" t="inlineStr">
        <is>
          <t>20260303900982</t>
        </is>
      </c>
      <c r="H728" s="8">
        <f>HYPERLINK("https://dart.fss.or.kr/dsaf001/main.do?rcpNo=20260303900982", "공시열람")</f>
        <v/>
      </c>
    </row>
    <row r="729">
      <c r="A729" s="2" t="inlineStr">
        <is>
          <t>2026-03-03 (정정: 2026-03-04)</t>
        </is>
      </c>
      <c r="B729" s="3" t="inlineStr">
        <is>
          <t>한전기술</t>
        </is>
      </c>
      <c r="C729" s="2" t="inlineStr">
        <is>
          <t>코스피</t>
        </is>
      </c>
      <c r="D729" s="2" t="inlineStr">
        <is>
          <t>052690</t>
        </is>
      </c>
      <c r="E729" s="3" t="inlineStr">
        <is>
          <t>주주총회소집공고 (정정: 20260304)</t>
        </is>
      </c>
      <c r="F729" s="3" t="inlineStr">
        <is>
          <t>한전기술</t>
        </is>
      </c>
      <c r="G729" s="2" t="inlineStr">
        <is>
          <t>20260304801594</t>
        </is>
      </c>
      <c r="H729" s="8">
        <f>HYPERLINK("https://dart.fss.or.kr/dsaf001/main.do?rcpNo=20260304801594", "공시열람")</f>
        <v/>
      </c>
    </row>
    <row r="730">
      <c r="A730" s="2" t="inlineStr">
        <is>
          <t>2026-03-03</t>
        </is>
      </c>
      <c r="B730" s="3" t="inlineStr">
        <is>
          <t>SGC에너지</t>
        </is>
      </c>
      <c r="C730" s="2" t="inlineStr">
        <is>
          <t>코스피</t>
        </is>
      </c>
      <c r="D730" s="2" t="inlineStr">
        <is>
          <t>005090</t>
        </is>
      </c>
      <c r="E730" s="3" t="inlineStr">
        <is>
          <t>주주총회소집공고</t>
        </is>
      </c>
      <c r="F730" s="3" t="inlineStr">
        <is>
          <t>SGC에너지</t>
        </is>
      </c>
      <c r="G730" s="2" t="inlineStr">
        <is>
          <t>20260303002953</t>
        </is>
      </c>
      <c r="H730" s="8">
        <f>HYPERLINK("https://dart.fss.or.kr/dsaf001/main.do?rcpNo=20260303002953", "공시열람")</f>
        <v/>
      </c>
    </row>
    <row r="731">
      <c r="A731" s="2" t="inlineStr">
        <is>
          <t>2026-03-03 (정정: 2026-03-03)</t>
        </is>
      </c>
      <c r="B731" s="3" t="inlineStr">
        <is>
          <t>올릭스</t>
        </is>
      </c>
      <c r="C731" s="2" t="inlineStr">
        <is>
          <t>코스닥</t>
        </is>
      </c>
      <c r="D731" s="2" t="inlineStr">
        <is>
          <t>226950</t>
        </is>
      </c>
      <c r="E731" s="3" t="inlineStr">
        <is>
          <t>주주총회소집결의               (정정: 20260303) (정정: 20260303)</t>
        </is>
      </c>
      <c r="F731" s="3" t="inlineStr">
        <is>
          <t>올릭스</t>
        </is>
      </c>
      <c r="G731" s="2" t="inlineStr">
        <is>
          <t>20260303002883</t>
        </is>
      </c>
      <c r="H731" s="8">
        <f>HYPERLINK("https://dart.fss.or.kr/dsaf001/main.do?rcpNo=20260303002883", "공시열람")</f>
        <v/>
      </c>
    </row>
    <row r="732">
      <c r="A732" s="2" t="inlineStr">
        <is>
          <t>2026-03-03</t>
        </is>
      </c>
      <c r="B732" s="3" t="inlineStr">
        <is>
          <t>지에프아이</t>
        </is>
      </c>
      <c r="C732" s="2" t="inlineStr">
        <is>
          <t>코스닥</t>
        </is>
      </c>
      <c r="D732" s="2" t="inlineStr">
        <is>
          <t>493330</t>
        </is>
      </c>
      <c r="E732" s="3" t="inlineStr">
        <is>
          <t>주주총회소집공고</t>
        </is>
      </c>
      <c r="F732" s="3" t="inlineStr">
        <is>
          <t>지에프아이</t>
        </is>
      </c>
      <c r="G732" s="2" t="inlineStr">
        <is>
          <t>20260303002944</t>
        </is>
      </c>
      <c r="H732" s="8">
        <f>HYPERLINK("https://dart.fss.or.kr/dsaf001/main.do?rcpNo=20260303002944", "공시열람")</f>
        <v/>
      </c>
    </row>
    <row r="733">
      <c r="A733" s="2" t="inlineStr">
        <is>
          <t>2026-03-03</t>
        </is>
      </c>
      <c r="B733" s="3" t="inlineStr">
        <is>
          <t>기아</t>
        </is>
      </c>
      <c r="C733" s="2" t="inlineStr">
        <is>
          <t>코스피</t>
        </is>
      </c>
      <c r="D733" s="2" t="inlineStr">
        <is>
          <t>000270</t>
        </is>
      </c>
      <c r="E733" s="3" t="inlineStr">
        <is>
          <t>[기재정정]주주총회소집공고</t>
        </is>
      </c>
      <c r="F733" s="3" t="inlineStr">
        <is>
          <t>기아</t>
        </is>
      </c>
      <c r="G733" s="2" t="inlineStr">
        <is>
          <t>20260303002932</t>
        </is>
      </c>
      <c r="H733" s="8">
        <f>HYPERLINK("https://dart.fss.or.kr/dsaf001/main.do?rcpNo=20260303002932", "공시열람")</f>
        <v/>
      </c>
    </row>
    <row r="734">
      <c r="A734" s="2" t="inlineStr">
        <is>
          <t>2026-03-03</t>
        </is>
      </c>
      <c r="B734" s="3" t="inlineStr">
        <is>
          <t>현대해상</t>
        </is>
      </c>
      <c r="C734" s="2" t="inlineStr">
        <is>
          <t>코스피</t>
        </is>
      </c>
      <c r="D734" s="2" t="inlineStr">
        <is>
          <t>001450</t>
        </is>
      </c>
      <c r="E734" s="3" t="inlineStr">
        <is>
          <t xml:space="preserve">주주총회소집결의              </t>
        </is>
      </c>
      <c r="F734" s="3" t="inlineStr">
        <is>
          <t>현대해상</t>
        </is>
      </c>
      <c r="G734" s="2" t="inlineStr">
        <is>
          <t>20260303801087</t>
        </is>
      </c>
      <c r="H734" s="8">
        <f>HYPERLINK("https://dart.fss.or.kr/dsaf001/main.do?rcpNo=20260303801087", "공시열람")</f>
        <v/>
      </c>
    </row>
    <row r="735">
      <c r="A735" s="2" t="inlineStr">
        <is>
          <t>2026-03-03</t>
        </is>
      </c>
      <c r="B735" s="3" t="inlineStr">
        <is>
          <t>한전기술</t>
        </is>
      </c>
      <c r="C735" s="2" t="inlineStr">
        <is>
          <t>코스피</t>
        </is>
      </c>
      <c r="D735" s="2" t="inlineStr">
        <is>
          <t>052690</t>
        </is>
      </c>
      <c r="E735" s="3" t="inlineStr">
        <is>
          <t xml:space="preserve">주주총회소집결의              </t>
        </is>
      </c>
      <c r="F735" s="3" t="inlineStr">
        <is>
          <t>한전기술</t>
        </is>
      </c>
      <c r="G735" s="2" t="inlineStr">
        <is>
          <t>20260303801100</t>
        </is>
      </c>
      <c r="H735" s="8">
        <f>HYPERLINK("https://dart.fss.or.kr/dsaf001/main.do?rcpNo=20260303801100", "공시열람")</f>
        <v/>
      </c>
    </row>
    <row r="736">
      <c r="A736" s="2" t="inlineStr">
        <is>
          <t>2026-03-03 (정정: 2026-03-03)</t>
        </is>
      </c>
      <c r="B736" s="3" t="inlineStr">
        <is>
          <t>박셀바이오</t>
        </is>
      </c>
      <c r="C736" s="2" t="inlineStr">
        <is>
          <t>코스닥</t>
        </is>
      </c>
      <c r="D736" s="2" t="inlineStr">
        <is>
          <t>323990</t>
        </is>
      </c>
      <c r="E736" s="3" t="inlineStr">
        <is>
          <t>주주총회소집공고 (정정: 20260303)</t>
        </is>
      </c>
      <c r="F736" s="3" t="inlineStr">
        <is>
          <t>박셀바이오</t>
        </is>
      </c>
      <c r="G736" s="2" t="inlineStr">
        <is>
          <t>20260303900935</t>
        </is>
      </c>
      <c r="H736" s="8">
        <f>HYPERLINK("https://dart.fss.or.kr/dsaf001/main.do?rcpNo=20260303900935", "공시열람")</f>
        <v/>
      </c>
    </row>
    <row r="737">
      <c r="A737" s="2" t="inlineStr">
        <is>
          <t>2026-03-03</t>
        </is>
      </c>
      <c r="B737" s="3" t="inlineStr">
        <is>
          <t>알지노믹스</t>
        </is>
      </c>
      <c r="C737" s="2" t="inlineStr">
        <is>
          <t>코스닥</t>
        </is>
      </c>
      <c r="D737" s="2" t="inlineStr">
        <is>
          <t>476830</t>
        </is>
      </c>
      <c r="E737" s="3" t="inlineStr">
        <is>
          <t xml:space="preserve">주주총회소집결의              </t>
        </is>
      </c>
      <c r="F737" s="3" t="inlineStr">
        <is>
          <t>알지노믹스</t>
        </is>
      </c>
      <c r="G737" s="2" t="inlineStr">
        <is>
          <t>20260303901083</t>
        </is>
      </c>
      <c r="H737" s="8">
        <f>HYPERLINK("https://dart.fss.or.kr/dsaf001/main.do?rcpNo=20260303901083", "공시열람")</f>
        <v/>
      </c>
    </row>
    <row r="738">
      <c r="A738" s="2" t="inlineStr">
        <is>
          <t>2026-03-03</t>
        </is>
      </c>
      <c r="B738" s="3" t="inlineStr">
        <is>
          <t>SGC에너지</t>
        </is>
      </c>
      <c r="C738" s="2" t="inlineStr">
        <is>
          <t>코스피</t>
        </is>
      </c>
      <c r="D738" s="2" t="inlineStr">
        <is>
          <t>005090</t>
        </is>
      </c>
      <c r="E738" s="3" t="inlineStr">
        <is>
          <t xml:space="preserve">주주총회소집결의              </t>
        </is>
      </c>
      <c r="F738" s="3" t="inlineStr">
        <is>
          <t>SGC에너지</t>
        </is>
      </c>
      <c r="G738" s="2" t="inlineStr">
        <is>
          <t>20260303801039</t>
        </is>
      </c>
      <c r="H738" s="8">
        <f>HYPERLINK("https://dart.fss.or.kr/dsaf001/main.do?rcpNo=20260303801039", "공시열람")</f>
        <v/>
      </c>
    </row>
    <row r="739">
      <c r="A739" s="2" t="inlineStr">
        <is>
          <t>2026-03-03</t>
        </is>
      </c>
      <c r="B739" s="3" t="inlineStr">
        <is>
          <t>유비쿼스</t>
        </is>
      </c>
      <c r="C739" s="2" t="inlineStr">
        <is>
          <t>코스닥</t>
        </is>
      </c>
      <c r="D739" s="2" t="inlineStr">
        <is>
          <t>264450</t>
        </is>
      </c>
      <c r="E739" s="3" t="inlineStr">
        <is>
          <t>주주총회소집공고</t>
        </is>
      </c>
      <c r="F739" s="3" t="inlineStr">
        <is>
          <t>유비쿼스</t>
        </is>
      </c>
      <c r="G739" s="2" t="inlineStr">
        <is>
          <t>20260303002856</t>
        </is>
      </c>
      <c r="H739" s="8">
        <f>HYPERLINK("https://dart.fss.or.kr/dsaf001/main.do?rcpNo=20260303002856", "공시열람")</f>
        <v/>
      </c>
    </row>
    <row r="740">
      <c r="A740" s="2" t="inlineStr">
        <is>
          <t>2026-03-03</t>
        </is>
      </c>
      <c r="B740" s="3" t="inlineStr">
        <is>
          <t>벽산</t>
        </is>
      </c>
      <c r="C740" s="2" t="inlineStr">
        <is>
          <t>코스피</t>
        </is>
      </c>
      <c r="D740" s="2" t="inlineStr">
        <is>
          <t>007210</t>
        </is>
      </c>
      <c r="E740" s="3" t="inlineStr">
        <is>
          <t xml:space="preserve">주주총회소집결의              </t>
        </is>
      </c>
      <c r="F740" s="3" t="inlineStr">
        <is>
          <t>벽산</t>
        </is>
      </c>
      <c r="G740" s="2" t="inlineStr">
        <is>
          <t>20260303801055</t>
        </is>
      </c>
      <c r="H740" s="8">
        <f>HYPERLINK("https://dart.fss.or.kr/dsaf001/main.do?rcpNo=20260303801055", "공시열람")</f>
        <v/>
      </c>
    </row>
    <row r="741">
      <c r="A741" s="2" t="inlineStr">
        <is>
          <t>2026-03-03</t>
        </is>
      </c>
      <c r="B741" s="3" t="inlineStr">
        <is>
          <t>롯데리츠</t>
        </is>
      </c>
      <c r="C741" s="2" t="inlineStr">
        <is>
          <t>코스피</t>
        </is>
      </c>
      <c r="D741" s="2" t="inlineStr">
        <is>
          <t>330590</t>
        </is>
      </c>
      <c r="E741" s="3" t="inlineStr">
        <is>
          <t>주주총회소집공고</t>
        </is>
      </c>
      <c r="F741" s="3" t="inlineStr">
        <is>
          <t>롯데리츠</t>
        </is>
      </c>
      <c r="G741" s="2" t="inlineStr">
        <is>
          <t>20260303002838</t>
        </is>
      </c>
      <c r="H741" s="8">
        <f>HYPERLINK("https://dart.fss.or.kr/dsaf001/main.do?rcpNo=20260303002838", "공시열람")</f>
        <v/>
      </c>
    </row>
    <row r="742">
      <c r="A742" s="2" t="inlineStr">
        <is>
          <t>2026-03-03</t>
        </is>
      </c>
      <c r="B742" s="3" t="inlineStr">
        <is>
          <t>유비쿼스</t>
        </is>
      </c>
      <c r="C742" s="2" t="inlineStr">
        <is>
          <t>코스닥</t>
        </is>
      </c>
      <c r="D742" s="2" t="inlineStr">
        <is>
          <t>264450</t>
        </is>
      </c>
      <c r="E742" s="3" t="inlineStr">
        <is>
          <t xml:space="preserve">주주총회소집결의              </t>
        </is>
      </c>
      <c r="F742" s="3" t="inlineStr">
        <is>
          <t>유비쿼스</t>
        </is>
      </c>
      <c r="G742" s="2" t="inlineStr">
        <is>
          <t>20260303901007</t>
        </is>
      </c>
      <c r="H742" s="8">
        <f>HYPERLINK("https://dart.fss.or.kr/dsaf001/main.do?rcpNo=20260303901007", "공시열람")</f>
        <v/>
      </c>
    </row>
    <row r="743">
      <c r="A743" s="2" t="inlineStr">
        <is>
          <t>2026-03-03</t>
        </is>
      </c>
      <c r="B743" s="3" t="inlineStr">
        <is>
          <t>우리기술</t>
        </is>
      </c>
      <c r="C743" s="2" t="inlineStr">
        <is>
          <t>코스닥</t>
        </is>
      </c>
      <c r="D743" s="2" t="inlineStr">
        <is>
          <t>032820</t>
        </is>
      </c>
      <c r="E743" s="3" t="inlineStr">
        <is>
          <t>주주총회소집공고</t>
        </is>
      </c>
      <c r="F743" s="3" t="inlineStr">
        <is>
          <t>우리기술</t>
        </is>
      </c>
      <c r="G743" s="2" t="inlineStr">
        <is>
          <t>20260303002812</t>
        </is>
      </c>
      <c r="H743" s="8">
        <f>HYPERLINK("https://dart.fss.or.kr/dsaf001/main.do?rcpNo=20260303002812", "공시열람")</f>
        <v/>
      </c>
    </row>
    <row r="744">
      <c r="A744" s="2" t="inlineStr">
        <is>
          <t>2026-03-03 (정정: 2026-03-03)</t>
        </is>
      </c>
      <c r="B744" s="3" t="inlineStr">
        <is>
          <t>한솔홈데코</t>
        </is>
      </c>
      <c r="C744" s="2" t="inlineStr">
        <is>
          <t>코스피</t>
        </is>
      </c>
      <c r="D744" s="2" t="inlineStr">
        <is>
          <t>025750</t>
        </is>
      </c>
      <c r="E744" s="3" t="inlineStr">
        <is>
          <t>주주총회소집공고 (정정: 20260303)</t>
        </is>
      </c>
      <c r="F744" s="3" t="inlineStr">
        <is>
          <t>한솔홈데코</t>
        </is>
      </c>
      <c r="G744" s="2" t="inlineStr">
        <is>
          <t>20260303800987</t>
        </is>
      </c>
      <c r="H744" s="8">
        <f>HYPERLINK("https://dart.fss.or.kr/dsaf001/main.do?rcpNo=20260303800987", "공시열람")</f>
        <v/>
      </c>
    </row>
    <row r="745">
      <c r="A745" s="2" t="inlineStr">
        <is>
          <t>2026-03-03</t>
        </is>
      </c>
      <c r="B745" s="3" t="inlineStr">
        <is>
          <t>롯데리츠</t>
        </is>
      </c>
      <c r="C745" s="2" t="inlineStr">
        <is>
          <t>코스피</t>
        </is>
      </c>
      <c r="D745" s="2" t="inlineStr">
        <is>
          <t>330590</t>
        </is>
      </c>
      <c r="E745" s="3" t="inlineStr">
        <is>
          <t xml:space="preserve">주주총회소집결의              </t>
        </is>
      </c>
      <c r="F745" s="3" t="inlineStr">
        <is>
          <t>롯데리츠</t>
        </is>
      </c>
      <c r="G745" s="2" t="inlineStr">
        <is>
          <t>20260303800977</t>
        </is>
      </c>
      <c r="H745" s="8">
        <f>HYPERLINK("https://dart.fss.or.kr/dsaf001/main.do?rcpNo=20260303800977", "공시열람")</f>
        <v/>
      </c>
    </row>
    <row r="746">
      <c r="A746" s="2" t="inlineStr">
        <is>
          <t>2026-03-03</t>
        </is>
      </c>
      <c r="B746" s="3" t="inlineStr">
        <is>
          <t>웰크론한텍</t>
        </is>
      </c>
      <c r="C746" s="2" t="inlineStr">
        <is>
          <t>코스닥</t>
        </is>
      </c>
      <c r="D746" s="2" t="inlineStr">
        <is>
          <t>076080</t>
        </is>
      </c>
      <c r="E746" s="3" t="inlineStr">
        <is>
          <t xml:space="preserve">주주총회소집결의              </t>
        </is>
      </c>
      <c r="F746" s="3" t="inlineStr">
        <is>
          <t>웰크론한텍</t>
        </is>
      </c>
      <c r="G746" s="2" t="inlineStr">
        <is>
          <t>20260303900957</t>
        </is>
      </c>
      <c r="H746" s="8">
        <f>HYPERLINK("https://dart.fss.or.kr/dsaf001/main.do?rcpNo=20260303900957", "공시열람")</f>
        <v/>
      </c>
    </row>
    <row r="747">
      <c r="A747" s="2" t="inlineStr">
        <is>
          <t>2026-03-03</t>
        </is>
      </c>
      <c r="B747" s="3" t="inlineStr">
        <is>
          <t>이스트소프트</t>
        </is>
      </c>
      <c r="C747" s="2" t="inlineStr">
        <is>
          <t>코스닥</t>
        </is>
      </c>
      <c r="D747" s="2" t="inlineStr">
        <is>
          <t>047560</t>
        </is>
      </c>
      <c r="E747" s="3" t="inlineStr">
        <is>
          <t>주주총회소집공고</t>
        </is>
      </c>
      <c r="F747" s="3" t="inlineStr">
        <is>
          <t>이스트소프트</t>
        </is>
      </c>
      <c r="G747" s="2" t="inlineStr">
        <is>
          <t>20260303002770</t>
        </is>
      </c>
      <c r="H747" s="8">
        <f>HYPERLINK("https://dart.fss.or.kr/dsaf001/main.do?rcpNo=20260303002770", "공시열람")</f>
        <v/>
      </c>
    </row>
    <row r="748">
      <c r="A748" s="2" t="inlineStr">
        <is>
          <t>2026-03-03</t>
        </is>
      </c>
      <c r="B748" s="3" t="inlineStr">
        <is>
          <t>이루온</t>
        </is>
      </c>
      <c r="C748" s="2" t="inlineStr">
        <is>
          <t>코스닥</t>
        </is>
      </c>
      <c r="D748" s="2" t="inlineStr">
        <is>
          <t>065440</t>
        </is>
      </c>
      <c r="E748" s="3" t="inlineStr">
        <is>
          <t>주주총회소집공고</t>
        </is>
      </c>
      <c r="F748" s="3" t="inlineStr">
        <is>
          <t>이루온</t>
        </is>
      </c>
      <c r="G748" s="2" t="inlineStr">
        <is>
          <t>20260303002732</t>
        </is>
      </c>
      <c r="H748" s="8">
        <f>HYPERLINK("https://dart.fss.or.kr/dsaf001/main.do?rcpNo=20260303002732", "공시열람")</f>
        <v/>
      </c>
    </row>
    <row r="749">
      <c r="A749" s="2" t="inlineStr">
        <is>
          <t>2026-03-03</t>
        </is>
      </c>
      <c r="B749" s="3" t="inlineStr">
        <is>
          <t>코나솔</t>
        </is>
      </c>
      <c r="C749" s="2" t="inlineStr">
        <is>
          <t>코넥스</t>
        </is>
      </c>
      <c r="D749" s="2" t="inlineStr">
        <is>
          <t>176590</t>
        </is>
      </c>
      <c r="E749" s="3" t="inlineStr">
        <is>
          <t xml:space="preserve">[첨부정정]주주총회소집결의              </t>
        </is>
      </c>
      <c r="F749" s="3" t="inlineStr">
        <is>
          <t>코나솔</t>
        </is>
      </c>
      <c r="G749" s="2" t="inlineStr">
        <is>
          <t>20260303600990</t>
        </is>
      </c>
      <c r="H749" s="8">
        <f>HYPERLINK("https://dart.fss.or.kr/dsaf001/main.do?rcpNo=20260303600990", "공시열람")</f>
        <v/>
      </c>
    </row>
    <row r="750">
      <c r="A750" s="2" t="inlineStr">
        <is>
          <t>2026-03-03</t>
        </is>
      </c>
      <c r="B750" s="3" t="inlineStr">
        <is>
          <t>진바이오텍</t>
        </is>
      </c>
      <c r="C750" s="2" t="inlineStr">
        <is>
          <t>코스닥</t>
        </is>
      </c>
      <c r="D750" s="2" t="inlineStr">
        <is>
          <t>086060</t>
        </is>
      </c>
      <c r="E750" s="3" t="inlineStr">
        <is>
          <t>주주총회소집공고</t>
        </is>
      </c>
      <c r="F750" s="3" t="inlineStr">
        <is>
          <t>진바이오텍</t>
        </is>
      </c>
      <c r="G750" s="2" t="inlineStr">
        <is>
          <t>20260303002692</t>
        </is>
      </c>
      <c r="H750" s="8">
        <f>HYPERLINK("https://dart.fss.or.kr/dsaf001/main.do?rcpNo=20260303002692", "공시열람")</f>
        <v/>
      </c>
    </row>
    <row r="751">
      <c r="A751" s="2" t="inlineStr">
        <is>
          <t>2026-03-03</t>
        </is>
      </c>
      <c r="B751" s="3" t="inlineStr">
        <is>
          <t>사조씨푸드</t>
        </is>
      </c>
      <c r="C751" s="2" t="inlineStr">
        <is>
          <t>코스피</t>
        </is>
      </c>
      <c r="D751" s="2" t="inlineStr">
        <is>
          <t>014710</t>
        </is>
      </c>
      <c r="E751" s="3" t="inlineStr">
        <is>
          <t xml:space="preserve">주주총회집중일개최사유신고              </t>
        </is>
      </c>
      <c r="F751" s="3" t="inlineStr">
        <is>
          <t>사조씨푸드</t>
        </is>
      </c>
      <c r="G751" s="2" t="inlineStr">
        <is>
          <t>20260303800939</t>
        </is>
      </c>
      <c r="H751" s="8">
        <f>HYPERLINK("https://dart.fss.or.kr/dsaf001/main.do?rcpNo=20260303800939", "공시열람")</f>
        <v/>
      </c>
    </row>
    <row r="752">
      <c r="A752" s="2" t="inlineStr">
        <is>
          <t>2026-03-03</t>
        </is>
      </c>
      <c r="B752" s="3" t="inlineStr">
        <is>
          <t>블루콤</t>
        </is>
      </c>
      <c r="C752" s="2" t="inlineStr">
        <is>
          <t>코스닥</t>
        </is>
      </c>
      <c r="D752" s="2" t="inlineStr">
        <is>
          <t>033560</t>
        </is>
      </c>
      <c r="E752" s="3" t="inlineStr">
        <is>
          <t xml:space="preserve">주주총회집중일개최사유신고              </t>
        </is>
      </c>
      <c r="F752" s="3" t="inlineStr">
        <is>
          <t>블루콤</t>
        </is>
      </c>
      <c r="G752" s="2" t="inlineStr">
        <is>
          <t>20260303900971</t>
        </is>
      </c>
      <c r="H752" s="8">
        <f>HYPERLINK("https://dart.fss.or.kr/dsaf001/main.do?rcpNo=20260303900971", "공시열람")</f>
        <v/>
      </c>
    </row>
    <row r="753">
      <c r="A753" s="2" t="inlineStr">
        <is>
          <t>2026-03-03</t>
        </is>
      </c>
      <c r="B753" s="3" t="inlineStr">
        <is>
          <t>블루콤</t>
        </is>
      </c>
      <c r="C753" s="2" t="inlineStr">
        <is>
          <t>코스닥</t>
        </is>
      </c>
      <c r="D753" s="2" t="inlineStr">
        <is>
          <t>033560</t>
        </is>
      </c>
      <c r="E753" s="3" t="inlineStr">
        <is>
          <t xml:space="preserve">주주총회소집결의              </t>
        </is>
      </c>
      <c r="F753" s="3" t="inlineStr">
        <is>
          <t>블루콤</t>
        </is>
      </c>
      <c r="G753" s="2" t="inlineStr">
        <is>
          <t>20260303900955</t>
        </is>
      </c>
      <c r="H753" s="8">
        <f>HYPERLINK("https://dart.fss.or.kr/dsaf001/main.do?rcpNo=20260303900955", "공시열람")</f>
        <v/>
      </c>
    </row>
    <row r="754">
      <c r="A754" s="2" t="inlineStr">
        <is>
          <t>2026-03-03</t>
        </is>
      </c>
      <c r="B754" s="3" t="inlineStr">
        <is>
          <t>삼천당제약</t>
        </is>
      </c>
      <c r="C754" s="2" t="inlineStr">
        <is>
          <t>코스닥</t>
        </is>
      </c>
      <c r="D754" s="2" t="inlineStr">
        <is>
          <t>000250</t>
        </is>
      </c>
      <c r="E754" s="3" t="inlineStr">
        <is>
          <t xml:space="preserve">주주총회집중일개최사유신고              </t>
        </is>
      </c>
      <c r="F754" s="3" t="inlineStr">
        <is>
          <t>삼천당제약</t>
        </is>
      </c>
      <c r="G754" s="2" t="inlineStr">
        <is>
          <t>20260303900854</t>
        </is>
      </c>
      <c r="H754" s="8">
        <f>HYPERLINK("https://dart.fss.or.kr/dsaf001/main.do?rcpNo=20260303900854", "공시열람")</f>
        <v/>
      </c>
    </row>
    <row r="755">
      <c r="A755" s="2" t="inlineStr">
        <is>
          <t>2026-03-03</t>
        </is>
      </c>
      <c r="B755" s="3" t="inlineStr">
        <is>
          <t>삼천당제약</t>
        </is>
      </c>
      <c r="C755" s="2" t="inlineStr">
        <is>
          <t>코스닥</t>
        </is>
      </c>
      <c r="D755" s="2" t="inlineStr">
        <is>
          <t>000250</t>
        </is>
      </c>
      <c r="E755" s="3" t="inlineStr">
        <is>
          <t xml:space="preserve">주주총회소집결의              </t>
        </is>
      </c>
      <c r="F755" s="3" t="inlineStr">
        <is>
          <t>삼천당제약</t>
        </is>
      </c>
      <c r="G755" s="2" t="inlineStr">
        <is>
          <t>20260303900851</t>
        </is>
      </c>
      <c r="H755" s="8">
        <f>HYPERLINK("https://dart.fss.or.kr/dsaf001/main.do?rcpNo=20260303900851", "공시열람")</f>
        <v/>
      </c>
    </row>
    <row r="756">
      <c r="A756" s="2" t="inlineStr">
        <is>
          <t>2026-03-03</t>
        </is>
      </c>
      <c r="B756" s="3" t="inlineStr">
        <is>
          <t>하이스틸</t>
        </is>
      </c>
      <c r="C756" s="2" t="inlineStr">
        <is>
          <t>코스피</t>
        </is>
      </c>
      <c r="D756" s="2" t="inlineStr">
        <is>
          <t>071090</t>
        </is>
      </c>
      <c r="E756" s="3" t="inlineStr">
        <is>
          <t>주주총회소집공고</t>
        </is>
      </c>
      <c r="F756" s="3" t="inlineStr">
        <is>
          <t>하이스틸</t>
        </is>
      </c>
      <c r="G756" s="2" t="inlineStr">
        <is>
          <t>20260303002610</t>
        </is>
      </c>
      <c r="H756" s="8">
        <f>HYPERLINK("https://dart.fss.or.kr/dsaf001/main.do?rcpNo=20260303002610", "공시열람")</f>
        <v/>
      </c>
    </row>
    <row r="757">
      <c r="A757" s="2" t="inlineStr">
        <is>
          <t>2026-03-03 (정정: 2026-03-03)</t>
        </is>
      </c>
      <c r="B757" s="3" t="inlineStr">
        <is>
          <t>안트로젠</t>
        </is>
      </c>
      <c r="C757" s="2" t="inlineStr">
        <is>
          <t>코스닥</t>
        </is>
      </c>
      <c r="D757" s="2" t="inlineStr">
        <is>
          <t>065660</t>
        </is>
      </c>
      <c r="E757" s="3" t="inlineStr">
        <is>
          <t>[기재정정]주주총회소집공고</t>
        </is>
      </c>
      <c r="F757" s="3" t="inlineStr">
        <is>
          <t>안트로젠</t>
        </is>
      </c>
      <c r="G757" s="2" t="inlineStr">
        <is>
          <t>20260303002600</t>
        </is>
      </c>
      <c r="H757" s="8">
        <f>HYPERLINK("https://dart.fss.or.kr/dsaf001/main.do?rcpNo=20260303002600", "공시열람")</f>
        <v/>
      </c>
    </row>
    <row r="758">
      <c r="A758" s="2" t="inlineStr">
        <is>
          <t>2026-03-03</t>
        </is>
      </c>
      <c r="B758" s="3" t="inlineStr">
        <is>
          <t>유니온</t>
        </is>
      </c>
      <c r="C758" s="2" t="inlineStr">
        <is>
          <t>코스피</t>
        </is>
      </c>
      <c r="D758" s="2" t="inlineStr">
        <is>
          <t>000910</t>
        </is>
      </c>
      <c r="E758" s="3" t="inlineStr">
        <is>
          <t xml:space="preserve">최대주주변경              </t>
        </is>
      </c>
      <c r="F758" s="3" t="inlineStr">
        <is>
          <t>유니온</t>
        </is>
      </c>
      <c r="G758" s="2" t="inlineStr">
        <is>
          <t>20260303800931</t>
        </is>
      </c>
      <c r="H758" s="8">
        <f>HYPERLINK("https://dart.fss.or.kr/dsaf001/main.do?rcpNo=20260303800931", "공시열람")</f>
        <v/>
      </c>
    </row>
    <row r="759">
      <c r="A759" s="2" t="inlineStr">
        <is>
          <t>2026-03-03</t>
        </is>
      </c>
      <c r="B759" s="3" t="inlineStr">
        <is>
          <t>하이스틸</t>
        </is>
      </c>
      <c r="C759" s="2" t="inlineStr">
        <is>
          <t>코스피</t>
        </is>
      </c>
      <c r="D759" s="2" t="inlineStr">
        <is>
          <t>071090</t>
        </is>
      </c>
      <c r="E759" s="3" t="inlineStr">
        <is>
          <t xml:space="preserve">주주총회소집결의              </t>
        </is>
      </c>
      <c r="F759" s="3" t="inlineStr">
        <is>
          <t>하이스틸</t>
        </is>
      </c>
      <c r="G759" s="2" t="inlineStr">
        <is>
          <t>20260303800889</t>
        </is>
      </c>
      <c r="H759" s="8">
        <f>HYPERLINK("https://dart.fss.or.kr/dsaf001/main.do?rcpNo=20260303800889", "공시열람")</f>
        <v/>
      </c>
    </row>
    <row r="760">
      <c r="A760" s="2" t="inlineStr">
        <is>
          <t>2026-03-03 (정정: 2026-03-06)</t>
        </is>
      </c>
      <c r="B760" s="3" t="inlineStr">
        <is>
          <t>에이프릴바이오</t>
        </is>
      </c>
      <c r="C760" s="2" t="inlineStr">
        <is>
          <t>코스닥</t>
        </is>
      </c>
      <c r="D760" s="2" t="inlineStr">
        <is>
          <t>397030</t>
        </is>
      </c>
      <c r="E760" s="3" t="inlineStr">
        <is>
          <t>주주총회집중일개최사유신고               (정정: 20260306)</t>
        </is>
      </c>
      <c r="F760" s="3" t="inlineStr">
        <is>
          <t>에이프릴바이오</t>
        </is>
      </c>
      <c r="G760" s="2" t="inlineStr">
        <is>
          <t>20260306900546</t>
        </is>
      </c>
      <c r="H760" s="8">
        <f>HYPERLINK("https://dart.fss.or.kr/dsaf001/main.do?rcpNo=20260306900546", "공시열람")</f>
        <v/>
      </c>
    </row>
    <row r="761">
      <c r="A761" s="2" t="inlineStr">
        <is>
          <t>2026-03-03</t>
        </is>
      </c>
      <c r="B761" s="3" t="inlineStr">
        <is>
          <t>코스텍시스</t>
        </is>
      </c>
      <c r="C761" s="2" t="inlineStr">
        <is>
          <t>코스닥</t>
        </is>
      </c>
      <c r="D761" s="2" t="inlineStr">
        <is>
          <t>355150</t>
        </is>
      </c>
      <c r="E761" s="3" t="inlineStr">
        <is>
          <t>주주총회소집공고</t>
        </is>
      </c>
      <c r="F761" s="3" t="inlineStr">
        <is>
          <t>코스텍시스</t>
        </is>
      </c>
      <c r="G761" s="2" t="inlineStr">
        <is>
          <t>20260303002577</t>
        </is>
      </c>
      <c r="H761" s="8">
        <f>HYPERLINK("https://dart.fss.or.kr/dsaf001/main.do?rcpNo=20260303002577", "공시열람")</f>
        <v/>
      </c>
    </row>
    <row r="762">
      <c r="A762" s="2" t="inlineStr">
        <is>
          <t>2026-03-03 (정정: 2026-03-13)</t>
        </is>
      </c>
      <c r="B762" s="3" t="inlineStr">
        <is>
          <t>사조씨푸드</t>
        </is>
      </c>
      <c r="C762" s="2" t="inlineStr">
        <is>
          <t>코스피</t>
        </is>
      </c>
      <c r="D762" s="2" t="inlineStr">
        <is>
          <t>014710</t>
        </is>
      </c>
      <c r="E762" s="3" t="inlineStr">
        <is>
          <t>주주총회소집공고 (정정: 20260313)</t>
        </is>
      </c>
      <c r="F762" s="3" t="inlineStr">
        <is>
          <t>사조씨푸드</t>
        </is>
      </c>
      <c r="G762" s="2" t="inlineStr">
        <is>
          <t>20260313802233</t>
        </is>
      </c>
      <c r="H762" s="8">
        <f>HYPERLINK("https://dart.fss.or.kr/dsaf001/main.do?rcpNo=20260313802233", "공시열람")</f>
        <v/>
      </c>
    </row>
    <row r="763">
      <c r="A763" s="2" t="inlineStr">
        <is>
          <t>2026-03-03</t>
        </is>
      </c>
      <c r="B763" s="3" t="inlineStr">
        <is>
          <t>SUN&amp;L</t>
        </is>
      </c>
      <c r="C763" s="2" t="inlineStr">
        <is>
          <t>코스피</t>
        </is>
      </c>
      <c r="D763" s="2" t="inlineStr">
        <is>
          <t>002820</t>
        </is>
      </c>
      <c r="E763" s="3" t="inlineStr">
        <is>
          <t xml:space="preserve">주주총회소집결의              </t>
        </is>
      </c>
      <c r="F763" s="3" t="inlineStr">
        <is>
          <t>SUN&amp;L</t>
        </is>
      </c>
      <c r="G763" s="2" t="inlineStr">
        <is>
          <t>20260303800912</t>
        </is>
      </c>
      <c r="H763" s="8">
        <f>HYPERLINK("https://dart.fss.or.kr/dsaf001/main.do?rcpNo=20260303800912", "공시열람")</f>
        <v/>
      </c>
    </row>
    <row r="764">
      <c r="A764" s="2" t="inlineStr">
        <is>
          <t>2026-03-03</t>
        </is>
      </c>
      <c r="B764" s="3" t="inlineStr">
        <is>
          <t>유진스팩10호</t>
        </is>
      </c>
      <c r="C764" s="2" t="inlineStr">
        <is>
          <t>코스닥</t>
        </is>
      </c>
      <c r="D764" s="2" t="inlineStr">
        <is>
          <t>468760</t>
        </is>
      </c>
      <c r="E764" s="3" t="inlineStr">
        <is>
          <t xml:space="preserve">주주총회집중일개최사유신고              </t>
        </is>
      </c>
      <c r="F764" s="3" t="inlineStr">
        <is>
          <t>유진스팩10호</t>
        </is>
      </c>
      <c r="G764" s="2" t="inlineStr">
        <is>
          <t>20260303900860</t>
        </is>
      </c>
      <c r="H764" s="8">
        <f>HYPERLINK("https://dart.fss.or.kr/dsaf001/main.do?rcpNo=20260303900860", "공시열람")</f>
        <v/>
      </c>
    </row>
    <row r="765">
      <c r="A765" s="2" t="inlineStr">
        <is>
          <t>2026-03-03</t>
        </is>
      </c>
      <c r="B765" s="3" t="inlineStr">
        <is>
          <t>루멘스</t>
        </is>
      </c>
      <c r="C765" s="2" t="inlineStr">
        <is>
          <t>코스닥</t>
        </is>
      </c>
      <c r="D765" s="2" t="inlineStr">
        <is>
          <t>038060</t>
        </is>
      </c>
      <c r="E765" s="3" t="inlineStr">
        <is>
          <t>주주총회소집공고</t>
        </is>
      </c>
      <c r="F765" s="3" t="inlineStr">
        <is>
          <t>루멘스</t>
        </is>
      </c>
      <c r="G765" s="2" t="inlineStr">
        <is>
          <t>20260303002534</t>
        </is>
      </c>
      <c r="H765" s="8">
        <f>HYPERLINK("https://dart.fss.or.kr/dsaf001/main.do?rcpNo=20260303002534", "공시열람")</f>
        <v/>
      </c>
    </row>
    <row r="766">
      <c r="A766" s="2" t="inlineStr">
        <is>
          <t>2026-03-03</t>
        </is>
      </c>
      <c r="B766" s="3" t="inlineStr">
        <is>
          <t>유진스팩10호</t>
        </is>
      </c>
      <c r="C766" s="2" t="inlineStr">
        <is>
          <t>코스닥</t>
        </is>
      </c>
      <c r="D766" s="2" t="inlineStr">
        <is>
          <t>468760</t>
        </is>
      </c>
      <c r="E766" s="3" t="inlineStr">
        <is>
          <t xml:space="preserve">주주총회소집결의              </t>
        </is>
      </c>
      <c r="F766" s="3" t="inlineStr">
        <is>
          <t>유진스팩10호</t>
        </is>
      </c>
      <c r="G766" s="2" t="inlineStr">
        <is>
          <t>20260303900760</t>
        </is>
      </c>
      <c r="H766" s="8">
        <f>HYPERLINK("https://dart.fss.or.kr/dsaf001/main.do?rcpNo=20260303900760", "공시열람")</f>
        <v/>
      </c>
    </row>
    <row r="767">
      <c r="A767" s="2" t="inlineStr">
        <is>
          <t>2026-03-03</t>
        </is>
      </c>
      <c r="B767" s="3" t="inlineStr">
        <is>
          <t>아이티센글로벌</t>
        </is>
      </c>
      <c r="C767" s="2" t="inlineStr">
        <is>
          <t>코스닥</t>
        </is>
      </c>
      <c r="D767" s="2" t="inlineStr">
        <is>
          <t>124500</t>
        </is>
      </c>
      <c r="E767" s="3" t="inlineStr">
        <is>
          <t xml:space="preserve">주주총회소집결의              </t>
        </is>
      </c>
      <c r="F767" s="3" t="inlineStr">
        <is>
          <t>아이티센글로벌</t>
        </is>
      </c>
      <c r="G767" s="2" t="inlineStr">
        <is>
          <t>20260303900816</t>
        </is>
      </c>
      <c r="H767" s="8">
        <f>HYPERLINK("https://dart.fss.or.kr/dsaf001/main.do?rcpNo=20260303900816", "공시열람")</f>
        <v/>
      </c>
    </row>
    <row r="768">
      <c r="A768" s="2" t="inlineStr">
        <is>
          <t>2026-03-03</t>
        </is>
      </c>
      <c r="B768" s="3" t="inlineStr">
        <is>
          <t>뷰노</t>
        </is>
      </c>
      <c r="C768" s="2" t="inlineStr">
        <is>
          <t>코스닥</t>
        </is>
      </c>
      <c r="D768" s="2" t="inlineStr">
        <is>
          <t>338220</t>
        </is>
      </c>
      <c r="E768" s="3" t="inlineStr">
        <is>
          <t>주주총회소집공고</t>
        </is>
      </c>
      <c r="F768" s="3" t="inlineStr">
        <is>
          <t>뷰노</t>
        </is>
      </c>
      <c r="G768" s="2" t="inlineStr">
        <is>
          <t>20260303002496</t>
        </is>
      </c>
      <c r="H768" s="8">
        <f>HYPERLINK("https://dart.fss.or.kr/dsaf001/main.do?rcpNo=20260303002496", "공시열람")</f>
        <v/>
      </c>
    </row>
    <row r="769">
      <c r="A769" s="2" t="inlineStr">
        <is>
          <t>2026-03-03</t>
        </is>
      </c>
      <c r="B769" s="3" t="inlineStr">
        <is>
          <t>삼성화재해상보험</t>
        </is>
      </c>
      <c r="C769" s="2" t="inlineStr">
        <is>
          <t>코스피</t>
        </is>
      </c>
      <c r="D769" s="2" t="inlineStr">
        <is>
          <t>000810</t>
        </is>
      </c>
      <c r="E769" s="3" t="inlineStr">
        <is>
          <t>[기재정정]주주총회소집공고</t>
        </is>
      </c>
      <c r="F769" s="3" t="inlineStr">
        <is>
          <t>삼성화재해상보험</t>
        </is>
      </c>
      <c r="G769" s="2" t="inlineStr">
        <is>
          <t>20260303002491</t>
        </is>
      </c>
      <c r="H769" s="8">
        <f>HYPERLINK("https://dart.fss.or.kr/dsaf001/main.do?rcpNo=20260303002491", "공시열람")</f>
        <v/>
      </c>
    </row>
    <row r="770">
      <c r="A770" s="2" t="inlineStr">
        <is>
          <t>2026-02-05 (정정: 2026-03-03)</t>
        </is>
      </c>
      <c r="B770" s="3" t="inlineStr">
        <is>
          <t>미스터블루</t>
        </is>
      </c>
      <c r="C770" s="2" t="inlineStr">
        <is>
          <t>코스닥</t>
        </is>
      </c>
      <c r="D770" s="2" t="inlineStr">
        <is>
          <t>207760</t>
        </is>
      </c>
      <c r="E770" s="3" t="inlineStr">
        <is>
          <t xml:space="preserve">[기재정정]주주총회소집결의              </t>
        </is>
      </c>
      <c r="F770" s="3" t="inlineStr">
        <is>
          <t>미스터블루</t>
        </is>
      </c>
      <c r="G770" s="2" t="inlineStr">
        <is>
          <t>20260303900724</t>
        </is>
      </c>
      <c r="H770" s="8">
        <f>HYPERLINK("https://dart.fss.or.kr/dsaf001/main.do?rcpNo=20260303900724", "공시열람")</f>
        <v/>
      </c>
    </row>
    <row r="771">
      <c r="A771" s="2" t="inlineStr">
        <is>
          <t>2026-03-03</t>
        </is>
      </c>
      <c r="B771" s="3" t="inlineStr">
        <is>
          <t>에이프릴바이오</t>
        </is>
      </c>
      <c r="C771" s="2" t="inlineStr">
        <is>
          <t>코스닥</t>
        </is>
      </c>
      <c r="D771" s="2" t="inlineStr">
        <is>
          <t>397030</t>
        </is>
      </c>
      <c r="E771" s="3" t="inlineStr">
        <is>
          <t xml:space="preserve">주주총회소집결의              </t>
        </is>
      </c>
      <c r="F771" s="3" t="inlineStr">
        <is>
          <t>에이프릴바이오</t>
        </is>
      </c>
      <c r="G771" s="2" t="inlineStr">
        <is>
          <t>20260303900765</t>
        </is>
      </c>
      <c r="H771" s="8">
        <f>HYPERLINK("https://dart.fss.or.kr/dsaf001/main.do?rcpNo=20260303900765", "공시열람")</f>
        <v/>
      </c>
    </row>
    <row r="772">
      <c r="A772" s="2" t="inlineStr">
        <is>
          <t>2026-03-03</t>
        </is>
      </c>
      <c r="B772" s="3" t="inlineStr">
        <is>
          <t>엠로</t>
        </is>
      </c>
      <c r="C772" s="2" t="inlineStr">
        <is>
          <t>코스닥</t>
        </is>
      </c>
      <c r="D772" s="2" t="inlineStr">
        <is>
          <t>058970</t>
        </is>
      </c>
      <c r="E772" s="3" t="inlineStr">
        <is>
          <t>주주총회소집공고</t>
        </is>
      </c>
      <c r="F772" s="3" t="inlineStr">
        <is>
          <t>엠로</t>
        </is>
      </c>
      <c r="G772" s="2" t="inlineStr">
        <is>
          <t>20260303002466</t>
        </is>
      </c>
      <c r="H772" s="8">
        <f>HYPERLINK("https://dart.fss.or.kr/dsaf001/main.do?rcpNo=20260303002466", "공시열람")</f>
        <v/>
      </c>
    </row>
    <row r="773">
      <c r="A773" s="2" t="inlineStr">
        <is>
          <t>2026-03-03</t>
        </is>
      </c>
      <c r="B773" s="3" t="inlineStr">
        <is>
          <t>솔트웨어</t>
        </is>
      </c>
      <c r="C773" s="2" t="inlineStr">
        <is>
          <t>코스닥</t>
        </is>
      </c>
      <c r="D773" s="2" t="inlineStr">
        <is>
          <t>328380</t>
        </is>
      </c>
      <c r="E773" s="3" t="inlineStr">
        <is>
          <t>주주총회소집공고</t>
        </is>
      </c>
      <c r="F773" s="3" t="inlineStr">
        <is>
          <t>솔트웨어</t>
        </is>
      </c>
      <c r="G773" s="2" t="inlineStr">
        <is>
          <t>20260303002460</t>
        </is>
      </c>
      <c r="H773" s="8">
        <f>HYPERLINK("https://dart.fss.or.kr/dsaf001/main.do?rcpNo=20260303002460", "공시열람")</f>
        <v/>
      </c>
    </row>
    <row r="774">
      <c r="A774" s="2" t="inlineStr">
        <is>
          <t>2026-03-03</t>
        </is>
      </c>
      <c r="B774" s="3" t="inlineStr">
        <is>
          <t>디앤디파마텍</t>
        </is>
      </c>
      <c r="C774" s="2" t="inlineStr">
        <is>
          <t>코스닥</t>
        </is>
      </c>
      <c r="D774" s="2" t="inlineStr">
        <is>
          <t>347850</t>
        </is>
      </c>
      <c r="E774" s="3" t="inlineStr">
        <is>
          <t xml:space="preserve">주주총회집중일개최사유신고              </t>
        </is>
      </c>
      <c r="F774" s="3" t="inlineStr">
        <is>
          <t>디앤디파마텍</t>
        </is>
      </c>
      <c r="G774" s="2" t="inlineStr">
        <is>
          <t>20260303900780</t>
        </is>
      </c>
      <c r="H774" s="8">
        <f>HYPERLINK("https://dart.fss.or.kr/dsaf001/main.do?rcpNo=20260303900780", "공시열람")</f>
        <v/>
      </c>
    </row>
    <row r="775">
      <c r="A775" s="2" t="inlineStr">
        <is>
          <t>2026-03-03</t>
        </is>
      </c>
      <c r="B775" s="3" t="inlineStr">
        <is>
          <t>퍼스텍</t>
        </is>
      </c>
      <c r="C775" s="2" t="inlineStr">
        <is>
          <t>코스피</t>
        </is>
      </c>
      <c r="D775" s="2" t="inlineStr">
        <is>
          <t>010820</t>
        </is>
      </c>
      <c r="E775" s="3" t="inlineStr">
        <is>
          <t xml:space="preserve">주주총회소집결의              </t>
        </is>
      </c>
      <c r="F775" s="3" t="inlineStr">
        <is>
          <t>퍼스텍</t>
        </is>
      </c>
      <c r="G775" s="2" t="inlineStr">
        <is>
          <t>20260303800775</t>
        </is>
      </c>
      <c r="H775" s="8">
        <f>HYPERLINK("https://dart.fss.or.kr/dsaf001/main.do?rcpNo=20260303800775", "공시열람")</f>
        <v/>
      </c>
    </row>
    <row r="776">
      <c r="A776" s="2" t="inlineStr">
        <is>
          <t>2026-03-03</t>
        </is>
      </c>
      <c r="B776" s="3" t="inlineStr">
        <is>
          <t>남성</t>
        </is>
      </c>
      <c r="C776" s="2" t="inlineStr">
        <is>
          <t>코스피</t>
        </is>
      </c>
      <c r="D776" s="2" t="inlineStr">
        <is>
          <t>004270</t>
        </is>
      </c>
      <c r="E776" s="3" t="inlineStr">
        <is>
          <t xml:space="preserve">주주총회집중일개최사유신고              </t>
        </is>
      </c>
      <c r="F776" s="3" t="inlineStr">
        <is>
          <t>남성</t>
        </is>
      </c>
      <c r="G776" s="2" t="inlineStr">
        <is>
          <t>20260303800766</t>
        </is>
      </c>
      <c r="H776" s="8">
        <f>HYPERLINK("https://dart.fss.or.kr/dsaf001/main.do?rcpNo=20260303800766", "공시열람")</f>
        <v/>
      </c>
    </row>
    <row r="777">
      <c r="A777" s="2" t="inlineStr">
        <is>
          <t>2026-03-03</t>
        </is>
      </c>
      <c r="B777" s="3" t="inlineStr">
        <is>
          <t>신진에스엠</t>
        </is>
      </c>
      <c r="C777" s="2" t="inlineStr">
        <is>
          <t>코스닥</t>
        </is>
      </c>
      <c r="D777" s="2" t="inlineStr">
        <is>
          <t>138070</t>
        </is>
      </c>
      <c r="E777" s="3" t="inlineStr">
        <is>
          <t xml:space="preserve">주주총회소집결의              </t>
        </is>
      </c>
      <c r="F777" s="3" t="inlineStr">
        <is>
          <t>신진에스엠</t>
        </is>
      </c>
      <c r="G777" s="2" t="inlineStr">
        <is>
          <t>20260303900738</t>
        </is>
      </c>
      <c r="H777" s="8">
        <f>HYPERLINK("https://dart.fss.or.kr/dsaf001/main.do?rcpNo=20260303900738", "공시열람")</f>
        <v/>
      </c>
    </row>
    <row r="778">
      <c r="A778" s="2" t="inlineStr">
        <is>
          <t>2026-03-03 (정정: 2026-03-03)</t>
        </is>
      </c>
      <c r="B778" s="3" t="inlineStr">
        <is>
          <t>한라캐스트</t>
        </is>
      </c>
      <c r="C778" s="2" t="inlineStr">
        <is>
          <t>코스닥</t>
        </is>
      </c>
      <c r="D778" s="2" t="inlineStr">
        <is>
          <t>125490</t>
        </is>
      </c>
      <c r="E778" s="3" t="inlineStr">
        <is>
          <t>[기재정정]주주총회소집공고 (정정: 20260303)</t>
        </is>
      </c>
      <c r="F778" s="3" t="inlineStr">
        <is>
          <t>한라캐스트</t>
        </is>
      </c>
      <c r="G778" s="2" t="inlineStr">
        <is>
          <t>20260303900528</t>
        </is>
      </c>
      <c r="H778" s="8">
        <f>HYPERLINK("https://dart.fss.or.kr/dsaf001/main.do?rcpNo=20260303900528", "공시열람")</f>
        <v/>
      </c>
    </row>
    <row r="779">
      <c r="A779" s="2" t="inlineStr">
        <is>
          <t>2026-03-03</t>
        </is>
      </c>
      <c r="B779" s="3" t="inlineStr">
        <is>
          <t>KC그린홀딩스</t>
        </is>
      </c>
      <c r="C779" s="2" t="inlineStr">
        <is>
          <t>코스피</t>
        </is>
      </c>
      <c r="D779" s="2" t="inlineStr">
        <is>
          <t>009440</t>
        </is>
      </c>
      <c r="E779" s="3" t="inlineStr">
        <is>
          <t xml:space="preserve">주주총회소집결의              </t>
        </is>
      </c>
      <c r="F779" s="3" t="inlineStr">
        <is>
          <t>KC그린홀딩스</t>
        </is>
      </c>
      <c r="G779" s="2" t="inlineStr">
        <is>
          <t>20260303800739</t>
        </is>
      </c>
      <c r="H779" s="8">
        <f>HYPERLINK("https://dart.fss.or.kr/dsaf001/main.do?rcpNo=20260303800739", "공시열람")</f>
        <v/>
      </c>
    </row>
    <row r="780">
      <c r="A780" s="2" t="inlineStr">
        <is>
          <t>2026-03-03</t>
        </is>
      </c>
      <c r="B780" s="3" t="inlineStr">
        <is>
          <t>엘컴텍</t>
        </is>
      </c>
      <c r="C780" s="2" t="inlineStr">
        <is>
          <t>코스닥</t>
        </is>
      </c>
      <c r="D780" s="2" t="inlineStr">
        <is>
          <t>037950</t>
        </is>
      </c>
      <c r="E780" s="3" t="inlineStr">
        <is>
          <t>주주총회소집공고</t>
        </is>
      </c>
      <c r="F780" s="3" t="inlineStr">
        <is>
          <t>엘컴텍</t>
        </is>
      </c>
      <c r="G780" s="2" t="inlineStr">
        <is>
          <t>20260303002401</t>
        </is>
      </c>
      <c r="H780" s="8">
        <f>HYPERLINK("https://dart.fss.or.kr/dsaf001/main.do?rcpNo=20260303002401", "공시열람")</f>
        <v/>
      </c>
    </row>
    <row r="781">
      <c r="A781" s="2" t="inlineStr">
        <is>
          <t>2026-03-03 (정정: 2026-05-27)</t>
        </is>
      </c>
      <c r="B781" s="3" t="inlineStr">
        <is>
          <t>디앤디파마텍</t>
        </is>
      </c>
      <c r="C781" s="2" t="inlineStr">
        <is>
          <t>코스닥</t>
        </is>
      </c>
      <c r="D781" s="2" t="inlineStr">
        <is>
          <t>347850</t>
        </is>
      </c>
      <c r="E781" s="3" t="inlineStr">
        <is>
          <t>주주총회소집공고 (정정: 20260527)</t>
        </is>
      </c>
      <c r="F781" s="3" t="inlineStr">
        <is>
          <t>디앤디파마텍</t>
        </is>
      </c>
      <c r="G781" s="2" t="inlineStr">
        <is>
          <t>20260527900151</t>
        </is>
      </c>
      <c r="H781" s="8">
        <f>HYPERLINK("https://dart.fss.or.kr/dsaf001/main.do?rcpNo=20260527900151", "공시열람")</f>
        <v/>
      </c>
    </row>
    <row r="782">
      <c r="A782" s="2" t="inlineStr">
        <is>
          <t>2026-03-03</t>
        </is>
      </c>
      <c r="B782" s="3" t="inlineStr">
        <is>
          <t>엘컴텍</t>
        </is>
      </c>
      <c r="C782" s="2" t="inlineStr">
        <is>
          <t>코스닥</t>
        </is>
      </c>
      <c r="D782" s="2" t="inlineStr">
        <is>
          <t>037950</t>
        </is>
      </c>
      <c r="E782" s="3" t="inlineStr">
        <is>
          <t xml:space="preserve">[기재정정]주주총회소집결의              </t>
        </is>
      </c>
      <c r="F782" s="3" t="inlineStr">
        <is>
          <t>엘컴텍</t>
        </is>
      </c>
      <c r="G782" s="2" t="inlineStr">
        <is>
          <t>20260303900699</t>
        </is>
      </c>
      <c r="H782" s="8">
        <f>HYPERLINK("https://dart.fss.or.kr/dsaf001/main.do?rcpNo=20260303900699", "공시열람")</f>
        <v/>
      </c>
    </row>
    <row r="783">
      <c r="A783" s="2" t="inlineStr">
        <is>
          <t>2026-03-03</t>
        </is>
      </c>
      <c r="B783" s="3" t="inlineStr">
        <is>
          <t>남성</t>
        </is>
      </c>
      <c r="C783" s="2" t="inlineStr">
        <is>
          <t>코스피</t>
        </is>
      </c>
      <c r="D783" s="2" t="inlineStr">
        <is>
          <t>004270</t>
        </is>
      </c>
      <c r="E783" s="3" t="inlineStr">
        <is>
          <t xml:space="preserve">주주총회소집결의              </t>
        </is>
      </c>
      <c r="F783" s="3" t="inlineStr">
        <is>
          <t>남성</t>
        </is>
      </c>
      <c r="G783" s="2" t="inlineStr">
        <is>
          <t>20260303800725</t>
        </is>
      </c>
      <c r="H783" s="8">
        <f>HYPERLINK("https://dart.fss.or.kr/dsaf001/main.do?rcpNo=20260303800725", "공시열람")</f>
        <v/>
      </c>
    </row>
    <row r="784">
      <c r="A784" s="2" t="inlineStr">
        <is>
          <t>2026-03-03</t>
        </is>
      </c>
      <c r="B784" s="3" t="inlineStr">
        <is>
          <t>환인제약</t>
        </is>
      </c>
      <c r="C784" s="2" t="inlineStr">
        <is>
          <t>코스피</t>
        </is>
      </c>
      <c r="D784" s="2" t="inlineStr">
        <is>
          <t>016580</t>
        </is>
      </c>
      <c r="E784" s="3" t="inlineStr">
        <is>
          <t xml:space="preserve">주주총회소집결의              </t>
        </is>
      </c>
      <c r="F784" s="3" t="inlineStr">
        <is>
          <t>환인제약</t>
        </is>
      </c>
      <c r="G784" s="2" t="inlineStr">
        <is>
          <t>20260303800651</t>
        </is>
      </c>
      <c r="H784" s="8">
        <f>HYPERLINK("https://dart.fss.or.kr/dsaf001/main.do?rcpNo=20260303800651", "공시열람")</f>
        <v/>
      </c>
    </row>
    <row r="785">
      <c r="A785" s="2" t="inlineStr">
        <is>
          <t>2026-03-03</t>
        </is>
      </c>
      <c r="B785" s="3" t="inlineStr">
        <is>
          <t>일진파워</t>
        </is>
      </c>
      <c r="C785" s="2" t="inlineStr">
        <is>
          <t>코스닥</t>
        </is>
      </c>
      <c r="D785" s="2" t="inlineStr">
        <is>
          <t>094820</t>
        </is>
      </c>
      <c r="E785" s="3" t="inlineStr">
        <is>
          <t xml:space="preserve">주주총회소집결의              </t>
        </is>
      </c>
      <c r="F785" s="3" t="inlineStr">
        <is>
          <t>일진파워</t>
        </is>
      </c>
      <c r="G785" s="2" t="inlineStr">
        <is>
          <t>20260303900692</t>
        </is>
      </c>
      <c r="H785" s="8">
        <f>HYPERLINK("https://dart.fss.or.kr/dsaf001/main.do?rcpNo=20260303900692", "공시열람")</f>
        <v/>
      </c>
    </row>
    <row r="786">
      <c r="A786" s="2" t="inlineStr">
        <is>
          <t>2026-03-03</t>
        </is>
      </c>
      <c r="B786" s="3" t="inlineStr">
        <is>
          <t>아진엑스텍</t>
        </is>
      </c>
      <c r="C786" s="2" t="inlineStr">
        <is>
          <t>코스닥</t>
        </is>
      </c>
      <c r="D786" s="2" t="inlineStr">
        <is>
          <t>059120</t>
        </is>
      </c>
      <c r="E786" s="3" t="inlineStr">
        <is>
          <t xml:space="preserve">주주총회소집결의              </t>
        </is>
      </c>
      <c r="F786" s="3" t="inlineStr">
        <is>
          <t>아진엑스텍</t>
        </is>
      </c>
      <c r="G786" s="2" t="inlineStr">
        <is>
          <t>20260303900539</t>
        </is>
      </c>
      <c r="H786" s="8">
        <f>HYPERLINK("https://dart.fss.or.kr/dsaf001/main.do?rcpNo=20260303900539", "공시열람")</f>
        <v/>
      </c>
    </row>
    <row r="787">
      <c r="A787" s="2" t="inlineStr">
        <is>
          <t>2026-03-03 (정정: 2026-06-04)</t>
        </is>
      </c>
      <c r="B787" s="3" t="inlineStr">
        <is>
          <t>클로봇</t>
        </is>
      </c>
      <c r="C787" s="2" t="inlineStr">
        <is>
          <t>코스닥</t>
        </is>
      </c>
      <c r="D787" s="2" t="inlineStr">
        <is>
          <t>466100</t>
        </is>
      </c>
      <c r="E787" s="3" t="inlineStr">
        <is>
          <t>주주총회집중일개최사유신고               (정정: 20260604)</t>
        </is>
      </c>
      <c r="F787" s="3" t="inlineStr">
        <is>
          <t>클로봇</t>
        </is>
      </c>
      <c r="G787" s="2" t="inlineStr">
        <is>
          <t>20260604000562</t>
        </is>
      </c>
      <c r="H787" s="8">
        <f>HYPERLINK("https://dart.fss.or.kr/dsaf001/main.do?rcpNo=20260604000562", "공시열람")</f>
        <v/>
      </c>
    </row>
    <row r="788">
      <c r="A788" s="2" t="inlineStr">
        <is>
          <t>2026-03-03</t>
        </is>
      </c>
      <c r="B788" s="3" t="inlineStr">
        <is>
          <t>네오팜</t>
        </is>
      </c>
      <c r="C788" s="2" t="inlineStr">
        <is>
          <t>코스닥</t>
        </is>
      </c>
      <c r="D788" s="2" t="inlineStr">
        <is>
          <t>092730</t>
        </is>
      </c>
      <c r="E788" s="3" t="inlineStr">
        <is>
          <t xml:space="preserve">주주총회소집결의              </t>
        </is>
      </c>
      <c r="F788" s="3" t="inlineStr">
        <is>
          <t>네오팜</t>
        </is>
      </c>
      <c r="G788" s="2" t="inlineStr">
        <is>
          <t>20260303900619</t>
        </is>
      </c>
      <c r="H788" s="8">
        <f>HYPERLINK("https://dart.fss.or.kr/dsaf001/main.do?rcpNo=20260303900619", "공시열람")</f>
        <v/>
      </c>
    </row>
    <row r="789">
      <c r="A789" s="2" t="inlineStr">
        <is>
          <t>2026-03-03</t>
        </is>
      </c>
      <c r="B789" s="3" t="inlineStr">
        <is>
          <t>웹젠</t>
        </is>
      </c>
      <c r="C789" s="2" t="inlineStr">
        <is>
          <t>코스닥</t>
        </is>
      </c>
      <c r="D789" s="2" t="inlineStr">
        <is>
          <t>069080</t>
        </is>
      </c>
      <c r="E789" s="3" t="inlineStr">
        <is>
          <t>주주총회소집공고</t>
        </is>
      </c>
      <c r="F789" s="3" t="inlineStr">
        <is>
          <t>웹젠</t>
        </is>
      </c>
      <c r="G789" s="2" t="inlineStr">
        <is>
          <t>20260303002334</t>
        </is>
      </c>
      <c r="H789" s="8">
        <f>HYPERLINK("https://dart.fss.or.kr/dsaf001/main.do?rcpNo=20260303002334", "공시열람")</f>
        <v/>
      </c>
    </row>
    <row r="790">
      <c r="A790" s="2" t="inlineStr">
        <is>
          <t>2026-03-03</t>
        </is>
      </c>
      <c r="B790" s="3" t="inlineStr">
        <is>
          <t>오션스바이오</t>
        </is>
      </c>
      <c r="C790" s="2" t="inlineStr">
        <is>
          <t>코넥스</t>
        </is>
      </c>
      <c r="D790" s="2" t="inlineStr">
        <is>
          <t>332190</t>
        </is>
      </c>
      <c r="E790" s="3" t="inlineStr">
        <is>
          <t>주주총회소집공고</t>
        </is>
      </c>
      <c r="F790" s="3" t="inlineStr">
        <is>
          <t>오션스바이오</t>
        </is>
      </c>
      <c r="G790" s="2" t="inlineStr">
        <is>
          <t>20260303002328</t>
        </is>
      </c>
      <c r="H790" s="8">
        <f>HYPERLINK("https://dart.fss.or.kr/dsaf001/main.do?rcpNo=20260303002328", "공시열람")</f>
        <v/>
      </c>
    </row>
    <row r="791">
      <c r="A791" s="2" t="inlineStr">
        <is>
          <t>2026-03-03</t>
        </is>
      </c>
      <c r="B791" s="3" t="inlineStr">
        <is>
          <t>에스티팜</t>
        </is>
      </c>
      <c r="C791" s="2" t="inlineStr">
        <is>
          <t>코스닥</t>
        </is>
      </c>
      <c r="D791" s="2" t="inlineStr">
        <is>
          <t>237690</t>
        </is>
      </c>
      <c r="E791" s="3" t="inlineStr">
        <is>
          <t>주주총회소집공고</t>
        </is>
      </c>
      <c r="F791" s="3" t="inlineStr">
        <is>
          <t>에스티팜</t>
        </is>
      </c>
      <c r="G791" s="2" t="inlineStr">
        <is>
          <t>20260303002309</t>
        </is>
      </c>
      <c r="H791" s="8">
        <f>HYPERLINK("https://dart.fss.or.kr/dsaf001/main.do?rcpNo=20260303002309", "공시열람")</f>
        <v/>
      </c>
    </row>
    <row r="792">
      <c r="A792" s="2" t="inlineStr">
        <is>
          <t>2026-03-03</t>
        </is>
      </c>
      <c r="B792" s="3" t="inlineStr">
        <is>
          <t>한국수출포장공업</t>
        </is>
      </c>
      <c r="C792" s="2" t="inlineStr">
        <is>
          <t>코스피</t>
        </is>
      </c>
      <c r="D792" s="2" t="inlineStr">
        <is>
          <t>002200</t>
        </is>
      </c>
      <c r="E792" s="3" t="inlineStr">
        <is>
          <t>주주총회소집공고</t>
        </is>
      </c>
      <c r="F792" s="3" t="inlineStr">
        <is>
          <t>한국수출포장공업</t>
        </is>
      </c>
      <c r="G792" s="2" t="inlineStr">
        <is>
          <t>20260303002281</t>
        </is>
      </c>
      <c r="H792" s="8">
        <f>HYPERLINK("https://dart.fss.or.kr/dsaf001/main.do?rcpNo=20260303002281", "공시열람")</f>
        <v/>
      </c>
    </row>
    <row r="793">
      <c r="A793" s="2" t="inlineStr">
        <is>
          <t>2026-03-03</t>
        </is>
      </c>
      <c r="B793" s="3" t="inlineStr">
        <is>
          <t>동국제강</t>
        </is>
      </c>
      <c r="C793" s="2" t="inlineStr">
        <is>
          <t>코스피</t>
        </is>
      </c>
      <c r="D793" s="2" t="inlineStr">
        <is>
          <t>460860</t>
        </is>
      </c>
      <c r="E793" s="3" t="inlineStr">
        <is>
          <t xml:space="preserve">주주총회소집결의              </t>
        </is>
      </c>
      <c r="F793" s="3" t="inlineStr">
        <is>
          <t>동국제강</t>
        </is>
      </c>
      <c r="G793" s="2" t="inlineStr">
        <is>
          <t>20260303800614</t>
        </is>
      </c>
      <c r="H793" s="8">
        <f>HYPERLINK("https://dart.fss.or.kr/dsaf001/main.do?rcpNo=20260303800614", "공시열람")</f>
        <v/>
      </c>
    </row>
    <row r="794">
      <c r="A794" s="2" t="inlineStr">
        <is>
          <t>2026-03-03</t>
        </is>
      </c>
      <c r="B794" s="3" t="inlineStr">
        <is>
          <t>이스트소프트</t>
        </is>
      </c>
      <c r="C794" s="2" t="inlineStr">
        <is>
          <t>코스닥</t>
        </is>
      </c>
      <c r="D794" s="2" t="inlineStr">
        <is>
          <t>047560</t>
        </is>
      </c>
      <c r="E794" s="3" t="inlineStr">
        <is>
          <t xml:space="preserve">주주총회소집결의              </t>
        </is>
      </c>
      <c r="F794" s="3" t="inlineStr">
        <is>
          <t>이스트소프트</t>
        </is>
      </c>
      <c r="G794" s="2" t="inlineStr">
        <is>
          <t>20260303900610</t>
        </is>
      </c>
      <c r="H794" s="8">
        <f>HYPERLINK("https://dart.fss.or.kr/dsaf001/main.do?rcpNo=20260303900610", "공시열람")</f>
        <v/>
      </c>
    </row>
    <row r="795">
      <c r="A795" s="2" t="inlineStr">
        <is>
          <t>2026-03-03</t>
        </is>
      </c>
      <c r="B795" s="3" t="inlineStr">
        <is>
          <t>캐프</t>
        </is>
      </c>
      <c r="C795" s="2" t="inlineStr">
        <is>
          <t>코스닥</t>
        </is>
      </c>
      <c r="D795" s="2" t="inlineStr">
        <is>
          <t>198080</t>
        </is>
      </c>
      <c r="E795" s="3" t="inlineStr">
        <is>
          <t xml:space="preserve">주주총회소집결의              </t>
        </is>
      </c>
      <c r="F795" s="3" t="inlineStr">
        <is>
          <t>캐프</t>
        </is>
      </c>
      <c r="G795" s="2" t="inlineStr">
        <is>
          <t>20260303900598</t>
        </is>
      </c>
      <c r="H795" s="8">
        <f>HYPERLINK("https://dart.fss.or.kr/dsaf001/main.do?rcpNo=20260303900598", "공시열람")</f>
        <v/>
      </c>
    </row>
    <row r="796">
      <c r="A796" s="2" t="inlineStr">
        <is>
          <t>2026-03-03</t>
        </is>
      </c>
      <c r="B796" s="3" t="inlineStr">
        <is>
          <t>한라캐스트</t>
        </is>
      </c>
      <c r="C796" s="2" t="inlineStr">
        <is>
          <t>코스닥</t>
        </is>
      </c>
      <c r="D796" s="2" t="inlineStr">
        <is>
          <t>125490</t>
        </is>
      </c>
      <c r="E796" s="3" t="inlineStr">
        <is>
          <t>주주총회소집공고</t>
        </is>
      </c>
      <c r="F796" s="3" t="inlineStr">
        <is>
          <t>한라캐스트</t>
        </is>
      </c>
      <c r="G796" s="2" t="inlineStr">
        <is>
          <t>20260303002267</t>
        </is>
      </c>
      <c r="H796" s="8">
        <f>HYPERLINK("https://dart.fss.or.kr/dsaf001/main.do?rcpNo=20260303002267", "공시열람")</f>
        <v/>
      </c>
    </row>
    <row r="797">
      <c r="A797" s="2" t="inlineStr">
        <is>
          <t>2026-03-03</t>
        </is>
      </c>
      <c r="B797" s="3" t="inlineStr">
        <is>
          <t>캔버스엔</t>
        </is>
      </c>
      <c r="C797" s="2" t="inlineStr">
        <is>
          <t>코스닥</t>
        </is>
      </c>
      <c r="D797" s="2" t="inlineStr">
        <is>
          <t>210120</t>
        </is>
      </c>
      <c r="E797" s="3" t="inlineStr">
        <is>
          <t xml:space="preserve">임시주주총회결과              </t>
        </is>
      </c>
      <c r="F797" s="3" t="inlineStr">
        <is>
          <t>캔버스엔</t>
        </is>
      </c>
      <c r="G797" s="2" t="inlineStr">
        <is>
          <t>20260303900618</t>
        </is>
      </c>
      <c r="H797" s="8">
        <f>HYPERLINK("https://dart.fss.or.kr/dsaf001/main.do?rcpNo=20260303900618", "공시열람")</f>
        <v/>
      </c>
    </row>
    <row r="798">
      <c r="A798" s="2" t="inlineStr">
        <is>
          <t>2026-03-03</t>
        </is>
      </c>
      <c r="B798" s="3" t="inlineStr">
        <is>
          <t>이루온</t>
        </is>
      </c>
      <c r="C798" s="2" t="inlineStr">
        <is>
          <t>코스닥</t>
        </is>
      </c>
      <c r="D798" s="2" t="inlineStr">
        <is>
          <t>065440</t>
        </is>
      </c>
      <c r="E798" s="3" t="inlineStr">
        <is>
          <t xml:space="preserve">주주총회집중일개최사유신고              </t>
        </is>
      </c>
      <c r="F798" s="3" t="inlineStr">
        <is>
          <t>이루온</t>
        </is>
      </c>
      <c r="G798" s="2" t="inlineStr">
        <is>
          <t>20260303900583</t>
        </is>
      </c>
      <c r="H798" s="8">
        <f>HYPERLINK("https://dart.fss.or.kr/dsaf001/main.do?rcpNo=20260303900583", "공시열람")</f>
        <v/>
      </c>
    </row>
    <row r="799">
      <c r="A799" s="2" t="inlineStr">
        <is>
          <t>2026-03-03</t>
        </is>
      </c>
      <c r="B799" s="3" t="inlineStr">
        <is>
          <t>파트론</t>
        </is>
      </c>
      <c r="C799" s="2" t="inlineStr">
        <is>
          <t>코스닥</t>
        </is>
      </c>
      <c r="D799" s="2" t="inlineStr">
        <is>
          <t>091700</t>
        </is>
      </c>
      <c r="E799" s="3" t="inlineStr">
        <is>
          <t xml:space="preserve">주주총회소집결의              </t>
        </is>
      </c>
      <c r="F799" s="3" t="inlineStr">
        <is>
          <t>파트론</t>
        </is>
      </c>
      <c r="G799" s="2" t="inlineStr">
        <is>
          <t>20260303900567</t>
        </is>
      </c>
      <c r="H799" s="8">
        <f>HYPERLINK("https://dart.fss.or.kr/dsaf001/main.do?rcpNo=20260303900567", "공시열람")</f>
        <v/>
      </c>
    </row>
    <row r="800">
      <c r="A800" s="2" t="inlineStr">
        <is>
          <t>2026-03-03 (정정: 2026-03-03)</t>
        </is>
      </c>
      <c r="B800" s="3" t="inlineStr">
        <is>
          <t>웹젠</t>
        </is>
      </c>
      <c r="C800" s="2" t="inlineStr">
        <is>
          <t>코스닥</t>
        </is>
      </c>
      <c r="D800" s="2" t="inlineStr">
        <is>
          <t>069080</t>
        </is>
      </c>
      <c r="E800" s="3" t="inlineStr">
        <is>
          <t>주주총회집중일개최사유신고               (정정: 20260303)</t>
        </is>
      </c>
      <c r="F800" s="3" t="inlineStr">
        <is>
          <t>웹젠</t>
        </is>
      </c>
      <c r="G800" s="2" t="inlineStr">
        <is>
          <t>20260303900540</t>
        </is>
      </c>
      <c r="H800" s="8">
        <f>HYPERLINK("https://dart.fss.or.kr/dsaf001/main.do?rcpNo=20260303900540", "공시열람")</f>
        <v/>
      </c>
    </row>
    <row r="801">
      <c r="A801" s="2" t="inlineStr">
        <is>
          <t>2026-03-03</t>
        </is>
      </c>
      <c r="B801" s="3" t="inlineStr">
        <is>
          <t>이루온</t>
        </is>
      </c>
      <c r="C801" s="2" t="inlineStr">
        <is>
          <t>코스닥</t>
        </is>
      </c>
      <c r="D801" s="2" t="inlineStr">
        <is>
          <t>065440</t>
        </is>
      </c>
      <c r="E801" s="3" t="inlineStr">
        <is>
          <t xml:space="preserve">주주총회소집결의              </t>
        </is>
      </c>
      <c r="F801" s="3" t="inlineStr">
        <is>
          <t>이루온</t>
        </is>
      </c>
      <c r="G801" s="2" t="inlineStr">
        <is>
          <t>20260303900579</t>
        </is>
      </c>
      <c r="H801" s="8">
        <f>HYPERLINK("https://dart.fss.or.kr/dsaf001/main.do?rcpNo=20260303900579", "공시열람")</f>
        <v/>
      </c>
    </row>
    <row r="802">
      <c r="A802" s="2" t="inlineStr">
        <is>
          <t>2026-03-03</t>
        </is>
      </c>
      <c r="B802" s="3" t="inlineStr">
        <is>
          <t>월덱스</t>
        </is>
      </c>
      <c r="C802" s="2" t="inlineStr">
        <is>
          <t>코스닥</t>
        </is>
      </c>
      <c r="D802" s="2" t="inlineStr">
        <is>
          <t>101160</t>
        </is>
      </c>
      <c r="E802" s="3" t="inlineStr">
        <is>
          <t xml:space="preserve">[첨부정정]주주총회소집결의              </t>
        </is>
      </c>
      <c r="F802" s="3" t="inlineStr">
        <is>
          <t>월덱스</t>
        </is>
      </c>
      <c r="G802" s="2" t="inlineStr">
        <is>
          <t>20260303900548</t>
        </is>
      </c>
      <c r="H802" s="8">
        <f>HYPERLINK("https://dart.fss.or.kr/dsaf001/main.do?rcpNo=20260303900548", "공시열람")</f>
        <v/>
      </c>
    </row>
    <row r="803">
      <c r="A803" s="2" t="inlineStr">
        <is>
          <t>2026-03-03</t>
        </is>
      </c>
      <c r="B803" s="3" t="inlineStr">
        <is>
          <t>오션스바이오</t>
        </is>
      </c>
      <c r="C803" s="2" t="inlineStr">
        <is>
          <t>코넥스</t>
        </is>
      </c>
      <c r="D803" s="2" t="inlineStr">
        <is>
          <t>332190</t>
        </is>
      </c>
      <c r="E803" s="3" t="inlineStr">
        <is>
          <t xml:space="preserve">주주총회소집결의              </t>
        </is>
      </c>
      <c r="F803" s="3" t="inlineStr">
        <is>
          <t>오션스바이오</t>
        </is>
      </c>
      <c r="G803" s="2" t="inlineStr">
        <is>
          <t>20260303600566</t>
        </is>
      </c>
      <c r="H803" s="8">
        <f>HYPERLINK("https://dart.fss.or.kr/dsaf001/main.do?rcpNo=20260303600566", "공시열람")</f>
        <v/>
      </c>
    </row>
    <row r="804">
      <c r="A804" s="2" t="inlineStr">
        <is>
          <t>2026-03-03</t>
        </is>
      </c>
      <c r="B804" s="3" t="inlineStr">
        <is>
          <t>아이크래프트</t>
        </is>
      </c>
      <c r="C804" s="2" t="inlineStr">
        <is>
          <t>코스닥</t>
        </is>
      </c>
      <c r="D804" s="2" t="inlineStr">
        <is>
          <t>052460</t>
        </is>
      </c>
      <c r="E804" s="3" t="inlineStr">
        <is>
          <t xml:space="preserve">주주총회소집결의              </t>
        </is>
      </c>
      <c r="F804" s="3" t="inlineStr">
        <is>
          <t>아이크래프트</t>
        </is>
      </c>
      <c r="G804" s="2" t="inlineStr">
        <is>
          <t>20260303900590</t>
        </is>
      </c>
      <c r="H804" s="8">
        <f>HYPERLINK("https://dart.fss.or.kr/dsaf001/main.do?rcpNo=20260303900590", "공시열람")</f>
        <v/>
      </c>
    </row>
    <row r="805">
      <c r="A805" s="2" t="inlineStr">
        <is>
          <t>2026-03-03</t>
        </is>
      </c>
      <c r="B805" s="3" t="inlineStr">
        <is>
          <t>서원인텍</t>
        </is>
      </c>
      <c r="C805" s="2" t="inlineStr">
        <is>
          <t>코스닥</t>
        </is>
      </c>
      <c r="D805" s="2" t="inlineStr">
        <is>
          <t>093920</t>
        </is>
      </c>
      <c r="E805" s="3" t="inlineStr">
        <is>
          <t>주주총회소집공고</t>
        </is>
      </c>
      <c r="F805" s="3" t="inlineStr">
        <is>
          <t>서원인텍</t>
        </is>
      </c>
      <c r="G805" s="2" t="inlineStr">
        <is>
          <t>20260303002229</t>
        </is>
      </c>
      <c r="H805" s="8">
        <f>HYPERLINK("https://dart.fss.or.kr/dsaf001/main.do?rcpNo=20260303002229", "공시열람")</f>
        <v/>
      </c>
    </row>
    <row r="806">
      <c r="A806" s="2" t="inlineStr">
        <is>
          <t>2026-03-03</t>
        </is>
      </c>
      <c r="B806" s="3" t="inlineStr">
        <is>
          <t>안트로젠</t>
        </is>
      </c>
      <c r="C806" s="2" t="inlineStr">
        <is>
          <t>코스닥</t>
        </is>
      </c>
      <c r="D806" s="2" t="inlineStr">
        <is>
          <t>065660</t>
        </is>
      </c>
      <c r="E806" s="3" t="inlineStr">
        <is>
          <t>주주총회소집공고</t>
        </is>
      </c>
      <c r="F806" s="3" t="inlineStr">
        <is>
          <t>안트로젠</t>
        </is>
      </c>
      <c r="G806" s="2" t="inlineStr">
        <is>
          <t>20260303002197</t>
        </is>
      </c>
      <c r="H806" s="8">
        <f>HYPERLINK("https://dart.fss.or.kr/dsaf001/main.do?rcpNo=20260303002197", "공시열람")</f>
        <v/>
      </c>
    </row>
    <row r="807">
      <c r="A807" s="2" t="inlineStr">
        <is>
          <t>2026-03-03</t>
        </is>
      </c>
      <c r="B807" s="3" t="inlineStr">
        <is>
          <t>우진</t>
        </is>
      </c>
      <c r="C807" s="2" t="inlineStr">
        <is>
          <t>코스피</t>
        </is>
      </c>
      <c r="D807" s="2" t="inlineStr">
        <is>
          <t>105840</t>
        </is>
      </c>
      <c r="E807" s="3" t="inlineStr">
        <is>
          <t xml:space="preserve">주주총회소집결의              </t>
        </is>
      </c>
      <c r="F807" s="3" t="inlineStr">
        <is>
          <t>우진</t>
        </is>
      </c>
      <c r="G807" s="2" t="inlineStr">
        <is>
          <t>20260303800522</t>
        </is>
      </c>
      <c r="H807" s="8">
        <f>HYPERLINK("https://dart.fss.or.kr/dsaf001/main.do?rcpNo=20260303800522", "공시열람")</f>
        <v/>
      </c>
    </row>
    <row r="808">
      <c r="A808" s="2" t="inlineStr">
        <is>
          <t>2026-03-03</t>
        </is>
      </c>
      <c r="B808" s="3" t="inlineStr">
        <is>
          <t>한라캐스트</t>
        </is>
      </c>
      <c r="C808" s="2" t="inlineStr">
        <is>
          <t>코스닥</t>
        </is>
      </c>
      <c r="D808" s="2" t="inlineStr">
        <is>
          <t>125490</t>
        </is>
      </c>
      <c r="E808" s="3" t="inlineStr">
        <is>
          <t xml:space="preserve">주주총회집중일개최사유신고              </t>
        </is>
      </c>
      <c r="F808" s="3" t="inlineStr">
        <is>
          <t>한라캐스트</t>
        </is>
      </c>
      <c r="G808" s="2" t="inlineStr">
        <is>
          <t>20260303900570</t>
        </is>
      </c>
      <c r="H808" s="8">
        <f>HYPERLINK("https://dart.fss.or.kr/dsaf001/main.do?rcpNo=20260303900570", "공시열람")</f>
        <v/>
      </c>
    </row>
    <row r="809">
      <c r="A809" s="2" t="inlineStr">
        <is>
          <t>2026-03-03</t>
        </is>
      </c>
      <c r="B809" s="3" t="inlineStr">
        <is>
          <t>레몬</t>
        </is>
      </c>
      <c r="C809" s="2" t="inlineStr">
        <is>
          <t>코스닥</t>
        </is>
      </c>
      <c r="D809" s="2" t="inlineStr">
        <is>
          <t>294140</t>
        </is>
      </c>
      <c r="E809" s="3" t="inlineStr">
        <is>
          <t xml:space="preserve">[기재정정]주주총회소집결의              </t>
        </is>
      </c>
      <c r="F809" s="3" t="inlineStr">
        <is>
          <t>레몬</t>
        </is>
      </c>
      <c r="G809" s="2" t="inlineStr">
        <is>
          <t>20260303900502</t>
        </is>
      </c>
      <c r="H809" s="8">
        <f>HYPERLINK("https://dart.fss.or.kr/dsaf001/main.do?rcpNo=20260303900502", "공시열람")</f>
        <v/>
      </c>
    </row>
    <row r="810">
      <c r="A810" s="2" t="inlineStr">
        <is>
          <t>2026-03-03</t>
        </is>
      </c>
      <c r="B810" s="3" t="inlineStr">
        <is>
          <t>SM Life Design</t>
        </is>
      </c>
      <c r="C810" s="2" t="inlineStr">
        <is>
          <t>코스닥</t>
        </is>
      </c>
      <c r="D810" s="2" t="inlineStr">
        <is>
          <t>063440</t>
        </is>
      </c>
      <c r="E810" s="3" t="inlineStr">
        <is>
          <t xml:space="preserve">주주총회소집결의              </t>
        </is>
      </c>
      <c r="F810" s="3" t="inlineStr">
        <is>
          <t>SM Life Design</t>
        </is>
      </c>
      <c r="G810" s="2" t="inlineStr">
        <is>
          <t>20260303900485</t>
        </is>
      </c>
      <c r="H810" s="8">
        <f>HYPERLINK("https://dart.fss.or.kr/dsaf001/main.do?rcpNo=20260303900485", "공시열람")</f>
        <v/>
      </c>
    </row>
    <row r="811">
      <c r="A811" s="2" t="inlineStr">
        <is>
          <t>2026-02-27 (정정: 2026-03-03)</t>
        </is>
      </c>
      <c r="B811" s="3" t="inlineStr">
        <is>
          <t>본느</t>
        </is>
      </c>
      <c r="C811" s="2" t="inlineStr">
        <is>
          <t>코스닥</t>
        </is>
      </c>
      <c r="D811" s="2" t="inlineStr">
        <is>
          <t>226340</t>
        </is>
      </c>
      <c r="E811" s="3" t="inlineStr">
        <is>
          <t xml:space="preserve">[기재정정]주주총회소집결의              </t>
        </is>
      </c>
      <c r="F811" s="3" t="inlineStr">
        <is>
          <t>본느</t>
        </is>
      </c>
      <c r="G811" s="2" t="inlineStr">
        <is>
          <t>20260303900499</t>
        </is>
      </c>
      <c r="H811" s="8">
        <f>HYPERLINK("https://dart.fss.or.kr/dsaf001/main.do?rcpNo=20260303900499", "공시열람")</f>
        <v/>
      </c>
    </row>
    <row r="812">
      <c r="A812" s="2" t="inlineStr">
        <is>
          <t>2026-03-03 (정정: 2026-03-10)</t>
        </is>
      </c>
      <c r="B812" s="3" t="inlineStr">
        <is>
          <t>지투파워</t>
        </is>
      </c>
      <c r="C812" s="2" t="inlineStr">
        <is>
          <t>코스닥</t>
        </is>
      </c>
      <c r="D812" s="2" t="inlineStr">
        <is>
          <t>388050</t>
        </is>
      </c>
      <c r="E812" s="3" t="inlineStr">
        <is>
          <t>주주총회소집결의               (정정: 20260310)</t>
        </is>
      </c>
      <c r="F812" s="3" t="inlineStr">
        <is>
          <t>지투파워</t>
        </is>
      </c>
      <c r="G812" s="2" t="inlineStr">
        <is>
          <t>20260310900411</t>
        </is>
      </c>
      <c r="H812" s="8">
        <f>HYPERLINK("https://dart.fss.or.kr/dsaf001/main.do?rcpNo=20260310900411", "공시열람")</f>
        <v/>
      </c>
    </row>
    <row r="813">
      <c r="A813" s="2" t="inlineStr">
        <is>
          <t>2026-03-03</t>
        </is>
      </c>
      <c r="B813" s="3" t="inlineStr">
        <is>
          <t>티앤알바이오팹</t>
        </is>
      </c>
      <c r="C813" s="2" t="inlineStr">
        <is>
          <t>코스닥</t>
        </is>
      </c>
      <c r="D813" s="2" t="inlineStr">
        <is>
          <t>246710</t>
        </is>
      </c>
      <c r="E813" s="3" t="inlineStr">
        <is>
          <t>주주총회소집공고</t>
        </is>
      </c>
      <c r="F813" s="3" t="inlineStr">
        <is>
          <t>티앤알바이오팹</t>
        </is>
      </c>
      <c r="G813" s="2" t="inlineStr">
        <is>
          <t>20260303001987</t>
        </is>
      </c>
      <c r="H813" s="8">
        <f>HYPERLINK("https://dart.fss.or.kr/dsaf001/main.do?rcpNo=20260303001987", "공시열람")</f>
        <v/>
      </c>
    </row>
    <row r="814">
      <c r="A814" s="2" t="inlineStr">
        <is>
          <t>2026-03-03</t>
        </is>
      </c>
      <c r="B814" s="3" t="inlineStr">
        <is>
          <t>앤씨앤</t>
        </is>
      </c>
      <c r="C814" s="2" t="inlineStr">
        <is>
          <t>코스닥</t>
        </is>
      </c>
      <c r="D814" s="2" t="inlineStr">
        <is>
          <t>092600</t>
        </is>
      </c>
      <c r="E814" s="3" t="inlineStr">
        <is>
          <t xml:space="preserve">주주총회소집결의              </t>
        </is>
      </c>
      <c r="F814" s="3" t="inlineStr">
        <is>
          <t>앤씨앤</t>
        </is>
      </c>
      <c r="G814" s="2" t="inlineStr">
        <is>
          <t>20260303900442</t>
        </is>
      </c>
      <c r="H814" s="8">
        <f>HYPERLINK("https://dart.fss.or.kr/dsaf001/main.do?rcpNo=20260303900442", "공시열람")</f>
        <v/>
      </c>
    </row>
    <row r="815">
      <c r="A815" s="2" t="inlineStr">
        <is>
          <t>2026-03-03</t>
        </is>
      </c>
      <c r="B815" s="3" t="inlineStr">
        <is>
          <t>한국항공우주</t>
        </is>
      </c>
      <c r="C815" s="2" t="inlineStr">
        <is>
          <t>코스피</t>
        </is>
      </c>
      <c r="D815" s="2" t="inlineStr">
        <is>
          <t>047810</t>
        </is>
      </c>
      <c r="E815" s="3" t="inlineStr">
        <is>
          <t>주주총회소집공고</t>
        </is>
      </c>
      <c r="F815" s="3" t="inlineStr">
        <is>
          <t>한국항공우주</t>
        </is>
      </c>
      <c r="G815" s="2" t="inlineStr">
        <is>
          <t>20260303001967</t>
        </is>
      </c>
      <c r="H815" s="8">
        <f>HYPERLINK("https://dart.fss.or.kr/dsaf001/main.do?rcpNo=20260303001967", "공시열람")</f>
        <v/>
      </c>
    </row>
    <row r="816">
      <c r="A816" s="2" t="inlineStr">
        <is>
          <t>2026-03-03</t>
        </is>
      </c>
      <c r="B816" s="3" t="inlineStr">
        <is>
          <t>메리츠제1호스팩</t>
        </is>
      </c>
      <c r="C816" s="2" t="inlineStr">
        <is>
          <t>코스닥</t>
        </is>
      </c>
      <c r="D816" s="2" t="inlineStr">
        <is>
          <t>0088D0</t>
        </is>
      </c>
      <c r="E816" s="3" t="inlineStr">
        <is>
          <t xml:space="preserve">주주총회집중일개최사유신고              </t>
        </is>
      </c>
      <c r="F816" s="3" t="inlineStr">
        <is>
          <t>메리츠제1호스팩</t>
        </is>
      </c>
      <c r="G816" s="2" t="inlineStr">
        <is>
          <t>20260303900418</t>
        </is>
      </c>
      <c r="H816" s="8">
        <f>HYPERLINK("https://dart.fss.or.kr/dsaf001/main.do?rcpNo=20260303900418", "공시열람")</f>
        <v/>
      </c>
    </row>
    <row r="817">
      <c r="A817" s="2" t="inlineStr">
        <is>
          <t>2026-03-03</t>
        </is>
      </c>
      <c r="B817" s="3" t="inlineStr">
        <is>
          <t>한국경제TV</t>
        </is>
      </c>
      <c r="C817" s="2" t="inlineStr">
        <is>
          <t>코스닥</t>
        </is>
      </c>
      <c r="D817" s="2" t="inlineStr">
        <is>
          <t>039340</t>
        </is>
      </c>
      <c r="E817" s="3" t="inlineStr">
        <is>
          <t xml:space="preserve">[기재정정]주주총회소집결의              </t>
        </is>
      </c>
      <c r="F817" s="3" t="inlineStr">
        <is>
          <t>한국경제TV</t>
        </is>
      </c>
      <c r="G817" s="2" t="inlineStr">
        <is>
          <t>20260303900401</t>
        </is>
      </c>
      <c r="H817" s="8">
        <f>HYPERLINK("https://dart.fss.or.kr/dsaf001/main.do?rcpNo=20260303900401", "공시열람")</f>
        <v/>
      </c>
    </row>
    <row r="818">
      <c r="A818" s="2" t="inlineStr">
        <is>
          <t>2026-03-03</t>
        </is>
      </c>
      <c r="B818" s="3" t="inlineStr">
        <is>
          <t>케이씨피드</t>
        </is>
      </c>
      <c r="C818" s="2" t="inlineStr">
        <is>
          <t>코스닥</t>
        </is>
      </c>
      <c r="D818" s="2" t="inlineStr">
        <is>
          <t>025880</t>
        </is>
      </c>
      <c r="E818" s="3" t="inlineStr">
        <is>
          <t>주주총회소집공고</t>
        </is>
      </c>
      <c r="F818" s="3" t="inlineStr">
        <is>
          <t>케이씨피드</t>
        </is>
      </c>
      <c r="G818" s="2" t="inlineStr">
        <is>
          <t>20260303001942</t>
        </is>
      </c>
      <c r="H818" s="8">
        <f>HYPERLINK("https://dart.fss.or.kr/dsaf001/main.do?rcpNo=20260303001942", "공시열람")</f>
        <v/>
      </c>
    </row>
    <row r="819">
      <c r="A819" s="2" t="inlineStr">
        <is>
          <t>2026-03-03</t>
        </is>
      </c>
      <c r="B819" s="3" t="inlineStr">
        <is>
          <t>진바이오텍</t>
        </is>
      </c>
      <c r="C819" s="2" t="inlineStr">
        <is>
          <t>코스닥</t>
        </is>
      </c>
      <c r="D819" s="2" t="inlineStr">
        <is>
          <t>086060</t>
        </is>
      </c>
      <c r="E819" s="3" t="inlineStr">
        <is>
          <t xml:space="preserve">주주총회소집결의              </t>
        </is>
      </c>
      <c r="F819" s="3" t="inlineStr">
        <is>
          <t>진바이오텍</t>
        </is>
      </c>
      <c r="G819" s="2" t="inlineStr">
        <is>
          <t>20260303900407</t>
        </is>
      </c>
      <c r="H819" s="8">
        <f>HYPERLINK("https://dart.fss.or.kr/dsaf001/main.do?rcpNo=20260303900407", "공시열람")</f>
        <v/>
      </c>
    </row>
    <row r="820">
      <c r="A820" s="2" t="inlineStr">
        <is>
          <t>2026-03-03</t>
        </is>
      </c>
      <c r="B820" s="3" t="inlineStr">
        <is>
          <t>손오공</t>
        </is>
      </c>
      <c r="C820" s="2" t="inlineStr">
        <is>
          <t>코스닥</t>
        </is>
      </c>
      <c r="D820" s="2" t="inlineStr">
        <is>
          <t>066910</t>
        </is>
      </c>
      <c r="E820" s="3" t="inlineStr">
        <is>
          <t xml:space="preserve">주주총회집중일개최사유신고              </t>
        </is>
      </c>
      <c r="F820" s="3" t="inlineStr">
        <is>
          <t>손오공</t>
        </is>
      </c>
      <c r="G820" s="2" t="inlineStr">
        <is>
          <t>20260303900385</t>
        </is>
      </c>
      <c r="H820" s="8">
        <f>HYPERLINK("https://dart.fss.or.kr/dsaf001/main.do?rcpNo=20260303900385", "공시열람")</f>
        <v/>
      </c>
    </row>
    <row r="821">
      <c r="A821" s="2" t="inlineStr">
        <is>
          <t>2026-03-03 (정정: 2026-03-04)</t>
        </is>
      </c>
      <c r="B821" s="3" t="inlineStr">
        <is>
          <t>오아</t>
        </is>
      </c>
      <c r="C821" s="2" t="inlineStr">
        <is>
          <t>코스닥</t>
        </is>
      </c>
      <c r="D821" s="2" t="inlineStr">
        <is>
          <t>342870</t>
        </is>
      </c>
      <c r="E821" s="3" t="inlineStr">
        <is>
          <t>임시주주총회결과               (정정: 20260304)</t>
        </is>
      </c>
      <c r="F821" s="3" t="inlineStr">
        <is>
          <t>오아</t>
        </is>
      </c>
      <c r="G821" s="2" t="inlineStr">
        <is>
          <t>20260304901485</t>
        </is>
      </c>
      <c r="H821" s="8">
        <f>HYPERLINK("https://dart.fss.or.kr/dsaf001/main.do?rcpNo=20260304901485", "공시열람")</f>
        <v/>
      </c>
    </row>
    <row r="822">
      <c r="A822" s="2" t="inlineStr">
        <is>
          <t>2026-03-03</t>
        </is>
      </c>
      <c r="B822" s="3" t="inlineStr">
        <is>
          <t>바이오에프디엔씨</t>
        </is>
      </c>
      <c r="C822" s="2" t="inlineStr">
        <is>
          <t>코스닥</t>
        </is>
      </c>
      <c r="D822" s="2" t="inlineStr">
        <is>
          <t>251120</t>
        </is>
      </c>
      <c r="E822" s="3" t="inlineStr">
        <is>
          <t xml:space="preserve">주주총회집중일개최사유신고              </t>
        </is>
      </c>
      <c r="F822" s="3" t="inlineStr">
        <is>
          <t>바이오에프디엔씨</t>
        </is>
      </c>
      <c r="G822" s="2" t="inlineStr">
        <is>
          <t>20260303900395</t>
        </is>
      </c>
      <c r="H822" s="8">
        <f>HYPERLINK("https://dart.fss.or.kr/dsaf001/main.do?rcpNo=20260303900395", "공시열람")</f>
        <v/>
      </c>
    </row>
    <row r="823">
      <c r="A823" s="2" t="inlineStr">
        <is>
          <t>2026-03-03</t>
        </is>
      </c>
      <c r="B823" s="3" t="inlineStr">
        <is>
          <t>영보화학</t>
        </is>
      </c>
      <c r="C823" s="2" t="inlineStr">
        <is>
          <t>코스피</t>
        </is>
      </c>
      <c r="D823" s="2" t="inlineStr">
        <is>
          <t>014440</t>
        </is>
      </c>
      <c r="E823" s="3" t="inlineStr">
        <is>
          <t>주주총회소집공고</t>
        </is>
      </c>
      <c r="F823" s="3" t="inlineStr">
        <is>
          <t>영보화학</t>
        </is>
      </c>
      <c r="G823" s="2" t="inlineStr">
        <is>
          <t>20260303001835</t>
        </is>
      </c>
      <c r="H823" s="8">
        <f>HYPERLINK("https://dart.fss.or.kr/dsaf001/main.do?rcpNo=20260303001835", "공시열람")</f>
        <v/>
      </c>
    </row>
    <row r="824">
      <c r="A824" s="2" t="inlineStr">
        <is>
          <t>2026-03-03</t>
        </is>
      </c>
      <c r="B824" s="3" t="inlineStr">
        <is>
          <t>파인텍</t>
        </is>
      </c>
      <c r="C824" s="2" t="inlineStr">
        <is>
          <t>코스닥</t>
        </is>
      </c>
      <c r="D824" s="2" t="inlineStr">
        <is>
          <t>131760</t>
        </is>
      </c>
      <c r="E824" s="3" t="inlineStr">
        <is>
          <t>주주총회소집공고</t>
        </is>
      </c>
      <c r="F824" s="3" t="inlineStr">
        <is>
          <t>파인텍</t>
        </is>
      </c>
      <c r="G824" s="2" t="inlineStr">
        <is>
          <t>20260303001819</t>
        </is>
      </c>
      <c r="H824" s="8">
        <f>HYPERLINK("https://dart.fss.or.kr/dsaf001/main.do?rcpNo=20260303001819", "공시열람")</f>
        <v/>
      </c>
    </row>
    <row r="825">
      <c r="A825" s="2" t="inlineStr">
        <is>
          <t>2026-03-03</t>
        </is>
      </c>
      <c r="B825" s="3" t="inlineStr">
        <is>
          <t>바이오에프디엔씨</t>
        </is>
      </c>
      <c r="C825" s="2" t="inlineStr">
        <is>
          <t>코스닥</t>
        </is>
      </c>
      <c r="D825" s="2" t="inlineStr">
        <is>
          <t>251120</t>
        </is>
      </c>
      <c r="E825" s="3" t="inlineStr">
        <is>
          <t xml:space="preserve">주주총회소집결의              </t>
        </is>
      </c>
      <c r="F825" s="3" t="inlineStr">
        <is>
          <t>바이오에프디엔씨</t>
        </is>
      </c>
      <c r="G825" s="2" t="inlineStr">
        <is>
          <t>20260303900387</t>
        </is>
      </c>
      <c r="H825" s="8">
        <f>HYPERLINK("https://dart.fss.or.kr/dsaf001/main.do?rcpNo=20260303900387", "공시열람")</f>
        <v/>
      </c>
    </row>
    <row r="826">
      <c r="A826" s="2" t="inlineStr">
        <is>
          <t>2026-03-03</t>
        </is>
      </c>
      <c r="B826" s="3" t="inlineStr">
        <is>
          <t>퓨쳐켐</t>
        </is>
      </c>
      <c r="C826" s="2" t="inlineStr">
        <is>
          <t>코스닥</t>
        </is>
      </c>
      <c r="D826" s="2" t="inlineStr">
        <is>
          <t>220100</t>
        </is>
      </c>
      <c r="E826" s="3" t="inlineStr">
        <is>
          <t xml:space="preserve">주주총회소집결의              </t>
        </is>
      </c>
      <c r="F826" s="3" t="inlineStr">
        <is>
          <t>퓨쳐켐</t>
        </is>
      </c>
      <c r="G826" s="2" t="inlineStr">
        <is>
          <t>20260303900311</t>
        </is>
      </c>
      <c r="H826" s="8">
        <f>HYPERLINK("https://dart.fss.or.kr/dsaf001/main.do?rcpNo=20260303900311", "공시열람")</f>
        <v/>
      </c>
    </row>
    <row r="827">
      <c r="A827" s="2" t="inlineStr">
        <is>
          <t>2026-03-03</t>
        </is>
      </c>
      <c r="B827" s="3" t="inlineStr">
        <is>
          <t>에스폴리텍</t>
        </is>
      </c>
      <c r="C827" s="2" t="inlineStr">
        <is>
          <t>코스닥</t>
        </is>
      </c>
      <c r="D827" s="2" t="inlineStr">
        <is>
          <t>050760</t>
        </is>
      </c>
      <c r="E827" s="3" t="inlineStr">
        <is>
          <t xml:space="preserve">주주총회소집결의              </t>
        </is>
      </c>
      <c r="F827" s="3" t="inlineStr">
        <is>
          <t>에스폴리텍</t>
        </is>
      </c>
      <c r="G827" s="2" t="inlineStr">
        <is>
          <t>20260303900286</t>
        </is>
      </c>
      <c r="H827" s="8">
        <f>HYPERLINK("https://dart.fss.or.kr/dsaf001/main.do?rcpNo=20260303900286", "공시열람")</f>
        <v/>
      </c>
    </row>
    <row r="828">
      <c r="A828" s="2" t="inlineStr">
        <is>
          <t>2026-03-03</t>
        </is>
      </c>
      <c r="B828" s="3" t="inlineStr">
        <is>
          <t>파인텍</t>
        </is>
      </c>
      <c r="C828" s="2" t="inlineStr">
        <is>
          <t>코스닥</t>
        </is>
      </c>
      <c r="D828" s="2" t="inlineStr">
        <is>
          <t>131760</t>
        </is>
      </c>
      <c r="E828" s="3" t="inlineStr">
        <is>
          <t xml:space="preserve">주주총회집중일개최사유신고              </t>
        </is>
      </c>
      <c r="F828" s="3" t="inlineStr">
        <is>
          <t>파인텍</t>
        </is>
      </c>
      <c r="G828" s="2" t="inlineStr">
        <is>
          <t>20260303900367</t>
        </is>
      </c>
      <c r="H828" s="8">
        <f>HYPERLINK("https://dart.fss.or.kr/dsaf001/main.do?rcpNo=20260303900367", "공시열람")</f>
        <v/>
      </c>
    </row>
    <row r="829">
      <c r="A829" s="2" t="inlineStr">
        <is>
          <t>2026-03-03</t>
        </is>
      </c>
      <c r="B829" s="3" t="inlineStr">
        <is>
          <t>손오공</t>
        </is>
      </c>
      <c r="C829" s="2" t="inlineStr">
        <is>
          <t>코스닥</t>
        </is>
      </c>
      <c r="D829" s="2" t="inlineStr">
        <is>
          <t>066910</t>
        </is>
      </c>
      <c r="E829" s="3" t="inlineStr">
        <is>
          <t xml:space="preserve">주주총회소집결의              </t>
        </is>
      </c>
      <c r="F829" s="3" t="inlineStr">
        <is>
          <t>손오공</t>
        </is>
      </c>
      <c r="G829" s="2" t="inlineStr">
        <is>
          <t>20260303900363</t>
        </is>
      </c>
      <c r="H829" s="8">
        <f>HYPERLINK("https://dart.fss.or.kr/dsaf001/main.do?rcpNo=20260303900363", "공시열람")</f>
        <v/>
      </c>
    </row>
    <row r="830">
      <c r="A830" s="2" t="inlineStr">
        <is>
          <t>2026-03-03</t>
        </is>
      </c>
      <c r="B830" s="3" t="inlineStr">
        <is>
          <t>비피도</t>
        </is>
      </c>
      <c r="C830" s="2" t="inlineStr">
        <is>
          <t>코스닥</t>
        </is>
      </c>
      <c r="D830" s="2" t="inlineStr">
        <is>
          <t>238200</t>
        </is>
      </c>
      <c r="E830" s="3" t="inlineStr">
        <is>
          <t>주주총회소집공고</t>
        </is>
      </c>
      <c r="F830" s="3" t="inlineStr">
        <is>
          <t>비피도</t>
        </is>
      </c>
      <c r="G830" s="2" t="inlineStr">
        <is>
          <t>20260303001751</t>
        </is>
      </c>
      <c r="H830" s="8">
        <f>HYPERLINK("https://dart.fss.or.kr/dsaf001/main.do?rcpNo=20260303001751", "공시열람")</f>
        <v/>
      </c>
    </row>
    <row r="831">
      <c r="A831" s="2" t="inlineStr">
        <is>
          <t>2026-03-03</t>
        </is>
      </c>
      <c r="B831" s="3" t="inlineStr">
        <is>
          <t>파인텍</t>
        </is>
      </c>
      <c r="C831" s="2" t="inlineStr">
        <is>
          <t>코스닥</t>
        </is>
      </c>
      <c r="D831" s="2" t="inlineStr">
        <is>
          <t>131760</t>
        </is>
      </c>
      <c r="E831" s="3" t="inlineStr">
        <is>
          <t xml:space="preserve">주주총회소집결의              </t>
        </is>
      </c>
      <c r="F831" s="3" t="inlineStr">
        <is>
          <t>파인텍</t>
        </is>
      </c>
      <c r="G831" s="2" t="inlineStr">
        <is>
          <t>20260303900318</t>
        </is>
      </c>
      <c r="H831" s="8">
        <f>HYPERLINK("https://dart.fss.or.kr/dsaf001/main.do?rcpNo=20260303900318", "공시열람")</f>
        <v/>
      </c>
    </row>
    <row r="832">
      <c r="A832" s="2" t="inlineStr">
        <is>
          <t>2026-03-03</t>
        </is>
      </c>
      <c r="B832" s="3" t="inlineStr">
        <is>
          <t>유비쿼스홀딩스</t>
        </is>
      </c>
      <c r="C832" s="2" t="inlineStr">
        <is>
          <t>코스닥</t>
        </is>
      </c>
      <c r="D832" s="2" t="inlineStr">
        <is>
          <t>078070</t>
        </is>
      </c>
      <c r="E832" s="3" t="inlineStr">
        <is>
          <t>주주총회소집공고</t>
        </is>
      </c>
      <c r="F832" s="3" t="inlineStr">
        <is>
          <t>유비쿼스홀딩스</t>
        </is>
      </c>
      <c r="G832" s="2" t="inlineStr">
        <is>
          <t>20260303001678</t>
        </is>
      </c>
      <c r="H832" s="8">
        <f>HYPERLINK("https://dart.fss.or.kr/dsaf001/main.do?rcpNo=20260303001678", "공시열람")</f>
        <v/>
      </c>
    </row>
    <row r="833">
      <c r="A833" s="2" t="inlineStr">
        <is>
          <t>2026-03-03</t>
        </is>
      </c>
      <c r="B833" s="3" t="inlineStr">
        <is>
          <t>유비쿼스홀딩스</t>
        </is>
      </c>
      <c r="C833" s="2" t="inlineStr">
        <is>
          <t>코스닥</t>
        </is>
      </c>
      <c r="D833" s="2" t="inlineStr">
        <is>
          <t>078070</t>
        </is>
      </c>
      <c r="E833" s="3" t="inlineStr">
        <is>
          <t xml:space="preserve">주주총회소집결의              </t>
        </is>
      </c>
      <c r="F833" s="3" t="inlineStr">
        <is>
          <t>유비쿼스홀딩스</t>
        </is>
      </c>
      <c r="G833" s="2" t="inlineStr">
        <is>
          <t>20260303900319</t>
        </is>
      </c>
      <c r="H833" s="8">
        <f>HYPERLINK("https://dart.fss.or.kr/dsaf001/main.do?rcpNo=20260303900319", "공시열람")</f>
        <v/>
      </c>
    </row>
    <row r="834">
      <c r="A834" s="2" t="inlineStr">
        <is>
          <t>2026-03-03</t>
        </is>
      </c>
      <c r="B834" s="3" t="inlineStr">
        <is>
          <t>AP위성</t>
        </is>
      </c>
      <c r="C834" s="2" t="inlineStr">
        <is>
          <t>코스닥</t>
        </is>
      </c>
      <c r="D834" s="2" t="inlineStr">
        <is>
          <t>211270</t>
        </is>
      </c>
      <c r="E834" s="3" t="inlineStr">
        <is>
          <t>[기재정정]주주총회소집공고</t>
        </is>
      </c>
      <c r="F834" s="3" t="inlineStr">
        <is>
          <t>AP위성</t>
        </is>
      </c>
      <c r="G834" s="2" t="inlineStr">
        <is>
          <t>20260303001651</t>
        </is>
      </c>
      <c r="H834" s="8">
        <f>HYPERLINK("https://dart.fss.or.kr/dsaf001/main.do?rcpNo=20260303001651", "공시열람")</f>
        <v/>
      </c>
    </row>
    <row r="835">
      <c r="A835" s="2" t="inlineStr">
        <is>
          <t>2026-03-03</t>
        </is>
      </c>
      <c r="B835" s="3" t="inlineStr">
        <is>
          <t>부산산업</t>
        </is>
      </c>
      <c r="C835" s="2" t="inlineStr">
        <is>
          <t>코스피</t>
        </is>
      </c>
      <c r="D835" s="2" t="inlineStr">
        <is>
          <t>011390</t>
        </is>
      </c>
      <c r="E835" s="3" t="inlineStr">
        <is>
          <t xml:space="preserve">주주총회소집결의              </t>
        </is>
      </c>
      <c r="F835" s="3" t="inlineStr">
        <is>
          <t>부산산업</t>
        </is>
      </c>
      <c r="G835" s="2" t="inlineStr">
        <is>
          <t>20260303800314</t>
        </is>
      </c>
      <c r="H835" s="8">
        <f>HYPERLINK("https://dart.fss.or.kr/dsaf001/main.do?rcpNo=20260303800314", "공시열람")</f>
        <v/>
      </c>
    </row>
    <row r="836">
      <c r="A836" s="2" t="inlineStr">
        <is>
          <t>2026-03-03</t>
        </is>
      </c>
      <c r="B836" s="3" t="inlineStr">
        <is>
          <t>에이티넘인베스트</t>
        </is>
      </c>
      <c r="C836" s="2" t="inlineStr">
        <is>
          <t>코스닥</t>
        </is>
      </c>
      <c r="D836" s="2" t="inlineStr">
        <is>
          <t>021080</t>
        </is>
      </c>
      <c r="E836" s="3" t="inlineStr">
        <is>
          <t>주주총회소집공고</t>
        </is>
      </c>
      <c r="F836" s="3" t="inlineStr">
        <is>
          <t>에이티넘인베스트</t>
        </is>
      </c>
      <c r="G836" s="2" t="inlineStr">
        <is>
          <t>20260303001510</t>
        </is>
      </c>
      <c r="H836" s="8">
        <f>HYPERLINK("https://dart.fss.or.kr/dsaf001/main.do?rcpNo=20260303001510", "공시열람")</f>
        <v/>
      </c>
    </row>
    <row r="837">
      <c r="A837" s="2" t="inlineStr">
        <is>
          <t>2026-03-03</t>
        </is>
      </c>
      <c r="B837" s="3" t="inlineStr">
        <is>
          <t>에프알텍</t>
        </is>
      </c>
      <c r="C837" s="2" t="inlineStr">
        <is>
          <t>코스닥</t>
        </is>
      </c>
      <c r="D837" s="2" t="inlineStr">
        <is>
          <t>073540</t>
        </is>
      </c>
      <c r="E837" s="3" t="inlineStr">
        <is>
          <t xml:space="preserve">주주총회소집결의              </t>
        </is>
      </c>
      <c r="F837" s="3" t="inlineStr">
        <is>
          <t>에프알텍</t>
        </is>
      </c>
      <c r="G837" s="2" t="inlineStr">
        <is>
          <t>20260303900259</t>
        </is>
      </c>
      <c r="H837" s="8">
        <f>HYPERLINK("https://dart.fss.or.kr/dsaf001/main.do?rcpNo=20260303900259", "공시열람")</f>
        <v/>
      </c>
    </row>
    <row r="838">
      <c r="A838" s="2" t="inlineStr">
        <is>
          <t>2026-03-03</t>
        </is>
      </c>
      <c r="B838" s="3" t="inlineStr">
        <is>
          <t>한라캐스트</t>
        </is>
      </c>
      <c r="C838" s="2" t="inlineStr">
        <is>
          <t>코스닥</t>
        </is>
      </c>
      <c r="D838" s="2" t="inlineStr">
        <is>
          <t>125490</t>
        </is>
      </c>
      <c r="E838" s="3" t="inlineStr">
        <is>
          <t xml:space="preserve">주주총회소집결의              </t>
        </is>
      </c>
      <c r="F838" s="3" t="inlineStr">
        <is>
          <t>한라캐스트</t>
        </is>
      </c>
      <c r="G838" s="2" t="inlineStr">
        <is>
          <t>20260303900253</t>
        </is>
      </c>
      <c r="H838" s="8">
        <f>HYPERLINK("https://dart.fss.or.kr/dsaf001/main.do?rcpNo=20260303900253", "공시열람")</f>
        <v/>
      </c>
    </row>
    <row r="839">
      <c r="A839" s="2" t="inlineStr">
        <is>
          <t>2026-03-03</t>
        </is>
      </c>
      <c r="B839" s="3" t="inlineStr">
        <is>
          <t>루멘스</t>
        </is>
      </c>
      <c r="C839" s="2" t="inlineStr">
        <is>
          <t>코스닥</t>
        </is>
      </c>
      <c r="D839" s="2" t="inlineStr">
        <is>
          <t>038060</t>
        </is>
      </c>
      <c r="E839" s="3" t="inlineStr">
        <is>
          <t xml:space="preserve">주주총회집중일개최사유신고              </t>
        </is>
      </c>
      <c r="F839" s="3" t="inlineStr">
        <is>
          <t>루멘스</t>
        </is>
      </c>
      <c r="G839" s="2" t="inlineStr">
        <is>
          <t>20260303900252</t>
        </is>
      </c>
      <c r="H839" s="8">
        <f>HYPERLINK("https://dart.fss.or.kr/dsaf001/main.do?rcpNo=20260303900252", "공시열람")</f>
        <v/>
      </c>
    </row>
    <row r="840">
      <c r="A840" s="2" t="inlineStr">
        <is>
          <t>2026-03-03</t>
        </is>
      </c>
      <c r="B840" s="3" t="inlineStr">
        <is>
          <t>루멘스</t>
        </is>
      </c>
      <c r="C840" s="2" t="inlineStr">
        <is>
          <t>코스닥</t>
        </is>
      </c>
      <c r="D840" s="2" t="inlineStr">
        <is>
          <t>038060</t>
        </is>
      </c>
      <c r="E840" s="3" t="inlineStr">
        <is>
          <t xml:space="preserve">주주총회소집결의              </t>
        </is>
      </c>
      <c r="F840" s="3" t="inlineStr">
        <is>
          <t>루멘스</t>
        </is>
      </c>
      <c r="G840" s="2" t="inlineStr">
        <is>
          <t>20260303900250</t>
        </is>
      </c>
      <c r="H840" s="8">
        <f>HYPERLINK("https://dart.fss.or.kr/dsaf001/main.do?rcpNo=20260303900250", "공시열람")</f>
        <v/>
      </c>
    </row>
    <row r="841">
      <c r="A841" s="2" t="inlineStr">
        <is>
          <t>2026-02-12 (정정: 2026-03-03)</t>
        </is>
      </c>
      <c r="B841" s="3" t="inlineStr">
        <is>
          <t>샌즈랩</t>
        </is>
      </c>
      <c r="C841" s="2" t="inlineStr">
        <is>
          <t>코스닥</t>
        </is>
      </c>
      <c r="D841" s="2" t="inlineStr">
        <is>
          <t>411080</t>
        </is>
      </c>
      <c r="E841" s="3" t="inlineStr">
        <is>
          <t xml:space="preserve">[기재정정]주주총회소집결의              </t>
        </is>
      </c>
      <c r="F841" s="3" t="inlineStr">
        <is>
          <t>샌즈랩</t>
        </is>
      </c>
      <c r="G841" s="2" t="inlineStr">
        <is>
          <t>20260303900245</t>
        </is>
      </c>
      <c r="H841" s="8">
        <f>HYPERLINK("https://dart.fss.or.kr/dsaf001/main.do?rcpNo=20260303900245", "공시열람")</f>
        <v/>
      </c>
    </row>
    <row r="842">
      <c r="A842" s="2" t="inlineStr">
        <is>
          <t>2026-03-03 (정정: 2026-03-12)</t>
        </is>
      </c>
      <c r="B842" s="3" t="inlineStr">
        <is>
          <t>엄지하우스</t>
        </is>
      </c>
      <c r="C842" s="2" t="inlineStr">
        <is>
          <t>코넥스</t>
        </is>
      </c>
      <c r="D842" s="2" t="inlineStr">
        <is>
          <t>224810</t>
        </is>
      </c>
      <c r="E842" s="3" t="inlineStr">
        <is>
          <t>[첨부정정]주주총회소집결의               (정정: 20260312)</t>
        </is>
      </c>
      <c r="F842" s="3" t="inlineStr">
        <is>
          <t>엄지하우스</t>
        </is>
      </c>
      <c r="G842" s="2" t="inlineStr">
        <is>
          <t>20260312602130</t>
        </is>
      </c>
      <c r="H842" s="8">
        <f>HYPERLINK("https://dart.fss.or.kr/dsaf001/main.do?rcpNo=20260312602130", "공시열람")</f>
        <v/>
      </c>
    </row>
    <row r="843">
      <c r="A843" s="2" t="inlineStr">
        <is>
          <t>2026-03-03</t>
        </is>
      </c>
      <c r="B843" s="3" t="inlineStr">
        <is>
          <t>비트컴퓨터</t>
        </is>
      </c>
      <c r="C843" s="2" t="inlineStr">
        <is>
          <t>코스닥</t>
        </is>
      </c>
      <c r="D843" s="2" t="inlineStr">
        <is>
          <t>032850</t>
        </is>
      </c>
      <c r="E843" s="3" t="inlineStr">
        <is>
          <t>주주총회소집공고</t>
        </is>
      </c>
      <c r="F843" s="3" t="inlineStr">
        <is>
          <t>비트컴퓨터</t>
        </is>
      </c>
      <c r="G843" s="2" t="inlineStr">
        <is>
          <t>20260303000205</t>
        </is>
      </c>
      <c r="H843" s="8">
        <f>HYPERLINK("https://dart.fss.or.kr/dsaf001/main.do?rcpNo=20260303000205", "공시열람")</f>
        <v/>
      </c>
    </row>
    <row r="844">
      <c r="A844" s="2" t="inlineStr">
        <is>
          <t>2026-03-03 (정정: 2026-03-11)</t>
        </is>
      </c>
      <c r="B844" s="3" t="inlineStr">
        <is>
          <t>이엠티</t>
        </is>
      </c>
      <c r="C844" s="2" t="inlineStr">
        <is>
          <t>코넥스</t>
        </is>
      </c>
      <c r="D844" s="2" t="inlineStr">
        <is>
          <t>232530</t>
        </is>
      </c>
      <c r="E844" s="3" t="inlineStr">
        <is>
          <t>주주총회집중일개최사유신고               (정정: 20260311)</t>
        </is>
      </c>
      <c r="F844" s="3" t="inlineStr">
        <is>
          <t>이엠티</t>
        </is>
      </c>
      <c r="G844" s="2" t="inlineStr">
        <is>
          <t>20260311602392</t>
        </is>
      </c>
      <c r="H844" s="8">
        <f>HYPERLINK("https://dart.fss.or.kr/dsaf001/main.do?rcpNo=20260311602392", "공시열람")</f>
        <v/>
      </c>
    </row>
    <row r="845">
      <c r="A845" s="2" t="inlineStr">
        <is>
          <t>2026-03-03</t>
        </is>
      </c>
      <c r="B845" s="3" t="inlineStr">
        <is>
          <t>KD</t>
        </is>
      </c>
      <c r="C845" s="2" t="inlineStr">
        <is>
          <t>코스닥</t>
        </is>
      </c>
      <c r="D845" s="2" t="inlineStr">
        <is>
          <t>044180</t>
        </is>
      </c>
      <c r="E845" s="3" t="inlineStr">
        <is>
          <t>주주총회소집공고</t>
        </is>
      </c>
      <c r="F845" s="3" t="inlineStr">
        <is>
          <t>KD</t>
        </is>
      </c>
      <c r="G845" s="2" t="inlineStr">
        <is>
          <t>20260227008957</t>
        </is>
      </c>
      <c r="H845" s="8">
        <f>HYPERLINK("https://dart.fss.or.kr/dsaf001/main.do?rcpNo=20260227008957", "공시열람")</f>
        <v/>
      </c>
    </row>
    <row r="846">
      <c r="A846" s="2" t="inlineStr">
        <is>
          <t>2026-03-04</t>
        </is>
      </c>
      <c r="B846" s="3" t="inlineStr">
        <is>
          <t>나노씨엠에스</t>
        </is>
      </c>
      <c r="C846" s="2" t="inlineStr">
        <is>
          <t>코스닥</t>
        </is>
      </c>
      <c r="D846" s="2" t="inlineStr">
        <is>
          <t>247660</t>
        </is>
      </c>
      <c r="E846" s="3" t="inlineStr">
        <is>
          <t xml:space="preserve">주주총회집중일개최사유신고              </t>
        </is>
      </c>
      <c r="F846" s="3" t="inlineStr">
        <is>
          <t>나노씨엠에스</t>
        </is>
      </c>
      <c r="G846" s="2" t="inlineStr">
        <is>
          <t>20260304901738</t>
        </is>
      </c>
      <c r="H846" s="8">
        <f>HYPERLINK("https://dart.fss.or.kr/dsaf001/main.do?rcpNo=20260304901738", "공시열람")</f>
        <v/>
      </c>
    </row>
    <row r="847">
      <c r="A847" s="2" t="inlineStr">
        <is>
          <t>2026-03-04</t>
        </is>
      </c>
      <c r="B847" s="3" t="inlineStr">
        <is>
          <t>나노씨엠에스</t>
        </is>
      </c>
      <c r="C847" s="2" t="inlineStr">
        <is>
          <t>코스닥</t>
        </is>
      </c>
      <c r="D847" s="2" t="inlineStr">
        <is>
          <t>247660</t>
        </is>
      </c>
      <c r="E847" s="3" t="inlineStr">
        <is>
          <t xml:space="preserve">주주총회소집결의              </t>
        </is>
      </c>
      <c r="F847" s="3" t="inlineStr">
        <is>
          <t>나노씨엠에스</t>
        </is>
      </c>
      <c r="G847" s="2" t="inlineStr">
        <is>
          <t>20260304901737</t>
        </is>
      </c>
      <c r="H847" s="8">
        <f>HYPERLINK("https://dart.fss.or.kr/dsaf001/main.do?rcpNo=20260304901737", "공시열람")</f>
        <v/>
      </c>
    </row>
    <row r="848">
      <c r="A848" s="2" t="inlineStr">
        <is>
          <t>2026-03-04</t>
        </is>
      </c>
      <c r="B848" s="3" t="inlineStr">
        <is>
          <t>미래에셋생명</t>
        </is>
      </c>
      <c r="C848" s="2" t="inlineStr">
        <is>
          <t>코스피</t>
        </is>
      </c>
      <c r="D848" s="2" t="inlineStr">
        <is>
          <t>085620</t>
        </is>
      </c>
      <c r="E848" s="3" t="inlineStr">
        <is>
          <t xml:space="preserve">주주총회소집결의              </t>
        </is>
      </c>
      <c r="F848" s="3" t="inlineStr">
        <is>
          <t>미래에셋생명</t>
        </is>
      </c>
      <c r="G848" s="2" t="inlineStr">
        <is>
          <t>20260304801734</t>
        </is>
      </c>
      <c r="H848" s="8">
        <f>HYPERLINK("https://dart.fss.or.kr/dsaf001/main.do?rcpNo=20260304801734", "공시열람")</f>
        <v/>
      </c>
    </row>
    <row r="849">
      <c r="A849" s="2" t="inlineStr">
        <is>
          <t>2026-03-04</t>
        </is>
      </c>
      <c r="B849" s="3" t="inlineStr">
        <is>
          <t>SK아이이테크놀로지</t>
        </is>
      </c>
      <c r="C849" s="2" t="inlineStr">
        <is>
          <t>코스피</t>
        </is>
      </c>
      <c r="D849" s="2" t="inlineStr">
        <is>
          <t>361610</t>
        </is>
      </c>
      <c r="E849" s="3" t="inlineStr">
        <is>
          <t xml:space="preserve">주주총회소집결의              </t>
        </is>
      </c>
      <c r="F849" s="3" t="inlineStr">
        <is>
          <t>SK아이이테크놀로지</t>
        </is>
      </c>
      <c r="G849" s="2" t="inlineStr">
        <is>
          <t>20260304801726</t>
        </is>
      </c>
      <c r="H849" s="8">
        <f>HYPERLINK("https://dart.fss.or.kr/dsaf001/main.do?rcpNo=20260304801726", "공시열람")</f>
        <v/>
      </c>
    </row>
    <row r="850">
      <c r="A850" s="2" t="inlineStr">
        <is>
          <t>2026-03-04 (정정: 2026-03-05)</t>
        </is>
      </c>
      <c r="B850" s="3" t="inlineStr">
        <is>
          <t>바이오니아</t>
        </is>
      </c>
      <c r="C850" s="2" t="inlineStr">
        <is>
          <t>코스닥</t>
        </is>
      </c>
      <c r="D850" s="2" t="inlineStr">
        <is>
          <t>064550</t>
        </is>
      </c>
      <c r="E850" s="3" t="inlineStr">
        <is>
          <t>[기재정정]주주총회소집결의               (정정: 20260305)</t>
        </is>
      </c>
      <c r="F850" s="3" t="inlineStr">
        <is>
          <t>바이오니아</t>
        </is>
      </c>
      <c r="G850" s="2" t="inlineStr">
        <is>
          <t>20260305001508</t>
        </is>
      </c>
      <c r="H850" s="8">
        <f>HYPERLINK("https://dart.fss.or.kr/dsaf001/main.do?rcpNo=20260305001508", "공시열람")</f>
        <v/>
      </c>
    </row>
    <row r="851">
      <c r="A851" s="2" t="inlineStr">
        <is>
          <t>2026-03-04</t>
        </is>
      </c>
      <c r="B851" s="3" t="inlineStr">
        <is>
          <t>한국전자홀딩스</t>
        </is>
      </c>
      <c r="C851" s="2" t="inlineStr">
        <is>
          <t>코스피</t>
        </is>
      </c>
      <c r="D851" s="2" t="inlineStr">
        <is>
          <t>006200</t>
        </is>
      </c>
      <c r="E851" s="3" t="inlineStr">
        <is>
          <t xml:space="preserve">주주총회집중일개최사유신고              </t>
        </is>
      </c>
      <c r="F851" s="3" t="inlineStr">
        <is>
          <t>한국전자홀딩스</t>
        </is>
      </c>
      <c r="G851" s="2" t="inlineStr">
        <is>
          <t>20260304801661</t>
        </is>
      </c>
      <c r="H851" s="8">
        <f>HYPERLINK("https://dart.fss.or.kr/dsaf001/main.do?rcpNo=20260304801661", "공시열람")</f>
        <v/>
      </c>
    </row>
    <row r="852">
      <c r="A852" s="2" t="inlineStr">
        <is>
          <t>2026-03-04</t>
        </is>
      </c>
      <c r="B852" s="3" t="inlineStr">
        <is>
          <t>한국전자홀딩스</t>
        </is>
      </c>
      <c r="C852" s="2" t="inlineStr">
        <is>
          <t>코스피</t>
        </is>
      </c>
      <c r="D852" s="2" t="inlineStr">
        <is>
          <t>006200</t>
        </is>
      </c>
      <c r="E852" s="3" t="inlineStr">
        <is>
          <t xml:space="preserve">주주총회소집결의              </t>
        </is>
      </c>
      <c r="F852" s="3" t="inlineStr">
        <is>
          <t>한국전자홀딩스</t>
        </is>
      </c>
      <c r="G852" s="2" t="inlineStr">
        <is>
          <t>20260304801694</t>
        </is>
      </c>
      <c r="H852" s="8">
        <f>HYPERLINK("https://dart.fss.or.kr/dsaf001/main.do?rcpNo=20260304801694", "공시열람")</f>
        <v/>
      </c>
    </row>
    <row r="853">
      <c r="A853" s="2" t="inlineStr">
        <is>
          <t>2026-03-04</t>
        </is>
      </c>
      <c r="B853" s="3" t="inlineStr">
        <is>
          <t>이수스페셜티케미컬</t>
        </is>
      </c>
      <c r="C853" s="2" t="inlineStr">
        <is>
          <t>코스피</t>
        </is>
      </c>
      <c r="D853" s="2" t="inlineStr">
        <is>
          <t>457190</t>
        </is>
      </c>
      <c r="E853" s="3" t="inlineStr">
        <is>
          <t xml:space="preserve">주주총회소집결의              </t>
        </is>
      </c>
      <c r="F853" s="3" t="inlineStr">
        <is>
          <t>이수스페셜티케미컬</t>
        </is>
      </c>
      <c r="G853" s="2" t="inlineStr">
        <is>
          <t>20260304801643</t>
        </is>
      </c>
      <c r="H853" s="8">
        <f>HYPERLINK("https://dart.fss.or.kr/dsaf001/main.do?rcpNo=20260304801643", "공시열람")</f>
        <v/>
      </c>
    </row>
    <row r="854">
      <c r="A854" s="2" t="inlineStr">
        <is>
          <t>2026-03-04 (정정: 2026-03-04)</t>
        </is>
      </c>
      <c r="B854" s="3" t="inlineStr">
        <is>
          <t>신라젠</t>
        </is>
      </c>
      <c r="C854" s="2" t="inlineStr">
        <is>
          <t>코스닥</t>
        </is>
      </c>
      <c r="D854" s="2" t="inlineStr">
        <is>
          <t>215600</t>
        </is>
      </c>
      <c r="E854" s="3" t="inlineStr">
        <is>
          <t>주주총회집중일개최사유신고               (정정: 20260304)</t>
        </is>
      </c>
      <c r="F854" s="3" t="inlineStr">
        <is>
          <t>신라젠</t>
        </is>
      </c>
      <c r="G854" s="2" t="inlineStr">
        <is>
          <t>20260304001357</t>
        </is>
      </c>
      <c r="H854" s="8">
        <f>HYPERLINK("https://dart.fss.or.kr/dsaf001/main.do?rcpNo=20260304001357", "공시열람")</f>
        <v/>
      </c>
    </row>
    <row r="855">
      <c r="A855" s="2" t="inlineStr">
        <is>
          <t>2026-03-04</t>
        </is>
      </c>
      <c r="B855" s="3" t="inlineStr">
        <is>
          <t>신라젠</t>
        </is>
      </c>
      <c r="C855" s="2" t="inlineStr">
        <is>
          <t>코스닥</t>
        </is>
      </c>
      <c r="D855" s="2" t="inlineStr">
        <is>
          <t>215600</t>
        </is>
      </c>
      <c r="E855" s="3" t="inlineStr">
        <is>
          <t xml:space="preserve">주주총회소집결의              </t>
        </is>
      </c>
      <c r="F855" s="3" t="inlineStr">
        <is>
          <t>신라젠</t>
        </is>
      </c>
      <c r="G855" s="2" t="inlineStr">
        <is>
          <t>20260304901683</t>
        </is>
      </c>
      <c r="H855" s="8">
        <f>HYPERLINK("https://dart.fss.or.kr/dsaf001/main.do?rcpNo=20260304901683", "공시열람")</f>
        <v/>
      </c>
    </row>
    <row r="856">
      <c r="A856" s="2" t="inlineStr">
        <is>
          <t>2026-03-04</t>
        </is>
      </c>
      <c r="B856" s="3" t="inlineStr">
        <is>
          <t>에어레인</t>
        </is>
      </c>
      <c r="C856" s="2" t="inlineStr">
        <is>
          <t>코스닥</t>
        </is>
      </c>
      <c r="D856" s="2" t="inlineStr">
        <is>
          <t>163280</t>
        </is>
      </c>
      <c r="E856" s="3" t="inlineStr">
        <is>
          <t xml:space="preserve">주주총회소집결의              </t>
        </is>
      </c>
      <c r="F856" s="3" t="inlineStr">
        <is>
          <t>에어레인</t>
        </is>
      </c>
      <c r="G856" s="2" t="inlineStr">
        <is>
          <t>20260304901663</t>
        </is>
      </c>
      <c r="H856" s="8">
        <f>HYPERLINK("https://dart.fss.or.kr/dsaf001/main.do?rcpNo=20260304901663", "공시열람")</f>
        <v/>
      </c>
    </row>
    <row r="857">
      <c r="A857" s="2" t="inlineStr">
        <is>
          <t>2026-03-04</t>
        </is>
      </c>
      <c r="B857" s="3" t="inlineStr">
        <is>
          <t>미코</t>
        </is>
      </c>
      <c r="C857" s="2" t="inlineStr">
        <is>
          <t>코스닥</t>
        </is>
      </c>
      <c r="D857" s="2" t="inlineStr">
        <is>
          <t>059090</t>
        </is>
      </c>
      <c r="E857" s="3" t="inlineStr">
        <is>
          <t xml:space="preserve">주주총회소집결의              </t>
        </is>
      </c>
      <c r="F857" s="3" t="inlineStr">
        <is>
          <t>미코</t>
        </is>
      </c>
      <c r="G857" s="2" t="inlineStr">
        <is>
          <t>20260304901682</t>
        </is>
      </c>
      <c r="H857" s="8">
        <f>HYPERLINK("https://dart.fss.or.kr/dsaf001/main.do?rcpNo=20260304901682", "공시열람")</f>
        <v/>
      </c>
    </row>
    <row r="858">
      <c r="A858" s="2" t="inlineStr">
        <is>
          <t>2026-03-04</t>
        </is>
      </c>
      <c r="B858" s="3" t="inlineStr">
        <is>
          <t>온타이드</t>
        </is>
      </c>
      <c r="C858" s="2" t="inlineStr">
        <is>
          <t>코스피</t>
        </is>
      </c>
      <c r="D858" s="2" t="inlineStr">
        <is>
          <t>005320</t>
        </is>
      </c>
      <c r="E858" s="3" t="inlineStr">
        <is>
          <t xml:space="preserve">최대주주변경              </t>
        </is>
      </c>
      <c r="F858" s="3" t="inlineStr">
        <is>
          <t>온타이드</t>
        </is>
      </c>
      <c r="G858" s="2" t="inlineStr">
        <is>
          <t>20260304801646</t>
        </is>
      </c>
      <c r="H858" s="8">
        <f>HYPERLINK("https://dart.fss.or.kr/dsaf001/main.do?rcpNo=20260304801646", "공시열람")</f>
        <v/>
      </c>
    </row>
    <row r="859">
      <c r="A859" s="2" t="inlineStr">
        <is>
          <t>2026-03-04</t>
        </is>
      </c>
      <c r="B859" s="3" t="inlineStr">
        <is>
          <t>온타이드</t>
        </is>
      </c>
      <c r="C859" s="2" t="inlineStr">
        <is>
          <t>코스피</t>
        </is>
      </c>
      <c r="D859" s="2" t="inlineStr">
        <is>
          <t>005320</t>
        </is>
      </c>
      <c r="E859" s="3" t="inlineStr">
        <is>
          <t>투자판단관련주요경영사항              (최대주주 변경을 수반하는 주식 양수도 계약 체결)</t>
        </is>
      </c>
      <c r="F859" s="3" t="inlineStr">
        <is>
          <t>온타이드</t>
        </is>
      </c>
      <c r="G859" s="2" t="inlineStr">
        <is>
          <t>20260304801635</t>
        </is>
      </c>
      <c r="H859" s="8">
        <f>HYPERLINK("https://dart.fss.or.kr/dsaf001/main.do?rcpNo=20260304801635", "공시열람")</f>
        <v/>
      </c>
    </row>
    <row r="860">
      <c r="A860" s="2" t="inlineStr">
        <is>
          <t>2026-03-04</t>
        </is>
      </c>
      <c r="B860" s="3" t="inlineStr">
        <is>
          <t>교보17호스팩</t>
        </is>
      </c>
      <c r="C860" s="2" t="inlineStr">
        <is>
          <t>코스닥</t>
        </is>
      </c>
      <c r="D860" s="2" t="inlineStr">
        <is>
          <t>489210</t>
        </is>
      </c>
      <c r="E860" s="3" t="inlineStr">
        <is>
          <t>주주총회소집공고</t>
        </is>
      </c>
      <c r="F860" s="3" t="inlineStr">
        <is>
          <t>교보17호스팩</t>
        </is>
      </c>
      <c r="G860" s="2" t="inlineStr">
        <is>
          <t>20260304001731</t>
        </is>
      </c>
      <c r="H860" s="8">
        <f>HYPERLINK("https://dart.fss.or.kr/dsaf001/main.do?rcpNo=20260304001731", "공시열람")</f>
        <v/>
      </c>
    </row>
    <row r="861">
      <c r="A861" s="2" t="inlineStr">
        <is>
          <t>2026-03-04</t>
        </is>
      </c>
      <c r="B861" s="3" t="inlineStr">
        <is>
          <t>신라젠</t>
        </is>
      </c>
      <c r="C861" s="2" t="inlineStr">
        <is>
          <t>코스닥</t>
        </is>
      </c>
      <c r="D861" s="2" t="inlineStr">
        <is>
          <t>215600</t>
        </is>
      </c>
      <c r="E861" s="3" t="inlineStr">
        <is>
          <t>주주총회소집공고</t>
        </is>
      </c>
      <c r="F861" s="3" t="inlineStr">
        <is>
          <t>신라젠</t>
        </is>
      </c>
      <c r="G861" s="2" t="inlineStr">
        <is>
          <t>20260304001717</t>
        </is>
      </c>
      <c r="H861" s="8">
        <f>HYPERLINK("https://dart.fss.or.kr/dsaf001/main.do?rcpNo=20260304001717", "공시열람")</f>
        <v/>
      </c>
    </row>
    <row r="862">
      <c r="A862" s="2" t="inlineStr">
        <is>
          <t>2026-03-04</t>
        </is>
      </c>
      <c r="B862" s="3" t="inlineStr">
        <is>
          <t>미래에셋생명</t>
        </is>
      </c>
      <c r="C862" s="2" t="inlineStr">
        <is>
          <t>코스피</t>
        </is>
      </c>
      <c r="D862" s="2" t="inlineStr">
        <is>
          <t>085620</t>
        </is>
      </c>
      <c r="E862" s="3" t="inlineStr">
        <is>
          <t>주주총회소집공고</t>
        </is>
      </c>
      <c r="F862" s="3" t="inlineStr">
        <is>
          <t>미래에셋생명</t>
        </is>
      </c>
      <c r="G862" s="2" t="inlineStr">
        <is>
          <t>20260304001707</t>
        </is>
      </c>
      <c r="H862" s="8">
        <f>HYPERLINK("https://dart.fss.or.kr/dsaf001/main.do?rcpNo=20260304001707", "공시열람")</f>
        <v/>
      </c>
    </row>
    <row r="863">
      <c r="A863" s="2" t="inlineStr">
        <is>
          <t>2026-03-04</t>
        </is>
      </c>
      <c r="B863" s="3" t="inlineStr">
        <is>
          <t>코나아이</t>
        </is>
      </c>
      <c r="C863" s="2" t="inlineStr">
        <is>
          <t>코스닥</t>
        </is>
      </c>
      <c r="D863" s="2" t="inlineStr">
        <is>
          <t>052400</t>
        </is>
      </c>
      <c r="E863" s="3" t="inlineStr">
        <is>
          <t>소송등의제기ㆍ신청(경영권분쟁소송)              (의안상정 가처분)</t>
        </is>
      </c>
      <c r="F863" s="3" t="inlineStr">
        <is>
          <t>코나아이</t>
        </is>
      </c>
      <c r="G863" s="2" t="inlineStr">
        <is>
          <t>20260304901602</t>
        </is>
      </c>
      <c r="H863" s="8">
        <f>HYPERLINK("https://dart.fss.or.kr/dsaf001/main.do?rcpNo=20260304901602", "공시열람")</f>
        <v/>
      </c>
    </row>
    <row r="864">
      <c r="A864" s="2" t="inlineStr">
        <is>
          <t>2026-02-13 (정정: 2026-03-04)</t>
        </is>
      </c>
      <c r="B864" s="3" t="inlineStr">
        <is>
          <t>코난테크놀로지</t>
        </is>
      </c>
      <c r="C864" s="2" t="inlineStr">
        <is>
          <t>코스닥</t>
        </is>
      </c>
      <c r="D864" s="2" t="inlineStr">
        <is>
          <t>402030</t>
        </is>
      </c>
      <c r="E864" s="3" t="inlineStr">
        <is>
          <t xml:space="preserve">[기재정정]주주총회소집결의              </t>
        </is>
      </c>
      <c r="F864" s="3" t="inlineStr">
        <is>
          <t>코난테크놀로지</t>
        </is>
      </c>
      <c r="G864" s="2" t="inlineStr">
        <is>
          <t>20260304901613</t>
        </is>
      </c>
      <c r="H864" s="8">
        <f>HYPERLINK("https://dart.fss.or.kr/dsaf001/main.do?rcpNo=20260304901613", "공시열람")</f>
        <v/>
      </c>
    </row>
    <row r="865">
      <c r="A865" s="2" t="inlineStr">
        <is>
          <t>2026-03-04</t>
        </is>
      </c>
      <c r="B865" s="3" t="inlineStr">
        <is>
          <t>롯데칠성음료</t>
        </is>
      </c>
      <c r="C865" s="2" t="inlineStr">
        <is>
          <t>코스피</t>
        </is>
      </c>
      <c r="D865" s="2" t="inlineStr">
        <is>
          <t>005300</t>
        </is>
      </c>
      <c r="E865" s="3" t="inlineStr">
        <is>
          <t>주주총회소집공고</t>
        </is>
      </c>
      <c r="F865" s="3" t="inlineStr">
        <is>
          <t>롯데칠성음료</t>
        </is>
      </c>
      <c r="G865" s="2" t="inlineStr">
        <is>
          <t>20260304001684</t>
        </is>
      </c>
      <c r="H865" s="8">
        <f>HYPERLINK("https://dart.fss.or.kr/dsaf001/main.do?rcpNo=20260304001684", "공시열람")</f>
        <v/>
      </c>
    </row>
    <row r="866">
      <c r="A866" s="2" t="inlineStr">
        <is>
          <t>2026-03-04</t>
        </is>
      </c>
      <c r="B866" s="3" t="inlineStr">
        <is>
          <t>롯데칠성음료</t>
        </is>
      </c>
      <c r="C866" s="2" t="inlineStr">
        <is>
          <t>코스피</t>
        </is>
      </c>
      <c r="D866" s="2" t="inlineStr">
        <is>
          <t>005300</t>
        </is>
      </c>
      <c r="E866" s="3" t="inlineStr">
        <is>
          <t xml:space="preserve">주주총회소집결의              </t>
        </is>
      </c>
      <c r="F866" s="3" t="inlineStr">
        <is>
          <t>롯데칠성음료</t>
        </is>
      </c>
      <c r="G866" s="2" t="inlineStr">
        <is>
          <t>20260304801620</t>
        </is>
      </c>
      <c r="H866" s="8">
        <f>HYPERLINK("https://dart.fss.or.kr/dsaf001/main.do?rcpNo=20260304801620", "공시열람")</f>
        <v/>
      </c>
    </row>
    <row r="867">
      <c r="A867" s="2" t="inlineStr">
        <is>
          <t>2026-03-04</t>
        </is>
      </c>
      <c r="B867" s="3" t="inlineStr">
        <is>
          <t>선도전기</t>
        </is>
      </c>
      <c r="C867" s="2" t="inlineStr">
        <is>
          <t>코스피</t>
        </is>
      </c>
      <c r="D867" s="2" t="inlineStr">
        <is>
          <t>007610</t>
        </is>
      </c>
      <c r="E867" s="3" t="inlineStr">
        <is>
          <t xml:space="preserve">주주총회소집결의              </t>
        </is>
      </c>
      <c r="F867" s="3" t="inlineStr">
        <is>
          <t>선도전기</t>
        </is>
      </c>
      <c r="G867" s="2" t="inlineStr">
        <is>
          <t>20260304801615</t>
        </is>
      </c>
      <c r="H867" s="8">
        <f>HYPERLINK("https://dart.fss.or.kr/dsaf001/main.do?rcpNo=20260304801615", "공시열람")</f>
        <v/>
      </c>
    </row>
    <row r="868">
      <c r="A868" s="2" t="inlineStr">
        <is>
          <t>2026-03-04</t>
        </is>
      </c>
      <c r="B868" s="3" t="inlineStr">
        <is>
          <t>블루산업개발</t>
        </is>
      </c>
      <c r="C868" s="2" t="inlineStr">
        <is>
          <t>코스피</t>
        </is>
      </c>
      <c r="D868" s="2" t="inlineStr">
        <is>
          <t>006740</t>
        </is>
      </c>
      <c r="E868" s="3" t="inlineStr">
        <is>
          <t xml:space="preserve">최대주주변경              </t>
        </is>
      </c>
      <c r="F868" s="3" t="inlineStr">
        <is>
          <t>블루산업개발</t>
        </is>
      </c>
      <c r="G868" s="2" t="inlineStr">
        <is>
          <t>20260304801529</t>
        </is>
      </c>
      <c r="H868" s="8">
        <f>HYPERLINK("https://dart.fss.or.kr/dsaf001/main.do?rcpNo=20260304801529", "공시열람")</f>
        <v/>
      </c>
    </row>
    <row r="869">
      <c r="A869" s="2" t="inlineStr">
        <is>
          <t>2026-03-04</t>
        </is>
      </c>
      <c r="B869" s="3" t="inlineStr">
        <is>
          <t>EMB</t>
        </is>
      </c>
      <c r="C869" s="2" t="inlineStr">
        <is>
          <t>코넥스</t>
        </is>
      </c>
      <c r="D869" s="2" t="inlineStr">
        <is>
          <t>278990</t>
        </is>
      </c>
      <c r="E869" s="3" t="inlineStr">
        <is>
          <t xml:space="preserve">주주총회소집결의              </t>
        </is>
      </c>
      <c r="F869" s="3" t="inlineStr">
        <is>
          <t>EMB</t>
        </is>
      </c>
      <c r="G869" s="2" t="inlineStr">
        <is>
          <t>20260304601614</t>
        </is>
      </c>
      <c r="H869" s="8">
        <f>HYPERLINK("https://dart.fss.or.kr/dsaf001/main.do?rcpNo=20260304601614", "공시열람")</f>
        <v/>
      </c>
    </row>
    <row r="870">
      <c r="A870" s="2" t="inlineStr">
        <is>
          <t>2026-03-04</t>
        </is>
      </c>
      <c r="B870" s="3" t="inlineStr">
        <is>
          <t>한국철강</t>
        </is>
      </c>
      <c r="C870" s="2" t="inlineStr">
        <is>
          <t>코스피</t>
        </is>
      </c>
      <c r="D870" s="2" t="inlineStr">
        <is>
          <t>104700</t>
        </is>
      </c>
      <c r="E870" s="3" t="inlineStr">
        <is>
          <t xml:space="preserve">주주총회집중일개최사유신고              </t>
        </is>
      </c>
      <c r="F870" s="3" t="inlineStr">
        <is>
          <t>한국철강</t>
        </is>
      </c>
      <c r="G870" s="2" t="inlineStr">
        <is>
          <t>20260304801607</t>
        </is>
      </c>
      <c r="H870" s="8">
        <f>HYPERLINK("https://dart.fss.or.kr/dsaf001/main.do?rcpNo=20260304801607", "공시열람")</f>
        <v/>
      </c>
    </row>
    <row r="871">
      <c r="A871" s="2" t="inlineStr">
        <is>
          <t>2026-03-04</t>
        </is>
      </c>
      <c r="B871" s="3" t="inlineStr">
        <is>
          <t>대덕전자</t>
        </is>
      </c>
      <c r="C871" s="2" t="inlineStr">
        <is>
          <t>코스피</t>
        </is>
      </c>
      <c r="D871" s="2" t="inlineStr">
        <is>
          <t>353200</t>
        </is>
      </c>
      <c r="E871" s="3" t="inlineStr">
        <is>
          <t>주주총회소집공고</t>
        </is>
      </c>
      <c r="F871" s="3" t="inlineStr">
        <is>
          <t>대덕전자</t>
        </is>
      </c>
      <c r="G871" s="2" t="inlineStr">
        <is>
          <t>20260304001660</t>
        </is>
      </c>
      <c r="H871" s="8">
        <f>HYPERLINK("https://dart.fss.or.kr/dsaf001/main.do?rcpNo=20260304001660", "공시열람")</f>
        <v/>
      </c>
    </row>
    <row r="872">
      <c r="A872" s="2" t="inlineStr">
        <is>
          <t>2026-03-04 (정정: 2026-03-05)</t>
        </is>
      </c>
      <c r="B872" s="3" t="inlineStr">
        <is>
          <t>모비스</t>
        </is>
      </c>
      <c r="C872" s="2" t="inlineStr">
        <is>
          <t>코스닥</t>
        </is>
      </c>
      <c r="D872" s="2" t="inlineStr">
        <is>
          <t>250060</t>
        </is>
      </c>
      <c r="E872" s="3" t="inlineStr">
        <is>
          <t>소송등의제기ㆍ신청(경영권분쟁소송)              (검사인 선임) (정정: 20260305)</t>
        </is>
      </c>
      <c r="F872" s="3" t="inlineStr">
        <is>
          <t>모비스</t>
        </is>
      </c>
      <c r="G872" s="2" t="inlineStr">
        <is>
          <t>20260305901906</t>
        </is>
      </c>
      <c r="H872" s="8">
        <f>HYPERLINK("https://dart.fss.or.kr/dsaf001/main.do?rcpNo=20260305901906", "공시열람")</f>
        <v/>
      </c>
    </row>
    <row r="873">
      <c r="A873" s="2" t="inlineStr">
        <is>
          <t>2026-03-04</t>
        </is>
      </c>
      <c r="B873" s="3" t="inlineStr">
        <is>
          <t>코나아이</t>
        </is>
      </c>
      <c r="C873" s="2" t="inlineStr">
        <is>
          <t>코스닥</t>
        </is>
      </c>
      <c r="D873" s="2" t="inlineStr">
        <is>
          <t>052400</t>
        </is>
      </c>
      <c r="E873" s="3" t="inlineStr">
        <is>
          <t>소송등의제기ㆍ신청(경영권분쟁소송)              (주주명부 열람등사 가처분)</t>
        </is>
      </c>
      <c r="F873" s="3" t="inlineStr">
        <is>
          <t>코나아이</t>
        </is>
      </c>
      <c r="G873" s="2" t="inlineStr">
        <is>
          <t>20260304901514</t>
        </is>
      </c>
      <c r="H873" s="8">
        <f>HYPERLINK("https://dart.fss.or.kr/dsaf001/main.do?rcpNo=20260304901514", "공시열람")</f>
        <v/>
      </c>
    </row>
    <row r="874">
      <c r="A874" s="2" t="inlineStr">
        <is>
          <t>2026-03-04 (정정: 2026-03-09)</t>
        </is>
      </c>
      <c r="B874" s="3" t="inlineStr">
        <is>
          <t>한국가스공사</t>
        </is>
      </c>
      <c r="C874" s="2" t="inlineStr">
        <is>
          <t>코스피</t>
        </is>
      </c>
      <c r="D874" s="2" t="inlineStr">
        <is>
          <t>036460</t>
        </is>
      </c>
      <c r="E874" s="3" t="inlineStr">
        <is>
          <t>주주총회소집결의               (정정: 20260309)</t>
        </is>
      </c>
      <c r="F874" s="3" t="inlineStr">
        <is>
          <t>한국가스공사</t>
        </is>
      </c>
      <c r="G874" s="2" t="inlineStr">
        <is>
          <t>20260309801616</t>
        </is>
      </c>
      <c r="H874" s="8">
        <f>HYPERLINK("https://dart.fss.or.kr/dsaf001/main.do?rcpNo=20260309801616", "공시열람")</f>
        <v/>
      </c>
    </row>
    <row r="875">
      <c r="A875" s="2" t="inlineStr">
        <is>
          <t>2026-03-04</t>
        </is>
      </c>
      <c r="B875" s="3" t="inlineStr">
        <is>
          <t>로보스타</t>
        </is>
      </c>
      <c r="C875" s="2" t="inlineStr">
        <is>
          <t>코스닥</t>
        </is>
      </c>
      <c r="D875" s="2" t="inlineStr">
        <is>
          <t>090360</t>
        </is>
      </c>
      <c r="E875" s="3" t="inlineStr">
        <is>
          <t xml:space="preserve">[기재정정]주주총회소집결의              </t>
        </is>
      </c>
      <c r="F875" s="3" t="inlineStr">
        <is>
          <t>로보스타</t>
        </is>
      </c>
      <c r="G875" s="2" t="inlineStr">
        <is>
          <t>20260304901511</t>
        </is>
      </c>
      <c r="H875" s="8">
        <f>HYPERLINK("https://dart.fss.or.kr/dsaf001/main.do?rcpNo=20260304901511", "공시열람")</f>
        <v/>
      </c>
    </row>
    <row r="876">
      <c r="A876" s="2" t="inlineStr">
        <is>
          <t>2026-03-04</t>
        </is>
      </c>
      <c r="B876" s="3" t="inlineStr">
        <is>
          <t>KEC</t>
        </is>
      </c>
      <c r="C876" s="2" t="inlineStr">
        <is>
          <t>코스피</t>
        </is>
      </c>
      <c r="D876" s="2" t="inlineStr">
        <is>
          <t>092220</t>
        </is>
      </c>
      <c r="E876" s="3" t="inlineStr">
        <is>
          <t xml:space="preserve">주주총회집중일개최사유신고              </t>
        </is>
      </c>
      <c r="F876" s="3" t="inlineStr">
        <is>
          <t>KEC</t>
        </is>
      </c>
      <c r="G876" s="2" t="inlineStr">
        <is>
          <t>20260304801159</t>
        </is>
      </c>
      <c r="H876" s="8">
        <f>HYPERLINK("https://dart.fss.or.kr/dsaf001/main.do?rcpNo=20260304801159", "공시열람")</f>
        <v/>
      </c>
    </row>
    <row r="877">
      <c r="A877" s="2" t="inlineStr">
        <is>
          <t>2026-03-04 (정정: 2026-03-04)</t>
        </is>
      </c>
      <c r="B877" s="3" t="inlineStr">
        <is>
          <t>케이씨텍</t>
        </is>
      </c>
      <c r="C877" s="2" t="inlineStr">
        <is>
          <t>코스피</t>
        </is>
      </c>
      <c r="D877" s="2" t="inlineStr">
        <is>
          <t>281820</t>
        </is>
      </c>
      <c r="E877" s="3" t="inlineStr">
        <is>
          <t>[기재정정]주주총회소집공고 (정정: 20260304)</t>
        </is>
      </c>
      <c r="F877" s="3" t="inlineStr">
        <is>
          <t>케이씨텍</t>
        </is>
      </c>
      <c r="G877" s="2" t="inlineStr">
        <is>
          <t>20260304801515</t>
        </is>
      </c>
      <c r="H877" s="8">
        <f>HYPERLINK("https://dart.fss.or.kr/dsaf001/main.do?rcpNo=20260304801515", "공시열람")</f>
        <v/>
      </c>
    </row>
    <row r="878">
      <c r="A878" s="2" t="inlineStr">
        <is>
          <t>2026-03-04 (정정: 2026-03-04)</t>
        </is>
      </c>
      <c r="B878" s="3" t="inlineStr">
        <is>
          <t>한화오션</t>
        </is>
      </c>
      <c r="C878" s="2" t="inlineStr">
        <is>
          <t>코스피</t>
        </is>
      </c>
      <c r="D878" s="2" t="inlineStr">
        <is>
          <t>042660</t>
        </is>
      </c>
      <c r="E878" s="3" t="inlineStr">
        <is>
          <t>[기재정정]주주총회소집공고 (정정: 20260304) (정정: 20260304)</t>
        </is>
      </c>
      <c r="F878" s="3" t="inlineStr">
        <is>
          <t>한화오션</t>
        </is>
      </c>
      <c r="G878" s="2" t="inlineStr">
        <is>
          <t>20260304801395</t>
        </is>
      </c>
      <c r="H878" s="8">
        <f>HYPERLINK("https://dart.fss.or.kr/dsaf001/main.do?rcpNo=20260304801395", "공시열람")</f>
        <v/>
      </c>
    </row>
    <row r="879">
      <c r="A879" s="2" t="inlineStr">
        <is>
          <t>2026-03-04 (정정: 2026-03-04)</t>
        </is>
      </c>
      <c r="B879" s="3" t="inlineStr">
        <is>
          <t>KEC</t>
        </is>
      </c>
      <c r="C879" s="2" t="inlineStr">
        <is>
          <t>코스피</t>
        </is>
      </c>
      <c r="D879" s="2" t="inlineStr">
        <is>
          <t>092220</t>
        </is>
      </c>
      <c r="E879" s="3" t="inlineStr">
        <is>
          <t>주주총회소집결의               (정정: 20260304)</t>
        </is>
      </c>
      <c r="F879" s="3" t="inlineStr">
        <is>
          <t>KEC</t>
        </is>
      </c>
      <c r="G879" s="2" t="inlineStr">
        <is>
          <t>20260304801089</t>
        </is>
      </c>
      <c r="H879" s="8">
        <f>HYPERLINK("https://dart.fss.or.kr/dsaf001/main.do?rcpNo=20260304801089", "공시열람")</f>
        <v/>
      </c>
    </row>
    <row r="880">
      <c r="A880" s="2" t="inlineStr">
        <is>
          <t>2026-03-04</t>
        </is>
      </c>
      <c r="B880" s="3" t="inlineStr">
        <is>
          <t>한국철강</t>
        </is>
      </c>
      <c r="C880" s="2" t="inlineStr">
        <is>
          <t>코스피</t>
        </is>
      </c>
      <c r="D880" s="2" t="inlineStr">
        <is>
          <t>104700</t>
        </is>
      </c>
      <c r="E880" s="3" t="inlineStr">
        <is>
          <t xml:space="preserve">주주총회소집결의              </t>
        </is>
      </c>
      <c r="F880" s="3" t="inlineStr">
        <is>
          <t>한국철강</t>
        </is>
      </c>
      <c r="G880" s="2" t="inlineStr">
        <is>
          <t>20260304801543</t>
        </is>
      </c>
      <c r="H880" s="8">
        <f>HYPERLINK("https://dart.fss.or.kr/dsaf001/main.do?rcpNo=20260304801543", "공시열람")</f>
        <v/>
      </c>
    </row>
    <row r="881">
      <c r="A881" s="2" t="inlineStr">
        <is>
          <t>2026-03-04</t>
        </is>
      </c>
      <c r="B881" s="3" t="inlineStr">
        <is>
          <t>대우건설</t>
        </is>
      </c>
      <c r="C881" s="2" t="inlineStr">
        <is>
          <t>코스피</t>
        </is>
      </c>
      <c r="D881" s="2" t="inlineStr">
        <is>
          <t>047040</t>
        </is>
      </c>
      <c r="E881" s="3" t="inlineStr">
        <is>
          <t>주주총회소집공고</t>
        </is>
      </c>
      <c r="F881" s="3" t="inlineStr">
        <is>
          <t>대우건설</t>
        </is>
      </c>
      <c r="G881" s="2" t="inlineStr">
        <is>
          <t>20260304001608</t>
        </is>
      </c>
      <c r="H881" s="8">
        <f>HYPERLINK("https://dart.fss.or.kr/dsaf001/main.do?rcpNo=20260304001608", "공시열람")</f>
        <v/>
      </c>
    </row>
    <row r="882">
      <c r="A882" s="2" t="inlineStr">
        <is>
          <t>2026-03-04</t>
        </is>
      </c>
      <c r="B882" s="3" t="inlineStr">
        <is>
          <t>SK증권</t>
        </is>
      </c>
      <c r="C882" s="2" t="inlineStr">
        <is>
          <t>코스피</t>
        </is>
      </c>
      <c r="D882" s="2" t="inlineStr">
        <is>
          <t>001510</t>
        </is>
      </c>
      <c r="E882" s="3" t="inlineStr">
        <is>
          <t>주주총회소집공고</t>
        </is>
      </c>
      <c r="F882" s="3" t="inlineStr">
        <is>
          <t>SK증권</t>
        </is>
      </c>
      <c r="G882" s="2" t="inlineStr">
        <is>
          <t>20260304001605</t>
        </is>
      </c>
      <c r="H882" s="8">
        <f>HYPERLINK("https://dart.fss.or.kr/dsaf001/main.do?rcpNo=20260304001605", "공시열람")</f>
        <v/>
      </c>
    </row>
    <row r="883">
      <c r="A883" s="2" t="inlineStr">
        <is>
          <t>2026-03-04</t>
        </is>
      </c>
      <c r="B883" s="3" t="inlineStr">
        <is>
          <t>대우건설</t>
        </is>
      </c>
      <c r="C883" s="2" t="inlineStr">
        <is>
          <t>코스피</t>
        </is>
      </c>
      <c r="D883" s="2" t="inlineStr">
        <is>
          <t>047040</t>
        </is>
      </c>
      <c r="E883" s="3" t="inlineStr">
        <is>
          <t xml:space="preserve">주주총회소집결의              </t>
        </is>
      </c>
      <c r="F883" s="3" t="inlineStr">
        <is>
          <t>대우건설</t>
        </is>
      </c>
      <c r="G883" s="2" t="inlineStr">
        <is>
          <t>20260304801540</t>
        </is>
      </c>
      <c r="H883" s="8">
        <f>HYPERLINK("https://dart.fss.or.kr/dsaf001/main.do?rcpNo=20260304801540", "공시열람")</f>
        <v/>
      </c>
    </row>
    <row r="884">
      <c r="A884" s="2" t="inlineStr">
        <is>
          <t>2026-03-04</t>
        </is>
      </c>
      <c r="B884" s="3" t="inlineStr">
        <is>
          <t>메리츠금융지주</t>
        </is>
      </c>
      <c r="C884" s="2" t="inlineStr">
        <is>
          <t>코스피</t>
        </is>
      </c>
      <c r="D884" s="2" t="inlineStr">
        <is>
          <t>138040</t>
        </is>
      </c>
      <c r="E884" s="3" t="inlineStr">
        <is>
          <t xml:space="preserve">주주총회소집결의              </t>
        </is>
      </c>
      <c r="F884" s="3" t="inlineStr">
        <is>
          <t>메리츠금융지주</t>
        </is>
      </c>
      <c r="G884" s="2" t="inlineStr">
        <is>
          <t>20260304801472</t>
        </is>
      </c>
      <c r="H884" s="8">
        <f>HYPERLINK("https://dart.fss.or.kr/dsaf001/main.do?rcpNo=20260304801472", "공시열람")</f>
        <v/>
      </c>
    </row>
    <row r="885">
      <c r="A885" s="2" t="inlineStr">
        <is>
          <t>2026-03-04</t>
        </is>
      </c>
      <c r="B885" s="3" t="inlineStr">
        <is>
          <t>씨앤투스</t>
        </is>
      </c>
      <c r="C885" s="2" t="inlineStr">
        <is>
          <t>코스닥</t>
        </is>
      </c>
      <c r="D885" s="2" t="inlineStr">
        <is>
          <t>352700</t>
        </is>
      </c>
      <c r="E885" s="3" t="inlineStr">
        <is>
          <t xml:space="preserve">주주총회소집결의              </t>
        </is>
      </c>
      <c r="F885" s="3" t="inlineStr">
        <is>
          <t>씨앤투스</t>
        </is>
      </c>
      <c r="G885" s="2" t="inlineStr">
        <is>
          <t>20260304901497</t>
        </is>
      </c>
      <c r="H885" s="8">
        <f>HYPERLINK("https://dart.fss.or.kr/dsaf001/main.do?rcpNo=20260304901497", "공시열람")</f>
        <v/>
      </c>
    </row>
    <row r="886">
      <c r="A886" s="2" t="inlineStr">
        <is>
          <t>2026-03-04</t>
        </is>
      </c>
      <c r="B886" s="3" t="inlineStr">
        <is>
          <t>에스에이티</t>
        </is>
      </c>
      <c r="C886" s="2" t="inlineStr">
        <is>
          <t>코스닥</t>
        </is>
      </c>
      <c r="D886" s="2" t="inlineStr">
        <is>
          <t>060540</t>
        </is>
      </c>
      <c r="E886" s="3" t="inlineStr">
        <is>
          <t xml:space="preserve">주주총회소집결의              </t>
        </is>
      </c>
      <c r="F886" s="3" t="inlineStr">
        <is>
          <t>에스에이티</t>
        </is>
      </c>
      <c r="G886" s="2" t="inlineStr">
        <is>
          <t>20260304901479</t>
        </is>
      </c>
      <c r="H886" s="8">
        <f>HYPERLINK("https://dart.fss.or.kr/dsaf001/main.do?rcpNo=20260304901479", "공시열람")</f>
        <v/>
      </c>
    </row>
    <row r="887">
      <c r="A887" s="2" t="inlineStr">
        <is>
          <t>2026-03-04</t>
        </is>
      </c>
      <c r="B887" s="3" t="inlineStr">
        <is>
          <t>에스에이티</t>
        </is>
      </c>
      <c r="C887" s="2" t="inlineStr">
        <is>
          <t>코스닥</t>
        </is>
      </c>
      <c r="D887" s="2" t="inlineStr">
        <is>
          <t>060540</t>
        </is>
      </c>
      <c r="E887" s="3" t="inlineStr">
        <is>
          <t xml:space="preserve">주주총회집중일개최사유신고              </t>
        </is>
      </c>
      <c r="F887" s="3" t="inlineStr">
        <is>
          <t>에스에이티</t>
        </is>
      </c>
      <c r="G887" s="2" t="inlineStr">
        <is>
          <t>20260304901424</t>
        </is>
      </c>
      <c r="H887" s="8">
        <f>HYPERLINK("https://dart.fss.or.kr/dsaf001/main.do?rcpNo=20260304901424", "공시열람")</f>
        <v/>
      </c>
    </row>
    <row r="888">
      <c r="A888" s="2" t="inlineStr">
        <is>
          <t>2026-03-04</t>
        </is>
      </c>
      <c r="B888" s="3" t="inlineStr">
        <is>
          <t>아이즈비전</t>
        </is>
      </c>
      <c r="C888" s="2" t="inlineStr">
        <is>
          <t>코스닥</t>
        </is>
      </c>
      <c r="D888" s="2" t="inlineStr">
        <is>
          <t>031310</t>
        </is>
      </c>
      <c r="E888" s="3" t="inlineStr">
        <is>
          <t xml:space="preserve">주주총회소집결의              </t>
        </is>
      </c>
      <c r="F888" s="3" t="inlineStr">
        <is>
          <t>아이즈비전</t>
        </is>
      </c>
      <c r="G888" s="2" t="inlineStr">
        <is>
          <t>20260304901414</t>
        </is>
      </c>
      <c r="H888" s="8">
        <f>HYPERLINK("https://dart.fss.or.kr/dsaf001/main.do?rcpNo=20260304901414", "공시열람")</f>
        <v/>
      </c>
    </row>
    <row r="889">
      <c r="A889" s="2" t="inlineStr">
        <is>
          <t>2026-03-04</t>
        </is>
      </c>
      <c r="B889" s="3" t="inlineStr">
        <is>
          <t>바이넥스</t>
        </is>
      </c>
      <c r="C889" s="2" t="inlineStr">
        <is>
          <t>코스닥</t>
        </is>
      </c>
      <c r="D889" s="2" t="inlineStr">
        <is>
          <t>053030</t>
        </is>
      </c>
      <c r="E889" s="3" t="inlineStr">
        <is>
          <t>주주총회소집공고</t>
        </is>
      </c>
      <c r="F889" s="3" t="inlineStr">
        <is>
          <t>바이넥스</t>
        </is>
      </c>
      <c r="G889" s="2" t="inlineStr">
        <is>
          <t>20260304001577</t>
        </is>
      </c>
      <c r="H889" s="8">
        <f>HYPERLINK("https://dart.fss.or.kr/dsaf001/main.do?rcpNo=20260304001577", "공시열람")</f>
        <v/>
      </c>
    </row>
    <row r="890">
      <c r="A890" s="2" t="inlineStr">
        <is>
          <t>2026-03-04 (정정: 2026-03-10)</t>
        </is>
      </c>
      <c r="B890" s="3" t="inlineStr">
        <is>
          <t>옵투스제약</t>
        </is>
      </c>
      <c r="C890" s="2" t="inlineStr">
        <is>
          <t>코스닥</t>
        </is>
      </c>
      <c r="D890" s="2" t="inlineStr">
        <is>
          <t>131030</t>
        </is>
      </c>
      <c r="E890" s="3" t="inlineStr">
        <is>
          <t>주주총회집중일개최사유신고               (정정: 20260310) (정정: 20260310) (정정: 20260310)</t>
        </is>
      </c>
      <c r="F890" s="3" t="inlineStr">
        <is>
          <t>옵투스제약</t>
        </is>
      </c>
      <c r="G890" s="2" t="inlineStr">
        <is>
          <t>20260310900620</t>
        </is>
      </c>
      <c r="H890" s="8">
        <f>HYPERLINK("https://dart.fss.or.kr/dsaf001/main.do?rcpNo=20260310900620", "공시열람")</f>
        <v/>
      </c>
    </row>
    <row r="891">
      <c r="A891" s="2" t="inlineStr">
        <is>
          <t>2026-03-04</t>
        </is>
      </c>
      <c r="B891" s="3" t="inlineStr">
        <is>
          <t>덴티움</t>
        </is>
      </c>
      <c r="C891" s="2" t="inlineStr">
        <is>
          <t>코스피</t>
        </is>
      </c>
      <c r="D891" s="2" t="inlineStr">
        <is>
          <t>145720</t>
        </is>
      </c>
      <c r="E891" s="3" t="inlineStr">
        <is>
          <t>주주총회소집공고</t>
        </is>
      </c>
      <c r="F891" s="3" t="inlineStr">
        <is>
          <t>덴티움</t>
        </is>
      </c>
      <c r="G891" s="2" t="inlineStr">
        <is>
          <t>20260304001573</t>
        </is>
      </c>
      <c r="H891" s="8">
        <f>HYPERLINK("https://dart.fss.or.kr/dsaf001/main.do?rcpNo=20260304001573", "공시열람")</f>
        <v/>
      </c>
    </row>
    <row r="892">
      <c r="A892" s="2" t="inlineStr">
        <is>
          <t>2026-03-04</t>
        </is>
      </c>
      <c r="B892" s="3" t="inlineStr">
        <is>
          <t>하이젠알앤엠</t>
        </is>
      </c>
      <c r="C892" s="2" t="inlineStr">
        <is>
          <t>코스닥</t>
        </is>
      </c>
      <c r="D892" s="2" t="inlineStr">
        <is>
          <t>160190</t>
        </is>
      </c>
      <c r="E892" s="3" t="inlineStr">
        <is>
          <t xml:space="preserve">주주총회소집결의              </t>
        </is>
      </c>
      <c r="F892" s="3" t="inlineStr">
        <is>
          <t>하이젠알앤엠</t>
        </is>
      </c>
      <c r="G892" s="2" t="inlineStr">
        <is>
          <t>20260304901408</t>
        </is>
      </c>
      <c r="H892" s="8">
        <f>HYPERLINK("https://dart.fss.or.kr/dsaf001/main.do?rcpNo=20260304901408", "공시열람")</f>
        <v/>
      </c>
    </row>
    <row r="893">
      <c r="A893" s="2" t="inlineStr">
        <is>
          <t>2026-03-04</t>
        </is>
      </c>
      <c r="B893" s="3" t="inlineStr">
        <is>
          <t>SK증권</t>
        </is>
      </c>
      <c r="C893" s="2" t="inlineStr">
        <is>
          <t>코스피</t>
        </is>
      </c>
      <c r="D893" s="2" t="inlineStr">
        <is>
          <t>001510</t>
        </is>
      </c>
      <c r="E893" s="3" t="inlineStr">
        <is>
          <t xml:space="preserve">주주총회소집결의              </t>
        </is>
      </c>
      <c r="F893" s="3" t="inlineStr">
        <is>
          <t>SK증권</t>
        </is>
      </c>
      <c r="G893" s="2" t="inlineStr">
        <is>
          <t>20260304801434</t>
        </is>
      </c>
      <c r="H893" s="8">
        <f>HYPERLINK("https://dart.fss.or.kr/dsaf001/main.do?rcpNo=20260304801434", "공시열람")</f>
        <v/>
      </c>
    </row>
    <row r="894">
      <c r="A894" s="2" t="inlineStr">
        <is>
          <t>2026-03-04</t>
        </is>
      </c>
      <c r="B894" s="3" t="inlineStr">
        <is>
          <t>덴티움</t>
        </is>
      </c>
      <c r="C894" s="2" t="inlineStr">
        <is>
          <t>코스피</t>
        </is>
      </c>
      <c r="D894" s="2" t="inlineStr">
        <is>
          <t>145720</t>
        </is>
      </c>
      <c r="E894" s="3" t="inlineStr">
        <is>
          <t xml:space="preserve">주주총회소집결의              </t>
        </is>
      </c>
      <c r="F894" s="3" t="inlineStr">
        <is>
          <t>덴티움</t>
        </is>
      </c>
      <c r="G894" s="2" t="inlineStr">
        <is>
          <t>20260304801432</t>
        </is>
      </c>
      <c r="H894" s="8">
        <f>HYPERLINK("https://dart.fss.or.kr/dsaf001/main.do?rcpNo=20260304801432", "공시열람")</f>
        <v/>
      </c>
    </row>
    <row r="895">
      <c r="A895" s="2" t="inlineStr">
        <is>
          <t>2026-03-04</t>
        </is>
      </c>
      <c r="B895" s="3" t="inlineStr">
        <is>
          <t>LX하우시스</t>
        </is>
      </c>
      <c r="C895" s="2" t="inlineStr">
        <is>
          <t>코스피</t>
        </is>
      </c>
      <c r="D895" s="2" t="inlineStr">
        <is>
          <t>108670</t>
        </is>
      </c>
      <c r="E895" s="3" t="inlineStr">
        <is>
          <t xml:space="preserve">주주총회소집결의              </t>
        </is>
      </c>
      <c r="F895" s="3" t="inlineStr">
        <is>
          <t>LX하우시스</t>
        </is>
      </c>
      <c r="G895" s="2" t="inlineStr">
        <is>
          <t>20260304801402</t>
        </is>
      </c>
      <c r="H895" s="8">
        <f>HYPERLINK("https://dart.fss.or.kr/dsaf001/main.do?rcpNo=20260304801402", "공시열람")</f>
        <v/>
      </c>
    </row>
    <row r="896">
      <c r="A896" s="2" t="inlineStr">
        <is>
          <t>2026-03-04</t>
        </is>
      </c>
      <c r="B896" s="3" t="inlineStr">
        <is>
          <t>KB제33호스팩</t>
        </is>
      </c>
      <c r="C896" s="2" t="inlineStr">
        <is>
          <t>코스닥</t>
        </is>
      </c>
      <c r="D896" s="2" t="inlineStr">
        <is>
          <t>0072Z0</t>
        </is>
      </c>
      <c r="E896" s="3" t="inlineStr">
        <is>
          <t>주주총회소집공고</t>
        </is>
      </c>
      <c r="F896" s="3" t="inlineStr">
        <is>
          <t>KB제33호스팩</t>
        </is>
      </c>
      <c r="G896" s="2" t="inlineStr">
        <is>
          <t>20260304001563</t>
        </is>
      </c>
      <c r="H896" s="8">
        <f>HYPERLINK("https://dart.fss.or.kr/dsaf001/main.do?rcpNo=20260304001563", "공시열람")</f>
        <v/>
      </c>
    </row>
    <row r="897">
      <c r="A897" s="2" t="inlineStr">
        <is>
          <t>2026-03-04</t>
        </is>
      </c>
      <c r="B897" s="3" t="inlineStr">
        <is>
          <t>바이넥스</t>
        </is>
      </c>
      <c r="C897" s="2" t="inlineStr">
        <is>
          <t>코스닥</t>
        </is>
      </c>
      <c r="D897" s="2" t="inlineStr">
        <is>
          <t>053030</t>
        </is>
      </c>
      <c r="E897" s="3" t="inlineStr">
        <is>
          <t xml:space="preserve">주주총회소집결의              </t>
        </is>
      </c>
      <c r="F897" s="3" t="inlineStr">
        <is>
          <t>바이넥스</t>
        </is>
      </c>
      <c r="G897" s="2" t="inlineStr">
        <is>
          <t>20260304901476</t>
        </is>
      </c>
      <c r="H897" s="8">
        <f>HYPERLINK("https://dart.fss.or.kr/dsaf001/main.do?rcpNo=20260304901476", "공시열람")</f>
        <v/>
      </c>
    </row>
    <row r="898">
      <c r="A898" s="2" t="inlineStr">
        <is>
          <t>2026-03-04</t>
        </is>
      </c>
      <c r="B898" s="3" t="inlineStr">
        <is>
          <t>한미글로벌</t>
        </is>
      </c>
      <c r="C898" s="2" t="inlineStr">
        <is>
          <t>코스피</t>
        </is>
      </c>
      <c r="D898" s="2" t="inlineStr">
        <is>
          <t>053690</t>
        </is>
      </c>
      <c r="E898" s="3" t="inlineStr">
        <is>
          <t>주주총회소집공고</t>
        </is>
      </c>
      <c r="F898" s="3" t="inlineStr">
        <is>
          <t>한미글로벌</t>
        </is>
      </c>
      <c r="G898" s="2" t="inlineStr">
        <is>
          <t>20260304001552</t>
        </is>
      </c>
      <c r="H898" s="8">
        <f>HYPERLINK("https://dart.fss.or.kr/dsaf001/main.do?rcpNo=20260304001552", "공시열람")</f>
        <v/>
      </c>
    </row>
    <row r="899">
      <c r="A899" s="2" t="inlineStr">
        <is>
          <t>2026-03-04 (정정: 2026-03-04)</t>
        </is>
      </c>
      <c r="B899" s="3" t="inlineStr">
        <is>
          <t>케이씨</t>
        </is>
      </c>
      <c r="C899" s="2" t="inlineStr">
        <is>
          <t>코스피</t>
        </is>
      </c>
      <c r="D899" s="2" t="inlineStr">
        <is>
          <t>029460</t>
        </is>
      </c>
      <c r="E899" s="3" t="inlineStr">
        <is>
          <t>[기재정정]주주총회소집공고 (정정: 20260304)</t>
        </is>
      </c>
      <c r="F899" s="3" t="inlineStr">
        <is>
          <t>케이씨</t>
        </is>
      </c>
      <c r="G899" s="2" t="inlineStr">
        <is>
          <t>20260304801398</t>
        </is>
      </c>
      <c r="H899" s="8">
        <f>HYPERLINK("https://dart.fss.or.kr/dsaf001/main.do?rcpNo=20260304801398", "공시열람")</f>
        <v/>
      </c>
    </row>
    <row r="900">
      <c r="A900" s="2" t="inlineStr">
        <is>
          <t>2026-03-04</t>
        </is>
      </c>
      <c r="B900" s="3" t="inlineStr">
        <is>
          <t>유진스팩12호</t>
        </is>
      </c>
      <c r="C900" s="2" t="inlineStr">
        <is>
          <t>코스닥</t>
        </is>
      </c>
      <c r="D900" s="2" t="inlineStr">
        <is>
          <t>0105P0</t>
        </is>
      </c>
      <c r="E900" s="3" t="inlineStr">
        <is>
          <t xml:space="preserve">주주총회소집결의              </t>
        </is>
      </c>
      <c r="F900" s="3" t="inlineStr">
        <is>
          <t>유진스팩12호</t>
        </is>
      </c>
      <c r="G900" s="2" t="inlineStr">
        <is>
          <t>20260304901236</t>
        </is>
      </c>
      <c r="H900" s="8">
        <f>HYPERLINK("https://dart.fss.or.kr/dsaf001/main.do?rcpNo=20260304901236", "공시열람")</f>
        <v/>
      </c>
    </row>
    <row r="901">
      <c r="A901" s="2" t="inlineStr">
        <is>
          <t>2026-03-04</t>
        </is>
      </c>
      <c r="B901" s="3" t="inlineStr">
        <is>
          <t>KISCO홀딩스</t>
        </is>
      </c>
      <c r="C901" s="2" t="inlineStr">
        <is>
          <t>코스피</t>
        </is>
      </c>
      <c r="D901" s="2" t="inlineStr">
        <is>
          <t>001940</t>
        </is>
      </c>
      <c r="E901" s="3" t="inlineStr">
        <is>
          <t xml:space="preserve">주주총회집중일개최사유신고              </t>
        </is>
      </c>
      <c r="F901" s="3" t="inlineStr">
        <is>
          <t>KISCO홀딩스</t>
        </is>
      </c>
      <c r="G901" s="2" t="inlineStr">
        <is>
          <t>20260304801379</t>
        </is>
      </c>
      <c r="H901" s="8">
        <f>HYPERLINK("https://dart.fss.or.kr/dsaf001/main.do?rcpNo=20260304801379", "공시열람")</f>
        <v/>
      </c>
    </row>
    <row r="902">
      <c r="A902" s="2" t="inlineStr">
        <is>
          <t>2026-03-04</t>
        </is>
      </c>
      <c r="B902" s="3" t="inlineStr">
        <is>
          <t>신한서부티엔디리츠</t>
        </is>
      </c>
      <c r="C902" s="2" t="inlineStr">
        <is>
          <t>코스피</t>
        </is>
      </c>
      <c r="D902" s="2" t="inlineStr">
        <is>
          <t>404990</t>
        </is>
      </c>
      <c r="E902" s="3" t="inlineStr">
        <is>
          <t>주주총회소집공고</t>
        </is>
      </c>
      <c r="F902" s="3" t="inlineStr">
        <is>
          <t>신한서부티엔디리츠</t>
        </is>
      </c>
      <c r="G902" s="2" t="inlineStr">
        <is>
          <t>20260304001513</t>
        </is>
      </c>
      <c r="H902" s="8">
        <f>HYPERLINK("https://dart.fss.or.kr/dsaf001/main.do?rcpNo=20260304001513", "공시열람")</f>
        <v/>
      </c>
    </row>
    <row r="903">
      <c r="A903" s="2" t="inlineStr">
        <is>
          <t>2026-03-04</t>
        </is>
      </c>
      <c r="B903" s="3" t="inlineStr">
        <is>
          <t>라피치</t>
        </is>
      </c>
      <c r="C903" s="2" t="inlineStr">
        <is>
          <t>코넥스</t>
        </is>
      </c>
      <c r="D903" s="2" t="inlineStr">
        <is>
          <t>403360</t>
        </is>
      </c>
      <c r="E903" s="3" t="inlineStr">
        <is>
          <t>주주총회소집공고</t>
        </is>
      </c>
      <c r="F903" s="3" t="inlineStr">
        <is>
          <t>라피치</t>
        </is>
      </c>
      <c r="G903" s="2" t="inlineStr">
        <is>
          <t>20260304001509</t>
        </is>
      </c>
      <c r="H903" s="8">
        <f>HYPERLINK("https://dart.fss.or.kr/dsaf001/main.do?rcpNo=20260304001509", "공시열람")</f>
        <v/>
      </c>
    </row>
    <row r="904">
      <c r="A904" s="2" t="inlineStr">
        <is>
          <t>2026-03-04</t>
        </is>
      </c>
      <c r="B904" s="3" t="inlineStr">
        <is>
          <t>GS리테일</t>
        </is>
      </c>
      <c r="C904" s="2" t="inlineStr">
        <is>
          <t>코스피</t>
        </is>
      </c>
      <c r="D904" s="2" t="inlineStr">
        <is>
          <t>007070</t>
        </is>
      </c>
      <c r="E904" s="3" t="inlineStr">
        <is>
          <t>주주총회소집공고</t>
        </is>
      </c>
      <c r="F904" s="3" t="inlineStr">
        <is>
          <t>GS리테일</t>
        </is>
      </c>
      <c r="G904" s="2" t="inlineStr">
        <is>
          <t>20260304001507</t>
        </is>
      </c>
      <c r="H904" s="8">
        <f>HYPERLINK("https://dart.fss.or.kr/dsaf001/main.do?rcpNo=20260304001507", "공시열람")</f>
        <v/>
      </c>
    </row>
    <row r="905">
      <c r="A905" s="2" t="inlineStr">
        <is>
          <t>2026-03-04</t>
        </is>
      </c>
      <c r="B905" s="3" t="inlineStr">
        <is>
          <t>대주전자재료</t>
        </is>
      </c>
      <c r="C905" s="2" t="inlineStr">
        <is>
          <t>코스닥</t>
        </is>
      </c>
      <c r="D905" s="2" t="inlineStr">
        <is>
          <t>078600</t>
        </is>
      </c>
      <c r="E905" s="3" t="inlineStr">
        <is>
          <t xml:space="preserve">주주총회소집결의              </t>
        </is>
      </c>
      <c r="F905" s="3" t="inlineStr">
        <is>
          <t>대주전자재료</t>
        </is>
      </c>
      <c r="G905" s="2" t="inlineStr">
        <is>
          <t>20260304901303</t>
        </is>
      </c>
      <c r="H905" s="8">
        <f>HYPERLINK("https://dart.fss.or.kr/dsaf001/main.do?rcpNo=20260304901303", "공시열람")</f>
        <v/>
      </c>
    </row>
    <row r="906">
      <c r="A906" s="2" t="inlineStr">
        <is>
          <t>2026-03-04</t>
        </is>
      </c>
      <c r="B906" s="3" t="inlineStr">
        <is>
          <t>텔콘RF제약</t>
        </is>
      </c>
      <c r="C906" s="2" t="inlineStr">
        <is>
          <t>코스닥</t>
        </is>
      </c>
      <c r="D906" s="2" t="inlineStr">
        <is>
          <t>200230</t>
        </is>
      </c>
      <c r="E906" s="3" t="inlineStr">
        <is>
          <t>주주총회소집공고</t>
        </is>
      </c>
      <c r="F906" s="3" t="inlineStr">
        <is>
          <t>텔콘RF제약</t>
        </is>
      </c>
      <c r="G906" s="2" t="inlineStr">
        <is>
          <t>20260304001494</t>
        </is>
      </c>
      <c r="H906" s="8">
        <f>HYPERLINK("https://dart.fss.or.kr/dsaf001/main.do?rcpNo=20260304001494", "공시열람")</f>
        <v/>
      </c>
    </row>
    <row r="907">
      <c r="A907" s="2" t="inlineStr">
        <is>
          <t>2026-03-04</t>
        </is>
      </c>
      <c r="B907" s="3" t="inlineStr">
        <is>
          <t>롯데케미칼</t>
        </is>
      </c>
      <c r="C907" s="2" t="inlineStr">
        <is>
          <t>코스피</t>
        </is>
      </c>
      <c r="D907" s="2" t="inlineStr">
        <is>
          <t>011170</t>
        </is>
      </c>
      <c r="E907" s="3" t="inlineStr">
        <is>
          <t xml:space="preserve">주주총회소집결의              </t>
        </is>
      </c>
      <c r="F907" s="3" t="inlineStr">
        <is>
          <t>롯데케미칼</t>
        </is>
      </c>
      <c r="G907" s="2" t="inlineStr">
        <is>
          <t>20260304801345</t>
        </is>
      </c>
      <c r="H907" s="8">
        <f>HYPERLINK("https://dart.fss.or.kr/dsaf001/main.do?rcpNo=20260304801345", "공시열람")</f>
        <v/>
      </c>
    </row>
    <row r="908">
      <c r="A908" s="2" t="inlineStr">
        <is>
          <t>2026-03-04 (정정: 2026-03-05)</t>
        </is>
      </c>
      <c r="B908" s="3" t="inlineStr">
        <is>
          <t>케이탑리츠</t>
        </is>
      </c>
      <c r="C908" s="2" t="inlineStr">
        <is>
          <t>코스피</t>
        </is>
      </c>
      <c r="D908" s="2" t="inlineStr">
        <is>
          <t>145270</t>
        </is>
      </c>
      <c r="E908" s="3" t="inlineStr">
        <is>
          <t>주주총회소집결의               (정정: 20260305)</t>
        </is>
      </c>
      <c r="F908" s="3" t="inlineStr">
        <is>
          <t>케이탑리츠</t>
        </is>
      </c>
      <c r="G908" s="2" t="inlineStr">
        <is>
          <t>20260305001463</t>
        </is>
      </c>
      <c r="H908" s="8">
        <f>HYPERLINK("https://dart.fss.or.kr/dsaf001/main.do?rcpNo=20260305001463", "공시열람")</f>
        <v/>
      </c>
    </row>
    <row r="909">
      <c r="A909" s="2" t="inlineStr">
        <is>
          <t>2026-03-04</t>
        </is>
      </c>
      <c r="B909" s="3" t="inlineStr">
        <is>
          <t>미원에스씨</t>
        </is>
      </c>
      <c r="C909" s="2" t="inlineStr">
        <is>
          <t>코스피</t>
        </is>
      </c>
      <c r="D909" s="2" t="inlineStr">
        <is>
          <t>268280</t>
        </is>
      </c>
      <c r="E909" s="3" t="inlineStr">
        <is>
          <t>주주총회소집공고</t>
        </is>
      </c>
      <c r="F909" s="3" t="inlineStr">
        <is>
          <t>미원에스씨</t>
        </is>
      </c>
      <c r="G909" s="2" t="inlineStr">
        <is>
          <t>20260304001489</t>
        </is>
      </c>
      <c r="H909" s="8">
        <f>HYPERLINK("https://dart.fss.or.kr/dsaf001/main.do?rcpNo=20260304001489", "공시열람")</f>
        <v/>
      </c>
    </row>
    <row r="910">
      <c r="A910" s="2" t="inlineStr">
        <is>
          <t>2026-03-04</t>
        </is>
      </c>
      <c r="B910" s="3" t="inlineStr">
        <is>
          <t>신한서부티엔디리츠</t>
        </is>
      </c>
      <c r="C910" s="2" t="inlineStr">
        <is>
          <t>코스피</t>
        </is>
      </c>
      <c r="D910" s="2" t="inlineStr">
        <is>
          <t>404990</t>
        </is>
      </c>
      <c r="E910" s="3" t="inlineStr">
        <is>
          <t xml:space="preserve">주주총회소집결의              </t>
        </is>
      </c>
      <c r="F910" s="3" t="inlineStr">
        <is>
          <t>신한서부티엔디리츠</t>
        </is>
      </c>
      <c r="G910" s="2" t="inlineStr">
        <is>
          <t>20260304801353</t>
        </is>
      </c>
      <c r="H910" s="8">
        <f>HYPERLINK("https://dart.fss.or.kr/dsaf001/main.do?rcpNo=20260304801353", "공시열람")</f>
        <v/>
      </c>
    </row>
    <row r="911">
      <c r="A911" s="2" t="inlineStr">
        <is>
          <t>2026-03-04</t>
        </is>
      </c>
      <c r="B911" s="3" t="inlineStr">
        <is>
          <t>한미글로벌</t>
        </is>
      </c>
      <c r="C911" s="2" t="inlineStr">
        <is>
          <t>코스피</t>
        </is>
      </c>
      <c r="D911" s="2" t="inlineStr">
        <is>
          <t>053690</t>
        </is>
      </c>
      <c r="E911" s="3" t="inlineStr">
        <is>
          <t xml:space="preserve">[기재정정]주주총회소집결의              </t>
        </is>
      </c>
      <c r="F911" s="3" t="inlineStr">
        <is>
          <t>한미글로벌</t>
        </is>
      </c>
      <c r="G911" s="2" t="inlineStr">
        <is>
          <t>20260304801369</t>
        </is>
      </c>
      <c r="H911" s="8">
        <f>HYPERLINK("https://dart.fss.or.kr/dsaf001/main.do?rcpNo=20260304801369", "공시열람")</f>
        <v/>
      </c>
    </row>
    <row r="912">
      <c r="A912" s="2" t="inlineStr">
        <is>
          <t>2026-03-04</t>
        </is>
      </c>
      <c r="B912" s="3" t="inlineStr">
        <is>
          <t>인산가</t>
        </is>
      </c>
      <c r="C912" s="2" t="inlineStr">
        <is>
          <t>코스닥</t>
        </is>
      </c>
      <c r="D912" s="2" t="inlineStr">
        <is>
          <t>277410</t>
        </is>
      </c>
      <c r="E912" s="3" t="inlineStr">
        <is>
          <t xml:space="preserve">주주총회소집결의              </t>
        </is>
      </c>
      <c r="F912" s="3" t="inlineStr">
        <is>
          <t>인산가</t>
        </is>
      </c>
      <c r="G912" s="2" t="inlineStr">
        <is>
          <t>20260304901380</t>
        </is>
      </c>
      <c r="H912" s="8">
        <f>HYPERLINK("https://dart.fss.or.kr/dsaf001/main.do?rcpNo=20260304901380", "공시열람")</f>
        <v/>
      </c>
    </row>
    <row r="913">
      <c r="A913" s="2" t="inlineStr">
        <is>
          <t>2026-03-04</t>
        </is>
      </c>
      <c r="B913" s="3" t="inlineStr">
        <is>
          <t>원일티엔아이</t>
        </is>
      </c>
      <c r="C913" s="2" t="inlineStr">
        <is>
          <t>코스닥</t>
        </is>
      </c>
      <c r="D913" s="2" t="inlineStr">
        <is>
          <t>136150</t>
        </is>
      </c>
      <c r="E913" s="3" t="inlineStr">
        <is>
          <t xml:space="preserve">[기재정정]주주총회소집결의              </t>
        </is>
      </c>
      <c r="F913" s="3" t="inlineStr">
        <is>
          <t>원일티엔아이</t>
        </is>
      </c>
      <c r="G913" s="2" t="inlineStr">
        <is>
          <t>20260304901383</t>
        </is>
      </c>
      <c r="H913" s="8">
        <f>HYPERLINK("https://dart.fss.or.kr/dsaf001/main.do?rcpNo=20260304901383", "공시열람")</f>
        <v/>
      </c>
    </row>
    <row r="914">
      <c r="A914" s="2" t="inlineStr">
        <is>
          <t>2026-03-04</t>
        </is>
      </c>
      <c r="B914" s="3" t="inlineStr">
        <is>
          <t>옵투스제약</t>
        </is>
      </c>
      <c r="C914" s="2" t="inlineStr">
        <is>
          <t>코스닥</t>
        </is>
      </c>
      <c r="D914" s="2" t="inlineStr">
        <is>
          <t>131030</t>
        </is>
      </c>
      <c r="E914" s="3" t="inlineStr">
        <is>
          <t>주주총회소집공고</t>
        </is>
      </c>
      <c r="F914" s="3" t="inlineStr">
        <is>
          <t>옵투스제약</t>
        </is>
      </c>
      <c r="G914" s="2" t="inlineStr">
        <is>
          <t>20260304001475</t>
        </is>
      </c>
      <c r="H914" s="8">
        <f>HYPERLINK("https://dart.fss.or.kr/dsaf001/main.do?rcpNo=20260304001475", "공시열람")</f>
        <v/>
      </c>
    </row>
    <row r="915">
      <c r="A915" s="2" t="inlineStr">
        <is>
          <t>2026-03-04</t>
        </is>
      </c>
      <c r="B915" s="3" t="inlineStr">
        <is>
          <t>옵투스제약</t>
        </is>
      </c>
      <c r="C915" s="2" t="inlineStr">
        <is>
          <t>코스닥</t>
        </is>
      </c>
      <c r="D915" s="2" t="inlineStr">
        <is>
          <t>131030</t>
        </is>
      </c>
      <c r="E915" s="3" t="inlineStr">
        <is>
          <t xml:space="preserve">주주총회소집결의              </t>
        </is>
      </c>
      <c r="F915" s="3" t="inlineStr">
        <is>
          <t>옵투스제약</t>
        </is>
      </c>
      <c r="G915" s="2" t="inlineStr">
        <is>
          <t>20260304901385</t>
        </is>
      </c>
      <c r="H915" s="8">
        <f>HYPERLINK("https://dart.fss.or.kr/dsaf001/main.do?rcpNo=20260304901385", "공시열람")</f>
        <v/>
      </c>
    </row>
    <row r="916">
      <c r="A916" s="2" t="inlineStr">
        <is>
          <t>2026-03-04 (정정: 2026-03-04)</t>
        </is>
      </c>
      <c r="B916" s="3" t="inlineStr">
        <is>
          <t>미래에셋벤처투자</t>
        </is>
      </c>
      <c r="C916" s="2" t="inlineStr">
        <is>
          <t>코스닥</t>
        </is>
      </c>
      <c r="D916" s="2" t="inlineStr">
        <is>
          <t>100790</t>
        </is>
      </c>
      <c r="E916" s="3" t="inlineStr">
        <is>
          <t>주주총회소집결의               (정정: 20260304)</t>
        </is>
      </c>
      <c r="F916" s="3" t="inlineStr">
        <is>
          <t>미래에셋벤처투자</t>
        </is>
      </c>
      <c r="G916" s="2" t="inlineStr">
        <is>
          <t>20260304901307</t>
        </is>
      </c>
      <c r="H916" s="8">
        <f>HYPERLINK("https://dart.fss.or.kr/dsaf001/main.do?rcpNo=20260304901307", "공시열람")</f>
        <v/>
      </c>
    </row>
    <row r="917">
      <c r="A917" s="2" t="inlineStr">
        <is>
          <t>2026-03-04</t>
        </is>
      </c>
      <c r="B917" s="3" t="inlineStr">
        <is>
          <t>한성크린텍</t>
        </is>
      </c>
      <c r="C917" s="2" t="inlineStr">
        <is>
          <t>코스닥</t>
        </is>
      </c>
      <c r="D917" s="2" t="inlineStr">
        <is>
          <t>066980</t>
        </is>
      </c>
      <c r="E917" s="3" t="inlineStr">
        <is>
          <t xml:space="preserve">주주총회소집결의              </t>
        </is>
      </c>
      <c r="F917" s="3" t="inlineStr">
        <is>
          <t>한성크린텍</t>
        </is>
      </c>
      <c r="G917" s="2" t="inlineStr">
        <is>
          <t>20260304901341</t>
        </is>
      </c>
      <c r="H917" s="8">
        <f>HYPERLINK("https://dart.fss.or.kr/dsaf001/main.do?rcpNo=20260304901341", "공시열람")</f>
        <v/>
      </c>
    </row>
    <row r="918">
      <c r="A918" s="2" t="inlineStr">
        <is>
          <t>2026-03-04 (정정: 2026-03-04)</t>
        </is>
      </c>
      <c r="B918" s="3" t="inlineStr">
        <is>
          <t>GS리테일</t>
        </is>
      </c>
      <c r="C918" s="2" t="inlineStr">
        <is>
          <t>코스피</t>
        </is>
      </c>
      <c r="D918" s="2" t="inlineStr">
        <is>
          <t>007070</t>
        </is>
      </c>
      <c r="E918" s="3" t="inlineStr">
        <is>
          <t>주주총회소집결의               (정정: 20260304) (정정: 20260304)</t>
        </is>
      </c>
      <c r="F918" s="3" t="inlineStr">
        <is>
          <t>GS리테일</t>
        </is>
      </c>
      <c r="G918" s="2" t="inlineStr">
        <is>
          <t>20260304801261</t>
        </is>
      </c>
      <c r="H918" s="8">
        <f>HYPERLINK("https://dart.fss.or.kr/dsaf001/main.do?rcpNo=20260304801261", "공시열람")</f>
        <v/>
      </c>
    </row>
    <row r="919">
      <c r="A919" s="2" t="inlineStr">
        <is>
          <t>2026-03-04</t>
        </is>
      </c>
      <c r="B919" s="3" t="inlineStr">
        <is>
          <t>한국카본</t>
        </is>
      </c>
      <c r="C919" s="2" t="inlineStr">
        <is>
          <t>코스피</t>
        </is>
      </c>
      <c r="D919" s="2" t="inlineStr">
        <is>
          <t>017960</t>
        </is>
      </c>
      <c r="E919" s="3" t="inlineStr">
        <is>
          <t>주주총회소집공고</t>
        </is>
      </c>
      <c r="F919" s="3" t="inlineStr">
        <is>
          <t>한국카본</t>
        </is>
      </c>
      <c r="G919" s="2" t="inlineStr">
        <is>
          <t>20260304001453</t>
        </is>
      </c>
      <c r="H919" s="8">
        <f>HYPERLINK("https://dart.fss.or.kr/dsaf001/main.do?rcpNo=20260304001453", "공시열람")</f>
        <v/>
      </c>
    </row>
    <row r="920">
      <c r="A920" s="2" t="inlineStr">
        <is>
          <t>2026-03-04</t>
        </is>
      </c>
      <c r="B920" s="3" t="inlineStr">
        <is>
          <t>CSA 코스믹</t>
        </is>
      </c>
      <c r="C920" s="2" t="inlineStr">
        <is>
          <t>코스닥</t>
        </is>
      </c>
      <c r="D920" s="2" t="inlineStr">
        <is>
          <t>083660</t>
        </is>
      </c>
      <c r="E920" s="3" t="inlineStr">
        <is>
          <t xml:space="preserve">주식분할결정              </t>
        </is>
      </c>
      <c r="F920" s="3" t="inlineStr">
        <is>
          <t>CSA 코스믹</t>
        </is>
      </c>
      <c r="G920" s="2" t="inlineStr">
        <is>
          <t>20260304901247</t>
        </is>
      </c>
      <c r="H920" s="8">
        <f>HYPERLINK("https://dart.fss.or.kr/dsaf001/main.do?rcpNo=20260304901247", "공시열람")</f>
        <v/>
      </c>
    </row>
    <row r="921">
      <c r="A921" s="2" t="inlineStr">
        <is>
          <t>2026-03-04</t>
        </is>
      </c>
      <c r="B921" s="3" t="inlineStr">
        <is>
          <t>CSA 코스믹</t>
        </is>
      </c>
      <c r="C921" s="2" t="inlineStr">
        <is>
          <t>코스닥</t>
        </is>
      </c>
      <c r="D921" s="2" t="inlineStr">
        <is>
          <t>083660</t>
        </is>
      </c>
      <c r="E921" s="3" t="inlineStr">
        <is>
          <t xml:space="preserve">주주총회소집결의              </t>
        </is>
      </c>
      <c r="F921" s="3" t="inlineStr">
        <is>
          <t>CSA 코스믹</t>
        </is>
      </c>
      <c r="G921" s="2" t="inlineStr">
        <is>
          <t>20260304901315</t>
        </is>
      </c>
      <c r="H921" s="8">
        <f>HYPERLINK("https://dart.fss.or.kr/dsaf001/main.do?rcpNo=20260304901315", "공시열람")</f>
        <v/>
      </c>
    </row>
    <row r="922">
      <c r="A922" s="2" t="inlineStr">
        <is>
          <t>2026-03-04</t>
        </is>
      </c>
      <c r="B922" s="3" t="inlineStr">
        <is>
          <t>미래에셋증권</t>
        </is>
      </c>
      <c r="C922" s="2" t="inlineStr">
        <is>
          <t>코스피</t>
        </is>
      </c>
      <c r="D922" s="2" t="inlineStr">
        <is>
          <t>006800</t>
        </is>
      </c>
      <c r="E922" s="3" t="inlineStr">
        <is>
          <t>주주총회소집공고</t>
        </is>
      </c>
      <c r="F922" s="3" t="inlineStr">
        <is>
          <t>미래에셋증권</t>
        </is>
      </c>
      <c r="G922" s="2" t="inlineStr">
        <is>
          <t>20260304001438</t>
        </is>
      </c>
      <c r="H922" s="8">
        <f>HYPERLINK("https://dart.fss.or.kr/dsaf001/main.do?rcpNo=20260304001438", "공시열람")</f>
        <v/>
      </c>
    </row>
    <row r="923">
      <c r="A923" s="2" t="inlineStr">
        <is>
          <t>2026-03-04</t>
        </is>
      </c>
      <c r="B923" s="3" t="inlineStr">
        <is>
          <t>한국카본</t>
        </is>
      </c>
      <c r="C923" s="2" t="inlineStr">
        <is>
          <t>코스피</t>
        </is>
      </c>
      <c r="D923" s="2" t="inlineStr">
        <is>
          <t>017960</t>
        </is>
      </c>
      <c r="E923" s="3" t="inlineStr">
        <is>
          <t xml:space="preserve">주주총회집중일개최사유신고              </t>
        </is>
      </c>
      <c r="F923" s="3" t="inlineStr">
        <is>
          <t>한국카본</t>
        </is>
      </c>
      <c r="G923" s="2" t="inlineStr">
        <is>
          <t>20260304801338</t>
        </is>
      </c>
      <c r="H923" s="8">
        <f>HYPERLINK("https://dart.fss.or.kr/dsaf001/main.do?rcpNo=20260304801338", "공시열람")</f>
        <v/>
      </c>
    </row>
    <row r="924">
      <c r="A924" s="2" t="inlineStr">
        <is>
          <t>2026-03-04</t>
        </is>
      </c>
      <c r="B924" s="3" t="inlineStr">
        <is>
          <t>라피치</t>
        </is>
      </c>
      <c r="C924" s="2" t="inlineStr">
        <is>
          <t>코넥스</t>
        </is>
      </c>
      <c r="D924" s="2" t="inlineStr">
        <is>
          <t>403360</t>
        </is>
      </c>
      <c r="E924" s="3" t="inlineStr">
        <is>
          <t xml:space="preserve">주주총회소집결의              </t>
        </is>
      </c>
      <c r="F924" s="3" t="inlineStr">
        <is>
          <t>라피치</t>
        </is>
      </c>
      <c r="G924" s="2" t="inlineStr">
        <is>
          <t>20260304601328</t>
        </is>
      </c>
      <c r="H924" s="8">
        <f>HYPERLINK("https://dart.fss.or.kr/dsaf001/main.do?rcpNo=20260304601328", "공시열람")</f>
        <v/>
      </c>
    </row>
    <row r="925">
      <c r="A925" s="2" t="inlineStr">
        <is>
          <t>2026-02-20 (정정: 2026-03-04)</t>
        </is>
      </c>
      <c r="B925" s="3" t="inlineStr">
        <is>
          <t>라이온켐텍</t>
        </is>
      </c>
      <c r="C925" s="2" t="inlineStr">
        <is>
          <t>코스닥</t>
        </is>
      </c>
      <c r="D925" s="2" t="inlineStr">
        <is>
          <t>171120</t>
        </is>
      </c>
      <c r="E925" s="3" t="inlineStr">
        <is>
          <t xml:space="preserve">[기재정정]주주총회소집결의              </t>
        </is>
      </c>
      <c r="F925" s="3" t="inlineStr">
        <is>
          <t>라이온켐텍</t>
        </is>
      </c>
      <c r="G925" s="2" t="inlineStr">
        <is>
          <t>20260304901305</t>
        </is>
      </c>
      <c r="H925" s="8">
        <f>HYPERLINK("https://dart.fss.or.kr/dsaf001/main.do?rcpNo=20260304901305", "공시열람")</f>
        <v/>
      </c>
    </row>
    <row r="926">
      <c r="A926" s="2" t="inlineStr">
        <is>
          <t>2026-03-04</t>
        </is>
      </c>
      <c r="B926" s="3" t="inlineStr">
        <is>
          <t>TCC스틸</t>
        </is>
      </c>
      <c r="C926" s="2" t="inlineStr">
        <is>
          <t>코스피</t>
        </is>
      </c>
      <c r="D926" s="2" t="inlineStr">
        <is>
          <t>002710</t>
        </is>
      </c>
      <c r="E926" s="3" t="inlineStr">
        <is>
          <t>주주총회소집공고</t>
        </is>
      </c>
      <c r="F926" s="3" t="inlineStr">
        <is>
          <t>TCC스틸</t>
        </is>
      </c>
      <c r="G926" s="2" t="inlineStr">
        <is>
          <t>20260304001420</t>
        </is>
      </c>
      <c r="H926" s="8">
        <f>HYPERLINK("https://dart.fss.or.kr/dsaf001/main.do?rcpNo=20260304001420", "공시열람")</f>
        <v/>
      </c>
    </row>
    <row r="927">
      <c r="A927" s="2" t="inlineStr">
        <is>
          <t>2026-03-04</t>
        </is>
      </c>
      <c r="B927" s="3" t="inlineStr">
        <is>
          <t>한국카본</t>
        </is>
      </c>
      <c r="C927" s="2" t="inlineStr">
        <is>
          <t>코스피</t>
        </is>
      </c>
      <c r="D927" s="2" t="inlineStr">
        <is>
          <t>017960</t>
        </is>
      </c>
      <c r="E927" s="3" t="inlineStr">
        <is>
          <t xml:space="preserve">주주총회소집결의              </t>
        </is>
      </c>
      <c r="F927" s="3" t="inlineStr">
        <is>
          <t>한국카본</t>
        </is>
      </c>
      <c r="G927" s="2" t="inlineStr">
        <is>
          <t>20260304801282</t>
        </is>
      </c>
      <c r="H927" s="8">
        <f>HYPERLINK("https://dart.fss.or.kr/dsaf001/main.do?rcpNo=20260304801282", "공시열람")</f>
        <v/>
      </c>
    </row>
    <row r="928">
      <c r="A928" s="2" t="inlineStr">
        <is>
          <t>2026-03-04</t>
        </is>
      </c>
      <c r="B928" s="3" t="inlineStr">
        <is>
          <t>한신공영</t>
        </is>
      </c>
      <c r="C928" s="2" t="inlineStr">
        <is>
          <t>코스피</t>
        </is>
      </c>
      <c r="D928" s="2" t="inlineStr">
        <is>
          <t>004960</t>
        </is>
      </c>
      <c r="E928" s="3" t="inlineStr">
        <is>
          <t xml:space="preserve">주주총회소집결의              </t>
        </is>
      </c>
      <c r="F928" s="3" t="inlineStr">
        <is>
          <t>한신공영</t>
        </is>
      </c>
      <c r="G928" s="2" t="inlineStr">
        <is>
          <t>20260304801206</t>
        </is>
      </c>
      <c r="H928" s="8">
        <f>HYPERLINK("https://dart.fss.or.kr/dsaf001/main.do?rcpNo=20260304801206", "공시열람")</f>
        <v/>
      </c>
    </row>
    <row r="929">
      <c r="A929" s="2" t="inlineStr">
        <is>
          <t>2026-03-04</t>
        </is>
      </c>
      <c r="B929" s="3" t="inlineStr">
        <is>
          <t>교보15호스팩</t>
        </is>
      </c>
      <c r="C929" s="2" t="inlineStr">
        <is>
          <t>코스닥</t>
        </is>
      </c>
      <c r="D929" s="2" t="inlineStr">
        <is>
          <t>465320</t>
        </is>
      </c>
      <c r="E929" s="3" t="inlineStr">
        <is>
          <t>주주총회소집공고</t>
        </is>
      </c>
      <c r="F929" s="3" t="inlineStr">
        <is>
          <t>교보15호스팩</t>
        </is>
      </c>
      <c r="G929" s="2" t="inlineStr">
        <is>
          <t>20260304001402</t>
        </is>
      </c>
      <c r="H929" s="8">
        <f>HYPERLINK("https://dart.fss.or.kr/dsaf001/main.do?rcpNo=20260304001402", "공시열람")</f>
        <v/>
      </c>
    </row>
    <row r="930">
      <c r="A930" s="2" t="inlineStr">
        <is>
          <t>2026-03-04</t>
        </is>
      </c>
      <c r="B930" s="3" t="inlineStr">
        <is>
          <t>KISCO홀딩스</t>
        </is>
      </c>
      <c r="C930" s="2" t="inlineStr">
        <is>
          <t>코스피</t>
        </is>
      </c>
      <c r="D930" s="2" t="inlineStr">
        <is>
          <t>001940</t>
        </is>
      </c>
      <c r="E930" s="3" t="inlineStr">
        <is>
          <t xml:space="preserve">주주총회소집결의              </t>
        </is>
      </c>
      <c r="F930" s="3" t="inlineStr">
        <is>
          <t>KISCO홀딩스</t>
        </is>
      </c>
      <c r="G930" s="2" t="inlineStr">
        <is>
          <t>20260304801275</t>
        </is>
      </c>
      <c r="H930" s="8">
        <f>HYPERLINK("https://dart.fss.or.kr/dsaf001/main.do?rcpNo=20260304801275", "공시열람")</f>
        <v/>
      </c>
    </row>
    <row r="931">
      <c r="A931" s="2" t="inlineStr">
        <is>
          <t>2026-03-04</t>
        </is>
      </c>
      <c r="B931" s="3" t="inlineStr">
        <is>
          <t>미원상사</t>
        </is>
      </c>
      <c r="C931" s="2" t="inlineStr">
        <is>
          <t>코스피</t>
        </is>
      </c>
      <c r="D931" s="2" t="inlineStr">
        <is>
          <t>002840</t>
        </is>
      </c>
      <c r="E931" s="3" t="inlineStr">
        <is>
          <t xml:space="preserve">주주총회소집결의              </t>
        </is>
      </c>
      <c r="F931" s="3" t="inlineStr">
        <is>
          <t>미원상사</t>
        </is>
      </c>
      <c r="G931" s="2" t="inlineStr">
        <is>
          <t>20260304801196</t>
        </is>
      </c>
      <c r="H931" s="8">
        <f>HYPERLINK("https://dart.fss.or.kr/dsaf001/main.do?rcpNo=20260304801196", "공시열람")</f>
        <v/>
      </c>
    </row>
    <row r="932">
      <c r="A932" s="2" t="inlineStr">
        <is>
          <t>2026-03-04</t>
        </is>
      </c>
      <c r="B932" s="3" t="inlineStr">
        <is>
          <t>아세아</t>
        </is>
      </c>
      <c r="C932" s="2" t="inlineStr">
        <is>
          <t>코스피</t>
        </is>
      </c>
      <c r="D932" s="2" t="inlineStr">
        <is>
          <t>002030</t>
        </is>
      </c>
      <c r="E932" s="3" t="inlineStr">
        <is>
          <t>주주총회소집공고</t>
        </is>
      </c>
      <c r="F932" s="3" t="inlineStr">
        <is>
          <t>아세아</t>
        </is>
      </c>
      <c r="G932" s="2" t="inlineStr">
        <is>
          <t>20260304001382</t>
        </is>
      </c>
      <c r="H932" s="8">
        <f>HYPERLINK("https://dart.fss.or.kr/dsaf001/main.do?rcpNo=20260304001382", "공시열람")</f>
        <v/>
      </c>
    </row>
    <row r="933">
      <c r="A933" s="2" t="inlineStr">
        <is>
          <t>2026-03-04</t>
        </is>
      </c>
      <c r="B933" s="3" t="inlineStr">
        <is>
          <t>국순당</t>
        </is>
      </c>
      <c r="C933" s="2" t="inlineStr">
        <is>
          <t>코스닥</t>
        </is>
      </c>
      <c r="D933" s="2" t="inlineStr">
        <is>
          <t>043650</t>
        </is>
      </c>
      <c r="E933" s="3" t="inlineStr">
        <is>
          <t xml:space="preserve">[첨부정정]주주총회소집결의              </t>
        </is>
      </c>
      <c r="F933" s="3" t="inlineStr">
        <is>
          <t>국순당</t>
        </is>
      </c>
      <c r="G933" s="2" t="inlineStr">
        <is>
          <t>20260304901248</t>
        </is>
      </c>
      <c r="H933" s="8">
        <f>HYPERLINK("https://dart.fss.or.kr/dsaf001/main.do?rcpNo=20260304901248", "공시열람")</f>
        <v/>
      </c>
    </row>
    <row r="934">
      <c r="A934" s="2" t="inlineStr">
        <is>
          <t>2026-03-04</t>
        </is>
      </c>
      <c r="B934" s="3" t="inlineStr">
        <is>
          <t>에이스토리</t>
        </is>
      </c>
      <c r="C934" s="2" t="inlineStr">
        <is>
          <t>코스닥</t>
        </is>
      </c>
      <c r="D934" s="2" t="inlineStr">
        <is>
          <t>241840</t>
        </is>
      </c>
      <c r="E934" s="3" t="inlineStr">
        <is>
          <t>주주총회소집공고</t>
        </is>
      </c>
      <c r="F934" s="3" t="inlineStr">
        <is>
          <t>에이스토리</t>
        </is>
      </c>
      <c r="G934" s="2" t="inlineStr">
        <is>
          <t>20260304001374</t>
        </is>
      </c>
      <c r="H934" s="8">
        <f>HYPERLINK("https://dart.fss.or.kr/dsaf001/main.do?rcpNo=20260304001374", "공시열람")</f>
        <v/>
      </c>
    </row>
    <row r="935">
      <c r="A935" s="2" t="inlineStr">
        <is>
          <t>2026-03-04</t>
        </is>
      </c>
      <c r="B935" s="3" t="inlineStr">
        <is>
          <t>인트론바이오</t>
        </is>
      </c>
      <c r="C935" s="2" t="inlineStr">
        <is>
          <t>코스닥</t>
        </is>
      </c>
      <c r="D935" s="2" t="inlineStr">
        <is>
          <t>048530</t>
        </is>
      </c>
      <c r="E935" s="3" t="inlineStr">
        <is>
          <t>주주총회소집공고</t>
        </is>
      </c>
      <c r="F935" s="3" t="inlineStr">
        <is>
          <t>인트론바이오</t>
        </is>
      </c>
      <c r="G935" s="2" t="inlineStr">
        <is>
          <t>20260304001371</t>
        </is>
      </c>
      <c r="H935" s="8">
        <f>HYPERLINK("https://dart.fss.or.kr/dsaf001/main.do?rcpNo=20260304001371", "공시열람")</f>
        <v/>
      </c>
    </row>
    <row r="936">
      <c r="A936" s="2" t="inlineStr">
        <is>
          <t>2026-03-04</t>
        </is>
      </c>
      <c r="B936" s="3" t="inlineStr">
        <is>
          <t>텔콘RF제약</t>
        </is>
      </c>
      <c r="C936" s="2" t="inlineStr">
        <is>
          <t>코스닥</t>
        </is>
      </c>
      <c r="D936" s="2" t="inlineStr">
        <is>
          <t>200230</t>
        </is>
      </c>
      <c r="E936" s="3" t="inlineStr">
        <is>
          <t xml:space="preserve">주주총회집중일개최사유신고              </t>
        </is>
      </c>
      <c r="F936" s="3" t="inlineStr">
        <is>
          <t>텔콘RF제약</t>
        </is>
      </c>
      <c r="G936" s="2" t="inlineStr">
        <is>
          <t>20260304901155</t>
        </is>
      </c>
      <c r="H936" s="8">
        <f>HYPERLINK("https://dart.fss.or.kr/dsaf001/main.do?rcpNo=20260304901155", "공시열람")</f>
        <v/>
      </c>
    </row>
    <row r="937">
      <c r="A937" s="2" t="inlineStr">
        <is>
          <t>2026-03-04</t>
        </is>
      </c>
      <c r="B937" s="3" t="inlineStr">
        <is>
          <t>KZ정밀</t>
        </is>
      </c>
      <c r="C937" s="2" t="inlineStr">
        <is>
          <t>코스닥</t>
        </is>
      </c>
      <c r="D937" s="2" t="inlineStr">
        <is>
          <t>036560</t>
        </is>
      </c>
      <c r="E937" s="3" t="inlineStr">
        <is>
          <t>주주총회소집공고</t>
        </is>
      </c>
      <c r="F937" s="3" t="inlineStr">
        <is>
          <t>KZ정밀</t>
        </is>
      </c>
      <c r="G937" s="2" t="inlineStr">
        <is>
          <t>20260304001366</t>
        </is>
      </c>
      <c r="H937" s="8">
        <f>HYPERLINK("https://dart.fss.or.kr/dsaf001/main.do?rcpNo=20260304001366", "공시열람")</f>
        <v/>
      </c>
    </row>
    <row r="938">
      <c r="A938" s="2" t="inlineStr">
        <is>
          <t>2026-03-04</t>
        </is>
      </c>
      <c r="B938" s="3" t="inlineStr">
        <is>
          <t>텔콘RF제약</t>
        </is>
      </c>
      <c r="C938" s="2" t="inlineStr">
        <is>
          <t>코스닥</t>
        </is>
      </c>
      <c r="D938" s="2" t="inlineStr">
        <is>
          <t>200230</t>
        </is>
      </c>
      <c r="E938" s="3" t="inlineStr">
        <is>
          <t xml:space="preserve">주주총회소집결의              </t>
        </is>
      </c>
      <c r="F938" s="3" t="inlineStr">
        <is>
          <t>텔콘RF제약</t>
        </is>
      </c>
      <c r="G938" s="2" t="inlineStr">
        <is>
          <t>20260304901150</t>
        </is>
      </c>
      <c r="H938" s="8">
        <f>HYPERLINK("https://dart.fss.or.kr/dsaf001/main.do?rcpNo=20260304901150", "공시열람")</f>
        <v/>
      </c>
    </row>
    <row r="939">
      <c r="A939" s="2" t="inlineStr">
        <is>
          <t>2026-03-04</t>
        </is>
      </c>
      <c r="B939" s="3" t="inlineStr">
        <is>
          <t>SK리츠</t>
        </is>
      </c>
      <c r="C939" s="2" t="inlineStr">
        <is>
          <t>코스피</t>
        </is>
      </c>
      <c r="D939" s="2" t="inlineStr">
        <is>
          <t>395400</t>
        </is>
      </c>
      <c r="E939" s="3" t="inlineStr">
        <is>
          <t>주주총회소집공고</t>
        </is>
      </c>
      <c r="F939" s="3" t="inlineStr">
        <is>
          <t>SK리츠</t>
        </is>
      </c>
      <c r="G939" s="2" t="inlineStr">
        <is>
          <t>20260304001363</t>
        </is>
      </c>
      <c r="H939" s="8">
        <f>HYPERLINK("https://dart.fss.or.kr/dsaf001/main.do?rcpNo=20260304001363", "공시열람")</f>
        <v/>
      </c>
    </row>
    <row r="940">
      <c r="A940" s="2" t="inlineStr">
        <is>
          <t>2026-03-04</t>
        </is>
      </c>
      <c r="B940" s="3" t="inlineStr">
        <is>
          <t>플리토</t>
        </is>
      </c>
      <c r="C940" s="2" t="inlineStr">
        <is>
          <t>코스닥</t>
        </is>
      </c>
      <c r="D940" s="2" t="inlineStr">
        <is>
          <t>300080</t>
        </is>
      </c>
      <c r="E940" s="3" t="inlineStr">
        <is>
          <t>주주총회소집공고</t>
        </is>
      </c>
      <c r="F940" s="3" t="inlineStr">
        <is>
          <t>플리토</t>
        </is>
      </c>
      <c r="G940" s="2" t="inlineStr">
        <is>
          <t>20260304001348</t>
        </is>
      </c>
      <c r="H940" s="8">
        <f>HYPERLINK("https://dart.fss.or.kr/dsaf001/main.do?rcpNo=20260304001348", "공시열람")</f>
        <v/>
      </c>
    </row>
    <row r="941">
      <c r="A941" s="2" t="inlineStr">
        <is>
          <t>2026-03-04</t>
        </is>
      </c>
      <c r="B941" s="3" t="inlineStr">
        <is>
          <t>아세아</t>
        </is>
      </c>
      <c r="C941" s="2" t="inlineStr">
        <is>
          <t>코스피</t>
        </is>
      </c>
      <c r="D941" s="2" t="inlineStr">
        <is>
          <t>002030</t>
        </is>
      </c>
      <c r="E941" s="3" t="inlineStr">
        <is>
          <t xml:space="preserve">주주총회소집결의              </t>
        </is>
      </c>
      <c r="F941" s="3" t="inlineStr">
        <is>
          <t>아세아</t>
        </is>
      </c>
      <c r="G941" s="2" t="inlineStr">
        <is>
          <t>20260304801211</t>
        </is>
      </c>
      <c r="H941" s="8">
        <f>HYPERLINK("https://dart.fss.or.kr/dsaf001/main.do?rcpNo=20260304801211", "공시열람")</f>
        <v/>
      </c>
    </row>
    <row r="942">
      <c r="A942" s="2" t="inlineStr">
        <is>
          <t>2026-03-04</t>
        </is>
      </c>
      <c r="B942" s="3" t="inlineStr">
        <is>
          <t>플리토</t>
        </is>
      </c>
      <c r="C942" s="2" t="inlineStr">
        <is>
          <t>코스닥</t>
        </is>
      </c>
      <c r="D942" s="2" t="inlineStr">
        <is>
          <t>300080</t>
        </is>
      </c>
      <c r="E942" s="3" t="inlineStr">
        <is>
          <t xml:space="preserve">주주총회집중일개최사유신고              </t>
        </is>
      </c>
      <c r="F942" s="3" t="inlineStr">
        <is>
          <t>플리토</t>
        </is>
      </c>
      <c r="G942" s="2" t="inlineStr">
        <is>
          <t>20260304901194</t>
        </is>
      </c>
      <c r="H942" s="8">
        <f>HYPERLINK("https://dart.fss.or.kr/dsaf001/main.do?rcpNo=20260304901194", "공시열람")</f>
        <v/>
      </c>
    </row>
    <row r="943">
      <c r="A943" s="2" t="inlineStr">
        <is>
          <t>2026-03-04</t>
        </is>
      </c>
      <c r="B943" s="3" t="inlineStr">
        <is>
          <t>플리토</t>
        </is>
      </c>
      <c r="C943" s="2" t="inlineStr">
        <is>
          <t>코스닥</t>
        </is>
      </c>
      <c r="D943" s="2" t="inlineStr">
        <is>
          <t>300080</t>
        </is>
      </c>
      <c r="E943" s="3" t="inlineStr">
        <is>
          <t xml:space="preserve">주주총회소집결의              </t>
        </is>
      </c>
      <c r="F943" s="3" t="inlineStr">
        <is>
          <t>플리토</t>
        </is>
      </c>
      <c r="G943" s="2" t="inlineStr">
        <is>
          <t>20260304901193</t>
        </is>
      </c>
      <c r="H943" s="8">
        <f>HYPERLINK("https://dart.fss.or.kr/dsaf001/main.do?rcpNo=20260304901193", "공시열람")</f>
        <v/>
      </c>
    </row>
    <row r="944">
      <c r="A944" s="2" t="inlineStr">
        <is>
          <t>2026-03-04</t>
        </is>
      </c>
      <c r="B944" s="3" t="inlineStr">
        <is>
          <t>대덕전자</t>
        </is>
      </c>
      <c r="C944" s="2" t="inlineStr">
        <is>
          <t>코스피</t>
        </is>
      </c>
      <c r="D944" s="2" t="inlineStr">
        <is>
          <t>353200</t>
        </is>
      </c>
      <c r="E944" s="3" t="inlineStr">
        <is>
          <t xml:space="preserve">주주총회소집결의              </t>
        </is>
      </c>
      <c r="F944" s="3" t="inlineStr">
        <is>
          <t>대덕전자</t>
        </is>
      </c>
      <c r="G944" s="2" t="inlineStr">
        <is>
          <t>20260304801197</t>
        </is>
      </c>
      <c r="H944" s="8">
        <f>HYPERLINK("https://dart.fss.or.kr/dsaf001/main.do?rcpNo=20260304801197", "공시열람")</f>
        <v/>
      </c>
    </row>
    <row r="945">
      <c r="A945" s="2" t="inlineStr">
        <is>
          <t>2026-03-04</t>
        </is>
      </c>
      <c r="B945" s="3" t="inlineStr">
        <is>
          <t>CJ 바이오사이언스</t>
        </is>
      </c>
      <c r="C945" s="2" t="inlineStr">
        <is>
          <t>코스닥</t>
        </is>
      </c>
      <c r="D945" s="2" t="inlineStr">
        <is>
          <t>311690</t>
        </is>
      </c>
      <c r="E945" s="3" t="inlineStr">
        <is>
          <t xml:space="preserve">주주총회소집결의              </t>
        </is>
      </c>
      <c r="F945" s="3" t="inlineStr">
        <is>
          <t>CJ 바이오사이언스</t>
        </is>
      </c>
      <c r="G945" s="2" t="inlineStr">
        <is>
          <t>20260304901188</t>
        </is>
      </c>
      <c r="H945" s="8">
        <f>HYPERLINK("https://dart.fss.or.kr/dsaf001/main.do?rcpNo=20260304901188", "공시열람")</f>
        <v/>
      </c>
    </row>
    <row r="946">
      <c r="A946" s="2" t="inlineStr">
        <is>
          <t>2026-03-04</t>
        </is>
      </c>
      <c r="B946" s="3" t="inlineStr">
        <is>
          <t>OCI</t>
        </is>
      </c>
      <c r="C946" s="2" t="inlineStr">
        <is>
          <t>코스피</t>
        </is>
      </c>
      <c r="D946" s="2" t="inlineStr">
        <is>
          <t>456040</t>
        </is>
      </c>
      <c r="E946" s="3" t="inlineStr">
        <is>
          <t xml:space="preserve">주주총회소집결의              </t>
        </is>
      </c>
      <c r="F946" s="3" t="inlineStr">
        <is>
          <t>OCI</t>
        </is>
      </c>
      <c r="G946" s="2" t="inlineStr">
        <is>
          <t>20260304801120</t>
        </is>
      </c>
      <c r="H946" s="8">
        <f>HYPERLINK("https://dart.fss.or.kr/dsaf001/main.do?rcpNo=20260304801120", "공시열람")</f>
        <v/>
      </c>
    </row>
    <row r="947">
      <c r="A947" s="2" t="inlineStr">
        <is>
          <t>2026-03-04</t>
        </is>
      </c>
      <c r="B947" s="3" t="inlineStr">
        <is>
          <t>에이스토리</t>
        </is>
      </c>
      <c r="C947" s="2" t="inlineStr">
        <is>
          <t>코스닥</t>
        </is>
      </c>
      <c r="D947" s="2" t="inlineStr">
        <is>
          <t>241840</t>
        </is>
      </c>
      <c r="E947" s="3" t="inlineStr">
        <is>
          <t xml:space="preserve">주주총회소집결의              </t>
        </is>
      </c>
      <c r="F947" s="3" t="inlineStr">
        <is>
          <t>에이스토리</t>
        </is>
      </c>
      <c r="G947" s="2" t="inlineStr">
        <is>
          <t>20260304901137</t>
        </is>
      </c>
      <c r="H947" s="8">
        <f>HYPERLINK("https://dart.fss.or.kr/dsaf001/main.do?rcpNo=20260304901137", "공시열람")</f>
        <v/>
      </c>
    </row>
    <row r="948">
      <c r="A948" s="2" t="inlineStr">
        <is>
          <t>2026-03-04</t>
        </is>
      </c>
      <c r="B948" s="3" t="inlineStr">
        <is>
          <t>와이엠씨</t>
        </is>
      </c>
      <c r="C948" s="2" t="inlineStr">
        <is>
          <t>코스닥</t>
        </is>
      </c>
      <c r="D948" s="2" t="inlineStr">
        <is>
          <t>155650</t>
        </is>
      </c>
      <c r="E948" s="3" t="inlineStr">
        <is>
          <t>주주총회소집공고</t>
        </is>
      </c>
      <c r="F948" s="3" t="inlineStr">
        <is>
          <t>와이엠씨</t>
        </is>
      </c>
      <c r="G948" s="2" t="inlineStr">
        <is>
          <t>20260304001297</t>
        </is>
      </c>
      <c r="H948" s="8">
        <f>HYPERLINK("https://dart.fss.or.kr/dsaf001/main.do?rcpNo=20260304001297", "공시열람")</f>
        <v/>
      </c>
    </row>
    <row r="949">
      <c r="A949" s="2" t="inlineStr">
        <is>
          <t>2026-03-04</t>
        </is>
      </c>
      <c r="B949" s="3" t="inlineStr">
        <is>
          <t>KZ정밀</t>
        </is>
      </c>
      <c r="C949" s="2" t="inlineStr">
        <is>
          <t>코스닥</t>
        </is>
      </c>
      <c r="D949" s="2" t="inlineStr">
        <is>
          <t>036560</t>
        </is>
      </c>
      <c r="E949" s="3" t="inlineStr">
        <is>
          <t xml:space="preserve">주주총회소집결의              </t>
        </is>
      </c>
      <c r="F949" s="3" t="inlineStr">
        <is>
          <t>KZ정밀</t>
        </is>
      </c>
      <c r="G949" s="2" t="inlineStr">
        <is>
          <t>20260304901174</t>
        </is>
      </c>
      <c r="H949" s="8">
        <f>HYPERLINK("https://dart.fss.or.kr/dsaf001/main.do?rcpNo=20260304901174", "공시열람")</f>
        <v/>
      </c>
    </row>
    <row r="950">
      <c r="A950" s="2" t="inlineStr">
        <is>
          <t>2026-03-04</t>
        </is>
      </c>
      <c r="B950" s="3" t="inlineStr">
        <is>
          <t>노루페인트</t>
        </is>
      </c>
      <c r="C950" s="2" t="inlineStr">
        <is>
          <t>코스피</t>
        </is>
      </c>
      <c r="D950" s="2" t="inlineStr">
        <is>
          <t>090350</t>
        </is>
      </c>
      <c r="E950" s="3" t="inlineStr">
        <is>
          <t>주주총회소집공고</t>
        </is>
      </c>
      <c r="F950" s="3" t="inlineStr">
        <is>
          <t>노루페인트</t>
        </is>
      </c>
      <c r="G950" s="2" t="inlineStr">
        <is>
          <t>20260304001295</t>
        </is>
      </c>
      <c r="H950" s="8">
        <f>HYPERLINK("https://dart.fss.or.kr/dsaf001/main.do?rcpNo=20260304001295", "공시열람")</f>
        <v/>
      </c>
    </row>
    <row r="951">
      <c r="A951" s="2" t="inlineStr">
        <is>
          <t>2026-03-04</t>
        </is>
      </c>
      <c r="B951" s="3" t="inlineStr">
        <is>
          <t>플레이디</t>
        </is>
      </c>
      <c r="C951" s="2" t="inlineStr">
        <is>
          <t>코스닥</t>
        </is>
      </c>
      <c r="D951" s="2" t="inlineStr">
        <is>
          <t>237820</t>
        </is>
      </c>
      <c r="E951" s="3" t="inlineStr">
        <is>
          <t>주주총회소집공고</t>
        </is>
      </c>
      <c r="F951" s="3" t="inlineStr">
        <is>
          <t>플레이디</t>
        </is>
      </c>
      <c r="G951" s="2" t="inlineStr">
        <is>
          <t>20260304001292</t>
        </is>
      </c>
      <c r="H951" s="8">
        <f>HYPERLINK("https://dart.fss.or.kr/dsaf001/main.do?rcpNo=20260304001292", "공시열람")</f>
        <v/>
      </c>
    </row>
    <row r="952">
      <c r="A952" s="2" t="inlineStr">
        <is>
          <t>2026-03-04</t>
        </is>
      </c>
      <c r="B952" s="3" t="inlineStr">
        <is>
          <t>SK리츠</t>
        </is>
      </c>
      <c r="C952" s="2" t="inlineStr">
        <is>
          <t>코스피</t>
        </is>
      </c>
      <c r="D952" s="2" t="inlineStr">
        <is>
          <t>395400</t>
        </is>
      </c>
      <c r="E952" s="3" t="inlineStr">
        <is>
          <t xml:space="preserve">주주총회소집결의              </t>
        </is>
      </c>
      <c r="F952" s="3" t="inlineStr">
        <is>
          <t>SK리츠</t>
        </is>
      </c>
      <c r="G952" s="2" t="inlineStr">
        <is>
          <t>20260304801121</t>
        </is>
      </c>
      <c r="H952" s="8">
        <f>HYPERLINK("https://dart.fss.or.kr/dsaf001/main.do?rcpNo=20260304801121", "공시열람")</f>
        <v/>
      </c>
    </row>
    <row r="953">
      <c r="A953" s="2" t="inlineStr">
        <is>
          <t>2026-03-04</t>
        </is>
      </c>
      <c r="B953" s="3" t="inlineStr">
        <is>
          <t>큐리옥스바이오시스템즈</t>
        </is>
      </c>
      <c r="C953" s="2" t="inlineStr">
        <is>
          <t>코스닥</t>
        </is>
      </c>
      <c r="D953" s="2" t="inlineStr">
        <is>
          <t>445680</t>
        </is>
      </c>
      <c r="E953" s="3" t="inlineStr">
        <is>
          <t>주주총회소집공고</t>
        </is>
      </c>
      <c r="F953" s="3" t="inlineStr">
        <is>
          <t>큐리옥스바이오시스템즈</t>
        </is>
      </c>
      <c r="G953" s="2" t="inlineStr">
        <is>
          <t>20260304001288</t>
        </is>
      </c>
      <c r="H953" s="8">
        <f>HYPERLINK("https://dart.fss.or.kr/dsaf001/main.do?rcpNo=20260304001288", "공시열람")</f>
        <v/>
      </c>
    </row>
    <row r="954">
      <c r="A954" s="2" t="inlineStr">
        <is>
          <t>2026-03-04</t>
        </is>
      </c>
      <c r="B954" s="3" t="inlineStr">
        <is>
          <t>노루페인트</t>
        </is>
      </c>
      <c r="C954" s="2" t="inlineStr">
        <is>
          <t>코스피</t>
        </is>
      </c>
      <c r="D954" s="2" t="inlineStr">
        <is>
          <t>090350</t>
        </is>
      </c>
      <c r="E954" s="3" t="inlineStr">
        <is>
          <t xml:space="preserve">주주총회소집결의              </t>
        </is>
      </c>
      <c r="F954" s="3" t="inlineStr">
        <is>
          <t>노루페인트</t>
        </is>
      </c>
      <c r="G954" s="2" t="inlineStr">
        <is>
          <t>20260304801071</t>
        </is>
      </c>
      <c r="H954" s="8">
        <f>HYPERLINK("https://dart.fss.or.kr/dsaf001/main.do?rcpNo=20260304801071", "공시열람")</f>
        <v/>
      </c>
    </row>
    <row r="955">
      <c r="A955" s="2" t="inlineStr">
        <is>
          <t>2026-03-04 (정정: 2026-03-11)</t>
        </is>
      </c>
      <c r="B955" s="3" t="inlineStr">
        <is>
          <t>머큐리</t>
        </is>
      </c>
      <c r="C955" s="2" t="inlineStr">
        <is>
          <t>코스닥</t>
        </is>
      </c>
      <c r="D955" s="2" t="inlineStr">
        <is>
          <t>100590</t>
        </is>
      </c>
      <c r="E955" s="3" t="inlineStr">
        <is>
          <t>주주총회소집결의               (정정: 20260311)</t>
        </is>
      </c>
      <c r="F955" s="3" t="inlineStr">
        <is>
          <t>머큐리</t>
        </is>
      </c>
      <c r="G955" s="2" t="inlineStr">
        <is>
          <t>20260311901403</t>
        </is>
      </c>
      <c r="H955" s="8">
        <f>HYPERLINK("https://dart.fss.or.kr/dsaf001/main.do?rcpNo=20260311901403", "공시열람")</f>
        <v/>
      </c>
    </row>
    <row r="956">
      <c r="A956" s="2" t="inlineStr">
        <is>
          <t>2026-03-04</t>
        </is>
      </c>
      <c r="B956" s="3" t="inlineStr">
        <is>
          <t>광동헬스바이오</t>
        </is>
      </c>
      <c r="C956" s="2" t="inlineStr">
        <is>
          <t>코넥스</t>
        </is>
      </c>
      <c r="D956" s="2" t="inlineStr">
        <is>
          <t>086220</t>
        </is>
      </c>
      <c r="E956" s="3" t="inlineStr">
        <is>
          <t xml:space="preserve">주주총회소집결의              </t>
        </is>
      </c>
      <c r="F956" s="3" t="inlineStr">
        <is>
          <t>광동헬스바이오</t>
        </is>
      </c>
      <c r="G956" s="2" t="inlineStr">
        <is>
          <t>20260304601175</t>
        </is>
      </c>
      <c r="H956" s="8">
        <f>HYPERLINK("https://dart.fss.or.kr/dsaf001/main.do?rcpNo=20260304601175", "공시열람")</f>
        <v/>
      </c>
    </row>
    <row r="957">
      <c r="A957" s="2" t="inlineStr">
        <is>
          <t>2026-03-04</t>
        </is>
      </c>
      <c r="B957" s="3" t="inlineStr">
        <is>
          <t>SK디스커버리</t>
        </is>
      </c>
      <c r="C957" s="2" t="inlineStr">
        <is>
          <t>코스피</t>
        </is>
      </c>
      <c r="D957" s="2" t="inlineStr">
        <is>
          <t>006120</t>
        </is>
      </c>
      <c r="E957" s="3" t="inlineStr">
        <is>
          <t>주주총회소집공고</t>
        </is>
      </c>
      <c r="F957" s="3" t="inlineStr">
        <is>
          <t>SK디스커버리</t>
        </is>
      </c>
      <c r="G957" s="2" t="inlineStr">
        <is>
          <t>20260304001277</t>
        </is>
      </c>
      <c r="H957" s="8">
        <f>HYPERLINK("https://dart.fss.or.kr/dsaf001/main.do?rcpNo=20260304001277", "공시열람")</f>
        <v/>
      </c>
    </row>
    <row r="958">
      <c r="A958" s="2" t="inlineStr">
        <is>
          <t>2026-03-04</t>
        </is>
      </c>
      <c r="B958" s="3" t="inlineStr">
        <is>
          <t>한농화성</t>
        </is>
      </c>
      <c r="C958" s="2" t="inlineStr">
        <is>
          <t>코스피</t>
        </is>
      </c>
      <c r="D958" s="2" t="inlineStr">
        <is>
          <t>011500</t>
        </is>
      </c>
      <c r="E958" s="3" t="inlineStr">
        <is>
          <t xml:space="preserve">주주총회소집결의              </t>
        </is>
      </c>
      <c r="F958" s="3" t="inlineStr">
        <is>
          <t>한농화성</t>
        </is>
      </c>
      <c r="G958" s="2" t="inlineStr">
        <is>
          <t>20260304801123</t>
        </is>
      </c>
      <c r="H958" s="8">
        <f>HYPERLINK("https://dart.fss.or.kr/dsaf001/main.do?rcpNo=20260304801123", "공시열람")</f>
        <v/>
      </c>
    </row>
    <row r="959">
      <c r="A959" s="2" t="inlineStr">
        <is>
          <t>2026-03-04</t>
        </is>
      </c>
      <c r="B959" s="3" t="inlineStr">
        <is>
          <t>와이엠씨</t>
        </is>
      </c>
      <c r="C959" s="2" t="inlineStr">
        <is>
          <t>코스닥</t>
        </is>
      </c>
      <c r="D959" s="2" t="inlineStr">
        <is>
          <t>155650</t>
        </is>
      </c>
      <c r="E959" s="3" t="inlineStr">
        <is>
          <t xml:space="preserve">주주총회소집결의              </t>
        </is>
      </c>
      <c r="F959" s="3" t="inlineStr">
        <is>
          <t>와이엠씨</t>
        </is>
      </c>
      <c r="G959" s="2" t="inlineStr">
        <is>
          <t>20260304901086</t>
        </is>
      </c>
      <c r="H959" s="8">
        <f>HYPERLINK("https://dart.fss.or.kr/dsaf001/main.do?rcpNo=20260304901086", "공시열람")</f>
        <v/>
      </c>
    </row>
    <row r="960">
      <c r="A960" s="2" t="inlineStr">
        <is>
          <t>2026-03-04</t>
        </is>
      </c>
      <c r="B960" s="3" t="inlineStr">
        <is>
          <t>타이거일렉</t>
        </is>
      </c>
      <c r="C960" s="2" t="inlineStr">
        <is>
          <t>코스닥</t>
        </is>
      </c>
      <c r="D960" s="2" t="inlineStr">
        <is>
          <t>219130</t>
        </is>
      </c>
      <c r="E960" s="3" t="inlineStr">
        <is>
          <t xml:space="preserve">주주총회집중일개최사유신고              </t>
        </is>
      </c>
      <c r="F960" s="3" t="inlineStr">
        <is>
          <t>타이거일렉</t>
        </is>
      </c>
      <c r="G960" s="2" t="inlineStr">
        <is>
          <t>20260304901096</t>
        </is>
      </c>
      <c r="H960" s="8">
        <f>HYPERLINK("https://dart.fss.or.kr/dsaf001/main.do?rcpNo=20260304901096", "공시열람")</f>
        <v/>
      </c>
    </row>
    <row r="961">
      <c r="A961" s="2" t="inlineStr">
        <is>
          <t>2026-02-23 (정정: 2026-03-04)</t>
        </is>
      </c>
      <c r="B961" s="3" t="inlineStr">
        <is>
          <t>진양제약</t>
        </is>
      </c>
      <c r="C961" s="2" t="inlineStr">
        <is>
          <t>코스닥</t>
        </is>
      </c>
      <c r="D961" s="2" t="inlineStr">
        <is>
          <t>007370</t>
        </is>
      </c>
      <c r="E961" s="3" t="inlineStr">
        <is>
          <t xml:space="preserve">[기재정정]주주총회소집결의              </t>
        </is>
      </c>
      <c r="F961" s="3" t="inlineStr">
        <is>
          <t>진양제약</t>
        </is>
      </c>
      <c r="G961" s="2" t="inlineStr">
        <is>
          <t>20260304901074</t>
        </is>
      </c>
      <c r="H961" s="8">
        <f>HYPERLINK("https://dart.fss.or.kr/dsaf001/main.do?rcpNo=20260304901074", "공시열람")</f>
        <v/>
      </c>
    </row>
    <row r="962">
      <c r="A962" s="2" t="inlineStr">
        <is>
          <t>2026-03-04</t>
        </is>
      </c>
      <c r="B962" s="3" t="inlineStr">
        <is>
          <t>파워넷</t>
        </is>
      </c>
      <c r="C962" s="2" t="inlineStr">
        <is>
          <t>코스닥</t>
        </is>
      </c>
      <c r="D962" s="2" t="inlineStr">
        <is>
          <t>037030</t>
        </is>
      </c>
      <c r="E962" s="3" t="inlineStr">
        <is>
          <t xml:space="preserve">주주총회소집결의              </t>
        </is>
      </c>
      <c r="F962" s="3" t="inlineStr">
        <is>
          <t>파워넷</t>
        </is>
      </c>
      <c r="G962" s="2" t="inlineStr">
        <is>
          <t>20260304901098</t>
        </is>
      </c>
      <c r="H962" s="8">
        <f>HYPERLINK("https://dart.fss.or.kr/dsaf001/main.do?rcpNo=20260304901098", "공시열람")</f>
        <v/>
      </c>
    </row>
    <row r="963">
      <c r="A963" s="2" t="inlineStr">
        <is>
          <t>2026-03-04</t>
        </is>
      </c>
      <c r="B963" s="3" t="inlineStr">
        <is>
          <t>삼미금속</t>
        </is>
      </c>
      <c r="C963" s="2" t="inlineStr">
        <is>
          <t>코스닥</t>
        </is>
      </c>
      <c r="D963" s="2" t="inlineStr">
        <is>
          <t>012210</t>
        </is>
      </c>
      <c r="E963" s="3" t="inlineStr">
        <is>
          <t>주주총회소집공고</t>
        </is>
      </c>
      <c r="F963" s="3" t="inlineStr">
        <is>
          <t>삼미금속</t>
        </is>
      </c>
      <c r="G963" s="2" t="inlineStr">
        <is>
          <t>20260304001259</t>
        </is>
      </c>
      <c r="H963" s="8">
        <f>HYPERLINK("https://dart.fss.or.kr/dsaf001/main.do?rcpNo=20260304001259", "공시열람")</f>
        <v/>
      </c>
    </row>
    <row r="964">
      <c r="A964" s="2" t="inlineStr">
        <is>
          <t>2026-03-04 (정정: 2026-03-04)</t>
        </is>
      </c>
      <c r="B964" s="3" t="inlineStr">
        <is>
          <t>비씨엔씨</t>
        </is>
      </c>
      <c r="C964" s="2" t="inlineStr">
        <is>
          <t>코스닥</t>
        </is>
      </c>
      <c r="D964" s="2" t="inlineStr">
        <is>
          <t>146320</t>
        </is>
      </c>
      <c r="E964" s="3" t="inlineStr">
        <is>
          <t>[기재정정]주주총회소집공고</t>
        </is>
      </c>
      <c r="F964" s="3" t="inlineStr">
        <is>
          <t>비씨엔씨</t>
        </is>
      </c>
      <c r="G964" s="2" t="inlineStr">
        <is>
          <t>20260304001255</t>
        </is>
      </c>
      <c r="H964" s="8">
        <f>HYPERLINK("https://dart.fss.or.kr/dsaf001/main.do?rcpNo=20260304001255", "공시열람")</f>
        <v/>
      </c>
    </row>
    <row r="965">
      <c r="A965" s="2" t="inlineStr">
        <is>
          <t>2026-03-04</t>
        </is>
      </c>
      <c r="B965" s="3" t="inlineStr">
        <is>
          <t>SK디스커버리</t>
        </is>
      </c>
      <c r="C965" s="2" t="inlineStr">
        <is>
          <t>코스피</t>
        </is>
      </c>
      <c r="D965" s="2" t="inlineStr">
        <is>
          <t>006120</t>
        </is>
      </c>
      <c r="E965" s="3" t="inlineStr">
        <is>
          <t xml:space="preserve">주주총회소집결의              </t>
        </is>
      </c>
      <c r="F965" s="3" t="inlineStr">
        <is>
          <t>SK디스커버리</t>
        </is>
      </c>
      <c r="G965" s="2" t="inlineStr">
        <is>
          <t>20260304801133</t>
        </is>
      </c>
      <c r="H965" s="8">
        <f>HYPERLINK("https://dart.fss.or.kr/dsaf001/main.do?rcpNo=20260304801133", "공시열람")</f>
        <v/>
      </c>
    </row>
    <row r="966">
      <c r="A966" s="2" t="inlineStr">
        <is>
          <t>2026-03-04</t>
        </is>
      </c>
      <c r="B966" s="3" t="inlineStr">
        <is>
          <t>KB제32호스팩</t>
        </is>
      </c>
      <c r="C966" s="2" t="inlineStr">
        <is>
          <t>코스닥</t>
        </is>
      </c>
      <c r="D966" s="2" t="inlineStr">
        <is>
          <t>0037T0</t>
        </is>
      </c>
      <c r="E966" s="3" t="inlineStr">
        <is>
          <t>주주총회소집공고</t>
        </is>
      </c>
      <c r="F966" s="3" t="inlineStr">
        <is>
          <t>KB제32호스팩</t>
        </is>
      </c>
      <c r="G966" s="2" t="inlineStr">
        <is>
          <t>20260304001252</t>
        </is>
      </c>
      <c r="H966" s="8">
        <f>HYPERLINK("https://dart.fss.or.kr/dsaf001/main.do?rcpNo=20260304001252", "공시열람")</f>
        <v/>
      </c>
    </row>
    <row r="967">
      <c r="A967" s="2" t="inlineStr">
        <is>
          <t>2026-03-04</t>
        </is>
      </c>
      <c r="B967" s="3" t="inlineStr">
        <is>
          <t>플레이디</t>
        </is>
      </c>
      <c r="C967" s="2" t="inlineStr">
        <is>
          <t>코스닥</t>
        </is>
      </c>
      <c r="D967" s="2" t="inlineStr">
        <is>
          <t>237820</t>
        </is>
      </c>
      <c r="E967" s="3" t="inlineStr">
        <is>
          <t xml:space="preserve">주주총회집중일개최사유신고              </t>
        </is>
      </c>
      <c r="F967" s="3" t="inlineStr">
        <is>
          <t>플레이디</t>
        </is>
      </c>
      <c r="G967" s="2" t="inlineStr">
        <is>
          <t>20260304901002</t>
        </is>
      </c>
      <c r="H967" s="8">
        <f>HYPERLINK("https://dart.fss.or.kr/dsaf001/main.do?rcpNo=20260304901002", "공시열람")</f>
        <v/>
      </c>
    </row>
    <row r="968">
      <c r="A968" s="2" t="inlineStr">
        <is>
          <t>2026-03-04</t>
        </is>
      </c>
      <c r="B968" s="3" t="inlineStr">
        <is>
          <t>삼미금속</t>
        </is>
      </c>
      <c r="C968" s="2" t="inlineStr">
        <is>
          <t>코스닥</t>
        </is>
      </c>
      <c r="D968" s="2" t="inlineStr">
        <is>
          <t>012210</t>
        </is>
      </c>
      <c r="E968" s="3" t="inlineStr">
        <is>
          <t xml:space="preserve">주주총회소집결의              </t>
        </is>
      </c>
      <c r="F968" s="3" t="inlineStr">
        <is>
          <t>삼미금속</t>
        </is>
      </c>
      <c r="G968" s="2" t="inlineStr">
        <is>
          <t>20260304900956</t>
        </is>
      </c>
      <c r="H968" s="8">
        <f>HYPERLINK("https://dart.fss.or.kr/dsaf001/main.do?rcpNo=20260304900956", "공시열람")</f>
        <v/>
      </c>
    </row>
    <row r="969">
      <c r="A969" s="2" t="inlineStr">
        <is>
          <t>2026-03-04</t>
        </is>
      </c>
      <c r="B969" s="3" t="inlineStr">
        <is>
          <t>아세아제지</t>
        </is>
      </c>
      <c r="C969" s="2" t="inlineStr">
        <is>
          <t>코스피</t>
        </is>
      </c>
      <c r="D969" s="2" t="inlineStr">
        <is>
          <t>002310</t>
        </is>
      </c>
      <c r="E969" s="3" t="inlineStr">
        <is>
          <t>주주총회소집공고</t>
        </is>
      </c>
      <c r="F969" s="3" t="inlineStr">
        <is>
          <t>아세아제지</t>
        </is>
      </c>
      <c r="G969" s="2" t="inlineStr">
        <is>
          <t>20260304001230</t>
        </is>
      </c>
      <c r="H969" s="8">
        <f>HYPERLINK("https://dart.fss.or.kr/dsaf001/main.do?rcpNo=20260304001230", "공시열람")</f>
        <v/>
      </c>
    </row>
    <row r="970">
      <c r="A970" s="2" t="inlineStr">
        <is>
          <t>2026-03-04</t>
        </is>
      </c>
      <c r="B970" s="3" t="inlineStr">
        <is>
          <t>에어부산</t>
        </is>
      </c>
      <c r="C970" s="2" t="inlineStr">
        <is>
          <t>코스피</t>
        </is>
      </c>
      <c r="D970" s="2" t="inlineStr">
        <is>
          <t>298690</t>
        </is>
      </c>
      <c r="E970" s="3" t="inlineStr">
        <is>
          <t>주주총회소집공고</t>
        </is>
      </c>
      <c r="F970" s="3" t="inlineStr">
        <is>
          <t>에어부산</t>
        </is>
      </c>
      <c r="G970" s="2" t="inlineStr">
        <is>
          <t>20260304001215</t>
        </is>
      </c>
      <c r="H970" s="8">
        <f>HYPERLINK("https://dart.fss.or.kr/dsaf001/main.do?rcpNo=20260304001215", "공시열람")</f>
        <v/>
      </c>
    </row>
    <row r="971">
      <c r="A971" s="2" t="inlineStr">
        <is>
          <t>2026-03-04</t>
        </is>
      </c>
      <c r="B971" s="3" t="inlineStr">
        <is>
          <t>데이타솔루션</t>
        </is>
      </c>
      <c r="C971" s="2" t="inlineStr">
        <is>
          <t>코스닥</t>
        </is>
      </c>
      <c r="D971" s="2" t="inlineStr">
        <is>
          <t>263800</t>
        </is>
      </c>
      <c r="E971" s="3" t="inlineStr">
        <is>
          <t>주주총회소집공고</t>
        </is>
      </c>
      <c r="F971" s="3" t="inlineStr">
        <is>
          <t>데이타솔루션</t>
        </is>
      </c>
      <c r="G971" s="2" t="inlineStr">
        <is>
          <t>20260304001213</t>
        </is>
      </c>
      <c r="H971" s="8">
        <f>HYPERLINK("https://dart.fss.or.kr/dsaf001/main.do?rcpNo=20260304001213", "공시열람")</f>
        <v/>
      </c>
    </row>
    <row r="972">
      <c r="A972" s="2" t="inlineStr">
        <is>
          <t>2026-03-04</t>
        </is>
      </c>
      <c r="B972" s="3" t="inlineStr">
        <is>
          <t>아세아제지</t>
        </is>
      </c>
      <c r="C972" s="2" t="inlineStr">
        <is>
          <t>코스피</t>
        </is>
      </c>
      <c r="D972" s="2" t="inlineStr">
        <is>
          <t>002310</t>
        </is>
      </c>
      <c r="E972" s="3" t="inlineStr">
        <is>
          <t xml:space="preserve">주주총회소집결의              </t>
        </is>
      </c>
      <c r="F972" s="3" t="inlineStr">
        <is>
          <t>아세아제지</t>
        </is>
      </c>
      <c r="G972" s="2" t="inlineStr">
        <is>
          <t>20260304801059</t>
        </is>
      </c>
      <c r="H972" s="8">
        <f>HYPERLINK("https://dart.fss.or.kr/dsaf001/main.do?rcpNo=20260304801059", "공시열람")</f>
        <v/>
      </c>
    </row>
    <row r="973">
      <c r="A973" s="2" t="inlineStr">
        <is>
          <t>2026-03-04</t>
        </is>
      </c>
      <c r="B973" s="3" t="inlineStr">
        <is>
          <t>아세아시멘트</t>
        </is>
      </c>
      <c r="C973" s="2" t="inlineStr">
        <is>
          <t>코스피</t>
        </is>
      </c>
      <c r="D973" s="2" t="inlineStr">
        <is>
          <t>183190</t>
        </is>
      </c>
      <c r="E973" s="3" t="inlineStr">
        <is>
          <t>주주총회소집공고</t>
        </is>
      </c>
      <c r="F973" s="3" t="inlineStr">
        <is>
          <t>아세아시멘트</t>
        </is>
      </c>
      <c r="G973" s="2" t="inlineStr">
        <is>
          <t>20260304001202</t>
        </is>
      </c>
      <c r="H973" s="8">
        <f>HYPERLINK("https://dart.fss.or.kr/dsaf001/main.do?rcpNo=20260304001202", "공시열람")</f>
        <v/>
      </c>
    </row>
    <row r="974">
      <c r="A974" s="2" t="inlineStr">
        <is>
          <t>2026-03-04</t>
        </is>
      </c>
      <c r="B974" s="3" t="inlineStr">
        <is>
          <t>바이오니아</t>
        </is>
      </c>
      <c r="C974" s="2" t="inlineStr">
        <is>
          <t>코스닥</t>
        </is>
      </c>
      <c r="D974" s="2" t="inlineStr">
        <is>
          <t>064550</t>
        </is>
      </c>
      <c r="E974" s="3" t="inlineStr">
        <is>
          <t>주주총회소집공고</t>
        </is>
      </c>
      <c r="F974" s="3" t="inlineStr">
        <is>
          <t>바이오니아</t>
        </is>
      </c>
      <c r="G974" s="2" t="inlineStr">
        <is>
          <t>20260304001198</t>
        </is>
      </c>
      <c r="H974" s="8">
        <f>HYPERLINK("https://dart.fss.or.kr/dsaf001/main.do?rcpNo=20260304001198", "공시열람")</f>
        <v/>
      </c>
    </row>
    <row r="975">
      <c r="A975" s="2" t="inlineStr">
        <is>
          <t>2026-03-04</t>
        </is>
      </c>
      <c r="B975" s="3" t="inlineStr">
        <is>
          <t>진흥기업</t>
        </is>
      </c>
      <c r="C975" s="2" t="inlineStr">
        <is>
          <t>코스피</t>
        </is>
      </c>
      <c r="D975" s="2" t="inlineStr">
        <is>
          <t>002780</t>
        </is>
      </c>
      <c r="E975" s="3" t="inlineStr">
        <is>
          <t>주주총회소집공고</t>
        </is>
      </c>
      <c r="F975" s="3" t="inlineStr">
        <is>
          <t>진흥기업</t>
        </is>
      </c>
      <c r="G975" s="2" t="inlineStr">
        <is>
          <t>20260304001197</t>
        </is>
      </c>
      <c r="H975" s="8">
        <f>HYPERLINK("https://dart.fss.or.kr/dsaf001/main.do?rcpNo=20260304001197", "공시열람")</f>
        <v/>
      </c>
    </row>
    <row r="976">
      <c r="A976" s="2" t="inlineStr">
        <is>
          <t>2026-03-04</t>
        </is>
      </c>
      <c r="B976" s="3" t="inlineStr">
        <is>
          <t>캐프</t>
        </is>
      </c>
      <c r="C976" s="2" t="inlineStr">
        <is>
          <t>코스닥</t>
        </is>
      </c>
      <c r="D976" s="2" t="inlineStr">
        <is>
          <t>198080</t>
        </is>
      </c>
      <c r="E976" s="3" t="inlineStr">
        <is>
          <t>주주총회소집공고</t>
        </is>
      </c>
      <c r="F976" s="3" t="inlineStr">
        <is>
          <t>캐프</t>
        </is>
      </c>
      <c r="G976" s="2" t="inlineStr">
        <is>
          <t>20260304001194</t>
        </is>
      </c>
      <c r="H976" s="8">
        <f>HYPERLINK("https://dart.fss.or.kr/dsaf001/main.do?rcpNo=20260304001194", "공시열람")</f>
        <v/>
      </c>
    </row>
    <row r="977">
      <c r="A977" s="2" t="inlineStr">
        <is>
          <t>2026-03-04</t>
        </is>
      </c>
      <c r="B977" s="3" t="inlineStr">
        <is>
          <t>미래에셋비전스팩7호</t>
        </is>
      </c>
      <c r="C977" s="2" t="inlineStr">
        <is>
          <t>코스닥</t>
        </is>
      </c>
      <c r="D977" s="2" t="inlineStr">
        <is>
          <t>482680</t>
        </is>
      </c>
      <c r="E977" s="3" t="inlineStr">
        <is>
          <t>주주총회소집공고</t>
        </is>
      </c>
      <c r="F977" s="3" t="inlineStr">
        <is>
          <t>미래에셋비전스팩7호</t>
        </is>
      </c>
      <c r="G977" s="2" t="inlineStr">
        <is>
          <t>20260304001188</t>
        </is>
      </c>
      <c r="H977" s="8">
        <f>HYPERLINK("https://dart.fss.or.kr/dsaf001/main.do?rcpNo=20260304001188", "공시열람")</f>
        <v/>
      </c>
    </row>
    <row r="978">
      <c r="A978" s="2" t="inlineStr">
        <is>
          <t>2026-03-04</t>
        </is>
      </c>
      <c r="B978" s="3" t="inlineStr">
        <is>
          <t>진흥기업</t>
        </is>
      </c>
      <c r="C978" s="2" t="inlineStr">
        <is>
          <t>코스피</t>
        </is>
      </c>
      <c r="D978" s="2" t="inlineStr">
        <is>
          <t>002780</t>
        </is>
      </c>
      <c r="E978" s="3" t="inlineStr">
        <is>
          <t xml:space="preserve">주주총회소집결의              </t>
        </is>
      </c>
      <c r="F978" s="3" t="inlineStr">
        <is>
          <t>진흥기업</t>
        </is>
      </c>
      <c r="G978" s="2" t="inlineStr">
        <is>
          <t>20260304800995</t>
        </is>
      </c>
      <c r="H978" s="8">
        <f>HYPERLINK("https://dart.fss.or.kr/dsaf001/main.do?rcpNo=20260304800995", "공시열람")</f>
        <v/>
      </c>
    </row>
    <row r="979">
      <c r="A979" s="2" t="inlineStr">
        <is>
          <t>2026-03-04</t>
        </is>
      </c>
      <c r="B979" s="3" t="inlineStr">
        <is>
          <t>아세아시멘트</t>
        </is>
      </c>
      <c r="C979" s="2" t="inlineStr">
        <is>
          <t>코스피</t>
        </is>
      </c>
      <c r="D979" s="2" t="inlineStr">
        <is>
          <t>183190</t>
        </is>
      </c>
      <c r="E979" s="3" t="inlineStr">
        <is>
          <t xml:space="preserve">주주총회소집결의              </t>
        </is>
      </c>
      <c r="F979" s="3" t="inlineStr">
        <is>
          <t>아세아시멘트</t>
        </is>
      </c>
      <c r="G979" s="2" t="inlineStr">
        <is>
          <t>20260304801026</t>
        </is>
      </c>
      <c r="H979" s="8">
        <f>HYPERLINK("https://dart.fss.or.kr/dsaf001/main.do?rcpNo=20260304801026", "공시열람")</f>
        <v/>
      </c>
    </row>
    <row r="980">
      <c r="A980" s="2" t="inlineStr">
        <is>
          <t>2026-03-04</t>
        </is>
      </c>
      <c r="B980" s="3" t="inlineStr">
        <is>
          <t>로지스몬</t>
        </is>
      </c>
      <c r="C980" s="2" t="inlineStr">
        <is>
          <t>코넥스</t>
        </is>
      </c>
      <c r="D980" s="2" t="inlineStr">
        <is>
          <t>223220</t>
        </is>
      </c>
      <c r="E980" s="3" t="inlineStr">
        <is>
          <t xml:space="preserve">최대주주변경              </t>
        </is>
      </c>
      <c r="F980" s="3" t="inlineStr">
        <is>
          <t>로지스몬</t>
        </is>
      </c>
      <c r="G980" s="2" t="inlineStr">
        <is>
          <t>20260304601046</t>
        </is>
      </c>
      <c r="H980" s="8">
        <f>HYPERLINK("https://dart.fss.or.kr/dsaf001/main.do?rcpNo=20260304601046", "공시열람")</f>
        <v/>
      </c>
    </row>
    <row r="981">
      <c r="A981" s="2" t="inlineStr">
        <is>
          <t>2026-03-04</t>
        </is>
      </c>
      <c r="B981" s="3" t="inlineStr">
        <is>
          <t>비아트론</t>
        </is>
      </c>
      <c r="C981" s="2" t="inlineStr">
        <is>
          <t>코스닥</t>
        </is>
      </c>
      <c r="D981" s="2" t="inlineStr">
        <is>
          <t>141000</t>
        </is>
      </c>
      <c r="E981" s="3" t="inlineStr">
        <is>
          <t>주주총회소집공고</t>
        </is>
      </c>
      <c r="F981" s="3" t="inlineStr">
        <is>
          <t>비아트론</t>
        </is>
      </c>
      <c r="G981" s="2" t="inlineStr">
        <is>
          <t>20260304001176</t>
        </is>
      </c>
      <c r="H981" s="8">
        <f>HYPERLINK("https://dart.fss.or.kr/dsaf001/main.do?rcpNo=20260304001176", "공시열람")</f>
        <v/>
      </c>
    </row>
    <row r="982">
      <c r="A982" s="2" t="inlineStr">
        <is>
          <t>2026-03-04</t>
        </is>
      </c>
      <c r="B982" s="3" t="inlineStr">
        <is>
          <t>에어부산</t>
        </is>
      </c>
      <c r="C982" s="2" t="inlineStr">
        <is>
          <t>코스피</t>
        </is>
      </c>
      <c r="D982" s="2" t="inlineStr">
        <is>
          <t>298690</t>
        </is>
      </c>
      <c r="E982" s="3" t="inlineStr">
        <is>
          <t xml:space="preserve">주주총회소집결의              </t>
        </is>
      </c>
      <c r="F982" s="3" t="inlineStr">
        <is>
          <t>에어부산</t>
        </is>
      </c>
      <c r="G982" s="2" t="inlineStr">
        <is>
          <t>20260304801003</t>
        </is>
      </c>
      <c r="H982" s="8">
        <f>HYPERLINK("https://dart.fss.or.kr/dsaf001/main.do?rcpNo=20260304801003", "공시열람")</f>
        <v/>
      </c>
    </row>
    <row r="983">
      <c r="A983" s="2" t="inlineStr">
        <is>
          <t>2026-03-04</t>
        </is>
      </c>
      <c r="B983" s="3" t="inlineStr">
        <is>
          <t>일진다이아</t>
        </is>
      </c>
      <c r="C983" s="2" t="inlineStr">
        <is>
          <t>코스피</t>
        </is>
      </c>
      <c r="D983" s="2" t="inlineStr">
        <is>
          <t>081000</t>
        </is>
      </c>
      <c r="E983" s="3" t="inlineStr">
        <is>
          <t>주주총회소집공고</t>
        </is>
      </c>
      <c r="F983" s="3" t="inlineStr">
        <is>
          <t>일진다이아</t>
        </is>
      </c>
      <c r="G983" s="2" t="inlineStr">
        <is>
          <t>20260304001174</t>
        </is>
      </c>
      <c r="H983" s="8">
        <f>HYPERLINK("https://dart.fss.or.kr/dsaf001/main.do?rcpNo=20260304001174", "공시열람")</f>
        <v/>
      </c>
    </row>
    <row r="984">
      <c r="A984" s="2" t="inlineStr">
        <is>
          <t>2026-03-04</t>
        </is>
      </c>
      <c r="B984" s="3" t="inlineStr">
        <is>
          <t>루닛</t>
        </is>
      </c>
      <c r="C984" s="2" t="inlineStr">
        <is>
          <t>코스닥</t>
        </is>
      </c>
      <c r="D984" s="2" t="inlineStr">
        <is>
          <t>328130</t>
        </is>
      </c>
      <c r="E984" s="3" t="inlineStr">
        <is>
          <t>주주총회소집공고</t>
        </is>
      </c>
      <c r="F984" s="3" t="inlineStr">
        <is>
          <t>루닛</t>
        </is>
      </c>
      <c r="G984" s="2" t="inlineStr">
        <is>
          <t>20260304001172</t>
        </is>
      </c>
      <c r="H984" s="8">
        <f>HYPERLINK("https://dart.fss.or.kr/dsaf001/main.do?rcpNo=20260304001172", "공시열람")</f>
        <v/>
      </c>
    </row>
    <row r="985">
      <c r="A985" s="2" t="inlineStr">
        <is>
          <t>2026-03-04</t>
        </is>
      </c>
      <c r="B985" s="3" t="inlineStr">
        <is>
          <t>코아스템켐온</t>
        </is>
      </c>
      <c r="C985" s="2" t="inlineStr">
        <is>
          <t>코스닥</t>
        </is>
      </c>
      <c r="D985" s="2" t="inlineStr">
        <is>
          <t>166480</t>
        </is>
      </c>
      <c r="E985" s="3" t="inlineStr">
        <is>
          <t xml:space="preserve">주주총회집중일개최사유신고              </t>
        </is>
      </c>
      <c r="F985" s="3" t="inlineStr">
        <is>
          <t>코아스템켐온</t>
        </is>
      </c>
      <c r="G985" s="2" t="inlineStr">
        <is>
          <t>20260304901023</t>
        </is>
      </c>
      <c r="H985" s="8">
        <f>HYPERLINK("https://dart.fss.or.kr/dsaf001/main.do?rcpNo=20260304901023", "공시열람")</f>
        <v/>
      </c>
    </row>
    <row r="986">
      <c r="A986" s="2" t="inlineStr">
        <is>
          <t>2026-03-04</t>
        </is>
      </c>
      <c r="B986" s="3" t="inlineStr">
        <is>
          <t>알체라</t>
        </is>
      </c>
      <c r="C986" s="2" t="inlineStr">
        <is>
          <t>코스닥</t>
        </is>
      </c>
      <c r="D986" s="2" t="inlineStr">
        <is>
          <t>347860</t>
        </is>
      </c>
      <c r="E986" s="3" t="inlineStr">
        <is>
          <t>주주총회소집공고</t>
        </is>
      </c>
      <c r="F986" s="3" t="inlineStr">
        <is>
          <t>알체라</t>
        </is>
      </c>
      <c r="G986" s="2" t="inlineStr">
        <is>
          <t>20260304001169</t>
        </is>
      </c>
      <c r="H986" s="8">
        <f>HYPERLINK("https://dart.fss.or.kr/dsaf001/main.do?rcpNo=20260304001169", "공시열람")</f>
        <v/>
      </c>
    </row>
    <row r="987">
      <c r="A987" s="2" t="inlineStr">
        <is>
          <t>2026-03-04</t>
        </is>
      </c>
      <c r="B987" s="3" t="inlineStr">
        <is>
          <t>위즈코프</t>
        </is>
      </c>
      <c r="C987" s="2" t="inlineStr">
        <is>
          <t>코스닥</t>
        </is>
      </c>
      <c r="D987" s="2" t="inlineStr">
        <is>
          <t>038620</t>
        </is>
      </c>
      <c r="E987" s="3" t="inlineStr">
        <is>
          <t xml:space="preserve">주주총회소집결의              </t>
        </is>
      </c>
      <c r="F987" s="3" t="inlineStr">
        <is>
          <t>위즈코프</t>
        </is>
      </c>
      <c r="G987" s="2" t="inlineStr">
        <is>
          <t>20260304900993</t>
        </is>
      </c>
      <c r="H987" s="8">
        <f>HYPERLINK("https://dart.fss.or.kr/dsaf001/main.do?rcpNo=20260304900993", "공시열람")</f>
        <v/>
      </c>
    </row>
    <row r="988">
      <c r="A988" s="2" t="inlineStr">
        <is>
          <t>2026-03-04</t>
        </is>
      </c>
      <c r="B988" s="3" t="inlineStr">
        <is>
          <t>제노텍</t>
        </is>
      </c>
      <c r="C988" s="2" t="inlineStr">
        <is>
          <t>코넥스</t>
        </is>
      </c>
      <c r="D988" s="2" t="inlineStr">
        <is>
          <t>066830</t>
        </is>
      </c>
      <c r="E988" s="3" t="inlineStr">
        <is>
          <t>주주총회소집공고</t>
        </is>
      </c>
      <c r="F988" s="3" t="inlineStr">
        <is>
          <t>제노텍</t>
        </is>
      </c>
      <c r="G988" s="2" t="inlineStr">
        <is>
          <t>20260304001162</t>
        </is>
      </c>
      <c r="H988" s="8">
        <f>HYPERLINK("https://dart.fss.or.kr/dsaf001/main.do?rcpNo=20260304001162", "공시열람")</f>
        <v/>
      </c>
    </row>
    <row r="989">
      <c r="A989" s="2" t="inlineStr">
        <is>
          <t>2026-03-04</t>
        </is>
      </c>
      <c r="B989" s="3" t="inlineStr">
        <is>
          <t>켐트로스</t>
        </is>
      </c>
      <c r="C989" s="2" t="inlineStr">
        <is>
          <t>코스닥</t>
        </is>
      </c>
      <c r="D989" s="2" t="inlineStr">
        <is>
          <t>220260</t>
        </is>
      </c>
      <c r="E989" s="3" t="inlineStr">
        <is>
          <t xml:space="preserve">주주총회소집결의              </t>
        </is>
      </c>
      <c r="F989" s="3" t="inlineStr">
        <is>
          <t>켐트로스</t>
        </is>
      </c>
      <c r="G989" s="2" t="inlineStr">
        <is>
          <t>20260304901006</t>
        </is>
      </c>
      <c r="H989" s="8">
        <f>HYPERLINK("https://dart.fss.or.kr/dsaf001/main.do?rcpNo=20260304901006", "공시열람")</f>
        <v/>
      </c>
    </row>
    <row r="990">
      <c r="A990" s="2" t="inlineStr">
        <is>
          <t>2026-03-04</t>
        </is>
      </c>
      <c r="B990" s="3" t="inlineStr">
        <is>
          <t>주성엔지니어링</t>
        </is>
      </c>
      <c r="C990" s="2" t="inlineStr">
        <is>
          <t>코스닥</t>
        </is>
      </c>
      <c r="D990" s="2" t="inlineStr">
        <is>
          <t>036930</t>
        </is>
      </c>
      <c r="E990" s="3" t="inlineStr">
        <is>
          <t xml:space="preserve">주주총회소집결의              </t>
        </is>
      </c>
      <c r="F990" s="3" t="inlineStr">
        <is>
          <t>주성엔지니어링</t>
        </is>
      </c>
      <c r="G990" s="2" t="inlineStr">
        <is>
          <t>20260304901017</t>
        </is>
      </c>
      <c r="H990" s="8">
        <f>HYPERLINK("https://dart.fss.or.kr/dsaf001/main.do?rcpNo=20260304901017", "공시열람")</f>
        <v/>
      </c>
    </row>
    <row r="991">
      <c r="A991" s="2" t="inlineStr">
        <is>
          <t>2026-03-04</t>
        </is>
      </c>
      <c r="B991" s="3" t="inlineStr">
        <is>
          <t>타이거일렉</t>
        </is>
      </c>
      <c r="C991" s="2" t="inlineStr">
        <is>
          <t>코스닥</t>
        </is>
      </c>
      <c r="D991" s="2" t="inlineStr">
        <is>
          <t>219130</t>
        </is>
      </c>
      <c r="E991" s="3" t="inlineStr">
        <is>
          <t xml:space="preserve">주주총회소집결의              </t>
        </is>
      </c>
      <c r="F991" s="3" t="inlineStr">
        <is>
          <t>타이거일렉</t>
        </is>
      </c>
      <c r="G991" s="2" t="inlineStr">
        <is>
          <t>20260304900944</t>
        </is>
      </c>
      <c r="H991" s="8">
        <f>HYPERLINK("https://dart.fss.or.kr/dsaf001/main.do?rcpNo=20260304900944", "공시열람")</f>
        <v/>
      </c>
    </row>
    <row r="992">
      <c r="A992" s="2" t="inlineStr">
        <is>
          <t>2026-03-04</t>
        </is>
      </c>
      <c r="B992" s="3" t="inlineStr">
        <is>
          <t>비씨엔씨</t>
        </is>
      </c>
      <c r="C992" s="2" t="inlineStr">
        <is>
          <t>코스닥</t>
        </is>
      </c>
      <c r="D992" s="2" t="inlineStr">
        <is>
          <t>146320</t>
        </is>
      </c>
      <c r="E992" s="3" t="inlineStr">
        <is>
          <t>주주총회소집공고</t>
        </is>
      </c>
      <c r="F992" s="3" t="inlineStr">
        <is>
          <t>비씨엔씨</t>
        </is>
      </c>
      <c r="G992" s="2" t="inlineStr">
        <is>
          <t>20260304001138</t>
        </is>
      </c>
      <c r="H992" s="8">
        <f>HYPERLINK("https://dart.fss.or.kr/dsaf001/main.do?rcpNo=20260304001138", "공시열람")</f>
        <v/>
      </c>
    </row>
    <row r="993">
      <c r="A993" s="2" t="inlineStr">
        <is>
          <t>2026-03-04</t>
        </is>
      </c>
      <c r="B993" s="3" t="inlineStr">
        <is>
          <t>코아스템켐온</t>
        </is>
      </c>
      <c r="C993" s="2" t="inlineStr">
        <is>
          <t>코스닥</t>
        </is>
      </c>
      <c r="D993" s="2" t="inlineStr">
        <is>
          <t>166480</t>
        </is>
      </c>
      <c r="E993" s="3" t="inlineStr">
        <is>
          <t>주주총회소집공고</t>
        </is>
      </c>
      <c r="F993" s="3" t="inlineStr">
        <is>
          <t>코아스템켐온</t>
        </is>
      </c>
      <c r="G993" s="2" t="inlineStr">
        <is>
          <t>20260304001136</t>
        </is>
      </c>
      <c r="H993" s="8">
        <f>HYPERLINK("https://dart.fss.or.kr/dsaf001/main.do?rcpNo=20260304001136", "공시열람")</f>
        <v/>
      </c>
    </row>
    <row r="994">
      <c r="A994" s="2" t="inlineStr">
        <is>
          <t>2026-03-04</t>
        </is>
      </c>
      <c r="B994" s="3" t="inlineStr">
        <is>
          <t>퓨런티어</t>
        </is>
      </c>
      <c r="C994" s="2" t="inlineStr">
        <is>
          <t>코스닥</t>
        </is>
      </c>
      <c r="D994" s="2" t="inlineStr">
        <is>
          <t>370090</t>
        </is>
      </c>
      <c r="E994" s="3" t="inlineStr">
        <is>
          <t>주주총회소집공고</t>
        </is>
      </c>
      <c r="F994" s="3" t="inlineStr">
        <is>
          <t>퓨런티어</t>
        </is>
      </c>
      <c r="G994" s="2" t="inlineStr">
        <is>
          <t>20260304001132</t>
        </is>
      </c>
      <c r="H994" s="8">
        <f>HYPERLINK("https://dart.fss.or.kr/dsaf001/main.do?rcpNo=20260304001132", "공시열람")</f>
        <v/>
      </c>
    </row>
    <row r="995">
      <c r="A995" s="2" t="inlineStr">
        <is>
          <t>2026-03-04</t>
        </is>
      </c>
      <c r="B995" s="3" t="inlineStr">
        <is>
          <t>우신시스템</t>
        </is>
      </c>
      <c r="C995" s="2" t="inlineStr">
        <is>
          <t>코스피</t>
        </is>
      </c>
      <c r="D995" s="2" t="inlineStr">
        <is>
          <t>017370</t>
        </is>
      </c>
      <c r="E995" s="3" t="inlineStr">
        <is>
          <t xml:space="preserve">주주총회소집결의              </t>
        </is>
      </c>
      <c r="F995" s="3" t="inlineStr">
        <is>
          <t>우신시스템</t>
        </is>
      </c>
      <c r="G995" s="2" t="inlineStr">
        <is>
          <t>20260304800977</t>
        </is>
      </c>
      <c r="H995" s="8">
        <f>HYPERLINK("https://dart.fss.or.kr/dsaf001/main.do?rcpNo=20260304800977", "공시열람")</f>
        <v/>
      </c>
    </row>
    <row r="996">
      <c r="A996" s="2" t="inlineStr">
        <is>
          <t>2026-03-04</t>
        </is>
      </c>
      <c r="B996" s="3" t="inlineStr">
        <is>
          <t>교보16호스팩</t>
        </is>
      </c>
      <c r="C996" s="2" t="inlineStr">
        <is>
          <t>코스닥</t>
        </is>
      </c>
      <c r="D996" s="2" t="inlineStr">
        <is>
          <t>482520</t>
        </is>
      </c>
      <c r="E996" s="3" t="inlineStr">
        <is>
          <t>주주총회소집공고</t>
        </is>
      </c>
      <c r="F996" s="3" t="inlineStr">
        <is>
          <t>교보16호스팩</t>
        </is>
      </c>
      <c r="G996" s="2" t="inlineStr">
        <is>
          <t>20260304001103</t>
        </is>
      </c>
      <c r="H996" s="8">
        <f>HYPERLINK("https://dart.fss.or.kr/dsaf001/main.do?rcpNo=20260304001103", "공시열람")</f>
        <v/>
      </c>
    </row>
    <row r="997">
      <c r="A997" s="2" t="inlineStr">
        <is>
          <t>2026-03-04</t>
        </is>
      </c>
      <c r="B997" s="3" t="inlineStr">
        <is>
          <t>이리츠코크렙</t>
        </is>
      </c>
      <c r="C997" s="2" t="inlineStr">
        <is>
          <t>코스피</t>
        </is>
      </c>
      <c r="D997" s="2" t="inlineStr">
        <is>
          <t>088260</t>
        </is>
      </c>
      <c r="E997" s="3" t="inlineStr">
        <is>
          <t>주주총회소집공고</t>
        </is>
      </c>
      <c r="F997" s="3" t="inlineStr">
        <is>
          <t>이리츠코크렙</t>
        </is>
      </c>
      <c r="G997" s="2" t="inlineStr">
        <is>
          <t>20260304001102</t>
        </is>
      </c>
      <c r="H997" s="8">
        <f>HYPERLINK("https://dart.fss.or.kr/dsaf001/main.do?rcpNo=20260304001102", "공시열람")</f>
        <v/>
      </c>
    </row>
    <row r="998">
      <c r="A998" s="2" t="inlineStr">
        <is>
          <t>2026-03-04</t>
        </is>
      </c>
      <c r="B998" s="3" t="inlineStr">
        <is>
          <t>KB제30호스팩</t>
        </is>
      </c>
      <c r="C998" s="2" t="inlineStr">
        <is>
          <t>코스닥</t>
        </is>
      </c>
      <c r="D998" s="2" t="inlineStr">
        <is>
          <t>486630</t>
        </is>
      </c>
      <c r="E998" s="3" t="inlineStr">
        <is>
          <t>주주총회소집공고</t>
        </is>
      </c>
      <c r="F998" s="3" t="inlineStr">
        <is>
          <t>KB제30호스팩</t>
        </is>
      </c>
      <c r="G998" s="2" t="inlineStr">
        <is>
          <t>20260304001097</t>
        </is>
      </c>
      <c r="H998" s="8">
        <f>HYPERLINK("https://dart.fss.or.kr/dsaf001/main.do?rcpNo=20260304001097", "공시열람")</f>
        <v/>
      </c>
    </row>
    <row r="999">
      <c r="A999" s="2" t="inlineStr">
        <is>
          <t>2026-03-04</t>
        </is>
      </c>
      <c r="B999" s="3" t="inlineStr">
        <is>
          <t>하나기술</t>
        </is>
      </c>
      <c r="C999" s="2" t="inlineStr">
        <is>
          <t>코스닥</t>
        </is>
      </c>
      <c r="D999" s="2" t="inlineStr">
        <is>
          <t>299030</t>
        </is>
      </c>
      <c r="E999" s="3" t="inlineStr">
        <is>
          <t>주주총회소집공고</t>
        </is>
      </c>
      <c r="F999" s="3" t="inlineStr">
        <is>
          <t>하나기술</t>
        </is>
      </c>
      <c r="G999" s="2" t="inlineStr">
        <is>
          <t>20260304001079</t>
        </is>
      </c>
      <c r="H999" s="8">
        <f>HYPERLINK("https://dart.fss.or.kr/dsaf001/main.do?rcpNo=20260304001079", "공시열람")</f>
        <v/>
      </c>
    </row>
    <row r="1000">
      <c r="A1000" s="2" t="inlineStr">
        <is>
          <t>2026-03-04 (정정: 2026-03-06)</t>
        </is>
      </c>
      <c r="B1000" s="3" t="inlineStr">
        <is>
          <t>DSR제강</t>
        </is>
      </c>
      <c r="C1000" s="2" t="inlineStr">
        <is>
          <t>코스피</t>
        </is>
      </c>
      <c r="D1000" s="2" t="inlineStr">
        <is>
          <t>069730</t>
        </is>
      </c>
      <c r="E1000" s="3" t="inlineStr">
        <is>
          <t>주주총회소집결의               (정정: 20260306)</t>
        </is>
      </c>
      <c r="F1000" s="3" t="inlineStr">
        <is>
          <t>DSR제강</t>
        </is>
      </c>
      <c r="G1000" s="2" t="inlineStr">
        <is>
          <t>20260306800453</t>
        </is>
      </c>
      <c r="H1000" s="8">
        <f>HYPERLINK("https://dart.fss.or.kr/dsaf001/main.do?rcpNo=20260306800453", "공시열람")</f>
        <v/>
      </c>
    </row>
    <row r="1001">
      <c r="A1001" s="2" t="inlineStr">
        <is>
          <t>2026-03-04</t>
        </is>
      </c>
      <c r="B1001" s="3" t="inlineStr">
        <is>
          <t>한국종합기술</t>
        </is>
      </c>
      <c r="C1001" s="2" t="inlineStr">
        <is>
          <t>코스피</t>
        </is>
      </c>
      <c r="D1001" s="2" t="inlineStr">
        <is>
          <t>023350</t>
        </is>
      </c>
      <c r="E1001" s="3" t="inlineStr">
        <is>
          <t xml:space="preserve">주주총회소집결의              </t>
        </is>
      </c>
      <c r="F1001" s="3" t="inlineStr">
        <is>
          <t>한국종합기술</t>
        </is>
      </c>
      <c r="G1001" s="2" t="inlineStr">
        <is>
          <t>20260304800942</t>
        </is>
      </c>
      <c r="H1001" s="8">
        <f>HYPERLINK("https://dart.fss.or.kr/dsaf001/main.do?rcpNo=20260304800942", "공시열람")</f>
        <v/>
      </c>
    </row>
    <row r="1002">
      <c r="A1002" s="2" t="inlineStr">
        <is>
          <t>2026-03-04</t>
        </is>
      </c>
      <c r="B1002" s="3" t="inlineStr">
        <is>
          <t>형지I&amp;C</t>
        </is>
      </c>
      <c r="C1002" s="2" t="inlineStr">
        <is>
          <t>코스닥</t>
        </is>
      </c>
      <c r="D1002" s="2" t="inlineStr">
        <is>
          <t>011080</t>
        </is>
      </c>
      <c r="E1002" s="3" t="inlineStr">
        <is>
          <t>주주총회소집공고</t>
        </is>
      </c>
      <c r="F1002" s="3" t="inlineStr">
        <is>
          <t>형지I&amp;C</t>
        </is>
      </c>
      <c r="G1002" s="2" t="inlineStr">
        <is>
          <t>20260304001076</t>
        </is>
      </c>
      <c r="H1002" s="8">
        <f>HYPERLINK("https://dart.fss.or.kr/dsaf001/main.do?rcpNo=20260304001076", "공시열람")</f>
        <v/>
      </c>
    </row>
    <row r="1003">
      <c r="A1003" s="2" t="inlineStr">
        <is>
          <t>2026-03-04</t>
        </is>
      </c>
      <c r="B1003" s="3" t="inlineStr">
        <is>
          <t>플레이디</t>
        </is>
      </c>
      <c r="C1003" s="2" t="inlineStr">
        <is>
          <t>코스닥</t>
        </is>
      </c>
      <c r="D1003" s="2" t="inlineStr">
        <is>
          <t>237820</t>
        </is>
      </c>
      <c r="E1003" s="3" t="inlineStr">
        <is>
          <t xml:space="preserve">주주총회소집결의              </t>
        </is>
      </c>
      <c r="F1003" s="3" t="inlineStr">
        <is>
          <t>플레이디</t>
        </is>
      </c>
      <c r="G1003" s="2" t="inlineStr">
        <is>
          <t>20260304900917</t>
        </is>
      </c>
      <c r="H1003" s="8">
        <f>HYPERLINK("https://dart.fss.or.kr/dsaf001/main.do?rcpNo=20260304900917", "공시열람")</f>
        <v/>
      </c>
    </row>
    <row r="1004">
      <c r="A1004" s="2" t="inlineStr">
        <is>
          <t>2026-03-04</t>
        </is>
      </c>
      <c r="B1004" s="3" t="inlineStr">
        <is>
          <t>원풍</t>
        </is>
      </c>
      <c r="C1004" s="2" t="inlineStr">
        <is>
          <t>코스닥</t>
        </is>
      </c>
      <c r="D1004" s="2" t="inlineStr">
        <is>
          <t>008370</t>
        </is>
      </c>
      <c r="E1004" s="3" t="inlineStr">
        <is>
          <t xml:space="preserve">주주총회집중일개최사유신고              </t>
        </is>
      </c>
      <c r="F1004" s="3" t="inlineStr">
        <is>
          <t>원풍</t>
        </is>
      </c>
      <c r="G1004" s="2" t="inlineStr">
        <is>
          <t>20260304900939</t>
        </is>
      </c>
      <c r="H1004" s="8">
        <f>HYPERLINK("https://dart.fss.or.kr/dsaf001/main.do?rcpNo=20260304900939", "공시열람")</f>
        <v/>
      </c>
    </row>
    <row r="1005">
      <c r="A1005" s="2" t="inlineStr">
        <is>
          <t>2026-03-04</t>
        </is>
      </c>
      <c r="B1005" s="3" t="inlineStr">
        <is>
          <t>깨끗한나라</t>
        </is>
      </c>
      <c r="C1005" s="2" t="inlineStr">
        <is>
          <t>코스피</t>
        </is>
      </c>
      <c r="D1005" s="2" t="inlineStr">
        <is>
          <t>004540</t>
        </is>
      </c>
      <c r="E1005" s="3" t="inlineStr">
        <is>
          <t xml:space="preserve">주주총회소집결의              </t>
        </is>
      </c>
      <c r="F1005" s="3" t="inlineStr">
        <is>
          <t>깨끗한나라</t>
        </is>
      </c>
      <c r="G1005" s="2" t="inlineStr">
        <is>
          <t>20260304800926</t>
        </is>
      </c>
      <c r="H1005" s="8">
        <f>HYPERLINK("https://dart.fss.or.kr/dsaf001/main.do?rcpNo=20260304800926", "공시열람")</f>
        <v/>
      </c>
    </row>
    <row r="1006">
      <c r="A1006" s="2" t="inlineStr">
        <is>
          <t>2026-03-04 (정정: 2026-03-06)</t>
        </is>
      </c>
      <c r="B1006" s="3" t="inlineStr">
        <is>
          <t>원풍</t>
        </is>
      </c>
      <c r="C1006" s="2" t="inlineStr">
        <is>
          <t>코스닥</t>
        </is>
      </c>
      <c r="D1006" s="2" t="inlineStr">
        <is>
          <t>008370</t>
        </is>
      </c>
      <c r="E1006" s="3" t="inlineStr">
        <is>
          <t>주주총회소집결의               (정정: 20260306)</t>
        </is>
      </c>
      <c r="F1006" s="3" t="inlineStr">
        <is>
          <t>원풍</t>
        </is>
      </c>
      <c r="G1006" s="2" t="inlineStr">
        <is>
          <t>20260306000401</t>
        </is>
      </c>
      <c r="H1006" s="8">
        <f>HYPERLINK("https://dart.fss.or.kr/dsaf001/main.do?rcpNo=20260306000401", "공시열람")</f>
        <v/>
      </c>
    </row>
    <row r="1007">
      <c r="A1007" s="2" t="inlineStr">
        <is>
          <t>2026-03-04</t>
        </is>
      </c>
      <c r="B1007" s="3" t="inlineStr">
        <is>
          <t>인터지스</t>
        </is>
      </c>
      <c r="C1007" s="2" t="inlineStr">
        <is>
          <t>코스피</t>
        </is>
      </c>
      <c r="D1007" s="2" t="inlineStr">
        <is>
          <t>129260</t>
        </is>
      </c>
      <c r="E1007" s="3" t="inlineStr">
        <is>
          <t xml:space="preserve">주주총회소집결의              </t>
        </is>
      </c>
      <c r="F1007" s="3" t="inlineStr">
        <is>
          <t>인터지스</t>
        </is>
      </c>
      <c r="G1007" s="2" t="inlineStr">
        <is>
          <t>20260304800923</t>
        </is>
      </c>
      <c r="H1007" s="8">
        <f>HYPERLINK("https://dart.fss.or.kr/dsaf001/main.do?rcpNo=20260304800923", "공시열람")</f>
        <v/>
      </c>
    </row>
    <row r="1008">
      <c r="A1008" s="2" t="inlineStr">
        <is>
          <t>2026-03-04</t>
        </is>
      </c>
      <c r="B1008" s="3" t="inlineStr">
        <is>
          <t>비씨엔씨</t>
        </is>
      </c>
      <c r="C1008" s="2" t="inlineStr">
        <is>
          <t>코스닥</t>
        </is>
      </c>
      <c r="D1008" s="2" t="inlineStr">
        <is>
          <t>146320</t>
        </is>
      </c>
      <c r="E1008" s="3" t="inlineStr">
        <is>
          <t xml:space="preserve">주주총회소집결의              </t>
        </is>
      </c>
      <c r="F1008" s="3" t="inlineStr">
        <is>
          <t>비씨엔씨</t>
        </is>
      </c>
      <c r="G1008" s="2" t="inlineStr">
        <is>
          <t>20260304900908</t>
        </is>
      </c>
      <c r="H1008" s="8">
        <f>HYPERLINK("https://dart.fss.or.kr/dsaf001/main.do?rcpNo=20260304900908", "공시열람")</f>
        <v/>
      </c>
    </row>
    <row r="1009">
      <c r="A1009" s="2" t="inlineStr">
        <is>
          <t>2026-03-04</t>
        </is>
      </c>
      <c r="B1009" s="3" t="inlineStr">
        <is>
          <t>서호전기</t>
        </is>
      </c>
      <c r="C1009" s="2" t="inlineStr">
        <is>
          <t>코스닥</t>
        </is>
      </c>
      <c r="D1009" s="2" t="inlineStr">
        <is>
          <t>065710</t>
        </is>
      </c>
      <c r="E1009" s="3" t="inlineStr">
        <is>
          <t>주주총회소집공고</t>
        </is>
      </c>
      <c r="F1009" s="3" t="inlineStr">
        <is>
          <t>서호전기</t>
        </is>
      </c>
      <c r="G1009" s="2" t="inlineStr">
        <is>
          <t>20260304001055</t>
        </is>
      </c>
      <c r="H1009" s="8">
        <f>HYPERLINK("https://dart.fss.or.kr/dsaf001/main.do?rcpNo=20260304001055", "공시열람")</f>
        <v/>
      </c>
    </row>
    <row r="1010">
      <c r="A1010" s="2" t="inlineStr">
        <is>
          <t>2026-03-04</t>
        </is>
      </c>
      <c r="B1010" s="3" t="inlineStr">
        <is>
          <t>S&amp;K폴리텍</t>
        </is>
      </c>
      <c r="C1010" s="2" t="inlineStr">
        <is>
          <t>코스닥</t>
        </is>
      </c>
      <c r="D1010" s="2" t="inlineStr">
        <is>
          <t>091340</t>
        </is>
      </c>
      <c r="E1010" s="3" t="inlineStr">
        <is>
          <t xml:space="preserve">주주총회소집결의              </t>
        </is>
      </c>
      <c r="F1010" s="3" t="inlineStr">
        <is>
          <t>S&amp;K폴리텍</t>
        </is>
      </c>
      <c r="G1010" s="2" t="inlineStr">
        <is>
          <t>20260304900906</t>
        </is>
      </c>
      <c r="H1010" s="8">
        <f>HYPERLINK("https://dart.fss.or.kr/dsaf001/main.do?rcpNo=20260304900906", "공시열람")</f>
        <v/>
      </c>
    </row>
    <row r="1011">
      <c r="A1011" s="2" t="inlineStr">
        <is>
          <t>2026-03-04</t>
        </is>
      </c>
      <c r="B1011" s="3" t="inlineStr">
        <is>
          <t>알체라</t>
        </is>
      </c>
      <c r="C1011" s="2" t="inlineStr">
        <is>
          <t>코스닥</t>
        </is>
      </c>
      <c r="D1011" s="2" t="inlineStr">
        <is>
          <t>347860</t>
        </is>
      </c>
      <c r="E1011" s="3" t="inlineStr">
        <is>
          <t xml:space="preserve">주주총회소집결의              </t>
        </is>
      </c>
      <c r="F1011" s="3" t="inlineStr">
        <is>
          <t>알체라</t>
        </is>
      </c>
      <c r="G1011" s="2" t="inlineStr">
        <is>
          <t>20260304900905</t>
        </is>
      </c>
      <c r="H1011" s="8">
        <f>HYPERLINK("https://dart.fss.or.kr/dsaf001/main.do?rcpNo=20260304900905", "공시열람")</f>
        <v/>
      </c>
    </row>
    <row r="1012">
      <c r="A1012" s="2" t="inlineStr">
        <is>
          <t>2026-03-04 (정정: 2026-03-10)</t>
        </is>
      </c>
      <c r="B1012" s="3" t="inlineStr">
        <is>
          <t>티피씨글로벌</t>
        </is>
      </c>
      <c r="C1012" s="2" t="inlineStr">
        <is>
          <t>코스닥</t>
        </is>
      </c>
      <c r="D1012" s="2" t="inlineStr">
        <is>
          <t>130740</t>
        </is>
      </c>
      <c r="E1012" s="3" t="inlineStr">
        <is>
          <t>주주총회소집결의               (정정: 20260310)</t>
        </is>
      </c>
      <c r="F1012" s="3" t="inlineStr">
        <is>
          <t>티피씨글로벌</t>
        </is>
      </c>
      <c r="G1012" s="2" t="inlineStr">
        <is>
          <t>20260310002979</t>
        </is>
      </c>
      <c r="H1012" s="8">
        <f>HYPERLINK("https://dart.fss.or.kr/dsaf001/main.do?rcpNo=20260310002979", "공시열람")</f>
        <v/>
      </c>
    </row>
    <row r="1013">
      <c r="A1013" s="2" t="inlineStr">
        <is>
          <t>2026-03-04</t>
        </is>
      </c>
      <c r="B1013" s="3" t="inlineStr">
        <is>
          <t>인탑스</t>
        </is>
      </c>
      <c r="C1013" s="2" t="inlineStr">
        <is>
          <t>코스닥</t>
        </is>
      </c>
      <c r="D1013" s="2" t="inlineStr">
        <is>
          <t>049070</t>
        </is>
      </c>
      <c r="E1013" s="3" t="inlineStr">
        <is>
          <t xml:space="preserve">주주총회집중일개최사유신고              </t>
        </is>
      </c>
      <c r="F1013" s="3" t="inlineStr">
        <is>
          <t>인탑스</t>
        </is>
      </c>
      <c r="G1013" s="2" t="inlineStr">
        <is>
          <t>20260304900945</t>
        </is>
      </c>
      <c r="H1013" s="8">
        <f>HYPERLINK("https://dart.fss.or.kr/dsaf001/main.do?rcpNo=20260304900945", "공시열람")</f>
        <v/>
      </c>
    </row>
    <row r="1014">
      <c r="A1014" s="2" t="inlineStr">
        <is>
          <t>2026-03-04</t>
        </is>
      </c>
      <c r="B1014" s="3" t="inlineStr">
        <is>
          <t>일진다이아</t>
        </is>
      </c>
      <c r="C1014" s="2" t="inlineStr">
        <is>
          <t>코스피</t>
        </is>
      </c>
      <c r="D1014" s="2" t="inlineStr">
        <is>
          <t>081000</t>
        </is>
      </c>
      <c r="E1014" s="3" t="inlineStr">
        <is>
          <t xml:space="preserve">주주총회소집결의              </t>
        </is>
      </c>
      <c r="F1014" s="3" t="inlineStr">
        <is>
          <t>일진다이아</t>
        </is>
      </c>
      <c r="G1014" s="2" t="inlineStr">
        <is>
          <t>20260304800927</t>
        </is>
      </c>
      <c r="H1014" s="8">
        <f>HYPERLINK("https://dart.fss.or.kr/dsaf001/main.do?rcpNo=20260304800927", "공시열람")</f>
        <v/>
      </c>
    </row>
    <row r="1015">
      <c r="A1015" s="2" t="inlineStr">
        <is>
          <t>2026-03-04 (정정: 2026-03-06)</t>
        </is>
      </c>
      <c r="B1015" s="3" t="inlineStr">
        <is>
          <t>로보티즈</t>
        </is>
      </c>
      <c r="C1015" s="2" t="inlineStr">
        <is>
          <t>코스닥</t>
        </is>
      </c>
      <c r="D1015" s="2" t="inlineStr">
        <is>
          <t>108490</t>
        </is>
      </c>
      <c r="E1015" s="3" t="inlineStr">
        <is>
          <t>주주총회소집결의               (정정: 20260306)</t>
        </is>
      </c>
      <c r="F1015" s="3" t="inlineStr">
        <is>
          <t>로보티즈</t>
        </is>
      </c>
      <c r="G1015" s="2" t="inlineStr">
        <is>
          <t>20260306900739</t>
        </is>
      </c>
      <c r="H1015" s="8">
        <f>HYPERLINK("https://dart.fss.or.kr/dsaf001/main.do?rcpNo=20260306900739", "공시열람")</f>
        <v/>
      </c>
    </row>
    <row r="1016">
      <c r="A1016" s="2" t="inlineStr">
        <is>
          <t>2026-03-04</t>
        </is>
      </c>
      <c r="B1016" s="3" t="inlineStr">
        <is>
          <t>서호전기</t>
        </is>
      </c>
      <c r="C1016" s="2" t="inlineStr">
        <is>
          <t>코스닥</t>
        </is>
      </c>
      <c r="D1016" s="2" t="inlineStr">
        <is>
          <t>065710</t>
        </is>
      </c>
      <c r="E1016" s="3" t="inlineStr">
        <is>
          <t xml:space="preserve">주주총회소집결의              </t>
        </is>
      </c>
      <c r="F1016" s="3" t="inlineStr">
        <is>
          <t>서호전기</t>
        </is>
      </c>
      <c r="G1016" s="2" t="inlineStr">
        <is>
          <t>20260304900887</t>
        </is>
      </c>
      <c r="H1016" s="8">
        <f>HYPERLINK("https://dart.fss.or.kr/dsaf001/main.do?rcpNo=20260304900887", "공시열람")</f>
        <v/>
      </c>
    </row>
    <row r="1017">
      <c r="A1017" s="2" t="inlineStr">
        <is>
          <t>2026-03-04</t>
        </is>
      </c>
      <c r="B1017" s="3" t="inlineStr">
        <is>
          <t>인탑스</t>
        </is>
      </c>
      <c r="C1017" s="2" t="inlineStr">
        <is>
          <t>코스닥</t>
        </is>
      </c>
      <c r="D1017" s="2" t="inlineStr">
        <is>
          <t>049070</t>
        </is>
      </c>
      <c r="E1017" s="3" t="inlineStr">
        <is>
          <t xml:space="preserve">주주총회소집결의              </t>
        </is>
      </c>
      <c r="F1017" s="3" t="inlineStr">
        <is>
          <t>인탑스</t>
        </is>
      </c>
      <c r="G1017" s="2" t="inlineStr">
        <is>
          <t>20260304900903</t>
        </is>
      </c>
      <c r="H1017" s="8">
        <f>HYPERLINK("https://dart.fss.or.kr/dsaf001/main.do?rcpNo=20260304900903", "공시열람")</f>
        <v/>
      </c>
    </row>
    <row r="1018">
      <c r="A1018" s="2" t="inlineStr">
        <is>
          <t>2026-03-04</t>
        </is>
      </c>
      <c r="B1018" s="3" t="inlineStr">
        <is>
          <t>새빗켐</t>
        </is>
      </c>
      <c r="C1018" s="2" t="inlineStr">
        <is>
          <t>코스닥</t>
        </is>
      </c>
      <c r="D1018" s="2" t="inlineStr">
        <is>
          <t>107600</t>
        </is>
      </c>
      <c r="E1018" s="3" t="inlineStr">
        <is>
          <t xml:space="preserve">주주총회소집결의              </t>
        </is>
      </c>
      <c r="F1018" s="3" t="inlineStr">
        <is>
          <t>새빗켐</t>
        </is>
      </c>
      <c r="G1018" s="2" t="inlineStr">
        <is>
          <t>20260304900883</t>
        </is>
      </c>
      <c r="H1018" s="8">
        <f>HYPERLINK("https://dart.fss.or.kr/dsaf001/main.do?rcpNo=20260304900883", "공시열람")</f>
        <v/>
      </c>
    </row>
    <row r="1019">
      <c r="A1019" s="2" t="inlineStr">
        <is>
          <t>2026-03-04 (정정: 2026-03-20)</t>
        </is>
      </c>
      <c r="B1019" s="3" t="inlineStr">
        <is>
          <t>하나기술</t>
        </is>
      </c>
      <c r="C1019" s="2" t="inlineStr">
        <is>
          <t>코스닥</t>
        </is>
      </c>
      <c r="D1019" s="2" t="inlineStr">
        <is>
          <t>299030</t>
        </is>
      </c>
      <c r="E1019" s="3" t="inlineStr">
        <is>
          <t>주주총회소집결의               (정정: 20260320)</t>
        </is>
      </c>
      <c r="F1019" s="3" t="inlineStr">
        <is>
          <t>하나기술</t>
        </is>
      </c>
      <c r="G1019" s="2" t="inlineStr">
        <is>
          <t>20260320000967</t>
        </is>
      </c>
      <c r="H1019" s="8">
        <f>HYPERLINK("https://dart.fss.or.kr/dsaf001/main.do?rcpNo=20260320000967", "공시열람")</f>
        <v/>
      </c>
    </row>
    <row r="1020">
      <c r="A1020" s="2" t="inlineStr">
        <is>
          <t>2026-03-04 (정정: 2026-03-10)</t>
        </is>
      </c>
      <c r="B1020" s="3" t="inlineStr">
        <is>
          <t>삼성스팩10호</t>
        </is>
      </c>
      <c r="C1020" s="2" t="inlineStr">
        <is>
          <t>코스닥</t>
        </is>
      </c>
      <c r="D1020" s="2" t="inlineStr">
        <is>
          <t>0044K0</t>
        </is>
      </c>
      <c r="E1020" s="3" t="inlineStr">
        <is>
          <t>주주총회소집공고 (정정: 20260310)</t>
        </is>
      </c>
      <c r="F1020" s="3" t="inlineStr">
        <is>
          <t>삼성스팩10호</t>
        </is>
      </c>
      <c r="G1020" s="2" t="inlineStr">
        <is>
          <t>20260310002185</t>
        </is>
      </c>
      <c r="H1020" s="8">
        <f>HYPERLINK("https://dart.fss.or.kr/dsaf001/main.do?rcpNo=20260310002185", "공시열람")</f>
        <v/>
      </c>
    </row>
    <row r="1021">
      <c r="A1021" s="2" t="inlineStr">
        <is>
          <t>2026-03-04</t>
        </is>
      </c>
      <c r="B1021" s="3" t="inlineStr">
        <is>
          <t>엔텔스</t>
        </is>
      </c>
      <c r="C1021" s="2" t="inlineStr">
        <is>
          <t>코스닥</t>
        </is>
      </c>
      <c r="D1021" s="2" t="inlineStr">
        <is>
          <t>069410</t>
        </is>
      </c>
      <c r="E1021" s="3" t="inlineStr">
        <is>
          <t>주주총회소집공고</t>
        </is>
      </c>
      <c r="F1021" s="3" t="inlineStr">
        <is>
          <t>엔텔스</t>
        </is>
      </c>
      <c r="G1021" s="2" t="inlineStr">
        <is>
          <t>20260304001013</t>
        </is>
      </c>
      <c r="H1021" s="8">
        <f>HYPERLINK("https://dart.fss.or.kr/dsaf001/main.do?rcpNo=20260304001013", "공시열람")</f>
        <v/>
      </c>
    </row>
    <row r="1022">
      <c r="A1022" s="2" t="inlineStr">
        <is>
          <t>2026-03-04 (정정: 2026-03-11)</t>
        </is>
      </c>
      <c r="B1022" s="3" t="inlineStr">
        <is>
          <t>브리지텍</t>
        </is>
      </c>
      <c r="C1022" s="2" t="inlineStr">
        <is>
          <t>코스닥</t>
        </is>
      </c>
      <c r="D1022" s="2" t="inlineStr">
        <is>
          <t>064480</t>
        </is>
      </c>
      <c r="E1022" s="3" t="inlineStr">
        <is>
          <t>주주총회소집결의               (정정: 20260311)</t>
        </is>
      </c>
      <c r="F1022" s="3" t="inlineStr">
        <is>
          <t>브리지텍</t>
        </is>
      </c>
      <c r="G1022" s="2" t="inlineStr">
        <is>
          <t>20260311900373</t>
        </is>
      </c>
      <c r="H1022" s="8">
        <f>HYPERLINK("https://dart.fss.or.kr/dsaf001/main.do?rcpNo=20260311900373", "공시열람")</f>
        <v/>
      </c>
    </row>
    <row r="1023">
      <c r="A1023" s="2" t="inlineStr">
        <is>
          <t>2026-03-04</t>
        </is>
      </c>
      <c r="B1023" s="3" t="inlineStr">
        <is>
          <t>파트론</t>
        </is>
      </c>
      <c r="C1023" s="2" t="inlineStr">
        <is>
          <t>코스닥</t>
        </is>
      </c>
      <c r="D1023" s="2" t="inlineStr">
        <is>
          <t>091700</t>
        </is>
      </c>
      <c r="E1023" s="3" t="inlineStr">
        <is>
          <t>주주총회소집공고</t>
        </is>
      </c>
      <c r="F1023" s="3" t="inlineStr">
        <is>
          <t>파트론</t>
        </is>
      </c>
      <c r="G1023" s="2" t="inlineStr">
        <is>
          <t>20260304000990</t>
        </is>
      </c>
      <c r="H1023" s="8">
        <f>HYPERLINK("https://dart.fss.or.kr/dsaf001/main.do?rcpNo=20260304000990", "공시열람")</f>
        <v/>
      </c>
    </row>
    <row r="1024">
      <c r="A1024" s="2" t="inlineStr">
        <is>
          <t>2026-03-04 (정정: 2026-03-09)</t>
        </is>
      </c>
      <c r="B1024" s="3" t="inlineStr">
        <is>
          <t>LS증권</t>
        </is>
      </c>
      <c r="C1024" s="2" t="inlineStr">
        <is>
          <t>코스닥</t>
        </is>
      </c>
      <c r="D1024" s="2" t="inlineStr">
        <is>
          <t>078020</t>
        </is>
      </c>
      <c r="E1024" s="3" t="inlineStr">
        <is>
          <t>주주총회소집공고 (정정: 20260309) (정정: 20260309) (정정: 20260309)</t>
        </is>
      </c>
      <c r="F1024" s="3" t="inlineStr">
        <is>
          <t>LS증권</t>
        </is>
      </c>
      <c r="G1024" s="2" t="inlineStr">
        <is>
          <t>20260309901355</t>
        </is>
      </c>
      <c r="H1024" s="8">
        <f>HYPERLINK("https://dart.fss.or.kr/dsaf001/main.do?rcpNo=20260309901355", "공시열람")</f>
        <v/>
      </c>
    </row>
    <row r="1025">
      <c r="A1025" s="2" t="inlineStr">
        <is>
          <t>2026-03-04</t>
        </is>
      </c>
      <c r="B1025" s="3" t="inlineStr">
        <is>
          <t>케이엔더블유</t>
        </is>
      </c>
      <c r="C1025" s="2" t="inlineStr">
        <is>
          <t>코스닥</t>
        </is>
      </c>
      <c r="D1025" s="2" t="inlineStr">
        <is>
          <t>105330</t>
        </is>
      </c>
      <c r="E1025" s="3" t="inlineStr">
        <is>
          <t>주주총회소집공고</t>
        </is>
      </c>
      <c r="F1025" s="3" t="inlineStr">
        <is>
          <t>케이엔더블유</t>
        </is>
      </c>
      <c r="G1025" s="2" t="inlineStr">
        <is>
          <t>20260304000975</t>
        </is>
      </c>
      <c r="H1025" s="8">
        <f>HYPERLINK("https://dart.fss.or.kr/dsaf001/main.do?rcpNo=20260304000975", "공시열람")</f>
        <v/>
      </c>
    </row>
    <row r="1026">
      <c r="A1026" s="2" t="inlineStr">
        <is>
          <t>2026-03-04</t>
        </is>
      </c>
      <c r="B1026" s="3" t="inlineStr">
        <is>
          <t>APS이노베이션</t>
        </is>
      </c>
      <c r="C1026" s="2" t="inlineStr">
        <is>
          <t>코스닥</t>
        </is>
      </c>
      <c r="D1026" s="2" t="inlineStr">
        <is>
          <t>079810</t>
        </is>
      </c>
      <c r="E1026" s="3" t="inlineStr">
        <is>
          <t>주주총회소집공고</t>
        </is>
      </c>
      <c r="F1026" s="3" t="inlineStr">
        <is>
          <t>APS이노베이션</t>
        </is>
      </c>
      <c r="G1026" s="2" t="inlineStr">
        <is>
          <t>20260304000959</t>
        </is>
      </c>
      <c r="H1026" s="8">
        <f>HYPERLINK("https://dart.fss.or.kr/dsaf001/main.do?rcpNo=20260304000959", "공시열람")</f>
        <v/>
      </c>
    </row>
    <row r="1027">
      <c r="A1027" s="2" t="inlineStr">
        <is>
          <t>2026-03-04 (정정: 2026-03-09)</t>
        </is>
      </c>
      <c r="B1027" s="3" t="inlineStr">
        <is>
          <t>LS증권</t>
        </is>
      </c>
      <c r="C1027" s="2" t="inlineStr">
        <is>
          <t>코스닥</t>
        </is>
      </c>
      <c r="D1027" s="2" t="inlineStr">
        <is>
          <t>078020</t>
        </is>
      </c>
      <c r="E1027" s="3" t="inlineStr">
        <is>
          <t>주주총회소집결의               (정정: 20260309)</t>
        </is>
      </c>
      <c r="F1027" s="3" t="inlineStr">
        <is>
          <t>LS증권</t>
        </is>
      </c>
      <c r="G1027" s="2" t="inlineStr">
        <is>
          <t>20260309901331</t>
        </is>
      </c>
      <c r="H1027" s="8">
        <f>HYPERLINK("https://dart.fss.or.kr/dsaf001/main.do?rcpNo=20260309901331", "공시열람")</f>
        <v/>
      </c>
    </row>
    <row r="1028">
      <c r="A1028" s="2" t="inlineStr">
        <is>
          <t>2026-03-04</t>
        </is>
      </c>
      <c r="B1028" s="3" t="inlineStr">
        <is>
          <t>비아트론</t>
        </is>
      </c>
      <c r="C1028" s="2" t="inlineStr">
        <is>
          <t>코스닥</t>
        </is>
      </c>
      <c r="D1028" s="2" t="inlineStr">
        <is>
          <t>141000</t>
        </is>
      </c>
      <c r="E1028" s="3" t="inlineStr">
        <is>
          <t xml:space="preserve">주주총회소집결의              </t>
        </is>
      </c>
      <c r="F1028" s="3" t="inlineStr">
        <is>
          <t>비아트론</t>
        </is>
      </c>
      <c r="G1028" s="2" t="inlineStr">
        <is>
          <t>20260304900785</t>
        </is>
      </c>
      <c r="H1028" s="8">
        <f>HYPERLINK("https://dart.fss.or.kr/dsaf001/main.do?rcpNo=20260304900785", "공시열람")</f>
        <v/>
      </c>
    </row>
    <row r="1029">
      <c r="A1029" s="2" t="inlineStr">
        <is>
          <t>2026-03-04</t>
        </is>
      </c>
      <c r="B1029" s="3" t="inlineStr">
        <is>
          <t>비케이홀딩스</t>
        </is>
      </c>
      <c r="C1029" s="2" t="inlineStr">
        <is>
          <t>코스닥</t>
        </is>
      </c>
      <c r="D1029" s="2" t="inlineStr">
        <is>
          <t>050090</t>
        </is>
      </c>
      <c r="E1029" s="3" t="inlineStr">
        <is>
          <t>주주총회소집공고</t>
        </is>
      </c>
      <c r="F1029" s="3" t="inlineStr">
        <is>
          <t>비케이홀딩스</t>
        </is>
      </c>
      <c r="G1029" s="2" t="inlineStr">
        <is>
          <t>20260304000954</t>
        </is>
      </c>
      <c r="H1029" s="8">
        <f>HYPERLINK("https://dart.fss.or.kr/dsaf001/main.do?rcpNo=20260304000954", "공시열람")</f>
        <v/>
      </c>
    </row>
    <row r="1030">
      <c r="A1030" s="2" t="inlineStr">
        <is>
          <t>2026-03-04</t>
        </is>
      </c>
      <c r="B1030" s="3" t="inlineStr">
        <is>
          <t>비케이홀딩스</t>
        </is>
      </c>
      <c r="C1030" s="2" t="inlineStr">
        <is>
          <t>코스닥</t>
        </is>
      </c>
      <c r="D1030" s="2" t="inlineStr">
        <is>
          <t>050090</t>
        </is>
      </c>
      <c r="E1030" s="3" t="inlineStr">
        <is>
          <t xml:space="preserve">주주총회집중일개최사유신고              </t>
        </is>
      </c>
      <c r="F1030" s="3" t="inlineStr">
        <is>
          <t>비케이홀딩스</t>
        </is>
      </c>
      <c r="G1030" s="2" t="inlineStr">
        <is>
          <t>20260304900845</t>
        </is>
      </c>
      <c r="H1030" s="8">
        <f>HYPERLINK("https://dart.fss.or.kr/dsaf001/main.do?rcpNo=20260304900845", "공시열람")</f>
        <v/>
      </c>
    </row>
    <row r="1031">
      <c r="A1031" s="2" t="inlineStr">
        <is>
          <t>2026-03-04</t>
        </is>
      </c>
      <c r="B1031" s="3" t="inlineStr">
        <is>
          <t>비케이홀딩스</t>
        </is>
      </c>
      <c r="C1031" s="2" t="inlineStr">
        <is>
          <t>코스닥</t>
        </is>
      </c>
      <c r="D1031" s="2" t="inlineStr">
        <is>
          <t>050090</t>
        </is>
      </c>
      <c r="E1031" s="3" t="inlineStr">
        <is>
          <t xml:space="preserve">주주총회소집결의              </t>
        </is>
      </c>
      <c r="F1031" s="3" t="inlineStr">
        <is>
          <t>비케이홀딩스</t>
        </is>
      </c>
      <c r="G1031" s="2" t="inlineStr">
        <is>
          <t>20260304900844</t>
        </is>
      </c>
      <c r="H1031" s="8">
        <f>HYPERLINK("https://dart.fss.or.kr/dsaf001/main.do?rcpNo=20260304900844", "공시열람")</f>
        <v/>
      </c>
    </row>
    <row r="1032">
      <c r="A1032" s="2" t="inlineStr">
        <is>
          <t>2026-03-04</t>
        </is>
      </c>
      <c r="B1032" s="3" t="inlineStr">
        <is>
          <t>라닉스</t>
        </is>
      </c>
      <c r="C1032" s="2" t="inlineStr">
        <is>
          <t>코스닥</t>
        </is>
      </c>
      <c r="D1032" s="2" t="inlineStr">
        <is>
          <t>317120</t>
        </is>
      </c>
      <c r="E1032" s="3" t="inlineStr">
        <is>
          <t>주주총회소집공고</t>
        </is>
      </c>
      <c r="F1032" s="3" t="inlineStr">
        <is>
          <t>라닉스</t>
        </is>
      </c>
      <c r="G1032" s="2" t="inlineStr">
        <is>
          <t>20260304000945</t>
        </is>
      </c>
      <c r="H1032" s="8">
        <f>HYPERLINK("https://dart.fss.or.kr/dsaf001/main.do?rcpNo=20260304000945", "공시열람")</f>
        <v/>
      </c>
    </row>
    <row r="1033">
      <c r="A1033" s="2" t="inlineStr">
        <is>
          <t>2026-03-04 (정정: 2026-06-02)</t>
        </is>
      </c>
      <c r="B1033" s="3" t="inlineStr">
        <is>
          <t>송원산업</t>
        </is>
      </c>
      <c r="C1033" s="2" t="inlineStr">
        <is>
          <t>코스피</t>
        </is>
      </c>
      <c r="D1033" s="2" t="inlineStr">
        <is>
          <t>004430</t>
        </is>
      </c>
      <c r="E1033" s="3" t="inlineStr">
        <is>
          <t>주주총회소집공고 (정정: 20260602)</t>
        </is>
      </c>
      <c r="F1033" s="3" t="inlineStr">
        <is>
          <t>송원산업</t>
        </is>
      </c>
      <c r="G1033" s="2" t="inlineStr">
        <is>
          <t>20260602000117</t>
        </is>
      </c>
      <c r="H1033" s="8">
        <f>HYPERLINK("https://dart.fss.or.kr/dsaf001/main.do?rcpNo=20260602000117", "공시열람")</f>
        <v/>
      </c>
    </row>
    <row r="1034">
      <c r="A1034" s="2" t="inlineStr">
        <is>
          <t>2026-03-04 (정정: 2026-03-12)</t>
        </is>
      </c>
      <c r="B1034" s="3" t="inlineStr">
        <is>
          <t>서울평가정보</t>
        </is>
      </c>
      <c r="C1034" s="2" t="inlineStr">
        <is>
          <t>코스닥</t>
        </is>
      </c>
      <c r="D1034" s="2" t="inlineStr">
        <is>
          <t>036120</t>
        </is>
      </c>
      <c r="E1034" s="3" t="inlineStr">
        <is>
          <t>주주총회소집결의               (정정: 20260312)</t>
        </is>
      </c>
      <c r="F1034" s="3" t="inlineStr">
        <is>
          <t>서울평가정보</t>
        </is>
      </c>
      <c r="G1034" s="2" t="inlineStr">
        <is>
          <t>20260312901404</t>
        </is>
      </c>
      <c r="H1034" s="8">
        <f>HYPERLINK("https://dart.fss.or.kr/dsaf001/main.do?rcpNo=20260312901404", "공시열람")</f>
        <v/>
      </c>
    </row>
    <row r="1035">
      <c r="A1035" s="2" t="inlineStr">
        <is>
          <t>2026-03-04</t>
        </is>
      </c>
      <c r="B1035" s="3" t="inlineStr">
        <is>
          <t>라닉스</t>
        </is>
      </c>
      <c r="C1035" s="2" t="inlineStr">
        <is>
          <t>코스닥</t>
        </is>
      </c>
      <c r="D1035" s="2" t="inlineStr">
        <is>
          <t>317120</t>
        </is>
      </c>
      <c r="E1035" s="3" t="inlineStr">
        <is>
          <t xml:space="preserve">주주총회소집결의              </t>
        </is>
      </c>
      <c r="F1035" s="3" t="inlineStr">
        <is>
          <t>라닉스</t>
        </is>
      </c>
      <c r="G1035" s="2" t="inlineStr">
        <is>
          <t>20260304900803</t>
        </is>
      </c>
      <c r="H1035" s="8">
        <f>HYPERLINK("https://dart.fss.or.kr/dsaf001/main.do?rcpNo=20260304900803", "공시열람")</f>
        <v/>
      </c>
    </row>
    <row r="1036">
      <c r="A1036" s="2" t="inlineStr">
        <is>
          <t>2026-03-04</t>
        </is>
      </c>
      <c r="B1036" s="3" t="inlineStr">
        <is>
          <t>동국씨엠</t>
        </is>
      </c>
      <c r="C1036" s="2" t="inlineStr">
        <is>
          <t>코스피</t>
        </is>
      </c>
      <c r="D1036" s="2" t="inlineStr">
        <is>
          <t>460850</t>
        </is>
      </c>
      <c r="E1036" s="3" t="inlineStr">
        <is>
          <t xml:space="preserve">주주총회소집결의              </t>
        </is>
      </c>
      <c r="F1036" s="3" t="inlineStr">
        <is>
          <t>동국씨엠</t>
        </is>
      </c>
      <c r="G1036" s="2" t="inlineStr">
        <is>
          <t>20260304800811</t>
        </is>
      </c>
      <c r="H1036" s="8">
        <f>HYPERLINK("https://dart.fss.or.kr/dsaf001/main.do?rcpNo=20260304800811", "공시열람")</f>
        <v/>
      </c>
    </row>
    <row r="1037">
      <c r="A1037" s="2" t="inlineStr">
        <is>
          <t>2026-03-04</t>
        </is>
      </c>
      <c r="B1037" s="3" t="inlineStr">
        <is>
          <t>케이엔더블유</t>
        </is>
      </c>
      <c r="C1037" s="2" t="inlineStr">
        <is>
          <t>코스닥</t>
        </is>
      </c>
      <c r="D1037" s="2" t="inlineStr">
        <is>
          <t>105330</t>
        </is>
      </c>
      <c r="E1037" s="3" t="inlineStr">
        <is>
          <t xml:space="preserve">주주총회소집결의              </t>
        </is>
      </c>
      <c r="F1037" s="3" t="inlineStr">
        <is>
          <t>케이엔더블유</t>
        </is>
      </c>
      <c r="G1037" s="2" t="inlineStr">
        <is>
          <t>20260304900770</t>
        </is>
      </c>
      <c r="H1037" s="8">
        <f>HYPERLINK("https://dart.fss.or.kr/dsaf001/main.do?rcpNo=20260304900770", "공시열람")</f>
        <v/>
      </c>
    </row>
    <row r="1038">
      <c r="A1038" s="2" t="inlineStr">
        <is>
          <t>2026-03-04</t>
        </is>
      </c>
      <c r="B1038" s="3" t="inlineStr">
        <is>
          <t>스모트로닉</t>
        </is>
      </c>
      <c r="C1038" s="2" t="inlineStr">
        <is>
          <t>코스닥</t>
        </is>
      </c>
      <c r="D1038" s="2" t="inlineStr">
        <is>
          <t>066590</t>
        </is>
      </c>
      <c r="E1038" s="3" t="inlineStr">
        <is>
          <t>주주총회소집공고</t>
        </is>
      </c>
      <c r="F1038" s="3" t="inlineStr">
        <is>
          <t>스모트로닉</t>
        </is>
      </c>
      <c r="G1038" s="2" t="inlineStr">
        <is>
          <t>20260304000915</t>
        </is>
      </c>
      <c r="H1038" s="8">
        <f>HYPERLINK("https://dart.fss.or.kr/dsaf001/main.do?rcpNo=20260304000915", "공시열람")</f>
        <v/>
      </c>
    </row>
    <row r="1039">
      <c r="A1039" s="2" t="inlineStr">
        <is>
          <t>2026-03-04</t>
        </is>
      </c>
      <c r="B1039" s="3" t="inlineStr">
        <is>
          <t>스모트로닉</t>
        </is>
      </c>
      <c r="C1039" s="2" t="inlineStr">
        <is>
          <t>코스닥</t>
        </is>
      </c>
      <c r="D1039" s="2" t="inlineStr">
        <is>
          <t>066590</t>
        </is>
      </c>
      <c r="E1039" s="3" t="inlineStr">
        <is>
          <t xml:space="preserve">주주총회소집결의              </t>
        </is>
      </c>
      <c r="F1039" s="3" t="inlineStr">
        <is>
          <t>스모트로닉</t>
        </is>
      </c>
      <c r="G1039" s="2" t="inlineStr">
        <is>
          <t>20260304900804</t>
        </is>
      </c>
      <c r="H1039" s="8">
        <f>HYPERLINK("https://dart.fss.or.kr/dsaf001/main.do?rcpNo=20260304900804", "공시열람")</f>
        <v/>
      </c>
    </row>
    <row r="1040">
      <c r="A1040" s="2" t="inlineStr">
        <is>
          <t>2026-03-04</t>
        </is>
      </c>
      <c r="B1040" s="3" t="inlineStr">
        <is>
          <t>우진엔텍</t>
        </is>
      </c>
      <c r="C1040" s="2" t="inlineStr">
        <is>
          <t>코스닥</t>
        </is>
      </c>
      <c r="D1040" s="2" t="inlineStr">
        <is>
          <t>457550</t>
        </is>
      </c>
      <c r="E1040" s="3" t="inlineStr">
        <is>
          <t xml:space="preserve">주주총회집중일개최사유신고              </t>
        </is>
      </c>
      <c r="F1040" s="3" t="inlineStr">
        <is>
          <t>우진엔텍</t>
        </is>
      </c>
      <c r="G1040" s="2" t="inlineStr">
        <is>
          <t>20260304900780</t>
        </is>
      </c>
      <c r="H1040" s="8">
        <f>HYPERLINK("https://dart.fss.or.kr/dsaf001/main.do?rcpNo=20260304900780", "공시열람")</f>
        <v/>
      </c>
    </row>
    <row r="1041">
      <c r="A1041" s="2" t="inlineStr">
        <is>
          <t>2026-03-04</t>
        </is>
      </c>
      <c r="B1041" s="3" t="inlineStr">
        <is>
          <t>APS이노베이션</t>
        </is>
      </c>
      <c r="C1041" s="2" t="inlineStr">
        <is>
          <t>코스닥</t>
        </is>
      </c>
      <c r="D1041" s="2" t="inlineStr">
        <is>
          <t>079810</t>
        </is>
      </c>
      <c r="E1041" s="3" t="inlineStr">
        <is>
          <t xml:space="preserve">주주총회집중일개최사유신고              </t>
        </is>
      </c>
      <c r="F1041" s="3" t="inlineStr">
        <is>
          <t>APS이노베이션</t>
        </is>
      </c>
      <c r="G1041" s="2" t="inlineStr">
        <is>
          <t>20260304900736</t>
        </is>
      </c>
      <c r="H1041" s="8">
        <f>HYPERLINK("https://dart.fss.or.kr/dsaf001/main.do?rcpNo=20260304900736", "공시열람")</f>
        <v/>
      </c>
    </row>
    <row r="1042">
      <c r="A1042" s="2" t="inlineStr">
        <is>
          <t>2026-03-04</t>
        </is>
      </c>
      <c r="B1042" s="3" t="inlineStr">
        <is>
          <t>APS이노베이션</t>
        </is>
      </c>
      <c r="C1042" s="2" t="inlineStr">
        <is>
          <t>코스닥</t>
        </is>
      </c>
      <c r="D1042" s="2" t="inlineStr">
        <is>
          <t>079810</t>
        </is>
      </c>
      <c r="E1042" s="3" t="inlineStr">
        <is>
          <t xml:space="preserve">주주총회소집결의              </t>
        </is>
      </c>
      <c r="F1042" s="3" t="inlineStr">
        <is>
          <t>APS이노베이션</t>
        </is>
      </c>
      <c r="G1042" s="2" t="inlineStr">
        <is>
          <t>20260304900733</t>
        </is>
      </c>
      <c r="H1042" s="8">
        <f>HYPERLINK("https://dart.fss.or.kr/dsaf001/main.do?rcpNo=20260304900733", "공시열람")</f>
        <v/>
      </c>
    </row>
    <row r="1043">
      <c r="A1043" s="2" t="inlineStr">
        <is>
          <t>2026-03-04</t>
        </is>
      </c>
      <c r="B1043" s="3" t="inlineStr">
        <is>
          <t>신한제12호스팩</t>
        </is>
      </c>
      <c r="C1043" s="2" t="inlineStr">
        <is>
          <t>코스닥</t>
        </is>
      </c>
      <c r="D1043" s="2" t="inlineStr">
        <is>
          <t>474660</t>
        </is>
      </c>
      <c r="E1043" s="3" t="inlineStr">
        <is>
          <t>주주총회소집공고</t>
        </is>
      </c>
      <c r="F1043" s="3" t="inlineStr">
        <is>
          <t>신한제12호스팩</t>
        </is>
      </c>
      <c r="G1043" s="2" t="inlineStr">
        <is>
          <t>20260304000884</t>
        </is>
      </c>
      <c r="H1043" s="8">
        <f>HYPERLINK("https://dart.fss.or.kr/dsaf001/main.do?rcpNo=20260304000884", "공시열람")</f>
        <v/>
      </c>
    </row>
    <row r="1044">
      <c r="A1044" s="2" t="inlineStr">
        <is>
          <t>2026-03-04</t>
        </is>
      </c>
      <c r="B1044" s="3" t="inlineStr">
        <is>
          <t>웨이비스</t>
        </is>
      </c>
      <c r="C1044" s="2" t="inlineStr">
        <is>
          <t>코스닥</t>
        </is>
      </c>
      <c r="D1044" s="2" t="inlineStr">
        <is>
          <t>289930</t>
        </is>
      </c>
      <c r="E1044" s="3" t="inlineStr">
        <is>
          <t xml:space="preserve">주주총회소집결의              </t>
        </is>
      </c>
      <c r="F1044" s="3" t="inlineStr">
        <is>
          <t>웨이비스</t>
        </is>
      </c>
      <c r="G1044" s="2" t="inlineStr">
        <is>
          <t>20260304900762</t>
        </is>
      </c>
      <c r="H1044" s="8">
        <f>HYPERLINK("https://dart.fss.or.kr/dsaf001/main.do?rcpNo=20260304900762", "공시열람")</f>
        <v/>
      </c>
    </row>
    <row r="1045">
      <c r="A1045" s="2" t="inlineStr">
        <is>
          <t>2026-03-04</t>
        </is>
      </c>
      <c r="B1045" s="3" t="inlineStr">
        <is>
          <t>한국정보통신</t>
        </is>
      </c>
      <c r="C1045" s="2" t="inlineStr">
        <is>
          <t>코스닥</t>
        </is>
      </c>
      <c r="D1045" s="2" t="inlineStr">
        <is>
          <t>025770</t>
        </is>
      </c>
      <c r="E1045" s="3" t="inlineStr">
        <is>
          <t>주주총회소집공고</t>
        </is>
      </c>
      <c r="F1045" s="3" t="inlineStr">
        <is>
          <t>한국정보통신</t>
        </is>
      </c>
      <c r="G1045" s="2" t="inlineStr">
        <is>
          <t>20260304000862</t>
        </is>
      </c>
      <c r="H1045" s="8">
        <f>HYPERLINK("https://dart.fss.or.kr/dsaf001/main.do?rcpNo=20260304000862", "공시열람")</f>
        <v/>
      </c>
    </row>
    <row r="1046">
      <c r="A1046" s="2" t="inlineStr">
        <is>
          <t>2026-03-04</t>
        </is>
      </c>
      <c r="B1046" s="3" t="inlineStr">
        <is>
          <t>디와이덕양</t>
        </is>
      </c>
      <c r="C1046" s="2" t="inlineStr">
        <is>
          <t>코스피</t>
        </is>
      </c>
      <c r="D1046" s="2" t="inlineStr">
        <is>
          <t>024900</t>
        </is>
      </c>
      <c r="E1046" s="3" t="inlineStr">
        <is>
          <t xml:space="preserve">주주총회집중일개최사유신고              </t>
        </is>
      </c>
      <c r="F1046" s="3" t="inlineStr">
        <is>
          <t>디와이덕양</t>
        </is>
      </c>
      <c r="G1046" s="2" t="inlineStr">
        <is>
          <t>20260304800787</t>
        </is>
      </c>
      <c r="H1046" s="8">
        <f>HYPERLINK("https://dart.fss.or.kr/dsaf001/main.do?rcpNo=20260304800787", "공시열람")</f>
        <v/>
      </c>
    </row>
    <row r="1047">
      <c r="A1047" s="2" t="inlineStr">
        <is>
          <t>2026-03-04</t>
        </is>
      </c>
      <c r="B1047" s="3" t="inlineStr">
        <is>
          <t>한성기업</t>
        </is>
      </c>
      <c r="C1047" s="2" t="inlineStr">
        <is>
          <t>코스피</t>
        </is>
      </c>
      <c r="D1047" s="2" t="inlineStr">
        <is>
          <t>003680</t>
        </is>
      </c>
      <c r="E1047" s="3" t="inlineStr">
        <is>
          <t xml:space="preserve">주주총회소집결의              </t>
        </is>
      </c>
      <c r="F1047" s="3" t="inlineStr">
        <is>
          <t>한성기업</t>
        </is>
      </c>
      <c r="G1047" s="2" t="inlineStr">
        <is>
          <t>20260304800720</t>
        </is>
      </c>
      <c r="H1047" s="8">
        <f>HYPERLINK("https://dart.fss.or.kr/dsaf001/main.do?rcpNo=20260304800720", "공시열람")</f>
        <v/>
      </c>
    </row>
    <row r="1048">
      <c r="A1048" s="2" t="inlineStr">
        <is>
          <t>2026-03-04</t>
        </is>
      </c>
      <c r="B1048" s="3" t="inlineStr">
        <is>
          <t>디와이덕양</t>
        </is>
      </c>
      <c r="C1048" s="2" t="inlineStr">
        <is>
          <t>코스피</t>
        </is>
      </c>
      <c r="D1048" s="2" t="inlineStr">
        <is>
          <t>024900</t>
        </is>
      </c>
      <c r="E1048" s="3" t="inlineStr">
        <is>
          <t xml:space="preserve">주주총회소집결의              </t>
        </is>
      </c>
      <c r="F1048" s="3" t="inlineStr">
        <is>
          <t>디와이덕양</t>
        </is>
      </c>
      <c r="G1048" s="2" t="inlineStr">
        <is>
          <t>20260304800714</t>
        </is>
      </c>
      <c r="H1048" s="8">
        <f>HYPERLINK("https://dart.fss.or.kr/dsaf001/main.do?rcpNo=20260304800714", "공시열람")</f>
        <v/>
      </c>
    </row>
    <row r="1049">
      <c r="A1049" s="2" t="inlineStr">
        <is>
          <t>2026-03-04</t>
        </is>
      </c>
      <c r="B1049" s="3" t="inlineStr">
        <is>
          <t>롯데웰푸드</t>
        </is>
      </c>
      <c r="C1049" s="2" t="inlineStr">
        <is>
          <t>코스피</t>
        </is>
      </c>
      <c r="D1049" s="2" t="inlineStr">
        <is>
          <t>280360</t>
        </is>
      </c>
      <c r="E1049" s="3" t="inlineStr">
        <is>
          <t xml:space="preserve">주주총회소집결의              </t>
        </is>
      </c>
      <c r="F1049" s="3" t="inlineStr">
        <is>
          <t>롯데웰푸드</t>
        </is>
      </c>
      <c r="G1049" s="2" t="inlineStr">
        <is>
          <t>20260304800725</t>
        </is>
      </c>
      <c r="H1049" s="8">
        <f>HYPERLINK("https://dart.fss.or.kr/dsaf001/main.do?rcpNo=20260304800725", "공시열람")</f>
        <v/>
      </c>
    </row>
    <row r="1050">
      <c r="A1050" s="2" t="inlineStr">
        <is>
          <t>2026-03-04</t>
        </is>
      </c>
      <c r="B1050" s="3" t="inlineStr">
        <is>
          <t>피엔티</t>
        </is>
      </c>
      <c r="C1050" s="2" t="inlineStr">
        <is>
          <t>코스닥</t>
        </is>
      </c>
      <c r="D1050" s="2" t="inlineStr">
        <is>
          <t>137400</t>
        </is>
      </c>
      <c r="E1050" s="3" t="inlineStr">
        <is>
          <t>주주총회소집공고</t>
        </is>
      </c>
      <c r="F1050" s="3" t="inlineStr">
        <is>
          <t>피엔티</t>
        </is>
      </c>
      <c r="G1050" s="2" t="inlineStr">
        <is>
          <t>20260304000810</t>
        </is>
      </c>
      <c r="H1050" s="8">
        <f>HYPERLINK("https://dart.fss.or.kr/dsaf001/main.do?rcpNo=20260304000810", "공시열람")</f>
        <v/>
      </c>
    </row>
    <row r="1051">
      <c r="A1051" s="2" t="inlineStr">
        <is>
          <t>2026-03-04</t>
        </is>
      </c>
      <c r="B1051" s="3" t="inlineStr">
        <is>
          <t>신한제15호스팩</t>
        </is>
      </c>
      <c r="C1051" s="2" t="inlineStr">
        <is>
          <t>코스닥</t>
        </is>
      </c>
      <c r="D1051" s="2" t="inlineStr">
        <is>
          <t>487830</t>
        </is>
      </c>
      <c r="E1051" s="3" t="inlineStr">
        <is>
          <t>주주총회소집공고</t>
        </is>
      </c>
      <c r="F1051" s="3" t="inlineStr">
        <is>
          <t>신한제15호스팩</t>
        </is>
      </c>
      <c r="G1051" s="2" t="inlineStr">
        <is>
          <t>20260304000802</t>
        </is>
      </c>
      <c r="H1051" s="8">
        <f>HYPERLINK("https://dart.fss.or.kr/dsaf001/main.do?rcpNo=20260304000802", "공시열람")</f>
        <v/>
      </c>
    </row>
    <row r="1052">
      <c r="A1052" s="2" t="inlineStr">
        <is>
          <t>2026-03-04</t>
        </is>
      </c>
      <c r="B1052" s="3" t="inlineStr">
        <is>
          <t>피엔티</t>
        </is>
      </c>
      <c r="C1052" s="2" t="inlineStr">
        <is>
          <t>코스닥</t>
        </is>
      </c>
      <c r="D1052" s="2" t="inlineStr">
        <is>
          <t>137400</t>
        </is>
      </c>
      <c r="E1052" s="3" t="inlineStr">
        <is>
          <t xml:space="preserve">주주총회소집결의              </t>
        </is>
      </c>
      <c r="F1052" s="3" t="inlineStr">
        <is>
          <t>피엔티</t>
        </is>
      </c>
      <c r="G1052" s="2" t="inlineStr">
        <is>
          <t>20260304900686</t>
        </is>
      </c>
      <c r="H1052" s="8">
        <f>HYPERLINK("https://dart.fss.or.kr/dsaf001/main.do?rcpNo=20260304900686", "공시열람")</f>
        <v/>
      </c>
    </row>
    <row r="1053">
      <c r="A1053" s="2" t="inlineStr">
        <is>
          <t>2026-03-04</t>
        </is>
      </c>
      <c r="B1053" s="3" t="inlineStr">
        <is>
          <t>신한제16호스팩</t>
        </is>
      </c>
      <c r="C1053" s="2" t="inlineStr">
        <is>
          <t>코스닥</t>
        </is>
      </c>
      <c r="D1053" s="2" t="inlineStr">
        <is>
          <t>496070</t>
        </is>
      </c>
      <c r="E1053" s="3" t="inlineStr">
        <is>
          <t>주주총회소집공고</t>
        </is>
      </c>
      <c r="F1053" s="3" t="inlineStr">
        <is>
          <t>신한제16호스팩</t>
        </is>
      </c>
      <c r="G1053" s="2" t="inlineStr">
        <is>
          <t>20260304000798</t>
        </is>
      </c>
      <c r="H1053" s="8">
        <f>HYPERLINK("https://dart.fss.or.kr/dsaf001/main.do?rcpNo=20260304000798", "공시열람")</f>
        <v/>
      </c>
    </row>
    <row r="1054">
      <c r="A1054" s="2" t="inlineStr">
        <is>
          <t>2026-03-04</t>
        </is>
      </c>
      <c r="B1054" s="3" t="inlineStr">
        <is>
          <t>강남제비스코</t>
        </is>
      </c>
      <c r="C1054" s="2" t="inlineStr">
        <is>
          <t>코스피</t>
        </is>
      </c>
      <c r="D1054" s="2" t="inlineStr">
        <is>
          <t>000860</t>
        </is>
      </c>
      <c r="E1054" s="3" t="inlineStr">
        <is>
          <t xml:space="preserve">주주총회소집결의              </t>
        </is>
      </c>
      <c r="F1054" s="3" t="inlineStr">
        <is>
          <t>강남제비스코</t>
        </is>
      </c>
      <c r="G1054" s="2" t="inlineStr">
        <is>
          <t>20260304800719</t>
        </is>
      </c>
      <c r="H1054" s="8">
        <f>HYPERLINK("https://dart.fss.or.kr/dsaf001/main.do?rcpNo=20260304800719", "공시열람")</f>
        <v/>
      </c>
    </row>
    <row r="1055">
      <c r="A1055" s="2" t="inlineStr">
        <is>
          <t>2026-03-04</t>
        </is>
      </c>
      <c r="B1055" s="3" t="inlineStr">
        <is>
          <t>트루엔</t>
        </is>
      </c>
      <c r="C1055" s="2" t="inlineStr">
        <is>
          <t>코스닥</t>
        </is>
      </c>
      <c r="D1055" s="2" t="inlineStr">
        <is>
          <t>417790</t>
        </is>
      </c>
      <c r="E1055" s="3" t="inlineStr">
        <is>
          <t xml:space="preserve">주주총회소집결의              </t>
        </is>
      </c>
      <c r="F1055" s="3" t="inlineStr">
        <is>
          <t>트루엔</t>
        </is>
      </c>
      <c r="G1055" s="2" t="inlineStr">
        <is>
          <t>20260304900724</t>
        </is>
      </c>
      <c r="H1055" s="8">
        <f>HYPERLINK("https://dart.fss.or.kr/dsaf001/main.do?rcpNo=20260304900724", "공시열람")</f>
        <v/>
      </c>
    </row>
    <row r="1056">
      <c r="A1056" s="2" t="inlineStr">
        <is>
          <t>2026-03-04</t>
        </is>
      </c>
      <c r="B1056" s="3" t="inlineStr">
        <is>
          <t>중앙에너비스</t>
        </is>
      </c>
      <c r="C1056" s="2" t="inlineStr">
        <is>
          <t>코스닥</t>
        </is>
      </c>
      <c r="D1056" s="2" t="inlineStr">
        <is>
          <t>000440</t>
        </is>
      </c>
      <c r="E1056" s="3" t="inlineStr">
        <is>
          <t>주주총회소집공고</t>
        </is>
      </c>
      <c r="F1056" s="3" t="inlineStr">
        <is>
          <t>중앙에너비스</t>
        </is>
      </c>
      <c r="G1056" s="2" t="inlineStr">
        <is>
          <t>20260304000784</t>
        </is>
      </c>
      <c r="H1056" s="8">
        <f>HYPERLINK("https://dart.fss.or.kr/dsaf001/main.do?rcpNo=20260304000784", "공시열람")</f>
        <v/>
      </c>
    </row>
    <row r="1057">
      <c r="A1057" s="2" t="inlineStr">
        <is>
          <t>2026-03-04</t>
        </is>
      </c>
      <c r="B1057" s="3" t="inlineStr">
        <is>
          <t>빅텍</t>
        </is>
      </c>
      <c r="C1057" s="2" t="inlineStr">
        <is>
          <t>코스닥</t>
        </is>
      </c>
      <c r="D1057" s="2" t="inlineStr">
        <is>
          <t>065450</t>
        </is>
      </c>
      <c r="E1057" s="3" t="inlineStr">
        <is>
          <t>주주총회소집공고</t>
        </is>
      </c>
      <c r="F1057" s="3" t="inlineStr">
        <is>
          <t>빅텍</t>
        </is>
      </c>
      <c r="G1057" s="2" t="inlineStr">
        <is>
          <t>20260304000783</t>
        </is>
      </c>
      <c r="H1057" s="8">
        <f>HYPERLINK("https://dart.fss.or.kr/dsaf001/main.do?rcpNo=20260304000783", "공시열람")</f>
        <v/>
      </c>
    </row>
    <row r="1058">
      <c r="A1058" s="2" t="inlineStr">
        <is>
          <t>2026-03-04</t>
        </is>
      </c>
      <c r="B1058" s="3" t="inlineStr">
        <is>
          <t>교보18호스팩</t>
        </is>
      </c>
      <c r="C1058" s="2" t="inlineStr">
        <is>
          <t>코스닥</t>
        </is>
      </c>
      <c r="D1058" s="2" t="inlineStr">
        <is>
          <t>0041B0</t>
        </is>
      </c>
      <c r="E1058" s="3" t="inlineStr">
        <is>
          <t>주주총회소집공고</t>
        </is>
      </c>
      <c r="F1058" s="3" t="inlineStr">
        <is>
          <t>교보18호스팩</t>
        </is>
      </c>
      <c r="G1058" s="2" t="inlineStr">
        <is>
          <t>20260304000781</t>
        </is>
      </c>
      <c r="H1058" s="8">
        <f>HYPERLINK("https://dart.fss.or.kr/dsaf001/main.do?rcpNo=20260304000781", "공시열람")</f>
        <v/>
      </c>
    </row>
    <row r="1059">
      <c r="A1059" s="2" t="inlineStr">
        <is>
          <t>2026-03-04</t>
        </is>
      </c>
      <c r="B1059" s="3" t="inlineStr">
        <is>
          <t>HB테크놀러지</t>
        </is>
      </c>
      <c r="C1059" s="2" t="inlineStr">
        <is>
          <t>코스닥</t>
        </is>
      </c>
      <c r="D1059" s="2" t="inlineStr">
        <is>
          <t>078150</t>
        </is>
      </c>
      <c r="E1059" s="3" t="inlineStr">
        <is>
          <t>주주총회소집공고</t>
        </is>
      </c>
      <c r="F1059" s="3" t="inlineStr">
        <is>
          <t>HB테크놀러지</t>
        </is>
      </c>
      <c r="G1059" s="2" t="inlineStr">
        <is>
          <t>20260304000779</t>
        </is>
      </c>
      <c r="H1059" s="8">
        <f>HYPERLINK("https://dart.fss.or.kr/dsaf001/main.do?rcpNo=20260304000779", "공시열람")</f>
        <v/>
      </c>
    </row>
    <row r="1060">
      <c r="A1060" s="2" t="inlineStr">
        <is>
          <t>2026-03-04</t>
        </is>
      </c>
      <c r="B1060" s="3" t="inlineStr">
        <is>
          <t>중앙에너비스</t>
        </is>
      </c>
      <c r="C1060" s="2" t="inlineStr">
        <is>
          <t>코스닥</t>
        </is>
      </c>
      <c r="D1060" s="2" t="inlineStr">
        <is>
          <t>000440</t>
        </is>
      </c>
      <c r="E1060" s="3" t="inlineStr">
        <is>
          <t xml:space="preserve">주주총회소집결의              </t>
        </is>
      </c>
      <c r="F1060" s="3" t="inlineStr">
        <is>
          <t>중앙에너비스</t>
        </is>
      </c>
      <c r="G1060" s="2" t="inlineStr">
        <is>
          <t>20260304900709</t>
        </is>
      </c>
      <c r="H1060" s="8">
        <f>HYPERLINK("https://dart.fss.or.kr/dsaf001/main.do?rcpNo=20260304900709", "공시열람")</f>
        <v/>
      </c>
    </row>
    <row r="1061">
      <c r="A1061" s="2" t="inlineStr">
        <is>
          <t>2026-03-04</t>
        </is>
      </c>
      <c r="B1061" s="3" t="inlineStr">
        <is>
          <t>하이텍팜</t>
        </is>
      </c>
      <c r="C1061" s="2" t="inlineStr">
        <is>
          <t>코스닥</t>
        </is>
      </c>
      <c r="D1061" s="2" t="inlineStr">
        <is>
          <t>106190</t>
        </is>
      </c>
      <c r="E1061" s="3" t="inlineStr">
        <is>
          <t>주주총회소집공고</t>
        </is>
      </c>
      <c r="F1061" s="3" t="inlineStr">
        <is>
          <t>하이텍팜</t>
        </is>
      </c>
      <c r="G1061" s="2" t="inlineStr">
        <is>
          <t>20260304000769</t>
        </is>
      </c>
      <c r="H1061" s="8">
        <f>HYPERLINK("https://dart.fss.or.kr/dsaf001/main.do?rcpNo=20260304000769", "공시열람")</f>
        <v/>
      </c>
    </row>
    <row r="1062">
      <c r="A1062" s="2" t="inlineStr">
        <is>
          <t>2026-03-04</t>
        </is>
      </c>
      <c r="B1062" s="3" t="inlineStr">
        <is>
          <t>신한제13호스팩</t>
        </is>
      </c>
      <c r="C1062" s="2" t="inlineStr">
        <is>
          <t>코스닥</t>
        </is>
      </c>
      <c r="D1062" s="2" t="inlineStr">
        <is>
          <t>474930</t>
        </is>
      </c>
      <c r="E1062" s="3" t="inlineStr">
        <is>
          <t>주주총회소집공고</t>
        </is>
      </c>
      <c r="F1062" s="3" t="inlineStr">
        <is>
          <t>신한제13호스팩</t>
        </is>
      </c>
      <c r="G1062" s="2" t="inlineStr">
        <is>
          <t>20260304000759</t>
        </is>
      </c>
      <c r="H1062" s="8">
        <f>HYPERLINK("https://dart.fss.or.kr/dsaf001/main.do?rcpNo=20260304000759", "공시열람")</f>
        <v/>
      </c>
    </row>
    <row r="1063">
      <c r="A1063" s="2" t="inlineStr">
        <is>
          <t>2026-03-04</t>
        </is>
      </c>
      <c r="B1063" s="3" t="inlineStr">
        <is>
          <t>환인제약</t>
        </is>
      </c>
      <c r="C1063" s="2" t="inlineStr">
        <is>
          <t>코스피</t>
        </is>
      </c>
      <c r="D1063" s="2" t="inlineStr">
        <is>
          <t>016580</t>
        </is>
      </c>
      <c r="E1063" s="3" t="inlineStr">
        <is>
          <t>주주총회소집공고</t>
        </is>
      </c>
      <c r="F1063" s="3" t="inlineStr">
        <is>
          <t>환인제약</t>
        </is>
      </c>
      <c r="G1063" s="2" t="inlineStr">
        <is>
          <t>20260304000737</t>
        </is>
      </c>
      <c r="H1063" s="8">
        <f>HYPERLINK("https://dart.fss.or.kr/dsaf001/main.do?rcpNo=20260304000737", "공시열람")</f>
        <v/>
      </c>
    </row>
    <row r="1064">
      <c r="A1064" s="2" t="inlineStr">
        <is>
          <t>2026-03-04</t>
        </is>
      </c>
      <c r="B1064" s="3" t="inlineStr">
        <is>
          <t>스틱인베스트먼트</t>
        </is>
      </c>
      <c r="C1064" s="2" t="inlineStr">
        <is>
          <t>코스피</t>
        </is>
      </c>
      <c r="D1064" s="2" t="inlineStr">
        <is>
          <t>026890</t>
        </is>
      </c>
      <c r="E1064" s="3" t="inlineStr">
        <is>
          <t xml:space="preserve">최대주주변경              </t>
        </is>
      </c>
      <c r="F1064" s="3" t="inlineStr">
        <is>
          <t>스틱인베스트먼트</t>
        </is>
      </c>
      <c r="G1064" s="2" t="inlineStr">
        <is>
          <t>20260304800680</t>
        </is>
      </c>
      <c r="H1064" s="8">
        <f>HYPERLINK("https://dart.fss.or.kr/dsaf001/main.do?rcpNo=20260304800680", "공시열람")</f>
        <v/>
      </c>
    </row>
    <row r="1065">
      <c r="A1065" s="2" t="inlineStr">
        <is>
          <t>2026-03-04</t>
        </is>
      </c>
      <c r="B1065" s="3" t="inlineStr">
        <is>
          <t>미스터블루</t>
        </is>
      </c>
      <c r="C1065" s="2" t="inlineStr">
        <is>
          <t>코스닥</t>
        </is>
      </c>
      <c r="D1065" s="2" t="inlineStr">
        <is>
          <t>207760</t>
        </is>
      </c>
      <c r="E1065" s="3" t="inlineStr">
        <is>
          <t>주주총회소집공고</t>
        </is>
      </c>
      <c r="F1065" s="3" t="inlineStr">
        <is>
          <t>미스터블루</t>
        </is>
      </c>
      <c r="G1065" s="2" t="inlineStr">
        <is>
          <t>20260304000714</t>
        </is>
      </c>
      <c r="H1065" s="8">
        <f>HYPERLINK("https://dart.fss.or.kr/dsaf001/main.do?rcpNo=20260304000714", "공시열람")</f>
        <v/>
      </c>
    </row>
    <row r="1066">
      <c r="A1066" s="2" t="inlineStr">
        <is>
          <t>2026-03-04</t>
        </is>
      </c>
      <c r="B1066" s="3" t="inlineStr">
        <is>
          <t>일진하이솔루스</t>
        </is>
      </c>
      <c r="C1066" s="2" t="inlineStr">
        <is>
          <t>코스피</t>
        </is>
      </c>
      <c r="D1066" s="2" t="inlineStr">
        <is>
          <t>271940</t>
        </is>
      </c>
      <c r="E1066" s="3" t="inlineStr">
        <is>
          <t>주주총회소집공고</t>
        </is>
      </c>
      <c r="F1066" s="3" t="inlineStr">
        <is>
          <t>일진하이솔루스</t>
        </is>
      </c>
      <c r="G1066" s="2" t="inlineStr">
        <is>
          <t>20260304000708</t>
        </is>
      </c>
      <c r="H1066" s="8">
        <f>HYPERLINK("https://dart.fss.or.kr/dsaf001/main.do?rcpNo=20260304000708", "공시열람")</f>
        <v/>
      </c>
    </row>
    <row r="1067">
      <c r="A1067" s="2" t="inlineStr">
        <is>
          <t>2026-03-04</t>
        </is>
      </c>
      <c r="B1067" s="3" t="inlineStr">
        <is>
          <t>일진홀딩스</t>
        </is>
      </c>
      <c r="C1067" s="2" t="inlineStr">
        <is>
          <t>코스피</t>
        </is>
      </c>
      <c r="D1067" s="2" t="inlineStr">
        <is>
          <t>015860</t>
        </is>
      </c>
      <c r="E1067" s="3" t="inlineStr">
        <is>
          <t>주주총회소집공고</t>
        </is>
      </c>
      <c r="F1067" s="3" t="inlineStr">
        <is>
          <t>일진홀딩스</t>
        </is>
      </c>
      <c r="G1067" s="2" t="inlineStr">
        <is>
          <t>20260304000706</t>
        </is>
      </c>
      <c r="H1067" s="8">
        <f>HYPERLINK("https://dart.fss.or.kr/dsaf001/main.do?rcpNo=20260304000706", "공시열람")</f>
        <v/>
      </c>
    </row>
    <row r="1068">
      <c r="A1068" s="2" t="inlineStr">
        <is>
          <t>2026-03-04 (정정: 2026-03-10)</t>
        </is>
      </c>
      <c r="B1068" s="3" t="inlineStr">
        <is>
          <t>에스오에스랩</t>
        </is>
      </c>
      <c r="C1068" s="2" t="inlineStr">
        <is>
          <t>코스닥</t>
        </is>
      </c>
      <c r="D1068" s="2" t="inlineStr">
        <is>
          <t>464080</t>
        </is>
      </c>
      <c r="E1068" s="3" t="inlineStr">
        <is>
          <t>주주총회소집결의               (정정: 20260310)</t>
        </is>
      </c>
      <c r="F1068" s="3" t="inlineStr">
        <is>
          <t>에스오에스랩</t>
        </is>
      </c>
      <c r="G1068" s="2" t="inlineStr">
        <is>
          <t>20260310900715</t>
        </is>
      </c>
      <c r="H1068" s="8">
        <f>HYPERLINK("https://dart.fss.or.kr/dsaf001/main.do?rcpNo=20260310900715", "공시열람")</f>
        <v/>
      </c>
    </row>
    <row r="1069">
      <c r="A1069" s="2" t="inlineStr">
        <is>
          <t>2026-03-04</t>
        </is>
      </c>
      <c r="B1069" s="3" t="inlineStr">
        <is>
          <t>키움히어로제1호스팩</t>
        </is>
      </c>
      <c r="C1069" s="2" t="inlineStr">
        <is>
          <t>코스닥</t>
        </is>
      </c>
      <c r="D1069" s="2" t="inlineStr">
        <is>
          <t>466690</t>
        </is>
      </c>
      <c r="E1069" s="3" t="inlineStr">
        <is>
          <t>주주총회소집공고</t>
        </is>
      </c>
      <c r="F1069" s="3" t="inlineStr">
        <is>
          <t>키움히어로제1호스팩</t>
        </is>
      </c>
      <c r="G1069" s="2" t="inlineStr">
        <is>
          <t>20260304000679</t>
        </is>
      </c>
      <c r="H1069" s="8">
        <f>HYPERLINK("https://dart.fss.or.kr/dsaf001/main.do?rcpNo=20260304000679", "공시열람")</f>
        <v/>
      </c>
    </row>
    <row r="1070">
      <c r="A1070" s="2" t="inlineStr">
        <is>
          <t>2026-03-04</t>
        </is>
      </c>
      <c r="B1070" s="3" t="inlineStr">
        <is>
          <t>일진홀딩스</t>
        </is>
      </c>
      <c r="C1070" s="2" t="inlineStr">
        <is>
          <t>코스피</t>
        </is>
      </c>
      <c r="D1070" s="2" t="inlineStr">
        <is>
          <t>015860</t>
        </is>
      </c>
      <c r="E1070" s="3" t="inlineStr">
        <is>
          <t xml:space="preserve">주주총회소집결의              </t>
        </is>
      </c>
      <c r="F1070" s="3" t="inlineStr">
        <is>
          <t>일진홀딩스</t>
        </is>
      </c>
      <c r="G1070" s="2" t="inlineStr">
        <is>
          <t>20260304800638</t>
        </is>
      </c>
      <c r="H1070" s="8">
        <f>HYPERLINK("https://dart.fss.or.kr/dsaf001/main.do?rcpNo=20260304800638", "공시열람")</f>
        <v/>
      </c>
    </row>
    <row r="1071">
      <c r="A1071" s="2" t="inlineStr">
        <is>
          <t>2026-03-04</t>
        </is>
      </c>
      <c r="B1071" s="3" t="inlineStr">
        <is>
          <t>오가닉티코스메틱</t>
        </is>
      </c>
      <c r="C1071" s="2" t="inlineStr">
        <is>
          <t>코스닥</t>
        </is>
      </c>
      <c r="D1071" s="2" t="inlineStr">
        <is>
          <t>900300</t>
        </is>
      </c>
      <c r="E1071" s="3" t="inlineStr">
        <is>
          <t>주주총회소집공고</t>
        </is>
      </c>
      <c r="F1071" s="3" t="inlineStr">
        <is>
          <t>오가닉티코스메틱</t>
        </is>
      </c>
      <c r="G1071" s="2" t="inlineStr">
        <is>
          <t>20260304000652</t>
        </is>
      </c>
      <c r="H1071" s="8">
        <f>HYPERLINK("https://dart.fss.or.kr/dsaf001/main.do?rcpNo=20260304000652", "공시열람")</f>
        <v/>
      </c>
    </row>
    <row r="1072">
      <c r="A1072" s="2" t="inlineStr">
        <is>
          <t>2026-03-04</t>
        </is>
      </c>
      <c r="B1072" s="3" t="inlineStr">
        <is>
          <t>네이블</t>
        </is>
      </c>
      <c r="C1072" s="2" t="inlineStr">
        <is>
          <t>코스닥</t>
        </is>
      </c>
      <c r="D1072" s="2" t="inlineStr">
        <is>
          <t>153460</t>
        </is>
      </c>
      <c r="E1072" s="3" t="inlineStr">
        <is>
          <t>주주총회소집공고</t>
        </is>
      </c>
      <c r="F1072" s="3" t="inlineStr">
        <is>
          <t>네이블</t>
        </is>
      </c>
      <c r="G1072" s="2" t="inlineStr">
        <is>
          <t>20260304000650</t>
        </is>
      </c>
      <c r="H1072" s="8">
        <f>HYPERLINK("https://dart.fss.or.kr/dsaf001/main.do?rcpNo=20260304000650", "공시열람")</f>
        <v/>
      </c>
    </row>
    <row r="1073">
      <c r="A1073" s="2" t="inlineStr">
        <is>
          <t>2026-03-04</t>
        </is>
      </c>
      <c r="B1073" s="3" t="inlineStr">
        <is>
          <t>네이블</t>
        </is>
      </c>
      <c r="C1073" s="2" t="inlineStr">
        <is>
          <t>코스닥</t>
        </is>
      </c>
      <c r="D1073" s="2" t="inlineStr">
        <is>
          <t>153460</t>
        </is>
      </c>
      <c r="E1073" s="3" t="inlineStr">
        <is>
          <t xml:space="preserve">주주총회소집결의              </t>
        </is>
      </c>
      <c r="F1073" s="3" t="inlineStr">
        <is>
          <t>네이블</t>
        </is>
      </c>
      <c r="G1073" s="2" t="inlineStr">
        <is>
          <t>20260304900618</t>
        </is>
      </c>
      <c r="H1073" s="8">
        <f>HYPERLINK("https://dart.fss.or.kr/dsaf001/main.do?rcpNo=20260304900618", "공시열람")</f>
        <v/>
      </c>
    </row>
    <row r="1074">
      <c r="A1074" s="2" t="inlineStr">
        <is>
          <t>2026-03-04</t>
        </is>
      </c>
      <c r="B1074" s="3" t="inlineStr">
        <is>
          <t>엔에이치스팩32호</t>
        </is>
      </c>
      <c r="C1074" s="2" t="inlineStr">
        <is>
          <t>코스닥</t>
        </is>
      </c>
      <c r="D1074" s="2" t="inlineStr">
        <is>
          <t>0054V0</t>
        </is>
      </c>
      <c r="E1074" s="3" t="inlineStr">
        <is>
          <t>주주총회소집공고</t>
        </is>
      </c>
      <c r="F1074" s="3" t="inlineStr">
        <is>
          <t>엔에이치스팩32호</t>
        </is>
      </c>
      <c r="G1074" s="2" t="inlineStr">
        <is>
          <t>20260304000629</t>
        </is>
      </c>
      <c r="H1074" s="8">
        <f>HYPERLINK("https://dart.fss.or.kr/dsaf001/main.do?rcpNo=20260304000629", "공시열람")</f>
        <v/>
      </c>
    </row>
    <row r="1075">
      <c r="A1075" s="2" t="inlineStr">
        <is>
          <t>2026-03-04</t>
        </is>
      </c>
      <c r="B1075" s="3" t="inlineStr">
        <is>
          <t>삼현철강</t>
        </is>
      </c>
      <c r="C1075" s="2" t="inlineStr">
        <is>
          <t>코스닥</t>
        </is>
      </c>
      <c r="D1075" s="2" t="inlineStr">
        <is>
          <t>017480</t>
        </is>
      </c>
      <c r="E1075" s="3" t="inlineStr">
        <is>
          <t>주주총회소집공고</t>
        </is>
      </c>
      <c r="F1075" s="3" t="inlineStr">
        <is>
          <t>삼현철강</t>
        </is>
      </c>
      <c r="G1075" s="2" t="inlineStr">
        <is>
          <t>20260304000624</t>
        </is>
      </c>
      <c r="H1075" s="8">
        <f>HYPERLINK("https://dart.fss.or.kr/dsaf001/main.do?rcpNo=20260304000624", "공시열람")</f>
        <v/>
      </c>
    </row>
    <row r="1076">
      <c r="A1076" s="2" t="inlineStr">
        <is>
          <t>2026-03-04</t>
        </is>
      </c>
      <c r="B1076" s="3" t="inlineStr">
        <is>
          <t>케이사인</t>
        </is>
      </c>
      <c r="C1076" s="2" t="inlineStr">
        <is>
          <t>코스닥</t>
        </is>
      </c>
      <c r="D1076" s="2" t="inlineStr">
        <is>
          <t>192250</t>
        </is>
      </c>
      <c r="E1076" s="3" t="inlineStr">
        <is>
          <t>주주총회소집공고</t>
        </is>
      </c>
      <c r="F1076" s="3" t="inlineStr">
        <is>
          <t>케이사인</t>
        </is>
      </c>
      <c r="G1076" s="2" t="inlineStr">
        <is>
          <t>20260304000611</t>
        </is>
      </c>
      <c r="H1076" s="8">
        <f>HYPERLINK("https://dart.fss.or.kr/dsaf001/main.do?rcpNo=20260304000611", "공시열람")</f>
        <v/>
      </c>
    </row>
    <row r="1077">
      <c r="A1077" s="2" t="inlineStr">
        <is>
          <t>2026-03-04</t>
        </is>
      </c>
      <c r="B1077" s="3" t="inlineStr">
        <is>
          <t>우진</t>
        </is>
      </c>
      <c r="C1077" s="2" t="inlineStr">
        <is>
          <t>코스피</t>
        </is>
      </c>
      <c r="D1077" s="2" t="inlineStr">
        <is>
          <t>105840</t>
        </is>
      </c>
      <c r="E1077" s="3" t="inlineStr">
        <is>
          <t>주주총회소집공고</t>
        </is>
      </c>
      <c r="F1077" s="3" t="inlineStr">
        <is>
          <t>우진</t>
        </is>
      </c>
      <c r="G1077" s="2" t="inlineStr">
        <is>
          <t>20260304000543</t>
        </is>
      </c>
      <c r="H1077" s="8">
        <f>HYPERLINK("https://dart.fss.or.kr/dsaf001/main.do?rcpNo=20260304000543", "공시열람")</f>
        <v/>
      </c>
    </row>
    <row r="1078">
      <c r="A1078" s="2" t="inlineStr">
        <is>
          <t>2026-03-04</t>
        </is>
      </c>
      <c r="B1078" s="3" t="inlineStr">
        <is>
          <t>피델릭스</t>
        </is>
      </c>
      <c r="C1078" s="2" t="inlineStr">
        <is>
          <t>코스닥</t>
        </is>
      </c>
      <c r="D1078" s="2" t="inlineStr">
        <is>
          <t>032580</t>
        </is>
      </c>
      <c r="E1078" s="3" t="inlineStr">
        <is>
          <t>주주총회소집공고</t>
        </is>
      </c>
      <c r="F1078" s="3" t="inlineStr">
        <is>
          <t>피델릭스</t>
        </is>
      </c>
      <c r="G1078" s="2" t="inlineStr">
        <is>
          <t>20260304000535</t>
        </is>
      </c>
      <c r="H1078" s="8">
        <f>HYPERLINK("https://dart.fss.or.kr/dsaf001/main.do?rcpNo=20260304000535", "공시열람")</f>
        <v/>
      </c>
    </row>
    <row r="1079">
      <c r="A1079" s="2" t="inlineStr">
        <is>
          <t>2026-03-04</t>
        </is>
      </c>
      <c r="B1079" s="3" t="inlineStr">
        <is>
          <t>세우글로벌</t>
        </is>
      </c>
      <c r="C1079" s="2" t="inlineStr">
        <is>
          <t>코스피</t>
        </is>
      </c>
      <c r="D1079" s="2" t="inlineStr">
        <is>
          <t>013000</t>
        </is>
      </c>
      <c r="E1079" s="3" t="inlineStr">
        <is>
          <t xml:space="preserve">주주총회소집결의              </t>
        </is>
      </c>
      <c r="F1079" s="3" t="inlineStr">
        <is>
          <t>세우글로벌</t>
        </is>
      </c>
      <c r="G1079" s="2" t="inlineStr">
        <is>
          <t>20260304800454</t>
        </is>
      </c>
      <c r="H1079" s="8">
        <f>HYPERLINK("https://dart.fss.or.kr/dsaf001/main.do?rcpNo=20260304800454", "공시열람")</f>
        <v/>
      </c>
    </row>
    <row r="1080">
      <c r="A1080" s="2" t="inlineStr">
        <is>
          <t>2026-03-04</t>
        </is>
      </c>
      <c r="B1080" s="3" t="inlineStr">
        <is>
          <t>일진하이솔루스</t>
        </is>
      </c>
      <c r="C1080" s="2" t="inlineStr">
        <is>
          <t>코스피</t>
        </is>
      </c>
      <c r="D1080" s="2" t="inlineStr">
        <is>
          <t>271940</t>
        </is>
      </c>
      <c r="E1080" s="3" t="inlineStr">
        <is>
          <t xml:space="preserve">주주총회소집결의              </t>
        </is>
      </c>
      <c r="F1080" s="3" t="inlineStr">
        <is>
          <t>일진하이솔루스</t>
        </is>
      </c>
      <c r="G1080" s="2" t="inlineStr">
        <is>
          <t>20260304800449</t>
        </is>
      </c>
      <c r="H1080" s="8">
        <f>HYPERLINK("https://dart.fss.or.kr/dsaf001/main.do?rcpNo=20260304800449", "공시열람")</f>
        <v/>
      </c>
    </row>
    <row r="1081">
      <c r="A1081" s="2" t="inlineStr">
        <is>
          <t>2026-03-04</t>
        </is>
      </c>
      <c r="B1081" s="3" t="inlineStr">
        <is>
          <t>SAMG엔터</t>
        </is>
      </c>
      <c r="C1081" s="2" t="inlineStr">
        <is>
          <t>코스닥</t>
        </is>
      </c>
      <c r="D1081" s="2" t="inlineStr">
        <is>
          <t>419530</t>
        </is>
      </c>
      <c r="E1081" s="3" t="inlineStr">
        <is>
          <t xml:space="preserve">[기재정정]주주총회소집결의              </t>
        </is>
      </c>
      <c r="F1081" s="3" t="inlineStr">
        <is>
          <t>SAMG엔터</t>
        </is>
      </c>
      <c r="G1081" s="2" t="inlineStr">
        <is>
          <t>20260304900448</t>
        </is>
      </c>
      <c r="H1081" s="8">
        <f>HYPERLINK("https://dart.fss.or.kr/dsaf001/main.do?rcpNo=20260304900448", "공시열람")</f>
        <v/>
      </c>
    </row>
    <row r="1082">
      <c r="A1082" s="2" t="inlineStr">
        <is>
          <t>2026-03-04</t>
        </is>
      </c>
      <c r="B1082" s="3" t="inlineStr">
        <is>
          <t>GS피앤엘</t>
        </is>
      </c>
      <c r="C1082" s="2" t="inlineStr">
        <is>
          <t>코스피</t>
        </is>
      </c>
      <c r="D1082" s="2" t="inlineStr">
        <is>
          <t>499790</t>
        </is>
      </c>
      <c r="E1082" s="3" t="inlineStr">
        <is>
          <t>주주총회소집공고</t>
        </is>
      </c>
      <c r="F1082" s="3" t="inlineStr">
        <is>
          <t>GS피앤엘</t>
        </is>
      </c>
      <c r="G1082" s="2" t="inlineStr">
        <is>
          <t>20260304000469</t>
        </is>
      </c>
      <c r="H1082" s="8">
        <f>HYPERLINK("https://dart.fss.or.kr/dsaf001/main.do?rcpNo=20260304000469", "공시열람")</f>
        <v/>
      </c>
    </row>
    <row r="1083">
      <c r="A1083" s="2" t="inlineStr">
        <is>
          <t>2026-03-04</t>
        </is>
      </c>
      <c r="B1083" s="3" t="inlineStr">
        <is>
          <t>화신정공</t>
        </is>
      </c>
      <c r="C1083" s="2" t="inlineStr">
        <is>
          <t>코스닥</t>
        </is>
      </c>
      <c r="D1083" s="2" t="inlineStr">
        <is>
          <t>126640</t>
        </is>
      </c>
      <c r="E1083" s="3" t="inlineStr">
        <is>
          <t xml:space="preserve">주주총회소집결의              </t>
        </is>
      </c>
      <c r="F1083" s="3" t="inlineStr">
        <is>
          <t>화신정공</t>
        </is>
      </c>
      <c r="G1083" s="2" t="inlineStr">
        <is>
          <t>20260304900425</t>
        </is>
      </c>
      <c r="H1083" s="8">
        <f>HYPERLINK("https://dart.fss.or.kr/dsaf001/main.do?rcpNo=20260304900425", "공시열람")</f>
        <v/>
      </c>
    </row>
    <row r="1084">
      <c r="A1084" s="2" t="inlineStr">
        <is>
          <t>2026-03-04</t>
        </is>
      </c>
      <c r="B1084" s="3" t="inlineStr">
        <is>
          <t>GS피앤엘</t>
        </is>
      </c>
      <c r="C1084" s="2" t="inlineStr">
        <is>
          <t>코스피</t>
        </is>
      </c>
      <c r="D1084" s="2" t="inlineStr">
        <is>
          <t>499790</t>
        </is>
      </c>
      <c r="E1084" s="3" t="inlineStr">
        <is>
          <t xml:space="preserve">주주총회소집결의              </t>
        </is>
      </c>
      <c r="F1084" s="3" t="inlineStr">
        <is>
          <t>GS피앤엘</t>
        </is>
      </c>
      <c r="G1084" s="2" t="inlineStr">
        <is>
          <t>20260304800420</t>
        </is>
      </c>
      <c r="H1084" s="8">
        <f>HYPERLINK("https://dart.fss.or.kr/dsaf001/main.do?rcpNo=20260304800420", "공시열람")</f>
        <v/>
      </c>
    </row>
    <row r="1085">
      <c r="A1085" s="2" t="inlineStr">
        <is>
          <t>2026-03-04</t>
        </is>
      </c>
      <c r="B1085" s="3" t="inlineStr">
        <is>
          <t>디씨엠</t>
        </is>
      </c>
      <c r="C1085" s="2" t="inlineStr">
        <is>
          <t>코스피</t>
        </is>
      </c>
      <c r="D1085" s="2" t="inlineStr">
        <is>
          <t>024090</t>
        </is>
      </c>
      <c r="E1085" s="3" t="inlineStr">
        <is>
          <t>주주총회소집공고</t>
        </is>
      </c>
      <c r="F1085" s="3" t="inlineStr">
        <is>
          <t>디씨엠</t>
        </is>
      </c>
      <c r="G1085" s="2" t="inlineStr">
        <is>
          <t>20260304000441</t>
        </is>
      </c>
      <c r="H1085" s="8">
        <f>HYPERLINK("https://dart.fss.or.kr/dsaf001/main.do?rcpNo=20260304000441", "공시열람")</f>
        <v/>
      </c>
    </row>
    <row r="1086">
      <c r="A1086" s="2" t="inlineStr">
        <is>
          <t>2026-03-04</t>
        </is>
      </c>
      <c r="B1086" s="3" t="inlineStr">
        <is>
          <t>우진엔텍</t>
        </is>
      </c>
      <c r="C1086" s="2" t="inlineStr">
        <is>
          <t>코스닥</t>
        </is>
      </c>
      <c r="D1086" s="2" t="inlineStr">
        <is>
          <t>457550</t>
        </is>
      </c>
      <c r="E1086" s="3" t="inlineStr">
        <is>
          <t>주주총회소집공고</t>
        </is>
      </c>
      <c r="F1086" s="3" t="inlineStr">
        <is>
          <t>우진엔텍</t>
        </is>
      </c>
      <c r="G1086" s="2" t="inlineStr">
        <is>
          <t>20260304000372</t>
        </is>
      </c>
      <c r="H1086" s="8">
        <f>HYPERLINK("https://dart.fss.or.kr/dsaf001/main.do?rcpNo=20260304000372", "공시열람")</f>
        <v/>
      </c>
    </row>
    <row r="1087">
      <c r="A1087" s="2" t="inlineStr">
        <is>
          <t>2026-03-04</t>
        </is>
      </c>
      <c r="B1087" s="3" t="inlineStr">
        <is>
          <t>유니테크노</t>
        </is>
      </c>
      <c r="C1087" s="2" t="inlineStr">
        <is>
          <t>코스닥</t>
        </is>
      </c>
      <c r="D1087" s="2" t="inlineStr">
        <is>
          <t>241690</t>
        </is>
      </c>
      <c r="E1087" s="3" t="inlineStr">
        <is>
          <t xml:space="preserve">주주총회소집결의              </t>
        </is>
      </c>
      <c r="F1087" s="3" t="inlineStr">
        <is>
          <t>유니테크노</t>
        </is>
      </c>
      <c r="G1087" s="2" t="inlineStr">
        <is>
          <t>20260304900350</t>
        </is>
      </c>
      <c r="H1087" s="8">
        <f>HYPERLINK("https://dart.fss.or.kr/dsaf001/main.do?rcpNo=20260304900350", "공시열람")</f>
        <v/>
      </c>
    </row>
    <row r="1088">
      <c r="A1088" s="2" t="inlineStr">
        <is>
          <t>2026-03-04</t>
        </is>
      </c>
      <c r="B1088" s="3" t="inlineStr">
        <is>
          <t>오픈놀</t>
        </is>
      </c>
      <c r="C1088" s="2" t="inlineStr">
        <is>
          <t>코스닥</t>
        </is>
      </c>
      <c r="D1088" s="2" t="inlineStr">
        <is>
          <t>440320</t>
        </is>
      </c>
      <c r="E1088" s="3" t="inlineStr">
        <is>
          <t xml:space="preserve">주주총회집중일개최사유신고              </t>
        </is>
      </c>
      <c r="F1088" s="3" t="inlineStr">
        <is>
          <t>오픈놀</t>
        </is>
      </c>
      <c r="G1088" s="2" t="inlineStr">
        <is>
          <t>20260304900360</t>
        </is>
      </c>
      <c r="H1088" s="8">
        <f>HYPERLINK("https://dart.fss.or.kr/dsaf001/main.do?rcpNo=20260304900360", "공시열람")</f>
        <v/>
      </c>
    </row>
    <row r="1089">
      <c r="A1089" s="2" t="inlineStr">
        <is>
          <t>2026-03-04</t>
        </is>
      </c>
      <c r="B1089" s="3" t="inlineStr">
        <is>
          <t>테크윙</t>
        </is>
      </c>
      <c r="C1089" s="2" t="inlineStr">
        <is>
          <t>코스닥</t>
        </is>
      </c>
      <c r="D1089" s="2" t="inlineStr">
        <is>
          <t>089030</t>
        </is>
      </c>
      <c r="E1089" s="3" t="inlineStr">
        <is>
          <t>주주총회소집공고</t>
        </is>
      </c>
      <c r="F1089" s="3" t="inlineStr">
        <is>
          <t>테크윙</t>
        </is>
      </c>
      <c r="G1089" s="2" t="inlineStr">
        <is>
          <t>20260304000354</t>
        </is>
      </c>
      <c r="H1089" s="8">
        <f>HYPERLINK("https://dart.fss.or.kr/dsaf001/main.do?rcpNo=20260304000354", "공시열람")</f>
        <v/>
      </c>
    </row>
    <row r="1090">
      <c r="A1090" s="2" t="inlineStr">
        <is>
          <t>2026-03-04</t>
        </is>
      </c>
      <c r="B1090" s="3" t="inlineStr">
        <is>
          <t>일진전기</t>
        </is>
      </c>
      <c r="C1090" s="2" t="inlineStr">
        <is>
          <t>코스피</t>
        </is>
      </c>
      <c r="D1090" s="2" t="inlineStr">
        <is>
          <t>103590</t>
        </is>
      </c>
      <c r="E1090" s="3" t="inlineStr">
        <is>
          <t>주주총회소집공고</t>
        </is>
      </c>
      <c r="F1090" s="3" t="inlineStr">
        <is>
          <t>일진전기</t>
        </is>
      </c>
      <c r="G1090" s="2" t="inlineStr">
        <is>
          <t>20260304000350</t>
        </is>
      </c>
      <c r="H1090" s="8">
        <f>HYPERLINK("https://dart.fss.or.kr/dsaf001/main.do?rcpNo=20260304000350", "공시열람")</f>
        <v/>
      </c>
    </row>
    <row r="1091">
      <c r="A1091" s="2" t="inlineStr">
        <is>
          <t>2026-03-04</t>
        </is>
      </c>
      <c r="B1091" s="3" t="inlineStr">
        <is>
          <t>오픈놀</t>
        </is>
      </c>
      <c r="C1091" s="2" t="inlineStr">
        <is>
          <t>코스닥</t>
        </is>
      </c>
      <c r="D1091" s="2" t="inlineStr">
        <is>
          <t>440320</t>
        </is>
      </c>
      <c r="E1091" s="3" t="inlineStr">
        <is>
          <t xml:space="preserve">주주총회소집결의              </t>
        </is>
      </c>
      <c r="F1091" s="3" t="inlineStr">
        <is>
          <t>오픈놀</t>
        </is>
      </c>
      <c r="G1091" s="2" t="inlineStr">
        <is>
          <t>20260304900352</t>
        </is>
      </c>
      <c r="H1091" s="8">
        <f>HYPERLINK("https://dart.fss.or.kr/dsaf001/main.do?rcpNo=20260304900352", "공시열람")</f>
        <v/>
      </c>
    </row>
    <row r="1092">
      <c r="A1092" s="2" t="inlineStr">
        <is>
          <t>2026-03-04</t>
        </is>
      </c>
      <c r="B1092" s="3" t="inlineStr">
        <is>
          <t>일진전기</t>
        </is>
      </c>
      <c r="C1092" s="2" t="inlineStr">
        <is>
          <t>코스피</t>
        </is>
      </c>
      <c r="D1092" s="2" t="inlineStr">
        <is>
          <t>103590</t>
        </is>
      </c>
      <c r="E1092" s="3" t="inlineStr">
        <is>
          <t xml:space="preserve">주주총회소집결의              </t>
        </is>
      </c>
      <c r="F1092" s="3" t="inlineStr">
        <is>
          <t>일진전기</t>
        </is>
      </c>
      <c r="G1092" s="2" t="inlineStr">
        <is>
          <t>20260304800334</t>
        </is>
      </c>
      <c r="H1092" s="8">
        <f>HYPERLINK("https://dart.fss.or.kr/dsaf001/main.do?rcpNo=20260304800334", "공시열람")</f>
        <v/>
      </c>
    </row>
    <row r="1093">
      <c r="A1093" s="2" t="inlineStr">
        <is>
          <t>2026-03-04</t>
        </is>
      </c>
      <c r="B1093" s="3" t="inlineStr">
        <is>
          <t>화신</t>
        </is>
      </c>
      <c r="C1093" s="2" t="inlineStr">
        <is>
          <t>코스피</t>
        </is>
      </c>
      <c r="D1093" s="2" t="inlineStr">
        <is>
          <t>010690</t>
        </is>
      </c>
      <c r="E1093" s="3" t="inlineStr">
        <is>
          <t xml:space="preserve">주주총회소집결의              </t>
        </is>
      </c>
      <c r="F1093" s="3" t="inlineStr">
        <is>
          <t>화신</t>
        </is>
      </c>
      <c r="G1093" s="2" t="inlineStr">
        <is>
          <t>20260304800309</t>
        </is>
      </c>
      <c r="H1093" s="8">
        <f>HYPERLINK("https://dart.fss.or.kr/dsaf001/main.do?rcpNo=20260304800309", "공시열람")</f>
        <v/>
      </c>
    </row>
    <row r="1094">
      <c r="A1094" s="2" t="inlineStr">
        <is>
          <t>2026-03-04</t>
        </is>
      </c>
      <c r="B1094" s="3" t="inlineStr">
        <is>
          <t>미래에셋비전스팩10호</t>
        </is>
      </c>
      <c r="C1094" s="2" t="inlineStr">
        <is>
          <t>코스닥</t>
        </is>
      </c>
      <c r="D1094" s="2" t="inlineStr">
        <is>
          <t>0097F0</t>
        </is>
      </c>
      <c r="E1094" s="3" t="inlineStr">
        <is>
          <t>주주총회소집공고</t>
        </is>
      </c>
      <c r="F1094" s="3" t="inlineStr">
        <is>
          <t>미래에셋비전스팩10호</t>
        </is>
      </c>
      <c r="G1094" s="2" t="inlineStr">
        <is>
          <t>20260304000325</t>
        </is>
      </c>
      <c r="H1094" s="8">
        <f>HYPERLINK("https://dart.fss.or.kr/dsaf001/main.do?rcpNo=20260304000325", "공시열람")</f>
        <v/>
      </c>
    </row>
    <row r="1095">
      <c r="A1095" s="2" t="inlineStr">
        <is>
          <t>2026-03-04</t>
        </is>
      </c>
      <c r="B1095" s="3" t="inlineStr">
        <is>
          <t>AP위성</t>
        </is>
      </c>
      <c r="C1095" s="2" t="inlineStr">
        <is>
          <t>코스닥</t>
        </is>
      </c>
      <c r="D1095" s="2" t="inlineStr">
        <is>
          <t>211270</t>
        </is>
      </c>
      <c r="E1095" s="3" t="inlineStr">
        <is>
          <t>[기재정정]주주총회소집공고</t>
        </is>
      </c>
      <c r="F1095" s="3" t="inlineStr">
        <is>
          <t>AP위성</t>
        </is>
      </c>
      <c r="G1095" s="2" t="inlineStr">
        <is>
          <t>20260304000323</t>
        </is>
      </c>
      <c r="H1095" s="8">
        <f>HYPERLINK("https://dart.fss.or.kr/dsaf001/main.do?rcpNo=20260304000323", "공시열람")</f>
        <v/>
      </c>
    </row>
    <row r="1096">
      <c r="A1096" s="2" t="inlineStr">
        <is>
          <t>2026-03-04</t>
        </is>
      </c>
      <c r="B1096" s="3" t="inlineStr">
        <is>
          <t>유니드</t>
        </is>
      </c>
      <c r="C1096" s="2" t="inlineStr">
        <is>
          <t>코스피</t>
        </is>
      </c>
      <c r="D1096" s="2" t="inlineStr">
        <is>
          <t>014830</t>
        </is>
      </c>
      <c r="E1096" s="3" t="inlineStr">
        <is>
          <t>주주총회소집공고</t>
        </is>
      </c>
      <c r="F1096" s="3" t="inlineStr">
        <is>
          <t>유니드</t>
        </is>
      </c>
      <c r="G1096" s="2" t="inlineStr">
        <is>
          <t>20260304000321</t>
        </is>
      </c>
      <c r="H1096" s="8">
        <f>HYPERLINK("https://dart.fss.or.kr/dsaf001/main.do?rcpNo=20260304000321", "공시열람")</f>
        <v/>
      </c>
    </row>
    <row r="1097">
      <c r="A1097" s="2" t="inlineStr">
        <is>
          <t>2026-03-04</t>
        </is>
      </c>
      <c r="B1097" s="3" t="inlineStr">
        <is>
          <t>삼성스팩11호</t>
        </is>
      </c>
      <c r="C1097" s="2" t="inlineStr">
        <is>
          <t>코스닥</t>
        </is>
      </c>
      <c r="D1097" s="2" t="inlineStr">
        <is>
          <t>0071M0</t>
        </is>
      </c>
      <c r="E1097" s="3" t="inlineStr">
        <is>
          <t>주주총회소집공고</t>
        </is>
      </c>
      <c r="F1097" s="3" t="inlineStr">
        <is>
          <t>삼성스팩11호</t>
        </is>
      </c>
      <c r="G1097" s="2" t="inlineStr">
        <is>
          <t>20260304000315</t>
        </is>
      </c>
      <c r="H1097" s="8">
        <f>HYPERLINK("https://dart.fss.or.kr/dsaf001/main.do?rcpNo=20260304000315", "공시열람")</f>
        <v/>
      </c>
    </row>
    <row r="1098">
      <c r="A1098" s="2" t="inlineStr">
        <is>
          <t>2026-03-04</t>
        </is>
      </c>
      <c r="B1098" s="3" t="inlineStr">
        <is>
          <t>SY동아</t>
        </is>
      </c>
      <c r="C1098" s="2" t="inlineStr">
        <is>
          <t>코스닥</t>
        </is>
      </c>
      <c r="D1098" s="2" t="inlineStr">
        <is>
          <t>041930</t>
        </is>
      </c>
      <c r="E1098" s="3" t="inlineStr">
        <is>
          <t xml:space="preserve">주주총회소집결의              </t>
        </is>
      </c>
      <c r="F1098" s="3" t="inlineStr">
        <is>
          <t>SY동아</t>
        </is>
      </c>
      <c r="G1098" s="2" t="inlineStr">
        <is>
          <t>20260304900311</t>
        </is>
      </c>
      <c r="H1098" s="8">
        <f>HYPERLINK("https://dart.fss.or.kr/dsaf001/main.do?rcpNo=20260304900311", "공시열람")</f>
        <v/>
      </c>
    </row>
    <row r="1099">
      <c r="A1099" s="2" t="inlineStr">
        <is>
          <t>2026-03-04</t>
        </is>
      </c>
      <c r="B1099" s="3" t="inlineStr">
        <is>
          <t>LS티라유텍</t>
        </is>
      </c>
      <c r="C1099" s="2" t="inlineStr">
        <is>
          <t>코스닥</t>
        </is>
      </c>
      <c r="D1099" s="2" t="inlineStr">
        <is>
          <t>322180</t>
        </is>
      </c>
      <c r="E1099" s="3" t="inlineStr">
        <is>
          <t>주주총회소집공고</t>
        </is>
      </c>
      <c r="F1099" s="3" t="inlineStr">
        <is>
          <t>LS티라유텍</t>
        </is>
      </c>
      <c r="G1099" s="2" t="inlineStr">
        <is>
          <t>20260304000302</t>
        </is>
      </c>
      <c r="H1099" s="8">
        <f>HYPERLINK("https://dart.fss.or.kr/dsaf001/main.do?rcpNo=20260304000302", "공시열람")</f>
        <v/>
      </c>
    </row>
    <row r="1100">
      <c r="A1100" s="2" t="inlineStr">
        <is>
          <t>2026-03-04</t>
        </is>
      </c>
      <c r="B1100" s="3" t="inlineStr">
        <is>
          <t>KB제31호스팩</t>
        </is>
      </c>
      <c r="C1100" s="2" t="inlineStr">
        <is>
          <t>코스닥</t>
        </is>
      </c>
      <c r="D1100" s="2" t="inlineStr">
        <is>
          <t>492220</t>
        </is>
      </c>
      <c r="E1100" s="3" t="inlineStr">
        <is>
          <t>주주총회소집공고</t>
        </is>
      </c>
      <c r="F1100" s="3" t="inlineStr">
        <is>
          <t>KB제31호스팩</t>
        </is>
      </c>
      <c r="G1100" s="2" t="inlineStr">
        <is>
          <t>20260304000255</t>
        </is>
      </c>
      <c r="H1100" s="8">
        <f>HYPERLINK("https://dart.fss.or.kr/dsaf001/main.do?rcpNo=20260304000255", "공시열람")</f>
        <v/>
      </c>
    </row>
    <row r="1101">
      <c r="A1101" s="2" t="inlineStr">
        <is>
          <t>2026-03-04</t>
        </is>
      </c>
      <c r="B1101" s="3" t="inlineStr">
        <is>
          <t>한국컴퓨터</t>
        </is>
      </c>
      <c r="C1101" s="2" t="inlineStr">
        <is>
          <t>코스닥</t>
        </is>
      </c>
      <c r="D1101" s="2" t="inlineStr">
        <is>
          <t>054040</t>
        </is>
      </c>
      <c r="E1101" s="3" t="inlineStr">
        <is>
          <t>주주총회소집공고</t>
        </is>
      </c>
      <c r="F1101" s="3" t="inlineStr">
        <is>
          <t>한국컴퓨터</t>
        </is>
      </c>
      <c r="G1101" s="2" t="inlineStr">
        <is>
          <t>20260304000254</t>
        </is>
      </c>
      <c r="H1101" s="8">
        <f>HYPERLINK("https://dart.fss.or.kr/dsaf001/main.do?rcpNo=20260304000254", "공시열람")</f>
        <v/>
      </c>
    </row>
    <row r="1102">
      <c r="A1102" s="2" t="inlineStr">
        <is>
          <t>2026-03-04</t>
        </is>
      </c>
      <c r="B1102" s="3" t="inlineStr">
        <is>
          <t>테크윙</t>
        </is>
      </c>
      <c r="C1102" s="2" t="inlineStr">
        <is>
          <t>코스닥</t>
        </is>
      </c>
      <c r="D1102" s="2" t="inlineStr">
        <is>
          <t>089030</t>
        </is>
      </c>
      <c r="E1102" s="3" t="inlineStr">
        <is>
          <t xml:space="preserve">주주총회소집결의              </t>
        </is>
      </c>
      <c r="F1102" s="3" t="inlineStr">
        <is>
          <t>테크윙</t>
        </is>
      </c>
      <c r="G1102" s="2" t="inlineStr">
        <is>
          <t>20260304900282</t>
        </is>
      </c>
      <c r="H1102" s="8">
        <f>HYPERLINK("https://dart.fss.or.kr/dsaf001/main.do?rcpNo=20260304900282", "공시열람")</f>
        <v/>
      </c>
    </row>
    <row r="1103">
      <c r="A1103" s="2" t="inlineStr">
        <is>
          <t>2026-03-04</t>
        </is>
      </c>
      <c r="B1103" s="3" t="inlineStr">
        <is>
          <t>세코닉스</t>
        </is>
      </c>
      <c r="C1103" s="2" t="inlineStr">
        <is>
          <t>코스닥</t>
        </is>
      </c>
      <c r="D1103" s="2" t="inlineStr">
        <is>
          <t>053450</t>
        </is>
      </c>
      <c r="E1103" s="3" t="inlineStr">
        <is>
          <t>주주총회소집공고</t>
        </is>
      </c>
      <c r="F1103" s="3" t="inlineStr">
        <is>
          <t>세코닉스</t>
        </is>
      </c>
      <c r="G1103" s="2" t="inlineStr">
        <is>
          <t>20260304000241</t>
        </is>
      </c>
      <c r="H1103" s="8">
        <f>HYPERLINK("https://dart.fss.or.kr/dsaf001/main.do?rcpNo=20260304000241", "공시열람")</f>
        <v/>
      </c>
    </row>
    <row r="1104">
      <c r="A1104" s="2" t="inlineStr">
        <is>
          <t>2026-03-04</t>
        </is>
      </c>
      <c r="B1104" s="3" t="inlineStr">
        <is>
          <t>고려산업</t>
        </is>
      </c>
      <c r="C1104" s="2" t="inlineStr">
        <is>
          <t>코스피</t>
        </is>
      </c>
      <c r="D1104" s="2" t="inlineStr">
        <is>
          <t>002140</t>
        </is>
      </c>
      <c r="E1104" s="3" t="inlineStr">
        <is>
          <t>주주총회소집공고</t>
        </is>
      </c>
      <c r="F1104" s="3" t="inlineStr">
        <is>
          <t>고려산업</t>
        </is>
      </c>
      <c r="G1104" s="2" t="inlineStr">
        <is>
          <t>20260304000228</t>
        </is>
      </c>
      <c r="H1104" s="8">
        <f>HYPERLINK("https://dart.fss.or.kr/dsaf001/main.do?rcpNo=20260304000228", "공시열람")</f>
        <v/>
      </c>
    </row>
    <row r="1105">
      <c r="A1105" s="2" t="inlineStr">
        <is>
          <t>2026-03-04</t>
        </is>
      </c>
      <c r="B1105" s="3" t="inlineStr">
        <is>
          <t>신한제14호스팩</t>
        </is>
      </c>
      <c r="C1105" s="2" t="inlineStr">
        <is>
          <t>코스닥</t>
        </is>
      </c>
      <c r="D1105" s="2" t="inlineStr">
        <is>
          <t>487360</t>
        </is>
      </c>
      <c r="E1105" s="3" t="inlineStr">
        <is>
          <t>주주총회소집공고</t>
        </is>
      </c>
      <c r="F1105" s="3" t="inlineStr">
        <is>
          <t>신한제14호스팩</t>
        </is>
      </c>
      <c r="G1105" s="2" t="inlineStr">
        <is>
          <t>20260304000216</t>
        </is>
      </c>
      <c r="H1105" s="8">
        <f>HYPERLINK("https://dart.fss.or.kr/dsaf001/main.do?rcpNo=20260304000216", "공시열람")</f>
        <v/>
      </c>
    </row>
    <row r="1106">
      <c r="A1106" s="2" t="inlineStr">
        <is>
          <t>2026-03-04</t>
        </is>
      </c>
      <c r="B1106" s="3" t="inlineStr">
        <is>
          <t>고려산업</t>
        </is>
      </c>
      <c r="C1106" s="2" t="inlineStr">
        <is>
          <t>코스피</t>
        </is>
      </c>
      <c r="D1106" s="2" t="inlineStr">
        <is>
          <t>002140</t>
        </is>
      </c>
      <c r="E1106" s="3" t="inlineStr">
        <is>
          <t xml:space="preserve">주주총회소집결의              </t>
        </is>
      </c>
      <c r="F1106" s="3" t="inlineStr">
        <is>
          <t>고려산업</t>
        </is>
      </c>
      <c r="G1106" s="2" t="inlineStr">
        <is>
          <t>20260304800275</t>
        </is>
      </c>
      <c r="H1106" s="8">
        <f>HYPERLINK("https://dart.fss.or.kr/dsaf001/main.do?rcpNo=20260304800275", "공시열람")</f>
        <v/>
      </c>
    </row>
    <row r="1107">
      <c r="A1107" s="2" t="inlineStr">
        <is>
          <t>2026-03-04</t>
        </is>
      </c>
      <c r="B1107" s="3" t="inlineStr">
        <is>
          <t>미래나노텍</t>
        </is>
      </c>
      <c r="C1107" s="2" t="inlineStr">
        <is>
          <t>코스닥</t>
        </is>
      </c>
      <c r="D1107" s="2" t="inlineStr">
        <is>
          <t>095500</t>
        </is>
      </c>
      <c r="E1107" s="3" t="inlineStr">
        <is>
          <t>주주총회소집공고</t>
        </is>
      </c>
      <c r="F1107" s="3" t="inlineStr">
        <is>
          <t>미래나노텍</t>
        </is>
      </c>
      <c r="G1107" s="2" t="inlineStr">
        <is>
          <t>20260304000207</t>
        </is>
      </c>
      <c r="H1107" s="8">
        <f>HYPERLINK("https://dart.fss.or.kr/dsaf001/main.do?rcpNo=20260304000207", "공시열람")</f>
        <v/>
      </c>
    </row>
    <row r="1108">
      <c r="A1108" s="2" t="inlineStr">
        <is>
          <t>2026-03-04</t>
        </is>
      </c>
      <c r="B1108" s="3" t="inlineStr">
        <is>
          <t>에스피지</t>
        </is>
      </c>
      <c r="C1108" s="2" t="inlineStr">
        <is>
          <t>코스닥</t>
        </is>
      </c>
      <c r="D1108" s="2" t="inlineStr">
        <is>
          <t>058610</t>
        </is>
      </c>
      <c r="E1108" s="3" t="inlineStr">
        <is>
          <t xml:space="preserve">주주총회소집결의              </t>
        </is>
      </c>
      <c r="F1108" s="3" t="inlineStr">
        <is>
          <t>에스피지</t>
        </is>
      </c>
      <c r="G1108" s="2" t="inlineStr">
        <is>
          <t>20260304900237</t>
        </is>
      </c>
      <c r="H1108" s="8">
        <f>HYPERLINK("https://dart.fss.or.kr/dsaf001/main.do?rcpNo=20260304900237", "공시열람")</f>
        <v/>
      </c>
    </row>
    <row r="1109">
      <c r="A1109" s="2" t="inlineStr">
        <is>
          <t>2026-03-04</t>
        </is>
      </c>
      <c r="B1109" s="3" t="inlineStr">
        <is>
          <t>KB제29호스팩</t>
        </is>
      </c>
      <c r="C1109" s="2" t="inlineStr">
        <is>
          <t>코스닥</t>
        </is>
      </c>
      <c r="D1109" s="2" t="inlineStr">
        <is>
          <t>478390</t>
        </is>
      </c>
      <c r="E1109" s="3" t="inlineStr">
        <is>
          <t>주주총회소집공고</t>
        </is>
      </c>
      <c r="F1109" s="3" t="inlineStr">
        <is>
          <t>KB제29호스팩</t>
        </is>
      </c>
      <c r="G1109" s="2" t="inlineStr">
        <is>
          <t>20260304000081</t>
        </is>
      </c>
      <c r="H1109" s="8">
        <f>HYPERLINK("https://dart.fss.or.kr/dsaf001/main.do?rcpNo=20260304000081", "공시열람")</f>
        <v/>
      </c>
    </row>
    <row r="1110">
      <c r="A1110" s="2" t="inlineStr">
        <is>
          <t>2026-03-04</t>
        </is>
      </c>
      <c r="B1110" s="3" t="inlineStr">
        <is>
          <t>PI첨단소재</t>
        </is>
      </c>
      <c r="C1110" s="2" t="inlineStr">
        <is>
          <t>코스피</t>
        </is>
      </c>
      <c r="D1110" s="2" t="inlineStr">
        <is>
          <t>178920</t>
        </is>
      </c>
      <c r="E1110" s="3" t="inlineStr">
        <is>
          <t>주주총회소집공고</t>
        </is>
      </c>
      <c r="F1110" s="3" t="inlineStr">
        <is>
          <t>PI첨단소재</t>
        </is>
      </c>
      <c r="G1110" s="2" t="inlineStr">
        <is>
          <t>20260304000005</t>
        </is>
      </c>
      <c r="H1110" s="8">
        <f>HYPERLINK("https://dart.fss.or.kr/dsaf001/main.do?rcpNo=20260304000005", "공시열람")</f>
        <v/>
      </c>
    </row>
    <row r="1111">
      <c r="A1111" s="2" t="inlineStr">
        <is>
          <t>2026-03-04</t>
        </is>
      </c>
      <c r="B1111" s="3" t="inlineStr">
        <is>
          <t>PI첨단소재</t>
        </is>
      </c>
      <c r="C1111" s="2" t="inlineStr">
        <is>
          <t>코스피</t>
        </is>
      </c>
      <c r="D1111" s="2" t="inlineStr">
        <is>
          <t>178920</t>
        </is>
      </c>
      <c r="E1111" s="3" t="inlineStr">
        <is>
          <t xml:space="preserve">주주총회소집결의              </t>
        </is>
      </c>
      <c r="F1111" s="3" t="inlineStr">
        <is>
          <t>PI첨단소재</t>
        </is>
      </c>
      <c r="G1111" s="2" t="inlineStr">
        <is>
          <t>20260304800006</t>
        </is>
      </c>
      <c r="H1111" s="8">
        <f>HYPERLINK("https://dart.fss.or.kr/dsaf001/main.do?rcpNo=20260304800006", "공시열람")</f>
        <v/>
      </c>
    </row>
    <row r="1112">
      <c r="A1112" s="2" t="inlineStr">
        <is>
          <t>2026-03-05 (정정: 2026-03-06)</t>
        </is>
      </c>
      <c r="B1112" s="3" t="inlineStr">
        <is>
          <t>HEM파마</t>
        </is>
      </c>
      <c r="C1112" s="2" t="inlineStr">
        <is>
          <t>코스닥</t>
        </is>
      </c>
      <c r="D1112" s="2" t="inlineStr">
        <is>
          <t>376270</t>
        </is>
      </c>
      <c r="E1112" s="3" t="inlineStr">
        <is>
          <t>주주총회소집결의               (정정: 20260306)</t>
        </is>
      </c>
      <c r="F1112" s="3" t="inlineStr">
        <is>
          <t>HEM파마</t>
        </is>
      </c>
      <c r="G1112" s="2" t="inlineStr">
        <is>
          <t>20260306000189</t>
        </is>
      </c>
      <c r="H1112" s="8">
        <f>HYPERLINK("https://dart.fss.or.kr/dsaf001/main.do?rcpNo=20260306000189", "공시열람")</f>
        <v/>
      </c>
    </row>
    <row r="1113">
      <c r="A1113" s="2" t="inlineStr">
        <is>
          <t>2026-03-05</t>
        </is>
      </c>
      <c r="B1113" s="3" t="inlineStr">
        <is>
          <t>한국전자인증</t>
        </is>
      </c>
      <c r="C1113" s="2" t="inlineStr">
        <is>
          <t>코스닥</t>
        </is>
      </c>
      <c r="D1113" s="2" t="inlineStr">
        <is>
          <t>041460</t>
        </is>
      </c>
      <c r="E1113" s="3" t="inlineStr">
        <is>
          <t xml:space="preserve">주주총회소집결의              </t>
        </is>
      </c>
      <c r="F1113" s="3" t="inlineStr">
        <is>
          <t>한국전자인증</t>
        </is>
      </c>
      <c r="G1113" s="2" t="inlineStr">
        <is>
          <t>20260305901950</t>
        </is>
      </c>
      <c r="H1113" s="8">
        <f>HYPERLINK("https://dart.fss.or.kr/dsaf001/main.do?rcpNo=20260305901950", "공시열람")</f>
        <v/>
      </c>
    </row>
    <row r="1114">
      <c r="A1114" s="2" t="inlineStr">
        <is>
          <t>2026-03-05</t>
        </is>
      </c>
      <c r="B1114" s="3" t="inlineStr">
        <is>
          <t>휴림로봇</t>
        </is>
      </c>
      <c r="C1114" s="2" t="inlineStr">
        <is>
          <t>코스닥</t>
        </is>
      </c>
      <c r="D1114" s="2" t="inlineStr">
        <is>
          <t>090710</t>
        </is>
      </c>
      <c r="E1114" s="3" t="inlineStr">
        <is>
          <t xml:space="preserve">최대주주변경을수반하는주식담보제공계약체결              </t>
        </is>
      </c>
      <c r="F1114" s="3" t="inlineStr">
        <is>
          <t>휴림로봇</t>
        </is>
      </c>
      <c r="G1114" s="2" t="inlineStr">
        <is>
          <t>20260305901928</t>
        </is>
      </c>
      <c r="H1114" s="8">
        <f>HYPERLINK("https://dart.fss.or.kr/dsaf001/main.do?rcpNo=20260305901928", "공시열람")</f>
        <v/>
      </c>
    </row>
    <row r="1115">
      <c r="A1115" s="2" t="inlineStr">
        <is>
          <t>2026-03-05 (정정: 2026-03-05)</t>
        </is>
      </c>
      <c r="B1115" s="3" t="inlineStr">
        <is>
          <t>동성화인텍</t>
        </is>
      </c>
      <c r="C1115" s="2" t="inlineStr">
        <is>
          <t>코스닥</t>
        </is>
      </c>
      <c r="D1115" s="2" t="inlineStr">
        <is>
          <t>033500</t>
        </is>
      </c>
      <c r="E1115" s="3" t="inlineStr">
        <is>
          <t xml:space="preserve">[기재정정]주주총회소집결의              </t>
        </is>
      </c>
      <c r="F1115" s="3" t="inlineStr">
        <is>
          <t>동성화인텍</t>
        </is>
      </c>
      <c r="G1115" s="2" t="inlineStr">
        <is>
          <t>20260305901867</t>
        </is>
      </c>
      <c r="H1115" s="8">
        <f>HYPERLINK("https://dart.fss.or.kr/dsaf001/main.do?rcpNo=20260305901867", "공시열람")</f>
        <v/>
      </c>
    </row>
    <row r="1116">
      <c r="A1116" s="2" t="inlineStr">
        <is>
          <t>2026-03-05</t>
        </is>
      </c>
      <c r="B1116" s="3" t="inlineStr">
        <is>
          <t>HLB이노베이션</t>
        </is>
      </c>
      <c r="C1116" s="2" t="inlineStr">
        <is>
          <t>코스닥</t>
        </is>
      </c>
      <c r="D1116" s="2" t="inlineStr">
        <is>
          <t>024850</t>
        </is>
      </c>
      <c r="E1116" s="3" t="inlineStr">
        <is>
          <t xml:space="preserve">주주총회소집결의              </t>
        </is>
      </c>
      <c r="F1116" s="3" t="inlineStr">
        <is>
          <t>HLB이노베이션</t>
        </is>
      </c>
      <c r="G1116" s="2" t="inlineStr">
        <is>
          <t>20260305901831</t>
        </is>
      </c>
      <c r="H1116" s="8">
        <f>HYPERLINK("https://dart.fss.or.kr/dsaf001/main.do?rcpNo=20260305901831", "공시열람")</f>
        <v/>
      </c>
    </row>
    <row r="1117">
      <c r="A1117" s="2" t="inlineStr">
        <is>
          <t>2026-03-05</t>
        </is>
      </c>
      <c r="B1117" s="3" t="inlineStr">
        <is>
          <t>유바이오로직스</t>
        </is>
      </c>
      <c r="C1117" s="2" t="inlineStr">
        <is>
          <t>코스닥</t>
        </is>
      </c>
      <c r="D1117" s="2" t="inlineStr">
        <is>
          <t>206650</t>
        </is>
      </c>
      <c r="E1117" s="3" t="inlineStr">
        <is>
          <t xml:space="preserve">주주총회소집결의              </t>
        </is>
      </c>
      <c r="F1117" s="3" t="inlineStr">
        <is>
          <t>유바이오로직스</t>
        </is>
      </c>
      <c r="G1117" s="2" t="inlineStr">
        <is>
          <t>20260305901879</t>
        </is>
      </c>
      <c r="H1117" s="8">
        <f>HYPERLINK("https://dart.fss.or.kr/dsaf001/main.do?rcpNo=20260305901879", "공시열람")</f>
        <v/>
      </c>
    </row>
    <row r="1118">
      <c r="A1118" s="2" t="inlineStr">
        <is>
          <t>2026-03-05</t>
        </is>
      </c>
      <c r="B1118" s="3" t="inlineStr">
        <is>
          <t>SK케미칼</t>
        </is>
      </c>
      <c r="C1118" s="2" t="inlineStr">
        <is>
          <t>코스피</t>
        </is>
      </c>
      <c r="D1118" s="2" t="inlineStr">
        <is>
          <t>285130</t>
        </is>
      </c>
      <c r="E1118" s="3" t="inlineStr">
        <is>
          <t xml:space="preserve">주주총회소집결의              </t>
        </is>
      </c>
      <c r="F1118" s="3" t="inlineStr">
        <is>
          <t>SK케미칼</t>
        </is>
      </c>
      <c r="G1118" s="2" t="inlineStr">
        <is>
          <t>20260305801886</t>
        </is>
      </c>
      <c r="H1118" s="8">
        <f>HYPERLINK("https://dart.fss.or.kr/dsaf001/main.do?rcpNo=20260305801886", "공시열람")</f>
        <v/>
      </c>
    </row>
    <row r="1119">
      <c r="A1119" s="2" t="inlineStr">
        <is>
          <t>2026-03-05</t>
        </is>
      </c>
      <c r="B1119" s="3" t="inlineStr">
        <is>
          <t>국일제지</t>
        </is>
      </c>
      <c r="C1119" s="2" t="inlineStr">
        <is>
          <t>코스닥</t>
        </is>
      </c>
      <c r="D1119" s="2" t="inlineStr">
        <is>
          <t>078130</t>
        </is>
      </c>
      <c r="E1119" s="3" t="inlineStr">
        <is>
          <t xml:space="preserve">주주총회집중일개최사유신고              </t>
        </is>
      </c>
      <c r="F1119" s="3" t="inlineStr">
        <is>
          <t>국일제지</t>
        </is>
      </c>
      <c r="G1119" s="2" t="inlineStr">
        <is>
          <t>20260305901864</t>
        </is>
      </c>
      <c r="H1119" s="8">
        <f>HYPERLINK("https://dart.fss.or.kr/dsaf001/main.do?rcpNo=20260305901864", "공시열람")</f>
        <v/>
      </c>
    </row>
    <row r="1120">
      <c r="A1120" s="2" t="inlineStr">
        <is>
          <t>2026-03-05</t>
        </is>
      </c>
      <c r="B1120" s="3" t="inlineStr">
        <is>
          <t>크레버스</t>
        </is>
      </c>
      <c r="C1120" s="2" t="inlineStr">
        <is>
          <t>코스닥</t>
        </is>
      </c>
      <c r="D1120" s="2" t="inlineStr">
        <is>
          <t>096240</t>
        </is>
      </c>
      <c r="E1120" s="3" t="inlineStr">
        <is>
          <t xml:space="preserve">주주총회집중일개최사유신고              </t>
        </is>
      </c>
      <c r="F1120" s="3" t="inlineStr">
        <is>
          <t>크레버스</t>
        </is>
      </c>
      <c r="G1120" s="2" t="inlineStr">
        <is>
          <t>20260305901793</t>
        </is>
      </c>
      <c r="H1120" s="8">
        <f>HYPERLINK("https://dart.fss.or.kr/dsaf001/main.do?rcpNo=20260305901793", "공시열람")</f>
        <v/>
      </c>
    </row>
    <row r="1121">
      <c r="A1121" s="2" t="inlineStr">
        <is>
          <t>2026-03-05</t>
        </is>
      </c>
      <c r="B1121" s="3" t="inlineStr">
        <is>
          <t>국일제지</t>
        </is>
      </c>
      <c r="C1121" s="2" t="inlineStr">
        <is>
          <t>코스닥</t>
        </is>
      </c>
      <c r="D1121" s="2" t="inlineStr">
        <is>
          <t>078130</t>
        </is>
      </c>
      <c r="E1121" s="3" t="inlineStr">
        <is>
          <t xml:space="preserve">주주총회소집결의              </t>
        </is>
      </c>
      <c r="F1121" s="3" t="inlineStr">
        <is>
          <t>국일제지</t>
        </is>
      </c>
      <c r="G1121" s="2" t="inlineStr">
        <is>
          <t>20260305901828</t>
        </is>
      </c>
      <c r="H1121" s="8">
        <f>HYPERLINK("https://dart.fss.or.kr/dsaf001/main.do?rcpNo=20260305901828", "공시열람")</f>
        <v/>
      </c>
    </row>
    <row r="1122">
      <c r="A1122" s="2" t="inlineStr">
        <is>
          <t>2026-03-05</t>
        </is>
      </c>
      <c r="B1122" s="3" t="inlineStr">
        <is>
          <t>크레버스</t>
        </is>
      </c>
      <c r="C1122" s="2" t="inlineStr">
        <is>
          <t>코스닥</t>
        </is>
      </c>
      <c r="D1122" s="2" t="inlineStr">
        <is>
          <t>096240</t>
        </is>
      </c>
      <c r="E1122" s="3" t="inlineStr">
        <is>
          <t xml:space="preserve">주주총회소집결의              </t>
        </is>
      </c>
      <c r="F1122" s="3" t="inlineStr">
        <is>
          <t>크레버스</t>
        </is>
      </c>
      <c r="G1122" s="2" t="inlineStr">
        <is>
          <t>20260305901854</t>
        </is>
      </c>
      <c r="H1122" s="8">
        <f>HYPERLINK("https://dart.fss.or.kr/dsaf001/main.do?rcpNo=20260305901854", "공시열람")</f>
        <v/>
      </c>
    </row>
    <row r="1123">
      <c r="A1123" s="2" t="inlineStr">
        <is>
          <t>2026-03-05 (정정: 2026-03-06)</t>
        </is>
      </c>
      <c r="B1123" s="3" t="inlineStr">
        <is>
          <t>애경산업</t>
        </is>
      </c>
      <c r="C1123" s="2" t="inlineStr">
        <is>
          <t>코스피</t>
        </is>
      </c>
      <c r="D1123" s="2" t="inlineStr">
        <is>
          <t>018250</t>
        </is>
      </c>
      <c r="E1123" s="3" t="inlineStr">
        <is>
          <t>주주총회소집결의               (정정: 20260306)</t>
        </is>
      </c>
      <c r="F1123" s="3" t="inlineStr">
        <is>
          <t>애경산업</t>
        </is>
      </c>
      <c r="G1123" s="2" t="inlineStr">
        <is>
          <t>20260306800363</t>
        </is>
      </c>
      <c r="H1123" s="8">
        <f>HYPERLINK("https://dart.fss.or.kr/dsaf001/main.do?rcpNo=20260306800363", "공시열람")</f>
        <v/>
      </c>
    </row>
    <row r="1124">
      <c r="A1124" s="2" t="inlineStr">
        <is>
          <t>2026-03-05</t>
        </is>
      </c>
      <c r="B1124" s="3" t="inlineStr">
        <is>
          <t>하나34호스팩</t>
        </is>
      </c>
      <c r="C1124" s="2" t="inlineStr">
        <is>
          <t>코스닥</t>
        </is>
      </c>
      <c r="D1124" s="2" t="inlineStr">
        <is>
          <t>484130</t>
        </is>
      </c>
      <c r="E1124" s="3" t="inlineStr">
        <is>
          <t>주주총회소집공고</t>
        </is>
      </c>
      <c r="F1124" s="3" t="inlineStr">
        <is>
          <t>하나34호스팩</t>
        </is>
      </c>
      <c r="G1124" s="2" t="inlineStr">
        <is>
          <t>20260305001643</t>
        </is>
      </c>
      <c r="H1124" s="8">
        <f>HYPERLINK("https://dart.fss.or.kr/dsaf001/main.do?rcpNo=20260305001643", "공시열람")</f>
        <v/>
      </c>
    </row>
    <row r="1125">
      <c r="A1125" s="2" t="inlineStr">
        <is>
          <t>2026-03-05 (정정: 2026-03-06)</t>
        </is>
      </c>
      <c r="B1125" s="3" t="inlineStr">
        <is>
          <t>HS효성첨단소재</t>
        </is>
      </c>
      <c r="C1125" s="2" t="inlineStr">
        <is>
          <t>코스피</t>
        </is>
      </c>
      <c r="D1125" s="2" t="inlineStr">
        <is>
          <t>298050</t>
        </is>
      </c>
      <c r="E1125" s="3" t="inlineStr">
        <is>
          <t>주주총회소집결의               (정정: 20260306)</t>
        </is>
      </c>
      <c r="F1125" s="3" t="inlineStr">
        <is>
          <t>HS효성첨단소재</t>
        </is>
      </c>
      <c r="G1125" s="2" t="inlineStr">
        <is>
          <t>20260306000708</t>
        </is>
      </c>
      <c r="H1125" s="8">
        <f>HYPERLINK("https://dart.fss.or.kr/dsaf001/main.do?rcpNo=20260306000708", "공시열람")</f>
        <v/>
      </c>
    </row>
    <row r="1126">
      <c r="A1126" s="2" t="inlineStr">
        <is>
          <t>2026-03-05 (정정: 2026-03-11)</t>
        </is>
      </c>
      <c r="B1126" s="3" t="inlineStr">
        <is>
          <t>유안타증권</t>
        </is>
      </c>
      <c r="C1126" s="2" t="inlineStr">
        <is>
          <t>코스피</t>
        </is>
      </c>
      <c r="D1126" s="2" t="inlineStr">
        <is>
          <t>003470</t>
        </is>
      </c>
      <c r="E1126" s="3" t="inlineStr">
        <is>
          <t>주주총회소집결의               (정정: 20260311) (정정: 20260311)</t>
        </is>
      </c>
      <c r="F1126" s="3" t="inlineStr">
        <is>
          <t>유안타증권</t>
        </is>
      </c>
      <c r="G1126" s="2" t="inlineStr">
        <is>
          <t>20260311004478</t>
        </is>
      </c>
      <c r="H1126" s="8">
        <f>HYPERLINK("https://dart.fss.or.kr/dsaf001/main.do?rcpNo=20260311004478", "공시열람")</f>
        <v/>
      </c>
    </row>
    <row r="1127">
      <c r="A1127" s="2" t="inlineStr">
        <is>
          <t>2026-03-05 (정정: 2026-03-05)</t>
        </is>
      </c>
      <c r="B1127" s="3" t="inlineStr">
        <is>
          <t>사조산업</t>
        </is>
      </c>
      <c r="C1127" s="2" t="inlineStr">
        <is>
          <t>코스피</t>
        </is>
      </c>
      <c r="D1127" s="2" t="inlineStr">
        <is>
          <t>007160</t>
        </is>
      </c>
      <c r="E1127" s="3" t="inlineStr">
        <is>
          <t xml:space="preserve">[기재정정]주주총회소집결의              </t>
        </is>
      </c>
      <c r="F1127" s="3" t="inlineStr">
        <is>
          <t>사조산업</t>
        </is>
      </c>
      <c r="G1127" s="2" t="inlineStr">
        <is>
          <t>20260305801835</t>
        </is>
      </c>
      <c r="H1127" s="8">
        <f>HYPERLINK("https://dart.fss.or.kr/dsaf001/main.do?rcpNo=20260305801835", "공시열람")</f>
        <v/>
      </c>
    </row>
    <row r="1128">
      <c r="A1128" s="2" t="inlineStr">
        <is>
          <t>2026-03-05</t>
        </is>
      </c>
      <c r="B1128" s="3" t="inlineStr">
        <is>
          <t>아이티켐</t>
        </is>
      </c>
      <c r="C1128" s="2" t="inlineStr">
        <is>
          <t>코스닥</t>
        </is>
      </c>
      <c r="D1128" s="2" t="inlineStr">
        <is>
          <t>309710</t>
        </is>
      </c>
      <c r="E1128" s="3" t="inlineStr">
        <is>
          <t xml:space="preserve">주주총회소집결의              </t>
        </is>
      </c>
      <c r="F1128" s="3" t="inlineStr">
        <is>
          <t>아이티켐</t>
        </is>
      </c>
      <c r="G1128" s="2" t="inlineStr">
        <is>
          <t>20260305901693</t>
        </is>
      </c>
      <c r="H1128" s="8">
        <f>HYPERLINK("https://dart.fss.or.kr/dsaf001/main.do?rcpNo=20260305901693", "공시열람")</f>
        <v/>
      </c>
    </row>
    <row r="1129">
      <c r="A1129" s="2" t="inlineStr">
        <is>
          <t>2026-03-05 (정정: 2026-03-05)</t>
        </is>
      </c>
      <c r="B1129" s="3" t="inlineStr">
        <is>
          <t>한빛소프트</t>
        </is>
      </c>
      <c r="C1129" s="2" t="inlineStr">
        <is>
          <t>코스닥</t>
        </is>
      </c>
      <c r="D1129" s="2" t="inlineStr">
        <is>
          <t>047080</t>
        </is>
      </c>
      <c r="E1129" s="3" t="inlineStr">
        <is>
          <t>[기재정정]주주총회소집공고 (정정: 20260305) (정정: 20260305)</t>
        </is>
      </c>
      <c r="F1129" s="3" t="inlineStr">
        <is>
          <t>한빛소프트</t>
        </is>
      </c>
      <c r="G1129" s="2" t="inlineStr">
        <is>
          <t>20260305901731</t>
        </is>
      </c>
      <c r="H1129" s="8">
        <f>HYPERLINK("https://dart.fss.or.kr/dsaf001/main.do?rcpNo=20260305901731", "공시열람")</f>
        <v/>
      </c>
    </row>
    <row r="1130">
      <c r="A1130" s="2" t="inlineStr">
        <is>
          <t>2026-03-05 (정정: 2026-03-05)</t>
        </is>
      </c>
      <c r="B1130" s="3" t="inlineStr">
        <is>
          <t>아바텍</t>
        </is>
      </c>
      <c r="C1130" s="2" t="inlineStr">
        <is>
          <t>코스닥</t>
        </is>
      </c>
      <c r="D1130" s="2" t="inlineStr">
        <is>
          <t>149950</t>
        </is>
      </c>
      <c r="E1130" s="3" t="inlineStr">
        <is>
          <t>주주총회소집공고 (정정: 20260305)</t>
        </is>
      </c>
      <c r="F1130" s="3" t="inlineStr">
        <is>
          <t>아바텍</t>
        </is>
      </c>
      <c r="G1130" s="2" t="inlineStr">
        <is>
          <t>20260305901700</t>
        </is>
      </c>
      <c r="H1130" s="8">
        <f>HYPERLINK("https://dart.fss.or.kr/dsaf001/main.do?rcpNo=20260305901700", "공시열람")</f>
        <v/>
      </c>
    </row>
    <row r="1131">
      <c r="A1131" s="2" t="inlineStr">
        <is>
          <t>2026-03-05 (정정: 2026-03-05)</t>
        </is>
      </c>
      <c r="B1131" s="3" t="inlineStr">
        <is>
          <t>삼천리자전거</t>
        </is>
      </c>
      <c r="C1131" s="2" t="inlineStr">
        <is>
          <t>코스닥</t>
        </is>
      </c>
      <c r="D1131" s="2" t="inlineStr">
        <is>
          <t>024950</t>
        </is>
      </c>
      <c r="E1131" s="3" t="inlineStr">
        <is>
          <t>주주총회소집공고 (정정: 20260305)</t>
        </is>
      </c>
      <c r="F1131" s="3" t="inlineStr">
        <is>
          <t>삼천리자전거</t>
        </is>
      </c>
      <c r="G1131" s="2" t="inlineStr">
        <is>
          <t>20260305901594</t>
        </is>
      </c>
      <c r="H1131" s="8">
        <f>HYPERLINK("https://dart.fss.or.kr/dsaf001/main.do?rcpNo=20260305901594", "공시열람")</f>
        <v/>
      </c>
    </row>
    <row r="1132">
      <c r="A1132" s="2" t="inlineStr">
        <is>
          <t>2026-03-05</t>
        </is>
      </c>
      <c r="B1132" s="3" t="inlineStr">
        <is>
          <t>제이엔케이글로벌</t>
        </is>
      </c>
      <c r="C1132" s="2" t="inlineStr">
        <is>
          <t>코스닥</t>
        </is>
      </c>
      <c r="D1132" s="2" t="inlineStr">
        <is>
          <t>126880</t>
        </is>
      </c>
      <c r="E1132" s="3" t="inlineStr">
        <is>
          <t>소송등의제기ㆍ신청(경영권분쟁소송)              (간접강제신청)</t>
        </is>
      </c>
      <c r="F1132" s="3" t="inlineStr">
        <is>
          <t>제이엔케이글로벌</t>
        </is>
      </c>
      <c r="G1132" s="2" t="inlineStr">
        <is>
          <t>20260305901788</t>
        </is>
      </c>
      <c r="H1132" s="8">
        <f>HYPERLINK("https://dart.fss.or.kr/dsaf001/main.do?rcpNo=20260305901788", "공시열람")</f>
        <v/>
      </c>
    </row>
    <row r="1133">
      <c r="A1133" s="2" t="inlineStr">
        <is>
          <t>2026-03-05</t>
        </is>
      </c>
      <c r="B1133" s="3" t="inlineStr">
        <is>
          <t>동국홀딩스</t>
        </is>
      </c>
      <c r="C1133" s="2" t="inlineStr">
        <is>
          <t>코스피</t>
        </is>
      </c>
      <c r="D1133" s="2" t="inlineStr">
        <is>
          <t>001230</t>
        </is>
      </c>
      <c r="E1133" s="3" t="inlineStr">
        <is>
          <t xml:space="preserve">주주총회소집결의              </t>
        </is>
      </c>
      <c r="F1133" s="3" t="inlineStr">
        <is>
          <t>동국홀딩스</t>
        </is>
      </c>
      <c r="G1133" s="2" t="inlineStr">
        <is>
          <t>20260305801800</t>
        </is>
      </c>
      <c r="H1133" s="8">
        <f>HYPERLINK("https://dart.fss.or.kr/dsaf001/main.do?rcpNo=20260305801800", "공시열람")</f>
        <v/>
      </c>
    </row>
    <row r="1134">
      <c r="A1134" s="2" t="inlineStr">
        <is>
          <t>2026-03-05</t>
        </is>
      </c>
      <c r="B1134" s="3" t="inlineStr">
        <is>
          <t>동성화인텍</t>
        </is>
      </c>
      <c r="C1134" s="2" t="inlineStr">
        <is>
          <t>코스닥</t>
        </is>
      </c>
      <c r="D1134" s="2" t="inlineStr">
        <is>
          <t>033500</t>
        </is>
      </c>
      <c r="E1134" s="3" t="inlineStr">
        <is>
          <t>주주총회소집공고</t>
        </is>
      </c>
      <c r="F1134" s="3" t="inlineStr">
        <is>
          <t>동성화인텍</t>
        </is>
      </c>
      <c r="G1134" s="2" t="inlineStr">
        <is>
          <t>20260305001597</t>
        </is>
      </c>
      <c r="H1134" s="8">
        <f>HYPERLINK("https://dart.fss.or.kr/dsaf001/main.do?rcpNo=20260305001597", "공시열람")</f>
        <v/>
      </c>
    </row>
    <row r="1135">
      <c r="A1135" s="2" t="inlineStr">
        <is>
          <t>2026-03-05</t>
        </is>
      </c>
      <c r="B1135" s="3" t="inlineStr">
        <is>
          <t>고스트스튜디오</t>
        </is>
      </c>
      <c r="C1135" s="2" t="inlineStr">
        <is>
          <t>코스닥</t>
        </is>
      </c>
      <c r="D1135" s="2" t="inlineStr">
        <is>
          <t>950190</t>
        </is>
      </c>
      <c r="E1135" s="3" t="inlineStr">
        <is>
          <t xml:space="preserve">주주총회소집결의              </t>
        </is>
      </c>
      <c r="F1135" s="3" t="inlineStr">
        <is>
          <t>고스트스튜디오</t>
        </is>
      </c>
      <c r="G1135" s="2" t="inlineStr">
        <is>
          <t>20260305901748</t>
        </is>
      </c>
      <c r="H1135" s="8">
        <f>HYPERLINK("https://dart.fss.or.kr/dsaf001/main.do?rcpNo=20260305901748", "공시열람")</f>
        <v/>
      </c>
    </row>
    <row r="1136">
      <c r="A1136" s="2" t="inlineStr">
        <is>
          <t>2026-03-05</t>
        </is>
      </c>
      <c r="B1136" s="3" t="inlineStr">
        <is>
          <t>비상교육</t>
        </is>
      </c>
      <c r="C1136" s="2" t="inlineStr">
        <is>
          <t>코스피</t>
        </is>
      </c>
      <c r="D1136" s="2" t="inlineStr">
        <is>
          <t>100220</t>
        </is>
      </c>
      <c r="E1136" s="3" t="inlineStr">
        <is>
          <t xml:space="preserve">주주총회소집결의              </t>
        </is>
      </c>
      <c r="F1136" s="3" t="inlineStr">
        <is>
          <t>비상교육</t>
        </is>
      </c>
      <c r="G1136" s="2" t="inlineStr">
        <is>
          <t>20260305801799</t>
        </is>
      </c>
      <c r="H1136" s="8">
        <f>HYPERLINK("https://dart.fss.or.kr/dsaf001/main.do?rcpNo=20260305801799", "공시열람")</f>
        <v/>
      </c>
    </row>
    <row r="1137">
      <c r="A1137" s="2" t="inlineStr">
        <is>
          <t>2026-03-05</t>
        </is>
      </c>
      <c r="B1137" s="3" t="inlineStr">
        <is>
          <t>금호건설</t>
        </is>
      </c>
      <c r="C1137" s="2" t="inlineStr">
        <is>
          <t>코스피</t>
        </is>
      </c>
      <c r="D1137" s="2" t="inlineStr">
        <is>
          <t>002990</t>
        </is>
      </c>
      <c r="E1137" s="3" t="inlineStr">
        <is>
          <t>주주총회소집공고</t>
        </is>
      </c>
      <c r="F1137" s="3" t="inlineStr">
        <is>
          <t>금호건설</t>
        </is>
      </c>
      <c r="G1137" s="2" t="inlineStr">
        <is>
          <t>20260305001589</t>
        </is>
      </c>
      <c r="H1137" s="8">
        <f>HYPERLINK("https://dart.fss.or.kr/dsaf001/main.do?rcpNo=20260305001589", "공시열람")</f>
        <v/>
      </c>
    </row>
    <row r="1138">
      <c r="A1138" s="2" t="inlineStr">
        <is>
          <t>2026-03-05</t>
        </is>
      </c>
      <c r="B1138" s="3" t="inlineStr">
        <is>
          <t>롯데쇼핑</t>
        </is>
      </c>
      <c r="C1138" s="2" t="inlineStr">
        <is>
          <t>코스피</t>
        </is>
      </c>
      <c r="D1138" s="2" t="inlineStr">
        <is>
          <t>023530</t>
        </is>
      </c>
      <c r="E1138" s="3" t="inlineStr">
        <is>
          <t>주주총회소집공고</t>
        </is>
      </c>
      <c r="F1138" s="3" t="inlineStr">
        <is>
          <t>롯데쇼핑</t>
        </is>
      </c>
      <c r="G1138" s="2" t="inlineStr">
        <is>
          <t>20260305001587</t>
        </is>
      </c>
      <c r="H1138" s="8">
        <f>HYPERLINK("https://dart.fss.or.kr/dsaf001/main.do?rcpNo=20260305001587", "공시열람")</f>
        <v/>
      </c>
    </row>
    <row r="1139">
      <c r="A1139" s="2" t="inlineStr">
        <is>
          <t>2026-03-05</t>
        </is>
      </c>
      <c r="B1139" s="3" t="inlineStr">
        <is>
          <t>HS효성첨단소재</t>
        </is>
      </c>
      <c r="C1139" s="2" t="inlineStr">
        <is>
          <t>코스피</t>
        </is>
      </c>
      <c r="D1139" s="2" t="inlineStr">
        <is>
          <t>298050</t>
        </is>
      </c>
      <c r="E1139" s="3" t="inlineStr">
        <is>
          <t>주주총회소집공고</t>
        </is>
      </c>
      <c r="F1139" s="3" t="inlineStr">
        <is>
          <t>HS효성첨단소재</t>
        </is>
      </c>
      <c r="G1139" s="2" t="inlineStr">
        <is>
          <t>20260305001585</t>
        </is>
      </c>
      <c r="H1139" s="8">
        <f>HYPERLINK("https://dart.fss.or.kr/dsaf001/main.do?rcpNo=20260305001585", "공시열람")</f>
        <v/>
      </c>
    </row>
    <row r="1140">
      <c r="A1140" s="2" t="inlineStr">
        <is>
          <t>2026-03-05</t>
        </is>
      </c>
      <c r="B1140" s="3" t="inlineStr">
        <is>
          <t>오름테라퓨틱</t>
        </is>
      </c>
      <c r="C1140" s="2" t="inlineStr">
        <is>
          <t>코스닥</t>
        </is>
      </c>
      <c r="D1140" s="2" t="inlineStr">
        <is>
          <t>475830</t>
        </is>
      </c>
      <c r="E1140" s="3" t="inlineStr">
        <is>
          <t xml:space="preserve">주주총회집중일개최사유신고              </t>
        </is>
      </c>
      <c r="F1140" s="3" t="inlineStr">
        <is>
          <t>오름테라퓨틱</t>
        </is>
      </c>
      <c r="G1140" s="2" t="inlineStr">
        <is>
          <t>20260305901662</t>
        </is>
      </c>
      <c r="H1140" s="8">
        <f>HYPERLINK("https://dart.fss.or.kr/dsaf001/main.do?rcpNo=20260305901662", "공시열람")</f>
        <v/>
      </c>
    </row>
    <row r="1141">
      <c r="A1141" s="2" t="inlineStr">
        <is>
          <t>2026-03-05</t>
        </is>
      </c>
      <c r="B1141" s="3" t="inlineStr">
        <is>
          <t>참좋은여행</t>
        </is>
      </c>
      <c r="C1141" s="2" t="inlineStr">
        <is>
          <t>코스닥</t>
        </is>
      </c>
      <c r="D1141" s="2" t="inlineStr">
        <is>
          <t>094850</t>
        </is>
      </c>
      <c r="E1141" s="3" t="inlineStr">
        <is>
          <t>주주총회소집공고</t>
        </is>
      </c>
      <c r="F1141" s="3" t="inlineStr">
        <is>
          <t>참좋은여행</t>
        </is>
      </c>
      <c r="G1141" s="2" t="inlineStr">
        <is>
          <t>20260305001578</t>
        </is>
      </c>
      <c r="H1141" s="8">
        <f>HYPERLINK("https://dart.fss.or.kr/dsaf001/main.do?rcpNo=20260305001578", "공시열람")</f>
        <v/>
      </c>
    </row>
    <row r="1142">
      <c r="A1142" s="2" t="inlineStr">
        <is>
          <t>2026-03-05</t>
        </is>
      </c>
      <c r="B1142" s="3" t="inlineStr">
        <is>
          <t>오름테라퓨틱</t>
        </is>
      </c>
      <c r="C1142" s="2" t="inlineStr">
        <is>
          <t>코스닥</t>
        </is>
      </c>
      <c r="D1142" s="2" t="inlineStr">
        <is>
          <t>475830</t>
        </is>
      </c>
      <c r="E1142" s="3" t="inlineStr">
        <is>
          <t xml:space="preserve">주주총회소집결의              </t>
        </is>
      </c>
      <c r="F1142" s="3" t="inlineStr">
        <is>
          <t>오름테라퓨틱</t>
        </is>
      </c>
      <c r="G1142" s="2" t="inlineStr">
        <is>
          <t>20260305901656</t>
        </is>
      </c>
      <c r="H1142" s="8">
        <f>HYPERLINK("https://dart.fss.or.kr/dsaf001/main.do?rcpNo=20260305901656", "공시열람")</f>
        <v/>
      </c>
    </row>
    <row r="1143">
      <c r="A1143" s="2" t="inlineStr">
        <is>
          <t>2026-03-05</t>
        </is>
      </c>
      <c r="B1143" s="3" t="inlineStr">
        <is>
          <t>인크로스</t>
        </is>
      </c>
      <c r="C1143" s="2" t="inlineStr">
        <is>
          <t>코스닥</t>
        </is>
      </c>
      <c r="D1143" s="2" t="inlineStr">
        <is>
          <t>216050</t>
        </is>
      </c>
      <c r="E1143" s="3" t="inlineStr">
        <is>
          <t>주주총회소집공고</t>
        </is>
      </c>
      <c r="F1143" s="3" t="inlineStr">
        <is>
          <t>인크로스</t>
        </is>
      </c>
      <c r="G1143" s="2" t="inlineStr">
        <is>
          <t>20260305001577</t>
        </is>
      </c>
      <c r="H1143" s="8">
        <f>HYPERLINK("https://dart.fss.or.kr/dsaf001/main.do?rcpNo=20260305001577", "공시열람")</f>
        <v/>
      </c>
    </row>
    <row r="1144">
      <c r="A1144" s="2" t="inlineStr">
        <is>
          <t>2026-03-05</t>
        </is>
      </c>
      <c r="B1144" s="3" t="inlineStr">
        <is>
          <t>동성화인텍</t>
        </is>
      </c>
      <c r="C1144" s="2" t="inlineStr">
        <is>
          <t>코스닥</t>
        </is>
      </c>
      <c r="D1144" s="2" t="inlineStr">
        <is>
          <t>033500</t>
        </is>
      </c>
      <c r="E1144" s="3" t="inlineStr">
        <is>
          <t xml:space="preserve">주주총회소집결의              </t>
        </is>
      </c>
      <c r="F1144" s="3" t="inlineStr">
        <is>
          <t>동성화인텍</t>
        </is>
      </c>
      <c r="G1144" s="2" t="inlineStr">
        <is>
          <t>20260305901082</t>
        </is>
      </c>
      <c r="H1144" s="8">
        <f>HYPERLINK("https://dart.fss.or.kr/dsaf001/main.do?rcpNo=20260305901082", "공시열람")</f>
        <v/>
      </c>
    </row>
    <row r="1145">
      <c r="A1145" s="2" t="inlineStr">
        <is>
          <t>2026-03-05</t>
        </is>
      </c>
      <c r="B1145" s="3" t="inlineStr">
        <is>
          <t>미투온</t>
        </is>
      </c>
      <c r="C1145" s="2" t="inlineStr">
        <is>
          <t>코스닥</t>
        </is>
      </c>
      <c r="D1145" s="2" t="inlineStr">
        <is>
          <t>201490</t>
        </is>
      </c>
      <c r="E1145" s="3" t="inlineStr">
        <is>
          <t xml:space="preserve">주주총회집중일개최사유신고              </t>
        </is>
      </c>
      <c r="F1145" s="3" t="inlineStr">
        <is>
          <t>미투온</t>
        </is>
      </c>
      <c r="G1145" s="2" t="inlineStr">
        <is>
          <t>20260305901650</t>
        </is>
      </c>
      <c r="H1145" s="8">
        <f>HYPERLINK("https://dart.fss.or.kr/dsaf001/main.do?rcpNo=20260305901650", "공시열람")</f>
        <v/>
      </c>
    </row>
    <row r="1146">
      <c r="A1146" s="2" t="inlineStr">
        <is>
          <t>2026-03-05</t>
        </is>
      </c>
      <c r="B1146" s="3" t="inlineStr">
        <is>
          <t>고스트스튜디오</t>
        </is>
      </c>
      <c r="C1146" s="2" t="inlineStr">
        <is>
          <t>코스닥</t>
        </is>
      </c>
      <c r="D1146" s="2" t="inlineStr">
        <is>
          <t>950190</t>
        </is>
      </c>
      <c r="E1146" s="3" t="inlineStr">
        <is>
          <t xml:space="preserve">주주총회집중일개최사유신고              </t>
        </is>
      </c>
      <c r="F1146" s="3" t="inlineStr">
        <is>
          <t>고스트스튜디오</t>
        </is>
      </c>
      <c r="G1146" s="2" t="inlineStr">
        <is>
          <t>20260305901692</t>
        </is>
      </c>
      <c r="H1146" s="8">
        <f>HYPERLINK("https://dart.fss.or.kr/dsaf001/main.do?rcpNo=20260305901692", "공시열람")</f>
        <v/>
      </c>
    </row>
    <row r="1147">
      <c r="A1147" s="2" t="inlineStr">
        <is>
          <t>2026-03-05</t>
        </is>
      </c>
      <c r="B1147" s="3" t="inlineStr">
        <is>
          <t>미투온</t>
        </is>
      </c>
      <c r="C1147" s="2" t="inlineStr">
        <is>
          <t>코스닥</t>
        </is>
      </c>
      <c r="D1147" s="2" t="inlineStr">
        <is>
          <t>201490</t>
        </is>
      </c>
      <c r="E1147" s="3" t="inlineStr">
        <is>
          <t xml:space="preserve">주주총회소집결의              </t>
        </is>
      </c>
      <c r="F1147" s="3" t="inlineStr">
        <is>
          <t>미투온</t>
        </is>
      </c>
      <c r="G1147" s="2" t="inlineStr">
        <is>
          <t>20260305901645</t>
        </is>
      </c>
      <c r="H1147" s="8">
        <f>HYPERLINK("https://dart.fss.or.kr/dsaf001/main.do?rcpNo=20260305901645", "공시열람")</f>
        <v/>
      </c>
    </row>
    <row r="1148">
      <c r="A1148" s="2" t="inlineStr">
        <is>
          <t>2026-03-05</t>
        </is>
      </c>
      <c r="B1148" s="3" t="inlineStr">
        <is>
          <t>서린바이오</t>
        </is>
      </c>
      <c r="C1148" s="2" t="inlineStr">
        <is>
          <t>코스닥</t>
        </is>
      </c>
      <c r="D1148" s="2" t="inlineStr">
        <is>
          <t>038070</t>
        </is>
      </c>
      <c r="E1148" s="3" t="inlineStr">
        <is>
          <t xml:space="preserve">주주총회소집결의              </t>
        </is>
      </c>
      <c r="F1148" s="3" t="inlineStr">
        <is>
          <t>서린바이오</t>
        </is>
      </c>
      <c r="G1148" s="2" t="inlineStr">
        <is>
          <t>20260305901639</t>
        </is>
      </c>
      <c r="H1148" s="8">
        <f>HYPERLINK("https://dart.fss.or.kr/dsaf001/main.do?rcpNo=20260305901639", "공시열람")</f>
        <v/>
      </c>
    </row>
    <row r="1149">
      <c r="A1149" s="2" t="inlineStr">
        <is>
          <t>2026-03-05</t>
        </is>
      </c>
      <c r="B1149" s="3" t="inlineStr">
        <is>
          <t>고스트스튜디오</t>
        </is>
      </c>
      <c r="C1149" s="2" t="inlineStr">
        <is>
          <t>코스닥</t>
        </is>
      </c>
      <c r="D1149" s="2" t="inlineStr">
        <is>
          <t>950190</t>
        </is>
      </c>
      <c r="E1149" s="3" t="inlineStr">
        <is>
          <t>주주총회소집공고</t>
        </is>
      </c>
      <c r="F1149" s="3" t="inlineStr">
        <is>
          <t>고스트스튜디오</t>
        </is>
      </c>
      <c r="G1149" s="2" t="inlineStr">
        <is>
          <t>20260305001566</t>
        </is>
      </c>
      <c r="H1149" s="8">
        <f>HYPERLINK("https://dart.fss.or.kr/dsaf001/main.do?rcpNo=20260305001566", "공시열람")</f>
        <v/>
      </c>
    </row>
    <row r="1150">
      <c r="A1150" s="2" t="inlineStr">
        <is>
          <t>2026-03-05</t>
        </is>
      </c>
      <c r="B1150" s="3" t="inlineStr">
        <is>
          <t>인크로스</t>
        </is>
      </c>
      <c r="C1150" s="2" t="inlineStr">
        <is>
          <t>코스닥</t>
        </is>
      </c>
      <c r="D1150" s="2" t="inlineStr">
        <is>
          <t>216050</t>
        </is>
      </c>
      <c r="E1150" s="3" t="inlineStr">
        <is>
          <t xml:space="preserve">주주총회소집결의              </t>
        </is>
      </c>
      <c r="F1150" s="3" t="inlineStr">
        <is>
          <t>인크로스</t>
        </is>
      </c>
      <c r="G1150" s="2" t="inlineStr">
        <is>
          <t>20260305901610</t>
        </is>
      </c>
      <c r="H1150" s="8">
        <f>HYPERLINK("https://dart.fss.or.kr/dsaf001/main.do?rcpNo=20260305901610", "공시열람")</f>
        <v/>
      </c>
    </row>
    <row r="1151">
      <c r="A1151" s="2" t="inlineStr">
        <is>
          <t>2026-03-05</t>
        </is>
      </c>
      <c r="B1151" s="3" t="inlineStr">
        <is>
          <t>쎄크</t>
        </is>
      </c>
      <c r="C1151" s="2" t="inlineStr">
        <is>
          <t>코스닥</t>
        </is>
      </c>
      <c r="D1151" s="2" t="inlineStr">
        <is>
          <t>081180</t>
        </is>
      </c>
      <c r="E1151" s="3" t="inlineStr">
        <is>
          <t xml:space="preserve">주주총회소집결의              </t>
        </is>
      </c>
      <c r="F1151" s="3" t="inlineStr">
        <is>
          <t>쎄크</t>
        </is>
      </c>
      <c r="G1151" s="2" t="inlineStr">
        <is>
          <t>20260305901637</t>
        </is>
      </c>
      <c r="H1151" s="8">
        <f>HYPERLINK("https://dart.fss.or.kr/dsaf001/main.do?rcpNo=20260305901637", "공시열람")</f>
        <v/>
      </c>
    </row>
    <row r="1152">
      <c r="A1152" s="2" t="inlineStr">
        <is>
          <t>2026-03-05</t>
        </is>
      </c>
      <c r="B1152" s="3" t="inlineStr">
        <is>
          <t>넷마블</t>
        </is>
      </c>
      <c r="C1152" s="2" t="inlineStr">
        <is>
          <t>코스피</t>
        </is>
      </c>
      <c r="D1152" s="2" t="inlineStr">
        <is>
          <t>251270</t>
        </is>
      </c>
      <c r="E1152" s="3" t="inlineStr">
        <is>
          <t xml:space="preserve">주주총회소집결의              </t>
        </is>
      </c>
      <c r="F1152" s="3" t="inlineStr">
        <is>
          <t>넷마블</t>
        </is>
      </c>
      <c r="G1152" s="2" t="inlineStr">
        <is>
          <t>20260305801712</t>
        </is>
      </c>
      <c r="H1152" s="8">
        <f>HYPERLINK("https://dart.fss.or.kr/dsaf001/main.do?rcpNo=20260305801712", "공시열람")</f>
        <v/>
      </c>
    </row>
    <row r="1153">
      <c r="A1153" s="2" t="inlineStr">
        <is>
          <t>2026-03-05</t>
        </is>
      </c>
      <c r="B1153" s="3" t="inlineStr">
        <is>
          <t>HS효성</t>
        </is>
      </c>
      <c r="C1153" s="2" t="inlineStr">
        <is>
          <t>코스피</t>
        </is>
      </c>
      <c r="D1153" s="2" t="inlineStr">
        <is>
          <t>487570</t>
        </is>
      </c>
      <c r="E1153" s="3" t="inlineStr">
        <is>
          <t>주주총회소집공고</t>
        </is>
      </c>
      <c r="F1153" s="3" t="inlineStr">
        <is>
          <t>HS효성</t>
        </is>
      </c>
      <c r="G1153" s="2" t="inlineStr">
        <is>
          <t>20260305001555</t>
        </is>
      </c>
      <c r="H1153" s="8">
        <f>HYPERLINK("https://dart.fss.or.kr/dsaf001/main.do?rcpNo=20260305001555", "공시열람")</f>
        <v/>
      </c>
    </row>
    <row r="1154">
      <c r="A1154" s="2" t="inlineStr">
        <is>
          <t>2026-03-05</t>
        </is>
      </c>
      <c r="B1154" s="3" t="inlineStr">
        <is>
          <t>iM금융지주</t>
        </is>
      </c>
      <c r="C1154" s="2" t="inlineStr">
        <is>
          <t>코스피</t>
        </is>
      </c>
      <c r="D1154" s="2" t="inlineStr">
        <is>
          <t>139130</t>
        </is>
      </c>
      <c r="E1154" s="3" t="inlineStr">
        <is>
          <t xml:space="preserve">최대주주변경              </t>
        </is>
      </c>
      <c r="F1154" s="3" t="inlineStr">
        <is>
          <t>iM금융지주</t>
        </is>
      </c>
      <c r="G1154" s="2" t="inlineStr">
        <is>
          <t>20260305801687</t>
        </is>
      </c>
      <c r="H1154" s="8">
        <f>HYPERLINK("https://dart.fss.or.kr/dsaf001/main.do?rcpNo=20260305801687", "공시열람")</f>
        <v/>
      </c>
    </row>
    <row r="1155">
      <c r="A1155" s="2" t="inlineStr">
        <is>
          <t>2026-03-05</t>
        </is>
      </c>
      <c r="B1155" s="3" t="inlineStr">
        <is>
          <t>하나35호스팩</t>
        </is>
      </c>
      <c r="C1155" s="2" t="inlineStr">
        <is>
          <t>코스닥</t>
        </is>
      </c>
      <c r="D1155" s="2" t="inlineStr">
        <is>
          <t>0041L0</t>
        </is>
      </c>
      <c r="E1155" s="3" t="inlineStr">
        <is>
          <t>주주총회소집공고</t>
        </is>
      </c>
      <c r="F1155" s="3" t="inlineStr">
        <is>
          <t>하나35호스팩</t>
        </is>
      </c>
      <c r="G1155" s="2" t="inlineStr">
        <is>
          <t>20260305001551</t>
        </is>
      </c>
      <c r="H1155" s="8">
        <f>HYPERLINK("https://dart.fss.or.kr/dsaf001/main.do?rcpNo=20260305001551", "공시열람")</f>
        <v/>
      </c>
    </row>
    <row r="1156">
      <c r="A1156" s="2" t="inlineStr">
        <is>
          <t>2026-03-05</t>
        </is>
      </c>
      <c r="B1156" s="3" t="inlineStr">
        <is>
          <t>메리츠금융지주</t>
        </is>
      </c>
      <c r="C1156" s="2" t="inlineStr">
        <is>
          <t>코스피</t>
        </is>
      </c>
      <c r="D1156" s="2" t="inlineStr">
        <is>
          <t>138040</t>
        </is>
      </c>
      <c r="E1156" s="3" t="inlineStr">
        <is>
          <t>주주총회소집공고</t>
        </is>
      </c>
      <c r="F1156" s="3" t="inlineStr">
        <is>
          <t>메리츠금융지주</t>
        </is>
      </c>
      <c r="G1156" s="2" t="inlineStr">
        <is>
          <t>20260305001550</t>
        </is>
      </c>
      <c r="H1156" s="8">
        <f>HYPERLINK("https://dart.fss.or.kr/dsaf001/main.do?rcpNo=20260305001550", "공시열람")</f>
        <v/>
      </c>
    </row>
    <row r="1157">
      <c r="A1157" s="2" t="inlineStr">
        <is>
          <t>2026-03-05</t>
        </is>
      </c>
      <c r="B1157" s="3" t="inlineStr">
        <is>
          <t>HS효성</t>
        </is>
      </c>
      <c r="C1157" s="2" t="inlineStr">
        <is>
          <t>코스피</t>
        </is>
      </c>
      <c r="D1157" s="2" t="inlineStr">
        <is>
          <t>487570</t>
        </is>
      </c>
      <c r="E1157" s="3" t="inlineStr">
        <is>
          <t xml:space="preserve">주주총회소집결의              </t>
        </is>
      </c>
      <c r="F1157" s="3" t="inlineStr">
        <is>
          <t>HS효성</t>
        </is>
      </c>
      <c r="G1157" s="2" t="inlineStr">
        <is>
          <t>20260305801663</t>
        </is>
      </c>
      <c r="H1157" s="8">
        <f>HYPERLINK("https://dart.fss.or.kr/dsaf001/main.do?rcpNo=20260305801663", "공시열람")</f>
        <v/>
      </c>
    </row>
    <row r="1158">
      <c r="A1158" s="2" t="inlineStr">
        <is>
          <t>2026-03-05</t>
        </is>
      </c>
      <c r="B1158" s="3" t="inlineStr">
        <is>
          <t>보성파워텍</t>
        </is>
      </c>
      <c r="C1158" s="2" t="inlineStr">
        <is>
          <t>코스닥</t>
        </is>
      </c>
      <c r="D1158" s="2" t="inlineStr">
        <is>
          <t>006910</t>
        </is>
      </c>
      <c r="E1158" s="3" t="inlineStr">
        <is>
          <t>주주총회소집공고</t>
        </is>
      </c>
      <c r="F1158" s="3" t="inlineStr">
        <is>
          <t>보성파워텍</t>
        </is>
      </c>
      <c r="G1158" s="2" t="inlineStr">
        <is>
          <t>20260305001540</t>
        </is>
      </c>
      <c r="H1158" s="8">
        <f>HYPERLINK("https://dart.fss.or.kr/dsaf001/main.do?rcpNo=20260305001540", "공시열람")</f>
        <v/>
      </c>
    </row>
    <row r="1159">
      <c r="A1159" s="2" t="inlineStr">
        <is>
          <t>2026-03-05</t>
        </is>
      </c>
      <c r="B1159" s="3" t="inlineStr">
        <is>
          <t>유진증권</t>
        </is>
      </c>
      <c r="C1159" s="2" t="inlineStr">
        <is>
          <t>코스피</t>
        </is>
      </c>
      <c r="D1159" s="2" t="inlineStr">
        <is>
          <t>001200</t>
        </is>
      </c>
      <c r="E1159" s="3" t="inlineStr">
        <is>
          <t>주주총회소집공고</t>
        </is>
      </c>
      <c r="F1159" s="3" t="inlineStr">
        <is>
          <t>유진증권</t>
        </is>
      </c>
      <c r="G1159" s="2" t="inlineStr">
        <is>
          <t>20260305001537</t>
        </is>
      </c>
      <c r="H1159" s="8">
        <f>HYPERLINK("https://dart.fss.or.kr/dsaf001/main.do?rcpNo=20260305001537", "공시열람")</f>
        <v/>
      </c>
    </row>
    <row r="1160">
      <c r="A1160" s="2" t="inlineStr">
        <is>
          <t>2026-03-05</t>
        </is>
      </c>
      <c r="B1160" s="3" t="inlineStr">
        <is>
          <t>코칩</t>
        </is>
      </c>
      <c r="C1160" s="2" t="inlineStr">
        <is>
          <t>코스닥</t>
        </is>
      </c>
      <c r="D1160" s="2" t="inlineStr">
        <is>
          <t>126730</t>
        </is>
      </c>
      <c r="E1160" s="3" t="inlineStr">
        <is>
          <t xml:space="preserve">주주총회소집결의              </t>
        </is>
      </c>
      <c r="F1160" s="3" t="inlineStr">
        <is>
          <t>코칩</t>
        </is>
      </c>
      <c r="G1160" s="2" t="inlineStr">
        <is>
          <t>20260305901366</t>
        </is>
      </c>
      <c r="H1160" s="8">
        <f>HYPERLINK("https://dart.fss.or.kr/dsaf001/main.do?rcpNo=20260305901366", "공시열람")</f>
        <v/>
      </c>
    </row>
    <row r="1161">
      <c r="A1161" s="2" t="inlineStr">
        <is>
          <t>2026-03-05</t>
        </is>
      </c>
      <c r="B1161" s="3" t="inlineStr">
        <is>
          <t>주성엔지니어링</t>
        </is>
      </c>
      <c r="C1161" s="2" t="inlineStr">
        <is>
          <t>코스닥</t>
        </is>
      </c>
      <c r="D1161" s="2" t="inlineStr">
        <is>
          <t>036930</t>
        </is>
      </c>
      <c r="E1161" s="3" t="inlineStr">
        <is>
          <t>주주총회소집공고</t>
        </is>
      </c>
      <c r="F1161" s="3" t="inlineStr">
        <is>
          <t>주성엔지니어링</t>
        </is>
      </c>
      <c r="G1161" s="2" t="inlineStr">
        <is>
          <t>20260305001519</t>
        </is>
      </c>
      <c r="H1161" s="8">
        <f>HYPERLINK("https://dart.fss.or.kr/dsaf001/main.do?rcpNo=20260305001519", "공시열람")</f>
        <v/>
      </c>
    </row>
    <row r="1162">
      <c r="A1162" s="2" t="inlineStr">
        <is>
          <t>2026-03-05 (정정: 2026-03-05)</t>
        </is>
      </c>
      <c r="B1162" s="3" t="inlineStr">
        <is>
          <t>코오롱생명과학</t>
        </is>
      </c>
      <c r="C1162" s="2" t="inlineStr">
        <is>
          <t>코스닥</t>
        </is>
      </c>
      <c r="D1162" s="2" t="inlineStr">
        <is>
          <t>102940</t>
        </is>
      </c>
      <c r="E1162" s="3" t="inlineStr">
        <is>
          <t>주주총회소집결의               (정정: 20260305)</t>
        </is>
      </c>
      <c r="F1162" s="3" t="inlineStr">
        <is>
          <t>코오롱생명과학</t>
        </is>
      </c>
      <c r="G1162" s="2" t="inlineStr">
        <is>
          <t>20260305901297</t>
        </is>
      </c>
      <c r="H1162" s="8">
        <f>HYPERLINK("https://dart.fss.or.kr/dsaf001/main.do?rcpNo=20260305901297", "공시열람")</f>
        <v/>
      </c>
    </row>
    <row r="1163">
      <c r="A1163" s="2" t="inlineStr">
        <is>
          <t>2026-03-05</t>
        </is>
      </c>
      <c r="B1163" s="3" t="inlineStr">
        <is>
          <t>유안타제16호스팩</t>
        </is>
      </c>
      <c r="C1163" s="2" t="inlineStr">
        <is>
          <t>코스닥</t>
        </is>
      </c>
      <c r="D1163" s="2" t="inlineStr">
        <is>
          <t>474490</t>
        </is>
      </c>
      <c r="E1163" s="3" t="inlineStr">
        <is>
          <t xml:space="preserve">주주총회소집결의              </t>
        </is>
      </c>
      <c r="F1163" s="3" t="inlineStr">
        <is>
          <t>유안타제16호스팩</t>
        </is>
      </c>
      <c r="G1163" s="2" t="inlineStr">
        <is>
          <t>20260305901457</t>
        </is>
      </c>
      <c r="H1163" s="8">
        <f>HYPERLINK("https://dart.fss.or.kr/dsaf001/main.do?rcpNo=20260305901457", "공시열람")</f>
        <v/>
      </c>
    </row>
    <row r="1164">
      <c r="A1164" s="2" t="inlineStr">
        <is>
          <t>2026-03-05</t>
        </is>
      </c>
      <c r="B1164" s="3" t="inlineStr">
        <is>
          <t>한국캐피탈</t>
        </is>
      </c>
      <c r="C1164" s="2" t="inlineStr">
        <is>
          <t>코스닥</t>
        </is>
      </c>
      <c r="D1164" s="2" t="inlineStr">
        <is>
          <t>023760</t>
        </is>
      </c>
      <c r="E1164" s="3" t="inlineStr">
        <is>
          <t xml:space="preserve">주주총회소집결의              </t>
        </is>
      </c>
      <c r="F1164" s="3" t="inlineStr">
        <is>
          <t>한국캐피탈</t>
        </is>
      </c>
      <c r="G1164" s="2" t="inlineStr">
        <is>
          <t>20260305901598</t>
        </is>
      </c>
      <c r="H1164" s="8">
        <f>HYPERLINK("https://dart.fss.or.kr/dsaf001/main.do?rcpNo=20260305901598", "공시열람")</f>
        <v/>
      </c>
    </row>
    <row r="1165">
      <c r="A1165" s="2" t="inlineStr">
        <is>
          <t>2026-03-05</t>
        </is>
      </c>
      <c r="B1165" s="3" t="inlineStr">
        <is>
          <t>프리시젼바이오</t>
        </is>
      </c>
      <c r="C1165" s="2" t="inlineStr">
        <is>
          <t>코스닥</t>
        </is>
      </c>
      <c r="D1165" s="2" t="inlineStr">
        <is>
          <t>335810</t>
        </is>
      </c>
      <c r="E1165" s="3" t="inlineStr">
        <is>
          <t xml:space="preserve">주주총회집중일개최사유신고              </t>
        </is>
      </c>
      <c r="F1165" s="3" t="inlineStr">
        <is>
          <t>프리시젼바이오</t>
        </is>
      </c>
      <c r="G1165" s="2" t="inlineStr">
        <is>
          <t>20260305901640</t>
        </is>
      </c>
      <c r="H1165" s="8">
        <f>HYPERLINK("https://dart.fss.or.kr/dsaf001/main.do?rcpNo=20260305901640", "공시열람")</f>
        <v/>
      </c>
    </row>
    <row r="1166">
      <c r="A1166" s="2" t="inlineStr">
        <is>
          <t>2026-03-05 (정정: 2026-03-06)</t>
        </is>
      </c>
      <c r="B1166" s="3" t="inlineStr">
        <is>
          <t>JW신약</t>
        </is>
      </c>
      <c r="C1166" s="2" t="inlineStr">
        <is>
          <t>코스닥</t>
        </is>
      </c>
      <c r="D1166" s="2" t="inlineStr">
        <is>
          <t>067290</t>
        </is>
      </c>
      <c r="E1166" s="3" t="inlineStr">
        <is>
          <t>주주총회소집공고 (정정: 20260306)</t>
        </is>
      </c>
      <c r="F1166" s="3" t="inlineStr">
        <is>
          <t>JW신약</t>
        </is>
      </c>
      <c r="G1166" s="2" t="inlineStr">
        <is>
          <t>20260306900113</t>
        </is>
      </c>
      <c r="H1166" s="8">
        <f>HYPERLINK("https://dart.fss.or.kr/dsaf001/main.do?rcpNo=20260306900113", "공시열람")</f>
        <v/>
      </c>
    </row>
    <row r="1167">
      <c r="A1167" s="2" t="inlineStr">
        <is>
          <t>2026-03-05</t>
        </is>
      </c>
      <c r="B1167" s="3" t="inlineStr">
        <is>
          <t>미투온</t>
        </is>
      </c>
      <c r="C1167" s="2" t="inlineStr">
        <is>
          <t>코스닥</t>
        </is>
      </c>
      <c r="D1167" s="2" t="inlineStr">
        <is>
          <t>201490</t>
        </is>
      </c>
      <c r="E1167" s="3" t="inlineStr">
        <is>
          <t>주주총회소집공고</t>
        </is>
      </c>
      <c r="F1167" s="3" t="inlineStr">
        <is>
          <t>미투온</t>
        </is>
      </c>
      <c r="G1167" s="2" t="inlineStr">
        <is>
          <t>20260305001470</t>
        </is>
      </c>
      <c r="H1167" s="8">
        <f>HYPERLINK("https://dart.fss.or.kr/dsaf001/main.do?rcpNo=20260305001470", "공시열람")</f>
        <v/>
      </c>
    </row>
    <row r="1168">
      <c r="A1168" s="2" t="inlineStr">
        <is>
          <t>2026-03-05</t>
        </is>
      </c>
      <c r="B1168" s="3" t="inlineStr">
        <is>
          <t>삼륭물산</t>
        </is>
      </c>
      <c r="C1168" s="2" t="inlineStr">
        <is>
          <t>코스닥</t>
        </is>
      </c>
      <c r="D1168" s="2" t="inlineStr">
        <is>
          <t>014970</t>
        </is>
      </c>
      <c r="E1168" s="3" t="inlineStr">
        <is>
          <t xml:space="preserve">주주총회소집결의              </t>
        </is>
      </c>
      <c r="F1168" s="3" t="inlineStr">
        <is>
          <t>삼륭물산</t>
        </is>
      </c>
      <c r="G1168" s="2" t="inlineStr">
        <is>
          <t>20260305901564</t>
        </is>
      </c>
      <c r="H1168" s="8">
        <f>HYPERLINK("https://dart.fss.or.kr/dsaf001/main.do?rcpNo=20260305901564", "공시열람")</f>
        <v/>
      </c>
    </row>
    <row r="1169">
      <c r="A1169" s="2" t="inlineStr">
        <is>
          <t>2026-03-05</t>
        </is>
      </c>
      <c r="B1169" s="3" t="inlineStr">
        <is>
          <t>하나31호스팩</t>
        </is>
      </c>
      <c r="C1169" s="2" t="inlineStr">
        <is>
          <t>코스닥</t>
        </is>
      </c>
      <c r="D1169" s="2" t="inlineStr">
        <is>
          <t>469900</t>
        </is>
      </c>
      <c r="E1169" s="3" t="inlineStr">
        <is>
          <t>주주총회소집공고</t>
        </is>
      </c>
      <c r="F1169" s="3" t="inlineStr">
        <is>
          <t>하나31호스팩</t>
        </is>
      </c>
      <c r="G1169" s="2" t="inlineStr">
        <is>
          <t>20260305001469</t>
        </is>
      </c>
      <c r="H1169" s="8">
        <f>HYPERLINK("https://dart.fss.or.kr/dsaf001/main.do?rcpNo=20260305001469", "공시열람")</f>
        <v/>
      </c>
    </row>
    <row r="1170">
      <c r="A1170" s="2" t="inlineStr">
        <is>
          <t>2026-03-05</t>
        </is>
      </c>
      <c r="B1170" s="3" t="inlineStr">
        <is>
          <t>보해양조</t>
        </is>
      </c>
      <c r="C1170" s="2" t="inlineStr">
        <is>
          <t>코스피</t>
        </is>
      </c>
      <c r="D1170" s="2" t="inlineStr">
        <is>
          <t>000890</t>
        </is>
      </c>
      <c r="E1170" s="3" t="inlineStr">
        <is>
          <t>주주총회소집공고</t>
        </is>
      </c>
      <c r="F1170" s="3" t="inlineStr">
        <is>
          <t>보해양조</t>
        </is>
      </c>
      <c r="G1170" s="2" t="inlineStr">
        <is>
          <t>20260305001464</t>
        </is>
      </c>
      <c r="H1170" s="8">
        <f>HYPERLINK("https://dart.fss.or.kr/dsaf001/main.do?rcpNo=20260305001464", "공시열람")</f>
        <v/>
      </c>
    </row>
    <row r="1171">
      <c r="A1171" s="2" t="inlineStr">
        <is>
          <t>2026-03-05</t>
        </is>
      </c>
      <c r="B1171" s="3" t="inlineStr">
        <is>
          <t>패션플랫폼</t>
        </is>
      </c>
      <c r="C1171" s="2" t="inlineStr">
        <is>
          <t>코스닥</t>
        </is>
      </c>
      <c r="D1171" s="2" t="inlineStr">
        <is>
          <t>225590</t>
        </is>
      </c>
      <c r="E1171" s="3" t="inlineStr">
        <is>
          <t xml:space="preserve">주주총회소집결의              </t>
        </is>
      </c>
      <c r="F1171" s="3" t="inlineStr">
        <is>
          <t>패션플랫폼</t>
        </is>
      </c>
      <c r="G1171" s="2" t="inlineStr">
        <is>
          <t>20260305901581</t>
        </is>
      </c>
      <c r="H1171" s="8">
        <f>HYPERLINK("https://dart.fss.or.kr/dsaf001/main.do?rcpNo=20260305901581", "공시열람")</f>
        <v/>
      </c>
    </row>
    <row r="1172">
      <c r="A1172" s="2" t="inlineStr">
        <is>
          <t>2026-03-05</t>
        </is>
      </c>
      <c r="B1172" s="3" t="inlineStr">
        <is>
          <t>유니셈</t>
        </is>
      </c>
      <c r="C1172" s="2" t="inlineStr">
        <is>
          <t>코스닥</t>
        </is>
      </c>
      <c r="D1172" s="2" t="inlineStr">
        <is>
          <t>036200</t>
        </is>
      </c>
      <c r="E1172" s="3" t="inlineStr">
        <is>
          <t>주주총회소집공고</t>
        </is>
      </c>
      <c r="F1172" s="3" t="inlineStr">
        <is>
          <t>유니셈</t>
        </is>
      </c>
      <c r="G1172" s="2" t="inlineStr">
        <is>
          <t>20260305001462</t>
        </is>
      </c>
      <c r="H1172" s="8">
        <f>HYPERLINK("https://dart.fss.or.kr/dsaf001/main.do?rcpNo=20260305001462", "공시열람")</f>
        <v/>
      </c>
    </row>
    <row r="1173">
      <c r="A1173" s="2" t="inlineStr">
        <is>
          <t>2026-02-24 (정정: 2026-03-05)</t>
        </is>
      </c>
      <c r="B1173" s="3" t="inlineStr">
        <is>
          <t>와이지-원</t>
        </is>
      </c>
      <c r="C1173" s="2" t="inlineStr">
        <is>
          <t>코스닥</t>
        </is>
      </c>
      <c r="D1173" s="2" t="inlineStr">
        <is>
          <t>019210</t>
        </is>
      </c>
      <c r="E1173" s="3" t="inlineStr">
        <is>
          <t xml:space="preserve">[기재정정]최대주주변경을수반하는주식담보제공계약체결              </t>
        </is>
      </c>
      <c r="F1173" s="3" t="inlineStr">
        <is>
          <t>와이지-원</t>
        </is>
      </c>
      <c r="G1173" s="2" t="inlineStr">
        <is>
          <t>20260305901431</t>
        </is>
      </c>
      <c r="H1173" s="8">
        <f>HYPERLINK("https://dart.fss.or.kr/dsaf001/main.do?rcpNo=20260305901431", "공시열람")</f>
        <v/>
      </c>
    </row>
    <row r="1174">
      <c r="A1174" s="2" t="inlineStr">
        <is>
          <t>2026-03-05</t>
        </is>
      </c>
      <c r="B1174" s="3" t="inlineStr">
        <is>
          <t>하나30호스팩</t>
        </is>
      </c>
      <c r="C1174" s="2" t="inlineStr">
        <is>
          <t>코스닥</t>
        </is>
      </c>
      <c r="D1174" s="2" t="inlineStr">
        <is>
          <t>469880</t>
        </is>
      </c>
      <c r="E1174" s="3" t="inlineStr">
        <is>
          <t>주주총회소집공고</t>
        </is>
      </c>
      <c r="F1174" s="3" t="inlineStr">
        <is>
          <t>하나30호스팩</t>
        </is>
      </c>
      <c r="G1174" s="2" t="inlineStr">
        <is>
          <t>20260305001454</t>
        </is>
      </c>
      <c r="H1174" s="8">
        <f>HYPERLINK("https://dart.fss.or.kr/dsaf001/main.do?rcpNo=20260305001454", "공시열람")</f>
        <v/>
      </c>
    </row>
    <row r="1175">
      <c r="A1175" s="2" t="inlineStr">
        <is>
          <t>2026-03-05</t>
        </is>
      </c>
      <c r="B1175" s="3" t="inlineStr">
        <is>
          <t>셀리드</t>
        </is>
      </c>
      <c r="C1175" s="2" t="inlineStr">
        <is>
          <t>코스닥</t>
        </is>
      </c>
      <c r="D1175" s="2" t="inlineStr">
        <is>
          <t>299660</t>
        </is>
      </c>
      <c r="E1175" s="3" t="inlineStr">
        <is>
          <t xml:space="preserve">주주총회소집결의              </t>
        </is>
      </c>
      <c r="F1175" s="3" t="inlineStr">
        <is>
          <t>셀리드</t>
        </is>
      </c>
      <c r="G1175" s="2" t="inlineStr">
        <is>
          <t>20260305901572</t>
        </is>
      </c>
      <c r="H1175" s="8">
        <f>HYPERLINK("https://dart.fss.or.kr/dsaf001/main.do?rcpNo=20260305901572", "공시열람")</f>
        <v/>
      </c>
    </row>
    <row r="1176">
      <c r="A1176" s="2" t="inlineStr">
        <is>
          <t>2026-03-05</t>
        </is>
      </c>
      <c r="B1176" s="3" t="inlineStr">
        <is>
          <t>동국제약</t>
        </is>
      </c>
      <c r="C1176" s="2" t="inlineStr">
        <is>
          <t>코스닥</t>
        </is>
      </c>
      <c r="D1176" s="2" t="inlineStr">
        <is>
          <t>086450</t>
        </is>
      </c>
      <c r="E1176" s="3" t="inlineStr">
        <is>
          <t>주주총회소집공고</t>
        </is>
      </c>
      <c r="F1176" s="3" t="inlineStr">
        <is>
          <t>동국제약</t>
        </is>
      </c>
      <c r="G1176" s="2" t="inlineStr">
        <is>
          <t>20260305001446</t>
        </is>
      </c>
      <c r="H1176" s="8">
        <f>HYPERLINK("https://dart.fss.or.kr/dsaf001/main.do?rcpNo=20260305001446", "공시열람")</f>
        <v/>
      </c>
    </row>
    <row r="1177">
      <c r="A1177" s="2" t="inlineStr">
        <is>
          <t>2026-03-05</t>
        </is>
      </c>
      <c r="B1177" s="3" t="inlineStr">
        <is>
          <t>프리시젼바이오</t>
        </is>
      </c>
      <c r="C1177" s="2" t="inlineStr">
        <is>
          <t>코스닥</t>
        </is>
      </c>
      <c r="D1177" s="2" t="inlineStr">
        <is>
          <t>335810</t>
        </is>
      </c>
      <c r="E1177" s="3" t="inlineStr">
        <is>
          <t xml:space="preserve">주주총회소집결의              </t>
        </is>
      </c>
      <c r="F1177" s="3" t="inlineStr">
        <is>
          <t>프리시젼바이오</t>
        </is>
      </c>
      <c r="G1177" s="2" t="inlineStr">
        <is>
          <t>20260305901550</t>
        </is>
      </c>
      <c r="H1177" s="8">
        <f>HYPERLINK("https://dart.fss.or.kr/dsaf001/main.do?rcpNo=20260305901550", "공시열람")</f>
        <v/>
      </c>
    </row>
    <row r="1178">
      <c r="A1178" s="2" t="inlineStr">
        <is>
          <t>2026-03-05 (정정: 2026-03-19)</t>
        </is>
      </c>
      <c r="B1178" s="3" t="inlineStr">
        <is>
          <t>진양제약</t>
        </is>
      </c>
      <c r="C1178" s="2" t="inlineStr">
        <is>
          <t>코스닥</t>
        </is>
      </c>
      <c r="D1178" s="2" t="inlineStr">
        <is>
          <t>007370</t>
        </is>
      </c>
      <c r="E1178" s="3" t="inlineStr">
        <is>
          <t>주주총회집중일개최사유신고               (정정: 20260319)</t>
        </is>
      </c>
      <c r="F1178" s="3" t="inlineStr">
        <is>
          <t>진양제약</t>
        </is>
      </c>
      <c r="G1178" s="2" t="inlineStr">
        <is>
          <t>20260319000259</t>
        </is>
      </c>
      <c r="H1178" s="8">
        <f>HYPERLINK("https://dart.fss.or.kr/dsaf001/main.do?rcpNo=20260319000259", "공시열람")</f>
        <v/>
      </c>
    </row>
    <row r="1179">
      <c r="A1179" s="2" t="inlineStr">
        <is>
          <t>2026-03-05 (정정: 2026-03-11)</t>
        </is>
      </c>
      <c r="B1179" s="3" t="inlineStr">
        <is>
          <t>웹스</t>
        </is>
      </c>
      <c r="C1179" s="2" t="inlineStr">
        <is>
          <t>코스닥</t>
        </is>
      </c>
      <c r="D1179" s="2" t="inlineStr">
        <is>
          <t>196700</t>
        </is>
      </c>
      <c r="E1179" s="3" t="inlineStr">
        <is>
          <t>주주총회소집결의               (정정: 20260311)</t>
        </is>
      </c>
      <c r="F1179" s="3" t="inlineStr">
        <is>
          <t>웹스</t>
        </is>
      </c>
      <c r="G1179" s="2" t="inlineStr">
        <is>
          <t>20260311004128</t>
        </is>
      </c>
      <c r="H1179" s="8">
        <f>HYPERLINK("https://dart.fss.or.kr/dsaf001/main.do?rcpNo=20260311004128", "공시열람")</f>
        <v/>
      </c>
    </row>
    <row r="1180">
      <c r="A1180" s="2" t="inlineStr">
        <is>
          <t>2026-03-05</t>
        </is>
      </c>
      <c r="B1180" s="3" t="inlineStr">
        <is>
          <t>SK텔레콤</t>
        </is>
      </c>
      <c r="C1180" s="2" t="inlineStr">
        <is>
          <t>코스피</t>
        </is>
      </c>
      <c r="D1180" s="2" t="inlineStr">
        <is>
          <t>017670</t>
        </is>
      </c>
      <c r="E1180" s="3" t="inlineStr">
        <is>
          <t>[기재정정]주주총회소집공고</t>
        </is>
      </c>
      <c r="F1180" s="3" t="inlineStr">
        <is>
          <t>SK텔레콤</t>
        </is>
      </c>
      <c r="G1180" s="2" t="inlineStr">
        <is>
          <t>20260305001441</t>
        </is>
      </c>
      <c r="H1180" s="8">
        <f>HYPERLINK("https://dart.fss.or.kr/dsaf001/main.do?rcpNo=20260305001441", "공시열람")</f>
        <v/>
      </c>
    </row>
    <row r="1181">
      <c r="A1181" s="2" t="inlineStr">
        <is>
          <t>2026-03-05</t>
        </is>
      </c>
      <c r="B1181" s="3" t="inlineStr">
        <is>
          <t>후성</t>
        </is>
      </c>
      <c r="C1181" s="2" t="inlineStr">
        <is>
          <t>코스피</t>
        </is>
      </c>
      <c r="D1181" s="2" t="inlineStr">
        <is>
          <t>093370</t>
        </is>
      </c>
      <c r="E1181" s="3" t="inlineStr">
        <is>
          <t>주주총회소집공고</t>
        </is>
      </c>
      <c r="F1181" s="3" t="inlineStr">
        <is>
          <t>후성</t>
        </is>
      </c>
      <c r="G1181" s="2" t="inlineStr">
        <is>
          <t>20260305001435</t>
        </is>
      </c>
      <c r="H1181" s="8">
        <f>HYPERLINK("https://dart.fss.or.kr/dsaf001/main.do?rcpNo=20260305001435", "공시열람")</f>
        <v/>
      </c>
    </row>
    <row r="1182">
      <c r="A1182" s="2" t="inlineStr">
        <is>
          <t>2026-03-05</t>
        </is>
      </c>
      <c r="B1182" s="3" t="inlineStr">
        <is>
          <t>보해양조</t>
        </is>
      </c>
      <c r="C1182" s="2" t="inlineStr">
        <is>
          <t>코스피</t>
        </is>
      </c>
      <c r="D1182" s="2" t="inlineStr">
        <is>
          <t>000890</t>
        </is>
      </c>
      <c r="E1182" s="3" t="inlineStr">
        <is>
          <t xml:space="preserve">주주총회소집결의              </t>
        </is>
      </c>
      <c r="F1182" s="3" t="inlineStr">
        <is>
          <t>보해양조</t>
        </is>
      </c>
      <c r="G1182" s="2" t="inlineStr">
        <is>
          <t>20260305801541</t>
        </is>
      </c>
      <c r="H1182" s="8">
        <f>HYPERLINK("https://dart.fss.or.kr/dsaf001/main.do?rcpNo=20260305801541", "공시열람")</f>
        <v/>
      </c>
    </row>
    <row r="1183">
      <c r="A1183" s="2" t="inlineStr">
        <is>
          <t>2026-03-05</t>
        </is>
      </c>
      <c r="B1183" s="3" t="inlineStr">
        <is>
          <t>사조대림</t>
        </is>
      </c>
      <c r="C1183" s="2" t="inlineStr">
        <is>
          <t>코스피</t>
        </is>
      </c>
      <c r="D1183" s="2" t="inlineStr">
        <is>
          <t>003960</t>
        </is>
      </c>
      <c r="E1183" s="3" t="inlineStr">
        <is>
          <t>주주총회소집공고</t>
        </is>
      </c>
      <c r="F1183" s="3" t="inlineStr">
        <is>
          <t>사조대림</t>
        </is>
      </c>
      <c r="G1183" s="2" t="inlineStr">
        <is>
          <t>20260305001419</t>
        </is>
      </c>
      <c r="H1183" s="8">
        <f>HYPERLINK("https://dart.fss.or.kr/dsaf001/main.do?rcpNo=20260305001419", "공시열람")</f>
        <v/>
      </c>
    </row>
    <row r="1184">
      <c r="A1184" s="2" t="inlineStr">
        <is>
          <t>2026-03-05</t>
        </is>
      </c>
      <c r="B1184" s="3" t="inlineStr">
        <is>
          <t>토탈소프트</t>
        </is>
      </c>
      <c r="C1184" s="2" t="inlineStr">
        <is>
          <t>코스닥</t>
        </is>
      </c>
      <c r="D1184" s="2" t="inlineStr">
        <is>
          <t>045340</t>
        </is>
      </c>
      <c r="E1184" s="3" t="inlineStr">
        <is>
          <t xml:space="preserve">주주총회소집결의              </t>
        </is>
      </c>
      <c r="F1184" s="3" t="inlineStr">
        <is>
          <t>토탈소프트</t>
        </is>
      </c>
      <c r="G1184" s="2" t="inlineStr">
        <is>
          <t>20260305901478</t>
        </is>
      </c>
      <c r="H1184" s="8">
        <f>HYPERLINK("https://dart.fss.or.kr/dsaf001/main.do?rcpNo=20260305901478", "공시열람")</f>
        <v/>
      </c>
    </row>
    <row r="1185">
      <c r="A1185" s="2" t="inlineStr">
        <is>
          <t>2026-03-05</t>
        </is>
      </c>
      <c r="B1185" s="3" t="inlineStr">
        <is>
          <t>사조대림</t>
        </is>
      </c>
      <c r="C1185" s="2" t="inlineStr">
        <is>
          <t>코스피</t>
        </is>
      </c>
      <c r="D1185" s="2" t="inlineStr">
        <is>
          <t>003960</t>
        </is>
      </c>
      <c r="E1185" s="3" t="inlineStr">
        <is>
          <t xml:space="preserve">주주총회소집결의              </t>
        </is>
      </c>
      <c r="F1185" s="3" t="inlineStr">
        <is>
          <t>사조대림</t>
        </is>
      </c>
      <c r="G1185" s="2" t="inlineStr">
        <is>
          <t>20260305801556</t>
        </is>
      </c>
      <c r="H1185" s="8">
        <f>HYPERLINK("https://dart.fss.or.kr/dsaf001/main.do?rcpNo=20260305801556", "공시열람")</f>
        <v/>
      </c>
    </row>
    <row r="1186">
      <c r="A1186" s="2" t="inlineStr">
        <is>
          <t>2026-03-05</t>
        </is>
      </c>
      <c r="B1186" s="3" t="inlineStr">
        <is>
          <t>이수앱지스</t>
        </is>
      </c>
      <c r="C1186" s="2" t="inlineStr">
        <is>
          <t>코스닥</t>
        </is>
      </c>
      <c r="D1186" s="2" t="inlineStr">
        <is>
          <t>086890</t>
        </is>
      </c>
      <c r="E1186" s="3" t="inlineStr">
        <is>
          <t xml:space="preserve">주주총회소집결의              </t>
        </is>
      </c>
      <c r="F1186" s="3" t="inlineStr">
        <is>
          <t>이수앱지스</t>
        </is>
      </c>
      <c r="G1186" s="2" t="inlineStr">
        <is>
          <t>20260305901472</t>
        </is>
      </c>
      <c r="H1186" s="8">
        <f>HYPERLINK("https://dart.fss.or.kr/dsaf001/main.do?rcpNo=20260305901472", "공시열람")</f>
        <v/>
      </c>
    </row>
    <row r="1187">
      <c r="A1187" s="2" t="inlineStr">
        <is>
          <t>2026-03-05</t>
        </is>
      </c>
      <c r="B1187" s="3" t="inlineStr">
        <is>
          <t>현대자동차</t>
        </is>
      </c>
      <c r="C1187" s="2" t="inlineStr">
        <is>
          <t>코스피</t>
        </is>
      </c>
      <c r="D1187" s="2" t="inlineStr">
        <is>
          <t>005380</t>
        </is>
      </c>
      <c r="E1187" s="3" t="inlineStr">
        <is>
          <t>[기재정정]주주총회소집공고</t>
        </is>
      </c>
      <c r="F1187" s="3" t="inlineStr">
        <is>
          <t>현대자동차</t>
        </is>
      </c>
      <c r="G1187" s="2" t="inlineStr">
        <is>
          <t>20260305001412</t>
        </is>
      </c>
      <c r="H1187" s="8">
        <f>HYPERLINK("https://dart.fss.or.kr/dsaf001/main.do?rcpNo=20260305001412", "공시열람")</f>
        <v/>
      </c>
    </row>
    <row r="1188">
      <c r="A1188" s="2" t="inlineStr">
        <is>
          <t>2026-03-05 (정정: 2026-03-12)</t>
        </is>
      </c>
      <c r="B1188" s="3" t="inlineStr">
        <is>
          <t>우리로</t>
        </is>
      </c>
      <c r="C1188" s="2" t="inlineStr">
        <is>
          <t>코스닥</t>
        </is>
      </c>
      <c r="D1188" s="2" t="inlineStr">
        <is>
          <t>046970</t>
        </is>
      </c>
      <c r="E1188" s="3" t="inlineStr">
        <is>
          <t>주주총회집중일개최사유신고               (정정: 20260312)</t>
        </is>
      </c>
      <c r="F1188" s="3" t="inlineStr">
        <is>
          <t>우리로</t>
        </is>
      </c>
      <c r="G1188" s="2" t="inlineStr">
        <is>
          <t>20260312902182</t>
        </is>
      </c>
      <c r="H1188" s="8">
        <f>HYPERLINK("https://dart.fss.or.kr/dsaf001/main.do?rcpNo=20260312902182", "공시열람")</f>
        <v/>
      </c>
    </row>
    <row r="1189">
      <c r="A1189" s="2" t="inlineStr">
        <is>
          <t>2026-03-05</t>
        </is>
      </c>
      <c r="B1189" s="3" t="inlineStr">
        <is>
          <t>에이치엠씨제7호스팩</t>
        </is>
      </c>
      <c r="C1189" s="2" t="inlineStr">
        <is>
          <t>코스닥</t>
        </is>
      </c>
      <c r="D1189" s="2" t="inlineStr">
        <is>
          <t>477340</t>
        </is>
      </c>
      <c r="E1189" s="3" t="inlineStr">
        <is>
          <t>주주총회소집공고</t>
        </is>
      </c>
      <c r="F1189" s="3" t="inlineStr">
        <is>
          <t>에이치엠씨제7호스팩</t>
        </is>
      </c>
      <c r="G1189" s="2" t="inlineStr">
        <is>
          <t>20260305001408</t>
        </is>
      </c>
      <c r="H1189" s="8">
        <f>HYPERLINK("https://dart.fss.or.kr/dsaf001/main.do?rcpNo=20260305001408", "공시열람")</f>
        <v/>
      </c>
    </row>
    <row r="1190">
      <c r="A1190" s="2" t="inlineStr">
        <is>
          <t>2026-03-05</t>
        </is>
      </c>
      <c r="B1190" s="3" t="inlineStr">
        <is>
          <t>동국생명과학</t>
        </is>
      </c>
      <c r="C1190" s="2" t="inlineStr">
        <is>
          <t>코스닥</t>
        </is>
      </c>
      <c r="D1190" s="2" t="inlineStr">
        <is>
          <t>303810</t>
        </is>
      </c>
      <c r="E1190" s="3" t="inlineStr">
        <is>
          <t>주주총회소집공고</t>
        </is>
      </c>
      <c r="F1190" s="3" t="inlineStr">
        <is>
          <t>동국생명과학</t>
        </is>
      </c>
      <c r="G1190" s="2" t="inlineStr">
        <is>
          <t>20260305001407</t>
        </is>
      </c>
      <c r="H1190" s="8">
        <f>HYPERLINK("https://dart.fss.or.kr/dsaf001/main.do?rcpNo=20260305001407", "공시열람")</f>
        <v/>
      </c>
    </row>
    <row r="1191">
      <c r="A1191" s="2" t="inlineStr">
        <is>
          <t>2026-03-05</t>
        </is>
      </c>
      <c r="B1191" s="3" t="inlineStr">
        <is>
          <t>원익QnC</t>
        </is>
      </c>
      <c r="C1191" s="2" t="inlineStr">
        <is>
          <t>코스닥</t>
        </is>
      </c>
      <c r="D1191" s="2" t="inlineStr">
        <is>
          <t>074600</t>
        </is>
      </c>
      <c r="E1191" s="3" t="inlineStr">
        <is>
          <t xml:space="preserve">주주총회소집결의              </t>
        </is>
      </c>
      <c r="F1191" s="3" t="inlineStr">
        <is>
          <t>원익QnC</t>
        </is>
      </c>
      <c r="G1191" s="2" t="inlineStr">
        <is>
          <t>20260305901316</t>
        </is>
      </c>
      <c r="H1191" s="8">
        <f>HYPERLINK("https://dart.fss.or.kr/dsaf001/main.do?rcpNo=20260305901316", "공시열람")</f>
        <v/>
      </c>
    </row>
    <row r="1192">
      <c r="A1192" s="2" t="inlineStr">
        <is>
          <t>2026-03-05</t>
        </is>
      </c>
      <c r="B1192" s="3" t="inlineStr">
        <is>
          <t>포톤</t>
        </is>
      </c>
      <c r="C1192" s="2" t="inlineStr">
        <is>
          <t>코스닥</t>
        </is>
      </c>
      <c r="D1192" s="2" t="inlineStr">
        <is>
          <t>208710</t>
        </is>
      </c>
      <c r="E1192" s="3" t="inlineStr">
        <is>
          <t xml:space="preserve">주주총회소집결의              </t>
        </is>
      </c>
      <c r="F1192" s="3" t="inlineStr">
        <is>
          <t>포톤</t>
        </is>
      </c>
      <c r="G1192" s="2" t="inlineStr">
        <is>
          <t>20260305901428</t>
        </is>
      </c>
      <c r="H1192" s="8">
        <f>HYPERLINK("https://dart.fss.or.kr/dsaf001/main.do?rcpNo=20260305901428", "공시열람")</f>
        <v/>
      </c>
    </row>
    <row r="1193">
      <c r="A1193" s="2" t="inlineStr">
        <is>
          <t>2026-03-05 (정정: 2026-03-06)</t>
        </is>
      </c>
      <c r="B1193" s="3" t="inlineStr">
        <is>
          <t>온코크로스</t>
        </is>
      </c>
      <c r="C1193" s="2" t="inlineStr">
        <is>
          <t>코스닥</t>
        </is>
      </c>
      <c r="D1193" s="2" t="inlineStr">
        <is>
          <t>382150</t>
        </is>
      </c>
      <c r="E1193" s="3" t="inlineStr">
        <is>
          <t>주주총회소집공고 (정정: 20260306)</t>
        </is>
      </c>
      <c r="F1193" s="3" t="inlineStr">
        <is>
          <t>온코크로스</t>
        </is>
      </c>
      <c r="G1193" s="2" t="inlineStr">
        <is>
          <t>20260306000910</t>
        </is>
      </c>
      <c r="H1193" s="8">
        <f>HYPERLINK("https://dart.fss.or.kr/dsaf001/main.do?rcpNo=20260306000910", "공시열람")</f>
        <v/>
      </c>
    </row>
    <row r="1194">
      <c r="A1194" s="2" t="inlineStr">
        <is>
          <t>2026-03-05</t>
        </is>
      </c>
      <c r="B1194" s="3" t="inlineStr">
        <is>
          <t>우리로</t>
        </is>
      </c>
      <c r="C1194" s="2" t="inlineStr">
        <is>
          <t>코스닥</t>
        </is>
      </c>
      <c r="D1194" s="2" t="inlineStr">
        <is>
          <t>046970</t>
        </is>
      </c>
      <c r="E1194" s="3" t="inlineStr">
        <is>
          <t xml:space="preserve">주주총회소집결의              </t>
        </is>
      </c>
      <c r="F1194" s="3" t="inlineStr">
        <is>
          <t>우리로</t>
        </is>
      </c>
      <c r="G1194" s="2" t="inlineStr">
        <is>
          <t>20260305901443</t>
        </is>
      </c>
      <c r="H1194" s="8">
        <f>HYPERLINK("https://dart.fss.or.kr/dsaf001/main.do?rcpNo=20260305901443", "공시열람")</f>
        <v/>
      </c>
    </row>
    <row r="1195">
      <c r="A1195" s="2" t="inlineStr">
        <is>
          <t>2026-03-05</t>
        </is>
      </c>
      <c r="B1195" s="3" t="inlineStr">
        <is>
          <t>유진증권</t>
        </is>
      </c>
      <c r="C1195" s="2" t="inlineStr">
        <is>
          <t>코스피</t>
        </is>
      </c>
      <c r="D1195" s="2" t="inlineStr">
        <is>
          <t>001200</t>
        </is>
      </c>
      <c r="E1195" s="3" t="inlineStr">
        <is>
          <t xml:space="preserve">주주총회소집결의              </t>
        </is>
      </c>
      <c r="F1195" s="3" t="inlineStr">
        <is>
          <t>유진증권</t>
        </is>
      </c>
      <c r="G1195" s="2" t="inlineStr">
        <is>
          <t>20260305801439</t>
        </is>
      </c>
      <c r="H1195" s="8">
        <f>HYPERLINK("https://dart.fss.or.kr/dsaf001/main.do?rcpNo=20260305801439", "공시열람")</f>
        <v/>
      </c>
    </row>
    <row r="1196">
      <c r="A1196" s="2" t="inlineStr">
        <is>
          <t>2026-03-05</t>
        </is>
      </c>
      <c r="B1196" s="3" t="inlineStr">
        <is>
          <t>디아이</t>
        </is>
      </c>
      <c r="C1196" s="2" t="inlineStr">
        <is>
          <t>코스피</t>
        </is>
      </c>
      <c r="D1196" s="2" t="inlineStr">
        <is>
          <t>003160</t>
        </is>
      </c>
      <c r="E1196" s="3" t="inlineStr">
        <is>
          <t>주주총회소집공고</t>
        </is>
      </c>
      <c r="F1196" s="3" t="inlineStr">
        <is>
          <t>디아이</t>
        </is>
      </c>
      <c r="G1196" s="2" t="inlineStr">
        <is>
          <t>20260305001395</t>
        </is>
      </c>
      <c r="H1196" s="8">
        <f>HYPERLINK("https://dart.fss.or.kr/dsaf001/main.do?rcpNo=20260305001395", "공시열람")</f>
        <v/>
      </c>
    </row>
    <row r="1197">
      <c r="A1197" s="2" t="inlineStr">
        <is>
          <t>2026-03-05</t>
        </is>
      </c>
      <c r="B1197" s="3" t="inlineStr">
        <is>
          <t>하나33호스팩</t>
        </is>
      </c>
      <c r="C1197" s="2" t="inlineStr">
        <is>
          <t>코스닥</t>
        </is>
      </c>
      <c r="D1197" s="2" t="inlineStr">
        <is>
          <t>475250</t>
        </is>
      </c>
      <c r="E1197" s="3" t="inlineStr">
        <is>
          <t>주주총회소집공고</t>
        </is>
      </c>
      <c r="F1197" s="3" t="inlineStr">
        <is>
          <t>하나33호스팩</t>
        </is>
      </c>
      <c r="G1197" s="2" t="inlineStr">
        <is>
          <t>20260305001393</t>
        </is>
      </c>
      <c r="H1197" s="8">
        <f>HYPERLINK("https://dart.fss.or.kr/dsaf001/main.do?rcpNo=20260305001393", "공시열람")</f>
        <v/>
      </c>
    </row>
    <row r="1198">
      <c r="A1198" s="2" t="inlineStr">
        <is>
          <t>2026-03-05</t>
        </is>
      </c>
      <c r="B1198" s="3" t="inlineStr">
        <is>
          <t>SK아이이테크놀로지</t>
        </is>
      </c>
      <c r="C1198" s="2" t="inlineStr">
        <is>
          <t>코스피</t>
        </is>
      </c>
      <c r="D1198" s="2" t="inlineStr">
        <is>
          <t>361610</t>
        </is>
      </c>
      <c r="E1198" s="3" t="inlineStr">
        <is>
          <t>주주총회소집공고</t>
        </is>
      </c>
      <c r="F1198" s="3" t="inlineStr">
        <is>
          <t>SK아이이테크놀로지</t>
        </is>
      </c>
      <c r="G1198" s="2" t="inlineStr">
        <is>
          <t>20260305001391</t>
        </is>
      </c>
      <c r="H1198" s="8">
        <f>HYPERLINK("https://dart.fss.or.kr/dsaf001/main.do?rcpNo=20260305001391", "공시열람")</f>
        <v/>
      </c>
    </row>
    <row r="1199">
      <c r="A1199" s="2" t="inlineStr">
        <is>
          <t>2026-03-05</t>
        </is>
      </c>
      <c r="B1199" s="3" t="inlineStr">
        <is>
          <t>유안타증권</t>
        </is>
      </c>
      <c r="C1199" s="2" t="inlineStr">
        <is>
          <t>코스피</t>
        </is>
      </c>
      <c r="D1199" s="2" t="inlineStr">
        <is>
          <t>003470</t>
        </is>
      </c>
      <c r="E1199" s="3" t="inlineStr">
        <is>
          <t>주주총회소집공고</t>
        </is>
      </c>
      <c r="F1199" s="3" t="inlineStr">
        <is>
          <t>유안타증권</t>
        </is>
      </c>
      <c r="G1199" s="2" t="inlineStr">
        <is>
          <t>20260305001388</t>
        </is>
      </c>
      <c r="H1199" s="8">
        <f>HYPERLINK("https://dart.fss.or.kr/dsaf001/main.do?rcpNo=20260305001388", "공시열람")</f>
        <v/>
      </c>
    </row>
    <row r="1200">
      <c r="A1200" s="2" t="inlineStr">
        <is>
          <t>2026-03-05</t>
        </is>
      </c>
      <c r="B1200" s="3" t="inlineStr">
        <is>
          <t>디아이</t>
        </is>
      </c>
      <c r="C1200" s="2" t="inlineStr">
        <is>
          <t>코스피</t>
        </is>
      </c>
      <c r="D1200" s="2" t="inlineStr">
        <is>
          <t>003160</t>
        </is>
      </c>
      <c r="E1200" s="3" t="inlineStr">
        <is>
          <t xml:space="preserve">주주총회소집결의              </t>
        </is>
      </c>
      <c r="F1200" s="3" t="inlineStr">
        <is>
          <t>디아이</t>
        </is>
      </c>
      <c r="G1200" s="2" t="inlineStr">
        <is>
          <t>20260305801427</t>
        </is>
      </c>
      <c r="H1200" s="8">
        <f>HYPERLINK("https://dart.fss.or.kr/dsaf001/main.do?rcpNo=20260305801427", "공시열람")</f>
        <v/>
      </c>
    </row>
    <row r="1201">
      <c r="A1201" s="2" t="inlineStr">
        <is>
          <t>2026-03-05</t>
        </is>
      </c>
      <c r="B1201" s="3" t="inlineStr">
        <is>
          <t>진양제약</t>
        </is>
      </c>
      <c r="C1201" s="2" t="inlineStr">
        <is>
          <t>코스닥</t>
        </is>
      </c>
      <c r="D1201" s="2" t="inlineStr">
        <is>
          <t>007370</t>
        </is>
      </c>
      <c r="E1201" s="3" t="inlineStr">
        <is>
          <t>주주총회소집공고</t>
        </is>
      </c>
      <c r="F1201" s="3" t="inlineStr">
        <is>
          <t>진양제약</t>
        </is>
      </c>
      <c r="G1201" s="2" t="inlineStr">
        <is>
          <t>20260305001373</t>
        </is>
      </c>
      <c r="H1201" s="8">
        <f>HYPERLINK("https://dart.fss.or.kr/dsaf001/main.do?rcpNo=20260305001373", "공시열람")</f>
        <v/>
      </c>
    </row>
    <row r="1202">
      <c r="A1202" s="2" t="inlineStr">
        <is>
          <t>2026-03-05</t>
        </is>
      </c>
      <c r="B1202" s="3" t="inlineStr">
        <is>
          <t>한국내화</t>
        </is>
      </c>
      <c r="C1202" s="2" t="inlineStr">
        <is>
          <t>코스피</t>
        </is>
      </c>
      <c r="D1202" s="2" t="inlineStr">
        <is>
          <t>010040</t>
        </is>
      </c>
      <c r="E1202" s="3" t="inlineStr">
        <is>
          <t xml:space="preserve">주주총회집중일개최사유신고              </t>
        </is>
      </c>
      <c r="F1202" s="3" t="inlineStr">
        <is>
          <t>한국내화</t>
        </is>
      </c>
      <c r="G1202" s="2" t="inlineStr">
        <is>
          <t>20260305801442</t>
        </is>
      </c>
      <c r="H1202" s="8">
        <f>HYPERLINK("https://dart.fss.or.kr/dsaf001/main.do?rcpNo=20260305801442", "공시열람")</f>
        <v/>
      </c>
    </row>
    <row r="1203">
      <c r="A1203" s="2" t="inlineStr">
        <is>
          <t>2026-03-05</t>
        </is>
      </c>
      <c r="B1203" s="3" t="inlineStr">
        <is>
          <t>로보스타</t>
        </is>
      </c>
      <c r="C1203" s="2" t="inlineStr">
        <is>
          <t>코스닥</t>
        </is>
      </c>
      <c r="D1203" s="2" t="inlineStr">
        <is>
          <t>090360</t>
        </is>
      </c>
      <c r="E1203" s="3" t="inlineStr">
        <is>
          <t>주주총회소집공고</t>
        </is>
      </c>
      <c r="F1203" s="3" t="inlineStr">
        <is>
          <t>로보스타</t>
        </is>
      </c>
      <c r="G1203" s="2" t="inlineStr">
        <is>
          <t>20260305001369</t>
        </is>
      </c>
      <c r="H1203" s="8">
        <f>HYPERLINK("https://dart.fss.or.kr/dsaf001/main.do?rcpNo=20260305001369", "공시열람")</f>
        <v/>
      </c>
    </row>
    <row r="1204">
      <c r="A1204" s="2" t="inlineStr">
        <is>
          <t>2026-03-05</t>
        </is>
      </c>
      <c r="B1204" s="3" t="inlineStr">
        <is>
          <t>코칩</t>
        </is>
      </c>
      <c r="C1204" s="2" t="inlineStr">
        <is>
          <t>코스닥</t>
        </is>
      </c>
      <c r="D1204" s="2" t="inlineStr">
        <is>
          <t>126730</t>
        </is>
      </c>
      <c r="E1204" s="3" t="inlineStr">
        <is>
          <t xml:space="preserve">주주총회집중일개최사유신고              </t>
        </is>
      </c>
      <c r="F1204" s="3" t="inlineStr">
        <is>
          <t>코칩</t>
        </is>
      </c>
      <c r="G1204" s="2" t="inlineStr">
        <is>
          <t>20260305901320</t>
        </is>
      </c>
      <c r="H1204" s="8">
        <f>HYPERLINK("https://dart.fss.or.kr/dsaf001/main.do?rcpNo=20260305901320", "공시열람")</f>
        <v/>
      </c>
    </row>
    <row r="1205">
      <c r="A1205" s="2" t="inlineStr">
        <is>
          <t>2026-03-05</t>
        </is>
      </c>
      <c r="B1205" s="3" t="inlineStr">
        <is>
          <t>삼성출판사</t>
        </is>
      </c>
      <c r="C1205" s="2" t="inlineStr">
        <is>
          <t>코스피</t>
        </is>
      </c>
      <c r="D1205" s="2" t="inlineStr">
        <is>
          <t>068290</t>
        </is>
      </c>
      <c r="E1205" s="3" t="inlineStr">
        <is>
          <t xml:space="preserve">주주총회소집결의              </t>
        </is>
      </c>
      <c r="F1205" s="3" t="inlineStr">
        <is>
          <t>삼성출판사</t>
        </is>
      </c>
      <c r="G1205" s="2" t="inlineStr">
        <is>
          <t>20260305801398</t>
        </is>
      </c>
      <c r="H1205" s="8">
        <f>HYPERLINK("https://dart.fss.or.kr/dsaf001/main.do?rcpNo=20260305801398", "공시열람")</f>
        <v/>
      </c>
    </row>
    <row r="1206">
      <c r="A1206" s="2" t="inlineStr">
        <is>
          <t>2026-03-05</t>
        </is>
      </c>
      <c r="B1206" s="3" t="inlineStr">
        <is>
          <t>디알젬</t>
        </is>
      </c>
      <c r="C1206" s="2" t="inlineStr">
        <is>
          <t>코스닥</t>
        </is>
      </c>
      <c r="D1206" s="2" t="inlineStr">
        <is>
          <t>263690</t>
        </is>
      </c>
      <c r="E1206" s="3" t="inlineStr">
        <is>
          <t xml:space="preserve">주주총회소집결의              </t>
        </is>
      </c>
      <c r="F1206" s="3" t="inlineStr">
        <is>
          <t>디알젬</t>
        </is>
      </c>
      <c r="G1206" s="2" t="inlineStr">
        <is>
          <t>20260305901387</t>
        </is>
      </c>
      <c r="H1206" s="8">
        <f>HYPERLINK("https://dart.fss.or.kr/dsaf001/main.do?rcpNo=20260305901387", "공시열람")</f>
        <v/>
      </c>
    </row>
    <row r="1207">
      <c r="A1207" s="2" t="inlineStr">
        <is>
          <t>2026-03-05</t>
        </is>
      </c>
      <c r="B1207" s="3" t="inlineStr">
        <is>
          <t>이수앱지스</t>
        </is>
      </c>
      <c r="C1207" s="2" t="inlineStr">
        <is>
          <t>코스닥</t>
        </is>
      </c>
      <c r="D1207" s="2" t="inlineStr">
        <is>
          <t>086890</t>
        </is>
      </c>
      <c r="E1207" s="3" t="inlineStr">
        <is>
          <t>주주총회소집공고</t>
        </is>
      </c>
      <c r="F1207" s="3" t="inlineStr">
        <is>
          <t>이수앱지스</t>
        </is>
      </c>
      <c r="G1207" s="2" t="inlineStr">
        <is>
          <t>20260305001350</t>
        </is>
      </c>
      <c r="H1207" s="8">
        <f>HYPERLINK("https://dart.fss.or.kr/dsaf001/main.do?rcpNo=20260305001350", "공시열람")</f>
        <v/>
      </c>
    </row>
    <row r="1208">
      <c r="A1208" s="2" t="inlineStr">
        <is>
          <t>2026-03-05</t>
        </is>
      </c>
      <c r="B1208" s="3" t="inlineStr">
        <is>
          <t>DN오토모티브</t>
        </is>
      </c>
      <c r="C1208" s="2" t="inlineStr">
        <is>
          <t>코스피</t>
        </is>
      </c>
      <c r="D1208" s="2" t="inlineStr">
        <is>
          <t>007340</t>
        </is>
      </c>
      <c r="E1208" s="3" t="inlineStr">
        <is>
          <t>주주총회소집공고</t>
        </is>
      </c>
      <c r="F1208" s="3" t="inlineStr">
        <is>
          <t>DN오토모티브</t>
        </is>
      </c>
      <c r="G1208" s="2" t="inlineStr">
        <is>
          <t>20260305001348</t>
        </is>
      </c>
      <c r="H1208" s="8">
        <f>HYPERLINK("https://dart.fss.or.kr/dsaf001/main.do?rcpNo=20260305001348", "공시열람")</f>
        <v/>
      </c>
    </row>
    <row r="1209">
      <c r="A1209" s="2" t="inlineStr">
        <is>
          <t>2026-03-05 (정정: 2026-03-06)</t>
        </is>
      </c>
      <c r="B1209" s="3" t="inlineStr">
        <is>
          <t>프리티</t>
        </is>
      </c>
      <c r="C1209" s="2" t="inlineStr">
        <is>
          <t>코스피</t>
        </is>
      </c>
      <c r="D1209" s="2" t="inlineStr">
        <is>
          <t>006490</t>
        </is>
      </c>
      <c r="E1209" s="3" t="inlineStr">
        <is>
          <t>주주총회소집결의               (정정: 20260306) (정정: 20260306)</t>
        </is>
      </c>
      <c r="F1209" s="3" t="inlineStr">
        <is>
          <t>프리티</t>
        </is>
      </c>
      <c r="G1209" s="2" t="inlineStr">
        <is>
          <t>20260306000132</t>
        </is>
      </c>
      <c r="H1209" s="8">
        <f>HYPERLINK("https://dart.fss.or.kr/dsaf001/main.do?rcpNo=20260306000132", "공시열람")</f>
        <v/>
      </c>
    </row>
    <row r="1210">
      <c r="A1210" s="2" t="inlineStr">
        <is>
          <t>2026-03-05</t>
        </is>
      </c>
      <c r="B1210" s="3" t="inlineStr">
        <is>
          <t>한국내화</t>
        </is>
      </c>
      <c r="C1210" s="2" t="inlineStr">
        <is>
          <t>코스피</t>
        </is>
      </c>
      <c r="D1210" s="2" t="inlineStr">
        <is>
          <t>010040</t>
        </is>
      </c>
      <c r="E1210" s="3" t="inlineStr">
        <is>
          <t xml:space="preserve">주주총회소집결의              </t>
        </is>
      </c>
      <c r="F1210" s="3" t="inlineStr">
        <is>
          <t>한국내화</t>
        </is>
      </c>
      <c r="G1210" s="2" t="inlineStr">
        <is>
          <t>20260305801380</t>
        </is>
      </c>
      <c r="H1210" s="8">
        <f>HYPERLINK("https://dart.fss.or.kr/dsaf001/main.do?rcpNo=20260305801380", "공시열람")</f>
        <v/>
      </c>
    </row>
    <row r="1211">
      <c r="A1211" s="2" t="inlineStr">
        <is>
          <t>2026-03-05 (정정: 2026-03-05)</t>
        </is>
      </c>
      <c r="B1211" s="3" t="inlineStr">
        <is>
          <t>현대무벡스</t>
        </is>
      </c>
      <c r="C1211" s="2" t="inlineStr">
        <is>
          <t>코스닥</t>
        </is>
      </c>
      <c r="D1211" s="2" t="inlineStr">
        <is>
          <t>319400</t>
        </is>
      </c>
      <c r="E1211" s="3" t="inlineStr">
        <is>
          <t>주주총회소집결의               (정정: 20260305)</t>
        </is>
      </c>
      <c r="F1211" s="3" t="inlineStr">
        <is>
          <t>현대무벡스</t>
        </is>
      </c>
      <c r="G1211" s="2" t="inlineStr">
        <is>
          <t>20260305901304</t>
        </is>
      </c>
      <c r="H1211" s="8">
        <f>HYPERLINK("https://dart.fss.or.kr/dsaf001/main.do?rcpNo=20260305901304", "공시열람")</f>
        <v/>
      </c>
    </row>
    <row r="1212">
      <c r="A1212" s="2" t="inlineStr">
        <is>
          <t>2026-03-05</t>
        </is>
      </c>
      <c r="B1212" s="3" t="inlineStr">
        <is>
          <t>디알젬</t>
        </is>
      </c>
      <c r="C1212" s="2" t="inlineStr">
        <is>
          <t>코스닥</t>
        </is>
      </c>
      <c r="D1212" s="2" t="inlineStr">
        <is>
          <t>263690</t>
        </is>
      </c>
      <c r="E1212" s="3" t="inlineStr">
        <is>
          <t>주주총회소집공고</t>
        </is>
      </c>
      <c r="F1212" s="3" t="inlineStr">
        <is>
          <t>디알젬</t>
        </is>
      </c>
      <c r="G1212" s="2" t="inlineStr">
        <is>
          <t>20260305001340</t>
        </is>
      </c>
      <c r="H1212" s="8">
        <f>HYPERLINK("https://dart.fss.or.kr/dsaf001/main.do?rcpNo=20260305001340", "공시열람")</f>
        <v/>
      </c>
    </row>
    <row r="1213">
      <c r="A1213" s="2" t="inlineStr">
        <is>
          <t>2026-03-05</t>
        </is>
      </c>
      <c r="B1213" s="3" t="inlineStr">
        <is>
          <t>금호건설</t>
        </is>
      </c>
      <c r="C1213" s="2" t="inlineStr">
        <is>
          <t>코스피</t>
        </is>
      </c>
      <c r="D1213" s="2" t="inlineStr">
        <is>
          <t>002990</t>
        </is>
      </c>
      <c r="E1213" s="3" t="inlineStr">
        <is>
          <t xml:space="preserve">주주총회소집결의              </t>
        </is>
      </c>
      <c r="F1213" s="3" t="inlineStr">
        <is>
          <t>금호건설</t>
        </is>
      </c>
      <c r="G1213" s="2" t="inlineStr">
        <is>
          <t>20260305801350</t>
        </is>
      </c>
      <c r="H1213" s="8">
        <f>HYPERLINK("https://dart.fss.or.kr/dsaf001/main.do?rcpNo=20260305801350", "공시열람")</f>
        <v/>
      </c>
    </row>
    <row r="1214">
      <c r="A1214" s="2" t="inlineStr">
        <is>
          <t>2026-03-05</t>
        </is>
      </c>
      <c r="B1214" s="3" t="inlineStr">
        <is>
          <t>유니트론텍</t>
        </is>
      </c>
      <c r="C1214" s="2" t="inlineStr">
        <is>
          <t>코스닥</t>
        </is>
      </c>
      <c r="D1214" s="2" t="inlineStr">
        <is>
          <t>142210</t>
        </is>
      </c>
      <c r="E1214" s="3" t="inlineStr">
        <is>
          <t xml:space="preserve">주주총회소집결의              </t>
        </is>
      </c>
      <c r="F1214" s="3" t="inlineStr">
        <is>
          <t>유니트론텍</t>
        </is>
      </c>
      <c r="G1214" s="2" t="inlineStr">
        <is>
          <t>20260305901282</t>
        </is>
      </c>
      <c r="H1214" s="8">
        <f>HYPERLINK("https://dart.fss.or.kr/dsaf001/main.do?rcpNo=20260305901282", "공시열람")</f>
        <v/>
      </c>
    </row>
    <row r="1215">
      <c r="A1215" s="2" t="inlineStr">
        <is>
          <t>2026-03-05</t>
        </is>
      </c>
      <c r="B1215" s="3" t="inlineStr">
        <is>
          <t>프리티</t>
        </is>
      </c>
      <c r="C1215" s="2" t="inlineStr">
        <is>
          <t>코스피</t>
        </is>
      </c>
      <c r="D1215" s="2" t="inlineStr">
        <is>
          <t>006490</t>
        </is>
      </c>
      <c r="E1215" s="3" t="inlineStr">
        <is>
          <t>주주총회소집공고</t>
        </is>
      </c>
      <c r="F1215" s="3" t="inlineStr">
        <is>
          <t>프리티</t>
        </is>
      </c>
      <c r="G1215" s="2" t="inlineStr">
        <is>
          <t>20260305001300</t>
        </is>
      </c>
      <c r="H1215" s="8">
        <f>HYPERLINK("https://dart.fss.or.kr/dsaf001/main.do?rcpNo=20260305001300", "공시열람")</f>
        <v/>
      </c>
    </row>
    <row r="1216">
      <c r="A1216" s="2" t="inlineStr">
        <is>
          <t>2026-03-05</t>
        </is>
      </c>
      <c r="B1216" s="3" t="inlineStr">
        <is>
          <t>디아이동일</t>
        </is>
      </c>
      <c r="C1216" s="2" t="inlineStr">
        <is>
          <t>코스피</t>
        </is>
      </c>
      <c r="D1216" s="2" t="inlineStr">
        <is>
          <t>001530</t>
        </is>
      </c>
      <c r="E1216" s="3" t="inlineStr">
        <is>
          <t>주주총회소집공고</t>
        </is>
      </c>
      <c r="F1216" s="3" t="inlineStr">
        <is>
          <t>디아이동일</t>
        </is>
      </c>
      <c r="G1216" s="2" t="inlineStr">
        <is>
          <t>20260305001297</t>
        </is>
      </c>
      <c r="H1216" s="8">
        <f>HYPERLINK("https://dart.fss.or.kr/dsaf001/main.do?rcpNo=20260305001297", "공시열람")</f>
        <v/>
      </c>
    </row>
    <row r="1217">
      <c r="A1217" s="2" t="inlineStr">
        <is>
          <t>2026-03-05</t>
        </is>
      </c>
      <c r="B1217" s="3" t="inlineStr">
        <is>
          <t>OCI홀딩스</t>
        </is>
      </c>
      <c r="C1217" s="2" t="inlineStr">
        <is>
          <t>코스피</t>
        </is>
      </c>
      <c r="D1217" s="2" t="inlineStr">
        <is>
          <t>010060</t>
        </is>
      </c>
      <c r="E1217" s="3" t="inlineStr">
        <is>
          <t xml:space="preserve">주주총회소집결의              </t>
        </is>
      </c>
      <c r="F1217" s="3" t="inlineStr">
        <is>
          <t>OCI홀딩스</t>
        </is>
      </c>
      <c r="G1217" s="2" t="inlineStr">
        <is>
          <t>20260305801302</t>
        </is>
      </c>
      <c r="H1217" s="8">
        <f>HYPERLINK("https://dart.fss.or.kr/dsaf001/main.do?rcpNo=20260305801302", "공시열람")</f>
        <v/>
      </c>
    </row>
    <row r="1218">
      <c r="A1218" s="2" t="inlineStr">
        <is>
          <t>2026-03-05</t>
        </is>
      </c>
      <c r="B1218" s="3" t="inlineStr">
        <is>
          <t>감성코퍼레이션</t>
        </is>
      </c>
      <c r="C1218" s="2" t="inlineStr">
        <is>
          <t>코스닥</t>
        </is>
      </c>
      <c r="D1218" s="2" t="inlineStr">
        <is>
          <t>036620</t>
        </is>
      </c>
      <c r="E1218" s="3" t="inlineStr">
        <is>
          <t xml:space="preserve">주주총회소집결의              </t>
        </is>
      </c>
      <c r="F1218" s="3" t="inlineStr">
        <is>
          <t>감성코퍼레이션</t>
        </is>
      </c>
      <c r="G1218" s="2" t="inlineStr">
        <is>
          <t>20260305901329</t>
        </is>
      </c>
      <c r="H1218" s="8">
        <f>HYPERLINK("https://dart.fss.or.kr/dsaf001/main.do?rcpNo=20260305901329", "공시열람")</f>
        <v/>
      </c>
    </row>
    <row r="1219">
      <c r="A1219" s="2" t="inlineStr">
        <is>
          <t>2026-03-06</t>
        </is>
      </c>
      <c r="B1219" s="3" t="inlineStr">
        <is>
          <t>코스맥스</t>
        </is>
      </c>
      <c r="C1219" s="2" t="inlineStr">
        <is>
          <t>코스피</t>
        </is>
      </c>
      <c r="D1219" s="2" t="inlineStr">
        <is>
          <t>192820</t>
        </is>
      </c>
      <c r="E1219" s="3" t="inlineStr">
        <is>
          <t xml:space="preserve">주주총회소집결의              </t>
        </is>
      </c>
      <c r="F1219" s="3" t="inlineStr">
        <is>
          <t>코스맥스</t>
        </is>
      </c>
      <c r="G1219" s="2" t="inlineStr">
        <is>
          <t>20260306801757</t>
        </is>
      </c>
      <c r="H1219" s="8">
        <f>HYPERLINK("https://dart.fss.or.kr/dsaf001/main.do?rcpNo=20260306801757", "공시열람")</f>
        <v/>
      </c>
    </row>
    <row r="1220">
      <c r="A1220" s="2" t="inlineStr">
        <is>
          <t>2026-03-06</t>
        </is>
      </c>
      <c r="B1220" s="3" t="inlineStr">
        <is>
          <t>HL홀딩스</t>
        </is>
      </c>
      <c r="C1220" s="2" t="inlineStr">
        <is>
          <t>코스피</t>
        </is>
      </c>
      <c r="D1220" s="2" t="inlineStr">
        <is>
          <t>060980</t>
        </is>
      </c>
      <c r="E1220" s="3" t="inlineStr">
        <is>
          <t xml:space="preserve">주주총회소집결의              </t>
        </is>
      </c>
      <c r="F1220" s="3" t="inlineStr">
        <is>
          <t>HL홀딩스</t>
        </is>
      </c>
      <c r="G1220" s="2" t="inlineStr">
        <is>
          <t>20260306801685</t>
        </is>
      </c>
      <c r="H1220" s="8">
        <f>HYPERLINK("https://dart.fss.or.kr/dsaf001/main.do?rcpNo=20260306801685", "공시열람")</f>
        <v/>
      </c>
    </row>
    <row r="1221">
      <c r="A1221" s="2" t="inlineStr">
        <is>
          <t>2026-03-06 (정정: 2026-03-10)</t>
        </is>
      </c>
      <c r="B1221" s="3" t="inlineStr">
        <is>
          <t>나노팀</t>
        </is>
      </c>
      <c r="C1221" s="2" t="inlineStr">
        <is>
          <t>코스닥</t>
        </is>
      </c>
      <c r="D1221" s="2" t="inlineStr">
        <is>
          <t>417010</t>
        </is>
      </c>
      <c r="E1221" s="3" t="inlineStr">
        <is>
          <t>주주총회소집결의               (정정: 20260310)</t>
        </is>
      </c>
      <c r="F1221" s="3" t="inlineStr">
        <is>
          <t>나노팀</t>
        </is>
      </c>
      <c r="G1221" s="2" t="inlineStr">
        <is>
          <t>20260310002264</t>
        </is>
      </c>
      <c r="H1221" s="8">
        <f>HYPERLINK("https://dart.fss.or.kr/dsaf001/main.do?rcpNo=20260310002264", "공시열람")</f>
        <v/>
      </c>
    </row>
    <row r="1222">
      <c r="A1222" s="2" t="inlineStr">
        <is>
          <t>2026-03-06</t>
        </is>
      </c>
      <c r="B1222" s="3" t="inlineStr">
        <is>
          <t>파마리서치바이오</t>
        </is>
      </c>
      <c r="C1222" s="2" t="inlineStr">
        <is>
          <t>코넥스</t>
        </is>
      </c>
      <c r="D1222" s="2" t="inlineStr">
        <is>
          <t>217950</t>
        </is>
      </c>
      <c r="E1222" s="3" t="inlineStr">
        <is>
          <t xml:space="preserve">주주총회소집결의              </t>
        </is>
      </c>
      <c r="F1222" s="3" t="inlineStr">
        <is>
          <t>파마리서치바이오</t>
        </is>
      </c>
      <c r="G1222" s="2" t="inlineStr">
        <is>
          <t>20260306601711</t>
        </is>
      </c>
      <c r="H1222" s="8">
        <f>HYPERLINK("https://dart.fss.or.kr/dsaf001/main.do?rcpNo=20260306601711", "공시열람")</f>
        <v/>
      </c>
    </row>
    <row r="1223">
      <c r="A1223" s="2" t="inlineStr">
        <is>
          <t>2026-03-06</t>
        </is>
      </c>
      <c r="B1223" s="3" t="inlineStr">
        <is>
          <t>iM금융지주</t>
        </is>
      </c>
      <c r="C1223" s="2" t="inlineStr">
        <is>
          <t>코스피</t>
        </is>
      </c>
      <c r="D1223" s="2" t="inlineStr">
        <is>
          <t>139130</t>
        </is>
      </c>
      <c r="E1223" s="3" t="inlineStr">
        <is>
          <t xml:space="preserve">주주총회소집결의              </t>
        </is>
      </c>
      <c r="F1223" s="3" t="inlineStr">
        <is>
          <t>iM금융지주</t>
        </is>
      </c>
      <c r="G1223" s="2" t="inlineStr">
        <is>
          <t>20260306801567</t>
        </is>
      </c>
      <c r="H1223" s="8">
        <f>HYPERLINK("https://dart.fss.or.kr/dsaf001/main.do?rcpNo=20260306801567", "공시열람")</f>
        <v/>
      </c>
    </row>
    <row r="1224">
      <c r="A1224" s="2" t="inlineStr">
        <is>
          <t>2026-03-06</t>
        </is>
      </c>
      <c r="B1224" s="3" t="inlineStr">
        <is>
          <t>제이씨케미칼</t>
        </is>
      </c>
      <c r="C1224" s="2" t="inlineStr">
        <is>
          <t>코스닥</t>
        </is>
      </c>
      <c r="D1224" s="2" t="inlineStr">
        <is>
          <t>137950</t>
        </is>
      </c>
      <c r="E1224" s="3" t="inlineStr">
        <is>
          <t xml:space="preserve">주주총회소집결의              </t>
        </is>
      </c>
      <c r="F1224" s="3" t="inlineStr">
        <is>
          <t>제이씨케미칼</t>
        </is>
      </c>
      <c r="G1224" s="2" t="inlineStr">
        <is>
          <t>20260306901673</t>
        </is>
      </c>
      <c r="H1224" s="8">
        <f>HYPERLINK("https://dart.fss.or.kr/dsaf001/main.do?rcpNo=20260306901673", "공시열람")</f>
        <v/>
      </c>
    </row>
    <row r="1225">
      <c r="A1225" s="2" t="inlineStr">
        <is>
          <t>2026-03-06</t>
        </is>
      </c>
      <c r="B1225" s="3" t="inlineStr">
        <is>
          <t>코오롱티슈진</t>
        </is>
      </c>
      <c r="C1225" s="2" t="inlineStr">
        <is>
          <t>코스닥</t>
        </is>
      </c>
      <c r="D1225" s="2" t="inlineStr">
        <is>
          <t>950160</t>
        </is>
      </c>
      <c r="E1225" s="3" t="inlineStr">
        <is>
          <t xml:space="preserve">주주총회소집결의              </t>
        </is>
      </c>
      <c r="F1225" s="3" t="inlineStr">
        <is>
          <t>코오롱티슈진</t>
        </is>
      </c>
      <c r="G1225" s="2" t="inlineStr">
        <is>
          <t>20260306901677</t>
        </is>
      </c>
      <c r="H1225" s="8">
        <f>HYPERLINK("https://dart.fss.or.kr/dsaf001/main.do?rcpNo=20260306901677", "공시열람")</f>
        <v/>
      </c>
    </row>
    <row r="1226">
      <c r="A1226" s="2" t="inlineStr">
        <is>
          <t>2026-03-06 (정정: 2026-03-06)</t>
        </is>
      </c>
      <c r="B1226" s="3" t="inlineStr">
        <is>
          <t>큐에스아이</t>
        </is>
      </c>
      <c r="C1226" s="2" t="inlineStr">
        <is>
          <t>코스닥</t>
        </is>
      </c>
      <c r="D1226" s="2" t="inlineStr">
        <is>
          <t>066310</t>
        </is>
      </c>
      <c r="E1226" s="3" t="inlineStr">
        <is>
          <t>[기재정정]주주총회소집공고</t>
        </is>
      </c>
      <c r="F1226" s="3" t="inlineStr">
        <is>
          <t>큐에스아이</t>
        </is>
      </c>
      <c r="G1226" s="2" t="inlineStr">
        <is>
          <t>20260306001016</t>
        </is>
      </c>
      <c r="H1226" s="8">
        <f>HYPERLINK("https://dart.fss.or.kr/dsaf001/main.do?rcpNo=20260306001016", "공시열람")</f>
        <v/>
      </c>
    </row>
    <row r="1227">
      <c r="A1227" s="2" t="inlineStr">
        <is>
          <t>2026-03-06</t>
        </is>
      </c>
      <c r="B1227" s="3" t="inlineStr">
        <is>
          <t>에이디테크놀로지</t>
        </is>
      </c>
      <c r="C1227" s="2" t="inlineStr">
        <is>
          <t>코스닥</t>
        </is>
      </c>
      <c r="D1227" s="2" t="inlineStr">
        <is>
          <t>200710</t>
        </is>
      </c>
      <c r="E1227" s="3" t="inlineStr">
        <is>
          <t>주주총회소집공고</t>
        </is>
      </c>
      <c r="F1227" s="3" t="inlineStr">
        <is>
          <t>에이디테크놀로지</t>
        </is>
      </c>
      <c r="G1227" s="2" t="inlineStr">
        <is>
          <t>20260306001010</t>
        </is>
      </c>
      <c r="H1227" s="8">
        <f>HYPERLINK("https://dart.fss.or.kr/dsaf001/main.do?rcpNo=20260306001010", "공시열람")</f>
        <v/>
      </c>
    </row>
    <row r="1228">
      <c r="A1228" s="2" t="inlineStr">
        <is>
          <t>2026-03-06</t>
        </is>
      </c>
      <c r="B1228" s="3" t="inlineStr">
        <is>
          <t>에이디테크놀로지</t>
        </is>
      </c>
      <c r="C1228" s="2" t="inlineStr">
        <is>
          <t>코스닥</t>
        </is>
      </c>
      <c r="D1228" s="2" t="inlineStr">
        <is>
          <t>200710</t>
        </is>
      </c>
      <c r="E1228" s="3" t="inlineStr">
        <is>
          <t xml:space="preserve">주주총회집중일개최사유신고              </t>
        </is>
      </c>
      <c r="F1228" s="3" t="inlineStr">
        <is>
          <t>에이디테크놀로지</t>
        </is>
      </c>
      <c r="G1228" s="2" t="inlineStr">
        <is>
          <t>20260306901622</t>
        </is>
      </c>
      <c r="H1228" s="8">
        <f>HYPERLINK("https://dart.fss.or.kr/dsaf001/main.do?rcpNo=20260306901622", "공시열람")</f>
        <v/>
      </c>
    </row>
    <row r="1229">
      <c r="A1229" s="2" t="inlineStr">
        <is>
          <t>2026-03-06</t>
        </is>
      </c>
      <c r="B1229" s="3" t="inlineStr">
        <is>
          <t>에이디테크놀로지</t>
        </is>
      </c>
      <c r="C1229" s="2" t="inlineStr">
        <is>
          <t>코스닥</t>
        </is>
      </c>
      <c r="D1229" s="2" t="inlineStr">
        <is>
          <t>200710</t>
        </is>
      </c>
      <c r="E1229" s="3" t="inlineStr">
        <is>
          <t xml:space="preserve">주주총회소집결의              </t>
        </is>
      </c>
      <c r="F1229" s="3" t="inlineStr">
        <is>
          <t>에이디테크놀로지</t>
        </is>
      </c>
      <c r="G1229" s="2" t="inlineStr">
        <is>
          <t>20260306901656</t>
        </is>
      </c>
      <c r="H1229" s="8">
        <f>HYPERLINK("https://dart.fss.or.kr/dsaf001/main.do?rcpNo=20260306901656", "공시열람")</f>
        <v/>
      </c>
    </row>
    <row r="1230">
      <c r="A1230" s="2" t="inlineStr">
        <is>
          <t>2026-03-06</t>
        </is>
      </c>
      <c r="B1230" s="3" t="inlineStr">
        <is>
          <t>핸디소프트</t>
        </is>
      </c>
      <c r="C1230" s="2" t="inlineStr">
        <is>
          <t>코스닥</t>
        </is>
      </c>
      <c r="D1230" s="2" t="inlineStr">
        <is>
          <t>220180</t>
        </is>
      </c>
      <c r="E1230" s="3" t="inlineStr">
        <is>
          <t>주주총회소집공고</t>
        </is>
      </c>
      <c r="F1230" s="3" t="inlineStr">
        <is>
          <t>핸디소프트</t>
        </is>
      </c>
      <c r="G1230" s="2" t="inlineStr">
        <is>
          <t>20260306000999</t>
        </is>
      </c>
      <c r="H1230" s="8">
        <f>HYPERLINK("https://dart.fss.or.kr/dsaf001/main.do?rcpNo=20260306000999", "공시열람")</f>
        <v/>
      </c>
    </row>
    <row r="1231">
      <c r="A1231" s="2" t="inlineStr">
        <is>
          <t>2026-03-06</t>
        </is>
      </c>
      <c r="B1231" s="3" t="inlineStr">
        <is>
          <t>옵티시스</t>
        </is>
      </c>
      <c r="C1231" s="2" t="inlineStr">
        <is>
          <t>코스닥</t>
        </is>
      </c>
      <c r="D1231" s="2" t="inlineStr">
        <is>
          <t>109080</t>
        </is>
      </c>
      <c r="E1231" s="3" t="inlineStr">
        <is>
          <t xml:space="preserve">주주총회소집결의              </t>
        </is>
      </c>
      <c r="F1231" s="3" t="inlineStr">
        <is>
          <t>옵티시스</t>
        </is>
      </c>
      <c r="G1231" s="2" t="inlineStr">
        <is>
          <t>20260306901606</t>
        </is>
      </c>
      <c r="H1231" s="8">
        <f>HYPERLINK("https://dart.fss.or.kr/dsaf001/main.do?rcpNo=20260306901606", "공시열람")</f>
        <v/>
      </c>
    </row>
    <row r="1232">
      <c r="A1232" s="2" t="inlineStr">
        <is>
          <t>2026-03-06 (정정: 2026-03-13)</t>
        </is>
      </c>
      <c r="B1232" s="3" t="inlineStr">
        <is>
          <t>디에이치엑스컴퍼니</t>
        </is>
      </c>
      <c r="C1232" s="2" t="inlineStr">
        <is>
          <t>코스닥</t>
        </is>
      </c>
      <c r="D1232" s="2" t="inlineStr">
        <is>
          <t>031860</t>
        </is>
      </c>
      <c r="E1232" s="3" t="inlineStr">
        <is>
          <t>주주총회소집결의               (정정: 20260313)</t>
        </is>
      </c>
      <c r="F1232" s="3" t="inlineStr">
        <is>
          <t>디에이치엑스컴퍼니</t>
        </is>
      </c>
      <c r="G1232" s="2" t="inlineStr">
        <is>
          <t>20260313902141</t>
        </is>
      </c>
      <c r="H1232" s="8">
        <f>HYPERLINK("https://dart.fss.or.kr/dsaf001/main.do?rcpNo=20260313902141", "공시열람")</f>
        <v/>
      </c>
    </row>
    <row r="1233">
      <c r="A1233" s="2" t="inlineStr">
        <is>
          <t>2026-03-06</t>
        </is>
      </c>
      <c r="B1233" s="3" t="inlineStr">
        <is>
          <t>아이엠</t>
        </is>
      </c>
      <c r="C1233" s="2" t="inlineStr">
        <is>
          <t>코스닥</t>
        </is>
      </c>
      <c r="D1233" s="2" t="inlineStr">
        <is>
          <t>101390</t>
        </is>
      </c>
      <c r="E1233" s="3" t="inlineStr">
        <is>
          <t>소송등의판결ㆍ결정              (경영권 분쟁 소송)(임시주주총회 소집허가신청)</t>
        </is>
      </c>
      <c r="F1233" s="3" t="inlineStr">
        <is>
          <t>아이엠</t>
        </is>
      </c>
      <c r="G1233" s="2" t="inlineStr">
        <is>
          <t>20260306901610</t>
        </is>
      </c>
      <c r="H1233" s="8">
        <f>HYPERLINK("https://dart.fss.or.kr/dsaf001/main.do?rcpNo=20260306901610", "공시열람")</f>
        <v/>
      </c>
    </row>
    <row r="1234">
      <c r="A1234" s="2" t="inlineStr">
        <is>
          <t>2026-03-06 (정정: 2026-03-10)</t>
        </is>
      </c>
      <c r="B1234" s="3" t="inlineStr">
        <is>
          <t>티사이언티픽</t>
        </is>
      </c>
      <c r="C1234" s="2" t="inlineStr">
        <is>
          <t>코스닥</t>
        </is>
      </c>
      <c r="D1234" s="2" t="inlineStr">
        <is>
          <t>057680</t>
        </is>
      </c>
      <c r="E1234" s="3" t="inlineStr">
        <is>
          <t>주주총회소집결의               (정정: 20260310)</t>
        </is>
      </c>
      <c r="F1234" s="3" t="inlineStr">
        <is>
          <t>티사이언티픽</t>
        </is>
      </c>
      <c r="G1234" s="2" t="inlineStr">
        <is>
          <t>20260310901889</t>
        </is>
      </c>
      <c r="H1234" s="8">
        <f>HYPERLINK("https://dart.fss.or.kr/dsaf001/main.do?rcpNo=20260310901889", "공시열람")</f>
        <v/>
      </c>
    </row>
    <row r="1235">
      <c r="A1235" s="2" t="inlineStr">
        <is>
          <t>2026-03-06</t>
        </is>
      </c>
      <c r="B1235" s="3" t="inlineStr">
        <is>
          <t>아시아종묘</t>
        </is>
      </c>
      <c r="C1235" s="2" t="inlineStr">
        <is>
          <t>코스닥</t>
        </is>
      </c>
      <c r="D1235" s="2" t="inlineStr">
        <is>
          <t>154030</t>
        </is>
      </c>
      <c r="E1235" s="3" t="inlineStr">
        <is>
          <t xml:space="preserve">주주총회소집결의              </t>
        </is>
      </c>
      <c r="F1235" s="3" t="inlineStr">
        <is>
          <t>아시아종묘</t>
        </is>
      </c>
      <c r="G1235" s="2" t="inlineStr">
        <is>
          <t>20260306901552</t>
        </is>
      </c>
      <c r="H1235" s="8">
        <f>HYPERLINK("https://dart.fss.or.kr/dsaf001/main.do?rcpNo=20260306901552", "공시열람")</f>
        <v/>
      </c>
    </row>
    <row r="1236">
      <c r="A1236" s="2" t="inlineStr">
        <is>
          <t>2026-03-06</t>
        </is>
      </c>
      <c r="B1236" s="3" t="inlineStr">
        <is>
          <t>일정실업</t>
        </is>
      </c>
      <c r="C1236" s="2" t="inlineStr">
        <is>
          <t>코스피</t>
        </is>
      </c>
      <c r="D1236" s="2" t="inlineStr">
        <is>
          <t>008500</t>
        </is>
      </c>
      <c r="E1236" s="3" t="inlineStr">
        <is>
          <t xml:space="preserve">주주총회집중일개최사유신고              </t>
        </is>
      </c>
      <c r="F1236" s="3" t="inlineStr">
        <is>
          <t>일정실업</t>
        </is>
      </c>
      <c r="G1236" s="2" t="inlineStr">
        <is>
          <t>20260306801599</t>
        </is>
      </c>
      <c r="H1236" s="8">
        <f>HYPERLINK("https://dart.fss.or.kr/dsaf001/main.do?rcpNo=20260306801599", "공시열람")</f>
        <v/>
      </c>
    </row>
    <row r="1237">
      <c r="A1237" s="2" t="inlineStr">
        <is>
          <t>2026-03-06</t>
        </is>
      </c>
      <c r="B1237" s="3" t="inlineStr">
        <is>
          <t>폴라리스AI파마</t>
        </is>
      </c>
      <c r="C1237" s="2" t="inlineStr">
        <is>
          <t>코스닥</t>
        </is>
      </c>
      <c r="D1237" s="2" t="inlineStr">
        <is>
          <t>041910</t>
        </is>
      </c>
      <c r="E1237" s="3" t="inlineStr">
        <is>
          <t>주주총회소집공고</t>
        </is>
      </c>
      <c r="F1237" s="3" t="inlineStr">
        <is>
          <t>폴라리스AI파마</t>
        </is>
      </c>
      <c r="G1237" s="2" t="inlineStr">
        <is>
          <t>20260306000985</t>
        </is>
      </c>
      <c r="H1237" s="8">
        <f>HYPERLINK("https://dart.fss.or.kr/dsaf001/main.do?rcpNo=20260306000985", "공시열람")</f>
        <v/>
      </c>
    </row>
    <row r="1238">
      <c r="A1238" s="2" t="inlineStr">
        <is>
          <t>2026-03-06</t>
        </is>
      </c>
      <c r="B1238" s="3" t="inlineStr">
        <is>
          <t>폴라리스AI파마</t>
        </is>
      </c>
      <c r="C1238" s="2" t="inlineStr">
        <is>
          <t>코스닥</t>
        </is>
      </c>
      <c r="D1238" s="2" t="inlineStr">
        <is>
          <t>041910</t>
        </is>
      </c>
      <c r="E1238" s="3" t="inlineStr">
        <is>
          <t xml:space="preserve">주주총회소집결의              </t>
        </is>
      </c>
      <c r="F1238" s="3" t="inlineStr">
        <is>
          <t>폴라리스AI파마</t>
        </is>
      </c>
      <c r="G1238" s="2" t="inlineStr">
        <is>
          <t>20260306901541</t>
        </is>
      </c>
      <c r="H1238" s="8">
        <f>HYPERLINK("https://dart.fss.or.kr/dsaf001/main.do?rcpNo=20260306901541", "공시열람")</f>
        <v/>
      </c>
    </row>
    <row r="1239">
      <c r="A1239" s="2" t="inlineStr">
        <is>
          <t>2026-03-06</t>
        </is>
      </c>
      <c r="B1239" s="3" t="inlineStr">
        <is>
          <t>코스맥스비티아이</t>
        </is>
      </c>
      <c r="C1239" s="2" t="inlineStr">
        <is>
          <t>코스피</t>
        </is>
      </c>
      <c r="D1239" s="2" t="inlineStr">
        <is>
          <t>044820</t>
        </is>
      </c>
      <c r="E1239" s="3" t="inlineStr">
        <is>
          <t xml:space="preserve">주주총회소집결의              </t>
        </is>
      </c>
      <c r="F1239" s="3" t="inlineStr">
        <is>
          <t>코스맥스비티아이</t>
        </is>
      </c>
      <c r="G1239" s="2" t="inlineStr">
        <is>
          <t>20260306801551</t>
        </is>
      </c>
      <c r="H1239" s="8">
        <f>HYPERLINK("https://dart.fss.or.kr/dsaf001/main.do?rcpNo=20260306801551", "공시열람")</f>
        <v/>
      </c>
    </row>
    <row r="1240">
      <c r="A1240" s="2" t="inlineStr">
        <is>
          <t>2026-03-06</t>
        </is>
      </c>
      <c r="B1240" s="3" t="inlineStr">
        <is>
          <t>아시아나IDT</t>
        </is>
      </c>
      <c r="C1240" s="2" t="inlineStr">
        <is>
          <t>코스피</t>
        </is>
      </c>
      <c r="D1240" s="2" t="inlineStr">
        <is>
          <t>267850</t>
        </is>
      </c>
      <c r="E1240" s="3" t="inlineStr">
        <is>
          <t>주주총회소집공고</t>
        </is>
      </c>
      <c r="F1240" s="3" t="inlineStr">
        <is>
          <t>아시아나IDT</t>
        </is>
      </c>
      <c r="G1240" s="2" t="inlineStr">
        <is>
          <t>20260306000978</t>
        </is>
      </c>
      <c r="H1240" s="8">
        <f>HYPERLINK("https://dart.fss.or.kr/dsaf001/main.do?rcpNo=20260306000978", "공시열람")</f>
        <v/>
      </c>
    </row>
    <row r="1241">
      <c r="A1241" s="2" t="inlineStr">
        <is>
          <t>2026-03-06</t>
        </is>
      </c>
      <c r="B1241" s="3" t="inlineStr">
        <is>
          <t>트윔</t>
        </is>
      </c>
      <c r="C1241" s="2" t="inlineStr">
        <is>
          <t>코스닥</t>
        </is>
      </c>
      <c r="D1241" s="2" t="inlineStr">
        <is>
          <t>290090</t>
        </is>
      </c>
      <c r="E1241" s="3" t="inlineStr">
        <is>
          <t xml:space="preserve">주주총회소집결의              </t>
        </is>
      </c>
      <c r="F1241" s="3" t="inlineStr">
        <is>
          <t>트윔</t>
        </is>
      </c>
      <c r="G1241" s="2" t="inlineStr">
        <is>
          <t>20260306901573</t>
        </is>
      </c>
      <c r="H1241" s="8">
        <f>HYPERLINK("https://dart.fss.or.kr/dsaf001/main.do?rcpNo=20260306901573", "공시열람")</f>
        <v/>
      </c>
    </row>
    <row r="1242">
      <c r="A1242" s="2" t="inlineStr">
        <is>
          <t>2026-03-06 (정정: 2026-03-06)</t>
        </is>
      </c>
      <c r="B1242" s="3" t="inlineStr">
        <is>
          <t>DSR</t>
        </is>
      </c>
      <c r="C1242" s="2" t="inlineStr">
        <is>
          <t>코스피</t>
        </is>
      </c>
      <c r="D1242" s="2" t="inlineStr">
        <is>
          <t>155660</t>
        </is>
      </c>
      <c r="E1242" s="3" t="inlineStr">
        <is>
          <t xml:space="preserve">[기재정정]주주총회소집결의              </t>
        </is>
      </c>
      <c r="F1242" s="3" t="inlineStr">
        <is>
          <t>DSR</t>
        </is>
      </c>
      <c r="G1242" s="2" t="inlineStr">
        <is>
          <t>20260306801581</t>
        </is>
      </c>
      <c r="H1242" s="8">
        <f>HYPERLINK("https://dart.fss.or.kr/dsaf001/main.do?rcpNo=20260306801581", "공시열람")</f>
        <v/>
      </c>
    </row>
    <row r="1243">
      <c r="A1243" s="2" t="inlineStr">
        <is>
          <t>2026-03-06</t>
        </is>
      </c>
      <c r="B1243" s="3" t="inlineStr">
        <is>
          <t>하나머티리얼즈</t>
        </is>
      </c>
      <c r="C1243" s="2" t="inlineStr">
        <is>
          <t>코스닥</t>
        </is>
      </c>
      <c r="D1243" s="2" t="inlineStr">
        <is>
          <t>166090</t>
        </is>
      </c>
      <c r="E1243" s="3" t="inlineStr">
        <is>
          <t>주주총회소집공고</t>
        </is>
      </c>
      <c r="F1243" s="3" t="inlineStr">
        <is>
          <t>하나머티리얼즈</t>
        </is>
      </c>
      <c r="G1243" s="2" t="inlineStr">
        <is>
          <t>20260306000971</t>
        </is>
      </c>
      <c r="H1243" s="8">
        <f>HYPERLINK("https://dart.fss.or.kr/dsaf001/main.do?rcpNo=20260306000971", "공시열람")</f>
        <v/>
      </c>
    </row>
    <row r="1244">
      <c r="A1244" s="2" t="inlineStr">
        <is>
          <t>2026-03-06</t>
        </is>
      </c>
      <c r="B1244" s="3" t="inlineStr">
        <is>
          <t>리드코프</t>
        </is>
      </c>
      <c r="C1244" s="2" t="inlineStr">
        <is>
          <t>코스닥</t>
        </is>
      </c>
      <c r="D1244" s="2" t="inlineStr">
        <is>
          <t>012700</t>
        </is>
      </c>
      <c r="E1244" s="3" t="inlineStr">
        <is>
          <t>주주총회소집공고</t>
        </is>
      </c>
      <c r="F1244" s="3" t="inlineStr">
        <is>
          <t>리드코프</t>
        </is>
      </c>
      <c r="G1244" s="2" t="inlineStr">
        <is>
          <t>20260306000967</t>
        </is>
      </c>
      <c r="H1244" s="8">
        <f>HYPERLINK("https://dart.fss.or.kr/dsaf001/main.do?rcpNo=20260306000967", "공시열람")</f>
        <v/>
      </c>
    </row>
    <row r="1245">
      <c r="A1245" s="2" t="inlineStr">
        <is>
          <t>2026-03-06 (정정: 2026-03-06)</t>
        </is>
      </c>
      <c r="B1245" s="3" t="inlineStr">
        <is>
          <t>와이엠</t>
        </is>
      </c>
      <c r="C1245" s="2" t="inlineStr">
        <is>
          <t>코스닥</t>
        </is>
      </c>
      <c r="D1245" s="2" t="inlineStr">
        <is>
          <t>007530</t>
        </is>
      </c>
      <c r="E1245" s="3" t="inlineStr">
        <is>
          <t>주주총회소집공고 (정정: 20260306)</t>
        </is>
      </c>
      <c r="F1245" s="3" t="inlineStr">
        <is>
          <t>와이엠</t>
        </is>
      </c>
      <c r="G1245" s="2" t="inlineStr">
        <is>
          <t>20260306900737</t>
        </is>
      </c>
      <c r="H1245" s="8">
        <f>HYPERLINK("https://dart.fss.or.kr/dsaf001/main.do?rcpNo=20260306900737", "공시열람")</f>
        <v/>
      </c>
    </row>
    <row r="1246">
      <c r="A1246" s="2" t="inlineStr">
        <is>
          <t>2026-03-06</t>
        </is>
      </c>
      <c r="B1246" s="3" t="inlineStr">
        <is>
          <t>핸디소프트</t>
        </is>
      </c>
      <c r="C1246" s="2" t="inlineStr">
        <is>
          <t>코스닥</t>
        </is>
      </c>
      <c r="D1246" s="2" t="inlineStr">
        <is>
          <t>220180</t>
        </is>
      </c>
      <c r="E1246" s="3" t="inlineStr">
        <is>
          <t xml:space="preserve">주주총회소집결의              </t>
        </is>
      </c>
      <c r="F1246" s="3" t="inlineStr">
        <is>
          <t>핸디소프트</t>
        </is>
      </c>
      <c r="G1246" s="2" t="inlineStr">
        <is>
          <t>20260306901510</t>
        </is>
      </c>
      <c r="H1246" s="8">
        <f>HYPERLINK("https://dart.fss.or.kr/dsaf001/main.do?rcpNo=20260306901510", "공시열람")</f>
        <v/>
      </c>
    </row>
    <row r="1247">
      <c r="A1247" s="2" t="inlineStr">
        <is>
          <t>2026-03-06</t>
        </is>
      </c>
      <c r="B1247" s="3" t="inlineStr">
        <is>
          <t>리드코프</t>
        </is>
      </c>
      <c r="C1247" s="2" t="inlineStr">
        <is>
          <t>코스닥</t>
        </is>
      </c>
      <c r="D1247" s="2" t="inlineStr">
        <is>
          <t>012700</t>
        </is>
      </c>
      <c r="E1247" s="3" t="inlineStr">
        <is>
          <t xml:space="preserve">주주총회집중일개최사유신고              </t>
        </is>
      </c>
      <c r="F1247" s="3" t="inlineStr">
        <is>
          <t>리드코프</t>
        </is>
      </c>
      <c r="G1247" s="2" t="inlineStr">
        <is>
          <t>20260306901488</t>
        </is>
      </c>
      <c r="H1247" s="8">
        <f>HYPERLINK("https://dart.fss.or.kr/dsaf001/main.do?rcpNo=20260306901488", "공시열람")</f>
        <v/>
      </c>
    </row>
    <row r="1248">
      <c r="A1248" s="2" t="inlineStr">
        <is>
          <t>2026-03-06</t>
        </is>
      </c>
      <c r="B1248" s="3" t="inlineStr">
        <is>
          <t>리드코프</t>
        </is>
      </c>
      <c r="C1248" s="2" t="inlineStr">
        <is>
          <t>코스닥</t>
        </is>
      </c>
      <c r="D1248" s="2" t="inlineStr">
        <is>
          <t>012700</t>
        </is>
      </c>
      <c r="E1248" s="3" t="inlineStr">
        <is>
          <t xml:space="preserve">주주총회소집결의              </t>
        </is>
      </c>
      <c r="F1248" s="3" t="inlineStr">
        <is>
          <t>리드코프</t>
        </is>
      </c>
      <c r="G1248" s="2" t="inlineStr">
        <is>
          <t>20260306901479</t>
        </is>
      </c>
      <c r="H1248" s="8">
        <f>HYPERLINK("https://dart.fss.or.kr/dsaf001/main.do?rcpNo=20260306901479", "공시열람")</f>
        <v/>
      </c>
    </row>
    <row r="1249">
      <c r="A1249" s="2" t="inlineStr">
        <is>
          <t>2026-03-06</t>
        </is>
      </c>
      <c r="B1249" s="3" t="inlineStr">
        <is>
          <t>대현</t>
        </is>
      </c>
      <c r="C1249" s="2" t="inlineStr">
        <is>
          <t>코스피</t>
        </is>
      </c>
      <c r="D1249" s="2" t="inlineStr">
        <is>
          <t>016090</t>
        </is>
      </c>
      <c r="E1249" s="3" t="inlineStr">
        <is>
          <t xml:space="preserve">주주총회소집결의              </t>
        </is>
      </c>
      <c r="F1249" s="3" t="inlineStr">
        <is>
          <t>대현</t>
        </is>
      </c>
      <c r="G1249" s="2" t="inlineStr">
        <is>
          <t>20260306801446</t>
        </is>
      </c>
      <c r="H1249" s="8">
        <f>HYPERLINK("https://dart.fss.or.kr/dsaf001/main.do?rcpNo=20260306801446", "공시열람")</f>
        <v/>
      </c>
    </row>
    <row r="1250">
      <c r="A1250" s="2" t="inlineStr">
        <is>
          <t>2026-03-06</t>
        </is>
      </c>
      <c r="B1250" s="3" t="inlineStr">
        <is>
          <t>유니포인트</t>
        </is>
      </c>
      <c r="C1250" s="2" t="inlineStr">
        <is>
          <t>코넥스</t>
        </is>
      </c>
      <c r="D1250" s="2" t="inlineStr">
        <is>
          <t>121060</t>
        </is>
      </c>
      <c r="E1250" s="3" t="inlineStr">
        <is>
          <t xml:space="preserve">주주총회소집결의              </t>
        </is>
      </c>
      <c r="F1250" s="3" t="inlineStr">
        <is>
          <t>유니포인트</t>
        </is>
      </c>
      <c r="G1250" s="2" t="inlineStr">
        <is>
          <t>20260306601421</t>
        </is>
      </c>
      <c r="H1250" s="8">
        <f>HYPERLINK("https://dart.fss.or.kr/dsaf001/main.do?rcpNo=20260306601421", "공시열람")</f>
        <v/>
      </c>
    </row>
    <row r="1251">
      <c r="A1251" s="2" t="inlineStr">
        <is>
          <t>2026-03-06</t>
        </is>
      </c>
      <c r="B1251" s="3" t="inlineStr">
        <is>
          <t>나노실리칸첨단소재</t>
        </is>
      </c>
      <c r="C1251" s="2" t="inlineStr">
        <is>
          <t>코스닥</t>
        </is>
      </c>
      <c r="D1251" s="2" t="inlineStr">
        <is>
          <t>286750</t>
        </is>
      </c>
      <c r="E1251" s="3" t="inlineStr">
        <is>
          <t xml:space="preserve">주주총회소집결의              </t>
        </is>
      </c>
      <c r="F1251" s="3" t="inlineStr">
        <is>
          <t>나노실리칸첨단소재</t>
        </is>
      </c>
      <c r="G1251" s="2" t="inlineStr">
        <is>
          <t>20260306901539</t>
        </is>
      </c>
      <c r="H1251" s="8">
        <f>HYPERLINK("https://dart.fss.or.kr/dsaf001/main.do?rcpNo=20260306901539", "공시열람")</f>
        <v/>
      </c>
    </row>
    <row r="1252">
      <c r="A1252" s="2" t="inlineStr">
        <is>
          <t>2026-03-06</t>
        </is>
      </c>
      <c r="B1252" s="3" t="inlineStr">
        <is>
          <t>마니커</t>
        </is>
      </c>
      <c r="C1252" s="2" t="inlineStr">
        <is>
          <t>코스피</t>
        </is>
      </c>
      <c r="D1252" s="2" t="inlineStr">
        <is>
          <t>027740</t>
        </is>
      </c>
      <c r="E1252" s="3" t="inlineStr">
        <is>
          <t>주주총회소집공고</t>
        </is>
      </c>
      <c r="F1252" s="3" t="inlineStr">
        <is>
          <t>마니커</t>
        </is>
      </c>
      <c r="G1252" s="2" t="inlineStr">
        <is>
          <t>20260306000947</t>
        </is>
      </c>
      <c r="H1252" s="8">
        <f>HYPERLINK("https://dart.fss.or.kr/dsaf001/main.do?rcpNo=20260306000947", "공시열람")</f>
        <v/>
      </c>
    </row>
    <row r="1253">
      <c r="A1253" s="2" t="inlineStr">
        <is>
          <t>2026-03-06</t>
        </is>
      </c>
      <c r="B1253" s="3" t="inlineStr">
        <is>
          <t>케이엠더블유</t>
        </is>
      </c>
      <c r="C1253" s="2" t="inlineStr">
        <is>
          <t>코스닥</t>
        </is>
      </c>
      <c r="D1253" s="2" t="inlineStr">
        <is>
          <t>032500</t>
        </is>
      </c>
      <c r="E1253" s="3" t="inlineStr">
        <is>
          <t xml:space="preserve">주주총회집중일개최사유신고              </t>
        </is>
      </c>
      <c r="F1253" s="3" t="inlineStr">
        <is>
          <t>케이엠더블유</t>
        </is>
      </c>
      <c r="G1253" s="2" t="inlineStr">
        <is>
          <t>20260306901524</t>
        </is>
      </c>
      <c r="H1253" s="8">
        <f>HYPERLINK("https://dart.fss.or.kr/dsaf001/main.do?rcpNo=20260306901524", "공시열람")</f>
        <v/>
      </c>
    </row>
    <row r="1254">
      <c r="A1254" s="2" t="inlineStr">
        <is>
          <t>2026-03-06</t>
        </is>
      </c>
      <c r="B1254" s="3" t="inlineStr">
        <is>
          <t>하나머티리얼즈</t>
        </is>
      </c>
      <c r="C1254" s="2" t="inlineStr">
        <is>
          <t>코스닥</t>
        </is>
      </c>
      <c r="D1254" s="2" t="inlineStr">
        <is>
          <t>166090</t>
        </is>
      </c>
      <c r="E1254" s="3" t="inlineStr">
        <is>
          <t xml:space="preserve">주주총회소집결의              </t>
        </is>
      </c>
      <c r="F1254" s="3" t="inlineStr">
        <is>
          <t>하나머티리얼즈</t>
        </is>
      </c>
      <c r="G1254" s="2" t="inlineStr">
        <is>
          <t>20260306901530</t>
        </is>
      </c>
      <c r="H1254" s="8">
        <f>HYPERLINK("https://dart.fss.or.kr/dsaf001/main.do?rcpNo=20260306901530", "공시열람")</f>
        <v/>
      </c>
    </row>
    <row r="1255">
      <c r="A1255" s="2" t="inlineStr">
        <is>
          <t>2026-03-06</t>
        </is>
      </c>
      <c r="B1255" s="3" t="inlineStr">
        <is>
          <t>소프트센</t>
        </is>
      </c>
      <c r="C1255" s="2" t="inlineStr">
        <is>
          <t>코스닥</t>
        </is>
      </c>
      <c r="D1255" s="2" t="inlineStr">
        <is>
          <t>032680</t>
        </is>
      </c>
      <c r="E1255" s="3" t="inlineStr">
        <is>
          <t>주주총회소집공고</t>
        </is>
      </c>
      <c r="F1255" s="3" t="inlineStr">
        <is>
          <t>소프트센</t>
        </is>
      </c>
      <c r="G1255" s="2" t="inlineStr">
        <is>
          <t>20260306000938</t>
        </is>
      </c>
      <c r="H1255" s="8">
        <f>HYPERLINK("https://dart.fss.or.kr/dsaf001/main.do?rcpNo=20260306000938", "공시열람")</f>
        <v/>
      </c>
    </row>
    <row r="1256">
      <c r="A1256" s="2" t="inlineStr">
        <is>
          <t>2026-03-06</t>
        </is>
      </c>
      <c r="B1256" s="3" t="inlineStr">
        <is>
          <t>마니커</t>
        </is>
      </c>
      <c r="C1256" s="2" t="inlineStr">
        <is>
          <t>코스피</t>
        </is>
      </c>
      <c r="D1256" s="2" t="inlineStr">
        <is>
          <t>027740</t>
        </is>
      </c>
      <c r="E1256" s="3" t="inlineStr">
        <is>
          <t xml:space="preserve">주주총회소집결의              </t>
        </is>
      </c>
      <c r="F1256" s="3" t="inlineStr">
        <is>
          <t>마니커</t>
        </is>
      </c>
      <c r="G1256" s="2" t="inlineStr">
        <is>
          <t>20260306801459</t>
        </is>
      </c>
      <c r="H1256" s="8">
        <f>HYPERLINK("https://dart.fss.or.kr/dsaf001/main.do?rcpNo=20260306801459", "공시열람")</f>
        <v/>
      </c>
    </row>
    <row r="1257">
      <c r="A1257" s="2" t="inlineStr">
        <is>
          <t>2026-03-06</t>
        </is>
      </c>
      <c r="B1257" s="3" t="inlineStr">
        <is>
          <t>한국전자인증</t>
        </is>
      </c>
      <c r="C1257" s="2" t="inlineStr">
        <is>
          <t>코스닥</t>
        </is>
      </c>
      <c r="D1257" s="2" t="inlineStr">
        <is>
          <t>041460</t>
        </is>
      </c>
      <c r="E1257" s="3" t="inlineStr">
        <is>
          <t>주주총회소집공고</t>
        </is>
      </c>
      <c r="F1257" s="3" t="inlineStr">
        <is>
          <t>한국전자인증</t>
        </is>
      </c>
      <c r="G1257" s="2" t="inlineStr">
        <is>
          <t>20260306000936</t>
        </is>
      </c>
      <c r="H1257" s="8">
        <f>HYPERLINK("https://dart.fss.or.kr/dsaf001/main.do?rcpNo=20260306000936", "공시열람")</f>
        <v/>
      </c>
    </row>
    <row r="1258">
      <c r="A1258" s="2" t="inlineStr">
        <is>
          <t>2026-03-06</t>
        </is>
      </c>
      <c r="B1258" s="3" t="inlineStr">
        <is>
          <t>LS네트웍스</t>
        </is>
      </c>
      <c r="C1258" s="2" t="inlineStr">
        <is>
          <t>코스피</t>
        </is>
      </c>
      <c r="D1258" s="2" t="inlineStr">
        <is>
          <t>000680</t>
        </is>
      </c>
      <c r="E1258" s="3" t="inlineStr">
        <is>
          <t>주주총회소집공고</t>
        </is>
      </c>
      <c r="F1258" s="3" t="inlineStr">
        <is>
          <t>LS네트웍스</t>
        </is>
      </c>
      <c r="G1258" s="2" t="inlineStr">
        <is>
          <t>20260306000920</t>
        </is>
      </c>
      <c r="H1258" s="8">
        <f>HYPERLINK("https://dart.fss.or.kr/dsaf001/main.do?rcpNo=20260306000920", "공시열람")</f>
        <v/>
      </c>
    </row>
    <row r="1259">
      <c r="A1259" s="2" t="inlineStr">
        <is>
          <t>2026-03-06</t>
        </is>
      </c>
      <c r="B1259" s="3" t="inlineStr">
        <is>
          <t>알파칩스</t>
        </is>
      </c>
      <c r="C1259" s="2" t="inlineStr">
        <is>
          <t>코스닥</t>
        </is>
      </c>
      <c r="D1259" s="2" t="inlineStr">
        <is>
          <t>117670</t>
        </is>
      </c>
      <c r="E1259" s="3" t="inlineStr">
        <is>
          <t xml:space="preserve">주주총회소집결의              </t>
        </is>
      </c>
      <c r="F1259" s="3" t="inlineStr">
        <is>
          <t>알파칩스</t>
        </is>
      </c>
      <c r="G1259" s="2" t="inlineStr">
        <is>
          <t>20260306901368</t>
        </is>
      </c>
      <c r="H1259" s="8">
        <f>HYPERLINK("https://dart.fss.or.kr/dsaf001/main.do?rcpNo=20260306901368", "공시열람")</f>
        <v/>
      </c>
    </row>
    <row r="1260">
      <c r="A1260" s="2" t="inlineStr">
        <is>
          <t>2026-03-06</t>
        </is>
      </c>
      <c r="B1260" s="3" t="inlineStr">
        <is>
          <t>온코닉테라퓨틱스</t>
        </is>
      </c>
      <c r="C1260" s="2" t="inlineStr">
        <is>
          <t>코스닥</t>
        </is>
      </c>
      <c r="D1260" s="2" t="inlineStr">
        <is>
          <t>476060</t>
        </is>
      </c>
      <c r="E1260" s="3" t="inlineStr">
        <is>
          <t>주주총회소집공고</t>
        </is>
      </c>
      <c r="F1260" s="3" t="inlineStr">
        <is>
          <t>온코닉테라퓨틱스</t>
        </is>
      </c>
      <c r="G1260" s="2" t="inlineStr">
        <is>
          <t>20260306000916</t>
        </is>
      </c>
      <c r="H1260" s="8">
        <f>HYPERLINK("https://dart.fss.or.kr/dsaf001/main.do?rcpNo=20260306000916", "공시열람")</f>
        <v/>
      </c>
    </row>
    <row r="1261">
      <c r="A1261" s="2" t="inlineStr">
        <is>
          <t>2026-03-06</t>
        </is>
      </c>
      <c r="B1261" s="3" t="inlineStr">
        <is>
          <t>LS네트웍스</t>
        </is>
      </c>
      <c r="C1261" s="2" t="inlineStr">
        <is>
          <t>코스피</t>
        </is>
      </c>
      <c r="D1261" s="2" t="inlineStr">
        <is>
          <t>000680</t>
        </is>
      </c>
      <c r="E1261" s="3" t="inlineStr">
        <is>
          <t xml:space="preserve">주주총회소집결의              </t>
        </is>
      </c>
      <c r="F1261" s="3" t="inlineStr">
        <is>
          <t>LS네트웍스</t>
        </is>
      </c>
      <c r="G1261" s="2" t="inlineStr">
        <is>
          <t>20260306801430</t>
        </is>
      </c>
      <c r="H1261" s="8">
        <f>HYPERLINK("https://dart.fss.or.kr/dsaf001/main.do?rcpNo=20260306801430", "공시열람")</f>
        <v/>
      </c>
    </row>
    <row r="1262">
      <c r="A1262" s="2" t="inlineStr">
        <is>
          <t>2026-03-06 (정정: 2026-03-09)</t>
        </is>
      </c>
      <c r="B1262" s="3" t="inlineStr">
        <is>
          <t>고려아연</t>
        </is>
      </c>
      <c r="C1262" s="2" t="inlineStr">
        <is>
          <t>코스피</t>
        </is>
      </c>
      <c r="D1262" s="2" t="inlineStr">
        <is>
          <t>010130</t>
        </is>
      </c>
      <c r="E1262" s="3" t="inlineStr">
        <is>
          <t>소송등의제기ㆍ신청(경영권분쟁소송)               (정정: 20260309) (정정: 20260309)</t>
        </is>
      </c>
      <c r="F1262" s="3" t="inlineStr">
        <is>
          <t>고려아연</t>
        </is>
      </c>
      <c r="G1262" s="2" t="inlineStr">
        <is>
          <t>20260309001811</t>
        </is>
      </c>
      <c r="H1262" s="8">
        <f>HYPERLINK("https://dart.fss.or.kr/dsaf001/main.do?rcpNo=20260309001811", "공시열람")</f>
        <v/>
      </c>
    </row>
    <row r="1263">
      <c r="A1263" s="2" t="inlineStr">
        <is>
          <t>2026-03-06</t>
        </is>
      </c>
      <c r="B1263" s="3" t="inlineStr">
        <is>
          <t>온코닉테라퓨틱스</t>
        </is>
      </c>
      <c r="C1263" s="2" t="inlineStr">
        <is>
          <t>코스닥</t>
        </is>
      </c>
      <c r="D1263" s="2" t="inlineStr">
        <is>
          <t>476060</t>
        </is>
      </c>
      <c r="E1263" s="3" t="inlineStr">
        <is>
          <t xml:space="preserve">주주총회소집결의              </t>
        </is>
      </c>
      <c r="F1263" s="3" t="inlineStr">
        <is>
          <t>온코닉테라퓨틱스</t>
        </is>
      </c>
      <c r="G1263" s="2" t="inlineStr">
        <is>
          <t>20260306901410</t>
        </is>
      </c>
      <c r="H1263" s="8">
        <f>HYPERLINK("https://dart.fss.or.kr/dsaf001/main.do?rcpNo=20260306901410", "공시열람")</f>
        <v/>
      </c>
    </row>
    <row r="1264">
      <c r="A1264" s="2" t="inlineStr">
        <is>
          <t>2026-03-06</t>
        </is>
      </c>
      <c r="B1264" s="3" t="inlineStr">
        <is>
          <t>신화인터텍</t>
        </is>
      </c>
      <c r="C1264" s="2" t="inlineStr">
        <is>
          <t>코스닥</t>
        </is>
      </c>
      <c r="D1264" s="2" t="inlineStr">
        <is>
          <t>056700</t>
        </is>
      </c>
      <c r="E1264" s="3" t="inlineStr">
        <is>
          <t>주주총회소집공고</t>
        </is>
      </c>
      <c r="F1264" s="3" t="inlineStr">
        <is>
          <t>신화인터텍</t>
        </is>
      </c>
      <c r="G1264" s="2" t="inlineStr">
        <is>
          <t>20260306000911</t>
        </is>
      </c>
      <c r="H1264" s="8">
        <f>HYPERLINK("https://dart.fss.or.kr/dsaf001/main.do?rcpNo=20260306000911", "공시열람")</f>
        <v/>
      </c>
    </row>
    <row r="1265">
      <c r="A1265" s="2" t="inlineStr">
        <is>
          <t>2026-03-06</t>
        </is>
      </c>
      <c r="B1265" s="3" t="inlineStr">
        <is>
          <t>삼영에스앤씨</t>
        </is>
      </c>
      <c r="C1265" s="2" t="inlineStr">
        <is>
          <t>코스닥</t>
        </is>
      </c>
      <c r="D1265" s="2" t="inlineStr">
        <is>
          <t>361670</t>
        </is>
      </c>
      <c r="E1265" s="3" t="inlineStr">
        <is>
          <t>주주총회소집공고</t>
        </is>
      </c>
      <c r="F1265" s="3" t="inlineStr">
        <is>
          <t>삼영에스앤씨</t>
        </is>
      </c>
      <c r="G1265" s="2" t="inlineStr">
        <is>
          <t>20260306000909</t>
        </is>
      </c>
      <c r="H1265" s="8">
        <f>HYPERLINK("https://dart.fss.or.kr/dsaf001/main.do?rcpNo=20260306000909", "공시열람")</f>
        <v/>
      </c>
    </row>
    <row r="1266">
      <c r="A1266" s="2" t="inlineStr">
        <is>
          <t>2026-03-06</t>
        </is>
      </c>
      <c r="B1266" s="3" t="inlineStr">
        <is>
          <t>DSR</t>
        </is>
      </c>
      <c r="C1266" s="2" t="inlineStr">
        <is>
          <t>코스피</t>
        </is>
      </c>
      <c r="D1266" s="2" t="inlineStr">
        <is>
          <t>155660</t>
        </is>
      </c>
      <c r="E1266" s="3" t="inlineStr">
        <is>
          <t xml:space="preserve">주주총회집중일개최사유신고              </t>
        </is>
      </c>
      <c r="F1266" s="3" t="inlineStr">
        <is>
          <t>DSR</t>
        </is>
      </c>
      <c r="G1266" s="2" t="inlineStr">
        <is>
          <t>20260306801351</t>
        </is>
      </c>
      <c r="H1266" s="8">
        <f>HYPERLINK("https://dart.fss.or.kr/dsaf001/main.do?rcpNo=20260306801351", "공시열람")</f>
        <v/>
      </c>
    </row>
    <row r="1267">
      <c r="A1267" s="2" t="inlineStr">
        <is>
          <t>2026-03-06</t>
        </is>
      </c>
      <c r="B1267" s="3" t="inlineStr">
        <is>
          <t>지에프씨생명과학</t>
        </is>
      </c>
      <c r="C1267" s="2" t="inlineStr">
        <is>
          <t>코스닥</t>
        </is>
      </c>
      <c r="D1267" s="2" t="inlineStr">
        <is>
          <t>388610</t>
        </is>
      </c>
      <c r="E1267" s="3" t="inlineStr">
        <is>
          <t>주주총회소집공고</t>
        </is>
      </c>
      <c r="F1267" s="3" t="inlineStr">
        <is>
          <t>지에프씨생명과학</t>
        </is>
      </c>
      <c r="G1267" s="2" t="inlineStr">
        <is>
          <t>20260306000906</t>
        </is>
      </c>
      <c r="H1267" s="8">
        <f>HYPERLINK("https://dart.fss.or.kr/dsaf001/main.do?rcpNo=20260306000906", "공시열람")</f>
        <v/>
      </c>
    </row>
    <row r="1268">
      <c r="A1268" s="2" t="inlineStr">
        <is>
          <t>2026-03-06</t>
        </is>
      </c>
      <c r="B1268" s="3" t="inlineStr">
        <is>
          <t>천보</t>
        </is>
      </c>
      <c r="C1268" s="2" t="inlineStr">
        <is>
          <t>코스닥</t>
        </is>
      </c>
      <c r="D1268" s="2" t="inlineStr">
        <is>
          <t>278280</t>
        </is>
      </c>
      <c r="E1268" s="3" t="inlineStr">
        <is>
          <t xml:space="preserve">주주총회소집결의              </t>
        </is>
      </c>
      <c r="F1268" s="3" t="inlineStr">
        <is>
          <t>천보</t>
        </is>
      </c>
      <c r="G1268" s="2" t="inlineStr">
        <is>
          <t>20260306901233</t>
        </is>
      </c>
      <c r="H1268" s="8">
        <f>HYPERLINK("https://dart.fss.or.kr/dsaf001/main.do?rcpNo=20260306901233", "공시열람")</f>
        <v/>
      </c>
    </row>
    <row r="1269">
      <c r="A1269" s="2" t="inlineStr">
        <is>
          <t>2026-03-06</t>
        </is>
      </c>
      <c r="B1269" s="3" t="inlineStr">
        <is>
          <t>DSR</t>
        </is>
      </c>
      <c r="C1269" s="2" t="inlineStr">
        <is>
          <t>코스피</t>
        </is>
      </c>
      <c r="D1269" s="2" t="inlineStr">
        <is>
          <t>155660</t>
        </is>
      </c>
      <c r="E1269" s="3" t="inlineStr">
        <is>
          <t xml:space="preserve">주주총회소집결의              </t>
        </is>
      </c>
      <c r="F1269" s="3" t="inlineStr">
        <is>
          <t>DSR</t>
        </is>
      </c>
      <c r="G1269" s="2" t="inlineStr">
        <is>
          <t>20260306801416</t>
        </is>
      </c>
      <c r="H1269" s="8">
        <f>HYPERLINK("https://dart.fss.or.kr/dsaf001/main.do?rcpNo=20260306801416", "공시열람")</f>
        <v/>
      </c>
    </row>
    <row r="1270">
      <c r="A1270" s="2" t="inlineStr">
        <is>
          <t>2026-03-06</t>
        </is>
      </c>
      <c r="B1270" s="3" t="inlineStr">
        <is>
          <t>카카오게임즈</t>
        </is>
      </c>
      <c r="C1270" s="2" t="inlineStr">
        <is>
          <t>코스닥</t>
        </is>
      </c>
      <c r="D1270" s="2" t="inlineStr">
        <is>
          <t>293490</t>
        </is>
      </c>
      <c r="E1270" s="3" t="inlineStr">
        <is>
          <t>주주총회소집공고</t>
        </is>
      </c>
      <c r="F1270" s="3" t="inlineStr">
        <is>
          <t>카카오게임즈</t>
        </is>
      </c>
      <c r="G1270" s="2" t="inlineStr">
        <is>
          <t>20260306000900</t>
        </is>
      </c>
      <c r="H1270" s="8">
        <f>HYPERLINK("https://dart.fss.or.kr/dsaf001/main.do?rcpNo=20260306000900", "공시열람")</f>
        <v/>
      </c>
    </row>
    <row r="1271">
      <c r="A1271" s="2" t="inlineStr">
        <is>
          <t>2026-03-06</t>
        </is>
      </c>
      <c r="B1271" s="3" t="inlineStr">
        <is>
          <t>나노팀</t>
        </is>
      </c>
      <c r="C1271" s="2" t="inlineStr">
        <is>
          <t>코스닥</t>
        </is>
      </c>
      <c r="D1271" s="2" t="inlineStr">
        <is>
          <t>417010</t>
        </is>
      </c>
      <c r="E1271" s="3" t="inlineStr">
        <is>
          <t>주주총회소집공고</t>
        </is>
      </c>
      <c r="F1271" s="3" t="inlineStr">
        <is>
          <t>나노팀</t>
        </is>
      </c>
      <c r="G1271" s="2" t="inlineStr">
        <is>
          <t>20260306000898</t>
        </is>
      </c>
      <c r="H1271" s="8">
        <f>HYPERLINK("https://dart.fss.or.kr/dsaf001/main.do?rcpNo=20260306000898", "공시열람")</f>
        <v/>
      </c>
    </row>
    <row r="1272">
      <c r="A1272" s="2" t="inlineStr">
        <is>
          <t>2026-03-06</t>
        </is>
      </c>
      <c r="B1272" s="3" t="inlineStr">
        <is>
          <t>신화인터텍</t>
        </is>
      </c>
      <c r="C1272" s="2" t="inlineStr">
        <is>
          <t>코스닥</t>
        </is>
      </c>
      <c r="D1272" s="2" t="inlineStr">
        <is>
          <t>056700</t>
        </is>
      </c>
      <c r="E1272" s="3" t="inlineStr">
        <is>
          <t xml:space="preserve">주주총회소집결의              </t>
        </is>
      </c>
      <c r="F1272" s="3" t="inlineStr">
        <is>
          <t>신화인터텍</t>
        </is>
      </c>
      <c r="G1272" s="2" t="inlineStr">
        <is>
          <t>20260306901365</t>
        </is>
      </c>
      <c r="H1272" s="8">
        <f>HYPERLINK("https://dart.fss.or.kr/dsaf001/main.do?rcpNo=20260306901365", "공시열람")</f>
        <v/>
      </c>
    </row>
    <row r="1273">
      <c r="A1273" s="2" t="inlineStr">
        <is>
          <t>2026-03-06</t>
        </is>
      </c>
      <c r="B1273" s="3" t="inlineStr">
        <is>
          <t>카카오게임즈</t>
        </is>
      </c>
      <c r="C1273" s="2" t="inlineStr">
        <is>
          <t>코스닥</t>
        </is>
      </c>
      <c r="D1273" s="2" t="inlineStr">
        <is>
          <t>293490</t>
        </is>
      </c>
      <c r="E1273" s="3" t="inlineStr">
        <is>
          <t xml:space="preserve">주주총회소집결의              </t>
        </is>
      </c>
      <c r="F1273" s="3" t="inlineStr">
        <is>
          <t>카카오게임즈</t>
        </is>
      </c>
      <c r="G1273" s="2" t="inlineStr">
        <is>
          <t>20260306901364</t>
        </is>
      </c>
      <c r="H1273" s="8">
        <f>HYPERLINK("https://dart.fss.or.kr/dsaf001/main.do?rcpNo=20260306901364", "공시열람")</f>
        <v/>
      </c>
    </row>
    <row r="1274">
      <c r="A1274" s="2" t="inlineStr">
        <is>
          <t>2026-03-06 (정정: 2026-03-12)</t>
        </is>
      </c>
      <c r="B1274" s="3" t="inlineStr">
        <is>
          <t>쿠콘</t>
        </is>
      </c>
      <c r="C1274" s="2" t="inlineStr">
        <is>
          <t>코스닥</t>
        </is>
      </c>
      <c r="D1274" s="2" t="inlineStr">
        <is>
          <t>294570</t>
        </is>
      </c>
      <c r="E1274" s="3" t="inlineStr">
        <is>
          <t>주주총회소집공고 (정정: 20260312)</t>
        </is>
      </c>
      <c r="F1274" s="3" t="inlineStr">
        <is>
          <t>쿠콘</t>
        </is>
      </c>
      <c r="G1274" s="2" t="inlineStr">
        <is>
          <t>20260312901824</t>
        </is>
      </c>
      <c r="H1274" s="8">
        <f>HYPERLINK("https://dart.fss.or.kr/dsaf001/main.do?rcpNo=20260312901824", "공시열람")</f>
        <v/>
      </c>
    </row>
    <row r="1275">
      <c r="A1275" s="2" t="inlineStr">
        <is>
          <t>2026-03-06</t>
        </is>
      </c>
      <c r="B1275" s="3" t="inlineStr">
        <is>
          <t>소프트센</t>
        </is>
      </c>
      <c r="C1275" s="2" t="inlineStr">
        <is>
          <t>코스닥</t>
        </is>
      </c>
      <c r="D1275" s="2" t="inlineStr">
        <is>
          <t>032680</t>
        </is>
      </c>
      <c r="E1275" s="3" t="inlineStr">
        <is>
          <t xml:space="preserve">주주총회집중일개최사유신고              </t>
        </is>
      </c>
      <c r="F1275" s="3" t="inlineStr">
        <is>
          <t>소프트센</t>
        </is>
      </c>
      <c r="G1275" s="2" t="inlineStr">
        <is>
          <t>20260306901126</t>
        </is>
      </c>
      <c r="H1275" s="8">
        <f>HYPERLINK("https://dart.fss.or.kr/dsaf001/main.do?rcpNo=20260306901126", "공시열람")</f>
        <v/>
      </c>
    </row>
    <row r="1276">
      <c r="A1276" s="2" t="inlineStr">
        <is>
          <t>2026-03-06</t>
        </is>
      </c>
      <c r="B1276" s="3" t="inlineStr">
        <is>
          <t>대동기어</t>
        </is>
      </c>
      <c r="C1276" s="2" t="inlineStr">
        <is>
          <t>코스닥</t>
        </is>
      </c>
      <c r="D1276" s="2" t="inlineStr">
        <is>
          <t>008830</t>
        </is>
      </c>
      <c r="E1276" s="3" t="inlineStr">
        <is>
          <t>주주총회소집공고</t>
        </is>
      </c>
      <c r="F1276" s="3" t="inlineStr">
        <is>
          <t>대동기어</t>
        </is>
      </c>
      <c r="G1276" s="2" t="inlineStr">
        <is>
          <t>20260306000883</t>
        </is>
      </c>
      <c r="H1276" s="8">
        <f>HYPERLINK("https://dart.fss.or.kr/dsaf001/main.do?rcpNo=20260306000883", "공시열람")</f>
        <v/>
      </c>
    </row>
    <row r="1277">
      <c r="A1277" s="2" t="inlineStr">
        <is>
          <t>2026-03-06 (정정: 2026-03-12)</t>
        </is>
      </c>
      <c r="B1277" s="3" t="inlineStr">
        <is>
          <t>한국캐피탈</t>
        </is>
      </c>
      <c r="C1277" s="2" t="inlineStr">
        <is>
          <t>코스닥</t>
        </is>
      </c>
      <c r="D1277" s="2" t="inlineStr">
        <is>
          <t>023760</t>
        </is>
      </c>
      <c r="E1277" s="3" t="inlineStr">
        <is>
          <t>주주총회소집공고 (정정: 20260312)</t>
        </is>
      </c>
      <c r="F1277" s="3" t="inlineStr">
        <is>
          <t>한국캐피탈</t>
        </is>
      </c>
      <c r="G1277" s="2" t="inlineStr">
        <is>
          <t>20260312001039</t>
        </is>
      </c>
      <c r="H1277" s="8">
        <f>HYPERLINK("https://dart.fss.or.kr/dsaf001/main.do?rcpNo=20260312001039", "공시열람")</f>
        <v/>
      </c>
    </row>
    <row r="1278">
      <c r="A1278" s="2" t="inlineStr">
        <is>
          <t>2026-03-06 (정정: 2026-03-12)</t>
        </is>
      </c>
      <c r="B1278" s="3" t="inlineStr">
        <is>
          <t>웹케시</t>
        </is>
      </c>
      <c r="C1278" s="2" t="inlineStr">
        <is>
          <t>코스닥</t>
        </is>
      </c>
      <c r="D1278" s="2" t="inlineStr">
        <is>
          <t>053580</t>
        </is>
      </c>
      <c r="E1278" s="3" t="inlineStr">
        <is>
          <t>주주총회소집공고 (정정: 20260312)</t>
        </is>
      </c>
      <c r="F1278" s="3" t="inlineStr">
        <is>
          <t>웹케시</t>
        </is>
      </c>
      <c r="G1278" s="2" t="inlineStr">
        <is>
          <t>20260312901198</t>
        </is>
      </c>
      <c r="H1278" s="8">
        <f>HYPERLINK("https://dart.fss.or.kr/dsaf001/main.do?rcpNo=20260312901198", "공시열람")</f>
        <v/>
      </c>
    </row>
    <row r="1279">
      <c r="A1279" s="2" t="inlineStr">
        <is>
          <t>2026-03-06</t>
        </is>
      </c>
      <c r="B1279" s="3" t="inlineStr">
        <is>
          <t>에스케이바이오팜</t>
        </is>
      </c>
      <c r="C1279" s="2" t="inlineStr">
        <is>
          <t>코스피</t>
        </is>
      </c>
      <c r="D1279" s="2" t="inlineStr">
        <is>
          <t>326030</t>
        </is>
      </c>
      <c r="E1279" s="3" t="inlineStr">
        <is>
          <t>주주총회소집공고</t>
        </is>
      </c>
      <c r="F1279" s="3" t="inlineStr">
        <is>
          <t>에스케이바이오팜</t>
        </is>
      </c>
      <c r="G1279" s="2" t="inlineStr">
        <is>
          <t>20260306000872</t>
        </is>
      </c>
      <c r="H1279" s="8">
        <f>HYPERLINK("https://dart.fss.or.kr/dsaf001/main.do?rcpNo=20260306000872", "공시열람")</f>
        <v/>
      </c>
    </row>
    <row r="1280">
      <c r="A1280" s="2" t="inlineStr">
        <is>
          <t>2026-03-06</t>
        </is>
      </c>
      <c r="B1280" s="3" t="inlineStr">
        <is>
          <t>소프트센</t>
        </is>
      </c>
      <c r="C1280" s="2" t="inlineStr">
        <is>
          <t>코스닥</t>
        </is>
      </c>
      <c r="D1280" s="2" t="inlineStr">
        <is>
          <t>032680</t>
        </is>
      </c>
      <c r="E1280" s="3" t="inlineStr">
        <is>
          <t xml:space="preserve">주주총회소집결의              </t>
        </is>
      </c>
      <c r="F1280" s="3" t="inlineStr">
        <is>
          <t>소프트센</t>
        </is>
      </c>
      <c r="G1280" s="2" t="inlineStr">
        <is>
          <t>20260306901092</t>
        </is>
      </c>
      <c r="H1280" s="8">
        <f>HYPERLINK("https://dart.fss.or.kr/dsaf001/main.do?rcpNo=20260306901092", "공시열람")</f>
        <v/>
      </c>
    </row>
    <row r="1281">
      <c r="A1281" s="2" t="inlineStr">
        <is>
          <t>2026-03-06</t>
        </is>
      </c>
      <c r="B1281" s="3" t="inlineStr">
        <is>
          <t>에이치엘사이언스</t>
        </is>
      </c>
      <c r="C1281" s="2" t="inlineStr">
        <is>
          <t>코스닥</t>
        </is>
      </c>
      <c r="D1281" s="2" t="inlineStr">
        <is>
          <t>239610</t>
        </is>
      </c>
      <c r="E1281" s="3" t="inlineStr">
        <is>
          <t xml:space="preserve">주주총회소집결의              </t>
        </is>
      </c>
      <c r="F1281" s="3" t="inlineStr">
        <is>
          <t>에이치엘사이언스</t>
        </is>
      </c>
      <c r="G1281" s="2" t="inlineStr">
        <is>
          <t>20260306901342</t>
        </is>
      </c>
      <c r="H1281" s="8">
        <f>HYPERLINK("https://dart.fss.or.kr/dsaf001/main.do?rcpNo=20260306901342", "공시열람")</f>
        <v/>
      </c>
    </row>
    <row r="1282">
      <c r="A1282" s="2" t="inlineStr">
        <is>
          <t>2026-03-06</t>
        </is>
      </c>
      <c r="B1282" s="3" t="inlineStr">
        <is>
          <t>메드팩토</t>
        </is>
      </c>
      <c r="C1282" s="2" t="inlineStr">
        <is>
          <t>코스닥</t>
        </is>
      </c>
      <c r="D1282" s="2" t="inlineStr">
        <is>
          <t>235980</t>
        </is>
      </c>
      <c r="E1282" s="3" t="inlineStr">
        <is>
          <t>주주총회소집공고</t>
        </is>
      </c>
      <c r="F1282" s="3" t="inlineStr">
        <is>
          <t>메드팩토</t>
        </is>
      </c>
      <c r="G1282" s="2" t="inlineStr">
        <is>
          <t>20260306000867</t>
        </is>
      </c>
      <c r="H1282" s="8">
        <f>HYPERLINK("https://dart.fss.or.kr/dsaf001/main.do?rcpNo=20260306000867", "공시열람")</f>
        <v/>
      </c>
    </row>
    <row r="1283">
      <c r="A1283" s="2" t="inlineStr">
        <is>
          <t>2026-03-06</t>
        </is>
      </c>
      <c r="B1283" s="3" t="inlineStr">
        <is>
          <t>콜마비앤에이치</t>
        </is>
      </c>
      <c r="C1283" s="2" t="inlineStr">
        <is>
          <t>코스닥</t>
        </is>
      </c>
      <c r="D1283" s="2" t="inlineStr">
        <is>
          <t>200130</t>
        </is>
      </c>
      <c r="E1283" s="3" t="inlineStr">
        <is>
          <t>주주총회소집공고</t>
        </is>
      </c>
      <c r="F1283" s="3" t="inlineStr">
        <is>
          <t>콜마비앤에이치</t>
        </is>
      </c>
      <c r="G1283" s="2" t="inlineStr">
        <is>
          <t>20260306000866</t>
        </is>
      </c>
      <c r="H1283" s="8">
        <f>HYPERLINK("https://dart.fss.or.kr/dsaf001/main.do?rcpNo=20260306000866", "공시열람")</f>
        <v/>
      </c>
    </row>
    <row r="1284">
      <c r="A1284" s="2" t="inlineStr">
        <is>
          <t>2026-03-06</t>
        </is>
      </c>
      <c r="B1284" s="3" t="inlineStr">
        <is>
          <t>아이크래프트</t>
        </is>
      </c>
      <c r="C1284" s="2" t="inlineStr">
        <is>
          <t>코스닥</t>
        </is>
      </c>
      <c r="D1284" s="2" t="inlineStr">
        <is>
          <t>052460</t>
        </is>
      </c>
      <c r="E1284" s="3" t="inlineStr">
        <is>
          <t>주주총회소집공고</t>
        </is>
      </c>
      <c r="F1284" s="3" t="inlineStr">
        <is>
          <t>아이크래프트</t>
        </is>
      </c>
      <c r="G1284" s="2" t="inlineStr">
        <is>
          <t>20260306000865</t>
        </is>
      </c>
      <c r="H1284" s="8">
        <f>HYPERLINK("https://dart.fss.or.kr/dsaf001/main.do?rcpNo=20260306000865", "공시열람")</f>
        <v/>
      </c>
    </row>
    <row r="1285">
      <c r="A1285" s="2" t="inlineStr">
        <is>
          <t>2026-03-06</t>
        </is>
      </c>
      <c r="B1285" s="3" t="inlineStr">
        <is>
          <t>국일신동</t>
        </is>
      </c>
      <c r="C1285" s="2" t="inlineStr">
        <is>
          <t>코스닥</t>
        </is>
      </c>
      <c r="D1285" s="2" t="inlineStr">
        <is>
          <t>060480</t>
        </is>
      </c>
      <c r="E1285" s="3" t="inlineStr">
        <is>
          <t xml:space="preserve">주주총회소집결의              </t>
        </is>
      </c>
      <c r="F1285" s="3" t="inlineStr">
        <is>
          <t>국일신동</t>
        </is>
      </c>
      <c r="G1285" s="2" t="inlineStr">
        <is>
          <t>20260306901258</t>
        </is>
      </c>
      <c r="H1285" s="8">
        <f>HYPERLINK("https://dart.fss.or.kr/dsaf001/main.do?rcpNo=20260306901258", "공시열람")</f>
        <v/>
      </c>
    </row>
    <row r="1286">
      <c r="A1286" s="2" t="inlineStr">
        <is>
          <t>2026-03-06</t>
        </is>
      </c>
      <c r="B1286" s="3" t="inlineStr">
        <is>
          <t>고려제강</t>
        </is>
      </c>
      <c r="C1286" s="2" t="inlineStr">
        <is>
          <t>코스피</t>
        </is>
      </c>
      <c r="D1286" s="2" t="inlineStr">
        <is>
          <t>002240</t>
        </is>
      </c>
      <c r="E1286" s="3" t="inlineStr">
        <is>
          <t xml:space="preserve">주주총회소집결의              </t>
        </is>
      </c>
      <c r="F1286" s="3" t="inlineStr">
        <is>
          <t>고려제강</t>
        </is>
      </c>
      <c r="G1286" s="2" t="inlineStr">
        <is>
          <t>20260306801376</t>
        </is>
      </c>
      <c r="H1286" s="8">
        <f>HYPERLINK("https://dart.fss.or.kr/dsaf001/main.do?rcpNo=20260306801376", "공시열람")</f>
        <v/>
      </c>
    </row>
    <row r="1287">
      <c r="A1287" s="2" t="inlineStr">
        <is>
          <t>2026-03-06 (정정: 2026-03-06)</t>
        </is>
      </c>
      <c r="B1287" s="3" t="inlineStr">
        <is>
          <t>콜마비앤에이치</t>
        </is>
      </c>
      <c r="C1287" s="2" t="inlineStr">
        <is>
          <t>코스닥</t>
        </is>
      </c>
      <c r="D1287" s="2" t="inlineStr">
        <is>
          <t>200130</t>
        </is>
      </c>
      <c r="E1287" s="3" t="inlineStr">
        <is>
          <t>주주총회소집결의               (정정: 20260306)</t>
        </is>
      </c>
      <c r="F1287" s="3" t="inlineStr">
        <is>
          <t>콜마비앤에이치</t>
        </is>
      </c>
      <c r="G1287" s="2" t="inlineStr">
        <is>
          <t>20260306901264</t>
        </is>
      </c>
      <c r="H1287" s="8">
        <f>HYPERLINK("https://dart.fss.or.kr/dsaf001/main.do?rcpNo=20260306901264", "공시열람")</f>
        <v/>
      </c>
    </row>
    <row r="1288">
      <c r="A1288" s="2" t="inlineStr">
        <is>
          <t>2026-03-06</t>
        </is>
      </c>
      <c r="B1288" s="3" t="inlineStr">
        <is>
          <t>성우</t>
        </is>
      </c>
      <c r="C1288" s="2" t="inlineStr">
        <is>
          <t>코스닥</t>
        </is>
      </c>
      <c r="D1288" s="2" t="inlineStr">
        <is>
          <t>458650</t>
        </is>
      </c>
      <c r="E1288" s="3" t="inlineStr">
        <is>
          <t xml:space="preserve">주주총회집중일개최사유신고              </t>
        </is>
      </c>
      <c r="F1288" s="3" t="inlineStr">
        <is>
          <t>성우</t>
        </is>
      </c>
      <c r="G1288" s="2" t="inlineStr">
        <is>
          <t>20260306901282</t>
        </is>
      </c>
      <c r="H1288" s="8">
        <f>HYPERLINK("https://dart.fss.or.kr/dsaf001/main.do?rcpNo=20260306901282", "공시열람")</f>
        <v/>
      </c>
    </row>
    <row r="1289">
      <c r="A1289" s="2" t="inlineStr">
        <is>
          <t>2026-03-06</t>
        </is>
      </c>
      <c r="B1289" s="3" t="inlineStr">
        <is>
          <t>성우</t>
        </is>
      </c>
      <c r="C1289" s="2" t="inlineStr">
        <is>
          <t>코스닥</t>
        </is>
      </c>
      <c r="D1289" s="2" t="inlineStr">
        <is>
          <t>458650</t>
        </is>
      </c>
      <c r="E1289" s="3" t="inlineStr">
        <is>
          <t xml:space="preserve">주주총회소집결의              </t>
        </is>
      </c>
      <c r="F1289" s="3" t="inlineStr">
        <is>
          <t>성우</t>
        </is>
      </c>
      <c r="G1289" s="2" t="inlineStr">
        <is>
          <t>20260306901274</t>
        </is>
      </c>
      <c r="H1289" s="8">
        <f>HYPERLINK("https://dart.fss.or.kr/dsaf001/main.do?rcpNo=20260306901274", "공시열람")</f>
        <v/>
      </c>
    </row>
    <row r="1290">
      <c r="A1290" s="2" t="inlineStr">
        <is>
          <t>2026-03-06</t>
        </is>
      </c>
      <c r="B1290" s="3" t="inlineStr">
        <is>
          <t>인텔리안테크</t>
        </is>
      </c>
      <c r="C1290" s="2" t="inlineStr">
        <is>
          <t>코스닥</t>
        </is>
      </c>
      <c r="D1290" s="2" t="inlineStr">
        <is>
          <t>189300</t>
        </is>
      </c>
      <c r="E1290" s="3" t="inlineStr">
        <is>
          <t xml:space="preserve">주주총회집중일개최사유신고              </t>
        </is>
      </c>
      <c r="F1290" s="3" t="inlineStr">
        <is>
          <t>인텔리안테크</t>
        </is>
      </c>
      <c r="G1290" s="2" t="inlineStr">
        <is>
          <t>20260306901343</t>
        </is>
      </c>
      <c r="H1290" s="8">
        <f>HYPERLINK("https://dart.fss.or.kr/dsaf001/main.do?rcpNo=20260306901343", "공시열람")</f>
        <v/>
      </c>
    </row>
    <row r="1291">
      <c r="A1291" s="2" t="inlineStr">
        <is>
          <t>2026-03-06</t>
        </is>
      </c>
      <c r="B1291" s="3" t="inlineStr">
        <is>
          <t>KB금융</t>
        </is>
      </c>
      <c r="C1291" s="2" t="inlineStr">
        <is>
          <t>코스피</t>
        </is>
      </c>
      <c r="D1291" s="2" t="inlineStr">
        <is>
          <t>105560</t>
        </is>
      </c>
      <c r="E1291" s="3" t="inlineStr">
        <is>
          <t>주주총회소집공고</t>
        </is>
      </c>
      <c r="F1291" s="3" t="inlineStr">
        <is>
          <t>KB금융</t>
        </is>
      </c>
      <c r="G1291" s="2" t="inlineStr">
        <is>
          <t>20260306000847</t>
        </is>
      </c>
      <c r="H1291" s="8">
        <f>HYPERLINK("https://dart.fss.or.kr/dsaf001/main.do?rcpNo=20260306000847", "공시열람")</f>
        <v/>
      </c>
    </row>
    <row r="1292">
      <c r="A1292" s="2" t="inlineStr">
        <is>
          <t>2026-03-06</t>
        </is>
      </c>
      <c r="B1292" s="3" t="inlineStr">
        <is>
          <t>아이텍</t>
        </is>
      </c>
      <c r="C1292" s="2" t="inlineStr">
        <is>
          <t>코스닥</t>
        </is>
      </c>
      <c r="D1292" s="2" t="inlineStr">
        <is>
          <t>119830</t>
        </is>
      </c>
      <c r="E1292" s="3" t="inlineStr">
        <is>
          <t>주주총회소집공고</t>
        </is>
      </c>
      <c r="F1292" s="3" t="inlineStr">
        <is>
          <t>아이텍</t>
        </is>
      </c>
      <c r="G1292" s="2" t="inlineStr">
        <is>
          <t>20260306000845</t>
        </is>
      </c>
      <c r="H1292" s="8">
        <f>HYPERLINK("https://dart.fss.or.kr/dsaf001/main.do?rcpNo=20260306000845", "공시열람")</f>
        <v/>
      </c>
    </row>
    <row r="1293">
      <c r="A1293" s="2" t="inlineStr">
        <is>
          <t>2026-03-06 (정정: 2026-03-10)</t>
        </is>
      </c>
      <c r="B1293" s="3" t="inlineStr">
        <is>
          <t>페니트리움바이오</t>
        </is>
      </c>
      <c r="C1293" s="2" t="inlineStr">
        <is>
          <t>코스닥</t>
        </is>
      </c>
      <c r="D1293" s="2" t="inlineStr">
        <is>
          <t>187660</t>
        </is>
      </c>
      <c r="E1293" s="3" t="inlineStr">
        <is>
          <t>정기주주총회결과               (정정: 20260310)</t>
        </is>
      </c>
      <c r="F1293" s="3" t="inlineStr">
        <is>
          <t>페니트리움바이오</t>
        </is>
      </c>
      <c r="G1293" s="2" t="inlineStr">
        <is>
          <t>20260310002271</t>
        </is>
      </c>
      <c r="H1293" s="8">
        <f>HYPERLINK("https://dart.fss.or.kr/dsaf001/main.do?rcpNo=20260310002271", "공시열람")</f>
        <v/>
      </c>
    </row>
    <row r="1294">
      <c r="A1294" s="2" t="inlineStr">
        <is>
          <t>2026-03-06</t>
        </is>
      </c>
      <c r="B1294" s="3" t="inlineStr">
        <is>
          <t>마니커에프앤지</t>
        </is>
      </c>
      <c r="C1294" s="2" t="inlineStr">
        <is>
          <t>코스닥</t>
        </is>
      </c>
      <c r="D1294" s="2" t="inlineStr">
        <is>
          <t>195500</t>
        </is>
      </c>
      <c r="E1294" s="3" t="inlineStr">
        <is>
          <t>주주총회소집공고</t>
        </is>
      </c>
      <c r="F1294" s="3" t="inlineStr">
        <is>
          <t>마니커에프앤지</t>
        </is>
      </c>
      <c r="G1294" s="2" t="inlineStr">
        <is>
          <t>20260306000844</t>
        </is>
      </c>
      <c r="H1294" s="8">
        <f>HYPERLINK("https://dart.fss.or.kr/dsaf001/main.do?rcpNo=20260306000844", "공시열람")</f>
        <v/>
      </c>
    </row>
    <row r="1295">
      <c r="A1295" s="2" t="inlineStr">
        <is>
          <t>2026-03-06</t>
        </is>
      </c>
      <c r="B1295" s="3" t="inlineStr">
        <is>
          <t>케이엠더블유</t>
        </is>
      </c>
      <c r="C1295" s="2" t="inlineStr">
        <is>
          <t>코스닥</t>
        </is>
      </c>
      <c r="D1295" s="2" t="inlineStr">
        <is>
          <t>032500</t>
        </is>
      </c>
      <c r="E1295" s="3" t="inlineStr">
        <is>
          <t xml:space="preserve">주주총회소집결의              </t>
        </is>
      </c>
      <c r="F1295" s="3" t="inlineStr">
        <is>
          <t>케이엠더블유</t>
        </is>
      </c>
      <c r="G1295" s="2" t="inlineStr">
        <is>
          <t>20260306901253</t>
        </is>
      </c>
      <c r="H1295" s="8">
        <f>HYPERLINK("https://dart.fss.or.kr/dsaf001/main.do?rcpNo=20260306901253", "공시열람")</f>
        <v/>
      </c>
    </row>
    <row r="1296">
      <c r="A1296" s="2" t="inlineStr">
        <is>
          <t>2026-03-06</t>
        </is>
      </c>
      <c r="B1296" s="3" t="inlineStr">
        <is>
          <t>플랜티넷</t>
        </is>
      </c>
      <c r="C1296" s="2" t="inlineStr">
        <is>
          <t>코스닥</t>
        </is>
      </c>
      <c r="D1296" s="2" t="inlineStr">
        <is>
          <t>075130</t>
        </is>
      </c>
      <c r="E1296" s="3" t="inlineStr">
        <is>
          <t xml:space="preserve">주주총회집중일개최사유신고              </t>
        </is>
      </c>
      <c r="F1296" s="3" t="inlineStr">
        <is>
          <t>플랜티넷</t>
        </is>
      </c>
      <c r="G1296" s="2" t="inlineStr">
        <is>
          <t>20260306901230</t>
        </is>
      </c>
      <c r="H1296" s="8">
        <f>HYPERLINK("https://dart.fss.or.kr/dsaf001/main.do?rcpNo=20260306901230", "공시열람")</f>
        <v/>
      </c>
    </row>
    <row r="1297">
      <c r="A1297" s="2" t="inlineStr">
        <is>
          <t>2026-03-06</t>
        </is>
      </c>
      <c r="B1297" s="3" t="inlineStr">
        <is>
          <t>압타머사이언스</t>
        </is>
      </c>
      <c r="C1297" s="2" t="inlineStr">
        <is>
          <t>코스닥</t>
        </is>
      </c>
      <c r="D1297" s="2" t="inlineStr">
        <is>
          <t>291650</t>
        </is>
      </c>
      <c r="E1297" s="3" t="inlineStr">
        <is>
          <t>주주총회소집공고</t>
        </is>
      </c>
      <c r="F1297" s="3" t="inlineStr">
        <is>
          <t>압타머사이언스</t>
        </is>
      </c>
      <c r="G1297" s="2" t="inlineStr">
        <is>
          <t>20260306000837</t>
        </is>
      </c>
      <c r="H1297" s="8">
        <f>HYPERLINK("https://dart.fss.or.kr/dsaf001/main.do?rcpNo=20260306000837", "공시열람")</f>
        <v/>
      </c>
    </row>
    <row r="1298">
      <c r="A1298" s="2" t="inlineStr">
        <is>
          <t>2026-03-06</t>
        </is>
      </c>
      <c r="B1298" s="3" t="inlineStr">
        <is>
          <t>에스케이바이오팜</t>
        </is>
      </c>
      <c r="C1298" s="2" t="inlineStr">
        <is>
          <t>코스피</t>
        </is>
      </c>
      <c r="D1298" s="2" t="inlineStr">
        <is>
          <t>326030</t>
        </is>
      </c>
      <c r="E1298" s="3" t="inlineStr">
        <is>
          <t xml:space="preserve">주주총회소집결의              </t>
        </is>
      </c>
      <c r="F1298" s="3" t="inlineStr">
        <is>
          <t>에스케이바이오팜</t>
        </is>
      </c>
      <c r="G1298" s="2" t="inlineStr">
        <is>
          <t>20260306801322</t>
        </is>
      </c>
      <c r="H1298" s="8">
        <f>HYPERLINK("https://dart.fss.or.kr/dsaf001/main.do?rcpNo=20260306801322", "공시열람")</f>
        <v/>
      </c>
    </row>
    <row r="1299">
      <c r="A1299" s="2" t="inlineStr">
        <is>
          <t>2026-03-06</t>
        </is>
      </c>
      <c r="B1299" s="3" t="inlineStr">
        <is>
          <t>LX하우시스</t>
        </is>
      </c>
      <c r="C1299" s="2" t="inlineStr">
        <is>
          <t>코스피</t>
        </is>
      </c>
      <c r="D1299" s="2" t="inlineStr">
        <is>
          <t>108670</t>
        </is>
      </c>
      <c r="E1299" s="3" t="inlineStr">
        <is>
          <t>주주총회소집공고</t>
        </is>
      </c>
      <c r="F1299" s="3" t="inlineStr">
        <is>
          <t>LX하우시스</t>
        </is>
      </c>
      <c r="G1299" s="2" t="inlineStr">
        <is>
          <t>20260306000833</t>
        </is>
      </c>
      <c r="H1299" s="8">
        <f>HYPERLINK("https://dart.fss.or.kr/dsaf001/main.do?rcpNo=20260306000833", "공시열람")</f>
        <v/>
      </c>
    </row>
    <row r="1300">
      <c r="A1300" s="2" t="inlineStr">
        <is>
          <t>2026-03-06</t>
        </is>
      </c>
      <c r="B1300" s="3" t="inlineStr">
        <is>
          <t>DKME</t>
        </is>
      </c>
      <c r="C1300" s="2" t="inlineStr">
        <is>
          <t>코스피</t>
        </is>
      </c>
      <c r="D1300" s="2" t="inlineStr">
        <is>
          <t>015590</t>
        </is>
      </c>
      <c r="E1300" s="3" t="inlineStr">
        <is>
          <t xml:space="preserve">소송등의제기ㆍ신청(경영권분쟁소송)              </t>
        </is>
      </c>
      <c r="F1300" s="3" t="inlineStr">
        <is>
          <t>DKME</t>
        </is>
      </c>
      <c r="G1300" s="2" t="inlineStr">
        <is>
          <t>20260306801292</t>
        </is>
      </c>
      <c r="H1300" s="8">
        <f>HYPERLINK("https://dart.fss.or.kr/dsaf001/main.do?rcpNo=20260306801292", "공시열람")</f>
        <v/>
      </c>
    </row>
    <row r="1301">
      <c r="A1301" s="2" t="inlineStr">
        <is>
          <t>2026-03-06</t>
        </is>
      </c>
      <c r="B1301" s="3" t="inlineStr">
        <is>
          <t>DKME</t>
        </is>
      </c>
      <c r="C1301" s="2" t="inlineStr">
        <is>
          <t>코스피</t>
        </is>
      </c>
      <c r="D1301" s="2" t="inlineStr">
        <is>
          <t>015590</t>
        </is>
      </c>
      <c r="E1301" s="3" t="inlineStr">
        <is>
          <t xml:space="preserve">소송등의제기ㆍ신청(경영권분쟁소송)              </t>
        </is>
      </c>
      <c r="F1301" s="3" t="inlineStr">
        <is>
          <t>DKME</t>
        </is>
      </c>
      <c r="G1301" s="2" t="inlineStr">
        <is>
          <t>20260306801286</t>
        </is>
      </c>
      <c r="H1301" s="8">
        <f>HYPERLINK("https://dart.fss.or.kr/dsaf001/main.do?rcpNo=20260306801286", "공시열람")</f>
        <v/>
      </c>
    </row>
    <row r="1302">
      <c r="A1302" s="2" t="inlineStr">
        <is>
          <t>2026-03-06</t>
        </is>
      </c>
      <c r="B1302" s="3" t="inlineStr">
        <is>
          <t>압타머사이언스</t>
        </is>
      </c>
      <c r="C1302" s="2" t="inlineStr">
        <is>
          <t>코스닥</t>
        </is>
      </c>
      <c r="D1302" s="2" t="inlineStr">
        <is>
          <t>291650</t>
        </is>
      </c>
      <c r="E1302" s="3" t="inlineStr">
        <is>
          <t xml:space="preserve">주주총회소집결의              </t>
        </is>
      </c>
      <c r="F1302" s="3" t="inlineStr">
        <is>
          <t>압타머사이언스</t>
        </is>
      </c>
      <c r="G1302" s="2" t="inlineStr">
        <is>
          <t>20260306901141</t>
        </is>
      </c>
      <c r="H1302" s="8">
        <f>HYPERLINK("https://dart.fss.or.kr/dsaf001/main.do?rcpNo=20260306901141", "공시열람")</f>
        <v/>
      </c>
    </row>
    <row r="1303">
      <c r="A1303" s="2" t="inlineStr">
        <is>
          <t>2026-03-06</t>
        </is>
      </c>
      <c r="B1303" s="3" t="inlineStr">
        <is>
          <t>아이텍</t>
        </is>
      </c>
      <c r="C1303" s="2" t="inlineStr">
        <is>
          <t>코스닥</t>
        </is>
      </c>
      <c r="D1303" s="2" t="inlineStr">
        <is>
          <t>119830</t>
        </is>
      </c>
      <c r="E1303" s="3" t="inlineStr">
        <is>
          <t xml:space="preserve">주주총회소집결의              </t>
        </is>
      </c>
      <c r="F1303" s="3" t="inlineStr">
        <is>
          <t>아이텍</t>
        </is>
      </c>
      <c r="G1303" s="2" t="inlineStr">
        <is>
          <t>20260306901078</t>
        </is>
      </c>
      <c r="H1303" s="8">
        <f>HYPERLINK("https://dart.fss.or.kr/dsaf001/main.do?rcpNo=20260306901078", "공시열람")</f>
        <v/>
      </c>
    </row>
    <row r="1304">
      <c r="A1304" s="2" t="inlineStr">
        <is>
          <t>2026-03-06 (정정: 2026-03-12)</t>
        </is>
      </c>
      <c r="B1304" s="3" t="inlineStr">
        <is>
          <t>럭스피아</t>
        </is>
      </c>
      <c r="C1304" s="2" t="inlineStr">
        <is>
          <t>코넥스</t>
        </is>
      </c>
      <c r="D1304" s="2" t="inlineStr">
        <is>
          <t>092590</t>
        </is>
      </c>
      <c r="E1304" s="3" t="inlineStr">
        <is>
          <t>주주총회소집공고 (정정: 20260312)</t>
        </is>
      </c>
      <c r="F1304" s="3" t="inlineStr">
        <is>
          <t>럭스피아</t>
        </is>
      </c>
      <c r="G1304" s="2" t="inlineStr">
        <is>
          <t>20260312000295</t>
        </is>
      </c>
      <c r="H1304" s="8">
        <f>HYPERLINK("https://dart.fss.or.kr/dsaf001/main.do?rcpNo=20260312000295", "공시열람")</f>
        <v/>
      </c>
    </row>
    <row r="1305">
      <c r="A1305" s="2" t="inlineStr">
        <is>
          <t>2026-03-06</t>
        </is>
      </c>
      <c r="B1305" s="3" t="inlineStr">
        <is>
          <t>마니커에프앤지</t>
        </is>
      </c>
      <c r="C1305" s="2" t="inlineStr">
        <is>
          <t>코스닥</t>
        </is>
      </c>
      <c r="D1305" s="2" t="inlineStr">
        <is>
          <t>195500</t>
        </is>
      </c>
      <c r="E1305" s="3" t="inlineStr">
        <is>
          <t xml:space="preserve">주주총회소집결의              </t>
        </is>
      </c>
      <c r="F1305" s="3" t="inlineStr">
        <is>
          <t>마니커에프앤지</t>
        </is>
      </c>
      <c r="G1305" s="2" t="inlineStr">
        <is>
          <t>20260306901137</t>
        </is>
      </c>
      <c r="H1305" s="8">
        <f>HYPERLINK("https://dart.fss.or.kr/dsaf001/main.do?rcpNo=20260306901137", "공시열람")</f>
        <v/>
      </c>
    </row>
    <row r="1306">
      <c r="A1306" s="2" t="inlineStr">
        <is>
          <t>2026-03-06</t>
        </is>
      </c>
      <c r="B1306" s="3" t="inlineStr">
        <is>
          <t>코츠테크놀로지</t>
        </is>
      </c>
      <c r="C1306" s="2" t="inlineStr">
        <is>
          <t>코스닥</t>
        </is>
      </c>
      <c r="D1306" s="2" t="inlineStr">
        <is>
          <t>448710</t>
        </is>
      </c>
      <c r="E1306" s="3" t="inlineStr">
        <is>
          <t xml:space="preserve">주주총회소집결의              </t>
        </is>
      </c>
      <c r="F1306" s="3" t="inlineStr">
        <is>
          <t>코츠테크놀로지</t>
        </is>
      </c>
      <c r="G1306" s="2" t="inlineStr">
        <is>
          <t>20260306901032</t>
        </is>
      </c>
      <c r="H1306" s="8">
        <f>HYPERLINK("https://dart.fss.or.kr/dsaf001/main.do?rcpNo=20260306901032", "공시열람")</f>
        <v/>
      </c>
    </row>
    <row r="1307">
      <c r="A1307" s="2" t="inlineStr">
        <is>
          <t>2026-03-06</t>
        </is>
      </c>
      <c r="B1307" s="3" t="inlineStr">
        <is>
          <t>로보티즈</t>
        </is>
      </c>
      <c r="C1307" s="2" t="inlineStr">
        <is>
          <t>코스닥</t>
        </is>
      </c>
      <c r="D1307" s="2" t="inlineStr">
        <is>
          <t>108490</t>
        </is>
      </c>
      <c r="E1307" s="3" t="inlineStr">
        <is>
          <t>주주총회소집공고</t>
        </is>
      </c>
      <c r="F1307" s="3" t="inlineStr">
        <is>
          <t>로보티즈</t>
        </is>
      </c>
      <c r="G1307" s="2" t="inlineStr">
        <is>
          <t>20260306000825</t>
        </is>
      </c>
      <c r="H1307" s="8">
        <f>HYPERLINK("https://dart.fss.or.kr/dsaf001/main.do?rcpNo=20260306000825", "공시열람")</f>
        <v/>
      </c>
    </row>
    <row r="1308">
      <c r="A1308" s="2" t="inlineStr">
        <is>
          <t>2026-03-06</t>
        </is>
      </c>
      <c r="B1308" s="3" t="inlineStr">
        <is>
          <t>동국산업</t>
        </is>
      </c>
      <c r="C1308" s="2" t="inlineStr">
        <is>
          <t>코스닥</t>
        </is>
      </c>
      <c r="D1308" s="2" t="inlineStr">
        <is>
          <t>005160</t>
        </is>
      </c>
      <c r="E1308" s="3" t="inlineStr">
        <is>
          <t>주주총회소집공고</t>
        </is>
      </c>
      <c r="F1308" s="3" t="inlineStr">
        <is>
          <t>동국산업</t>
        </is>
      </c>
      <c r="G1308" s="2" t="inlineStr">
        <is>
          <t>20260306000823</t>
        </is>
      </c>
      <c r="H1308" s="8">
        <f>HYPERLINK("https://dart.fss.or.kr/dsaf001/main.do?rcpNo=20260306000823", "공시열람")</f>
        <v/>
      </c>
    </row>
    <row r="1309">
      <c r="A1309" s="2" t="inlineStr">
        <is>
          <t>2026-03-06</t>
        </is>
      </c>
      <c r="B1309" s="3" t="inlineStr">
        <is>
          <t>엠디바이스</t>
        </is>
      </c>
      <c r="C1309" s="2" t="inlineStr">
        <is>
          <t>코스닥</t>
        </is>
      </c>
      <c r="D1309" s="2" t="inlineStr">
        <is>
          <t>226590</t>
        </is>
      </c>
      <c r="E1309" s="3" t="inlineStr">
        <is>
          <t>주주총회소집공고</t>
        </is>
      </c>
      <c r="F1309" s="3" t="inlineStr">
        <is>
          <t>엠디바이스</t>
        </is>
      </c>
      <c r="G1309" s="2" t="inlineStr">
        <is>
          <t>20260306000820</t>
        </is>
      </c>
      <c r="H1309" s="8">
        <f>HYPERLINK("https://dart.fss.or.kr/dsaf001/main.do?rcpNo=20260306000820", "공시열람")</f>
        <v/>
      </c>
    </row>
    <row r="1310">
      <c r="A1310" s="2" t="inlineStr">
        <is>
          <t>2026-03-06</t>
        </is>
      </c>
      <c r="B1310" s="3" t="inlineStr">
        <is>
          <t>현대차증권</t>
        </is>
      </c>
      <c r="C1310" s="2" t="inlineStr">
        <is>
          <t>코스피</t>
        </is>
      </c>
      <c r="D1310" s="2" t="inlineStr">
        <is>
          <t>001500</t>
        </is>
      </c>
      <c r="E1310" s="3" t="inlineStr">
        <is>
          <t>주주총회소집공고</t>
        </is>
      </c>
      <c r="F1310" s="3" t="inlineStr">
        <is>
          <t>현대차증권</t>
        </is>
      </c>
      <c r="G1310" s="2" t="inlineStr">
        <is>
          <t>20260306000818</t>
        </is>
      </c>
      <c r="H1310" s="8">
        <f>HYPERLINK("https://dart.fss.or.kr/dsaf001/main.do?rcpNo=20260306000818", "공시열람")</f>
        <v/>
      </c>
    </row>
    <row r="1311">
      <c r="A1311" s="2" t="inlineStr">
        <is>
          <t>2026-03-06</t>
        </is>
      </c>
      <c r="B1311" s="3" t="inlineStr">
        <is>
          <t>동국산업</t>
        </is>
      </c>
      <c r="C1311" s="2" t="inlineStr">
        <is>
          <t>코스닥</t>
        </is>
      </c>
      <c r="D1311" s="2" t="inlineStr">
        <is>
          <t>005160</t>
        </is>
      </c>
      <c r="E1311" s="3" t="inlineStr">
        <is>
          <t xml:space="preserve">주주총회소집결의              </t>
        </is>
      </c>
      <c r="F1311" s="3" t="inlineStr">
        <is>
          <t>동국산업</t>
        </is>
      </c>
      <c r="G1311" s="2" t="inlineStr">
        <is>
          <t>20260306901338</t>
        </is>
      </c>
      <c r="H1311" s="8">
        <f>HYPERLINK("https://dart.fss.or.kr/dsaf001/main.do?rcpNo=20260306901338", "공시열람")</f>
        <v/>
      </c>
    </row>
    <row r="1312">
      <c r="A1312" s="2" t="inlineStr">
        <is>
          <t>2026-03-06</t>
        </is>
      </c>
      <c r="B1312" s="3" t="inlineStr">
        <is>
          <t>삼영에스앤씨</t>
        </is>
      </c>
      <c r="C1312" s="2" t="inlineStr">
        <is>
          <t>코스닥</t>
        </is>
      </c>
      <c r="D1312" s="2" t="inlineStr">
        <is>
          <t>361670</t>
        </is>
      </c>
      <c r="E1312" s="3" t="inlineStr">
        <is>
          <t xml:space="preserve">주주총회소집결의              </t>
        </is>
      </c>
      <c r="F1312" s="3" t="inlineStr">
        <is>
          <t>삼영에스앤씨</t>
        </is>
      </c>
      <c r="G1312" s="2" t="inlineStr">
        <is>
          <t>20260306901275</t>
        </is>
      </c>
      <c r="H1312" s="8">
        <f>HYPERLINK("https://dart.fss.or.kr/dsaf001/main.do?rcpNo=20260306901275", "공시열람")</f>
        <v/>
      </c>
    </row>
    <row r="1313">
      <c r="A1313" s="2" t="inlineStr">
        <is>
          <t>2026-03-06</t>
        </is>
      </c>
      <c r="B1313" s="3" t="inlineStr">
        <is>
          <t>지앤이헬스케어</t>
        </is>
      </c>
      <c r="C1313" s="2" t="inlineStr">
        <is>
          <t>코넥스</t>
        </is>
      </c>
      <c r="D1313" s="2" t="inlineStr">
        <is>
          <t>299480</t>
        </is>
      </c>
      <c r="E1313" s="3" t="inlineStr">
        <is>
          <t xml:space="preserve">주주총회소집결의              </t>
        </is>
      </c>
      <c r="F1313" s="3" t="inlineStr">
        <is>
          <t>지앤이헬스케어</t>
        </is>
      </c>
      <c r="G1313" s="2" t="inlineStr">
        <is>
          <t>20260306601261</t>
        </is>
      </c>
      <c r="H1313" s="8">
        <f>HYPERLINK("https://dart.fss.or.kr/dsaf001/main.do?rcpNo=20260306601261", "공시열람")</f>
        <v/>
      </c>
    </row>
    <row r="1314">
      <c r="A1314" s="2" t="inlineStr">
        <is>
          <t>2026-03-06</t>
        </is>
      </c>
      <c r="B1314" s="3" t="inlineStr">
        <is>
          <t>럭스피아</t>
        </is>
      </c>
      <c r="C1314" s="2" t="inlineStr">
        <is>
          <t>코넥스</t>
        </is>
      </c>
      <c r="D1314" s="2" t="inlineStr">
        <is>
          <t>092590</t>
        </is>
      </c>
      <c r="E1314" s="3" t="inlineStr">
        <is>
          <t xml:space="preserve">주주총회소집결의              </t>
        </is>
      </c>
      <c r="F1314" s="3" t="inlineStr">
        <is>
          <t>럭스피아</t>
        </is>
      </c>
      <c r="G1314" s="2" t="inlineStr">
        <is>
          <t>20260306601210</t>
        </is>
      </c>
      <c r="H1314" s="8">
        <f>HYPERLINK("https://dart.fss.or.kr/dsaf001/main.do?rcpNo=20260306601210", "공시열람")</f>
        <v/>
      </c>
    </row>
    <row r="1315">
      <c r="A1315" s="2" t="inlineStr">
        <is>
          <t>2026-03-06</t>
        </is>
      </c>
      <c r="B1315" s="3" t="inlineStr">
        <is>
          <t>바이오다인</t>
        </is>
      </c>
      <c r="C1315" s="2" t="inlineStr">
        <is>
          <t>코스닥</t>
        </is>
      </c>
      <c r="D1315" s="2" t="inlineStr">
        <is>
          <t>314930</t>
        </is>
      </c>
      <c r="E1315" s="3" t="inlineStr">
        <is>
          <t>주주총회소집공고</t>
        </is>
      </c>
      <c r="F1315" s="3" t="inlineStr">
        <is>
          <t>바이오다인</t>
        </is>
      </c>
      <c r="G1315" s="2" t="inlineStr">
        <is>
          <t>20260306000806</t>
        </is>
      </c>
      <c r="H1315" s="8">
        <f>HYPERLINK("https://dart.fss.or.kr/dsaf001/main.do?rcpNo=20260306000806", "공시열람")</f>
        <v/>
      </c>
    </row>
    <row r="1316">
      <c r="A1316" s="2" t="inlineStr">
        <is>
          <t>2026-03-06</t>
        </is>
      </c>
      <c r="B1316" s="3" t="inlineStr">
        <is>
          <t>세아제강지주</t>
        </is>
      </c>
      <c r="C1316" s="2" t="inlineStr">
        <is>
          <t>코스피</t>
        </is>
      </c>
      <c r="D1316" s="2" t="inlineStr">
        <is>
          <t>003030</t>
        </is>
      </c>
      <c r="E1316" s="3" t="inlineStr">
        <is>
          <t>주주총회소집공고</t>
        </is>
      </c>
      <c r="F1316" s="3" t="inlineStr">
        <is>
          <t>세아제강지주</t>
        </is>
      </c>
      <c r="G1316" s="2" t="inlineStr">
        <is>
          <t>20260306000802</t>
        </is>
      </c>
      <c r="H1316" s="8">
        <f>HYPERLINK("https://dart.fss.or.kr/dsaf001/main.do?rcpNo=20260306000802", "공시열람")</f>
        <v/>
      </c>
    </row>
    <row r="1317">
      <c r="A1317" s="2" t="inlineStr">
        <is>
          <t>2026-03-06</t>
        </is>
      </c>
      <c r="B1317" s="3" t="inlineStr">
        <is>
          <t>인텔리안테크</t>
        </is>
      </c>
      <c r="C1317" s="2" t="inlineStr">
        <is>
          <t>코스닥</t>
        </is>
      </c>
      <c r="D1317" s="2" t="inlineStr">
        <is>
          <t>189300</t>
        </is>
      </c>
      <c r="E1317" s="3" t="inlineStr">
        <is>
          <t xml:space="preserve">주주총회소집결의              </t>
        </is>
      </c>
      <c r="F1317" s="3" t="inlineStr">
        <is>
          <t>인텔리안테크</t>
        </is>
      </c>
      <c r="G1317" s="2" t="inlineStr">
        <is>
          <t>20260306901262</t>
        </is>
      </c>
      <c r="H1317" s="8">
        <f>HYPERLINK("https://dart.fss.or.kr/dsaf001/main.do?rcpNo=20260306901262", "공시열람")</f>
        <v/>
      </c>
    </row>
    <row r="1318">
      <c r="A1318" s="2" t="inlineStr">
        <is>
          <t>2026-03-06</t>
        </is>
      </c>
      <c r="B1318" s="3" t="inlineStr">
        <is>
          <t>웰크론</t>
        </is>
      </c>
      <c r="C1318" s="2" t="inlineStr">
        <is>
          <t>코스닥</t>
        </is>
      </c>
      <c r="D1318" s="2" t="inlineStr">
        <is>
          <t>065950</t>
        </is>
      </c>
      <c r="E1318" s="3" t="inlineStr">
        <is>
          <t>주주총회소집공고</t>
        </is>
      </c>
      <c r="F1318" s="3" t="inlineStr">
        <is>
          <t>웰크론</t>
        </is>
      </c>
      <c r="G1318" s="2" t="inlineStr">
        <is>
          <t>20260306000800</t>
        </is>
      </c>
      <c r="H1318" s="8">
        <f>HYPERLINK("https://dart.fss.or.kr/dsaf001/main.do?rcpNo=20260306000800", "공시열람")</f>
        <v/>
      </c>
    </row>
    <row r="1319">
      <c r="A1319" s="2" t="inlineStr">
        <is>
          <t>2026-03-06</t>
        </is>
      </c>
      <c r="B1319" s="3" t="inlineStr">
        <is>
          <t>아이엠</t>
        </is>
      </c>
      <c r="C1319" s="2" t="inlineStr">
        <is>
          <t>코스닥</t>
        </is>
      </c>
      <c r="D1319" s="2" t="inlineStr">
        <is>
          <t>101390</t>
        </is>
      </c>
      <c r="E1319" s="3" t="inlineStr">
        <is>
          <t>소송등의제기ㆍ신청(경영권분쟁소송)              (의안상정등가처분)</t>
        </is>
      </c>
      <c r="F1319" s="3" t="inlineStr">
        <is>
          <t>아이엠</t>
        </is>
      </c>
      <c r="G1319" s="2" t="inlineStr">
        <is>
          <t>20260306901287</t>
        </is>
      </c>
      <c r="H1319" s="8">
        <f>HYPERLINK("https://dart.fss.or.kr/dsaf001/main.do?rcpNo=20260306901287", "공시열람")</f>
        <v/>
      </c>
    </row>
    <row r="1320">
      <c r="A1320" s="2" t="inlineStr">
        <is>
          <t>2026-02-13 (정정: 2026-03-06)</t>
        </is>
      </c>
      <c r="B1320" s="3" t="inlineStr">
        <is>
          <t>대림바스</t>
        </is>
      </c>
      <c r="C1320" s="2" t="inlineStr">
        <is>
          <t>코스피</t>
        </is>
      </c>
      <c r="D1320" s="2" t="inlineStr">
        <is>
          <t>005750</t>
        </is>
      </c>
      <c r="E1320" s="3" t="inlineStr">
        <is>
          <t xml:space="preserve">[기재정정]주주총회소집결의              </t>
        </is>
      </c>
      <c r="F1320" s="3" t="inlineStr">
        <is>
          <t>대림바스</t>
        </is>
      </c>
      <c r="G1320" s="2" t="inlineStr">
        <is>
          <t>20260306801251</t>
        </is>
      </c>
      <c r="H1320" s="8">
        <f>HYPERLINK("https://dart.fss.or.kr/dsaf001/main.do?rcpNo=20260306801251", "공시열람")</f>
        <v/>
      </c>
    </row>
    <row r="1321">
      <c r="A1321" s="2" t="inlineStr">
        <is>
          <t>2026-03-06</t>
        </is>
      </c>
      <c r="B1321" s="3" t="inlineStr">
        <is>
          <t>메타케어</t>
        </is>
      </c>
      <c r="C1321" s="2" t="inlineStr">
        <is>
          <t>코스피</t>
        </is>
      </c>
      <c r="D1321" s="2" t="inlineStr">
        <is>
          <t>118000</t>
        </is>
      </c>
      <c r="E1321" s="3" t="inlineStr">
        <is>
          <t xml:space="preserve">주주총회집중일개최사유신고              </t>
        </is>
      </c>
      <c r="F1321" s="3" t="inlineStr">
        <is>
          <t>메타케어</t>
        </is>
      </c>
      <c r="G1321" s="2" t="inlineStr">
        <is>
          <t>20260306801225</t>
        </is>
      </c>
      <c r="H1321" s="8">
        <f>HYPERLINK("https://dart.fss.or.kr/dsaf001/main.do?rcpNo=20260306801225", "공시열람")</f>
        <v/>
      </c>
    </row>
    <row r="1322">
      <c r="A1322" s="2" t="inlineStr">
        <is>
          <t>2026-03-06</t>
        </is>
      </c>
      <c r="B1322" s="3" t="inlineStr">
        <is>
          <t>KT지니뮤직</t>
        </is>
      </c>
      <c r="C1322" s="2" t="inlineStr">
        <is>
          <t>코스닥</t>
        </is>
      </c>
      <c r="D1322" s="2" t="inlineStr">
        <is>
          <t>043610</t>
        </is>
      </c>
      <c r="E1322" s="3" t="inlineStr">
        <is>
          <t>주주총회소집공고</t>
        </is>
      </c>
      <c r="F1322" s="3" t="inlineStr">
        <is>
          <t>KT지니뮤직</t>
        </is>
      </c>
      <c r="G1322" s="2" t="inlineStr">
        <is>
          <t>20260306000787</t>
        </is>
      </c>
      <c r="H1322" s="8">
        <f>HYPERLINK("https://dart.fss.or.kr/dsaf001/main.do?rcpNo=20260306000787", "공시열람")</f>
        <v/>
      </c>
    </row>
    <row r="1323">
      <c r="A1323" s="2" t="inlineStr">
        <is>
          <t>2026-03-06</t>
        </is>
      </c>
      <c r="B1323" s="3" t="inlineStr">
        <is>
          <t>포메탈</t>
        </is>
      </c>
      <c r="C1323" s="2" t="inlineStr">
        <is>
          <t>코스닥</t>
        </is>
      </c>
      <c r="D1323" s="2" t="inlineStr">
        <is>
          <t>119500</t>
        </is>
      </c>
      <c r="E1323" s="3" t="inlineStr">
        <is>
          <t>주주총회소집공고</t>
        </is>
      </c>
      <c r="F1323" s="3" t="inlineStr">
        <is>
          <t>포메탈</t>
        </is>
      </c>
      <c r="G1323" s="2" t="inlineStr">
        <is>
          <t>20260306000782</t>
        </is>
      </c>
      <c r="H1323" s="8">
        <f>HYPERLINK("https://dart.fss.or.kr/dsaf001/main.do?rcpNo=20260306000782", "공시열람")</f>
        <v/>
      </c>
    </row>
    <row r="1324">
      <c r="A1324" s="2" t="inlineStr">
        <is>
          <t>2026-03-06</t>
        </is>
      </c>
      <c r="B1324" s="3" t="inlineStr">
        <is>
          <t>해성에어로보틱스</t>
        </is>
      </c>
      <c r="C1324" s="2" t="inlineStr">
        <is>
          <t>코스닥</t>
        </is>
      </c>
      <c r="D1324" s="2" t="inlineStr">
        <is>
          <t>059270</t>
        </is>
      </c>
      <c r="E1324" s="3" t="inlineStr">
        <is>
          <t>주주총회소집공고</t>
        </is>
      </c>
      <c r="F1324" s="3" t="inlineStr">
        <is>
          <t>해성에어로보틱스</t>
        </is>
      </c>
      <c r="G1324" s="2" t="inlineStr">
        <is>
          <t>20260306000781</t>
        </is>
      </c>
      <c r="H1324" s="8">
        <f>HYPERLINK("https://dart.fss.or.kr/dsaf001/main.do?rcpNo=20260306000781", "공시열람")</f>
        <v/>
      </c>
    </row>
    <row r="1325">
      <c r="A1325" s="2" t="inlineStr">
        <is>
          <t>2026-02-24 (정정: 2026-03-06)</t>
        </is>
      </c>
      <c r="B1325" s="3" t="inlineStr">
        <is>
          <t>쎌바이오텍</t>
        </is>
      </c>
      <c r="C1325" s="2" t="inlineStr">
        <is>
          <t>코스닥</t>
        </is>
      </c>
      <c r="D1325" s="2" t="inlineStr">
        <is>
          <t>049960</t>
        </is>
      </c>
      <c r="E1325" s="3" t="inlineStr">
        <is>
          <t xml:space="preserve">[기재정정]주주총회소집결의              </t>
        </is>
      </c>
      <c r="F1325" s="3" t="inlineStr">
        <is>
          <t>쎌바이오텍</t>
        </is>
      </c>
      <c r="G1325" s="2" t="inlineStr">
        <is>
          <t>20260306900975</t>
        </is>
      </c>
      <c r="H1325" s="8">
        <f>HYPERLINK("https://dart.fss.or.kr/dsaf001/main.do?rcpNo=20260306900975", "공시열람")</f>
        <v/>
      </c>
    </row>
    <row r="1326">
      <c r="A1326" s="2" t="inlineStr">
        <is>
          <t>2026-03-06</t>
        </is>
      </c>
      <c r="B1326" s="3" t="inlineStr">
        <is>
          <t>비상교육</t>
        </is>
      </c>
      <c r="C1326" s="2" t="inlineStr">
        <is>
          <t>코스피</t>
        </is>
      </c>
      <c r="D1326" s="2" t="inlineStr">
        <is>
          <t>100220</t>
        </is>
      </c>
      <c r="E1326" s="3" t="inlineStr">
        <is>
          <t xml:space="preserve">주주총회집중일개최사유신고              </t>
        </is>
      </c>
      <c r="F1326" s="3" t="inlineStr">
        <is>
          <t>비상교육</t>
        </is>
      </c>
      <c r="G1326" s="2" t="inlineStr">
        <is>
          <t>20260306801241</t>
        </is>
      </c>
      <c r="H1326" s="8">
        <f>HYPERLINK("https://dart.fss.or.kr/dsaf001/main.do?rcpNo=20260306801241", "공시열람")</f>
        <v/>
      </c>
    </row>
    <row r="1327">
      <c r="A1327" s="2" t="inlineStr">
        <is>
          <t>2026-03-06</t>
        </is>
      </c>
      <c r="B1327" s="3" t="inlineStr">
        <is>
          <t>코메론</t>
        </is>
      </c>
      <c r="C1327" s="2" t="inlineStr">
        <is>
          <t>코스닥</t>
        </is>
      </c>
      <c r="D1327" s="2" t="inlineStr">
        <is>
          <t>049430</t>
        </is>
      </c>
      <c r="E1327" s="3" t="inlineStr">
        <is>
          <t>소송등의제기ㆍ신청(경영권분쟁소송)              (의안상정 가처분)</t>
        </is>
      </c>
      <c r="F1327" s="3" t="inlineStr">
        <is>
          <t>코메론</t>
        </is>
      </c>
      <c r="G1327" s="2" t="inlineStr">
        <is>
          <t>20260306900947</t>
        </is>
      </c>
      <c r="H1327" s="8">
        <f>HYPERLINK("https://dart.fss.or.kr/dsaf001/main.do?rcpNo=20260306900947", "공시열람")</f>
        <v/>
      </c>
    </row>
    <row r="1328">
      <c r="A1328" s="2" t="inlineStr">
        <is>
          <t>2026-03-06</t>
        </is>
      </c>
      <c r="B1328" s="3" t="inlineStr">
        <is>
          <t>코메론</t>
        </is>
      </c>
      <c r="C1328" s="2" t="inlineStr">
        <is>
          <t>코스닥</t>
        </is>
      </c>
      <c r="D1328" s="2" t="inlineStr">
        <is>
          <t>049430</t>
        </is>
      </c>
      <c r="E1328" s="3" t="inlineStr">
        <is>
          <t>소송등의제기ㆍ신청(경영권분쟁소송)              (의안상정 가처분)</t>
        </is>
      </c>
      <c r="F1328" s="3" t="inlineStr">
        <is>
          <t>코메론</t>
        </is>
      </c>
      <c r="G1328" s="2" t="inlineStr">
        <is>
          <t>20260306900941</t>
        </is>
      </c>
      <c r="H1328" s="8">
        <f>HYPERLINK("https://dart.fss.or.kr/dsaf001/main.do?rcpNo=20260306900941", "공시열람")</f>
        <v/>
      </c>
    </row>
    <row r="1329">
      <c r="A1329" s="2" t="inlineStr">
        <is>
          <t>2026-03-06</t>
        </is>
      </c>
      <c r="B1329" s="3" t="inlineStr">
        <is>
          <t>쎄트렉아이</t>
        </is>
      </c>
      <c r="C1329" s="2" t="inlineStr">
        <is>
          <t>코스닥</t>
        </is>
      </c>
      <c r="D1329" s="2" t="inlineStr">
        <is>
          <t>099320</t>
        </is>
      </c>
      <c r="E1329" s="3" t="inlineStr">
        <is>
          <t>주주총회소집공고</t>
        </is>
      </c>
      <c r="F1329" s="3" t="inlineStr">
        <is>
          <t>쎄트렉아이</t>
        </is>
      </c>
      <c r="G1329" s="2" t="inlineStr">
        <is>
          <t>20260306000770</t>
        </is>
      </c>
      <c r="H1329" s="8">
        <f>HYPERLINK("https://dart.fss.or.kr/dsaf001/main.do?rcpNo=20260306000770", "공시열람")</f>
        <v/>
      </c>
    </row>
    <row r="1330">
      <c r="A1330" s="2" t="inlineStr">
        <is>
          <t>2026-03-06</t>
        </is>
      </c>
      <c r="B1330" s="3" t="inlineStr">
        <is>
          <t>KT지니뮤직</t>
        </is>
      </c>
      <c r="C1330" s="2" t="inlineStr">
        <is>
          <t>코스닥</t>
        </is>
      </c>
      <c r="D1330" s="2" t="inlineStr">
        <is>
          <t>043610</t>
        </is>
      </c>
      <c r="E1330" s="3" t="inlineStr">
        <is>
          <t xml:space="preserve">주주총회소집결의              </t>
        </is>
      </c>
      <c r="F1330" s="3" t="inlineStr">
        <is>
          <t>KT지니뮤직</t>
        </is>
      </c>
      <c r="G1330" s="2" t="inlineStr">
        <is>
          <t>20260306901174</t>
        </is>
      </c>
      <c r="H1330" s="8">
        <f>HYPERLINK("https://dart.fss.or.kr/dsaf001/main.do?rcpNo=20260306901174", "공시열람")</f>
        <v/>
      </c>
    </row>
    <row r="1331">
      <c r="A1331" s="2" t="inlineStr">
        <is>
          <t>2026-03-06</t>
        </is>
      </c>
      <c r="B1331" s="3" t="inlineStr">
        <is>
          <t>에코프로비엠</t>
        </is>
      </c>
      <c r="C1331" s="2" t="inlineStr">
        <is>
          <t>코스닥</t>
        </is>
      </c>
      <c r="D1331" s="2" t="inlineStr">
        <is>
          <t>247540</t>
        </is>
      </c>
      <c r="E1331" s="3" t="inlineStr">
        <is>
          <t>주주총회소집공고</t>
        </is>
      </c>
      <c r="F1331" s="3" t="inlineStr">
        <is>
          <t>에코프로비엠</t>
        </is>
      </c>
      <c r="G1331" s="2" t="inlineStr">
        <is>
          <t>20260306000767</t>
        </is>
      </c>
      <c r="H1331" s="8">
        <f>HYPERLINK("https://dart.fss.or.kr/dsaf001/main.do?rcpNo=20260306000767", "공시열람")</f>
        <v/>
      </c>
    </row>
    <row r="1332">
      <c r="A1332" s="2" t="inlineStr">
        <is>
          <t>2026-03-06</t>
        </is>
      </c>
      <c r="B1332" s="3" t="inlineStr">
        <is>
          <t>해성에어로보틱스</t>
        </is>
      </c>
      <c r="C1332" s="2" t="inlineStr">
        <is>
          <t>코스닥</t>
        </is>
      </c>
      <c r="D1332" s="2" t="inlineStr">
        <is>
          <t>059270</t>
        </is>
      </c>
      <c r="E1332" s="3" t="inlineStr">
        <is>
          <t xml:space="preserve">주주총회소집결의              </t>
        </is>
      </c>
      <c r="F1332" s="3" t="inlineStr">
        <is>
          <t>해성에어로보틱스</t>
        </is>
      </c>
      <c r="G1332" s="2" t="inlineStr">
        <is>
          <t>20260306900935</t>
        </is>
      </c>
      <c r="H1332" s="8">
        <f>HYPERLINK("https://dart.fss.or.kr/dsaf001/main.do?rcpNo=20260306900935", "공시열람")</f>
        <v/>
      </c>
    </row>
    <row r="1333">
      <c r="A1333" s="2" t="inlineStr">
        <is>
          <t>2026-03-06 (정정: 2026-03-06)</t>
        </is>
      </c>
      <c r="B1333" s="3" t="inlineStr">
        <is>
          <t>플랜티넷</t>
        </is>
      </c>
      <c r="C1333" s="2" t="inlineStr">
        <is>
          <t>코스닥</t>
        </is>
      </c>
      <c r="D1333" s="2" t="inlineStr">
        <is>
          <t>075130</t>
        </is>
      </c>
      <c r="E1333" s="3" t="inlineStr">
        <is>
          <t>주주총회소집공고 (정정: 20260306)</t>
        </is>
      </c>
      <c r="F1333" s="3" t="inlineStr">
        <is>
          <t>플랜티넷</t>
        </is>
      </c>
      <c r="G1333" s="2" t="inlineStr">
        <is>
          <t>20260306900900</t>
        </is>
      </c>
      <c r="H1333" s="8">
        <f>HYPERLINK("https://dart.fss.or.kr/dsaf001/main.do?rcpNo=20260306900900", "공시열람")</f>
        <v/>
      </c>
    </row>
    <row r="1334">
      <c r="A1334" s="2" t="inlineStr">
        <is>
          <t>2026-03-06</t>
        </is>
      </c>
      <c r="B1334" s="3" t="inlineStr">
        <is>
          <t>기업은행</t>
        </is>
      </c>
      <c r="C1334" s="2" t="inlineStr">
        <is>
          <t>코스피</t>
        </is>
      </c>
      <c r="D1334" s="2" t="inlineStr">
        <is>
          <t>024110</t>
        </is>
      </c>
      <c r="E1334" s="3" t="inlineStr">
        <is>
          <t xml:space="preserve">주주총회소집결의              </t>
        </is>
      </c>
      <c r="F1334" s="3" t="inlineStr">
        <is>
          <t>기업은행</t>
        </is>
      </c>
      <c r="G1334" s="2" t="inlineStr">
        <is>
          <t>20260306801209</t>
        </is>
      </c>
      <c r="H1334" s="8">
        <f>HYPERLINK("https://dart.fss.or.kr/dsaf001/main.do?rcpNo=20260306801209", "공시열람")</f>
        <v/>
      </c>
    </row>
    <row r="1335">
      <c r="A1335" s="2" t="inlineStr">
        <is>
          <t>2026-03-06</t>
        </is>
      </c>
      <c r="B1335" s="3" t="inlineStr">
        <is>
          <t>아이쓰리시스템</t>
        </is>
      </c>
      <c r="C1335" s="2" t="inlineStr">
        <is>
          <t>코스닥</t>
        </is>
      </c>
      <c r="D1335" s="2" t="inlineStr">
        <is>
          <t>214430</t>
        </is>
      </c>
      <c r="E1335" s="3" t="inlineStr">
        <is>
          <t>주주총회소집공고</t>
        </is>
      </c>
      <c r="F1335" s="3" t="inlineStr">
        <is>
          <t>아이쓰리시스템</t>
        </is>
      </c>
      <c r="G1335" s="2" t="inlineStr">
        <is>
          <t>20260306000762</t>
        </is>
      </c>
      <c r="H1335" s="8">
        <f>HYPERLINK("https://dart.fss.or.kr/dsaf001/main.do?rcpNo=20260306000762", "공시열람")</f>
        <v/>
      </c>
    </row>
    <row r="1336">
      <c r="A1336" s="2" t="inlineStr">
        <is>
          <t>2026-03-06</t>
        </is>
      </c>
      <c r="B1336" s="3" t="inlineStr">
        <is>
          <t>성신양회</t>
        </is>
      </c>
      <c r="C1336" s="2" t="inlineStr">
        <is>
          <t>코스피</t>
        </is>
      </c>
      <c r="D1336" s="2" t="inlineStr">
        <is>
          <t>004980</t>
        </is>
      </c>
      <c r="E1336" s="3" t="inlineStr">
        <is>
          <t>주주총회소집공고</t>
        </is>
      </c>
      <c r="F1336" s="3" t="inlineStr">
        <is>
          <t>성신양회</t>
        </is>
      </c>
      <c r="G1336" s="2" t="inlineStr">
        <is>
          <t>20260306000761</t>
        </is>
      </c>
      <c r="H1336" s="8">
        <f>HYPERLINK("https://dart.fss.or.kr/dsaf001/main.do?rcpNo=20260306000761", "공시열람")</f>
        <v/>
      </c>
    </row>
    <row r="1337">
      <c r="A1337" s="2" t="inlineStr">
        <is>
          <t>2026-03-06</t>
        </is>
      </c>
      <c r="B1337" s="3" t="inlineStr">
        <is>
          <t>잉글우드랩</t>
        </is>
      </c>
      <c r="C1337" s="2" t="inlineStr">
        <is>
          <t>코스닥</t>
        </is>
      </c>
      <c r="D1337" s="2" t="inlineStr">
        <is>
          <t>950140</t>
        </is>
      </c>
      <c r="E1337" s="3" t="inlineStr">
        <is>
          <t xml:space="preserve">주주총회집중일개최사유신고              </t>
        </is>
      </c>
      <c r="F1337" s="3" t="inlineStr">
        <is>
          <t>잉글우드랩</t>
        </is>
      </c>
      <c r="G1337" s="2" t="inlineStr">
        <is>
          <t>20260306900882</t>
        </is>
      </c>
      <c r="H1337" s="8">
        <f>HYPERLINK("https://dart.fss.or.kr/dsaf001/main.do?rcpNo=20260306900882", "공시열람")</f>
        <v/>
      </c>
    </row>
    <row r="1338">
      <c r="A1338" s="2" t="inlineStr">
        <is>
          <t>2026-03-06</t>
        </is>
      </c>
      <c r="B1338" s="3" t="inlineStr">
        <is>
          <t>잉글우드랩</t>
        </is>
      </c>
      <c r="C1338" s="2" t="inlineStr">
        <is>
          <t>코스닥</t>
        </is>
      </c>
      <c r="D1338" s="2" t="inlineStr">
        <is>
          <t>950140</t>
        </is>
      </c>
      <c r="E1338" s="3" t="inlineStr">
        <is>
          <t xml:space="preserve">주주총회소집결의              </t>
        </is>
      </c>
      <c r="F1338" s="3" t="inlineStr">
        <is>
          <t>잉글우드랩</t>
        </is>
      </c>
      <c r="G1338" s="2" t="inlineStr">
        <is>
          <t>20260306900879</t>
        </is>
      </c>
      <c r="H1338" s="8">
        <f>HYPERLINK("https://dart.fss.or.kr/dsaf001/main.do?rcpNo=20260306900879", "공시열람")</f>
        <v/>
      </c>
    </row>
    <row r="1339">
      <c r="A1339" s="2" t="inlineStr">
        <is>
          <t>2026-03-06 (정정: 2026-03-19)</t>
        </is>
      </c>
      <c r="B1339" s="3" t="inlineStr">
        <is>
          <t>한국화장품제조</t>
        </is>
      </c>
      <c r="C1339" s="2" t="inlineStr">
        <is>
          <t>코스피</t>
        </is>
      </c>
      <c r="D1339" s="2" t="inlineStr">
        <is>
          <t>003350</t>
        </is>
      </c>
      <c r="E1339" s="3" t="inlineStr">
        <is>
          <t>주주총회집중일개최사유신고               (정정: 20260319)</t>
        </is>
      </c>
      <c r="F1339" s="3" t="inlineStr">
        <is>
          <t>한국화장품제조</t>
        </is>
      </c>
      <c r="G1339" s="2" t="inlineStr">
        <is>
          <t>20260319001178</t>
        </is>
      </c>
      <c r="H1339" s="8">
        <f>HYPERLINK("https://dart.fss.or.kr/dsaf001/main.do?rcpNo=20260319001178", "공시열람")</f>
        <v/>
      </c>
    </row>
    <row r="1340">
      <c r="A1340" s="2" t="inlineStr">
        <is>
          <t>2026-03-06</t>
        </is>
      </c>
      <c r="B1340" s="3" t="inlineStr">
        <is>
          <t>아이쓰리시스템</t>
        </is>
      </c>
      <c r="C1340" s="2" t="inlineStr">
        <is>
          <t>코스닥</t>
        </is>
      </c>
      <c r="D1340" s="2" t="inlineStr">
        <is>
          <t>214430</t>
        </is>
      </c>
      <c r="E1340" s="3" t="inlineStr">
        <is>
          <t xml:space="preserve">주주총회소집결의              </t>
        </is>
      </c>
      <c r="F1340" s="3" t="inlineStr">
        <is>
          <t>아이쓰리시스템</t>
        </is>
      </c>
      <c r="G1340" s="2" t="inlineStr">
        <is>
          <t>20260306900846</t>
        </is>
      </c>
      <c r="H1340" s="8">
        <f>HYPERLINK("https://dart.fss.or.kr/dsaf001/main.do?rcpNo=20260306900846", "공시열람")</f>
        <v/>
      </c>
    </row>
    <row r="1341">
      <c r="A1341" s="2" t="inlineStr">
        <is>
          <t>2026-03-06 (정정: 2026-03-19)</t>
        </is>
      </c>
      <c r="B1341" s="3" t="inlineStr">
        <is>
          <t>한국화장품</t>
        </is>
      </c>
      <c r="C1341" s="2" t="inlineStr">
        <is>
          <t>코스피</t>
        </is>
      </c>
      <c r="D1341" s="2" t="inlineStr">
        <is>
          <t>123690</t>
        </is>
      </c>
      <c r="E1341" s="3" t="inlineStr">
        <is>
          <t>주주총회집중일개최사유신고               (정정: 20260319)</t>
        </is>
      </c>
      <c r="F1341" s="3" t="inlineStr">
        <is>
          <t>한국화장품</t>
        </is>
      </c>
      <c r="G1341" s="2" t="inlineStr">
        <is>
          <t>20260319001228</t>
        </is>
      </c>
      <c r="H1341" s="8">
        <f>HYPERLINK("https://dart.fss.or.kr/dsaf001/main.do?rcpNo=20260319001228", "공시열람")</f>
        <v/>
      </c>
    </row>
    <row r="1342">
      <c r="A1342" s="2" t="inlineStr">
        <is>
          <t>2026-03-06</t>
        </is>
      </c>
      <c r="B1342" s="3" t="inlineStr">
        <is>
          <t>파인디앤씨</t>
        </is>
      </c>
      <c r="C1342" s="2" t="inlineStr">
        <is>
          <t>코스닥</t>
        </is>
      </c>
      <c r="D1342" s="2" t="inlineStr">
        <is>
          <t>049120</t>
        </is>
      </c>
      <c r="E1342" s="3" t="inlineStr">
        <is>
          <t xml:space="preserve">[기재정정]주주총회소집결의              </t>
        </is>
      </c>
      <c r="F1342" s="3" t="inlineStr">
        <is>
          <t>파인디앤씨</t>
        </is>
      </c>
      <c r="G1342" s="2" t="inlineStr">
        <is>
          <t>20260306900732</t>
        </is>
      </c>
      <c r="H1342" s="8">
        <f>HYPERLINK("https://dart.fss.or.kr/dsaf001/main.do?rcpNo=20260306900732", "공시열람")</f>
        <v/>
      </c>
    </row>
    <row r="1343">
      <c r="A1343" s="2" t="inlineStr">
        <is>
          <t>2026-03-06</t>
        </is>
      </c>
      <c r="B1343" s="3" t="inlineStr">
        <is>
          <t>케스피온</t>
        </is>
      </c>
      <c r="C1343" s="2" t="inlineStr">
        <is>
          <t>코스닥</t>
        </is>
      </c>
      <c r="D1343" s="2" t="inlineStr">
        <is>
          <t>079190</t>
        </is>
      </c>
      <c r="E1343" s="3" t="inlineStr">
        <is>
          <t>[첨부정정]주요사항보고서(회사합병결정)</t>
        </is>
      </c>
      <c r="F1343" s="3" t="inlineStr">
        <is>
          <t>케스피온</t>
        </is>
      </c>
      <c r="G1343" s="2" t="inlineStr">
        <is>
          <t>20260306000580</t>
        </is>
      </c>
      <c r="H1343" s="8">
        <f>HYPERLINK("https://dart.fss.or.kr/dsaf001/main.do?rcpNo=20260306000580", "공시열람")</f>
        <v/>
      </c>
    </row>
    <row r="1344">
      <c r="A1344" s="2" t="inlineStr">
        <is>
          <t>2026-03-06</t>
        </is>
      </c>
      <c r="B1344" s="3" t="inlineStr">
        <is>
          <t>나우IB</t>
        </is>
      </c>
      <c r="C1344" s="2" t="inlineStr">
        <is>
          <t>코스닥</t>
        </is>
      </c>
      <c r="D1344" s="2" t="inlineStr">
        <is>
          <t>293580</t>
        </is>
      </c>
      <c r="E1344" s="3" t="inlineStr">
        <is>
          <t>주주총회소집공고</t>
        </is>
      </c>
      <c r="F1344" s="3" t="inlineStr">
        <is>
          <t>나우IB</t>
        </is>
      </c>
      <c r="G1344" s="2" t="inlineStr">
        <is>
          <t>20260306000755</t>
        </is>
      </c>
      <c r="H1344" s="8">
        <f>HYPERLINK("https://dart.fss.or.kr/dsaf001/main.do?rcpNo=20260306000755", "공시열람")</f>
        <v/>
      </c>
    </row>
    <row r="1345">
      <c r="A1345" s="2" t="inlineStr">
        <is>
          <t>2026-03-06</t>
        </is>
      </c>
      <c r="B1345" s="3" t="inlineStr">
        <is>
          <t>메타케어</t>
        </is>
      </c>
      <c r="C1345" s="2" t="inlineStr">
        <is>
          <t>코스피</t>
        </is>
      </c>
      <c r="D1345" s="2" t="inlineStr">
        <is>
          <t>118000</t>
        </is>
      </c>
      <c r="E1345" s="3" t="inlineStr">
        <is>
          <t xml:space="preserve">주주총회소집결의              </t>
        </is>
      </c>
      <c r="F1345" s="3" t="inlineStr">
        <is>
          <t>메타케어</t>
        </is>
      </c>
      <c r="G1345" s="2" t="inlineStr">
        <is>
          <t>20260306801140</t>
        </is>
      </c>
      <c r="H1345" s="8">
        <f>HYPERLINK("https://dart.fss.or.kr/dsaf001/main.do?rcpNo=20260306801140", "공시열람")</f>
        <v/>
      </c>
    </row>
    <row r="1346">
      <c r="A1346" s="2" t="inlineStr">
        <is>
          <t>2026-03-06</t>
        </is>
      </c>
      <c r="B1346" s="3" t="inlineStr">
        <is>
          <t>제노레이</t>
        </is>
      </c>
      <c r="C1346" s="2" t="inlineStr">
        <is>
          <t>코스닥</t>
        </is>
      </c>
      <c r="D1346" s="2" t="inlineStr">
        <is>
          <t>122310</t>
        </is>
      </c>
      <c r="E1346" s="3" t="inlineStr">
        <is>
          <t>주주총회소집공고</t>
        </is>
      </c>
      <c r="F1346" s="3" t="inlineStr">
        <is>
          <t>제노레이</t>
        </is>
      </c>
      <c r="G1346" s="2" t="inlineStr">
        <is>
          <t>20260306000754</t>
        </is>
      </c>
      <c r="H1346" s="8">
        <f>HYPERLINK("https://dart.fss.or.kr/dsaf001/main.do?rcpNo=20260306000754", "공시열람")</f>
        <v/>
      </c>
    </row>
    <row r="1347">
      <c r="A1347" s="2" t="inlineStr">
        <is>
          <t>2026-03-06</t>
        </is>
      </c>
      <c r="B1347" s="3" t="inlineStr">
        <is>
          <t>광동헬스바이오</t>
        </is>
      </c>
      <c r="C1347" s="2" t="inlineStr">
        <is>
          <t>코넥스</t>
        </is>
      </c>
      <c r="D1347" s="2" t="inlineStr">
        <is>
          <t>086220</t>
        </is>
      </c>
      <c r="E1347" s="3" t="inlineStr">
        <is>
          <t>주주총회소집공고</t>
        </is>
      </c>
      <c r="F1347" s="3" t="inlineStr">
        <is>
          <t>광동헬스바이오</t>
        </is>
      </c>
      <c r="G1347" s="2" t="inlineStr">
        <is>
          <t>20260306000752</t>
        </is>
      </c>
      <c r="H1347" s="8">
        <f>HYPERLINK("https://dart.fss.or.kr/dsaf001/main.do?rcpNo=20260306000752", "공시열람")</f>
        <v/>
      </c>
    </row>
    <row r="1348">
      <c r="A1348" s="2" t="inlineStr">
        <is>
          <t>2026-03-06</t>
        </is>
      </c>
      <c r="B1348" s="3" t="inlineStr">
        <is>
          <t>제노레이</t>
        </is>
      </c>
      <c r="C1348" s="2" t="inlineStr">
        <is>
          <t>코스닥</t>
        </is>
      </c>
      <c r="D1348" s="2" t="inlineStr">
        <is>
          <t>122310</t>
        </is>
      </c>
      <c r="E1348" s="3" t="inlineStr">
        <is>
          <t xml:space="preserve">주주총회집중일개최사유신고              </t>
        </is>
      </c>
      <c r="F1348" s="3" t="inlineStr">
        <is>
          <t>제노레이</t>
        </is>
      </c>
      <c r="G1348" s="2" t="inlineStr">
        <is>
          <t>20260306901191</t>
        </is>
      </c>
      <c r="H1348" s="8">
        <f>HYPERLINK("https://dart.fss.or.kr/dsaf001/main.do?rcpNo=20260306901191", "공시열람")</f>
        <v/>
      </c>
    </row>
    <row r="1349">
      <c r="A1349" s="2" t="inlineStr">
        <is>
          <t>2026-03-06 (정정: 2026-03-06)</t>
        </is>
      </c>
      <c r="B1349" s="3" t="inlineStr">
        <is>
          <t>파로스아이바이오</t>
        </is>
      </c>
      <c r="C1349" s="2" t="inlineStr">
        <is>
          <t>코스닥</t>
        </is>
      </c>
      <c r="D1349" s="2" t="inlineStr">
        <is>
          <t>388870</t>
        </is>
      </c>
      <c r="E1349" s="3" t="inlineStr">
        <is>
          <t>주주총회집중일개최사유신고               (정정: 20260306)</t>
        </is>
      </c>
      <c r="F1349" s="3" t="inlineStr">
        <is>
          <t>파로스아이바이오</t>
        </is>
      </c>
      <c r="G1349" s="2" t="inlineStr">
        <is>
          <t>20260306901057</t>
        </is>
      </c>
      <c r="H1349" s="8">
        <f>HYPERLINK("https://dart.fss.or.kr/dsaf001/main.do?rcpNo=20260306901057", "공시열람")</f>
        <v/>
      </c>
    </row>
    <row r="1350">
      <c r="A1350" s="2" t="inlineStr">
        <is>
          <t>2026-03-06</t>
        </is>
      </c>
      <c r="B1350" s="3" t="inlineStr">
        <is>
          <t>OCI</t>
        </is>
      </c>
      <c r="C1350" s="2" t="inlineStr">
        <is>
          <t>코스피</t>
        </is>
      </c>
      <c r="D1350" s="2" t="inlineStr">
        <is>
          <t>456040</t>
        </is>
      </c>
      <c r="E1350" s="3" t="inlineStr">
        <is>
          <t>주주총회소집공고</t>
        </is>
      </c>
      <c r="F1350" s="3" t="inlineStr">
        <is>
          <t>OCI</t>
        </is>
      </c>
      <c r="G1350" s="2" t="inlineStr">
        <is>
          <t>20260306000749</t>
        </is>
      </c>
      <c r="H1350" s="8">
        <f>HYPERLINK("https://dart.fss.or.kr/dsaf001/main.do?rcpNo=20260306000749", "공시열람")</f>
        <v/>
      </c>
    </row>
    <row r="1351">
      <c r="A1351" s="2" t="inlineStr">
        <is>
          <t>2026-03-06</t>
        </is>
      </c>
      <c r="B1351" s="3" t="inlineStr">
        <is>
          <t>인카금융서비스</t>
        </is>
      </c>
      <c r="C1351" s="2" t="inlineStr">
        <is>
          <t>코스닥</t>
        </is>
      </c>
      <c r="D1351" s="2" t="inlineStr">
        <is>
          <t>211050</t>
        </is>
      </c>
      <c r="E1351" s="3" t="inlineStr">
        <is>
          <t>주요사항보고서(회사합병결정)</t>
        </is>
      </c>
      <c r="F1351" s="3" t="inlineStr">
        <is>
          <t>인카금융서비스</t>
        </is>
      </c>
      <c r="G1351" s="2" t="inlineStr">
        <is>
          <t>20260306000669</t>
        </is>
      </c>
      <c r="H1351" s="8">
        <f>HYPERLINK("https://dart.fss.or.kr/dsaf001/main.do?rcpNo=20260306000669", "공시열람")</f>
        <v/>
      </c>
    </row>
    <row r="1352">
      <c r="A1352" s="2" t="inlineStr">
        <is>
          <t>2026-03-06</t>
        </is>
      </c>
      <c r="B1352" s="3" t="inlineStr">
        <is>
          <t>로지스몬</t>
        </is>
      </c>
      <c r="C1352" s="2" t="inlineStr">
        <is>
          <t>코넥스</t>
        </is>
      </c>
      <c r="D1352" s="2" t="inlineStr">
        <is>
          <t>223220</t>
        </is>
      </c>
      <c r="E1352" s="3" t="inlineStr">
        <is>
          <t xml:space="preserve">최대주주변경              </t>
        </is>
      </c>
      <c r="F1352" s="3" t="inlineStr">
        <is>
          <t>로지스몬</t>
        </is>
      </c>
      <c r="G1352" s="2" t="inlineStr">
        <is>
          <t>20260306601114</t>
        </is>
      </c>
      <c r="H1352" s="8">
        <f>HYPERLINK("https://dart.fss.or.kr/dsaf001/main.do?rcpNo=20260306601114", "공시열람")</f>
        <v/>
      </c>
    </row>
    <row r="1353">
      <c r="A1353" s="2" t="inlineStr">
        <is>
          <t>2026-03-06</t>
        </is>
      </c>
      <c r="B1353" s="3" t="inlineStr">
        <is>
          <t>메타랩스</t>
        </is>
      </c>
      <c r="C1353" s="2" t="inlineStr">
        <is>
          <t>코스피</t>
        </is>
      </c>
      <c r="D1353" s="2" t="inlineStr">
        <is>
          <t>090370</t>
        </is>
      </c>
      <c r="E1353" s="3" t="inlineStr">
        <is>
          <t xml:space="preserve">주주총회소집결의              </t>
        </is>
      </c>
      <c r="F1353" s="3" t="inlineStr">
        <is>
          <t>메타랩스</t>
        </is>
      </c>
      <c r="G1353" s="2" t="inlineStr">
        <is>
          <t>20260306801151</t>
        </is>
      </c>
      <c r="H1353" s="8">
        <f>HYPERLINK("https://dart.fss.or.kr/dsaf001/main.do?rcpNo=20260306801151", "공시열람")</f>
        <v/>
      </c>
    </row>
    <row r="1354">
      <c r="A1354" s="2" t="inlineStr">
        <is>
          <t>2026-03-06</t>
        </is>
      </c>
      <c r="B1354" s="3" t="inlineStr">
        <is>
          <t>비상교육</t>
        </is>
      </c>
      <c r="C1354" s="2" t="inlineStr">
        <is>
          <t>코스피</t>
        </is>
      </c>
      <c r="D1354" s="2" t="inlineStr">
        <is>
          <t>100220</t>
        </is>
      </c>
      <c r="E1354" s="3" t="inlineStr">
        <is>
          <t>주주총회소집공고</t>
        </is>
      </c>
      <c r="F1354" s="3" t="inlineStr">
        <is>
          <t>비상교육</t>
        </is>
      </c>
      <c r="G1354" s="2" t="inlineStr">
        <is>
          <t>20260306000744</t>
        </is>
      </c>
      <c r="H1354" s="8">
        <f>HYPERLINK("https://dart.fss.or.kr/dsaf001/main.do?rcpNo=20260306000744", "공시열람")</f>
        <v/>
      </c>
    </row>
    <row r="1355">
      <c r="A1355" s="2" t="inlineStr">
        <is>
          <t>2026-03-06</t>
        </is>
      </c>
      <c r="B1355" s="3" t="inlineStr">
        <is>
          <t>대동기어</t>
        </is>
      </c>
      <c r="C1355" s="2" t="inlineStr">
        <is>
          <t>코스닥</t>
        </is>
      </c>
      <c r="D1355" s="2" t="inlineStr">
        <is>
          <t>008830</t>
        </is>
      </c>
      <c r="E1355" s="3" t="inlineStr">
        <is>
          <t xml:space="preserve">주주총회집중일개최사유신고              </t>
        </is>
      </c>
      <c r="F1355" s="3" t="inlineStr">
        <is>
          <t>대동기어</t>
        </is>
      </c>
      <c r="G1355" s="2" t="inlineStr">
        <is>
          <t>20260306901051</t>
        </is>
      </c>
      <c r="H1355" s="8">
        <f>HYPERLINK("https://dart.fss.or.kr/dsaf001/main.do?rcpNo=20260306901051", "공시열람")</f>
        <v/>
      </c>
    </row>
    <row r="1356">
      <c r="A1356" s="2" t="inlineStr">
        <is>
          <t>2026-03-06</t>
        </is>
      </c>
      <c r="B1356" s="3" t="inlineStr">
        <is>
          <t>대동기어</t>
        </is>
      </c>
      <c r="C1356" s="2" t="inlineStr">
        <is>
          <t>코스닥</t>
        </is>
      </c>
      <c r="D1356" s="2" t="inlineStr">
        <is>
          <t>008830</t>
        </is>
      </c>
      <c r="E1356" s="3" t="inlineStr">
        <is>
          <t xml:space="preserve">주주총회소집결의              </t>
        </is>
      </c>
      <c r="F1356" s="3" t="inlineStr">
        <is>
          <t>대동기어</t>
        </is>
      </c>
      <c r="G1356" s="2" t="inlineStr">
        <is>
          <t>20260306901046</t>
        </is>
      </c>
      <c r="H1356" s="8">
        <f>HYPERLINK("https://dart.fss.or.kr/dsaf001/main.do?rcpNo=20260306901046", "공시열람")</f>
        <v/>
      </c>
    </row>
    <row r="1357">
      <c r="A1357" s="2" t="inlineStr">
        <is>
          <t>2026-03-06</t>
        </is>
      </c>
      <c r="B1357" s="3" t="inlineStr">
        <is>
          <t>덕성</t>
        </is>
      </c>
      <c r="C1357" s="2" t="inlineStr">
        <is>
          <t>코스피</t>
        </is>
      </c>
      <c r="D1357" s="2" t="inlineStr">
        <is>
          <t>004830</t>
        </is>
      </c>
      <c r="E1357" s="3" t="inlineStr">
        <is>
          <t>주주총회소집공고</t>
        </is>
      </c>
      <c r="F1357" s="3" t="inlineStr">
        <is>
          <t>덕성</t>
        </is>
      </c>
      <c r="G1357" s="2" t="inlineStr">
        <is>
          <t>20260306000740</t>
        </is>
      </c>
      <c r="H1357" s="8">
        <f>HYPERLINK("https://dart.fss.or.kr/dsaf001/main.do?rcpNo=20260306000740", "공시열람")</f>
        <v/>
      </c>
    </row>
    <row r="1358">
      <c r="A1358" s="2" t="inlineStr">
        <is>
          <t>2026-03-06</t>
        </is>
      </c>
      <c r="B1358" s="3" t="inlineStr">
        <is>
          <t>데이터스트림즈</t>
        </is>
      </c>
      <c r="C1358" s="2" t="inlineStr">
        <is>
          <t>코넥스</t>
        </is>
      </c>
      <c r="D1358" s="2" t="inlineStr">
        <is>
          <t>199150</t>
        </is>
      </c>
      <c r="E1358" s="3" t="inlineStr">
        <is>
          <t xml:space="preserve">주주총회소집결의              </t>
        </is>
      </c>
      <c r="F1358" s="3" t="inlineStr">
        <is>
          <t>데이터스트림즈</t>
        </is>
      </c>
      <c r="G1358" s="2" t="inlineStr">
        <is>
          <t>20260306601128</t>
        </is>
      </c>
      <c r="H1358" s="8">
        <f>HYPERLINK("https://dart.fss.or.kr/dsaf001/main.do?rcpNo=20260306601128", "공시열람")</f>
        <v/>
      </c>
    </row>
    <row r="1359">
      <c r="A1359" s="2" t="inlineStr">
        <is>
          <t>2026-03-06</t>
        </is>
      </c>
      <c r="B1359" s="3" t="inlineStr">
        <is>
          <t>미래에셋벤처투자</t>
        </is>
      </c>
      <c r="C1359" s="2" t="inlineStr">
        <is>
          <t>코스닥</t>
        </is>
      </c>
      <c r="D1359" s="2" t="inlineStr">
        <is>
          <t>100790</t>
        </is>
      </c>
      <c r="E1359" s="3" t="inlineStr">
        <is>
          <t>주주총회소집공고</t>
        </is>
      </c>
      <c r="F1359" s="3" t="inlineStr">
        <is>
          <t>미래에셋벤처투자</t>
        </is>
      </c>
      <c r="G1359" s="2" t="inlineStr">
        <is>
          <t>20260306000729</t>
        </is>
      </c>
      <c r="H1359" s="8">
        <f>HYPERLINK("https://dart.fss.or.kr/dsaf001/main.do?rcpNo=20260306000729", "공시열람")</f>
        <v/>
      </c>
    </row>
    <row r="1360">
      <c r="A1360" s="2" t="inlineStr">
        <is>
          <t>2026-03-06</t>
        </is>
      </c>
      <c r="B1360" s="3" t="inlineStr">
        <is>
          <t>한국화장품제조</t>
        </is>
      </c>
      <c r="C1360" s="2" t="inlineStr">
        <is>
          <t>코스피</t>
        </is>
      </c>
      <c r="D1360" s="2" t="inlineStr">
        <is>
          <t>003350</t>
        </is>
      </c>
      <c r="E1360" s="3" t="inlineStr">
        <is>
          <t>주주총회소집공고</t>
        </is>
      </c>
      <c r="F1360" s="3" t="inlineStr">
        <is>
          <t>한국화장품제조</t>
        </is>
      </c>
      <c r="G1360" s="2" t="inlineStr">
        <is>
          <t>20260306000728</t>
        </is>
      </c>
      <c r="H1360" s="8">
        <f>HYPERLINK("https://dart.fss.or.kr/dsaf001/main.do?rcpNo=20260306000728", "공시열람")</f>
        <v/>
      </c>
    </row>
    <row r="1361">
      <c r="A1361" s="2" t="inlineStr">
        <is>
          <t>2026-03-06</t>
        </is>
      </c>
      <c r="B1361" s="3" t="inlineStr">
        <is>
          <t>태경케미컬</t>
        </is>
      </c>
      <c r="C1361" s="2" t="inlineStr">
        <is>
          <t>코스피</t>
        </is>
      </c>
      <c r="D1361" s="2" t="inlineStr">
        <is>
          <t>006890</t>
        </is>
      </c>
      <c r="E1361" s="3" t="inlineStr">
        <is>
          <t xml:space="preserve">주주총회집중일개최사유신고              </t>
        </is>
      </c>
      <c r="F1361" s="3" t="inlineStr">
        <is>
          <t>태경케미컬</t>
        </is>
      </c>
      <c r="G1361" s="2" t="inlineStr">
        <is>
          <t>20260306801064</t>
        </is>
      </c>
      <c r="H1361" s="8">
        <f>HYPERLINK("https://dart.fss.or.kr/dsaf001/main.do?rcpNo=20260306801064", "공시열람")</f>
        <v/>
      </c>
    </row>
    <row r="1362">
      <c r="A1362" s="2" t="inlineStr">
        <is>
          <t>2026-03-06 (정정: 2026-06-23)</t>
        </is>
      </c>
      <c r="B1362" s="3" t="inlineStr">
        <is>
          <t>코오롱티슈진</t>
        </is>
      </c>
      <c r="C1362" s="2" t="inlineStr">
        <is>
          <t>코스닥</t>
        </is>
      </c>
      <c r="D1362" s="2" t="inlineStr">
        <is>
          <t>950160</t>
        </is>
      </c>
      <c r="E1362" s="3" t="inlineStr">
        <is>
          <t>주주총회소집공고 (정정: 20260310) (정정: 20260623)</t>
        </is>
      </c>
      <c r="F1362" s="3" t="inlineStr">
        <is>
          <t>코오롱티슈진</t>
        </is>
      </c>
      <c r="G1362" s="2" t="inlineStr">
        <is>
          <t>20260623900545</t>
        </is>
      </c>
      <c r="H1362" s="8">
        <f>HYPERLINK("https://dart.fss.or.kr/dsaf001/main.do?rcpNo=20260623900545", "공시열람")</f>
        <v/>
      </c>
    </row>
    <row r="1363">
      <c r="A1363" s="2" t="inlineStr">
        <is>
          <t>2026-03-06</t>
        </is>
      </c>
      <c r="B1363" s="3" t="inlineStr">
        <is>
          <t>딜리</t>
        </is>
      </c>
      <c r="C1363" s="2" t="inlineStr">
        <is>
          <t>코스닥</t>
        </is>
      </c>
      <c r="D1363" s="2" t="inlineStr">
        <is>
          <t>131180</t>
        </is>
      </c>
      <c r="E1363" s="3" t="inlineStr">
        <is>
          <t>주주총회소집공고</t>
        </is>
      </c>
      <c r="F1363" s="3" t="inlineStr">
        <is>
          <t>딜리</t>
        </is>
      </c>
      <c r="G1363" s="2" t="inlineStr">
        <is>
          <t>20260306000718</t>
        </is>
      </c>
      <c r="H1363" s="8">
        <f>HYPERLINK("https://dart.fss.or.kr/dsaf001/main.do?rcpNo=20260306000718", "공시열람")</f>
        <v/>
      </c>
    </row>
    <row r="1364">
      <c r="A1364" s="2" t="inlineStr">
        <is>
          <t>2026-03-06</t>
        </is>
      </c>
      <c r="B1364" s="3" t="inlineStr">
        <is>
          <t>메드팩토</t>
        </is>
      </c>
      <c r="C1364" s="2" t="inlineStr">
        <is>
          <t>코스닥</t>
        </is>
      </c>
      <c r="D1364" s="2" t="inlineStr">
        <is>
          <t>235980</t>
        </is>
      </c>
      <c r="E1364" s="3" t="inlineStr">
        <is>
          <t xml:space="preserve">주주총회소집결의              </t>
        </is>
      </c>
      <c r="F1364" s="3" t="inlineStr">
        <is>
          <t>메드팩토</t>
        </is>
      </c>
      <c r="G1364" s="2" t="inlineStr">
        <is>
          <t>20260306901031</t>
        </is>
      </c>
      <c r="H1364" s="8">
        <f>HYPERLINK("https://dart.fss.or.kr/dsaf001/main.do?rcpNo=20260306901031", "공시열람")</f>
        <v/>
      </c>
    </row>
    <row r="1365">
      <c r="A1365" s="2" t="inlineStr">
        <is>
          <t>2026-03-06</t>
        </is>
      </c>
      <c r="B1365" s="3" t="inlineStr">
        <is>
          <t>랩지노믹스</t>
        </is>
      </c>
      <c r="C1365" s="2" t="inlineStr">
        <is>
          <t>코스닥</t>
        </is>
      </c>
      <c r="D1365" s="2" t="inlineStr">
        <is>
          <t>084650</t>
        </is>
      </c>
      <c r="E1365" s="3" t="inlineStr">
        <is>
          <t>주주총회소집공고</t>
        </is>
      </c>
      <c r="F1365" s="3" t="inlineStr">
        <is>
          <t>랩지노믹스</t>
        </is>
      </c>
      <c r="G1365" s="2" t="inlineStr">
        <is>
          <t>20260306000699</t>
        </is>
      </c>
      <c r="H1365" s="8">
        <f>HYPERLINK("https://dart.fss.or.kr/dsaf001/main.do?rcpNo=20260306000699", "공시열람")</f>
        <v/>
      </c>
    </row>
    <row r="1366">
      <c r="A1366" s="2" t="inlineStr">
        <is>
          <t>2026-03-06</t>
        </is>
      </c>
      <c r="B1366" s="3" t="inlineStr">
        <is>
          <t>제노레이</t>
        </is>
      </c>
      <c r="C1366" s="2" t="inlineStr">
        <is>
          <t>코스닥</t>
        </is>
      </c>
      <c r="D1366" s="2" t="inlineStr">
        <is>
          <t>122310</t>
        </is>
      </c>
      <c r="E1366" s="3" t="inlineStr">
        <is>
          <t xml:space="preserve">주주총회소집결의              </t>
        </is>
      </c>
      <c r="F1366" s="3" t="inlineStr">
        <is>
          <t>제노레이</t>
        </is>
      </c>
      <c r="G1366" s="2" t="inlineStr">
        <is>
          <t>20260306901001</t>
        </is>
      </c>
      <c r="H1366" s="8">
        <f>HYPERLINK("https://dart.fss.or.kr/dsaf001/main.do?rcpNo=20260306901001", "공시열람")</f>
        <v/>
      </c>
    </row>
    <row r="1367">
      <c r="A1367" s="2" t="inlineStr">
        <is>
          <t>2026-03-06</t>
        </is>
      </c>
      <c r="B1367" s="3" t="inlineStr">
        <is>
          <t>한국화장품</t>
        </is>
      </c>
      <c r="C1367" s="2" t="inlineStr">
        <is>
          <t>코스피</t>
        </is>
      </c>
      <c r="D1367" s="2" t="inlineStr">
        <is>
          <t>123690</t>
        </is>
      </c>
      <c r="E1367" s="3" t="inlineStr">
        <is>
          <t>주주총회소집공고</t>
        </is>
      </c>
      <c r="F1367" s="3" t="inlineStr">
        <is>
          <t>한국화장품</t>
        </is>
      </c>
      <c r="G1367" s="2" t="inlineStr">
        <is>
          <t>20260306000697</t>
        </is>
      </c>
      <c r="H1367" s="8">
        <f>HYPERLINK("https://dart.fss.or.kr/dsaf001/main.do?rcpNo=20260306000697", "공시열람")</f>
        <v/>
      </c>
    </row>
    <row r="1368">
      <c r="A1368" s="2" t="inlineStr">
        <is>
          <t>2026-03-06</t>
        </is>
      </c>
      <c r="B1368" s="3" t="inlineStr">
        <is>
          <t>유진테크놀로지</t>
        </is>
      </c>
      <c r="C1368" s="2" t="inlineStr">
        <is>
          <t>코스닥</t>
        </is>
      </c>
      <c r="D1368" s="2" t="inlineStr">
        <is>
          <t>240600</t>
        </is>
      </c>
      <c r="E1368" s="3" t="inlineStr">
        <is>
          <t xml:space="preserve">주주총회소집결의              </t>
        </is>
      </c>
      <c r="F1368" s="3" t="inlineStr">
        <is>
          <t>유진테크놀로지</t>
        </is>
      </c>
      <c r="G1368" s="2" t="inlineStr">
        <is>
          <t>20260306901025</t>
        </is>
      </c>
      <c r="H1368" s="8">
        <f>HYPERLINK("https://dart.fss.or.kr/dsaf001/main.do?rcpNo=20260306901025", "공시열람")</f>
        <v/>
      </c>
    </row>
    <row r="1369">
      <c r="A1369" s="2" t="inlineStr">
        <is>
          <t>2026-03-06</t>
        </is>
      </c>
      <c r="B1369" s="3" t="inlineStr">
        <is>
          <t>일성건설</t>
        </is>
      </c>
      <c r="C1369" s="2" t="inlineStr">
        <is>
          <t>코스피</t>
        </is>
      </c>
      <c r="D1369" s="2" t="inlineStr">
        <is>
          <t>013360</t>
        </is>
      </c>
      <c r="E1369" s="3" t="inlineStr">
        <is>
          <t xml:space="preserve">주주총회소집결의              </t>
        </is>
      </c>
      <c r="F1369" s="3" t="inlineStr">
        <is>
          <t>일성건설</t>
        </is>
      </c>
      <c r="G1369" s="2" t="inlineStr">
        <is>
          <t>20260306800952</t>
        </is>
      </c>
      <c r="H1369" s="8">
        <f>HYPERLINK("https://dart.fss.or.kr/dsaf001/main.do?rcpNo=20260306800952", "공시열람")</f>
        <v/>
      </c>
    </row>
    <row r="1370">
      <c r="A1370" s="2" t="inlineStr">
        <is>
          <t>2026-03-06</t>
        </is>
      </c>
      <c r="B1370" s="3" t="inlineStr">
        <is>
          <t>특수건설</t>
        </is>
      </c>
      <c r="C1370" s="2" t="inlineStr">
        <is>
          <t>코스닥</t>
        </is>
      </c>
      <c r="D1370" s="2" t="inlineStr">
        <is>
          <t>026150</t>
        </is>
      </c>
      <c r="E1370" s="3" t="inlineStr">
        <is>
          <t xml:space="preserve">주주총회소집결의              </t>
        </is>
      </c>
      <c r="F1370" s="3" t="inlineStr">
        <is>
          <t>특수건설</t>
        </is>
      </c>
      <c r="G1370" s="2" t="inlineStr">
        <is>
          <t>20260306900982</t>
        </is>
      </c>
      <c r="H1370" s="8">
        <f>HYPERLINK("https://dart.fss.or.kr/dsaf001/main.do?rcpNo=20260306900982", "공시열람")</f>
        <v/>
      </c>
    </row>
    <row r="1371">
      <c r="A1371" s="2" t="inlineStr">
        <is>
          <t>2026-03-06</t>
        </is>
      </c>
      <c r="B1371" s="3" t="inlineStr">
        <is>
          <t>오토앤</t>
        </is>
      </c>
      <c r="C1371" s="2" t="inlineStr">
        <is>
          <t>코스닥</t>
        </is>
      </c>
      <c r="D1371" s="2" t="inlineStr">
        <is>
          <t>353590</t>
        </is>
      </c>
      <c r="E1371" s="3" t="inlineStr">
        <is>
          <t>주주총회소집공고</t>
        </is>
      </c>
      <c r="F1371" s="3" t="inlineStr">
        <is>
          <t>오토앤</t>
        </is>
      </c>
      <c r="G1371" s="2" t="inlineStr">
        <is>
          <t>20260306000681</t>
        </is>
      </c>
      <c r="H1371" s="8">
        <f>HYPERLINK("https://dart.fss.or.kr/dsaf001/main.do?rcpNo=20260306000681", "공시열람")</f>
        <v/>
      </c>
    </row>
    <row r="1372">
      <c r="A1372" s="2" t="inlineStr">
        <is>
          <t>2026-03-06</t>
        </is>
      </c>
      <c r="B1372" s="3" t="inlineStr">
        <is>
          <t>SJG세종</t>
        </is>
      </c>
      <c r="C1372" s="2" t="inlineStr">
        <is>
          <t>코스피</t>
        </is>
      </c>
      <c r="D1372" s="2" t="inlineStr">
        <is>
          <t>033530</t>
        </is>
      </c>
      <c r="E1372" s="3" t="inlineStr">
        <is>
          <t xml:space="preserve">주주총회소집결의              </t>
        </is>
      </c>
      <c r="F1372" s="3" t="inlineStr">
        <is>
          <t>SJG세종</t>
        </is>
      </c>
      <c r="G1372" s="2" t="inlineStr">
        <is>
          <t>20260306800976</t>
        </is>
      </c>
      <c r="H1372" s="8">
        <f>HYPERLINK("https://dart.fss.or.kr/dsaf001/main.do?rcpNo=20260306800976", "공시열람")</f>
        <v/>
      </c>
    </row>
    <row r="1373">
      <c r="A1373" s="2" t="inlineStr">
        <is>
          <t>2026-03-06</t>
        </is>
      </c>
      <c r="B1373" s="3" t="inlineStr">
        <is>
          <t>MDS테크</t>
        </is>
      </c>
      <c r="C1373" s="2" t="inlineStr">
        <is>
          <t>코스닥</t>
        </is>
      </c>
      <c r="D1373" s="2" t="inlineStr">
        <is>
          <t>086960</t>
        </is>
      </c>
      <c r="E1373" s="3" t="inlineStr">
        <is>
          <t>주주총회소집공고</t>
        </is>
      </c>
      <c r="F1373" s="3" t="inlineStr">
        <is>
          <t>MDS테크</t>
        </is>
      </c>
      <c r="G1373" s="2" t="inlineStr">
        <is>
          <t>20260306000672</t>
        </is>
      </c>
      <c r="H1373" s="8">
        <f>HYPERLINK("https://dart.fss.or.kr/dsaf001/main.do?rcpNo=20260306000672", "공시열람")</f>
        <v/>
      </c>
    </row>
    <row r="1374">
      <c r="A1374" s="2" t="inlineStr">
        <is>
          <t>2026-03-06</t>
        </is>
      </c>
      <c r="B1374" s="3" t="inlineStr">
        <is>
          <t>MDS테크</t>
        </is>
      </c>
      <c r="C1374" s="2" t="inlineStr">
        <is>
          <t>코스닥</t>
        </is>
      </c>
      <c r="D1374" s="2" t="inlineStr">
        <is>
          <t>086960</t>
        </is>
      </c>
      <c r="E1374" s="3" t="inlineStr">
        <is>
          <t xml:space="preserve">주주총회소집결의              </t>
        </is>
      </c>
      <c r="F1374" s="3" t="inlineStr">
        <is>
          <t>MDS테크</t>
        </is>
      </c>
      <c r="G1374" s="2" t="inlineStr">
        <is>
          <t>20260306901020</t>
        </is>
      </c>
      <c r="H1374" s="8">
        <f>HYPERLINK("https://dart.fss.or.kr/dsaf001/main.do?rcpNo=20260306901020", "공시열람")</f>
        <v/>
      </c>
    </row>
    <row r="1375">
      <c r="A1375" s="2" t="inlineStr">
        <is>
          <t>2026-03-06 (정정: 2026-03-06)</t>
        </is>
      </c>
      <c r="B1375" s="3" t="inlineStr">
        <is>
          <t>인성정보</t>
        </is>
      </c>
      <c r="C1375" s="2" t="inlineStr">
        <is>
          <t>코스닥</t>
        </is>
      </c>
      <c r="D1375" s="2" t="inlineStr">
        <is>
          <t>033230</t>
        </is>
      </c>
      <c r="E1375" s="3" t="inlineStr">
        <is>
          <t>주주총회소집공고 (정정: 20260306)</t>
        </is>
      </c>
      <c r="F1375" s="3" t="inlineStr">
        <is>
          <t>인성정보</t>
        </is>
      </c>
      <c r="G1375" s="2" t="inlineStr">
        <is>
          <t>20260306900986</t>
        </is>
      </c>
      <c r="H1375" s="8">
        <f>HYPERLINK("https://dart.fss.or.kr/dsaf001/main.do?rcpNo=20260306900986", "공시열람")</f>
        <v/>
      </c>
    </row>
    <row r="1376">
      <c r="A1376" s="2" t="inlineStr">
        <is>
          <t>2026-03-06 (정정: 2026-03-12)</t>
        </is>
      </c>
      <c r="B1376" s="3" t="inlineStr">
        <is>
          <t>핑거스토리</t>
        </is>
      </c>
      <c r="C1376" s="2" t="inlineStr">
        <is>
          <t>코스닥</t>
        </is>
      </c>
      <c r="D1376" s="2" t="inlineStr">
        <is>
          <t>417180</t>
        </is>
      </c>
      <c r="E1376" s="3" t="inlineStr">
        <is>
          <t>주주총회집중일개최사유신고               (정정: 20260312)</t>
        </is>
      </c>
      <c r="F1376" s="3" t="inlineStr">
        <is>
          <t>핑거스토리</t>
        </is>
      </c>
      <c r="G1376" s="2" t="inlineStr">
        <is>
          <t>20260312900683</t>
        </is>
      </c>
      <c r="H1376" s="8">
        <f>HYPERLINK("https://dart.fss.or.kr/dsaf001/main.do?rcpNo=20260312900683", "공시열람")</f>
        <v/>
      </c>
    </row>
    <row r="1377">
      <c r="A1377" s="2" t="inlineStr">
        <is>
          <t>2026-03-06</t>
        </is>
      </c>
      <c r="B1377" s="3" t="inlineStr">
        <is>
          <t>핑거스토리</t>
        </is>
      </c>
      <c r="C1377" s="2" t="inlineStr">
        <is>
          <t>코스닥</t>
        </is>
      </c>
      <c r="D1377" s="2" t="inlineStr">
        <is>
          <t>417180</t>
        </is>
      </c>
      <c r="E1377" s="3" t="inlineStr">
        <is>
          <t xml:space="preserve">주주총회소집결의              </t>
        </is>
      </c>
      <c r="F1377" s="3" t="inlineStr">
        <is>
          <t>핑거스토리</t>
        </is>
      </c>
      <c r="G1377" s="2" t="inlineStr">
        <is>
          <t>20260306900938</t>
        </is>
      </c>
      <c r="H1377" s="8">
        <f>HYPERLINK("https://dart.fss.or.kr/dsaf001/main.do?rcpNo=20260306900938", "공시열람")</f>
        <v/>
      </c>
    </row>
    <row r="1378">
      <c r="A1378" s="2" t="inlineStr">
        <is>
          <t>2026-03-06</t>
        </is>
      </c>
      <c r="B1378" s="3" t="inlineStr">
        <is>
          <t>오토앤</t>
        </is>
      </c>
      <c r="C1378" s="2" t="inlineStr">
        <is>
          <t>코스닥</t>
        </is>
      </c>
      <c r="D1378" s="2" t="inlineStr">
        <is>
          <t>353590</t>
        </is>
      </c>
      <c r="E1378" s="3" t="inlineStr">
        <is>
          <t xml:space="preserve">주주총회소집결의              </t>
        </is>
      </c>
      <c r="F1378" s="3" t="inlineStr">
        <is>
          <t>오토앤</t>
        </is>
      </c>
      <c r="G1378" s="2" t="inlineStr">
        <is>
          <t>20260306900894</t>
        </is>
      </c>
      <c r="H1378" s="8">
        <f>HYPERLINK("https://dart.fss.or.kr/dsaf001/main.do?rcpNo=20260306900894", "공시열람")</f>
        <v/>
      </c>
    </row>
    <row r="1379">
      <c r="A1379" s="2" t="inlineStr">
        <is>
          <t>2026-03-06</t>
        </is>
      </c>
      <c r="B1379" s="3" t="inlineStr">
        <is>
          <t>옵티팜</t>
        </is>
      </c>
      <c r="C1379" s="2" t="inlineStr">
        <is>
          <t>코스닥</t>
        </is>
      </c>
      <c r="D1379" s="2" t="inlineStr">
        <is>
          <t>153710</t>
        </is>
      </c>
      <c r="E1379" s="3" t="inlineStr">
        <is>
          <t>주주총회소집공고</t>
        </is>
      </c>
      <c r="F1379" s="3" t="inlineStr">
        <is>
          <t>옵티팜</t>
        </is>
      </c>
      <c r="G1379" s="2" t="inlineStr">
        <is>
          <t>20260306000651</t>
        </is>
      </c>
      <c r="H1379" s="8">
        <f>HYPERLINK("https://dart.fss.or.kr/dsaf001/main.do?rcpNo=20260306000651", "공시열람")</f>
        <v/>
      </c>
    </row>
    <row r="1380">
      <c r="A1380" s="2" t="inlineStr">
        <is>
          <t>2026-03-06</t>
        </is>
      </c>
      <c r="B1380" s="3" t="inlineStr">
        <is>
          <t>한국정밀기계</t>
        </is>
      </c>
      <c r="C1380" s="2" t="inlineStr">
        <is>
          <t>코스닥</t>
        </is>
      </c>
      <c r="D1380" s="2" t="inlineStr">
        <is>
          <t>101680</t>
        </is>
      </c>
      <c r="E1380" s="3" t="inlineStr">
        <is>
          <t xml:space="preserve">주주총회소집결의              </t>
        </is>
      </c>
      <c r="F1380" s="3" t="inlineStr">
        <is>
          <t>한국정밀기계</t>
        </is>
      </c>
      <c r="G1380" s="2" t="inlineStr">
        <is>
          <t>20260306900880</t>
        </is>
      </c>
      <c r="H1380" s="8">
        <f>HYPERLINK("https://dart.fss.or.kr/dsaf001/main.do?rcpNo=20260306900880", "공시열람")</f>
        <v/>
      </c>
    </row>
    <row r="1381">
      <c r="A1381" s="2" t="inlineStr">
        <is>
          <t>2026-03-06</t>
        </is>
      </c>
      <c r="B1381" s="3" t="inlineStr">
        <is>
          <t>태경케미컬</t>
        </is>
      </c>
      <c r="C1381" s="2" t="inlineStr">
        <is>
          <t>코스피</t>
        </is>
      </c>
      <c r="D1381" s="2" t="inlineStr">
        <is>
          <t>006890</t>
        </is>
      </c>
      <c r="E1381" s="3" t="inlineStr">
        <is>
          <t>주주총회소집공고</t>
        </is>
      </c>
      <c r="F1381" s="3" t="inlineStr">
        <is>
          <t>태경케미컬</t>
        </is>
      </c>
      <c r="G1381" s="2" t="inlineStr">
        <is>
          <t>20260306000649</t>
        </is>
      </c>
      <c r="H1381" s="8">
        <f>HYPERLINK("https://dart.fss.or.kr/dsaf001/main.do?rcpNo=20260306000649", "공시열람")</f>
        <v/>
      </c>
    </row>
    <row r="1382">
      <c r="A1382" s="2" t="inlineStr">
        <is>
          <t>2026-03-06</t>
        </is>
      </c>
      <c r="B1382" s="3" t="inlineStr">
        <is>
          <t>잉글우드랩</t>
        </is>
      </c>
      <c r="C1382" s="2" t="inlineStr">
        <is>
          <t>코스닥</t>
        </is>
      </c>
      <c r="D1382" s="2" t="inlineStr">
        <is>
          <t>950140</t>
        </is>
      </c>
      <c r="E1382" s="3" t="inlineStr">
        <is>
          <t>주주총회소집공고</t>
        </is>
      </c>
      <c r="F1382" s="3" t="inlineStr">
        <is>
          <t>잉글우드랩</t>
        </is>
      </c>
      <c r="G1382" s="2" t="inlineStr">
        <is>
          <t>20260306000646</t>
        </is>
      </c>
      <c r="H1382" s="8">
        <f>HYPERLINK("https://dart.fss.or.kr/dsaf001/main.do?rcpNo=20260306000646", "공시열람")</f>
        <v/>
      </c>
    </row>
    <row r="1383">
      <c r="A1383" s="2" t="inlineStr">
        <is>
          <t>2026-03-06</t>
        </is>
      </c>
      <c r="B1383" s="3" t="inlineStr">
        <is>
          <t>제이엘케이</t>
        </is>
      </c>
      <c r="C1383" s="2" t="inlineStr">
        <is>
          <t>코스닥</t>
        </is>
      </c>
      <c r="D1383" s="2" t="inlineStr">
        <is>
          <t>322510</t>
        </is>
      </c>
      <c r="E1383" s="3" t="inlineStr">
        <is>
          <t>주주총회소집공고</t>
        </is>
      </c>
      <c r="F1383" s="3" t="inlineStr">
        <is>
          <t>제이엘케이</t>
        </is>
      </c>
      <c r="G1383" s="2" t="inlineStr">
        <is>
          <t>20260306000639</t>
        </is>
      </c>
      <c r="H1383" s="8">
        <f>HYPERLINK("https://dart.fss.or.kr/dsaf001/main.do?rcpNo=20260306000639", "공시열람")</f>
        <v/>
      </c>
    </row>
    <row r="1384">
      <c r="A1384" s="2" t="inlineStr">
        <is>
          <t>2026-03-06</t>
        </is>
      </c>
      <c r="B1384" s="3" t="inlineStr">
        <is>
          <t>우진플라임</t>
        </is>
      </c>
      <c r="C1384" s="2" t="inlineStr">
        <is>
          <t>코스피</t>
        </is>
      </c>
      <c r="D1384" s="2" t="inlineStr">
        <is>
          <t>049800</t>
        </is>
      </c>
      <c r="E1384" s="3" t="inlineStr">
        <is>
          <t>주주총회소집공고</t>
        </is>
      </c>
      <c r="F1384" s="3" t="inlineStr">
        <is>
          <t>우진플라임</t>
        </is>
      </c>
      <c r="G1384" s="2" t="inlineStr">
        <is>
          <t>20260306000637</t>
        </is>
      </c>
      <c r="H1384" s="8">
        <f>HYPERLINK("https://dart.fss.or.kr/dsaf001/main.do?rcpNo=20260306000637", "공시열람")</f>
        <v/>
      </c>
    </row>
    <row r="1385">
      <c r="A1385" s="2" t="inlineStr">
        <is>
          <t>2026-03-06</t>
        </is>
      </c>
      <c r="B1385" s="3" t="inlineStr">
        <is>
          <t>이엠텍</t>
        </is>
      </c>
      <c r="C1385" s="2" t="inlineStr">
        <is>
          <t>코스닥</t>
        </is>
      </c>
      <c r="D1385" s="2" t="inlineStr">
        <is>
          <t>091120</t>
        </is>
      </c>
      <c r="E1385" s="3" t="inlineStr">
        <is>
          <t>주주총회소집공고</t>
        </is>
      </c>
      <c r="F1385" s="3" t="inlineStr">
        <is>
          <t>이엠텍</t>
        </is>
      </c>
      <c r="G1385" s="2" t="inlineStr">
        <is>
          <t>20260306000631</t>
        </is>
      </c>
      <c r="H1385" s="8">
        <f>HYPERLINK("https://dart.fss.or.kr/dsaf001/main.do?rcpNo=20260306000631", "공시열람")</f>
        <v/>
      </c>
    </row>
    <row r="1386">
      <c r="A1386" s="2" t="inlineStr">
        <is>
          <t>2026-03-06</t>
        </is>
      </c>
      <c r="B1386" s="3" t="inlineStr">
        <is>
          <t>대한약품</t>
        </is>
      </c>
      <c r="C1386" s="2" t="inlineStr">
        <is>
          <t>코스닥</t>
        </is>
      </c>
      <c r="D1386" s="2" t="inlineStr">
        <is>
          <t>023910</t>
        </is>
      </c>
      <c r="E1386" s="3" t="inlineStr">
        <is>
          <t>주주총회소집공고</t>
        </is>
      </c>
      <c r="F1386" s="3" t="inlineStr">
        <is>
          <t>대한약품</t>
        </is>
      </c>
      <c r="G1386" s="2" t="inlineStr">
        <is>
          <t>20260306000629</t>
        </is>
      </c>
      <c r="H1386" s="8">
        <f>HYPERLINK("https://dart.fss.or.kr/dsaf001/main.do?rcpNo=20260306000629", "공시열람")</f>
        <v/>
      </c>
    </row>
    <row r="1387">
      <c r="A1387" s="2" t="inlineStr">
        <is>
          <t>2026-03-06</t>
        </is>
      </c>
      <c r="B1387" s="3" t="inlineStr">
        <is>
          <t>에이치시티</t>
        </is>
      </c>
      <c r="C1387" s="2" t="inlineStr">
        <is>
          <t>코스닥</t>
        </is>
      </c>
      <c r="D1387" s="2" t="inlineStr">
        <is>
          <t>072990</t>
        </is>
      </c>
      <c r="E1387" s="3" t="inlineStr">
        <is>
          <t xml:space="preserve">주주총회소집결의              </t>
        </is>
      </c>
      <c r="F1387" s="3" t="inlineStr">
        <is>
          <t>에이치시티</t>
        </is>
      </c>
      <c r="G1387" s="2" t="inlineStr">
        <is>
          <t>20260306900868</t>
        </is>
      </c>
      <c r="H1387" s="8">
        <f>HYPERLINK("https://dart.fss.or.kr/dsaf001/main.do?rcpNo=20260306900868", "공시열람")</f>
        <v/>
      </c>
    </row>
    <row r="1388">
      <c r="A1388" s="2" t="inlineStr">
        <is>
          <t>2026-03-06</t>
        </is>
      </c>
      <c r="B1388" s="3" t="inlineStr">
        <is>
          <t>모트렉스</t>
        </is>
      </c>
      <c r="C1388" s="2" t="inlineStr">
        <is>
          <t>코스닥</t>
        </is>
      </c>
      <c r="D1388" s="2" t="inlineStr">
        <is>
          <t>118990</t>
        </is>
      </c>
      <c r="E1388" s="3" t="inlineStr">
        <is>
          <t>주주총회소집공고</t>
        </is>
      </c>
      <c r="F1388" s="3" t="inlineStr">
        <is>
          <t>모트렉스</t>
        </is>
      </c>
      <c r="G1388" s="2" t="inlineStr">
        <is>
          <t>20260306000625</t>
        </is>
      </c>
      <c r="H1388" s="8">
        <f>HYPERLINK("https://dart.fss.or.kr/dsaf001/main.do?rcpNo=20260306000625", "공시열람")</f>
        <v/>
      </c>
    </row>
    <row r="1389">
      <c r="A1389" s="2" t="inlineStr">
        <is>
          <t>2026-03-06</t>
        </is>
      </c>
      <c r="B1389" s="3" t="inlineStr">
        <is>
          <t>옵티팜</t>
        </is>
      </c>
      <c r="C1389" s="2" t="inlineStr">
        <is>
          <t>코스닥</t>
        </is>
      </c>
      <c r="D1389" s="2" t="inlineStr">
        <is>
          <t>153710</t>
        </is>
      </c>
      <c r="E1389" s="3" t="inlineStr">
        <is>
          <t xml:space="preserve">주주총회소집결의              </t>
        </is>
      </c>
      <c r="F1389" s="3" t="inlineStr">
        <is>
          <t>옵티팜</t>
        </is>
      </c>
      <c r="G1389" s="2" t="inlineStr">
        <is>
          <t>20260306900872</t>
        </is>
      </c>
      <c r="H1389" s="8">
        <f>HYPERLINK("https://dart.fss.or.kr/dsaf001/main.do?rcpNo=20260306900872", "공시열람")</f>
        <v/>
      </c>
    </row>
    <row r="1390">
      <c r="A1390" s="2" t="inlineStr">
        <is>
          <t>2026-03-06</t>
        </is>
      </c>
      <c r="B1390" s="3" t="inlineStr">
        <is>
          <t>팡스카이</t>
        </is>
      </c>
      <c r="C1390" s="2" t="inlineStr">
        <is>
          <t>코넥스</t>
        </is>
      </c>
      <c r="D1390" s="2" t="inlineStr">
        <is>
          <t>266350</t>
        </is>
      </c>
      <c r="E1390" s="3" t="inlineStr">
        <is>
          <t xml:space="preserve">주주총회소집결의              </t>
        </is>
      </c>
      <c r="F1390" s="3" t="inlineStr">
        <is>
          <t>팡스카이</t>
        </is>
      </c>
      <c r="G1390" s="2" t="inlineStr">
        <is>
          <t>20260306600878</t>
        </is>
      </c>
      <c r="H1390" s="8">
        <f>HYPERLINK("https://dart.fss.or.kr/dsaf001/main.do?rcpNo=20260306600878", "공시열람")</f>
        <v/>
      </c>
    </row>
    <row r="1391">
      <c r="A1391" s="2" t="inlineStr">
        <is>
          <t>2026-03-06</t>
        </is>
      </c>
      <c r="B1391" s="3" t="inlineStr">
        <is>
          <t>제이엘케이</t>
        </is>
      </c>
      <c r="C1391" s="2" t="inlineStr">
        <is>
          <t>코스닥</t>
        </is>
      </c>
      <c r="D1391" s="2" t="inlineStr">
        <is>
          <t>322510</t>
        </is>
      </c>
      <c r="E1391" s="3" t="inlineStr">
        <is>
          <t xml:space="preserve">주주총회집중일개최사유신고              </t>
        </is>
      </c>
      <c r="F1391" s="3" t="inlineStr">
        <is>
          <t>제이엘케이</t>
        </is>
      </c>
      <c r="G1391" s="2" t="inlineStr">
        <is>
          <t>20260306900907</t>
        </is>
      </c>
      <c r="H1391" s="8">
        <f>HYPERLINK("https://dart.fss.or.kr/dsaf001/main.do?rcpNo=20260306900907", "공시열람")</f>
        <v/>
      </c>
    </row>
    <row r="1392">
      <c r="A1392" s="2" t="inlineStr">
        <is>
          <t>2026-03-06</t>
        </is>
      </c>
      <c r="B1392" s="3" t="inlineStr">
        <is>
          <t>제이엘케이</t>
        </is>
      </c>
      <c r="C1392" s="2" t="inlineStr">
        <is>
          <t>코스닥</t>
        </is>
      </c>
      <c r="D1392" s="2" t="inlineStr">
        <is>
          <t>322510</t>
        </is>
      </c>
      <c r="E1392" s="3" t="inlineStr">
        <is>
          <t xml:space="preserve">주주총회소집결의              </t>
        </is>
      </c>
      <c r="F1392" s="3" t="inlineStr">
        <is>
          <t>제이엘케이</t>
        </is>
      </c>
      <c r="G1392" s="2" t="inlineStr">
        <is>
          <t>20260306900892</t>
        </is>
      </c>
      <c r="H1392" s="8">
        <f>HYPERLINK("https://dart.fss.or.kr/dsaf001/main.do?rcpNo=20260306900892", "공시열람")</f>
        <v/>
      </c>
    </row>
    <row r="1393">
      <c r="A1393" s="2" t="inlineStr">
        <is>
          <t>2026-03-06</t>
        </is>
      </c>
      <c r="B1393" s="3" t="inlineStr">
        <is>
          <t>모트렉스</t>
        </is>
      </c>
      <c r="C1393" s="2" t="inlineStr">
        <is>
          <t>코스닥</t>
        </is>
      </c>
      <c r="D1393" s="2" t="inlineStr">
        <is>
          <t>118990</t>
        </is>
      </c>
      <c r="E1393" s="3" t="inlineStr">
        <is>
          <t xml:space="preserve">주주총회소집결의              </t>
        </is>
      </c>
      <c r="F1393" s="3" t="inlineStr">
        <is>
          <t>모트렉스</t>
        </is>
      </c>
      <c r="G1393" s="2" t="inlineStr">
        <is>
          <t>20260306900885</t>
        </is>
      </c>
      <c r="H1393" s="8">
        <f>HYPERLINK("https://dart.fss.or.kr/dsaf001/main.do?rcpNo=20260306900885", "공시열람")</f>
        <v/>
      </c>
    </row>
    <row r="1394">
      <c r="A1394" s="2" t="inlineStr">
        <is>
          <t>2026-03-06</t>
        </is>
      </c>
      <c r="B1394" s="3" t="inlineStr">
        <is>
          <t>씨아이테크</t>
        </is>
      </c>
      <c r="C1394" s="2" t="inlineStr">
        <is>
          <t>코스피</t>
        </is>
      </c>
      <c r="D1394" s="2" t="inlineStr">
        <is>
          <t>004920</t>
        </is>
      </c>
      <c r="E1394" s="3" t="inlineStr">
        <is>
          <t>주주총회소집공고</t>
        </is>
      </c>
      <c r="F1394" s="3" t="inlineStr">
        <is>
          <t>씨아이테크</t>
        </is>
      </c>
      <c r="G1394" s="2" t="inlineStr">
        <is>
          <t>20260306000609</t>
        </is>
      </c>
      <c r="H1394" s="8">
        <f>HYPERLINK("https://dart.fss.or.kr/dsaf001/main.do?rcpNo=20260306000609", "공시열람")</f>
        <v/>
      </c>
    </row>
    <row r="1395">
      <c r="A1395" s="2" t="inlineStr">
        <is>
          <t>2026-03-06</t>
        </is>
      </c>
      <c r="B1395" s="3" t="inlineStr">
        <is>
          <t>티비에이치글로벌</t>
        </is>
      </c>
      <c r="C1395" s="2" t="inlineStr">
        <is>
          <t>코스피</t>
        </is>
      </c>
      <c r="D1395" s="2" t="inlineStr">
        <is>
          <t>084870</t>
        </is>
      </c>
      <c r="E1395" s="3" t="inlineStr">
        <is>
          <t xml:space="preserve">주주총회소집결의              </t>
        </is>
      </c>
      <c r="F1395" s="3" t="inlineStr">
        <is>
          <t>티비에이치글로벌</t>
        </is>
      </c>
      <c r="G1395" s="2" t="inlineStr">
        <is>
          <t>20260306800926</t>
        </is>
      </c>
      <c r="H1395" s="8">
        <f>HYPERLINK("https://dart.fss.or.kr/dsaf001/main.do?rcpNo=20260306800926", "공시열람")</f>
        <v/>
      </c>
    </row>
    <row r="1396">
      <c r="A1396" s="2" t="inlineStr">
        <is>
          <t>2026-03-06 (정정: 2026-03-12)</t>
        </is>
      </c>
      <c r="B1396" s="3" t="inlineStr">
        <is>
          <t>엑스페릭스</t>
        </is>
      </c>
      <c r="C1396" s="2" t="inlineStr">
        <is>
          <t>코스닥</t>
        </is>
      </c>
      <c r="D1396" s="2" t="inlineStr">
        <is>
          <t>317770</t>
        </is>
      </c>
      <c r="E1396" s="3" t="inlineStr">
        <is>
          <t>주주총회소집공고 (정정: 20260306) (정정: 20260312)</t>
        </is>
      </c>
      <c r="F1396" s="3" t="inlineStr">
        <is>
          <t>엑스페릭스</t>
        </is>
      </c>
      <c r="G1396" s="2" t="inlineStr">
        <is>
          <t>20260312901035</t>
        </is>
      </c>
      <c r="H1396" s="8">
        <f>HYPERLINK("https://dart.fss.or.kr/dsaf001/main.do?rcpNo=20260312901035", "공시열람")</f>
        <v/>
      </c>
    </row>
    <row r="1397">
      <c r="A1397" s="2" t="inlineStr">
        <is>
          <t>2026-03-06</t>
        </is>
      </c>
      <c r="B1397" s="3" t="inlineStr">
        <is>
          <t>자이언트스텝</t>
        </is>
      </c>
      <c r="C1397" s="2" t="inlineStr">
        <is>
          <t>코스닥</t>
        </is>
      </c>
      <c r="D1397" s="2" t="inlineStr">
        <is>
          <t>289220</t>
        </is>
      </c>
      <c r="E1397" s="3" t="inlineStr">
        <is>
          <t>주주총회소집공고</t>
        </is>
      </c>
      <c r="F1397" s="3" t="inlineStr">
        <is>
          <t>자이언트스텝</t>
        </is>
      </c>
      <c r="G1397" s="2" t="inlineStr">
        <is>
          <t>20260306000587</t>
        </is>
      </c>
      <c r="H1397" s="8">
        <f>HYPERLINK("https://dart.fss.or.kr/dsaf001/main.do?rcpNo=20260306000587", "공시열람")</f>
        <v/>
      </c>
    </row>
    <row r="1398">
      <c r="A1398" s="2" t="inlineStr">
        <is>
          <t>2026-03-06</t>
        </is>
      </c>
      <c r="B1398" s="3" t="inlineStr">
        <is>
          <t>아나패스</t>
        </is>
      </c>
      <c r="C1398" s="2" t="inlineStr">
        <is>
          <t>코스닥</t>
        </is>
      </c>
      <c r="D1398" s="2" t="inlineStr">
        <is>
          <t>123860</t>
        </is>
      </c>
      <c r="E1398" s="3" t="inlineStr">
        <is>
          <t xml:space="preserve">주주총회소집결의              </t>
        </is>
      </c>
      <c r="F1398" s="3" t="inlineStr">
        <is>
          <t>아나패스</t>
        </is>
      </c>
      <c r="G1398" s="2" t="inlineStr">
        <is>
          <t>20260306900848</t>
        </is>
      </c>
      <c r="H1398" s="8">
        <f>HYPERLINK("https://dart.fss.or.kr/dsaf001/main.do?rcpNo=20260306900848", "공시열람")</f>
        <v/>
      </c>
    </row>
    <row r="1399">
      <c r="A1399" s="2" t="inlineStr">
        <is>
          <t>2026-03-06</t>
        </is>
      </c>
      <c r="B1399" s="3" t="inlineStr">
        <is>
          <t>원일특강</t>
        </is>
      </c>
      <c r="C1399" s="2" t="inlineStr">
        <is>
          <t>코스닥</t>
        </is>
      </c>
      <c r="D1399" s="2" t="inlineStr">
        <is>
          <t>012620</t>
        </is>
      </c>
      <c r="E1399" s="3" t="inlineStr">
        <is>
          <t>주주총회소집공고</t>
        </is>
      </c>
      <c r="F1399" s="3" t="inlineStr">
        <is>
          <t>원일특강</t>
        </is>
      </c>
      <c r="G1399" s="2" t="inlineStr">
        <is>
          <t>20260306000581</t>
        </is>
      </c>
      <c r="H1399" s="8">
        <f>HYPERLINK("https://dart.fss.or.kr/dsaf001/main.do?rcpNo=20260306000581", "공시열람")</f>
        <v/>
      </c>
    </row>
    <row r="1400">
      <c r="A1400" s="2" t="inlineStr">
        <is>
          <t>2026-03-06</t>
        </is>
      </c>
      <c r="B1400" s="3" t="inlineStr">
        <is>
          <t>이엘씨</t>
        </is>
      </c>
      <c r="C1400" s="2" t="inlineStr">
        <is>
          <t>코스닥</t>
        </is>
      </c>
      <c r="D1400" s="2" t="inlineStr">
        <is>
          <t>041520</t>
        </is>
      </c>
      <c r="E1400" s="3" t="inlineStr">
        <is>
          <t>주주총회소집공고</t>
        </is>
      </c>
      <c r="F1400" s="3" t="inlineStr">
        <is>
          <t>이엘씨</t>
        </is>
      </c>
      <c r="G1400" s="2" t="inlineStr">
        <is>
          <t>20260306000570</t>
        </is>
      </c>
      <c r="H1400" s="8">
        <f>HYPERLINK("https://dart.fss.or.kr/dsaf001/main.do?rcpNo=20260306000570", "공시열람")</f>
        <v/>
      </c>
    </row>
    <row r="1401">
      <c r="A1401" s="2" t="inlineStr">
        <is>
          <t>2026-03-06 (정정: 2026-03-06)</t>
        </is>
      </c>
      <c r="B1401" s="3" t="inlineStr">
        <is>
          <t>KS인더스트리</t>
        </is>
      </c>
      <c r="C1401" s="2" t="inlineStr">
        <is>
          <t>코스닥</t>
        </is>
      </c>
      <c r="D1401" s="2" t="inlineStr">
        <is>
          <t>101000</t>
        </is>
      </c>
      <c r="E1401" s="3" t="inlineStr">
        <is>
          <t>소송등의판결ㆍ결정              (임시주주총회 개최금지 가처분) (정정: 20260306)</t>
        </is>
      </c>
      <c r="F1401" s="3" t="inlineStr">
        <is>
          <t>KS인더스트리</t>
        </is>
      </c>
      <c r="G1401" s="2" t="inlineStr">
        <is>
          <t>20260306900688</t>
        </is>
      </c>
      <c r="H1401" s="8">
        <f>HYPERLINK("https://dart.fss.or.kr/dsaf001/main.do?rcpNo=20260306900688", "공시열람")</f>
        <v/>
      </c>
    </row>
    <row r="1402">
      <c r="A1402" s="2" t="inlineStr">
        <is>
          <t>2026-03-06</t>
        </is>
      </c>
      <c r="B1402" s="3" t="inlineStr">
        <is>
          <t>기산텔레콤</t>
        </is>
      </c>
      <c r="C1402" s="2" t="inlineStr">
        <is>
          <t>코스닥</t>
        </is>
      </c>
      <c r="D1402" s="2" t="inlineStr">
        <is>
          <t>035460</t>
        </is>
      </c>
      <c r="E1402" s="3" t="inlineStr">
        <is>
          <t xml:space="preserve">주주총회소집결의              </t>
        </is>
      </c>
      <c r="F1402" s="3" t="inlineStr">
        <is>
          <t>기산텔레콤</t>
        </is>
      </c>
      <c r="G1402" s="2" t="inlineStr">
        <is>
          <t>20260306900810</t>
        </is>
      </c>
      <c r="H1402" s="8">
        <f>HYPERLINK("https://dart.fss.or.kr/dsaf001/main.do?rcpNo=20260306900810", "공시열람")</f>
        <v/>
      </c>
    </row>
    <row r="1403">
      <c r="A1403" s="2" t="inlineStr">
        <is>
          <t>2026-03-06</t>
        </is>
      </c>
      <c r="B1403" s="3" t="inlineStr">
        <is>
          <t>SK케미칼</t>
        </is>
      </c>
      <c r="C1403" s="2" t="inlineStr">
        <is>
          <t>코스피</t>
        </is>
      </c>
      <c r="D1403" s="2" t="inlineStr">
        <is>
          <t>285130</t>
        </is>
      </c>
      <c r="E1403" s="3" t="inlineStr">
        <is>
          <t>주주총회소집공고</t>
        </is>
      </c>
      <c r="F1403" s="3" t="inlineStr">
        <is>
          <t>SK케미칼</t>
        </is>
      </c>
      <c r="G1403" s="2" t="inlineStr">
        <is>
          <t>20260306000558</t>
        </is>
      </c>
      <c r="H1403" s="8">
        <f>HYPERLINK("https://dart.fss.or.kr/dsaf001/main.do?rcpNo=20260306000558", "공시열람")</f>
        <v/>
      </c>
    </row>
    <row r="1404">
      <c r="A1404" s="2" t="inlineStr">
        <is>
          <t>2026-03-06</t>
        </is>
      </c>
      <c r="B1404" s="3" t="inlineStr">
        <is>
          <t>키움제11호스팩</t>
        </is>
      </c>
      <c r="C1404" s="2" t="inlineStr">
        <is>
          <t>코스닥</t>
        </is>
      </c>
      <c r="D1404" s="2" t="inlineStr">
        <is>
          <t>489480</t>
        </is>
      </c>
      <c r="E1404" s="3" t="inlineStr">
        <is>
          <t>주주총회소집공고</t>
        </is>
      </c>
      <c r="F1404" s="3" t="inlineStr">
        <is>
          <t>키움제11호스팩</t>
        </is>
      </c>
      <c r="G1404" s="2" t="inlineStr">
        <is>
          <t>20260306000551</t>
        </is>
      </c>
      <c r="H1404" s="8">
        <f>HYPERLINK("https://dart.fss.or.kr/dsaf001/main.do?rcpNo=20260306000551", "공시열람")</f>
        <v/>
      </c>
    </row>
    <row r="1405">
      <c r="A1405" s="2" t="inlineStr">
        <is>
          <t>2026-03-06 (정정: 2026-03-10)</t>
        </is>
      </c>
      <c r="B1405" s="3" t="inlineStr">
        <is>
          <t>유안타제17호스팩</t>
        </is>
      </c>
      <c r="C1405" s="2" t="inlineStr">
        <is>
          <t>코스닥</t>
        </is>
      </c>
      <c r="D1405" s="2" t="inlineStr">
        <is>
          <t>493790</t>
        </is>
      </c>
      <c r="E1405" s="3" t="inlineStr">
        <is>
          <t>주주총회소집공고 (정정: 20260310)</t>
        </is>
      </c>
      <c r="F1405" s="3" t="inlineStr">
        <is>
          <t>유안타제17호스팩</t>
        </is>
      </c>
      <c r="G1405" s="2" t="inlineStr">
        <is>
          <t>20260310002590</t>
        </is>
      </c>
      <c r="H1405" s="8">
        <f>HYPERLINK("https://dart.fss.or.kr/dsaf001/main.do?rcpNo=20260310002590", "공시열람")</f>
        <v/>
      </c>
    </row>
    <row r="1406">
      <c r="A1406" s="2" t="inlineStr">
        <is>
          <t>2026-03-06 (정정: 2026-03-11)</t>
        </is>
      </c>
      <c r="B1406" s="3" t="inlineStr">
        <is>
          <t>에스티오</t>
        </is>
      </c>
      <c r="C1406" s="2" t="inlineStr">
        <is>
          <t>코스닥</t>
        </is>
      </c>
      <c r="D1406" s="2" t="inlineStr">
        <is>
          <t>098660</t>
        </is>
      </c>
      <c r="E1406" s="3" t="inlineStr">
        <is>
          <t>[기재정정]주주총회소집결의               (정정: 20260311)</t>
        </is>
      </c>
      <c r="F1406" s="3" t="inlineStr">
        <is>
          <t>에스티오</t>
        </is>
      </c>
      <c r="G1406" s="2" t="inlineStr">
        <is>
          <t>20260311901598</t>
        </is>
      </c>
      <c r="H1406" s="8">
        <f>HYPERLINK("https://dart.fss.or.kr/dsaf001/main.do?rcpNo=20260311901598", "공시열람")</f>
        <v/>
      </c>
    </row>
    <row r="1407">
      <c r="A1407" s="2" t="inlineStr">
        <is>
          <t>2026-03-06</t>
        </is>
      </c>
      <c r="B1407" s="3" t="inlineStr">
        <is>
          <t>주성엔지니어링</t>
        </is>
      </c>
      <c r="C1407" s="2" t="inlineStr">
        <is>
          <t>코스닥</t>
        </is>
      </c>
      <c r="D1407" s="2" t="inlineStr">
        <is>
          <t>036930</t>
        </is>
      </c>
      <c r="E1407" s="3" t="inlineStr">
        <is>
          <t>[기재정정]주주총회소집공고</t>
        </is>
      </c>
      <c r="F1407" s="3" t="inlineStr">
        <is>
          <t>주성엔지니어링</t>
        </is>
      </c>
      <c r="G1407" s="2" t="inlineStr">
        <is>
          <t>20260306000542</t>
        </is>
      </c>
      <c r="H1407" s="8">
        <f>HYPERLINK("https://dart.fss.or.kr/dsaf001/main.do?rcpNo=20260306000542", "공시열람")</f>
        <v/>
      </c>
    </row>
    <row r="1408">
      <c r="A1408" s="2" t="inlineStr">
        <is>
          <t>2026-03-06</t>
        </is>
      </c>
      <c r="B1408" s="3" t="inlineStr">
        <is>
          <t>상아프론테크</t>
        </is>
      </c>
      <c r="C1408" s="2" t="inlineStr">
        <is>
          <t>코스닥</t>
        </is>
      </c>
      <c r="D1408" s="2" t="inlineStr">
        <is>
          <t>089980</t>
        </is>
      </c>
      <c r="E1408" s="3" t="inlineStr">
        <is>
          <t xml:space="preserve">주주총회소집결의              </t>
        </is>
      </c>
      <c r="F1408" s="3" t="inlineStr">
        <is>
          <t>상아프론테크</t>
        </is>
      </c>
      <c r="G1408" s="2" t="inlineStr">
        <is>
          <t>20260306900829</t>
        </is>
      </c>
      <c r="H1408" s="8">
        <f>HYPERLINK("https://dart.fss.or.kr/dsaf001/main.do?rcpNo=20260306900829", "공시열람")</f>
        <v/>
      </c>
    </row>
    <row r="1409">
      <c r="A1409" s="2" t="inlineStr">
        <is>
          <t>2026-03-06</t>
        </is>
      </c>
      <c r="B1409" s="3" t="inlineStr">
        <is>
          <t>한국자산신탁</t>
        </is>
      </c>
      <c r="C1409" s="2" t="inlineStr">
        <is>
          <t>코스피</t>
        </is>
      </c>
      <c r="D1409" s="2" t="inlineStr">
        <is>
          <t>123890</t>
        </is>
      </c>
      <c r="E1409" s="3" t="inlineStr">
        <is>
          <t>주주총회소집공고</t>
        </is>
      </c>
      <c r="F1409" s="3" t="inlineStr">
        <is>
          <t>한국자산신탁</t>
        </is>
      </c>
      <c r="G1409" s="2" t="inlineStr">
        <is>
          <t>20260306000540</t>
        </is>
      </c>
      <c r="H1409" s="8">
        <f>HYPERLINK("https://dart.fss.or.kr/dsaf001/main.do?rcpNo=20260306000540", "공시열람")</f>
        <v/>
      </c>
    </row>
    <row r="1410">
      <c r="A1410" s="2" t="inlineStr">
        <is>
          <t>2026-03-06</t>
        </is>
      </c>
      <c r="B1410" s="3" t="inlineStr">
        <is>
          <t>핀텔</t>
        </is>
      </c>
      <c r="C1410" s="2" t="inlineStr">
        <is>
          <t>코스닥</t>
        </is>
      </c>
      <c r="D1410" s="2" t="inlineStr">
        <is>
          <t>291810</t>
        </is>
      </c>
      <c r="E1410" s="3" t="inlineStr">
        <is>
          <t>주주총회소집공고</t>
        </is>
      </c>
      <c r="F1410" s="3" t="inlineStr">
        <is>
          <t>핀텔</t>
        </is>
      </c>
      <c r="G1410" s="2" t="inlineStr">
        <is>
          <t>20260306000538</t>
        </is>
      </c>
      <c r="H1410" s="8">
        <f>HYPERLINK("https://dart.fss.or.kr/dsaf001/main.do?rcpNo=20260306000538", "공시열람")</f>
        <v/>
      </c>
    </row>
    <row r="1411">
      <c r="A1411" s="2" t="inlineStr">
        <is>
          <t>2026-03-06</t>
        </is>
      </c>
      <c r="B1411" s="3" t="inlineStr">
        <is>
          <t>핀텔</t>
        </is>
      </c>
      <c r="C1411" s="2" t="inlineStr">
        <is>
          <t>코스닥</t>
        </is>
      </c>
      <c r="D1411" s="2" t="inlineStr">
        <is>
          <t>291810</t>
        </is>
      </c>
      <c r="E1411" s="3" t="inlineStr">
        <is>
          <t xml:space="preserve">주주총회소집결의              </t>
        </is>
      </c>
      <c r="F1411" s="3" t="inlineStr">
        <is>
          <t>핀텔</t>
        </is>
      </c>
      <c r="G1411" s="2" t="inlineStr">
        <is>
          <t>20260306900774</t>
        </is>
      </c>
      <c r="H1411" s="8">
        <f>HYPERLINK("https://dart.fss.or.kr/dsaf001/main.do?rcpNo=20260306900774", "공시열람")</f>
        <v/>
      </c>
    </row>
    <row r="1412">
      <c r="A1412" s="2" t="inlineStr">
        <is>
          <t>2026-03-06</t>
        </is>
      </c>
      <c r="B1412" s="3" t="inlineStr">
        <is>
          <t>강동씨앤엘</t>
        </is>
      </c>
      <c r="C1412" s="2" t="inlineStr">
        <is>
          <t>코스닥</t>
        </is>
      </c>
      <c r="D1412" s="2" t="inlineStr">
        <is>
          <t>198440</t>
        </is>
      </c>
      <c r="E1412" s="3" t="inlineStr">
        <is>
          <t>주주총회소집공고</t>
        </is>
      </c>
      <c r="F1412" s="3" t="inlineStr">
        <is>
          <t>강동씨앤엘</t>
        </is>
      </c>
      <c r="G1412" s="2" t="inlineStr">
        <is>
          <t>20260306000534</t>
        </is>
      </c>
      <c r="H1412" s="8">
        <f>HYPERLINK("https://dart.fss.or.kr/dsaf001/main.do?rcpNo=20260306000534", "공시열람")</f>
        <v/>
      </c>
    </row>
    <row r="1413">
      <c r="A1413" s="2" t="inlineStr">
        <is>
          <t>2026-03-06</t>
        </is>
      </c>
      <c r="B1413" s="3" t="inlineStr">
        <is>
          <t>한국자산신탁</t>
        </is>
      </c>
      <c r="C1413" s="2" t="inlineStr">
        <is>
          <t>코스피</t>
        </is>
      </c>
      <c r="D1413" s="2" t="inlineStr">
        <is>
          <t>123890</t>
        </is>
      </c>
      <c r="E1413" s="3" t="inlineStr">
        <is>
          <t xml:space="preserve">주주총회소집결의              </t>
        </is>
      </c>
      <c r="F1413" s="3" t="inlineStr">
        <is>
          <t>한국자산신탁</t>
        </is>
      </c>
      <c r="G1413" s="2" t="inlineStr">
        <is>
          <t>20260306800787</t>
        </is>
      </c>
      <c r="H1413" s="8">
        <f>HYPERLINK("https://dart.fss.or.kr/dsaf001/main.do?rcpNo=20260306800787", "공시열람")</f>
        <v/>
      </c>
    </row>
    <row r="1414">
      <c r="A1414" s="2" t="inlineStr">
        <is>
          <t>2026-03-06</t>
        </is>
      </c>
      <c r="B1414" s="3" t="inlineStr">
        <is>
          <t>TJ미디어</t>
        </is>
      </c>
      <c r="C1414" s="2" t="inlineStr">
        <is>
          <t>코스닥</t>
        </is>
      </c>
      <c r="D1414" s="2" t="inlineStr">
        <is>
          <t>032540</t>
        </is>
      </c>
      <c r="E1414" s="3" t="inlineStr">
        <is>
          <t>주주총회소집공고</t>
        </is>
      </c>
      <c r="F1414" s="3" t="inlineStr">
        <is>
          <t>TJ미디어</t>
        </is>
      </c>
      <c r="G1414" s="2" t="inlineStr">
        <is>
          <t>20260306000513</t>
        </is>
      </c>
      <c r="H1414" s="8">
        <f>HYPERLINK("https://dart.fss.or.kr/dsaf001/main.do?rcpNo=20260306000513", "공시열람")</f>
        <v/>
      </c>
    </row>
    <row r="1415">
      <c r="A1415" s="2" t="inlineStr">
        <is>
          <t>2026-03-06</t>
        </is>
      </c>
      <c r="B1415" s="3" t="inlineStr">
        <is>
          <t>아이큐어</t>
        </is>
      </c>
      <c r="C1415" s="2" t="inlineStr">
        <is>
          <t>코스닥</t>
        </is>
      </c>
      <c r="D1415" s="2" t="inlineStr">
        <is>
          <t>175250</t>
        </is>
      </c>
      <c r="E1415" s="3" t="inlineStr">
        <is>
          <t>소송등의제기ㆍ신청(경영권분쟁소송)              (회계장부열람및등사가처분)</t>
        </is>
      </c>
      <c r="F1415" s="3" t="inlineStr">
        <is>
          <t>아이큐어</t>
        </is>
      </c>
      <c r="G1415" s="2" t="inlineStr">
        <is>
          <t>20260306900725</t>
        </is>
      </c>
      <c r="H1415" s="8">
        <f>HYPERLINK("https://dart.fss.or.kr/dsaf001/main.do?rcpNo=20260306900725", "공시열람")</f>
        <v/>
      </c>
    </row>
    <row r="1416">
      <c r="A1416" s="2" t="inlineStr">
        <is>
          <t>2026-03-06</t>
        </is>
      </c>
      <c r="B1416" s="3" t="inlineStr">
        <is>
          <t>사이냅소프트</t>
        </is>
      </c>
      <c r="C1416" s="2" t="inlineStr">
        <is>
          <t>코스닥</t>
        </is>
      </c>
      <c r="D1416" s="2" t="inlineStr">
        <is>
          <t>466410</t>
        </is>
      </c>
      <c r="E1416" s="3" t="inlineStr">
        <is>
          <t>주주총회소집공고</t>
        </is>
      </c>
      <c r="F1416" s="3" t="inlineStr">
        <is>
          <t>사이냅소프트</t>
        </is>
      </c>
      <c r="G1416" s="2" t="inlineStr">
        <is>
          <t>20260306000507</t>
        </is>
      </c>
      <c r="H1416" s="8">
        <f>HYPERLINK("https://dart.fss.or.kr/dsaf001/main.do?rcpNo=20260306000507", "공시열람")</f>
        <v/>
      </c>
    </row>
    <row r="1417">
      <c r="A1417" s="2" t="inlineStr">
        <is>
          <t>2026-03-06</t>
        </is>
      </c>
      <c r="B1417" s="3" t="inlineStr">
        <is>
          <t>깨끗한나라</t>
        </is>
      </c>
      <c r="C1417" s="2" t="inlineStr">
        <is>
          <t>코스피</t>
        </is>
      </c>
      <c r="D1417" s="2" t="inlineStr">
        <is>
          <t>004540</t>
        </is>
      </c>
      <c r="E1417" s="3" t="inlineStr">
        <is>
          <t xml:space="preserve">주주총회집중일개최사유신고              </t>
        </is>
      </c>
      <c r="F1417" s="3" t="inlineStr">
        <is>
          <t>깨끗한나라</t>
        </is>
      </c>
      <c r="G1417" s="2" t="inlineStr">
        <is>
          <t>20260306800792</t>
        </is>
      </c>
      <c r="H1417" s="8">
        <f>HYPERLINK("https://dart.fss.or.kr/dsaf001/main.do?rcpNo=20260306800792", "공시열람")</f>
        <v/>
      </c>
    </row>
    <row r="1418">
      <c r="A1418" s="2" t="inlineStr">
        <is>
          <t>2026-03-06 (정정: 2026-05-27)</t>
        </is>
      </c>
      <c r="B1418" s="3" t="inlineStr">
        <is>
          <t>사이냅소프트</t>
        </is>
      </c>
      <c r="C1418" s="2" t="inlineStr">
        <is>
          <t>코스닥</t>
        </is>
      </c>
      <c r="D1418" s="2" t="inlineStr">
        <is>
          <t>466410</t>
        </is>
      </c>
      <c r="E1418" s="3" t="inlineStr">
        <is>
          <t>주주총회소집결의               (정정: 20260527)</t>
        </is>
      </c>
      <c r="F1418" s="3" t="inlineStr">
        <is>
          <t>사이냅소프트</t>
        </is>
      </c>
      <c r="G1418" s="2" t="inlineStr">
        <is>
          <t>20260527000156</t>
        </is>
      </c>
      <c r="H1418" s="8">
        <f>HYPERLINK("https://dart.fss.or.kr/dsaf001/main.do?rcpNo=20260527000156", "공시열람")</f>
        <v/>
      </c>
    </row>
    <row r="1419">
      <c r="A1419" s="2" t="inlineStr">
        <is>
          <t>2026-03-06</t>
        </is>
      </c>
      <c r="B1419" s="3" t="inlineStr">
        <is>
          <t>세진티에스</t>
        </is>
      </c>
      <c r="C1419" s="2" t="inlineStr">
        <is>
          <t>코스닥</t>
        </is>
      </c>
      <c r="D1419" s="2" t="inlineStr">
        <is>
          <t>067770</t>
        </is>
      </c>
      <c r="E1419" s="3" t="inlineStr">
        <is>
          <t>주주총회소집공고</t>
        </is>
      </c>
      <c r="F1419" s="3" t="inlineStr">
        <is>
          <t>세진티에스</t>
        </is>
      </c>
      <c r="G1419" s="2" t="inlineStr">
        <is>
          <t>20260306000472</t>
        </is>
      </c>
      <c r="H1419" s="8">
        <f>HYPERLINK("https://dart.fss.or.kr/dsaf001/main.do?rcpNo=20260306000472", "공시열람")</f>
        <v/>
      </c>
    </row>
    <row r="1420">
      <c r="A1420" s="2" t="inlineStr">
        <is>
          <t>2026-03-06</t>
        </is>
      </c>
      <c r="B1420" s="3" t="inlineStr">
        <is>
          <t>강동씨앤엘</t>
        </is>
      </c>
      <c r="C1420" s="2" t="inlineStr">
        <is>
          <t>코스닥</t>
        </is>
      </c>
      <c r="D1420" s="2" t="inlineStr">
        <is>
          <t>198440</t>
        </is>
      </c>
      <c r="E1420" s="3" t="inlineStr">
        <is>
          <t xml:space="preserve">주주총회소집결의              </t>
        </is>
      </c>
      <c r="F1420" s="3" t="inlineStr">
        <is>
          <t>강동씨앤엘</t>
        </is>
      </c>
      <c r="G1420" s="2" t="inlineStr">
        <is>
          <t>20260306900726</t>
        </is>
      </c>
      <c r="H1420" s="8">
        <f>HYPERLINK("https://dart.fss.or.kr/dsaf001/main.do?rcpNo=20260306900726", "공시열람")</f>
        <v/>
      </c>
    </row>
    <row r="1421">
      <c r="A1421" s="2" t="inlineStr">
        <is>
          <t>2026-03-06 (정정: 2026-03-20)</t>
        </is>
      </c>
      <c r="B1421" s="3" t="inlineStr">
        <is>
          <t>프럼파스트</t>
        </is>
      </c>
      <c r="C1421" s="2" t="inlineStr">
        <is>
          <t>코스닥</t>
        </is>
      </c>
      <c r="D1421" s="2" t="inlineStr">
        <is>
          <t>035200</t>
        </is>
      </c>
      <c r="E1421" s="3" t="inlineStr">
        <is>
          <t>주주총회소집공고 (정정: 20260320)</t>
        </is>
      </c>
      <c r="F1421" s="3" t="inlineStr">
        <is>
          <t>프럼파스트</t>
        </is>
      </c>
      <c r="G1421" s="2" t="inlineStr">
        <is>
          <t>20260320000674</t>
        </is>
      </c>
      <c r="H1421" s="8">
        <f>HYPERLINK("https://dart.fss.or.kr/dsaf001/main.do?rcpNo=20260320000674", "공시열람")</f>
        <v/>
      </c>
    </row>
    <row r="1422">
      <c r="A1422" s="2" t="inlineStr">
        <is>
          <t>2026-03-06</t>
        </is>
      </c>
      <c r="B1422" s="3" t="inlineStr">
        <is>
          <t>깨끗한나라</t>
        </is>
      </c>
      <c r="C1422" s="2" t="inlineStr">
        <is>
          <t>코스피</t>
        </is>
      </c>
      <c r="D1422" s="2" t="inlineStr">
        <is>
          <t>004540</t>
        </is>
      </c>
      <c r="E1422" s="3" t="inlineStr">
        <is>
          <t>주주총회소집공고</t>
        </is>
      </c>
      <c r="F1422" s="3" t="inlineStr">
        <is>
          <t>깨끗한나라</t>
        </is>
      </c>
      <c r="G1422" s="2" t="inlineStr">
        <is>
          <t>20260306000466</t>
        </is>
      </c>
      <c r="H1422" s="8">
        <f>HYPERLINK("https://dart.fss.or.kr/dsaf001/main.do?rcpNo=20260306000466", "공시열람")</f>
        <v/>
      </c>
    </row>
    <row r="1423">
      <c r="A1423" s="2" t="inlineStr">
        <is>
          <t>2026-03-06 (정정: 2026-04-16)</t>
        </is>
      </c>
      <c r="B1423" s="3" t="inlineStr">
        <is>
          <t>에스알바이오텍</t>
        </is>
      </c>
      <c r="C1423" s="2" t="inlineStr">
        <is>
          <t>코넥스</t>
        </is>
      </c>
      <c r="D1423" s="2" t="inlineStr">
        <is>
          <t>270210</t>
        </is>
      </c>
      <c r="E1423" s="3" t="inlineStr">
        <is>
          <t>주주총회소집결의               (정정: 20260416)</t>
        </is>
      </c>
      <c r="F1423" s="3" t="inlineStr">
        <is>
          <t>에스알바이오텍</t>
        </is>
      </c>
      <c r="G1423" s="2" t="inlineStr">
        <is>
          <t>20260416600723</t>
        </is>
      </c>
      <c r="H1423" s="8">
        <f>HYPERLINK("https://dart.fss.or.kr/dsaf001/main.do?rcpNo=20260416600723", "공시열람")</f>
        <v/>
      </c>
    </row>
    <row r="1424">
      <c r="A1424" s="2" t="inlineStr">
        <is>
          <t>2026-03-06</t>
        </is>
      </c>
      <c r="B1424" s="3" t="inlineStr">
        <is>
          <t>삼영이엔씨</t>
        </is>
      </c>
      <c r="C1424" s="2" t="inlineStr">
        <is>
          <t>코스닥</t>
        </is>
      </c>
      <c r="D1424" s="2" t="inlineStr">
        <is>
          <t>065570</t>
        </is>
      </c>
      <c r="E1424" s="3" t="inlineStr">
        <is>
          <t xml:space="preserve">주주총회소집결의              </t>
        </is>
      </c>
      <c r="F1424" s="3" t="inlineStr">
        <is>
          <t>삼영이엔씨</t>
        </is>
      </c>
      <c r="G1424" s="2" t="inlineStr">
        <is>
          <t>20260306900695</t>
        </is>
      </c>
      <c r="H1424" s="8">
        <f>HYPERLINK("https://dart.fss.or.kr/dsaf001/main.do?rcpNo=20260306900695", "공시열람")</f>
        <v/>
      </c>
    </row>
    <row r="1425">
      <c r="A1425" s="2" t="inlineStr">
        <is>
          <t>2026-03-06</t>
        </is>
      </c>
      <c r="B1425" s="3" t="inlineStr">
        <is>
          <t>와이즈버즈</t>
        </is>
      </c>
      <c r="C1425" s="2" t="inlineStr">
        <is>
          <t>코스닥</t>
        </is>
      </c>
      <c r="D1425" s="2" t="inlineStr">
        <is>
          <t>273060</t>
        </is>
      </c>
      <c r="E1425" s="3" t="inlineStr">
        <is>
          <t>주주총회소집공고</t>
        </is>
      </c>
      <c r="F1425" s="3" t="inlineStr">
        <is>
          <t>와이즈버즈</t>
        </is>
      </c>
      <c r="G1425" s="2" t="inlineStr">
        <is>
          <t>20260306000453</t>
        </is>
      </c>
      <c r="H1425" s="8">
        <f>HYPERLINK("https://dart.fss.or.kr/dsaf001/main.do?rcpNo=20260306000453", "공시열람")</f>
        <v/>
      </c>
    </row>
    <row r="1426">
      <c r="A1426" s="2" t="inlineStr">
        <is>
          <t>2026-03-06</t>
        </is>
      </c>
      <c r="B1426" s="3" t="inlineStr">
        <is>
          <t>위츠</t>
        </is>
      </c>
      <c r="C1426" s="2" t="inlineStr">
        <is>
          <t>코스닥</t>
        </is>
      </c>
      <c r="D1426" s="2" t="inlineStr">
        <is>
          <t>459100</t>
        </is>
      </c>
      <c r="E1426" s="3" t="inlineStr">
        <is>
          <t>주주총회소집공고</t>
        </is>
      </c>
      <c r="F1426" s="3" t="inlineStr">
        <is>
          <t>위츠</t>
        </is>
      </c>
      <c r="G1426" s="2" t="inlineStr">
        <is>
          <t>20260306000448</t>
        </is>
      </c>
      <c r="H1426" s="8">
        <f>HYPERLINK("https://dart.fss.or.kr/dsaf001/main.do?rcpNo=20260306000448", "공시열람")</f>
        <v/>
      </c>
    </row>
    <row r="1427">
      <c r="A1427" s="2" t="inlineStr">
        <is>
          <t>2026-03-06</t>
        </is>
      </c>
      <c r="B1427" s="3" t="inlineStr">
        <is>
          <t>티비씨</t>
        </is>
      </c>
      <c r="C1427" s="2" t="inlineStr">
        <is>
          <t>코스닥</t>
        </is>
      </c>
      <c r="D1427" s="2" t="inlineStr">
        <is>
          <t>033830</t>
        </is>
      </c>
      <c r="E1427" s="3" t="inlineStr">
        <is>
          <t xml:space="preserve">주주총회집중일개최사유신고              </t>
        </is>
      </c>
      <c r="F1427" s="3" t="inlineStr">
        <is>
          <t>티비씨</t>
        </is>
      </c>
      <c r="G1427" s="2" t="inlineStr">
        <is>
          <t>20260306900718</t>
        </is>
      </c>
      <c r="H1427" s="8">
        <f>HYPERLINK("https://dart.fss.or.kr/dsaf001/main.do?rcpNo=20260306900718", "공시열람")</f>
        <v/>
      </c>
    </row>
    <row r="1428">
      <c r="A1428" s="2" t="inlineStr">
        <is>
          <t>2026-03-06</t>
        </is>
      </c>
      <c r="B1428" s="3" t="inlineStr">
        <is>
          <t>티비씨</t>
        </is>
      </c>
      <c r="C1428" s="2" t="inlineStr">
        <is>
          <t>코스닥</t>
        </is>
      </c>
      <c r="D1428" s="2" t="inlineStr">
        <is>
          <t>033830</t>
        </is>
      </c>
      <c r="E1428" s="3" t="inlineStr">
        <is>
          <t xml:space="preserve">주주총회소집결의              </t>
        </is>
      </c>
      <c r="F1428" s="3" t="inlineStr">
        <is>
          <t>티비씨</t>
        </is>
      </c>
      <c r="G1428" s="2" t="inlineStr">
        <is>
          <t>20260306900714</t>
        </is>
      </c>
      <c r="H1428" s="8">
        <f>HYPERLINK("https://dart.fss.or.kr/dsaf001/main.do?rcpNo=20260306900714", "공시열람")</f>
        <v/>
      </c>
    </row>
    <row r="1429">
      <c r="A1429" s="2" t="inlineStr">
        <is>
          <t>2026-03-06</t>
        </is>
      </c>
      <c r="B1429" s="3" t="inlineStr">
        <is>
          <t>엠게임</t>
        </is>
      </c>
      <c r="C1429" s="2" t="inlineStr">
        <is>
          <t>코스닥</t>
        </is>
      </c>
      <c r="D1429" s="2" t="inlineStr">
        <is>
          <t>058630</t>
        </is>
      </c>
      <c r="E1429" s="3" t="inlineStr">
        <is>
          <t>주주총회소집공고</t>
        </is>
      </c>
      <c r="F1429" s="3" t="inlineStr">
        <is>
          <t>엠게임</t>
        </is>
      </c>
      <c r="G1429" s="2" t="inlineStr">
        <is>
          <t>20260306000425</t>
        </is>
      </c>
      <c r="H1429" s="8">
        <f>HYPERLINK("https://dart.fss.or.kr/dsaf001/main.do?rcpNo=20260306000425", "공시열람")</f>
        <v/>
      </c>
    </row>
    <row r="1430">
      <c r="A1430" s="2" t="inlineStr">
        <is>
          <t>2026-03-06 (정정: 2026-03-06)</t>
        </is>
      </c>
      <c r="B1430" s="3" t="inlineStr">
        <is>
          <t>엠게임</t>
        </is>
      </c>
      <c r="C1430" s="2" t="inlineStr">
        <is>
          <t>코스닥</t>
        </is>
      </c>
      <c r="D1430" s="2" t="inlineStr">
        <is>
          <t>058630</t>
        </is>
      </c>
      <c r="E1430" s="3" t="inlineStr">
        <is>
          <t>주주총회소집결의               (정정: 20260306)</t>
        </is>
      </c>
      <c r="F1430" s="3" t="inlineStr">
        <is>
          <t>엠게임</t>
        </is>
      </c>
      <c r="G1430" s="2" t="inlineStr">
        <is>
          <t>20260306900558</t>
        </is>
      </c>
      <c r="H1430" s="8">
        <f>HYPERLINK("https://dart.fss.or.kr/dsaf001/main.do?rcpNo=20260306900558", "공시열람")</f>
        <v/>
      </c>
    </row>
    <row r="1431">
      <c r="A1431" s="2" t="inlineStr">
        <is>
          <t>2026-03-06</t>
        </is>
      </c>
      <c r="B1431" s="3" t="inlineStr">
        <is>
          <t>에스와이스틸텍</t>
        </is>
      </c>
      <c r="C1431" s="2" t="inlineStr">
        <is>
          <t>코스닥</t>
        </is>
      </c>
      <c r="D1431" s="2" t="inlineStr">
        <is>
          <t>365330</t>
        </is>
      </c>
      <c r="E1431" s="3" t="inlineStr">
        <is>
          <t xml:space="preserve">주주총회소집결의              </t>
        </is>
      </c>
      <c r="F1431" s="3" t="inlineStr">
        <is>
          <t>에스와이스틸텍</t>
        </is>
      </c>
      <c r="G1431" s="2" t="inlineStr">
        <is>
          <t>20260306900663</t>
        </is>
      </c>
      <c r="H1431" s="8">
        <f>HYPERLINK("https://dart.fss.or.kr/dsaf001/main.do?rcpNo=20260306900663", "공시열람")</f>
        <v/>
      </c>
    </row>
    <row r="1432">
      <c r="A1432" s="2" t="inlineStr">
        <is>
          <t>2026-03-06</t>
        </is>
      </c>
      <c r="B1432" s="3" t="inlineStr">
        <is>
          <t>툴젠</t>
        </is>
      </c>
      <c r="C1432" s="2" t="inlineStr">
        <is>
          <t>코스닥</t>
        </is>
      </c>
      <c r="D1432" s="2" t="inlineStr">
        <is>
          <t>199800</t>
        </is>
      </c>
      <c r="E1432" s="3" t="inlineStr">
        <is>
          <t xml:space="preserve">주주총회집중일개최사유신고              </t>
        </is>
      </c>
      <c r="F1432" s="3" t="inlineStr">
        <is>
          <t>툴젠</t>
        </is>
      </c>
      <c r="G1432" s="2" t="inlineStr">
        <is>
          <t>20260306900633</t>
        </is>
      </c>
      <c r="H1432" s="8">
        <f>HYPERLINK("https://dart.fss.or.kr/dsaf001/main.do?rcpNo=20260306900633", "공시열람")</f>
        <v/>
      </c>
    </row>
    <row r="1433">
      <c r="A1433" s="2" t="inlineStr">
        <is>
          <t>2026-03-06 (정정: 2026-03-11)</t>
        </is>
      </c>
      <c r="B1433" s="3" t="inlineStr">
        <is>
          <t>멕아이씨에스</t>
        </is>
      </c>
      <c r="C1433" s="2" t="inlineStr">
        <is>
          <t>코스닥</t>
        </is>
      </c>
      <c r="D1433" s="2" t="inlineStr">
        <is>
          <t>058110</t>
        </is>
      </c>
      <c r="E1433" s="3" t="inlineStr">
        <is>
          <t>주주총회소집결의               (정정: 20260311) (정정: 20260311) (정정: 20260311)</t>
        </is>
      </c>
      <c r="F1433" s="3" t="inlineStr">
        <is>
          <t>멕아이씨에스</t>
        </is>
      </c>
      <c r="G1433" s="2" t="inlineStr">
        <is>
          <t>20260311900826</t>
        </is>
      </c>
      <c r="H1433" s="8">
        <f>HYPERLINK("https://dart.fss.or.kr/dsaf001/main.do?rcpNo=20260311900826", "공시열람")</f>
        <v/>
      </c>
    </row>
    <row r="1434">
      <c r="A1434" s="2" t="inlineStr">
        <is>
          <t>2026-03-06</t>
        </is>
      </c>
      <c r="B1434" s="3" t="inlineStr">
        <is>
          <t>큐에스아이</t>
        </is>
      </c>
      <c r="C1434" s="2" t="inlineStr">
        <is>
          <t>코스닥</t>
        </is>
      </c>
      <c r="D1434" s="2" t="inlineStr">
        <is>
          <t>066310</t>
        </is>
      </c>
      <c r="E1434" s="3" t="inlineStr">
        <is>
          <t>주주총회소집공고</t>
        </is>
      </c>
      <c r="F1434" s="3" t="inlineStr">
        <is>
          <t>큐에스아이</t>
        </is>
      </c>
      <c r="G1434" s="2" t="inlineStr">
        <is>
          <t>20260306000419</t>
        </is>
      </c>
      <c r="H1434" s="8">
        <f>HYPERLINK("https://dart.fss.or.kr/dsaf001/main.do?rcpNo=20260306000419", "공시열람")</f>
        <v/>
      </c>
    </row>
    <row r="1435">
      <c r="A1435" s="2" t="inlineStr">
        <is>
          <t>2026-03-06</t>
        </is>
      </c>
      <c r="B1435" s="3" t="inlineStr">
        <is>
          <t>와이엠</t>
        </is>
      </c>
      <c r="C1435" s="2" t="inlineStr">
        <is>
          <t>코스닥</t>
        </is>
      </c>
      <c r="D1435" s="2" t="inlineStr">
        <is>
          <t>007530</t>
        </is>
      </c>
      <c r="E1435" s="3" t="inlineStr">
        <is>
          <t xml:space="preserve">주주총회소집결의              </t>
        </is>
      </c>
      <c r="F1435" s="3" t="inlineStr">
        <is>
          <t>와이엠</t>
        </is>
      </c>
      <c r="G1435" s="2" t="inlineStr">
        <is>
          <t>20260306900619</t>
        </is>
      </c>
      <c r="H1435" s="8">
        <f>HYPERLINK("https://dart.fss.or.kr/dsaf001/main.do?rcpNo=20260306900619", "공시열람")</f>
        <v/>
      </c>
    </row>
    <row r="1436">
      <c r="A1436" s="2" t="inlineStr">
        <is>
          <t>2026-03-06</t>
        </is>
      </c>
      <c r="B1436" s="3" t="inlineStr">
        <is>
          <t>와이즈버즈</t>
        </is>
      </c>
      <c r="C1436" s="2" t="inlineStr">
        <is>
          <t>코스닥</t>
        </is>
      </c>
      <c r="D1436" s="2" t="inlineStr">
        <is>
          <t>273060</t>
        </is>
      </c>
      <c r="E1436" s="3" t="inlineStr">
        <is>
          <t xml:space="preserve">주주총회소집결의              </t>
        </is>
      </c>
      <c r="F1436" s="3" t="inlineStr">
        <is>
          <t>와이즈버즈</t>
        </is>
      </c>
      <c r="G1436" s="2" t="inlineStr">
        <is>
          <t>20260306900673</t>
        </is>
      </c>
      <c r="H1436" s="8">
        <f>HYPERLINK("https://dart.fss.or.kr/dsaf001/main.do?rcpNo=20260306900673", "공시열람")</f>
        <v/>
      </c>
    </row>
    <row r="1437">
      <c r="A1437" s="2" t="inlineStr">
        <is>
          <t>2026-03-06</t>
        </is>
      </c>
      <c r="B1437" s="3" t="inlineStr">
        <is>
          <t>동국알앤에스</t>
        </is>
      </c>
      <c r="C1437" s="2" t="inlineStr">
        <is>
          <t>코스닥</t>
        </is>
      </c>
      <c r="D1437" s="2" t="inlineStr">
        <is>
          <t>075970</t>
        </is>
      </c>
      <c r="E1437" s="3" t="inlineStr">
        <is>
          <t>주주총회소집공고</t>
        </is>
      </c>
      <c r="F1437" s="3" t="inlineStr">
        <is>
          <t>동국알앤에스</t>
        </is>
      </c>
      <c r="G1437" s="2" t="inlineStr">
        <is>
          <t>20260306000405</t>
        </is>
      </c>
      <c r="H1437" s="8">
        <f>HYPERLINK("https://dart.fss.or.kr/dsaf001/main.do?rcpNo=20260306000405", "공시열람")</f>
        <v/>
      </c>
    </row>
    <row r="1438">
      <c r="A1438" s="2" t="inlineStr">
        <is>
          <t>2026-03-06</t>
        </is>
      </c>
      <c r="B1438" s="3" t="inlineStr">
        <is>
          <t>동국알앤에스</t>
        </is>
      </c>
      <c r="C1438" s="2" t="inlineStr">
        <is>
          <t>코스닥</t>
        </is>
      </c>
      <c r="D1438" s="2" t="inlineStr">
        <is>
          <t>075970</t>
        </is>
      </c>
      <c r="E1438" s="3" t="inlineStr">
        <is>
          <t xml:space="preserve">주주총회소집결의              </t>
        </is>
      </c>
      <c r="F1438" s="3" t="inlineStr">
        <is>
          <t>동국알앤에스</t>
        </is>
      </c>
      <c r="G1438" s="2" t="inlineStr">
        <is>
          <t>20260306900634</t>
        </is>
      </c>
      <c r="H1438" s="8">
        <f>HYPERLINK("https://dart.fss.or.kr/dsaf001/main.do?rcpNo=20260306900634", "공시열람")</f>
        <v/>
      </c>
    </row>
    <row r="1439">
      <c r="A1439" s="2" t="inlineStr">
        <is>
          <t>2026-03-06</t>
        </is>
      </c>
      <c r="B1439" s="3" t="inlineStr">
        <is>
          <t>딥노이드</t>
        </is>
      </c>
      <c r="C1439" s="2" t="inlineStr">
        <is>
          <t>코스닥</t>
        </is>
      </c>
      <c r="D1439" s="2" t="inlineStr">
        <is>
          <t>315640</t>
        </is>
      </c>
      <c r="E1439" s="3" t="inlineStr">
        <is>
          <t>주주총회소집공고</t>
        </is>
      </c>
      <c r="F1439" s="3" t="inlineStr">
        <is>
          <t>딥노이드</t>
        </is>
      </c>
      <c r="G1439" s="2" t="inlineStr">
        <is>
          <t>20260306000388</t>
        </is>
      </c>
      <c r="H1439" s="8">
        <f>HYPERLINK("https://dart.fss.or.kr/dsaf001/main.do?rcpNo=20260306000388", "공시열람")</f>
        <v/>
      </c>
    </row>
    <row r="1440">
      <c r="A1440" s="2" t="inlineStr">
        <is>
          <t>2026-03-06</t>
        </is>
      </c>
      <c r="B1440" s="3" t="inlineStr">
        <is>
          <t>티로보틱스</t>
        </is>
      </c>
      <c r="C1440" s="2" t="inlineStr">
        <is>
          <t>코스닥</t>
        </is>
      </c>
      <c r="D1440" s="2" t="inlineStr">
        <is>
          <t>117730</t>
        </is>
      </c>
      <c r="E1440" s="3" t="inlineStr">
        <is>
          <t xml:space="preserve">주주총회집중일개최사유신고              </t>
        </is>
      </c>
      <c r="F1440" s="3" t="inlineStr">
        <is>
          <t>티로보틱스</t>
        </is>
      </c>
      <c r="G1440" s="2" t="inlineStr">
        <is>
          <t>20260306900642</t>
        </is>
      </c>
      <c r="H1440" s="8">
        <f>HYPERLINK("https://dart.fss.or.kr/dsaf001/main.do?rcpNo=20260306900642", "공시열람")</f>
        <v/>
      </c>
    </row>
    <row r="1441">
      <c r="A1441" s="2" t="inlineStr">
        <is>
          <t>2026-03-06</t>
        </is>
      </c>
      <c r="B1441" s="3" t="inlineStr">
        <is>
          <t>로보로보</t>
        </is>
      </c>
      <c r="C1441" s="2" t="inlineStr">
        <is>
          <t>코스닥</t>
        </is>
      </c>
      <c r="D1441" s="2" t="inlineStr">
        <is>
          <t>215100</t>
        </is>
      </c>
      <c r="E1441" s="3" t="inlineStr">
        <is>
          <t>주주총회소집공고</t>
        </is>
      </c>
      <c r="F1441" s="3" t="inlineStr">
        <is>
          <t>로보로보</t>
        </is>
      </c>
      <c r="G1441" s="2" t="inlineStr">
        <is>
          <t>20260306000378</t>
        </is>
      </c>
      <c r="H1441" s="8">
        <f>HYPERLINK("https://dart.fss.or.kr/dsaf001/main.do?rcpNo=20260306000378", "공시열람")</f>
        <v/>
      </c>
    </row>
    <row r="1442">
      <c r="A1442" s="2" t="inlineStr">
        <is>
          <t>2026-03-06</t>
        </is>
      </c>
      <c r="B1442" s="3" t="inlineStr">
        <is>
          <t>한농화성</t>
        </is>
      </c>
      <c r="C1442" s="2" t="inlineStr">
        <is>
          <t>코스피</t>
        </is>
      </c>
      <c r="D1442" s="2" t="inlineStr">
        <is>
          <t>011500</t>
        </is>
      </c>
      <c r="E1442" s="3" t="inlineStr">
        <is>
          <t xml:space="preserve">주주총회집중일개최사유신고              </t>
        </is>
      </c>
      <c r="F1442" s="3" t="inlineStr">
        <is>
          <t>한농화성</t>
        </is>
      </c>
      <c r="G1442" s="2" t="inlineStr">
        <is>
          <t>20260306800623</t>
        </is>
      </c>
      <c r="H1442" s="8">
        <f>HYPERLINK("https://dart.fss.or.kr/dsaf001/main.do?rcpNo=20260306800623", "공시열람")</f>
        <v/>
      </c>
    </row>
    <row r="1443">
      <c r="A1443" s="2" t="inlineStr">
        <is>
          <t>2026-03-06</t>
        </is>
      </c>
      <c r="B1443" s="3" t="inlineStr">
        <is>
          <t>파마리서치</t>
        </is>
      </c>
      <c r="C1443" s="2" t="inlineStr">
        <is>
          <t>코스닥</t>
        </is>
      </c>
      <c r="D1443" s="2" t="inlineStr">
        <is>
          <t>214450</t>
        </is>
      </c>
      <c r="E1443" s="3" t="inlineStr">
        <is>
          <t xml:space="preserve">주주총회소집결의              </t>
        </is>
      </c>
      <c r="F1443" s="3" t="inlineStr">
        <is>
          <t>파마리서치</t>
        </is>
      </c>
      <c r="G1443" s="2" t="inlineStr">
        <is>
          <t>20260306900578</t>
        </is>
      </c>
      <c r="H1443" s="8">
        <f>HYPERLINK("https://dart.fss.or.kr/dsaf001/main.do?rcpNo=20260306900578", "공시열람")</f>
        <v/>
      </c>
    </row>
    <row r="1444">
      <c r="A1444" s="2" t="inlineStr">
        <is>
          <t>2026-03-06</t>
        </is>
      </c>
      <c r="B1444" s="3" t="inlineStr">
        <is>
          <t>피앤씨테크</t>
        </is>
      </c>
      <c r="C1444" s="2" t="inlineStr">
        <is>
          <t>코스닥</t>
        </is>
      </c>
      <c r="D1444" s="2" t="inlineStr">
        <is>
          <t>237750</t>
        </is>
      </c>
      <c r="E1444" s="3" t="inlineStr">
        <is>
          <t>기타경영사항(자율공시)              (소규모합병 승인 이사회결의(주주총회 갈음)결과 보고)</t>
        </is>
      </c>
      <c r="F1444" s="3" t="inlineStr">
        <is>
          <t>피앤씨테크</t>
        </is>
      </c>
      <c r="G1444" s="2" t="inlineStr">
        <is>
          <t>20260306900566</t>
        </is>
      </c>
      <c r="H1444" s="8">
        <f>HYPERLINK("https://dart.fss.or.kr/dsaf001/main.do?rcpNo=20260306900566", "공시열람")</f>
        <v/>
      </c>
    </row>
    <row r="1445">
      <c r="A1445" s="2" t="inlineStr">
        <is>
          <t>2026-03-06</t>
        </is>
      </c>
      <c r="B1445" s="3" t="inlineStr">
        <is>
          <t>아시아나IDT</t>
        </is>
      </c>
      <c r="C1445" s="2" t="inlineStr">
        <is>
          <t>코스피</t>
        </is>
      </c>
      <c r="D1445" s="2" t="inlineStr">
        <is>
          <t>267850</t>
        </is>
      </c>
      <c r="E1445" s="3" t="inlineStr">
        <is>
          <t xml:space="preserve">주주총회소집결의              </t>
        </is>
      </c>
      <c r="F1445" s="3" t="inlineStr">
        <is>
          <t>아시아나IDT</t>
        </is>
      </c>
      <c r="G1445" s="2" t="inlineStr">
        <is>
          <t>20260306800615</t>
        </is>
      </c>
      <c r="H1445" s="8">
        <f>HYPERLINK("https://dart.fss.or.kr/dsaf001/main.do?rcpNo=20260306800615", "공시열람")</f>
        <v/>
      </c>
    </row>
    <row r="1446">
      <c r="A1446" s="2" t="inlineStr">
        <is>
          <t>2026-03-06</t>
        </is>
      </c>
      <c r="B1446" s="3" t="inlineStr">
        <is>
          <t>티로보틱스</t>
        </is>
      </c>
      <c r="C1446" s="2" t="inlineStr">
        <is>
          <t>코스닥</t>
        </is>
      </c>
      <c r="D1446" s="2" t="inlineStr">
        <is>
          <t>117730</t>
        </is>
      </c>
      <c r="E1446" s="3" t="inlineStr">
        <is>
          <t xml:space="preserve">주주총회소집결의              </t>
        </is>
      </c>
      <c r="F1446" s="3" t="inlineStr">
        <is>
          <t>티로보틱스</t>
        </is>
      </c>
      <c r="G1446" s="2" t="inlineStr">
        <is>
          <t>20260306900598</t>
        </is>
      </c>
      <c r="H1446" s="8">
        <f>HYPERLINK("https://dart.fss.or.kr/dsaf001/main.do?rcpNo=20260306900598", "공시열람")</f>
        <v/>
      </c>
    </row>
    <row r="1447">
      <c r="A1447" s="2" t="inlineStr">
        <is>
          <t>2026-03-06</t>
        </is>
      </c>
      <c r="B1447" s="3" t="inlineStr">
        <is>
          <t>툴젠</t>
        </is>
      </c>
      <c r="C1447" s="2" t="inlineStr">
        <is>
          <t>코스닥</t>
        </is>
      </c>
      <c r="D1447" s="2" t="inlineStr">
        <is>
          <t>199800</t>
        </is>
      </c>
      <c r="E1447" s="3" t="inlineStr">
        <is>
          <t xml:space="preserve">주주총회소집결의              </t>
        </is>
      </c>
      <c r="F1447" s="3" t="inlineStr">
        <is>
          <t>툴젠</t>
        </is>
      </c>
      <c r="G1447" s="2" t="inlineStr">
        <is>
          <t>20260306900587</t>
        </is>
      </c>
      <c r="H1447" s="8">
        <f>HYPERLINK("https://dart.fss.or.kr/dsaf001/main.do?rcpNo=20260306900587", "공시열람")</f>
        <v/>
      </c>
    </row>
    <row r="1448">
      <c r="A1448" s="2" t="inlineStr">
        <is>
          <t>2026-03-06</t>
        </is>
      </c>
      <c r="B1448" s="3" t="inlineStr">
        <is>
          <t>한농화성</t>
        </is>
      </c>
      <c r="C1448" s="2" t="inlineStr">
        <is>
          <t>코스피</t>
        </is>
      </c>
      <c r="D1448" s="2" t="inlineStr">
        <is>
          <t>011500</t>
        </is>
      </c>
      <c r="E1448" s="3" t="inlineStr">
        <is>
          <t>주주총회소집공고</t>
        </is>
      </c>
      <c r="F1448" s="3" t="inlineStr">
        <is>
          <t>한농화성</t>
        </is>
      </c>
      <c r="G1448" s="2" t="inlineStr">
        <is>
          <t>20260306000355</t>
        </is>
      </c>
      <c r="H1448" s="8">
        <f>HYPERLINK("https://dart.fss.or.kr/dsaf001/main.do?rcpNo=20260306000355", "공시열람")</f>
        <v/>
      </c>
    </row>
    <row r="1449">
      <c r="A1449" s="2" t="inlineStr">
        <is>
          <t>2026-03-06</t>
        </is>
      </c>
      <c r="B1449" s="3" t="inlineStr">
        <is>
          <t>위더스제약</t>
        </is>
      </c>
      <c r="C1449" s="2" t="inlineStr">
        <is>
          <t>코스닥</t>
        </is>
      </c>
      <c r="D1449" s="2" t="inlineStr">
        <is>
          <t>330350</t>
        </is>
      </c>
      <c r="E1449" s="3" t="inlineStr">
        <is>
          <t xml:space="preserve">주주총회소집결의              </t>
        </is>
      </c>
      <c r="F1449" s="3" t="inlineStr">
        <is>
          <t>위더스제약</t>
        </is>
      </c>
      <c r="G1449" s="2" t="inlineStr">
        <is>
          <t>20260306900601</t>
        </is>
      </c>
      <c r="H1449" s="8">
        <f>HYPERLINK("https://dart.fss.or.kr/dsaf001/main.do?rcpNo=20260306900601", "공시열람")</f>
        <v/>
      </c>
    </row>
    <row r="1450">
      <c r="A1450" s="2" t="inlineStr">
        <is>
          <t>2026-03-06</t>
        </is>
      </c>
      <c r="B1450" s="3" t="inlineStr">
        <is>
          <t>위드텍</t>
        </is>
      </c>
      <c r="C1450" s="2" t="inlineStr">
        <is>
          <t>코스닥</t>
        </is>
      </c>
      <c r="D1450" s="2" t="inlineStr">
        <is>
          <t>348350</t>
        </is>
      </c>
      <c r="E1450" s="3" t="inlineStr">
        <is>
          <t>주주총회소집공고</t>
        </is>
      </c>
      <c r="F1450" s="3" t="inlineStr">
        <is>
          <t>위드텍</t>
        </is>
      </c>
      <c r="G1450" s="2" t="inlineStr">
        <is>
          <t>20260306000344</t>
        </is>
      </c>
      <c r="H1450" s="8">
        <f>HYPERLINK("https://dart.fss.or.kr/dsaf001/main.do?rcpNo=20260306000344", "공시열람")</f>
        <v/>
      </c>
    </row>
    <row r="1451">
      <c r="A1451" s="2" t="inlineStr">
        <is>
          <t>2026-02-05 (정정: 2026-03-06)</t>
        </is>
      </c>
      <c r="B1451" s="3" t="inlineStr">
        <is>
          <t>지씨셀</t>
        </is>
      </c>
      <c r="C1451" s="2" t="inlineStr">
        <is>
          <t>코스닥</t>
        </is>
      </c>
      <c r="D1451" s="2" t="inlineStr">
        <is>
          <t>144510</t>
        </is>
      </c>
      <c r="E1451" s="3" t="inlineStr">
        <is>
          <t xml:space="preserve">[기재정정]주주총회소집결의              </t>
        </is>
      </c>
      <c r="F1451" s="3" t="inlineStr">
        <is>
          <t>지씨셀</t>
        </is>
      </c>
      <c r="G1451" s="2" t="inlineStr">
        <is>
          <t>20260306900555</t>
        </is>
      </c>
      <c r="H1451" s="8">
        <f>HYPERLINK("https://dart.fss.or.kr/dsaf001/main.do?rcpNo=20260306900555", "공시열람")</f>
        <v/>
      </c>
    </row>
    <row r="1452">
      <c r="A1452" s="2" t="inlineStr">
        <is>
          <t>2026-03-06</t>
        </is>
      </c>
      <c r="B1452" s="3" t="inlineStr">
        <is>
          <t>현대공업</t>
        </is>
      </c>
      <c r="C1452" s="2" t="inlineStr">
        <is>
          <t>코스닥</t>
        </is>
      </c>
      <c r="D1452" s="2" t="inlineStr">
        <is>
          <t>170030</t>
        </is>
      </c>
      <c r="E1452" s="3" t="inlineStr">
        <is>
          <t xml:space="preserve">주주총회소집결의              </t>
        </is>
      </c>
      <c r="F1452" s="3" t="inlineStr">
        <is>
          <t>현대공업</t>
        </is>
      </c>
      <c r="G1452" s="2" t="inlineStr">
        <is>
          <t>20260306900538</t>
        </is>
      </c>
      <c r="H1452" s="8">
        <f>HYPERLINK("https://dart.fss.or.kr/dsaf001/main.do?rcpNo=20260306900538", "공시열람")</f>
        <v/>
      </c>
    </row>
    <row r="1453">
      <c r="A1453" s="2" t="inlineStr">
        <is>
          <t>2026-03-06</t>
        </is>
      </c>
      <c r="B1453" s="3" t="inlineStr">
        <is>
          <t>오리엔탈정공</t>
        </is>
      </c>
      <c r="C1453" s="2" t="inlineStr">
        <is>
          <t>코스닥</t>
        </is>
      </c>
      <c r="D1453" s="2" t="inlineStr">
        <is>
          <t>014940</t>
        </is>
      </c>
      <c r="E1453" s="3" t="inlineStr">
        <is>
          <t>주주총회소집공고</t>
        </is>
      </c>
      <c r="F1453" s="3" t="inlineStr">
        <is>
          <t>오리엔탈정공</t>
        </is>
      </c>
      <c r="G1453" s="2" t="inlineStr">
        <is>
          <t>20260306000335</t>
        </is>
      </c>
      <c r="H1453" s="8">
        <f>HYPERLINK("https://dart.fss.or.kr/dsaf001/main.do?rcpNo=20260306000335", "공시열람")</f>
        <v/>
      </c>
    </row>
    <row r="1454">
      <c r="A1454" s="2" t="inlineStr">
        <is>
          <t>2026-03-06</t>
        </is>
      </c>
      <c r="B1454" s="3" t="inlineStr">
        <is>
          <t>NE능률</t>
        </is>
      </c>
      <c r="C1454" s="2" t="inlineStr">
        <is>
          <t>코스닥</t>
        </is>
      </c>
      <c r="D1454" s="2" t="inlineStr">
        <is>
          <t>053290</t>
        </is>
      </c>
      <c r="E1454" s="3" t="inlineStr">
        <is>
          <t xml:space="preserve">주주총회집중일개최사유신고              </t>
        </is>
      </c>
      <c r="F1454" s="3" t="inlineStr">
        <is>
          <t>NE능률</t>
        </is>
      </c>
      <c r="G1454" s="2" t="inlineStr">
        <is>
          <t>20260306900549</t>
        </is>
      </c>
      <c r="H1454" s="8">
        <f>HYPERLINK("https://dart.fss.or.kr/dsaf001/main.do?rcpNo=20260306900549", "공시열람")</f>
        <v/>
      </c>
    </row>
    <row r="1455">
      <c r="A1455" s="2" t="inlineStr">
        <is>
          <t>2026-03-06</t>
        </is>
      </c>
      <c r="B1455" s="3" t="inlineStr">
        <is>
          <t>NE능률</t>
        </is>
      </c>
      <c r="C1455" s="2" t="inlineStr">
        <is>
          <t>코스닥</t>
        </is>
      </c>
      <c r="D1455" s="2" t="inlineStr">
        <is>
          <t>053290</t>
        </is>
      </c>
      <c r="E1455" s="3" t="inlineStr">
        <is>
          <t xml:space="preserve">주주총회소집결의              </t>
        </is>
      </c>
      <c r="F1455" s="3" t="inlineStr">
        <is>
          <t>NE능률</t>
        </is>
      </c>
      <c r="G1455" s="2" t="inlineStr">
        <is>
          <t>20260306900542</t>
        </is>
      </c>
      <c r="H1455" s="8">
        <f>HYPERLINK("https://dart.fss.or.kr/dsaf001/main.do?rcpNo=20260306900542", "공시열람")</f>
        <v/>
      </c>
    </row>
    <row r="1456">
      <c r="A1456" s="2" t="inlineStr">
        <is>
          <t>2026-03-06</t>
        </is>
      </c>
      <c r="B1456" s="3" t="inlineStr">
        <is>
          <t>씨아이테크</t>
        </is>
      </c>
      <c r="C1456" s="2" t="inlineStr">
        <is>
          <t>코스피</t>
        </is>
      </c>
      <c r="D1456" s="2" t="inlineStr">
        <is>
          <t>004920</t>
        </is>
      </c>
      <c r="E1456" s="3" t="inlineStr">
        <is>
          <t xml:space="preserve">주주총회소집결의              </t>
        </is>
      </c>
      <c r="F1456" s="3" t="inlineStr">
        <is>
          <t>씨아이테크</t>
        </is>
      </c>
      <c r="G1456" s="2" t="inlineStr">
        <is>
          <t>20260306800556</t>
        </is>
      </c>
      <c r="H1456" s="8">
        <f>HYPERLINK("https://dart.fss.or.kr/dsaf001/main.do?rcpNo=20260306800556", "공시열람")</f>
        <v/>
      </c>
    </row>
    <row r="1457">
      <c r="A1457" s="2" t="inlineStr">
        <is>
          <t>2026-03-06</t>
        </is>
      </c>
      <c r="B1457" s="3" t="inlineStr">
        <is>
          <t>와이지-원</t>
        </is>
      </c>
      <c r="C1457" s="2" t="inlineStr">
        <is>
          <t>코스닥</t>
        </is>
      </c>
      <c r="D1457" s="2" t="inlineStr">
        <is>
          <t>019210</t>
        </is>
      </c>
      <c r="E1457" s="3" t="inlineStr">
        <is>
          <t xml:space="preserve">주주총회소집결의              </t>
        </is>
      </c>
      <c r="F1457" s="3" t="inlineStr">
        <is>
          <t>와이지-원</t>
        </is>
      </c>
      <c r="G1457" s="2" t="inlineStr">
        <is>
          <t>20260306900498</t>
        </is>
      </c>
      <c r="H1457" s="8">
        <f>HYPERLINK("https://dart.fss.or.kr/dsaf001/main.do?rcpNo=20260306900498", "공시열람")</f>
        <v/>
      </c>
    </row>
    <row r="1458">
      <c r="A1458" s="2" t="inlineStr">
        <is>
          <t>2026-03-06</t>
        </is>
      </c>
      <c r="B1458" s="3" t="inlineStr">
        <is>
          <t>디지틀조선</t>
        </is>
      </c>
      <c r="C1458" s="2" t="inlineStr">
        <is>
          <t>코스닥</t>
        </is>
      </c>
      <c r="D1458" s="2" t="inlineStr">
        <is>
          <t>033130</t>
        </is>
      </c>
      <c r="E1458" s="3" t="inlineStr">
        <is>
          <t>주주총회소집공고</t>
        </is>
      </c>
      <c r="F1458" s="3" t="inlineStr">
        <is>
          <t>디지틀조선</t>
        </is>
      </c>
      <c r="G1458" s="2" t="inlineStr">
        <is>
          <t>20260306000324</t>
        </is>
      </c>
      <c r="H1458" s="8">
        <f>HYPERLINK("https://dart.fss.or.kr/dsaf001/main.do?rcpNo=20260306000324", "공시열람")</f>
        <v/>
      </c>
    </row>
    <row r="1459">
      <c r="A1459" s="2" t="inlineStr">
        <is>
          <t>2026-03-06</t>
        </is>
      </c>
      <c r="B1459" s="3" t="inlineStr">
        <is>
          <t>오리엔탈정공</t>
        </is>
      </c>
      <c r="C1459" s="2" t="inlineStr">
        <is>
          <t>코스닥</t>
        </is>
      </c>
      <c r="D1459" s="2" t="inlineStr">
        <is>
          <t>014940</t>
        </is>
      </c>
      <c r="E1459" s="3" t="inlineStr">
        <is>
          <t xml:space="preserve">주주총회소집결의              </t>
        </is>
      </c>
      <c r="F1459" s="3" t="inlineStr">
        <is>
          <t>오리엔탈정공</t>
        </is>
      </c>
      <c r="G1459" s="2" t="inlineStr">
        <is>
          <t>20260306900537</t>
        </is>
      </c>
      <c r="H1459" s="8">
        <f>HYPERLINK("https://dart.fss.or.kr/dsaf001/main.do?rcpNo=20260306900537", "공시열람")</f>
        <v/>
      </c>
    </row>
    <row r="1460">
      <c r="A1460" s="2" t="inlineStr">
        <is>
          <t>2026-03-06</t>
        </is>
      </c>
      <c r="B1460" s="3" t="inlineStr">
        <is>
          <t>멕아이씨에스</t>
        </is>
      </c>
      <c r="C1460" s="2" t="inlineStr">
        <is>
          <t>코스닥</t>
        </is>
      </c>
      <c r="D1460" s="2" t="inlineStr">
        <is>
          <t>058110</t>
        </is>
      </c>
      <c r="E1460" s="3" t="inlineStr">
        <is>
          <t>주주총회소집공고</t>
        </is>
      </c>
      <c r="F1460" s="3" t="inlineStr">
        <is>
          <t>멕아이씨에스</t>
        </is>
      </c>
      <c r="G1460" s="2" t="inlineStr">
        <is>
          <t>20260306000313</t>
        </is>
      </c>
      <c r="H1460" s="8">
        <f>HYPERLINK("https://dart.fss.or.kr/dsaf001/main.do?rcpNo=20260306000313", "공시열람")</f>
        <v/>
      </c>
    </row>
    <row r="1461">
      <c r="A1461" s="2" t="inlineStr">
        <is>
          <t>2026-03-06</t>
        </is>
      </c>
      <c r="B1461" s="3" t="inlineStr">
        <is>
          <t>RF시스템즈</t>
        </is>
      </c>
      <c r="C1461" s="2" t="inlineStr">
        <is>
          <t>코스닥</t>
        </is>
      </c>
      <c r="D1461" s="2" t="inlineStr">
        <is>
          <t>474610</t>
        </is>
      </c>
      <c r="E1461" s="3" t="inlineStr">
        <is>
          <t xml:space="preserve">주주총회집중일개최사유신고              </t>
        </is>
      </c>
      <c r="F1461" s="3" t="inlineStr">
        <is>
          <t>RF시스템즈</t>
        </is>
      </c>
      <c r="G1461" s="2" t="inlineStr">
        <is>
          <t>20260306900533</t>
        </is>
      </c>
      <c r="H1461" s="8">
        <f>HYPERLINK("https://dart.fss.or.kr/dsaf001/main.do?rcpNo=20260306900533", "공시열람")</f>
        <v/>
      </c>
    </row>
    <row r="1462">
      <c r="A1462" s="2" t="inlineStr">
        <is>
          <t>2026-03-06</t>
        </is>
      </c>
      <c r="B1462" s="3" t="inlineStr">
        <is>
          <t>이건홀딩스</t>
        </is>
      </c>
      <c r="C1462" s="2" t="inlineStr">
        <is>
          <t>코스닥</t>
        </is>
      </c>
      <c r="D1462" s="2" t="inlineStr">
        <is>
          <t>039020</t>
        </is>
      </c>
      <c r="E1462" s="3" t="inlineStr">
        <is>
          <t xml:space="preserve">주주총회소집결의              </t>
        </is>
      </c>
      <c r="F1462" s="3" t="inlineStr">
        <is>
          <t>이건홀딩스</t>
        </is>
      </c>
      <c r="G1462" s="2" t="inlineStr">
        <is>
          <t>20260306900524</t>
        </is>
      </c>
      <c r="H1462" s="8">
        <f>HYPERLINK("https://dart.fss.or.kr/dsaf001/main.do?rcpNo=20260306900524", "공시열람")</f>
        <v/>
      </c>
    </row>
    <row r="1463">
      <c r="A1463" s="2" t="inlineStr">
        <is>
          <t>2026-03-06 (정정: 2026-03-12)</t>
        </is>
      </c>
      <c r="B1463" s="3" t="inlineStr">
        <is>
          <t>알에스오토메이션</t>
        </is>
      </c>
      <c r="C1463" s="2" t="inlineStr">
        <is>
          <t>코스닥</t>
        </is>
      </c>
      <c r="D1463" s="2" t="inlineStr">
        <is>
          <t>140670</t>
        </is>
      </c>
      <c r="E1463" s="3" t="inlineStr">
        <is>
          <t>주주총회소집공고 (정정: 20260312)</t>
        </is>
      </c>
      <c r="F1463" s="3" t="inlineStr">
        <is>
          <t>알에스오토메이션</t>
        </is>
      </c>
      <c r="G1463" s="2" t="inlineStr">
        <is>
          <t>20260312900824</t>
        </is>
      </c>
      <c r="H1463" s="8">
        <f>HYPERLINK("https://dart.fss.or.kr/dsaf001/main.do?rcpNo=20260312900824", "공시열람")</f>
        <v/>
      </c>
    </row>
    <row r="1464">
      <c r="A1464" s="2" t="inlineStr">
        <is>
          <t>2026-03-06</t>
        </is>
      </c>
      <c r="B1464" s="3" t="inlineStr">
        <is>
          <t>무진메디</t>
        </is>
      </c>
      <c r="C1464" s="2" t="inlineStr">
        <is>
          <t>코넥스</t>
        </is>
      </c>
      <c r="D1464" s="2" t="inlineStr">
        <is>
          <t>322970</t>
        </is>
      </c>
      <c r="E1464" s="3" t="inlineStr">
        <is>
          <t xml:space="preserve">주주총회소집결의              </t>
        </is>
      </c>
      <c r="F1464" s="3" t="inlineStr">
        <is>
          <t>무진메디</t>
        </is>
      </c>
      <c r="G1464" s="2" t="inlineStr">
        <is>
          <t>20260306600494</t>
        </is>
      </c>
      <c r="H1464" s="8">
        <f>HYPERLINK("https://dart.fss.or.kr/dsaf001/main.do?rcpNo=20260306600494", "공시열람")</f>
        <v/>
      </c>
    </row>
    <row r="1465">
      <c r="A1465" s="2" t="inlineStr">
        <is>
          <t>2026-03-06</t>
        </is>
      </c>
      <c r="B1465" s="3" t="inlineStr">
        <is>
          <t>로보로보</t>
        </is>
      </c>
      <c r="C1465" s="2" t="inlineStr">
        <is>
          <t>코스닥</t>
        </is>
      </c>
      <c r="D1465" s="2" t="inlineStr">
        <is>
          <t>215100</t>
        </is>
      </c>
      <c r="E1465" s="3" t="inlineStr">
        <is>
          <t xml:space="preserve">주주총회소집결의              </t>
        </is>
      </c>
      <c r="F1465" s="3" t="inlineStr">
        <is>
          <t>로보로보</t>
        </is>
      </c>
      <c r="G1465" s="2" t="inlineStr">
        <is>
          <t>20260306900529</t>
        </is>
      </c>
      <c r="H1465" s="8">
        <f>HYPERLINK("https://dart.fss.or.kr/dsaf001/main.do?rcpNo=20260306900529", "공시열람")</f>
        <v/>
      </c>
    </row>
    <row r="1466">
      <c r="A1466" s="2" t="inlineStr">
        <is>
          <t>2026-03-06</t>
        </is>
      </c>
      <c r="B1466" s="3" t="inlineStr">
        <is>
          <t>큐렉소</t>
        </is>
      </c>
      <c r="C1466" s="2" t="inlineStr">
        <is>
          <t>코스닥</t>
        </is>
      </c>
      <c r="D1466" s="2" t="inlineStr">
        <is>
          <t>060280</t>
        </is>
      </c>
      <c r="E1466" s="3" t="inlineStr">
        <is>
          <t>주주총회소집공고</t>
        </is>
      </c>
      <c r="F1466" s="3" t="inlineStr">
        <is>
          <t>큐렉소</t>
        </is>
      </c>
      <c r="G1466" s="2" t="inlineStr">
        <is>
          <t>20260306000301</t>
        </is>
      </c>
      <c r="H1466" s="8">
        <f>HYPERLINK("https://dart.fss.or.kr/dsaf001/main.do?rcpNo=20260306000301", "공시열람")</f>
        <v/>
      </c>
    </row>
    <row r="1467">
      <c r="A1467" s="2" t="inlineStr">
        <is>
          <t>2026-03-06</t>
        </is>
      </c>
      <c r="B1467" s="3" t="inlineStr">
        <is>
          <t>코메론</t>
        </is>
      </c>
      <c r="C1467" s="2" t="inlineStr">
        <is>
          <t>코스닥</t>
        </is>
      </c>
      <c r="D1467" s="2" t="inlineStr">
        <is>
          <t>049430</t>
        </is>
      </c>
      <c r="E1467" s="3" t="inlineStr">
        <is>
          <t>주주총회소집공고</t>
        </is>
      </c>
      <c r="F1467" s="3" t="inlineStr">
        <is>
          <t>코메론</t>
        </is>
      </c>
      <c r="G1467" s="2" t="inlineStr">
        <is>
          <t>20260306000300</t>
        </is>
      </c>
      <c r="H1467" s="8">
        <f>HYPERLINK("https://dart.fss.or.kr/dsaf001/main.do?rcpNo=20260306000300", "공시열람")</f>
        <v/>
      </c>
    </row>
    <row r="1468">
      <c r="A1468" s="2" t="inlineStr">
        <is>
          <t>2026-03-06</t>
        </is>
      </c>
      <c r="B1468" s="3" t="inlineStr">
        <is>
          <t>LS마린솔루션</t>
        </is>
      </c>
      <c r="C1468" s="2" t="inlineStr">
        <is>
          <t>코스닥</t>
        </is>
      </c>
      <c r="D1468" s="2" t="inlineStr">
        <is>
          <t>060370</t>
        </is>
      </c>
      <c r="E1468" s="3" t="inlineStr">
        <is>
          <t xml:space="preserve">주주총회소집결의              </t>
        </is>
      </c>
      <c r="F1468" s="3" t="inlineStr">
        <is>
          <t>LS마린솔루션</t>
        </is>
      </c>
      <c r="G1468" s="2" t="inlineStr">
        <is>
          <t>20260306900518</t>
        </is>
      </c>
      <c r="H1468" s="8">
        <f>HYPERLINK("https://dart.fss.or.kr/dsaf001/main.do?rcpNo=20260306900518", "공시열람")</f>
        <v/>
      </c>
    </row>
    <row r="1469">
      <c r="A1469" s="2" t="inlineStr">
        <is>
          <t>2026-03-06</t>
        </is>
      </c>
      <c r="B1469" s="3" t="inlineStr">
        <is>
          <t>이노테나</t>
        </is>
      </c>
      <c r="C1469" s="2" t="inlineStr">
        <is>
          <t>코스닥</t>
        </is>
      </c>
      <c r="D1469" s="2" t="inlineStr">
        <is>
          <t>333050</t>
        </is>
      </c>
      <c r="E1469" s="3" t="inlineStr">
        <is>
          <t xml:space="preserve">주주총회집중일개최사유신고              </t>
        </is>
      </c>
      <c r="F1469" s="3" t="inlineStr">
        <is>
          <t>이노테나</t>
        </is>
      </c>
      <c r="G1469" s="2" t="inlineStr">
        <is>
          <t>20260306900502</t>
        </is>
      </c>
      <c r="H1469" s="8">
        <f>HYPERLINK("https://dart.fss.or.kr/dsaf001/main.do?rcpNo=20260306900502", "공시열람")</f>
        <v/>
      </c>
    </row>
    <row r="1470">
      <c r="A1470" s="2" t="inlineStr">
        <is>
          <t>2026-03-06</t>
        </is>
      </c>
      <c r="B1470" s="3" t="inlineStr">
        <is>
          <t>유안타제15호스팩</t>
        </is>
      </c>
      <c r="C1470" s="2" t="inlineStr">
        <is>
          <t>코스닥</t>
        </is>
      </c>
      <c r="D1470" s="2" t="inlineStr">
        <is>
          <t>473050</t>
        </is>
      </c>
      <c r="E1470" s="3" t="inlineStr">
        <is>
          <t>주주총회소집공고</t>
        </is>
      </c>
      <c r="F1470" s="3" t="inlineStr">
        <is>
          <t>유안타제15호스팩</t>
        </is>
      </c>
      <c r="G1470" s="2" t="inlineStr">
        <is>
          <t>20260306000293</t>
        </is>
      </c>
      <c r="H1470" s="8">
        <f>HYPERLINK("https://dart.fss.or.kr/dsaf001/main.do?rcpNo=20260306000293", "공시열람")</f>
        <v/>
      </c>
    </row>
    <row r="1471">
      <c r="A1471" s="2" t="inlineStr">
        <is>
          <t>2026-03-06</t>
        </is>
      </c>
      <c r="B1471" s="3" t="inlineStr">
        <is>
          <t>이노테나</t>
        </is>
      </c>
      <c r="C1471" s="2" t="inlineStr">
        <is>
          <t>코스닥</t>
        </is>
      </c>
      <c r="D1471" s="2" t="inlineStr">
        <is>
          <t>333050</t>
        </is>
      </c>
      <c r="E1471" s="3" t="inlineStr">
        <is>
          <t xml:space="preserve">주주총회소집결의              </t>
        </is>
      </c>
      <c r="F1471" s="3" t="inlineStr">
        <is>
          <t>이노테나</t>
        </is>
      </c>
      <c r="G1471" s="2" t="inlineStr">
        <is>
          <t>20260306900495</t>
        </is>
      </c>
      <c r="H1471" s="8">
        <f>HYPERLINK("https://dart.fss.or.kr/dsaf001/main.do?rcpNo=20260306900495", "공시열람")</f>
        <v/>
      </c>
    </row>
    <row r="1472">
      <c r="A1472" s="2" t="inlineStr">
        <is>
          <t>2026-03-06</t>
        </is>
      </c>
      <c r="B1472" s="3" t="inlineStr">
        <is>
          <t>이건산업</t>
        </is>
      </c>
      <c r="C1472" s="2" t="inlineStr">
        <is>
          <t>코스피</t>
        </is>
      </c>
      <c r="D1472" s="2" t="inlineStr">
        <is>
          <t>008250</t>
        </is>
      </c>
      <c r="E1472" s="3" t="inlineStr">
        <is>
          <t xml:space="preserve">주주총회소집결의              </t>
        </is>
      </c>
      <c r="F1472" s="3" t="inlineStr">
        <is>
          <t>이건산업</t>
        </is>
      </c>
      <c r="G1472" s="2" t="inlineStr">
        <is>
          <t>20260306800484</t>
        </is>
      </c>
      <c r="H1472" s="8">
        <f>HYPERLINK("https://dart.fss.or.kr/dsaf001/main.do?rcpNo=20260306800484", "공시열람")</f>
        <v/>
      </c>
    </row>
    <row r="1473">
      <c r="A1473" s="2" t="inlineStr">
        <is>
          <t>2026-03-06</t>
        </is>
      </c>
      <c r="B1473" s="3" t="inlineStr">
        <is>
          <t>RF시스템즈</t>
        </is>
      </c>
      <c r="C1473" s="2" t="inlineStr">
        <is>
          <t>코스닥</t>
        </is>
      </c>
      <c r="D1473" s="2" t="inlineStr">
        <is>
          <t>474610</t>
        </is>
      </c>
      <c r="E1473" s="3" t="inlineStr">
        <is>
          <t xml:space="preserve">주주총회소집결의              </t>
        </is>
      </c>
      <c r="F1473" s="3" t="inlineStr">
        <is>
          <t>RF시스템즈</t>
        </is>
      </c>
      <c r="G1473" s="2" t="inlineStr">
        <is>
          <t>20260306900492</t>
        </is>
      </c>
      <c r="H1473" s="8">
        <f>HYPERLINK("https://dart.fss.or.kr/dsaf001/main.do?rcpNo=20260306900492", "공시열람")</f>
        <v/>
      </c>
    </row>
    <row r="1474">
      <c r="A1474" s="2" t="inlineStr">
        <is>
          <t>2026-03-06</t>
        </is>
      </c>
      <c r="B1474" s="3" t="inlineStr">
        <is>
          <t>정상제이엘에스</t>
        </is>
      </c>
      <c r="C1474" s="2" t="inlineStr">
        <is>
          <t>코스닥</t>
        </is>
      </c>
      <c r="D1474" s="2" t="inlineStr">
        <is>
          <t>040420</t>
        </is>
      </c>
      <c r="E1474" s="3" t="inlineStr">
        <is>
          <t>주주총회소집공고</t>
        </is>
      </c>
      <c r="F1474" s="3" t="inlineStr">
        <is>
          <t>정상제이엘에스</t>
        </is>
      </c>
      <c r="G1474" s="2" t="inlineStr">
        <is>
          <t>20260306000291</t>
        </is>
      </c>
      <c r="H1474" s="8">
        <f>HYPERLINK("https://dart.fss.or.kr/dsaf001/main.do?rcpNo=20260306000291", "공시열람")</f>
        <v/>
      </c>
    </row>
    <row r="1475">
      <c r="A1475" s="2" t="inlineStr">
        <is>
          <t>2026-03-06</t>
        </is>
      </c>
      <c r="B1475" s="3" t="inlineStr">
        <is>
          <t>디지틀조선</t>
        </is>
      </c>
      <c r="C1475" s="2" t="inlineStr">
        <is>
          <t>코스닥</t>
        </is>
      </c>
      <c r="D1475" s="2" t="inlineStr">
        <is>
          <t>033130</t>
        </is>
      </c>
      <c r="E1475" s="3" t="inlineStr">
        <is>
          <t xml:space="preserve">주주총회소집결의              </t>
        </is>
      </c>
      <c r="F1475" s="3" t="inlineStr">
        <is>
          <t>디지틀조선</t>
        </is>
      </c>
      <c r="G1475" s="2" t="inlineStr">
        <is>
          <t>20260306900477</t>
        </is>
      </c>
      <c r="H1475" s="8">
        <f>HYPERLINK("https://dart.fss.or.kr/dsaf001/main.do?rcpNo=20260306900477", "공시열람")</f>
        <v/>
      </c>
    </row>
    <row r="1476">
      <c r="A1476" s="2" t="inlineStr">
        <is>
          <t>2026-03-06 (정정: 2026-03-06)</t>
        </is>
      </c>
      <c r="B1476" s="3" t="inlineStr">
        <is>
          <t>케스피온</t>
        </is>
      </c>
      <c r="C1476" s="2" t="inlineStr">
        <is>
          <t>코스닥</t>
        </is>
      </c>
      <c r="D1476" s="2" t="inlineStr">
        <is>
          <t>079190</t>
        </is>
      </c>
      <c r="E1476" s="3" t="inlineStr">
        <is>
          <t>주요사항보고서(회사합병결정) (정정: 20260306)</t>
        </is>
      </c>
      <c r="F1476" s="3" t="inlineStr">
        <is>
          <t>케스피온</t>
        </is>
      </c>
      <c r="G1476" s="2" t="inlineStr">
        <is>
          <t>20260306900405</t>
        </is>
      </c>
      <c r="H1476" s="8">
        <f>HYPERLINK("https://dart.fss.or.kr/dsaf001/main.do?rcpNo=20260306900405", "공시열람")</f>
        <v/>
      </c>
    </row>
    <row r="1477">
      <c r="A1477" s="2" t="inlineStr">
        <is>
          <t>2026-03-06</t>
        </is>
      </c>
      <c r="B1477" s="3" t="inlineStr">
        <is>
          <t>에프에스티</t>
        </is>
      </c>
      <c r="C1477" s="2" t="inlineStr">
        <is>
          <t>코스닥</t>
        </is>
      </c>
      <c r="D1477" s="2" t="inlineStr">
        <is>
          <t>036810</t>
        </is>
      </c>
      <c r="E1477" s="3" t="inlineStr">
        <is>
          <t xml:space="preserve">주주총회소집결의              </t>
        </is>
      </c>
      <c r="F1477" s="3" t="inlineStr">
        <is>
          <t>에프에스티</t>
        </is>
      </c>
      <c r="G1477" s="2" t="inlineStr">
        <is>
          <t>20260306900429</t>
        </is>
      </c>
      <c r="H1477" s="8">
        <f>HYPERLINK("https://dart.fss.or.kr/dsaf001/main.do?rcpNo=20260306900429", "공시열람")</f>
        <v/>
      </c>
    </row>
    <row r="1478">
      <c r="A1478" s="2" t="inlineStr">
        <is>
          <t>2026-03-06</t>
        </is>
      </c>
      <c r="B1478" s="3" t="inlineStr">
        <is>
          <t>미원상사</t>
        </is>
      </c>
      <c r="C1478" s="2" t="inlineStr">
        <is>
          <t>코스피</t>
        </is>
      </c>
      <c r="D1478" s="2" t="inlineStr">
        <is>
          <t>002840</t>
        </is>
      </c>
      <c r="E1478" s="3" t="inlineStr">
        <is>
          <t>주주총회소집공고</t>
        </is>
      </c>
      <c r="F1478" s="3" t="inlineStr">
        <is>
          <t>미원상사</t>
        </is>
      </c>
      <c r="G1478" s="2" t="inlineStr">
        <is>
          <t>20260306000265</t>
        </is>
      </c>
      <c r="H1478" s="8">
        <f>HYPERLINK("https://dart.fss.or.kr/dsaf001/main.do?rcpNo=20260306000265", "공시열람")</f>
        <v/>
      </c>
    </row>
    <row r="1479">
      <c r="A1479" s="2" t="inlineStr">
        <is>
          <t>2026-03-06</t>
        </is>
      </c>
      <c r="B1479" s="3" t="inlineStr">
        <is>
          <t>IBKS제25호스팩</t>
        </is>
      </c>
      <c r="C1479" s="2" t="inlineStr">
        <is>
          <t>코스닥</t>
        </is>
      </c>
      <c r="D1479" s="2" t="inlineStr">
        <is>
          <t>0099X0</t>
        </is>
      </c>
      <c r="E1479" s="3" t="inlineStr">
        <is>
          <t>주주총회소집공고</t>
        </is>
      </c>
      <c r="F1479" s="3" t="inlineStr">
        <is>
          <t>IBKS제25호스팩</t>
        </is>
      </c>
      <c r="G1479" s="2" t="inlineStr">
        <is>
          <t>20260306000259</t>
        </is>
      </c>
      <c r="H1479" s="8">
        <f>HYPERLINK("https://dart.fss.or.kr/dsaf001/main.do?rcpNo=20260306000259", "공시열람")</f>
        <v/>
      </c>
    </row>
    <row r="1480">
      <c r="A1480" s="2" t="inlineStr">
        <is>
          <t>2026-03-06</t>
        </is>
      </c>
      <c r="B1480" s="3" t="inlineStr">
        <is>
          <t>SK증권제13호스팩</t>
        </is>
      </c>
      <c r="C1480" s="2" t="inlineStr">
        <is>
          <t>코스닥</t>
        </is>
      </c>
      <c r="D1480" s="2" t="inlineStr">
        <is>
          <t>473950</t>
        </is>
      </c>
      <c r="E1480" s="3" t="inlineStr">
        <is>
          <t xml:space="preserve">주주총회소집결의              </t>
        </is>
      </c>
      <c r="F1480" s="3" t="inlineStr">
        <is>
          <t>SK증권제13호스팩</t>
        </is>
      </c>
      <c r="G1480" s="2" t="inlineStr">
        <is>
          <t>20260306900455</t>
        </is>
      </c>
      <c r="H1480" s="8">
        <f>HYPERLINK("https://dart.fss.or.kr/dsaf001/main.do?rcpNo=20260306900455", "공시열람")</f>
        <v/>
      </c>
    </row>
    <row r="1481">
      <c r="A1481" s="2" t="inlineStr">
        <is>
          <t>2026-03-06</t>
        </is>
      </c>
      <c r="B1481" s="3" t="inlineStr">
        <is>
          <t>SK증권제12호스팩</t>
        </is>
      </c>
      <c r="C1481" s="2" t="inlineStr">
        <is>
          <t>코스닥</t>
        </is>
      </c>
      <c r="D1481" s="2" t="inlineStr">
        <is>
          <t>473000</t>
        </is>
      </c>
      <c r="E1481" s="3" t="inlineStr">
        <is>
          <t xml:space="preserve">주주총회소집결의              </t>
        </is>
      </c>
      <c r="F1481" s="3" t="inlineStr">
        <is>
          <t>SK증권제12호스팩</t>
        </is>
      </c>
      <c r="G1481" s="2" t="inlineStr">
        <is>
          <t>20260306900452</t>
        </is>
      </c>
      <c r="H1481" s="8">
        <f>HYPERLINK("https://dart.fss.or.kr/dsaf001/main.do?rcpNo=20260306900452", "공시열람")</f>
        <v/>
      </c>
    </row>
    <row r="1482">
      <c r="A1482" s="2" t="inlineStr">
        <is>
          <t>2026-03-06</t>
        </is>
      </c>
      <c r="B1482" s="3" t="inlineStr">
        <is>
          <t>화천기공</t>
        </is>
      </c>
      <c r="C1482" s="2" t="inlineStr">
        <is>
          <t>코스피</t>
        </is>
      </c>
      <c r="D1482" s="2" t="inlineStr">
        <is>
          <t>000850</t>
        </is>
      </c>
      <c r="E1482" s="3" t="inlineStr">
        <is>
          <t>주주총회소집공고</t>
        </is>
      </c>
      <c r="F1482" s="3" t="inlineStr">
        <is>
          <t>화천기공</t>
        </is>
      </c>
      <c r="G1482" s="2" t="inlineStr">
        <is>
          <t>20260306000255</t>
        </is>
      </c>
      <c r="H1482" s="8">
        <f>HYPERLINK("https://dart.fss.or.kr/dsaf001/main.do?rcpNo=20260306000255", "공시열람")</f>
        <v/>
      </c>
    </row>
    <row r="1483">
      <c r="A1483" s="2" t="inlineStr">
        <is>
          <t>2026-03-06</t>
        </is>
      </c>
      <c r="B1483" s="3" t="inlineStr">
        <is>
          <t>동국제강</t>
        </is>
      </c>
      <c r="C1483" s="2" t="inlineStr">
        <is>
          <t>코스피</t>
        </is>
      </c>
      <c r="D1483" s="2" t="inlineStr">
        <is>
          <t>460860</t>
        </is>
      </c>
      <c r="E1483" s="3" t="inlineStr">
        <is>
          <t>주주총회소집공고</t>
        </is>
      </c>
      <c r="F1483" s="3" t="inlineStr">
        <is>
          <t>동국제강</t>
        </is>
      </c>
      <c r="G1483" s="2" t="inlineStr">
        <is>
          <t>20260306000244</t>
        </is>
      </c>
      <c r="H1483" s="8">
        <f>HYPERLINK("https://dart.fss.or.kr/dsaf001/main.do?rcpNo=20260306000244", "공시열람")</f>
        <v/>
      </c>
    </row>
    <row r="1484">
      <c r="A1484" s="2" t="inlineStr">
        <is>
          <t>2026-03-06</t>
        </is>
      </c>
      <c r="B1484" s="3" t="inlineStr">
        <is>
          <t>IBKS제23호스팩</t>
        </is>
      </c>
      <c r="C1484" s="2" t="inlineStr">
        <is>
          <t>코스닥</t>
        </is>
      </c>
      <c r="D1484" s="2" t="inlineStr">
        <is>
          <t>467930</t>
        </is>
      </c>
      <c r="E1484" s="3" t="inlineStr">
        <is>
          <t>주주총회소집공고</t>
        </is>
      </c>
      <c r="F1484" s="3" t="inlineStr">
        <is>
          <t>IBKS제23호스팩</t>
        </is>
      </c>
      <c r="G1484" s="2" t="inlineStr">
        <is>
          <t>20260306000240</t>
        </is>
      </c>
      <c r="H1484" s="8">
        <f>HYPERLINK("https://dart.fss.or.kr/dsaf001/main.do?rcpNo=20260306000240", "공시열람")</f>
        <v/>
      </c>
    </row>
    <row r="1485">
      <c r="A1485" s="2" t="inlineStr">
        <is>
          <t>2026-03-06</t>
        </is>
      </c>
      <c r="B1485" s="3" t="inlineStr">
        <is>
          <t>한화시스템</t>
        </is>
      </c>
      <c r="C1485" s="2" t="inlineStr">
        <is>
          <t>코스피</t>
        </is>
      </c>
      <c r="D1485" s="2" t="inlineStr">
        <is>
          <t>272210</t>
        </is>
      </c>
      <c r="E1485" s="3" t="inlineStr">
        <is>
          <t>[기재정정]주주총회소집공고</t>
        </is>
      </c>
      <c r="F1485" s="3" t="inlineStr">
        <is>
          <t>한화시스템</t>
        </is>
      </c>
      <c r="G1485" s="2" t="inlineStr">
        <is>
          <t>20260306000236</t>
        </is>
      </c>
      <c r="H1485" s="8">
        <f>HYPERLINK("https://dart.fss.or.kr/dsaf001/main.do?rcpNo=20260306000236", "공시열람")</f>
        <v/>
      </c>
    </row>
    <row r="1486">
      <c r="A1486" s="2" t="inlineStr">
        <is>
          <t>2026-03-06</t>
        </is>
      </c>
      <c r="B1486" s="3" t="inlineStr">
        <is>
          <t>위월드</t>
        </is>
      </c>
      <c r="C1486" s="2" t="inlineStr">
        <is>
          <t>코넥스</t>
        </is>
      </c>
      <c r="D1486" s="2" t="inlineStr">
        <is>
          <t>140660</t>
        </is>
      </c>
      <c r="E1486" s="3" t="inlineStr">
        <is>
          <t>주주총회소집공고</t>
        </is>
      </c>
      <c r="F1486" s="3" t="inlineStr">
        <is>
          <t>위월드</t>
        </is>
      </c>
      <c r="G1486" s="2" t="inlineStr">
        <is>
          <t>20260306000235</t>
        </is>
      </c>
      <c r="H1486" s="8">
        <f>HYPERLINK("https://dart.fss.or.kr/dsaf001/main.do?rcpNo=20260306000235", "공시열람")</f>
        <v/>
      </c>
    </row>
    <row r="1487">
      <c r="A1487" s="2" t="inlineStr">
        <is>
          <t>2026-03-06</t>
        </is>
      </c>
      <c r="B1487" s="3" t="inlineStr">
        <is>
          <t>광진실업</t>
        </is>
      </c>
      <c r="C1487" s="2" t="inlineStr">
        <is>
          <t>코스닥</t>
        </is>
      </c>
      <c r="D1487" s="2" t="inlineStr">
        <is>
          <t>026910</t>
        </is>
      </c>
      <c r="E1487" s="3" t="inlineStr">
        <is>
          <t>주주총회소집공고</t>
        </is>
      </c>
      <c r="F1487" s="3" t="inlineStr">
        <is>
          <t>광진실업</t>
        </is>
      </c>
      <c r="G1487" s="2" t="inlineStr">
        <is>
          <t>20260306000230</t>
        </is>
      </c>
      <c r="H1487" s="8">
        <f>HYPERLINK("https://dart.fss.or.kr/dsaf001/main.do?rcpNo=20260306000230", "공시열람")</f>
        <v/>
      </c>
    </row>
    <row r="1488">
      <c r="A1488" s="2" t="inlineStr">
        <is>
          <t>2026-03-06</t>
        </is>
      </c>
      <c r="B1488" s="3" t="inlineStr">
        <is>
          <t>삼익제약</t>
        </is>
      </c>
      <c r="C1488" s="2" t="inlineStr">
        <is>
          <t>코스닥</t>
        </is>
      </c>
      <c r="D1488" s="2" t="inlineStr">
        <is>
          <t>014950</t>
        </is>
      </c>
      <c r="E1488" s="3" t="inlineStr">
        <is>
          <t>주주총회소집공고</t>
        </is>
      </c>
      <c r="F1488" s="3" t="inlineStr">
        <is>
          <t>삼익제약</t>
        </is>
      </c>
      <c r="G1488" s="2" t="inlineStr">
        <is>
          <t>20260306000222</t>
        </is>
      </c>
      <c r="H1488" s="8">
        <f>HYPERLINK("https://dart.fss.or.kr/dsaf001/main.do?rcpNo=20260306000222", "공시열람")</f>
        <v/>
      </c>
    </row>
    <row r="1489">
      <c r="A1489" s="2" t="inlineStr">
        <is>
          <t>2026-03-06</t>
        </is>
      </c>
      <c r="B1489" s="3" t="inlineStr">
        <is>
          <t>한양이엔지</t>
        </is>
      </c>
      <c r="C1489" s="2" t="inlineStr">
        <is>
          <t>코스닥</t>
        </is>
      </c>
      <c r="D1489" s="2" t="inlineStr">
        <is>
          <t>045100</t>
        </is>
      </c>
      <c r="E1489" s="3" t="inlineStr">
        <is>
          <t xml:space="preserve">[첨부정정]주주총회소집결의              </t>
        </is>
      </c>
      <c r="F1489" s="3" t="inlineStr">
        <is>
          <t>한양이엔지</t>
        </is>
      </c>
      <c r="G1489" s="2" t="inlineStr">
        <is>
          <t>20260306900406</t>
        </is>
      </c>
      <c r="H1489" s="8">
        <f>HYPERLINK("https://dart.fss.or.kr/dsaf001/main.do?rcpNo=20260306900406", "공시열람")</f>
        <v/>
      </c>
    </row>
    <row r="1490">
      <c r="A1490" s="2" t="inlineStr">
        <is>
          <t>2026-03-06</t>
        </is>
      </c>
      <c r="B1490" s="3" t="inlineStr">
        <is>
          <t>라이온켐텍</t>
        </is>
      </c>
      <c r="C1490" s="2" t="inlineStr">
        <is>
          <t>코스닥</t>
        </is>
      </c>
      <c r="D1490" s="2" t="inlineStr">
        <is>
          <t>171120</t>
        </is>
      </c>
      <c r="E1490" s="3" t="inlineStr">
        <is>
          <t>주주총회소집공고</t>
        </is>
      </c>
      <c r="F1490" s="3" t="inlineStr">
        <is>
          <t>라이온켐텍</t>
        </is>
      </c>
      <c r="G1490" s="2" t="inlineStr">
        <is>
          <t>20260306000213</t>
        </is>
      </c>
      <c r="H1490" s="8">
        <f>HYPERLINK("https://dart.fss.or.kr/dsaf001/main.do?rcpNo=20260306000213", "공시열람")</f>
        <v/>
      </c>
    </row>
    <row r="1491">
      <c r="A1491" s="2" t="inlineStr">
        <is>
          <t>2026-03-06</t>
        </is>
      </c>
      <c r="B1491" s="3" t="inlineStr">
        <is>
          <t>엘앤에프</t>
        </is>
      </c>
      <c r="C1491" s="2" t="inlineStr">
        <is>
          <t>코스피</t>
        </is>
      </c>
      <c r="D1491" s="2" t="inlineStr">
        <is>
          <t>066970</t>
        </is>
      </c>
      <c r="E1491" s="3" t="inlineStr">
        <is>
          <t xml:space="preserve">주주총회집중일개최사유신고              </t>
        </is>
      </c>
      <c r="F1491" s="3" t="inlineStr">
        <is>
          <t>엘앤에프</t>
        </is>
      </c>
      <c r="G1491" s="2" t="inlineStr">
        <is>
          <t>20260306800385</t>
        </is>
      </c>
      <c r="H1491" s="8">
        <f>HYPERLINK("https://dart.fss.or.kr/dsaf001/main.do?rcpNo=20260306800385", "공시열람")</f>
        <v/>
      </c>
    </row>
    <row r="1492">
      <c r="A1492" s="2" t="inlineStr">
        <is>
          <t>2026-03-06</t>
        </is>
      </c>
      <c r="B1492" s="3" t="inlineStr">
        <is>
          <t>세명전기</t>
        </is>
      </c>
      <c r="C1492" s="2" t="inlineStr">
        <is>
          <t>코스닥</t>
        </is>
      </c>
      <c r="D1492" s="2" t="inlineStr">
        <is>
          <t>017510</t>
        </is>
      </c>
      <c r="E1492" s="3" t="inlineStr">
        <is>
          <t>주주총회소집공고</t>
        </is>
      </c>
      <c r="F1492" s="3" t="inlineStr">
        <is>
          <t>세명전기</t>
        </is>
      </c>
      <c r="G1492" s="2" t="inlineStr">
        <is>
          <t>20260306000212</t>
        </is>
      </c>
      <c r="H1492" s="8">
        <f>HYPERLINK("https://dart.fss.or.kr/dsaf001/main.do?rcpNo=20260306000212", "공시열람")</f>
        <v/>
      </c>
    </row>
    <row r="1493">
      <c r="A1493" s="2" t="inlineStr">
        <is>
          <t>2026-03-06</t>
        </is>
      </c>
      <c r="B1493" s="3" t="inlineStr">
        <is>
          <t>링크제니시스</t>
        </is>
      </c>
      <c r="C1493" s="2" t="inlineStr">
        <is>
          <t>코스닥</t>
        </is>
      </c>
      <c r="D1493" s="2" t="inlineStr">
        <is>
          <t>219420</t>
        </is>
      </c>
      <c r="E1493" s="3" t="inlineStr">
        <is>
          <t>주주총회소집공고</t>
        </is>
      </c>
      <c r="F1493" s="3" t="inlineStr">
        <is>
          <t>링크제니시스</t>
        </is>
      </c>
      <c r="G1493" s="2" t="inlineStr">
        <is>
          <t>20260306000211</t>
        </is>
      </c>
      <c r="H1493" s="8">
        <f>HYPERLINK("https://dart.fss.or.kr/dsaf001/main.do?rcpNo=20260306000211", "공시열람")</f>
        <v/>
      </c>
    </row>
    <row r="1494">
      <c r="A1494" s="2" t="inlineStr">
        <is>
          <t>2026-03-06</t>
        </is>
      </c>
      <c r="B1494" s="3" t="inlineStr">
        <is>
          <t>대호에이엘</t>
        </is>
      </c>
      <c r="C1494" s="2" t="inlineStr">
        <is>
          <t>코스피</t>
        </is>
      </c>
      <c r="D1494" s="2" t="inlineStr">
        <is>
          <t>069460</t>
        </is>
      </c>
      <c r="E1494" s="3" t="inlineStr">
        <is>
          <t xml:space="preserve">임시주주총회결과              </t>
        </is>
      </c>
      <c r="F1494" s="3" t="inlineStr">
        <is>
          <t>대호에이엘</t>
        </is>
      </c>
      <c r="G1494" s="2" t="inlineStr">
        <is>
          <t>20260306800386</t>
        </is>
      </c>
      <c r="H1494" s="8">
        <f>HYPERLINK("https://dart.fss.or.kr/dsaf001/main.do?rcpNo=20260306800386", "공시열람")</f>
        <v/>
      </c>
    </row>
    <row r="1495">
      <c r="A1495" s="2" t="inlineStr">
        <is>
          <t>2026-03-06</t>
        </is>
      </c>
      <c r="B1495" s="3" t="inlineStr">
        <is>
          <t>자이언트스텝</t>
        </is>
      </c>
      <c r="C1495" s="2" t="inlineStr">
        <is>
          <t>코스닥</t>
        </is>
      </c>
      <c r="D1495" s="2" t="inlineStr">
        <is>
          <t>289220</t>
        </is>
      </c>
      <c r="E1495" s="3" t="inlineStr">
        <is>
          <t xml:space="preserve">주주총회소집결의              </t>
        </is>
      </c>
      <c r="F1495" s="3" t="inlineStr">
        <is>
          <t>자이언트스텝</t>
        </is>
      </c>
      <c r="G1495" s="2" t="inlineStr">
        <is>
          <t>20260306900382</t>
        </is>
      </c>
      <c r="H1495" s="8">
        <f>HYPERLINK("https://dart.fss.or.kr/dsaf001/main.do?rcpNo=20260306900382", "공시열람")</f>
        <v/>
      </c>
    </row>
    <row r="1496">
      <c r="A1496" s="2" t="inlineStr">
        <is>
          <t>2026-03-06</t>
        </is>
      </c>
      <c r="B1496" s="3" t="inlineStr">
        <is>
          <t>디티씨</t>
        </is>
      </c>
      <c r="C1496" s="2" t="inlineStr">
        <is>
          <t>코스닥</t>
        </is>
      </c>
      <c r="D1496" s="2" t="inlineStr">
        <is>
          <t>066670</t>
        </is>
      </c>
      <c r="E1496" s="3" t="inlineStr">
        <is>
          <t>주주총회소집공고</t>
        </is>
      </c>
      <c r="F1496" s="3" t="inlineStr">
        <is>
          <t>디티씨</t>
        </is>
      </c>
      <c r="G1496" s="2" t="inlineStr">
        <is>
          <t>20260306000204</t>
        </is>
      </c>
      <c r="H1496" s="8">
        <f>HYPERLINK("https://dart.fss.or.kr/dsaf001/main.do?rcpNo=20260306000204", "공시열람")</f>
        <v/>
      </c>
    </row>
    <row r="1497">
      <c r="A1497" s="2" t="inlineStr">
        <is>
          <t>2026-03-06</t>
        </is>
      </c>
      <c r="B1497" s="3" t="inlineStr">
        <is>
          <t>IBKS제23호스팩</t>
        </is>
      </c>
      <c r="C1497" s="2" t="inlineStr">
        <is>
          <t>코스닥</t>
        </is>
      </c>
      <c r="D1497" s="2" t="inlineStr">
        <is>
          <t>467930</t>
        </is>
      </c>
      <c r="E1497" s="3" t="inlineStr">
        <is>
          <t xml:space="preserve">주주총회소집결의              </t>
        </is>
      </c>
      <c r="F1497" s="3" t="inlineStr">
        <is>
          <t>IBKS제23호스팩</t>
        </is>
      </c>
      <c r="G1497" s="2" t="inlineStr">
        <is>
          <t>20260306900369</t>
        </is>
      </c>
      <c r="H1497" s="8">
        <f>HYPERLINK("https://dart.fss.or.kr/dsaf001/main.do?rcpNo=20260306900369", "공시열람")</f>
        <v/>
      </c>
    </row>
    <row r="1498">
      <c r="A1498" s="2" t="inlineStr">
        <is>
          <t>2026-03-06</t>
        </is>
      </c>
      <c r="B1498" s="3" t="inlineStr">
        <is>
          <t>엘앤에프</t>
        </is>
      </c>
      <c r="C1498" s="2" t="inlineStr">
        <is>
          <t>코스피</t>
        </is>
      </c>
      <c r="D1498" s="2" t="inlineStr">
        <is>
          <t>066970</t>
        </is>
      </c>
      <c r="E1498" s="3" t="inlineStr">
        <is>
          <t>주주총회소집공고</t>
        </is>
      </c>
      <c r="F1498" s="3" t="inlineStr">
        <is>
          <t>엘앤에프</t>
        </is>
      </c>
      <c r="G1498" s="2" t="inlineStr">
        <is>
          <t>20260306000198</t>
        </is>
      </c>
      <c r="H1498" s="8">
        <f>HYPERLINK("https://dart.fss.or.kr/dsaf001/main.do?rcpNo=20260306000198", "공시열람")</f>
        <v/>
      </c>
    </row>
    <row r="1499">
      <c r="A1499" s="2" t="inlineStr">
        <is>
          <t>2026-03-06</t>
        </is>
      </c>
      <c r="B1499" s="3" t="inlineStr">
        <is>
          <t>넥스트바이오메디컬</t>
        </is>
      </c>
      <c r="C1499" s="2" t="inlineStr">
        <is>
          <t>코스닥</t>
        </is>
      </c>
      <c r="D1499" s="2" t="inlineStr">
        <is>
          <t>389650</t>
        </is>
      </c>
      <c r="E1499" s="3" t="inlineStr">
        <is>
          <t>주주총회소집공고</t>
        </is>
      </c>
      <c r="F1499" s="3" t="inlineStr">
        <is>
          <t>넥스트바이오메디컬</t>
        </is>
      </c>
      <c r="G1499" s="2" t="inlineStr">
        <is>
          <t>20260306000197</t>
        </is>
      </c>
      <c r="H1499" s="8">
        <f>HYPERLINK("https://dart.fss.or.kr/dsaf001/main.do?rcpNo=20260306000197", "공시열람")</f>
        <v/>
      </c>
    </row>
    <row r="1500">
      <c r="A1500" s="2" t="inlineStr">
        <is>
          <t>2026-03-06</t>
        </is>
      </c>
      <c r="B1500" s="3" t="inlineStr">
        <is>
          <t>한진중공업홀딩스</t>
        </is>
      </c>
      <c r="C1500" s="2" t="inlineStr">
        <is>
          <t>코스피</t>
        </is>
      </c>
      <c r="D1500" s="2" t="inlineStr">
        <is>
          <t>003480</t>
        </is>
      </c>
      <c r="E1500" s="3" t="inlineStr">
        <is>
          <t>주주총회소집공고</t>
        </is>
      </c>
      <c r="F1500" s="3" t="inlineStr">
        <is>
          <t>한진중공업홀딩스</t>
        </is>
      </c>
      <c r="G1500" s="2" t="inlineStr">
        <is>
          <t>20260306000195</t>
        </is>
      </c>
      <c r="H1500" s="8">
        <f>HYPERLINK("https://dart.fss.or.kr/dsaf001/main.do?rcpNo=20260306000195", "공시열람")</f>
        <v/>
      </c>
    </row>
    <row r="1501">
      <c r="A1501" s="2" t="inlineStr">
        <is>
          <t>2026-03-06</t>
        </is>
      </c>
      <c r="B1501" s="3" t="inlineStr">
        <is>
          <t>IBKS제25호스팩</t>
        </is>
      </c>
      <c r="C1501" s="2" t="inlineStr">
        <is>
          <t>코스닥</t>
        </is>
      </c>
      <c r="D1501" s="2" t="inlineStr">
        <is>
          <t>0099X0</t>
        </is>
      </c>
      <c r="E1501" s="3" t="inlineStr">
        <is>
          <t xml:space="preserve">주주총회소집결의              </t>
        </is>
      </c>
      <c r="F1501" s="3" t="inlineStr">
        <is>
          <t>IBKS제25호스팩</t>
        </is>
      </c>
      <c r="G1501" s="2" t="inlineStr">
        <is>
          <t>20260306900359</t>
        </is>
      </c>
      <c r="H1501" s="8">
        <f>HYPERLINK("https://dart.fss.or.kr/dsaf001/main.do?rcpNo=20260306900359", "공시열람")</f>
        <v/>
      </c>
    </row>
    <row r="1502">
      <c r="A1502" s="2" t="inlineStr">
        <is>
          <t>2026-03-06</t>
        </is>
      </c>
      <c r="B1502" s="3" t="inlineStr">
        <is>
          <t>RF머트리얼즈</t>
        </is>
      </c>
      <c r="C1502" s="2" t="inlineStr">
        <is>
          <t>코스닥</t>
        </is>
      </c>
      <c r="D1502" s="2" t="inlineStr">
        <is>
          <t>327260</t>
        </is>
      </c>
      <c r="E1502" s="3" t="inlineStr">
        <is>
          <t xml:space="preserve">주주총회소집결의              </t>
        </is>
      </c>
      <c r="F1502" s="3" t="inlineStr">
        <is>
          <t>RF머트리얼즈</t>
        </is>
      </c>
      <c r="G1502" s="2" t="inlineStr">
        <is>
          <t>20260306900348</t>
        </is>
      </c>
      <c r="H1502" s="8">
        <f>HYPERLINK("https://dart.fss.or.kr/dsaf001/main.do?rcpNo=20260306900348", "공시열람")</f>
        <v/>
      </c>
    </row>
    <row r="1503">
      <c r="A1503" s="2" t="inlineStr">
        <is>
          <t>2026-03-06</t>
        </is>
      </c>
      <c r="B1503" s="3" t="inlineStr">
        <is>
          <t>바이오플러스</t>
        </is>
      </c>
      <c r="C1503" s="2" t="inlineStr">
        <is>
          <t>코스닥</t>
        </is>
      </c>
      <c r="D1503" s="2" t="inlineStr">
        <is>
          <t>099430</t>
        </is>
      </c>
      <c r="E1503" s="3" t="inlineStr">
        <is>
          <t xml:space="preserve">주주총회집중일개최사유신고              </t>
        </is>
      </c>
      <c r="F1503" s="3" t="inlineStr">
        <is>
          <t>바이오플러스</t>
        </is>
      </c>
      <c r="G1503" s="2" t="inlineStr">
        <is>
          <t>20260306900338</t>
        </is>
      </c>
      <c r="H1503" s="8">
        <f>HYPERLINK("https://dart.fss.or.kr/dsaf001/main.do?rcpNo=20260306900338", "공시열람")</f>
        <v/>
      </c>
    </row>
    <row r="1504">
      <c r="A1504" s="2" t="inlineStr">
        <is>
          <t>2026-03-06</t>
        </is>
      </c>
      <c r="B1504" s="3" t="inlineStr">
        <is>
          <t>RFHIC</t>
        </is>
      </c>
      <c r="C1504" s="2" t="inlineStr">
        <is>
          <t>코스닥</t>
        </is>
      </c>
      <c r="D1504" s="2" t="inlineStr">
        <is>
          <t>218410</t>
        </is>
      </c>
      <c r="E1504" s="3" t="inlineStr">
        <is>
          <t xml:space="preserve">주주총회집중일개최사유신고              </t>
        </is>
      </c>
      <c r="F1504" s="3" t="inlineStr">
        <is>
          <t>RFHIC</t>
        </is>
      </c>
      <c r="G1504" s="2" t="inlineStr">
        <is>
          <t>20260306900334</t>
        </is>
      </c>
      <c r="H1504" s="8">
        <f>HYPERLINK("https://dart.fss.or.kr/dsaf001/main.do?rcpNo=20260306900334", "공시열람")</f>
        <v/>
      </c>
    </row>
    <row r="1505">
      <c r="A1505" s="2" t="inlineStr">
        <is>
          <t>2026-02-25 (정정: 2026-03-06)</t>
        </is>
      </c>
      <c r="B1505" s="3" t="inlineStr">
        <is>
          <t>파이오링크</t>
        </is>
      </c>
      <c r="C1505" s="2" t="inlineStr">
        <is>
          <t>코스닥</t>
        </is>
      </c>
      <c r="D1505" s="2" t="inlineStr">
        <is>
          <t>170790</t>
        </is>
      </c>
      <c r="E1505" s="3" t="inlineStr">
        <is>
          <t xml:space="preserve">[기재정정]주주총회소집결의              </t>
        </is>
      </c>
      <c r="F1505" s="3" t="inlineStr">
        <is>
          <t>파이오링크</t>
        </is>
      </c>
      <c r="G1505" s="2" t="inlineStr">
        <is>
          <t>20260306900331</t>
        </is>
      </c>
      <c r="H1505" s="8">
        <f>HYPERLINK("https://dart.fss.or.kr/dsaf001/main.do?rcpNo=20260306900331", "공시열람")</f>
        <v/>
      </c>
    </row>
    <row r="1506">
      <c r="A1506" s="2" t="inlineStr">
        <is>
          <t>2026-03-06</t>
        </is>
      </c>
      <c r="B1506" s="3" t="inlineStr">
        <is>
          <t>바이오플러스</t>
        </is>
      </c>
      <c r="C1506" s="2" t="inlineStr">
        <is>
          <t>코스닥</t>
        </is>
      </c>
      <c r="D1506" s="2" t="inlineStr">
        <is>
          <t>099430</t>
        </is>
      </c>
      <c r="E1506" s="3" t="inlineStr">
        <is>
          <t xml:space="preserve">주주총회소집결의              </t>
        </is>
      </c>
      <c r="F1506" s="3" t="inlineStr">
        <is>
          <t>바이오플러스</t>
        </is>
      </c>
      <c r="G1506" s="2" t="inlineStr">
        <is>
          <t>20260306900326</t>
        </is>
      </c>
      <c r="H1506" s="8">
        <f>HYPERLINK("https://dart.fss.or.kr/dsaf001/main.do?rcpNo=20260306900326", "공시열람")</f>
        <v/>
      </c>
    </row>
    <row r="1507">
      <c r="A1507" s="2" t="inlineStr">
        <is>
          <t>2026-03-06</t>
        </is>
      </c>
      <c r="B1507" s="3" t="inlineStr">
        <is>
          <t>엔에프씨</t>
        </is>
      </c>
      <c r="C1507" s="2" t="inlineStr">
        <is>
          <t>코스닥</t>
        </is>
      </c>
      <c r="D1507" s="2" t="inlineStr">
        <is>
          <t>265740</t>
        </is>
      </c>
      <c r="E1507" s="3" t="inlineStr">
        <is>
          <t>주주총회소집공고</t>
        </is>
      </c>
      <c r="F1507" s="3" t="inlineStr">
        <is>
          <t>엔에프씨</t>
        </is>
      </c>
      <c r="G1507" s="2" t="inlineStr">
        <is>
          <t>20260306000146</t>
        </is>
      </c>
      <c r="H1507" s="8">
        <f>HYPERLINK("https://dart.fss.or.kr/dsaf001/main.do?rcpNo=20260306000146", "공시열람")</f>
        <v/>
      </c>
    </row>
    <row r="1508">
      <c r="A1508" s="2" t="inlineStr">
        <is>
          <t>2026-03-06 (정정: 2026-03-10)</t>
        </is>
      </c>
      <c r="B1508" s="3" t="inlineStr">
        <is>
          <t>RFHIC</t>
        </is>
      </c>
      <c r="C1508" s="2" t="inlineStr">
        <is>
          <t>코스닥</t>
        </is>
      </c>
      <c r="D1508" s="2" t="inlineStr">
        <is>
          <t>218410</t>
        </is>
      </c>
      <c r="E1508" s="3" t="inlineStr">
        <is>
          <t>주주총회소집결의               (정정: 20260310)</t>
        </is>
      </c>
      <c r="F1508" s="3" t="inlineStr">
        <is>
          <t>RFHIC</t>
        </is>
      </c>
      <c r="G1508" s="2" t="inlineStr">
        <is>
          <t>20260310002911</t>
        </is>
      </c>
      <c r="H1508" s="8">
        <f>HYPERLINK("https://dart.fss.or.kr/dsaf001/main.do?rcpNo=20260310002911", "공시열람")</f>
        <v/>
      </c>
    </row>
    <row r="1509">
      <c r="A1509" s="2" t="inlineStr">
        <is>
          <t>2026-03-06</t>
        </is>
      </c>
      <c r="B1509" s="3" t="inlineStr">
        <is>
          <t>샘표</t>
        </is>
      </c>
      <c r="C1509" s="2" t="inlineStr">
        <is>
          <t>코스피</t>
        </is>
      </c>
      <c r="D1509" s="2" t="inlineStr">
        <is>
          <t>007540</t>
        </is>
      </c>
      <c r="E1509" s="3" t="inlineStr">
        <is>
          <t>주주총회소집공고</t>
        </is>
      </c>
      <c r="F1509" s="3" t="inlineStr">
        <is>
          <t>샘표</t>
        </is>
      </c>
      <c r="G1509" s="2" t="inlineStr">
        <is>
          <t>20260306000142</t>
        </is>
      </c>
      <c r="H1509" s="8">
        <f>HYPERLINK("https://dart.fss.or.kr/dsaf001/main.do?rcpNo=20260306000142", "공시열람")</f>
        <v/>
      </c>
    </row>
    <row r="1510">
      <c r="A1510" s="2" t="inlineStr">
        <is>
          <t>2026-03-06</t>
        </is>
      </c>
      <c r="B1510" s="3" t="inlineStr">
        <is>
          <t>진성티이씨</t>
        </is>
      </c>
      <c r="C1510" s="2" t="inlineStr">
        <is>
          <t>코스닥</t>
        </is>
      </c>
      <c r="D1510" s="2" t="inlineStr">
        <is>
          <t>036890</t>
        </is>
      </c>
      <c r="E1510" s="3" t="inlineStr">
        <is>
          <t xml:space="preserve">주주총회소집결의              </t>
        </is>
      </c>
      <c r="F1510" s="3" t="inlineStr">
        <is>
          <t>진성티이씨</t>
        </is>
      </c>
      <c r="G1510" s="2" t="inlineStr">
        <is>
          <t>20260306900300</t>
        </is>
      </c>
      <c r="H1510" s="8">
        <f>HYPERLINK("https://dart.fss.or.kr/dsaf001/main.do?rcpNo=20260306900300", "공시열람")</f>
        <v/>
      </c>
    </row>
    <row r="1511">
      <c r="A1511" s="2" t="inlineStr">
        <is>
          <t>2026-03-06</t>
        </is>
      </c>
      <c r="B1511" s="3" t="inlineStr">
        <is>
          <t>엔에프씨</t>
        </is>
      </c>
      <c r="C1511" s="2" t="inlineStr">
        <is>
          <t>코스닥</t>
        </is>
      </c>
      <c r="D1511" s="2" t="inlineStr">
        <is>
          <t>265740</t>
        </is>
      </c>
      <c r="E1511" s="3" t="inlineStr">
        <is>
          <t xml:space="preserve">주주총회소집결의              </t>
        </is>
      </c>
      <c r="F1511" s="3" t="inlineStr">
        <is>
          <t>엔에프씨</t>
        </is>
      </c>
      <c r="G1511" s="2" t="inlineStr">
        <is>
          <t>20260306900252</t>
        </is>
      </c>
      <c r="H1511" s="8">
        <f>HYPERLINK("https://dart.fss.or.kr/dsaf001/main.do?rcpNo=20260306900252", "공시열람")</f>
        <v/>
      </c>
    </row>
    <row r="1512">
      <c r="A1512" s="2" t="inlineStr">
        <is>
          <t>2026-03-06</t>
        </is>
      </c>
      <c r="B1512" s="3" t="inlineStr">
        <is>
          <t>원풍</t>
        </is>
      </c>
      <c r="C1512" s="2" t="inlineStr">
        <is>
          <t>코스닥</t>
        </is>
      </c>
      <c r="D1512" s="2" t="inlineStr">
        <is>
          <t>008370</t>
        </is>
      </c>
      <c r="E1512" s="3" t="inlineStr">
        <is>
          <t>주주총회소집공고</t>
        </is>
      </c>
      <c r="F1512" s="3" t="inlineStr">
        <is>
          <t>원풍</t>
        </is>
      </c>
      <c r="G1512" s="2" t="inlineStr">
        <is>
          <t>20260306000134</t>
        </is>
      </c>
      <c r="H1512" s="8">
        <f>HYPERLINK("https://dart.fss.or.kr/dsaf001/main.do?rcpNo=20260306000134", "공시열람")</f>
        <v/>
      </c>
    </row>
    <row r="1513">
      <c r="A1513" s="2" t="inlineStr">
        <is>
          <t>2026-03-06</t>
        </is>
      </c>
      <c r="B1513" s="3" t="inlineStr">
        <is>
          <t>본시스템즈</t>
        </is>
      </c>
      <c r="C1513" s="2" t="inlineStr">
        <is>
          <t>코넥스</t>
        </is>
      </c>
      <c r="D1513" s="2" t="inlineStr">
        <is>
          <t>496320</t>
        </is>
      </c>
      <c r="E1513" s="3" t="inlineStr">
        <is>
          <t>주주총회소집공고</t>
        </is>
      </c>
      <c r="F1513" s="3" t="inlineStr">
        <is>
          <t>본시스템즈</t>
        </is>
      </c>
      <c r="G1513" s="2" t="inlineStr">
        <is>
          <t>20260306000130</t>
        </is>
      </c>
      <c r="H1513" s="8">
        <f>HYPERLINK("https://dart.fss.or.kr/dsaf001/main.do?rcpNo=20260306000130", "공시열람")</f>
        <v/>
      </c>
    </row>
    <row r="1514">
      <c r="A1514" s="2" t="inlineStr">
        <is>
          <t>2026-03-06</t>
        </is>
      </c>
      <c r="B1514" s="3" t="inlineStr">
        <is>
          <t>키움제10호스팩</t>
        </is>
      </c>
      <c r="C1514" s="2" t="inlineStr">
        <is>
          <t>코스닥</t>
        </is>
      </c>
      <c r="D1514" s="2" t="inlineStr">
        <is>
          <t>487720</t>
        </is>
      </c>
      <c r="E1514" s="3" t="inlineStr">
        <is>
          <t xml:space="preserve">주주총회집중일개최사유신고              </t>
        </is>
      </c>
      <c r="F1514" s="3" t="inlineStr">
        <is>
          <t>키움제10호스팩</t>
        </is>
      </c>
      <c r="G1514" s="2" t="inlineStr">
        <is>
          <t>20260306900194</t>
        </is>
      </c>
      <c r="H1514" s="8">
        <f>HYPERLINK("https://dart.fss.or.kr/dsaf001/main.do?rcpNo=20260306900194", "공시열람")</f>
        <v/>
      </c>
    </row>
    <row r="1515">
      <c r="A1515" s="2" t="inlineStr">
        <is>
          <t>2026-03-06</t>
        </is>
      </c>
      <c r="B1515" s="3" t="inlineStr">
        <is>
          <t>성우테크론</t>
        </is>
      </c>
      <c r="C1515" s="2" t="inlineStr">
        <is>
          <t>코스닥</t>
        </is>
      </c>
      <c r="D1515" s="2" t="inlineStr">
        <is>
          <t>045300</t>
        </is>
      </c>
      <c r="E1515" s="3" t="inlineStr">
        <is>
          <t>주주총회소집공고</t>
        </is>
      </c>
      <c r="F1515" s="3" t="inlineStr">
        <is>
          <t>성우테크론</t>
        </is>
      </c>
      <c r="G1515" s="2" t="inlineStr">
        <is>
          <t>20260306000115</t>
        </is>
      </c>
      <c r="H1515" s="8">
        <f>HYPERLINK("https://dart.fss.or.kr/dsaf001/main.do?rcpNo=20260306000115", "공시열람")</f>
        <v/>
      </c>
    </row>
    <row r="1516">
      <c r="A1516" s="2" t="inlineStr">
        <is>
          <t>2026-03-06</t>
        </is>
      </c>
      <c r="B1516" s="3" t="inlineStr">
        <is>
          <t>한국큐빅</t>
        </is>
      </c>
      <c r="C1516" s="2" t="inlineStr">
        <is>
          <t>코스닥</t>
        </is>
      </c>
      <c r="D1516" s="2" t="inlineStr">
        <is>
          <t>021650</t>
        </is>
      </c>
      <c r="E1516" s="3" t="inlineStr">
        <is>
          <t>주주총회소집공고</t>
        </is>
      </c>
      <c r="F1516" s="3" t="inlineStr">
        <is>
          <t>한국큐빅</t>
        </is>
      </c>
      <c r="G1516" s="2" t="inlineStr">
        <is>
          <t>20260306000107</t>
        </is>
      </c>
      <c r="H1516" s="8">
        <f>HYPERLINK("https://dart.fss.or.kr/dsaf001/main.do?rcpNo=20260306000107", "공시열람")</f>
        <v/>
      </c>
    </row>
    <row r="1517">
      <c r="A1517" s="2" t="inlineStr">
        <is>
          <t>2026-03-06</t>
        </is>
      </c>
      <c r="B1517" s="3" t="inlineStr">
        <is>
          <t>유안타제16호스팩</t>
        </is>
      </c>
      <c r="C1517" s="2" t="inlineStr">
        <is>
          <t>코스닥</t>
        </is>
      </c>
      <c r="D1517" s="2" t="inlineStr">
        <is>
          <t>474490</t>
        </is>
      </c>
      <c r="E1517" s="3" t="inlineStr">
        <is>
          <t xml:space="preserve">주주총회집중일개최사유신고              </t>
        </is>
      </c>
      <c r="F1517" s="3" t="inlineStr">
        <is>
          <t>유안타제16호스팩</t>
        </is>
      </c>
      <c r="G1517" s="2" t="inlineStr">
        <is>
          <t>20260306900240</t>
        </is>
      </c>
      <c r="H1517" s="8">
        <f>HYPERLINK("https://dart.fss.or.kr/dsaf001/main.do?rcpNo=20260306900240", "공시열람")</f>
        <v/>
      </c>
    </row>
    <row r="1518">
      <c r="A1518" s="2" t="inlineStr">
        <is>
          <t>2026-03-06</t>
        </is>
      </c>
      <c r="B1518" s="3" t="inlineStr">
        <is>
          <t>NICE평가정보</t>
        </is>
      </c>
      <c r="C1518" s="2" t="inlineStr">
        <is>
          <t>코스피</t>
        </is>
      </c>
      <c r="D1518" s="2" t="inlineStr">
        <is>
          <t>030190</t>
        </is>
      </c>
      <c r="E1518" s="3" t="inlineStr">
        <is>
          <t>주주총회소집공고</t>
        </is>
      </c>
      <c r="F1518" s="3" t="inlineStr">
        <is>
          <t>NICE평가정보</t>
        </is>
      </c>
      <c r="G1518" s="2" t="inlineStr">
        <is>
          <t>20260306000091</t>
        </is>
      </c>
      <c r="H1518" s="8">
        <f>HYPERLINK("https://dart.fss.or.kr/dsaf001/main.do?rcpNo=20260306000091", "공시열람")</f>
        <v/>
      </c>
    </row>
    <row r="1519">
      <c r="A1519" s="2" t="inlineStr">
        <is>
          <t>2026-03-06</t>
        </is>
      </c>
      <c r="B1519" s="3" t="inlineStr">
        <is>
          <t>강남제비스코</t>
        </is>
      </c>
      <c r="C1519" s="2" t="inlineStr">
        <is>
          <t>코스피</t>
        </is>
      </c>
      <c r="D1519" s="2" t="inlineStr">
        <is>
          <t>000860</t>
        </is>
      </c>
      <c r="E1519" s="3" t="inlineStr">
        <is>
          <t>주주총회소집공고</t>
        </is>
      </c>
      <c r="F1519" s="3" t="inlineStr">
        <is>
          <t>강남제비스코</t>
        </is>
      </c>
      <c r="G1519" s="2" t="inlineStr">
        <is>
          <t>20260306000088</t>
        </is>
      </c>
      <c r="H1519" s="8">
        <f>HYPERLINK("https://dart.fss.or.kr/dsaf001/main.do?rcpNo=20260306000088", "공시열람")</f>
        <v/>
      </c>
    </row>
    <row r="1520">
      <c r="A1520" s="2" t="inlineStr">
        <is>
          <t>2026-03-06</t>
        </is>
      </c>
      <c r="B1520" s="3" t="inlineStr">
        <is>
          <t>샌즈랩</t>
        </is>
      </c>
      <c r="C1520" s="2" t="inlineStr">
        <is>
          <t>코스닥</t>
        </is>
      </c>
      <c r="D1520" s="2" t="inlineStr">
        <is>
          <t>411080</t>
        </is>
      </c>
      <c r="E1520" s="3" t="inlineStr">
        <is>
          <t>주주총회소집공고</t>
        </is>
      </c>
      <c r="F1520" s="3" t="inlineStr">
        <is>
          <t>샌즈랩</t>
        </is>
      </c>
      <c r="G1520" s="2" t="inlineStr">
        <is>
          <t>20260306000082</t>
        </is>
      </c>
      <c r="H1520" s="8">
        <f>HYPERLINK("https://dart.fss.or.kr/dsaf001/main.do?rcpNo=20260306000082", "공시열람")</f>
        <v/>
      </c>
    </row>
    <row r="1521">
      <c r="A1521" s="2" t="inlineStr">
        <is>
          <t>2026-03-06</t>
        </is>
      </c>
      <c r="B1521" s="3" t="inlineStr">
        <is>
          <t>현우산업</t>
        </is>
      </c>
      <c r="C1521" s="2" t="inlineStr">
        <is>
          <t>코스닥</t>
        </is>
      </c>
      <c r="D1521" s="2" t="inlineStr">
        <is>
          <t>092300</t>
        </is>
      </c>
      <c r="E1521" s="3" t="inlineStr">
        <is>
          <t>주주총회소집공고</t>
        </is>
      </c>
      <c r="F1521" s="3" t="inlineStr">
        <is>
          <t>현우산업</t>
        </is>
      </c>
      <c r="G1521" s="2" t="inlineStr">
        <is>
          <t>20260306000081</t>
        </is>
      </c>
      <c r="H1521" s="8">
        <f>HYPERLINK("https://dart.fss.or.kr/dsaf001/main.do?rcpNo=20260306000081", "공시열람")</f>
        <v/>
      </c>
    </row>
    <row r="1522">
      <c r="A1522" s="2" t="inlineStr">
        <is>
          <t>2026-03-06</t>
        </is>
      </c>
      <c r="B1522" s="3" t="inlineStr">
        <is>
          <t>오로스테크놀로지</t>
        </is>
      </c>
      <c r="C1522" s="2" t="inlineStr">
        <is>
          <t>코스닥</t>
        </is>
      </c>
      <c r="D1522" s="2" t="inlineStr">
        <is>
          <t>322310</t>
        </is>
      </c>
      <c r="E1522" s="3" t="inlineStr">
        <is>
          <t>주주총회소집공고</t>
        </is>
      </c>
      <c r="F1522" s="3" t="inlineStr">
        <is>
          <t>오로스테크놀로지</t>
        </is>
      </c>
      <c r="G1522" s="2" t="inlineStr">
        <is>
          <t>20260306000079</t>
        </is>
      </c>
      <c r="H1522" s="8">
        <f>HYPERLINK("https://dart.fss.or.kr/dsaf001/main.do?rcpNo=20260306000079", "공시열람")</f>
        <v/>
      </c>
    </row>
    <row r="1523">
      <c r="A1523" s="2" t="inlineStr">
        <is>
          <t>2026-03-06</t>
        </is>
      </c>
      <c r="B1523" s="3" t="inlineStr">
        <is>
          <t>SK증권제11호스팩</t>
        </is>
      </c>
      <c r="C1523" s="2" t="inlineStr">
        <is>
          <t>코스닥</t>
        </is>
      </c>
      <c r="D1523" s="2" t="inlineStr">
        <is>
          <t>472230</t>
        </is>
      </c>
      <c r="E1523" s="3" t="inlineStr">
        <is>
          <t xml:space="preserve">주주총회소집결의              </t>
        </is>
      </c>
      <c r="F1523" s="3" t="inlineStr">
        <is>
          <t>SK증권제11호스팩</t>
        </is>
      </c>
      <c r="G1523" s="2" t="inlineStr">
        <is>
          <t>20260306900215</t>
        </is>
      </c>
      <c r="H1523" s="8">
        <f>HYPERLINK("https://dart.fss.or.kr/dsaf001/main.do?rcpNo=20260306900215", "공시열람")</f>
        <v/>
      </c>
    </row>
    <row r="1524">
      <c r="A1524" s="2" t="inlineStr">
        <is>
          <t>2026-03-06</t>
        </is>
      </c>
      <c r="B1524" s="3" t="inlineStr">
        <is>
          <t>씨앤에스링크</t>
        </is>
      </c>
      <c r="C1524" s="2" t="inlineStr">
        <is>
          <t>코넥스</t>
        </is>
      </c>
      <c r="D1524" s="2" t="inlineStr">
        <is>
          <t>245450</t>
        </is>
      </c>
      <c r="E1524" s="3" t="inlineStr">
        <is>
          <t>주주총회소집공고</t>
        </is>
      </c>
      <c r="F1524" s="3" t="inlineStr">
        <is>
          <t>씨앤에스링크</t>
        </is>
      </c>
      <c r="G1524" s="2" t="inlineStr">
        <is>
          <t>20260306000068</t>
        </is>
      </c>
      <c r="H1524" s="8">
        <f>HYPERLINK("https://dart.fss.or.kr/dsaf001/main.do?rcpNo=20260306000068", "공시열람")</f>
        <v/>
      </c>
    </row>
    <row r="1525">
      <c r="A1525" s="2" t="inlineStr">
        <is>
          <t>2026-03-06</t>
        </is>
      </c>
      <c r="B1525" s="3" t="inlineStr">
        <is>
          <t>모다이노칩</t>
        </is>
      </c>
      <c r="C1525" s="2" t="inlineStr">
        <is>
          <t>코스닥</t>
        </is>
      </c>
      <c r="D1525" s="2" t="inlineStr">
        <is>
          <t>080420</t>
        </is>
      </c>
      <c r="E1525" s="3" t="inlineStr">
        <is>
          <t>주주총회소집공고</t>
        </is>
      </c>
      <c r="F1525" s="3" t="inlineStr">
        <is>
          <t>모다이노칩</t>
        </is>
      </c>
      <c r="G1525" s="2" t="inlineStr">
        <is>
          <t>20260306000058</t>
        </is>
      </c>
      <c r="H1525" s="8">
        <f>HYPERLINK("https://dart.fss.or.kr/dsaf001/main.do?rcpNo=20260306000058", "공시열람")</f>
        <v/>
      </c>
    </row>
    <row r="1526">
      <c r="A1526" s="2" t="inlineStr">
        <is>
          <t>2026-03-06</t>
        </is>
      </c>
      <c r="B1526" s="3" t="inlineStr">
        <is>
          <t>부산산업</t>
        </is>
      </c>
      <c r="C1526" s="2" t="inlineStr">
        <is>
          <t>코스피</t>
        </is>
      </c>
      <c r="D1526" s="2" t="inlineStr">
        <is>
          <t>011390</t>
        </is>
      </c>
      <c r="E1526" s="3" t="inlineStr">
        <is>
          <t xml:space="preserve">주주총회집중일개최사유신고              </t>
        </is>
      </c>
      <c r="F1526" s="3" t="inlineStr">
        <is>
          <t>부산산업</t>
        </is>
      </c>
      <c r="G1526" s="2" t="inlineStr">
        <is>
          <t>20260306800191</t>
        </is>
      </c>
      <c r="H1526" s="8">
        <f>HYPERLINK("https://dart.fss.or.kr/dsaf001/main.do?rcpNo=20260306800191", "공시열람")</f>
        <v/>
      </c>
    </row>
    <row r="1527">
      <c r="A1527" s="2" t="inlineStr">
        <is>
          <t>2026-03-06</t>
        </is>
      </c>
      <c r="B1527" s="3" t="inlineStr">
        <is>
          <t>샘표식품</t>
        </is>
      </c>
      <c r="C1527" s="2" t="inlineStr">
        <is>
          <t>코스피</t>
        </is>
      </c>
      <c r="D1527" s="2" t="inlineStr">
        <is>
          <t>248170</t>
        </is>
      </c>
      <c r="E1527" s="3" t="inlineStr">
        <is>
          <t>주주총회소집공고</t>
        </is>
      </c>
      <c r="F1527" s="3" t="inlineStr">
        <is>
          <t>샘표식품</t>
        </is>
      </c>
      <c r="G1527" s="2" t="inlineStr">
        <is>
          <t>20260306000042</t>
        </is>
      </c>
      <c r="H1527" s="8">
        <f>HYPERLINK("https://dart.fss.or.kr/dsaf001/main.do?rcpNo=20260306000042", "공시열람")</f>
        <v/>
      </c>
    </row>
    <row r="1528">
      <c r="A1528" s="2" t="inlineStr">
        <is>
          <t>2026-03-06</t>
        </is>
      </c>
      <c r="B1528" s="3" t="inlineStr">
        <is>
          <t>부산산업</t>
        </is>
      </c>
      <c r="C1528" s="2" t="inlineStr">
        <is>
          <t>코스피</t>
        </is>
      </c>
      <c r="D1528" s="2" t="inlineStr">
        <is>
          <t>011390</t>
        </is>
      </c>
      <c r="E1528" s="3" t="inlineStr">
        <is>
          <t>주주총회소집공고</t>
        </is>
      </c>
      <c r="F1528" s="3" t="inlineStr">
        <is>
          <t>부산산업</t>
        </is>
      </c>
      <c r="G1528" s="2" t="inlineStr">
        <is>
          <t>20260306000027</t>
        </is>
      </c>
      <c r="H1528" s="8">
        <f>HYPERLINK("https://dart.fss.or.kr/dsaf001/main.do?rcpNo=20260306000027", "공시열람")</f>
        <v/>
      </c>
    </row>
    <row r="1529">
      <c r="A1529" s="2" t="inlineStr">
        <is>
          <t>2026-03-06</t>
        </is>
      </c>
      <c r="B1529" s="3" t="inlineStr">
        <is>
          <t>키움제10호스팩</t>
        </is>
      </c>
      <c r="C1529" s="2" t="inlineStr">
        <is>
          <t>코스닥</t>
        </is>
      </c>
      <c r="D1529" s="2" t="inlineStr">
        <is>
          <t>487720</t>
        </is>
      </c>
      <c r="E1529" s="3" t="inlineStr">
        <is>
          <t>주주총회소집공고</t>
        </is>
      </c>
      <c r="F1529" s="3" t="inlineStr">
        <is>
          <t>키움제10호스팩</t>
        </is>
      </c>
      <c r="G1529" s="2" t="inlineStr">
        <is>
          <t>20260306000020</t>
        </is>
      </c>
      <c r="H1529" s="8">
        <f>HYPERLINK("https://dart.fss.or.kr/dsaf001/main.do?rcpNo=20260306000020", "공시열람")</f>
        <v/>
      </c>
    </row>
    <row r="1530">
      <c r="A1530" s="2" t="inlineStr">
        <is>
          <t>2026-03-06</t>
        </is>
      </c>
      <c r="B1530" s="3" t="inlineStr">
        <is>
          <t>HLB이노베이션</t>
        </is>
      </c>
      <c r="C1530" s="2" t="inlineStr">
        <is>
          <t>코스닥</t>
        </is>
      </c>
      <c r="D1530" s="2" t="inlineStr">
        <is>
          <t>024850</t>
        </is>
      </c>
      <c r="E1530" s="3" t="inlineStr">
        <is>
          <t>주주총회소집공고</t>
        </is>
      </c>
      <c r="F1530" s="3" t="inlineStr">
        <is>
          <t>HLB이노베이션</t>
        </is>
      </c>
      <c r="G1530" s="2" t="inlineStr">
        <is>
          <t>20260305001658</t>
        </is>
      </c>
      <c r="H1530" s="8">
        <f>HYPERLINK("https://dart.fss.or.kr/dsaf001/main.do?rcpNo=20260305001658", "공시열람")</f>
        <v/>
      </c>
    </row>
    <row r="1531">
      <c r="A1531" s="2" t="inlineStr">
        <is>
          <t>2026-03-06</t>
        </is>
      </c>
      <c r="B1531" s="3" t="inlineStr">
        <is>
          <t>크레버스</t>
        </is>
      </c>
      <c r="C1531" s="2" t="inlineStr">
        <is>
          <t>코스닥</t>
        </is>
      </c>
      <c r="D1531" s="2" t="inlineStr">
        <is>
          <t>096240</t>
        </is>
      </c>
      <c r="E1531" s="3" t="inlineStr">
        <is>
          <t>주주총회소집공고</t>
        </is>
      </c>
      <c r="F1531" s="3" t="inlineStr">
        <is>
          <t>크레버스</t>
        </is>
      </c>
      <c r="G1531" s="2" t="inlineStr">
        <is>
          <t>20260305001650</t>
        </is>
      </c>
      <c r="H1531" s="8">
        <f>HYPERLINK("https://dart.fss.or.kr/dsaf001/main.do?rcpNo=20260305001650", "공시열람")</f>
        <v/>
      </c>
    </row>
    <row r="1532">
      <c r="A1532" s="2" t="inlineStr">
        <is>
          <t>2026-03-06</t>
        </is>
      </c>
      <c r="B1532" s="3" t="inlineStr">
        <is>
          <t>HEM파마</t>
        </is>
      </c>
      <c r="C1532" s="2" t="inlineStr">
        <is>
          <t>코스닥</t>
        </is>
      </c>
      <c r="D1532" s="2" t="inlineStr">
        <is>
          <t>376270</t>
        </is>
      </c>
      <c r="E1532" s="3" t="inlineStr">
        <is>
          <t>주요사항보고서(회사분할결정)</t>
        </is>
      </c>
      <c r="F1532" s="3" t="inlineStr">
        <is>
          <t>HEM파마</t>
        </is>
      </c>
      <c r="G1532" s="2" t="inlineStr">
        <is>
          <t>20260305001672</t>
        </is>
      </c>
      <c r="H1532" s="8">
        <f>HYPERLINK("https://dart.fss.or.kr/dsaf001/main.do?rcpNo=20260305001672", "공시열람")</f>
        <v/>
      </c>
    </row>
    <row r="1533">
      <c r="A1533" s="2" t="inlineStr">
        <is>
          <t>2026-03-09 (정정: 2026-03-09)</t>
        </is>
      </c>
      <c r="B1533" s="3" t="inlineStr">
        <is>
          <t>에코마케팅</t>
        </is>
      </c>
      <c r="C1533" s="2" t="inlineStr">
        <is>
          <t>코스닥</t>
        </is>
      </c>
      <c r="D1533" s="2" t="inlineStr">
        <is>
          <t>230360</t>
        </is>
      </c>
      <c r="E1533" s="3" t="inlineStr">
        <is>
          <t>최대주주변경을수반하는주식담보제공계약해제ㆍ취소등               (정정: 20260309)</t>
        </is>
      </c>
      <c r="F1533" s="3" t="inlineStr">
        <is>
          <t>에코마케팅</t>
        </is>
      </c>
      <c r="G1533" s="2" t="inlineStr">
        <is>
          <t>20260309901662</t>
        </is>
      </c>
      <c r="H1533" s="8">
        <f>HYPERLINK("https://dart.fss.or.kr/dsaf001/main.do?rcpNo=20260309901662", "공시열람")</f>
        <v/>
      </c>
    </row>
    <row r="1534">
      <c r="A1534" s="2" t="inlineStr">
        <is>
          <t>2026-03-09</t>
        </is>
      </c>
      <c r="B1534" s="3" t="inlineStr">
        <is>
          <t>에코마케팅</t>
        </is>
      </c>
      <c r="C1534" s="2" t="inlineStr">
        <is>
          <t>코스닥</t>
        </is>
      </c>
      <c r="D1534" s="2" t="inlineStr">
        <is>
          <t>230360</t>
        </is>
      </c>
      <c r="E1534" s="3" t="inlineStr">
        <is>
          <t xml:space="preserve">임시주주총회결과              </t>
        </is>
      </c>
      <c r="F1534" s="3" t="inlineStr">
        <is>
          <t>에코마케팅</t>
        </is>
      </c>
      <c r="G1534" s="2" t="inlineStr">
        <is>
          <t>20260309901661</t>
        </is>
      </c>
      <c r="H1534" s="8">
        <f>HYPERLINK("https://dart.fss.or.kr/dsaf001/main.do?rcpNo=20260309901661", "공시열람")</f>
        <v/>
      </c>
    </row>
    <row r="1535">
      <c r="A1535" s="2" t="inlineStr">
        <is>
          <t>2026-03-09</t>
        </is>
      </c>
      <c r="B1535" s="3" t="inlineStr">
        <is>
          <t>에코마케팅</t>
        </is>
      </c>
      <c r="C1535" s="2" t="inlineStr">
        <is>
          <t>코스닥</t>
        </is>
      </c>
      <c r="D1535" s="2" t="inlineStr">
        <is>
          <t>230360</t>
        </is>
      </c>
      <c r="E1535" s="3" t="inlineStr">
        <is>
          <t xml:space="preserve">최대주주변경              </t>
        </is>
      </c>
      <c r="F1535" s="3" t="inlineStr">
        <is>
          <t>에코마케팅</t>
        </is>
      </c>
      <c r="G1535" s="2" t="inlineStr">
        <is>
          <t>20260309901614</t>
        </is>
      </c>
      <c r="H1535" s="8">
        <f>HYPERLINK("https://dart.fss.or.kr/dsaf001/main.do?rcpNo=20260309901614", "공시열람")</f>
        <v/>
      </c>
    </row>
    <row r="1536">
      <c r="A1536" s="2" t="inlineStr">
        <is>
          <t>2026-03-09</t>
        </is>
      </c>
      <c r="B1536" s="3" t="inlineStr">
        <is>
          <t>알티캐스트</t>
        </is>
      </c>
      <c r="C1536" s="2" t="inlineStr">
        <is>
          <t>코스닥</t>
        </is>
      </c>
      <c r="D1536" s="2" t="inlineStr">
        <is>
          <t>085810</t>
        </is>
      </c>
      <c r="E1536" s="3" t="inlineStr">
        <is>
          <t xml:space="preserve">주주총회소집결의              </t>
        </is>
      </c>
      <c r="F1536" s="3" t="inlineStr">
        <is>
          <t>알티캐스트</t>
        </is>
      </c>
      <c r="G1536" s="2" t="inlineStr">
        <is>
          <t>20260309901613</t>
        </is>
      </c>
      <c r="H1536" s="8">
        <f>HYPERLINK("https://dart.fss.or.kr/dsaf001/main.do?rcpNo=20260309901613", "공시열람")</f>
        <v/>
      </c>
    </row>
    <row r="1537">
      <c r="A1537" s="2" t="inlineStr">
        <is>
          <t>2026-03-09</t>
        </is>
      </c>
      <c r="B1537" s="3" t="inlineStr">
        <is>
          <t>삼성공조</t>
        </is>
      </c>
      <c r="C1537" s="2" t="inlineStr">
        <is>
          <t>코스피</t>
        </is>
      </c>
      <c r="D1537" s="2" t="inlineStr">
        <is>
          <t>006660</t>
        </is>
      </c>
      <c r="E1537" s="3" t="inlineStr">
        <is>
          <t xml:space="preserve">주주총회소집결의              </t>
        </is>
      </c>
      <c r="F1537" s="3" t="inlineStr">
        <is>
          <t>삼성공조</t>
        </is>
      </c>
      <c r="G1537" s="2" t="inlineStr">
        <is>
          <t>20260309801519</t>
        </is>
      </c>
      <c r="H1537" s="8">
        <f>HYPERLINK("https://dart.fss.or.kr/dsaf001/main.do?rcpNo=20260309801519", "공시열람")</f>
        <v/>
      </c>
    </row>
    <row r="1538">
      <c r="A1538" s="2" t="inlineStr">
        <is>
          <t>2026-03-09</t>
        </is>
      </c>
      <c r="B1538" s="3" t="inlineStr">
        <is>
          <t>디지캡</t>
        </is>
      </c>
      <c r="C1538" s="2" t="inlineStr">
        <is>
          <t>코스닥</t>
        </is>
      </c>
      <c r="D1538" s="2" t="inlineStr">
        <is>
          <t>197140</t>
        </is>
      </c>
      <c r="E1538" s="3" t="inlineStr">
        <is>
          <t xml:space="preserve">주주총회소집결의              </t>
        </is>
      </c>
      <c r="F1538" s="3" t="inlineStr">
        <is>
          <t>디지캡</t>
        </is>
      </c>
      <c r="G1538" s="2" t="inlineStr">
        <is>
          <t>20260309901451</t>
        </is>
      </c>
      <c r="H1538" s="8">
        <f>HYPERLINK("https://dart.fss.or.kr/dsaf001/main.do?rcpNo=20260309901451", "공시열람")</f>
        <v/>
      </c>
    </row>
    <row r="1539">
      <c r="A1539" s="2" t="inlineStr">
        <is>
          <t>2026-03-09</t>
        </is>
      </c>
      <c r="B1539" s="3" t="inlineStr">
        <is>
          <t>리메드</t>
        </is>
      </c>
      <c r="C1539" s="2" t="inlineStr">
        <is>
          <t>코스닥</t>
        </is>
      </c>
      <c r="D1539" s="2" t="inlineStr">
        <is>
          <t>302550</t>
        </is>
      </c>
      <c r="E1539" s="3" t="inlineStr">
        <is>
          <t xml:space="preserve">주주총회소집결의              </t>
        </is>
      </c>
      <c r="F1539" s="3" t="inlineStr">
        <is>
          <t>리메드</t>
        </is>
      </c>
      <c r="G1539" s="2" t="inlineStr">
        <is>
          <t>20260309901444</t>
        </is>
      </c>
      <c r="H1539" s="8">
        <f>HYPERLINK("https://dart.fss.or.kr/dsaf001/main.do?rcpNo=20260309901444", "공시열람")</f>
        <v/>
      </c>
    </row>
    <row r="1540">
      <c r="A1540" s="2" t="inlineStr">
        <is>
          <t>2026-03-09</t>
        </is>
      </c>
      <c r="B1540" s="3" t="inlineStr">
        <is>
          <t>나이스정보통신</t>
        </is>
      </c>
      <c r="C1540" s="2" t="inlineStr">
        <is>
          <t>코스닥</t>
        </is>
      </c>
      <c r="D1540" s="2" t="inlineStr">
        <is>
          <t>036800</t>
        </is>
      </c>
      <c r="E1540" s="3" t="inlineStr">
        <is>
          <t xml:space="preserve">주주총회소집결의              </t>
        </is>
      </c>
      <c r="F1540" s="3" t="inlineStr">
        <is>
          <t>나이스정보통신</t>
        </is>
      </c>
      <c r="G1540" s="2" t="inlineStr">
        <is>
          <t>20260309901562</t>
        </is>
      </c>
      <c r="H1540" s="8">
        <f>HYPERLINK("https://dart.fss.or.kr/dsaf001/main.do?rcpNo=20260309901562", "공시열람")</f>
        <v/>
      </c>
    </row>
    <row r="1541">
      <c r="A1541" s="2" t="inlineStr">
        <is>
          <t>2026-03-09</t>
        </is>
      </c>
      <c r="B1541" s="3" t="inlineStr">
        <is>
          <t>티이엠씨씨엔에스</t>
        </is>
      </c>
      <c r="C1541" s="2" t="inlineStr">
        <is>
          <t>코스닥</t>
        </is>
      </c>
      <c r="D1541" s="2" t="inlineStr">
        <is>
          <t>241790</t>
        </is>
      </c>
      <c r="E1541" s="3" t="inlineStr">
        <is>
          <t xml:space="preserve">주주총회소집결의              </t>
        </is>
      </c>
      <c r="F1541" s="3" t="inlineStr">
        <is>
          <t>티이엠씨씨엔에스</t>
        </is>
      </c>
      <c r="G1541" s="2" t="inlineStr">
        <is>
          <t>20260309901432</t>
        </is>
      </c>
      <c r="H1541" s="8">
        <f>HYPERLINK("https://dart.fss.or.kr/dsaf001/main.do?rcpNo=20260309901432", "공시열람")</f>
        <v/>
      </c>
    </row>
    <row r="1542">
      <c r="A1542" s="2" t="inlineStr">
        <is>
          <t>2026-03-09</t>
        </is>
      </c>
      <c r="B1542" s="3" t="inlineStr">
        <is>
          <t>나이스정보통신</t>
        </is>
      </c>
      <c r="C1542" s="2" t="inlineStr">
        <is>
          <t>코스닥</t>
        </is>
      </c>
      <c r="D1542" s="2" t="inlineStr">
        <is>
          <t>036800</t>
        </is>
      </c>
      <c r="E1542" s="3" t="inlineStr">
        <is>
          <t>주주총회소집공고</t>
        </is>
      </c>
      <c r="F1542" s="3" t="inlineStr">
        <is>
          <t>나이스정보통신</t>
        </is>
      </c>
      <c r="G1542" s="2" t="inlineStr">
        <is>
          <t>20260309001924</t>
        </is>
      </c>
      <c r="H1542" s="8">
        <f>HYPERLINK("https://dart.fss.or.kr/dsaf001/main.do?rcpNo=20260309001924", "공시열람")</f>
        <v/>
      </c>
    </row>
    <row r="1543">
      <c r="A1543" s="2" t="inlineStr">
        <is>
          <t>2026-03-09</t>
        </is>
      </c>
      <c r="B1543" s="3" t="inlineStr">
        <is>
          <t>디지캡</t>
        </is>
      </c>
      <c r="C1543" s="2" t="inlineStr">
        <is>
          <t>코스닥</t>
        </is>
      </c>
      <c r="D1543" s="2" t="inlineStr">
        <is>
          <t>197140</t>
        </is>
      </c>
      <c r="E1543" s="3" t="inlineStr">
        <is>
          <t>주주총회소집공고</t>
        </is>
      </c>
      <c r="F1543" s="3" t="inlineStr">
        <is>
          <t>디지캡</t>
        </is>
      </c>
      <c r="G1543" s="2" t="inlineStr">
        <is>
          <t>20260309001920</t>
        </is>
      </c>
      <c r="H1543" s="8">
        <f>HYPERLINK("https://dart.fss.or.kr/dsaf001/main.do?rcpNo=20260309001920", "공시열람")</f>
        <v/>
      </c>
    </row>
    <row r="1544">
      <c r="A1544" s="2" t="inlineStr">
        <is>
          <t>2026-03-09</t>
        </is>
      </c>
      <c r="B1544" s="3" t="inlineStr">
        <is>
          <t>알티캐스트</t>
        </is>
      </c>
      <c r="C1544" s="2" t="inlineStr">
        <is>
          <t>코스닥</t>
        </is>
      </c>
      <c r="D1544" s="2" t="inlineStr">
        <is>
          <t>085810</t>
        </is>
      </c>
      <c r="E1544" s="3" t="inlineStr">
        <is>
          <t>주주총회소집공고</t>
        </is>
      </c>
      <c r="F1544" s="3" t="inlineStr">
        <is>
          <t>알티캐스트</t>
        </is>
      </c>
      <c r="G1544" s="2" t="inlineStr">
        <is>
          <t>20260309001937</t>
        </is>
      </c>
      <c r="H1544" s="8">
        <f>HYPERLINK("https://dart.fss.or.kr/dsaf001/main.do?rcpNo=20260309001937", "공시열람")</f>
        <v/>
      </c>
    </row>
    <row r="1545">
      <c r="A1545" s="2" t="inlineStr">
        <is>
          <t>2026-03-09 (정정: 2026-03-12)</t>
        </is>
      </c>
      <c r="B1545" s="3" t="inlineStr">
        <is>
          <t>SK네트웍스</t>
        </is>
      </c>
      <c r="C1545" s="2" t="inlineStr">
        <is>
          <t>코스피</t>
        </is>
      </c>
      <c r="D1545" s="2" t="inlineStr">
        <is>
          <t>001740</t>
        </is>
      </c>
      <c r="E1545" s="3" t="inlineStr">
        <is>
          <t>주주총회소집공고 (정정: 20260311) (정정: 20260312) (정정: 20260312)</t>
        </is>
      </c>
      <c r="F1545" s="3" t="inlineStr">
        <is>
          <t>SK네트웍스</t>
        </is>
      </c>
      <c r="G1545" s="2" t="inlineStr">
        <is>
          <t>20260311004664</t>
        </is>
      </c>
      <c r="H1545" s="8">
        <f>HYPERLINK("https://dart.fss.or.kr/dsaf001/main.do?rcpNo=20260311004664", "공시열람")</f>
        <v/>
      </c>
    </row>
    <row r="1546">
      <c r="A1546" s="2" t="inlineStr">
        <is>
          <t>2026-03-09</t>
        </is>
      </c>
      <c r="B1546" s="3" t="inlineStr">
        <is>
          <t>SK네트웍스</t>
        </is>
      </c>
      <c r="C1546" s="2" t="inlineStr">
        <is>
          <t>코스피</t>
        </is>
      </c>
      <c r="D1546" s="2" t="inlineStr">
        <is>
          <t>001740</t>
        </is>
      </c>
      <c r="E1546" s="3" t="inlineStr">
        <is>
          <t xml:space="preserve">주주총회소집결의              </t>
        </is>
      </c>
      <c r="F1546" s="3" t="inlineStr">
        <is>
          <t>SK네트웍스</t>
        </is>
      </c>
      <c r="G1546" s="2" t="inlineStr">
        <is>
          <t>20260309801532</t>
        </is>
      </c>
      <c r="H1546" s="8">
        <f>HYPERLINK("https://dart.fss.or.kr/dsaf001/main.do?rcpNo=20260309801532", "공시열람")</f>
        <v/>
      </c>
    </row>
    <row r="1547">
      <c r="A1547" s="2" t="inlineStr">
        <is>
          <t>2026-03-09</t>
        </is>
      </c>
      <c r="B1547" s="3" t="inlineStr">
        <is>
          <t>DSC인베스트먼트</t>
        </is>
      </c>
      <c r="C1547" s="2" t="inlineStr">
        <is>
          <t>코스닥</t>
        </is>
      </c>
      <c r="D1547" s="2" t="inlineStr">
        <is>
          <t>241520</t>
        </is>
      </c>
      <c r="E1547" s="3" t="inlineStr">
        <is>
          <t xml:space="preserve">주주총회집중일개최사유신고              </t>
        </is>
      </c>
      <c r="F1547" s="3" t="inlineStr">
        <is>
          <t>DSC인베스트먼트</t>
        </is>
      </c>
      <c r="G1547" s="2" t="inlineStr">
        <is>
          <t>20260309901547</t>
        </is>
      </c>
      <c r="H1547" s="8">
        <f>HYPERLINK("https://dart.fss.or.kr/dsaf001/main.do?rcpNo=20260309901547", "공시열람")</f>
        <v/>
      </c>
    </row>
    <row r="1548">
      <c r="A1548" s="2" t="inlineStr">
        <is>
          <t>2026-03-09</t>
        </is>
      </c>
      <c r="B1548" s="3" t="inlineStr">
        <is>
          <t>동국씨엠</t>
        </is>
      </c>
      <c r="C1548" s="2" t="inlineStr">
        <is>
          <t>코스피</t>
        </is>
      </c>
      <c r="D1548" s="2" t="inlineStr">
        <is>
          <t>460850</t>
        </is>
      </c>
      <c r="E1548" s="3" t="inlineStr">
        <is>
          <t>주주총회소집공고</t>
        </is>
      </c>
      <c r="F1548" s="3" t="inlineStr">
        <is>
          <t>동국씨엠</t>
        </is>
      </c>
      <c r="G1548" s="2" t="inlineStr">
        <is>
          <t>20260309001914</t>
        </is>
      </c>
      <c r="H1548" s="8">
        <f>HYPERLINK("https://dart.fss.or.kr/dsaf001/main.do?rcpNo=20260309001914", "공시열람")</f>
        <v/>
      </c>
    </row>
    <row r="1549">
      <c r="A1549" s="2" t="inlineStr">
        <is>
          <t>2026-03-09</t>
        </is>
      </c>
      <c r="B1549" s="3" t="inlineStr">
        <is>
          <t>세종텔레콤</t>
        </is>
      </c>
      <c r="C1549" s="2" t="inlineStr">
        <is>
          <t>코스닥</t>
        </is>
      </c>
      <c r="D1549" s="2" t="inlineStr">
        <is>
          <t>036630</t>
        </is>
      </c>
      <c r="E1549" s="3" t="inlineStr">
        <is>
          <t>주주총회소집공고</t>
        </is>
      </c>
      <c r="F1549" s="3" t="inlineStr">
        <is>
          <t>세종텔레콤</t>
        </is>
      </c>
      <c r="G1549" s="2" t="inlineStr">
        <is>
          <t>20260309001911</t>
        </is>
      </c>
      <c r="H1549" s="8">
        <f>HYPERLINK("https://dart.fss.or.kr/dsaf001/main.do?rcpNo=20260309001911", "공시열람")</f>
        <v/>
      </c>
    </row>
    <row r="1550">
      <c r="A1550" s="2" t="inlineStr">
        <is>
          <t>2026-03-09</t>
        </is>
      </c>
      <c r="B1550" s="3" t="inlineStr">
        <is>
          <t>세종텔레콤</t>
        </is>
      </c>
      <c r="C1550" s="2" t="inlineStr">
        <is>
          <t>코스닥</t>
        </is>
      </c>
      <c r="D1550" s="2" t="inlineStr">
        <is>
          <t>036630</t>
        </is>
      </c>
      <c r="E1550" s="3" t="inlineStr">
        <is>
          <t xml:space="preserve">주주총회소집결의              </t>
        </is>
      </c>
      <c r="F1550" s="3" t="inlineStr">
        <is>
          <t>세종텔레콤</t>
        </is>
      </c>
      <c r="G1550" s="2" t="inlineStr">
        <is>
          <t>20260309901349</t>
        </is>
      </c>
      <c r="H1550" s="8">
        <f>HYPERLINK("https://dart.fss.or.kr/dsaf001/main.do?rcpNo=20260309901349", "공시열람")</f>
        <v/>
      </c>
    </row>
    <row r="1551">
      <c r="A1551" s="2" t="inlineStr">
        <is>
          <t>2026-03-09</t>
        </is>
      </c>
      <c r="B1551" s="3" t="inlineStr">
        <is>
          <t>한진</t>
        </is>
      </c>
      <c r="C1551" s="2" t="inlineStr">
        <is>
          <t>코스피</t>
        </is>
      </c>
      <c r="D1551" s="2" t="inlineStr">
        <is>
          <t>002320</t>
        </is>
      </c>
      <c r="E1551" s="3" t="inlineStr">
        <is>
          <t xml:space="preserve">주주총회소집결의              </t>
        </is>
      </c>
      <c r="F1551" s="3" t="inlineStr">
        <is>
          <t>한진</t>
        </is>
      </c>
      <c r="G1551" s="2" t="inlineStr">
        <is>
          <t>20260309801460</t>
        </is>
      </c>
      <c r="H1551" s="8">
        <f>HYPERLINK("https://dart.fss.or.kr/dsaf001/main.do?rcpNo=20260309801460", "공시열람")</f>
        <v/>
      </c>
    </row>
    <row r="1552">
      <c r="A1552" s="2" t="inlineStr">
        <is>
          <t>2026-03-09 (정정: 2026-03-11)</t>
        </is>
      </c>
      <c r="B1552" s="3" t="inlineStr">
        <is>
          <t>티엑스알로보틱스</t>
        </is>
      </c>
      <c r="C1552" s="2" t="inlineStr">
        <is>
          <t>코스닥</t>
        </is>
      </c>
      <c r="D1552" s="2" t="inlineStr">
        <is>
          <t>484810</t>
        </is>
      </c>
      <c r="E1552" s="3" t="inlineStr">
        <is>
          <t>주주총회소집결의               (정정: 20260311)</t>
        </is>
      </c>
      <c r="F1552" s="3" t="inlineStr">
        <is>
          <t>티엑스알로보틱스</t>
        </is>
      </c>
      <c r="G1552" s="2" t="inlineStr">
        <is>
          <t>20260311901553</t>
        </is>
      </c>
      <c r="H1552" s="8">
        <f>HYPERLINK("https://dart.fss.or.kr/dsaf001/main.do?rcpNo=20260311901553", "공시열람")</f>
        <v/>
      </c>
    </row>
    <row r="1553">
      <c r="A1553" s="2" t="inlineStr">
        <is>
          <t>2026-03-09 (정정: 2026-03-09)</t>
        </is>
      </c>
      <c r="B1553" s="3" t="inlineStr">
        <is>
          <t>한진</t>
        </is>
      </c>
      <c r="C1553" s="2" t="inlineStr">
        <is>
          <t>코스피</t>
        </is>
      </c>
      <c r="D1553" s="2" t="inlineStr">
        <is>
          <t>002320</t>
        </is>
      </c>
      <c r="E1553" s="3" t="inlineStr">
        <is>
          <t>주주총회소집공고 (정정: 20260309) (정정: 20260309)</t>
        </is>
      </c>
      <c r="F1553" s="3" t="inlineStr">
        <is>
          <t>한진</t>
        </is>
      </c>
      <c r="G1553" s="2" t="inlineStr">
        <is>
          <t>20260309801269</t>
        </is>
      </c>
      <c r="H1553" s="8">
        <f>HYPERLINK("https://dart.fss.or.kr/dsaf001/main.do?rcpNo=20260309801269", "공시열람")</f>
        <v/>
      </c>
    </row>
    <row r="1554">
      <c r="A1554" s="2" t="inlineStr">
        <is>
          <t>2026-03-09 (정정: 2026-03-10)</t>
        </is>
      </c>
      <c r="B1554" s="3" t="inlineStr">
        <is>
          <t>티이엠씨씨엔에스</t>
        </is>
      </c>
      <c r="C1554" s="2" t="inlineStr">
        <is>
          <t>코스닥</t>
        </is>
      </c>
      <c r="D1554" s="2" t="inlineStr">
        <is>
          <t>241790</t>
        </is>
      </c>
      <c r="E1554" s="3" t="inlineStr">
        <is>
          <t>주주총회소집공고 (정정: 20260310)</t>
        </is>
      </c>
      <c r="F1554" s="3" t="inlineStr">
        <is>
          <t>티이엠씨씨엔에스</t>
        </is>
      </c>
      <c r="G1554" s="2" t="inlineStr">
        <is>
          <t>20260310002836</t>
        </is>
      </c>
      <c r="H1554" s="8">
        <f>HYPERLINK("https://dart.fss.or.kr/dsaf001/main.do?rcpNo=20260310002836", "공시열람")</f>
        <v/>
      </c>
    </row>
    <row r="1555">
      <c r="A1555" s="2" t="inlineStr">
        <is>
          <t>2026-03-09 (정정: 2026-03-09)</t>
        </is>
      </c>
      <c r="B1555" s="3" t="inlineStr">
        <is>
          <t>대신증권</t>
        </is>
      </c>
      <c r="C1555" s="2" t="inlineStr">
        <is>
          <t>코스피</t>
        </is>
      </c>
      <c r="D1555" s="2" t="inlineStr">
        <is>
          <t>003540</t>
        </is>
      </c>
      <c r="E1555" s="3" t="inlineStr">
        <is>
          <t>주주총회소집결의               (정정: 20260309)</t>
        </is>
      </c>
      <c r="F1555" s="3" t="inlineStr">
        <is>
          <t>대신증권</t>
        </is>
      </c>
      <c r="G1555" s="2" t="inlineStr">
        <is>
          <t>20260309801335</t>
        </is>
      </c>
      <c r="H1555" s="8">
        <f>HYPERLINK("https://dart.fss.or.kr/dsaf001/main.do?rcpNo=20260309801335", "공시열람")</f>
        <v/>
      </c>
    </row>
    <row r="1556">
      <c r="A1556" s="2" t="inlineStr">
        <is>
          <t>2026-03-09</t>
        </is>
      </c>
      <c r="B1556" s="3" t="inlineStr">
        <is>
          <t>동양</t>
        </is>
      </c>
      <c r="C1556" s="2" t="inlineStr">
        <is>
          <t>코스피</t>
        </is>
      </c>
      <c r="D1556" s="2" t="inlineStr">
        <is>
          <t>001520</t>
        </is>
      </c>
      <c r="E1556" s="3" t="inlineStr">
        <is>
          <t xml:space="preserve">주주총회소집결의              </t>
        </is>
      </c>
      <c r="F1556" s="3" t="inlineStr">
        <is>
          <t>동양</t>
        </is>
      </c>
      <c r="G1556" s="2" t="inlineStr">
        <is>
          <t>20260309801503</t>
        </is>
      </c>
      <c r="H1556" s="8">
        <f>HYPERLINK("https://dart.fss.or.kr/dsaf001/main.do?rcpNo=20260309801503", "공시열람")</f>
        <v/>
      </c>
    </row>
    <row r="1557">
      <c r="A1557" s="2" t="inlineStr">
        <is>
          <t>2026-03-09</t>
        </is>
      </c>
      <c r="B1557" s="3" t="inlineStr">
        <is>
          <t>DSC인베스트먼트</t>
        </is>
      </c>
      <c r="C1557" s="2" t="inlineStr">
        <is>
          <t>코스닥</t>
        </is>
      </c>
      <c r="D1557" s="2" t="inlineStr">
        <is>
          <t>241520</t>
        </is>
      </c>
      <c r="E1557" s="3" t="inlineStr">
        <is>
          <t xml:space="preserve">주주총회소집결의              </t>
        </is>
      </c>
      <c r="F1557" s="3" t="inlineStr">
        <is>
          <t>DSC인베스트먼트</t>
        </is>
      </c>
      <c r="G1557" s="2" t="inlineStr">
        <is>
          <t>20260309901443</t>
        </is>
      </c>
      <c r="H1557" s="8">
        <f>HYPERLINK("https://dart.fss.or.kr/dsaf001/main.do?rcpNo=20260309901443", "공시열람")</f>
        <v/>
      </c>
    </row>
    <row r="1558">
      <c r="A1558" s="2" t="inlineStr">
        <is>
          <t>2026-03-09</t>
        </is>
      </c>
      <c r="B1558" s="3" t="inlineStr">
        <is>
          <t>폴라리스AI</t>
        </is>
      </c>
      <c r="C1558" s="2" t="inlineStr">
        <is>
          <t>코스닥</t>
        </is>
      </c>
      <c r="D1558" s="2" t="inlineStr">
        <is>
          <t>039980</t>
        </is>
      </c>
      <c r="E1558" s="3" t="inlineStr">
        <is>
          <t>주주총회소집공고</t>
        </is>
      </c>
      <c r="F1558" s="3" t="inlineStr">
        <is>
          <t>폴라리스AI</t>
        </is>
      </c>
      <c r="G1558" s="2" t="inlineStr">
        <is>
          <t>20260309001893</t>
        </is>
      </c>
      <c r="H1558" s="8">
        <f>HYPERLINK("https://dart.fss.or.kr/dsaf001/main.do?rcpNo=20260309001893", "공시열람")</f>
        <v/>
      </c>
    </row>
    <row r="1559">
      <c r="A1559" s="2" t="inlineStr">
        <is>
          <t>2026-03-09</t>
        </is>
      </c>
      <c r="B1559" s="3" t="inlineStr">
        <is>
          <t>쿠쿠홀딩스</t>
        </is>
      </c>
      <c r="C1559" s="2" t="inlineStr">
        <is>
          <t>코스피</t>
        </is>
      </c>
      <c r="D1559" s="2" t="inlineStr">
        <is>
          <t>192400</t>
        </is>
      </c>
      <c r="E1559" s="3" t="inlineStr">
        <is>
          <t>주주총회소집공고</t>
        </is>
      </c>
      <c r="F1559" s="3" t="inlineStr">
        <is>
          <t>쿠쿠홀딩스</t>
        </is>
      </c>
      <c r="G1559" s="2" t="inlineStr">
        <is>
          <t>20260309001892</t>
        </is>
      </c>
      <c r="H1559" s="8">
        <f>HYPERLINK("https://dart.fss.or.kr/dsaf001/main.do?rcpNo=20260309001892", "공시열람")</f>
        <v/>
      </c>
    </row>
    <row r="1560">
      <c r="A1560" s="2" t="inlineStr">
        <is>
          <t>2026-03-09</t>
        </is>
      </c>
      <c r="B1560" s="3" t="inlineStr">
        <is>
          <t>CJ</t>
        </is>
      </c>
      <c r="C1560" s="2" t="inlineStr">
        <is>
          <t>코스피</t>
        </is>
      </c>
      <c r="D1560" s="2" t="inlineStr">
        <is>
          <t>001040</t>
        </is>
      </c>
      <c r="E1560" s="3" t="inlineStr">
        <is>
          <t>주주총회소집공고</t>
        </is>
      </c>
      <c r="F1560" s="3" t="inlineStr">
        <is>
          <t>CJ</t>
        </is>
      </c>
      <c r="G1560" s="2" t="inlineStr">
        <is>
          <t>20260309001891</t>
        </is>
      </c>
      <c r="H1560" s="8">
        <f>HYPERLINK("https://dart.fss.or.kr/dsaf001/main.do?rcpNo=20260309001891", "공시열람")</f>
        <v/>
      </c>
    </row>
    <row r="1561">
      <c r="A1561" s="2" t="inlineStr">
        <is>
          <t>2026-03-09</t>
        </is>
      </c>
      <c r="B1561" s="3" t="inlineStr">
        <is>
          <t>솔브레인</t>
        </is>
      </c>
      <c r="C1561" s="2" t="inlineStr">
        <is>
          <t>코스닥</t>
        </is>
      </c>
      <c r="D1561" s="2" t="inlineStr">
        <is>
          <t>357780</t>
        </is>
      </c>
      <c r="E1561" s="3" t="inlineStr">
        <is>
          <t>주주총회소집공고</t>
        </is>
      </c>
      <c r="F1561" s="3" t="inlineStr">
        <is>
          <t>솔브레인</t>
        </is>
      </c>
      <c r="G1561" s="2" t="inlineStr">
        <is>
          <t>20260309001889</t>
        </is>
      </c>
      <c r="H1561" s="8">
        <f>HYPERLINK("https://dart.fss.or.kr/dsaf001/main.do?rcpNo=20260309001889", "공시열람")</f>
        <v/>
      </c>
    </row>
    <row r="1562">
      <c r="A1562" s="2" t="inlineStr">
        <is>
          <t>2026-03-09</t>
        </is>
      </c>
      <c r="B1562" s="3" t="inlineStr">
        <is>
          <t>폴라리스AI</t>
        </is>
      </c>
      <c r="C1562" s="2" t="inlineStr">
        <is>
          <t>코스닥</t>
        </is>
      </c>
      <c r="D1562" s="2" t="inlineStr">
        <is>
          <t>039980</t>
        </is>
      </c>
      <c r="E1562" s="3" t="inlineStr">
        <is>
          <t xml:space="preserve">주주총회소집결의              </t>
        </is>
      </c>
      <c r="F1562" s="3" t="inlineStr">
        <is>
          <t>폴라리스AI</t>
        </is>
      </c>
      <c r="G1562" s="2" t="inlineStr">
        <is>
          <t>20260309901474</t>
        </is>
      </c>
      <c r="H1562" s="8">
        <f>HYPERLINK("https://dart.fss.or.kr/dsaf001/main.do?rcpNo=20260309901474", "공시열람")</f>
        <v/>
      </c>
    </row>
    <row r="1563">
      <c r="A1563" s="2" t="inlineStr">
        <is>
          <t>2026-03-09 (정정: 2026-06-26)</t>
        </is>
      </c>
      <c r="B1563" s="3" t="inlineStr">
        <is>
          <t>더테크놀로지</t>
        </is>
      </c>
      <c r="C1563" s="2" t="inlineStr">
        <is>
          <t>코스닥</t>
        </is>
      </c>
      <c r="D1563" s="2" t="inlineStr">
        <is>
          <t>043090</t>
        </is>
      </c>
      <c r="E1563" s="3" t="inlineStr">
        <is>
          <t>주주총회소집공고 (정정: 20260618) (정정: 20260626)</t>
        </is>
      </c>
      <c r="F1563" s="3" t="inlineStr">
        <is>
          <t>더테크놀로지</t>
        </is>
      </c>
      <c r="G1563" s="2" t="inlineStr">
        <is>
          <t>20260626000215</t>
        </is>
      </c>
      <c r="H1563" s="8">
        <f>HYPERLINK("https://dart.fss.or.kr/dsaf001/main.do?rcpNo=20260626000215", "공시열람")</f>
        <v/>
      </c>
    </row>
    <row r="1564">
      <c r="A1564" s="2" t="inlineStr">
        <is>
          <t>2026-03-09 (정정: 2026-03-09)</t>
        </is>
      </c>
      <c r="B1564" s="3" t="inlineStr">
        <is>
          <t>레뷰코퍼레이션</t>
        </is>
      </c>
      <c r="C1564" s="2" t="inlineStr">
        <is>
          <t>코스닥</t>
        </is>
      </c>
      <c r="D1564" s="2" t="inlineStr">
        <is>
          <t>443250</t>
        </is>
      </c>
      <c r="E1564" s="3" t="inlineStr">
        <is>
          <t>주주총회소집공고 (정정: 20260309)</t>
        </is>
      </c>
      <c r="F1564" s="3" t="inlineStr">
        <is>
          <t>레뷰코퍼레이션</t>
        </is>
      </c>
      <c r="G1564" s="2" t="inlineStr">
        <is>
          <t>20260309901356</t>
        </is>
      </c>
      <c r="H1564" s="8">
        <f>HYPERLINK("https://dart.fss.or.kr/dsaf001/main.do?rcpNo=20260309901356", "공시열람")</f>
        <v/>
      </c>
    </row>
    <row r="1565">
      <c r="A1565" s="2" t="inlineStr">
        <is>
          <t>2026-03-09</t>
        </is>
      </c>
      <c r="B1565" s="3" t="inlineStr">
        <is>
          <t>롯데지주</t>
        </is>
      </c>
      <c r="C1565" s="2" t="inlineStr">
        <is>
          <t>코스피</t>
        </is>
      </c>
      <c r="D1565" s="2" t="inlineStr">
        <is>
          <t>004990</t>
        </is>
      </c>
      <c r="E1565" s="3" t="inlineStr">
        <is>
          <t xml:space="preserve">주주총회소집결의              </t>
        </is>
      </c>
      <c r="F1565" s="3" t="inlineStr">
        <is>
          <t>롯데지주</t>
        </is>
      </c>
      <c r="G1565" s="2" t="inlineStr">
        <is>
          <t>20260309801501</t>
        </is>
      </c>
      <c r="H1565" s="8">
        <f>HYPERLINK("https://dart.fss.or.kr/dsaf001/main.do?rcpNo=20260309801501", "공시열람")</f>
        <v/>
      </c>
    </row>
    <row r="1566">
      <c r="A1566" s="2" t="inlineStr">
        <is>
          <t>2026-03-09</t>
        </is>
      </c>
      <c r="B1566" s="3" t="inlineStr">
        <is>
          <t>구영테크</t>
        </is>
      </c>
      <c r="C1566" s="2" t="inlineStr">
        <is>
          <t>코스닥</t>
        </is>
      </c>
      <c r="D1566" s="2" t="inlineStr">
        <is>
          <t>053270</t>
        </is>
      </c>
      <c r="E1566" s="3" t="inlineStr">
        <is>
          <t>주주총회소집공고</t>
        </is>
      </c>
      <c r="F1566" s="3" t="inlineStr">
        <is>
          <t>구영테크</t>
        </is>
      </c>
      <c r="G1566" s="2" t="inlineStr">
        <is>
          <t>20260309001884</t>
        </is>
      </c>
      <c r="H1566" s="8">
        <f>HYPERLINK("https://dart.fss.or.kr/dsaf001/main.do?rcpNo=20260309001884", "공시열람")</f>
        <v/>
      </c>
    </row>
    <row r="1567">
      <c r="A1567" s="2" t="inlineStr">
        <is>
          <t>2026-03-09</t>
        </is>
      </c>
      <c r="B1567" s="3" t="inlineStr">
        <is>
          <t>솔브레인</t>
        </is>
      </c>
      <c r="C1567" s="2" t="inlineStr">
        <is>
          <t>코스닥</t>
        </is>
      </c>
      <c r="D1567" s="2" t="inlineStr">
        <is>
          <t>357780</t>
        </is>
      </c>
      <c r="E1567" s="3" t="inlineStr">
        <is>
          <t xml:space="preserve">주주총회소집결의              </t>
        </is>
      </c>
      <c r="F1567" s="3" t="inlineStr">
        <is>
          <t>솔브레인</t>
        </is>
      </c>
      <c r="G1567" s="2" t="inlineStr">
        <is>
          <t>20260309901469</t>
        </is>
      </c>
      <c r="H1567" s="8">
        <f>HYPERLINK("https://dart.fss.or.kr/dsaf001/main.do?rcpNo=20260309901469", "공시열람")</f>
        <v/>
      </c>
    </row>
    <row r="1568">
      <c r="A1568" s="2" t="inlineStr">
        <is>
          <t>2026-03-09</t>
        </is>
      </c>
      <c r="B1568" s="3" t="inlineStr">
        <is>
          <t>케이씨씨</t>
        </is>
      </c>
      <c r="C1568" s="2" t="inlineStr">
        <is>
          <t>코스피</t>
        </is>
      </c>
      <c r="D1568" s="2" t="inlineStr">
        <is>
          <t>002380</t>
        </is>
      </c>
      <c r="E1568" s="3" t="inlineStr">
        <is>
          <t>[기재정정]주주총회소집공고</t>
        </is>
      </c>
      <c r="F1568" s="3" t="inlineStr">
        <is>
          <t>케이씨씨</t>
        </is>
      </c>
      <c r="G1568" s="2" t="inlineStr">
        <is>
          <t>20260309001876</t>
        </is>
      </c>
      <c r="H1568" s="8">
        <f>HYPERLINK("https://dart.fss.or.kr/dsaf001/main.do?rcpNo=20260309001876", "공시열람")</f>
        <v/>
      </c>
    </row>
    <row r="1569">
      <c r="A1569" s="2" t="inlineStr">
        <is>
          <t>2026-03-09</t>
        </is>
      </c>
      <c r="B1569" s="3" t="inlineStr">
        <is>
          <t>쿠쿠홀딩스</t>
        </is>
      </c>
      <c r="C1569" s="2" t="inlineStr">
        <is>
          <t>코스피</t>
        </is>
      </c>
      <c r="D1569" s="2" t="inlineStr">
        <is>
          <t>192400</t>
        </is>
      </c>
      <c r="E1569" s="3" t="inlineStr">
        <is>
          <t xml:space="preserve">주주총회소집결의              </t>
        </is>
      </c>
      <c r="F1569" s="3" t="inlineStr">
        <is>
          <t>쿠쿠홀딩스</t>
        </is>
      </c>
      <c r="G1569" s="2" t="inlineStr">
        <is>
          <t>20260309801447</t>
        </is>
      </c>
      <c r="H1569" s="8">
        <f>HYPERLINK("https://dart.fss.or.kr/dsaf001/main.do?rcpNo=20260309801447", "공시열람")</f>
        <v/>
      </c>
    </row>
    <row r="1570">
      <c r="A1570" s="2" t="inlineStr">
        <is>
          <t>2026-03-09</t>
        </is>
      </c>
      <c r="B1570" s="3" t="inlineStr">
        <is>
          <t>이노스페이스</t>
        </is>
      </c>
      <c r="C1570" s="2" t="inlineStr">
        <is>
          <t>코스닥</t>
        </is>
      </c>
      <c r="D1570" s="2" t="inlineStr">
        <is>
          <t>462350</t>
        </is>
      </c>
      <c r="E1570" s="3" t="inlineStr">
        <is>
          <t>주주총회소집공고</t>
        </is>
      </c>
      <c r="F1570" s="3" t="inlineStr">
        <is>
          <t>이노스페이스</t>
        </is>
      </c>
      <c r="G1570" s="2" t="inlineStr">
        <is>
          <t>20260309001871</t>
        </is>
      </c>
      <c r="H1570" s="8">
        <f>HYPERLINK("https://dart.fss.or.kr/dsaf001/main.do?rcpNo=20260309001871", "공시열람")</f>
        <v/>
      </c>
    </row>
    <row r="1571">
      <c r="A1571" s="2" t="inlineStr">
        <is>
          <t>2026-03-09 (정정: 2026-03-10)</t>
        </is>
      </c>
      <c r="B1571" s="3" t="inlineStr">
        <is>
          <t>폴라리스우노</t>
        </is>
      </c>
      <c r="C1571" s="2" t="inlineStr">
        <is>
          <t>코스닥</t>
        </is>
      </c>
      <c r="D1571" s="2" t="inlineStr">
        <is>
          <t>114630</t>
        </is>
      </c>
      <c r="E1571" s="3" t="inlineStr">
        <is>
          <t>주주총회소집공고 (정정: 20260310)</t>
        </is>
      </c>
      <c r="F1571" s="3" t="inlineStr">
        <is>
          <t>폴라리스우노</t>
        </is>
      </c>
      <c r="G1571" s="2" t="inlineStr">
        <is>
          <t>20260310001944</t>
        </is>
      </c>
      <c r="H1571" s="8">
        <f>HYPERLINK("https://dart.fss.or.kr/dsaf001/main.do?rcpNo=20260310001944", "공시열람")</f>
        <v/>
      </c>
    </row>
    <row r="1572">
      <c r="A1572" s="2" t="inlineStr">
        <is>
          <t>2026-03-09</t>
        </is>
      </c>
      <c r="B1572" s="3" t="inlineStr">
        <is>
          <t>구영테크</t>
        </is>
      </c>
      <c r="C1572" s="2" t="inlineStr">
        <is>
          <t>코스닥</t>
        </is>
      </c>
      <c r="D1572" s="2" t="inlineStr">
        <is>
          <t>053270</t>
        </is>
      </c>
      <c r="E1572" s="3" t="inlineStr">
        <is>
          <t xml:space="preserve">주주총회소집결의              </t>
        </is>
      </c>
      <c r="F1572" s="3" t="inlineStr">
        <is>
          <t>구영테크</t>
        </is>
      </c>
      <c r="G1572" s="2" t="inlineStr">
        <is>
          <t>20260309901229</t>
        </is>
      </c>
      <c r="H1572" s="8">
        <f>HYPERLINK("https://dart.fss.or.kr/dsaf001/main.do?rcpNo=20260309901229", "공시열람")</f>
        <v/>
      </c>
    </row>
    <row r="1573">
      <c r="A1573" s="2" t="inlineStr">
        <is>
          <t>2026-03-09</t>
        </is>
      </c>
      <c r="B1573" s="3" t="inlineStr">
        <is>
          <t>CJ</t>
        </is>
      </c>
      <c r="C1573" s="2" t="inlineStr">
        <is>
          <t>코스피</t>
        </is>
      </c>
      <c r="D1573" s="2" t="inlineStr">
        <is>
          <t>001040</t>
        </is>
      </c>
      <c r="E1573" s="3" t="inlineStr">
        <is>
          <t xml:space="preserve">주주총회소집결의              </t>
        </is>
      </c>
      <c r="F1573" s="3" t="inlineStr">
        <is>
          <t>CJ</t>
        </is>
      </c>
      <c r="G1573" s="2" t="inlineStr">
        <is>
          <t>20260309801459</t>
        </is>
      </c>
      <c r="H1573" s="8">
        <f>HYPERLINK("https://dart.fss.or.kr/dsaf001/main.do?rcpNo=20260309801459", "공시열람")</f>
        <v/>
      </c>
    </row>
    <row r="1574">
      <c r="A1574" s="2" t="inlineStr">
        <is>
          <t>2026-03-09</t>
        </is>
      </c>
      <c r="B1574" s="3" t="inlineStr">
        <is>
          <t>폴라리스우노</t>
        </is>
      </c>
      <c r="C1574" s="2" t="inlineStr">
        <is>
          <t>코스닥</t>
        </is>
      </c>
      <c r="D1574" s="2" t="inlineStr">
        <is>
          <t>114630</t>
        </is>
      </c>
      <c r="E1574" s="3" t="inlineStr">
        <is>
          <t xml:space="preserve">주주총회소집결의              </t>
        </is>
      </c>
      <c r="F1574" s="3" t="inlineStr">
        <is>
          <t>폴라리스우노</t>
        </is>
      </c>
      <c r="G1574" s="2" t="inlineStr">
        <is>
          <t>20260309901387</t>
        </is>
      </c>
      <c r="H1574" s="8">
        <f>HYPERLINK("https://dart.fss.or.kr/dsaf001/main.do?rcpNo=20260309901387", "공시열람")</f>
        <v/>
      </c>
    </row>
    <row r="1575">
      <c r="A1575" s="2" t="inlineStr">
        <is>
          <t>2026-03-09 (정정: 2026-06-04)</t>
        </is>
      </c>
      <c r="B1575" s="3" t="inlineStr">
        <is>
          <t>모다이노칩</t>
        </is>
      </c>
      <c r="C1575" s="2" t="inlineStr">
        <is>
          <t>코스닥</t>
        </is>
      </c>
      <c r="D1575" s="2" t="inlineStr">
        <is>
          <t>080420</t>
        </is>
      </c>
      <c r="E1575" s="3" t="inlineStr">
        <is>
          <t>주주총회소집결의              (임시주주총회) (정정: 20260310) (정정: 20260604)</t>
        </is>
      </c>
      <c r="F1575" s="3" t="inlineStr">
        <is>
          <t>모다이노칩</t>
        </is>
      </c>
      <c r="G1575" s="2" t="inlineStr">
        <is>
          <t>20260604000303</t>
        </is>
      </c>
      <c r="H1575" s="8">
        <f>HYPERLINK("https://dart.fss.or.kr/dsaf001/main.do?rcpNo=20260604000303", "공시열람")</f>
        <v/>
      </c>
    </row>
    <row r="1576">
      <c r="A1576" s="2" t="inlineStr">
        <is>
          <t>2026-03-09</t>
        </is>
      </c>
      <c r="B1576" s="3" t="inlineStr">
        <is>
          <t>CJ CGV</t>
        </is>
      </c>
      <c r="C1576" s="2" t="inlineStr">
        <is>
          <t>코스피</t>
        </is>
      </c>
      <c r="D1576" s="2" t="inlineStr">
        <is>
          <t>079160</t>
        </is>
      </c>
      <c r="E1576" s="3" t="inlineStr">
        <is>
          <t xml:space="preserve">주주총회소집결의              </t>
        </is>
      </c>
      <c r="F1576" s="3" t="inlineStr">
        <is>
          <t>CJ CGV</t>
        </is>
      </c>
      <c r="G1576" s="2" t="inlineStr">
        <is>
          <t>20260309801399</t>
        </is>
      </c>
      <c r="H1576" s="8">
        <f>HYPERLINK("https://dart.fss.or.kr/dsaf001/main.do?rcpNo=20260309801399", "공시열람")</f>
        <v/>
      </c>
    </row>
    <row r="1577">
      <c r="A1577" s="2" t="inlineStr">
        <is>
          <t>2026-03-09</t>
        </is>
      </c>
      <c r="B1577" s="3" t="inlineStr">
        <is>
          <t>조이시티</t>
        </is>
      </c>
      <c r="C1577" s="2" t="inlineStr">
        <is>
          <t>코스닥</t>
        </is>
      </c>
      <c r="D1577" s="2" t="inlineStr">
        <is>
          <t>067000</t>
        </is>
      </c>
      <c r="E1577" s="3" t="inlineStr">
        <is>
          <t>주주총회소집공고</t>
        </is>
      </c>
      <c r="F1577" s="3" t="inlineStr">
        <is>
          <t>조이시티</t>
        </is>
      </c>
      <c r="G1577" s="2" t="inlineStr">
        <is>
          <t>20260309001857</t>
        </is>
      </c>
      <c r="H1577" s="8">
        <f>HYPERLINK("https://dart.fss.or.kr/dsaf001/main.do?rcpNo=20260309001857", "공시열람")</f>
        <v/>
      </c>
    </row>
    <row r="1578">
      <c r="A1578" s="2" t="inlineStr">
        <is>
          <t>2026-03-09</t>
        </is>
      </c>
      <c r="B1578" s="3" t="inlineStr">
        <is>
          <t>동성케미컬</t>
        </is>
      </c>
      <c r="C1578" s="2" t="inlineStr">
        <is>
          <t>코스피</t>
        </is>
      </c>
      <c r="D1578" s="2" t="inlineStr">
        <is>
          <t>102260</t>
        </is>
      </c>
      <c r="E1578" s="3" t="inlineStr">
        <is>
          <t>주주총회소집공고</t>
        </is>
      </c>
      <c r="F1578" s="3" t="inlineStr">
        <is>
          <t>동성케미컬</t>
        </is>
      </c>
      <c r="G1578" s="2" t="inlineStr">
        <is>
          <t>20260309001856</t>
        </is>
      </c>
      <c r="H1578" s="8">
        <f>HYPERLINK("https://dart.fss.or.kr/dsaf001/main.do?rcpNo=20260309001856", "공시열람")</f>
        <v/>
      </c>
    </row>
    <row r="1579">
      <c r="A1579" s="2" t="inlineStr">
        <is>
          <t>2026-03-09</t>
        </is>
      </c>
      <c r="B1579" s="3" t="inlineStr">
        <is>
          <t>인산가</t>
        </is>
      </c>
      <c r="C1579" s="2" t="inlineStr">
        <is>
          <t>코스닥</t>
        </is>
      </c>
      <c r="D1579" s="2" t="inlineStr">
        <is>
          <t>277410</t>
        </is>
      </c>
      <c r="E1579" s="3" t="inlineStr">
        <is>
          <t>주주총회소집공고</t>
        </is>
      </c>
      <c r="F1579" s="3" t="inlineStr">
        <is>
          <t>인산가</t>
        </is>
      </c>
      <c r="G1579" s="2" t="inlineStr">
        <is>
          <t>20260309001851</t>
        </is>
      </c>
      <c r="H1579" s="8">
        <f>HYPERLINK("https://dart.fss.or.kr/dsaf001/main.do?rcpNo=20260309001851", "공시열람")</f>
        <v/>
      </c>
    </row>
    <row r="1580">
      <c r="A1580" s="2" t="inlineStr">
        <is>
          <t>2026-03-09</t>
        </is>
      </c>
      <c r="B1580" s="3" t="inlineStr">
        <is>
          <t>아이티켐</t>
        </is>
      </c>
      <c r="C1580" s="2" t="inlineStr">
        <is>
          <t>코스닥</t>
        </is>
      </c>
      <c r="D1580" s="2" t="inlineStr">
        <is>
          <t>309710</t>
        </is>
      </c>
      <c r="E1580" s="3" t="inlineStr">
        <is>
          <t xml:space="preserve">주주총회집중일개최사유신고              </t>
        </is>
      </c>
      <c r="F1580" s="3" t="inlineStr">
        <is>
          <t>아이티켐</t>
        </is>
      </c>
      <c r="G1580" s="2" t="inlineStr">
        <is>
          <t>20260309901334</t>
        </is>
      </c>
      <c r="H1580" s="8">
        <f>HYPERLINK("https://dart.fss.or.kr/dsaf001/main.do?rcpNo=20260309901334", "공시열람")</f>
        <v/>
      </c>
    </row>
    <row r="1581">
      <c r="A1581" s="2" t="inlineStr">
        <is>
          <t>2026-03-09</t>
        </is>
      </c>
      <c r="B1581" s="3" t="inlineStr">
        <is>
          <t>영우디에스피</t>
        </is>
      </c>
      <c r="C1581" s="2" t="inlineStr">
        <is>
          <t>코스닥</t>
        </is>
      </c>
      <c r="D1581" s="2" t="inlineStr">
        <is>
          <t>143540</t>
        </is>
      </c>
      <c r="E1581" s="3" t="inlineStr">
        <is>
          <t xml:space="preserve">주주총회소집결의              </t>
        </is>
      </c>
      <c r="F1581" s="3" t="inlineStr">
        <is>
          <t>영우디에스피</t>
        </is>
      </c>
      <c r="G1581" s="2" t="inlineStr">
        <is>
          <t>20260309901390</t>
        </is>
      </c>
      <c r="H1581" s="8">
        <f>HYPERLINK("https://dart.fss.or.kr/dsaf001/main.do?rcpNo=20260309901390", "공시열람")</f>
        <v/>
      </c>
    </row>
    <row r="1582">
      <c r="A1582" s="2" t="inlineStr">
        <is>
          <t>2026-03-09</t>
        </is>
      </c>
      <c r="B1582" s="3" t="inlineStr">
        <is>
          <t>비스토스</t>
        </is>
      </c>
      <c r="C1582" s="2" t="inlineStr">
        <is>
          <t>코스닥</t>
        </is>
      </c>
      <c r="D1582" s="2" t="inlineStr">
        <is>
          <t>419540</t>
        </is>
      </c>
      <c r="E1582" s="3" t="inlineStr">
        <is>
          <t xml:space="preserve">주주총회소집결의              </t>
        </is>
      </c>
      <c r="F1582" s="3" t="inlineStr">
        <is>
          <t>비스토스</t>
        </is>
      </c>
      <c r="G1582" s="2" t="inlineStr">
        <is>
          <t>20260309901370</t>
        </is>
      </c>
      <c r="H1582" s="8">
        <f>HYPERLINK("https://dart.fss.or.kr/dsaf001/main.do?rcpNo=20260309901370", "공시열람")</f>
        <v/>
      </c>
    </row>
    <row r="1583">
      <c r="A1583" s="2" t="inlineStr">
        <is>
          <t>2026-03-09</t>
        </is>
      </c>
      <c r="B1583" s="3" t="inlineStr">
        <is>
          <t>케이피엠테크</t>
        </is>
      </c>
      <c r="C1583" s="2" t="inlineStr">
        <is>
          <t>코스닥</t>
        </is>
      </c>
      <c r="D1583" s="2" t="inlineStr">
        <is>
          <t>042040</t>
        </is>
      </c>
      <c r="E1583" s="3" t="inlineStr">
        <is>
          <t>주주총회소집공고</t>
        </is>
      </c>
      <c r="F1583" s="3" t="inlineStr">
        <is>
          <t>케이피엠테크</t>
        </is>
      </c>
      <c r="G1583" s="2" t="inlineStr">
        <is>
          <t>20260309001848</t>
        </is>
      </c>
      <c r="H1583" s="8">
        <f>HYPERLINK("https://dart.fss.or.kr/dsaf001/main.do?rcpNo=20260309001848", "공시열람")</f>
        <v/>
      </c>
    </row>
    <row r="1584">
      <c r="A1584" s="2" t="inlineStr">
        <is>
          <t>2026-03-09</t>
        </is>
      </c>
      <c r="B1584" s="3" t="inlineStr">
        <is>
          <t>배럴</t>
        </is>
      </c>
      <c r="C1584" s="2" t="inlineStr">
        <is>
          <t>코스닥</t>
        </is>
      </c>
      <c r="D1584" s="2" t="inlineStr">
        <is>
          <t>267790</t>
        </is>
      </c>
      <c r="E1584" s="3" t="inlineStr">
        <is>
          <t>주주총회소집공고</t>
        </is>
      </c>
      <c r="F1584" s="3" t="inlineStr">
        <is>
          <t>배럴</t>
        </is>
      </c>
      <c r="G1584" s="2" t="inlineStr">
        <is>
          <t>20260309001846</t>
        </is>
      </c>
      <c r="H1584" s="8">
        <f>HYPERLINK("https://dart.fss.or.kr/dsaf001/main.do?rcpNo=20260309001846", "공시열람")</f>
        <v/>
      </c>
    </row>
    <row r="1585">
      <c r="A1585" s="2" t="inlineStr">
        <is>
          <t>2026-03-09</t>
        </is>
      </c>
      <c r="B1585" s="3" t="inlineStr">
        <is>
          <t>한화생명</t>
        </is>
      </c>
      <c r="C1585" s="2" t="inlineStr">
        <is>
          <t>코스피</t>
        </is>
      </c>
      <c r="D1585" s="2" t="inlineStr">
        <is>
          <t>088350</t>
        </is>
      </c>
      <c r="E1585" s="3" t="inlineStr">
        <is>
          <t>주주총회소집공고</t>
        </is>
      </c>
      <c r="F1585" s="3" t="inlineStr">
        <is>
          <t>한화생명</t>
        </is>
      </c>
      <c r="G1585" s="2" t="inlineStr">
        <is>
          <t>20260309001843</t>
        </is>
      </c>
      <c r="H1585" s="8">
        <f>HYPERLINK("https://dart.fss.or.kr/dsaf001/main.do?rcpNo=20260309001843", "공시열람")</f>
        <v/>
      </c>
    </row>
    <row r="1586">
      <c r="A1586" s="2" t="inlineStr">
        <is>
          <t>2026-03-09</t>
        </is>
      </c>
      <c r="B1586" s="3" t="inlineStr">
        <is>
          <t>씨메스로보틱스</t>
        </is>
      </c>
      <c r="C1586" s="2" t="inlineStr">
        <is>
          <t>코스닥</t>
        </is>
      </c>
      <c r="D1586" s="2" t="inlineStr">
        <is>
          <t>475400</t>
        </is>
      </c>
      <c r="E1586" s="3" t="inlineStr">
        <is>
          <t>주주총회소집공고</t>
        </is>
      </c>
      <c r="F1586" s="3" t="inlineStr">
        <is>
          <t>씨메스로보틱스</t>
        </is>
      </c>
      <c r="G1586" s="2" t="inlineStr">
        <is>
          <t>20260309001841</t>
        </is>
      </c>
      <c r="H1586" s="8">
        <f>HYPERLINK("https://dart.fss.or.kr/dsaf001/main.do?rcpNo=20260309001841", "공시열람")</f>
        <v/>
      </c>
    </row>
    <row r="1587">
      <c r="A1587" s="2" t="inlineStr">
        <is>
          <t>2026-03-09</t>
        </is>
      </c>
      <c r="B1587" s="3" t="inlineStr">
        <is>
          <t>CJ CGV</t>
        </is>
      </c>
      <c r="C1587" s="2" t="inlineStr">
        <is>
          <t>코스피</t>
        </is>
      </c>
      <c r="D1587" s="2" t="inlineStr">
        <is>
          <t>079160</t>
        </is>
      </c>
      <c r="E1587" s="3" t="inlineStr">
        <is>
          <t>주주총회소집공고</t>
        </is>
      </c>
      <c r="F1587" s="3" t="inlineStr">
        <is>
          <t>CJ CGV</t>
        </is>
      </c>
      <c r="G1587" s="2" t="inlineStr">
        <is>
          <t>20260309001840</t>
        </is>
      </c>
      <c r="H1587" s="8">
        <f>HYPERLINK("https://dart.fss.or.kr/dsaf001/main.do?rcpNo=20260309001840", "공시열람")</f>
        <v/>
      </c>
    </row>
    <row r="1588">
      <c r="A1588" s="2" t="inlineStr">
        <is>
          <t>2026-03-09</t>
        </is>
      </c>
      <c r="B1588" s="3" t="inlineStr">
        <is>
          <t>파크시스템스</t>
        </is>
      </c>
      <c r="C1588" s="2" t="inlineStr">
        <is>
          <t>코스닥</t>
        </is>
      </c>
      <c r="D1588" s="2" t="inlineStr">
        <is>
          <t>140860</t>
        </is>
      </c>
      <c r="E1588" s="3" t="inlineStr">
        <is>
          <t xml:space="preserve">[기재정정]주주총회소집결의              </t>
        </is>
      </c>
      <c r="F1588" s="3" t="inlineStr">
        <is>
          <t>파크시스템스</t>
        </is>
      </c>
      <c r="G1588" s="2" t="inlineStr">
        <is>
          <t>20260309901302</t>
        </is>
      </c>
      <c r="H1588" s="8">
        <f>HYPERLINK("https://dart.fss.or.kr/dsaf001/main.do?rcpNo=20260309901302", "공시열람")</f>
        <v/>
      </c>
    </row>
    <row r="1589">
      <c r="A1589" s="2" t="inlineStr">
        <is>
          <t>2026-03-09 (정정: 2026-06-04)</t>
        </is>
      </c>
      <c r="B1589" s="3" t="inlineStr">
        <is>
          <t>로젠</t>
        </is>
      </c>
      <c r="C1589" s="2" t="inlineStr">
        <is>
          <t>코스닥</t>
        </is>
      </c>
      <c r="D1589" s="2" t="inlineStr">
        <is>
          <t>033290</t>
        </is>
      </c>
      <c r="E1589" s="3" t="inlineStr">
        <is>
          <t>주주총회소집결의              (임시주주총회) (정정: 20260522) (정정: 20260604)</t>
        </is>
      </c>
      <c r="F1589" s="3" t="inlineStr">
        <is>
          <t>로젠</t>
        </is>
      </c>
      <c r="G1589" s="2" t="inlineStr">
        <is>
          <t>20260604000347</t>
        </is>
      </c>
      <c r="H1589" s="8">
        <f>HYPERLINK("https://dart.fss.or.kr/dsaf001/main.do?rcpNo=20260604000347", "공시열람")</f>
        <v/>
      </c>
    </row>
    <row r="1590">
      <c r="A1590" s="2" t="inlineStr">
        <is>
          <t>2026-03-09</t>
        </is>
      </c>
      <c r="B1590" s="3" t="inlineStr">
        <is>
          <t>씨메스로보틱스</t>
        </is>
      </c>
      <c r="C1590" s="2" t="inlineStr">
        <is>
          <t>코스닥</t>
        </is>
      </c>
      <c r="D1590" s="2" t="inlineStr">
        <is>
          <t>475400</t>
        </is>
      </c>
      <c r="E1590" s="3" t="inlineStr">
        <is>
          <t xml:space="preserve">주주총회집중일개최사유신고              </t>
        </is>
      </c>
      <c r="F1590" s="3" t="inlineStr">
        <is>
          <t>씨메스로보틱스</t>
        </is>
      </c>
      <c r="G1590" s="2" t="inlineStr">
        <is>
          <t>20260309901385</t>
        </is>
      </c>
      <c r="H1590" s="8">
        <f>HYPERLINK("https://dart.fss.or.kr/dsaf001/main.do?rcpNo=20260309901385", "공시열람")</f>
        <v/>
      </c>
    </row>
    <row r="1591">
      <c r="A1591" s="2" t="inlineStr">
        <is>
          <t>2026-03-09</t>
        </is>
      </c>
      <c r="B1591" s="3" t="inlineStr">
        <is>
          <t>동성케미컬</t>
        </is>
      </c>
      <c r="C1591" s="2" t="inlineStr">
        <is>
          <t>코스피</t>
        </is>
      </c>
      <c r="D1591" s="2" t="inlineStr">
        <is>
          <t>102260</t>
        </is>
      </c>
      <c r="E1591" s="3" t="inlineStr">
        <is>
          <t xml:space="preserve">주주총회소집결의              </t>
        </is>
      </c>
      <c r="F1591" s="3" t="inlineStr">
        <is>
          <t>동성케미컬</t>
        </is>
      </c>
      <c r="G1591" s="2" t="inlineStr">
        <is>
          <t>20260309801384</t>
        </is>
      </c>
      <c r="H1591" s="8">
        <f>HYPERLINK("https://dart.fss.or.kr/dsaf001/main.do?rcpNo=20260309801384", "공시열람")</f>
        <v/>
      </c>
    </row>
    <row r="1592">
      <c r="A1592" s="2" t="inlineStr">
        <is>
          <t>2026-03-09</t>
        </is>
      </c>
      <c r="B1592" s="3" t="inlineStr">
        <is>
          <t>배럴</t>
        </is>
      </c>
      <c r="C1592" s="2" t="inlineStr">
        <is>
          <t>코스닥</t>
        </is>
      </c>
      <c r="D1592" s="2" t="inlineStr">
        <is>
          <t>267790</t>
        </is>
      </c>
      <c r="E1592" s="3" t="inlineStr">
        <is>
          <t xml:space="preserve">주주총회소집결의              </t>
        </is>
      </c>
      <c r="F1592" s="3" t="inlineStr">
        <is>
          <t>배럴</t>
        </is>
      </c>
      <c r="G1592" s="2" t="inlineStr">
        <is>
          <t>20260309901352</t>
        </is>
      </c>
      <c r="H1592" s="8">
        <f>HYPERLINK("https://dart.fss.or.kr/dsaf001/main.do?rcpNo=20260309901352", "공시열람")</f>
        <v/>
      </c>
    </row>
    <row r="1593">
      <c r="A1593" s="2" t="inlineStr">
        <is>
          <t>2026-03-09</t>
        </is>
      </c>
      <c r="B1593" s="3" t="inlineStr">
        <is>
          <t>디와이파워</t>
        </is>
      </c>
      <c r="C1593" s="2" t="inlineStr">
        <is>
          <t>코스피</t>
        </is>
      </c>
      <c r="D1593" s="2" t="inlineStr">
        <is>
          <t>210540</t>
        </is>
      </c>
      <c r="E1593" s="3" t="inlineStr">
        <is>
          <t>주주총회소집공고</t>
        </is>
      </c>
      <c r="F1593" s="3" t="inlineStr">
        <is>
          <t>디와이파워</t>
        </is>
      </c>
      <c r="G1593" s="2" t="inlineStr">
        <is>
          <t>20260309001824</t>
        </is>
      </c>
      <c r="H1593" s="8">
        <f>HYPERLINK("https://dart.fss.or.kr/dsaf001/main.do?rcpNo=20260309001824", "공시열람")</f>
        <v/>
      </c>
    </row>
    <row r="1594">
      <c r="A1594" s="2" t="inlineStr">
        <is>
          <t>2026-03-09</t>
        </is>
      </c>
      <c r="B1594" s="3" t="inlineStr">
        <is>
          <t>로젠</t>
        </is>
      </c>
      <c r="C1594" s="2" t="inlineStr">
        <is>
          <t>코스닥</t>
        </is>
      </c>
      <c r="D1594" s="2" t="inlineStr">
        <is>
          <t>033290</t>
        </is>
      </c>
      <c r="E1594" s="3" t="inlineStr">
        <is>
          <t>주요사항보고서(회사합병결정)</t>
        </is>
      </c>
      <c r="F1594" s="3" t="inlineStr">
        <is>
          <t>로젠</t>
        </is>
      </c>
      <c r="G1594" s="2" t="inlineStr">
        <is>
          <t>20260309001792</t>
        </is>
      </c>
      <c r="H1594" s="8">
        <f>HYPERLINK("https://dart.fss.or.kr/dsaf001/main.do?rcpNo=20260309001792", "공시열람")</f>
        <v/>
      </c>
    </row>
    <row r="1595">
      <c r="A1595" s="2" t="inlineStr">
        <is>
          <t>2026-03-09</t>
        </is>
      </c>
      <c r="B1595" s="3" t="inlineStr">
        <is>
          <t>디와이파워</t>
        </is>
      </c>
      <c r="C1595" s="2" t="inlineStr">
        <is>
          <t>코스피</t>
        </is>
      </c>
      <c r="D1595" s="2" t="inlineStr">
        <is>
          <t>210540</t>
        </is>
      </c>
      <c r="E1595" s="3" t="inlineStr">
        <is>
          <t xml:space="preserve">주주총회소집결의              </t>
        </is>
      </c>
      <c r="F1595" s="3" t="inlineStr">
        <is>
          <t>디와이파워</t>
        </is>
      </c>
      <c r="G1595" s="2" t="inlineStr">
        <is>
          <t>20260309801354</t>
        </is>
      </c>
      <c r="H1595" s="8">
        <f>HYPERLINK("https://dart.fss.or.kr/dsaf001/main.do?rcpNo=20260309801354", "공시열람")</f>
        <v/>
      </c>
    </row>
    <row r="1596">
      <c r="A1596" s="2" t="inlineStr">
        <is>
          <t>2026-03-09</t>
        </is>
      </c>
      <c r="B1596" s="3" t="inlineStr">
        <is>
          <t>모다이노칩</t>
        </is>
      </c>
      <c r="C1596" s="2" t="inlineStr">
        <is>
          <t>코스닥</t>
        </is>
      </c>
      <c r="D1596" s="2" t="inlineStr">
        <is>
          <t>080420</t>
        </is>
      </c>
      <c r="E1596" s="3" t="inlineStr">
        <is>
          <t>주요사항보고서(회사합병결정)</t>
        </is>
      </c>
      <c r="F1596" s="3" t="inlineStr">
        <is>
          <t>모다이노칩</t>
        </is>
      </c>
      <c r="G1596" s="2" t="inlineStr">
        <is>
          <t>20260309001791</t>
        </is>
      </c>
      <c r="H1596" s="8">
        <f>HYPERLINK("https://dart.fss.or.kr/dsaf001/main.do?rcpNo=20260309001791", "공시열람")</f>
        <v/>
      </c>
    </row>
    <row r="1597">
      <c r="A1597" s="2" t="inlineStr">
        <is>
          <t>2026-03-09</t>
        </is>
      </c>
      <c r="B1597" s="3" t="inlineStr">
        <is>
          <t>페스카로</t>
        </is>
      </c>
      <c r="C1597" s="2" t="inlineStr">
        <is>
          <t>코스닥</t>
        </is>
      </c>
      <c r="D1597" s="2" t="inlineStr">
        <is>
          <t>0015S0</t>
        </is>
      </c>
      <c r="E1597" s="3" t="inlineStr">
        <is>
          <t xml:space="preserve">주주총회소집결의              </t>
        </is>
      </c>
      <c r="F1597" s="3" t="inlineStr">
        <is>
          <t>페스카로</t>
        </is>
      </c>
      <c r="G1597" s="2" t="inlineStr">
        <is>
          <t>20260309901323</t>
        </is>
      </c>
      <c r="H1597" s="8">
        <f>HYPERLINK("https://dart.fss.or.kr/dsaf001/main.do?rcpNo=20260309901323", "공시열람")</f>
        <v/>
      </c>
    </row>
    <row r="1598">
      <c r="A1598" s="2" t="inlineStr">
        <is>
          <t>2026-03-09</t>
        </is>
      </c>
      <c r="B1598" s="3" t="inlineStr">
        <is>
          <t>태양금속공업</t>
        </is>
      </c>
      <c r="C1598" s="2" t="inlineStr">
        <is>
          <t>코스피</t>
        </is>
      </c>
      <c r="D1598" s="2" t="inlineStr">
        <is>
          <t>004100</t>
        </is>
      </c>
      <c r="E1598" s="3" t="inlineStr">
        <is>
          <t>주주총회소집공고</t>
        </is>
      </c>
      <c r="F1598" s="3" t="inlineStr">
        <is>
          <t>태양금속공업</t>
        </is>
      </c>
      <c r="G1598" s="2" t="inlineStr">
        <is>
          <t>20260309001816</t>
        </is>
      </c>
      <c r="H1598" s="8">
        <f>HYPERLINK("https://dart.fss.or.kr/dsaf001/main.do?rcpNo=20260309001816", "공시열람")</f>
        <v/>
      </c>
    </row>
    <row r="1599">
      <c r="A1599" s="2" t="inlineStr">
        <is>
          <t>2026-03-09</t>
        </is>
      </c>
      <c r="B1599" s="3" t="inlineStr">
        <is>
          <t>대림통상</t>
        </is>
      </c>
      <c r="C1599" s="2" t="inlineStr">
        <is>
          <t>코스피</t>
        </is>
      </c>
      <c r="D1599" s="2" t="inlineStr">
        <is>
          <t>006570</t>
        </is>
      </c>
      <c r="E1599" s="3" t="inlineStr">
        <is>
          <t xml:space="preserve">주주총회소집결의              </t>
        </is>
      </c>
      <c r="F1599" s="3" t="inlineStr">
        <is>
          <t>대림통상</t>
        </is>
      </c>
      <c r="G1599" s="2" t="inlineStr">
        <is>
          <t>20260309801341</t>
        </is>
      </c>
      <c r="H1599" s="8">
        <f>HYPERLINK("https://dart.fss.or.kr/dsaf001/main.do?rcpNo=20260309801341", "공시열람")</f>
        <v/>
      </c>
    </row>
    <row r="1600">
      <c r="A1600" s="2" t="inlineStr">
        <is>
          <t>2026-03-09</t>
        </is>
      </c>
      <c r="B1600" s="3" t="inlineStr">
        <is>
          <t>롯데지주</t>
        </is>
      </c>
      <c r="C1600" s="2" t="inlineStr">
        <is>
          <t>코스피</t>
        </is>
      </c>
      <c r="D1600" s="2" t="inlineStr">
        <is>
          <t>004990</t>
        </is>
      </c>
      <c r="E1600" s="3" t="inlineStr">
        <is>
          <t>주주총회소집공고</t>
        </is>
      </c>
      <c r="F1600" s="3" t="inlineStr">
        <is>
          <t>롯데지주</t>
        </is>
      </c>
      <c r="G1600" s="2" t="inlineStr">
        <is>
          <t>20260309001813</t>
        </is>
      </c>
      <c r="H1600" s="8">
        <f>HYPERLINK("https://dart.fss.or.kr/dsaf001/main.do?rcpNo=20260309001813", "공시열람")</f>
        <v/>
      </c>
    </row>
    <row r="1601">
      <c r="A1601" s="2" t="inlineStr">
        <is>
          <t>2026-03-09</t>
        </is>
      </c>
      <c r="B1601" s="3" t="inlineStr">
        <is>
          <t>페스카로</t>
        </is>
      </c>
      <c r="C1601" s="2" t="inlineStr">
        <is>
          <t>코스닥</t>
        </is>
      </c>
      <c r="D1601" s="2" t="inlineStr">
        <is>
          <t>0015S0</t>
        </is>
      </c>
      <c r="E1601" s="3" t="inlineStr">
        <is>
          <t>주주총회소집공고</t>
        </is>
      </c>
      <c r="F1601" s="3" t="inlineStr">
        <is>
          <t>페스카로</t>
        </is>
      </c>
      <c r="G1601" s="2" t="inlineStr">
        <is>
          <t>20260309001809</t>
        </is>
      </c>
      <c r="H1601" s="8">
        <f>HYPERLINK("https://dart.fss.or.kr/dsaf001/main.do?rcpNo=20260309001809", "공시열람")</f>
        <v/>
      </c>
    </row>
    <row r="1602">
      <c r="A1602" s="2" t="inlineStr">
        <is>
          <t>2026-03-09</t>
        </is>
      </c>
      <c r="B1602" s="3" t="inlineStr">
        <is>
          <t>탑머티리얼</t>
        </is>
      </c>
      <c r="C1602" s="2" t="inlineStr">
        <is>
          <t>코스닥</t>
        </is>
      </c>
      <c r="D1602" s="2" t="inlineStr">
        <is>
          <t>360070</t>
        </is>
      </c>
      <c r="E1602" s="3" t="inlineStr">
        <is>
          <t>주주총회소집공고</t>
        </is>
      </c>
      <c r="F1602" s="3" t="inlineStr">
        <is>
          <t>탑머티리얼</t>
        </is>
      </c>
      <c r="G1602" s="2" t="inlineStr">
        <is>
          <t>20260309001808</t>
        </is>
      </c>
      <c r="H1602" s="8">
        <f>HYPERLINK("https://dart.fss.or.kr/dsaf001/main.do?rcpNo=20260309001808", "공시열람")</f>
        <v/>
      </c>
    </row>
    <row r="1603">
      <c r="A1603" s="2" t="inlineStr">
        <is>
          <t>2026-03-09</t>
        </is>
      </c>
      <c r="B1603" s="3" t="inlineStr">
        <is>
          <t>CJ제일제당</t>
        </is>
      </c>
      <c r="C1603" s="2" t="inlineStr">
        <is>
          <t>코스피</t>
        </is>
      </c>
      <c r="D1603" s="2" t="inlineStr">
        <is>
          <t>097950</t>
        </is>
      </c>
      <c r="E1603" s="3" t="inlineStr">
        <is>
          <t>주주총회소집공고</t>
        </is>
      </c>
      <c r="F1603" s="3" t="inlineStr">
        <is>
          <t>CJ제일제당</t>
        </is>
      </c>
      <c r="G1603" s="2" t="inlineStr">
        <is>
          <t>20260309001807</t>
        </is>
      </c>
      <c r="H1603" s="8">
        <f>HYPERLINK("https://dart.fss.or.kr/dsaf001/main.do?rcpNo=20260309001807", "공시열람")</f>
        <v/>
      </c>
    </row>
    <row r="1604">
      <c r="A1604" s="2" t="inlineStr">
        <is>
          <t>2026-03-09</t>
        </is>
      </c>
      <c r="B1604" s="3" t="inlineStr">
        <is>
          <t>쎄노텍</t>
        </is>
      </c>
      <c r="C1604" s="2" t="inlineStr">
        <is>
          <t>코스닥</t>
        </is>
      </c>
      <c r="D1604" s="2" t="inlineStr">
        <is>
          <t>222420</t>
        </is>
      </c>
      <c r="E1604" s="3" t="inlineStr">
        <is>
          <t>주주총회소집공고</t>
        </is>
      </c>
      <c r="F1604" s="3" t="inlineStr">
        <is>
          <t>쎄노텍</t>
        </is>
      </c>
      <c r="G1604" s="2" t="inlineStr">
        <is>
          <t>20260309001806</t>
        </is>
      </c>
      <c r="H1604" s="8">
        <f>HYPERLINK("https://dart.fss.or.kr/dsaf001/main.do?rcpNo=20260309001806", "공시열람")</f>
        <v/>
      </c>
    </row>
    <row r="1605">
      <c r="A1605" s="2" t="inlineStr">
        <is>
          <t>2026-03-09</t>
        </is>
      </c>
      <c r="B1605" s="3" t="inlineStr">
        <is>
          <t>고려신용정보</t>
        </is>
      </c>
      <c r="C1605" s="2" t="inlineStr">
        <is>
          <t>코스닥</t>
        </is>
      </c>
      <c r="D1605" s="2" t="inlineStr">
        <is>
          <t>049720</t>
        </is>
      </c>
      <c r="E1605" s="3" t="inlineStr">
        <is>
          <t>주주총회소집공고</t>
        </is>
      </c>
      <c r="F1605" s="3" t="inlineStr">
        <is>
          <t>고려신용정보</t>
        </is>
      </c>
      <c r="G1605" s="2" t="inlineStr">
        <is>
          <t>20260309001805</t>
        </is>
      </c>
      <c r="H1605" s="8">
        <f>HYPERLINK("https://dart.fss.or.kr/dsaf001/main.do?rcpNo=20260309001805", "공시열람")</f>
        <v/>
      </c>
    </row>
    <row r="1606">
      <c r="A1606" s="2" t="inlineStr">
        <is>
          <t>2026-03-09</t>
        </is>
      </c>
      <c r="B1606" s="3" t="inlineStr">
        <is>
          <t>씨메스로보틱스</t>
        </is>
      </c>
      <c r="C1606" s="2" t="inlineStr">
        <is>
          <t>코스닥</t>
        </is>
      </c>
      <c r="D1606" s="2" t="inlineStr">
        <is>
          <t>475400</t>
        </is>
      </c>
      <c r="E1606" s="3" t="inlineStr">
        <is>
          <t xml:space="preserve">주주총회소집결의              </t>
        </is>
      </c>
      <c r="F1606" s="3" t="inlineStr">
        <is>
          <t>씨메스로보틱스</t>
        </is>
      </c>
      <c r="G1606" s="2" t="inlineStr">
        <is>
          <t>20260309901314</t>
        </is>
      </c>
      <c r="H1606" s="8">
        <f>HYPERLINK("https://dart.fss.or.kr/dsaf001/main.do?rcpNo=20260309901314", "공시열람")</f>
        <v/>
      </c>
    </row>
    <row r="1607">
      <c r="A1607" s="2" t="inlineStr">
        <is>
          <t>2026-03-09</t>
        </is>
      </c>
      <c r="B1607" s="3" t="inlineStr">
        <is>
          <t>고려신용정보</t>
        </is>
      </c>
      <c r="C1607" s="2" t="inlineStr">
        <is>
          <t>코스닥</t>
        </is>
      </c>
      <c r="D1607" s="2" t="inlineStr">
        <is>
          <t>049720</t>
        </is>
      </c>
      <c r="E1607" s="3" t="inlineStr">
        <is>
          <t xml:space="preserve">주주총회소집결의              </t>
        </is>
      </c>
      <c r="F1607" s="3" t="inlineStr">
        <is>
          <t>고려신용정보</t>
        </is>
      </c>
      <c r="G1607" s="2" t="inlineStr">
        <is>
          <t>20260309901251</t>
        </is>
      </c>
      <c r="H1607" s="8">
        <f>HYPERLINK("https://dart.fss.or.kr/dsaf001/main.do?rcpNo=20260309901251", "공시열람")</f>
        <v/>
      </c>
    </row>
    <row r="1608">
      <c r="A1608" s="2" t="inlineStr">
        <is>
          <t>2026-03-09</t>
        </is>
      </c>
      <c r="B1608" s="3" t="inlineStr">
        <is>
          <t>CJ제일제당</t>
        </is>
      </c>
      <c r="C1608" s="2" t="inlineStr">
        <is>
          <t>코스피</t>
        </is>
      </c>
      <c r="D1608" s="2" t="inlineStr">
        <is>
          <t>097950</t>
        </is>
      </c>
      <c r="E1608" s="3" t="inlineStr">
        <is>
          <t xml:space="preserve">주주총회소집결의              </t>
        </is>
      </c>
      <c r="F1608" s="3" t="inlineStr">
        <is>
          <t>CJ제일제당</t>
        </is>
      </c>
      <c r="G1608" s="2" t="inlineStr">
        <is>
          <t>20260309801294</t>
        </is>
      </c>
      <c r="H1608" s="8">
        <f>HYPERLINK("https://dart.fss.or.kr/dsaf001/main.do?rcpNo=20260309801294", "공시열람")</f>
        <v/>
      </c>
    </row>
    <row r="1609">
      <c r="A1609" s="2" t="inlineStr">
        <is>
          <t>2026-03-09</t>
        </is>
      </c>
      <c r="B1609" s="3" t="inlineStr">
        <is>
          <t>고려신용정보</t>
        </is>
      </c>
      <c r="C1609" s="2" t="inlineStr">
        <is>
          <t>코스닥</t>
        </is>
      </c>
      <c r="D1609" s="2" t="inlineStr">
        <is>
          <t>049720</t>
        </is>
      </c>
      <c r="E1609" s="3" t="inlineStr">
        <is>
          <t xml:space="preserve">주주총회집중일개최사유신고              </t>
        </is>
      </c>
      <c r="F1609" s="3" t="inlineStr">
        <is>
          <t>고려신용정보</t>
        </is>
      </c>
      <c r="G1609" s="2" t="inlineStr">
        <is>
          <t>20260309901257</t>
        </is>
      </c>
      <c r="H1609" s="8">
        <f>HYPERLINK("https://dart.fss.or.kr/dsaf001/main.do?rcpNo=20260309901257", "공시열람")</f>
        <v/>
      </c>
    </row>
    <row r="1610">
      <c r="A1610" s="2" t="inlineStr">
        <is>
          <t>2026-03-09</t>
        </is>
      </c>
      <c r="B1610" s="3" t="inlineStr">
        <is>
          <t>아미코젠</t>
        </is>
      </c>
      <c r="C1610" s="2" t="inlineStr">
        <is>
          <t>코스닥</t>
        </is>
      </c>
      <c r="D1610" s="2" t="inlineStr">
        <is>
          <t>092040</t>
        </is>
      </c>
      <c r="E1610" s="3" t="inlineStr">
        <is>
          <t xml:space="preserve">주주총회소집결의              </t>
        </is>
      </c>
      <c r="F1610" s="3" t="inlineStr">
        <is>
          <t>아미코젠</t>
        </is>
      </c>
      <c r="G1610" s="2" t="inlineStr">
        <is>
          <t>20260309901207</t>
        </is>
      </c>
      <c r="H1610" s="8">
        <f>HYPERLINK("https://dart.fss.or.kr/dsaf001/main.do?rcpNo=20260309901207", "공시열람")</f>
        <v/>
      </c>
    </row>
    <row r="1611">
      <c r="A1611" s="2" t="inlineStr">
        <is>
          <t>2026-03-09</t>
        </is>
      </c>
      <c r="B1611" s="3" t="inlineStr">
        <is>
          <t>테라젠이텍스</t>
        </is>
      </c>
      <c r="C1611" s="2" t="inlineStr">
        <is>
          <t>코스닥</t>
        </is>
      </c>
      <c r="D1611" s="2" t="inlineStr">
        <is>
          <t>066700</t>
        </is>
      </c>
      <c r="E1611" s="3" t="inlineStr">
        <is>
          <t xml:space="preserve">주주총회집중일개최사유신고              </t>
        </is>
      </c>
      <c r="F1611" s="3" t="inlineStr">
        <is>
          <t>테라젠이텍스</t>
        </is>
      </c>
      <c r="G1611" s="2" t="inlineStr">
        <is>
          <t>20260309901199</t>
        </is>
      </c>
      <c r="H1611" s="8">
        <f>HYPERLINK("https://dart.fss.or.kr/dsaf001/main.do?rcpNo=20260309901199", "공시열람")</f>
        <v/>
      </c>
    </row>
    <row r="1612">
      <c r="A1612" s="2" t="inlineStr">
        <is>
          <t>2026-03-09</t>
        </is>
      </c>
      <c r="B1612" s="3" t="inlineStr">
        <is>
          <t>테라젠이텍스</t>
        </is>
      </c>
      <c r="C1612" s="2" t="inlineStr">
        <is>
          <t>코스닥</t>
        </is>
      </c>
      <c r="D1612" s="2" t="inlineStr">
        <is>
          <t>066700</t>
        </is>
      </c>
      <c r="E1612" s="3" t="inlineStr">
        <is>
          <t xml:space="preserve">주주총회소집결의              </t>
        </is>
      </c>
      <c r="F1612" s="3" t="inlineStr">
        <is>
          <t>테라젠이텍스</t>
        </is>
      </c>
      <c r="G1612" s="2" t="inlineStr">
        <is>
          <t>20260309901197</t>
        </is>
      </c>
      <c r="H1612" s="8">
        <f>HYPERLINK("https://dart.fss.or.kr/dsaf001/main.do?rcpNo=20260309901197", "공시열람")</f>
        <v/>
      </c>
    </row>
    <row r="1613">
      <c r="A1613" s="2" t="inlineStr">
        <is>
          <t>2026-03-09</t>
        </is>
      </c>
      <c r="B1613" s="3" t="inlineStr">
        <is>
          <t>에이스침대</t>
        </is>
      </c>
      <c r="C1613" s="2" t="inlineStr">
        <is>
          <t>코스닥</t>
        </is>
      </c>
      <c r="D1613" s="2" t="inlineStr">
        <is>
          <t>003800</t>
        </is>
      </c>
      <c r="E1613" s="3" t="inlineStr">
        <is>
          <t>주주총회소집공고</t>
        </is>
      </c>
      <c r="F1613" s="3" t="inlineStr">
        <is>
          <t>에이스침대</t>
        </is>
      </c>
      <c r="G1613" s="2" t="inlineStr">
        <is>
          <t>20260309001800</t>
        </is>
      </c>
      <c r="H1613" s="8">
        <f>HYPERLINK("https://dart.fss.or.kr/dsaf001/main.do?rcpNo=20260309001800", "공시열람")</f>
        <v/>
      </c>
    </row>
    <row r="1614">
      <c r="A1614" s="2" t="inlineStr">
        <is>
          <t>2026-03-09</t>
        </is>
      </c>
      <c r="B1614" s="3" t="inlineStr">
        <is>
          <t>우리손에프앤지</t>
        </is>
      </c>
      <c r="C1614" s="2" t="inlineStr">
        <is>
          <t>코스닥</t>
        </is>
      </c>
      <c r="D1614" s="2" t="inlineStr">
        <is>
          <t>073560</t>
        </is>
      </c>
      <c r="E1614" s="3" t="inlineStr">
        <is>
          <t>주주총회소집공고</t>
        </is>
      </c>
      <c r="F1614" s="3" t="inlineStr">
        <is>
          <t>우리손에프앤지</t>
        </is>
      </c>
      <c r="G1614" s="2" t="inlineStr">
        <is>
          <t>20260309001799</t>
        </is>
      </c>
      <c r="H1614" s="8">
        <f>HYPERLINK("https://dart.fss.or.kr/dsaf001/main.do?rcpNo=20260309001799", "공시열람")</f>
        <v/>
      </c>
    </row>
    <row r="1615">
      <c r="A1615" s="2" t="inlineStr">
        <is>
          <t>2026-03-09</t>
        </is>
      </c>
      <c r="B1615" s="3" t="inlineStr">
        <is>
          <t>케이피엠테크</t>
        </is>
      </c>
      <c r="C1615" s="2" t="inlineStr">
        <is>
          <t>코스닥</t>
        </is>
      </c>
      <c r="D1615" s="2" t="inlineStr">
        <is>
          <t>042040</t>
        </is>
      </c>
      <c r="E1615" s="3" t="inlineStr">
        <is>
          <t xml:space="preserve">주주총회소집결의              </t>
        </is>
      </c>
      <c r="F1615" s="3" t="inlineStr">
        <is>
          <t>케이피엠테크</t>
        </is>
      </c>
      <c r="G1615" s="2" t="inlineStr">
        <is>
          <t>20260309901232</t>
        </is>
      </c>
      <c r="H1615" s="8">
        <f>HYPERLINK("https://dart.fss.or.kr/dsaf001/main.do?rcpNo=20260309901232", "공시열람")</f>
        <v/>
      </c>
    </row>
    <row r="1616">
      <c r="A1616" s="2" t="inlineStr">
        <is>
          <t>2026-03-09 (정정: 2026-06-17)</t>
        </is>
      </c>
      <c r="B1616" s="3" t="inlineStr">
        <is>
          <t>녹십자웰빙</t>
        </is>
      </c>
      <c r="C1616" s="2" t="inlineStr">
        <is>
          <t>코스닥</t>
        </is>
      </c>
      <c r="D1616" s="2" t="inlineStr">
        <is>
          <t>234690</t>
        </is>
      </c>
      <c r="E1616" s="3" t="inlineStr">
        <is>
          <t>주주총회소집공고 (정정: 20260617)</t>
        </is>
      </c>
      <c r="F1616" s="3" t="inlineStr">
        <is>
          <t>녹십자웰빙</t>
        </is>
      </c>
      <c r="G1616" s="2" t="inlineStr">
        <is>
          <t>20260617900562</t>
        </is>
      </c>
      <c r="H1616" s="8">
        <f>HYPERLINK("https://dart.fss.or.kr/dsaf001/main.do?rcpNo=20260617900562", "공시열람")</f>
        <v/>
      </c>
    </row>
    <row r="1617">
      <c r="A1617" s="2" t="inlineStr">
        <is>
          <t>2026-03-09</t>
        </is>
      </c>
      <c r="B1617" s="3" t="inlineStr">
        <is>
          <t>뉴보텍</t>
        </is>
      </c>
      <c r="C1617" s="2" t="inlineStr">
        <is>
          <t>코스닥</t>
        </is>
      </c>
      <c r="D1617" s="2" t="inlineStr">
        <is>
          <t>060260</t>
        </is>
      </c>
      <c r="E1617" s="3" t="inlineStr">
        <is>
          <t xml:space="preserve">주주총회소집결의              </t>
        </is>
      </c>
      <c r="F1617" s="3" t="inlineStr">
        <is>
          <t>뉴보텍</t>
        </is>
      </c>
      <c r="G1617" s="2" t="inlineStr">
        <is>
          <t>20260309901227</t>
        </is>
      </c>
      <c r="H1617" s="8">
        <f>HYPERLINK("https://dart.fss.or.kr/dsaf001/main.do?rcpNo=20260309901227", "공시열람")</f>
        <v/>
      </c>
    </row>
    <row r="1618">
      <c r="A1618" s="2" t="inlineStr">
        <is>
          <t>2026-03-09</t>
        </is>
      </c>
      <c r="B1618" s="3" t="inlineStr">
        <is>
          <t>인산가</t>
        </is>
      </c>
      <c r="C1618" s="2" t="inlineStr">
        <is>
          <t>코스닥</t>
        </is>
      </c>
      <c r="D1618" s="2" t="inlineStr">
        <is>
          <t>277410</t>
        </is>
      </c>
      <c r="E1618" s="3" t="inlineStr">
        <is>
          <t xml:space="preserve">[첨부정정]주주총회소집결의              </t>
        </is>
      </c>
      <c r="F1618" s="3" t="inlineStr">
        <is>
          <t>인산가</t>
        </is>
      </c>
      <c r="G1618" s="2" t="inlineStr">
        <is>
          <t>20260309901210</t>
        </is>
      </c>
      <c r="H1618" s="8">
        <f>HYPERLINK("https://dart.fss.or.kr/dsaf001/main.do?rcpNo=20260309901210", "공시열람")</f>
        <v/>
      </c>
    </row>
    <row r="1619">
      <c r="A1619" s="2" t="inlineStr">
        <is>
          <t>2026-03-09</t>
        </is>
      </c>
      <c r="B1619" s="3" t="inlineStr">
        <is>
          <t>티케이케미칼</t>
        </is>
      </c>
      <c r="C1619" s="2" t="inlineStr">
        <is>
          <t>코스닥</t>
        </is>
      </c>
      <c r="D1619" s="2" t="inlineStr">
        <is>
          <t>104480</t>
        </is>
      </c>
      <c r="E1619" s="3" t="inlineStr">
        <is>
          <t xml:space="preserve">주주총회소집결의              </t>
        </is>
      </c>
      <c r="F1619" s="3" t="inlineStr">
        <is>
          <t>티케이케미칼</t>
        </is>
      </c>
      <c r="G1619" s="2" t="inlineStr">
        <is>
          <t>20260309901213</t>
        </is>
      </c>
      <c r="H1619" s="8">
        <f>HYPERLINK("https://dart.fss.or.kr/dsaf001/main.do?rcpNo=20260309901213", "공시열람")</f>
        <v/>
      </c>
    </row>
    <row r="1620">
      <c r="A1620" s="2" t="inlineStr">
        <is>
          <t>2026-03-09 (정정: 2026-03-09)</t>
        </is>
      </c>
      <c r="B1620" s="3" t="inlineStr">
        <is>
          <t>녹십자엠에스</t>
        </is>
      </c>
      <c r="C1620" s="2" t="inlineStr">
        <is>
          <t>코스닥</t>
        </is>
      </c>
      <c r="D1620" s="2" t="inlineStr">
        <is>
          <t>142280</t>
        </is>
      </c>
      <c r="E1620" s="3" t="inlineStr">
        <is>
          <t>[기재정정]주주총회소집공고</t>
        </is>
      </c>
      <c r="F1620" s="3" t="inlineStr">
        <is>
          <t>녹십자엠에스</t>
        </is>
      </c>
      <c r="G1620" s="2" t="inlineStr">
        <is>
          <t>20260309001790</t>
        </is>
      </c>
      <c r="H1620" s="8">
        <f>HYPERLINK("https://dart.fss.or.kr/dsaf001/main.do?rcpNo=20260309001790", "공시열람")</f>
        <v/>
      </c>
    </row>
    <row r="1621">
      <c r="A1621" s="2" t="inlineStr">
        <is>
          <t>2026-03-10 (정정: 2026-03-10)</t>
        </is>
      </c>
      <c r="B1621" s="3" t="inlineStr">
        <is>
          <t>유진스팩11호</t>
        </is>
      </c>
      <c r="C1621" s="2" t="inlineStr">
        <is>
          <t>코스닥</t>
        </is>
      </c>
      <c r="D1621" s="2" t="inlineStr">
        <is>
          <t>488060</t>
        </is>
      </c>
      <c r="E1621" s="3" t="inlineStr">
        <is>
          <t xml:space="preserve">[기재정정]최대주주변경              </t>
        </is>
      </c>
      <c r="F1621" s="3" t="inlineStr">
        <is>
          <t>유진스팩11호</t>
        </is>
      </c>
      <c r="G1621" s="2" t="inlineStr">
        <is>
          <t>20260310902032</t>
        </is>
      </c>
      <c r="H1621" s="8">
        <f>HYPERLINK("https://dart.fss.or.kr/dsaf001/main.do?rcpNo=20260310902032", "공시열람")</f>
        <v/>
      </c>
    </row>
    <row r="1622">
      <c r="A1622" s="2" t="inlineStr">
        <is>
          <t>2026-03-10</t>
        </is>
      </c>
      <c r="B1622" s="3" t="inlineStr">
        <is>
          <t>알서포트</t>
        </is>
      </c>
      <c r="C1622" s="2" t="inlineStr">
        <is>
          <t>코스닥</t>
        </is>
      </c>
      <c r="D1622" s="2" t="inlineStr">
        <is>
          <t>131370</t>
        </is>
      </c>
      <c r="E1622" s="3" t="inlineStr">
        <is>
          <t xml:space="preserve">주주총회집중일개최사유신고              </t>
        </is>
      </c>
      <c r="F1622" s="3" t="inlineStr">
        <is>
          <t>알서포트</t>
        </is>
      </c>
      <c r="G1622" s="2" t="inlineStr">
        <is>
          <t>20260310902027</t>
        </is>
      </c>
      <c r="H1622" s="8">
        <f>HYPERLINK("https://dart.fss.or.kr/dsaf001/main.do?rcpNo=20260310902027", "공시열람")</f>
        <v/>
      </c>
    </row>
    <row r="1623">
      <c r="A1623" s="2" t="inlineStr">
        <is>
          <t>2026-03-10</t>
        </is>
      </c>
      <c r="B1623" s="3" t="inlineStr">
        <is>
          <t>알서포트</t>
        </is>
      </c>
      <c r="C1623" s="2" t="inlineStr">
        <is>
          <t>코스닥</t>
        </is>
      </c>
      <c r="D1623" s="2" t="inlineStr">
        <is>
          <t>131370</t>
        </is>
      </c>
      <c r="E1623" s="3" t="inlineStr">
        <is>
          <t xml:space="preserve">주주총회소집결의              </t>
        </is>
      </c>
      <c r="F1623" s="3" t="inlineStr">
        <is>
          <t>알서포트</t>
        </is>
      </c>
      <c r="G1623" s="2" t="inlineStr">
        <is>
          <t>20260310901829</t>
        </is>
      </c>
      <c r="H1623" s="8">
        <f>HYPERLINK("https://dart.fss.or.kr/dsaf001/main.do?rcpNo=20260310901829", "공시열람")</f>
        <v/>
      </c>
    </row>
    <row r="1624">
      <c r="A1624" s="2" t="inlineStr">
        <is>
          <t>2026-03-10</t>
        </is>
      </c>
      <c r="B1624" s="3" t="inlineStr">
        <is>
          <t>나이스디앤비</t>
        </is>
      </c>
      <c r="C1624" s="2" t="inlineStr">
        <is>
          <t>코스닥</t>
        </is>
      </c>
      <c r="D1624" s="2" t="inlineStr">
        <is>
          <t>130580</t>
        </is>
      </c>
      <c r="E1624" s="3" t="inlineStr">
        <is>
          <t xml:space="preserve">주주총회소집결의              </t>
        </is>
      </c>
      <c r="F1624" s="3" t="inlineStr">
        <is>
          <t>나이스디앤비</t>
        </is>
      </c>
      <c r="G1624" s="2" t="inlineStr">
        <is>
          <t>20260310902024</t>
        </is>
      </c>
      <c r="H1624" s="8">
        <f>HYPERLINK("https://dart.fss.or.kr/dsaf001/main.do?rcpNo=20260310902024", "공시열람")</f>
        <v/>
      </c>
    </row>
    <row r="1625">
      <c r="A1625" s="2" t="inlineStr">
        <is>
          <t>2026-03-10</t>
        </is>
      </c>
      <c r="B1625" s="3" t="inlineStr">
        <is>
          <t>나이스디앤비</t>
        </is>
      </c>
      <c r="C1625" s="2" t="inlineStr">
        <is>
          <t>코스닥</t>
        </is>
      </c>
      <c r="D1625" s="2" t="inlineStr">
        <is>
          <t>130580</t>
        </is>
      </c>
      <c r="E1625" s="3" t="inlineStr">
        <is>
          <t xml:space="preserve">주주총회집중일개최사유신고              </t>
        </is>
      </c>
      <c r="F1625" s="3" t="inlineStr">
        <is>
          <t>나이스디앤비</t>
        </is>
      </c>
      <c r="G1625" s="2" t="inlineStr">
        <is>
          <t>20260310901999</t>
        </is>
      </c>
      <c r="H1625" s="8">
        <f>HYPERLINK("https://dart.fss.or.kr/dsaf001/main.do?rcpNo=20260310901999", "공시열람")</f>
        <v/>
      </c>
    </row>
    <row r="1626">
      <c r="A1626" s="2" t="inlineStr">
        <is>
          <t>2026-03-10</t>
        </is>
      </c>
      <c r="B1626" s="3" t="inlineStr">
        <is>
          <t>인티큐브</t>
        </is>
      </c>
      <c r="C1626" s="2" t="inlineStr">
        <is>
          <t>코스닥</t>
        </is>
      </c>
      <c r="D1626" s="2" t="inlineStr">
        <is>
          <t>070590</t>
        </is>
      </c>
      <c r="E1626" s="3" t="inlineStr">
        <is>
          <t xml:space="preserve">최대주주변경              </t>
        </is>
      </c>
      <c r="F1626" s="3" t="inlineStr">
        <is>
          <t>인티큐브</t>
        </is>
      </c>
      <c r="G1626" s="2" t="inlineStr">
        <is>
          <t>20260310902022</t>
        </is>
      </c>
      <c r="H1626" s="8">
        <f>HYPERLINK("https://dart.fss.or.kr/dsaf001/main.do?rcpNo=20260310902022", "공시열람")</f>
        <v/>
      </c>
    </row>
    <row r="1627">
      <c r="A1627" s="2" t="inlineStr">
        <is>
          <t>2026-03-10 (정정: 2026-03-10)</t>
        </is>
      </c>
      <c r="B1627" s="3" t="inlineStr">
        <is>
          <t>컴투스</t>
        </is>
      </c>
      <c r="C1627" s="2" t="inlineStr">
        <is>
          <t>코스닥</t>
        </is>
      </c>
      <c r="D1627" s="2" t="inlineStr">
        <is>
          <t>078340</t>
        </is>
      </c>
      <c r="E1627" s="3" t="inlineStr">
        <is>
          <t>주주총회집중일개최사유신고               (정정: 20260310) (정정: 20260310) (정정: 20260310)</t>
        </is>
      </c>
      <c r="F1627" s="3" t="inlineStr">
        <is>
          <t>컴투스</t>
        </is>
      </c>
      <c r="G1627" s="2" t="inlineStr">
        <is>
          <t>20260310901425</t>
        </is>
      </c>
      <c r="H1627" s="8">
        <f>HYPERLINK("https://dart.fss.or.kr/dsaf001/main.do?rcpNo=20260310901425", "공시열람")</f>
        <v/>
      </c>
    </row>
    <row r="1628">
      <c r="A1628" s="2" t="inlineStr">
        <is>
          <t>2026-03-10</t>
        </is>
      </c>
      <c r="B1628" s="3" t="inlineStr">
        <is>
          <t>콜마홀딩스</t>
        </is>
      </c>
      <c r="C1628" s="2" t="inlineStr">
        <is>
          <t>코스피</t>
        </is>
      </c>
      <c r="D1628" s="2" t="inlineStr">
        <is>
          <t>024720</t>
        </is>
      </c>
      <c r="E1628" s="3" t="inlineStr">
        <is>
          <t xml:space="preserve">주주총회소집결의              </t>
        </is>
      </c>
      <c r="F1628" s="3" t="inlineStr">
        <is>
          <t>콜마홀딩스</t>
        </is>
      </c>
      <c r="G1628" s="2" t="inlineStr">
        <is>
          <t>20260310802015</t>
        </is>
      </c>
      <c r="H1628" s="8">
        <f>HYPERLINK("https://dart.fss.or.kr/dsaf001/main.do?rcpNo=20260310802015", "공시열람")</f>
        <v/>
      </c>
    </row>
    <row r="1629">
      <c r="A1629" s="2" t="inlineStr">
        <is>
          <t>2026-03-10</t>
        </is>
      </c>
      <c r="B1629" s="3" t="inlineStr">
        <is>
          <t>한빛레이저</t>
        </is>
      </c>
      <c r="C1629" s="2" t="inlineStr">
        <is>
          <t>코스닥</t>
        </is>
      </c>
      <c r="D1629" s="2" t="inlineStr">
        <is>
          <t>452190</t>
        </is>
      </c>
      <c r="E1629" s="3" t="inlineStr">
        <is>
          <t xml:space="preserve">주주총회소집결의              </t>
        </is>
      </c>
      <c r="F1629" s="3" t="inlineStr">
        <is>
          <t>한빛레이저</t>
        </is>
      </c>
      <c r="G1629" s="2" t="inlineStr">
        <is>
          <t>20260310902017</t>
        </is>
      </c>
      <c r="H1629" s="8">
        <f>HYPERLINK("https://dart.fss.or.kr/dsaf001/main.do?rcpNo=20260310902017", "공시열람")</f>
        <v/>
      </c>
    </row>
    <row r="1630">
      <c r="A1630" s="2" t="inlineStr">
        <is>
          <t>2026-03-10</t>
        </is>
      </c>
      <c r="B1630" s="3" t="inlineStr">
        <is>
          <t>인투셀</t>
        </is>
      </c>
      <c r="C1630" s="2" t="inlineStr">
        <is>
          <t>코스닥</t>
        </is>
      </c>
      <c r="D1630" s="2" t="inlineStr">
        <is>
          <t>287840</t>
        </is>
      </c>
      <c r="E1630" s="3" t="inlineStr">
        <is>
          <t xml:space="preserve">주주총회소집결의              </t>
        </is>
      </c>
      <c r="F1630" s="3" t="inlineStr">
        <is>
          <t>인투셀</t>
        </is>
      </c>
      <c r="G1630" s="2" t="inlineStr">
        <is>
          <t>20260310901962</t>
        </is>
      </c>
      <c r="H1630" s="8">
        <f>HYPERLINK("https://dart.fss.or.kr/dsaf001/main.do?rcpNo=20260310901962", "공시열람")</f>
        <v/>
      </c>
    </row>
    <row r="1631">
      <c r="A1631" s="2" t="inlineStr">
        <is>
          <t>2026-03-10</t>
        </is>
      </c>
      <c r="B1631" s="3" t="inlineStr">
        <is>
          <t>에이텍모빌리티</t>
        </is>
      </c>
      <c r="C1631" s="2" t="inlineStr">
        <is>
          <t>코스닥</t>
        </is>
      </c>
      <c r="D1631" s="2" t="inlineStr">
        <is>
          <t>224110</t>
        </is>
      </c>
      <c r="E1631" s="3" t="inlineStr">
        <is>
          <t xml:space="preserve">주주총회집중일개최사유신고              </t>
        </is>
      </c>
      <c r="F1631" s="3" t="inlineStr">
        <is>
          <t>에이텍모빌리티</t>
        </is>
      </c>
      <c r="G1631" s="2" t="inlineStr">
        <is>
          <t>20260310901952</t>
        </is>
      </c>
      <c r="H1631" s="8">
        <f>HYPERLINK("https://dart.fss.or.kr/dsaf001/main.do?rcpNo=20260310901952", "공시열람")</f>
        <v/>
      </c>
    </row>
    <row r="1632">
      <c r="A1632" s="2" t="inlineStr">
        <is>
          <t>2026-03-10</t>
        </is>
      </c>
      <c r="B1632" s="3" t="inlineStr">
        <is>
          <t>코스맥스엔비티</t>
        </is>
      </c>
      <c r="C1632" s="2" t="inlineStr">
        <is>
          <t>코스닥</t>
        </is>
      </c>
      <c r="D1632" s="2" t="inlineStr">
        <is>
          <t>222040</t>
        </is>
      </c>
      <c r="E1632" s="3" t="inlineStr">
        <is>
          <t xml:space="preserve">주주총회집중일개최사유신고              </t>
        </is>
      </c>
      <c r="F1632" s="3" t="inlineStr">
        <is>
          <t>코스맥스엔비티</t>
        </is>
      </c>
      <c r="G1632" s="2" t="inlineStr">
        <is>
          <t>20260310901955</t>
        </is>
      </c>
      <c r="H1632" s="8">
        <f>HYPERLINK("https://dart.fss.or.kr/dsaf001/main.do?rcpNo=20260310901955", "공시열람")</f>
        <v/>
      </c>
    </row>
    <row r="1633">
      <c r="A1633" s="2" t="inlineStr">
        <is>
          <t>2026-03-10 (정정: 2026-03-11)</t>
        </is>
      </c>
      <c r="B1633" s="3" t="inlineStr">
        <is>
          <t>코스맥스엔비티</t>
        </is>
      </c>
      <c r="C1633" s="2" t="inlineStr">
        <is>
          <t>코스닥</t>
        </is>
      </c>
      <c r="D1633" s="2" t="inlineStr">
        <is>
          <t>222040</t>
        </is>
      </c>
      <c r="E1633" s="3" t="inlineStr">
        <is>
          <t>주주총회소집결의               (정정: 20260311)</t>
        </is>
      </c>
      <c r="F1633" s="3" t="inlineStr">
        <is>
          <t>코스맥스엔비티</t>
        </is>
      </c>
      <c r="G1633" s="2" t="inlineStr">
        <is>
          <t>20260311902718</t>
        </is>
      </c>
      <c r="H1633" s="8">
        <f>HYPERLINK("https://dart.fss.or.kr/dsaf001/main.do?rcpNo=20260311902718", "공시열람")</f>
        <v/>
      </c>
    </row>
    <row r="1634">
      <c r="A1634" s="2" t="inlineStr">
        <is>
          <t>2026-03-10</t>
        </is>
      </c>
      <c r="B1634" s="3" t="inlineStr">
        <is>
          <t>에이텍모빌리티</t>
        </is>
      </c>
      <c r="C1634" s="2" t="inlineStr">
        <is>
          <t>코스닥</t>
        </is>
      </c>
      <c r="D1634" s="2" t="inlineStr">
        <is>
          <t>224110</t>
        </is>
      </c>
      <c r="E1634" s="3" t="inlineStr">
        <is>
          <t xml:space="preserve">주주총회소집결의              </t>
        </is>
      </c>
      <c r="F1634" s="3" t="inlineStr">
        <is>
          <t>에이텍모빌리티</t>
        </is>
      </c>
      <c r="G1634" s="2" t="inlineStr">
        <is>
          <t>20260310901944</t>
        </is>
      </c>
      <c r="H1634" s="8">
        <f>HYPERLINK("https://dart.fss.or.kr/dsaf001/main.do?rcpNo=20260310901944", "공시열람")</f>
        <v/>
      </c>
    </row>
    <row r="1635">
      <c r="A1635" s="2" t="inlineStr">
        <is>
          <t>2026-03-10</t>
        </is>
      </c>
      <c r="B1635" s="3" t="inlineStr">
        <is>
          <t>가비아</t>
        </is>
      </c>
      <c r="C1635" s="2" t="inlineStr">
        <is>
          <t>코스닥</t>
        </is>
      </c>
      <c r="D1635" s="2" t="inlineStr">
        <is>
          <t>079940</t>
        </is>
      </c>
      <c r="E1635" s="3" t="inlineStr">
        <is>
          <t xml:space="preserve">주주총회소집결의              </t>
        </is>
      </c>
      <c r="F1635" s="3" t="inlineStr">
        <is>
          <t>가비아</t>
        </is>
      </c>
      <c r="G1635" s="2" t="inlineStr">
        <is>
          <t>20260310901873</t>
        </is>
      </c>
      <c r="H1635" s="8">
        <f>HYPERLINK("https://dart.fss.or.kr/dsaf001/main.do?rcpNo=20260310901873", "공시열람")</f>
        <v/>
      </c>
    </row>
    <row r="1636">
      <c r="A1636" s="2" t="inlineStr">
        <is>
          <t>2026-03-10 (정정: 2026-03-12)</t>
        </is>
      </c>
      <c r="B1636" s="3" t="inlineStr">
        <is>
          <t>영풍</t>
        </is>
      </c>
      <c r="C1636" s="2" t="inlineStr">
        <is>
          <t>코스피</t>
        </is>
      </c>
      <c r="D1636" s="2" t="inlineStr">
        <is>
          <t>000670</t>
        </is>
      </c>
      <c r="E1636" s="3" t="inlineStr">
        <is>
          <t>주주총회집중일개최사유신고               (정정: 20260312)</t>
        </is>
      </c>
      <c r="F1636" s="3" t="inlineStr">
        <is>
          <t>영풍</t>
        </is>
      </c>
      <c r="G1636" s="2" t="inlineStr">
        <is>
          <t>20260312001045</t>
        </is>
      </c>
      <c r="H1636" s="8">
        <f>HYPERLINK("https://dart.fss.or.kr/dsaf001/main.do?rcpNo=20260312001045", "공시열람")</f>
        <v/>
      </c>
    </row>
    <row r="1637">
      <c r="A1637" s="2" t="inlineStr">
        <is>
          <t>2026-03-10</t>
        </is>
      </c>
      <c r="B1637" s="3" t="inlineStr">
        <is>
          <t>유니크</t>
        </is>
      </c>
      <c r="C1637" s="2" t="inlineStr">
        <is>
          <t>코스닥</t>
        </is>
      </c>
      <c r="D1637" s="2" t="inlineStr">
        <is>
          <t>011320</t>
        </is>
      </c>
      <c r="E1637" s="3" t="inlineStr">
        <is>
          <t xml:space="preserve">주주총회소집결의              </t>
        </is>
      </c>
      <c r="F1637" s="3" t="inlineStr">
        <is>
          <t>유니크</t>
        </is>
      </c>
      <c r="G1637" s="2" t="inlineStr">
        <is>
          <t>20260310901934</t>
        </is>
      </c>
      <c r="H1637" s="8">
        <f>HYPERLINK("https://dart.fss.or.kr/dsaf001/main.do?rcpNo=20260310901934", "공시열람")</f>
        <v/>
      </c>
    </row>
    <row r="1638">
      <c r="A1638" s="2" t="inlineStr">
        <is>
          <t>2026-03-10</t>
        </is>
      </c>
      <c r="B1638" s="3" t="inlineStr">
        <is>
          <t>콜마홀딩스</t>
        </is>
      </c>
      <c r="C1638" s="2" t="inlineStr">
        <is>
          <t>코스피</t>
        </is>
      </c>
      <c r="D1638" s="2" t="inlineStr">
        <is>
          <t>024720</t>
        </is>
      </c>
      <c r="E1638" s="3" t="inlineStr">
        <is>
          <t>주주총회소집공고</t>
        </is>
      </c>
      <c r="F1638" s="3" t="inlineStr">
        <is>
          <t>콜마홀딩스</t>
        </is>
      </c>
      <c r="G1638" s="2" t="inlineStr">
        <is>
          <t>20260310003090</t>
        </is>
      </c>
      <c r="H1638" s="8">
        <f>HYPERLINK("https://dart.fss.or.kr/dsaf001/main.do?rcpNo=20260310003090", "공시열람")</f>
        <v/>
      </c>
    </row>
    <row r="1639">
      <c r="A1639" s="2" t="inlineStr">
        <is>
          <t>2026-03-10</t>
        </is>
      </c>
      <c r="B1639" s="3" t="inlineStr">
        <is>
          <t>대호특수강</t>
        </is>
      </c>
      <c r="C1639" s="2" t="inlineStr">
        <is>
          <t>코스닥</t>
        </is>
      </c>
      <c r="D1639" s="2" t="inlineStr">
        <is>
          <t>021040</t>
        </is>
      </c>
      <c r="E1639" s="3" t="inlineStr">
        <is>
          <t xml:space="preserve">주주총회소집결의              </t>
        </is>
      </c>
      <c r="F1639" s="3" t="inlineStr">
        <is>
          <t>대호특수강</t>
        </is>
      </c>
      <c r="G1639" s="2" t="inlineStr">
        <is>
          <t>20260310901916</t>
        </is>
      </c>
      <c r="H1639" s="8">
        <f>HYPERLINK("https://dart.fss.or.kr/dsaf001/main.do?rcpNo=20260310901916", "공시열람")</f>
        <v/>
      </c>
    </row>
    <row r="1640">
      <c r="A1640" s="2" t="inlineStr">
        <is>
          <t>2026-03-10</t>
        </is>
      </c>
      <c r="B1640" s="3" t="inlineStr">
        <is>
          <t>아리바이오LAB</t>
        </is>
      </c>
      <c r="C1640" s="2" t="inlineStr">
        <is>
          <t>코스닥</t>
        </is>
      </c>
      <c r="D1640" s="2" t="inlineStr">
        <is>
          <t>261780</t>
        </is>
      </c>
      <c r="E1640" s="3" t="inlineStr">
        <is>
          <t xml:space="preserve">주주총회집중일개최사유신고              </t>
        </is>
      </c>
      <c r="F1640" s="3" t="inlineStr">
        <is>
          <t>아리바이오LAB</t>
        </is>
      </c>
      <c r="G1640" s="2" t="inlineStr">
        <is>
          <t>20260310901896</t>
        </is>
      </c>
      <c r="H1640" s="8">
        <f>HYPERLINK("https://dart.fss.or.kr/dsaf001/main.do?rcpNo=20260310901896", "공시열람")</f>
        <v/>
      </c>
    </row>
    <row r="1641">
      <c r="A1641" s="2" t="inlineStr">
        <is>
          <t>2026-03-10</t>
        </is>
      </c>
      <c r="B1641" s="3" t="inlineStr">
        <is>
          <t>원익큐브</t>
        </is>
      </c>
      <c r="C1641" s="2" t="inlineStr">
        <is>
          <t>코스닥</t>
        </is>
      </c>
      <c r="D1641" s="2" t="inlineStr">
        <is>
          <t>014190</t>
        </is>
      </c>
      <c r="E1641" s="3" t="inlineStr">
        <is>
          <t>주주총회소집공고</t>
        </is>
      </c>
      <c r="F1641" s="3" t="inlineStr">
        <is>
          <t>원익큐브</t>
        </is>
      </c>
      <c r="G1641" s="2" t="inlineStr">
        <is>
          <t>20260310003086</t>
        </is>
      </c>
      <c r="H1641" s="8">
        <f>HYPERLINK("https://dart.fss.or.kr/dsaf001/main.do?rcpNo=20260310003086", "공시열람")</f>
        <v/>
      </c>
    </row>
    <row r="1642">
      <c r="A1642" s="2" t="inlineStr">
        <is>
          <t>2026-03-10</t>
        </is>
      </c>
      <c r="B1642" s="3" t="inlineStr">
        <is>
          <t>하이브</t>
        </is>
      </c>
      <c r="C1642" s="2" t="inlineStr">
        <is>
          <t>코스피</t>
        </is>
      </c>
      <c r="D1642" s="2" t="inlineStr">
        <is>
          <t>352820</t>
        </is>
      </c>
      <c r="E1642" s="3" t="inlineStr">
        <is>
          <t>주주총회소집공고</t>
        </is>
      </c>
      <c r="F1642" s="3" t="inlineStr">
        <is>
          <t>하이브</t>
        </is>
      </c>
      <c r="G1642" s="2" t="inlineStr">
        <is>
          <t>20260310003084</t>
        </is>
      </c>
      <c r="H1642" s="8">
        <f>HYPERLINK("https://dart.fss.or.kr/dsaf001/main.do?rcpNo=20260310003084", "공시열람")</f>
        <v/>
      </c>
    </row>
    <row r="1643">
      <c r="A1643" s="2" t="inlineStr">
        <is>
          <t>2026-03-10</t>
        </is>
      </c>
      <c r="B1643" s="3" t="inlineStr">
        <is>
          <t>케이티</t>
        </is>
      </c>
      <c r="C1643" s="2" t="inlineStr">
        <is>
          <t>코스피</t>
        </is>
      </c>
      <c r="D1643" s="2" t="inlineStr">
        <is>
          <t>030200</t>
        </is>
      </c>
      <c r="E1643" s="3" t="inlineStr">
        <is>
          <t>주주총회소집공고</t>
        </is>
      </c>
      <c r="F1643" s="3" t="inlineStr">
        <is>
          <t>케이티</t>
        </is>
      </c>
      <c r="G1643" s="2" t="inlineStr">
        <is>
          <t>20260310003082</t>
        </is>
      </c>
      <c r="H1643" s="8">
        <f>HYPERLINK("https://dart.fss.or.kr/dsaf001/main.do?rcpNo=20260310003082", "공시열람")</f>
        <v/>
      </c>
    </row>
    <row r="1644">
      <c r="A1644" s="2" t="inlineStr">
        <is>
          <t>2026-03-10</t>
        </is>
      </c>
      <c r="B1644" s="3" t="inlineStr">
        <is>
          <t>영풍</t>
        </is>
      </c>
      <c r="C1644" s="2" t="inlineStr">
        <is>
          <t>코스피</t>
        </is>
      </c>
      <c r="D1644" s="2" t="inlineStr">
        <is>
          <t>000670</t>
        </is>
      </c>
      <c r="E1644" s="3" t="inlineStr">
        <is>
          <t>주주총회소집공고</t>
        </is>
      </c>
      <c r="F1644" s="3" t="inlineStr">
        <is>
          <t>영풍</t>
        </is>
      </c>
      <c r="G1644" s="2" t="inlineStr">
        <is>
          <t>20260310003081</t>
        </is>
      </c>
      <c r="H1644" s="8">
        <f>HYPERLINK("https://dart.fss.or.kr/dsaf001/main.do?rcpNo=20260310003081", "공시열람")</f>
        <v/>
      </c>
    </row>
    <row r="1645">
      <c r="A1645" s="2" t="inlineStr">
        <is>
          <t>2026-03-10</t>
        </is>
      </c>
      <c r="B1645" s="3" t="inlineStr">
        <is>
          <t>원익큐브</t>
        </is>
      </c>
      <c r="C1645" s="2" t="inlineStr">
        <is>
          <t>코스닥</t>
        </is>
      </c>
      <c r="D1645" s="2" t="inlineStr">
        <is>
          <t>014190</t>
        </is>
      </c>
      <c r="E1645" s="3" t="inlineStr">
        <is>
          <t xml:space="preserve">주주총회소집결의              </t>
        </is>
      </c>
      <c r="F1645" s="3" t="inlineStr">
        <is>
          <t>원익큐브</t>
        </is>
      </c>
      <c r="G1645" s="2" t="inlineStr">
        <is>
          <t>20260310901850</t>
        </is>
      </c>
      <c r="H1645" s="8">
        <f>HYPERLINK("https://dart.fss.or.kr/dsaf001/main.do?rcpNo=20260310901850", "공시열람")</f>
        <v/>
      </c>
    </row>
    <row r="1646">
      <c r="A1646" s="2" t="inlineStr">
        <is>
          <t>2026-03-10</t>
        </is>
      </c>
      <c r="B1646" s="3" t="inlineStr">
        <is>
          <t>영풍</t>
        </is>
      </c>
      <c r="C1646" s="2" t="inlineStr">
        <is>
          <t>코스피</t>
        </is>
      </c>
      <c r="D1646" s="2" t="inlineStr">
        <is>
          <t>000670</t>
        </is>
      </c>
      <c r="E1646" s="3" t="inlineStr">
        <is>
          <t xml:space="preserve">주주총회소집결의              </t>
        </is>
      </c>
      <c r="F1646" s="3" t="inlineStr">
        <is>
          <t>영풍</t>
        </is>
      </c>
      <c r="G1646" s="2" t="inlineStr">
        <is>
          <t>20260310801901</t>
        </is>
      </c>
      <c r="H1646" s="8">
        <f>HYPERLINK("https://dart.fss.or.kr/dsaf001/main.do?rcpNo=20260310801901", "공시열람")</f>
        <v/>
      </c>
    </row>
    <row r="1647">
      <c r="A1647" s="2" t="inlineStr">
        <is>
          <t>2026-03-10</t>
        </is>
      </c>
      <c r="B1647" s="3" t="inlineStr">
        <is>
          <t>케이티</t>
        </is>
      </c>
      <c r="C1647" s="2" t="inlineStr">
        <is>
          <t>코스피</t>
        </is>
      </c>
      <c r="D1647" s="2" t="inlineStr">
        <is>
          <t>030200</t>
        </is>
      </c>
      <c r="E1647" s="3" t="inlineStr">
        <is>
          <t xml:space="preserve">주주총회소집결의              </t>
        </is>
      </c>
      <c r="F1647" s="3" t="inlineStr">
        <is>
          <t>케이티</t>
        </is>
      </c>
      <c r="G1647" s="2" t="inlineStr">
        <is>
          <t>20260310801876</t>
        </is>
      </c>
      <c r="H1647" s="8">
        <f>HYPERLINK("https://dart.fss.or.kr/dsaf001/main.do?rcpNo=20260310801876", "공시열람")</f>
        <v/>
      </c>
    </row>
    <row r="1648">
      <c r="A1648" s="2" t="inlineStr">
        <is>
          <t>2026-03-10</t>
        </is>
      </c>
      <c r="B1648" s="3" t="inlineStr">
        <is>
          <t>산일전기</t>
        </is>
      </c>
      <c r="C1648" s="2" t="inlineStr">
        <is>
          <t>코스피</t>
        </is>
      </c>
      <c r="D1648" s="2" t="inlineStr">
        <is>
          <t>062040</t>
        </is>
      </c>
      <c r="E1648" s="3" t="inlineStr">
        <is>
          <t>주주총회소집공고</t>
        </is>
      </c>
      <c r="F1648" s="3" t="inlineStr">
        <is>
          <t>산일전기</t>
        </is>
      </c>
      <c r="G1648" s="2" t="inlineStr">
        <is>
          <t>20260310003078</t>
        </is>
      </c>
      <c r="H1648" s="8">
        <f>HYPERLINK("https://dart.fss.or.kr/dsaf001/main.do?rcpNo=20260310003078", "공시열람")</f>
        <v/>
      </c>
    </row>
    <row r="1649">
      <c r="A1649" s="2" t="inlineStr">
        <is>
          <t>2026-03-10</t>
        </is>
      </c>
      <c r="B1649" s="3" t="inlineStr">
        <is>
          <t>케이엔에스</t>
        </is>
      </c>
      <c r="C1649" s="2" t="inlineStr">
        <is>
          <t>코스닥</t>
        </is>
      </c>
      <c r="D1649" s="2" t="inlineStr">
        <is>
          <t>432470</t>
        </is>
      </c>
      <c r="E1649" s="3" t="inlineStr">
        <is>
          <t>주주총회소집공고</t>
        </is>
      </c>
      <c r="F1649" s="3" t="inlineStr">
        <is>
          <t>케이엔에스</t>
        </is>
      </c>
      <c r="G1649" s="2" t="inlineStr">
        <is>
          <t>20260310003076</t>
        </is>
      </c>
      <c r="H1649" s="8">
        <f>HYPERLINK("https://dart.fss.or.kr/dsaf001/main.do?rcpNo=20260310003076", "공시열람")</f>
        <v/>
      </c>
    </row>
    <row r="1650">
      <c r="A1650" s="2" t="inlineStr">
        <is>
          <t>2026-03-10</t>
        </is>
      </c>
      <c r="B1650" s="3" t="inlineStr">
        <is>
          <t>산일전기</t>
        </is>
      </c>
      <c r="C1650" s="2" t="inlineStr">
        <is>
          <t>코스피</t>
        </is>
      </c>
      <c r="D1650" s="2" t="inlineStr">
        <is>
          <t>062040</t>
        </is>
      </c>
      <c r="E1650" s="3" t="inlineStr">
        <is>
          <t xml:space="preserve">주주총회집중일개최사유신고              </t>
        </is>
      </c>
      <c r="F1650" s="3" t="inlineStr">
        <is>
          <t>산일전기</t>
        </is>
      </c>
      <c r="G1650" s="2" t="inlineStr">
        <is>
          <t>20260310801890</t>
        </is>
      </c>
      <c r="H1650" s="8">
        <f>HYPERLINK("https://dart.fss.or.kr/dsaf001/main.do?rcpNo=20260310801890", "공시열람")</f>
        <v/>
      </c>
    </row>
    <row r="1651">
      <c r="A1651" s="2" t="inlineStr">
        <is>
          <t>2026-03-10</t>
        </is>
      </c>
      <c r="B1651" s="3" t="inlineStr">
        <is>
          <t>산일전기</t>
        </is>
      </c>
      <c r="C1651" s="2" t="inlineStr">
        <is>
          <t>코스피</t>
        </is>
      </c>
      <c r="D1651" s="2" t="inlineStr">
        <is>
          <t>062040</t>
        </is>
      </c>
      <c r="E1651" s="3" t="inlineStr">
        <is>
          <t xml:space="preserve">주주총회소집결의              </t>
        </is>
      </c>
      <c r="F1651" s="3" t="inlineStr">
        <is>
          <t>산일전기</t>
        </is>
      </c>
      <c r="G1651" s="2" t="inlineStr">
        <is>
          <t>20260310801869</t>
        </is>
      </c>
      <c r="H1651" s="8">
        <f>HYPERLINK("https://dart.fss.or.kr/dsaf001/main.do?rcpNo=20260310801869", "공시열람")</f>
        <v/>
      </c>
    </row>
    <row r="1652">
      <c r="A1652" s="2" t="inlineStr">
        <is>
          <t>2026-03-10</t>
        </is>
      </c>
      <c r="B1652" s="3" t="inlineStr">
        <is>
          <t>하이브</t>
        </is>
      </c>
      <c r="C1652" s="2" t="inlineStr">
        <is>
          <t>코스피</t>
        </is>
      </c>
      <c r="D1652" s="2" t="inlineStr">
        <is>
          <t>352820</t>
        </is>
      </c>
      <c r="E1652" s="3" t="inlineStr">
        <is>
          <t xml:space="preserve">주주총회소집결의              </t>
        </is>
      </c>
      <c r="F1652" s="3" t="inlineStr">
        <is>
          <t>하이브</t>
        </is>
      </c>
      <c r="G1652" s="2" t="inlineStr">
        <is>
          <t>20260310801862</t>
        </is>
      </c>
      <c r="H1652" s="8">
        <f>HYPERLINK("https://dart.fss.or.kr/dsaf001/main.do?rcpNo=20260310801862", "공시열람")</f>
        <v/>
      </c>
    </row>
    <row r="1653">
      <c r="A1653" s="2" t="inlineStr">
        <is>
          <t>2026-03-10</t>
        </is>
      </c>
      <c r="B1653" s="3" t="inlineStr">
        <is>
          <t>케이엔에스</t>
        </is>
      </c>
      <c r="C1653" s="2" t="inlineStr">
        <is>
          <t>코스닥</t>
        </is>
      </c>
      <c r="D1653" s="2" t="inlineStr">
        <is>
          <t>432470</t>
        </is>
      </c>
      <c r="E1653" s="3" t="inlineStr">
        <is>
          <t xml:space="preserve">주주총회소집결의              </t>
        </is>
      </c>
      <c r="F1653" s="3" t="inlineStr">
        <is>
          <t>케이엔에스</t>
        </is>
      </c>
      <c r="G1653" s="2" t="inlineStr">
        <is>
          <t>20260310901893</t>
        </is>
      </c>
      <c r="H1653" s="8">
        <f>HYPERLINK("https://dart.fss.or.kr/dsaf001/main.do?rcpNo=20260310901893", "공시열람")</f>
        <v/>
      </c>
    </row>
    <row r="1654">
      <c r="A1654" s="2" t="inlineStr">
        <is>
          <t>2026-03-10</t>
        </is>
      </c>
      <c r="B1654" s="3" t="inlineStr">
        <is>
          <t>아리바이오LAB</t>
        </is>
      </c>
      <c r="C1654" s="2" t="inlineStr">
        <is>
          <t>코스닥</t>
        </is>
      </c>
      <c r="D1654" s="2" t="inlineStr">
        <is>
          <t>261780</t>
        </is>
      </c>
      <c r="E1654" s="3" t="inlineStr">
        <is>
          <t>주주총회소집공고</t>
        </is>
      </c>
      <c r="F1654" s="3" t="inlineStr">
        <is>
          <t>아리바이오LAB</t>
        </is>
      </c>
      <c r="G1654" s="2" t="inlineStr">
        <is>
          <t>20260310003069</t>
        </is>
      </c>
      <c r="H1654" s="8">
        <f>HYPERLINK("https://dart.fss.or.kr/dsaf001/main.do?rcpNo=20260310003069", "공시열람")</f>
        <v/>
      </c>
    </row>
    <row r="1655">
      <c r="A1655" s="2" t="inlineStr">
        <is>
          <t>2026-03-10</t>
        </is>
      </c>
      <c r="B1655" s="3" t="inlineStr">
        <is>
          <t>아리바이오LAB</t>
        </is>
      </c>
      <c r="C1655" s="2" t="inlineStr">
        <is>
          <t>코스닥</t>
        </is>
      </c>
      <c r="D1655" s="2" t="inlineStr">
        <is>
          <t>261780</t>
        </is>
      </c>
      <c r="E1655" s="3" t="inlineStr">
        <is>
          <t xml:space="preserve">주주총회소집결의              </t>
        </is>
      </c>
      <c r="F1655" s="3" t="inlineStr">
        <is>
          <t>아리바이오LAB</t>
        </is>
      </c>
      <c r="G1655" s="2" t="inlineStr">
        <is>
          <t>20260310901866</t>
        </is>
      </c>
      <c r="H1655" s="8">
        <f>HYPERLINK("https://dart.fss.or.kr/dsaf001/main.do?rcpNo=20260310901866", "공시열람")</f>
        <v/>
      </c>
    </row>
    <row r="1656">
      <c r="A1656" s="2" t="inlineStr">
        <is>
          <t>2026-03-10</t>
        </is>
      </c>
      <c r="B1656" s="3" t="inlineStr">
        <is>
          <t>한국토지신탁</t>
        </is>
      </c>
      <c r="C1656" s="2" t="inlineStr">
        <is>
          <t>코스피</t>
        </is>
      </c>
      <c r="D1656" s="2" t="inlineStr">
        <is>
          <t>034830</t>
        </is>
      </c>
      <c r="E1656" s="3" t="inlineStr">
        <is>
          <t xml:space="preserve">주주총회소집결의              </t>
        </is>
      </c>
      <c r="F1656" s="3" t="inlineStr">
        <is>
          <t>한국토지신탁</t>
        </is>
      </c>
      <c r="G1656" s="2" t="inlineStr">
        <is>
          <t>20260310801870</t>
        </is>
      </c>
      <c r="H1656" s="8">
        <f>HYPERLINK("https://dart.fss.or.kr/dsaf001/main.do?rcpNo=20260310801870", "공시열람")</f>
        <v/>
      </c>
    </row>
    <row r="1657">
      <c r="A1657" s="2" t="inlineStr">
        <is>
          <t>2026-03-10</t>
        </is>
      </c>
      <c r="B1657" s="3" t="inlineStr">
        <is>
          <t>HMM</t>
        </is>
      </c>
      <c r="C1657" s="2" t="inlineStr">
        <is>
          <t>코스피</t>
        </is>
      </c>
      <c r="D1657" s="2" t="inlineStr">
        <is>
          <t>011200</t>
        </is>
      </c>
      <c r="E1657" s="3" t="inlineStr">
        <is>
          <t xml:space="preserve">주주총회소집결의              </t>
        </is>
      </c>
      <c r="F1657" s="3" t="inlineStr">
        <is>
          <t>HMM</t>
        </is>
      </c>
      <c r="G1657" s="2" t="inlineStr">
        <is>
          <t>20260310801872</t>
        </is>
      </c>
      <c r="H1657" s="8">
        <f>HYPERLINK("https://dart.fss.or.kr/dsaf001/main.do?rcpNo=20260310801872", "공시열람")</f>
        <v/>
      </c>
    </row>
    <row r="1658">
      <c r="A1658" s="2" t="inlineStr">
        <is>
          <t>2026-03-10</t>
        </is>
      </c>
      <c r="B1658" s="3" t="inlineStr">
        <is>
          <t>소프트캠프</t>
        </is>
      </c>
      <c r="C1658" s="2" t="inlineStr">
        <is>
          <t>코스닥</t>
        </is>
      </c>
      <c r="D1658" s="2" t="inlineStr">
        <is>
          <t>258790</t>
        </is>
      </c>
      <c r="E1658" s="3" t="inlineStr">
        <is>
          <t xml:space="preserve">주주총회소집결의              </t>
        </is>
      </c>
      <c r="F1658" s="3" t="inlineStr">
        <is>
          <t>소프트캠프</t>
        </is>
      </c>
      <c r="G1658" s="2" t="inlineStr">
        <is>
          <t>20260310901871</t>
        </is>
      </c>
      <c r="H1658" s="8">
        <f>HYPERLINK("https://dart.fss.or.kr/dsaf001/main.do?rcpNo=20260310901871", "공시열람")</f>
        <v/>
      </c>
    </row>
    <row r="1659">
      <c r="A1659" s="2" t="inlineStr">
        <is>
          <t>2026-03-10</t>
        </is>
      </c>
      <c r="B1659" s="3" t="inlineStr">
        <is>
          <t>제이엔케이글로벌</t>
        </is>
      </c>
      <c r="C1659" s="2" t="inlineStr">
        <is>
          <t>코스닥</t>
        </is>
      </c>
      <c r="D1659" s="2" t="inlineStr">
        <is>
          <t>126880</t>
        </is>
      </c>
      <c r="E1659" s="3" t="inlineStr">
        <is>
          <t>주주총회소집공고</t>
        </is>
      </c>
      <c r="F1659" s="3" t="inlineStr">
        <is>
          <t>제이엔케이글로벌</t>
        </is>
      </c>
      <c r="G1659" s="2" t="inlineStr">
        <is>
          <t>20260310003056</t>
        </is>
      </c>
      <c r="H1659" s="8">
        <f>HYPERLINK("https://dart.fss.or.kr/dsaf001/main.do?rcpNo=20260310003056", "공시열람")</f>
        <v/>
      </c>
    </row>
    <row r="1660">
      <c r="A1660" s="2" t="inlineStr">
        <is>
          <t>2026-03-10</t>
        </is>
      </c>
      <c r="B1660" s="3" t="inlineStr">
        <is>
          <t>한솔케미칼</t>
        </is>
      </c>
      <c r="C1660" s="2" t="inlineStr">
        <is>
          <t>코스피</t>
        </is>
      </c>
      <c r="D1660" s="2" t="inlineStr">
        <is>
          <t>014680</t>
        </is>
      </c>
      <c r="E1660" s="3" t="inlineStr">
        <is>
          <t xml:space="preserve">[기재정정]주주총회소집결의              </t>
        </is>
      </c>
      <c r="F1660" s="3" t="inlineStr">
        <is>
          <t>한솔케미칼</t>
        </is>
      </c>
      <c r="G1660" s="2" t="inlineStr">
        <is>
          <t>20260310801847</t>
        </is>
      </c>
      <c r="H1660" s="8">
        <f>HYPERLINK("https://dart.fss.or.kr/dsaf001/main.do?rcpNo=20260310801847", "공시열람")</f>
        <v/>
      </c>
    </row>
    <row r="1661">
      <c r="A1661" s="2" t="inlineStr">
        <is>
          <t>2026-03-10</t>
        </is>
      </c>
      <c r="B1661" s="3" t="inlineStr">
        <is>
          <t>지에프아이</t>
        </is>
      </c>
      <c r="C1661" s="2" t="inlineStr">
        <is>
          <t>코스닥</t>
        </is>
      </c>
      <c r="D1661" s="2" t="inlineStr">
        <is>
          <t>493330</t>
        </is>
      </c>
      <c r="E1661" s="3" t="inlineStr">
        <is>
          <t>[기재정정]주주총회소집공고</t>
        </is>
      </c>
      <c r="F1661" s="3" t="inlineStr">
        <is>
          <t>지에프아이</t>
        </is>
      </c>
      <c r="G1661" s="2" t="inlineStr">
        <is>
          <t>20260310003048</t>
        </is>
      </c>
      <c r="H1661" s="8">
        <f>HYPERLINK("https://dart.fss.or.kr/dsaf001/main.do?rcpNo=20260310003048", "공시열람")</f>
        <v/>
      </c>
    </row>
    <row r="1662">
      <c r="A1662" s="2" t="inlineStr">
        <is>
          <t>2026-03-10</t>
        </is>
      </c>
      <c r="B1662" s="3" t="inlineStr">
        <is>
          <t>신풍제약</t>
        </is>
      </c>
      <c r="C1662" s="2" t="inlineStr">
        <is>
          <t>코스피</t>
        </is>
      </c>
      <c r="D1662" s="2" t="inlineStr">
        <is>
          <t>019170</t>
        </is>
      </c>
      <c r="E1662" s="3" t="inlineStr">
        <is>
          <t xml:space="preserve">주주총회집중일개최사유신고              </t>
        </is>
      </c>
      <c r="F1662" s="3" t="inlineStr">
        <is>
          <t>신풍제약</t>
        </is>
      </c>
      <c r="G1662" s="2" t="inlineStr">
        <is>
          <t>20260310801775</t>
        </is>
      </c>
      <c r="H1662" s="8">
        <f>HYPERLINK("https://dart.fss.or.kr/dsaf001/main.do?rcpNo=20260310801775", "공시열람")</f>
        <v/>
      </c>
    </row>
    <row r="1663">
      <c r="A1663" s="2" t="inlineStr">
        <is>
          <t>2026-03-10</t>
        </is>
      </c>
      <c r="B1663" s="3" t="inlineStr">
        <is>
          <t>유라테크</t>
        </is>
      </c>
      <c r="C1663" s="2" t="inlineStr">
        <is>
          <t>코스닥</t>
        </is>
      </c>
      <c r="D1663" s="2" t="inlineStr">
        <is>
          <t>048430</t>
        </is>
      </c>
      <c r="E1663" s="3" t="inlineStr">
        <is>
          <t>주주총회소집공고</t>
        </is>
      </c>
      <c r="F1663" s="3" t="inlineStr">
        <is>
          <t>유라테크</t>
        </is>
      </c>
      <c r="G1663" s="2" t="inlineStr">
        <is>
          <t>20260310003044</t>
        </is>
      </c>
      <c r="H1663" s="8">
        <f>HYPERLINK("https://dart.fss.or.kr/dsaf001/main.do?rcpNo=20260310003044", "공시열람")</f>
        <v/>
      </c>
    </row>
    <row r="1664">
      <c r="A1664" s="2" t="inlineStr">
        <is>
          <t>2026-03-10 (정정: 2026-03-10)</t>
        </is>
      </c>
      <c r="B1664" s="3" t="inlineStr">
        <is>
          <t>신풍제약</t>
        </is>
      </c>
      <c r="C1664" s="2" t="inlineStr">
        <is>
          <t>코스피</t>
        </is>
      </c>
      <c r="D1664" s="2" t="inlineStr">
        <is>
          <t>019170</t>
        </is>
      </c>
      <c r="E1664" s="3" t="inlineStr">
        <is>
          <t>주주총회소집결의               (정정: 20260310)</t>
        </is>
      </c>
      <c r="F1664" s="3" t="inlineStr">
        <is>
          <t>신풍제약</t>
        </is>
      </c>
      <c r="G1664" s="2" t="inlineStr">
        <is>
          <t>20260310801752</t>
        </is>
      </c>
      <c r="H1664" s="8">
        <f>HYPERLINK("https://dart.fss.or.kr/dsaf001/main.do?rcpNo=20260310801752", "공시열람")</f>
        <v/>
      </c>
    </row>
    <row r="1665">
      <c r="A1665" s="2" t="inlineStr">
        <is>
          <t>2026-03-10</t>
        </is>
      </c>
      <c r="B1665" s="3" t="inlineStr">
        <is>
          <t>신풍제약</t>
        </is>
      </c>
      <c r="C1665" s="2" t="inlineStr">
        <is>
          <t>코스피</t>
        </is>
      </c>
      <c r="D1665" s="2" t="inlineStr">
        <is>
          <t>019170</t>
        </is>
      </c>
      <c r="E1665" s="3" t="inlineStr">
        <is>
          <t>주주총회소집공고</t>
        </is>
      </c>
      <c r="F1665" s="3" t="inlineStr">
        <is>
          <t>신풍제약</t>
        </is>
      </c>
      <c r="G1665" s="2" t="inlineStr">
        <is>
          <t>20260310003040</t>
        </is>
      </c>
      <c r="H1665" s="8">
        <f>HYPERLINK("https://dart.fss.or.kr/dsaf001/main.do?rcpNo=20260310003040", "공시열람")</f>
        <v/>
      </c>
    </row>
    <row r="1666">
      <c r="A1666" s="2" t="inlineStr">
        <is>
          <t>2026-03-10</t>
        </is>
      </c>
      <c r="B1666" s="3" t="inlineStr">
        <is>
          <t>제이엔케이글로벌</t>
        </is>
      </c>
      <c r="C1666" s="2" t="inlineStr">
        <is>
          <t>코스닥</t>
        </is>
      </c>
      <c r="D1666" s="2" t="inlineStr">
        <is>
          <t>126880</t>
        </is>
      </c>
      <c r="E1666" s="3" t="inlineStr">
        <is>
          <t xml:space="preserve">주주총회소집결의              </t>
        </is>
      </c>
      <c r="F1666" s="3" t="inlineStr">
        <is>
          <t>제이엔케이글로벌</t>
        </is>
      </c>
      <c r="G1666" s="2" t="inlineStr">
        <is>
          <t>20260310901781</t>
        </is>
      </c>
      <c r="H1666" s="8">
        <f>HYPERLINK("https://dart.fss.or.kr/dsaf001/main.do?rcpNo=20260310901781", "공시열람")</f>
        <v/>
      </c>
    </row>
    <row r="1667">
      <c r="A1667" s="2" t="inlineStr">
        <is>
          <t>2026-03-10</t>
        </is>
      </c>
      <c r="B1667" s="3" t="inlineStr">
        <is>
          <t>와이즈넛</t>
        </is>
      </c>
      <c r="C1667" s="2" t="inlineStr">
        <is>
          <t>코스닥</t>
        </is>
      </c>
      <c r="D1667" s="2" t="inlineStr">
        <is>
          <t>096250</t>
        </is>
      </c>
      <c r="E1667" s="3" t="inlineStr">
        <is>
          <t xml:space="preserve">주주총회소집결의              </t>
        </is>
      </c>
      <c r="F1667" s="3" t="inlineStr">
        <is>
          <t>와이즈넛</t>
        </is>
      </c>
      <c r="G1667" s="2" t="inlineStr">
        <is>
          <t>20260310901760</t>
        </is>
      </c>
      <c r="H1667" s="8">
        <f>HYPERLINK("https://dart.fss.or.kr/dsaf001/main.do?rcpNo=20260310901760", "공시열람")</f>
        <v/>
      </c>
    </row>
    <row r="1668">
      <c r="A1668" s="2" t="inlineStr">
        <is>
          <t>2026-03-10</t>
        </is>
      </c>
      <c r="B1668" s="3" t="inlineStr">
        <is>
          <t>EMB</t>
        </is>
      </c>
      <c r="C1668" s="2" t="inlineStr">
        <is>
          <t>코넥스</t>
        </is>
      </c>
      <c r="D1668" s="2" t="inlineStr">
        <is>
          <t>278990</t>
        </is>
      </c>
      <c r="E1668" s="3" t="inlineStr">
        <is>
          <t>주주총회소집공고</t>
        </is>
      </c>
      <c r="F1668" s="3" t="inlineStr">
        <is>
          <t>EMB</t>
        </is>
      </c>
      <c r="G1668" s="2" t="inlineStr">
        <is>
          <t>20260310003033</t>
        </is>
      </c>
      <c r="H1668" s="8">
        <f>HYPERLINK("https://dart.fss.or.kr/dsaf001/main.do?rcpNo=20260310003033", "공시열람")</f>
        <v/>
      </c>
    </row>
    <row r="1669">
      <c r="A1669" s="2" t="inlineStr">
        <is>
          <t>2026-03-10</t>
        </is>
      </c>
      <c r="B1669" s="3" t="inlineStr">
        <is>
          <t>영원무역홀딩스</t>
        </is>
      </c>
      <c r="C1669" s="2" t="inlineStr">
        <is>
          <t>코스피</t>
        </is>
      </c>
      <c r="D1669" s="2" t="inlineStr">
        <is>
          <t>009970</t>
        </is>
      </c>
      <c r="E1669" s="3" t="inlineStr">
        <is>
          <t xml:space="preserve">주주총회소집결의              </t>
        </is>
      </c>
      <c r="F1669" s="3" t="inlineStr">
        <is>
          <t>영원무역홀딩스</t>
        </is>
      </c>
      <c r="G1669" s="2" t="inlineStr">
        <is>
          <t>20260310801737</t>
        </is>
      </c>
      <c r="H1669" s="8">
        <f>HYPERLINK("https://dart.fss.or.kr/dsaf001/main.do?rcpNo=20260310801737", "공시열람")</f>
        <v/>
      </c>
    </row>
    <row r="1670">
      <c r="A1670" s="2" t="inlineStr">
        <is>
          <t>2026-03-10 (정정: 2026-03-13)</t>
        </is>
      </c>
      <c r="B1670" s="3" t="inlineStr">
        <is>
          <t>TP</t>
        </is>
      </c>
      <c r="C1670" s="2" t="inlineStr">
        <is>
          <t>코스피</t>
        </is>
      </c>
      <c r="D1670" s="2" t="inlineStr">
        <is>
          <t>007980</t>
        </is>
      </c>
      <c r="E1670" s="3" t="inlineStr">
        <is>
          <t>주주총회소집결의               (정정: 20260313)</t>
        </is>
      </c>
      <c r="F1670" s="3" t="inlineStr">
        <is>
          <t>TP</t>
        </is>
      </c>
      <c r="G1670" s="2" t="inlineStr">
        <is>
          <t>20260313001300</t>
        </is>
      </c>
      <c r="H1670" s="8">
        <f>HYPERLINK("https://dart.fss.or.kr/dsaf001/main.do?rcpNo=20260313001300", "공시열람")</f>
        <v/>
      </c>
    </row>
    <row r="1671">
      <c r="A1671" s="2" t="inlineStr">
        <is>
          <t>2026-03-10</t>
        </is>
      </c>
      <c r="B1671" s="3" t="inlineStr">
        <is>
          <t>KC산업</t>
        </is>
      </c>
      <c r="C1671" s="2" t="inlineStr">
        <is>
          <t>코넥스</t>
        </is>
      </c>
      <c r="D1671" s="2" t="inlineStr">
        <is>
          <t>112190</t>
        </is>
      </c>
      <c r="E1671" s="3" t="inlineStr">
        <is>
          <t xml:space="preserve">[기재정정]주주총회집중일개최사유신고              </t>
        </is>
      </c>
      <c r="F1671" s="3" t="inlineStr">
        <is>
          <t>KC산업</t>
        </is>
      </c>
      <c r="G1671" s="2" t="inlineStr">
        <is>
          <t>20260310601818</t>
        </is>
      </c>
      <c r="H1671" s="8">
        <f>HYPERLINK("https://dart.fss.or.kr/dsaf001/main.do?rcpNo=20260310601818", "공시열람")</f>
        <v/>
      </c>
    </row>
    <row r="1672">
      <c r="A1672" s="2" t="inlineStr">
        <is>
          <t>2026-03-10</t>
        </is>
      </c>
      <c r="B1672" s="3" t="inlineStr">
        <is>
          <t>유라테크</t>
        </is>
      </c>
      <c r="C1672" s="2" t="inlineStr">
        <is>
          <t>코스닥</t>
        </is>
      </c>
      <c r="D1672" s="2" t="inlineStr">
        <is>
          <t>048430</t>
        </is>
      </c>
      <c r="E1672" s="3" t="inlineStr">
        <is>
          <t xml:space="preserve">주주총회집중일개최사유신고              </t>
        </is>
      </c>
      <c r="F1672" s="3" t="inlineStr">
        <is>
          <t>유라테크</t>
        </is>
      </c>
      <c r="G1672" s="2" t="inlineStr">
        <is>
          <t>20260310901721</t>
        </is>
      </c>
      <c r="H1672" s="8">
        <f>HYPERLINK("https://dart.fss.or.kr/dsaf001/main.do?rcpNo=20260310901721", "공시열람")</f>
        <v/>
      </c>
    </row>
    <row r="1673">
      <c r="A1673" s="2" t="inlineStr">
        <is>
          <t>2026-03-10</t>
        </is>
      </c>
      <c r="B1673" s="3" t="inlineStr">
        <is>
          <t>램테크놀러지</t>
        </is>
      </c>
      <c r="C1673" s="2" t="inlineStr">
        <is>
          <t>코스닥</t>
        </is>
      </c>
      <c r="D1673" s="2" t="inlineStr">
        <is>
          <t>171010</t>
        </is>
      </c>
      <c r="E1673" s="3" t="inlineStr">
        <is>
          <t>주주총회소집공고</t>
        </is>
      </c>
      <c r="F1673" s="3" t="inlineStr">
        <is>
          <t>램테크놀러지</t>
        </is>
      </c>
      <c r="G1673" s="2" t="inlineStr">
        <is>
          <t>20260310003025</t>
        </is>
      </c>
      <c r="H1673" s="8">
        <f>HYPERLINK("https://dart.fss.or.kr/dsaf001/main.do?rcpNo=20260310003025", "공시열람")</f>
        <v/>
      </c>
    </row>
    <row r="1674">
      <c r="A1674" s="2" t="inlineStr">
        <is>
          <t>2026-03-10 (정정: 2026-03-10)</t>
        </is>
      </c>
      <c r="B1674" s="3" t="inlineStr">
        <is>
          <t>서연이화</t>
        </is>
      </c>
      <c r="C1674" s="2" t="inlineStr">
        <is>
          <t>코스피</t>
        </is>
      </c>
      <c r="D1674" s="2" t="inlineStr">
        <is>
          <t>200880</t>
        </is>
      </c>
      <c r="E1674" s="3" t="inlineStr">
        <is>
          <t>주주총회소집공고 (정정: 20260310)</t>
        </is>
      </c>
      <c r="F1674" s="3" t="inlineStr">
        <is>
          <t>서연이화</t>
        </is>
      </c>
      <c r="G1674" s="2" t="inlineStr">
        <is>
          <t>20260310801728</t>
        </is>
      </c>
      <c r="H1674" s="8">
        <f>HYPERLINK("https://dart.fss.or.kr/dsaf001/main.do?rcpNo=20260310801728", "공시열람")</f>
        <v/>
      </c>
    </row>
    <row r="1675">
      <c r="A1675" s="2" t="inlineStr">
        <is>
          <t>2026-03-10</t>
        </is>
      </c>
      <c r="B1675" s="3" t="inlineStr">
        <is>
          <t>두산테스나</t>
        </is>
      </c>
      <c r="C1675" s="2" t="inlineStr">
        <is>
          <t>코스닥</t>
        </is>
      </c>
      <c r="D1675" s="2" t="inlineStr">
        <is>
          <t>131970</t>
        </is>
      </c>
      <c r="E1675" s="3" t="inlineStr">
        <is>
          <t xml:space="preserve">주주총회소집결의              </t>
        </is>
      </c>
      <c r="F1675" s="3" t="inlineStr">
        <is>
          <t>두산테스나</t>
        </is>
      </c>
      <c r="G1675" s="2" t="inlineStr">
        <is>
          <t>20260310901735</t>
        </is>
      </c>
      <c r="H1675" s="8">
        <f>HYPERLINK("https://dart.fss.or.kr/dsaf001/main.do?rcpNo=20260310901735", "공시열람")</f>
        <v/>
      </c>
    </row>
    <row r="1676">
      <c r="A1676" s="2" t="inlineStr">
        <is>
          <t>2026-03-10</t>
        </is>
      </c>
      <c r="B1676" s="3" t="inlineStr">
        <is>
          <t>국전</t>
        </is>
      </c>
      <c r="C1676" s="2" t="inlineStr">
        <is>
          <t>코스닥</t>
        </is>
      </c>
      <c r="D1676" s="2" t="inlineStr">
        <is>
          <t>307750</t>
        </is>
      </c>
      <c r="E1676" s="3" t="inlineStr">
        <is>
          <t>주주총회소집공고</t>
        </is>
      </c>
      <c r="F1676" s="3" t="inlineStr">
        <is>
          <t>국전</t>
        </is>
      </c>
      <c r="G1676" s="2" t="inlineStr">
        <is>
          <t>20260310003018</t>
        </is>
      </c>
      <c r="H1676" s="8">
        <f>HYPERLINK("https://dart.fss.or.kr/dsaf001/main.do?rcpNo=20260310003018", "공시열람")</f>
        <v/>
      </c>
    </row>
    <row r="1677">
      <c r="A1677" s="2" t="inlineStr">
        <is>
          <t>2026-03-10</t>
        </is>
      </c>
      <c r="B1677" s="3" t="inlineStr">
        <is>
          <t>두산테스나</t>
        </is>
      </c>
      <c r="C1677" s="2" t="inlineStr">
        <is>
          <t>코스닥</t>
        </is>
      </c>
      <c r="D1677" s="2" t="inlineStr">
        <is>
          <t>131970</t>
        </is>
      </c>
      <c r="E1677" s="3" t="inlineStr">
        <is>
          <t>주주총회소집공고</t>
        </is>
      </c>
      <c r="F1677" s="3" t="inlineStr">
        <is>
          <t>두산테스나</t>
        </is>
      </c>
      <c r="G1677" s="2" t="inlineStr">
        <is>
          <t>20260310003017</t>
        </is>
      </c>
      <c r="H1677" s="8">
        <f>HYPERLINK("https://dart.fss.or.kr/dsaf001/main.do?rcpNo=20260310003017", "공시열람")</f>
        <v/>
      </c>
    </row>
    <row r="1678">
      <c r="A1678" s="2" t="inlineStr">
        <is>
          <t>2026-03-10</t>
        </is>
      </c>
      <c r="B1678" s="3" t="inlineStr">
        <is>
          <t>컴투스</t>
        </is>
      </c>
      <c r="C1678" s="2" t="inlineStr">
        <is>
          <t>코스닥</t>
        </is>
      </c>
      <c r="D1678" s="2" t="inlineStr">
        <is>
          <t>078340</t>
        </is>
      </c>
      <c r="E1678" s="3" t="inlineStr">
        <is>
          <t>주주총회소집공고</t>
        </is>
      </c>
      <c r="F1678" s="3" t="inlineStr">
        <is>
          <t>컴투스</t>
        </is>
      </c>
      <c r="G1678" s="2" t="inlineStr">
        <is>
          <t>20260310003015</t>
        </is>
      </c>
      <c r="H1678" s="8">
        <f>HYPERLINK("https://dart.fss.or.kr/dsaf001/main.do?rcpNo=20260310003015", "공시열람")</f>
        <v/>
      </c>
    </row>
    <row r="1679">
      <c r="A1679" s="2" t="inlineStr">
        <is>
          <t>2026-03-10</t>
        </is>
      </c>
      <c r="B1679" s="3" t="inlineStr">
        <is>
          <t>엑스게이트</t>
        </is>
      </c>
      <c r="C1679" s="2" t="inlineStr">
        <is>
          <t>코스닥</t>
        </is>
      </c>
      <c r="D1679" s="2" t="inlineStr">
        <is>
          <t>356680</t>
        </is>
      </c>
      <c r="E1679" s="3" t="inlineStr">
        <is>
          <t xml:space="preserve">주주총회소집결의              </t>
        </is>
      </c>
      <c r="F1679" s="3" t="inlineStr">
        <is>
          <t>엑스게이트</t>
        </is>
      </c>
      <c r="G1679" s="2" t="inlineStr">
        <is>
          <t>20260310901731</t>
        </is>
      </c>
      <c r="H1679" s="8">
        <f>HYPERLINK("https://dart.fss.or.kr/dsaf001/main.do?rcpNo=20260310901731", "공시열람")</f>
        <v/>
      </c>
    </row>
    <row r="1680">
      <c r="A1680" s="2" t="inlineStr">
        <is>
          <t>2026-03-10</t>
        </is>
      </c>
      <c r="B1680" s="3" t="inlineStr">
        <is>
          <t>HLB펩</t>
        </is>
      </c>
      <c r="C1680" s="2" t="inlineStr">
        <is>
          <t>코스닥</t>
        </is>
      </c>
      <c r="D1680" s="2" t="inlineStr">
        <is>
          <t>196300</t>
        </is>
      </c>
      <c r="E1680" s="3" t="inlineStr">
        <is>
          <t xml:space="preserve">주주총회소집결의              </t>
        </is>
      </c>
      <c r="F1680" s="3" t="inlineStr">
        <is>
          <t>HLB펩</t>
        </is>
      </c>
      <c r="G1680" s="2" t="inlineStr">
        <is>
          <t>20260310901680</t>
        </is>
      </c>
      <c r="H1680" s="8">
        <f>HYPERLINK("https://dart.fss.or.kr/dsaf001/main.do?rcpNo=20260310901680", "공시열람")</f>
        <v/>
      </c>
    </row>
    <row r="1681">
      <c r="A1681" s="2" t="inlineStr">
        <is>
          <t>2026-03-10</t>
        </is>
      </c>
      <c r="B1681" s="3" t="inlineStr">
        <is>
          <t>TP</t>
        </is>
      </c>
      <c r="C1681" s="2" t="inlineStr">
        <is>
          <t>코스피</t>
        </is>
      </c>
      <c r="D1681" s="2" t="inlineStr">
        <is>
          <t>007980</t>
        </is>
      </c>
      <c r="E1681" s="3" t="inlineStr">
        <is>
          <t>주주총회소집공고</t>
        </is>
      </c>
      <c r="F1681" s="3" t="inlineStr">
        <is>
          <t>TP</t>
        </is>
      </c>
      <c r="G1681" s="2" t="inlineStr">
        <is>
          <t>20260310003002</t>
        </is>
      </c>
      <c r="H1681" s="8">
        <f>HYPERLINK("https://dart.fss.or.kr/dsaf001/main.do?rcpNo=20260310003002", "공시열람")</f>
        <v/>
      </c>
    </row>
    <row r="1682">
      <c r="A1682" s="2" t="inlineStr">
        <is>
          <t>2026-03-10 (정정: 2026-03-10)</t>
        </is>
      </c>
      <c r="B1682" s="3" t="inlineStr">
        <is>
          <t>팬엔터테인먼트</t>
        </is>
      </c>
      <c r="C1682" s="2" t="inlineStr">
        <is>
          <t>코스닥</t>
        </is>
      </c>
      <c r="D1682" s="2" t="inlineStr">
        <is>
          <t>068050</t>
        </is>
      </c>
      <c r="E1682" s="3" t="inlineStr">
        <is>
          <t>[기재정정]주주총회소집공고</t>
        </is>
      </c>
      <c r="F1682" s="3" t="inlineStr">
        <is>
          <t>팬엔터테인먼트</t>
        </is>
      </c>
      <c r="G1682" s="2" t="inlineStr">
        <is>
          <t>20260310002999</t>
        </is>
      </c>
      <c r="H1682" s="8">
        <f>HYPERLINK("https://dart.fss.or.kr/dsaf001/main.do?rcpNo=20260310002999", "공시열람")</f>
        <v/>
      </c>
    </row>
    <row r="1683">
      <c r="A1683" s="2" t="inlineStr">
        <is>
          <t>2026-03-10</t>
        </is>
      </c>
      <c r="B1683" s="3" t="inlineStr">
        <is>
          <t>저스템</t>
        </is>
      </c>
      <c r="C1683" s="2" t="inlineStr">
        <is>
          <t>코스닥</t>
        </is>
      </c>
      <c r="D1683" s="2" t="inlineStr">
        <is>
          <t>417840</t>
        </is>
      </c>
      <c r="E1683" s="3" t="inlineStr">
        <is>
          <t>주주총회소집공고</t>
        </is>
      </c>
      <c r="F1683" s="3" t="inlineStr">
        <is>
          <t>저스템</t>
        </is>
      </c>
      <c r="G1683" s="2" t="inlineStr">
        <is>
          <t>20260310002998</t>
        </is>
      </c>
      <c r="H1683" s="8">
        <f>HYPERLINK("https://dart.fss.or.kr/dsaf001/main.do?rcpNo=20260310002998", "공시열람")</f>
        <v/>
      </c>
    </row>
    <row r="1684">
      <c r="A1684" s="2" t="inlineStr">
        <is>
          <t>2026-03-10</t>
        </is>
      </c>
      <c r="B1684" s="3" t="inlineStr">
        <is>
          <t>제이씨현시스템</t>
        </is>
      </c>
      <c r="C1684" s="2" t="inlineStr">
        <is>
          <t>코스닥</t>
        </is>
      </c>
      <c r="D1684" s="2" t="inlineStr">
        <is>
          <t>033320</t>
        </is>
      </c>
      <c r="E1684" s="3" t="inlineStr">
        <is>
          <t>주주총회소집공고</t>
        </is>
      </c>
      <c r="F1684" s="3" t="inlineStr">
        <is>
          <t>제이씨현시스템</t>
        </is>
      </c>
      <c r="G1684" s="2" t="inlineStr">
        <is>
          <t>20260310002996</t>
        </is>
      </c>
      <c r="H1684" s="8">
        <f>HYPERLINK("https://dart.fss.or.kr/dsaf001/main.do?rcpNo=20260310002996", "공시열람")</f>
        <v/>
      </c>
    </row>
    <row r="1685">
      <c r="A1685" s="2" t="inlineStr">
        <is>
          <t>2026-03-10</t>
        </is>
      </c>
      <c r="B1685" s="3" t="inlineStr">
        <is>
          <t>테라젠이텍스</t>
        </is>
      </c>
      <c r="C1685" s="2" t="inlineStr">
        <is>
          <t>코스닥</t>
        </is>
      </c>
      <c r="D1685" s="2" t="inlineStr">
        <is>
          <t>066700</t>
        </is>
      </c>
      <c r="E1685" s="3" t="inlineStr">
        <is>
          <t>주주총회소집공고</t>
        </is>
      </c>
      <c r="F1685" s="3" t="inlineStr">
        <is>
          <t>테라젠이텍스</t>
        </is>
      </c>
      <c r="G1685" s="2" t="inlineStr">
        <is>
          <t>20260310002994</t>
        </is>
      </c>
      <c r="H1685" s="8">
        <f>HYPERLINK("https://dart.fss.or.kr/dsaf001/main.do?rcpNo=20260310002994", "공시열람")</f>
        <v/>
      </c>
    </row>
    <row r="1686">
      <c r="A1686" s="2" t="inlineStr">
        <is>
          <t>2026-03-10</t>
        </is>
      </c>
      <c r="B1686" s="3" t="inlineStr">
        <is>
          <t>신세계푸드</t>
        </is>
      </c>
      <c r="C1686" s="2" t="inlineStr">
        <is>
          <t>코스피</t>
        </is>
      </c>
      <c r="D1686" s="2" t="inlineStr">
        <is>
          <t>031440</t>
        </is>
      </c>
      <c r="E1686" s="3" t="inlineStr">
        <is>
          <t xml:space="preserve">주주총회소집결의              </t>
        </is>
      </c>
      <c r="F1686" s="3" t="inlineStr">
        <is>
          <t>신세계푸드</t>
        </is>
      </c>
      <c r="G1686" s="2" t="inlineStr">
        <is>
          <t>20260310801726</t>
        </is>
      </c>
      <c r="H1686" s="8">
        <f>HYPERLINK("https://dart.fss.or.kr/dsaf001/main.do?rcpNo=20260310801726", "공시열람")</f>
        <v/>
      </c>
    </row>
    <row r="1687">
      <c r="A1687" s="2" t="inlineStr">
        <is>
          <t>2026-03-10</t>
        </is>
      </c>
      <c r="B1687" s="3" t="inlineStr">
        <is>
          <t>iM금융지주</t>
        </is>
      </c>
      <c r="C1687" s="2" t="inlineStr">
        <is>
          <t>코스피</t>
        </is>
      </c>
      <c r="D1687" s="2" t="inlineStr">
        <is>
          <t>139130</t>
        </is>
      </c>
      <c r="E1687" s="3" t="inlineStr">
        <is>
          <t>주주총회소집공고</t>
        </is>
      </c>
      <c r="F1687" s="3" t="inlineStr">
        <is>
          <t>iM금융지주</t>
        </is>
      </c>
      <c r="G1687" s="2" t="inlineStr">
        <is>
          <t>20260310002988</t>
        </is>
      </c>
      <c r="H1687" s="8">
        <f>HYPERLINK("https://dart.fss.or.kr/dsaf001/main.do?rcpNo=20260310002988", "공시열람")</f>
        <v/>
      </c>
    </row>
    <row r="1688">
      <c r="A1688" s="2" t="inlineStr">
        <is>
          <t>2026-03-10</t>
        </is>
      </c>
      <c r="B1688" s="3" t="inlineStr">
        <is>
          <t>윙스풋</t>
        </is>
      </c>
      <c r="C1688" s="2" t="inlineStr">
        <is>
          <t>코스닥</t>
        </is>
      </c>
      <c r="D1688" s="2" t="inlineStr">
        <is>
          <t>335870</t>
        </is>
      </c>
      <c r="E1688" s="3" t="inlineStr">
        <is>
          <t xml:space="preserve">주주총회소집결의              </t>
        </is>
      </c>
      <c r="F1688" s="3" t="inlineStr">
        <is>
          <t>윙스풋</t>
        </is>
      </c>
      <c r="G1688" s="2" t="inlineStr">
        <is>
          <t>20260310901642</t>
        </is>
      </c>
      <c r="H1688" s="8">
        <f>HYPERLINK("https://dart.fss.or.kr/dsaf001/main.do?rcpNo=20260310901642", "공시열람")</f>
        <v/>
      </c>
    </row>
    <row r="1689">
      <c r="A1689" s="2" t="inlineStr">
        <is>
          <t>2026-03-10</t>
        </is>
      </c>
      <c r="B1689" s="3" t="inlineStr">
        <is>
          <t>서연이화</t>
        </is>
      </c>
      <c r="C1689" s="2" t="inlineStr">
        <is>
          <t>코스피</t>
        </is>
      </c>
      <c r="D1689" s="2" t="inlineStr">
        <is>
          <t>200880</t>
        </is>
      </c>
      <c r="E1689" s="3" t="inlineStr">
        <is>
          <t xml:space="preserve">주주총회소집결의              </t>
        </is>
      </c>
      <c r="F1689" s="3" t="inlineStr">
        <is>
          <t>서연이화</t>
        </is>
      </c>
      <c r="G1689" s="2" t="inlineStr">
        <is>
          <t>20260310801662</t>
        </is>
      </c>
      <c r="H1689" s="8">
        <f>HYPERLINK("https://dart.fss.or.kr/dsaf001/main.do?rcpNo=20260310801662", "공시열람")</f>
        <v/>
      </c>
    </row>
    <row r="1690">
      <c r="A1690" s="2" t="inlineStr">
        <is>
          <t>2026-03-10</t>
        </is>
      </c>
      <c r="B1690" s="3" t="inlineStr">
        <is>
          <t>다날</t>
        </is>
      </c>
      <c r="C1690" s="2" t="inlineStr">
        <is>
          <t>코스닥</t>
        </is>
      </c>
      <c r="D1690" s="2" t="inlineStr">
        <is>
          <t>064260</t>
        </is>
      </c>
      <c r="E1690" s="3" t="inlineStr">
        <is>
          <t>주주총회소집공고</t>
        </is>
      </c>
      <c r="F1690" s="3" t="inlineStr">
        <is>
          <t>다날</t>
        </is>
      </c>
      <c r="G1690" s="2" t="inlineStr">
        <is>
          <t>20260310002984</t>
        </is>
      </c>
      <c r="H1690" s="8">
        <f>HYPERLINK("https://dart.fss.or.kr/dsaf001/main.do?rcpNo=20260310002984", "공시열람")</f>
        <v/>
      </c>
    </row>
    <row r="1691">
      <c r="A1691" s="2" t="inlineStr">
        <is>
          <t>2026-03-10 (정정: 2026-03-11)</t>
        </is>
      </c>
      <c r="B1691" s="3" t="inlineStr">
        <is>
          <t>넵튠</t>
        </is>
      </c>
      <c r="C1691" s="2" t="inlineStr">
        <is>
          <t>코스닥</t>
        </is>
      </c>
      <c r="D1691" s="2" t="inlineStr">
        <is>
          <t>217270</t>
        </is>
      </c>
      <c r="E1691" s="3" t="inlineStr">
        <is>
          <t>주주총회소집결의               (정정: 20260311)</t>
        </is>
      </c>
      <c r="F1691" s="3" t="inlineStr">
        <is>
          <t>넵튠</t>
        </is>
      </c>
      <c r="G1691" s="2" t="inlineStr">
        <is>
          <t>20260311901465</t>
        </is>
      </c>
      <c r="H1691" s="8">
        <f>HYPERLINK("https://dart.fss.or.kr/dsaf001/main.do?rcpNo=20260311901465", "공시열람")</f>
        <v/>
      </c>
    </row>
    <row r="1692">
      <c r="A1692" s="2" t="inlineStr">
        <is>
          <t>2026-03-10</t>
        </is>
      </c>
      <c r="B1692" s="3" t="inlineStr">
        <is>
          <t>하나마이크론</t>
        </is>
      </c>
      <c r="C1692" s="2" t="inlineStr">
        <is>
          <t>코스닥</t>
        </is>
      </c>
      <c r="D1692" s="2" t="inlineStr">
        <is>
          <t>067310</t>
        </is>
      </c>
      <c r="E1692" s="3" t="inlineStr">
        <is>
          <t xml:space="preserve">주주총회소집결의              </t>
        </is>
      </c>
      <c r="F1692" s="3" t="inlineStr">
        <is>
          <t>하나마이크론</t>
        </is>
      </c>
      <c r="G1692" s="2" t="inlineStr">
        <is>
          <t>20260310901718</t>
        </is>
      </c>
      <c r="H1692" s="8">
        <f>HYPERLINK("https://dart.fss.or.kr/dsaf001/main.do?rcpNo=20260310901718", "공시열람")</f>
        <v/>
      </c>
    </row>
    <row r="1693">
      <c r="A1693" s="2" t="inlineStr">
        <is>
          <t>2026-03-10</t>
        </is>
      </c>
      <c r="B1693" s="3" t="inlineStr">
        <is>
          <t>신풍</t>
        </is>
      </c>
      <c r="C1693" s="2" t="inlineStr">
        <is>
          <t>코스피</t>
        </is>
      </c>
      <c r="D1693" s="2" t="inlineStr">
        <is>
          <t>002870</t>
        </is>
      </c>
      <c r="E1693" s="3" t="inlineStr">
        <is>
          <t xml:space="preserve">주주총회집중일개최사유신고              </t>
        </is>
      </c>
      <c r="F1693" s="3" t="inlineStr">
        <is>
          <t>신풍</t>
        </is>
      </c>
      <c r="G1693" s="2" t="inlineStr">
        <is>
          <t>20260310801658</t>
        </is>
      </c>
      <c r="H1693" s="8">
        <f>HYPERLINK("https://dart.fss.or.kr/dsaf001/main.do?rcpNo=20260310801658", "공시열람")</f>
        <v/>
      </c>
    </row>
    <row r="1694">
      <c r="A1694" s="2" t="inlineStr">
        <is>
          <t>2026-03-10</t>
        </is>
      </c>
      <c r="B1694" s="3" t="inlineStr">
        <is>
          <t>한주라이트메탈</t>
        </is>
      </c>
      <c r="C1694" s="2" t="inlineStr">
        <is>
          <t>코스닥</t>
        </is>
      </c>
      <c r="D1694" s="2" t="inlineStr">
        <is>
          <t>198940</t>
        </is>
      </c>
      <c r="E1694" s="3" t="inlineStr">
        <is>
          <t xml:space="preserve">주주총회집중일개최사유신고              </t>
        </is>
      </c>
      <c r="F1694" s="3" t="inlineStr">
        <is>
          <t>한주라이트메탈</t>
        </is>
      </c>
      <c r="G1694" s="2" t="inlineStr">
        <is>
          <t>20260310901698</t>
        </is>
      </c>
      <c r="H1694" s="8">
        <f>HYPERLINK("https://dart.fss.or.kr/dsaf001/main.do?rcpNo=20260310901698", "공시열람")</f>
        <v/>
      </c>
    </row>
    <row r="1695">
      <c r="A1695" s="2" t="inlineStr">
        <is>
          <t>2026-03-10</t>
        </is>
      </c>
      <c r="B1695" s="3" t="inlineStr">
        <is>
          <t>인카금융서비스</t>
        </is>
      </c>
      <c r="C1695" s="2" t="inlineStr">
        <is>
          <t>코스닥</t>
        </is>
      </c>
      <c r="D1695" s="2" t="inlineStr">
        <is>
          <t>211050</t>
        </is>
      </c>
      <c r="E1695" s="3" t="inlineStr">
        <is>
          <t xml:space="preserve">주주총회소집결의              </t>
        </is>
      </c>
      <c r="F1695" s="3" t="inlineStr">
        <is>
          <t>인카금융서비스</t>
        </is>
      </c>
      <c r="G1695" s="2" t="inlineStr">
        <is>
          <t>20260310901605</t>
        </is>
      </c>
      <c r="H1695" s="8">
        <f>HYPERLINK("https://dart.fss.or.kr/dsaf001/main.do?rcpNo=20260310901605", "공시열람")</f>
        <v/>
      </c>
    </row>
    <row r="1696">
      <c r="A1696" s="2" t="inlineStr">
        <is>
          <t>2026-03-10 (정정: 2026-03-12)</t>
        </is>
      </c>
      <c r="B1696" s="3" t="inlineStr">
        <is>
          <t>네오셈</t>
        </is>
      </c>
      <c r="C1696" s="2" t="inlineStr">
        <is>
          <t>코스닥</t>
        </is>
      </c>
      <c r="D1696" s="2" t="inlineStr">
        <is>
          <t>253590</t>
        </is>
      </c>
      <c r="E1696" s="3" t="inlineStr">
        <is>
          <t>주주총회소집결의               (정정: 20260312)</t>
        </is>
      </c>
      <c r="F1696" s="3" t="inlineStr">
        <is>
          <t>네오셈</t>
        </is>
      </c>
      <c r="G1696" s="2" t="inlineStr">
        <is>
          <t>20260312000252</t>
        </is>
      </c>
      <c r="H1696" s="8">
        <f>HYPERLINK("https://dart.fss.or.kr/dsaf001/main.do?rcpNo=20260312000252", "공시열람")</f>
        <v/>
      </c>
    </row>
    <row r="1697">
      <c r="A1697" s="2" t="inlineStr">
        <is>
          <t>2026-03-10</t>
        </is>
      </c>
      <c r="B1697" s="3" t="inlineStr">
        <is>
          <t>컴투스</t>
        </is>
      </c>
      <c r="C1697" s="2" t="inlineStr">
        <is>
          <t>코스닥</t>
        </is>
      </c>
      <c r="D1697" s="2" t="inlineStr">
        <is>
          <t>078340</t>
        </is>
      </c>
      <c r="E1697" s="3" t="inlineStr">
        <is>
          <t xml:space="preserve">주주총회소집결의              </t>
        </is>
      </c>
      <c r="F1697" s="3" t="inlineStr">
        <is>
          <t>컴투스</t>
        </is>
      </c>
      <c r="G1697" s="2" t="inlineStr">
        <is>
          <t>20260310901324</t>
        </is>
      </c>
      <c r="H1697" s="8">
        <f>HYPERLINK("https://dart.fss.or.kr/dsaf001/main.do?rcpNo=20260310901324", "공시열람")</f>
        <v/>
      </c>
    </row>
    <row r="1698">
      <c r="A1698" s="2" t="inlineStr">
        <is>
          <t>2026-03-10</t>
        </is>
      </c>
      <c r="B1698" s="3" t="inlineStr">
        <is>
          <t>씨티씨바이오</t>
        </is>
      </c>
      <c r="C1698" s="2" t="inlineStr">
        <is>
          <t>코스닥</t>
        </is>
      </c>
      <c r="D1698" s="2" t="inlineStr">
        <is>
          <t>060590</t>
        </is>
      </c>
      <c r="E1698" s="3" t="inlineStr">
        <is>
          <t>주주총회소집공고</t>
        </is>
      </c>
      <c r="F1698" s="3" t="inlineStr">
        <is>
          <t>씨티씨바이오</t>
        </is>
      </c>
      <c r="G1698" s="2" t="inlineStr">
        <is>
          <t>20260310002969</t>
        </is>
      </c>
      <c r="H1698" s="8">
        <f>HYPERLINK("https://dart.fss.or.kr/dsaf001/main.do?rcpNo=20260310002969", "공시열람")</f>
        <v/>
      </c>
    </row>
    <row r="1699">
      <c r="A1699" s="2" t="inlineStr">
        <is>
          <t>2026-03-10</t>
        </is>
      </c>
      <c r="B1699" s="3" t="inlineStr">
        <is>
          <t>알에프텍</t>
        </is>
      </c>
      <c r="C1699" s="2" t="inlineStr">
        <is>
          <t>코스닥</t>
        </is>
      </c>
      <c r="D1699" s="2" t="inlineStr">
        <is>
          <t>061040</t>
        </is>
      </c>
      <c r="E1699" s="3" t="inlineStr">
        <is>
          <t xml:space="preserve">주주총회집중일개최사유신고              </t>
        </is>
      </c>
      <c r="F1699" s="3" t="inlineStr">
        <is>
          <t>알에프텍</t>
        </is>
      </c>
      <c r="G1699" s="2" t="inlineStr">
        <is>
          <t>20260310901585</t>
        </is>
      </c>
      <c r="H1699" s="8">
        <f>HYPERLINK("https://dart.fss.or.kr/dsaf001/main.do?rcpNo=20260310901585", "공시열람")</f>
        <v/>
      </c>
    </row>
    <row r="1700">
      <c r="A1700" s="2" t="inlineStr">
        <is>
          <t>2026-03-10</t>
        </is>
      </c>
      <c r="B1700" s="3" t="inlineStr">
        <is>
          <t>유라테크</t>
        </is>
      </c>
      <c r="C1700" s="2" t="inlineStr">
        <is>
          <t>코스닥</t>
        </is>
      </c>
      <c r="D1700" s="2" t="inlineStr">
        <is>
          <t>048430</t>
        </is>
      </c>
      <c r="E1700" s="3" t="inlineStr">
        <is>
          <t xml:space="preserve">주주총회소집결의              </t>
        </is>
      </c>
      <c r="F1700" s="3" t="inlineStr">
        <is>
          <t>유라테크</t>
        </is>
      </c>
      <c r="G1700" s="2" t="inlineStr">
        <is>
          <t>20260310901577</t>
        </is>
      </c>
      <c r="H1700" s="8">
        <f>HYPERLINK("https://dart.fss.or.kr/dsaf001/main.do?rcpNo=20260310901577", "공시열람")</f>
        <v/>
      </c>
    </row>
    <row r="1701">
      <c r="A1701" s="2" t="inlineStr">
        <is>
          <t>2026-03-10</t>
        </is>
      </c>
      <c r="B1701" s="3" t="inlineStr">
        <is>
          <t>네오이뮨텍</t>
        </is>
      </c>
      <c r="C1701" s="2" t="inlineStr">
        <is>
          <t>코스닥</t>
        </is>
      </c>
      <c r="D1701" s="2" t="inlineStr">
        <is>
          <t>950220</t>
        </is>
      </c>
      <c r="E1701" s="3" t="inlineStr">
        <is>
          <t>주주총회소집공고</t>
        </is>
      </c>
      <c r="F1701" s="3" t="inlineStr">
        <is>
          <t>네오이뮨텍</t>
        </is>
      </c>
      <c r="G1701" s="2" t="inlineStr">
        <is>
          <t>20260310002966</t>
        </is>
      </c>
      <c r="H1701" s="8">
        <f>HYPERLINK("https://dart.fss.or.kr/dsaf001/main.do?rcpNo=20260310002966", "공시열람")</f>
        <v/>
      </c>
    </row>
    <row r="1702">
      <c r="A1702" s="2" t="inlineStr">
        <is>
          <t>2026-03-10 (정정: 2026-03-17)</t>
        </is>
      </c>
      <c r="B1702" s="3" t="inlineStr">
        <is>
          <t>CNT85</t>
        </is>
      </c>
      <c r="C1702" s="2" t="inlineStr">
        <is>
          <t>코스닥</t>
        </is>
      </c>
      <c r="D1702" s="2" t="inlineStr">
        <is>
          <t>056730</t>
        </is>
      </c>
      <c r="E1702" s="3" t="inlineStr">
        <is>
          <t>주주총회소집공고 (정정: 20260317)</t>
        </is>
      </c>
      <c r="F1702" s="3" t="inlineStr">
        <is>
          <t>CNT85</t>
        </is>
      </c>
      <c r="G1702" s="2" t="inlineStr">
        <is>
          <t>20260317000455</t>
        </is>
      </c>
      <c r="H1702" s="8">
        <f>HYPERLINK("https://dart.fss.or.kr/dsaf001/main.do?rcpNo=20260317000455", "공시열람")</f>
        <v/>
      </c>
    </row>
    <row r="1703">
      <c r="A1703" s="2" t="inlineStr">
        <is>
          <t>2026-03-10</t>
        </is>
      </c>
      <c r="B1703" s="3" t="inlineStr">
        <is>
          <t>파크시스템스</t>
        </is>
      </c>
      <c r="C1703" s="2" t="inlineStr">
        <is>
          <t>코스닥</t>
        </is>
      </c>
      <c r="D1703" s="2" t="inlineStr">
        <is>
          <t>140860</t>
        </is>
      </c>
      <c r="E1703" s="3" t="inlineStr">
        <is>
          <t>주주총회소집공고</t>
        </is>
      </c>
      <c r="F1703" s="3" t="inlineStr">
        <is>
          <t>파크시스템스</t>
        </is>
      </c>
      <c r="G1703" s="2" t="inlineStr">
        <is>
          <t>20260310002964</t>
        </is>
      </c>
      <c r="H1703" s="8">
        <f>HYPERLINK("https://dart.fss.or.kr/dsaf001/main.do?rcpNo=20260310002964", "공시열람")</f>
        <v/>
      </c>
    </row>
    <row r="1704">
      <c r="A1704" s="2" t="inlineStr">
        <is>
          <t>2026-03-10</t>
        </is>
      </c>
      <c r="B1704" s="3" t="inlineStr">
        <is>
          <t>KTis</t>
        </is>
      </c>
      <c r="C1704" s="2" t="inlineStr">
        <is>
          <t>코스피</t>
        </is>
      </c>
      <c r="D1704" s="2" t="inlineStr">
        <is>
          <t>058860</t>
        </is>
      </c>
      <c r="E1704" s="3" t="inlineStr">
        <is>
          <t xml:space="preserve">주주총회소집결의              </t>
        </is>
      </c>
      <c r="F1704" s="3" t="inlineStr">
        <is>
          <t>KTis</t>
        </is>
      </c>
      <c r="G1704" s="2" t="inlineStr">
        <is>
          <t>20260310801607</t>
        </is>
      </c>
      <c r="H1704" s="8">
        <f>HYPERLINK("https://dart.fss.or.kr/dsaf001/main.do?rcpNo=20260310801607", "공시열람")</f>
        <v/>
      </c>
    </row>
    <row r="1705">
      <c r="A1705" s="2" t="inlineStr">
        <is>
          <t>2026-03-10 (정정: 2026-03-10)</t>
        </is>
      </c>
      <c r="B1705" s="3" t="inlineStr">
        <is>
          <t>CNT85</t>
        </is>
      </c>
      <c r="C1705" s="2" t="inlineStr">
        <is>
          <t>코스닥</t>
        </is>
      </c>
      <c r="D1705" s="2" t="inlineStr">
        <is>
          <t>056730</t>
        </is>
      </c>
      <c r="E1705" s="3" t="inlineStr">
        <is>
          <t>주주총회소집결의               (정정: 20260310)</t>
        </is>
      </c>
      <c r="F1705" s="3" t="inlineStr">
        <is>
          <t>CNT85</t>
        </is>
      </c>
      <c r="G1705" s="2" t="inlineStr">
        <is>
          <t>20260310900604</t>
        </is>
      </c>
      <c r="H1705" s="8">
        <f>HYPERLINK("https://dart.fss.or.kr/dsaf001/main.do?rcpNo=20260310900604", "공시열람")</f>
        <v/>
      </c>
    </row>
    <row r="1706">
      <c r="A1706" s="2" t="inlineStr">
        <is>
          <t>2026-03-10</t>
        </is>
      </c>
      <c r="B1706" s="3" t="inlineStr">
        <is>
          <t>유진테크놀로지</t>
        </is>
      </c>
      <c r="C1706" s="2" t="inlineStr">
        <is>
          <t>코스닥</t>
        </is>
      </c>
      <c r="D1706" s="2" t="inlineStr">
        <is>
          <t>240600</t>
        </is>
      </c>
      <c r="E1706" s="3" t="inlineStr">
        <is>
          <t>[기재정정]주주총회소집공고</t>
        </is>
      </c>
      <c r="F1706" s="3" t="inlineStr">
        <is>
          <t>유진테크놀로지</t>
        </is>
      </c>
      <c r="G1706" s="2" t="inlineStr">
        <is>
          <t>20260310002957</t>
        </is>
      </c>
      <c r="H1706" s="8">
        <f>HYPERLINK("https://dart.fss.or.kr/dsaf001/main.do?rcpNo=20260310002957", "공시열람")</f>
        <v/>
      </c>
    </row>
    <row r="1707">
      <c r="A1707" s="2" t="inlineStr">
        <is>
          <t>2026-03-10</t>
        </is>
      </c>
      <c r="B1707" s="3" t="inlineStr">
        <is>
          <t>씨티씨바이오</t>
        </is>
      </c>
      <c r="C1707" s="2" t="inlineStr">
        <is>
          <t>코스닥</t>
        </is>
      </c>
      <c r="D1707" s="2" t="inlineStr">
        <is>
          <t>060590</t>
        </is>
      </c>
      <c r="E1707" s="3" t="inlineStr">
        <is>
          <t xml:space="preserve">주주총회소집결의              </t>
        </is>
      </c>
      <c r="F1707" s="3" t="inlineStr">
        <is>
          <t>씨티씨바이오</t>
        </is>
      </c>
      <c r="G1707" s="2" t="inlineStr">
        <is>
          <t>20260310901631</t>
        </is>
      </c>
      <c r="H1707" s="8">
        <f>HYPERLINK("https://dart.fss.or.kr/dsaf001/main.do?rcpNo=20260310901631", "공시열람")</f>
        <v/>
      </c>
    </row>
    <row r="1708">
      <c r="A1708" s="2" t="inlineStr">
        <is>
          <t>2026-03-10</t>
        </is>
      </c>
      <c r="B1708" s="3" t="inlineStr">
        <is>
          <t>이마트</t>
        </is>
      </c>
      <c r="C1708" s="2" t="inlineStr">
        <is>
          <t>코스피</t>
        </is>
      </c>
      <c r="D1708" s="2" t="inlineStr">
        <is>
          <t>139480</t>
        </is>
      </c>
      <c r="E1708" s="3" t="inlineStr">
        <is>
          <t>주요사항보고서(주식교환ㆍ이전결정)</t>
        </is>
      </c>
      <c r="F1708" s="3" t="inlineStr">
        <is>
          <t>이마트</t>
        </is>
      </c>
      <c r="G1708" s="2" t="inlineStr">
        <is>
          <t>20260310002918</t>
        </is>
      </c>
      <c r="H1708" s="8">
        <f>HYPERLINK("https://dart.fss.or.kr/dsaf001/main.do?rcpNo=20260310002918", "공시열람")</f>
        <v/>
      </c>
    </row>
    <row r="1709">
      <c r="A1709" s="2" t="inlineStr">
        <is>
          <t>2026-03-10</t>
        </is>
      </c>
      <c r="B1709" s="3" t="inlineStr">
        <is>
          <t>엔지브이아이</t>
        </is>
      </c>
      <c r="C1709" s="2" t="inlineStr">
        <is>
          <t>코넥스</t>
        </is>
      </c>
      <c r="D1709" s="2" t="inlineStr">
        <is>
          <t>093510</t>
        </is>
      </c>
      <c r="E1709" s="3" t="inlineStr">
        <is>
          <t>주주총회소집공고</t>
        </is>
      </c>
      <c r="F1709" s="3" t="inlineStr">
        <is>
          <t>엔지브이아이</t>
        </is>
      </c>
      <c r="G1709" s="2" t="inlineStr">
        <is>
          <t>20260310002956</t>
        </is>
      </c>
      <c r="H1709" s="8">
        <f>HYPERLINK("https://dart.fss.or.kr/dsaf001/main.do?rcpNo=20260310002956", "공시열람")</f>
        <v/>
      </c>
    </row>
    <row r="1710">
      <c r="A1710" s="2" t="inlineStr">
        <is>
          <t>2026-03-10</t>
        </is>
      </c>
      <c r="B1710" s="3" t="inlineStr">
        <is>
          <t>엔피</t>
        </is>
      </c>
      <c r="C1710" s="2" t="inlineStr">
        <is>
          <t>코스닥</t>
        </is>
      </c>
      <c r="D1710" s="2" t="inlineStr">
        <is>
          <t>291230</t>
        </is>
      </c>
      <c r="E1710" s="3" t="inlineStr">
        <is>
          <t>주주총회소집공고</t>
        </is>
      </c>
      <c r="F1710" s="3" t="inlineStr">
        <is>
          <t>엔피</t>
        </is>
      </c>
      <c r="G1710" s="2" t="inlineStr">
        <is>
          <t>20260310002953</t>
        </is>
      </c>
      <c r="H1710" s="8">
        <f>HYPERLINK("https://dart.fss.or.kr/dsaf001/main.do?rcpNo=20260310002953", "공시열람")</f>
        <v/>
      </c>
    </row>
    <row r="1711">
      <c r="A1711" s="2" t="inlineStr">
        <is>
          <t>2026-03-10</t>
        </is>
      </c>
      <c r="B1711" s="3" t="inlineStr">
        <is>
          <t>신세계푸드</t>
        </is>
      </c>
      <c r="C1711" s="2" t="inlineStr">
        <is>
          <t>코스피</t>
        </is>
      </c>
      <c r="D1711" s="2" t="inlineStr">
        <is>
          <t>031440</t>
        </is>
      </c>
      <c r="E1711" s="3" t="inlineStr">
        <is>
          <t>주요사항보고서(주식교환ㆍ이전결정)</t>
        </is>
      </c>
      <c r="F1711" s="3" t="inlineStr">
        <is>
          <t>신세계푸드</t>
        </is>
      </c>
      <c r="G1711" s="2" t="inlineStr">
        <is>
          <t>20260310002919</t>
        </is>
      </c>
      <c r="H1711" s="8">
        <f>HYPERLINK("https://dart.fss.or.kr/dsaf001/main.do?rcpNo=20260310002919", "공시열람")</f>
        <v/>
      </c>
    </row>
    <row r="1712">
      <c r="A1712" s="2" t="inlineStr">
        <is>
          <t>2026-03-10 (정정: 2026-03-12)</t>
        </is>
      </c>
      <c r="B1712" s="3" t="inlineStr">
        <is>
          <t>넥센타이어</t>
        </is>
      </c>
      <c r="C1712" s="2" t="inlineStr">
        <is>
          <t>코스피</t>
        </is>
      </c>
      <c r="D1712" s="2" t="inlineStr">
        <is>
          <t>002350</t>
        </is>
      </c>
      <c r="E1712" s="3" t="inlineStr">
        <is>
          <t>주주총회소집공고 (정정: 20260312) (정정: 20260312)</t>
        </is>
      </c>
      <c r="F1712" s="3" t="inlineStr">
        <is>
          <t>넥센타이어</t>
        </is>
      </c>
      <c r="G1712" s="2" t="inlineStr">
        <is>
          <t>20260312800740</t>
        </is>
      </c>
      <c r="H1712" s="8">
        <f>HYPERLINK("https://dart.fss.or.kr/dsaf001/main.do?rcpNo=20260312800740", "공시열람")</f>
        <v/>
      </c>
    </row>
    <row r="1713">
      <c r="A1713" s="2" t="inlineStr">
        <is>
          <t>2026-03-10</t>
        </is>
      </c>
      <c r="B1713" s="3" t="inlineStr">
        <is>
          <t>대한해운</t>
        </is>
      </c>
      <c r="C1713" s="2" t="inlineStr">
        <is>
          <t>코스피</t>
        </is>
      </c>
      <c r="D1713" s="2" t="inlineStr">
        <is>
          <t>005880</t>
        </is>
      </c>
      <c r="E1713" s="3" t="inlineStr">
        <is>
          <t xml:space="preserve">주주총회집중일개최사유신고              </t>
        </is>
      </c>
      <c r="F1713" s="3" t="inlineStr">
        <is>
          <t>대한해운</t>
        </is>
      </c>
      <c r="G1713" s="2" t="inlineStr">
        <is>
          <t>20260310801625</t>
        </is>
      </c>
      <c r="H1713" s="8">
        <f>HYPERLINK("https://dart.fss.or.kr/dsaf001/main.do?rcpNo=20260310801625", "공시열람")</f>
        <v/>
      </c>
    </row>
    <row r="1714">
      <c r="A1714" s="2" t="inlineStr">
        <is>
          <t>2026-03-10</t>
        </is>
      </c>
      <c r="B1714" s="3" t="inlineStr">
        <is>
          <t>알에프텍</t>
        </is>
      </c>
      <c r="C1714" s="2" t="inlineStr">
        <is>
          <t>코스닥</t>
        </is>
      </c>
      <c r="D1714" s="2" t="inlineStr">
        <is>
          <t>061040</t>
        </is>
      </c>
      <c r="E1714" s="3" t="inlineStr">
        <is>
          <t>주주총회소집공고</t>
        </is>
      </c>
      <c r="F1714" s="3" t="inlineStr">
        <is>
          <t>알에프텍</t>
        </is>
      </c>
      <c r="G1714" s="2" t="inlineStr">
        <is>
          <t>20260310002939</t>
        </is>
      </c>
      <c r="H1714" s="8">
        <f>HYPERLINK("https://dart.fss.or.kr/dsaf001/main.do?rcpNo=20260310002939", "공시열람")</f>
        <v/>
      </c>
    </row>
    <row r="1715">
      <c r="A1715" s="2" t="inlineStr">
        <is>
          <t>2026-03-10</t>
        </is>
      </c>
      <c r="B1715" s="3" t="inlineStr">
        <is>
          <t>엔피</t>
        </is>
      </c>
      <c r="C1715" s="2" t="inlineStr">
        <is>
          <t>코스닥</t>
        </is>
      </c>
      <c r="D1715" s="2" t="inlineStr">
        <is>
          <t>291230</t>
        </is>
      </c>
      <c r="E1715" s="3" t="inlineStr">
        <is>
          <t xml:space="preserve">주주총회집중일개최사유신고              </t>
        </is>
      </c>
      <c r="F1715" s="3" t="inlineStr">
        <is>
          <t>엔피</t>
        </is>
      </c>
      <c r="G1715" s="2" t="inlineStr">
        <is>
          <t>20260310901579</t>
        </is>
      </c>
      <c r="H1715" s="8">
        <f>HYPERLINK("https://dart.fss.or.kr/dsaf001/main.do?rcpNo=20260310901579", "공시열람")</f>
        <v/>
      </c>
    </row>
    <row r="1716">
      <c r="A1716" s="2" t="inlineStr">
        <is>
          <t>2026-03-10</t>
        </is>
      </c>
      <c r="B1716" s="3" t="inlineStr">
        <is>
          <t>씨앤투스</t>
        </is>
      </c>
      <c r="C1716" s="2" t="inlineStr">
        <is>
          <t>코스닥</t>
        </is>
      </c>
      <c r="D1716" s="2" t="inlineStr">
        <is>
          <t>352700</t>
        </is>
      </c>
      <c r="E1716" s="3" t="inlineStr">
        <is>
          <t>주주총회소집공고</t>
        </is>
      </c>
      <c r="F1716" s="3" t="inlineStr">
        <is>
          <t>씨앤투스</t>
        </is>
      </c>
      <c r="G1716" s="2" t="inlineStr">
        <is>
          <t>20260310002937</t>
        </is>
      </c>
      <c r="H1716" s="8">
        <f>HYPERLINK("https://dart.fss.or.kr/dsaf001/main.do?rcpNo=20260310002937", "공시열람")</f>
        <v/>
      </c>
    </row>
    <row r="1717">
      <c r="A1717" s="2" t="inlineStr">
        <is>
          <t>2026-03-10</t>
        </is>
      </c>
      <c r="B1717" s="3" t="inlineStr">
        <is>
          <t>CJ ENM</t>
        </is>
      </c>
      <c r="C1717" s="2" t="inlineStr">
        <is>
          <t>코스닥</t>
        </is>
      </c>
      <c r="D1717" s="2" t="inlineStr">
        <is>
          <t>035760</t>
        </is>
      </c>
      <c r="E1717" s="3" t="inlineStr">
        <is>
          <t>주주총회소집공고</t>
        </is>
      </c>
      <c r="F1717" s="3" t="inlineStr">
        <is>
          <t>CJ ENM</t>
        </is>
      </c>
      <c r="G1717" s="2" t="inlineStr">
        <is>
          <t>20260310002936</t>
        </is>
      </c>
      <c r="H1717" s="8">
        <f>HYPERLINK("https://dart.fss.or.kr/dsaf001/main.do?rcpNo=20260310002936", "공시열람")</f>
        <v/>
      </c>
    </row>
    <row r="1718">
      <c r="A1718" s="2" t="inlineStr">
        <is>
          <t>2026-03-10</t>
        </is>
      </c>
      <c r="B1718" s="3" t="inlineStr">
        <is>
          <t>엔피</t>
        </is>
      </c>
      <c r="C1718" s="2" t="inlineStr">
        <is>
          <t>코스닥</t>
        </is>
      </c>
      <c r="D1718" s="2" t="inlineStr">
        <is>
          <t>291230</t>
        </is>
      </c>
      <c r="E1718" s="3" t="inlineStr">
        <is>
          <t xml:space="preserve">주주총회소집결의              </t>
        </is>
      </c>
      <c r="F1718" s="3" t="inlineStr">
        <is>
          <t>엔피</t>
        </is>
      </c>
      <c r="G1718" s="2" t="inlineStr">
        <is>
          <t>20260310901574</t>
        </is>
      </c>
      <c r="H1718" s="8">
        <f>HYPERLINK("https://dart.fss.or.kr/dsaf001/main.do?rcpNo=20260310901574", "공시열람")</f>
        <v/>
      </c>
    </row>
    <row r="1719">
      <c r="A1719" s="2" t="inlineStr">
        <is>
          <t>2026-03-10</t>
        </is>
      </c>
      <c r="B1719" s="3" t="inlineStr">
        <is>
          <t>네오이뮨텍</t>
        </is>
      </c>
      <c r="C1719" s="2" t="inlineStr">
        <is>
          <t>코스닥</t>
        </is>
      </c>
      <c r="D1719" s="2" t="inlineStr">
        <is>
          <t>950220</t>
        </is>
      </c>
      <c r="E1719" s="3" t="inlineStr">
        <is>
          <t xml:space="preserve">주주총회집중일개최사유신고              </t>
        </is>
      </c>
      <c r="F1719" s="3" t="inlineStr">
        <is>
          <t>네오이뮨텍</t>
        </is>
      </c>
      <c r="G1719" s="2" t="inlineStr">
        <is>
          <t>20260310901554</t>
        </is>
      </c>
      <c r="H1719" s="8">
        <f>HYPERLINK("https://dart.fss.or.kr/dsaf001/main.do?rcpNo=20260310901554", "공시열람")</f>
        <v/>
      </c>
    </row>
    <row r="1720">
      <c r="A1720" s="2" t="inlineStr">
        <is>
          <t>2026-03-10 (정정: 2026-06-05)</t>
        </is>
      </c>
      <c r="B1720" s="3" t="inlineStr">
        <is>
          <t>네오이뮨텍</t>
        </is>
      </c>
      <c r="C1720" s="2" t="inlineStr">
        <is>
          <t>코스닥</t>
        </is>
      </c>
      <c r="D1720" s="2" t="inlineStr">
        <is>
          <t>950220</t>
        </is>
      </c>
      <c r="E1720" s="3" t="inlineStr">
        <is>
          <t>주주총회소집결의               (정정: 20260605)</t>
        </is>
      </c>
      <c r="F1720" s="3" t="inlineStr">
        <is>
          <t>네오이뮨텍</t>
        </is>
      </c>
      <c r="G1720" s="2" t="inlineStr">
        <is>
          <t>20260605900578</t>
        </is>
      </c>
      <c r="H1720" s="8">
        <f>HYPERLINK("https://dart.fss.or.kr/dsaf001/main.do?rcpNo=20260605900578", "공시열람")</f>
        <v/>
      </c>
    </row>
    <row r="1721">
      <c r="A1721" s="2" t="inlineStr">
        <is>
          <t>2026-03-10</t>
        </is>
      </c>
      <c r="B1721" s="3" t="inlineStr">
        <is>
          <t>바이오인프라</t>
        </is>
      </c>
      <c r="C1721" s="2" t="inlineStr">
        <is>
          <t>코스닥</t>
        </is>
      </c>
      <c r="D1721" s="2" t="inlineStr">
        <is>
          <t>199730</t>
        </is>
      </c>
      <c r="E1721" s="3" t="inlineStr">
        <is>
          <t>주주총회소집공고</t>
        </is>
      </c>
      <c r="F1721" s="3" t="inlineStr">
        <is>
          <t>바이오인프라</t>
        </is>
      </c>
      <c r="G1721" s="2" t="inlineStr">
        <is>
          <t>20260310002932</t>
        </is>
      </c>
      <c r="H1721" s="8">
        <f>HYPERLINK("https://dart.fss.or.kr/dsaf001/main.do?rcpNo=20260310002932", "공시열람")</f>
        <v/>
      </c>
    </row>
    <row r="1722">
      <c r="A1722" s="2" t="inlineStr">
        <is>
          <t>2026-03-10 (정정: 2026-03-11)</t>
        </is>
      </c>
      <c r="B1722" s="3" t="inlineStr">
        <is>
          <t>대원화성</t>
        </is>
      </c>
      <c r="C1722" s="2" t="inlineStr">
        <is>
          <t>코스피</t>
        </is>
      </c>
      <c r="D1722" s="2" t="inlineStr">
        <is>
          <t>024890</t>
        </is>
      </c>
      <c r="E1722" s="3" t="inlineStr">
        <is>
          <t>[기재정정]주주총회소집결의               (정정: 20260311)</t>
        </is>
      </c>
      <c r="F1722" s="3" t="inlineStr">
        <is>
          <t>대원화성</t>
        </is>
      </c>
      <c r="G1722" s="2" t="inlineStr">
        <is>
          <t>20260311801002</t>
        </is>
      </c>
      <c r="H1722" s="8">
        <f>HYPERLINK("https://dart.fss.or.kr/dsaf001/main.do?rcpNo=20260311801002", "공시열람")</f>
        <v/>
      </c>
    </row>
    <row r="1723">
      <c r="A1723" s="2" t="inlineStr">
        <is>
          <t>2026-03-10</t>
        </is>
      </c>
      <c r="B1723" s="3" t="inlineStr">
        <is>
          <t>RF시스템즈</t>
        </is>
      </c>
      <c r="C1723" s="2" t="inlineStr">
        <is>
          <t>코스닥</t>
        </is>
      </c>
      <c r="D1723" s="2" t="inlineStr">
        <is>
          <t>474610</t>
        </is>
      </c>
      <c r="E1723" s="3" t="inlineStr">
        <is>
          <t>주주총회소집공고</t>
        </is>
      </c>
      <c r="F1723" s="3" t="inlineStr">
        <is>
          <t>RF시스템즈</t>
        </is>
      </c>
      <c r="G1723" s="2" t="inlineStr">
        <is>
          <t>20260310002931</t>
        </is>
      </c>
      <c r="H1723" s="8">
        <f>HYPERLINK("https://dart.fss.or.kr/dsaf001/main.do?rcpNo=20260310002931", "공시열람")</f>
        <v/>
      </c>
    </row>
    <row r="1724">
      <c r="A1724" s="2" t="inlineStr">
        <is>
          <t>2026-03-10 (정정: 2026-03-11)</t>
        </is>
      </c>
      <c r="B1724" s="3" t="inlineStr">
        <is>
          <t>아이앤씨</t>
        </is>
      </c>
      <c r="C1724" s="2" t="inlineStr">
        <is>
          <t>코스닥</t>
        </is>
      </c>
      <c r="D1724" s="2" t="inlineStr">
        <is>
          <t>052860</t>
        </is>
      </c>
      <c r="E1724" s="3" t="inlineStr">
        <is>
          <t>[기재정정]주주총회소집결의               (정정: 20260311)</t>
        </is>
      </c>
      <c r="F1724" s="3" t="inlineStr">
        <is>
          <t>아이앤씨</t>
        </is>
      </c>
      <c r="G1724" s="2" t="inlineStr">
        <is>
          <t>20260311004357</t>
        </is>
      </c>
      <c r="H1724" s="8">
        <f>HYPERLINK("https://dart.fss.or.kr/dsaf001/main.do?rcpNo=20260311004357", "공시열람")</f>
        <v/>
      </c>
    </row>
    <row r="1725">
      <c r="A1725" s="2" t="inlineStr">
        <is>
          <t>2026-03-10</t>
        </is>
      </c>
      <c r="B1725" s="3" t="inlineStr">
        <is>
          <t>제테마</t>
        </is>
      </c>
      <c r="C1725" s="2" t="inlineStr">
        <is>
          <t>코스닥</t>
        </is>
      </c>
      <c r="D1725" s="2" t="inlineStr">
        <is>
          <t>216080</t>
        </is>
      </c>
      <c r="E1725" s="3" t="inlineStr">
        <is>
          <t xml:space="preserve">주주총회소집결의              </t>
        </is>
      </c>
      <c r="F1725" s="3" t="inlineStr">
        <is>
          <t>제테마</t>
        </is>
      </c>
      <c r="G1725" s="2" t="inlineStr">
        <is>
          <t>20260310901570</t>
        </is>
      </c>
      <c r="H1725" s="8">
        <f>HYPERLINK("https://dart.fss.or.kr/dsaf001/main.do?rcpNo=20260310901570", "공시열람")</f>
        <v/>
      </c>
    </row>
    <row r="1726">
      <c r="A1726" s="2" t="inlineStr">
        <is>
          <t>2026-03-10 (정정: 2026-03-12)</t>
        </is>
      </c>
      <c r="B1726" s="3" t="inlineStr">
        <is>
          <t>한컴라이프케어</t>
        </is>
      </c>
      <c r="C1726" s="2" t="inlineStr">
        <is>
          <t>코스피</t>
        </is>
      </c>
      <c r="D1726" s="2" t="inlineStr">
        <is>
          <t>372910</t>
        </is>
      </c>
      <c r="E1726" s="3" t="inlineStr">
        <is>
          <t>주주총회집중일개최사유신고               (정정: 20260311) (정정: 20260312)</t>
        </is>
      </c>
      <c r="F1726" s="3" t="inlineStr">
        <is>
          <t>한컴라이프케어</t>
        </is>
      </c>
      <c r="G1726" s="2" t="inlineStr">
        <is>
          <t>20260312000167</t>
        </is>
      </c>
      <c r="H1726" s="8">
        <f>HYPERLINK("https://dart.fss.or.kr/dsaf001/main.do?rcpNo=20260312000167", "공시열람")</f>
        <v/>
      </c>
    </row>
    <row r="1727">
      <c r="A1727" s="2" t="inlineStr">
        <is>
          <t>2026-03-10</t>
        </is>
      </c>
      <c r="B1727" s="3" t="inlineStr">
        <is>
          <t>대한해운</t>
        </is>
      </c>
      <c r="C1727" s="2" t="inlineStr">
        <is>
          <t>코스피</t>
        </is>
      </c>
      <c r="D1727" s="2" t="inlineStr">
        <is>
          <t>005880</t>
        </is>
      </c>
      <c r="E1727" s="3" t="inlineStr">
        <is>
          <t xml:space="preserve">주주총회소집결의              </t>
        </is>
      </c>
      <c r="F1727" s="3" t="inlineStr">
        <is>
          <t>대한해운</t>
        </is>
      </c>
      <c r="G1727" s="2" t="inlineStr">
        <is>
          <t>20260310801422</t>
        </is>
      </c>
      <c r="H1727" s="8">
        <f>HYPERLINK("https://dart.fss.or.kr/dsaf001/main.do?rcpNo=20260310801422", "공시열람")</f>
        <v/>
      </c>
    </row>
    <row r="1728">
      <c r="A1728" s="2" t="inlineStr">
        <is>
          <t>2026-03-10</t>
        </is>
      </c>
      <c r="B1728" s="3" t="inlineStr">
        <is>
          <t>넥센타이어</t>
        </is>
      </c>
      <c r="C1728" s="2" t="inlineStr">
        <is>
          <t>코스피</t>
        </is>
      </c>
      <c r="D1728" s="2" t="inlineStr">
        <is>
          <t>002350</t>
        </is>
      </c>
      <c r="E1728" s="3" t="inlineStr">
        <is>
          <t xml:space="preserve">주주총회소집결의              </t>
        </is>
      </c>
      <c r="F1728" s="3" t="inlineStr">
        <is>
          <t>넥센타이어</t>
        </is>
      </c>
      <c r="G1728" s="2" t="inlineStr">
        <is>
          <t>20260310801412</t>
        </is>
      </c>
      <c r="H1728" s="8">
        <f>HYPERLINK("https://dart.fss.or.kr/dsaf001/main.do?rcpNo=20260310801412", "공시열람")</f>
        <v/>
      </c>
    </row>
    <row r="1729">
      <c r="A1729" s="2" t="inlineStr">
        <is>
          <t>2026-03-10</t>
        </is>
      </c>
      <c r="B1729" s="3" t="inlineStr">
        <is>
          <t>필옵틱스</t>
        </is>
      </c>
      <c r="C1729" s="2" t="inlineStr">
        <is>
          <t>코스닥</t>
        </is>
      </c>
      <c r="D1729" s="2" t="inlineStr">
        <is>
          <t>161580</t>
        </is>
      </c>
      <c r="E1729" s="3" t="inlineStr">
        <is>
          <t xml:space="preserve">주주총회집중일개최사유신고              </t>
        </is>
      </c>
      <c r="F1729" s="3" t="inlineStr">
        <is>
          <t>필옵틱스</t>
        </is>
      </c>
      <c r="G1729" s="2" t="inlineStr">
        <is>
          <t>20260310901398</t>
        </is>
      </c>
      <c r="H1729" s="8">
        <f>HYPERLINK("https://dart.fss.or.kr/dsaf001/main.do?rcpNo=20260310901398", "공시열람")</f>
        <v/>
      </c>
    </row>
    <row r="1730">
      <c r="A1730" s="2" t="inlineStr">
        <is>
          <t>2026-03-10</t>
        </is>
      </c>
      <c r="B1730" s="3" t="inlineStr">
        <is>
          <t>신풍</t>
        </is>
      </c>
      <c r="C1730" s="2" t="inlineStr">
        <is>
          <t>코스피</t>
        </is>
      </c>
      <c r="D1730" s="2" t="inlineStr">
        <is>
          <t>002870</t>
        </is>
      </c>
      <c r="E1730" s="3" t="inlineStr">
        <is>
          <t xml:space="preserve">주주총회소집결의              </t>
        </is>
      </c>
      <c r="F1730" s="3" t="inlineStr">
        <is>
          <t>신풍</t>
        </is>
      </c>
      <c r="G1730" s="2" t="inlineStr">
        <is>
          <t>20260310801410</t>
        </is>
      </c>
      <c r="H1730" s="8">
        <f>HYPERLINK("https://dart.fss.or.kr/dsaf001/main.do?rcpNo=20260310801410", "공시열람")</f>
        <v/>
      </c>
    </row>
    <row r="1731">
      <c r="A1731" s="2" t="inlineStr">
        <is>
          <t>2026-03-10</t>
        </is>
      </c>
      <c r="B1731" s="3" t="inlineStr">
        <is>
          <t>바이오인프라</t>
        </is>
      </c>
      <c r="C1731" s="2" t="inlineStr">
        <is>
          <t>코스닥</t>
        </is>
      </c>
      <c r="D1731" s="2" t="inlineStr">
        <is>
          <t>199730</t>
        </is>
      </c>
      <c r="E1731" s="3" t="inlineStr">
        <is>
          <t xml:space="preserve">주주총회집중일개최사유신고              </t>
        </is>
      </c>
      <c r="F1731" s="3" t="inlineStr">
        <is>
          <t>바이오인프라</t>
        </is>
      </c>
      <c r="G1731" s="2" t="inlineStr">
        <is>
          <t>20260310901455</t>
        </is>
      </c>
      <c r="H1731" s="8">
        <f>HYPERLINK("https://dart.fss.or.kr/dsaf001/main.do?rcpNo=20260310901455", "공시열람")</f>
        <v/>
      </c>
    </row>
    <row r="1732">
      <c r="A1732" s="2" t="inlineStr">
        <is>
          <t>2026-03-10</t>
        </is>
      </c>
      <c r="B1732" s="3" t="inlineStr">
        <is>
          <t>디와이에이</t>
        </is>
      </c>
      <c r="C1732" s="2" t="inlineStr">
        <is>
          <t>코스피</t>
        </is>
      </c>
      <c r="D1732" s="2" t="inlineStr">
        <is>
          <t>002880</t>
        </is>
      </c>
      <c r="E1732" s="3" t="inlineStr">
        <is>
          <t>주주총회소집공고</t>
        </is>
      </c>
      <c r="F1732" s="3" t="inlineStr">
        <is>
          <t>디와이에이</t>
        </is>
      </c>
      <c r="G1732" s="2" t="inlineStr">
        <is>
          <t>20260310002915</t>
        </is>
      </c>
      <c r="H1732" s="8">
        <f>HYPERLINK("https://dart.fss.or.kr/dsaf001/main.do?rcpNo=20260310002915", "공시열람")</f>
        <v/>
      </c>
    </row>
    <row r="1733">
      <c r="A1733" s="2" t="inlineStr">
        <is>
          <t>2026-03-10</t>
        </is>
      </c>
      <c r="B1733" s="3" t="inlineStr">
        <is>
          <t>바이오인프라</t>
        </is>
      </c>
      <c r="C1733" s="2" t="inlineStr">
        <is>
          <t>코스닥</t>
        </is>
      </c>
      <c r="D1733" s="2" t="inlineStr">
        <is>
          <t>199730</t>
        </is>
      </c>
      <c r="E1733" s="3" t="inlineStr">
        <is>
          <t xml:space="preserve">주주총회소집결의              </t>
        </is>
      </c>
      <c r="F1733" s="3" t="inlineStr">
        <is>
          <t>바이오인프라</t>
        </is>
      </c>
      <c r="G1733" s="2" t="inlineStr">
        <is>
          <t>20260310901416</t>
        </is>
      </c>
      <c r="H1733" s="8">
        <f>HYPERLINK("https://dart.fss.or.kr/dsaf001/main.do?rcpNo=20260310901416", "공시열람")</f>
        <v/>
      </c>
    </row>
    <row r="1734">
      <c r="A1734" s="2" t="inlineStr">
        <is>
          <t>2026-03-10</t>
        </is>
      </c>
      <c r="B1734" s="3" t="inlineStr">
        <is>
          <t>네오셈</t>
        </is>
      </c>
      <c r="C1734" s="2" t="inlineStr">
        <is>
          <t>코스닥</t>
        </is>
      </c>
      <c r="D1734" s="2" t="inlineStr">
        <is>
          <t>253590</t>
        </is>
      </c>
      <c r="E1734" s="3" t="inlineStr">
        <is>
          <t>주주총회소집공고</t>
        </is>
      </c>
      <c r="F1734" s="3" t="inlineStr">
        <is>
          <t>네오셈</t>
        </is>
      </c>
      <c r="G1734" s="2" t="inlineStr">
        <is>
          <t>20260310002910</t>
        </is>
      </c>
      <c r="H1734" s="8">
        <f>HYPERLINK("https://dart.fss.or.kr/dsaf001/main.do?rcpNo=20260310002910", "공시열람")</f>
        <v/>
      </c>
    </row>
    <row r="1735">
      <c r="A1735" s="2" t="inlineStr">
        <is>
          <t>2026-03-10</t>
        </is>
      </c>
      <c r="B1735" s="3" t="inlineStr">
        <is>
          <t>알에프텍</t>
        </is>
      </c>
      <c r="C1735" s="2" t="inlineStr">
        <is>
          <t>코스닥</t>
        </is>
      </c>
      <c r="D1735" s="2" t="inlineStr">
        <is>
          <t>061040</t>
        </is>
      </c>
      <c r="E1735" s="3" t="inlineStr">
        <is>
          <t xml:space="preserve">주주총회소집결의              </t>
        </is>
      </c>
      <c r="F1735" s="3" t="inlineStr">
        <is>
          <t>알에프텍</t>
        </is>
      </c>
      <c r="G1735" s="2" t="inlineStr">
        <is>
          <t>20260310901503</t>
        </is>
      </c>
      <c r="H1735" s="8">
        <f>HYPERLINK("https://dart.fss.or.kr/dsaf001/main.do?rcpNo=20260310901503", "공시열람")</f>
        <v/>
      </c>
    </row>
    <row r="1736">
      <c r="A1736" s="2" t="inlineStr">
        <is>
          <t>2026-03-10</t>
        </is>
      </c>
      <c r="B1736" s="3" t="inlineStr">
        <is>
          <t>동원시스템즈</t>
        </is>
      </c>
      <c r="C1736" s="2" t="inlineStr">
        <is>
          <t>코스피</t>
        </is>
      </c>
      <c r="D1736" s="2" t="inlineStr">
        <is>
          <t>014820</t>
        </is>
      </c>
      <c r="E1736" s="3" t="inlineStr">
        <is>
          <t>주주총회소집공고</t>
        </is>
      </c>
      <c r="F1736" s="3" t="inlineStr">
        <is>
          <t>동원시스템즈</t>
        </is>
      </c>
      <c r="G1736" s="2" t="inlineStr">
        <is>
          <t>20260310002907</t>
        </is>
      </c>
      <c r="H1736" s="8">
        <f>HYPERLINK("https://dart.fss.or.kr/dsaf001/main.do?rcpNo=20260310002907", "공시열람")</f>
        <v/>
      </c>
    </row>
    <row r="1737">
      <c r="A1737" s="2" t="inlineStr">
        <is>
          <t>2026-03-10</t>
        </is>
      </c>
      <c r="B1737" s="3" t="inlineStr">
        <is>
          <t>SM C&amp;C</t>
        </is>
      </c>
      <c r="C1737" s="2" t="inlineStr">
        <is>
          <t>코스닥</t>
        </is>
      </c>
      <c r="D1737" s="2" t="inlineStr">
        <is>
          <t>048550</t>
        </is>
      </c>
      <c r="E1737" s="3" t="inlineStr">
        <is>
          <t>주주총회소집공고</t>
        </is>
      </c>
      <c r="F1737" s="3" t="inlineStr">
        <is>
          <t>SM C&amp;C</t>
        </is>
      </c>
      <c r="G1737" s="2" t="inlineStr">
        <is>
          <t>20260310002905</t>
        </is>
      </c>
      <c r="H1737" s="8">
        <f>HYPERLINK("https://dart.fss.or.kr/dsaf001/main.do?rcpNo=20260310002905", "공시열람")</f>
        <v/>
      </c>
    </row>
    <row r="1738">
      <c r="A1738" s="2" t="inlineStr">
        <is>
          <t>2026-03-10</t>
        </is>
      </c>
      <c r="B1738" s="3" t="inlineStr">
        <is>
          <t>월덱스</t>
        </is>
      </c>
      <c r="C1738" s="2" t="inlineStr">
        <is>
          <t>코스닥</t>
        </is>
      </c>
      <c r="D1738" s="2" t="inlineStr">
        <is>
          <t>101160</t>
        </is>
      </c>
      <c r="E1738" s="3" t="inlineStr">
        <is>
          <t>주주총회소집공고</t>
        </is>
      </c>
      <c r="F1738" s="3" t="inlineStr">
        <is>
          <t>월덱스</t>
        </is>
      </c>
      <c r="G1738" s="2" t="inlineStr">
        <is>
          <t>20260310002904</t>
        </is>
      </c>
      <c r="H1738" s="8">
        <f>HYPERLINK("https://dart.fss.or.kr/dsaf001/main.do?rcpNo=20260310002904", "공시열람")</f>
        <v/>
      </c>
    </row>
    <row r="1739">
      <c r="A1739" s="2" t="inlineStr">
        <is>
          <t>2026-03-10</t>
        </is>
      </c>
      <c r="B1739" s="3" t="inlineStr">
        <is>
          <t>대동</t>
        </is>
      </c>
      <c r="C1739" s="2" t="inlineStr">
        <is>
          <t>코스피</t>
        </is>
      </c>
      <c r="D1739" s="2" t="inlineStr">
        <is>
          <t>000490</t>
        </is>
      </c>
      <c r="E1739" s="3" t="inlineStr">
        <is>
          <t>주주총회소집공고</t>
        </is>
      </c>
      <c r="F1739" s="3" t="inlineStr">
        <is>
          <t>대동</t>
        </is>
      </c>
      <c r="G1739" s="2" t="inlineStr">
        <is>
          <t>20260310002900</t>
        </is>
      </c>
      <c r="H1739" s="8">
        <f>HYPERLINK("https://dart.fss.or.kr/dsaf001/main.do?rcpNo=20260310002900", "공시열람")</f>
        <v/>
      </c>
    </row>
    <row r="1740">
      <c r="A1740" s="2" t="inlineStr">
        <is>
          <t>2026-03-10</t>
        </is>
      </c>
      <c r="B1740" s="3" t="inlineStr">
        <is>
          <t>디와이에이</t>
        </is>
      </c>
      <c r="C1740" s="2" t="inlineStr">
        <is>
          <t>코스피</t>
        </is>
      </c>
      <c r="D1740" s="2" t="inlineStr">
        <is>
          <t>002880</t>
        </is>
      </c>
      <c r="E1740" s="3" t="inlineStr">
        <is>
          <t xml:space="preserve">주주총회소집결의              </t>
        </is>
      </c>
      <c r="F1740" s="3" t="inlineStr">
        <is>
          <t>디와이에이</t>
        </is>
      </c>
      <c r="G1740" s="2" t="inlineStr">
        <is>
          <t>20260310801458</t>
        </is>
      </c>
      <c r="H1740" s="8">
        <f>HYPERLINK("https://dart.fss.or.kr/dsaf001/main.do?rcpNo=20260310801458", "공시열람")</f>
        <v/>
      </c>
    </row>
    <row r="1741">
      <c r="A1741" s="2" t="inlineStr">
        <is>
          <t>2026-03-10</t>
        </is>
      </c>
      <c r="B1741" s="3" t="inlineStr">
        <is>
          <t>SM C&amp;C</t>
        </is>
      </c>
      <c r="C1741" s="2" t="inlineStr">
        <is>
          <t>코스닥</t>
        </is>
      </c>
      <c r="D1741" s="2" t="inlineStr">
        <is>
          <t>048550</t>
        </is>
      </c>
      <c r="E1741" s="3" t="inlineStr">
        <is>
          <t xml:space="preserve">주주총회집중일개최사유신고              </t>
        </is>
      </c>
      <c r="F1741" s="3" t="inlineStr">
        <is>
          <t>SM C&amp;C</t>
        </is>
      </c>
      <c r="G1741" s="2" t="inlineStr">
        <is>
          <t>20260310901457</t>
        </is>
      </c>
      <c r="H1741" s="8">
        <f>HYPERLINK("https://dart.fss.or.kr/dsaf001/main.do?rcpNo=20260310901457", "공시열람")</f>
        <v/>
      </c>
    </row>
    <row r="1742">
      <c r="A1742" s="2" t="inlineStr">
        <is>
          <t>2026-03-10</t>
        </is>
      </c>
      <c r="B1742" s="3" t="inlineStr">
        <is>
          <t>SM C&amp;C</t>
        </is>
      </c>
      <c r="C1742" s="2" t="inlineStr">
        <is>
          <t>코스닥</t>
        </is>
      </c>
      <c r="D1742" s="2" t="inlineStr">
        <is>
          <t>048550</t>
        </is>
      </c>
      <c r="E1742" s="3" t="inlineStr">
        <is>
          <t xml:space="preserve">주주총회소집결의              </t>
        </is>
      </c>
      <c r="F1742" s="3" t="inlineStr">
        <is>
          <t>SM C&amp;C</t>
        </is>
      </c>
      <c r="G1742" s="2" t="inlineStr">
        <is>
          <t>20260310901449</t>
        </is>
      </c>
      <c r="H1742" s="8">
        <f>HYPERLINK("https://dart.fss.or.kr/dsaf001/main.do?rcpNo=20260310901449", "공시열람")</f>
        <v/>
      </c>
    </row>
    <row r="1743">
      <c r="A1743" s="2" t="inlineStr">
        <is>
          <t>2026-03-10 (정정: 2026-03-11)</t>
        </is>
      </c>
      <c r="B1743" s="3" t="inlineStr">
        <is>
          <t>영원무역</t>
        </is>
      </c>
      <c r="C1743" s="2" t="inlineStr">
        <is>
          <t>코스피</t>
        </is>
      </c>
      <c r="D1743" s="2" t="inlineStr">
        <is>
          <t>111770</t>
        </is>
      </c>
      <c r="E1743" s="3" t="inlineStr">
        <is>
          <t>주주총회소집결의               (정정: 20260311)</t>
        </is>
      </c>
      <c r="F1743" s="3" t="inlineStr">
        <is>
          <t>영원무역</t>
        </is>
      </c>
      <c r="G1743" s="2" t="inlineStr">
        <is>
          <t>20260311800108</t>
        </is>
      </c>
      <c r="H1743" s="8">
        <f>HYPERLINK("https://dart.fss.or.kr/dsaf001/main.do?rcpNo=20260311800108", "공시열람")</f>
        <v/>
      </c>
    </row>
    <row r="1744">
      <c r="A1744" s="2" t="inlineStr">
        <is>
          <t>2026-03-10 (정정: 2026-03-11)</t>
        </is>
      </c>
      <c r="B1744" s="3" t="inlineStr">
        <is>
          <t>펌텍코리아</t>
        </is>
      </c>
      <c r="C1744" s="2" t="inlineStr">
        <is>
          <t>코스닥</t>
        </is>
      </c>
      <c r="D1744" s="2" t="inlineStr">
        <is>
          <t>251970</t>
        </is>
      </c>
      <c r="E1744" s="3" t="inlineStr">
        <is>
          <t>주주총회소집공고 (정정: 20260311)</t>
        </is>
      </c>
      <c r="F1744" s="3" t="inlineStr">
        <is>
          <t>펌텍코리아</t>
        </is>
      </c>
      <c r="G1744" s="2" t="inlineStr">
        <is>
          <t>20260311004080</t>
        </is>
      </c>
      <c r="H1744" s="8">
        <f>HYPERLINK("https://dart.fss.or.kr/dsaf001/main.do?rcpNo=20260311004080", "공시열람")</f>
        <v/>
      </c>
    </row>
    <row r="1745">
      <c r="A1745" s="2" t="inlineStr">
        <is>
          <t>2026-03-10 (정정: 2026-03-10)</t>
        </is>
      </c>
      <c r="B1745" s="3" t="inlineStr">
        <is>
          <t>에이아이코리아</t>
        </is>
      </c>
      <c r="C1745" s="2" t="inlineStr">
        <is>
          <t>코스닥</t>
        </is>
      </c>
      <c r="D1745" s="2" t="inlineStr">
        <is>
          <t>364950</t>
        </is>
      </c>
      <c r="E1745" s="3" t="inlineStr">
        <is>
          <t xml:space="preserve">[기재정정]주주총회집중일개최사유신고              </t>
        </is>
      </c>
      <c r="F1745" s="3" t="inlineStr">
        <is>
          <t>에이아이코리아</t>
        </is>
      </c>
      <c r="G1745" s="2" t="inlineStr">
        <is>
          <t>20260310901488</t>
        </is>
      </c>
      <c r="H1745" s="8">
        <f>HYPERLINK("https://dart.fss.or.kr/dsaf001/main.do?rcpNo=20260310901488", "공시열람")</f>
        <v/>
      </c>
    </row>
    <row r="1746">
      <c r="A1746" s="2" t="inlineStr">
        <is>
          <t>2026-03-10</t>
        </is>
      </c>
      <c r="B1746" s="3" t="inlineStr">
        <is>
          <t>BYC</t>
        </is>
      </c>
      <c r="C1746" s="2" t="inlineStr">
        <is>
          <t>코스피</t>
        </is>
      </c>
      <c r="D1746" s="2" t="inlineStr">
        <is>
          <t>001460</t>
        </is>
      </c>
      <c r="E1746" s="3" t="inlineStr">
        <is>
          <t xml:space="preserve">주주총회소집결의              </t>
        </is>
      </c>
      <c r="F1746" s="3" t="inlineStr">
        <is>
          <t>BYC</t>
        </is>
      </c>
      <c r="G1746" s="2" t="inlineStr">
        <is>
          <t>20260310801481</t>
        </is>
      </c>
      <c r="H1746" s="8">
        <f>HYPERLINK("https://dart.fss.or.kr/dsaf001/main.do?rcpNo=20260310801481", "공시열람")</f>
        <v/>
      </c>
    </row>
    <row r="1747">
      <c r="A1747" s="2" t="inlineStr">
        <is>
          <t>2026-03-10</t>
        </is>
      </c>
      <c r="B1747" s="3" t="inlineStr">
        <is>
          <t>쎄니트</t>
        </is>
      </c>
      <c r="C1747" s="2" t="inlineStr">
        <is>
          <t>코스닥</t>
        </is>
      </c>
      <c r="D1747" s="2" t="inlineStr">
        <is>
          <t>037760</t>
        </is>
      </c>
      <c r="E1747" s="3" t="inlineStr">
        <is>
          <t xml:space="preserve">주주총회소집결의              </t>
        </is>
      </c>
      <c r="F1747" s="3" t="inlineStr">
        <is>
          <t>쎄니트</t>
        </is>
      </c>
      <c r="G1747" s="2" t="inlineStr">
        <is>
          <t>20260310901331</t>
        </is>
      </c>
      <c r="H1747" s="8">
        <f>HYPERLINK("https://dart.fss.or.kr/dsaf001/main.do?rcpNo=20260310901331", "공시열람")</f>
        <v/>
      </c>
    </row>
    <row r="1748">
      <c r="A1748" s="2" t="inlineStr">
        <is>
          <t>2026-03-10</t>
        </is>
      </c>
      <c r="B1748" s="3" t="inlineStr">
        <is>
          <t>나이스디앤비</t>
        </is>
      </c>
      <c r="C1748" s="2" t="inlineStr">
        <is>
          <t>코스닥</t>
        </is>
      </c>
      <c r="D1748" s="2" t="inlineStr">
        <is>
          <t>130580</t>
        </is>
      </c>
      <c r="E1748" s="3" t="inlineStr">
        <is>
          <t>주주총회소집공고</t>
        </is>
      </c>
      <c r="F1748" s="3" t="inlineStr">
        <is>
          <t>나이스디앤비</t>
        </is>
      </c>
      <c r="G1748" s="2" t="inlineStr">
        <is>
          <t>20260310002884</t>
        </is>
      </c>
      <c r="H1748" s="8">
        <f>HYPERLINK("https://dart.fss.or.kr/dsaf001/main.do?rcpNo=20260310002884", "공시열람")</f>
        <v/>
      </c>
    </row>
    <row r="1749">
      <c r="A1749" s="2" t="inlineStr">
        <is>
          <t>2026-03-10</t>
        </is>
      </c>
      <c r="B1749" s="3" t="inlineStr">
        <is>
          <t>동원시스템즈</t>
        </is>
      </c>
      <c r="C1749" s="2" t="inlineStr">
        <is>
          <t>코스피</t>
        </is>
      </c>
      <c r="D1749" s="2" t="inlineStr">
        <is>
          <t>014820</t>
        </is>
      </c>
      <c r="E1749" s="3" t="inlineStr">
        <is>
          <t xml:space="preserve">주주총회소집결의              </t>
        </is>
      </c>
      <c r="F1749" s="3" t="inlineStr">
        <is>
          <t>동원시스템즈</t>
        </is>
      </c>
      <c r="G1749" s="2" t="inlineStr">
        <is>
          <t>20260310801338</t>
        </is>
      </c>
      <c r="H1749" s="8">
        <f>HYPERLINK("https://dart.fss.or.kr/dsaf001/main.do?rcpNo=20260310801338", "공시열람")</f>
        <v/>
      </c>
    </row>
    <row r="1750">
      <c r="A1750" s="2" t="inlineStr">
        <is>
          <t>2026-03-10</t>
        </is>
      </c>
      <c r="B1750" s="3" t="inlineStr">
        <is>
          <t>엘케이켐</t>
        </is>
      </c>
      <c r="C1750" s="2" t="inlineStr">
        <is>
          <t>코스닥</t>
        </is>
      </c>
      <c r="D1750" s="2" t="inlineStr">
        <is>
          <t>489500</t>
        </is>
      </c>
      <c r="E1750" s="3" t="inlineStr">
        <is>
          <t>주주총회소집공고</t>
        </is>
      </c>
      <c r="F1750" s="3" t="inlineStr">
        <is>
          <t>엘케이켐</t>
        </is>
      </c>
      <c r="G1750" s="2" t="inlineStr">
        <is>
          <t>20260310002880</t>
        </is>
      </c>
      <c r="H1750" s="8">
        <f>HYPERLINK("https://dart.fss.or.kr/dsaf001/main.do?rcpNo=20260310002880", "공시열람")</f>
        <v/>
      </c>
    </row>
    <row r="1751">
      <c r="A1751" s="2" t="inlineStr">
        <is>
          <t>2026-03-10</t>
        </is>
      </c>
      <c r="B1751" s="3" t="inlineStr">
        <is>
          <t>토탈소프트</t>
        </is>
      </c>
      <c r="C1751" s="2" t="inlineStr">
        <is>
          <t>코스닥</t>
        </is>
      </c>
      <c r="D1751" s="2" t="inlineStr">
        <is>
          <t>045340</t>
        </is>
      </c>
      <c r="E1751" s="3" t="inlineStr">
        <is>
          <t>주주총회소집공고</t>
        </is>
      </c>
      <c r="F1751" s="3" t="inlineStr">
        <is>
          <t>토탈소프트</t>
        </is>
      </c>
      <c r="G1751" s="2" t="inlineStr">
        <is>
          <t>20260310002878</t>
        </is>
      </c>
      <c r="H1751" s="8">
        <f>HYPERLINK("https://dart.fss.or.kr/dsaf001/main.do?rcpNo=20260310002878", "공시열람")</f>
        <v/>
      </c>
    </row>
    <row r="1752">
      <c r="A1752" s="2" t="inlineStr">
        <is>
          <t>2026-03-10</t>
        </is>
      </c>
      <c r="B1752" s="3" t="inlineStr">
        <is>
          <t>엘앤씨바이오</t>
        </is>
      </c>
      <c r="C1752" s="2" t="inlineStr">
        <is>
          <t>코스닥</t>
        </is>
      </c>
      <c r="D1752" s="2" t="inlineStr">
        <is>
          <t>290650</t>
        </is>
      </c>
      <c r="E1752" s="3" t="inlineStr">
        <is>
          <t>주주총회소집공고</t>
        </is>
      </c>
      <c r="F1752" s="3" t="inlineStr">
        <is>
          <t>엘앤씨바이오</t>
        </is>
      </c>
      <c r="G1752" s="2" t="inlineStr">
        <is>
          <t>20260310002877</t>
        </is>
      </c>
      <c r="H1752" s="8">
        <f>HYPERLINK("https://dart.fss.or.kr/dsaf001/main.do?rcpNo=20260310002877", "공시열람")</f>
        <v/>
      </c>
    </row>
    <row r="1753">
      <c r="A1753" s="2" t="inlineStr">
        <is>
          <t>2026-03-10 (정정: 2026-03-11)</t>
        </is>
      </c>
      <c r="B1753" s="3" t="inlineStr">
        <is>
          <t>덕산네오룩스</t>
        </is>
      </c>
      <c r="C1753" s="2" t="inlineStr">
        <is>
          <t>코스닥</t>
        </is>
      </c>
      <c r="D1753" s="2" t="inlineStr">
        <is>
          <t>213420</t>
        </is>
      </c>
      <c r="E1753" s="3" t="inlineStr">
        <is>
          <t>주주총회소집결의               (정정: 20260311)</t>
        </is>
      </c>
      <c r="F1753" s="3" t="inlineStr">
        <is>
          <t>덕산네오룩스</t>
        </is>
      </c>
      <c r="G1753" s="2" t="inlineStr">
        <is>
          <t>20260311901053</t>
        </is>
      </c>
      <c r="H1753" s="8">
        <f>HYPERLINK("https://dart.fss.or.kr/dsaf001/main.do?rcpNo=20260311901053", "공시열람")</f>
        <v/>
      </c>
    </row>
    <row r="1754">
      <c r="A1754" s="2" t="inlineStr">
        <is>
          <t>2026-03-10</t>
        </is>
      </c>
      <c r="B1754" s="3" t="inlineStr">
        <is>
          <t>엔솔바이오사이언스</t>
        </is>
      </c>
      <c r="C1754" s="2" t="inlineStr">
        <is>
          <t>코넥스</t>
        </is>
      </c>
      <c r="D1754" s="2" t="inlineStr">
        <is>
          <t>140610</t>
        </is>
      </c>
      <c r="E1754" s="3" t="inlineStr">
        <is>
          <t xml:space="preserve">주주총회소집결의              </t>
        </is>
      </c>
      <c r="F1754" s="3" t="inlineStr">
        <is>
          <t>엔솔바이오사이언스</t>
        </is>
      </c>
      <c r="G1754" s="2" t="inlineStr">
        <is>
          <t>20260310601423</t>
        </is>
      </c>
      <c r="H1754" s="8">
        <f>HYPERLINK("https://dart.fss.or.kr/dsaf001/main.do?rcpNo=20260310601423", "공시열람")</f>
        <v/>
      </c>
    </row>
    <row r="1755">
      <c r="A1755" s="2" t="inlineStr">
        <is>
          <t>2026-03-10</t>
        </is>
      </c>
      <c r="B1755" s="3" t="inlineStr">
        <is>
          <t>상상인</t>
        </is>
      </c>
      <c r="C1755" s="2" t="inlineStr">
        <is>
          <t>코스닥</t>
        </is>
      </c>
      <c r="D1755" s="2" t="inlineStr">
        <is>
          <t>038540</t>
        </is>
      </c>
      <c r="E1755" s="3" t="inlineStr">
        <is>
          <t>주주총회소집공고</t>
        </is>
      </c>
      <c r="F1755" s="3" t="inlineStr">
        <is>
          <t>상상인</t>
        </is>
      </c>
      <c r="G1755" s="2" t="inlineStr">
        <is>
          <t>20260310002873</t>
        </is>
      </c>
      <c r="H1755" s="8">
        <f>HYPERLINK("https://dart.fss.or.kr/dsaf001/main.do?rcpNo=20260310002873", "공시열람")</f>
        <v/>
      </c>
    </row>
    <row r="1756">
      <c r="A1756" s="2" t="inlineStr">
        <is>
          <t>2026-03-10 (정정: 2026-03-11)</t>
        </is>
      </c>
      <c r="B1756" s="3" t="inlineStr">
        <is>
          <t>바이오노트</t>
        </is>
      </c>
      <c r="C1756" s="2" t="inlineStr">
        <is>
          <t>코스피</t>
        </is>
      </c>
      <c r="D1756" s="2" t="inlineStr">
        <is>
          <t>377740</t>
        </is>
      </c>
      <c r="E1756" s="3" t="inlineStr">
        <is>
          <t>주주총회소집공고 (정정: 20260311)</t>
        </is>
      </c>
      <c r="F1756" s="3" t="inlineStr">
        <is>
          <t>바이오노트</t>
        </is>
      </c>
      <c r="G1756" s="2" t="inlineStr">
        <is>
          <t>20260311802180</t>
        </is>
      </c>
      <c r="H1756" s="8">
        <f>HYPERLINK("https://dart.fss.or.kr/dsaf001/main.do?rcpNo=20260311802180", "공시열람")</f>
        <v/>
      </c>
    </row>
    <row r="1757">
      <c r="A1757" s="2" t="inlineStr">
        <is>
          <t>2026-03-10</t>
        </is>
      </c>
      <c r="B1757" s="3" t="inlineStr">
        <is>
          <t>엘앤씨바이오</t>
        </is>
      </c>
      <c r="C1757" s="2" t="inlineStr">
        <is>
          <t>코스닥</t>
        </is>
      </c>
      <c r="D1757" s="2" t="inlineStr">
        <is>
          <t>290650</t>
        </is>
      </c>
      <c r="E1757" s="3" t="inlineStr">
        <is>
          <t xml:space="preserve">주주총회소집결의              </t>
        </is>
      </c>
      <c r="F1757" s="3" t="inlineStr">
        <is>
          <t>엘앤씨바이오</t>
        </is>
      </c>
      <c r="G1757" s="2" t="inlineStr">
        <is>
          <t>20260310901445</t>
        </is>
      </c>
      <c r="H1757" s="8">
        <f>HYPERLINK("https://dart.fss.or.kr/dsaf001/main.do?rcpNo=20260310901445", "공시열람")</f>
        <v/>
      </c>
    </row>
    <row r="1758">
      <c r="A1758" s="2" t="inlineStr">
        <is>
          <t>2026-03-10</t>
        </is>
      </c>
      <c r="B1758" s="3" t="inlineStr">
        <is>
          <t>한컴라이프케어</t>
        </is>
      </c>
      <c r="C1758" s="2" t="inlineStr">
        <is>
          <t>코스피</t>
        </is>
      </c>
      <c r="D1758" s="2" t="inlineStr">
        <is>
          <t>372910</t>
        </is>
      </c>
      <c r="E1758" s="3" t="inlineStr">
        <is>
          <t>주주총회소집공고</t>
        </is>
      </c>
      <c r="F1758" s="3" t="inlineStr">
        <is>
          <t>한컴라이프케어</t>
        </is>
      </c>
      <c r="G1758" s="2" t="inlineStr">
        <is>
          <t>20260310002869</t>
        </is>
      </c>
      <c r="H1758" s="8">
        <f>HYPERLINK("https://dart.fss.or.kr/dsaf001/main.do?rcpNo=20260310002869", "공시열람")</f>
        <v/>
      </c>
    </row>
    <row r="1759">
      <c r="A1759" s="2" t="inlineStr">
        <is>
          <t>2026-03-10</t>
        </is>
      </c>
      <c r="B1759" s="3" t="inlineStr">
        <is>
          <t>한주에이알티</t>
        </is>
      </c>
      <c r="C1759" s="2" t="inlineStr">
        <is>
          <t>코스닥</t>
        </is>
      </c>
      <c r="D1759" s="2" t="inlineStr">
        <is>
          <t>058450</t>
        </is>
      </c>
      <c r="E1759" s="3" t="inlineStr">
        <is>
          <t>주주총회소집공고</t>
        </is>
      </c>
      <c r="F1759" s="3" t="inlineStr">
        <is>
          <t>한주에이알티</t>
        </is>
      </c>
      <c r="G1759" s="2" t="inlineStr">
        <is>
          <t>20260310002864</t>
        </is>
      </c>
      <c r="H1759" s="8">
        <f>HYPERLINK("https://dart.fss.or.kr/dsaf001/main.do?rcpNo=20260310002864", "공시열람")</f>
        <v/>
      </c>
    </row>
    <row r="1760">
      <c r="A1760" s="2" t="inlineStr">
        <is>
          <t>2026-03-10</t>
        </is>
      </c>
      <c r="B1760" s="3" t="inlineStr">
        <is>
          <t>펌텍코리아</t>
        </is>
      </c>
      <c r="C1760" s="2" t="inlineStr">
        <is>
          <t>코스닥</t>
        </is>
      </c>
      <c r="D1760" s="2" t="inlineStr">
        <is>
          <t>251970</t>
        </is>
      </c>
      <c r="E1760" s="3" t="inlineStr">
        <is>
          <t xml:space="preserve">주주총회집중일개최사유신고              </t>
        </is>
      </c>
      <c r="F1760" s="3" t="inlineStr">
        <is>
          <t>펌텍코리아</t>
        </is>
      </c>
      <c r="G1760" s="2" t="inlineStr">
        <is>
          <t>20260310901437</t>
        </is>
      </c>
      <c r="H1760" s="8">
        <f>HYPERLINK("https://dart.fss.or.kr/dsaf001/main.do?rcpNo=20260310901437", "공시열람")</f>
        <v/>
      </c>
    </row>
    <row r="1761">
      <c r="A1761" s="2" t="inlineStr">
        <is>
          <t>2026-03-10</t>
        </is>
      </c>
      <c r="B1761" s="3" t="inlineStr">
        <is>
          <t>아스트</t>
        </is>
      </c>
      <c r="C1761" s="2" t="inlineStr">
        <is>
          <t>코스닥</t>
        </is>
      </c>
      <c r="D1761" s="2" t="inlineStr">
        <is>
          <t>067390</t>
        </is>
      </c>
      <c r="E1761" s="3" t="inlineStr">
        <is>
          <t xml:space="preserve">주주총회소집결의              </t>
        </is>
      </c>
      <c r="F1761" s="3" t="inlineStr">
        <is>
          <t>아스트</t>
        </is>
      </c>
      <c r="G1761" s="2" t="inlineStr">
        <is>
          <t>20260310901284</t>
        </is>
      </c>
      <c r="H1761" s="8">
        <f>HYPERLINK("https://dart.fss.or.kr/dsaf001/main.do?rcpNo=20260310901284", "공시열람")</f>
        <v/>
      </c>
    </row>
    <row r="1762">
      <c r="A1762" s="2" t="inlineStr">
        <is>
          <t>2026-03-10</t>
        </is>
      </c>
      <c r="B1762" s="3" t="inlineStr">
        <is>
          <t>프리시젼바이오</t>
        </is>
      </c>
      <c r="C1762" s="2" t="inlineStr">
        <is>
          <t>코스닥</t>
        </is>
      </c>
      <c r="D1762" s="2" t="inlineStr">
        <is>
          <t>335810</t>
        </is>
      </c>
      <c r="E1762" s="3" t="inlineStr">
        <is>
          <t>주주총회소집공고</t>
        </is>
      </c>
      <c r="F1762" s="3" t="inlineStr">
        <is>
          <t>프리시젼바이오</t>
        </is>
      </c>
      <c r="G1762" s="2" t="inlineStr">
        <is>
          <t>20260310002861</t>
        </is>
      </c>
      <c r="H1762" s="8">
        <f>HYPERLINK("https://dart.fss.or.kr/dsaf001/main.do?rcpNo=20260310002861", "공시열람")</f>
        <v/>
      </c>
    </row>
    <row r="1763">
      <c r="A1763" s="2" t="inlineStr">
        <is>
          <t>2026-03-10</t>
        </is>
      </c>
      <c r="B1763" s="3" t="inlineStr">
        <is>
          <t>오상헬스케어</t>
        </is>
      </c>
      <c r="C1763" s="2" t="inlineStr">
        <is>
          <t>코스닥</t>
        </is>
      </c>
      <c r="D1763" s="2" t="inlineStr">
        <is>
          <t>036220</t>
        </is>
      </c>
      <c r="E1763" s="3" t="inlineStr">
        <is>
          <t xml:space="preserve">주주총회소집결의              </t>
        </is>
      </c>
      <c r="F1763" s="3" t="inlineStr">
        <is>
          <t>오상헬스케어</t>
        </is>
      </c>
      <c r="G1763" s="2" t="inlineStr">
        <is>
          <t>20260310901414</t>
        </is>
      </c>
      <c r="H1763" s="8">
        <f>HYPERLINK("https://dart.fss.or.kr/dsaf001/main.do?rcpNo=20260310901414", "공시열람")</f>
        <v/>
      </c>
    </row>
    <row r="1764">
      <c r="A1764" s="2" t="inlineStr">
        <is>
          <t>2026-03-10</t>
        </is>
      </c>
      <c r="B1764" s="3" t="inlineStr">
        <is>
          <t>서린바이오</t>
        </is>
      </c>
      <c r="C1764" s="2" t="inlineStr">
        <is>
          <t>코스닥</t>
        </is>
      </c>
      <c r="D1764" s="2" t="inlineStr">
        <is>
          <t>038070</t>
        </is>
      </c>
      <c r="E1764" s="3" t="inlineStr">
        <is>
          <t>주주총회소집공고</t>
        </is>
      </c>
      <c r="F1764" s="3" t="inlineStr">
        <is>
          <t>서린바이오</t>
        </is>
      </c>
      <c r="G1764" s="2" t="inlineStr">
        <is>
          <t>20260310002857</t>
        </is>
      </c>
      <c r="H1764" s="8">
        <f>HYPERLINK("https://dart.fss.or.kr/dsaf001/main.do?rcpNo=20260310002857", "공시열람")</f>
        <v/>
      </c>
    </row>
    <row r="1765">
      <c r="A1765" s="2" t="inlineStr">
        <is>
          <t>2026-03-10</t>
        </is>
      </c>
      <c r="B1765" s="3" t="inlineStr">
        <is>
          <t>엘엠에스</t>
        </is>
      </c>
      <c r="C1765" s="2" t="inlineStr">
        <is>
          <t>코스닥</t>
        </is>
      </c>
      <c r="D1765" s="2" t="inlineStr">
        <is>
          <t>073110</t>
        </is>
      </c>
      <c r="E1765" s="3" t="inlineStr">
        <is>
          <t>주주총회소집공고</t>
        </is>
      </c>
      <c r="F1765" s="3" t="inlineStr">
        <is>
          <t>엘엠에스</t>
        </is>
      </c>
      <c r="G1765" s="2" t="inlineStr">
        <is>
          <t>20260310002854</t>
        </is>
      </c>
      <c r="H1765" s="8">
        <f>HYPERLINK("https://dart.fss.or.kr/dsaf001/main.do?rcpNo=20260310002854", "공시열람")</f>
        <v/>
      </c>
    </row>
    <row r="1766">
      <c r="A1766" s="2" t="inlineStr">
        <is>
          <t>2026-03-10</t>
        </is>
      </c>
      <c r="B1766" s="3" t="inlineStr">
        <is>
          <t>한주에이알티</t>
        </is>
      </c>
      <c r="C1766" s="2" t="inlineStr">
        <is>
          <t>코스닥</t>
        </is>
      </c>
      <c r="D1766" s="2" t="inlineStr">
        <is>
          <t>058450</t>
        </is>
      </c>
      <c r="E1766" s="3" t="inlineStr">
        <is>
          <t xml:space="preserve">주주총회소집결의              </t>
        </is>
      </c>
      <c r="F1766" s="3" t="inlineStr">
        <is>
          <t>한주에이알티</t>
        </is>
      </c>
      <c r="G1766" s="2" t="inlineStr">
        <is>
          <t>20260310901372</t>
        </is>
      </c>
      <c r="H1766" s="8">
        <f>HYPERLINK("https://dart.fss.or.kr/dsaf001/main.do?rcpNo=20260310901372", "공시열람")</f>
        <v/>
      </c>
    </row>
    <row r="1767">
      <c r="A1767" s="2" t="inlineStr">
        <is>
          <t>2026-03-10 (정정: 2026-03-10)</t>
        </is>
      </c>
      <c r="B1767" s="3" t="inlineStr">
        <is>
          <t>남화산업</t>
        </is>
      </c>
      <c r="C1767" s="2" t="inlineStr">
        <is>
          <t>코스닥</t>
        </is>
      </c>
      <c r="D1767" s="2" t="inlineStr">
        <is>
          <t>111710</t>
        </is>
      </c>
      <c r="E1767" s="3" t="inlineStr">
        <is>
          <t>[기재정정]주주총회소집결의               (정정: 20260310) (정정: 20260310)</t>
        </is>
      </c>
      <c r="F1767" s="3" t="inlineStr">
        <is>
          <t>남화산업</t>
        </is>
      </c>
      <c r="G1767" s="2" t="inlineStr">
        <is>
          <t>20260310002552</t>
        </is>
      </c>
      <c r="H1767" s="8">
        <f>HYPERLINK("https://dart.fss.or.kr/dsaf001/main.do?rcpNo=20260310002552", "공시열람")</f>
        <v/>
      </c>
    </row>
    <row r="1768">
      <c r="A1768" s="2" t="inlineStr">
        <is>
          <t>2026-03-10</t>
        </is>
      </c>
      <c r="B1768" s="3" t="inlineStr">
        <is>
          <t>사토시홀딩스</t>
        </is>
      </c>
      <c r="C1768" s="2" t="inlineStr">
        <is>
          <t>코스닥</t>
        </is>
      </c>
      <c r="D1768" s="2" t="inlineStr">
        <is>
          <t>223310</t>
        </is>
      </c>
      <c r="E1768" s="3" t="inlineStr">
        <is>
          <t>[기재정정]주주총회소집공고</t>
        </is>
      </c>
      <c r="F1768" s="3" t="inlineStr">
        <is>
          <t>사토시홀딩스</t>
        </is>
      </c>
      <c r="G1768" s="2" t="inlineStr">
        <is>
          <t>20260310002844</t>
        </is>
      </c>
      <c r="H1768" s="8">
        <f>HYPERLINK("https://dart.fss.or.kr/dsaf001/main.do?rcpNo=20260310002844", "공시열람")</f>
        <v/>
      </c>
    </row>
    <row r="1769">
      <c r="A1769" s="2" t="inlineStr">
        <is>
          <t>2026-03-10</t>
        </is>
      </c>
      <c r="B1769" s="3" t="inlineStr">
        <is>
          <t>포니링크</t>
        </is>
      </c>
      <c r="C1769" s="2" t="inlineStr">
        <is>
          <t>코스닥</t>
        </is>
      </c>
      <c r="D1769" s="2" t="inlineStr">
        <is>
          <t>064800</t>
        </is>
      </c>
      <c r="E1769" s="3" t="inlineStr">
        <is>
          <t>주주총회소집공고</t>
        </is>
      </c>
      <c r="F1769" s="3" t="inlineStr">
        <is>
          <t>포니링크</t>
        </is>
      </c>
      <c r="G1769" s="2" t="inlineStr">
        <is>
          <t>20260310002843</t>
        </is>
      </c>
      <c r="H1769" s="8">
        <f>HYPERLINK("https://dart.fss.or.kr/dsaf001/main.do?rcpNo=20260310002843", "공시열람")</f>
        <v/>
      </c>
    </row>
    <row r="1770">
      <c r="A1770" s="2" t="inlineStr">
        <is>
          <t>2026-03-10</t>
        </is>
      </c>
      <c r="B1770" s="3" t="inlineStr">
        <is>
          <t>한컴라이프케어</t>
        </is>
      </c>
      <c r="C1770" s="2" t="inlineStr">
        <is>
          <t>코스피</t>
        </is>
      </c>
      <c r="D1770" s="2" t="inlineStr">
        <is>
          <t>372910</t>
        </is>
      </c>
      <c r="E1770" s="3" t="inlineStr">
        <is>
          <t xml:space="preserve">주주총회소집결의              </t>
        </is>
      </c>
      <c r="F1770" s="3" t="inlineStr">
        <is>
          <t>한컴라이프케어</t>
        </is>
      </c>
      <c r="G1770" s="2" t="inlineStr">
        <is>
          <t>20260310801294</t>
        </is>
      </c>
      <c r="H1770" s="8">
        <f>HYPERLINK("https://dart.fss.or.kr/dsaf001/main.do?rcpNo=20260310801294", "공시열람")</f>
        <v/>
      </c>
    </row>
    <row r="1771">
      <c r="A1771" s="2" t="inlineStr">
        <is>
          <t>2026-03-10</t>
        </is>
      </c>
      <c r="B1771" s="3" t="inlineStr">
        <is>
          <t>삼화콘덴서공업</t>
        </is>
      </c>
      <c r="C1771" s="2" t="inlineStr">
        <is>
          <t>코스피</t>
        </is>
      </c>
      <c r="D1771" s="2" t="inlineStr">
        <is>
          <t>001820</t>
        </is>
      </c>
      <c r="E1771" s="3" t="inlineStr">
        <is>
          <t xml:space="preserve">주주총회집중일개최사유신고              </t>
        </is>
      </c>
      <c r="F1771" s="3" t="inlineStr">
        <is>
          <t>삼화콘덴서공업</t>
        </is>
      </c>
      <c r="G1771" s="2" t="inlineStr">
        <is>
          <t>20260310801384</t>
        </is>
      </c>
      <c r="H1771" s="8">
        <f>HYPERLINK("https://dart.fss.or.kr/dsaf001/main.do?rcpNo=20260310801384", "공시열람")</f>
        <v/>
      </c>
    </row>
    <row r="1772">
      <c r="A1772" s="2" t="inlineStr">
        <is>
          <t>2026-03-10 (정정: 2026-03-10)</t>
        </is>
      </c>
      <c r="B1772" s="3" t="inlineStr">
        <is>
          <t>엠씨넥스</t>
        </is>
      </c>
      <c r="C1772" s="2" t="inlineStr">
        <is>
          <t>코스피</t>
        </is>
      </c>
      <c r="D1772" s="2" t="inlineStr">
        <is>
          <t>097520</t>
        </is>
      </c>
      <c r="E1772" s="3" t="inlineStr">
        <is>
          <t>주주총회소집공고 (정정: 20260310)</t>
        </is>
      </c>
      <c r="F1772" s="3" t="inlineStr">
        <is>
          <t>엠씨넥스</t>
        </is>
      </c>
      <c r="G1772" s="2" t="inlineStr">
        <is>
          <t>20260310801291</t>
        </is>
      </c>
      <c r="H1772" s="8">
        <f>HYPERLINK("https://dart.fss.or.kr/dsaf001/main.do?rcpNo=20260310801291", "공시열람")</f>
        <v/>
      </c>
    </row>
    <row r="1773">
      <c r="A1773" s="2" t="inlineStr">
        <is>
          <t>2026-03-10</t>
        </is>
      </c>
      <c r="B1773" s="3" t="inlineStr">
        <is>
          <t>원익피앤이</t>
        </is>
      </c>
      <c r="C1773" s="2" t="inlineStr">
        <is>
          <t>코스닥</t>
        </is>
      </c>
      <c r="D1773" s="2" t="inlineStr">
        <is>
          <t>217820</t>
        </is>
      </c>
      <c r="E1773" s="3" t="inlineStr">
        <is>
          <t xml:space="preserve">주주총회소집결의              </t>
        </is>
      </c>
      <c r="F1773" s="3" t="inlineStr">
        <is>
          <t>원익피앤이</t>
        </is>
      </c>
      <c r="G1773" s="2" t="inlineStr">
        <is>
          <t>20260310901360</t>
        </is>
      </c>
      <c r="H1773" s="8">
        <f>HYPERLINK("https://dart.fss.or.kr/dsaf001/main.do?rcpNo=20260310901360", "공시열람")</f>
        <v/>
      </c>
    </row>
    <row r="1774">
      <c r="A1774" s="2" t="inlineStr">
        <is>
          <t>2026-03-10</t>
        </is>
      </c>
      <c r="B1774" s="3" t="inlineStr">
        <is>
          <t>펌텍코리아</t>
        </is>
      </c>
      <c r="C1774" s="2" t="inlineStr">
        <is>
          <t>코스닥</t>
        </is>
      </c>
      <c r="D1774" s="2" t="inlineStr">
        <is>
          <t>251970</t>
        </is>
      </c>
      <c r="E1774" s="3" t="inlineStr">
        <is>
          <t xml:space="preserve">주주총회소집결의              </t>
        </is>
      </c>
      <c r="F1774" s="3" t="inlineStr">
        <is>
          <t>펌텍코리아</t>
        </is>
      </c>
      <c r="G1774" s="2" t="inlineStr">
        <is>
          <t>20260310901300</t>
        </is>
      </c>
      <c r="H1774" s="8">
        <f>HYPERLINK("https://dart.fss.or.kr/dsaf001/main.do?rcpNo=20260310901300", "공시열람")</f>
        <v/>
      </c>
    </row>
    <row r="1775">
      <c r="A1775" s="2" t="inlineStr">
        <is>
          <t>2026-03-10</t>
        </is>
      </c>
      <c r="B1775" s="3" t="inlineStr">
        <is>
          <t>상상인</t>
        </is>
      </c>
      <c r="C1775" s="2" t="inlineStr">
        <is>
          <t>코스닥</t>
        </is>
      </c>
      <c r="D1775" s="2" t="inlineStr">
        <is>
          <t>038540</t>
        </is>
      </c>
      <c r="E1775" s="3" t="inlineStr">
        <is>
          <t xml:space="preserve">주주총회소집결의              </t>
        </is>
      </c>
      <c r="F1775" s="3" t="inlineStr">
        <is>
          <t>상상인</t>
        </is>
      </c>
      <c r="G1775" s="2" t="inlineStr">
        <is>
          <t>20260310901399</t>
        </is>
      </c>
      <c r="H1775" s="8">
        <f>HYPERLINK("https://dart.fss.or.kr/dsaf001/main.do?rcpNo=20260310901399", "공시열람")</f>
        <v/>
      </c>
    </row>
    <row r="1776">
      <c r="A1776" s="2" t="inlineStr">
        <is>
          <t>2026-03-10</t>
        </is>
      </c>
      <c r="B1776" s="3" t="inlineStr">
        <is>
          <t>HLB제약</t>
        </is>
      </c>
      <c r="C1776" s="2" t="inlineStr">
        <is>
          <t>코스닥</t>
        </is>
      </c>
      <c r="D1776" s="2" t="inlineStr">
        <is>
          <t>047920</t>
        </is>
      </c>
      <c r="E1776" s="3" t="inlineStr">
        <is>
          <t>주주총회소집공고</t>
        </is>
      </c>
      <c r="F1776" s="3" t="inlineStr">
        <is>
          <t>HLB제약</t>
        </is>
      </c>
      <c r="G1776" s="2" t="inlineStr">
        <is>
          <t>20260310002829</t>
        </is>
      </c>
      <c r="H1776" s="8">
        <f>HYPERLINK("https://dart.fss.or.kr/dsaf001/main.do?rcpNo=20260310002829", "공시열람")</f>
        <v/>
      </c>
    </row>
    <row r="1777">
      <c r="A1777" s="2" t="inlineStr">
        <is>
          <t>2026-03-10</t>
        </is>
      </c>
      <c r="B1777" s="3" t="inlineStr">
        <is>
          <t>쎄니트</t>
        </is>
      </c>
      <c r="C1777" s="2" t="inlineStr">
        <is>
          <t>코스닥</t>
        </is>
      </c>
      <c r="D1777" s="2" t="inlineStr">
        <is>
          <t>037760</t>
        </is>
      </c>
      <c r="E1777" s="3" t="inlineStr">
        <is>
          <t>주주총회소집공고</t>
        </is>
      </c>
      <c r="F1777" s="3" t="inlineStr">
        <is>
          <t>쎄니트</t>
        </is>
      </c>
      <c r="G1777" s="2" t="inlineStr">
        <is>
          <t>20260310002828</t>
        </is>
      </c>
      <c r="H1777" s="8">
        <f>HYPERLINK("https://dart.fss.or.kr/dsaf001/main.do?rcpNo=20260310002828", "공시열람")</f>
        <v/>
      </c>
    </row>
    <row r="1778">
      <c r="A1778" s="2" t="inlineStr">
        <is>
          <t>2026-03-10</t>
        </is>
      </c>
      <c r="B1778" s="3" t="inlineStr">
        <is>
          <t>오에스피</t>
        </is>
      </c>
      <c r="C1778" s="2" t="inlineStr">
        <is>
          <t>코스닥</t>
        </is>
      </c>
      <c r="D1778" s="2" t="inlineStr">
        <is>
          <t>368970</t>
        </is>
      </c>
      <c r="E1778" s="3" t="inlineStr">
        <is>
          <t xml:space="preserve">주주총회소집결의              </t>
        </is>
      </c>
      <c r="F1778" s="3" t="inlineStr">
        <is>
          <t>오에스피</t>
        </is>
      </c>
      <c r="G1778" s="2" t="inlineStr">
        <is>
          <t>20260310901301</t>
        </is>
      </c>
      <c r="H1778" s="8">
        <f>HYPERLINK("https://dart.fss.or.kr/dsaf001/main.do?rcpNo=20260310901301", "공시열람")</f>
        <v/>
      </c>
    </row>
    <row r="1779">
      <c r="A1779" s="2" t="inlineStr">
        <is>
          <t>2026-03-10</t>
        </is>
      </c>
      <c r="B1779" s="3" t="inlineStr">
        <is>
          <t>사람인</t>
        </is>
      </c>
      <c r="C1779" s="2" t="inlineStr">
        <is>
          <t>코스닥</t>
        </is>
      </c>
      <c r="D1779" s="2" t="inlineStr">
        <is>
          <t>143240</t>
        </is>
      </c>
      <c r="E1779" s="3" t="inlineStr">
        <is>
          <t>주주총회소집공고</t>
        </is>
      </c>
      <c r="F1779" s="3" t="inlineStr">
        <is>
          <t>사람인</t>
        </is>
      </c>
      <c r="G1779" s="2" t="inlineStr">
        <is>
          <t>20260310002819</t>
        </is>
      </c>
      <c r="H1779" s="8">
        <f>HYPERLINK("https://dart.fss.or.kr/dsaf001/main.do?rcpNo=20260310002819", "공시열람")</f>
        <v/>
      </c>
    </row>
    <row r="1780">
      <c r="A1780" s="2" t="inlineStr">
        <is>
          <t>2026-03-10</t>
        </is>
      </c>
      <c r="B1780" s="3" t="inlineStr">
        <is>
          <t>더본코리아</t>
        </is>
      </c>
      <c r="C1780" s="2" t="inlineStr">
        <is>
          <t>코스피</t>
        </is>
      </c>
      <c r="D1780" s="2" t="inlineStr">
        <is>
          <t>475560</t>
        </is>
      </c>
      <c r="E1780" s="3" t="inlineStr">
        <is>
          <t>주주총회소집공고</t>
        </is>
      </c>
      <c r="F1780" s="3" t="inlineStr">
        <is>
          <t>더본코리아</t>
        </is>
      </c>
      <c r="G1780" s="2" t="inlineStr">
        <is>
          <t>20260310002818</t>
        </is>
      </c>
      <c r="H1780" s="8">
        <f>HYPERLINK("https://dart.fss.or.kr/dsaf001/main.do?rcpNo=20260310002818", "공시열람")</f>
        <v/>
      </c>
    </row>
    <row r="1781">
      <c r="A1781" s="2" t="inlineStr">
        <is>
          <t>2026-03-10</t>
        </is>
      </c>
      <c r="B1781" s="3" t="inlineStr">
        <is>
          <t>케이디켐</t>
        </is>
      </c>
      <c r="C1781" s="2" t="inlineStr">
        <is>
          <t>코스닥</t>
        </is>
      </c>
      <c r="D1781" s="2" t="inlineStr">
        <is>
          <t>221980</t>
        </is>
      </c>
      <c r="E1781" s="3" t="inlineStr">
        <is>
          <t xml:space="preserve">주주총회소집결의              </t>
        </is>
      </c>
      <c r="F1781" s="3" t="inlineStr">
        <is>
          <t>케이디켐</t>
        </is>
      </c>
      <c r="G1781" s="2" t="inlineStr">
        <is>
          <t>20260310901277</t>
        </is>
      </c>
      <c r="H1781" s="8">
        <f>HYPERLINK("https://dart.fss.or.kr/dsaf001/main.do?rcpNo=20260310901277", "공시열람")</f>
        <v/>
      </c>
    </row>
    <row r="1782">
      <c r="A1782" s="2" t="inlineStr">
        <is>
          <t>2026-03-10</t>
        </is>
      </c>
      <c r="B1782" s="3" t="inlineStr">
        <is>
          <t>현대엘리베이터</t>
        </is>
      </c>
      <c r="C1782" s="2" t="inlineStr">
        <is>
          <t>코스피</t>
        </is>
      </c>
      <c r="D1782" s="2" t="inlineStr">
        <is>
          <t>017800</t>
        </is>
      </c>
      <c r="E1782" s="3" t="inlineStr">
        <is>
          <t>주주총회소집공고</t>
        </is>
      </c>
      <c r="F1782" s="3" t="inlineStr">
        <is>
          <t>현대엘리베이터</t>
        </is>
      </c>
      <c r="G1782" s="2" t="inlineStr">
        <is>
          <t>20260310002816</t>
        </is>
      </c>
      <c r="H1782" s="8">
        <f>HYPERLINK("https://dart.fss.or.kr/dsaf001/main.do?rcpNo=20260310002816", "공시열람")</f>
        <v/>
      </c>
    </row>
    <row r="1783">
      <c r="A1783" s="2" t="inlineStr">
        <is>
          <t>2026-03-10</t>
        </is>
      </c>
      <c r="B1783" s="3" t="inlineStr">
        <is>
          <t>SK</t>
        </is>
      </c>
      <c r="C1783" s="2" t="inlineStr">
        <is>
          <t>코스피</t>
        </is>
      </c>
      <c r="D1783" s="2" t="inlineStr">
        <is>
          <t>034730</t>
        </is>
      </c>
      <c r="E1783" s="3" t="inlineStr">
        <is>
          <t>주주총회소집공고</t>
        </is>
      </c>
      <c r="F1783" s="3" t="inlineStr">
        <is>
          <t>SK</t>
        </is>
      </c>
      <c r="G1783" s="2" t="inlineStr">
        <is>
          <t>20260310002815</t>
        </is>
      </c>
      <c r="H1783" s="8">
        <f>HYPERLINK("https://dart.fss.or.kr/dsaf001/main.do?rcpNo=20260310002815", "공시열람")</f>
        <v/>
      </c>
    </row>
    <row r="1784">
      <c r="A1784" s="2" t="inlineStr">
        <is>
          <t>2026-03-10</t>
        </is>
      </c>
      <c r="B1784" s="3" t="inlineStr">
        <is>
          <t>메리츠제1호스팩</t>
        </is>
      </c>
      <c r="C1784" s="2" t="inlineStr">
        <is>
          <t>코스닥</t>
        </is>
      </c>
      <c r="D1784" s="2" t="inlineStr">
        <is>
          <t>0088D0</t>
        </is>
      </c>
      <c r="E1784" s="3" t="inlineStr">
        <is>
          <t>주주총회소집공고</t>
        </is>
      </c>
      <c r="F1784" s="3" t="inlineStr">
        <is>
          <t>메리츠제1호스팩</t>
        </is>
      </c>
      <c r="G1784" s="2" t="inlineStr">
        <is>
          <t>20260310002813</t>
        </is>
      </c>
      <c r="H1784" s="8">
        <f>HYPERLINK("https://dart.fss.or.kr/dsaf001/main.do?rcpNo=20260310002813", "공시열람")</f>
        <v/>
      </c>
    </row>
    <row r="1785">
      <c r="A1785" s="2" t="inlineStr">
        <is>
          <t>2026-03-10</t>
        </is>
      </c>
      <c r="B1785" s="3" t="inlineStr">
        <is>
          <t>현대엘리베이터</t>
        </is>
      </c>
      <c r="C1785" s="2" t="inlineStr">
        <is>
          <t>코스피</t>
        </is>
      </c>
      <c r="D1785" s="2" t="inlineStr">
        <is>
          <t>017800</t>
        </is>
      </c>
      <c r="E1785" s="3" t="inlineStr">
        <is>
          <t xml:space="preserve">주주총회소집결의              </t>
        </is>
      </c>
      <c r="F1785" s="3" t="inlineStr">
        <is>
          <t>현대엘리베이터</t>
        </is>
      </c>
      <c r="G1785" s="2" t="inlineStr">
        <is>
          <t>20260310801311</t>
        </is>
      </c>
      <c r="H1785" s="8">
        <f>HYPERLINK("https://dart.fss.or.kr/dsaf001/main.do?rcpNo=20260310801311", "공시열람")</f>
        <v/>
      </c>
    </row>
    <row r="1786">
      <c r="A1786" s="2" t="inlineStr">
        <is>
          <t>2026-03-10</t>
        </is>
      </c>
      <c r="B1786" s="3" t="inlineStr">
        <is>
          <t>한국전력공사</t>
        </is>
      </c>
      <c r="C1786" s="2" t="inlineStr">
        <is>
          <t>코스피</t>
        </is>
      </c>
      <c r="D1786" s="2" t="inlineStr">
        <is>
          <t>015760</t>
        </is>
      </c>
      <c r="E1786" s="3" t="inlineStr">
        <is>
          <t xml:space="preserve">주주총회집중일개최사유신고              </t>
        </is>
      </c>
      <c r="F1786" s="3" t="inlineStr">
        <is>
          <t>한국전력공사</t>
        </is>
      </c>
      <c r="G1786" s="2" t="inlineStr">
        <is>
          <t>20260310801339</t>
        </is>
      </c>
      <c r="H1786" s="8">
        <f>HYPERLINK("https://dart.fss.or.kr/dsaf001/main.do?rcpNo=20260310801339", "공시열람")</f>
        <v/>
      </c>
    </row>
    <row r="1787">
      <c r="A1787" s="2" t="inlineStr">
        <is>
          <t>2026-03-10</t>
        </is>
      </c>
      <c r="B1787" s="3" t="inlineStr">
        <is>
          <t>신성델타테크</t>
        </is>
      </c>
      <c r="C1787" s="2" t="inlineStr">
        <is>
          <t>코스닥</t>
        </is>
      </c>
      <c r="D1787" s="2" t="inlineStr">
        <is>
          <t>065350</t>
        </is>
      </c>
      <c r="E1787" s="3" t="inlineStr">
        <is>
          <t>주주총회소집공고</t>
        </is>
      </c>
      <c r="F1787" s="3" t="inlineStr">
        <is>
          <t>신성델타테크</t>
        </is>
      </c>
      <c r="G1787" s="2" t="inlineStr">
        <is>
          <t>20260310002803</t>
        </is>
      </c>
      <c r="H1787" s="8">
        <f>HYPERLINK("https://dart.fss.or.kr/dsaf001/main.do?rcpNo=20260310002803", "공시열람")</f>
        <v/>
      </c>
    </row>
    <row r="1788">
      <c r="A1788" s="2" t="inlineStr">
        <is>
          <t>2026-03-10</t>
        </is>
      </c>
      <c r="B1788" s="3" t="inlineStr">
        <is>
          <t>켈스</t>
        </is>
      </c>
      <c r="C1788" s="2" t="inlineStr">
        <is>
          <t>코넥스</t>
        </is>
      </c>
      <c r="D1788" s="2" t="inlineStr">
        <is>
          <t>402420</t>
        </is>
      </c>
      <c r="E1788" s="3" t="inlineStr">
        <is>
          <t xml:space="preserve">주주총회소집결의              </t>
        </is>
      </c>
      <c r="F1788" s="3" t="inlineStr">
        <is>
          <t>켈스</t>
        </is>
      </c>
      <c r="G1788" s="2" t="inlineStr">
        <is>
          <t>20260310601306</t>
        </is>
      </c>
      <c r="H1788" s="8">
        <f>HYPERLINK("https://dart.fss.or.kr/dsaf001/main.do?rcpNo=20260310601306", "공시열람")</f>
        <v/>
      </c>
    </row>
    <row r="1789">
      <c r="A1789" s="2" t="inlineStr">
        <is>
          <t>2026-03-10</t>
        </is>
      </c>
      <c r="B1789" s="3" t="inlineStr">
        <is>
          <t>JYP Ent.</t>
        </is>
      </c>
      <c r="C1789" s="2" t="inlineStr">
        <is>
          <t>코스닥</t>
        </is>
      </c>
      <c r="D1789" s="2" t="inlineStr">
        <is>
          <t>035900</t>
        </is>
      </c>
      <c r="E1789" s="3" t="inlineStr">
        <is>
          <t>주주총회소집공고</t>
        </is>
      </c>
      <c r="F1789" s="3" t="inlineStr">
        <is>
          <t>JYP Ent.</t>
        </is>
      </c>
      <c r="G1789" s="2" t="inlineStr">
        <is>
          <t>20260310002801</t>
        </is>
      </c>
      <c r="H1789" s="8">
        <f>HYPERLINK("https://dart.fss.or.kr/dsaf001/main.do?rcpNo=20260310002801", "공시열람")</f>
        <v/>
      </c>
    </row>
    <row r="1790">
      <c r="A1790" s="2" t="inlineStr">
        <is>
          <t>2026-03-10</t>
        </is>
      </c>
      <c r="B1790" s="3" t="inlineStr">
        <is>
          <t>SK</t>
        </is>
      </c>
      <c r="C1790" s="2" t="inlineStr">
        <is>
          <t>코스피</t>
        </is>
      </c>
      <c r="D1790" s="2" t="inlineStr">
        <is>
          <t>034730</t>
        </is>
      </c>
      <c r="E1790" s="3" t="inlineStr">
        <is>
          <t xml:space="preserve">주주총회소집결의              </t>
        </is>
      </c>
      <c r="F1790" s="3" t="inlineStr">
        <is>
          <t>SK</t>
        </is>
      </c>
      <c r="G1790" s="2" t="inlineStr">
        <is>
          <t>20260310801262</t>
        </is>
      </c>
      <c r="H1790" s="8">
        <f>HYPERLINK("https://dart.fss.or.kr/dsaf001/main.do?rcpNo=20260310801262", "공시열람")</f>
        <v/>
      </c>
    </row>
    <row r="1791">
      <c r="A1791" s="2" t="inlineStr">
        <is>
          <t>2026-03-10 (정정: 2026-05-27)</t>
        </is>
      </c>
      <c r="B1791" s="3" t="inlineStr">
        <is>
          <t>RF머트리얼즈</t>
        </is>
      </c>
      <c r="C1791" s="2" t="inlineStr">
        <is>
          <t>코스닥</t>
        </is>
      </c>
      <c r="D1791" s="2" t="inlineStr">
        <is>
          <t>327260</t>
        </is>
      </c>
      <c r="E1791" s="3" t="inlineStr">
        <is>
          <t>주주총회소집공고 (정정: 20260527) (정정: 20260527)</t>
        </is>
      </c>
      <c r="F1791" s="3" t="inlineStr">
        <is>
          <t>RF머트리얼즈</t>
        </is>
      </c>
      <c r="G1791" s="2" t="inlineStr">
        <is>
          <t>20260527000550</t>
        </is>
      </c>
      <c r="H1791" s="8">
        <f>HYPERLINK("https://dart.fss.or.kr/dsaf001/main.do?rcpNo=20260527000550", "공시열람")</f>
        <v/>
      </c>
    </row>
    <row r="1792">
      <c r="A1792" s="2" t="inlineStr">
        <is>
          <t>2026-03-10 (정정: 2026-05-22)</t>
        </is>
      </c>
      <c r="B1792" s="3" t="inlineStr">
        <is>
          <t>대동</t>
        </is>
      </c>
      <c r="C1792" s="2" t="inlineStr">
        <is>
          <t>코스피</t>
        </is>
      </c>
      <c r="D1792" s="2" t="inlineStr">
        <is>
          <t>000490</t>
        </is>
      </c>
      <c r="E1792" s="3" t="inlineStr">
        <is>
          <t>주주총회소집결의               (정정: 20260522)</t>
        </is>
      </c>
      <c r="F1792" s="3" t="inlineStr">
        <is>
          <t>대동</t>
        </is>
      </c>
      <c r="G1792" s="2" t="inlineStr">
        <is>
          <t>20260522800801</t>
        </is>
      </c>
      <c r="H1792" s="8">
        <f>HYPERLINK("https://dart.fss.or.kr/dsaf001/main.do?rcpNo=20260522800801", "공시열람")</f>
        <v/>
      </c>
    </row>
    <row r="1793">
      <c r="A1793" s="2" t="inlineStr">
        <is>
          <t>2026-03-10</t>
        </is>
      </c>
      <c r="B1793" s="3" t="inlineStr">
        <is>
          <t>KC산업</t>
        </is>
      </c>
      <c r="C1793" s="2" t="inlineStr">
        <is>
          <t>코넥스</t>
        </is>
      </c>
      <c r="D1793" s="2" t="inlineStr">
        <is>
          <t>112190</t>
        </is>
      </c>
      <c r="E1793" s="3" t="inlineStr">
        <is>
          <t>주주총회소집공고</t>
        </is>
      </c>
      <c r="F1793" s="3" t="inlineStr">
        <is>
          <t>KC산업</t>
        </is>
      </c>
      <c r="G1793" s="2" t="inlineStr">
        <is>
          <t>20260310002790</t>
        </is>
      </c>
      <c r="H1793" s="8">
        <f>HYPERLINK("https://dart.fss.or.kr/dsaf001/main.do?rcpNo=20260310002790", "공시열람")</f>
        <v/>
      </c>
    </row>
    <row r="1794">
      <c r="A1794" s="2" t="inlineStr">
        <is>
          <t>2026-03-10</t>
        </is>
      </c>
      <c r="B1794" s="3" t="inlineStr">
        <is>
          <t>태림포장</t>
        </is>
      </c>
      <c r="C1794" s="2" t="inlineStr">
        <is>
          <t>코스피</t>
        </is>
      </c>
      <c r="D1794" s="2" t="inlineStr">
        <is>
          <t>011280</t>
        </is>
      </c>
      <c r="E1794" s="3" t="inlineStr">
        <is>
          <t xml:space="preserve">주주총회집중일개최사유신고              </t>
        </is>
      </c>
      <c r="F1794" s="3" t="inlineStr">
        <is>
          <t>태림포장</t>
        </is>
      </c>
      <c r="G1794" s="2" t="inlineStr">
        <is>
          <t>20260310801270</t>
        </is>
      </c>
      <c r="H1794" s="8">
        <f>HYPERLINK("https://dart.fss.or.kr/dsaf001/main.do?rcpNo=20260310801270", "공시열람")</f>
        <v/>
      </c>
    </row>
    <row r="1795">
      <c r="A1795" s="2" t="inlineStr">
        <is>
          <t>2026-03-10</t>
        </is>
      </c>
      <c r="B1795" s="3" t="inlineStr">
        <is>
          <t>포니링크</t>
        </is>
      </c>
      <c r="C1795" s="2" t="inlineStr">
        <is>
          <t>코스닥</t>
        </is>
      </c>
      <c r="D1795" s="2" t="inlineStr">
        <is>
          <t>064800</t>
        </is>
      </c>
      <c r="E1795" s="3" t="inlineStr">
        <is>
          <t xml:space="preserve">주주총회소집결의              </t>
        </is>
      </c>
      <c r="F1795" s="3" t="inlineStr">
        <is>
          <t>포니링크</t>
        </is>
      </c>
      <c r="G1795" s="2" t="inlineStr">
        <is>
          <t>20260310901145</t>
        </is>
      </c>
      <c r="H1795" s="8">
        <f>HYPERLINK("https://dart.fss.or.kr/dsaf001/main.do?rcpNo=20260310901145", "공시열람")</f>
        <v/>
      </c>
    </row>
    <row r="1796">
      <c r="A1796" s="2" t="inlineStr">
        <is>
          <t>2026-03-10 (정정: 2026-03-10)</t>
        </is>
      </c>
      <c r="B1796" s="3" t="inlineStr">
        <is>
          <t>인탑스</t>
        </is>
      </c>
      <c r="C1796" s="2" t="inlineStr">
        <is>
          <t>코스닥</t>
        </is>
      </c>
      <c r="D1796" s="2" t="inlineStr">
        <is>
          <t>049070</t>
        </is>
      </c>
      <c r="E1796" s="3" t="inlineStr">
        <is>
          <t>주주총회소집공고 (정정: 20260310)</t>
        </is>
      </c>
      <c r="F1796" s="3" t="inlineStr">
        <is>
          <t>인탑스</t>
        </is>
      </c>
      <c r="G1796" s="2" t="inlineStr">
        <is>
          <t>20260310900717</t>
        </is>
      </c>
      <c r="H1796" s="8">
        <f>HYPERLINK("https://dart.fss.or.kr/dsaf001/main.do?rcpNo=20260310900717", "공시열람")</f>
        <v/>
      </c>
    </row>
    <row r="1797">
      <c r="A1797" s="2" t="inlineStr">
        <is>
          <t>2026-03-10</t>
        </is>
      </c>
      <c r="B1797" s="3" t="inlineStr">
        <is>
          <t>웰크론한텍</t>
        </is>
      </c>
      <c r="C1797" s="2" t="inlineStr">
        <is>
          <t>코스닥</t>
        </is>
      </c>
      <c r="D1797" s="2" t="inlineStr">
        <is>
          <t>076080</t>
        </is>
      </c>
      <c r="E1797" s="3" t="inlineStr">
        <is>
          <t>주주총회소집공고</t>
        </is>
      </c>
      <c r="F1797" s="3" t="inlineStr">
        <is>
          <t>웰크론한텍</t>
        </is>
      </c>
      <c r="G1797" s="2" t="inlineStr">
        <is>
          <t>20260310002785</t>
        </is>
      </c>
      <c r="H1797" s="8">
        <f>HYPERLINK("https://dart.fss.or.kr/dsaf001/main.do?rcpNo=20260310002785", "공시열람")</f>
        <v/>
      </c>
    </row>
    <row r="1798">
      <c r="A1798" s="2" t="inlineStr">
        <is>
          <t>2026-03-10</t>
        </is>
      </c>
      <c r="B1798" s="3" t="inlineStr">
        <is>
          <t>신성델타테크</t>
        </is>
      </c>
      <c r="C1798" s="2" t="inlineStr">
        <is>
          <t>코스닥</t>
        </is>
      </c>
      <c r="D1798" s="2" t="inlineStr">
        <is>
          <t>065350</t>
        </is>
      </c>
      <c r="E1798" s="3" t="inlineStr">
        <is>
          <t xml:space="preserve">주주총회집중일개최사유신고              </t>
        </is>
      </c>
      <c r="F1798" s="3" t="inlineStr">
        <is>
          <t>신성델타테크</t>
        </is>
      </c>
      <c r="G1798" s="2" t="inlineStr">
        <is>
          <t>20260310901227</t>
        </is>
      </c>
      <c r="H1798" s="8">
        <f>HYPERLINK("https://dart.fss.or.kr/dsaf001/main.do?rcpNo=20260310901227", "공시열람")</f>
        <v/>
      </c>
    </row>
    <row r="1799">
      <c r="A1799" s="2" t="inlineStr">
        <is>
          <t>2026-03-10</t>
        </is>
      </c>
      <c r="B1799" s="3" t="inlineStr">
        <is>
          <t>신성델타테크</t>
        </is>
      </c>
      <c r="C1799" s="2" t="inlineStr">
        <is>
          <t>코스닥</t>
        </is>
      </c>
      <c r="D1799" s="2" t="inlineStr">
        <is>
          <t>065350</t>
        </is>
      </c>
      <c r="E1799" s="3" t="inlineStr">
        <is>
          <t xml:space="preserve">주주총회소집결의              </t>
        </is>
      </c>
      <c r="F1799" s="3" t="inlineStr">
        <is>
          <t>신성델타테크</t>
        </is>
      </c>
      <c r="G1799" s="2" t="inlineStr">
        <is>
          <t>20260310901216</t>
        </is>
      </c>
      <c r="H1799" s="8">
        <f>HYPERLINK("https://dart.fss.or.kr/dsaf001/main.do?rcpNo=20260310901216", "공시열람")</f>
        <v/>
      </c>
    </row>
    <row r="1800">
      <c r="A1800" s="2" t="inlineStr">
        <is>
          <t>2026-03-09 (정정: 2026-03-10)</t>
        </is>
      </c>
      <c r="B1800" s="3" t="inlineStr">
        <is>
          <t>펩트론</t>
        </is>
      </c>
      <c r="C1800" s="2" t="inlineStr">
        <is>
          <t>코스닥</t>
        </is>
      </c>
      <c r="D1800" s="2" t="inlineStr">
        <is>
          <t>087010</t>
        </is>
      </c>
      <c r="E1800" s="3" t="inlineStr">
        <is>
          <t>[기재정정]주주총회소집공고</t>
        </is>
      </c>
      <c r="F1800" s="3" t="inlineStr">
        <is>
          <t>펩트론</t>
        </is>
      </c>
      <c r="G1800" s="2" t="inlineStr">
        <is>
          <t>20260310002776</t>
        </is>
      </c>
      <c r="H1800" s="8">
        <f>HYPERLINK("https://dart.fss.or.kr/dsaf001/main.do?rcpNo=20260310002776", "공시열람")</f>
        <v/>
      </c>
    </row>
    <row r="1801">
      <c r="A1801" s="2" t="inlineStr">
        <is>
          <t>2026-03-10</t>
        </is>
      </c>
      <c r="B1801" s="3" t="inlineStr">
        <is>
          <t>코닉오토메이션</t>
        </is>
      </c>
      <c r="C1801" s="2" t="inlineStr">
        <is>
          <t>코스닥</t>
        </is>
      </c>
      <c r="D1801" s="2" t="inlineStr">
        <is>
          <t>391710</t>
        </is>
      </c>
      <c r="E1801" s="3" t="inlineStr">
        <is>
          <t>주주총회소집공고</t>
        </is>
      </c>
      <c r="F1801" s="3" t="inlineStr">
        <is>
          <t>코닉오토메이션</t>
        </is>
      </c>
      <c r="G1801" s="2" t="inlineStr">
        <is>
          <t>20260310002775</t>
        </is>
      </c>
      <c r="H1801" s="8">
        <f>HYPERLINK("https://dart.fss.or.kr/dsaf001/main.do?rcpNo=20260310002775", "공시열람")</f>
        <v/>
      </c>
    </row>
    <row r="1802">
      <c r="A1802" s="2" t="inlineStr">
        <is>
          <t>2026-03-10</t>
        </is>
      </c>
      <c r="B1802" s="3" t="inlineStr">
        <is>
          <t>엔젠바이오</t>
        </is>
      </c>
      <c r="C1802" s="2" t="inlineStr">
        <is>
          <t>코스닥</t>
        </is>
      </c>
      <c r="D1802" s="2" t="inlineStr">
        <is>
          <t>354200</t>
        </is>
      </c>
      <c r="E1802" s="3" t="inlineStr">
        <is>
          <t xml:space="preserve">주주총회소집결의              </t>
        </is>
      </c>
      <c r="F1802" s="3" t="inlineStr">
        <is>
          <t>엔젠바이오</t>
        </is>
      </c>
      <c r="G1802" s="2" t="inlineStr">
        <is>
          <t>20260310901218</t>
        </is>
      </c>
      <c r="H1802" s="8">
        <f>HYPERLINK("https://dart.fss.or.kr/dsaf001/main.do?rcpNo=20260310901218", "공시열람")</f>
        <v/>
      </c>
    </row>
    <row r="1803">
      <c r="A1803" s="2" t="inlineStr">
        <is>
          <t>2026-03-10</t>
        </is>
      </c>
      <c r="B1803" s="3" t="inlineStr">
        <is>
          <t>엠씨넥스</t>
        </is>
      </c>
      <c r="C1803" s="2" t="inlineStr">
        <is>
          <t>코스피</t>
        </is>
      </c>
      <c r="D1803" s="2" t="inlineStr">
        <is>
          <t>097520</t>
        </is>
      </c>
      <c r="E1803" s="3" t="inlineStr">
        <is>
          <t xml:space="preserve">주주총회소집결의              </t>
        </is>
      </c>
      <c r="F1803" s="3" t="inlineStr">
        <is>
          <t>엠씨넥스</t>
        </is>
      </c>
      <c r="G1803" s="2" t="inlineStr">
        <is>
          <t>20260310801260</t>
        </is>
      </c>
      <c r="H1803" s="8">
        <f>HYPERLINK("https://dart.fss.or.kr/dsaf001/main.do?rcpNo=20260310801260", "공시열람")</f>
        <v/>
      </c>
    </row>
    <row r="1804">
      <c r="A1804" s="2" t="inlineStr">
        <is>
          <t>2026-03-10</t>
        </is>
      </c>
      <c r="B1804" s="3" t="inlineStr">
        <is>
          <t>파크시스템스</t>
        </is>
      </c>
      <c r="C1804" s="2" t="inlineStr">
        <is>
          <t>코스닥</t>
        </is>
      </c>
      <c r="D1804" s="2" t="inlineStr">
        <is>
          <t>140860</t>
        </is>
      </c>
      <c r="E1804" s="3" t="inlineStr">
        <is>
          <t xml:space="preserve">[기재정정]주주총회소집결의              </t>
        </is>
      </c>
      <c r="F1804" s="3" t="inlineStr">
        <is>
          <t>파크시스템스</t>
        </is>
      </c>
      <c r="G1804" s="2" t="inlineStr">
        <is>
          <t>20260310901220</t>
        </is>
      </c>
      <c r="H1804" s="8">
        <f>HYPERLINK("https://dart.fss.or.kr/dsaf001/main.do?rcpNo=20260310901220", "공시열람")</f>
        <v/>
      </c>
    </row>
    <row r="1805">
      <c r="A1805" s="2" t="inlineStr">
        <is>
          <t>2026-03-10</t>
        </is>
      </c>
      <c r="B1805" s="3" t="inlineStr">
        <is>
          <t>넥슨게임즈</t>
        </is>
      </c>
      <c r="C1805" s="2" t="inlineStr">
        <is>
          <t>코스닥</t>
        </is>
      </c>
      <c r="D1805" s="2" t="inlineStr">
        <is>
          <t>225570</t>
        </is>
      </c>
      <c r="E1805" s="3" t="inlineStr">
        <is>
          <t>주주총회소집공고</t>
        </is>
      </c>
      <c r="F1805" s="3" t="inlineStr">
        <is>
          <t>넥슨게임즈</t>
        </is>
      </c>
      <c r="G1805" s="2" t="inlineStr">
        <is>
          <t>20260310002768</t>
        </is>
      </c>
      <c r="H1805" s="8">
        <f>HYPERLINK("https://dart.fss.or.kr/dsaf001/main.do?rcpNo=20260310002768", "공시열람")</f>
        <v/>
      </c>
    </row>
    <row r="1806">
      <c r="A1806" s="2" t="inlineStr">
        <is>
          <t>2026-03-10</t>
        </is>
      </c>
      <c r="B1806" s="3" t="inlineStr">
        <is>
          <t>더본코리아</t>
        </is>
      </c>
      <c r="C1806" s="2" t="inlineStr">
        <is>
          <t>코스피</t>
        </is>
      </c>
      <c r="D1806" s="2" t="inlineStr">
        <is>
          <t>475560</t>
        </is>
      </c>
      <c r="E1806" s="3" t="inlineStr">
        <is>
          <t xml:space="preserve">주주총회소집결의              </t>
        </is>
      </c>
      <c r="F1806" s="3" t="inlineStr">
        <is>
          <t>더본코리아</t>
        </is>
      </c>
      <c r="G1806" s="2" t="inlineStr">
        <is>
          <t>20260310801232</t>
        </is>
      </c>
      <c r="H1806" s="8">
        <f>HYPERLINK("https://dart.fss.or.kr/dsaf001/main.do?rcpNo=20260310801232", "공시열람")</f>
        <v/>
      </c>
    </row>
    <row r="1807">
      <c r="A1807" s="2" t="inlineStr">
        <is>
          <t>2026-03-10</t>
        </is>
      </c>
      <c r="B1807" s="3" t="inlineStr">
        <is>
          <t>엔지브이아이</t>
        </is>
      </c>
      <c r="C1807" s="2" t="inlineStr">
        <is>
          <t>코넥스</t>
        </is>
      </c>
      <c r="D1807" s="2" t="inlineStr">
        <is>
          <t>093510</t>
        </is>
      </c>
      <c r="E1807" s="3" t="inlineStr">
        <is>
          <t xml:space="preserve">주주총회소집결의              </t>
        </is>
      </c>
      <c r="F1807" s="3" t="inlineStr">
        <is>
          <t>엔지브이아이</t>
        </is>
      </c>
      <c r="G1807" s="2" t="inlineStr">
        <is>
          <t>20260310601160</t>
        </is>
      </c>
      <c r="H1807" s="8">
        <f>HYPERLINK("https://dart.fss.or.kr/dsaf001/main.do?rcpNo=20260310601160", "공시열람")</f>
        <v/>
      </c>
    </row>
    <row r="1808">
      <c r="A1808" s="2" t="inlineStr">
        <is>
          <t>2026-03-10</t>
        </is>
      </c>
      <c r="B1808" s="3" t="inlineStr">
        <is>
          <t>SK디앤디</t>
        </is>
      </c>
      <c r="C1808" s="2" t="inlineStr">
        <is>
          <t>코스피</t>
        </is>
      </c>
      <c r="D1808" s="2" t="inlineStr">
        <is>
          <t>210980</t>
        </is>
      </c>
      <c r="E1808" s="3" t="inlineStr">
        <is>
          <t xml:space="preserve">주주총회집중일개최사유신고              </t>
        </is>
      </c>
      <c r="F1808" s="3" t="inlineStr">
        <is>
          <t>SK디앤디</t>
        </is>
      </c>
      <c r="G1808" s="2" t="inlineStr">
        <is>
          <t>20260310801234</t>
        </is>
      </c>
      <c r="H1808" s="8">
        <f>HYPERLINK("https://dart.fss.or.kr/dsaf001/main.do?rcpNo=20260310801234", "공시열람")</f>
        <v/>
      </c>
    </row>
    <row r="1809">
      <c r="A1809" s="2" t="inlineStr">
        <is>
          <t>2026-03-10</t>
        </is>
      </c>
      <c r="B1809" s="3" t="inlineStr">
        <is>
          <t>사람인</t>
        </is>
      </c>
      <c r="C1809" s="2" t="inlineStr">
        <is>
          <t>코스닥</t>
        </is>
      </c>
      <c r="D1809" s="2" t="inlineStr">
        <is>
          <t>143240</t>
        </is>
      </c>
      <c r="E1809" s="3" t="inlineStr">
        <is>
          <t xml:space="preserve">주주총회집중일개최사유신고              </t>
        </is>
      </c>
      <c r="F1809" s="3" t="inlineStr">
        <is>
          <t>사람인</t>
        </is>
      </c>
      <c r="G1809" s="2" t="inlineStr">
        <is>
          <t>20260310901271</t>
        </is>
      </c>
      <c r="H1809" s="8">
        <f>HYPERLINK("https://dart.fss.or.kr/dsaf001/main.do?rcpNo=20260310901271", "공시열람")</f>
        <v/>
      </c>
    </row>
    <row r="1810">
      <c r="A1810" s="2" t="inlineStr">
        <is>
          <t>2026-03-10</t>
        </is>
      </c>
      <c r="B1810" s="3" t="inlineStr">
        <is>
          <t>한국전력공사</t>
        </is>
      </c>
      <c r="C1810" s="2" t="inlineStr">
        <is>
          <t>코스피</t>
        </is>
      </c>
      <c r="D1810" s="2" t="inlineStr">
        <is>
          <t>015760</t>
        </is>
      </c>
      <c r="E1810" s="3" t="inlineStr">
        <is>
          <t>주주총회소집공고</t>
        </is>
      </c>
      <c r="F1810" s="3" t="inlineStr">
        <is>
          <t>한국전력공사</t>
        </is>
      </c>
      <c r="G1810" s="2" t="inlineStr">
        <is>
          <t>20260310002765</t>
        </is>
      </c>
      <c r="H1810" s="8">
        <f>HYPERLINK("https://dart.fss.or.kr/dsaf001/main.do?rcpNo=20260310002765", "공시열람")</f>
        <v/>
      </c>
    </row>
    <row r="1811">
      <c r="A1811" s="2" t="inlineStr">
        <is>
          <t>2026-03-10</t>
        </is>
      </c>
      <c r="B1811" s="3" t="inlineStr">
        <is>
          <t>엘오티베큠</t>
        </is>
      </c>
      <c r="C1811" s="2" t="inlineStr">
        <is>
          <t>코스닥</t>
        </is>
      </c>
      <c r="D1811" s="2" t="inlineStr">
        <is>
          <t>083310</t>
        </is>
      </c>
      <c r="E1811" s="3" t="inlineStr">
        <is>
          <t>주주총회소집공고</t>
        </is>
      </c>
      <c r="F1811" s="3" t="inlineStr">
        <is>
          <t>엘오티베큠</t>
        </is>
      </c>
      <c r="G1811" s="2" t="inlineStr">
        <is>
          <t>20260310002760</t>
        </is>
      </c>
      <c r="H1811" s="8">
        <f>HYPERLINK("https://dart.fss.or.kr/dsaf001/main.do?rcpNo=20260310002760", "공시열람")</f>
        <v/>
      </c>
    </row>
    <row r="1812">
      <c r="A1812" s="2" t="inlineStr">
        <is>
          <t>2026-03-10</t>
        </is>
      </c>
      <c r="B1812" s="3" t="inlineStr">
        <is>
          <t>엘오티베큠</t>
        </is>
      </c>
      <c r="C1812" s="2" t="inlineStr">
        <is>
          <t>코스닥</t>
        </is>
      </c>
      <c r="D1812" s="2" t="inlineStr">
        <is>
          <t>083310</t>
        </is>
      </c>
      <c r="E1812" s="3" t="inlineStr">
        <is>
          <t xml:space="preserve">주주총회소집결의              </t>
        </is>
      </c>
      <c r="F1812" s="3" t="inlineStr">
        <is>
          <t>엘오티베큠</t>
        </is>
      </c>
      <c r="G1812" s="2" t="inlineStr">
        <is>
          <t>20260310901214</t>
        </is>
      </c>
      <c r="H1812" s="8">
        <f>HYPERLINK("https://dart.fss.or.kr/dsaf001/main.do?rcpNo=20260310901214", "공시열람")</f>
        <v/>
      </c>
    </row>
    <row r="1813">
      <c r="A1813" s="2" t="inlineStr">
        <is>
          <t>2026-03-10</t>
        </is>
      </c>
      <c r="B1813" s="3" t="inlineStr">
        <is>
          <t>메타케어</t>
        </is>
      </c>
      <c r="C1813" s="2" t="inlineStr">
        <is>
          <t>코스피</t>
        </is>
      </c>
      <c r="D1813" s="2" t="inlineStr">
        <is>
          <t>118000</t>
        </is>
      </c>
      <c r="E1813" s="3" t="inlineStr">
        <is>
          <t>주주총회소집공고</t>
        </is>
      </c>
      <c r="F1813" s="3" t="inlineStr">
        <is>
          <t>메타케어</t>
        </is>
      </c>
      <c r="G1813" s="2" t="inlineStr">
        <is>
          <t>20260310002752</t>
        </is>
      </c>
      <c r="H1813" s="8">
        <f>HYPERLINK("https://dart.fss.or.kr/dsaf001/main.do?rcpNo=20260310002752", "공시열람")</f>
        <v/>
      </c>
    </row>
    <row r="1814">
      <c r="A1814" s="2" t="inlineStr">
        <is>
          <t>2026-03-10 (정정: 2026-03-10)</t>
        </is>
      </c>
      <c r="B1814" s="3" t="inlineStr">
        <is>
          <t>매일유업</t>
        </is>
      </c>
      <c r="C1814" s="2" t="inlineStr">
        <is>
          <t>코스닥</t>
        </is>
      </c>
      <c r="D1814" s="2" t="inlineStr">
        <is>
          <t>267980</t>
        </is>
      </c>
      <c r="E1814" s="3" t="inlineStr">
        <is>
          <t xml:space="preserve">[기재정정]주주총회소집결의              </t>
        </is>
      </c>
      <c r="F1814" s="3" t="inlineStr">
        <is>
          <t>매일유업</t>
        </is>
      </c>
      <c r="G1814" s="2" t="inlineStr">
        <is>
          <t>20260310901190</t>
        </is>
      </c>
      <c r="H1814" s="8">
        <f>HYPERLINK("https://dart.fss.or.kr/dsaf001/main.do?rcpNo=20260310901190", "공시열람")</f>
        <v/>
      </c>
    </row>
    <row r="1815">
      <c r="A1815" s="2" t="inlineStr">
        <is>
          <t>2026-03-10</t>
        </is>
      </c>
      <c r="B1815" s="3" t="inlineStr">
        <is>
          <t>포톤</t>
        </is>
      </c>
      <c r="C1815" s="2" t="inlineStr">
        <is>
          <t>코스닥</t>
        </is>
      </c>
      <c r="D1815" s="2" t="inlineStr">
        <is>
          <t>208710</t>
        </is>
      </c>
      <c r="E1815" s="3" t="inlineStr">
        <is>
          <t xml:space="preserve">주주총회집중일개최사유신고              </t>
        </is>
      </c>
      <c r="F1815" s="3" t="inlineStr">
        <is>
          <t>포톤</t>
        </is>
      </c>
      <c r="G1815" s="2" t="inlineStr">
        <is>
          <t>20260310901172</t>
        </is>
      </c>
      <c r="H1815" s="8">
        <f>HYPERLINK("https://dart.fss.or.kr/dsaf001/main.do?rcpNo=20260310901172", "공시열람")</f>
        <v/>
      </c>
    </row>
    <row r="1816">
      <c r="A1816" s="2" t="inlineStr">
        <is>
          <t>2026-03-10</t>
        </is>
      </c>
      <c r="B1816" s="3" t="inlineStr">
        <is>
          <t>에스에이엠티</t>
        </is>
      </c>
      <c r="C1816" s="2" t="inlineStr">
        <is>
          <t>코스닥</t>
        </is>
      </c>
      <c r="D1816" s="2" t="inlineStr">
        <is>
          <t>031330</t>
        </is>
      </c>
      <c r="E1816" s="3" t="inlineStr">
        <is>
          <t>주주총회소집공고</t>
        </is>
      </c>
      <c r="F1816" s="3" t="inlineStr">
        <is>
          <t>에스에이엠티</t>
        </is>
      </c>
      <c r="G1816" s="2" t="inlineStr">
        <is>
          <t>20260310002750</t>
        </is>
      </c>
      <c r="H1816" s="8">
        <f>HYPERLINK("https://dart.fss.or.kr/dsaf001/main.do?rcpNo=20260310002750", "공시열람")</f>
        <v/>
      </c>
    </row>
    <row r="1817">
      <c r="A1817" s="2" t="inlineStr">
        <is>
          <t>2026-03-10 (정정: 2026-03-10)</t>
        </is>
      </c>
      <c r="B1817" s="3" t="inlineStr">
        <is>
          <t>AJ네트웍스</t>
        </is>
      </c>
      <c r="C1817" s="2" t="inlineStr">
        <is>
          <t>코스피</t>
        </is>
      </c>
      <c r="D1817" s="2" t="inlineStr">
        <is>
          <t>095570</t>
        </is>
      </c>
      <c r="E1817" s="3" t="inlineStr">
        <is>
          <t>주주총회소집공고 (정정: 20260310)</t>
        </is>
      </c>
      <c r="F1817" s="3" t="inlineStr">
        <is>
          <t>AJ네트웍스</t>
        </is>
      </c>
      <c r="G1817" s="2" t="inlineStr">
        <is>
          <t>20260310801139</t>
        </is>
      </c>
      <c r="H1817" s="8">
        <f>HYPERLINK("https://dart.fss.or.kr/dsaf001/main.do?rcpNo=20260310801139", "공시열람")</f>
        <v/>
      </c>
    </row>
    <row r="1818">
      <c r="A1818" s="2" t="inlineStr">
        <is>
          <t>2026-03-10</t>
        </is>
      </c>
      <c r="B1818" s="3" t="inlineStr">
        <is>
          <t>사람인</t>
        </is>
      </c>
      <c r="C1818" s="2" t="inlineStr">
        <is>
          <t>코스닥</t>
        </is>
      </c>
      <c r="D1818" s="2" t="inlineStr">
        <is>
          <t>143240</t>
        </is>
      </c>
      <c r="E1818" s="3" t="inlineStr">
        <is>
          <t xml:space="preserve">주주총회소집결의              </t>
        </is>
      </c>
      <c r="F1818" s="3" t="inlineStr">
        <is>
          <t>사람인</t>
        </is>
      </c>
      <c r="G1818" s="2" t="inlineStr">
        <is>
          <t>20260310901177</t>
        </is>
      </c>
      <c r="H1818" s="8">
        <f>HYPERLINK("https://dart.fss.or.kr/dsaf001/main.do?rcpNo=20260310901177", "공시열람")</f>
        <v/>
      </c>
    </row>
    <row r="1819">
      <c r="A1819" s="2" t="inlineStr">
        <is>
          <t>2026-03-10 (정정: 2026-03-17)</t>
        </is>
      </c>
      <c r="B1819" s="3" t="inlineStr">
        <is>
          <t>심텍홀딩스</t>
        </is>
      </c>
      <c r="C1819" s="2" t="inlineStr">
        <is>
          <t>코스닥</t>
        </is>
      </c>
      <c r="D1819" s="2" t="inlineStr">
        <is>
          <t>036710</t>
        </is>
      </c>
      <c r="E1819" s="3" t="inlineStr">
        <is>
          <t>주주총회소집공고 (정정: 20260317)</t>
        </is>
      </c>
      <c r="F1819" s="3" t="inlineStr">
        <is>
          <t>심텍홀딩스</t>
        </is>
      </c>
      <c r="G1819" s="2" t="inlineStr">
        <is>
          <t>20260317000653</t>
        </is>
      </c>
      <c r="H1819" s="8">
        <f>HYPERLINK("https://dart.fss.or.kr/dsaf001/main.do?rcpNo=20260317000653", "공시열람")</f>
        <v/>
      </c>
    </row>
    <row r="1820">
      <c r="A1820" s="2" t="inlineStr">
        <is>
          <t>2026-03-10</t>
        </is>
      </c>
      <c r="B1820" s="3" t="inlineStr">
        <is>
          <t>삼화콘덴서공업</t>
        </is>
      </c>
      <c r="C1820" s="2" t="inlineStr">
        <is>
          <t>코스피</t>
        </is>
      </c>
      <c r="D1820" s="2" t="inlineStr">
        <is>
          <t>001820</t>
        </is>
      </c>
      <c r="E1820" s="3" t="inlineStr">
        <is>
          <t>주주총회소집공고</t>
        </is>
      </c>
      <c r="F1820" s="3" t="inlineStr">
        <is>
          <t>삼화콘덴서공업</t>
        </is>
      </c>
      <c r="G1820" s="2" t="inlineStr">
        <is>
          <t>20260310002744</t>
        </is>
      </c>
      <c r="H1820" s="8">
        <f>HYPERLINK("https://dart.fss.or.kr/dsaf001/main.do?rcpNo=20260310002744", "공시열람")</f>
        <v/>
      </c>
    </row>
    <row r="1821">
      <c r="A1821" s="2" t="inlineStr">
        <is>
          <t>2026-03-10</t>
        </is>
      </c>
      <c r="B1821" s="3" t="inlineStr">
        <is>
          <t>RFHIC</t>
        </is>
      </c>
      <c r="C1821" s="2" t="inlineStr">
        <is>
          <t>코스닥</t>
        </is>
      </c>
      <c r="D1821" s="2" t="inlineStr">
        <is>
          <t>218410</t>
        </is>
      </c>
      <c r="E1821" s="3" t="inlineStr">
        <is>
          <t>주주총회소집공고</t>
        </is>
      </c>
      <c r="F1821" s="3" t="inlineStr">
        <is>
          <t>RFHIC</t>
        </is>
      </c>
      <c r="G1821" s="2" t="inlineStr">
        <is>
          <t>20260310002741</t>
        </is>
      </c>
      <c r="H1821" s="8">
        <f>HYPERLINK("https://dart.fss.or.kr/dsaf001/main.do?rcpNo=20260310002741", "공시열람")</f>
        <v/>
      </c>
    </row>
    <row r="1822">
      <c r="A1822" s="2" t="inlineStr">
        <is>
          <t>2026-03-10</t>
        </is>
      </c>
      <c r="B1822" s="3" t="inlineStr">
        <is>
          <t>리가켐바이오</t>
        </is>
      </c>
      <c r="C1822" s="2" t="inlineStr">
        <is>
          <t>코스닥</t>
        </is>
      </c>
      <c r="D1822" s="2" t="inlineStr">
        <is>
          <t>141080</t>
        </is>
      </c>
      <c r="E1822" s="3" t="inlineStr">
        <is>
          <t xml:space="preserve">주주총회소집결의              </t>
        </is>
      </c>
      <c r="F1822" s="3" t="inlineStr">
        <is>
          <t>리가켐바이오</t>
        </is>
      </c>
      <c r="G1822" s="2" t="inlineStr">
        <is>
          <t>20260310901195</t>
        </is>
      </c>
      <c r="H1822" s="8">
        <f>HYPERLINK("https://dart.fss.or.kr/dsaf001/main.do?rcpNo=20260310901195", "공시열람")</f>
        <v/>
      </c>
    </row>
    <row r="1823">
      <c r="A1823" s="2" t="inlineStr">
        <is>
          <t>2026-03-10</t>
        </is>
      </c>
      <c r="B1823" s="3" t="inlineStr">
        <is>
          <t>에이아이코리아</t>
        </is>
      </c>
      <c r="C1823" s="2" t="inlineStr">
        <is>
          <t>코스닥</t>
        </is>
      </c>
      <c r="D1823" s="2" t="inlineStr">
        <is>
          <t>364950</t>
        </is>
      </c>
      <c r="E1823" s="3" t="inlineStr">
        <is>
          <t>주주총회소집공고</t>
        </is>
      </c>
      <c r="F1823" s="3" t="inlineStr">
        <is>
          <t>에이아이코리아</t>
        </is>
      </c>
      <c r="G1823" s="2" t="inlineStr">
        <is>
          <t>20260310002737</t>
        </is>
      </c>
      <c r="H1823" s="8">
        <f>HYPERLINK("https://dart.fss.or.kr/dsaf001/main.do?rcpNo=20260310002737", "공시열람")</f>
        <v/>
      </c>
    </row>
    <row r="1824">
      <c r="A1824" s="2" t="inlineStr">
        <is>
          <t>2026-03-10</t>
        </is>
      </c>
      <c r="B1824" s="3" t="inlineStr">
        <is>
          <t>영화테크</t>
        </is>
      </c>
      <c r="C1824" s="2" t="inlineStr">
        <is>
          <t>코스닥</t>
        </is>
      </c>
      <c r="D1824" s="2" t="inlineStr">
        <is>
          <t>265560</t>
        </is>
      </c>
      <c r="E1824" s="3" t="inlineStr">
        <is>
          <t xml:space="preserve">주주총회소집결의              </t>
        </is>
      </c>
      <c r="F1824" s="3" t="inlineStr">
        <is>
          <t>영화테크</t>
        </is>
      </c>
      <c r="G1824" s="2" t="inlineStr">
        <is>
          <t>20260310901003</t>
        </is>
      </c>
      <c r="H1824" s="8">
        <f>HYPERLINK("https://dart.fss.or.kr/dsaf001/main.do?rcpNo=20260310901003", "공시열람")</f>
        <v/>
      </c>
    </row>
    <row r="1825">
      <c r="A1825" s="2" t="inlineStr">
        <is>
          <t>2026-03-10</t>
        </is>
      </c>
      <c r="B1825" s="3" t="inlineStr">
        <is>
          <t>DGI</t>
        </is>
      </c>
      <c r="C1825" s="2" t="inlineStr">
        <is>
          <t>코스닥</t>
        </is>
      </c>
      <c r="D1825" s="2" t="inlineStr">
        <is>
          <t>099520</t>
        </is>
      </c>
      <c r="E1825" s="3" t="inlineStr">
        <is>
          <t>주주총회소집공고</t>
        </is>
      </c>
      <c r="F1825" s="3" t="inlineStr">
        <is>
          <t>DGI</t>
        </is>
      </c>
      <c r="G1825" s="2" t="inlineStr">
        <is>
          <t>20260310002734</t>
        </is>
      </c>
      <c r="H1825" s="8">
        <f>HYPERLINK("https://dart.fss.or.kr/dsaf001/main.do?rcpNo=20260310002734", "공시열람")</f>
        <v/>
      </c>
    </row>
    <row r="1826">
      <c r="A1826" s="2" t="inlineStr">
        <is>
          <t>2026-03-10</t>
        </is>
      </c>
      <c r="B1826" s="3" t="inlineStr">
        <is>
          <t>한국피아이엠</t>
        </is>
      </c>
      <c r="C1826" s="2" t="inlineStr">
        <is>
          <t>코스닥</t>
        </is>
      </c>
      <c r="D1826" s="2" t="inlineStr">
        <is>
          <t>448900</t>
        </is>
      </c>
      <c r="E1826" s="3" t="inlineStr">
        <is>
          <t xml:space="preserve">주주총회집중일개최사유신고              </t>
        </is>
      </c>
      <c r="F1826" s="3" t="inlineStr">
        <is>
          <t>한국피아이엠</t>
        </is>
      </c>
      <c r="G1826" s="2" t="inlineStr">
        <is>
          <t>20260310901148</t>
        </is>
      </c>
      <c r="H1826" s="8">
        <f>HYPERLINK("https://dart.fss.or.kr/dsaf001/main.do?rcpNo=20260310901148", "공시열람")</f>
        <v/>
      </c>
    </row>
    <row r="1827">
      <c r="A1827" s="2" t="inlineStr">
        <is>
          <t>2026-03-10</t>
        </is>
      </c>
      <c r="B1827" s="3" t="inlineStr">
        <is>
          <t>태림포장</t>
        </is>
      </c>
      <c r="C1827" s="2" t="inlineStr">
        <is>
          <t>코스피</t>
        </is>
      </c>
      <c r="D1827" s="2" t="inlineStr">
        <is>
          <t>011280</t>
        </is>
      </c>
      <c r="E1827" s="3" t="inlineStr">
        <is>
          <t>주주총회소집공고</t>
        </is>
      </c>
      <c r="F1827" s="3" t="inlineStr">
        <is>
          <t>태림포장</t>
        </is>
      </c>
      <c r="G1827" s="2" t="inlineStr">
        <is>
          <t>20260310002733</t>
        </is>
      </c>
      <c r="H1827" s="8">
        <f>HYPERLINK("https://dart.fss.or.kr/dsaf001/main.do?rcpNo=20260310002733", "공시열람")</f>
        <v/>
      </c>
    </row>
    <row r="1828">
      <c r="A1828" s="2" t="inlineStr">
        <is>
          <t>2026-03-10 (정정: 2026-04-16)</t>
        </is>
      </c>
      <c r="B1828" s="3" t="inlineStr">
        <is>
          <t>삼천당제약</t>
        </is>
      </c>
      <c r="C1828" s="2" t="inlineStr">
        <is>
          <t>코스닥</t>
        </is>
      </c>
      <c r="D1828" s="2" t="inlineStr">
        <is>
          <t>000250</t>
        </is>
      </c>
      <c r="E1828" s="3" t="inlineStr">
        <is>
          <t>주주총회소집공고 (정정: 20260416)</t>
        </is>
      </c>
      <c r="F1828" s="3" t="inlineStr">
        <is>
          <t>삼천당제약</t>
        </is>
      </c>
      <c r="G1828" s="2" t="inlineStr">
        <is>
          <t>20260416900415</t>
        </is>
      </c>
      <c r="H1828" s="8">
        <f>HYPERLINK("https://dart.fss.or.kr/dsaf001/main.do?rcpNo=20260416900415", "공시열람")</f>
        <v/>
      </c>
    </row>
    <row r="1829">
      <c r="A1829" s="2" t="inlineStr">
        <is>
          <t>2026-03-10</t>
        </is>
      </c>
      <c r="B1829" s="3" t="inlineStr">
        <is>
          <t>상상인증권</t>
        </is>
      </c>
      <c r="C1829" s="2" t="inlineStr">
        <is>
          <t>코스피</t>
        </is>
      </c>
      <c r="D1829" s="2" t="inlineStr">
        <is>
          <t>001290</t>
        </is>
      </c>
      <c r="E1829" s="3" t="inlineStr">
        <is>
          <t>주주총회소집공고</t>
        </is>
      </c>
      <c r="F1829" s="3" t="inlineStr">
        <is>
          <t>상상인증권</t>
        </is>
      </c>
      <c r="G1829" s="2" t="inlineStr">
        <is>
          <t>20260310002730</t>
        </is>
      </c>
      <c r="H1829" s="8">
        <f>HYPERLINK("https://dart.fss.or.kr/dsaf001/main.do?rcpNo=20260310002730", "공시열람")</f>
        <v/>
      </c>
    </row>
    <row r="1830">
      <c r="A1830" s="2" t="inlineStr">
        <is>
          <t>2026-03-10</t>
        </is>
      </c>
      <c r="B1830" s="3" t="inlineStr">
        <is>
          <t>삼지전자</t>
        </is>
      </c>
      <c r="C1830" s="2" t="inlineStr">
        <is>
          <t>코스닥</t>
        </is>
      </c>
      <c r="D1830" s="2" t="inlineStr">
        <is>
          <t>037460</t>
        </is>
      </c>
      <c r="E1830" s="3" t="inlineStr">
        <is>
          <t>주주총회소집공고</t>
        </is>
      </c>
      <c r="F1830" s="3" t="inlineStr">
        <is>
          <t>삼지전자</t>
        </is>
      </c>
      <c r="G1830" s="2" t="inlineStr">
        <is>
          <t>20260310002726</t>
        </is>
      </c>
      <c r="H1830" s="8">
        <f>HYPERLINK("https://dart.fss.or.kr/dsaf001/main.do?rcpNo=20260310002726", "공시열람")</f>
        <v/>
      </c>
    </row>
    <row r="1831">
      <c r="A1831" s="2" t="inlineStr">
        <is>
          <t>2026-03-10</t>
        </is>
      </c>
      <c r="B1831" s="3" t="inlineStr">
        <is>
          <t>심텍홀딩스</t>
        </is>
      </c>
      <c r="C1831" s="2" t="inlineStr">
        <is>
          <t>코스닥</t>
        </is>
      </c>
      <c r="D1831" s="2" t="inlineStr">
        <is>
          <t>036710</t>
        </is>
      </c>
      <c r="E1831" s="3" t="inlineStr">
        <is>
          <t xml:space="preserve">주주총회소집결의              </t>
        </is>
      </c>
      <c r="F1831" s="3" t="inlineStr">
        <is>
          <t>심텍홀딩스</t>
        </is>
      </c>
      <c r="G1831" s="2" t="inlineStr">
        <is>
          <t>20260310901179</t>
        </is>
      </c>
      <c r="H1831" s="8">
        <f>HYPERLINK("https://dart.fss.or.kr/dsaf001/main.do?rcpNo=20260310901179", "공시열람")</f>
        <v/>
      </c>
    </row>
    <row r="1832">
      <c r="A1832" s="2" t="inlineStr">
        <is>
          <t>2026-03-10</t>
        </is>
      </c>
      <c r="B1832" s="3" t="inlineStr">
        <is>
          <t>필옵틱스</t>
        </is>
      </c>
      <c r="C1832" s="2" t="inlineStr">
        <is>
          <t>코스닥</t>
        </is>
      </c>
      <c r="D1832" s="2" t="inlineStr">
        <is>
          <t>161580</t>
        </is>
      </c>
      <c r="E1832" s="3" t="inlineStr">
        <is>
          <t>주주총회소집공고</t>
        </is>
      </c>
      <c r="F1832" s="3" t="inlineStr">
        <is>
          <t>필옵틱스</t>
        </is>
      </c>
      <c r="G1832" s="2" t="inlineStr">
        <is>
          <t>20260310002722</t>
        </is>
      </c>
      <c r="H1832" s="8">
        <f>HYPERLINK("https://dart.fss.or.kr/dsaf001/main.do?rcpNo=20260310002722", "공시열람")</f>
        <v/>
      </c>
    </row>
    <row r="1833">
      <c r="A1833" s="2" t="inlineStr">
        <is>
          <t>2026-03-10</t>
        </is>
      </c>
      <c r="B1833" s="3" t="inlineStr">
        <is>
          <t>상상인증권</t>
        </is>
      </c>
      <c r="C1833" s="2" t="inlineStr">
        <is>
          <t>코스피</t>
        </is>
      </c>
      <c r="D1833" s="2" t="inlineStr">
        <is>
          <t>001290</t>
        </is>
      </c>
      <c r="E1833" s="3" t="inlineStr">
        <is>
          <t xml:space="preserve">주주총회소집결의              </t>
        </is>
      </c>
      <c r="F1833" s="3" t="inlineStr">
        <is>
          <t>상상인증권</t>
        </is>
      </c>
      <c r="G1833" s="2" t="inlineStr">
        <is>
          <t>20260310801052</t>
        </is>
      </c>
      <c r="H1833" s="8">
        <f>HYPERLINK("https://dart.fss.or.kr/dsaf001/main.do?rcpNo=20260310801052", "공시열람")</f>
        <v/>
      </c>
    </row>
    <row r="1834">
      <c r="A1834" s="2" t="inlineStr">
        <is>
          <t>2026-03-10</t>
        </is>
      </c>
      <c r="B1834" s="3" t="inlineStr">
        <is>
          <t>JYP Ent.</t>
        </is>
      </c>
      <c r="C1834" s="2" t="inlineStr">
        <is>
          <t>코스닥</t>
        </is>
      </c>
      <c r="D1834" s="2" t="inlineStr">
        <is>
          <t>035900</t>
        </is>
      </c>
      <c r="E1834" s="3" t="inlineStr">
        <is>
          <t xml:space="preserve">주주총회소집결의              </t>
        </is>
      </c>
      <c r="F1834" s="3" t="inlineStr">
        <is>
          <t>JYP Ent.</t>
        </is>
      </c>
      <c r="G1834" s="2" t="inlineStr">
        <is>
          <t>20260310901164</t>
        </is>
      </c>
      <c r="H1834" s="8">
        <f>HYPERLINK("https://dart.fss.or.kr/dsaf001/main.do?rcpNo=20260310901164", "공시열람")</f>
        <v/>
      </c>
    </row>
    <row r="1835">
      <c r="A1835" s="2" t="inlineStr">
        <is>
          <t>2026-03-10</t>
        </is>
      </c>
      <c r="B1835" s="3" t="inlineStr">
        <is>
          <t>코리아에프티</t>
        </is>
      </c>
      <c r="C1835" s="2" t="inlineStr">
        <is>
          <t>코스닥</t>
        </is>
      </c>
      <c r="D1835" s="2" t="inlineStr">
        <is>
          <t>123410</t>
        </is>
      </c>
      <c r="E1835" s="3" t="inlineStr">
        <is>
          <t>주주총회소집공고</t>
        </is>
      </c>
      <c r="F1835" s="3" t="inlineStr">
        <is>
          <t>코리아에프티</t>
        </is>
      </c>
      <c r="G1835" s="2" t="inlineStr">
        <is>
          <t>20260310002717</t>
        </is>
      </c>
      <c r="H1835" s="8">
        <f>HYPERLINK("https://dart.fss.or.kr/dsaf001/main.do?rcpNo=20260310002717", "공시열람")</f>
        <v/>
      </c>
    </row>
    <row r="1836">
      <c r="A1836" s="2" t="inlineStr">
        <is>
          <t>2026-03-10</t>
        </is>
      </c>
      <c r="B1836" s="3" t="inlineStr">
        <is>
          <t>한컴위드</t>
        </is>
      </c>
      <c r="C1836" s="2" t="inlineStr">
        <is>
          <t>코스닥</t>
        </is>
      </c>
      <c r="D1836" s="2" t="inlineStr">
        <is>
          <t>054920</t>
        </is>
      </c>
      <c r="E1836" s="3" t="inlineStr">
        <is>
          <t>주주총회소집공고</t>
        </is>
      </c>
      <c r="F1836" s="3" t="inlineStr">
        <is>
          <t>한컴위드</t>
        </is>
      </c>
      <c r="G1836" s="2" t="inlineStr">
        <is>
          <t>20260310002714</t>
        </is>
      </c>
      <c r="H1836" s="8">
        <f>HYPERLINK("https://dart.fss.or.kr/dsaf001/main.do?rcpNo=20260310002714", "공시열람")</f>
        <v/>
      </c>
    </row>
    <row r="1837">
      <c r="A1837" s="2" t="inlineStr">
        <is>
          <t>2026-03-10</t>
        </is>
      </c>
      <c r="B1837" s="3" t="inlineStr">
        <is>
          <t>대한화섬</t>
        </is>
      </c>
      <c r="C1837" s="2" t="inlineStr">
        <is>
          <t>코스피</t>
        </is>
      </c>
      <c r="D1837" s="2" t="inlineStr">
        <is>
          <t>003830</t>
        </is>
      </c>
      <c r="E1837" s="3" t="inlineStr">
        <is>
          <t xml:space="preserve">주주총회소집결의              </t>
        </is>
      </c>
      <c r="F1837" s="3" t="inlineStr">
        <is>
          <t>대한화섬</t>
        </is>
      </c>
      <c r="G1837" s="2" t="inlineStr">
        <is>
          <t>20260310801010</t>
        </is>
      </c>
      <c r="H1837" s="8">
        <f>HYPERLINK("https://dart.fss.or.kr/dsaf001/main.do?rcpNo=20260310801010", "공시열람")</f>
        <v/>
      </c>
    </row>
    <row r="1838">
      <c r="A1838" s="2" t="inlineStr">
        <is>
          <t>2026-03-10</t>
        </is>
      </c>
      <c r="B1838" s="3" t="inlineStr">
        <is>
          <t>엑스플러스</t>
        </is>
      </c>
      <c r="C1838" s="2" t="inlineStr">
        <is>
          <t>코스닥</t>
        </is>
      </c>
      <c r="D1838" s="2" t="inlineStr">
        <is>
          <t>373200</t>
        </is>
      </c>
      <c r="E1838" s="3" t="inlineStr">
        <is>
          <t>주주총회소집공고</t>
        </is>
      </c>
      <c r="F1838" s="3" t="inlineStr">
        <is>
          <t>엑스플러스</t>
        </is>
      </c>
      <c r="G1838" s="2" t="inlineStr">
        <is>
          <t>20260310002712</t>
        </is>
      </c>
      <c r="H1838" s="8">
        <f>HYPERLINK("https://dart.fss.or.kr/dsaf001/main.do?rcpNo=20260310002712", "공시열람")</f>
        <v/>
      </c>
    </row>
    <row r="1839">
      <c r="A1839" s="2" t="inlineStr">
        <is>
          <t>2026-03-10</t>
        </is>
      </c>
      <c r="B1839" s="3" t="inlineStr">
        <is>
          <t>DGI</t>
        </is>
      </c>
      <c r="C1839" s="2" t="inlineStr">
        <is>
          <t>코스닥</t>
        </is>
      </c>
      <c r="D1839" s="2" t="inlineStr">
        <is>
          <t>099520</t>
        </is>
      </c>
      <c r="E1839" s="3" t="inlineStr">
        <is>
          <t xml:space="preserve">주주총회집중일개최사유신고              </t>
        </is>
      </c>
      <c r="F1839" s="3" t="inlineStr">
        <is>
          <t>DGI</t>
        </is>
      </c>
      <c r="G1839" s="2" t="inlineStr">
        <is>
          <t>20260310901119</t>
        </is>
      </c>
      <c r="H1839" s="8">
        <f>HYPERLINK("https://dart.fss.or.kr/dsaf001/main.do?rcpNo=20260310901119", "공시열람")</f>
        <v/>
      </c>
    </row>
    <row r="1840">
      <c r="A1840" s="2" t="inlineStr">
        <is>
          <t>2026-03-10</t>
        </is>
      </c>
      <c r="B1840" s="3" t="inlineStr">
        <is>
          <t>라메디텍</t>
        </is>
      </c>
      <c r="C1840" s="2" t="inlineStr">
        <is>
          <t>코스닥</t>
        </is>
      </c>
      <c r="D1840" s="2" t="inlineStr">
        <is>
          <t>462510</t>
        </is>
      </c>
      <c r="E1840" s="3" t="inlineStr">
        <is>
          <t>주주총회소집공고</t>
        </is>
      </c>
      <c r="F1840" s="3" t="inlineStr">
        <is>
          <t>라메디텍</t>
        </is>
      </c>
      <c r="G1840" s="2" t="inlineStr">
        <is>
          <t>20260310002710</t>
        </is>
      </c>
      <c r="H1840" s="8">
        <f>HYPERLINK("https://dart.fss.or.kr/dsaf001/main.do?rcpNo=20260310002710", "공시열람")</f>
        <v/>
      </c>
    </row>
    <row r="1841">
      <c r="A1841" s="2" t="inlineStr">
        <is>
          <t>2026-03-10</t>
        </is>
      </c>
      <c r="B1841" s="3" t="inlineStr">
        <is>
          <t>파커스</t>
        </is>
      </c>
      <c r="C1841" s="2" t="inlineStr">
        <is>
          <t>코스닥</t>
        </is>
      </c>
      <c r="D1841" s="2" t="inlineStr">
        <is>
          <t>065690</t>
        </is>
      </c>
      <c r="E1841" s="3" t="inlineStr">
        <is>
          <t xml:space="preserve">주주총회소집결의              </t>
        </is>
      </c>
      <c r="F1841" s="3" t="inlineStr">
        <is>
          <t>파커스</t>
        </is>
      </c>
      <c r="G1841" s="2" t="inlineStr">
        <is>
          <t>20260310901115</t>
        </is>
      </c>
      <c r="H1841" s="8">
        <f>HYPERLINK("https://dart.fss.or.kr/dsaf001/main.do?rcpNo=20260310901115", "공시열람")</f>
        <v/>
      </c>
    </row>
    <row r="1842">
      <c r="A1842" s="2" t="inlineStr">
        <is>
          <t>2026-03-10 (정정: 2026-03-23)</t>
        </is>
      </c>
      <c r="B1842" s="3" t="inlineStr">
        <is>
          <t>동양고속</t>
        </is>
      </c>
      <c r="C1842" s="2" t="inlineStr">
        <is>
          <t>코스피</t>
        </is>
      </c>
      <c r="D1842" s="2" t="inlineStr">
        <is>
          <t>084670</t>
        </is>
      </c>
      <c r="E1842" s="3" t="inlineStr">
        <is>
          <t>주주총회소집공고 (정정: 20260323)</t>
        </is>
      </c>
      <c r="F1842" s="3" t="inlineStr">
        <is>
          <t>동양고속</t>
        </is>
      </c>
      <c r="G1842" s="2" t="inlineStr">
        <is>
          <t>20260323001357</t>
        </is>
      </c>
      <c r="H1842" s="8">
        <f>HYPERLINK("https://dart.fss.or.kr/dsaf001/main.do?rcpNo=20260323001357", "공시열람")</f>
        <v/>
      </c>
    </row>
    <row r="1843">
      <c r="A1843" s="2" t="inlineStr">
        <is>
          <t>2026-02-26 (정정: 2026-03-10)</t>
        </is>
      </c>
      <c r="B1843" s="3" t="inlineStr">
        <is>
          <t>에프엔씨엔터</t>
        </is>
      </c>
      <c r="C1843" s="2" t="inlineStr">
        <is>
          <t>코스닥</t>
        </is>
      </c>
      <c r="D1843" s="2" t="inlineStr">
        <is>
          <t>173940</t>
        </is>
      </c>
      <c r="E1843" s="3" t="inlineStr">
        <is>
          <t xml:space="preserve">[기재정정]주주총회소집결의              </t>
        </is>
      </c>
      <c r="F1843" s="3" t="inlineStr">
        <is>
          <t>에프엔씨엔터</t>
        </is>
      </c>
      <c r="G1843" s="2" t="inlineStr">
        <is>
          <t>20260310901012</t>
        </is>
      </c>
      <c r="H1843" s="8">
        <f>HYPERLINK("https://dart.fss.or.kr/dsaf001/main.do?rcpNo=20260310901012", "공시열람")</f>
        <v/>
      </c>
    </row>
    <row r="1844">
      <c r="A1844" s="2" t="inlineStr">
        <is>
          <t>2026-03-10</t>
        </is>
      </c>
      <c r="B1844" s="3" t="inlineStr">
        <is>
          <t>텔레칩스</t>
        </is>
      </c>
      <c r="C1844" s="2" t="inlineStr">
        <is>
          <t>코스닥</t>
        </is>
      </c>
      <c r="D1844" s="2" t="inlineStr">
        <is>
          <t>054450</t>
        </is>
      </c>
      <c r="E1844" s="3" t="inlineStr">
        <is>
          <t>주주총회소집공고</t>
        </is>
      </c>
      <c r="F1844" s="3" t="inlineStr">
        <is>
          <t>텔레칩스</t>
        </is>
      </c>
      <c r="G1844" s="2" t="inlineStr">
        <is>
          <t>20260310002696</t>
        </is>
      </c>
      <c r="H1844" s="8">
        <f>HYPERLINK("https://dart.fss.or.kr/dsaf001/main.do?rcpNo=20260310002696", "공시열람")</f>
        <v/>
      </c>
    </row>
    <row r="1845">
      <c r="A1845" s="2" t="inlineStr">
        <is>
          <t>2026-03-10</t>
        </is>
      </c>
      <c r="B1845" s="3" t="inlineStr">
        <is>
          <t>포톤</t>
        </is>
      </c>
      <c r="C1845" s="2" t="inlineStr">
        <is>
          <t>코스닥</t>
        </is>
      </c>
      <c r="D1845" s="2" t="inlineStr">
        <is>
          <t>208710</t>
        </is>
      </c>
      <c r="E1845" s="3" t="inlineStr">
        <is>
          <t>주주총회소집공고</t>
        </is>
      </c>
      <c r="F1845" s="3" t="inlineStr">
        <is>
          <t>포톤</t>
        </is>
      </c>
      <c r="G1845" s="2" t="inlineStr">
        <is>
          <t>20260310002695</t>
        </is>
      </c>
      <c r="H1845" s="8">
        <f>HYPERLINK("https://dart.fss.or.kr/dsaf001/main.do?rcpNo=20260310002695", "공시열람")</f>
        <v/>
      </c>
    </row>
    <row r="1846">
      <c r="A1846" s="2" t="inlineStr">
        <is>
          <t>2026-03-10</t>
        </is>
      </c>
      <c r="B1846" s="3" t="inlineStr">
        <is>
          <t>CJ ENM</t>
        </is>
      </c>
      <c r="C1846" s="2" t="inlineStr">
        <is>
          <t>코스닥</t>
        </is>
      </c>
      <c r="D1846" s="2" t="inlineStr">
        <is>
          <t>035760</t>
        </is>
      </c>
      <c r="E1846" s="3" t="inlineStr">
        <is>
          <t xml:space="preserve">주주총회소집결의              </t>
        </is>
      </c>
      <c r="F1846" s="3" t="inlineStr">
        <is>
          <t>CJ ENM</t>
        </is>
      </c>
      <c r="G1846" s="2" t="inlineStr">
        <is>
          <t>20260310901057</t>
        </is>
      </c>
      <c r="H1846" s="8">
        <f>HYPERLINK("https://dart.fss.or.kr/dsaf001/main.do?rcpNo=20260310901057", "공시열람")</f>
        <v/>
      </c>
    </row>
    <row r="1847">
      <c r="A1847" s="2" t="inlineStr">
        <is>
          <t>2026-03-09 (정정: 2026-03-10)</t>
        </is>
      </c>
      <c r="B1847" s="3" t="inlineStr">
        <is>
          <t>테크엘</t>
        </is>
      </c>
      <c r="C1847" s="2" t="inlineStr">
        <is>
          <t>코스닥</t>
        </is>
      </c>
      <c r="D1847" s="2" t="inlineStr">
        <is>
          <t>064520</t>
        </is>
      </c>
      <c r="E1847" s="3" t="inlineStr">
        <is>
          <t xml:space="preserve">[기재정정]주주총회소집결의              </t>
        </is>
      </c>
      <c r="F1847" s="3" t="inlineStr">
        <is>
          <t>테크엘</t>
        </is>
      </c>
      <c r="G1847" s="2" t="inlineStr">
        <is>
          <t>20260310901085</t>
        </is>
      </c>
      <c r="H1847" s="8">
        <f>HYPERLINK("https://dart.fss.or.kr/dsaf001/main.do?rcpNo=20260310901085", "공시열람")</f>
        <v/>
      </c>
    </row>
    <row r="1848">
      <c r="A1848" s="2" t="inlineStr">
        <is>
          <t>2026-03-10</t>
        </is>
      </c>
      <c r="B1848" s="3" t="inlineStr">
        <is>
          <t>신흥에스이씨</t>
        </is>
      </c>
      <c r="C1848" s="2" t="inlineStr">
        <is>
          <t>코스닥</t>
        </is>
      </c>
      <c r="D1848" s="2" t="inlineStr">
        <is>
          <t>243840</t>
        </is>
      </c>
      <c r="E1848" s="3" t="inlineStr">
        <is>
          <t>주주총회소집공고</t>
        </is>
      </c>
      <c r="F1848" s="3" t="inlineStr">
        <is>
          <t>신흥에스이씨</t>
        </is>
      </c>
      <c r="G1848" s="2" t="inlineStr">
        <is>
          <t>20260310002682</t>
        </is>
      </c>
      <c r="H1848" s="8">
        <f>HYPERLINK("https://dart.fss.or.kr/dsaf001/main.do?rcpNo=20260310002682", "공시열람")</f>
        <v/>
      </c>
    </row>
    <row r="1849">
      <c r="A1849" s="2" t="inlineStr">
        <is>
          <t>2026-02-24 (정정: 2026-03-10)</t>
        </is>
      </c>
      <c r="B1849" s="3" t="inlineStr">
        <is>
          <t>케이피티유</t>
        </is>
      </c>
      <c r="C1849" s="2" t="inlineStr">
        <is>
          <t>코스닥</t>
        </is>
      </c>
      <c r="D1849" s="2" t="inlineStr">
        <is>
          <t>054410</t>
        </is>
      </c>
      <c r="E1849" s="3" t="inlineStr">
        <is>
          <t xml:space="preserve">[기재정정]주주총회소집결의              </t>
        </is>
      </c>
      <c r="F1849" s="3" t="inlineStr">
        <is>
          <t>케이피티유</t>
        </is>
      </c>
      <c r="G1849" s="2" t="inlineStr">
        <is>
          <t>20260310901032</t>
        </is>
      </c>
      <c r="H1849" s="8">
        <f>HYPERLINK("https://dart.fss.or.kr/dsaf001/main.do?rcpNo=20260310901032", "공시열람")</f>
        <v/>
      </c>
    </row>
    <row r="1850">
      <c r="A1850" s="2" t="inlineStr">
        <is>
          <t>2026-03-10</t>
        </is>
      </c>
      <c r="B1850" s="3" t="inlineStr">
        <is>
          <t>텔레칩스</t>
        </is>
      </c>
      <c r="C1850" s="2" t="inlineStr">
        <is>
          <t>코스닥</t>
        </is>
      </c>
      <c r="D1850" s="2" t="inlineStr">
        <is>
          <t>054450</t>
        </is>
      </c>
      <c r="E1850" s="3" t="inlineStr">
        <is>
          <t xml:space="preserve">주주총회소집결의              </t>
        </is>
      </c>
      <c r="F1850" s="3" t="inlineStr">
        <is>
          <t>텔레칩스</t>
        </is>
      </c>
      <c r="G1850" s="2" t="inlineStr">
        <is>
          <t>20260310901019</t>
        </is>
      </c>
      <c r="H1850" s="8">
        <f>HYPERLINK("https://dart.fss.or.kr/dsaf001/main.do?rcpNo=20260310901019", "공시열람")</f>
        <v/>
      </c>
    </row>
    <row r="1851">
      <c r="A1851" s="2" t="inlineStr">
        <is>
          <t>2026-03-10</t>
        </is>
      </c>
      <c r="B1851" s="3" t="inlineStr">
        <is>
          <t>심텍</t>
        </is>
      </c>
      <c r="C1851" s="2" t="inlineStr">
        <is>
          <t>코스닥</t>
        </is>
      </c>
      <c r="D1851" s="2" t="inlineStr">
        <is>
          <t>222800</t>
        </is>
      </c>
      <c r="E1851" s="3" t="inlineStr">
        <is>
          <t>주주총회소집공고</t>
        </is>
      </c>
      <c r="F1851" s="3" t="inlineStr">
        <is>
          <t>심텍</t>
        </is>
      </c>
      <c r="G1851" s="2" t="inlineStr">
        <is>
          <t>20260310002672</t>
        </is>
      </c>
      <c r="H1851" s="8">
        <f>HYPERLINK("https://dart.fss.or.kr/dsaf001/main.do?rcpNo=20260310002672", "공시열람")</f>
        <v/>
      </c>
    </row>
    <row r="1852">
      <c r="A1852" s="2" t="inlineStr">
        <is>
          <t>2026-03-10</t>
        </is>
      </c>
      <c r="B1852" s="3" t="inlineStr">
        <is>
          <t>DGI</t>
        </is>
      </c>
      <c r="C1852" s="2" t="inlineStr">
        <is>
          <t>코스닥</t>
        </is>
      </c>
      <c r="D1852" s="2" t="inlineStr">
        <is>
          <t>099520</t>
        </is>
      </c>
      <c r="E1852" s="3" t="inlineStr">
        <is>
          <t xml:space="preserve">주주총회소집결의              </t>
        </is>
      </c>
      <c r="F1852" s="3" t="inlineStr">
        <is>
          <t>DGI</t>
        </is>
      </c>
      <c r="G1852" s="2" t="inlineStr">
        <is>
          <t>20260310901070</t>
        </is>
      </c>
      <c r="H1852" s="8">
        <f>HYPERLINK("https://dart.fss.or.kr/dsaf001/main.do?rcpNo=20260310901070", "공시열람")</f>
        <v/>
      </c>
    </row>
    <row r="1853">
      <c r="A1853" s="2" t="inlineStr">
        <is>
          <t>2026-03-10</t>
        </is>
      </c>
      <c r="B1853" s="3" t="inlineStr">
        <is>
          <t>심텍</t>
        </is>
      </c>
      <c r="C1853" s="2" t="inlineStr">
        <is>
          <t>코스닥</t>
        </is>
      </c>
      <c r="D1853" s="2" t="inlineStr">
        <is>
          <t>222800</t>
        </is>
      </c>
      <c r="E1853" s="3" t="inlineStr">
        <is>
          <t xml:space="preserve">주주총회소집결의              </t>
        </is>
      </c>
      <c r="F1853" s="3" t="inlineStr">
        <is>
          <t>심텍</t>
        </is>
      </c>
      <c r="G1853" s="2" t="inlineStr">
        <is>
          <t>20260310901056</t>
        </is>
      </c>
      <c r="H1853" s="8">
        <f>HYPERLINK("https://dart.fss.or.kr/dsaf001/main.do?rcpNo=20260310901056", "공시열람")</f>
        <v/>
      </c>
    </row>
    <row r="1854">
      <c r="A1854" s="2" t="inlineStr">
        <is>
          <t>2026-03-10</t>
        </is>
      </c>
      <c r="B1854" s="3" t="inlineStr">
        <is>
          <t>신흥에스이씨</t>
        </is>
      </c>
      <c r="C1854" s="2" t="inlineStr">
        <is>
          <t>코스닥</t>
        </is>
      </c>
      <c r="D1854" s="2" t="inlineStr">
        <is>
          <t>243840</t>
        </is>
      </c>
      <c r="E1854" s="3" t="inlineStr">
        <is>
          <t xml:space="preserve">주주총회소집결의              </t>
        </is>
      </c>
      <c r="F1854" s="3" t="inlineStr">
        <is>
          <t>신흥에스이씨</t>
        </is>
      </c>
      <c r="G1854" s="2" t="inlineStr">
        <is>
          <t>20260310901044</t>
        </is>
      </c>
      <c r="H1854" s="8">
        <f>HYPERLINK("https://dart.fss.or.kr/dsaf001/main.do?rcpNo=20260310901044", "공시열람")</f>
        <v/>
      </c>
    </row>
    <row r="1855">
      <c r="A1855" s="2" t="inlineStr">
        <is>
          <t>2026-03-10</t>
        </is>
      </c>
      <c r="B1855" s="3" t="inlineStr">
        <is>
          <t>인티큐브</t>
        </is>
      </c>
      <c r="C1855" s="2" t="inlineStr">
        <is>
          <t>코스닥</t>
        </is>
      </c>
      <c r="D1855" s="2" t="inlineStr">
        <is>
          <t>070590</t>
        </is>
      </c>
      <c r="E1855" s="3" t="inlineStr">
        <is>
          <t xml:space="preserve">정기주주총회결과              </t>
        </is>
      </c>
      <c r="F1855" s="3" t="inlineStr">
        <is>
          <t>인티큐브</t>
        </is>
      </c>
      <c r="G1855" s="2" t="inlineStr">
        <is>
          <t>20260310901016</t>
        </is>
      </c>
      <c r="H1855" s="8">
        <f>HYPERLINK("https://dart.fss.or.kr/dsaf001/main.do?rcpNo=20260310901016", "공시열람")</f>
        <v/>
      </c>
    </row>
    <row r="1856">
      <c r="A1856" s="2" t="inlineStr">
        <is>
          <t>2026-03-10</t>
        </is>
      </c>
      <c r="B1856" s="3" t="inlineStr">
        <is>
          <t>동방메디컬</t>
        </is>
      </c>
      <c r="C1856" s="2" t="inlineStr">
        <is>
          <t>코스닥</t>
        </is>
      </c>
      <c r="D1856" s="2" t="inlineStr">
        <is>
          <t>240550</t>
        </is>
      </c>
      <c r="E1856" s="3" t="inlineStr">
        <is>
          <t xml:space="preserve">주주총회소집결의              </t>
        </is>
      </c>
      <c r="F1856" s="3" t="inlineStr">
        <is>
          <t>동방메디컬</t>
        </is>
      </c>
      <c r="G1856" s="2" t="inlineStr">
        <is>
          <t>20260310901035</t>
        </is>
      </c>
      <c r="H1856" s="8">
        <f>HYPERLINK("https://dart.fss.or.kr/dsaf001/main.do?rcpNo=20260310901035", "공시열람")</f>
        <v/>
      </c>
    </row>
    <row r="1857">
      <c r="A1857" s="2" t="inlineStr">
        <is>
          <t>2026-03-10</t>
        </is>
      </c>
      <c r="B1857" s="3" t="inlineStr">
        <is>
          <t>시지트로닉스</t>
        </is>
      </c>
      <c r="C1857" s="2" t="inlineStr">
        <is>
          <t>코스닥</t>
        </is>
      </c>
      <c r="D1857" s="2" t="inlineStr">
        <is>
          <t>429270</t>
        </is>
      </c>
      <c r="E1857" s="3" t="inlineStr">
        <is>
          <t xml:space="preserve">주주총회소집결의              </t>
        </is>
      </c>
      <c r="F1857" s="3" t="inlineStr">
        <is>
          <t>시지트로닉스</t>
        </is>
      </c>
      <c r="G1857" s="2" t="inlineStr">
        <is>
          <t>20260310901013</t>
        </is>
      </c>
      <c r="H1857" s="8">
        <f>HYPERLINK("https://dart.fss.or.kr/dsaf001/main.do?rcpNo=20260310901013", "공시열람")</f>
        <v/>
      </c>
    </row>
    <row r="1858">
      <c r="A1858" s="2" t="inlineStr">
        <is>
          <t>2026-03-10</t>
        </is>
      </c>
      <c r="B1858" s="3" t="inlineStr">
        <is>
          <t>대한화섬</t>
        </is>
      </c>
      <c r="C1858" s="2" t="inlineStr">
        <is>
          <t>코스피</t>
        </is>
      </c>
      <c r="D1858" s="2" t="inlineStr">
        <is>
          <t>003830</t>
        </is>
      </c>
      <c r="E1858" s="3" t="inlineStr">
        <is>
          <t>주주총회소집공고</t>
        </is>
      </c>
      <c r="F1858" s="3" t="inlineStr">
        <is>
          <t>대한화섬</t>
        </is>
      </c>
      <c r="G1858" s="2" t="inlineStr">
        <is>
          <t>20260310002661</t>
        </is>
      </c>
      <c r="H1858" s="8">
        <f>HYPERLINK("https://dart.fss.or.kr/dsaf001/main.do?rcpNo=20260310002661", "공시열람")</f>
        <v/>
      </c>
    </row>
    <row r="1859">
      <c r="A1859" s="2" t="inlineStr">
        <is>
          <t>2026-03-10</t>
        </is>
      </c>
      <c r="B1859" s="3" t="inlineStr">
        <is>
          <t>에이아이코리아</t>
        </is>
      </c>
      <c r="C1859" s="2" t="inlineStr">
        <is>
          <t>코스닥</t>
        </is>
      </c>
      <c r="D1859" s="2" t="inlineStr">
        <is>
          <t>364950</t>
        </is>
      </c>
      <c r="E1859" s="3" t="inlineStr">
        <is>
          <t xml:space="preserve">주주총회집중일개최사유신고              </t>
        </is>
      </c>
      <c r="F1859" s="3" t="inlineStr">
        <is>
          <t>에이아이코리아</t>
        </is>
      </c>
      <c r="G1859" s="2" t="inlineStr">
        <is>
          <t>20260310901059</t>
        </is>
      </c>
      <c r="H1859" s="8">
        <f>HYPERLINK("https://dart.fss.or.kr/dsaf001/main.do?rcpNo=20260310901059", "공시열람")</f>
        <v/>
      </c>
    </row>
    <row r="1860">
      <c r="A1860" s="2" t="inlineStr">
        <is>
          <t>2026-03-10</t>
        </is>
      </c>
      <c r="B1860" s="3" t="inlineStr">
        <is>
          <t>에이아이코리아</t>
        </is>
      </c>
      <c r="C1860" s="2" t="inlineStr">
        <is>
          <t>코스닥</t>
        </is>
      </c>
      <c r="D1860" s="2" t="inlineStr">
        <is>
          <t>364950</t>
        </is>
      </c>
      <c r="E1860" s="3" t="inlineStr">
        <is>
          <t xml:space="preserve">주주총회소집결의              </t>
        </is>
      </c>
      <c r="F1860" s="3" t="inlineStr">
        <is>
          <t>에이아이코리아</t>
        </is>
      </c>
      <c r="G1860" s="2" t="inlineStr">
        <is>
          <t>20260310901058</t>
        </is>
      </c>
      <c r="H1860" s="8">
        <f>HYPERLINK("https://dart.fss.or.kr/dsaf001/main.do?rcpNo=20260310901058", "공시열람")</f>
        <v/>
      </c>
    </row>
    <row r="1861">
      <c r="A1861" s="2" t="inlineStr">
        <is>
          <t>2026-03-10</t>
        </is>
      </c>
      <c r="B1861" s="3" t="inlineStr">
        <is>
          <t>코닉오토메이션</t>
        </is>
      </c>
      <c r="C1861" s="2" t="inlineStr">
        <is>
          <t>코스닥</t>
        </is>
      </c>
      <c r="D1861" s="2" t="inlineStr">
        <is>
          <t>391710</t>
        </is>
      </c>
      <c r="E1861" s="3" t="inlineStr">
        <is>
          <t xml:space="preserve">주주총회소집결의              </t>
        </is>
      </c>
      <c r="F1861" s="3" t="inlineStr">
        <is>
          <t>코닉오토메이션</t>
        </is>
      </c>
      <c r="G1861" s="2" t="inlineStr">
        <is>
          <t>20260310901007</t>
        </is>
      </c>
      <c r="H1861" s="8">
        <f>HYPERLINK("https://dart.fss.or.kr/dsaf001/main.do?rcpNo=20260310901007", "공시열람")</f>
        <v/>
      </c>
    </row>
    <row r="1862">
      <c r="A1862" s="2" t="inlineStr">
        <is>
          <t>2026-03-10 (정정: 2026-03-17)</t>
        </is>
      </c>
      <c r="B1862" s="3" t="inlineStr">
        <is>
          <t>HLB파나진</t>
        </is>
      </c>
      <c r="C1862" s="2" t="inlineStr">
        <is>
          <t>코스닥</t>
        </is>
      </c>
      <c r="D1862" s="2" t="inlineStr">
        <is>
          <t>046210</t>
        </is>
      </c>
      <c r="E1862" s="3" t="inlineStr">
        <is>
          <t>주주총회소집공고 (정정: 20260317)</t>
        </is>
      </c>
      <c r="F1862" s="3" t="inlineStr">
        <is>
          <t>HLB파나진</t>
        </is>
      </c>
      <c r="G1862" s="2" t="inlineStr">
        <is>
          <t>20260317000792</t>
        </is>
      </c>
      <c r="H1862" s="8">
        <f>HYPERLINK("https://dart.fss.or.kr/dsaf001/main.do?rcpNo=20260317000792", "공시열람")</f>
        <v/>
      </c>
    </row>
    <row r="1863">
      <c r="A1863" s="2" t="inlineStr">
        <is>
          <t>2026-03-10</t>
        </is>
      </c>
      <c r="B1863" s="3" t="inlineStr">
        <is>
          <t>지니틱스</t>
        </is>
      </c>
      <c r="C1863" s="2" t="inlineStr">
        <is>
          <t>코스닥</t>
        </is>
      </c>
      <c r="D1863" s="2" t="inlineStr">
        <is>
          <t>303030</t>
        </is>
      </c>
      <c r="E1863" s="3" t="inlineStr">
        <is>
          <t>주주총회소집공고</t>
        </is>
      </c>
      <c r="F1863" s="3" t="inlineStr">
        <is>
          <t>지니틱스</t>
        </is>
      </c>
      <c r="G1863" s="2" t="inlineStr">
        <is>
          <t>20260310002646</t>
        </is>
      </c>
      <c r="H1863" s="8">
        <f>HYPERLINK("https://dart.fss.or.kr/dsaf001/main.do?rcpNo=20260310002646", "공시열람")</f>
        <v/>
      </c>
    </row>
    <row r="1864">
      <c r="A1864" s="2" t="inlineStr">
        <is>
          <t>2026-03-10</t>
        </is>
      </c>
      <c r="B1864" s="3" t="inlineStr">
        <is>
          <t>샤페론</t>
        </is>
      </c>
      <c r="C1864" s="2" t="inlineStr">
        <is>
          <t>코스닥</t>
        </is>
      </c>
      <c r="D1864" s="2" t="inlineStr">
        <is>
          <t>378800</t>
        </is>
      </c>
      <c r="E1864" s="3" t="inlineStr">
        <is>
          <t>주주총회소집공고</t>
        </is>
      </c>
      <c r="F1864" s="3" t="inlineStr">
        <is>
          <t>샤페론</t>
        </is>
      </c>
      <c r="G1864" s="2" t="inlineStr">
        <is>
          <t>20260310002639</t>
        </is>
      </c>
      <c r="H1864" s="8">
        <f>HYPERLINK("https://dart.fss.or.kr/dsaf001/main.do?rcpNo=20260310002639", "공시열람")</f>
        <v/>
      </c>
    </row>
    <row r="1865">
      <c r="A1865" s="2" t="inlineStr">
        <is>
          <t>2026-03-10</t>
        </is>
      </c>
      <c r="B1865" s="3" t="inlineStr">
        <is>
          <t>에이프릴바이오</t>
        </is>
      </c>
      <c r="C1865" s="2" t="inlineStr">
        <is>
          <t>코스닥</t>
        </is>
      </c>
      <c r="D1865" s="2" t="inlineStr">
        <is>
          <t>397030</t>
        </is>
      </c>
      <c r="E1865" s="3" t="inlineStr">
        <is>
          <t>주주총회소집공고</t>
        </is>
      </c>
      <c r="F1865" s="3" t="inlineStr">
        <is>
          <t>에이프릴바이오</t>
        </is>
      </c>
      <c r="G1865" s="2" t="inlineStr">
        <is>
          <t>20260310002638</t>
        </is>
      </c>
      <c r="H1865" s="8">
        <f>HYPERLINK("https://dart.fss.or.kr/dsaf001/main.do?rcpNo=20260310002638", "공시열람")</f>
        <v/>
      </c>
    </row>
    <row r="1866">
      <c r="A1866" s="2" t="inlineStr">
        <is>
          <t>2026-03-10</t>
        </is>
      </c>
      <c r="B1866" s="3" t="inlineStr">
        <is>
          <t>샤페론</t>
        </is>
      </c>
      <c r="C1866" s="2" t="inlineStr">
        <is>
          <t>코스닥</t>
        </is>
      </c>
      <c r="D1866" s="2" t="inlineStr">
        <is>
          <t>378800</t>
        </is>
      </c>
      <c r="E1866" s="3" t="inlineStr">
        <is>
          <t xml:space="preserve">주주총회집중일개최사유신고              </t>
        </is>
      </c>
      <c r="F1866" s="3" t="inlineStr">
        <is>
          <t>샤페론</t>
        </is>
      </c>
      <c r="G1866" s="2" t="inlineStr">
        <is>
          <t>20260310900994</t>
        </is>
      </c>
      <c r="H1866" s="8">
        <f>HYPERLINK("https://dart.fss.or.kr/dsaf001/main.do?rcpNo=20260310900994", "공시열람")</f>
        <v/>
      </c>
    </row>
    <row r="1867">
      <c r="A1867" s="2" t="inlineStr">
        <is>
          <t>2026-03-10</t>
        </is>
      </c>
      <c r="B1867" s="3" t="inlineStr">
        <is>
          <t>샤페론</t>
        </is>
      </c>
      <c r="C1867" s="2" t="inlineStr">
        <is>
          <t>코스닥</t>
        </is>
      </c>
      <c r="D1867" s="2" t="inlineStr">
        <is>
          <t>378800</t>
        </is>
      </c>
      <c r="E1867" s="3" t="inlineStr">
        <is>
          <t xml:space="preserve">주주총회소집결의              </t>
        </is>
      </c>
      <c r="F1867" s="3" t="inlineStr">
        <is>
          <t>샤페론</t>
        </is>
      </c>
      <c r="G1867" s="2" t="inlineStr">
        <is>
          <t>20260310900986</t>
        </is>
      </c>
      <c r="H1867" s="8">
        <f>HYPERLINK("https://dart.fss.or.kr/dsaf001/main.do?rcpNo=20260310900986", "공시열람")</f>
        <v/>
      </c>
    </row>
    <row r="1868">
      <c r="A1868" s="2" t="inlineStr">
        <is>
          <t>2026-03-10</t>
        </is>
      </c>
      <c r="B1868" s="3" t="inlineStr">
        <is>
          <t>시지트로닉스</t>
        </is>
      </c>
      <c r="C1868" s="2" t="inlineStr">
        <is>
          <t>코스닥</t>
        </is>
      </c>
      <c r="D1868" s="2" t="inlineStr">
        <is>
          <t>429270</t>
        </is>
      </c>
      <c r="E1868" s="3" t="inlineStr">
        <is>
          <t>주주총회소집공고</t>
        </is>
      </c>
      <c r="F1868" s="3" t="inlineStr">
        <is>
          <t>시지트로닉스</t>
        </is>
      </c>
      <c r="G1868" s="2" t="inlineStr">
        <is>
          <t>20260310002633</t>
        </is>
      </c>
      <c r="H1868" s="8">
        <f>HYPERLINK("https://dart.fss.or.kr/dsaf001/main.do?rcpNo=20260310002633", "공시열람")</f>
        <v/>
      </c>
    </row>
    <row r="1869">
      <c r="A1869" s="2" t="inlineStr">
        <is>
          <t>2026-03-10</t>
        </is>
      </c>
      <c r="B1869" s="3" t="inlineStr">
        <is>
          <t>넥스트칩</t>
        </is>
      </c>
      <c r="C1869" s="2" t="inlineStr">
        <is>
          <t>코스닥</t>
        </is>
      </c>
      <c r="D1869" s="2" t="inlineStr">
        <is>
          <t>396270</t>
        </is>
      </c>
      <c r="E1869" s="3" t="inlineStr">
        <is>
          <t>주주총회소집공고</t>
        </is>
      </c>
      <c r="F1869" s="3" t="inlineStr">
        <is>
          <t>넥스트칩</t>
        </is>
      </c>
      <c r="G1869" s="2" t="inlineStr">
        <is>
          <t>20260310002629</t>
        </is>
      </c>
      <c r="H1869" s="8">
        <f>HYPERLINK("https://dart.fss.or.kr/dsaf001/main.do?rcpNo=20260310002629", "공시열람")</f>
        <v/>
      </c>
    </row>
    <row r="1870">
      <c r="A1870" s="2" t="inlineStr">
        <is>
          <t>2026-03-10</t>
        </is>
      </c>
      <c r="B1870" s="3" t="inlineStr">
        <is>
          <t>티피씨글로벌</t>
        </is>
      </c>
      <c r="C1870" s="2" t="inlineStr">
        <is>
          <t>코스닥</t>
        </is>
      </c>
      <c r="D1870" s="2" t="inlineStr">
        <is>
          <t>130740</t>
        </is>
      </c>
      <c r="E1870" s="3" t="inlineStr">
        <is>
          <t>주주총회소집공고</t>
        </is>
      </c>
      <c r="F1870" s="3" t="inlineStr">
        <is>
          <t>티피씨글로벌</t>
        </is>
      </c>
      <c r="G1870" s="2" t="inlineStr">
        <is>
          <t>20260310002621</t>
        </is>
      </c>
      <c r="H1870" s="8">
        <f>HYPERLINK("https://dart.fss.or.kr/dsaf001/main.do?rcpNo=20260310002621", "공시열람")</f>
        <v/>
      </c>
    </row>
    <row r="1871">
      <c r="A1871" s="2" t="inlineStr">
        <is>
          <t>2026-03-10</t>
        </is>
      </c>
      <c r="B1871" s="3" t="inlineStr">
        <is>
          <t>한성기업</t>
        </is>
      </c>
      <c r="C1871" s="2" t="inlineStr">
        <is>
          <t>코스피</t>
        </is>
      </c>
      <c r="D1871" s="2" t="inlineStr">
        <is>
          <t>003680</t>
        </is>
      </c>
      <c r="E1871" s="3" t="inlineStr">
        <is>
          <t>주주총회소집공고</t>
        </is>
      </c>
      <c r="F1871" s="3" t="inlineStr">
        <is>
          <t>한성기업</t>
        </is>
      </c>
      <c r="G1871" s="2" t="inlineStr">
        <is>
          <t>20260310002613</t>
        </is>
      </c>
      <c r="H1871" s="8">
        <f>HYPERLINK("https://dart.fss.or.kr/dsaf001/main.do?rcpNo=20260310002613", "공시열람")</f>
        <v/>
      </c>
    </row>
    <row r="1872">
      <c r="A1872" s="2" t="inlineStr">
        <is>
          <t>2026-03-10</t>
        </is>
      </c>
      <c r="B1872" s="3" t="inlineStr">
        <is>
          <t>HK이노엔</t>
        </is>
      </c>
      <c r="C1872" s="2" t="inlineStr">
        <is>
          <t>코스닥</t>
        </is>
      </c>
      <c r="D1872" s="2" t="inlineStr">
        <is>
          <t>195940</t>
        </is>
      </c>
      <c r="E1872" s="3" t="inlineStr">
        <is>
          <t>주주총회소집공고</t>
        </is>
      </c>
      <c r="F1872" s="3" t="inlineStr">
        <is>
          <t>HK이노엔</t>
        </is>
      </c>
      <c r="G1872" s="2" t="inlineStr">
        <is>
          <t>20260310002610</t>
        </is>
      </c>
      <c r="H1872" s="8">
        <f>HYPERLINK("https://dart.fss.or.kr/dsaf001/main.do?rcpNo=20260310002610", "공시열람")</f>
        <v/>
      </c>
    </row>
    <row r="1873">
      <c r="A1873" s="2" t="inlineStr">
        <is>
          <t>2026-03-10</t>
        </is>
      </c>
      <c r="B1873" s="3" t="inlineStr">
        <is>
          <t>지니틱스</t>
        </is>
      </c>
      <c r="C1873" s="2" t="inlineStr">
        <is>
          <t>코스닥</t>
        </is>
      </c>
      <c r="D1873" s="2" t="inlineStr">
        <is>
          <t>303030</t>
        </is>
      </c>
      <c r="E1873" s="3" t="inlineStr">
        <is>
          <t xml:space="preserve">주주총회소집결의              </t>
        </is>
      </c>
      <c r="F1873" s="3" t="inlineStr">
        <is>
          <t>지니틱스</t>
        </is>
      </c>
      <c r="G1873" s="2" t="inlineStr">
        <is>
          <t>20260310900979</t>
        </is>
      </c>
      <c r="H1873" s="8">
        <f>HYPERLINK("https://dart.fss.or.kr/dsaf001/main.do?rcpNo=20260310900979", "공시열람")</f>
        <v/>
      </c>
    </row>
    <row r="1874">
      <c r="A1874" s="2" t="inlineStr">
        <is>
          <t>2026-03-10</t>
        </is>
      </c>
      <c r="B1874" s="3" t="inlineStr">
        <is>
          <t>DRB동일</t>
        </is>
      </c>
      <c r="C1874" s="2" t="inlineStr">
        <is>
          <t>코스피</t>
        </is>
      </c>
      <c r="D1874" s="2" t="inlineStr">
        <is>
          <t>004840</t>
        </is>
      </c>
      <c r="E1874" s="3" t="inlineStr">
        <is>
          <t xml:space="preserve">주주총회집중일개최사유신고              </t>
        </is>
      </c>
      <c r="F1874" s="3" t="inlineStr">
        <is>
          <t>DRB동일</t>
        </is>
      </c>
      <c r="G1874" s="2" t="inlineStr">
        <is>
          <t>20260310800964</t>
        </is>
      </c>
      <c r="H1874" s="8">
        <f>HYPERLINK("https://dart.fss.or.kr/dsaf001/main.do?rcpNo=20260310800964", "공시열람")</f>
        <v/>
      </c>
    </row>
    <row r="1875">
      <c r="A1875" s="2" t="inlineStr">
        <is>
          <t>2026-03-10</t>
        </is>
      </c>
      <c r="B1875" s="3" t="inlineStr">
        <is>
          <t>GS</t>
        </is>
      </c>
      <c r="C1875" s="2" t="inlineStr">
        <is>
          <t>코스피</t>
        </is>
      </c>
      <c r="D1875" s="2" t="inlineStr">
        <is>
          <t>078930</t>
        </is>
      </c>
      <c r="E1875" s="3" t="inlineStr">
        <is>
          <t>주주총회소집공고</t>
        </is>
      </c>
      <c r="F1875" s="3" t="inlineStr">
        <is>
          <t>GS</t>
        </is>
      </c>
      <c r="G1875" s="2" t="inlineStr">
        <is>
          <t>20260310002602</t>
        </is>
      </c>
      <c r="H1875" s="8">
        <f>HYPERLINK("https://dart.fss.or.kr/dsaf001/main.do?rcpNo=20260310002602", "공시열람")</f>
        <v/>
      </c>
    </row>
    <row r="1876">
      <c r="A1876" s="2" t="inlineStr">
        <is>
          <t>2026-03-10</t>
        </is>
      </c>
      <c r="B1876" s="3" t="inlineStr">
        <is>
          <t>지엔씨에너지</t>
        </is>
      </c>
      <c r="C1876" s="2" t="inlineStr">
        <is>
          <t>코스닥</t>
        </is>
      </c>
      <c r="D1876" s="2" t="inlineStr">
        <is>
          <t>119850</t>
        </is>
      </c>
      <c r="E1876" s="3" t="inlineStr">
        <is>
          <t>주주총회소집공고</t>
        </is>
      </c>
      <c r="F1876" s="3" t="inlineStr">
        <is>
          <t>지엔씨에너지</t>
        </is>
      </c>
      <c r="G1876" s="2" t="inlineStr">
        <is>
          <t>20260310002600</t>
        </is>
      </c>
      <c r="H1876" s="8">
        <f>HYPERLINK("https://dart.fss.or.kr/dsaf001/main.do?rcpNo=20260310002600", "공시열람")</f>
        <v/>
      </c>
    </row>
    <row r="1877">
      <c r="A1877" s="2" t="inlineStr">
        <is>
          <t>2026-03-10</t>
        </is>
      </c>
      <c r="B1877" s="3" t="inlineStr">
        <is>
          <t>링네트</t>
        </is>
      </c>
      <c r="C1877" s="2" t="inlineStr">
        <is>
          <t>코스닥</t>
        </is>
      </c>
      <c r="D1877" s="2" t="inlineStr">
        <is>
          <t>042500</t>
        </is>
      </c>
      <c r="E1877" s="3" t="inlineStr">
        <is>
          <t xml:space="preserve">[기재정정]주주총회소집결의              </t>
        </is>
      </c>
      <c r="F1877" s="3" t="inlineStr">
        <is>
          <t>링네트</t>
        </is>
      </c>
      <c r="G1877" s="2" t="inlineStr">
        <is>
          <t>20260310900881</t>
        </is>
      </c>
      <c r="H1877" s="8">
        <f>HYPERLINK("https://dart.fss.or.kr/dsaf001/main.do?rcpNo=20260310900881", "공시열람")</f>
        <v/>
      </c>
    </row>
    <row r="1878">
      <c r="A1878" s="2" t="inlineStr">
        <is>
          <t>2026-03-10</t>
        </is>
      </c>
      <c r="B1878" s="3" t="inlineStr">
        <is>
          <t>HK이노엔</t>
        </is>
      </c>
      <c r="C1878" s="2" t="inlineStr">
        <is>
          <t>코스닥</t>
        </is>
      </c>
      <c r="D1878" s="2" t="inlineStr">
        <is>
          <t>195940</t>
        </is>
      </c>
      <c r="E1878" s="3" t="inlineStr">
        <is>
          <t xml:space="preserve">주주총회소집결의              </t>
        </is>
      </c>
      <c r="F1878" s="3" t="inlineStr">
        <is>
          <t>HK이노엔</t>
        </is>
      </c>
      <c r="G1878" s="2" t="inlineStr">
        <is>
          <t>20260310900962</t>
        </is>
      </c>
      <c r="H1878" s="8">
        <f>HYPERLINK("https://dart.fss.or.kr/dsaf001/main.do?rcpNo=20260310900962", "공시열람")</f>
        <v/>
      </c>
    </row>
    <row r="1879">
      <c r="A1879" s="2" t="inlineStr">
        <is>
          <t>2026-03-10</t>
        </is>
      </c>
      <c r="B1879" s="3" t="inlineStr">
        <is>
          <t>사토시홀딩스</t>
        </is>
      </c>
      <c r="C1879" s="2" t="inlineStr">
        <is>
          <t>코스닥</t>
        </is>
      </c>
      <c r="D1879" s="2" t="inlineStr">
        <is>
          <t>223310</t>
        </is>
      </c>
      <c r="E1879" s="3" t="inlineStr">
        <is>
          <t>주주총회소집공고</t>
        </is>
      </c>
      <c r="F1879" s="3" t="inlineStr">
        <is>
          <t>사토시홀딩스</t>
        </is>
      </c>
      <c r="G1879" s="2" t="inlineStr">
        <is>
          <t>20260310002597</t>
        </is>
      </c>
      <c r="H1879" s="8">
        <f>HYPERLINK("https://dart.fss.or.kr/dsaf001/main.do?rcpNo=20260310002597", "공시열람")</f>
        <v/>
      </c>
    </row>
    <row r="1880">
      <c r="A1880" s="2" t="inlineStr">
        <is>
          <t>2026-03-10 (정정: 2026-03-11)</t>
        </is>
      </c>
      <c r="B1880" s="3" t="inlineStr">
        <is>
          <t>한선엔지니어링</t>
        </is>
      </c>
      <c r="C1880" s="2" t="inlineStr">
        <is>
          <t>코스닥</t>
        </is>
      </c>
      <c r="D1880" s="2" t="inlineStr">
        <is>
          <t>452280</t>
        </is>
      </c>
      <c r="E1880" s="3" t="inlineStr">
        <is>
          <t>주주총회소집공고 (정정: 20260310) (정정: 20260311)</t>
        </is>
      </c>
      <c r="F1880" s="3" t="inlineStr">
        <is>
          <t>한선엔지니어링</t>
        </is>
      </c>
      <c r="G1880" s="2" t="inlineStr">
        <is>
          <t>20260311900494</t>
        </is>
      </c>
      <c r="H1880" s="8">
        <f>HYPERLINK("https://dart.fss.or.kr/dsaf001/main.do?rcpNo=20260311900494", "공시열람")</f>
        <v/>
      </c>
    </row>
    <row r="1881">
      <c r="A1881" s="2" t="inlineStr">
        <is>
          <t>2026-03-10</t>
        </is>
      </c>
      <c r="B1881" s="3" t="inlineStr">
        <is>
          <t>태림포장</t>
        </is>
      </c>
      <c r="C1881" s="2" t="inlineStr">
        <is>
          <t>코스피</t>
        </is>
      </c>
      <c r="D1881" s="2" t="inlineStr">
        <is>
          <t>011280</t>
        </is>
      </c>
      <c r="E1881" s="3" t="inlineStr">
        <is>
          <t xml:space="preserve">주주총회소집결의              </t>
        </is>
      </c>
      <c r="F1881" s="3" t="inlineStr">
        <is>
          <t>태림포장</t>
        </is>
      </c>
      <c r="G1881" s="2" t="inlineStr">
        <is>
          <t>20260310800990</t>
        </is>
      </c>
      <c r="H1881" s="8">
        <f>HYPERLINK("https://dart.fss.or.kr/dsaf001/main.do?rcpNo=20260310800990", "공시열람")</f>
        <v/>
      </c>
    </row>
    <row r="1882">
      <c r="A1882" s="2" t="inlineStr">
        <is>
          <t>2026-03-10 (정정: 2026-03-23)</t>
        </is>
      </c>
      <c r="B1882" s="3" t="inlineStr">
        <is>
          <t>티디에스팜</t>
        </is>
      </c>
      <c r="C1882" s="2" t="inlineStr">
        <is>
          <t>코스닥</t>
        </is>
      </c>
      <c r="D1882" s="2" t="inlineStr">
        <is>
          <t>464280</t>
        </is>
      </c>
      <c r="E1882" s="3" t="inlineStr">
        <is>
          <t>주주총회집중일개최사유신고               (정정: 20260323)</t>
        </is>
      </c>
      <c r="F1882" s="3" t="inlineStr">
        <is>
          <t>티디에스팜</t>
        </is>
      </c>
      <c r="G1882" s="2" t="inlineStr">
        <is>
          <t>20260320001408</t>
        </is>
      </c>
      <c r="H1882" s="8">
        <f>HYPERLINK("https://dart.fss.or.kr/dsaf001/main.do?rcpNo=20260320001408", "공시열람")</f>
        <v/>
      </c>
    </row>
    <row r="1883">
      <c r="A1883" s="2" t="inlineStr">
        <is>
          <t>2026-03-10</t>
        </is>
      </c>
      <c r="B1883" s="3" t="inlineStr">
        <is>
          <t>서울바이오시스</t>
        </is>
      </c>
      <c r="C1883" s="2" t="inlineStr">
        <is>
          <t>코스닥</t>
        </is>
      </c>
      <c r="D1883" s="2" t="inlineStr">
        <is>
          <t>092190</t>
        </is>
      </c>
      <c r="E1883" s="3" t="inlineStr">
        <is>
          <t>주주총회소집공고</t>
        </is>
      </c>
      <c r="F1883" s="3" t="inlineStr">
        <is>
          <t>서울바이오시스</t>
        </is>
      </c>
      <c r="G1883" s="2" t="inlineStr">
        <is>
          <t>20260310002592</t>
        </is>
      </c>
      <c r="H1883" s="8">
        <f>HYPERLINK("https://dart.fss.or.kr/dsaf001/main.do?rcpNo=20260310002592", "공시열람")</f>
        <v/>
      </c>
    </row>
    <row r="1884">
      <c r="A1884" s="2" t="inlineStr">
        <is>
          <t>2026-03-10</t>
        </is>
      </c>
      <c r="B1884" s="3" t="inlineStr">
        <is>
          <t>신화콘텍</t>
        </is>
      </c>
      <c r="C1884" s="2" t="inlineStr">
        <is>
          <t>코스닥</t>
        </is>
      </c>
      <c r="D1884" s="2" t="inlineStr">
        <is>
          <t>187270</t>
        </is>
      </c>
      <c r="E1884" s="3" t="inlineStr">
        <is>
          <t>주주총회소집공고</t>
        </is>
      </c>
      <c r="F1884" s="3" t="inlineStr">
        <is>
          <t>신화콘텍</t>
        </is>
      </c>
      <c r="G1884" s="2" t="inlineStr">
        <is>
          <t>20260310002583</t>
        </is>
      </c>
      <c r="H1884" s="8">
        <f>HYPERLINK("https://dart.fss.or.kr/dsaf001/main.do?rcpNo=20260310002583", "공시열람")</f>
        <v/>
      </c>
    </row>
    <row r="1885">
      <c r="A1885" s="2" t="inlineStr">
        <is>
          <t>2026-03-10</t>
        </is>
      </c>
      <c r="B1885" s="3" t="inlineStr">
        <is>
          <t>에쓰씨엔지니어링</t>
        </is>
      </c>
      <c r="C1885" s="2" t="inlineStr">
        <is>
          <t>코스피</t>
        </is>
      </c>
      <c r="D1885" s="2" t="inlineStr">
        <is>
          <t>023960</t>
        </is>
      </c>
      <c r="E1885" s="3" t="inlineStr">
        <is>
          <t>주주총회소집공고</t>
        </is>
      </c>
      <c r="F1885" s="3" t="inlineStr">
        <is>
          <t>에쓰씨엔지니어링</t>
        </is>
      </c>
      <c r="G1885" s="2" t="inlineStr">
        <is>
          <t>20260310002581</t>
        </is>
      </c>
      <c r="H1885" s="8">
        <f>HYPERLINK("https://dart.fss.or.kr/dsaf001/main.do?rcpNo=20260310002581", "공시열람")</f>
        <v/>
      </c>
    </row>
    <row r="1886">
      <c r="A1886" s="2" t="inlineStr">
        <is>
          <t>2026-03-10</t>
        </is>
      </c>
      <c r="B1886" s="3" t="inlineStr">
        <is>
          <t>에르코스</t>
        </is>
      </c>
      <c r="C1886" s="2" t="inlineStr">
        <is>
          <t>코스닥</t>
        </is>
      </c>
      <c r="D1886" s="2" t="inlineStr">
        <is>
          <t>435570</t>
        </is>
      </c>
      <c r="E1886" s="3" t="inlineStr">
        <is>
          <t>주주총회소집공고</t>
        </is>
      </c>
      <c r="F1886" s="3" t="inlineStr">
        <is>
          <t>에르코스</t>
        </is>
      </c>
      <c r="G1886" s="2" t="inlineStr">
        <is>
          <t>20260310002573</t>
        </is>
      </c>
      <c r="H1886" s="8">
        <f>HYPERLINK("https://dart.fss.or.kr/dsaf001/main.do?rcpNo=20260310002573", "공시열람")</f>
        <v/>
      </c>
    </row>
    <row r="1887">
      <c r="A1887" s="2" t="inlineStr">
        <is>
          <t>2026-03-10</t>
        </is>
      </c>
      <c r="B1887" s="3" t="inlineStr">
        <is>
          <t>DRB동일</t>
        </is>
      </c>
      <c r="C1887" s="2" t="inlineStr">
        <is>
          <t>코스피</t>
        </is>
      </c>
      <c r="D1887" s="2" t="inlineStr">
        <is>
          <t>004840</t>
        </is>
      </c>
      <c r="E1887" s="3" t="inlineStr">
        <is>
          <t>주주총회소집공고</t>
        </is>
      </c>
      <c r="F1887" s="3" t="inlineStr">
        <is>
          <t>DRB동일</t>
        </is>
      </c>
      <c r="G1887" s="2" t="inlineStr">
        <is>
          <t>20260310002569</t>
        </is>
      </c>
      <c r="H1887" s="8">
        <f>HYPERLINK("https://dart.fss.or.kr/dsaf001/main.do?rcpNo=20260310002569", "공시열람")</f>
        <v/>
      </c>
    </row>
    <row r="1888">
      <c r="A1888" s="2" t="inlineStr">
        <is>
          <t>2026-03-10</t>
        </is>
      </c>
      <c r="B1888" s="3" t="inlineStr">
        <is>
          <t>아모텍</t>
        </is>
      </c>
      <c r="C1888" s="2" t="inlineStr">
        <is>
          <t>코스닥</t>
        </is>
      </c>
      <c r="D1888" s="2" t="inlineStr">
        <is>
          <t>052710</t>
        </is>
      </c>
      <c r="E1888" s="3" t="inlineStr">
        <is>
          <t>주주총회소집공고</t>
        </is>
      </c>
      <c r="F1888" s="3" t="inlineStr">
        <is>
          <t>아모텍</t>
        </is>
      </c>
      <c r="G1888" s="2" t="inlineStr">
        <is>
          <t>20260310002568</t>
        </is>
      </c>
      <c r="H1888" s="8">
        <f>HYPERLINK("https://dart.fss.or.kr/dsaf001/main.do?rcpNo=20260310002568", "공시열람")</f>
        <v/>
      </c>
    </row>
    <row r="1889">
      <c r="A1889" s="2" t="inlineStr">
        <is>
          <t>2026-03-10 (정정: 2026-03-12)</t>
        </is>
      </c>
      <c r="B1889" s="3" t="inlineStr">
        <is>
          <t>코스리거글로벌</t>
        </is>
      </c>
      <c r="C1889" s="2" t="inlineStr">
        <is>
          <t>코스닥</t>
        </is>
      </c>
      <c r="D1889" s="2" t="inlineStr">
        <is>
          <t>043710</t>
        </is>
      </c>
      <c r="E1889" s="3" t="inlineStr">
        <is>
          <t>주주총회소집공고 (정정: 20260312)</t>
        </is>
      </c>
      <c r="F1889" s="3" t="inlineStr">
        <is>
          <t>코스리거글로벌</t>
        </is>
      </c>
      <c r="G1889" s="2" t="inlineStr">
        <is>
          <t>20260312000056</t>
        </is>
      </c>
      <c r="H1889" s="8">
        <f>HYPERLINK("https://dart.fss.or.kr/dsaf001/main.do?rcpNo=20260312000056", "공시열람")</f>
        <v/>
      </c>
    </row>
    <row r="1890">
      <c r="A1890" s="2" t="inlineStr">
        <is>
          <t>2026-03-10</t>
        </is>
      </c>
      <c r="B1890" s="3" t="inlineStr">
        <is>
          <t>에르코스</t>
        </is>
      </c>
      <c r="C1890" s="2" t="inlineStr">
        <is>
          <t>코스닥</t>
        </is>
      </c>
      <c r="D1890" s="2" t="inlineStr">
        <is>
          <t>435570</t>
        </is>
      </c>
      <c r="E1890" s="3" t="inlineStr">
        <is>
          <t xml:space="preserve">주주총회집중일개최사유신고              </t>
        </is>
      </c>
      <c r="F1890" s="3" t="inlineStr">
        <is>
          <t>에르코스</t>
        </is>
      </c>
      <c r="G1890" s="2" t="inlineStr">
        <is>
          <t>20260310900910</t>
        </is>
      </c>
      <c r="H1890" s="8">
        <f>HYPERLINK("https://dart.fss.or.kr/dsaf001/main.do?rcpNo=20260310900910", "공시열람")</f>
        <v/>
      </c>
    </row>
    <row r="1891">
      <c r="A1891" s="2" t="inlineStr">
        <is>
          <t>2026-03-10 (정정: 2026-03-10)</t>
        </is>
      </c>
      <c r="B1891" s="3" t="inlineStr">
        <is>
          <t>에르코스</t>
        </is>
      </c>
      <c r="C1891" s="2" t="inlineStr">
        <is>
          <t>코스닥</t>
        </is>
      </c>
      <c r="D1891" s="2" t="inlineStr">
        <is>
          <t>435570</t>
        </is>
      </c>
      <c r="E1891" s="3" t="inlineStr">
        <is>
          <t>주주총회소집결의               (정정: 20260310)</t>
        </is>
      </c>
      <c r="F1891" s="3" t="inlineStr">
        <is>
          <t>에르코스</t>
        </is>
      </c>
      <c r="G1891" s="2" t="inlineStr">
        <is>
          <t>20260310900894</t>
        </is>
      </c>
      <c r="H1891" s="8">
        <f>HYPERLINK("https://dart.fss.or.kr/dsaf001/main.do?rcpNo=20260310900894", "공시열람")</f>
        <v/>
      </c>
    </row>
    <row r="1892">
      <c r="A1892" s="2" t="inlineStr">
        <is>
          <t>2026-03-10</t>
        </is>
      </c>
      <c r="B1892" s="3" t="inlineStr">
        <is>
          <t>동일고무벨트</t>
        </is>
      </c>
      <c r="C1892" s="2" t="inlineStr">
        <is>
          <t>코스피</t>
        </is>
      </c>
      <c r="D1892" s="2" t="inlineStr">
        <is>
          <t>163560</t>
        </is>
      </c>
      <c r="E1892" s="3" t="inlineStr">
        <is>
          <t>주주총회소집공고</t>
        </is>
      </c>
      <c r="F1892" s="3" t="inlineStr">
        <is>
          <t>동일고무벨트</t>
        </is>
      </c>
      <c r="G1892" s="2" t="inlineStr">
        <is>
          <t>20260310002557</t>
        </is>
      </c>
      <c r="H1892" s="8">
        <f>HYPERLINK("https://dart.fss.or.kr/dsaf001/main.do?rcpNo=20260310002557", "공시열람")</f>
        <v/>
      </c>
    </row>
    <row r="1893">
      <c r="A1893" s="2" t="inlineStr">
        <is>
          <t>2026-03-10</t>
        </is>
      </c>
      <c r="B1893" s="3" t="inlineStr">
        <is>
          <t>한국피아이엠</t>
        </is>
      </c>
      <c r="C1893" s="2" t="inlineStr">
        <is>
          <t>코스닥</t>
        </is>
      </c>
      <c r="D1893" s="2" t="inlineStr">
        <is>
          <t>448900</t>
        </is>
      </c>
      <c r="E1893" s="3" t="inlineStr">
        <is>
          <t xml:space="preserve">주주총회소집결의              </t>
        </is>
      </c>
      <c r="F1893" s="3" t="inlineStr">
        <is>
          <t>한국피아이엠</t>
        </is>
      </c>
      <c r="G1893" s="2" t="inlineStr">
        <is>
          <t>20260310900728</t>
        </is>
      </c>
      <c r="H1893" s="8">
        <f>HYPERLINK("https://dart.fss.or.kr/dsaf001/main.do?rcpNo=20260310900728", "공시열람")</f>
        <v/>
      </c>
    </row>
    <row r="1894">
      <c r="A1894" s="2" t="inlineStr">
        <is>
          <t>2026-03-10</t>
        </is>
      </c>
      <c r="B1894" s="3" t="inlineStr">
        <is>
          <t>아모센스</t>
        </is>
      </c>
      <c r="C1894" s="2" t="inlineStr">
        <is>
          <t>코스닥</t>
        </is>
      </c>
      <c r="D1894" s="2" t="inlineStr">
        <is>
          <t>357580</t>
        </is>
      </c>
      <c r="E1894" s="3" t="inlineStr">
        <is>
          <t>[기재정정]주주총회소집공고</t>
        </is>
      </c>
      <c r="F1894" s="3" t="inlineStr">
        <is>
          <t>아모센스</t>
        </is>
      </c>
      <c r="G1894" s="2" t="inlineStr">
        <is>
          <t>20260310002550</t>
        </is>
      </c>
      <c r="H1894" s="8">
        <f>HYPERLINK("https://dart.fss.or.kr/dsaf001/main.do?rcpNo=20260310002550", "공시열람")</f>
        <v/>
      </c>
    </row>
    <row r="1895">
      <c r="A1895" s="2" t="inlineStr">
        <is>
          <t>2026-03-10</t>
        </is>
      </c>
      <c r="B1895" s="3" t="inlineStr">
        <is>
          <t>코스리거글로벌</t>
        </is>
      </c>
      <c r="C1895" s="2" t="inlineStr">
        <is>
          <t>코스닥</t>
        </is>
      </c>
      <c r="D1895" s="2" t="inlineStr">
        <is>
          <t>043710</t>
        </is>
      </c>
      <c r="E1895" s="3" t="inlineStr">
        <is>
          <t xml:space="preserve">주주총회집중일개최사유신고              </t>
        </is>
      </c>
      <c r="F1895" s="3" t="inlineStr">
        <is>
          <t>코스리거글로벌</t>
        </is>
      </c>
      <c r="G1895" s="2" t="inlineStr">
        <is>
          <t>20260310900918</t>
        </is>
      </c>
      <c r="H1895" s="8">
        <f>HYPERLINK("https://dart.fss.or.kr/dsaf001/main.do?rcpNo=20260310900918", "공시열람")</f>
        <v/>
      </c>
    </row>
    <row r="1896">
      <c r="A1896" s="2" t="inlineStr">
        <is>
          <t>2026-03-10</t>
        </is>
      </c>
      <c r="B1896" s="3" t="inlineStr">
        <is>
          <t>서울바이오시스</t>
        </is>
      </c>
      <c r="C1896" s="2" t="inlineStr">
        <is>
          <t>코스닥</t>
        </is>
      </c>
      <c r="D1896" s="2" t="inlineStr">
        <is>
          <t>092190</t>
        </is>
      </c>
      <c r="E1896" s="3" t="inlineStr">
        <is>
          <t xml:space="preserve">주주총회소집결의              </t>
        </is>
      </c>
      <c r="F1896" s="3" t="inlineStr">
        <is>
          <t>서울바이오시스</t>
        </is>
      </c>
      <c r="G1896" s="2" t="inlineStr">
        <is>
          <t>20260310900904</t>
        </is>
      </c>
      <c r="H1896" s="8">
        <f>HYPERLINK("https://dart.fss.or.kr/dsaf001/main.do?rcpNo=20260310900904", "공시열람")</f>
        <v/>
      </c>
    </row>
    <row r="1897">
      <c r="A1897" s="2" t="inlineStr">
        <is>
          <t>2026-03-10</t>
        </is>
      </c>
      <c r="B1897" s="3" t="inlineStr">
        <is>
          <t>코스리거글로벌</t>
        </is>
      </c>
      <c r="C1897" s="2" t="inlineStr">
        <is>
          <t>코스닥</t>
        </is>
      </c>
      <c r="D1897" s="2" t="inlineStr">
        <is>
          <t>043710</t>
        </is>
      </c>
      <c r="E1897" s="3" t="inlineStr">
        <is>
          <t xml:space="preserve">주주총회소집결의              </t>
        </is>
      </c>
      <c r="F1897" s="3" t="inlineStr">
        <is>
          <t>코스리거글로벌</t>
        </is>
      </c>
      <c r="G1897" s="2" t="inlineStr">
        <is>
          <t>20260310900900</t>
        </is>
      </c>
      <c r="H1897" s="8">
        <f>HYPERLINK("https://dart.fss.or.kr/dsaf001/main.do?rcpNo=20260310900900", "공시열람")</f>
        <v/>
      </c>
    </row>
    <row r="1898">
      <c r="A1898" s="2" t="inlineStr">
        <is>
          <t>2026-03-10</t>
        </is>
      </c>
      <c r="B1898" s="3" t="inlineStr">
        <is>
          <t>듀오백</t>
        </is>
      </c>
      <c r="C1898" s="2" t="inlineStr">
        <is>
          <t>코스닥</t>
        </is>
      </c>
      <c r="D1898" s="2" t="inlineStr">
        <is>
          <t>073190</t>
        </is>
      </c>
      <c r="E1898" s="3" t="inlineStr">
        <is>
          <t xml:space="preserve">주주총회집중일개최사유신고              </t>
        </is>
      </c>
      <c r="F1898" s="3" t="inlineStr">
        <is>
          <t>듀오백</t>
        </is>
      </c>
      <c r="G1898" s="2" t="inlineStr">
        <is>
          <t>20260310900898</t>
        </is>
      </c>
      <c r="H1898" s="8">
        <f>HYPERLINK("https://dart.fss.or.kr/dsaf001/main.do?rcpNo=20260310900898", "공시열람")</f>
        <v/>
      </c>
    </row>
    <row r="1899">
      <c r="A1899" s="2" t="inlineStr">
        <is>
          <t>2026-02-24 (정정: 2026-03-10)</t>
        </is>
      </c>
      <c r="B1899" s="3" t="inlineStr">
        <is>
          <t>동화약품</t>
        </is>
      </c>
      <c r="C1899" s="2" t="inlineStr">
        <is>
          <t>코스피</t>
        </is>
      </c>
      <c r="D1899" s="2" t="inlineStr">
        <is>
          <t>000020</t>
        </is>
      </c>
      <c r="E1899" s="3" t="inlineStr">
        <is>
          <t xml:space="preserve">[기재정정]주주총회소집결의              </t>
        </is>
      </c>
      <c r="F1899" s="3" t="inlineStr">
        <is>
          <t>동화약품</t>
        </is>
      </c>
      <c r="G1899" s="2" t="inlineStr">
        <is>
          <t>20260310800851</t>
        </is>
      </c>
      <c r="H1899" s="8">
        <f>HYPERLINK("https://dart.fss.or.kr/dsaf001/main.do?rcpNo=20260310800851", "공시열람")</f>
        <v/>
      </c>
    </row>
    <row r="1900">
      <c r="A1900" s="2" t="inlineStr">
        <is>
          <t>2026-03-10</t>
        </is>
      </c>
      <c r="B1900" s="3" t="inlineStr">
        <is>
          <t>동일스틸럭스</t>
        </is>
      </c>
      <c r="C1900" s="2" t="inlineStr">
        <is>
          <t>코스닥</t>
        </is>
      </c>
      <c r="D1900" s="2" t="inlineStr">
        <is>
          <t>023790</t>
        </is>
      </c>
      <c r="E1900" s="3" t="inlineStr">
        <is>
          <t xml:space="preserve">주주총회소집결의              </t>
        </is>
      </c>
      <c r="F1900" s="3" t="inlineStr">
        <is>
          <t>동일스틸럭스</t>
        </is>
      </c>
      <c r="G1900" s="2" t="inlineStr">
        <is>
          <t>20260310900858</t>
        </is>
      </c>
      <c r="H1900" s="8">
        <f>HYPERLINK("https://dart.fss.or.kr/dsaf001/main.do?rcpNo=20260310900858", "공시열람")</f>
        <v/>
      </c>
    </row>
    <row r="1901">
      <c r="A1901" s="2" t="inlineStr">
        <is>
          <t>2026-03-10</t>
        </is>
      </c>
      <c r="B1901" s="3" t="inlineStr">
        <is>
          <t>티디에스팜</t>
        </is>
      </c>
      <c r="C1901" s="2" t="inlineStr">
        <is>
          <t>코스닥</t>
        </is>
      </c>
      <c r="D1901" s="2" t="inlineStr">
        <is>
          <t>464280</t>
        </is>
      </c>
      <c r="E1901" s="3" t="inlineStr">
        <is>
          <t>주주총회소집공고</t>
        </is>
      </c>
      <c r="F1901" s="3" t="inlineStr">
        <is>
          <t>티디에스팜</t>
        </is>
      </c>
      <c r="G1901" s="2" t="inlineStr">
        <is>
          <t>20260310002539</t>
        </is>
      </c>
      <c r="H1901" s="8">
        <f>HYPERLINK("https://dart.fss.or.kr/dsaf001/main.do?rcpNo=20260310002539", "공시열람")</f>
        <v/>
      </c>
    </row>
    <row r="1902">
      <c r="A1902" s="2" t="inlineStr">
        <is>
          <t>2026-03-10 (정정: 2026-03-10)</t>
        </is>
      </c>
      <c r="B1902" s="3" t="inlineStr">
        <is>
          <t>오이솔루션</t>
        </is>
      </c>
      <c r="C1902" s="2" t="inlineStr">
        <is>
          <t>코스닥</t>
        </is>
      </c>
      <c r="D1902" s="2" t="inlineStr">
        <is>
          <t>138080</t>
        </is>
      </c>
      <c r="E1902" s="3" t="inlineStr">
        <is>
          <t>주주총회소집공고 (정정: 20260310)</t>
        </is>
      </c>
      <c r="F1902" s="3" t="inlineStr">
        <is>
          <t>오이솔루션</t>
        </is>
      </c>
      <c r="G1902" s="2" t="inlineStr">
        <is>
          <t>20260310900741</t>
        </is>
      </c>
      <c r="H1902" s="8">
        <f>HYPERLINK("https://dart.fss.or.kr/dsaf001/main.do?rcpNo=20260310900741", "공시열람")</f>
        <v/>
      </c>
    </row>
    <row r="1903">
      <c r="A1903" s="2" t="inlineStr">
        <is>
          <t>2026-03-10 (정정: 2026-03-10)</t>
        </is>
      </c>
      <c r="B1903" s="3" t="inlineStr">
        <is>
          <t>GS</t>
        </is>
      </c>
      <c r="C1903" s="2" t="inlineStr">
        <is>
          <t>코스피</t>
        </is>
      </c>
      <c r="D1903" s="2" t="inlineStr">
        <is>
          <t>078930</t>
        </is>
      </c>
      <c r="E1903" s="3" t="inlineStr">
        <is>
          <t>주주총회소집결의               (정정: 20260310) (정정: 20260310) (정정: 20260310)</t>
        </is>
      </c>
      <c r="F1903" s="3" t="inlineStr">
        <is>
          <t>GS</t>
        </is>
      </c>
      <c r="G1903" s="2" t="inlineStr">
        <is>
          <t>20260310800635</t>
        </is>
      </c>
      <c r="H1903" s="8">
        <f>HYPERLINK("https://dart.fss.or.kr/dsaf001/main.do?rcpNo=20260310800635", "공시열람")</f>
        <v/>
      </c>
    </row>
    <row r="1904">
      <c r="A1904" s="2" t="inlineStr">
        <is>
          <t>2026-02-25 (정정: 2026-03-10)</t>
        </is>
      </c>
      <c r="B1904" s="3" t="inlineStr">
        <is>
          <t>성우하이텍</t>
        </is>
      </c>
      <c r="C1904" s="2" t="inlineStr">
        <is>
          <t>코스닥</t>
        </is>
      </c>
      <c r="D1904" s="2" t="inlineStr">
        <is>
          <t>015750</t>
        </is>
      </c>
      <c r="E1904" s="3" t="inlineStr">
        <is>
          <t xml:space="preserve">[기재정정]주주총회소집결의              </t>
        </is>
      </c>
      <c r="F1904" s="3" t="inlineStr">
        <is>
          <t>성우하이텍</t>
        </is>
      </c>
      <c r="G1904" s="2" t="inlineStr">
        <is>
          <t>20260310900879</t>
        </is>
      </c>
      <c r="H1904" s="8">
        <f>HYPERLINK("https://dart.fss.or.kr/dsaf001/main.do?rcpNo=20260310900879", "공시열람")</f>
        <v/>
      </c>
    </row>
    <row r="1905">
      <c r="A1905" s="2" t="inlineStr">
        <is>
          <t>2026-03-10</t>
        </is>
      </c>
      <c r="B1905" s="3" t="inlineStr">
        <is>
          <t>듀오백</t>
        </is>
      </c>
      <c r="C1905" s="2" t="inlineStr">
        <is>
          <t>코스닥</t>
        </is>
      </c>
      <c r="D1905" s="2" t="inlineStr">
        <is>
          <t>073190</t>
        </is>
      </c>
      <c r="E1905" s="3" t="inlineStr">
        <is>
          <t>주주총회소집공고</t>
        </is>
      </c>
      <c r="F1905" s="3" t="inlineStr">
        <is>
          <t>듀오백</t>
        </is>
      </c>
      <c r="G1905" s="2" t="inlineStr">
        <is>
          <t>20260310002532</t>
        </is>
      </c>
      <c r="H1905" s="8">
        <f>HYPERLINK("https://dart.fss.or.kr/dsaf001/main.do?rcpNo=20260310002532", "공시열람")</f>
        <v/>
      </c>
    </row>
    <row r="1906">
      <c r="A1906" s="2" t="inlineStr">
        <is>
          <t>2026-03-10</t>
        </is>
      </c>
      <c r="B1906" s="3" t="inlineStr">
        <is>
          <t>이브이첨단소재</t>
        </is>
      </c>
      <c r="C1906" s="2" t="inlineStr">
        <is>
          <t>코스닥</t>
        </is>
      </c>
      <c r="D1906" s="2" t="inlineStr">
        <is>
          <t>131400</t>
        </is>
      </c>
      <c r="E1906" s="3" t="inlineStr">
        <is>
          <t xml:space="preserve">주주총회소집결의              </t>
        </is>
      </c>
      <c r="F1906" s="3" t="inlineStr">
        <is>
          <t>이브이첨단소재</t>
        </is>
      </c>
      <c r="G1906" s="2" t="inlineStr">
        <is>
          <t>20260310900871</t>
        </is>
      </c>
      <c r="H1906" s="8">
        <f>HYPERLINK("https://dart.fss.or.kr/dsaf001/main.do?rcpNo=20260310900871", "공시열람")</f>
        <v/>
      </c>
    </row>
    <row r="1907">
      <c r="A1907" s="2" t="inlineStr">
        <is>
          <t>2026-03-10</t>
        </is>
      </c>
      <c r="B1907" s="3" t="inlineStr">
        <is>
          <t>드림인사이트</t>
        </is>
      </c>
      <c r="C1907" s="2" t="inlineStr">
        <is>
          <t>코스닥</t>
        </is>
      </c>
      <c r="D1907" s="2" t="inlineStr">
        <is>
          <t>362990</t>
        </is>
      </c>
      <c r="E1907" s="3" t="inlineStr">
        <is>
          <t xml:space="preserve">주주총회소집결의              </t>
        </is>
      </c>
      <c r="F1907" s="3" t="inlineStr">
        <is>
          <t>드림인사이트</t>
        </is>
      </c>
      <c r="G1907" s="2" t="inlineStr">
        <is>
          <t>20260310900846</t>
        </is>
      </c>
      <c r="H1907" s="8">
        <f>HYPERLINK("https://dart.fss.or.kr/dsaf001/main.do?rcpNo=20260310900846", "공시열람")</f>
        <v/>
      </c>
    </row>
    <row r="1908">
      <c r="A1908" s="2" t="inlineStr">
        <is>
          <t>2026-03-10</t>
        </is>
      </c>
      <c r="B1908" s="3" t="inlineStr">
        <is>
          <t>한중엔시에스</t>
        </is>
      </c>
      <c r="C1908" s="2" t="inlineStr">
        <is>
          <t>코스닥</t>
        </is>
      </c>
      <c r="D1908" s="2" t="inlineStr">
        <is>
          <t>107640</t>
        </is>
      </c>
      <c r="E1908" s="3" t="inlineStr">
        <is>
          <t xml:space="preserve">주주총회소집결의              </t>
        </is>
      </c>
      <c r="F1908" s="3" t="inlineStr">
        <is>
          <t>한중엔시에스</t>
        </is>
      </c>
      <c r="G1908" s="2" t="inlineStr">
        <is>
          <t>20260310900838</t>
        </is>
      </c>
      <c r="H1908" s="8">
        <f>HYPERLINK("https://dart.fss.or.kr/dsaf001/main.do?rcpNo=20260310900838", "공시열람")</f>
        <v/>
      </c>
    </row>
    <row r="1909">
      <c r="A1909" s="2" t="inlineStr">
        <is>
          <t>2026-03-10</t>
        </is>
      </c>
      <c r="B1909" s="3" t="inlineStr">
        <is>
          <t>석경에이티</t>
        </is>
      </c>
      <c r="C1909" s="2" t="inlineStr">
        <is>
          <t>코스닥</t>
        </is>
      </c>
      <c r="D1909" s="2" t="inlineStr">
        <is>
          <t>357550</t>
        </is>
      </c>
      <c r="E1909" s="3" t="inlineStr">
        <is>
          <t xml:space="preserve">주주총회집중일개최사유신고              </t>
        </is>
      </c>
      <c r="F1909" s="3" t="inlineStr">
        <is>
          <t>석경에이티</t>
        </is>
      </c>
      <c r="G1909" s="2" t="inlineStr">
        <is>
          <t>20260310900874</t>
        </is>
      </c>
      <c r="H1909" s="8">
        <f>HYPERLINK("https://dart.fss.or.kr/dsaf001/main.do?rcpNo=20260310900874", "공시열람")</f>
        <v/>
      </c>
    </row>
    <row r="1910">
      <c r="A1910" s="2" t="inlineStr">
        <is>
          <t>2026-03-10</t>
        </is>
      </c>
      <c r="B1910" s="3" t="inlineStr">
        <is>
          <t>디와이씨</t>
        </is>
      </c>
      <c r="C1910" s="2" t="inlineStr">
        <is>
          <t>코스닥</t>
        </is>
      </c>
      <c r="D1910" s="2" t="inlineStr">
        <is>
          <t>310870</t>
        </is>
      </c>
      <c r="E1910" s="3" t="inlineStr">
        <is>
          <t>주주총회소집공고</t>
        </is>
      </c>
      <c r="F1910" s="3" t="inlineStr">
        <is>
          <t>디와이씨</t>
        </is>
      </c>
      <c r="G1910" s="2" t="inlineStr">
        <is>
          <t>20260310002523</t>
        </is>
      </c>
      <c r="H1910" s="8">
        <f>HYPERLINK("https://dart.fss.or.kr/dsaf001/main.do?rcpNo=20260310002523", "공시열람")</f>
        <v/>
      </c>
    </row>
    <row r="1911">
      <c r="A1911" s="2" t="inlineStr">
        <is>
          <t>2026-03-10</t>
        </is>
      </c>
      <c r="B1911" s="3" t="inlineStr">
        <is>
          <t>케이비아이동국실업</t>
        </is>
      </c>
      <c r="C1911" s="2" t="inlineStr">
        <is>
          <t>코스피</t>
        </is>
      </c>
      <c r="D1911" s="2" t="inlineStr">
        <is>
          <t>001620</t>
        </is>
      </c>
      <c r="E1911" s="3" t="inlineStr">
        <is>
          <t xml:space="preserve">주주총회집중일개최사유신고              </t>
        </is>
      </c>
      <c r="F1911" s="3" t="inlineStr">
        <is>
          <t>케이비아이동국실업</t>
        </is>
      </c>
      <c r="G1911" s="2" t="inlineStr">
        <is>
          <t>20260310800856</t>
        </is>
      </c>
      <c r="H1911" s="8">
        <f>HYPERLINK("https://dart.fss.or.kr/dsaf001/main.do?rcpNo=20260310800856", "공시열람")</f>
        <v/>
      </c>
    </row>
    <row r="1912">
      <c r="A1912" s="2" t="inlineStr">
        <is>
          <t>2026-03-10</t>
        </is>
      </c>
      <c r="B1912" s="3" t="inlineStr">
        <is>
          <t>지투파워</t>
        </is>
      </c>
      <c r="C1912" s="2" t="inlineStr">
        <is>
          <t>코스닥</t>
        </is>
      </c>
      <c r="D1912" s="2" t="inlineStr">
        <is>
          <t>388050</t>
        </is>
      </c>
      <c r="E1912" s="3" t="inlineStr">
        <is>
          <t>주주총회소집공고</t>
        </is>
      </c>
      <c r="F1912" s="3" t="inlineStr">
        <is>
          <t>지투파워</t>
        </is>
      </c>
      <c r="G1912" s="2" t="inlineStr">
        <is>
          <t>20260310002517</t>
        </is>
      </c>
      <c r="H1912" s="8">
        <f>HYPERLINK("https://dart.fss.or.kr/dsaf001/main.do?rcpNo=20260310002517", "공시열람")</f>
        <v/>
      </c>
    </row>
    <row r="1913">
      <c r="A1913" s="2" t="inlineStr">
        <is>
          <t>2026-03-10</t>
        </is>
      </c>
      <c r="B1913" s="3" t="inlineStr">
        <is>
          <t>KC산업</t>
        </is>
      </c>
      <c r="C1913" s="2" t="inlineStr">
        <is>
          <t>코넥스</t>
        </is>
      </c>
      <c r="D1913" s="2" t="inlineStr">
        <is>
          <t>112190</t>
        </is>
      </c>
      <c r="E1913" s="3" t="inlineStr">
        <is>
          <t xml:space="preserve">[기재정정]주주총회소집결의              </t>
        </is>
      </c>
      <c r="F1913" s="3" t="inlineStr">
        <is>
          <t>KC산업</t>
        </is>
      </c>
      <c r="G1913" s="2" t="inlineStr">
        <is>
          <t>20260310600854</t>
        </is>
      </c>
      <c r="H1913" s="8">
        <f>HYPERLINK("https://dart.fss.or.kr/dsaf001/main.do?rcpNo=20260310600854", "공시열람")</f>
        <v/>
      </c>
    </row>
    <row r="1914">
      <c r="A1914" s="2" t="inlineStr">
        <is>
          <t>2026-03-10</t>
        </is>
      </c>
      <c r="B1914" s="3" t="inlineStr">
        <is>
          <t>유진테크놀로지</t>
        </is>
      </c>
      <c r="C1914" s="2" t="inlineStr">
        <is>
          <t>코스닥</t>
        </is>
      </c>
      <c r="D1914" s="2" t="inlineStr">
        <is>
          <t>240600</t>
        </is>
      </c>
      <c r="E1914" s="3" t="inlineStr">
        <is>
          <t>[기재정정]주주총회소집공고</t>
        </is>
      </c>
      <c r="F1914" s="3" t="inlineStr">
        <is>
          <t>유진테크놀로지</t>
        </is>
      </c>
      <c r="G1914" s="2" t="inlineStr">
        <is>
          <t>20260310002513</t>
        </is>
      </c>
      <c r="H1914" s="8">
        <f>HYPERLINK("https://dart.fss.or.kr/dsaf001/main.do?rcpNo=20260310002513", "공시열람")</f>
        <v/>
      </c>
    </row>
    <row r="1915">
      <c r="A1915" s="2" t="inlineStr">
        <is>
          <t>2026-03-10</t>
        </is>
      </c>
      <c r="B1915" s="3" t="inlineStr">
        <is>
          <t>원텍</t>
        </is>
      </c>
      <c r="C1915" s="2" t="inlineStr">
        <is>
          <t>코스닥</t>
        </is>
      </c>
      <c r="D1915" s="2" t="inlineStr">
        <is>
          <t>336570</t>
        </is>
      </c>
      <c r="E1915" s="3" t="inlineStr">
        <is>
          <t>주주총회소집공고</t>
        </is>
      </c>
      <c r="F1915" s="3" t="inlineStr">
        <is>
          <t>원텍</t>
        </is>
      </c>
      <c r="G1915" s="2" t="inlineStr">
        <is>
          <t>20260310002512</t>
        </is>
      </c>
      <c r="H1915" s="8">
        <f>HYPERLINK("https://dart.fss.or.kr/dsaf001/main.do?rcpNo=20260310002512", "공시열람")</f>
        <v/>
      </c>
    </row>
    <row r="1916">
      <c r="A1916" s="2" t="inlineStr">
        <is>
          <t>2026-03-10</t>
        </is>
      </c>
      <c r="B1916" s="3" t="inlineStr">
        <is>
          <t>대상홀딩스</t>
        </is>
      </c>
      <c r="C1916" s="2" t="inlineStr">
        <is>
          <t>코스피</t>
        </is>
      </c>
      <c r="D1916" s="2" t="inlineStr">
        <is>
          <t>084690</t>
        </is>
      </c>
      <c r="E1916" s="3" t="inlineStr">
        <is>
          <t>주주총회소집공고</t>
        </is>
      </c>
      <c r="F1916" s="3" t="inlineStr">
        <is>
          <t>대상홀딩스</t>
        </is>
      </c>
      <c r="G1916" s="2" t="inlineStr">
        <is>
          <t>20260310002510</t>
        </is>
      </c>
      <c r="H1916" s="8">
        <f>HYPERLINK("https://dart.fss.or.kr/dsaf001/main.do?rcpNo=20260310002510", "공시열람")</f>
        <v/>
      </c>
    </row>
    <row r="1917">
      <c r="A1917" s="2" t="inlineStr">
        <is>
          <t>2026-03-10</t>
        </is>
      </c>
      <c r="B1917" s="3" t="inlineStr">
        <is>
          <t>팅크웨어</t>
        </is>
      </c>
      <c r="C1917" s="2" t="inlineStr">
        <is>
          <t>코스닥</t>
        </is>
      </c>
      <c r="D1917" s="2" t="inlineStr">
        <is>
          <t>084730</t>
        </is>
      </c>
      <c r="E1917" s="3" t="inlineStr">
        <is>
          <t>주주총회소집공고</t>
        </is>
      </c>
      <c r="F1917" s="3" t="inlineStr">
        <is>
          <t>팅크웨어</t>
        </is>
      </c>
      <c r="G1917" s="2" t="inlineStr">
        <is>
          <t>20260310002509</t>
        </is>
      </c>
      <c r="H1917" s="8">
        <f>HYPERLINK("https://dart.fss.or.kr/dsaf001/main.do?rcpNo=20260310002509", "공시열람")</f>
        <v/>
      </c>
    </row>
    <row r="1918">
      <c r="A1918" s="2" t="inlineStr">
        <is>
          <t>2026-03-10</t>
        </is>
      </c>
      <c r="B1918" s="3" t="inlineStr">
        <is>
          <t>넥슨게임즈</t>
        </is>
      </c>
      <c r="C1918" s="2" t="inlineStr">
        <is>
          <t>코스닥</t>
        </is>
      </c>
      <c r="D1918" s="2" t="inlineStr">
        <is>
          <t>225570</t>
        </is>
      </c>
      <c r="E1918" s="3" t="inlineStr">
        <is>
          <t xml:space="preserve">주주총회집중일개최사유신고              </t>
        </is>
      </c>
      <c r="F1918" s="3" t="inlineStr">
        <is>
          <t>넥슨게임즈</t>
        </is>
      </c>
      <c r="G1918" s="2" t="inlineStr">
        <is>
          <t>20260310900788</t>
        </is>
      </c>
      <c r="H1918" s="8">
        <f>HYPERLINK("https://dart.fss.or.kr/dsaf001/main.do?rcpNo=20260310900788", "공시열람")</f>
        <v/>
      </c>
    </row>
    <row r="1919">
      <c r="A1919" s="2" t="inlineStr">
        <is>
          <t>2026-03-10</t>
        </is>
      </c>
      <c r="B1919" s="3" t="inlineStr">
        <is>
          <t>티앤엘</t>
        </is>
      </c>
      <c r="C1919" s="2" t="inlineStr">
        <is>
          <t>코스닥</t>
        </is>
      </c>
      <c r="D1919" s="2" t="inlineStr">
        <is>
          <t>340570</t>
        </is>
      </c>
      <c r="E1919" s="3" t="inlineStr">
        <is>
          <t>주주총회소집공고</t>
        </is>
      </c>
      <c r="F1919" s="3" t="inlineStr">
        <is>
          <t>티앤엘</t>
        </is>
      </c>
      <c r="G1919" s="2" t="inlineStr">
        <is>
          <t>20260310002508</t>
        </is>
      </c>
      <c r="H1919" s="8">
        <f>HYPERLINK("https://dart.fss.or.kr/dsaf001/main.do?rcpNo=20260310002508", "공시열람")</f>
        <v/>
      </c>
    </row>
    <row r="1920">
      <c r="A1920" s="2" t="inlineStr">
        <is>
          <t>2026-03-10</t>
        </is>
      </c>
      <c r="B1920" s="3" t="inlineStr">
        <is>
          <t>케이비아이동국실업</t>
        </is>
      </c>
      <c r="C1920" s="2" t="inlineStr">
        <is>
          <t>코스피</t>
        </is>
      </c>
      <c r="D1920" s="2" t="inlineStr">
        <is>
          <t>001620</t>
        </is>
      </c>
      <c r="E1920" s="3" t="inlineStr">
        <is>
          <t>주주총회소집공고</t>
        </is>
      </c>
      <c r="F1920" s="3" t="inlineStr">
        <is>
          <t>케이비아이동국실업</t>
        </is>
      </c>
      <c r="G1920" s="2" t="inlineStr">
        <is>
          <t>20260310002504</t>
        </is>
      </c>
      <c r="H1920" s="8">
        <f>HYPERLINK("https://dart.fss.or.kr/dsaf001/main.do?rcpNo=20260310002504", "공시열람")</f>
        <v/>
      </c>
    </row>
    <row r="1921">
      <c r="A1921" s="2" t="inlineStr">
        <is>
          <t>2026-03-10</t>
        </is>
      </c>
      <c r="B1921" s="3" t="inlineStr">
        <is>
          <t>듀켐바이오</t>
        </is>
      </c>
      <c r="C1921" s="2" t="inlineStr">
        <is>
          <t>코스닥</t>
        </is>
      </c>
      <c r="D1921" s="2" t="inlineStr">
        <is>
          <t>176750</t>
        </is>
      </c>
      <c r="E1921" s="3" t="inlineStr">
        <is>
          <t>주주총회소집공고</t>
        </is>
      </c>
      <c r="F1921" s="3" t="inlineStr">
        <is>
          <t>듀켐바이오</t>
        </is>
      </c>
      <c r="G1921" s="2" t="inlineStr">
        <is>
          <t>20260310002502</t>
        </is>
      </c>
      <c r="H1921" s="8">
        <f>HYPERLINK("https://dart.fss.or.kr/dsaf001/main.do?rcpNo=20260310002502", "공시열람")</f>
        <v/>
      </c>
    </row>
    <row r="1922">
      <c r="A1922" s="2" t="inlineStr">
        <is>
          <t>2026-03-10</t>
        </is>
      </c>
      <c r="B1922" s="3" t="inlineStr">
        <is>
          <t>케이비아이동국실업</t>
        </is>
      </c>
      <c r="C1922" s="2" t="inlineStr">
        <is>
          <t>코스피</t>
        </is>
      </c>
      <c r="D1922" s="2" t="inlineStr">
        <is>
          <t>001620</t>
        </is>
      </c>
      <c r="E1922" s="3" t="inlineStr">
        <is>
          <t xml:space="preserve">주주총회소집결의              </t>
        </is>
      </c>
      <c r="F1922" s="3" t="inlineStr">
        <is>
          <t>케이비아이동국실업</t>
        </is>
      </c>
      <c r="G1922" s="2" t="inlineStr">
        <is>
          <t>20260310800796</t>
        </is>
      </c>
      <c r="H1922" s="8">
        <f>HYPERLINK("https://dart.fss.or.kr/dsaf001/main.do?rcpNo=20260310800796", "공시열람")</f>
        <v/>
      </c>
    </row>
    <row r="1923">
      <c r="A1923" s="2" t="inlineStr">
        <is>
          <t>2026-03-10</t>
        </is>
      </c>
      <c r="B1923" s="3" t="inlineStr">
        <is>
          <t>신일제약</t>
        </is>
      </c>
      <c r="C1923" s="2" t="inlineStr">
        <is>
          <t>코스닥</t>
        </is>
      </c>
      <c r="D1923" s="2" t="inlineStr">
        <is>
          <t>012790</t>
        </is>
      </c>
      <c r="E1923" s="3" t="inlineStr">
        <is>
          <t>주주총회소집공고</t>
        </is>
      </c>
      <c r="F1923" s="3" t="inlineStr">
        <is>
          <t>신일제약</t>
        </is>
      </c>
      <c r="G1923" s="2" t="inlineStr">
        <is>
          <t>20260310002499</t>
        </is>
      </c>
      <c r="H1923" s="8">
        <f>HYPERLINK("https://dart.fss.or.kr/dsaf001/main.do?rcpNo=20260310002499", "공시열람")</f>
        <v/>
      </c>
    </row>
    <row r="1924">
      <c r="A1924" s="2" t="inlineStr">
        <is>
          <t>2026-03-10</t>
        </is>
      </c>
      <c r="B1924" s="3" t="inlineStr">
        <is>
          <t>큐라켐</t>
        </is>
      </c>
      <c r="C1924" s="2" t="inlineStr">
        <is>
          <t>코넥스</t>
        </is>
      </c>
      <c r="D1924" s="2" t="inlineStr">
        <is>
          <t>456190</t>
        </is>
      </c>
      <c r="E1924" s="3" t="inlineStr">
        <is>
          <t>주주총회소집공고</t>
        </is>
      </c>
      <c r="F1924" s="3" t="inlineStr">
        <is>
          <t>큐라켐</t>
        </is>
      </c>
      <c r="G1924" s="2" t="inlineStr">
        <is>
          <t>20260310002497</t>
        </is>
      </c>
      <c r="H1924" s="8">
        <f>HYPERLINK("https://dart.fss.or.kr/dsaf001/main.do?rcpNo=20260310002497", "공시열람")</f>
        <v/>
      </c>
    </row>
    <row r="1925">
      <c r="A1925" s="2" t="inlineStr">
        <is>
          <t>2026-03-10</t>
        </is>
      </c>
      <c r="B1925" s="3" t="inlineStr">
        <is>
          <t>팬엔터테인먼트</t>
        </is>
      </c>
      <c r="C1925" s="2" t="inlineStr">
        <is>
          <t>코스닥</t>
        </is>
      </c>
      <c r="D1925" s="2" t="inlineStr">
        <is>
          <t>068050</t>
        </is>
      </c>
      <c r="E1925" s="3" t="inlineStr">
        <is>
          <t>주주총회소집공고</t>
        </is>
      </c>
      <c r="F1925" s="3" t="inlineStr">
        <is>
          <t>팬엔터테인먼트</t>
        </is>
      </c>
      <c r="G1925" s="2" t="inlineStr">
        <is>
          <t>20260310002491</t>
        </is>
      </c>
      <c r="H1925" s="8">
        <f>HYPERLINK("https://dart.fss.or.kr/dsaf001/main.do?rcpNo=20260310002491", "공시열람")</f>
        <v/>
      </c>
    </row>
    <row r="1926">
      <c r="A1926" s="2" t="inlineStr">
        <is>
          <t>2026-03-10</t>
        </is>
      </c>
      <c r="B1926" s="3" t="inlineStr">
        <is>
          <t>큐라켐</t>
        </is>
      </c>
      <c r="C1926" s="2" t="inlineStr">
        <is>
          <t>코넥스</t>
        </is>
      </c>
      <c r="D1926" s="2" t="inlineStr">
        <is>
          <t>456190</t>
        </is>
      </c>
      <c r="E1926" s="3" t="inlineStr">
        <is>
          <t xml:space="preserve">주주총회소집결의              </t>
        </is>
      </c>
      <c r="F1926" s="3" t="inlineStr">
        <is>
          <t>큐라켐</t>
        </is>
      </c>
      <c r="G1926" s="2" t="inlineStr">
        <is>
          <t>20260310600778</t>
        </is>
      </c>
      <c r="H1926" s="8">
        <f>HYPERLINK("https://dart.fss.or.kr/dsaf001/main.do?rcpNo=20260310600778", "공시열람")</f>
        <v/>
      </c>
    </row>
    <row r="1927">
      <c r="A1927" s="2" t="inlineStr">
        <is>
          <t>2026-03-10</t>
        </is>
      </c>
      <c r="B1927" s="3" t="inlineStr">
        <is>
          <t>성광벤드</t>
        </is>
      </c>
      <c r="C1927" s="2" t="inlineStr">
        <is>
          <t>코스닥</t>
        </is>
      </c>
      <c r="D1927" s="2" t="inlineStr">
        <is>
          <t>014620</t>
        </is>
      </c>
      <c r="E1927" s="3" t="inlineStr">
        <is>
          <t>주주총회소집공고</t>
        </is>
      </c>
      <c r="F1927" s="3" t="inlineStr">
        <is>
          <t>성광벤드</t>
        </is>
      </c>
      <c r="G1927" s="2" t="inlineStr">
        <is>
          <t>20260310002483</t>
        </is>
      </c>
      <c r="H1927" s="8">
        <f>HYPERLINK("https://dart.fss.or.kr/dsaf001/main.do?rcpNo=20260310002483", "공시열람")</f>
        <v/>
      </c>
    </row>
    <row r="1928">
      <c r="A1928" s="2" t="inlineStr">
        <is>
          <t>2026-03-10</t>
        </is>
      </c>
      <c r="B1928" s="3" t="inlineStr">
        <is>
          <t>석경에이티</t>
        </is>
      </c>
      <c r="C1928" s="2" t="inlineStr">
        <is>
          <t>코스닥</t>
        </is>
      </c>
      <c r="D1928" s="2" t="inlineStr">
        <is>
          <t>357550</t>
        </is>
      </c>
      <c r="E1928" s="3" t="inlineStr">
        <is>
          <t xml:space="preserve">주주총회소집결의              </t>
        </is>
      </c>
      <c r="F1928" s="3" t="inlineStr">
        <is>
          <t>석경에이티</t>
        </is>
      </c>
      <c r="G1928" s="2" t="inlineStr">
        <is>
          <t>20260310900789</t>
        </is>
      </c>
      <c r="H1928" s="8">
        <f>HYPERLINK("https://dart.fss.or.kr/dsaf001/main.do?rcpNo=20260310900789", "공시열람")</f>
        <v/>
      </c>
    </row>
    <row r="1929">
      <c r="A1929" s="2" t="inlineStr">
        <is>
          <t>2026-03-10</t>
        </is>
      </c>
      <c r="B1929" s="3" t="inlineStr">
        <is>
          <t>KG케미칼</t>
        </is>
      </c>
      <c r="C1929" s="2" t="inlineStr">
        <is>
          <t>코스피</t>
        </is>
      </c>
      <c r="D1929" s="2" t="inlineStr">
        <is>
          <t>001390</t>
        </is>
      </c>
      <c r="E1929" s="3" t="inlineStr">
        <is>
          <t xml:space="preserve">회사합병결정(종속회사의주요경영사항)              </t>
        </is>
      </c>
      <c r="F1929" s="3" t="inlineStr">
        <is>
          <t>KG케미칼</t>
        </is>
      </c>
      <c r="G1929" s="2" t="inlineStr">
        <is>
          <t>20260310800816</t>
        </is>
      </c>
      <c r="H1929" s="8">
        <f>HYPERLINK("https://dart.fss.or.kr/dsaf001/main.do?rcpNo=20260310800816", "공시열람")</f>
        <v/>
      </c>
    </row>
    <row r="1930">
      <c r="A1930" s="2" t="inlineStr">
        <is>
          <t>2026-03-10</t>
        </is>
      </c>
      <c r="B1930" s="3" t="inlineStr">
        <is>
          <t>진양폴리우레탄</t>
        </is>
      </c>
      <c r="C1930" s="2" t="inlineStr">
        <is>
          <t>코스피</t>
        </is>
      </c>
      <c r="D1930" s="2" t="inlineStr">
        <is>
          <t>010640</t>
        </is>
      </c>
      <c r="E1930" s="3" t="inlineStr">
        <is>
          <t xml:space="preserve">정기주주총회결과              </t>
        </is>
      </c>
      <c r="F1930" s="3" t="inlineStr">
        <is>
          <t>진양폴리우레탄</t>
        </is>
      </c>
      <c r="G1930" s="2" t="inlineStr">
        <is>
          <t>20260310800750</t>
        </is>
      </c>
      <c r="H1930" s="8">
        <f>HYPERLINK("https://dart.fss.or.kr/dsaf001/main.do?rcpNo=20260310800750", "공시열람")</f>
        <v/>
      </c>
    </row>
    <row r="1931">
      <c r="A1931" s="2" t="inlineStr">
        <is>
          <t>2026-03-10</t>
        </is>
      </c>
      <c r="B1931" s="3" t="inlineStr">
        <is>
          <t>디와이씨</t>
        </is>
      </c>
      <c r="C1931" s="2" t="inlineStr">
        <is>
          <t>코스닥</t>
        </is>
      </c>
      <c r="D1931" s="2" t="inlineStr">
        <is>
          <t>310870</t>
        </is>
      </c>
      <c r="E1931" s="3" t="inlineStr">
        <is>
          <t xml:space="preserve">주주총회집중일개최사유신고              </t>
        </is>
      </c>
      <c r="F1931" s="3" t="inlineStr">
        <is>
          <t>디와이씨</t>
        </is>
      </c>
      <c r="G1931" s="2" t="inlineStr">
        <is>
          <t>20260310900757</t>
        </is>
      </c>
      <c r="H1931" s="8">
        <f>HYPERLINK("https://dart.fss.or.kr/dsaf001/main.do?rcpNo=20260310900757", "공시열람")</f>
        <v/>
      </c>
    </row>
    <row r="1932">
      <c r="A1932" s="2" t="inlineStr">
        <is>
          <t>2026-03-10</t>
        </is>
      </c>
      <c r="B1932" s="3" t="inlineStr">
        <is>
          <t>디와이씨</t>
        </is>
      </c>
      <c r="C1932" s="2" t="inlineStr">
        <is>
          <t>코스닥</t>
        </is>
      </c>
      <c r="D1932" s="2" t="inlineStr">
        <is>
          <t>310870</t>
        </is>
      </c>
      <c r="E1932" s="3" t="inlineStr">
        <is>
          <t xml:space="preserve">주주총회소집결의              </t>
        </is>
      </c>
      <c r="F1932" s="3" t="inlineStr">
        <is>
          <t>디와이씨</t>
        </is>
      </c>
      <c r="G1932" s="2" t="inlineStr">
        <is>
          <t>20260310900749</t>
        </is>
      </c>
      <c r="H1932" s="8">
        <f>HYPERLINK("https://dart.fss.or.kr/dsaf001/main.do?rcpNo=20260310900749", "공시열람")</f>
        <v/>
      </c>
    </row>
    <row r="1933">
      <c r="A1933" s="2" t="inlineStr">
        <is>
          <t>2026-03-10</t>
        </is>
      </c>
      <c r="B1933" s="3" t="inlineStr">
        <is>
          <t>유진테크놀로지</t>
        </is>
      </c>
      <c r="C1933" s="2" t="inlineStr">
        <is>
          <t>코스닥</t>
        </is>
      </c>
      <c r="D1933" s="2" t="inlineStr">
        <is>
          <t>240600</t>
        </is>
      </c>
      <c r="E1933" s="3" t="inlineStr">
        <is>
          <t>주주총회소집공고</t>
        </is>
      </c>
      <c r="F1933" s="3" t="inlineStr">
        <is>
          <t>유진테크놀로지</t>
        </is>
      </c>
      <c r="G1933" s="2" t="inlineStr">
        <is>
          <t>20260310002477</t>
        </is>
      </c>
      <c r="H1933" s="8">
        <f>HYPERLINK("https://dart.fss.or.kr/dsaf001/main.do?rcpNo=20260310002477", "공시열람")</f>
        <v/>
      </c>
    </row>
    <row r="1934">
      <c r="A1934" s="2" t="inlineStr">
        <is>
          <t>2026-03-10 (정정: 2026-03-17)</t>
        </is>
      </c>
      <c r="B1934" s="3" t="inlineStr">
        <is>
          <t>액트로</t>
        </is>
      </c>
      <c r="C1934" s="2" t="inlineStr">
        <is>
          <t>코스닥</t>
        </is>
      </c>
      <c r="D1934" s="2" t="inlineStr">
        <is>
          <t>290740</t>
        </is>
      </c>
      <c r="E1934" s="3" t="inlineStr">
        <is>
          <t>주주총회소집공고 (정정: 20260312) (정정: 20260317)</t>
        </is>
      </c>
      <c r="F1934" s="3" t="inlineStr">
        <is>
          <t>액트로</t>
        </is>
      </c>
      <c r="G1934" s="2" t="inlineStr">
        <is>
          <t>20260317000776</t>
        </is>
      </c>
      <c r="H1934" s="8">
        <f>HYPERLINK("https://dart.fss.or.kr/dsaf001/main.do?rcpNo=20260317000776", "공시열람")</f>
        <v/>
      </c>
    </row>
    <row r="1935">
      <c r="A1935" s="2" t="inlineStr">
        <is>
          <t>2026-03-10</t>
        </is>
      </c>
      <c r="B1935" s="3" t="inlineStr">
        <is>
          <t>성광벤드</t>
        </is>
      </c>
      <c r="C1935" s="2" t="inlineStr">
        <is>
          <t>코스닥</t>
        </is>
      </c>
      <c r="D1935" s="2" t="inlineStr">
        <is>
          <t>014620</t>
        </is>
      </c>
      <c r="E1935" s="3" t="inlineStr">
        <is>
          <t xml:space="preserve">주주총회집중일개최사유신고              </t>
        </is>
      </c>
      <c r="F1935" s="3" t="inlineStr">
        <is>
          <t>성광벤드</t>
        </is>
      </c>
      <c r="G1935" s="2" t="inlineStr">
        <is>
          <t>20260310900661</t>
        </is>
      </c>
      <c r="H1935" s="8">
        <f>HYPERLINK("https://dart.fss.or.kr/dsaf001/main.do?rcpNo=20260310900661", "공시열람")</f>
        <v/>
      </c>
    </row>
    <row r="1936">
      <c r="A1936" s="2" t="inlineStr">
        <is>
          <t>2026-03-10</t>
        </is>
      </c>
      <c r="B1936" s="3" t="inlineStr">
        <is>
          <t>팬엔터테인먼트</t>
        </is>
      </c>
      <c r="C1936" s="2" t="inlineStr">
        <is>
          <t>코스닥</t>
        </is>
      </c>
      <c r="D1936" s="2" t="inlineStr">
        <is>
          <t>068050</t>
        </is>
      </c>
      <c r="E1936" s="3" t="inlineStr">
        <is>
          <t xml:space="preserve">주주총회소집결의              </t>
        </is>
      </c>
      <c r="F1936" s="3" t="inlineStr">
        <is>
          <t>팬엔터테인먼트</t>
        </is>
      </c>
      <c r="G1936" s="2" t="inlineStr">
        <is>
          <t>20260310900657</t>
        </is>
      </c>
      <c r="H1936" s="8">
        <f>HYPERLINK("https://dart.fss.or.kr/dsaf001/main.do?rcpNo=20260310900657", "공시열람")</f>
        <v/>
      </c>
    </row>
    <row r="1937">
      <c r="A1937" s="2" t="inlineStr">
        <is>
          <t>2026-03-10</t>
        </is>
      </c>
      <c r="B1937" s="3" t="inlineStr">
        <is>
          <t>팅크웨어</t>
        </is>
      </c>
      <c r="C1937" s="2" t="inlineStr">
        <is>
          <t>코스닥</t>
        </is>
      </c>
      <c r="D1937" s="2" t="inlineStr">
        <is>
          <t>084730</t>
        </is>
      </c>
      <c r="E1937" s="3" t="inlineStr">
        <is>
          <t xml:space="preserve">주주총회집중일개최사유신고              </t>
        </is>
      </c>
      <c r="F1937" s="3" t="inlineStr">
        <is>
          <t>팅크웨어</t>
        </is>
      </c>
      <c r="G1937" s="2" t="inlineStr">
        <is>
          <t>20260310900567</t>
        </is>
      </c>
      <c r="H1937" s="8">
        <f>HYPERLINK("https://dart.fss.or.kr/dsaf001/main.do?rcpNo=20260310900567", "공시열람")</f>
        <v/>
      </c>
    </row>
    <row r="1938">
      <c r="A1938" s="2" t="inlineStr">
        <is>
          <t>2026-03-10</t>
        </is>
      </c>
      <c r="B1938" s="3" t="inlineStr">
        <is>
          <t>팅크웨어</t>
        </is>
      </c>
      <c r="C1938" s="2" t="inlineStr">
        <is>
          <t>코스닥</t>
        </is>
      </c>
      <c r="D1938" s="2" t="inlineStr">
        <is>
          <t>084730</t>
        </is>
      </c>
      <c r="E1938" s="3" t="inlineStr">
        <is>
          <t xml:space="preserve">주주총회소집결의              </t>
        </is>
      </c>
      <c r="F1938" s="3" t="inlineStr">
        <is>
          <t>팅크웨어</t>
        </is>
      </c>
      <c r="G1938" s="2" t="inlineStr">
        <is>
          <t>20260310900646</t>
        </is>
      </c>
      <c r="H1938" s="8">
        <f>HYPERLINK("https://dart.fss.or.kr/dsaf001/main.do?rcpNo=20260310900646", "공시열람")</f>
        <v/>
      </c>
    </row>
    <row r="1939">
      <c r="A1939" s="2" t="inlineStr">
        <is>
          <t>2026-03-10</t>
        </is>
      </c>
      <c r="B1939" s="3" t="inlineStr">
        <is>
          <t>KG케미칼</t>
        </is>
      </c>
      <c r="C1939" s="2" t="inlineStr">
        <is>
          <t>코스피</t>
        </is>
      </c>
      <c r="D1939" s="2" t="inlineStr">
        <is>
          <t>001390</t>
        </is>
      </c>
      <c r="E1939" s="3" t="inlineStr">
        <is>
          <t xml:space="preserve">회사합병결정(종속회사의주요경영사항)              </t>
        </is>
      </c>
      <c r="F1939" s="3" t="inlineStr">
        <is>
          <t>KG케미칼</t>
        </is>
      </c>
      <c r="G1939" s="2" t="inlineStr">
        <is>
          <t>20260310800798</t>
        </is>
      </c>
      <c r="H1939" s="8">
        <f>HYPERLINK("https://dart.fss.or.kr/dsaf001/main.do?rcpNo=20260310800798", "공시열람")</f>
        <v/>
      </c>
    </row>
    <row r="1940">
      <c r="A1940" s="2" t="inlineStr">
        <is>
          <t>2026-03-10</t>
        </is>
      </c>
      <c r="B1940" s="3" t="inlineStr">
        <is>
          <t>대상홀딩스</t>
        </is>
      </c>
      <c r="C1940" s="2" t="inlineStr">
        <is>
          <t>코스피</t>
        </is>
      </c>
      <c r="D1940" s="2" t="inlineStr">
        <is>
          <t>084690</t>
        </is>
      </c>
      <c r="E1940" s="3" t="inlineStr">
        <is>
          <t xml:space="preserve">주주총회소집결의              </t>
        </is>
      </c>
      <c r="F1940" s="3" t="inlineStr">
        <is>
          <t>대상홀딩스</t>
        </is>
      </c>
      <c r="G1940" s="2" t="inlineStr">
        <is>
          <t>20260310800787</t>
        </is>
      </c>
      <c r="H1940" s="8">
        <f>HYPERLINK("https://dart.fss.or.kr/dsaf001/main.do?rcpNo=20260310800787", "공시열람")</f>
        <v/>
      </c>
    </row>
    <row r="1941">
      <c r="A1941" s="2" t="inlineStr">
        <is>
          <t>2026-03-10</t>
        </is>
      </c>
      <c r="B1941" s="3" t="inlineStr">
        <is>
          <t>OCI홀딩스</t>
        </is>
      </c>
      <c r="C1941" s="2" t="inlineStr">
        <is>
          <t>코스피</t>
        </is>
      </c>
      <c r="D1941" s="2" t="inlineStr">
        <is>
          <t>010060</t>
        </is>
      </c>
      <c r="E1941" s="3" t="inlineStr">
        <is>
          <t>주주총회소집공고</t>
        </is>
      </c>
      <c r="F1941" s="3" t="inlineStr">
        <is>
          <t>OCI홀딩스</t>
        </is>
      </c>
      <c r="G1941" s="2" t="inlineStr">
        <is>
          <t>20260310002469</t>
        </is>
      </c>
      <c r="H1941" s="8">
        <f>HYPERLINK("https://dart.fss.or.kr/dsaf001/main.do?rcpNo=20260310002469", "공시열람")</f>
        <v/>
      </c>
    </row>
    <row r="1942">
      <c r="A1942" s="2" t="inlineStr">
        <is>
          <t>2026-03-10</t>
        </is>
      </c>
      <c r="B1942" s="3" t="inlineStr">
        <is>
          <t>SK디앤디</t>
        </is>
      </c>
      <c r="C1942" s="2" t="inlineStr">
        <is>
          <t>코스피</t>
        </is>
      </c>
      <c r="D1942" s="2" t="inlineStr">
        <is>
          <t>210980</t>
        </is>
      </c>
      <c r="E1942" s="3" t="inlineStr">
        <is>
          <t xml:space="preserve">주주총회소집결의              </t>
        </is>
      </c>
      <c r="F1942" s="3" t="inlineStr">
        <is>
          <t>SK디앤디</t>
        </is>
      </c>
      <c r="G1942" s="2" t="inlineStr">
        <is>
          <t>20260310800746</t>
        </is>
      </c>
      <c r="H1942" s="8">
        <f>HYPERLINK("https://dart.fss.or.kr/dsaf001/main.do?rcpNo=20260310800746", "공시열람")</f>
        <v/>
      </c>
    </row>
    <row r="1943">
      <c r="A1943" s="2" t="inlineStr">
        <is>
          <t>2026-03-10</t>
        </is>
      </c>
      <c r="B1943" s="3" t="inlineStr">
        <is>
          <t>SK디앤디</t>
        </is>
      </c>
      <c r="C1943" s="2" t="inlineStr">
        <is>
          <t>코스피</t>
        </is>
      </c>
      <c r="D1943" s="2" t="inlineStr">
        <is>
          <t>210980</t>
        </is>
      </c>
      <c r="E1943" s="3" t="inlineStr">
        <is>
          <t>주주총회소집공고</t>
        </is>
      </c>
      <c r="F1943" s="3" t="inlineStr">
        <is>
          <t>SK디앤디</t>
        </is>
      </c>
      <c r="G1943" s="2" t="inlineStr">
        <is>
          <t>20260310002465</t>
        </is>
      </c>
      <c r="H1943" s="8">
        <f>HYPERLINK("https://dart.fss.or.kr/dsaf001/main.do?rcpNo=20260310002465", "공시열람")</f>
        <v/>
      </c>
    </row>
    <row r="1944">
      <c r="A1944" s="2" t="inlineStr">
        <is>
          <t>2026-03-10</t>
        </is>
      </c>
      <c r="B1944" s="3" t="inlineStr">
        <is>
          <t>드림어스컴퍼니</t>
        </is>
      </c>
      <c r="C1944" s="2" t="inlineStr">
        <is>
          <t>코스닥</t>
        </is>
      </c>
      <c r="D1944" s="2" t="inlineStr">
        <is>
          <t>060570</t>
        </is>
      </c>
      <c r="E1944" s="3" t="inlineStr">
        <is>
          <t>주주총회소집공고</t>
        </is>
      </c>
      <c r="F1944" s="3" t="inlineStr">
        <is>
          <t>드림어스컴퍼니</t>
        </is>
      </c>
      <c r="G1944" s="2" t="inlineStr">
        <is>
          <t>20260310002464</t>
        </is>
      </c>
      <c r="H1944" s="8">
        <f>HYPERLINK("https://dart.fss.or.kr/dsaf001/main.do?rcpNo=20260310002464", "공시열람")</f>
        <v/>
      </c>
    </row>
    <row r="1945">
      <c r="A1945" s="2" t="inlineStr">
        <is>
          <t>2026-03-10</t>
        </is>
      </c>
      <c r="B1945" s="3" t="inlineStr">
        <is>
          <t>오이솔루션</t>
        </is>
      </c>
      <c r="C1945" s="2" t="inlineStr">
        <is>
          <t>코스닥</t>
        </is>
      </c>
      <c r="D1945" s="2" t="inlineStr">
        <is>
          <t>138080</t>
        </is>
      </c>
      <c r="E1945" s="3" t="inlineStr">
        <is>
          <t xml:space="preserve">주주총회집중일개최사유신고              </t>
        </is>
      </c>
      <c r="F1945" s="3" t="inlineStr">
        <is>
          <t>오이솔루션</t>
        </is>
      </c>
      <c r="G1945" s="2" t="inlineStr">
        <is>
          <t>20260310900785</t>
        </is>
      </c>
      <c r="H1945" s="8">
        <f>HYPERLINK("https://dart.fss.or.kr/dsaf001/main.do?rcpNo=20260310900785", "공시열람")</f>
        <v/>
      </c>
    </row>
    <row r="1946">
      <c r="A1946" s="2" t="inlineStr">
        <is>
          <t>2026-03-10</t>
        </is>
      </c>
      <c r="B1946" s="3" t="inlineStr">
        <is>
          <t>제이씨현시스템</t>
        </is>
      </c>
      <c r="C1946" s="2" t="inlineStr">
        <is>
          <t>코스닥</t>
        </is>
      </c>
      <c r="D1946" s="2" t="inlineStr">
        <is>
          <t>033320</t>
        </is>
      </c>
      <c r="E1946" s="3" t="inlineStr">
        <is>
          <t xml:space="preserve">주주총회소집결의              </t>
        </is>
      </c>
      <c r="F1946" s="3" t="inlineStr">
        <is>
          <t>제이씨현시스템</t>
        </is>
      </c>
      <c r="G1946" s="2" t="inlineStr">
        <is>
          <t>20260310900743</t>
        </is>
      </c>
      <c r="H1946" s="8">
        <f>HYPERLINK("https://dart.fss.or.kr/dsaf001/main.do?rcpNo=20260310900743", "공시열람")</f>
        <v/>
      </c>
    </row>
    <row r="1947">
      <c r="A1947" s="2" t="inlineStr">
        <is>
          <t>2026-03-10</t>
        </is>
      </c>
      <c r="B1947" s="3" t="inlineStr">
        <is>
          <t>신일제약</t>
        </is>
      </c>
      <c r="C1947" s="2" t="inlineStr">
        <is>
          <t>코스닥</t>
        </is>
      </c>
      <c r="D1947" s="2" t="inlineStr">
        <is>
          <t>012790</t>
        </is>
      </c>
      <c r="E1947" s="3" t="inlineStr">
        <is>
          <t xml:space="preserve">주주총회소집결의              </t>
        </is>
      </c>
      <c r="F1947" s="3" t="inlineStr">
        <is>
          <t>신일제약</t>
        </is>
      </c>
      <c r="G1947" s="2" t="inlineStr">
        <is>
          <t>20260310900756</t>
        </is>
      </c>
      <c r="H1947" s="8">
        <f>HYPERLINK("https://dart.fss.or.kr/dsaf001/main.do?rcpNo=20260310900756", "공시열람")</f>
        <v/>
      </c>
    </row>
    <row r="1948">
      <c r="A1948" s="2" t="inlineStr">
        <is>
          <t>2026-03-10</t>
        </is>
      </c>
      <c r="B1948" s="3" t="inlineStr">
        <is>
          <t>한선엔지니어링</t>
        </is>
      </c>
      <c r="C1948" s="2" t="inlineStr">
        <is>
          <t>코스닥</t>
        </is>
      </c>
      <c r="D1948" s="2" t="inlineStr">
        <is>
          <t>452280</t>
        </is>
      </c>
      <c r="E1948" s="3" t="inlineStr">
        <is>
          <t xml:space="preserve">주주총회집중일개최사유신고              </t>
        </is>
      </c>
      <c r="F1948" s="3" t="inlineStr">
        <is>
          <t>한선엔지니어링</t>
        </is>
      </c>
      <c r="G1948" s="2" t="inlineStr">
        <is>
          <t>20260310900754</t>
        </is>
      </c>
      <c r="H1948" s="8">
        <f>HYPERLINK("https://dart.fss.or.kr/dsaf001/main.do?rcpNo=20260310900754", "공시열람")</f>
        <v/>
      </c>
    </row>
    <row r="1949">
      <c r="A1949" s="2" t="inlineStr">
        <is>
          <t>2026-03-10</t>
        </is>
      </c>
      <c r="B1949" s="3" t="inlineStr">
        <is>
          <t>넥슨게임즈</t>
        </is>
      </c>
      <c r="C1949" s="2" t="inlineStr">
        <is>
          <t>코스닥</t>
        </is>
      </c>
      <c r="D1949" s="2" t="inlineStr">
        <is>
          <t>225570</t>
        </is>
      </c>
      <c r="E1949" s="3" t="inlineStr">
        <is>
          <t xml:space="preserve">주주총회소집결의              </t>
        </is>
      </c>
      <c r="F1949" s="3" t="inlineStr">
        <is>
          <t>넥슨게임즈</t>
        </is>
      </c>
      <c r="G1949" s="2" t="inlineStr">
        <is>
          <t>20260310900753</t>
        </is>
      </c>
      <c r="H1949" s="8">
        <f>HYPERLINK("https://dart.fss.or.kr/dsaf001/main.do?rcpNo=20260310900753", "공시열람")</f>
        <v/>
      </c>
    </row>
    <row r="1950">
      <c r="A1950" s="2" t="inlineStr">
        <is>
          <t>2026-03-10</t>
        </is>
      </c>
      <c r="B1950" s="3" t="inlineStr">
        <is>
          <t>타스컴</t>
        </is>
      </c>
      <c r="C1950" s="2" t="inlineStr">
        <is>
          <t>코넥스</t>
        </is>
      </c>
      <c r="D1950" s="2" t="inlineStr">
        <is>
          <t>336040</t>
        </is>
      </c>
      <c r="E1950" s="3" t="inlineStr">
        <is>
          <t>주주총회소집공고</t>
        </is>
      </c>
      <c r="F1950" s="3" t="inlineStr">
        <is>
          <t>타스컴</t>
        </is>
      </c>
      <c r="G1950" s="2" t="inlineStr">
        <is>
          <t>20260310002458</t>
        </is>
      </c>
      <c r="H1950" s="8">
        <f>HYPERLINK("https://dart.fss.or.kr/dsaf001/main.do?rcpNo=20260310002458", "공시열람")</f>
        <v/>
      </c>
    </row>
    <row r="1951">
      <c r="A1951" s="2" t="inlineStr">
        <is>
          <t>2026-03-10</t>
        </is>
      </c>
      <c r="B1951" s="3" t="inlineStr">
        <is>
          <t>드림어스컴퍼니</t>
        </is>
      </c>
      <c r="C1951" s="2" t="inlineStr">
        <is>
          <t>코스닥</t>
        </is>
      </c>
      <c r="D1951" s="2" t="inlineStr">
        <is>
          <t>060570</t>
        </is>
      </c>
      <c r="E1951" s="3" t="inlineStr">
        <is>
          <t xml:space="preserve">주주총회집중일개최사유신고              </t>
        </is>
      </c>
      <c r="F1951" s="3" t="inlineStr">
        <is>
          <t>드림어스컴퍼니</t>
        </is>
      </c>
      <c r="G1951" s="2" t="inlineStr">
        <is>
          <t>20260310900772</t>
        </is>
      </c>
      <c r="H1951" s="8">
        <f>HYPERLINK("https://dart.fss.or.kr/dsaf001/main.do?rcpNo=20260310900772", "공시열람")</f>
        <v/>
      </c>
    </row>
    <row r="1952">
      <c r="A1952" s="2" t="inlineStr">
        <is>
          <t>2026-03-10</t>
        </is>
      </c>
      <c r="B1952" s="3" t="inlineStr">
        <is>
          <t>드림어스컴퍼니</t>
        </is>
      </c>
      <c r="C1952" s="2" t="inlineStr">
        <is>
          <t>코스닥</t>
        </is>
      </c>
      <c r="D1952" s="2" t="inlineStr">
        <is>
          <t>060570</t>
        </is>
      </c>
      <c r="E1952" s="3" t="inlineStr">
        <is>
          <t xml:space="preserve">주주총회소집결의              </t>
        </is>
      </c>
      <c r="F1952" s="3" t="inlineStr">
        <is>
          <t>드림어스컴퍼니</t>
        </is>
      </c>
      <c r="G1952" s="2" t="inlineStr">
        <is>
          <t>20260310900763</t>
        </is>
      </c>
      <c r="H1952" s="8">
        <f>HYPERLINK("https://dart.fss.or.kr/dsaf001/main.do?rcpNo=20260310900763", "공시열람")</f>
        <v/>
      </c>
    </row>
    <row r="1953">
      <c r="A1953" s="2" t="inlineStr">
        <is>
          <t>2026-03-10</t>
        </is>
      </c>
      <c r="B1953" s="3" t="inlineStr">
        <is>
          <t>리메드</t>
        </is>
      </c>
      <c r="C1953" s="2" t="inlineStr">
        <is>
          <t>코스닥</t>
        </is>
      </c>
      <c r="D1953" s="2" t="inlineStr">
        <is>
          <t>302550</t>
        </is>
      </c>
      <c r="E1953" s="3" t="inlineStr">
        <is>
          <t>주주총회소집공고</t>
        </is>
      </c>
      <c r="F1953" s="3" t="inlineStr">
        <is>
          <t>리메드</t>
        </is>
      </c>
      <c r="G1953" s="2" t="inlineStr">
        <is>
          <t>20260310002449</t>
        </is>
      </c>
      <c r="H1953" s="8">
        <f>HYPERLINK("https://dart.fss.or.kr/dsaf001/main.do?rcpNo=20260310002449", "공시열람")</f>
        <v/>
      </c>
    </row>
    <row r="1954">
      <c r="A1954" s="2" t="inlineStr">
        <is>
          <t>2026-03-10</t>
        </is>
      </c>
      <c r="B1954" s="3" t="inlineStr">
        <is>
          <t>저스템</t>
        </is>
      </c>
      <c r="C1954" s="2" t="inlineStr">
        <is>
          <t>코스닥</t>
        </is>
      </c>
      <c r="D1954" s="2" t="inlineStr">
        <is>
          <t>417840</t>
        </is>
      </c>
      <c r="E1954" s="3" t="inlineStr">
        <is>
          <t xml:space="preserve">주주총회집중일개최사유신고              </t>
        </is>
      </c>
      <c r="F1954" s="3" t="inlineStr">
        <is>
          <t>저스템</t>
        </is>
      </c>
      <c r="G1954" s="2" t="inlineStr">
        <is>
          <t>20260310900736</t>
        </is>
      </c>
      <c r="H1954" s="8">
        <f>HYPERLINK("https://dart.fss.or.kr/dsaf001/main.do?rcpNo=20260310900736", "공시열람")</f>
        <v/>
      </c>
    </row>
    <row r="1955">
      <c r="A1955" s="2" t="inlineStr">
        <is>
          <t>2026-03-10</t>
        </is>
      </c>
      <c r="B1955" s="3" t="inlineStr">
        <is>
          <t>지엔씨에너지</t>
        </is>
      </c>
      <c r="C1955" s="2" t="inlineStr">
        <is>
          <t>코스닥</t>
        </is>
      </c>
      <c r="D1955" s="2" t="inlineStr">
        <is>
          <t>119850</t>
        </is>
      </c>
      <c r="E1955" s="3" t="inlineStr">
        <is>
          <t xml:space="preserve">주주총회소집결의              </t>
        </is>
      </c>
      <c r="F1955" s="3" t="inlineStr">
        <is>
          <t>지엔씨에너지</t>
        </is>
      </c>
      <c r="G1955" s="2" t="inlineStr">
        <is>
          <t>20260310900725</t>
        </is>
      </c>
      <c r="H1955" s="8">
        <f>HYPERLINK("https://dart.fss.or.kr/dsaf001/main.do?rcpNo=20260310900725", "공시열람")</f>
        <v/>
      </c>
    </row>
    <row r="1956">
      <c r="A1956" s="2" t="inlineStr">
        <is>
          <t>2026-03-09 (정정: 2026-03-10)</t>
        </is>
      </c>
      <c r="B1956" s="3" t="inlineStr">
        <is>
          <t>케어랩스</t>
        </is>
      </c>
      <c r="C1956" s="2" t="inlineStr">
        <is>
          <t>코스닥</t>
        </is>
      </c>
      <c r="D1956" s="2" t="inlineStr">
        <is>
          <t>263700</t>
        </is>
      </c>
      <c r="E1956" s="3" t="inlineStr">
        <is>
          <t xml:space="preserve">[기재정정]주주총회소집결의              </t>
        </is>
      </c>
      <c r="F1956" s="3" t="inlineStr">
        <is>
          <t>케어랩스</t>
        </is>
      </c>
      <c r="G1956" s="2" t="inlineStr">
        <is>
          <t>20260310900637</t>
        </is>
      </c>
      <c r="H1956" s="8">
        <f>HYPERLINK("https://dart.fss.or.kr/dsaf001/main.do?rcpNo=20260310900637", "공시열람")</f>
        <v/>
      </c>
    </row>
    <row r="1957">
      <c r="A1957" s="2" t="inlineStr">
        <is>
          <t>2026-03-10</t>
        </is>
      </c>
      <c r="B1957" s="3" t="inlineStr">
        <is>
          <t>누리플렉스</t>
        </is>
      </c>
      <c r="C1957" s="2" t="inlineStr">
        <is>
          <t>코스닥</t>
        </is>
      </c>
      <c r="D1957" s="2" t="inlineStr">
        <is>
          <t>040160</t>
        </is>
      </c>
      <c r="E1957" s="3" t="inlineStr">
        <is>
          <t xml:space="preserve">[기재정정]주주총회소집결의              </t>
        </is>
      </c>
      <c r="F1957" s="3" t="inlineStr">
        <is>
          <t>누리플렉스</t>
        </is>
      </c>
      <c r="G1957" s="2" t="inlineStr">
        <is>
          <t>20260310900732</t>
        </is>
      </c>
      <c r="H1957" s="8">
        <f>HYPERLINK("https://dart.fss.or.kr/dsaf001/main.do?rcpNo=20260310900732", "공시열람")</f>
        <v/>
      </c>
    </row>
    <row r="1958">
      <c r="A1958" s="2" t="inlineStr">
        <is>
          <t>2026-03-10 (정정: 2026-03-10)</t>
        </is>
      </c>
      <c r="B1958" s="3" t="inlineStr">
        <is>
          <t>듀켐바이오</t>
        </is>
      </c>
      <c r="C1958" s="2" t="inlineStr">
        <is>
          <t>코스닥</t>
        </is>
      </c>
      <c r="D1958" s="2" t="inlineStr">
        <is>
          <t>176750</t>
        </is>
      </c>
      <c r="E1958" s="3" t="inlineStr">
        <is>
          <t>주주총회소집결의               (정정: 20260310)</t>
        </is>
      </c>
      <c r="F1958" s="3" t="inlineStr">
        <is>
          <t>듀켐바이오</t>
        </is>
      </c>
      <c r="G1958" s="2" t="inlineStr">
        <is>
          <t>20260310002269</t>
        </is>
      </c>
      <c r="H1958" s="8">
        <f>HYPERLINK("https://dart.fss.or.kr/dsaf001/main.do?rcpNo=20260310002269", "공시열람")</f>
        <v/>
      </c>
    </row>
    <row r="1959">
      <c r="A1959" s="2" t="inlineStr">
        <is>
          <t>2026-03-10</t>
        </is>
      </c>
      <c r="B1959" s="3" t="inlineStr">
        <is>
          <t>다이나믹솔루션</t>
        </is>
      </c>
      <c r="C1959" s="2" t="inlineStr">
        <is>
          <t>코스닥</t>
        </is>
      </c>
      <c r="D1959" s="2" t="inlineStr">
        <is>
          <t>290660</t>
        </is>
      </c>
      <c r="E1959" s="3" t="inlineStr">
        <is>
          <t>주주총회소집공고</t>
        </is>
      </c>
      <c r="F1959" s="3" t="inlineStr">
        <is>
          <t>다이나믹솔루션</t>
        </is>
      </c>
      <c r="G1959" s="2" t="inlineStr">
        <is>
          <t>20260310002435</t>
        </is>
      </c>
      <c r="H1959" s="8">
        <f>HYPERLINK("https://dart.fss.or.kr/dsaf001/main.do?rcpNo=20260310002435", "공시열람")</f>
        <v/>
      </c>
    </row>
    <row r="1960">
      <c r="A1960" s="2" t="inlineStr">
        <is>
          <t>2026-03-10</t>
        </is>
      </c>
      <c r="B1960" s="3" t="inlineStr">
        <is>
          <t>아이씨에이치</t>
        </is>
      </c>
      <c r="C1960" s="2" t="inlineStr">
        <is>
          <t>코스닥</t>
        </is>
      </c>
      <c r="D1960" s="2" t="inlineStr">
        <is>
          <t>368600</t>
        </is>
      </c>
      <c r="E1960" s="3" t="inlineStr">
        <is>
          <t>주주총회소집공고</t>
        </is>
      </c>
      <c r="F1960" s="3" t="inlineStr">
        <is>
          <t>아이씨에이치</t>
        </is>
      </c>
      <c r="G1960" s="2" t="inlineStr">
        <is>
          <t>20260310002434</t>
        </is>
      </c>
      <c r="H1960" s="8">
        <f>HYPERLINK("https://dart.fss.or.kr/dsaf001/main.do?rcpNo=20260310002434", "공시열람")</f>
        <v/>
      </c>
    </row>
    <row r="1961">
      <c r="A1961" s="2" t="inlineStr">
        <is>
          <t>2026-03-10</t>
        </is>
      </c>
      <c r="B1961" s="3" t="inlineStr">
        <is>
          <t>한선엔지니어링</t>
        </is>
      </c>
      <c r="C1961" s="2" t="inlineStr">
        <is>
          <t>코스닥</t>
        </is>
      </c>
      <c r="D1961" s="2" t="inlineStr">
        <is>
          <t>452280</t>
        </is>
      </c>
      <c r="E1961" s="3" t="inlineStr">
        <is>
          <t xml:space="preserve">주주총회소집결의              </t>
        </is>
      </c>
      <c r="F1961" s="3" t="inlineStr">
        <is>
          <t>한선엔지니어링</t>
        </is>
      </c>
      <c r="G1961" s="2" t="inlineStr">
        <is>
          <t>20260310900686</t>
        </is>
      </c>
      <c r="H1961" s="8">
        <f>HYPERLINK("https://dart.fss.or.kr/dsaf001/main.do?rcpNo=20260310900686", "공시열람")</f>
        <v/>
      </c>
    </row>
    <row r="1962">
      <c r="A1962" s="2" t="inlineStr">
        <is>
          <t>2026-03-10 (정정: 2026-03-19)</t>
        </is>
      </c>
      <c r="B1962" s="3" t="inlineStr">
        <is>
          <t>신라교역</t>
        </is>
      </c>
      <c r="C1962" s="2" t="inlineStr">
        <is>
          <t>코스피</t>
        </is>
      </c>
      <c r="D1962" s="2" t="inlineStr">
        <is>
          <t>004970</t>
        </is>
      </c>
      <c r="E1962" s="3" t="inlineStr">
        <is>
          <t>주주총회소집공고 (정정: 20260319)</t>
        </is>
      </c>
      <c r="F1962" s="3" t="inlineStr">
        <is>
          <t>신라교역</t>
        </is>
      </c>
      <c r="G1962" s="2" t="inlineStr">
        <is>
          <t>20260319000468</t>
        </is>
      </c>
      <c r="H1962" s="8">
        <f>HYPERLINK("https://dart.fss.or.kr/dsaf001/main.do?rcpNo=20260319000468", "공시열람")</f>
        <v/>
      </c>
    </row>
    <row r="1963">
      <c r="A1963" s="2" t="inlineStr">
        <is>
          <t>2026-03-10</t>
        </is>
      </c>
      <c r="B1963" s="3" t="inlineStr">
        <is>
          <t>다이나믹솔루션</t>
        </is>
      </c>
      <c r="C1963" s="2" t="inlineStr">
        <is>
          <t>코스닥</t>
        </is>
      </c>
      <c r="D1963" s="2" t="inlineStr">
        <is>
          <t>290660</t>
        </is>
      </c>
      <c r="E1963" s="3" t="inlineStr">
        <is>
          <t xml:space="preserve">주주총회집중일개최사유신고              </t>
        </is>
      </c>
      <c r="F1963" s="3" t="inlineStr">
        <is>
          <t>다이나믹솔루션</t>
        </is>
      </c>
      <c r="G1963" s="2" t="inlineStr">
        <is>
          <t>20260310900699</t>
        </is>
      </c>
      <c r="H1963" s="8">
        <f>HYPERLINK("https://dart.fss.or.kr/dsaf001/main.do?rcpNo=20260310900699", "공시열람")</f>
        <v/>
      </c>
    </row>
    <row r="1964">
      <c r="A1964" s="2" t="inlineStr">
        <is>
          <t>2026-03-10</t>
        </is>
      </c>
      <c r="B1964" s="3" t="inlineStr">
        <is>
          <t>다이나믹솔루션</t>
        </is>
      </c>
      <c r="C1964" s="2" t="inlineStr">
        <is>
          <t>코스닥</t>
        </is>
      </c>
      <c r="D1964" s="2" t="inlineStr">
        <is>
          <t>290660</t>
        </is>
      </c>
      <c r="E1964" s="3" t="inlineStr">
        <is>
          <t xml:space="preserve">주주총회소집결의              </t>
        </is>
      </c>
      <c r="F1964" s="3" t="inlineStr">
        <is>
          <t>다이나믹솔루션</t>
        </is>
      </c>
      <c r="G1964" s="2" t="inlineStr">
        <is>
          <t>20260310900689</t>
        </is>
      </c>
      <c r="H1964" s="8">
        <f>HYPERLINK("https://dart.fss.or.kr/dsaf001/main.do?rcpNo=20260310900689", "공시열람")</f>
        <v/>
      </c>
    </row>
    <row r="1965">
      <c r="A1965" s="2" t="inlineStr">
        <is>
          <t>2026-03-10</t>
        </is>
      </c>
      <c r="B1965" s="3" t="inlineStr">
        <is>
          <t>디아이티</t>
        </is>
      </c>
      <c r="C1965" s="2" t="inlineStr">
        <is>
          <t>코스닥</t>
        </is>
      </c>
      <c r="D1965" s="2" t="inlineStr">
        <is>
          <t>110990</t>
        </is>
      </c>
      <c r="E1965" s="3" t="inlineStr">
        <is>
          <t xml:space="preserve">주주총회집중일개최사유신고              </t>
        </is>
      </c>
      <c r="F1965" s="3" t="inlineStr">
        <is>
          <t>디아이티</t>
        </is>
      </c>
      <c r="G1965" s="2" t="inlineStr">
        <is>
          <t>20260310900629</t>
        </is>
      </c>
      <c r="H1965" s="8">
        <f>HYPERLINK("https://dart.fss.or.kr/dsaf001/main.do?rcpNo=20260310900629", "공시열람")</f>
        <v/>
      </c>
    </row>
    <row r="1966">
      <c r="A1966" s="2" t="inlineStr">
        <is>
          <t>2026-03-10</t>
        </is>
      </c>
      <c r="B1966" s="3" t="inlineStr">
        <is>
          <t>저스템</t>
        </is>
      </c>
      <c r="C1966" s="2" t="inlineStr">
        <is>
          <t>코스닥</t>
        </is>
      </c>
      <c r="D1966" s="2" t="inlineStr">
        <is>
          <t>417840</t>
        </is>
      </c>
      <c r="E1966" s="3" t="inlineStr">
        <is>
          <t xml:space="preserve">주주총회소집결의              </t>
        </is>
      </c>
      <c r="F1966" s="3" t="inlineStr">
        <is>
          <t>저스템</t>
        </is>
      </c>
      <c r="G1966" s="2" t="inlineStr">
        <is>
          <t>20260310900616</t>
        </is>
      </c>
      <c r="H1966" s="8">
        <f>HYPERLINK("https://dart.fss.or.kr/dsaf001/main.do?rcpNo=20260310900616", "공시열람")</f>
        <v/>
      </c>
    </row>
    <row r="1967">
      <c r="A1967" s="2" t="inlineStr">
        <is>
          <t>2026-03-10</t>
        </is>
      </c>
      <c r="B1967" s="3" t="inlineStr">
        <is>
          <t>KC산업</t>
        </is>
      </c>
      <c r="C1967" s="2" t="inlineStr">
        <is>
          <t>코넥스</t>
        </is>
      </c>
      <c r="D1967" s="2" t="inlineStr">
        <is>
          <t>112190</t>
        </is>
      </c>
      <c r="E1967" s="3" t="inlineStr">
        <is>
          <t xml:space="preserve">[기재정정]주주총회소집결의              </t>
        </is>
      </c>
      <c r="F1967" s="3" t="inlineStr">
        <is>
          <t>KC산업</t>
        </is>
      </c>
      <c r="G1967" s="2" t="inlineStr">
        <is>
          <t>20260310600662</t>
        </is>
      </c>
      <c r="H1967" s="8">
        <f>HYPERLINK("https://dart.fss.or.kr/dsaf001/main.do?rcpNo=20260310600662", "공시열람")</f>
        <v/>
      </c>
    </row>
    <row r="1968">
      <c r="A1968" s="2" t="inlineStr">
        <is>
          <t>2026-03-10</t>
        </is>
      </c>
      <c r="B1968" s="3" t="inlineStr">
        <is>
          <t>제노코</t>
        </is>
      </c>
      <c r="C1968" s="2" t="inlineStr">
        <is>
          <t>코스닥</t>
        </is>
      </c>
      <c r="D1968" s="2" t="inlineStr">
        <is>
          <t>361390</t>
        </is>
      </c>
      <c r="E1968" s="3" t="inlineStr">
        <is>
          <t>주주총회소집공고</t>
        </is>
      </c>
      <c r="F1968" s="3" t="inlineStr">
        <is>
          <t>제노코</t>
        </is>
      </c>
      <c r="G1968" s="2" t="inlineStr">
        <is>
          <t>20260310002409</t>
        </is>
      </c>
      <c r="H1968" s="8">
        <f>HYPERLINK("https://dart.fss.or.kr/dsaf001/main.do?rcpNo=20260310002409", "공시열람")</f>
        <v/>
      </c>
    </row>
    <row r="1969">
      <c r="A1969" s="2" t="inlineStr">
        <is>
          <t>2026-03-10</t>
        </is>
      </c>
      <c r="B1969" s="3" t="inlineStr">
        <is>
          <t>광명전기</t>
        </is>
      </c>
      <c r="C1969" s="2" t="inlineStr">
        <is>
          <t>코스피</t>
        </is>
      </c>
      <c r="D1969" s="2" t="inlineStr">
        <is>
          <t>017040</t>
        </is>
      </c>
      <c r="E1969" s="3" t="inlineStr">
        <is>
          <t xml:space="preserve">주주총회소집결의              </t>
        </is>
      </c>
      <c r="F1969" s="3" t="inlineStr">
        <is>
          <t>광명전기</t>
        </is>
      </c>
      <c r="G1969" s="2" t="inlineStr">
        <is>
          <t>20260310800676</t>
        </is>
      </c>
      <c r="H1969" s="8">
        <f>HYPERLINK("https://dart.fss.or.kr/dsaf001/main.do?rcpNo=20260310800676", "공시열람")</f>
        <v/>
      </c>
    </row>
    <row r="1970">
      <c r="A1970" s="2" t="inlineStr">
        <is>
          <t>2026-03-10</t>
        </is>
      </c>
      <c r="B1970" s="3" t="inlineStr">
        <is>
          <t>지엠비코리아</t>
        </is>
      </c>
      <c r="C1970" s="2" t="inlineStr">
        <is>
          <t>코스피</t>
        </is>
      </c>
      <c r="D1970" s="2" t="inlineStr">
        <is>
          <t>013870</t>
        </is>
      </c>
      <c r="E1970" s="3" t="inlineStr">
        <is>
          <t>주주총회소집공고</t>
        </is>
      </c>
      <c r="F1970" s="3" t="inlineStr">
        <is>
          <t>지엠비코리아</t>
        </is>
      </c>
      <c r="G1970" s="2" t="inlineStr">
        <is>
          <t>20260310002398</t>
        </is>
      </c>
      <c r="H1970" s="8">
        <f>HYPERLINK("https://dart.fss.or.kr/dsaf001/main.do?rcpNo=20260310002398", "공시열람")</f>
        <v/>
      </c>
    </row>
    <row r="1971">
      <c r="A1971" s="2" t="inlineStr">
        <is>
          <t>2026-03-10</t>
        </is>
      </c>
      <c r="B1971" s="3" t="inlineStr">
        <is>
          <t>비츠로셀</t>
        </is>
      </c>
      <c r="C1971" s="2" t="inlineStr">
        <is>
          <t>코스닥</t>
        </is>
      </c>
      <c r="D1971" s="2" t="inlineStr">
        <is>
          <t>082920</t>
        </is>
      </c>
      <c r="E1971" s="3" t="inlineStr">
        <is>
          <t>주주총회소집공고</t>
        </is>
      </c>
      <c r="F1971" s="3" t="inlineStr">
        <is>
          <t>비츠로셀</t>
        </is>
      </c>
      <c r="G1971" s="2" t="inlineStr">
        <is>
          <t>20260310002389</t>
        </is>
      </c>
      <c r="H1971" s="8">
        <f>HYPERLINK("https://dart.fss.or.kr/dsaf001/main.do?rcpNo=20260310002389", "공시열람")</f>
        <v/>
      </c>
    </row>
    <row r="1972">
      <c r="A1972" s="2" t="inlineStr">
        <is>
          <t>2026-03-10</t>
        </is>
      </c>
      <c r="B1972" s="3" t="inlineStr">
        <is>
          <t>SDN</t>
        </is>
      </c>
      <c r="C1972" s="2" t="inlineStr">
        <is>
          <t>코스닥</t>
        </is>
      </c>
      <c r="D1972" s="2" t="inlineStr">
        <is>
          <t>099220</t>
        </is>
      </c>
      <c r="E1972" s="3" t="inlineStr">
        <is>
          <t>주주총회소집공고</t>
        </is>
      </c>
      <c r="F1972" s="3" t="inlineStr">
        <is>
          <t>SDN</t>
        </is>
      </c>
      <c r="G1972" s="2" t="inlineStr">
        <is>
          <t>20260310002382</t>
        </is>
      </c>
      <c r="H1972" s="8">
        <f>HYPERLINK("https://dart.fss.or.kr/dsaf001/main.do?rcpNo=20260310002382", "공시열람")</f>
        <v/>
      </c>
    </row>
    <row r="1973">
      <c r="A1973" s="2" t="inlineStr">
        <is>
          <t>2026-03-10</t>
        </is>
      </c>
      <c r="B1973" s="3" t="inlineStr">
        <is>
          <t>로체시스템즈</t>
        </is>
      </c>
      <c r="C1973" s="2" t="inlineStr">
        <is>
          <t>코스닥</t>
        </is>
      </c>
      <c r="D1973" s="2" t="inlineStr">
        <is>
          <t>071280</t>
        </is>
      </c>
      <c r="E1973" s="3" t="inlineStr">
        <is>
          <t>주주총회소집공고</t>
        </is>
      </c>
      <c r="F1973" s="3" t="inlineStr">
        <is>
          <t>로체시스템즈</t>
        </is>
      </c>
      <c r="G1973" s="2" t="inlineStr">
        <is>
          <t>20260310002381</t>
        </is>
      </c>
      <c r="H1973" s="8">
        <f>HYPERLINK("https://dart.fss.or.kr/dsaf001/main.do?rcpNo=20260310002381", "공시열람")</f>
        <v/>
      </c>
    </row>
    <row r="1974">
      <c r="A1974" s="2" t="inlineStr">
        <is>
          <t>2026-03-10</t>
        </is>
      </c>
      <c r="B1974" s="3" t="inlineStr">
        <is>
          <t>비츠로셀</t>
        </is>
      </c>
      <c r="C1974" s="2" t="inlineStr">
        <is>
          <t>코스닥</t>
        </is>
      </c>
      <c r="D1974" s="2" t="inlineStr">
        <is>
          <t>082920</t>
        </is>
      </c>
      <c r="E1974" s="3" t="inlineStr">
        <is>
          <t xml:space="preserve">주주총회집중일개최사유신고              </t>
        </is>
      </c>
      <c r="F1974" s="3" t="inlineStr">
        <is>
          <t>비츠로셀</t>
        </is>
      </c>
      <c r="G1974" s="2" t="inlineStr">
        <is>
          <t>20260310900611</t>
        </is>
      </c>
      <c r="H1974" s="8">
        <f>HYPERLINK("https://dart.fss.or.kr/dsaf001/main.do?rcpNo=20260310900611", "공시열람")</f>
        <v/>
      </c>
    </row>
    <row r="1975">
      <c r="A1975" s="2" t="inlineStr">
        <is>
          <t>2026-03-10</t>
        </is>
      </c>
      <c r="B1975" s="3" t="inlineStr">
        <is>
          <t>라파스</t>
        </is>
      </c>
      <c r="C1975" s="2" t="inlineStr">
        <is>
          <t>코스닥</t>
        </is>
      </c>
      <c r="D1975" s="2" t="inlineStr">
        <is>
          <t>214260</t>
        </is>
      </c>
      <c r="E1975" s="3" t="inlineStr">
        <is>
          <t xml:space="preserve">주주총회집중일개최사유신고              </t>
        </is>
      </c>
      <c r="F1975" s="3" t="inlineStr">
        <is>
          <t>라파스</t>
        </is>
      </c>
      <c r="G1975" s="2" t="inlineStr">
        <is>
          <t>20260310900598</t>
        </is>
      </c>
      <c r="H1975" s="8">
        <f>HYPERLINK("https://dart.fss.or.kr/dsaf001/main.do?rcpNo=20260310900598", "공시열람")</f>
        <v/>
      </c>
    </row>
    <row r="1976">
      <c r="A1976" s="2" t="inlineStr">
        <is>
          <t>2026-03-10 (정정: 2026-06-26)</t>
        </is>
      </c>
      <c r="B1976" s="3" t="inlineStr">
        <is>
          <t>파인메딕스</t>
        </is>
      </c>
      <c r="C1976" s="2" t="inlineStr">
        <is>
          <t>코스닥</t>
        </is>
      </c>
      <c r="D1976" s="2" t="inlineStr">
        <is>
          <t>387570</t>
        </is>
      </c>
      <c r="E1976" s="3" t="inlineStr">
        <is>
          <t>주주총회소집공고 (정정: 20260626)</t>
        </is>
      </c>
      <c r="F1976" s="3" t="inlineStr">
        <is>
          <t>파인메딕스</t>
        </is>
      </c>
      <c r="G1976" s="2" t="inlineStr">
        <is>
          <t>20260626000596</t>
        </is>
      </c>
      <c r="H1976" s="8">
        <f>HYPERLINK("https://dart.fss.or.kr/dsaf001/main.do?rcpNo=20260626000596", "공시열람")</f>
        <v/>
      </c>
    </row>
    <row r="1977">
      <c r="A1977" s="2" t="inlineStr">
        <is>
          <t>2026-03-10</t>
        </is>
      </c>
      <c r="B1977" s="3" t="inlineStr">
        <is>
          <t>유유제약</t>
        </is>
      </c>
      <c r="C1977" s="2" t="inlineStr">
        <is>
          <t>코스피</t>
        </is>
      </c>
      <c r="D1977" s="2" t="inlineStr">
        <is>
          <t>000220</t>
        </is>
      </c>
      <c r="E1977" s="3" t="inlineStr">
        <is>
          <t>주주총회소집공고</t>
        </is>
      </c>
      <c r="F1977" s="3" t="inlineStr">
        <is>
          <t>유유제약</t>
        </is>
      </c>
      <c r="G1977" s="2" t="inlineStr">
        <is>
          <t>20260310002372</t>
        </is>
      </c>
      <c r="H1977" s="8">
        <f>HYPERLINK("https://dart.fss.or.kr/dsaf001/main.do?rcpNo=20260310002372", "공시열람")</f>
        <v/>
      </c>
    </row>
    <row r="1978">
      <c r="A1978" s="2" t="inlineStr">
        <is>
          <t>2026-03-10</t>
        </is>
      </c>
      <c r="B1978" s="3" t="inlineStr">
        <is>
          <t>SDN</t>
        </is>
      </c>
      <c r="C1978" s="2" t="inlineStr">
        <is>
          <t>코스닥</t>
        </is>
      </c>
      <c r="D1978" s="2" t="inlineStr">
        <is>
          <t>099220</t>
        </is>
      </c>
      <c r="E1978" s="3" t="inlineStr">
        <is>
          <t xml:space="preserve">주주총회소집결의              </t>
        </is>
      </c>
      <c r="F1978" s="3" t="inlineStr">
        <is>
          <t>SDN</t>
        </is>
      </c>
      <c r="G1978" s="2" t="inlineStr">
        <is>
          <t>20260310900640</t>
        </is>
      </c>
      <c r="H1978" s="8">
        <f>HYPERLINK("https://dart.fss.or.kr/dsaf001/main.do?rcpNo=20260310900640", "공시열람")</f>
        <v/>
      </c>
    </row>
    <row r="1979">
      <c r="A1979" s="2" t="inlineStr">
        <is>
          <t>2026-03-10</t>
        </is>
      </c>
      <c r="B1979" s="3" t="inlineStr">
        <is>
          <t>비츠로셀</t>
        </is>
      </c>
      <c r="C1979" s="2" t="inlineStr">
        <is>
          <t>코스닥</t>
        </is>
      </c>
      <c r="D1979" s="2" t="inlineStr">
        <is>
          <t>082920</t>
        </is>
      </c>
      <c r="E1979" s="3" t="inlineStr">
        <is>
          <t xml:space="preserve">주주총회소집결의              </t>
        </is>
      </c>
      <c r="F1979" s="3" t="inlineStr">
        <is>
          <t>비츠로셀</t>
        </is>
      </c>
      <c r="G1979" s="2" t="inlineStr">
        <is>
          <t>20260310900583</t>
        </is>
      </c>
      <c r="H1979" s="8">
        <f>HYPERLINK("https://dart.fss.or.kr/dsaf001/main.do?rcpNo=20260310900583", "공시열람")</f>
        <v/>
      </c>
    </row>
    <row r="1980">
      <c r="A1980" s="2" t="inlineStr">
        <is>
          <t>2026-03-10</t>
        </is>
      </c>
      <c r="B1980" s="3" t="inlineStr">
        <is>
          <t>이글벳</t>
        </is>
      </c>
      <c r="C1980" s="2" t="inlineStr">
        <is>
          <t>코스닥</t>
        </is>
      </c>
      <c r="D1980" s="2" t="inlineStr">
        <is>
          <t>044960</t>
        </is>
      </c>
      <c r="E1980" s="3" t="inlineStr">
        <is>
          <t>주주총회소집공고</t>
        </is>
      </c>
      <c r="F1980" s="3" t="inlineStr">
        <is>
          <t>이글벳</t>
        </is>
      </c>
      <c r="G1980" s="2" t="inlineStr">
        <is>
          <t>20260310002358</t>
        </is>
      </c>
      <c r="H1980" s="8">
        <f>HYPERLINK("https://dart.fss.or.kr/dsaf001/main.do?rcpNo=20260310002358", "공시열람")</f>
        <v/>
      </c>
    </row>
    <row r="1981">
      <c r="A1981" s="2" t="inlineStr">
        <is>
          <t>2026-03-10</t>
        </is>
      </c>
      <c r="B1981" s="3" t="inlineStr">
        <is>
          <t>아모그린텍</t>
        </is>
      </c>
      <c r="C1981" s="2" t="inlineStr">
        <is>
          <t>코스닥</t>
        </is>
      </c>
      <c r="D1981" s="2" t="inlineStr">
        <is>
          <t>125210</t>
        </is>
      </c>
      <c r="E1981" s="3" t="inlineStr">
        <is>
          <t>주주총회소집공고</t>
        </is>
      </c>
      <c r="F1981" s="3" t="inlineStr">
        <is>
          <t>아모그린텍</t>
        </is>
      </c>
      <c r="G1981" s="2" t="inlineStr">
        <is>
          <t>20260310002357</t>
        </is>
      </c>
      <c r="H1981" s="8">
        <f>HYPERLINK("https://dart.fss.or.kr/dsaf001/main.do?rcpNo=20260310002357", "공시열람")</f>
        <v/>
      </c>
    </row>
    <row r="1982">
      <c r="A1982" s="2" t="inlineStr">
        <is>
          <t>2026-03-10</t>
        </is>
      </c>
      <c r="B1982" s="3" t="inlineStr">
        <is>
          <t>제이피아이헬스케어</t>
        </is>
      </c>
      <c r="C1982" s="2" t="inlineStr">
        <is>
          <t>코스닥</t>
        </is>
      </c>
      <c r="D1982" s="2" t="inlineStr">
        <is>
          <t>0010V0</t>
        </is>
      </c>
      <c r="E1982" s="3" t="inlineStr">
        <is>
          <t>주주총회소집공고</t>
        </is>
      </c>
      <c r="F1982" s="3" t="inlineStr">
        <is>
          <t>제이피아이헬스케어</t>
        </is>
      </c>
      <c r="G1982" s="2" t="inlineStr">
        <is>
          <t>20260310002354</t>
        </is>
      </c>
      <c r="H1982" s="8">
        <f>HYPERLINK("https://dart.fss.or.kr/dsaf001/main.do?rcpNo=20260310002354", "공시열람")</f>
        <v/>
      </c>
    </row>
    <row r="1983">
      <c r="A1983" s="2" t="inlineStr">
        <is>
          <t>2026-03-10</t>
        </is>
      </c>
      <c r="B1983" s="3" t="inlineStr">
        <is>
          <t>디아이티</t>
        </is>
      </c>
      <c r="C1983" s="2" t="inlineStr">
        <is>
          <t>코스닥</t>
        </is>
      </c>
      <c r="D1983" s="2" t="inlineStr">
        <is>
          <t>110990</t>
        </is>
      </c>
      <c r="E1983" s="3" t="inlineStr">
        <is>
          <t>주주총회소집공고</t>
        </is>
      </c>
      <c r="F1983" s="3" t="inlineStr">
        <is>
          <t>디아이티</t>
        </is>
      </c>
      <c r="G1983" s="2" t="inlineStr">
        <is>
          <t>20260310002350</t>
        </is>
      </c>
      <c r="H1983" s="8">
        <f>HYPERLINK("https://dart.fss.or.kr/dsaf001/main.do?rcpNo=20260310002350", "공시열람")</f>
        <v/>
      </c>
    </row>
    <row r="1984">
      <c r="A1984" s="2" t="inlineStr">
        <is>
          <t>2026-03-10</t>
        </is>
      </c>
      <c r="B1984" s="3" t="inlineStr">
        <is>
          <t>센코</t>
        </is>
      </c>
      <c r="C1984" s="2" t="inlineStr">
        <is>
          <t>코스닥</t>
        </is>
      </c>
      <c r="D1984" s="2" t="inlineStr">
        <is>
          <t>347000</t>
        </is>
      </c>
      <c r="E1984" s="3" t="inlineStr">
        <is>
          <t>주주총회소집공고</t>
        </is>
      </c>
      <c r="F1984" s="3" t="inlineStr">
        <is>
          <t>센코</t>
        </is>
      </c>
      <c r="G1984" s="2" t="inlineStr">
        <is>
          <t>20260310002345</t>
        </is>
      </c>
      <c r="H1984" s="8">
        <f>HYPERLINK("https://dart.fss.or.kr/dsaf001/main.do?rcpNo=20260310002345", "공시열람")</f>
        <v/>
      </c>
    </row>
    <row r="1985">
      <c r="A1985" s="2" t="inlineStr">
        <is>
          <t>2026-03-10</t>
        </is>
      </c>
      <c r="B1985" s="3" t="inlineStr">
        <is>
          <t>센코</t>
        </is>
      </c>
      <c r="C1985" s="2" t="inlineStr">
        <is>
          <t>코스닥</t>
        </is>
      </c>
      <c r="D1985" s="2" t="inlineStr">
        <is>
          <t>347000</t>
        </is>
      </c>
      <c r="E1985" s="3" t="inlineStr">
        <is>
          <t xml:space="preserve">주주총회집중일개최사유신고              </t>
        </is>
      </c>
      <c r="F1985" s="3" t="inlineStr">
        <is>
          <t>센코</t>
        </is>
      </c>
      <c r="G1985" s="2" t="inlineStr">
        <is>
          <t>20260310900612</t>
        </is>
      </c>
      <c r="H1985" s="8">
        <f>HYPERLINK("https://dart.fss.or.kr/dsaf001/main.do?rcpNo=20260310900612", "공시열람")</f>
        <v/>
      </c>
    </row>
    <row r="1986">
      <c r="A1986" s="2" t="inlineStr">
        <is>
          <t>2026-03-10</t>
        </is>
      </c>
      <c r="B1986" s="3" t="inlineStr">
        <is>
          <t>디아이티</t>
        </is>
      </c>
      <c r="C1986" s="2" t="inlineStr">
        <is>
          <t>코스닥</t>
        </is>
      </c>
      <c r="D1986" s="2" t="inlineStr">
        <is>
          <t>110990</t>
        </is>
      </c>
      <c r="E1986" s="3" t="inlineStr">
        <is>
          <t xml:space="preserve">주주총회소집결의              </t>
        </is>
      </c>
      <c r="F1986" s="3" t="inlineStr">
        <is>
          <t>디아이티</t>
        </is>
      </c>
      <c r="G1986" s="2" t="inlineStr">
        <is>
          <t>20260310900599</t>
        </is>
      </c>
      <c r="H1986" s="8">
        <f>HYPERLINK("https://dart.fss.or.kr/dsaf001/main.do?rcpNo=20260310900599", "공시열람")</f>
        <v/>
      </c>
    </row>
    <row r="1987">
      <c r="A1987" s="2" t="inlineStr">
        <is>
          <t>2026-03-10</t>
        </is>
      </c>
      <c r="B1987" s="3" t="inlineStr">
        <is>
          <t>에이치케이</t>
        </is>
      </c>
      <c r="C1987" s="2" t="inlineStr">
        <is>
          <t>코스닥</t>
        </is>
      </c>
      <c r="D1987" s="2" t="inlineStr">
        <is>
          <t>044780</t>
        </is>
      </c>
      <c r="E1987" s="3" t="inlineStr">
        <is>
          <t>주주총회소집공고</t>
        </is>
      </c>
      <c r="F1987" s="3" t="inlineStr">
        <is>
          <t>에이치케이</t>
        </is>
      </c>
      <c r="G1987" s="2" t="inlineStr">
        <is>
          <t>20260310002339</t>
        </is>
      </c>
      <c r="H1987" s="8">
        <f>HYPERLINK("https://dart.fss.or.kr/dsaf001/main.do?rcpNo=20260310002339", "공시열람")</f>
        <v/>
      </c>
    </row>
    <row r="1988">
      <c r="A1988" s="2" t="inlineStr">
        <is>
          <t>2026-03-10</t>
        </is>
      </c>
      <c r="B1988" s="3" t="inlineStr">
        <is>
          <t>성광벤드</t>
        </is>
      </c>
      <c r="C1988" s="2" t="inlineStr">
        <is>
          <t>코스닥</t>
        </is>
      </c>
      <c r="D1988" s="2" t="inlineStr">
        <is>
          <t>014620</t>
        </is>
      </c>
      <c r="E1988" s="3" t="inlineStr">
        <is>
          <t xml:space="preserve">주주총회소집결의              </t>
        </is>
      </c>
      <c r="F1988" s="3" t="inlineStr">
        <is>
          <t>성광벤드</t>
        </is>
      </c>
      <c r="G1988" s="2" t="inlineStr">
        <is>
          <t>20260310900550</t>
        </is>
      </c>
      <c r="H1988" s="8">
        <f>HYPERLINK("https://dart.fss.or.kr/dsaf001/main.do?rcpNo=20260310900550", "공시열람")</f>
        <v/>
      </c>
    </row>
    <row r="1989">
      <c r="A1989" s="2" t="inlineStr">
        <is>
          <t>2026-03-10</t>
        </is>
      </c>
      <c r="B1989" s="3" t="inlineStr">
        <is>
          <t>에이에프더블류</t>
        </is>
      </c>
      <c r="C1989" s="2" t="inlineStr">
        <is>
          <t>코스닥</t>
        </is>
      </c>
      <c r="D1989" s="2" t="inlineStr">
        <is>
          <t>312610</t>
        </is>
      </c>
      <c r="E1989" s="3" t="inlineStr">
        <is>
          <t>주주총회소집공고</t>
        </is>
      </c>
      <c r="F1989" s="3" t="inlineStr">
        <is>
          <t>에이에프더블류</t>
        </is>
      </c>
      <c r="G1989" s="2" t="inlineStr">
        <is>
          <t>20260310002337</t>
        </is>
      </c>
      <c r="H1989" s="8">
        <f>HYPERLINK("https://dart.fss.or.kr/dsaf001/main.do?rcpNo=20260310002337", "공시열람")</f>
        <v/>
      </c>
    </row>
    <row r="1990">
      <c r="A1990" s="2" t="inlineStr">
        <is>
          <t>2026-03-10</t>
        </is>
      </c>
      <c r="B1990" s="3" t="inlineStr">
        <is>
          <t>세나테크놀로지</t>
        </is>
      </c>
      <c r="C1990" s="2" t="inlineStr">
        <is>
          <t>코스닥</t>
        </is>
      </c>
      <c r="D1990" s="2" t="inlineStr">
        <is>
          <t>061090</t>
        </is>
      </c>
      <c r="E1990" s="3" t="inlineStr">
        <is>
          <t>주주총회소집공고</t>
        </is>
      </c>
      <c r="F1990" s="3" t="inlineStr">
        <is>
          <t>세나테크놀로지</t>
        </is>
      </c>
      <c r="G1990" s="2" t="inlineStr">
        <is>
          <t>20260310002335</t>
        </is>
      </c>
      <c r="H1990" s="8">
        <f>HYPERLINK("https://dart.fss.or.kr/dsaf001/main.do?rcpNo=20260310002335", "공시열람")</f>
        <v/>
      </c>
    </row>
    <row r="1991">
      <c r="A1991" s="2" t="inlineStr">
        <is>
          <t>2026-03-10</t>
        </is>
      </c>
      <c r="B1991" s="3" t="inlineStr">
        <is>
          <t>알로이스</t>
        </is>
      </c>
      <c r="C1991" s="2" t="inlineStr">
        <is>
          <t>코스닥</t>
        </is>
      </c>
      <c r="D1991" s="2" t="inlineStr">
        <is>
          <t>297570</t>
        </is>
      </c>
      <c r="E1991" s="3" t="inlineStr">
        <is>
          <t xml:space="preserve">주주총회소집결의              </t>
        </is>
      </c>
      <c r="F1991" s="3" t="inlineStr">
        <is>
          <t>알로이스</t>
        </is>
      </c>
      <c r="G1991" s="2" t="inlineStr">
        <is>
          <t>20260310900568</t>
        </is>
      </c>
      <c r="H1991" s="8">
        <f>HYPERLINK("https://dart.fss.or.kr/dsaf001/main.do?rcpNo=20260310900568", "공시열람")</f>
        <v/>
      </c>
    </row>
    <row r="1992">
      <c r="A1992" s="2" t="inlineStr">
        <is>
          <t>2026-03-10</t>
        </is>
      </c>
      <c r="B1992" s="3" t="inlineStr">
        <is>
          <t>동우팜투테이블</t>
        </is>
      </c>
      <c r="C1992" s="2" t="inlineStr">
        <is>
          <t>코스닥</t>
        </is>
      </c>
      <c r="D1992" s="2" t="inlineStr">
        <is>
          <t>088910</t>
        </is>
      </c>
      <c r="E1992" s="3" t="inlineStr">
        <is>
          <t xml:space="preserve">주주총회소집결의              </t>
        </is>
      </c>
      <c r="F1992" s="3" t="inlineStr">
        <is>
          <t>동우팜투테이블</t>
        </is>
      </c>
      <c r="G1992" s="2" t="inlineStr">
        <is>
          <t>20260310900558</t>
        </is>
      </c>
      <c r="H1992" s="8">
        <f>HYPERLINK("https://dart.fss.or.kr/dsaf001/main.do?rcpNo=20260310900558", "공시열람")</f>
        <v/>
      </c>
    </row>
    <row r="1993">
      <c r="A1993" s="2" t="inlineStr">
        <is>
          <t>2026-03-10 (정정: 2026-03-10)</t>
        </is>
      </c>
      <c r="B1993" s="3" t="inlineStr">
        <is>
          <t>라파스</t>
        </is>
      </c>
      <c r="C1993" s="2" t="inlineStr">
        <is>
          <t>코스닥</t>
        </is>
      </c>
      <c r="D1993" s="2" t="inlineStr">
        <is>
          <t>214260</t>
        </is>
      </c>
      <c r="E1993" s="3" t="inlineStr">
        <is>
          <t>주주총회소집공고 (정정: 20260310)</t>
        </is>
      </c>
      <c r="F1993" s="3" t="inlineStr">
        <is>
          <t>라파스</t>
        </is>
      </c>
      <c r="G1993" s="2" t="inlineStr">
        <is>
          <t>20260310900480</t>
        </is>
      </c>
      <c r="H1993" s="8">
        <f>HYPERLINK("https://dart.fss.or.kr/dsaf001/main.do?rcpNo=20260310900480", "공시열람")</f>
        <v/>
      </c>
    </row>
    <row r="1994">
      <c r="A1994" s="2" t="inlineStr">
        <is>
          <t>2026-03-10</t>
        </is>
      </c>
      <c r="B1994" s="3" t="inlineStr">
        <is>
          <t>링크드</t>
        </is>
      </c>
      <c r="C1994" s="2" t="inlineStr">
        <is>
          <t>코스닥</t>
        </is>
      </c>
      <c r="D1994" s="2" t="inlineStr">
        <is>
          <t>193250</t>
        </is>
      </c>
      <c r="E1994" s="3" t="inlineStr">
        <is>
          <t xml:space="preserve">주주총회소집결의              </t>
        </is>
      </c>
      <c r="F1994" s="3" t="inlineStr">
        <is>
          <t>링크드</t>
        </is>
      </c>
      <c r="G1994" s="2" t="inlineStr">
        <is>
          <t>20260310900557</t>
        </is>
      </c>
      <c r="H1994" s="8">
        <f>HYPERLINK("https://dart.fss.or.kr/dsaf001/main.do?rcpNo=20260310900557", "공시열람")</f>
        <v/>
      </c>
    </row>
    <row r="1995">
      <c r="A1995" s="2" t="inlineStr">
        <is>
          <t>2026-03-10</t>
        </is>
      </c>
      <c r="B1995" s="3" t="inlineStr">
        <is>
          <t>아이퀘스트</t>
        </is>
      </c>
      <c r="C1995" s="2" t="inlineStr">
        <is>
          <t>코스닥</t>
        </is>
      </c>
      <c r="D1995" s="2" t="inlineStr">
        <is>
          <t>262840</t>
        </is>
      </c>
      <c r="E1995" s="3" t="inlineStr">
        <is>
          <t xml:space="preserve">주주총회소집결의              </t>
        </is>
      </c>
      <c r="F1995" s="3" t="inlineStr">
        <is>
          <t>아이퀘스트</t>
        </is>
      </c>
      <c r="G1995" s="2" t="inlineStr">
        <is>
          <t>20260310900581</t>
        </is>
      </c>
      <c r="H1995" s="8">
        <f>HYPERLINK("https://dart.fss.or.kr/dsaf001/main.do?rcpNo=20260310900581", "공시열람")</f>
        <v/>
      </c>
    </row>
    <row r="1996">
      <c r="A1996" s="2" t="inlineStr">
        <is>
          <t>2026-03-10</t>
        </is>
      </c>
      <c r="B1996" s="3" t="inlineStr">
        <is>
          <t>제이피아이헬스케어</t>
        </is>
      </c>
      <c r="C1996" s="2" t="inlineStr">
        <is>
          <t>코스닥</t>
        </is>
      </c>
      <c r="D1996" s="2" t="inlineStr">
        <is>
          <t>0010V0</t>
        </is>
      </c>
      <c r="E1996" s="3" t="inlineStr">
        <is>
          <t xml:space="preserve">주주총회소집결의              </t>
        </is>
      </c>
      <c r="F1996" s="3" t="inlineStr">
        <is>
          <t>제이피아이헬스케어</t>
        </is>
      </c>
      <c r="G1996" s="2" t="inlineStr">
        <is>
          <t>20260310900551</t>
        </is>
      </c>
      <c r="H1996" s="8">
        <f>HYPERLINK("https://dart.fss.or.kr/dsaf001/main.do?rcpNo=20260310900551", "공시열람")</f>
        <v/>
      </c>
    </row>
    <row r="1997">
      <c r="A1997" s="2" t="inlineStr">
        <is>
          <t>2026-03-10</t>
        </is>
      </c>
      <c r="B1997" s="3" t="inlineStr">
        <is>
          <t>모델솔루션</t>
        </is>
      </c>
      <c r="C1997" s="2" t="inlineStr">
        <is>
          <t>코스닥</t>
        </is>
      </c>
      <c r="D1997" s="2" t="inlineStr">
        <is>
          <t>417970</t>
        </is>
      </c>
      <c r="E1997" s="3" t="inlineStr">
        <is>
          <t xml:space="preserve">주주총회소집결의              </t>
        </is>
      </c>
      <c r="F1997" s="3" t="inlineStr">
        <is>
          <t>모델솔루션</t>
        </is>
      </c>
      <c r="G1997" s="2" t="inlineStr">
        <is>
          <t>20260310900544</t>
        </is>
      </c>
      <c r="H1997" s="8">
        <f>HYPERLINK("https://dart.fss.or.kr/dsaf001/main.do?rcpNo=20260310900544", "공시열람")</f>
        <v/>
      </c>
    </row>
    <row r="1998">
      <c r="A1998" s="2" t="inlineStr">
        <is>
          <t>2026-03-10</t>
        </is>
      </c>
      <c r="B1998" s="3" t="inlineStr">
        <is>
          <t>기산텔레콤</t>
        </is>
      </c>
      <c r="C1998" s="2" t="inlineStr">
        <is>
          <t>코스닥</t>
        </is>
      </c>
      <c r="D1998" s="2" t="inlineStr">
        <is>
          <t>035460</t>
        </is>
      </c>
      <c r="E1998" s="3" t="inlineStr">
        <is>
          <t>주주총회소집공고</t>
        </is>
      </c>
      <c r="F1998" s="3" t="inlineStr">
        <is>
          <t>기산텔레콤</t>
        </is>
      </c>
      <c r="G1998" s="2" t="inlineStr">
        <is>
          <t>20260310002324</t>
        </is>
      </c>
      <c r="H1998" s="8">
        <f>HYPERLINK("https://dart.fss.or.kr/dsaf001/main.do?rcpNo=20260310002324", "공시열람")</f>
        <v/>
      </c>
    </row>
    <row r="1999">
      <c r="A1999" s="2" t="inlineStr">
        <is>
          <t>2026-03-10</t>
        </is>
      </c>
      <c r="B1999" s="3" t="inlineStr">
        <is>
          <t>에이에프더블류</t>
        </is>
      </c>
      <c r="C1999" s="2" t="inlineStr">
        <is>
          <t>코스닥</t>
        </is>
      </c>
      <c r="D1999" s="2" t="inlineStr">
        <is>
          <t>312610</t>
        </is>
      </c>
      <c r="E1999" s="3" t="inlineStr">
        <is>
          <t xml:space="preserve">주주총회소집결의              </t>
        </is>
      </c>
      <c r="F1999" s="3" t="inlineStr">
        <is>
          <t>에이에프더블류</t>
        </is>
      </c>
      <c r="G1999" s="2" t="inlineStr">
        <is>
          <t>20260310900543</t>
        </is>
      </c>
      <c r="H1999" s="8">
        <f>HYPERLINK("https://dart.fss.or.kr/dsaf001/main.do?rcpNo=20260310900543", "공시열람")</f>
        <v/>
      </c>
    </row>
    <row r="2000">
      <c r="A2000" s="2" t="inlineStr">
        <is>
          <t>2026-03-10</t>
        </is>
      </c>
      <c r="B2000" s="3" t="inlineStr">
        <is>
          <t>디와이덕양</t>
        </is>
      </c>
      <c r="C2000" s="2" t="inlineStr">
        <is>
          <t>코스피</t>
        </is>
      </c>
      <c r="D2000" s="2" t="inlineStr">
        <is>
          <t>024900</t>
        </is>
      </c>
      <c r="E2000" s="3" t="inlineStr">
        <is>
          <t>주주총회소집공고</t>
        </is>
      </c>
      <c r="F2000" s="3" t="inlineStr">
        <is>
          <t>디와이덕양</t>
        </is>
      </c>
      <c r="G2000" s="2" t="inlineStr">
        <is>
          <t>20260310002314</t>
        </is>
      </c>
      <c r="H2000" s="8">
        <f>HYPERLINK("https://dart.fss.or.kr/dsaf001/main.do?rcpNo=20260310002314", "공시열람")</f>
        <v/>
      </c>
    </row>
    <row r="2001">
      <c r="A2001" s="2" t="inlineStr">
        <is>
          <t>2026-03-10</t>
        </is>
      </c>
      <c r="B2001" s="3" t="inlineStr">
        <is>
          <t>자람테크놀로지</t>
        </is>
      </c>
      <c r="C2001" s="2" t="inlineStr">
        <is>
          <t>코스닥</t>
        </is>
      </c>
      <c r="D2001" s="2" t="inlineStr">
        <is>
          <t>389020</t>
        </is>
      </c>
      <c r="E2001" s="3" t="inlineStr">
        <is>
          <t>주주총회소집공고</t>
        </is>
      </c>
      <c r="F2001" s="3" t="inlineStr">
        <is>
          <t>자람테크놀로지</t>
        </is>
      </c>
      <c r="G2001" s="2" t="inlineStr">
        <is>
          <t>20260310002312</t>
        </is>
      </c>
      <c r="H2001" s="8">
        <f>HYPERLINK("https://dart.fss.or.kr/dsaf001/main.do?rcpNo=20260310002312", "공시열람")</f>
        <v/>
      </c>
    </row>
    <row r="2002">
      <c r="A2002" s="2" t="inlineStr">
        <is>
          <t>2026-03-10</t>
        </is>
      </c>
      <c r="B2002" s="3" t="inlineStr">
        <is>
          <t>씨엔알리서치</t>
        </is>
      </c>
      <c r="C2002" s="2" t="inlineStr">
        <is>
          <t>코스닥</t>
        </is>
      </c>
      <c r="D2002" s="2" t="inlineStr">
        <is>
          <t>359090</t>
        </is>
      </c>
      <c r="E2002" s="3" t="inlineStr">
        <is>
          <t>주주총회소집공고</t>
        </is>
      </c>
      <c r="F2002" s="3" t="inlineStr">
        <is>
          <t>씨엔알리서치</t>
        </is>
      </c>
      <c r="G2002" s="2" t="inlineStr">
        <is>
          <t>20260310002308</t>
        </is>
      </c>
      <c r="H2002" s="8">
        <f>HYPERLINK("https://dart.fss.or.kr/dsaf001/main.do?rcpNo=20260310002308", "공시열람")</f>
        <v/>
      </c>
    </row>
    <row r="2003">
      <c r="A2003" s="2" t="inlineStr">
        <is>
          <t>2026-03-10</t>
        </is>
      </c>
      <c r="B2003" s="3" t="inlineStr">
        <is>
          <t>SG글로벌</t>
        </is>
      </c>
      <c r="C2003" s="2" t="inlineStr">
        <is>
          <t>코스피</t>
        </is>
      </c>
      <c r="D2003" s="2" t="inlineStr">
        <is>
          <t>001380</t>
        </is>
      </c>
      <c r="E2003" s="3" t="inlineStr">
        <is>
          <t xml:space="preserve">주주총회소집결의              </t>
        </is>
      </c>
      <c r="F2003" s="3" t="inlineStr">
        <is>
          <t>SG글로벌</t>
        </is>
      </c>
      <c r="G2003" s="2" t="inlineStr">
        <is>
          <t>20260310800563</t>
        </is>
      </c>
      <c r="H2003" s="8">
        <f>HYPERLINK("https://dart.fss.or.kr/dsaf001/main.do?rcpNo=20260310800563", "공시열람")</f>
        <v/>
      </c>
    </row>
    <row r="2004">
      <c r="A2004" s="2" t="inlineStr">
        <is>
          <t>2026-03-10</t>
        </is>
      </c>
      <c r="B2004" s="3" t="inlineStr">
        <is>
          <t>한글과컴퓨터</t>
        </is>
      </c>
      <c r="C2004" s="2" t="inlineStr">
        <is>
          <t>코스닥</t>
        </is>
      </c>
      <c r="D2004" s="2" t="inlineStr">
        <is>
          <t>030520</t>
        </is>
      </c>
      <c r="E2004" s="3" t="inlineStr">
        <is>
          <t>주주총회소집공고</t>
        </is>
      </c>
      <c r="F2004" s="3" t="inlineStr">
        <is>
          <t>한글과컴퓨터</t>
        </is>
      </c>
      <c r="G2004" s="2" t="inlineStr">
        <is>
          <t>20260310002303</t>
        </is>
      </c>
      <c r="H2004" s="8">
        <f>HYPERLINK("https://dart.fss.or.kr/dsaf001/main.do?rcpNo=20260310002303", "공시열람")</f>
        <v/>
      </c>
    </row>
    <row r="2005">
      <c r="A2005" s="2" t="inlineStr">
        <is>
          <t>2026-03-10</t>
        </is>
      </c>
      <c r="B2005" s="3" t="inlineStr">
        <is>
          <t>지엠비코리아</t>
        </is>
      </c>
      <c r="C2005" s="2" t="inlineStr">
        <is>
          <t>코스피</t>
        </is>
      </c>
      <c r="D2005" s="2" t="inlineStr">
        <is>
          <t>013870</t>
        </is>
      </c>
      <c r="E2005" s="3" t="inlineStr">
        <is>
          <t xml:space="preserve">주주총회소집결의              </t>
        </is>
      </c>
      <c r="F2005" s="3" t="inlineStr">
        <is>
          <t>지엠비코리아</t>
        </is>
      </c>
      <c r="G2005" s="2" t="inlineStr">
        <is>
          <t>20260310800547</t>
        </is>
      </c>
      <c r="H2005" s="8">
        <f>HYPERLINK("https://dart.fss.or.kr/dsaf001/main.do?rcpNo=20260310800547", "공시열람")</f>
        <v/>
      </c>
    </row>
    <row r="2006">
      <c r="A2006" s="2" t="inlineStr">
        <is>
          <t>2026-03-10</t>
        </is>
      </c>
      <c r="B2006" s="3" t="inlineStr">
        <is>
          <t>KC산업</t>
        </is>
      </c>
      <c r="C2006" s="2" t="inlineStr">
        <is>
          <t>코넥스</t>
        </is>
      </c>
      <c r="D2006" s="2" t="inlineStr">
        <is>
          <t>112190</t>
        </is>
      </c>
      <c r="E2006" s="3" t="inlineStr">
        <is>
          <t xml:space="preserve">주주총회집중일개최사유신고              </t>
        </is>
      </c>
      <c r="F2006" s="3" t="inlineStr">
        <is>
          <t>KC산업</t>
        </is>
      </c>
      <c r="G2006" s="2" t="inlineStr">
        <is>
          <t>20260310600556</t>
        </is>
      </c>
      <c r="H2006" s="8">
        <f>HYPERLINK("https://dart.fss.or.kr/dsaf001/main.do?rcpNo=20260310600556", "공시열람")</f>
        <v/>
      </c>
    </row>
    <row r="2007">
      <c r="A2007" s="2" t="inlineStr">
        <is>
          <t>2026-03-10</t>
        </is>
      </c>
      <c r="B2007" s="3" t="inlineStr">
        <is>
          <t>KC산업</t>
        </is>
      </c>
      <c r="C2007" s="2" t="inlineStr">
        <is>
          <t>코넥스</t>
        </is>
      </c>
      <c r="D2007" s="2" t="inlineStr">
        <is>
          <t>112190</t>
        </is>
      </c>
      <c r="E2007" s="3" t="inlineStr">
        <is>
          <t xml:space="preserve">주주총회소집결의              </t>
        </is>
      </c>
      <c r="F2007" s="3" t="inlineStr">
        <is>
          <t>KC산업</t>
        </is>
      </c>
      <c r="G2007" s="2" t="inlineStr">
        <is>
          <t>20260310600553</t>
        </is>
      </c>
      <c r="H2007" s="8">
        <f>HYPERLINK("https://dart.fss.or.kr/dsaf001/main.do?rcpNo=20260310600553", "공시열람")</f>
        <v/>
      </c>
    </row>
    <row r="2008">
      <c r="A2008" s="2" t="inlineStr">
        <is>
          <t>2026-03-10</t>
        </is>
      </c>
      <c r="B2008" s="3" t="inlineStr">
        <is>
          <t>다날</t>
        </is>
      </c>
      <c r="C2008" s="2" t="inlineStr">
        <is>
          <t>코스닥</t>
        </is>
      </c>
      <c r="D2008" s="2" t="inlineStr">
        <is>
          <t>064260</t>
        </is>
      </c>
      <c r="E2008" s="3" t="inlineStr">
        <is>
          <t xml:space="preserve">주주총회집중일개최사유신고              </t>
        </is>
      </c>
      <c r="F2008" s="3" t="inlineStr">
        <is>
          <t>다날</t>
        </is>
      </c>
      <c r="G2008" s="2" t="inlineStr">
        <is>
          <t>20260310900542</t>
        </is>
      </c>
      <c r="H2008" s="8">
        <f>HYPERLINK("https://dart.fss.or.kr/dsaf001/main.do?rcpNo=20260310900542", "공시열람")</f>
        <v/>
      </c>
    </row>
    <row r="2009">
      <c r="A2009" s="2" t="inlineStr">
        <is>
          <t>2026-03-10</t>
        </is>
      </c>
      <c r="B2009" s="3" t="inlineStr">
        <is>
          <t>다날</t>
        </is>
      </c>
      <c r="C2009" s="2" t="inlineStr">
        <is>
          <t>코스닥</t>
        </is>
      </c>
      <c r="D2009" s="2" t="inlineStr">
        <is>
          <t>064260</t>
        </is>
      </c>
      <c r="E2009" s="3" t="inlineStr">
        <is>
          <t xml:space="preserve">주주총회소집결의              </t>
        </is>
      </c>
      <c r="F2009" s="3" t="inlineStr">
        <is>
          <t>다날</t>
        </is>
      </c>
      <c r="G2009" s="2" t="inlineStr">
        <is>
          <t>20260310900540</t>
        </is>
      </c>
      <c r="H2009" s="8">
        <f>HYPERLINK("https://dart.fss.or.kr/dsaf001/main.do?rcpNo=20260310900540", "공시열람")</f>
        <v/>
      </c>
    </row>
    <row r="2010">
      <c r="A2010" s="2" t="inlineStr">
        <is>
          <t>2026-03-10 (정정: 2026-03-10)</t>
        </is>
      </c>
      <c r="B2010" s="3" t="inlineStr">
        <is>
          <t>성문전자</t>
        </is>
      </c>
      <c r="C2010" s="2" t="inlineStr">
        <is>
          <t>코스피</t>
        </is>
      </c>
      <c r="D2010" s="2" t="inlineStr">
        <is>
          <t>014910</t>
        </is>
      </c>
      <c r="E2010" s="3" t="inlineStr">
        <is>
          <t>주주총회소집공고 (정정: 20260310)</t>
        </is>
      </c>
      <c r="F2010" s="3" t="inlineStr">
        <is>
          <t>성문전자</t>
        </is>
      </c>
      <c r="G2010" s="2" t="inlineStr">
        <is>
          <t>20260310800508</t>
        </is>
      </c>
      <c r="H2010" s="8">
        <f>HYPERLINK("https://dart.fss.or.kr/dsaf001/main.do?rcpNo=20260310800508", "공시열람")</f>
        <v/>
      </c>
    </row>
    <row r="2011">
      <c r="A2011" s="2" t="inlineStr">
        <is>
          <t>2026-03-10 (정정: 2026-03-10)</t>
        </is>
      </c>
      <c r="B2011" s="3" t="inlineStr">
        <is>
          <t>에스넷</t>
        </is>
      </c>
      <c r="C2011" s="2" t="inlineStr">
        <is>
          <t>코스닥</t>
        </is>
      </c>
      <c r="D2011" s="2" t="inlineStr">
        <is>
          <t>038680</t>
        </is>
      </c>
      <c r="E2011" s="3" t="inlineStr">
        <is>
          <t>주주총회소집공고 (정정: 20260310)</t>
        </is>
      </c>
      <c r="F2011" s="3" t="inlineStr">
        <is>
          <t>에스넷</t>
        </is>
      </c>
      <c r="G2011" s="2" t="inlineStr">
        <is>
          <t>20260310900446</t>
        </is>
      </c>
      <c r="H2011" s="8">
        <f>HYPERLINK("https://dart.fss.or.kr/dsaf001/main.do?rcpNo=20260310900446", "공시열람")</f>
        <v/>
      </c>
    </row>
    <row r="2012">
      <c r="A2012" s="2" t="inlineStr">
        <is>
          <t>2026-03-10</t>
        </is>
      </c>
      <c r="B2012" s="3" t="inlineStr">
        <is>
          <t>씨티알모빌리티</t>
        </is>
      </c>
      <c r="C2012" s="2" t="inlineStr">
        <is>
          <t>코스피</t>
        </is>
      </c>
      <c r="D2012" s="2" t="inlineStr">
        <is>
          <t>308170</t>
        </is>
      </c>
      <c r="E2012" s="3" t="inlineStr">
        <is>
          <t>주주총회소집공고</t>
        </is>
      </c>
      <c r="F2012" s="3" t="inlineStr">
        <is>
          <t>씨티알모빌리티</t>
        </is>
      </c>
      <c r="G2012" s="2" t="inlineStr">
        <is>
          <t>20260310002289</t>
        </is>
      </c>
      <c r="H2012" s="8">
        <f>HYPERLINK("https://dart.fss.or.kr/dsaf001/main.do?rcpNo=20260310002289", "공시열람")</f>
        <v/>
      </c>
    </row>
    <row r="2013">
      <c r="A2013" s="2" t="inlineStr">
        <is>
          <t>2026-03-10</t>
        </is>
      </c>
      <c r="B2013" s="3" t="inlineStr">
        <is>
          <t>대한조선</t>
        </is>
      </c>
      <c r="C2013" s="2" t="inlineStr">
        <is>
          <t>코스피</t>
        </is>
      </c>
      <c r="D2013" s="2" t="inlineStr">
        <is>
          <t>439260</t>
        </is>
      </c>
      <c r="E2013" s="3" t="inlineStr">
        <is>
          <t xml:space="preserve">주주총회소집결의              </t>
        </is>
      </c>
      <c r="F2013" s="3" t="inlineStr">
        <is>
          <t>대한조선</t>
        </is>
      </c>
      <c r="G2013" s="2" t="inlineStr">
        <is>
          <t>20260310800527</t>
        </is>
      </c>
      <c r="H2013" s="8">
        <f>HYPERLINK("https://dart.fss.or.kr/dsaf001/main.do?rcpNo=20260310800527", "공시열람")</f>
        <v/>
      </c>
    </row>
    <row r="2014">
      <c r="A2014" s="2" t="inlineStr">
        <is>
          <t>2026-03-10</t>
        </is>
      </c>
      <c r="B2014" s="3" t="inlineStr">
        <is>
          <t>선진뷰티사이언스</t>
        </is>
      </c>
      <c r="C2014" s="2" t="inlineStr">
        <is>
          <t>코스닥</t>
        </is>
      </c>
      <c r="D2014" s="2" t="inlineStr">
        <is>
          <t>086710</t>
        </is>
      </c>
      <c r="E2014" s="3" t="inlineStr">
        <is>
          <t>주주총회소집공고</t>
        </is>
      </c>
      <c r="F2014" s="3" t="inlineStr">
        <is>
          <t>선진뷰티사이언스</t>
        </is>
      </c>
      <c r="G2014" s="2" t="inlineStr">
        <is>
          <t>20260310002288</t>
        </is>
      </c>
      <c r="H2014" s="8">
        <f>HYPERLINK("https://dart.fss.or.kr/dsaf001/main.do?rcpNo=20260310002288", "공시열람")</f>
        <v/>
      </c>
    </row>
    <row r="2015">
      <c r="A2015" s="2" t="inlineStr">
        <is>
          <t>2026-03-10</t>
        </is>
      </c>
      <c r="B2015" s="3" t="inlineStr">
        <is>
          <t>셀리드</t>
        </is>
      </c>
      <c r="C2015" s="2" t="inlineStr">
        <is>
          <t>코스닥</t>
        </is>
      </c>
      <c r="D2015" s="2" t="inlineStr">
        <is>
          <t>299660</t>
        </is>
      </c>
      <c r="E2015" s="3" t="inlineStr">
        <is>
          <t>주주총회소집공고</t>
        </is>
      </c>
      <c r="F2015" s="3" t="inlineStr">
        <is>
          <t>셀리드</t>
        </is>
      </c>
      <c r="G2015" s="2" t="inlineStr">
        <is>
          <t>20260310002286</t>
        </is>
      </c>
      <c r="H2015" s="8">
        <f>HYPERLINK("https://dart.fss.or.kr/dsaf001/main.do?rcpNo=20260310002286", "공시열람")</f>
        <v/>
      </c>
    </row>
    <row r="2016">
      <c r="A2016" s="2" t="inlineStr">
        <is>
          <t>2026-03-10</t>
        </is>
      </c>
      <c r="B2016" s="3" t="inlineStr">
        <is>
          <t>씨티알모빌리티</t>
        </is>
      </c>
      <c r="C2016" s="2" t="inlineStr">
        <is>
          <t>코스피</t>
        </is>
      </c>
      <c r="D2016" s="2" t="inlineStr">
        <is>
          <t>308170</t>
        </is>
      </c>
      <c r="E2016" s="3" t="inlineStr">
        <is>
          <t xml:space="preserve">주주총회소집결의              </t>
        </is>
      </c>
      <c r="F2016" s="3" t="inlineStr">
        <is>
          <t>씨티알모빌리티</t>
        </is>
      </c>
      <c r="G2016" s="2" t="inlineStr">
        <is>
          <t>20260310800520</t>
        </is>
      </c>
      <c r="H2016" s="8">
        <f>HYPERLINK("https://dart.fss.or.kr/dsaf001/main.do?rcpNo=20260310800520", "공시열람")</f>
        <v/>
      </c>
    </row>
    <row r="2017">
      <c r="A2017" s="2" t="inlineStr">
        <is>
          <t>2026-03-10</t>
        </is>
      </c>
      <c r="B2017" s="3" t="inlineStr">
        <is>
          <t>키다리스튜디오</t>
        </is>
      </c>
      <c r="C2017" s="2" t="inlineStr">
        <is>
          <t>코스피</t>
        </is>
      </c>
      <c r="D2017" s="2" t="inlineStr">
        <is>
          <t>020120</t>
        </is>
      </c>
      <c r="E2017" s="3" t="inlineStr">
        <is>
          <t>주주총회소집공고</t>
        </is>
      </c>
      <c r="F2017" s="3" t="inlineStr">
        <is>
          <t>키다리스튜디오</t>
        </is>
      </c>
      <c r="G2017" s="2" t="inlineStr">
        <is>
          <t>20260310002282</t>
        </is>
      </c>
      <c r="H2017" s="8">
        <f>HYPERLINK("https://dart.fss.or.kr/dsaf001/main.do?rcpNo=20260310002282", "공시열람")</f>
        <v/>
      </c>
    </row>
    <row r="2018">
      <c r="A2018" s="2" t="inlineStr">
        <is>
          <t>2026-03-10</t>
        </is>
      </c>
      <c r="B2018" s="3" t="inlineStr">
        <is>
          <t>키다리스튜디오</t>
        </is>
      </c>
      <c r="C2018" s="2" t="inlineStr">
        <is>
          <t>코스피</t>
        </is>
      </c>
      <c r="D2018" s="2" t="inlineStr">
        <is>
          <t>020120</t>
        </is>
      </c>
      <c r="E2018" s="3" t="inlineStr">
        <is>
          <t xml:space="preserve">주주총회집중일개최사유신고              </t>
        </is>
      </c>
      <c r="F2018" s="3" t="inlineStr">
        <is>
          <t>키다리스튜디오</t>
        </is>
      </c>
      <c r="G2018" s="2" t="inlineStr">
        <is>
          <t>20260310800505</t>
        </is>
      </c>
      <c r="H2018" s="8">
        <f>HYPERLINK("https://dart.fss.or.kr/dsaf001/main.do?rcpNo=20260310800505", "공시열람")</f>
        <v/>
      </c>
    </row>
    <row r="2019">
      <c r="A2019" s="2" t="inlineStr">
        <is>
          <t>2026-03-10</t>
        </is>
      </c>
      <c r="B2019" s="3" t="inlineStr">
        <is>
          <t>키다리스튜디오</t>
        </is>
      </c>
      <c r="C2019" s="2" t="inlineStr">
        <is>
          <t>코스피</t>
        </is>
      </c>
      <c r="D2019" s="2" t="inlineStr">
        <is>
          <t>020120</t>
        </is>
      </c>
      <c r="E2019" s="3" t="inlineStr">
        <is>
          <t xml:space="preserve">주주총회소집결의              </t>
        </is>
      </c>
      <c r="F2019" s="3" t="inlineStr">
        <is>
          <t>키다리스튜디오</t>
        </is>
      </c>
      <c r="G2019" s="2" t="inlineStr">
        <is>
          <t>20260310800504</t>
        </is>
      </c>
      <c r="H2019" s="8">
        <f>HYPERLINK("https://dart.fss.or.kr/dsaf001/main.do?rcpNo=20260310800504", "공시열람")</f>
        <v/>
      </c>
    </row>
    <row r="2020">
      <c r="A2020" s="2" t="inlineStr">
        <is>
          <t>2026-03-10</t>
        </is>
      </c>
      <c r="B2020" s="3" t="inlineStr">
        <is>
          <t>아이비김영</t>
        </is>
      </c>
      <c r="C2020" s="2" t="inlineStr">
        <is>
          <t>코스닥</t>
        </is>
      </c>
      <c r="D2020" s="2" t="inlineStr">
        <is>
          <t>339950</t>
        </is>
      </c>
      <c r="E2020" s="3" t="inlineStr">
        <is>
          <t>주주총회소집공고</t>
        </is>
      </c>
      <c r="F2020" s="3" t="inlineStr">
        <is>
          <t>아이비김영</t>
        </is>
      </c>
      <c r="G2020" s="2" t="inlineStr">
        <is>
          <t>20260310002279</t>
        </is>
      </c>
      <c r="H2020" s="8">
        <f>HYPERLINK("https://dart.fss.or.kr/dsaf001/main.do?rcpNo=20260310002279", "공시열람")</f>
        <v/>
      </c>
    </row>
    <row r="2021">
      <c r="A2021" s="2" t="inlineStr">
        <is>
          <t>2026-03-10</t>
        </is>
      </c>
      <c r="B2021" s="3" t="inlineStr">
        <is>
          <t>코스텍시스템</t>
        </is>
      </c>
      <c r="C2021" s="2" t="inlineStr">
        <is>
          <t>코넥스</t>
        </is>
      </c>
      <c r="D2021" s="2" t="inlineStr">
        <is>
          <t>169670</t>
        </is>
      </c>
      <c r="E2021" s="3" t="inlineStr">
        <is>
          <t>주주총회소집공고</t>
        </is>
      </c>
      <c r="F2021" s="3" t="inlineStr">
        <is>
          <t>코스텍시스템</t>
        </is>
      </c>
      <c r="G2021" s="2" t="inlineStr">
        <is>
          <t>20260310002278</t>
        </is>
      </c>
      <c r="H2021" s="8">
        <f>HYPERLINK("https://dart.fss.or.kr/dsaf001/main.do?rcpNo=20260310002278", "공시열람")</f>
        <v/>
      </c>
    </row>
    <row r="2022">
      <c r="A2022" s="2" t="inlineStr">
        <is>
          <t>2026-03-10</t>
        </is>
      </c>
      <c r="B2022" s="3" t="inlineStr">
        <is>
          <t>지오엘리먼트</t>
        </is>
      </c>
      <c r="C2022" s="2" t="inlineStr">
        <is>
          <t>코스닥</t>
        </is>
      </c>
      <c r="D2022" s="2" t="inlineStr">
        <is>
          <t>311320</t>
        </is>
      </c>
      <c r="E2022" s="3" t="inlineStr">
        <is>
          <t xml:space="preserve">주주총회집중일개최사유신고              </t>
        </is>
      </c>
      <c r="F2022" s="3" t="inlineStr">
        <is>
          <t>지오엘리먼트</t>
        </is>
      </c>
      <c r="G2022" s="2" t="inlineStr">
        <is>
          <t>20260310900499</t>
        </is>
      </c>
      <c r="H2022" s="8">
        <f>HYPERLINK("https://dart.fss.or.kr/dsaf001/main.do?rcpNo=20260310900499", "공시열람")</f>
        <v/>
      </c>
    </row>
    <row r="2023">
      <c r="A2023" s="2" t="inlineStr">
        <is>
          <t>2026-03-10</t>
        </is>
      </c>
      <c r="B2023" s="3" t="inlineStr">
        <is>
          <t>지오엘리먼트</t>
        </is>
      </c>
      <c r="C2023" s="2" t="inlineStr">
        <is>
          <t>코스닥</t>
        </is>
      </c>
      <c r="D2023" s="2" t="inlineStr">
        <is>
          <t>311320</t>
        </is>
      </c>
      <c r="E2023" s="3" t="inlineStr">
        <is>
          <t>주주총회소집공고</t>
        </is>
      </c>
      <c r="F2023" s="3" t="inlineStr">
        <is>
          <t>지오엘리먼트</t>
        </is>
      </c>
      <c r="G2023" s="2" t="inlineStr">
        <is>
          <t>20260310002275</t>
        </is>
      </c>
      <c r="H2023" s="8">
        <f>HYPERLINK("https://dart.fss.or.kr/dsaf001/main.do?rcpNo=20260310002275", "공시열람")</f>
        <v/>
      </c>
    </row>
    <row r="2024">
      <c r="A2024" s="2" t="inlineStr">
        <is>
          <t>2026-03-10</t>
        </is>
      </c>
      <c r="B2024" s="3" t="inlineStr">
        <is>
          <t>아이비김영</t>
        </is>
      </c>
      <c r="C2024" s="2" t="inlineStr">
        <is>
          <t>코스닥</t>
        </is>
      </c>
      <c r="D2024" s="2" t="inlineStr">
        <is>
          <t>339950</t>
        </is>
      </c>
      <c r="E2024" s="3" t="inlineStr">
        <is>
          <t xml:space="preserve">주주총회소집결의              </t>
        </is>
      </c>
      <c r="F2024" s="3" t="inlineStr">
        <is>
          <t>아이비김영</t>
        </is>
      </c>
      <c r="G2024" s="2" t="inlineStr">
        <is>
          <t>20260310900477</t>
        </is>
      </c>
      <c r="H2024" s="8">
        <f>HYPERLINK("https://dart.fss.or.kr/dsaf001/main.do?rcpNo=20260310900477", "공시열람")</f>
        <v/>
      </c>
    </row>
    <row r="2025">
      <c r="A2025" s="2" t="inlineStr">
        <is>
          <t>2026-03-10</t>
        </is>
      </c>
      <c r="B2025" s="3" t="inlineStr">
        <is>
          <t>지오엘리먼트</t>
        </is>
      </c>
      <c r="C2025" s="2" t="inlineStr">
        <is>
          <t>코스닥</t>
        </is>
      </c>
      <c r="D2025" s="2" t="inlineStr">
        <is>
          <t>311320</t>
        </is>
      </c>
      <c r="E2025" s="3" t="inlineStr">
        <is>
          <t xml:space="preserve">주주총회소집결의              </t>
        </is>
      </c>
      <c r="F2025" s="3" t="inlineStr">
        <is>
          <t>지오엘리먼트</t>
        </is>
      </c>
      <c r="G2025" s="2" t="inlineStr">
        <is>
          <t>20260310900463</t>
        </is>
      </c>
      <c r="H2025" s="8">
        <f>HYPERLINK("https://dart.fss.or.kr/dsaf001/main.do?rcpNo=20260310900463", "공시열람")</f>
        <v/>
      </c>
    </row>
    <row r="2026">
      <c r="A2026" s="2" t="inlineStr">
        <is>
          <t>2026-03-10</t>
        </is>
      </c>
      <c r="B2026" s="3" t="inlineStr">
        <is>
          <t>대정화금</t>
        </is>
      </c>
      <c r="C2026" s="2" t="inlineStr">
        <is>
          <t>코스닥</t>
        </is>
      </c>
      <c r="D2026" s="2" t="inlineStr">
        <is>
          <t>120240</t>
        </is>
      </c>
      <c r="E2026" s="3" t="inlineStr">
        <is>
          <t>주주총회소집공고</t>
        </is>
      </c>
      <c r="F2026" s="3" t="inlineStr">
        <is>
          <t>대정화금</t>
        </is>
      </c>
      <c r="G2026" s="2" t="inlineStr">
        <is>
          <t>20260310002267</t>
        </is>
      </c>
      <c r="H2026" s="8">
        <f>HYPERLINK("https://dart.fss.or.kr/dsaf001/main.do?rcpNo=20260310002267", "공시열람")</f>
        <v/>
      </c>
    </row>
    <row r="2027">
      <c r="A2027" s="2" t="inlineStr">
        <is>
          <t>2026-03-10</t>
        </is>
      </c>
      <c r="B2027" s="3" t="inlineStr">
        <is>
          <t>세우글로벌</t>
        </is>
      </c>
      <c r="C2027" s="2" t="inlineStr">
        <is>
          <t>코스피</t>
        </is>
      </c>
      <c r="D2027" s="2" t="inlineStr">
        <is>
          <t>013000</t>
        </is>
      </c>
      <c r="E2027" s="3" t="inlineStr">
        <is>
          <t>주주총회소집공고</t>
        </is>
      </c>
      <c r="F2027" s="3" t="inlineStr">
        <is>
          <t>세우글로벌</t>
        </is>
      </c>
      <c r="G2027" s="2" t="inlineStr">
        <is>
          <t>20260310002256</t>
        </is>
      </c>
      <c r="H2027" s="8">
        <f>HYPERLINK("https://dart.fss.or.kr/dsaf001/main.do?rcpNo=20260310002256", "공시열람")</f>
        <v/>
      </c>
    </row>
    <row r="2028">
      <c r="A2028" s="2" t="inlineStr">
        <is>
          <t>2026-03-10</t>
        </is>
      </c>
      <c r="B2028" s="3" t="inlineStr">
        <is>
          <t>아나패스</t>
        </is>
      </c>
      <c r="C2028" s="2" t="inlineStr">
        <is>
          <t>코스닥</t>
        </is>
      </c>
      <c r="D2028" s="2" t="inlineStr">
        <is>
          <t>123860</t>
        </is>
      </c>
      <c r="E2028" s="3" t="inlineStr">
        <is>
          <t xml:space="preserve">[첨부정정]주주총회소집결의              </t>
        </is>
      </c>
      <c r="F2028" s="3" t="inlineStr">
        <is>
          <t>아나패스</t>
        </is>
      </c>
      <c r="G2028" s="2" t="inlineStr">
        <is>
          <t>20260310900449</t>
        </is>
      </c>
      <c r="H2028" s="8">
        <f>HYPERLINK("https://dart.fss.or.kr/dsaf001/main.do?rcpNo=20260310900449", "공시열람")</f>
        <v/>
      </c>
    </row>
    <row r="2029">
      <c r="A2029" s="2" t="inlineStr">
        <is>
          <t>2026-03-10</t>
        </is>
      </c>
      <c r="B2029" s="3" t="inlineStr">
        <is>
          <t>아이비김영</t>
        </is>
      </c>
      <c r="C2029" s="2" t="inlineStr">
        <is>
          <t>코스닥</t>
        </is>
      </c>
      <c r="D2029" s="2" t="inlineStr">
        <is>
          <t>339950</t>
        </is>
      </c>
      <c r="E2029" s="3" t="inlineStr">
        <is>
          <t xml:space="preserve">주주총회집중일개최사유신고              </t>
        </is>
      </c>
      <c r="F2029" s="3" t="inlineStr">
        <is>
          <t>아이비김영</t>
        </is>
      </c>
      <c r="G2029" s="2" t="inlineStr">
        <is>
          <t>20260310900415</t>
        </is>
      </c>
      <c r="H2029" s="8">
        <f>HYPERLINK("https://dart.fss.or.kr/dsaf001/main.do?rcpNo=20260310900415", "공시열람")</f>
        <v/>
      </c>
    </row>
    <row r="2030">
      <c r="A2030" s="2" t="inlineStr">
        <is>
          <t>2026-03-10</t>
        </is>
      </c>
      <c r="B2030" s="3" t="inlineStr">
        <is>
          <t>이노진</t>
        </is>
      </c>
      <c r="C2030" s="2" t="inlineStr">
        <is>
          <t>코스닥</t>
        </is>
      </c>
      <c r="D2030" s="2" t="inlineStr">
        <is>
          <t>344860</t>
        </is>
      </c>
      <c r="E2030" s="3" t="inlineStr">
        <is>
          <t>주주총회소집공고</t>
        </is>
      </c>
      <c r="F2030" s="3" t="inlineStr">
        <is>
          <t>이노진</t>
        </is>
      </c>
      <c r="G2030" s="2" t="inlineStr">
        <is>
          <t>20260310002249</t>
        </is>
      </c>
      <c r="H2030" s="8">
        <f>HYPERLINK("https://dart.fss.or.kr/dsaf001/main.do?rcpNo=20260310002249", "공시열람")</f>
        <v/>
      </c>
    </row>
    <row r="2031">
      <c r="A2031" s="2" t="inlineStr">
        <is>
          <t>2026-03-10</t>
        </is>
      </c>
      <c r="B2031" s="3" t="inlineStr">
        <is>
          <t>이화공영</t>
        </is>
      </c>
      <c r="C2031" s="2" t="inlineStr">
        <is>
          <t>코스닥</t>
        </is>
      </c>
      <c r="D2031" s="2" t="inlineStr">
        <is>
          <t>001840</t>
        </is>
      </c>
      <c r="E2031" s="3" t="inlineStr">
        <is>
          <t>주주총회소집공고</t>
        </is>
      </c>
      <c r="F2031" s="3" t="inlineStr">
        <is>
          <t>이화공영</t>
        </is>
      </c>
      <c r="G2031" s="2" t="inlineStr">
        <is>
          <t>20260310002246</t>
        </is>
      </c>
      <c r="H2031" s="8">
        <f>HYPERLINK("https://dart.fss.or.kr/dsaf001/main.do?rcpNo=20260310002246", "공시열람")</f>
        <v/>
      </c>
    </row>
    <row r="2032">
      <c r="A2032" s="2" t="inlineStr">
        <is>
          <t>2026-03-10</t>
        </is>
      </c>
      <c r="B2032" s="3" t="inlineStr">
        <is>
          <t>에코앤드림</t>
        </is>
      </c>
      <c r="C2032" s="2" t="inlineStr">
        <is>
          <t>코스닥</t>
        </is>
      </c>
      <c r="D2032" s="2" t="inlineStr">
        <is>
          <t>101360</t>
        </is>
      </c>
      <c r="E2032" s="3" t="inlineStr">
        <is>
          <t>주주총회소집공고</t>
        </is>
      </c>
      <c r="F2032" s="3" t="inlineStr">
        <is>
          <t>에코앤드림</t>
        </is>
      </c>
      <c r="G2032" s="2" t="inlineStr">
        <is>
          <t>20260310002244</t>
        </is>
      </c>
      <c r="H2032" s="8">
        <f>HYPERLINK("https://dart.fss.or.kr/dsaf001/main.do?rcpNo=20260310002244", "공시열람")</f>
        <v/>
      </c>
    </row>
    <row r="2033">
      <c r="A2033" s="2" t="inlineStr">
        <is>
          <t>2026-03-10</t>
        </is>
      </c>
      <c r="B2033" s="3" t="inlineStr">
        <is>
          <t>한창</t>
        </is>
      </c>
      <c r="C2033" s="2" t="inlineStr">
        <is>
          <t>코스피</t>
        </is>
      </c>
      <c r="D2033" s="2" t="inlineStr">
        <is>
          <t>005110</t>
        </is>
      </c>
      <c r="E2033" s="3" t="inlineStr">
        <is>
          <t>주주총회소집공고</t>
        </is>
      </c>
      <c r="F2033" s="3" t="inlineStr">
        <is>
          <t>한창</t>
        </is>
      </c>
      <c r="G2033" s="2" t="inlineStr">
        <is>
          <t>20260310002243</t>
        </is>
      </c>
      <c r="H2033" s="8">
        <f>HYPERLINK("https://dart.fss.or.kr/dsaf001/main.do?rcpNo=20260310002243", "공시열람")</f>
        <v/>
      </c>
    </row>
    <row r="2034">
      <c r="A2034" s="2" t="inlineStr">
        <is>
          <t>2026-03-10</t>
        </is>
      </c>
      <c r="B2034" s="3" t="inlineStr">
        <is>
          <t>피에스텍</t>
        </is>
      </c>
      <c r="C2034" s="2" t="inlineStr">
        <is>
          <t>코스닥</t>
        </is>
      </c>
      <c r="D2034" s="2" t="inlineStr">
        <is>
          <t>002230</t>
        </is>
      </c>
      <c r="E2034" s="3" t="inlineStr">
        <is>
          <t>주주총회소집공고</t>
        </is>
      </c>
      <c r="F2034" s="3" t="inlineStr">
        <is>
          <t>피에스텍</t>
        </is>
      </c>
      <c r="G2034" s="2" t="inlineStr">
        <is>
          <t>20260310002241</t>
        </is>
      </c>
      <c r="H2034" s="8">
        <f>HYPERLINK("https://dart.fss.or.kr/dsaf001/main.do?rcpNo=20260310002241", "공시열람")</f>
        <v/>
      </c>
    </row>
    <row r="2035">
      <c r="A2035" s="2" t="inlineStr">
        <is>
          <t>2026-03-10</t>
        </is>
      </c>
      <c r="B2035" s="3" t="inlineStr">
        <is>
          <t>한창</t>
        </is>
      </c>
      <c r="C2035" s="2" t="inlineStr">
        <is>
          <t>코스피</t>
        </is>
      </c>
      <c r="D2035" s="2" t="inlineStr">
        <is>
          <t>005110</t>
        </is>
      </c>
      <c r="E2035" s="3" t="inlineStr">
        <is>
          <t xml:space="preserve">주주총회소집결의              </t>
        </is>
      </c>
      <c r="F2035" s="3" t="inlineStr">
        <is>
          <t>한창</t>
        </is>
      </c>
      <c r="G2035" s="2" t="inlineStr">
        <is>
          <t>20260310800431</t>
        </is>
      </c>
      <c r="H2035" s="8">
        <f>HYPERLINK("https://dart.fss.or.kr/dsaf001/main.do?rcpNo=20260310800431", "공시열람")</f>
        <v/>
      </c>
    </row>
    <row r="2036">
      <c r="A2036" s="2" t="inlineStr">
        <is>
          <t>2026-03-10</t>
        </is>
      </c>
      <c r="B2036" s="3" t="inlineStr">
        <is>
          <t>경동제약</t>
        </is>
      </c>
      <c r="C2036" s="2" t="inlineStr">
        <is>
          <t>코스닥</t>
        </is>
      </c>
      <c r="D2036" s="2" t="inlineStr">
        <is>
          <t>011040</t>
        </is>
      </c>
      <c r="E2036" s="3" t="inlineStr">
        <is>
          <t xml:space="preserve">주주총회집중일개최사유신고              </t>
        </is>
      </c>
      <c r="F2036" s="3" t="inlineStr">
        <is>
          <t>경동제약</t>
        </is>
      </c>
      <c r="G2036" s="2" t="inlineStr">
        <is>
          <t>20260310900441</t>
        </is>
      </c>
      <c r="H2036" s="8">
        <f>HYPERLINK("https://dart.fss.or.kr/dsaf001/main.do?rcpNo=20260310900441", "공시열람")</f>
        <v/>
      </c>
    </row>
    <row r="2037">
      <c r="A2037" s="2" t="inlineStr">
        <is>
          <t>2026-03-10</t>
        </is>
      </c>
      <c r="B2037" s="3" t="inlineStr">
        <is>
          <t>에코아이</t>
        </is>
      </c>
      <c r="C2037" s="2" t="inlineStr">
        <is>
          <t>코스닥</t>
        </is>
      </c>
      <c r="D2037" s="2" t="inlineStr">
        <is>
          <t>448280</t>
        </is>
      </c>
      <c r="E2037" s="3" t="inlineStr">
        <is>
          <t>주주총회소집공고</t>
        </is>
      </c>
      <c r="F2037" s="3" t="inlineStr">
        <is>
          <t>에코아이</t>
        </is>
      </c>
      <c r="G2037" s="2" t="inlineStr">
        <is>
          <t>20260310002223</t>
        </is>
      </c>
      <c r="H2037" s="8">
        <f>HYPERLINK("https://dart.fss.or.kr/dsaf001/main.do?rcpNo=20260310002223", "공시열람")</f>
        <v/>
      </c>
    </row>
    <row r="2038">
      <c r="A2038" s="2" t="inlineStr">
        <is>
          <t>2026-03-10</t>
        </is>
      </c>
      <c r="B2038" s="3" t="inlineStr">
        <is>
          <t>더네이쳐홀딩스</t>
        </is>
      </c>
      <c r="C2038" s="2" t="inlineStr">
        <is>
          <t>코스닥</t>
        </is>
      </c>
      <c r="D2038" s="2" t="inlineStr">
        <is>
          <t>298540</t>
        </is>
      </c>
      <c r="E2038" s="3" t="inlineStr">
        <is>
          <t>주주총회소집공고</t>
        </is>
      </c>
      <c r="F2038" s="3" t="inlineStr">
        <is>
          <t>더네이쳐홀딩스</t>
        </is>
      </c>
      <c r="G2038" s="2" t="inlineStr">
        <is>
          <t>20260310002208</t>
        </is>
      </c>
      <c r="H2038" s="8">
        <f>HYPERLINK("https://dart.fss.or.kr/dsaf001/main.do?rcpNo=20260310002208", "공시열람")</f>
        <v/>
      </c>
    </row>
    <row r="2039">
      <c r="A2039" s="2" t="inlineStr">
        <is>
          <t>2026-03-10</t>
        </is>
      </c>
      <c r="B2039" s="3" t="inlineStr">
        <is>
          <t>케이피에프</t>
        </is>
      </c>
      <c r="C2039" s="2" t="inlineStr">
        <is>
          <t>코스닥</t>
        </is>
      </c>
      <c r="D2039" s="2" t="inlineStr">
        <is>
          <t>024880</t>
        </is>
      </c>
      <c r="E2039" s="3" t="inlineStr">
        <is>
          <t>주주총회소집공고</t>
        </is>
      </c>
      <c r="F2039" s="3" t="inlineStr">
        <is>
          <t>케이피에프</t>
        </is>
      </c>
      <c r="G2039" s="2" t="inlineStr">
        <is>
          <t>20260310002202</t>
        </is>
      </c>
      <c r="H2039" s="8">
        <f>HYPERLINK("https://dart.fss.or.kr/dsaf001/main.do?rcpNo=20260310002202", "공시열람")</f>
        <v/>
      </c>
    </row>
    <row r="2040">
      <c r="A2040" s="2" t="inlineStr">
        <is>
          <t>2026-03-09 (정정: 2026-03-10)</t>
        </is>
      </c>
      <c r="B2040" s="3" t="inlineStr">
        <is>
          <t>픽셀플러스</t>
        </is>
      </c>
      <c r="C2040" s="2" t="inlineStr">
        <is>
          <t>코스닥</t>
        </is>
      </c>
      <c r="D2040" s="2" t="inlineStr">
        <is>
          <t>087600</t>
        </is>
      </c>
      <c r="E2040" s="3" t="inlineStr">
        <is>
          <t>[기재정정]주주총회소집공고</t>
        </is>
      </c>
      <c r="F2040" s="3" t="inlineStr">
        <is>
          <t>픽셀플러스</t>
        </is>
      </c>
      <c r="G2040" s="2" t="inlineStr">
        <is>
          <t>20260310002198</t>
        </is>
      </c>
      <c r="H2040" s="8">
        <f>HYPERLINK("https://dart.fss.or.kr/dsaf001/main.do?rcpNo=20260310002198", "공시열람")</f>
        <v/>
      </c>
    </row>
    <row r="2041">
      <c r="A2041" s="2" t="inlineStr">
        <is>
          <t>2026-03-10</t>
        </is>
      </c>
      <c r="B2041" s="3" t="inlineStr">
        <is>
          <t>플라즈맵</t>
        </is>
      </c>
      <c r="C2041" s="2" t="inlineStr">
        <is>
          <t>코스닥</t>
        </is>
      </c>
      <c r="D2041" s="2" t="inlineStr">
        <is>
          <t>405000</t>
        </is>
      </c>
      <c r="E2041" s="3" t="inlineStr">
        <is>
          <t xml:space="preserve">주주총회집중일개최사유신고              </t>
        </is>
      </c>
      <c r="F2041" s="3" t="inlineStr">
        <is>
          <t>플라즈맵</t>
        </is>
      </c>
      <c r="G2041" s="2" t="inlineStr">
        <is>
          <t>20260310900407</t>
        </is>
      </c>
      <c r="H2041" s="8">
        <f>HYPERLINK("https://dart.fss.or.kr/dsaf001/main.do?rcpNo=20260310900407", "공시열람")</f>
        <v/>
      </c>
    </row>
    <row r="2042">
      <c r="A2042" s="2" t="inlineStr">
        <is>
          <t>2026-03-10</t>
        </is>
      </c>
      <c r="B2042" s="3" t="inlineStr">
        <is>
          <t>에코앤드림</t>
        </is>
      </c>
      <c r="C2042" s="2" t="inlineStr">
        <is>
          <t>코스닥</t>
        </is>
      </c>
      <c r="D2042" s="2" t="inlineStr">
        <is>
          <t>101360</t>
        </is>
      </c>
      <c r="E2042" s="3" t="inlineStr">
        <is>
          <t xml:space="preserve">주주총회소집결의              </t>
        </is>
      </c>
      <c r="F2042" s="3" t="inlineStr">
        <is>
          <t>에코앤드림</t>
        </is>
      </c>
      <c r="G2042" s="2" t="inlineStr">
        <is>
          <t>20260310900410</t>
        </is>
      </c>
      <c r="H2042" s="8">
        <f>HYPERLINK("https://dart.fss.or.kr/dsaf001/main.do?rcpNo=20260310900410", "공시열람")</f>
        <v/>
      </c>
    </row>
    <row r="2043">
      <c r="A2043" s="2" t="inlineStr">
        <is>
          <t>2026-03-10</t>
        </is>
      </c>
      <c r="B2043" s="3" t="inlineStr">
        <is>
          <t>플라즈맵</t>
        </is>
      </c>
      <c r="C2043" s="2" t="inlineStr">
        <is>
          <t>코스닥</t>
        </is>
      </c>
      <c r="D2043" s="2" t="inlineStr">
        <is>
          <t>405000</t>
        </is>
      </c>
      <c r="E2043" s="3" t="inlineStr">
        <is>
          <t>주주총회소집공고</t>
        </is>
      </c>
      <c r="F2043" s="3" t="inlineStr">
        <is>
          <t>플라즈맵</t>
        </is>
      </c>
      <c r="G2043" s="2" t="inlineStr">
        <is>
          <t>20260310002175</t>
        </is>
      </c>
      <c r="H2043" s="8">
        <f>HYPERLINK("https://dart.fss.or.kr/dsaf001/main.do?rcpNo=20260310002175", "공시열람")</f>
        <v/>
      </c>
    </row>
    <row r="2044">
      <c r="A2044" s="2" t="inlineStr">
        <is>
          <t>2026-03-10</t>
        </is>
      </c>
      <c r="B2044" s="3" t="inlineStr">
        <is>
          <t>대신밸런스제17호스팩</t>
        </is>
      </c>
      <c r="C2044" s="2" t="inlineStr">
        <is>
          <t>코스닥</t>
        </is>
      </c>
      <c r="D2044" s="2" t="inlineStr">
        <is>
          <t>471050</t>
        </is>
      </c>
      <c r="E2044" s="3" t="inlineStr">
        <is>
          <t>주주총회소집공고</t>
        </is>
      </c>
      <c r="F2044" s="3" t="inlineStr">
        <is>
          <t>대신밸런스제17호스팩</t>
        </is>
      </c>
      <c r="G2044" s="2" t="inlineStr">
        <is>
          <t>20260310002165</t>
        </is>
      </c>
      <c r="H2044" s="8">
        <f>HYPERLINK("https://dart.fss.or.kr/dsaf001/main.do?rcpNo=20260310002165", "공시열람")</f>
        <v/>
      </c>
    </row>
    <row r="2045">
      <c r="A2045" s="2" t="inlineStr">
        <is>
          <t>2026-03-10</t>
        </is>
      </c>
      <c r="B2045" s="3" t="inlineStr">
        <is>
          <t>쎌바이오텍</t>
        </is>
      </c>
      <c r="C2045" s="2" t="inlineStr">
        <is>
          <t>코스닥</t>
        </is>
      </c>
      <c r="D2045" s="2" t="inlineStr">
        <is>
          <t>049960</t>
        </is>
      </c>
      <c r="E2045" s="3" t="inlineStr">
        <is>
          <t>주주총회소집공고</t>
        </is>
      </c>
      <c r="F2045" s="3" t="inlineStr">
        <is>
          <t>쎌바이오텍</t>
        </is>
      </c>
      <c r="G2045" s="2" t="inlineStr">
        <is>
          <t>20260310002159</t>
        </is>
      </c>
      <c r="H2045" s="8">
        <f>HYPERLINK("https://dart.fss.or.kr/dsaf001/main.do?rcpNo=20260310002159", "공시열람")</f>
        <v/>
      </c>
    </row>
    <row r="2046">
      <c r="A2046" s="2" t="inlineStr">
        <is>
          <t>2026-03-10</t>
        </is>
      </c>
      <c r="B2046" s="3" t="inlineStr">
        <is>
          <t>파워로직스</t>
        </is>
      </c>
      <c r="C2046" s="2" t="inlineStr">
        <is>
          <t>코스닥</t>
        </is>
      </c>
      <c r="D2046" s="2" t="inlineStr">
        <is>
          <t>047310</t>
        </is>
      </c>
      <c r="E2046" s="3" t="inlineStr">
        <is>
          <t>주주총회소집공고</t>
        </is>
      </c>
      <c r="F2046" s="3" t="inlineStr">
        <is>
          <t>파워로직스</t>
        </is>
      </c>
      <c r="G2046" s="2" t="inlineStr">
        <is>
          <t>20260310002156</t>
        </is>
      </c>
      <c r="H2046" s="8">
        <f>HYPERLINK("https://dart.fss.or.kr/dsaf001/main.do?rcpNo=20260310002156", "공시열람")</f>
        <v/>
      </c>
    </row>
    <row r="2047">
      <c r="A2047" s="2" t="inlineStr">
        <is>
          <t>2026-03-10</t>
        </is>
      </c>
      <c r="B2047" s="3" t="inlineStr">
        <is>
          <t>파워로직스</t>
        </is>
      </c>
      <c r="C2047" s="2" t="inlineStr">
        <is>
          <t>코스닥</t>
        </is>
      </c>
      <c r="D2047" s="2" t="inlineStr">
        <is>
          <t>047310</t>
        </is>
      </c>
      <c r="E2047" s="3" t="inlineStr">
        <is>
          <t xml:space="preserve">주주총회집중일개최사유신고              </t>
        </is>
      </c>
      <c r="F2047" s="3" t="inlineStr">
        <is>
          <t>파워로직스</t>
        </is>
      </c>
      <c r="G2047" s="2" t="inlineStr">
        <is>
          <t>20260310900371</t>
        </is>
      </c>
      <c r="H2047" s="8">
        <f>HYPERLINK("https://dart.fss.or.kr/dsaf001/main.do?rcpNo=20260310900371", "공시열람")</f>
        <v/>
      </c>
    </row>
    <row r="2048">
      <c r="A2048" s="2" t="inlineStr">
        <is>
          <t>2026-03-10 (정정: 2026-06-02)</t>
        </is>
      </c>
      <c r="B2048" s="3" t="inlineStr">
        <is>
          <t>파워로직스</t>
        </is>
      </c>
      <c r="C2048" s="2" t="inlineStr">
        <is>
          <t>코스닥</t>
        </is>
      </c>
      <c r="D2048" s="2" t="inlineStr">
        <is>
          <t>047310</t>
        </is>
      </c>
      <c r="E2048" s="3" t="inlineStr">
        <is>
          <t>주주총회소집결의               (정정: 20260602)</t>
        </is>
      </c>
      <c r="F2048" s="3" t="inlineStr">
        <is>
          <t>파워로직스</t>
        </is>
      </c>
      <c r="G2048" s="2" t="inlineStr">
        <is>
          <t>20260602000010</t>
        </is>
      </c>
      <c r="H2048" s="8">
        <f>HYPERLINK("https://dart.fss.or.kr/dsaf001/main.do?rcpNo=20260602000010", "공시열람")</f>
        <v/>
      </c>
    </row>
    <row r="2049">
      <c r="A2049" s="2" t="inlineStr">
        <is>
          <t>2026-03-10</t>
        </is>
      </c>
      <c r="B2049" s="3" t="inlineStr">
        <is>
          <t>에스엘에스바이오</t>
        </is>
      </c>
      <c r="C2049" s="2" t="inlineStr">
        <is>
          <t>코스닥</t>
        </is>
      </c>
      <c r="D2049" s="2" t="inlineStr">
        <is>
          <t>246250</t>
        </is>
      </c>
      <c r="E2049" s="3" t="inlineStr">
        <is>
          <t>주주총회소집공고</t>
        </is>
      </c>
      <c r="F2049" s="3" t="inlineStr">
        <is>
          <t>에스엘에스바이오</t>
        </is>
      </c>
      <c r="G2049" s="2" t="inlineStr">
        <is>
          <t>20260310002146</t>
        </is>
      </c>
      <c r="H2049" s="8">
        <f>HYPERLINK("https://dart.fss.or.kr/dsaf001/main.do?rcpNo=20260310002146", "공시열람")</f>
        <v/>
      </c>
    </row>
    <row r="2050">
      <c r="A2050" s="2" t="inlineStr">
        <is>
          <t>2026-03-10</t>
        </is>
      </c>
      <c r="B2050" s="3" t="inlineStr">
        <is>
          <t>케스피온</t>
        </is>
      </c>
      <c r="C2050" s="2" t="inlineStr">
        <is>
          <t>코스닥</t>
        </is>
      </c>
      <c r="D2050" s="2" t="inlineStr">
        <is>
          <t>079190</t>
        </is>
      </c>
      <c r="E2050" s="3" t="inlineStr">
        <is>
          <t>주주총회소집공고</t>
        </is>
      </c>
      <c r="F2050" s="3" t="inlineStr">
        <is>
          <t>케스피온</t>
        </is>
      </c>
      <c r="G2050" s="2" t="inlineStr">
        <is>
          <t>20260310002136</t>
        </is>
      </c>
      <c r="H2050" s="8">
        <f>HYPERLINK("https://dart.fss.or.kr/dsaf001/main.do?rcpNo=20260310002136", "공시열람")</f>
        <v/>
      </c>
    </row>
    <row r="2051">
      <c r="A2051" s="2" t="inlineStr">
        <is>
          <t>2026-03-10</t>
        </is>
      </c>
      <c r="B2051" s="3" t="inlineStr">
        <is>
          <t>HRS</t>
        </is>
      </c>
      <c r="C2051" s="2" t="inlineStr">
        <is>
          <t>코스닥</t>
        </is>
      </c>
      <c r="D2051" s="2" t="inlineStr">
        <is>
          <t>036640</t>
        </is>
      </c>
      <c r="E2051" s="3" t="inlineStr">
        <is>
          <t>주주총회소집공고</t>
        </is>
      </c>
      <c r="F2051" s="3" t="inlineStr">
        <is>
          <t>HRS</t>
        </is>
      </c>
      <c r="G2051" s="2" t="inlineStr">
        <is>
          <t>20260310002128</t>
        </is>
      </c>
      <c r="H2051" s="8">
        <f>HYPERLINK("https://dart.fss.or.kr/dsaf001/main.do?rcpNo=20260310002128", "공시열람")</f>
        <v/>
      </c>
    </row>
    <row r="2052">
      <c r="A2052" s="2" t="inlineStr">
        <is>
          <t>2026-03-10</t>
        </is>
      </c>
      <c r="B2052" s="3" t="inlineStr">
        <is>
          <t>롯데렌탈</t>
        </is>
      </c>
      <c r="C2052" s="2" t="inlineStr">
        <is>
          <t>코스피</t>
        </is>
      </c>
      <c r="D2052" s="2" t="inlineStr">
        <is>
          <t>089860</t>
        </is>
      </c>
      <c r="E2052" s="3" t="inlineStr">
        <is>
          <t>주주총회소집공고</t>
        </is>
      </c>
      <c r="F2052" s="3" t="inlineStr">
        <is>
          <t>롯데렌탈</t>
        </is>
      </c>
      <c r="G2052" s="2" t="inlineStr">
        <is>
          <t>20260310002124</t>
        </is>
      </c>
      <c r="H2052" s="8">
        <f>HYPERLINK("https://dart.fss.or.kr/dsaf001/main.do?rcpNo=20260310002124", "공시열람")</f>
        <v/>
      </c>
    </row>
    <row r="2053">
      <c r="A2053" s="2" t="inlineStr">
        <is>
          <t>2026-03-10 (정정: 2026-03-11)</t>
        </is>
      </c>
      <c r="B2053" s="3" t="inlineStr">
        <is>
          <t>인화정공</t>
        </is>
      </c>
      <c r="C2053" s="2" t="inlineStr">
        <is>
          <t>코스닥</t>
        </is>
      </c>
      <c r="D2053" s="2" t="inlineStr">
        <is>
          <t>101930</t>
        </is>
      </c>
      <c r="E2053" s="3" t="inlineStr">
        <is>
          <t>주주총회소집공고 (정정: 20260311)</t>
        </is>
      </c>
      <c r="F2053" s="3" t="inlineStr">
        <is>
          <t>인화정공</t>
        </is>
      </c>
      <c r="G2053" s="2" t="inlineStr">
        <is>
          <t>20260311003490</t>
        </is>
      </c>
      <c r="H2053" s="8">
        <f>HYPERLINK("https://dart.fss.or.kr/dsaf001/main.do?rcpNo=20260311003490", "공시열람")</f>
        <v/>
      </c>
    </row>
    <row r="2054">
      <c r="A2054" s="2" t="inlineStr">
        <is>
          <t>2026-03-10</t>
        </is>
      </c>
      <c r="B2054" s="3" t="inlineStr">
        <is>
          <t>코아스</t>
        </is>
      </c>
      <c r="C2054" s="2" t="inlineStr">
        <is>
          <t>코스피</t>
        </is>
      </c>
      <c r="D2054" s="2" t="inlineStr">
        <is>
          <t>071950</t>
        </is>
      </c>
      <c r="E2054" s="3" t="inlineStr">
        <is>
          <t>주주총회소집공고</t>
        </is>
      </c>
      <c r="F2054" s="3" t="inlineStr">
        <is>
          <t>코아스</t>
        </is>
      </c>
      <c r="G2054" s="2" t="inlineStr">
        <is>
          <t>20260310002109</t>
        </is>
      </c>
      <c r="H2054" s="8">
        <f>HYPERLINK("https://dart.fss.or.kr/dsaf001/main.do?rcpNo=20260310002109", "공시열람")</f>
        <v/>
      </c>
    </row>
    <row r="2055">
      <c r="A2055" s="2" t="inlineStr">
        <is>
          <t>2026-03-10</t>
        </is>
      </c>
      <c r="B2055" s="3" t="inlineStr">
        <is>
          <t>보락</t>
        </is>
      </c>
      <c r="C2055" s="2" t="inlineStr">
        <is>
          <t>코스피</t>
        </is>
      </c>
      <c r="D2055" s="2" t="inlineStr">
        <is>
          <t>002760</t>
        </is>
      </c>
      <c r="E2055" s="3" t="inlineStr">
        <is>
          <t>주주총회소집공고</t>
        </is>
      </c>
      <c r="F2055" s="3" t="inlineStr">
        <is>
          <t>보락</t>
        </is>
      </c>
      <c r="G2055" s="2" t="inlineStr">
        <is>
          <t>20260310002096</t>
        </is>
      </c>
      <c r="H2055" s="8">
        <f>HYPERLINK("https://dart.fss.or.kr/dsaf001/main.do?rcpNo=20260310002096", "공시열람")</f>
        <v/>
      </c>
    </row>
    <row r="2056">
      <c r="A2056" s="2" t="inlineStr">
        <is>
          <t>2026-03-10</t>
        </is>
      </c>
      <c r="B2056" s="3" t="inlineStr">
        <is>
          <t>샘씨엔에스</t>
        </is>
      </c>
      <c r="C2056" s="2" t="inlineStr">
        <is>
          <t>코스닥</t>
        </is>
      </c>
      <c r="D2056" s="2" t="inlineStr">
        <is>
          <t>252990</t>
        </is>
      </c>
      <c r="E2056" s="3" t="inlineStr">
        <is>
          <t>주주총회소집공고</t>
        </is>
      </c>
      <c r="F2056" s="3" t="inlineStr">
        <is>
          <t>샘씨엔에스</t>
        </is>
      </c>
      <c r="G2056" s="2" t="inlineStr">
        <is>
          <t>20260310002081</t>
        </is>
      </c>
      <c r="H2056" s="8">
        <f>HYPERLINK("https://dart.fss.or.kr/dsaf001/main.do?rcpNo=20260310002081", "공시열람")</f>
        <v/>
      </c>
    </row>
    <row r="2057">
      <c r="A2057" s="2" t="inlineStr">
        <is>
          <t>2026-03-10</t>
        </is>
      </c>
      <c r="B2057" s="3" t="inlineStr">
        <is>
          <t>영림원소프트랩</t>
        </is>
      </c>
      <c r="C2057" s="2" t="inlineStr">
        <is>
          <t>코스닥</t>
        </is>
      </c>
      <c r="D2057" s="2" t="inlineStr">
        <is>
          <t>060850</t>
        </is>
      </c>
      <c r="E2057" s="3" t="inlineStr">
        <is>
          <t>주주총회소집공고</t>
        </is>
      </c>
      <c r="F2057" s="3" t="inlineStr">
        <is>
          <t>영림원소프트랩</t>
        </is>
      </c>
      <c r="G2057" s="2" t="inlineStr">
        <is>
          <t>20260310002079</t>
        </is>
      </c>
      <c r="H2057" s="8">
        <f>HYPERLINK("https://dart.fss.or.kr/dsaf001/main.do?rcpNo=20260310002079", "공시열람")</f>
        <v/>
      </c>
    </row>
    <row r="2058">
      <c r="A2058" s="2" t="inlineStr">
        <is>
          <t>2026-03-10</t>
        </is>
      </c>
      <c r="B2058" s="3" t="inlineStr">
        <is>
          <t>삼륭물산</t>
        </is>
      </c>
      <c r="C2058" s="2" t="inlineStr">
        <is>
          <t>코스닥</t>
        </is>
      </c>
      <c r="D2058" s="2" t="inlineStr">
        <is>
          <t>014970</t>
        </is>
      </c>
      <c r="E2058" s="3" t="inlineStr">
        <is>
          <t xml:space="preserve">주주총회집중일개최사유신고              </t>
        </is>
      </c>
      <c r="F2058" s="3" t="inlineStr">
        <is>
          <t>삼륭물산</t>
        </is>
      </c>
      <c r="G2058" s="2" t="inlineStr">
        <is>
          <t>20260310900311</t>
        </is>
      </c>
      <c r="H2058" s="8">
        <f>HYPERLINK("https://dart.fss.or.kr/dsaf001/main.do?rcpNo=20260310900311", "공시열람")</f>
        <v/>
      </c>
    </row>
    <row r="2059">
      <c r="A2059" s="2" t="inlineStr">
        <is>
          <t>2026-03-10</t>
        </is>
      </c>
      <c r="B2059" s="3" t="inlineStr">
        <is>
          <t>삼륭물산</t>
        </is>
      </c>
      <c r="C2059" s="2" t="inlineStr">
        <is>
          <t>코스닥</t>
        </is>
      </c>
      <c r="D2059" s="2" t="inlineStr">
        <is>
          <t>014970</t>
        </is>
      </c>
      <c r="E2059" s="3" t="inlineStr">
        <is>
          <t>주주총회소집공고</t>
        </is>
      </c>
      <c r="F2059" s="3" t="inlineStr">
        <is>
          <t>삼륭물산</t>
        </is>
      </c>
      <c r="G2059" s="2" t="inlineStr">
        <is>
          <t>20260310002053</t>
        </is>
      </c>
      <c r="H2059" s="8">
        <f>HYPERLINK("https://dart.fss.or.kr/dsaf001/main.do?rcpNo=20260310002053", "공시열람")</f>
        <v/>
      </c>
    </row>
    <row r="2060">
      <c r="A2060" s="2" t="inlineStr">
        <is>
          <t>2026-03-10</t>
        </is>
      </c>
      <c r="B2060" s="3" t="inlineStr">
        <is>
          <t>에프에스티</t>
        </is>
      </c>
      <c r="C2060" s="2" t="inlineStr">
        <is>
          <t>코스닥</t>
        </is>
      </c>
      <c r="D2060" s="2" t="inlineStr">
        <is>
          <t>036810</t>
        </is>
      </c>
      <c r="E2060" s="3" t="inlineStr">
        <is>
          <t>주주총회소집공고</t>
        </is>
      </c>
      <c r="F2060" s="3" t="inlineStr">
        <is>
          <t>에프에스티</t>
        </is>
      </c>
      <c r="G2060" s="2" t="inlineStr">
        <is>
          <t>20260310002047</t>
        </is>
      </c>
      <c r="H2060" s="8">
        <f>HYPERLINK("https://dart.fss.or.kr/dsaf001/main.do?rcpNo=20260310002047", "공시열람")</f>
        <v/>
      </c>
    </row>
    <row r="2061">
      <c r="A2061" s="2" t="inlineStr">
        <is>
          <t>2026-03-10</t>
        </is>
      </c>
      <c r="B2061" s="3" t="inlineStr">
        <is>
          <t>유일로보틱스</t>
        </is>
      </c>
      <c r="C2061" s="2" t="inlineStr">
        <is>
          <t>코스닥</t>
        </is>
      </c>
      <c r="D2061" s="2" t="inlineStr">
        <is>
          <t>388720</t>
        </is>
      </c>
      <c r="E2061" s="3" t="inlineStr">
        <is>
          <t>주주총회소집공고</t>
        </is>
      </c>
      <c r="F2061" s="3" t="inlineStr">
        <is>
          <t>유일로보틱스</t>
        </is>
      </c>
      <c r="G2061" s="2" t="inlineStr">
        <is>
          <t>20260310002040</t>
        </is>
      </c>
      <c r="H2061" s="8">
        <f>HYPERLINK("https://dart.fss.or.kr/dsaf001/main.do?rcpNo=20260310002040", "공시열람")</f>
        <v/>
      </c>
    </row>
    <row r="2062">
      <c r="A2062" s="2" t="inlineStr">
        <is>
          <t>2026-03-10</t>
        </is>
      </c>
      <c r="B2062" s="3" t="inlineStr">
        <is>
          <t>그린케미칼</t>
        </is>
      </c>
      <c r="C2062" s="2" t="inlineStr">
        <is>
          <t>코스피</t>
        </is>
      </c>
      <c r="D2062" s="2" t="inlineStr">
        <is>
          <t>083420</t>
        </is>
      </c>
      <c r="E2062" s="3" t="inlineStr">
        <is>
          <t xml:space="preserve">주주총회집중일개최사유신고              </t>
        </is>
      </c>
      <c r="F2062" s="3" t="inlineStr">
        <is>
          <t>그린케미칼</t>
        </is>
      </c>
      <c r="G2062" s="2" t="inlineStr">
        <is>
          <t>20260310800268</t>
        </is>
      </c>
      <c r="H2062" s="8">
        <f>HYPERLINK("https://dart.fss.or.kr/dsaf001/main.do?rcpNo=20260310800268", "공시열람")</f>
        <v/>
      </c>
    </row>
    <row r="2063">
      <c r="A2063" s="2" t="inlineStr">
        <is>
          <t>2026-03-10</t>
        </is>
      </c>
      <c r="B2063" s="3" t="inlineStr">
        <is>
          <t>예스티</t>
        </is>
      </c>
      <c r="C2063" s="2" t="inlineStr">
        <is>
          <t>코스닥</t>
        </is>
      </c>
      <c r="D2063" s="2" t="inlineStr">
        <is>
          <t>122640</t>
        </is>
      </c>
      <c r="E2063" s="3" t="inlineStr">
        <is>
          <t>주주총회소집공고</t>
        </is>
      </c>
      <c r="F2063" s="3" t="inlineStr">
        <is>
          <t>예스티</t>
        </is>
      </c>
      <c r="G2063" s="2" t="inlineStr">
        <is>
          <t>20260310002023</t>
        </is>
      </c>
      <c r="H2063" s="8">
        <f>HYPERLINK("https://dart.fss.or.kr/dsaf001/main.do?rcpNo=20260310002023", "공시열람")</f>
        <v/>
      </c>
    </row>
    <row r="2064">
      <c r="A2064" s="2" t="inlineStr">
        <is>
          <t>2026-03-10</t>
        </is>
      </c>
      <c r="B2064" s="3" t="inlineStr">
        <is>
          <t>그린케미칼</t>
        </is>
      </c>
      <c r="C2064" s="2" t="inlineStr">
        <is>
          <t>코스피</t>
        </is>
      </c>
      <c r="D2064" s="2" t="inlineStr">
        <is>
          <t>083420</t>
        </is>
      </c>
      <c r="E2064" s="3" t="inlineStr">
        <is>
          <t>주주총회소집공고</t>
        </is>
      </c>
      <c r="F2064" s="3" t="inlineStr">
        <is>
          <t>그린케미칼</t>
        </is>
      </c>
      <c r="G2064" s="2" t="inlineStr">
        <is>
          <t>20260310002017</t>
        </is>
      </c>
      <c r="H2064" s="8">
        <f>HYPERLINK("https://dart.fss.or.kr/dsaf001/main.do?rcpNo=20260310002017", "공시열람")</f>
        <v/>
      </c>
    </row>
    <row r="2065">
      <c r="A2065" s="2" t="inlineStr">
        <is>
          <t>2026-03-10</t>
        </is>
      </c>
      <c r="B2065" s="3" t="inlineStr">
        <is>
          <t>토모큐브</t>
        </is>
      </c>
      <c r="C2065" s="2" t="inlineStr">
        <is>
          <t>코스닥</t>
        </is>
      </c>
      <c r="D2065" s="2" t="inlineStr">
        <is>
          <t>475960</t>
        </is>
      </c>
      <c r="E2065" s="3" t="inlineStr">
        <is>
          <t>주주총회소집공고</t>
        </is>
      </c>
      <c r="F2065" s="3" t="inlineStr">
        <is>
          <t>토모큐브</t>
        </is>
      </c>
      <c r="G2065" s="2" t="inlineStr">
        <is>
          <t>20260310002008</t>
        </is>
      </c>
      <c r="H2065" s="8">
        <f>HYPERLINK("https://dart.fss.or.kr/dsaf001/main.do?rcpNo=20260310002008", "공시열람")</f>
        <v/>
      </c>
    </row>
    <row r="2066">
      <c r="A2066" s="2" t="inlineStr">
        <is>
          <t>2026-03-10</t>
        </is>
      </c>
      <c r="B2066" s="3" t="inlineStr">
        <is>
          <t>자화전자</t>
        </is>
      </c>
      <c r="C2066" s="2" t="inlineStr">
        <is>
          <t>코스피</t>
        </is>
      </c>
      <c r="D2066" s="2" t="inlineStr">
        <is>
          <t>033240</t>
        </is>
      </c>
      <c r="E2066" s="3" t="inlineStr">
        <is>
          <t>주주총회소집공고</t>
        </is>
      </c>
      <c r="F2066" s="3" t="inlineStr">
        <is>
          <t>자화전자</t>
        </is>
      </c>
      <c r="G2066" s="2" t="inlineStr">
        <is>
          <t>20260310002004</t>
        </is>
      </c>
      <c r="H2066" s="8">
        <f>HYPERLINK("https://dart.fss.or.kr/dsaf001/main.do?rcpNo=20260310002004", "공시열람")</f>
        <v/>
      </c>
    </row>
    <row r="2067">
      <c r="A2067" s="2" t="inlineStr">
        <is>
          <t>2026-03-10</t>
        </is>
      </c>
      <c r="B2067" s="3" t="inlineStr">
        <is>
          <t>제이엠아이</t>
        </is>
      </c>
      <c r="C2067" s="2" t="inlineStr">
        <is>
          <t>코스닥</t>
        </is>
      </c>
      <c r="D2067" s="2" t="inlineStr">
        <is>
          <t>033050</t>
        </is>
      </c>
      <c r="E2067" s="3" t="inlineStr">
        <is>
          <t>주주총회소집공고</t>
        </is>
      </c>
      <c r="F2067" s="3" t="inlineStr">
        <is>
          <t>제이엠아이</t>
        </is>
      </c>
      <c r="G2067" s="2" t="inlineStr">
        <is>
          <t>20260310001996</t>
        </is>
      </c>
      <c r="H2067" s="8">
        <f>HYPERLINK("https://dart.fss.or.kr/dsaf001/main.do?rcpNo=20260310001996", "공시열람")</f>
        <v/>
      </c>
    </row>
    <row r="2068">
      <c r="A2068" s="2" t="inlineStr">
        <is>
          <t>2026-03-10 (정정: 2026-06-01)</t>
        </is>
      </c>
      <c r="B2068" s="3" t="inlineStr">
        <is>
          <t>그린리소스</t>
        </is>
      </c>
      <c r="C2068" s="2" t="inlineStr">
        <is>
          <t>코스닥</t>
        </is>
      </c>
      <c r="D2068" s="2" t="inlineStr">
        <is>
          <t>402490</t>
        </is>
      </c>
      <c r="E2068" s="3" t="inlineStr">
        <is>
          <t>주주총회소집공고 (정정: 20260601)</t>
        </is>
      </c>
      <c r="F2068" s="3" t="inlineStr">
        <is>
          <t>그린리소스</t>
        </is>
      </c>
      <c r="G2068" s="2" t="inlineStr">
        <is>
          <t>20260601900503</t>
        </is>
      </c>
      <c r="H2068" s="8">
        <f>HYPERLINK("https://dart.fss.or.kr/dsaf001/main.do?rcpNo=20260601900503", "공시열람")</f>
        <v/>
      </c>
    </row>
    <row r="2069">
      <c r="A2069" s="2" t="inlineStr">
        <is>
          <t>2026-03-11 (정정: 2026-03-11)</t>
        </is>
      </c>
      <c r="B2069" s="3" t="inlineStr">
        <is>
          <t>아이에이</t>
        </is>
      </c>
      <c r="C2069" s="2" t="inlineStr">
        <is>
          <t>코스닥</t>
        </is>
      </c>
      <c r="D2069" s="2" t="inlineStr">
        <is>
          <t>038880</t>
        </is>
      </c>
      <c r="E2069" s="3" t="inlineStr">
        <is>
          <t>[첨부추가]주주총회소집결의               (정정: 20260311)</t>
        </is>
      </c>
      <c r="F2069" s="3" t="inlineStr">
        <is>
          <t>아이에이</t>
        </is>
      </c>
      <c r="G2069" s="2" t="inlineStr">
        <is>
          <t>20260311003984</t>
        </is>
      </c>
      <c r="H2069" s="8">
        <f>HYPERLINK("https://dart.fss.or.kr/dsaf001/main.do?rcpNo=20260311003984", "공시열람")</f>
        <v/>
      </c>
    </row>
    <row r="2070">
      <c r="A2070" s="2" t="inlineStr">
        <is>
          <t>2026-03-11 (정정: 2026-03-12)</t>
        </is>
      </c>
      <c r="B2070" s="3" t="inlineStr">
        <is>
          <t>오르비텍</t>
        </is>
      </c>
      <c r="C2070" s="2" t="inlineStr">
        <is>
          <t>코스닥</t>
        </is>
      </c>
      <c r="D2070" s="2" t="inlineStr">
        <is>
          <t>046120</t>
        </is>
      </c>
      <c r="E2070" s="3" t="inlineStr">
        <is>
          <t>주주총회소집결의               (정정: 20260312)</t>
        </is>
      </c>
      <c r="F2070" s="3" t="inlineStr">
        <is>
          <t>오르비텍</t>
        </is>
      </c>
      <c r="G2070" s="2" t="inlineStr">
        <is>
          <t>20260312000045</t>
        </is>
      </c>
      <c r="H2070" s="8">
        <f>HYPERLINK("https://dart.fss.or.kr/dsaf001/main.do?rcpNo=20260312000045", "공시열람")</f>
        <v/>
      </c>
    </row>
    <row r="2071">
      <c r="A2071" s="2" t="inlineStr">
        <is>
          <t>2026-03-11</t>
        </is>
      </c>
      <c r="B2071" s="3" t="inlineStr">
        <is>
          <t>오스코텍</t>
        </is>
      </c>
      <c r="C2071" s="2" t="inlineStr">
        <is>
          <t>코스닥</t>
        </is>
      </c>
      <c r="D2071" s="2" t="inlineStr">
        <is>
          <t>039200</t>
        </is>
      </c>
      <c r="E2071" s="3" t="inlineStr">
        <is>
          <t xml:space="preserve">주주총회소집결의              </t>
        </is>
      </c>
      <c r="F2071" s="3" t="inlineStr">
        <is>
          <t>오스코텍</t>
        </is>
      </c>
      <c r="G2071" s="2" t="inlineStr">
        <is>
          <t>20260311902704</t>
        </is>
      </c>
      <c r="H2071" s="8">
        <f>HYPERLINK("https://dart.fss.or.kr/dsaf001/main.do?rcpNo=20260311902704", "공시열람")</f>
        <v/>
      </c>
    </row>
    <row r="2072">
      <c r="A2072" s="2" t="inlineStr">
        <is>
          <t>2026-03-11</t>
        </is>
      </c>
      <c r="B2072" s="3" t="inlineStr">
        <is>
          <t>오스코텍</t>
        </is>
      </c>
      <c r="C2072" s="2" t="inlineStr">
        <is>
          <t>코스닥</t>
        </is>
      </c>
      <c r="D2072" s="2" t="inlineStr">
        <is>
          <t>039200</t>
        </is>
      </c>
      <c r="E2072" s="3" t="inlineStr">
        <is>
          <t xml:space="preserve">소송등의제기ㆍ신청(경영권분쟁소송)              </t>
        </is>
      </c>
      <c r="F2072" s="3" t="inlineStr">
        <is>
          <t>오스코텍</t>
        </is>
      </c>
      <c r="G2072" s="2" t="inlineStr">
        <is>
          <t>20260311902705</t>
        </is>
      </c>
      <c r="H2072" s="8">
        <f>HYPERLINK("https://dart.fss.or.kr/dsaf001/main.do?rcpNo=20260311902705", "공시열람")</f>
        <v/>
      </c>
    </row>
    <row r="2073">
      <c r="A2073" s="2" t="inlineStr">
        <is>
          <t>2026-03-11 (정정: 2026-03-12)</t>
        </is>
      </c>
      <c r="B2073" s="3" t="inlineStr">
        <is>
          <t>LS</t>
        </is>
      </c>
      <c r="C2073" s="2" t="inlineStr">
        <is>
          <t>코스피</t>
        </is>
      </c>
      <c r="D2073" s="2" t="inlineStr">
        <is>
          <t>006260</t>
        </is>
      </c>
      <c r="E2073" s="3" t="inlineStr">
        <is>
          <t>주주총회소집결의               (정정: 20260312) (정정: 20260312)</t>
        </is>
      </c>
      <c r="F2073" s="3" t="inlineStr">
        <is>
          <t>LS</t>
        </is>
      </c>
      <c r="G2073" s="2" t="inlineStr">
        <is>
          <t>20260312001301</t>
        </is>
      </c>
      <c r="H2073" s="8">
        <f>HYPERLINK("https://dart.fss.or.kr/dsaf001/main.do?rcpNo=20260312001301", "공시열람")</f>
        <v/>
      </c>
    </row>
    <row r="2074">
      <c r="A2074" s="2" t="inlineStr">
        <is>
          <t>2026-03-11</t>
        </is>
      </c>
      <c r="B2074" s="3" t="inlineStr">
        <is>
          <t>에이텍</t>
        </is>
      </c>
      <c r="C2074" s="2" t="inlineStr">
        <is>
          <t>코스닥</t>
        </is>
      </c>
      <c r="D2074" s="2" t="inlineStr">
        <is>
          <t>045660</t>
        </is>
      </c>
      <c r="E2074" s="3" t="inlineStr">
        <is>
          <t xml:space="preserve">주주총회집중일개최사유신고              </t>
        </is>
      </c>
      <c r="F2074" s="3" t="inlineStr">
        <is>
          <t>에이텍</t>
        </is>
      </c>
      <c r="G2074" s="2" t="inlineStr">
        <is>
          <t>20260311902516</t>
        </is>
      </c>
      <c r="H2074" s="8">
        <f>HYPERLINK("https://dart.fss.or.kr/dsaf001/main.do?rcpNo=20260311902516", "공시열람")</f>
        <v/>
      </c>
    </row>
    <row r="2075">
      <c r="A2075" s="2" t="inlineStr">
        <is>
          <t>2026-03-11</t>
        </is>
      </c>
      <c r="B2075" s="3" t="inlineStr">
        <is>
          <t>에이텍</t>
        </is>
      </c>
      <c r="C2075" s="2" t="inlineStr">
        <is>
          <t>코스닥</t>
        </is>
      </c>
      <c r="D2075" s="2" t="inlineStr">
        <is>
          <t>045660</t>
        </is>
      </c>
      <c r="E2075" s="3" t="inlineStr">
        <is>
          <t xml:space="preserve">주주총회소집결의              </t>
        </is>
      </c>
      <c r="F2075" s="3" t="inlineStr">
        <is>
          <t>에이텍</t>
        </is>
      </c>
      <c r="G2075" s="2" t="inlineStr">
        <is>
          <t>20260311902641</t>
        </is>
      </c>
      <c r="H2075" s="8">
        <f>HYPERLINK("https://dart.fss.or.kr/dsaf001/main.do?rcpNo=20260311902641", "공시열람")</f>
        <v/>
      </c>
    </row>
    <row r="2076">
      <c r="A2076" s="2" t="inlineStr">
        <is>
          <t>2026-03-11</t>
        </is>
      </c>
      <c r="B2076" s="3" t="inlineStr">
        <is>
          <t>민테크</t>
        </is>
      </c>
      <c r="C2076" s="2" t="inlineStr">
        <is>
          <t>코스닥</t>
        </is>
      </c>
      <c r="D2076" s="2" t="inlineStr">
        <is>
          <t>452200</t>
        </is>
      </c>
      <c r="E2076" s="3" t="inlineStr">
        <is>
          <t xml:space="preserve">주주총회소집결의              </t>
        </is>
      </c>
      <c r="F2076" s="3" t="inlineStr">
        <is>
          <t>민테크</t>
        </is>
      </c>
      <c r="G2076" s="2" t="inlineStr">
        <is>
          <t>20260311902691</t>
        </is>
      </c>
      <c r="H2076" s="8">
        <f>HYPERLINK("https://dart.fss.or.kr/dsaf001/main.do?rcpNo=20260311902691", "공시열람")</f>
        <v/>
      </c>
    </row>
    <row r="2077">
      <c r="A2077" s="2" t="inlineStr">
        <is>
          <t>2026-03-11 (정정: 2026-03-12)</t>
        </is>
      </c>
      <c r="B2077" s="3" t="inlineStr">
        <is>
          <t>비츠로시스</t>
        </is>
      </c>
      <c r="C2077" s="2" t="inlineStr">
        <is>
          <t>코스닥</t>
        </is>
      </c>
      <c r="D2077" s="2" t="inlineStr">
        <is>
          <t>054220</t>
        </is>
      </c>
      <c r="E2077" s="3" t="inlineStr">
        <is>
          <t>주주총회소집결의               (정정: 20260312) (정정: 20260312)</t>
        </is>
      </c>
      <c r="F2077" s="3" t="inlineStr">
        <is>
          <t>비츠로시스</t>
        </is>
      </c>
      <c r="G2077" s="2" t="inlineStr">
        <is>
          <t>20260312900617</t>
        </is>
      </c>
      <c r="H2077" s="8">
        <f>HYPERLINK("https://dart.fss.or.kr/dsaf001/main.do?rcpNo=20260312900617", "공시열람")</f>
        <v/>
      </c>
    </row>
    <row r="2078">
      <c r="A2078" s="2" t="inlineStr">
        <is>
          <t>2026-03-11 (정정: 2026-03-11)</t>
        </is>
      </c>
      <c r="B2078" s="3" t="inlineStr">
        <is>
          <t>이지스</t>
        </is>
      </c>
      <c r="C2078" s="2" t="inlineStr">
        <is>
          <t>코스닥</t>
        </is>
      </c>
      <c r="D2078" s="2" t="inlineStr">
        <is>
          <t>261520</t>
        </is>
      </c>
      <c r="E2078" s="3" t="inlineStr">
        <is>
          <t xml:space="preserve">[기재정정]주주총회소집결의              </t>
        </is>
      </c>
      <c r="F2078" s="3" t="inlineStr">
        <is>
          <t>이지스</t>
        </is>
      </c>
      <c r="G2078" s="2" t="inlineStr">
        <is>
          <t>20260311902677</t>
        </is>
      </c>
      <c r="H2078" s="8">
        <f>HYPERLINK("https://dart.fss.or.kr/dsaf001/main.do?rcpNo=20260311902677", "공시열람")</f>
        <v/>
      </c>
    </row>
    <row r="2079">
      <c r="A2079" s="2" t="inlineStr">
        <is>
          <t>2026-03-11</t>
        </is>
      </c>
      <c r="B2079" s="3" t="inlineStr">
        <is>
          <t>아이엠</t>
        </is>
      </c>
      <c r="C2079" s="2" t="inlineStr">
        <is>
          <t>코스닥</t>
        </is>
      </c>
      <c r="D2079" s="2" t="inlineStr">
        <is>
          <t>101390</t>
        </is>
      </c>
      <c r="E2079" s="3" t="inlineStr">
        <is>
          <t xml:space="preserve">[첨부정정]주주총회소집결의              </t>
        </is>
      </c>
      <c r="F2079" s="3" t="inlineStr">
        <is>
          <t>아이엠</t>
        </is>
      </c>
      <c r="G2079" s="2" t="inlineStr">
        <is>
          <t>20260311902683</t>
        </is>
      </c>
      <c r="H2079" s="8">
        <f>HYPERLINK("https://dart.fss.or.kr/dsaf001/main.do?rcpNo=20260311902683", "공시열람")</f>
        <v/>
      </c>
    </row>
    <row r="2080">
      <c r="A2080" s="2" t="inlineStr">
        <is>
          <t>2026-03-11</t>
        </is>
      </c>
      <c r="B2080" s="3" t="inlineStr">
        <is>
          <t>아이로보틱스</t>
        </is>
      </c>
      <c r="C2080" s="2" t="inlineStr">
        <is>
          <t>코스닥</t>
        </is>
      </c>
      <c r="D2080" s="2" t="inlineStr">
        <is>
          <t>066430</t>
        </is>
      </c>
      <c r="E2080" s="3" t="inlineStr">
        <is>
          <t>소송등의판결ㆍ결정              (주주총회 의안상정 가처분)</t>
        </is>
      </c>
      <c r="F2080" s="3" t="inlineStr">
        <is>
          <t>아이로보틱스</t>
        </is>
      </c>
      <c r="G2080" s="2" t="inlineStr">
        <is>
          <t>20260311902458</t>
        </is>
      </c>
      <c r="H2080" s="8">
        <f>HYPERLINK("https://dart.fss.or.kr/dsaf001/main.do?rcpNo=20260311902458", "공시열람")</f>
        <v/>
      </c>
    </row>
    <row r="2081">
      <c r="A2081" s="2" t="inlineStr">
        <is>
          <t>2026-03-11</t>
        </is>
      </c>
      <c r="B2081" s="3" t="inlineStr">
        <is>
          <t>큐캐피탈</t>
        </is>
      </c>
      <c r="C2081" s="2" t="inlineStr">
        <is>
          <t>코스닥</t>
        </is>
      </c>
      <c r="D2081" s="2" t="inlineStr">
        <is>
          <t>016600</t>
        </is>
      </c>
      <c r="E2081" s="3" t="inlineStr">
        <is>
          <t xml:space="preserve">주주총회소집결의              </t>
        </is>
      </c>
      <c r="F2081" s="3" t="inlineStr">
        <is>
          <t>큐캐피탈</t>
        </is>
      </c>
      <c r="G2081" s="2" t="inlineStr">
        <is>
          <t>20260311902425</t>
        </is>
      </c>
      <c r="H2081" s="8">
        <f>HYPERLINK("https://dart.fss.or.kr/dsaf001/main.do?rcpNo=20260311902425", "공시열람")</f>
        <v/>
      </c>
    </row>
    <row r="2082">
      <c r="A2082" s="2" t="inlineStr">
        <is>
          <t>2026-03-11</t>
        </is>
      </c>
      <c r="B2082" s="3" t="inlineStr">
        <is>
          <t>쿠쿠홈시스</t>
        </is>
      </c>
      <c r="C2082" s="2" t="inlineStr">
        <is>
          <t>코스피</t>
        </is>
      </c>
      <c r="D2082" s="2" t="inlineStr">
        <is>
          <t>284740</t>
        </is>
      </c>
      <c r="E2082" s="3" t="inlineStr">
        <is>
          <t xml:space="preserve">주주총회소집결의              </t>
        </is>
      </c>
      <c r="F2082" s="3" t="inlineStr">
        <is>
          <t>쿠쿠홈시스</t>
        </is>
      </c>
      <c r="G2082" s="2" t="inlineStr">
        <is>
          <t>20260311802678</t>
        </is>
      </c>
      <c r="H2082" s="8">
        <f>HYPERLINK("https://dart.fss.or.kr/dsaf001/main.do?rcpNo=20260311802678", "공시열람")</f>
        <v/>
      </c>
    </row>
    <row r="2083">
      <c r="A2083" s="2" t="inlineStr">
        <is>
          <t>2026-03-11 (정정: 2026-03-12)</t>
        </is>
      </c>
      <c r="B2083" s="3" t="inlineStr">
        <is>
          <t>오텍</t>
        </is>
      </c>
      <c r="C2083" s="2" t="inlineStr">
        <is>
          <t>코스닥</t>
        </is>
      </c>
      <c r="D2083" s="2" t="inlineStr">
        <is>
          <t>067170</t>
        </is>
      </c>
      <c r="E2083" s="3" t="inlineStr">
        <is>
          <t>주주총회집중일개최사유신고               (정정: 20260312) (정정: 20260312) (정정: 20260312)</t>
        </is>
      </c>
      <c r="F2083" s="3" t="inlineStr">
        <is>
          <t>오텍</t>
        </is>
      </c>
      <c r="G2083" s="2" t="inlineStr">
        <is>
          <t>20260312900633</t>
        </is>
      </c>
      <c r="H2083" s="8">
        <f>HYPERLINK("https://dart.fss.or.kr/dsaf001/main.do?rcpNo=20260312900633", "공시열람")</f>
        <v/>
      </c>
    </row>
    <row r="2084">
      <c r="A2084" s="2" t="inlineStr">
        <is>
          <t>2026-03-11</t>
        </is>
      </c>
      <c r="B2084" s="3" t="inlineStr">
        <is>
          <t>어보브반도체</t>
        </is>
      </c>
      <c r="C2084" s="2" t="inlineStr">
        <is>
          <t>코스닥</t>
        </is>
      </c>
      <c r="D2084" s="2" t="inlineStr">
        <is>
          <t>102120</t>
        </is>
      </c>
      <c r="E2084" s="3" t="inlineStr">
        <is>
          <t xml:space="preserve">주주총회소집결의              </t>
        </is>
      </c>
      <c r="F2084" s="3" t="inlineStr">
        <is>
          <t>어보브반도체</t>
        </is>
      </c>
      <c r="G2084" s="2" t="inlineStr">
        <is>
          <t>20260311902666</t>
        </is>
      </c>
      <c r="H2084" s="8">
        <f>HYPERLINK("https://dart.fss.or.kr/dsaf001/main.do?rcpNo=20260311902666", "공시열람")</f>
        <v/>
      </c>
    </row>
    <row r="2085">
      <c r="A2085" s="2" t="inlineStr">
        <is>
          <t>2026-03-11</t>
        </is>
      </c>
      <c r="B2085" s="3" t="inlineStr">
        <is>
          <t>아이엠</t>
        </is>
      </c>
      <c r="C2085" s="2" t="inlineStr">
        <is>
          <t>코스닥</t>
        </is>
      </c>
      <c r="D2085" s="2" t="inlineStr">
        <is>
          <t>101390</t>
        </is>
      </c>
      <c r="E2085" s="3" t="inlineStr">
        <is>
          <t xml:space="preserve">[기재정정]주주총회소집결의              </t>
        </is>
      </c>
      <c r="F2085" s="3" t="inlineStr">
        <is>
          <t>아이엠</t>
        </is>
      </c>
      <c r="G2085" s="2" t="inlineStr">
        <is>
          <t>20260311902674</t>
        </is>
      </c>
      <c r="H2085" s="8">
        <f>HYPERLINK("https://dart.fss.or.kr/dsaf001/main.do?rcpNo=20260311902674", "공시열람")</f>
        <v/>
      </c>
    </row>
    <row r="2086">
      <c r="A2086" s="2" t="inlineStr">
        <is>
          <t>2026-03-11</t>
        </is>
      </c>
      <c r="B2086" s="3" t="inlineStr">
        <is>
          <t>오텍</t>
        </is>
      </c>
      <c r="C2086" s="2" t="inlineStr">
        <is>
          <t>코스닥</t>
        </is>
      </c>
      <c r="D2086" s="2" t="inlineStr">
        <is>
          <t>067170</t>
        </is>
      </c>
      <c r="E2086" s="3" t="inlineStr">
        <is>
          <t xml:space="preserve">주주총회소집결의              </t>
        </is>
      </c>
      <c r="F2086" s="3" t="inlineStr">
        <is>
          <t>오텍</t>
        </is>
      </c>
      <c r="G2086" s="2" t="inlineStr">
        <is>
          <t>20260311902634</t>
        </is>
      </c>
      <c r="H2086" s="8">
        <f>HYPERLINK("https://dart.fss.or.kr/dsaf001/main.do?rcpNo=20260311902634", "공시열람")</f>
        <v/>
      </c>
    </row>
    <row r="2087">
      <c r="A2087" s="2" t="inlineStr">
        <is>
          <t>2026-03-11 (정정: 2026-03-12)</t>
        </is>
      </c>
      <c r="B2087" s="3" t="inlineStr">
        <is>
          <t>휴림에이텍</t>
        </is>
      </c>
      <c r="C2087" s="2" t="inlineStr">
        <is>
          <t>코스닥</t>
        </is>
      </c>
      <c r="D2087" s="2" t="inlineStr">
        <is>
          <t>078590</t>
        </is>
      </c>
      <c r="E2087" s="3" t="inlineStr">
        <is>
          <t>주주총회소집결의               (정정: 20260312)</t>
        </is>
      </c>
      <c r="F2087" s="3" t="inlineStr">
        <is>
          <t>휴림에이텍</t>
        </is>
      </c>
      <c r="G2087" s="2" t="inlineStr">
        <is>
          <t>20260312901526</t>
        </is>
      </c>
      <c r="H2087" s="8">
        <f>HYPERLINK("https://dart.fss.or.kr/dsaf001/main.do?rcpNo=20260312901526", "공시열람")</f>
        <v/>
      </c>
    </row>
    <row r="2088">
      <c r="A2088" s="2" t="inlineStr">
        <is>
          <t>2026-03-11</t>
        </is>
      </c>
      <c r="B2088" s="3" t="inlineStr">
        <is>
          <t>휴림에이텍</t>
        </is>
      </c>
      <c r="C2088" s="2" t="inlineStr">
        <is>
          <t>코스닥</t>
        </is>
      </c>
      <c r="D2088" s="2" t="inlineStr">
        <is>
          <t>078590</t>
        </is>
      </c>
      <c r="E2088" s="3" t="inlineStr">
        <is>
          <t xml:space="preserve">주주총회집중일개최사유신고              </t>
        </is>
      </c>
      <c r="F2088" s="3" t="inlineStr">
        <is>
          <t>휴림에이텍</t>
        </is>
      </c>
      <c r="G2088" s="2" t="inlineStr">
        <is>
          <t>20260311902471</t>
        </is>
      </c>
      <c r="H2088" s="8">
        <f>HYPERLINK("https://dart.fss.or.kr/dsaf001/main.do?rcpNo=20260311902471", "공시열람")</f>
        <v/>
      </c>
    </row>
    <row r="2089">
      <c r="A2089" s="2" t="inlineStr">
        <is>
          <t>2026-03-11</t>
        </is>
      </c>
      <c r="B2089" s="3" t="inlineStr">
        <is>
          <t>티이엠씨</t>
        </is>
      </c>
      <c r="C2089" s="2" t="inlineStr">
        <is>
          <t>코스닥</t>
        </is>
      </c>
      <c r="D2089" s="2" t="inlineStr">
        <is>
          <t>425040</t>
        </is>
      </c>
      <c r="E2089" s="3" t="inlineStr">
        <is>
          <t xml:space="preserve">주주총회소집결의              </t>
        </is>
      </c>
      <c r="F2089" s="3" t="inlineStr">
        <is>
          <t>티이엠씨</t>
        </is>
      </c>
      <c r="G2089" s="2" t="inlineStr">
        <is>
          <t>20260311902490</t>
        </is>
      </c>
      <c r="H2089" s="8">
        <f>HYPERLINK("https://dart.fss.or.kr/dsaf001/main.do?rcpNo=20260311902490", "공시열람")</f>
        <v/>
      </c>
    </row>
    <row r="2090">
      <c r="A2090" s="2" t="inlineStr">
        <is>
          <t>2026-03-11</t>
        </is>
      </c>
      <c r="B2090" s="3" t="inlineStr">
        <is>
          <t>DB증권</t>
        </is>
      </c>
      <c r="C2090" s="2" t="inlineStr">
        <is>
          <t>코스피</t>
        </is>
      </c>
      <c r="D2090" s="2" t="inlineStr">
        <is>
          <t>016610</t>
        </is>
      </c>
      <c r="E2090" s="3" t="inlineStr">
        <is>
          <t xml:space="preserve">주주총회소집결의              </t>
        </is>
      </c>
      <c r="F2090" s="3" t="inlineStr">
        <is>
          <t>DB증권</t>
        </is>
      </c>
      <c r="G2090" s="2" t="inlineStr">
        <is>
          <t>20260311802581</t>
        </is>
      </c>
      <c r="H2090" s="8">
        <f>HYPERLINK("https://dart.fss.or.kr/dsaf001/main.do?rcpNo=20260311802581", "공시열람")</f>
        <v/>
      </c>
    </row>
    <row r="2091">
      <c r="A2091" s="2" t="inlineStr">
        <is>
          <t>2026-03-11</t>
        </is>
      </c>
      <c r="B2091" s="3" t="inlineStr">
        <is>
          <t>베노티앤알</t>
        </is>
      </c>
      <c r="C2091" s="2" t="inlineStr">
        <is>
          <t>코스닥</t>
        </is>
      </c>
      <c r="D2091" s="2" t="inlineStr">
        <is>
          <t>206400</t>
        </is>
      </c>
      <c r="E2091" s="3" t="inlineStr">
        <is>
          <t xml:space="preserve">주주총회소집결의              </t>
        </is>
      </c>
      <c r="F2091" s="3" t="inlineStr">
        <is>
          <t>베노티앤알</t>
        </is>
      </c>
      <c r="G2091" s="2" t="inlineStr">
        <is>
          <t>20260311902501</t>
        </is>
      </c>
      <c r="H2091" s="8">
        <f>HYPERLINK("https://dart.fss.or.kr/dsaf001/main.do?rcpNo=20260311902501", "공시열람")</f>
        <v/>
      </c>
    </row>
    <row r="2092">
      <c r="A2092" s="2" t="inlineStr">
        <is>
          <t>2026-03-11</t>
        </is>
      </c>
      <c r="B2092" s="3" t="inlineStr">
        <is>
          <t>웅진씽크빅</t>
        </is>
      </c>
      <c r="C2092" s="2" t="inlineStr">
        <is>
          <t>코스피</t>
        </is>
      </c>
      <c r="D2092" s="2" t="inlineStr">
        <is>
          <t>095720</t>
        </is>
      </c>
      <c r="E2092" s="3" t="inlineStr">
        <is>
          <t xml:space="preserve">주주총회소집결의              </t>
        </is>
      </c>
      <c r="F2092" s="3" t="inlineStr">
        <is>
          <t>웅진씽크빅</t>
        </is>
      </c>
      <c r="G2092" s="2" t="inlineStr">
        <is>
          <t>20260311802575</t>
        </is>
      </c>
      <c r="H2092" s="8">
        <f>HYPERLINK("https://dart.fss.or.kr/dsaf001/main.do?rcpNo=20260311802575", "공시열람")</f>
        <v/>
      </c>
    </row>
    <row r="2093">
      <c r="A2093" s="2" t="inlineStr">
        <is>
          <t>2026-03-11</t>
        </is>
      </c>
      <c r="B2093" s="3" t="inlineStr">
        <is>
          <t>멤레이비티</t>
        </is>
      </c>
      <c r="C2093" s="2" t="inlineStr">
        <is>
          <t>코스닥</t>
        </is>
      </c>
      <c r="D2093" s="2" t="inlineStr">
        <is>
          <t>072770</t>
        </is>
      </c>
      <c r="E2093" s="3" t="inlineStr">
        <is>
          <t xml:space="preserve">[기재정정]주주총회소집결의              </t>
        </is>
      </c>
      <c r="F2093" s="3" t="inlineStr">
        <is>
          <t>멤레이비티</t>
        </is>
      </c>
      <c r="G2093" s="2" t="inlineStr">
        <is>
          <t>20260311902623</t>
        </is>
      </c>
      <c r="H2093" s="8">
        <f>HYPERLINK("https://dart.fss.or.kr/dsaf001/main.do?rcpNo=20260311902623", "공시열람")</f>
        <v/>
      </c>
    </row>
    <row r="2094">
      <c r="A2094" s="2" t="inlineStr">
        <is>
          <t>2026-03-11 (정정: 2026-03-25)</t>
        </is>
      </c>
      <c r="B2094" s="3" t="inlineStr">
        <is>
          <t>에이플러스에셋</t>
        </is>
      </c>
      <c r="C2094" s="2" t="inlineStr">
        <is>
          <t>코스피</t>
        </is>
      </c>
      <c r="D2094" s="2" t="inlineStr">
        <is>
          <t>244920</t>
        </is>
      </c>
      <c r="E2094" s="3" t="inlineStr">
        <is>
          <t>주주총회소집결의               (정정: 20260313) (정정: 20260313) (정정: 20260325)</t>
        </is>
      </c>
      <c r="F2094" s="3" t="inlineStr">
        <is>
          <t>에이플러스에셋</t>
        </is>
      </c>
      <c r="G2094" s="2" t="inlineStr">
        <is>
          <t>20260325000347</t>
        </is>
      </c>
      <c r="H2094" s="8">
        <f>HYPERLINK("https://dart.fss.or.kr/dsaf001/main.do?rcpNo=20260325000347", "공시열람")</f>
        <v/>
      </c>
    </row>
    <row r="2095">
      <c r="A2095" s="2" t="inlineStr">
        <is>
          <t>2026-03-11</t>
        </is>
      </c>
      <c r="B2095" s="3" t="inlineStr">
        <is>
          <t>한국정보인증</t>
        </is>
      </c>
      <c r="C2095" s="2" t="inlineStr">
        <is>
          <t>코스닥</t>
        </is>
      </c>
      <c r="D2095" s="2" t="inlineStr">
        <is>
          <t>053300</t>
        </is>
      </c>
      <c r="E2095" s="3" t="inlineStr">
        <is>
          <t xml:space="preserve">주주총회소집결의              </t>
        </is>
      </c>
      <c r="F2095" s="3" t="inlineStr">
        <is>
          <t>한국정보인증</t>
        </is>
      </c>
      <c r="G2095" s="2" t="inlineStr">
        <is>
          <t>20260311902540</t>
        </is>
      </c>
      <c r="H2095" s="8">
        <f>HYPERLINK("https://dart.fss.or.kr/dsaf001/main.do?rcpNo=20260311902540", "공시열람")</f>
        <v/>
      </c>
    </row>
    <row r="2096">
      <c r="A2096" s="2" t="inlineStr">
        <is>
          <t>2026-03-11</t>
        </is>
      </c>
      <c r="B2096" s="3" t="inlineStr">
        <is>
          <t>인바디</t>
        </is>
      </c>
      <c r="C2096" s="2" t="inlineStr">
        <is>
          <t>코스닥</t>
        </is>
      </c>
      <c r="D2096" s="2" t="inlineStr">
        <is>
          <t>041830</t>
        </is>
      </c>
      <c r="E2096" s="3" t="inlineStr">
        <is>
          <t>주주총회소집공고</t>
        </is>
      </c>
      <c r="F2096" s="3" t="inlineStr">
        <is>
          <t>인바디</t>
        </is>
      </c>
      <c r="G2096" s="2" t="inlineStr">
        <is>
          <t>20260311004647</t>
        </is>
      </c>
      <c r="H2096" s="8">
        <f>HYPERLINK("https://dart.fss.or.kr/dsaf001/main.do?rcpNo=20260311004647", "공시열람")</f>
        <v/>
      </c>
    </row>
    <row r="2097">
      <c r="A2097" s="2" t="inlineStr">
        <is>
          <t>2026-03-11</t>
        </is>
      </c>
      <c r="B2097" s="3" t="inlineStr">
        <is>
          <t>티이엠씨</t>
        </is>
      </c>
      <c r="C2097" s="2" t="inlineStr">
        <is>
          <t>코스닥</t>
        </is>
      </c>
      <c r="D2097" s="2" t="inlineStr">
        <is>
          <t>425040</t>
        </is>
      </c>
      <c r="E2097" s="3" t="inlineStr">
        <is>
          <t>주주총회소집공고</t>
        </is>
      </c>
      <c r="F2097" s="3" t="inlineStr">
        <is>
          <t>티이엠씨</t>
        </is>
      </c>
      <c r="G2097" s="2" t="inlineStr">
        <is>
          <t>20260311004644</t>
        </is>
      </c>
      <c r="H2097" s="8">
        <f>HYPERLINK("https://dart.fss.or.kr/dsaf001/main.do?rcpNo=20260311004644", "공시열람")</f>
        <v/>
      </c>
    </row>
    <row r="2098">
      <c r="A2098" s="2" t="inlineStr">
        <is>
          <t>2026-03-11 (정정: 2026-03-17)</t>
        </is>
      </c>
      <c r="B2098" s="3" t="inlineStr">
        <is>
          <t>NH투자증권</t>
        </is>
      </c>
      <c r="C2098" s="2" t="inlineStr">
        <is>
          <t>코스피</t>
        </is>
      </c>
      <c r="D2098" s="2" t="inlineStr">
        <is>
          <t>005940</t>
        </is>
      </c>
      <c r="E2098" s="3" t="inlineStr">
        <is>
          <t>주주총회소집결의               (정정: 20260317)</t>
        </is>
      </c>
      <c r="F2098" s="3" t="inlineStr">
        <is>
          <t>NH투자증권</t>
        </is>
      </c>
      <c r="G2098" s="2" t="inlineStr">
        <is>
          <t>20260317000467</t>
        </is>
      </c>
      <c r="H2098" s="8">
        <f>HYPERLINK("https://dart.fss.or.kr/dsaf001/main.do?rcpNo=20260317000467", "공시열람")</f>
        <v/>
      </c>
    </row>
    <row r="2099">
      <c r="A2099" s="2" t="inlineStr">
        <is>
          <t>2026-03-11</t>
        </is>
      </c>
      <c r="B2099" s="3" t="inlineStr">
        <is>
          <t>스맥</t>
        </is>
      </c>
      <c r="C2099" s="2" t="inlineStr">
        <is>
          <t>코스닥</t>
        </is>
      </c>
      <c r="D2099" s="2" t="inlineStr">
        <is>
          <t>099440</t>
        </is>
      </c>
      <c r="E2099" s="3" t="inlineStr">
        <is>
          <t>주주총회소집공고</t>
        </is>
      </c>
      <c r="F2099" s="3" t="inlineStr">
        <is>
          <t>스맥</t>
        </is>
      </c>
      <c r="G2099" s="2" t="inlineStr">
        <is>
          <t>20260311004639</t>
        </is>
      </c>
      <c r="H2099" s="8">
        <f>HYPERLINK("https://dart.fss.or.kr/dsaf001/main.do?rcpNo=20260311004639", "공시열람")</f>
        <v/>
      </c>
    </row>
    <row r="2100">
      <c r="A2100" s="2" t="inlineStr">
        <is>
          <t>2026-03-11</t>
        </is>
      </c>
      <c r="B2100" s="3" t="inlineStr">
        <is>
          <t>계양전기</t>
        </is>
      </c>
      <c r="C2100" s="2" t="inlineStr">
        <is>
          <t>코스피</t>
        </is>
      </c>
      <c r="D2100" s="2" t="inlineStr">
        <is>
          <t>012200</t>
        </is>
      </c>
      <c r="E2100" s="3" t="inlineStr">
        <is>
          <t>주주총회소집공고</t>
        </is>
      </c>
      <c r="F2100" s="3" t="inlineStr">
        <is>
          <t>계양전기</t>
        </is>
      </c>
      <c r="G2100" s="2" t="inlineStr">
        <is>
          <t>20260311004635</t>
        </is>
      </c>
      <c r="H2100" s="8">
        <f>HYPERLINK("https://dart.fss.or.kr/dsaf001/main.do?rcpNo=20260311004635", "공시열람")</f>
        <v/>
      </c>
    </row>
    <row r="2101">
      <c r="A2101" s="2" t="inlineStr">
        <is>
          <t>2026-03-11</t>
        </is>
      </c>
      <c r="B2101" s="3" t="inlineStr">
        <is>
          <t>웅진</t>
        </is>
      </c>
      <c r="C2101" s="2" t="inlineStr">
        <is>
          <t>코스피</t>
        </is>
      </c>
      <c r="D2101" s="2" t="inlineStr">
        <is>
          <t>016880</t>
        </is>
      </c>
      <c r="E2101" s="3" t="inlineStr">
        <is>
          <t xml:space="preserve">주주총회소집결의              </t>
        </is>
      </c>
      <c r="F2101" s="3" t="inlineStr">
        <is>
          <t>웅진</t>
        </is>
      </c>
      <c r="G2101" s="2" t="inlineStr">
        <is>
          <t>20260311802472</t>
        </is>
      </c>
      <c r="H2101" s="8">
        <f>HYPERLINK("https://dart.fss.or.kr/dsaf001/main.do?rcpNo=20260311802472", "공시열람")</f>
        <v/>
      </c>
    </row>
    <row r="2102">
      <c r="A2102" s="2" t="inlineStr">
        <is>
          <t>2026-03-11</t>
        </is>
      </c>
      <c r="B2102" s="3" t="inlineStr">
        <is>
          <t>오로라</t>
        </is>
      </c>
      <c r="C2102" s="2" t="inlineStr">
        <is>
          <t>코스닥</t>
        </is>
      </c>
      <c r="D2102" s="2" t="inlineStr">
        <is>
          <t>039830</t>
        </is>
      </c>
      <c r="E2102" s="3" t="inlineStr">
        <is>
          <t xml:space="preserve">주주총회집중일개최사유신고              </t>
        </is>
      </c>
      <c r="F2102" s="3" t="inlineStr">
        <is>
          <t>오로라</t>
        </is>
      </c>
      <c r="G2102" s="2" t="inlineStr">
        <is>
          <t>20260311902442</t>
        </is>
      </c>
      <c r="H2102" s="8">
        <f>HYPERLINK("https://dart.fss.or.kr/dsaf001/main.do?rcpNo=20260311902442", "공시열람")</f>
        <v/>
      </c>
    </row>
    <row r="2103">
      <c r="A2103" s="2" t="inlineStr">
        <is>
          <t>2026-03-11</t>
        </is>
      </c>
      <c r="B2103" s="3" t="inlineStr">
        <is>
          <t>KB오토시스</t>
        </is>
      </c>
      <c r="C2103" s="2" t="inlineStr">
        <is>
          <t>코스닥</t>
        </is>
      </c>
      <c r="D2103" s="2" t="inlineStr">
        <is>
          <t>024120</t>
        </is>
      </c>
      <c r="E2103" s="3" t="inlineStr">
        <is>
          <t xml:space="preserve">주주총회소집결의              </t>
        </is>
      </c>
      <c r="F2103" s="3" t="inlineStr">
        <is>
          <t>KB오토시스</t>
        </is>
      </c>
      <c r="G2103" s="2" t="inlineStr">
        <is>
          <t>20260311902517</t>
        </is>
      </c>
      <c r="H2103" s="8">
        <f>HYPERLINK("https://dart.fss.or.kr/dsaf001/main.do?rcpNo=20260311902517", "공시열람")</f>
        <v/>
      </c>
    </row>
    <row r="2104">
      <c r="A2104" s="2" t="inlineStr">
        <is>
          <t>2026-03-11</t>
        </is>
      </c>
      <c r="B2104" s="3" t="inlineStr">
        <is>
          <t>오로라</t>
        </is>
      </c>
      <c r="C2104" s="2" t="inlineStr">
        <is>
          <t>코스닥</t>
        </is>
      </c>
      <c r="D2104" s="2" t="inlineStr">
        <is>
          <t>039830</t>
        </is>
      </c>
      <c r="E2104" s="3" t="inlineStr">
        <is>
          <t xml:space="preserve">주주총회소집결의              </t>
        </is>
      </c>
      <c r="F2104" s="3" t="inlineStr">
        <is>
          <t>오로라</t>
        </is>
      </c>
      <c r="G2104" s="2" t="inlineStr">
        <is>
          <t>20260311902432</t>
        </is>
      </c>
      <c r="H2104" s="8">
        <f>HYPERLINK("https://dart.fss.or.kr/dsaf001/main.do?rcpNo=20260311902432", "공시열람")</f>
        <v/>
      </c>
    </row>
    <row r="2105">
      <c r="A2105" s="2" t="inlineStr">
        <is>
          <t>2026-03-11</t>
        </is>
      </c>
      <c r="B2105" s="3" t="inlineStr">
        <is>
          <t>웅진</t>
        </is>
      </c>
      <c r="C2105" s="2" t="inlineStr">
        <is>
          <t>코스피</t>
        </is>
      </c>
      <c r="D2105" s="2" t="inlineStr">
        <is>
          <t>016880</t>
        </is>
      </c>
      <c r="E2105" s="3" t="inlineStr">
        <is>
          <t>주주총회소집공고</t>
        </is>
      </c>
      <c r="F2105" s="3" t="inlineStr">
        <is>
          <t>웅진</t>
        </is>
      </c>
      <c r="G2105" s="2" t="inlineStr">
        <is>
          <t>20260311004628</t>
        </is>
      </c>
      <c r="H2105" s="8">
        <f>HYPERLINK("https://dart.fss.or.kr/dsaf001/main.do?rcpNo=20260311004628", "공시열람")</f>
        <v/>
      </c>
    </row>
    <row r="2106">
      <c r="A2106" s="2" t="inlineStr">
        <is>
          <t>2026-03-11</t>
        </is>
      </c>
      <c r="B2106" s="3" t="inlineStr">
        <is>
          <t>한국앤컴퍼니</t>
        </is>
      </c>
      <c r="C2106" s="2" t="inlineStr">
        <is>
          <t>코스피</t>
        </is>
      </c>
      <c r="D2106" s="2" t="inlineStr">
        <is>
          <t>000240</t>
        </is>
      </c>
      <c r="E2106" s="3" t="inlineStr">
        <is>
          <t>주주총회소집공고</t>
        </is>
      </c>
      <c r="F2106" s="3" t="inlineStr">
        <is>
          <t>한국앤컴퍼니</t>
        </is>
      </c>
      <c r="G2106" s="2" t="inlineStr">
        <is>
          <t>20260311004621</t>
        </is>
      </c>
      <c r="H2106" s="8">
        <f>HYPERLINK("https://dart.fss.or.kr/dsaf001/main.do?rcpNo=20260311004621", "공시열람")</f>
        <v/>
      </c>
    </row>
    <row r="2107">
      <c r="A2107" s="2" t="inlineStr">
        <is>
          <t>2026-03-11</t>
        </is>
      </c>
      <c r="B2107" s="3" t="inlineStr">
        <is>
          <t>오르비텍</t>
        </is>
      </c>
      <c r="C2107" s="2" t="inlineStr">
        <is>
          <t>코스닥</t>
        </is>
      </c>
      <c r="D2107" s="2" t="inlineStr">
        <is>
          <t>046120</t>
        </is>
      </c>
      <c r="E2107" s="3" t="inlineStr">
        <is>
          <t>주주총회소집공고</t>
        </is>
      </c>
      <c r="F2107" s="3" t="inlineStr">
        <is>
          <t>오르비텍</t>
        </is>
      </c>
      <c r="G2107" s="2" t="inlineStr">
        <is>
          <t>20260311004620</t>
        </is>
      </c>
      <c r="H2107" s="8">
        <f>HYPERLINK("https://dart.fss.or.kr/dsaf001/main.do?rcpNo=20260311004620", "공시열람")</f>
        <v/>
      </c>
    </row>
    <row r="2108">
      <c r="A2108" s="2" t="inlineStr">
        <is>
          <t>2026-03-11</t>
        </is>
      </c>
      <c r="B2108" s="3" t="inlineStr">
        <is>
          <t>케이뱅크</t>
        </is>
      </c>
      <c r="C2108" s="2" t="inlineStr">
        <is>
          <t>코스피</t>
        </is>
      </c>
      <c r="D2108" s="2" t="inlineStr">
        <is>
          <t>279570</t>
        </is>
      </c>
      <c r="E2108" s="3" t="inlineStr">
        <is>
          <t>주주총회소집공고</t>
        </is>
      </c>
      <c r="F2108" s="3" t="inlineStr">
        <is>
          <t>케이뱅크</t>
        </is>
      </c>
      <c r="G2108" s="2" t="inlineStr">
        <is>
          <t>20260311004617</t>
        </is>
      </c>
      <c r="H2108" s="8">
        <f>HYPERLINK("https://dart.fss.or.kr/dsaf001/main.do?rcpNo=20260311004617", "공시열람")</f>
        <v/>
      </c>
    </row>
    <row r="2109">
      <c r="A2109" s="2" t="inlineStr">
        <is>
          <t>2026-03-11</t>
        </is>
      </c>
      <c r="B2109" s="3" t="inlineStr">
        <is>
          <t>에이플러스에셋</t>
        </is>
      </c>
      <c r="C2109" s="2" t="inlineStr">
        <is>
          <t>코스피</t>
        </is>
      </c>
      <c r="D2109" s="2" t="inlineStr">
        <is>
          <t>244920</t>
        </is>
      </c>
      <c r="E2109" s="3" t="inlineStr">
        <is>
          <t>주주총회소집공고</t>
        </is>
      </c>
      <c r="F2109" s="3" t="inlineStr">
        <is>
          <t>에이플러스에셋</t>
        </is>
      </c>
      <c r="G2109" s="2" t="inlineStr">
        <is>
          <t>20260311004615</t>
        </is>
      </c>
      <c r="H2109" s="8">
        <f>HYPERLINK("https://dart.fss.or.kr/dsaf001/main.do?rcpNo=20260311004615", "공시열람")</f>
        <v/>
      </c>
    </row>
    <row r="2110">
      <c r="A2110" s="2" t="inlineStr">
        <is>
          <t>2026-03-11</t>
        </is>
      </c>
      <c r="B2110" s="3" t="inlineStr">
        <is>
          <t>웅진씽크빅</t>
        </is>
      </c>
      <c r="C2110" s="2" t="inlineStr">
        <is>
          <t>코스피</t>
        </is>
      </c>
      <c r="D2110" s="2" t="inlineStr">
        <is>
          <t>095720</t>
        </is>
      </c>
      <c r="E2110" s="3" t="inlineStr">
        <is>
          <t>주주총회소집공고</t>
        </is>
      </c>
      <c r="F2110" s="3" t="inlineStr">
        <is>
          <t>웅진씽크빅</t>
        </is>
      </c>
      <c r="G2110" s="2" t="inlineStr">
        <is>
          <t>20260311004613</t>
        </is>
      </c>
      <c r="H2110" s="8">
        <f>HYPERLINK("https://dart.fss.or.kr/dsaf001/main.do?rcpNo=20260311004613", "공시열람")</f>
        <v/>
      </c>
    </row>
    <row r="2111">
      <c r="A2111" s="2" t="inlineStr">
        <is>
          <t>2026-03-11</t>
        </is>
      </c>
      <c r="B2111" s="3" t="inlineStr">
        <is>
          <t>대창솔루션</t>
        </is>
      </c>
      <c r="C2111" s="2" t="inlineStr">
        <is>
          <t>코스닥</t>
        </is>
      </c>
      <c r="D2111" s="2" t="inlineStr">
        <is>
          <t>096350</t>
        </is>
      </c>
      <c r="E2111" s="3" t="inlineStr">
        <is>
          <t xml:space="preserve">주주총회소집결의              </t>
        </is>
      </c>
      <c r="F2111" s="3" t="inlineStr">
        <is>
          <t>대창솔루션</t>
        </is>
      </c>
      <c r="G2111" s="2" t="inlineStr">
        <is>
          <t>20260311902468</t>
        </is>
      </c>
      <c r="H2111" s="8">
        <f>HYPERLINK("https://dart.fss.or.kr/dsaf001/main.do?rcpNo=20260311902468", "공시열람")</f>
        <v/>
      </c>
    </row>
    <row r="2112">
      <c r="A2112" s="2" t="inlineStr">
        <is>
          <t>2026-03-11</t>
        </is>
      </c>
      <c r="B2112" s="3" t="inlineStr">
        <is>
          <t>어보브반도체</t>
        </is>
      </c>
      <c r="C2112" s="2" t="inlineStr">
        <is>
          <t>코스닥</t>
        </is>
      </c>
      <c r="D2112" s="2" t="inlineStr">
        <is>
          <t>102120</t>
        </is>
      </c>
      <c r="E2112" s="3" t="inlineStr">
        <is>
          <t>주주총회소집공고</t>
        </is>
      </c>
      <c r="F2112" s="3" t="inlineStr">
        <is>
          <t>어보브반도체</t>
        </is>
      </c>
      <c r="G2112" s="2" t="inlineStr">
        <is>
          <t>20260311004606</t>
        </is>
      </c>
      <c r="H2112" s="8">
        <f>HYPERLINK("https://dart.fss.or.kr/dsaf001/main.do?rcpNo=20260311004606", "공시열람")</f>
        <v/>
      </c>
    </row>
    <row r="2113">
      <c r="A2113" s="2" t="inlineStr">
        <is>
          <t>2026-03-11</t>
        </is>
      </c>
      <c r="B2113" s="3" t="inlineStr">
        <is>
          <t>케이뱅크</t>
        </is>
      </c>
      <c r="C2113" s="2" t="inlineStr">
        <is>
          <t>코스피</t>
        </is>
      </c>
      <c r="D2113" s="2" t="inlineStr">
        <is>
          <t>279570</t>
        </is>
      </c>
      <c r="E2113" s="3" t="inlineStr">
        <is>
          <t xml:space="preserve">주주총회소집결의              </t>
        </is>
      </c>
      <c r="F2113" s="3" t="inlineStr">
        <is>
          <t>케이뱅크</t>
        </is>
      </c>
      <c r="G2113" s="2" t="inlineStr">
        <is>
          <t>20260311802395</t>
        </is>
      </c>
      <c r="H2113" s="8">
        <f>HYPERLINK("https://dart.fss.or.kr/dsaf001/main.do?rcpNo=20260311802395", "공시열람")</f>
        <v/>
      </c>
    </row>
    <row r="2114">
      <c r="A2114" s="2" t="inlineStr">
        <is>
          <t>2026-03-11</t>
        </is>
      </c>
      <c r="B2114" s="3" t="inlineStr">
        <is>
          <t>베노티앤알</t>
        </is>
      </c>
      <c r="C2114" s="2" t="inlineStr">
        <is>
          <t>코스닥</t>
        </is>
      </c>
      <c r="D2114" s="2" t="inlineStr">
        <is>
          <t>206400</t>
        </is>
      </c>
      <c r="E2114" s="3" t="inlineStr">
        <is>
          <t>주주총회소집공고</t>
        </is>
      </c>
      <c r="F2114" s="3" t="inlineStr">
        <is>
          <t>베노티앤알</t>
        </is>
      </c>
      <c r="G2114" s="2" t="inlineStr">
        <is>
          <t>20260311004602</t>
        </is>
      </c>
      <c r="H2114" s="8">
        <f>HYPERLINK("https://dart.fss.or.kr/dsaf001/main.do?rcpNo=20260311004602", "공시열람")</f>
        <v/>
      </c>
    </row>
    <row r="2115">
      <c r="A2115" s="2" t="inlineStr">
        <is>
          <t>2026-03-11</t>
        </is>
      </c>
      <c r="B2115" s="3" t="inlineStr">
        <is>
          <t>큐캐피탈</t>
        </is>
      </c>
      <c r="C2115" s="2" t="inlineStr">
        <is>
          <t>코스닥</t>
        </is>
      </c>
      <c r="D2115" s="2" t="inlineStr">
        <is>
          <t>016600</t>
        </is>
      </c>
      <c r="E2115" s="3" t="inlineStr">
        <is>
          <t>주주총회소집공고</t>
        </is>
      </c>
      <c r="F2115" s="3" t="inlineStr">
        <is>
          <t>큐캐피탈</t>
        </is>
      </c>
      <c r="G2115" s="2" t="inlineStr">
        <is>
          <t>20260311004599</t>
        </is>
      </c>
      <c r="H2115" s="8">
        <f>HYPERLINK("https://dart.fss.or.kr/dsaf001/main.do?rcpNo=20260311004599", "공시열람")</f>
        <v/>
      </c>
    </row>
    <row r="2116">
      <c r="A2116" s="2" t="inlineStr">
        <is>
          <t>2026-03-11</t>
        </is>
      </c>
      <c r="B2116" s="3" t="inlineStr">
        <is>
          <t>한세예스24홀딩스</t>
        </is>
      </c>
      <c r="C2116" s="2" t="inlineStr">
        <is>
          <t>코스피</t>
        </is>
      </c>
      <c r="D2116" s="2" t="inlineStr">
        <is>
          <t>016450</t>
        </is>
      </c>
      <c r="E2116" s="3" t="inlineStr">
        <is>
          <t>주주총회소집공고</t>
        </is>
      </c>
      <c r="F2116" s="3" t="inlineStr">
        <is>
          <t>한세예스24홀딩스</t>
        </is>
      </c>
      <c r="G2116" s="2" t="inlineStr">
        <is>
          <t>20260311004596</t>
        </is>
      </c>
      <c r="H2116" s="8">
        <f>HYPERLINK("https://dart.fss.or.kr/dsaf001/main.do?rcpNo=20260311004596", "공시열람")</f>
        <v/>
      </c>
    </row>
    <row r="2117">
      <c r="A2117" s="2" t="inlineStr">
        <is>
          <t>2026-03-11</t>
        </is>
      </c>
      <c r="B2117" s="3" t="inlineStr">
        <is>
          <t>알로이스</t>
        </is>
      </c>
      <c r="C2117" s="2" t="inlineStr">
        <is>
          <t>코스닥</t>
        </is>
      </c>
      <c r="D2117" s="2" t="inlineStr">
        <is>
          <t>297570</t>
        </is>
      </c>
      <c r="E2117" s="3" t="inlineStr">
        <is>
          <t>주주총회소집공고</t>
        </is>
      </c>
      <c r="F2117" s="3" t="inlineStr">
        <is>
          <t>알로이스</t>
        </is>
      </c>
      <c r="G2117" s="2" t="inlineStr">
        <is>
          <t>20260311004595</t>
        </is>
      </c>
      <c r="H2117" s="8">
        <f>HYPERLINK("https://dart.fss.or.kr/dsaf001/main.do?rcpNo=20260311004595", "공시열람")</f>
        <v/>
      </c>
    </row>
    <row r="2118">
      <c r="A2118" s="2" t="inlineStr">
        <is>
          <t>2026-03-11</t>
        </is>
      </c>
      <c r="B2118" s="3" t="inlineStr">
        <is>
          <t>코스맥스엔비티</t>
        </is>
      </c>
      <c r="C2118" s="2" t="inlineStr">
        <is>
          <t>코스닥</t>
        </is>
      </c>
      <c r="D2118" s="2" t="inlineStr">
        <is>
          <t>222040</t>
        </is>
      </c>
      <c r="E2118" s="3" t="inlineStr">
        <is>
          <t>주주총회소집공고</t>
        </is>
      </c>
      <c r="F2118" s="3" t="inlineStr">
        <is>
          <t>코스맥스엔비티</t>
        </is>
      </c>
      <c r="G2118" s="2" t="inlineStr">
        <is>
          <t>20260311004593</t>
        </is>
      </c>
      <c r="H2118" s="8">
        <f>HYPERLINK("https://dart.fss.or.kr/dsaf001/main.do?rcpNo=20260311004593", "공시열람")</f>
        <v/>
      </c>
    </row>
    <row r="2119">
      <c r="A2119" s="2" t="inlineStr">
        <is>
          <t>2026-03-11</t>
        </is>
      </c>
      <c r="B2119" s="3" t="inlineStr">
        <is>
          <t>예스24</t>
        </is>
      </c>
      <c r="C2119" s="2" t="inlineStr">
        <is>
          <t>코스닥</t>
        </is>
      </c>
      <c r="D2119" s="2" t="inlineStr">
        <is>
          <t>053280</t>
        </is>
      </c>
      <c r="E2119" s="3" t="inlineStr">
        <is>
          <t>주주총회소집공고</t>
        </is>
      </c>
      <c r="F2119" s="3" t="inlineStr">
        <is>
          <t>예스24</t>
        </is>
      </c>
      <c r="G2119" s="2" t="inlineStr">
        <is>
          <t>20260311004591</t>
        </is>
      </c>
      <c r="H2119" s="8">
        <f>HYPERLINK("https://dart.fss.or.kr/dsaf001/main.do?rcpNo=20260311004591", "공시열람")</f>
        <v/>
      </c>
    </row>
    <row r="2120">
      <c r="A2120" s="2" t="inlineStr">
        <is>
          <t>2026-03-11</t>
        </is>
      </c>
      <c r="B2120" s="3" t="inlineStr">
        <is>
          <t>고바이오랩</t>
        </is>
      </c>
      <c r="C2120" s="2" t="inlineStr">
        <is>
          <t>코스닥</t>
        </is>
      </c>
      <c r="D2120" s="2" t="inlineStr">
        <is>
          <t>348150</t>
        </is>
      </c>
      <c r="E2120" s="3" t="inlineStr">
        <is>
          <t>주주총회소집공고</t>
        </is>
      </c>
      <c r="F2120" s="3" t="inlineStr">
        <is>
          <t>고바이오랩</t>
        </is>
      </c>
      <c r="G2120" s="2" t="inlineStr">
        <is>
          <t>20260311004588</t>
        </is>
      </c>
      <c r="H2120" s="8">
        <f>HYPERLINK("https://dart.fss.or.kr/dsaf001/main.do?rcpNo=20260311004588", "공시열람")</f>
        <v/>
      </c>
    </row>
    <row r="2121">
      <c r="A2121" s="2" t="inlineStr">
        <is>
          <t>2026-03-11</t>
        </is>
      </c>
      <c r="B2121" s="3" t="inlineStr">
        <is>
          <t>NH투자증권</t>
        </is>
      </c>
      <c r="C2121" s="2" t="inlineStr">
        <is>
          <t>코스피</t>
        </is>
      </c>
      <c r="D2121" s="2" t="inlineStr">
        <is>
          <t>005940</t>
        </is>
      </c>
      <c r="E2121" s="3" t="inlineStr">
        <is>
          <t>주주총회소집공고</t>
        </is>
      </c>
      <c r="F2121" s="3" t="inlineStr">
        <is>
          <t>NH투자증권</t>
        </is>
      </c>
      <c r="G2121" s="2" t="inlineStr">
        <is>
          <t>20260311004585</t>
        </is>
      </c>
      <c r="H2121" s="8">
        <f>HYPERLINK("https://dart.fss.or.kr/dsaf001/main.do?rcpNo=20260311004585", "공시열람")</f>
        <v/>
      </c>
    </row>
    <row r="2122">
      <c r="A2122" s="2" t="inlineStr">
        <is>
          <t>2026-03-11</t>
        </is>
      </c>
      <c r="B2122" s="3" t="inlineStr">
        <is>
          <t>한국정보인증</t>
        </is>
      </c>
      <c r="C2122" s="2" t="inlineStr">
        <is>
          <t>코스닥</t>
        </is>
      </c>
      <c r="D2122" s="2" t="inlineStr">
        <is>
          <t>053300</t>
        </is>
      </c>
      <c r="E2122" s="3" t="inlineStr">
        <is>
          <t>주주총회소집공고</t>
        </is>
      </c>
      <c r="F2122" s="3" t="inlineStr">
        <is>
          <t>한국정보인증</t>
        </is>
      </c>
      <c r="G2122" s="2" t="inlineStr">
        <is>
          <t>20260311004581</t>
        </is>
      </c>
      <c r="H2122" s="8">
        <f>HYPERLINK("https://dart.fss.or.kr/dsaf001/main.do?rcpNo=20260311004581", "공시열람")</f>
        <v/>
      </c>
    </row>
    <row r="2123">
      <c r="A2123" s="2" t="inlineStr">
        <is>
          <t>2026-03-11</t>
        </is>
      </c>
      <c r="B2123" s="3" t="inlineStr">
        <is>
          <t>에스오에스랩</t>
        </is>
      </c>
      <c r="C2123" s="2" t="inlineStr">
        <is>
          <t>코스닥</t>
        </is>
      </c>
      <c r="D2123" s="2" t="inlineStr">
        <is>
          <t>464080</t>
        </is>
      </c>
      <c r="E2123" s="3" t="inlineStr">
        <is>
          <t>주주총회소집공고</t>
        </is>
      </c>
      <c r="F2123" s="3" t="inlineStr">
        <is>
          <t>에스오에스랩</t>
        </is>
      </c>
      <c r="G2123" s="2" t="inlineStr">
        <is>
          <t>20260311004576</t>
        </is>
      </c>
      <c r="H2123" s="8">
        <f>HYPERLINK("https://dart.fss.or.kr/dsaf001/main.do?rcpNo=20260311004576", "공시열람")</f>
        <v/>
      </c>
    </row>
    <row r="2124">
      <c r="A2124" s="2" t="inlineStr">
        <is>
          <t>2026-03-11</t>
        </is>
      </c>
      <c r="B2124" s="3" t="inlineStr">
        <is>
          <t>LS</t>
        </is>
      </c>
      <c r="C2124" s="2" t="inlineStr">
        <is>
          <t>코스피</t>
        </is>
      </c>
      <c r="D2124" s="2" t="inlineStr">
        <is>
          <t>006260</t>
        </is>
      </c>
      <c r="E2124" s="3" t="inlineStr">
        <is>
          <t>주주총회소집공고</t>
        </is>
      </c>
      <c r="F2124" s="3" t="inlineStr">
        <is>
          <t>LS</t>
        </is>
      </c>
      <c r="G2124" s="2" t="inlineStr">
        <is>
          <t>20260311004574</t>
        </is>
      </c>
      <c r="H2124" s="8">
        <f>HYPERLINK("https://dart.fss.or.kr/dsaf001/main.do?rcpNo=20260311004574", "공시열람")</f>
        <v/>
      </c>
    </row>
    <row r="2125">
      <c r="A2125" s="2" t="inlineStr">
        <is>
          <t>2026-03-11</t>
        </is>
      </c>
      <c r="B2125" s="3" t="inlineStr">
        <is>
          <t>케이티알파</t>
        </is>
      </c>
      <c r="C2125" s="2" t="inlineStr">
        <is>
          <t>코스닥</t>
        </is>
      </c>
      <c r="D2125" s="2" t="inlineStr">
        <is>
          <t>036030</t>
        </is>
      </c>
      <c r="E2125" s="3" t="inlineStr">
        <is>
          <t xml:space="preserve">주주총회집중일개최사유신고              </t>
        </is>
      </c>
      <c r="F2125" s="3" t="inlineStr">
        <is>
          <t>케이티알파</t>
        </is>
      </c>
      <c r="G2125" s="2" t="inlineStr">
        <is>
          <t>20260311902421</t>
        </is>
      </c>
      <c r="H2125" s="8">
        <f>HYPERLINK("https://dart.fss.or.kr/dsaf001/main.do?rcpNo=20260311902421", "공시열람")</f>
        <v/>
      </c>
    </row>
    <row r="2126">
      <c r="A2126" s="2" t="inlineStr">
        <is>
          <t>2026-03-11</t>
        </is>
      </c>
      <c r="B2126" s="3" t="inlineStr">
        <is>
          <t>한세엠케이</t>
        </is>
      </c>
      <c r="C2126" s="2" t="inlineStr">
        <is>
          <t>코스피</t>
        </is>
      </c>
      <c r="D2126" s="2" t="inlineStr">
        <is>
          <t>069640</t>
        </is>
      </c>
      <c r="E2126" s="3" t="inlineStr">
        <is>
          <t>주주총회소집공고</t>
        </is>
      </c>
      <c r="F2126" s="3" t="inlineStr">
        <is>
          <t>한세엠케이</t>
        </is>
      </c>
      <c r="G2126" s="2" t="inlineStr">
        <is>
          <t>20260311004569</t>
        </is>
      </c>
      <c r="H2126" s="8">
        <f>HYPERLINK("https://dart.fss.or.kr/dsaf001/main.do?rcpNo=20260311004569", "공시열람")</f>
        <v/>
      </c>
    </row>
    <row r="2127">
      <c r="A2127" s="2" t="inlineStr">
        <is>
          <t>2026-03-11</t>
        </is>
      </c>
      <c r="B2127" s="3" t="inlineStr">
        <is>
          <t>원풍물산</t>
        </is>
      </c>
      <c r="C2127" s="2" t="inlineStr">
        <is>
          <t>코스닥</t>
        </is>
      </c>
      <c r="D2127" s="2" t="inlineStr">
        <is>
          <t>008290</t>
        </is>
      </c>
      <c r="E2127" s="3" t="inlineStr">
        <is>
          <t>주주총회소집공고</t>
        </is>
      </c>
      <c r="F2127" s="3" t="inlineStr">
        <is>
          <t>원풍물산</t>
        </is>
      </c>
      <c r="G2127" s="2" t="inlineStr">
        <is>
          <t>20260311004562</t>
        </is>
      </c>
      <c r="H2127" s="8">
        <f>HYPERLINK("https://dart.fss.or.kr/dsaf001/main.do?rcpNo=20260311004562", "공시열람")</f>
        <v/>
      </c>
    </row>
    <row r="2128">
      <c r="A2128" s="2" t="inlineStr">
        <is>
          <t>2026-03-11</t>
        </is>
      </c>
      <c r="B2128" s="3" t="inlineStr">
        <is>
          <t>덴티스</t>
        </is>
      </c>
      <c r="C2128" s="2" t="inlineStr">
        <is>
          <t>코스닥</t>
        </is>
      </c>
      <c r="D2128" s="2" t="inlineStr">
        <is>
          <t>261200</t>
        </is>
      </c>
      <c r="E2128" s="3" t="inlineStr">
        <is>
          <t>주주총회소집공고</t>
        </is>
      </c>
      <c r="F2128" s="3" t="inlineStr">
        <is>
          <t>덴티스</t>
        </is>
      </c>
      <c r="G2128" s="2" t="inlineStr">
        <is>
          <t>20260311004561</t>
        </is>
      </c>
      <c r="H2128" s="8">
        <f>HYPERLINK("https://dart.fss.or.kr/dsaf001/main.do?rcpNo=20260311004561", "공시열람")</f>
        <v/>
      </c>
    </row>
    <row r="2129">
      <c r="A2129" s="2" t="inlineStr">
        <is>
          <t>2026-03-11</t>
        </is>
      </c>
      <c r="B2129" s="3" t="inlineStr">
        <is>
          <t>벨로크</t>
        </is>
      </c>
      <c r="C2129" s="2" t="inlineStr">
        <is>
          <t>코스닥</t>
        </is>
      </c>
      <c r="D2129" s="2" t="inlineStr">
        <is>
          <t>424760</t>
        </is>
      </c>
      <c r="E2129" s="3" t="inlineStr">
        <is>
          <t>주주총회소집공고</t>
        </is>
      </c>
      <c r="F2129" s="3" t="inlineStr">
        <is>
          <t>벨로크</t>
        </is>
      </c>
      <c r="G2129" s="2" t="inlineStr">
        <is>
          <t>20260311004560</t>
        </is>
      </c>
      <c r="H2129" s="8">
        <f>HYPERLINK("https://dart.fss.or.kr/dsaf001/main.do?rcpNo=20260311004560", "공시열람")</f>
        <v/>
      </c>
    </row>
    <row r="2130">
      <c r="A2130" s="2" t="inlineStr">
        <is>
          <t>2026-03-11</t>
        </is>
      </c>
      <c r="B2130" s="3" t="inlineStr">
        <is>
          <t>아이티아이즈</t>
        </is>
      </c>
      <c r="C2130" s="2" t="inlineStr">
        <is>
          <t>코스닥</t>
        </is>
      </c>
      <c r="D2130" s="2" t="inlineStr">
        <is>
          <t>372800</t>
        </is>
      </c>
      <c r="E2130" s="3" t="inlineStr">
        <is>
          <t xml:space="preserve">주주총회집중일개최사유신고              </t>
        </is>
      </c>
      <c r="F2130" s="3" t="inlineStr">
        <is>
          <t>아이티아이즈</t>
        </is>
      </c>
      <c r="G2130" s="2" t="inlineStr">
        <is>
          <t>20260311902389</t>
        </is>
      </c>
      <c r="H2130" s="8">
        <f>HYPERLINK("https://dart.fss.or.kr/dsaf001/main.do?rcpNo=20260311902389", "공시열람")</f>
        <v/>
      </c>
    </row>
    <row r="2131">
      <c r="A2131" s="2" t="inlineStr">
        <is>
          <t>2026-03-11</t>
        </is>
      </c>
      <c r="B2131" s="3" t="inlineStr">
        <is>
          <t>원풍물산</t>
        </is>
      </c>
      <c r="C2131" s="2" t="inlineStr">
        <is>
          <t>코스닥</t>
        </is>
      </c>
      <c r="D2131" s="2" t="inlineStr">
        <is>
          <t>008290</t>
        </is>
      </c>
      <c r="E2131" s="3" t="inlineStr">
        <is>
          <t xml:space="preserve">주주총회소집결의              </t>
        </is>
      </c>
      <c r="F2131" s="3" t="inlineStr">
        <is>
          <t>원풍물산</t>
        </is>
      </c>
      <c r="G2131" s="2" t="inlineStr">
        <is>
          <t>20260311902423</t>
        </is>
      </c>
      <c r="H2131" s="8">
        <f>HYPERLINK("https://dart.fss.or.kr/dsaf001/main.do?rcpNo=20260311902423", "공시열람")</f>
        <v/>
      </c>
    </row>
    <row r="2132">
      <c r="A2132" s="2" t="inlineStr">
        <is>
          <t>2026-03-11</t>
        </is>
      </c>
      <c r="B2132" s="3" t="inlineStr">
        <is>
          <t>아이티아이즈</t>
        </is>
      </c>
      <c r="C2132" s="2" t="inlineStr">
        <is>
          <t>코스닥</t>
        </is>
      </c>
      <c r="D2132" s="2" t="inlineStr">
        <is>
          <t>372800</t>
        </is>
      </c>
      <c r="E2132" s="3" t="inlineStr">
        <is>
          <t>주주총회소집공고</t>
        </is>
      </c>
      <c r="F2132" s="3" t="inlineStr">
        <is>
          <t>아이티아이즈</t>
        </is>
      </c>
      <c r="G2132" s="2" t="inlineStr">
        <is>
          <t>20260311004551</t>
        </is>
      </c>
      <c r="H2132" s="8">
        <f>HYPERLINK("https://dart.fss.or.kr/dsaf001/main.do?rcpNo=20260311004551", "공시열람")</f>
        <v/>
      </c>
    </row>
    <row r="2133">
      <c r="A2133" s="2" t="inlineStr">
        <is>
          <t>2026-03-11</t>
        </is>
      </c>
      <c r="B2133" s="3" t="inlineStr">
        <is>
          <t>케이티알파</t>
        </is>
      </c>
      <c r="C2133" s="2" t="inlineStr">
        <is>
          <t>코스닥</t>
        </is>
      </c>
      <c r="D2133" s="2" t="inlineStr">
        <is>
          <t>036030</t>
        </is>
      </c>
      <c r="E2133" s="3" t="inlineStr">
        <is>
          <t>주주총회소집공고</t>
        </is>
      </c>
      <c r="F2133" s="3" t="inlineStr">
        <is>
          <t>케이티알파</t>
        </is>
      </c>
      <c r="G2133" s="2" t="inlineStr">
        <is>
          <t>20260311004547</t>
        </is>
      </c>
      <c r="H2133" s="8">
        <f>HYPERLINK("https://dart.fss.or.kr/dsaf001/main.do?rcpNo=20260311004547", "공시열람")</f>
        <v/>
      </c>
    </row>
    <row r="2134">
      <c r="A2134" s="2" t="inlineStr">
        <is>
          <t>2026-03-11</t>
        </is>
      </c>
      <c r="B2134" s="3" t="inlineStr">
        <is>
          <t>오텍</t>
        </is>
      </c>
      <c r="C2134" s="2" t="inlineStr">
        <is>
          <t>코스닥</t>
        </is>
      </c>
      <c r="D2134" s="2" t="inlineStr">
        <is>
          <t>067170</t>
        </is>
      </c>
      <c r="E2134" s="3" t="inlineStr">
        <is>
          <t>주주총회소집공고</t>
        </is>
      </c>
      <c r="F2134" s="3" t="inlineStr">
        <is>
          <t>오텍</t>
        </is>
      </c>
      <c r="G2134" s="2" t="inlineStr">
        <is>
          <t>20260311004546</t>
        </is>
      </c>
      <c r="H2134" s="8">
        <f>HYPERLINK("https://dart.fss.or.kr/dsaf001/main.do?rcpNo=20260311004546", "공시열람")</f>
        <v/>
      </c>
    </row>
    <row r="2135">
      <c r="A2135" s="2" t="inlineStr">
        <is>
          <t>2026-03-11</t>
        </is>
      </c>
      <c r="B2135" s="3" t="inlineStr">
        <is>
          <t>부국증권</t>
        </is>
      </c>
      <c r="C2135" s="2" t="inlineStr">
        <is>
          <t>코스피</t>
        </is>
      </c>
      <c r="D2135" s="2" t="inlineStr">
        <is>
          <t>001270</t>
        </is>
      </c>
      <c r="E2135" s="3" t="inlineStr">
        <is>
          <t xml:space="preserve">주주총회집중일개최사유신고              </t>
        </is>
      </c>
      <c r="F2135" s="3" t="inlineStr">
        <is>
          <t>부국증권</t>
        </is>
      </c>
      <c r="G2135" s="2" t="inlineStr">
        <is>
          <t>20260311802250</t>
        </is>
      </c>
      <c r="H2135" s="8">
        <f>HYPERLINK("https://dart.fss.or.kr/dsaf001/main.do?rcpNo=20260311802250", "공시열람")</f>
        <v/>
      </c>
    </row>
    <row r="2136">
      <c r="A2136" s="2" t="inlineStr">
        <is>
          <t>2026-03-11</t>
        </is>
      </c>
      <c r="B2136" s="3" t="inlineStr">
        <is>
          <t>부국증권</t>
        </is>
      </c>
      <c r="C2136" s="2" t="inlineStr">
        <is>
          <t>코스피</t>
        </is>
      </c>
      <c r="D2136" s="2" t="inlineStr">
        <is>
          <t>001270</t>
        </is>
      </c>
      <c r="E2136" s="3" t="inlineStr">
        <is>
          <t xml:space="preserve">주주총회소집결의              </t>
        </is>
      </c>
      <c r="F2136" s="3" t="inlineStr">
        <is>
          <t>부국증권</t>
        </is>
      </c>
      <c r="G2136" s="2" t="inlineStr">
        <is>
          <t>20260311802232</t>
        </is>
      </c>
      <c r="H2136" s="8">
        <f>HYPERLINK("https://dart.fss.or.kr/dsaf001/main.do?rcpNo=20260311802232", "공시열람")</f>
        <v/>
      </c>
    </row>
    <row r="2137">
      <c r="A2137" s="2" t="inlineStr">
        <is>
          <t>2026-03-11</t>
        </is>
      </c>
      <c r="B2137" s="3" t="inlineStr">
        <is>
          <t>안랩</t>
        </is>
      </c>
      <c r="C2137" s="2" t="inlineStr">
        <is>
          <t>코스닥</t>
        </is>
      </c>
      <c r="D2137" s="2" t="inlineStr">
        <is>
          <t>053800</t>
        </is>
      </c>
      <c r="E2137" s="3" t="inlineStr">
        <is>
          <t xml:space="preserve">주주총회소집결의              </t>
        </is>
      </c>
      <c r="F2137" s="3" t="inlineStr">
        <is>
          <t>안랩</t>
        </is>
      </c>
      <c r="G2137" s="2" t="inlineStr">
        <is>
          <t>20260311902415</t>
        </is>
      </c>
      <c r="H2137" s="8">
        <f>HYPERLINK("https://dart.fss.or.kr/dsaf001/main.do?rcpNo=20260311902415", "공시열람")</f>
        <v/>
      </c>
    </row>
    <row r="2138">
      <c r="A2138" s="2" t="inlineStr">
        <is>
          <t>2026-03-11</t>
        </is>
      </c>
      <c r="B2138" s="3" t="inlineStr">
        <is>
          <t>우리넷</t>
        </is>
      </c>
      <c r="C2138" s="2" t="inlineStr">
        <is>
          <t>코스닥</t>
        </is>
      </c>
      <c r="D2138" s="2" t="inlineStr">
        <is>
          <t>115440</t>
        </is>
      </c>
      <c r="E2138" s="3" t="inlineStr">
        <is>
          <t>주주총회소집공고</t>
        </is>
      </c>
      <c r="F2138" s="3" t="inlineStr">
        <is>
          <t>우리넷</t>
        </is>
      </c>
      <c r="G2138" s="2" t="inlineStr">
        <is>
          <t>20260311004535</t>
        </is>
      </c>
      <c r="H2138" s="8">
        <f>HYPERLINK("https://dart.fss.or.kr/dsaf001/main.do?rcpNo=20260311004535", "공시열람")</f>
        <v/>
      </c>
    </row>
    <row r="2139">
      <c r="A2139" s="2" t="inlineStr">
        <is>
          <t>2026-03-11</t>
        </is>
      </c>
      <c r="B2139" s="3" t="inlineStr">
        <is>
          <t>벨로크</t>
        </is>
      </c>
      <c r="C2139" s="2" t="inlineStr">
        <is>
          <t>코스닥</t>
        </is>
      </c>
      <c r="D2139" s="2" t="inlineStr">
        <is>
          <t>424760</t>
        </is>
      </c>
      <c r="E2139" s="3" t="inlineStr">
        <is>
          <t xml:space="preserve">주주총회소집결의              </t>
        </is>
      </c>
      <c r="F2139" s="3" t="inlineStr">
        <is>
          <t>벨로크</t>
        </is>
      </c>
      <c r="G2139" s="2" t="inlineStr">
        <is>
          <t>20260311902321</t>
        </is>
      </c>
      <c r="H2139" s="8">
        <f>HYPERLINK("https://dart.fss.or.kr/dsaf001/main.do?rcpNo=20260311902321", "공시열람")</f>
        <v/>
      </c>
    </row>
    <row r="2140">
      <c r="A2140" s="2" t="inlineStr">
        <is>
          <t>2026-03-11 (정정: 2026-03-11)</t>
        </is>
      </c>
      <c r="B2140" s="3" t="inlineStr">
        <is>
          <t>PS일렉트로닉스</t>
        </is>
      </c>
      <c r="C2140" s="2" t="inlineStr">
        <is>
          <t>코스닥</t>
        </is>
      </c>
      <c r="D2140" s="2" t="inlineStr">
        <is>
          <t>332570</t>
        </is>
      </c>
      <c r="E2140" s="3" t="inlineStr">
        <is>
          <t>주주총회소집공고 (정정: 20260311)</t>
        </is>
      </c>
      <c r="F2140" s="3" t="inlineStr">
        <is>
          <t>PS일렉트로닉스</t>
        </is>
      </c>
      <c r="G2140" s="2" t="inlineStr">
        <is>
          <t>20260311901470</t>
        </is>
      </c>
      <c r="H2140" s="8">
        <f>HYPERLINK("https://dart.fss.or.kr/dsaf001/main.do?rcpNo=20260311901470", "공시열람")</f>
        <v/>
      </c>
    </row>
    <row r="2141">
      <c r="A2141" s="2" t="inlineStr">
        <is>
          <t>2026-03-11</t>
        </is>
      </c>
      <c r="B2141" s="3" t="inlineStr">
        <is>
          <t>삼성제약</t>
        </is>
      </c>
      <c r="C2141" s="2" t="inlineStr">
        <is>
          <t>코스피</t>
        </is>
      </c>
      <c r="D2141" s="2" t="inlineStr">
        <is>
          <t>001360</t>
        </is>
      </c>
      <c r="E2141" s="3" t="inlineStr">
        <is>
          <t>주주총회소집공고</t>
        </is>
      </c>
      <c r="F2141" s="3" t="inlineStr">
        <is>
          <t>삼성제약</t>
        </is>
      </c>
      <c r="G2141" s="2" t="inlineStr">
        <is>
          <t>20260311004532</t>
        </is>
      </c>
      <c r="H2141" s="8">
        <f>HYPERLINK("https://dart.fss.or.kr/dsaf001/main.do?rcpNo=20260311004532", "공시열람")</f>
        <v/>
      </c>
    </row>
    <row r="2142">
      <c r="A2142" s="2" t="inlineStr">
        <is>
          <t>2026-03-11</t>
        </is>
      </c>
      <c r="B2142" s="3" t="inlineStr">
        <is>
          <t>하이딥</t>
        </is>
      </c>
      <c r="C2142" s="2" t="inlineStr">
        <is>
          <t>코스닥</t>
        </is>
      </c>
      <c r="D2142" s="2" t="inlineStr">
        <is>
          <t>365590</t>
        </is>
      </c>
      <c r="E2142" s="3" t="inlineStr">
        <is>
          <t xml:space="preserve">주주총회집중일개최사유신고              </t>
        </is>
      </c>
      <c r="F2142" s="3" t="inlineStr">
        <is>
          <t>하이딥</t>
        </is>
      </c>
      <c r="G2142" s="2" t="inlineStr">
        <is>
          <t>20260311902301</t>
        </is>
      </c>
      <c r="H2142" s="8">
        <f>HYPERLINK("https://dart.fss.or.kr/dsaf001/main.do?rcpNo=20260311902301", "공시열람")</f>
        <v/>
      </c>
    </row>
    <row r="2143">
      <c r="A2143" s="2" t="inlineStr">
        <is>
          <t>2026-03-11</t>
        </is>
      </c>
      <c r="B2143" s="3" t="inlineStr">
        <is>
          <t>일양약품</t>
        </is>
      </c>
      <c r="C2143" s="2" t="inlineStr">
        <is>
          <t>코스피</t>
        </is>
      </c>
      <c r="D2143" s="2" t="inlineStr">
        <is>
          <t>007570</t>
        </is>
      </c>
      <c r="E2143" s="3" t="inlineStr">
        <is>
          <t>주주총회소집공고</t>
        </is>
      </c>
      <c r="F2143" s="3" t="inlineStr">
        <is>
          <t>일양약품</t>
        </is>
      </c>
      <c r="G2143" s="2" t="inlineStr">
        <is>
          <t>20260311004528</t>
        </is>
      </c>
      <c r="H2143" s="8">
        <f>HYPERLINK("https://dart.fss.or.kr/dsaf001/main.do?rcpNo=20260311004528", "공시열람")</f>
        <v/>
      </c>
    </row>
    <row r="2144">
      <c r="A2144" s="2" t="inlineStr">
        <is>
          <t>2026-03-11</t>
        </is>
      </c>
      <c r="B2144" s="3" t="inlineStr">
        <is>
          <t>삼성제약</t>
        </is>
      </c>
      <c r="C2144" s="2" t="inlineStr">
        <is>
          <t>코스피</t>
        </is>
      </c>
      <c r="D2144" s="2" t="inlineStr">
        <is>
          <t>001360</t>
        </is>
      </c>
      <c r="E2144" s="3" t="inlineStr">
        <is>
          <t xml:space="preserve">주주총회소집결의              </t>
        </is>
      </c>
      <c r="F2144" s="3" t="inlineStr">
        <is>
          <t>삼성제약</t>
        </is>
      </c>
      <c r="G2144" s="2" t="inlineStr">
        <is>
          <t>20260311802311</t>
        </is>
      </c>
      <c r="H2144" s="8">
        <f>HYPERLINK("https://dart.fss.or.kr/dsaf001/main.do?rcpNo=20260311802311", "공시열람")</f>
        <v/>
      </c>
    </row>
    <row r="2145">
      <c r="A2145" s="2" t="inlineStr">
        <is>
          <t>2026-03-11</t>
        </is>
      </c>
      <c r="B2145" s="3" t="inlineStr">
        <is>
          <t>화천기계</t>
        </is>
      </c>
      <c r="C2145" s="2" t="inlineStr">
        <is>
          <t>코스피</t>
        </is>
      </c>
      <c r="D2145" s="2" t="inlineStr">
        <is>
          <t>010660</t>
        </is>
      </c>
      <c r="E2145" s="3" t="inlineStr">
        <is>
          <t>주주총회소집공고</t>
        </is>
      </c>
      <c r="F2145" s="3" t="inlineStr">
        <is>
          <t>화천기계</t>
        </is>
      </c>
      <c r="G2145" s="2" t="inlineStr">
        <is>
          <t>20260311004527</t>
        </is>
      </c>
      <c r="H2145" s="8">
        <f>HYPERLINK("https://dart.fss.or.kr/dsaf001/main.do?rcpNo=20260311004527", "공시열람")</f>
        <v/>
      </c>
    </row>
    <row r="2146">
      <c r="A2146" s="2" t="inlineStr">
        <is>
          <t>2026-03-11</t>
        </is>
      </c>
      <c r="B2146" s="3" t="inlineStr">
        <is>
          <t>플레이위드</t>
        </is>
      </c>
      <c r="C2146" s="2" t="inlineStr">
        <is>
          <t>코스닥</t>
        </is>
      </c>
      <c r="D2146" s="2" t="inlineStr">
        <is>
          <t>023770</t>
        </is>
      </c>
      <c r="E2146" s="3" t="inlineStr">
        <is>
          <t>주주총회소집공고</t>
        </is>
      </c>
      <c r="F2146" s="3" t="inlineStr">
        <is>
          <t>플레이위드</t>
        </is>
      </c>
      <c r="G2146" s="2" t="inlineStr">
        <is>
          <t>20260311004526</t>
        </is>
      </c>
      <c r="H2146" s="8">
        <f>HYPERLINK("https://dart.fss.or.kr/dsaf001/main.do?rcpNo=20260311004526", "공시열람")</f>
        <v/>
      </c>
    </row>
    <row r="2147">
      <c r="A2147" s="2" t="inlineStr">
        <is>
          <t>2026-03-11 (정정: 2026-03-11)</t>
        </is>
      </c>
      <c r="B2147" s="3" t="inlineStr">
        <is>
          <t>경남제약</t>
        </is>
      </c>
      <c r="C2147" s="2" t="inlineStr">
        <is>
          <t>코스닥</t>
        </is>
      </c>
      <c r="D2147" s="2" t="inlineStr">
        <is>
          <t>053950</t>
        </is>
      </c>
      <c r="E2147" s="3" t="inlineStr">
        <is>
          <t>주주총회소집공고 (정정: 20260311)</t>
        </is>
      </c>
      <c r="F2147" s="3" t="inlineStr">
        <is>
          <t>경남제약</t>
        </is>
      </c>
      <c r="G2147" s="2" t="inlineStr">
        <is>
          <t>20260311901892</t>
        </is>
      </c>
      <c r="H2147" s="8">
        <f>HYPERLINK("https://dart.fss.or.kr/dsaf001/main.do?rcpNo=20260311901892", "공시열람")</f>
        <v/>
      </c>
    </row>
    <row r="2148">
      <c r="A2148" s="2" t="inlineStr">
        <is>
          <t>2026-03-11</t>
        </is>
      </c>
      <c r="B2148" s="3" t="inlineStr">
        <is>
          <t>HEM파마</t>
        </is>
      </c>
      <c r="C2148" s="2" t="inlineStr">
        <is>
          <t>코스닥</t>
        </is>
      </c>
      <c r="D2148" s="2" t="inlineStr">
        <is>
          <t>376270</t>
        </is>
      </c>
      <c r="E2148" s="3" t="inlineStr">
        <is>
          <t>주주총회소집공고</t>
        </is>
      </c>
      <c r="F2148" s="3" t="inlineStr">
        <is>
          <t>HEM파마</t>
        </is>
      </c>
      <c r="G2148" s="2" t="inlineStr">
        <is>
          <t>20260311004522</t>
        </is>
      </c>
      <c r="H2148" s="8">
        <f>HYPERLINK("https://dart.fss.or.kr/dsaf001/main.do?rcpNo=20260311004522", "공시열람")</f>
        <v/>
      </c>
    </row>
    <row r="2149">
      <c r="A2149" s="2" t="inlineStr">
        <is>
          <t>2026-03-11</t>
        </is>
      </c>
      <c r="B2149" s="3" t="inlineStr">
        <is>
          <t>에코플라스틱</t>
        </is>
      </c>
      <c r="C2149" s="2" t="inlineStr">
        <is>
          <t>코스닥</t>
        </is>
      </c>
      <c r="D2149" s="2" t="inlineStr">
        <is>
          <t>038110</t>
        </is>
      </c>
      <c r="E2149" s="3" t="inlineStr">
        <is>
          <t>주주총회소집공고</t>
        </is>
      </c>
      <c r="F2149" s="3" t="inlineStr">
        <is>
          <t>에코플라스틱</t>
        </is>
      </c>
      <c r="G2149" s="2" t="inlineStr">
        <is>
          <t>20260311004520</t>
        </is>
      </c>
      <c r="H2149" s="8">
        <f>HYPERLINK("https://dart.fss.or.kr/dsaf001/main.do?rcpNo=20260311004520", "공시열람")</f>
        <v/>
      </c>
    </row>
    <row r="2150">
      <c r="A2150" s="2" t="inlineStr">
        <is>
          <t>2026-03-11 (정정: 2026-03-12)</t>
        </is>
      </c>
      <c r="B2150" s="3" t="inlineStr">
        <is>
          <t>노바텍</t>
        </is>
      </c>
      <c r="C2150" s="2" t="inlineStr">
        <is>
          <t>코스닥</t>
        </is>
      </c>
      <c r="D2150" s="2" t="inlineStr">
        <is>
          <t>285490</t>
        </is>
      </c>
      <c r="E2150" s="3" t="inlineStr">
        <is>
          <t>주주총회소집공고 (정정: 20260312)</t>
        </is>
      </c>
      <c r="F2150" s="3" t="inlineStr">
        <is>
          <t>노바텍</t>
        </is>
      </c>
      <c r="G2150" s="2" t="inlineStr">
        <is>
          <t>20260312000521</t>
        </is>
      </c>
      <c r="H2150" s="8">
        <f>HYPERLINK("https://dart.fss.or.kr/dsaf001/main.do?rcpNo=20260312000521", "공시열람")</f>
        <v/>
      </c>
    </row>
    <row r="2151">
      <c r="A2151" s="2" t="inlineStr">
        <is>
          <t>2026-03-11</t>
        </is>
      </c>
      <c r="B2151" s="3" t="inlineStr">
        <is>
          <t>유수홀딩스</t>
        </is>
      </c>
      <c r="C2151" s="2" t="inlineStr">
        <is>
          <t>코스피</t>
        </is>
      </c>
      <c r="D2151" s="2" t="inlineStr">
        <is>
          <t>000700</t>
        </is>
      </c>
      <c r="E2151" s="3" t="inlineStr">
        <is>
          <t>주주총회소집공고</t>
        </is>
      </c>
      <c r="F2151" s="3" t="inlineStr">
        <is>
          <t>유수홀딩스</t>
        </is>
      </c>
      <c r="G2151" s="2" t="inlineStr">
        <is>
          <t>20260311004514</t>
        </is>
      </c>
      <c r="H2151" s="8">
        <f>HYPERLINK("https://dart.fss.or.kr/dsaf001/main.do?rcpNo=20260311004514", "공시열람")</f>
        <v/>
      </c>
    </row>
    <row r="2152">
      <c r="A2152" s="2" t="inlineStr">
        <is>
          <t>2026-03-11</t>
        </is>
      </c>
      <c r="B2152" s="3" t="inlineStr">
        <is>
          <t>덴티스</t>
        </is>
      </c>
      <c r="C2152" s="2" t="inlineStr">
        <is>
          <t>코스닥</t>
        </is>
      </c>
      <c r="D2152" s="2" t="inlineStr">
        <is>
          <t>261200</t>
        </is>
      </c>
      <c r="E2152" s="3" t="inlineStr">
        <is>
          <t xml:space="preserve">주주총회소집결의              </t>
        </is>
      </c>
      <c r="F2152" s="3" t="inlineStr">
        <is>
          <t>덴티스</t>
        </is>
      </c>
      <c r="G2152" s="2" t="inlineStr">
        <is>
          <t>20260311902177</t>
        </is>
      </c>
      <c r="H2152" s="8">
        <f>HYPERLINK("https://dart.fss.or.kr/dsaf001/main.do?rcpNo=20260311902177", "공시열람")</f>
        <v/>
      </c>
    </row>
    <row r="2153">
      <c r="A2153" s="2" t="inlineStr">
        <is>
          <t>2026-03-11</t>
        </is>
      </c>
      <c r="B2153" s="3" t="inlineStr">
        <is>
          <t>스피어</t>
        </is>
      </c>
      <c r="C2153" s="2" t="inlineStr">
        <is>
          <t>코스닥</t>
        </is>
      </c>
      <c r="D2153" s="2" t="inlineStr">
        <is>
          <t>347700</t>
        </is>
      </c>
      <c r="E2153" s="3" t="inlineStr">
        <is>
          <t>주주총회소집공고</t>
        </is>
      </c>
      <c r="F2153" s="3" t="inlineStr">
        <is>
          <t>스피어</t>
        </is>
      </c>
      <c r="G2153" s="2" t="inlineStr">
        <is>
          <t>20260311004512</t>
        </is>
      </c>
      <c r="H2153" s="8">
        <f>HYPERLINK("https://dart.fss.or.kr/dsaf001/main.do?rcpNo=20260311004512", "공시열람")</f>
        <v/>
      </c>
    </row>
    <row r="2154">
      <c r="A2154" s="2" t="inlineStr">
        <is>
          <t>2026-03-11</t>
        </is>
      </c>
      <c r="B2154" s="3" t="inlineStr">
        <is>
          <t>에코플라스틱</t>
        </is>
      </c>
      <c r="C2154" s="2" t="inlineStr">
        <is>
          <t>코스닥</t>
        </is>
      </c>
      <c r="D2154" s="2" t="inlineStr">
        <is>
          <t>038110</t>
        </is>
      </c>
      <c r="E2154" s="3" t="inlineStr">
        <is>
          <t xml:space="preserve">주주총회소집결의              </t>
        </is>
      </c>
      <c r="F2154" s="3" t="inlineStr">
        <is>
          <t>에코플라스틱</t>
        </is>
      </c>
      <c r="G2154" s="2" t="inlineStr">
        <is>
          <t>20260311902279</t>
        </is>
      </c>
      <c r="H2154" s="8">
        <f>HYPERLINK("https://dart.fss.or.kr/dsaf001/main.do?rcpNo=20260311902279", "공시열람")</f>
        <v/>
      </c>
    </row>
    <row r="2155">
      <c r="A2155" s="2" t="inlineStr">
        <is>
          <t>2026-03-11</t>
        </is>
      </c>
      <c r="B2155" s="3" t="inlineStr">
        <is>
          <t>플레이위드</t>
        </is>
      </c>
      <c r="C2155" s="2" t="inlineStr">
        <is>
          <t>코스닥</t>
        </is>
      </c>
      <c r="D2155" s="2" t="inlineStr">
        <is>
          <t>023770</t>
        </is>
      </c>
      <c r="E2155" s="3" t="inlineStr">
        <is>
          <t xml:space="preserve">주주총회소집결의              </t>
        </is>
      </c>
      <c r="F2155" s="3" t="inlineStr">
        <is>
          <t>플레이위드</t>
        </is>
      </c>
      <c r="G2155" s="2" t="inlineStr">
        <is>
          <t>20260311902142</t>
        </is>
      </c>
      <c r="H2155" s="8">
        <f>HYPERLINK("https://dart.fss.or.kr/dsaf001/main.do?rcpNo=20260311902142", "공시열람")</f>
        <v/>
      </c>
    </row>
    <row r="2156">
      <c r="A2156" s="2" t="inlineStr">
        <is>
          <t>2026-03-11</t>
        </is>
      </c>
      <c r="B2156" s="3" t="inlineStr">
        <is>
          <t>파워넷</t>
        </is>
      </c>
      <c r="C2156" s="2" t="inlineStr">
        <is>
          <t>코스닥</t>
        </is>
      </c>
      <c r="D2156" s="2" t="inlineStr">
        <is>
          <t>037030</t>
        </is>
      </c>
      <c r="E2156" s="3" t="inlineStr">
        <is>
          <t>주주총회소집공고</t>
        </is>
      </c>
      <c r="F2156" s="3" t="inlineStr">
        <is>
          <t>파워넷</t>
        </is>
      </c>
      <c r="G2156" s="2" t="inlineStr">
        <is>
          <t>20260311004508</t>
        </is>
      </c>
      <c r="H2156" s="8">
        <f>HYPERLINK("https://dart.fss.or.kr/dsaf001/main.do?rcpNo=20260311004508", "공시열람")</f>
        <v/>
      </c>
    </row>
    <row r="2157">
      <c r="A2157" s="2" t="inlineStr">
        <is>
          <t>2026-03-11</t>
        </is>
      </c>
      <c r="B2157" s="3" t="inlineStr">
        <is>
          <t>KT밀리의서재</t>
        </is>
      </c>
      <c r="C2157" s="2" t="inlineStr">
        <is>
          <t>코스닥</t>
        </is>
      </c>
      <c r="D2157" s="2" t="inlineStr">
        <is>
          <t>418470</t>
        </is>
      </c>
      <c r="E2157" s="3" t="inlineStr">
        <is>
          <t>주주총회소집공고</t>
        </is>
      </c>
      <c r="F2157" s="3" t="inlineStr">
        <is>
          <t>KT밀리의서재</t>
        </is>
      </c>
      <c r="G2157" s="2" t="inlineStr">
        <is>
          <t>20260311004506</t>
        </is>
      </c>
      <c r="H2157" s="8">
        <f>HYPERLINK("https://dart.fss.or.kr/dsaf001/main.do?rcpNo=20260311004506", "공시열람")</f>
        <v/>
      </c>
    </row>
    <row r="2158">
      <c r="A2158" s="2" t="inlineStr">
        <is>
          <t>2026-03-11</t>
        </is>
      </c>
      <c r="B2158" s="3" t="inlineStr">
        <is>
          <t>옴니시스템</t>
        </is>
      </c>
      <c r="C2158" s="2" t="inlineStr">
        <is>
          <t>코스닥</t>
        </is>
      </c>
      <c r="D2158" s="2" t="inlineStr">
        <is>
          <t>057540</t>
        </is>
      </c>
      <c r="E2158" s="3" t="inlineStr">
        <is>
          <t>주주총회소집공고</t>
        </is>
      </c>
      <c r="F2158" s="3" t="inlineStr">
        <is>
          <t>옴니시스템</t>
        </is>
      </c>
      <c r="G2158" s="2" t="inlineStr">
        <is>
          <t>20260311004504</t>
        </is>
      </c>
      <c r="H2158" s="8">
        <f>HYPERLINK("https://dart.fss.or.kr/dsaf001/main.do?rcpNo=20260311004504", "공시열람")</f>
        <v/>
      </c>
    </row>
    <row r="2159">
      <c r="A2159" s="2" t="inlineStr">
        <is>
          <t>2026-03-11</t>
        </is>
      </c>
      <c r="B2159" s="3" t="inlineStr">
        <is>
          <t>메가스터디교육</t>
        </is>
      </c>
      <c r="C2159" s="2" t="inlineStr">
        <is>
          <t>코스닥</t>
        </is>
      </c>
      <c r="D2159" s="2" t="inlineStr">
        <is>
          <t>215200</t>
        </is>
      </c>
      <c r="E2159" s="3" t="inlineStr">
        <is>
          <t>주주총회소집공고</t>
        </is>
      </c>
      <c r="F2159" s="3" t="inlineStr">
        <is>
          <t>메가스터디교육</t>
        </is>
      </c>
      <c r="G2159" s="2" t="inlineStr">
        <is>
          <t>20260311004502</t>
        </is>
      </c>
      <c r="H2159" s="8">
        <f>HYPERLINK("https://dart.fss.or.kr/dsaf001/main.do?rcpNo=20260311004502", "공시열람")</f>
        <v/>
      </c>
    </row>
    <row r="2160">
      <c r="A2160" s="2" t="inlineStr">
        <is>
          <t>2026-03-11</t>
        </is>
      </c>
      <c r="B2160" s="3" t="inlineStr">
        <is>
          <t>에임드바이오</t>
        </is>
      </c>
      <c r="C2160" s="2" t="inlineStr">
        <is>
          <t>코스닥</t>
        </is>
      </c>
      <c r="D2160" s="2" t="inlineStr">
        <is>
          <t>0009K0</t>
        </is>
      </c>
      <c r="E2160" s="3" t="inlineStr">
        <is>
          <t xml:space="preserve">주주총회집중일개최사유신고              </t>
        </is>
      </c>
      <c r="F2160" s="3" t="inlineStr">
        <is>
          <t>에임드바이오</t>
        </is>
      </c>
      <c r="G2160" s="2" t="inlineStr">
        <is>
          <t>20260311902304</t>
        </is>
      </c>
      <c r="H2160" s="8">
        <f>HYPERLINK("https://dart.fss.or.kr/dsaf001/main.do?rcpNo=20260311902304", "공시열람")</f>
        <v/>
      </c>
    </row>
    <row r="2161">
      <c r="A2161" s="2" t="inlineStr">
        <is>
          <t>2026-03-11</t>
        </is>
      </c>
      <c r="B2161" s="3" t="inlineStr">
        <is>
          <t>에임드바이오</t>
        </is>
      </c>
      <c r="C2161" s="2" t="inlineStr">
        <is>
          <t>코스닥</t>
        </is>
      </c>
      <c r="D2161" s="2" t="inlineStr">
        <is>
          <t>0009K0</t>
        </is>
      </c>
      <c r="E2161" s="3" t="inlineStr">
        <is>
          <t xml:space="preserve">주주총회소집결의              </t>
        </is>
      </c>
      <c r="F2161" s="3" t="inlineStr">
        <is>
          <t>에임드바이오</t>
        </is>
      </c>
      <c r="G2161" s="2" t="inlineStr">
        <is>
          <t>20260311902266</t>
        </is>
      </c>
      <c r="H2161" s="8">
        <f>HYPERLINK("https://dart.fss.or.kr/dsaf001/main.do?rcpNo=20260311902266", "공시열람")</f>
        <v/>
      </c>
    </row>
    <row r="2162">
      <c r="A2162" s="2" t="inlineStr">
        <is>
          <t>2026-03-11</t>
        </is>
      </c>
      <c r="B2162" s="3" t="inlineStr">
        <is>
          <t>네패스</t>
        </is>
      </c>
      <c r="C2162" s="2" t="inlineStr">
        <is>
          <t>코스닥</t>
        </is>
      </c>
      <c r="D2162" s="2" t="inlineStr">
        <is>
          <t>033640</t>
        </is>
      </c>
      <c r="E2162" s="3" t="inlineStr">
        <is>
          <t>주주총회소집공고</t>
        </is>
      </c>
      <c r="F2162" s="3" t="inlineStr">
        <is>
          <t>네패스</t>
        </is>
      </c>
      <c r="G2162" s="2" t="inlineStr">
        <is>
          <t>20260311004499</t>
        </is>
      </c>
      <c r="H2162" s="8">
        <f>HYPERLINK("https://dart.fss.or.kr/dsaf001/main.do?rcpNo=20260311004499", "공시열람")</f>
        <v/>
      </c>
    </row>
    <row r="2163">
      <c r="A2163" s="2" t="inlineStr">
        <is>
          <t>2026-03-11 (정정: 2026-05-20)</t>
        </is>
      </c>
      <c r="B2163" s="3" t="inlineStr">
        <is>
          <t>아이티아이즈</t>
        </is>
      </c>
      <c r="C2163" s="2" t="inlineStr">
        <is>
          <t>코스닥</t>
        </is>
      </c>
      <c r="D2163" s="2" t="inlineStr">
        <is>
          <t>372800</t>
        </is>
      </c>
      <c r="E2163" s="3" t="inlineStr">
        <is>
          <t>주주총회소집결의               (정정: 20260520)</t>
        </is>
      </c>
      <c r="F2163" s="3" t="inlineStr">
        <is>
          <t>아이티아이즈</t>
        </is>
      </c>
      <c r="G2163" s="2" t="inlineStr">
        <is>
          <t>20260520000189</t>
        </is>
      </c>
      <c r="H2163" s="8">
        <f>HYPERLINK("https://dart.fss.or.kr/dsaf001/main.do?rcpNo=20260520000189", "공시열람")</f>
        <v/>
      </c>
    </row>
    <row r="2164">
      <c r="A2164" s="2" t="inlineStr">
        <is>
          <t>2026-03-11</t>
        </is>
      </c>
      <c r="B2164" s="3" t="inlineStr">
        <is>
          <t>노바텍</t>
        </is>
      </c>
      <c r="C2164" s="2" t="inlineStr">
        <is>
          <t>코스닥</t>
        </is>
      </c>
      <c r="D2164" s="2" t="inlineStr">
        <is>
          <t>285490</t>
        </is>
      </c>
      <c r="E2164" s="3" t="inlineStr">
        <is>
          <t xml:space="preserve">주주총회집중일개최사유신고              </t>
        </is>
      </c>
      <c r="F2164" s="3" t="inlineStr">
        <is>
          <t>노바텍</t>
        </is>
      </c>
      <c r="G2164" s="2" t="inlineStr">
        <is>
          <t>20260311902265</t>
        </is>
      </c>
      <c r="H2164" s="8">
        <f>HYPERLINK("https://dart.fss.or.kr/dsaf001/main.do?rcpNo=20260311902265", "공시열람")</f>
        <v/>
      </c>
    </row>
    <row r="2165">
      <c r="A2165" s="2" t="inlineStr">
        <is>
          <t>2026-03-11</t>
        </is>
      </c>
      <c r="B2165" s="3" t="inlineStr">
        <is>
          <t>누리플랜</t>
        </is>
      </c>
      <c r="C2165" s="2" t="inlineStr">
        <is>
          <t>코스닥</t>
        </is>
      </c>
      <c r="D2165" s="2" t="inlineStr">
        <is>
          <t>069140</t>
        </is>
      </c>
      <c r="E2165" s="3" t="inlineStr">
        <is>
          <t xml:space="preserve">주주총회집중일개최사유신고              </t>
        </is>
      </c>
      <c r="F2165" s="3" t="inlineStr">
        <is>
          <t>누리플랜</t>
        </is>
      </c>
      <c r="G2165" s="2" t="inlineStr">
        <is>
          <t>20260311902263</t>
        </is>
      </c>
      <c r="H2165" s="8">
        <f>HYPERLINK("https://dart.fss.or.kr/dsaf001/main.do?rcpNo=20260311902263", "공시열람")</f>
        <v/>
      </c>
    </row>
    <row r="2166">
      <c r="A2166" s="2" t="inlineStr">
        <is>
          <t>2026-03-11</t>
        </is>
      </c>
      <c r="B2166" s="3" t="inlineStr">
        <is>
          <t>폴라리스세원</t>
        </is>
      </c>
      <c r="C2166" s="2" t="inlineStr">
        <is>
          <t>코스닥</t>
        </is>
      </c>
      <c r="D2166" s="2" t="inlineStr">
        <is>
          <t>234100</t>
        </is>
      </c>
      <c r="E2166" s="3" t="inlineStr">
        <is>
          <t>주주총회소집공고</t>
        </is>
      </c>
      <c r="F2166" s="3" t="inlineStr">
        <is>
          <t>폴라리스세원</t>
        </is>
      </c>
      <c r="G2166" s="2" t="inlineStr">
        <is>
          <t>20260311004491</t>
        </is>
      </c>
      <c r="H2166" s="8">
        <f>HYPERLINK("https://dart.fss.or.kr/dsaf001/main.do?rcpNo=20260311004491", "공시열람")</f>
        <v/>
      </c>
    </row>
    <row r="2167">
      <c r="A2167" s="2" t="inlineStr">
        <is>
          <t>2026-03-11</t>
        </is>
      </c>
      <c r="B2167" s="3" t="inlineStr">
        <is>
          <t>쿠쿠홈시스</t>
        </is>
      </c>
      <c r="C2167" s="2" t="inlineStr">
        <is>
          <t>코스피</t>
        </is>
      </c>
      <c r="D2167" s="2" t="inlineStr">
        <is>
          <t>284740</t>
        </is>
      </c>
      <c r="E2167" s="3" t="inlineStr">
        <is>
          <t>주주총회소집공고</t>
        </is>
      </c>
      <c r="F2167" s="3" t="inlineStr">
        <is>
          <t>쿠쿠홈시스</t>
        </is>
      </c>
      <c r="G2167" s="2" t="inlineStr">
        <is>
          <t>20260311004490</t>
        </is>
      </c>
      <c r="H2167" s="8">
        <f>HYPERLINK("https://dart.fss.or.kr/dsaf001/main.do?rcpNo=20260311004490", "공시열람")</f>
        <v/>
      </c>
    </row>
    <row r="2168">
      <c r="A2168" s="2" t="inlineStr">
        <is>
          <t>2026-03-11</t>
        </is>
      </c>
      <c r="B2168" s="3" t="inlineStr">
        <is>
          <t>하이딥</t>
        </is>
      </c>
      <c r="C2168" s="2" t="inlineStr">
        <is>
          <t>코스닥</t>
        </is>
      </c>
      <c r="D2168" s="2" t="inlineStr">
        <is>
          <t>365590</t>
        </is>
      </c>
      <c r="E2168" s="3" t="inlineStr">
        <is>
          <t>주주총회소집공고</t>
        </is>
      </c>
      <c r="F2168" s="3" t="inlineStr">
        <is>
          <t>하이딥</t>
        </is>
      </c>
      <c r="G2168" s="2" t="inlineStr">
        <is>
          <t>20260311004488</t>
        </is>
      </c>
      <c r="H2168" s="8">
        <f>HYPERLINK("https://dart.fss.or.kr/dsaf001/main.do?rcpNo=20260311004488", "공시열람")</f>
        <v/>
      </c>
    </row>
    <row r="2169">
      <c r="A2169" s="2" t="inlineStr">
        <is>
          <t>2026-03-11</t>
        </is>
      </c>
      <c r="B2169" s="3" t="inlineStr">
        <is>
          <t>케이티알파</t>
        </is>
      </c>
      <c r="C2169" s="2" t="inlineStr">
        <is>
          <t>코스닥</t>
        </is>
      </c>
      <c r="D2169" s="2" t="inlineStr">
        <is>
          <t>036030</t>
        </is>
      </c>
      <c r="E2169" s="3" t="inlineStr">
        <is>
          <t xml:space="preserve">주주총회소집결의              </t>
        </is>
      </c>
      <c r="F2169" s="3" t="inlineStr">
        <is>
          <t>케이티알파</t>
        </is>
      </c>
      <c r="G2169" s="2" t="inlineStr">
        <is>
          <t>20260311902221</t>
        </is>
      </c>
      <c r="H2169" s="8">
        <f>HYPERLINK("https://dart.fss.or.kr/dsaf001/main.do?rcpNo=20260311902221", "공시열람")</f>
        <v/>
      </c>
    </row>
    <row r="2170">
      <c r="A2170" s="2" t="inlineStr">
        <is>
          <t>2026-03-11</t>
        </is>
      </c>
      <c r="B2170" s="3" t="inlineStr">
        <is>
          <t>한일단조</t>
        </is>
      </c>
      <c r="C2170" s="2" t="inlineStr">
        <is>
          <t>코스닥</t>
        </is>
      </c>
      <c r="D2170" s="2" t="inlineStr">
        <is>
          <t>024740</t>
        </is>
      </c>
      <c r="E2170" s="3" t="inlineStr">
        <is>
          <t>주주총회소집공고</t>
        </is>
      </c>
      <c r="F2170" s="3" t="inlineStr">
        <is>
          <t>한일단조</t>
        </is>
      </c>
      <c r="G2170" s="2" t="inlineStr">
        <is>
          <t>20260311004486</t>
        </is>
      </c>
      <c r="H2170" s="8">
        <f>HYPERLINK("https://dart.fss.or.kr/dsaf001/main.do?rcpNo=20260311004486", "공시열람")</f>
        <v/>
      </c>
    </row>
    <row r="2171">
      <c r="A2171" s="2" t="inlineStr">
        <is>
          <t>2026-03-11</t>
        </is>
      </c>
      <c r="B2171" s="3" t="inlineStr">
        <is>
          <t>옴니시스템</t>
        </is>
      </c>
      <c r="C2171" s="2" t="inlineStr">
        <is>
          <t>코스닥</t>
        </is>
      </c>
      <c r="D2171" s="2" t="inlineStr">
        <is>
          <t>057540</t>
        </is>
      </c>
      <c r="E2171" s="3" t="inlineStr">
        <is>
          <t xml:space="preserve">주주총회소집결의              </t>
        </is>
      </c>
      <c r="F2171" s="3" t="inlineStr">
        <is>
          <t>옴니시스템</t>
        </is>
      </c>
      <c r="G2171" s="2" t="inlineStr">
        <is>
          <t>20260311902161</t>
        </is>
      </c>
      <c r="H2171" s="8">
        <f>HYPERLINK("https://dart.fss.or.kr/dsaf001/main.do?rcpNo=20260311902161", "공시열람")</f>
        <v/>
      </c>
    </row>
    <row r="2172">
      <c r="A2172" s="2" t="inlineStr">
        <is>
          <t>2026-03-11</t>
        </is>
      </c>
      <c r="B2172" s="3" t="inlineStr">
        <is>
          <t>메가스터디교육</t>
        </is>
      </c>
      <c r="C2172" s="2" t="inlineStr">
        <is>
          <t>코스닥</t>
        </is>
      </c>
      <c r="D2172" s="2" t="inlineStr">
        <is>
          <t>215200</t>
        </is>
      </c>
      <c r="E2172" s="3" t="inlineStr">
        <is>
          <t xml:space="preserve">주주총회소집결의              </t>
        </is>
      </c>
      <c r="F2172" s="3" t="inlineStr">
        <is>
          <t>메가스터디교육</t>
        </is>
      </c>
      <c r="G2172" s="2" t="inlineStr">
        <is>
          <t>20260311902212</t>
        </is>
      </c>
      <c r="H2172" s="8">
        <f>HYPERLINK("https://dart.fss.or.kr/dsaf001/main.do?rcpNo=20260311902212", "공시열람")</f>
        <v/>
      </c>
    </row>
    <row r="2173">
      <c r="A2173" s="2" t="inlineStr">
        <is>
          <t>2026-03-11</t>
        </is>
      </c>
      <c r="B2173" s="3" t="inlineStr">
        <is>
          <t>폴라리스세원</t>
        </is>
      </c>
      <c r="C2173" s="2" t="inlineStr">
        <is>
          <t>코스닥</t>
        </is>
      </c>
      <c r="D2173" s="2" t="inlineStr">
        <is>
          <t>234100</t>
        </is>
      </c>
      <c r="E2173" s="3" t="inlineStr">
        <is>
          <t xml:space="preserve">주주총회소집결의              </t>
        </is>
      </c>
      <c r="F2173" s="3" t="inlineStr">
        <is>
          <t>폴라리스세원</t>
        </is>
      </c>
      <c r="G2173" s="2" t="inlineStr">
        <is>
          <t>20260311902217</t>
        </is>
      </c>
      <c r="H2173" s="8">
        <f>HYPERLINK("https://dart.fss.or.kr/dsaf001/main.do?rcpNo=20260311902217", "공시열람")</f>
        <v/>
      </c>
    </row>
    <row r="2174">
      <c r="A2174" s="2" t="inlineStr">
        <is>
          <t>2026-03-11</t>
        </is>
      </c>
      <c r="B2174" s="3" t="inlineStr">
        <is>
          <t>레드우즈</t>
        </is>
      </c>
      <c r="C2174" s="2" t="inlineStr">
        <is>
          <t>코넥스</t>
        </is>
      </c>
      <c r="D2174" s="2" t="inlineStr">
        <is>
          <t>266170</t>
        </is>
      </c>
      <c r="E2174" s="3" t="inlineStr">
        <is>
          <t xml:space="preserve">주주총회소집결의              </t>
        </is>
      </c>
      <c r="F2174" s="3" t="inlineStr">
        <is>
          <t>레드우즈</t>
        </is>
      </c>
      <c r="G2174" s="2" t="inlineStr">
        <is>
          <t>20260311602083</t>
        </is>
      </c>
      <c r="H2174" s="8">
        <f>HYPERLINK("https://dart.fss.or.kr/dsaf001/main.do?rcpNo=20260311602083", "공시열람")</f>
        <v/>
      </c>
    </row>
    <row r="2175">
      <c r="A2175" s="2" t="inlineStr">
        <is>
          <t>2026-03-11</t>
        </is>
      </c>
      <c r="B2175" s="3" t="inlineStr">
        <is>
          <t>엔비티</t>
        </is>
      </c>
      <c r="C2175" s="2" t="inlineStr">
        <is>
          <t>코스닥</t>
        </is>
      </c>
      <c r="D2175" s="2" t="inlineStr">
        <is>
          <t>236810</t>
        </is>
      </c>
      <c r="E2175" s="3" t="inlineStr">
        <is>
          <t>주주총회소집공고</t>
        </is>
      </c>
      <c r="F2175" s="3" t="inlineStr">
        <is>
          <t>엔비티</t>
        </is>
      </c>
      <c r="G2175" s="2" t="inlineStr">
        <is>
          <t>20260311004481</t>
        </is>
      </c>
      <c r="H2175" s="8">
        <f>HYPERLINK("https://dart.fss.or.kr/dsaf001/main.do?rcpNo=20260311004481", "공시열람")</f>
        <v/>
      </c>
    </row>
    <row r="2176">
      <c r="A2176" s="2" t="inlineStr">
        <is>
          <t>2026-03-11 (정정: 2026-03-18)</t>
        </is>
      </c>
      <c r="B2176" s="3" t="inlineStr">
        <is>
          <t>시선AI</t>
        </is>
      </c>
      <c r="C2176" s="2" t="inlineStr">
        <is>
          <t>코스닥</t>
        </is>
      </c>
      <c r="D2176" s="2" t="inlineStr">
        <is>
          <t>340810</t>
        </is>
      </c>
      <c r="E2176" s="3" t="inlineStr">
        <is>
          <t>주주총회집중일개최사유신고               (정정: 20260318)</t>
        </is>
      </c>
      <c r="F2176" s="3" t="inlineStr">
        <is>
          <t>시선AI</t>
        </is>
      </c>
      <c r="G2176" s="2" t="inlineStr">
        <is>
          <t>20260318001329</t>
        </is>
      </c>
      <c r="H2176" s="8">
        <f>HYPERLINK("https://dart.fss.or.kr/dsaf001/main.do?rcpNo=20260318001329", "공시열람")</f>
        <v/>
      </c>
    </row>
    <row r="2177">
      <c r="A2177" s="2" t="inlineStr">
        <is>
          <t>2026-03-11</t>
        </is>
      </c>
      <c r="B2177" s="3" t="inlineStr">
        <is>
          <t>엠엑스로보틱스</t>
        </is>
      </c>
      <c r="C2177" s="2" t="inlineStr">
        <is>
          <t>코스닥</t>
        </is>
      </c>
      <c r="D2177" s="2" t="inlineStr">
        <is>
          <t>007820</t>
        </is>
      </c>
      <c r="E2177" s="3" t="inlineStr">
        <is>
          <t xml:space="preserve">주주총회소집결의              </t>
        </is>
      </c>
      <c r="F2177" s="3" t="inlineStr">
        <is>
          <t>엠엑스로보틱스</t>
        </is>
      </c>
      <c r="G2177" s="2" t="inlineStr">
        <is>
          <t>20260311902182</t>
        </is>
      </c>
      <c r="H2177" s="8">
        <f>HYPERLINK("https://dart.fss.or.kr/dsaf001/main.do?rcpNo=20260311902182", "공시열람")</f>
        <v/>
      </c>
    </row>
    <row r="2178">
      <c r="A2178" s="2" t="inlineStr">
        <is>
          <t>2026-03-11</t>
        </is>
      </c>
      <c r="B2178" s="3" t="inlineStr">
        <is>
          <t>지투지바이오</t>
        </is>
      </c>
      <c r="C2178" s="2" t="inlineStr">
        <is>
          <t>코스닥</t>
        </is>
      </c>
      <c r="D2178" s="2" t="inlineStr">
        <is>
          <t>456160</t>
        </is>
      </c>
      <c r="E2178" s="3" t="inlineStr">
        <is>
          <t>주주총회소집공고</t>
        </is>
      </c>
      <c r="F2178" s="3" t="inlineStr">
        <is>
          <t>지투지바이오</t>
        </is>
      </c>
      <c r="G2178" s="2" t="inlineStr">
        <is>
          <t>20260311004475</t>
        </is>
      </c>
      <c r="H2178" s="8">
        <f>HYPERLINK("https://dart.fss.or.kr/dsaf001/main.do?rcpNo=20260311004475", "공시열람")</f>
        <v/>
      </c>
    </row>
    <row r="2179">
      <c r="A2179" s="2" t="inlineStr">
        <is>
          <t>2026-03-11</t>
        </is>
      </c>
      <c r="B2179" s="3" t="inlineStr">
        <is>
          <t>헥토파이낸셜</t>
        </is>
      </c>
      <c r="C2179" s="2" t="inlineStr">
        <is>
          <t>코스닥</t>
        </is>
      </c>
      <c r="D2179" s="2" t="inlineStr">
        <is>
          <t>234340</t>
        </is>
      </c>
      <c r="E2179" s="3" t="inlineStr">
        <is>
          <t xml:space="preserve">주주총회집중일개최사유신고              </t>
        </is>
      </c>
      <c r="F2179" s="3" t="inlineStr">
        <is>
          <t>헥토파이낸셜</t>
        </is>
      </c>
      <c r="G2179" s="2" t="inlineStr">
        <is>
          <t>20260311902037</t>
        </is>
      </c>
      <c r="H2179" s="8">
        <f>HYPERLINK("https://dart.fss.or.kr/dsaf001/main.do?rcpNo=20260311902037", "공시열람")</f>
        <v/>
      </c>
    </row>
    <row r="2180">
      <c r="A2180" s="2" t="inlineStr">
        <is>
          <t>2026-03-11 (정정: 2026-03-11)</t>
        </is>
      </c>
      <c r="B2180" s="3" t="inlineStr">
        <is>
          <t>아센디오</t>
        </is>
      </c>
      <c r="C2180" s="2" t="inlineStr">
        <is>
          <t>코스피</t>
        </is>
      </c>
      <c r="D2180" s="2" t="inlineStr">
        <is>
          <t>012170</t>
        </is>
      </c>
      <c r="E2180" s="3" t="inlineStr">
        <is>
          <t>주주총회소집공고 (정정: 20260311)</t>
        </is>
      </c>
      <c r="F2180" s="3" t="inlineStr">
        <is>
          <t>아센디오</t>
        </is>
      </c>
      <c r="G2180" s="2" t="inlineStr">
        <is>
          <t>20260311802204</t>
        </is>
      </c>
      <c r="H2180" s="8">
        <f>HYPERLINK("https://dart.fss.or.kr/dsaf001/main.do?rcpNo=20260311802204", "공시열람")</f>
        <v/>
      </c>
    </row>
    <row r="2181">
      <c r="A2181" s="2" t="inlineStr">
        <is>
          <t>2026-03-11</t>
        </is>
      </c>
      <c r="B2181" s="3" t="inlineStr">
        <is>
          <t>서울반도체</t>
        </is>
      </c>
      <c r="C2181" s="2" t="inlineStr">
        <is>
          <t>코스닥</t>
        </is>
      </c>
      <c r="D2181" s="2" t="inlineStr">
        <is>
          <t>046890</t>
        </is>
      </c>
      <c r="E2181" s="3" t="inlineStr">
        <is>
          <t>주주총회소집공고</t>
        </is>
      </c>
      <c r="F2181" s="3" t="inlineStr">
        <is>
          <t>서울반도체</t>
        </is>
      </c>
      <c r="G2181" s="2" t="inlineStr">
        <is>
          <t>20260311004470</t>
        </is>
      </c>
      <c r="H2181" s="8">
        <f>HYPERLINK("https://dart.fss.or.kr/dsaf001/main.do?rcpNo=20260311004470", "공시열람")</f>
        <v/>
      </c>
    </row>
    <row r="2182">
      <c r="A2182" s="2" t="inlineStr">
        <is>
          <t>2026-03-11 (정정: 2026-03-11)</t>
        </is>
      </c>
      <c r="B2182" s="3" t="inlineStr">
        <is>
          <t>하이딥</t>
        </is>
      </c>
      <c r="C2182" s="2" t="inlineStr">
        <is>
          <t>코스닥</t>
        </is>
      </c>
      <c r="D2182" s="2" t="inlineStr">
        <is>
          <t>365590</t>
        </is>
      </c>
      <c r="E2182" s="3" t="inlineStr">
        <is>
          <t>주주총회소집결의               (정정: 20260311) (정정: 20260311) (정정: 20260311) (정정: 20260311)</t>
        </is>
      </c>
      <c r="F2182" s="3" t="inlineStr">
        <is>
          <t>하이딥</t>
        </is>
      </c>
      <c r="G2182" s="2" t="inlineStr">
        <is>
          <t>20260311004271</t>
        </is>
      </c>
      <c r="H2182" s="8">
        <f>HYPERLINK("https://dart.fss.or.kr/dsaf001/main.do?rcpNo=20260311004271", "공시열람")</f>
        <v/>
      </c>
    </row>
    <row r="2183">
      <c r="A2183" s="2" t="inlineStr">
        <is>
          <t>2026-03-11</t>
        </is>
      </c>
      <c r="B2183" s="3" t="inlineStr">
        <is>
          <t>데이터스트림즈</t>
        </is>
      </c>
      <c r="C2183" s="2" t="inlineStr">
        <is>
          <t>코넥스</t>
        </is>
      </c>
      <c r="D2183" s="2" t="inlineStr">
        <is>
          <t>199150</t>
        </is>
      </c>
      <c r="E2183" s="3" t="inlineStr">
        <is>
          <t>주주총회소집공고</t>
        </is>
      </c>
      <c r="F2183" s="3" t="inlineStr">
        <is>
          <t>데이터스트림즈</t>
        </is>
      </c>
      <c r="G2183" s="2" t="inlineStr">
        <is>
          <t>20260311004469</t>
        </is>
      </c>
      <c r="H2183" s="8">
        <f>HYPERLINK("https://dart.fss.or.kr/dsaf001/main.do?rcpNo=20260311004469", "공시열람")</f>
        <v/>
      </c>
    </row>
    <row r="2184">
      <c r="A2184" s="2" t="inlineStr">
        <is>
          <t>2026-03-11</t>
        </is>
      </c>
      <c r="B2184" s="3" t="inlineStr">
        <is>
          <t>스피어</t>
        </is>
      </c>
      <c r="C2184" s="2" t="inlineStr">
        <is>
          <t>코스닥</t>
        </is>
      </c>
      <c r="D2184" s="2" t="inlineStr">
        <is>
          <t>347700</t>
        </is>
      </c>
      <c r="E2184" s="3" t="inlineStr">
        <is>
          <t xml:space="preserve">주주총회소집결의              </t>
        </is>
      </c>
      <c r="F2184" s="3" t="inlineStr">
        <is>
          <t>스피어</t>
        </is>
      </c>
      <c r="G2184" s="2" t="inlineStr">
        <is>
          <t>20260311902170</t>
        </is>
      </c>
      <c r="H2184" s="8">
        <f>HYPERLINK("https://dart.fss.or.kr/dsaf001/main.do?rcpNo=20260311902170", "공시열람")</f>
        <v/>
      </c>
    </row>
    <row r="2185">
      <c r="A2185" s="2" t="inlineStr">
        <is>
          <t>2026-03-11</t>
        </is>
      </c>
      <c r="B2185" s="3" t="inlineStr">
        <is>
          <t>아이에스동서</t>
        </is>
      </c>
      <c r="C2185" s="2" t="inlineStr">
        <is>
          <t>코스피</t>
        </is>
      </c>
      <c r="D2185" s="2" t="inlineStr">
        <is>
          <t>010780</t>
        </is>
      </c>
      <c r="E2185" s="3" t="inlineStr">
        <is>
          <t xml:space="preserve">주주총회소집결의              </t>
        </is>
      </c>
      <c r="F2185" s="3" t="inlineStr">
        <is>
          <t>아이에스동서</t>
        </is>
      </c>
      <c r="G2185" s="2" t="inlineStr">
        <is>
          <t>20260311802244</t>
        </is>
      </c>
      <c r="H2185" s="8">
        <f>HYPERLINK("https://dart.fss.or.kr/dsaf001/main.do?rcpNo=20260311802244", "공시열람")</f>
        <v/>
      </c>
    </row>
    <row r="2186">
      <c r="A2186" s="2" t="inlineStr">
        <is>
          <t>2026-03-11</t>
        </is>
      </c>
      <c r="B2186" s="3" t="inlineStr">
        <is>
          <t>부국증권</t>
        </is>
      </c>
      <c r="C2186" s="2" t="inlineStr">
        <is>
          <t>코스피</t>
        </is>
      </c>
      <c r="D2186" s="2" t="inlineStr">
        <is>
          <t>001270</t>
        </is>
      </c>
      <c r="E2186" s="3" t="inlineStr">
        <is>
          <t>주주총회소집공고</t>
        </is>
      </c>
      <c r="F2186" s="3" t="inlineStr">
        <is>
          <t>부국증권</t>
        </is>
      </c>
      <c r="G2186" s="2" t="inlineStr">
        <is>
          <t>20260311004468</t>
        </is>
      </c>
      <c r="H2186" s="8">
        <f>HYPERLINK("https://dart.fss.or.kr/dsaf001/main.do?rcpNo=20260311004468", "공시열람")</f>
        <v/>
      </c>
    </row>
    <row r="2187">
      <c r="A2187" s="2" t="inlineStr">
        <is>
          <t>2026-03-11</t>
        </is>
      </c>
      <c r="B2187" s="3" t="inlineStr">
        <is>
          <t>지투지바이오</t>
        </is>
      </c>
      <c r="C2187" s="2" t="inlineStr">
        <is>
          <t>코스닥</t>
        </is>
      </c>
      <c r="D2187" s="2" t="inlineStr">
        <is>
          <t>456160</t>
        </is>
      </c>
      <c r="E2187" s="3" t="inlineStr">
        <is>
          <t xml:space="preserve">주주총회소집결의              </t>
        </is>
      </c>
      <c r="F2187" s="3" t="inlineStr">
        <is>
          <t>지투지바이오</t>
        </is>
      </c>
      <c r="G2187" s="2" t="inlineStr">
        <is>
          <t>20260311902106</t>
        </is>
      </c>
      <c r="H2187" s="8">
        <f>HYPERLINK("https://dart.fss.or.kr/dsaf001/main.do?rcpNo=20260311902106", "공시열람")</f>
        <v/>
      </c>
    </row>
    <row r="2188">
      <c r="A2188" s="2" t="inlineStr">
        <is>
          <t>2026-03-11 (정정: 2026-03-11)</t>
        </is>
      </c>
      <c r="B2188" s="3" t="inlineStr">
        <is>
          <t>코미팜</t>
        </is>
      </c>
      <c r="C2188" s="2" t="inlineStr">
        <is>
          <t>코스닥</t>
        </is>
      </c>
      <c r="D2188" s="2" t="inlineStr">
        <is>
          <t>041960</t>
        </is>
      </c>
      <c r="E2188" s="3" t="inlineStr">
        <is>
          <t>주주총회소집공고 (정정: 20260311) (정정: 20260311)</t>
        </is>
      </c>
      <c r="F2188" s="3" t="inlineStr">
        <is>
          <t>코미팜</t>
        </is>
      </c>
      <c r="G2188" s="2" t="inlineStr">
        <is>
          <t>20260311901925</t>
        </is>
      </c>
      <c r="H2188" s="8">
        <f>HYPERLINK("https://dart.fss.or.kr/dsaf001/main.do?rcpNo=20260311901925", "공시열람")</f>
        <v/>
      </c>
    </row>
    <row r="2189">
      <c r="A2189" s="2" t="inlineStr">
        <is>
          <t>2026-03-11</t>
        </is>
      </c>
      <c r="B2189" s="3" t="inlineStr">
        <is>
          <t>경방</t>
        </is>
      </c>
      <c r="C2189" s="2" t="inlineStr">
        <is>
          <t>코스피</t>
        </is>
      </c>
      <c r="D2189" s="2" t="inlineStr">
        <is>
          <t>000050</t>
        </is>
      </c>
      <c r="E2189" s="3" t="inlineStr">
        <is>
          <t>주주총회소집공고</t>
        </is>
      </c>
      <c r="F2189" s="3" t="inlineStr">
        <is>
          <t>경방</t>
        </is>
      </c>
      <c r="G2189" s="2" t="inlineStr">
        <is>
          <t>20260311004460</t>
        </is>
      </c>
      <c r="H2189" s="8">
        <f>HYPERLINK("https://dart.fss.or.kr/dsaf001/main.do?rcpNo=20260311004460", "공시열람")</f>
        <v/>
      </c>
    </row>
    <row r="2190">
      <c r="A2190" s="2" t="inlineStr">
        <is>
          <t>2026-03-11</t>
        </is>
      </c>
      <c r="B2190" s="3" t="inlineStr">
        <is>
          <t>미래컴퍼니</t>
        </is>
      </c>
      <c r="C2190" s="2" t="inlineStr">
        <is>
          <t>코스닥</t>
        </is>
      </c>
      <c r="D2190" s="2" t="inlineStr">
        <is>
          <t>049950</t>
        </is>
      </c>
      <c r="E2190" s="3" t="inlineStr">
        <is>
          <t xml:space="preserve">주주총회집중일개최사유신고              </t>
        </is>
      </c>
      <c r="F2190" s="3" t="inlineStr">
        <is>
          <t>미래컴퍼니</t>
        </is>
      </c>
      <c r="G2190" s="2" t="inlineStr">
        <is>
          <t>20260311901991</t>
        </is>
      </c>
      <c r="H2190" s="8">
        <f>HYPERLINK("https://dart.fss.or.kr/dsaf001/main.do?rcpNo=20260311901991", "공시열람")</f>
        <v/>
      </c>
    </row>
    <row r="2191">
      <c r="A2191" s="2" t="inlineStr">
        <is>
          <t>2026-03-11</t>
        </is>
      </c>
      <c r="B2191" s="3" t="inlineStr">
        <is>
          <t>유수홀딩스</t>
        </is>
      </c>
      <c r="C2191" s="2" t="inlineStr">
        <is>
          <t>코스피</t>
        </is>
      </c>
      <c r="D2191" s="2" t="inlineStr">
        <is>
          <t>000700</t>
        </is>
      </c>
      <c r="E2191" s="3" t="inlineStr">
        <is>
          <t xml:space="preserve">주주총회소집결의              </t>
        </is>
      </c>
      <c r="F2191" s="3" t="inlineStr">
        <is>
          <t>유수홀딩스</t>
        </is>
      </c>
      <c r="G2191" s="2" t="inlineStr">
        <is>
          <t>20260311802227</t>
        </is>
      </c>
      <c r="H2191" s="8">
        <f>HYPERLINK("https://dart.fss.or.kr/dsaf001/main.do?rcpNo=20260311802227", "공시열람")</f>
        <v/>
      </c>
    </row>
    <row r="2192">
      <c r="A2192" s="2" t="inlineStr">
        <is>
          <t>2026-03-11</t>
        </is>
      </c>
      <c r="B2192" s="3" t="inlineStr">
        <is>
          <t>녹십자</t>
        </is>
      </c>
      <c r="C2192" s="2" t="inlineStr">
        <is>
          <t>코스피</t>
        </is>
      </c>
      <c r="D2192" s="2" t="inlineStr">
        <is>
          <t>006280</t>
        </is>
      </c>
      <c r="E2192" s="3" t="inlineStr">
        <is>
          <t>주주총회소집공고</t>
        </is>
      </c>
      <c r="F2192" s="3" t="inlineStr">
        <is>
          <t>녹십자</t>
        </is>
      </c>
      <c r="G2192" s="2" t="inlineStr">
        <is>
          <t>20260311004456</t>
        </is>
      </c>
      <c r="H2192" s="8">
        <f>HYPERLINK("https://dart.fss.or.kr/dsaf001/main.do?rcpNo=20260311004456", "공시열람")</f>
        <v/>
      </c>
    </row>
    <row r="2193">
      <c r="A2193" s="2" t="inlineStr">
        <is>
          <t>2026-03-11</t>
        </is>
      </c>
      <c r="B2193" s="3" t="inlineStr">
        <is>
          <t>에이럭스</t>
        </is>
      </c>
      <c r="C2193" s="2" t="inlineStr">
        <is>
          <t>코스닥</t>
        </is>
      </c>
      <c r="D2193" s="2" t="inlineStr">
        <is>
          <t>475580</t>
        </is>
      </c>
      <c r="E2193" s="3" t="inlineStr">
        <is>
          <t>주주총회소집공고</t>
        </is>
      </c>
      <c r="F2193" s="3" t="inlineStr">
        <is>
          <t>에이럭스</t>
        </is>
      </c>
      <c r="G2193" s="2" t="inlineStr">
        <is>
          <t>20260311004454</t>
        </is>
      </c>
      <c r="H2193" s="8">
        <f>HYPERLINK("https://dart.fss.or.kr/dsaf001/main.do?rcpNo=20260311004454", "공시열람")</f>
        <v/>
      </c>
    </row>
    <row r="2194">
      <c r="A2194" s="2" t="inlineStr">
        <is>
          <t>2026-03-11</t>
        </is>
      </c>
      <c r="B2194" s="3" t="inlineStr">
        <is>
          <t>스맥</t>
        </is>
      </c>
      <c r="C2194" s="2" t="inlineStr">
        <is>
          <t>코스닥</t>
        </is>
      </c>
      <c r="D2194" s="2" t="inlineStr">
        <is>
          <t>099440</t>
        </is>
      </c>
      <c r="E2194" s="3" t="inlineStr">
        <is>
          <t xml:space="preserve">주주총회소집결의              </t>
        </is>
      </c>
      <c r="F2194" s="3" t="inlineStr">
        <is>
          <t>스맥</t>
        </is>
      </c>
      <c r="G2194" s="2" t="inlineStr">
        <is>
          <t>20260311901966</t>
        </is>
      </c>
      <c r="H2194" s="8">
        <f>HYPERLINK("https://dart.fss.or.kr/dsaf001/main.do?rcpNo=20260311901966", "공시열람")</f>
        <v/>
      </c>
    </row>
    <row r="2195">
      <c r="A2195" s="2" t="inlineStr">
        <is>
          <t>2026-03-11</t>
        </is>
      </c>
      <c r="B2195" s="3" t="inlineStr">
        <is>
          <t>케이아이엔엑스</t>
        </is>
      </c>
      <c r="C2195" s="2" t="inlineStr">
        <is>
          <t>코스닥</t>
        </is>
      </c>
      <c r="D2195" s="2" t="inlineStr">
        <is>
          <t>093320</t>
        </is>
      </c>
      <c r="E2195" s="3" t="inlineStr">
        <is>
          <t xml:space="preserve">주식분할결정              </t>
        </is>
      </c>
      <c r="F2195" s="3" t="inlineStr">
        <is>
          <t>케이아이엔엑스</t>
        </is>
      </c>
      <c r="G2195" s="2" t="inlineStr">
        <is>
          <t>20260311902302</t>
        </is>
      </c>
      <c r="H2195" s="8">
        <f>HYPERLINK("https://dart.fss.or.kr/dsaf001/main.do?rcpNo=20260311902302", "공시열람")</f>
        <v/>
      </c>
    </row>
    <row r="2196">
      <c r="A2196" s="2" t="inlineStr">
        <is>
          <t>2026-03-11</t>
        </is>
      </c>
      <c r="B2196" s="3" t="inlineStr">
        <is>
          <t>GST</t>
        </is>
      </c>
      <c r="C2196" s="2" t="inlineStr">
        <is>
          <t>코스닥</t>
        </is>
      </c>
      <c r="D2196" s="2" t="inlineStr">
        <is>
          <t>083450</t>
        </is>
      </c>
      <c r="E2196" s="3" t="inlineStr">
        <is>
          <t>주주총회소집공고</t>
        </is>
      </c>
      <c r="F2196" s="3" t="inlineStr">
        <is>
          <t>GST</t>
        </is>
      </c>
      <c r="G2196" s="2" t="inlineStr">
        <is>
          <t>20260311004447</t>
        </is>
      </c>
      <c r="H2196" s="8">
        <f>HYPERLINK("https://dart.fss.or.kr/dsaf001/main.do?rcpNo=20260311004447", "공시열람")</f>
        <v/>
      </c>
    </row>
    <row r="2197">
      <c r="A2197" s="2" t="inlineStr">
        <is>
          <t>2026-03-11 (정정: 2026-03-20)</t>
        </is>
      </c>
      <c r="B2197" s="3" t="inlineStr">
        <is>
          <t>선익시스템</t>
        </is>
      </c>
      <c r="C2197" s="2" t="inlineStr">
        <is>
          <t>코스닥</t>
        </is>
      </c>
      <c r="D2197" s="2" t="inlineStr">
        <is>
          <t>171090</t>
        </is>
      </c>
      <c r="E2197" s="3" t="inlineStr">
        <is>
          <t>주주총회소집공고 (정정: 20260311) (정정: 20260320)</t>
        </is>
      </c>
      <c r="F2197" s="3" t="inlineStr">
        <is>
          <t>선익시스템</t>
        </is>
      </c>
      <c r="G2197" s="2" t="inlineStr">
        <is>
          <t>20260320001139</t>
        </is>
      </c>
      <c r="H2197" s="8">
        <f>HYPERLINK("https://dart.fss.or.kr/dsaf001/main.do?rcpNo=20260320001139", "공시열람")</f>
        <v/>
      </c>
    </row>
    <row r="2198">
      <c r="A2198" s="2" t="inlineStr">
        <is>
          <t>2026-03-11</t>
        </is>
      </c>
      <c r="B2198" s="3" t="inlineStr">
        <is>
          <t>뉴인텍</t>
        </is>
      </c>
      <c r="C2198" s="2" t="inlineStr">
        <is>
          <t>코스닥</t>
        </is>
      </c>
      <c r="D2198" s="2" t="inlineStr">
        <is>
          <t>012340</t>
        </is>
      </c>
      <c r="E2198" s="3" t="inlineStr">
        <is>
          <t>주주총회소집공고</t>
        </is>
      </c>
      <c r="F2198" s="3" t="inlineStr">
        <is>
          <t>뉴인텍</t>
        </is>
      </c>
      <c r="G2198" s="2" t="inlineStr">
        <is>
          <t>20260311004438</t>
        </is>
      </c>
      <c r="H2198" s="8">
        <f>HYPERLINK("https://dart.fss.or.kr/dsaf001/main.do?rcpNo=20260311004438", "공시열람")</f>
        <v/>
      </c>
    </row>
    <row r="2199">
      <c r="A2199" s="2" t="inlineStr">
        <is>
          <t>2026-03-11</t>
        </is>
      </c>
      <c r="B2199" s="3" t="inlineStr">
        <is>
          <t>케이아이엔엑스</t>
        </is>
      </c>
      <c r="C2199" s="2" t="inlineStr">
        <is>
          <t>코스닥</t>
        </is>
      </c>
      <c r="D2199" s="2" t="inlineStr">
        <is>
          <t>093320</t>
        </is>
      </c>
      <c r="E2199" s="3" t="inlineStr">
        <is>
          <t>주주총회소집공고</t>
        </is>
      </c>
      <c r="F2199" s="3" t="inlineStr">
        <is>
          <t>케이아이엔엑스</t>
        </is>
      </c>
      <c r="G2199" s="2" t="inlineStr">
        <is>
          <t>20260311004436</t>
        </is>
      </c>
      <c r="H2199" s="8">
        <f>HYPERLINK("https://dart.fss.or.kr/dsaf001/main.do?rcpNo=20260311004436", "공시열람")</f>
        <v/>
      </c>
    </row>
    <row r="2200">
      <c r="A2200" s="2" t="inlineStr">
        <is>
          <t>2026-03-11</t>
        </is>
      </c>
      <c r="B2200" s="3" t="inlineStr">
        <is>
          <t>유니트론텍</t>
        </is>
      </c>
      <c r="C2200" s="2" t="inlineStr">
        <is>
          <t>코스닥</t>
        </is>
      </c>
      <c r="D2200" s="2" t="inlineStr">
        <is>
          <t>142210</t>
        </is>
      </c>
      <c r="E2200" s="3" t="inlineStr">
        <is>
          <t>주주총회소집공고</t>
        </is>
      </c>
      <c r="F2200" s="3" t="inlineStr">
        <is>
          <t>유니트론텍</t>
        </is>
      </c>
      <c r="G2200" s="2" t="inlineStr">
        <is>
          <t>20260311004435</t>
        </is>
      </c>
      <c r="H2200" s="8">
        <f>HYPERLINK("https://dart.fss.or.kr/dsaf001/main.do?rcpNo=20260311004435", "공시열람")</f>
        <v/>
      </c>
    </row>
    <row r="2201">
      <c r="A2201" s="2" t="inlineStr">
        <is>
          <t>2026-03-11</t>
        </is>
      </c>
      <c r="B2201" s="3" t="inlineStr">
        <is>
          <t>금호석유화학</t>
        </is>
      </c>
      <c r="C2201" s="2" t="inlineStr">
        <is>
          <t>코스피</t>
        </is>
      </c>
      <c r="D2201" s="2" t="inlineStr">
        <is>
          <t>011780</t>
        </is>
      </c>
      <c r="E2201" s="3" t="inlineStr">
        <is>
          <t xml:space="preserve">주주총회소집결의              </t>
        </is>
      </c>
      <c r="F2201" s="3" t="inlineStr">
        <is>
          <t>금호석유화학</t>
        </is>
      </c>
      <c r="G2201" s="2" t="inlineStr">
        <is>
          <t>20260311801934</t>
        </is>
      </c>
      <c r="H2201" s="8">
        <f>HYPERLINK("https://dart.fss.or.kr/dsaf001/main.do?rcpNo=20260311801934", "공시열람")</f>
        <v/>
      </c>
    </row>
    <row r="2202">
      <c r="A2202" s="2" t="inlineStr">
        <is>
          <t>2026-03-11</t>
        </is>
      </c>
      <c r="B2202" s="3" t="inlineStr">
        <is>
          <t>서울반도체</t>
        </is>
      </c>
      <c r="C2202" s="2" t="inlineStr">
        <is>
          <t>코스닥</t>
        </is>
      </c>
      <c r="D2202" s="2" t="inlineStr">
        <is>
          <t>046890</t>
        </is>
      </c>
      <c r="E2202" s="3" t="inlineStr">
        <is>
          <t xml:space="preserve">주주총회소집결의              </t>
        </is>
      </c>
      <c r="F2202" s="3" t="inlineStr">
        <is>
          <t>서울반도체</t>
        </is>
      </c>
      <c r="G2202" s="2" t="inlineStr">
        <is>
          <t>20260311902105</t>
        </is>
      </c>
      <c r="H2202" s="8">
        <f>HYPERLINK("https://dart.fss.or.kr/dsaf001/main.do?rcpNo=20260311902105", "공시열람")</f>
        <v/>
      </c>
    </row>
    <row r="2203">
      <c r="A2203" s="2" t="inlineStr">
        <is>
          <t>2026-03-11</t>
        </is>
      </c>
      <c r="B2203" s="3" t="inlineStr">
        <is>
          <t>시선AI</t>
        </is>
      </c>
      <c r="C2203" s="2" t="inlineStr">
        <is>
          <t>코스닥</t>
        </is>
      </c>
      <c r="D2203" s="2" t="inlineStr">
        <is>
          <t>340810</t>
        </is>
      </c>
      <c r="E2203" s="3" t="inlineStr">
        <is>
          <t>주주총회소집공고</t>
        </is>
      </c>
      <c r="F2203" s="3" t="inlineStr">
        <is>
          <t>시선AI</t>
        </is>
      </c>
      <c r="G2203" s="2" t="inlineStr">
        <is>
          <t>20260311004431</t>
        </is>
      </c>
      <c r="H2203" s="8">
        <f>HYPERLINK("https://dart.fss.or.kr/dsaf001/main.do?rcpNo=20260311004431", "공시열람")</f>
        <v/>
      </c>
    </row>
    <row r="2204">
      <c r="A2204" s="2" t="inlineStr">
        <is>
          <t>2026-03-11</t>
        </is>
      </c>
      <c r="B2204" s="3" t="inlineStr">
        <is>
          <t>GST</t>
        </is>
      </c>
      <c r="C2204" s="2" t="inlineStr">
        <is>
          <t>코스닥</t>
        </is>
      </c>
      <c r="D2204" s="2" t="inlineStr">
        <is>
          <t>083450</t>
        </is>
      </c>
      <c r="E2204" s="3" t="inlineStr">
        <is>
          <t xml:space="preserve">주주총회소집결의              </t>
        </is>
      </c>
      <c r="F2204" s="3" t="inlineStr">
        <is>
          <t>GST</t>
        </is>
      </c>
      <c r="G2204" s="2" t="inlineStr">
        <is>
          <t>20260311901971</t>
        </is>
      </c>
      <c r="H2204" s="8">
        <f>HYPERLINK("https://dart.fss.or.kr/dsaf001/main.do?rcpNo=20260311901971", "공시열람")</f>
        <v/>
      </c>
    </row>
    <row r="2205">
      <c r="A2205" s="2" t="inlineStr">
        <is>
          <t>2026-03-11</t>
        </is>
      </c>
      <c r="B2205" s="3" t="inlineStr">
        <is>
          <t>유성티엔에스</t>
        </is>
      </c>
      <c r="C2205" s="2" t="inlineStr">
        <is>
          <t>코스닥</t>
        </is>
      </c>
      <c r="D2205" s="2" t="inlineStr">
        <is>
          <t>024800</t>
        </is>
      </c>
      <c r="E2205" s="3" t="inlineStr">
        <is>
          <t xml:space="preserve">주주총회소집결의              </t>
        </is>
      </c>
      <c r="F2205" s="3" t="inlineStr">
        <is>
          <t>유성티엔에스</t>
        </is>
      </c>
      <c r="G2205" s="2" t="inlineStr">
        <is>
          <t>20260311901926</t>
        </is>
      </c>
      <c r="H2205" s="8">
        <f>HYPERLINK("https://dart.fss.or.kr/dsaf001/main.do?rcpNo=20260311901926", "공시열람")</f>
        <v/>
      </c>
    </row>
    <row r="2206">
      <c r="A2206" s="2" t="inlineStr">
        <is>
          <t>2026-03-11</t>
        </is>
      </c>
      <c r="B2206" s="3" t="inlineStr">
        <is>
          <t>PKC</t>
        </is>
      </c>
      <c r="C2206" s="2" t="inlineStr">
        <is>
          <t>코스피</t>
        </is>
      </c>
      <c r="D2206" s="2" t="inlineStr">
        <is>
          <t>001340</t>
        </is>
      </c>
      <c r="E2206" s="3" t="inlineStr">
        <is>
          <t>주주총회소집공고</t>
        </is>
      </c>
      <c r="F2206" s="3" t="inlineStr">
        <is>
          <t>PKC</t>
        </is>
      </c>
      <c r="G2206" s="2" t="inlineStr">
        <is>
          <t>20260311004429</t>
        </is>
      </c>
      <c r="H2206" s="8">
        <f>HYPERLINK("https://dart.fss.or.kr/dsaf001/main.do?rcpNo=20260311004429", "공시열람")</f>
        <v/>
      </c>
    </row>
    <row r="2207">
      <c r="A2207" s="2" t="inlineStr">
        <is>
          <t>2026-03-11</t>
        </is>
      </c>
      <c r="B2207" s="3" t="inlineStr">
        <is>
          <t>뉴인텍</t>
        </is>
      </c>
      <c r="C2207" s="2" t="inlineStr">
        <is>
          <t>코스닥</t>
        </is>
      </c>
      <c r="D2207" s="2" t="inlineStr">
        <is>
          <t>012340</t>
        </is>
      </c>
      <c r="E2207" s="3" t="inlineStr">
        <is>
          <t xml:space="preserve">주주총회소집결의              </t>
        </is>
      </c>
      <c r="F2207" s="3" t="inlineStr">
        <is>
          <t>뉴인텍</t>
        </is>
      </c>
      <c r="G2207" s="2" t="inlineStr">
        <is>
          <t>20260311902211</t>
        </is>
      </c>
      <c r="H2207" s="8">
        <f>HYPERLINK("https://dart.fss.or.kr/dsaf001/main.do?rcpNo=20260311902211", "공시열람")</f>
        <v/>
      </c>
    </row>
    <row r="2208">
      <c r="A2208" s="2" t="inlineStr">
        <is>
          <t>2026-03-11</t>
        </is>
      </c>
      <c r="B2208" s="3" t="inlineStr">
        <is>
          <t>스튜디오드래곤</t>
        </is>
      </c>
      <c r="C2208" s="2" t="inlineStr">
        <is>
          <t>코스닥</t>
        </is>
      </c>
      <c r="D2208" s="2" t="inlineStr">
        <is>
          <t>253450</t>
        </is>
      </c>
      <c r="E2208" s="3" t="inlineStr">
        <is>
          <t>주주총회소집공고</t>
        </is>
      </c>
      <c r="F2208" s="3" t="inlineStr">
        <is>
          <t>스튜디오드래곤</t>
        </is>
      </c>
      <c r="G2208" s="2" t="inlineStr">
        <is>
          <t>20260311004426</t>
        </is>
      </c>
      <c r="H2208" s="8">
        <f>HYPERLINK("https://dart.fss.or.kr/dsaf001/main.do?rcpNo=20260311004426", "공시열람")</f>
        <v/>
      </c>
    </row>
    <row r="2209">
      <c r="A2209" s="2" t="inlineStr">
        <is>
          <t>2026-03-11 (정정: 2026-03-11)</t>
        </is>
      </c>
      <c r="B2209" s="3" t="inlineStr">
        <is>
          <t>나우로보틱스</t>
        </is>
      </c>
      <c r="C2209" s="2" t="inlineStr">
        <is>
          <t>코스닥</t>
        </is>
      </c>
      <c r="D2209" s="2" t="inlineStr">
        <is>
          <t>459510</t>
        </is>
      </c>
      <c r="E2209" s="3" t="inlineStr">
        <is>
          <t>주주총회소집공고 (정정: 20260311)</t>
        </is>
      </c>
      <c r="F2209" s="3" t="inlineStr">
        <is>
          <t>나우로보틱스</t>
        </is>
      </c>
      <c r="G2209" s="2" t="inlineStr">
        <is>
          <t>20260311901494</t>
        </is>
      </c>
      <c r="H2209" s="8">
        <f>HYPERLINK("https://dart.fss.or.kr/dsaf001/main.do?rcpNo=20260311901494", "공시열람")</f>
        <v/>
      </c>
    </row>
    <row r="2210">
      <c r="A2210" s="2" t="inlineStr">
        <is>
          <t>2026-03-11</t>
        </is>
      </c>
      <c r="B2210" s="3" t="inlineStr">
        <is>
          <t>케이아이엔엑스</t>
        </is>
      </c>
      <c r="C2210" s="2" t="inlineStr">
        <is>
          <t>코스닥</t>
        </is>
      </c>
      <c r="D2210" s="2" t="inlineStr">
        <is>
          <t>093320</t>
        </is>
      </c>
      <c r="E2210" s="3" t="inlineStr">
        <is>
          <t xml:space="preserve">주주총회소집결의              </t>
        </is>
      </c>
      <c r="F2210" s="3" t="inlineStr">
        <is>
          <t>케이아이엔엑스</t>
        </is>
      </c>
      <c r="G2210" s="2" t="inlineStr">
        <is>
          <t>20260311902019</t>
        </is>
      </c>
      <c r="H2210" s="8">
        <f>HYPERLINK("https://dart.fss.or.kr/dsaf001/main.do?rcpNo=20260311902019", "공시열람")</f>
        <v/>
      </c>
    </row>
    <row r="2211">
      <c r="A2211" s="2" t="inlineStr">
        <is>
          <t>2026-03-11</t>
        </is>
      </c>
      <c r="B2211" s="3" t="inlineStr">
        <is>
          <t>PKC</t>
        </is>
      </c>
      <c r="C2211" s="2" t="inlineStr">
        <is>
          <t>코스피</t>
        </is>
      </c>
      <c r="D2211" s="2" t="inlineStr">
        <is>
          <t>001340</t>
        </is>
      </c>
      <c r="E2211" s="3" t="inlineStr">
        <is>
          <t xml:space="preserve">주주총회소집결의              </t>
        </is>
      </c>
      <c r="F2211" s="3" t="inlineStr">
        <is>
          <t>PKC</t>
        </is>
      </c>
      <c r="G2211" s="2" t="inlineStr">
        <is>
          <t>20260311801919</t>
        </is>
      </c>
      <c r="H2211" s="8">
        <f>HYPERLINK("https://dart.fss.or.kr/dsaf001/main.do?rcpNo=20260311801919", "공시열람")</f>
        <v/>
      </c>
    </row>
    <row r="2212">
      <c r="A2212" s="2" t="inlineStr">
        <is>
          <t>2026-03-11</t>
        </is>
      </c>
      <c r="B2212" s="3" t="inlineStr">
        <is>
          <t>노바텍</t>
        </is>
      </c>
      <c r="C2212" s="2" t="inlineStr">
        <is>
          <t>코스닥</t>
        </is>
      </c>
      <c r="D2212" s="2" t="inlineStr">
        <is>
          <t>285490</t>
        </is>
      </c>
      <c r="E2212" s="3" t="inlineStr">
        <is>
          <t xml:space="preserve">주주총회소집결의              </t>
        </is>
      </c>
      <c r="F2212" s="3" t="inlineStr">
        <is>
          <t>노바텍</t>
        </is>
      </c>
      <c r="G2212" s="2" t="inlineStr">
        <is>
          <t>20260311902115</t>
        </is>
      </c>
      <c r="H2212" s="8">
        <f>HYPERLINK("https://dart.fss.or.kr/dsaf001/main.do?rcpNo=20260311902115", "공시열람")</f>
        <v/>
      </c>
    </row>
    <row r="2213">
      <c r="A2213" s="2" t="inlineStr">
        <is>
          <t>2026-03-11</t>
        </is>
      </c>
      <c r="B2213" s="3" t="inlineStr">
        <is>
          <t>탑코미디어</t>
        </is>
      </c>
      <c r="C2213" s="2" t="inlineStr">
        <is>
          <t>코스닥</t>
        </is>
      </c>
      <c r="D2213" s="2" t="inlineStr">
        <is>
          <t>134580</t>
        </is>
      </c>
      <c r="E2213" s="3" t="inlineStr">
        <is>
          <t>주주총회소집공고</t>
        </is>
      </c>
      <c r="F2213" s="3" t="inlineStr">
        <is>
          <t>탑코미디어</t>
        </is>
      </c>
      <c r="G2213" s="2" t="inlineStr">
        <is>
          <t>20260311004421</t>
        </is>
      </c>
      <c r="H2213" s="8">
        <f>HYPERLINK("https://dart.fss.or.kr/dsaf001/main.do?rcpNo=20260311004421", "공시열람")</f>
        <v/>
      </c>
    </row>
    <row r="2214">
      <c r="A2214" s="2" t="inlineStr">
        <is>
          <t>2026-03-11</t>
        </is>
      </c>
      <c r="B2214" s="3" t="inlineStr">
        <is>
          <t>영우디에스피</t>
        </is>
      </c>
      <c r="C2214" s="2" t="inlineStr">
        <is>
          <t>코스닥</t>
        </is>
      </c>
      <c r="D2214" s="2" t="inlineStr">
        <is>
          <t>143540</t>
        </is>
      </c>
      <c r="E2214" s="3" t="inlineStr">
        <is>
          <t>주주총회소집공고</t>
        </is>
      </c>
      <c r="F2214" s="3" t="inlineStr">
        <is>
          <t>영우디에스피</t>
        </is>
      </c>
      <c r="G2214" s="2" t="inlineStr">
        <is>
          <t>20260311004420</t>
        </is>
      </c>
      <c r="H2214" s="8">
        <f>HYPERLINK("https://dart.fss.or.kr/dsaf001/main.do?rcpNo=20260311004420", "공시열람")</f>
        <v/>
      </c>
    </row>
    <row r="2215">
      <c r="A2215" s="2" t="inlineStr">
        <is>
          <t>2026-03-11</t>
        </is>
      </c>
      <c r="B2215" s="3" t="inlineStr">
        <is>
          <t>푸른저축은행</t>
        </is>
      </c>
      <c r="C2215" s="2" t="inlineStr">
        <is>
          <t>코스닥</t>
        </is>
      </c>
      <c r="D2215" s="2" t="inlineStr">
        <is>
          <t>007330</t>
        </is>
      </c>
      <c r="E2215" s="3" t="inlineStr">
        <is>
          <t>주주총회소집공고</t>
        </is>
      </c>
      <c r="F2215" s="3" t="inlineStr">
        <is>
          <t>푸른저축은행</t>
        </is>
      </c>
      <c r="G2215" s="2" t="inlineStr">
        <is>
          <t>20260311004419</t>
        </is>
      </c>
      <c r="H2215" s="8">
        <f>HYPERLINK("https://dart.fss.or.kr/dsaf001/main.do?rcpNo=20260311004419", "공시열람")</f>
        <v/>
      </c>
    </row>
    <row r="2216">
      <c r="A2216" s="2" t="inlineStr">
        <is>
          <t>2026-03-11</t>
        </is>
      </c>
      <c r="B2216" s="3" t="inlineStr">
        <is>
          <t>태웅로직스</t>
        </is>
      </c>
      <c r="C2216" s="2" t="inlineStr">
        <is>
          <t>코스닥</t>
        </is>
      </c>
      <c r="D2216" s="2" t="inlineStr">
        <is>
          <t>124560</t>
        </is>
      </c>
      <c r="E2216" s="3" t="inlineStr">
        <is>
          <t>주주총회소집공고</t>
        </is>
      </c>
      <c r="F2216" s="3" t="inlineStr">
        <is>
          <t>태웅로직스</t>
        </is>
      </c>
      <c r="G2216" s="2" t="inlineStr">
        <is>
          <t>20260311004415</t>
        </is>
      </c>
      <c r="H2216" s="8">
        <f>HYPERLINK("https://dart.fss.or.kr/dsaf001/main.do?rcpNo=20260311004415", "공시열람")</f>
        <v/>
      </c>
    </row>
    <row r="2217">
      <c r="A2217" s="2" t="inlineStr">
        <is>
          <t>2026-03-11</t>
        </is>
      </c>
      <c r="B2217" s="3" t="inlineStr">
        <is>
          <t>기가레인</t>
        </is>
      </c>
      <c r="C2217" s="2" t="inlineStr">
        <is>
          <t>코스닥</t>
        </is>
      </c>
      <c r="D2217" s="2" t="inlineStr">
        <is>
          <t>049080</t>
        </is>
      </c>
      <c r="E2217" s="3" t="inlineStr">
        <is>
          <t>주주총회소집공고</t>
        </is>
      </c>
      <c r="F2217" s="3" t="inlineStr">
        <is>
          <t>기가레인</t>
        </is>
      </c>
      <c r="G2217" s="2" t="inlineStr">
        <is>
          <t>20260311004414</t>
        </is>
      </c>
      <c r="H2217" s="8">
        <f>HYPERLINK("https://dart.fss.or.kr/dsaf001/main.do?rcpNo=20260311004414", "공시열람")</f>
        <v/>
      </c>
    </row>
    <row r="2218">
      <c r="A2218" s="2" t="inlineStr">
        <is>
          <t>2026-03-11</t>
        </is>
      </c>
      <c r="B2218" s="3" t="inlineStr">
        <is>
          <t>한양증권</t>
        </is>
      </c>
      <c r="C2218" s="2" t="inlineStr">
        <is>
          <t>코스피</t>
        </is>
      </c>
      <c r="D2218" s="2" t="inlineStr">
        <is>
          <t>001750</t>
        </is>
      </c>
      <c r="E2218" s="3" t="inlineStr">
        <is>
          <t>주주총회소집공고</t>
        </is>
      </c>
      <c r="F2218" s="3" t="inlineStr">
        <is>
          <t>한양증권</t>
        </is>
      </c>
      <c r="G2218" s="2" t="inlineStr">
        <is>
          <t>20260311004413</t>
        </is>
      </c>
      <c r="H2218" s="8">
        <f>HYPERLINK("https://dart.fss.or.kr/dsaf001/main.do?rcpNo=20260311004413", "공시열람")</f>
        <v/>
      </c>
    </row>
    <row r="2219">
      <c r="A2219" s="2" t="inlineStr">
        <is>
          <t>2026-03-11</t>
        </is>
      </c>
      <c r="B2219" s="3" t="inlineStr">
        <is>
          <t>아이에스동서</t>
        </is>
      </c>
      <c r="C2219" s="2" t="inlineStr">
        <is>
          <t>코스피</t>
        </is>
      </c>
      <c r="D2219" s="2" t="inlineStr">
        <is>
          <t>010780</t>
        </is>
      </c>
      <c r="E2219" s="3" t="inlineStr">
        <is>
          <t>주주총회소집공고</t>
        </is>
      </c>
      <c r="F2219" s="3" t="inlineStr">
        <is>
          <t>아이에스동서</t>
        </is>
      </c>
      <c r="G2219" s="2" t="inlineStr">
        <is>
          <t>20260311004411</t>
        </is>
      </c>
      <c r="H2219" s="8">
        <f>HYPERLINK("https://dart.fss.or.kr/dsaf001/main.do?rcpNo=20260311004411", "공시열람")</f>
        <v/>
      </c>
    </row>
    <row r="2220">
      <c r="A2220" s="2" t="inlineStr">
        <is>
          <t>2026-03-11</t>
        </is>
      </c>
      <c r="B2220" s="3" t="inlineStr">
        <is>
          <t>더블유게임즈</t>
        </is>
      </c>
      <c r="C2220" s="2" t="inlineStr">
        <is>
          <t>코스피</t>
        </is>
      </c>
      <c r="D2220" s="2" t="inlineStr">
        <is>
          <t>192080</t>
        </is>
      </c>
      <c r="E2220" s="3" t="inlineStr">
        <is>
          <t>주주총회소집공고</t>
        </is>
      </c>
      <c r="F2220" s="3" t="inlineStr">
        <is>
          <t>더블유게임즈</t>
        </is>
      </c>
      <c r="G2220" s="2" t="inlineStr">
        <is>
          <t>20260311004409</t>
        </is>
      </c>
      <c r="H2220" s="8">
        <f>HYPERLINK("https://dart.fss.or.kr/dsaf001/main.do?rcpNo=20260311004409", "공시열람")</f>
        <v/>
      </c>
    </row>
    <row r="2221">
      <c r="A2221" s="2" t="inlineStr">
        <is>
          <t>2026-03-11</t>
        </is>
      </c>
      <c r="B2221" s="3" t="inlineStr">
        <is>
          <t>한양증권</t>
        </is>
      </c>
      <c r="C2221" s="2" t="inlineStr">
        <is>
          <t>코스피</t>
        </is>
      </c>
      <c r="D2221" s="2" t="inlineStr">
        <is>
          <t>001750</t>
        </is>
      </c>
      <c r="E2221" s="3" t="inlineStr">
        <is>
          <t xml:space="preserve">주주총회소집결의              </t>
        </is>
      </c>
      <c r="F2221" s="3" t="inlineStr">
        <is>
          <t>한양증권</t>
        </is>
      </c>
      <c r="G2221" s="2" t="inlineStr">
        <is>
          <t>20260311801899</t>
        </is>
      </c>
      <c r="H2221" s="8">
        <f>HYPERLINK("https://dart.fss.or.kr/dsaf001/main.do?rcpNo=20260311801899", "공시열람")</f>
        <v/>
      </c>
    </row>
    <row r="2222">
      <c r="A2222" s="2" t="inlineStr">
        <is>
          <t>2026-03-11</t>
        </is>
      </c>
      <c r="B2222" s="3" t="inlineStr">
        <is>
          <t>네오크레마</t>
        </is>
      </c>
      <c r="C2222" s="2" t="inlineStr">
        <is>
          <t>코스닥</t>
        </is>
      </c>
      <c r="D2222" s="2" t="inlineStr">
        <is>
          <t>311390</t>
        </is>
      </c>
      <c r="E2222" s="3" t="inlineStr">
        <is>
          <t>주주총회소집공고</t>
        </is>
      </c>
      <c r="F2222" s="3" t="inlineStr">
        <is>
          <t>네오크레마</t>
        </is>
      </c>
      <c r="G2222" s="2" t="inlineStr">
        <is>
          <t>20260311004407</t>
        </is>
      </c>
      <c r="H2222" s="8">
        <f>HYPERLINK("https://dart.fss.or.kr/dsaf001/main.do?rcpNo=20260311004407", "공시열람")</f>
        <v/>
      </c>
    </row>
    <row r="2223">
      <c r="A2223" s="2" t="inlineStr">
        <is>
          <t>2026-03-11</t>
        </is>
      </c>
      <c r="B2223" s="3" t="inlineStr">
        <is>
          <t>서연</t>
        </is>
      </c>
      <c r="C2223" s="2" t="inlineStr">
        <is>
          <t>코스피</t>
        </is>
      </c>
      <c r="D2223" s="2" t="inlineStr">
        <is>
          <t>007860</t>
        </is>
      </c>
      <c r="E2223" s="3" t="inlineStr">
        <is>
          <t>주주총회소집공고</t>
        </is>
      </c>
      <c r="F2223" s="3" t="inlineStr">
        <is>
          <t>서연</t>
        </is>
      </c>
      <c r="G2223" s="2" t="inlineStr">
        <is>
          <t>20260311004406</t>
        </is>
      </c>
      <c r="H2223" s="8">
        <f>HYPERLINK("https://dart.fss.or.kr/dsaf001/main.do?rcpNo=20260311004406", "공시열람")</f>
        <v/>
      </c>
    </row>
    <row r="2224">
      <c r="A2224" s="2" t="inlineStr">
        <is>
          <t>2026-03-11</t>
        </is>
      </c>
      <c r="B2224" s="3" t="inlineStr">
        <is>
          <t>가비아</t>
        </is>
      </c>
      <c r="C2224" s="2" t="inlineStr">
        <is>
          <t>코스닥</t>
        </is>
      </c>
      <c r="D2224" s="2" t="inlineStr">
        <is>
          <t>079940</t>
        </is>
      </c>
      <c r="E2224" s="3" t="inlineStr">
        <is>
          <t>주주총회소집공고</t>
        </is>
      </c>
      <c r="F2224" s="3" t="inlineStr">
        <is>
          <t>가비아</t>
        </is>
      </c>
      <c r="G2224" s="2" t="inlineStr">
        <is>
          <t>20260311004404</t>
        </is>
      </c>
      <c r="H2224" s="8">
        <f>HYPERLINK("https://dart.fss.or.kr/dsaf001/main.do?rcpNo=20260311004404", "공시열람")</f>
        <v/>
      </c>
    </row>
    <row r="2225">
      <c r="A2225" s="2" t="inlineStr">
        <is>
          <t>2026-03-11</t>
        </is>
      </c>
      <c r="B2225" s="3" t="inlineStr">
        <is>
          <t>에스피소프트</t>
        </is>
      </c>
      <c r="C2225" s="2" t="inlineStr">
        <is>
          <t>코스닥</t>
        </is>
      </c>
      <c r="D2225" s="2" t="inlineStr">
        <is>
          <t>443670</t>
        </is>
      </c>
      <c r="E2225" s="3" t="inlineStr">
        <is>
          <t>주주총회소집공고</t>
        </is>
      </c>
      <c r="F2225" s="3" t="inlineStr">
        <is>
          <t>에스피소프트</t>
        </is>
      </c>
      <c r="G2225" s="2" t="inlineStr">
        <is>
          <t>20260311004403</t>
        </is>
      </c>
      <c r="H2225" s="8">
        <f>HYPERLINK("https://dart.fss.or.kr/dsaf001/main.do?rcpNo=20260311004403", "공시열람")</f>
        <v/>
      </c>
    </row>
    <row r="2226">
      <c r="A2226" s="2" t="inlineStr">
        <is>
          <t>2026-03-11</t>
        </is>
      </c>
      <c r="B2226" s="3" t="inlineStr">
        <is>
          <t>탑코미디어</t>
        </is>
      </c>
      <c r="C2226" s="2" t="inlineStr">
        <is>
          <t>코스닥</t>
        </is>
      </c>
      <c r="D2226" s="2" t="inlineStr">
        <is>
          <t>134580</t>
        </is>
      </c>
      <c r="E2226" s="3" t="inlineStr">
        <is>
          <t xml:space="preserve">주주총회소집결의              </t>
        </is>
      </c>
      <c r="F2226" s="3" t="inlineStr">
        <is>
          <t>탑코미디어</t>
        </is>
      </c>
      <c r="G2226" s="2" t="inlineStr">
        <is>
          <t>20260311902119</t>
        </is>
      </c>
      <c r="H2226" s="8">
        <f>HYPERLINK("https://dart.fss.or.kr/dsaf001/main.do?rcpNo=20260311902119", "공시열람")</f>
        <v/>
      </c>
    </row>
    <row r="2227">
      <c r="A2227" s="2" t="inlineStr">
        <is>
          <t>2026-03-11</t>
        </is>
      </c>
      <c r="B2227" s="3" t="inlineStr">
        <is>
          <t>KT밀리의서재</t>
        </is>
      </c>
      <c r="C2227" s="2" t="inlineStr">
        <is>
          <t>코스닥</t>
        </is>
      </c>
      <c r="D2227" s="2" t="inlineStr">
        <is>
          <t>418470</t>
        </is>
      </c>
      <c r="E2227" s="3" t="inlineStr">
        <is>
          <t xml:space="preserve">주주총회소집결의              </t>
        </is>
      </c>
      <c r="F2227" s="3" t="inlineStr">
        <is>
          <t>KT밀리의서재</t>
        </is>
      </c>
      <c r="G2227" s="2" t="inlineStr">
        <is>
          <t>20260311902017</t>
        </is>
      </c>
      <c r="H2227" s="8">
        <f>HYPERLINK("https://dart.fss.or.kr/dsaf001/main.do?rcpNo=20260311902017", "공시열람")</f>
        <v/>
      </c>
    </row>
    <row r="2228">
      <c r="A2228" s="2" t="inlineStr">
        <is>
          <t>2026-03-11 (정정: 2026-03-18)</t>
        </is>
      </c>
      <c r="B2228" s="3" t="inlineStr">
        <is>
          <t>플레이그램</t>
        </is>
      </c>
      <c r="C2228" s="2" t="inlineStr">
        <is>
          <t>코스피</t>
        </is>
      </c>
      <c r="D2228" s="2" t="inlineStr">
        <is>
          <t>009810</t>
        </is>
      </c>
      <c r="E2228" s="3" t="inlineStr">
        <is>
          <t>주주총회소집공고 (정정: 20260318)</t>
        </is>
      </c>
      <c r="F2228" s="3" t="inlineStr">
        <is>
          <t>플레이그램</t>
        </is>
      </c>
      <c r="G2228" s="2" t="inlineStr">
        <is>
          <t>20260318000803</t>
        </is>
      </c>
      <c r="H2228" s="8">
        <f>HYPERLINK("https://dart.fss.or.kr/dsaf001/main.do?rcpNo=20260318000803", "공시열람")</f>
        <v/>
      </c>
    </row>
    <row r="2229">
      <c r="A2229" s="2" t="inlineStr">
        <is>
          <t>2026-03-11</t>
        </is>
      </c>
      <c r="B2229" s="3" t="inlineStr">
        <is>
          <t>크라운해태홀딩스</t>
        </is>
      </c>
      <c r="C2229" s="2" t="inlineStr">
        <is>
          <t>코스피</t>
        </is>
      </c>
      <c r="D2229" s="2" t="inlineStr">
        <is>
          <t>005740</t>
        </is>
      </c>
      <c r="E2229" s="3" t="inlineStr">
        <is>
          <t>주주총회소집공고</t>
        </is>
      </c>
      <c r="F2229" s="3" t="inlineStr">
        <is>
          <t>크라운해태홀딩스</t>
        </is>
      </c>
      <c r="G2229" s="2" t="inlineStr">
        <is>
          <t>20260311004392</t>
        </is>
      </c>
      <c r="H2229" s="8">
        <f>HYPERLINK("https://dart.fss.or.kr/dsaf001/main.do?rcpNo=20260311004392", "공시열람")</f>
        <v/>
      </c>
    </row>
    <row r="2230">
      <c r="A2230" s="2" t="inlineStr">
        <is>
          <t>2026-03-11 (정정: 2026-03-11)</t>
        </is>
      </c>
      <c r="B2230" s="3" t="inlineStr">
        <is>
          <t>서연</t>
        </is>
      </c>
      <c r="C2230" s="2" t="inlineStr">
        <is>
          <t>코스피</t>
        </is>
      </c>
      <c r="D2230" s="2" t="inlineStr">
        <is>
          <t>007860</t>
        </is>
      </c>
      <c r="E2230" s="3" t="inlineStr">
        <is>
          <t>주주총회소집결의               (정정: 20260311)</t>
        </is>
      </c>
      <c r="F2230" s="3" t="inlineStr">
        <is>
          <t>서연</t>
        </is>
      </c>
      <c r="G2230" s="2" t="inlineStr">
        <is>
          <t>20260311801754</t>
        </is>
      </c>
      <c r="H2230" s="8">
        <f>HYPERLINK("https://dart.fss.or.kr/dsaf001/main.do?rcpNo=20260311801754", "공시열람")</f>
        <v/>
      </c>
    </row>
    <row r="2231">
      <c r="A2231" s="2" t="inlineStr">
        <is>
          <t>2026-03-11</t>
        </is>
      </c>
      <c r="B2231" s="3" t="inlineStr">
        <is>
          <t>티움바이오</t>
        </is>
      </c>
      <c r="C2231" s="2" t="inlineStr">
        <is>
          <t>코스닥</t>
        </is>
      </c>
      <c r="D2231" s="2" t="inlineStr">
        <is>
          <t>321550</t>
        </is>
      </c>
      <c r="E2231" s="3" t="inlineStr">
        <is>
          <t>주주총회소집공고</t>
        </is>
      </c>
      <c r="F2231" s="3" t="inlineStr">
        <is>
          <t>티움바이오</t>
        </is>
      </c>
      <c r="G2231" s="2" t="inlineStr">
        <is>
          <t>20260311004386</t>
        </is>
      </c>
      <c r="H2231" s="8">
        <f>HYPERLINK("https://dart.fss.or.kr/dsaf001/main.do?rcpNo=20260311004386", "공시열람")</f>
        <v/>
      </c>
    </row>
    <row r="2232">
      <c r="A2232" s="2" t="inlineStr">
        <is>
          <t>2026-03-11</t>
        </is>
      </c>
      <c r="B2232" s="3" t="inlineStr">
        <is>
          <t>더블유게임즈</t>
        </is>
      </c>
      <c r="C2232" s="2" t="inlineStr">
        <is>
          <t>코스피</t>
        </is>
      </c>
      <c r="D2232" s="2" t="inlineStr">
        <is>
          <t>192080</t>
        </is>
      </c>
      <c r="E2232" s="3" t="inlineStr">
        <is>
          <t xml:space="preserve">주주총회소집결의              </t>
        </is>
      </c>
      <c r="F2232" s="3" t="inlineStr">
        <is>
          <t>더블유게임즈</t>
        </is>
      </c>
      <c r="G2232" s="2" t="inlineStr">
        <is>
          <t>20260311802012</t>
        </is>
      </c>
      <c r="H2232" s="8">
        <f>HYPERLINK("https://dart.fss.or.kr/dsaf001/main.do?rcpNo=20260311802012", "공시열람")</f>
        <v/>
      </c>
    </row>
    <row r="2233">
      <c r="A2233" s="2" t="inlineStr">
        <is>
          <t>2026-03-11</t>
        </is>
      </c>
      <c r="B2233" s="3" t="inlineStr">
        <is>
          <t>우리넷</t>
        </is>
      </c>
      <c r="C2233" s="2" t="inlineStr">
        <is>
          <t>코스닥</t>
        </is>
      </c>
      <c r="D2233" s="2" t="inlineStr">
        <is>
          <t>115440</t>
        </is>
      </c>
      <c r="E2233" s="3" t="inlineStr">
        <is>
          <t xml:space="preserve">주주총회소집결의              </t>
        </is>
      </c>
      <c r="F2233" s="3" t="inlineStr">
        <is>
          <t>우리넷</t>
        </is>
      </c>
      <c r="G2233" s="2" t="inlineStr">
        <is>
          <t>20260311901901</t>
        </is>
      </c>
      <c r="H2233" s="8">
        <f>HYPERLINK("https://dart.fss.or.kr/dsaf001/main.do?rcpNo=20260311901901", "공시열람")</f>
        <v/>
      </c>
    </row>
    <row r="2234">
      <c r="A2234" s="2" t="inlineStr">
        <is>
          <t>2026-03-11</t>
        </is>
      </c>
      <c r="B2234" s="3" t="inlineStr">
        <is>
          <t>대봉엘에스</t>
        </is>
      </c>
      <c r="C2234" s="2" t="inlineStr">
        <is>
          <t>코스닥</t>
        </is>
      </c>
      <c r="D2234" s="2" t="inlineStr">
        <is>
          <t>078140</t>
        </is>
      </c>
      <c r="E2234" s="3" t="inlineStr">
        <is>
          <t xml:space="preserve">주주총회소집결의              </t>
        </is>
      </c>
      <c r="F2234" s="3" t="inlineStr">
        <is>
          <t>대봉엘에스</t>
        </is>
      </c>
      <c r="G2234" s="2" t="inlineStr">
        <is>
          <t>20260311902080</t>
        </is>
      </c>
      <c r="H2234" s="8">
        <f>HYPERLINK("https://dart.fss.or.kr/dsaf001/main.do?rcpNo=20260311902080", "공시열람")</f>
        <v/>
      </c>
    </row>
    <row r="2235">
      <c r="A2235" s="2" t="inlineStr">
        <is>
          <t>2026-03-11</t>
        </is>
      </c>
      <c r="B2235" s="3" t="inlineStr">
        <is>
          <t>네오크레마</t>
        </is>
      </c>
      <c r="C2235" s="2" t="inlineStr">
        <is>
          <t>코스닥</t>
        </is>
      </c>
      <c r="D2235" s="2" t="inlineStr">
        <is>
          <t>311390</t>
        </is>
      </c>
      <c r="E2235" s="3" t="inlineStr">
        <is>
          <t xml:space="preserve">주주총회소집결의              </t>
        </is>
      </c>
      <c r="F2235" s="3" t="inlineStr">
        <is>
          <t>네오크레마</t>
        </is>
      </c>
      <c r="G2235" s="2" t="inlineStr">
        <is>
          <t>20260311902024</t>
        </is>
      </c>
      <c r="H2235" s="8">
        <f>HYPERLINK("https://dart.fss.or.kr/dsaf001/main.do?rcpNo=20260311902024", "공시열람")</f>
        <v/>
      </c>
    </row>
    <row r="2236">
      <c r="A2236" s="2" t="inlineStr">
        <is>
          <t>2026-03-11</t>
        </is>
      </c>
      <c r="B2236" s="3" t="inlineStr">
        <is>
          <t>아이티센엔텍</t>
        </is>
      </c>
      <c r="C2236" s="2" t="inlineStr">
        <is>
          <t>코스닥</t>
        </is>
      </c>
      <c r="D2236" s="2" t="inlineStr">
        <is>
          <t>010280</t>
        </is>
      </c>
      <c r="E2236" s="3" t="inlineStr">
        <is>
          <t>주주총회소집공고</t>
        </is>
      </c>
      <c r="F2236" s="3" t="inlineStr">
        <is>
          <t>아이티센엔텍</t>
        </is>
      </c>
      <c r="G2236" s="2" t="inlineStr">
        <is>
          <t>20260311004377</t>
        </is>
      </c>
      <c r="H2236" s="8">
        <f>HYPERLINK("https://dart.fss.or.kr/dsaf001/main.do?rcpNo=20260311004377", "공시열람")</f>
        <v/>
      </c>
    </row>
    <row r="2237">
      <c r="A2237" s="2" t="inlineStr">
        <is>
          <t>2026-03-11</t>
        </is>
      </c>
      <c r="B2237" s="3" t="inlineStr">
        <is>
          <t>금강철강</t>
        </is>
      </c>
      <c r="C2237" s="2" t="inlineStr">
        <is>
          <t>코스닥</t>
        </is>
      </c>
      <c r="D2237" s="2" t="inlineStr">
        <is>
          <t>053260</t>
        </is>
      </c>
      <c r="E2237" s="3" t="inlineStr">
        <is>
          <t>주주총회소집공고</t>
        </is>
      </c>
      <c r="F2237" s="3" t="inlineStr">
        <is>
          <t>금강철강</t>
        </is>
      </c>
      <c r="G2237" s="2" t="inlineStr">
        <is>
          <t>20260311004376</t>
        </is>
      </c>
      <c r="H2237" s="8">
        <f>HYPERLINK("https://dart.fss.or.kr/dsaf001/main.do?rcpNo=20260311004376", "공시열람")</f>
        <v/>
      </c>
    </row>
    <row r="2238">
      <c r="A2238" s="2" t="inlineStr">
        <is>
          <t>2026-03-11 (정정: 2026-03-12)</t>
        </is>
      </c>
      <c r="B2238" s="3" t="inlineStr">
        <is>
          <t>태원물산</t>
        </is>
      </c>
      <c r="C2238" s="2" t="inlineStr">
        <is>
          <t>코스피</t>
        </is>
      </c>
      <c r="D2238" s="2" t="inlineStr">
        <is>
          <t>001420</t>
        </is>
      </c>
      <c r="E2238" s="3" t="inlineStr">
        <is>
          <t>주주총회소집결의               (정정: 20260312)</t>
        </is>
      </c>
      <c r="F2238" s="3" t="inlineStr">
        <is>
          <t>태원물산</t>
        </is>
      </c>
      <c r="G2238" s="2" t="inlineStr">
        <is>
          <t>20260312800231</t>
        </is>
      </c>
      <c r="H2238" s="8">
        <f>HYPERLINK("https://dart.fss.or.kr/dsaf001/main.do?rcpNo=20260312800231", "공시열람")</f>
        <v/>
      </c>
    </row>
    <row r="2239">
      <c r="A2239" s="2" t="inlineStr">
        <is>
          <t>2026-03-11</t>
        </is>
      </c>
      <c r="B2239" s="3" t="inlineStr">
        <is>
          <t>E1</t>
        </is>
      </c>
      <c r="C2239" s="2" t="inlineStr">
        <is>
          <t>코스피</t>
        </is>
      </c>
      <c r="D2239" s="2" t="inlineStr">
        <is>
          <t>017940</t>
        </is>
      </c>
      <c r="E2239" s="3" t="inlineStr">
        <is>
          <t xml:space="preserve">주주총회소집결의              </t>
        </is>
      </c>
      <c r="F2239" s="3" t="inlineStr">
        <is>
          <t>E1</t>
        </is>
      </c>
      <c r="G2239" s="2" t="inlineStr">
        <is>
          <t>20260311801957</t>
        </is>
      </c>
      <c r="H2239" s="8">
        <f>HYPERLINK("https://dart.fss.or.kr/dsaf001/main.do?rcpNo=20260311801957", "공시열람")</f>
        <v/>
      </c>
    </row>
    <row r="2240">
      <c r="A2240" s="2" t="inlineStr">
        <is>
          <t>2026-03-11</t>
        </is>
      </c>
      <c r="B2240" s="3" t="inlineStr">
        <is>
          <t>볼빅</t>
        </is>
      </c>
      <c r="C2240" s="2" t="inlineStr">
        <is>
          <t>코넥스</t>
        </is>
      </c>
      <c r="D2240" s="2" t="inlineStr">
        <is>
          <t>206950</t>
        </is>
      </c>
      <c r="E2240" s="3" t="inlineStr">
        <is>
          <t xml:space="preserve">주주총회소집결의              </t>
        </is>
      </c>
      <c r="F2240" s="3" t="inlineStr">
        <is>
          <t>볼빅</t>
        </is>
      </c>
      <c r="G2240" s="2" t="inlineStr">
        <is>
          <t>20260311601905</t>
        </is>
      </c>
      <c r="H2240" s="8">
        <f>HYPERLINK("https://dart.fss.or.kr/dsaf001/main.do?rcpNo=20260311601905", "공시열람")</f>
        <v/>
      </c>
    </row>
    <row r="2241">
      <c r="A2241" s="2" t="inlineStr">
        <is>
          <t>2026-03-11</t>
        </is>
      </c>
      <c r="B2241" s="3" t="inlineStr">
        <is>
          <t>도이치모터스</t>
        </is>
      </c>
      <c r="C2241" s="2" t="inlineStr">
        <is>
          <t>코스닥</t>
        </is>
      </c>
      <c r="D2241" s="2" t="inlineStr">
        <is>
          <t>067990</t>
        </is>
      </c>
      <c r="E2241" s="3" t="inlineStr">
        <is>
          <t>주주총회소집공고</t>
        </is>
      </c>
      <c r="F2241" s="3" t="inlineStr">
        <is>
          <t>도이치모터스</t>
        </is>
      </c>
      <c r="G2241" s="2" t="inlineStr">
        <is>
          <t>20260311004368</t>
        </is>
      </c>
      <c r="H2241" s="8">
        <f>HYPERLINK("https://dart.fss.or.kr/dsaf001/main.do?rcpNo=20260311004368", "공시열람")</f>
        <v/>
      </c>
    </row>
    <row r="2242">
      <c r="A2242" s="2" t="inlineStr">
        <is>
          <t>2026-03-11</t>
        </is>
      </c>
      <c r="B2242" s="3" t="inlineStr">
        <is>
          <t>크라운제과</t>
        </is>
      </c>
      <c r="C2242" s="2" t="inlineStr">
        <is>
          <t>코스피</t>
        </is>
      </c>
      <c r="D2242" s="2" t="inlineStr">
        <is>
          <t>264900</t>
        </is>
      </c>
      <c r="E2242" s="3" t="inlineStr">
        <is>
          <t>주주총회소집공고</t>
        </is>
      </c>
      <c r="F2242" s="3" t="inlineStr">
        <is>
          <t>크라운제과</t>
        </is>
      </c>
      <c r="G2242" s="2" t="inlineStr">
        <is>
          <t>20260311004367</t>
        </is>
      </c>
      <c r="H2242" s="8">
        <f>HYPERLINK("https://dart.fss.or.kr/dsaf001/main.do?rcpNo=20260311004367", "공시열람")</f>
        <v/>
      </c>
    </row>
    <row r="2243">
      <c r="A2243" s="2" t="inlineStr">
        <is>
          <t>2026-03-11</t>
        </is>
      </c>
      <c r="B2243" s="3" t="inlineStr">
        <is>
          <t>미래컴퍼니</t>
        </is>
      </c>
      <c r="C2243" s="2" t="inlineStr">
        <is>
          <t>코스닥</t>
        </is>
      </c>
      <c r="D2243" s="2" t="inlineStr">
        <is>
          <t>049950</t>
        </is>
      </c>
      <c r="E2243" s="3" t="inlineStr">
        <is>
          <t>주주총회소집공고</t>
        </is>
      </c>
      <c r="F2243" s="3" t="inlineStr">
        <is>
          <t>미래컴퍼니</t>
        </is>
      </c>
      <c r="G2243" s="2" t="inlineStr">
        <is>
          <t>20260311004365</t>
        </is>
      </c>
      <c r="H2243" s="8">
        <f>HYPERLINK("https://dart.fss.or.kr/dsaf001/main.do?rcpNo=20260311004365", "공시열람")</f>
        <v/>
      </c>
    </row>
    <row r="2244">
      <c r="A2244" s="2" t="inlineStr">
        <is>
          <t>2026-03-11</t>
        </is>
      </c>
      <c r="B2244" s="3" t="inlineStr">
        <is>
          <t>서희건설</t>
        </is>
      </c>
      <c r="C2244" s="2" t="inlineStr">
        <is>
          <t>코스닥</t>
        </is>
      </c>
      <c r="D2244" s="2" t="inlineStr">
        <is>
          <t>035890</t>
        </is>
      </c>
      <c r="E2244" s="3" t="inlineStr">
        <is>
          <t xml:space="preserve">주주총회소집결의              </t>
        </is>
      </c>
      <c r="F2244" s="3" t="inlineStr">
        <is>
          <t>서희건설</t>
        </is>
      </c>
      <c r="G2244" s="2" t="inlineStr">
        <is>
          <t>20260311901696</t>
        </is>
      </c>
      <c r="H2244" s="8">
        <f>HYPERLINK("https://dart.fss.or.kr/dsaf001/main.do?rcpNo=20260311901696", "공시열람")</f>
        <v/>
      </c>
    </row>
    <row r="2245">
      <c r="A2245" s="2" t="inlineStr">
        <is>
          <t>2026-03-11</t>
        </is>
      </c>
      <c r="B2245" s="3" t="inlineStr">
        <is>
          <t>성창기업지주</t>
        </is>
      </c>
      <c r="C2245" s="2" t="inlineStr">
        <is>
          <t>코스피</t>
        </is>
      </c>
      <c r="D2245" s="2" t="inlineStr">
        <is>
          <t>000180</t>
        </is>
      </c>
      <c r="E2245" s="3" t="inlineStr">
        <is>
          <t>주주총회소집공고</t>
        </is>
      </c>
      <c r="F2245" s="3" t="inlineStr">
        <is>
          <t>성창기업지주</t>
        </is>
      </c>
      <c r="G2245" s="2" t="inlineStr">
        <is>
          <t>20260311004361</t>
        </is>
      </c>
      <c r="H2245" s="8">
        <f>HYPERLINK("https://dart.fss.or.kr/dsaf001/main.do?rcpNo=20260311004361", "공시열람")</f>
        <v/>
      </c>
    </row>
    <row r="2246">
      <c r="A2246" s="2" t="inlineStr">
        <is>
          <t>2026-03-11</t>
        </is>
      </c>
      <c r="B2246" s="3" t="inlineStr">
        <is>
          <t>티엔엔터테인먼트</t>
        </is>
      </c>
      <c r="C2246" s="2" t="inlineStr">
        <is>
          <t>코스닥</t>
        </is>
      </c>
      <c r="D2246" s="2" t="inlineStr">
        <is>
          <t>131100</t>
        </is>
      </c>
      <c r="E2246" s="3" t="inlineStr">
        <is>
          <t>주주총회소집공고</t>
        </is>
      </c>
      <c r="F2246" s="3" t="inlineStr">
        <is>
          <t>티엔엔터테인먼트</t>
        </is>
      </c>
      <c r="G2246" s="2" t="inlineStr">
        <is>
          <t>20260311004360</t>
        </is>
      </c>
      <c r="H2246" s="8">
        <f>HYPERLINK("https://dart.fss.or.kr/dsaf001/main.do?rcpNo=20260311004360", "공시열람")</f>
        <v/>
      </c>
    </row>
    <row r="2247">
      <c r="A2247" s="2" t="inlineStr">
        <is>
          <t>2026-03-11 (정정: 2026-03-11)</t>
        </is>
      </c>
      <c r="B2247" s="3" t="inlineStr">
        <is>
          <t>큐리언트</t>
        </is>
      </c>
      <c r="C2247" s="2" t="inlineStr">
        <is>
          <t>코스닥</t>
        </is>
      </c>
      <c r="D2247" s="2" t="inlineStr">
        <is>
          <t>115180</t>
        </is>
      </c>
      <c r="E2247" s="3" t="inlineStr">
        <is>
          <t>주주총회소집공고 (정정: 20260311)</t>
        </is>
      </c>
      <c r="F2247" s="3" t="inlineStr">
        <is>
          <t>큐리언트</t>
        </is>
      </c>
      <c r="G2247" s="2" t="inlineStr">
        <is>
          <t>20260311901566</t>
        </is>
      </c>
      <c r="H2247" s="8">
        <f>HYPERLINK("https://dart.fss.or.kr/dsaf001/main.do?rcpNo=20260311901566", "공시열람")</f>
        <v/>
      </c>
    </row>
    <row r="2248">
      <c r="A2248" s="2" t="inlineStr">
        <is>
          <t>2026-03-11</t>
        </is>
      </c>
      <c r="B2248" s="3" t="inlineStr">
        <is>
          <t>휴맥스홀딩스</t>
        </is>
      </c>
      <c r="C2248" s="2" t="inlineStr">
        <is>
          <t>코스닥</t>
        </is>
      </c>
      <c r="D2248" s="2" t="inlineStr">
        <is>
          <t>028080</t>
        </is>
      </c>
      <c r="E2248" s="3" t="inlineStr">
        <is>
          <t>주주총회소집공고</t>
        </is>
      </c>
      <c r="F2248" s="3" t="inlineStr">
        <is>
          <t>휴맥스홀딩스</t>
        </is>
      </c>
      <c r="G2248" s="2" t="inlineStr">
        <is>
          <t>20260311004358</t>
        </is>
      </c>
      <c r="H2248" s="8">
        <f>HYPERLINK("https://dart.fss.or.kr/dsaf001/main.do?rcpNo=20260311004358", "공시열람")</f>
        <v/>
      </c>
    </row>
    <row r="2249">
      <c r="A2249" s="2" t="inlineStr">
        <is>
          <t>2026-03-11</t>
        </is>
      </c>
      <c r="B2249" s="3" t="inlineStr">
        <is>
          <t>누리플랜</t>
        </is>
      </c>
      <c r="C2249" s="2" t="inlineStr">
        <is>
          <t>코스닥</t>
        </is>
      </c>
      <c r="D2249" s="2" t="inlineStr">
        <is>
          <t>069140</t>
        </is>
      </c>
      <c r="E2249" s="3" t="inlineStr">
        <is>
          <t>주주총회소집공고</t>
        </is>
      </c>
      <c r="F2249" s="3" t="inlineStr">
        <is>
          <t>누리플랜</t>
        </is>
      </c>
      <c r="G2249" s="2" t="inlineStr">
        <is>
          <t>20260311004356</t>
        </is>
      </c>
      <c r="H2249" s="8">
        <f>HYPERLINK("https://dart.fss.or.kr/dsaf001/main.do?rcpNo=20260311004356", "공시열람")</f>
        <v/>
      </c>
    </row>
    <row r="2250">
      <c r="A2250" s="2" t="inlineStr">
        <is>
          <t>2026-03-11</t>
        </is>
      </c>
      <c r="B2250" s="3" t="inlineStr">
        <is>
          <t>성창기업지주</t>
        </is>
      </c>
      <c r="C2250" s="2" t="inlineStr">
        <is>
          <t>코스피</t>
        </is>
      </c>
      <c r="D2250" s="2" t="inlineStr">
        <is>
          <t>000180</t>
        </is>
      </c>
      <c r="E2250" s="3" t="inlineStr">
        <is>
          <t xml:space="preserve">주주총회소집결의              </t>
        </is>
      </c>
      <c r="F2250" s="3" t="inlineStr">
        <is>
          <t>성창기업지주</t>
        </is>
      </c>
      <c r="G2250" s="2" t="inlineStr">
        <is>
          <t>20260311801843</t>
        </is>
      </c>
      <c r="H2250" s="8">
        <f>HYPERLINK("https://dart.fss.or.kr/dsaf001/main.do?rcpNo=20260311801843", "공시열람")</f>
        <v/>
      </c>
    </row>
    <row r="2251">
      <c r="A2251" s="2" t="inlineStr">
        <is>
          <t>2026-03-11</t>
        </is>
      </c>
      <c r="B2251" s="3" t="inlineStr">
        <is>
          <t>두산퓨얼셀</t>
        </is>
      </c>
      <c r="C2251" s="2" t="inlineStr">
        <is>
          <t>코스피</t>
        </is>
      </c>
      <c r="D2251" s="2" t="inlineStr">
        <is>
          <t>336260</t>
        </is>
      </c>
      <c r="E2251" s="3" t="inlineStr">
        <is>
          <t>주주총회소집공고</t>
        </is>
      </c>
      <c r="F2251" s="3" t="inlineStr">
        <is>
          <t>두산퓨얼셀</t>
        </is>
      </c>
      <c r="G2251" s="2" t="inlineStr">
        <is>
          <t>20260311004355</t>
        </is>
      </c>
      <c r="H2251" s="8">
        <f>HYPERLINK("https://dart.fss.or.kr/dsaf001/main.do?rcpNo=20260311004355", "공시열람")</f>
        <v/>
      </c>
    </row>
    <row r="2252">
      <c r="A2252" s="2" t="inlineStr">
        <is>
          <t>2026-03-11</t>
        </is>
      </c>
      <c r="B2252" s="3" t="inlineStr">
        <is>
          <t>플레이그램</t>
        </is>
      </c>
      <c r="C2252" s="2" t="inlineStr">
        <is>
          <t>코스피</t>
        </is>
      </c>
      <c r="D2252" s="2" t="inlineStr">
        <is>
          <t>009810</t>
        </is>
      </c>
      <c r="E2252" s="3" t="inlineStr">
        <is>
          <t xml:space="preserve">주주총회소집결의              </t>
        </is>
      </c>
      <c r="F2252" s="3" t="inlineStr">
        <is>
          <t>플레이그램</t>
        </is>
      </c>
      <c r="G2252" s="2" t="inlineStr">
        <is>
          <t>20260311801939</t>
        </is>
      </c>
      <c r="H2252" s="8">
        <f>HYPERLINK("https://dart.fss.or.kr/dsaf001/main.do?rcpNo=20260311801939", "공시열람")</f>
        <v/>
      </c>
    </row>
    <row r="2253">
      <c r="A2253" s="2" t="inlineStr">
        <is>
          <t>2026-03-11</t>
        </is>
      </c>
      <c r="B2253" s="3" t="inlineStr">
        <is>
          <t>인투셀</t>
        </is>
      </c>
      <c r="C2253" s="2" t="inlineStr">
        <is>
          <t>코스닥</t>
        </is>
      </c>
      <c r="D2253" s="2" t="inlineStr">
        <is>
          <t>287840</t>
        </is>
      </c>
      <c r="E2253" s="3" t="inlineStr">
        <is>
          <t>주주총회소집공고</t>
        </is>
      </c>
      <c r="F2253" s="3" t="inlineStr">
        <is>
          <t>인투셀</t>
        </is>
      </c>
      <c r="G2253" s="2" t="inlineStr">
        <is>
          <t>20260311004348</t>
        </is>
      </c>
      <c r="H2253" s="8">
        <f>HYPERLINK("https://dart.fss.or.kr/dsaf001/main.do?rcpNo=20260311004348", "공시열람")</f>
        <v/>
      </c>
    </row>
    <row r="2254">
      <c r="A2254" s="2" t="inlineStr">
        <is>
          <t>2026-03-11</t>
        </is>
      </c>
      <c r="B2254" s="3" t="inlineStr">
        <is>
          <t>화인써키트</t>
        </is>
      </c>
      <c r="C2254" s="2" t="inlineStr">
        <is>
          <t>코스닥</t>
        </is>
      </c>
      <c r="D2254" s="2" t="inlineStr">
        <is>
          <t>127980</t>
        </is>
      </c>
      <c r="E2254" s="3" t="inlineStr">
        <is>
          <t>주주총회소집공고</t>
        </is>
      </c>
      <c r="F2254" s="3" t="inlineStr">
        <is>
          <t>화인써키트</t>
        </is>
      </c>
      <c r="G2254" s="2" t="inlineStr">
        <is>
          <t>20260311004345</t>
        </is>
      </c>
      <c r="H2254" s="8">
        <f>HYPERLINK("https://dart.fss.or.kr/dsaf001/main.do?rcpNo=20260311004345", "공시열람")</f>
        <v/>
      </c>
    </row>
    <row r="2255">
      <c r="A2255" s="2" t="inlineStr">
        <is>
          <t>2026-03-11</t>
        </is>
      </c>
      <c r="B2255" s="3" t="inlineStr">
        <is>
          <t>다우기술</t>
        </is>
      </c>
      <c r="C2255" s="2" t="inlineStr">
        <is>
          <t>코스피</t>
        </is>
      </c>
      <c r="D2255" s="2" t="inlineStr">
        <is>
          <t>023590</t>
        </is>
      </c>
      <c r="E2255" s="3" t="inlineStr">
        <is>
          <t>주주총회소집공고</t>
        </is>
      </c>
      <c r="F2255" s="3" t="inlineStr">
        <is>
          <t>다우기술</t>
        </is>
      </c>
      <c r="G2255" s="2" t="inlineStr">
        <is>
          <t>20260311004340</t>
        </is>
      </c>
      <c r="H2255" s="8">
        <f>HYPERLINK("https://dart.fss.or.kr/dsaf001/main.do?rcpNo=20260311004340", "공시열람")</f>
        <v/>
      </c>
    </row>
    <row r="2256">
      <c r="A2256" s="2" t="inlineStr">
        <is>
          <t>2026-03-11</t>
        </is>
      </c>
      <c r="B2256" s="3" t="inlineStr">
        <is>
          <t>서암기계공업</t>
        </is>
      </c>
      <c r="C2256" s="2" t="inlineStr">
        <is>
          <t>코스닥</t>
        </is>
      </c>
      <c r="D2256" s="2" t="inlineStr">
        <is>
          <t>100660</t>
        </is>
      </c>
      <c r="E2256" s="3" t="inlineStr">
        <is>
          <t>주주총회소집공고</t>
        </is>
      </c>
      <c r="F2256" s="3" t="inlineStr">
        <is>
          <t>서암기계공업</t>
        </is>
      </c>
      <c r="G2256" s="2" t="inlineStr">
        <is>
          <t>20260311004338</t>
        </is>
      </c>
      <c r="H2256" s="8">
        <f>HYPERLINK("https://dart.fss.or.kr/dsaf001/main.do?rcpNo=20260311004338", "공시열람")</f>
        <v/>
      </c>
    </row>
    <row r="2257">
      <c r="A2257" s="2" t="inlineStr">
        <is>
          <t>2026-03-11 (정정: 2026-03-11)</t>
        </is>
      </c>
      <c r="B2257" s="3" t="inlineStr">
        <is>
          <t>코스맥스비티아이</t>
        </is>
      </c>
      <c r="C2257" s="2" t="inlineStr">
        <is>
          <t>코스피</t>
        </is>
      </c>
      <c r="D2257" s="2" t="inlineStr">
        <is>
          <t>044820</t>
        </is>
      </c>
      <c r="E2257" s="3" t="inlineStr">
        <is>
          <t>주주총회소집공고 (정정: 20260311)</t>
        </is>
      </c>
      <c r="F2257" s="3" t="inlineStr">
        <is>
          <t>코스맥스비티아이</t>
        </is>
      </c>
      <c r="G2257" s="2" t="inlineStr">
        <is>
          <t>20260311801760</t>
        </is>
      </c>
      <c r="H2257" s="8">
        <f>HYPERLINK("https://dart.fss.or.kr/dsaf001/main.do?rcpNo=20260311801760", "공시열람")</f>
        <v/>
      </c>
    </row>
    <row r="2258">
      <c r="A2258" s="2" t="inlineStr">
        <is>
          <t>2026-03-11</t>
        </is>
      </c>
      <c r="B2258" s="3" t="inlineStr">
        <is>
          <t>휴맥스홀딩스</t>
        </is>
      </c>
      <c r="C2258" s="2" t="inlineStr">
        <is>
          <t>코스닥</t>
        </is>
      </c>
      <c r="D2258" s="2" t="inlineStr">
        <is>
          <t>028080</t>
        </is>
      </c>
      <c r="E2258" s="3" t="inlineStr">
        <is>
          <t xml:space="preserve">주주총회소집결의              </t>
        </is>
      </c>
      <c r="F2258" s="3" t="inlineStr">
        <is>
          <t>휴맥스홀딩스</t>
        </is>
      </c>
      <c r="G2258" s="2" t="inlineStr">
        <is>
          <t>20260311901491</t>
        </is>
      </c>
      <c r="H2258" s="8">
        <f>HYPERLINK("https://dart.fss.or.kr/dsaf001/main.do?rcpNo=20260311901491", "공시열람")</f>
        <v/>
      </c>
    </row>
    <row r="2259">
      <c r="A2259" s="2" t="inlineStr">
        <is>
          <t>2026-03-11</t>
        </is>
      </c>
      <c r="B2259" s="3" t="inlineStr">
        <is>
          <t>아이즈비전</t>
        </is>
      </c>
      <c r="C2259" s="2" t="inlineStr">
        <is>
          <t>코스닥</t>
        </is>
      </c>
      <c r="D2259" s="2" t="inlineStr">
        <is>
          <t>031310</t>
        </is>
      </c>
      <c r="E2259" s="3" t="inlineStr">
        <is>
          <t>주주총회소집공고</t>
        </is>
      </c>
      <c r="F2259" s="3" t="inlineStr">
        <is>
          <t>아이즈비전</t>
        </is>
      </c>
      <c r="G2259" s="2" t="inlineStr">
        <is>
          <t>20260311004328</t>
        </is>
      </c>
      <c r="H2259" s="8">
        <f>HYPERLINK("https://dart.fss.or.kr/dsaf001/main.do?rcpNo=20260311004328", "공시열람")</f>
        <v/>
      </c>
    </row>
    <row r="2260">
      <c r="A2260" s="2" t="inlineStr">
        <is>
          <t>2026-03-11 (정정: 2026-03-11)</t>
        </is>
      </c>
      <c r="B2260" s="3" t="inlineStr">
        <is>
          <t>드림시큐리티</t>
        </is>
      </c>
      <c r="C2260" s="2" t="inlineStr">
        <is>
          <t>코스닥</t>
        </is>
      </c>
      <c r="D2260" s="2" t="inlineStr">
        <is>
          <t>203650</t>
        </is>
      </c>
      <c r="E2260" s="3" t="inlineStr">
        <is>
          <t>주주총회소집공고 (정정: 20260311)</t>
        </is>
      </c>
      <c r="F2260" s="3" t="inlineStr">
        <is>
          <t>드림시큐리티</t>
        </is>
      </c>
      <c r="G2260" s="2" t="inlineStr">
        <is>
          <t>20260311901261</t>
        </is>
      </c>
      <c r="H2260" s="8">
        <f>HYPERLINK("https://dart.fss.or.kr/dsaf001/main.do?rcpNo=20260311901261", "공시열람")</f>
        <v/>
      </c>
    </row>
    <row r="2261">
      <c r="A2261" s="2" t="inlineStr">
        <is>
          <t>2026-03-11 (정정: 2026-03-12)</t>
        </is>
      </c>
      <c r="B2261" s="3" t="inlineStr">
        <is>
          <t>코윈테크</t>
        </is>
      </c>
      <c r="C2261" s="2" t="inlineStr">
        <is>
          <t>코스닥</t>
        </is>
      </c>
      <c r="D2261" s="2" t="inlineStr">
        <is>
          <t>282880</t>
        </is>
      </c>
      <c r="E2261" s="3" t="inlineStr">
        <is>
          <t>주주총회소집공고 (정정: 20260312)</t>
        </is>
      </c>
      <c r="F2261" s="3" t="inlineStr">
        <is>
          <t>코윈테크</t>
        </is>
      </c>
      <c r="G2261" s="2" t="inlineStr">
        <is>
          <t>20260312000238</t>
        </is>
      </c>
      <c r="H2261" s="8">
        <f>HYPERLINK("https://dart.fss.or.kr/dsaf001/main.do?rcpNo=20260312000238", "공시열람")</f>
        <v/>
      </c>
    </row>
    <row r="2262">
      <c r="A2262" s="2" t="inlineStr">
        <is>
          <t>2026-03-11</t>
        </is>
      </c>
      <c r="B2262" s="3" t="inlineStr">
        <is>
          <t>뉴트리</t>
        </is>
      </c>
      <c r="C2262" s="2" t="inlineStr">
        <is>
          <t>코스닥</t>
        </is>
      </c>
      <c r="D2262" s="2" t="inlineStr">
        <is>
          <t>270870</t>
        </is>
      </c>
      <c r="E2262" s="3" t="inlineStr">
        <is>
          <t xml:space="preserve">주주총회집중일개최사유신고              </t>
        </is>
      </c>
      <c r="F2262" s="3" t="inlineStr">
        <is>
          <t>뉴트리</t>
        </is>
      </c>
      <c r="G2262" s="2" t="inlineStr">
        <is>
          <t>20260311901950</t>
        </is>
      </c>
      <c r="H2262" s="8">
        <f>HYPERLINK("https://dart.fss.or.kr/dsaf001/main.do?rcpNo=20260311901950", "공시열람")</f>
        <v/>
      </c>
    </row>
    <row r="2263">
      <c r="A2263" s="2" t="inlineStr">
        <is>
          <t>2026-03-11 (정정: 2026-03-11)</t>
        </is>
      </c>
      <c r="B2263" s="3" t="inlineStr">
        <is>
          <t>한국앤컴퍼니</t>
        </is>
      </c>
      <c r="C2263" s="2" t="inlineStr">
        <is>
          <t>코스피</t>
        </is>
      </c>
      <c r="D2263" s="2" t="inlineStr">
        <is>
          <t>000240</t>
        </is>
      </c>
      <c r="E2263" s="3" t="inlineStr">
        <is>
          <t>[기재정정]주주총회소집결의               (정정: 20260311)</t>
        </is>
      </c>
      <c r="F2263" s="3" t="inlineStr">
        <is>
          <t>한국앤컴퍼니</t>
        </is>
      </c>
      <c r="G2263" s="2" t="inlineStr">
        <is>
          <t>20260311801385</t>
        </is>
      </c>
      <c r="H2263" s="8">
        <f>HYPERLINK("https://dart.fss.or.kr/dsaf001/main.do?rcpNo=20260311801385", "공시열람")</f>
        <v/>
      </c>
    </row>
    <row r="2264">
      <c r="A2264" s="2" t="inlineStr">
        <is>
          <t>2026-03-11</t>
        </is>
      </c>
      <c r="B2264" s="3" t="inlineStr">
        <is>
          <t>동양이엔피</t>
        </is>
      </c>
      <c r="C2264" s="2" t="inlineStr">
        <is>
          <t>코스닥</t>
        </is>
      </c>
      <c r="D2264" s="2" t="inlineStr">
        <is>
          <t>079960</t>
        </is>
      </c>
      <c r="E2264" s="3" t="inlineStr">
        <is>
          <t>주주총회소집공고</t>
        </is>
      </c>
      <c r="F2264" s="3" t="inlineStr">
        <is>
          <t>동양이엔피</t>
        </is>
      </c>
      <c r="G2264" s="2" t="inlineStr">
        <is>
          <t>20260311004323</t>
        </is>
      </c>
      <c r="H2264" s="8">
        <f>HYPERLINK("https://dart.fss.or.kr/dsaf001/main.do?rcpNo=20260311004323", "공시열람")</f>
        <v/>
      </c>
    </row>
    <row r="2265">
      <c r="A2265" s="2" t="inlineStr">
        <is>
          <t>2026-03-11</t>
        </is>
      </c>
      <c r="B2265" s="3" t="inlineStr">
        <is>
          <t>누리플랜</t>
        </is>
      </c>
      <c r="C2265" s="2" t="inlineStr">
        <is>
          <t>코스닥</t>
        </is>
      </c>
      <c r="D2265" s="2" t="inlineStr">
        <is>
          <t>069140</t>
        </is>
      </c>
      <c r="E2265" s="3" t="inlineStr">
        <is>
          <t xml:space="preserve">주주총회소집결의              </t>
        </is>
      </c>
      <c r="F2265" s="3" t="inlineStr">
        <is>
          <t>누리플랜</t>
        </is>
      </c>
      <c r="G2265" s="2" t="inlineStr">
        <is>
          <t>20260311901807</t>
        </is>
      </c>
      <c r="H2265" s="8">
        <f>HYPERLINK("https://dart.fss.or.kr/dsaf001/main.do?rcpNo=20260311901807", "공시열람")</f>
        <v/>
      </c>
    </row>
    <row r="2266">
      <c r="A2266" s="2" t="inlineStr">
        <is>
          <t>2026-03-11</t>
        </is>
      </c>
      <c r="B2266" s="3" t="inlineStr">
        <is>
          <t>한울앤제주</t>
        </is>
      </c>
      <c r="C2266" s="2" t="inlineStr">
        <is>
          <t>코스닥</t>
        </is>
      </c>
      <c r="D2266" s="2" t="inlineStr">
        <is>
          <t>276730</t>
        </is>
      </c>
      <c r="E2266" s="3" t="inlineStr">
        <is>
          <t>주주총회소집공고</t>
        </is>
      </c>
      <c r="F2266" s="3" t="inlineStr">
        <is>
          <t>한울앤제주</t>
        </is>
      </c>
      <c r="G2266" s="2" t="inlineStr">
        <is>
          <t>20260311004316</t>
        </is>
      </c>
      <c r="H2266" s="8">
        <f>HYPERLINK("https://dart.fss.or.kr/dsaf001/main.do?rcpNo=20260311004316", "공시열람")</f>
        <v/>
      </c>
    </row>
    <row r="2267">
      <c r="A2267" s="2" t="inlineStr">
        <is>
          <t>2026-03-11</t>
        </is>
      </c>
      <c r="B2267" s="3" t="inlineStr">
        <is>
          <t>헥토파이낸셜</t>
        </is>
      </c>
      <c r="C2267" s="2" t="inlineStr">
        <is>
          <t>코스닥</t>
        </is>
      </c>
      <c r="D2267" s="2" t="inlineStr">
        <is>
          <t>234340</t>
        </is>
      </c>
      <c r="E2267" s="3" t="inlineStr">
        <is>
          <t xml:space="preserve">주주총회소집결의              </t>
        </is>
      </c>
      <c r="F2267" s="3" t="inlineStr">
        <is>
          <t>헥토파이낸셜</t>
        </is>
      </c>
      <c r="G2267" s="2" t="inlineStr">
        <is>
          <t>20260311901814</t>
        </is>
      </c>
      <c r="H2267" s="8">
        <f>HYPERLINK("https://dart.fss.or.kr/dsaf001/main.do?rcpNo=20260311901814", "공시열람")</f>
        <v/>
      </c>
    </row>
    <row r="2268">
      <c r="A2268" s="2" t="inlineStr">
        <is>
          <t>2026-03-11</t>
        </is>
      </c>
      <c r="B2268" s="3" t="inlineStr">
        <is>
          <t>티엔엔터테인먼트</t>
        </is>
      </c>
      <c r="C2268" s="2" t="inlineStr">
        <is>
          <t>코스닥</t>
        </is>
      </c>
      <c r="D2268" s="2" t="inlineStr">
        <is>
          <t>131100</t>
        </is>
      </c>
      <c r="E2268" s="3" t="inlineStr">
        <is>
          <t xml:space="preserve">주주총회소집결의              </t>
        </is>
      </c>
      <c r="F2268" s="3" t="inlineStr">
        <is>
          <t>티엔엔터테인먼트</t>
        </is>
      </c>
      <c r="G2268" s="2" t="inlineStr">
        <is>
          <t>20260311901797</t>
        </is>
      </c>
      <c r="H2268" s="8">
        <f>HYPERLINK("https://dart.fss.or.kr/dsaf001/main.do?rcpNo=20260311901797", "공시열람")</f>
        <v/>
      </c>
    </row>
    <row r="2269">
      <c r="A2269" s="2" t="inlineStr">
        <is>
          <t>2026-03-11</t>
        </is>
      </c>
      <c r="B2269" s="3" t="inlineStr">
        <is>
          <t>엑셀세라퓨틱스</t>
        </is>
      </c>
      <c r="C2269" s="2" t="inlineStr">
        <is>
          <t>코스닥</t>
        </is>
      </c>
      <c r="D2269" s="2" t="inlineStr">
        <is>
          <t>373110</t>
        </is>
      </c>
      <c r="E2269" s="3" t="inlineStr">
        <is>
          <t>주주총회소집공고</t>
        </is>
      </c>
      <c r="F2269" s="3" t="inlineStr">
        <is>
          <t>엑셀세라퓨틱스</t>
        </is>
      </c>
      <c r="G2269" s="2" t="inlineStr">
        <is>
          <t>20260311004313</t>
        </is>
      </c>
      <c r="H2269" s="8">
        <f>HYPERLINK("https://dart.fss.or.kr/dsaf001/main.do?rcpNo=20260311004313", "공시열람")</f>
        <v/>
      </c>
    </row>
    <row r="2270">
      <c r="A2270" s="2" t="inlineStr">
        <is>
          <t>2026-03-11</t>
        </is>
      </c>
      <c r="B2270" s="3" t="inlineStr">
        <is>
          <t>시선AI</t>
        </is>
      </c>
      <c r="C2270" s="2" t="inlineStr">
        <is>
          <t>코스닥</t>
        </is>
      </c>
      <c r="D2270" s="2" t="inlineStr">
        <is>
          <t>340810</t>
        </is>
      </c>
      <c r="E2270" s="3" t="inlineStr">
        <is>
          <t xml:space="preserve">주주총회소집결의              </t>
        </is>
      </c>
      <c r="F2270" s="3" t="inlineStr">
        <is>
          <t>시선AI</t>
        </is>
      </c>
      <c r="G2270" s="2" t="inlineStr">
        <is>
          <t>20260311901872</t>
        </is>
      </c>
      <c r="H2270" s="8">
        <f>HYPERLINK("https://dart.fss.or.kr/dsaf001/main.do?rcpNo=20260311901872", "공시열람")</f>
        <v/>
      </c>
    </row>
    <row r="2271">
      <c r="A2271" s="2" t="inlineStr">
        <is>
          <t>2026-03-11</t>
        </is>
      </c>
      <c r="B2271" s="3" t="inlineStr">
        <is>
          <t>인터로이드</t>
        </is>
      </c>
      <c r="C2271" s="2" t="inlineStr">
        <is>
          <t>코넥스</t>
        </is>
      </c>
      <c r="D2271" s="2" t="inlineStr">
        <is>
          <t>311960</t>
        </is>
      </c>
      <c r="E2271" s="3" t="inlineStr">
        <is>
          <t>주주총회소집공고</t>
        </is>
      </c>
      <c r="F2271" s="3" t="inlineStr">
        <is>
          <t>인터로이드</t>
        </is>
      </c>
      <c r="G2271" s="2" t="inlineStr">
        <is>
          <t>20260311004312</t>
        </is>
      </c>
      <c r="H2271" s="8">
        <f>HYPERLINK("https://dart.fss.or.kr/dsaf001/main.do?rcpNo=20260311004312", "공시열람")</f>
        <v/>
      </c>
    </row>
    <row r="2272">
      <c r="A2272" s="2" t="inlineStr">
        <is>
          <t>2026-03-11</t>
        </is>
      </c>
      <c r="B2272" s="3" t="inlineStr">
        <is>
          <t>와이즈넛</t>
        </is>
      </c>
      <c r="C2272" s="2" t="inlineStr">
        <is>
          <t>코스닥</t>
        </is>
      </c>
      <c r="D2272" s="2" t="inlineStr">
        <is>
          <t>096250</t>
        </is>
      </c>
      <c r="E2272" s="3" t="inlineStr">
        <is>
          <t>주주총회소집공고</t>
        </is>
      </c>
      <c r="F2272" s="3" t="inlineStr">
        <is>
          <t>와이즈넛</t>
        </is>
      </c>
      <c r="G2272" s="2" t="inlineStr">
        <is>
          <t>20260311004311</t>
        </is>
      </c>
      <c r="H2272" s="8">
        <f>HYPERLINK("https://dart.fss.or.kr/dsaf001/main.do?rcpNo=20260311004311", "공시열람")</f>
        <v/>
      </c>
    </row>
    <row r="2273">
      <c r="A2273" s="2" t="inlineStr">
        <is>
          <t>2026-03-11 (정정: 2026-03-20)</t>
        </is>
      </c>
      <c r="B2273" s="3" t="inlineStr">
        <is>
          <t>씨싸이트</t>
        </is>
      </c>
      <c r="C2273" s="2" t="inlineStr">
        <is>
          <t>코스닥</t>
        </is>
      </c>
      <c r="D2273" s="2" t="inlineStr">
        <is>
          <t>109670</t>
        </is>
      </c>
      <c r="E2273" s="3" t="inlineStr">
        <is>
          <t>주주총회소집공고 (정정: 20260320)</t>
        </is>
      </c>
      <c r="F2273" s="3" t="inlineStr">
        <is>
          <t>씨싸이트</t>
        </is>
      </c>
      <c r="G2273" s="2" t="inlineStr">
        <is>
          <t>20260320001242</t>
        </is>
      </c>
      <c r="H2273" s="8">
        <f>HYPERLINK("https://dart.fss.or.kr/dsaf001/main.do?rcpNo=20260320001242", "공시열람")</f>
        <v/>
      </c>
    </row>
    <row r="2274">
      <c r="A2274" s="2" t="inlineStr">
        <is>
          <t>2026-03-11</t>
        </is>
      </c>
      <c r="B2274" s="3" t="inlineStr">
        <is>
          <t>금호타이어</t>
        </is>
      </c>
      <c r="C2274" s="2" t="inlineStr">
        <is>
          <t>코스피</t>
        </is>
      </c>
      <c r="D2274" s="2" t="inlineStr">
        <is>
          <t>073240</t>
        </is>
      </c>
      <c r="E2274" s="3" t="inlineStr">
        <is>
          <t>주주총회소집공고</t>
        </is>
      </c>
      <c r="F2274" s="3" t="inlineStr">
        <is>
          <t>금호타이어</t>
        </is>
      </c>
      <c r="G2274" s="2" t="inlineStr">
        <is>
          <t>20260311004309</t>
        </is>
      </c>
      <c r="H2274" s="8">
        <f>HYPERLINK("https://dart.fss.or.kr/dsaf001/main.do?rcpNo=20260311004309", "공시열람")</f>
        <v/>
      </c>
    </row>
    <row r="2275">
      <c r="A2275" s="2" t="inlineStr">
        <is>
          <t>2026-03-11</t>
        </is>
      </c>
      <c r="B2275" s="3" t="inlineStr">
        <is>
          <t>대원제약</t>
        </is>
      </c>
      <c r="C2275" s="2" t="inlineStr">
        <is>
          <t>코스피</t>
        </is>
      </c>
      <c r="D2275" s="2" t="inlineStr">
        <is>
          <t>003220</t>
        </is>
      </c>
      <c r="E2275" s="3" t="inlineStr">
        <is>
          <t xml:space="preserve">[기재정정]주주총회소집결의              </t>
        </is>
      </c>
      <c r="F2275" s="3" t="inlineStr">
        <is>
          <t>대원제약</t>
        </is>
      </c>
      <c r="G2275" s="2" t="inlineStr">
        <is>
          <t>20260311801828</t>
        </is>
      </c>
      <c r="H2275" s="8">
        <f>HYPERLINK("https://dart.fss.or.kr/dsaf001/main.do?rcpNo=20260311801828", "공시열람")</f>
        <v/>
      </c>
    </row>
    <row r="2276">
      <c r="A2276" s="2" t="inlineStr">
        <is>
          <t>2026-03-11</t>
        </is>
      </c>
      <c r="B2276" s="3" t="inlineStr">
        <is>
          <t>캐스텍코리아</t>
        </is>
      </c>
      <c r="C2276" s="2" t="inlineStr">
        <is>
          <t>코스닥</t>
        </is>
      </c>
      <c r="D2276" s="2" t="inlineStr">
        <is>
          <t>071850</t>
        </is>
      </c>
      <c r="E2276" s="3" t="inlineStr">
        <is>
          <t xml:space="preserve">주주총회소집결의              </t>
        </is>
      </c>
      <c r="F2276" s="3" t="inlineStr">
        <is>
          <t>캐스텍코리아</t>
        </is>
      </c>
      <c r="G2276" s="2" t="inlineStr">
        <is>
          <t>20260311901845</t>
        </is>
      </c>
      <c r="H2276" s="8">
        <f>HYPERLINK("https://dart.fss.or.kr/dsaf001/main.do?rcpNo=20260311901845", "공시열람")</f>
        <v/>
      </c>
    </row>
    <row r="2277">
      <c r="A2277" s="2" t="inlineStr">
        <is>
          <t>2026-03-11</t>
        </is>
      </c>
      <c r="B2277" s="3" t="inlineStr">
        <is>
          <t>쇼박스</t>
        </is>
      </c>
      <c r="C2277" s="2" t="inlineStr">
        <is>
          <t>코스닥</t>
        </is>
      </c>
      <c r="D2277" s="2" t="inlineStr">
        <is>
          <t>086980</t>
        </is>
      </c>
      <c r="E2277" s="3" t="inlineStr">
        <is>
          <t>주주총회소집공고</t>
        </is>
      </c>
      <c r="F2277" s="3" t="inlineStr">
        <is>
          <t>쇼박스</t>
        </is>
      </c>
      <c r="G2277" s="2" t="inlineStr">
        <is>
          <t>20260311004305</t>
        </is>
      </c>
      <c r="H2277" s="8">
        <f>HYPERLINK("https://dart.fss.or.kr/dsaf001/main.do?rcpNo=20260311004305", "공시열람")</f>
        <v/>
      </c>
    </row>
    <row r="2278">
      <c r="A2278" s="2" t="inlineStr">
        <is>
          <t>2026-03-11</t>
        </is>
      </c>
      <c r="B2278" s="3" t="inlineStr">
        <is>
          <t>다우기술</t>
        </is>
      </c>
      <c r="C2278" s="2" t="inlineStr">
        <is>
          <t>코스피</t>
        </is>
      </c>
      <c r="D2278" s="2" t="inlineStr">
        <is>
          <t>023590</t>
        </is>
      </c>
      <c r="E2278" s="3" t="inlineStr">
        <is>
          <t xml:space="preserve">[기재정정]주주총회소집결의              </t>
        </is>
      </c>
      <c r="F2278" s="3" t="inlineStr">
        <is>
          <t>다우기술</t>
        </is>
      </c>
      <c r="G2278" s="2" t="inlineStr">
        <is>
          <t>20260311801755</t>
        </is>
      </c>
      <c r="H2278" s="8">
        <f>HYPERLINK("https://dart.fss.or.kr/dsaf001/main.do?rcpNo=20260311801755", "공시열람")</f>
        <v/>
      </c>
    </row>
    <row r="2279">
      <c r="A2279" s="2" t="inlineStr">
        <is>
          <t>2026-03-11</t>
        </is>
      </c>
      <c r="B2279" s="3" t="inlineStr">
        <is>
          <t>한울앤제주</t>
        </is>
      </c>
      <c r="C2279" s="2" t="inlineStr">
        <is>
          <t>코스닥</t>
        </is>
      </c>
      <c r="D2279" s="2" t="inlineStr">
        <is>
          <t>276730</t>
        </is>
      </c>
      <c r="E2279" s="3" t="inlineStr">
        <is>
          <t xml:space="preserve">주주총회소집결의              </t>
        </is>
      </c>
      <c r="F2279" s="3" t="inlineStr">
        <is>
          <t>한울앤제주</t>
        </is>
      </c>
      <c r="G2279" s="2" t="inlineStr">
        <is>
          <t>20260311901830</t>
        </is>
      </c>
      <c r="H2279" s="8">
        <f>HYPERLINK("https://dart.fss.or.kr/dsaf001/main.do?rcpNo=20260311901830", "공시열람")</f>
        <v/>
      </c>
    </row>
    <row r="2280">
      <c r="A2280" s="2" t="inlineStr">
        <is>
          <t>2026-03-11 (정정: 2026-03-11)</t>
        </is>
      </c>
      <c r="B2280" s="3" t="inlineStr">
        <is>
          <t>KG이니시스</t>
        </is>
      </c>
      <c r="C2280" s="2" t="inlineStr">
        <is>
          <t>코스닥</t>
        </is>
      </c>
      <c r="D2280" s="2" t="inlineStr">
        <is>
          <t>035600</t>
        </is>
      </c>
      <c r="E2280" s="3" t="inlineStr">
        <is>
          <t>주주총회소집공고 (정정: 20260311) (정정: 20260311)</t>
        </is>
      </c>
      <c r="F2280" s="3" t="inlineStr">
        <is>
          <t>KG이니시스</t>
        </is>
      </c>
      <c r="G2280" s="2" t="inlineStr">
        <is>
          <t>20260311901381</t>
        </is>
      </c>
      <c r="H2280" s="8">
        <f>HYPERLINK("https://dart.fss.or.kr/dsaf001/main.do?rcpNo=20260311901381", "공시열람")</f>
        <v/>
      </c>
    </row>
    <row r="2281">
      <c r="A2281" s="2" t="inlineStr">
        <is>
          <t>2026-03-11</t>
        </is>
      </c>
      <c r="B2281" s="3" t="inlineStr">
        <is>
          <t>동일금속</t>
        </is>
      </c>
      <c r="C2281" s="2" t="inlineStr">
        <is>
          <t>코스닥</t>
        </is>
      </c>
      <c r="D2281" s="2" t="inlineStr">
        <is>
          <t>109860</t>
        </is>
      </c>
      <c r="E2281" s="3" t="inlineStr">
        <is>
          <t xml:space="preserve">주주총회소집결의              </t>
        </is>
      </c>
      <c r="F2281" s="3" t="inlineStr">
        <is>
          <t>동일금속</t>
        </is>
      </c>
      <c r="G2281" s="2" t="inlineStr">
        <is>
          <t>20260311901579</t>
        </is>
      </c>
      <c r="H2281" s="8">
        <f>HYPERLINK("https://dart.fss.or.kr/dsaf001/main.do?rcpNo=20260311901579", "공시열람")</f>
        <v/>
      </c>
    </row>
    <row r="2282">
      <c r="A2282" s="2" t="inlineStr">
        <is>
          <t>2026-03-11</t>
        </is>
      </c>
      <c r="B2282" s="3" t="inlineStr">
        <is>
          <t>미래컴퍼니</t>
        </is>
      </c>
      <c r="C2282" s="2" t="inlineStr">
        <is>
          <t>코스닥</t>
        </is>
      </c>
      <c r="D2282" s="2" t="inlineStr">
        <is>
          <t>049950</t>
        </is>
      </c>
      <c r="E2282" s="3" t="inlineStr">
        <is>
          <t xml:space="preserve">주주총회소집결의              </t>
        </is>
      </c>
      <c r="F2282" s="3" t="inlineStr">
        <is>
          <t>미래컴퍼니</t>
        </is>
      </c>
      <c r="G2282" s="2" t="inlineStr">
        <is>
          <t>20260311901794</t>
        </is>
      </c>
      <c r="H2282" s="8">
        <f>HYPERLINK("https://dart.fss.or.kr/dsaf001/main.do?rcpNo=20260311901794", "공시열람")</f>
        <v/>
      </c>
    </row>
    <row r="2283">
      <c r="A2283" s="2" t="inlineStr">
        <is>
          <t>2026-03-11</t>
        </is>
      </c>
      <c r="B2283" s="3" t="inlineStr">
        <is>
          <t>볼빅</t>
        </is>
      </c>
      <c r="C2283" s="2" t="inlineStr">
        <is>
          <t>코넥스</t>
        </is>
      </c>
      <c r="D2283" s="2" t="inlineStr">
        <is>
          <t>206950</t>
        </is>
      </c>
      <c r="E2283" s="3" t="inlineStr">
        <is>
          <t>주주총회소집공고</t>
        </is>
      </c>
      <c r="F2283" s="3" t="inlineStr">
        <is>
          <t>볼빅</t>
        </is>
      </c>
      <c r="G2283" s="2" t="inlineStr">
        <is>
          <t>20260311004296</t>
        </is>
      </c>
      <c r="H2283" s="8">
        <f>HYPERLINK("https://dart.fss.or.kr/dsaf001/main.do?rcpNo=20260311004296", "공시열람")</f>
        <v/>
      </c>
    </row>
    <row r="2284">
      <c r="A2284" s="2" t="inlineStr">
        <is>
          <t>2026-02-26 (정정: 2026-03-11)</t>
        </is>
      </c>
      <c r="B2284" s="3" t="inlineStr">
        <is>
          <t>YG PLUS</t>
        </is>
      </c>
      <c r="C2284" s="2" t="inlineStr">
        <is>
          <t>코스피</t>
        </is>
      </c>
      <c r="D2284" s="2" t="inlineStr">
        <is>
          <t>037270</t>
        </is>
      </c>
      <c r="E2284" s="3" t="inlineStr">
        <is>
          <t xml:space="preserve">[기재정정]주주총회소집결의              </t>
        </is>
      </c>
      <c r="F2284" s="3" t="inlineStr">
        <is>
          <t>YG PLUS</t>
        </is>
      </c>
      <c r="G2284" s="2" t="inlineStr">
        <is>
          <t>20260311801701</t>
        </is>
      </c>
      <c r="H2284" s="8">
        <f>HYPERLINK("https://dart.fss.or.kr/dsaf001/main.do?rcpNo=20260311801701", "공시열람")</f>
        <v/>
      </c>
    </row>
    <row r="2285">
      <c r="A2285" s="2" t="inlineStr">
        <is>
          <t>2026-03-11</t>
        </is>
      </c>
      <c r="B2285" s="3" t="inlineStr">
        <is>
          <t>아이티센피엔에스</t>
        </is>
      </c>
      <c r="C2285" s="2" t="inlineStr">
        <is>
          <t>코스닥</t>
        </is>
      </c>
      <c r="D2285" s="2" t="inlineStr">
        <is>
          <t>232830</t>
        </is>
      </c>
      <c r="E2285" s="3" t="inlineStr">
        <is>
          <t>주주총회소집공고</t>
        </is>
      </c>
      <c r="F2285" s="3" t="inlineStr">
        <is>
          <t>아이티센피엔에스</t>
        </is>
      </c>
      <c r="G2285" s="2" t="inlineStr">
        <is>
          <t>20260311004294</t>
        </is>
      </c>
      <c r="H2285" s="8">
        <f>HYPERLINK("https://dart.fss.or.kr/dsaf001/main.do?rcpNo=20260311004294", "공시열람")</f>
        <v/>
      </c>
    </row>
    <row r="2286">
      <c r="A2286" s="2" t="inlineStr">
        <is>
          <t>2026-03-11</t>
        </is>
      </c>
      <c r="B2286" s="3" t="inlineStr">
        <is>
          <t>DH오토넥스</t>
        </is>
      </c>
      <c r="C2286" s="2" t="inlineStr">
        <is>
          <t>코스피</t>
        </is>
      </c>
      <c r="D2286" s="2" t="inlineStr">
        <is>
          <t>000300</t>
        </is>
      </c>
      <c r="E2286" s="3" t="inlineStr">
        <is>
          <t xml:space="preserve">[첨부추가]주주총회소집결의              </t>
        </is>
      </c>
      <c r="F2286" s="3" t="inlineStr">
        <is>
          <t>DH오토넥스</t>
        </is>
      </c>
      <c r="G2286" s="2" t="inlineStr">
        <is>
          <t>20260311801684</t>
        </is>
      </c>
      <c r="H2286" s="8">
        <f>HYPERLINK("https://dart.fss.or.kr/dsaf001/main.do?rcpNo=20260311801684", "공시열람")</f>
        <v/>
      </c>
    </row>
    <row r="2287">
      <c r="A2287" s="2" t="inlineStr">
        <is>
          <t>2026-03-11</t>
        </is>
      </c>
      <c r="B2287" s="3" t="inlineStr">
        <is>
          <t>금호타이어</t>
        </is>
      </c>
      <c r="C2287" s="2" t="inlineStr">
        <is>
          <t>코스피</t>
        </is>
      </c>
      <c r="D2287" s="2" t="inlineStr">
        <is>
          <t>073240</t>
        </is>
      </c>
      <c r="E2287" s="3" t="inlineStr">
        <is>
          <t xml:space="preserve">주주총회소집결의              </t>
        </is>
      </c>
      <c r="F2287" s="3" t="inlineStr">
        <is>
          <t>금호타이어</t>
        </is>
      </c>
      <c r="G2287" s="2" t="inlineStr">
        <is>
          <t>20260311801674</t>
        </is>
      </c>
      <c r="H2287" s="8">
        <f>HYPERLINK("https://dart.fss.or.kr/dsaf001/main.do?rcpNo=20260311801674", "공시열람")</f>
        <v/>
      </c>
    </row>
    <row r="2288">
      <c r="A2288" s="2" t="inlineStr">
        <is>
          <t>2026-03-11 (정정: 2026-03-11)</t>
        </is>
      </c>
      <c r="B2288" s="3" t="inlineStr">
        <is>
          <t>코스나인</t>
        </is>
      </c>
      <c r="C2288" s="2" t="inlineStr">
        <is>
          <t>코스닥</t>
        </is>
      </c>
      <c r="D2288" s="2" t="inlineStr">
        <is>
          <t>082660</t>
        </is>
      </c>
      <c r="E2288" s="3" t="inlineStr">
        <is>
          <t>[기재정정]주주총회소집결의               (정정: 20260311)</t>
        </is>
      </c>
      <c r="F2288" s="3" t="inlineStr">
        <is>
          <t>코스나인</t>
        </is>
      </c>
      <c r="G2288" s="2" t="inlineStr">
        <is>
          <t>20260311901719</t>
        </is>
      </c>
      <c r="H2288" s="8">
        <f>HYPERLINK("https://dart.fss.or.kr/dsaf001/main.do?rcpNo=20260311901719", "공시열람")</f>
        <v/>
      </c>
    </row>
    <row r="2289">
      <c r="A2289" s="2" t="inlineStr">
        <is>
          <t>2026-03-11</t>
        </is>
      </c>
      <c r="B2289" s="3" t="inlineStr">
        <is>
          <t>덕산네오룩스</t>
        </is>
      </c>
      <c r="C2289" s="2" t="inlineStr">
        <is>
          <t>코스닥</t>
        </is>
      </c>
      <c r="D2289" s="2" t="inlineStr">
        <is>
          <t>213420</t>
        </is>
      </c>
      <c r="E2289" s="3" t="inlineStr">
        <is>
          <t>주주총회소집공고</t>
        </is>
      </c>
      <c r="F2289" s="3" t="inlineStr">
        <is>
          <t>덕산네오룩스</t>
        </is>
      </c>
      <c r="G2289" s="2" t="inlineStr">
        <is>
          <t>20260311004282</t>
        </is>
      </c>
      <c r="H2289" s="8">
        <f>HYPERLINK("https://dart.fss.or.kr/dsaf001/main.do?rcpNo=20260311004282", "공시열람")</f>
        <v/>
      </c>
    </row>
    <row r="2290">
      <c r="A2290" s="2" t="inlineStr">
        <is>
          <t>2026-03-11 (정정: 2026-03-11)</t>
        </is>
      </c>
      <c r="B2290" s="3" t="inlineStr">
        <is>
          <t>씨유메디칼</t>
        </is>
      </c>
      <c r="C2290" s="2" t="inlineStr">
        <is>
          <t>코스닥</t>
        </is>
      </c>
      <c r="D2290" s="2" t="inlineStr">
        <is>
          <t>115480</t>
        </is>
      </c>
      <c r="E2290" s="3" t="inlineStr">
        <is>
          <t>주주총회소집공고 (정정: 20260311)</t>
        </is>
      </c>
      <c r="F2290" s="3" t="inlineStr">
        <is>
          <t>씨유메디칼</t>
        </is>
      </c>
      <c r="G2290" s="2" t="inlineStr">
        <is>
          <t>20260311003900</t>
        </is>
      </c>
      <c r="H2290" s="8">
        <f>HYPERLINK("https://dart.fss.or.kr/dsaf001/main.do?rcpNo=20260311003900", "공시열람")</f>
        <v/>
      </c>
    </row>
    <row r="2291">
      <c r="A2291" s="2" t="inlineStr">
        <is>
          <t>2026-03-11</t>
        </is>
      </c>
      <c r="B2291" s="3" t="inlineStr">
        <is>
          <t>더존비즈온</t>
        </is>
      </c>
      <c r="C2291" s="2" t="inlineStr">
        <is>
          <t>코스피</t>
        </is>
      </c>
      <c r="D2291" s="2" t="inlineStr">
        <is>
          <t>012510</t>
        </is>
      </c>
      <c r="E2291" s="3" t="inlineStr">
        <is>
          <t>주주총회소집공고</t>
        </is>
      </c>
      <c r="F2291" s="3" t="inlineStr">
        <is>
          <t>더존비즈온</t>
        </is>
      </c>
      <c r="G2291" s="2" t="inlineStr">
        <is>
          <t>20260311004280</t>
        </is>
      </c>
      <c r="H2291" s="8">
        <f>HYPERLINK("https://dart.fss.or.kr/dsaf001/main.do?rcpNo=20260311004280", "공시열람")</f>
        <v/>
      </c>
    </row>
    <row r="2292">
      <c r="A2292" s="2" t="inlineStr">
        <is>
          <t>2026-03-11</t>
        </is>
      </c>
      <c r="B2292" s="3" t="inlineStr">
        <is>
          <t>동양이엔피</t>
        </is>
      </c>
      <c r="C2292" s="2" t="inlineStr">
        <is>
          <t>코스닥</t>
        </is>
      </c>
      <c r="D2292" s="2" t="inlineStr">
        <is>
          <t>079960</t>
        </is>
      </c>
      <c r="E2292" s="3" t="inlineStr">
        <is>
          <t xml:space="preserve">주주총회집중일개최사유신고              </t>
        </is>
      </c>
      <c r="F2292" s="3" t="inlineStr">
        <is>
          <t>동양이엔피</t>
        </is>
      </c>
      <c r="G2292" s="2" t="inlineStr">
        <is>
          <t>20260311901752</t>
        </is>
      </c>
      <c r="H2292" s="8">
        <f>HYPERLINK("https://dart.fss.or.kr/dsaf001/main.do?rcpNo=20260311901752", "공시열람")</f>
        <v/>
      </c>
    </row>
    <row r="2293">
      <c r="A2293" s="2" t="inlineStr">
        <is>
          <t>2026-03-11</t>
        </is>
      </c>
      <c r="B2293" s="3" t="inlineStr">
        <is>
          <t>코콤</t>
        </is>
      </c>
      <c r="C2293" s="2" t="inlineStr">
        <is>
          <t>코스닥</t>
        </is>
      </c>
      <c r="D2293" s="2" t="inlineStr">
        <is>
          <t>015710</t>
        </is>
      </c>
      <c r="E2293" s="3" t="inlineStr">
        <is>
          <t>주주총회소집공고</t>
        </is>
      </c>
      <c r="F2293" s="3" t="inlineStr">
        <is>
          <t>코콤</t>
        </is>
      </c>
      <c r="G2293" s="2" t="inlineStr">
        <is>
          <t>20260311004273</t>
        </is>
      </c>
      <c r="H2293" s="8">
        <f>HYPERLINK("https://dart.fss.or.kr/dsaf001/main.do?rcpNo=20260311004273", "공시열람")</f>
        <v/>
      </c>
    </row>
    <row r="2294">
      <c r="A2294" s="2" t="inlineStr">
        <is>
          <t>2026-03-11</t>
        </is>
      </c>
      <c r="B2294" s="3" t="inlineStr">
        <is>
          <t>동양이엔피</t>
        </is>
      </c>
      <c r="C2294" s="2" t="inlineStr">
        <is>
          <t>코스닥</t>
        </is>
      </c>
      <c r="D2294" s="2" t="inlineStr">
        <is>
          <t>079960</t>
        </is>
      </c>
      <c r="E2294" s="3" t="inlineStr">
        <is>
          <t xml:space="preserve">주주총회소집결의              </t>
        </is>
      </c>
      <c r="F2294" s="3" t="inlineStr">
        <is>
          <t>동양이엔피</t>
        </is>
      </c>
      <c r="G2294" s="2" t="inlineStr">
        <is>
          <t>20260311901748</t>
        </is>
      </c>
      <c r="H2294" s="8">
        <f>HYPERLINK("https://dart.fss.or.kr/dsaf001/main.do?rcpNo=20260311901748", "공시열람")</f>
        <v/>
      </c>
    </row>
    <row r="2295">
      <c r="A2295" s="2" t="inlineStr">
        <is>
          <t>2026-03-11</t>
        </is>
      </c>
      <c r="B2295" s="3" t="inlineStr">
        <is>
          <t>엑스게이트</t>
        </is>
      </c>
      <c r="C2295" s="2" t="inlineStr">
        <is>
          <t>코스닥</t>
        </is>
      </c>
      <c r="D2295" s="2" t="inlineStr">
        <is>
          <t>356680</t>
        </is>
      </c>
      <c r="E2295" s="3" t="inlineStr">
        <is>
          <t>주주총회소집공고</t>
        </is>
      </c>
      <c r="F2295" s="3" t="inlineStr">
        <is>
          <t>엑스게이트</t>
        </is>
      </c>
      <c r="G2295" s="2" t="inlineStr">
        <is>
          <t>20260311004270</t>
        </is>
      </c>
      <c r="H2295" s="8">
        <f>HYPERLINK("https://dart.fss.or.kr/dsaf001/main.do?rcpNo=20260311004270", "공시열람")</f>
        <v/>
      </c>
    </row>
    <row r="2296">
      <c r="A2296" s="2" t="inlineStr">
        <is>
          <t>2026-03-11</t>
        </is>
      </c>
      <c r="B2296" s="3" t="inlineStr">
        <is>
          <t>드림인사이트</t>
        </is>
      </c>
      <c r="C2296" s="2" t="inlineStr">
        <is>
          <t>코스닥</t>
        </is>
      </c>
      <c r="D2296" s="2" t="inlineStr">
        <is>
          <t>362990</t>
        </is>
      </c>
      <c r="E2296" s="3" t="inlineStr">
        <is>
          <t>주주총회소집공고</t>
        </is>
      </c>
      <c r="F2296" s="3" t="inlineStr">
        <is>
          <t>드림인사이트</t>
        </is>
      </c>
      <c r="G2296" s="2" t="inlineStr">
        <is>
          <t>20260311004266</t>
        </is>
      </c>
      <c r="H2296" s="8">
        <f>HYPERLINK("https://dart.fss.or.kr/dsaf001/main.do?rcpNo=20260311004266", "공시열람")</f>
        <v/>
      </c>
    </row>
    <row r="2297">
      <c r="A2297" s="2" t="inlineStr">
        <is>
          <t>2026-03-11</t>
        </is>
      </c>
      <c r="B2297" s="3" t="inlineStr">
        <is>
          <t>캡스톤파트너스</t>
        </is>
      </c>
      <c r="C2297" s="2" t="inlineStr">
        <is>
          <t>코스닥</t>
        </is>
      </c>
      <c r="D2297" s="2" t="inlineStr">
        <is>
          <t>452300</t>
        </is>
      </c>
      <c r="E2297" s="3" t="inlineStr">
        <is>
          <t xml:space="preserve">주주총회집중일개최사유신고              </t>
        </is>
      </c>
      <c r="F2297" s="3" t="inlineStr">
        <is>
          <t>캡스톤파트너스</t>
        </is>
      </c>
      <c r="G2297" s="2" t="inlineStr">
        <is>
          <t>20260311901796</t>
        </is>
      </c>
      <c r="H2297" s="8">
        <f>HYPERLINK("https://dart.fss.or.kr/dsaf001/main.do?rcpNo=20260311901796", "공시열람")</f>
        <v/>
      </c>
    </row>
    <row r="2298">
      <c r="A2298" s="2" t="inlineStr">
        <is>
          <t>2026-03-11</t>
        </is>
      </c>
      <c r="B2298" s="3" t="inlineStr">
        <is>
          <t>캡스톤파트너스</t>
        </is>
      </c>
      <c r="C2298" s="2" t="inlineStr">
        <is>
          <t>코스닥</t>
        </is>
      </c>
      <c r="D2298" s="2" t="inlineStr">
        <is>
          <t>452300</t>
        </is>
      </c>
      <c r="E2298" s="3" t="inlineStr">
        <is>
          <t xml:space="preserve">주주총회소집결의              </t>
        </is>
      </c>
      <c r="F2298" s="3" t="inlineStr">
        <is>
          <t>캡스톤파트너스</t>
        </is>
      </c>
      <c r="G2298" s="2" t="inlineStr">
        <is>
          <t>20260311901781</t>
        </is>
      </c>
      <c r="H2298" s="8">
        <f>HYPERLINK("https://dart.fss.or.kr/dsaf001/main.do?rcpNo=20260311901781", "공시열람")</f>
        <v/>
      </c>
    </row>
    <row r="2299">
      <c r="A2299" s="2" t="inlineStr">
        <is>
          <t>2026-03-11</t>
        </is>
      </c>
      <c r="B2299" s="3" t="inlineStr">
        <is>
          <t>씨유테크</t>
        </is>
      </c>
      <c r="C2299" s="2" t="inlineStr">
        <is>
          <t>코스닥</t>
        </is>
      </c>
      <c r="D2299" s="2" t="inlineStr">
        <is>
          <t>376290</t>
        </is>
      </c>
      <c r="E2299" s="3" t="inlineStr">
        <is>
          <t>주주총회소집공고</t>
        </is>
      </c>
      <c r="F2299" s="3" t="inlineStr">
        <is>
          <t>씨유테크</t>
        </is>
      </c>
      <c r="G2299" s="2" t="inlineStr">
        <is>
          <t>20260311004260</t>
        </is>
      </c>
      <c r="H2299" s="8">
        <f>HYPERLINK("https://dart.fss.or.kr/dsaf001/main.do?rcpNo=20260311004260", "공시열람")</f>
        <v/>
      </c>
    </row>
    <row r="2300">
      <c r="A2300" s="2" t="inlineStr">
        <is>
          <t>2026-03-11</t>
        </is>
      </c>
      <c r="B2300" s="3" t="inlineStr">
        <is>
          <t>나라스페이스테크놀로지</t>
        </is>
      </c>
      <c r="C2300" s="2" t="inlineStr">
        <is>
          <t>코스닥</t>
        </is>
      </c>
      <c r="D2300" s="2" t="inlineStr">
        <is>
          <t>478340</t>
        </is>
      </c>
      <c r="E2300" s="3" t="inlineStr">
        <is>
          <t>주주총회소집공고</t>
        </is>
      </c>
      <c r="F2300" s="3" t="inlineStr">
        <is>
          <t>나라스페이스테크놀로지</t>
        </is>
      </c>
      <c r="G2300" s="2" t="inlineStr">
        <is>
          <t>20260311004259</t>
        </is>
      </c>
      <c r="H2300" s="8">
        <f>HYPERLINK("https://dart.fss.or.kr/dsaf001/main.do?rcpNo=20260311004259", "공시열람")</f>
        <v/>
      </c>
    </row>
    <row r="2301">
      <c r="A2301" s="2" t="inlineStr">
        <is>
          <t>2026-03-11</t>
        </is>
      </c>
      <c r="B2301" s="3" t="inlineStr">
        <is>
          <t>화인써키트</t>
        </is>
      </c>
      <c r="C2301" s="2" t="inlineStr">
        <is>
          <t>코스닥</t>
        </is>
      </c>
      <c r="D2301" s="2" t="inlineStr">
        <is>
          <t>127980</t>
        </is>
      </c>
      <c r="E2301" s="3" t="inlineStr">
        <is>
          <t xml:space="preserve">주주총회집중일개최사유신고              </t>
        </is>
      </c>
      <c r="F2301" s="3" t="inlineStr">
        <is>
          <t>화인써키트</t>
        </is>
      </c>
      <c r="G2301" s="2" t="inlineStr">
        <is>
          <t>20260311901700</t>
        </is>
      </c>
      <c r="H2301" s="8">
        <f>HYPERLINK("https://dart.fss.or.kr/dsaf001/main.do?rcpNo=20260311901700", "공시열람")</f>
        <v/>
      </c>
    </row>
    <row r="2302">
      <c r="A2302" s="2" t="inlineStr">
        <is>
          <t>2026-03-11 (정정: 2026-03-18)</t>
        </is>
      </c>
      <c r="B2302" s="3" t="inlineStr">
        <is>
          <t>삼보모터스</t>
        </is>
      </c>
      <c r="C2302" s="2" t="inlineStr">
        <is>
          <t>코스닥</t>
        </is>
      </c>
      <c r="D2302" s="2" t="inlineStr">
        <is>
          <t>053700</t>
        </is>
      </c>
      <c r="E2302" s="3" t="inlineStr">
        <is>
          <t>주주총회소집공고 (정정: 20260318)</t>
        </is>
      </c>
      <c r="F2302" s="3" t="inlineStr">
        <is>
          <t>삼보모터스</t>
        </is>
      </c>
      <c r="G2302" s="2" t="inlineStr">
        <is>
          <t>20260318001188</t>
        </is>
      </c>
      <c r="H2302" s="8">
        <f>HYPERLINK("https://dart.fss.or.kr/dsaf001/main.do?rcpNo=20260318001188", "공시열람")</f>
        <v/>
      </c>
    </row>
    <row r="2303">
      <c r="A2303" s="2" t="inlineStr">
        <is>
          <t>2026-03-11</t>
        </is>
      </c>
      <c r="B2303" s="3" t="inlineStr">
        <is>
          <t>KX하이텍</t>
        </is>
      </c>
      <c r="C2303" s="2" t="inlineStr">
        <is>
          <t>코스닥</t>
        </is>
      </c>
      <c r="D2303" s="2" t="inlineStr">
        <is>
          <t>052900</t>
        </is>
      </c>
      <c r="E2303" s="3" t="inlineStr">
        <is>
          <t>주주총회소집공고</t>
        </is>
      </c>
      <c r="F2303" s="3" t="inlineStr">
        <is>
          <t>KX하이텍</t>
        </is>
      </c>
      <c r="G2303" s="2" t="inlineStr">
        <is>
          <t>20260311004255</t>
        </is>
      </c>
      <c r="H2303" s="8">
        <f>HYPERLINK("https://dart.fss.or.kr/dsaf001/main.do?rcpNo=20260311004255", "공시열람")</f>
        <v/>
      </c>
    </row>
    <row r="2304">
      <c r="A2304" s="2" t="inlineStr">
        <is>
          <t>2026-03-11</t>
        </is>
      </c>
      <c r="B2304" s="3" t="inlineStr">
        <is>
          <t>뉴트리</t>
        </is>
      </c>
      <c r="C2304" s="2" t="inlineStr">
        <is>
          <t>코스닥</t>
        </is>
      </c>
      <c r="D2304" s="2" t="inlineStr">
        <is>
          <t>270870</t>
        </is>
      </c>
      <c r="E2304" s="3" t="inlineStr">
        <is>
          <t xml:space="preserve">주주총회소집결의              </t>
        </is>
      </c>
      <c r="F2304" s="3" t="inlineStr">
        <is>
          <t>뉴트리</t>
        </is>
      </c>
      <c r="G2304" s="2" t="inlineStr">
        <is>
          <t>20260311901746</t>
        </is>
      </c>
      <c r="H2304" s="8">
        <f>HYPERLINK("https://dart.fss.or.kr/dsaf001/main.do?rcpNo=20260311901746", "공시열람")</f>
        <v/>
      </c>
    </row>
    <row r="2305">
      <c r="A2305" s="2" t="inlineStr">
        <is>
          <t>2026-03-11</t>
        </is>
      </c>
      <c r="B2305" s="3" t="inlineStr">
        <is>
          <t>이렘</t>
        </is>
      </c>
      <c r="C2305" s="2" t="inlineStr">
        <is>
          <t>코스닥</t>
        </is>
      </c>
      <c r="D2305" s="2" t="inlineStr">
        <is>
          <t>009730</t>
        </is>
      </c>
      <c r="E2305" s="3" t="inlineStr">
        <is>
          <t>주주총회소집공고</t>
        </is>
      </c>
      <c r="F2305" s="3" t="inlineStr">
        <is>
          <t>이렘</t>
        </is>
      </c>
      <c r="G2305" s="2" t="inlineStr">
        <is>
          <t>20260311004254</t>
        </is>
      </c>
      <c r="H2305" s="8">
        <f>HYPERLINK("https://dart.fss.or.kr/dsaf001/main.do?rcpNo=20260311004254", "공시열람")</f>
        <v/>
      </c>
    </row>
    <row r="2306">
      <c r="A2306" s="2" t="inlineStr">
        <is>
          <t>2026-03-11</t>
        </is>
      </c>
      <c r="B2306" s="3" t="inlineStr">
        <is>
          <t>화인써키트</t>
        </is>
      </c>
      <c r="C2306" s="2" t="inlineStr">
        <is>
          <t>코스닥</t>
        </is>
      </c>
      <c r="D2306" s="2" t="inlineStr">
        <is>
          <t>127980</t>
        </is>
      </c>
      <c r="E2306" s="3" t="inlineStr">
        <is>
          <t xml:space="preserve">주주총회소집결의              </t>
        </is>
      </c>
      <c r="F2306" s="3" t="inlineStr">
        <is>
          <t>화인써키트</t>
        </is>
      </c>
      <c r="G2306" s="2" t="inlineStr">
        <is>
          <t>20260311901685</t>
        </is>
      </c>
      <c r="H2306" s="8">
        <f>HYPERLINK("https://dart.fss.or.kr/dsaf001/main.do?rcpNo=20260311901685", "공시열람")</f>
        <v/>
      </c>
    </row>
    <row r="2307">
      <c r="A2307" s="2" t="inlineStr">
        <is>
          <t>2026-03-11</t>
        </is>
      </c>
      <c r="B2307" s="3" t="inlineStr">
        <is>
          <t>감성코퍼레이션</t>
        </is>
      </c>
      <c r="C2307" s="2" t="inlineStr">
        <is>
          <t>코스닥</t>
        </is>
      </c>
      <c r="D2307" s="2" t="inlineStr">
        <is>
          <t>036620</t>
        </is>
      </c>
      <c r="E2307" s="3" t="inlineStr">
        <is>
          <t>주주총회소집공고</t>
        </is>
      </c>
      <c r="F2307" s="3" t="inlineStr">
        <is>
          <t>감성코퍼레이션</t>
        </is>
      </c>
      <c r="G2307" s="2" t="inlineStr">
        <is>
          <t>20260311004251</t>
        </is>
      </c>
      <c r="H2307" s="8">
        <f>HYPERLINK("https://dart.fss.or.kr/dsaf001/main.do?rcpNo=20260311004251", "공시열람")</f>
        <v/>
      </c>
    </row>
    <row r="2308">
      <c r="A2308" s="2" t="inlineStr">
        <is>
          <t>2026-03-11</t>
        </is>
      </c>
      <c r="B2308" s="3" t="inlineStr">
        <is>
          <t>우성머티리얼스</t>
        </is>
      </c>
      <c r="C2308" s="2" t="inlineStr">
        <is>
          <t>코스피</t>
        </is>
      </c>
      <c r="D2308" s="2" t="inlineStr">
        <is>
          <t>011300</t>
        </is>
      </c>
      <c r="E2308" s="3" t="inlineStr">
        <is>
          <t>주주총회소집공고</t>
        </is>
      </c>
      <c r="F2308" s="3" t="inlineStr">
        <is>
          <t>우성머티리얼스</t>
        </is>
      </c>
      <c r="G2308" s="2" t="inlineStr">
        <is>
          <t>20260311004250</t>
        </is>
      </c>
      <c r="H2308" s="8">
        <f>HYPERLINK("https://dart.fss.or.kr/dsaf001/main.do?rcpNo=20260311004250", "공시열람")</f>
        <v/>
      </c>
    </row>
    <row r="2309">
      <c r="A2309" s="2" t="inlineStr">
        <is>
          <t>2026-03-11</t>
        </is>
      </c>
      <c r="B2309" s="3" t="inlineStr">
        <is>
          <t>SB성보</t>
        </is>
      </c>
      <c r="C2309" s="2" t="inlineStr">
        <is>
          <t>코스피</t>
        </is>
      </c>
      <c r="D2309" s="2" t="inlineStr">
        <is>
          <t>003080</t>
        </is>
      </c>
      <c r="E2309" s="3" t="inlineStr">
        <is>
          <t>주주총회소집공고</t>
        </is>
      </c>
      <c r="F2309" s="3" t="inlineStr">
        <is>
          <t>SB성보</t>
        </is>
      </c>
      <c r="G2309" s="2" t="inlineStr">
        <is>
          <t>20260311004249</t>
        </is>
      </c>
      <c r="H2309" s="8">
        <f>HYPERLINK("https://dart.fss.or.kr/dsaf001/main.do?rcpNo=20260311004249", "공시열람")</f>
        <v/>
      </c>
    </row>
    <row r="2310">
      <c r="A2310" s="2" t="inlineStr">
        <is>
          <t>2026-03-11</t>
        </is>
      </c>
      <c r="B2310" s="3" t="inlineStr">
        <is>
          <t>타이드</t>
        </is>
      </c>
      <c r="C2310" s="2" t="inlineStr">
        <is>
          <t>코넥스</t>
        </is>
      </c>
      <c r="D2310" s="2" t="inlineStr">
        <is>
          <t>346010</t>
        </is>
      </c>
      <c r="E2310" s="3" t="inlineStr">
        <is>
          <t>주주총회소집공고</t>
        </is>
      </c>
      <c r="F2310" s="3" t="inlineStr">
        <is>
          <t>타이드</t>
        </is>
      </c>
      <c r="G2310" s="2" t="inlineStr">
        <is>
          <t>20260311004246</t>
        </is>
      </c>
      <c r="H2310" s="8">
        <f>HYPERLINK("https://dart.fss.or.kr/dsaf001/main.do?rcpNo=20260311004246", "공시열람")</f>
        <v/>
      </c>
    </row>
    <row r="2311">
      <c r="A2311" s="2" t="inlineStr">
        <is>
          <t>2026-03-11</t>
        </is>
      </c>
      <c r="B2311" s="3" t="inlineStr">
        <is>
          <t>에이텍모빌리티</t>
        </is>
      </c>
      <c r="C2311" s="2" t="inlineStr">
        <is>
          <t>코스닥</t>
        </is>
      </c>
      <c r="D2311" s="2" t="inlineStr">
        <is>
          <t>224110</t>
        </is>
      </c>
      <c r="E2311" s="3" t="inlineStr">
        <is>
          <t>주주총회소집공고</t>
        </is>
      </c>
      <c r="F2311" s="3" t="inlineStr">
        <is>
          <t>에이텍모빌리티</t>
        </is>
      </c>
      <c r="G2311" s="2" t="inlineStr">
        <is>
          <t>20260311004245</t>
        </is>
      </c>
      <c r="H2311" s="8">
        <f>HYPERLINK("https://dart.fss.or.kr/dsaf001/main.do?rcpNo=20260311004245", "공시열람")</f>
        <v/>
      </c>
    </row>
    <row r="2312">
      <c r="A2312" s="2" t="inlineStr">
        <is>
          <t>2026-03-11</t>
        </is>
      </c>
      <c r="B2312" s="3" t="inlineStr">
        <is>
          <t>팬스타엔터프라이즈</t>
        </is>
      </c>
      <c r="C2312" s="2" t="inlineStr">
        <is>
          <t>코스닥</t>
        </is>
      </c>
      <c r="D2312" s="2" t="inlineStr">
        <is>
          <t>054300</t>
        </is>
      </c>
      <c r="E2312" s="3" t="inlineStr">
        <is>
          <t>주주총회소집공고</t>
        </is>
      </c>
      <c r="F2312" s="3" t="inlineStr">
        <is>
          <t>팬스타엔터프라이즈</t>
        </is>
      </c>
      <c r="G2312" s="2" t="inlineStr">
        <is>
          <t>20260311004243</t>
        </is>
      </c>
      <c r="H2312" s="8">
        <f>HYPERLINK("https://dart.fss.or.kr/dsaf001/main.do?rcpNo=20260311004243", "공시열람")</f>
        <v/>
      </c>
    </row>
    <row r="2313">
      <c r="A2313" s="2" t="inlineStr">
        <is>
          <t>2026-03-11 (정정: 2026-05-21)</t>
        </is>
      </c>
      <c r="B2313" s="3" t="inlineStr">
        <is>
          <t>큐리언트</t>
        </is>
      </c>
      <c r="C2313" s="2" t="inlineStr">
        <is>
          <t>코스닥</t>
        </is>
      </c>
      <c r="D2313" s="2" t="inlineStr">
        <is>
          <t>115180</t>
        </is>
      </c>
      <c r="E2313" s="3" t="inlineStr">
        <is>
          <t>주주총회소집결의               (정정: 20260311) (정정: 20260521)</t>
        </is>
      </c>
      <c r="F2313" s="3" t="inlineStr">
        <is>
          <t>큐리언트</t>
        </is>
      </c>
      <c r="G2313" s="2" t="inlineStr">
        <is>
          <t>20260521900557</t>
        </is>
      </c>
      <c r="H2313" s="8">
        <f>HYPERLINK("https://dart.fss.or.kr/dsaf001/main.do?rcpNo=20260521900557", "공시열람")</f>
        <v/>
      </c>
    </row>
    <row r="2314">
      <c r="A2314" s="2" t="inlineStr">
        <is>
          <t>2026-03-11</t>
        </is>
      </c>
      <c r="B2314" s="3" t="inlineStr">
        <is>
          <t>에코심플렉스</t>
        </is>
      </c>
      <c r="C2314" s="2" t="inlineStr">
        <is>
          <t>코스닥</t>
        </is>
      </c>
      <c r="D2314" s="2" t="inlineStr">
        <is>
          <t>038870</t>
        </is>
      </c>
      <c r="E2314" s="3" t="inlineStr">
        <is>
          <t>주주총회소집공고</t>
        </is>
      </c>
      <c r="F2314" s="3" t="inlineStr">
        <is>
          <t>에코심플렉스</t>
        </is>
      </c>
      <c r="G2314" s="2" t="inlineStr">
        <is>
          <t>20260311004241</t>
        </is>
      </c>
      <c r="H2314" s="8">
        <f>HYPERLINK("https://dart.fss.or.kr/dsaf001/main.do?rcpNo=20260311004241", "공시열람")</f>
        <v/>
      </c>
    </row>
    <row r="2315">
      <c r="A2315" s="2" t="inlineStr">
        <is>
          <t>2026-03-11</t>
        </is>
      </c>
      <c r="B2315" s="3" t="inlineStr">
        <is>
          <t>켈스</t>
        </is>
      </c>
      <c r="C2315" s="2" t="inlineStr">
        <is>
          <t>코넥스</t>
        </is>
      </c>
      <c r="D2315" s="2" t="inlineStr">
        <is>
          <t>402420</t>
        </is>
      </c>
      <c r="E2315" s="3" t="inlineStr">
        <is>
          <t>주주총회소집공고</t>
        </is>
      </c>
      <c r="F2315" s="3" t="inlineStr">
        <is>
          <t>켈스</t>
        </is>
      </c>
      <c r="G2315" s="2" t="inlineStr">
        <is>
          <t>20260311004240</t>
        </is>
      </c>
      <c r="H2315" s="8">
        <f>HYPERLINK("https://dart.fss.or.kr/dsaf001/main.do?rcpNo=20260311004240", "공시열람")</f>
        <v/>
      </c>
    </row>
    <row r="2316">
      <c r="A2316" s="2" t="inlineStr">
        <is>
          <t>2026-03-11</t>
        </is>
      </c>
      <c r="B2316" s="3" t="inlineStr">
        <is>
          <t>씨씨에스</t>
        </is>
      </c>
      <c r="C2316" s="2" t="inlineStr">
        <is>
          <t>코스닥</t>
        </is>
      </c>
      <c r="D2316" s="2" t="inlineStr">
        <is>
          <t>066790</t>
        </is>
      </c>
      <c r="E2316" s="3" t="inlineStr">
        <is>
          <t>소송등의제기ㆍ신청(경영권분쟁소송)              (의결권 행사금지 가처분)</t>
        </is>
      </c>
      <c r="F2316" s="3" t="inlineStr">
        <is>
          <t>씨씨에스</t>
        </is>
      </c>
      <c r="G2316" s="2" t="inlineStr">
        <is>
          <t>20260311901710</t>
        </is>
      </c>
      <c r="H2316" s="8">
        <f>HYPERLINK("https://dart.fss.or.kr/dsaf001/main.do?rcpNo=20260311901710", "공시열람")</f>
        <v/>
      </c>
    </row>
    <row r="2317">
      <c r="A2317" s="2" t="inlineStr">
        <is>
          <t>2026-03-11 (정정: 2026-03-11)</t>
        </is>
      </c>
      <c r="B2317" s="3" t="inlineStr">
        <is>
          <t>씨유테크</t>
        </is>
      </c>
      <c r="C2317" s="2" t="inlineStr">
        <is>
          <t>코스닥</t>
        </is>
      </c>
      <c r="D2317" s="2" t="inlineStr">
        <is>
          <t>376290</t>
        </is>
      </c>
      <c r="E2317" s="3" t="inlineStr">
        <is>
          <t>주주총회소집결의               (정정: 20260311)</t>
        </is>
      </c>
      <c r="F2317" s="3" t="inlineStr">
        <is>
          <t>씨유테크</t>
        </is>
      </c>
      <c r="G2317" s="2" t="inlineStr">
        <is>
          <t>20260311901480</t>
        </is>
      </c>
      <c r="H2317" s="8">
        <f>HYPERLINK("https://dart.fss.or.kr/dsaf001/main.do?rcpNo=20260311901480", "공시열람")</f>
        <v/>
      </c>
    </row>
    <row r="2318">
      <c r="A2318" s="2" t="inlineStr">
        <is>
          <t>2026-03-11</t>
        </is>
      </c>
      <c r="B2318" s="3" t="inlineStr">
        <is>
          <t>타이드</t>
        </is>
      </c>
      <c r="C2318" s="2" t="inlineStr">
        <is>
          <t>코넥스</t>
        </is>
      </c>
      <c r="D2318" s="2" t="inlineStr">
        <is>
          <t>346010</t>
        </is>
      </c>
      <c r="E2318" s="3" t="inlineStr">
        <is>
          <t xml:space="preserve">주주총회집중일개최사유신고              </t>
        </is>
      </c>
      <c r="F2318" s="3" t="inlineStr">
        <is>
          <t>타이드</t>
        </is>
      </c>
      <c r="G2318" s="2" t="inlineStr">
        <is>
          <t>20260311601739</t>
        </is>
      </c>
      <c r="H2318" s="8">
        <f>HYPERLINK("https://dart.fss.or.kr/dsaf001/main.do?rcpNo=20260311601739", "공시열람")</f>
        <v/>
      </c>
    </row>
    <row r="2319">
      <c r="A2319" s="2" t="inlineStr">
        <is>
          <t>2026-03-11</t>
        </is>
      </c>
      <c r="B2319" s="3" t="inlineStr">
        <is>
          <t>도이치모터스</t>
        </is>
      </c>
      <c r="C2319" s="2" t="inlineStr">
        <is>
          <t>코스닥</t>
        </is>
      </c>
      <c r="D2319" s="2" t="inlineStr">
        <is>
          <t>067990</t>
        </is>
      </c>
      <c r="E2319" s="3" t="inlineStr">
        <is>
          <t xml:space="preserve">주주총회소집결의              </t>
        </is>
      </c>
      <c r="F2319" s="3" t="inlineStr">
        <is>
          <t>도이치모터스</t>
        </is>
      </c>
      <c r="G2319" s="2" t="inlineStr">
        <is>
          <t>20260311901692</t>
        </is>
      </c>
      <c r="H2319" s="8">
        <f>HYPERLINK("https://dart.fss.or.kr/dsaf001/main.do?rcpNo=20260311901692", "공시열람")</f>
        <v/>
      </c>
    </row>
    <row r="2320">
      <c r="A2320" s="2" t="inlineStr">
        <is>
          <t>2026-03-11</t>
        </is>
      </c>
      <c r="B2320" s="3" t="inlineStr">
        <is>
          <t>타이드</t>
        </is>
      </c>
      <c r="C2320" s="2" t="inlineStr">
        <is>
          <t>코넥스</t>
        </is>
      </c>
      <c r="D2320" s="2" t="inlineStr">
        <is>
          <t>346010</t>
        </is>
      </c>
      <c r="E2320" s="3" t="inlineStr">
        <is>
          <t xml:space="preserve">주주총회소집결의              </t>
        </is>
      </c>
      <c r="F2320" s="3" t="inlineStr">
        <is>
          <t>타이드</t>
        </is>
      </c>
      <c r="G2320" s="2" t="inlineStr">
        <is>
          <t>20260311601659</t>
        </is>
      </c>
      <c r="H2320" s="8">
        <f>HYPERLINK("https://dart.fss.or.kr/dsaf001/main.do?rcpNo=20260311601659", "공시열람")</f>
        <v/>
      </c>
    </row>
    <row r="2321">
      <c r="A2321" s="2" t="inlineStr">
        <is>
          <t>2026-03-11</t>
        </is>
      </c>
      <c r="B2321" s="3" t="inlineStr">
        <is>
          <t>모베이스전자</t>
        </is>
      </c>
      <c r="C2321" s="2" t="inlineStr">
        <is>
          <t>코스닥</t>
        </is>
      </c>
      <c r="D2321" s="2" t="inlineStr">
        <is>
          <t>012860</t>
        </is>
      </c>
      <c r="E2321" s="3" t="inlineStr">
        <is>
          <t>[기재정정]주주총회소집공고</t>
        </is>
      </c>
      <c r="F2321" s="3" t="inlineStr">
        <is>
          <t>모베이스전자</t>
        </is>
      </c>
      <c r="G2321" s="2" t="inlineStr">
        <is>
          <t>20260311004234</t>
        </is>
      </c>
      <c r="H2321" s="8">
        <f>HYPERLINK("https://dart.fss.or.kr/dsaf001/main.do?rcpNo=20260311004234", "공시열람")</f>
        <v/>
      </c>
    </row>
    <row r="2322">
      <c r="A2322" s="2" t="inlineStr">
        <is>
          <t>2026-03-11</t>
        </is>
      </c>
      <c r="B2322" s="3" t="inlineStr">
        <is>
          <t>아센디오</t>
        </is>
      </c>
      <c r="C2322" s="2" t="inlineStr">
        <is>
          <t>코스피</t>
        </is>
      </c>
      <c r="D2322" s="2" t="inlineStr">
        <is>
          <t>012170</t>
        </is>
      </c>
      <c r="E2322" s="3" t="inlineStr">
        <is>
          <t>주주총회소집공고</t>
        </is>
      </c>
      <c r="F2322" s="3" t="inlineStr">
        <is>
          <t>아센디오</t>
        </is>
      </c>
      <c r="G2322" s="2" t="inlineStr">
        <is>
          <t>20260311004230</t>
        </is>
      </c>
      <c r="H2322" s="8">
        <f>HYPERLINK("https://dart.fss.or.kr/dsaf001/main.do?rcpNo=20260311004230", "공시열람")</f>
        <v/>
      </c>
    </row>
    <row r="2323">
      <c r="A2323" s="2" t="inlineStr">
        <is>
          <t>2026-03-11</t>
        </is>
      </c>
      <c r="B2323" s="3" t="inlineStr">
        <is>
          <t>에코심플렉스</t>
        </is>
      </c>
      <c r="C2323" s="2" t="inlineStr">
        <is>
          <t>코스닥</t>
        </is>
      </c>
      <c r="D2323" s="2" t="inlineStr">
        <is>
          <t>038870</t>
        </is>
      </c>
      <c r="E2323" s="3" t="inlineStr">
        <is>
          <t xml:space="preserve">주주총회소집결의              </t>
        </is>
      </c>
      <c r="F2323" s="3" t="inlineStr">
        <is>
          <t>에코심플렉스</t>
        </is>
      </c>
      <c r="G2323" s="2" t="inlineStr">
        <is>
          <t>20260311901523</t>
        </is>
      </c>
      <c r="H2323" s="8">
        <f>HYPERLINK("https://dart.fss.or.kr/dsaf001/main.do?rcpNo=20260311901523", "공시열람")</f>
        <v/>
      </c>
    </row>
    <row r="2324">
      <c r="A2324" s="2" t="inlineStr">
        <is>
          <t>2026-03-11</t>
        </is>
      </c>
      <c r="B2324" s="3" t="inlineStr">
        <is>
          <t>네패스</t>
        </is>
      </c>
      <c r="C2324" s="2" t="inlineStr">
        <is>
          <t>코스닥</t>
        </is>
      </c>
      <c r="D2324" s="2" t="inlineStr">
        <is>
          <t>033640</t>
        </is>
      </c>
      <c r="E2324" s="3" t="inlineStr">
        <is>
          <t xml:space="preserve">주주총회소집결의              </t>
        </is>
      </c>
      <c r="F2324" s="3" t="inlineStr">
        <is>
          <t>네패스</t>
        </is>
      </c>
      <c r="G2324" s="2" t="inlineStr">
        <is>
          <t>20260311901680</t>
        </is>
      </c>
      <c r="H2324" s="8">
        <f>HYPERLINK("https://dart.fss.or.kr/dsaf001/main.do?rcpNo=20260311901680", "공시열람")</f>
        <v/>
      </c>
    </row>
    <row r="2325">
      <c r="A2325" s="2" t="inlineStr">
        <is>
          <t>2026-03-11</t>
        </is>
      </c>
      <c r="B2325" s="3" t="inlineStr">
        <is>
          <t>제너셈</t>
        </is>
      </c>
      <c r="C2325" s="2" t="inlineStr">
        <is>
          <t>코스닥</t>
        </is>
      </c>
      <c r="D2325" s="2" t="inlineStr">
        <is>
          <t>217190</t>
        </is>
      </c>
      <c r="E2325" s="3" t="inlineStr">
        <is>
          <t>주주총회소집공고</t>
        </is>
      </c>
      <c r="F2325" s="3" t="inlineStr">
        <is>
          <t>제너셈</t>
        </is>
      </c>
      <c r="G2325" s="2" t="inlineStr">
        <is>
          <t>20260311004222</t>
        </is>
      </c>
      <c r="H2325" s="8">
        <f>HYPERLINK("https://dart.fss.or.kr/dsaf001/main.do?rcpNo=20260311004222", "공시열람")</f>
        <v/>
      </c>
    </row>
    <row r="2326">
      <c r="A2326" s="2" t="inlineStr">
        <is>
          <t>2026-03-11</t>
        </is>
      </c>
      <c r="B2326" s="3" t="inlineStr">
        <is>
          <t>KX하이텍</t>
        </is>
      </c>
      <c r="C2326" s="2" t="inlineStr">
        <is>
          <t>코스닥</t>
        </is>
      </c>
      <c r="D2326" s="2" t="inlineStr">
        <is>
          <t>052900</t>
        </is>
      </c>
      <c r="E2326" s="3" t="inlineStr">
        <is>
          <t xml:space="preserve">주주총회소집결의              </t>
        </is>
      </c>
      <c r="F2326" s="3" t="inlineStr">
        <is>
          <t>KX하이텍</t>
        </is>
      </c>
      <c r="G2326" s="2" t="inlineStr">
        <is>
          <t>20260311901682</t>
        </is>
      </c>
      <c r="H2326" s="8">
        <f>HYPERLINK("https://dart.fss.or.kr/dsaf001/main.do?rcpNo=20260311901682", "공시열람")</f>
        <v/>
      </c>
    </row>
    <row r="2327">
      <c r="A2327" s="2" t="inlineStr">
        <is>
          <t>2026-03-11</t>
        </is>
      </c>
      <c r="B2327" s="3" t="inlineStr">
        <is>
          <t>케이웨더</t>
        </is>
      </c>
      <c r="C2327" s="2" t="inlineStr">
        <is>
          <t>코스닥</t>
        </is>
      </c>
      <c r="D2327" s="2" t="inlineStr">
        <is>
          <t>068100</t>
        </is>
      </c>
      <c r="E2327" s="3" t="inlineStr">
        <is>
          <t xml:space="preserve">주주총회집중일개최사유신고              </t>
        </is>
      </c>
      <c r="F2327" s="3" t="inlineStr">
        <is>
          <t>케이웨더</t>
        </is>
      </c>
      <c r="G2327" s="2" t="inlineStr">
        <is>
          <t>20260311901650</t>
        </is>
      </c>
      <c r="H2327" s="8">
        <f>HYPERLINK("https://dart.fss.or.kr/dsaf001/main.do?rcpNo=20260311901650", "공시열람")</f>
        <v/>
      </c>
    </row>
    <row r="2328">
      <c r="A2328" s="2" t="inlineStr">
        <is>
          <t>2026-03-11</t>
        </is>
      </c>
      <c r="B2328" s="3" t="inlineStr">
        <is>
          <t>교촌에프앤비</t>
        </is>
      </c>
      <c r="C2328" s="2" t="inlineStr">
        <is>
          <t>코스피</t>
        </is>
      </c>
      <c r="D2328" s="2" t="inlineStr">
        <is>
          <t>339770</t>
        </is>
      </c>
      <c r="E2328" s="3" t="inlineStr">
        <is>
          <t xml:space="preserve">주주총회소집결의              </t>
        </is>
      </c>
      <c r="F2328" s="3" t="inlineStr">
        <is>
          <t>교촌에프앤비</t>
        </is>
      </c>
      <c r="G2328" s="2" t="inlineStr">
        <is>
          <t>20260311801697</t>
        </is>
      </c>
      <c r="H2328" s="8">
        <f>HYPERLINK("https://dart.fss.or.kr/dsaf001/main.do?rcpNo=20260311801697", "공시열람")</f>
        <v/>
      </c>
    </row>
    <row r="2329">
      <c r="A2329" s="2" t="inlineStr">
        <is>
          <t>2026-03-11</t>
        </is>
      </c>
      <c r="B2329" s="3" t="inlineStr">
        <is>
          <t>세림B&amp;G</t>
        </is>
      </c>
      <c r="C2329" s="2" t="inlineStr">
        <is>
          <t>코스닥</t>
        </is>
      </c>
      <c r="D2329" s="2" t="inlineStr">
        <is>
          <t>340440</t>
        </is>
      </c>
      <c r="E2329" s="3" t="inlineStr">
        <is>
          <t>주주총회소집공고</t>
        </is>
      </c>
      <c r="F2329" s="3" t="inlineStr">
        <is>
          <t>세림B&amp;G</t>
        </is>
      </c>
      <c r="G2329" s="2" t="inlineStr">
        <is>
          <t>20260311004215</t>
        </is>
      </c>
      <c r="H2329" s="8">
        <f>HYPERLINK("https://dart.fss.or.kr/dsaf001/main.do?rcpNo=20260311004215", "공시열람")</f>
        <v/>
      </c>
    </row>
    <row r="2330">
      <c r="A2330" s="2" t="inlineStr">
        <is>
          <t>2026-03-11</t>
        </is>
      </c>
      <c r="B2330" s="3" t="inlineStr">
        <is>
          <t>우성머티리얼스</t>
        </is>
      </c>
      <c r="C2330" s="2" t="inlineStr">
        <is>
          <t>코스피</t>
        </is>
      </c>
      <c r="D2330" s="2" t="inlineStr">
        <is>
          <t>011300</t>
        </is>
      </c>
      <c r="E2330" s="3" t="inlineStr">
        <is>
          <t xml:space="preserve">주주총회소집결의              </t>
        </is>
      </c>
      <c r="F2330" s="3" t="inlineStr">
        <is>
          <t>우성머티리얼스</t>
        </is>
      </c>
      <c r="G2330" s="2" t="inlineStr">
        <is>
          <t>20260311801644</t>
        </is>
      </c>
      <c r="H2330" s="8">
        <f>HYPERLINK("https://dart.fss.or.kr/dsaf001/main.do?rcpNo=20260311801644", "공시열람")</f>
        <v/>
      </c>
    </row>
    <row r="2331">
      <c r="A2331" s="2" t="inlineStr">
        <is>
          <t>2026-03-11</t>
        </is>
      </c>
      <c r="B2331" s="3" t="inlineStr">
        <is>
          <t>성도이엔지</t>
        </is>
      </c>
      <c r="C2331" s="2" t="inlineStr">
        <is>
          <t>코스닥</t>
        </is>
      </c>
      <c r="D2331" s="2" t="inlineStr">
        <is>
          <t>037350</t>
        </is>
      </c>
      <c r="E2331" s="3" t="inlineStr">
        <is>
          <t>주주총회소집공고</t>
        </is>
      </c>
      <c r="F2331" s="3" t="inlineStr">
        <is>
          <t>성도이엔지</t>
        </is>
      </c>
      <c r="G2331" s="2" t="inlineStr">
        <is>
          <t>20260311004213</t>
        </is>
      </c>
      <c r="H2331" s="8">
        <f>HYPERLINK("https://dart.fss.or.kr/dsaf001/main.do?rcpNo=20260311004213", "공시열람")</f>
        <v/>
      </c>
    </row>
    <row r="2332">
      <c r="A2332" s="2" t="inlineStr">
        <is>
          <t>2026-03-11</t>
        </is>
      </c>
      <c r="B2332" s="3" t="inlineStr">
        <is>
          <t>제너셈</t>
        </is>
      </c>
      <c r="C2332" s="2" t="inlineStr">
        <is>
          <t>코스닥</t>
        </is>
      </c>
      <c r="D2332" s="2" t="inlineStr">
        <is>
          <t>217190</t>
        </is>
      </c>
      <c r="E2332" s="3" t="inlineStr">
        <is>
          <t xml:space="preserve">주주총회소집결의              </t>
        </is>
      </c>
      <c r="F2332" s="3" t="inlineStr">
        <is>
          <t>제너셈</t>
        </is>
      </c>
      <c r="G2332" s="2" t="inlineStr">
        <is>
          <t>20260311901596</t>
        </is>
      </c>
      <c r="H2332" s="8">
        <f>HYPERLINK("https://dart.fss.or.kr/dsaf001/main.do?rcpNo=20260311901596", "공시열람")</f>
        <v/>
      </c>
    </row>
    <row r="2333">
      <c r="A2333" s="2" t="inlineStr">
        <is>
          <t>2026-03-11</t>
        </is>
      </c>
      <c r="B2333" s="3" t="inlineStr">
        <is>
          <t>HLB생명과학</t>
        </is>
      </c>
      <c r="C2333" s="2" t="inlineStr">
        <is>
          <t>코스닥</t>
        </is>
      </c>
      <c r="D2333" s="2" t="inlineStr">
        <is>
          <t>067630</t>
        </is>
      </c>
      <c r="E2333" s="3" t="inlineStr">
        <is>
          <t>주주총회소집공고</t>
        </is>
      </c>
      <c r="F2333" s="3" t="inlineStr">
        <is>
          <t>HLB생명과학</t>
        </is>
      </c>
      <c r="G2333" s="2" t="inlineStr">
        <is>
          <t>20260311004211</t>
        </is>
      </c>
      <c r="H2333" s="8">
        <f>HYPERLINK("https://dart.fss.or.kr/dsaf001/main.do?rcpNo=20260311004211", "공시열람")</f>
        <v/>
      </c>
    </row>
    <row r="2334">
      <c r="A2334" s="2" t="inlineStr">
        <is>
          <t>2026-03-11</t>
        </is>
      </c>
      <c r="B2334" s="3" t="inlineStr">
        <is>
          <t>한온시스템</t>
        </is>
      </c>
      <c r="C2334" s="2" t="inlineStr">
        <is>
          <t>코스피</t>
        </is>
      </c>
      <c r="D2334" s="2" t="inlineStr">
        <is>
          <t>018880</t>
        </is>
      </c>
      <c r="E2334" s="3" t="inlineStr">
        <is>
          <t>주주총회소집공고</t>
        </is>
      </c>
      <c r="F2334" s="3" t="inlineStr">
        <is>
          <t>한온시스템</t>
        </is>
      </c>
      <c r="G2334" s="2" t="inlineStr">
        <is>
          <t>20260311004210</t>
        </is>
      </c>
      <c r="H2334" s="8">
        <f>HYPERLINK("https://dart.fss.or.kr/dsaf001/main.do?rcpNo=20260311004210", "공시열람")</f>
        <v/>
      </c>
    </row>
    <row r="2335">
      <c r="A2335" s="2" t="inlineStr">
        <is>
          <t>2026-03-11</t>
        </is>
      </c>
      <c r="B2335" s="3" t="inlineStr">
        <is>
          <t>엔솔바이오사이언스</t>
        </is>
      </c>
      <c r="C2335" s="2" t="inlineStr">
        <is>
          <t>코넥스</t>
        </is>
      </c>
      <c r="D2335" s="2" t="inlineStr">
        <is>
          <t>140610</t>
        </is>
      </c>
      <c r="E2335" s="3" t="inlineStr">
        <is>
          <t>주주총회소집공고</t>
        </is>
      </c>
      <c r="F2335" s="3" t="inlineStr">
        <is>
          <t>엔솔바이오사이언스</t>
        </is>
      </c>
      <c r="G2335" s="2" t="inlineStr">
        <is>
          <t>20260311004207</t>
        </is>
      </c>
      <c r="H2335" s="8">
        <f>HYPERLINK("https://dart.fss.or.kr/dsaf001/main.do?rcpNo=20260311004207", "공시열람")</f>
        <v/>
      </c>
    </row>
    <row r="2336">
      <c r="A2336" s="2" t="inlineStr">
        <is>
          <t>2026-03-11 (정정: 2026-03-11)</t>
        </is>
      </c>
      <c r="B2336" s="3" t="inlineStr">
        <is>
          <t>팬스타엔터프라이즈</t>
        </is>
      </c>
      <c r="C2336" s="2" t="inlineStr">
        <is>
          <t>코스닥</t>
        </is>
      </c>
      <c r="D2336" s="2" t="inlineStr">
        <is>
          <t>054300</t>
        </is>
      </c>
      <c r="E2336" s="3" t="inlineStr">
        <is>
          <t>주주총회소집결의               (정정: 20260311)</t>
        </is>
      </c>
      <c r="F2336" s="3" t="inlineStr">
        <is>
          <t>팬스타엔터프라이즈</t>
        </is>
      </c>
      <c r="G2336" s="2" t="inlineStr">
        <is>
          <t>20260311901639</t>
        </is>
      </c>
      <c r="H2336" s="8">
        <f>HYPERLINK("https://dart.fss.or.kr/dsaf001/main.do?rcpNo=20260311901639", "공시열람")</f>
        <v/>
      </c>
    </row>
    <row r="2337">
      <c r="A2337" s="2" t="inlineStr">
        <is>
          <t>2026-03-11</t>
        </is>
      </c>
      <c r="B2337" s="3" t="inlineStr">
        <is>
          <t>스튜디오드래곤</t>
        </is>
      </c>
      <c r="C2337" s="2" t="inlineStr">
        <is>
          <t>코스닥</t>
        </is>
      </c>
      <c r="D2337" s="2" t="inlineStr">
        <is>
          <t>253450</t>
        </is>
      </c>
      <c r="E2337" s="3" t="inlineStr">
        <is>
          <t xml:space="preserve">주주총회소집결의              </t>
        </is>
      </c>
      <c r="F2337" s="3" t="inlineStr">
        <is>
          <t>스튜디오드래곤</t>
        </is>
      </c>
      <c r="G2337" s="2" t="inlineStr">
        <is>
          <t>20260311901611</t>
        </is>
      </c>
      <c r="H2337" s="8">
        <f>HYPERLINK("https://dart.fss.or.kr/dsaf001/main.do?rcpNo=20260311901611", "공시열람")</f>
        <v/>
      </c>
    </row>
    <row r="2338">
      <c r="A2338" s="2" t="inlineStr">
        <is>
          <t>2026-03-11</t>
        </is>
      </c>
      <c r="B2338" s="3" t="inlineStr">
        <is>
          <t>참엔지니어링</t>
        </is>
      </c>
      <c r="C2338" s="2" t="inlineStr">
        <is>
          <t>코스피</t>
        </is>
      </c>
      <c r="D2338" s="2" t="inlineStr">
        <is>
          <t>009310</t>
        </is>
      </c>
      <c r="E2338" s="3" t="inlineStr">
        <is>
          <t>주주총회소집공고</t>
        </is>
      </c>
      <c r="F2338" s="3" t="inlineStr">
        <is>
          <t>참엔지니어링</t>
        </is>
      </c>
      <c r="G2338" s="2" t="inlineStr">
        <is>
          <t>20260311004202</t>
        </is>
      </c>
      <c r="H2338" s="8">
        <f>HYPERLINK("https://dart.fss.or.kr/dsaf001/main.do?rcpNo=20260311004202", "공시열람")</f>
        <v/>
      </c>
    </row>
    <row r="2339">
      <c r="A2339" s="2" t="inlineStr">
        <is>
          <t>2026-03-11</t>
        </is>
      </c>
      <c r="B2339" s="3" t="inlineStr">
        <is>
          <t>HLB생명과학</t>
        </is>
      </c>
      <c r="C2339" s="2" t="inlineStr">
        <is>
          <t>코스닥</t>
        </is>
      </c>
      <c r="D2339" s="2" t="inlineStr">
        <is>
          <t>067630</t>
        </is>
      </c>
      <c r="E2339" s="3" t="inlineStr">
        <is>
          <t xml:space="preserve">주주총회소집결의              </t>
        </is>
      </c>
      <c r="F2339" s="3" t="inlineStr">
        <is>
          <t>HLB생명과학</t>
        </is>
      </c>
      <c r="G2339" s="2" t="inlineStr">
        <is>
          <t>20260311901180</t>
        </is>
      </c>
      <c r="H2339" s="8">
        <f>HYPERLINK("https://dart.fss.or.kr/dsaf001/main.do?rcpNo=20260311901180", "공시열람")</f>
        <v/>
      </c>
    </row>
    <row r="2340">
      <c r="A2340" s="2" t="inlineStr">
        <is>
          <t>2026-03-11</t>
        </is>
      </c>
      <c r="B2340" s="3" t="inlineStr">
        <is>
          <t>인텍플러스</t>
        </is>
      </c>
      <c r="C2340" s="2" t="inlineStr">
        <is>
          <t>코스닥</t>
        </is>
      </c>
      <c r="D2340" s="2" t="inlineStr">
        <is>
          <t>064290</t>
        </is>
      </c>
      <c r="E2340" s="3" t="inlineStr">
        <is>
          <t>주주총회소집공고</t>
        </is>
      </c>
      <c r="F2340" s="3" t="inlineStr">
        <is>
          <t>인텍플러스</t>
        </is>
      </c>
      <c r="G2340" s="2" t="inlineStr">
        <is>
          <t>20260311004201</t>
        </is>
      </c>
      <c r="H2340" s="8">
        <f>HYPERLINK("https://dart.fss.or.kr/dsaf001/main.do?rcpNo=20260311004201", "공시열람")</f>
        <v/>
      </c>
    </row>
    <row r="2341">
      <c r="A2341" s="2" t="inlineStr">
        <is>
          <t>2026-03-11</t>
        </is>
      </c>
      <c r="B2341" s="3" t="inlineStr">
        <is>
          <t>티사이언티픽</t>
        </is>
      </c>
      <c r="C2341" s="2" t="inlineStr">
        <is>
          <t>코스닥</t>
        </is>
      </c>
      <c r="D2341" s="2" t="inlineStr">
        <is>
          <t>057680</t>
        </is>
      </c>
      <c r="E2341" s="3" t="inlineStr">
        <is>
          <t>주주총회소집공고</t>
        </is>
      </c>
      <c r="F2341" s="3" t="inlineStr">
        <is>
          <t>티사이언티픽</t>
        </is>
      </c>
      <c r="G2341" s="2" t="inlineStr">
        <is>
          <t>20260311004199</t>
        </is>
      </c>
      <c r="H2341" s="8">
        <f>HYPERLINK("https://dart.fss.or.kr/dsaf001/main.do?rcpNo=20260311004199", "공시열람")</f>
        <v/>
      </c>
    </row>
    <row r="2342">
      <c r="A2342" s="2" t="inlineStr">
        <is>
          <t>2026-03-11 (정정: 2026-03-11)</t>
        </is>
      </c>
      <c r="B2342" s="3" t="inlineStr">
        <is>
          <t>DB증권</t>
        </is>
      </c>
      <c r="C2342" s="2" t="inlineStr">
        <is>
          <t>코스피</t>
        </is>
      </c>
      <c r="D2342" s="2" t="inlineStr">
        <is>
          <t>016610</t>
        </is>
      </c>
      <c r="E2342" s="3" t="inlineStr">
        <is>
          <t>주주총회소집공고 (정정: 20260311)</t>
        </is>
      </c>
      <c r="F2342" s="3" t="inlineStr">
        <is>
          <t>DB증권</t>
        </is>
      </c>
      <c r="G2342" s="2" t="inlineStr">
        <is>
          <t>20260311801561</t>
        </is>
      </c>
      <c r="H2342" s="8">
        <f>HYPERLINK("https://dart.fss.or.kr/dsaf001/main.do?rcpNo=20260311801561", "공시열람")</f>
        <v/>
      </c>
    </row>
    <row r="2343">
      <c r="A2343" s="2" t="inlineStr">
        <is>
          <t>2026-03-11 (정정: 2026-03-12)</t>
        </is>
      </c>
      <c r="B2343" s="3" t="inlineStr">
        <is>
          <t>흥국화재</t>
        </is>
      </c>
      <c r="C2343" s="2" t="inlineStr">
        <is>
          <t>코스피</t>
        </is>
      </c>
      <c r="D2343" s="2" t="inlineStr">
        <is>
          <t>000540</t>
        </is>
      </c>
      <c r="E2343" s="3" t="inlineStr">
        <is>
          <t>주주총회집중일개최사유신고               (정정: 20260312) (정정: 20260312)</t>
        </is>
      </c>
      <c r="F2343" s="3" t="inlineStr">
        <is>
          <t>흥국화재</t>
        </is>
      </c>
      <c r="G2343" s="2" t="inlineStr">
        <is>
          <t>20260312000216</t>
        </is>
      </c>
      <c r="H2343" s="8">
        <f>HYPERLINK("https://dart.fss.or.kr/dsaf001/main.do?rcpNo=20260312000216", "공시열람")</f>
        <v/>
      </c>
    </row>
    <row r="2344">
      <c r="A2344" s="2" t="inlineStr">
        <is>
          <t>2026-03-11</t>
        </is>
      </c>
      <c r="B2344" s="3" t="inlineStr">
        <is>
          <t>사조동아원</t>
        </is>
      </c>
      <c r="C2344" s="2" t="inlineStr">
        <is>
          <t>코스피</t>
        </is>
      </c>
      <c r="D2344" s="2" t="inlineStr">
        <is>
          <t>008040</t>
        </is>
      </c>
      <c r="E2344" s="3" t="inlineStr">
        <is>
          <t>주주총회소집공고</t>
        </is>
      </c>
      <c r="F2344" s="3" t="inlineStr">
        <is>
          <t>사조동아원</t>
        </is>
      </c>
      <c r="G2344" s="2" t="inlineStr">
        <is>
          <t>20260311004196</t>
        </is>
      </c>
      <c r="H2344" s="8">
        <f>HYPERLINK("https://dart.fss.or.kr/dsaf001/main.do?rcpNo=20260311004196", "공시열람")</f>
        <v/>
      </c>
    </row>
    <row r="2345">
      <c r="A2345" s="2" t="inlineStr">
        <is>
          <t>2026-03-11</t>
        </is>
      </c>
      <c r="B2345" s="3" t="inlineStr">
        <is>
          <t>엔지켐생명과학</t>
        </is>
      </c>
      <c r="C2345" s="2" t="inlineStr">
        <is>
          <t>코스닥</t>
        </is>
      </c>
      <c r="D2345" s="2" t="inlineStr">
        <is>
          <t>183490</t>
        </is>
      </c>
      <c r="E2345" s="3" t="inlineStr">
        <is>
          <t>주주총회소집공고</t>
        </is>
      </c>
      <c r="F2345" s="3" t="inlineStr">
        <is>
          <t>엔지켐생명과학</t>
        </is>
      </c>
      <c r="G2345" s="2" t="inlineStr">
        <is>
          <t>20260311004195</t>
        </is>
      </c>
      <c r="H2345" s="8">
        <f>HYPERLINK("https://dart.fss.or.kr/dsaf001/main.do?rcpNo=20260311004195", "공시열람")</f>
        <v/>
      </c>
    </row>
    <row r="2346">
      <c r="A2346" s="2" t="inlineStr">
        <is>
          <t>2026-03-11</t>
        </is>
      </c>
      <c r="B2346" s="3" t="inlineStr">
        <is>
          <t>머큐리</t>
        </is>
      </c>
      <c r="C2346" s="2" t="inlineStr">
        <is>
          <t>코스닥</t>
        </is>
      </c>
      <c r="D2346" s="2" t="inlineStr">
        <is>
          <t>100590</t>
        </is>
      </c>
      <c r="E2346" s="3" t="inlineStr">
        <is>
          <t>주주총회소집공고</t>
        </is>
      </c>
      <c r="F2346" s="3" t="inlineStr">
        <is>
          <t>머큐리</t>
        </is>
      </c>
      <c r="G2346" s="2" t="inlineStr">
        <is>
          <t>20260311004193</t>
        </is>
      </c>
      <c r="H2346" s="8">
        <f>HYPERLINK("https://dart.fss.or.kr/dsaf001/main.do?rcpNo=20260311004193", "공시열람")</f>
        <v/>
      </c>
    </row>
    <row r="2347">
      <c r="A2347" s="2" t="inlineStr">
        <is>
          <t>2026-03-11</t>
        </is>
      </c>
      <c r="B2347" s="3" t="inlineStr">
        <is>
          <t>푸른로보틱스</t>
        </is>
      </c>
      <c r="C2347" s="2" t="inlineStr">
        <is>
          <t>코스닥</t>
        </is>
      </c>
      <c r="D2347" s="2" t="inlineStr">
        <is>
          <t>094940</t>
        </is>
      </c>
      <c r="E2347" s="3" t="inlineStr">
        <is>
          <t>주주총회소집공고</t>
        </is>
      </c>
      <c r="F2347" s="3" t="inlineStr">
        <is>
          <t>푸른로보틱스</t>
        </is>
      </c>
      <c r="G2347" s="2" t="inlineStr">
        <is>
          <t>20260311004191</t>
        </is>
      </c>
      <c r="H2347" s="8">
        <f>HYPERLINK("https://dart.fss.or.kr/dsaf001/main.do?rcpNo=20260311004191", "공시열람")</f>
        <v/>
      </c>
    </row>
    <row r="2348">
      <c r="A2348" s="2" t="inlineStr">
        <is>
          <t>2026-03-11</t>
        </is>
      </c>
      <c r="B2348" s="3" t="inlineStr">
        <is>
          <t>국순당</t>
        </is>
      </c>
      <c r="C2348" s="2" t="inlineStr">
        <is>
          <t>코스닥</t>
        </is>
      </c>
      <c r="D2348" s="2" t="inlineStr">
        <is>
          <t>043650</t>
        </is>
      </c>
      <c r="E2348" s="3" t="inlineStr">
        <is>
          <t>주주총회소집공고</t>
        </is>
      </c>
      <c r="F2348" s="3" t="inlineStr">
        <is>
          <t>국순당</t>
        </is>
      </c>
      <c r="G2348" s="2" t="inlineStr">
        <is>
          <t>20260311004189</t>
        </is>
      </c>
      <c r="H2348" s="8">
        <f>HYPERLINK("https://dart.fss.or.kr/dsaf001/main.do?rcpNo=20260311004189", "공시열람")</f>
        <v/>
      </c>
    </row>
    <row r="2349">
      <c r="A2349" s="2" t="inlineStr">
        <is>
          <t>2026-03-11</t>
        </is>
      </c>
      <c r="B2349" s="3" t="inlineStr">
        <is>
          <t>동양</t>
        </is>
      </c>
      <c r="C2349" s="2" t="inlineStr">
        <is>
          <t>코스피</t>
        </is>
      </c>
      <c r="D2349" s="2" t="inlineStr">
        <is>
          <t>001520</t>
        </is>
      </c>
      <c r="E2349" s="3" t="inlineStr">
        <is>
          <t>주주총회소집공고</t>
        </is>
      </c>
      <c r="F2349" s="3" t="inlineStr">
        <is>
          <t>동양</t>
        </is>
      </c>
      <c r="G2349" s="2" t="inlineStr">
        <is>
          <t>20260311004188</t>
        </is>
      </c>
      <c r="H2349" s="8">
        <f>HYPERLINK("https://dart.fss.or.kr/dsaf001/main.do?rcpNo=20260311004188", "공시열람")</f>
        <v/>
      </c>
    </row>
    <row r="2350">
      <c r="A2350" s="2" t="inlineStr">
        <is>
          <t>2026-03-11</t>
        </is>
      </c>
      <c r="B2350" s="3" t="inlineStr">
        <is>
          <t>캐스텍코리아</t>
        </is>
      </c>
      <c r="C2350" s="2" t="inlineStr">
        <is>
          <t>코스닥</t>
        </is>
      </c>
      <c r="D2350" s="2" t="inlineStr">
        <is>
          <t>071850</t>
        </is>
      </c>
      <c r="E2350" s="3" t="inlineStr">
        <is>
          <t>소송등의제기ㆍ신청(경영권분쟁소송)              (검사인 선임)</t>
        </is>
      </c>
      <c r="F2350" s="3" t="inlineStr">
        <is>
          <t>캐스텍코리아</t>
        </is>
      </c>
      <c r="G2350" s="2" t="inlineStr">
        <is>
          <t>20260311901372</t>
        </is>
      </c>
      <c r="H2350" s="8">
        <f>HYPERLINK("https://dart.fss.or.kr/dsaf001/main.do?rcpNo=20260311901372", "공시열람")</f>
        <v/>
      </c>
    </row>
    <row r="2351">
      <c r="A2351" s="2" t="inlineStr">
        <is>
          <t>2026-03-11</t>
        </is>
      </c>
      <c r="B2351" s="3" t="inlineStr">
        <is>
          <t>TYM</t>
        </is>
      </c>
      <c r="C2351" s="2" t="inlineStr">
        <is>
          <t>코스피</t>
        </is>
      </c>
      <c r="D2351" s="2" t="inlineStr">
        <is>
          <t>002900</t>
        </is>
      </c>
      <c r="E2351" s="3" t="inlineStr">
        <is>
          <t xml:space="preserve">주주총회집중일개최사유신고              </t>
        </is>
      </c>
      <c r="F2351" s="3" t="inlineStr">
        <is>
          <t>TYM</t>
        </is>
      </c>
      <c r="G2351" s="2" t="inlineStr">
        <is>
          <t>20260311801625</t>
        </is>
      </c>
      <c r="H2351" s="8">
        <f>HYPERLINK("https://dart.fss.or.kr/dsaf001/main.do?rcpNo=20260311801625", "공시열람")</f>
        <v/>
      </c>
    </row>
    <row r="2352">
      <c r="A2352" s="2" t="inlineStr">
        <is>
          <t>2026-03-11 (정정: 2026-03-13)</t>
        </is>
      </c>
      <c r="B2352" s="3" t="inlineStr">
        <is>
          <t>사조동아원</t>
        </is>
      </c>
      <c r="C2352" s="2" t="inlineStr">
        <is>
          <t>코스피</t>
        </is>
      </c>
      <c r="D2352" s="2" t="inlineStr">
        <is>
          <t>008040</t>
        </is>
      </c>
      <c r="E2352" s="3" t="inlineStr">
        <is>
          <t>주주총회소집결의               (정정: 20260313)</t>
        </is>
      </c>
      <c r="F2352" s="3" t="inlineStr">
        <is>
          <t>사조동아원</t>
        </is>
      </c>
      <c r="G2352" s="2" t="inlineStr">
        <is>
          <t>20260313802019</t>
        </is>
      </c>
      <c r="H2352" s="8">
        <f>HYPERLINK("https://dart.fss.or.kr/dsaf001/main.do?rcpNo=20260313802019", "공시열람")</f>
        <v/>
      </c>
    </row>
    <row r="2353">
      <c r="A2353" s="2" t="inlineStr">
        <is>
          <t>2026-03-11</t>
        </is>
      </c>
      <c r="B2353" s="3" t="inlineStr">
        <is>
          <t>한국파마</t>
        </is>
      </c>
      <c r="C2353" s="2" t="inlineStr">
        <is>
          <t>코스닥</t>
        </is>
      </c>
      <c r="D2353" s="2" t="inlineStr">
        <is>
          <t>032300</t>
        </is>
      </c>
      <c r="E2353" s="3" t="inlineStr">
        <is>
          <t>주주총회소집공고</t>
        </is>
      </c>
      <c r="F2353" s="3" t="inlineStr">
        <is>
          <t>한국파마</t>
        </is>
      </c>
      <c r="G2353" s="2" t="inlineStr">
        <is>
          <t>20260311004185</t>
        </is>
      </c>
      <c r="H2353" s="8">
        <f>HYPERLINK("https://dart.fss.or.kr/dsaf001/main.do?rcpNo=20260311004185", "공시열람")</f>
        <v/>
      </c>
    </row>
    <row r="2354">
      <c r="A2354" s="2" t="inlineStr">
        <is>
          <t>2026-03-11</t>
        </is>
      </c>
      <c r="B2354" s="3" t="inlineStr">
        <is>
          <t>케이웨더</t>
        </is>
      </c>
      <c r="C2354" s="2" t="inlineStr">
        <is>
          <t>코스닥</t>
        </is>
      </c>
      <c r="D2354" s="2" t="inlineStr">
        <is>
          <t>068100</t>
        </is>
      </c>
      <c r="E2354" s="3" t="inlineStr">
        <is>
          <t xml:space="preserve">주주총회소집결의              </t>
        </is>
      </c>
      <c r="F2354" s="3" t="inlineStr">
        <is>
          <t>케이웨더</t>
        </is>
      </c>
      <c r="G2354" s="2" t="inlineStr">
        <is>
          <t>20260311901505</t>
        </is>
      </c>
      <c r="H2354" s="8">
        <f>HYPERLINK("https://dart.fss.or.kr/dsaf001/main.do?rcpNo=20260311901505", "공시열람")</f>
        <v/>
      </c>
    </row>
    <row r="2355">
      <c r="A2355" s="2" t="inlineStr">
        <is>
          <t>2026-03-11</t>
        </is>
      </c>
      <c r="B2355" s="3" t="inlineStr">
        <is>
          <t>태광</t>
        </is>
      </c>
      <c r="C2355" s="2" t="inlineStr">
        <is>
          <t>코스닥</t>
        </is>
      </c>
      <c r="D2355" s="2" t="inlineStr">
        <is>
          <t>023160</t>
        </is>
      </c>
      <c r="E2355" s="3" t="inlineStr">
        <is>
          <t xml:space="preserve">주주총회소집결의              </t>
        </is>
      </c>
      <c r="F2355" s="3" t="inlineStr">
        <is>
          <t>태광</t>
        </is>
      </c>
      <c r="G2355" s="2" t="inlineStr">
        <is>
          <t>20260311901342</t>
        </is>
      </c>
      <c r="H2355" s="8">
        <f>HYPERLINK("https://dart.fss.or.kr/dsaf001/main.do?rcpNo=20260311901342", "공시열람")</f>
        <v/>
      </c>
    </row>
    <row r="2356">
      <c r="A2356" s="2" t="inlineStr">
        <is>
          <t>2026-03-11</t>
        </is>
      </c>
      <c r="B2356" s="3" t="inlineStr">
        <is>
          <t>아센디오</t>
        </is>
      </c>
      <c r="C2356" s="2" t="inlineStr">
        <is>
          <t>코스피</t>
        </is>
      </c>
      <c r="D2356" s="2" t="inlineStr">
        <is>
          <t>012170</t>
        </is>
      </c>
      <c r="E2356" s="3" t="inlineStr">
        <is>
          <t xml:space="preserve">주주총회소집결의              </t>
        </is>
      </c>
      <c r="F2356" s="3" t="inlineStr">
        <is>
          <t>아센디오</t>
        </is>
      </c>
      <c r="G2356" s="2" t="inlineStr">
        <is>
          <t>20260311801538</t>
        </is>
      </c>
      <c r="H2356" s="8">
        <f>HYPERLINK("https://dart.fss.or.kr/dsaf001/main.do?rcpNo=20260311801538", "공시열람")</f>
        <v/>
      </c>
    </row>
    <row r="2357">
      <c r="A2357" s="2" t="inlineStr">
        <is>
          <t>2026-03-11</t>
        </is>
      </c>
      <c r="B2357" s="3" t="inlineStr">
        <is>
          <t>이렘</t>
        </is>
      </c>
      <c r="C2357" s="2" t="inlineStr">
        <is>
          <t>코스닥</t>
        </is>
      </c>
      <c r="D2357" s="2" t="inlineStr">
        <is>
          <t>009730</t>
        </is>
      </c>
      <c r="E2357" s="3" t="inlineStr">
        <is>
          <t xml:space="preserve">주주총회소집결의              </t>
        </is>
      </c>
      <c r="F2357" s="3" t="inlineStr">
        <is>
          <t>이렘</t>
        </is>
      </c>
      <c r="G2357" s="2" t="inlineStr">
        <is>
          <t>20260311901630</t>
        </is>
      </c>
      <c r="H2357" s="8">
        <f>HYPERLINK("https://dart.fss.or.kr/dsaf001/main.do?rcpNo=20260311901630", "공시열람")</f>
        <v/>
      </c>
    </row>
    <row r="2358">
      <c r="A2358" s="2" t="inlineStr">
        <is>
          <t>2026-03-11</t>
        </is>
      </c>
      <c r="B2358" s="3" t="inlineStr">
        <is>
          <t>참엔지니어링</t>
        </is>
      </c>
      <c r="C2358" s="2" t="inlineStr">
        <is>
          <t>코스피</t>
        </is>
      </c>
      <c r="D2358" s="2" t="inlineStr">
        <is>
          <t>009310</t>
        </is>
      </c>
      <c r="E2358" s="3" t="inlineStr">
        <is>
          <t xml:space="preserve">주주총회소집결의              </t>
        </is>
      </c>
      <c r="F2358" s="3" t="inlineStr">
        <is>
          <t>참엔지니어링</t>
        </is>
      </c>
      <c r="G2358" s="2" t="inlineStr">
        <is>
          <t>20260311801506</t>
        </is>
      </c>
      <c r="H2358" s="8">
        <f>HYPERLINK("https://dart.fss.or.kr/dsaf001/main.do?rcpNo=20260311801506", "공시열람")</f>
        <v/>
      </c>
    </row>
    <row r="2359">
      <c r="A2359" s="2" t="inlineStr">
        <is>
          <t>2026-03-11 (정정: 2026-03-11)</t>
        </is>
      </c>
      <c r="B2359" s="3" t="inlineStr">
        <is>
          <t>나무기술</t>
        </is>
      </c>
      <c r="C2359" s="2" t="inlineStr">
        <is>
          <t>코스닥</t>
        </is>
      </c>
      <c r="D2359" s="2" t="inlineStr">
        <is>
          <t>242040</t>
        </is>
      </c>
      <c r="E2359" s="3" t="inlineStr">
        <is>
          <t>주주총회소집공고 (정정: 20260311)</t>
        </is>
      </c>
      <c r="F2359" s="3" t="inlineStr">
        <is>
          <t>나무기술</t>
        </is>
      </c>
      <c r="G2359" s="2" t="inlineStr">
        <is>
          <t>20260311901258</t>
        </is>
      </c>
      <c r="H2359" s="8">
        <f>HYPERLINK("https://dart.fss.or.kr/dsaf001/main.do?rcpNo=20260311901258", "공시열람")</f>
        <v/>
      </c>
    </row>
    <row r="2360">
      <c r="A2360" s="2" t="inlineStr">
        <is>
          <t>2026-03-11</t>
        </is>
      </c>
      <c r="B2360" s="3" t="inlineStr">
        <is>
          <t>티움바이오</t>
        </is>
      </c>
      <c r="C2360" s="2" t="inlineStr">
        <is>
          <t>코스닥</t>
        </is>
      </c>
      <c r="D2360" s="2" t="inlineStr">
        <is>
          <t>321550</t>
        </is>
      </c>
      <c r="E2360" s="3" t="inlineStr">
        <is>
          <t xml:space="preserve">주주총회소집결의              </t>
        </is>
      </c>
      <c r="F2360" s="3" t="inlineStr">
        <is>
          <t>티움바이오</t>
        </is>
      </c>
      <c r="G2360" s="2" t="inlineStr">
        <is>
          <t>20260311901462</t>
        </is>
      </c>
      <c r="H2360" s="8">
        <f>HYPERLINK("https://dart.fss.or.kr/dsaf001/main.do?rcpNo=20260311901462", "공시열람")</f>
        <v/>
      </c>
    </row>
    <row r="2361">
      <c r="A2361" s="2" t="inlineStr">
        <is>
          <t>2026-03-11</t>
        </is>
      </c>
      <c r="B2361" s="3" t="inlineStr">
        <is>
          <t>경방</t>
        </is>
      </c>
      <c r="C2361" s="2" t="inlineStr">
        <is>
          <t>코스피</t>
        </is>
      </c>
      <c r="D2361" s="2" t="inlineStr">
        <is>
          <t>000050</t>
        </is>
      </c>
      <c r="E2361" s="3" t="inlineStr">
        <is>
          <t xml:space="preserve">주주총회소집결의              </t>
        </is>
      </c>
      <c r="F2361" s="3" t="inlineStr">
        <is>
          <t>경방</t>
        </is>
      </c>
      <c r="G2361" s="2" t="inlineStr">
        <is>
          <t>20260311801608</t>
        </is>
      </c>
      <c r="H2361" s="8">
        <f>HYPERLINK("https://dart.fss.or.kr/dsaf001/main.do?rcpNo=20260311801608", "공시열람")</f>
        <v/>
      </c>
    </row>
    <row r="2362">
      <c r="A2362" s="2" t="inlineStr">
        <is>
          <t>2026-03-11</t>
        </is>
      </c>
      <c r="B2362" s="3" t="inlineStr">
        <is>
          <t>태영건설</t>
        </is>
      </c>
      <c r="C2362" s="2" t="inlineStr">
        <is>
          <t>코스피</t>
        </is>
      </c>
      <c r="D2362" s="2" t="inlineStr">
        <is>
          <t>009410</t>
        </is>
      </c>
      <c r="E2362" s="3" t="inlineStr">
        <is>
          <t>주주총회소집공고</t>
        </is>
      </c>
      <c r="F2362" s="3" t="inlineStr">
        <is>
          <t>태영건설</t>
        </is>
      </c>
      <c r="G2362" s="2" t="inlineStr">
        <is>
          <t>20260311004164</t>
        </is>
      </c>
      <c r="H2362" s="8">
        <f>HYPERLINK("https://dart.fss.or.kr/dsaf001/main.do?rcpNo=20260311004164", "공시열람")</f>
        <v/>
      </c>
    </row>
    <row r="2363">
      <c r="A2363" s="2" t="inlineStr">
        <is>
          <t>2026-03-11</t>
        </is>
      </c>
      <c r="B2363" s="3" t="inlineStr">
        <is>
          <t>고바이오랩</t>
        </is>
      </c>
      <c r="C2363" s="2" t="inlineStr">
        <is>
          <t>코스닥</t>
        </is>
      </c>
      <c r="D2363" s="2" t="inlineStr">
        <is>
          <t>348150</t>
        </is>
      </c>
      <c r="E2363" s="3" t="inlineStr">
        <is>
          <t xml:space="preserve">주주총회소집결의              </t>
        </is>
      </c>
      <c r="F2363" s="3" t="inlineStr">
        <is>
          <t>고바이오랩</t>
        </is>
      </c>
      <c r="G2363" s="2" t="inlineStr">
        <is>
          <t>20260311901321</t>
        </is>
      </c>
      <c r="H2363" s="8">
        <f>HYPERLINK("https://dart.fss.or.kr/dsaf001/main.do?rcpNo=20260311901321", "공시열람")</f>
        <v/>
      </c>
    </row>
    <row r="2364">
      <c r="A2364" s="2" t="inlineStr">
        <is>
          <t>2026-03-11</t>
        </is>
      </c>
      <c r="B2364" s="3" t="inlineStr">
        <is>
          <t>노랑풍선</t>
        </is>
      </c>
      <c r="C2364" s="2" t="inlineStr">
        <is>
          <t>코스닥</t>
        </is>
      </c>
      <c r="D2364" s="2" t="inlineStr">
        <is>
          <t>104620</t>
        </is>
      </c>
      <c r="E2364" s="3" t="inlineStr">
        <is>
          <t>주주총회소집공고</t>
        </is>
      </c>
      <c r="F2364" s="3" t="inlineStr">
        <is>
          <t>노랑풍선</t>
        </is>
      </c>
      <c r="G2364" s="2" t="inlineStr">
        <is>
          <t>20260311004160</t>
        </is>
      </c>
      <c r="H2364" s="8">
        <f>HYPERLINK("https://dart.fss.or.kr/dsaf001/main.do?rcpNo=20260311004160", "공시열람")</f>
        <v/>
      </c>
    </row>
    <row r="2365">
      <c r="A2365" s="2" t="inlineStr">
        <is>
          <t>2026-03-11</t>
        </is>
      </c>
      <c r="B2365" s="3" t="inlineStr">
        <is>
          <t>엘에이티</t>
        </is>
      </c>
      <c r="C2365" s="2" t="inlineStr">
        <is>
          <t>코넥스</t>
        </is>
      </c>
      <c r="D2365" s="2" t="inlineStr">
        <is>
          <t>311060</t>
        </is>
      </c>
      <c r="E2365" s="3" t="inlineStr">
        <is>
          <t>주주총회소집공고</t>
        </is>
      </c>
      <c r="F2365" s="3" t="inlineStr">
        <is>
          <t>엘에이티</t>
        </is>
      </c>
      <c r="G2365" s="2" t="inlineStr">
        <is>
          <t>20260311004157</t>
        </is>
      </c>
      <c r="H2365" s="8">
        <f>HYPERLINK("https://dart.fss.or.kr/dsaf001/main.do?rcpNo=20260311004157", "공시열람")</f>
        <v/>
      </c>
    </row>
    <row r="2366">
      <c r="A2366" s="2" t="inlineStr">
        <is>
          <t>2026-03-11</t>
        </is>
      </c>
      <c r="B2366" s="3" t="inlineStr">
        <is>
          <t>디젠스</t>
        </is>
      </c>
      <c r="C2366" s="2" t="inlineStr">
        <is>
          <t>코스닥</t>
        </is>
      </c>
      <c r="D2366" s="2" t="inlineStr">
        <is>
          <t>113810</t>
        </is>
      </c>
      <c r="E2366" s="3" t="inlineStr">
        <is>
          <t>주주총회소집공고</t>
        </is>
      </c>
      <c r="F2366" s="3" t="inlineStr">
        <is>
          <t>디젠스</t>
        </is>
      </c>
      <c r="G2366" s="2" t="inlineStr">
        <is>
          <t>20260311004156</t>
        </is>
      </c>
      <c r="H2366" s="8">
        <f>HYPERLINK("https://dart.fss.or.kr/dsaf001/main.do?rcpNo=20260311004156", "공시열람")</f>
        <v/>
      </c>
    </row>
    <row r="2367">
      <c r="A2367" s="2" t="inlineStr">
        <is>
          <t>2026-03-11</t>
        </is>
      </c>
      <c r="B2367" s="3" t="inlineStr">
        <is>
          <t>한국파마</t>
        </is>
      </c>
      <c r="C2367" s="2" t="inlineStr">
        <is>
          <t>코스닥</t>
        </is>
      </c>
      <c r="D2367" s="2" t="inlineStr">
        <is>
          <t>032300</t>
        </is>
      </c>
      <c r="E2367" s="3" t="inlineStr">
        <is>
          <t xml:space="preserve">주주총회집중일개최사유신고              </t>
        </is>
      </c>
      <c r="F2367" s="3" t="inlineStr">
        <is>
          <t>한국파마</t>
        </is>
      </c>
      <c r="G2367" s="2" t="inlineStr">
        <is>
          <t>20260311901320</t>
        </is>
      </c>
      <c r="H2367" s="8">
        <f>HYPERLINK("https://dart.fss.or.kr/dsaf001/main.do?rcpNo=20260311901320", "공시열람")</f>
        <v/>
      </c>
    </row>
    <row r="2368">
      <c r="A2368" s="2" t="inlineStr">
        <is>
          <t>2026-03-11</t>
        </is>
      </c>
      <c r="B2368" s="3" t="inlineStr">
        <is>
          <t>한국파마</t>
        </is>
      </c>
      <c r="C2368" s="2" t="inlineStr">
        <is>
          <t>코스닥</t>
        </is>
      </c>
      <c r="D2368" s="2" t="inlineStr">
        <is>
          <t>032300</t>
        </is>
      </c>
      <c r="E2368" s="3" t="inlineStr">
        <is>
          <t xml:space="preserve">주주총회소집결의              </t>
        </is>
      </c>
      <c r="F2368" s="3" t="inlineStr">
        <is>
          <t>한국파마</t>
        </is>
      </c>
      <c r="G2368" s="2" t="inlineStr">
        <is>
          <t>20260311901301</t>
        </is>
      </c>
      <c r="H2368" s="8">
        <f>HYPERLINK("https://dart.fss.or.kr/dsaf001/main.do?rcpNo=20260311901301", "공시열람")</f>
        <v/>
      </c>
    </row>
    <row r="2369">
      <c r="A2369" s="2" t="inlineStr">
        <is>
          <t>2026-03-11</t>
        </is>
      </c>
      <c r="B2369" s="3" t="inlineStr">
        <is>
          <t>코아시아씨엠</t>
        </is>
      </c>
      <c r="C2369" s="2" t="inlineStr">
        <is>
          <t>코스닥</t>
        </is>
      </c>
      <c r="D2369" s="2" t="inlineStr">
        <is>
          <t>196450</t>
        </is>
      </c>
      <c r="E2369" s="3" t="inlineStr">
        <is>
          <t>주주총회소집공고</t>
        </is>
      </c>
      <c r="F2369" s="3" t="inlineStr">
        <is>
          <t>코아시아씨엠</t>
        </is>
      </c>
      <c r="G2369" s="2" t="inlineStr">
        <is>
          <t>20260311004155</t>
        </is>
      </c>
      <c r="H2369" s="8">
        <f>HYPERLINK("https://dart.fss.or.kr/dsaf001/main.do?rcpNo=20260311004155", "공시열람")</f>
        <v/>
      </c>
    </row>
    <row r="2370">
      <c r="A2370" s="2" t="inlineStr">
        <is>
          <t>2026-03-11</t>
        </is>
      </c>
      <c r="B2370" s="3" t="inlineStr">
        <is>
          <t>티엑스알로보틱스</t>
        </is>
      </c>
      <c r="C2370" s="2" t="inlineStr">
        <is>
          <t>코스닥</t>
        </is>
      </c>
      <c r="D2370" s="2" t="inlineStr">
        <is>
          <t>484810</t>
        </is>
      </c>
      <c r="E2370" s="3" t="inlineStr">
        <is>
          <t>주주총회소집공고</t>
        </is>
      </c>
      <c r="F2370" s="3" t="inlineStr">
        <is>
          <t>티엑스알로보틱스</t>
        </is>
      </c>
      <c r="G2370" s="2" t="inlineStr">
        <is>
          <t>20260311004153</t>
        </is>
      </c>
      <c r="H2370" s="8">
        <f>HYPERLINK("https://dart.fss.or.kr/dsaf001/main.do?rcpNo=20260311004153", "공시열람")</f>
        <v/>
      </c>
    </row>
    <row r="2371">
      <c r="A2371" s="2" t="inlineStr">
        <is>
          <t>2026-03-11</t>
        </is>
      </c>
      <c r="B2371" s="3" t="inlineStr">
        <is>
          <t>코스메카코리아</t>
        </is>
      </c>
      <c r="C2371" s="2" t="inlineStr">
        <is>
          <t>코스닥</t>
        </is>
      </c>
      <c r="D2371" s="2" t="inlineStr">
        <is>
          <t>241710</t>
        </is>
      </c>
      <c r="E2371" s="3" t="inlineStr">
        <is>
          <t>주주총회소집공고</t>
        </is>
      </c>
      <c r="F2371" s="3" t="inlineStr">
        <is>
          <t>코스메카코리아</t>
        </is>
      </c>
      <c r="G2371" s="2" t="inlineStr">
        <is>
          <t>20260311004151</t>
        </is>
      </c>
      <c r="H2371" s="8">
        <f>HYPERLINK("https://dart.fss.or.kr/dsaf001/main.do?rcpNo=20260311004151", "공시열람")</f>
        <v/>
      </c>
    </row>
    <row r="2372">
      <c r="A2372" s="2" t="inlineStr">
        <is>
          <t>2026-03-11</t>
        </is>
      </c>
      <c r="B2372" s="3" t="inlineStr">
        <is>
          <t>엠앤씨솔루션</t>
        </is>
      </c>
      <c r="C2372" s="2" t="inlineStr">
        <is>
          <t>코스피</t>
        </is>
      </c>
      <c r="D2372" s="2" t="inlineStr">
        <is>
          <t>484870</t>
        </is>
      </c>
      <c r="E2372" s="3" t="inlineStr">
        <is>
          <t xml:space="preserve">주주총회소집결의              </t>
        </is>
      </c>
      <c r="F2372" s="3" t="inlineStr">
        <is>
          <t>엠앤씨솔루션</t>
        </is>
      </c>
      <c r="G2372" s="2" t="inlineStr">
        <is>
          <t>20260311801558</t>
        </is>
      </c>
      <c r="H2372" s="8">
        <f>HYPERLINK("https://dart.fss.or.kr/dsaf001/main.do?rcpNo=20260311801558", "공시열람")</f>
        <v/>
      </c>
    </row>
    <row r="2373">
      <c r="A2373" s="2" t="inlineStr">
        <is>
          <t>2026-03-11</t>
        </is>
      </c>
      <c r="B2373" s="3" t="inlineStr">
        <is>
          <t>세림B&amp;G</t>
        </is>
      </c>
      <c r="C2373" s="2" t="inlineStr">
        <is>
          <t>코스닥</t>
        </is>
      </c>
      <c r="D2373" s="2" t="inlineStr">
        <is>
          <t>340440</t>
        </is>
      </c>
      <c r="E2373" s="3" t="inlineStr">
        <is>
          <t xml:space="preserve">주주총회소집결의              </t>
        </is>
      </c>
      <c r="F2373" s="3" t="inlineStr">
        <is>
          <t>세림B&amp;G</t>
        </is>
      </c>
      <c r="G2373" s="2" t="inlineStr">
        <is>
          <t>20260311901399</t>
        </is>
      </c>
      <c r="H2373" s="8">
        <f>HYPERLINK("https://dart.fss.or.kr/dsaf001/main.do?rcpNo=20260311901399", "공시열람")</f>
        <v/>
      </c>
    </row>
    <row r="2374">
      <c r="A2374" s="2" t="inlineStr">
        <is>
          <t>2026-03-11</t>
        </is>
      </c>
      <c r="B2374" s="3" t="inlineStr">
        <is>
          <t>코칩</t>
        </is>
      </c>
      <c r="C2374" s="2" t="inlineStr">
        <is>
          <t>코스닥</t>
        </is>
      </c>
      <c r="D2374" s="2" t="inlineStr">
        <is>
          <t>126730</t>
        </is>
      </c>
      <c r="E2374" s="3" t="inlineStr">
        <is>
          <t>주주총회소집공고</t>
        </is>
      </c>
      <c r="F2374" s="3" t="inlineStr">
        <is>
          <t>코칩</t>
        </is>
      </c>
      <c r="G2374" s="2" t="inlineStr">
        <is>
          <t>20260311004145</t>
        </is>
      </c>
      <c r="H2374" s="8">
        <f>HYPERLINK("https://dart.fss.or.kr/dsaf001/main.do?rcpNo=20260311004145", "공시열람")</f>
        <v/>
      </c>
    </row>
    <row r="2375">
      <c r="A2375" s="2" t="inlineStr">
        <is>
          <t>2026-03-11</t>
        </is>
      </c>
      <c r="B2375" s="3" t="inlineStr">
        <is>
          <t>DSR제강</t>
        </is>
      </c>
      <c r="C2375" s="2" t="inlineStr">
        <is>
          <t>코스피</t>
        </is>
      </c>
      <c r="D2375" s="2" t="inlineStr">
        <is>
          <t>069730</t>
        </is>
      </c>
      <c r="E2375" s="3" t="inlineStr">
        <is>
          <t>주주총회소집공고</t>
        </is>
      </c>
      <c r="F2375" s="3" t="inlineStr">
        <is>
          <t>DSR제강</t>
        </is>
      </c>
      <c r="G2375" s="2" t="inlineStr">
        <is>
          <t>20260311004144</t>
        </is>
      </c>
      <c r="H2375" s="8">
        <f>HYPERLINK("https://dart.fss.or.kr/dsaf001/main.do?rcpNo=20260311004144", "공시열람")</f>
        <v/>
      </c>
    </row>
    <row r="2376">
      <c r="A2376" s="2" t="inlineStr">
        <is>
          <t>2026-03-11</t>
        </is>
      </c>
      <c r="B2376" s="3" t="inlineStr">
        <is>
          <t>코스맥스</t>
        </is>
      </c>
      <c r="C2376" s="2" t="inlineStr">
        <is>
          <t>코스피</t>
        </is>
      </c>
      <c r="D2376" s="2" t="inlineStr">
        <is>
          <t>192820</t>
        </is>
      </c>
      <c r="E2376" s="3" t="inlineStr">
        <is>
          <t>주주총회소집공고</t>
        </is>
      </c>
      <c r="F2376" s="3" t="inlineStr">
        <is>
          <t>코스맥스</t>
        </is>
      </c>
      <c r="G2376" s="2" t="inlineStr">
        <is>
          <t>20260311004143</t>
        </is>
      </c>
      <c r="H2376" s="8">
        <f>HYPERLINK("https://dart.fss.or.kr/dsaf001/main.do?rcpNo=20260311004143", "공시열람")</f>
        <v/>
      </c>
    </row>
    <row r="2377">
      <c r="A2377" s="2" t="inlineStr">
        <is>
          <t>2026-03-11</t>
        </is>
      </c>
      <c r="B2377" s="3" t="inlineStr">
        <is>
          <t>쇼박스</t>
        </is>
      </c>
      <c r="C2377" s="2" t="inlineStr">
        <is>
          <t>코스닥</t>
        </is>
      </c>
      <c r="D2377" s="2" t="inlineStr">
        <is>
          <t>086980</t>
        </is>
      </c>
      <c r="E2377" s="3" t="inlineStr">
        <is>
          <t xml:space="preserve">주주총회소집결의              </t>
        </is>
      </c>
      <c r="F2377" s="3" t="inlineStr">
        <is>
          <t>쇼박스</t>
        </is>
      </c>
      <c r="G2377" s="2" t="inlineStr">
        <is>
          <t>20260311901504</t>
        </is>
      </c>
      <c r="H2377" s="8">
        <f>HYPERLINK("https://dart.fss.or.kr/dsaf001/main.do?rcpNo=20260311901504", "공시열람")</f>
        <v/>
      </c>
    </row>
    <row r="2378">
      <c r="A2378" s="2" t="inlineStr">
        <is>
          <t>2026-03-11</t>
        </is>
      </c>
      <c r="B2378" s="3" t="inlineStr">
        <is>
          <t>기업은행</t>
        </is>
      </c>
      <c r="C2378" s="2" t="inlineStr">
        <is>
          <t>코스피</t>
        </is>
      </c>
      <c r="D2378" s="2" t="inlineStr">
        <is>
          <t>024110</t>
        </is>
      </c>
      <c r="E2378" s="3" t="inlineStr">
        <is>
          <t>주주총회소집공고</t>
        </is>
      </c>
      <c r="F2378" s="3" t="inlineStr">
        <is>
          <t>기업은행</t>
        </is>
      </c>
      <c r="G2378" s="2" t="inlineStr">
        <is>
          <t>20260311004141</t>
        </is>
      </c>
      <c r="H2378" s="8">
        <f>HYPERLINK("https://dart.fss.or.kr/dsaf001/main.do?rcpNo=20260311004141", "공시열람")</f>
        <v/>
      </c>
    </row>
    <row r="2379">
      <c r="A2379" s="2" t="inlineStr">
        <is>
          <t>2026-03-11</t>
        </is>
      </c>
      <c r="B2379" s="3" t="inlineStr">
        <is>
          <t>코스메카코리아</t>
        </is>
      </c>
      <c r="C2379" s="2" t="inlineStr">
        <is>
          <t>코스닥</t>
        </is>
      </c>
      <c r="D2379" s="2" t="inlineStr">
        <is>
          <t>241710</t>
        </is>
      </c>
      <c r="E2379" s="3" t="inlineStr">
        <is>
          <t xml:space="preserve">주주총회집중일개최사유신고              </t>
        </is>
      </c>
      <c r="F2379" s="3" t="inlineStr">
        <is>
          <t>코스메카코리아</t>
        </is>
      </c>
      <c r="G2379" s="2" t="inlineStr">
        <is>
          <t>20260311901469</t>
        </is>
      </c>
      <c r="H2379" s="8">
        <f>HYPERLINK("https://dart.fss.or.kr/dsaf001/main.do?rcpNo=20260311901469", "공시열람")</f>
        <v/>
      </c>
    </row>
    <row r="2380">
      <c r="A2380" s="2" t="inlineStr">
        <is>
          <t>2026-03-11</t>
        </is>
      </c>
      <c r="B2380" s="3" t="inlineStr">
        <is>
          <t>현대무벡스</t>
        </is>
      </c>
      <c r="C2380" s="2" t="inlineStr">
        <is>
          <t>코스닥</t>
        </is>
      </c>
      <c r="D2380" s="2" t="inlineStr">
        <is>
          <t>319400</t>
        </is>
      </c>
      <c r="E2380" s="3" t="inlineStr">
        <is>
          <t>주주총회소집공고</t>
        </is>
      </c>
      <c r="F2380" s="3" t="inlineStr">
        <is>
          <t>현대무벡스</t>
        </is>
      </c>
      <c r="G2380" s="2" t="inlineStr">
        <is>
          <t>20260311004140</t>
        </is>
      </c>
      <c r="H2380" s="8">
        <f>HYPERLINK("https://dart.fss.or.kr/dsaf001/main.do?rcpNo=20260311004140", "공시열람")</f>
        <v/>
      </c>
    </row>
    <row r="2381">
      <c r="A2381" s="2" t="inlineStr">
        <is>
          <t>2026-03-11</t>
        </is>
      </c>
      <c r="B2381" s="3" t="inlineStr">
        <is>
          <t>코스메카코리아</t>
        </is>
      </c>
      <c r="C2381" s="2" t="inlineStr">
        <is>
          <t>코스닥</t>
        </is>
      </c>
      <c r="D2381" s="2" t="inlineStr">
        <is>
          <t>241710</t>
        </is>
      </c>
      <c r="E2381" s="3" t="inlineStr">
        <is>
          <t xml:space="preserve">주주총회소집결의              </t>
        </is>
      </c>
      <c r="F2381" s="3" t="inlineStr">
        <is>
          <t>코스메카코리아</t>
        </is>
      </c>
      <c r="G2381" s="2" t="inlineStr">
        <is>
          <t>20260311901455</t>
        </is>
      </c>
      <c r="H2381" s="8">
        <f>HYPERLINK("https://dart.fss.or.kr/dsaf001/main.do?rcpNo=20260311901455", "공시열람")</f>
        <v/>
      </c>
    </row>
    <row r="2382">
      <c r="A2382" s="2" t="inlineStr">
        <is>
          <t>2026-03-11</t>
        </is>
      </c>
      <c r="B2382" s="3" t="inlineStr">
        <is>
          <t>NICE인프라</t>
        </is>
      </c>
      <c r="C2382" s="2" t="inlineStr">
        <is>
          <t>코스닥</t>
        </is>
      </c>
      <c r="D2382" s="2" t="inlineStr">
        <is>
          <t>063570</t>
        </is>
      </c>
      <c r="E2382" s="3" t="inlineStr">
        <is>
          <t>주주총회소집공고</t>
        </is>
      </c>
      <c r="F2382" s="3" t="inlineStr">
        <is>
          <t>NICE인프라</t>
        </is>
      </c>
      <c r="G2382" s="2" t="inlineStr">
        <is>
          <t>20260311004137</t>
        </is>
      </c>
      <c r="H2382" s="8">
        <f>HYPERLINK("https://dart.fss.or.kr/dsaf001/main.do?rcpNo=20260311004137", "공시열람")</f>
        <v/>
      </c>
    </row>
    <row r="2383">
      <c r="A2383" s="2" t="inlineStr">
        <is>
          <t>2026-03-11</t>
        </is>
      </c>
      <c r="B2383" s="3" t="inlineStr">
        <is>
          <t>소룩스</t>
        </is>
      </c>
      <c r="C2383" s="2" t="inlineStr">
        <is>
          <t>코스닥</t>
        </is>
      </c>
      <c r="D2383" s="2" t="inlineStr">
        <is>
          <t>290690</t>
        </is>
      </c>
      <c r="E2383" s="3" t="inlineStr">
        <is>
          <t>주주총회소집공고</t>
        </is>
      </c>
      <c r="F2383" s="3" t="inlineStr">
        <is>
          <t>소룩스</t>
        </is>
      </c>
      <c r="G2383" s="2" t="inlineStr">
        <is>
          <t>20260311004136</t>
        </is>
      </c>
      <c r="H2383" s="8">
        <f>HYPERLINK("https://dart.fss.or.kr/dsaf001/main.do?rcpNo=20260311004136", "공시열람")</f>
        <v/>
      </c>
    </row>
    <row r="2384">
      <c r="A2384" s="2" t="inlineStr">
        <is>
          <t>2026-03-11</t>
        </is>
      </c>
      <c r="B2384" s="3" t="inlineStr">
        <is>
          <t>한중엔시에스</t>
        </is>
      </c>
      <c r="C2384" s="2" t="inlineStr">
        <is>
          <t>코스닥</t>
        </is>
      </c>
      <c r="D2384" s="2" t="inlineStr">
        <is>
          <t>107640</t>
        </is>
      </c>
      <c r="E2384" s="3" t="inlineStr">
        <is>
          <t>주주총회소집공고</t>
        </is>
      </c>
      <c r="F2384" s="3" t="inlineStr">
        <is>
          <t>한중엔시에스</t>
        </is>
      </c>
      <c r="G2384" s="2" t="inlineStr">
        <is>
          <t>20260311004133</t>
        </is>
      </c>
      <c r="H2384" s="8">
        <f>HYPERLINK("https://dart.fss.or.kr/dsaf001/main.do?rcpNo=20260311004133", "공시열람")</f>
        <v/>
      </c>
    </row>
    <row r="2385">
      <c r="A2385" s="2" t="inlineStr">
        <is>
          <t>2026-03-11</t>
        </is>
      </c>
      <c r="B2385" s="3" t="inlineStr">
        <is>
          <t>소룩스</t>
        </is>
      </c>
      <c r="C2385" s="2" t="inlineStr">
        <is>
          <t>코스닥</t>
        </is>
      </c>
      <c r="D2385" s="2" t="inlineStr">
        <is>
          <t>290690</t>
        </is>
      </c>
      <c r="E2385" s="3" t="inlineStr">
        <is>
          <t xml:space="preserve">주주총회소집결의              </t>
        </is>
      </c>
      <c r="F2385" s="3" t="inlineStr">
        <is>
          <t>소룩스</t>
        </is>
      </c>
      <c r="G2385" s="2" t="inlineStr">
        <is>
          <t>20260311901447</t>
        </is>
      </c>
      <c r="H2385" s="8">
        <f>HYPERLINK("https://dart.fss.or.kr/dsaf001/main.do?rcpNo=20260311901447", "공시열람")</f>
        <v/>
      </c>
    </row>
    <row r="2386">
      <c r="A2386" s="2" t="inlineStr">
        <is>
          <t>2026-03-11</t>
        </is>
      </c>
      <c r="B2386" s="3" t="inlineStr">
        <is>
          <t>SHD</t>
        </is>
      </c>
      <c r="C2386" s="2" t="inlineStr">
        <is>
          <t>코스피</t>
        </is>
      </c>
      <c r="D2386" s="2" t="inlineStr">
        <is>
          <t>001770</t>
        </is>
      </c>
      <c r="E2386" s="3" t="inlineStr">
        <is>
          <t>주주총회소집공고</t>
        </is>
      </c>
      <c r="F2386" s="3" t="inlineStr">
        <is>
          <t>SHD</t>
        </is>
      </c>
      <c r="G2386" s="2" t="inlineStr">
        <is>
          <t>20260311004129</t>
        </is>
      </c>
      <c r="H2386" s="8">
        <f>HYPERLINK("https://dart.fss.or.kr/dsaf001/main.do?rcpNo=20260311004129", "공시열람")</f>
        <v/>
      </c>
    </row>
    <row r="2387">
      <c r="A2387" s="2" t="inlineStr">
        <is>
          <t>2026-03-11 (정정: 2026-05-29)</t>
        </is>
      </c>
      <c r="B2387" s="3" t="inlineStr">
        <is>
          <t>흥국화재</t>
        </is>
      </c>
      <c r="C2387" s="2" t="inlineStr">
        <is>
          <t>코스피</t>
        </is>
      </c>
      <c r="D2387" s="2" t="inlineStr">
        <is>
          <t>000540</t>
        </is>
      </c>
      <c r="E2387" s="3" t="inlineStr">
        <is>
          <t>주주총회소집공고 (정정: 20260527) (정정: 20260527) (정정: 20260529)</t>
        </is>
      </c>
      <c r="F2387" s="3" t="inlineStr">
        <is>
          <t>흥국화재</t>
        </is>
      </c>
      <c r="G2387" s="2" t="inlineStr">
        <is>
          <t>20260529001511</t>
        </is>
      </c>
      <c r="H2387" s="8">
        <f>HYPERLINK("https://dart.fss.or.kr/dsaf001/main.do?rcpNo=20260529001511", "공시열람")</f>
        <v/>
      </c>
    </row>
    <row r="2388">
      <c r="A2388" s="2" t="inlineStr">
        <is>
          <t>2026-03-11</t>
        </is>
      </c>
      <c r="B2388" s="3" t="inlineStr">
        <is>
          <t>NICE인프라</t>
        </is>
      </c>
      <c r="C2388" s="2" t="inlineStr">
        <is>
          <t>코스닥</t>
        </is>
      </c>
      <c r="D2388" s="2" t="inlineStr">
        <is>
          <t>063570</t>
        </is>
      </c>
      <c r="E2388" s="3" t="inlineStr">
        <is>
          <t xml:space="preserve">주주총회소집결의              </t>
        </is>
      </c>
      <c r="F2388" s="3" t="inlineStr">
        <is>
          <t>NICE인프라</t>
        </is>
      </c>
      <c r="G2388" s="2" t="inlineStr">
        <is>
          <t>20260311901375</t>
        </is>
      </c>
      <c r="H2388" s="8">
        <f>HYPERLINK("https://dart.fss.or.kr/dsaf001/main.do?rcpNo=20260311901375", "공시열람")</f>
        <v/>
      </c>
    </row>
    <row r="2389">
      <c r="A2389" s="2" t="inlineStr">
        <is>
          <t>2026-03-11</t>
        </is>
      </c>
      <c r="B2389" s="3" t="inlineStr">
        <is>
          <t>넵튠</t>
        </is>
      </c>
      <c r="C2389" s="2" t="inlineStr">
        <is>
          <t>코스닥</t>
        </is>
      </c>
      <c r="D2389" s="2" t="inlineStr">
        <is>
          <t>217270</t>
        </is>
      </c>
      <c r="E2389" s="3" t="inlineStr">
        <is>
          <t>주주총회소집공고</t>
        </is>
      </c>
      <c r="F2389" s="3" t="inlineStr">
        <is>
          <t>넵튠</t>
        </is>
      </c>
      <c r="G2389" s="2" t="inlineStr">
        <is>
          <t>20260311004121</t>
        </is>
      </c>
      <c r="H2389" s="8">
        <f>HYPERLINK("https://dart.fss.or.kr/dsaf001/main.do?rcpNo=20260311004121", "공시열람")</f>
        <v/>
      </c>
    </row>
    <row r="2390">
      <c r="A2390" s="2" t="inlineStr">
        <is>
          <t>2026-03-11</t>
        </is>
      </c>
      <c r="B2390" s="3" t="inlineStr">
        <is>
          <t>TYM</t>
        </is>
      </c>
      <c r="C2390" s="2" t="inlineStr">
        <is>
          <t>코스피</t>
        </is>
      </c>
      <c r="D2390" s="2" t="inlineStr">
        <is>
          <t>002900</t>
        </is>
      </c>
      <c r="E2390" s="3" t="inlineStr">
        <is>
          <t>주주총회소집공고</t>
        </is>
      </c>
      <c r="F2390" s="3" t="inlineStr">
        <is>
          <t>TYM</t>
        </is>
      </c>
      <c r="G2390" s="2" t="inlineStr">
        <is>
          <t>20260311004120</t>
        </is>
      </c>
      <c r="H2390" s="8">
        <f>HYPERLINK("https://dart.fss.or.kr/dsaf001/main.do?rcpNo=20260311004120", "공시열람")</f>
        <v/>
      </c>
    </row>
    <row r="2391">
      <c r="A2391" s="2" t="inlineStr">
        <is>
          <t>2026-03-11</t>
        </is>
      </c>
      <c r="B2391" s="3" t="inlineStr">
        <is>
          <t>솔브레인홀딩스</t>
        </is>
      </c>
      <c r="C2391" s="2" t="inlineStr">
        <is>
          <t>코스닥</t>
        </is>
      </c>
      <c r="D2391" s="2" t="inlineStr">
        <is>
          <t>036830</t>
        </is>
      </c>
      <c r="E2391" s="3" t="inlineStr">
        <is>
          <t>주주총회소집공고</t>
        </is>
      </c>
      <c r="F2391" s="3" t="inlineStr">
        <is>
          <t>솔브레인홀딩스</t>
        </is>
      </c>
      <c r="G2391" s="2" t="inlineStr">
        <is>
          <t>20260311004112</t>
        </is>
      </c>
      <c r="H2391" s="8">
        <f>HYPERLINK("https://dart.fss.or.kr/dsaf001/main.do?rcpNo=20260311004112", "공시열람")</f>
        <v/>
      </c>
    </row>
    <row r="2392">
      <c r="A2392" s="2" t="inlineStr">
        <is>
          <t>2026-03-11</t>
        </is>
      </c>
      <c r="B2392" s="3" t="inlineStr">
        <is>
          <t>더블유씨피</t>
        </is>
      </c>
      <c r="C2392" s="2" t="inlineStr">
        <is>
          <t>코스닥</t>
        </is>
      </c>
      <c r="D2392" s="2" t="inlineStr">
        <is>
          <t>393890</t>
        </is>
      </c>
      <c r="E2392" s="3" t="inlineStr">
        <is>
          <t>주주총회소집공고</t>
        </is>
      </c>
      <c r="F2392" s="3" t="inlineStr">
        <is>
          <t>더블유씨피</t>
        </is>
      </c>
      <c r="G2392" s="2" t="inlineStr">
        <is>
          <t>20260311004111</t>
        </is>
      </c>
      <c r="H2392" s="8">
        <f>HYPERLINK("https://dart.fss.or.kr/dsaf001/main.do?rcpNo=20260311004111", "공시열람")</f>
        <v/>
      </c>
    </row>
    <row r="2393">
      <c r="A2393" s="2" t="inlineStr">
        <is>
          <t>2026-03-11</t>
        </is>
      </c>
      <c r="B2393" s="3" t="inlineStr">
        <is>
          <t>아이스크림에듀</t>
        </is>
      </c>
      <c r="C2393" s="2" t="inlineStr">
        <is>
          <t>코스닥</t>
        </is>
      </c>
      <c r="D2393" s="2" t="inlineStr">
        <is>
          <t>289010</t>
        </is>
      </c>
      <c r="E2393" s="3" t="inlineStr">
        <is>
          <t>주주총회소집공고</t>
        </is>
      </c>
      <c r="F2393" s="3" t="inlineStr">
        <is>
          <t>아이스크림에듀</t>
        </is>
      </c>
      <c r="G2393" s="2" t="inlineStr">
        <is>
          <t>20260311004109</t>
        </is>
      </c>
      <c r="H2393" s="8">
        <f>HYPERLINK("https://dart.fss.or.kr/dsaf001/main.do?rcpNo=20260311004109", "공시열람")</f>
        <v/>
      </c>
    </row>
    <row r="2394">
      <c r="A2394" s="2" t="inlineStr">
        <is>
          <t>2026-03-11 (정정: 2026-03-12)</t>
        </is>
      </c>
      <c r="B2394" s="3" t="inlineStr">
        <is>
          <t>케이엔알시스템</t>
        </is>
      </c>
      <c r="C2394" s="2" t="inlineStr">
        <is>
          <t>코스닥</t>
        </is>
      </c>
      <c r="D2394" s="2" t="inlineStr">
        <is>
          <t>199430</t>
        </is>
      </c>
      <c r="E2394" s="3" t="inlineStr">
        <is>
          <t>주주총회소집결의               (정정: 20260312)</t>
        </is>
      </c>
      <c r="F2394" s="3" t="inlineStr">
        <is>
          <t>케이엔알시스템</t>
        </is>
      </c>
      <c r="G2394" s="2" t="inlineStr">
        <is>
          <t>20260312000485</t>
        </is>
      </c>
      <c r="H2394" s="8">
        <f>HYPERLINK("https://dart.fss.or.kr/dsaf001/main.do?rcpNo=20260312000485", "공시열람")</f>
        <v/>
      </c>
    </row>
    <row r="2395">
      <c r="A2395" s="2" t="inlineStr">
        <is>
          <t>2026-03-11</t>
        </is>
      </c>
      <c r="B2395" s="3" t="inlineStr">
        <is>
          <t>금강철강</t>
        </is>
      </c>
      <c r="C2395" s="2" t="inlineStr">
        <is>
          <t>코스닥</t>
        </is>
      </c>
      <c r="D2395" s="2" t="inlineStr">
        <is>
          <t>053260</t>
        </is>
      </c>
      <c r="E2395" s="3" t="inlineStr">
        <is>
          <t xml:space="preserve">주주총회소집결의              </t>
        </is>
      </c>
      <c r="F2395" s="3" t="inlineStr">
        <is>
          <t>금강철강</t>
        </is>
      </c>
      <c r="G2395" s="2" t="inlineStr">
        <is>
          <t>20260311901482</t>
        </is>
      </c>
      <c r="H2395" s="8">
        <f>HYPERLINK("https://dart.fss.or.kr/dsaf001/main.do?rcpNo=20260311901482", "공시열람")</f>
        <v/>
      </c>
    </row>
    <row r="2396">
      <c r="A2396" s="2" t="inlineStr">
        <is>
          <t>2026-03-11</t>
        </is>
      </c>
      <c r="B2396" s="3" t="inlineStr">
        <is>
          <t>한성크린텍</t>
        </is>
      </c>
      <c r="C2396" s="2" t="inlineStr">
        <is>
          <t>코스닥</t>
        </is>
      </c>
      <c r="D2396" s="2" t="inlineStr">
        <is>
          <t>066980</t>
        </is>
      </c>
      <c r="E2396" s="3" t="inlineStr">
        <is>
          <t>주주총회소집공고</t>
        </is>
      </c>
      <c r="F2396" s="3" t="inlineStr">
        <is>
          <t>한성크린텍</t>
        </is>
      </c>
      <c r="G2396" s="2" t="inlineStr">
        <is>
          <t>20260311004108</t>
        </is>
      </c>
      <c r="H2396" s="8">
        <f>HYPERLINK("https://dart.fss.or.kr/dsaf001/main.do?rcpNo=20260311004108", "공시열람")</f>
        <v/>
      </c>
    </row>
    <row r="2397">
      <c r="A2397" s="2" t="inlineStr">
        <is>
          <t>2026-03-11</t>
        </is>
      </c>
      <c r="B2397" s="3" t="inlineStr">
        <is>
          <t>율촌</t>
        </is>
      </c>
      <c r="C2397" s="2" t="inlineStr">
        <is>
          <t>코스닥</t>
        </is>
      </c>
      <c r="D2397" s="2" t="inlineStr">
        <is>
          <t>146060</t>
        </is>
      </c>
      <c r="E2397" s="3" t="inlineStr">
        <is>
          <t>주주총회소집공고</t>
        </is>
      </c>
      <c r="F2397" s="3" t="inlineStr">
        <is>
          <t>율촌</t>
        </is>
      </c>
      <c r="G2397" s="2" t="inlineStr">
        <is>
          <t>20260311004104</t>
        </is>
      </c>
      <c r="H2397" s="8">
        <f>HYPERLINK("https://dart.fss.or.kr/dsaf001/main.do?rcpNo=20260311004104", "공시열람")</f>
        <v/>
      </c>
    </row>
    <row r="2398">
      <c r="A2398" s="2" t="inlineStr">
        <is>
          <t>2026-03-11</t>
        </is>
      </c>
      <c r="B2398" s="3" t="inlineStr">
        <is>
          <t>한빛레이저</t>
        </is>
      </c>
      <c r="C2398" s="2" t="inlineStr">
        <is>
          <t>코스닥</t>
        </is>
      </c>
      <c r="D2398" s="2" t="inlineStr">
        <is>
          <t>452190</t>
        </is>
      </c>
      <c r="E2398" s="3" t="inlineStr">
        <is>
          <t>주주총회소집공고</t>
        </is>
      </c>
      <c r="F2398" s="3" t="inlineStr">
        <is>
          <t>한빛레이저</t>
        </is>
      </c>
      <c r="G2398" s="2" t="inlineStr">
        <is>
          <t>20260311004102</t>
        </is>
      </c>
      <c r="H2398" s="8">
        <f>HYPERLINK("https://dart.fss.or.kr/dsaf001/main.do?rcpNo=20260311004102", "공시열람")</f>
        <v/>
      </c>
    </row>
    <row r="2399">
      <c r="A2399" s="2" t="inlineStr">
        <is>
          <t>2026-03-11 (정정: 2026-06-08)</t>
        </is>
      </c>
      <c r="B2399" s="3" t="inlineStr">
        <is>
          <t>아바코</t>
        </is>
      </c>
      <c r="C2399" s="2" t="inlineStr">
        <is>
          <t>코스닥</t>
        </is>
      </c>
      <c r="D2399" s="2" t="inlineStr">
        <is>
          <t>083930</t>
        </is>
      </c>
      <c r="E2399" s="3" t="inlineStr">
        <is>
          <t>주주총회소집공고 (정정: 20260608)</t>
        </is>
      </c>
      <c r="F2399" s="3" t="inlineStr">
        <is>
          <t>아바코</t>
        </is>
      </c>
      <c r="G2399" s="2" t="inlineStr">
        <is>
          <t>20260608000428</t>
        </is>
      </c>
      <c r="H2399" s="8">
        <f>HYPERLINK("https://dart.fss.or.kr/dsaf001/main.do?rcpNo=20260608000428", "공시열람")</f>
        <v/>
      </c>
    </row>
    <row r="2400">
      <c r="A2400" s="2" t="inlineStr">
        <is>
          <t>2026-03-11</t>
        </is>
      </c>
      <c r="B2400" s="3" t="inlineStr">
        <is>
          <t>엘디티</t>
        </is>
      </c>
      <c r="C2400" s="2" t="inlineStr">
        <is>
          <t>코스닥</t>
        </is>
      </c>
      <c r="D2400" s="2" t="inlineStr">
        <is>
          <t>096870</t>
        </is>
      </c>
      <c r="E2400" s="3" t="inlineStr">
        <is>
          <t>주주총회소집공고</t>
        </is>
      </c>
      <c r="F2400" s="3" t="inlineStr">
        <is>
          <t>엘디티</t>
        </is>
      </c>
      <c r="G2400" s="2" t="inlineStr">
        <is>
          <t>20260311004089</t>
        </is>
      </c>
      <c r="H2400" s="8">
        <f>HYPERLINK("https://dart.fss.or.kr/dsaf001/main.do?rcpNo=20260311004089", "공시열람")</f>
        <v/>
      </c>
    </row>
    <row r="2401">
      <c r="A2401" s="2" t="inlineStr">
        <is>
          <t>2026-03-11</t>
        </is>
      </c>
      <c r="B2401" s="3" t="inlineStr">
        <is>
          <t>바텍</t>
        </is>
      </c>
      <c r="C2401" s="2" t="inlineStr">
        <is>
          <t>코스닥</t>
        </is>
      </c>
      <c r="D2401" s="2" t="inlineStr">
        <is>
          <t>043150</t>
        </is>
      </c>
      <c r="E2401" s="3" t="inlineStr">
        <is>
          <t>주주총회소집공고</t>
        </is>
      </c>
      <c r="F2401" s="3" t="inlineStr">
        <is>
          <t>바텍</t>
        </is>
      </c>
      <c r="G2401" s="2" t="inlineStr">
        <is>
          <t>20260311004085</t>
        </is>
      </c>
      <c r="H2401" s="8">
        <f>HYPERLINK("https://dart.fss.or.kr/dsaf001/main.do?rcpNo=20260311004085", "공시열람")</f>
        <v/>
      </c>
    </row>
    <row r="2402">
      <c r="A2402" s="2" t="inlineStr">
        <is>
          <t>2026-03-11 (정정: 2026-03-11)</t>
        </is>
      </c>
      <c r="B2402" s="3" t="inlineStr">
        <is>
          <t>코윈테크</t>
        </is>
      </c>
      <c r="C2402" s="2" t="inlineStr">
        <is>
          <t>코스닥</t>
        </is>
      </c>
      <c r="D2402" s="2" t="inlineStr">
        <is>
          <t>282880</t>
        </is>
      </c>
      <c r="E2402" s="3" t="inlineStr">
        <is>
          <t>주주총회소집결의               (정정: 20260311)</t>
        </is>
      </c>
      <c r="F2402" s="3" t="inlineStr">
        <is>
          <t>코윈테크</t>
        </is>
      </c>
      <c r="G2402" s="2" t="inlineStr">
        <is>
          <t>20260311901311</t>
        </is>
      </c>
      <c r="H2402" s="8">
        <f>HYPERLINK("https://dart.fss.or.kr/dsaf001/main.do?rcpNo=20260311901311", "공시열람")</f>
        <v/>
      </c>
    </row>
    <row r="2403">
      <c r="A2403" s="2" t="inlineStr">
        <is>
          <t>2026-03-11</t>
        </is>
      </c>
      <c r="B2403" s="3" t="inlineStr">
        <is>
          <t>에스엠씨지</t>
        </is>
      </c>
      <c r="C2403" s="2" t="inlineStr">
        <is>
          <t>코스닥</t>
        </is>
      </c>
      <c r="D2403" s="2" t="inlineStr">
        <is>
          <t>460870</t>
        </is>
      </c>
      <c r="E2403" s="3" t="inlineStr">
        <is>
          <t>주주총회소집공고</t>
        </is>
      </c>
      <c r="F2403" s="3" t="inlineStr">
        <is>
          <t>에스엠씨지</t>
        </is>
      </c>
      <c r="G2403" s="2" t="inlineStr">
        <is>
          <t>20260311004082</t>
        </is>
      </c>
      <c r="H2403" s="8">
        <f>HYPERLINK("https://dart.fss.or.kr/dsaf001/main.do?rcpNo=20260311004082", "공시열람")</f>
        <v/>
      </c>
    </row>
    <row r="2404">
      <c r="A2404" s="2" t="inlineStr">
        <is>
          <t>2026-03-11</t>
        </is>
      </c>
      <c r="B2404" s="3" t="inlineStr">
        <is>
          <t>성우</t>
        </is>
      </c>
      <c r="C2404" s="2" t="inlineStr">
        <is>
          <t>코스닥</t>
        </is>
      </c>
      <c r="D2404" s="2" t="inlineStr">
        <is>
          <t>458650</t>
        </is>
      </c>
      <c r="E2404" s="3" t="inlineStr">
        <is>
          <t>주주총회소집공고</t>
        </is>
      </c>
      <c r="F2404" s="3" t="inlineStr">
        <is>
          <t>성우</t>
        </is>
      </c>
      <c r="G2404" s="2" t="inlineStr">
        <is>
          <t>20260311004081</t>
        </is>
      </c>
      <c r="H2404" s="8">
        <f>HYPERLINK("https://dart.fss.or.kr/dsaf001/main.do?rcpNo=20260311004081", "공시열람")</f>
        <v/>
      </c>
    </row>
    <row r="2405">
      <c r="A2405" s="2" t="inlineStr">
        <is>
          <t>2026-03-11</t>
        </is>
      </c>
      <c r="B2405" s="3" t="inlineStr">
        <is>
          <t>삼양식품</t>
        </is>
      </c>
      <c r="C2405" s="2" t="inlineStr">
        <is>
          <t>코스피</t>
        </is>
      </c>
      <c r="D2405" s="2" t="inlineStr">
        <is>
          <t>003230</t>
        </is>
      </c>
      <c r="E2405" s="3" t="inlineStr">
        <is>
          <t>주주총회소집공고</t>
        </is>
      </c>
      <c r="F2405" s="3" t="inlineStr">
        <is>
          <t>삼양식품</t>
        </is>
      </c>
      <c r="G2405" s="2" t="inlineStr">
        <is>
          <t>20260311004079</t>
        </is>
      </c>
      <c r="H2405" s="8">
        <f>HYPERLINK("https://dart.fss.or.kr/dsaf001/main.do?rcpNo=20260311004079", "공시열람")</f>
        <v/>
      </c>
    </row>
    <row r="2406">
      <c r="A2406" s="2" t="inlineStr">
        <is>
          <t>2026-03-11</t>
        </is>
      </c>
      <c r="B2406" s="3" t="inlineStr">
        <is>
          <t>더블유씨피</t>
        </is>
      </c>
      <c r="C2406" s="2" t="inlineStr">
        <is>
          <t>코스닥</t>
        </is>
      </c>
      <c r="D2406" s="2" t="inlineStr">
        <is>
          <t>393890</t>
        </is>
      </c>
      <c r="E2406" s="3" t="inlineStr">
        <is>
          <t xml:space="preserve">주주총회집중일개최사유신고              </t>
        </is>
      </c>
      <c r="F2406" s="3" t="inlineStr">
        <is>
          <t>더블유씨피</t>
        </is>
      </c>
      <c r="G2406" s="2" t="inlineStr">
        <is>
          <t>20260311901511</t>
        </is>
      </c>
      <c r="H2406" s="8">
        <f>HYPERLINK("https://dart.fss.or.kr/dsaf001/main.do?rcpNo=20260311901511", "공시열람")</f>
        <v/>
      </c>
    </row>
    <row r="2407">
      <c r="A2407" s="2" t="inlineStr">
        <is>
          <t>2026-03-11</t>
        </is>
      </c>
      <c r="B2407" s="3" t="inlineStr">
        <is>
          <t>솔브레인홀딩스</t>
        </is>
      </c>
      <c r="C2407" s="2" t="inlineStr">
        <is>
          <t>코스닥</t>
        </is>
      </c>
      <c r="D2407" s="2" t="inlineStr">
        <is>
          <t>036830</t>
        </is>
      </c>
      <c r="E2407" s="3" t="inlineStr">
        <is>
          <t xml:space="preserve">주주총회소집결의              </t>
        </is>
      </c>
      <c r="F2407" s="3" t="inlineStr">
        <is>
          <t>솔브레인홀딩스</t>
        </is>
      </c>
      <c r="G2407" s="2" t="inlineStr">
        <is>
          <t>20260311901389</t>
        </is>
      </c>
      <c r="H2407" s="8">
        <f>HYPERLINK("https://dart.fss.or.kr/dsaf001/main.do?rcpNo=20260311901389", "공시열람")</f>
        <v/>
      </c>
    </row>
    <row r="2408">
      <c r="A2408" s="2" t="inlineStr">
        <is>
          <t>2026-03-11</t>
        </is>
      </c>
      <c r="B2408" s="3" t="inlineStr">
        <is>
          <t>이녹스</t>
        </is>
      </c>
      <c r="C2408" s="2" t="inlineStr">
        <is>
          <t>코스닥</t>
        </is>
      </c>
      <c r="D2408" s="2" t="inlineStr">
        <is>
          <t>088390</t>
        </is>
      </c>
      <c r="E2408" s="3" t="inlineStr">
        <is>
          <t>주주총회소집공고</t>
        </is>
      </c>
      <c r="F2408" s="3" t="inlineStr">
        <is>
          <t>이녹스</t>
        </is>
      </c>
      <c r="G2408" s="2" t="inlineStr">
        <is>
          <t>20260311004076</t>
        </is>
      </c>
      <c r="H2408" s="8">
        <f>HYPERLINK("https://dart.fss.or.kr/dsaf001/main.do?rcpNo=20260311004076", "공시열람")</f>
        <v/>
      </c>
    </row>
    <row r="2409">
      <c r="A2409" s="2" t="inlineStr">
        <is>
          <t>2026-03-11</t>
        </is>
      </c>
      <c r="B2409" s="3" t="inlineStr">
        <is>
          <t>초록뱀미디어</t>
        </is>
      </c>
      <c r="C2409" s="2" t="inlineStr">
        <is>
          <t>코스닥</t>
        </is>
      </c>
      <c r="D2409" s="2" t="inlineStr">
        <is>
          <t>047820</t>
        </is>
      </c>
      <c r="E2409" s="3" t="inlineStr">
        <is>
          <t>주주총회소집공고</t>
        </is>
      </c>
      <c r="F2409" s="3" t="inlineStr">
        <is>
          <t>초록뱀미디어</t>
        </is>
      </c>
      <c r="G2409" s="2" t="inlineStr">
        <is>
          <t>20260311004072</t>
        </is>
      </c>
      <c r="H2409" s="8">
        <f>HYPERLINK("https://dart.fss.or.kr/dsaf001/main.do?rcpNo=20260311004072", "공시열람")</f>
        <v/>
      </c>
    </row>
    <row r="2410">
      <c r="A2410" s="2" t="inlineStr">
        <is>
          <t>2026-03-11</t>
        </is>
      </c>
      <c r="B2410" s="3" t="inlineStr">
        <is>
          <t>엘디티</t>
        </is>
      </c>
      <c r="C2410" s="2" t="inlineStr">
        <is>
          <t>코스닥</t>
        </is>
      </c>
      <c r="D2410" s="2" t="inlineStr">
        <is>
          <t>096870</t>
        </is>
      </c>
      <c r="E2410" s="3" t="inlineStr">
        <is>
          <t xml:space="preserve">주주총회소집결의              </t>
        </is>
      </c>
      <c r="F2410" s="3" t="inlineStr">
        <is>
          <t>엘디티</t>
        </is>
      </c>
      <c r="G2410" s="2" t="inlineStr">
        <is>
          <t>20260311901366</t>
        </is>
      </c>
      <c r="H2410" s="8">
        <f>HYPERLINK("https://dart.fss.or.kr/dsaf001/main.do?rcpNo=20260311901366", "공시열람")</f>
        <v/>
      </c>
    </row>
    <row r="2411">
      <c r="A2411" s="2" t="inlineStr">
        <is>
          <t>2026-03-11</t>
        </is>
      </c>
      <c r="B2411" s="3" t="inlineStr">
        <is>
          <t>아이앤씨</t>
        </is>
      </c>
      <c r="C2411" s="2" t="inlineStr">
        <is>
          <t>코스닥</t>
        </is>
      </c>
      <c r="D2411" s="2" t="inlineStr">
        <is>
          <t>052860</t>
        </is>
      </c>
      <c r="E2411" s="3" t="inlineStr">
        <is>
          <t>주주총회소집공고</t>
        </is>
      </c>
      <c r="F2411" s="3" t="inlineStr">
        <is>
          <t>아이앤씨</t>
        </is>
      </c>
      <c r="G2411" s="2" t="inlineStr">
        <is>
          <t>20260311004066</t>
        </is>
      </c>
      <c r="H2411" s="8">
        <f>HYPERLINK("https://dart.fss.or.kr/dsaf001/main.do?rcpNo=20260311004066", "공시열람")</f>
        <v/>
      </c>
    </row>
    <row r="2412">
      <c r="A2412" s="2" t="inlineStr">
        <is>
          <t>2026-03-11</t>
        </is>
      </c>
      <c r="B2412" s="3" t="inlineStr">
        <is>
          <t>창해에탄올</t>
        </is>
      </c>
      <c r="C2412" s="2" t="inlineStr">
        <is>
          <t>코스닥</t>
        </is>
      </c>
      <c r="D2412" s="2" t="inlineStr">
        <is>
          <t>004650</t>
        </is>
      </c>
      <c r="E2412" s="3" t="inlineStr">
        <is>
          <t>[기재정정]주주총회소집공고</t>
        </is>
      </c>
      <c r="F2412" s="3" t="inlineStr">
        <is>
          <t>창해에탄올</t>
        </is>
      </c>
      <c r="G2412" s="2" t="inlineStr">
        <is>
          <t>20260311004059</t>
        </is>
      </c>
      <c r="H2412" s="8">
        <f>HYPERLINK("https://dart.fss.or.kr/dsaf001/main.do?rcpNo=20260311004059", "공시열람")</f>
        <v/>
      </c>
    </row>
    <row r="2413">
      <c r="A2413" s="2" t="inlineStr">
        <is>
          <t>2026-03-11</t>
        </is>
      </c>
      <c r="B2413" s="3" t="inlineStr">
        <is>
          <t>바텍</t>
        </is>
      </c>
      <c r="C2413" s="2" t="inlineStr">
        <is>
          <t>코스닥</t>
        </is>
      </c>
      <c r="D2413" s="2" t="inlineStr">
        <is>
          <t>043150</t>
        </is>
      </c>
      <c r="E2413" s="3" t="inlineStr">
        <is>
          <t xml:space="preserve">주주총회소집결의              </t>
        </is>
      </c>
      <c r="F2413" s="3" t="inlineStr">
        <is>
          <t>바텍</t>
        </is>
      </c>
      <c r="G2413" s="2" t="inlineStr">
        <is>
          <t>20260311901358</t>
        </is>
      </c>
      <c r="H2413" s="8">
        <f>HYPERLINK("https://dart.fss.or.kr/dsaf001/main.do?rcpNo=20260311901358", "공시열람")</f>
        <v/>
      </c>
    </row>
    <row r="2414">
      <c r="A2414" s="2" t="inlineStr">
        <is>
          <t>2026-03-11</t>
        </is>
      </c>
      <c r="B2414" s="3" t="inlineStr">
        <is>
          <t>KTis</t>
        </is>
      </c>
      <c r="C2414" s="2" t="inlineStr">
        <is>
          <t>코스피</t>
        </is>
      </c>
      <c r="D2414" s="2" t="inlineStr">
        <is>
          <t>058860</t>
        </is>
      </c>
      <c r="E2414" s="3" t="inlineStr">
        <is>
          <t>주주총회소집공고</t>
        </is>
      </c>
      <c r="F2414" s="3" t="inlineStr">
        <is>
          <t>KTis</t>
        </is>
      </c>
      <c r="G2414" s="2" t="inlineStr">
        <is>
          <t>20260311004054</t>
        </is>
      </c>
      <c r="H2414" s="8">
        <f>HYPERLINK("https://dart.fss.or.kr/dsaf001/main.do?rcpNo=20260311004054", "공시열람")</f>
        <v/>
      </c>
    </row>
    <row r="2415">
      <c r="A2415" s="2" t="inlineStr">
        <is>
          <t>2026-03-11</t>
        </is>
      </c>
      <c r="B2415" s="3" t="inlineStr">
        <is>
          <t>이녹스</t>
        </is>
      </c>
      <c r="C2415" s="2" t="inlineStr">
        <is>
          <t>코스닥</t>
        </is>
      </c>
      <c r="D2415" s="2" t="inlineStr">
        <is>
          <t>088390</t>
        </is>
      </c>
      <c r="E2415" s="3" t="inlineStr">
        <is>
          <t xml:space="preserve">주주총회소집결의              </t>
        </is>
      </c>
      <c r="F2415" s="3" t="inlineStr">
        <is>
          <t>이녹스</t>
        </is>
      </c>
      <c r="G2415" s="2" t="inlineStr">
        <is>
          <t>20260311901297</t>
        </is>
      </c>
      <c r="H2415" s="8">
        <f>HYPERLINK("https://dart.fss.or.kr/dsaf001/main.do?rcpNo=20260311901297", "공시열람")</f>
        <v/>
      </c>
    </row>
    <row r="2416">
      <c r="A2416" s="2" t="inlineStr">
        <is>
          <t>2026-03-11 (정정: 2026-05-29)</t>
        </is>
      </c>
      <c r="B2416" s="3" t="inlineStr">
        <is>
          <t>선광</t>
        </is>
      </c>
      <c r="C2416" s="2" t="inlineStr">
        <is>
          <t>코스닥</t>
        </is>
      </c>
      <c r="D2416" s="2" t="inlineStr">
        <is>
          <t>003100</t>
        </is>
      </c>
      <c r="E2416" s="3" t="inlineStr">
        <is>
          <t>주주총회소집공고 (정정: 20260529)</t>
        </is>
      </c>
      <c r="F2416" s="3" t="inlineStr">
        <is>
          <t>선광</t>
        </is>
      </c>
      <c r="G2416" s="2" t="inlineStr">
        <is>
          <t>20260529000793</t>
        </is>
      </c>
      <c r="H2416" s="8">
        <f>HYPERLINK("https://dart.fss.or.kr/dsaf001/main.do?rcpNo=20260529000793", "공시열람")</f>
        <v/>
      </c>
    </row>
    <row r="2417">
      <c r="A2417" s="2" t="inlineStr">
        <is>
          <t>2026-03-11</t>
        </is>
      </c>
      <c r="B2417" s="3" t="inlineStr">
        <is>
          <t>전진건설로봇</t>
        </is>
      </c>
      <c r="C2417" s="2" t="inlineStr">
        <is>
          <t>코스피</t>
        </is>
      </c>
      <c r="D2417" s="2" t="inlineStr">
        <is>
          <t>079900</t>
        </is>
      </c>
      <c r="E2417" s="3" t="inlineStr">
        <is>
          <t>주주총회소집공고</t>
        </is>
      </c>
      <c r="F2417" s="3" t="inlineStr">
        <is>
          <t>전진건설로봇</t>
        </is>
      </c>
      <c r="G2417" s="2" t="inlineStr">
        <is>
          <t>20260311004050</t>
        </is>
      </c>
      <c r="H2417" s="8">
        <f>HYPERLINK("https://dart.fss.or.kr/dsaf001/main.do?rcpNo=20260311004050", "공시열람")</f>
        <v/>
      </c>
    </row>
    <row r="2418">
      <c r="A2418" s="2" t="inlineStr">
        <is>
          <t>2026-03-11</t>
        </is>
      </c>
      <c r="B2418" s="3" t="inlineStr">
        <is>
          <t>엘에이티</t>
        </is>
      </c>
      <c r="C2418" s="2" t="inlineStr">
        <is>
          <t>코넥스</t>
        </is>
      </c>
      <c r="D2418" s="2" t="inlineStr">
        <is>
          <t>311060</t>
        </is>
      </c>
      <c r="E2418" s="3" t="inlineStr">
        <is>
          <t xml:space="preserve">주주총회소집결의              </t>
        </is>
      </c>
      <c r="F2418" s="3" t="inlineStr">
        <is>
          <t>엘에이티</t>
        </is>
      </c>
      <c r="G2418" s="2" t="inlineStr">
        <is>
          <t>20260311601371</t>
        </is>
      </c>
      <c r="H2418" s="8">
        <f>HYPERLINK("https://dart.fss.or.kr/dsaf001/main.do?rcpNo=20260311601371", "공시열람")</f>
        <v/>
      </c>
    </row>
    <row r="2419">
      <c r="A2419" s="2" t="inlineStr">
        <is>
          <t>2026-03-11</t>
        </is>
      </c>
      <c r="B2419" s="3" t="inlineStr">
        <is>
          <t>지노믹트리</t>
        </is>
      </c>
      <c r="C2419" s="2" t="inlineStr">
        <is>
          <t>코스닥</t>
        </is>
      </c>
      <c r="D2419" s="2" t="inlineStr">
        <is>
          <t>228760</t>
        </is>
      </c>
      <c r="E2419" s="3" t="inlineStr">
        <is>
          <t>주주총회소집공고</t>
        </is>
      </c>
      <c r="F2419" s="3" t="inlineStr">
        <is>
          <t>지노믹트리</t>
        </is>
      </c>
      <c r="G2419" s="2" t="inlineStr">
        <is>
          <t>20260311004048</t>
        </is>
      </c>
      <c r="H2419" s="8">
        <f>HYPERLINK("https://dart.fss.or.kr/dsaf001/main.do?rcpNo=20260311004048", "공시열람")</f>
        <v/>
      </c>
    </row>
    <row r="2420">
      <c r="A2420" s="2" t="inlineStr">
        <is>
          <t>2026-03-11</t>
        </is>
      </c>
      <c r="B2420" s="3" t="inlineStr">
        <is>
          <t>TYM</t>
        </is>
      </c>
      <c r="C2420" s="2" t="inlineStr">
        <is>
          <t>코스피</t>
        </is>
      </c>
      <c r="D2420" s="2" t="inlineStr">
        <is>
          <t>002900</t>
        </is>
      </c>
      <c r="E2420" s="3" t="inlineStr">
        <is>
          <t xml:space="preserve">주주총회소집결의              </t>
        </is>
      </c>
      <c r="F2420" s="3" t="inlineStr">
        <is>
          <t>TYM</t>
        </is>
      </c>
      <c r="G2420" s="2" t="inlineStr">
        <is>
          <t>20260311801481</t>
        </is>
      </c>
      <c r="H2420" s="8">
        <f>HYPERLINK("https://dart.fss.or.kr/dsaf001/main.do?rcpNo=20260311801481", "공시열람")</f>
        <v/>
      </c>
    </row>
    <row r="2421">
      <c r="A2421" s="2" t="inlineStr">
        <is>
          <t>2026-03-11</t>
        </is>
      </c>
      <c r="B2421" s="3" t="inlineStr">
        <is>
          <t>메가터치</t>
        </is>
      </c>
      <c r="C2421" s="2" t="inlineStr">
        <is>
          <t>코스닥</t>
        </is>
      </c>
      <c r="D2421" s="2" t="inlineStr">
        <is>
          <t>446540</t>
        </is>
      </c>
      <c r="E2421" s="3" t="inlineStr">
        <is>
          <t>주주총회소집공고</t>
        </is>
      </c>
      <c r="F2421" s="3" t="inlineStr">
        <is>
          <t>메가터치</t>
        </is>
      </c>
      <c r="G2421" s="2" t="inlineStr">
        <is>
          <t>20260311004045</t>
        </is>
      </c>
      <c r="H2421" s="8">
        <f>HYPERLINK("https://dart.fss.or.kr/dsaf001/main.do?rcpNo=20260311004045", "공시열람")</f>
        <v/>
      </c>
    </row>
    <row r="2422">
      <c r="A2422" s="2" t="inlineStr">
        <is>
          <t>2026-03-11 (정정: 2026-03-12)</t>
        </is>
      </c>
      <c r="B2422" s="3" t="inlineStr">
        <is>
          <t>씨에스베어링</t>
        </is>
      </c>
      <c r="C2422" s="2" t="inlineStr">
        <is>
          <t>코스닥</t>
        </is>
      </c>
      <c r="D2422" s="2" t="inlineStr">
        <is>
          <t>297090</t>
        </is>
      </c>
      <c r="E2422" s="3" t="inlineStr">
        <is>
          <t>주주총회소집공고 (정정: 20260312)</t>
        </is>
      </c>
      <c r="F2422" s="3" t="inlineStr">
        <is>
          <t>씨에스베어링</t>
        </is>
      </c>
      <c r="G2422" s="2" t="inlineStr">
        <is>
          <t>20260312001330</t>
        </is>
      </c>
      <c r="H2422" s="8">
        <f>HYPERLINK("https://dart.fss.or.kr/dsaf001/main.do?rcpNo=20260312001330", "공시열람")</f>
        <v/>
      </c>
    </row>
    <row r="2423">
      <c r="A2423" s="2" t="inlineStr">
        <is>
          <t>2026-03-11</t>
        </is>
      </c>
      <c r="B2423" s="3" t="inlineStr">
        <is>
          <t>창해에탄올</t>
        </is>
      </c>
      <c r="C2423" s="2" t="inlineStr">
        <is>
          <t>코스닥</t>
        </is>
      </c>
      <c r="D2423" s="2" t="inlineStr">
        <is>
          <t>004650</t>
        </is>
      </c>
      <c r="E2423" s="3" t="inlineStr">
        <is>
          <t>[기재정정]주주총회소집공고</t>
        </is>
      </c>
      <c r="F2423" s="3" t="inlineStr">
        <is>
          <t>창해에탄올</t>
        </is>
      </c>
      <c r="G2423" s="2" t="inlineStr">
        <is>
          <t>20260311004035</t>
        </is>
      </c>
      <c r="H2423" s="8">
        <f>HYPERLINK("https://dart.fss.or.kr/dsaf001/main.do?rcpNo=20260311004035", "공시열람")</f>
        <v/>
      </c>
    </row>
    <row r="2424">
      <c r="A2424" s="2" t="inlineStr">
        <is>
          <t>2026-03-11</t>
        </is>
      </c>
      <c r="B2424" s="3" t="inlineStr">
        <is>
          <t>초록뱀미디어</t>
        </is>
      </c>
      <c r="C2424" s="2" t="inlineStr">
        <is>
          <t>코스닥</t>
        </is>
      </c>
      <c r="D2424" s="2" t="inlineStr">
        <is>
          <t>047820</t>
        </is>
      </c>
      <c r="E2424" s="3" t="inlineStr">
        <is>
          <t xml:space="preserve">주주총회소집결의              </t>
        </is>
      </c>
      <c r="F2424" s="3" t="inlineStr">
        <is>
          <t>초록뱀미디어</t>
        </is>
      </c>
      <c r="G2424" s="2" t="inlineStr">
        <is>
          <t>20260311901293</t>
        </is>
      </c>
      <c r="H2424" s="8">
        <f>HYPERLINK("https://dart.fss.or.kr/dsaf001/main.do?rcpNo=20260311901293", "공시열람")</f>
        <v/>
      </c>
    </row>
    <row r="2425">
      <c r="A2425" s="2" t="inlineStr">
        <is>
          <t>2026-03-11</t>
        </is>
      </c>
      <c r="B2425" s="3" t="inlineStr">
        <is>
          <t>더블유씨피</t>
        </is>
      </c>
      <c r="C2425" s="2" t="inlineStr">
        <is>
          <t>코스닥</t>
        </is>
      </c>
      <c r="D2425" s="2" t="inlineStr">
        <is>
          <t>393890</t>
        </is>
      </c>
      <c r="E2425" s="3" t="inlineStr">
        <is>
          <t xml:space="preserve">주주총회소집결의              </t>
        </is>
      </c>
      <c r="F2425" s="3" t="inlineStr">
        <is>
          <t>더블유씨피</t>
        </is>
      </c>
      <c r="G2425" s="2" t="inlineStr">
        <is>
          <t>20260311901276</t>
        </is>
      </c>
      <c r="H2425" s="8">
        <f>HYPERLINK("https://dart.fss.or.kr/dsaf001/main.do?rcpNo=20260311901276", "공시열람")</f>
        <v/>
      </c>
    </row>
    <row r="2426">
      <c r="A2426" s="2" t="inlineStr">
        <is>
          <t>2026-03-11</t>
        </is>
      </c>
      <c r="B2426" s="3" t="inlineStr">
        <is>
          <t>대한방직</t>
        </is>
      </c>
      <c r="C2426" s="2" t="inlineStr">
        <is>
          <t>코스피</t>
        </is>
      </c>
      <c r="D2426" s="2" t="inlineStr">
        <is>
          <t>001070</t>
        </is>
      </c>
      <c r="E2426" s="3" t="inlineStr">
        <is>
          <t xml:space="preserve">주주총회집중일개최사유신고              </t>
        </is>
      </c>
      <c r="F2426" s="3" t="inlineStr">
        <is>
          <t>대한방직</t>
        </is>
      </c>
      <c r="G2426" s="2" t="inlineStr">
        <is>
          <t>20260311801378</t>
        </is>
      </c>
      <c r="H2426" s="8">
        <f>HYPERLINK("https://dart.fss.or.kr/dsaf001/main.do?rcpNo=20260311801378", "공시열람")</f>
        <v/>
      </c>
    </row>
    <row r="2427">
      <c r="A2427" s="2" t="inlineStr">
        <is>
          <t>2026-03-11 (정정: 2026-03-11)</t>
        </is>
      </c>
      <c r="B2427" s="3" t="inlineStr">
        <is>
          <t>아이스크림에듀</t>
        </is>
      </c>
      <c r="C2427" s="2" t="inlineStr">
        <is>
          <t>코스닥</t>
        </is>
      </c>
      <c r="D2427" s="2" t="inlineStr">
        <is>
          <t>289010</t>
        </is>
      </c>
      <c r="E2427" s="3" t="inlineStr">
        <is>
          <t>주주총회소집결의               (정정: 20260311)</t>
        </is>
      </c>
      <c r="F2427" s="3" t="inlineStr">
        <is>
          <t>아이스크림에듀</t>
        </is>
      </c>
      <c r="G2427" s="2" t="inlineStr">
        <is>
          <t>20260311901232</t>
        </is>
      </c>
      <c r="H2427" s="8">
        <f>HYPERLINK("https://dart.fss.or.kr/dsaf001/main.do?rcpNo=20260311901232", "공시열람")</f>
        <v/>
      </c>
    </row>
    <row r="2428">
      <c r="A2428" s="2" t="inlineStr">
        <is>
          <t>2026-03-11</t>
        </is>
      </c>
      <c r="B2428" s="3" t="inlineStr">
        <is>
          <t>오상자이엘</t>
        </is>
      </c>
      <c r="C2428" s="2" t="inlineStr">
        <is>
          <t>코스닥</t>
        </is>
      </c>
      <c r="D2428" s="2" t="inlineStr">
        <is>
          <t>053980</t>
        </is>
      </c>
      <c r="E2428" s="3" t="inlineStr">
        <is>
          <t xml:space="preserve">주주총회소집결의              </t>
        </is>
      </c>
      <c r="F2428" s="3" t="inlineStr">
        <is>
          <t>오상자이엘</t>
        </is>
      </c>
      <c r="G2428" s="2" t="inlineStr">
        <is>
          <t>20260311901260</t>
        </is>
      </c>
      <c r="H2428" s="8">
        <f>HYPERLINK("https://dart.fss.or.kr/dsaf001/main.do?rcpNo=20260311901260", "공시열람")</f>
        <v/>
      </c>
    </row>
    <row r="2429">
      <c r="A2429" s="2" t="inlineStr">
        <is>
          <t>2026-03-11</t>
        </is>
      </c>
      <c r="B2429" s="3" t="inlineStr">
        <is>
          <t>APS</t>
        </is>
      </c>
      <c r="C2429" s="2" t="inlineStr">
        <is>
          <t>코스닥</t>
        </is>
      </c>
      <c r="D2429" s="2" t="inlineStr">
        <is>
          <t>054620</t>
        </is>
      </c>
      <c r="E2429" s="3" t="inlineStr">
        <is>
          <t>주주총회소집공고</t>
        </is>
      </c>
      <c r="F2429" s="3" t="inlineStr">
        <is>
          <t>APS</t>
        </is>
      </c>
      <c r="G2429" s="2" t="inlineStr">
        <is>
          <t>20260311004023</t>
        </is>
      </c>
      <c r="H2429" s="8">
        <f>HYPERLINK("https://dart.fss.or.kr/dsaf001/main.do?rcpNo=20260311004023", "공시열람")</f>
        <v/>
      </c>
    </row>
    <row r="2430">
      <c r="A2430" s="2" t="inlineStr">
        <is>
          <t>2026-03-11</t>
        </is>
      </c>
      <c r="B2430" s="3" t="inlineStr">
        <is>
          <t>원익피앤이</t>
        </is>
      </c>
      <c r="C2430" s="2" t="inlineStr">
        <is>
          <t>코스닥</t>
        </is>
      </c>
      <c r="D2430" s="2" t="inlineStr">
        <is>
          <t>217820</t>
        </is>
      </c>
      <c r="E2430" s="3" t="inlineStr">
        <is>
          <t>주주총회소집공고</t>
        </is>
      </c>
      <c r="F2430" s="3" t="inlineStr">
        <is>
          <t>원익피앤이</t>
        </is>
      </c>
      <c r="G2430" s="2" t="inlineStr">
        <is>
          <t>20260311004022</t>
        </is>
      </c>
      <c r="H2430" s="8">
        <f>HYPERLINK("https://dart.fss.or.kr/dsaf001/main.do?rcpNo=20260311004022", "공시열람")</f>
        <v/>
      </c>
    </row>
    <row r="2431">
      <c r="A2431" s="2" t="inlineStr">
        <is>
          <t>2026-03-11</t>
        </is>
      </c>
      <c r="B2431" s="3" t="inlineStr">
        <is>
          <t>계룡건설산업</t>
        </is>
      </c>
      <c r="C2431" s="2" t="inlineStr">
        <is>
          <t>코스피</t>
        </is>
      </c>
      <c r="D2431" s="2" t="inlineStr">
        <is>
          <t>013580</t>
        </is>
      </c>
      <c r="E2431" s="3" t="inlineStr">
        <is>
          <t>주주총회소집공고</t>
        </is>
      </c>
      <c r="F2431" s="3" t="inlineStr">
        <is>
          <t>계룡건설산업</t>
        </is>
      </c>
      <c r="G2431" s="2" t="inlineStr">
        <is>
          <t>20260311004020</t>
        </is>
      </c>
      <c r="H2431" s="8">
        <f>HYPERLINK("https://dart.fss.or.kr/dsaf001/main.do?rcpNo=20260311004020", "공시열람")</f>
        <v/>
      </c>
    </row>
    <row r="2432">
      <c r="A2432" s="2" t="inlineStr">
        <is>
          <t>2026-03-11</t>
        </is>
      </c>
      <c r="B2432" s="3" t="inlineStr">
        <is>
          <t>아셈스</t>
        </is>
      </c>
      <c r="C2432" s="2" t="inlineStr">
        <is>
          <t>코스닥</t>
        </is>
      </c>
      <c r="D2432" s="2" t="inlineStr">
        <is>
          <t>136410</t>
        </is>
      </c>
      <c r="E2432" s="3" t="inlineStr">
        <is>
          <t>주주총회소집공고</t>
        </is>
      </c>
      <c r="F2432" s="3" t="inlineStr">
        <is>
          <t>아셈스</t>
        </is>
      </c>
      <c r="G2432" s="2" t="inlineStr">
        <is>
          <t>20260311004019</t>
        </is>
      </c>
      <c r="H2432" s="8">
        <f>HYPERLINK("https://dart.fss.or.kr/dsaf001/main.do?rcpNo=20260311004019", "공시열람")</f>
        <v/>
      </c>
    </row>
    <row r="2433">
      <c r="A2433" s="2" t="inlineStr">
        <is>
          <t>2026-03-11</t>
        </is>
      </c>
      <c r="B2433" s="3" t="inlineStr">
        <is>
          <t>HMM</t>
        </is>
      </c>
      <c r="C2433" s="2" t="inlineStr">
        <is>
          <t>코스피</t>
        </is>
      </c>
      <c r="D2433" s="2" t="inlineStr">
        <is>
          <t>011200</t>
        </is>
      </c>
      <c r="E2433" s="3" t="inlineStr">
        <is>
          <t>주주총회소집공고</t>
        </is>
      </c>
      <c r="F2433" s="3" t="inlineStr">
        <is>
          <t>HMM</t>
        </is>
      </c>
      <c r="G2433" s="2" t="inlineStr">
        <is>
          <t>20260311004017</t>
        </is>
      </c>
      <c r="H2433" s="8">
        <f>HYPERLINK("https://dart.fss.or.kr/dsaf001/main.do?rcpNo=20260311004017", "공시열람")</f>
        <v/>
      </c>
    </row>
    <row r="2434">
      <c r="A2434" s="2" t="inlineStr">
        <is>
          <t>2026-03-11</t>
        </is>
      </c>
      <c r="B2434" s="3" t="inlineStr">
        <is>
          <t>넥스트아이</t>
        </is>
      </c>
      <c r="C2434" s="2" t="inlineStr">
        <is>
          <t>코스닥</t>
        </is>
      </c>
      <c r="D2434" s="2" t="inlineStr">
        <is>
          <t>137940</t>
        </is>
      </c>
      <c r="E2434" s="3" t="inlineStr">
        <is>
          <t xml:space="preserve">주주총회집중일개최사유신고              </t>
        </is>
      </c>
      <c r="F2434" s="3" t="inlineStr">
        <is>
          <t>넥스트아이</t>
        </is>
      </c>
      <c r="G2434" s="2" t="inlineStr">
        <is>
          <t>20260311901229</t>
        </is>
      </c>
      <c r="H2434" s="8">
        <f>HYPERLINK("https://dart.fss.or.kr/dsaf001/main.do?rcpNo=20260311901229", "공시열람")</f>
        <v/>
      </c>
    </row>
    <row r="2435">
      <c r="A2435" s="2" t="inlineStr">
        <is>
          <t>2026-03-11</t>
        </is>
      </c>
      <c r="B2435" s="3" t="inlineStr">
        <is>
          <t>에코볼트</t>
        </is>
      </c>
      <c r="C2435" s="2" t="inlineStr">
        <is>
          <t>코스닥</t>
        </is>
      </c>
      <c r="D2435" s="2" t="inlineStr">
        <is>
          <t>097780</t>
        </is>
      </c>
      <c r="E2435" s="3" t="inlineStr">
        <is>
          <t>주주총회소집공고</t>
        </is>
      </c>
      <c r="F2435" s="3" t="inlineStr">
        <is>
          <t>에코볼트</t>
        </is>
      </c>
      <c r="G2435" s="2" t="inlineStr">
        <is>
          <t>20260311004015</t>
        </is>
      </c>
      <c r="H2435" s="8">
        <f>HYPERLINK("https://dart.fss.or.kr/dsaf001/main.do?rcpNo=20260311004015", "공시열람")</f>
        <v/>
      </c>
    </row>
    <row r="2436">
      <c r="A2436" s="2" t="inlineStr">
        <is>
          <t>2026-03-11</t>
        </is>
      </c>
      <c r="B2436" s="3" t="inlineStr">
        <is>
          <t>CJ프레시웨이</t>
        </is>
      </c>
      <c r="C2436" s="2" t="inlineStr">
        <is>
          <t>코스닥</t>
        </is>
      </c>
      <c r="D2436" s="2" t="inlineStr">
        <is>
          <t>051500</t>
        </is>
      </c>
      <c r="E2436" s="3" t="inlineStr">
        <is>
          <t xml:space="preserve">주주총회집중일개최사유신고              </t>
        </is>
      </c>
      <c r="F2436" s="3" t="inlineStr">
        <is>
          <t>CJ프레시웨이</t>
        </is>
      </c>
      <c r="G2436" s="2" t="inlineStr">
        <is>
          <t>20260311901200</t>
        </is>
      </c>
      <c r="H2436" s="8">
        <f>HYPERLINK("https://dart.fss.or.kr/dsaf001/main.do?rcpNo=20260311901200", "공시열람")</f>
        <v/>
      </c>
    </row>
    <row r="2437">
      <c r="A2437" s="2" t="inlineStr">
        <is>
          <t>2026-03-11</t>
        </is>
      </c>
      <c r="B2437" s="3" t="inlineStr">
        <is>
          <t>KG이니시스</t>
        </is>
      </c>
      <c r="C2437" s="2" t="inlineStr">
        <is>
          <t>코스닥</t>
        </is>
      </c>
      <c r="D2437" s="2" t="inlineStr">
        <is>
          <t>035600</t>
        </is>
      </c>
      <c r="E2437" s="3" t="inlineStr">
        <is>
          <t xml:space="preserve">주주총회소집결의              </t>
        </is>
      </c>
      <c r="F2437" s="3" t="inlineStr">
        <is>
          <t>KG이니시스</t>
        </is>
      </c>
      <c r="G2437" s="2" t="inlineStr">
        <is>
          <t>20260311901323</t>
        </is>
      </c>
      <c r="H2437" s="8">
        <f>HYPERLINK("https://dart.fss.or.kr/dsaf001/main.do?rcpNo=20260311901323", "공시열람")</f>
        <v/>
      </c>
    </row>
    <row r="2438">
      <c r="A2438" s="2" t="inlineStr">
        <is>
          <t>2026-03-11</t>
        </is>
      </c>
      <c r="B2438" s="3" t="inlineStr">
        <is>
          <t>에스와이스틸텍</t>
        </is>
      </c>
      <c r="C2438" s="2" t="inlineStr">
        <is>
          <t>코스닥</t>
        </is>
      </c>
      <c r="D2438" s="2" t="inlineStr">
        <is>
          <t>365330</t>
        </is>
      </c>
      <c r="E2438" s="3" t="inlineStr">
        <is>
          <t>주주총회소집공고</t>
        </is>
      </c>
      <c r="F2438" s="3" t="inlineStr">
        <is>
          <t>에스와이스틸텍</t>
        </is>
      </c>
      <c r="G2438" s="2" t="inlineStr">
        <is>
          <t>20260311004011</t>
        </is>
      </c>
      <c r="H2438" s="8">
        <f>HYPERLINK("https://dart.fss.or.kr/dsaf001/main.do?rcpNo=20260311004011", "공시열람")</f>
        <v/>
      </c>
    </row>
    <row r="2439">
      <c r="A2439" s="2" t="inlineStr">
        <is>
          <t>2026-03-11</t>
        </is>
      </c>
      <c r="B2439" s="3" t="inlineStr">
        <is>
          <t>오상헬스케어</t>
        </is>
      </c>
      <c r="C2439" s="2" t="inlineStr">
        <is>
          <t>코스닥</t>
        </is>
      </c>
      <c r="D2439" s="2" t="inlineStr">
        <is>
          <t>036220</t>
        </is>
      </c>
      <c r="E2439" s="3" t="inlineStr">
        <is>
          <t>주주총회소집공고</t>
        </is>
      </c>
      <c r="F2439" s="3" t="inlineStr">
        <is>
          <t>오상헬스케어</t>
        </is>
      </c>
      <c r="G2439" s="2" t="inlineStr">
        <is>
          <t>20260311004010</t>
        </is>
      </c>
      <c r="H2439" s="8">
        <f>HYPERLINK("https://dart.fss.or.kr/dsaf001/main.do?rcpNo=20260311004010", "공시열람")</f>
        <v/>
      </c>
    </row>
    <row r="2440">
      <c r="A2440" s="2" t="inlineStr">
        <is>
          <t>2026-03-11</t>
        </is>
      </c>
      <c r="B2440" s="3" t="inlineStr">
        <is>
          <t>웹스</t>
        </is>
      </c>
      <c r="C2440" s="2" t="inlineStr">
        <is>
          <t>코스닥</t>
        </is>
      </c>
      <c r="D2440" s="2" t="inlineStr">
        <is>
          <t>196700</t>
        </is>
      </c>
      <c r="E2440" s="3" t="inlineStr">
        <is>
          <t>주주총회소집공고</t>
        </is>
      </c>
      <c r="F2440" s="3" t="inlineStr">
        <is>
          <t>웹스</t>
        </is>
      </c>
      <c r="G2440" s="2" t="inlineStr">
        <is>
          <t>20260311004009</t>
        </is>
      </c>
      <c r="H2440" s="8">
        <f>HYPERLINK("https://dart.fss.or.kr/dsaf001/main.do?rcpNo=20260311004009", "공시열람")</f>
        <v/>
      </c>
    </row>
    <row r="2441">
      <c r="A2441" s="2" t="inlineStr">
        <is>
          <t>2026-03-11</t>
        </is>
      </c>
      <c r="B2441" s="3" t="inlineStr">
        <is>
          <t>에스엘</t>
        </is>
      </c>
      <c r="C2441" s="2" t="inlineStr">
        <is>
          <t>코스피</t>
        </is>
      </c>
      <c r="D2441" s="2" t="inlineStr">
        <is>
          <t>005850</t>
        </is>
      </c>
      <c r="E2441" s="3" t="inlineStr">
        <is>
          <t>주주총회소집공고</t>
        </is>
      </c>
      <c r="F2441" s="3" t="inlineStr">
        <is>
          <t>에스엘</t>
        </is>
      </c>
      <c r="G2441" s="2" t="inlineStr">
        <is>
          <t>20260311004008</t>
        </is>
      </c>
      <c r="H2441" s="8">
        <f>HYPERLINK("https://dart.fss.or.kr/dsaf001/main.do?rcpNo=20260311004008", "공시열람")</f>
        <v/>
      </c>
    </row>
    <row r="2442">
      <c r="A2442" s="2" t="inlineStr">
        <is>
          <t>2026-03-11</t>
        </is>
      </c>
      <c r="B2442" s="3" t="inlineStr">
        <is>
          <t>엠앤씨솔루션</t>
        </is>
      </c>
      <c r="C2442" s="2" t="inlineStr">
        <is>
          <t>코스피</t>
        </is>
      </c>
      <c r="D2442" s="2" t="inlineStr">
        <is>
          <t>484870</t>
        </is>
      </c>
      <c r="E2442" s="3" t="inlineStr">
        <is>
          <t>주주총회소집공고</t>
        </is>
      </c>
      <c r="F2442" s="3" t="inlineStr">
        <is>
          <t>엠앤씨솔루션</t>
        </is>
      </c>
      <c r="G2442" s="2" t="inlineStr">
        <is>
          <t>20260311004007</t>
        </is>
      </c>
      <c r="H2442" s="8">
        <f>HYPERLINK("https://dart.fss.or.kr/dsaf001/main.do?rcpNo=20260311004007", "공시열람")</f>
        <v/>
      </c>
    </row>
    <row r="2443">
      <c r="A2443" s="2" t="inlineStr">
        <is>
          <t>2026-03-11</t>
        </is>
      </c>
      <c r="B2443" s="3" t="inlineStr">
        <is>
          <t>아셈스</t>
        </is>
      </c>
      <c r="C2443" s="2" t="inlineStr">
        <is>
          <t>코스닥</t>
        </is>
      </c>
      <c r="D2443" s="2" t="inlineStr">
        <is>
          <t>136410</t>
        </is>
      </c>
      <c r="E2443" s="3" t="inlineStr">
        <is>
          <t xml:space="preserve">주주총회소집결의              </t>
        </is>
      </c>
      <c r="F2443" s="3" t="inlineStr">
        <is>
          <t>아셈스</t>
        </is>
      </c>
      <c r="G2443" s="2" t="inlineStr">
        <is>
          <t>20260311901266</t>
        </is>
      </c>
      <c r="H2443" s="8">
        <f>HYPERLINK("https://dart.fss.or.kr/dsaf001/main.do?rcpNo=20260311901266", "공시열람")</f>
        <v/>
      </c>
    </row>
    <row r="2444">
      <c r="A2444" s="2" t="inlineStr">
        <is>
          <t>2026-03-11</t>
        </is>
      </c>
      <c r="B2444" s="3" t="inlineStr">
        <is>
          <t>넷마블</t>
        </is>
      </c>
      <c r="C2444" s="2" t="inlineStr">
        <is>
          <t>코스피</t>
        </is>
      </c>
      <c r="D2444" s="2" t="inlineStr">
        <is>
          <t>251270</t>
        </is>
      </c>
      <c r="E2444" s="3" t="inlineStr">
        <is>
          <t>주주총회소집공고</t>
        </is>
      </c>
      <c r="F2444" s="3" t="inlineStr">
        <is>
          <t>넷마블</t>
        </is>
      </c>
      <c r="G2444" s="2" t="inlineStr">
        <is>
          <t>20260311003998</t>
        </is>
      </c>
      <c r="H2444" s="8">
        <f>HYPERLINK("https://dart.fss.or.kr/dsaf001/main.do?rcpNo=20260311003998", "공시열람")</f>
        <v/>
      </c>
    </row>
    <row r="2445">
      <c r="A2445" s="2" t="inlineStr">
        <is>
          <t>2026-03-11</t>
        </is>
      </c>
      <c r="B2445" s="3" t="inlineStr">
        <is>
          <t>윙스풋</t>
        </is>
      </c>
      <c r="C2445" s="2" t="inlineStr">
        <is>
          <t>코스닥</t>
        </is>
      </c>
      <c r="D2445" s="2" t="inlineStr">
        <is>
          <t>335870</t>
        </is>
      </c>
      <c r="E2445" s="3" t="inlineStr">
        <is>
          <t>주주총회소집공고</t>
        </is>
      </c>
      <c r="F2445" s="3" t="inlineStr">
        <is>
          <t>윙스풋</t>
        </is>
      </c>
      <c r="G2445" s="2" t="inlineStr">
        <is>
          <t>20260311003996</t>
        </is>
      </c>
      <c r="H2445" s="8">
        <f>HYPERLINK("https://dart.fss.or.kr/dsaf001/main.do?rcpNo=20260311003996", "공시열람")</f>
        <v/>
      </c>
    </row>
    <row r="2446">
      <c r="A2446" s="2" t="inlineStr">
        <is>
          <t>2026-03-11</t>
        </is>
      </c>
      <c r="B2446" s="3" t="inlineStr">
        <is>
          <t>금호에이치티</t>
        </is>
      </c>
      <c r="C2446" s="2" t="inlineStr">
        <is>
          <t>코스피</t>
        </is>
      </c>
      <c r="D2446" s="2" t="inlineStr">
        <is>
          <t>214330</t>
        </is>
      </c>
      <c r="E2446" s="3" t="inlineStr">
        <is>
          <t>주주총회소집공고</t>
        </is>
      </c>
      <c r="F2446" s="3" t="inlineStr">
        <is>
          <t>금호에이치티</t>
        </is>
      </c>
      <c r="G2446" s="2" t="inlineStr">
        <is>
          <t>20260311003992</t>
        </is>
      </c>
      <c r="H2446" s="8">
        <f>HYPERLINK("https://dart.fss.or.kr/dsaf001/main.do?rcpNo=20260311003992", "공시열람")</f>
        <v/>
      </c>
    </row>
    <row r="2447">
      <c r="A2447" s="2" t="inlineStr">
        <is>
          <t>2026-03-11</t>
        </is>
      </c>
      <c r="B2447" s="3" t="inlineStr">
        <is>
          <t>TPC로보틱스</t>
        </is>
      </c>
      <c r="C2447" s="2" t="inlineStr">
        <is>
          <t>코스닥</t>
        </is>
      </c>
      <c r="D2447" s="2" t="inlineStr">
        <is>
          <t>048770</t>
        </is>
      </c>
      <c r="E2447" s="3" t="inlineStr">
        <is>
          <t>주주총회소집공고</t>
        </is>
      </c>
      <c r="F2447" s="3" t="inlineStr">
        <is>
          <t>TPC로보틱스</t>
        </is>
      </c>
      <c r="G2447" s="2" t="inlineStr">
        <is>
          <t>20260311003987</t>
        </is>
      </c>
      <c r="H2447" s="8">
        <f>HYPERLINK("https://dart.fss.or.kr/dsaf001/main.do?rcpNo=20260311003987", "공시열람")</f>
        <v/>
      </c>
    </row>
    <row r="2448">
      <c r="A2448" s="2" t="inlineStr">
        <is>
          <t>2026-03-11 (정정: 2026-04-29)</t>
        </is>
      </c>
      <c r="B2448" s="3" t="inlineStr">
        <is>
          <t>한국비티비</t>
        </is>
      </c>
      <c r="C2448" s="2" t="inlineStr">
        <is>
          <t>코스닥</t>
        </is>
      </c>
      <c r="D2448" s="2" t="inlineStr">
        <is>
          <t>219750</t>
        </is>
      </c>
      <c r="E2448" s="3" t="inlineStr">
        <is>
          <t>주주총회소집공고 (정정: 20260429)</t>
        </is>
      </c>
      <c r="F2448" s="3" t="inlineStr">
        <is>
          <t>한국비티비</t>
        </is>
      </c>
      <c r="G2448" s="2" t="inlineStr">
        <is>
          <t>20260429001063</t>
        </is>
      </c>
      <c r="H2448" s="8">
        <f>HYPERLINK("https://dart.fss.or.kr/dsaf001/main.do?rcpNo=20260429001063", "공시열람")</f>
        <v/>
      </c>
    </row>
    <row r="2449">
      <c r="A2449" s="2" t="inlineStr">
        <is>
          <t>2026-03-11</t>
        </is>
      </c>
      <c r="B2449" s="3" t="inlineStr">
        <is>
          <t>넥스트아이</t>
        </is>
      </c>
      <c r="C2449" s="2" t="inlineStr">
        <is>
          <t>코스닥</t>
        </is>
      </c>
      <c r="D2449" s="2" t="inlineStr">
        <is>
          <t>137940</t>
        </is>
      </c>
      <c r="E2449" s="3" t="inlineStr">
        <is>
          <t xml:space="preserve">주주총회소집결의              </t>
        </is>
      </c>
      <c r="F2449" s="3" t="inlineStr">
        <is>
          <t>넥스트아이</t>
        </is>
      </c>
      <c r="G2449" s="2" t="inlineStr">
        <is>
          <t>20260311901220</t>
        </is>
      </c>
      <c r="H2449" s="8">
        <f>HYPERLINK("https://dart.fss.or.kr/dsaf001/main.do?rcpNo=20260311901220", "공시열람")</f>
        <v/>
      </c>
    </row>
    <row r="2450">
      <c r="A2450" s="2" t="inlineStr">
        <is>
          <t>2026-03-11</t>
        </is>
      </c>
      <c r="B2450" s="3" t="inlineStr">
        <is>
          <t>모베이스전자</t>
        </is>
      </c>
      <c r="C2450" s="2" t="inlineStr">
        <is>
          <t>코스닥</t>
        </is>
      </c>
      <c r="D2450" s="2" t="inlineStr">
        <is>
          <t>012860</t>
        </is>
      </c>
      <c r="E2450" s="3" t="inlineStr">
        <is>
          <t>주주총회소집공고</t>
        </is>
      </c>
      <c r="F2450" s="3" t="inlineStr">
        <is>
          <t>모베이스전자</t>
        </is>
      </c>
      <c r="G2450" s="2" t="inlineStr">
        <is>
          <t>20260311003985</t>
        </is>
      </c>
      <c r="H2450" s="8">
        <f>HYPERLINK("https://dart.fss.or.kr/dsaf001/main.do?rcpNo=20260311003985", "공시열람")</f>
        <v/>
      </c>
    </row>
    <row r="2451">
      <c r="A2451" s="2" t="inlineStr">
        <is>
          <t>2026-03-11</t>
        </is>
      </c>
      <c r="B2451" s="3" t="inlineStr">
        <is>
          <t>CJ프레시웨이</t>
        </is>
      </c>
      <c r="C2451" s="2" t="inlineStr">
        <is>
          <t>코스닥</t>
        </is>
      </c>
      <c r="D2451" s="2" t="inlineStr">
        <is>
          <t>051500</t>
        </is>
      </c>
      <c r="E2451" s="3" t="inlineStr">
        <is>
          <t>주주총회소집공고</t>
        </is>
      </c>
      <c r="F2451" s="3" t="inlineStr">
        <is>
          <t>CJ프레시웨이</t>
        </is>
      </c>
      <c r="G2451" s="2" t="inlineStr">
        <is>
          <t>20260311003983</t>
        </is>
      </c>
      <c r="H2451" s="8">
        <f>HYPERLINK("https://dart.fss.or.kr/dsaf001/main.do?rcpNo=20260311003983", "공시열람")</f>
        <v/>
      </c>
    </row>
    <row r="2452">
      <c r="A2452" s="2" t="inlineStr">
        <is>
          <t>2026-03-11 (정정: 2026-05-27)</t>
        </is>
      </c>
      <c r="B2452" s="3" t="inlineStr">
        <is>
          <t>녹십자홀딩스</t>
        </is>
      </c>
      <c r="C2452" s="2" t="inlineStr">
        <is>
          <t>코스피</t>
        </is>
      </c>
      <c r="D2452" s="2" t="inlineStr">
        <is>
          <t>005250</t>
        </is>
      </c>
      <c r="E2452" s="3" t="inlineStr">
        <is>
          <t>주주총회소집공고 (정정: 20260527)</t>
        </is>
      </c>
      <c r="F2452" s="3" t="inlineStr">
        <is>
          <t>녹십자홀딩스</t>
        </is>
      </c>
      <c r="G2452" s="2" t="inlineStr">
        <is>
          <t>20260527800857</t>
        </is>
      </c>
      <c r="H2452" s="8">
        <f>HYPERLINK("https://dart.fss.or.kr/dsaf001/main.do?rcpNo=20260527800857", "공시열람")</f>
        <v/>
      </c>
    </row>
    <row r="2453">
      <c r="A2453" s="2" t="inlineStr">
        <is>
          <t>2026-03-11</t>
        </is>
      </c>
      <c r="B2453" s="3" t="inlineStr">
        <is>
          <t>BYC</t>
        </is>
      </c>
      <c r="C2453" s="2" t="inlineStr">
        <is>
          <t>코스피</t>
        </is>
      </c>
      <c r="D2453" s="2" t="inlineStr">
        <is>
          <t>001460</t>
        </is>
      </c>
      <c r="E2453" s="3" t="inlineStr">
        <is>
          <t xml:space="preserve">주주총회집중일개최사유신고              </t>
        </is>
      </c>
      <c r="F2453" s="3" t="inlineStr">
        <is>
          <t>BYC</t>
        </is>
      </c>
      <c r="G2453" s="2" t="inlineStr">
        <is>
          <t>20260311801357</t>
        </is>
      </c>
      <c r="H2453" s="8">
        <f>HYPERLINK("https://dart.fss.or.kr/dsaf001/main.do?rcpNo=20260311801357", "공시열람")</f>
        <v/>
      </c>
    </row>
    <row r="2454">
      <c r="A2454" s="2" t="inlineStr">
        <is>
          <t>2026-03-11</t>
        </is>
      </c>
      <c r="B2454" s="3" t="inlineStr">
        <is>
          <t>지노믹트리</t>
        </is>
      </c>
      <c r="C2454" s="2" t="inlineStr">
        <is>
          <t>코스닥</t>
        </is>
      </c>
      <c r="D2454" s="2" t="inlineStr">
        <is>
          <t>228760</t>
        </is>
      </c>
      <c r="E2454" s="3" t="inlineStr">
        <is>
          <t xml:space="preserve">주주총회소집결의              </t>
        </is>
      </c>
      <c r="F2454" s="3" t="inlineStr">
        <is>
          <t>지노믹트리</t>
        </is>
      </c>
      <c r="G2454" s="2" t="inlineStr">
        <is>
          <t>20260311901188</t>
        </is>
      </c>
      <c r="H2454" s="8">
        <f>HYPERLINK("https://dart.fss.or.kr/dsaf001/main.do?rcpNo=20260311901188", "공시열람")</f>
        <v/>
      </c>
    </row>
    <row r="2455">
      <c r="A2455" s="2" t="inlineStr">
        <is>
          <t>2026-03-11</t>
        </is>
      </c>
      <c r="B2455" s="3" t="inlineStr">
        <is>
          <t>메가터치</t>
        </is>
      </c>
      <c r="C2455" s="2" t="inlineStr">
        <is>
          <t>코스닥</t>
        </is>
      </c>
      <c r="D2455" s="2" t="inlineStr">
        <is>
          <t>446540</t>
        </is>
      </c>
      <c r="E2455" s="3" t="inlineStr">
        <is>
          <t xml:space="preserve">주주총회소집결의              </t>
        </is>
      </c>
      <c r="F2455" s="3" t="inlineStr">
        <is>
          <t>메가터치</t>
        </is>
      </c>
      <c r="G2455" s="2" t="inlineStr">
        <is>
          <t>20260311901253</t>
        </is>
      </c>
      <c r="H2455" s="8">
        <f>HYPERLINK("https://dart.fss.or.kr/dsaf001/main.do?rcpNo=20260311901253", "공시열람")</f>
        <v/>
      </c>
    </row>
    <row r="2456">
      <c r="A2456" s="2" t="inlineStr">
        <is>
          <t>2026-03-11</t>
        </is>
      </c>
      <c r="B2456" s="3" t="inlineStr">
        <is>
          <t>지엔코</t>
        </is>
      </c>
      <c r="C2456" s="2" t="inlineStr">
        <is>
          <t>코스닥</t>
        </is>
      </c>
      <c r="D2456" s="2" t="inlineStr">
        <is>
          <t>065060</t>
        </is>
      </c>
      <c r="E2456" s="3" t="inlineStr">
        <is>
          <t>주주총회소집공고</t>
        </is>
      </c>
      <c r="F2456" s="3" t="inlineStr">
        <is>
          <t>지엔코</t>
        </is>
      </c>
      <c r="G2456" s="2" t="inlineStr">
        <is>
          <t>20260311003978</t>
        </is>
      </c>
      <c r="H2456" s="8">
        <f>HYPERLINK("https://dart.fss.or.kr/dsaf001/main.do?rcpNo=20260311003978", "공시열람")</f>
        <v/>
      </c>
    </row>
    <row r="2457">
      <c r="A2457" s="2" t="inlineStr">
        <is>
          <t>2026-03-11</t>
        </is>
      </c>
      <c r="B2457" s="3" t="inlineStr">
        <is>
          <t>KS인더스트리</t>
        </is>
      </c>
      <c r="C2457" s="2" t="inlineStr">
        <is>
          <t>코스닥</t>
        </is>
      </c>
      <c r="D2457" s="2" t="inlineStr">
        <is>
          <t>101000</t>
        </is>
      </c>
      <c r="E2457" s="3" t="inlineStr">
        <is>
          <t>주주총회소집공고</t>
        </is>
      </c>
      <c r="F2457" s="3" t="inlineStr">
        <is>
          <t>KS인더스트리</t>
        </is>
      </c>
      <c r="G2457" s="2" t="inlineStr">
        <is>
          <t>20260311003977</t>
        </is>
      </c>
      <c r="H2457" s="8">
        <f>HYPERLINK("https://dart.fss.or.kr/dsaf001/main.do?rcpNo=20260311003977", "공시열람")</f>
        <v/>
      </c>
    </row>
    <row r="2458">
      <c r="A2458" s="2" t="inlineStr">
        <is>
          <t>2026-03-11</t>
        </is>
      </c>
      <c r="B2458" s="3" t="inlineStr">
        <is>
          <t>올릭스</t>
        </is>
      </c>
      <c r="C2458" s="2" t="inlineStr">
        <is>
          <t>코스닥</t>
        </is>
      </c>
      <c r="D2458" s="2" t="inlineStr">
        <is>
          <t>226950</t>
        </is>
      </c>
      <c r="E2458" s="3" t="inlineStr">
        <is>
          <t>주주총회소집공고</t>
        </is>
      </c>
      <c r="F2458" s="3" t="inlineStr">
        <is>
          <t>올릭스</t>
        </is>
      </c>
      <c r="G2458" s="2" t="inlineStr">
        <is>
          <t>20260311003974</t>
        </is>
      </c>
      <c r="H2458" s="8">
        <f>HYPERLINK("https://dart.fss.or.kr/dsaf001/main.do?rcpNo=20260311003974", "공시열람")</f>
        <v/>
      </c>
    </row>
    <row r="2459">
      <c r="A2459" s="2" t="inlineStr">
        <is>
          <t>2026-03-11</t>
        </is>
      </c>
      <c r="B2459" s="3" t="inlineStr">
        <is>
          <t>코츠테크놀로지</t>
        </is>
      </c>
      <c r="C2459" s="2" t="inlineStr">
        <is>
          <t>코스닥</t>
        </is>
      </c>
      <c r="D2459" s="2" t="inlineStr">
        <is>
          <t>448710</t>
        </is>
      </c>
      <c r="E2459" s="3" t="inlineStr">
        <is>
          <t>주주총회소집공고</t>
        </is>
      </c>
      <c r="F2459" s="3" t="inlineStr">
        <is>
          <t>코츠테크놀로지</t>
        </is>
      </c>
      <c r="G2459" s="2" t="inlineStr">
        <is>
          <t>20260311003971</t>
        </is>
      </c>
      <c r="H2459" s="8">
        <f>HYPERLINK("https://dart.fss.or.kr/dsaf001/main.do?rcpNo=20260311003971", "공시열람")</f>
        <v/>
      </c>
    </row>
    <row r="2460">
      <c r="A2460" s="2" t="inlineStr">
        <is>
          <t>2026-03-11</t>
        </is>
      </c>
      <c r="B2460" s="3" t="inlineStr">
        <is>
          <t>오에스피</t>
        </is>
      </c>
      <c r="C2460" s="2" t="inlineStr">
        <is>
          <t>코스닥</t>
        </is>
      </c>
      <c r="D2460" s="2" t="inlineStr">
        <is>
          <t>368970</t>
        </is>
      </c>
      <c r="E2460" s="3" t="inlineStr">
        <is>
          <t>주주총회소집공고</t>
        </is>
      </c>
      <c r="F2460" s="3" t="inlineStr">
        <is>
          <t>오에스피</t>
        </is>
      </c>
      <c r="G2460" s="2" t="inlineStr">
        <is>
          <t>20260311003967</t>
        </is>
      </c>
      <c r="H2460" s="8">
        <f>HYPERLINK("https://dart.fss.or.kr/dsaf001/main.do?rcpNo=20260311003967", "공시열람")</f>
        <v/>
      </c>
    </row>
    <row r="2461">
      <c r="A2461" s="2" t="inlineStr">
        <is>
          <t>2026-03-11</t>
        </is>
      </c>
      <c r="B2461" s="3" t="inlineStr">
        <is>
          <t>동양에스텍</t>
        </is>
      </c>
      <c r="C2461" s="2" t="inlineStr">
        <is>
          <t>코스닥</t>
        </is>
      </c>
      <c r="D2461" s="2" t="inlineStr">
        <is>
          <t>060380</t>
        </is>
      </c>
      <c r="E2461" s="3" t="inlineStr">
        <is>
          <t>주주총회소집공고</t>
        </is>
      </c>
      <c r="F2461" s="3" t="inlineStr">
        <is>
          <t>동양에스텍</t>
        </is>
      </c>
      <c r="G2461" s="2" t="inlineStr">
        <is>
          <t>20260311003964</t>
        </is>
      </c>
      <c r="H2461" s="8">
        <f>HYPERLINK("https://dart.fss.or.kr/dsaf001/main.do?rcpNo=20260311003964", "공시열람")</f>
        <v/>
      </c>
    </row>
    <row r="2462">
      <c r="A2462" s="2" t="inlineStr">
        <is>
          <t>2026-03-11</t>
        </is>
      </c>
      <c r="B2462" s="3" t="inlineStr">
        <is>
          <t>APS</t>
        </is>
      </c>
      <c r="C2462" s="2" t="inlineStr">
        <is>
          <t>코스닥</t>
        </is>
      </c>
      <c r="D2462" s="2" t="inlineStr">
        <is>
          <t>054620</t>
        </is>
      </c>
      <c r="E2462" s="3" t="inlineStr">
        <is>
          <t xml:space="preserve">주주총회집중일개최사유신고              </t>
        </is>
      </c>
      <c r="F2462" s="3" t="inlineStr">
        <is>
          <t>APS</t>
        </is>
      </c>
      <c r="G2462" s="2" t="inlineStr">
        <is>
          <t>20260311901282</t>
        </is>
      </c>
      <c r="H2462" s="8">
        <f>HYPERLINK("https://dart.fss.or.kr/dsaf001/main.do?rcpNo=20260311901282", "공시열람")</f>
        <v/>
      </c>
    </row>
    <row r="2463">
      <c r="A2463" s="2" t="inlineStr">
        <is>
          <t>2026-03-11</t>
        </is>
      </c>
      <c r="B2463" s="3" t="inlineStr">
        <is>
          <t>APS</t>
        </is>
      </c>
      <c r="C2463" s="2" t="inlineStr">
        <is>
          <t>코스닥</t>
        </is>
      </c>
      <c r="D2463" s="2" t="inlineStr">
        <is>
          <t>054620</t>
        </is>
      </c>
      <c r="E2463" s="3" t="inlineStr">
        <is>
          <t xml:space="preserve">주주총회소집결의              </t>
        </is>
      </c>
      <c r="F2463" s="3" t="inlineStr">
        <is>
          <t>APS</t>
        </is>
      </c>
      <c r="G2463" s="2" t="inlineStr">
        <is>
          <t>20260311901268</t>
        </is>
      </c>
      <c r="H2463" s="8">
        <f>HYPERLINK("https://dart.fss.or.kr/dsaf001/main.do?rcpNo=20260311901268", "공시열람")</f>
        <v/>
      </c>
    </row>
    <row r="2464">
      <c r="A2464" s="2" t="inlineStr">
        <is>
          <t>2026-03-11</t>
        </is>
      </c>
      <c r="B2464" s="3" t="inlineStr">
        <is>
          <t>금호에이치티</t>
        </is>
      </c>
      <c r="C2464" s="2" t="inlineStr">
        <is>
          <t>코스피</t>
        </is>
      </c>
      <c r="D2464" s="2" t="inlineStr">
        <is>
          <t>214330</t>
        </is>
      </c>
      <c r="E2464" s="3" t="inlineStr">
        <is>
          <t xml:space="preserve">주주총회소집결의              </t>
        </is>
      </c>
      <c r="F2464" s="3" t="inlineStr">
        <is>
          <t>금호에이치티</t>
        </is>
      </c>
      <c r="G2464" s="2" t="inlineStr">
        <is>
          <t>20260311801248</t>
        </is>
      </c>
      <c r="H2464" s="8">
        <f>HYPERLINK("https://dart.fss.or.kr/dsaf001/main.do?rcpNo=20260311801248", "공시열람")</f>
        <v/>
      </c>
    </row>
    <row r="2465">
      <c r="A2465" s="2" t="inlineStr">
        <is>
          <t>2026-03-11 (정정: 2026-03-11)</t>
        </is>
      </c>
      <c r="B2465" s="3" t="inlineStr">
        <is>
          <t>휴맥스</t>
        </is>
      </c>
      <c r="C2465" s="2" t="inlineStr">
        <is>
          <t>코스닥</t>
        </is>
      </c>
      <c r="D2465" s="2" t="inlineStr">
        <is>
          <t>115160</t>
        </is>
      </c>
      <c r="E2465" s="3" t="inlineStr">
        <is>
          <t>주주총회소집공고 (정정: 20260311)</t>
        </is>
      </c>
      <c r="F2465" s="3" t="inlineStr">
        <is>
          <t>휴맥스</t>
        </is>
      </c>
      <c r="G2465" s="2" t="inlineStr">
        <is>
          <t>20260311901195</t>
        </is>
      </c>
      <c r="H2465" s="8">
        <f>HYPERLINK("https://dart.fss.or.kr/dsaf001/main.do?rcpNo=20260311901195", "공시열람")</f>
        <v/>
      </c>
    </row>
    <row r="2466">
      <c r="A2466" s="2" t="inlineStr">
        <is>
          <t>2026-03-11</t>
        </is>
      </c>
      <c r="B2466" s="3" t="inlineStr">
        <is>
          <t>팸텍</t>
        </is>
      </c>
      <c r="C2466" s="2" t="inlineStr">
        <is>
          <t>코스닥</t>
        </is>
      </c>
      <c r="D2466" s="2" t="inlineStr">
        <is>
          <t>271830</t>
        </is>
      </c>
      <c r="E2466" s="3" t="inlineStr">
        <is>
          <t>주주총회소집공고</t>
        </is>
      </c>
      <c r="F2466" s="3" t="inlineStr">
        <is>
          <t>팸텍</t>
        </is>
      </c>
      <c r="G2466" s="2" t="inlineStr">
        <is>
          <t>20260311003956</t>
        </is>
      </c>
      <c r="H2466" s="8">
        <f>HYPERLINK("https://dart.fss.or.kr/dsaf001/main.do?rcpNo=20260311003956", "공시열람")</f>
        <v/>
      </c>
    </row>
    <row r="2467">
      <c r="A2467" s="2" t="inlineStr">
        <is>
          <t>2026-03-11</t>
        </is>
      </c>
      <c r="B2467" s="3" t="inlineStr">
        <is>
          <t>동남합성</t>
        </is>
      </c>
      <c r="C2467" s="2" t="inlineStr">
        <is>
          <t>코스피</t>
        </is>
      </c>
      <c r="D2467" s="2" t="inlineStr">
        <is>
          <t>023450</t>
        </is>
      </c>
      <c r="E2467" s="3" t="inlineStr">
        <is>
          <t>주주총회소집공고</t>
        </is>
      </c>
      <c r="F2467" s="3" t="inlineStr">
        <is>
          <t>동남합성</t>
        </is>
      </c>
      <c r="G2467" s="2" t="inlineStr">
        <is>
          <t>20260311003955</t>
        </is>
      </c>
      <c r="H2467" s="8">
        <f>HYPERLINK("https://dart.fss.or.kr/dsaf001/main.do?rcpNo=20260311003955", "공시열람")</f>
        <v/>
      </c>
    </row>
    <row r="2468">
      <c r="A2468" s="2" t="inlineStr">
        <is>
          <t>2026-03-11</t>
        </is>
      </c>
      <c r="B2468" s="3" t="inlineStr">
        <is>
          <t>씨젠</t>
        </is>
      </c>
      <c r="C2468" s="2" t="inlineStr">
        <is>
          <t>코스닥</t>
        </is>
      </c>
      <c r="D2468" s="2" t="inlineStr">
        <is>
          <t>096530</t>
        </is>
      </c>
      <c r="E2468" s="3" t="inlineStr">
        <is>
          <t>주주총회소집공고</t>
        </is>
      </c>
      <c r="F2468" s="3" t="inlineStr">
        <is>
          <t>씨젠</t>
        </is>
      </c>
      <c r="G2468" s="2" t="inlineStr">
        <is>
          <t>20260311003954</t>
        </is>
      </c>
      <c r="H2468" s="8">
        <f>HYPERLINK("https://dart.fss.or.kr/dsaf001/main.do?rcpNo=20260311003954", "공시열람")</f>
        <v/>
      </c>
    </row>
    <row r="2469">
      <c r="A2469" s="2" t="inlineStr">
        <is>
          <t>2026-03-11</t>
        </is>
      </c>
      <c r="B2469" s="3" t="inlineStr">
        <is>
          <t>창해에탄올</t>
        </is>
      </c>
      <c r="C2469" s="2" t="inlineStr">
        <is>
          <t>코스닥</t>
        </is>
      </c>
      <c r="D2469" s="2" t="inlineStr">
        <is>
          <t>004650</t>
        </is>
      </c>
      <c r="E2469" s="3" t="inlineStr">
        <is>
          <t>[기재정정]주주총회소집공고</t>
        </is>
      </c>
      <c r="F2469" s="3" t="inlineStr">
        <is>
          <t>창해에탄올</t>
        </is>
      </c>
      <c r="G2469" s="2" t="inlineStr">
        <is>
          <t>20260311003953</t>
        </is>
      </c>
      <c r="H2469" s="8">
        <f>HYPERLINK("https://dart.fss.or.kr/dsaf001/main.do?rcpNo=20260311003953", "공시열람")</f>
        <v/>
      </c>
    </row>
    <row r="2470">
      <c r="A2470" s="2" t="inlineStr">
        <is>
          <t>2026-03-11</t>
        </is>
      </c>
      <c r="B2470" s="3" t="inlineStr">
        <is>
          <t>LIG아큐버</t>
        </is>
      </c>
      <c r="C2470" s="2" t="inlineStr">
        <is>
          <t>코스닥</t>
        </is>
      </c>
      <c r="D2470" s="2" t="inlineStr">
        <is>
          <t>073490</t>
        </is>
      </c>
      <c r="E2470" s="3" t="inlineStr">
        <is>
          <t>주주총회소집공고</t>
        </is>
      </c>
      <c r="F2470" s="3" t="inlineStr">
        <is>
          <t>LIG아큐버</t>
        </is>
      </c>
      <c r="G2470" s="2" t="inlineStr">
        <is>
          <t>20260311003952</t>
        </is>
      </c>
      <c r="H2470" s="8">
        <f>HYPERLINK("https://dart.fss.or.kr/dsaf001/main.do?rcpNo=20260311003952", "공시열람")</f>
        <v/>
      </c>
    </row>
    <row r="2471">
      <c r="A2471" s="2" t="inlineStr">
        <is>
          <t>2026-03-11</t>
        </is>
      </c>
      <c r="B2471" s="3" t="inlineStr">
        <is>
          <t>동일금속</t>
        </is>
      </c>
      <c r="C2471" s="2" t="inlineStr">
        <is>
          <t>코스닥</t>
        </is>
      </c>
      <c r="D2471" s="2" t="inlineStr">
        <is>
          <t>109860</t>
        </is>
      </c>
      <c r="E2471" s="3" t="inlineStr">
        <is>
          <t>주주총회소집공고</t>
        </is>
      </c>
      <c r="F2471" s="3" t="inlineStr">
        <is>
          <t>동일금속</t>
        </is>
      </c>
      <c r="G2471" s="2" t="inlineStr">
        <is>
          <t>20260311003951</t>
        </is>
      </c>
      <c r="H2471" s="8">
        <f>HYPERLINK("https://dart.fss.or.kr/dsaf001/main.do?rcpNo=20260311003951", "공시열람")</f>
        <v/>
      </c>
    </row>
    <row r="2472">
      <c r="A2472" s="2" t="inlineStr">
        <is>
          <t>2026-03-11</t>
        </is>
      </c>
      <c r="B2472" s="3" t="inlineStr">
        <is>
          <t>일지테크</t>
        </is>
      </c>
      <c r="C2472" s="2" t="inlineStr">
        <is>
          <t>코스닥</t>
        </is>
      </c>
      <c r="D2472" s="2" t="inlineStr">
        <is>
          <t>019540</t>
        </is>
      </c>
      <c r="E2472" s="3" t="inlineStr">
        <is>
          <t xml:space="preserve">주주총회집중일개최사유신고              </t>
        </is>
      </c>
      <c r="F2472" s="3" t="inlineStr">
        <is>
          <t>일지테크</t>
        </is>
      </c>
      <c r="G2472" s="2" t="inlineStr">
        <is>
          <t>20260311901197</t>
        </is>
      </c>
      <c r="H2472" s="8">
        <f>HYPERLINK("https://dart.fss.or.kr/dsaf001/main.do?rcpNo=20260311901197", "공시열람")</f>
        <v/>
      </c>
    </row>
    <row r="2473">
      <c r="A2473" s="2" t="inlineStr">
        <is>
          <t>2026-03-11</t>
        </is>
      </c>
      <c r="B2473" s="3" t="inlineStr">
        <is>
          <t>코오롱생명과학</t>
        </is>
      </c>
      <c r="C2473" s="2" t="inlineStr">
        <is>
          <t>코스닥</t>
        </is>
      </c>
      <c r="D2473" s="2" t="inlineStr">
        <is>
          <t>102940</t>
        </is>
      </c>
      <c r="E2473" s="3" t="inlineStr">
        <is>
          <t>주주총회소집공고</t>
        </is>
      </c>
      <c r="F2473" s="3" t="inlineStr">
        <is>
          <t>코오롱생명과학</t>
        </is>
      </c>
      <c r="G2473" s="2" t="inlineStr">
        <is>
          <t>20260311003946</t>
        </is>
      </c>
      <c r="H2473" s="8">
        <f>HYPERLINK("https://dart.fss.or.kr/dsaf001/main.do?rcpNo=20260311003946", "공시열람")</f>
        <v/>
      </c>
    </row>
    <row r="2474">
      <c r="A2474" s="2" t="inlineStr">
        <is>
          <t>2026-03-11</t>
        </is>
      </c>
      <c r="B2474" s="3" t="inlineStr">
        <is>
          <t>BYC</t>
        </is>
      </c>
      <c r="C2474" s="2" t="inlineStr">
        <is>
          <t>코스피</t>
        </is>
      </c>
      <c r="D2474" s="2" t="inlineStr">
        <is>
          <t>001460</t>
        </is>
      </c>
      <c r="E2474" s="3" t="inlineStr">
        <is>
          <t>주주총회소집공고</t>
        </is>
      </c>
      <c r="F2474" s="3" t="inlineStr">
        <is>
          <t>BYC</t>
        </is>
      </c>
      <c r="G2474" s="2" t="inlineStr">
        <is>
          <t>20260311003945</t>
        </is>
      </c>
      <c r="H2474" s="8">
        <f>HYPERLINK("https://dart.fss.or.kr/dsaf001/main.do?rcpNo=20260311003945", "공시열람")</f>
        <v/>
      </c>
    </row>
    <row r="2475">
      <c r="A2475" s="2" t="inlineStr">
        <is>
          <t>2026-03-11 (정정: 2026-03-11)</t>
        </is>
      </c>
      <c r="B2475" s="3" t="inlineStr">
        <is>
          <t>산돌</t>
        </is>
      </c>
      <c r="C2475" s="2" t="inlineStr">
        <is>
          <t>코스닥</t>
        </is>
      </c>
      <c r="D2475" s="2" t="inlineStr">
        <is>
          <t>419120</t>
        </is>
      </c>
      <c r="E2475" s="3" t="inlineStr">
        <is>
          <t>[기재정정]주주총회소집공고</t>
        </is>
      </c>
      <c r="F2475" s="3" t="inlineStr">
        <is>
          <t>산돌</t>
        </is>
      </c>
      <c r="G2475" s="2" t="inlineStr">
        <is>
          <t>20260311003944</t>
        </is>
      </c>
      <c r="H2475" s="8">
        <f>HYPERLINK("https://dart.fss.or.kr/dsaf001/main.do?rcpNo=20260311003944", "공시열람")</f>
        <v/>
      </c>
    </row>
    <row r="2476">
      <c r="A2476" s="2" t="inlineStr">
        <is>
          <t>2026-03-11</t>
        </is>
      </c>
      <c r="B2476" s="3" t="inlineStr">
        <is>
          <t>대한방직</t>
        </is>
      </c>
      <c r="C2476" s="2" t="inlineStr">
        <is>
          <t>코스피</t>
        </is>
      </c>
      <c r="D2476" s="2" t="inlineStr">
        <is>
          <t>001070</t>
        </is>
      </c>
      <c r="E2476" s="3" t="inlineStr">
        <is>
          <t>주주총회소집공고</t>
        </is>
      </c>
      <c r="F2476" s="3" t="inlineStr">
        <is>
          <t>대한방직</t>
        </is>
      </c>
      <c r="G2476" s="2" t="inlineStr">
        <is>
          <t>20260311003942</t>
        </is>
      </c>
      <c r="H2476" s="8">
        <f>HYPERLINK("https://dart.fss.or.kr/dsaf001/main.do?rcpNo=20260311003942", "공시열람")</f>
        <v/>
      </c>
    </row>
    <row r="2477">
      <c r="A2477" s="2" t="inlineStr">
        <is>
          <t>2026-03-11</t>
        </is>
      </c>
      <c r="B2477" s="3" t="inlineStr">
        <is>
          <t>한신공영</t>
        </is>
      </c>
      <c r="C2477" s="2" t="inlineStr">
        <is>
          <t>코스피</t>
        </is>
      </c>
      <c r="D2477" s="2" t="inlineStr">
        <is>
          <t>004960</t>
        </is>
      </c>
      <c r="E2477" s="3" t="inlineStr">
        <is>
          <t xml:space="preserve">주주총회집중일개최사유신고              </t>
        </is>
      </c>
      <c r="F2477" s="3" t="inlineStr">
        <is>
          <t>한신공영</t>
        </is>
      </c>
      <c r="G2477" s="2" t="inlineStr">
        <is>
          <t>20260311801211</t>
        </is>
      </c>
      <c r="H2477" s="8">
        <f>HYPERLINK("https://dart.fss.or.kr/dsaf001/main.do?rcpNo=20260311801211", "공시열람")</f>
        <v/>
      </c>
    </row>
    <row r="2478">
      <c r="A2478" s="2" t="inlineStr">
        <is>
          <t>2026-03-11</t>
        </is>
      </c>
      <c r="B2478" s="3" t="inlineStr">
        <is>
          <t>지엔코</t>
        </is>
      </c>
      <c r="C2478" s="2" t="inlineStr">
        <is>
          <t>코스닥</t>
        </is>
      </c>
      <c r="D2478" s="2" t="inlineStr">
        <is>
          <t>065060</t>
        </is>
      </c>
      <c r="E2478" s="3" t="inlineStr">
        <is>
          <t xml:space="preserve">주주총회소집결의              </t>
        </is>
      </c>
      <c r="F2478" s="3" t="inlineStr">
        <is>
          <t>지엔코</t>
        </is>
      </c>
      <c r="G2478" s="2" t="inlineStr">
        <is>
          <t>20260311901242</t>
        </is>
      </c>
      <c r="H2478" s="8">
        <f>HYPERLINK("https://dart.fss.or.kr/dsaf001/main.do?rcpNo=20260311901242", "공시열람")</f>
        <v/>
      </c>
    </row>
    <row r="2479">
      <c r="A2479" s="2" t="inlineStr">
        <is>
          <t>2026-03-11</t>
        </is>
      </c>
      <c r="B2479" s="3" t="inlineStr">
        <is>
          <t>SB성보</t>
        </is>
      </c>
      <c r="C2479" s="2" t="inlineStr">
        <is>
          <t>코스피</t>
        </is>
      </c>
      <c r="D2479" s="2" t="inlineStr">
        <is>
          <t>003080</t>
        </is>
      </c>
      <c r="E2479" s="3" t="inlineStr">
        <is>
          <t xml:space="preserve">주주총회소집결의              </t>
        </is>
      </c>
      <c r="F2479" s="3" t="inlineStr">
        <is>
          <t>SB성보</t>
        </is>
      </c>
      <c r="G2479" s="2" t="inlineStr">
        <is>
          <t>20260311801142</t>
        </is>
      </c>
      <c r="H2479" s="8">
        <f>HYPERLINK("https://dart.fss.or.kr/dsaf001/main.do?rcpNo=20260311801142", "공시열람")</f>
        <v/>
      </c>
    </row>
    <row r="2480">
      <c r="A2480" s="2" t="inlineStr">
        <is>
          <t>2026-03-11 (정정: 2026-05-22)</t>
        </is>
      </c>
      <c r="B2480" s="3" t="inlineStr">
        <is>
          <t>피제이메탈</t>
        </is>
      </c>
      <c r="C2480" s="2" t="inlineStr">
        <is>
          <t>코스닥</t>
        </is>
      </c>
      <c r="D2480" s="2" t="inlineStr">
        <is>
          <t>128660</t>
        </is>
      </c>
      <c r="E2480" s="3" t="inlineStr">
        <is>
          <t>주주총회소집공고 (정정: 20260522)</t>
        </is>
      </c>
      <c r="F2480" s="3" t="inlineStr">
        <is>
          <t>피제이메탈</t>
        </is>
      </c>
      <c r="G2480" s="2" t="inlineStr">
        <is>
          <t>20260522900864</t>
        </is>
      </c>
      <c r="H2480" s="8">
        <f>HYPERLINK("https://dart.fss.or.kr/dsaf001/main.do?rcpNo=20260522900864", "공시열람")</f>
        <v/>
      </c>
    </row>
    <row r="2481">
      <c r="A2481" s="2" t="inlineStr">
        <is>
          <t>2026-03-11</t>
        </is>
      </c>
      <c r="B2481" s="3" t="inlineStr">
        <is>
          <t>케일럼</t>
        </is>
      </c>
      <c r="C2481" s="2" t="inlineStr">
        <is>
          <t>코스닥</t>
        </is>
      </c>
      <c r="D2481" s="2" t="inlineStr">
        <is>
          <t>258610</t>
        </is>
      </c>
      <c r="E2481" s="3" t="inlineStr">
        <is>
          <t>주주총회소집공고</t>
        </is>
      </c>
      <c r="F2481" s="3" t="inlineStr">
        <is>
          <t>케일럼</t>
        </is>
      </c>
      <c r="G2481" s="2" t="inlineStr">
        <is>
          <t>20260311003934</t>
        </is>
      </c>
      <c r="H2481" s="8">
        <f>HYPERLINK("https://dart.fss.or.kr/dsaf001/main.do?rcpNo=20260311003934", "공시열람")</f>
        <v/>
      </c>
    </row>
    <row r="2482">
      <c r="A2482" s="2" t="inlineStr">
        <is>
          <t>2026-03-11</t>
        </is>
      </c>
      <c r="B2482" s="3" t="inlineStr">
        <is>
          <t>SIMPAC</t>
        </is>
      </c>
      <c r="C2482" s="2" t="inlineStr">
        <is>
          <t>코스피</t>
        </is>
      </c>
      <c r="D2482" s="2" t="inlineStr">
        <is>
          <t>009160</t>
        </is>
      </c>
      <c r="E2482" s="3" t="inlineStr">
        <is>
          <t>주주총회소집공고</t>
        </is>
      </c>
      <c r="F2482" s="3" t="inlineStr">
        <is>
          <t>SIMPAC</t>
        </is>
      </c>
      <c r="G2482" s="2" t="inlineStr">
        <is>
          <t>20260311003933</t>
        </is>
      </c>
      <c r="H2482" s="8">
        <f>HYPERLINK("https://dart.fss.or.kr/dsaf001/main.do?rcpNo=20260311003933", "공시열람")</f>
        <v/>
      </c>
    </row>
    <row r="2483">
      <c r="A2483" s="2" t="inlineStr">
        <is>
          <t>2026-03-11</t>
        </is>
      </c>
      <c r="B2483" s="3" t="inlineStr">
        <is>
          <t>사조산업</t>
        </is>
      </c>
      <c r="C2483" s="2" t="inlineStr">
        <is>
          <t>코스피</t>
        </is>
      </c>
      <c r="D2483" s="2" t="inlineStr">
        <is>
          <t>007160</t>
        </is>
      </c>
      <c r="E2483" s="3" t="inlineStr">
        <is>
          <t>주주총회소집공고</t>
        </is>
      </c>
      <c r="F2483" s="3" t="inlineStr">
        <is>
          <t>사조산업</t>
        </is>
      </c>
      <c r="G2483" s="2" t="inlineStr">
        <is>
          <t>20260311003932</t>
        </is>
      </c>
      <c r="H2483" s="8">
        <f>HYPERLINK("https://dart.fss.or.kr/dsaf001/main.do?rcpNo=20260311003932", "공시열람")</f>
        <v/>
      </c>
    </row>
    <row r="2484">
      <c r="A2484" s="2" t="inlineStr">
        <is>
          <t>2026-03-11</t>
        </is>
      </c>
      <c r="B2484" s="3" t="inlineStr">
        <is>
          <t>일지테크</t>
        </is>
      </c>
      <c r="C2484" s="2" t="inlineStr">
        <is>
          <t>코스닥</t>
        </is>
      </c>
      <c r="D2484" s="2" t="inlineStr">
        <is>
          <t>019540</t>
        </is>
      </c>
      <c r="E2484" s="3" t="inlineStr">
        <is>
          <t>주주총회소집공고</t>
        </is>
      </c>
      <c r="F2484" s="3" t="inlineStr">
        <is>
          <t>일지테크</t>
        </is>
      </c>
      <c r="G2484" s="2" t="inlineStr">
        <is>
          <t>20260311003928</t>
        </is>
      </c>
      <c r="H2484" s="8">
        <f>HYPERLINK("https://dart.fss.or.kr/dsaf001/main.do?rcpNo=20260311003928", "공시열람")</f>
        <v/>
      </c>
    </row>
    <row r="2485">
      <c r="A2485" s="2" t="inlineStr">
        <is>
          <t>2026-03-11</t>
        </is>
      </c>
      <c r="B2485" s="3" t="inlineStr">
        <is>
          <t>케일럼</t>
        </is>
      </c>
      <c r="C2485" s="2" t="inlineStr">
        <is>
          <t>코스닥</t>
        </is>
      </c>
      <c r="D2485" s="2" t="inlineStr">
        <is>
          <t>258610</t>
        </is>
      </c>
      <c r="E2485" s="3" t="inlineStr">
        <is>
          <t xml:space="preserve">[기재정정]주주총회소집결의              </t>
        </is>
      </c>
      <c r="F2485" s="3" t="inlineStr">
        <is>
          <t>케일럼</t>
        </is>
      </c>
      <c r="G2485" s="2" t="inlineStr">
        <is>
          <t>20260311901176</t>
        </is>
      </c>
      <c r="H2485" s="8">
        <f>HYPERLINK("https://dart.fss.or.kr/dsaf001/main.do?rcpNo=20260311901176", "공시열람")</f>
        <v/>
      </c>
    </row>
    <row r="2486">
      <c r="A2486" s="2" t="inlineStr">
        <is>
          <t>2026-03-11</t>
        </is>
      </c>
      <c r="B2486" s="3" t="inlineStr">
        <is>
          <t>종근당</t>
        </is>
      </c>
      <c r="C2486" s="2" t="inlineStr">
        <is>
          <t>코스피</t>
        </is>
      </c>
      <c r="D2486" s="2" t="inlineStr">
        <is>
          <t>185750</t>
        </is>
      </c>
      <c r="E2486" s="3" t="inlineStr">
        <is>
          <t>주주총회소집공고</t>
        </is>
      </c>
      <c r="F2486" s="3" t="inlineStr">
        <is>
          <t>종근당</t>
        </is>
      </c>
      <c r="G2486" s="2" t="inlineStr">
        <is>
          <t>20260311003926</t>
        </is>
      </c>
      <c r="H2486" s="8">
        <f>HYPERLINK("https://dart.fss.or.kr/dsaf001/main.do?rcpNo=20260311003926", "공시열람")</f>
        <v/>
      </c>
    </row>
    <row r="2487">
      <c r="A2487" s="2" t="inlineStr">
        <is>
          <t>2026-03-11</t>
        </is>
      </c>
      <c r="B2487" s="3" t="inlineStr">
        <is>
          <t>우진비앤지</t>
        </is>
      </c>
      <c r="C2487" s="2" t="inlineStr">
        <is>
          <t>코스닥</t>
        </is>
      </c>
      <c r="D2487" s="2" t="inlineStr">
        <is>
          <t>018620</t>
        </is>
      </c>
      <c r="E2487" s="3" t="inlineStr">
        <is>
          <t>주주총회소집공고</t>
        </is>
      </c>
      <c r="F2487" s="3" t="inlineStr">
        <is>
          <t>우진비앤지</t>
        </is>
      </c>
      <c r="G2487" s="2" t="inlineStr">
        <is>
          <t>20260311003924</t>
        </is>
      </c>
      <c r="H2487" s="8">
        <f>HYPERLINK("https://dart.fss.or.kr/dsaf001/main.do?rcpNo=20260311003924", "공시열람")</f>
        <v/>
      </c>
    </row>
    <row r="2488">
      <c r="A2488" s="2" t="inlineStr">
        <is>
          <t>2026-03-11</t>
        </is>
      </c>
      <c r="B2488" s="3" t="inlineStr">
        <is>
          <t>씨젠</t>
        </is>
      </c>
      <c r="C2488" s="2" t="inlineStr">
        <is>
          <t>코스닥</t>
        </is>
      </c>
      <c r="D2488" s="2" t="inlineStr">
        <is>
          <t>096530</t>
        </is>
      </c>
      <c r="E2488" s="3" t="inlineStr">
        <is>
          <t xml:space="preserve">주주총회집중일개최사유신고              </t>
        </is>
      </c>
      <c r="F2488" s="3" t="inlineStr">
        <is>
          <t>씨젠</t>
        </is>
      </c>
      <c r="G2488" s="2" t="inlineStr">
        <is>
          <t>20260311901259</t>
        </is>
      </c>
      <c r="H2488" s="8">
        <f>HYPERLINK("https://dart.fss.or.kr/dsaf001/main.do?rcpNo=20260311901259", "공시열람")</f>
        <v/>
      </c>
    </row>
    <row r="2489">
      <c r="A2489" s="2" t="inlineStr">
        <is>
          <t>2026-03-11</t>
        </is>
      </c>
      <c r="B2489" s="3" t="inlineStr">
        <is>
          <t>티에스아이</t>
        </is>
      </c>
      <c r="C2489" s="2" t="inlineStr">
        <is>
          <t>코스닥</t>
        </is>
      </c>
      <c r="D2489" s="2" t="inlineStr">
        <is>
          <t>277880</t>
        </is>
      </c>
      <c r="E2489" s="3" t="inlineStr">
        <is>
          <t>주주총회소집공고</t>
        </is>
      </c>
      <c r="F2489" s="3" t="inlineStr">
        <is>
          <t>티에스아이</t>
        </is>
      </c>
      <c r="G2489" s="2" t="inlineStr">
        <is>
          <t>20260311003920</t>
        </is>
      </c>
      <c r="H2489" s="8">
        <f>HYPERLINK("https://dart.fss.or.kr/dsaf001/main.do?rcpNo=20260311003920", "공시열람")</f>
        <v/>
      </c>
    </row>
    <row r="2490">
      <c r="A2490" s="2" t="inlineStr">
        <is>
          <t>2026-03-11</t>
        </is>
      </c>
      <c r="B2490" s="3" t="inlineStr">
        <is>
          <t>일지테크</t>
        </is>
      </c>
      <c r="C2490" s="2" t="inlineStr">
        <is>
          <t>코스닥</t>
        </is>
      </c>
      <c r="D2490" s="2" t="inlineStr">
        <is>
          <t>019540</t>
        </is>
      </c>
      <c r="E2490" s="3" t="inlineStr">
        <is>
          <t xml:space="preserve">주주총회소집결의              </t>
        </is>
      </c>
      <c r="F2490" s="3" t="inlineStr">
        <is>
          <t>일지테크</t>
        </is>
      </c>
      <c r="G2490" s="2" t="inlineStr">
        <is>
          <t>20260311901161</t>
        </is>
      </c>
      <c r="H2490" s="8">
        <f>HYPERLINK("https://dart.fss.or.kr/dsaf001/main.do?rcpNo=20260311901161", "공시열람")</f>
        <v/>
      </c>
    </row>
    <row r="2491">
      <c r="A2491" s="2" t="inlineStr">
        <is>
          <t>2026-03-11</t>
        </is>
      </c>
      <c r="B2491" s="3" t="inlineStr">
        <is>
          <t>에코볼트</t>
        </is>
      </c>
      <c r="C2491" s="2" t="inlineStr">
        <is>
          <t>코스닥</t>
        </is>
      </c>
      <c r="D2491" s="2" t="inlineStr">
        <is>
          <t>097780</t>
        </is>
      </c>
      <c r="E2491" s="3" t="inlineStr">
        <is>
          <t xml:space="preserve">주주총회소집결의              </t>
        </is>
      </c>
      <c r="F2491" s="3" t="inlineStr">
        <is>
          <t>에코볼트</t>
        </is>
      </c>
      <c r="G2491" s="2" t="inlineStr">
        <is>
          <t>20260311901149</t>
        </is>
      </c>
      <c r="H2491" s="8">
        <f>HYPERLINK("https://dart.fss.or.kr/dsaf001/main.do?rcpNo=20260311901149", "공시열람")</f>
        <v/>
      </c>
    </row>
    <row r="2492">
      <c r="A2492" s="2" t="inlineStr">
        <is>
          <t>2026-03-11</t>
        </is>
      </c>
      <c r="B2492" s="3" t="inlineStr">
        <is>
          <t>국보디자인</t>
        </is>
      </c>
      <c r="C2492" s="2" t="inlineStr">
        <is>
          <t>코스닥</t>
        </is>
      </c>
      <c r="D2492" s="2" t="inlineStr">
        <is>
          <t>066620</t>
        </is>
      </c>
      <c r="E2492" s="3" t="inlineStr">
        <is>
          <t>주주총회소집공고</t>
        </is>
      </c>
      <c r="F2492" s="3" t="inlineStr">
        <is>
          <t>국보디자인</t>
        </is>
      </c>
      <c r="G2492" s="2" t="inlineStr">
        <is>
          <t>20260311003916</t>
        </is>
      </c>
      <c r="H2492" s="8">
        <f>HYPERLINK("https://dart.fss.or.kr/dsaf001/main.do?rcpNo=20260311003916", "공시열람")</f>
        <v/>
      </c>
    </row>
    <row r="2493">
      <c r="A2493" s="2" t="inlineStr">
        <is>
          <t>2026-03-11</t>
        </is>
      </c>
      <c r="B2493" s="3" t="inlineStr">
        <is>
          <t>티에스아이</t>
        </is>
      </c>
      <c r="C2493" s="2" t="inlineStr">
        <is>
          <t>코스닥</t>
        </is>
      </c>
      <c r="D2493" s="2" t="inlineStr">
        <is>
          <t>277880</t>
        </is>
      </c>
      <c r="E2493" s="3" t="inlineStr">
        <is>
          <t xml:space="preserve">주주총회소집결의              </t>
        </is>
      </c>
      <c r="F2493" s="3" t="inlineStr">
        <is>
          <t>티에스아이</t>
        </is>
      </c>
      <c r="G2493" s="2" t="inlineStr">
        <is>
          <t>20260311901173</t>
        </is>
      </c>
      <c r="H2493" s="8">
        <f>HYPERLINK("https://dart.fss.or.kr/dsaf001/main.do?rcpNo=20260311901173", "공시열람")</f>
        <v/>
      </c>
    </row>
    <row r="2494">
      <c r="A2494" s="2" t="inlineStr">
        <is>
          <t>2026-03-11 (정정: 2026-03-12)</t>
        </is>
      </c>
      <c r="B2494" s="3" t="inlineStr">
        <is>
          <t>모델솔루션</t>
        </is>
      </c>
      <c r="C2494" s="2" t="inlineStr">
        <is>
          <t>코스닥</t>
        </is>
      </c>
      <c r="D2494" s="2" t="inlineStr">
        <is>
          <t>417970</t>
        </is>
      </c>
      <c r="E2494" s="3" t="inlineStr">
        <is>
          <t>주주총회소집공고 (정정: 20260312)</t>
        </is>
      </c>
      <c r="F2494" s="3" t="inlineStr">
        <is>
          <t>모델솔루션</t>
        </is>
      </c>
      <c r="G2494" s="2" t="inlineStr">
        <is>
          <t>20260312000834</t>
        </is>
      </c>
      <c r="H2494" s="8">
        <f>HYPERLINK("https://dart.fss.or.kr/dsaf001/main.do?rcpNo=20260312000834", "공시열람")</f>
        <v/>
      </c>
    </row>
    <row r="2495">
      <c r="A2495" s="2" t="inlineStr">
        <is>
          <t>2026-03-11</t>
        </is>
      </c>
      <c r="B2495" s="3" t="inlineStr">
        <is>
          <t>팜스빌</t>
        </is>
      </c>
      <c r="C2495" s="2" t="inlineStr">
        <is>
          <t>코스닥</t>
        </is>
      </c>
      <c r="D2495" s="2" t="inlineStr">
        <is>
          <t>318010</t>
        </is>
      </c>
      <c r="E2495" s="3" t="inlineStr">
        <is>
          <t>주주총회소집공고</t>
        </is>
      </c>
      <c r="F2495" s="3" t="inlineStr">
        <is>
          <t>팜스빌</t>
        </is>
      </c>
      <c r="G2495" s="2" t="inlineStr">
        <is>
          <t>20260311003911</t>
        </is>
      </c>
      <c r="H2495" s="8">
        <f>HYPERLINK("https://dart.fss.or.kr/dsaf001/main.do?rcpNo=20260311003911", "공시열람")</f>
        <v/>
      </c>
    </row>
    <row r="2496">
      <c r="A2496" s="2" t="inlineStr">
        <is>
          <t>2026-03-11</t>
        </is>
      </c>
      <c r="B2496" s="3" t="inlineStr">
        <is>
          <t>씨젠</t>
        </is>
      </c>
      <c r="C2496" s="2" t="inlineStr">
        <is>
          <t>코스닥</t>
        </is>
      </c>
      <c r="D2496" s="2" t="inlineStr">
        <is>
          <t>096530</t>
        </is>
      </c>
      <c r="E2496" s="3" t="inlineStr">
        <is>
          <t xml:space="preserve">주주총회소집결의              </t>
        </is>
      </c>
      <c r="F2496" s="3" t="inlineStr">
        <is>
          <t>씨젠</t>
        </is>
      </c>
      <c r="G2496" s="2" t="inlineStr">
        <is>
          <t>20260311901103</t>
        </is>
      </c>
      <c r="H2496" s="8">
        <f>HYPERLINK("https://dart.fss.or.kr/dsaf001/main.do?rcpNo=20260311901103", "공시열람")</f>
        <v/>
      </c>
    </row>
    <row r="2497">
      <c r="A2497" s="2" t="inlineStr">
        <is>
          <t>2026-03-11 (정정: 2026-03-11)</t>
        </is>
      </c>
      <c r="B2497" s="3" t="inlineStr">
        <is>
          <t>동국홀딩스</t>
        </is>
      </c>
      <c r="C2497" s="2" t="inlineStr">
        <is>
          <t>코스피</t>
        </is>
      </c>
      <c r="D2497" s="2" t="inlineStr">
        <is>
          <t>001230</t>
        </is>
      </c>
      <c r="E2497" s="3" t="inlineStr">
        <is>
          <t>주주총회소집공고 (정정: 20260311)</t>
        </is>
      </c>
      <c r="F2497" s="3" t="inlineStr">
        <is>
          <t>동국홀딩스</t>
        </is>
      </c>
      <c r="G2497" s="2" t="inlineStr">
        <is>
          <t>20260311801079</t>
        </is>
      </c>
      <c r="H2497" s="8">
        <f>HYPERLINK("https://dart.fss.or.kr/dsaf001/main.do?rcpNo=20260311801079", "공시열람")</f>
        <v/>
      </c>
    </row>
    <row r="2498">
      <c r="A2498" s="2" t="inlineStr">
        <is>
          <t>2026-03-11</t>
        </is>
      </c>
      <c r="B2498" s="3" t="inlineStr">
        <is>
          <t>대한방직</t>
        </is>
      </c>
      <c r="C2498" s="2" t="inlineStr">
        <is>
          <t>코스피</t>
        </is>
      </c>
      <c r="D2498" s="2" t="inlineStr">
        <is>
          <t>001070</t>
        </is>
      </c>
      <c r="E2498" s="3" t="inlineStr">
        <is>
          <t xml:space="preserve">주주총회소집결의              </t>
        </is>
      </c>
      <c r="F2498" s="3" t="inlineStr">
        <is>
          <t>대한방직</t>
        </is>
      </c>
      <c r="G2498" s="2" t="inlineStr">
        <is>
          <t>20260311801114</t>
        </is>
      </c>
      <c r="H2498" s="8">
        <f>HYPERLINK("https://dart.fss.or.kr/dsaf001/main.do?rcpNo=20260311801114", "공시열람")</f>
        <v/>
      </c>
    </row>
    <row r="2499">
      <c r="A2499" s="2" t="inlineStr">
        <is>
          <t>2026-03-11</t>
        </is>
      </c>
      <c r="B2499" s="3" t="inlineStr">
        <is>
          <t>신영스팩11호</t>
        </is>
      </c>
      <c r="C2499" s="2" t="inlineStr">
        <is>
          <t>코스닥</t>
        </is>
      </c>
      <c r="D2499" s="2" t="inlineStr">
        <is>
          <t>0091W0</t>
        </is>
      </c>
      <c r="E2499" s="3" t="inlineStr">
        <is>
          <t>주주총회소집공고</t>
        </is>
      </c>
      <c r="F2499" s="3" t="inlineStr">
        <is>
          <t>신영스팩11호</t>
        </is>
      </c>
      <c r="G2499" s="2" t="inlineStr">
        <is>
          <t>20260311003902</t>
        </is>
      </c>
      <c r="H2499" s="8">
        <f>HYPERLINK("https://dart.fss.or.kr/dsaf001/main.do?rcpNo=20260311003902", "공시열람")</f>
        <v/>
      </c>
    </row>
    <row r="2500">
      <c r="A2500" s="2" t="inlineStr">
        <is>
          <t>2026-03-11</t>
        </is>
      </c>
      <c r="B2500" s="3" t="inlineStr">
        <is>
          <t>유진테크</t>
        </is>
      </c>
      <c r="C2500" s="2" t="inlineStr">
        <is>
          <t>코스닥</t>
        </is>
      </c>
      <c r="D2500" s="2" t="inlineStr">
        <is>
          <t>084370</t>
        </is>
      </c>
      <c r="E2500" s="3" t="inlineStr">
        <is>
          <t>주주총회소집공고</t>
        </is>
      </c>
      <c r="F2500" s="3" t="inlineStr">
        <is>
          <t>유진테크</t>
        </is>
      </c>
      <c r="G2500" s="2" t="inlineStr">
        <is>
          <t>20260311003901</t>
        </is>
      </c>
      <c r="H2500" s="8">
        <f>HYPERLINK("https://dart.fss.or.kr/dsaf001/main.do?rcpNo=20260311003901", "공시열람")</f>
        <v/>
      </c>
    </row>
    <row r="2501">
      <c r="A2501" s="2" t="inlineStr">
        <is>
          <t>2026-03-11 (정정: 2026-03-11)</t>
        </is>
      </c>
      <c r="B2501" s="3" t="inlineStr">
        <is>
          <t>씨에스윈드</t>
        </is>
      </c>
      <c r="C2501" s="2" t="inlineStr">
        <is>
          <t>코스피</t>
        </is>
      </c>
      <c r="D2501" s="2" t="inlineStr">
        <is>
          <t>112610</t>
        </is>
      </c>
      <c r="E2501" s="3" t="inlineStr">
        <is>
          <t>주주총회소집공고 (정정: 20260311) (정정: 20260311)</t>
        </is>
      </c>
      <c r="F2501" s="3" t="inlineStr">
        <is>
          <t>씨에스윈드</t>
        </is>
      </c>
      <c r="G2501" s="2" t="inlineStr">
        <is>
          <t>20260311801116</t>
        </is>
      </c>
      <c r="H2501" s="8">
        <f>HYPERLINK("https://dart.fss.or.kr/dsaf001/main.do?rcpNo=20260311801116", "공시열람")</f>
        <v/>
      </c>
    </row>
    <row r="2502">
      <c r="A2502" s="2" t="inlineStr">
        <is>
          <t>2026-03-11</t>
        </is>
      </c>
      <c r="B2502" s="3" t="inlineStr">
        <is>
          <t>대주산업</t>
        </is>
      </c>
      <c r="C2502" s="2" t="inlineStr">
        <is>
          <t>코스닥</t>
        </is>
      </c>
      <c r="D2502" s="2" t="inlineStr">
        <is>
          <t>003310</t>
        </is>
      </c>
      <c r="E2502" s="3" t="inlineStr">
        <is>
          <t>주주총회소집공고</t>
        </is>
      </c>
      <c r="F2502" s="3" t="inlineStr">
        <is>
          <t>대주산업</t>
        </is>
      </c>
      <c r="G2502" s="2" t="inlineStr">
        <is>
          <t>20260311003898</t>
        </is>
      </c>
      <c r="H2502" s="8">
        <f>HYPERLINK("https://dart.fss.or.kr/dsaf001/main.do?rcpNo=20260311003898", "공시열람")</f>
        <v/>
      </c>
    </row>
    <row r="2503">
      <c r="A2503" s="2" t="inlineStr">
        <is>
          <t>2026-03-11 (정정: 2026-03-11)</t>
        </is>
      </c>
      <c r="B2503" s="3" t="inlineStr">
        <is>
          <t>비씨월드제약</t>
        </is>
      </c>
      <c r="C2503" s="2" t="inlineStr">
        <is>
          <t>코스닥</t>
        </is>
      </c>
      <c r="D2503" s="2" t="inlineStr">
        <is>
          <t>200780</t>
        </is>
      </c>
      <c r="E2503" s="3" t="inlineStr">
        <is>
          <t>주주총회소집공고 (정정: 20260311)</t>
        </is>
      </c>
      <c r="F2503" s="3" t="inlineStr">
        <is>
          <t>비씨월드제약</t>
        </is>
      </c>
      <c r="G2503" s="2" t="inlineStr">
        <is>
          <t>20260311900262</t>
        </is>
      </c>
      <c r="H2503" s="8">
        <f>HYPERLINK("https://dart.fss.or.kr/dsaf001/main.do?rcpNo=20260311900262", "공시열람")</f>
        <v/>
      </c>
    </row>
    <row r="2504">
      <c r="A2504" s="2" t="inlineStr">
        <is>
          <t>2026-03-11 (정정: 2026-03-11)</t>
        </is>
      </c>
      <c r="B2504" s="3" t="inlineStr">
        <is>
          <t>아주스틸</t>
        </is>
      </c>
      <c r="C2504" s="2" t="inlineStr">
        <is>
          <t>코스피</t>
        </is>
      </c>
      <c r="D2504" s="2" t="inlineStr">
        <is>
          <t>139990</t>
        </is>
      </c>
      <c r="E2504" s="3" t="inlineStr">
        <is>
          <t>주주총회소집공고 (정정: 20260311)</t>
        </is>
      </c>
      <c r="F2504" s="3" t="inlineStr">
        <is>
          <t>아주스틸</t>
        </is>
      </c>
      <c r="G2504" s="2" t="inlineStr">
        <is>
          <t>20260311801170</t>
        </is>
      </c>
      <c r="H2504" s="8">
        <f>HYPERLINK("https://dart.fss.or.kr/dsaf001/main.do?rcpNo=20260311801170", "공시열람")</f>
        <v/>
      </c>
    </row>
    <row r="2505">
      <c r="A2505" s="2" t="inlineStr">
        <is>
          <t>2026-03-11</t>
        </is>
      </c>
      <c r="B2505" s="3" t="inlineStr">
        <is>
          <t>케이씨티</t>
        </is>
      </c>
      <c r="C2505" s="2" t="inlineStr">
        <is>
          <t>코스닥</t>
        </is>
      </c>
      <c r="D2505" s="2" t="inlineStr">
        <is>
          <t>089150</t>
        </is>
      </c>
      <c r="E2505" s="3" t="inlineStr">
        <is>
          <t>주주총회소집공고</t>
        </is>
      </c>
      <c r="F2505" s="3" t="inlineStr">
        <is>
          <t>케이씨티</t>
        </is>
      </c>
      <c r="G2505" s="2" t="inlineStr">
        <is>
          <t>20260311003893</t>
        </is>
      </c>
      <c r="H2505" s="8">
        <f>HYPERLINK("https://dart.fss.or.kr/dsaf001/main.do?rcpNo=20260311003893", "공시열람")</f>
        <v/>
      </c>
    </row>
    <row r="2506">
      <c r="A2506" s="2" t="inlineStr">
        <is>
          <t>2026-03-11</t>
        </is>
      </c>
      <c r="B2506" s="3" t="inlineStr">
        <is>
          <t>휴맥스</t>
        </is>
      </c>
      <c r="C2506" s="2" t="inlineStr">
        <is>
          <t>코스닥</t>
        </is>
      </c>
      <c r="D2506" s="2" t="inlineStr">
        <is>
          <t>115160</t>
        </is>
      </c>
      <c r="E2506" s="3" t="inlineStr">
        <is>
          <t xml:space="preserve">주주총회소집결의              </t>
        </is>
      </c>
      <c r="F2506" s="3" t="inlineStr">
        <is>
          <t>휴맥스</t>
        </is>
      </c>
      <c r="G2506" s="2" t="inlineStr">
        <is>
          <t>20260311901127</t>
        </is>
      </c>
      <c r="H2506" s="8">
        <f>HYPERLINK("https://dart.fss.or.kr/dsaf001/main.do?rcpNo=20260311901127", "공시열람")</f>
        <v/>
      </c>
    </row>
    <row r="2507">
      <c r="A2507" s="2" t="inlineStr">
        <is>
          <t>2026-03-11</t>
        </is>
      </c>
      <c r="B2507" s="3" t="inlineStr">
        <is>
          <t>엔지켐생명과학</t>
        </is>
      </c>
      <c r="C2507" s="2" t="inlineStr">
        <is>
          <t>코스닥</t>
        </is>
      </c>
      <c r="D2507" s="2" t="inlineStr">
        <is>
          <t>183490</t>
        </is>
      </c>
      <c r="E2507" s="3" t="inlineStr">
        <is>
          <t xml:space="preserve">주주총회소집결의              </t>
        </is>
      </c>
      <c r="F2507" s="3" t="inlineStr">
        <is>
          <t>엔지켐생명과학</t>
        </is>
      </c>
      <c r="G2507" s="2" t="inlineStr">
        <is>
          <t>20260311901105</t>
        </is>
      </c>
      <c r="H2507" s="8">
        <f>HYPERLINK("https://dart.fss.or.kr/dsaf001/main.do?rcpNo=20260311901105", "공시열람")</f>
        <v/>
      </c>
    </row>
    <row r="2508">
      <c r="A2508" s="2" t="inlineStr">
        <is>
          <t>2026-03-11</t>
        </is>
      </c>
      <c r="B2508" s="3" t="inlineStr">
        <is>
          <t>제넥신</t>
        </is>
      </c>
      <c r="C2508" s="2" t="inlineStr">
        <is>
          <t>코스닥</t>
        </is>
      </c>
      <c r="D2508" s="2" t="inlineStr">
        <is>
          <t>095700</t>
        </is>
      </c>
      <c r="E2508" s="3" t="inlineStr">
        <is>
          <t>주주총회소집공고</t>
        </is>
      </c>
      <c r="F2508" s="3" t="inlineStr">
        <is>
          <t>제넥신</t>
        </is>
      </c>
      <c r="G2508" s="2" t="inlineStr">
        <is>
          <t>20260311003890</t>
        </is>
      </c>
      <c r="H2508" s="8">
        <f>HYPERLINK("https://dart.fss.or.kr/dsaf001/main.do?rcpNo=20260311003890", "공시열람")</f>
        <v/>
      </c>
    </row>
    <row r="2509">
      <c r="A2509" s="2" t="inlineStr">
        <is>
          <t>2026-03-11</t>
        </is>
      </c>
      <c r="B2509" s="3" t="inlineStr">
        <is>
          <t>신영스팩10호</t>
        </is>
      </c>
      <c r="C2509" s="2" t="inlineStr">
        <is>
          <t>코스닥</t>
        </is>
      </c>
      <c r="D2509" s="2" t="inlineStr">
        <is>
          <t>472220</t>
        </is>
      </c>
      <c r="E2509" s="3" t="inlineStr">
        <is>
          <t>주주총회소집공고</t>
        </is>
      </c>
      <c r="F2509" s="3" t="inlineStr">
        <is>
          <t>신영스팩10호</t>
        </is>
      </c>
      <c r="G2509" s="2" t="inlineStr">
        <is>
          <t>20260311003883</t>
        </is>
      </c>
      <c r="H2509" s="8">
        <f>HYPERLINK("https://dart.fss.or.kr/dsaf001/main.do?rcpNo=20260311003883", "공시열람")</f>
        <v/>
      </c>
    </row>
    <row r="2510">
      <c r="A2510" s="2" t="inlineStr">
        <is>
          <t>2026-03-11</t>
        </is>
      </c>
      <c r="B2510" s="3" t="inlineStr">
        <is>
          <t>에스투더블유</t>
        </is>
      </c>
      <c r="C2510" s="2" t="inlineStr">
        <is>
          <t>코스닥</t>
        </is>
      </c>
      <c r="D2510" s="2" t="inlineStr">
        <is>
          <t>488280</t>
        </is>
      </c>
      <c r="E2510" s="3" t="inlineStr">
        <is>
          <t>주주총회소집공고</t>
        </is>
      </c>
      <c r="F2510" s="3" t="inlineStr">
        <is>
          <t>에스투더블유</t>
        </is>
      </c>
      <c r="G2510" s="2" t="inlineStr">
        <is>
          <t>20260311003881</t>
        </is>
      </c>
      <c r="H2510" s="8">
        <f>HYPERLINK("https://dart.fss.or.kr/dsaf001/main.do?rcpNo=20260311003881", "공시열람")</f>
        <v/>
      </c>
    </row>
    <row r="2511">
      <c r="A2511" s="2" t="inlineStr">
        <is>
          <t>2026-03-11</t>
        </is>
      </c>
      <c r="B2511" s="3" t="inlineStr">
        <is>
          <t>팜스빌</t>
        </is>
      </c>
      <c r="C2511" s="2" t="inlineStr">
        <is>
          <t>코스닥</t>
        </is>
      </c>
      <c r="D2511" s="2" t="inlineStr">
        <is>
          <t>318010</t>
        </is>
      </c>
      <c r="E2511" s="3" t="inlineStr">
        <is>
          <t xml:space="preserve">주주총회소집결의              </t>
        </is>
      </c>
      <c r="F2511" s="3" t="inlineStr">
        <is>
          <t>팜스빌</t>
        </is>
      </c>
      <c r="G2511" s="2" t="inlineStr">
        <is>
          <t>20260311901169</t>
        </is>
      </c>
      <c r="H2511" s="8">
        <f>HYPERLINK("https://dart.fss.or.kr/dsaf001/main.do?rcpNo=20260311901169", "공시열람")</f>
        <v/>
      </c>
    </row>
    <row r="2512">
      <c r="A2512" s="2" t="inlineStr">
        <is>
          <t>2026-03-11</t>
        </is>
      </c>
      <c r="B2512" s="3" t="inlineStr">
        <is>
          <t>대주전자재료</t>
        </is>
      </c>
      <c r="C2512" s="2" t="inlineStr">
        <is>
          <t>코스닥</t>
        </is>
      </c>
      <c r="D2512" s="2" t="inlineStr">
        <is>
          <t>078600</t>
        </is>
      </c>
      <c r="E2512" s="3" t="inlineStr">
        <is>
          <t>주주총회소집공고</t>
        </is>
      </c>
      <c r="F2512" s="3" t="inlineStr">
        <is>
          <t>대주전자재료</t>
        </is>
      </c>
      <c r="G2512" s="2" t="inlineStr">
        <is>
          <t>20260311003880</t>
        </is>
      </c>
      <c r="H2512" s="8">
        <f>HYPERLINK("https://dart.fss.or.kr/dsaf001/main.do?rcpNo=20260311003880", "공시열람")</f>
        <v/>
      </c>
    </row>
    <row r="2513">
      <c r="A2513" s="2" t="inlineStr">
        <is>
          <t>2026-03-11</t>
        </is>
      </c>
      <c r="B2513" s="3" t="inlineStr">
        <is>
          <t>아스트</t>
        </is>
      </c>
      <c r="C2513" s="2" t="inlineStr">
        <is>
          <t>코스닥</t>
        </is>
      </c>
      <c r="D2513" s="2" t="inlineStr">
        <is>
          <t>067390</t>
        </is>
      </c>
      <c r="E2513" s="3" t="inlineStr">
        <is>
          <t>주주총회소집공고</t>
        </is>
      </c>
      <c r="F2513" s="3" t="inlineStr">
        <is>
          <t>아스트</t>
        </is>
      </c>
      <c r="G2513" s="2" t="inlineStr">
        <is>
          <t>20260311003879</t>
        </is>
      </c>
      <c r="H2513" s="8">
        <f>HYPERLINK("https://dart.fss.or.kr/dsaf001/main.do?rcpNo=20260311003879", "공시열람")</f>
        <v/>
      </c>
    </row>
    <row r="2514">
      <c r="A2514" s="2" t="inlineStr">
        <is>
          <t>2026-03-11</t>
        </is>
      </c>
      <c r="B2514" s="3" t="inlineStr">
        <is>
          <t>NHN벅스</t>
        </is>
      </c>
      <c r="C2514" s="2" t="inlineStr">
        <is>
          <t>코스닥</t>
        </is>
      </c>
      <c r="D2514" s="2" t="inlineStr">
        <is>
          <t>104200</t>
        </is>
      </c>
      <c r="E2514" s="3" t="inlineStr">
        <is>
          <t>주주총회소집공고</t>
        </is>
      </c>
      <c r="F2514" s="3" t="inlineStr">
        <is>
          <t>NHN벅스</t>
        </is>
      </c>
      <c r="G2514" s="2" t="inlineStr">
        <is>
          <t>20260311003877</t>
        </is>
      </c>
      <c r="H2514" s="8">
        <f>HYPERLINK("https://dart.fss.or.kr/dsaf001/main.do?rcpNo=20260311003877", "공시열람")</f>
        <v/>
      </c>
    </row>
    <row r="2515">
      <c r="A2515" s="2" t="inlineStr">
        <is>
          <t>2026-03-11 (정정: 2026-03-11)</t>
        </is>
      </c>
      <c r="B2515" s="3" t="inlineStr">
        <is>
          <t>에스투더블유</t>
        </is>
      </c>
      <c r="C2515" s="2" t="inlineStr">
        <is>
          <t>코스닥</t>
        </is>
      </c>
      <c r="D2515" s="2" t="inlineStr">
        <is>
          <t>488280</t>
        </is>
      </c>
      <c r="E2515" s="3" t="inlineStr">
        <is>
          <t>주주총회소집결의               (정정: 20260311)</t>
        </is>
      </c>
      <c r="F2515" s="3" t="inlineStr">
        <is>
          <t>에스투더블유</t>
        </is>
      </c>
      <c r="G2515" s="2" t="inlineStr">
        <is>
          <t>20260311003832</t>
        </is>
      </c>
      <c r="H2515" s="8">
        <f>HYPERLINK("https://dart.fss.or.kr/dsaf001/main.do?rcpNo=20260311003832", "공시열람")</f>
        <v/>
      </c>
    </row>
    <row r="2516">
      <c r="A2516" s="2" t="inlineStr">
        <is>
          <t>2026-03-11</t>
        </is>
      </c>
      <c r="B2516" s="3" t="inlineStr">
        <is>
          <t>NHN벅스</t>
        </is>
      </c>
      <c r="C2516" s="2" t="inlineStr">
        <is>
          <t>코스닥</t>
        </is>
      </c>
      <c r="D2516" s="2" t="inlineStr">
        <is>
          <t>104200</t>
        </is>
      </c>
      <c r="E2516" s="3" t="inlineStr">
        <is>
          <t xml:space="preserve">주주총회소집결의              </t>
        </is>
      </c>
      <c r="F2516" s="3" t="inlineStr">
        <is>
          <t>NHN벅스</t>
        </is>
      </c>
      <c r="G2516" s="2" t="inlineStr">
        <is>
          <t>20260311901059</t>
        </is>
      </c>
      <c r="H2516" s="8">
        <f>HYPERLINK("https://dart.fss.or.kr/dsaf001/main.do?rcpNo=20260311901059", "공시열람")</f>
        <v/>
      </c>
    </row>
    <row r="2517">
      <c r="A2517" s="2" t="inlineStr">
        <is>
          <t>2026-03-11</t>
        </is>
      </c>
      <c r="B2517" s="3" t="inlineStr">
        <is>
          <t>베뉴지</t>
        </is>
      </c>
      <c r="C2517" s="2" t="inlineStr">
        <is>
          <t>코스닥</t>
        </is>
      </c>
      <c r="D2517" s="2" t="inlineStr">
        <is>
          <t>019010</t>
        </is>
      </c>
      <c r="E2517" s="3" t="inlineStr">
        <is>
          <t>주주총회소집공고</t>
        </is>
      </c>
      <c r="F2517" s="3" t="inlineStr">
        <is>
          <t>베뉴지</t>
        </is>
      </c>
      <c r="G2517" s="2" t="inlineStr">
        <is>
          <t>20260311003875</t>
        </is>
      </c>
      <c r="H2517" s="8">
        <f>HYPERLINK("https://dart.fss.or.kr/dsaf001/main.do?rcpNo=20260311003875", "공시열람")</f>
        <v/>
      </c>
    </row>
    <row r="2518">
      <c r="A2518" s="2" t="inlineStr">
        <is>
          <t>2026-03-11</t>
        </is>
      </c>
      <c r="B2518" s="3" t="inlineStr">
        <is>
          <t>한신공영</t>
        </is>
      </c>
      <c r="C2518" s="2" t="inlineStr">
        <is>
          <t>코스피</t>
        </is>
      </c>
      <c r="D2518" s="2" t="inlineStr">
        <is>
          <t>004960</t>
        </is>
      </c>
      <c r="E2518" s="3" t="inlineStr">
        <is>
          <t>주주총회소집공고</t>
        </is>
      </c>
      <c r="F2518" s="3" t="inlineStr">
        <is>
          <t>한신공영</t>
        </is>
      </c>
      <c r="G2518" s="2" t="inlineStr">
        <is>
          <t>20260311003874</t>
        </is>
      </c>
      <c r="H2518" s="8">
        <f>HYPERLINK("https://dart.fss.or.kr/dsaf001/main.do?rcpNo=20260311003874", "공시열람")</f>
        <v/>
      </c>
    </row>
    <row r="2519">
      <c r="A2519" s="2" t="inlineStr">
        <is>
          <t>2026-03-11</t>
        </is>
      </c>
      <c r="B2519" s="3" t="inlineStr">
        <is>
          <t>영화테크</t>
        </is>
      </c>
      <c r="C2519" s="2" t="inlineStr">
        <is>
          <t>코스닥</t>
        </is>
      </c>
      <c r="D2519" s="2" t="inlineStr">
        <is>
          <t>265560</t>
        </is>
      </c>
      <c r="E2519" s="3" t="inlineStr">
        <is>
          <t>주주총회소집공고</t>
        </is>
      </c>
      <c r="F2519" s="3" t="inlineStr">
        <is>
          <t>영화테크</t>
        </is>
      </c>
      <c r="G2519" s="2" t="inlineStr">
        <is>
          <t>20260311003872</t>
        </is>
      </c>
      <c r="H2519" s="8">
        <f>HYPERLINK("https://dart.fss.or.kr/dsaf001/main.do?rcpNo=20260311003872", "공시열람")</f>
        <v/>
      </c>
    </row>
    <row r="2520">
      <c r="A2520" s="2" t="inlineStr">
        <is>
          <t>2026-03-11</t>
        </is>
      </c>
      <c r="B2520" s="3" t="inlineStr">
        <is>
          <t>CJ프레시웨이</t>
        </is>
      </c>
      <c r="C2520" s="2" t="inlineStr">
        <is>
          <t>코스닥</t>
        </is>
      </c>
      <c r="D2520" s="2" t="inlineStr">
        <is>
          <t>051500</t>
        </is>
      </c>
      <c r="E2520" s="3" t="inlineStr">
        <is>
          <t xml:space="preserve">주주총회소집결의              </t>
        </is>
      </c>
      <c r="F2520" s="3" t="inlineStr">
        <is>
          <t>CJ프레시웨이</t>
        </is>
      </c>
      <c r="G2520" s="2" t="inlineStr">
        <is>
          <t>20260311901093</t>
        </is>
      </c>
      <c r="H2520" s="8">
        <f>HYPERLINK("https://dart.fss.or.kr/dsaf001/main.do?rcpNo=20260311901093", "공시열람")</f>
        <v/>
      </c>
    </row>
    <row r="2521">
      <c r="A2521" s="2" t="inlineStr">
        <is>
          <t>2026-03-11</t>
        </is>
      </c>
      <c r="B2521" s="3" t="inlineStr">
        <is>
          <t>에스제이그룹</t>
        </is>
      </c>
      <c r="C2521" s="2" t="inlineStr">
        <is>
          <t>코스닥</t>
        </is>
      </c>
      <c r="D2521" s="2" t="inlineStr">
        <is>
          <t>306040</t>
        </is>
      </c>
      <c r="E2521" s="3" t="inlineStr">
        <is>
          <t>주주총회소집공고</t>
        </is>
      </c>
      <c r="F2521" s="3" t="inlineStr">
        <is>
          <t>에스제이그룹</t>
        </is>
      </c>
      <c r="G2521" s="2" t="inlineStr">
        <is>
          <t>20260311003866</t>
        </is>
      </c>
      <c r="H2521" s="8">
        <f>HYPERLINK("https://dart.fss.or.kr/dsaf001/main.do?rcpNo=20260311003866", "공시열람")</f>
        <v/>
      </c>
    </row>
    <row r="2522">
      <c r="A2522" s="2" t="inlineStr">
        <is>
          <t>2026-03-11</t>
        </is>
      </c>
      <c r="B2522" s="3" t="inlineStr">
        <is>
          <t>대호특수강</t>
        </is>
      </c>
      <c r="C2522" s="2" t="inlineStr">
        <is>
          <t>코스닥</t>
        </is>
      </c>
      <c r="D2522" s="2" t="inlineStr">
        <is>
          <t>021040</t>
        </is>
      </c>
      <c r="E2522" s="3" t="inlineStr">
        <is>
          <t>주주총회소집공고</t>
        </is>
      </c>
      <c r="F2522" s="3" t="inlineStr">
        <is>
          <t>대호특수강</t>
        </is>
      </c>
      <c r="G2522" s="2" t="inlineStr">
        <is>
          <t>20260311003865</t>
        </is>
      </c>
      <c r="H2522" s="8">
        <f>HYPERLINK("https://dart.fss.or.kr/dsaf001/main.do?rcpNo=20260311003865", "공시열람")</f>
        <v/>
      </c>
    </row>
    <row r="2523">
      <c r="A2523" s="2" t="inlineStr">
        <is>
          <t>2026-03-11 (정정: 2026-03-11)</t>
        </is>
      </c>
      <c r="B2523" s="3" t="inlineStr">
        <is>
          <t>신신제약</t>
        </is>
      </c>
      <c r="C2523" s="2" t="inlineStr">
        <is>
          <t>코스닥</t>
        </is>
      </c>
      <c r="D2523" s="2" t="inlineStr">
        <is>
          <t>002800</t>
        </is>
      </c>
      <c r="E2523" s="3" t="inlineStr">
        <is>
          <t>주주총회소집공고 (정정: 20260311)</t>
        </is>
      </c>
      <c r="F2523" s="3" t="inlineStr">
        <is>
          <t>신신제약</t>
        </is>
      </c>
      <c r="G2523" s="2" t="inlineStr">
        <is>
          <t>20260311900995</t>
        </is>
      </c>
      <c r="H2523" s="8">
        <f>HYPERLINK("https://dart.fss.or.kr/dsaf001/main.do?rcpNo=20260311900995", "공시열람")</f>
        <v/>
      </c>
    </row>
    <row r="2524">
      <c r="A2524" s="2" t="inlineStr">
        <is>
          <t>2026-03-11</t>
        </is>
      </c>
      <c r="B2524" s="3" t="inlineStr">
        <is>
          <t>스마트레이더시스템</t>
        </is>
      </c>
      <c r="C2524" s="2" t="inlineStr">
        <is>
          <t>코스닥</t>
        </is>
      </c>
      <c r="D2524" s="2" t="inlineStr">
        <is>
          <t>424960</t>
        </is>
      </c>
      <c r="E2524" s="3" t="inlineStr">
        <is>
          <t>주주총회소집공고</t>
        </is>
      </c>
      <c r="F2524" s="3" t="inlineStr">
        <is>
          <t>스마트레이더시스템</t>
        </is>
      </c>
      <c r="G2524" s="2" t="inlineStr">
        <is>
          <t>20260311003860</t>
        </is>
      </c>
      <c r="H2524" s="8">
        <f>HYPERLINK("https://dart.fss.or.kr/dsaf001/main.do?rcpNo=20260311003860", "공시열람")</f>
        <v/>
      </c>
    </row>
    <row r="2525">
      <c r="A2525" s="2" t="inlineStr">
        <is>
          <t>2026-03-11</t>
        </is>
      </c>
      <c r="B2525" s="3" t="inlineStr">
        <is>
          <t>링크솔루션</t>
        </is>
      </c>
      <c r="C2525" s="2" t="inlineStr">
        <is>
          <t>코스닥</t>
        </is>
      </c>
      <c r="D2525" s="2" t="inlineStr">
        <is>
          <t>474650</t>
        </is>
      </c>
      <c r="E2525" s="3" t="inlineStr">
        <is>
          <t>주주총회소집공고</t>
        </is>
      </c>
      <c r="F2525" s="3" t="inlineStr">
        <is>
          <t>링크솔루션</t>
        </is>
      </c>
      <c r="G2525" s="2" t="inlineStr">
        <is>
          <t>20260311003858</t>
        </is>
      </c>
      <c r="H2525" s="8">
        <f>HYPERLINK("https://dart.fss.or.kr/dsaf001/main.do?rcpNo=20260311003858", "공시열람")</f>
        <v/>
      </c>
    </row>
    <row r="2526">
      <c r="A2526" s="2" t="inlineStr">
        <is>
          <t>2026-03-11</t>
        </is>
      </c>
      <c r="B2526" s="3" t="inlineStr">
        <is>
          <t>위더스제약</t>
        </is>
      </c>
      <c r="C2526" s="2" t="inlineStr">
        <is>
          <t>코스닥</t>
        </is>
      </c>
      <c r="D2526" s="2" t="inlineStr">
        <is>
          <t>330350</t>
        </is>
      </c>
      <c r="E2526" s="3" t="inlineStr">
        <is>
          <t>주주총회소집공고</t>
        </is>
      </c>
      <c r="F2526" s="3" t="inlineStr">
        <is>
          <t>위더스제약</t>
        </is>
      </c>
      <c r="G2526" s="2" t="inlineStr">
        <is>
          <t>20260311003856</t>
        </is>
      </c>
      <c r="H2526" s="8">
        <f>HYPERLINK("https://dart.fss.or.kr/dsaf001/main.do?rcpNo=20260311003856", "공시열람")</f>
        <v/>
      </c>
    </row>
    <row r="2527">
      <c r="A2527" s="2" t="inlineStr">
        <is>
          <t>2026-03-11</t>
        </is>
      </c>
      <c r="B2527" s="3" t="inlineStr">
        <is>
          <t>링크솔루션</t>
        </is>
      </c>
      <c r="C2527" s="2" t="inlineStr">
        <is>
          <t>코스닥</t>
        </is>
      </c>
      <c r="D2527" s="2" t="inlineStr">
        <is>
          <t>474650</t>
        </is>
      </c>
      <c r="E2527" s="3" t="inlineStr">
        <is>
          <t xml:space="preserve">주주총회집중일개최사유신고              </t>
        </is>
      </c>
      <c r="F2527" s="3" t="inlineStr">
        <is>
          <t>링크솔루션</t>
        </is>
      </c>
      <c r="G2527" s="2" t="inlineStr">
        <is>
          <t>20260311901123</t>
        </is>
      </c>
      <c r="H2527" s="8">
        <f>HYPERLINK("https://dart.fss.or.kr/dsaf001/main.do?rcpNo=20260311901123", "공시열람")</f>
        <v/>
      </c>
    </row>
    <row r="2528">
      <c r="A2528" s="2" t="inlineStr">
        <is>
          <t>2026-03-11</t>
        </is>
      </c>
      <c r="B2528" s="3" t="inlineStr">
        <is>
          <t>바이젠셀</t>
        </is>
      </c>
      <c r="C2528" s="2" t="inlineStr">
        <is>
          <t>코스닥</t>
        </is>
      </c>
      <c r="D2528" s="2" t="inlineStr">
        <is>
          <t>308080</t>
        </is>
      </c>
      <c r="E2528" s="3" t="inlineStr">
        <is>
          <t>주주총회소집공고</t>
        </is>
      </c>
      <c r="F2528" s="3" t="inlineStr">
        <is>
          <t>바이젠셀</t>
        </is>
      </c>
      <c r="G2528" s="2" t="inlineStr">
        <is>
          <t>20260311003852</t>
        </is>
      </c>
      <c r="H2528" s="8">
        <f>HYPERLINK("https://dart.fss.or.kr/dsaf001/main.do?rcpNo=20260311003852", "공시열람")</f>
        <v/>
      </c>
    </row>
    <row r="2529">
      <c r="A2529" s="2" t="inlineStr">
        <is>
          <t>2026-03-11</t>
        </is>
      </c>
      <c r="B2529" s="3" t="inlineStr">
        <is>
          <t>파로스아이바이오</t>
        </is>
      </c>
      <c r="C2529" s="2" t="inlineStr">
        <is>
          <t>코스닥</t>
        </is>
      </c>
      <c r="D2529" s="2" t="inlineStr">
        <is>
          <t>388870</t>
        </is>
      </c>
      <c r="E2529" s="3" t="inlineStr">
        <is>
          <t>주주총회소집공고</t>
        </is>
      </c>
      <c r="F2529" s="3" t="inlineStr">
        <is>
          <t>파로스아이바이오</t>
        </is>
      </c>
      <c r="G2529" s="2" t="inlineStr">
        <is>
          <t>20260311003849</t>
        </is>
      </c>
      <c r="H2529" s="8">
        <f>HYPERLINK("https://dart.fss.or.kr/dsaf001/main.do?rcpNo=20260311003849", "공시열람")</f>
        <v/>
      </c>
    </row>
    <row r="2530">
      <c r="A2530" s="2" t="inlineStr">
        <is>
          <t>2026-03-11</t>
        </is>
      </c>
      <c r="B2530" s="3" t="inlineStr">
        <is>
          <t>창해에탄올</t>
        </is>
      </c>
      <c r="C2530" s="2" t="inlineStr">
        <is>
          <t>코스닥</t>
        </is>
      </c>
      <c r="D2530" s="2" t="inlineStr">
        <is>
          <t>004650</t>
        </is>
      </c>
      <c r="E2530" s="3" t="inlineStr">
        <is>
          <t>주주총회소집공고</t>
        </is>
      </c>
      <c r="F2530" s="3" t="inlineStr">
        <is>
          <t>창해에탄올</t>
        </is>
      </c>
      <c r="G2530" s="2" t="inlineStr">
        <is>
          <t>20260311003847</t>
        </is>
      </c>
      <c r="H2530" s="8">
        <f>HYPERLINK("https://dart.fss.or.kr/dsaf001/main.do?rcpNo=20260311003847", "공시열람")</f>
        <v/>
      </c>
    </row>
    <row r="2531">
      <c r="A2531" s="2" t="inlineStr">
        <is>
          <t>2026-03-11 (정정: 2026-03-16)</t>
        </is>
      </c>
      <c r="B2531" s="3" t="inlineStr">
        <is>
          <t>셀바이오휴먼텍</t>
        </is>
      </c>
      <c r="C2531" s="2" t="inlineStr">
        <is>
          <t>코스닥</t>
        </is>
      </c>
      <c r="D2531" s="2" t="inlineStr">
        <is>
          <t>318160</t>
        </is>
      </c>
      <c r="E2531" s="3" t="inlineStr">
        <is>
          <t>주주총회소집공고 (정정: 20260316)</t>
        </is>
      </c>
      <c r="F2531" s="3" t="inlineStr">
        <is>
          <t>셀바이오휴먼텍</t>
        </is>
      </c>
      <c r="G2531" s="2" t="inlineStr">
        <is>
          <t>20260316001524</t>
        </is>
      </c>
      <c r="H2531" s="8">
        <f>HYPERLINK("https://dart.fss.or.kr/dsaf001/main.do?rcpNo=20260316001524", "공시열람")</f>
        <v/>
      </c>
    </row>
    <row r="2532">
      <c r="A2532" s="2" t="inlineStr">
        <is>
          <t>2026-03-11</t>
        </is>
      </c>
      <c r="B2532" s="3" t="inlineStr">
        <is>
          <t>이베스트스팩6호</t>
        </is>
      </c>
      <c r="C2532" s="2" t="inlineStr">
        <is>
          <t>코스닥</t>
        </is>
      </c>
      <c r="D2532" s="2" t="inlineStr">
        <is>
          <t>478110</t>
        </is>
      </c>
      <c r="E2532" s="3" t="inlineStr">
        <is>
          <t>주주총회소집공고</t>
        </is>
      </c>
      <c r="F2532" s="3" t="inlineStr">
        <is>
          <t>이베스트스팩6호</t>
        </is>
      </c>
      <c r="G2532" s="2" t="inlineStr">
        <is>
          <t>20260311003845</t>
        </is>
      </c>
      <c r="H2532" s="8">
        <f>HYPERLINK("https://dart.fss.or.kr/dsaf001/main.do?rcpNo=20260311003845", "공시열람")</f>
        <v/>
      </c>
    </row>
    <row r="2533">
      <c r="A2533" s="2" t="inlineStr">
        <is>
          <t>2026-03-11</t>
        </is>
      </c>
      <c r="B2533" s="3" t="inlineStr">
        <is>
          <t>LK삼양</t>
        </is>
      </c>
      <c r="C2533" s="2" t="inlineStr">
        <is>
          <t>코스닥</t>
        </is>
      </c>
      <c r="D2533" s="2" t="inlineStr">
        <is>
          <t>225190</t>
        </is>
      </c>
      <c r="E2533" s="3" t="inlineStr">
        <is>
          <t>주주총회소집공고</t>
        </is>
      </c>
      <c r="F2533" s="3" t="inlineStr">
        <is>
          <t>LK삼양</t>
        </is>
      </c>
      <c r="G2533" s="2" t="inlineStr">
        <is>
          <t>20260311003843</t>
        </is>
      </c>
      <c r="H2533" s="8">
        <f>HYPERLINK("https://dart.fss.or.kr/dsaf001/main.do?rcpNo=20260311003843", "공시열람")</f>
        <v/>
      </c>
    </row>
    <row r="2534">
      <c r="A2534" s="2" t="inlineStr">
        <is>
          <t>2026-03-11 (정정: 2026-03-13)</t>
        </is>
      </c>
      <c r="B2534" s="3" t="inlineStr">
        <is>
          <t>오픈베이스</t>
        </is>
      </c>
      <c r="C2534" s="2" t="inlineStr">
        <is>
          <t>코스닥</t>
        </is>
      </c>
      <c r="D2534" s="2" t="inlineStr">
        <is>
          <t>049480</t>
        </is>
      </c>
      <c r="E2534" s="3" t="inlineStr">
        <is>
          <t>주주총회소집공고 (정정: 20260313)</t>
        </is>
      </c>
      <c r="F2534" s="3" t="inlineStr">
        <is>
          <t>오픈베이스</t>
        </is>
      </c>
      <c r="G2534" s="2" t="inlineStr">
        <is>
          <t>20260313001178</t>
        </is>
      </c>
      <c r="H2534" s="8">
        <f>HYPERLINK("https://dart.fss.or.kr/dsaf001/main.do?rcpNo=20260313001178", "공시열람")</f>
        <v/>
      </c>
    </row>
    <row r="2535">
      <c r="A2535" s="2" t="inlineStr">
        <is>
          <t>2026-03-11</t>
        </is>
      </c>
      <c r="B2535" s="3" t="inlineStr">
        <is>
          <t>KBG</t>
        </is>
      </c>
      <c r="C2535" s="2" t="inlineStr">
        <is>
          <t>코스닥</t>
        </is>
      </c>
      <c r="D2535" s="2" t="inlineStr">
        <is>
          <t>318000</t>
        </is>
      </c>
      <c r="E2535" s="3" t="inlineStr">
        <is>
          <t xml:space="preserve">주주총회소집결의              </t>
        </is>
      </c>
      <c r="F2535" s="3" t="inlineStr">
        <is>
          <t>KBG</t>
        </is>
      </c>
      <c r="G2535" s="2" t="inlineStr">
        <is>
          <t>20260311901056</t>
        </is>
      </c>
      <c r="H2535" s="8">
        <f>HYPERLINK("https://dart.fss.or.kr/dsaf001/main.do?rcpNo=20260311901056", "공시열람")</f>
        <v/>
      </c>
    </row>
    <row r="2536">
      <c r="A2536" s="2" t="inlineStr">
        <is>
          <t>2026-03-11</t>
        </is>
      </c>
      <c r="B2536" s="3" t="inlineStr">
        <is>
          <t>HL만도</t>
        </is>
      </c>
      <c r="C2536" s="2" t="inlineStr">
        <is>
          <t>코스피</t>
        </is>
      </c>
      <c r="D2536" s="2" t="inlineStr">
        <is>
          <t>204320</t>
        </is>
      </c>
      <c r="E2536" s="3" t="inlineStr">
        <is>
          <t>주주총회소집공고</t>
        </is>
      </c>
      <c r="F2536" s="3" t="inlineStr">
        <is>
          <t>HL만도</t>
        </is>
      </c>
      <c r="G2536" s="2" t="inlineStr">
        <is>
          <t>20260311003837</t>
        </is>
      </c>
      <c r="H2536" s="8">
        <f>HYPERLINK("https://dart.fss.or.kr/dsaf001/main.do?rcpNo=20260311003837", "공시열람")</f>
        <v/>
      </c>
    </row>
    <row r="2537">
      <c r="A2537" s="2" t="inlineStr">
        <is>
          <t>2026-03-11</t>
        </is>
      </c>
      <c r="B2537" s="3" t="inlineStr">
        <is>
          <t>링크솔루션</t>
        </is>
      </c>
      <c r="C2537" s="2" t="inlineStr">
        <is>
          <t>코스닥</t>
        </is>
      </c>
      <c r="D2537" s="2" t="inlineStr">
        <is>
          <t>474650</t>
        </is>
      </c>
      <c r="E2537" s="3" t="inlineStr">
        <is>
          <t xml:space="preserve">주주총회소집결의              </t>
        </is>
      </c>
      <c r="F2537" s="3" t="inlineStr">
        <is>
          <t>링크솔루션</t>
        </is>
      </c>
      <c r="G2537" s="2" t="inlineStr">
        <is>
          <t>20260311901051</t>
        </is>
      </c>
      <c r="H2537" s="8">
        <f>HYPERLINK("https://dart.fss.or.kr/dsaf001/main.do?rcpNo=20260311901051", "공시열람")</f>
        <v/>
      </c>
    </row>
    <row r="2538">
      <c r="A2538" s="2" t="inlineStr">
        <is>
          <t>2026-03-11</t>
        </is>
      </c>
      <c r="B2538" s="3" t="inlineStr">
        <is>
          <t>엑스큐어</t>
        </is>
      </c>
      <c r="C2538" s="2" t="inlineStr">
        <is>
          <t>코스닥</t>
        </is>
      </c>
      <c r="D2538" s="2" t="inlineStr">
        <is>
          <t>070300</t>
        </is>
      </c>
      <c r="E2538" s="3" t="inlineStr">
        <is>
          <t>주주총회소집공고</t>
        </is>
      </c>
      <c r="F2538" s="3" t="inlineStr">
        <is>
          <t>엑스큐어</t>
        </is>
      </c>
      <c r="G2538" s="2" t="inlineStr">
        <is>
          <t>20260311003831</t>
        </is>
      </c>
      <c r="H2538" s="8">
        <f>HYPERLINK("https://dart.fss.or.kr/dsaf001/main.do?rcpNo=20260311003831", "공시열람")</f>
        <v/>
      </c>
    </row>
    <row r="2539">
      <c r="A2539" s="2" t="inlineStr">
        <is>
          <t>2026-03-11</t>
        </is>
      </c>
      <c r="B2539" s="3" t="inlineStr">
        <is>
          <t>엘에스스팩1호</t>
        </is>
      </c>
      <c r="C2539" s="2" t="inlineStr">
        <is>
          <t>코스닥</t>
        </is>
      </c>
      <c r="D2539" s="2" t="inlineStr">
        <is>
          <t>0041J0</t>
        </is>
      </c>
      <c r="E2539" s="3" t="inlineStr">
        <is>
          <t>주주총회소집공고</t>
        </is>
      </c>
      <c r="F2539" s="3" t="inlineStr">
        <is>
          <t>엘에스스팩1호</t>
        </is>
      </c>
      <c r="G2539" s="2" t="inlineStr">
        <is>
          <t>20260311003830</t>
        </is>
      </c>
      <c r="H2539" s="8">
        <f>HYPERLINK("https://dart.fss.or.kr/dsaf001/main.do?rcpNo=20260311003830", "공시열람")</f>
        <v/>
      </c>
    </row>
    <row r="2540">
      <c r="A2540" s="2" t="inlineStr">
        <is>
          <t>2026-03-11</t>
        </is>
      </c>
      <c r="B2540" s="3" t="inlineStr">
        <is>
          <t>CMG제약</t>
        </is>
      </c>
      <c r="C2540" s="2" t="inlineStr">
        <is>
          <t>코스닥</t>
        </is>
      </c>
      <c r="D2540" s="2" t="inlineStr">
        <is>
          <t>058820</t>
        </is>
      </c>
      <c r="E2540" s="3" t="inlineStr">
        <is>
          <t>주주총회소집공고</t>
        </is>
      </c>
      <c r="F2540" s="3" t="inlineStr">
        <is>
          <t>CMG제약</t>
        </is>
      </c>
      <c r="G2540" s="2" t="inlineStr">
        <is>
          <t>20260311003826</t>
        </is>
      </c>
      <c r="H2540" s="8">
        <f>HYPERLINK("https://dart.fss.or.kr/dsaf001/main.do?rcpNo=20260311003826", "공시열람")</f>
        <v/>
      </c>
    </row>
    <row r="2541">
      <c r="A2541" s="2" t="inlineStr">
        <is>
          <t>2026-03-11</t>
        </is>
      </c>
      <c r="B2541" s="3" t="inlineStr">
        <is>
          <t>서울도시가스</t>
        </is>
      </c>
      <c r="C2541" s="2" t="inlineStr">
        <is>
          <t>코스피</t>
        </is>
      </c>
      <c r="D2541" s="2" t="inlineStr">
        <is>
          <t>017390</t>
        </is>
      </c>
      <c r="E2541" s="3" t="inlineStr">
        <is>
          <t>주주총회소집공고</t>
        </is>
      </c>
      <c r="F2541" s="3" t="inlineStr">
        <is>
          <t>서울도시가스</t>
        </is>
      </c>
      <c r="G2541" s="2" t="inlineStr">
        <is>
          <t>20260311003825</t>
        </is>
      </c>
      <c r="H2541" s="8">
        <f>HYPERLINK("https://dart.fss.or.kr/dsaf001/main.do?rcpNo=20260311003825", "공시열람")</f>
        <v/>
      </c>
    </row>
    <row r="2542">
      <c r="A2542" s="2" t="inlineStr">
        <is>
          <t>2026-03-11</t>
        </is>
      </c>
      <c r="B2542" s="3" t="inlineStr">
        <is>
          <t>뉴프렉스</t>
        </is>
      </c>
      <c r="C2542" s="2" t="inlineStr">
        <is>
          <t>코스닥</t>
        </is>
      </c>
      <c r="D2542" s="2" t="inlineStr">
        <is>
          <t>085670</t>
        </is>
      </c>
      <c r="E2542" s="3" t="inlineStr">
        <is>
          <t>주주총회소집공고</t>
        </is>
      </c>
      <c r="F2542" s="3" t="inlineStr">
        <is>
          <t>뉴프렉스</t>
        </is>
      </c>
      <c r="G2542" s="2" t="inlineStr">
        <is>
          <t>20260311003824</t>
        </is>
      </c>
      <c r="H2542" s="8">
        <f>HYPERLINK("https://dart.fss.or.kr/dsaf001/main.do?rcpNo=20260311003824", "공시열람")</f>
        <v/>
      </c>
    </row>
    <row r="2543">
      <c r="A2543" s="2" t="inlineStr">
        <is>
          <t>2026-03-11</t>
        </is>
      </c>
      <c r="B2543" s="3" t="inlineStr">
        <is>
          <t>케이티스카이라이프</t>
        </is>
      </c>
      <c r="C2543" s="2" t="inlineStr">
        <is>
          <t>코스피</t>
        </is>
      </c>
      <c r="D2543" s="2" t="inlineStr">
        <is>
          <t>053210</t>
        </is>
      </c>
      <c r="E2543" s="3" t="inlineStr">
        <is>
          <t>주주총회소집공고</t>
        </is>
      </c>
      <c r="F2543" s="3" t="inlineStr">
        <is>
          <t>케이티스카이라이프</t>
        </is>
      </c>
      <c r="G2543" s="2" t="inlineStr">
        <is>
          <t>20260311003823</t>
        </is>
      </c>
      <c r="H2543" s="8">
        <f>HYPERLINK("https://dart.fss.or.kr/dsaf001/main.do?rcpNo=20260311003823", "공시열람")</f>
        <v/>
      </c>
    </row>
    <row r="2544">
      <c r="A2544" s="2" t="inlineStr">
        <is>
          <t>2026-03-11</t>
        </is>
      </c>
      <c r="B2544" s="3" t="inlineStr">
        <is>
          <t>제넥신</t>
        </is>
      </c>
      <c r="C2544" s="2" t="inlineStr">
        <is>
          <t>코스닥</t>
        </is>
      </c>
      <c r="D2544" s="2" t="inlineStr">
        <is>
          <t>095700</t>
        </is>
      </c>
      <c r="E2544" s="3" t="inlineStr">
        <is>
          <t xml:space="preserve">주주총회집중일개최사유신고              </t>
        </is>
      </c>
      <c r="F2544" s="3" t="inlineStr">
        <is>
          <t>제넥신</t>
        </is>
      </c>
      <c r="G2544" s="2" t="inlineStr">
        <is>
          <t>20260311901040</t>
        </is>
      </c>
      <c r="H2544" s="8">
        <f>HYPERLINK("https://dart.fss.or.kr/dsaf001/main.do?rcpNo=20260311901040", "공시열람")</f>
        <v/>
      </c>
    </row>
    <row r="2545">
      <c r="A2545" s="2" t="inlineStr">
        <is>
          <t>2026-03-11</t>
        </is>
      </c>
      <c r="B2545" s="3" t="inlineStr">
        <is>
          <t>HLB바이오스텝</t>
        </is>
      </c>
      <c r="C2545" s="2" t="inlineStr">
        <is>
          <t>코스닥</t>
        </is>
      </c>
      <c r="D2545" s="2" t="inlineStr">
        <is>
          <t>278650</t>
        </is>
      </c>
      <c r="E2545" s="3" t="inlineStr">
        <is>
          <t>주주총회소집공고</t>
        </is>
      </c>
      <c r="F2545" s="3" t="inlineStr">
        <is>
          <t>HLB바이오스텝</t>
        </is>
      </c>
      <c r="G2545" s="2" t="inlineStr">
        <is>
          <t>20260311003821</t>
        </is>
      </c>
      <c r="H2545" s="8">
        <f>HYPERLINK("https://dart.fss.or.kr/dsaf001/main.do?rcpNo=20260311003821", "공시열람")</f>
        <v/>
      </c>
    </row>
    <row r="2546">
      <c r="A2546" s="2" t="inlineStr">
        <is>
          <t>2026-03-11</t>
        </is>
      </c>
      <c r="B2546" s="3" t="inlineStr">
        <is>
          <t>제넥신</t>
        </is>
      </c>
      <c r="C2546" s="2" t="inlineStr">
        <is>
          <t>코스닥</t>
        </is>
      </c>
      <c r="D2546" s="2" t="inlineStr">
        <is>
          <t>095700</t>
        </is>
      </c>
      <c r="E2546" s="3" t="inlineStr">
        <is>
          <t xml:space="preserve">주주총회소집결의              </t>
        </is>
      </c>
      <c r="F2546" s="3" t="inlineStr">
        <is>
          <t>제넥신</t>
        </is>
      </c>
      <c r="G2546" s="2" t="inlineStr">
        <is>
          <t>20260311901030</t>
        </is>
      </c>
      <c r="H2546" s="8">
        <f>HYPERLINK("https://dart.fss.or.kr/dsaf001/main.do?rcpNo=20260311901030", "공시열람")</f>
        <v/>
      </c>
    </row>
    <row r="2547">
      <c r="A2547" s="2" t="inlineStr">
        <is>
          <t>2026-03-11</t>
        </is>
      </c>
      <c r="B2547" s="3" t="inlineStr">
        <is>
          <t>엑스큐어</t>
        </is>
      </c>
      <c r="C2547" s="2" t="inlineStr">
        <is>
          <t>코스닥</t>
        </is>
      </c>
      <c r="D2547" s="2" t="inlineStr">
        <is>
          <t>070300</t>
        </is>
      </c>
      <c r="E2547" s="3" t="inlineStr">
        <is>
          <t xml:space="preserve">주주총회소집결의              </t>
        </is>
      </c>
      <c r="F2547" s="3" t="inlineStr">
        <is>
          <t>엑스큐어</t>
        </is>
      </c>
      <c r="G2547" s="2" t="inlineStr">
        <is>
          <t>20260311900967</t>
        </is>
      </c>
      <c r="H2547" s="8">
        <f>HYPERLINK("https://dart.fss.or.kr/dsaf001/main.do?rcpNo=20260311900967", "공시열람")</f>
        <v/>
      </c>
    </row>
    <row r="2548">
      <c r="A2548" s="2" t="inlineStr">
        <is>
          <t>2026-03-11</t>
        </is>
      </c>
      <c r="B2548" s="3" t="inlineStr">
        <is>
          <t>디엔에프</t>
        </is>
      </c>
      <c r="C2548" s="2" t="inlineStr">
        <is>
          <t>코스닥</t>
        </is>
      </c>
      <c r="D2548" s="2" t="inlineStr">
        <is>
          <t>092070</t>
        </is>
      </c>
      <c r="E2548" s="3" t="inlineStr">
        <is>
          <t>주주총회소집공고</t>
        </is>
      </c>
      <c r="F2548" s="3" t="inlineStr">
        <is>
          <t>디엔에프</t>
        </is>
      </c>
      <c r="G2548" s="2" t="inlineStr">
        <is>
          <t>20260311003818</t>
        </is>
      </c>
      <c r="H2548" s="8">
        <f>HYPERLINK("https://dart.fss.or.kr/dsaf001/main.do?rcpNo=20260311003818", "공시열람")</f>
        <v/>
      </c>
    </row>
    <row r="2549">
      <c r="A2549" s="2" t="inlineStr">
        <is>
          <t>2026-03-11</t>
        </is>
      </c>
      <c r="B2549" s="3" t="inlineStr">
        <is>
          <t>온타이드</t>
        </is>
      </c>
      <c r="C2549" s="2" t="inlineStr">
        <is>
          <t>코스피</t>
        </is>
      </c>
      <c r="D2549" s="2" t="inlineStr">
        <is>
          <t>005320</t>
        </is>
      </c>
      <c r="E2549" s="3" t="inlineStr">
        <is>
          <t xml:space="preserve">주주총회집중일개최사유신고              </t>
        </is>
      </c>
      <c r="F2549" s="3" t="inlineStr">
        <is>
          <t>온타이드</t>
        </is>
      </c>
      <c r="G2549" s="2" t="inlineStr">
        <is>
          <t>20260311801036</t>
        </is>
      </c>
      <c r="H2549" s="8">
        <f>HYPERLINK("https://dart.fss.or.kr/dsaf001/main.do?rcpNo=20260311801036", "공시열람")</f>
        <v/>
      </c>
    </row>
    <row r="2550">
      <c r="A2550" s="2" t="inlineStr">
        <is>
          <t>2026-03-11</t>
        </is>
      </c>
      <c r="B2550" s="3" t="inlineStr">
        <is>
          <t>온타이드</t>
        </is>
      </c>
      <c r="C2550" s="2" t="inlineStr">
        <is>
          <t>코스피</t>
        </is>
      </c>
      <c r="D2550" s="2" t="inlineStr">
        <is>
          <t>005320</t>
        </is>
      </c>
      <c r="E2550" s="3" t="inlineStr">
        <is>
          <t xml:space="preserve">주주총회소집결의              </t>
        </is>
      </c>
      <c r="F2550" s="3" t="inlineStr">
        <is>
          <t>온타이드</t>
        </is>
      </c>
      <c r="G2550" s="2" t="inlineStr">
        <is>
          <t>20260311801023</t>
        </is>
      </c>
      <c r="H2550" s="8">
        <f>HYPERLINK("https://dart.fss.or.kr/dsaf001/main.do?rcpNo=20260311801023", "공시열람")</f>
        <v/>
      </c>
    </row>
    <row r="2551">
      <c r="A2551" s="2" t="inlineStr">
        <is>
          <t>2026-03-11</t>
        </is>
      </c>
      <c r="B2551" s="3" t="inlineStr">
        <is>
          <t>HL홀딩스</t>
        </is>
      </c>
      <c r="C2551" s="2" t="inlineStr">
        <is>
          <t>코스피</t>
        </is>
      </c>
      <c r="D2551" s="2" t="inlineStr">
        <is>
          <t>060980</t>
        </is>
      </c>
      <c r="E2551" s="3" t="inlineStr">
        <is>
          <t>주주총회소집공고</t>
        </is>
      </c>
      <c r="F2551" s="3" t="inlineStr">
        <is>
          <t>HL홀딩스</t>
        </is>
      </c>
      <c r="G2551" s="2" t="inlineStr">
        <is>
          <t>20260311003813</t>
        </is>
      </c>
      <c r="H2551" s="8">
        <f>HYPERLINK("https://dart.fss.or.kr/dsaf001/main.do?rcpNo=20260311003813", "공시열람")</f>
        <v/>
      </c>
    </row>
    <row r="2552">
      <c r="A2552" s="2" t="inlineStr">
        <is>
          <t>2026-03-11</t>
        </is>
      </c>
      <c r="B2552" s="3" t="inlineStr">
        <is>
          <t>온타이드</t>
        </is>
      </c>
      <c r="C2552" s="2" t="inlineStr">
        <is>
          <t>코스피</t>
        </is>
      </c>
      <c r="D2552" s="2" t="inlineStr">
        <is>
          <t>005320</t>
        </is>
      </c>
      <c r="E2552" s="3" t="inlineStr">
        <is>
          <t>주주총회소집공고</t>
        </is>
      </c>
      <c r="F2552" s="3" t="inlineStr">
        <is>
          <t>온타이드</t>
        </is>
      </c>
      <c r="G2552" s="2" t="inlineStr">
        <is>
          <t>20260311003812</t>
        </is>
      </c>
      <c r="H2552" s="8">
        <f>HYPERLINK("https://dart.fss.or.kr/dsaf001/main.do?rcpNo=20260311003812", "공시열람")</f>
        <v/>
      </c>
    </row>
    <row r="2553">
      <c r="A2553" s="2" t="inlineStr">
        <is>
          <t>2026-03-11</t>
        </is>
      </c>
      <c r="B2553" s="3" t="inlineStr">
        <is>
          <t>서울도시가스</t>
        </is>
      </c>
      <c r="C2553" s="2" t="inlineStr">
        <is>
          <t>코스피</t>
        </is>
      </c>
      <c r="D2553" s="2" t="inlineStr">
        <is>
          <t>017390</t>
        </is>
      </c>
      <c r="E2553" s="3" t="inlineStr">
        <is>
          <t xml:space="preserve">주주총회소집결의              </t>
        </is>
      </c>
      <c r="F2553" s="3" t="inlineStr">
        <is>
          <t>서울도시가스</t>
        </is>
      </c>
      <c r="G2553" s="2" t="inlineStr">
        <is>
          <t>20260311801039</t>
        </is>
      </c>
      <c r="H2553" s="8">
        <f>HYPERLINK("https://dart.fss.or.kr/dsaf001/main.do?rcpNo=20260311801039", "공시열람")</f>
        <v/>
      </c>
    </row>
    <row r="2554">
      <c r="A2554" s="2" t="inlineStr">
        <is>
          <t>2026-03-11</t>
        </is>
      </c>
      <c r="B2554" s="3" t="inlineStr">
        <is>
          <t>마음AI</t>
        </is>
      </c>
      <c r="C2554" s="2" t="inlineStr">
        <is>
          <t>코스닥</t>
        </is>
      </c>
      <c r="D2554" s="2" t="inlineStr">
        <is>
          <t>377480</t>
        </is>
      </c>
      <c r="E2554" s="3" t="inlineStr">
        <is>
          <t xml:space="preserve">주주총회집중일개최사유신고              </t>
        </is>
      </c>
      <c r="F2554" s="3" t="inlineStr">
        <is>
          <t>마음AI</t>
        </is>
      </c>
      <c r="G2554" s="2" t="inlineStr">
        <is>
          <t>20260311901034</t>
        </is>
      </c>
      <c r="H2554" s="8">
        <f>HYPERLINK("https://dart.fss.or.kr/dsaf001/main.do?rcpNo=20260311901034", "공시열람")</f>
        <v/>
      </c>
    </row>
    <row r="2555">
      <c r="A2555" s="2" t="inlineStr">
        <is>
          <t>2026-03-11</t>
        </is>
      </c>
      <c r="B2555" s="3" t="inlineStr">
        <is>
          <t>넥써쓰</t>
        </is>
      </c>
      <c r="C2555" s="2" t="inlineStr">
        <is>
          <t>코스닥</t>
        </is>
      </c>
      <c r="D2555" s="2" t="inlineStr">
        <is>
          <t>205500</t>
        </is>
      </c>
      <c r="E2555" s="3" t="inlineStr">
        <is>
          <t>주주총회소집공고</t>
        </is>
      </c>
      <c r="F2555" s="3" t="inlineStr">
        <is>
          <t>넥써쓰</t>
        </is>
      </c>
      <c r="G2555" s="2" t="inlineStr">
        <is>
          <t>20260311003806</t>
        </is>
      </c>
      <c r="H2555" s="8">
        <f>HYPERLINK("https://dart.fss.or.kr/dsaf001/main.do?rcpNo=20260311003806", "공시열람")</f>
        <v/>
      </c>
    </row>
    <row r="2556">
      <c r="A2556" s="2" t="inlineStr">
        <is>
          <t>2026-03-11</t>
        </is>
      </c>
      <c r="B2556" s="3" t="inlineStr">
        <is>
          <t>제이스로보틱스</t>
        </is>
      </c>
      <c r="C2556" s="2" t="inlineStr">
        <is>
          <t>코스닥</t>
        </is>
      </c>
      <c r="D2556" s="2" t="inlineStr">
        <is>
          <t>090470</t>
        </is>
      </c>
      <c r="E2556" s="3" t="inlineStr">
        <is>
          <t>주주총회소집공고</t>
        </is>
      </c>
      <c r="F2556" s="3" t="inlineStr">
        <is>
          <t>제이스로보틱스</t>
        </is>
      </c>
      <c r="G2556" s="2" t="inlineStr">
        <is>
          <t>20260311003803</t>
        </is>
      </c>
      <c r="H2556" s="8">
        <f>HYPERLINK("https://dart.fss.or.kr/dsaf001/main.do?rcpNo=20260311003803", "공시열람")</f>
        <v/>
      </c>
    </row>
    <row r="2557">
      <c r="A2557" s="2" t="inlineStr">
        <is>
          <t>2026-03-11</t>
        </is>
      </c>
      <c r="B2557" s="3" t="inlineStr">
        <is>
          <t>대한뉴팜</t>
        </is>
      </c>
      <c r="C2557" s="2" t="inlineStr">
        <is>
          <t>코스닥</t>
        </is>
      </c>
      <c r="D2557" s="2" t="inlineStr">
        <is>
          <t>054670</t>
        </is>
      </c>
      <c r="E2557" s="3" t="inlineStr">
        <is>
          <t>주주총회소집공고</t>
        </is>
      </c>
      <c r="F2557" s="3" t="inlineStr">
        <is>
          <t>대한뉴팜</t>
        </is>
      </c>
      <c r="G2557" s="2" t="inlineStr">
        <is>
          <t>20260311003802</t>
        </is>
      </c>
      <c r="H2557" s="8">
        <f>HYPERLINK("https://dart.fss.or.kr/dsaf001/main.do?rcpNo=20260311003802", "공시열람")</f>
        <v/>
      </c>
    </row>
    <row r="2558">
      <c r="A2558" s="2" t="inlineStr">
        <is>
          <t>2026-03-11</t>
        </is>
      </c>
      <c r="B2558" s="3" t="inlineStr">
        <is>
          <t>헬릭스미스</t>
        </is>
      </c>
      <c r="C2558" s="2" t="inlineStr">
        <is>
          <t>코스닥</t>
        </is>
      </c>
      <c r="D2558" s="2" t="inlineStr">
        <is>
          <t>084990</t>
        </is>
      </c>
      <c r="E2558" s="3" t="inlineStr">
        <is>
          <t>주주총회소집공고</t>
        </is>
      </c>
      <c r="F2558" s="3" t="inlineStr">
        <is>
          <t>헬릭스미스</t>
        </is>
      </c>
      <c r="G2558" s="2" t="inlineStr">
        <is>
          <t>20260311003799</t>
        </is>
      </c>
      <c r="H2558" s="8">
        <f>HYPERLINK("https://dart.fss.or.kr/dsaf001/main.do?rcpNo=20260311003799", "공시열람")</f>
        <v/>
      </c>
    </row>
    <row r="2559">
      <c r="A2559" s="2" t="inlineStr">
        <is>
          <t>2026-03-11</t>
        </is>
      </c>
      <c r="B2559" s="3" t="inlineStr">
        <is>
          <t>더즌</t>
        </is>
      </c>
      <c r="C2559" s="2" t="inlineStr">
        <is>
          <t>코스닥</t>
        </is>
      </c>
      <c r="D2559" s="2" t="inlineStr">
        <is>
          <t>462860</t>
        </is>
      </c>
      <c r="E2559" s="3" t="inlineStr">
        <is>
          <t>주주총회소집공고</t>
        </is>
      </c>
      <c r="F2559" s="3" t="inlineStr">
        <is>
          <t>더즌</t>
        </is>
      </c>
      <c r="G2559" s="2" t="inlineStr">
        <is>
          <t>20260311003797</t>
        </is>
      </c>
      <c r="H2559" s="8">
        <f>HYPERLINK("https://dart.fss.or.kr/dsaf001/main.do?rcpNo=20260311003797", "공시열람")</f>
        <v/>
      </c>
    </row>
    <row r="2560">
      <c r="A2560" s="2" t="inlineStr">
        <is>
          <t>2026-03-11</t>
        </is>
      </c>
      <c r="B2560" s="3" t="inlineStr">
        <is>
          <t>밸로프</t>
        </is>
      </c>
      <c r="C2560" s="2" t="inlineStr">
        <is>
          <t>코스닥</t>
        </is>
      </c>
      <c r="D2560" s="2" t="inlineStr">
        <is>
          <t>331520</t>
        </is>
      </c>
      <c r="E2560" s="3" t="inlineStr">
        <is>
          <t>주주총회소집공고</t>
        </is>
      </c>
      <c r="F2560" s="3" t="inlineStr">
        <is>
          <t>밸로프</t>
        </is>
      </c>
      <c r="G2560" s="2" t="inlineStr">
        <is>
          <t>20260311003796</t>
        </is>
      </c>
      <c r="H2560" s="8">
        <f>HYPERLINK("https://dart.fss.or.kr/dsaf001/main.do?rcpNo=20260311003796", "공시열람")</f>
        <v/>
      </c>
    </row>
    <row r="2561">
      <c r="A2561" s="2" t="inlineStr">
        <is>
          <t>2026-03-11</t>
        </is>
      </c>
      <c r="B2561" s="3" t="inlineStr">
        <is>
          <t>케이엔제이</t>
        </is>
      </c>
      <c r="C2561" s="2" t="inlineStr">
        <is>
          <t>코스닥</t>
        </is>
      </c>
      <c r="D2561" s="2" t="inlineStr">
        <is>
          <t>272110</t>
        </is>
      </c>
      <c r="E2561" s="3" t="inlineStr">
        <is>
          <t>주주총회소집공고</t>
        </is>
      </c>
      <c r="F2561" s="3" t="inlineStr">
        <is>
          <t>케이엔제이</t>
        </is>
      </c>
      <c r="G2561" s="2" t="inlineStr">
        <is>
          <t>20260311003794</t>
        </is>
      </c>
      <c r="H2561" s="8">
        <f>HYPERLINK("https://dart.fss.or.kr/dsaf001/main.do?rcpNo=20260311003794", "공시열람")</f>
        <v/>
      </c>
    </row>
    <row r="2562">
      <c r="A2562" s="2" t="inlineStr">
        <is>
          <t>2026-03-11 (정정: 2026-03-11)</t>
        </is>
      </c>
      <c r="B2562" s="3" t="inlineStr">
        <is>
          <t>넥써쓰</t>
        </is>
      </c>
      <c r="C2562" s="2" t="inlineStr">
        <is>
          <t>코스닥</t>
        </is>
      </c>
      <c r="D2562" s="2" t="inlineStr">
        <is>
          <t>205500</t>
        </is>
      </c>
      <c r="E2562" s="3" t="inlineStr">
        <is>
          <t>주주총회소집결의               (정정: 20260311)</t>
        </is>
      </c>
      <c r="F2562" s="3" t="inlineStr">
        <is>
          <t>넥써쓰</t>
        </is>
      </c>
      <c r="G2562" s="2" t="inlineStr">
        <is>
          <t>20260311003711</t>
        </is>
      </c>
      <c r="H2562" s="8">
        <f>HYPERLINK("https://dart.fss.or.kr/dsaf001/main.do?rcpNo=20260311003711", "공시열람")</f>
        <v/>
      </c>
    </row>
    <row r="2563">
      <c r="A2563" s="2" t="inlineStr">
        <is>
          <t>2026-03-11</t>
        </is>
      </c>
      <c r="B2563" s="3" t="inlineStr">
        <is>
          <t>케이티스카이라이프</t>
        </is>
      </c>
      <c r="C2563" s="2" t="inlineStr">
        <is>
          <t>코스피</t>
        </is>
      </c>
      <c r="D2563" s="2" t="inlineStr">
        <is>
          <t>053210</t>
        </is>
      </c>
      <c r="E2563" s="3" t="inlineStr">
        <is>
          <t xml:space="preserve">주주총회소집결의              </t>
        </is>
      </c>
      <c r="F2563" s="3" t="inlineStr">
        <is>
          <t>케이티스카이라이프</t>
        </is>
      </c>
      <c r="G2563" s="2" t="inlineStr">
        <is>
          <t>20260311800975</t>
        </is>
      </c>
      <c r="H2563" s="8">
        <f>HYPERLINK("https://dart.fss.or.kr/dsaf001/main.do?rcpNo=20260311800975", "공시열람")</f>
        <v/>
      </c>
    </row>
    <row r="2564">
      <c r="A2564" s="2" t="inlineStr">
        <is>
          <t>2026-03-11</t>
        </is>
      </c>
      <c r="B2564" s="3" t="inlineStr">
        <is>
          <t>삼기</t>
        </is>
      </c>
      <c r="C2564" s="2" t="inlineStr">
        <is>
          <t>코스닥</t>
        </is>
      </c>
      <c r="D2564" s="2" t="inlineStr">
        <is>
          <t>122350</t>
        </is>
      </c>
      <c r="E2564" s="3" t="inlineStr">
        <is>
          <t>주주총회소집공고</t>
        </is>
      </c>
      <c r="F2564" s="3" t="inlineStr">
        <is>
          <t>삼기</t>
        </is>
      </c>
      <c r="G2564" s="2" t="inlineStr">
        <is>
          <t>20260311003789</t>
        </is>
      </c>
      <c r="H2564" s="8">
        <f>HYPERLINK("https://dart.fss.or.kr/dsaf001/main.do?rcpNo=20260311003789", "공시열람")</f>
        <v/>
      </c>
    </row>
    <row r="2565">
      <c r="A2565" s="2" t="inlineStr">
        <is>
          <t>2026-03-11 (정정: 2026-03-27)</t>
        </is>
      </c>
      <c r="B2565" s="3" t="inlineStr">
        <is>
          <t>이노뎁</t>
        </is>
      </c>
      <c r="C2565" s="2" t="inlineStr">
        <is>
          <t>코스닥</t>
        </is>
      </c>
      <c r="D2565" s="2" t="inlineStr">
        <is>
          <t>303530</t>
        </is>
      </c>
      <c r="E2565" s="3" t="inlineStr">
        <is>
          <t>[기재정정]주주총회소집결의               (정정: 20260312) (정정: 20260327)</t>
        </is>
      </c>
      <c r="F2565" s="3" t="inlineStr">
        <is>
          <t>이노뎁</t>
        </is>
      </c>
      <c r="G2565" s="2" t="inlineStr">
        <is>
          <t>20260327001750</t>
        </is>
      </c>
      <c r="H2565" s="8">
        <f>HYPERLINK("https://dart.fss.or.kr/dsaf001/main.do?rcpNo=20260327001750", "공시열람")</f>
        <v/>
      </c>
    </row>
    <row r="2566">
      <c r="A2566" s="2" t="inlineStr">
        <is>
          <t>2026-03-11</t>
        </is>
      </c>
      <c r="B2566" s="3" t="inlineStr">
        <is>
          <t>CMG제약</t>
        </is>
      </c>
      <c r="C2566" s="2" t="inlineStr">
        <is>
          <t>코스닥</t>
        </is>
      </c>
      <c r="D2566" s="2" t="inlineStr">
        <is>
          <t>058820</t>
        </is>
      </c>
      <c r="E2566" s="3" t="inlineStr">
        <is>
          <t xml:space="preserve">주주총회집중일개최사유신고              </t>
        </is>
      </c>
      <c r="F2566" s="3" t="inlineStr">
        <is>
          <t>CMG제약</t>
        </is>
      </c>
      <c r="G2566" s="2" t="inlineStr">
        <is>
          <t>20260311901013</t>
        </is>
      </c>
      <c r="H2566" s="8">
        <f>HYPERLINK("https://dart.fss.or.kr/dsaf001/main.do?rcpNo=20260311901013", "공시열람")</f>
        <v/>
      </c>
    </row>
    <row r="2567">
      <c r="A2567" s="2" t="inlineStr">
        <is>
          <t>2026-03-11</t>
        </is>
      </c>
      <c r="B2567" s="3" t="inlineStr">
        <is>
          <t>CMG제약</t>
        </is>
      </c>
      <c r="C2567" s="2" t="inlineStr">
        <is>
          <t>코스닥</t>
        </is>
      </c>
      <c r="D2567" s="2" t="inlineStr">
        <is>
          <t>058820</t>
        </is>
      </c>
      <c r="E2567" s="3" t="inlineStr">
        <is>
          <t xml:space="preserve">주주총회소집결의              </t>
        </is>
      </c>
      <c r="F2567" s="3" t="inlineStr">
        <is>
          <t>CMG제약</t>
        </is>
      </c>
      <c r="G2567" s="2" t="inlineStr">
        <is>
          <t>20260311901005</t>
        </is>
      </c>
      <c r="H2567" s="8">
        <f>HYPERLINK("https://dart.fss.or.kr/dsaf001/main.do?rcpNo=20260311901005", "공시열람")</f>
        <v/>
      </c>
    </row>
    <row r="2568">
      <c r="A2568" s="2" t="inlineStr">
        <is>
          <t>2026-03-11</t>
        </is>
      </c>
      <c r="B2568" s="3" t="inlineStr">
        <is>
          <t>아이큐어</t>
        </is>
      </c>
      <c r="C2568" s="2" t="inlineStr">
        <is>
          <t>코스닥</t>
        </is>
      </c>
      <c r="D2568" s="2" t="inlineStr">
        <is>
          <t>175250</t>
        </is>
      </c>
      <c r="E2568" s="3" t="inlineStr">
        <is>
          <t xml:space="preserve">주주총회소집결의              </t>
        </is>
      </c>
      <c r="F2568" s="3" t="inlineStr">
        <is>
          <t>아이큐어</t>
        </is>
      </c>
      <c r="G2568" s="2" t="inlineStr">
        <is>
          <t>20260311900992</t>
        </is>
      </c>
      <c r="H2568" s="8">
        <f>HYPERLINK("https://dart.fss.or.kr/dsaf001/main.do?rcpNo=20260311900992", "공시열람")</f>
        <v/>
      </c>
    </row>
    <row r="2569">
      <c r="A2569" s="2" t="inlineStr">
        <is>
          <t>2026-03-11</t>
        </is>
      </c>
      <c r="B2569" s="3" t="inlineStr">
        <is>
          <t>케이엔제이</t>
        </is>
      </c>
      <c r="C2569" s="2" t="inlineStr">
        <is>
          <t>코스닥</t>
        </is>
      </c>
      <c r="D2569" s="2" t="inlineStr">
        <is>
          <t>272110</t>
        </is>
      </c>
      <c r="E2569" s="3" t="inlineStr">
        <is>
          <t xml:space="preserve">주주총회소집결의              </t>
        </is>
      </c>
      <c r="F2569" s="3" t="inlineStr">
        <is>
          <t>케이엔제이</t>
        </is>
      </c>
      <c r="G2569" s="2" t="inlineStr">
        <is>
          <t>20260311900932</t>
        </is>
      </c>
      <c r="H2569" s="8">
        <f>HYPERLINK("https://dart.fss.or.kr/dsaf001/main.do?rcpNo=20260311900932", "공시열람")</f>
        <v/>
      </c>
    </row>
    <row r="2570">
      <c r="A2570" s="2" t="inlineStr">
        <is>
          <t>2026-03-11</t>
        </is>
      </c>
      <c r="B2570" s="3" t="inlineStr">
        <is>
          <t>HLB바이오스텝</t>
        </is>
      </c>
      <c r="C2570" s="2" t="inlineStr">
        <is>
          <t>코스닥</t>
        </is>
      </c>
      <c r="D2570" s="2" t="inlineStr">
        <is>
          <t>278650</t>
        </is>
      </c>
      <c r="E2570" s="3" t="inlineStr">
        <is>
          <t xml:space="preserve">주주총회소집결의              </t>
        </is>
      </c>
      <c r="F2570" s="3" t="inlineStr">
        <is>
          <t>HLB바이오스텝</t>
        </is>
      </c>
      <c r="G2570" s="2" t="inlineStr">
        <is>
          <t>20260311900949</t>
        </is>
      </c>
      <c r="H2570" s="8">
        <f>HYPERLINK("https://dart.fss.or.kr/dsaf001/main.do?rcpNo=20260311900949", "공시열람")</f>
        <v/>
      </c>
    </row>
    <row r="2571">
      <c r="A2571" s="2" t="inlineStr">
        <is>
          <t>2026-03-11</t>
        </is>
      </c>
      <c r="B2571" s="3" t="inlineStr">
        <is>
          <t>대한뉴팜</t>
        </is>
      </c>
      <c r="C2571" s="2" t="inlineStr">
        <is>
          <t>코스닥</t>
        </is>
      </c>
      <c r="D2571" s="2" t="inlineStr">
        <is>
          <t>054670</t>
        </is>
      </c>
      <c r="E2571" s="3" t="inlineStr">
        <is>
          <t xml:space="preserve">주주총회집중일개최사유신고              </t>
        </is>
      </c>
      <c r="F2571" s="3" t="inlineStr">
        <is>
          <t>대한뉴팜</t>
        </is>
      </c>
      <c r="G2571" s="2" t="inlineStr">
        <is>
          <t>20260311900924</t>
        </is>
      </c>
      <c r="H2571" s="8">
        <f>HYPERLINK("https://dart.fss.or.kr/dsaf001/main.do?rcpNo=20260311900924", "공시열람")</f>
        <v/>
      </c>
    </row>
    <row r="2572">
      <c r="A2572" s="2" t="inlineStr">
        <is>
          <t>2026-03-11</t>
        </is>
      </c>
      <c r="B2572" s="3" t="inlineStr">
        <is>
          <t>헥토이노베이션</t>
        </is>
      </c>
      <c r="C2572" s="2" t="inlineStr">
        <is>
          <t>코스닥</t>
        </is>
      </c>
      <c r="D2572" s="2" t="inlineStr">
        <is>
          <t>214180</t>
        </is>
      </c>
      <c r="E2572" s="3" t="inlineStr">
        <is>
          <t>주주총회소집공고</t>
        </is>
      </c>
      <c r="F2572" s="3" t="inlineStr">
        <is>
          <t>헥토이노베이션</t>
        </is>
      </c>
      <c r="G2572" s="2" t="inlineStr">
        <is>
          <t>20260311003788</t>
        </is>
      </c>
      <c r="H2572" s="8">
        <f>HYPERLINK("https://dart.fss.or.kr/dsaf001/main.do?rcpNo=20260311003788", "공시열람")</f>
        <v/>
      </c>
    </row>
    <row r="2573">
      <c r="A2573" s="2" t="inlineStr">
        <is>
          <t>2026-03-11</t>
        </is>
      </c>
      <c r="B2573" s="3" t="inlineStr">
        <is>
          <t>대한뉴팜</t>
        </is>
      </c>
      <c r="C2573" s="2" t="inlineStr">
        <is>
          <t>코스닥</t>
        </is>
      </c>
      <c r="D2573" s="2" t="inlineStr">
        <is>
          <t>054670</t>
        </is>
      </c>
      <c r="E2573" s="3" t="inlineStr">
        <is>
          <t xml:space="preserve">주주총회소집결의              </t>
        </is>
      </c>
      <c r="F2573" s="3" t="inlineStr">
        <is>
          <t>대한뉴팜</t>
        </is>
      </c>
      <c r="G2573" s="2" t="inlineStr">
        <is>
          <t>20260311901018</t>
        </is>
      </c>
      <c r="H2573" s="8">
        <f>HYPERLINK("https://dart.fss.or.kr/dsaf001/main.do?rcpNo=20260311901018", "공시열람")</f>
        <v/>
      </c>
    </row>
    <row r="2574">
      <c r="A2574" s="2" t="inlineStr">
        <is>
          <t>2026-03-11</t>
        </is>
      </c>
      <c r="B2574" s="3" t="inlineStr">
        <is>
          <t>동원산업</t>
        </is>
      </c>
      <c r="C2574" s="2" t="inlineStr">
        <is>
          <t>코스피</t>
        </is>
      </c>
      <c r="D2574" s="2" t="inlineStr">
        <is>
          <t>006040</t>
        </is>
      </c>
      <c r="E2574" s="3" t="inlineStr">
        <is>
          <t>주주총회소집공고</t>
        </is>
      </c>
      <c r="F2574" s="3" t="inlineStr">
        <is>
          <t>동원산업</t>
        </is>
      </c>
      <c r="G2574" s="2" t="inlineStr">
        <is>
          <t>20260311003778</t>
        </is>
      </c>
      <c r="H2574" s="8">
        <f>HYPERLINK("https://dart.fss.or.kr/dsaf001/main.do?rcpNo=20260311003778", "공시열람")</f>
        <v/>
      </c>
    </row>
    <row r="2575">
      <c r="A2575" s="2" t="inlineStr">
        <is>
          <t>2026-03-11</t>
        </is>
      </c>
      <c r="B2575" s="3" t="inlineStr">
        <is>
          <t>모베이스전자</t>
        </is>
      </c>
      <c r="C2575" s="2" t="inlineStr">
        <is>
          <t>코스닥</t>
        </is>
      </c>
      <c r="D2575" s="2" t="inlineStr">
        <is>
          <t>012860</t>
        </is>
      </c>
      <c r="E2575" s="3" t="inlineStr">
        <is>
          <t xml:space="preserve">주주총회소집결의              </t>
        </is>
      </c>
      <c r="F2575" s="3" t="inlineStr">
        <is>
          <t>모베이스전자</t>
        </is>
      </c>
      <c r="G2575" s="2" t="inlineStr">
        <is>
          <t>20260311900976</t>
        </is>
      </c>
      <c r="H2575" s="8">
        <f>HYPERLINK("https://dart.fss.or.kr/dsaf001/main.do?rcpNo=20260311900976", "공시열람")</f>
        <v/>
      </c>
    </row>
    <row r="2576">
      <c r="A2576" s="2" t="inlineStr">
        <is>
          <t>2026-03-11</t>
        </is>
      </c>
      <c r="B2576" s="3" t="inlineStr">
        <is>
          <t>라이콤</t>
        </is>
      </c>
      <c r="C2576" s="2" t="inlineStr">
        <is>
          <t>코스닥</t>
        </is>
      </c>
      <c r="D2576" s="2" t="inlineStr">
        <is>
          <t>388790</t>
        </is>
      </c>
      <c r="E2576" s="3" t="inlineStr">
        <is>
          <t>주주총회소집공고</t>
        </is>
      </c>
      <c r="F2576" s="3" t="inlineStr">
        <is>
          <t>라이콤</t>
        </is>
      </c>
      <c r="G2576" s="2" t="inlineStr">
        <is>
          <t>20260311003775</t>
        </is>
      </c>
      <c r="H2576" s="8">
        <f>HYPERLINK("https://dart.fss.or.kr/dsaf001/main.do?rcpNo=20260311003775", "공시열람")</f>
        <v/>
      </c>
    </row>
    <row r="2577">
      <c r="A2577" s="2" t="inlineStr">
        <is>
          <t>2026-03-11</t>
        </is>
      </c>
      <c r="B2577" s="3" t="inlineStr">
        <is>
          <t>동원산업</t>
        </is>
      </c>
      <c r="C2577" s="2" t="inlineStr">
        <is>
          <t>코스피</t>
        </is>
      </c>
      <c r="D2577" s="2" t="inlineStr">
        <is>
          <t>006040</t>
        </is>
      </c>
      <c r="E2577" s="3" t="inlineStr">
        <is>
          <t xml:space="preserve">주주총회소집결의              </t>
        </is>
      </c>
      <c r="F2577" s="3" t="inlineStr">
        <is>
          <t>동원산업</t>
        </is>
      </c>
      <c r="G2577" s="2" t="inlineStr">
        <is>
          <t>20260311800963</t>
        </is>
      </c>
      <c r="H2577" s="8">
        <f>HYPERLINK("https://dart.fss.or.kr/dsaf001/main.do?rcpNo=20260311800963", "공시열람")</f>
        <v/>
      </c>
    </row>
    <row r="2578">
      <c r="A2578" s="2" t="inlineStr">
        <is>
          <t>2026-03-11</t>
        </is>
      </c>
      <c r="B2578" s="3" t="inlineStr">
        <is>
          <t>아미노로직스</t>
        </is>
      </c>
      <c r="C2578" s="2" t="inlineStr">
        <is>
          <t>코스닥</t>
        </is>
      </c>
      <c r="D2578" s="2" t="inlineStr">
        <is>
          <t>074430</t>
        </is>
      </c>
      <c r="E2578" s="3" t="inlineStr">
        <is>
          <t xml:space="preserve">주주총회소집결의              </t>
        </is>
      </c>
      <c r="F2578" s="3" t="inlineStr">
        <is>
          <t>아미노로직스</t>
        </is>
      </c>
      <c r="G2578" s="2" t="inlineStr">
        <is>
          <t>20260311900814</t>
        </is>
      </c>
      <c r="H2578" s="8">
        <f>HYPERLINK("https://dart.fss.or.kr/dsaf001/main.do?rcpNo=20260311900814", "공시열람")</f>
        <v/>
      </c>
    </row>
    <row r="2579">
      <c r="A2579" s="2" t="inlineStr">
        <is>
          <t>2026-03-11</t>
        </is>
      </c>
      <c r="B2579" s="3" t="inlineStr">
        <is>
          <t>코아시아씨엠</t>
        </is>
      </c>
      <c r="C2579" s="2" t="inlineStr">
        <is>
          <t>코스닥</t>
        </is>
      </c>
      <c r="D2579" s="2" t="inlineStr">
        <is>
          <t>196450</t>
        </is>
      </c>
      <c r="E2579" s="3" t="inlineStr">
        <is>
          <t xml:space="preserve">주주총회소집결의              </t>
        </is>
      </c>
      <c r="F2579" s="3" t="inlineStr">
        <is>
          <t>코아시아씨엠</t>
        </is>
      </c>
      <c r="G2579" s="2" t="inlineStr">
        <is>
          <t>20260311900812</t>
        </is>
      </c>
      <c r="H2579" s="8">
        <f>HYPERLINK("https://dart.fss.or.kr/dsaf001/main.do?rcpNo=20260311900812", "공시열람")</f>
        <v/>
      </c>
    </row>
    <row r="2580">
      <c r="A2580" s="2" t="inlineStr">
        <is>
          <t>2026-03-11</t>
        </is>
      </c>
      <c r="B2580" s="3" t="inlineStr">
        <is>
          <t>캔버스엔</t>
        </is>
      </c>
      <c r="C2580" s="2" t="inlineStr">
        <is>
          <t>코스닥</t>
        </is>
      </c>
      <c r="D2580" s="2" t="inlineStr">
        <is>
          <t>210120</t>
        </is>
      </c>
      <c r="E2580" s="3" t="inlineStr">
        <is>
          <t xml:space="preserve">주주총회소집결의              </t>
        </is>
      </c>
      <c r="F2580" s="3" t="inlineStr">
        <is>
          <t>캔버스엔</t>
        </is>
      </c>
      <c r="G2580" s="2" t="inlineStr">
        <is>
          <t>20260311900921</t>
        </is>
      </c>
      <c r="H2580" s="8">
        <f>HYPERLINK("https://dart.fss.or.kr/dsaf001/main.do?rcpNo=20260311900921", "공시열람")</f>
        <v/>
      </c>
    </row>
    <row r="2581">
      <c r="A2581" s="2" t="inlineStr">
        <is>
          <t>2026-03-11</t>
        </is>
      </c>
      <c r="B2581" s="3" t="inlineStr">
        <is>
          <t>삼화네트웍스</t>
        </is>
      </c>
      <c r="C2581" s="2" t="inlineStr">
        <is>
          <t>코스닥</t>
        </is>
      </c>
      <c r="D2581" s="2" t="inlineStr">
        <is>
          <t>046390</t>
        </is>
      </c>
      <c r="E2581" s="3" t="inlineStr">
        <is>
          <t>주주총회소집공고</t>
        </is>
      </c>
      <c r="F2581" s="3" t="inlineStr">
        <is>
          <t>삼화네트웍스</t>
        </is>
      </c>
      <c r="G2581" s="2" t="inlineStr">
        <is>
          <t>20260311003768</t>
        </is>
      </c>
      <c r="H2581" s="8">
        <f>HYPERLINK("https://dart.fss.or.kr/dsaf001/main.do?rcpNo=20260311003768", "공시열람")</f>
        <v/>
      </c>
    </row>
    <row r="2582">
      <c r="A2582" s="2" t="inlineStr">
        <is>
          <t>2026-03-11</t>
        </is>
      </c>
      <c r="B2582" s="3" t="inlineStr">
        <is>
          <t>엑셀세라퓨틱스</t>
        </is>
      </c>
      <c r="C2582" s="2" t="inlineStr">
        <is>
          <t>코스닥</t>
        </is>
      </c>
      <c r="D2582" s="2" t="inlineStr">
        <is>
          <t>373110</t>
        </is>
      </c>
      <c r="E2582" s="3" t="inlineStr">
        <is>
          <t xml:space="preserve">주주총회집중일개최사유신고              </t>
        </is>
      </c>
      <c r="F2582" s="3" t="inlineStr">
        <is>
          <t>엑셀세라퓨틱스</t>
        </is>
      </c>
      <c r="G2582" s="2" t="inlineStr">
        <is>
          <t>20260311900957</t>
        </is>
      </c>
      <c r="H2582" s="8">
        <f>HYPERLINK("https://dart.fss.or.kr/dsaf001/main.do?rcpNo=20260311900957", "공시열람")</f>
        <v/>
      </c>
    </row>
    <row r="2583">
      <c r="A2583" s="2" t="inlineStr">
        <is>
          <t>2026-03-11</t>
        </is>
      </c>
      <c r="B2583" s="3" t="inlineStr">
        <is>
          <t>엑셀세라퓨틱스</t>
        </is>
      </c>
      <c r="C2583" s="2" t="inlineStr">
        <is>
          <t>코스닥</t>
        </is>
      </c>
      <c r="D2583" s="2" t="inlineStr">
        <is>
          <t>373110</t>
        </is>
      </c>
      <c r="E2583" s="3" t="inlineStr">
        <is>
          <t xml:space="preserve">주주총회소집결의              </t>
        </is>
      </c>
      <c r="F2583" s="3" t="inlineStr">
        <is>
          <t>엑셀세라퓨틱스</t>
        </is>
      </c>
      <c r="G2583" s="2" t="inlineStr">
        <is>
          <t>20260311900951</t>
        </is>
      </c>
      <c r="H2583" s="8">
        <f>HYPERLINK("https://dart.fss.or.kr/dsaf001/main.do?rcpNo=20260311900951", "공시열람")</f>
        <v/>
      </c>
    </row>
    <row r="2584">
      <c r="A2584" s="2" t="inlineStr">
        <is>
          <t>2026-03-11</t>
        </is>
      </c>
      <c r="B2584" s="3" t="inlineStr">
        <is>
          <t>유바이오로직스</t>
        </is>
      </c>
      <c r="C2584" s="2" t="inlineStr">
        <is>
          <t>코스닥</t>
        </is>
      </c>
      <c r="D2584" s="2" t="inlineStr">
        <is>
          <t>206650</t>
        </is>
      </c>
      <c r="E2584" s="3" t="inlineStr">
        <is>
          <t>주주총회소집공고</t>
        </is>
      </c>
      <c r="F2584" s="3" t="inlineStr">
        <is>
          <t>유바이오로직스</t>
        </is>
      </c>
      <c r="G2584" s="2" t="inlineStr">
        <is>
          <t>20260311003765</t>
        </is>
      </c>
      <c r="H2584" s="8">
        <f>HYPERLINK("https://dart.fss.or.kr/dsaf001/main.do?rcpNo=20260311003765", "공시열람")</f>
        <v/>
      </c>
    </row>
    <row r="2585">
      <c r="A2585" s="2" t="inlineStr">
        <is>
          <t>2026-03-11</t>
        </is>
      </c>
      <c r="B2585" s="3" t="inlineStr">
        <is>
          <t>오가노이드사이언스</t>
        </is>
      </c>
      <c r="C2585" s="2" t="inlineStr">
        <is>
          <t>코스닥</t>
        </is>
      </c>
      <c r="D2585" s="2" t="inlineStr">
        <is>
          <t>476040</t>
        </is>
      </c>
      <c r="E2585" s="3" t="inlineStr">
        <is>
          <t>주주총회소집공고</t>
        </is>
      </c>
      <c r="F2585" s="3" t="inlineStr">
        <is>
          <t>오가노이드사이언스</t>
        </is>
      </c>
      <c r="G2585" s="2" t="inlineStr">
        <is>
          <t>20260311003764</t>
        </is>
      </c>
      <c r="H2585" s="8">
        <f>HYPERLINK("https://dart.fss.or.kr/dsaf001/main.do?rcpNo=20260311003764", "공시열람")</f>
        <v/>
      </c>
    </row>
    <row r="2586">
      <c r="A2586" s="2" t="inlineStr">
        <is>
          <t>2026-03-11</t>
        </is>
      </c>
      <c r="B2586" s="3" t="inlineStr">
        <is>
          <t>드림시큐리티</t>
        </is>
      </c>
      <c r="C2586" s="2" t="inlineStr">
        <is>
          <t>코스닥</t>
        </is>
      </c>
      <c r="D2586" s="2" t="inlineStr">
        <is>
          <t>203650</t>
        </is>
      </c>
      <c r="E2586" s="3" t="inlineStr">
        <is>
          <t xml:space="preserve">주주총회소집결의              </t>
        </is>
      </c>
      <c r="F2586" s="3" t="inlineStr">
        <is>
          <t>드림시큐리티</t>
        </is>
      </c>
      <c r="G2586" s="2" t="inlineStr">
        <is>
          <t>20260311900948</t>
        </is>
      </c>
      <c r="H2586" s="8">
        <f>HYPERLINK("https://dart.fss.or.kr/dsaf001/main.do?rcpNo=20260311900948", "공시열람")</f>
        <v/>
      </c>
    </row>
    <row r="2587">
      <c r="A2587" s="2" t="inlineStr">
        <is>
          <t>2026-03-11</t>
        </is>
      </c>
      <c r="B2587" s="3" t="inlineStr">
        <is>
          <t>하이트진로홀딩스</t>
        </is>
      </c>
      <c r="C2587" s="2" t="inlineStr">
        <is>
          <t>코스피</t>
        </is>
      </c>
      <c r="D2587" s="2" t="inlineStr">
        <is>
          <t>000140</t>
        </is>
      </c>
      <c r="E2587" s="3" t="inlineStr">
        <is>
          <t>주주총회소집공고</t>
        </is>
      </c>
      <c r="F2587" s="3" t="inlineStr">
        <is>
          <t>하이트진로홀딩스</t>
        </is>
      </c>
      <c r="G2587" s="2" t="inlineStr">
        <is>
          <t>20260311003758</t>
        </is>
      </c>
      <c r="H2587" s="8">
        <f>HYPERLINK("https://dart.fss.or.kr/dsaf001/main.do?rcpNo=20260311003758", "공시열람")</f>
        <v/>
      </c>
    </row>
    <row r="2588">
      <c r="A2588" s="2" t="inlineStr">
        <is>
          <t>2026-03-11</t>
        </is>
      </c>
      <c r="B2588" s="3" t="inlineStr">
        <is>
          <t>금호석유화학</t>
        </is>
      </c>
      <c r="C2588" s="2" t="inlineStr">
        <is>
          <t>코스피</t>
        </is>
      </c>
      <c r="D2588" s="2" t="inlineStr">
        <is>
          <t>011780</t>
        </is>
      </c>
      <c r="E2588" s="3" t="inlineStr">
        <is>
          <t>주주총회소집공고</t>
        </is>
      </c>
      <c r="F2588" s="3" t="inlineStr">
        <is>
          <t>금호석유화학</t>
        </is>
      </c>
      <c r="G2588" s="2" t="inlineStr">
        <is>
          <t>20260311003757</t>
        </is>
      </c>
      <c r="H2588" s="8">
        <f>HYPERLINK("https://dart.fss.or.kr/dsaf001/main.do?rcpNo=20260311003757", "공시열람")</f>
        <v/>
      </c>
    </row>
    <row r="2589">
      <c r="A2589" s="2" t="inlineStr">
        <is>
          <t>2026-03-11</t>
        </is>
      </c>
      <c r="B2589" s="3" t="inlineStr">
        <is>
          <t>캔버스엔</t>
        </is>
      </c>
      <c r="C2589" s="2" t="inlineStr">
        <is>
          <t>코스닥</t>
        </is>
      </c>
      <c r="D2589" s="2" t="inlineStr">
        <is>
          <t>210120</t>
        </is>
      </c>
      <c r="E2589" s="3" t="inlineStr">
        <is>
          <t>주주총회소집공고</t>
        </is>
      </c>
      <c r="F2589" s="3" t="inlineStr">
        <is>
          <t>캔버스엔</t>
        </is>
      </c>
      <c r="G2589" s="2" t="inlineStr">
        <is>
          <t>20260311003756</t>
        </is>
      </c>
      <c r="H2589" s="8">
        <f>HYPERLINK("https://dart.fss.or.kr/dsaf001/main.do?rcpNo=20260311003756", "공시열람")</f>
        <v/>
      </c>
    </row>
    <row r="2590">
      <c r="A2590" s="2" t="inlineStr">
        <is>
          <t>2026-03-11 (정정: 2026-06-09)</t>
        </is>
      </c>
      <c r="B2590" s="3" t="inlineStr">
        <is>
          <t>이비테크</t>
        </is>
      </c>
      <c r="C2590" s="2" t="inlineStr">
        <is>
          <t>코넥스</t>
        </is>
      </c>
      <c r="D2590" s="2" t="inlineStr">
        <is>
          <t>208850</t>
        </is>
      </c>
      <c r="E2590" s="3" t="inlineStr">
        <is>
          <t>주주총회소집공고 (정정: 20260609)</t>
        </is>
      </c>
      <c r="F2590" s="3" t="inlineStr">
        <is>
          <t>이비테크</t>
        </is>
      </c>
      <c r="G2590" s="2" t="inlineStr">
        <is>
          <t>20260609600485</t>
        </is>
      </c>
      <c r="H2590" s="8">
        <f>HYPERLINK("https://dart.fss.or.kr/dsaf001/main.do?rcpNo=20260609600485", "공시열람")</f>
        <v/>
      </c>
    </row>
    <row r="2591">
      <c r="A2591" s="2" t="inlineStr">
        <is>
          <t>2026-03-11 (정정: 2026-03-11)</t>
        </is>
      </c>
      <c r="B2591" s="3" t="inlineStr">
        <is>
          <t>하이트진로홀딩스</t>
        </is>
      </c>
      <c r="C2591" s="2" t="inlineStr">
        <is>
          <t>코스피</t>
        </is>
      </c>
      <c r="D2591" s="2" t="inlineStr">
        <is>
          <t>000140</t>
        </is>
      </c>
      <c r="E2591" s="3" t="inlineStr">
        <is>
          <t>주주총회소집결의               (정정: 20260311) (정정: 20260311)</t>
        </is>
      </c>
      <c r="F2591" s="3" t="inlineStr">
        <is>
          <t>하이트진로홀딩스</t>
        </is>
      </c>
      <c r="G2591" s="2" t="inlineStr">
        <is>
          <t>20260311800567</t>
        </is>
      </c>
      <c r="H2591" s="8">
        <f>HYPERLINK("https://dart.fss.or.kr/dsaf001/main.do?rcpNo=20260311800567", "공시열람")</f>
        <v/>
      </c>
    </row>
    <row r="2592">
      <c r="A2592" s="2" t="inlineStr">
        <is>
          <t>2026-03-11</t>
        </is>
      </c>
      <c r="B2592" s="3" t="inlineStr">
        <is>
          <t>싸이맥스</t>
        </is>
      </c>
      <c r="C2592" s="2" t="inlineStr">
        <is>
          <t>코스닥</t>
        </is>
      </c>
      <c r="D2592" s="2" t="inlineStr">
        <is>
          <t>160980</t>
        </is>
      </c>
      <c r="E2592" s="3" t="inlineStr">
        <is>
          <t>주주총회소집공고</t>
        </is>
      </c>
      <c r="F2592" s="3" t="inlineStr">
        <is>
          <t>싸이맥스</t>
        </is>
      </c>
      <c r="G2592" s="2" t="inlineStr">
        <is>
          <t>20260311003748</t>
        </is>
      </c>
      <c r="H2592" s="8">
        <f>HYPERLINK("https://dart.fss.or.kr/dsaf001/main.do?rcpNo=20260311003748", "공시열람")</f>
        <v/>
      </c>
    </row>
    <row r="2593">
      <c r="A2593" s="2" t="inlineStr">
        <is>
          <t>2026-03-11</t>
        </is>
      </c>
      <c r="B2593" s="3" t="inlineStr">
        <is>
          <t>위즈코프</t>
        </is>
      </c>
      <c r="C2593" s="2" t="inlineStr">
        <is>
          <t>코스닥</t>
        </is>
      </c>
      <c r="D2593" s="2" t="inlineStr">
        <is>
          <t>038620</t>
        </is>
      </c>
      <c r="E2593" s="3" t="inlineStr">
        <is>
          <t>주주총회소집공고</t>
        </is>
      </c>
      <c r="F2593" s="3" t="inlineStr">
        <is>
          <t>위즈코프</t>
        </is>
      </c>
      <c r="G2593" s="2" t="inlineStr">
        <is>
          <t>20260311003743</t>
        </is>
      </c>
      <c r="H2593" s="8">
        <f>HYPERLINK("https://dart.fss.or.kr/dsaf001/main.do?rcpNo=20260311003743", "공시열람")</f>
        <v/>
      </c>
    </row>
    <row r="2594">
      <c r="A2594" s="2" t="inlineStr">
        <is>
          <t>2026-03-11</t>
        </is>
      </c>
      <c r="B2594" s="3" t="inlineStr">
        <is>
          <t>한국콜마</t>
        </is>
      </c>
      <c r="C2594" s="2" t="inlineStr">
        <is>
          <t>코스피</t>
        </is>
      </c>
      <c r="D2594" s="2" t="inlineStr">
        <is>
          <t>161890</t>
        </is>
      </c>
      <c r="E2594" s="3" t="inlineStr">
        <is>
          <t>주주총회소집공고</t>
        </is>
      </c>
      <c r="F2594" s="3" t="inlineStr">
        <is>
          <t>한국콜마</t>
        </is>
      </c>
      <c r="G2594" s="2" t="inlineStr">
        <is>
          <t>20260311003742</t>
        </is>
      </c>
      <c r="H2594" s="8">
        <f>HYPERLINK("https://dart.fss.or.kr/dsaf001/main.do?rcpNo=20260311003742", "공시열람")</f>
        <v/>
      </c>
    </row>
    <row r="2595">
      <c r="A2595" s="2" t="inlineStr">
        <is>
          <t>2026-03-11 (정정: 2026-05-28)</t>
        </is>
      </c>
      <c r="B2595" s="3" t="inlineStr">
        <is>
          <t>에넥스</t>
        </is>
      </c>
      <c r="C2595" s="2" t="inlineStr">
        <is>
          <t>코스피</t>
        </is>
      </c>
      <c r="D2595" s="2" t="inlineStr">
        <is>
          <t>011090</t>
        </is>
      </c>
      <c r="E2595" s="3" t="inlineStr">
        <is>
          <t>주주총회소집공고 (정정: 20260528)</t>
        </is>
      </c>
      <c r="F2595" s="3" t="inlineStr">
        <is>
          <t>에넥스</t>
        </is>
      </c>
      <c r="G2595" s="2" t="inlineStr">
        <is>
          <t>20260528000053</t>
        </is>
      </c>
      <c r="H2595" s="8">
        <f>HYPERLINK("https://dart.fss.or.kr/dsaf001/main.do?rcpNo=20260528000053", "공시열람")</f>
        <v/>
      </c>
    </row>
    <row r="2596">
      <c r="A2596" s="2" t="inlineStr">
        <is>
          <t>2026-03-11</t>
        </is>
      </c>
      <c r="B2596" s="3" t="inlineStr">
        <is>
          <t>피앤씨테크</t>
        </is>
      </c>
      <c r="C2596" s="2" t="inlineStr">
        <is>
          <t>코스닥</t>
        </is>
      </c>
      <c r="D2596" s="2" t="inlineStr">
        <is>
          <t>237750</t>
        </is>
      </c>
      <c r="E2596" s="3" t="inlineStr">
        <is>
          <t>주주총회소집공고</t>
        </is>
      </c>
      <c r="F2596" s="3" t="inlineStr">
        <is>
          <t>피앤씨테크</t>
        </is>
      </c>
      <c r="G2596" s="2" t="inlineStr">
        <is>
          <t>20260311003739</t>
        </is>
      </c>
      <c r="H2596" s="8">
        <f>HYPERLINK("https://dart.fss.or.kr/dsaf001/main.do?rcpNo=20260311003739", "공시열람")</f>
        <v/>
      </c>
    </row>
    <row r="2597">
      <c r="A2597" s="2" t="inlineStr">
        <is>
          <t>2026-03-11</t>
        </is>
      </c>
      <c r="B2597" s="3" t="inlineStr">
        <is>
          <t>신일전자</t>
        </is>
      </c>
      <c r="C2597" s="2" t="inlineStr">
        <is>
          <t>코스피</t>
        </is>
      </c>
      <c r="D2597" s="2" t="inlineStr">
        <is>
          <t>002700</t>
        </is>
      </c>
      <c r="E2597" s="3" t="inlineStr">
        <is>
          <t xml:space="preserve">주주총회집중일개최사유신고              </t>
        </is>
      </c>
      <c r="F2597" s="3" t="inlineStr">
        <is>
          <t>신일전자</t>
        </is>
      </c>
      <c r="G2597" s="2" t="inlineStr">
        <is>
          <t>20260311800883</t>
        </is>
      </c>
      <c r="H2597" s="8">
        <f>HYPERLINK("https://dart.fss.or.kr/dsaf001/main.do?rcpNo=20260311800883", "공시열람")</f>
        <v/>
      </c>
    </row>
    <row r="2598">
      <c r="A2598" s="2" t="inlineStr">
        <is>
          <t>2026-03-11</t>
        </is>
      </c>
      <c r="B2598" s="3" t="inlineStr">
        <is>
          <t>파두</t>
        </is>
      </c>
      <c r="C2598" s="2" t="inlineStr">
        <is>
          <t>코스닥</t>
        </is>
      </c>
      <c r="D2598" s="2" t="inlineStr">
        <is>
          <t>440110</t>
        </is>
      </c>
      <c r="E2598" s="3" t="inlineStr">
        <is>
          <t>주주총회소집공고</t>
        </is>
      </c>
      <c r="F2598" s="3" t="inlineStr">
        <is>
          <t>파두</t>
        </is>
      </c>
      <c r="G2598" s="2" t="inlineStr">
        <is>
          <t>20260311003737</t>
        </is>
      </c>
      <c r="H2598" s="8">
        <f>HYPERLINK("https://dart.fss.or.kr/dsaf001/main.do?rcpNo=20260311003737", "공시열람")</f>
        <v/>
      </c>
    </row>
    <row r="2599">
      <c r="A2599" s="2" t="inlineStr">
        <is>
          <t>2026-03-11</t>
        </is>
      </c>
      <c r="B2599" s="3" t="inlineStr">
        <is>
          <t>아스타</t>
        </is>
      </c>
      <c r="C2599" s="2" t="inlineStr">
        <is>
          <t>코스닥</t>
        </is>
      </c>
      <c r="D2599" s="2" t="inlineStr">
        <is>
          <t>246720</t>
        </is>
      </c>
      <c r="E2599" s="3" t="inlineStr">
        <is>
          <t>주주총회소집공고</t>
        </is>
      </c>
      <c r="F2599" s="3" t="inlineStr">
        <is>
          <t>아스타</t>
        </is>
      </c>
      <c r="G2599" s="2" t="inlineStr">
        <is>
          <t>20260311003736</t>
        </is>
      </c>
      <c r="H2599" s="8">
        <f>HYPERLINK("https://dart.fss.or.kr/dsaf001/main.do?rcpNo=20260311003736", "공시열람")</f>
        <v/>
      </c>
    </row>
    <row r="2600">
      <c r="A2600" s="2" t="inlineStr">
        <is>
          <t>2026-03-11</t>
        </is>
      </c>
      <c r="B2600" s="3" t="inlineStr">
        <is>
          <t>유진테크놀로지</t>
        </is>
      </c>
      <c r="C2600" s="2" t="inlineStr">
        <is>
          <t>코스닥</t>
        </is>
      </c>
      <c r="D2600" s="2" t="inlineStr">
        <is>
          <t>240600</t>
        </is>
      </c>
      <c r="E2600" s="3" t="inlineStr">
        <is>
          <t>[기재정정]주주총회소집공고</t>
        </is>
      </c>
      <c r="F2600" s="3" t="inlineStr">
        <is>
          <t>유진테크놀로지</t>
        </is>
      </c>
      <c r="G2600" s="2" t="inlineStr">
        <is>
          <t>20260311003735</t>
        </is>
      </c>
      <c r="H2600" s="8">
        <f>HYPERLINK("https://dart.fss.or.kr/dsaf001/main.do?rcpNo=20260311003735", "공시열람")</f>
        <v/>
      </c>
    </row>
    <row r="2601">
      <c r="A2601" s="2" t="inlineStr">
        <is>
          <t>2026-03-11</t>
        </is>
      </c>
      <c r="B2601" s="3" t="inlineStr">
        <is>
          <t>디엔에프</t>
        </is>
      </c>
      <c r="C2601" s="2" t="inlineStr">
        <is>
          <t>코스닥</t>
        </is>
      </c>
      <c r="D2601" s="2" t="inlineStr">
        <is>
          <t>092070</t>
        </is>
      </c>
      <c r="E2601" s="3" t="inlineStr">
        <is>
          <t xml:space="preserve">주주총회소집결의              </t>
        </is>
      </c>
      <c r="F2601" s="3" t="inlineStr">
        <is>
          <t>디엔에프</t>
        </is>
      </c>
      <c r="G2601" s="2" t="inlineStr">
        <is>
          <t>20260311900860</t>
        </is>
      </c>
      <c r="H2601" s="8">
        <f>HYPERLINK("https://dart.fss.or.kr/dsaf001/main.do?rcpNo=20260311900860", "공시열람")</f>
        <v/>
      </c>
    </row>
    <row r="2602">
      <c r="A2602" s="2" t="inlineStr">
        <is>
          <t>2026-03-11</t>
        </is>
      </c>
      <c r="B2602" s="3" t="inlineStr">
        <is>
          <t>아티스트스튜디오</t>
        </is>
      </c>
      <c r="C2602" s="2" t="inlineStr">
        <is>
          <t>코스닥</t>
        </is>
      </c>
      <c r="D2602" s="2" t="inlineStr">
        <is>
          <t>200350</t>
        </is>
      </c>
      <c r="E2602" s="3" t="inlineStr">
        <is>
          <t>주주총회소집공고</t>
        </is>
      </c>
      <c r="F2602" s="3" t="inlineStr">
        <is>
          <t>아티스트스튜디오</t>
        </is>
      </c>
      <c r="G2602" s="2" t="inlineStr">
        <is>
          <t>20260311003733</t>
        </is>
      </c>
      <c r="H2602" s="8">
        <f>HYPERLINK("https://dart.fss.or.kr/dsaf001/main.do?rcpNo=20260311003733", "공시열람")</f>
        <v/>
      </c>
    </row>
    <row r="2603">
      <c r="A2603" s="2" t="inlineStr">
        <is>
          <t>2026-03-11</t>
        </is>
      </c>
      <c r="B2603" s="3" t="inlineStr">
        <is>
          <t>제주항공</t>
        </is>
      </c>
      <c r="C2603" s="2" t="inlineStr">
        <is>
          <t>코스피</t>
        </is>
      </c>
      <c r="D2603" s="2" t="inlineStr">
        <is>
          <t>089590</t>
        </is>
      </c>
      <c r="E2603" s="3" t="inlineStr">
        <is>
          <t>주주총회소집공고</t>
        </is>
      </c>
      <c r="F2603" s="3" t="inlineStr">
        <is>
          <t>제주항공</t>
        </is>
      </c>
      <c r="G2603" s="2" t="inlineStr">
        <is>
          <t>20260311003732</t>
        </is>
      </c>
      <c r="H2603" s="8">
        <f>HYPERLINK("https://dart.fss.or.kr/dsaf001/main.do?rcpNo=20260311003732", "공시열람")</f>
        <v/>
      </c>
    </row>
    <row r="2604">
      <c r="A2604" s="2" t="inlineStr">
        <is>
          <t>2026-03-11</t>
        </is>
      </c>
      <c r="B2604" s="3" t="inlineStr">
        <is>
          <t>신도리코</t>
        </is>
      </c>
      <c r="C2604" s="2" t="inlineStr">
        <is>
          <t>코스피</t>
        </is>
      </c>
      <c r="D2604" s="2" t="inlineStr">
        <is>
          <t>029530</t>
        </is>
      </c>
      <c r="E2604" s="3" t="inlineStr">
        <is>
          <t>주주총회소집공고</t>
        </is>
      </c>
      <c r="F2604" s="3" t="inlineStr">
        <is>
          <t>신도리코</t>
        </is>
      </c>
      <c r="G2604" s="2" t="inlineStr">
        <is>
          <t>20260311003731</t>
        </is>
      </c>
      <c r="H2604" s="8">
        <f>HYPERLINK("https://dart.fss.or.kr/dsaf001/main.do?rcpNo=20260311003731", "공시열람")</f>
        <v/>
      </c>
    </row>
    <row r="2605">
      <c r="A2605" s="2" t="inlineStr">
        <is>
          <t>2026-03-11</t>
        </is>
      </c>
      <c r="B2605" s="3" t="inlineStr">
        <is>
          <t>금호전기</t>
        </is>
      </c>
      <c r="C2605" s="2" t="inlineStr">
        <is>
          <t>코스피</t>
        </is>
      </c>
      <c r="D2605" s="2" t="inlineStr">
        <is>
          <t>001210</t>
        </is>
      </c>
      <c r="E2605" s="3" t="inlineStr">
        <is>
          <t>주주총회소집공고</t>
        </is>
      </c>
      <c r="F2605" s="3" t="inlineStr">
        <is>
          <t>금호전기</t>
        </is>
      </c>
      <c r="G2605" s="2" t="inlineStr">
        <is>
          <t>20260311003729</t>
        </is>
      </c>
      <c r="H2605" s="8">
        <f>HYPERLINK("https://dart.fss.or.kr/dsaf001/main.do?rcpNo=20260311003729", "공시열람")</f>
        <v/>
      </c>
    </row>
    <row r="2606">
      <c r="A2606" s="2" t="inlineStr">
        <is>
          <t>2026-03-11</t>
        </is>
      </c>
      <c r="B2606" s="3" t="inlineStr">
        <is>
          <t>파두</t>
        </is>
      </c>
      <c r="C2606" s="2" t="inlineStr">
        <is>
          <t>코스닥</t>
        </is>
      </c>
      <c r="D2606" s="2" t="inlineStr">
        <is>
          <t>440110</t>
        </is>
      </c>
      <c r="E2606" s="3" t="inlineStr">
        <is>
          <t xml:space="preserve">주주총회소집결의              </t>
        </is>
      </c>
      <c r="F2606" s="3" t="inlineStr">
        <is>
          <t>파두</t>
        </is>
      </c>
      <c r="G2606" s="2" t="inlineStr">
        <is>
          <t>20260311900805</t>
        </is>
      </c>
      <c r="H2606" s="8">
        <f>HYPERLINK("https://dart.fss.or.kr/dsaf001/main.do?rcpNo=20260311900805", "공시열람")</f>
        <v/>
      </c>
    </row>
    <row r="2607">
      <c r="A2607" s="2" t="inlineStr">
        <is>
          <t>2026-03-11</t>
        </is>
      </c>
      <c r="B2607" s="3" t="inlineStr">
        <is>
          <t>케이옥션</t>
        </is>
      </c>
      <c r="C2607" s="2" t="inlineStr">
        <is>
          <t>코스닥</t>
        </is>
      </c>
      <c r="D2607" s="2" t="inlineStr">
        <is>
          <t>102370</t>
        </is>
      </c>
      <c r="E2607" s="3" t="inlineStr">
        <is>
          <t xml:space="preserve">주주총회소집결의              </t>
        </is>
      </c>
      <c r="F2607" s="3" t="inlineStr">
        <is>
          <t>케이옥션</t>
        </is>
      </c>
      <c r="G2607" s="2" t="inlineStr">
        <is>
          <t>20260311900904</t>
        </is>
      </c>
      <c r="H2607" s="8">
        <f>HYPERLINK("https://dart.fss.or.kr/dsaf001/main.do?rcpNo=20260311900904", "공시열람")</f>
        <v/>
      </c>
    </row>
    <row r="2608">
      <c r="A2608" s="2" t="inlineStr">
        <is>
          <t>2026-03-11</t>
        </is>
      </c>
      <c r="B2608" s="3" t="inlineStr">
        <is>
          <t>이스타코</t>
        </is>
      </c>
      <c r="C2608" s="2" t="inlineStr">
        <is>
          <t>코스피</t>
        </is>
      </c>
      <c r="D2608" s="2" t="inlineStr">
        <is>
          <t>015020</t>
        </is>
      </c>
      <c r="E2608" s="3" t="inlineStr">
        <is>
          <t>[기재정정]주주총회소집공고</t>
        </is>
      </c>
      <c r="F2608" s="3" t="inlineStr">
        <is>
          <t>이스타코</t>
        </is>
      </c>
      <c r="G2608" s="2" t="inlineStr">
        <is>
          <t>20260311003726</t>
        </is>
      </c>
      <c r="H2608" s="8">
        <f>HYPERLINK("https://dart.fss.or.kr/dsaf001/main.do?rcpNo=20260311003726", "공시열람")</f>
        <v/>
      </c>
    </row>
    <row r="2609">
      <c r="A2609" s="2" t="inlineStr">
        <is>
          <t>2026-03-11</t>
        </is>
      </c>
      <c r="B2609" s="3" t="inlineStr">
        <is>
          <t>이랜시스</t>
        </is>
      </c>
      <c r="C2609" s="2" t="inlineStr">
        <is>
          <t>코스닥</t>
        </is>
      </c>
      <c r="D2609" s="2" t="inlineStr">
        <is>
          <t>264850</t>
        </is>
      </c>
      <c r="E2609" s="3" t="inlineStr">
        <is>
          <t>주주총회소집공고</t>
        </is>
      </c>
      <c r="F2609" s="3" t="inlineStr">
        <is>
          <t>이랜시스</t>
        </is>
      </c>
      <c r="G2609" s="2" t="inlineStr">
        <is>
          <t>20260311003717</t>
        </is>
      </c>
      <c r="H2609" s="8">
        <f>HYPERLINK("https://dart.fss.or.kr/dsaf001/main.do?rcpNo=20260311003717", "공시열람")</f>
        <v/>
      </c>
    </row>
    <row r="2610">
      <c r="A2610" s="2" t="inlineStr">
        <is>
          <t>2026-03-11</t>
        </is>
      </c>
      <c r="B2610" s="3" t="inlineStr">
        <is>
          <t>아주스틸</t>
        </is>
      </c>
      <c r="C2610" s="2" t="inlineStr">
        <is>
          <t>코스피</t>
        </is>
      </c>
      <c r="D2610" s="2" t="inlineStr">
        <is>
          <t>139990</t>
        </is>
      </c>
      <c r="E2610" s="3" t="inlineStr">
        <is>
          <t xml:space="preserve">주주총회소집결의              </t>
        </is>
      </c>
      <c r="F2610" s="3" t="inlineStr">
        <is>
          <t>아주스틸</t>
        </is>
      </c>
      <c r="G2610" s="2" t="inlineStr">
        <is>
          <t>20260311800894</t>
        </is>
      </c>
      <c r="H2610" s="8">
        <f>HYPERLINK("https://dart.fss.or.kr/dsaf001/main.do?rcpNo=20260311800894", "공시열람")</f>
        <v/>
      </c>
    </row>
    <row r="2611">
      <c r="A2611" s="2" t="inlineStr">
        <is>
          <t>2026-03-11</t>
        </is>
      </c>
      <c r="B2611" s="3" t="inlineStr">
        <is>
          <t>아나패스</t>
        </is>
      </c>
      <c r="C2611" s="2" t="inlineStr">
        <is>
          <t>코스닥</t>
        </is>
      </c>
      <c r="D2611" s="2" t="inlineStr">
        <is>
          <t>123860</t>
        </is>
      </c>
      <c r="E2611" s="3" t="inlineStr">
        <is>
          <t>주주총회소집공고</t>
        </is>
      </c>
      <c r="F2611" s="3" t="inlineStr">
        <is>
          <t>아나패스</t>
        </is>
      </c>
      <c r="G2611" s="2" t="inlineStr">
        <is>
          <t>20260311003713</t>
        </is>
      </c>
      <c r="H2611" s="8">
        <f>HYPERLINK("https://dart.fss.or.kr/dsaf001/main.do?rcpNo=20260311003713", "공시열람")</f>
        <v/>
      </c>
    </row>
    <row r="2612">
      <c r="A2612" s="2" t="inlineStr">
        <is>
          <t>2026-03-11</t>
        </is>
      </c>
      <c r="B2612" s="3" t="inlineStr">
        <is>
          <t>에스제이그룹</t>
        </is>
      </c>
      <c r="C2612" s="2" t="inlineStr">
        <is>
          <t>코스닥</t>
        </is>
      </c>
      <c r="D2612" s="2" t="inlineStr">
        <is>
          <t>306040</t>
        </is>
      </c>
      <c r="E2612" s="3" t="inlineStr">
        <is>
          <t xml:space="preserve">주주총회소집결의              </t>
        </is>
      </c>
      <c r="F2612" s="3" t="inlineStr">
        <is>
          <t>에스제이그룹</t>
        </is>
      </c>
      <c r="G2612" s="2" t="inlineStr">
        <is>
          <t>20260311900852</t>
        </is>
      </c>
      <c r="H2612" s="8">
        <f>HYPERLINK("https://dart.fss.or.kr/dsaf001/main.do?rcpNo=20260311900852", "공시열람")</f>
        <v/>
      </c>
    </row>
    <row r="2613">
      <c r="A2613" s="2" t="inlineStr">
        <is>
          <t>2026-03-11 (정정: 2026-03-11)</t>
        </is>
      </c>
      <c r="B2613" s="3" t="inlineStr">
        <is>
          <t>오가노이드사이언스</t>
        </is>
      </c>
      <c r="C2613" s="2" t="inlineStr">
        <is>
          <t>코스닥</t>
        </is>
      </c>
      <c r="D2613" s="2" t="inlineStr">
        <is>
          <t>476040</t>
        </is>
      </c>
      <c r="E2613" s="3" t="inlineStr">
        <is>
          <t>주주총회소집결의               (정정: 20260311)</t>
        </is>
      </c>
      <c r="F2613" s="3" t="inlineStr">
        <is>
          <t>오가노이드사이언스</t>
        </is>
      </c>
      <c r="G2613" s="2" t="inlineStr">
        <is>
          <t>20260311900791</t>
        </is>
      </c>
      <c r="H2613" s="8">
        <f>HYPERLINK("https://dart.fss.or.kr/dsaf001/main.do?rcpNo=20260311900791", "공시열람")</f>
        <v/>
      </c>
    </row>
    <row r="2614">
      <c r="A2614" s="2" t="inlineStr">
        <is>
          <t>2026-03-11 (정정: 2026-03-12)</t>
        </is>
      </c>
      <c r="B2614" s="3" t="inlineStr">
        <is>
          <t>삼기에너지솔루션즈</t>
        </is>
      </c>
      <c r="C2614" s="2" t="inlineStr">
        <is>
          <t>코스닥</t>
        </is>
      </c>
      <c r="D2614" s="2" t="inlineStr">
        <is>
          <t>419050</t>
        </is>
      </c>
      <c r="E2614" s="3" t="inlineStr">
        <is>
          <t>주주총회소집공고 (정정: 20260312)</t>
        </is>
      </c>
      <c r="F2614" s="3" t="inlineStr">
        <is>
          <t>삼기에너지솔루션즈</t>
        </is>
      </c>
      <c r="G2614" s="2" t="inlineStr">
        <is>
          <t>20260312000173</t>
        </is>
      </c>
      <c r="H2614" s="8">
        <f>HYPERLINK("https://dart.fss.or.kr/dsaf001/main.do?rcpNo=20260312000173", "공시열람")</f>
        <v/>
      </c>
    </row>
    <row r="2615">
      <c r="A2615" s="2" t="inlineStr">
        <is>
          <t>2026-03-11</t>
        </is>
      </c>
      <c r="B2615" s="3" t="inlineStr">
        <is>
          <t>선도전기</t>
        </is>
      </c>
      <c r="C2615" s="2" t="inlineStr">
        <is>
          <t>코스피</t>
        </is>
      </c>
      <c r="D2615" s="2" t="inlineStr">
        <is>
          <t>007610</t>
        </is>
      </c>
      <c r="E2615" s="3" t="inlineStr">
        <is>
          <t xml:space="preserve">주주총회집중일개최사유신고              </t>
        </is>
      </c>
      <c r="F2615" s="3" t="inlineStr">
        <is>
          <t>선도전기</t>
        </is>
      </c>
      <c r="G2615" s="2" t="inlineStr">
        <is>
          <t>20260311800896</t>
        </is>
      </c>
      <c r="H2615" s="8">
        <f>HYPERLINK("https://dart.fss.or.kr/dsaf001/main.do?rcpNo=20260311800896", "공시열람")</f>
        <v/>
      </c>
    </row>
    <row r="2616">
      <c r="A2616" s="2" t="inlineStr">
        <is>
          <t>2026-03-11 (정정: 2026-03-11)</t>
        </is>
      </c>
      <c r="B2616" s="3" t="inlineStr">
        <is>
          <t>KG에코솔루션</t>
        </is>
      </c>
      <c r="C2616" s="2" t="inlineStr">
        <is>
          <t>코스닥</t>
        </is>
      </c>
      <c r="D2616" s="2" t="inlineStr">
        <is>
          <t>151860</t>
        </is>
      </c>
      <c r="E2616" s="3" t="inlineStr">
        <is>
          <t>주주총회소집공고 (정정: 20260311)</t>
        </is>
      </c>
      <c r="F2616" s="3" t="inlineStr">
        <is>
          <t>KG에코솔루션</t>
        </is>
      </c>
      <c r="G2616" s="2" t="inlineStr">
        <is>
          <t>20260311900645</t>
        </is>
      </c>
      <c r="H2616" s="8">
        <f>HYPERLINK("https://dart.fss.or.kr/dsaf001/main.do?rcpNo=20260311900645", "공시열람")</f>
        <v/>
      </c>
    </row>
    <row r="2617">
      <c r="A2617" s="2" t="inlineStr">
        <is>
          <t>2026-03-11</t>
        </is>
      </c>
      <c r="B2617" s="3" t="inlineStr">
        <is>
          <t>큐알티</t>
        </is>
      </c>
      <c r="C2617" s="2" t="inlineStr">
        <is>
          <t>코스닥</t>
        </is>
      </c>
      <c r="D2617" s="2" t="inlineStr">
        <is>
          <t>405100</t>
        </is>
      </c>
      <c r="E2617" s="3" t="inlineStr">
        <is>
          <t>주주총회소집공고</t>
        </is>
      </c>
      <c r="F2617" s="3" t="inlineStr">
        <is>
          <t>큐알티</t>
        </is>
      </c>
      <c r="G2617" s="2" t="inlineStr">
        <is>
          <t>20260311003706</t>
        </is>
      </c>
      <c r="H2617" s="8">
        <f>HYPERLINK("https://dart.fss.or.kr/dsaf001/main.do?rcpNo=20260311003706", "공시열람")</f>
        <v/>
      </c>
    </row>
    <row r="2618">
      <c r="A2618" s="2" t="inlineStr">
        <is>
          <t>2026-03-11</t>
        </is>
      </c>
      <c r="B2618" s="3" t="inlineStr">
        <is>
          <t>한국콜마</t>
        </is>
      </c>
      <c r="C2618" s="2" t="inlineStr">
        <is>
          <t>코스피</t>
        </is>
      </c>
      <c r="D2618" s="2" t="inlineStr">
        <is>
          <t>161890</t>
        </is>
      </c>
      <c r="E2618" s="3" t="inlineStr">
        <is>
          <t xml:space="preserve">주주총회소집결의              </t>
        </is>
      </c>
      <c r="F2618" s="3" t="inlineStr">
        <is>
          <t>한국콜마</t>
        </is>
      </c>
      <c r="G2618" s="2" t="inlineStr">
        <is>
          <t>20260311800856</t>
        </is>
      </c>
      <c r="H2618" s="8">
        <f>HYPERLINK("https://dart.fss.or.kr/dsaf001/main.do?rcpNo=20260311800856", "공시열람")</f>
        <v/>
      </c>
    </row>
    <row r="2619">
      <c r="A2619" s="2" t="inlineStr">
        <is>
          <t>2026-03-11</t>
        </is>
      </c>
      <c r="B2619" s="3" t="inlineStr">
        <is>
          <t>싸이맥스</t>
        </is>
      </c>
      <c r="C2619" s="2" t="inlineStr">
        <is>
          <t>코스닥</t>
        </is>
      </c>
      <c r="D2619" s="2" t="inlineStr">
        <is>
          <t>160980</t>
        </is>
      </c>
      <c r="E2619" s="3" t="inlineStr">
        <is>
          <t xml:space="preserve">주주총회소집결의              </t>
        </is>
      </c>
      <c r="F2619" s="3" t="inlineStr">
        <is>
          <t>싸이맥스</t>
        </is>
      </c>
      <c r="G2619" s="2" t="inlineStr">
        <is>
          <t>20260311900810</t>
        </is>
      </c>
      <c r="H2619" s="8">
        <f>HYPERLINK("https://dart.fss.or.kr/dsaf001/main.do?rcpNo=20260311900810", "공시열람")</f>
        <v/>
      </c>
    </row>
    <row r="2620">
      <c r="A2620" s="2" t="inlineStr">
        <is>
          <t>2026-03-11</t>
        </is>
      </c>
      <c r="B2620" s="3" t="inlineStr">
        <is>
          <t>이스타코</t>
        </is>
      </c>
      <c r="C2620" s="2" t="inlineStr">
        <is>
          <t>코스피</t>
        </is>
      </c>
      <c r="D2620" s="2" t="inlineStr">
        <is>
          <t>015020</t>
        </is>
      </c>
      <c r="E2620" s="3" t="inlineStr">
        <is>
          <t xml:space="preserve">주주총회집중일개최사유신고              </t>
        </is>
      </c>
      <c r="F2620" s="3" t="inlineStr">
        <is>
          <t>이스타코</t>
        </is>
      </c>
      <c r="G2620" s="2" t="inlineStr">
        <is>
          <t>20260311800866</t>
        </is>
      </c>
      <c r="H2620" s="8">
        <f>HYPERLINK("https://dart.fss.or.kr/dsaf001/main.do?rcpNo=20260311800866", "공시열람")</f>
        <v/>
      </c>
    </row>
    <row r="2621">
      <c r="A2621" s="2" t="inlineStr">
        <is>
          <t>2026-03-11</t>
        </is>
      </c>
      <c r="B2621" s="3" t="inlineStr">
        <is>
          <t>선도전기</t>
        </is>
      </c>
      <c r="C2621" s="2" t="inlineStr">
        <is>
          <t>코스피</t>
        </is>
      </c>
      <c r="D2621" s="2" t="inlineStr">
        <is>
          <t>007610</t>
        </is>
      </c>
      <c r="E2621" s="3" t="inlineStr">
        <is>
          <t>주주총회소집공고</t>
        </is>
      </c>
      <c r="F2621" s="3" t="inlineStr">
        <is>
          <t>선도전기</t>
        </is>
      </c>
      <c r="G2621" s="2" t="inlineStr">
        <is>
          <t>20260311003698</t>
        </is>
      </c>
      <c r="H2621" s="8">
        <f>HYPERLINK("https://dart.fss.or.kr/dsaf001/main.do?rcpNo=20260311003698", "공시열람")</f>
        <v/>
      </c>
    </row>
    <row r="2622">
      <c r="A2622" s="2" t="inlineStr">
        <is>
          <t>2026-03-11</t>
        </is>
      </c>
      <c r="B2622" s="3" t="inlineStr">
        <is>
          <t>이마트</t>
        </is>
      </c>
      <c r="C2622" s="2" t="inlineStr">
        <is>
          <t>코스피</t>
        </is>
      </c>
      <c r="D2622" s="2" t="inlineStr">
        <is>
          <t>139480</t>
        </is>
      </c>
      <c r="E2622" s="3" t="inlineStr">
        <is>
          <t>[첨부정정]주요사항보고서(주식교환ㆍ이전결정)</t>
        </is>
      </c>
      <c r="F2622" s="3" t="inlineStr">
        <is>
          <t>이마트</t>
        </is>
      </c>
      <c r="G2622" s="2" t="inlineStr">
        <is>
          <t>20260311003664</t>
        </is>
      </c>
      <c r="H2622" s="8">
        <f>HYPERLINK("https://dart.fss.or.kr/dsaf001/main.do?rcpNo=20260311003664", "공시열람")</f>
        <v/>
      </c>
    </row>
    <row r="2623">
      <c r="A2623" s="2" t="inlineStr">
        <is>
          <t>2026-03-11</t>
        </is>
      </c>
      <c r="B2623" s="3" t="inlineStr">
        <is>
          <t>제테마</t>
        </is>
      </c>
      <c r="C2623" s="2" t="inlineStr">
        <is>
          <t>코스닥</t>
        </is>
      </c>
      <c r="D2623" s="2" t="inlineStr">
        <is>
          <t>216080</t>
        </is>
      </c>
      <c r="E2623" s="3" t="inlineStr">
        <is>
          <t>주주총회소집공고</t>
        </is>
      </c>
      <c r="F2623" s="3" t="inlineStr">
        <is>
          <t>제테마</t>
        </is>
      </c>
      <c r="G2623" s="2" t="inlineStr">
        <is>
          <t>20260311003696</t>
        </is>
      </c>
      <c r="H2623" s="8">
        <f>HYPERLINK("https://dart.fss.or.kr/dsaf001/main.do?rcpNo=20260311003696", "공시열람")</f>
        <v/>
      </c>
    </row>
    <row r="2624">
      <c r="A2624" s="2" t="inlineStr">
        <is>
          <t>2026-03-11</t>
        </is>
      </c>
      <c r="B2624" s="3" t="inlineStr">
        <is>
          <t>팬젠</t>
        </is>
      </c>
      <c r="C2624" s="2" t="inlineStr">
        <is>
          <t>코스닥</t>
        </is>
      </c>
      <c r="D2624" s="2" t="inlineStr">
        <is>
          <t>222110</t>
        </is>
      </c>
      <c r="E2624" s="3" t="inlineStr">
        <is>
          <t xml:space="preserve">주주총회소집결의              </t>
        </is>
      </c>
      <c r="F2624" s="3" t="inlineStr">
        <is>
          <t>팬젠</t>
        </is>
      </c>
      <c r="G2624" s="2" t="inlineStr">
        <is>
          <t>20260311900787</t>
        </is>
      </c>
      <c r="H2624" s="8">
        <f>HYPERLINK("https://dart.fss.or.kr/dsaf001/main.do?rcpNo=20260311900787", "공시열람")</f>
        <v/>
      </c>
    </row>
    <row r="2625">
      <c r="A2625" s="2" t="inlineStr">
        <is>
          <t>2026-03-11</t>
        </is>
      </c>
      <c r="B2625" s="3" t="inlineStr">
        <is>
          <t>옵티시스</t>
        </is>
      </c>
      <c r="C2625" s="2" t="inlineStr">
        <is>
          <t>코스닥</t>
        </is>
      </c>
      <c r="D2625" s="2" t="inlineStr">
        <is>
          <t>109080</t>
        </is>
      </c>
      <c r="E2625" s="3" t="inlineStr">
        <is>
          <t>주주총회소집공고</t>
        </is>
      </c>
      <c r="F2625" s="3" t="inlineStr">
        <is>
          <t>옵티시스</t>
        </is>
      </c>
      <c r="G2625" s="2" t="inlineStr">
        <is>
          <t>20260311003695</t>
        </is>
      </c>
      <c r="H2625" s="8">
        <f>HYPERLINK("https://dart.fss.or.kr/dsaf001/main.do?rcpNo=20260311003695", "공시열람")</f>
        <v/>
      </c>
    </row>
    <row r="2626">
      <c r="A2626" s="2" t="inlineStr">
        <is>
          <t>2026-03-11</t>
        </is>
      </c>
      <c r="B2626" s="3" t="inlineStr">
        <is>
          <t>제이엠멀티</t>
        </is>
      </c>
      <c r="C2626" s="2" t="inlineStr">
        <is>
          <t>코넥스</t>
        </is>
      </c>
      <c r="D2626" s="2" t="inlineStr">
        <is>
          <t>254160</t>
        </is>
      </c>
      <c r="E2626" s="3" t="inlineStr">
        <is>
          <t>주주총회소집공고</t>
        </is>
      </c>
      <c r="F2626" s="3" t="inlineStr">
        <is>
          <t>제이엠멀티</t>
        </is>
      </c>
      <c r="G2626" s="2" t="inlineStr">
        <is>
          <t>20260311003692</t>
        </is>
      </c>
      <c r="H2626" s="8">
        <f>HYPERLINK("https://dart.fss.or.kr/dsaf001/main.do?rcpNo=20260311003692", "공시열람")</f>
        <v/>
      </c>
    </row>
    <row r="2627">
      <c r="A2627" s="2" t="inlineStr">
        <is>
          <t>2026-03-11</t>
        </is>
      </c>
      <c r="B2627" s="3" t="inlineStr">
        <is>
          <t>마음AI</t>
        </is>
      </c>
      <c r="C2627" s="2" t="inlineStr">
        <is>
          <t>코스닥</t>
        </is>
      </c>
      <c r="D2627" s="2" t="inlineStr">
        <is>
          <t>377480</t>
        </is>
      </c>
      <c r="E2627" s="3" t="inlineStr">
        <is>
          <t>주주총회소집공고</t>
        </is>
      </c>
      <c r="F2627" s="3" t="inlineStr">
        <is>
          <t>마음AI</t>
        </is>
      </c>
      <c r="G2627" s="2" t="inlineStr">
        <is>
          <t>20260311003691</t>
        </is>
      </c>
      <c r="H2627" s="8">
        <f>HYPERLINK("https://dart.fss.or.kr/dsaf001/main.do?rcpNo=20260311003691", "공시열람")</f>
        <v/>
      </c>
    </row>
    <row r="2628">
      <c r="A2628" s="2" t="inlineStr">
        <is>
          <t>2026-03-11</t>
        </is>
      </c>
      <c r="B2628" s="3" t="inlineStr">
        <is>
          <t>신일전자</t>
        </is>
      </c>
      <c r="C2628" s="2" t="inlineStr">
        <is>
          <t>코스피</t>
        </is>
      </c>
      <c r="D2628" s="2" t="inlineStr">
        <is>
          <t>002700</t>
        </is>
      </c>
      <c r="E2628" s="3" t="inlineStr">
        <is>
          <t>주주총회소집공고</t>
        </is>
      </c>
      <c r="F2628" s="3" t="inlineStr">
        <is>
          <t>신일전자</t>
        </is>
      </c>
      <c r="G2628" s="2" t="inlineStr">
        <is>
          <t>20260311003690</t>
        </is>
      </c>
      <c r="H2628" s="8">
        <f>HYPERLINK("https://dart.fss.or.kr/dsaf001/main.do?rcpNo=20260311003690", "공시열람")</f>
        <v/>
      </c>
    </row>
    <row r="2629">
      <c r="A2629" s="2" t="inlineStr">
        <is>
          <t>2026-03-11</t>
        </is>
      </c>
      <c r="B2629" s="3" t="inlineStr">
        <is>
          <t>빙그레</t>
        </is>
      </c>
      <c r="C2629" s="2" t="inlineStr">
        <is>
          <t>코스피</t>
        </is>
      </c>
      <c r="D2629" s="2" t="inlineStr">
        <is>
          <t>005180</t>
        </is>
      </c>
      <c r="E2629" s="3" t="inlineStr">
        <is>
          <t>주주총회소집공고</t>
        </is>
      </c>
      <c r="F2629" s="3" t="inlineStr">
        <is>
          <t>빙그레</t>
        </is>
      </c>
      <c r="G2629" s="2" t="inlineStr">
        <is>
          <t>20260311003689</t>
        </is>
      </c>
      <c r="H2629" s="8">
        <f>HYPERLINK("https://dart.fss.or.kr/dsaf001/main.do?rcpNo=20260311003689", "공시열람")</f>
        <v/>
      </c>
    </row>
    <row r="2630">
      <c r="A2630" s="2" t="inlineStr">
        <is>
          <t>2026-03-11</t>
        </is>
      </c>
      <c r="B2630" s="3" t="inlineStr">
        <is>
          <t>대명에너지</t>
        </is>
      </c>
      <c r="C2630" s="2" t="inlineStr">
        <is>
          <t>코스닥</t>
        </is>
      </c>
      <c r="D2630" s="2" t="inlineStr">
        <is>
          <t>389260</t>
        </is>
      </c>
      <c r="E2630" s="3" t="inlineStr">
        <is>
          <t>주주총회소집공고</t>
        </is>
      </c>
      <c r="F2630" s="3" t="inlineStr">
        <is>
          <t>대명에너지</t>
        </is>
      </c>
      <c r="G2630" s="2" t="inlineStr">
        <is>
          <t>20260311003685</t>
        </is>
      </c>
      <c r="H2630" s="8">
        <f>HYPERLINK("https://dart.fss.or.kr/dsaf001/main.do?rcpNo=20260311003685", "공시열람")</f>
        <v/>
      </c>
    </row>
    <row r="2631">
      <c r="A2631" s="2" t="inlineStr">
        <is>
          <t>2026-03-11</t>
        </is>
      </c>
      <c r="B2631" s="3" t="inlineStr">
        <is>
          <t>하이즈항공</t>
        </is>
      </c>
      <c r="C2631" s="2" t="inlineStr">
        <is>
          <t>코스닥</t>
        </is>
      </c>
      <c r="D2631" s="2" t="inlineStr">
        <is>
          <t>221840</t>
        </is>
      </c>
      <c r="E2631" s="3" t="inlineStr">
        <is>
          <t>주주총회소집공고</t>
        </is>
      </c>
      <c r="F2631" s="3" t="inlineStr">
        <is>
          <t>하이즈항공</t>
        </is>
      </c>
      <c r="G2631" s="2" t="inlineStr">
        <is>
          <t>20260311003679</t>
        </is>
      </c>
      <c r="H2631" s="8">
        <f>HYPERLINK("https://dart.fss.or.kr/dsaf001/main.do?rcpNo=20260311003679", "공시열람")</f>
        <v/>
      </c>
    </row>
    <row r="2632">
      <c r="A2632" s="2" t="inlineStr">
        <is>
          <t>2026-03-11</t>
        </is>
      </c>
      <c r="B2632" s="3" t="inlineStr">
        <is>
          <t>대림제지</t>
        </is>
      </c>
      <c r="C2632" s="2" t="inlineStr">
        <is>
          <t>코스닥</t>
        </is>
      </c>
      <c r="D2632" s="2" t="inlineStr">
        <is>
          <t>017650</t>
        </is>
      </c>
      <c r="E2632" s="3" t="inlineStr">
        <is>
          <t>주주총회소집공고</t>
        </is>
      </c>
      <c r="F2632" s="3" t="inlineStr">
        <is>
          <t>대림제지</t>
        </is>
      </c>
      <c r="G2632" s="2" t="inlineStr">
        <is>
          <t>20260311003678</t>
        </is>
      </c>
      <c r="H2632" s="8">
        <f>HYPERLINK("https://dart.fss.or.kr/dsaf001/main.do?rcpNo=20260311003678", "공시열람")</f>
        <v/>
      </c>
    </row>
    <row r="2633">
      <c r="A2633" s="2" t="inlineStr">
        <is>
          <t>2026-03-11 (정정: 2026-03-12)</t>
        </is>
      </c>
      <c r="B2633" s="3" t="inlineStr">
        <is>
          <t>대모</t>
        </is>
      </c>
      <c r="C2633" s="2" t="inlineStr">
        <is>
          <t>코스닥</t>
        </is>
      </c>
      <c r="D2633" s="2" t="inlineStr">
        <is>
          <t>317850</t>
        </is>
      </c>
      <c r="E2633" s="3" t="inlineStr">
        <is>
          <t>주주총회소집공고 (정정: 20260312)</t>
        </is>
      </c>
      <c r="F2633" s="3" t="inlineStr">
        <is>
          <t>대모</t>
        </is>
      </c>
      <c r="G2633" s="2" t="inlineStr">
        <is>
          <t>20260312001123</t>
        </is>
      </c>
      <c r="H2633" s="8">
        <f>HYPERLINK("https://dart.fss.or.kr/dsaf001/main.do?rcpNo=20260312001123", "공시열람")</f>
        <v/>
      </c>
    </row>
    <row r="2634">
      <c r="A2634" s="2" t="inlineStr">
        <is>
          <t>2026-03-11</t>
        </is>
      </c>
      <c r="B2634" s="3" t="inlineStr">
        <is>
          <t>신스틸</t>
        </is>
      </c>
      <c r="C2634" s="2" t="inlineStr">
        <is>
          <t>코스닥</t>
        </is>
      </c>
      <c r="D2634" s="2" t="inlineStr">
        <is>
          <t>162300</t>
        </is>
      </c>
      <c r="E2634" s="3" t="inlineStr">
        <is>
          <t>주주총회소집공고</t>
        </is>
      </c>
      <c r="F2634" s="3" t="inlineStr">
        <is>
          <t>신스틸</t>
        </is>
      </c>
      <c r="G2634" s="2" t="inlineStr">
        <is>
          <t>20260311003675</t>
        </is>
      </c>
      <c r="H2634" s="8">
        <f>HYPERLINK("https://dart.fss.or.kr/dsaf001/main.do?rcpNo=20260311003675", "공시열람")</f>
        <v/>
      </c>
    </row>
    <row r="2635">
      <c r="A2635" s="2" t="inlineStr">
        <is>
          <t>2026-03-11</t>
        </is>
      </c>
      <c r="B2635" s="3" t="inlineStr">
        <is>
          <t>신세계푸드</t>
        </is>
      </c>
      <c r="C2635" s="2" t="inlineStr">
        <is>
          <t>코스피</t>
        </is>
      </c>
      <c r="D2635" s="2" t="inlineStr">
        <is>
          <t>031440</t>
        </is>
      </c>
      <c r="E2635" s="3" t="inlineStr">
        <is>
          <t>[정정명령부과][첨부정정]주요사항보고서(주식교환ㆍ이전결정)</t>
        </is>
      </c>
      <c r="F2635" s="3" t="inlineStr">
        <is>
          <t>신세계푸드</t>
        </is>
      </c>
      <c r="G2635" s="2" t="inlineStr">
        <is>
          <t>20260311003665</t>
        </is>
      </c>
      <c r="H2635" s="8">
        <f>HYPERLINK("https://dart.fss.or.kr/dsaf001/main.do?rcpNo=20260311003665", "공시열람")</f>
        <v/>
      </c>
    </row>
    <row r="2636">
      <c r="A2636" s="2" t="inlineStr">
        <is>
          <t>2026-03-11</t>
        </is>
      </c>
      <c r="B2636" s="3" t="inlineStr">
        <is>
          <t>빙그레</t>
        </is>
      </c>
      <c r="C2636" s="2" t="inlineStr">
        <is>
          <t>코스피</t>
        </is>
      </c>
      <c r="D2636" s="2" t="inlineStr">
        <is>
          <t>005180</t>
        </is>
      </c>
      <c r="E2636" s="3" t="inlineStr">
        <is>
          <t xml:space="preserve">주주총회소집결의              </t>
        </is>
      </c>
      <c r="F2636" s="3" t="inlineStr">
        <is>
          <t>빙그레</t>
        </is>
      </c>
      <c r="G2636" s="2" t="inlineStr">
        <is>
          <t>20260311800811</t>
        </is>
      </c>
      <c r="H2636" s="8">
        <f>HYPERLINK("https://dart.fss.or.kr/dsaf001/main.do?rcpNo=20260311800811", "공시열람")</f>
        <v/>
      </c>
    </row>
    <row r="2637">
      <c r="A2637" s="2" t="inlineStr">
        <is>
          <t>2026-03-11</t>
        </is>
      </c>
      <c r="B2637" s="3" t="inlineStr">
        <is>
          <t>한국토지신탁</t>
        </is>
      </c>
      <c r="C2637" s="2" t="inlineStr">
        <is>
          <t>코스피</t>
        </is>
      </c>
      <c r="D2637" s="2" t="inlineStr">
        <is>
          <t>034830</t>
        </is>
      </c>
      <c r="E2637" s="3" t="inlineStr">
        <is>
          <t>주주총회소집공고</t>
        </is>
      </c>
      <c r="F2637" s="3" t="inlineStr">
        <is>
          <t>한국토지신탁</t>
        </is>
      </c>
      <c r="G2637" s="2" t="inlineStr">
        <is>
          <t>20260311003673</t>
        </is>
      </c>
      <c r="H2637" s="8">
        <f>HYPERLINK("https://dart.fss.or.kr/dsaf001/main.do?rcpNo=20260311003673", "공시열람")</f>
        <v/>
      </c>
    </row>
    <row r="2638">
      <c r="A2638" s="2" t="inlineStr">
        <is>
          <t>2026-03-11</t>
        </is>
      </c>
      <c r="B2638" s="3" t="inlineStr">
        <is>
          <t>농심홀딩스</t>
        </is>
      </c>
      <c r="C2638" s="2" t="inlineStr">
        <is>
          <t>코스피</t>
        </is>
      </c>
      <c r="D2638" s="2" t="inlineStr">
        <is>
          <t>072710</t>
        </is>
      </c>
      <c r="E2638" s="3" t="inlineStr">
        <is>
          <t>주주총회소집공고</t>
        </is>
      </c>
      <c r="F2638" s="3" t="inlineStr">
        <is>
          <t>농심홀딩스</t>
        </is>
      </c>
      <c r="G2638" s="2" t="inlineStr">
        <is>
          <t>20260311003668</t>
        </is>
      </c>
      <c r="H2638" s="8">
        <f>HYPERLINK("https://dart.fss.or.kr/dsaf001/main.do?rcpNo=20260311003668", "공시열람")</f>
        <v/>
      </c>
    </row>
    <row r="2639">
      <c r="A2639" s="2" t="inlineStr">
        <is>
          <t>2026-03-11</t>
        </is>
      </c>
      <c r="B2639" s="3" t="inlineStr">
        <is>
          <t>한국종합기술</t>
        </is>
      </c>
      <c r="C2639" s="2" t="inlineStr">
        <is>
          <t>코스피</t>
        </is>
      </c>
      <c r="D2639" s="2" t="inlineStr">
        <is>
          <t>023350</t>
        </is>
      </c>
      <c r="E2639" s="3" t="inlineStr">
        <is>
          <t>주주총회소집공고</t>
        </is>
      </c>
      <c r="F2639" s="3" t="inlineStr">
        <is>
          <t>한국종합기술</t>
        </is>
      </c>
      <c r="G2639" s="2" t="inlineStr">
        <is>
          <t>20260311003667</t>
        </is>
      </c>
      <c r="H2639" s="8">
        <f>HYPERLINK("https://dart.fss.or.kr/dsaf001/main.do?rcpNo=20260311003667", "공시열람")</f>
        <v/>
      </c>
    </row>
    <row r="2640">
      <c r="A2640" s="2" t="inlineStr">
        <is>
          <t>2026-03-11</t>
        </is>
      </c>
      <c r="B2640" s="3" t="inlineStr">
        <is>
          <t>모두투어</t>
        </is>
      </c>
      <c r="C2640" s="2" t="inlineStr">
        <is>
          <t>코스닥</t>
        </is>
      </c>
      <c r="D2640" s="2" t="inlineStr">
        <is>
          <t>080160</t>
        </is>
      </c>
      <c r="E2640" s="3" t="inlineStr">
        <is>
          <t>주주총회소집공고</t>
        </is>
      </c>
      <c r="F2640" s="3" t="inlineStr">
        <is>
          <t>모두투어</t>
        </is>
      </c>
      <c r="G2640" s="2" t="inlineStr">
        <is>
          <t>20260311003666</t>
        </is>
      </c>
      <c r="H2640" s="8">
        <f>HYPERLINK("https://dart.fss.or.kr/dsaf001/main.do?rcpNo=20260311003666", "공시열람")</f>
        <v/>
      </c>
    </row>
    <row r="2641">
      <c r="A2641" s="2" t="inlineStr">
        <is>
          <t>2026-03-11</t>
        </is>
      </c>
      <c r="B2641" s="3" t="inlineStr">
        <is>
          <t>하이즈항공</t>
        </is>
      </c>
      <c r="C2641" s="2" t="inlineStr">
        <is>
          <t>코스닥</t>
        </is>
      </c>
      <c r="D2641" s="2" t="inlineStr">
        <is>
          <t>221840</t>
        </is>
      </c>
      <c r="E2641" s="3" t="inlineStr">
        <is>
          <t xml:space="preserve">주주총회소집결의              </t>
        </is>
      </c>
      <c r="F2641" s="3" t="inlineStr">
        <is>
          <t>하이즈항공</t>
        </is>
      </c>
      <c r="G2641" s="2" t="inlineStr">
        <is>
          <t>20260311900775</t>
        </is>
      </c>
      <c r="H2641" s="8">
        <f>HYPERLINK("https://dart.fss.or.kr/dsaf001/main.do?rcpNo=20260311900775", "공시열람")</f>
        <v/>
      </c>
    </row>
    <row r="2642">
      <c r="A2642" s="2" t="inlineStr">
        <is>
          <t>2026-03-11</t>
        </is>
      </c>
      <c r="B2642" s="3" t="inlineStr">
        <is>
          <t>라온로보틱스</t>
        </is>
      </c>
      <c r="C2642" s="2" t="inlineStr">
        <is>
          <t>코스닥</t>
        </is>
      </c>
      <c r="D2642" s="2" t="inlineStr">
        <is>
          <t>232680</t>
        </is>
      </c>
      <c r="E2642" s="3" t="inlineStr">
        <is>
          <t>주주총회소집공고</t>
        </is>
      </c>
      <c r="F2642" s="3" t="inlineStr">
        <is>
          <t>라온로보틱스</t>
        </is>
      </c>
      <c r="G2642" s="2" t="inlineStr">
        <is>
          <t>20260311003663</t>
        </is>
      </c>
      <c r="H2642" s="8">
        <f>HYPERLINK("https://dart.fss.or.kr/dsaf001/main.do?rcpNo=20260311003663", "공시열람")</f>
        <v/>
      </c>
    </row>
    <row r="2643">
      <c r="A2643" s="2" t="inlineStr">
        <is>
          <t>2026-03-11</t>
        </is>
      </c>
      <c r="B2643" s="3" t="inlineStr">
        <is>
          <t>이스타코</t>
        </is>
      </c>
      <c r="C2643" s="2" t="inlineStr">
        <is>
          <t>코스피</t>
        </is>
      </c>
      <c r="D2643" s="2" t="inlineStr">
        <is>
          <t>015020</t>
        </is>
      </c>
      <c r="E2643" s="3" t="inlineStr">
        <is>
          <t xml:space="preserve">주주총회소집결의              </t>
        </is>
      </c>
      <c r="F2643" s="3" t="inlineStr">
        <is>
          <t>이스타코</t>
        </is>
      </c>
      <c r="G2643" s="2" t="inlineStr">
        <is>
          <t>20260311800758</t>
        </is>
      </c>
      <c r="H2643" s="8">
        <f>HYPERLINK("https://dart.fss.or.kr/dsaf001/main.do?rcpNo=20260311800758", "공시열람")</f>
        <v/>
      </c>
    </row>
    <row r="2644">
      <c r="A2644" s="2" t="inlineStr">
        <is>
          <t>2026-03-11</t>
        </is>
      </c>
      <c r="B2644" s="3" t="inlineStr">
        <is>
          <t>자비스</t>
        </is>
      </c>
      <c r="C2644" s="2" t="inlineStr">
        <is>
          <t>코스닥</t>
        </is>
      </c>
      <c r="D2644" s="2" t="inlineStr">
        <is>
          <t>254120</t>
        </is>
      </c>
      <c r="E2644" s="3" t="inlineStr">
        <is>
          <t>주주총회소집공고</t>
        </is>
      </c>
      <c r="F2644" s="3" t="inlineStr">
        <is>
          <t>자비스</t>
        </is>
      </c>
      <c r="G2644" s="2" t="inlineStr">
        <is>
          <t>20260311003660</t>
        </is>
      </c>
      <c r="H2644" s="8">
        <f>HYPERLINK("https://dart.fss.or.kr/dsaf001/main.do?rcpNo=20260311003660", "공시열람")</f>
        <v/>
      </c>
    </row>
    <row r="2645">
      <c r="A2645" s="2" t="inlineStr">
        <is>
          <t>2026-03-11 (정정: 2026-03-11)</t>
        </is>
      </c>
      <c r="B2645" s="3" t="inlineStr">
        <is>
          <t>알루코</t>
        </is>
      </c>
      <c r="C2645" s="2" t="inlineStr">
        <is>
          <t>코스피</t>
        </is>
      </c>
      <c r="D2645" s="2" t="inlineStr">
        <is>
          <t>001780</t>
        </is>
      </c>
      <c r="E2645" s="3" t="inlineStr">
        <is>
          <t>주주총회소집공고 (정정: 20260311)</t>
        </is>
      </c>
      <c r="F2645" s="3" t="inlineStr">
        <is>
          <t>알루코</t>
        </is>
      </c>
      <c r="G2645" s="2" t="inlineStr">
        <is>
          <t>20260311800505</t>
        </is>
      </c>
      <c r="H2645" s="8">
        <f>HYPERLINK("https://dart.fss.or.kr/dsaf001/main.do?rcpNo=20260311800505", "공시열람")</f>
        <v/>
      </c>
    </row>
    <row r="2646">
      <c r="A2646" s="2" t="inlineStr">
        <is>
          <t>2026-03-11</t>
        </is>
      </c>
      <c r="B2646" s="3" t="inlineStr">
        <is>
          <t>모두투어</t>
        </is>
      </c>
      <c r="C2646" s="2" t="inlineStr">
        <is>
          <t>코스닥</t>
        </is>
      </c>
      <c r="D2646" s="2" t="inlineStr">
        <is>
          <t>080160</t>
        </is>
      </c>
      <c r="E2646" s="3" t="inlineStr">
        <is>
          <t xml:space="preserve">주주총회집중일개최사유신고              </t>
        </is>
      </c>
      <c r="F2646" s="3" t="inlineStr">
        <is>
          <t>모두투어</t>
        </is>
      </c>
      <c r="G2646" s="2" t="inlineStr">
        <is>
          <t>20260311900785</t>
        </is>
      </c>
      <c r="H2646" s="8">
        <f>HYPERLINK("https://dart.fss.or.kr/dsaf001/main.do?rcpNo=20260311900785", "공시열람")</f>
        <v/>
      </c>
    </row>
    <row r="2647">
      <c r="A2647" s="2" t="inlineStr">
        <is>
          <t>2026-03-11</t>
        </is>
      </c>
      <c r="B2647" s="3" t="inlineStr">
        <is>
          <t>유진스팩11호</t>
        </is>
      </c>
      <c r="C2647" s="2" t="inlineStr">
        <is>
          <t>코스닥</t>
        </is>
      </c>
      <c r="D2647" s="2" t="inlineStr">
        <is>
          <t>488060</t>
        </is>
      </c>
      <c r="E2647" s="3" t="inlineStr">
        <is>
          <t>주주총회소집공고</t>
        </is>
      </c>
      <c r="F2647" s="3" t="inlineStr">
        <is>
          <t>유진스팩11호</t>
        </is>
      </c>
      <c r="G2647" s="2" t="inlineStr">
        <is>
          <t>20260311003653</t>
        </is>
      </c>
      <c r="H2647" s="8">
        <f>HYPERLINK("https://dart.fss.or.kr/dsaf001/main.do?rcpNo=20260311003653", "공시열람")</f>
        <v/>
      </c>
    </row>
    <row r="2648">
      <c r="A2648" s="2" t="inlineStr">
        <is>
          <t>2026-03-11</t>
        </is>
      </c>
      <c r="B2648" s="3" t="inlineStr">
        <is>
          <t>SG&amp;G</t>
        </is>
      </c>
      <c r="C2648" s="2" t="inlineStr">
        <is>
          <t>코스닥</t>
        </is>
      </c>
      <c r="D2648" s="2" t="inlineStr">
        <is>
          <t>040610</t>
        </is>
      </c>
      <c r="E2648" s="3" t="inlineStr">
        <is>
          <t xml:space="preserve">주주총회집중일개최사유신고              </t>
        </is>
      </c>
      <c r="F2648" s="3" t="inlineStr">
        <is>
          <t>SG&amp;G</t>
        </is>
      </c>
      <c r="G2648" s="2" t="inlineStr">
        <is>
          <t>20260311900757</t>
        </is>
      </c>
      <c r="H2648" s="8">
        <f>HYPERLINK("https://dart.fss.or.kr/dsaf001/main.do?rcpNo=20260311900757", "공시열람")</f>
        <v/>
      </c>
    </row>
    <row r="2649">
      <c r="A2649" s="2" t="inlineStr">
        <is>
          <t>2026-03-11</t>
        </is>
      </c>
      <c r="B2649" s="3" t="inlineStr">
        <is>
          <t>종근당</t>
        </is>
      </c>
      <c r="C2649" s="2" t="inlineStr">
        <is>
          <t>코스피</t>
        </is>
      </c>
      <c r="D2649" s="2" t="inlineStr">
        <is>
          <t>185750</t>
        </is>
      </c>
      <c r="E2649" s="3" t="inlineStr">
        <is>
          <t xml:space="preserve">주주총회소집결의              </t>
        </is>
      </c>
      <c r="F2649" s="3" t="inlineStr">
        <is>
          <t>종근당</t>
        </is>
      </c>
      <c r="G2649" s="2" t="inlineStr">
        <is>
          <t>20260311800770</t>
        </is>
      </c>
      <c r="H2649" s="8">
        <f>HYPERLINK("https://dart.fss.or.kr/dsaf001/main.do?rcpNo=20260311800770", "공시열람")</f>
        <v/>
      </c>
    </row>
    <row r="2650">
      <c r="A2650" s="2" t="inlineStr">
        <is>
          <t>2026-03-11</t>
        </is>
      </c>
      <c r="B2650" s="3" t="inlineStr">
        <is>
          <t>한국팩키지</t>
        </is>
      </c>
      <c r="C2650" s="2" t="inlineStr">
        <is>
          <t>코스닥</t>
        </is>
      </c>
      <c r="D2650" s="2" t="inlineStr">
        <is>
          <t>037230</t>
        </is>
      </c>
      <c r="E2650" s="3" t="inlineStr">
        <is>
          <t>주주총회소집공고</t>
        </is>
      </c>
      <c r="F2650" s="3" t="inlineStr">
        <is>
          <t>한국팩키지</t>
        </is>
      </c>
      <c r="G2650" s="2" t="inlineStr">
        <is>
          <t>20260311003652</t>
        </is>
      </c>
      <c r="H2650" s="8">
        <f>HYPERLINK("https://dart.fss.or.kr/dsaf001/main.do?rcpNo=20260311003652", "공시열람")</f>
        <v/>
      </c>
    </row>
    <row r="2651">
      <c r="A2651" s="2" t="inlineStr">
        <is>
          <t>2026-03-11</t>
        </is>
      </c>
      <c r="B2651" s="3" t="inlineStr">
        <is>
          <t>헥토이노베이션</t>
        </is>
      </c>
      <c r="C2651" s="2" t="inlineStr">
        <is>
          <t>코스닥</t>
        </is>
      </c>
      <c r="D2651" s="2" t="inlineStr">
        <is>
          <t>214180</t>
        </is>
      </c>
      <c r="E2651" s="3" t="inlineStr">
        <is>
          <t xml:space="preserve">주주총회집중일개최사유신고              </t>
        </is>
      </c>
      <c r="F2651" s="3" t="inlineStr">
        <is>
          <t>헥토이노베이션</t>
        </is>
      </c>
      <c r="G2651" s="2" t="inlineStr">
        <is>
          <t>20260311900756</t>
        </is>
      </c>
      <c r="H2651" s="8">
        <f>HYPERLINK("https://dart.fss.or.kr/dsaf001/main.do?rcpNo=20260311900756", "공시열람")</f>
        <v/>
      </c>
    </row>
    <row r="2652">
      <c r="A2652" s="2" t="inlineStr">
        <is>
          <t>2026-03-11</t>
        </is>
      </c>
      <c r="B2652" s="3" t="inlineStr">
        <is>
          <t>대림제지</t>
        </is>
      </c>
      <c r="C2652" s="2" t="inlineStr">
        <is>
          <t>코스닥</t>
        </is>
      </c>
      <c r="D2652" s="2" t="inlineStr">
        <is>
          <t>017650</t>
        </is>
      </c>
      <c r="E2652" s="3" t="inlineStr">
        <is>
          <t xml:space="preserve">주주총회소집결의              </t>
        </is>
      </c>
      <c r="F2652" s="3" t="inlineStr">
        <is>
          <t>대림제지</t>
        </is>
      </c>
      <c r="G2652" s="2" t="inlineStr">
        <is>
          <t>20260311900752</t>
        </is>
      </c>
      <c r="H2652" s="8">
        <f>HYPERLINK("https://dart.fss.or.kr/dsaf001/main.do?rcpNo=20260311900752", "공시열람")</f>
        <v/>
      </c>
    </row>
    <row r="2653">
      <c r="A2653" s="2" t="inlineStr">
        <is>
          <t>2026-03-11</t>
        </is>
      </c>
      <c r="B2653" s="3" t="inlineStr">
        <is>
          <t>파커스</t>
        </is>
      </c>
      <c r="C2653" s="2" t="inlineStr">
        <is>
          <t>코스닥</t>
        </is>
      </c>
      <c r="D2653" s="2" t="inlineStr">
        <is>
          <t>065690</t>
        </is>
      </c>
      <c r="E2653" s="3" t="inlineStr">
        <is>
          <t>주주총회소집공고</t>
        </is>
      </c>
      <c r="F2653" s="3" t="inlineStr">
        <is>
          <t>파커스</t>
        </is>
      </c>
      <c r="G2653" s="2" t="inlineStr">
        <is>
          <t>20260311003650</t>
        </is>
      </c>
      <c r="H2653" s="8">
        <f>HYPERLINK("https://dart.fss.or.kr/dsaf001/main.do?rcpNo=20260311003650", "공시열람")</f>
        <v/>
      </c>
    </row>
    <row r="2654">
      <c r="A2654" s="2" t="inlineStr">
        <is>
          <t>2026-03-11</t>
        </is>
      </c>
      <c r="B2654" s="3" t="inlineStr">
        <is>
          <t>헬릭스미스</t>
        </is>
      </c>
      <c r="C2654" s="2" t="inlineStr">
        <is>
          <t>코스닥</t>
        </is>
      </c>
      <c r="D2654" s="2" t="inlineStr">
        <is>
          <t>084990</t>
        </is>
      </c>
      <c r="E2654" s="3" t="inlineStr">
        <is>
          <t xml:space="preserve">주주총회소집결의              </t>
        </is>
      </c>
      <c r="F2654" s="3" t="inlineStr">
        <is>
          <t>헬릭스미스</t>
        </is>
      </c>
      <c r="G2654" s="2" t="inlineStr">
        <is>
          <t>20260311900741</t>
        </is>
      </c>
      <c r="H2654" s="8">
        <f>HYPERLINK("https://dart.fss.or.kr/dsaf001/main.do?rcpNo=20260311900741", "공시열람")</f>
        <v/>
      </c>
    </row>
    <row r="2655">
      <c r="A2655" s="2" t="inlineStr">
        <is>
          <t>2026-03-11</t>
        </is>
      </c>
      <c r="B2655" s="3" t="inlineStr">
        <is>
          <t>라온로보틱스</t>
        </is>
      </c>
      <c r="C2655" s="2" t="inlineStr">
        <is>
          <t>코스닥</t>
        </is>
      </c>
      <c r="D2655" s="2" t="inlineStr">
        <is>
          <t>232680</t>
        </is>
      </c>
      <c r="E2655" s="3" t="inlineStr">
        <is>
          <t xml:space="preserve">주주총회소집결의              </t>
        </is>
      </c>
      <c r="F2655" s="3" t="inlineStr">
        <is>
          <t>라온로보틱스</t>
        </is>
      </c>
      <c r="G2655" s="2" t="inlineStr">
        <is>
          <t>20260311900737</t>
        </is>
      </c>
      <c r="H2655" s="8">
        <f>HYPERLINK("https://dart.fss.or.kr/dsaf001/main.do?rcpNo=20260311900737", "공시열람")</f>
        <v/>
      </c>
    </row>
    <row r="2656">
      <c r="A2656" s="2" t="inlineStr">
        <is>
          <t>2026-03-11</t>
        </is>
      </c>
      <c r="B2656" s="3" t="inlineStr">
        <is>
          <t>헥토이노베이션</t>
        </is>
      </c>
      <c r="C2656" s="2" t="inlineStr">
        <is>
          <t>코스닥</t>
        </is>
      </c>
      <c r="D2656" s="2" t="inlineStr">
        <is>
          <t>214180</t>
        </is>
      </c>
      <c r="E2656" s="3" t="inlineStr">
        <is>
          <t xml:space="preserve">주주총회소집결의              </t>
        </is>
      </c>
      <c r="F2656" s="3" t="inlineStr">
        <is>
          <t>헥토이노베이션</t>
        </is>
      </c>
      <c r="G2656" s="2" t="inlineStr">
        <is>
          <t>20260311900745</t>
        </is>
      </c>
      <c r="H2656" s="8">
        <f>HYPERLINK("https://dart.fss.or.kr/dsaf001/main.do?rcpNo=20260311900745", "공시열람")</f>
        <v/>
      </c>
    </row>
    <row r="2657">
      <c r="A2657" s="2" t="inlineStr">
        <is>
          <t>2026-03-11</t>
        </is>
      </c>
      <c r="B2657" s="3" t="inlineStr">
        <is>
          <t>현대바이오</t>
        </is>
      </c>
      <c r="C2657" s="2" t="inlineStr">
        <is>
          <t>코스닥</t>
        </is>
      </c>
      <c r="D2657" s="2" t="inlineStr">
        <is>
          <t>048410</t>
        </is>
      </c>
      <c r="E2657" s="3" t="inlineStr">
        <is>
          <t>주주총회소집공고</t>
        </is>
      </c>
      <c r="F2657" s="3" t="inlineStr">
        <is>
          <t>현대바이오</t>
        </is>
      </c>
      <c r="G2657" s="2" t="inlineStr">
        <is>
          <t>20260311003648</t>
        </is>
      </c>
      <c r="H2657" s="8">
        <f>HYPERLINK("https://dart.fss.or.kr/dsaf001/main.do?rcpNo=20260311003648", "공시열람")</f>
        <v/>
      </c>
    </row>
    <row r="2658">
      <c r="A2658" s="2" t="inlineStr">
        <is>
          <t>2026-03-11</t>
        </is>
      </c>
      <c r="B2658" s="3" t="inlineStr">
        <is>
          <t>유성기업</t>
        </is>
      </c>
      <c r="C2658" s="2" t="inlineStr">
        <is>
          <t>코스피</t>
        </is>
      </c>
      <c r="D2658" s="2" t="inlineStr">
        <is>
          <t>002920</t>
        </is>
      </c>
      <c r="E2658" s="3" t="inlineStr">
        <is>
          <t>주주총회소집공고</t>
        </is>
      </c>
      <c r="F2658" s="3" t="inlineStr">
        <is>
          <t>유성기업</t>
        </is>
      </c>
      <c r="G2658" s="2" t="inlineStr">
        <is>
          <t>20260311003646</t>
        </is>
      </c>
      <c r="H2658" s="8">
        <f>HYPERLINK("https://dart.fss.or.kr/dsaf001/main.do?rcpNo=20260311003646", "공시열람")</f>
        <v/>
      </c>
    </row>
    <row r="2659">
      <c r="A2659" s="2" t="inlineStr">
        <is>
          <t>2026-03-11</t>
        </is>
      </c>
      <c r="B2659" s="3" t="inlineStr">
        <is>
          <t>SG&amp;G</t>
        </is>
      </c>
      <c r="C2659" s="2" t="inlineStr">
        <is>
          <t>코스닥</t>
        </is>
      </c>
      <c r="D2659" s="2" t="inlineStr">
        <is>
          <t>040610</t>
        </is>
      </c>
      <c r="E2659" s="3" t="inlineStr">
        <is>
          <t>주주총회소집공고</t>
        </is>
      </c>
      <c r="F2659" s="3" t="inlineStr">
        <is>
          <t>SG&amp;G</t>
        </is>
      </c>
      <c r="G2659" s="2" t="inlineStr">
        <is>
          <t>20260311003645</t>
        </is>
      </c>
      <c r="H2659" s="8">
        <f>HYPERLINK("https://dart.fss.or.kr/dsaf001/main.do?rcpNo=20260311003645", "공시열람")</f>
        <v/>
      </c>
    </row>
    <row r="2660">
      <c r="A2660" s="2" t="inlineStr">
        <is>
          <t>2026-03-11</t>
        </is>
      </c>
      <c r="B2660" s="3" t="inlineStr">
        <is>
          <t>브리지텍</t>
        </is>
      </c>
      <c r="C2660" s="2" t="inlineStr">
        <is>
          <t>코스닥</t>
        </is>
      </c>
      <c r="D2660" s="2" t="inlineStr">
        <is>
          <t>064480</t>
        </is>
      </c>
      <c r="E2660" s="3" t="inlineStr">
        <is>
          <t>주주총회소집공고</t>
        </is>
      </c>
      <c r="F2660" s="3" t="inlineStr">
        <is>
          <t>브리지텍</t>
        </is>
      </c>
      <c r="G2660" s="2" t="inlineStr">
        <is>
          <t>20260311003644</t>
        </is>
      </c>
      <c r="H2660" s="8">
        <f>HYPERLINK("https://dart.fss.or.kr/dsaf001/main.do?rcpNo=20260311003644", "공시열람")</f>
        <v/>
      </c>
    </row>
    <row r="2661">
      <c r="A2661" s="2" t="inlineStr">
        <is>
          <t>2026-03-11</t>
        </is>
      </c>
      <c r="B2661" s="3" t="inlineStr">
        <is>
          <t>신일전자</t>
        </is>
      </c>
      <c r="C2661" s="2" t="inlineStr">
        <is>
          <t>코스피</t>
        </is>
      </c>
      <c r="D2661" s="2" t="inlineStr">
        <is>
          <t>002700</t>
        </is>
      </c>
      <c r="E2661" s="3" t="inlineStr">
        <is>
          <t xml:space="preserve">주주총회소집결의              </t>
        </is>
      </c>
      <c r="F2661" s="3" t="inlineStr">
        <is>
          <t>신일전자</t>
        </is>
      </c>
      <c r="G2661" s="2" t="inlineStr">
        <is>
          <t>20260311800765</t>
        </is>
      </c>
      <c r="H2661" s="8">
        <f>HYPERLINK("https://dart.fss.or.kr/dsaf001/main.do?rcpNo=20260311800765", "공시열람")</f>
        <v/>
      </c>
    </row>
    <row r="2662">
      <c r="A2662" s="2" t="inlineStr">
        <is>
          <t>2026-03-11</t>
        </is>
      </c>
      <c r="B2662" s="3" t="inlineStr">
        <is>
          <t>엔알비</t>
        </is>
      </c>
      <c r="C2662" s="2" t="inlineStr">
        <is>
          <t>코스닥</t>
        </is>
      </c>
      <c r="D2662" s="2" t="inlineStr">
        <is>
          <t>475230</t>
        </is>
      </c>
      <c r="E2662" s="3" t="inlineStr">
        <is>
          <t>주주총회소집공고</t>
        </is>
      </c>
      <c r="F2662" s="3" t="inlineStr">
        <is>
          <t>엔알비</t>
        </is>
      </c>
      <c r="G2662" s="2" t="inlineStr">
        <is>
          <t>20260311003640</t>
        </is>
      </c>
      <c r="H2662" s="8">
        <f>HYPERLINK("https://dart.fss.or.kr/dsaf001/main.do?rcpNo=20260311003640", "공시열람")</f>
        <v/>
      </c>
    </row>
    <row r="2663">
      <c r="A2663" s="2" t="inlineStr">
        <is>
          <t>2026-03-11</t>
        </is>
      </c>
      <c r="B2663" s="3" t="inlineStr">
        <is>
          <t>대모</t>
        </is>
      </c>
      <c r="C2663" s="2" t="inlineStr">
        <is>
          <t>코스닥</t>
        </is>
      </c>
      <c r="D2663" s="2" t="inlineStr">
        <is>
          <t>317850</t>
        </is>
      </c>
      <c r="E2663" s="3" t="inlineStr">
        <is>
          <t xml:space="preserve">주주총회집중일개최사유신고              </t>
        </is>
      </c>
      <c r="F2663" s="3" t="inlineStr">
        <is>
          <t>대모</t>
        </is>
      </c>
      <c r="G2663" s="2" t="inlineStr">
        <is>
          <t>20260311900771</t>
        </is>
      </c>
      <c r="H2663" s="8">
        <f>HYPERLINK("https://dart.fss.or.kr/dsaf001/main.do?rcpNo=20260311900771", "공시열람")</f>
        <v/>
      </c>
    </row>
    <row r="2664">
      <c r="A2664" s="2" t="inlineStr">
        <is>
          <t>2026-03-11</t>
        </is>
      </c>
      <c r="B2664" s="3" t="inlineStr">
        <is>
          <t>대모</t>
        </is>
      </c>
      <c r="C2664" s="2" t="inlineStr">
        <is>
          <t>코스닥</t>
        </is>
      </c>
      <c r="D2664" s="2" t="inlineStr">
        <is>
          <t>317850</t>
        </is>
      </c>
      <c r="E2664" s="3" t="inlineStr">
        <is>
          <t xml:space="preserve">주주총회소집결의              </t>
        </is>
      </c>
      <c r="F2664" s="3" t="inlineStr">
        <is>
          <t>대모</t>
        </is>
      </c>
      <c r="G2664" s="2" t="inlineStr">
        <is>
          <t>20260311900767</t>
        </is>
      </c>
      <c r="H2664" s="8">
        <f>HYPERLINK("https://dart.fss.or.kr/dsaf001/main.do?rcpNo=20260311900767", "공시열람")</f>
        <v/>
      </c>
    </row>
    <row r="2665">
      <c r="A2665" s="2" t="inlineStr">
        <is>
          <t>2026-03-11</t>
        </is>
      </c>
      <c r="B2665" s="3" t="inlineStr">
        <is>
          <t>모두투어</t>
        </is>
      </c>
      <c r="C2665" s="2" t="inlineStr">
        <is>
          <t>코스닥</t>
        </is>
      </c>
      <c r="D2665" s="2" t="inlineStr">
        <is>
          <t>080160</t>
        </is>
      </c>
      <c r="E2665" s="3" t="inlineStr">
        <is>
          <t xml:space="preserve">주주총회소집결의              </t>
        </is>
      </c>
      <c r="F2665" s="3" t="inlineStr">
        <is>
          <t>모두투어</t>
        </is>
      </c>
      <c r="G2665" s="2" t="inlineStr">
        <is>
          <t>20260311900708</t>
        </is>
      </c>
      <c r="H2665" s="8">
        <f>HYPERLINK("https://dart.fss.or.kr/dsaf001/main.do?rcpNo=20260311900708", "공시열람")</f>
        <v/>
      </c>
    </row>
    <row r="2666">
      <c r="A2666" s="2" t="inlineStr">
        <is>
          <t>2026-03-11</t>
        </is>
      </c>
      <c r="B2666" s="3" t="inlineStr">
        <is>
          <t>에이치와이티씨</t>
        </is>
      </c>
      <c r="C2666" s="2" t="inlineStr">
        <is>
          <t>코스닥</t>
        </is>
      </c>
      <c r="D2666" s="2" t="inlineStr">
        <is>
          <t>148930</t>
        </is>
      </c>
      <c r="E2666" s="3" t="inlineStr">
        <is>
          <t>주주총회소집공고</t>
        </is>
      </c>
      <c r="F2666" s="3" t="inlineStr">
        <is>
          <t>에이치와이티씨</t>
        </is>
      </c>
      <c r="G2666" s="2" t="inlineStr">
        <is>
          <t>20260311003633</t>
        </is>
      </c>
      <c r="H2666" s="8">
        <f>HYPERLINK("https://dart.fss.or.kr/dsaf001/main.do?rcpNo=20260311003633", "공시열람")</f>
        <v/>
      </c>
    </row>
    <row r="2667">
      <c r="A2667" s="2" t="inlineStr">
        <is>
          <t>2026-03-11 (정정: 2026-05-20)</t>
        </is>
      </c>
      <c r="B2667" s="3" t="inlineStr">
        <is>
          <t>하나마이크론</t>
        </is>
      </c>
      <c r="C2667" s="2" t="inlineStr">
        <is>
          <t>코스닥</t>
        </is>
      </c>
      <c r="D2667" s="2" t="inlineStr">
        <is>
          <t>067310</t>
        </is>
      </c>
      <c r="E2667" s="3" t="inlineStr">
        <is>
          <t>주주총회소집공고 (정정: 20260520)</t>
        </is>
      </c>
      <c r="F2667" s="3" t="inlineStr">
        <is>
          <t>하나마이크론</t>
        </is>
      </c>
      <c r="G2667" s="2" t="inlineStr">
        <is>
          <t>20260520900657</t>
        </is>
      </c>
      <c r="H2667" s="8">
        <f>HYPERLINK("https://dart.fss.or.kr/dsaf001/main.do?rcpNo=20260520900657", "공시열람")</f>
        <v/>
      </c>
    </row>
    <row r="2668">
      <c r="A2668" s="2" t="inlineStr">
        <is>
          <t>2026-03-11</t>
        </is>
      </c>
      <c r="B2668" s="3" t="inlineStr">
        <is>
          <t>큐라클</t>
        </is>
      </c>
      <c r="C2668" s="2" t="inlineStr">
        <is>
          <t>코스닥</t>
        </is>
      </c>
      <c r="D2668" s="2" t="inlineStr">
        <is>
          <t>365270</t>
        </is>
      </c>
      <c r="E2668" s="3" t="inlineStr">
        <is>
          <t>주주총회소집공고</t>
        </is>
      </c>
      <c r="F2668" s="3" t="inlineStr">
        <is>
          <t>큐라클</t>
        </is>
      </c>
      <c r="G2668" s="2" t="inlineStr">
        <is>
          <t>20260311003631</t>
        </is>
      </c>
      <c r="H2668" s="8">
        <f>HYPERLINK("https://dart.fss.or.kr/dsaf001/main.do?rcpNo=20260311003631", "공시열람")</f>
        <v/>
      </c>
    </row>
    <row r="2669">
      <c r="A2669" s="2" t="inlineStr">
        <is>
          <t>2026-03-11</t>
        </is>
      </c>
      <c r="B2669" s="3" t="inlineStr">
        <is>
          <t>마음AI</t>
        </is>
      </c>
      <c r="C2669" s="2" t="inlineStr">
        <is>
          <t>코스닥</t>
        </is>
      </c>
      <c r="D2669" s="2" t="inlineStr">
        <is>
          <t>377480</t>
        </is>
      </c>
      <c r="E2669" s="3" t="inlineStr">
        <is>
          <t xml:space="preserve">주주총회소집결의              </t>
        </is>
      </c>
      <c r="F2669" s="3" t="inlineStr">
        <is>
          <t>마음AI</t>
        </is>
      </c>
      <c r="G2669" s="2" t="inlineStr">
        <is>
          <t>20260311900693</t>
        </is>
      </c>
      <c r="H2669" s="8">
        <f>HYPERLINK("https://dart.fss.or.kr/dsaf001/main.do?rcpNo=20260311900693", "공시열람")</f>
        <v/>
      </c>
    </row>
    <row r="2670">
      <c r="A2670" s="2" t="inlineStr">
        <is>
          <t>2026-03-11</t>
        </is>
      </c>
      <c r="B2670" s="3" t="inlineStr">
        <is>
          <t>노드메이슨</t>
        </is>
      </c>
      <c r="C2670" s="2" t="inlineStr">
        <is>
          <t>코넥스</t>
        </is>
      </c>
      <c r="D2670" s="2" t="inlineStr">
        <is>
          <t>317860</t>
        </is>
      </c>
      <c r="E2670" s="3" t="inlineStr">
        <is>
          <t>주주총회소집공고</t>
        </is>
      </c>
      <c r="F2670" s="3" t="inlineStr">
        <is>
          <t>노드메이슨</t>
        </is>
      </c>
      <c r="G2670" s="2" t="inlineStr">
        <is>
          <t>20260311003629</t>
        </is>
      </c>
      <c r="H2670" s="8">
        <f>HYPERLINK("https://dart.fss.or.kr/dsaf001/main.do?rcpNo=20260311003629", "공시열람")</f>
        <v/>
      </c>
    </row>
    <row r="2671">
      <c r="A2671" s="2" t="inlineStr">
        <is>
          <t>2026-03-11</t>
        </is>
      </c>
      <c r="B2671" s="3" t="inlineStr">
        <is>
          <t>유니온머티리얼</t>
        </is>
      </c>
      <c r="C2671" s="2" t="inlineStr">
        <is>
          <t>코스피</t>
        </is>
      </c>
      <c r="D2671" s="2" t="inlineStr">
        <is>
          <t>047400</t>
        </is>
      </c>
      <c r="E2671" s="3" t="inlineStr">
        <is>
          <t>주주총회소집공고</t>
        </is>
      </c>
      <c r="F2671" s="3" t="inlineStr">
        <is>
          <t>유니온머티리얼</t>
        </is>
      </c>
      <c r="G2671" s="2" t="inlineStr">
        <is>
          <t>20260311003626</t>
        </is>
      </c>
      <c r="H2671" s="8">
        <f>HYPERLINK("https://dart.fss.or.kr/dsaf001/main.do?rcpNo=20260311003626", "공시열람")</f>
        <v/>
      </c>
    </row>
    <row r="2672">
      <c r="A2672" s="2" t="inlineStr">
        <is>
          <t>2026-03-11</t>
        </is>
      </c>
      <c r="B2672" s="3" t="inlineStr">
        <is>
          <t>알멕</t>
        </is>
      </c>
      <c r="C2672" s="2" t="inlineStr">
        <is>
          <t>코스닥</t>
        </is>
      </c>
      <c r="D2672" s="2" t="inlineStr">
        <is>
          <t>354320</t>
        </is>
      </c>
      <c r="E2672" s="3" t="inlineStr">
        <is>
          <t>[기재정정]주주총회소집공고</t>
        </is>
      </c>
      <c r="F2672" s="3" t="inlineStr">
        <is>
          <t>알멕</t>
        </is>
      </c>
      <c r="G2672" s="2" t="inlineStr">
        <is>
          <t>20260311003624</t>
        </is>
      </c>
      <c r="H2672" s="8">
        <f>HYPERLINK("https://dart.fss.or.kr/dsaf001/main.do?rcpNo=20260311003624", "공시열람")</f>
        <v/>
      </c>
    </row>
    <row r="2673">
      <c r="A2673" s="2" t="inlineStr">
        <is>
          <t>2026-03-11</t>
        </is>
      </c>
      <c r="B2673" s="3" t="inlineStr">
        <is>
          <t>지엘팜텍</t>
        </is>
      </c>
      <c r="C2673" s="2" t="inlineStr">
        <is>
          <t>코스닥</t>
        </is>
      </c>
      <c r="D2673" s="2" t="inlineStr">
        <is>
          <t>204840</t>
        </is>
      </c>
      <c r="E2673" s="3" t="inlineStr">
        <is>
          <t>주주총회소집공고</t>
        </is>
      </c>
      <c r="F2673" s="3" t="inlineStr">
        <is>
          <t>지엘팜텍</t>
        </is>
      </c>
      <c r="G2673" s="2" t="inlineStr">
        <is>
          <t>20260311003622</t>
        </is>
      </c>
      <c r="H2673" s="8">
        <f>HYPERLINK("https://dart.fss.or.kr/dsaf001/main.do?rcpNo=20260311003622", "공시열람")</f>
        <v/>
      </c>
    </row>
    <row r="2674">
      <c r="A2674" s="2" t="inlineStr">
        <is>
          <t>2026-03-11</t>
        </is>
      </c>
      <c r="B2674" s="3" t="inlineStr">
        <is>
          <t>현대바이오</t>
        </is>
      </c>
      <c r="C2674" s="2" t="inlineStr">
        <is>
          <t>코스닥</t>
        </is>
      </c>
      <c r="D2674" s="2" t="inlineStr">
        <is>
          <t>048410</t>
        </is>
      </c>
      <c r="E2674" s="3" t="inlineStr">
        <is>
          <t xml:space="preserve">주주총회소집결의              </t>
        </is>
      </c>
      <c r="F2674" s="3" t="inlineStr">
        <is>
          <t>현대바이오</t>
        </is>
      </c>
      <c r="G2674" s="2" t="inlineStr">
        <is>
          <t>20260311900685</t>
        </is>
      </c>
      <c r="H2674" s="8">
        <f>HYPERLINK("https://dart.fss.or.kr/dsaf001/main.do?rcpNo=20260311900685", "공시열람")</f>
        <v/>
      </c>
    </row>
    <row r="2675">
      <c r="A2675" s="2" t="inlineStr">
        <is>
          <t>2026-03-11</t>
        </is>
      </c>
      <c r="B2675" s="3" t="inlineStr">
        <is>
          <t>에이치와이티씨</t>
        </is>
      </c>
      <c r="C2675" s="2" t="inlineStr">
        <is>
          <t>코스닥</t>
        </is>
      </c>
      <c r="D2675" s="2" t="inlineStr">
        <is>
          <t>148930</t>
        </is>
      </c>
      <c r="E2675" s="3" t="inlineStr">
        <is>
          <t xml:space="preserve">주주총회집중일개최사유신고              </t>
        </is>
      </c>
      <c r="F2675" s="3" t="inlineStr">
        <is>
          <t>에이치와이티씨</t>
        </is>
      </c>
      <c r="G2675" s="2" t="inlineStr">
        <is>
          <t>20260311900731</t>
        </is>
      </c>
      <c r="H2675" s="8">
        <f>HYPERLINK("https://dart.fss.or.kr/dsaf001/main.do?rcpNo=20260311900731", "공시열람")</f>
        <v/>
      </c>
    </row>
    <row r="2676">
      <c r="A2676" s="2" t="inlineStr">
        <is>
          <t>2026-03-11</t>
        </is>
      </c>
      <c r="B2676" s="3" t="inlineStr">
        <is>
          <t>셀피글로벌</t>
        </is>
      </c>
      <c r="C2676" s="2" t="inlineStr">
        <is>
          <t>코스닥</t>
        </is>
      </c>
      <c r="D2676" s="2" t="inlineStr">
        <is>
          <t>068940</t>
        </is>
      </c>
      <c r="E2676" s="3" t="inlineStr">
        <is>
          <t>소송등의판결ㆍ결정              (주주총회결의 취소 청구의 소)</t>
        </is>
      </c>
      <c r="F2676" s="3" t="inlineStr">
        <is>
          <t>셀피글로벌</t>
        </is>
      </c>
      <c r="G2676" s="2" t="inlineStr">
        <is>
          <t>20260311900723</t>
        </is>
      </c>
      <c r="H2676" s="8">
        <f>HYPERLINK("https://dart.fss.or.kr/dsaf001/main.do?rcpNo=20260311900723", "공시열람")</f>
        <v/>
      </c>
    </row>
    <row r="2677">
      <c r="A2677" s="2" t="inlineStr">
        <is>
          <t>2026-03-11</t>
        </is>
      </c>
      <c r="B2677" s="3" t="inlineStr">
        <is>
          <t>SG&amp;G</t>
        </is>
      </c>
      <c r="C2677" s="2" t="inlineStr">
        <is>
          <t>코스닥</t>
        </is>
      </c>
      <c r="D2677" s="2" t="inlineStr">
        <is>
          <t>040610</t>
        </is>
      </c>
      <c r="E2677" s="3" t="inlineStr">
        <is>
          <t xml:space="preserve">주주총회소집결의              </t>
        </is>
      </c>
      <c r="F2677" s="3" t="inlineStr">
        <is>
          <t>SG&amp;G</t>
        </is>
      </c>
      <c r="G2677" s="2" t="inlineStr">
        <is>
          <t>20260311900688</t>
        </is>
      </c>
      <c r="H2677" s="8">
        <f>HYPERLINK("https://dart.fss.or.kr/dsaf001/main.do?rcpNo=20260311900688", "공시열람")</f>
        <v/>
      </c>
    </row>
    <row r="2678">
      <c r="A2678" s="2" t="inlineStr">
        <is>
          <t>2026-03-11</t>
        </is>
      </c>
      <c r="B2678" s="3" t="inlineStr">
        <is>
          <t>일성아이에스</t>
        </is>
      </c>
      <c r="C2678" s="2" t="inlineStr">
        <is>
          <t>코스피</t>
        </is>
      </c>
      <c r="D2678" s="2" t="inlineStr">
        <is>
          <t>003120</t>
        </is>
      </c>
      <c r="E2678" s="3" t="inlineStr">
        <is>
          <t>주주총회소집공고</t>
        </is>
      </c>
      <c r="F2678" s="3" t="inlineStr">
        <is>
          <t>일성아이에스</t>
        </is>
      </c>
      <c r="G2678" s="2" t="inlineStr">
        <is>
          <t>20260311003615</t>
        </is>
      </c>
      <c r="H2678" s="8">
        <f>HYPERLINK("https://dart.fss.or.kr/dsaf001/main.do?rcpNo=20260311003615", "공시열람")</f>
        <v/>
      </c>
    </row>
    <row r="2679">
      <c r="A2679" s="2" t="inlineStr">
        <is>
          <t>2026-03-11</t>
        </is>
      </c>
      <c r="B2679" s="3" t="inlineStr">
        <is>
          <t>삼기</t>
        </is>
      </c>
      <c r="C2679" s="2" t="inlineStr">
        <is>
          <t>코스닥</t>
        </is>
      </c>
      <c r="D2679" s="2" t="inlineStr">
        <is>
          <t>122350</t>
        </is>
      </c>
      <c r="E2679" s="3" t="inlineStr">
        <is>
          <t xml:space="preserve">주주총회소집결의              </t>
        </is>
      </c>
      <c r="F2679" s="3" t="inlineStr">
        <is>
          <t>삼기</t>
        </is>
      </c>
      <c r="G2679" s="2" t="inlineStr">
        <is>
          <t>20260311900673</t>
        </is>
      </c>
      <c r="H2679" s="8">
        <f>HYPERLINK("https://dart.fss.or.kr/dsaf001/main.do?rcpNo=20260311900673", "공시열람")</f>
        <v/>
      </c>
    </row>
    <row r="2680">
      <c r="A2680" s="2" t="inlineStr">
        <is>
          <t>2026-03-11</t>
        </is>
      </c>
      <c r="B2680" s="3" t="inlineStr">
        <is>
          <t>큐라클</t>
        </is>
      </c>
      <c r="C2680" s="2" t="inlineStr">
        <is>
          <t>코스닥</t>
        </is>
      </c>
      <c r="D2680" s="2" t="inlineStr">
        <is>
          <t>365270</t>
        </is>
      </c>
      <c r="E2680" s="3" t="inlineStr">
        <is>
          <t xml:space="preserve">주주총회소집결의              </t>
        </is>
      </c>
      <c r="F2680" s="3" t="inlineStr">
        <is>
          <t>큐라클</t>
        </is>
      </c>
      <c r="G2680" s="2" t="inlineStr">
        <is>
          <t>20260311900691</t>
        </is>
      </c>
      <c r="H2680" s="8">
        <f>HYPERLINK("https://dart.fss.or.kr/dsaf001/main.do?rcpNo=20260311900691", "공시열람")</f>
        <v/>
      </c>
    </row>
    <row r="2681">
      <c r="A2681" s="2" t="inlineStr">
        <is>
          <t>2026-03-11</t>
        </is>
      </c>
      <c r="B2681" s="3" t="inlineStr">
        <is>
          <t>지엘팜텍</t>
        </is>
      </c>
      <c r="C2681" s="2" t="inlineStr">
        <is>
          <t>코스닥</t>
        </is>
      </c>
      <c r="D2681" s="2" t="inlineStr">
        <is>
          <t>204840</t>
        </is>
      </c>
      <c r="E2681" s="3" t="inlineStr">
        <is>
          <t xml:space="preserve">주주총회소집결의              </t>
        </is>
      </c>
      <c r="F2681" s="3" t="inlineStr">
        <is>
          <t>지엘팜텍</t>
        </is>
      </c>
      <c r="G2681" s="2" t="inlineStr">
        <is>
          <t>20260311900660</t>
        </is>
      </c>
      <c r="H2681" s="8">
        <f>HYPERLINK("https://dart.fss.or.kr/dsaf001/main.do?rcpNo=20260311900660", "공시열람")</f>
        <v/>
      </c>
    </row>
    <row r="2682">
      <c r="A2682" s="2" t="inlineStr">
        <is>
          <t>2026-03-11</t>
        </is>
      </c>
      <c r="B2682" s="3" t="inlineStr">
        <is>
          <t>삼기에너지솔루션즈</t>
        </is>
      </c>
      <c r="C2682" s="2" t="inlineStr">
        <is>
          <t>코스닥</t>
        </is>
      </c>
      <c r="D2682" s="2" t="inlineStr">
        <is>
          <t>419050</t>
        </is>
      </c>
      <c r="E2682" s="3" t="inlineStr">
        <is>
          <t xml:space="preserve">주주총회소집결의              </t>
        </is>
      </c>
      <c r="F2682" s="3" t="inlineStr">
        <is>
          <t>삼기에너지솔루션즈</t>
        </is>
      </c>
      <c r="G2682" s="2" t="inlineStr">
        <is>
          <t>20260311900701</t>
        </is>
      </c>
      <c r="H2682" s="8">
        <f>HYPERLINK("https://dart.fss.or.kr/dsaf001/main.do?rcpNo=20260311900701", "공시열람")</f>
        <v/>
      </c>
    </row>
    <row r="2683">
      <c r="A2683" s="2" t="inlineStr">
        <is>
          <t>2026-03-11</t>
        </is>
      </c>
      <c r="B2683" s="3" t="inlineStr">
        <is>
          <t>한싹</t>
        </is>
      </c>
      <c r="C2683" s="2" t="inlineStr">
        <is>
          <t>코스닥</t>
        </is>
      </c>
      <c r="D2683" s="2" t="inlineStr">
        <is>
          <t>430690</t>
        </is>
      </c>
      <c r="E2683" s="3" t="inlineStr">
        <is>
          <t xml:space="preserve">주주총회소집결의              </t>
        </is>
      </c>
      <c r="F2683" s="3" t="inlineStr">
        <is>
          <t>한싹</t>
        </is>
      </c>
      <c r="G2683" s="2" t="inlineStr">
        <is>
          <t>20260311900681</t>
        </is>
      </c>
      <c r="H2683" s="8">
        <f>HYPERLINK("https://dart.fss.or.kr/dsaf001/main.do?rcpNo=20260311900681", "공시열람")</f>
        <v/>
      </c>
    </row>
    <row r="2684">
      <c r="A2684" s="2" t="inlineStr">
        <is>
          <t>2026-03-11</t>
        </is>
      </c>
      <c r="B2684" s="3" t="inlineStr">
        <is>
          <t>창해에탄올</t>
        </is>
      </c>
      <c r="C2684" s="2" t="inlineStr">
        <is>
          <t>코스닥</t>
        </is>
      </c>
      <c r="D2684" s="2" t="inlineStr">
        <is>
          <t>004650</t>
        </is>
      </c>
      <c r="E2684" s="3" t="inlineStr">
        <is>
          <t xml:space="preserve">주주총회소집결의              </t>
        </is>
      </c>
      <c r="F2684" s="3" t="inlineStr">
        <is>
          <t>창해에탄올</t>
        </is>
      </c>
      <c r="G2684" s="2" t="inlineStr">
        <is>
          <t>20260311900684</t>
        </is>
      </c>
      <c r="H2684" s="8">
        <f>HYPERLINK("https://dart.fss.or.kr/dsaf001/main.do?rcpNo=20260311900684", "공시열람")</f>
        <v/>
      </c>
    </row>
    <row r="2685">
      <c r="A2685" s="2" t="inlineStr">
        <is>
          <t>2026-03-11</t>
        </is>
      </c>
      <c r="B2685" s="3" t="inlineStr">
        <is>
          <t>큐알티</t>
        </is>
      </c>
      <c r="C2685" s="2" t="inlineStr">
        <is>
          <t>코스닥</t>
        </is>
      </c>
      <c r="D2685" s="2" t="inlineStr">
        <is>
          <t>405100</t>
        </is>
      </c>
      <c r="E2685" s="3" t="inlineStr">
        <is>
          <t xml:space="preserve">주주총회소집결의              </t>
        </is>
      </c>
      <c r="F2685" s="3" t="inlineStr">
        <is>
          <t>큐알티</t>
        </is>
      </c>
      <c r="G2685" s="2" t="inlineStr">
        <is>
          <t>20260311900704</t>
        </is>
      </c>
      <c r="H2685" s="8">
        <f>HYPERLINK("https://dart.fss.or.kr/dsaf001/main.do?rcpNo=20260311900704", "공시열람")</f>
        <v/>
      </c>
    </row>
    <row r="2686">
      <c r="A2686" s="2" t="inlineStr">
        <is>
          <t>2026-03-11</t>
        </is>
      </c>
      <c r="B2686" s="3" t="inlineStr">
        <is>
          <t>까뮤이앤씨</t>
        </is>
      </c>
      <c r="C2686" s="2" t="inlineStr">
        <is>
          <t>코스피</t>
        </is>
      </c>
      <c r="D2686" s="2" t="inlineStr">
        <is>
          <t>013700</t>
        </is>
      </c>
      <c r="E2686" s="3" t="inlineStr">
        <is>
          <t>주주총회소집공고</t>
        </is>
      </c>
      <c r="F2686" s="3" t="inlineStr">
        <is>
          <t>까뮤이앤씨</t>
        </is>
      </c>
      <c r="G2686" s="2" t="inlineStr">
        <is>
          <t>20260311003605</t>
        </is>
      </c>
      <c r="H2686" s="8">
        <f>HYPERLINK("https://dart.fss.or.kr/dsaf001/main.do?rcpNo=20260311003605", "공시열람")</f>
        <v/>
      </c>
    </row>
    <row r="2687">
      <c r="A2687" s="2" t="inlineStr">
        <is>
          <t>2026-03-11</t>
        </is>
      </c>
      <c r="B2687" s="3" t="inlineStr">
        <is>
          <t>LB인베스트먼트</t>
        </is>
      </c>
      <c r="C2687" s="2" t="inlineStr">
        <is>
          <t>코스닥</t>
        </is>
      </c>
      <c r="D2687" s="2" t="inlineStr">
        <is>
          <t>309960</t>
        </is>
      </c>
      <c r="E2687" s="3" t="inlineStr">
        <is>
          <t>주주총회소집공고</t>
        </is>
      </c>
      <c r="F2687" s="3" t="inlineStr">
        <is>
          <t>LB인베스트먼트</t>
        </is>
      </c>
      <c r="G2687" s="2" t="inlineStr">
        <is>
          <t>20260311003604</t>
        </is>
      </c>
      <c r="H2687" s="8">
        <f>HYPERLINK("https://dart.fss.or.kr/dsaf001/main.do?rcpNo=20260311003604", "공시열람")</f>
        <v/>
      </c>
    </row>
    <row r="2688">
      <c r="A2688" s="2" t="inlineStr">
        <is>
          <t>2026-03-11</t>
        </is>
      </c>
      <c r="B2688" s="3" t="inlineStr">
        <is>
          <t>우진비앤지</t>
        </is>
      </c>
      <c r="C2688" s="2" t="inlineStr">
        <is>
          <t>코스닥</t>
        </is>
      </c>
      <c r="D2688" s="2" t="inlineStr">
        <is>
          <t>018620</t>
        </is>
      </c>
      <c r="E2688" s="3" t="inlineStr">
        <is>
          <t xml:space="preserve">주주총회집중일개최사유신고              </t>
        </is>
      </c>
      <c r="F2688" s="3" t="inlineStr">
        <is>
          <t>우진비앤지</t>
        </is>
      </c>
      <c r="G2688" s="2" t="inlineStr">
        <is>
          <t>20260311900659</t>
        </is>
      </c>
      <c r="H2688" s="8">
        <f>HYPERLINK("https://dart.fss.or.kr/dsaf001/main.do?rcpNo=20260311900659", "공시열람")</f>
        <v/>
      </c>
    </row>
    <row r="2689">
      <c r="A2689" s="2" t="inlineStr">
        <is>
          <t>2026-03-11</t>
        </is>
      </c>
      <c r="B2689" s="3" t="inlineStr">
        <is>
          <t>네패스아크</t>
        </is>
      </c>
      <c r="C2689" s="2" t="inlineStr">
        <is>
          <t>코스닥</t>
        </is>
      </c>
      <c r="D2689" s="2" t="inlineStr">
        <is>
          <t>330860</t>
        </is>
      </c>
      <c r="E2689" s="3" t="inlineStr">
        <is>
          <t>주주총회소집공고</t>
        </is>
      </c>
      <c r="F2689" s="3" t="inlineStr">
        <is>
          <t>네패스아크</t>
        </is>
      </c>
      <c r="G2689" s="2" t="inlineStr">
        <is>
          <t>20260311003601</t>
        </is>
      </c>
      <c r="H2689" s="8">
        <f>HYPERLINK("https://dart.fss.or.kr/dsaf001/main.do?rcpNo=20260311003601", "공시열람")</f>
        <v/>
      </c>
    </row>
    <row r="2690">
      <c r="A2690" s="2" t="inlineStr">
        <is>
          <t>2026-03-11</t>
        </is>
      </c>
      <c r="B2690" s="3" t="inlineStr">
        <is>
          <t>에이치와이티씨</t>
        </is>
      </c>
      <c r="C2690" s="2" t="inlineStr">
        <is>
          <t>코스닥</t>
        </is>
      </c>
      <c r="D2690" s="2" t="inlineStr">
        <is>
          <t>148930</t>
        </is>
      </c>
      <c r="E2690" s="3" t="inlineStr">
        <is>
          <t xml:space="preserve">주주총회소집결의              </t>
        </is>
      </c>
      <c r="F2690" s="3" t="inlineStr">
        <is>
          <t>에이치와이티씨</t>
        </is>
      </c>
      <c r="G2690" s="2" t="inlineStr">
        <is>
          <t>20260311900621</t>
        </is>
      </c>
      <c r="H2690" s="8">
        <f>HYPERLINK("https://dart.fss.or.kr/dsaf001/main.do?rcpNo=20260311900621", "공시열람")</f>
        <v/>
      </c>
    </row>
    <row r="2691">
      <c r="A2691" s="2" t="inlineStr">
        <is>
          <t>2026-03-11</t>
        </is>
      </c>
      <c r="B2691" s="3" t="inlineStr">
        <is>
          <t>엑셈</t>
        </is>
      </c>
      <c r="C2691" s="2" t="inlineStr">
        <is>
          <t>코스닥</t>
        </is>
      </c>
      <c r="D2691" s="2" t="inlineStr">
        <is>
          <t>205100</t>
        </is>
      </c>
      <c r="E2691" s="3" t="inlineStr">
        <is>
          <t>주주총회소집공고</t>
        </is>
      </c>
      <c r="F2691" s="3" t="inlineStr">
        <is>
          <t>엑셈</t>
        </is>
      </c>
      <c r="G2691" s="2" t="inlineStr">
        <is>
          <t>20260311003598</t>
        </is>
      </c>
      <c r="H2691" s="8">
        <f>HYPERLINK("https://dart.fss.or.kr/dsaf001/main.do?rcpNo=20260311003598", "공시열람")</f>
        <v/>
      </c>
    </row>
    <row r="2692">
      <c r="A2692" s="2" t="inlineStr">
        <is>
          <t>2026-03-11</t>
        </is>
      </c>
      <c r="B2692" s="3" t="inlineStr">
        <is>
          <t>네오티스</t>
        </is>
      </c>
      <c r="C2692" s="2" t="inlineStr">
        <is>
          <t>코스닥</t>
        </is>
      </c>
      <c r="D2692" s="2" t="inlineStr">
        <is>
          <t>085910</t>
        </is>
      </c>
      <c r="E2692" s="3" t="inlineStr">
        <is>
          <t>주주총회소집공고</t>
        </is>
      </c>
      <c r="F2692" s="3" t="inlineStr">
        <is>
          <t>네오티스</t>
        </is>
      </c>
      <c r="G2692" s="2" t="inlineStr">
        <is>
          <t>20260311003597</t>
        </is>
      </c>
      <c r="H2692" s="8">
        <f>HYPERLINK("https://dart.fss.or.kr/dsaf001/main.do?rcpNo=20260311003597", "공시열람")</f>
        <v/>
      </c>
    </row>
    <row r="2693">
      <c r="A2693" s="2" t="inlineStr">
        <is>
          <t>2026-03-11</t>
        </is>
      </c>
      <c r="B2693" s="3" t="inlineStr">
        <is>
          <t>SK증권제13호스팩</t>
        </is>
      </c>
      <c r="C2693" s="2" t="inlineStr">
        <is>
          <t>코스닥</t>
        </is>
      </c>
      <c r="D2693" s="2" t="inlineStr">
        <is>
          <t>473950</t>
        </is>
      </c>
      <c r="E2693" s="3" t="inlineStr">
        <is>
          <t>주주총회소집공고</t>
        </is>
      </c>
      <c r="F2693" s="3" t="inlineStr">
        <is>
          <t>SK증권제13호스팩</t>
        </is>
      </c>
      <c r="G2693" s="2" t="inlineStr">
        <is>
          <t>20260311003596</t>
        </is>
      </c>
      <c r="H2693" s="8">
        <f>HYPERLINK("https://dart.fss.or.kr/dsaf001/main.do?rcpNo=20260311003596", "공시열람")</f>
        <v/>
      </c>
    </row>
    <row r="2694">
      <c r="A2694" s="2" t="inlineStr">
        <is>
          <t>2026-03-11</t>
        </is>
      </c>
      <c r="B2694" s="3" t="inlineStr">
        <is>
          <t>아크릴</t>
        </is>
      </c>
      <c r="C2694" s="2" t="inlineStr">
        <is>
          <t>코스닥</t>
        </is>
      </c>
      <c r="D2694" s="2" t="inlineStr">
        <is>
          <t>0007C0</t>
        </is>
      </c>
      <c r="E2694" s="3" t="inlineStr">
        <is>
          <t>주주총회소집공고</t>
        </is>
      </c>
      <c r="F2694" s="3" t="inlineStr">
        <is>
          <t>아크릴</t>
        </is>
      </c>
      <c r="G2694" s="2" t="inlineStr">
        <is>
          <t>20260311003595</t>
        </is>
      </c>
      <c r="H2694" s="8">
        <f>HYPERLINK("https://dart.fss.or.kr/dsaf001/main.do?rcpNo=20260311003595", "공시열람")</f>
        <v/>
      </c>
    </row>
    <row r="2695">
      <c r="A2695" s="2" t="inlineStr">
        <is>
          <t>2026-03-11</t>
        </is>
      </c>
      <c r="B2695" s="3" t="inlineStr">
        <is>
          <t>하스</t>
        </is>
      </c>
      <c r="C2695" s="2" t="inlineStr">
        <is>
          <t>코스닥</t>
        </is>
      </c>
      <c r="D2695" s="2" t="inlineStr">
        <is>
          <t>450330</t>
        </is>
      </c>
      <c r="E2695" s="3" t="inlineStr">
        <is>
          <t>주주총회소집공고</t>
        </is>
      </c>
      <c r="F2695" s="3" t="inlineStr">
        <is>
          <t>하스</t>
        </is>
      </c>
      <c r="G2695" s="2" t="inlineStr">
        <is>
          <t>20260311003594</t>
        </is>
      </c>
      <c r="H2695" s="8">
        <f>HYPERLINK("https://dart.fss.or.kr/dsaf001/main.do?rcpNo=20260311003594", "공시열람")</f>
        <v/>
      </c>
    </row>
    <row r="2696">
      <c r="A2696" s="2" t="inlineStr">
        <is>
          <t>2026-03-11</t>
        </is>
      </c>
      <c r="B2696" s="3" t="inlineStr">
        <is>
          <t>세아메카닉스</t>
        </is>
      </c>
      <c r="C2696" s="2" t="inlineStr">
        <is>
          <t>코스닥</t>
        </is>
      </c>
      <c r="D2696" s="2" t="inlineStr">
        <is>
          <t>396300</t>
        </is>
      </c>
      <c r="E2696" s="3" t="inlineStr">
        <is>
          <t>주주총회소집공고</t>
        </is>
      </c>
      <c r="F2696" s="3" t="inlineStr">
        <is>
          <t>세아메카닉스</t>
        </is>
      </c>
      <c r="G2696" s="2" t="inlineStr">
        <is>
          <t>20260311003592</t>
        </is>
      </c>
      <c r="H2696" s="8">
        <f>HYPERLINK("https://dart.fss.or.kr/dsaf001/main.do?rcpNo=20260311003592", "공시열람")</f>
        <v/>
      </c>
    </row>
    <row r="2697">
      <c r="A2697" s="2" t="inlineStr">
        <is>
          <t>2026-03-11</t>
        </is>
      </c>
      <c r="B2697" s="3" t="inlineStr">
        <is>
          <t>닷밀</t>
        </is>
      </c>
      <c r="C2697" s="2" t="inlineStr">
        <is>
          <t>코스닥</t>
        </is>
      </c>
      <c r="D2697" s="2" t="inlineStr">
        <is>
          <t>464580</t>
        </is>
      </c>
      <c r="E2697" s="3" t="inlineStr">
        <is>
          <t>주주총회소집공고</t>
        </is>
      </c>
      <c r="F2697" s="3" t="inlineStr">
        <is>
          <t>닷밀</t>
        </is>
      </c>
      <c r="G2697" s="2" t="inlineStr">
        <is>
          <t>20260311003588</t>
        </is>
      </c>
      <c r="H2697" s="8">
        <f>HYPERLINK("https://dart.fss.or.kr/dsaf001/main.do?rcpNo=20260311003588", "공시열람")</f>
        <v/>
      </c>
    </row>
    <row r="2698">
      <c r="A2698" s="2" t="inlineStr">
        <is>
          <t>2026-03-11</t>
        </is>
      </c>
      <c r="B2698" s="3" t="inlineStr">
        <is>
          <t>서부T&amp;D</t>
        </is>
      </c>
      <c r="C2698" s="2" t="inlineStr">
        <is>
          <t>코스닥</t>
        </is>
      </c>
      <c r="D2698" s="2" t="inlineStr">
        <is>
          <t>006730</t>
        </is>
      </c>
      <c r="E2698" s="3" t="inlineStr">
        <is>
          <t>주주총회소집공고</t>
        </is>
      </c>
      <c r="F2698" s="3" t="inlineStr">
        <is>
          <t>서부T&amp;D</t>
        </is>
      </c>
      <c r="G2698" s="2" t="inlineStr">
        <is>
          <t>20260311003584</t>
        </is>
      </c>
      <c r="H2698" s="8">
        <f>HYPERLINK("https://dart.fss.or.kr/dsaf001/main.do?rcpNo=20260311003584", "공시열람")</f>
        <v/>
      </c>
    </row>
    <row r="2699">
      <c r="A2699" s="2" t="inlineStr">
        <is>
          <t>2026-03-11</t>
        </is>
      </c>
      <c r="B2699" s="3" t="inlineStr">
        <is>
          <t>디티앤씨</t>
        </is>
      </c>
      <c r="C2699" s="2" t="inlineStr">
        <is>
          <t>코스닥</t>
        </is>
      </c>
      <c r="D2699" s="2" t="inlineStr">
        <is>
          <t>187220</t>
        </is>
      </c>
      <c r="E2699" s="3" t="inlineStr">
        <is>
          <t>주주총회소집공고</t>
        </is>
      </c>
      <c r="F2699" s="3" t="inlineStr">
        <is>
          <t>디티앤씨</t>
        </is>
      </c>
      <c r="G2699" s="2" t="inlineStr">
        <is>
          <t>20260311003582</t>
        </is>
      </c>
      <c r="H2699" s="8">
        <f>HYPERLINK("https://dart.fss.or.kr/dsaf001/main.do?rcpNo=20260311003582", "공시열람")</f>
        <v/>
      </c>
    </row>
    <row r="2700">
      <c r="A2700" s="2" t="inlineStr">
        <is>
          <t>2026-03-11</t>
        </is>
      </c>
      <c r="B2700" s="3" t="inlineStr">
        <is>
          <t>대창</t>
        </is>
      </c>
      <c r="C2700" s="2" t="inlineStr">
        <is>
          <t>코스피</t>
        </is>
      </c>
      <c r="D2700" s="2" t="inlineStr">
        <is>
          <t>012800</t>
        </is>
      </c>
      <c r="E2700" s="3" t="inlineStr">
        <is>
          <t>주주총회소집공고</t>
        </is>
      </c>
      <c r="F2700" s="3" t="inlineStr">
        <is>
          <t>대창</t>
        </is>
      </c>
      <c r="G2700" s="2" t="inlineStr">
        <is>
          <t>20260311003579</t>
        </is>
      </c>
      <c r="H2700" s="8">
        <f>HYPERLINK("https://dart.fss.or.kr/dsaf001/main.do?rcpNo=20260311003579", "공시열람")</f>
        <v/>
      </c>
    </row>
    <row r="2701">
      <c r="A2701" s="2" t="inlineStr">
        <is>
          <t>2026-03-11</t>
        </is>
      </c>
      <c r="B2701" s="3" t="inlineStr">
        <is>
          <t>하이트진로</t>
        </is>
      </c>
      <c r="C2701" s="2" t="inlineStr">
        <is>
          <t>코스피</t>
        </is>
      </c>
      <c r="D2701" s="2" t="inlineStr">
        <is>
          <t>000080</t>
        </is>
      </c>
      <c r="E2701" s="3" t="inlineStr">
        <is>
          <t>주주총회소집공고</t>
        </is>
      </c>
      <c r="F2701" s="3" t="inlineStr">
        <is>
          <t>하이트진로</t>
        </is>
      </c>
      <c r="G2701" s="2" t="inlineStr">
        <is>
          <t>20260311003575</t>
        </is>
      </c>
      <c r="H2701" s="8">
        <f>HYPERLINK("https://dart.fss.or.kr/dsaf001/main.do?rcpNo=20260311003575", "공시열람")</f>
        <v/>
      </c>
    </row>
    <row r="2702">
      <c r="A2702" s="2" t="inlineStr">
        <is>
          <t>2026-03-11</t>
        </is>
      </c>
      <c r="B2702" s="3" t="inlineStr">
        <is>
          <t>모토닉</t>
        </is>
      </c>
      <c r="C2702" s="2" t="inlineStr">
        <is>
          <t>코스피</t>
        </is>
      </c>
      <c r="D2702" s="2" t="inlineStr">
        <is>
          <t>009680</t>
        </is>
      </c>
      <c r="E2702" s="3" t="inlineStr">
        <is>
          <t>주주총회소집공고</t>
        </is>
      </c>
      <c r="F2702" s="3" t="inlineStr">
        <is>
          <t>모토닉</t>
        </is>
      </c>
      <c r="G2702" s="2" t="inlineStr">
        <is>
          <t>20260311003574</t>
        </is>
      </c>
      <c r="H2702" s="8">
        <f>HYPERLINK("https://dart.fss.or.kr/dsaf001/main.do?rcpNo=20260311003574", "공시열람")</f>
        <v/>
      </c>
    </row>
    <row r="2703">
      <c r="A2703" s="2" t="inlineStr">
        <is>
          <t>2026-03-11 (정정: 2026-03-11)</t>
        </is>
      </c>
      <c r="B2703" s="3" t="inlineStr">
        <is>
          <t>하이트진로</t>
        </is>
      </c>
      <c r="C2703" s="2" t="inlineStr">
        <is>
          <t>코스피</t>
        </is>
      </c>
      <c r="D2703" s="2" t="inlineStr">
        <is>
          <t>000080</t>
        </is>
      </c>
      <c r="E2703" s="3" t="inlineStr">
        <is>
          <t>주주총회소집결의               (정정: 20260311)</t>
        </is>
      </c>
      <c r="F2703" s="3" t="inlineStr">
        <is>
          <t>하이트진로</t>
        </is>
      </c>
      <c r="G2703" s="2" t="inlineStr">
        <is>
          <t>20260311800509</t>
        </is>
      </c>
      <c r="H2703" s="8">
        <f>HYPERLINK("https://dart.fss.or.kr/dsaf001/main.do?rcpNo=20260311800509", "공시열람")</f>
        <v/>
      </c>
    </row>
    <row r="2704">
      <c r="A2704" s="2" t="inlineStr">
        <is>
          <t>2026-03-11</t>
        </is>
      </c>
      <c r="B2704" s="3" t="inlineStr">
        <is>
          <t>대성에너지</t>
        </is>
      </c>
      <c r="C2704" s="2" t="inlineStr">
        <is>
          <t>코스피</t>
        </is>
      </c>
      <c r="D2704" s="2" t="inlineStr">
        <is>
          <t>117580</t>
        </is>
      </c>
      <c r="E2704" s="3" t="inlineStr">
        <is>
          <t>주주총회소집공고</t>
        </is>
      </c>
      <c r="F2704" s="3" t="inlineStr">
        <is>
          <t>대성에너지</t>
        </is>
      </c>
      <c r="G2704" s="2" t="inlineStr">
        <is>
          <t>20260311003570</t>
        </is>
      </c>
      <c r="H2704" s="8">
        <f>HYPERLINK("https://dart.fss.or.kr/dsaf001/main.do?rcpNo=20260311003570", "공시열람")</f>
        <v/>
      </c>
    </row>
    <row r="2705">
      <c r="A2705" s="2" t="inlineStr">
        <is>
          <t>2026-03-11</t>
        </is>
      </c>
      <c r="B2705" s="3" t="inlineStr">
        <is>
          <t>유니온머티리얼</t>
        </is>
      </c>
      <c r="C2705" s="2" t="inlineStr">
        <is>
          <t>코스피</t>
        </is>
      </c>
      <c r="D2705" s="2" t="inlineStr">
        <is>
          <t>047400</t>
        </is>
      </c>
      <c r="E2705" s="3" t="inlineStr">
        <is>
          <t xml:space="preserve">주주총회소집결의              </t>
        </is>
      </c>
      <c r="F2705" s="3" t="inlineStr">
        <is>
          <t>유니온머티리얼</t>
        </is>
      </c>
      <c r="G2705" s="2" t="inlineStr">
        <is>
          <t>20260311800644</t>
        </is>
      </c>
      <c r="H2705" s="8">
        <f>HYPERLINK("https://dart.fss.or.kr/dsaf001/main.do?rcpNo=20260311800644", "공시열람")</f>
        <v/>
      </c>
    </row>
    <row r="2706">
      <c r="A2706" s="2" t="inlineStr">
        <is>
          <t>2026-03-11</t>
        </is>
      </c>
      <c r="B2706" s="3" t="inlineStr">
        <is>
          <t>원림</t>
        </is>
      </c>
      <c r="C2706" s="2" t="inlineStr">
        <is>
          <t>코스피</t>
        </is>
      </c>
      <c r="D2706" s="2" t="inlineStr">
        <is>
          <t>005820</t>
        </is>
      </c>
      <c r="E2706" s="3" t="inlineStr">
        <is>
          <t>주주총회소집공고</t>
        </is>
      </c>
      <c r="F2706" s="3" t="inlineStr">
        <is>
          <t>원림</t>
        </is>
      </c>
      <c r="G2706" s="2" t="inlineStr">
        <is>
          <t>20260311003568</t>
        </is>
      </c>
      <c r="H2706" s="8">
        <f>HYPERLINK("https://dart.fss.or.kr/dsaf001/main.do?rcpNo=20260311003568", "공시열람")</f>
        <v/>
      </c>
    </row>
    <row r="2707">
      <c r="A2707" s="2" t="inlineStr">
        <is>
          <t>2026-03-11</t>
        </is>
      </c>
      <c r="B2707" s="3" t="inlineStr">
        <is>
          <t>씨큐브</t>
        </is>
      </c>
      <c r="C2707" s="2" t="inlineStr">
        <is>
          <t>코스닥</t>
        </is>
      </c>
      <c r="D2707" s="2" t="inlineStr">
        <is>
          <t>101240</t>
        </is>
      </c>
      <c r="E2707" s="3" t="inlineStr">
        <is>
          <t>주주총회소집공고</t>
        </is>
      </c>
      <c r="F2707" s="3" t="inlineStr">
        <is>
          <t>씨큐브</t>
        </is>
      </c>
      <c r="G2707" s="2" t="inlineStr">
        <is>
          <t>20260311003567</t>
        </is>
      </c>
      <c r="H2707" s="8">
        <f>HYPERLINK("https://dart.fss.or.kr/dsaf001/main.do?rcpNo=20260311003567", "공시열람")</f>
        <v/>
      </c>
    </row>
    <row r="2708">
      <c r="A2708" s="2" t="inlineStr">
        <is>
          <t>2026-03-11</t>
        </is>
      </c>
      <c r="B2708" s="3" t="inlineStr">
        <is>
          <t>흥국</t>
        </is>
      </c>
      <c r="C2708" s="2" t="inlineStr">
        <is>
          <t>코스닥</t>
        </is>
      </c>
      <c r="D2708" s="2" t="inlineStr">
        <is>
          <t>010240</t>
        </is>
      </c>
      <c r="E2708" s="3" t="inlineStr">
        <is>
          <t>주주총회소집공고</t>
        </is>
      </c>
      <c r="F2708" s="3" t="inlineStr">
        <is>
          <t>흥국</t>
        </is>
      </c>
      <c r="G2708" s="2" t="inlineStr">
        <is>
          <t>20260311003561</t>
        </is>
      </c>
      <c r="H2708" s="8">
        <f>HYPERLINK("https://dart.fss.or.kr/dsaf001/main.do?rcpNo=20260311003561", "공시열람")</f>
        <v/>
      </c>
    </row>
    <row r="2709">
      <c r="A2709" s="2" t="inlineStr">
        <is>
          <t>2026-03-11</t>
        </is>
      </c>
      <c r="B2709" s="3" t="inlineStr">
        <is>
          <t>모토닉</t>
        </is>
      </c>
      <c r="C2709" s="2" t="inlineStr">
        <is>
          <t>코스피</t>
        </is>
      </c>
      <c r="D2709" s="2" t="inlineStr">
        <is>
          <t>009680</t>
        </is>
      </c>
      <c r="E2709" s="3" t="inlineStr">
        <is>
          <t xml:space="preserve">주주총회소집결의              </t>
        </is>
      </c>
      <c r="F2709" s="3" t="inlineStr">
        <is>
          <t>모토닉</t>
        </is>
      </c>
      <c r="G2709" s="2" t="inlineStr">
        <is>
          <t>20260311800566</t>
        </is>
      </c>
      <c r="H2709" s="8">
        <f>HYPERLINK("https://dart.fss.or.kr/dsaf001/main.do?rcpNo=20260311800566", "공시열람")</f>
        <v/>
      </c>
    </row>
    <row r="2710">
      <c r="A2710" s="2" t="inlineStr">
        <is>
          <t>2026-03-11</t>
        </is>
      </c>
      <c r="B2710" s="3" t="inlineStr">
        <is>
          <t>우진비앤지</t>
        </is>
      </c>
      <c r="C2710" s="2" t="inlineStr">
        <is>
          <t>코스닥</t>
        </is>
      </c>
      <c r="D2710" s="2" t="inlineStr">
        <is>
          <t>018620</t>
        </is>
      </c>
      <c r="E2710" s="3" t="inlineStr">
        <is>
          <t xml:space="preserve">주주총회소집결의              </t>
        </is>
      </c>
      <c r="F2710" s="3" t="inlineStr">
        <is>
          <t>우진비앤지</t>
        </is>
      </c>
      <c r="G2710" s="2" t="inlineStr">
        <is>
          <t>20260311900551</t>
        </is>
      </c>
      <c r="H2710" s="8">
        <f>HYPERLINK("https://dart.fss.or.kr/dsaf001/main.do?rcpNo=20260311900551", "공시열람")</f>
        <v/>
      </c>
    </row>
    <row r="2711">
      <c r="A2711" s="2" t="inlineStr">
        <is>
          <t>2026-03-11</t>
        </is>
      </c>
      <c r="B2711" s="3" t="inlineStr">
        <is>
          <t>일월지엠엘</t>
        </is>
      </c>
      <c r="C2711" s="2" t="inlineStr">
        <is>
          <t>코스닥</t>
        </is>
      </c>
      <c r="D2711" s="2" t="inlineStr">
        <is>
          <t>178780</t>
        </is>
      </c>
      <c r="E2711" s="3" t="inlineStr">
        <is>
          <t>주주총회소집공고</t>
        </is>
      </c>
      <c r="F2711" s="3" t="inlineStr">
        <is>
          <t>일월지엠엘</t>
        </is>
      </c>
      <c r="G2711" s="2" t="inlineStr">
        <is>
          <t>20260311003559</t>
        </is>
      </c>
      <c r="H2711" s="8">
        <f>HYPERLINK("https://dart.fss.or.kr/dsaf001/main.do?rcpNo=20260311003559", "공시열람")</f>
        <v/>
      </c>
    </row>
    <row r="2712">
      <c r="A2712" s="2" t="inlineStr">
        <is>
          <t>2026-03-11 (정정: 2026-03-11)</t>
        </is>
      </c>
      <c r="B2712" s="3" t="inlineStr">
        <is>
          <t>와이솔</t>
        </is>
      </c>
      <c r="C2712" s="2" t="inlineStr">
        <is>
          <t>코스닥</t>
        </is>
      </c>
      <c r="D2712" s="2" t="inlineStr">
        <is>
          <t>122990</t>
        </is>
      </c>
      <c r="E2712" s="3" t="inlineStr">
        <is>
          <t>주주총회소집공고 (정정: 20260311)</t>
        </is>
      </c>
      <c r="F2712" s="3" t="inlineStr">
        <is>
          <t>와이솔</t>
        </is>
      </c>
      <c r="G2712" s="2" t="inlineStr">
        <is>
          <t>20260311900595</t>
        </is>
      </c>
      <c r="H2712" s="8">
        <f>HYPERLINK("https://dart.fss.or.kr/dsaf001/main.do?rcpNo=20260311900595", "공시열람")</f>
        <v/>
      </c>
    </row>
    <row r="2713">
      <c r="A2713" s="2" t="inlineStr">
        <is>
          <t>2026-03-11</t>
        </is>
      </c>
      <c r="B2713" s="3" t="inlineStr">
        <is>
          <t>알멕</t>
        </is>
      </c>
      <c r="C2713" s="2" t="inlineStr">
        <is>
          <t>코스닥</t>
        </is>
      </c>
      <c r="D2713" s="2" t="inlineStr">
        <is>
          <t>354320</t>
        </is>
      </c>
      <c r="E2713" s="3" t="inlineStr">
        <is>
          <t>주주총회소집공고</t>
        </is>
      </c>
      <c r="F2713" s="3" t="inlineStr">
        <is>
          <t>알멕</t>
        </is>
      </c>
      <c r="G2713" s="2" t="inlineStr">
        <is>
          <t>20260311003556</t>
        </is>
      </c>
      <c r="H2713" s="8">
        <f>HYPERLINK("https://dart.fss.or.kr/dsaf001/main.do?rcpNo=20260311003556", "공시열람")</f>
        <v/>
      </c>
    </row>
    <row r="2714">
      <c r="A2714" s="2" t="inlineStr">
        <is>
          <t>2026-03-11 (정정: 2026-03-12)</t>
        </is>
      </c>
      <c r="B2714" s="3" t="inlineStr">
        <is>
          <t>닷밀</t>
        </is>
      </c>
      <c r="C2714" s="2" t="inlineStr">
        <is>
          <t>코스닥</t>
        </is>
      </c>
      <c r="D2714" s="2" t="inlineStr">
        <is>
          <t>464580</t>
        </is>
      </c>
      <c r="E2714" s="3" t="inlineStr">
        <is>
          <t>주주총회소집결의               (정정: 20260312)</t>
        </is>
      </c>
      <c r="F2714" s="3" t="inlineStr">
        <is>
          <t>닷밀</t>
        </is>
      </c>
      <c r="G2714" s="2" t="inlineStr">
        <is>
          <t>20260312000518</t>
        </is>
      </c>
      <c r="H2714" s="8">
        <f>HYPERLINK("https://dart.fss.or.kr/dsaf001/main.do?rcpNo=20260312000518", "공시열람")</f>
        <v/>
      </c>
    </row>
    <row r="2715">
      <c r="A2715" s="2" t="inlineStr">
        <is>
          <t>2026-03-11</t>
        </is>
      </c>
      <c r="B2715" s="3" t="inlineStr">
        <is>
          <t>디티앤씨</t>
        </is>
      </c>
      <c r="C2715" s="2" t="inlineStr">
        <is>
          <t>코스닥</t>
        </is>
      </c>
      <c r="D2715" s="2" t="inlineStr">
        <is>
          <t>187220</t>
        </is>
      </c>
      <c r="E2715" s="3" t="inlineStr">
        <is>
          <t xml:space="preserve">주주총회집중일개최사유신고              </t>
        </is>
      </c>
      <c r="F2715" s="3" t="inlineStr">
        <is>
          <t>디티앤씨</t>
        </is>
      </c>
      <c r="G2715" s="2" t="inlineStr">
        <is>
          <t>20260311900629</t>
        </is>
      </c>
      <c r="H2715" s="8">
        <f>HYPERLINK("https://dart.fss.or.kr/dsaf001/main.do?rcpNo=20260311900629", "공시열람")</f>
        <v/>
      </c>
    </row>
    <row r="2716">
      <c r="A2716" s="2" t="inlineStr">
        <is>
          <t>2026-03-11</t>
        </is>
      </c>
      <c r="B2716" s="3" t="inlineStr">
        <is>
          <t>LB인베스트먼트</t>
        </is>
      </c>
      <c r="C2716" s="2" t="inlineStr">
        <is>
          <t>코스닥</t>
        </is>
      </c>
      <c r="D2716" s="2" t="inlineStr">
        <is>
          <t>309960</t>
        </is>
      </c>
      <c r="E2716" s="3" t="inlineStr">
        <is>
          <t xml:space="preserve">주주총회소집결의              </t>
        </is>
      </c>
      <c r="F2716" s="3" t="inlineStr">
        <is>
          <t>LB인베스트먼트</t>
        </is>
      </c>
      <c r="G2716" s="2" t="inlineStr">
        <is>
          <t>20260311900604</t>
        </is>
      </c>
      <c r="H2716" s="8">
        <f>HYPERLINK("https://dart.fss.or.kr/dsaf001/main.do?rcpNo=20260311900604", "공시열람")</f>
        <v/>
      </c>
    </row>
    <row r="2717">
      <c r="A2717" s="2" t="inlineStr">
        <is>
          <t>2026-03-11</t>
        </is>
      </c>
      <c r="B2717" s="3" t="inlineStr">
        <is>
          <t>SK증권제11호스팩</t>
        </is>
      </c>
      <c r="C2717" s="2" t="inlineStr">
        <is>
          <t>코스닥</t>
        </is>
      </c>
      <c r="D2717" s="2" t="inlineStr">
        <is>
          <t>472230</t>
        </is>
      </c>
      <c r="E2717" s="3" t="inlineStr">
        <is>
          <t>주주총회소집공고</t>
        </is>
      </c>
      <c r="F2717" s="3" t="inlineStr">
        <is>
          <t>SK증권제11호스팩</t>
        </is>
      </c>
      <c r="G2717" s="2" t="inlineStr">
        <is>
          <t>20260311003552</t>
        </is>
      </c>
      <c r="H2717" s="8">
        <f>HYPERLINK("https://dart.fss.or.kr/dsaf001/main.do?rcpNo=20260311003552", "공시열람")</f>
        <v/>
      </c>
    </row>
    <row r="2718">
      <c r="A2718" s="2" t="inlineStr">
        <is>
          <t>2026-03-11 (정정: 2026-05-22)</t>
        </is>
      </c>
      <c r="B2718" s="3" t="inlineStr">
        <is>
          <t>자비스</t>
        </is>
      </c>
      <c r="C2718" s="2" t="inlineStr">
        <is>
          <t>코스닥</t>
        </is>
      </c>
      <c r="D2718" s="2" t="inlineStr">
        <is>
          <t>254120</t>
        </is>
      </c>
      <c r="E2718" s="3" t="inlineStr">
        <is>
          <t>주주총회소집결의               (정정: 20260522) (정정: 20260522) (정정: 20260522)</t>
        </is>
      </c>
      <c r="F2718" s="3" t="inlineStr">
        <is>
          <t>자비스</t>
        </is>
      </c>
      <c r="G2718" s="2" t="inlineStr">
        <is>
          <t>20260522000454</t>
        </is>
      </c>
      <c r="H2718" s="8">
        <f>HYPERLINK("https://dart.fss.or.kr/dsaf001/main.do?rcpNo=20260522000454", "공시열람")</f>
        <v/>
      </c>
    </row>
    <row r="2719">
      <c r="A2719" s="2" t="inlineStr">
        <is>
          <t>2026-03-11 (정정: 2026-03-11)</t>
        </is>
      </c>
      <c r="B2719" s="3" t="inlineStr">
        <is>
          <t>코이즈</t>
        </is>
      </c>
      <c r="C2719" s="2" t="inlineStr">
        <is>
          <t>코스닥</t>
        </is>
      </c>
      <c r="D2719" s="2" t="inlineStr">
        <is>
          <t>121850</t>
        </is>
      </c>
      <c r="E2719" s="3" t="inlineStr">
        <is>
          <t>주주총회소집공고 (정정: 20260311)</t>
        </is>
      </c>
      <c r="F2719" s="3" t="inlineStr">
        <is>
          <t>코이즈</t>
        </is>
      </c>
      <c r="G2719" s="2" t="inlineStr">
        <is>
          <t>20260311900526</t>
        </is>
      </c>
      <c r="H2719" s="8">
        <f>HYPERLINK("https://dart.fss.or.kr/dsaf001/main.do?rcpNo=20260311900526", "공시열람")</f>
        <v/>
      </c>
    </row>
    <row r="2720">
      <c r="A2720" s="2" t="inlineStr">
        <is>
          <t>2026-03-11</t>
        </is>
      </c>
      <c r="B2720" s="3" t="inlineStr">
        <is>
          <t>경농</t>
        </is>
      </c>
      <c r="C2720" s="2" t="inlineStr">
        <is>
          <t>코스피</t>
        </is>
      </c>
      <c r="D2720" s="2" t="inlineStr">
        <is>
          <t>002100</t>
        </is>
      </c>
      <c r="E2720" s="3" t="inlineStr">
        <is>
          <t>주주총회소집공고</t>
        </is>
      </c>
      <c r="F2720" s="3" t="inlineStr">
        <is>
          <t>경농</t>
        </is>
      </c>
      <c r="G2720" s="2" t="inlineStr">
        <is>
          <t>20260311003550</t>
        </is>
      </c>
      <c r="H2720" s="8">
        <f>HYPERLINK("https://dart.fss.or.kr/dsaf001/main.do?rcpNo=20260311003550", "공시열람")</f>
        <v/>
      </c>
    </row>
    <row r="2721">
      <c r="A2721" s="2" t="inlineStr">
        <is>
          <t>2026-03-11</t>
        </is>
      </c>
      <c r="B2721" s="3" t="inlineStr">
        <is>
          <t>네패스아크</t>
        </is>
      </c>
      <c r="C2721" s="2" t="inlineStr">
        <is>
          <t>코스닥</t>
        </is>
      </c>
      <c r="D2721" s="2" t="inlineStr">
        <is>
          <t>330860</t>
        </is>
      </c>
      <c r="E2721" s="3" t="inlineStr">
        <is>
          <t xml:space="preserve">주주총회소집결의              </t>
        </is>
      </c>
      <c r="F2721" s="3" t="inlineStr">
        <is>
          <t>네패스아크</t>
        </is>
      </c>
      <c r="G2721" s="2" t="inlineStr">
        <is>
          <t>20260311900626</t>
        </is>
      </c>
      <c r="H2721" s="8">
        <f>HYPERLINK("https://dart.fss.or.kr/dsaf001/main.do?rcpNo=20260311900626", "공시열람")</f>
        <v/>
      </c>
    </row>
    <row r="2722">
      <c r="A2722" s="2" t="inlineStr">
        <is>
          <t>2026-03-11</t>
        </is>
      </c>
      <c r="B2722" s="3" t="inlineStr">
        <is>
          <t>명신산업</t>
        </is>
      </c>
      <c r="C2722" s="2" t="inlineStr">
        <is>
          <t>코스피</t>
        </is>
      </c>
      <c r="D2722" s="2" t="inlineStr">
        <is>
          <t>009900</t>
        </is>
      </c>
      <c r="E2722" s="3" t="inlineStr">
        <is>
          <t>주주총회소집공고</t>
        </is>
      </c>
      <c r="F2722" s="3" t="inlineStr">
        <is>
          <t>명신산업</t>
        </is>
      </c>
      <c r="G2722" s="2" t="inlineStr">
        <is>
          <t>20260311003549</t>
        </is>
      </c>
      <c r="H2722" s="8">
        <f>HYPERLINK("https://dart.fss.or.kr/dsaf001/main.do?rcpNo=20260311003549", "공시열람")</f>
        <v/>
      </c>
    </row>
    <row r="2723">
      <c r="A2723" s="2" t="inlineStr">
        <is>
          <t>2026-03-11</t>
        </is>
      </c>
      <c r="B2723" s="3" t="inlineStr">
        <is>
          <t>한네트</t>
        </is>
      </c>
      <c r="C2723" s="2" t="inlineStr">
        <is>
          <t>코스닥</t>
        </is>
      </c>
      <c r="D2723" s="2" t="inlineStr">
        <is>
          <t>052600</t>
        </is>
      </c>
      <c r="E2723" s="3" t="inlineStr">
        <is>
          <t>주주총회소집공고</t>
        </is>
      </c>
      <c r="F2723" s="3" t="inlineStr">
        <is>
          <t>한네트</t>
        </is>
      </c>
      <c r="G2723" s="2" t="inlineStr">
        <is>
          <t>20260311003546</t>
        </is>
      </c>
      <c r="H2723" s="8">
        <f>HYPERLINK("https://dart.fss.or.kr/dsaf001/main.do?rcpNo=20260311003546", "공시열람")</f>
        <v/>
      </c>
    </row>
    <row r="2724">
      <c r="A2724" s="2" t="inlineStr">
        <is>
          <t>2026-03-11</t>
        </is>
      </c>
      <c r="B2724" s="3" t="inlineStr">
        <is>
          <t>아이엠티</t>
        </is>
      </c>
      <c r="C2724" s="2" t="inlineStr">
        <is>
          <t>코스닥</t>
        </is>
      </c>
      <c r="D2724" s="2" t="inlineStr">
        <is>
          <t>451220</t>
        </is>
      </c>
      <c r="E2724" s="3" t="inlineStr">
        <is>
          <t>주주총회소집공고</t>
        </is>
      </c>
      <c r="F2724" s="3" t="inlineStr">
        <is>
          <t>아이엠티</t>
        </is>
      </c>
      <c r="G2724" s="2" t="inlineStr">
        <is>
          <t>20260311003545</t>
        </is>
      </c>
      <c r="H2724" s="8">
        <f>HYPERLINK("https://dart.fss.or.kr/dsaf001/main.do?rcpNo=20260311003545", "공시열람")</f>
        <v/>
      </c>
    </row>
    <row r="2725">
      <c r="A2725" s="2" t="inlineStr">
        <is>
          <t>2026-03-11</t>
        </is>
      </c>
      <c r="B2725" s="3" t="inlineStr">
        <is>
          <t>노드메이슨</t>
        </is>
      </c>
      <c r="C2725" s="2" t="inlineStr">
        <is>
          <t>코넥스</t>
        </is>
      </c>
      <c r="D2725" s="2" t="inlineStr">
        <is>
          <t>317860</t>
        </is>
      </c>
      <c r="E2725" s="3" t="inlineStr">
        <is>
          <t xml:space="preserve">주주총회소집결의              </t>
        </is>
      </c>
      <c r="F2725" s="3" t="inlineStr">
        <is>
          <t>노드메이슨</t>
        </is>
      </c>
      <c r="G2725" s="2" t="inlineStr">
        <is>
          <t>20260311600590</t>
        </is>
      </c>
      <c r="H2725" s="8">
        <f>HYPERLINK("https://dart.fss.or.kr/dsaf001/main.do?rcpNo=20260311600590", "공시열람")</f>
        <v/>
      </c>
    </row>
    <row r="2726">
      <c r="A2726" s="2" t="inlineStr">
        <is>
          <t>2026-03-11</t>
        </is>
      </c>
      <c r="B2726" s="3" t="inlineStr">
        <is>
          <t>산돌</t>
        </is>
      </c>
      <c r="C2726" s="2" t="inlineStr">
        <is>
          <t>코스닥</t>
        </is>
      </c>
      <c r="D2726" s="2" t="inlineStr">
        <is>
          <t>419120</t>
        </is>
      </c>
      <c r="E2726" s="3" t="inlineStr">
        <is>
          <t>주주총회소집공고</t>
        </is>
      </c>
      <c r="F2726" s="3" t="inlineStr">
        <is>
          <t>산돌</t>
        </is>
      </c>
      <c r="G2726" s="2" t="inlineStr">
        <is>
          <t>20260311003540</t>
        </is>
      </c>
      <c r="H2726" s="8">
        <f>HYPERLINK("https://dart.fss.or.kr/dsaf001/main.do?rcpNo=20260311003540", "공시열람")</f>
        <v/>
      </c>
    </row>
    <row r="2727">
      <c r="A2727" s="2" t="inlineStr">
        <is>
          <t>2026-03-11</t>
        </is>
      </c>
      <c r="B2727" s="3" t="inlineStr">
        <is>
          <t>대성에너지</t>
        </is>
      </c>
      <c r="C2727" s="2" t="inlineStr">
        <is>
          <t>코스피</t>
        </is>
      </c>
      <c r="D2727" s="2" t="inlineStr">
        <is>
          <t>117580</t>
        </is>
      </c>
      <c r="E2727" s="3" t="inlineStr">
        <is>
          <t xml:space="preserve">주주총회소집결의              </t>
        </is>
      </c>
      <c r="F2727" s="3" t="inlineStr">
        <is>
          <t>대성에너지</t>
        </is>
      </c>
      <c r="G2727" s="2" t="inlineStr">
        <is>
          <t>20260311800582</t>
        </is>
      </c>
      <c r="H2727" s="8">
        <f>HYPERLINK("https://dart.fss.or.kr/dsaf001/main.do?rcpNo=20260311800582", "공시열람")</f>
        <v/>
      </c>
    </row>
    <row r="2728">
      <c r="A2728" s="2" t="inlineStr">
        <is>
          <t>2026-03-11</t>
        </is>
      </c>
      <c r="B2728" s="3" t="inlineStr">
        <is>
          <t>삼일제약</t>
        </is>
      </c>
      <c r="C2728" s="2" t="inlineStr">
        <is>
          <t>코스피</t>
        </is>
      </c>
      <c r="D2728" s="2" t="inlineStr">
        <is>
          <t>000520</t>
        </is>
      </c>
      <c r="E2728" s="3" t="inlineStr">
        <is>
          <t>주주총회소집공고</t>
        </is>
      </c>
      <c r="F2728" s="3" t="inlineStr">
        <is>
          <t>삼일제약</t>
        </is>
      </c>
      <c r="G2728" s="2" t="inlineStr">
        <is>
          <t>20260311003538</t>
        </is>
      </c>
      <c r="H2728" s="8">
        <f>HYPERLINK("https://dart.fss.or.kr/dsaf001/main.do?rcpNo=20260311003538", "공시열람")</f>
        <v/>
      </c>
    </row>
    <row r="2729">
      <c r="A2729" s="2" t="inlineStr">
        <is>
          <t>2026-03-11</t>
        </is>
      </c>
      <c r="B2729" s="3" t="inlineStr">
        <is>
          <t>디비금융제14호스팩</t>
        </is>
      </c>
      <c r="C2729" s="2" t="inlineStr">
        <is>
          <t>코스닥</t>
        </is>
      </c>
      <c r="D2729" s="2" t="inlineStr">
        <is>
          <t>0004Y0</t>
        </is>
      </c>
      <c r="E2729" s="3" t="inlineStr">
        <is>
          <t>주주총회소집공고</t>
        </is>
      </c>
      <c r="F2729" s="3" t="inlineStr">
        <is>
          <t>디비금융제14호스팩</t>
        </is>
      </c>
      <c r="G2729" s="2" t="inlineStr">
        <is>
          <t>20260311003535</t>
        </is>
      </c>
      <c r="H2729" s="8">
        <f>HYPERLINK("https://dart.fss.or.kr/dsaf001/main.do?rcpNo=20260311003535", "공시열람")</f>
        <v/>
      </c>
    </row>
    <row r="2730">
      <c r="A2730" s="2" t="inlineStr">
        <is>
          <t>2026-03-11</t>
        </is>
      </c>
      <c r="B2730" s="3" t="inlineStr">
        <is>
          <t>부국철강</t>
        </is>
      </c>
      <c r="C2730" s="2" t="inlineStr">
        <is>
          <t>코스피</t>
        </is>
      </c>
      <c r="D2730" s="2" t="inlineStr">
        <is>
          <t>026940</t>
        </is>
      </c>
      <c r="E2730" s="3" t="inlineStr">
        <is>
          <t xml:space="preserve">주주총회소집결의              </t>
        </is>
      </c>
      <c r="F2730" s="3" t="inlineStr">
        <is>
          <t>부국철강</t>
        </is>
      </c>
      <c r="G2730" s="2" t="inlineStr">
        <is>
          <t>20260311800588</t>
        </is>
      </c>
      <c r="H2730" s="8">
        <f>HYPERLINK("https://dart.fss.or.kr/dsaf001/main.do?rcpNo=20260311800588", "공시열람")</f>
        <v/>
      </c>
    </row>
    <row r="2731">
      <c r="A2731" s="2" t="inlineStr">
        <is>
          <t>2026-03-11 (정정: 2026-03-11)</t>
        </is>
      </c>
      <c r="B2731" s="3" t="inlineStr">
        <is>
          <t>원림</t>
        </is>
      </c>
      <c r="C2731" s="2" t="inlineStr">
        <is>
          <t>코스피</t>
        </is>
      </c>
      <c r="D2731" s="2" t="inlineStr">
        <is>
          <t>005820</t>
        </is>
      </c>
      <c r="E2731" s="3" t="inlineStr">
        <is>
          <t>주주총회소집결의               (정정: 20260311)</t>
        </is>
      </c>
      <c r="F2731" s="3" t="inlineStr">
        <is>
          <t>원림</t>
        </is>
      </c>
      <c r="G2731" s="2" t="inlineStr">
        <is>
          <t>20260311800535</t>
        </is>
      </c>
      <c r="H2731" s="8">
        <f>HYPERLINK("https://dart.fss.or.kr/dsaf001/main.do?rcpNo=20260311800535", "공시열람")</f>
        <v/>
      </c>
    </row>
    <row r="2732">
      <c r="A2732" s="2" t="inlineStr">
        <is>
          <t>2026-03-11</t>
        </is>
      </c>
      <c r="B2732" s="3" t="inlineStr">
        <is>
          <t>애경산업</t>
        </is>
      </c>
      <c r="C2732" s="2" t="inlineStr">
        <is>
          <t>코스피</t>
        </is>
      </c>
      <c r="D2732" s="2" t="inlineStr">
        <is>
          <t>018250</t>
        </is>
      </c>
      <c r="E2732" s="3" t="inlineStr">
        <is>
          <t>주주총회소집공고</t>
        </is>
      </c>
      <c r="F2732" s="3" t="inlineStr">
        <is>
          <t>애경산업</t>
        </is>
      </c>
      <c r="G2732" s="2" t="inlineStr">
        <is>
          <t>20260311003532</t>
        </is>
      </c>
      <c r="H2732" s="8">
        <f>HYPERLINK("https://dart.fss.or.kr/dsaf001/main.do?rcpNo=20260311003532", "공시열람")</f>
        <v/>
      </c>
    </row>
    <row r="2733">
      <c r="A2733" s="2" t="inlineStr">
        <is>
          <t>2026-03-11</t>
        </is>
      </c>
      <c r="B2733" s="3" t="inlineStr">
        <is>
          <t>씨큐브</t>
        </is>
      </c>
      <c r="C2733" s="2" t="inlineStr">
        <is>
          <t>코스닥</t>
        </is>
      </c>
      <c r="D2733" s="2" t="inlineStr">
        <is>
          <t>101240</t>
        </is>
      </c>
      <c r="E2733" s="3" t="inlineStr">
        <is>
          <t xml:space="preserve">주주총회소집결의              </t>
        </is>
      </c>
      <c r="F2733" s="3" t="inlineStr">
        <is>
          <t>씨큐브</t>
        </is>
      </c>
      <c r="G2733" s="2" t="inlineStr">
        <is>
          <t>20260311900579</t>
        </is>
      </c>
      <c r="H2733" s="8">
        <f>HYPERLINK("https://dart.fss.or.kr/dsaf001/main.do?rcpNo=20260311900579", "공시열람")</f>
        <v/>
      </c>
    </row>
    <row r="2734">
      <c r="A2734" s="2" t="inlineStr">
        <is>
          <t>2026-03-11</t>
        </is>
      </c>
      <c r="B2734" s="3" t="inlineStr">
        <is>
          <t>KS인더스트리</t>
        </is>
      </c>
      <c r="C2734" s="2" t="inlineStr">
        <is>
          <t>코스닥</t>
        </is>
      </c>
      <c r="D2734" s="2" t="inlineStr">
        <is>
          <t>101000</t>
        </is>
      </c>
      <c r="E2734" s="3" t="inlineStr">
        <is>
          <t xml:space="preserve">주주총회소집결의              </t>
        </is>
      </c>
      <c r="F2734" s="3" t="inlineStr">
        <is>
          <t>KS인더스트리</t>
        </is>
      </c>
      <c r="G2734" s="2" t="inlineStr">
        <is>
          <t>20260311900578</t>
        </is>
      </c>
      <c r="H2734" s="8">
        <f>HYPERLINK("https://dart.fss.or.kr/dsaf001/main.do?rcpNo=20260311900578", "공시열람")</f>
        <v/>
      </c>
    </row>
    <row r="2735">
      <c r="A2735" s="2" t="inlineStr">
        <is>
          <t>2026-03-11</t>
        </is>
      </c>
      <c r="B2735" s="3" t="inlineStr">
        <is>
          <t>아티스트스튜디오</t>
        </is>
      </c>
      <c r="C2735" s="2" t="inlineStr">
        <is>
          <t>코스닥</t>
        </is>
      </c>
      <c r="D2735" s="2" t="inlineStr">
        <is>
          <t>200350</t>
        </is>
      </c>
      <c r="E2735" s="3" t="inlineStr">
        <is>
          <t xml:space="preserve">주주총회소집결의              </t>
        </is>
      </c>
      <c r="F2735" s="3" t="inlineStr">
        <is>
          <t>아티스트스튜디오</t>
        </is>
      </c>
      <c r="G2735" s="2" t="inlineStr">
        <is>
          <t>20260311900585</t>
        </is>
      </c>
      <c r="H2735" s="8">
        <f>HYPERLINK("https://dart.fss.or.kr/dsaf001/main.do?rcpNo=20260311900585", "공시열람")</f>
        <v/>
      </c>
    </row>
    <row r="2736">
      <c r="A2736" s="2" t="inlineStr">
        <is>
          <t>2026-03-11</t>
        </is>
      </c>
      <c r="B2736" s="3" t="inlineStr">
        <is>
          <t>삼일</t>
        </is>
      </c>
      <c r="C2736" s="2" t="inlineStr">
        <is>
          <t>코스닥</t>
        </is>
      </c>
      <c r="D2736" s="2" t="inlineStr">
        <is>
          <t>032280</t>
        </is>
      </c>
      <c r="E2736" s="3" t="inlineStr">
        <is>
          <t>주주총회소집공고</t>
        </is>
      </c>
      <c r="F2736" s="3" t="inlineStr">
        <is>
          <t>삼일</t>
        </is>
      </c>
      <c r="G2736" s="2" t="inlineStr">
        <is>
          <t>20260311003530</t>
        </is>
      </c>
      <c r="H2736" s="8">
        <f>HYPERLINK("https://dart.fss.or.kr/dsaf001/main.do?rcpNo=20260311003530", "공시열람")</f>
        <v/>
      </c>
    </row>
    <row r="2737">
      <c r="A2737" s="2" t="inlineStr">
        <is>
          <t>2026-03-11</t>
        </is>
      </c>
      <c r="B2737" s="3" t="inlineStr">
        <is>
          <t>세보엠이씨</t>
        </is>
      </c>
      <c r="C2737" s="2" t="inlineStr">
        <is>
          <t>코스닥</t>
        </is>
      </c>
      <c r="D2737" s="2" t="inlineStr">
        <is>
          <t>011560</t>
        </is>
      </c>
      <c r="E2737" s="3" t="inlineStr">
        <is>
          <t>주주총회소집공고</t>
        </is>
      </c>
      <c r="F2737" s="3" t="inlineStr">
        <is>
          <t>세보엠이씨</t>
        </is>
      </c>
      <c r="G2737" s="2" t="inlineStr">
        <is>
          <t>20260311003526</t>
        </is>
      </c>
      <c r="H2737" s="8">
        <f>HYPERLINK("https://dart.fss.or.kr/dsaf001/main.do?rcpNo=20260311003526", "공시열람")</f>
        <v/>
      </c>
    </row>
    <row r="2738">
      <c r="A2738" s="2" t="inlineStr">
        <is>
          <t>2026-03-11</t>
        </is>
      </c>
      <c r="B2738" s="3" t="inlineStr">
        <is>
          <t>SK증권제12호스팩</t>
        </is>
      </c>
      <c r="C2738" s="2" t="inlineStr">
        <is>
          <t>코스닥</t>
        </is>
      </c>
      <c r="D2738" s="2" t="inlineStr">
        <is>
          <t>473000</t>
        </is>
      </c>
      <c r="E2738" s="3" t="inlineStr">
        <is>
          <t>주주총회소집공고</t>
        </is>
      </c>
      <c r="F2738" s="3" t="inlineStr">
        <is>
          <t>SK증권제12호스팩</t>
        </is>
      </c>
      <c r="G2738" s="2" t="inlineStr">
        <is>
          <t>20260311003525</t>
        </is>
      </c>
      <c r="H2738" s="8">
        <f>HYPERLINK("https://dart.fss.or.kr/dsaf001/main.do?rcpNo=20260311003525", "공시열람")</f>
        <v/>
      </c>
    </row>
    <row r="2739">
      <c r="A2739" s="2" t="inlineStr">
        <is>
          <t>2026-03-11</t>
        </is>
      </c>
      <c r="B2739" s="3" t="inlineStr">
        <is>
          <t>디티앤씨</t>
        </is>
      </c>
      <c r="C2739" s="2" t="inlineStr">
        <is>
          <t>코스닥</t>
        </is>
      </c>
      <c r="D2739" s="2" t="inlineStr">
        <is>
          <t>187220</t>
        </is>
      </c>
      <c r="E2739" s="3" t="inlineStr">
        <is>
          <t xml:space="preserve">주주총회소집결의              </t>
        </is>
      </c>
      <c r="F2739" s="3" t="inlineStr">
        <is>
          <t>디티앤씨</t>
        </is>
      </c>
      <c r="G2739" s="2" t="inlineStr">
        <is>
          <t>20260311900565</t>
        </is>
      </c>
      <c r="H2739" s="8">
        <f>HYPERLINK("https://dart.fss.or.kr/dsaf001/main.do?rcpNo=20260311900565", "공시열람")</f>
        <v/>
      </c>
    </row>
    <row r="2740">
      <c r="A2740" s="2" t="inlineStr">
        <is>
          <t>2026-03-11</t>
        </is>
      </c>
      <c r="B2740" s="3" t="inlineStr">
        <is>
          <t>코텍</t>
        </is>
      </c>
      <c r="C2740" s="2" t="inlineStr">
        <is>
          <t>코스닥</t>
        </is>
      </c>
      <c r="D2740" s="2" t="inlineStr">
        <is>
          <t>052330</t>
        </is>
      </c>
      <c r="E2740" s="3" t="inlineStr">
        <is>
          <t>주주총회소집공고</t>
        </is>
      </c>
      <c r="F2740" s="3" t="inlineStr">
        <is>
          <t>코텍</t>
        </is>
      </c>
      <c r="G2740" s="2" t="inlineStr">
        <is>
          <t>20260311003523</t>
        </is>
      </c>
      <c r="H2740" s="8">
        <f>HYPERLINK("https://dart.fss.or.kr/dsaf001/main.do?rcpNo=20260311003523", "공시열람")</f>
        <v/>
      </c>
    </row>
    <row r="2741">
      <c r="A2741" s="2" t="inlineStr">
        <is>
          <t>2026-03-11</t>
        </is>
      </c>
      <c r="B2741" s="3" t="inlineStr">
        <is>
          <t>명신산업</t>
        </is>
      </c>
      <c r="C2741" s="2" t="inlineStr">
        <is>
          <t>코스피</t>
        </is>
      </c>
      <c r="D2741" s="2" t="inlineStr">
        <is>
          <t>009900</t>
        </is>
      </c>
      <c r="E2741" s="3" t="inlineStr">
        <is>
          <t xml:space="preserve">주주총회소집결의              </t>
        </is>
      </c>
      <c r="F2741" s="3" t="inlineStr">
        <is>
          <t>명신산업</t>
        </is>
      </c>
      <c r="G2741" s="2" t="inlineStr">
        <is>
          <t>20260311800572</t>
        </is>
      </c>
      <c r="H2741" s="8">
        <f>HYPERLINK("https://dart.fss.or.kr/dsaf001/main.do?rcpNo=20260311800572", "공시열람")</f>
        <v/>
      </c>
    </row>
    <row r="2742">
      <c r="A2742" s="2" t="inlineStr">
        <is>
          <t>2026-03-11</t>
        </is>
      </c>
      <c r="B2742" s="3" t="inlineStr">
        <is>
          <t>산돌</t>
        </is>
      </c>
      <c r="C2742" s="2" t="inlineStr">
        <is>
          <t>코스닥</t>
        </is>
      </c>
      <c r="D2742" s="2" t="inlineStr">
        <is>
          <t>419120</t>
        </is>
      </c>
      <c r="E2742" s="3" t="inlineStr">
        <is>
          <t xml:space="preserve">주주총회소집결의              </t>
        </is>
      </c>
      <c r="F2742" s="3" t="inlineStr">
        <is>
          <t>산돌</t>
        </is>
      </c>
      <c r="G2742" s="2" t="inlineStr">
        <is>
          <t>20260311900558</t>
        </is>
      </c>
      <c r="H2742" s="8">
        <f>HYPERLINK("https://dart.fss.or.kr/dsaf001/main.do?rcpNo=20260311900558", "공시열람")</f>
        <v/>
      </c>
    </row>
    <row r="2743">
      <c r="A2743" s="2" t="inlineStr">
        <is>
          <t>2026-03-11</t>
        </is>
      </c>
      <c r="B2743" s="3" t="inlineStr">
        <is>
          <t>나라스페이스테크놀로지</t>
        </is>
      </c>
      <c r="C2743" s="2" t="inlineStr">
        <is>
          <t>코스닥</t>
        </is>
      </c>
      <c r="D2743" s="2" t="inlineStr">
        <is>
          <t>478340</t>
        </is>
      </c>
      <c r="E2743" s="3" t="inlineStr">
        <is>
          <t xml:space="preserve">주주총회집중일개최사유신고              </t>
        </is>
      </c>
      <c r="F2743" s="3" t="inlineStr">
        <is>
          <t>나라스페이스테크놀로지</t>
        </is>
      </c>
      <c r="G2743" s="2" t="inlineStr">
        <is>
          <t>20260311900552</t>
        </is>
      </c>
      <c r="H2743" s="8">
        <f>HYPERLINK("https://dart.fss.or.kr/dsaf001/main.do?rcpNo=20260311900552", "공시열람")</f>
        <v/>
      </c>
    </row>
    <row r="2744">
      <c r="A2744" s="2" t="inlineStr">
        <is>
          <t>2026-03-11</t>
        </is>
      </c>
      <c r="B2744" s="3" t="inlineStr">
        <is>
          <t>나라스페이스테크놀로지</t>
        </is>
      </c>
      <c r="C2744" s="2" t="inlineStr">
        <is>
          <t>코스닥</t>
        </is>
      </c>
      <c r="D2744" s="2" t="inlineStr">
        <is>
          <t>478340</t>
        </is>
      </c>
      <c r="E2744" s="3" t="inlineStr">
        <is>
          <t xml:space="preserve">주주총회소집결의              </t>
        </is>
      </c>
      <c r="F2744" s="3" t="inlineStr">
        <is>
          <t>나라스페이스테크놀로지</t>
        </is>
      </c>
      <c r="G2744" s="2" t="inlineStr">
        <is>
          <t>20260311900548</t>
        </is>
      </c>
      <c r="H2744" s="8">
        <f>HYPERLINK("https://dart.fss.or.kr/dsaf001/main.do?rcpNo=20260311900548", "공시열람")</f>
        <v/>
      </c>
    </row>
    <row r="2745">
      <c r="A2745" s="2" t="inlineStr">
        <is>
          <t>2026-03-11</t>
        </is>
      </c>
      <c r="B2745" s="3" t="inlineStr">
        <is>
          <t>코텍</t>
        </is>
      </c>
      <c r="C2745" s="2" t="inlineStr">
        <is>
          <t>코스닥</t>
        </is>
      </c>
      <c r="D2745" s="2" t="inlineStr">
        <is>
          <t>052330</t>
        </is>
      </c>
      <c r="E2745" s="3" t="inlineStr">
        <is>
          <t xml:space="preserve">주주총회소집결의              </t>
        </is>
      </c>
      <c r="F2745" s="3" t="inlineStr">
        <is>
          <t>코텍</t>
        </is>
      </c>
      <c r="G2745" s="2" t="inlineStr">
        <is>
          <t>20260311900543</t>
        </is>
      </c>
      <c r="H2745" s="8">
        <f>HYPERLINK("https://dart.fss.or.kr/dsaf001/main.do?rcpNo=20260311900543", "공시열람")</f>
        <v/>
      </c>
    </row>
    <row r="2746">
      <c r="A2746" s="2" t="inlineStr">
        <is>
          <t>2026-03-11</t>
        </is>
      </c>
      <c r="B2746" s="3" t="inlineStr">
        <is>
          <t>일월지엠엘</t>
        </is>
      </c>
      <c r="C2746" s="2" t="inlineStr">
        <is>
          <t>코스닥</t>
        </is>
      </c>
      <c r="D2746" s="2" t="inlineStr">
        <is>
          <t>178780</t>
        </is>
      </c>
      <c r="E2746" s="3" t="inlineStr">
        <is>
          <t xml:space="preserve">주주총회집중일개최사유신고              </t>
        </is>
      </c>
      <c r="F2746" s="3" t="inlineStr">
        <is>
          <t>일월지엠엘</t>
        </is>
      </c>
      <c r="G2746" s="2" t="inlineStr">
        <is>
          <t>20260311900540</t>
        </is>
      </c>
      <c r="H2746" s="8">
        <f>HYPERLINK("https://dart.fss.or.kr/dsaf001/main.do?rcpNo=20260311900540", "공시열람")</f>
        <v/>
      </c>
    </row>
    <row r="2747">
      <c r="A2747" s="2" t="inlineStr">
        <is>
          <t>2026-03-11</t>
        </is>
      </c>
      <c r="B2747" s="3" t="inlineStr">
        <is>
          <t>일월지엠엘</t>
        </is>
      </c>
      <c r="C2747" s="2" t="inlineStr">
        <is>
          <t>코스닥</t>
        </is>
      </c>
      <c r="D2747" s="2" t="inlineStr">
        <is>
          <t>178780</t>
        </is>
      </c>
      <c r="E2747" s="3" t="inlineStr">
        <is>
          <t xml:space="preserve">주주총회소집결의              </t>
        </is>
      </c>
      <c r="F2747" s="3" t="inlineStr">
        <is>
          <t>일월지엠엘</t>
        </is>
      </c>
      <c r="G2747" s="2" t="inlineStr">
        <is>
          <t>20260311900534</t>
        </is>
      </c>
      <c r="H2747" s="8">
        <f>HYPERLINK("https://dart.fss.or.kr/dsaf001/main.do?rcpNo=20260311900534", "공시열람")</f>
        <v/>
      </c>
    </row>
    <row r="2748">
      <c r="A2748" s="2" t="inlineStr">
        <is>
          <t>2026-03-11</t>
        </is>
      </c>
      <c r="B2748" s="3" t="inlineStr">
        <is>
          <t>엑셈</t>
        </is>
      </c>
      <c r="C2748" s="2" t="inlineStr">
        <is>
          <t>코스닥</t>
        </is>
      </c>
      <c r="D2748" s="2" t="inlineStr">
        <is>
          <t>205100</t>
        </is>
      </c>
      <c r="E2748" s="3" t="inlineStr">
        <is>
          <t xml:space="preserve">주주총회소집결의              </t>
        </is>
      </c>
      <c r="F2748" s="3" t="inlineStr">
        <is>
          <t>엑셈</t>
        </is>
      </c>
      <c r="G2748" s="2" t="inlineStr">
        <is>
          <t>20260311900456</t>
        </is>
      </c>
      <c r="H2748" s="8">
        <f>HYPERLINK("https://dart.fss.or.kr/dsaf001/main.do?rcpNo=20260311900456", "공시열람")</f>
        <v/>
      </c>
    </row>
    <row r="2749">
      <c r="A2749" s="2" t="inlineStr">
        <is>
          <t>2026-03-11</t>
        </is>
      </c>
      <c r="B2749" s="3" t="inlineStr">
        <is>
          <t>디케이앤디</t>
        </is>
      </c>
      <c r="C2749" s="2" t="inlineStr">
        <is>
          <t>코스닥</t>
        </is>
      </c>
      <c r="D2749" s="2" t="inlineStr">
        <is>
          <t>263020</t>
        </is>
      </c>
      <c r="E2749" s="3" t="inlineStr">
        <is>
          <t>주주총회소집공고</t>
        </is>
      </c>
      <c r="F2749" s="3" t="inlineStr">
        <is>
          <t>디케이앤디</t>
        </is>
      </c>
      <c r="G2749" s="2" t="inlineStr">
        <is>
          <t>20260311003513</t>
        </is>
      </c>
      <c r="H2749" s="8">
        <f>HYPERLINK("https://dart.fss.or.kr/dsaf001/main.do?rcpNo=20260311003513", "공시열람")</f>
        <v/>
      </c>
    </row>
    <row r="2750">
      <c r="A2750" s="2" t="inlineStr">
        <is>
          <t>2026-03-11</t>
        </is>
      </c>
      <c r="B2750" s="3" t="inlineStr">
        <is>
          <t>앤씨앤</t>
        </is>
      </c>
      <c r="C2750" s="2" t="inlineStr">
        <is>
          <t>코스닥</t>
        </is>
      </c>
      <c r="D2750" s="2" t="inlineStr">
        <is>
          <t>092600</t>
        </is>
      </c>
      <c r="E2750" s="3" t="inlineStr">
        <is>
          <t>주주총회소집공고</t>
        </is>
      </c>
      <c r="F2750" s="3" t="inlineStr">
        <is>
          <t>앤씨앤</t>
        </is>
      </c>
      <c r="G2750" s="2" t="inlineStr">
        <is>
          <t>20260311003512</t>
        </is>
      </c>
      <c r="H2750" s="8">
        <f>HYPERLINK("https://dart.fss.or.kr/dsaf001/main.do?rcpNo=20260311003512", "공시열람")</f>
        <v/>
      </c>
    </row>
    <row r="2751">
      <c r="A2751" s="2" t="inlineStr">
        <is>
          <t>2026-03-11</t>
        </is>
      </c>
      <c r="B2751" s="3" t="inlineStr">
        <is>
          <t>바이오포트</t>
        </is>
      </c>
      <c r="C2751" s="2" t="inlineStr">
        <is>
          <t>코스닥</t>
        </is>
      </c>
      <c r="D2751" s="2" t="inlineStr">
        <is>
          <t>188040</t>
        </is>
      </c>
      <c r="E2751" s="3" t="inlineStr">
        <is>
          <t>주주총회소집공고</t>
        </is>
      </c>
      <c r="F2751" s="3" t="inlineStr">
        <is>
          <t>바이오포트</t>
        </is>
      </c>
      <c r="G2751" s="2" t="inlineStr">
        <is>
          <t>20260311003511</t>
        </is>
      </c>
      <c r="H2751" s="8">
        <f>HYPERLINK("https://dart.fss.or.kr/dsaf001/main.do?rcpNo=20260311003511", "공시열람")</f>
        <v/>
      </c>
    </row>
    <row r="2752">
      <c r="A2752" s="2" t="inlineStr">
        <is>
          <t>2026-03-11</t>
        </is>
      </c>
      <c r="B2752" s="3" t="inlineStr">
        <is>
          <t>아난티</t>
        </is>
      </c>
      <c r="C2752" s="2" t="inlineStr">
        <is>
          <t>코스닥</t>
        </is>
      </c>
      <c r="D2752" s="2" t="inlineStr">
        <is>
          <t>025980</t>
        </is>
      </c>
      <c r="E2752" s="3" t="inlineStr">
        <is>
          <t>주주총회소집공고</t>
        </is>
      </c>
      <c r="F2752" s="3" t="inlineStr">
        <is>
          <t>아난티</t>
        </is>
      </c>
      <c r="G2752" s="2" t="inlineStr">
        <is>
          <t>20260311003510</t>
        </is>
      </c>
      <c r="H2752" s="8">
        <f>HYPERLINK("https://dart.fss.or.kr/dsaf001/main.do?rcpNo=20260311003510", "공시열람")</f>
        <v/>
      </c>
    </row>
    <row r="2753">
      <c r="A2753" s="2" t="inlineStr">
        <is>
          <t>2026-03-11</t>
        </is>
      </c>
      <c r="B2753" s="3" t="inlineStr">
        <is>
          <t>알멕</t>
        </is>
      </c>
      <c r="C2753" s="2" t="inlineStr">
        <is>
          <t>코스닥</t>
        </is>
      </c>
      <c r="D2753" s="2" t="inlineStr">
        <is>
          <t>354320</t>
        </is>
      </c>
      <c r="E2753" s="3" t="inlineStr">
        <is>
          <t xml:space="preserve">주주총회소집결의              </t>
        </is>
      </c>
      <c r="F2753" s="3" t="inlineStr">
        <is>
          <t>알멕</t>
        </is>
      </c>
      <c r="G2753" s="2" t="inlineStr">
        <is>
          <t>20260311900555</t>
        </is>
      </c>
      <c r="H2753" s="8">
        <f>HYPERLINK("https://dart.fss.or.kr/dsaf001/main.do?rcpNo=20260311900555", "공시열람")</f>
        <v/>
      </c>
    </row>
    <row r="2754">
      <c r="A2754" s="2" t="inlineStr">
        <is>
          <t>2026-03-11</t>
        </is>
      </c>
      <c r="B2754" s="3" t="inlineStr">
        <is>
          <t>삼화네트웍스</t>
        </is>
      </c>
      <c r="C2754" s="2" t="inlineStr">
        <is>
          <t>코스닥</t>
        </is>
      </c>
      <c r="D2754" s="2" t="inlineStr">
        <is>
          <t>046390</t>
        </is>
      </c>
      <c r="E2754" s="3" t="inlineStr">
        <is>
          <t xml:space="preserve">주주총회집중일개최사유신고              </t>
        </is>
      </c>
      <c r="F2754" s="3" t="inlineStr">
        <is>
          <t>삼화네트웍스</t>
        </is>
      </c>
      <c r="G2754" s="2" t="inlineStr">
        <is>
          <t>20260311900530</t>
        </is>
      </c>
      <c r="H2754" s="8">
        <f>HYPERLINK("https://dart.fss.or.kr/dsaf001/main.do?rcpNo=20260311900530", "공시열람")</f>
        <v/>
      </c>
    </row>
    <row r="2755">
      <c r="A2755" s="2" t="inlineStr">
        <is>
          <t>2026-03-11</t>
        </is>
      </c>
      <c r="B2755" s="3" t="inlineStr">
        <is>
          <t>삼화네트웍스</t>
        </is>
      </c>
      <c r="C2755" s="2" t="inlineStr">
        <is>
          <t>코스닥</t>
        </is>
      </c>
      <c r="D2755" s="2" t="inlineStr">
        <is>
          <t>046390</t>
        </is>
      </c>
      <c r="E2755" s="3" t="inlineStr">
        <is>
          <t xml:space="preserve">주주총회소집결의              </t>
        </is>
      </c>
      <c r="F2755" s="3" t="inlineStr">
        <is>
          <t>삼화네트웍스</t>
        </is>
      </c>
      <c r="G2755" s="2" t="inlineStr">
        <is>
          <t>20260311900522</t>
        </is>
      </c>
      <c r="H2755" s="8">
        <f>HYPERLINK("https://dart.fss.or.kr/dsaf001/main.do?rcpNo=20260311900522", "공시열람")</f>
        <v/>
      </c>
    </row>
    <row r="2756">
      <c r="A2756" s="2" t="inlineStr">
        <is>
          <t>2026-03-11</t>
        </is>
      </c>
      <c r="B2756" s="3" t="inlineStr">
        <is>
          <t>교보증권</t>
        </is>
      </c>
      <c r="C2756" s="2" t="inlineStr">
        <is>
          <t>코스피</t>
        </is>
      </c>
      <c r="D2756" s="2" t="inlineStr">
        <is>
          <t>030610</t>
        </is>
      </c>
      <c r="E2756" s="3" t="inlineStr">
        <is>
          <t>주주총회소집공고</t>
        </is>
      </c>
      <c r="F2756" s="3" t="inlineStr">
        <is>
          <t>교보증권</t>
        </is>
      </c>
      <c r="G2756" s="2" t="inlineStr">
        <is>
          <t>20260311003507</t>
        </is>
      </c>
      <c r="H2756" s="8">
        <f>HYPERLINK("https://dart.fss.or.kr/dsaf001/main.do?rcpNo=20260311003507", "공시열람")</f>
        <v/>
      </c>
    </row>
    <row r="2757">
      <c r="A2757" s="2" t="inlineStr">
        <is>
          <t>2026-03-11</t>
        </is>
      </c>
      <c r="B2757" s="3" t="inlineStr">
        <is>
          <t>본느</t>
        </is>
      </c>
      <c r="C2757" s="2" t="inlineStr">
        <is>
          <t>코스닥</t>
        </is>
      </c>
      <c r="D2757" s="2" t="inlineStr">
        <is>
          <t>226340</t>
        </is>
      </c>
      <c r="E2757" s="3" t="inlineStr">
        <is>
          <t xml:space="preserve">[기재정정]주주총회소집결의              </t>
        </is>
      </c>
      <c r="F2757" s="3" t="inlineStr">
        <is>
          <t>본느</t>
        </is>
      </c>
      <c r="G2757" s="2" t="inlineStr">
        <is>
          <t>20260311900517</t>
        </is>
      </c>
      <c r="H2757" s="8">
        <f>HYPERLINK("https://dart.fss.or.kr/dsaf001/main.do?rcpNo=20260311900517", "공시열람")</f>
        <v/>
      </c>
    </row>
    <row r="2758">
      <c r="A2758" s="2" t="inlineStr">
        <is>
          <t>2026-03-11</t>
        </is>
      </c>
      <c r="B2758" s="3" t="inlineStr">
        <is>
          <t>에스피소프트</t>
        </is>
      </c>
      <c r="C2758" s="2" t="inlineStr">
        <is>
          <t>코스닥</t>
        </is>
      </c>
      <c r="D2758" s="2" t="inlineStr">
        <is>
          <t>443670</t>
        </is>
      </c>
      <c r="E2758" s="3" t="inlineStr">
        <is>
          <t xml:space="preserve">주주총회소집결의              </t>
        </is>
      </c>
      <c r="F2758" s="3" t="inlineStr">
        <is>
          <t>에스피소프트</t>
        </is>
      </c>
      <c r="G2758" s="2" t="inlineStr">
        <is>
          <t>20260311900511</t>
        </is>
      </c>
      <c r="H2758" s="8">
        <f>HYPERLINK("https://dart.fss.or.kr/dsaf001/main.do?rcpNo=20260311900511", "공시열람")</f>
        <v/>
      </c>
    </row>
    <row r="2759">
      <c r="A2759" s="2" t="inlineStr">
        <is>
          <t>2026-03-11</t>
        </is>
      </c>
      <c r="B2759" s="3" t="inlineStr">
        <is>
          <t>나노실리칸첨단소재</t>
        </is>
      </c>
      <c r="C2759" s="2" t="inlineStr">
        <is>
          <t>코스닥</t>
        </is>
      </c>
      <c r="D2759" s="2" t="inlineStr">
        <is>
          <t>286750</t>
        </is>
      </c>
      <c r="E2759" s="3" t="inlineStr">
        <is>
          <t>주주총회소집공고</t>
        </is>
      </c>
      <c r="F2759" s="3" t="inlineStr">
        <is>
          <t>나노실리칸첨단소재</t>
        </is>
      </c>
      <c r="G2759" s="2" t="inlineStr">
        <is>
          <t>20260311003499</t>
        </is>
      </c>
      <c r="H2759" s="8">
        <f>HYPERLINK("https://dart.fss.or.kr/dsaf001/main.do?rcpNo=20260311003499", "공시열람")</f>
        <v/>
      </c>
    </row>
    <row r="2760">
      <c r="A2760" s="2" t="inlineStr">
        <is>
          <t>2026-03-11</t>
        </is>
      </c>
      <c r="B2760" s="3" t="inlineStr">
        <is>
          <t>뉴엔AI</t>
        </is>
      </c>
      <c r="C2760" s="2" t="inlineStr">
        <is>
          <t>코스닥</t>
        </is>
      </c>
      <c r="D2760" s="2" t="inlineStr">
        <is>
          <t>463020</t>
        </is>
      </c>
      <c r="E2760" s="3" t="inlineStr">
        <is>
          <t>주주총회소집공고</t>
        </is>
      </c>
      <c r="F2760" s="3" t="inlineStr">
        <is>
          <t>뉴엔AI</t>
        </is>
      </c>
      <c r="G2760" s="2" t="inlineStr">
        <is>
          <t>20260311003498</t>
        </is>
      </c>
      <c r="H2760" s="8">
        <f>HYPERLINK("https://dart.fss.or.kr/dsaf001/main.do?rcpNo=20260311003498", "공시열람")</f>
        <v/>
      </c>
    </row>
    <row r="2761">
      <c r="A2761" s="2" t="inlineStr">
        <is>
          <t>2026-03-11</t>
        </is>
      </c>
      <c r="B2761" s="3" t="inlineStr">
        <is>
          <t>디비금융스팩12호</t>
        </is>
      </c>
      <c r="C2761" s="2" t="inlineStr">
        <is>
          <t>코스닥</t>
        </is>
      </c>
      <c r="D2761" s="2" t="inlineStr">
        <is>
          <t>477760</t>
        </is>
      </c>
      <c r="E2761" s="3" t="inlineStr">
        <is>
          <t>주주총회소집공고</t>
        </is>
      </c>
      <c r="F2761" s="3" t="inlineStr">
        <is>
          <t>디비금융스팩12호</t>
        </is>
      </c>
      <c r="G2761" s="2" t="inlineStr">
        <is>
          <t>20260311003496</t>
        </is>
      </c>
      <c r="H2761" s="8">
        <f>HYPERLINK("https://dart.fss.or.kr/dsaf001/main.do?rcpNo=20260311003496", "공시열람")</f>
        <v/>
      </c>
    </row>
    <row r="2762">
      <c r="A2762" s="2" t="inlineStr">
        <is>
          <t>2026-03-11</t>
        </is>
      </c>
      <c r="B2762" s="3" t="inlineStr">
        <is>
          <t>카페24</t>
        </is>
      </c>
      <c r="C2762" s="2" t="inlineStr">
        <is>
          <t>코스닥</t>
        </is>
      </c>
      <c r="D2762" s="2" t="inlineStr">
        <is>
          <t>042000</t>
        </is>
      </c>
      <c r="E2762" s="3" t="inlineStr">
        <is>
          <t>주주총회소집공고</t>
        </is>
      </c>
      <c r="F2762" s="3" t="inlineStr">
        <is>
          <t>카페24</t>
        </is>
      </c>
      <c r="G2762" s="2" t="inlineStr">
        <is>
          <t>20260311003495</t>
        </is>
      </c>
      <c r="H2762" s="8">
        <f>HYPERLINK("https://dart.fss.or.kr/dsaf001/main.do?rcpNo=20260311003495", "공시열람")</f>
        <v/>
      </c>
    </row>
    <row r="2763">
      <c r="A2763" s="2" t="inlineStr">
        <is>
          <t>2026-03-11</t>
        </is>
      </c>
      <c r="B2763" s="3" t="inlineStr">
        <is>
          <t>KBI동양철관</t>
        </is>
      </c>
      <c r="C2763" s="2" t="inlineStr">
        <is>
          <t>코스피</t>
        </is>
      </c>
      <c r="D2763" s="2" t="inlineStr">
        <is>
          <t>008970</t>
        </is>
      </c>
      <c r="E2763" s="3" t="inlineStr">
        <is>
          <t>주주총회소집공고</t>
        </is>
      </c>
      <c r="F2763" s="3" t="inlineStr">
        <is>
          <t>KBI동양철관</t>
        </is>
      </c>
      <c r="G2763" s="2" t="inlineStr">
        <is>
          <t>20260311003492</t>
        </is>
      </c>
      <c r="H2763" s="8">
        <f>HYPERLINK("https://dart.fss.or.kr/dsaf001/main.do?rcpNo=20260311003492", "공시열람")</f>
        <v/>
      </c>
    </row>
    <row r="2764">
      <c r="A2764" s="2" t="inlineStr">
        <is>
          <t>2026-03-11</t>
        </is>
      </c>
      <c r="B2764" s="3" t="inlineStr">
        <is>
          <t>디비금융제13호스팩</t>
        </is>
      </c>
      <c r="C2764" s="2" t="inlineStr">
        <is>
          <t>코스닥</t>
        </is>
      </c>
      <c r="D2764" s="2" t="inlineStr">
        <is>
          <t>489730</t>
        </is>
      </c>
      <c r="E2764" s="3" t="inlineStr">
        <is>
          <t>주주총회소집공고</t>
        </is>
      </c>
      <c r="F2764" s="3" t="inlineStr">
        <is>
          <t>디비금융제13호스팩</t>
        </is>
      </c>
      <c r="G2764" s="2" t="inlineStr">
        <is>
          <t>20260311003488</t>
        </is>
      </c>
      <c r="H2764" s="8">
        <f>HYPERLINK("https://dart.fss.or.kr/dsaf001/main.do?rcpNo=20260311003488", "공시열람")</f>
        <v/>
      </c>
    </row>
    <row r="2765">
      <c r="A2765" s="2" t="inlineStr">
        <is>
          <t>2026-03-11 (정정: 2026-06-04)</t>
        </is>
      </c>
      <c r="B2765" s="3" t="inlineStr">
        <is>
          <t>서전기전</t>
        </is>
      </c>
      <c r="C2765" s="2" t="inlineStr">
        <is>
          <t>코스닥</t>
        </is>
      </c>
      <c r="D2765" s="2" t="inlineStr">
        <is>
          <t>189860</t>
        </is>
      </c>
      <c r="E2765" s="3" t="inlineStr">
        <is>
          <t>주주총회소집공고 (정정: 20260312) (정정: 20260604)</t>
        </is>
      </c>
      <c r="F2765" s="3" t="inlineStr">
        <is>
          <t>서전기전</t>
        </is>
      </c>
      <c r="G2765" s="2" t="inlineStr">
        <is>
          <t>20260604000502</t>
        </is>
      </c>
      <c r="H2765" s="8">
        <f>HYPERLINK("https://dart.fss.or.kr/dsaf001/main.do?rcpNo=20260604000502", "공시열람")</f>
        <v/>
      </c>
    </row>
    <row r="2766">
      <c r="A2766" s="2" t="inlineStr">
        <is>
          <t>2026-03-11</t>
        </is>
      </c>
      <c r="B2766" s="3" t="inlineStr">
        <is>
          <t>명문제약</t>
        </is>
      </c>
      <c r="C2766" s="2" t="inlineStr">
        <is>
          <t>코스피</t>
        </is>
      </c>
      <c r="D2766" s="2" t="inlineStr">
        <is>
          <t>017180</t>
        </is>
      </c>
      <c r="E2766" s="3" t="inlineStr">
        <is>
          <t>주주총회소집공고</t>
        </is>
      </c>
      <c r="F2766" s="3" t="inlineStr">
        <is>
          <t>명문제약</t>
        </is>
      </c>
      <c r="G2766" s="2" t="inlineStr">
        <is>
          <t>20260311003481</t>
        </is>
      </c>
      <c r="H2766" s="8">
        <f>HYPERLINK("https://dart.fss.or.kr/dsaf001/main.do?rcpNo=20260311003481", "공시열람")</f>
        <v/>
      </c>
    </row>
    <row r="2767">
      <c r="A2767" s="2" t="inlineStr">
        <is>
          <t>2026-03-11</t>
        </is>
      </c>
      <c r="B2767" s="3" t="inlineStr">
        <is>
          <t>에이치엠넥스</t>
        </is>
      </c>
      <c r="C2767" s="2" t="inlineStr">
        <is>
          <t>코스닥</t>
        </is>
      </c>
      <c r="D2767" s="2" t="inlineStr">
        <is>
          <t>036170</t>
        </is>
      </c>
      <c r="E2767" s="3" t="inlineStr">
        <is>
          <t>주주총회소집공고</t>
        </is>
      </c>
      <c r="F2767" s="3" t="inlineStr">
        <is>
          <t>에이치엠넥스</t>
        </is>
      </c>
      <c r="G2767" s="2" t="inlineStr">
        <is>
          <t>20260311003480</t>
        </is>
      </c>
      <c r="H2767" s="8">
        <f>HYPERLINK("https://dart.fss.or.kr/dsaf001/main.do?rcpNo=20260311003480", "공시열람")</f>
        <v/>
      </c>
    </row>
    <row r="2768">
      <c r="A2768" s="2" t="inlineStr">
        <is>
          <t>2026-03-11</t>
        </is>
      </c>
      <c r="B2768" s="3" t="inlineStr">
        <is>
          <t>이스타코</t>
        </is>
      </c>
      <c r="C2768" s="2" t="inlineStr">
        <is>
          <t>코스피</t>
        </is>
      </c>
      <c r="D2768" s="2" t="inlineStr">
        <is>
          <t>015020</t>
        </is>
      </c>
      <c r="E2768" s="3" t="inlineStr">
        <is>
          <t>주주총회소집공고</t>
        </is>
      </c>
      <c r="F2768" s="3" t="inlineStr">
        <is>
          <t>이스타코</t>
        </is>
      </c>
      <c r="G2768" s="2" t="inlineStr">
        <is>
          <t>20260311003479</t>
        </is>
      </c>
      <c r="H2768" s="8">
        <f>HYPERLINK("https://dart.fss.or.kr/dsaf001/main.do?rcpNo=20260311003479", "공시열람")</f>
        <v/>
      </c>
    </row>
    <row r="2769">
      <c r="A2769" s="2" t="inlineStr">
        <is>
          <t>2026-03-11 (정정: 2026-03-11)</t>
        </is>
      </c>
      <c r="B2769" s="3" t="inlineStr">
        <is>
          <t>까뮤이앤씨</t>
        </is>
      </c>
      <c r="C2769" s="2" t="inlineStr">
        <is>
          <t>코스피</t>
        </is>
      </c>
      <c r="D2769" s="2" t="inlineStr">
        <is>
          <t>013700</t>
        </is>
      </c>
      <c r="E2769" s="3" t="inlineStr">
        <is>
          <t>주주총회소집결의               (정정: 20260311)</t>
        </is>
      </c>
      <c r="F2769" s="3" t="inlineStr">
        <is>
          <t>까뮤이앤씨</t>
        </is>
      </c>
      <c r="G2769" s="2" t="inlineStr">
        <is>
          <t>20260311800452</t>
        </is>
      </c>
      <c r="H2769" s="8">
        <f>HYPERLINK("https://dart.fss.or.kr/dsaf001/main.do?rcpNo=20260311800452", "공시열람")</f>
        <v/>
      </c>
    </row>
    <row r="2770">
      <c r="A2770" s="2" t="inlineStr">
        <is>
          <t>2026-03-11</t>
        </is>
      </c>
      <c r="B2770" s="3" t="inlineStr">
        <is>
          <t>KSS해운</t>
        </is>
      </c>
      <c r="C2770" s="2" t="inlineStr">
        <is>
          <t>코스피</t>
        </is>
      </c>
      <c r="D2770" s="2" t="inlineStr">
        <is>
          <t>044450</t>
        </is>
      </c>
      <c r="E2770" s="3" t="inlineStr">
        <is>
          <t>주주총회소집공고</t>
        </is>
      </c>
      <c r="F2770" s="3" t="inlineStr">
        <is>
          <t>KSS해운</t>
        </is>
      </c>
      <c r="G2770" s="2" t="inlineStr">
        <is>
          <t>20260311003478</t>
        </is>
      </c>
      <c r="H2770" s="8">
        <f>HYPERLINK("https://dart.fss.or.kr/dsaf001/main.do?rcpNo=20260311003478", "공시열람")</f>
        <v/>
      </c>
    </row>
    <row r="2771">
      <c r="A2771" s="2" t="inlineStr">
        <is>
          <t>2026-03-11</t>
        </is>
      </c>
      <c r="B2771" s="3" t="inlineStr">
        <is>
          <t>대동금속</t>
        </is>
      </c>
      <c r="C2771" s="2" t="inlineStr">
        <is>
          <t>코스닥</t>
        </is>
      </c>
      <c r="D2771" s="2" t="inlineStr">
        <is>
          <t>020400</t>
        </is>
      </c>
      <c r="E2771" s="3" t="inlineStr">
        <is>
          <t>주주총회소집공고</t>
        </is>
      </c>
      <c r="F2771" s="3" t="inlineStr">
        <is>
          <t>대동금속</t>
        </is>
      </c>
      <c r="G2771" s="2" t="inlineStr">
        <is>
          <t>20260311003473</t>
        </is>
      </c>
      <c r="H2771" s="8">
        <f>HYPERLINK("https://dart.fss.or.kr/dsaf001/main.do?rcpNo=20260311003473", "공시열람")</f>
        <v/>
      </c>
    </row>
    <row r="2772">
      <c r="A2772" s="2" t="inlineStr">
        <is>
          <t>2026-03-11</t>
        </is>
      </c>
      <c r="B2772" s="3" t="inlineStr">
        <is>
          <t>모헨즈</t>
        </is>
      </c>
      <c r="C2772" s="2" t="inlineStr">
        <is>
          <t>코스닥</t>
        </is>
      </c>
      <c r="D2772" s="2" t="inlineStr">
        <is>
          <t>006920</t>
        </is>
      </c>
      <c r="E2772" s="3" t="inlineStr">
        <is>
          <t>주주총회소집공고</t>
        </is>
      </c>
      <c r="F2772" s="3" t="inlineStr">
        <is>
          <t>모헨즈</t>
        </is>
      </c>
      <c r="G2772" s="2" t="inlineStr">
        <is>
          <t>20260311003472</t>
        </is>
      </c>
      <c r="H2772" s="8">
        <f>HYPERLINK("https://dart.fss.or.kr/dsaf001/main.do?rcpNo=20260311003472", "공시열람")</f>
        <v/>
      </c>
    </row>
    <row r="2773">
      <c r="A2773" s="2" t="inlineStr">
        <is>
          <t>2026-03-11</t>
        </is>
      </c>
      <c r="B2773" s="3" t="inlineStr">
        <is>
          <t>부국철강</t>
        </is>
      </c>
      <c r="C2773" s="2" t="inlineStr">
        <is>
          <t>코스피</t>
        </is>
      </c>
      <c r="D2773" s="2" t="inlineStr">
        <is>
          <t>026940</t>
        </is>
      </c>
      <c r="E2773" s="3" t="inlineStr">
        <is>
          <t>주주총회소집공고</t>
        </is>
      </c>
      <c r="F2773" s="3" t="inlineStr">
        <is>
          <t>부국철강</t>
        </is>
      </c>
      <c r="G2773" s="2" t="inlineStr">
        <is>
          <t>20260311003471</t>
        </is>
      </c>
      <c r="H2773" s="8">
        <f>HYPERLINK("https://dart.fss.or.kr/dsaf001/main.do?rcpNo=20260311003471", "공시열람")</f>
        <v/>
      </c>
    </row>
    <row r="2774">
      <c r="A2774" s="2" t="inlineStr">
        <is>
          <t>2026-03-11</t>
        </is>
      </c>
      <c r="B2774" s="3" t="inlineStr">
        <is>
          <t>에이치엠넥스</t>
        </is>
      </c>
      <c r="C2774" s="2" t="inlineStr">
        <is>
          <t>코스닥</t>
        </is>
      </c>
      <c r="D2774" s="2" t="inlineStr">
        <is>
          <t>036170</t>
        </is>
      </c>
      <c r="E2774" s="3" t="inlineStr">
        <is>
          <t xml:space="preserve">주주총회집중일개최사유신고              </t>
        </is>
      </c>
      <c r="F2774" s="3" t="inlineStr">
        <is>
          <t>에이치엠넥스</t>
        </is>
      </c>
      <c r="G2774" s="2" t="inlineStr">
        <is>
          <t>20260311900490</t>
        </is>
      </c>
      <c r="H2774" s="8">
        <f>HYPERLINK("https://dart.fss.or.kr/dsaf001/main.do?rcpNo=20260311900490", "공시열람")</f>
        <v/>
      </c>
    </row>
    <row r="2775">
      <c r="A2775" s="2" t="inlineStr">
        <is>
          <t>2026-03-11</t>
        </is>
      </c>
      <c r="B2775" s="3" t="inlineStr">
        <is>
          <t>에이치엠넥스</t>
        </is>
      </c>
      <c r="C2775" s="2" t="inlineStr">
        <is>
          <t>코스닥</t>
        </is>
      </c>
      <c r="D2775" s="2" t="inlineStr">
        <is>
          <t>036170</t>
        </is>
      </c>
      <c r="E2775" s="3" t="inlineStr">
        <is>
          <t xml:space="preserve">주주총회소집결의              </t>
        </is>
      </c>
      <c r="F2775" s="3" t="inlineStr">
        <is>
          <t>에이치엠넥스</t>
        </is>
      </c>
      <c r="G2775" s="2" t="inlineStr">
        <is>
          <t>20260311900488</t>
        </is>
      </c>
      <c r="H2775" s="8">
        <f>HYPERLINK("https://dart.fss.or.kr/dsaf001/main.do?rcpNo=20260311900488", "공시열람")</f>
        <v/>
      </c>
    </row>
    <row r="2776">
      <c r="A2776" s="2" t="inlineStr">
        <is>
          <t>2026-03-11</t>
        </is>
      </c>
      <c r="B2776" s="3" t="inlineStr">
        <is>
          <t>대동금속</t>
        </is>
      </c>
      <c r="C2776" s="2" t="inlineStr">
        <is>
          <t>코스닥</t>
        </is>
      </c>
      <c r="D2776" s="2" t="inlineStr">
        <is>
          <t>020400</t>
        </is>
      </c>
      <c r="E2776" s="3" t="inlineStr">
        <is>
          <t xml:space="preserve">주주총회소집결의              </t>
        </is>
      </c>
      <c r="F2776" s="3" t="inlineStr">
        <is>
          <t>대동금속</t>
        </is>
      </c>
      <c r="G2776" s="2" t="inlineStr">
        <is>
          <t>20260311900448</t>
        </is>
      </c>
      <c r="H2776" s="8">
        <f>HYPERLINK("https://dart.fss.or.kr/dsaf001/main.do?rcpNo=20260311900448", "공시열람")</f>
        <v/>
      </c>
    </row>
    <row r="2777">
      <c r="A2777" s="2" t="inlineStr">
        <is>
          <t>2026-03-11</t>
        </is>
      </c>
      <c r="B2777" s="3" t="inlineStr">
        <is>
          <t>디케이앤디</t>
        </is>
      </c>
      <c r="C2777" s="2" t="inlineStr">
        <is>
          <t>코스닥</t>
        </is>
      </c>
      <c r="D2777" s="2" t="inlineStr">
        <is>
          <t>263020</t>
        </is>
      </c>
      <c r="E2777" s="3" t="inlineStr">
        <is>
          <t xml:space="preserve">주주총회소집결의              </t>
        </is>
      </c>
      <c r="F2777" s="3" t="inlineStr">
        <is>
          <t>디케이앤디</t>
        </is>
      </c>
      <c r="G2777" s="2" t="inlineStr">
        <is>
          <t>20260311900480</t>
        </is>
      </c>
      <c r="H2777" s="8">
        <f>HYPERLINK("https://dart.fss.or.kr/dsaf001/main.do?rcpNo=20260311900480", "공시열람")</f>
        <v/>
      </c>
    </row>
    <row r="2778">
      <c r="A2778" s="2" t="inlineStr">
        <is>
          <t>2026-03-11</t>
        </is>
      </c>
      <c r="B2778" s="3" t="inlineStr">
        <is>
          <t>케이엠더블유</t>
        </is>
      </c>
      <c r="C2778" s="2" t="inlineStr">
        <is>
          <t>코스닥</t>
        </is>
      </c>
      <c r="D2778" s="2" t="inlineStr">
        <is>
          <t>032500</t>
        </is>
      </c>
      <c r="E2778" s="3" t="inlineStr">
        <is>
          <t>주주총회소집공고</t>
        </is>
      </c>
      <c r="F2778" s="3" t="inlineStr">
        <is>
          <t>케이엠더블유</t>
        </is>
      </c>
      <c r="G2778" s="2" t="inlineStr">
        <is>
          <t>20260311003467</t>
        </is>
      </c>
      <c r="H2778" s="8">
        <f>HYPERLINK("https://dart.fss.or.kr/dsaf001/main.do?rcpNo=20260311003467", "공시열람")</f>
        <v/>
      </c>
    </row>
    <row r="2779">
      <c r="A2779" s="2" t="inlineStr">
        <is>
          <t>2026-03-11</t>
        </is>
      </c>
      <c r="B2779" s="3" t="inlineStr">
        <is>
          <t>HB인베스트먼트</t>
        </is>
      </c>
      <c r="C2779" s="2" t="inlineStr">
        <is>
          <t>코스닥</t>
        </is>
      </c>
      <c r="D2779" s="2" t="inlineStr">
        <is>
          <t>440290</t>
        </is>
      </c>
      <c r="E2779" s="3" t="inlineStr">
        <is>
          <t>주주총회소집공고</t>
        </is>
      </c>
      <c r="F2779" s="3" t="inlineStr">
        <is>
          <t>HB인베스트먼트</t>
        </is>
      </c>
      <c r="G2779" s="2" t="inlineStr">
        <is>
          <t>20260311003466</t>
        </is>
      </c>
      <c r="H2779" s="8">
        <f>HYPERLINK("https://dart.fss.or.kr/dsaf001/main.do?rcpNo=20260311003466", "공시열람")</f>
        <v/>
      </c>
    </row>
    <row r="2780">
      <c r="A2780" s="2" t="inlineStr">
        <is>
          <t>2026-03-11</t>
        </is>
      </c>
      <c r="B2780" s="3" t="inlineStr">
        <is>
          <t>세아메카닉스</t>
        </is>
      </c>
      <c r="C2780" s="2" t="inlineStr">
        <is>
          <t>코스닥</t>
        </is>
      </c>
      <c r="D2780" s="2" t="inlineStr">
        <is>
          <t>396300</t>
        </is>
      </c>
      <c r="E2780" s="3" t="inlineStr">
        <is>
          <t xml:space="preserve">주주총회소집결의              </t>
        </is>
      </c>
      <c r="F2780" s="3" t="inlineStr">
        <is>
          <t>세아메카닉스</t>
        </is>
      </c>
      <c r="G2780" s="2" t="inlineStr">
        <is>
          <t>20260311900472</t>
        </is>
      </c>
      <c r="H2780" s="8">
        <f>HYPERLINK("https://dart.fss.or.kr/dsaf001/main.do?rcpNo=20260311900472", "공시열람")</f>
        <v/>
      </c>
    </row>
    <row r="2781">
      <c r="A2781" s="2" t="inlineStr">
        <is>
          <t>2026-03-11</t>
        </is>
      </c>
      <c r="B2781" s="3" t="inlineStr">
        <is>
          <t>대동스틸</t>
        </is>
      </c>
      <c r="C2781" s="2" t="inlineStr">
        <is>
          <t>코스닥</t>
        </is>
      </c>
      <c r="D2781" s="2" t="inlineStr">
        <is>
          <t>048470</t>
        </is>
      </c>
      <c r="E2781" s="3" t="inlineStr">
        <is>
          <t>주주총회소집공고</t>
        </is>
      </c>
      <c r="F2781" s="3" t="inlineStr">
        <is>
          <t>대동스틸</t>
        </is>
      </c>
      <c r="G2781" s="2" t="inlineStr">
        <is>
          <t>20260311003464</t>
        </is>
      </c>
      <c r="H2781" s="8">
        <f>HYPERLINK("https://dart.fss.or.kr/dsaf001/main.do?rcpNo=20260311003464", "공시열람")</f>
        <v/>
      </c>
    </row>
    <row r="2782">
      <c r="A2782" s="2" t="inlineStr">
        <is>
          <t>2026-03-11</t>
        </is>
      </c>
      <c r="B2782" s="3" t="inlineStr">
        <is>
          <t>대한전선</t>
        </is>
      </c>
      <c r="C2782" s="2" t="inlineStr">
        <is>
          <t>코스피</t>
        </is>
      </c>
      <c r="D2782" s="2" t="inlineStr">
        <is>
          <t>001440</t>
        </is>
      </c>
      <c r="E2782" s="3" t="inlineStr">
        <is>
          <t>주주총회소집공고</t>
        </is>
      </c>
      <c r="F2782" s="3" t="inlineStr">
        <is>
          <t>대한전선</t>
        </is>
      </c>
      <c r="G2782" s="2" t="inlineStr">
        <is>
          <t>20260311003462</t>
        </is>
      </c>
      <c r="H2782" s="8">
        <f>HYPERLINK("https://dart.fss.or.kr/dsaf001/main.do?rcpNo=20260311003462", "공시열람")</f>
        <v/>
      </c>
    </row>
    <row r="2783">
      <c r="A2783" s="2" t="inlineStr">
        <is>
          <t>2026-03-11</t>
        </is>
      </c>
      <c r="B2783" s="3" t="inlineStr">
        <is>
          <t>웨이버스</t>
        </is>
      </c>
      <c r="C2783" s="2" t="inlineStr">
        <is>
          <t>코스닥</t>
        </is>
      </c>
      <c r="D2783" s="2" t="inlineStr">
        <is>
          <t>336060</t>
        </is>
      </c>
      <c r="E2783" s="3" t="inlineStr">
        <is>
          <t>주주총회소집공고</t>
        </is>
      </c>
      <c r="F2783" s="3" t="inlineStr">
        <is>
          <t>웨이버스</t>
        </is>
      </c>
      <c r="G2783" s="2" t="inlineStr">
        <is>
          <t>20260311003457</t>
        </is>
      </c>
      <c r="H2783" s="8">
        <f>HYPERLINK("https://dart.fss.or.kr/dsaf001/main.do?rcpNo=20260311003457", "공시열람")</f>
        <v/>
      </c>
    </row>
    <row r="2784">
      <c r="A2784" s="2" t="inlineStr">
        <is>
          <t>2026-03-11</t>
        </is>
      </c>
      <c r="B2784" s="3" t="inlineStr">
        <is>
          <t>아이빔테크놀로지</t>
        </is>
      </c>
      <c r="C2784" s="2" t="inlineStr">
        <is>
          <t>코스닥</t>
        </is>
      </c>
      <c r="D2784" s="2" t="inlineStr">
        <is>
          <t>460470</t>
        </is>
      </c>
      <c r="E2784" s="3" t="inlineStr">
        <is>
          <t>주주총회소집공고</t>
        </is>
      </c>
      <c r="F2784" s="3" t="inlineStr">
        <is>
          <t>아이빔테크놀로지</t>
        </is>
      </c>
      <c r="G2784" s="2" t="inlineStr">
        <is>
          <t>20260311003455</t>
        </is>
      </c>
      <c r="H2784" s="8">
        <f>HYPERLINK("https://dart.fss.or.kr/dsaf001/main.do?rcpNo=20260311003455", "공시열람")</f>
        <v/>
      </c>
    </row>
    <row r="2785">
      <c r="A2785" s="2" t="inlineStr">
        <is>
          <t>2026-03-11</t>
        </is>
      </c>
      <c r="B2785" s="3" t="inlineStr">
        <is>
          <t>아난티</t>
        </is>
      </c>
      <c r="C2785" s="2" t="inlineStr">
        <is>
          <t>코스닥</t>
        </is>
      </c>
      <c r="D2785" s="2" t="inlineStr">
        <is>
          <t>025980</t>
        </is>
      </c>
      <c r="E2785" s="3" t="inlineStr">
        <is>
          <t xml:space="preserve">주주총회소집결의              </t>
        </is>
      </c>
      <c r="F2785" s="3" t="inlineStr">
        <is>
          <t>아난티</t>
        </is>
      </c>
      <c r="G2785" s="2" t="inlineStr">
        <is>
          <t>20260311900443</t>
        </is>
      </c>
      <c r="H2785" s="8">
        <f>HYPERLINK("https://dart.fss.or.kr/dsaf001/main.do?rcpNo=20260311900443", "공시열람")</f>
        <v/>
      </c>
    </row>
    <row r="2786">
      <c r="A2786" s="2" t="inlineStr">
        <is>
          <t>2026-03-11</t>
        </is>
      </c>
      <c r="B2786" s="3" t="inlineStr">
        <is>
          <t>포스코엠텍</t>
        </is>
      </c>
      <c r="C2786" s="2" t="inlineStr">
        <is>
          <t>코스닥</t>
        </is>
      </c>
      <c r="D2786" s="2" t="inlineStr">
        <is>
          <t>009520</t>
        </is>
      </c>
      <c r="E2786" s="3" t="inlineStr">
        <is>
          <t>주주총회소집공고</t>
        </is>
      </c>
      <c r="F2786" s="3" t="inlineStr">
        <is>
          <t>포스코엠텍</t>
        </is>
      </c>
      <c r="G2786" s="2" t="inlineStr">
        <is>
          <t>20260311003454</t>
        </is>
      </c>
      <c r="H2786" s="8">
        <f>HYPERLINK("https://dart.fss.or.kr/dsaf001/main.do?rcpNo=20260311003454", "공시열람")</f>
        <v/>
      </c>
    </row>
    <row r="2787">
      <c r="A2787" s="2" t="inlineStr">
        <is>
          <t>2026-03-11</t>
        </is>
      </c>
      <c r="B2787" s="3" t="inlineStr">
        <is>
          <t>그린생명과학</t>
        </is>
      </c>
      <c r="C2787" s="2" t="inlineStr">
        <is>
          <t>코스닥</t>
        </is>
      </c>
      <c r="D2787" s="2" t="inlineStr">
        <is>
          <t>114450</t>
        </is>
      </c>
      <c r="E2787" s="3" t="inlineStr">
        <is>
          <t>주주총회소집공고</t>
        </is>
      </c>
      <c r="F2787" s="3" t="inlineStr">
        <is>
          <t>그린생명과학</t>
        </is>
      </c>
      <c r="G2787" s="2" t="inlineStr">
        <is>
          <t>20260311003453</t>
        </is>
      </c>
      <c r="H2787" s="8">
        <f>HYPERLINK("https://dart.fss.or.kr/dsaf001/main.do?rcpNo=20260311003453", "공시열람")</f>
        <v/>
      </c>
    </row>
    <row r="2788">
      <c r="A2788" s="2" t="inlineStr">
        <is>
          <t>2026-03-11</t>
        </is>
      </c>
      <c r="B2788" s="3" t="inlineStr">
        <is>
          <t>미래생명자원</t>
        </is>
      </c>
      <c r="C2788" s="2" t="inlineStr">
        <is>
          <t>코스닥</t>
        </is>
      </c>
      <c r="D2788" s="2" t="inlineStr">
        <is>
          <t>218150</t>
        </is>
      </c>
      <c r="E2788" s="3" t="inlineStr">
        <is>
          <t>주주총회소집공고</t>
        </is>
      </c>
      <c r="F2788" s="3" t="inlineStr">
        <is>
          <t>미래생명자원</t>
        </is>
      </c>
      <c r="G2788" s="2" t="inlineStr">
        <is>
          <t>20260311003452</t>
        </is>
      </c>
      <c r="H2788" s="8">
        <f>HYPERLINK("https://dart.fss.or.kr/dsaf001/main.do?rcpNo=20260311003452", "공시열람")</f>
        <v/>
      </c>
    </row>
    <row r="2789">
      <c r="A2789" s="2" t="inlineStr">
        <is>
          <t>2026-03-11</t>
        </is>
      </c>
      <c r="B2789" s="3" t="inlineStr">
        <is>
          <t>새빗켐</t>
        </is>
      </c>
      <c r="C2789" s="2" t="inlineStr">
        <is>
          <t>코스닥</t>
        </is>
      </c>
      <c r="D2789" s="2" t="inlineStr">
        <is>
          <t>107600</t>
        </is>
      </c>
      <c r="E2789" s="3" t="inlineStr">
        <is>
          <t>주주총회소집공고</t>
        </is>
      </c>
      <c r="F2789" s="3" t="inlineStr">
        <is>
          <t>새빗켐</t>
        </is>
      </c>
      <c r="G2789" s="2" t="inlineStr">
        <is>
          <t>20260311003449</t>
        </is>
      </c>
      <c r="H2789" s="8">
        <f>HYPERLINK("https://dart.fss.or.kr/dsaf001/main.do?rcpNo=20260311003449", "공시열람")</f>
        <v/>
      </c>
    </row>
    <row r="2790">
      <c r="A2790" s="2" t="inlineStr">
        <is>
          <t>2026-03-11</t>
        </is>
      </c>
      <c r="B2790" s="3" t="inlineStr">
        <is>
          <t>대원화성</t>
        </is>
      </c>
      <c r="C2790" s="2" t="inlineStr">
        <is>
          <t>코스피</t>
        </is>
      </c>
      <c r="D2790" s="2" t="inlineStr">
        <is>
          <t>024890</t>
        </is>
      </c>
      <c r="E2790" s="3" t="inlineStr">
        <is>
          <t>주주총회소집공고</t>
        </is>
      </c>
      <c r="F2790" s="3" t="inlineStr">
        <is>
          <t>대원화성</t>
        </is>
      </c>
      <c r="G2790" s="2" t="inlineStr">
        <is>
          <t>20260311003446</t>
        </is>
      </c>
      <c r="H2790" s="8">
        <f>HYPERLINK("https://dart.fss.or.kr/dsaf001/main.do?rcpNo=20260311003446", "공시열람")</f>
        <v/>
      </c>
    </row>
    <row r="2791">
      <c r="A2791" s="2" t="inlineStr">
        <is>
          <t>2026-03-11 (정정: 2026-03-18)</t>
        </is>
      </c>
      <c r="B2791" s="3" t="inlineStr">
        <is>
          <t>우신시스템</t>
        </is>
      </c>
      <c r="C2791" s="2" t="inlineStr">
        <is>
          <t>코스피</t>
        </is>
      </c>
      <c r="D2791" s="2" t="inlineStr">
        <is>
          <t>017370</t>
        </is>
      </c>
      <c r="E2791" s="3" t="inlineStr">
        <is>
          <t>주주총회소집공고 (정정: 20260318)</t>
        </is>
      </c>
      <c r="F2791" s="3" t="inlineStr">
        <is>
          <t>우신시스템</t>
        </is>
      </c>
      <c r="G2791" s="2" t="inlineStr">
        <is>
          <t>20260318000913</t>
        </is>
      </c>
      <c r="H2791" s="8">
        <f>HYPERLINK("https://dart.fss.or.kr/dsaf001/main.do?rcpNo=20260318000913", "공시열람")</f>
        <v/>
      </c>
    </row>
    <row r="2792">
      <c r="A2792" s="2" t="inlineStr">
        <is>
          <t>2026-03-11</t>
        </is>
      </c>
      <c r="B2792" s="3" t="inlineStr">
        <is>
          <t>안지오랩</t>
        </is>
      </c>
      <c r="C2792" s="2" t="inlineStr">
        <is>
          <t>코넥스</t>
        </is>
      </c>
      <c r="D2792" s="2" t="inlineStr">
        <is>
          <t>251280</t>
        </is>
      </c>
      <c r="E2792" s="3" t="inlineStr">
        <is>
          <t>주주총회소집공고</t>
        </is>
      </c>
      <c r="F2792" s="3" t="inlineStr">
        <is>
          <t>안지오랩</t>
        </is>
      </c>
      <c r="G2792" s="2" t="inlineStr">
        <is>
          <t>20260311003442</t>
        </is>
      </c>
      <c r="H2792" s="8">
        <f>HYPERLINK("https://dart.fss.or.kr/dsaf001/main.do?rcpNo=20260311003442", "공시열람")</f>
        <v/>
      </c>
    </row>
    <row r="2793">
      <c r="A2793" s="2" t="inlineStr">
        <is>
          <t>2026-03-11 (정정: 2026-03-11)</t>
        </is>
      </c>
      <c r="B2793" s="3" t="inlineStr">
        <is>
          <t>컴투스홀딩스</t>
        </is>
      </c>
      <c r="C2793" s="2" t="inlineStr">
        <is>
          <t>코스닥</t>
        </is>
      </c>
      <c r="D2793" s="2" t="inlineStr">
        <is>
          <t>063080</t>
        </is>
      </c>
      <c r="E2793" s="3" t="inlineStr">
        <is>
          <t>주주총회집중일개최사유신고               (정정: 20260311)</t>
        </is>
      </c>
      <c r="F2793" s="3" t="inlineStr">
        <is>
          <t>컴투스홀딩스</t>
        </is>
      </c>
      <c r="G2793" s="2" t="inlineStr">
        <is>
          <t>20260311900423</t>
        </is>
      </c>
      <c r="H2793" s="8">
        <f>HYPERLINK("https://dart.fss.or.kr/dsaf001/main.do?rcpNo=20260311900423", "공시열람")</f>
        <v/>
      </c>
    </row>
    <row r="2794">
      <c r="A2794" s="2" t="inlineStr">
        <is>
          <t>2026-03-11</t>
        </is>
      </c>
      <c r="B2794" s="3" t="inlineStr">
        <is>
          <t>아이티센코어</t>
        </is>
      </c>
      <c r="C2794" s="2" t="inlineStr">
        <is>
          <t>코넥스</t>
        </is>
      </c>
      <c r="D2794" s="2" t="inlineStr">
        <is>
          <t>243870</t>
        </is>
      </c>
      <c r="E2794" s="3" t="inlineStr">
        <is>
          <t>주주총회소집공고</t>
        </is>
      </c>
      <c r="F2794" s="3" t="inlineStr">
        <is>
          <t>아이티센코어</t>
        </is>
      </c>
      <c r="G2794" s="2" t="inlineStr">
        <is>
          <t>20260311003436</t>
        </is>
      </c>
      <c r="H2794" s="8">
        <f>HYPERLINK("https://dart.fss.or.kr/dsaf001/main.do?rcpNo=20260311003436", "공시열람")</f>
        <v/>
      </c>
    </row>
    <row r="2795">
      <c r="A2795" s="2" t="inlineStr">
        <is>
          <t>2026-03-11</t>
        </is>
      </c>
      <c r="B2795" s="3" t="inlineStr">
        <is>
          <t>KBI동양철관</t>
        </is>
      </c>
      <c r="C2795" s="2" t="inlineStr">
        <is>
          <t>코스피</t>
        </is>
      </c>
      <c r="D2795" s="2" t="inlineStr">
        <is>
          <t>008970</t>
        </is>
      </c>
      <c r="E2795" s="3" t="inlineStr">
        <is>
          <t xml:space="preserve">주주총회소집결의              </t>
        </is>
      </c>
      <c r="F2795" s="3" t="inlineStr">
        <is>
          <t>KBI동양철관</t>
        </is>
      </c>
      <c r="G2795" s="2" t="inlineStr">
        <is>
          <t>20260311800420</t>
        </is>
      </c>
      <c r="H2795" s="8">
        <f>HYPERLINK("https://dart.fss.or.kr/dsaf001/main.do?rcpNo=20260311800420", "공시열람")</f>
        <v/>
      </c>
    </row>
    <row r="2796">
      <c r="A2796" s="2" t="inlineStr">
        <is>
          <t>2026-03-11</t>
        </is>
      </c>
      <c r="B2796" s="3" t="inlineStr">
        <is>
          <t>컴투스홀딩스</t>
        </is>
      </c>
      <c r="C2796" s="2" t="inlineStr">
        <is>
          <t>코스닥</t>
        </is>
      </c>
      <c r="D2796" s="2" t="inlineStr">
        <is>
          <t>063080</t>
        </is>
      </c>
      <c r="E2796" s="3" t="inlineStr">
        <is>
          <t>주주총회소집공고</t>
        </is>
      </c>
      <c r="F2796" s="3" t="inlineStr">
        <is>
          <t>컴투스홀딩스</t>
        </is>
      </c>
      <c r="G2796" s="2" t="inlineStr">
        <is>
          <t>20260311003433</t>
        </is>
      </c>
      <c r="H2796" s="8">
        <f>HYPERLINK("https://dart.fss.or.kr/dsaf001/main.do?rcpNo=20260311003433", "공시열람")</f>
        <v/>
      </c>
    </row>
    <row r="2797">
      <c r="A2797" s="2" t="inlineStr">
        <is>
          <t>2026-03-11</t>
        </is>
      </c>
      <c r="B2797" s="3" t="inlineStr">
        <is>
          <t>뉴엔AI</t>
        </is>
      </c>
      <c r="C2797" s="2" t="inlineStr">
        <is>
          <t>코스닥</t>
        </is>
      </c>
      <c r="D2797" s="2" t="inlineStr">
        <is>
          <t>463020</t>
        </is>
      </c>
      <c r="E2797" s="3" t="inlineStr">
        <is>
          <t xml:space="preserve">주주총회소집결의              </t>
        </is>
      </c>
      <c r="F2797" s="3" t="inlineStr">
        <is>
          <t>뉴엔AI</t>
        </is>
      </c>
      <c r="G2797" s="2" t="inlineStr">
        <is>
          <t>20260311900417</t>
        </is>
      </c>
      <c r="H2797" s="8">
        <f>HYPERLINK("https://dart.fss.or.kr/dsaf001/main.do?rcpNo=20260311900417", "공시열람")</f>
        <v/>
      </c>
    </row>
    <row r="2798">
      <c r="A2798" s="2" t="inlineStr">
        <is>
          <t>2026-03-11</t>
        </is>
      </c>
      <c r="B2798" s="3" t="inlineStr">
        <is>
          <t>컴투스홀딩스</t>
        </is>
      </c>
      <c r="C2798" s="2" t="inlineStr">
        <is>
          <t>코스닥</t>
        </is>
      </c>
      <c r="D2798" s="2" t="inlineStr">
        <is>
          <t>063080</t>
        </is>
      </c>
      <c r="E2798" s="3" t="inlineStr">
        <is>
          <t xml:space="preserve">주주총회소집결의              </t>
        </is>
      </c>
      <c r="F2798" s="3" t="inlineStr">
        <is>
          <t>컴투스홀딩스</t>
        </is>
      </c>
      <c r="G2798" s="2" t="inlineStr">
        <is>
          <t>20260311900411</t>
        </is>
      </c>
      <c r="H2798" s="8">
        <f>HYPERLINK("https://dart.fss.or.kr/dsaf001/main.do?rcpNo=20260311900411", "공시열람")</f>
        <v/>
      </c>
    </row>
    <row r="2799">
      <c r="A2799" s="2" t="inlineStr">
        <is>
          <t>2026-03-11</t>
        </is>
      </c>
      <c r="B2799" s="3" t="inlineStr">
        <is>
          <t>가온그룹</t>
        </is>
      </c>
      <c r="C2799" s="2" t="inlineStr">
        <is>
          <t>코스닥</t>
        </is>
      </c>
      <c r="D2799" s="2" t="inlineStr">
        <is>
          <t>078890</t>
        </is>
      </c>
      <c r="E2799" s="3" t="inlineStr">
        <is>
          <t>[기재정정]주주총회소집공고</t>
        </is>
      </c>
      <c r="F2799" s="3" t="inlineStr">
        <is>
          <t>가온그룹</t>
        </is>
      </c>
      <c r="G2799" s="2" t="inlineStr">
        <is>
          <t>20260311003428</t>
        </is>
      </c>
      <c r="H2799" s="8">
        <f>HYPERLINK("https://dart.fss.or.kr/dsaf001/main.do?rcpNo=20260311003428", "공시열람")</f>
        <v/>
      </c>
    </row>
    <row r="2800">
      <c r="A2800" s="2" t="inlineStr">
        <is>
          <t>2026-03-11</t>
        </is>
      </c>
      <c r="B2800" s="3" t="inlineStr">
        <is>
          <t>넥센</t>
        </is>
      </c>
      <c r="C2800" s="2" t="inlineStr">
        <is>
          <t>코스피</t>
        </is>
      </c>
      <c r="D2800" s="2" t="inlineStr">
        <is>
          <t>005720</t>
        </is>
      </c>
      <c r="E2800" s="3" t="inlineStr">
        <is>
          <t>주주총회소집공고</t>
        </is>
      </c>
      <c r="F2800" s="3" t="inlineStr">
        <is>
          <t>넥센</t>
        </is>
      </c>
      <c r="G2800" s="2" t="inlineStr">
        <is>
          <t>20260311003426</t>
        </is>
      </c>
      <c r="H2800" s="8">
        <f>HYPERLINK("https://dart.fss.or.kr/dsaf001/main.do?rcpNo=20260311003426", "공시열람")</f>
        <v/>
      </c>
    </row>
    <row r="2801">
      <c r="A2801" s="2" t="inlineStr">
        <is>
          <t>2026-03-11</t>
        </is>
      </c>
      <c r="B2801" s="3" t="inlineStr">
        <is>
          <t>경인양행</t>
        </is>
      </c>
      <c r="C2801" s="2" t="inlineStr">
        <is>
          <t>코스피</t>
        </is>
      </c>
      <c r="D2801" s="2" t="inlineStr">
        <is>
          <t>012610</t>
        </is>
      </c>
      <c r="E2801" s="3" t="inlineStr">
        <is>
          <t xml:space="preserve">주주총회집중일개최사유신고              </t>
        </is>
      </c>
      <c r="F2801" s="3" t="inlineStr">
        <is>
          <t>경인양행</t>
        </is>
      </c>
      <c r="G2801" s="2" t="inlineStr">
        <is>
          <t>20260311800405</t>
        </is>
      </c>
      <c r="H2801" s="8">
        <f>HYPERLINK("https://dart.fss.or.kr/dsaf001/main.do?rcpNo=20260311800405", "공시열람")</f>
        <v/>
      </c>
    </row>
    <row r="2802">
      <c r="A2802" s="2" t="inlineStr">
        <is>
          <t>2026-03-11</t>
        </is>
      </c>
      <c r="B2802" s="3" t="inlineStr">
        <is>
          <t>동진쎄미켐</t>
        </is>
      </c>
      <c r="C2802" s="2" t="inlineStr">
        <is>
          <t>코스닥</t>
        </is>
      </c>
      <c r="D2802" s="2" t="inlineStr">
        <is>
          <t>005290</t>
        </is>
      </c>
      <c r="E2802" s="3" t="inlineStr">
        <is>
          <t xml:space="preserve">주주총회집중일개최사유신고              </t>
        </is>
      </c>
      <c r="F2802" s="3" t="inlineStr">
        <is>
          <t>동진쎄미켐</t>
        </is>
      </c>
      <c r="G2802" s="2" t="inlineStr">
        <is>
          <t>20260311900403</t>
        </is>
      </c>
      <c r="H2802" s="8">
        <f>HYPERLINK("https://dart.fss.or.kr/dsaf001/main.do?rcpNo=20260311900403", "공시열람")</f>
        <v/>
      </c>
    </row>
    <row r="2803">
      <c r="A2803" s="2" t="inlineStr">
        <is>
          <t>2026-03-11</t>
        </is>
      </c>
      <c r="B2803" s="3" t="inlineStr">
        <is>
          <t>동진쎄미켐</t>
        </is>
      </c>
      <c r="C2803" s="2" t="inlineStr">
        <is>
          <t>코스닥</t>
        </is>
      </c>
      <c r="D2803" s="2" t="inlineStr">
        <is>
          <t>005290</t>
        </is>
      </c>
      <c r="E2803" s="3" t="inlineStr">
        <is>
          <t xml:space="preserve">주주총회소집결의              </t>
        </is>
      </c>
      <c r="F2803" s="3" t="inlineStr">
        <is>
          <t>동진쎄미켐</t>
        </is>
      </c>
      <c r="G2803" s="2" t="inlineStr">
        <is>
          <t>20260311900401</t>
        </is>
      </c>
      <c r="H2803" s="8">
        <f>HYPERLINK("https://dart.fss.or.kr/dsaf001/main.do?rcpNo=20260311900401", "공시열람")</f>
        <v/>
      </c>
    </row>
    <row r="2804">
      <c r="A2804" s="2" t="inlineStr">
        <is>
          <t>2026-03-11 (정정: 2026-06-25)</t>
        </is>
      </c>
      <c r="B2804" s="3" t="inlineStr">
        <is>
          <t>새로닉스</t>
        </is>
      </c>
      <c r="C2804" s="2" t="inlineStr">
        <is>
          <t>코스닥</t>
        </is>
      </c>
      <c r="D2804" s="2" t="inlineStr">
        <is>
          <t>042600</t>
        </is>
      </c>
      <c r="E2804" s="3" t="inlineStr">
        <is>
          <t>주주총회소집공고 (정정: 20260625)</t>
        </is>
      </c>
      <c r="F2804" s="3" t="inlineStr">
        <is>
          <t>새로닉스</t>
        </is>
      </c>
      <c r="G2804" s="2" t="inlineStr">
        <is>
          <t>20260625000120</t>
        </is>
      </c>
      <c r="H2804" s="8">
        <f>HYPERLINK("https://dart.fss.or.kr/dsaf001/main.do?rcpNo=20260625000120", "공시열람")</f>
        <v/>
      </c>
    </row>
    <row r="2805">
      <c r="A2805" s="2" t="inlineStr">
        <is>
          <t>2026-03-11</t>
        </is>
      </c>
      <c r="B2805" s="3" t="inlineStr">
        <is>
          <t>오디텍</t>
        </is>
      </c>
      <c r="C2805" s="2" t="inlineStr">
        <is>
          <t>코스닥</t>
        </is>
      </c>
      <c r="D2805" s="2" t="inlineStr">
        <is>
          <t>080520</t>
        </is>
      </c>
      <c r="E2805" s="3" t="inlineStr">
        <is>
          <t xml:space="preserve">주주총회집중일개최사유신고              </t>
        </is>
      </c>
      <c r="F2805" s="3" t="inlineStr">
        <is>
          <t>오디텍</t>
        </is>
      </c>
      <c r="G2805" s="2" t="inlineStr">
        <is>
          <t>20260311900399</t>
        </is>
      </c>
      <c r="H2805" s="8">
        <f>HYPERLINK("https://dart.fss.or.kr/dsaf001/main.do?rcpNo=20260311900399", "공시열람")</f>
        <v/>
      </c>
    </row>
    <row r="2806">
      <c r="A2806" s="2" t="inlineStr">
        <is>
          <t>2026-03-11</t>
        </is>
      </c>
      <c r="B2806" s="3" t="inlineStr">
        <is>
          <t>경인양행</t>
        </is>
      </c>
      <c r="C2806" s="2" t="inlineStr">
        <is>
          <t>코스피</t>
        </is>
      </c>
      <c r="D2806" s="2" t="inlineStr">
        <is>
          <t>012610</t>
        </is>
      </c>
      <c r="E2806" s="3" t="inlineStr">
        <is>
          <t xml:space="preserve">주주총회소집결의              </t>
        </is>
      </c>
      <c r="F2806" s="3" t="inlineStr">
        <is>
          <t>경인양행</t>
        </is>
      </c>
      <c r="G2806" s="2" t="inlineStr">
        <is>
          <t>20260311800386</t>
        </is>
      </c>
      <c r="H2806" s="8">
        <f>HYPERLINK("https://dart.fss.or.kr/dsaf001/main.do?rcpNo=20260311800386", "공시열람")</f>
        <v/>
      </c>
    </row>
    <row r="2807">
      <c r="A2807" s="2" t="inlineStr">
        <is>
          <t>2026-03-11</t>
        </is>
      </c>
      <c r="B2807" s="3" t="inlineStr">
        <is>
          <t>오디텍</t>
        </is>
      </c>
      <c r="C2807" s="2" t="inlineStr">
        <is>
          <t>코스닥</t>
        </is>
      </c>
      <c r="D2807" s="2" t="inlineStr">
        <is>
          <t>080520</t>
        </is>
      </c>
      <c r="E2807" s="3" t="inlineStr">
        <is>
          <t xml:space="preserve">주주총회소집결의              </t>
        </is>
      </c>
      <c r="F2807" s="3" t="inlineStr">
        <is>
          <t>오디텍</t>
        </is>
      </c>
      <c r="G2807" s="2" t="inlineStr">
        <is>
          <t>20260311900391</t>
        </is>
      </c>
      <c r="H2807" s="8">
        <f>HYPERLINK("https://dart.fss.or.kr/dsaf001/main.do?rcpNo=20260311900391", "공시열람")</f>
        <v/>
      </c>
    </row>
    <row r="2808">
      <c r="A2808" s="2" t="inlineStr">
        <is>
          <t>2026-03-11</t>
        </is>
      </c>
      <c r="B2808" s="3" t="inlineStr">
        <is>
          <t>디에스엠</t>
        </is>
      </c>
      <c r="C2808" s="2" t="inlineStr">
        <is>
          <t>코스닥</t>
        </is>
      </c>
      <c r="D2808" s="2" t="inlineStr">
        <is>
          <t>104040</t>
        </is>
      </c>
      <c r="E2808" s="3" t="inlineStr">
        <is>
          <t>주주총회소집공고</t>
        </is>
      </c>
      <c r="F2808" s="3" t="inlineStr">
        <is>
          <t>디에스엠</t>
        </is>
      </c>
      <c r="G2808" s="2" t="inlineStr">
        <is>
          <t>20260311003419</t>
        </is>
      </c>
      <c r="H2808" s="8">
        <f>HYPERLINK("https://dart.fss.or.kr/dsaf001/main.do?rcpNo=20260311003419", "공시열람")</f>
        <v/>
      </c>
    </row>
    <row r="2809">
      <c r="A2809" s="2" t="inlineStr">
        <is>
          <t>2026-03-11</t>
        </is>
      </c>
      <c r="B2809" s="3" t="inlineStr">
        <is>
          <t>베뉴지</t>
        </is>
      </c>
      <c r="C2809" s="2" t="inlineStr">
        <is>
          <t>코스닥</t>
        </is>
      </c>
      <c r="D2809" s="2" t="inlineStr">
        <is>
          <t>019010</t>
        </is>
      </c>
      <c r="E2809" s="3" t="inlineStr">
        <is>
          <t xml:space="preserve">주주총회집중일개최사유신고              </t>
        </is>
      </c>
      <c r="F2809" s="3" t="inlineStr">
        <is>
          <t>베뉴지</t>
        </is>
      </c>
      <c r="G2809" s="2" t="inlineStr">
        <is>
          <t>20260311900327</t>
        </is>
      </c>
      <c r="H2809" s="8">
        <f>HYPERLINK("https://dart.fss.or.kr/dsaf001/main.do?rcpNo=20260311900327", "공시열람")</f>
        <v/>
      </c>
    </row>
    <row r="2810">
      <c r="A2810" s="2" t="inlineStr">
        <is>
          <t>2026-03-11</t>
        </is>
      </c>
      <c r="B2810" s="3" t="inlineStr">
        <is>
          <t>베뉴지</t>
        </is>
      </c>
      <c r="C2810" s="2" t="inlineStr">
        <is>
          <t>코스닥</t>
        </is>
      </c>
      <c r="D2810" s="2" t="inlineStr">
        <is>
          <t>019010</t>
        </is>
      </c>
      <c r="E2810" s="3" t="inlineStr">
        <is>
          <t xml:space="preserve">주주총회소집결의              </t>
        </is>
      </c>
      <c r="F2810" s="3" t="inlineStr">
        <is>
          <t>베뉴지</t>
        </is>
      </c>
      <c r="G2810" s="2" t="inlineStr">
        <is>
          <t>20260311900325</t>
        </is>
      </c>
      <c r="H2810" s="8">
        <f>HYPERLINK("https://dart.fss.or.kr/dsaf001/main.do?rcpNo=20260311900325", "공시열람")</f>
        <v/>
      </c>
    </row>
    <row r="2811">
      <c r="A2811" s="2" t="inlineStr">
        <is>
          <t>2026-03-11</t>
        </is>
      </c>
      <c r="B2811" s="3" t="inlineStr">
        <is>
          <t>이성씨엔아이</t>
        </is>
      </c>
      <c r="C2811" s="2" t="inlineStr">
        <is>
          <t>코넥스</t>
        </is>
      </c>
      <c r="D2811" s="2" t="inlineStr">
        <is>
          <t>379390</t>
        </is>
      </c>
      <c r="E2811" s="3" t="inlineStr">
        <is>
          <t>주주총회소집공고</t>
        </is>
      </c>
      <c r="F2811" s="3" t="inlineStr">
        <is>
          <t>이성씨엔아이</t>
        </is>
      </c>
      <c r="G2811" s="2" t="inlineStr">
        <is>
          <t>20260311003416</t>
        </is>
      </c>
      <c r="H2811" s="8">
        <f>HYPERLINK("https://dart.fss.or.kr/dsaf001/main.do?rcpNo=20260311003416", "공시열람")</f>
        <v/>
      </c>
    </row>
    <row r="2812">
      <c r="A2812" s="2" t="inlineStr">
        <is>
          <t>2026-03-11</t>
        </is>
      </c>
      <c r="B2812" s="3" t="inlineStr">
        <is>
          <t>동화약품</t>
        </is>
      </c>
      <c r="C2812" s="2" t="inlineStr">
        <is>
          <t>코스피</t>
        </is>
      </c>
      <c r="D2812" s="2" t="inlineStr">
        <is>
          <t>000020</t>
        </is>
      </c>
      <c r="E2812" s="3" t="inlineStr">
        <is>
          <t>주주총회소집공고</t>
        </is>
      </c>
      <c r="F2812" s="3" t="inlineStr">
        <is>
          <t>동화약품</t>
        </is>
      </c>
      <c r="G2812" s="2" t="inlineStr">
        <is>
          <t>20260311003415</t>
        </is>
      </c>
      <c r="H2812" s="8">
        <f>HYPERLINK("https://dart.fss.or.kr/dsaf001/main.do?rcpNo=20260311003415", "공시열람")</f>
        <v/>
      </c>
    </row>
    <row r="2813">
      <c r="A2813" s="2" t="inlineStr">
        <is>
          <t>2026-03-11</t>
        </is>
      </c>
      <c r="B2813" s="3" t="inlineStr">
        <is>
          <t>미창석유공업</t>
        </is>
      </c>
      <c r="C2813" s="2" t="inlineStr">
        <is>
          <t>코스피</t>
        </is>
      </c>
      <c r="D2813" s="2" t="inlineStr">
        <is>
          <t>003650</t>
        </is>
      </c>
      <c r="E2813" s="3" t="inlineStr">
        <is>
          <t xml:space="preserve">주주총회소집결의              </t>
        </is>
      </c>
      <c r="F2813" s="3" t="inlineStr">
        <is>
          <t>미창석유공업</t>
        </is>
      </c>
      <c r="G2813" s="2" t="inlineStr">
        <is>
          <t>20260311800370</t>
        </is>
      </c>
      <c r="H2813" s="8">
        <f>HYPERLINK("https://dart.fss.or.kr/dsaf001/main.do?rcpNo=20260311800370", "공시열람")</f>
        <v/>
      </c>
    </row>
    <row r="2814">
      <c r="A2814" s="2" t="inlineStr">
        <is>
          <t>2026-03-11</t>
        </is>
      </c>
      <c r="B2814" s="3" t="inlineStr">
        <is>
          <t>타조이엔터테인먼트</t>
        </is>
      </c>
      <c r="C2814" s="2" t="inlineStr">
        <is>
          <t>코넥스</t>
        </is>
      </c>
      <c r="D2814" s="2" t="inlineStr">
        <is>
          <t>476710</t>
        </is>
      </c>
      <c r="E2814" s="3" t="inlineStr">
        <is>
          <t>주주총회소집공고</t>
        </is>
      </c>
      <c r="F2814" s="3" t="inlineStr">
        <is>
          <t>타조이엔터테인먼트</t>
        </is>
      </c>
      <c r="G2814" s="2" t="inlineStr">
        <is>
          <t>20260311003413</t>
        </is>
      </c>
      <c r="H2814" s="8">
        <f>HYPERLINK("https://dart.fss.or.kr/dsaf001/main.do?rcpNo=20260311003413", "공시열람")</f>
        <v/>
      </c>
    </row>
    <row r="2815">
      <c r="A2815" s="2" t="inlineStr">
        <is>
          <t>2026-03-11</t>
        </is>
      </c>
      <c r="B2815" s="3" t="inlineStr">
        <is>
          <t>프리엠스</t>
        </is>
      </c>
      <c r="C2815" s="2" t="inlineStr">
        <is>
          <t>코스닥</t>
        </is>
      </c>
      <c r="D2815" s="2" t="inlineStr">
        <is>
          <t>053160</t>
        </is>
      </c>
      <c r="E2815" s="3" t="inlineStr">
        <is>
          <t>주주총회소집공고</t>
        </is>
      </c>
      <c r="F2815" s="3" t="inlineStr">
        <is>
          <t>프리엠스</t>
        </is>
      </c>
      <c r="G2815" s="2" t="inlineStr">
        <is>
          <t>20260311003412</t>
        </is>
      </c>
      <c r="H2815" s="8">
        <f>HYPERLINK("https://dart.fss.or.kr/dsaf001/main.do?rcpNo=20260311003412", "공시열람")</f>
        <v/>
      </c>
    </row>
    <row r="2816">
      <c r="A2816" s="2" t="inlineStr">
        <is>
          <t>2026-03-11</t>
        </is>
      </c>
      <c r="B2816" s="3" t="inlineStr">
        <is>
          <t>석경에이티</t>
        </is>
      </c>
      <c r="C2816" s="2" t="inlineStr">
        <is>
          <t>코스닥</t>
        </is>
      </c>
      <c r="D2816" s="2" t="inlineStr">
        <is>
          <t>357550</t>
        </is>
      </c>
      <c r="E2816" s="3" t="inlineStr">
        <is>
          <t>주주총회소집공고</t>
        </is>
      </c>
      <c r="F2816" s="3" t="inlineStr">
        <is>
          <t>석경에이티</t>
        </is>
      </c>
      <c r="G2816" s="2" t="inlineStr">
        <is>
          <t>20260311003410</t>
        </is>
      </c>
      <c r="H2816" s="8">
        <f>HYPERLINK("https://dart.fss.or.kr/dsaf001/main.do?rcpNo=20260311003410", "공시열람")</f>
        <v/>
      </c>
    </row>
    <row r="2817">
      <c r="A2817" s="2" t="inlineStr">
        <is>
          <t>2026-03-11</t>
        </is>
      </c>
      <c r="B2817" s="3" t="inlineStr">
        <is>
          <t>에너토크</t>
        </is>
      </c>
      <c r="C2817" s="2" t="inlineStr">
        <is>
          <t>코스닥</t>
        </is>
      </c>
      <c r="D2817" s="2" t="inlineStr">
        <is>
          <t>019990</t>
        </is>
      </c>
      <c r="E2817" s="3" t="inlineStr">
        <is>
          <t>주주총회소집공고</t>
        </is>
      </c>
      <c r="F2817" s="3" t="inlineStr">
        <is>
          <t>에너토크</t>
        </is>
      </c>
      <c r="G2817" s="2" t="inlineStr">
        <is>
          <t>20260311003409</t>
        </is>
      </c>
      <c r="H2817" s="8">
        <f>HYPERLINK("https://dart.fss.or.kr/dsaf001/main.do?rcpNo=20260311003409", "공시열람")</f>
        <v/>
      </c>
    </row>
    <row r="2818">
      <c r="A2818" s="2" t="inlineStr">
        <is>
          <t>2026-03-11</t>
        </is>
      </c>
      <c r="B2818" s="3" t="inlineStr">
        <is>
          <t>아이퀘스트</t>
        </is>
      </c>
      <c r="C2818" s="2" t="inlineStr">
        <is>
          <t>코스닥</t>
        </is>
      </c>
      <c r="D2818" s="2" t="inlineStr">
        <is>
          <t>262840</t>
        </is>
      </c>
      <c r="E2818" s="3" t="inlineStr">
        <is>
          <t>주주총회소집공고</t>
        </is>
      </c>
      <c r="F2818" s="3" t="inlineStr">
        <is>
          <t>아이퀘스트</t>
        </is>
      </c>
      <c r="G2818" s="2" t="inlineStr">
        <is>
          <t>20260311003407</t>
        </is>
      </c>
      <c r="H2818" s="8">
        <f>HYPERLINK("https://dart.fss.or.kr/dsaf001/main.do?rcpNo=20260311003407", "공시열람")</f>
        <v/>
      </c>
    </row>
    <row r="2819">
      <c r="A2819" s="2" t="inlineStr">
        <is>
          <t>2026-03-11</t>
        </is>
      </c>
      <c r="B2819" s="3" t="inlineStr">
        <is>
          <t>인터로이드</t>
        </is>
      </c>
      <c r="C2819" s="2" t="inlineStr">
        <is>
          <t>코넥스</t>
        </is>
      </c>
      <c r="D2819" s="2" t="inlineStr">
        <is>
          <t>311960</t>
        </is>
      </c>
      <c r="E2819" s="3" t="inlineStr">
        <is>
          <t xml:space="preserve">주주총회소집결의              </t>
        </is>
      </c>
      <c r="F2819" s="3" t="inlineStr">
        <is>
          <t>인터로이드</t>
        </is>
      </c>
      <c r="G2819" s="2" t="inlineStr">
        <is>
          <t>20260311600359</t>
        </is>
      </c>
      <c r="H2819" s="8">
        <f>HYPERLINK("https://dart.fss.or.kr/dsaf001/main.do?rcpNo=20260311600359", "공시열람")</f>
        <v/>
      </c>
    </row>
    <row r="2820">
      <c r="A2820" s="2" t="inlineStr">
        <is>
          <t>2026-03-11</t>
        </is>
      </c>
      <c r="B2820" s="3" t="inlineStr">
        <is>
          <t>매커스</t>
        </is>
      </c>
      <c r="C2820" s="2" t="inlineStr">
        <is>
          <t>코스닥</t>
        </is>
      </c>
      <c r="D2820" s="2" t="inlineStr">
        <is>
          <t>093520</t>
        </is>
      </c>
      <c r="E2820" s="3" t="inlineStr">
        <is>
          <t>주주총회소집공고</t>
        </is>
      </c>
      <c r="F2820" s="3" t="inlineStr">
        <is>
          <t>매커스</t>
        </is>
      </c>
      <c r="G2820" s="2" t="inlineStr">
        <is>
          <t>20260311003406</t>
        </is>
      </c>
      <c r="H2820" s="8">
        <f>HYPERLINK("https://dart.fss.or.kr/dsaf001/main.do?rcpNo=20260311003406", "공시열람")</f>
        <v/>
      </c>
    </row>
    <row r="2821">
      <c r="A2821" s="2" t="inlineStr">
        <is>
          <t>2026-03-11</t>
        </is>
      </c>
      <c r="B2821" s="3" t="inlineStr">
        <is>
          <t>풍국주정</t>
        </is>
      </c>
      <c r="C2821" s="2" t="inlineStr">
        <is>
          <t>코스닥</t>
        </is>
      </c>
      <c r="D2821" s="2" t="inlineStr">
        <is>
          <t>023900</t>
        </is>
      </c>
      <c r="E2821" s="3" t="inlineStr">
        <is>
          <t>주주총회소집공고</t>
        </is>
      </c>
      <c r="F2821" s="3" t="inlineStr">
        <is>
          <t>풍국주정</t>
        </is>
      </c>
      <c r="G2821" s="2" t="inlineStr">
        <is>
          <t>20260311003403</t>
        </is>
      </c>
      <c r="H2821" s="8">
        <f>HYPERLINK("https://dart.fss.or.kr/dsaf001/main.do?rcpNo=20260311003403", "공시열람")</f>
        <v/>
      </c>
    </row>
    <row r="2822">
      <c r="A2822" s="2" t="inlineStr">
        <is>
          <t>2026-03-11 (정정: 2026-03-12)</t>
        </is>
      </c>
      <c r="B2822" s="3" t="inlineStr">
        <is>
          <t>엠오티</t>
        </is>
      </c>
      <c r="C2822" s="2" t="inlineStr">
        <is>
          <t>코스닥</t>
        </is>
      </c>
      <c r="D2822" s="2" t="inlineStr">
        <is>
          <t>413390</t>
        </is>
      </c>
      <c r="E2822" s="3" t="inlineStr">
        <is>
          <t>주주총회소집공고 (정정: 20260312)</t>
        </is>
      </c>
      <c r="F2822" s="3" t="inlineStr">
        <is>
          <t>엠오티</t>
        </is>
      </c>
      <c r="G2822" s="2" t="inlineStr">
        <is>
          <t>20260312000085</t>
        </is>
      </c>
      <c r="H2822" s="8">
        <f>HYPERLINK("https://dart.fss.or.kr/dsaf001/main.do?rcpNo=20260312000085", "공시열람")</f>
        <v/>
      </c>
    </row>
    <row r="2823">
      <c r="A2823" s="2" t="inlineStr">
        <is>
          <t>2026-03-11</t>
        </is>
      </c>
      <c r="B2823" s="3" t="inlineStr">
        <is>
          <t>아이센스</t>
        </is>
      </c>
      <c r="C2823" s="2" t="inlineStr">
        <is>
          <t>코스닥</t>
        </is>
      </c>
      <c r="D2823" s="2" t="inlineStr">
        <is>
          <t>099190</t>
        </is>
      </c>
      <c r="E2823" s="3" t="inlineStr">
        <is>
          <t>주주총회소집공고</t>
        </is>
      </c>
      <c r="F2823" s="3" t="inlineStr">
        <is>
          <t>아이센스</t>
        </is>
      </c>
      <c r="G2823" s="2" t="inlineStr">
        <is>
          <t>20260311003397</t>
        </is>
      </c>
      <c r="H2823" s="8">
        <f>HYPERLINK("https://dart.fss.or.kr/dsaf001/main.do?rcpNo=20260311003397", "공시열람")</f>
        <v/>
      </c>
    </row>
    <row r="2824">
      <c r="A2824" s="2" t="inlineStr">
        <is>
          <t>2026-03-11</t>
        </is>
      </c>
      <c r="B2824" s="3" t="inlineStr">
        <is>
          <t>엠오티</t>
        </is>
      </c>
      <c r="C2824" s="2" t="inlineStr">
        <is>
          <t>코스닥</t>
        </is>
      </c>
      <c r="D2824" s="2" t="inlineStr">
        <is>
          <t>413390</t>
        </is>
      </c>
      <c r="E2824" s="3" t="inlineStr">
        <is>
          <t xml:space="preserve">주주총회소집결의              </t>
        </is>
      </c>
      <c r="F2824" s="3" t="inlineStr">
        <is>
          <t>엠오티</t>
        </is>
      </c>
      <c r="G2824" s="2" t="inlineStr">
        <is>
          <t>20260311900343</t>
        </is>
      </c>
      <c r="H2824" s="8">
        <f>HYPERLINK("https://dart.fss.or.kr/dsaf001/main.do?rcpNo=20260311900343", "공시열람")</f>
        <v/>
      </c>
    </row>
    <row r="2825">
      <c r="A2825" s="2" t="inlineStr">
        <is>
          <t>2026-03-11</t>
        </is>
      </c>
      <c r="B2825" s="3" t="inlineStr">
        <is>
          <t>남화토건</t>
        </is>
      </c>
      <c r="C2825" s="2" t="inlineStr">
        <is>
          <t>코스닥</t>
        </is>
      </c>
      <c r="D2825" s="2" t="inlineStr">
        <is>
          <t>091590</t>
        </is>
      </c>
      <c r="E2825" s="3" t="inlineStr">
        <is>
          <t>주주총회소집공고</t>
        </is>
      </c>
      <c r="F2825" s="3" t="inlineStr">
        <is>
          <t>남화토건</t>
        </is>
      </c>
      <c r="G2825" s="2" t="inlineStr">
        <is>
          <t>20260311003394</t>
        </is>
      </c>
      <c r="H2825" s="8">
        <f>HYPERLINK("https://dart.fss.or.kr/dsaf001/main.do?rcpNo=20260311003394", "공시열람")</f>
        <v/>
      </c>
    </row>
    <row r="2826">
      <c r="A2826" s="2" t="inlineStr">
        <is>
          <t>2026-03-11</t>
        </is>
      </c>
      <c r="B2826" s="3" t="inlineStr">
        <is>
          <t>삼아제약</t>
        </is>
      </c>
      <c r="C2826" s="2" t="inlineStr">
        <is>
          <t>코스닥</t>
        </is>
      </c>
      <c r="D2826" s="2" t="inlineStr">
        <is>
          <t>009300</t>
        </is>
      </c>
      <c r="E2826" s="3" t="inlineStr">
        <is>
          <t>주주총회소집공고</t>
        </is>
      </c>
      <c r="F2826" s="3" t="inlineStr">
        <is>
          <t>삼아제약</t>
        </is>
      </c>
      <c r="G2826" s="2" t="inlineStr">
        <is>
          <t>20260311003393</t>
        </is>
      </c>
      <c r="H2826" s="8">
        <f>HYPERLINK("https://dart.fss.or.kr/dsaf001/main.do?rcpNo=20260311003393", "공시열람")</f>
        <v/>
      </c>
    </row>
    <row r="2827">
      <c r="A2827" s="2" t="inlineStr">
        <is>
          <t>2026-03-11</t>
        </is>
      </c>
      <c r="B2827" s="3" t="inlineStr">
        <is>
          <t>탑엔지니어링</t>
        </is>
      </c>
      <c r="C2827" s="2" t="inlineStr">
        <is>
          <t>코스닥</t>
        </is>
      </c>
      <c r="D2827" s="2" t="inlineStr">
        <is>
          <t>065130</t>
        </is>
      </c>
      <c r="E2827" s="3" t="inlineStr">
        <is>
          <t>주주총회소집공고</t>
        </is>
      </c>
      <c r="F2827" s="3" t="inlineStr">
        <is>
          <t>탑엔지니어링</t>
        </is>
      </c>
      <c r="G2827" s="2" t="inlineStr">
        <is>
          <t>20260311003391</t>
        </is>
      </c>
      <c r="H2827" s="8">
        <f>HYPERLINK("https://dart.fss.or.kr/dsaf001/main.do?rcpNo=20260311003391", "공시열람")</f>
        <v/>
      </c>
    </row>
    <row r="2828">
      <c r="A2828" s="2" t="inlineStr">
        <is>
          <t>2026-03-11</t>
        </is>
      </c>
      <c r="B2828" s="3" t="inlineStr">
        <is>
          <t>엠아이텍</t>
        </is>
      </c>
      <c r="C2828" s="2" t="inlineStr">
        <is>
          <t>코스닥</t>
        </is>
      </c>
      <c r="D2828" s="2" t="inlineStr">
        <is>
          <t>179290</t>
        </is>
      </c>
      <c r="E2828" s="3" t="inlineStr">
        <is>
          <t>주주총회소집공고</t>
        </is>
      </c>
      <c r="F2828" s="3" t="inlineStr">
        <is>
          <t>엠아이텍</t>
        </is>
      </c>
      <c r="G2828" s="2" t="inlineStr">
        <is>
          <t>20260311003389</t>
        </is>
      </c>
      <c r="H2828" s="8">
        <f>HYPERLINK("https://dart.fss.or.kr/dsaf001/main.do?rcpNo=20260311003389", "공시열람")</f>
        <v/>
      </c>
    </row>
    <row r="2829">
      <c r="A2829" s="2" t="inlineStr">
        <is>
          <t>2026-03-11</t>
        </is>
      </c>
      <c r="B2829" s="3" t="inlineStr">
        <is>
          <t>신풍</t>
        </is>
      </c>
      <c r="C2829" s="2" t="inlineStr">
        <is>
          <t>코스피</t>
        </is>
      </c>
      <c r="D2829" s="2" t="inlineStr">
        <is>
          <t>002870</t>
        </is>
      </c>
      <c r="E2829" s="3" t="inlineStr">
        <is>
          <t>주주총회소집공고</t>
        </is>
      </c>
      <c r="F2829" s="3" t="inlineStr">
        <is>
          <t>신풍</t>
        </is>
      </c>
      <c r="G2829" s="2" t="inlineStr">
        <is>
          <t>20260311003387</t>
        </is>
      </c>
      <c r="H2829" s="8">
        <f>HYPERLINK("https://dart.fss.or.kr/dsaf001/main.do?rcpNo=20260311003387", "공시열람")</f>
        <v/>
      </c>
    </row>
    <row r="2830">
      <c r="A2830" s="2" t="inlineStr">
        <is>
          <t>2026-03-11</t>
        </is>
      </c>
      <c r="B2830" s="3" t="inlineStr">
        <is>
          <t>명문제약</t>
        </is>
      </c>
      <c r="C2830" s="2" t="inlineStr">
        <is>
          <t>코스피</t>
        </is>
      </c>
      <c r="D2830" s="2" t="inlineStr">
        <is>
          <t>017180</t>
        </is>
      </c>
      <c r="E2830" s="3" t="inlineStr">
        <is>
          <t xml:space="preserve">주주총회소집결의              </t>
        </is>
      </c>
      <c r="F2830" s="3" t="inlineStr">
        <is>
          <t>명문제약</t>
        </is>
      </c>
      <c r="G2830" s="2" t="inlineStr">
        <is>
          <t>20260311800337</t>
        </is>
      </c>
      <c r="H2830" s="8">
        <f>HYPERLINK("https://dart.fss.or.kr/dsaf001/main.do?rcpNo=20260311800337", "공시열람")</f>
        <v/>
      </c>
    </row>
    <row r="2831">
      <c r="A2831" s="2" t="inlineStr">
        <is>
          <t>2026-03-11</t>
        </is>
      </c>
      <c r="B2831" s="3" t="inlineStr">
        <is>
          <t>유니드비티플러스</t>
        </is>
      </c>
      <c r="C2831" s="2" t="inlineStr">
        <is>
          <t>코스피</t>
        </is>
      </c>
      <c r="D2831" s="2" t="inlineStr">
        <is>
          <t>446070</t>
        </is>
      </c>
      <c r="E2831" s="3" t="inlineStr">
        <is>
          <t>주주총회소집공고</t>
        </is>
      </c>
      <c r="F2831" s="3" t="inlineStr">
        <is>
          <t>유니드비티플러스</t>
        </is>
      </c>
      <c r="G2831" s="2" t="inlineStr">
        <is>
          <t>20260311003380</t>
        </is>
      </c>
      <c r="H2831" s="8">
        <f>HYPERLINK("https://dart.fss.or.kr/dsaf001/main.do?rcpNo=20260311003380", "공시열람")</f>
        <v/>
      </c>
    </row>
    <row r="2832">
      <c r="A2832" s="2" t="inlineStr">
        <is>
          <t>2026-03-11</t>
        </is>
      </c>
      <c r="B2832" s="3" t="inlineStr">
        <is>
          <t>액스비스</t>
        </is>
      </c>
      <c r="C2832" s="2" t="inlineStr">
        <is>
          <t>코스닥</t>
        </is>
      </c>
      <c r="D2832" s="2" t="inlineStr">
        <is>
          <t>0011A0</t>
        </is>
      </c>
      <c r="E2832" s="3" t="inlineStr">
        <is>
          <t xml:space="preserve">주주총회집중일개최사유신고              </t>
        </is>
      </c>
      <c r="F2832" s="3" t="inlineStr">
        <is>
          <t>액스비스</t>
        </is>
      </c>
      <c r="G2832" s="2" t="inlineStr">
        <is>
          <t>20260311900315</t>
        </is>
      </c>
      <c r="H2832" s="8">
        <f>HYPERLINK("https://dart.fss.or.kr/dsaf001/main.do?rcpNo=20260311900315", "공시열람")</f>
        <v/>
      </c>
    </row>
    <row r="2833">
      <c r="A2833" s="2" t="inlineStr">
        <is>
          <t>2026-03-11</t>
        </is>
      </c>
      <c r="B2833" s="3" t="inlineStr">
        <is>
          <t>탑엔지니어링</t>
        </is>
      </c>
      <c r="C2833" s="2" t="inlineStr">
        <is>
          <t>코스닥</t>
        </is>
      </c>
      <c r="D2833" s="2" t="inlineStr">
        <is>
          <t>065130</t>
        </is>
      </c>
      <c r="E2833" s="3" t="inlineStr">
        <is>
          <t xml:space="preserve">주주총회소집결의              </t>
        </is>
      </c>
      <c r="F2833" s="3" t="inlineStr">
        <is>
          <t>탑엔지니어링</t>
        </is>
      </c>
      <c r="G2833" s="2" t="inlineStr">
        <is>
          <t>20260311900221</t>
        </is>
      </c>
      <c r="H2833" s="8">
        <f>HYPERLINK("https://dart.fss.or.kr/dsaf001/main.do?rcpNo=20260311900221", "공시열람")</f>
        <v/>
      </c>
    </row>
    <row r="2834">
      <c r="A2834" s="2" t="inlineStr">
        <is>
          <t>2026-03-11</t>
        </is>
      </c>
      <c r="B2834" s="3" t="inlineStr">
        <is>
          <t>바디텍메드</t>
        </is>
      </c>
      <c r="C2834" s="2" t="inlineStr">
        <is>
          <t>코스닥</t>
        </is>
      </c>
      <c r="D2834" s="2" t="inlineStr">
        <is>
          <t>206640</t>
        </is>
      </c>
      <c r="E2834" s="3" t="inlineStr">
        <is>
          <t>주주총회소집공고</t>
        </is>
      </c>
      <c r="F2834" s="3" t="inlineStr">
        <is>
          <t>바디텍메드</t>
        </is>
      </c>
      <c r="G2834" s="2" t="inlineStr">
        <is>
          <t>20260311003376</t>
        </is>
      </c>
      <c r="H2834" s="8">
        <f>HYPERLINK("https://dart.fss.or.kr/dsaf001/main.do?rcpNo=20260311003376", "공시열람")</f>
        <v/>
      </c>
    </row>
    <row r="2835">
      <c r="A2835" s="2" t="inlineStr">
        <is>
          <t>2026-03-11</t>
        </is>
      </c>
      <c r="B2835" s="3" t="inlineStr">
        <is>
          <t>이성씨엔아이</t>
        </is>
      </c>
      <c r="C2835" s="2" t="inlineStr">
        <is>
          <t>코넥스</t>
        </is>
      </c>
      <c r="D2835" s="2" t="inlineStr">
        <is>
          <t>379390</t>
        </is>
      </c>
      <c r="E2835" s="3" t="inlineStr">
        <is>
          <t xml:space="preserve">주주총회소집결의              </t>
        </is>
      </c>
      <c r="F2835" s="3" t="inlineStr">
        <is>
          <t>이성씨엔아이</t>
        </is>
      </c>
      <c r="G2835" s="2" t="inlineStr">
        <is>
          <t>20260311600297</t>
        </is>
      </c>
      <c r="H2835" s="8">
        <f>HYPERLINK("https://dart.fss.or.kr/dsaf001/main.do?rcpNo=20260311600297", "공시열람")</f>
        <v/>
      </c>
    </row>
    <row r="2836">
      <c r="A2836" s="2" t="inlineStr">
        <is>
          <t>2026-03-11</t>
        </is>
      </c>
      <c r="B2836" s="3" t="inlineStr">
        <is>
          <t>원익머트리얼즈</t>
        </is>
      </c>
      <c r="C2836" s="2" t="inlineStr">
        <is>
          <t>코스닥</t>
        </is>
      </c>
      <c r="D2836" s="2" t="inlineStr">
        <is>
          <t>104830</t>
        </is>
      </c>
      <c r="E2836" s="3" t="inlineStr">
        <is>
          <t>주주총회소집공고</t>
        </is>
      </c>
      <c r="F2836" s="3" t="inlineStr">
        <is>
          <t>원익머트리얼즈</t>
        </is>
      </c>
      <c r="G2836" s="2" t="inlineStr">
        <is>
          <t>20260311003375</t>
        </is>
      </c>
      <c r="H2836" s="8">
        <f>HYPERLINK("https://dart.fss.or.kr/dsaf001/main.do?rcpNo=20260311003375", "공시열람")</f>
        <v/>
      </c>
    </row>
    <row r="2837">
      <c r="A2837" s="2" t="inlineStr">
        <is>
          <t>2026-03-11</t>
        </is>
      </c>
      <c r="B2837" s="3" t="inlineStr">
        <is>
          <t>나눔테크</t>
        </is>
      </c>
      <c r="C2837" s="2" t="inlineStr">
        <is>
          <t>코넥스</t>
        </is>
      </c>
      <c r="D2837" s="2" t="inlineStr">
        <is>
          <t>244880</t>
        </is>
      </c>
      <c r="E2837" s="3" t="inlineStr">
        <is>
          <t>주주총회소집공고</t>
        </is>
      </c>
      <c r="F2837" s="3" t="inlineStr">
        <is>
          <t>나눔테크</t>
        </is>
      </c>
      <c r="G2837" s="2" t="inlineStr">
        <is>
          <t>20260311003371</t>
        </is>
      </c>
      <c r="H2837" s="8">
        <f>HYPERLINK("https://dart.fss.or.kr/dsaf001/main.do?rcpNo=20260311003371", "공시열람")</f>
        <v/>
      </c>
    </row>
    <row r="2838">
      <c r="A2838" s="2" t="inlineStr">
        <is>
          <t>2026-03-11</t>
        </is>
      </c>
      <c r="B2838" s="3" t="inlineStr">
        <is>
          <t>경인양행</t>
        </is>
      </c>
      <c r="C2838" s="2" t="inlineStr">
        <is>
          <t>코스피</t>
        </is>
      </c>
      <c r="D2838" s="2" t="inlineStr">
        <is>
          <t>012610</t>
        </is>
      </c>
      <c r="E2838" s="3" t="inlineStr">
        <is>
          <t>주주총회소집공고</t>
        </is>
      </c>
      <c r="F2838" s="3" t="inlineStr">
        <is>
          <t>경인양행</t>
        </is>
      </c>
      <c r="G2838" s="2" t="inlineStr">
        <is>
          <t>20260311003370</t>
        </is>
      </c>
      <c r="H2838" s="8">
        <f>HYPERLINK("https://dart.fss.or.kr/dsaf001/main.do?rcpNo=20260311003370", "공시열람")</f>
        <v/>
      </c>
    </row>
    <row r="2839">
      <c r="A2839" s="2" t="inlineStr">
        <is>
          <t>2026-03-11</t>
        </is>
      </c>
      <c r="B2839" s="3" t="inlineStr">
        <is>
          <t>엠아이텍</t>
        </is>
      </c>
      <c r="C2839" s="2" t="inlineStr">
        <is>
          <t>코스닥</t>
        </is>
      </c>
      <c r="D2839" s="2" t="inlineStr">
        <is>
          <t>179290</t>
        </is>
      </c>
      <c r="E2839" s="3" t="inlineStr">
        <is>
          <t xml:space="preserve">주주총회소집결의              </t>
        </is>
      </c>
      <c r="F2839" s="3" t="inlineStr">
        <is>
          <t>엠아이텍</t>
        </is>
      </c>
      <c r="G2839" s="2" t="inlineStr">
        <is>
          <t>20260311900298</t>
        </is>
      </c>
      <c r="H2839" s="8">
        <f>HYPERLINK("https://dart.fss.or.kr/dsaf001/main.do?rcpNo=20260311900298", "공시열람")</f>
        <v/>
      </c>
    </row>
    <row r="2840">
      <c r="A2840" s="2" t="inlineStr">
        <is>
          <t>2026-03-11</t>
        </is>
      </c>
      <c r="B2840" s="3" t="inlineStr">
        <is>
          <t>진양화학</t>
        </is>
      </c>
      <c r="C2840" s="2" t="inlineStr">
        <is>
          <t>코스피</t>
        </is>
      </c>
      <c r="D2840" s="2" t="inlineStr">
        <is>
          <t>051630</t>
        </is>
      </c>
      <c r="E2840" s="3" t="inlineStr">
        <is>
          <t xml:space="preserve">정기주주총회결과              </t>
        </is>
      </c>
      <c r="F2840" s="3" t="inlineStr">
        <is>
          <t>진양화학</t>
        </is>
      </c>
      <c r="G2840" s="2" t="inlineStr">
        <is>
          <t>20260311800252</t>
        </is>
      </c>
      <c r="H2840" s="8">
        <f>HYPERLINK("https://dart.fss.or.kr/dsaf001/main.do?rcpNo=20260311800252", "공시열람")</f>
        <v/>
      </c>
    </row>
    <row r="2841">
      <c r="A2841" s="2" t="inlineStr">
        <is>
          <t>2026-03-11</t>
        </is>
      </c>
      <c r="B2841" s="3" t="inlineStr">
        <is>
          <t>한화</t>
        </is>
      </c>
      <c r="C2841" s="2" t="inlineStr">
        <is>
          <t>코스피</t>
        </is>
      </c>
      <c r="D2841" s="2" t="inlineStr">
        <is>
          <t>000880</t>
        </is>
      </c>
      <c r="E2841" s="3" t="inlineStr">
        <is>
          <t>주주총회소집공고</t>
        </is>
      </c>
      <c r="F2841" s="3" t="inlineStr">
        <is>
          <t>한화</t>
        </is>
      </c>
      <c r="G2841" s="2" t="inlineStr">
        <is>
          <t>20260311003368</t>
        </is>
      </c>
      <c r="H2841" s="8">
        <f>HYPERLINK("https://dart.fss.or.kr/dsaf001/main.do?rcpNo=20260311003368", "공시열람")</f>
        <v/>
      </c>
    </row>
    <row r="2842">
      <c r="A2842" s="2" t="inlineStr">
        <is>
          <t>2026-03-11</t>
        </is>
      </c>
      <c r="B2842" s="3" t="inlineStr">
        <is>
          <t>이퓨쳐</t>
        </is>
      </c>
      <c r="C2842" s="2" t="inlineStr">
        <is>
          <t>코스닥</t>
        </is>
      </c>
      <c r="D2842" s="2" t="inlineStr">
        <is>
          <t>134060</t>
        </is>
      </c>
      <c r="E2842" s="3" t="inlineStr">
        <is>
          <t>주주총회소집공고</t>
        </is>
      </c>
      <c r="F2842" s="3" t="inlineStr">
        <is>
          <t>이퓨쳐</t>
        </is>
      </c>
      <c r="G2842" s="2" t="inlineStr">
        <is>
          <t>20260311003367</t>
        </is>
      </c>
      <c r="H2842" s="8">
        <f>HYPERLINK("https://dart.fss.or.kr/dsaf001/main.do?rcpNo=20260311003367", "공시열람")</f>
        <v/>
      </c>
    </row>
    <row r="2843">
      <c r="A2843" s="2" t="inlineStr">
        <is>
          <t>2026-03-11</t>
        </is>
      </c>
      <c r="B2843" s="3" t="inlineStr">
        <is>
          <t>뉴프렉스</t>
        </is>
      </c>
      <c r="C2843" s="2" t="inlineStr">
        <is>
          <t>코스닥</t>
        </is>
      </c>
      <c r="D2843" s="2" t="inlineStr">
        <is>
          <t>085670</t>
        </is>
      </c>
      <c r="E2843" s="3" t="inlineStr">
        <is>
          <t xml:space="preserve">주주총회소집결의              </t>
        </is>
      </c>
      <c r="F2843" s="3" t="inlineStr">
        <is>
          <t>뉴프렉스</t>
        </is>
      </c>
      <c r="G2843" s="2" t="inlineStr">
        <is>
          <t>20260311900285</t>
        </is>
      </c>
      <c r="H2843" s="8">
        <f>HYPERLINK("https://dart.fss.or.kr/dsaf001/main.do?rcpNo=20260311900285", "공시열람")</f>
        <v/>
      </c>
    </row>
    <row r="2844">
      <c r="A2844" s="2" t="inlineStr">
        <is>
          <t>2026-03-11 (정정: 2026-03-12)</t>
        </is>
      </c>
      <c r="B2844" s="3" t="inlineStr">
        <is>
          <t>이미지스</t>
        </is>
      </c>
      <c r="C2844" s="2" t="inlineStr">
        <is>
          <t>코스닥</t>
        </is>
      </c>
      <c r="D2844" s="2" t="inlineStr">
        <is>
          <t>115610</t>
        </is>
      </c>
      <c r="E2844" s="3" t="inlineStr">
        <is>
          <t>주주총회소집공고 (정정: 20260312)</t>
        </is>
      </c>
      <c r="F2844" s="3" t="inlineStr">
        <is>
          <t>이미지스</t>
        </is>
      </c>
      <c r="G2844" s="2" t="inlineStr">
        <is>
          <t>20260312000386</t>
        </is>
      </c>
      <c r="H2844" s="8">
        <f>HYPERLINK("https://dart.fss.or.kr/dsaf001/main.do?rcpNo=20260312000386", "공시열람")</f>
        <v/>
      </c>
    </row>
    <row r="2845">
      <c r="A2845" s="2" t="inlineStr">
        <is>
          <t>2026-03-11</t>
        </is>
      </c>
      <c r="B2845" s="3" t="inlineStr">
        <is>
          <t>디지털대성</t>
        </is>
      </c>
      <c r="C2845" s="2" t="inlineStr">
        <is>
          <t>코스닥</t>
        </is>
      </c>
      <c r="D2845" s="2" t="inlineStr">
        <is>
          <t>068930</t>
        </is>
      </c>
      <c r="E2845" s="3" t="inlineStr">
        <is>
          <t>주주총회소집공고</t>
        </is>
      </c>
      <c r="F2845" s="3" t="inlineStr">
        <is>
          <t>디지털대성</t>
        </is>
      </c>
      <c r="G2845" s="2" t="inlineStr">
        <is>
          <t>20260311003358</t>
        </is>
      </c>
      <c r="H2845" s="8">
        <f>HYPERLINK("https://dart.fss.or.kr/dsaf001/main.do?rcpNo=20260311003358", "공시열람")</f>
        <v/>
      </c>
    </row>
    <row r="2846">
      <c r="A2846" s="2" t="inlineStr">
        <is>
          <t>2026-03-11</t>
        </is>
      </c>
      <c r="B2846" s="3" t="inlineStr">
        <is>
          <t>두올</t>
        </is>
      </c>
      <c r="C2846" s="2" t="inlineStr">
        <is>
          <t>코스피</t>
        </is>
      </c>
      <c r="D2846" s="2" t="inlineStr">
        <is>
          <t>016740</t>
        </is>
      </c>
      <c r="E2846" s="3" t="inlineStr">
        <is>
          <t>주주총회소집공고</t>
        </is>
      </c>
      <c r="F2846" s="3" t="inlineStr">
        <is>
          <t>두올</t>
        </is>
      </c>
      <c r="G2846" s="2" t="inlineStr">
        <is>
          <t>20260311003353</t>
        </is>
      </c>
      <c r="H2846" s="8">
        <f>HYPERLINK("https://dart.fss.or.kr/dsaf001/main.do?rcpNo=20260311003353", "공시열람")</f>
        <v/>
      </c>
    </row>
    <row r="2847">
      <c r="A2847" s="2" t="inlineStr">
        <is>
          <t>2026-03-11</t>
        </is>
      </c>
      <c r="B2847" s="3" t="inlineStr">
        <is>
          <t>액스비스</t>
        </is>
      </c>
      <c r="C2847" s="2" t="inlineStr">
        <is>
          <t>코스닥</t>
        </is>
      </c>
      <c r="D2847" s="2" t="inlineStr">
        <is>
          <t>0011A0</t>
        </is>
      </c>
      <c r="E2847" s="3" t="inlineStr">
        <is>
          <t>주주총회소집공고</t>
        </is>
      </c>
      <c r="F2847" s="3" t="inlineStr">
        <is>
          <t>액스비스</t>
        </is>
      </c>
      <c r="G2847" s="2" t="inlineStr">
        <is>
          <t>20260311003352</t>
        </is>
      </c>
      <c r="H2847" s="8">
        <f>HYPERLINK("https://dart.fss.or.kr/dsaf001/main.do?rcpNo=20260311003352", "공시열람")</f>
        <v/>
      </c>
    </row>
    <row r="2848">
      <c r="A2848" s="2" t="inlineStr">
        <is>
          <t>2026-03-11</t>
        </is>
      </c>
      <c r="B2848" s="3" t="inlineStr">
        <is>
          <t>와이투솔루션</t>
        </is>
      </c>
      <c r="C2848" s="2" t="inlineStr">
        <is>
          <t>코스피</t>
        </is>
      </c>
      <c r="D2848" s="2" t="inlineStr">
        <is>
          <t>011690</t>
        </is>
      </c>
      <c r="E2848" s="3" t="inlineStr">
        <is>
          <t>주주총회소집공고</t>
        </is>
      </c>
      <c r="F2848" s="3" t="inlineStr">
        <is>
          <t>와이투솔루션</t>
        </is>
      </c>
      <c r="G2848" s="2" t="inlineStr">
        <is>
          <t>20260311003351</t>
        </is>
      </c>
      <c r="H2848" s="8">
        <f>HYPERLINK("https://dart.fss.or.kr/dsaf001/main.do?rcpNo=20260311003351", "공시열람")</f>
        <v/>
      </c>
    </row>
    <row r="2849">
      <c r="A2849" s="2" t="inlineStr">
        <is>
          <t>2026-03-11</t>
        </is>
      </c>
      <c r="B2849" s="3" t="inlineStr">
        <is>
          <t>혜인</t>
        </is>
      </c>
      <c r="C2849" s="2" t="inlineStr">
        <is>
          <t>코스피</t>
        </is>
      </c>
      <c r="D2849" s="2" t="inlineStr">
        <is>
          <t>003010</t>
        </is>
      </c>
      <c r="E2849" s="3" t="inlineStr">
        <is>
          <t xml:space="preserve">주주총회집중일개최사유신고              </t>
        </is>
      </c>
      <c r="F2849" s="3" t="inlineStr">
        <is>
          <t>혜인</t>
        </is>
      </c>
      <c r="G2849" s="2" t="inlineStr">
        <is>
          <t>20260311800250</t>
        </is>
      </c>
      <c r="H2849" s="8">
        <f>HYPERLINK("https://dart.fss.or.kr/dsaf001/main.do?rcpNo=20260311800250", "공시열람")</f>
        <v/>
      </c>
    </row>
    <row r="2850">
      <c r="A2850" s="2" t="inlineStr">
        <is>
          <t>2026-03-11</t>
        </is>
      </c>
      <c r="B2850" s="3" t="inlineStr">
        <is>
          <t>와토스코리아</t>
        </is>
      </c>
      <c r="C2850" s="2" t="inlineStr">
        <is>
          <t>코스닥</t>
        </is>
      </c>
      <c r="D2850" s="2" t="inlineStr">
        <is>
          <t>079000</t>
        </is>
      </c>
      <c r="E2850" s="3" t="inlineStr">
        <is>
          <t xml:space="preserve">주주총회소집결의              </t>
        </is>
      </c>
      <c r="F2850" s="3" t="inlineStr">
        <is>
          <t>와토스코리아</t>
        </is>
      </c>
      <c r="G2850" s="2" t="inlineStr">
        <is>
          <t>20260311900274</t>
        </is>
      </c>
      <c r="H2850" s="8">
        <f>HYPERLINK("https://dart.fss.or.kr/dsaf001/main.do?rcpNo=20260311900274", "공시열람")</f>
        <v/>
      </c>
    </row>
    <row r="2851">
      <c r="A2851" s="2" t="inlineStr">
        <is>
          <t>2026-03-11</t>
        </is>
      </c>
      <c r="B2851" s="3" t="inlineStr">
        <is>
          <t>디지털대성</t>
        </is>
      </c>
      <c r="C2851" s="2" t="inlineStr">
        <is>
          <t>코스닥</t>
        </is>
      </c>
      <c r="D2851" s="2" t="inlineStr">
        <is>
          <t>068930</t>
        </is>
      </c>
      <c r="E2851" s="3" t="inlineStr">
        <is>
          <t xml:space="preserve">주주총회소집결의              </t>
        </is>
      </c>
      <c r="F2851" s="3" t="inlineStr">
        <is>
          <t>디지털대성</t>
        </is>
      </c>
      <c r="G2851" s="2" t="inlineStr">
        <is>
          <t>20260311900286</t>
        </is>
      </c>
      <c r="H2851" s="8">
        <f>HYPERLINK("https://dart.fss.or.kr/dsaf001/main.do?rcpNo=20260311900286", "공시열람")</f>
        <v/>
      </c>
    </row>
    <row r="2852">
      <c r="A2852" s="2" t="inlineStr">
        <is>
          <t>2026-03-11</t>
        </is>
      </c>
      <c r="B2852" s="3" t="inlineStr">
        <is>
          <t>액스비스</t>
        </is>
      </c>
      <c r="C2852" s="2" t="inlineStr">
        <is>
          <t>코스닥</t>
        </is>
      </c>
      <c r="D2852" s="2" t="inlineStr">
        <is>
          <t>0011A0</t>
        </is>
      </c>
      <c r="E2852" s="3" t="inlineStr">
        <is>
          <t xml:space="preserve">주주총회소집결의              </t>
        </is>
      </c>
      <c r="F2852" s="3" t="inlineStr">
        <is>
          <t>액스비스</t>
        </is>
      </c>
      <c r="G2852" s="2" t="inlineStr">
        <is>
          <t>20260311900263</t>
        </is>
      </c>
      <c r="H2852" s="8">
        <f>HYPERLINK("https://dart.fss.or.kr/dsaf001/main.do?rcpNo=20260311900263", "공시열람")</f>
        <v/>
      </c>
    </row>
    <row r="2853">
      <c r="A2853" s="2" t="inlineStr">
        <is>
          <t>2026-03-11</t>
        </is>
      </c>
      <c r="B2853" s="3" t="inlineStr">
        <is>
          <t>진영</t>
        </is>
      </c>
      <c r="C2853" s="2" t="inlineStr">
        <is>
          <t>코스닥</t>
        </is>
      </c>
      <c r="D2853" s="2" t="inlineStr">
        <is>
          <t>285800</t>
        </is>
      </c>
      <c r="E2853" s="3" t="inlineStr">
        <is>
          <t>주주총회소집공고</t>
        </is>
      </c>
      <c r="F2853" s="3" t="inlineStr">
        <is>
          <t>진영</t>
        </is>
      </c>
      <c r="G2853" s="2" t="inlineStr">
        <is>
          <t>20260311003347</t>
        </is>
      </c>
      <c r="H2853" s="8">
        <f>HYPERLINK("https://dart.fss.or.kr/dsaf001/main.do?rcpNo=20260311003347", "공시열람")</f>
        <v/>
      </c>
    </row>
    <row r="2854">
      <c r="A2854" s="2" t="inlineStr">
        <is>
          <t>2026-03-11 (정정: 2026-03-13)</t>
        </is>
      </c>
      <c r="B2854" s="3" t="inlineStr">
        <is>
          <t>이닉스</t>
        </is>
      </c>
      <c r="C2854" s="2" t="inlineStr">
        <is>
          <t>코스닥</t>
        </is>
      </c>
      <c r="D2854" s="2" t="inlineStr">
        <is>
          <t>452400</t>
        </is>
      </c>
      <c r="E2854" s="3" t="inlineStr">
        <is>
          <t>주주총회소집공고 (정정: 20260313)</t>
        </is>
      </c>
      <c r="F2854" s="3" t="inlineStr">
        <is>
          <t>이닉스</t>
        </is>
      </c>
      <c r="G2854" s="2" t="inlineStr">
        <is>
          <t>20260313902301</t>
        </is>
      </c>
      <c r="H2854" s="8">
        <f>HYPERLINK("https://dart.fss.or.kr/dsaf001/main.do?rcpNo=20260313902301", "공시열람")</f>
        <v/>
      </c>
    </row>
    <row r="2855">
      <c r="A2855" s="2" t="inlineStr">
        <is>
          <t>2026-03-11</t>
        </is>
      </c>
      <c r="B2855" s="3" t="inlineStr">
        <is>
          <t>진영</t>
        </is>
      </c>
      <c r="C2855" s="2" t="inlineStr">
        <is>
          <t>코스닥</t>
        </is>
      </c>
      <c r="D2855" s="2" t="inlineStr">
        <is>
          <t>285800</t>
        </is>
      </c>
      <c r="E2855" s="3" t="inlineStr">
        <is>
          <t xml:space="preserve">주주총회소집결의              </t>
        </is>
      </c>
      <c r="F2855" s="3" t="inlineStr">
        <is>
          <t>진영</t>
        </is>
      </c>
      <c r="G2855" s="2" t="inlineStr">
        <is>
          <t>20260311900265</t>
        </is>
      </c>
      <c r="H2855" s="8">
        <f>HYPERLINK("https://dart.fss.or.kr/dsaf001/main.do?rcpNo=20260311900265", "공시열람")</f>
        <v/>
      </c>
    </row>
    <row r="2856">
      <c r="A2856" s="2" t="inlineStr">
        <is>
          <t>2026-03-11</t>
        </is>
      </c>
      <c r="B2856" s="3" t="inlineStr">
        <is>
          <t>비에이치</t>
        </is>
      </c>
      <c r="C2856" s="2" t="inlineStr">
        <is>
          <t>코스피</t>
        </is>
      </c>
      <c r="D2856" s="2" t="inlineStr">
        <is>
          <t>090460</t>
        </is>
      </c>
      <c r="E2856" s="3" t="inlineStr">
        <is>
          <t>주주총회소집공고</t>
        </is>
      </c>
      <c r="F2856" s="3" t="inlineStr">
        <is>
          <t>비에이치</t>
        </is>
      </c>
      <c r="G2856" s="2" t="inlineStr">
        <is>
          <t>20260311003328</t>
        </is>
      </c>
      <c r="H2856" s="8">
        <f>HYPERLINK("https://dart.fss.or.kr/dsaf001/main.do?rcpNo=20260311003328", "공시열람")</f>
        <v/>
      </c>
    </row>
    <row r="2857">
      <c r="A2857" s="2" t="inlineStr">
        <is>
          <t>2026-03-11</t>
        </is>
      </c>
      <c r="B2857" s="3" t="inlineStr">
        <is>
          <t>SBI인베스트먼트</t>
        </is>
      </c>
      <c r="C2857" s="2" t="inlineStr">
        <is>
          <t>코스닥</t>
        </is>
      </c>
      <c r="D2857" s="2" t="inlineStr">
        <is>
          <t>019550</t>
        </is>
      </c>
      <c r="E2857" s="3" t="inlineStr">
        <is>
          <t>주주총회소집공고</t>
        </is>
      </c>
      <c r="F2857" s="3" t="inlineStr">
        <is>
          <t>SBI인베스트먼트</t>
        </is>
      </c>
      <c r="G2857" s="2" t="inlineStr">
        <is>
          <t>20260311003326</t>
        </is>
      </c>
      <c r="H2857" s="8">
        <f>HYPERLINK("https://dart.fss.or.kr/dsaf001/main.do?rcpNo=20260311003326", "공시열람")</f>
        <v/>
      </c>
    </row>
    <row r="2858">
      <c r="A2858" s="2" t="inlineStr">
        <is>
          <t>2026-03-11</t>
        </is>
      </c>
      <c r="B2858" s="3" t="inlineStr">
        <is>
          <t>비에이치</t>
        </is>
      </c>
      <c r="C2858" s="2" t="inlineStr">
        <is>
          <t>코스피</t>
        </is>
      </c>
      <c r="D2858" s="2" t="inlineStr">
        <is>
          <t>090460</t>
        </is>
      </c>
      <c r="E2858" s="3" t="inlineStr">
        <is>
          <t xml:space="preserve">주주총회소집결의              </t>
        </is>
      </c>
      <c r="F2858" s="3" t="inlineStr">
        <is>
          <t>비에이치</t>
        </is>
      </c>
      <c r="G2858" s="2" t="inlineStr">
        <is>
          <t>20260311800239</t>
        </is>
      </c>
      <c r="H2858" s="8">
        <f>HYPERLINK("https://dart.fss.or.kr/dsaf001/main.do?rcpNo=20260311800239", "공시열람")</f>
        <v/>
      </c>
    </row>
    <row r="2859">
      <c r="A2859" s="2" t="inlineStr">
        <is>
          <t>2026-03-11</t>
        </is>
      </c>
      <c r="B2859" s="3" t="inlineStr">
        <is>
          <t>디케이티</t>
        </is>
      </c>
      <c r="C2859" s="2" t="inlineStr">
        <is>
          <t>코스닥</t>
        </is>
      </c>
      <c r="D2859" s="2" t="inlineStr">
        <is>
          <t>290550</t>
        </is>
      </c>
      <c r="E2859" s="3" t="inlineStr">
        <is>
          <t>주주총회소집공고</t>
        </is>
      </c>
      <c r="F2859" s="3" t="inlineStr">
        <is>
          <t>디케이티</t>
        </is>
      </c>
      <c r="G2859" s="2" t="inlineStr">
        <is>
          <t>20260311003320</t>
        </is>
      </c>
      <c r="H2859" s="8">
        <f>HYPERLINK("https://dart.fss.or.kr/dsaf001/main.do?rcpNo=20260311003320", "공시열람")</f>
        <v/>
      </c>
    </row>
    <row r="2860">
      <c r="A2860" s="2" t="inlineStr">
        <is>
          <t>2026-03-11</t>
        </is>
      </c>
      <c r="B2860" s="3" t="inlineStr">
        <is>
          <t>현대힘스</t>
        </is>
      </c>
      <c r="C2860" s="2" t="inlineStr">
        <is>
          <t>코스닥</t>
        </is>
      </c>
      <c r="D2860" s="2" t="inlineStr">
        <is>
          <t>460930</t>
        </is>
      </c>
      <c r="E2860" s="3" t="inlineStr">
        <is>
          <t>주주총회소집공고</t>
        </is>
      </c>
      <c r="F2860" s="3" t="inlineStr">
        <is>
          <t>현대힘스</t>
        </is>
      </c>
      <c r="G2860" s="2" t="inlineStr">
        <is>
          <t>20260311003318</t>
        </is>
      </c>
      <c r="H2860" s="8">
        <f>HYPERLINK("https://dart.fss.or.kr/dsaf001/main.do?rcpNo=20260311003318", "공시열람")</f>
        <v/>
      </c>
    </row>
    <row r="2861">
      <c r="A2861" s="2" t="inlineStr">
        <is>
          <t>2026-03-11</t>
        </is>
      </c>
      <c r="B2861" s="3" t="inlineStr">
        <is>
          <t>피코그램</t>
        </is>
      </c>
      <c r="C2861" s="2" t="inlineStr">
        <is>
          <t>코스닥</t>
        </is>
      </c>
      <c r="D2861" s="2" t="inlineStr">
        <is>
          <t>376180</t>
        </is>
      </c>
      <c r="E2861" s="3" t="inlineStr">
        <is>
          <t>주주총회소집공고</t>
        </is>
      </c>
      <c r="F2861" s="3" t="inlineStr">
        <is>
          <t>피코그램</t>
        </is>
      </c>
      <c r="G2861" s="2" t="inlineStr">
        <is>
          <t>20260311003317</t>
        </is>
      </c>
      <c r="H2861" s="8">
        <f>HYPERLINK("https://dart.fss.or.kr/dsaf001/main.do?rcpNo=20260311003317", "공시열람")</f>
        <v/>
      </c>
    </row>
    <row r="2862">
      <c r="A2862" s="2" t="inlineStr">
        <is>
          <t>2026-03-11</t>
        </is>
      </c>
      <c r="B2862" s="3" t="inlineStr">
        <is>
          <t>케이씨에스</t>
        </is>
      </c>
      <c r="C2862" s="2" t="inlineStr">
        <is>
          <t>코스닥</t>
        </is>
      </c>
      <c r="D2862" s="2" t="inlineStr">
        <is>
          <t>115500</t>
        </is>
      </c>
      <c r="E2862" s="3" t="inlineStr">
        <is>
          <t>주주총회소집공고</t>
        </is>
      </c>
      <c r="F2862" s="3" t="inlineStr">
        <is>
          <t>케이씨에스</t>
        </is>
      </c>
      <c r="G2862" s="2" t="inlineStr">
        <is>
          <t>20260311003316</t>
        </is>
      </c>
      <c r="H2862" s="8">
        <f>HYPERLINK("https://dart.fss.or.kr/dsaf001/main.do?rcpNo=20260311003316", "공시열람")</f>
        <v/>
      </c>
    </row>
    <row r="2863">
      <c r="A2863" s="2" t="inlineStr">
        <is>
          <t>2026-03-11 (정정: 2026-03-12)</t>
        </is>
      </c>
      <c r="B2863" s="3" t="inlineStr">
        <is>
          <t>엔비알모션</t>
        </is>
      </c>
      <c r="C2863" s="2" t="inlineStr">
        <is>
          <t>코스닥</t>
        </is>
      </c>
      <c r="D2863" s="2" t="inlineStr">
        <is>
          <t>0004V0</t>
        </is>
      </c>
      <c r="E2863" s="3" t="inlineStr">
        <is>
          <t>주주총회소집공고 (정정: 20260312)</t>
        </is>
      </c>
      <c r="F2863" s="3" t="inlineStr">
        <is>
          <t>엔비알모션</t>
        </is>
      </c>
      <c r="G2863" s="2" t="inlineStr">
        <is>
          <t>20260312000350</t>
        </is>
      </c>
      <c r="H2863" s="8">
        <f>HYPERLINK("https://dart.fss.or.kr/dsaf001/main.do?rcpNo=20260312000350", "공시열람")</f>
        <v/>
      </c>
    </row>
    <row r="2864">
      <c r="A2864" s="2" t="inlineStr">
        <is>
          <t>2026-03-11</t>
        </is>
      </c>
      <c r="B2864" s="3" t="inlineStr">
        <is>
          <t>디케이티</t>
        </is>
      </c>
      <c r="C2864" s="2" t="inlineStr">
        <is>
          <t>코스닥</t>
        </is>
      </c>
      <c r="D2864" s="2" t="inlineStr">
        <is>
          <t>290550</t>
        </is>
      </c>
      <c r="E2864" s="3" t="inlineStr">
        <is>
          <t xml:space="preserve">주주총회소집결의              </t>
        </is>
      </c>
      <c r="F2864" s="3" t="inlineStr">
        <is>
          <t>디케이티</t>
        </is>
      </c>
      <c r="G2864" s="2" t="inlineStr">
        <is>
          <t>20260311900224</t>
        </is>
      </c>
      <c r="H2864" s="8">
        <f>HYPERLINK("https://dart.fss.or.kr/dsaf001/main.do?rcpNo=20260311900224", "공시열람")</f>
        <v/>
      </c>
    </row>
    <row r="2865">
      <c r="A2865" s="2" t="inlineStr">
        <is>
          <t>2026-03-11</t>
        </is>
      </c>
      <c r="B2865" s="3" t="inlineStr">
        <is>
          <t>현대힘스</t>
        </is>
      </c>
      <c r="C2865" s="2" t="inlineStr">
        <is>
          <t>코스닥</t>
        </is>
      </c>
      <c r="D2865" s="2" t="inlineStr">
        <is>
          <t>460930</t>
        </is>
      </c>
      <c r="E2865" s="3" t="inlineStr">
        <is>
          <t xml:space="preserve">주주총회소집결의              </t>
        </is>
      </c>
      <c r="F2865" s="3" t="inlineStr">
        <is>
          <t>현대힘스</t>
        </is>
      </c>
      <c r="G2865" s="2" t="inlineStr">
        <is>
          <t>20260311900243</t>
        </is>
      </c>
      <c r="H2865" s="8">
        <f>HYPERLINK("https://dart.fss.or.kr/dsaf001/main.do?rcpNo=20260311900243", "공시열람")</f>
        <v/>
      </c>
    </row>
    <row r="2866">
      <c r="A2866" s="2" t="inlineStr">
        <is>
          <t>2026-03-11</t>
        </is>
      </c>
      <c r="B2866" s="3" t="inlineStr">
        <is>
          <t>이엘피</t>
        </is>
      </c>
      <c r="C2866" s="2" t="inlineStr">
        <is>
          <t>코스닥</t>
        </is>
      </c>
      <c r="D2866" s="2" t="inlineStr">
        <is>
          <t>063760</t>
        </is>
      </c>
      <c r="E2866" s="3" t="inlineStr">
        <is>
          <t>주주총회소집공고</t>
        </is>
      </c>
      <c r="F2866" s="3" t="inlineStr">
        <is>
          <t>이엘피</t>
        </is>
      </c>
      <c r="G2866" s="2" t="inlineStr">
        <is>
          <t>20260311003312</t>
        </is>
      </c>
      <c r="H2866" s="8">
        <f>HYPERLINK("https://dart.fss.or.kr/dsaf001/main.do?rcpNo=20260311003312", "공시열람")</f>
        <v/>
      </c>
    </row>
    <row r="2867">
      <c r="A2867" s="2" t="inlineStr">
        <is>
          <t>2026-03-11</t>
        </is>
      </c>
      <c r="B2867" s="3" t="inlineStr">
        <is>
          <t>로지시스</t>
        </is>
      </c>
      <c r="C2867" s="2" t="inlineStr">
        <is>
          <t>코스닥</t>
        </is>
      </c>
      <c r="D2867" s="2" t="inlineStr">
        <is>
          <t>067730</t>
        </is>
      </c>
      <c r="E2867" s="3" t="inlineStr">
        <is>
          <t>주주총회소집공고</t>
        </is>
      </c>
      <c r="F2867" s="3" t="inlineStr">
        <is>
          <t>로지시스</t>
        </is>
      </c>
      <c r="G2867" s="2" t="inlineStr">
        <is>
          <t>20260311003311</t>
        </is>
      </c>
      <c r="H2867" s="8">
        <f>HYPERLINK("https://dart.fss.or.kr/dsaf001/main.do?rcpNo=20260311003311", "공시열람")</f>
        <v/>
      </c>
    </row>
    <row r="2868">
      <c r="A2868" s="2" t="inlineStr">
        <is>
          <t>2026-03-11</t>
        </is>
      </c>
      <c r="B2868" s="3" t="inlineStr">
        <is>
          <t>와이투솔루션</t>
        </is>
      </c>
      <c r="C2868" s="2" t="inlineStr">
        <is>
          <t>코스피</t>
        </is>
      </c>
      <c r="D2868" s="2" t="inlineStr">
        <is>
          <t>011690</t>
        </is>
      </c>
      <c r="E2868" s="3" t="inlineStr">
        <is>
          <t xml:space="preserve">주주총회집중일개최사유신고              </t>
        </is>
      </c>
      <c r="F2868" s="3" t="inlineStr">
        <is>
          <t>와이투솔루션</t>
        </is>
      </c>
      <c r="G2868" s="2" t="inlineStr">
        <is>
          <t>20260311800200</t>
        </is>
      </c>
      <c r="H2868" s="8">
        <f>HYPERLINK("https://dart.fss.or.kr/dsaf001/main.do?rcpNo=20260311800200", "공시열람")</f>
        <v/>
      </c>
    </row>
    <row r="2869">
      <c r="A2869" s="2" t="inlineStr">
        <is>
          <t>2026-03-11</t>
        </is>
      </c>
      <c r="B2869" s="3" t="inlineStr">
        <is>
          <t>기가비스</t>
        </is>
      </c>
      <c r="C2869" s="2" t="inlineStr">
        <is>
          <t>코스닥</t>
        </is>
      </c>
      <c r="D2869" s="2" t="inlineStr">
        <is>
          <t>420770</t>
        </is>
      </c>
      <c r="E2869" s="3" t="inlineStr">
        <is>
          <t>주주총회소집공고</t>
        </is>
      </c>
      <c r="F2869" s="3" t="inlineStr">
        <is>
          <t>기가비스</t>
        </is>
      </c>
      <c r="G2869" s="2" t="inlineStr">
        <is>
          <t>20260311003300</t>
        </is>
      </c>
      <c r="H2869" s="8">
        <f>HYPERLINK("https://dart.fss.or.kr/dsaf001/main.do?rcpNo=20260311003300", "공시열람")</f>
        <v/>
      </c>
    </row>
    <row r="2870">
      <c r="A2870" s="2" t="inlineStr">
        <is>
          <t>2026-03-11</t>
        </is>
      </c>
      <c r="B2870" s="3" t="inlineStr">
        <is>
          <t>제일연마</t>
        </is>
      </c>
      <c r="C2870" s="2" t="inlineStr">
        <is>
          <t>코스피</t>
        </is>
      </c>
      <c r="D2870" s="2" t="inlineStr">
        <is>
          <t>001560</t>
        </is>
      </c>
      <c r="E2870" s="3" t="inlineStr">
        <is>
          <t>주주총회소집공고</t>
        </is>
      </c>
      <c r="F2870" s="3" t="inlineStr">
        <is>
          <t>제일연마</t>
        </is>
      </c>
      <c r="G2870" s="2" t="inlineStr">
        <is>
          <t>20260311003297</t>
        </is>
      </c>
      <c r="H2870" s="8">
        <f>HYPERLINK("https://dart.fss.or.kr/dsaf001/main.do?rcpNo=20260311003297", "공시열람")</f>
        <v/>
      </c>
    </row>
    <row r="2871">
      <c r="A2871" s="2" t="inlineStr">
        <is>
          <t>2026-03-11 (정정: 2026-03-13)</t>
        </is>
      </c>
      <c r="B2871" s="3" t="inlineStr">
        <is>
          <t>이노에이엑스</t>
        </is>
      </c>
      <c r="C2871" s="2" t="inlineStr">
        <is>
          <t>코스닥</t>
        </is>
      </c>
      <c r="D2871" s="2" t="inlineStr">
        <is>
          <t>296640</t>
        </is>
      </c>
      <c r="E2871" s="3" t="inlineStr">
        <is>
          <t>주주총회소집공고 (정정: 20260311) (정정: 20260313)</t>
        </is>
      </c>
      <c r="F2871" s="3" t="inlineStr">
        <is>
          <t>이노에이엑스</t>
        </is>
      </c>
      <c r="G2871" s="2" t="inlineStr">
        <is>
          <t>20260313901985</t>
        </is>
      </c>
      <c r="H2871" s="8">
        <f>HYPERLINK("https://dart.fss.or.kr/dsaf001/main.do?rcpNo=20260313901985", "공시열람")</f>
        <v/>
      </c>
    </row>
    <row r="2872">
      <c r="A2872" s="2" t="inlineStr">
        <is>
          <t>2026-03-11</t>
        </is>
      </c>
      <c r="B2872" s="3" t="inlineStr">
        <is>
          <t>조비</t>
        </is>
      </c>
      <c r="C2872" s="2" t="inlineStr">
        <is>
          <t>코스피</t>
        </is>
      </c>
      <c r="D2872" s="2" t="inlineStr">
        <is>
          <t>001550</t>
        </is>
      </c>
      <c r="E2872" s="3" t="inlineStr">
        <is>
          <t>주주총회소집공고</t>
        </is>
      </c>
      <c r="F2872" s="3" t="inlineStr">
        <is>
          <t>조비</t>
        </is>
      </c>
      <c r="G2872" s="2" t="inlineStr">
        <is>
          <t>20260311003289</t>
        </is>
      </c>
      <c r="H2872" s="8">
        <f>HYPERLINK("https://dart.fss.or.kr/dsaf001/main.do?rcpNo=20260311003289", "공시열람")</f>
        <v/>
      </c>
    </row>
    <row r="2873">
      <c r="A2873" s="2" t="inlineStr">
        <is>
          <t>2026-03-11 (정정: 2026-03-19)</t>
        </is>
      </c>
      <c r="B2873" s="3" t="inlineStr">
        <is>
          <t>이건홀딩스</t>
        </is>
      </c>
      <c r="C2873" s="2" t="inlineStr">
        <is>
          <t>코스닥</t>
        </is>
      </c>
      <c r="D2873" s="2" t="inlineStr">
        <is>
          <t>039020</t>
        </is>
      </c>
      <c r="E2873" s="3" t="inlineStr">
        <is>
          <t>주주총회소집공고 (정정: 20260319)</t>
        </is>
      </c>
      <c r="F2873" s="3" t="inlineStr">
        <is>
          <t>이건홀딩스</t>
        </is>
      </c>
      <c r="G2873" s="2" t="inlineStr">
        <is>
          <t>20260318001656</t>
        </is>
      </c>
      <c r="H2873" s="8">
        <f>HYPERLINK("https://dart.fss.or.kr/dsaf001/main.do?rcpNo=20260318001656", "공시열람")</f>
        <v/>
      </c>
    </row>
    <row r="2874">
      <c r="A2874" s="2" t="inlineStr">
        <is>
          <t>2026-03-11</t>
        </is>
      </c>
      <c r="B2874" s="3" t="inlineStr">
        <is>
          <t>제일연마</t>
        </is>
      </c>
      <c r="C2874" s="2" t="inlineStr">
        <is>
          <t>코스피</t>
        </is>
      </c>
      <c r="D2874" s="2" t="inlineStr">
        <is>
          <t>001560</t>
        </is>
      </c>
      <c r="E2874" s="3" t="inlineStr">
        <is>
          <t xml:space="preserve">주주총회소집결의              </t>
        </is>
      </c>
      <c r="F2874" s="3" t="inlineStr">
        <is>
          <t>제일연마</t>
        </is>
      </c>
      <c r="G2874" s="2" t="inlineStr">
        <is>
          <t>20260311800211</t>
        </is>
      </c>
      <c r="H2874" s="8">
        <f>HYPERLINK("https://dart.fss.or.kr/dsaf001/main.do?rcpNo=20260311800211", "공시열람")</f>
        <v/>
      </c>
    </row>
    <row r="2875">
      <c r="A2875" s="2" t="inlineStr">
        <is>
          <t>2026-03-11 (정정: 2026-03-19)</t>
        </is>
      </c>
      <c r="B2875" s="3" t="inlineStr">
        <is>
          <t>이건산업</t>
        </is>
      </c>
      <c r="C2875" s="2" t="inlineStr">
        <is>
          <t>코스피</t>
        </is>
      </c>
      <c r="D2875" s="2" t="inlineStr">
        <is>
          <t>008250</t>
        </is>
      </c>
      <c r="E2875" s="3" t="inlineStr">
        <is>
          <t>주주총회소집공고 (정정: 20260318) (정정: 20260319)</t>
        </is>
      </c>
      <c r="F2875" s="3" t="inlineStr">
        <is>
          <t>이건산업</t>
        </is>
      </c>
      <c r="G2875" s="2" t="inlineStr">
        <is>
          <t>20260318001640</t>
        </is>
      </c>
      <c r="H2875" s="8">
        <f>HYPERLINK("https://dart.fss.or.kr/dsaf001/main.do?rcpNo=20260318001640", "공시열람")</f>
        <v/>
      </c>
    </row>
    <row r="2876">
      <c r="A2876" s="2" t="inlineStr">
        <is>
          <t>2026-03-11 (정정: 2026-03-11)</t>
        </is>
      </c>
      <c r="B2876" s="3" t="inlineStr">
        <is>
          <t>케이카</t>
        </is>
      </c>
      <c r="C2876" s="2" t="inlineStr">
        <is>
          <t>코스피</t>
        </is>
      </c>
      <c r="D2876" s="2" t="inlineStr">
        <is>
          <t>381970</t>
        </is>
      </c>
      <c r="E2876" s="3" t="inlineStr">
        <is>
          <t>주주총회소집공고 (정정: 20260311)</t>
        </is>
      </c>
      <c r="F2876" s="3" t="inlineStr">
        <is>
          <t>케이카</t>
        </is>
      </c>
      <c r="G2876" s="2" t="inlineStr">
        <is>
          <t>20260311800170</t>
        </is>
      </c>
      <c r="H2876" s="8">
        <f>HYPERLINK("https://dart.fss.or.kr/dsaf001/main.do?rcpNo=20260311800170", "공시열람")</f>
        <v/>
      </c>
    </row>
    <row r="2877">
      <c r="A2877" s="2" t="inlineStr">
        <is>
          <t>2026-03-11</t>
        </is>
      </c>
      <c r="B2877" s="3" t="inlineStr">
        <is>
          <t>러셀</t>
        </is>
      </c>
      <c r="C2877" s="2" t="inlineStr">
        <is>
          <t>코스닥</t>
        </is>
      </c>
      <c r="D2877" s="2" t="inlineStr">
        <is>
          <t>217500</t>
        </is>
      </c>
      <c r="E2877" s="3" t="inlineStr">
        <is>
          <t>주주총회소집공고</t>
        </is>
      </c>
      <c r="F2877" s="3" t="inlineStr">
        <is>
          <t>러셀</t>
        </is>
      </c>
      <c r="G2877" s="2" t="inlineStr">
        <is>
          <t>20260311003277</t>
        </is>
      </c>
      <c r="H2877" s="8">
        <f>HYPERLINK("https://dart.fss.or.kr/dsaf001/main.do?rcpNo=20260311003277", "공시열람")</f>
        <v/>
      </c>
    </row>
    <row r="2878">
      <c r="A2878" s="2" t="inlineStr">
        <is>
          <t>2026-03-11 (정정: 2026-05-29)</t>
        </is>
      </c>
      <c r="B2878" s="3" t="inlineStr">
        <is>
          <t>혜인</t>
        </is>
      </c>
      <c r="C2878" s="2" t="inlineStr">
        <is>
          <t>코스피</t>
        </is>
      </c>
      <c r="D2878" s="2" t="inlineStr">
        <is>
          <t>003010</t>
        </is>
      </c>
      <c r="E2878" s="3" t="inlineStr">
        <is>
          <t>주주총회소집공고 (정정: 20260529)</t>
        </is>
      </c>
      <c r="F2878" s="3" t="inlineStr">
        <is>
          <t>혜인</t>
        </is>
      </c>
      <c r="G2878" s="2" t="inlineStr">
        <is>
          <t>20260529800341</t>
        </is>
      </c>
      <c r="H2878" s="8">
        <f>HYPERLINK("https://dart.fss.or.kr/dsaf001/main.do?rcpNo=20260529800341", "공시열람")</f>
        <v/>
      </c>
    </row>
    <row r="2879">
      <c r="A2879" s="2" t="inlineStr">
        <is>
          <t>2026-03-11</t>
        </is>
      </c>
      <c r="B2879" s="3" t="inlineStr">
        <is>
          <t>타이거일렉</t>
        </is>
      </c>
      <c r="C2879" s="2" t="inlineStr">
        <is>
          <t>코스닥</t>
        </is>
      </c>
      <c r="D2879" s="2" t="inlineStr">
        <is>
          <t>219130</t>
        </is>
      </c>
      <c r="E2879" s="3" t="inlineStr">
        <is>
          <t>주주총회소집공고</t>
        </is>
      </c>
      <c r="F2879" s="3" t="inlineStr">
        <is>
          <t>타이거일렉</t>
        </is>
      </c>
      <c r="G2879" s="2" t="inlineStr">
        <is>
          <t>20260311003268</t>
        </is>
      </c>
      <c r="H2879" s="8">
        <f>HYPERLINK("https://dart.fss.or.kr/dsaf001/main.do?rcpNo=20260311003268", "공시열람")</f>
        <v/>
      </c>
    </row>
    <row r="2880">
      <c r="A2880" s="2" t="inlineStr">
        <is>
          <t>2026-03-11</t>
        </is>
      </c>
      <c r="B2880" s="3" t="inlineStr">
        <is>
          <t>와이투솔루션</t>
        </is>
      </c>
      <c r="C2880" s="2" t="inlineStr">
        <is>
          <t>코스피</t>
        </is>
      </c>
      <c r="D2880" s="2" t="inlineStr">
        <is>
          <t>011690</t>
        </is>
      </c>
      <c r="E2880" s="3" t="inlineStr">
        <is>
          <t xml:space="preserve">주주총회소집결의              </t>
        </is>
      </c>
      <c r="F2880" s="3" t="inlineStr">
        <is>
          <t>와이투솔루션</t>
        </is>
      </c>
      <c r="G2880" s="2" t="inlineStr">
        <is>
          <t>20260311800175</t>
        </is>
      </c>
      <c r="H2880" s="8">
        <f>HYPERLINK("https://dart.fss.or.kr/dsaf001/main.do?rcpNo=20260311800175", "공시열람")</f>
        <v/>
      </c>
    </row>
    <row r="2881">
      <c r="A2881" s="2" t="inlineStr">
        <is>
          <t>2026-03-11</t>
        </is>
      </c>
      <c r="B2881" s="3" t="inlineStr">
        <is>
          <t>바이오에프디엔씨</t>
        </is>
      </c>
      <c r="C2881" s="2" t="inlineStr">
        <is>
          <t>코스닥</t>
        </is>
      </c>
      <c r="D2881" s="2" t="inlineStr">
        <is>
          <t>251120</t>
        </is>
      </c>
      <c r="E2881" s="3" t="inlineStr">
        <is>
          <t>주주총회소집공고</t>
        </is>
      </c>
      <c r="F2881" s="3" t="inlineStr">
        <is>
          <t>바이오에프디엔씨</t>
        </is>
      </c>
      <c r="G2881" s="2" t="inlineStr">
        <is>
          <t>20260311003265</t>
        </is>
      </c>
      <c r="H2881" s="8">
        <f>HYPERLINK("https://dart.fss.or.kr/dsaf001/main.do?rcpNo=20260311003265", "공시열람")</f>
        <v/>
      </c>
    </row>
    <row r="2882">
      <c r="A2882" s="2" t="inlineStr">
        <is>
          <t>2026-03-11</t>
        </is>
      </c>
      <c r="B2882" s="3" t="inlineStr">
        <is>
          <t>원일티엔아이</t>
        </is>
      </c>
      <c r="C2882" s="2" t="inlineStr">
        <is>
          <t>코스닥</t>
        </is>
      </c>
      <c r="D2882" s="2" t="inlineStr">
        <is>
          <t>136150</t>
        </is>
      </c>
      <c r="E2882" s="3" t="inlineStr">
        <is>
          <t>주주총회소집공고</t>
        </is>
      </c>
      <c r="F2882" s="3" t="inlineStr">
        <is>
          <t>원일티엔아이</t>
        </is>
      </c>
      <c r="G2882" s="2" t="inlineStr">
        <is>
          <t>20260311003261</t>
        </is>
      </c>
      <c r="H2882" s="8">
        <f>HYPERLINK("https://dart.fss.or.kr/dsaf001/main.do?rcpNo=20260311003261", "공시열람")</f>
        <v/>
      </c>
    </row>
    <row r="2883">
      <c r="A2883" s="2" t="inlineStr">
        <is>
          <t>2026-03-11</t>
        </is>
      </c>
      <c r="B2883" s="3" t="inlineStr">
        <is>
          <t>동아지질</t>
        </is>
      </c>
      <c r="C2883" s="2" t="inlineStr">
        <is>
          <t>코스피</t>
        </is>
      </c>
      <c r="D2883" s="2" t="inlineStr">
        <is>
          <t>028100</t>
        </is>
      </c>
      <c r="E2883" s="3" t="inlineStr">
        <is>
          <t>주주총회소집공고</t>
        </is>
      </c>
      <c r="F2883" s="3" t="inlineStr">
        <is>
          <t>동아지질</t>
        </is>
      </c>
      <c r="G2883" s="2" t="inlineStr">
        <is>
          <t>20260311003254</t>
        </is>
      </c>
      <c r="H2883" s="8">
        <f>HYPERLINK("https://dart.fss.or.kr/dsaf001/main.do?rcpNo=20260311003254", "공시열람")</f>
        <v/>
      </c>
    </row>
    <row r="2884">
      <c r="A2884" s="2" t="inlineStr">
        <is>
          <t>2026-03-11</t>
        </is>
      </c>
      <c r="B2884" s="3" t="inlineStr">
        <is>
          <t>한국기업평가</t>
        </is>
      </c>
      <c r="C2884" s="2" t="inlineStr">
        <is>
          <t>코스닥</t>
        </is>
      </c>
      <c r="D2884" s="2" t="inlineStr">
        <is>
          <t>034950</t>
        </is>
      </c>
      <c r="E2884" s="3" t="inlineStr">
        <is>
          <t>주주총회소집공고</t>
        </is>
      </c>
      <c r="F2884" s="3" t="inlineStr">
        <is>
          <t>한국기업평가</t>
        </is>
      </c>
      <c r="G2884" s="2" t="inlineStr">
        <is>
          <t>20260311003253</t>
        </is>
      </c>
      <c r="H2884" s="8">
        <f>HYPERLINK("https://dart.fss.or.kr/dsaf001/main.do?rcpNo=20260311003253", "공시열람")</f>
        <v/>
      </c>
    </row>
    <row r="2885">
      <c r="A2885" s="2" t="inlineStr">
        <is>
          <t>2026-03-11</t>
        </is>
      </c>
      <c r="B2885" s="3" t="inlineStr">
        <is>
          <t>한화플러스제5호스팩</t>
        </is>
      </c>
      <c r="C2885" s="2" t="inlineStr">
        <is>
          <t>코스닥</t>
        </is>
      </c>
      <c r="D2885" s="2" t="inlineStr">
        <is>
          <t>498390</t>
        </is>
      </c>
      <c r="E2885" s="3" t="inlineStr">
        <is>
          <t>주주총회소집공고</t>
        </is>
      </c>
      <c r="F2885" s="3" t="inlineStr">
        <is>
          <t>한화플러스제5호스팩</t>
        </is>
      </c>
      <c r="G2885" s="2" t="inlineStr">
        <is>
          <t>20260311003252</t>
        </is>
      </c>
      <c r="H2885" s="8">
        <f>HYPERLINK("https://dart.fss.or.kr/dsaf001/main.do?rcpNo=20260311003252", "공시열람")</f>
        <v/>
      </c>
    </row>
    <row r="2886">
      <c r="A2886" s="2" t="inlineStr">
        <is>
          <t>2026-03-11</t>
        </is>
      </c>
      <c r="B2886" s="3" t="inlineStr">
        <is>
          <t>코데즈컴바인</t>
        </is>
      </c>
      <c r="C2886" s="2" t="inlineStr">
        <is>
          <t>코스닥</t>
        </is>
      </c>
      <c r="D2886" s="2" t="inlineStr">
        <is>
          <t>047770</t>
        </is>
      </c>
      <c r="E2886" s="3" t="inlineStr">
        <is>
          <t>주주총회소집공고</t>
        </is>
      </c>
      <c r="F2886" s="3" t="inlineStr">
        <is>
          <t>코데즈컴바인</t>
        </is>
      </c>
      <c r="G2886" s="2" t="inlineStr">
        <is>
          <t>20260311003242</t>
        </is>
      </c>
      <c r="H2886" s="8">
        <f>HYPERLINK("https://dart.fss.or.kr/dsaf001/main.do?rcpNo=20260311003242", "공시열람")</f>
        <v/>
      </c>
    </row>
    <row r="2887">
      <c r="A2887" s="2" t="inlineStr">
        <is>
          <t>2026-03-11</t>
        </is>
      </c>
      <c r="B2887" s="3" t="inlineStr">
        <is>
          <t>프로티아</t>
        </is>
      </c>
      <c r="C2887" s="2" t="inlineStr">
        <is>
          <t>코스닥</t>
        </is>
      </c>
      <c r="D2887" s="2" t="inlineStr">
        <is>
          <t>303360</t>
        </is>
      </c>
      <c r="E2887" s="3" t="inlineStr">
        <is>
          <t>주주총회소집공고</t>
        </is>
      </c>
      <c r="F2887" s="3" t="inlineStr">
        <is>
          <t>프로티아</t>
        </is>
      </c>
      <c r="G2887" s="2" t="inlineStr">
        <is>
          <t>20260311003228</t>
        </is>
      </c>
      <c r="H2887" s="8">
        <f>HYPERLINK("https://dart.fss.or.kr/dsaf001/main.do?rcpNo=20260311003228", "공시열람")</f>
        <v/>
      </c>
    </row>
    <row r="2888">
      <c r="A2888" s="2" t="inlineStr">
        <is>
          <t>2026-03-11</t>
        </is>
      </c>
      <c r="B2888" s="3" t="inlineStr">
        <is>
          <t>파인엠텍</t>
        </is>
      </c>
      <c r="C2888" s="2" t="inlineStr">
        <is>
          <t>코스닥</t>
        </is>
      </c>
      <c r="D2888" s="2" t="inlineStr">
        <is>
          <t>441270</t>
        </is>
      </c>
      <c r="E2888" s="3" t="inlineStr">
        <is>
          <t>주주총회소집공고</t>
        </is>
      </c>
      <c r="F2888" s="3" t="inlineStr">
        <is>
          <t>파인엠텍</t>
        </is>
      </c>
      <c r="G2888" s="2" t="inlineStr">
        <is>
          <t>20260311003227</t>
        </is>
      </c>
      <c r="H2888" s="8">
        <f>HYPERLINK("https://dart.fss.or.kr/dsaf001/main.do?rcpNo=20260311003227", "공시열람")</f>
        <v/>
      </c>
    </row>
    <row r="2889">
      <c r="A2889" s="2" t="inlineStr">
        <is>
          <t>2026-03-11</t>
        </is>
      </c>
      <c r="B2889" s="3" t="inlineStr">
        <is>
          <t>리노공업</t>
        </is>
      </c>
      <c r="C2889" s="2" t="inlineStr">
        <is>
          <t>코스닥</t>
        </is>
      </c>
      <c r="D2889" s="2" t="inlineStr">
        <is>
          <t>058470</t>
        </is>
      </c>
      <c r="E2889" s="3" t="inlineStr">
        <is>
          <t>주주총회소집공고</t>
        </is>
      </c>
      <c r="F2889" s="3" t="inlineStr">
        <is>
          <t>리노공업</t>
        </is>
      </c>
      <c r="G2889" s="2" t="inlineStr">
        <is>
          <t>20260311003221</t>
        </is>
      </c>
      <c r="H2889" s="8">
        <f>HYPERLINK("https://dart.fss.or.kr/dsaf001/main.do?rcpNo=20260311003221", "공시열람")</f>
        <v/>
      </c>
    </row>
    <row r="2890">
      <c r="A2890" s="2" t="inlineStr">
        <is>
          <t>2026-03-11 (정정: 2026-03-12)</t>
        </is>
      </c>
      <c r="B2890" s="3" t="inlineStr">
        <is>
          <t>바스칸바이오제약</t>
        </is>
      </c>
      <c r="C2890" s="2" t="inlineStr">
        <is>
          <t>코넥스</t>
        </is>
      </c>
      <c r="D2890" s="2" t="inlineStr">
        <is>
          <t>354390</t>
        </is>
      </c>
      <c r="E2890" s="3" t="inlineStr">
        <is>
          <t>주주총회소집공고 (정정: 20260312)</t>
        </is>
      </c>
      <c r="F2890" s="3" t="inlineStr">
        <is>
          <t>바스칸바이오제약</t>
        </is>
      </c>
      <c r="G2890" s="2" t="inlineStr">
        <is>
          <t>20260312600585</t>
        </is>
      </c>
      <c r="H2890" s="8">
        <f>HYPERLINK("https://dart.fss.or.kr/dsaf001/main.do?rcpNo=20260312600585", "공시열람")</f>
        <v/>
      </c>
    </row>
    <row r="2891">
      <c r="A2891" s="2" t="inlineStr">
        <is>
          <t>2026-03-11</t>
        </is>
      </c>
      <c r="B2891" s="3" t="inlineStr">
        <is>
          <t>브이씨</t>
        </is>
      </c>
      <c r="C2891" s="2" t="inlineStr">
        <is>
          <t>코스닥</t>
        </is>
      </c>
      <c r="D2891" s="2" t="inlineStr">
        <is>
          <t>365900</t>
        </is>
      </c>
      <c r="E2891" s="3" t="inlineStr">
        <is>
          <t>주주총회소집공고</t>
        </is>
      </c>
      <c r="F2891" s="3" t="inlineStr">
        <is>
          <t>브이씨</t>
        </is>
      </c>
      <c r="G2891" s="2" t="inlineStr">
        <is>
          <t>20260311003213</t>
        </is>
      </c>
      <c r="H2891" s="8">
        <f>HYPERLINK("https://dart.fss.or.kr/dsaf001/main.do?rcpNo=20260311003213", "공시열람")</f>
        <v/>
      </c>
    </row>
    <row r="2892">
      <c r="A2892" s="2" t="inlineStr">
        <is>
          <t>2026-03-11</t>
        </is>
      </c>
      <c r="B2892" s="3" t="inlineStr">
        <is>
          <t>와이씨</t>
        </is>
      </c>
      <c r="C2892" s="2" t="inlineStr">
        <is>
          <t>코스닥</t>
        </is>
      </c>
      <c r="D2892" s="2" t="inlineStr">
        <is>
          <t>232140</t>
        </is>
      </c>
      <c r="E2892" s="3" t="inlineStr">
        <is>
          <t>주주총회소집공고</t>
        </is>
      </c>
      <c r="F2892" s="3" t="inlineStr">
        <is>
          <t>와이씨</t>
        </is>
      </c>
      <c r="G2892" s="2" t="inlineStr">
        <is>
          <t>20260311003210</t>
        </is>
      </c>
      <c r="H2892" s="8">
        <f>HYPERLINK("https://dart.fss.or.kr/dsaf001/main.do?rcpNo=20260311003210", "공시열람")</f>
        <v/>
      </c>
    </row>
    <row r="2893">
      <c r="A2893" s="2" t="inlineStr">
        <is>
          <t>2026-03-11</t>
        </is>
      </c>
      <c r="B2893" s="3" t="inlineStr">
        <is>
          <t>와토스코리아</t>
        </is>
      </c>
      <c r="C2893" s="2" t="inlineStr">
        <is>
          <t>코스닥</t>
        </is>
      </c>
      <c r="D2893" s="2" t="inlineStr">
        <is>
          <t>079000</t>
        </is>
      </c>
      <c r="E2893" s="3" t="inlineStr">
        <is>
          <t>주주총회소집공고</t>
        </is>
      </c>
      <c r="F2893" s="3" t="inlineStr">
        <is>
          <t>와토스코리아</t>
        </is>
      </c>
      <c r="G2893" s="2" t="inlineStr">
        <is>
          <t>20260311003209</t>
        </is>
      </c>
      <c r="H2893" s="8">
        <f>HYPERLINK("https://dart.fss.or.kr/dsaf001/main.do?rcpNo=20260311003209", "공시열람")</f>
        <v/>
      </c>
    </row>
    <row r="2894">
      <c r="A2894" s="2" t="inlineStr">
        <is>
          <t>2026-03-11</t>
        </is>
      </c>
      <c r="B2894" s="3" t="inlineStr">
        <is>
          <t>썬테크</t>
        </is>
      </c>
      <c r="C2894" s="2" t="inlineStr">
        <is>
          <t>코넥스</t>
        </is>
      </c>
      <c r="D2894" s="2" t="inlineStr">
        <is>
          <t>217320</t>
        </is>
      </c>
      <c r="E2894" s="3" t="inlineStr">
        <is>
          <t>주주총회소집공고</t>
        </is>
      </c>
      <c r="F2894" s="3" t="inlineStr">
        <is>
          <t>썬테크</t>
        </is>
      </c>
      <c r="G2894" s="2" t="inlineStr">
        <is>
          <t>20260311003200</t>
        </is>
      </c>
      <c r="H2894" s="8">
        <f>HYPERLINK("https://dart.fss.or.kr/dsaf001/main.do?rcpNo=20260311003200", "공시열람")</f>
        <v/>
      </c>
    </row>
    <row r="2895">
      <c r="A2895" s="2" t="inlineStr">
        <is>
          <t>2026-03-11</t>
        </is>
      </c>
      <c r="B2895" s="3" t="inlineStr">
        <is>
          <t>한진중공업홀딩스</t>
        </is>
      </c>
      <c r="C2895" s="2" t="inlineStr">
        <is>
          <t>코스피</t>
        </is>
      </c>
      <c r="D2895" s="2" t="inlineStr">
        <is>
          <t>003480</t>
        </is>
      </c>
      <c r="E2895" s="3" t="inlineStr">
        <is>
          <t xml:space="preserve">주주총회집중일개최사유신고              </t>
        </is>
      </c>
      <c r="F2895" s="3" t="inlineStr">
        <is>
          <t>한진중공업홀딩스</t>
        </is>
      </c>
      <c r="G2895" s="2" t="inlineStr">
        <is>
          <t>20260311800130</t>
        </is>
      </c>
      <c r="H2895" s="8">
        <f>HYPERLINK("https://dart.fss.or.kr/dsaf001/main.do?rcpNo=20260311800130", "공시열람")</f>
        <v/>
      </c>
    </row>
    <row r="2896">
      <c r="A2896" s="2" t="inlineStr">
        <is>
          <t>2026-03-11</t>
        </is>
      </c>
      <c r="B2896" s="3" t="inlineStr">
        <is>
          <t>파이버프로</t>
        </is>
      </c>
      <c r="C2896" s="2" t="inlineStr">
        <is>
          <t>코스닥</t>
        </is>
      </c>
      <c r="D2896" s="2" t="inlineStr">
        <is>
          <t>368770</t>
        </is>
      </c>
      <c r="E2896" s="3" t="inlineStr">
        <is>
          <t>주주총회소집공고</t>
        </is>
      </c>
      <c r="F2896" s="3" t="inlineStr">
        <is>
          <t>파이버프로</t>
        </is>
      </c>
      <c r="G2896" s="2" t="inlineStr">
        <is>
          <t>20260311003198</t>
        </is>
      </c>
      <c r="H2896" s="8">
        <f>HYPERLINK("https://dart.fss.or.kr/dsaf001/main.do?rcpNo=20260311003198", "공시열람")</f>
        <v/>
      </c>
    </row>
    <row r="2897">
      <c r="A2897" s="2" t="inlineStr">
        <is>
          <t>2026-03-11 (정정: 2026-03-13)</t>
        </is>
      </c>
      <c r="B2897" s="3" t="inlineStr">
        <is>
          <t>누리플렉스</t>
        </is>
      </c>
      <c r="C2897" s="2" t="inlineStr">
        <is>
          <t>코스닥</t>
        </is>
      </c>
      <c r="D2897" s="2" t="inlineStr">
        <is>
          <t>040160</t>
        </is>
      </c>
      <c r="E2897" s="3" t="inlineStr">
        <is>
          <t>주주총회소집공고 (정정: 20260313)</t>
        </is>
      </c>
      <c r="F2897" s="3" t="inlineStr">
        <is>
          <t>누리플렉스</t>
        </is>
      </c>
      <c r="G2897" s="2" t="inlineStr">
        <is>
          <t>20260313001299</t>
        </is>
      </c>
      <c r="H2897" s="8">
        <f>HYPERLINK("https://dart.fss.or.kr/dsaf001/main.do?rcpNo=20260313001299", "공시열람")</f>
        <v/>
      </c>
    </row>
    <row r="2898">
      <c r="A2898" s="2" t="inlineStr">
        <is>
          <t>2026-03-11</t>
        </is>
      </c>
      <c r="B2898" s="3" t="inlineStr">
        <is>
          <t>레이크머티리얼즈</t>
        </is>
      </c>
      <c r="C2898" s="2" t="inlineStr">
        <is>
          <t>코스닥</t>
        </is>
      </c>
      <c r="D2898" s="2" t="inlineStr">
        <is>
          <t>281740</t>
        </is>
      </c>
      <c r="E2898" s="3" t="inlineStr">
        <is>
          <t>주주총회소집공고</t>
        </is>
      </c>
      <c r="F2898" s="3" t="inlineStr">
        <is>
          <t>레이크머티리얼즈</t>
        </is>
      </c>
      <c r="G2898" s="2" t="inlineStr">
        <is>
          <t>20260311003195</t>
        </is>
      </c>
      <c r="H2898" s="8">
        <f>HYPERLINK("https://dart.fss.or.kr/dsaf001/main.do?rcpNo=20260311003195", "공시열람")</f>
        <v/>
      </c>
    </row>
    <row r="2899">
      <c r="A2899" s="2" t="inlineStr">
        <is>
          <t>2026-03-11</t>
        </is>
      </c>
      <c r="B2899" s="3" t="inlineStr">
        <is>
          <t>피에이치에이</t>
        </is>
      </c>
      <c r="C2899" s="2" t="inlineStr">
        <is>
          <t>코스닥</t>
        </is>
      </c>
      <c r="D2899" s="2" t="inlineStr">
        <is>
          <t>043370</t>
        </is>
      </c>
      <c r="E2899" s="3" t="inlineStr">
        <is>
          <t>주주총회소집공고</t>
        </is>
      </c>
      <c r="F2899" s="3" t="inlineStr">
        <is>
          <t>피에이치에이</t>
        </is>
      </c>
      <c r="G2899" s="2" t="inlineStr">
        <is>
          <t>20260311003185</t>
        </is>
      </c>
      <c r="H2899" s="8">
        <f>HYPERLINK("https://dart.fss.or.kr/dsaf001/main.do?rcpNo=20260311003185", "공시열람")</f>
        <v/>
      </c>
    </row>
    <row r="2900">
      <c r="A2900" s="2" t="inlineStr">
        <is>
          <t>2026-03-11</t>
        </is>
      </c>
      <c r="B2900" s="3" t="inlineStr">
        <is>
          <t>제이투케이바이오</t>
        </is>
      </c>
      <c r="C2900" s="2" t="inlineStr">
        <is>
          <t>코스닥</t>
        </is>
      </c>
      <c r="D2900" s="2" t="inlineStr">
        <is>
          <t>420570</t>
        </is>
      </c>
      <c r="E2900" s="3" t="inlineStr">
        <is>
          <t>주주총회소집공고</t>
        </is>
      </c>
      <c r="F2900" s="3" t="inlineStr">
        <is>
          <t>제이투케이바이오</t>
        </is>
      </c>
      <c r="G2900" s="2" t="inlineStr">
        <is>
          <t>20260311003178</t>
        </is>
      </c>
      <c r="H2900" s="8">
        <f>HYPERLINK("https://dart.fss.or.kr/dsaf001/main.do?rcpNo=20260311003178", "공시열람")</f>
        <v/>
      </c>
    </row>
    <row r="2901">
      <c r="A2901" s="2" t="inlineStr">
        <is>
          <t>2026-03-11</t>
        </is>
      </c>
      <c r="B2901" s="3" t="inlineStr">
        <is>
          <t>SG글로벌</t>
        </is>
      </c>
      <c r="C2901" s="2" t="inlineStr">
        <is>
          <t>코스피</t>
        </is>
      </c>
      <c r="D2901" s="2" t="inlineStr">
        <is>
          <t>001380</t>
        </is>
      </c>
      <c r="E2901" s="3" t="inlineStr">
        <is>
          <t>주주총회소집공고</t>
        </is>
      </c>
      <c r="F2901" s="3" t="inlineStr">
        <is>
          <t>SG글로벌</t>
        </is>
      </c>
      <c r="G2901" s="2" t="inlineStr">
        <is>
          <t>20260311003175</t>
        </is>
      </c>
      <c r="H2901" s="8">
        <f>HYPERLINK("https://dart.fss.or.kr/dsaf001/main.do?rcpNo=20260311003175", "공시열람")</f>
        <v/>
      </c>
    </row>
    <row r="2902">
      <c r="A2902" s="2" t="inlineStr">
        <is>
          <t>2026-03-11</t>
        </is>
      </c>
      <c r="B2902" s="3" t="inlineStr">
        <is>
          <t>제이에스코퍼레이션</t>
        </is>
      </c>
      <c r="C2902" s="2" t="inlineStr">
        <is>
          <t>코스피</t>
        </is>
      </c>
      <c r="D2902" s="2" t="inlineStr">
        <is>
          <t>194370</t>
        </is>
      </c>
      <c r="E2902" s="3" t="inlineStr">
        <is>
          <t>주주총회소집공고</t>
        </is>
      </c>
      <c r="F2902" s="3" t="inlineStr">
        <is>
          <t>제이에스코퍼레이션</t>
        </is>
      </c>
      <c r="G2902" s="2" t="inlineStr">
        <is>
          <t>20260311003169</t>
        </is>
      </c>
      <c r="H2902" s="8">
        <f>HYPERLINK("https://dart.fss.or.kr/dsaf001/main.do?rcpNo=20260311003169", "공시열람")</f>
        <v/>
      </c>
    </row>
    <row r="2903">
      <c r="A2903" s="2" t="inlineStr">
        <is>
          <t>2026-03-11</t>
        </is>
      </c>
      <c r="B2903" s="3" t="inlineStr">
        <is>
          <t>심플랫폼</t>
        </is>
      </c>
      <c r="C2903" s="2" t="inlineStr">
        <is>
          <t>코스닥</t>
        </is>
      </c>
      <c r="D2903" s="2" t="inlineStr">
        <is>
          <t>444530</t>
        </is>
      </c>
      <c r="E2903" s="3" t="inlineStr">
        <is>
          <t>주주총회소집공고</t>
        </is>
      </c>
      <c r="F2903" s="3" t="inlineStr">
        <is>
          <t>심플랫폼</t>
        </is>
      </c>
      <c r="G2903" s="2" t="inlineStr">
        <is>
          <t>20260311003167</t>
        </is>
      </c>
      <c r="H2903" s="8">
        <f>HYPERLINK("https://dart.fss.or.kr/dsaf001/main.do?rcpNo=20260311003167", "공시열람")</f>
        <v/>
      </c>
    </row>
    <row r="2904">
      <c r="A2904" s="2" t="inlineStr">
        <is>
          <t>2026-03-11</t>
        </is>
      </c>
      <c r="B2904" s="3" t="inlineStr">
        <is>
          <t>태웅</t>
        </is>
      </c>
      <c r="C2904" s="2" t="inlineStr">
        <is>
          <t>코스닥</t>
        </is>
      </c>
      <c r="D2904" s="2" t="inlineStr">
        <is>
          <t>044490</t>
        </is>
      </c>
      <c r="E2904" s="3" t="inlineStr">
        <is>
          <t>주주총회소집공고</t>
        </is>
      </c>
      <c r="F2904" s="3" t="inlineStr">
        <is>
          <t>태웅</t>
        </is>
      </c>
      <c r="G2904" s="2" t="inlineStr">
        <is>
          <t>20260311003165</t>
        </is>
      </c>
      <c r="H2904" s="8">
        <f>HYPERLINK("https://dart.fss.or.kr/dsaf001/main.do?rcpNo=20260311003165", "공시열람")</f>
        <v/>
      </c>
    </row>
    <row r="2905">
      <c r="A2905" s="2" t="inlineStr">
        <is>
          <t>2026-03-11</t>
        </is>
      </c>
      <c r="B2905" s="3" t="inlineStr">
        <is>
          <t>에스피지</t>
        </is>
      </c>
      <c r="C2905" s="2" t="inlineStr">
        <is>
          <t>코스닥</t>
        </is>
      </c>
      <c r="D2905" s="2" t="inlineStr">
        <is>
          <t>058610</t>
        </is>
      </c>
      <c r="E2905" s="3" t="inlineStr">
        <is>
          <t>주주총회소집공고</t>
        </is>
      </c>
      <c r="F2905" s="3" t="inlineStr">
        <is>
          <t>에스피지</t>
        </is>
      </c>
      <c r="G2905" s="2" t="inlineStr">
        <is>
          <t>20260311003162</t>
        </is>
      </c>
      <c r="H2905" s="8">
        <f>HYPERLINK("https://dart.fss.or.kr/dsaf001/main.do?rcpNo=20260311003162", "공시열람")</f>
        <v/>
      </c>
    </row>
    <row r="2906">
      <c r="A2906" s="2" t="inlineStr">
        <is>
          <t>2026-03-11</t>
        </is>
      </c>
      <c r="B2906" s="3" t="inlineStr">
        <is>
          <t>ISC</t>
        </is>
      </c>
      <c r="C2906" s="2" t="inlineStr">
        <is>
          <t>코스닥</t>
        </is>
      </c>
      <c r="D2906" s="2" t="inlineStr">
        <is>
          <t>095340</t>
        </is>
      </c>
      <c r="E2906" s="3" t="inlineStr">
        <is>
          <t>주주총회소집공고</t>
        </is>
      </c>
      <c r="F2906" s="3" t="inlineStr">
        <is>
          <t>ISC</t>
        </is>
      </c>
      <c r="G2906" s="2" t="inlineStr">
        <is>
          <t>20260311003160</t>
        </is>
      </c>
      <c r="H2906" s="8">
        <f>HYPERLINK("https://dart.fss.or.kr/dsaf001/main.do?rcpNo=20260311003160", "공시열람")</f>
        <v/>
      </c>
    </row>
    <row r="2907">
      <c r="A2907" s="2" t="inlineStr">
        <is>
          <t>2026-03-11</t>
        </is>
      </c>
      <c r="B2907" s="3" t="inlineStr">
        <is>
          <t>한텍</t>
        </is>
      </c>
      <c r="C2907" s="2" t="inlineStr">
        <is>
          <t>코스닥</t>
        </is>
      </c>
      <c r="D2907" s="2" t="inlineStr">
        <is>
          <t>098070</t>
        </is>
      </c>
      <c r="E2907" s="3" t="inlineStr">
        <is>
          <t>주주총회소집공고</t>
        </is>
      </c>
      <c r="F2907" s="3" t="inlineStr">
        <is>
          <t>한텍</t>
        </is>
      </c>
      <c r="G2907" s="2" t="inlineStr">
        <is>
          <t>20260311003153</t>
        </is>
      </c>
      <c r="H2907" s="8">
        <f>HYPERLINK("https://dart.fss.or.kr/dsaf001/main.do?rcpNo=20260311003153", "공시열람")</f>
        <v/>
      </c>
    </row>
    <row r="2908">
      <c r="A2908" s="2" t="inlineStr">
        <is>
          <t>2026-03-11</t>
        </is>
      </c>
      <c r="B2908" s="3" t="inlineStr">
        <is>
          <t>진성티이씨</t>
        </is>
      </c>
      <c r="C2908" s="2" t="inlineStr">
        <is>
          <t>코스닥</t>
        </is>
      </c>
      <c r="D2908" s="2" t="inlineStr">
        <is>
          <t>036890</t>
        </is>
      </c>
      <c r="E2908" s="3" t="inlineStr">
        <is>
          <t>주주총회소집공고</t>
        </is>
      </c>
      <c r="F2908" s="3" t="inlineStr">
        <is>
          <t>진성티이씨</t>
        </is>
      </c>
      <c r="G2908" s="2" t="inlineStr">
        <is>
          <t>20260311003150</t>
        </is>
      </c>
      <c r="H2908" s="8">
        <f>HYPERLINK("https://dart.fss.or.kr/dsaf001/main.do?rcpNo=20260311003150", "공시열람")</f>
        <v/>
      </c>
    </row>
    <row r="2909">
      <c r="A2909" s="2" t="inlineStr">
        <is>
          <t>2026-03-11</t>
        </is>
      </c>
      <c r="B2909" s="3" t="inlineStr">
        <is>
          <t>엑사이엔씨</t>
        </is>
      </c>
      <c r="C2909" s="2" t="inlineStr">
        <is>
          <t>코스닥</t>
        </is>
      </c>
      <c r="D2909" s="2" t="inlineStr">
        <is>
          <t>054940</t>
        </is>
      </c>
      <c r="E2909" s="3" t="inlineStr">
        <is>
          <t>주주총회소집공고</t>
        </is>
      </c>
      <c r="F2909" s="3" t="inlineStr">
        <is>
          <t>엑사이엔씨</t>
        </is>
      </c>
      <c r="G2909" s="2" t="inlineStr">
        <is>
          <t>20260311003149</t>
        </is>
      </c>
      <c r="H2909" s="8">
        <f>HYPERLINK("https://dart.fss.or.kr/dsaf001/main.do?rcpNo=20260311003149", "공시열람")</f>
        <v/>
      </c>
    </row>
    <row r="2910">
      <c r="A2910" s="2" t="inlineStr">
        <is>
          <t>2026-03-11</t>
        </is>
      </c>
      <c r="B2910" s="3" t="inlineStr">
        <is>
          <t>제이엠티</t>
        </is>
      </c>
      <c r="C2910" s="2" t="inlineStr">
        <is>
          <t>코스닥</t>
        </is>
      </c>
      <c r="D2910" s="2" t="inlineStr">
        <is>
          <t>094970</t>
        </is>
      </c>
      <c r="E2910" s="3" t="inlineStr">
        <is>
          <t>주주총회소집공고</t>
        </is>
      </c>
      <c r="F2910" s="3" t="inlineStr">
        <is>
          <t>제이엠티</t>
        </is>
      </c>
      <c r="G2910" s="2" t="inlineStr">
        <is>
          <t>20260311003148</t>
        </is>
      </c>
      <c r="H2910" s="8">
        <f>HYPERLINK("https://dart.fss.or.kr/dsaf001/main.do?rcpNo=20260311003148", "공시열람")</f>
        <v/>
      </c>
    </row>
    <row r="2911">
      <c r="A2911" s="2" t="inlineStr">
        <is>
          <t>2026-03-11</t>
        </is>
      </c>
      <c r="B2911" s="3" t="inlineStr">
        <is>
          <t>핸즈코퍼레이션</t>
        </is>
      </c>
      <c r="C2911" s="2" t="inlineStr">
        <is>
          <t>코스피</t>
        </is>
      </c>
      <c r="D2911" s="2" t="inlineStr">
        <is>
          <t>143210</t>
        </is>
      </c>
      <c r="E2911" s="3" t="inlineStr">
        <is>
          <t xml:space="preserve">주주총회소집결의              </t>
        </is>
      </c>
      <c r="F2911" s="3" t="inlineStr">
        <is>
          <t>핸즈코퍼레이션</t>
        </is>
      </c>
      <c r="G2911" s="2" t="inlineStr">
        <is>
          <t>20260311800005</t>
        </is>
      </c>
      <c r="H2911" s="8">
        <f>HYPERLINK("https://dart.fss.or.kr/dsaf001/main.do?rcpNo=20260311800005", "공시열람")</f>
        <v/>
      </c>
    </row>
    <row r="2912">
      <c r="A2912" s="2" t="inlineStr">
        <is>
          <t>2026-03-11</t>
        </is>
      </c>
      <c r="B2912" s="3" t="inlineStr">
        <is>
          <t>콜마홀딩스</t>
        </is>
      </c>
      <c r="C2912" s="2" t="inlineStr">
        <is>
          <t>코스피</t>
        </is>
      </c>
      <c r="D2912" s="2" t="inlineStr">
        <is>
          <t>024720</t>
        </is>
      </c>
      <c r="E2912" s="3" t="inlineStr">
        <is>
          <t>주주총회소집공고</t>
        </is>
      </c>
      <c r="F2912" s="3" t="inlineStr">
        <is>
          <t>콜마홀딩스</t>
        </is>
      </c>
      <c r="G2912" s="2" t="inlineStr">
        <is>
          <t>20260310003104</t>
        </is>
      </c>
      <c r="H2912" s="8">
        <f>HYPERLINK("https://dart.fss.or.kr/dsaf001/main.do?rcpNo=20260310003104", "공시열람")</f>
        <v/>
      </c>
    </row>
    <row r="2913">
      <c r="A2913" s="2" t="inlineStr">
        <is>
          <t>2026-03-12</t>
        </is>
      </c>
      <c r="B2913" s="3" t="inlineStr">
        <is>
          <t>에피소드컴퍼니</t>
        </is>
      </c>
      <c r="C2913" s="2" t="inlineStr">
        <is>
          <t>코스닥</t>
        </is>
      </c>
      <c r="D2913" s="2" t="inlineStr">
        <is>
          <t>317530</t>
        </is>
      </c>
      <c r="E2913" s="3" t="inlineStr">
        <is>
          <t xml:space="preserve">[첨부추가]주주총회소집결의              </t>
        </is>
      </c>
      <c r="F2913" s="3" t="inlineStr">
        <is>
          <t>에피소드컴퍼니</t>
        </is>
      </c>
      <c r="G2913" s="2" t="inlineStr">
        <is>
          <t>20260312901646</t>
        </is>
      </c>
      <c r="H2913" s="8">
        <f>HYPERLINK("https://dart.fss.or.kr/dsaf001/main.do?rcpNo=20260312901646", "공시열람")</f>
        <v/>
      </c>
    </row>
    <row r="2914">
      <c r="A2914" s="2" t="inlineStr">
        <is>
          <t>2026-03-12</t>
        </is>
      </c>
      <c r="B2914" s="3" t="inlineStr">
        <is>
          <t>셀레믹스</t>
        </is>
      </c>
      <c r="C2914" s="2" t="inlineStr">
        <is>
          <t>코스닥</t>
        </is>
      </c>
      <c r="D2914" s="2" t="inlineStr">
        <is>
          <t>331920</t>
        </is>
      </c>
      <c r="E2914" s="3" t="inlineStr">
        <is>
          <t xml:space="preserve">최대주주변경              </t>
        </is>
      </c>
      <c r="F2914" s="3" t="inlineStr">
        <is>
          <t>셀레믹스</t>
        </is>
      </c>
      <c r="G2914" s="2" t="inlineStr">
        <is>
          <t>20260312902496</t>
        </is>
      </c>
      <c r="H2914" s="8">
        <f>HYPERLINK("https://dart.fss.or.kr/dsaf001/main.do?rcpNo=20260312902496", "공시열람")</f>
        <v/>
      </c>
    </row>
    <row r="2915">
      <c r="A2915" s="2" t="inlineStr">
        <is>
          <t>2026-03-12 (정정: 2026-03-13)</t>
        </is>
      </c>
      <c r="B2915" s="3" t="inlineStr">
        <is>
          <t>바른손이앤에이</t>
        </is>
      </c>
      <c r="C2915" s="2" t="inlineStr">
        <is>
          <t>코스닥</t>
        </is>
      </c>
      <c r="D2915" s="2" t="inlineStr">
        <is>
          <t>035620</t>
        </is>
      </c>
      <c r="E2915" s="3" t="inlineStr">
        <is>
          <t>주주총회집중일개최사유신고               (정정: 20260313)</t>
        </is>
      </c>
      <c r="F2915" s="3" t="inlineStr">
        <is>
          <t>바른손이앤에이</t>
        </is>
      </c>
      <c r="G2915" s="2" t="inlineStr">
        <is>
          <t>20260313001067</t>
        </is>
      </c>
      <c r="H2915" s="8">
        <f>HYPERLINK("https://dart.fss.or.kr/dsaf001/main.do?rcpNo=20260313001067", "공시열람")</f>
        <v/>
      </c>
    </row>
    <row r="2916">
      <c r="A2916" s="2" t="inlineStr">
        <is>
          <t>2026-03-12</t>
        </is>
      </c>
      <c r="B2916" s="3" t="inlineStr">
        <is>
          <t>바른손이앤에이</t>
        </is>
      </c>
      <c r="C2916" s="2" t="inlineStr">
        <is>
          <t>코스닥</t>
        </is>
      </c>
      <c r="D2916" s="2" t="inlineStr">
        <is>
          <t>035620</t>
        </is>
      </c>
      <c r="E2916" s="3" t="inlineStr">
        <is>
          <t xml:space="preserve">주주총회소집결의              </t>
        </is>
      </c>
      <c r="F2916" s="3" t="inlineStr">
        <is>
          <t>바른손이앤에이</t>
        </is>
      </c>
      <c r="G2916" s="2" t="inlineStr">
        <is>
          <t>20260312902494</t>
        </is>
      </c>
      <c r="H2916" s="8">
        <f>HYPERLINK("https://dart.fss.or.kr/dsaf001/main.do?rcpNo=20260312902494", "공시열람")</f>
        <v/>
      </c>
    </row>
    <row r="2917">
      <c r="A2917" s="2" t="inlineStr">
        <is>
          <t>2026-03-12</t>
        </is>
      </c>
      <c r="B2917" s="3" t="inlineStr">
        <is>
          <t>코렌텍</t>
        </is>
      </c>
      <c r="C2917" s="2" t="inlineStr">
        <is>
          <t>코스닥</t>
        </is>
      </c>
      <c r="D2917" s="2" t="inlineStr">
        <is>
          <t>104540</t>
        </is>
      </c>
      <c r="E2917" s="3" t="inlineStr">
        <is>
          <t xml:space="preserve">주주총회집중일개최사유신고              </t>
        </is>
      </c>
      <c r="F2917" s="3" t="inlineStr">
        <is>
          <t>코렌텍</t>
        </is>
      </c>
      <c r="G2917" s="2" t="inlineStr">
        <is>
          <t>20260312902486</t>
        </is>
      </c>
      <c r="H2917" s="8">
        <f>HYPERLINK("https://dart.fss.or.kr/dsaf001/main.do?rcpNo=20260312902486", "공시열람")</f>
        <v/>
      </c>
    </row>
    <row r="2918">
      <c r="A2918" s="2" t="inlineStr">
        <is>
          <t>2026-03-12 (정정: 2026-03-24)</t>
        </is>
      </c>
      <c r="B2918" s="3" t="inlineStr">
        <is>
          <t>코렌텍</t>
        </is>
      </c>
      <c r="C2918" s="2" t="inlineStr">
        <is>
          <t>코스닥</t>
        </is>
      </c>
      <c r="D2918" s="2" t="inlineStr">
        <is>
          <t>104540</t>
        </is>
      </c>
      <c r="E2918" s="3" t="inlineStr">
        <is>
          <t>주주총회소집결의               (정정: 20260324)</t>
        </is>
      </c>
      <c r="F2918" s="3" t="inlineStr">
        <is>
          <t>코렌텍</t>
        </is>
      </c>
      <c r="G2918" s="2" t="inlineStr">
        <is>
          <t>20260324000596</t>
        </is>
      </c>
      <c r="H2918" s="8">
        <f>HYPERLINK("https://dart.fss.or.kr/dsaf001/main.do?rcpNo=20260324000596", "공시열람")</f>
        <v/>
      </c>
    </row>
    <row r="2919">
      <c r="A2919" s="2" t="inlineStr">
        <is>
          <t>2026-03-12 (정정: 2026-03-24)</t>
        </is>
      </c>
      <c r="B2919" s="3" t="inlineStr">
        <is>
          <t>씨엠티엑스</t>
        </is>
      </c>
      <c r="C2919" s="2" t="inlineStr">
        <is>
          <t>코스닥</t>
        </is>
      </c>
      <c r="D2919" s="2" t="inlineStr">
        <is>
          <t>388210</t>
        </is>
      </c>
      <c r="E2919" s="3" t="inlineStr">
        <is>
          <t>주주총회소집결의               (정정: 20260324)</t>
        </is>
      </c>
      <c r="F2919" s="3" t="inlineStr">
        <is>
          <t>씨엠티엑스</t>
        </is>
      </c>
      <c r="G2919" s="2" t="inlineStr">
        <is>
          <t>20260324000937</t>
        </is>
      </c>
      <c r="H2919" s="8">
        <f>HYPERLINK("https://dart.fss.or.kr/dsaf001/main.do?rcpNo=20260324000937", "공시열람")</f>
        <v/>
      </c>
    </row>
    <row r="2920">
      <c r="A2920" s="2" t="inlineStr">
        <is>
          <t>2026-03-12</t>
        </is>
      </c>
      <c r="B2920" s="3" t="inlineStr">
        <is>
          <t>노바렉스</t>
        </is>
      </c>
      <c r="C2920" s="2" t="inlineStr">
        <is>
          <t>코스닥</t>
        </is>
      </c>
      <c r="D2920" s="2" t="inlineStr">
        <is>
          <t>194700</t>
        </is>
      </c>
      <c r="E2920" s="3" t="inlineStr">
        <is>
          <t xml:space="preserve">주주총회집중일개최사유신고              </t>
        </is>
      </c>
      <c r="F2920" s="3" t="inlineStr">
        <is>
          <t>노바렉스</t>
        </is>
      </c>
      <c r="G2920" s="2" t="inlineStr">
        <is>
          <t>20260312902475</t>
        </is>
      </c>
      <c r="H2920" s="8">
        <f>HYPERLINK("https://dart.fss.or.kr/dsaf001/main.do?rcpNo=20260312902475", "공시열람")</f>
        <v/>
      </c>
    </row>
    <row r="2921">
      <c r="A2921" s="2" t="inlineStr">
        <is>
          <t>2026-03-12</t>
        </is>
      </c>
      <c r="B2921" s="3" t="inlineStr">
        <is>
          <t>노바렉스</t>
        </is>
      </c>
      <c r="C2921" s="2" t="inlineStr">
        <is>
          <t>코스닥</t>
        </is>
      </c>
      <c r="D2921" s="2" t="inlineStr">
        <is>
          <t>194700</t>
        </is>
      </c>
      <c r="E2921" s="3" t="inlineStr">
        <is>
          <t xml:space="preserve">주주총회소집결의              </t>
        </is>
      </c>
      <c r="F2921" s="3" t="inlineStr">
        <is>
          <t>노바렉스</t>
        </is>
      </c>
      <c r="G2921" s="2" t="inlineStr">
        <is>
          <t>20260312902472</t>
        </is>
      </c>
      <c r="H2921" s="8">
        <f>HYPERLINK("https://dart.fss.or.kr/dsaf001/main.do?rcpNo=20260312902472", "공시열람")</f>
        <v/>
      </c>
    </row>
    <row r="2922">
      <c r="A2922" s="2" t="inlineStr">
        <is>
          <t>2026-03-12</t>
        </is>
      </c>
      <c r="B2922" s="3" t="inlineStr">
        <is>
          <t>린드먼아시아</t>
        </is>
      </c>
      <c r="C2922" s="2" t="inlineStr">
        <is>
          <t>코스닥</t>
        </is>
      </c>
      <c r="D2922" s="2" t="inlineStr">
        <is>
          <t>277070</t>
        </is>
      </c>
      <c r="E2922" s="3" t="inlineStr">
        <is>
          <t xml:space="preserve">주주총회소집결의              </t>
        </is>
      </c>
      <c r="F2922" s="3" t="inlineStr">
        <is>
          <t>린드먼아시아</t>
        </is>
      </c>
      <c r="G2922" s="2" t="inlineStr">
        <is>
          <t>20260312902315</t>
        </is>
      </c>
      <c r="H2922" s="8">
        <f>HYPERLINK("https://dart.fss.or.kr/dsaf001/main.do?rcpNo=20260312902315", "공시열람")</f>
        <v/>
      </c>
    </row>
    <row r="2923">
      <c r="A2923" s="2" t="inlineStr">
        <is>
          <t>2026-03-12</t>
        </is>
      </c>
      <c r="B2923" s="3" t="inlineStr">
        <is>
          <t>졸스</t>
        </is>
      </c>
      <c r="C2923" s="2" t="inlineStr">
        <is>
          <t>코스닥</t>
        </is>
      </c>
      <c r="D2923" s="2" t="inlineStr">
        <is>
          <t>018700</t>
        </is>
      </c>
      <c r="E2923" s="3" t="inlineStr">
        <is>
          <t xml:space="preserve">주주총회집중일개최사유신고              </t>
        </is>
      </c>
      <c r="F2923" s="3" t="inlineStr">
        <is>
          <t>졸스</t>
        </is>
      </c>
      <c r="G2923" s="2" t="inlineStr">
        <is>
          <t>20260312902124</t>
        </is>
      </c>
      <c r="H2923" s="8">
        <f>HYPERLINK("https://dart.fss.or.kr/dsaf001/main.do?rcpNo=20260312902124", "공시열람")</f>
        <v/>
      </c>
    </row>
    <row r="2924">
      <c r="A2924" s="2" t="inlineStr">
        <is>
          <t>2026-03-12</t>
        </is>
      </c>
      <c r="B2924" s="3" t="inlineStr">
        <is>
          <t>졸스</t>
        </is>
      </c>
      <c r="C2924" s="2" t="inlineStr">
        <is>
          <t>코스닥</t>
        </is>
      </c>
      <c r="D2924" s="2" t="inlineStr">
        <is>
          <t>018700</t>
        </is>
      </c>
      <c r="E2924" s="3" t="inlineStr">
        <is>
          <t xml:space="preserve">주주총회소집결의              </t>
        </is>
      </c>
      <c r="F2924" s="3" t="inlineStr">
        <is>
          <t>졸스</t>
        </is>
      </c>
      <c r="G2924" s="2" t="inlineStr">
        <is>
          <t>20260312902002</t>
        </is>
      </c>
      <c r="H2924" s="8">
        <f>HYPERLINK("https://dart.fss.or.kr/dsaf001/main.do?rcpNo=20260312902002", "공시열람")</f>
        <v/>
      </c>
    </row>
    <row r="2925">
      <c r="A2925" s="2" t="inlineStr">
        <is>
          <t>2026-03-12</t>
        </is>
      </c>
      <c r="B2925" s="3" t="inlineStr">
        <is>
          <t>엘티씨</t>
        </is>
      </c>
      <c r="C2925" s="2" t="inlineStr">
        <is>
          <t>코스닥</t>
        </is>
      </c>
      <c r="D2925" s="2" t="inlineStr">
        <is>
          <t>170920</t>
        </is>
      </c>
      <c r="E2925" s="3" t="inlineStr">
        <is>
          <t xml:space="preserve">주주총회소집결의              </t>
        </is>
      </c>
      <c r="F2925" s="3" t="inlineStr">
        <is>
          <t>엘티씨</t>
        </is>
      </c>
      <c r="G2925" s="2" t="inlineStr">
        <is>
          <t>20260312902449</t>
        </is>
      </c>
      <c r="H2925" s="8">
        <f>HYPERLINK("https://dart.fss.or.kr/dsaf001/main.do?rcpNo=20260312902449", "공시열람")</f>
        <v/>
      </c>
    </row>
    <row r="2926">
      <c r="A2926" s="2" t="inlineStr">
        <is>
          <t>2026-03-12</t>
        </is>
      </c>
      <c r="B2926" s="3" t="inlineStr">
        <is>
          <t>동일기연</t>
        </is>
      </c>
      <c r="C2926" s="2" t="inlineStr">
        <is>
          <t>코스닥</t>
        </is>
      </c>
      <c r="D2926" s="2" t="inlineStr">
        <is>
          <t>032960</t>
        </is>
      </c>
      <c r="E2926" s="3" t="inlineStr">
        <is>
          <t xml:space="preserve">주주총회소집결의              </t>
        </is>
      </c>
      <c r="F2926" s="3" t="inlineStr">
        <is>
          <t>동일기연</t>
        </is>
      </c>
      <c r="G2926" s="2" t="inlineStr">
        <is>
          <t>20260312902446</t>
        </is>
      </c>
      <c r="H2926" s="8">
        <f>HYPERLINK("https://dart.fss.or.kr/dsaf001/main.do?rcpNo=20260312902446", "공시열람")</f>
        <v/>
      </c>
    </row>
    <row r="2927">
      <c r="A2927" s="2" t="inlineStr">
        <is>
          <t>2026-03-12 (정정: 2026-03-12)</t>
        </is>
      </c>
      <c r="B2927" s="3" t="inlineStr">
        <is>
          <t>그린생명과학</t>
        </is>
      </c>
      <c r="C2927" s="2" t="inlineStr">
        <is>
          <t>코스닥</t>
        </is>
      </c>
      <c r="D2927" s="2" t="inlineStr">
        <is>
          <t>114450</t>
        </is>
      </c>
      <c r="E2927" s="3" t="inlineStr">
        <is>
          <t>주주총회집중일개최사유신고               (정정: 20260312)</t>
        </is>
      </c>
      <c r="F2927" s="3" t="inlineStr">
        <is>
          <t>그린생명과학</t>
        </is>
      </c>
      <c r="G2927" s="2" t="inlineStr">
        <is>
          <t>20260312902205</t>
        </is>
      </c>
      <c r="H2927" s="8">
        <f>HYPERLINK("https://dart.fss.or.kr/dsaf001/main.do?rcpNo=20260312902205", "공시열람")</f>
        <v/>
      </c>
    </row>
    <row r="2928">
      <c r="A2928" s="2" t="inlineStr">
        <is>
          <t>2026-03-12</t>
        </is>
      </c>
      <c r="B2928" s="3" t="inlineStr">
        <is>
          <t>한전산업</t>
        </is>
      </c>
      <c r="C2928" s="2" t="inlineStr">
        <is>
          <t>코스피</t>
        </is>
      </c>
      <c r="D2928" s="2" t="inlineStr">
        <is>
          <t>130660</t>
        </is>
      </c>
      <c r="E2928" s="3" t="inlineStr">
        <is>
          <t xml:space="preserve">주주총회집중일개최사유신고              </t>
        </is>
      </c>
      <c r="F2928" s="3" t="inlineStr">
        <is>
          <t>한전산업</t>
        </is>
      </c>
      <c r="G2928" s="2" t="inlineStr">
        <is>
          <t>20260312802430</t>
        </is>
      </c>
      <c r="H2928" s="8">
        <f>HYPERLINK("https://dart.fss.or.kr/dsaf001/main.do?rcpNo=20260312802430", "공시열람")</f>
        <v/>
      </c>
    </row>
    <row r="2929">
      <c r="A2929" s="2" t="inlineStr">
        <is>
          <t>2026-03-12</t>
        </is>
      </c>
      <c r="B2929" s="3" t="inlineStr">
        <is>
          <t>골프존</t>
        </is>
      </c>
      <c r="C2929" s="2" t="inlineStr">
        <is>
          <t>코스닥</t>
        </is>
      </c>
      <c r="D2929" s="2" t="inlineStr">
        <is>
          <t>215000</t>
        </is>
      </c>
      <c r="E2929" s="3" t="inlineStr">
        <is>
          <t xml:space="preserve">주주총회소집결의              </t>
        </is>
      </c>
      <c r="F2929" s="3" t="inlineStr">
        <is>
          <t>골프존</t>
        </is>
      </c>
      <c r="G2929" s="2" t="inlineStr">
        <is>
          <t>20260312902238</t>
        </is>
      </c>
      <c r="H2929" s="8">
        <f>HYPERLINK("https://dart.fss.or.kr/dsaf001/main.do?rcpNo=20260312902238", "공시열람")</f>
        <v/>
      </c>
    </row>
    <row r="2930">
      <c r="A2930" s="2" t="inlineStr">
        <is>
          <t>2026-03-12</t>
        </is>
      </c>
      <c r="B2930" s="3" t="inlineStr">
        <is>
          <t>엠투엔</t>
        </is>
      </c>
      <c r="C2930" s="2" t="inlineStr">
        <is>
          <t>코스닥</t>
        </is>
      </c>
      <c r="D2930" s="2" t="inlineStr">
        <is>
          <t>033310</t>
        </is>
      </c>
      <c r="E2930" s="3" t="inlineStr">
        <is>
          <t xml:space="preserve">주주총회집중일개최사유신고              </t>
        </is>
      </c>
      <c r="F2930" s="3" t="inlineStr">
        <is>
          <t>엠투엔</t>
        </is>
      </c>
      <c r="G2930" s="2" t="inlineStr">
        <is>
          <t>20260312902399</t>
        </is>
      </c>
      <c r="H2930" s="8">
        <f>HYPERLINK("https://dart.fss.or.kr/dsaf001/main.do?rcpNo=20260312902399", "공시열람")</f>
        <v/>
      </c>
    </row>
    <row r="2931">
      <c r="A2931" s="2" t="inlineStr">
        <is>
          <t>2026-03-12</t>
        </is>
      </c>
      <c r="B2931" s="3" t="inlineStr">
        <is>
          <t>골프존</t>
        </is>
      </c>
      <c r="C2931" s="2" t="inlineStr">
        <is>
          <t>코스닥</t>
        </is>
      </c>
      <c r="D2931" s="2" t="inlineStr">
        <is>
          <t>215000</t>
        </is>
      </c>
      <c r="E2931" s="3" t="inlineStr">
        <is>
          <t xml:space="preserve">주주총회집중일개최사유신고              </t>
        </is>
      </c>
      <c r="F2931" s="3" t="inlineStr">
        <is>
          <t>골프존</t>
        </is>
      </c>
      <c r="G2931" s="2" t="inlineStr">
        <is>
          <t>20260312902282</t>
        </is>
      </c>
      <c r="H2931" s="8">
        <f>HYPERLINK("https://dart.fss.or.kr/dsaf001/main.do?rcpNo=20260312902282", "공시열람")</f>
        <v/>
      </c>
    </row>
    <row r="2932">
      <c r="A2932" s="2" t="inlineStr">
        <is>
          <t>2026-03-12</t>
        </is>
      </c>
      <c r="B2932" s="3" t="inlineStr">
        <is>
          <t>우리바이오</t>
        </is>
      </c>
      <c r="C2932" s="2" t="inlineStr">
        <is>
          <t>코스닥</t>
        </is>
      </c>
      <c r="D2932" s="2" t="inlineStr">
        <is>
          <t>082850</t>
        </is>
      </c>
      <c r="E2932" s="3" t="inlineStr">
        <is>
          <t xml:space="preserve">주주총회소집결의              </t>
        </is>
      </c>
      <c r="F2932" s="3" t="inlineStr">
        <is>
          <t>우리바이오</t>
        </is>
      </c>
      <c r="G2932" s="2" t="inlineStr">
        <is>
          <t>20260312901848</t>
        </is>
      </c>
      <c r="H2932" s="8">
        <f>HYPERLINK("https://dart.fss.or.kr/dsaf001/main.do?rcpNo=20260312901848", "공시열람")</f>
        <v/>
      </c>
    </row>
    <row r="2933">
      <c r="A2933" s="2" t="inlineStr">
        <is>
          <t>2026-03-12</t>
        </is>
      </c>
      <c r="B2933" s="3" t="inlineStr">
        <is>
          <t>한전산업</t>
        </is>
      </c>
      <c r="C2933" s="2" t="inlineStr">
        <is>
          <t>코스피</t>
        </is>
      </c>
      <c r="D2933" s="2" t="inlineStr">
        <is>
          <t>130660</t>
        </is>
      </c>
      <c r="E2933" s="3" t="inlineStr">
        <is>
          <t xml:space="preserve">주주총회소집결의              </t>
        </is>
      </c>
      <c r="F2933" s="3" t="inlineStr">
        <is>
          <t>한전산업</t>
        </is>
      </c>
      <c r="G2933" s="2" t="inlineStr">
        <is>
          <t>20260312802388</t>
        </is>
      </c>
      <c r="H2933" s="8">
        <f>HYPERLINK("https://dart.fss.or.kr/dsaf001/main.do?rcpNo=20260312802388", "공시열람")</f>
        <v/>
      </c>
    </row>
    <row r="2934">
      <c r="A2934" s="2" t="inlineStr">
        <is>
          <t>2026-03-12</t>
        </is>
      </c>
      <c r="B2934" s="3" t="inlineStr">
        <is>
          <t>티플랙스</t>
        </is>
      </c>
      <c r="C2934" s="2" t="inlineStr">
        <is>
          <t>코스닥</t>
        </is>
      </c>
      <c r="D2934" s="2" t="inlineStr">
        <is>
          <t>081150</t>
        </is>
      </c>
      <c r="E2934" s="3" t="inlineStr">
        <is>
          <t xml:space="preserve">주주총회집중일개최사유신고              </t>
        </is>
      </c>
      <c r="F2934" s="3" t="inlineStr">
        <is>
          <t>티플랙스</t>
        </is>
      </c>
      <c r="G2934" s="2" t="inlineStr">
        <is>
          <t>20260312902303</t>
        </is>
      </c>
      <c r="H2934" s="8">
        <f>HYPERLINK("https://dart.fss.or.kr/dsaf001/main.do?rcpNo=20260312902303", "공시열람")</f>
        <v/>
      </c>
    </row>
    <row r="2935">
      <c r="A2935" s="2" t="inlineStr">
        <is>
          <t>2026-03-12</t>
        </is>
      </c>
      <c r="B2935" s="3" t="inlineStr">
        <is>
          <t>해성에어로보틱스</t>
        </is>
      </c>
      <c r="C2935" s="2" t="inlineStr">
        <is>
          <t>코스닥</t>
        </is>
      </c>
      <c r="D2935" s="2" t="inlineStr">
        <is>
          <t>059270</t>
        </is>
      </c>
      <c r="E2935" s="3" t="inlineStr">
        <is>
          <t>소송등의제기ㆍ신청(경영권분쟁소송)              (주주총회 개최금지 가처분)</t>
        </is>
      </c>
      <c r="F2935" s="3" t="inlineStr">
        <is>
          <t>해성에어로보틱스</t>
        </is>
      </c>
      <c r="G2935" s="2" t="inlineStr">
        <is>
          <t>20260312902125</t>
        </is>
      </c>
      <c r="H2935" s="8">
        <f>HYPERLINK("https://dart.fss.or.kr/dsaf001/main.do?rcpNo=20260312902125", "공시열람")</f>
        <v/>
      </c>
    </row>
    <row r="2936">
      <c r="A2936" s="2" t="inlineStr">
        <is>
          <t>2026-03-12</t>
        </is>
      </c>
      <c r="B2936" s="3" t="inlineStr">
        <is>
          <t>한미약품</t>
        </is>
      </c>
      <c r="C2936" s="2" t="inlineStr">
        <is>
          <t>코스피</t>
        </is>
      </c>
      <c r="D2936" s="2" t="inlineStr">
        <is>
          <t>128940</t>
        </is>
      </c>
      <c r="E2936" s="3" t="inlineStr">
        <is>
          <t xml:space="preserve">주주총회소집결의              </t>
        </is>
      </c>
      <c r="F2936" s="3" t="inlineStr">
        <is>
          <t>한미약품</t>
        </is>
      </c>
      <c r="G2936" s="2" t="inlineStr">
        <is>
          <t>20260312802363</t>
        </is>
      </c>
      <c r="H2936" s="8">
        <f>HYPERLINK("https://dart.fss.or.kr/dsaf001/main.do?rcpNo=20260312802363", "공시열람")</f>
        <v/>
      </c>
    </row>
    <row r="2937">
      <c r="A2937" s="2" t="inlineStr">
        <is>
          <t>2026-03-12</t>
        </is>
      </c>
      <c r="B2937" s="3" t="inlineStr">
        <is>
          <t>태광산업</t>
        </is>
      </c>
      <c r="C2937" s="2" t="inlineStr">
        <is>
          <t>코스피</t>
        </is>
      </c>
      <c r="D2937" s="2" t="inlineStr">
        <is>
          <t>003240</t>
        </is>
      </c>
      <c r="E2937" s="3" t="inlineStr">
        <is>
          <t xml:space="preserve">주주총회소집결의              </t>
        </is>
      </c>
      <c r="F2937" s="3" t="inlineStr">
        <is>
          <t>태광산업</t>
        </is>
      </c>
      <c r="G2937" s="2" t="inlineStr">
        <is>
          <t>20260312802249</t>
        </is>
      </c>
      <c r="H2937" s="8">
        <f>HYPERLINK("https://dart.fss.or.kr/dsaf001/main.do?rcpNo=20260312802249", "공시열람")</f>
        <v/>
      </c>
    </row>
    <row r="2938">
      <c r="A2938" s="2" t="inlineStr">
        <is>
          <t>2026-03-12</t>
        </is>
      </c>
      <c r="B2938" s="3" t="inlineStr">
        <is>
          <t>미디어젠</t>
        </is>
      </c>
      <c r="C2938" s="2" t="inlineStr">
        <is>
          <t>코스닥</t>
        </is>
      </c>
      <c r="D2938" s="2" t="inlineStr">
        <is>
          <t>279600</t>
        </is>
      </c>
      <c r="E2938" s="3" t="inlineStr">
        <is>
          <t xml:space="preserve">주주총회집중일개최사유신고              </t>
        </is>
      </c>
      <c r="F2938" s="3" t="inlineStr">
        <is>
          <t>미디어젠</t>
        </is>
      </c>
      <c r="G2938" s="2" t="inlineStr">
        <is>
          <t>20260312902331</t>
        </is>
      </c>
      <c r="H2938" s="8">
        <f>HYPERLINK("https://dart.fss.or.kr/dsaf001/main.do?rcpNo=20260312902331", "공시열람")</f>
        <v/>
      </c>
    </row>
    <row r="2939">
      <c r="A2939" s="2" t="inlineStr">
        <is>
          <t>2026-03-12</t>
        </is>
      </c>
      <c r="B2939" s="3" t="inlineStr">
        <is>
          <t>케이엔솔</t>
        </is>
      </c>
      <c r="C2939" s="2" t="inlineStr">
        <is>
          <t>코스닥</t>
        </is>
      </c>
      <c r="D2939" s="2" t="inlineStr">
        <is>
          <t>053080</t>
        </is>
      </c>
      <c r="E2939" s="3" t="inlineStr">
        <is>
          <t xml:space="preserve">주주총회집중일개최사유신고              </t>
        </is>
      </c>
      <c r="F2939" s="3" t="inlineStr">
        <is>
          <t>케이엔솔</t>
        </is>
      </c>
      <c r="G2939" s="2" t="inlineStr">
        <is>
          <t>20260312902355</t>
        </is>
      </c>
      <c r="H2939" s="8">
        <f>HYPERLINK("https://dart.fss.or.kr/dsaf001/main.do?rcpNo=20260312902355", "공시열람")</f>
        <v/>
      </c>
    </row>
    <row r="2940">
      <c r="A2940" s="2" t="inlineStr">
        <is>
          <t>2026-03-12</t>
        </is>
      </c>
      <c r="B2940" s="3" t="inlineStr">
        <is>
          <t>엠엑스로보틱스</t>
        </is>
      </c>
      <c r="C2940" s="2" t="inlineStr">
        <is>
          <t>코스닥</t>
        </is>
      </c>
      <c r="D2940" s="2" t="inlineStr">
        <is>
          <t>007820</t>
        </is>
      </c>
      <c r="E2940" s="3" t="inlineStr">
        <is>
          <t xml:space="preserve">주주총회집중일개최사유신고              </t>
        </is>
      </c>
      <c r="F2940" s="3" t="inlineStr">
        <is>
          <t>엠엑스로보틱스</t>
        </is>
      </c>
      <c r="G2940" s="2" t="inlineStr">
        <is>
          <t>20260312902337</t>
        </is>
      </c>
      <c r="H2940" s="8">
        <f>HYPERLINK("https://dart.fss.or.kr/dsaf001/main.do?rcpNo=20260312902337", "공시열람")</f>
        <v/>
      </c>
    </row>
    <row r="2941">
      <c r="A2941" s="2" t="inlineStr">
        <is>
          <t>2026-03-12 (정정: 2026-03-19)</t>
        </is>
      </c>
      <c r="B2941" s="3" t="inlineStr">
        <is>
          <t>대원</t>
        </is>
      </c>
      <c r="C2941" s="2" t="inlineStr">
        <is>
          <t>코스닥</t>
        </is>
      </c>
      <c r="D2941" s="2" t="inlineStr">
        <is>
          <t>007680</t>
        </is>
      </c>
      <c r="E2941" s="3" t="inlineStr">
        <is>
          <t>주주총회소집공고 (정정: 20260319)</t>
        </is>
      </c>
      <c r="F2941" s="3" t="inlineStr">
        <is>
          <t>대원</t>
        </is>
      </c>
      <c r="G2941" s="2" t="inlineStr">
        <is>
          <t>20260319001156</t>
        </is>
      </c>
      <c r="H2941" s="8">
        <f>HYPERLINK("https://dart.fss.or.kr/dsaf001/main.do?rcpNo=20260319001156", "공시열람")</f>
        <v/>
      </c>
    </row>
    <row r="2942">
      <c r="A2942" s="2" t="inlineStr">
        <is>
          <t>2026-03-12</t>
        </is>
      </c>
      <c r="B2942" s="3" t="inlineStr">
        <is>
          <t>에이스테크</t>
        </is>
      </c>
      <c r="C2942" s="2" t="inlineStr">
        <is>
          <t>코스닥</t>
        </is>
      </c>
      <c r="D2942" s="2" t="inlineStr">
        <is>
          <t>088800</t>
        </is>
      </c>
      <c r="E2942" s="3" t="inlineStr">
        <is>
          <t xml:space="preserve">주주총회소집결의              </t>
        </is>
      </c>
      <c r="F2942" s="3" t="inlineStr">
        <is>
          <t>에이스테크</t>
        </is>
      </c>
      <c r="G2942" s="2" t="inlineStr">
        <is>
          <t>20260312902126</t>
        </is>
      </c>
      <c r="H2942" s="8">
        <f>HYPERLINK("https://dart.fss.or.kr/dsaf001/main.do?rcpNo=20260312902126", "공시열람")</f>
        <v/>
      </c>
    </row>
    <row r="2943">
      <c r="A2943" s="2" t="inlineStr">
        <is>
          <t>2026-03-12</t>
        </is>
      </c>
      <c r="B2943" s="3" t="inlineStr">
        <is>
          <t>씨엠티엑스</t>
        </is>
      </c>
      <c r="C2943" s="2" t="inlineStr">
        <is>
          <t>코스닥</t>
        </is>
      </c>
      <c r="D2943" s="2" t="inlineStr">
        <is>
          <t>388210</t>
        </is>
      </c>
      <c r="E2943" s="3" t="inlineStr">
        <is>
          <t>주주총회소집공고</t>
        </is>
      </c>
      <c r="F2943" s="3" t="inlineStr">
        <is>
          <t>씨엠티엑스</t>
        </is>
      </c>
      <c r="G2943" s="2" t="inlineStr">
        <is>
          <t>20260312001419</t>
        </is>
      </c>
      <c r="H2943" s="8">
        <f>HYPERLINK("https://dart.fss.or.kr/dsaf001/main.do?rcpNo=20260312001419", "공시열람")</f>
        <v/>
      </c>
    </row>
    <row r="2944">
      <c r="A2944" s="2" t="inlineStr">
        <is>
          <t>2026-03-12</t>
        </is>
      </c>
      <c r="B2944" s="3" t="inlineStr">
        <is>
          <t>바이오스마트</t>
        </is>
      </c>
      <c r="C2944" s="2" t="inlineStr">
        <is>
          <t>코스닥</t>
        </is>
      </c>
      <c r="D2944" s="2" t="inlineStr">
        <is>
          <t>038460</t>
        </is>
      </c>
      <c r="E2944" s="3" t="inlineStr">
        <is>
          <t xml:space="preserve">주주총회집중일개최사유신고              </t>
        </is>
      </c>
      <c r="F2944" s="3" t="inlineStr">
        <is>
          <t>바이오스마트</t>
        </is>
      </c>
      <c r="G2944" s="2" t="inlineStr">
        <is>
          <t>20260312902311</t>
        </is>
      </c>
      <c r="H2944" s="8">
        <f>HYPERLINK("https://dart.fss.or.kr/dsaf001/main.do?rcpNo=20260312902311", "공시열람")</f>
        <v/>
      </c>
    </row>
    <row r="2945">
      <c r="A2945" s="2" t="inlineStr">
        <is>
          <t>2026-03-12</t>
        </is>
      </c>
      <c r="B2945" s="3" t="inlineStr">
        <is>
          <t>엘티씨</t>
        </is>
      </c>
      <c r="C2945" s="2" t="inlineStr">
        <is>
          <t>코스닥</t>
        </is>
      </c>
      <c r="D2945" s="2" t="inlineStr">
        <is>
          <t>170920</t>
        </is>
      </c>
      <c r="E2945" s="3" t="inlineStr">
        <is>
          <t xml:space="preserve">주주총회집중일개최사유신고              </t>
        </is>
      </c>
      <c r="F2945" s="3" t="inlineStr">
        <is>
          <t>엘티씨</t>
        </is>
      </c>
      <c r="G2945" s="2" t="inlineStr">
        <is>
          <t>20260312902288</t>
        </is>
      </c>
      <c r="H2945" s="8">
        <f>HYPERLINK("https://dart.fss.or.kr/dsaf001/main.do?rcpNo=20260312902288", "공시열람")</f>
        <v/>
      </c>
    </row>
    <row r="2946">
      <c r="A2946" s="2" t="inlineStr">
        <is>
          <t>2026-03-12</t>
        </is>
      </c>
      <c r="B2946" s="3" t="inlineStr">
        <is>
          <t>골프존</t>
        </is>
      </c>
      <c r="C2946" s="2" t="inlineStr">
        <is>
          <t>코스닥</t>
        </is>
      </c>
      <c r="D2946" s="2" t="inlineStr">
        <is>
          <t>215000</t>
        </is>
      </c>
      <c r="E2946" s="3" t="inlineStr">
        <is>
          <t>주주총회소집공고</t>
        </is>
      </c>
      <c r="F2946" s="3" t="inlineStr">
        <is>
          <t>골프존</t>
        </is>
      </c>
      <c r="G2946" s="2" t="inlineStr">
        <is>
          <t>20260312001413</t>
        </is>
      </c>
      <c r="H2946" s="8">
        <f>HYPERLINK("https://dart.fss.or.kr/dsaf001/main.do?rcpNo=20260312001413", "공시열람")</f>
        <v/>
      </c>
    </row>
    <row r="2947">
      <c r="A2947" s="2" t="inlineStr">
        <is>
          <t>2026-03-12</t>
        </is>
      </c>
      <c r="B2947" s="3" t="inlineStr">
        <is>
          <t>엠투엔</t>
        </is>
      </c>
      <c r="C2947" s="2" t="inlineStr">
        <is>
          <t>코스닥</t>
        </is>
      </c>
      <c r="D2947" s="2" t="inlineStr">
        <is>
          <t>033310</t>
        </is>
      </c>
      <c r="E2947" s="3" t="inlineStr">
        <is>
          <t xml:space="preserve">주주총회소집결의              </t>
        </is>
      </c>
      <c r="F2947" s="3" t="inlineStr">
        <is>
          <t>엠투엔</t>
        </is>
      </c>
      <c r="G2947" s="2" t="inlineStr">
        <is>
          <t>20260312902242</t>
        </is>
      </c>
      <c r="H2947" s="8">
        <f>HYPERLINK("https://dart.fss.or.kr/dsaf001/main.do?rcpNo=20260312902242", "공시열람")</f>
        <v/>
      </c>
    </row>
    <row r="2948">
      <c r="A2948" s="2" t="inlineStr">
        <is>
          <t>2026-03-12 (정정: 2026-03-12)</t>
        </is>
      </c>
      <c r="B2948" s="3" t="inlineStr">
        <is>
          <t>대원</t>
        </is>
      </c>
      <c r="C2948" s="2" t="inlineStr">
        <is>
          <t>코스닥</t>
        </is>
      </c>
      <c r="D2948" s="2" t="inlineStr">
        <is>
          <t>007680</t>
        </is>
      </c>
      <c r="E2948" s="3" t="inlineStr">
        <is>
          <t>주주총회집중일개최사유신고               (정정: 20260312)</t>
        </is>
      </c>
      <c r="F2948" s="3" t="inlineStr">
        <is>
          <t>대원</t>
        </is>
      </c>
      <c r="G2948" s="2" t="inlineStr">
        <is>
          <t>20260312901770</t>
        </is>
      </c>
      <c r="H2948" s="8">
        <f>HYPERLINK("https://dart.fss.or.kr/dsaf001/main.do?rcpNo=20260312901770", "공시열람")</f>
        <v/>
      </c>
    </row>
    <row r="2949">
      <c r="A2949" s="2" t="inlineStr">
        <is>
          <t>2026-03-12</t>
        </is>
      </c>
      <c r="B2949" s="3" t="inlineStr">
        <is>
          <t>엠투엔</t>
        </is>
      </c>
      <c r="C2949" s="2" t="inlineStr">
        <is>
          <t>코스닥</t>
        </is>
      </c>
      <c r="D2949" s="2" t="inlineStr">
        <is>
          <t>033310</t>
        </is>
      </c>
      <c r="E2949" s="3" t="inlineStr">
        <is>
          <t>주주총회소집공고</t>
        </is>
      </c>
      <c r="F2949" s="3" t="inlineStr">
        <is>
          <t>엠투엔</t>
        </is>
      </c>
      <c r="G2949" s="2" t="inlineStr">
        <is>
          <t>20260312001407</t>
        </is>
      </c>
      <c r="H2949" s="8">
        <f>HYPERLINK("https://dart.fss.or.kr/dsaf001/main.do?rcpNo=20260312001407", "공시열람")</f>
        <v/>
      </c>
    </row>
    <row r="2950">
      <c r="A2950" s="2" t="inlineStr">
        <is>
          <t>2026-03-12</t>
        </is>
      </c>
      <c r="B2950" s="3" t="inlineStr">
        <is>
          <t>대한제분</t>
        </is>
      </c>
      <c r="C2950" s="2" t="inlineStr">
        <is>
          <t>코스피</t>
        </is>
      </c>
      <c r="D2950" s="2" t="inlineStr">
        <is>
          <t>001130</t>
        </is>
      </c>
      <c r="E2950" s="3" t="inlineStr">
        <is>
          <t xml:space="preserve">주식분할결정              </t>
        </is>
      </c>
      <c r="F2950" s="3" t="inlineStr">
        <is>
          <t>대한제분</t>
        </is>
      </c>
      <c r="G2950" s="2" t="inlineStr">
        <is>
          <t>20260312802368</t>
        </is>
      </c>
      <c r="H2950" s="8">
        <f>HYPERLINK("https://dart.fss.or.kr/dsaf001/main.do?rcpNo=20260312802368", "공시열람")</f>
        <v/>
      </c>
    </row>
    <row r="2951">
      <c r="A2951" s="2" t="inlineStr">
        <is>
          <t>2026-03-12</t>
        </is>
      </c>
      <c r="B2951" s="3" t="inlineStr">
        <is>
          <t>골프존홀딩스</t>
        </is>
      </c>
      <c r="C2951" s="2" t="inlineStr">
        <is>
          <t>코스닥</t>
        </is>
      </c>
      <c r="D2951" s="2" t="inlineStr">
        <is>
          <t>121440</t>
        </is>
      </c>
      <c r="E2951" s="3" t="inlineStr">
        <is>
          <t>주주총회소집공고</t>
        </is>
      </c>
      <c r="F2951" s="3" t="inlineStr">
        <is>
          <t>골프존홀딩스</t>
        </is>
      </c>
      <c r="G2951" s="2" t="inlineStr">
        <is>
          <t>20260312001403</t>
        </is>
      </c>
      <c r="H2951" s="8">
        <f>HYPERLINK("https://dart.fss.or.kr/dsaf001/main.do?rcpNo=20260312001403", "공시열람")</f>
        <v/>
      </c>
    </row>
    <row r="2952">
      <c r="A2952" s="2" t="inlineStr">
        <is>
          <t>2026-03-12</t>
        </is>
      </c>
      <c r="B2952" s="3" t="inlineStr">
        <is>
          <t>우리엔터프라이즈</t>
        </is>
      </c>
      <c r="C2952" s="2" t="inlineStr">
        <is>
          <t>코스닥</t>
        </is>
      </c>
      <c r="D2952" s="2" t="inlineStr">
        <is>
          <t>037400</t>
        </is>
      </c>
      <c r="E2952" s="3" t="inlineStr">
        <is>
          <t>주주총회소집공고</t>
        </is>
      </c>
      <c r="F2952" s="3" t="inlineStr">
        <is>
          <t>우리엔터프라이즈</t>
        </is>
      </c>
      <c r="G2952" s="2" t="inlineStr">
        <is>
          <t>20260312001401</t>
        </is>
      </c>
      <c r="H2952" s="8">
        <f>HYPERLINK("https://dart.fss.or.kr/dsaf001/main.do?rcpNo=20260312001401", "공시열람")</f>
        <v/>
      </c>
    </row>
    <row r="2953">
      <c r="A2953" s="2" t="inlineStr">
        <is>
          <t>2026-03-12</t>
        </is>
      </c>
      <c r="B2953" s="3" t="inlineStr">
        <is>
          <t>에스프리즘</t>
        </is>
      </c>
      <c r="C2953" s="2" t="inlineStr">
        <is>
          <t>코스닥</t>
        </is>
      </c>
      <c r="D2953" s="2" t="inlineStr">
        <is>
          <t>288620</t>
        </is>
      </c>
      <c r="E2953" s="3" t="inlineStr">
        <is>
          <t>주주총회소집공고</t>
        </is>
      </c>
      <c r="F2953" s="3" t="inlineStr">
        <is>
          <t>에스프리즘</t>
        </is>
      </c>
      <c r="G2953" s="2" t="inlineStr">
        <is>
          <t>20260312001400</t>
        </is>
      </c>
      <c r="H2953" s="8">
        <f>HYPERLINK("https://dart.fss.or.kr/dsaf001/main.do?rcpNo=20260312001400", "공시열람")</f>
        <v/>
      </c>
    </row>
    <row r="2954">
      <c r="A2954" s="2" t="inlineStr">
        <is>
          <t>2026-03-12</t>
        </is>
      </c>
      <c r="B2954" s="3" t="inlineStr">
        <is>
          <t>바이오스마트</t>
        </is>
      </c>
      <c r="C2954" s="2" t="inlineStr">
        <is>
          <t>코스닥</t>
        </is>
      </c>
      <c r="D2954" s="2" t="inlineStr">
        <is>
          <t>038460</t>
        </is>
      </c>
      <c r="E2954" s="3" t="inlineStr">
        <is>
          <t>주주총회소집공고</t>
        </is>
      </c>
      <c r="F2954" s="3" t="inlineStr">
        <is>
          <t>바이오스마트</t>
        </is>
      </c>
      <c r="G2954" s="2" t="inlineStr">
        <is>
          <t>20260312001397</t>
        </is>
      </c>
      <c r="H2954" s="8">
        <f>HYPERLINK("https://dart.fss.or.kr/dsaf001/main.do?rcpNo=20260312001397", "공시열람")</f>
        <v/>
      </c>
    </row>
    <row r="2955">
      <c r="A2955" s="2" t="inlineStr">
        <is>
          <t>2026-03-12</t>
        </is>
      </c>
      <c r="B2955" s="3" t="inlineStr">
        <is>
          <t>골프존홀딩스</t>
        </is>
      </c>
      <c r="C2955" s="2" t="inlineStr">
        <is>
          <t>코스닥</t>
        </is>
      </c>
      <c r="D2955" s="2" t="inlineStr">
        <is>
          <t>121440</t>
        </is>
      </c>
      <c r="E2955" s="3" t="inlineStr">
        <is>
          <t xml:space="preserve">주주총회집중일개최사유신고              </t>
        </is>
      </c>
      <c r="F2955" s="3" t="inlineStr">
        <is>
          <t>골프존홀딩스</t>
        </is>
      </c>
      <c r="G2955" s="2" t="inlineStr">
        <is>
          <t>20260312902251</t>
        </is>
      </c>
      <c r="H2955" s="8">
        <f>HYPERLINK("https://dart.fss.or.kr/dsaf001/main.do?rcpNo=20260312902251", "공시열람")</f>
        <v/>
      </c>
    </row>
    <row r="2956">
      <c r="A2956" s="2" t="inlineStr">
        <is>
          <t>2026-03-12</t>
        </is>
      </c>
      <c r="B2956" s="3" t="inlineStr">
        <is>
          <t>동일기연</t>
        </is>
      </c>
      <c r="C2956" s="2" t="inlineStr">
        <is>
          <t>코스닥</t>
        </is>
      </c>
      <c r="D2956" s="2" t="inlineStr">
        <is>
          <t>032960</t>
        </is>
      </c>
      <c r="E2956" s="3" t="inlineStr">
        <is>
          <t>주주총회소집공고</t>
        </is>
      </c>
      <c r="F2956" s="3" t="inlineStr">
        <is>
          <t>동일기연</t>
        </is>
      </c>
      <c r="G2956" s="2" t="inlineStr">
        <is>
          <t>20260312001392</t>
        </is>
      </c>
      <c r="H2956" s="8">
        <f>HYPERLINK("https://dart.fss.or.kr/dsaf001/main.do?rcpNo=20260312001392", "공시열람")</f>
        <v/>
      </c>
    </row>
    <row r="2957">
      <c r="A2957" s="2" t="inlineStr">
        <is>
          <t>2026-03-12</t>
        </is>
      </c>
      <c r="B2957" s="3" t="inlineStr">
        <is>
          <t>한미사이언스</t>
        </is>
      </c>
      <c r="C2957" s="2" t="inlineStr">
        <is>
          <t>코스피</t>
        </is>
      </c>
      <c r="D2957" s="2" t="inlineStr">
        <is>
          <t>008930</t>
        </is>
      </c>
      <c r="E2957" s="3" t="inlineStr">
        <is>
          <t xml:space="preserve">주주총회소집결의              </t>
        </is>
      </c>
      <c r="F2957" s="3" t="inlineStr">
        <is>
          <t>한미사이언스</t>
        </is>
      </c>
      <c r="G2957" s="2" t="inlineStr">
        <is>
          <t>20260312802301</t>
        </is>
      </c>
      <c r="H2957" s="8">
        <f>HYPERLINK("https://dart.fss.or.kr/dsaf001/main.do?rcpNo=20260312802301", "공시열람")</f>
        <v/>
      </c>
    </row>
    <row r="2958">
      <c r="A2958" s="2" t="inlineStr">
        <is>
          <t>2026-03-12 (정정: 2026-03-23)</t>
        </is>
      </c>
      <c r="B2958" s="3" t="inlineStr">
        <is>
          <t>이지스</t>
        </is>
      </c>
      <c r="C2958" s="2" t="inlineStr">
        <is>
          <t>코스닥</t>
        </is>
      </c>
      <c r="D2958" s="2" t="inlineStr">
        <is>
          <t>261520</t>
        </is>
      </c>
      <c r="E2958" s="3" t="inlineStr">
        <is>
          <t>주주총회소집공고 (정정: 20260323)</t>
        </is>
      </c>
      <c r="F2958" s="3" t="inlineStr">
        <is>
          <t>이지스</t>
        </is>
      </c>
      <c r="G2958" s="2" t="inlineStr">
        <is>
          <t>20260323001244</t>
        </is>
      </c>
      <c r="H2958" s="8">
        <f>HYPERLINK("https://dart.fss.or.kr/dsaf001/main.do?rcpNo=20260323001244", "공시열람")</f>
        <v/>
      </c>
    </row>
    <row r="2959">
      <c r="A2959" s="2" t="inlineStr">
        <is>
          <t>2026-03-12 (정정: 2026-03-17)</t>
        </is>
      </c>
      <c r="B2959" s="3" t="inlineStr">
        <is>
          <t>에프엔씨엔터</t>
        </is>
      </c>
      <c r="C2959" s="2" t="inlineStr">
        <is>
          <t>코스닥</t>
        </is>
      </c>
      <c r="D2959" s="2" t="inlineStr">
        <is>
          <t>173940</t>
        </is>
      </c>
      <c r="E2959" s="3" t="inlineStr">
        <is>
          <t>주주총회집중일개최사유신고               (정정: 20260317)</t>
        </is>
      </c>
      <c r="F2959" s="3" t="inlineStr">
        <is>
          <t>에프엔씨엔터</t>
        </is>
      </c>
      <c r="G2959" s="2" t="inlineStr">
        <is>
          <t>20260316001615</t>
        </is>
      </c>
      <c r="H2959" s="8">
        <f>HYPERLINK("https://dart.fss.or.kr/dsaf001/main.do?rcpNo=20260316001615", "공시열람")</f>
        <v/>
      </c>
    </row>
    <row r="2960">
      <c r="A2960" s="2" t="inlineStr">
        <is>
          <t>2026-03-12 (정정: 2026-03-12)</t>
        </is>
      </c>
      <c r="B2960" s="3" t="inlineStr">
        <is>
          <t>인스웨이브</t>
        </is>
      </c>
      <c r="C2960" s="2" t="inlineStr">
        <is>
          <t>코스닥</t>
        </is>
      </c>
      <c r="D2960" s="2" t="inlineStr">
        <is>
          <t>450520</t>
        </is>
      </c>
      <c r="E2960" s="3" t="inlineStr">
        <is>
          <t>주주총회소집공고 (정정: 20260312)</t>
        </is>
      </c>
      <c r="F2960" s="3" t="inlineStr">
        <is>
          <t>인스웨이브</t>
        </is>
      </c>
      <c r="G2960" s="2" t="inlineStr">
        <is>
          <t>20260312900783</t>
        </is>
      </c>
      <c r="H2960" s="8">
        <f>HYPERLINK("https://dart.fss.or.kr/dsaf001/main.do?rcpNo=20260312900783", "공시열람")</f>
        <v/>
      </c>
    </row>
    <row r="2961">
      <c r="A2961" s="2" t="inlineStr">
        <is>
          <t>2026-03-12</t>
        </is>
      </c>
      <c r="B2961" s="3" t="inlineStr">
        <is>
          <t>노랑풍선</t>
        </is>
      </c>
      <c r="C2961" s="2" t="inlineStr">
        <is>
          <t>코스닥</t>
        </is>
      </c>
      <c r="D2961" s="2" t="inlineStr">
        <is>
          <t>104620</t>
        </is>
      </c>
      <c r="E2961" s="3" t="inlineStr">
        <is>
          <t>[기재정정]주주총회소집공고</t>
        </is>
      </c>
      <c r="F2961" s="3" t="inlineStr">
        <is>
          <t>노랑풍선</t>
        </is>
      </c>
      <c r="G2961" s="2" t="inlineStr">
        <is>
          <t>20260312001386</t>
        </is>
      </c>
      <c r="H2961" s="8">
        <f>HYPERLINK("https://dart.fss.or.kr/dsaf001/main.do?rcpNo=20260312001386", "공시열람")</f>
        <v/>
      </c>
    </row>
    <row r="2962">
      <c r="A2962" s="2" t="inlineStr">
        <is>
          <t>2026-03-12</t>
        </is>
      </c>
      <c r="B2962" s="3" t="inlineStr">
        <is>
          <t>신테카바이오</t>
        </is>
      </c>
      <c r="C2962" s="2" t="inlineStr">
        <is>
          <t>코스닥</t>
        </is>
      </c>
      <c r="D2962" s="2" t="inlineStr">
        <is>
          <t>226330</t>
        </is>
      </c>
      <c r="E2962" s="3" t="inlineStr">
        <is>
          <t xml:space="preserve">주주총회집중일개최사유신고              </t>
        </is>
      </c>
      <c r="F2962" s="3" t="inlineStr">
        <is>
          <t>신테카바이오</t>
        </is>
      </c>
      <c r="G2962" s="2" t="inlineStr">
        <is>
          <t>20260312902245</t>
        </is>
      </c>
      <c r="H2962" s="8">
        <f>HYPERLINK("https://dart.fss.or.kr/dsaf001/main.do?rcpNo=20260312902245", "공시열람")</f>
        <v/>
      </c>
    </row>
    <row r="2963">
      <c r="A2963" s="2" t="inlineStr">
        <is>
          <t>2026-03-12</t>
        </is>
      </c>
      <c r="B2963" s="3" t="inlineStr">
        <is>
          <t>골프존홀딩스</t>
        </is>
      </c>
      <c r="C2963" s="2" t="inlineStr">
        <is>
          <t>코스닥</t>
        </is>
      </c>
      <c r="D2963" s="2" t="inlineStr">
        <is>
          <t>121440</t>
        </is>
      </c>
      <c r="E2963" s="3" t="inlineStr">
        <is>
          <t xml:space="preserve">주주총회소집결의              </t>
        </is>
      </c>
      <c r="F2963" s="3" t="inlineStr">
        <is>
          <t>골프존홀딩스</t>
        </is>
      </c>
      <c r="G2963" s="2" t="inlineStr">
        <is>
          <t>20260312902147</t>
        </is>
      </c>
      <c r="H2963" s="8">
        <f>HYPERLINK("https://dart.fss.or.kr/dsaf001/main.do?rcpNo=20260312902147", "공시열람")</f>
        <v/>
      </c>
    </row>
    <row r="2964">
      <c r="A2964" s="2" t="inlineStr">
        <is>
          <t>2026-03-12 (정정: 2026-03-12)</t>
        </is>
      </c>
      <c r="B2964" s="3" t="inlineStr">
        <is>
          <t>에코글로우</t>
        </is>
      </c>
      <c r="C2964" s="2" t="inlineStr">
        <is>
          <t>코스닥</t>
        </is>
      </c>
      <c r="D2964" s="2" t="inlineStr">
        <is>
          <t>159910</t>
        </is>
      </c>
      <c r="E2964" s="3" t="inlineStr">
        <is>
          <t>주주총회소집공고 (정정: 20260312)</t>
        </is>
      </c>
      <c r="F2964" s="3" t="inlineStr">
        <is>
          <t>에코글로우</t>
        </is>
      </c>
      <c r="G2964" s="2" t="inlineStr">
        <is>
          <t>20260312902120</t>
        </is>
      </c>
      <c r="H2964" s="8">
        <f>HYPERLINK("https://dart.fss.or.kr/dsaf001/main.do?rcpNo=20260312902120", "공시열람")</f>
        <v/>
      </c>
    </row>
    <row r="2965">
      <c r="A2965" s="2" t="inlineStr">
        <is>
          <t>2026-03-12</t>
        </is>
      </c>
      <c r="B2965" s="3" t="inlineStr">
        <is>
          <t>비나텍</t>
        </is>
      </c>
      <c r="C2965" s="2" t="inlineStr">
        <is>
          <t>코스닥</t>
        </is>
      </c>
      <c r="D2965" s="2" t="inlineStr">
        <is>
          <t>126340</t>
        </is>
      </c>
      <c r="E2965" s="3" t="inlineStr">
        <is>
          <t>주주총회소집공고</t>
        </is>
      </c>
      <c r="F2965" s="3" t="inlineStr">
        <is>
          <t>비나텍</t>
        </is>
      </c>
      <c r="G2965" s="2" t="inlineStr">
        <is>
          <t>20260312001383</t>
        </is>
      </c>
      <c r="H2965" s="8">
        <f>HYPERLINK("https://dart.fss.or.kr/dsaf001/main.do?rcpNo=20260312001383", "공시열람")</f>
        <v/>
      </c>
    </row>
    <row r="2966">
      <c r="A2966" s="2" t="inlineStr">
        <is>
          <t>2026-03-12 (정정: 2026-03-12)</t>
        </is>
      </c>
      <c r="B2966" s="3" t="inlineStr">
        <is>
          <t>실리콘투</t>
        </is>
      </c>
      <c r="C2966" s="2" t="inlineStr">
        <is>
          <t>코스닥</t>
        </is>
      </c>
      <c r="D2966" s="2" t="inlineStr">
        <is>
          <t>257720</t>
        </is>
      </c>
      <c r="E2966" s="3" t="inlineStr">
        <is>
          <t>[기재정정]주주총회소집공고</t>
        </is>
      </c>
      <c r="F2966" s="3" t="inlineStr">
        <is>
          <t>실리콘투</t>
        </is>
      </c>
      <c r="G2966" s="2" t="inlineStr">
        <is>
          <t>20260312001381</t>
        </is>
      </c>
      <c r="H2966" s="8">
        <f>HYPERLINK("https://dart.fss.or.kr/dsaf001/main.do?rcpNo=20260312001381", "공시열람")</f>
        <v/>
      </c>
    </row>
    <row r="2967">
      <c r="A2967" s="2" t="inlineStr">
        <is>
          <t>2026-03-12</t>
        </is>
      </c>
      <c r="B2967" s="3" t="inlineStr">
        <is>
          <t>노바렉스</t>
        </is>
      </c>
      <c r="C2967" s="2" t="inlineStr">
        <is>
          <t>코스닥</t>
        </is>
      </c>
      <c r="D2967" s="2" t="inlineStr">
        <is>
          <t>194700</t>
        </is>
      </c>
      <c r="E2967" s="3" t="inlineStr">
        <is>
          <t>주주총회소집공고</t>
        </is>
      </c>
      <c r="F2967" s="3" t="inlineStr">
        <is>
          <t>노바렉스</t>
        </is>
      </c>
      <c r="G2967" s="2" t="inlineStr">
        <is>
          <t>20260312001380</t>
        </is>
      </c>
      <c r="H2967" s="8">
        <f>HYPERLINK("https://dart.fss.or.kr/dsaf001/main.do?rcpNo=20260312001380", "공시열람")</f>
        <v/>
      </c>
    </row>
    <row r="2968">
      <c r="A2968" s="2" t="inlineStr">
        <is>
          <t>2026-03-12</t>
        </is>
      </c>
      <c r="B2968" s="3" t="inlineStr">
        <is>
          <t>미디어젠</t>
        </is>
      </c>
      <c r="C2968" s="2" t="inlineStr">
        <is>
          <t>코스닥</t>
        </is>
      </c>
      <c r="D2968" s="2" t="inlineStr">
        <is>
          <t>279600</t>
        </is>
      </c>
      <c r="E2968" s="3" t="inlineStr">
        <is>
          <t xml:space="preserve">주주총회소집결의              </t>
        </is>
      </c>
      <c r="F2968" s="3" t="inlineStr">
        <is>
          <t>미디어젠</t>
        </is>
      </c>
      <c r="G2968" s="2" t="inlineStr">
        <is>
          <t>20260312902175</t>
        </is>
      </c>
      <c r="H2968" s="8">
        <f>HYPERLINK("https://dart.fss.or.kr/dsaf001/main.do?rcpNo=20260312902175", "공시열람")</f>
        <v/>
      </c>
    </row>
    <row r="2969">
      <c r="A2969" s="2" t="inlineStr">
        <is>
          <t>2026-03-12</t>
        </is>
      </c>
      <c r="B2969" s="3" t="inlineStr">
        <is>
          <t>티플랙스</t>
        </is>
      </c>
      <c r="C2969" s="2" t="inlineStr">
        <is>
          <t>코스닥</t>
        </is>
      </c>
      <c r="D2969" s="2" t="inlineStr">
        <is>
          <t>081150</t>
        </is>
      </c>
      <c r="E2969" s="3" t="inlineStr">
        <is>
          <t>주주총회소집공고</t>
        </is>
      </c>
      <c r="F2969" s="3" t="inlineStr">
        <is>
          <t>티플랙스</t>
        </is>
      </c>
      <c r="G2969" s="2" t="inlineStr">
        <is>
          <t>20260312001378</t>
        </is>
      </c>
      <c r="H2969" s="8">
        <f>HYPERLINK("https://dart.fss.or.kr/dsaf001/main.do?rcpNo=20260312001378", "공시열람")</f>
        <v/>
      </c>
    </row>
    <row r="2970">
      <c r="A2970" s="2" t="inlineStr">
        <is>
          <t>2026-03-12</t>
        </is>
      </c>
      <c r="B2970" s="3" t="inlineStr">
        <is>
          <t>대한제분</t>
        </is>
      </c>
      <c r="C2970" s="2" t="inlineStr">
        <is>
          <t>코스피</t>
        </is>
      </c>
      <c r="D2970" s="2" t="inlineStr">
        <is>
          <t>001130</t>
        </is>
      </c>
      <c r="E2970" s="3" t="inlineStr">
        <is>
          <t>주주총회소집공고</t>
        </is>
      </c>
      <c r="F2970" s="3" t="inlineStr">
        <is>
          <t>대한제분</t>
        </is>
      </c>
      <c r="G2970" s="2" t="inlineStr">
        <is>
          <t>20260312001377</t>
        </is>
      </c>
      <c r="H2970" s="8">
        <f>HYPERLINK("https://dart.fss.or.kr/dsaf001/main.do?rcpNo=20260312001377", "공시열람")</f>
        <v/>
      </c>
    </row>
    <row r="2971">
      <c r="A2971" s="2" t="inlineStr">
        <is>
          <t>2026-03-12</t>
        </is>
      </c>
      <c r="B2971" s="3" t="inlineStr">
        <is>
          <t>우리로</t>
        </is>
      </c>
      <c r="C2971" s="2" t="inlineStr">
        <is>
          <t>코스닥</t>
        </is>
      </c>
      <c r="D2971" s="2" t="inlineStr">
        <is>
          <t>046970</t>
        </is>
      </c>
      <c r="E2971" s="3" t="inlineStr">
        <is>
          <t>주주총회소집공고</t>
        </is>
      </c>
      <c r="F2971" s="3" t="inlineStr">
        <is>
          <t>우리로</t>
        </is>
      </c>
      <c r="G2971" s="2" t="inlineStr">
        <is>
          <t>20260312001375</t>
        </is>
      </c>
      <c r="H2971" s="8">
        <f>HYPERLINK("https://dart.fss.or.kr/dsaf001/main.do?rcpNo=20260312001375", "공시열람")</f>
        <v/>
      </c>
    </row>
    <row r="2972">
      <c r="A2972" s="2" t="inlineStr">
        <is>
          <t>2026-03-12</t>
        </is>
      </c>
      <c r="B2972" s="3" t="inlineStr">
        <is>
          <t>나이벡</t>
        </is>
      </c>
      <c r="C2972" s="2" t="inlineStr">
        <is>
          <t>코스닥</t>
        </is>
      </c>
      <c r="D2972" s="2" t="inlineStr">
        <is>
          <t>138610</t>
        </is>
      </c>
      <c r="E2972" s="3" t="inlineStr">
        <is>
          <t xml:space="preserve">주주총회집중일개최사유신고              </t>
        </is>
      </c>
      <c r="F2972" s="3" t="inlineStr">
        <is>
          <t>나이벡</t>
        </is>
      </c>
      <c r="G2972" s="2" t="inlineStr">
        <is>
          <t>20260312902212</t>
        </is>
      </c>
      <c r="H2972" s="8">
        <f>HYPERLINK("https://dart.fss.or.kr/dsaf001/main.do?rcpNo=20260312902212", "공시열람")</f>
        <v/>
      </c>
    </row>
    <row r="2973">
      <c r="A2973" s="2" t="inlineStr">
        <is>
          <t>2026-03-12</t>
        </is>
      </c>
      <c r="B2973" s="3" t="inlineStr">
        <is>
          <t>삼진</t>
        </is>
      </c>
      <c r="C2973" s="2" t="inlineStr">
        <is>
          <t>코스닥</t>
        </is>
      </c>
      <c r="D2973" s="2" t="inlineStr">
        <is>
          <t>032750</t>
        </is>
      </c>
      <c r="E2973" s="3" t="inlineStr">
        <is>
          <t xml:space="preserve">주주총회집중일개최사유신고              </t>
        </is>
      </c>
      <c r="F2973" s="3" t="inlineStr">
        <is>
          <t>삼진</t>
        </is>
      </c>
      <c r="G2973" s="2" t="inlineStr">
        <is>
          <t>20260312901689</t>
        </is>
      </c>
      <c r="H2973" s="8">
        <f>HYPERLINK("https://dart.fss.or.kr/dsaf001/main.do?rcpNo=20260312901689", "공시열람")</f>
        <v/>
      </c>
    </row>
    <row r="2974">
      <c r="A2974" s="2" t="inlineStr">
        <is>
          <t>2026-03-12</t>
        </is>
      </c>
      <c r="B2974" s="3" t="inlineStr">
        <is>
          <t>나이벡</t>
        </is>
      </c>
      <c r="C2974" s="2" t="inlineStr">
        <is>
          <t>코스닥</t>
        </is>
      </c>
      <c r="D2974" s="2" t="inlineStr">
        <is>
          <t>138610</t>
        </is>
      </c>
      <c r="E2974" s="3" t="inlineStr">
        <is>
          <t xml:space="preserve">주주총회소집결의              </t>
        </is>
      </c>
      <c r="F2974" s="3" t="inlineStr">
        <is>
          <t>나이벡</t>
        </is>
      </c>
      <c r="G2974" s="2" t="inlineStr">
        <is>
          <t>20260312902208</t>
        </is>
      </c>
      <c r="H2974" s="8">
        <f>HYPERLINK("https://dart.fss.or.kr/dsaf001/main.do?rcpNo=20260312902208", "공시열람")</f>
        <v/>
      </c>
    </row>
    <row r="2975">
      <c r="A2975" s="2" t="inlineStr">
        <is>
          <t>2026-03-12</t>
        </is>
      </c>
      <c r="B2975" s="3" t="inlineStr">
        <is>
          <t>티플랙스</t>
        </is>
      </c>
      <c r="C2975" s="2" t="inlineStr">
        <is>
          <t>코스닥</t>
        </is>
      </c>
      <c r="D2975" s="2" t="inlineStr">
        <is>
          <t>081150</t>
        </is>
      </c>
      <c r="E2975" s="3" t="inlineStr">
        <is>
          <t xml:space="preserve">주주총회소집결의              </t>
        </is>
      </c>
      <c r="F2975" s="3" t="inlineStr">
        <is>
          <t>티플랙스</t>
        </is>
      </c>
      <c r="G2975" s="2" t="inlineStr">
        <is>
          <t>20260312902156</t>
        </is>
      </c>
      <c r="H2975" s="8">
        <f>HYPERLINK("https://dart.fss.or.kr/dsaf001/main.do?rcpNo=20260312902156", "공시열람")</f>
        <v/>
      </c>
    </row>
    <row r="2976">
      <c r="A2976" s="2" t="inlineStr">
        <is>
          <t>2026-03-12 (정정: 2026-05-20)</t>
        </is>
      </c>
      <c r="B2976" s="3" t="inlineStr">
        <is>
          <t>대한제분</t>
        </is>
      </c>
      <c r="C2976" s="2" t="inlineStr">
        <is>
          <t>코스피</t>
        </is>
      </c>
      <c r="D2976" s="2" t="inlineStr">
        <is>
          <t>001130</t>
        </is>
      </c>
      <c r="E2976" s="3" t="inlineStr">
        <is>
          <t>주주총회집중일개최사유신고               (정정: 20260520)</t>
        </is>
      </c>
      <c r="F2976" s="3" t="inlineStr">
        <is>
          <t>대한제분</t>
        </is>
      </c>
      <c r="G2976" s="2" t="inlineStr">
        <is>
          <t>20260520800614</t>
        </is>
      </c>
      <c r="H2976" s="8">
        <f>HYPERLINK("https://dart.fss.or.kr/dsaf001/main.do?rcpNo=20260520800614", "공시열람")</f>
        <v/>
      </c>
    </row>
    <row r="2977">
      <c r="A2977" s="2" t="inlineStr">
        <is>
          <t>2026-03-12</t>
        </is>
      </c>
      <c r="B2977" s="3" t="inlineStr">
        <is>
          <t>우리엔터프라이즈</t>
        </is>
      </c>
      <c r="C2977" s="2" t="inlineStr">
        <is>
          <t>코스닥</t>
        </is>
      </c>
      <c r="D2977" s="2" t="inlineStr">
        <is>
          <t>037400</t>
        </is>
      </c>
      <c r="E2977" s="3" t="inlineStr">
        <is>
          <t xml:space="preserve">주주총회소집결의              </t>
        </is>
      </c>
      <c r="F2977" s="3" t="inlineStr">
        <is>
          <t>우리엔터프라이즈</t>
        </is>
      </c>
      <c r="G2977" s="2" t="inlineStr">
        <is>
          <t>20260312901995</t>
        </is>
      </c>
      <c r="H2977" s="8">
        <f>HYPERLINK("https://dart.fss.or.kr/dsaf001/main.do?rcpNo=20260312901995", "공시열람")</f>
        <v/>
      </c>
    </row>
    <row r="2978">
      <c r="A2978" s="2" t="inlineStr">
        <is>
          <t>2026-03-12</t>
        </is>
      </c>
      <c r="B2978" s="3" t="inlineStr">
        <is>
          <t>에이텍</t>
        </is>
      </c>
      <c r="C2978" s="2" t="inlineStr">
        <is>
          <t>코스닥</t>
        </is>
      </c>
      <c r="D2978" s="2" t="inlineStr">
        <is>
          <t>045660</t>
        </is>
      </c>
      <c r="E2978" s="3" t="inlineStr">
        <is>
          <t>주주총회소집공고</t>
        </is>
      </c>
      <c r="F2978" s="3" t="inlineStr">
        <is>
          <t>에이텍</t>
        </is>
      </c>
      <c r="G2978" s="2" t="inlineStr">
        <is>
          <t>20260312001364</t>
        </is>
      </c>
      <c r="H2978" s="8">
        <f>HYPERLINK("https://dart.fss.or.kr/dsaf001/main.do?rcpNo=20260312001364", "공시열람")</f>
        <v/>
      </c>
    </row>
    <row r="2979">
      <c r="A2979" s="2" t="inlineStr">
        <is>
          <t>2026-03-12</t>
        </is>
      </c>
      <c r="B2979" s="3" t="inlineStr">
        <is>
          <t>바이오스마트</t>
        </is>
      </c>
      <c r="C2979" s="2" t="inlineStr">
        <is>
          <t>코스닥</t>
        </is>
      </c>
      <c r="D2979" s="2" t="inlineStr">
        <is>
          <t>038460</t>
        </is>
      </c>
      <c r="E2979" s="3" t="inlineStr">
        <is>
          <t xml:space="preserve">주주총회소집결의              </t>
        </is>
      </c>
      <c r="F2979" s="3" t="inlineStr">
        <is>
          <t>바이오스마트</t>
        </is>
      </c>
      <c r="G2979" s="2" t="inlineStr">
        <is>
          <t>20260312902216</t>
        </is>
      </c>
      <c r="H2979" s="8">
        <f>HYPERLINK("https://dart.fss.or.kr/dsaf001/main.do?rcpNo=20260312902216", "공시열람")</f>
        <v/>
      </c>
    </row>
    <row r="2980">
      <c r="A2980" s="2" t="inlineStr">
        <is>
          <t>2026-03-12</t>
        </is>
      </c>
      <c r="B2980" s="3" t="inlineStr">
        <is>
          <t>삼진</t>
        </is>
      </c>
      <c r="C2980" s="2" t="inlineStr">
        <is>
          <t>코스닥</t>
        </is>
      </c>
      <c r="D2980" s="2" t="inlineStr">
        <is>
          <t>032750</t>
        </is>
      </c>
      <c r="E2980" s="3" t="inlineStr">
        <is>
          <t xml:space="preserve">주주총회소집결의              </t>
        </is>
      </c>
      <c r="F2980" s="3" t="inlineStr">
        <is>
          <t>삼진</t>
        </is>
      </c>
      <c r="G2980" s="2" t="inlineStr">
        <is>
          <t>20260312901994</t>
        </is>
      </c>
      <c r="H2980" s="8">
        <f>HYPERLINK("https://dart.fss.or.kr/dsaf001/main.do?rcpNo=20260312901994", "공시열람")</f>
        <v/>
      </c>
    </row>
    <row r="2981">
      <c r="A2981" s="2" t="inlineStr">
        <is>
          <t>2026-03-12</t>
        </is>
      </c>
      <c r="B2981" s="3" t="inlineStr">
        <is>
          <t>유진기업</t>
        </is>
      </c>
      <c r="C2981" s="2" t="inlineStr">
        <is>
          <t>코스닥</t>
        </is>
      </c>
      <c r="D2981" s="2" t="inlineStr">
        <is>
          <t>023410</t>
        </is>
      </c>
      <c r="E2981" s="3" t="inlineStr">
        <is>
          <t>주주총회소집공고</t>
        </is>
      </c>
      <c r="F2981" s="3" t="inlineStr">
        <is>
          <t>유진기업</t>
        </is>
      </c>
      <c r="G2981" s="2" t="inlineStr">
        <is>
          <t>20260312001356</t>
        </is>
      </c>
      <c r="H2981" s="8">
        <f>HYPERLINK("https://dart.fss.or.kr/dsaf001/main.do?rcpNo=20260312001356", "공시열람")</f>
        <v/>
      </c>
    </row>
    <row r="2982">
      <c r="A2982" s="2" t="inlineStr">
        <is>
          <t>2026-03-12</t>
        </is>
      </c>
      <c r="B2982" s="3" t="inlineStr">
        <is>
          <t>SK시그넷</t>
        </is>
      </c>
      <c r="C2982" s="2" t="inlineStr">
        <is>
          <t>코넥스</t>
        </is>
      </c>
      <c r="D2982" s="2" t="inlineStr">
        <is>
          <t>260870</t>
        </is>
      </c>
      <c r="E2982" s="3" t="inlineStr">
        <is>
          <t xml:space="preserve">주주총회집중일개최사유신고              </t>
        </is>
      </c>
      <c r="F2982" s="3" t="inlineStr">
        <is>
          <t>SK시그넷</t>
        </is>
      </c>
      <c r="G2982" s="2" t="inlineStr">
        <is>
          <t>20260312602258</t>
        </is>
      </c>
      <c r="H2982" s="8">
        <f>HYPERLINK("https://dart.fss.or.kr/dsaf001/main.do?rcpNo=20260312602258", "공시열람")</f>
        <v/>
      </c>
    </row>
    <row r="2983">
      <c r="A2983" s="2" t="inlineStr">
        <is>
          <t>2026-03-12</t>
        </is>
      </c>
      <c r="B2983" s="3" t="inlineStr">
        <is>
          <t>SK시그넷</t>
        </is>
      </c>
      <c r="C2983" s="2" t="inlineStr">
        <is>
          <t>코넥스</t>
        </is>
      </c>
      <c r="D2983" s="2" t="inlineStr">
        <is>
          <t>260870</t>
        </is>
      </c>
      <c r="E2983" s="3" t="inlineStr">
        <is>
          <t xml:space="preserve">주주총회소집결의              </t>
        </is>
      </c>
      <c r="F2983" s="3" t="inlineStr">
        <is>
          <t>SK시그넷</t>
        </is>
      </c>
      <c r="G2983" s="2" t="inlineStr">
        <is>
          <t>20260312602228</t>
        </is>
      </c>
      <c r="H2983" s="8">
        <f>HYPERLINK("https://dart.fss.or.kr/dsaf001/main.do?rcpNo=20260312602228", "공시열람")</f>
        <v/>
      </c>
    </row>
    <row r="2984">
      <c r="A2984" s="2" t="inlineStr">
        <is>
          <t>2026-03-12 (정정: 2026-03-12)</t>
        </is>
      </c>
      <c r="B2984" s="3" t="inlineStr">
        <is>
          <t>오브젠</t>
        </is>
      </c>
      <c r="C2984" s="2" t="inlineStr">
        <is>
          <t>코스닥</t>
        </is>
      </c>
      <c r="D2984" s="2" t="inlineStr">
        <is>
          <t>417860</t>
        </is>
      </c>
      <c r="E2984" s="3" t="inlineStr">
        <is>
          <t xml:space="preserve">[기재정정]주주총회소집결의              </t>
        </is>
      </c>
      <c r="F2984" s="3" t="inlineStr">
        <is>
          <t>오브젠</t>
        </is>
      </c>
      <c r="G2984" s="2" t="inlineStr">
        <is>
          <t>20260312902269</t>
        </is>
      </c>
      <c r="H2984" s="8">
        <f>HYPERLINK("https://dart.fss.or.kr/dsaf001/main.do?rcpNo=20260312902269", "공시열람")</f>
        <v/>
      </c>
    </row>
    <row r="2985">
      <c r="A2985" s="2" t="inlineStr">
        <is>
          <t>2026-03-12</t>
        </is>
      </c>
      <c r="B2985" s="3" t="inlineStr">
        <is>
          <t>한샘</t>
        </is>
      </c>
      <c r="C2985" s="2" t="inlineStr">
        <is>
          <t>코스피</t>
        </is>
      </c>
      <c r="D2985" s="2" t="inlineStr">
        <is>
          <t>009240</t>
        </is>
      </c>
      <c r="E2985" s="3" t="inlineStr">
        <is>
          <t xml:space="preserve">주주총회집중일개최사유신고              </t>
        </is>
      </c>
      <c r="F2985" s="3" t="inlineStr">
        <is>
          <t>한샘</t>
        </is>
      </c>
      <c r="G2985" s="2" t="inlineStr">
        <is>
          <t>20260312802253</t>
        </is>
      </c>
      <c r="H2985" s="8">
        <f>HYPERLINK("https://dart.fss.or.kr/dsaf001/main.do?rcpNo=20260312802253", "공시열람")</f>
        <v/>
      </c>
    </row>
    <row r="2986">
      <c r="A2986" s="2" t="inlineStr">
        <is>
          <t>2026-03-12</t>
        </is>
      </c>
      <c r="B2986" s="3" t="inlineStr">
        <is>
          <t>서울제약</t>
        </is>
      </c>
      <c r="C2986" s="2" t="inlineStr">
        <is>
          <t>코스닥</t>
        </is>
      </c>
      <c r="D2986" s="2" t="inlineStr">
        <is>
          <t>018680</t>
        </is>
      </c>
      <c r="E2986" s="3" t="inlineStr">
        <is>
          <t xml:space="preserve">주주총회집중일개최사유신고              </t>
        </is>
      </c>
      <c r="F2986" s="3" t="inlineStr">
        <is>
          <t>서울제약</t>
        </is>
      </c>
      <c r="G2986" s="2" t="inlineStr">
        <is>
          <t>20260312901678</t>
        </is>
      </c>
      <c r="H2986" s="8">
        <f>HYPERLINK("https://dart.fss.or.kr/dsaf001/main.do?rcpNo=20260312901678", "공시열람")</f>
        <v/>
      </c>
    </row>
    <row r="2987">
      <c r="A2987" s="2" t="inlineStr">
        <is>
          <t>2026-03-12</t>
        </is>
      </c>
      <c r="B2987" s="3" t="inlineStr">
        <is>
          <t>비투엔</t>
        </is>
      </c>
      <c r="C2987" s="2" t="inlineStr">
        <is>
          <t>코스닥</t>
        </is>
      </c>
      <c r="D2987" s="2" t="inlineStr">
        <is>
          <t>307870</t>
        </is>
      </c>
      <c r="E2987" s="3" t="inlineStr">
        <is>
          <t xml:space="preserve">주주총회집중일개최사유신고              </t>
        </is>
      </c>
      <c r="F2987" s="3" t="inlineStr">
        <is>
          <t>비투엔</t>
        </is>
      </c>
      <c r="G2987" s="2" t="inlineStr">
        <is>
          <t>20260312902044</t>
        </is>
      </c>
      <c r="H2987" s="8">
        <f>HYPERLINK("https://dart.fss.or.kr/dsaf001/main.do?rcpNo=20260312902044", "공시열람")</f>
        <v/>
      </c>
    </row>
    <row r="2988">
      <c r="A2988" s="2" t="inlineStr">
        <is>
          <t>2026-03-12</t>
        </is>
      </c>
      <c r="B2988" s="3" t="inlineStr">
        <is>
          <t>오름테라퓨틱</t>
        </is>
      </c>
      <c r="C2988" s="2" t="inlineStr">
        <is>
          <t>코스닥</t>
        </is>
      </c>
      <c r="D2988" s="2" t="inlineStr">
        <is>
          <t>475830</t>
        </is>
      </c>
      <c r="E2988" s="3" t="inlineStr">
        <is>
          <t>주주총회소집공고</t>
        </is>
      </c>
      <c r="F2988" s="3" t="inlineStr">
        <is>
          <t>오름테라퓨틱</t>
        </is>
      </c>
      <c r="G2988" s="2" t="inlineStr">
        <is>
          <t>20260312001354</t>
        </is>
      </c>
      <c r="H2988" s="8">
        <f>HYPERLINK("https://dart.fss.or.kr/dsaf001/main.do?rcpNo=20260312001354", "공시열람")</f>
        <v/>
      </c>
    </row>
    <row r="2989">
      <c r="A2989" s="2" t="inlineStr">
        <is>
          <t>2026-03-12</t>
        </is>
      </c>
      <c r="B2989" s="3" t="inlineStr">
        <is>
          <t>신테카바이오</t>
        </is>
      </c>
      <c r="C2989" s="2" t="inlineStr">
        <is>
          <t>코스닥</t>
        </is>
      </c>
      <c r="D2989" s="2" t="inlineStr">
        <is>
          <t>226330</t>
        </is>
      </c>
      <c r="E2989" s="3" t="inlineStr">
        <is>
          <t>주주총회소집공고</t>
        </is>
      </c>
      <c r="F2989" s="3" t="inlineStr">
        <is>
          <t>신테카바이오</t>
        </is>
      </c>
      <c r="G2989" s="2" t="inlineStr">
        <is>
          <t>20260312001353</t>
        </is>
      </c>
      <c r="H2989" s="8">
        <f>HYPERLINK("https://dart.fss.or.kr/dsaf001/main.do?rcpNo=20260312001353", "공시열람")</f>
        <v/>
      </c>
    </row>
    <row r="2990">
      <c r="A2990" s="2" t="inlineStr">
        <is>
          <t>2026-03-12</t>
        </is>
      </c>
      <c r="B2990" s="3" t="inlineStr">
        <is>
          <t>SK시그넷</t>
        </is>
      </c>
      <c r="C2990" s="2" t="inlineStr">
        <is>
          <t>코넥스</t>
        </is>
      </c>
      <c r="D2990" s="2" t="inlineStr">
        <is>
          <t>260870</t>
        </is>
      </c>
      <c r="E2990" s="3" t="inlineStr">
        <is>
          <t>주주총회소집공고</t>
        </is>
      </c>
      <c r="F2990" s="3" t="inlineStr">
        <is>
          <t>SK시그넷</t>
        </is>
      </c>
      <c r="G2990" s="2" t="inlineStr">
        <is>
          <t>20260312001351</t>
        </is>
      </c>
      <c r="H2990" s="8">
        <f>HYPERLINK("https://dart.fss.or.kr/dsaf001/main.do?rcpNo=20260312001351", "공시열람")</f>
        <v/>
      </c>
    </row>
    <row r="2991">
      <c r="A2991" s="2" t="inlineStr">
        <is>
          <t>2026-03-12</t>
        </is>
      </c>
      <c r="B2991" s="3" t="inlineStr">
        <is>
          <t>유진기업</t>
        </is>
      </c>
      <c r="C2991" s="2" t="inlineStr">
        <is>
          <t>코스닥</t>
        </is>
      </c>
      <c r="D2991" s="2" t="inlineStr">
        <is>
          <t>023410</t>
        </is>
      </c>
      <c r="E2991" s="3" t="inlineStr">
        <is>
          <t xml:space="preserve">주주총회집중일개최사유신고              </t>
        </is>
      </c>
      <c r="F2991" s="3" t="inlineStr">
        <is>
          <t>유진기업</t>
        </is>
      </c>
      <c r="G2991" s="2" t="inlineStr">
        <is>
          <t>20260312902041</t>
        </is>
      </c>
      <c r="H2991" s="8">
        <f>HYPERLINK("https://dart.fss.or.kr/dsaf001/main.do?rcpNo=20260312902041", "공시열람")</f>
        <v/>
      </c>
    </row>
    <row r="2992">
      <c r="A2992" s="2" t="inlineStr">
        <is>
          <t>2026-03-12</t>
        </is>
      </c>
      <c r="B2992" s="3" t="inlineStr">
        <is>
          <t>올리패스</t>
        </is>
      </c>
      <c r="C2992" s="2" t="inlineStr">
        <is>
          <t>코스닥</t>
        </is>
      </c>
      <c r="D2992" s="2" t="inlineStr">
        <is>
          <t>244460</t>
        </is>
      </c>
      <c r="E2992" s="3" t="inlineStr">
        <is>
          <t xml:space="preserve">주주총회집중일개최사유신고              </t>
        </is>
      </c>
      <c r="F2992" s="3" t="inlineStr">
        <is>
          <t>올리패스</t>
        </is>
      </c>
      <c r="G2992" s="2" t="inlineStr">
        <is>
          <t>20260312902022</t>
        </is>
      </c>
      <c r="H2992" s="8">
        <f>HYPERLINK("https://dart.fss.or.kr/dsaf001/main.do?rcpNo=20260312902022", "공시열람")</f>
        <v/>
      </c>
    </row>
    <row r="2993">
      <c r="A2993" s="2" t="inlineStr">
        <is>
          <t>2026-03-12</t>
        </is>
      </c>
      <c r="B2993" s="3" t="inlineStr">
        <is>
          <t>유진기업</t>
        </is>
      </c>
      <c r="C2993" s="2" t="inlineStr">
        <is>
          <t>코스닥</t>
        </is>
      </c>
      <c r="D2993" s="2" t="inlineStr">
        <is>
          <t>023410</t>
        </is>
      </c>
      <c r="E2993" s="3" t="inlineStr">
        <is>
          <t xml:space="preserve">주주총회소집결의              </t>
        </is>
      </c>
      <c r="F2993" s="3" t="inlineStr">
        <is>
          <t>유진기업</t>
        </is>
      </c>
      <c r="G2993" s="2" t="inlineStr">
        <is>
          <t>20260312902025</t>
        </is>
      </c>
      <c r="H2993" s="8">
        <f>HYPERLINK("https://dart.fss.or.kr/dsaf001/main.do?rcpNo=20260312902025", "공시열람")</f>
        <v/>
      </c>
    </row>
    <row r="2994">
      <c r="A2994" s="2" t="inlineStr">
        <is>
          <t>2026-03-12</t>
        </is>
      </c>
      <c r="B2994" s="3" t="inlineStr">
        <is>
          <t>인터플렉스</t>
        </is>
      </c>
      <c r="C2994" s="2" t="inlineStr">
        <is>
          <t>코스닥</t>
        </is>
      </c>
      <c r="D2994" s="2" t="inlineStr">
        <is>
          <t>051370</t>
        </is>
      </c>
      <c r="E2994" s="3" t="inlineStr">
        <is>
          <t>주주총회소집공고</t>
        </is>
      </c>
      <c r="F2994" s="3" t="inlineStr">
        <is>
          <t>인터플렉스</t>
        </is>
      </c>
      <c r="G2994" s="2" t="inlineStr">
        <is>
          <t>20260312001342</t>
        </is>
      </c>
      <c r="H2994" s="8">
        <f>HYPERLINK("https://dart.fss.or.kr/dsaf001/main.do?rcpNo=20260312001342", "공시열람")</f>
        <v/>
      </c>
    </row>
    <row r="2995">
      <c r="A2995" s="2" t="inlineStr">
        <is>
          <t>2026-03-12 (정정: 2026-03-19)</t>
        </is>
      </c>
      <c r="B2995" s="3" t="inlineStr">
        <is>
          <t>이수스페셜티케미컬</t>
        </is>
      </c>
      <c r="C2995" s="2" t="inlineStr">
        <is>
          <t>코스피</t>
        </is>
      </c>
      <c r="D2995" s="2" t="inlineStr">
        <is>
          <t>457190</t>
        </is>
      </c>
      <c r="E2995" s="3" t="inlineStr">
        <is>
          <t>주주총회집중일개최사유신고               (정정: 20260319)</t>
        </is>
      </c>
      <c r="F2995" s="3" t="inlineStr">
        <is>
          <t>이수스페셜티케미컬</t>
        </is>
      </c>
      <c r="G2995" s="2" t="inlineStr">
        <is>
          <t>20260319001112</t>
        </is>
      </c>
      <c r="H2995" s="8">
        <f>HYPERLINK("https://dart.fss.or.kr/dsaf001/main.do?rcpNo=20260319001112", "공시열람")</f>
        <v/>
      </c>
    </row>
    <row r="2996">
      <c r="A2996" s="2" t="inlineStr">
        <is>
          <t>2026-03-12</t>
        </is>
      </c>
      <c r="B2996" s="3" t="inlineStr">
        <is>
          <t>메가스터디</t>
        </is>
      </c>
      <c r="C2996" s="2" t="inlineStr">
        <is>
          <t>코스닥</t>
        </is>
      </c>
      <c r="D2996" s="2" t="inlineStr">
        <is>
          <t>072870</t>
        </is>
      </c>
      <c r="E2996" s="3" t="inlineStr">
        <is>
          <t>주주총회소집공고</t>
        </is>
      </c>
      <c r="F2996" s="3" t="inlineStr">
        <is>
          <t>메가스터디</t>
        </is>
      </c>
      <c r="G2996" s="2" t="inlineStr">
        <is>
          <t>20260312001341</t>
        </is>
      </c>
      <c r="H2996" s="8">
        <f>HYPERLINK("https://dart.fss.or.kr/dsaf001/main.do?rcpNo=20260312001341", "공시열람")</f>
        <v/>
      </c>
    </row>
    <row r="2997">
      <c r="A2997" s="2" t="inlineStr">
        <is>
          <t>2026-03-12</t>
        </is>
      </c>
      <c r="B2997" s="3" t="inlineStr">
        <is>
          <t>나이벡</t>
        </is>
      </c>
      <c r="C2997" s="2" t="inlineStr">
        <is>
          <t>코스닥</t>
        </is>
      </c>
      <c r="D2997" s="2" t="inlineStr">
        <is>
          <t>138610</t>
        </is>
      </c>
      <c r="E2997" s="3" t="inlineStr">
        <is>
          <t>주주총회소집공고</t>
        </is>
      </c>
      <c r="F2997" s="3" t="inlineStr">
        <is>
          <t>나이벡</t>
        </is>
      </c>
      <c r="G2997" s="2" t="inlineStr">
        <is>
          <t>20260312001336</t>
        </is>
      </c>
      <c r="H2997" s="8">
        <f>HYPERLINK("https://dart.fss.or.kr/dsaf001/main.do?rcpNo=20260312001336", "공시열람")</f>
        <v/>
      </c>
    </row>
    <row r="2998">
      <c r="A2998" s="2" t="inlineStr">
        <is>
          <t>2026-03-12</t>
        </is>
      </c>
      <c r="B2998" s="3" t="inlineStr">
        <is>
          <t>신테카바이오</t>
        </is>
      </c>
      <c r="C2998" s="2" t="inlineStr">
        <is>
          <t>코스닥</t>
        </is>
      </c>
      <c r="D2998" s="2" t="inlineStr">
        <is>
          <t>226330</t>
        </is>
      </c>
      <c r="E2998" s="3" t="inlineStr">
        <is>
          <t xml:space="preserve">주주총회소집결의              </t>
        </is>
      </c>
      <c r="F2998" s="3" t="inlineStr">
        <is>
          <t>신테카바이오</t>
        </is>
      </c>
      <c r="G2998" s="2" t="inlineStr">
        <is>
          <t>20260312902169</t>
        </is>
      </c>
      <c r="H2998" s="8">
        <f>HYPERLINK("https://dart.fss.or.kr/dsaf001/main.do?rcpNo=20260312902169", "공시열람")</f>
        <v/>
      </c>
    </row>
    <row r="2999">
      <c r="A2999" s="2" t="inlineStr">
        <is>
          <t>2026-03-12</t>
        </is>
      </c>
      <c r="B2999" s="3" t="inlineStr">
        <is>
          <t>에이블씨엔씨</t>
        </is>
      </c>
      <c r="C2999" s="2" t="inlineStr">
        <is>
          <t>코스피</t>
        </is>
      </c>
      <c r="D2999" s="2" t="inlineStr">
        <is>
          <t>078520</t>
        </is>
      </c>
      <c r="E2999" s="3" t="inlineStr">
        <is>
          <t>주주총회소집공고</t>
        </is>
      </c>
      <c r="F2999" s="3" t="inlineStr">
        <is>
          <t>에이블씨엔씨</t>
        </is>
      </c>
      <c r="G2999" s="2" t="inlineStr">
        <is>
          <t>20260312001335</t>
        </is>
      </c>
      <c r="H2999" s="8">
        <f>HYPERLINK("https://dart.fss.or.kr/dsaf001/main.do?rcpNo=20260312001335", "공시열람")</f>
        <v/>
      </c>
    </row>
    <row r="3000">
      <c r="A3000" s="2" t="inlineStr">
        <is>
          <t>2026-03-12</t>
        </is>
      </c>
      <c r="B3000" s="3" t="inlineStr">
        <is>
          <t>윈팩</t>
        </is>
      </c>
      <c r="C3000" s="2" t="inlineStr">
        <is>
          <t>코스닥</t>
        </is>
      </c>
      <c r="D3000" s="2" t="inlineStr">
        <is>
          <t>097800</t>
        </is>
      </c>
      <c r="E3000" s="3" t="inlineStr">
        <is>
          <t xml:space="preserve">주주총회집중일개최사유신고              </t>
        </is>
      </c>
      <c r="F3000" s="3" t="inlineStr">
        <is>
          <t>윈팩</t>
        </is>
      </c>
      <c r="G3000" s="2" t="inlineStr">
        <is>
          <t>20260312902145</t>
        </is>
      </c>
      <c r="H3000" s="8">
        <f>HYPERLINK("https://dart.fss.or.kr/dsaf001/main.do?rcpNo=20260312902145", "공시열람")</f>
        <v/>
      </c>
    </row>
    <row r="3001">
      <c r="A3001" s="2" t="inlineStr">
        <is>
          <t>2026-03-12</t>
        </is>
      </c>
      <c r="B3001" s="3" t="inlineStr">
        <is>
          <t>엘티씨</t>
        </is>
      </c>
      <c r="C3001" s="2" t="inlineStr">
        <is>
          <t>코스닥</t>
        </is>
      </c>
      <c r="D3001" s="2" t="inlineStr">
        <is>
          <t>170920</t>
        </is>
      </c>
      <c r="E3001" s="3" t="inlineStr">
        <is>
          <t>주주총회소집공고</t>
        </is>
      </c>
      <c r="F3001" s="3" t="inlineStr">
        <is>
          <t>엘티씨</t>
        </is>
      </c>
      <c r="G3001" s="2" t="inlineStr">
        <is>
          <t>20260312001331</t>
        </is>
      </c>
      <c r="H3001" s="8">
        <f>HYPERLINK("https://dart.fss.or.kr/dsaf001/main.do?rcpNo=20260312001331", "공시열람")</f>
        <v/>
      </c>
    </row>
    <row r="3002">
      <c r="A3002" s="2" t="inlineStr">
        <is>
          <t>2026-03-12 (정정: 2026-03-12)</t>
        </is>
      </c>
      <c r="B3002" s="3" t="inlineStr">
        <is>
          <t>앤디포스</t>
        </is>
      </c>
      <c r="C3002" s="2" t="inlineStr">
        <is>
          <t>코스닥</t>
        </is>
      </c>
      <c r="D3002" s="2" t="inlineStr">
        <is>
          <t>238090</t>
        </is>
      </c>
      <c r="E3002" s="3" t="inlineStr">
        <is>
          <t>[기재정정]주주총회소집공고</t>
        </is>
      </c>
      <c r="F3002" s="3" t="inlineStr">
        <is>
          <t>앤디포스</t>
        </is>
      </c>
      <c r="G3002" s="2" t="inlineStr">
        <is>
          <t>20260312001328</t>
        </is>
      </c>
      <c r="H3002" s="8">
        <f>HYPERLINK("https://dart.fss.or.kr/dsaf001/main.do?rcpNo=20260312001328", "공시열람")</f>
        <v/>
      </c>
    </row>
    <row r="3003">
      <c r="A3003" s="2" t="inlineStr">
        <is>
          <t>2026-03-12</t>
        </is>
      </c>
      <c r="B3003" s="3" t="inlineStr">
        <is>
          <t>제이티</t>
        </is>
      </c>
      <c r="C3003" s="2" t="inlineStr">
        <is>
          <t>코스닥</t>
        </is>
      </c>
      <c r="D3003" s="2" t="inlineStr">
        <is>
          <t>089790</t>
        </is>
      </c>
      <c r="E3003" s="3" t="inlineStr">
        <is>
          <t>주주총회소집공고</t>
        </is>
      </c>
      <c r="F3003" s="3" t="inlineStr">
        <is>
          <t>제이티</t>
        </is>
      </c>
      <c r="G3003" s="2" t="inlineStr">
        <is>
          <t>20260312001320</t>
        </is>
      </c>
      <c r="H3003" s="8">
        <f>HYPERLINK("https://dart.fss.or.kr/dsaf001/main.do?rcpNo=20260312001320", "공시열람")</f>
        <v/>
      </c>
    </row>
    <row r="3004">
      <c r="A3004" s="2" t="inlineStr">
        <is>
          <t>2026-03-12</t>
        </is>
      </c>
      <c r="B3004" s="3" t="inlineStr">
        <is>
          <t>인선이엔티</t>
        </is>
      </c>
      <c r="C3004" s="2" t="inlineStr">
        <is>
          <t>코스닥</t>
        </is>
      </c>
      <c r="D3004" s="2" t="inlineStr">
        <is>
          <t>060150</t>
        </is>
      </c>
      <c r="E3004" s="3" t="inlineStr">
        <is>
          <t>주주총회소집공고</t>
        </is>
      </c>
      <c r="F3004" s="3" t="inlineStr">
        <is>
          <t>인선이엔티</t>
        </is>
      </c>
      <c r="G3004" s="2" t="inlineStr">
        <is>
          <t>20260312001315</t>
        </is>
      </c>
      <c r="H3004" s="8">
        <f>HYPERLINK("https://dart.fss.or.kr/dsaf001/main.do?rcpNo=20260312001315", "공시열람")</f>
        <v/>
      </c>
    </row>
    <row r="3005">
      <c r="A3005" s="2" t="inlineStr">
        <is>
          <t>2026-03-12</t>
        </is>
      </c>
      <c r="B3005" s="3" t="inlineStr">
        <is>
          <t>리드코프</t>
        </is>
      </c>
      <c r="C3005" s="2" t="inlineStr">
        <is>
          <t>코스닥</t>
        </is>
      </c>
      <c r="D3005" s="2" t="inlineStr">
        <is>
          <t>012700</t>
        </is>
      </c>
      <c r="E3005" s="3" t="inlineStr">
        <is>
          <t xml:space="preserve">[첨부정정]주주총회소집결의              </t>
        </is>
      </c>
      <c r="F3005" s="3" t="inlineStr">
        <is>
          <t>리드코프</t>
        </is>
      </c>
      <c r="G3005" s="2" t="inlineStr">
        <is>
          <t>20260312902117</t>
        </is>
      </c>
      <c r="H3005" s="8">
        <f>HYPERLINK("https://dart.fss.or.kr/dsaf001/main.do?rcpNo=20260312902117", "공시열람")</f>
        <v/>
      </c>
    </row>
    <row r="3006">
      <c r="A3006" s="2" t="inlineStr">
        <is>
          <t>2026-03-12</t>
        </is>
      </c>
      <c r="B3006" s="3" t="inlineStr">
        <is>
          <t>윈팩</t>
        </is>
      </c>
      <c r="C3006" s="2" t="inlineStr">
        <is>
          <t>코스닥</t>
        </is>
      </c>
      <c r="D3006" s="2" t="inlineStr">
        <is>
          <t>097800</t>
        </is>
      </c>
      <c r="E3006" s="3" t="inlineStr">
        <is>
          <t>주주총회소집공고</t>
        </is>
      </c>
      <c r="F3006" s="3" t="inlineStr">
        <is>
          <t>윈팩</t>
        </is>
      </c>
      <c r="G3006" s="2" t="inlineStr">
        <is>
          <t>20260312001309</t>
        </is>
      </c>
      <c r="H3006" s="8">
        <f>HYPERLINK("https://dart.fss.or.kr/dsaf001/main.do?rcpNo=20260312001309", "공시열람")</f>
        <v/>
      </c>
    </row>
    <row r="3007">
      <c r="A3007" s="2" t="inlineStr">
        <is>
          <t>2026-03-12</t>
        </is>
      </c>
      <c r="B3007" s="3" t="inlineStr">
        <is>
          <t>에이블씨엔씨</t>
        </is>
      </c>
      <c r="C3007" s="2" t="inlineStr">
        <is>
          <t>코스피</t>
        </is>
      </c>
      <c r="D3007" s="2" t="inlineStr">
        <is>
          <t>078520</t>
        </is>
      </c>
      <c r="E3007" s="3" t="inlineStr">
        <is>
          <t xml:space="preserve">주주총회소집결의              </t>
        </is>
      </c>
      <c r="F3007" s="3" t="inlineStr">
        <is>
          <t>에이블씨엔씨</t>
        </is>
      </c>
      <c r="G3007" s="2" t="inlineStr">
        <is>
          <t>20260312802100</t>
        </is>
      </c>
      <c r="H3007" s="8">
        <f>HYPERLINK("https://dart.fss.or.kr/dsaf001/main.do?rcpNo=20260312802100", "공시열람")</f>
        <v/>
      </c>
    </row>
    <row r="3008">
      <c r="A3008" s="2" t="inlineStr">
        <is>
          <t>2026-03-12</t>
        </is>
      </c>
      <c r="B3008" s="3" t="inlineStr">
        <is>
          <t>한샘</t>
        </is>
      </c>
      <c r="C3008" s="2" t="inlineStr">
        <is>
          <t>코스피</t>
        </is>
      </c>
      <c r="D3008" s="2" t="inlineStr">
        <is>
          <t>009240</t>
        </is>
      </c>
      <c r="E3008" s="3" t="inlineStr">
        <is>
          <t>주주총회소집공고</t>
        </is>
      </c>
      <c r="F3008" s="3" t="inlineStr">
        <is>
          <t>한샘</t>
        </is>
      </c>
      <c r="G3008" s="2" t="inlineStr">
        <is>
          <t>20260312001307</t>
        </is>
      </c>
      <c r="H3008" s="8">
        <f>HYPERLINK("https://dart.fss.or.kr/dsaf001/main.do?rcpNo=20260312001307", "공시열람")</f>
        <v/>
      </c>
    </row>
    <row r="3009">
      <c r="A3009" s="2" t="inlineStr">
        <is>
          <t>2026-03-12</t>
        </is>
      </c>
      <c r="B3009" s="3" t="inlineStr">
        <is>
          <t>라온시큐어</t>
        </is>
      </c>
      <c r="C3009" s="2" t="inlineStr">
        <is>
          <t>코스닥</t>
        </is>
      </c>
      <c r="D3009" s="2" t="inlineStr">
        <is>
          <t>042510</t>
        </is>
      </c>
      <c r="E3009" s="3" t="inlineStr">
        <is>
          <t>주주총회소집공고</t>
        </is>
      </c>
      <c r="F3009" s="3" t="inlineStr">
        <is>
          <t>라온시큐어</t>
        </is>
      </c>
      <c r="G3009" s="2" t="inlineStr">
        <is>
          <t>20260312001306</t>
        </is>
      </c>
      <c r="H3009" s="8">
        <f>HYPERLINK("https://dart.fss.or.kr/dsaf001/main.do?rcpNo=20260312001306", "공시열람")</f>
        <v/>
      </c>
    </row>
    <row r="3010">
      <c r="A3010" s="2" t="inlineStr">
        <is>
          <t>2026-03-12</t>
        </is>
      </c>
      <c r="B3010" s="3" t="inlineStr">
        <is>
          <t>오름테라퓨틱</t>
        </is>
      </c>
      <c r="C3010" s="2" t="inlineStr">
        <is>
          <t>코스닥</t>
        </is>
      </c>
      <c r="D3010" s="2" t="inlineStr">
        <is>
          <t>475830</t>
        </is>
      </c>
      <c r="E3010" s="3" t="inlineStr">
        <is>
          <t xml:space="preserve">[기재정정]주주총회소집결의              </t>
        </is>
      </c>
      <c r="F3010" s="3" t="inlineStr">
        <is>
          <t>오름테라퓨틱</t>
        </is>
      </c>
      <c r="G3010" s="2" t="inlineStr">
        <is>
          <t>20260312902003</t>
        </is>
      </c>
      <c r="H3010" s="8">
        <f>HYPERLINK("https://dart.fss.or.kr/dsaf001/main.do?rcpNo=20260312902003", "공시열람")</f>
        <v/>
      </c>
    </row>
    <row r="3011">
      <c r="A3011" s="2" t="inlineStr">
        <is>
          <t>2026-03-12</t>
        </is>
      </c>
      <c r="B3011" s="3" t="inlineStr">
        <is>
          <t>iMBC</t>
        </is>
      </c>
      <c r="C3011" s="2" t="inlineStr">
        <is>
          <t>코스닥</t>
        </is>
      </c>
      <c r="D3011" s="2" t="inlineStr">
        <is>
          <t>052220</t>
        </is>
      </c>
      <c r="E3011" s="3" t="inlineStr">
        <is>
          <t>주주총회소집공고</t>
        </is>
      </c>
      <c r="F3011" s="3" t="inlineStr">
        <is>
          <t>iMBC</t>
        </is>
      </c>
      <c r="G3011" s="2" t="inlineStr">
        <is>
          <t>20260312001303</t>
        </is>
      </c>
      <c r="H3011" s="8">
        <f>HYPERLINK("https://dart.fss.or.kr/dsaf001/main.do?rcpNo=20260312001303", "공시열람")</f>
        <v/>
      </c>
    </row>
    <row r="3012">
      <c r="A3012" s="2" t="inlineStr">
        <is>
          <t>2026-03-12</t>
        </is>
      </c>
      <c r="B3012" s="3" t="inlineStr">
        <is>
          <t>메디콕스</t>
        </is>
      </c>
      <c r="C3012" s="2" t="inlineStr">
        <is>
          <t>코스닥</t>
        </is>
      </c>
      <c r="D3012" s="2" t="inlineStr">
        <is>
          <t>054180</t>
        </is>
      </c>
      <c r="E3012" s="3" t="inlineStr">
        <is>
          <t>주주총회소집공고</t>
        </is>
      </c>
      <c r="F3012" s="3" t="inlineStr">
        <is>
          <t>메디콕스</t>
        </is>
      </c>
      <c r="G3012" s="2" t="inlineStr">
        <is>
          <t>20260312001299</t>
        </is>
      </c>
      <c r="H3012" s="8">
        <f>HYPERLINK("https://dart.fss.or.kr/dsaf001/main.do?rcpNo=20260312001299", "공시열람")</f>
        <v/>
      </c>
    </row>
    <row r="3013">
      <c r="A3013" s="2" t="inlineStr">
        <is>
          <t>2026-03-12</t>
        </is>
      </c>
      <c r="B3013" s="3" t="inlineStr">
        <is>
          <t>노바텍</t>
        </is>
      </c>
      <c r="C3013" s="2" t="inlineStr">
        <is>
          <t>코스닥</t>
        </is>
      </c>
      <c r="D3013" s="2" t="inlineStr">
        <is>
          <t>285490</t>
        </is>
      </c>
      <c r="E3013" s="3" t="inlineStr">
        <is>
          <t xml:space="preserve">[기재정정]주주총회소집결의              </t>
        </is>
      </c>
      <c r="F3013" s="3" t="inlineStr">
        <is>
          <t>노바텍</t>
        </is>
      </c>
      <c r="G3013" s="2" t="inlineStr">
        <is>
          <t>20260312902085</t>
        </is>
      </c>
      <c r="H3013" s="8">
        <f>HYPERLINK("https://dart.fss.or.kr/dsaf001/main.do?rcpNo=20260312902085", "공시열람")</f>
        <v/>
      </c>
    </row>
    <row r="3014">
      <c r="A3014" s="2" t="inlineStr">
        <is>
          <t>2026-03-12</t>
        </is>
      </c>
      <c r="B3014" s="3" t="inlineStr">
        <is>
          <t>엠엑스로보틱스</t>
        </is>
      </c>
      <c r="C3014" s="2" t="inlineStr">
        <is>
          <t>코스닥</t>
        </is>
      </c>
      <c r="D3014" s="2" t="inlineStr">
        <is>
          <t>007820</t>
        </is>
      </c>
      <c r="E3014" s="3" t="inlineStr">
        <is>
          <t>주주총회소집공고</t>
        </is>
      </c>
      <c r="F3014" s="3" t="inlineStr">
        <is>
          <t>엠엑스로보틱스</t>
        </is>
      </c>
      <c r="G3014" s="2" t="inlineStr">
        <is>
          <t>20260312001292</t>
        </is>
      </c>
      <c r="H3014" s="8">
        <f>HYPERLINK("https://dart.fss.or.kr/dsaf001/main.do?rcpNo=20260312001292", "공시열람")</f>
        <v/>
      </c>
    </row>
    <row r="3015">
      <c r="A3015" s="2" t="inlineStr">
        <is>
          <t>2026-03-12</t>
        </is>
      </c>
      <c r="B3015" s="3" t="inlineStr">
        <is>
          <t>에이텀</t>
        </is>
      </c>
      <c r="C3015" s="2" t="inlineStr">
        <is>
          <t>코스닥</t>
        </is>
      </c>
      <c r="D3015" s="2" t="inlineStr">
        <is>
          <t>355690</t>
        </is>
      </c>
      <c r="E3015" s="3" t="inlineStr">
        <is>
          <t xml:space="preserve">주주총회집중일개최사유신고              </t>
        </is>
      </c>
      <c r="F3015" s="3" t="inlineStr">
        <is>
          <t>에이텀</t>
        </is>
      </c>
      <c r="G3015" s="2" t="inlineStr">
        <is>
          <t>20260312902135</t>
        </is>
      </c>
      <c r="H3015" s="8">
        <f>HYPERLINK("https://dart.fss.or.kr/dsaf001/main.do?rcpNo=20260312902135", "공시열람")</f>
        <v/>
      </c>
    </row>
    <row r="3016">
      <c r="A3016" s="2" t="inlineStr">
        <is>
          <t>2026-03-12</t>
        </is>
      </c>
      <c r="B3016" s="3" t="inlineStr">
        <is>
          <t>미트박스</t>
        </is>
      </c>
      <c r="C3016" s="2" t="inlineStr">
        <is>
          <t>코스닥</t>
        </is>
      </c>
      <c r="D3016" s="2" t="inlineStr">
        <is>
          <t>475460</t>
        </is>
      </c>
      <c r="E3016" s="3" t="inlineStr">
        <is>
          <t xml:space="preserve">주주총회소집결의              </t>
        </is>
      </c>
      <c r="F3016" s="3" t="inlineStr">
        <is>
          <t>미트박스</t>
        </is>
      </c>
      <c r="G3016" s="2" t="inlineStr">
        <is>
          <t>20260312901560</t>
        </is>
      </c>
      <c r="H3016" s="8">
        <f>HYPERLINK("https://dart.fss.or.kr/dsaf001/main.do?rcpNo=20260312901560", "공시열람")</f>
        <v/>
      </c>
    </row>
    <row r="3017">
      <c r="A3017" s="2" t="inlineStr">
        <is>
          <t>2026-03-12</t>
        </is>
      </c>
      <c r="B3017" s="3" t="inlineStr">
        <is>
          <t>위메이드</t>
        </is>
      </c>
      <c r="C3017" s="2" t="inlineStr">
        <is>
          <t>코스닥</t>
        </is>
      </c>
      <c r="D3017" s="2" t="inlineStr">
        <is>
          <t>112040</t>
        </is>
      </c>
      <c r="E3017" s="3" t="inlineStr">
        <is>
          <t>주주총회소집공고</t>
        </is>
      </c>
      <c r="F3017" s="3" t="inlineStr">
        <is>
          <t>위메이드</t>
        </is>
      </c>
      <c r="G3017" s="2" t="inlineStr">
        <is>
          <t>20260312001287</t>
        </is>
      </c>
      <c r="H3017" s="8">
        <f>HYPERLINK("https://dart.fss.or.kr/dsaf001/main.do?rcpNo=20260312001287", "공시열람")</f>
        <v/>
      </c>
    </row>
    <row r="3018">
      <c r="A3018" s="2" t="inlineStr">
        <is>
          <t>2026-03-12</t>
        </is>
      </c>
      <c r="B3018" s="3" t="inlineStr">
        <is>
          <t>대한광통신</t>
        </is>
      </c>
      <c r="C3018" s="2" t="inlineStr">
        <is>
          <t>코스닥</t>
        </is>
      </c>
      <c r="D3018" s="2" t="inlineStr">
        <is>
          <t>010170</t>
        </is>
      </c>
      <c r="E3018" s="3" t="inlineStr">
        <is>
          <t>주주총회소집공고</t>
        </is>
      </c>
      <c r="F3018" s="3" t="inlineStr">
        <is>
          <t>대한광통신</t>
        </is>
      </c>
      <c r="G3018" s="2" t="inlineStr">
        <is>
          <t>20260312001283</t>
        </is>
      </c>
      <c r="H3018" s="8">
        <f>HYPERLINK("https://dart.fss.or.kr/dsaf001/main.do?rcpNo=20260312001283", "공시열람")</f>
        <v/>
      </c>
    </row>
    <row r="3019">
      <c r="A3019" s="2" t="inlineStr">
        <is>
          <t>2026-03-12</t>
        </is>
      </c>
      <c r="B3019" s="3" t="inlineStr">
        <is>
          <t>라온시큐어</t>
        </is>
      </c>
      <c r="C3019" s="2" t="inlineStr">
        <is>
          <t>코스닥</t>
        </is>
      </c>
      <c r="D3019" s="2" t="inlineStr">
        <is>
          <t>042510</t>
        </is>
      </c>
      <c r="E3019" s="3" t="inlineStr">
        <is>
          <t xml:space="preserve">주주총회집중일개최사유신고              </t>
        </is>
      </c>
      <c r="F3019" s="3" t="inlineStr">
        <is>
          <t>라온시큐어</t>
        </is>
      </c>
      <c r="G3019" s="2" t="inlineStr">
        <is>
          <t>20260312902011</t>
        </is>
      </c>
      <c r="H3019" s="8">
        <f>HYPERLINK("https://dart.fss.or.kr/dsaf001/main.do?rcpNo=20260312902011", "공시열람")</f>
        <v/>
      </c>
    </row>
    <row r="3020">
      <c r="A3020" s="2" t="inlineStr">
        <is>
          <t>2026-03-12</t>
        </is>
      </c>
      <c r="B3020" s="3" t="inlineStr">
        <is>
          <t>에프엔씨엔터</t>
        </is>
      </c>
      <c r="C3020" s="2" t="inlineStr">
        <is>
          <t>코스닥</t>
        </is>
      </c>
      <c r="D3020" s="2" t="inlineStr">
        <is>
          <t>173940</t>
        </is>
      </c>
      <c r="E3020" s="3" t="inlineStr">
        <is>
          <t>주주총회소집공고</t>
        </is>
      </c>
      <c r="F3020" s="3" t="inlineStr">
        <is>
          <t>에프엔씨엔터</t>
        </is>
      </c>
      <c r="G3020" s="2" t="inlineStr">
        <is>
          <t>20260312001280</t>
        </is>
      </c>
      <c r="H3020" s="8">
        <f>HYPERLINK("https://dart.fss.or.kr/dsaf001/main.do?rcpNo=20260312001280", "공시열람")</f>
        <v/>
      </c>
    </row>
    <row r="3021">
      <c r="A3021" s="2" t="inlineStr">
        <is>
          <t>2026-03-12</t>
        </is>
      </c>
      <c r="B3021" s="3" t="inlineStr">
        <is>
          <t>라온시큐어</t>
        </is>
      </c>
      <c r="C3021" s="2" t="inlineStr">
        <is>
          <t>코스닥</t>
        </is>
      </c>
      <c r="D3021" s="2" t="inlineStr">
        <is>
          <t>042510</t>
        </is>
      </c>
      <c r="E3021" s="3" t="inlineStr">
        <is>
          <t xml:space="preserve">주주총회소집결의              </t>
        </is>
      </c>
      <c r="F3021" s="3" t="inlineStr">
        <is>
          <t>라온시큐어</t>
        </is>
      </c>
      <c r="G3021" s="2" t="inlineStr">
        <is>
          <t>20260312901992</t>
        </is>
      </c>
      <c r="H3021" s="8">
        <f>HYPERLINK("https://dart.fss.or.kr/dsaf001/main.do?rcpNo=20260312901992", "공시열람")</f>
        <v/>
      </c>
    </row>
    <row r="3022">
      <c r="A3022" s="2" t="inlineStr">
        <is>
          <t>2026-03-12</t>
        </is>
      </c>
      <c r="B3022" s="3" t="inlineStr">
        <is>
          <t>휴니드테크놀러지스</t>
        </is>
      </c>
      <c r="C3022" s="2" t="inlineStr">
        <is>
          <t>코스피</t>
        </is>
      </c>
      <c r="D3022" s="2" t="inlineStr">
        <is>
          <t>005870</t>
        </is>
      </c>
      <c r="E3022" s="3" t="inlineStr">
        <is>
          <t xml:space="preserve">주주총회집중일개최사유신고              </t>
        </is>
      </c>
      <c r="F3022" s="3" t="inlineStr">
        <is>
          <t>휴니드테크놀러지스</t>
        </is>
      </c>
      <c r="G3022" s="2" t="inlineStr">
        <is>
          <t>20260312802098</t>
        </is>
      </c>
      <c r="H3022" s="8">
        <f>HYPERLINK("https://dart.fss.or.kr/dsaf001/main.do?rcpNo=20260312802098", "공시열람")</f>
        <v/>
      </c>
    </row>
    <row r="3023">
      <c r="A3023" s="2" t="inlineStr">
        <is>
          <t>2026-03-12</t>
        </is>
      </c>
      <c r="B3023" s="3" t="inlineStr">
        <is>
          <t>삼진</t>
        </is>
      </c>
      <c r="C3023" s="2" t="inlineStr">
        <is>
          <t>코스닥</t>
        </is>
      </c>
      <c r="D3023" s="2" t="inlineStr">
        <is>
          <t>032750</t>
        </is>
      </c>
      <c r="E3023" s="3" t="inlineStr">
        <is>
          <t>주주총회소집공고</t>
        </is>
      </c>
      <c r="F3023" s="3" t="inlineStr">
        <is>
          <t>삼진</t>
        </is>
      </c>
      <c r="G3023" s="2" t="inlineStr">
        <is>
          <t>20260312001278</t>
        </is>
      </c>
      <c r="H3023" s="8">
        <f>HYPERLINK("https://dart.fss.or.kr/dsaf001/main.do?rcpNo=20260312001278", "공시열람")</f>
        <v/>
      </c>
    </row>
    <row r="3024">
      <c r="A3024" s="2" t="inlineStr">
        <is>
          <t>2026-03-12</t>
        </is>
      </c>
      <c r="B3024" s="3" t="inlineStr">
        <is>
          <t>제이티</t>
        </is>
      </c>
      <c r="C3024" s="2" t="inlineStr">
        <is>
          <t>코스닥</t>
        </is>
      </c>
      <c r="D3024" s="2" t="inlineStr">
        <is>
          <t>089790</t>
        </is>
      </c>
      <c r="E3024" s="3" t="inlineStr">
        <is>
          <t xml:space="preserve">주주총회집중일개최사유신고              </t>
        </is>
      </c>
      <c r="F3024" s="3" t="inlineStr">
        <is>
          <t>제이티</t>
        </is>
      </c>
      <c r="G3024" s="2" t="inlineStr">
        <is>
          <t>20260312901986</t>
        </is>
      </c>
      <c r="H3024" s="8">
        <f>HYPERLINK("https://dart.fss.or.kr/dsaf001/main.do?rcpNo=20260312901986", "공시열람")</f>
        <v/>
      </c>
    </row>
    <row r="3025">
      <c r="A3025" s="2" t="inlineStr">
        <is>
          <t>2026-03-12</t>
        </is>
      </c>
      <c r="B3025" s="3" t="inlineStr">
        <is>
          <t>메디콕스</t>
        </is>
      </c>
      <c r="C3025" s="2" t="inlineStr">
        <is>
          <t>코스닥</t>
        </is>
      </c>
      <c r="D3025" s="2" t="inlineStr">
        <is>
          <t>054180</t>
        </is>
      </c>
      <c r="E3025" s="3" t="inlineStr">
        <is>
          <t xml:space="preserve">주주총회소집결의              </t>
        </is>
      </c>
      <c r="F3025" s="3" t="inlineStr">
        <is>
          <t>메디콕스</t>
        </is>
      </c>
      <c r="G3025" s="2" t="inlineStr">
        <is>
          <t>20260312901973</t>
        </is>
      </c>
      <c r="H3025" s="8">
        <f>HYPERLINK("https://dart.fss.or.kr/dsaf001/main.do?rcpNo=20260312901973", "공시열람")</f>
        <v/>
      </c>
    </row>
    <row r="3026">
      <c r="A3026" s="2" t="inlineStr">
        <is>
          <t>2026-03-12</t>
        </is>
      </c>
      <c r="B3026" s="3" t="inlineStr">
        <is>
          <t>제이티</t>
        </is>
      </c>
      <c r="C3026" s="2" t="inlineStr">
        <is>
          <t>코스닥</t>
        </is>
      </c>
      <c r="D3026" s="2" t="inlineStr">
        <is>
          <t>089790</t>
        </is>
      </c>
      <c r="E3026" s="3" t="inlineStr">
        <is>
          <t xml:space="preserve">주주총회소집결의              </t>
        </is>
      </c>
      <c r="F3026" s="3" t="inlineStr">
        <is>
          <t>제이티</t>
        </is>
      </c>
      <c r="G3026" s="2" t="inlineStr">
        <is>
          <t>20260312901959</t>
        </is>
      </c>
      <c r="H3026" s="8">
        <f>HYPERLINK("https://dart.fss.or.kr/dsaf001/main.do?rcpNo=20260312901959", "공시열람")</f>
        <v/>
      </c>
    </row>
    <row r="3027">
      <c r="A3027" s="2" t="inlineStr">
        <is>
          <t>2026-03-12</t>
        </is>
      </c>
      <c r="B3027" s="3" t="inlineStr">
        <is>
          <t>원익홀딩스</t>
        </is>
      </c>
      <c r="C3027" s="2" t="inlineStr">
        <is>
          <t>코스닥</t>
        </is>
      </c>
      <c r="D3027" s="2" t="inlineStr">
        <is>
          <t>030530</t>
        </is>
      </c>
      <c r="E3027" s="3" t="inlineStr">
        <is>
          <t>주주총회소집공고</t>
        </is>
      </c>
      <c r="F3027" s="3" t="inlineStr">
        <is>
          <t>원익홀딩스</t>
        </is>
      </c>
      <c r="G3027" s="2" t="inlineStr">
        <is>
          <t>20260312001276</t>
        </is>
      </c>
      <c r="H3027" s="8">
        <f>HYPERLINK("https://dart.fss.or.kr/dsaf001/main.do?rcpNo=20260312001276", "공시열람")</f>
        <v/>
      </c>
    </row>
    <row r="3028">
      <c r="A3028" s="2" t="inlineStr">
        <is>
          <t>2026-03-12</t>
        </is>
      </c>
      <c r="B3028" s="3" t="inlineStr">
        <is>
          <t>에이텀</t>
        </is>
      </c>
      <c r="C3028" s="2" t="inlineStr">
        <is>
          <t>코스닥</t>
        </is>
      </c>
      <c r="D3028" s="2" t="inlineStr">
        <is>
          <t>355690</t>
        </is>
      </c>
      <c r="E3028" s="3" t="inlineStr">
        <is>
          <t>주주총회소집공고</t>
        </is>
      </c>
      <c r="F3028" s="3" t="inlineStr">
        <is>
          <t>에이텀</t>
        </is>
      </c>
      <c r="G3028" s="2" t="inlineStr">
        <is>
          <t>20260312001275</t>
        </is>
      </c>
      <c r="H3028" s="8">
        <f>HYPERLINK("https://dart.fss.or.kr/dsaf001/main.do?rcpNo=20260312001275", "공시열람")</f>
        <v/>
      </c>
    </row>
    <row r="3029">
      <c r="A3029" s="2" t="inlineStr">
        <is>
          <t>2026-03-12</t>
        </is>
      </c>
      <c r="B3029" s="3" t="inlineStr">
        <is>
          <t>KX</t>
        </is>
      </c>
      <c r="C3029" s="2" t="inlineStr">
        <is>
          <t>코스닥</t>
        </is>
      </c>
      <c r="D3029" s="2" t="inlineStr">
        <is>
          <t>122450</t>
        </is>
      </c>
      <c r="E3029" s="3" t="inlineStr">
        <is>
          <t xml:space="preserve">주주총회집중일개최사유신고              </t>
        </is>
      </c>
      <c r="F3029" s="3" t="inlineStr">
        <is>
          <t>KX</t>
        </is>
      </c>
      <c r="G3029" s="2" t="inlineStr">
        <is>
          <t>20260312901662</t>
        </is>
      </c>
      <c r="H3029" s="8">
        <f>HYPERLINK("https://dart.fss.or.kr/dsaf001/main.do?rcpNo=20260312901662", "공시열람")</f>
        <v/>
      </c>
    </row>
    <row r="3030">
      <c r="A3030" s="2" t="inlineStr">
        <is>
          <t>2026-03-12</t>
        </is>
      </c>
      <c r="B3030" s="3" t="inlineStr">
        <is>
          <t>KX</t>
        </is>
      </c>
      <c r="C3030" s="2" t="inlineStr">
        <is>
          <t>코스닥</t>
        </is>
      </c>
      <c r="D3030" s="2" t="inlineStr">
        <is>
          <t>122450</t>
        </is>
      </c>
      <c r="E3030" s="3" t="inlineStr">
        <is>
          <t xml:space="preserve">주주총회소집결의              </t>
        </is>
      </c>
      <c r="F3030" s="3" t="inlineStr">
        <is>
          <t>KX</t>
        </is>
      </c>
      <c r="G3030" s="2" t="inlineStr">
        <is>
          <t>20260312901644</t>
        </is>
      </c>
      <c r="H3030" s="8">
        <f>HYPERLINK("https://dart.fss.or.kr/dsaf001/main.do?rcpNo=20260312901644", "공시열람")</f>
        <v/>
      </c>
    </row>
    <row r="3031">
      <c r="A3031" s="2" t="inlineStr">
        <is>
          <t>2026-03-12</t>
        </is>
      </c>
      <c r="B3031" s="3" t="inlineStr">
        <is>
          <t>네오오토</t>
        </is>
      </c>
      <c r="C3031" s="2" t="inlineStr">
        <is>
          <t>코스닥</t>
        </is>
      </c>
      <c r="D3031" s="2" t="inlineStr">
        <is>
          <t>212560</t>
        </is>
      </c>
      <c r="E3031" s="3" t="inlineStr">
        <is>
          <t xml:space="preserve">주주총회집중일개최사유신고              </t>
        </is>
      </c>
      <c r="F3031" s="3" t="inlineStr">
        <is>
          <t>네오오토</t>
        </is>
      </c>
      <c r="G3031" s="2" t="inlineStr">
        <is>
          <t>20260312902101</t>
        </is>
      </c>
      <c r="H3031" s="8">
        <f>HYPERLINK("https://dart.fss.or.kr/dsaf001/main.do?rcpNo=20260312902101", "공시열람")</f>
        <v/>
      </c>
    </row>
    <row r="3032">
      <c r="A3032" s="2" t="inlineStr">
        <is>
          <t>2026-03-12</t>
        </is>
      </c>
      <c r="B3032" s="3" t="inlineStr">
        <is>
          <t>블리츠웨이엔터테인먼트</t>
        </is>
      </c>
      <c r="C3032" s="2" t="inlineStr">
        <is>
          <t>코스닥</t>
        </is>
      </c>
      <c r="D3032" s="2" t="inlineStr">
        <is>
          <t>369370</t>
        </is>
      </c>
      <c r="E3032" s="3" t="inlineStr">
        <is>
          <t xml:space="preserve">주주총회집중일개최사유신고              </t>
        </is>
      </c>
      <c r="F3032" s="3" t="inlineStr">
        <is>
          <t>블리츠웨이엔터테인먼트</t>
        </is>
      </c>
      <c r="G3032" s="2" t="inlineStr">
        <is>
          <t>20260312901854</t>
        </is>
      </c>
      <c r="H3032" s="8">
        <f>HYPERLINK("https://dart.fss.or.kr/dsaf001/main.do?rcpNo=20260312901854", "공시열람")</f>
        <v/>
      </c>
    </row>
    <row r="3033">
      <c r="A3033" s="2" t="inlineStr">
        <is>
          <t>2026-03-12</t>
        </is>
      </c>
      <c r="B3033" s="3" t="inlineStr">
        <is>
          <t>iMBC</t>
        </is>
      </c>
      <c r="C3033" s="2" t="inlineStr">
        <is>
          <t>코스닥</t>
        </is>
      </c>
      <c r="D3033" s="2" t="inlineStr">
        <is>
          <t>052220</t>
        </is>
      </c>
      <c r="E3033" s="3" t="inlineStr">
        <is>
          <t xml:space="preserve">주주총회집중일개최사유신고              </t>
        </is>
      </c>
      <c r="F3033" s="3" t="inlineStr">
        <is>
          <t>iMBC</t>
        </is>
      </c>
      <c r="G3033" s="2" t="inlineStr">
        <is>
          <t>20260312901690</t>
        </is>
      </c>
      <c r="H3033" s="8">
        <f>HYPERLINK("https://dart.fss.or.kr/dsaf001/main.do?rcpNo=20260312901690", "공시열람")</f>
        <v/>
      </c>
    </row>
    <row r="3034">
      <c r="A3034" s="2" t="inlineStr">
        <is>
          <t>2026-03-12 (정정: 2026-03-12)</t>
        </is>
      </c>
      <c r="B3034" s="3" t="inlineStr">
        <is>
          <t>큐에이드</t>
        </is>
      </c>
      <c r="C3034" s="2" t="inlineStr">
        <is>
          <t>코스닥</t>
        </is>
      </c>
      <c r="D3034" s="2" t="inlineStr">
        <is>
          <t>377460</t>
        </is>
      </c>
      <c r="E3034" s="3" t="inlineStr">
        <is>
          <t>주주총회소집공고 (정정: 20260312)</t>
        </is>
      </c>
      <c r="F3034" s="3" t="inlineStr">
        <is>
          <t>큐에이드</t>
        </is>
      </c>
      <c r="G3034" s="2" t="inlineStr">
        <is>
          <t>20260312901879</t>
        </is>
      </c>
      <c r="H3034" s="8">
        <f>HYPERLINK("https://dart.fss.or.kr/dsaf001/main.do?rcpNo=20260312901879", "공시열람")</f>
        <v/>
      </c>
    </row>
    <row r="3035">
      <c r="A3035" s="2" t="inlineStr">
        <is>
          <t>2026-03-12</t>
        </is>
      </c>
      <c r="B3035" s="3" t="inlineStr">
        <is>
          <t>위메이드</t>
        </is>
      </c>
      <c r="C3035" s="2" t="inlineStr">
        <is>
          <t>코스닥</t>
        </is>
      </c>
      <c r="D3035" s="2" t="inlineStr">
        <is>
          <t>112040</t>
        </is>
      </c>
      <c r="E3035" s="3" t="inlineStr">
        <is>
          <t xml:space="preserve">주주총회집중일개최사유신고              </t>
        </is>
      </c>
      <c r="F3035" s="3" t="inlineStr">
        <is>
          <t>위메이드</t>
        </is>
      </c>
      <c r="G3035" s="2" t="inlineStr">
        <is>
          <t>20260312902012</t>
        </is>
      </c>
      <c r="H3035" s="8">
        <f>HYPERLINK("https://dart.fss.or.kr/dsaf001/main.do?rcpNo=20260312902012", "공시열람")</f>
        <v/>
      </c>
    </row>
    <row r="3036">
      <c r="A3036" s="2" t="inlineStr">
        <is>
          <t>2026-03-12</t>
        </is>
      </c>
      <c r="B3036" s="3" t="inlineStr">
        <is>
          <t>큐에이드</t>
        </is>
      </c>
      <c r="C3036" s="2" t="inlineStr">
        <is>
          <t>코스닥</t>
        </is>
      </c>
      <c r="D3036" s="2" t="inlineStr">
        <is>
          <t>377460</t>
        </is>
      </c>
      <c r="E3036" s="3" t="inlineStr">
        <is>
          <t xml:space="preserve">주주총회집중일개최사유신고              </t>
        </is>
      </c>
      <c r="F3036" s="3" t="inlineStr">
        <is>
          <t>큐에이드</t>
        </is>
      </c>
      <c r="G3036" s="2" t="inlineStr">
        <is>
          <t>20260312902039</t>
        </is>
      </c>
      <c r="H3036" s="8">
        <f>HYPERLINK("https://dart.fss.or.kr/dsaf001/main.do?rcpNo=20260312902039", "공시열람")</f>
        <v/>
      </c>
    </row>
    <row r="3037">
      <c r="A3037" s="2" t="inlineStr">
        <is>
          <t>2026-03-12</t>
        </is>
      </c>
      <c r="B3037" s="3" t="inlineStr">
        <is>
          <t>롯데손해보험</t>
        </is>
      </c>
      <c r="C3037" s="2" t="inlineStr">
        <is>
          <t>코스피</t>
        </is>
      </c>
      <c r="D3037" s="2" t="inlineStr">
        <is>
          <t>000400</t>
        </is>
      </c>
      <c r="E3037" s="3" t="inlineStr">
        <is>
          <t xml:space="preserve">주주총회집중일개최사유신고              </t>
        </is>
      </c>
      <c r="F3037" s="3" t="inlineStr">
        <is>
          <t>롯데손해보험</t>
        </is>
      </c>
      <c r="G3037" s="2" t="inlineStr">
        <is>
          <t>20260312802110</t>
        </is>
      </c>
      <c r="H3037" s="8">
        <f>HYPERLINK("https://dart.fss.or.kr/dsaf001/main.do?rcpNo=20260312802110", "공시열람")</f>
        <v/>
      </c>
    </row>
    <row r="3038">
      <c r="A3038" s="2" t="inlineStr">
        <is>
          <t>2026-03-12</t>
        </is>
      </c>
      <c r="B3038" s="3" t="inlineStr">
        <is>
          <t>인선이엔티</t>
        </is>
      </c>
      <c r="C3038" s="2" t="inlineStr">
        <is>
          <t>코스닥</t>
        </is>
      </c>
      <c r="D3038" s="2" t="inlineStr">
        <is>
          <t>060150</t>
        </is>
      </c>
      <c r="E3038" s="3" t="inlineStr">
        <is>
          <t xml:space="preserve">주주총회집중일개최사유신고              </t>
        </is>
      </c>
      <c r="F3038" s="3" t="inlineStr">
        <is>
          <t>인선이엔티</t>
        </is>
      </c>
      <c r="G3038" s="2" t="inlineStr">
        <is>
          <t>20260312901495</t>
        </is>
      </c>
      <c r="H3038" s="8">
        <f>HYPERLINK("https://dart.fss.or.kr/dsaf001/main.do?rcpNo=20260312901495", "공시열람")</f>
        <v/>
      </c>
    </row>
    <row r="3039">
      <c r="A3039" s="2" t="inlineStr">
        <is>
          <t>2026-03-12</t>
        </is>
      </c>
      <c r="B3039" s="3" t="inlineStr">
        <is>
          <t>인선이엔티</t>
        </is>
      </c>
      <c r="C3039" s="2" t="inlineStr">
        <is>
          <t>코스닥</t>
        </is>
      </c>
      <c r="D3039" s="2" t="inlineStr">
        <is>
          <t>060150</t>
        </is>
      </c>
      <c r="E3039" s="3" t="inlineStr">
        <is>
          <t xml:space="preserve">주주총회소집결의              </t>
        </is>
      </c>
      <c r="F3039" s="3" t="inlineStr">
        <is>
          <t>인선이엔티</t>
        </is>
      </c>
      <c r="G3039" s="2" t="inlineStr">
        <is>
          <t>20260312901473</t>
        </is>
      </c>
      <c r="H3039" s="8">
        <f>HYPERLINK("https://dart.fss.or.kr/dsaf001/main.do?rcpNo=20260312901473", "공시열람")</f>
        <v/>
      </c>
    </row>
    <row r="3040">
      <c r="A3040" s="2" t="inlineStr">
        <is>
          <t>2026-03-12</t>
        </is>
      </c>
      <c r="B3040" s="3" t="inlineStr">
        <is>
          <t>대한광통신</t>
        </is>
      </c>
      <c r="C3040" s="2" t="inlineStr">
        <is>
          <t>코스닥</t>
        </is>
      </c>
      <c r="D3040" s="2" t="inlineStr">
        <is>
          <t>010170</t>
        </is>
      </c>
      <c r="E3040" s="3" t="inlineStr">
        <is>
          <t xml:space="preserve">주주총회집중일개최사유신고              </t>
        </is>
      </c>
      <c r="F3040" s="3" t="inlineStr">
        <is>
          <t>대한광통신</t>
        </is>
      </c>
      <c r="G3040" s="2" t="inlineStr">
        <is>
          <t>20260312901964</t>
        </is>
      </c>
      <c r="H3040" s="8">
        <f>HYPERLINK("https://dart.fss.or.kr/dsaf001/main.do?rcpNo=20260312901964", "공시열람")</f>
        <v/>
      </c>
    </row>
    <row r="3041">
      <c r="A3041" s="2" t="inlineStr">
        <is>
          <t>2026-03-12</t>
        </is>
      </c>
      <c r="B3041" s="3" t="inlineStr">
        <is>
          <t>위메이드</t>
        </is>
      </c>
      <c r="C3041" s="2" t="inlineStr">
        <is>
          <t>코스닥</t>
        </is>
      </c>
      <c r="D3041" s="2" t="inlineStr">
        <is>
          <t>112040</t>
        </is>
      </c>
      <c r="E3041" s="3" t="inlineStr">
        <is>
          <t xml:space="preserve">주주총회소집결의              </t>
        </is>
      </c>
      <c r="F3041" s="3" t="inlineStr">
        <is>
          <t>위메이드</t>
        </is>
      </c>
      <c r="G3041" s="2" t="inlineStr">
        <is>
          <t>20260312901950</t>
        </is>
      </c>
      <c r="H3041" s="8">
        <f>HYPERLINK("https://dart.fss.or.kr/dsaf001/main.do?rcpNo=20260312901950", "공시열람")</f>
        <v/>
      </c>
    </row>
    <row r="3042">
      <c r="A3042" s="2" t="inlineStr">
        <is>
          <t>2026-03-12</t>
        </is>
      </c>
      <c r="B3042" s="3" t="inlineStr">
        <is>
          <t>에이텀</t>
        </is>
      </c>
      <c r="C3042" s="2" t="inlineStr">
        <is>
          <t>코스닥</t>
        </is>
      </c>
      <c r="D3042" s="2" t="inlineStr">
        <is>
          <t>355690</t>
        </is>
      </c>
      <c r="E3042" s="3" t="inlineStr">
        <is>
          <t xml:space="preserve">주주총회소집결의              </t>
        </is>
      </c>
      <c r="F3042" s="3" t="inlineStr">
        <is>
          <t>에이텀</t>
        </is>
      </c>
      <c r="G3042" s="2" t="inlineStr">
        <is>
          <t>20260312901983</t>
        </is>
      </c>
      <c r="H3042" s="8">
        <f>HYPERLINK("https://dart.fss.or.kr/dsaf001/main.do?rcpNo=20260312901983", "공시열람")</f>
        <v/>
      </c>
    </row>
    <row r="3043">
      <c r="A3043" s="2" t="inlineStr">
        <is>
          <t>2026-03-12 (정정: 2026-03-19)</t>
        </is>
      </c>
      <c r="B3043" s="3" t="inlineStr">
        <is>
          <t>토마토시스템</t>
        </is>
      </c>
      <c r="C3043" s="2" t="inlineStr">
        <is>
          <t>코스닥</t>
        </is>
      </c>
      <c r="D3043" s="2" t="inlineStr">
        <is>
          <t>393210</t>
        </is>
      </c>
      <c r="E3043" s="3" t="inlineStr">
        <is>
          <t>주주총회집중일개최사유신고               (정정: 20260319)</t>
        </is>
      </c>
      <c r="F3043" s="3" t="inlineStr">
        <is>
          <t>토마토시스템</t>
        </is>
      </c>
      <c r="G3043" s="2" t="inlineStr">
        <is>
          <t>20260319001229</t>
        </is>
      </c>
      <c r="H3043" s="8">
        <f>HYPERLINK("https://dart.fss.or.kr/dsaf001/main.do?rcpNo=20260319001229", "공시열람")</f>
        <v/>
      </c>
    </row>
    <row r="3044">
      <c r="A3044" s="2" t="inlineStr">
        <is>
          <t>2026-03-12</t>
        </is>
      </c>
      <c r="B3044" s="3" t="inlineStr">
        <is>
          <t>윈팩</t>
        </is>
      </c>
      <c r="C3044" s="2" t="inlineStr">
        <is>
          <t>코스닥</t>
        </is>
      </c>
      <c r="D3044" s="2" t="inlineStr">
        <is>
          <t>097800</t>
        </is>
      </c>
      <c r="E3044" s="3" t="inlineStr">
        <is>
          <t xml:space="preserve">주주총회소집결의              </t>
        </is>
      </c>
      <c r="F3044" s="3" t="inlineStr">
        <is>
          <t>윈팩</t>
        </is>
      </c>
      <c r="G3044" s="2" t="inlineStr">
        <is>
          <t>20260312902015</t>
        </is>
      </c>
      <c r="H3044" s="8">
        <f>HYPERLINK("https://dart.fss.or.kr/dsaf001/main.do?rcpNo=20260312902015", "공시열람")</f>
        <v/>
      </c>
    </row>
    <row r="3045">
      <c r="A3045" s="2" t="inlineStr">
        <is>
          <t>2026-03-12</t>
        </is>
      </c>
      <c r="B3045" s="3" t="inlineStr">
        <is>
          <t>시너지이노베이션</t>
        </is>
      </c>
      <c r="C3045" s="2" t="inlineStr">
        <is>
          <t>코스닥</t>
        </is>
      </c>
      <c r="D3045" s="2" t="inlineStr">
        <is>
          <t>048870</t>
        </is>
      </c>
      <c r="E3045" s="3" t="inlineStr">
        <is>
          <t>주주총회소집공고</t>
        </is>
      </c>
      <c r="F3045" s="3" t="inlineStr">
        <is>
          <t>시너지이노베이션</t>
        </is>
      </c>
      <c r="G3045" s="2" t="inlineStr">
        <is>
          <t>20260312001253</t>
        </is>
      </c>
      <c r="H3045" s="8">
        <f>HYPERLINK("https://dart.fss.or.kr/dsaf001/main.do?rcpNo=20260312001253", "공시열람")</f>
        <v/>
      </c>
    </row>
    <row r="3046">
      <c r="A3046" s="2" t="inlineStr">
        <is>
          <t>2026-03-12</t>
        </is>
      </c>
      <c r="B3046" s="3" t="inlineStr">
        <is>
          <t>롯데손해보험</t>
        </is>
      </c>
      <c r="C3046" s="2" t="inlineStr">
        <is>
          <t>코스피</t>
        </is>
      </c>
      <c r="D3046" s="2" t="inlineStr">
        <is>
          <t>000400</t>
        </is>
      </c>
      <c r="E3046" s="3" t="inlineStr">
        <is>
          <t>주주총회소집공고</t>
        </is>
      </c>
      <c r="F3046" s="3" t="inlineStr">
        <is>
          <t>롯데손해보험</t>
        </is>
      </c>
      <c r="G3046" s="2" t="inlineStr">
        <is>
          <t>20260312001250</t>
        </is>
      </c>
      <c r="H3046" s="8">
        <f>HYPERLINK("https://dart.fss.or.kr/dsaf001/main.do?rcpNo=20260312001250", "공시열람")</f>
        <v/>
      </c>
    </row>
    <row r="3047">
      <c r="A3047" s="2" t="inlineStr">
        <is>
          <t>2026-03-12</t>
        </is>
      </c>
      <c r="B3047" s="3" t="inlineStr">
        <is>
          <t>네오오토</t>
        </is>
      </c>
      <c r="C3047" s="2" t="inlineStr">
        <is>
          <t>코스닥</t>
        </is>
      </c>
      <c r="D3047" s="2" t="inlineStr">
        <is>
          <t>212560</t>
        </is>
      </c>
      <c r="E3047" s="3" t="inlineStr">
        <is>
          <t xml:space="preserve">주주총회소집결의              </t>
        </is>
      </c>
      <c r="F3047" s="3" t="inlineStr">
        <is>
          <t>네오오토</t>
        </is>
      </c>
      <c r="G3047" s="2" t="inlineStr">
        <is>
          <t>20260312901631</t>
        </is>
      </c>
      <c r="H3047" s="8">
        <f>HYPERLINK("https://dart.fss.or.kr/dsaf001/main.do?rcpNo=20260312901631", "공시열람")</f>
        <v/>
      </c>
    </row>
    <row r="3048">
      <c r="A3048" s="2" t="inlineStr">
        <is>
          <t>2026-03-12</t>
        </is>
      </c>
      <c r="B3048" s="3" t="inlineStr">
        <is>
          <t>이수스페셜티케미컬</t>
        </is>
      </c>
      <c r="C3048" s="2" t="inlineStr">
        <is>
          <t>코스피</t>
        </is>
      </c>
      <c r="D3048" s="2" t="inlineStr">
        <is>
          <t>457190</t>
        </is>
      </c>
      <c r="E3048" s="3" t="inlineStr">
        <is>
          <t>주주총회소집공고</t>
        </is>
      </c>
      <c r="F3048" s="3" t="inlineStr">
        <is>
          <t>이수스페셜티케미컬</t>
        </is>
      </c>
      <c r="G3048" s="2" t="inlineStr">
        <is>
          <t>20260312001245</t>
        </is>
      </c>
      <c r="H3048" s="8">
        <f>HYPERLINK("https://dart.fss.or.kr/dsaf001/main.do?rcpNo=20260312001245", "공시열람")</f>
        <v/>
      </c>
    </row>
    <row r="3049">
      <c r="A3049" s="2" t="inlineStr">
        <is>
          <t>2026-03-12</t>
        </is>
      </c>
      <c r="B3049" s="3" t="inlineStr">
        <is>
          <t>코리안리</t>
        </is>
      </c>
      <c r="C3049" s="2" t="inlineStr">
        <is>
          <t>코스피</t>
        </is>
      </c>
      <c r="D3049" s="2" t="inlineStr">
        <is>
          <t>003690</t>
        </is>
      </c>
      <c r="E3049" s="3" t="inlineStr">
        <is>
          <t>주주총회소집공고</t>
        </is>
      </c>
      <c r="F3049" s="3" t="inlineStr">
        <is>
          <t>코리안리</t>
        </is>
      </c>
      <c r="G3049" s="2" t="inlineStr">
        <is>
          <t>20260312001243</t>
        </is>
      </c>
      <c r="H3049" s="8">
        <f>HYPERLINK("https://dart.fss.or.kr/dsaf001/main.do?rcpNo=20260312001243", "공시열람")</f>
        <v/>
      </c>
    </row>
    <row r="3050">
      <c r="A3050" s="2" t="inlineStr">
        <is>
          <t>2026-03-12</t>
        </is>
      </c>
      <c r="B3050" s="3" t="inlineStr">
        <is>
          <t>롯데손해보험</t>
        </is>
      </c>
      <c r="C3050" s="2" t="inlineStr">
        <is>
          <t>코스피</t>
        </is>
      </c>
      <c r="D3050" s="2" t="inlineStr">
        <is>
          <t>000400</t>
        </is>
      </c>
      <c r="E3050" s="3" t="inlineStr">
        <is>
          <t xml:space="preserve">주주총회소집결의              </t>
        </is>
      </c>
      <c r="F3050" s="3" t="inlineStr">
        <is>
          <t>롯데손해보험</t>
        </is>
      </c>
      <c r="G3050" s="2" t="inlineStr">
        <is>
          <t>20260312802035</t>
        </is>
      </c>
      <c r="H3050" s="8">
        <f>HYPERLINK("https://dart.fss.or.kr/dsaf001/main.do?rcpNo=20260312802035", "공시열람")</f>
        <v/>
      </c>
    </row>
    <row r="3051">
      <c r="A3051" s="2" t="inlineStr">
        <is>
          <t>2026-03-12</t>
        </is>
      </c>
      <c r="B3051" s="3" t="inlineStr">
        <is>
          <t>원익홀딩스</t>
        </is>
      </c>
      <c r="C3051" s="2" t="inlineStr">
        <is>
          <t>코스닥</t>
        </is>
      </c>
      <c r="D3051" s="2" t="inlineStr">
        <is>
          <t>030530</t>
        </is>
      </c>
      <c r="E3051" s="3" t="inlineStr">
        <is>
          <t xml:space="preserve">주주총회집중일개최사유신고              </t>
        </is>
      </c>
      <c r="F3051" s="3" t="inlineStr">
        <is>
          <t>원익홀딩스</t>
        </is>
      </c>
      <c r="G3051" s="2" t="inlineStr">
        <is>
          <t>20260312901484</t>
        </is>
      </c>
      <c r="H3051" s="8">
        <f>HYPERLINK("https://dart.fss.or.kr/dsaf001/main.do?rcpNo=20260312901484", "공시열람")</f>
        <v/>
      </c>
    </row>
    <row r="3052">
      <c r="A3052" s="2" t="inlineStr">
        <is>
          <t>2026-03-12</t>
        </is>
      </c>
      <c r="B3052" s="3" t="inlineStr">
        <is>
          <t>유니온바이오메트릭스</t>
        </is>
      </c>
      <c r="C3052" s="2" t="inlineStr">
        <is>
          <t>코스닥</t>
        </is>
      </c>
      <c r="D3052" s="2" t="inlineStr">
        <is>
          <t>203450</t>
        </is>
      </c>
      <c r="E3052" s="3" t="inlineStr">
        <is>
          <t>주주총회소집공고</t>
        </is>
      </c>
      <c r="F3052" s="3" t="inlineStr">
        <is>
          <t>유니온바이오메트릭스</t>
        </is>
      </c>
      <c r="G3052" s="2" t="inlineStr">
        <is>
          <t>20260312001240</t>
        </is>
      </c>
      <c r="H3052" s="8">
        <f>HYPERLINK("https://dart.fss.or.kr/dsaf001/main.do?rcpNo=20260312001240", "공시열람")</f>
        <v/>
      </c>
    </row>
    <row r="3053">
      <c r="A3053" s="2" t="inlineStr">
        <is>
          <t>2026-03-12 (정정: 2026-03-12)</t>
        </is>
      </c>
      <c r="B3053" s="3" t="inlineStr">
        <is>
          <t>원익홀딩스</t>
        </is>
      </c>
      <c r="C3053" s="2" t="inlineStr">
        <is>
          <t>코스닥</t>
        </is>
      </c>
      <c r="D3053" s="2" t="inlineStr">
        <is>
          <t>030530</t>
        </is>
      </c>
      <c r="E3053" s="3" t="inlineStr">
        <is>
          <t>주주총회소집결의               (정정: 20260312)</t>
        </is>
      </c>
      <c r="F3053" s="3" t="inlineStr">
        <is>
          <t>원익홀딩스</t>
        </is>
      </c>
      <c r="G3053" s="2" t="inlineStr">
        <is>
          <t>20260312901407</t>
        </is>
      </c>
      <c r="H3053" s="8">
        <f>HYPERLINK("https://dart.fss.or.kr/dsaf001/main.do?rcpNo=20260312901407", "공시열람")</f>
        <v/>
      </c>
    </row>
    <row r="3054">
      <c r="A3054" s="2" t="inlineStr">
        <is>
          <t>2026-03-12</t>
        </is>
      </c>
      <c r="B3054" s="3" t="inlineStr">
        <is>
          <t>코어라인소프트</t>
        </is>
      </c>
      <c r="C3054" s="2" t="inlineStr">
        <is>
          <t>코스닥</t>
        </is>
      </c>
      <c r="D3054" s="2" t="inlineStr">
        <is>
          <t>384470</t>
        </is>
      </c>
      <c r="E3054" s="3" t="inlineStr">
        <is>
          <t>주주총회소집공고</t>
        </is>
      </c>
      <c r="F3054" s="3" t="inlineStr">
        <is>
          <t>코어라인소프트</t>
        </is>
      </c>
      <c r="G3054" s="2" t="inlineStr">
        <is>
          <t>20260312001232</t>
        </is>
      </c>
      <c r="H3054" s="8">
        <f>HYPERLINK("https://dart.fss.or.kr/dsaf001/main.do?rcpNo=20260312001232", "공시열람")</f>
        <v/>
      </c>
    </row>
    <row r="3055">
      <c r="A3055" s="2" t="inlineStr">
        <is>
          <t>2026-03-12</t>
        </is>
      </c>
      <c r="B3055" s="3" t="inlineStr">
        <is>
          <t>한주라이트메탈</t>
        </is>
      </c>
      <c r="C3055" s="2" t="inlineStr">
        <is>
          <t>코스닥</t>
        </is>
      </c>
      <c r="D3055" s="2" t="inlineStr">
        <is>
          <t>198940</t>
        </is>
      </c>
      <c r="E3055" s="3" t="inlineStr">
        <is>
          <t>주주총회소집공고</t>
        </is>
      </c>
      <c r="F3055" s="3" t="inlineStr">
        <is>
          <t>한주라이트메탈</t>
        </is>
      </c>
      <c r="G3055" s="2" t="inlineStr">
        <is>
          <t>20260312001231</t>
        </is>
      </c>
      <c r="H3055" s="8">
        <f>HYPERLINK("https://dart.fss.or.kr/dsaf001/main.do?rcpNo=20260312001231", "공시열람")</f>
        <v/>
      </c>
    </row>
    <row r="3056">
      <c r="A3056" s="2" t="inlineStr">
        <is>
          <t>2026-03-12</t>
        </is>
      </c>
      <c r="B3056" s="3" t="inlineStr">
        <is>
          <t>리튬포어스</t>
        </is>
      </c>
      <c r="C3056" s="2" t="inlineStr">
        <is>
          <t>코스닥</t>
        </is>
      </c>
      <c r="D3056" s="2" t="inlineStr">
        <is>
          <t>073570</t>
        </is>
      </c>
      <c r="E3056" s="3" t="inlineStr">
        <is>
          <t>주주총회소집공고</t>
        </is>
      </c>
      <c r="F3056" s="3" t="inlineStr">
        <is>
          <t>리튬포어스</t>
        </is>
      </c>
      <c r="G3056" s="2" t="inlineStr">
        <is>
          <t>20260312001229</t>
        </is>
      </c>
      <c r="H3056" s="8">
        <f>HYPERLINK("https://dart.fss.or.kr/dsaf001/main.do?rcpNo=20260312001229", "공시열람")</f>
        <v/>
      </c>
    </row>
    <row r="3057">
      <c r="A3057" s="2" t="inlineStr">
        <is>
          <t>2026-03-12</t>
        </is>
      </c>
      <c r="B3057" s="3" t="inlineStr">
        <is>
          <t>휴니드테크놀러지스</t>
        </is>
      </c>
      <c r="C3057" s="2" t="inlineStr">
        <is>
          <t>코스피</t>
        </is>
      </c>
      <c r="D3057" s="2" t="inlineStr">
        <is>
          <t>005870</t>
        </is>
      </c>
      <c r="E3057" s="3" t="inlineStr">
        <is>
          <t>주주총회소집공고</t>
        </is>
      </c>
      <c r="F3057" s="3" t="inlineStr">
        <is>
          <t>휴니드테크놀러지스</t>
        </is>
      </c>
      <c r="G3057" s="2" t="inlineStr">
        <is>
          <t>20260312001228</t>
        </is>
      </c>
      <c r="H3057" s="8">
        <f>HYPERLINK("https://dart.fss.or.kr/dsaf001/main.do?rcpNo=20260312001228", "공시열람")</f>
        <v/>
      </c>
    </row>
    <row r="3058">
      <c r="A3058" s="2" t="inlineStr">
        <is>
          <t>2026-03-12</t>
        </is>
      </c>
      <c r="B3058" s="3" t="inlineStr">
        <is>
          <t>유니온바이오메트릭스</t>
        </is>
      </c>
      <c r="C3058" s="2" t="inlineStr">
        <is>
          <t>코스닥</t>
        </is>
      </c>
      <c r="D3058" s="2" t="inlineStr">
        <is>
          <t>203450</t>
        </is>
      </c>
      <c r="E3058" s="3" t="inlineStr">
        <is>
          <t xml:space="preserve">주주총회집중일개최사유신고              </t>
        </is>
      </c>
      <c r="F3058" s="3" t="inlineStr">
        <is>
          <t>유니온바이오메트릭스</t>
        </is>
      </c>
      <c r="G3058" s="2" t="inlineStr">
        <is>
          <t>20260312901965</t>
        </is>
      </c>
      <c r="H3058" s="8">
        <f>HYPERLINK("https://dart.fss.or.kr/dsaf001/main.do?rcpNo=20260312901965", "공시열람")</f>
        <v/>
      </c>
    </row>
    <row r="3059">
      <c r="A3059" s="2" t="inlineStr">
        <is>
          <t>2026-03-12 (정정: 2026-03-12)</t>
        </is>
      </c>
      <c r="B3059" s="3" t="inlineStr">
        <is>
          <t>유니온바이오메트릭스</t>
        </is>
      </c>
      <c r="C3059" s="2" t="inlineStr">
        <is>
          <t>코스닥</t>
        </is>
      </c>
      <c r="D3059" s="2" t="inlineStr">
        <is>
          <t>203450</t>
        </is>
      </c>
      <c r="E3059" s="3" t="inlineStr">
        <is>
          <t>주주총회소집결의               (정정: 20260312)</t>
        </is>
      </c>
      <c r="F3059" s="3" t="inlineStr">
        <is>
          <t>유니온바이오메트릭스</t>
        </is>
      </c>
      <c r="G3059" s="2" t="inlineStr">
        <is>
          <t>20260312901372</t>
        </is>
      </c>
      <c r="H3059" s="8">
        <f>HYPERLINK("https://dart.fss.or.kr/dsaf001/main.do?rcpNo=20260312901372", "공시열람")</f>
        <v/>
      </c>
    </row>
    <row r="3060">
      <c r="A3060" s="2" t="inlineStr">
        <is>
          <t>2026-03-12</t>
        </is>
      </c>
      <c r="B3060" s="3" t="inlineStr">
        <is>
          <t>영원무역</t>
        </is>
      </c>
      <c r="C3060" s="2" t="inlineStr">
        <is>
          <t>코스피</t>
        </is>
      </c>
      <c r="D3060" s="2" t="inlineStr">
        <is>
          <t>111770</t>
        </is>
      </c>
      <c r="E3060" s="3" t="inlineStr">
        <is>
          <t xml:space="preserve">주주총회집중일개최사유신고              </t>
        </is>
      </c>
      <c r="F3060" s="3" t="inlineStr">
        <is>
          <t>영원무역</t>
        </is>
      </c>
      <c r="G3060" s="2" t="inlineStr">
        <is>
          <t>20260312801977</t>
        </is>
      </c>
      <c r="H3060" s="8">
        <f>HYPERLINK("https://dart.fss.or.kr/dsaf001/main.do?rcpNo=20260312801977", "공시열람")</f>
        <v/>
      </c>
    </row>
    <row r="3061">
      <c r="A3061" s="2" t="inlineStr">
        <is>
          <t>2026-03-12</t>
        </is>
      </c>
      <c r="B3061" s="3" t="inlineStr">
        <is>
          <t>비나텍</t>
        </is>
      </c>
      <c r="C3061" s="2" t="inlineStr">
        <is>
          <t>코스닥</t>
        </is>
      </c>
      <c r="D3061" s="2" t="inlineStr">
        <is>
          <t>126340</t>
        </is>
      </c>
      <c r="E3061" s="3" t="inlineStr">
        <is>
          <t xml:space="preserve">주주총회집중일개최사유신고              </t>
        </is>
      </c>
      <c r="F3061" s="3" t="inlineStr">
        <is>
          <t>비나텍</t>
        </is>
      </c>
      <c r="G3061" s="2" t="inlineStr">
        <is>
          <t>20260312901728</t>
        </is>
      </c>
      <c r="H3061" s="8">
        <f>HYPERLINK("https://dart.fss.or.kr/dsaf001/main.do?rcpNo=20260312901728", "공시열람")</f>
        <v/>
      </c>
    </row>
    <row r="3062">
      <c r="A3062" s="2" t="inlineStr">
        <is>
          <t>2026-03-12</t>
        </is>
      </c>
      <c r="B3062" s="3" t="inlineStr">
        <is>
          <t>코어라인소프트</t>
        </is>
      </c>
      <c r="C3062" s="2" t="inlineStr">
        <is>
          <t>코스닥</t>
        </is>
      </c>
      <c r="D3062" s="2" t="inlineStr">
        <is>
          <t>384470</t>
        </is>
      </c>
      <c r="E3062" s="3" t="inlineStr">
        <is>
          <t xml:space="preserve">주주총회집중일개최사유신고              </t>
        </is>
      </c>
      <c r="F3062" s="3" t="inlineStr">
        <is>
          <t>코어라인소프트</t>
        </is>
      </c>
      <c r="G3062" s="2" t="inlineStr">
        <is>
          <t>20260312901822</t>
        </is>
      </c>
      <c r="H3062" s="8">
        <f>HYPERLINK("https://dart.fss.or.kr/dsaf001/main.do?rcpNo=20260312901822", "공시열람")</f>
        <v/>
      </c>
    </row>
    <row r="3063">
      <c r="A3063" s="2" t="inlineStr">
        <is>
          <t>2026-03-12</t>
        </is>
      </c>
      <c r="B3063" s="3" t="inlineStr">
        <is>
          <t>비나텍</t>
        </is>
      </c>
      <c r="C3063" s="2" t="inlineStr">
        <is>
          <t>코스닥</t>
        </is>
      </c>
      <c r="D3063" s="2" t="inlineStr">
        <is>
          <t>126340</t>
        </is>
      </c>
      <c r="E3063" s="3" t="inlineStr">
        <is>
          <t xml:space="preserve">주주총회소집결의              </t>
        </is>
      </c>
      <c r="F3063" s="3" t="inlineStr">
        <is>
          <t>비나텍</t>
        </is>
      </c>
      <c r="G3063" s="2" t="inlineStr">
        <is>
          <t>20260312901786</t>
        </is>
      </c>
      <c r="H3063" s="8">
        <f>HYPERLINK("https://dart.fss.or.kr/dsaf001/main.do?rcpNo=20260312901786", "공시열람")</f>
        <v/>
      </c>
    </row>
    <row r="3064">
      <c r="A3064" s="2" t="inlineStr">
        <is>
          <t>2026-03-12</t>
        </is>
      </c>
      <c r="B3064" s="3" t="inlineStr">
        <is>
          <t>큐브엔터</t>
        </is>
      </c>
      <c r="C3064" s="2" t="inlineStr">
        <is>
          <t>코스닥</t>
        </is>
      </c>
      <c r="D3064" s="2" t="inlineStr">
        <is>
          <t>182360</t>
        </is>
      </c>
      <c r="E3064" s="3" t="inlineStr">
        <is>
          <t>주주총회소집공고</t>
        </is>
      </c>
      <c r="F3064" s="3" t="inlineStr">
        <is>
          <t>큐브엔터</t>
        </is>
      </c>
      <c r="G3064" s="2" t="inlineStr">
        <is>
          <t>20260312001223</t>
        </is>
      </c>
      <c r="H3064" s="8">
        <f>HYPERLINK("https://dart.fss.or.kr/dsaf001/main.do?rcpNo=20260312001223", "공시열람")</f>
        <v/>
      </c>
    </row>
    <row r="3065">
      <c r="A3065" s="2" t="inlineStr">
        <is>
          <t>2026-03-12</t>
        </is>
      </c>
      <c r="B3065" s="3" t="inlineStr">
        <is>
          <t>SYTS</t>
        </is>
      </c>
      <c r="C3065" s="2" t="inlineStr">
        <is>
          <t>코스피</t>
        </is>
      </c>
      <c r="D3065" s="2" t="inlineStr">
        <is>
          <t>002170</t>
        </is>
      </c>
      <c r="E3065" s="3" t="inlineStr">
        <is>
          <t xml:space="preserve">주주총회집중일개최사유신고              </t>
        </is>
      </c>
      <c r="F3065" s="3" t="inlineStr">
        <is>
          <t>SYTS</t>
        </is>
      </c>
      <c r="G3065" s="2" t="inlineStr">
        <is>
          <t>20260312802021</t>
        </is>
      </c>
      <c r="H3065" s="8">
        <f>HYPERLINK("https://dart.fss.or.kr/dsaf001/main.do?rcpNo=20260312802021", "공시열람")</f>
        <v/>
      </c>
    </row>
    <row r="3066">
      <c r="A3066" s="2" t="inlineStr">
        <is>
          <t>2026-03-12 (정정: 2026-06-01)</t>
        </is>
      </c>
      <c r="B3066" s="3" t="inlineStr">
        <is>
          <t>올리패스</t>
        </is>
      </c>
      <c r="C3066" s="2" t="inlineStr">
        <is>
          <t>코스닥</t>
        </is>
      </c>
      <c r="D3066" s="2" t="inlineStr">
        <is>
          <t>244460</t>
        </is>
      </c>
      <c r="E3066" s="3" t="inlineStr">
        <is>
          <t>주주총회소집결의               (정정: 20260601) (정정: 20260601) (정정: 20260601) (정정: 20260601)</t>
        </is>
      </c>
      <c r="F3066" s="3" t="inlineStr">
        <is>
          <t>올리패스</t>
        </is>
      </c>
      <c r="G3066" s="2" t="inlineStr">
        <is>
          <t>20260601900009</t>
        </is>
      </c>
      <c r="H3066" s="8">
        <f>HYPERLINK("https://dart.fss.or.kr/dsaf001/main.do?rcpNo=20260601900009", "공시열람")</f>
        <v/>
      </c>
    </row>
    <row r="3067">
      <c r="A3067" s="2" t="inlineStr">
        <is>
          <t>2026-03-12</t>
        </is>
      </c>
      <c r="B3067" s="3" t="inlineStr">
        <is>
          <t>이수화학</t>
        </is>
      </c>
      <c r="C3067" s="2" t="inlineStr">
        <is>
          <t>코스피</t>
        </is>
      </c>
      <c r="D3067" s="2" t="inlineStr">
        <is>
          <t>005950</t>
        </is>
      </c>
      <c r="E3067" s="3" t="inlineStr">
        <is>
          <t xml:space="preserve">주주총회집중일개최사유신고              </t>
        </is>
      </c>
      <c r="F3067" s="3" t="inlineStr">
        <is>
          <t>이수화학</t>
        </is>
      </c>
      <c r="G3067" s="2" t="inlineStr">
        <is>
          <t>20260312802007</t>
        </is>
      </c>
      <c r="H3067" s="8">
        <f>HYPERLINK("https://dart.fss.or.kr/dsaf001/main.do?rcpNo=20260312802007", "공시열람")</f>
        <v/>
      </c>
    </row>
    <row r="3068">
      <c r="A3068" s="2" t="inlineStr">
        <is>
          <t>2026-03-12</t>
        </is>
      </c>
      <c r="B3068" s="3" t="inlineStr">
        <is>
          <t>비투엔</t>
        </is>
      </c>
      <c r="C3068" s="2" t="inlineStr">
        <is>
          <t>코스닥</t>
        </is>
      </c>
      <c r="D3068" s="2" t="inlineStr">
        <is>
          <t>307870</t>
        </is>
      </c>
      <c r="E3068" s="3" t="inlineStr">
        <is>
          <t>주주총회소집공고</t>
        </is>
      </c>
      <c r="F3068" s="3" t="inlineStr">
        <is>
          <t>비투엔</t>
        </is>
      </c>
      <c r="G3068" s="2" t="inlineStr">
        <is>
          <t>20260312001219</t>
        </is>
      </c>
      <c r="H3068" s="8">
        <f>HYPERLINK("https://dart.fss.or.kr/dsaf001/main.do?rcpNo=20260312001219", "공시열람")</f>
        <v/>
      </c>
    </row>
    <row r="3069">
      <c r="A3069" s="2" t="inlineStr">
        <is>
          <t>2026-03-12</t>
        </is>
      </c>
      <c r="B3069" s="3" t="inlineStr">
        <is>
          <t>비투엔</t>
        </is>
      </c>
      <c r="C3069" s="2" t="inlineStr">
        <is>
          <t>코스닥</t>
        </is>
      </c>
      <c r="D3069" s="2" t="inlineStr">
        <is>
          <t>307870</t>
        </is>
      </c>
      <c r="E3069" s="3" t="inlineStr">
        <is>
          <t xml:space="preserve">주주총회소집결의              </t>
        </is>
      </c>
      <c r="F3069" s="3" t="inlineStr">
        <is>
          <t>비투엔</t>
        </is>
      </c>
      <c r="G3069" s="2" t="inlineStr">
        <is>
          <t>20260312901447</t>
        </is>
      </c>
      <c r="H3069" s="8">
        <f>HYPERLINK("https://dart.fss.or.kr/dsaf001/main.do?rcpNo=20260312901447", "공시열람")</f>
        <v/>
      </c>
    </row>
    <row r="3070">
      <c r="A3070" s="2" t="inlineStr">
        <is>
          <t>2026-03-12</t>
        </is>
      </c>
      <c r="B3070" s="3" t="inlineStr">
        <is>
          <t>에이직랜드</t>
        </is>
      </c>
      <c r="C3070" s="2" t="inlineStr">
        <is>
          <t>코스닥</t>
        </is>
      </c>
      <c r="D3070" s="2" t="inlineStr">
        <is>
          <t>445090</t>
        </is>
      </c>
      <c r="E3070" s="3" t="inlineStr">
        <is>
          <t>주주총회소집공고</t>
        </is>
      </c>
      <c r="F3070" s="3" t="inlineStr">
        <is>
          <t>에이직랜드</t>
        </is>
      </c>
      <c r="G3070" s="2" t="inlineStr">
        <is>
          <t>20260312001214</t>
        </is>
      </c>
      <c r="H3070" s="8">
        <f>HYPERLINK("https://dart.fss.or.kr/dsaf001/main.do?rcpNo=20260312001214", "공시열람")</f>
        <v/>
      </c>
    </row>
    <row r="3071">
      <c r="A3071" s="2" t="inlineStr">
        <is>
          <t>2026-03-12</t>
        </is>
      </c>
      <c r="B3071" s="3" t="inlineStr">
        <is>
          <t>플래티어</t>
        </is>
      </c>
      <c r="C3071" s="2" t="inlineStr">
        <is>
          <t>코스닥</t>
        </is>
      </c>
      <c r="D3071" s="2" t="inlineStr">
        <is>
          <t>367000</t>
        </is>
      </c>
      <c r="E3071" s="3" t="inlineStr">
        <is>
          <t>주주총회소집공고</t>
        </is>
      </c>
      <c r="F3071" s="3" t="inlineStr">
        <is>
          <t>플래티어</t>
        </is>
      </c>
      <c r="G3071" s="2" t="inlineStr">
        <is>
          <t>20260312001212</t>
        </is>
      </c>
      <c r="H3071" s="8">
        <f>HYPERLINK("https://dart.fss.or.kr/dsaf001/main.do?rcpNo=20260312001212", "공시열람")</f>
        <v/>
      </c>
    </row>
    <row r="3072">
      <c r="A3072" s="2" t="inlineStr">
        <is>
          <t>2026-03-12</t>
        </is>
      </c>
      <c r="B3072" s="3" t="inlineStr">
        <is>
          <t>인터플렉스</t>
        </is>
      </c>
      <c r="C3072" s="2" t="inlineStr">
        <is>
          <t>코스닥</t>
        </is>
      </c>
      <c r="D3072" s="2" t="inlineStr">
        <is>
          <t>051370</t>
        </is>
      </c>
      <c r="E3072" s="3" t="inlineStr">
        <is>
          <t xml:space="preserve">주주총회집중일개최사유신고              </t>
        </is>
      </c>
      <c r="F3072" s="3" t="inlineStr">
        <is>
          <t>인터플렉스</t>
        </is>
      </c>
      <c r="G3072" s="2" t="inlineStr">
        <is>
          <t>20260312901397</t>
        </is>
      </c>
      <c r="H3072" s="8">
        <f>HYPERLINK("https://dart.fss.or.kr/dsaf001/main.do?rcpNo=20260312901397", "공시열람")</f>
        <v/>
      </c>
    </row>
    <row r="3073">
      <c r="A3073" s="2" t="inlineStr">
        <is>
          <t>2026-03-12</t>
        </is>
      </c>
      <c r="B3073" s="3" t="inlineStr">
        <is>
          <t>인터플렉스</t>
        </is>
      </c>
      <c r="C3073" s="2" t="inlineStr">
        <is>
          <t>코스닥</t>
        </is>
      </c>
      <c r="D3073" s="2" t="inlineStr">
        <is>
          <t>051370</t>
        </is>
      </c>
      <c r="E3073" s="3" t="inlineStr">
        <is>
          <t xml:space="preserve">주주총회소집결의              </t>
        </is>
      </c>
      <c r="F3073" s="3" t="inlineStr">
        <is>
          <t>인터플렉스</t>
        </is>
      </c>
      <c r="G3073" s="2" t="inlineStr">
        <is>
          <t>20260312901832</t>
        </is>
      </c>
      <c r="H3073" s="8">
        <f>HYPERLINK("https://dart.fss.or.kr/dsaf001/main.do?rcpNo=20260312901832", "공시열람")</f>
        <v/>
      </c>
    </row>
    <row r="3074">
      <c r="A3074" s="2" t="inlineStr">
        <is>
          <t>2026-03-12</t>
        </is>
      </c>
      <c r="B3074" s="3" t="inlineStr">
        <is>
          <t>큐에이드</t>
        </is>
      </c>
      <c r="C3074" s="2" t="inlineStr">
        <is>
          <t>코스닥</t>
        </is>
      </c>
      <c r="D3074" s="2" t="inlineStr">
        <is>
          <t>377460</t>
        </is>
      </c>
      <c r="E3074" s="3" t="inlineStr">
        <is>
          <t xml:space="preserve">주주총회소집결의              </t>
        </is>
      </c>
      <c r="F3074" s="3" t="inlineStr">
        <is>
          <t>큐에이드</t>
        </is>
      </c>
      <c r="G3074" s="2" t="inlineStr">
        <is>
          <t>20260312901788</t>
        </is>
      </c>
      <c r="H3074" s="8">
        <f>HYPERLINK("https://dart.fss.or.kr/dsaf001/main.do?rcpNo=20260312901788", "공시열람")</f>
        <v/>
      </c>
    </row>
    <row r="3075">
      <c r="A3075" s="2" t="inlineStr">
        <is>
          <t>2026-03-12</t>
        </is>
      </c>
      <c r="B3075" s="3" t="inlineStr">
        <is>
          <t>영원무역홀딩스</t>
        </is>
      </c>
      <c r="C3075" s="2" t="inlineStr">
        <is>
          <t>코스피</t>
        </is>
      </c>
      <c r="D3075" s="2" t="inlineStr">
        <is>
          <t>009970</t>
        </is>
      </c>
      <c r="E3075" s="3" t="inlineStr">
        <is>
          <t xml:space="preserve">주주총회집중일개최사유신고              </t>
        </is>
      </c>
      <c r="F3075" s="3" t="inlineStr">
        <is>
          <t>영원무역홀딩스</t>
        </is>
      </c>
      <c r="G3075" s="2" t="inlineStr">
        <is>
          <t>20260312801978</t>
        </is>
      </c>
      <c r="H3075" s="8">
        <f>HYPERLINK("https://dart.fss.or.kr/dsaf001/main.do?rcpNo=20260312801978", "공시열람")</f>
        <v/>
      </c>
    </row>
    <row r="3076">
      <c r="A3076" s="2" t="inlineStr">
        <is>
          <t>2026-03-12</t>
        </is>
      </c>
      <c r="B3076" s="3" t="inlineStr">
        <is>
          <t>코리안리</t>
        </is>
      </c>
      <c r="C3076" s="2" t="inlineStr">
        <is>
          <t>코스피</t>
        </is>
      </c>
      <c r="D3076" s="2" t="inlineStr">
        <is>
          <t>003690</t>
        </is>
      </c>
      <c r="E3076" s="3" t="inlineStr">
        <is>
          <t xml:space="preserve">주주총회집중일개최사유신고              </t>
        </is>
      </c>
      <c r="F3076" s="3" t="inlineStr">
        <is>
          <t>코리안리</t>
        </is>
      </c>
      <c r="G3076" s="2" t="inlineStr">
        <is>
          <t>20260312801979</t>
        </is>
      </c>
      <c r="H3076" s="8">
        <f>HYPERLINK("https://dart.fss.or.kr/dsaf001/main.do?rcpNo=20260312801979", "공시열람")</f>
        <v/>
      </c>
    </row>
    <row r="3077">
      <c r="A3077" s="2" t="inlineStr">
        <is>
          <t>2026-03-12</t>
        </is>
      </c>
      <c r="B3077" s="3" t="inlineStr">
        <is>
          <t>오아</t>
        </is>
      </c>
      <c r="C3077" s="2" t="inlineStr">
        <is>
          <t>코스닥</t>
        </is>
      </c>
      <c r="D3077" s="2" t="inlineStr">
        <is>
          <t>342870</t>
        </is>
      </c>
      <c r="E3077" s="3" t="inlineStr">
        <is>
          <t xml:space="preserve">주주총회집중일개최사유신고              </t>
        </is>
      </c>
      <c r="F3077" s="3" t="inlineStr">
        <is>
          <t>오아</t>
        </is>
      </c>
      <c r="G3077" s="2" t="inlineStr">
        <is>
          <t>20260312901702</t>
        </is>
      </c>
      <c r="H3077" s="8">
        <f>HYPERLINK("https://dart.fss.or.kr/dsaf001/main.do?rcpNo=20260312901702", "공시열람")</f>
        <v/>
      </c>
    </row>
    <row r="3078">
      <c r="A3078" s="2" t="inlineStr">
        <is>
          <t>2026-03-12</t>
        </is>
      </c>
      <c r="B3078" s="3" t="inlineStr">
        <is>
          <t>SYTS</t>
        </is>
      </c>
      <c r="C3078" s="2" t="inlineStr">
        <is>
          <t>코스피</t>
        </is>
      </c>
      <c r="D3078" s="2" t="inlineStr">
        <is>
          <t>002170</t>
        </is>
      </c>
      <c r="E3078" s="3" t="inlineStr">
        <is>
          <t xml:space="preserve">주주총회소집결의              </t>
        </is>
      </c>
      <c r="F3078" s="3" t="inlineStr">
        <is>
          <t>SYTS</t>
        </is>
      </c>
      <c r="G3078" s="2" t="inlineStr">
        <is>
          <t>20260312801795</t>
        </is>
      </c>
      <c r="H3078" s="8">
        <f>HYPERLINK("https://dart.fss.or.kr/dsaf001/main.do?rcpNo=20260312801795", "공시열람")</f>
        <v/>
      </c>
    </row>
    <row r="3079">
      <c r="A3079" s="2" t="inlineStr">
        <is>
          <t>2026-03-12</t>
        </is>
      </c>
      <c r="B3079" s="3" t="inlineStr">
        <is>
          <t>국일제지</t>
        </is>
      </c>
      <c r="C3079" s="2" t="inlineStr">
        <is>
          <t>코스닥</t>
        </is>
      </c>
      <c r="D3079" s="2" t="inlineStr">
        <is>
          <t>078130</t>
        </is>
      </c>
      <c r="E3079" s="3" t="inlineStr">
        <is>
          <t>주주총회소집공고</t>
        </is>
      </c>
      <c r="F3079" s="3" t="inlineStr">
        <is>
          <t>국일제지</t>
        </is>
      </c>
      <c r="G3079" s="2" t="inlineStr">
        <is>
          <t>20260312001208</t>
        </is>
      </c>
      <c r="H3079" s="8">
        <f>HYPERLINK("https://dart.fss.or.kr/dsaf001/main.do?rcpNo=20260312001208", "공시열람")</f>
        <v/>
      </c>
    </row>
    <row r="3080">
      <c r="A3080" s="2" t="inlineStr">
        <is>
          <t>2026-03-12</t>
        </is>
      </c>
      <c r="B3080" s="3" t="inlineStr">
        <is>
          <t>대현</t>
        </is>
      </c>
      <c r="C3080" s="2" t="inlineStr">
        <is>
          <t>코스피</t>
        </is>
      </c>
      <c r="D3080" s="2" t="inlineStr">
        <is>
          <t>016090</t>
        </is>
      </c>
      <c r="E3080" s="3" t="inlineStr">
        <is>
          <t>주주총회소집공고</t>
        </is>
      </c>
      <c r="F3080" s="3" t="inlineStr">
        <is>
          <t>대현</t>
        </is>
      </c>
      <c r="G3080" s="2" t="inlineStr">
        <is>
          <t>20260312001198</t>
        </is>
      </c>
      <c r="H3080" s="8">
        <f>HYPERLINK("https://dart.fss.or.kr/dsaf001/main.do?rcpNo=20260312001198", "공시열람")</f>
        <v/>
      </c>
    </row>
    <row r="3081">
      <c r="A3081" s="2" t="inlineStr">
        <is>
          <t>2026-03-12</t>
        </is>
      </c>
      <c r="B3081" s="3" t="inlineStr">
        <is>
          <t>남양유업</t>
        </is>
      </c>
      <c r="C3081" s="2" t="inlineStr">
        <is>
          <t>코스피</t>
        </is>
      </c>
      <c r="D3081" s="2" t="inlineStr">
        <is>
          <t>003920</t>
        </is>
      </c>
      <c r="E3081" s="3" t="inlineStr">
        <is>
          <t xml:space="preserve">주주총회집중일개최사유신고              </t>
        </is>
      </c>
      <c r="F3081" s="3" t="inlineStr">
        <is>
          <t>남양유업</t>
        </is>
      </c>
      <c r="G3081" s="2" t="inlineStr">
        <is>
          <t>20260312801963</t>
        </is>
      </c>
      <c r="H3081" s="8">
        <f>HYPERLINK("https://dart.fss.or.kr/dsaf001/main.do?rcpNo=20260312801963", "공시열람")</f>
        <v/>
      </c>
    </row>
    <row r="3082">
      <c r="A3082" s="2" t="inlineStr">
        <is>
          <t>2026-03-12</t>
        </is>
      </c>
      <c r="B3082" s="3" t="inlineStr">
        <is>
          <t>삼성공조</t>
        </is>
      </c>
      <c r="C3082" s="2" t="inlineStr">
        <is>
          <t>코스피</t>
        </is>
      </c>
      <c r="D3082" s="2" t="inlineStr">
        <is>
          <t>006660</t>
        </is>
      </c>
      <c r="E3082" s="3" t="inlineStr">
        <is>
          <t>주주총회소집공고</t>
        </is>
      </c>
      <c r="F3082" s="3" t="inlineStr">
        <is>
          <t>삼성공조</t>
        </is>
      </c>
      <c r="G3082" s="2" t="inlineStr">
        <is>
          <t>20260312001197</t>
        </is>
      </c>
      <c r="H3082" s="8">
        <f>HYPERLINK("https://dart.fss.or.kr/dsaf001/main.do?rcpNo=20260312001197", "공시열람")</f>
        <v/>
      </c>
    </row>
    <row r="3083">
      <c r="A3083" s="2" t="inlineStr">
        <is>
          <t>2026-03-12</t>
        </is>
      </c>
      <c r="B3083" s="3" t="inlineStr">
        <is>
          <t>앤디포스</t>
        </is>
      </c>
      <c r="C3083" s="2" t="inlineStr">
        <is>
          <t>코스닥</t>
        </is>
      </c>
      <c r="D3083" s="2" t="inlineStr">
        <is>
          <t>238090</t>
        </is>
      </c>
      <c r="E3083" s="3" t="inlineStr">
        <is>
          <t>주주총회소집공고</t>
        </is>
      </c>
      <c r="F3083" s="3" t="inlineStr">
        <is>
          <t>앤디포스</t>
        </is>
      </c>
      <c r="G3083" s="2" t="inlineStr">
        <is>
          <t>20260312001196</t>
        </is>
      </c>
      <c r="H3083" s="8">
        <f>HYPERLINK("https://dart.fss.or.kr/dsaf001/main.do?rcpNo=20260312001196", "공시열람")</f>
        <v/>
      </c>
    </row>
    <row r="3084">
      <c r="A3084" s="2" t="inlineStr">
        <is>
          <t>2026-03-12 (정정: 2026-05-29)</t>
        </is>
      </c>
      <c r="B3084" s="3" t="inlineStr">
        <is>
          <t>코리안리</t>
        </is>
      </c>
      <c r="C3084" s="2" t="inlineStr">
        <is>
          <t>코스피</t>
        </is>
      </c>
      <c r="D3084" s="2" t="inlineStr">
        <is>
          <t>003690</t>
        </is>
      </c>
      <c r="E3084" s="3" t="inlineStr">
        <is>
          <t>주주총회소집결의               (정정: 20260529)</t>
        </is>
      </c>
      <c r="F3084" s="3" t="inlineStr">
        <is>
          <t>코리안리</t>
        </is>
      </c>
      <c r="G3084" s="2" t="inlineStr">
        <is>
          <t>20260529002207</t>
        </is>
      </c>
      <c r="H3084" s="8">
        <f>HYPERLINK("https://dart.fss.or.kr/dsaf001/main.do?rcpNo=20260529002207", "공시열람")</f>
        <v/>
      </c>
    </row>
    <row r="3085">
      <c r="A3085" s="2" t="inlineStr">
        <is>
          <t>2026-03-12 (정정: 2026-03-12)</t>
        </is>
      </c>
      <c r="B3085" s="3" t="inlineStr">
        <is>
          <t>이수화학</t>
        </is>
      </c>
      <c r="C3085" s="2" t="inlineStr">
        <is>
          <t>코스피</t>
        </is>
      </c>
      <c r="D3085" s="2" t="inlineStr">
        <is>
          <t>005950</t>
        </is>
      </c>
      <c r="E3085" s="3" t="inlineStr">
        <is>
          <t>주주총회소집공고 (정정: 20260312) (정정: 20260312)</t>
        </is>
      </c>
      <c r="F3085" s="3" t="inlineStr">
        <is>
          <t>이수화학</t>
        </is>
      </c>
      <c r="G3085" s="2" t="inlineStr">
        <is>
          <t>20260312801400</t>
        </is>
      </c>
      <c r="H3085" s="8">
        <f>HYPERLINK("https://dart.fss.or.kr/dsaf001/main.do?rcpNo=20260312801400", "공시열람")</f>
        <v/>
      </c>
    </row>
    <row r="3086">
      <c r="A3086" s="2" t="inlineStr">
        <is>
          <t>2026-03-12</t>
        </is>
      </c>
      <c r="B3086" s="3" t="inlineStr">
        <is>
          <t>코어라인소프트</t>
        </is>
      </c>
      <c r="C3086" s="2" t="inlineStr">
        <is>
          <t>코스닥</t>
        </is>
      </c>
      <c r="D3086" s="2" t="inlineStr">
        <is>
          <t>384470</t>
        </is>
      </c>
      <c r="E3086" s="3" t="inlineStr">
        <is>
          <t xml:space="preserve">주주총회소집결의              </t>
        </is>
      </c>
      <c r="F3086" s="3" t="inlineStr">
        <is>
          <t>코어라인소프트</t>
        </is>
      </c>
      <c r="G3086" s="2" t="inlineStr">
        <is>
          <t>20260312901816</t>
        </is>
      </c>
      <c r="H3086" s="8">
        <f>HYPERLINK("https://dart.fss.or.kr/dsaf001/main.do?rcpNo=20260312901816", "공시열람")</f>
        <v/>
      </c>
    </row>
    <row r="3087">
      <c r="A3087" s="2" t="inlineStr">
        <is>
          <t>2026-03-12</t>
        </is>
      </c>
      <c r="B3087" s="3" t="inlineStr">
        <is>
          <t>휴니드테크놀러지스</t>
        </is>
      </c>
      <c r="C3087" s="2" t="inlineStr">
        <is>
          <t>코스피</t>
        </is>
      </c>
      <c r="D3087" s="2" t="inlineStr">
        <is>
          <t>005870</t>
        </is>
      </c>
      <c r="E3087" s="3" t="inlineStr">
        <is>
          <t xml:space="preserve">주주총회소집결의              </t>
        </is>
      </c>
      <c r="F3087" s="3" t="inlineStr">
        <is>
          <t>휴니드테크놀러지스</t>
        </is>
      </c>
      <c r="G3087" s="2" t="inlineStr">
        <is>
          <t>20260312801902</t>
        </is>
      </c>
      <c r="H3087" s="8">
        <f>HYPERLINK("https://dart.fss.or.kr/dsaf001/main.do?rcpNo=20260312801902", "공시열람")</f>
        <v/>
      </c>
    </row>
    <row r="3088">
      <c r="A3088" s="2" t="inlineStr">
        <is>
          <t>2026-03-12</t>
        </is>
      </c>
      <c r="B3088" s="3" t="inlineStr">
        <is>
          <t>남양유업</t>
        </is>
      </c>
      <c r="C3088" s="2" t="inlineStr">
        <is>
          <t>코스피</t>
        </is>
      </c>
      <c r="D3088" s="2" t="inlineStr">
        <is>
          <t>003920</t>
        </is>
      </c>
      <c r="E3088" s="3" t="inlineStr">
        <is>
          <t>주주총회소집공고</t>
        </is>
      </c>
      <c r="F3088" s="3" t="inlineStr">
        <is>
          <t>남양유업</t>
        </is>
      </c>
      <c r="G3088" s="2" t="inlineStr">
        <is>
          <t>20260312001189</t>
        </is>
      </c>
      <c r="H3088" s="8">
        <f>HYPERLINK("https://dart.fss.or.kr/dsaf001/main.do?rcpNo=20260312001189", "공시열람")</f>
        <v/>
      </c>
    </row>
    <row r="3089">
      <c r="A3089" s="2" t="inlineStr">
        <is>
          <t>2026-03-12</t>
        </is>
      </c>
      <c r="B3089" s="3" t="inlineStr">
        <is>
          <t>YTN</t>
        </is>
      </c>
      <c r="C3089" s="2" t="inlineStr">
        <is>
          <t>코스닥</t>
        </is>
      </c>
      <c r="D3089" s="2" t="inlineStr">
        <is>
          <t>040300</t>
        </is>
      </c>
      <c r="E3089" s="3" t="inlineStr">
        <is>
          <t xml:space="preserve">주주총회집중일개최사유신고              </t>
        </is>
      </c>
      <c r="F3089" s="3" t="inlineStr">
        <is>
          <t>YTN</t>
        </is>
      </c>
      <c r="G3089" s="2" t="inlineStr">
        <is>
          <t>20260312901508</t>
        </is>
      </c>
      <c r="H3089" s="8">
        <f>HYPERLINK("https://dart.fss.or.kr/dsaf001/main.do?rcpNo=20260312901508", "공시열람")</f>
        <v/>
      </c>
    </row>
    <row r="3090">
      <c r="A3090" s="2" t="inlineStr">
        <is>
          <t>2026-03-12</t>
        </is>
      </c>
      <c r="B3090" s="3" t="inlineStr">
        <is>
          <t>블루콤</t>
        </is>
      </c>
      <c r="C3090" s="2" t="inlineStr">
        <is>
          <t>코스닥</t>
        </is>
      </c>
      <c r="D3090" s="2" t="inlineStr">
        <is>
          <t>033560</t>
        </is>
      </c>
      <c r="E3090" s="3" t="inlineStr">
        <is>
          <t>주주총회소집공고</t>
        </is>
      </c>
      <c r="F3090" s="3" t="inlineStr">
        <is>
          <t>블루콤</t>
        </is>
      </c>
      <c r="G3090" s="2" t="inlineStr">
        <is>
          <t>20260312001187</t>
        </is>
      </c>
      <c r="H3090" s="8">
        <f>HYPERLINK("https://dart.fss.or.kr/dsaf001/main.do?rcpNo=20260312001187", "공시열람")</f>
        <v/>
      </c>
    </row>
    <row r="3091">
      <c r="A3091" s="2" t="inlineStr">
        <is>
          <t>2026-03-12</t>
        </is>
      </c>
      <c r="B3091" s="3" t="inlineStr">
        <is>
          <t>성호전자</t>
        </is>
      </c>
      <c r="C3091" s="2" t="inlineStr">
        <is>
          <t>코스닥</t>
        </is>
      </c>
      <c r="D3091" s="2" t="inlineStr">
        <is>
          <t>043260</t>
        </is>
      </c>
      <c r="E3091" s="3" t="inlineStr">
        <is>
          <t>주주총회소집공고</t>
        </is>
      </c>
      <c r="F3091" s="3" t="inlineStr">
        <is>
          <t>성호전자</t>
        </is>
      </c>
      <c r="G3091" s="2" t="inlineStr">
        <is>
          <t>20260312001185</t>
        </is>
      </c>
      <c r="H3091" s="8">
        <f>HYPERLINK("https://dart.fss.or.kr/dsaf001/main.do?rcpNo=20260312001185", "공시열람")</f>
        <v/>
      </c>
    </row>
    <row r="3092">
      <c r="A3092" s="2" t="inlineStr">
        <is>
          <t>2026-03-12</t>
        </is>
      </c>
      <c r="B3092" s="3" t="inlineStr">
        <is>
          <t>에치에프알</t>
        </is>
      </c>
      <c r="C3092" s="2" t="inlineStr">
        <is>
          <t>코스닥</t>
        </is>
      </c>
      <c r="D3092" s="2" t="inlineStr">
        <is>
          <t>230240</t>
        </is>
      </c>
      <c r="E3092" s="3" t="inlineStr">
        <is>
          <t>주주총회소집공고</t>
        </is>
      </c>
      <c r="F3092" s="3" t="inlineStr">
        <is>
          <t>에치에프알</t>
        </is>
      </c>
      <c r="G3092" s="2" t="inlineStr">
        <is>
          <t>20260312001184</t>
        </is>
      </c>
      <c r="H3092" s="8">
        <f>HYPERLINK("https://dart.fss.or.kr/dsaf001/main.do?rcpNo=20260312001184", "공시열람")</f>
        <v/>
      </c>
    </row>
    <row r="3093">
      <c r="A3093" s="2" t="inlineStr">
        <is>
          <t>2026-03-12</t>
        </is>
      </c>
      <c r="B3093" s="3" t="inlineStr">
        <is>
          <t>플래티어</t>
        </is>
      </c>
      <c r="C3093" s="2" t="inlineStr">
        <is>
          <t>코스닥</t>
        </is>
      </c>
      <c r="D3093" s="2" t="inlineStr">
        <is>
          <t>367000</t>
        </is>
      </c>
      <c r="E3093" s="3" t="inlineStr">
        <is>
          <t xml:space="preserve">주주총회집중일개최사유신고              </t>
        </is>
      </c>
      <c r="F3093" s="3" t="inlineStr">
        <is>
          <t>플래티어</t>
        </is>
      </c>
      <c r="G3093" s="2" t="inlineStr">
        <is>
          <t>20260312901831</t>
        </is>
      </c>
      <c r="H3093" s="8">
        <f>HYPERLINK("https://dart.fss.or.kr/dsaf001/main.do?rcpNo=20260312901831", "공시열람")</f>
        <v/>
      </c>
    </row>
    <row r="3094">
      <c r="A3094" s="2" t="inlineStr">
        <is>
          <t>2026-03-12</t>
        </is>
      </c>
      <c r="B3094" s="3" t="inlineStr">
        <is>
          <t>남양유업</t>
        </is>
      </c>
      <c r="C3094" s="2" t="inlineStr">
        <is>
          <t>코스피</t>
        </is>
      </c>
      <c r="D3094" s="2" t="inlineStr">
        <is>
          <t>003920</t>
        </is>
      </c>
      <c r="E3094" s="3" t="inlineStr">
        <is>
          <t xml:space="preserve">주주총회소집결의              </t>
        </is>
      </c>
      <c r="F3094" s="3" t="inlineStr">
        <is>
          <t>남양유업</t>
        </is>
      </c>
      <c r="G3094" s="2" t="inlineStr">
        <is>
          <t>20260312801857</t>
        </is>
      </c>
      <c r="H3094" s="8">
        <f>HYPERLINK("https://dart.fss.or.kr/dsaf001/main.do?rcpNo=20260312801857", "공시열람")</f>
        <v/>
      </c>
    </row>
    <row r="3095">
      <c r="A3095" s="2" t="inlineStr">
        <is>
          <t>2026-03-12 (정정: 2026-03-12)</t>
        </is>
      </c>
      <c r="B3095" s="3" t="inlineStr">
        <is>
          <t>대한광통신</t>
        </is>
      </c>
      <c r="C3095" s="2" t="inlineStr">
        <is>
          <t>코스닥</t>
        </is>
      </c>
      <c r="D3095" s="2" t="inlineStr">
        <is>
          <t>010170</t>
        </is>
      </c>
      <c r="E3095" s="3" t="inlineStr">
        <is>
          <t>주주총회소집결의               (정정: 20260312)</t>
        </is>
      </c>
      <c r="F3095" s="3" t="inlineStr">
        <is>
          <t>대한광통신</t>
        </is>
      </c>
      <c r="G3095" s="2" t="inlineStr">
        <is>
          <t>20260312901725</t>
        </is>
      </c>
      <c r="H3095" s="8">
        <f>HYPERLINK("https://dart.fss.or.kr/dsaf001/main.do?rcpNo=20260312901725", "공시열람")</f>
        <v/>
      </c>
    </row>
    <row r="3096">
      <c r="A3096" s="2" t="inlineStr">
        <is>
          <t>2026-03-12</t>
        </is>
      </c>
      <c r="B3096" s="3" t="inlineStr">
        <is>
          <t>에이치브이엠</t>
        </is>
      </c>
      <c r="C3096" s="2" t="inlineStr">
        <is>
          <t>코스닥</t>
        </is>
      </c>
      <c r="D3096" s="2" t="inlineStr">
        <is>
          <t>295310</t>
        </is>
      </c>
      <c r="E3096" s="3" t="inlineStr">
        <is>
          <t xml:space="preserve">주주총회집중일개최사유신고              </t>
        </is>
      </c>
      <c r="F3096" s="3" t="inlineStr">
        <is>
          <t>에이치브이엠</t>
        </is>
      </c>
      <c r="G3096" s="2" t="inlineStr">
        <is>
          <t>20260312901859</t>
        </is>
      </c>
      <c r="H3096" s="8">
        <f>HYPERLINK("https://dart.fss.or.kr/dsaf001/main.do?rcpNo=20260312901859", "공시열람")</f>
        <v/>
      </c>
    </row>
    <row r="3097">
      <c r="A3097" s="2" t="inlineStr">
        <is>
          <t>2026-03-12</t>
        </is>
      </c>
      <c r="B3097" s="3" t="inlineStr">
        <is>
          <t>에치에프알</t>
        </is>
      </c>
      <c r="C3097" s="2" t="inlineStr">
        <is>
          <t>코스닥</t>
        </is>
      </c>
      <c r="D3097" s="2" t="inlineStr">
        <is>
          <t>230240</t>
        </is>
      </c>
      <c r="E3097" s="3" t="inlineStr">
        <is>
          <t xml:space="preserve">주주총회집중일개최사유신고              </t>
        </is>
      </c>
      <c r="F3097" s="3" t="inlineStr">
        <is>
          <t>에치에프알</t>
        </is>
      </c>
      <c r="G3097" s="2" t="inlineStr">
        <is>
          <t>20260312901642</t>
        </is>
      </c>
      <c r="H3097" s="8">
        <f>HYPERLINK("https://dart.fss.or.kr/dsaf001/main.do?rcpNo=20260312901642", "공시열람")</f>
        <v/>
      </c>
    </row>
    <row r="3098">
      <c r="A3098" s="2" t="inlineStr">
        <is>
          <t>2026-03-12</t>
        </is>
      </c>
      <c r="B3098" s="3" t="inlineStr">
        <is>
          <t>에임드바이오</t>
        </is>
      </c>
      <c r="C3098" s="2" t="inlineStr">
        <is>
          <t>코스닥</t>
        </is>
      </c>
      <c r="D3098" s="2" t="inlineStr">
        <is>
          <t>0009K0</t>
        </is>
      </c>
      <c r="E3098" s="3" t="inlineStr">
        <is>
          <t>주주총회소집공고</t>
        </is>
      </c>
      <c r="F3098" s="3" t="inlineStr">
        <is>
          <t>에임드바이오</t>
        </is>
      </c>
      <c r="G3098" s="2" t="inlineStr">
        <is>
          <t>20260312001171</t>
        </is>
      </c>
      <c r="H3098" s="8">
        <f>HYPERLINK("https://dart.fss.or.kr/dsaf001/main.do?rcpNo=20260312001171", "공시열람")</f>
        <v/>
      </c>
    </row>
    <row r="3099">
      <c r="A3099" s="2" t="inlineStr">
        <is>
          <t>2026-03-12</t>
        </is>
      </c>
      <c r="B3099" s="3" t="inlineStr">
        <is>
          <t>플래티어</t>
        </is>
      </c>
      <c r="C3099" s="2" t="inlineStr">
        <is>
          <t>코스닥</t>
        </is>
      </c>
      <c r="D3099" s="2" t="inlineStr">
        <is>
          <t>367000</t>
        </is>
      </c>
      <c r="E3099" s="3" t="inlineStr">
        <is>
          <t xml:space="preserve">주주총회소집결의              </t>
        </is>
      </c>
      <c r="F3099" s="3" t="inlineStr">
        <is>
          <t>플래티어</t>
        </is>
      </c>
      <c r="G3099" s="2" t="inlineStr">
        <is>
          <t>20260312901825</t>
        </is>
      </c>
      <c r="H3099" s="8">
        <f>HYPERLINK("https://dart.fss.or.kr/dsaf001/main.do?rcpNo=20260312901825", "공시열람")</f>
        <v/>
      </c>
    </row>
    <row r="3100">
      <c r="A3100" s="2" t="inlineStr">
        <is>
          <t>2026-03-12</t>
        </is>
      </c>
      <c r="B3100" s="3" t="inlineStr">
        <is>
          <t>한국앤컴퍼니</t>
        </is>
      </c>
      <c r="C3100" s="2" t="inlineStr">
        <is>
          <t>코스피</t>
        </is>
      </c>
      <c r="D3100" s="2" t="inlineStr">
        <is>
          <t>000240</t>
        </is>
      </c>
      <c r="E3100" s="3" t="inlineStr">
        <is>
          <t>[기재정정]주주총회소집공고</t>
        </is>
      </c>
      <c r="F3100" s="3" t="inlineStr">
        <is>
          <t>한국앤컴퍼니</t>
        </is>
      </c>
      <c r="G3100" s="2" t="inlineStr">
        <is>
          <t>20260312001166</t>
        </is>
      </c>
      <c r="H3100" s="8">
        <f>HYPERLINK("https://dart.fss.or.kr/dsaf001/main.do?rcpNo=20260312001166", "공시열람")</f>
        <v/>
      </c>
    </row>
    <row r="3101">
      <c r="A3101" s="2" t="inlineStr">
        <is>
          <t>2026-03-12</t>
        </is>
      </c>
      <c r="B3101" s="3" t="inlineStr">
        <is>
          <t>슈프리마에이치큐</t>
        </is>
      </c>
      <c r="C3101" s="2" t="inlineStr">
        <is>
          <t>코스닥</t>
        </is>
      </c>
      <c r="D3101" s="2" t="inlineStr">
        <is>
          <t>094840</t>
        </is>
      </c>
      <c r="E3101" s="3" t="inlineStr">
        <is>
          <t xml:space="preserve">주주총회집중일개최사유신고              </t>
        </is>
      </c>
      <c r="F3101" s="3" t="inlineStr">
        <is>
          <t>슈프리마에이치큐</t>
        </is>
      </c>
      <c r="G3101" s="2" t="inlineStr">
        <is>
          <t>20260312901852</t>
        </is>
      </c>
      <c r="H3101" s="8">
        <f>HYPERLINK("https://dart.fss.or.kr/dsaf001/main.do?rcpNo=20260312901852", "공시열람")</f>
        <v/>
      </c>
    </row>
    <row r="3102">
      <c r="A3102" s="2" t="inlineStr">
        <is>
          <t>2026-03-12</t>
        </is>
      </c>
      <c r="B3102" s="3" t="inlineStr">
        <is>
          <t>앤디포스</t>
        </is>
      </c>
      <c r="C3102" s="2" t="inlineStr">
        <is>
          <t>코스닥</t>
        </is>
      </c>
      <c r="D3102" s="2" t="inlineStr">
        <is>
          <t>238090</t>
        </is>
      </c>
      <c r="E3102" s="3" t="inlineStr">
        <is>
          <t xml:space="preserve">주주총회집중일개최사유신고              </t>
        </is>
      </c>
      <c r="F3102" s="3" t="inlineStr">
        <is>
          <t>앤디포스</t>
        </is>
      </c>
      <c r="G3102" s="2" t="inlineStr">
        <is>
          <t>20260312901819</t>
        </is>
      </c>
      <c r="H3102" s="8">
        <f>HYPERLINK("https://dart.fss.or.kr/dsaf001/main.do?rcpNo=20260312901819", "공시열람")</f>
        <v/>
      </c>
    </row>
    <row r="3103">
      <c r="A3103" s="2" t="inlineStr">
        <is>
          <t>2026-03-12</t>
        </is>
      </c>
      <c r="B3103" s="3" t="inlineStr">
        <is>
          <t>메가스터디</t>
        </is>
      </c>
      <c r="C3103" s="2" t="inlineStr">
        <is>
          <t>코스닥</t>
        </is>
      </c>
      <c r="D3103" s="2" t="inlineStr">
        <is>
          <t>072870</t>
        </is>
      </c>
      <c r="E3103" s="3" t="inlineStr">
        <is>
          <t xml:space="preserve">주주총회집중일개최사유신고              </t>
        </is>
      </c>
      <c r="F3103" s="3" t="inlineStr">
        <is>
          <t>메가스터디</t>
        </is>
      </c>
      <c r="G3103" s="2" t="inlineStr">
        <is>
          <t>20260312901440</t>
        </is>
      </c>
      <c r="H3103" s="8">
        <f>HYPERLINK("https://dart.fss.or.kr/dsaf001/main.do?rcpNo=20260312901440", "공시열람")</f>
        <v/>
      </c>
    </row>
    <row r="3104">
      <c r="A3104" s="2" t="inlineStr">
        <is>
          <t>2026-03-12</t>
        </is>
      </c>
      <c r="B3104" s="3" t="inlineStr">
        <is>
          <t>메가스터디</t>
        </is>
      </c>
      <c r="C3104" s="2" t="inlineStr">
        <is>
          <t>코스닥</t>
        </is>
      </c>
      <c r="D3104" s="2" t="inlineStr">
        <is>
          <t>072870</t>
        </is>
      </c>
      <c r="E3104" s="3" t="inlineStr">
        <is>
          <t xml:space="preserve">주주총회소집결의              </t>
        </is>
      </c>
      <c r="F3104" s="3" t="inlineStr">
        <is>
          <t>메가스터디</t>
        </is>
      </c>
      <c r="G3104" s="2" t="inlineStr">
        <is>
          <t>20260312901759</t>
        </is>
      </c>
      <c r="H3104" s="8">
        <f>HYPERLINK("https://dart.fss.or.kr/dsaf001/main.do?rcpNo=20260312901759", "공시열람")</f>
        <v/>
      </c>
    </row>
    <row r="3105">
      <c r="A3105" s="2" t="inlineStr">
        <is>
          <t>2026-03-12</t>
        </is>
      </c>
      <c r="B3105" s="3" t="inlineStr">
        <is>
          <t>M83</t>
        </is>
      </c>
      <c r="C3105" s="2" t="inlineStr">
        <is>
          <t>코스닥</t>
        </is>
      </c>
      <c r="D3105" s="2" t="inlineStr">
        <is>
          <t>476080</t>
        </is>
      </c>
      <c r="E3105" s="3" t="inlineStr">
        <is>
          <t>주주총회소집공고</t>
        </is>
      </c>
      <c r="F3105" s="3" t="inlineStr">
        <is>
          <t>M83</t>
        </is>
      </c>
      <c r="G3105" s="2" t="inlineStr">
        <is>
          <t>20260312001160</t>
        </is>
      </c>
      <c r="H3105" s="8">
        <f>HYPERLINK("https://dart.fss.or.kr/dsaf001/main.do?rcpNo=20260312001160", "공시열람")</f>
        <v/>
      </c>
    </row>
    <row r="3106">
      <c r="A3106" s="2" t="inlineStr">
        <is>
          <t>2026-03-12</t>
        </is>
      </c>
      <c r="B3106" s="3" t="inlineStr">
        <is>
          <t>상지건설</t>
        </is>
      </c>
      <c r="C3106" s="2" t="inlineStr">
        <is>
          <t>코스닥</t>
        </is>
      </c>
      <c r="D3106" s="2" t="inlineStr">
        <is>
          <t>042940</t>
        </is>
      </c>
      <c r="E3106" s="3" t="inlineStr">
        <is>
          <t>주주총회소집공고</t>
        </is>
      </c>
      <c r="F3106" s="3" t="inlineStr">
        <is>
          <t>상지건설</t>
        </is>
      </c>
      <c r="G3106" s="2" t="inlineStr">
        <is>
          <t>20260312001155</t>
        </is>
      </c>
      <c r="H3106" s="8">
        <f>HYPERLINK("https://dart.fss.or.kr/dsaf001/main.do?rcpNo=20260312001155", "공시열람")</f>
        <v/>
      </c>
    </row>
    <row r="3107">
      <c r="A3107" s="2" t="inlineStr">
        <is>
          <t>2026-03-12</t>
        </is>
      </c>
      <c r="B3107" s="3" t="inlineStr">
        <is>
          <t>KH바텍</t>
        </is>
      </c>
      <c r="C3107" s="2" t="inlineStr">
        <is>
          <t>코스닥</t>
        </is>
      </c>
      <c r="D3107" s="2" t="inlineStr">
        <is>
          <t>060720</t>
        </is>
      </c>
      <c r="E3107" s="3" t="inlineStr">
        <is>
          <t>주주총회소집공고</t>
        </is>
      </c>
      <c r="F3107" s="3" t="inlineStr">
        <is>
          <t>KH바텍</t>
        </is>
      </c>
      <c r="G3107" s="2" t="inlineStr">
        <is>
          <t>20260312001154</t>
        </is>
      </c>
      <c r="H3107" s="8">
        <f>HYPERLINK("https://dart.fss.or.kr/dsaf001/main.do?rcpNo=20260312001154", "공시열람")</f>
        <v/>
      </c>
    </row>
    <row r="3108">
      <c r="A3108" s="2" t="inlineStr">
        <is>
          <t>2026-03-12</t>
        </is>
      </c>
      <c r="B3108" s="3" t="inlineStr">
        <is>
          <t>디앤씨미디어</t>
        </is>
      </c>
      <c r="C3108" s="2" t="inlineStr">
        <is>
          <t>코스닥</t>
        </is>
      </c>
      <c r="D3108" s="2" t="inlineStr">
        <is>
          <t>263720</t>
        </is>
      </c>
      <c r="E3108" s="3" t="inlineStr">
        <is>
          <t xml:space="preserve">주주총회집중일개최사유신고              </t>
        </is>
      </c>
      <c r="F3108" s="3" t="inlineStr">
        <is>
          <t>디앤씨미디어</t>
        </is>
      </c>
      <c r="G3108" s="2" t="inlineStr">
        <is>
          <t>20260312901671</t>
        </is>
      </c>
      <c r="H3108" s="8">
        <f>HYPERLINK("https://dart.fss.or.kr/dsaf001/main.do?rcpNo=20260312901671", "공시열람")</f>
        <v/>
      </c>
    </row>
    <row r="3109">
      <c r="A3109" s="2" t="inlineStr">
        <is>
          <t>2026-03-12</t>
        </is>
      </c>
      <c r="B3109" s="3" t="inlineStr">
        <is>
          <t>에피소드컴퍼니</t>
        </is>
      </c>
      <c r="C3109" s="2" t="inlineStr">
        <is>
          <t>코스닥</t>
        </is>
      </c>
      <c r="D3109" s="2" t="inlineStr">
        <is>
          <t>317530</t>
        </is>
      </c>
      <c r="E3109" s="3" t="inlineStr">
        <is>
          <t>주주총회소집공고</t>
        </is>
      </c>
      <c r="F3109" s="3" t="inlineStr">
        <is>
          <t>에피소드컴퍼니</t>
        </is>
      </c>
      <c r="G3109" s="2" t="inlineStr">
        <is>
          <t>20260312001153</t>
        </is>
      </c>
      <c r="H3109" s="8">
        <f>HYPERLINK("https://dart.fss.or.kr/dsaf001/main.do?rcpNo=20260312001153", "공시열람")</f>
        <v/>
      </c>
    </row>
    <row r="3110">
      <c r="A3110" s="2" t="inlineStr">
        <is>
          <t>2026-03-12</t>
        </is>
      </c>
      <c r="B3110" s="3" t="inlineStr">
        <is>
          <t>대현</t>
        </is>
      </c>
      <c r="C3110" s="2" t="inlineStr">
        <is>
          <t>코스피</t>
        </is>
      </c>
      <c r="D3110" s="2" t="inlineStr">
        <is>
          <t>016090</t>
        </is>
      </c>
      <c r="E3110" s="3" t="inlineStr">
        <is>
          <t xml:space="preserve">주주총회집중일개최사유신고              </t>
        </is>
      </c>
      <c r="F3110" s="3" t="inlineStr">
        <is>
          <t>대현</t>
        </is>
      </c>
      <c r="G3110" s="2" t="inlineStr">
        <is>
          <t>20260312801772</t>
        </is>
      </c>
      <c r="H3110" s="8">
        <f>HYPERLINK("https://dart.fss.or.kr/dsaf001/main.do?rcpNo=20260312801772", "공시열람")</f>
        <v/>
      </c>
    </row>
    <row r="3111">
      <c r="A3111" s="2" t="inlineStr">
        <is>
          <t>2026-03-12</t>
        </is>
      </c>
      <c r="B3111" s="3" t="inlineStr">
        <is>
          <t>아주IB투자</t>
        </is>
      </c>
      <c r="C3111" s="2" t="inlineStr">
        <is>
          <t>코스닥</t>
        </is>
      </c>
      <c r="D3111" s="2" t="inlineStr">
        <is>
          <t>027360</t>
        </is>
      </c>
      <c r="E3111" s="3" t="inlineStr">
        <is>
          <t>주주총회소집공고</t>
        </is>
      </c>
      <c r="F3111" s="3" t="inlineStr">
        <is>
          <t>아주IB투자</t>
        </is>
      </c>
      <c r="G3111" s="2" t="inlineStr">
        <is>
          <t>20260312001143</t>
        </is>
      </c>
      <c r="H3111" s="8">
        <f>HYPERLINK("https://dart.fss.or.kr/dsaf001/main.do?rcpNo=20260312001143", "공시열람")</f>
        <v/>
      </c>
    </row>
    <row r="3112">
      <c r="A3112" s="2" t="inlineStr">
        <is>
          <t>2026-03-12 (정정: 2026-03-12)</t>
        </is>
      </c>
      <c r="B3112" s="3" t="inlineStr">
        <is>
          <t>판타지오</t>
        </is>
      </c>
      <c r="C3112" s="2" t="inlineStr">
        <is>
          <t>코스닥</t>
        </is>
      </c>
      <c r="D3112" s="2" t="inlineStr">
        <is>
          <t>032800</t>
        </is>
      </c>
      <c r="E3112" s="3" t="inlineStr">
        <is>
          <t>주주총회소집공고 (정정: 20260312)</t>
        </is>
      </c>
      <c r="F3112" s="3" t="inlineStr">
        <is>
          <t>판타지오</t>
        </is>
      </c>
      <c r="G3112" s="2" t="inlineStr">
        <is>
          <t>20260312901701</t>
        </is>
      </c>
      <c r="H3112" s="8">
        <f>HYPERLINK("https://dart.fss.or.kr/dsaf001/main.do?rcpNo=20260312901701", "공시열람")</f>
        <v/>
      </c>
    </row>
    <row r="3113">
      <c r="A3113" s="2" t="inlineStr">
        <is>
          <t>2026-03-12 (정정: 2026-03-12)</t>
        </is>
      </c>
      <c r="B3113" s="3" t="inlineStr">
        <is>
          <t>에이치브이엠</t>
        </is>
      </c>
      <c r="C3113" s="2" t="inlineStr">
        <is>
          <t>코스닥</t>
        </is>
      </c>
      <c r="D3113" s="2" t="inlineStr">
        <is>
          <t>295310</t>
        </is>
      </c>
      <c r="E3113" s="3" t="inlineStr">
        <is>
          <t>주주총회소집결의               (정정: 20260312)</t>
        </is>
      </c>
      <c r="F3113" s="3" t="inlineStr">
        <is>
          <t>에이치브이엠</t>
        </is>
      </c>
      <c r="G3113" s="2" t="inlineStr">
        <is>
          <t>20260312901742</t>
        </is>
      </c>
      <c r="H3113" s="8">
        <f>HYPERLINK("https://dart.fss.or.kr/dsaf001/main.do?rcpNo=20260312901742", "공시열람")</f>
        <v/>
      </c>
    </row>
    <row r="3114">
      <c r="A3114" s="2" t="inlineStr">
        <is>
          <t>2026-03-12</t>
        </is>
      </c>
      <c r="B3114" s="3" t="inlineStr">
        <is>
          <t>슈프리마에이치큐</t>
        </is>
      </c>
      <c r="C3114" s="2" t="inlineStr">
        <is>
          <t>코스닥</t>
        </is>
      </c>
      <c r="D3114" s="2" t="inlineStr">
        <is>
          <t>094840</t>
        </is>
      </c>
      <c r="E3114" s="3" t="inlineStr">
        <is>
          <t xml:space="preserve">주주총회소집결의              </t>
        </is>
      </c>
      <c r="F3114" s="3" t="inlineStr">
        <is>
          <t>슈프리마에이치큐</t>
        </is>
      </c>
      <c r="G3114" s="2" t="inlineStr">
        <is>
          <t>20260312901607</t>
        </is>
      </c>
      <c r="H3114" s="8">
        <f>HYPERLINK("https://dart.fss.or.kr/dsaf001/main.do?rcpNo=20260312901607", "공시열람")</f>
        <v/>
      </c>
    </row>
    <row r="3115">
      <c r="A3115" s="2" t="inlineStr">
        <is>
          <t>2026-03-12</t>
        </is>
      </c>
      <c r="B3115" s="3" t="inlineStr">
        <is>
          <t>강스템바이오텍</t>
        </is>
      </c>
      <c r="C3115" s="2" t="inlineStr">
        <is>
          <t>코스닥</t>
        </is>
      </c>
      <c r="D3115" s="2" t="inlineStr">
        <is>
          <t>217730</t>
        </is>
      </c>
      <c r="E3115" s="3" t="inlineStr">
        <is>
          <t>주주총회소집공고</t>
        </is>
      </c>
      <c r="F3115" s="3" t="inlineStr">
        <is>
          <t>강스템바이오텍</t>
        </is>
      </c>
      <c r="G3115" s="2" t="inlineStr">
        <is>
          <t>20260312001135</t>
        </is>
      </c>
      <c r="H3115" s="8">
        <f>HYPERLINK("https://dart.fss.or.kr/dsaf001/main.do?rcpNo=20260312001135", "공시열람")</f>
        <v/>
      </c>
    </row>
    <row r="3116">
      <c r="A3116" s="2" t="inlineStr">
        <is>
          <t>2026-03-12</t>
        </is>
      </c>
      <c r="B3116" s="3" t="inlineStr">
        <is>
          <t>메디앙스</t>
        </is>
      </c>
      <c r="C3116" s="2" t="inlineStr">
        <is>
          <t>코스닥</t>
        </is>
      </c>
      <c r="D3116" s="2" t="inlineStr">
        <is>
          <t>014100</t>
        </is>
      </c>
      <c r="E3116" s="3" t="inlineStr">
        <is>
          <t>주주총회소집공고</t>
        </is>
      </c>
      <c r="F3116" s="3" t="inlineStr">
        <is>
          <t>메디앙스</t>
        </is>
      </c>
      <c r="G3116" s="2" t="inlineStr">
        <is>
          <t>20260312001134</t>
        </is>
      </c>
      <c r="H3116" s="8">
        <f>HYPERLINK("https://dart.fss.or.kr/dsaf001/main.do?rcpNo=20260312001134", "공시열람")</f>
        <v/>
      </c>
    </row>
    <row r="3117">
      <c r="A3117" s="2" t="inlineStr">
        <is>
          <t>2026-03-12</t>
        </is>
      </c>
      <c r="B3117" s="3" t="inlineStr">
        <is>
          <t>엑세스바이오</t>
        </is>
      </c>
      <c r="C3117" s="2" t="inlineStr">
        <is>
          <t>코스닥</t>
        </is>
      </c>
      <c r="D3117" s="2" t="inlineStr">
        <is>
          <t>950130</t>
        </is>
      </c>
      <c r="E3117" s="3" t="inlineStr">
        <is>
          <t xml:space="preserve">[기재정정]주주총회소집결의              </t>
        </is>
      </c>
      <c r="F3117" s="3" t="inlineStr">
        <is>
          <t>엑세스바이오</t>
        </is>
      </c>
      <c r="G3117" s="2" t="inlineStr">
        <is>
          <t>20260312901414</t>
        </is>
      </c>
      <c r="H3117" s="8">
        <f>HYPERLINK("https://dart.fss.or.kr/dsaf001/main.do?rcpNo=20260312901414", "공시열람")</f>
        <v/>
      </c>
    </row>
    <row r="3118">
      <c r="A3118" s="2" t="inlineStr">
        <is>
          <t>2026-03-12</t>
        </is>
      </c>
      <c r="B3118" s="3" t="inlineStr">
        <is>
          <t>대림통상</t>
        </is>
      </c>
      <c r="C3118" s="2" t="inlineStr">
        <is>
          <t>코스피</t>
        </is>
      </c>
      <c r="D3118" s="2" t="inlineStr">
        <is>
          <t>006570</t>
        </is>
      </c>
      <c r="E3118" s="3" t="inlineStr">
        <is>
          <t xml:space="preserve">주주총회집중일개최사유신고              </t>
        </is>
      </c>
      <c r="F3118" s="3" t="inlineStr">
        <is>
          <t>대림통상</t>
        </is>
      </c>
      <c r="G3118" s="2" t="inlineStr">
        <is>
          <t>20260312801727</t>
        </is>
      </c>
      <c r="H3118" s="8">
        <f>HYPERLINK("https://dart.fss.or.kr/dsaf001/main.do?rcpNo=20260312801727", "공시열람")</f>
        <v/>
      </c>
    </row>
    <row r="3119">
      <c r="A3119" s="2" t="inlineStr">
        <is>
          <t>2026-03-12</t>
        </is>
      </c>
      <c r="B3119" s="3" t="inlineStr">
        <is>
          <t>씨어스</t>
        </is>
      </c>
      <c r="C3119" s="2" t="inlineStr">
        <is>
          <t>코스닥</t>
        </is>
      </c>
      <c r="D3119" s="2" t="inlineStr">
        <is>
          <t>458870</t>
        </is>
      </c>
      <c r="E3119" s="3" t="inlineStr">
        <is>
          <t xml:space="preserve">주주총회집중일개최사유신고              </t>
        </is>
      </c>
      <c r="F3119" s="3" t="inlineStr">
        <is>
          <t>씨어스</t>
        </is>
      </c>
      <c r="G3119" s="2" t="inlineStr">
        <is>
          <t>20260312901766</t>
        </is>
      </c>
      <c r="H3119" s="8">
        <f>HYPERLINK("https://dart.fss.or.kr/dsaf001/main.do?rcpNo=20260312901766", "공시열람")</f>
        <v/>
      </c>
    </row>
    <row r="3120">
      <c r="A3120" s="2" t="inlineStr">
        <is>
          <t>2026-03-12</t>
        </is>
      </c>
      <c r="B3120" s="3" t="inlineStr">
        <is>
          <t>강스템바이오텍</t>
        </is>
      </c>
      <c r="C3120" s="2" t="inlineStr">
        <is>
          <t>코스닥</t>
        </is>
      </c>
      <c r="D3120" s="2" t="inlineStr">
        <is>
          <t>217730</t>
        </is>
      </c>
      <c r="E3120" s="3" t="inlineStr">
        <is>
          <t xml:space="preserve">주주총회집중일개최사유신고              </t>
        </is>
      </c>
      <c r="F3120" s="3" t="inlineStr">
        <is>
          <t>강스템바이오텍</t>
        </is>
      </c>
      <c r="G3120" s="2" t="inlineStr">
        <is>
          <t>20260312901661</t>
        </is>
      </c>
      <c r="H3120" s="8">
        <f>HYPERLINK("https://dart.fss.or.kr/dsaf001/main.do?rcpNo=20260312901661", "공시열람")</f>
        <v/>
      </c>
    </row>
    <row r="3121">
      <c r="A3121" s="2" t="inlineStr">
        <is>
          <t>2026-03-12 (정정: 2026-03-12)</t>
        </is>
      </c>
      <c r="B3121" s="3" t="inlineStr">
        <is>
          <t>강스템바이오텍</t>
        </is>
      </c>
      <c r="C3121" s="2" t="inlineStr">
        <is>
          <t>코스닥</t>
        </is>
      </c>
      <c r="D3121" s="2" t="inlineStr">
        <is>
          <t>217730</t>
        </is>
      </c>
      <c r="E3121" s="3" t="inlineStr">
        <is>
          <t>주주총회소집결의               (정정: 20260312)</t>
        </is>
      </c>
      <c r="F3121" s="3" t="inlineStr">
        <is>
          <t>강스템바이오텍</t>
        </is>
      </c>
      <c r="G3121" s="2" t="inlineStr">
        <is>
          <t>20260312901459</t>
        </is>
      </c>
      <c r="H3121" s="8">
        <f>HYPERLINK("https://dart.fss.or.kr/dsaf001/main.do?rcpNo=20260312901459", "공시열람")</f>
        <v/>
      </c>
    </row>
    <row r="3122">
      <c r="A3122" s="2" t="inlineStr">
        <is>
          <t>2026-03-12</t>
        </is>
      </c>
      <c r="B3122" s="3" t="inlineStr">
        <is>
          <t>이지트로닉스</t>
        </is>
      </c>
      <c r="C3122" s="2" t="inlineStr">
        <is>
          <t>코스닥</t>
        </is>
      </c>
      <c r="D3122" s="2" t="inlineStr">
        <is>
          <t>377330</t>
        </is>
      </c>
      <c r="E3122" s="3" t="inlineStr">
        <is>
          <t>주주총회소집공고</t>
        </is>
      </c>
      <c r="F3122" s="3" t="inlineStr">
        <is>
          <t>이지트로닉스</t>
        </is>
      </c>
      <c r="G3122" s="2" t="inlineStr">
        <is>
          <t>20260312001128</t>
        </is>
      </c>
      <c r="H3122" s="8">
        <f>HYPERLINK("https://dart.fss.or.kr/dsaf001/main.do?rcpNo=20260312001128", "공시열람")</f>
        <v/>
      </c>
    </row>
    <row r="3123">
      <c r="A3123" s="2" t="inlineStr">
        <is>
          <t>2026-03-12</t>
        </is>
      </c>
      <c r="B3123" s="3" t="inlineStr">
        <is>
          <t>SYTS</t>
        </is>
      </c>
      <c r="C3123" s="2" t="inlineStr">
        <is>
          <t>코스피</t>
        </is>
      </c>
      <c r="D3123" s="2" t="inlineStr">
        <is>
          <t>002170</t>
        </is>
      </c>
      <c r="E3123" s="3" t="inlineStr">
        <is>
          <t>주주총회소집공고</t>
        </is>
      </c>
      <c r="F3123" s="3" t="inlineStr">
        <is>
          <t>SYTS</t>
        </is>
      </c>
      <c r="G3123" s="2" t="inlineStr">
        <is>
          <t>20260312001125</t>
        </is>
      </c>
      <c r="H3123" s="8">
        <f>HYPERLINK("https://dart.fss.or.kr/dsaf001/main.do?rcpNo=20260312001125", "공시열람")</f>
        <v/>
      </c>
    </row>
    <row r="3124">
      <c r="A3124" s="2" t="inlineStr">
        <is>
          <t>2026-03-12</t>
        </is>
      </c>
      <c r="B3124" s="3" t="inlineStr">
        <is>
          <t>다산네트웍스</t>
        </is>
      </c>
      <c r="C3124" s="2" t="inlineStr">
        <is>
          <t>코스닥</t>
        </is>
      </c>
      <c r="D3124" s="2" t="inlineStr">
        <is>
          <t>039560</t>
        </is>
      </c>
      <c r="E3124" s="3" t="inlineStr">
        <is>
          <t>주주총회소집공고</t>
        </is>
      </c>
      <c r="F3124" s="3" t="inlineStr">
        <is>
          <t>다산네트웍스</t>
        </is>
      </c>
      <c r="G3124" s="2" t="inlineStr">
        <is>
          <t>20260312001120</t>
        </is>
      </c>
      <c r="H3124" s="8">
        <f>HYPERLINK("https://dart.fss.or.kr/dsaf001/main.do?rcpNo=20260312001120", "공시열람")</f>
        <v/>
      </c>
    </row>
    <row r="3125">
      <c r="A3125" s="2" t="inlineStr">
        <is>
          <t>2026-03-12</t>
        </is>
      </c>
      <c r="B3125" s="3" t="inlineStr">
        <is>
          <t>나라셀라</t>
        </is>
      </c>
      <c r="C3125" s="2" t="inlineStr">
        <is>
          <t>코스닥</t>
        </is>
      </c>
      <c r="D3125" s="2" t="inlineStr">
        <is>
          <t>405920</t>
        </is>
      </c>
      <c r="E3125" s="3" t="inlineStr">
        <is>
          <t xml:space="preserve">주주총회집중일개최사유신고              </t>
        </is>
      </c>
      <c r="F3125" s="3" t="inlineStr">
        <is>
          <t>나라셀라</t>
        </is>
      </c>
      <c r="G3125" s="2" t="inlineStr">
        <is>
          <t>20260312901540</t>
        </is>
      </c>
      <c r="H3125" s="8">
        <f>HYPERLINK("https://dart.fss.or.kr/dsaf001/main.do?rcpNo=20260312901540", "공시열람")</f>
        <v/>
      </c>
    </row>
    <row r="3126">
      <c r="A3126" s="2" t="inlineStr">
        <is>
          <t>2026-03-12</t>
        </is>
      </c>
      <c r="B3126" s="3" t="inlineStr">
        <is>
          <t>SOOP</t>
        </is>
      </c>
      <c r="C3126" s="2" t="inlineStr">
        <is>
          <t>코스닥</t>
        </is>
      </c>
      <c r="D3126" s="2" t="inlineStr">
        <is>
          <t>067160</t>
        </is>
      </c>
      <c r="E3126" s="3" t="inlineStr">
        <is>
          <t xml:space="preserve">주주총회집중일개최사유신고              </t>
        </is>
      </c>
      <c r="F3126" s="3" t="inlineStr">
        <is>
          <t>SOOP</t>
        </is>
      </c>
      <c r="G3126" s="2" t="inlineStr">
        <is>
          <t>20260312901765</t>
        </is>
      </c>
      <c r="H3126" s="8">
        <f>HYPERLINK("https://dart.fss.or.kr/dsaf001/main.do?rcpNo=20260312901765", "공시열람")</f>
        <v/>
      </c>
    </row>
    <row r="3127">
      <c r="A3127" s="2" t="inlineStr">
        <is>
          <t>2026-03-12</t>
        </is>
      </c>
      <c r="B3127" s="3" t="inlineStr">
        <is>
          <t>아이오케이이엔엠</t>
        </is>
      </c>
      <c r="C3127" s="2" t="inlineStr">
        <is>
          <t>코스닥</t>
        </is>
      </c>
      <c r="D3127" s="2" t="inlineStr">
        <is>
          <t>078860</t>
        </is>
      </c>
      <c r="E3127" s="3" t="inlineStr">
        <is>
          <t xml:space="preserve">주주총회집중일개최사유신고              </t>
        </is>
      </c>
      <c r="F3127" s="3" t="inlineStr">
        <is>
          <t>아이오케이이엔엠</t>
        </is>
      </c>
      <c r="G3127" s="2" t="inlineStr">
        <is>
          <t>20260312901361</t>
        </is>
      </c>
      <c r="H3127" s="8">
        <f>HYPERLINK("https://dart.fss.or.kr/dsaf001/main.do?rcpNo=20260312901361", "공시열람")</f>
        <v/>
      </c>
    </row>
    <row r="3128">
      <c r="A3128" s="2" t="inlineStr">
        <is>
          <t>2026-03-12</t>
        </is>
      </c>
      <c r="B3128" s="3" t="inlineStr">
        <is>
          <t>삼영전자공업</t>
        </is>
      </c>
      <c r="C3128" s="2" t="inlineStr">
        <is>
          <t>코스피</t>
        </is>
      </c>
      <c r="D3128" s="2" t="inlineStr">
        <is>
          <t>005680</t>
        </is>
      </c>
      <c r="E3128" s="3" t="inlineStr">
        <is>
          <t xml:space="preserve">주주총회집중일개최사유신고              </t>
        </is>
      </c>
      <c r="F3128" s="3" t="inlineStr">
        <is>
          <t>삼영전자공업</t>
        </is>
      </c>
      <c r="G3128" s="2" t="inlineStr">
        <is>
          <t>20260312801758</t>
        </is>
      </c>
      <c r="H3128" s="8">
        <f>HYPERLINK("https://dart.fss.or.kr/dsaf001/main.do?rcpNo=20260312801758", "공시열람")</f>
        <v/>
      </c>
    </row>
    <row r="3129">
      <c r="A3129" s="2" t="inlineStr">
        <is>
          <t>2026-03-12</t>
        </is>
      </c>
      <c r="B3129" s="3" t="inlineStr">
        <is>
          <t>팜젠사이언스</t>
        </is>
      </c>
      <c r="C3129" s="2" t="inlineStr">
        <is>
          <t>코스피</t>
        </is>
      </c>
      <c r="D3129" s="2" t="inlineStr">
        <is>
          <t>004720</t>
        </is>
      </c>
      <c r="E3129" s="3" t="inlineStr">
        <is>
          <t>주주총회소집공고</t>
        </is>
      </c>
      <c r="F3129" s="3" t="inlineStr">
        <is>
          <t>팜젠사이언스</t>
        </is>
      </c>
      <c r="G3129" s="2" t="inlineStr">
        <is>
          <t>20260312001114</t>
        </is>
      </c>
      <c r="H3129" s="8">
        <f>HYPERLINK("https://dart.fss.or.kr/dsaf001/main.do?rcpNo=20260312001114", "공시열람")</f>
        <v/>
      </c>
    </row>
    <row r="3130">
      <c r="A3130" s="2" t="inlineStr">
        <is>
          <t>2026-03-12</t>
        </is>
      </c>
      <c r="B3130" s="3" t="inlineStr">
        <is>
          <t>M83</t>
        </is>
      </c>
      <c r="C3130" s="2" t="inlineStr">
        <is>
          <t>코스닥</t>
        </is>
      </c>
      <c r="D3130" s="2" t="inlineStr">
        <is>
          <t>476080</t>
        </is>
      </c>
      <c r="E3130" s="3" t="inlineStr">
        <is>
          <t xml:space="preserve">주주총회집중일개최사유신고              </t>
        </is>
      </c>
      <c r="F3130" s="3" t="inlineStr">
        <is>
          <t>M83</t>
        </is>
      </c>
      <c r="G3130" s="2" t="inlineStr">
        <is>
          <t>20260312901784</t>
        </is>
      </c>
      <c r="H3130" s="8">
        <f>HYPERLINK("https://dart.fss.or.kr/dsaf001/main.do?rcpNo=20260312901784", "공시열람")</f>
        <v/>
      </c>
    </row>
    <row r="3131">
      <c r="A3131" s="2" t="inlineStr">
        <is>
          <t>2026-03-12</t>
        </is>
      </c>
      <c r="B3131" s="3" t="inlineStr">
        <is>
          <t>광전자</t>
        </is>
      </c>
      <c r="C3131" s="2" t="inlineStr">
        <is>
          <t>코스피</t>
        </is>
      </c>
      <c r="D3131" s="2" t="inlineStr">
        <is>
          <t>017900</t>
        </is>
      </c>
      <c r="E3131" s="3" t="inlineStr">
        <is>
          <t xml:space="preserve">주주총회집중일개최사유신고              </t>
        </is>
      </c>
      <c r="F3131" s="3" t="inlineStr">
        <is>
          <t>광전자</t>
        </is>
      </c>
      <c r="G3131" s="2" t="inlineStr">
        <is>
          <t>20260312801729</t>
        </is>
      </c>
      <c r="H3131" s="8">
        <f>HYPERLINK("https://dart.fss.or.kr/dsaf001/main.do?rcpNo=20260312801729", "공시열람")</f>
        <v/>
      </c>
    </row>
    <row r="3132">
      <c r="A3132" s="2" t="inlineStr">
        <is>
          <t>2026-03-12</t>
        </is>
      </c>
      <c r="B3132" s="3" t="inlineStr">
        <is>
          <t>보로노이</t>
        </is>
      </c>
      <c r="C3132" s="2" t="inlineStr">
        <is>
          <t>코스닥</t>
        </is>
      </c>
      <c r="D3132" s="2" t="inlineStr">
        <is>
          <t>310210</t>
        </is>
      </c>
      <c r="E3132" s="3" t="inlineStr">
        <is>
          <t xml:space="preserve">주주총회집중일개최사유신고              </t>
        </is>
      </c>
      <c r="F3132" s="3" t="inlineStr">
        <is>
          <t>보로노이</t>
        </is>
      </c>
      <c r="G3132" s="2" t="inlineStr">
        <is>
          <t>20260312901687</t>
        </is>
      </c>
      <c r="H3132" s="8">
        <f>HYPERLINK("https://dart.fss.or.kr/dsaf001/main.do?rcpNo=20260312901687", "공시열람")</f>
        <v/>
      </c>
    </row>
    <row r="3133">
      <c r="A3133" s="2" t="inlineStr">
        <is>
          <t>2026-03-12</t>
        </is>
      </c>
      <c r="B3133" s="3" t="inlineStr">
        <is>
          <t>매일홀딩스</t>
        </is>
      </c>
      <c r="C3133" s="2" t="inlineStr">
        <is>
          <t>코스닥</t>
        </is>
      </c>
      <c r="D3133" s="2" t="inlineStr">
        <is>
          <t>005990</t>
        </is>
      </c>
      <c r="E3133" s="3" t="inlineStr">
        <is>
          <t xml:space="preserve">주주총회집중일개최사유신고              </t>
        </is>
      </c>
      <c r="F3133" s="3" t="inlineStr">
        <is>
          <t>매일홀딩스</t>
        </is>
      </c>
      <c r="G3133" s="2" t="inlineStr">
        <is>
          <t>20260312901767</t>
        </is>
      </c>
      <c r="H3133" s="8">
        <f>HYPERLINK("https://dart.fss.or.kr/dsaf001/main.do?rcpNo=20260312901767", "공시열람")</f>
        <v/>
      </c>
    </row>
    <row r="3134">
      <c r="A3134" s="2" t="inlineStr">
        <is>
          <t>2026-03-12</t>
        </is>
      </c>
      <c r="B3134" s="3" t="inlineStr">
        <is>
          <t>영원무역홀딩스</t>
        </is>
      </c>
      <c r="C3134" s="2" t="inlineStr">
        <is>
          <t>코스피</t>
        </is>
      </c>
      <c r="D3134" s="2" t="inlineStr">
        <is>
          <t>009970</t>
        </is>
      </c>
      <c r="E3134" s="3" t="inlineStr">
        <is>
          <t>주주총회소집공고</t>
        </is>
      </c>
      <c r="F3134" s="3" t="inlineStr">
        <is>
          <t>영원무역홀딩스</t>
        </is>
      </c>
      <c r="G3134" s="2" t="inlineStr">
        <is>
          <t>20260312001113</t>
        </is>
      </c>
      <c r="H3134" s="8">
        <f>HYPERLINK("https://dart.fss.or.kr/dsaf001/main.do?rcpNo=20260312001113", "공시열람")</f>
        <v/>
      </c>
    </row>
    <row r="3135">
      <c r="A3135" s="2" t="inlineStr">
        <is>
          <t>2026-03-12 (정정: 2026-03-23)</t>
        </is>
      </c>
      <c r="B3135" s="3" t="inlineStr">
        <is>
          <t>조광피혁</t>
        </is>
      </c>
      <c r="C3135" s="2" t="inlineStr">
        <is>
          <t>코스피</t>
        </is>
      </c>
      <c r="D3135" s="2" t="inlineStr">
        <is>
          <t>004700</t>
        </is>
      </c>
      <c r="E3135" s="3" t="inlineStr">
        <is>
          <t>주주총회집중일개최사유신고               (정정: 20260323)</t>
        </is>
      </c>
      <c r="F3135" s="3" t="inlineStr">
        <is>
          <t>조광피혁</t>
        </is>
      </c>
      <c r="G3135" s="2" t="inlineStr">
        <is>
          <t>20260323001019</t>
        </is>
      </c>
      <c r="H3135" s="8">
        <f>HYPERLINK("https://dart.fss.or.kr/dsaf001/main.do?rcpNo=20260323001019", "공시열람")</f>
        <v/>
      </c>
    </row>
    <row r="3136">
      <c r="A3136" s="2" t="inlineStr">
        <is>
          <t>2026-03-12</t>
        </is>
      </c>
      <c r="B3136" s="3" t="inlineStr">
        <is>
          <t>아이마켓코리아</t>
        </is>
      </c>
      <c r="C3136" s="2" t="inlineStr">
        <is>
          <t>코스피</t>
        </is>
      </c>
      <c r="D3136" s="2" t="inlineStr">
        <is>
          <t>122900</t>
        </is>
      </c>
      <c r="E3136" s="3" t="inlineStr">
        <is>
          <t xml:space="preserve">주주총회집중일개최사유신고              </t>
        </is>
      </c>
      <c r="F3136" s="3" t="inlineStr">
        <is>
          <t>아이마켓코리아</t>
        </is>
      </c>
      <c r="G3136" s="2" t="inlineStr">
        <is>
          <t>20260312801708</t>
        </is>
      </c>
      <c r="H3136" s="8">
        <f>HYPERLINK("https://dart.fss.or.kr/dsaf001/main.do?rcpNo=20260312801708", "공시열람")</f>
        <v/>
      </c>
    </row>
    <row r="3137">
      <c r="A3137" s="2" t="inlineStr">
        <is>
          <t>2026-03-12</t>
        </is>
      </c>
      <c r="B3137" s="3" t="inlineStr">
        <is>
          <t>앤디포스</t>
        </is>
      </c>
      <c r="C3137" s="2" t="inlineStr">
        <is>
          <t>코스닥</t>
        </is>
      </c>
      <c r="D3137" s="2" t="inlineStr">
        <is>
          <t>238090</t>
        </is>
      </c>
      <c r="E3137" s="3" t="inlineStr">
        <is>
          <t xml:space="preserve">주주총회소집결의              </t>
        </is>
      </c>
      <c r="F3137" s="3" t="inlineStr">
        <is>
          <t>앤디포스</t>
        </is>
      </c>
      <c r="G3137" s="2" t="inlineStr">
        <is>
          <t>20260312901490</t>
        </is>
      </c>
      <c r="H3137" s="8">
        <f>HYPERLINK("https://dart.fss.or.kr/dsaf001/main.do?rcpNo=20260312901490", "공시열람")</f>
        <v/>
      </c>
    </row>
    <row r="3138">
      <c r="A3138" s="2" t="inlineStr">
        <is>
          <t>2026-03-12</t>
        </is>
      </c>
      <c r="B3138" s="3" t="inlineStr">
        <is>
          <t>아시아종묘</t>
        </is>
      </c>
      <c r="C3138" s="2" t="inlineStr">
        <is>
          <t>코스닥</t>
        </is>
      </c>
      <c r="D3138" s="2" t="inlineStr">
        <is>
          <t>154030</t>
        </is>
      </c>
      <c r="E3138" s="3" t="inlineStr">
        <is>
          <t>주주총회소집공고</t>
        </is>
      </c>
      <c r="F3138" s="3" t="inlineStr">
        <is>
          <t>아시아종묘</t>
        </is>
      </c>
      <c r="G3138" s="2" t="inlineStr">
        <is>
          <t>20260312001110</t>
        </is>
      </c>
      <c r="H3138" s="8">
        <f>HYPERLINK("https://dart.fss.or.kr/dsaf001/main.do?rcpNo=20260312001110", "공시열람")</f>
        <v/>
      </c>
    </row>
    <row r="3139">
      <c r="A3139" s="2" t="inlineStr">
        <is>
          <t>2026-03-12</t>
        </is>
      </c>
      <c r="B3139" s="3" t="inlineStr">
        <is>
          <t>이지트로닉스</t>
        </is>
      </c>
      <c r="C3139" s="2" t="inlineStr">
        <is>
          <t>코스닥</t>
        </is>
      </c>
      <c r="D3139" s="2" t="inlineStr">
        <is>
          <t>377330</t>
        </is>
      </c>
      <c r="E3139" s="3" t="inlineStr">
        <is>
          <t xml:space="preserve">주주총회집중일개최사유신고              </t>
        </is>
      </c>
      <c r="F3139" s="3" t="inlineStr">
        <is>
          <t>이지트로닉스</t>
        </is>
      </c>
      <c r="G3139" s="2" t="inlineStr">
        <is>
          <t>20260312901653</t>
        </is>
      </c>
      <c r="H3139" s="8">
        <f>HYPERLINK("https://dart.fss.or.kr/dsaf001/main.do?rcpNo=20260312901653", "공시열람")</f>
        <v/>
      </c>
    </row>
    <row r="3140">
      <c r="A3140" s="2" t="inlineStr">
        <is>
          <t>2026-03-12</t>
        </is>
      </c>
      <c r="B3140" s="3" t="inlineStr">
        <is>
          <t>씨어스</t>
        </is>
      </c>
      <c r="C3140" s="2" t="inlineStr">
        <is>
          <t>코스닥</t>
        </is>
      </c>
      <c r="D3140" s="2" t="inlineStr">
        <is>
          <t>458870</t>
        </is>
      </c>
      <c r="E3140" s="3" t="inlineStr">
        <is>
          <t>주주총회소집공고</t>
        </is>
      </c>
      <c r="F3140" s="3" t="inlineStr">
        <is>
          <t>씨어스</t>
        </is>
      </c>
      <c r="G3140" s="2" t="inlineStr">
        <is>
          <t>20260312001108</t>
        </is>
      </c>
      <c r="H3140" s="8">
        <f>HYPERLINK("https://dart.fss.or.kr/dsaf001/main.do?rcpNo=20260312001108", "공시열람")</f>
        <v/>
      </c>
    </row>
    <row r="3141">
      <c r="A3141" s="2" t="inlineStr">
        <is>
          <t>2026-03-12</t>
        </is>
      </c>
      <c r="B3141" s="3" t="inlineStr">
        <is>
          <t>이지트로닉스</t>
        </is>
      </c>
      <c r="C3141" s="2" t="inlineStr">
        <is>
          <t>코스닥</t>
        </is>
      </c>
      <c r="D3141" s="2" t="inlineStr">
        <is>
          <t>377330</t>
        </is>
      </c>
      <c r="E3141" s="3" t="inlineStr">
        <is>
          <t xml:space="preserve">주주총회소집결의              </t>
        </is>
      </c>
      <c r="F3141" s="3" t="inlineStr">
        <is>
          <t>이지트로닉스</t>
        </is>
      </c>
      <c r="G3141" s="2" t="inlineStr">
        <is>
          <t>20260312901640</t>
        </is>
      </c>
      <c r="H3141" s="8">
        <f>HYPERLINK("https://dart.fss.or.kr/dsaf001/main.do?rcpNo=20260312901640", "공시열람")</f>
        <v/>
      </c>
    </row>
    <row r="3142">
      <c r="A3142" s="2" t="inlineStr">
        <is>
          <t>2026-03-12</t>
        </is>
      </c>
      <c r="B3142" s="3" t="inlineStr">
        <is>
          <t>메가엠디</t>
        </is>
      </c>
      <c r="C3142" s="2" t="inlineStr">
        <is>
          <t>코스닥</t>
        </is>
      </c>
      <c r="D3142" s="2" t="inlineStr">
        <is>
          <t>133750</t>
        </is>
      </c>
      <c r="E3142" s="3" t="inlineStr">
        <is>
          <t>주주총회소집공고</t>
        </is>
      </c>
      <c r="F3142" s="3" t="inlineStr">
        <is>
          <t>메가엠디</t>
        </is>
      </c>
      <c r="G3142" s="2" t="inlineStr">
        <is>
          <t>20260312001106</t>
        </is>
      </c>
      <c r="H3142" s="8">
        <f>HYPERLINK("https://dart.fss.or.kr/dsaf001/main.do?rcpNo=20260312001106", "공시열람")</f>
        <v/>
      </c>
    </row>
    <row r="3143">
      <c r="A3143" s="2" t="inlineStr">
        <is>
          <t>2026-03-12</t>
        </is>
      </c>
      <c r="B3143" s="3" t="inlineStr">
        <is>
          <t>아이오케이이엔엠</t>
        </is>
      </c>
      <c r="C3143" s="2" t="inlineStr">
        <is>
          <t>코스닥</t>
        </is>
      </c>
      <c r="D3143" s="2" t="inlineStr">
        <is>
          <t>078860</t>
        </is>
      </c>
      <c r="E3143" s="3" t="inlineStr">
        <is>
          <t>주주총회소집공고</t>
        </is>
      </c>
      <c r="F3143" s="3" t="inlineStr">
        <is>
          <t>아이오케이이엔엠</t>
        </is>
      </c>
      <c r="G3143" s="2" t="inlineStr">
        <is>
          <t>20260312001104</t>
        </is>
      </c>
      <c r="H3143" s="8">
        <f>HYPERLINK("https://dart.fss.or.kr/dsaf001/main.do?rcpNo=20260312001104", "공시열람")</f>
        <v/>
      </c>
    </row>
    <row r="3144">
      <c r="A3144" s="2" t="inlineStr">
        <is>
          <t>2026-03-12</t>
        </is>
      </c>
      <c r="B3144" s="3" t="inlineStr">
        <is>
          <t>세종메디칼</t>
        </is>
      </c>
      <c r="C3144" s="2" t="inlineStr">
        <is>
          <t>코스닥</t>
        </is>
      </c>
      <c r="D3144" s="2" t="inlineStr">
        <is>
          <t>258830</t>
        </is>
      </c>
      <c r="E3144" s="3" t="inlineStr">
        <is>
          <t>주주총회소집공고</t>
        </is>
      </c>
      <c r="F3144" s="3" t="inlineStr">
        <is>
          <t>세종메디칼</t>
        </is>
      </c>
      <c r="G3144" s="2" t="inlineStr">
        <is>
          <t>20260312001102</t>
        </is>
      </c>
      <c r="H3144" s="8">
        <f>HYPERLINK("https://dart.fss.or.kr/dsaf001/main.do?rcpNo=20260312001102", "공시열람")</f>
        <v/>
      </c>
    </row>
    <row r="3145">
      <c r="A3145" s="2" t="inlineStr">
        <is>
          <t>2026-03-12</t>
        </is>
      </c>
      <c r="B3145" s="3" t="inlineStr">
        <is>
          <t>영원무역</t>
        </is>
      </c>
      <c r="C3145" s="2" t="inlineStr">
        <is>
          <t>코스피</t>
        </is>
      </c>
      <c r="D3145" s="2" t="inlineStr">
        <is>
          <t>111770</t>
        </is>
      </c>
      <c r="E3145" s="3" t="inlineStr">
        <is>
          <t>주주총회소집공고</t>
        </is>
      </c>
      <c r="F3145" s="3" t="inlineStr">
        <is>
          <t>영원무역</t>
        </is>
      </c>
      <c r="G3145" s="2" t="inlineStr">
        <is>
          <t>20260312001098</t>
        </is>
      </c>
      <c r="H3145" s="8">
        <f>HYPERLINK("https://dart.fss.or.kr/dsaf001/main.do?rcpNo=20260312001098", "공시열람")</f>
        <v/>
      </c>
    </row>
    <row r="3146">
      <c r="A3146" s="2" t="inlineStr">
        <is>
          <t>2026-03-12</t>
        </is>
      </c>
      <c r="B3146" s="3" t="inlineStr">
        <is>
          <t>블리츠웨이엔터테인먼트</t>
        </is>
      </c>
      <c r="C3146" s="2" t="inlineStr">
        <is>
          <t>코스닥</t>
        </is>
      </c>
      <c r="D3146" s="2" t="inlineStr">
        <is>
          <t>369370</t>
        </is>
      </c>
      <c r="E3146" s="3" t="inlineStr">
        <is>
          <t>주주총회소집공고</t>
        </is>
      </c>
      <c r="F3146" s="3" t="inlineStr">
        <is>
          <t>블리츠웨이엔터테인먼트</t>
        </is>
      </c>
      <c r="G3146" s="2" t="inlineStr">
        <is>
          <t>20260312001096</t>
        </is>
      </c>
      <c r="H3146" s="8">
        <f>HYPERLINK("https://dart.fss.or.kr/dsaf001/main.do?rcpNo=20260312001096", "공시열람")</f>
        <v/>
      </c>
    </row>
    <row r="3147">
      <c r="A3147" s="2" t="inlineStr">
        <is>
          <t>2026-03-12</t>
        </is>
      </c>
      <c r="B3147" s="3" t="inlineStr">
        <is>
          <t>이엔셀</t>
        </is>
      </c>
      <c r="C3147" s="2" t="inlineStr">
        <is>
          <t>코스닥</t>
        </is>
      </c>
      <c r="D3147" s="2" t="inlineStr">
        <is>
          <t>456070</t>
        </is>
      </c>
      <c r="E3147" s="3" t="inlineStr">
        <is>
          <t xml:space="preserve">주주총회집중일개최사유신고              </t>
        </is>
      </c>
      <c r="F3147" s="3" t="inlineStr">
        <is>
          <t>이엔셀</t>
        </is>
      </c>
      <c r="G3147" s="2" t="inlineStr">
        <is>
          <t>20260312901703</t>
        </is>
      </c>
      <c r="H3147" s="8">
        <f>HYPERLINK("https://dart.fss.or.kr/dsaf001/main.do?rcpNo=20260312901703", "공시열람")</f>
        <v/>
      </c>
    </row>
    <row r="3148">
      <c r="A3148" s="2" t="inlineStr">
        <is>
          <t>2026-03-12</t>
        </is>
      </c>
      <c r="B3148" s="3" t="inlineStr">
        <is>
          <t>세종메디칼</t>
        </is>
      </c>
      <c r="C3148" s="2" t="inlineStr">
        <is>
          <t>코스닥</t>
        </is>
      </c>
      <c r="D3148" s="2" t="inlineStr">
        <is>
          <t>258830</t>
        </is>
      </c>
      <c r="E3148" s="3" t="inlineStr">
        <is>
          <t xml:space="preserve">주주총회집중일개최사유신고              </t>
        </is>
      </c>
      <c r="F3148" s="3" t="inlineStr">
        <is>
          <t>세종메디칼</t>
        </is>
      </c>
      <c r="G3148" s="2" t="inlineStr">
        <is>
          <t>20260312901684</t>
        </is>
      </c>
      <c r="H3148" s="8">
        <f>HYPERLINK("https://dart.fss.or.kr/dsaf001/main.do?rcpNo=20260312901684", "공시열람")</f>
        <v/>
      </c>
    </row>
    <row r="3149">
      <c r="A3149" s="2" t="inlineStr">
        <is>
          <t>2026-03-12</t>
        </is>
      </c>
      <c r="B3149" s="3" t="inlineStr">
        <is>
          <t>에스티오</t>
        </is>
      </c>
      <c r="C3149" s="2" t="inlineStr">
        <is>
          <t>코스닥</t>
        </is>
      </c>
      <c r="D3149" s="2" t="inlineStr">
        <is>
          <t>098660</t>
        </is>
      </c>
      <c r="E3149" s="3" t="inlineStr">
        <is>
          <t>주주총회소집공고</t>
        </is>
      </c>
      <c r="F3149" s="3" t="inlineStr">
        <is>
          <t>에스티오</t>
        </is>
      </c>
      <c r="G3149" s="2" t="inlineStr">
        <is>
          <t>20260312001093</t>
        </is>
      </c>
      <c r="H3149" s="8">
        <f>HYPERLINK("https://dart.fss.or.kr/dsaf001/main.do?rcpNo=20260312001093", "공시열람")</f>
        <v/>
      </c>
    </row>
    <row r="3150">
      <c r="A3150" s="2" t="inlineStr">
        <is>
          <t>2026-03-12 (정정: 2026-03-12)</t>
        </is>
      </c>
      <c r="B3150" s="3" t="inlineStr">
        <is>
          <t>씨어스</t>
        </is>
      </c>
      <c r="C3150" s="2" t="inlineStr">
        <is>
          <t>코스닥</t>
        </is>
      </c>
      <c r="D3150" s="2" t="inlineStr">
        <is>
          <t>458870</t>
        </is>
      </c>
      <c r="E3150" s="3" t="inlineStr">
        <is>
          <t>주주총회소집결의               (정정: 20260312) (정정: 20260312)</t>
        </is>
      </c>
      <c r="F3150" s="3" t="inlineStr">
        <is>
          <t>씨어스</t>
        </is>
      </c>
      <c r="G3150" s="2" t="inlineStr">
        <is>
          <t>20260312001021</t>
        </is>
      </c>
      <c r="H3150" s="8">
        <f>HYPERLINK("https://dart.fss.or.kr/dsaf001/main.do?rcpNo=20260312001021", "공시열람")</f>
        <v/>
      </c>
    </row>
    <row r="3151">
      <c r="A3151" s="2" t="inlineStr">
        <is>
          <t>2026-03-12</t>
        </is>
      </c>
      <c r="B3151" s="3" t="inlineStr">
        <is>
          <t>M83</t>
        </is>
      </c>
      <c r="C3151" s="2" t="inlineStr">
        <is>
          <t>코스닥</t>
        </is>
      </c>
      <c r="D3151" s="2" t="inlineStr">
        <is>
          <t>476080</t>
        </is>
      </c>
      <c r="E3151" s="3" t="inlineStr">
        <is>
          <t xml:space="preserve">주주총회소집결의              </t>
        </is>
      </c>
      <c r="F3151" s="3" t="inlineStr">
        <is>
          <t>M83</t>
        </is>
      </c>
      <c r="G3151" s="2" t="inlineStr">
        <is>
          <t>20260312901331</t>
        </is>
      </c>
      <c r="H3151" s="8">
        <f>HYPERLINK("https://dart.fss.or.kr/dsaf001/main.do?rcpNo=20260312901331", "공시열람")</f>
        <v/>
      </c>
    </row>
    <row r="3152">
      <c r="A3152" s="2" t="inlineStr">
        <is>
          <t>2026-03-12</t>
        </is>
      </c>
      <c r="B3152" s="3" t="inlineStr">
        <is>
          <t>삼성공조</t>
        </is>
      </c>
      <c r="C3152" s="2" t="inlineStr">
        <is>
          <t>코스피</t>
        </is>
      </c>
      <c r="D3152" s="2" t="inlineStr">
        <is>
          <t>006660</t>
        </is>
      </c>
      <c r="E3152" s="3" t="inlineStr">
        <is>
          <t xml:space="preserve">주주총회집중일개최사유신고              </t>
        </is>
      </c>
      <c r="F3152" s="3" t="inlineStr">
        <is>
          <t>삼성공조</t>
        </is>
      </c>
      <c r="G3152" s="2" t="inlineStr">
        <is>
          <t>20260312801641</t>
        </is>
      </c>
      <c r="H3152" s="8">
        <f>HYPERLINK("https://dart.fss.or.kr/dsaf001/main.do?rcpNo=20260312801641", "공시열람")</f>
        <v/>
      </c>
    </row>
    <row r="3153">
      <c r="A3153" s="2" t="inlineStr">
        <is>
          <t>2026-03-12</t>
        </is>
      </c>
      <c r="B3153" s="3" t="inlineStr">
        <is>
          <t>매일홀딩스</t>
        </is>
      </c>
      <c r="C3153" s="2" t="inlineStr">
        <is>
          <t>코스닥</t>
        </is>
      </c>
      <c r="D3153" s="2" t="inlineStr">
        <is>
          <t>005990</t>
        </is>
      </c>
      <c r="E3153" s="3" t="inlineStr">
        <is>
          <t>주주총회소집공고</t>
        </is>
      </c>
      <c r="F3153" s="3" t="inlineStr">
        <is>
          <t>매일홀딩스</t>
        </is>
      </c>
      <c r="G3153" s="2" t="inlineStr">
        <is>
          <t>20260312001088</t>
        </is>
      </c>
      <c r="H3153" s="8">
        <f>HYPERLINK("https://dart.fss.or.kr/dsaf001/main.do?rcpNo=20260312001088", "공시열람")</f>
        <v/>
      </c>
    </row>
    <row r="3154">
      <c r="A3154" s="2" t="inlineStr">
        <is>
          <t>2026-03-12</t>
        </is>
      </c>
      <c r="B3154" s="3" t="inlineStr">
        <is>
          <t>신대양제지</t>
        </is>
      </c>
      <c r="C3154" s="2" t="inlineStr">
        <is>
          <t>코스피</t>
        </is>
      </c>
      <c r="D3154" s="2" t="inlineStr">
        <is>
          <t>016590</t>
        </is>
      </c>
      <c r="E3154" s="3" t="inlineStr">
        <is>
          <t>주주총회소집공고</t>
        </is>
      </c>
      <c r="F3154" s="3" t="inlineStr">
        <is>
          <t>신대양제지</t>
        </is>
      </c>
      <c r="G3154" s="2" t="inlineStr">
        <is>
          <t>20260312001080</t>
        </is>
      </c>
      <c r="H3154" s="8">
        <f>HYPERLINK("https://dart.fss.or.kr/dsaf001/main.do?rcpNo=20260312001080", "공시열람")</f>
        <v/>
      </c>
    </row>
    <row r="3155">
      <c r="A3155" s="2" t="inlineStr">
        <is>
          <t>2026-03-12 (정정: 2026-03-12)</t>
        </is>
      </c>
      <c r="B3155" s="3" t="inlineStr">
        <is>
          <t>오아</t>
        </is>
      </c>
      <c r="C3155" s="2" t="inlineStr">
        <is>
          <t>코스닥</t>
        </is>
      </c>
      <c r="D3155" s="2" t="inlineStr">
        <is>
          <t>342870</t>
        </is>
      </c>
      <c r="E3155" s="3" t="inlineStr">
        <is>
          <t>주주총회소집공고 (정정: 20260312)</t>
        </is>
      </c>
      <c r="F3155" s="3" t="inlineStr">
        <is>
          <t>오아</t>
        </is>
      </c>
      <c r="G3155" s="2" t="inlineStr">
        <is>
          <t>20260311004654</t>
        </is>
      </c>
      <c r="H3155" s="8">
        <f>HYPERLINK("https://dart.fss.or.kr/dsaf001/main.do?rcpNo=20260311004654", "공시열람")</f>
        <v/>
      </c>
    </row>
    <row r="3156">
      <c r="A3156" s="2" t="inlineStr">
        <is>
          <t>2026-03-12</t>
        </is>
      </c>
      <c r="B3156" s="3" t="inlineStr">
        <is>
          <t>조광피혁</t>
        </is>
      </c>
      <c r="C3156" s="2" t="inlineStr">
        <is>
          <t>코스피</t>
        </is>
      </c>
      <c r="D3156" s="2" t="inlineStr">
        <is>
          <t>004700</t>
        </is>
      </c>
      <c r="E3156" s="3" t="inlineStr">
        <is>
          <t>주주총회소집공고</t>
        </is>
      </c>
      <c r="F3156" s="3" t="inlineStr">
        <is>
          <t>조광피혁</t>
        </is>
      </c>
      <c r="G3156" s="2" t="inlineStr">
        <is>
          <t>20260312001074</t>
        </is>
      </c>
      <c r="H3156" s="8">
        <f>HYPERLINK("https://dart.fss.or.kr/dsaf001/main.do?rcpNo=20260312001074", "공시열람")</f>
        <v/>
      </c>
    </row>
    <row r="3157">
      <c r="A3157" s="2" t="inlineStr">
        <is>
          <t>2026-03-12</t>
        </is>
      </c>
      <c r="B3157" s="3" t="inlineStr">
        <is>
          <t>다산네트웍스</t>
        </is>
      </c>
      <c r="C3157" s="2" t="inlineStr">
        <is>
          <t>코스닥</t>
        </is>
      </c>
      <c r="D3157" s="2" t="inlineStr">
        <is>
          <t>039560</t>
        </is>
      </c>
      <c r="E3157" s="3" t="inlineStr">
        <is>
          <t xml:space="preserve">주주총회소집결의              </t>
        </is>
      </c>
      <c r="F3157" s="3" t="inlineStr">
        <is>
          <t>다산네트웍스</t>
        </is>
      </c>
      <c r="G3157" s="2" t="inlineStr">
        <is>
          <t>20260312901699</t>
        </is>
      </c>
      <c r="H3157" s="8">
        <f>HYPERLINK("https://dart.fss.or.kr/dsaf001/main.do?rcpNo=20260312901699", "공시열람")</f>
        <v/>
      </c>
    </row>
    <row r="3158">
      <c r="A3158" s="2" t="inlineStr">
        <is>
          <t>2026-03-12</t>
        </is>
      </c>
      <c r="B3158" s="3" t="inlineStr">
        <is>
          <t>팜젠사이언스</t>
        </is>
      </c>
      <c r="C3158" s="2" t="inlineStr">
        <is>
          <t>코스피</t>
        </is>
      </c>
      <c r="D3158" s="2" t="inlineStr">
        <is>
          <t>004720</t>
        </is>
      </c>
      <c r="E3158" s="3" t="inlineStr">
        <is>
          <t xml:space="preserve">주주총회소집결의              </t>
        </is>
      </c>
      <c r="F3158" s="3" t="inlineStr">
        <is>
          <t>팜젠사이언스</t>
        </is>
      </c>
      <c r="G3158" s="2" t="inlineStr">
        <is>
          <t>20260312801554</t>
        </is>
      </c>
      <c r="H3158" s="8">
        <f>HYPERLINK("https://dart.fss.or.kr/dsaf001/main.do?rcpNo=20260312801554", "공시열람")</f>
        <v/>
      </c>
    </row>
    <row r="3159">
      <c r="A3159" s="2" t="inlineStr">
        <is>
          <t>2026-03-12</t>
        </is>
      </c>
      <c r="B3159" s="3" t="inlineStr">
        <is>
          <t>코리아써키트</t>
        </is>
      </c>
      <c r="C3159" s="2" t="inlineStr">
        <is>
          <t>코스피</t>
        </is>
      </c>
      <c r="D3159" s="2" t="inlineStr">
        <is>
          <t>007810</t>
        </is>
      </c>
      <c r="E3159" s="3" t="inlineStr">
        <is>
          <t xml:space="preserve">주주총회집중일개최사유신고              </t>
        </is>
      </c>
      <c r="F3159" s="3" t="inlineStr">
        <is>
          <t>코리아써키트</t>
        </is>
      </c>
      <c r="G3159" s="2" t="inlineStr">
        <is>
          <t>20260312801603</t>
        </is>
      </c>
      <c r="H3159" s="8">
        <f>HYPERLINK("https://dart.fss.or.kr/dsaf001/main.do?rcpNo=20260312801603", "공시열람")</f>
        <v/>
      </c>
    </row>
    <row r="3160">
      <c r="A3160" s="2" t="inlineStr">
        <is>
          <t>2026-03-12</t>
        </is>
      </c>
      <c r="B3160" s="3" t="inlineStr">
        <is>
          <t>아이오케이이엔엠</t>
        </is>
      </c>
      <c r="C3160" s="2" t="inlineStr">
        <is>
          <t>코스닥</t>
        </is>
      </c>
      <c r="D3160" s="2" t="inlineStr">
        <is>
          <t>078860</t>
        </is>
      </c>
      <c r="E3160" s="3" t="inlineStr">
        <is>
          <t xml:space="preserve">주주총회소집결의              </t>
        </is>
      </c>
      <c r="F3160" s="3" t="inlineStr">
        <is>
          <t>아이오케이이엔엠</t>
        </is>
      </c>
      <c r="G3160" s="2" t="inlineStr">
        <is>
          <t>20260312901467</t>
        </is>
      </c>
      <c r="H3160" s="8">
        <f>HYPERLINK("https://dart.fss.or.kr/dsaf001/main.do?rcpNo=20260312901467", "공시열람")</f>
        <v/>
      </c>
    </row>
    <row r="3161">
      <c r="A3161" s="2" t="inlineStr">
        <is>
          <t>2026-03-12</t>
        </is>
      </c>
      <c r="B3161" s="3" t="inlineStr">
        <is>
          <t>큐브엔터</t>
        </is>
      </c>
      <c r="C3161" s="2" t="inlineStr">
        <is>
          <t>코스닥</t>
        </is>
      </c>
      <c r="D3161" s="2" t="inlineStr">
        <is>
          <t>182360</t>
        </is>
      </c>
      <c r="E3161" s="3" t="inlineStr">
        <is>
          <t xml:space="preserve">주주총회집중일개최사유신고              </t>
        </is>
      </c>
      <c r="F3161" s="3" t="inlineStr">
        <is>
          <t>큐브엔터</t>
        </is>
      </c>
      <c r="G3161" s="2" t="inlineStr">
        <is>
          <t>20260312901585</t>
        </is>
      </c>
      <c r="H3161" s="8">
        <f>HYPERLINK("https://dart.fss.or.kr/dsaf001/main.do?rcpNo=20260312901585", "공시열람")</f>
        <v/>
      </c>
    </row>
    <row r="3162">
      <c r="A3162" s="2" t="inlineStr">
        <is>
          <t>2026-03-12</t>
        </is>
      </c>
      <c r="B3162" s="3" t="inlineStr">
        <is>
          <t>에스프리즘</t>
        </is>
      </c>
      <c r="C3162" s="2" t="inlineStr">
        <is>
          <t>코스닥</t>
        </is>
      </c>
      <c r="D3162" s="2" t="inlineStr">
        <is>
          <t>288620</t>
        </is>
      </c>
      <c r="E3162" s="3" t="inlineStr">
        <is>
          <t xml:space="preserve">주주총회집중일개최사유신고              </t>
        </is>
      </c>
      <c r="F3162" s="3" t="inlineStr">
        <is>
          <t>에스프리즘</t>
        </is>
      </c>
      <c r="G3162" s="2" t="inlineStr">
        <is>
          <t>20260312901657</t>
        </is>
      </c>
      <c r="H3162" s="8">
        <f>HYPERLINK("https://dart.fss.or.kr/dsaf001/main.do?rcpNo=20260312901657", "공시열람")</f>
        <v/>
      </c>
    </row>
    <row r="3163">
      <c r="A3163" s="2" t="inlineStr">
        <is>
          <t>2026-03-12</t>
        </is>
      </c>
      <c r="B3163" s="3" t="inlineStr">
        <is>
          <t>네오오토</t>
        </is>
      </c>
      <c r="C3163" s="2" t="inlineStr">
        <is>
          <t>코스닥</t>
        </is>
      </c>
      <c r="D3163" s="2" t="inlineStr">
        <is>
          <t>212560</t>
        </is>
      </c>
      <c r="E3163" s="3" t="inlineStr">
        <is>
          <t>주주총회소집공고</t>
        </is>
      </c>
      <c r="F3163" s="3" t="inlineStr">
        <is>
          <t>네오오토</t>
        </is>
      </c>
      <c r="G3163" s="2" t="inlineStr">
        <is>
          <t>20260312001063</t>
        </is>
      </c>
      <c r="H3163" s="8">
        <f>HYPERLINK("https://dart.fss.or.kr/dsaf001/main.do?rcpNo=20260312001063", "공시열람")</f>
        <v/>
      </c>
    </row>
    <row r="3164">
      <c r="A3164" s="2" t="inlineStr">
        <is>
          <t>2026-03-12</t>
        </is>
      </c>
      <c r="B3164" s="3" t="inlineStr">
        <is>
          <t>SOOP</t>
        </is>
      </c>
      <c r="C3164" s="2" t="inlineStr">
        <is>
          <t>코스닥</t>
        </is>
      </c>
      <c r="D3164" s="2" t="inlineStr">
        <is>
          <t>067160</t>
        </is>
      </c>
      <c r="E3164" s="3" t="inlineStr">
        <is>
          <t>주주총회소집공고</t>
        </is>
      </c>
      <c r="F3164" s="3" t="inlineStr">
        <is>
          <t>SOOP</t>
        </is>
      </c>
      <c r="G3164" s="2" t="inlineStr">
        <is>
          <t>20260312001062</t>
        </is>
      </c>
      <c r="H3164" s="8">
        <f>HYPERLINK("https://dart.fss.or.kr/dsaf001/main.do?rcpNo=20260312001062", "공시열람")</f>
        <v/>
      </c>
    </row>
    <row r="3165">
      <c r="A3165" s="2" t="inlineStr">
        <is>
          <t>2026-03-12 (정정: 2026-03-18)</t>
        </is>
      </c>
      <c r="B3165" s="3" t="inlineStr">
        <is>
          <t>휴림에이텍</t>
        </is>
      </c>
      <c r="C3165" s="2" t="inlineStr">
        <is>
          <t>코스닥</t>
        </is>
      </c>
      <c r="D3165" s="2" t="inlineStr">
        <is>
          <t>078590</t>
        </is>
      </c>
      <c r="E3165" s="3" t="inlineStr">
        <is>
          <t>주주총회소집공고 (정정: 20260318)</t>
        </is>
      </c>
      <c r="F3165" s="3" t="inlineStr">
        <is>
          <t>휴림에이텍</t>
        </is>
      </c>
      <c r="G3165" s="2" t="inlineStr">
        <is>
          <t>20260318001004</t>
        </is>
      </c>
      <c r="H3165" s="8">
        <f>HYPERLINK("https://dart.fss.or.kr/dsaf001/main.do?rcpNo=20260318001004", "공시열람")</f>
        <v/>
      </c>
    </row>
    <row r="3166">
      <c r="A3166" s="2" t="inlineStr">
        <is>
          <t>2026-03-12</t>
        </is>
      </c>
      <c r="B3166" s="3" t="inlineStr">
        <is>
          <t>SOOP</t>
        </is>
      </c>
      <c r="C3166" s="2" t="inlineStr">
        <is>
          <t>코스닥</t>
        </is>
      </c>
      <c r="D3166" s="2" t="inlineStr">
        <is>
          <t>067160</t>
        </is>
      </c>
      <c r="E3166" s="3" t="inlineStr">
        <is>
          <t xml:space="preserve">주주총회소집결의              </t>
        </is>
      </c>
      <c r="F3166" s="3" t="inlineStr">
        <is>
          <t>SOOP</t>
        </is>
      </c>
      <c r="G3166" s="2" t="inlineStr">
        <is>
          <t>20260312901541</t>
        </is>
      </c>
      <c r="H3166" s="8">
        <f>HYPERLINK("https://dart.fss.or.kr/dsaf001/main.do?rcpNo=20260312901541", "공시열람")</f>
        <v/>
      </c>
    </row>
    <row r="3167">
      <c r="A3167" s="2" t="inlineStr">
        <is>
          <t>2026-03-12</t>
        </is>
      </c>
      <c r="B3167" s="3" t="inlineStr">
        <is>
          <t>신대양제지</t>
        </is>
      </c>
      <c r="C3167" s="2" t="inlineStr">
        <is>
          <t>코스피</t>
        </is>
      </c>
      <c r="D3167" s="2" t="inlineStr">
        <is>
          <t>016590</t>
        </is>
      </c>
      <c r="E3167" s="3" t="inlineStr">
        <is>
          <t xml:space="preserve">주주총회집중일개최사유신고              </t>
        </is>
      </c>
      <c r="F3167" s="3" t="inlineStr">
        <is>
          <t>신대양제지</t>
        </is>
      </c>
      <c r="G3167" s="2" t="inlineStr">
        <is>
          <t>20260312801597</t>
        </is>
      </c>
      <c r="H3167" s="8">
        <f>HYPERLINK("https://dart.fss.or.kr/dsaf001/main.do?rcpNo=20260312801597", "공시열람")</f>
        <v/>
      </c>
    </row>
    <row r="3168">
      <c r="A3168" s="2" t="inlineStr">
        <is>
          <t>2026-03-12</t>
        </is>
      </c>
      <c r="B3168" s="3" t="inlineStr">
        <is>
          <t>아이마켓코리아</t>
        </is>
      </c>
      <c r="C3168" s="2" t="inlineStr">
        <is>
          <t>코스피</t>
        </is>
      </c>
      <c r="D3168" s="2" t="inlineStr">
        <is>
          <t>122900</t>
        </is>
      </c>
      <c r="E3168" s="3" t="inlineStr">
        <is>
          <t xml:space="preserve">주주총회소집결의              </t>
        </is>
      </c>
      <c r="F3168" s="3" t="inlineStr">
        <is>
          <t>아이마켓코리아</t>
        </is>
      </c>
      <c r="G3168" s="2" t="inlineStr">
        <is>
          <t>20260312801489</t>
        </is>
      </c>
      <c r="H3168" s="8">
        <f>HYPERLINK("https://dart.fss.or.kr/dsaf001/main.do?rcpNo=20260312801489", "공시열람")</f>
        <v/>
      </c>
    </row>
    <row r="3169">
      <c r="A3169" s="2" t="inlineStr">
        <is>
          <t>2026-03-12</t>
        </is>
      </c>
      <c r="B3169" s="3" t="inlineStr">
        <is>
          <t>KX</t>
        </is>
      </c>
      <c r="C3169" s="2" t="inlineStr">
        <is>
          <t>코스닥</t>
        </is>
      </c>
      <c r="D3169" s="2" t="inlineStr">
        <is>
          <t>122450</t>
        </is>
      </c>
      <c r="E3169" s="3" t="inlineStr">
        <is>
          <t>주주총회소집공고</t>
        </is>
      </c>
      <c r="F3169" s="3" t="inlineStr">
        <is>
          <t>KX</t>
        </is>
      </c>
      <c r="G3169" s="2" t="inlineStr">
        <is>
          <t>20260312001058</t>
        </is>
      </c>
      <c r="H3169" s="8">
        <f>HYPERLINK("https://dart.fss.or.kr/dsaf001/main.do?rcpNo=20260312001058", "공시열람")</f>
        <v/>
      </c>
    </row>
    <row r="3170">
      <c r="A3170" s="2" t="inlineStr">
        <is>
          <t>2026-03-12 (정정: 2026-03-12)</t>
        </is>
      </c>
      <c r="B3170" s="3" t="inlineStr">
        <is>
          <t>케이씨씨글라스</t>
        </is>
      </c>
      <c r="C3170" s="2" t="inlineStr">
        <is>
          <t>코스피</t>
        </is>
      </c>
      <c r="D3170" s="2" t="inlineStr">
        <is>
          <t>344820</t>
        </is>
      </c>
      <c r="E3170" s="3" t="inlineStr">
        <is>
          <t>[기재정정]주주총회소집공고 (정정: 20260312)</t>
        </is>
      </c>
      <c r="F3170" s="3" t="inlineStr">
        <is>
          <t>케이씨씨글라스</t>
        </is>
      </c>
      <c r="G3170" s="2" t="inlineStr">
        <is>
          <t>20260312801525</t>
        </is>
      </c>
      <c r="H3170" s="8">
        <f>HYPERLINK("https://dart.fss.or.kr/dsaf001/main.do?rcpNo=20260312801525", "공시열람")</f>
        <v/>
      </c>
    </row>
    <row r="3171">
      <c r="A3171" s="2" t="inlineStr">
        <is>
          <t>2026-03-12</t>
        </is>
      </c>
      <c r="B3171" s="3" t="inlineStr">
        <is>
          <t>세종메디칼</t>
        </is>
      </c>
      <c r="C3171" s="2" t="inlineStr">
        <is>
          <t>코스닥</t>
        </is>
      </c>
      <c r="D3171" s="2" t="inlineStr">
        <is>
          <t>258830</t>
        </is>
      </c>
      <c r="E3171" s="3" t="inlineStr">
        <is>
          <t xml:space="preserve">주주총회소집결의              </t>
        </is>
      </c>
      <c r="F3171" s="3" t="inlineStr">
        <is>
          <t>세종메디칼</t>
        </is>
      </c>
      <c r="G3171" s="2" t="inlineStr">
        <is>
          <t>20260312901571</t>
        </is>
      </c>
      <c r="H3171" s="8">
        <f>HYPERLINK("https://dart.fss.or.kr/dsaf001/main.do?rcpNo=20260312901571", "공시열람")</f>
        <v/>
      </c>
    </row>
    <row r="3172">
      <c r="A3172" s="2" t="inlineStr">
        <is>
          <t>2026-03-12</t>
        </is>
      </c>
      <c r="B3172" s="3" t="inlineStr">
        <is>
          <t>조광피혁</t>
        </is>
      </c>
      <c r="C3172" s="2" t="inlineStr">
        <is>
          <t>코스피</t>
        </is>
      </c>
      <c r="D3172" s="2" t="inlineStr">
        <is>
          <t>004700</t>
        </is>
      </c>
      <c r="E3172" s="3" t="inlineStr">
        <is>
          <t xml:space="preserve">주주총회소집결의              </t>
        </is>
      </c>
      <c r="F3172" s="3" t="inlineStr">
        <is>
          <t>조광피혁</t>
        </is>
      </c>
      <c r="G3172" s="2" t="inlineStr">
        <is>
          <t>20260312801428</t>
        </is>
      </c>
      <c r="H3172" s="8">
        <f>HYPERLINK("https://dart.fss.or.kr/dsaf001/main.do?rcpNo=20260312801428", "공시열람")</f>
        <v/>
      </c>
    </row>
    <row r="3173">
      <c r="A3173" s="2" t="inlineStr">
        <is>
          <t>2026-03-12</t>
        </is>
      </c>
      <c r="B3173" s="3" t="inlineStr">
        <is>
          <t>클리오</t>
        </is>
      </c>
      <c r="C3173" s="2" t="inlineStr">
        <is>
          <t>코스닥</t>
        </is>
      </c>
      <c r="D3173" s="2" t="inlineStr">
        <is>
          <t>237880</t>
        </is>
      </c>
      <c r="E3173" s="3" t="inlineStr">
        <is>
          <t xml:space="preserve">주주총회소집결의              </t>
        </is>
      </c>
      <c r="F3173" s="3" t="inlineStr">
        <is>
          <t>클리오</t>
        </is>
      </c>
      <c r="G3173" s="2" t="inlineStr">
        <is>
          <t>20260312901539</t>
        </is>
      </c>
      <c r="H3173" s="8">
        <f>HYPERLINK("https://dart.fss.or.kr/dsaf001/main.do?rcpNo=20260312901539", "공시열람")</f>
        <v/>
      </c>
    </row>
    <row r="3174">
      <c r="A3174" s="2" t="inlineStr">
        <is>
          <t>2026-03-12</t>
        </is>
      </c>
      <c r="B3174" s="3" t="inlineStr">
        <is>
          <t>케이엔솔</t>
        </is>
      </c>
      <c r="C3174" s="2" t="inlineStr">
        <is>
          <t>코스닥</t>
        </is>
      </c>
      <c r="D3174" s="2" t="inlineStr">
        <is>
          <t>053080</t>
        </is>
      </c>
      <c r="E3174" s="3" t="inlineStr">
        <is>
          <t>주주총회소집공고</t>
        </is>
      </c>
      <c r="F3174" s="3" t="inlineStr">
        <is>
          <t>케이엔솔</t>
        </is>
      </c>
      <c r="G3174" s="2" t="inlineStr">
        <is>
          <t>20260312001053</t>
        </is>
      </c>
      <c r="H3174" s="8">
        <f>HYPERLINK("https://dart.fss.or.kr/dsaf001/main.do?rcpNo=20260312001053", "공시열람")</f>
        <v/>
      </c>
    </row>
    <row r="3175">
      <c r="A3175" s="2" t="inlineStr">
        <is>
          <t>2026-03-12</t>
        </is>
      </c>
      <c r="B3175" s="3" t="inlineStr">
        <is>
          <t>동진쎄미켐</t>
        </is>
      </c>
      <c r="C3175" s="2" t="inlineStr">
        <is>
          <t>코스닥</t>
        </is>
      </c>
      <c r="D3175" s="2" t="inlineStr">
        <is>
          <t>005290</t>
        </is>
      </c>
      <c r="E3175" s="3" t="inlineStr">
        <is>
          <t>주주총회소집공고</t>
        </is>
      </c>
      <c r="F3175" s="3" t="inlineStr">
        <is>
          <t>동진쎄미켐</t>
        </is>
      </c>
      <c r="G3175" s="2" t="inlineStr">
        <is>
          <t>20260312001051</t>
        </is>
      </c>
      <c r="H3175" s="8">
        <f>HYPERLINK("https://dart.fss.or.kr/dsaf001/main.do?rcpNo=20260312001051", "공시열람")</f>
        <v/>
      </c>
    </row>
    <row r="3176">
      <c r="A3176" s="2" t="inlineStr">
        <is>
          <t>2026-03-12</t>
        </is>
      </c>
      <c r="B3176" s="3" t="inlineStr">
        <is>
          <t>YTN</t>
        </is>
      </c>
      <c r="C3176" s="2" t="inlineStr">
        <is>
          <t>코스닥</t>
        </is>
      </c>
      <c r="D3176" s="2" t="inlineStr">
        <is>
          <t>040300</t>
        </is>
      </c>
      <c r="E3176" s="3" t="inlineStr">
        <is>
          <t>주주총회소집공고</t>
        </is>
      </c>
      <c r="F3176" s="3" t="inlineStr">
        <is>
          <t>YTN</t>
        </is>
      </c>
      <c r="G3176" s="2" t="inlineStr">
        <is>
          <t>20260312001050</t>
        </is>
      </c>
      <c r="H3176" s="8">
        <f>HYPERLINK("https://dart.fss.or.kr/dsaf001/main.do?rcpNo=20260312001050", "공시열람")</f>
        <v/>
      </c>
    </row>
    <row r="3177">
      <c r="A3177" s="2" t="inlineStr">
        <is>
          <t>2026-03-12</t>
        </is>
      </c>
      <c r="B3177" s="3" t="inlineStr">
        <is>
          <t>오늘이엔엠</t>
        </is>
      </c>
      <c r="C3177" s="2" t="inlineStr">
        <is>
          <t>코스닥</t>
        </is>
      </c>
      <c r="D3177" s="2" t="inlineStr">
        <is>
          <t>192410</t>
        </is>
      </c>
      <c r="E3177" s="3" t="inlineStr">
        <is>
          <t>주주총회소집공고</t>
        </is>
      </c>
      <c r="F3177" s="3" t="inlineStr">
        <is>
          <t>오늘이엔엠</t>
        </is>
      </c>
      <c r="G3177" s="2" t="inlineStr">
        <is>
          <t>20260312001049</t>
        </is>
      </c>
      <c r="H3177" s="8">
        <f>HYPERLINK("https://dart.fss.or.kr/dsaf001/main.do?rcpNo=20260312001049", "공시열람")</f>
        <v/>
      </c>
    </row>
    <row r="3178">
      <c r="A3178" s="2" t="inlineStr">
        <is>
          <t>2026-03-12</t>
        </is>
      </c>
      <c r="B3178" s="3" t="inlineStr">
        <is>
          <t>매일유업</t>
        </is>
      </c>
      <c r="C3178" s="2" t="inlineStr">
        <is>
          <t>코스닥</t>
        </is>
      </c>
      <c r="D3178" s="2" t="inlineStr">
        <is>
          <t>267980</t>
        </is>
      </c>
      <c r="E3178" s="3" t="inlineStr">
        <is>
          <t>주주총회소집공고</t>
        </is>
      </c>
      <c r="F3178" s="3" t="inlineStr">
        <is>
          <t>매일유업</t>
        </is>
      </c>
      <c r="G3178" s="2" t="inlineStr">
        <is>
          <t>20260312001048</t>
        </is>
      </c>
      <c r="H3178" s="8">
        <f>HYPERLINK("https://dart.fss.or.kr/dsaf001/main.do?rcpNo=20260312001048", "공시열람")</f>
        <v/>
      </c>
    </row>
    <row r="3179">
      <c r="A3179" s="2" t="inlineStr">
        <is>
          <t>2026-03-12</t>
        </is>
      </c>
      <c r="B3179" s="3" t="inlineStr">
        <is>
          <t>서울제약</t>
        </is>
      </c>
      <c r="C3179" s="2" t="inlineStr">
        <is>
          <t>코스닥</t>
        </is>
      </c>
      <c r="D3179" s="2" t="inlineStr">
        <is>
          <t>018680</t>
        </is>
      </c>
      <c r="E3179" s="3" t="inlineStr">
        <is>
          <t>주주총회소집공고</t>
        </is>
      </c>
      <c r="F3179" s="3" t="inlineStr">
        <is>
          <t>서울제약</t>
        </is>
      </c>
      <c r="G3179" s="2" t="inlineStr">
        <is>
          <t>20260312001047</t>
        </is>
      </c>
      <c r="H3179" s="8">
        <f>HYPERLINK("https://dart.fss.or.kr/dsaf001/main.do?rcpNo=20260312001047", "공시열람")</f>
        <v/>
      </c>
    </row>
    <row r="3180">
      <c r="A3180" s="2" t="inlineStr">
        <is>
          <t>2026-03-12</t>
        </is>
      </c>
      <c r="B3180" s="3" t="inlineStr">
        <is>
          <t>동원개발</t>
        </is>
      </c>
      <c r="C3180" s="2" t="inlineStr">
        <is>
          <t>코스닥</t>
        </is>
      </c>
      <c r="D3180" s="2" t="inlineStr">
        <is>
          <t>013120</t>
        </is>
      </c>
      <c r="E3180" s="3" t="inlineStr">
        <is>
          <t xml:space="preserve">주주총회집중일개최사유신고              </t>
        </is>
      </c>
      <c r="F3180" s="3" t="inlineStr">
        <is>
          <t>동원개발</t>
        </is>
      </c>
      <c r="G3180" s="2" t="inlineStr">
        <is>
          <t>20260312901610</t>
        </is>
      </c>
      <c r="H3180" s="8">
        <f>HYPERLINK("https://dart.fss.or.kr/dsaf001/main.do?rcpNo=20260312901610", "공시열람")</f>
        <v/>
      </c>
    </row>
    <row r="3181">
      <c r="A3181" s="2" t="inlineStr">
        <is>
          <t>2026-03-12</t>
        </is>
      </c>
      <c r="B3181" s="3" t="inlineStr">
        <is>
          <t>뷰티스킨</t>
        </is>
      </c>
      <c r="C3181" s="2" t="inlineStr">
        <is>
          <t>코스닥</t>
        </is>
      </c>
      <c r="D3181" s="2" t="inlineStr">
        <is>
          <t>406820</t>
        </is>
      </c>
      <c r="E3181" s="3" t="inlineStr">
        <is>
          <t>주주총회소집공고</t>
        </is>
      </c>
      <c r="F3181" s="3" t="inlineStr">
        <is>
          <t>뷰티스킨</t>
        </is>
      </c>
      <c r="G3181" s="2" t="inlineStr">
        <is>
          <t>20260312001044</t>
        </is>
      </c>
      <c r="H3181" s="8">
        <f>HYPERLINK("https://dart.fss.or.kr/dsaf001/main.do?rcpNo=20260312001044", "공시열람")</f>
        <v/>
      </c>
    </row>
    <row r="3182">
      <c r="A3182" s="2" t="inlineStr">
        <is>
          <t>2026-03-12</t>
        </is>
      </c>
      <c r="B3182" s="3" t="inlineStr">
        <is>
          <t>메디앙스</t>
        </is>
      </c>
      <c r="C3182" s="2" t="inlineStr">
        <is>
          <t>코스닥</t>
        </is>
      </c>
      <c r="D3182" s="2" t="inlineStr">
        <is>
          <t>014100</t>
        </is>
      </c>
      <c r="E3182" s="3" t="inlineStr">
        <is>
          <t xml:space="preserve">주주총회집중일개최사유신고              </t>
        </is>
      </c>
      <c r="F3182" s="3" t="inlineStr">
        <is>
          <t>메디앙스</t>
        </is>
      </c>
      <c r="G3182" s="2" t="inlineStr">
        <is>
          <t>20260312901599</t>
        </is>
      </c>
      <c r="H3182" s="8">
        <f>HYPERLINK("https://dart.fss.or.kr/dsaf001/main.do?rcpNo=20260312901599", "공시열람")</f>
        <v/>
      </c>
    </row>
    <row r="3183">
      <c r="A3183" s="2" t="inlineStr">
        <is>
          <t>2026-03-12 (정정: 2026-03-12)</t>
        </is>
      </c>
      <c r="B3183" s="3" t="inlineStr">
        <is>
          <t>케이엘넷</t>
        </is>
      </c>
      <c r="C3183" s="2" t="inlineStr">
        <is>
          <t>코스닥</t>
        </is>
      </c>
      <c r="D3183" s="2" t="inlineStr">
        <is>
          <t>039420</t>
        </is>
      </c>
      <c r="E3183" s="3" t="inlineStr">
        <is>
          <t>주주총회소집공고 (정정: 20260312)</t>
        </is>
      </c>
      <c r="F3183" s="3" t="inlineStr">
        <is>
          <t>케이엘넷</t>
        </is>
      </c>
      <c r="G3183" s="2" t="inlineStr">
        <is>
          <t>20260312900865</t>
        </is>
      </c>
      <c r="H3183" s="8">
        <f>HYPERLINK("https://dart.fss.or.kr/dsaf001/main.do?rcpNo=20260312900865", "공시열람")</f>
        <v/>
      </c>
    </row>
    <row r="3184">
      <c r="A3184" s="2" t="inlineStr">
        <is>
          <t>2026-03-12</t>
        </is>
      </c>
      <c r="B3184" s="3" t="inlineStr">
        <is>
          <t>동화기업</t>
        </is>
      </c>
      <c r="C3184" s="2" t="inlineStr">
        <is>
          <t>코스닥</t>
        </is>
      </c>
      <c r="D3184" s="2" t="inlineStr">
        <is>
          <t>025900</t>
        </is>
      </c>
      <c r="E3184" s="3" t="inlineStr">
        <is>
          <t>주주총회소집공고</t>
        </is>
      </c>
      <c r="F3184" s="3" t="inlineStr">
        <is>
          <t>동화기업</t>
        </is>
      </c>
      <c r="G3184" s="2" t="inlineStr">
        <is>
          <t>20260312001036</t>
        </is>
      </c>
      <c r="H3184" s="8">
        <f>HYPERLINK("https://dart.fss.or.kr/dsaf001/main.do?rcpNo=20260312001036", "공시열람")</f>
        <v/>
      </c>
    </row>
    <row r="3185">
      <c r="A3185" s="2" t="inlineStr">
        <is>
          <t>2026-03-12</t>
        </is>
      </c>
      <c r="B3185" s="3" t="inlineStr">
        <is>
          <t>서울제약</t>
        </is>
      </c>
      <c r="C3185" s="2" t="inlineStr">
        <is>
          <t>코스닥</t>
        </is>
      </c>
      <c r="D3185" s="2" t="inlineStr">
        <is>
          <t>018680</t>
        </is>
      </c>
      <c r="E3185" s="3" t="inlineStr">
        <is>
          <t xml:space="preserve">주주총회소집결의              </t>
        </is>
      </c>
      <c r="F3185" s="3" t="inlineStr">
        <is>
          <t>서울제약</t>
        </is>
      </c>
      <c r="G3185" s="2" t="inlineStr">
        <is>
          <t>20260312901224</t>
        </is>
      </c>
      <c r="H3185" s="8">
        <f>HYPERLINK("https://dart.fss.or.kr/dsaf001/main.do?rcpNo=20260312901224", "공시열람")</f>
        <v/>
      </c>
    </row>
    <row r="3186">
      <c r="A3186" s="2" t="inlineStr">
        <is>
          <t>2026-03-12</t>
        </is>
      </c>
      <c r="B3186" s="3" t="inlineStr">
        <is>
          <t>매일유업</t>
        </is>
      </c>
      <c r="C3186" s="2" t="inlineStr">
        <is>
          <t>코스닥</t>
        </is>
      </c>
      <c r="D3186" s="2" t="inlineStr">
        <is>
          <t>267980</t>
        </is>
      </c>
      <c r="E3186" s="3" t="inlineStr">
        <is>
          <t xml:space="preserve">주주총회집중일개최사유신고              </t>
        </is>
      </c>
      <c r="F3186" s="3" t="inlineStr">
        <is>
          <t>매일유업</t>
        </is>
      </c>
      <c r="G3186" s="2" t="inlineStr">
        <is>
          <t>20260312901476</t>
        </is>
      </c>
      <c r="H3186" s="8">
        <f>HYPERLINK("https://dart.fss.or.kr/dsaf001/main.do?rcpNo=20260312901476", "공시열람")</f>
        <v/>
      </c>
    </row>
    <row r="3187">
      <c r="A3187" s="2" t="inlineStr">
        <is>
          <t>2026-03-12 (정정: 2026-05-27)</t>
        </is>
      </c>
      <c r="B3187" s="3" t="inlineStr">
        <is>
          <t>보로노이</t>
        </is>
      </c>
      <c r="C3187" s="2" t="inlineStr">
        <is>
          <t>코스닥</t>
        </is>
      </c>
      <c r="D3187" s="2" t="inlineStr">
        <is>
          <t>310210</t>
        </is>
      </c>
      <c r="E3187" s="3" t="inlineStr">
        <is>
          <t>주주총회소집결의               (정정: 20260526) (정정: 20260527)</t>
        </is>
      </c>
      <c r="F3187" s="3" t="inlineStr">
        <is>
          <t>보로노이</t>
        </is>
      </c>
      <c r="G3187" s="2" t="inlineStr">
        <is>
          <t>20260527900763</t>
        </is>
      </c>
      <c r="H3187" s="8">
        <f>HYPERLINK("https://dart.fss.or.kr/dsaf001/main.do?rcpNo=20260527900763", "공시열람")</f>
        <v/>
      </c>
    </row>
    <row r="3188">
      <c r="A3188" s="2" t="inlineStr">
        <is>
          <t>2026-03-12</t>
        </is>
      </c>
      <c r="B3188" s="3" t="inlineStr">
        <is>
          <t>에이비온</t>
        </is>
      </c>
      <c r="C3188" s="2" t="inlineStr">
        <is>
          <t>코스닥</t>
        </is>
      </c>
      <c r="D3188" s="2" t="inlineStr">
        <is>
          <t>203400</t>
        </is>
      </c>
      <c r="E3188" s="3" t="inlineStr">
        <is>
          <t>주주총회소집공고</t>
        </is>
      </c>
      <c r="F3188" s="3" t="inlineStr">
        <is>
          <t>에이비온</t>
        </is>
      </c>
      <c r="G3188" s="2" t="inlineStr">
        <is>
          <t>20260312001032</t>
        </is>
      </c>
      <c r="H3188" s="8">
        <f>HYPERLINK("https://dart.fss.or.kr/dsaf001/main.do?rcpNo=20260312001032", "공시열람")</f>
        <v/>
      </c>
    </row>
    <row r="3189">
      <c r="A3189" s="2" t="inlineStr">
        <is>
          <t>2026-03-12</t>
        </is>
      </c>
      <c r="B3189" s="3" t="inlineStr">
        <is>
          <t>성창오토텍</t>
        </is>
      </c>
      <c r="C3189" s="2" t="inlineStr">
        <is>
          <t>코스닥</t>
        </is>
      </c>
      <c r="D3189" s="2" t="inlineStr">
        <is>
          <t>080470</t>
        </is>
      </c>
      <c r="E3189" s="3" t="inlineStr">
        <is>
          <t>주주총회소집공고</t>
        </is>
      </c>
      <c r="F3189" s="3" t="inlineStr">
        <is>
          <t>성창오토텍</t>
        </is>
      </c>
      <c r="G3189" s="2" t="inlineStr">
        <is>
          <t>20260312001030</t>
        </is>
      </c>
      <c r="H3189" s="8">
        <f>HYPERLINK("https://dart.fss.or.kr/dsaf001/main.do?rcpNo=20260312001030", "공시열람")</f>
        <v/>
      </c>
    </row>
    <row r="3190">
      <c r="A3190" s="2" t="inlineStr">
        <is>
          <t>2026-03-12</t>
        </is>
      </c>
      <c r="B3190" s="3" t="inlineStr">
        <is>
          <t>대림통상</t>
        </is>
      </c>
      <c r="C3190" s="2" t="inlineStr">
        <is>
          <t>코스피</t>
        </is>
      </c>
      <c r="D3190" s="2" t="inlineStr">
        <is>
          <t>006570</t>
        </is>
      </c>
      <c r="E3190" s="3" t="inlineStr">
        <is>
          <t>주주총회소집공고</t>
        </is>
      </c>
      <c r="F3190" s="3" t="inlineStr">
        <is>
          <t>대림통상</t>
        </is>
      </c>
      <c r="G3190" s="2" t="inlineStr">
        <is>
          <t>20260312001028</t>
        </is>
      </c>
      <c r="H3190" s="8">
        <f>HYPERLINK("https://dart.fss.or.kr/dsaf001/main.do?rcpNo=20260312001028", "공시열람")</f>
        <v/>
      </c>
    </row>
    <row r="3191">
      <c r="A3191" s="2" t="inlineStr">
        <is>
          <t>2026-03-12</t>
        </is>
      </c>
      <c r="B3191" s="3" t="inlineStr">
        <is>
          <t>지슨</t>
        </is>
      </c>
      <c r="C3191" s="2" t="inlineStr">
        <is>
          <t>코스닥</t>
        </is>
      </c>
      <c r="D3191" s="2" t="inlineStr">
        <is>
          <t>446840</t>
        </is>
      </c>
      <c r="E3191" s="3" t="inlineStr">
        <is>
          <t>주주총회소집공고</t>
        </is>
      </c>
      <c r="F3191" s="3" t="inlineStr">
        <is>
          <t>지슨</t>
        </is>
      </c>
      <c r="G3191" s="2" t="inlineStr">
        <is>
          <t>20260312001027</t>
        </is>
      </c>
      <c r="H3191" s="8">
        <f>HYPERLINK("https://dart.fss.or.kr/dsaf001/main.do?rcpNo=20260312001027", "공시열람")</f>
        <v/>
      </c>
    </row>
    <row r="3192">
      <c r="A3192" s="2" t="inlineStr">
        <is>
          <t>2026-03-12</t>
        </is>
      </c>
      <c r="B3192" s="3" t="inlineStr">
        <is>
          <t>iMBC</t>
        </is>
      </c>
      <c r="C3192" s="2" t="inlineStr">
        <is>
          <t>코스닥</t>
        </is>
      </c>
      <c r="D3192" s="2" t="inlineStr">
        <is>
          <t>052220</t>
        </is>
      </c>
      <c r="E3192" s="3" t="inlineStr">
        <is>
          <t xml:space="preserve">주주총회소집결의              </t>
        </is>
      </c>
      <c r="F3192" s="3" t="inlineStr">
        <is>
          <t>iMBC</t>
        </is>
      </c>
      <c r="G3192" s="2" t="inlineStr">
        <is>
          <t>20260312901264</t>
        </is>
      </c>
      <c r="H3192" s="8">
        <f>HYPERLINK("https://dart.fss.or.kr/dsaf001/main.do?rcpNo=20260312901264", "공시열람")</f>
        <v/>
      </c>
    </row>
    <row r="3193">
      <c r="A3193" s="2" t="inlineStr">
        <is>
          <t>2026-03-12</t>
        </is>
      </c>
      <c r="B3193" s="3" t="inlineStr">
        <is>
          <t>고영</t>
        </is>
      </c>
      <c r="C3193" s="2" t="inlineStr">
        <is>
          <t>코스닥</t>
        </is>
      </c>
      <c r="D3193" s="2" t="inlineStr">
        <is>
          <t>098460</t>
        </is>
      </c>
      <c r="E3193" s="3" t="inlineStr">
        <is>
          <t xml:space="preserve">주주총회집중일개최사유신고              </t>
        </is>
      </c>
      <c r="F3193" s="3" t="inlineStr">
        <is>
          <t>고영</t>
        </is>
      </c>
      <c r="G3193" s="2" t="inlineStr">
        <is>
          <t>20260312901586</t>
        </is>
      </c>
      <c r="H3193" s="8">
        <f>HYPERLINK("https://dart.fss.or.kr/dsaf001/main.do?rcpNo=20260312901586", "공시열람")</f>
        <v/>
      </c>
    </row>
    <row r="3194">
      <c r="A3194" s="2" t="inlineStr">
        <is>
          <t>2026-03-12</t>
        </is>
      </c>
      <c r="B3194" s="3" t="inlineStr">
        <is>
          <t>에스프리즘</t>
        </is>
      </c>
      <c r="C3194" s="2" t="inlineStr">
        <is>
          <t>코스닥</t>
        </is>
      </c>
      <c r="D3194" s="2" t="inlineStr">
        <is>
          <t>288620</t>
        </is>
      </c>
      <c r="E3194" s="3" t="inlineStr">
        <is>
          <t xml:space="preserve">주주총회소집결의              </t>
        </is>
      </c>
      <c r="F3194" s="3" t="inlineStr">
        <is>
          <t>에스프리즘</t>
        </is>
      </c>
      <c r="G3194" s="2" t="inlineStr">
        <is>
          <t>20260312901461</t>
        </is>
      </c>
      <c r="H3194" s="8">
        <f>HYPERLINK("https://dart.fss.or.kr/dsaf001/main.do?rcpNo=20260312901461", "공시열람")</f>
        <v/>
      </c>
    </row>
    <row r="3195">
      <c r="A3195" s="2" t="inlineStr">
        <is>
          <t>2026-03-12</t>
        </is>
      </c>
      <c r="B3195" s="3" t="inlineStr">
        <is>
          <t>아이마켓코리아</t>
        </is>
      </c>
      <c r="C3195" s="2" t="inlineStr">
        <is>
          <t>코스피</t>
        </is>
      </c>
      <c r="D3195" s="2" t="inlineStr">
        <is>
          <t>122900</t>
        </is>
      </c>
      <c r="E3195" s="3" t="inlineStr">
        <is>
          <t>주주총회소집공고</t>
        </is>
      </c>
      <c r="F3195" s="3" t="inlineStr">
        <is>
          <t>아이마켓코리아</t>
        </is>
      </c>
      <c r="G3195" s="2" t="inlineStr">
        <is>
          <t>20260312001022</t>
        </is>
      </c>
      <c r="H3195" s="8">
        <f>HYPERLINK("https://dart.fss.or.kr/dsaf001/main.do?rcpNo=20260312001022", "공시열람")</f>
        <v/>
      </c>
    </row>
    <row r="3196">
      <c r="A3196" s="2" t="inlineStr">
        <is>
          <t>2026-03-12</t>
        </is>
      </c>
      <c r="B3196" s="3" t="inlineStr">
        <is>
          <t>디앤씨미디어</t>
        </is>
      </c>
      <c r="C3196" s="2" t="inlineStr">
        <is>
          <t>코스닥</t>
        </is>
      </c>
      <c r="D3196" s="2" t="inlineStr">
        <is>
          <t>263720</t>
        </is>
      </c>
      <c r="E3196" s="3" t="inlineStr">
        <is>
          <t>주주총회소집공고</t>
        </is>
      </c>
      <c r="F3196" s="3" t="inlineStr">
        <is>
          <t>디앤씨미디어</t>
        </is>
      </c>
      <c r="G3196" s="2" t="inlineStr">
        <is>
          <t>20260312001018</t>
        </is>
      </c>
      <c r="H3196" s="8">
        <f>HYPERLINK("https://dart.fss.or.kr/dsaf001/main.do?rcpNo=20260312001018", "공시열람")</f>
        <v/>
      </c>
    </row>
    <row r="3197">
      <c r="A3197" s="2" t="inlineStr">
        <is>
          <t>2026-03-12</t>
        </is>
      </c>
      <c r="B3197" s="3" t="inlineStr">
        <is>
          <t>아이씨디</t>
        </is>
      </c>
      <c r="C3197" s="2" t="inlineStr">
        <is>
          <t>코스닥</t>
        </is>
      </c>
      <c r="D3197" s="2" t="inlineStr">
        <is>
          <t>040910</t>
        </is>
      </c>
      <c r="E3197" s="3" t="inlineStr">
        <is>
          <t xml:space="preserve">주주총회소집결의              </t>
        </is>
      </c>
      <c r="F3197" s="3" t="inlineStr">
        <is>
          <t>아이씨디</t>
        </is>
      </c>
      <c r="G3197" s="2" t="inlineStr">
        <is>
          <t>20260312901456</t>
        </is>
      </c>
      <c r="H3197" s="8">
        <f>HYPERLINK("https://dart.fss.or.kr/dsaf001/main.do?rcpNo=20260312901456", "공시열람")</f>
        <v/>
      </c>
    </row>
    <row r="3198">
      <c r="A3198" s="2" t="inlineStr">
        <is>
          <t>2026-03-12</t>
        </is>
      </c>
      <c r="B3198" s="3" t="inlineStr">
        <is>
          <t>오늘이엔엠</t>
        </is>
      </c>
      <c r="C3198" s="2" t="inlineStr">
        <is>
          <t>코스닥</t>
        </is>
      </c>
      <c r="D3198" s="2" t="inlineStr">
        <is>
          <t>192410</t>
        </is>
      </c>
      <c r="E3198" s="3" t="inlineStr">
        <is>
          <t xml:space="preserve">주주총회집중일개최사유신고              </t>
        </is>
      </c>
      <c r="F3198" s="3" t="inlineStr">
        <is>
          <t>오늘이엔엠</t>
        </is>
      </c>
      <c r="G3198" s="2" t="inlineStr">
        <is>
          <t>20260312901507</t>
        </is>
      </c>
      <c r="H3198" s="8">
        <f>HYPERLINK("https://dart.fss.or.kr/dsaf001/main.do?rcpNo=20260312901507", "공시열람")</f>
        <v/>
      </c>
    </row>
    <row r="3199">
      <c r="A3199" s="2" t="inlineStr">
        <is>
          <t>2026-03-12</t>
        </is>
      </c>
      <c r="B3199" s="3" t="inlineStr">
        <is>
          <t>뉴로메카</t>
        </is>
      </c>
      <c r="C3199" s="2" t="inlineStr">
        <is>
          <t>코스닥</t>
        </is>
      </c>
      <c r="D3199" s="2" t="inlineStr">
        <is>
          <t>348340</t>
        </is>
      </c>
      <c r="E3199" s="3" t="inlineStr">
        <is>
          <t>주주총회소집공고</t>
        </is>
      </c>
      <c r="F3199" s="3" t="inlineStr">
        <is>
          <t>뉴로메카</t>
        </is>
      </c>
      <c r="G3199" s="2" t="inlineStr">
        <is>
          <t>20260312001010</t>
        </is>
      </c>
      <c r="H3199" s="8">
        <f>HYPERLINK("https://dart.fss.or.kr/dsaf001/main.do?rcpNo=20260312001010", "공시열람")</f>
        <v/>
      </c>
    </row>
    <row r="3200">
      <c r="A3200" s="2" t="inlineStr">
        <is>
          <t>2026-03-12</t>
        </is>
      </c>
      <c r="B3200" s="3" t="inlineStr">
        <is>
          <t>시그네틱스</t>
        </is>
      </c>
      <c r="C3200" s="2" t="inlineStr">
        <is>
          <t>코스닥</t>
        </is>
      </c>
      <c r="D3200" s="2" t="inlineStr">
        <is>
          <t>033170</t>
        </is>
      </c>
      <c r="E3200" s="3" t="inlineStr">
        <is>
          <t>주주총회소집공고</t>
        </is>
      </c>
      <c r="F3200" s="3" t="inlineStr">
        <is>
          <t>시그네틱스</t>
        </is>
      </c>
      <c r="G3200" s="2" t="inlineStr">
        <is>
          <t>20260312001009</t>
        </is>
      </c>
      <c r="H3200" s="8">
        <f>HYPERLINK("https://dart.fss.or.kr/dsaf001/main.do?rcpNo=20260312001009", "공시열람")</f>
        <v/>
      </c>
    </row>
    <row r="3201">
      <c r="A3201" s="2" t="inlineStr">
        <is>
          <t>2026-03-12</t>
        </is>
      </c>
      <c r="B3201" s="3" t="inlineStr">
        <is>
          <t>시그네틱스</t>
        </is>
      </c>
      <c r="C3201" s="2" t="inlineStr">
        <is>
          <t>코스닥</t>
        </is>
      </c>
      <c r="D3201" s="2" t="inlineStr">
        <is>
          <t>033170</t>
        </is>
      </c>
      <c r="E3201" s="3" t="inlineStr">
        <is>
          <t xml:space="preserve">주주총회집중일개최사유신고              </t>
        </is>
      </c>
      <c r="F3201" s="3" t="inlineStr">
        <is>
          <t>시그네틱스</t>
        </is>
      </c>
      <c r="G3201" s="2" t="inlineStr">
        <is>
          <t>20260312901280</t>
        </is>
      </c>
      <c r="H3201" s="8">
        <f>HYPERLINK("https://dart.fss.or.kr/dsaf001/main.do?rcpNo=20260312901280", "공시열람")</f>
        <v/>
      </c>
    </row>
    <row r="3202">
      <c r="A3202" s="2" t="inlineStr">
        <is>
          <t>2026-03-12</t>
        </is>
      </c>
      <c r="B3202" s="3" t="inlineStr">
        <is>
          <t>코리아써키트</t>
        </is>
      </c>
      <c r="C3202" s="2" t="inlineStr">
        <is>
          <t>코스피</t>
        </is>
      </c>
      <c r="D3202" s="2" t="inlineStr">
        <is>
          <t>007810</t>
        </is>
      </c>
      <c r="E3202" s="3" t="inlineStr">
        <is>
          <t>주주총회소집공고</t>
        </is>
      </c>
      <c r="F3202" s="3" t="inlineStr">
        <is>
          <t>코리아써키트</t>
        </is>
      </c>
      <c r="G3202" s="2" t="inlineStr">
        <is>
          <t>20260312001004</t>
        </is>
      </c>
      <c r="H3202" s="8">
        <f>HYPERLINK("https://dart.fss.or.kr/dsaf001/main.do?rcpNo=20260312001004", "공시열람")</f>
        <v/>
      </c>
    </row>
    <row r="3203">
      <c r="A3203" s="2" t="inlineStr">
        <is>
          <t>2026-03-12</t>
        </is>
      </c>
      <c r="B3203" s="3" t="inlineStr">
        <is>
          <t>두산에너빌리티</t>
        </is>
      </c>
      <c r="C3203" s="2" t="inlineStr">
        <is>
          <t>코스피</t>
        </is>
      </c>
      <c r="D3203" s="2" t="inlineStr">
        <is>
          <t>034020</t>
        </is>
      </c>
      <c r="E3203" s="3" t="inlineStr">
        <is>
          <t>주주총회소집공고</t>
        </is>
      </c>
      <c r="F3203" s="3" t="inlineStr">
        <is>
          <t>두산에너빌리티</t>
        </is>
      </c>
      <c r="G3203" s="2" t="inlineStr">
        <is>
          <t>20260312001003</t>
        </is>
      </c>
      <c r="H3203" s="8">
        <f>HYPERLINK("https://dart.fss.or.kr/dsaf001/main.do?rcpNo=20260312001003", "공시열람")</f>
        <v/>
      </c>
    </row>
    <row r="3204">
      <c r="A3204" s="2" t="inlineStr">
        <is>
          <t>2026-03-12</t>
        </is>
      </c>
      <c r="B3204" s="3" t="inlineStr">
        <is>
          <t>네오위즈</t>
        </is>
      </c>
      <c r="C3204" s="2" t="inlineStr">
        <is>
          <t>코스닥</t>
        </is>
      </c>
      <c r="D3204" s="2" t="inlineStr">
        <is>
          <t>095660</t>
        </is>
      </c>
      <c r="E3204" s="3" t="inlineStr">
        <is>
          <t>주주총회소집공고</t>
        </is>
      </c>
      <c r="F3204" s="3" t="inlineStr">
        <is>
          <t>네오위즈</t>
        </is>
      </c>
      <c r="G3204" s="2" t="inlineStr">
        <is>
          <t>20260312001002</t>
        </is>
      </c>
      <c r="H3204" s="8">
        <f>HYPERLINK("https://dart.fss.or.kr/dsaf001/main.do?rcpNo=20260312001002", "공시열람")</f>
        <v/>
      </c>
    </row>
    <row r="3205">
      <c r="A3205" s="2" t="inlineStr">
        <is>
          <t>2026-03-12</t>
        </is>
      </c>
      <c r="B3205" s="3" t="inlineStr">
        <is>
          <t>신대양제지</t>
        </is>
      </c>
      <c r="C3205" s="2" t="inlineStr">
        <is>
          <t>코스피</t>
        </is>
      </c>
      <c r="D3205" s="2" t="inlineStr">
        <is>
          <t>016590</t>
        </is>
      </c>
      <c r="E3205" s="3" t="inlineStr">
        <is>
          <t xml:space="preserve">주주총회소집결의              </t>
        </is>
      </c>
      <c r="F3205" s="3" t="inlineStr">
        <is>
          <t>신대양제지</t>
        </is>
      </c>
      <c r="G3205" s="2" t="inlineStr">
        <is>
          <t>20260312801302</t>
        </is>
      </c>
      <c r="H3205" s="8">
        <f>HYPERLINK("https://dart.fss.or.kr/dsaf001/main.do?rcpNo=20260312801302", "공시열람")</f>
        <v/>
      </c>
    </row>
    <row r="3206">
      <c r="A3206" s="2" t="inlineStr">
        <is>
          <t>2026-03-12</t>
        </is>
      </c>
      <c r="B3206" s="3" t="inlineStr">
        <is>
          <t>한국경제TV</t>
        </is>
      </c>
      <c r="C3206" s="2" t="inlineStr">
        <is>
          <t>코스닥</t>
        </is>
      </c>
      <c r="D3206" s="2" t="inlineStr">
        <is>
          <t>039340</t>
        </is>
      </c>
      <c r="E3206" s="3" t="inlineStr">
        <is>
          <t>주주총회소집공고</t>
        </is>
      </c>
      <c r="F3206" s="3" t="inlineStr">
        <is>
          <t>한국경제TV</t>
        </is>
      </c>
      <c r="G3206" s="2" t="inlineStr">
        <is>
          <t>20260312001000</t>
        </is>
      </c>
      <c r="H3206" s="8">
        <f>HYPERLINK("https://dart.fss.or.kr/dsaf001/main.do?rcpNo=20260312001000", "공시열람")</f>
        <v/>
      </c>
    </row>
    <row r="3207">
      <c r="A3207" s="2" t="inlineStr">
        <is>
          <t>2026-03-12</t>
        </is>
      </c>
      <c r="B3207" s="3" t="inlineStr">
        <is>
          <t>삼영전자공업</t>
        </is>
      </c>
      <c r="C3207" s="2" t="inlineStr">
        <is>
          <t>코스피</t>
        </is>
      </c>
      <c r="D3207" s="2" t="inlineStr">
        <is>
          <t>005680</t>
        </is>
      </c>
      <c r="E3207" s="3" t="inlineStr">
        <is>
          <t>주주총회소집공고</t>
        </is>
      </c>
      <c r="F3207" s="3" t="inlineStr">
        <is>
          <t>삼영전자공업</t>
        </is>
      </c>
      <c r="G3207" s="2" t="inlineStr">
        <is>
          <t>20260312000998</t>
        </is>
      </c>
      <c r="H3207" s="8">
        <f>HYPERLINK("https://dart.fss.or.kr/dsaf001/main.do?rcpNo=20260312000998", "공시열람")</f>
        <v/>
      </c>
    </row>
    <row r="3208">
      <c r="A3208" s="2" t="inlineStr">
        <is>
          <t>2026-03-12</t>
        </is>
      </c>
      <c r="B3208" s="3" t="inlineStr">
        <is>
          <t>시너지이노베이션</t>
        </is>
      </c>
      <c r="C3208" s="2" t="inlineStr">
        <is>
          <t>코스닥</t>
        </is>
      </c>
      <c r="D3208" s="2" t="inlineStr">
        <is>
          <t>048870</t>
        </is>
      </c>
      <c r="E3208" s="3" t="inlineStr">
        <is>
          <t xml:space="preserve">주주총회집중일개최사유신고              </t>
        </is>
      </c>
      <c r="F3208" s="3" t="inlineStr">
        <is>
          <t>시너지이노베이션</t>
        </is>
      </c>
      <c r="G3208" s="2" t="inlineStr">
        <is>
          <t>20260312901452</t>
        </is>
      </c>
      <c r="H3208" s="8">
        <f>HYPERLINK("https://dart.fss.or.kr/dsaf001/main.do?rcpNo=20260312901452", "공시열람")</f>
        <v/>
      </c>
    </row>
    <row r="3209">
      <c r="A3209" s="2" t="inlineStr">
        <is>
          <t>2026-03-12</t>
        </is>
      </c>
      <c r="B3209" s="3" t="inlineStr">
        <is>
          <t>한국금융지주</t>
        </is>
      </c>
      <c r="C3209" s="2" t="inlineStr">
        <is>
          <t>코스피</t>
        </is>
      </c>
      <c r="D3209" s="2" t="inlineStr">
        <is>
          <t>071050</t>
        </is>
      </c>
      <c r="E3209" s="3" t="inlineStr">
        <is>
          <t>주주총회소집공고</t>
        </is>
      </c>
      <c r="F3209" s="3" t="inlineStr">
        <is>
          <t>한국금융지주</t>
        </is>
      </c>
      <c r="G3209" s="2" t="inlineStr">
        <is>
          <t>20260312000993</t>
        </is>
      </c>
      <c r="H3209" s="8">
        <f>HYPERLINK("https://dart.fss.or.kr/dsaf001/main.do?rcpNo=20260312000993", "공시열람")</f>
        <v/>
      </c>
    </row>
    <row r="3210">
      <c r="A3210" s="2" t="inlineStr">
        <is>
          <t>2026-03-12</t>
        </is>
      </c>
      <c r="B3210" s="3" t="inlineStr">
        <is>
          <t>케이씨티시</t>
        </is>
      </c>
      <c r="C3210" s="2" t="inlineStr">
        <is>
          <t>코스피</t>
        </is>
      </c>
      <c r="D3210" s="2" t="inlineStr">
        <is>
          <t>009070</t>
        </is>
      </c>
      <c r="E3210" s="3" t="inlineStr">
        <is>
          <t xml:space="preserve">주주총회집중일개최사유신고              </t>
        </is>
      </c>
      <c r="F3210" s="3" t="inlineStr">
        <is>
          <t>케이씨티시</t>
        </is>
      </c>
      <c r="G3210" s="2" t="inlineStr">
        <is>
          <t>20260312801510</t>
        </is>
      </c>
      <c r="H3210" s="8">
        <f>HYPERLINK("https://dart.fss.or.kr/dsaf001/main.do?rcpNo=20260312801510", "공시열람")</f>
        <v/>
      </c>
    </row>
    <row r="3211">
      <c r="A3211" s="2" t="inlineStr">
        <is>
          <t>2026-03-12</t>
        </is>
      </c>
      <c r="B3211" s="3" t="inlineStr">
        <is>
          <t>메디안디노스틱</t>
        </is>
      </c>
      <c r="C3211" s="2" t="inlineStr">
        <is>
          <t>코넥스</t>
        </is>
      </c>
      <c r="D3211" s="2" t="inlineStr">
        <is>
          <t>233250</t>
        </is>
      </c>
      <c r="E3211" s="3" t="inlineStr">
        <is>
          <t>주주총회소집공고</t>
        </is>
      </c>
      <c r="F3211" s="3" t="inlineStr">
        <is>
          <t>메디안디노스틱</t>
        </is>
      </c>
      <c r="G3211" s="2" t="inlineStr">
        <is>
          <t>20260312000992</t>
        </is>
      </c>
      <c r="H3211" s="8">
        <f>HYPERLINK("https://dart.fss.or.kr/dsaf001/main.do?rcpNo=20260312000992", "공시열람")</f>
        <v/>
      </c>
    </row>
    <row r="3212">
      <c r="A3212" s="2" t="inlineStr">
        <is>
          <t>2026-03-12</t>
        </is>
      </c>
      <c r="B3212" s="3" t="inlineStr">
        <is>
          <t>케이엔솔</t>
        </is>
      </c>
      <c r="C3212" s="2" t="inlineStr">
        <is>
          <t>코스닥</t>
        </is>
      </c>
      <c r="D3212" s="2" t="inlineStr">
        <is>
          <t>053080</t>
        </is>
      </c>
      <c r="E3212" s="3" t="inlineStr">
        <is>
          <t xml:space="preserve">주주총회소집결의              </t>
        </is>
      </c>
      <c r="F3212" s="3" t="inlineStr">
        <is>
          <t>케이엔솔</t>
        </is>
      </c>
      <c r="G3212" s="2" t="inlineStr">
        <is>
          <t>20260312901368</t>
        </is>
      </c>
      <c r="H3212" s="8">
        <f>HYPERLINK("https://dart.fss.or.kr/dsaf001/main.do?rcpNo=20260312901368", "공시열람")</f>
        <v/>
      </c>
    </row>
    <row r="3213">
      <c r="A3213" s="2" t="inlineStr">
        <is>
          <t>2026-03-12</t>
        </is>
      </c>
      <c r="B3213" s="3" t="inlineStr">
        <is>
          <t>대림바스</t>
        </is>
      </c>
      <c r="C3213" s="2" t="inlineStr">
        <is>
          <t>코스피</t>
        </is>
      </c>
      <c r="D3213" s="2" t="inlineStr">
        <is>
          <t>005750</t>
        </is>
      </c>
      <c r="E3213" s="3" t="inlineStr">
        <is>
          <t xml:space="preserve">주주총회집중일개최사유신고              </t>
        </is>
      </c>
      <c r="F3213" s="3" t="inlineStr">
        <is>
          <t>대림바스</t>
        </is>
      </c>
      <c r="G3213" s="2" t="inlineStr">
        <is>
          <t>20260312801499</t>
        </is>
      </c>
      <c r="H3213" s="8">
        <f>HYPERLINK("https://dart.fss.or.kr/dsaf001/main.do?rcpNo=20260312801499", "공시열람")</f>
        <v/>
      </c>
    </row>
    <row r="3214">
      <c r="A3214" s="2" t="inlineStr">
        <is>
          <t>2026-03-12</t>
        </is>
      </c>
      <c r="B3214" s="3" t="inlineStr">
        <is>
          <t>삼성전자</t>
        </is>
      </c>
      <c r="C3214" s="2" t="inlineStr">
        <is>
          <t>코스피</t>
        </is>
      </c>
      <c r="D3214" s="2" t="inlineStr">
        <is>
          <t>005930</t>
        </is>
      </c>
      <c r="E3214" s="3" t="inlineStr">
        <is>
          <t>[기재정정]주주총회소집공고</t>
        </is>
      </c>
      <c r="F3214" s="3" t="inlineStr">
        <is>
          <t>삼성전자</t>
        </is>
      </c>
      <c r="G3214" s="2" t="inlineStr">
        <is>
          <t>20260312000987</t>
        </is>
      </c>
      <c r="H3214" s="8">
        <f>HYPERLINK("https://dart.fss.or.kr/dsaf001/main.do?rcpNo=20260312000987", "공시열람")</f>
        <v/>
      </c>
    </row>
    <row r="3215">
      <c r="A3215" s="2" t="inlineStr">
        <is>
          <t>2026-03-12</t>
        </is>
      </c>
      <c r="B3215" s="3" t="inlineStr">
        <is>
          <t>에이비온</t>
        </is>
      </c>
      <c r="C3215" s="2" t="inlineStr">
        <is>
          <t>코스닥</t>
        </is>
      </c>
      <c r="D3215" s="2" t="inlineStr">
        <is>
          <t>203400</t>
        </is>
      </c>
      <c r="E3215" s="3" t="inlineStr">
        <is>
          <t xml:space="preserve">주주총회집중일개최사유신고              </t>
        </is>
      </c>
      <c r="F3215" s="3" t="inlineStr">
        <is>
          <t>에이비온</t>
        </is>
      </c>
      <c r="G3215" s="2" t="inlineStr">
        <is>
          <t>20260312901401</t>
        </is>
      </c>
      <c r="H3215" s="8">
        <f>HYPERLINK("https://dart.fss.or.kr/dsaf001/main.do?rcpNo=20260312901401", "공시열람")</f>
        <v/>
      </c>
    </row>
    <row r="3216">
      <c r="A3216" s="2" t="inlineStr">
        <is>
          <t>2026-03-12</t>
        </is>
      </c>
      <c r="B3216" s="3" t="inlineStr">
        <is>
          <t>에이비온</t>
        </is>
      </c>
      <c r="C3216" s="2" t="inlineStr">
        <is>
          <t>코스닥</t>
        </is>
      </c>
      <c r="D3216" s="2" t="inlineStr">
        <is>
          <t>203400</t>
        </is>
      </c>
      <c r="E3216" s="3" t="inlineStr">
        <is>
          <t xml:space="preserve">주주총회소집결의              </t>
        </is>
      </c>
      <c r="F3216" s="3" t="inlineStr">
        <is>
          <t>에이비온</t>
        </is>
      </c>
      <c r="G3216" s="2" t="inlineStr">
        <is>
          <t>20260312901260</t>
        </is>
      </c>
      <c r="H3216" s="8">
        <f>HYPERLINK("https://dart.fss.or.kr/dsaf001/main.do?rcpNo=20260312901260", "공시열람")</f>
        <v/>
      </c>
    </row>
    <row r="3217">
      <c r="A3217" s="2" t="inlineStr">
        <is>
          <t>2026-03-12</t>
        </is>
      </c>
      <c r="B3217" s="3" t="inlineStr">
        <is>
          <t>에치에프알</t>
        </is>
      </c>
      <c r="C3217" s="2" t="inlineStr">
        <is>
          <t>코스닥</t>
        </is>
      </c>
      <c r="D3217" s="2" t="inlineStr">
        <is>
          <t>230240</t>
        </is>
      </c>
      <c r="E3217" s="3" t="inlineStr">
        <is>
          <t xml:space="preserve">주주총회소집결의              </t>
        </is>
      </c>
      <c r="F3217" s="3" t="inlineStr">
        <is>
          <t>에치에프알</t>
        </is>
      </c>
      <c r="G3217" s="2" t="inlineStr">
        <is>
          <t>20260312901163</t>
        </is>
      </c>
      <c r="H3217" s="8">
        <f>HYPERLINK("https://dart.fss.or.kr/dsaf001/main.do?rcpNo=20260312901163", "공시열람")</f>
        <v/>
      </c>
    </row>
    <row r="3218">
      <c r="A3218" s="2" t="inlineStr">
        <is>
          <t>2026-03-12</t>
        </is>
      </c>
      <c r="B3218" s="3" t="inlineStr">
        <is>
          <t>한국금융지주</t>
        </is>
      </c>
      <c r="C3218" s="2" t="inlineStr">
        <is>
          <t>코스피</t>
        </is>
      </c>
      <c r="D3218" s="2" t="inlineStr">
        <is>
          <t>071050</t>
        </is>
      </c>
      <c r="E3218" s="3" t="inlineStr">
        <is>
          <t xml:space="preserve">주주총회소집결의              </t>
        </is>
      </c>
      <c r="F3218" s="3" t="inlineStr">
        <is>
          <t>한국금융지주</t>
        </is>
      </c>
      <c r="G3218" s="2" t="inlineStr">
        <is>
          <t>20260312801215</t>
        </is>
      </c>
      <c r="H3218" s="8">
        <f>HYPERLINK("https://dart.fss.or.kr/dsaf001/main.do?rcpNo=20260312801215", "공시열람")</f>
        <v/>
      </c>
    </row>
    <row r="3219">
      <c r="A3219" s="2" t="inlineStr">
        <is>
          <t>2026-03-12 (정정: 2026-04-16)</t>
        </is>
      </c>
      <c r="B3219" s="3" t="inlineStr">
        <is>
          <t>큐브엔터</t>
        </is>
      </c>
      <c r="C3219" s="2" t="inlineStr">
        <is>
          <t>코스닥</t>
        </is>
      </c>
      <c r="D3219" s="2" t="inlineStr">
        <is>
          <t>182360</t>
        </is>
      </c>
      <c r="E3219" s="3" t="inlineStr">
        <is>
          <t>주주총회소집결의               (정정: 20260312) (정정: 20260416) (정정: 20260416)</t>
        </is>
      </c>
      <c r="F3219" s="3" t="inlineStr">
        <is>
          <t>큐브엔터</t>
        </is>
      </c>
      <c r="G3219" s="2" t="inlineStr">
        <is>
          <t>20260416900447</t>
        </is>
      </c>
      <c r="H3219" s="8">
        <f>HYPERLINK("https://dart.fss.or.kr/dsaf001/main.do?rcpNo=20260416900447", "공시열람")</f>
        <v/>
      </c>
    </row>
    <row r="3220">
      <c r="A3220" s="2" t="inlineStr">
        <is>
          <t>2026-03-12</t>
        </is>
      </c>
      <c r="B3220" s="3" t="inlineStr">
        <is>
          <t>메디앙스</t>
        </is>
      </c>
      <c r="C3220" s="2" t="inlineStr">
        <is>
          <t>코스닥</t>
        </is>
      </c>
      <c r="D3220" s="2" t="inlineStr">
        <is>
          <t>014100</t>
        </is>
      </c>
      <c r="E3220" s="3" t="inlineStr">
        <is>
          <t xml:space="preserve">주주총회소집결의              </t>
        </is>
      </c>
      <c r="F3220" s="3" t="inlineStr">
        <is>
          <t>메디앙스</t>
        </is>
      </c>
      <c r="G3220" s="2" t="inlineStr">
        <is>
          <t>20260312901237</t>
        </is>
      </c>
      <c r="H3220" s="8">
        <f>HYPERLINK("https://dart.fss.or.kr/dsaf001/main.do?rcpNo=20260312901237", "공시열람")</f>
        <v/>
      </c>
    </row>
    <row r="3221">
      <c r="A3221" s="2" t="inlineStr">
        <is>
          <t>2026-03-12</t>
        </is>
      </c>
      <c r="B3221" s="3" t="inlineStr">
        <is>
          <t>모베이스</t>
        </is>
      </c>
      <c r="C3221" s="2" t="inlineStr">
        <is>
          <t>코스닥</t>
        </is>
      </c>
      <c r="D3221" s="2" t="inlineStr">
        <is>
          <t>101330</t>
        </is>
      </c>
      <c r="E3221" s="3" t="inlineStr">
        <is>
          <t>주주총회소집공고</t>
        </is>
      </c>
      <c r="F3221" s="3" t="inlineStr">
        <is>
          <t>모베이스</t>
        </is>
      </c>
      <c r="G3221" s="2" t="inlineStr">
        <is>
          <t>20260312000982</t>
        </is>
      </c>
      <c r="H3221" s="8">
        <f>HYPERLINK("https://dart.fss.or.kr/dsaf001/main.do?rcpNo=20260312000982", "공시열람")</f>
        <v/>
      </c>
    </row>
    <row r="3222">
      <c r="A3222" s="2" t="inlineStr">
        <is>
          <t>2026-03-12</t>
        </is>
      </c>
      <c r="B3222" s="3" t="inlineStr">
        <is>
          <t>티케이지애강</t>
        </is>
      </c>
      <c r="C3222" s="2" t="inlineStr">
        <is>
          <t>코스닥</t>
        </is>
      </c>
      <c r="D3222" s="2" t="inlineStr">
        <is>
          <t>022220</t>
        </is>
      </c>
      <c r="E3222" s="3" t="inlineStr">
        <is>
          <t>주주총회소집공고</t>
        </is>
      </c>
      <c r="F3222" s="3" t="inlineStr">
        <is>
          <t>티케이지애강</t>
        </is>
      </c>
      <c r="G3222" s="2" t="inlineStr">
        <is>
          <t>20260312000978</t>
        </is>
      </c>
      <c r="H3222" s="8">
        <f>HYPERLINK("https://dart.fss.or.kr/dsaf001/main.do?rcpNo=20260312000978", "공시열람")</f>
        <v/>
      </c>
    </row>
    <row r="3223">
      <c r="A3223" s="2" t="inlineStr">
        <is>
          <t>2026-03-12</t>
        </is>
      </c>
      <c r="B3223" s="3" t="inlineStr">
        <is>
          <t>오리엔트정공</t>
        </is>
      </c>
      <c r="C3223" s="2" t="inlineStr">
        <is>
          <t>코스닥</t>
        </is>
      </c>
      <c r="D3223" s="2" t="inlineStr">
        <is>
          <t>065500</t>
        </is>
      </c>
      <c r="E3223" s="3" t="inlineStr">
        <is>
          <t>주주총회소집공고</t>
        </is>
      </c>
      <c r="F3223" s="3" t="inlineStr">
        <is>
          <t>오리엔트정공</t>
        </is>
      </c>
      <c r="G3223" s="2" t="inlineStr">
        <is>
          <t>20260312000977</t>
        </is>
      </c>
      <c r="H3223" s="8">
        <f>HYPERLINK("https://dart.fss.or.kr/dsaf001/main.do?rcpNo=20260312000977", "공시열람")</f>
        <v/>
      </c>
    </row>
    <row r="3224">
      <c r="A3224" s="2" t="inlineStr">
        <is>
          <t>2026-03-12</t>
        </is>
      </c>
      <c r="B3224" s="3" t="inlineStr">
        <is>
          <t>에이루트</t>
        </is>
      </c>
      <c r="C3224" s="2" t="inlineStr">
        <is>
          <t>코스닥</t>
        </is>
      </c>
      <c r="D3224" s="2" t="inlineStr">
        <is>
          <t>096690</t>
        </is>
      </c>
      <c r="E3224" s="3" t="inlineStr">
        <is>
          <t>주주총회소집공고</t>
        </is>
      </c>
      <c r="F3224" s="3" t="inlineStr">
        <is>
          <t>에이루트</t>
        </is>
      </c>
      <c r="G3224" s="2" t="inlineStr">
        <is>
          <t>20260312000973</t>
        </is>
      </c>
      <c r="H3224" s="8">
        <f>HYPERLINK("https://dart.fss.or.kr/dsaf001/main.do?rcpNo=20260312000973", "공시열람")</f>
        <v/>
      </c>
    </row>
    <row r="3225">
      <c r="A3225" s="2" t="inlineStr">
        <is>
          <t>2026-03-12</t>
        </is>
      </c>
      <c r="B3225" s="3" t="inlineStr">
        <is>
          <t>디앤씨미디어</t>
        </is>
      </c>
      <c r="C3225" s="2" t="inlineStr">
        <is>
          <t>코스닥</t>
        </is>
      </c>
      <c r="D3225" s="2" t="inlineStr">
        <is>
          <t>263720</t>
        </is>
      </c>
      <c r="E3225" s="3" t="inlineStr">
        <is>
          <t xml:space="preserve">주주총회소집결의              </t>
        </is>
      </c>
      <c r="F3225" s="3" t="inlineStr">
        <is>
          <t>디앤씨미디어</t>
        </is>
      </c>
      <c r="G3225" s="2" t="inlineStr">
        <is>
          <t>20260312901230</t>
        </is>
      </c>
      <c r="H3225" s="8">
        <f>HYPERLINK("https://dart.fss.or.kr/dsaf001/main.do?rcpNo=20260312901230", "공시열람")</f>
        <v/>
      </c>
    </row>
    <row r="3226">
      <c r="A3226" s="2" t="inlineStr">
        <is>
          <t>2026-03-12</t>
        </is>
      </c>
      <c r="B3226" s="3" t="inlineStr">
        <is>
          <t>미래산업</t>
        </is>
      </c>
      <c r="C3226" s="2" t="inlineStr">
        <is>
          <t>코스피</t>
        </is>
      </c>
      <c r="D3226" s="2" t="inlineStr">
        <is>
          <t>025560</t>
        </is>
      </c>
      <c r="E3226" s="3" t="inlineStr">
        <is>
          <t xml:space="preserve">주주총회집중일개최사유신고              </t>
        </is>
      </c>
      <c r="F3226" s="3" t="inlineStr">
        <is>
          <t>미래산업</t>
        </is>
      </c>
      <c r="G3226" s="2" t="inlineStr">
        <is>
          <t>20260312801474</t>
        </is>
      </c>
      <c r="H3226" s="8">
        <f>HYPERLINK("https://dart.fss.or.kr/dsaf001/main.do?rcpNo=20260312801474", "공시열람")</f>
        <v/>
      </c>
    </row>
    <row r="3227">
      <c r="A3227" s="2" t="inlineStr">
        <is>
          <t>2026-03-12</t>
        </is>
      </c>
      <c r="B3227" s="3" t="inlineStr">
        <is>
          <t>한익스프레스</t>
        </is>
      </c>
      <c r="C3227" s="2" t="inlineStr">
        <is>
          <t>코스피</t>
        </is>
      </c>
      <c r="D3227" s="2" t="inlineStr">
        <is>
          <t>014130</t>
        </is>
      </c>
      <c r="E3227" s="3" t="inlineStr">
        <is>
          <t xml:space="preserve">주주총회집중일개최사유신고              </t>
        </is>
      </c>
      <c r="F3227" s="3" t="inlineStr">
        <is>
          <t>한익스프레스</t>
        </is>
      </c>
      <c r="G3227" s="2" t="inlineStr">
        <is>
          <t>20260312801329</t>
        </is>
      </c>
      <c r="H3227" s="8">
        <f>HYPERLINK("https://dart.fss.or.kr/dsaf001/main.do?rcpNo=20260312801329", "공시열람")</f>
        <v/>
      </c>
    </row>
    <row r="3228">
      <c r="A3228" s="2" t="inlineStr">
        <is>
          <t>2026-03-12</t>
        </is>
      </c>
      <c r="B3228" s="3" t="inlineStr">
        <is>
          <t>광전자</t>
        </is>
      </c>
      <c r="C3228" s="2" t="inlineStr">
        <is>
          <t>코스피</t>
        </is>
      </c>
      <c r="D3228" s="2" t="inlineStr">
        <is>
          <t>017900</t>
        </is>
      </c>
      <c r="E3228" s="3" t="inlineStr">
        <is>
          <t>주주총회소집공고</t>
        </is>
      </c>
      <c r="F3228" s="3" t="inlineStr">
        <is>
          <t>광전자</t>
        </is>
      </c>
      <c r="G3228" s="2" t="inlineStr">
        <is>
          <t>20260312000968</t>
        </is>
      </c>
      <c r="H3228" s="8">
        <f>HYPERLINK("https://dart.fss.or.kr/dsaf001/main.do?rcpNo=20260312000968", "공시열람")</f>
        <v/>
      </c>
    </row>
    <row r="3229">
      <c r="A3229" s="2" t="inlineStr">
        <is>
          <t>2026-03-12 (정정: 2026-03-23)</t>
        </is>
      </c>
      <c r="B3229" s="3" t="inlineStr">
        <is>
          <t>KISCO홀딩스</t>
        </is>
      </c>
      <c r="C3229" s="2" t="inlineStr">
        <is>
          <t>코스피</t>
        </is>
      </c>
      <c r="D3229" s="2" t="inlineStr">
        <is>
          <t>001940</t>
        </is>
      </c>
      <c r="E3229" s="3" t="inlineStr">
        <is>
          <t>주주총회소집공고 (정정: 20260323)</t>
        </is>
      </c>
      <c r="F3229" s="3" t="inlineStr">
        <is>
          <t>KISCO홀딩스</t>
        </is>
      </c>
      <c r="G3229" s="2" t="inlineStr">
        <is>
          <t>20260323001141</t>
        </is>
      </c>
      <c r="H3229" s="8">
        <f>HYPERLINK("https://dart.fss.or.kr/dsaf001/main.do?rcpNo=20260323001141", "공시열람")</f>
        <v/>
      </c>
    </row>
    <row r="3230">
      <c r="A3230" s="2" t="inlineStr">
        <is>
          <t>2026-03-12</t>
        </is>
      </c>
      <c r="B3230" s="3" t="inlineStr">
        <is>
          <t>오늘이엔엠</t>
        </is>
      </c>
      <c r="C3230" s="2" t="inlineStr">
        <is>
          <t>코스닥</t>
        </is>
      </c>
      <c r="D3230" s="2" t="inlineStr">
        <is>
          <t>192410</t>
        </is>
      </c>
      <c r="E3230" s="3" t="inlineStr">
        <is>
          <t xml:space="preserve">주주총회소집결의              </t>
        </is>
      </c>
      <c r="F3230" s="3" t="inlineStr">
        <is>
          <t>오늘이엔엠</t>
        </is>
      </c>
      <c r="G3230" s="2" t="inlineStr">
        <is>
          <t>20260312901443</t>
        </is>
      </c>
      <c r="H3230" s="8">
        <f>HYPERLINK("https://dart.fss.or.kr/dsaf001/main.do?rcpNo=20260312901443", "공시열람")</f>
        <v/>
      </c>
    </row>
    <row r="3231">
      <c r="A3231" s="2" t="inlineStr">
        <is>
          <t>2026-03-12</t>
        </is>
      </c>
      <c r="B3231" s="3" t="inlineStr">
        <is>
          <t>한국경제TV</t>
        </is>
      </c>
      <c r="C3231" s="2" t="inlineStr">
        <is>
          <t>코스닥</t>
        </is>
      </c>
      <c r="D3231" s="2" t="inlineStr">
        <is>
          <t>039340</t>
        </is>
      </c>
      <c r="E3231" s="3" t="inlineStr">
        <is>
          <t xml:space="preserve">주주총회집중일개최사유신고              </t>
        </is>
      </c>
      <c r="F3231" s="3" t="inlineStr">
        <is>
          <t>한국경제TV</t>
        </is>
      </c>
      <c r="G3231" s="2" t="inlineStr">
        <is>
          <t>20260312901415</t>
        </is>
      </c>
      <c r="H3231" s="8">
        <f>HYPERLINK("https://dart.fss.or.kr/dsaf001/main.do?rcpNo=20260312901415", "공시열람")</f>
        <v/>
      </c>
    </row>
    <row r="3232">
      <c r="A3232" s="2" t="inlineStr">
        <is>
          <t>2026-03-12</t>
        </is>
      </c>
      <c r="B3232" s="3" t="inlineStr">
        <is>
          <t>파마리서치</t>
        </is>
      </c>
      <c r="C3232" s="2" t="inlineStr">
        <is>
          <t>코스닥</t>
        </is>
      </c>
      <c r="D3232" s="2" t="inlineStr">
        <is>
          <t>214450</t>
        </is>
      </c>
      <c r="E3232" s="3" t="inlineStr">
        <is>
          <t xml:space="preserve">주주총회집중일개최사유신고              </t>
        </is>
      </c>
      <c r="F3232" s="3" t="inlineStr">
        <is>
          <t>파마리서치</t>
        </is>
      </c>
      <c r="G3232" s="2" t="inlineStr">
        <is>
          <t>20260312901349</t>
        </is>
      </c>
      <c r="H3232" s="8">
        <f>HYPERLINK("https://dart.fss.or.kr/dsaf001/main.do?rcpNo=20260312901349", "공시열람")</f>
        <v/>
      </c>
    </row>
    <row r="3233">
      <c r="A3233" s="2" t="inlineStr">
        <is>
          <t>2026-03-12</t>
        </is>
      </c>
      <c r="B3233" s="3" t="inlineStr">
        <is>
          <t>모베이스</t>
        </is>
      </c>
      <c r="C3233" s="2" t="inlineStr">
        <is>
          <t>코스닥</t>
        </is>
      </c>
      <c r="D3233" s="2" t="inlineStr">
        <is>
          <t>101330</t>
        </is>
      </c>
      <c r="E3233" s="3" t="inlineStr">
        <is>
          <t xml:space="preserve">주주총회집중일개최사유신고              </t>
        </is>
      </c>
      <c r="F3233" s="3" t="inlineStr">
        <is>
          <t>모베이스</t>
        </is>
      </c>
      <c r="G3233" s="2" t="inlineStr">
        <is>
          <t>20260312901243</t>
        </is>
      </c>
      <c r="H3233" s="8">
        <f>HYPERLINK("https://dart.fss.or.kr/dsaf001/main.do?rcpNo=20260312901243", "공시열람")</f>
        <v/>
      </c>
    </row>
    <row r="3234">
      <c r="A3234" s="2" t="inlineStr">
        <is>
          <t>2026-03-12</t>
        </is>
      </c>
      <c r="B3234" s="3" t="inlineStr">
        <is>
          <t>티에이치엔</t>
        </is>
      </c>
      <c r="C3234" s="2" t="inlineStr">
        <is>
          <t>코스피</t>
        </is>
      </c>
      <c r="D3234" s="2" t="inlineStr">
        <is>
          <t>019180</t>
        </is>
      </c>
      <c r="E3234" s="3" t="inlineStr">
        <is>
          <t xml:space="preserve">주주총회소집결의              </t>
        </is>
      </c>
      <c r="F3234" s="3" t="inlineStr">
        <is>
          <t>티에이치엔</t>
        </is>
      </c>
      <c r="G3234" s="2" t="inlineStr">
        <is>
          <t>20260312801480</t>
        </is>
      </c>
      <c r="H3234" s="8">
        <f>HYPERLINK("https://dart.fss.or.kr/dsaf001/main.do?rcpNo=20260312801480", "공시열람")</f>
        <v/>
      </c>
    </row>
    <row r="3235">
      <c r="A3235" s="2" t="inlineStr">
        <is>
          <t>2026-03-12</t>
        </is>
      </c>
      <c r="B3235" s="3" t="inlineStr">
        <is>
          <t>한국금융지주</t>
        </is>
      </c>
      <c r="C3235" s="2" t="inlineStr">
        <is>
          <t>코스피</t>
        </is>
      </c>
      <c r="D3235" s="2" t="inlineStr">
        <is>
          <t>071050</t>
        </is>
      </c>
      <c r="E3235" s="3" t="inlineStr">
        <is>
          <t xml:space="preserve">주주총회집중일개최사유신고              </t>
        </is>
      </c>
      <c r="F3235" s="3" t="inlineStr">
        <is>
          <t>한국금융지주</t>
        </is>
      </c>
      <c r="G3235" s="2" t="inlineStr">
        <is>
          <t>20260312801234</t>
        </is>
      </c>
      <c r="H3235" s="8">
        <f>HYPERLINK("https://dart.fss.or.kr/dsaf001/main.do?rcpNo=20260312801234", "공시열람")</f>
        <v/>
      </c>
    </row>
    <row r="3236">
      <c r="A3236" s="2" t="inlineStr">
        <is>
          <t>2026-03-12</t>
        </is>
      </c>
      <c r="B3236" s="3" t="inlineStr">
        <is>
          <t>코리아써키트</t>
        </is>
      </c>
      <c r="C3236" s="2" t="inlineStr">
        <is>
          <t>코스피</t>
        </is>
      </c>
      <c r="D3236" s="2" t="inlineStr">
        <is>
          <t>007810</t>
        </is>
      </c>
      <c r="E3236" s="3" t="inlineStr">
        <is>
          <t xml:space="preserve">주주총회소집결의              </t>
        </is>
      </c>
      <c r="F3236" s="3" t="inlineStr">
        <is>
          <t>코리아써키트</t>
        </is>
      </c>
      <c r="G3236" s="2" t="inlineStr">
        <is>
          <t>20260312801411</t>
        </is>
      </c>
      <c r="H3236" s="8">
        <f>HYPERLINK("https://dart.fss.or.kr/dsaf001/main.do?rcpNo=20260312801411", "공시열람")</f>
        <v/>
      </c>
    </row>
    <row r="3237">
      <c r="A3237" s="2" t="inlineStr">
        <is>
          <t>2026-03-12 (정정: 2026-03-23)</t>
        </is>
      </c>
      <c r="B3237" s="3" t="inlineStr">
        <is>
          <t>엔피씨</t>
        </is>
      </c>
      <c r="C3237" s="2" t="inlineStr">
        <is>
          <t>코스피</t>
        </is>
      </c>
      <c r="D3237" s="2" t="inlineStr">
        <is>
          <t>004250</t>
        </is>
      </c>
      <c r="E3237" s="3" t="inlineStr">
        <is>
          <t>주주총회소집결의               (정정: 20260323)</t>
        </is>
      </c>
      <c r="F3237" s="3" t="inlineStr">
        <is>
          <t>엔피씨</t>
        </is>
      </c>
      <c r="G3237" s="2" t="inlineStr">
        <is>
          <t>20260323001072</t>
        </is>
      </c>
      <c r="H3237" s="8">
        <f>HYPERLINK("https://dart.fss.or.kr/dsaf001/main.do?rcpNo=20260323001072", "공시열람")</f>
        <v/>
      </c>
    </row>
    <row r="3238">
      <c r="A3238" s="2" t="inlineStr">
        <is>
          <t>2026-03-12 (정정: 2026-05-27)</t>
        </is>
      </c>
      <c r="B3238" s="3" t="inlineStr">
        <is>
          <t>YTN</t>
        </is>
      </c>
      <c r="C3238" s="2" t="inlineStr">
        <is>
          <t>코스닥</t>
        </is>
      </c>
      <c r="D3238" s="2" t="inlineStr">
        <is>
          <t>040300</t>
        </is>
      </c>
      <c r="E3238" s="3" t="inlineStr">
        <is>
          <t>주주총회소집결의               (정정: 20260527)</t>
        </is>
      </c>
      <c r="F3238" s="3" t="inlineStr">
        <is>
          <t>YTN</t>
        </is>
      </c>
      <c r="G3238" s="2" t="inlineStr">
        <is>
          <t>20260527900686</t>
        </is>
      </c>
      <c r="H3238" s="8">
        <f>HYPERLINK("https://dart.fss.or.kr/dsaf001/main.do?rcpNo=20260527900686", "공시열람")</f>
        <v/>
      </c>
    </row>
    <row r="3239">
      <c r="A3239" s="2" t="inlineStr">
        <is>
          <t>2026-03-12</t>
        </is>
      </c>
      <c r="B3239" s="3" t="inlineStr">
        <is>
          <t>브이티</t>
        </is>
      </c>
      <c r="C3239" s="2" t="inlineStr">
        <is>
          <t>코스닥</t>
        </is>
      </c>
      <c r="D3239" s="2" t="inlineStr">
        <is>
          <t>018290</t>
        </is>
      </c>
      <c r="E3239" s="3" t="inlineStr">
        <is>
          <t>주주총회소집공고</t>
        </is>
      </c>
      <c r="F3239" s="3" t="inlineStr">
        <is>
          <t>브이티</t>
        </is>
      </c>
      <c r="G3239" s="2" t="inlineStr">
        <is>
          <t>20260312000955</t>
        </is>
      </c>
      <c r="H3239" s="8">
        <f>HYPERLINK("https://dart.fss.or.kr/dsaf001/main.do?rcpNo=20260312000955", "공시열람")</f>
        <v/>
      </c>
    </row>
    <row r="3240">
      <c r="A3240" s="2" t="inlineStr">
        <is>
          <t>2026-03-12</t>
        </is>
      </c>
      <c r="B3240" s="3" t="inlineStr">
        <is>
          <t>케이씨티시</t>
        </is>
      </c>
      <c r="C3240" s="2" t="inlineStr">
        <is>
          <t>코스피</t>
        </is>
      </c>
      <c r="D3240" s="2" t="inlineStr">
        <is>
          <t>009070</t>
        </is>
      </c>
      <c r="E3240" s="3" t="inlineStr">
        <is>
          <t>주주총회소집공고</t>
        </is>
      </c>
      <c r="F3240" s="3" t="inlineStr">
        <is>
          <t>케이씨티시</t>
        </is>
      </c>
      <c r="G3240" s="2" t="inlineStr">
        <is>
          <t>20260312000954</t>
        </is>
      </c>
      <c r="H3240" s="8">
        <f>HYPERLINK("https://dart.fss.or.kr/dsaf001/main.do?rcpNo=20260312000954", "공시열람")</f>
        <v/>
      </c>
    </row>
    <row r="3241">
      <c r="A3241" s="2" t="inlineStr">
        <is>
          <t>2026-03-12</t>
        </is>
      </c>
      <c r="B3241" s="3" t="inlineStr">
        <is>
          <t>에이루트</t>
        </is>
      </c>
      <c r="C3241" s="2" t="inlineStr">
        <is>
          <t>코스닥</t>
        </is>
      </c>
      <c r="D3241" s="2" t="inlineStr">
        <is>
          <t>096690</t>
        </is>
      </c>
      <c r="E3241" s="3" t="inlineStr">
        <is>
          <t xml:space="preserve">주주총회집중일개최사유신고              </t>
        </is>
      </c>
      <c r="F3241" s="3" t="inlineStr">
        <is>
          <t>에이루트</t>
        </is>
      </c>
      <c r="G3241" s="2" t="inlineStr">
        <is>
          <t>20260312901412</t>
        </is>
      </c>
      <c r="H3241" s="8">
        <f>HYPERLINK("https://dart.fss.or.kr/dsaf001/main.do?rcpNo=20260312901412", "공시열람")</f>
        <v/>
      </c>
    </row>
    <row r="3242">
      <c r="A3242" s="2" t="inlineStr">
        <is>
          <t>2026-03-12</t>
        </is>
      </c>
      <c r="B3242" s="3" t="inlineStr">
        <is>
          <t>모베이스</t>
        </is>
      </c>
      <c r="C3242" s="2" t="inlineStr">
        <is>
          <t>코스닥</t>
        </is>
      </c>
      <c r="D3242" s="2" t="inlineStr">
        <is>
          <t>101330</t>
        </is>
      </c>
      <c r="E3242" s="3" t="inlineStr">
        <is>
          <t xml:space="preserve">주주총회소집결의              </t>
        </is>
      </c>
      <c r="F3242" s="3" t="inlineStr">
        <is>
          <t>모베이스</t>
        </is>
      </c>
      <c r="G3242" s="2" t="inlineStr">
        <is>
          <t>20260312901233</t>
        </is>
      </c>
      <c r="H3242" s="8">
        <f>HYPERLINK("https://dart.fss.or.kr/dsaf001/main.do?rcpNo=20260312901233", "공시열람")</f>
        <v/>
      </c>
    </row>
    <row r="3243">
      <c r="A3243" s="2" t="inlineStr">
        <is>
          <t>2026-03-12</t>
        </is>
      </c>
      <c r="B3243" s="3" t="inlineStr">
        <is>
          <t>KCC건설</t>
        </is>
      </c>
      <c r="C3243" s="2" t="inlineStr">
        <is>
          <t>코스닥</t>
        </is>
      </c>
      <c r="D3243" s="2" t="inlineStr">
        <is>
          <t>021320</t>
        </is>
      </c>
      <c r="E3243" s="3" t="inlineStr">
        <is>
          <t xml:space="preserve">주주총회집중일개최사유신고              </t>
        </is>
      </c>
      <c r="F3243" s="3" t="inlineStr">
        <is>
          <t>KCC건설</t>
        </is>
      </c>
      <c r="G3243" s="2" t="inlineStr">
        <is>
          <t>20260312901149</t>
        </is>
      </c>
      <c r="H3243" s="8">
        <f>HYPERLINK("https://dart.fss.or.kr/dsaf001/main.do?rcpNo=20260312901149", "공시열람")</f>
        <v/>
      </c>
    </row>
    <row r="3244">
      <c r="A3244" s="2" t="inlineStr">
        <is>
          <t>2026-03-12</t>
        </is>
      </c>
      <c r="B3244" s="3" t="inlineStr">
        <is>
          <t>에이루트</t>
        </is>
      </c>
      <c r="C3244" s="2" t="inlineStr">
        <is>
          <t>코스닥</t>
        </is>
      </c>
      <c r="D3244" s="2" t="inlineStr">
        <is>
          <t>096690</t>
        </is>
      </c>
      <c r="E3244" s="3" t="inlineStr">
        <is>
          <t xml:space="preserve">주주총회소집결의              </t>
        </is>
      </c>
      <c r="F3244" s="3" t="inlineStr">
        <is>
          <t>에이루트</t>
        </is>
      </c>
      <c r="G3244" s="2" t="inlineStr">
        <is>
          <t>20260312901384</t>
        </is>
      </c>
      <c r="H3244" s="8">
        <f>HYPERLINK("https://dart.fss.or.kr/dsaf001/main.do?rcpNo=20260312901384", "공시열람")</f>
        <v/>
      </c>
    </row>
    <row r="3245">
      <c r="A3245" s="2" t="inlineStr">
        <is>
          <t>2026-03-12</t>
        </is>
      </c>
      <c r="B3245" s="3" t="inlineStr">
        <is>
          <t>나라셀라</t>
        </is>
      </c>
      <c r="C3245" s="2" t="inlineStr">
        <is>
          <t>코스닥</t>
        </is>
      </c>
      <c r="D3245" s="2" t="inlineStr">
        <is>
          <t>405920</t>
        </is>
      </c>
      <c r="E3245" s="3" t="inlineStr">
        <is>
          <t>주주총회소집공고</t>
        </is>
      </c>
      <c r="F3245" s="3" t="inlineStr">
        <is>
          <t>나라셀라</t>
        </is>
      </c>
      <c r="G3245" s="2" t="inlineStr">
        <is>
          <t>20260312000946</t>
        </is>
      </c>
      <c r="H3245" s="8">
        <f>HYPERLINK("https://dart.fss.or.kr/dsaf001/main.do?rcpNo=20260312000946", "공시열람")</f>
        <v/>
      </c>
    </row>
    <row r="3246">
      <c r="A3246" s="2" t="inlineStr">
        <is>
          <t>2026-03-12</t>
        </is>
      </c>
      <c r="B3246" s="3" t="inlineStr">
        <is>
          <t>이엔셀</t>
        </is>
      </c>
      <c r="C3246" s="2" t="inlineStr">
        <is>
          <t>코스닥</t>
        </is>
      </c>
      <c r="D3246" s="2" t="inlineStr">
        <is>
          <t>456070</t>
        </is>
      </c>
      <c r="E3246" s="3" t="inlineStr">
        <is>
          <t>주주총회소집공고</t>
        </is>
      </c>
      <c r="F3246" s="3" t="inlineStr">
        <is>
          <t>이엔셀</t>
        </is>
      </c>
      <c r="G3246" s="2" t="inlineStr">
        <is>
          <t>20260312000942</t>
        </is>
      </c>
      <c r="H3246" s="8">
        <f>HYPERLINK("https://dart.fss.or.kr/dsaf001/main.do?rcpNo=20260312000942", "공시열람")</f>
        <v/>
      </c>
    </row>
    <row r="3247">
      <c r="A3247" s="2" t="inlineStr">
        <is>
          <t>2026-03-12</t>
        </is>
      </c>
      <c r="B3247" s="3" t="inlineStr">
        <is>
          <t>메가엠디</t>
        </is>
      </c>
      <c r="C3247" s="2" t="inlineStr">
        <is>
          <t>코스닥</t>
        </is>
      </c>
      <c r="D3247" s="2" t="inlineStr">
        <is>
          <t>133750</t>
        </is>
      </c>
      <c r="E3247" s="3" t="inlineStr">
        <is>
          <t xml:space="preserve">주주총회집중일개최사유신고              </t>
        </is>
      </c>
      <c r="F3247" s="3" t="inlineStr">
        <is>
          <t>메가엠디</t>
        </is>
      </c>
      <c r="G3247" s="2" t="inlineStr">
        <is>
          <t>20260312901242</t>
        </is>
      </c>
      <c r="H3247" s="8">
        <f>HYPERLINK("https://dart.fss.or.kr/dsaf001/main.do?rcpNo=20260312901242", "공시열람")</f>
        <v/>
      </c>
    </row>
    <row r="3248">
      <c r="A3248" s="2" t="inlineStr">
        <is>
          <t>2026-03-09 (정정: 2026-03-12)</t>
        </is>
      </c>
      <c r="B3248" s="3" t="inlineStr">
        <is>
          <t>진시스템</t>
        </is>
      </c>
      <c r="C3248" s="2" t="inlineStr">
        <is>
          <t>코스닥</t>
        </is>
      </c>
      <c r="D3248" s="2" t="inlineStr">
        <is>
          <t>363250</t>
        </is>
      </c>
      <c r="E3248" s="3" t="inlineStr">
        <is>
          <t xml:space="preserve">[기재정정]주주총회소집결의              </t>
        </is>
      </c>
      <c r="F3248" s="3" t="inlineStr">
        <is>
          <t>진시스템</t>
        </is>
      </c>
      <c r="G3248" s="2" t="inlineStr">
        <is>
          <t>20260312901312</t>
        </is>
      </c>
      <c r="H3248" s="8">
        <f>HYPERLINK("https://dart.fss.or.kr/dsaf001/main.do?rcpNo=20260312901312", "공시열람")</f>
        <v/>
      </c>
    </row>
    <row r="3249">
      <c r="A3249" s="2" t="inlineStr">
        <is>
          <t>2026-03-12</t>
        </is>
      </c>
      <c r="B3249" s="3" t="inlineStr">
        <is>
          <t>고영</t>
        </is>
      </c>
      <c r="C3249" s="2" t="inlineStr">
        <is>
          <t>코스닥</t>
        </is>
      </c>
      <c r="D3249" s="2" t="inlineStr">
        <is>
          <t>098460</t>
        </is>
      </c>
      <c r="E3249" s="3" t="inlineStr">
        <is>
          <t>주주총회소집공고</t>
        </is>
      </c>
      <c r="F3249" s="3" t="inlineStr">
        <is>
          <t>고영</t>
        </is>
      </c>
      <c r="G3249" s="2" t="inlineStr">
        <is>
          <t>20260312000937</t>
        </is>
      </c>
      <c r="H3249" s="8">
        <f>HYPERLINK("https://dart.fss.or.kr/dsaf001/main.do?rcpNo=20260312000937", "공시열람")</f>
        <v/>
      </c>
    </row>
    <row r="3250">
      <c r="A3250" s="2" t="inlineStr">
        <is>
          <t>2026-03-12</t>
        </is>
      </c>
      <c r="B3250" s="3" t="inlineStr">
        <is>
          <t>인포바인</t>
        </is>
      </c>
      <c r="C3250" s="2" t="inlineStr">
        <is>
          <t>코스닥</t>
        </is>
      </c>
      <c r="D3250" s="2" t="inlineStr">
        <is>
          <t>115310</t>
        </is>
      </c>
      <c r="E3250" s="3" t="inlineStr">
        <is>
          <t xml:space="preserve">주주총회집중일개최사유신고              </t>
        </is>
      </c>
      <c r="F3250" s="3" t="inlineStr">
        <is>
          <t>인포바인</t>
        </is>
      </c>
      <c r="G3250" s="2" t="inlineStr">
        <is>
          <t>20260312901300</t>
        </is>
      </c>
      <c r="H3250" s="8">
        <f>HYPERLINK("https://dart.fss.or.kr/dsaf001/main.do?rcpNo=20260312901300", "공시열람")</f>
        <v/>
      </c>
    </row>
    <row r="3251">
      <c r="A3251" s="2" t="inlineStr">
        <is>
          <t>2026-03-12</t>
        </is>
      </c>
      <c r="B3251" s="3" t="inlineStr">
        <is>
          <t>동화기업</t>
        </is>
      </c>
      <c r="C3251" s="2" t="inlineStr">
        <is>
          <t>코스닥</t>
        </is>
      </c>
      <c r="D3251" s="2" t="inlineStr">
        <is>
          <t>025900</t>
        </is>
      </c>
      <c r="E3251" s="3" t="inlineStr">
        <is>
          <t xml:space="preserve">주주총회집중일개최사유신고              </t>
        </is>
      </c>
      <c r="F3251" s="3" t="inlineStr">
        <is>
          <t>동화기업</t>
        </is>
      </c>
      <c r="G3251" s="2" t="inlineStr">
        <is>
          <t>20260312901308</t>
        </is>
      </c>
      <c r="H3251" s="8">
        <f>HYPERLINK("https://dart.fss.or.kr/dsaf001/main.do?rcpNo=20260312901308", "공시열람")</f>
        <v/>
      </c>
    </row>
    <row r="3252">
      <c r="A3252" s="2" t="inlineStr">
        <is>
          <t>2026-03-12</t>
        </is>
      </c>
      <c r="B3252" s="3" t="inlineStr">
        <is>
          <t>동화기업</t>
        </is>
      </c>
      <c r="C3252" s="2" t="inlineStr">
        <is>
          <t>코스닥</t>
        </is>
      </c>
      <c r="D3252" s="2" t="inlineStr">
        <is>
          <t>025900</t>
        </is>
      </c>
      <c r="E3252" s="3" t="inlineStr">
        <is>
          <t xml:space="preserve">주주총회소집결의              </t>
        </is>
      </c>
      <c r="F3252" s="3" t="inlineStr">
        <is>
          <t>동화기업</t>
        </is>
      </c>
      <c r="G3252" s="2" t="inlineStr">
        <is>
          <t>20260312901292</t>
        </is>
      </c>
      <c r="H3252" s="8">
        <f>HYPERLINK("https://dart.fss.or.kr/dsaf001/main.do?rcpNo=20260312901292", "공시열람")</f>
        <v/>
      </c>
    </row>
    <row r="3253">
      <c r="A3253" s="2" t="inlineStr">
        <is>
          <t>2026-03-12</t>
        </is>
      </c>
      <c r="B3253" s="3" t="inlineStr">
        <is>
          <t>삼익THK</t>
        </is>
      </c>
      <c r="C3253" s="2" t="inlineStr">
        <is>
          <t>코스피</t>
        </is>
      </c>
      <c r="D3253" s="2" t="inlineStr">
        <is>
          <t>004380</t>
        </is>
      </c>
      <c r="E3253" s="3" t="inlineStr">
        <is>
          <t xml:space="preserve">주주총회집중일개최사유신고              </t>
        </is>
      </c>
      <c r="F3253" s="3" t="inlineStr">
        <is>
          <t>삼익THK</t>
        </is>
      </c>
      <c r="G3253" s="2" t="inlineStr">
        <is>
          <t>20260312801430</t>
        </is>
      </c>
      <c r="H3253" s="8">
        <f>HYPERLINK("https://dart.fss.or.kr/dsaf001/main.do?rcpNo=20260312801430", "공시열람")</f>
        <v/>
      </c>
    </row>
    <row r="3254">
      <c r="A3254" s="2" t="inlineStr">
        <is>
          <t>2026-03-12</t>
        </is>
      </c>
      <c r="B3254" s="3" t="inlineStr">
        <is>
          <t>오스테오닉</t>
        </is>
      </c>
      <c r="C3254" s="2" t="inlineStr">
        <is>
          <t>코스닥</t>
        </is>
      </c>
      <c r="D3254" s="2" t="inlineStr">
        <is>
          <t>226400</t>
        </is>
      </c>
      <c r="E3254" s="3" t="inlineStr">
        <is>
          <t>주주총회소집공고</t>
        </is>
      </c>
      <c r="F3254" s="3" t="inlineStr">
        <is>
          <t>오스테오닉</t>
        </is>
      </c>
      <c r="G3254" s="2" t="inlineStr">
        <is>
          <t>20260312000929</t>
        </is>
      </c>
      <c r="H3254" s="8">
        <f>HYPERLINK("https://dart.fss.or.kr/dsaf001/main.do?rcpNo=20260312000929", "공시열람")</f>
        <v/>
      </c>
    </row>
    <row r="3255">
      <c r="A3255" s="2" t="inlineStr">
        <is>
          <t>2026-03-12</t>
        </is>
      </c>
      <c r="B3255" s="3" t="inlineStr">
        <is>
          <t>캐스텍코리아</t>
        </is>
      </c>
      <c r="C3255" s="2" t="inlineStr">
        <is>
          <t>코스닥</t>
        </is>
      </c>
      <c r="D3255" s="2" t="inlineStr">
        <is>
          <t>071850</t>
        </is>
      </c>
      <c r="E3255" s="3" t="inlineStr">
        <is>
          <t>주주총회소집공고</t>
        </is>
      </c>
      <c r="F3255" s="3" t="inlineStr">
        <is>
          <t>캐스텍코리아</t>
        </is>
      </c>
      <c r="G3255" s="2" t="inlineStr">
        <is>
          <t>20260312000927</t>
        </is>
      </c>
      <c r="H3255" s="8">
        <f>HYPERLINK("https://dart.fss.or.kr/dsaf001/main.do?rcpNo=20260312000927", "공시열람")</f>
        <v/>
      </c>
    </row>
    <row r="3256">
      <c r="A3256" s="2" t="inlineStr">
        <is>
          <t>2026-03-12</t>
        </is>
      </c>
      <c r="B3256" s="3" t="inlineStr">
        <is>
          <t>나라셀라</t>
        </is>
      </c>
      <c r="C3256" s="2" t="inlineStr">
        <is>
          <t>코스닥</t>
        </is>
      </c>
      <c r="D3256" s="2" t="inlineStr">
        <is>
          <t>405920</t>
        </is>
      </c>
      <c r="E3256" s="3" t="inlineStr">
        <is>
          <t xml:space="preserve">주주총회소집결의              </t>
        </is>
      </c>
      <c r="F3256" s="3" t="inlineStr">
        <is>
          <t>나라셀라</t>
        </is>
      </c>
      <c r="G3256" s="2" t="inlineStr">
        <is>
          <t>20260312901195</t>
        </is>
      </c>
      <c r="H3256" s="8">
        <f>HYPERLINK("https://dart.fss.or.kr/dsaf001/main.do?rcpNo=20260312901195", "공시열람")</f>
        <v/>
      </c>
    </row>
    <row r="3257">
      <c r="A3257" s="2" t="inlineStr">
        <is>
          <t>2026-03-12</t>
        </is>
      </c>
      <c r="B3257" s="3" t="inlineStr">
        <is>
          <t>마이크로컨텍솔</t>
        </is>
      </c>
      <c r="C3257" s="2" t="inlineStr">
        <is>
          <t>코스닥</t>
        </is>
      </c>
      <c r="D3257" s="2" t="inlineStr">
        <is>
          <t>098120</t>
        </is>
      </c>
      <c r="E3257" s="3" t="inlineStr">
        <is>
          <t>주주총회소집공고</t>
        </is>
      </c>
      <c r="F3257" s="3" t="inlineStr">
        <is>
          <t>마이크로컨텍솔</t>
        </is>
      </c>
      <c r="G3257" s="2" t="inlineStr">
        <is>
          <t>20260312000924</t>
        </is>
      </c>
      <c r="H3257" s="8">
        <f>HYPERLINK("https://dart.fss.or.kr/dsaf001/main.do?rcpNo=20260312000924", "공시열람")</f>
        <v/>
      </c>
    </row>
    <row r="3258">
      <c r="A3258" s="2" t="inlineStr">
        <is>
          <t>2026-03-12</t>
        </is>
      </c>
      <c r="B3258" s="3" t="inlineStr">
        <is>
          <t>대한해운</t>
        </is>
      </c>
      <c r="C3258" s="2" t="inlineStr">
        <is>
          <t>코스피</t>
        </is>
      </c>
      <c r="D3258" s="2" t="inlineStr">
        <is>
          <t>005880</t>
        </is>
      </c>
      <c r="E3258" s="3" t="inlineStr">
        <is>
          <t>주주총회소집공고</t>
        </is>
      </c>
      <c r="F3258" s="3" t="inlineStr">
        <is>
          <t>대한해운</t>
        </is>
      </c>
      <c r="G3258" s="2" t="inlineStr">
        <is>
          <t>20260312000921</t>
        </is>
      </c>
      <c r="H3258" s="8">
        <f>HYPERLINK("https://dart.fss.or.kr/dsaf001/main.do?rcpNo=20260312000921", "공시열람")</f>
        <v/>
      </c>
    </row>
    <row r="3259">
      <c r="A3259" s="2" t="inlineStr">
        <is>
          <t>2026-03-12</t>
        </is>
      </c>
      <c r="B3259" s="3" t="inlineStr">
        <is>
          <t>오스테오닉</t>
        </is>
      </c>
      <c r="C3259" s="2" t="inlineStr">
        <is>
          <t>코스닥</t>
        </is>
      </c>
      <c r="D3259" s="2" t="inlineStr">
        <is>
          <t>226400</t>
        </is>
      </c>
      <c r="E3259" s="3" t="inlineStr">
        <is>
          <t xml:space="preserve">주주총회집중일개최사유신고              </t>
        </is>
      </c>
      <c r="F3259" s="3" t="inlineStr">
        <is>
          <t>오스테오닉</t>
        </is>
      </c>
      <c r="G3259" s="2" t="inlineStr">
        <is>
          <t>20260312901116</t>
        </is>
      </c>
      <c r="H3259" s="8">
        <f>HYPERLINK("https://dart.fss.or.kr/dsaf001/main.do?rcpNo=20260312901116", "공시열람")</f>
        <v/>
      </c>
    </row>
    <row r="3260">
      <c r="A3260" s="2" t="inlineStr">
        <is>
          <t>2026-03-12</t>
        </is>
      </c>
      <c r="B3260" s="3" t="inlineStr">
        <is>
          <t>오스테오닉</t>
        </is>
      </c>
      <c r="C3260" s="2" t="inlineStr">
        <is>
          <t>코스닥</t>
        </is>
      </c>
      <c r="D3260" s="2" t="inlineStr">
        <is>
          <t>226400</t>
        </is>
      </c>
      <c r="E3260" s="3" t="inlineStr">
        <is>
          <t xml:space="preserve">주주총회소집결의              </t>
        </is>
      </c>
      <c r="F3260" s="3" t="inlineStr">
        <is>
          <t>오스테오닉</t>
        </is>
      </c>
      <c r="G3260" s="2" t="inlineStr">
        <is>
          <t>20260312901112</t>
        </is>
      </c>
      <c r="H3260" s="8">
        <f>HYPERLINK("https://dart.fss.or.kr/dsaf001/main.do?rcpNo=20260312901112", "공시열람")</f>
        <v/>
      </c>
    </row>
    <row r="3261">
      <c r="A3261" s="2" t="inlineStr">
        <is>
          <t>2026-03-12</t>
        </is>
      </c>
      <c r="B3261" s="3" t="inlineStr">
        <is>
          <t>바이오솔루션</t>
        </is>
      </c>
      <c r="C3261" s="2" t="inlineStr">
        <is>
          <t>코스닥</t>
        </is>
      </c>
      <c r="D3261" s="2" t="inlineStr">
        <is>
          <t>086820</t>
        </is>
      </c>
      <c r="E3261" s="3" t="inlineStr">
        <is>
          <t>주주총회소집공고</t>
        </is>
      </c>
      <c r="F3261" s="3" t="inlineStr">
        <is>
          <t>바이오솔루션</t>
        </is>
      </c>
      <c r="G3261" s="2" t="inlineStr">
        <is>
          <t>20260312000919</t>
        </is>
      </c>
      <c r="H3261" s="8">
        <f>HYPERLINK("https://dart.fss.or.kr/dsaf001/main.do?rcpNo=20260312000919", "공시열람")</f>
        <v/>
      </c>
    </row>
    <row r="3262">
      <c r="A3262" s="2" t="inlineStr">
        <is>
          <t>2026-03-12</t>
        </is>
      </c>
      <c r="B3262" s="3" t="inlineStr">
        <is>
          <t>미래산업</t>
        </is>
      </c>
      <c r="C3262" s="2" t="inlineStr">
        <is>
          <t>코스피</t>
        </is>
      </c>
      <c r="D3262" s="2" t="inlineStr">
        <is>
          <t>025560</t>
        </is>
      </c>
      <c r="E3262" s="3" t="inlineStr">
        <is>
          <t>주주총회소집공고</t>
        </is>
      </c>
      <c r="F3262" s="3" t="inlineStr">
        <is>
          <t>미래산업</t>
        </is>
      </c>
      <c r="G3262" s="2" t="inlineStr">
        <is>
          <t>20260312000918</t>
        </is>
      </c>
      <c r="H3262" s="8">
        <f>HYPERLINK("https://dart.fss.or.kr/dsaf001/main.do?rcpNo=20260312000918", "공시열람")</f>
        <v/>
      </c>
    </row>
    <row r="3263">
      <c r="A3263" s="2" t="inlineStr">
        <is>
          <t>2026-03-12</t>
        </is>
      </c>
      <c r="B3263" s="3" t="inlineStr">
        <is>
          <t>스톤브릿지벤처스</t>
        </is>
      </c>
      <c r="C3263" s="2" t="inlineStr">
        <is>
          <t>코스닥</t>
        </is>
      </c>
      <c r="D3263" s="2" t="inlineStr">
        <is>
          <t>330730</t>
        </is>
      </c>
      <c r="E3263" s="3" t="inlineStr">
        <is>
          <t>주주총회소집공고</t>
        </is>
      </c>
      <c r="F3263" s="3" t="inlineStr">
        <is>
          <t>스톤브릿지벤처스</t>
        </is>
      </c>
      <c r="G3263" s="2" t="inlineStr">
        <is>
          <t>20260312000917</t>
        </is>
      </c>
      <c r="H3263" s="8">
        <f>HYPERLINK("https://dart.fss.or.kr/dsaf001/main.do?rcpNo=20260312000917", "공시열람")</f>
        <v/>
      </c>
    </row>
    <row r="3264">
      <c r="A3264" s="2" t="inlineStr">
        <is>
          <t>2026-03-12</t>
        </is>
      </c>
      <c r="B3264" s="3" t="inlineStr">
        <is>
          <t>진로발효</t>
        </is>
      </c>
      <c r="C3264" s="2" t="inlineStr">
        <is>
          <t>코스닥</t>
        </is>
      </c>
      <c r="D3264" s="2" t="inlineStr">
        <is>
          <t>018120</t>
        </is>
      </c>
      <c r="E3264" s="3" t="inlineStr">
        <is>
          <t xml:space="preserve">주주총회집중일개최사유신고              </t>
        </is>
      </c>
      <c r="F3264" s="3" t="inlineStr">
        <is>
          <t>진로발효</t>
        </is>
      </c>
      <c r="G3264" s="2" t="inlineStr">
        <is>
          <t>20260312901077</t>
        </is>
      </c>
      <c r="H3264" s="8">
        <f>HYPERLINK("https://dart.fss.or.kr/dsaf001/main.do?rcpNo=20260312901077", "공시열람")</f>
        <v/>
      </c>
    </row>
    <row r="3265">
      <c r="A3265" s="2" t="inlineStr">
        <is>
          <t>2026-03-12</t>
        </is>
      </c>
      <c r="B3265" s="3" t="inlineStr">
        <is>
          <t>동원개발</t>
        </is>
      </c>
      <c r="C3265" s="2" t="inlineStr">
        <is>
          <t>코스닥</t>
        </is>
      </c>
      <c r="D3265" s="2" t="inlineStr">
        <is>
          <t>013120</t>
        </is>
      </c>
      <c r="E3265" s="3" t="inlineStr">
        <is>
          <t>주주총회소집공고</t>
        </is>
      </c>
      <c r="F3265" s="3" t="inlineStr">
        <is>
          <t>동원개발</t>
        </is>
      </c>
      <c r="G3265" s="2" t="inlineStr">
        <is>
          <t>20260312000910</t>
        </is>
      </c>
      <c r="H3265" s="8">
        <f>HYPERLINK("https://dart.fss.or.kr/dsaf001/main.do?rcpNo=20260312000910", "공시열람")</f>
        <v/>
      </c>
    </row>
    <row r="3266">
      <c r="A3266" s="2" t="inlineStr">
        <is>
          <t>2026-03-12</t>
        </is>
      </c>
      <c r="B3266" s="3" t="inlineStr">
        <is>
          <t>대림바스</t>
        </is>
      </c>
      <c r="C3266" s="2" t="inlineStr">
        <is>
          <t>코스피</t>
        </is>
      </c>
      <c r="D3266" s="2" t="inlineStr">
        <is>
          <t>005750</t>
        </is>
      </c>
      <c r="E3266" s="3" t="inlineStr">
        <is>
          <t>주주총회소집공고</t>
        </is>
      </c>
      <c r="F3266" s="3" t="inlineStr">
        <is>
          <t>대림바스</t>
        </is>
      </c>
      <c r="G3266" s="2" t="inlineStr">
        <is>
          <t>20260312000909</t>
        </is>
      </c>
      <c r="H3266" s="8">
        <f>HYPERLINK("https://dart.fss.or.kr/dsaf001/main.do?rcpNo=20260312000909", "공시열람")</f>
        <v/>
      </c>
    </row>
    <row r="3267">
      <c r="A3267" s="2" t="inlineStr">
        <is>
          <t>2026-03-12</t>
        </is>
      </c>
      <c r="B3267" s="3" t="inlineStr">
        <is>
          <t>유니테스트</t>
        </is>
      </c>
      <c r="C3267" s="2" t="inlineStr">
        <is>
          <t>코스닥</t>
        </is>
      </c>
      <c r="D3267" s="2" t="inlineStr">
        <is>
          <t>086390</t>
        </is>
      </c>
      <c r="E3267" s="3" t="inlineStr">
        <is>
          <t>주주총회소집공고</t>
        </is>
      </c>
      <c r="F3267" s="3" t="inlineStr">
        <is>
          <t>유니테스트</t>
        </is>
      </c>
      <c r="G3267" s="2" t="inlineStr">
        <is>
          <t>20260312000908</t>
        </is>
      </c>
      <c r="H3267" s="8">
        <f>HYPERLINK("https://dart.fss.or.kr/dsaf001/main.do?rcpNo=20260312000908", "공시열람")</f>
        <v/>
      </c>
    </row>
    <row r="3268">
      <c r="A3268" s="2" t="inlineStr">
        <is>
          <t>2026-03-12</t>
        </is>
      </c>
      <c r="B3268" s="3" t="inlineStr">
        <is>
          <t>삼익THK</t>
        </is>
      </c>
      <c r="C3268" s="2" t="inlineStr">
        <is>
          <t>코스피</t>
        </is>
      </c>
      <c r="D3268" s="2" t="inlineStr">
        <is>
          <t>004380</t>
        </is>
      </c>
      <c r="E3268" s="3" t="inlineStr">
        <is>
          <t>주주총회소집공고</t>
        </is>
      </c>
      <c r="F3268" s="3" t="inlineStr">
        <is>
          <t>삼익THK</t>
        </is>
      </c>
      <c r="G3268" s="2" t="inlineStr">
        <is>
          <t>20260312000906</t>
        </is>
      </c>
      <c r="H3268" s="8">
        <f>HYPERLINK("https://dart.fss.or.kr/dsaf001/main.do?rcpNo=20260312000906", "공시열람")</f>
        <v/>
      </c>
    </row>
    <row r="3269">
      <c r="A3269" s="2" t="inlineStr">
        <is>
          <t>2026-03-12</t>
        </is>
      </c>
      <c r="B3269" s="3" t="inlineStr">
        <is>
          <t>가온칩스</t>
        </is>
      </c>
      <c r="C3269" s="2" t="inlineStr">
        <is>
          <t>코스닥</t>
        </is>
      </c>
      <c r="D3269" s="2" t="inlineStr">
        <is>
          <t>399720</t>
        </is>
      </c>
      <c r="E3269" s="3" t="inlineStr">
        <is>
          <t xml:space="preserve">주주총회집중일개최사유신고              </t>
        </is>
      </c>
      <c r="F3269" s="3" t="inlineStr">
        <is>
          <t>가온칩스</t>
        </is>
      </c>
      <c r="G3269" s="2" t="inlineStr">
        <is>
          <t>20260312901214</t>
        </is>
      </c>
      <c r="H3269" s="8">
        <f>HYPERLINK("https://dart.fss.or.kr/dsaf001/main.do?rcpNo=20260312901214", "공시열람")</f>
        <v/>
      </c>
    </row>
    <row r="3270">
      <c r="A3270" s="2" t="inlineStr">
        <is>
          <t>2026-03-12</t>
        </is>
      </c>
      <c r="B3270" s="3" t="inlineStr">
        <is>
          <t>엔젤로보틱스</t>
        </is>
      </c>
      <c r="C3270" s="2" t="inlineStr">
        <is>
          <t>코스닥</t>
        </is>
      </c>
      <c r="D3270" s="2" t="inlineStr">
        <is>
          <t>455900</t>
        </is>
      </c>
      <c r="E3270" s="3" t="inlineStr">
        <is>
          <t>주주총회소집공고</t>
        </is>
      </c>
      <c r="F3270" s="3" t="inlineStr">
        <is>
          <t>엔젤로보틱스</t>
        </is>
      </c>
      <c r="G3270" s="2" t="inlineStr">
        <is>
          <t>20260312000903</t>
        </is>
      </c>
      <c r="H3270" s="8">
        <f>HYPERLINK("https://dart.fss.or.kr/dsaf001/main.do?rcpNo=20260312000903", "공시열람")</f>
        <v/>
      </c>
    </row>
    <row r="3271">
      <c r="A3271" s="2" t="inlineStr">
        <is>
          <t>2026-03-12</t>
        </is>
      </c>
      <c r="B3271" s="3" t="inlineStr">
        <is>
          <t>에스와이</t>
        </is>
      </c>
      <c r="C3271" s="2" t="inlineStr">
        <is>
          <t>코스닥</t>
        </is>
      </c>
      <c r="D3271" s="2" t="inlineStr">
        <is>
          <t>109610</t>
        </is>
      </c>
      <c r="E3271" s="3" t="inlineStr">
        <is>
          <t>주주총회소집공고</t>
        </is>
      </c>
      <c r="F3271" s="3" t="inlineStr">
        <is>
          <t>에스와이</t>
        </is>
      </c>
      <c r="G3271" s="2" t="inlineStr">
        <is>
          <t>20260312000901</t>
        </is>
      </c>
      <c r="H3271" s="8">
        <f>HYPERLINK("https://dart.fss.or.kr/dsaf001/main.do?rcpNo=20260312000901", "공시열람")</f>
        <v/>
      </c>
    </row>
    <row r="3272">
      <c r="A3272" s="2" t="inlineStr">
        <is>
          <t>2026-03-12</t>
        </is>
      </c>
      <c r="B3272" s="3" t="inlineStr">
        <is>
          <t>TS인베스트먼트</t>
        </is>
      </c>
      <c r="C3272" s="2" t="inlineStr">
        <is>
          <t>코스닥</t>
        </is>
      </c>
      <c r="D3272" s="2" t="inlineStr">
        <is>
          <t>246690</t>
        </is>
      </c>
      <c r="E3272" s="3" t="inlineStr">
        <is>
          <t>주주총회소집공고</t>
        </is>
      </c>
      <c r="F3272" s="3" t="inlineStr">
        <is>
          <t>TS인베스트먼트</t>
        </is>
      </c>
      <c r="G3272" s="2" t="inlineStr">
        <is>
          <t>20260312000899</t>
        </is>
      </c>
      <c r="H3272" s="8">
        <f>HYPERLINK("https://dart.fss.or.kr/dsaf001/main.do?rcpNo=20260312000899", "공시열람")</f>
        <v/>
      </c>
    </row>
    <row r="3273">
      <c r="A3273" s="2" t="inlineStr">
        <is>
          <t>2026-03-12</t>
        </is>
      </c>
      <c r="B3273" s="3" t="inlineStr">
        <is>
          <t>오브젠</t>
        </is>
      </c>
      <c r="C3273" s="2" t="inlineStr">
        <is>
          <t>코스닥</t>
        </is>
      </c>
      <c r="D3273" s="2" t="inlineStr">
        <is>
          <t>417860</t>
        </is>
      </c>
      <c r="E3273" s="3" t="inlineStr">
        <is>
          <t>주주총회소집공고</t>
        </is>
      </c>
      <c r="F3273" s="3" t="inlineStr">
        <is>
          <t>오브젠</t>
        </is>
      </c>
      <c r="G3273" s="2" t="inlineStr">
        <is>
          <t>20260312000898</t>
        </is>
      </c>
      <c r="H3273" s="8">
        <f>HYPERLINK("https://dart.fss.or.kr/dsaf001/main.do?rcpNo=20260312000898", "공시열람")</f>
        <v/>
      </c>
    </row>
    <row r="3274">
      <c r="A3274" s="2" t="inlineStr">
        <is>
          <t>2026-03-12</t>
        </is>
      </c>
      <c r="B3274" s="3" t="inlineStr">
        <is>
          <t>유라클</t>
        </is>
      </c>
      <c r="C3274" s="2" t="inlineStr">
        <is>
          <t>코스닥</t>
        </is>
      </c>
      <c r="D3274" s="2" t="inlineStr">
        <is>
          <t>088340</t>
        </is>
      </c>
      <c r="E3274" s="3" t="inlineStr">
        <is>
          <t>주주총회소집공고</t>
        </is>
      </c>
      <c r="F3274" s="3" t="inlineStr">
        <is>
          <t>유라클</t>
        </is>
      </c>
      <c r="G3274" s="2" t="inlineStr">
        <is>
          <t>20260312000897</t>
        </is>
      </c>
      <c r="H3274" s="8">
        <f>HYPERLINK("https://dart.fss.or.kr/dsaf001/main.do?rcpNo=20260312000897", "공시열람")</f>
        <v/>
      </c>
    </row>
    <row r="3275">
      <c r="A3275" s="2" t="inlineStr">
        <is>
          <t>2026-03-12</t>
        </is>
      </c>
      <c r="B3275" s="3" t="inlineStr">
        <is>
          <t>엔젤로보틱스</t>
        </is>
      </c>
      <c r="C3275" s="2" t="inlineStr">
        <is>
          <t>코스닥</t>
        </is>
      </c>
      <c r="D3275" s="2" t="inlineStr">
        <is>
          <t>455900</t>
        </is>
      </c>
      <c r="E3275" s="3" t="inlineStr">
        <is>
          <t xml:space="preserve">주주총회소집결의              </t>
        </is>
      </c>
      <c r="F3275" s="3" t="inlineStr">
        <is>
          <t>엔젤로보틱스</t>
        </is>
      </c>
      <c r="G3275" s="2" t="inlineStr">
        <is>
          <t>20260312901043</t>
        </is>
      </c>
      <c r="H3275" s="8">
        <f>HYPERLINK("https://dart.fss.or.kr/dsaf001/main.do?rcpNo=20260312901043", "공시열람")</f>
        <v/>
      </c>
    </row>
    <row r="3276">
      <c r="A3276" s="2" t="inlineStr">
        <is>
          <t>2026-03-12 (정정: 2026-03-23)</t>
        </is>
      </c>
      <c r="B3276" s="3" t="inlineStr">
        <is>
          <t>한국철강</t>
        </is>
      </c>
      <c r="C3276" s="2" t="inlineStr">
        <is>
          <t>코스피</t>
        </is>
      </c>
      <c r="D3276" s="2" t="inlineStr">
        <is>
          <t>104700</t>
        </is>
      </c>
      <c r="E3276" s="3" t="inlineStr">
        <is>
          <t>주주총회소집공고 (정정: 20260323)</t>
        </is>
      </c>
      <c r="F3276" s="3" t="inlineStr">
        <is>
          <t>한국철강</t>
        </is>
      </c>
      <c r="G3276" s="2" t="inlineStr">
        <is>
          <t>20260323001129</t>
        </is>
      </c>
      <c r="H3276" s="8">
        <f>HYPERLINK("https://dart.fss.or.kr/dsaf001/main.do?rcpNo=20260323001129", "공시열람")</f>
        <v/>
      </c>
    </row>
    <row r="3277">
      <c r="A3277" s="2" t="inlineStr">
        <is>
          <t>2026-03-12</t>
        </is>
      </c>
      <c r="B3277" s="3" t="inlineStr">
        <is>
          <t>휴네시온</t>
        </is>
      </c>
      <c r="C3277" s="2" t="inlineStr">
        <is>
          <t>코스닥</t>
        </is>
      </c>
      <c r="D3277" s="2" t="inlineStr">
        <is>
          <t>290270</t>
        </is>
      </c>
      <c r="E3277" s="3" t="inlineStr">
        <is>
          <t>주주총회소집공고</t>
        </is>
      </c>
      <c r="F3277" s="3" t="inlineStr">
        <is>
          <t>휴네시온</t>
        </is>
      </c>
      <c r="G3277" s="2" t="inlineStr">
        <is>
          <t>20260312000895</t>
        </is>
      </c>
      <c r="H3277" s="8">
        <f>HYPERLINK("https://dart.fss.or.kr/dsaf001/main.do?rcpNo=20260312000895", "공시열람")</f>
        <v/>
      </c>
    </row>
    <row r="3278">
      <c r="A3278" s="2" t="inlineStr">
        <is>
          <t>2026-03-12</t>
        </is>
      </c>
      <c r="B3278" s="3" t="inlineStr">
        <is>
          <t>에이직랜드</t>
        </is>
      </c>
      <c r="C3278" s="2" t="inlineStr">
        <is>
          <t>코스닥</t>
        </is>
      </c>
      <c r="D3278" s="2" t="inlineStr">
        <is>
          <t>445090</t>
        </is>
      </c>
      <c r="E3278" s="3" t="inlineStr">
        <is>
          <t xml:space="preserve">주주총회집중일개최사유신고              </t>
        </is>
      </c>
      <c r="F3278" s="3" t="inlineStr">
        <is>
          <t>에이직랜드</t>
        </is>
      </c>
      <c r="G3278" s="2" t="inlineStr">
        <is>
          <t>20260312901089</t>
        </is>
      </c>
      <c r="H3278" s="8">
        <f>HYPERLINK("https://dart.fss.or.kr/dsaf001/main.do?rcpNo=20260312901089", "공시열람")</f>
        <v/>
      </c>
    </row>
    <row r="3279">
      <c r="A3279" s="2" t="inlineStr">
        <is>
          <t>2026-03-12 (정정: 2026-03-13)</t>
        </is>
      </c>
      <c r="B3279" s="3" t="inlineStr">
        <is>
          <t>하나투어</t>
        </is>
      </c>
      <c r="C3279" s="2" t="inlineStr">
        <is>
          <t>코스피</t>
        </is>
      </c>
      <c r="D3279" s="2" t="inlineStr">
        <is>
          <t>039130</t>
        </is>
      </c>
      <c r="E3279" s="3" t="inlineStr">
        <is>
          <t>주주총회집중일개최사유신고               (정정: 20260313) (정정: 20260313) (정정: 20260313) (정정: 20260313)</t>
        </is>
      </c>
      <c r="F3279" s="3" t="inlineStr">
        <is>
          <t>하나투어</t>
        </is>
      </c>
      <c r="G3279" s="2" t="inlineStr">
        <is>
          <t>20260313001098</t>
        </is>
      </c>
      <c r="H3279" s="8">
        <f>HYPERLINK("https://dart.fss.or.kr/dsaf001/main.do?rcpNo=20260313001098", "공시열람")</f>
        <v/>
      </c>
    </row>
    <row r="3280">
      <c r="A3280" s="2" t="inlineStr">
        <is>
          <t>2026-03-12</t>
        </is>
      </c>
      <c r="B3280" s="3" t="inlineStr">
        <is>
          <t>CS</t>
        </is>
      </c>
      <c r="C3280" s="2" t="inlineStr">
        <is>
          <t>코스닥</t>
        </is>
      </c>
      <c r="D3280" s="2" t="inlineStr">
        <is>
          <t>065770</t>
        </is>
      </c>
      <c r="E3280" s="3" t="inlineStr">
        <is>
          <t>주주총회소집공고</t>
        </is>
      </c>
      <c r="F3280" s="3" t="inlineStr">
        <is>
          <t>CS</t>
        </is>
      </c>
      <c r="G3280" s="2" t="inlineStr">
        <is>
          <t>20260312000888</t>
        </is>
      </c>
      <c r="H3280" s="8">
        <f>HYPERLINK("https://dart.fss.or.kr/dsaf001/main.do?rcpNo=20260312000888", "공시열람")</f>
        <v/>
      </c>
    </row>
    <row r="3281">
      <c r="A3281" s="2" t="inlineStr">
        <is>
          <t>2026-03-12</t>
        </is>
      </c>
      <c r="B3281" s="3" t="inlineStr">
        <is>
          <t>휴네시온</t>
        </is>
      </c>
      <c r="C3281" s="2" t="inlineStr">
        <is>
          <t>코스닥</t>
        </is>
      </c>
      <c r="D3281" s="2" t="inlineStr">
        <is>
          <t>290270</t>
        </is>
      </c>
      <c r="E3281" s="3" t="inlineStr">
        <is>
          <t xml:space="preserve">주주총회집중일개최사유신고              </t>
        </is>
      </c>
      <c r="F3281" s="3" t="inlineStr">
        <is>
          <t>휴네시온</t>
        </is>
      </c>
      <c r="G3281" s="2" t="inlineStr">
        <is>
          <t>20260312901039</t>
        </is>
      </c>
      <c r="H3281" s="8">
        <f>HYPERLINK("https://dart.fss.or.kr/dsaf001/main.do?rcpNo=20260312901039", "공시열람")</f>
        <v/>
      </c>
    </row>
    <row r="3282">
      <c r="A3282" s="2" t="inlineStr">
        <is>
          <t>2026-03-12</t>
        </is>
      </c>
      <c r="B3282" s="3" t="inlineStr">
        <is>
          <t>에이직랜드</t>
        </is>
      </c>
      <c r="C3282" s="2" t="inlineStr">
        <is>
          <t>코스닥</t>
        </is>
      </c>
      <c r="D3282" s="2" t="inlineStr">
        <is>
          <t>445090</t>
        </is>
      </c>
      <c r="E3282" s="3" t="inlineStr">
        <is>
          <t xml:space="preserve">주주총회소집결의              </t>
        </is>
      </c>
      <c r="F3282" s="3" t="inlineStr">
        <is>
          <t>에이직랜드</t>
        </is>
      </c>
      <c r="G3282" s="2" t="inlineStr">
        <is>
          <t>20260312901087</t>
        </is>
      </c>
      <c r="H3282" s="8">
        <f>HYPERLINK("https://dart.fss.or.kr/dsaf001/main.do?rcpNo=20260312901087", "공시열람")</f>
        <v/>
      </c>
    </row>
    <row r="3283">
      <c r="A3283" s="2" t="inlineStr">
        <is>
          <t>2026-03-12</t>
        </is>
      </c>
      <c r="B3283" s="3" t="inlineStr">
        <is>
          <t>텔코웨어</t>
        </is>
      </c>
      <c r="C3283" s="2" t="inlineStr">
        <is>
          <t>코스피</t>
        </is>
      </c>
      <c r="D3283" s="2" t="inlineStr">
        <is>
          <t>078000</t>
        </is>
      </c>
      <c r="E3283" s="3" t="inlineStr">
        <is>
          <t>주주총회소집공고</t>
        </is>
      </c>
      <c r="F3283" s="3" t="inlineStr">
        <is>
          <t>텔코웨어</t>
        </is>
      </c>
      <c r="G3283" s="2" t="inlineStr">
        <is>
          <t>20260312000882</t>
        </is>
      </c>
      <c r="H3283" s="8">
        <f>HYPERLINK("https://dart.fss.or.kr/dsaf001/main.do?rcpNo=20260312000882", "공시열람")</f>
        <v/>
      </c>
    </row>
    <row r="3284">
      <c r="A3284" s="2" t="inlineStr">
        <is>
          <t>2026-03-12</t>
        </is>
      </c>
      <c r="B3284" s="3" t="inlineStr">
        <is>
          <t>하이비젼시스템</t>
        </is>
      </c>
      <c r="C3284" s="2" t="inlineStr">
        <is>
          <t>코스닥</t>
        </is>
      </c>
      <c r="D3284" s="2" t="inlineStr">
        <is>
          <t>126700</t>
        </is>
      </c>
      <c r="E3284" s="3" t="inlineStr">
        <is>
          <t>주주총회소집공고</t>
        </is>
      </c>
      <c r="F3284" s="3" t="inlineStr">
        <is>
          <t>하이비젼시스템</t>
        </is>
      </c>
      <c r="G3284" s="2" t="inlineStr">
        <is>
          <t>20260312000880</t>
        </is>
      </c>
      <c r="H3284" s="8">
        <f>HYPERLINK("https://dart.fss.or.kr/dsaf001/main.do?rcpNo=20260312000880", "공시열람")</f>
        <v/>
      </c>
    </row>
    <row r="3285">
      <c r="A3285" s="2" t="inlineStr">
        <is>
          <t>2026-03-12</t>
        </is>
      </c>
      <c r="B3285" s="3" t="inlineStr">
        <is>
          <t>휴네시온</t>
        </is>
      </c>
      <c r="C3285" s="2" t="inlineStr">
        <is>
          <t>코스닥</t>
        </is>
      </c>
      <c r="D3285" s="2" t="inlineStr">
        <is>
          <t>290270</t>
        </is>
      </c>
      <c r="E3285" s="3" t="inlineStr">
        <is>
          <t xml:space="preserve">주주총회소집결의              </t>
        </is>
      </c>
      <c r="F3285" s="3" t="inlineStr">
        <is>
          <t>휴네시온</t>
        </is>
      </c>
      <c r="G3285" s="2" t="inlineStr">
        <is>
          <t>20260312901031</t>
        </is>
      </c>
      <c r="H3285" s="8">
        <f>HYPERLINK("https://dart.fss.or.kr/dsaf001/main.do?rcpNo=20260312901031", "공시열람")</f>
        <v/>
      </c>
    </row>
    <row r="3286">
      <c r="A3286" s="2" t="inlineStr">
        <is>
          <t>2026-03-12</t>
        </is>
      </c>
      <c r="B3286" s="3" t="inlineStr">
        <is>
          <t>마이크로컨텍솔</t>
        </is>
      </c>
      <c r="C3286" s="2" t="inlineStr">
        <is>
          <t>코스닥</t>
        </is>
      </c>
      <c r="D3286" s="2" t="inlineStr">
        <is>
          <t>098120</t>
        </is>
      </c>
      <c r="E3286" s="3" t="inlineStr">
        <is>
          <t xml:space="preserve">주주총회집중일개최사유신고              </t>
        </is>
      </c>
      <c r="F3286" s="3" t="inlineStr">
        <is>
          <t>마이크로컨텍솔</t>
        </is>
      </c>
      <c r="G3286" s="2" t="inlineStr">
        <is>
          <t>20260312901270</t>
        </is>
      </c>
      <c r="H3286" s="8">
        <f>HYPERLINK("https://dart.fss.or.kr/dsaf001/main.do?rcpNo=20260312901270", "공시열람")</f>
        <v/>
      </c>
    </row>
    <row r="3287">
      <c r="A3287" s="2" t="inlineStr">
        <is>
          <t>2026-03-12</t>
        </is>
      </c>
      <c r="B3287" s="3" t="inlineStr">
        <is>
          <t>CS</t>
        </is>
      </c>
      <c r="C3287" s="2" t="inlineStr">
        <is>
          <t>코스닥</t>
        </is>
      </c>
      <c r="D3287" s="2" t="inlineStr">
        <is>
          <t>065770</t>
        </is>
      </c>
      <c r="E3287" s="3" t="inlineStr">
        <is>
          <t xml:space="preserve">주주총회집중일개최사유신고              </t>
        </is>
      </c>
      <c r="F3287" s="3" t="inlineStr">
        <is>
          <t>CS</t>
        </is>
      </c>
      <c r="G3287" s="2" t="inlineStr">
        <is>
          <t>20260312901244</t>
        </is>
      </c>
      <c r="H3287" s="8">
        <f>HYPERLINK("https://dart.fss.or.kr/dsaf001/main.do?rcpNo=20260312901244", "공시열람")</f>
        <v/>
      </c>
    </row>
    <row r="3288">
      <c r="A3288" s="2" t="inlineStr">
        <is>
          <t>2026-03-12</t>
        </is>
      </c>
      <c r="B3288" s="3" t="inlineStr">
        <is>
          <t>남해화학</t>
        </is>
      </c>
      <c r="C3288" s="2" t="inlineStr">
        <is>
          <t>코스피</t>
        </is>
      </c>
      <c r="D3288" s="2" t="inlineStr">
        <is>
          <t>025860</t>
        </is>
      </c>
      <c r="E3288" s="3" t="inlineStr">
        <is>
          <t>[기재정정]주주총회소집공고</t>
        </is>
      </c>
      <c r="F3288" s="3" t="inlineStr">
        <is>
          <t>남해화학</t>
        </is>
      </c>
      <c r="G3288" s="2" t="inlineStr">
        <is>
          <t>20260312000873</t>
        </is>
      </c>
      <c r="H3288" s="8">
        <f>HYPERLINK("https://dart.fss.or.kr/dsaf001/main.do?rcpNo=20260312000873", "공시열람")</f>
        <v/>
      </c>
    </row>
    <row r="3289">
      <c r="A3289" s="2" t="inlineStr">
        <is>
          <t>2026-03-12</t>
        </is>
      </c>
      <c r="B3289" s="3" t="inlineStr">
        <is>
          <t>CS</t>
        </is>
      </c>
      <c r="C3289" s="2" t="inlineStr">
        <is>
          <t>코스닥</t>
        </is>
      </c>
      <c r="D3289" s="2" t="inlineStr">
        <is>
          <t>065770</t>
        </is>
      </c>
      <c r="E3289" s="3" t="inlineStr">
        <is>
          <t xml:space="preserve">주주총회소집결의              </t>
        </is>
      </c>
      <c r="F3289" s="3" t="inlineStr">
        <is>
          <t>CS</t>
        </is>
      </c>
      <c r="G3289" s="2" t="inlineStr">
        <is>
          <t>20260312901238</t>
        </is>
      </c>
      <c r="H3289" s="8">
        <f>HYPERLINK("https://dart.fss.or.kr/dsaf001/main.do?rcpNo=20260312901238", "공시열람")</f>
        <v/>
      </c>
    </row>
    <row r="3290">
      <c r="A3290" s="2" t="inlineStr">
        <is>
          <t>2026-03-12</t>
        </is>
      </c>
      <c r="B3290" s="3" t="inlineStr">
        <is>
          <t>파인테크닉스</t>
        </is>
      </c>
      <c r="C3290" s="2" t="inlineStr">
        <is>
          <t>코스닥</t>
        </is>
      </c>
      <c r="D3290" s="2" t="inlineStr">
        <is>
          <t>106240</t>
        </is>
      </c>
      <c r="E3290" s="3" t="inlineStr">
        <is>
          <t>주주총회소집공고</t>
        </is>
      </c>
      <c r="F3290" s="3" t="inlineStr">
        <is>
          <t>파인테크닉스</t>
        </is>
      </c>
      <c r="G3290" s="2" t="inlineStr">
        <is>
          <t>20260312000872</t>
        </is>
      </c>
      <c r="H3290" s="8">
        <f>HYPERLINK("https://dart.fss.or.kr/dsaf001/main.do?rcpNo=20260312000872", "공시열람")</f>
        <v/>
      </c>
    </row>
    <row r="3291">
      <c r="A3291" s="2" t="inlineStr">
        <is>
          <t>2026-03-12</t>
        </is>
      </c>
      <c r="B3291" s="3" t="inlineStr">
        <is>
          <t>엔피씨</t>
        </is>
      </c>
      <c r="C3291" s="2" t="inlineStr">
        <is>
          <t>코스피</t>
        </is>
      </c>
      <c r="D3291" s="2" t="inlineStr">
        <is>
          <t>004250</t>
        </is>
      </c>
      <c r="E3291" s="3" t="inlineStr">
        <is>
          <t>주주총회소집공고</t>
        </is>
      </c>
      <c r="F3291" s="3" t="inlineStr">
        <is>
          <t>엔피씨</t>
        </is>
      </c>
      <c r="G3291" s="2" t="inlineStr">
        <is>
          <t>20260312000871</t>
        </is>
      </c>
      <c r="H3291" s="8">
        <f>HYPERLINK("https://dart.fss.or.kr/dsaf001/main.do?rcpNo=20260312000871", "공시열람")</f>
        <v/>
      </c>
    </row>
    <row r="3292">
      <c r="A3292" s="2" t="inlineStr">
        <is>
          <t>2026-03-12</t>
        </is>
      </c>
      <c r="B3292" s="3" t="inlineStr">
        <is>
          <t>마이크로컨텍솔</t>
        </is>
      </c>
      <c r="C3292" s="2" t="inlineStr">
        <is>
          <t>코스닥</t>
        </is>
      </c>
      <c r="D3292" s="2" t="inlineStr">
        <is>
          <t>098120</t>
        </is>
      </c>
      <c r="E3292" s="3" t="inlineStr">
        <is>
          <t xml:space="preserve">주주총회소집결의              </t>
        </is>
      </c>
      <c r="F3292" s="3" t="inlineStr">
        <is>
          <t>마이크로컨텍솔</t>
        </is>
      </c>
      <c r="G3292" s="2" t="inlineStr">
        <is>
          <t>20260312901249</t>
        </is>
      </c>
      <c r="H3292" s="8">
        <f>HYPERLINK("https://dart.fss.or.kr/dsaf001/main.do?rcpNo=20260312901249", "공시열람")</f>
        <v/>
      </c>
    </row>
    <row r="3293">
      <c r="A3293" s="2" t="inlineStr">
        <is>
          <t>2026-03-12</t>
        </is>
      </c>
      <c r="B3293" s="3" t="inlineStr">
        <is>
          <t>메디포스트</t>
        </is>
      </c>
      <c r="C3293" s="2" t="inlineStr">
        <is>
          <t>코스닥</t>
        </is>
      </c>
      <c r="D3293" s="2" t="inlineStr">
        <is>
          <t>078160</t>
        </is>
      </c>
      <c r="E3293" s="3" t="inlineStr">
        <is>
          <t>주주총회소집공고</t>
        </is>
      </c>
      <c r="F3293" s="3" t="inlineStr">
        <is>
          <t>메디포스트</t>
        </is>
      </c>
      <c r="G3293" s="2" t="inlineStr">
        <is>
          <t>20260312000868</t>
        </is>
      </c>
      <c r="H3293" s="8">
        <f>HYPERLINK("https://dart.fss.or.kr/dsaf001/main.do?rcpNo=20260312000868", "공시열람")</f>
        <v/>
      </c>
    </row>
    <row r="3294">
      <c r="A3294" s="2" t="inlineStr">
        <is>
          <t>2026-03-12</t>
        </is>
      </c>
      <c r="B3294" s="3" t="inlineStr">
        <is>
          <t>아티스트컴퍼니</t>
        </is>
      </c>
      <c r="C3294" s="2" t="inlineStr">
        <is>
          <t>코스닥</t>
        </is>
      </c>
      <c r="D3294" s="2" t="inlineStr">
        <is>
          <t>321820</t>
        </is>
      </c>
      <c r="E3294" s="3" t="inlineStr">
        <is>
          <t>주주총회소집공고</t>
        </is>
      </c>
      <c r="F3294" s="3" t="inlineStr">
        <is>
          <t>아티스트컴퍼니</t>
        </is>
      </c>
      <c r="G3294" s="2" t="inlineStr">
        <is>
          <t>20260312000867</t>
        </is>
      </c>
      <c r="H3294" s="8">
        <f>HYPERLINK("https://dart.fss.or.kr/dsaf001/main.do?rcpNo=20260312000867", "공시열람")</f>
        <v/>
      </c>
    </row>
    <row r="3295">
      <c r="A3295" s="2" t="inlineStr">
        <is>
          <t>2026-03-12</t>
        </is>
      </c>
      <c r="B3295" s="3" t="inlineStr">
        <is>
          <t>오브젠</t>
        </is>
      </c>
      <c r="C3295" s="2" t="inlineStr">
        <is>
          <t>코스닥</t>
        </is>
      </c>
      <c r="D3295" s="2" t="inlineStr">
        <is>
          <t>417860</t>
        </is>
      </c>
      <c r="E3295" s="3" t="inlineStr">
        <is>
          <t xml:space="preserve">주주총회집중일개최사유신고              </t>
        </is>
      </c>
      <c r="F3295" s="3" t="inlineStr">
        <is>
          <t>오브젠</t>
        </is>
      </c>
      <c r="G3295" s="2" t="inlineStr">
        <is>
          <t>20260312901275</t>
        </is>
      </c>
      <c r="H3295" s="8">
        <f>HYPERLINK("https://dart.fss.or.kr/dsaf001/main.do?rcpNo=20260312901275", "공시열람")</f>
        <v/>
      </c>
    </row>
    <row r="3296">
      <c r="A3296" s="2" t="inlineStr">
        <is>
          <t>2026-03-12 (정정: 2026-03-12)</t>
        </is>
      </c>
      <c r="B3296" s="3" t="inlineStr">
        <is>
          <t>대한제당</t>
        </is>
      </c>
      <c r="C3296" s="2" t="inlineStr">
        <is>
          <t>코스피</t>
        </is>
      </c>
      <c r="D3296" s="2" t="inlineStr">
        <is>
          <t>001790</t>
        </is>
      </c>
      <c r="E3296" s="3" t="inlineStr">
        <is>
          <t>[기재정정]주주총회소집공고</t>
        </is>
      </c>
      <c r="F3296" s="3" t="inlineStr">
        <is>
          <t>대한제당</t>
        </is>
      </c>
      <c r="G3296" s="2" t="inlineStr">
        <is>
          <t>20260312000863</t>
        </is>
      </c>
      <c r="H3296" s="8">
        <f>HYPERLINK("https://dart.fss.or.kr/dsaf001/main.do?rcpNo=20260312000863", "공시열람")</f>
        <v/>
      </c>
    </row>
    <row r="3297">
      <c r="A3297" s="2" t="inlineStr">
        <is>
          <t>2026-03-12</t>
        </is>
      </c>
      <c r="B3297" s="3" t="inlineStr">
        <is>
          <t>바이오솔루션</t>
        </is>
      </c>
      <c r="C3297" s="2" t="inlineStr">
        <is>
          <t>코스닥</t>
        </is>
      </c>
      <c r="D3297" s="2" t="inlineStr">
        <is>
          <t>086820</t>
        </is>
      </c>
      <c r="E3297" s="3" t="inlineStr">
        <is>
          <t xml:space="preserve">주주총회집중일개최사유신고              </t>
        </is>
      </c>
      <c r="F3297" s="3" t="inlineStr">
        <is>
          <t>바이오솔루션</t>
        </is>
      </c>
      <c r="G3297" s="2" t="inlineStr">
        <is>
          <t>20260312901245</t>
        </is>
      </c>
      <c r="H3297" s="8">
        <f>HYPERLINK("https://dart.fss.or.kr/dsaf001/main.do?rcpNo=20260312901245", "공시열람")</f>
        <v/>
      </c>
    </row>
    <row r="3298">
      <c r="A3298" s="2" t="inlineStr">
        <is>
          <t>2026-03-12</t>
        </is>
      </c>
      <c r="B3298" s="3" t="inlineStr">
        <is>
          <t>동양파일</t>
        </is>
      </c>
      <c r="C3298" s="2" t="inlineStr">
        <is>
          <t>코스닥</t>
        </is>
      </c>
      <c r="D3298" s="2" t="inlineStr">
        <is>
          <t>228340</t>
        </is>
      </c>
      <c r="E3298" s="3" t="inlineStr">
        <is>
          <t xml:space="preserve">주주총회집중일개최사유신고              </t>
        </is>
      </c>
      <c r="F3298" s="3" t="inlineStr">
        <is>
          <t>동양파일</t>
        </is>
      </c>
      <c r="G3298" s="2" t="inlineStr">
        <is>
          <t>20260312901152</t>
        </is>
      </c>
      <c r="H3298" s="8">
        <f>HYPERLINK("https://dart.fss.or.kr/dsaf001/main.do?rcpNo=20260312901152", "공시열람")</f>
        <v/>
      </c>
    </row>
    <row r="3299">
      <c r="A3299" s="2" t="inlineStr">
        <is>
          <t>2026-03-12</t>
        </is>
      </c>
      <c r="B3299" s="3" t="inlineStr">
        <is>
          <t>인포바인</t>
        </is>
      </c>
      <c r="C3299" s="2" t="inlineStr">
        <is>
          <t>코스닥</t>
        </is>
      </c>
      <c r="D3299" s="2" t="inlineStr">
        <is>
          <t>115310</t>
        </is>
      </c>
      <c r="E3299" s="3" t="inlineStr">
        <is>
          <t>주식분할결정              ((액면분할))</t>
        </is>
      </c>
      <c r="F3299" s="3" t="inlineStr">
        <is>
          <t>인포바인</t>
        </is>
      </c>
      <c r="G3299" s="2" t="inlineStr">
        <is>
          <t>20260312901334</t>
        </is>
      </c>
      <c r="H3299" s="8">
        <f>HYPERLINK("https://dart.fss.or.kr/dsaf001/main.do?rcpNo=20260312901334", "공시열람")</f>
        <v/>
      </c>
    </row>
    <row r="3300">
      <c r="A3300" s="2" t="inlineStr">
        <is>
          <t>2026-03-12</t>
        </is>
      </c>
      <c r="B3300" s="3" t="inlineStr">
        <is>
          <t>뉴로메카</t>
        </is>
      </c>
      <c r="C3300" s="2" t="inlineStr">
        <is>
          <t>코스닥</t>
        </is>
      </c>
      <c r="D3300" s="2" t="inlineStr">
        <is>
          <t>348340</t>
        </is>
      </c>
      <c r="E3300" s="3" t="inlineStr">
        <is>
          <t xml:space="preserve">주주총회집중일개최사유신고              </t>
        </is>
      </c>
      <c r="F3300" s="3" t="inlineStr">
        <is>
          <t>뉴로메카</t>
        </is>
      </c>
      <c r="G3300" s="2" t="inlineStr">
        <is>
          <t>20260312901127</t>
        </is>
      </c>
      <c r="H3300" s="8">
        <f>HYPERLINK("https://dart.fss.or.kr/dsaf001/main.do?rcpNo=20260312901127", "공시열람")</f>
        <v/>
      </c>
    </row>
    <row r="3301">
      <c r="A3301" s="2" t="inlineStr">
        <is>
          <t>2026-03-12</t>
        </is>
      </c>
      <c r="B3301" s="3" t="inlineStr">
        <is>
          <t>HLB펩</t>
        </is>
      </c>
      <c r="C3301" s="2" t="inlineStr">
        <is>
          <t>코스닥</t>
        </is>
      </c>
      <c r="D3301" s="2" t="inlineStr">
        <is>
          <t>196300</t>
        </is>
      </c>
      <c r="E3301" s="3" t="inlineStr">
        <is>
          <t xml:space="preserve">주주총회집중일개최사유신고              </t>
        </is>
      </c>
      <c r="F3301" s="3" t="inlineStr">
        <is>
          <t>HLB펩</t>
        </is>
      </c>
      <c r="G3301" s="2" t="inlineStr">
        <is>
          <t>20260312901181</t>
        </is>
      </c>
      <c r="H3301" s="8">
        <f>HYPERLINK("https://dart.fss.or.kr/dsaf001/main.do?rcpNo=20260312901181", "공시열람")</f>
        <v/>
      </c>
    </row>
    <row r="3302">
      <c r="A3302" s="2" t="inlineStr">
        <is>
          <t>2026-03-12</t>
        </is>
      </c>
      <c r="B3302" s="3" t="inlineStr">
        <is>
          <t>아티스트컴퍼니</t>
        </is>
      </c>
      <c r="C3302" s="2" t="inlineStr">
        <is>
          <t>코스닥</t>
        </is>
      </c>
      <c r="D3302" s="2" t="inlineStr">
        <is>
          <t>321820</t>
        </is>
      </c>
      <c r="E3302" s="3" t="inlineStr">
        <is>
          <t xml:space="preserve">주주총회집중일개최사유신고              </t>
        </is>
      </c>
      <c r="F3302" s="3" t="inlineStr">
        <is>
          <t>아티스트컴퍼니</t>
        </is>
      </c>
      <c r="G3302" s="2" t="inlineStr">
        <is>
          <t>20260312901267</t>
        </is>
      </c>
      <c r="H3302" s="8">
        <f>HYPERLINK("https://dart.fss.or.kr/dsaf001/main.do?rcpNo=20260312901267", "공시열람")</f>
        <v/>
      </c>
    </row>
    <row r="3303">
      <c r="A3303" s="2" t="inlineStr">
        <is>
          <t>2026-03-12</t>
        </is>
      </c>
      <c r="B3303" s="3" t="inlineStr">
        <is>
          <t>이엔셀</t>
        </is>
      </c>
      <c r="C3303" s="2" t="inlineStr">
        <is>
          <t>코스닥</t>
        </is>
      </c>
      <c r="D3303" s="2" t="inlineStr">
        <is>
          <t>456070</t>
        </is>
      </c>
      <c r="E3303" s="3" t="inlineStr">
        <is>
          <t xml:space="preserve">주주총회소집결의              </t>
        </is>
      </c>
      <c r="F3303" s="3" t="inlineStr">
        <is>
          <t>이엔셀</t>
        </is>
      </c>
      <c r="G3303" s="2" t="inlineStr">
        <is>
          <t>20260312901208</t>
        </is>
      </c>
      <c r="H3303" s="8">
        <f>HYPERLINK("https://dart.fss.or.kr/dsaf001/main.do?rcpNo=20260312901208", "공시열람")</f>
        <v/>
      </c>
    </row>
    <row r="3304">
      <c r="A3304" s="2" t="inlineStr">
        <is>
          <t>2026-03-12</t>
        </is>
      </c>
      <c r="B3304" s="3" t="inlineStr">
        <is>
          <t>로킷헬스케어</t>
        </is>
      </c>
      <c r="C3304" s="2" t="inlineStr">
        <is>
          <t>코스닥</t>
        </is>
      </c>
      <c r="D3304" s="2" t="inlineStr">
        <is>
          <t>376900</t>
        </is>
      </c>
      <c r="E3304" s="3" t="inlineStr">
        <is>
          <t>주주총회소집공고</t>
        </is>
      </c>
      <c r="F3304" s="3" t="inlineStr">
        <is>
          <t>로킷헬스케어</t>
        </is>
      </c>
      <c r="G3304" s="2" t="inlineStr">
        <is>
          <t>20260312000845</t>
        </is>
      </c>
      <c r="H3304" s="8">
        <f>HYPERLINK("https://dart.fss.or.kr/dsaf001/main.do?rcpNo=20260312000845", "공시열람")</f>
        <v/>
      </c>
    </row>
    <row r="3305">
      <c r="A3305" s="2" t="inlineStr">
        <is>
          <t>2026-03-12</t>
        </is>
      </c>
      <c r="B3305" s="3" t="inlineStr">
        <is>
          <t>도부</t>
        </is>
      </c>
      <c r="C3305" s="2" t="inlineStr">
        <is>
          <t>코넥스</t>
        </is>
      </c>
      <c r="D3305" s="2" t="inlineStr">
        <is>
          <t>227420</t>
        </is>
      </c>
      <c r="E3305" s="3" t="inlineStr">
        <is>
          <t>주주총회소집공고</t>
        </is>
      </c>
      <c r="F3305" s="3" t="inlineStr">
        <is>
          <t>도부</t>
        </is>
      </c>
      <c r="G3305" s="2" t="inlineStr">
        <is>
          <t>20260312000843</t>
        </is>
      </c>
      <c r="H3305" s="8">
        <f>HYPERLINK("https://dart.fss.or.kr/dsaf001/main.do?rcpNo=20260312000843", "공시열람")</f>
        <v/>
      </c>
    </row>
    <row r="3306">
      <c r="A3306" s="2" t="inlineStr">
        <is>
          <t>2026-03-12</t>
        </is>
      </c>
      <c r="B3306" s="3" t="inlineStr">
        <is>
          <t>한익스프레스</t>
        </is>
      </c>
      <c r="C3306" s="2" t="inlineStr">
        <is>
          <t>코스피</t>
        </is>
      </c>
      <c r="D3306" s="2" t="inlineStr">
        <is>
          <t>014130</t>
        </is>
      </c>
      <c r="E3306" s="3" t="inlineStr">
        <is>
          <t>주주총회소집공고</t>
        </is>
      </c>
      <c r="F3306" s="3" t="inlineStr">
        <is>
          <t>한익스프레스</t>
        </is>
      </c>
      <c r="G3306" s="2" t="inlineStr">
        <is>
          <t>20260312000842</t>
        </is>
      </c>
      <c r="H3306" s="8">
        <f>HYPERLINK("https://dart.fss.or.kr/dsaf001/main.do?rcpNo=20260312000842", "공시열람")</f>
        <v/>
      </c>
    </row>
    <row r="3307">
      <c r="A3307" s="2" t="inlineStr">
        <is>
          <t>2026-03-12 (정정: 2026-03-12)</t>
        </is>
      </c>
      <c r="B3307" s="3" t="inlineStr">
        <is>
          <t>한국내화</t>
        </is>
      </c>
      <c r="C3307" s="2" t="inlineStr">
        <is>
          <t>코스피</t>
        </is>
      </c>
      <c r="D3307" s="2" t="inlineStr">
        <is>
          <t>010040</t>
        </is>
      </c>
      <c r="E3307" s="3" t="inlineStr">
        <is>
          <t>주주총회소집공고 (정정: 20260312)</t>
        </is>
      </c>
      <c r="F3307" s="3" t="inlineStr">
        <is>
          <t>한국내화</t>
        </is>
      </c>
      <c r="G3307" s="2" t="inlineStr">
        <is>
          <t>20260312801136</t>
        </is>
      </c>
      <c r="H3307" s="8">
        <f>HYPERLINK("https://dart.fss.or.kr/dsaf001/main.do?rcpNo=20260312801136", "공시열람")</f>
        <v/>
      </c>
    </row>
    <row r="3308">
      <c r="A3308" s="2" t="inlineStr">
        <is>
          <t>2026-03-12</t>
        </is>
      </c>
      <c r="B3308" s="3" t="inlineStr">
        <is>
          <t>캐스텍코리아</t>
        </is>
      </c>
      <c r="C3308" s="2" t="inlineStr">
        <is>
          <t>코스닥</t>
        </is>
      </c>
      <c r="D3308" s="2" t="inlineStr">
        <is>
          <t>071850</t>
        </is>
      </c>
      <c r="E3308" s="3" t="inlineStr">
        <is>
          <t xml:space="preserve">주주총회집중일개최사유신고              </t>
        </is>
      </c>
      <c r="F3308" s="3" t="inlineStr">
        <is>
          <t>캐스텍코리아</t>
        </is>
      </c>
      <c r="G3308" s="2" t="inlineStr">
        <is>
          <t>20260312901200</t>
        </is>
      </c>
      <c r="H3308" s="8">
        <f>HYPERLINK("https://dart.fss.or.kr/dsaf001/main.do?rcpNo=20260312901200", "공시열람")</f>
        <v/>
      </c>
    </row>
    <row r="3309">
      <c r="A3309" s="2" t="inlineStr">
        <is>
          <t>2026-03-12</t>
        </is>
      </c>
      <c r="B3309" s="3" t="inlineStr">
        <is>
          <t>티케이지애강</t>
        </is>
      </c>
      <c r="C3309" s="2" t="inlineStr">
        <is>
          <t>코스닥</t>
        </is>
      </c>
      <c r="D3309" s="2" t="inlineStr">
        <is>
          <t>022220</t>
        </is>
      </c>
      <c r="E3309" s="3" t="inlineStr">
        <is>
          <t xml:space="preserve">주주총회소집결의              </t>
        </is>
      </c>
      <c r="F3309" s="3" t="inlineStr">
        <is>
          <t>티케이지애강</t>
        </is>
      </c>
      <c r="G3309" s="2" t="inlineStr">
        <is>
          <t>20260312901177</t>
        </is>
      </c>
      <c r="H3309" s="8">
        <f>HYPERLINK("https://dart.fss.or.kr/dsaf001/main.do?rcpNo=20260312901177", "공시열람")</f>
        <v/>
      </c>
    </row>
    <row r="3310">
      <c r="A3310" s="2" t="inlineStr">
        <is>
          <t>2026-03-12</t>
        </is>
      </c>
      <c r="B3310" s="3" t="inlineStr">
        <is>
          <t>엑세스바이오</t>
        </is>
      </c>
      <c r="C3310" s="2" t="inlineStr">
        <is>
          <t>코스닥</t>
        </is>
      </c>
      <c r="D3310" s="2" t="inlineStr">
        <is>
          <t>950130</t>
        </is>
      </c>
      <c r="E3310" s="3" t="inlineStr">
        <is>
          <t>주주총회소집공고</t>
        </is>
      </c>
      <c r="F3310" s="3" t="inlineStr">
        <is>
          <t>엑세스바이오</t>
        </is>
      </c>
      <c r="G3310" s="2" t="inlineStr">
        <is>
          <t>20260312000839</t>
        </is>
      </c>
      <c r="H3310" s="8">
        <f>HYPERLINK("https://dart.fss.or.kr/dsaf001/main.do?rcpNo=20260312000839", "공시열람")</f>
        <v/>
      </c>
    </row>
    <row r="3311">
      <c r="A3311" s="2" t="inlineStr">
        <is>
          <t>2026-03-12 (정정: 2026-06-15)</t>
        </is>
      </c>
      <c r="B3311" s="3" t="inlineStr">
        <is>
          <t>파인테크닉스</t>
        </is>
      </c>
      <c r="C3311" s="2" t="inlineStr">
        <is>
          <t>코스닥</t>
        </is>
      </c>
      <c r="D3311" s="2" t="inlineStr">
        <is>
          <t>106240</t>
        </is>
      </c>
      <c r="E3311" s="3" t="inlineStr">
        <is>
          <t>[기재정정]주주총회소집결의               (정정: 20260615)</t>
        </is>
      </c>
      <c r="F3311" s="3" t="inlineStr">
        <is>
          <t>파인테크닉스</t>
        </is>
      </c>
      <c r="G3311" s="2" t="inlineStr">
        <is>
          <t>20260615900793</t>
        </is>
      </c>
      <c r="H3311" s="8">
        <f>HYPERLINK("https://dart.fss.or.kr/dsaf001/main.do?rcpNo=20260615900793", "공시열람")</f>
        <v/>
      </c>
    </row>
    <row r="3312">
      <c r="A3312" s="2" t="inlineStr">
        <is>
          <t>2026-03-12</t>
        </is>
      </c>
      <c r="B3312" s="3" t="inlineStr">
        <is>
          <t>오리엔트정공</t>
        </is>
      </c>
      <c r="C3312" s="2" t="inlineStr">
        <is>
          <t>코스닥</t>
        </is>
      </c>
      <c r="D3312" s="2" t="inlineStr">
        <is>
          <t>065500</t>
        </is>
      </c>
      <c r="E3312" s="3" t="inlineStr">
        <is>
          <t xml:space="preserve">주주총회집중일개최사유신고              </t>
        </is>
      </c>
      <c r="F3312" s="3" t="inlineStr">
        <is>
          <t>오리엔트정공</t>
        </is>
      </c>
      <c r="G3312" s="2" t="inlineStr">
        <is>
          <t>20260312901254</t>
        </is>
      </c>
      <c r="H3312" s="8">
        <f>HYPERLINK("https://dart.fss.or.kr/dsaf001/main.do?rcpNo=20260312901254", "공시열람")</f>
        <v/>
      </c>
    </row>
    <row r="3313">
      <c r="A3313" s="2" t="inlineStr">
        <is>
          <t>2026-03-12</t>
        </is>
      </c>
      <c r="B3313" s="3" t="inlineStr">
        <is>
          <t>유라클</t>
        </is>
      </c>
      <c r="C3313" s="2" t="inlineStr">
        <is>
          <t>코스닥</t>
        </is>
      </c>
      <c r="D3313" s="2" t="inlineStr">
        <is>
          <t>088340</t>
        </is>
      </c>
      <c r="E3313" s="3" t="inlineStr">
        <is>
          <t xml:space="preserve">주주총회집중일개최사유신고              </t>
        </is>
      </c>
      <c r="F3313" s="3" t="inlineStr">
        <is>
          <t>유라클</t>
        </is>
      </c>
      <c r="G3313" s="2" t="inlineStr">
        <is>
          <t>20260312901032</t>
        </is>
      </c>
      <c r="H3313" s="8">
        <f>HYPERLINK("https://dart.fss.or.kr/dsaf001/main.do?rcpNo=20260312901032", "공시열람")</f>
        <v/>
      </c>
    </row>
    <row r="3314">
      <c r="A3314" s="2" t="inlineStr">
        <is>
          <t>2026-03-12</t>
        </is>
      </c>
      <c r="B3314" s="3" t="inlineStr">
        <is>
          <t>유라클</t>
        </is>
      </c>
      <c r="C3314" s="2" t="inlineStr">
        <is>
          <t>코스닥</t>
        </is>
      </c>
      <c r="D3314" s="2" t="inlineStr">
        <is>
          <t>088340</t>
        </is>
      </c>
      <c r="E3314" s="3" t="inlineStr">
        <is>
          <t xml:space="preserve">주주총회소집결의              </t>
        </is>
      </c>
      <c r="F3314" s="3" t="inlineStr">
        <is>
          <t>유라클</t>
        </is>
      </c>
      <c r="G3314" s="2" t="inlineStr">
        <is>
          <t>20260312901024</t>
        </is>
      </c>
      <c r="H3314" s="8">
        <f>HYPERLINK("https://dart.fss.or.kr/dsaf001/main.do?rcpNo=20260312901024", "공시열람")</f>
        <v/>
      </c>
    </row>
    <row r="3315">
      <c r="A3315" s="2" t="inlineStr">
        <is>
          <t>2026-03-12</t>
        </is>
      </c>
      <c r="B3315" s="3" t="inlineStr">
        <is>
          <t>씨엑스아이</t>
        </is>
      </c>
      <c r="C3315" s="2" t="inlineStr">
        <is>
          <t>코스닥</t>
        </is>
      </c>
      <c r="D3315" s="2" t="inlineStr">
        <is>
          <t>900120</t>
        </is>
      </c>
      <c r="E3315" s="3" t="inlineStr">
        <is>
          <t xml:space="preserve">최대주주변경              </t>
        </is>
      </c>
      <c r="F3315" s="3" t="inlineStr">
        <is>
          <t>씨엑스아이</t>
        </is>
      </c>
      <c r="G3315" s="2" t="inlineStr">
        <is>
          <t>20260312901226</t>
        </is>
      </c>
      <c r="H3315" s="8">
        <f>HYPERLINK("https://dart.fss.or.kr/dsaf001/main.do?rcpNo=20260312901226", "공시열람")</f>
        <v/>
      </c>
    </row>
    <row r="3316">
      <c r="A3316" s="2" t="inlineStr">
        <is>
          <t>2026-03-12</t>
        </is>
      </c>
      <c r="B3316" s="3" t="inlineStr">
        <is>
          <t>블리츠웨이엔터테인먼트</t>
        </is>
      </c>
      <c r="C3316" s="2" t="inlineStr">
        <is>
          <t>코스닥</t>
        </is>
      </c>
      <c r="D3316" s="2" t="inlineStr">
        <is>
          <t>369370</t>
        </is>
      </c>
      <c r="E3316" s="3" t="inlineStr">
        <is>
          <t xml:space="preserve">주주총회소집결의              </t>
        </is>
      </c>
      <c r="F3316" s="3" t="inlineStr">
        <is>
          <t>블리츠웨이엔터테인먼트</t>
        </is>
      </c>
      <c r="G3316" s="2" t="inlineStr">
        <is>
          <t>20260312901020</t>
        </is>
      </c>
      <c r="H3316" s="8">
        <f>HYPERLINK("https://dart.fss.or.kr/dsaf001/main.do?rcpNo=20260312901020", "공시열람")</f>
        <v/>
      </c>
    </row>
    <row r="3317">
      <c r="A3317" s="2" t="inlineStr">
        <is>
          <t>2026-03-12</t>
        </is>
      </c>
      <c r="B3317" s="3" t="inlineStr">
        <is>
          <t>브이티</t>
        </is>
      </c>
      <c r="C3317" s="2" t="inlineStr">
        <is>
          <t>코스닥</t>
        </is>
      </c>
      <c r="D3317" s="2" t="inlineStr">
        <is>
          <t>018290</t>
        </is>
      </c>
      <c r="E3317" s="3" t="inlineStr">
        <is>
          <t xml:space="preserve">주주총회집중일개최사유신고              </t>
        </is>
      </c>
      <c r="F3317" s="3" t="inlineStr">
        <is>
          <t>브이티</t>
        </is>
      </c>
      <c r="G3317" s="2" t="inlineStr">
        <is>
          <t>20260312901210</t>
        </is>
      </c>
      <c r="H3317" s="8">
        <f>HYPERLINK("https://dart.fss.or.kr/dsaf001/main.do?rcpNo=20260312901210", "공시열람")</f>
        <v/>
      </c>
    </row>
    <row r="3318">
      <c r="A3318" s="2" t="inlineStr">
        <is>
          <t>2026-03-12</t>
        </is>
      </c>
      <c r="B3318" s="3" t="inlineStr">
        <is>
          <t>오상자이엘</t>
        </is>
      </c>
      <c r="C3318" s="2" t="inlineStr">
        <is>
          <t>코스닥</t>
        </is>
      </c>
      <c r="D3318" s="2" t="inlineStr">
        <is>
          <t>053980</t>
        </is>
      </c>
      <c r="E3318" s="3" t="inlineStr">
        <is>
          <t>주주총회소집공고</t>
        </is>
      </c>
      <c r="F3318" s="3" t="inlineStr">
        <is>
          <t>오상자이엘</t>
        </is>
      </c>
      <c r="G3318" s="2" t="inlineStr">
        <is>
          <t>20260312000828</t>
        </is>
      </c>
      <c r="H3318" s="8">
        <f>HYPERLINK("https://dart.fss.or.kr/dsaf001/main.do?rcpNo=20260312000828", "공시열람")</f>
        <v/>
      </c>
    </row>
    <row r="3319">
      <c r="A3319" s="2" t="inlineStr">
        <is>
          <t>2026-03-12</t>
        </is>
      </c>
      <c r="B3319" s="3" t="inlineStr">
        <is>
          <t>HLB펩</t>
        </is>
      </c>
      <c r="C3319" s="2" t="inlineStr">
        <is>
          <t>코스닥</t>
        </is>
      </c>
      <c r="D3319" s="2" t="inlineStr">
        <is>
          <t>196300</t>
        </is>
      </c>
      <c r="E3319" s="3" t="inlineStr">
        <is>
          <t>주주총회소집공고</t>
        </is>
      </c>
      <c r="F3319" s="3" t="inlineStr">
        <is>
          <t>HLB펩</t>
        </is>
      </c>
      <c r="G3319" s="2" t="inlineStr">
        <is>
          <t>20260312000827</t>
        </is>
      </c>
      <c r="H3319" s="8">
        <f>HYPERLINK("https://dart.fss.or.kr/dsaf001/main.do?rcpNo=20260312000827", "공시열람")</f>
        <v/>
      </c>
    </row>
    <row r="3320">
      <c r="A3320" s="2" t="inlineStr">
        <is>
          <t>2026-03-12</t>
        </is>
      </c>
      <c r="B3320" s="3" t="inlineStr">
        <is>
          <t>모티브링크</t>
        </is>
      </c>
      <c r="C3320" s="2" t="inlineStr">
        <is>
          <t>코스닥</t>
        </is>
      </c>
      <c r="D3320" s="2" t="inlineStr">
        <is>
          <t>463480</t>
        </is>
      </c>
      <c r="E3320" s="3" t="inlineStr">
        <is>
          <t>주주총회소집공고</t>
        </is>
      </c>
      <c r="F3320" s="3" t="inlineStr">
        <is>
          <t>모티브링크</t>
        </is>
      </c>
      <c r="G3320" s="2" t="inlineStr">
        <is>
          <t>20260312000822</t>
        </is>
      </c>
      <c r="H3320" s="8">
        <f>HYPERLINK("https://dart.fss.or.kr/dsaf001/main.do?rcpNo=20260312000822", "공시열람")</f>
        <v/>
      </c>
    </row>
    <row r="3321">
      <c r="A3321" s="2" t="inlineStr">
        <is>
          <t>2026-03-12</t>
        </is>
      </c>
      <c r="B3321" s="3" t="inlineStr">
        <is>
          <t>인포바인</t>
        </is>
      </c>
      <c r="C3321" s="2" t="inlineStr">
        <is>
          <t>코스닥</t>
        </is>
      </c>
      <c r="D3321" s="2" t="inlineStr">
        <is>
          <t>115310</t>
        </is>
      </c>
      <c r="E3321" s="3" t="inlineStr">
        <is>
          <t>주주총회소집공고</t>
        </is>
      </c>
      <c r="F3321" s="3" t="inlineStr">
        <is>
          <t>인포바인</t>
        </is>
      </c>
      <c r="G3321" s="2" t="inlineStr">
        <is>
          <t>20260312000820</t>
        </is>
      </c>
      <c r="H3321" s="8">
        <f>HYPERLINK("https://dart.fss.or.kr/dsaf001/main.do?rcpNo=20260312000820", "공시열람")</f>
        <v/>
      </c>
    </row>
    <row r="3322">
      <c r="A3322" s="2" t="inlineStr">
        <is>
          <t>2026-03-12</t>
        </is>
      </c>
      <c r="B3322" s="3" t="inlineStr">
        <is>
          <t>오브젠</t>
        </is>
      </c>
      <c r="C3322" s="2" t="inlineStr">
        <is>
          <t>코스닥</t>
        </is>
      </c>
      <c r="D3322" s="2" t="inlineStr">
        <is>
          <t>417860</t>
        </is>
      </c>
      <c r="E3322" s="3" t="inlineStr">
        <is>
          <t xml:space="preserve">주주총회소집결의              </t>
        </is>
      </c>
      <c r="F3322" s="3" t="inlineStr">
        <is>
          <t>오브젠</t>
        </is>
      </c>
      <c r="G3322" s="2" t="inlineStr">
        <is>
          <t>20260312901119</t>
        </is>
      </c>
      <c r="H3322" s="8">
        <f>HYPERLINK("https://dart.fss.or.kr/dsaf001/main.do?rcpNo=20260312901119", "공시열람")</f>
        <v/>
      </c>
    </row>
    <row r="3323">
      <c r="A3323" s="2" t="inlineStr">
        <is>
          <t>2026-03-12</t>
        </is>
      </c>
      <c r="B3323" s="3" t="inlineStr">
        <is>
          <t>시그네틱스</t>
        </is>
      </c>
      <c r="C3323" s="2" t="inlineStr">
        <is>
          <t>코스닥</t>
        </is>
      </c>
      <c r="D3323" s="2" t="inlineStr">
        <is>
          <t>033170</t>
        </is>
      </c>
      <c r="E3323" s="3" t="inlineStr">
        <is>
          <t xml:space="preserve">주주총회소집결의              </t>
        </is>
      </c>
      <c r="F3323" s="3" t="inlineStr">
        <is>
          <t>시그네틱스</t>
        </is>
      </c>
      <c r="G3323" s="2" t="inlineStr">
        <is>
          <t>20260312900989</t>
        </is>
      </c>
      <c r="H3323" s="8">
        <f>HYPERLINK("https://dart.fss.or.kr/dsaf001/main.do?rcpNo=20260312900989", "공시열람")</f>
        <v/>
      </c>
    </row>
    <row r="3324">
      <c r="A3324" s="2" t="inlineStr">
        <is>
          <t>2026-03-12</t>
        </is>
      </c>
      <c r="B3324" s="3" t="inlineStr">
        <is>
          <t>인포바인</t>
        </is>
      </c>
      <c r="C3324" s="2" t="inlineStr">
        <is>
          <t>코스닥</t>
        </is>
      </c>
      <c r="D3324" s="2" t="inlineStr">
        <is>
          <t>115310</t>
        </is>
      </c>
      <c r="E3324" s="3" t="inlineStr">
        <is>
          <t xml:space="preserve">주주총회소집결의              </t>
        </is>
      </c>
      <c r="F3324" s="3" t="inlineStr">
        <is>
          <t>인포바인</t>
        </is>
      </c>
      <c r="G3324" s="2" t="inlineStr">
        <is>
          <t>20260312901074</t>
        </is>
      </c>
      <c r="H3324" s="8">
        <f>HYPERLINK("https://dart.fss.or.kr/dsaf001/main.do?rcpNo=20260312901074", "공시열람")</f>
        <v/>
      </c>
    </row>
    <row r="3325">
      <c r="A3325" s="2" t="inlineStr">
        <is>
          <t>2026-03-12</t>
        </is>
      </c>
      <c r="B3325" s="3" t="inlineStr">
        <is>
          <t>오상자이엘</t>
        </is>
      </c>
      <c r="C3325" s="2" t="inlineStr">
        <is>
          <t>코스닥</t>
        </is>
      </c>
      <c r="D3325" s="2" t="inlineStr">
        <is>
          <t>053980</t>
        </is>
      </c>
      <c r="E3325" s="3" t="inlineStr">
        <is>
          <t xml:space="preserve">주주총회집중일개최사유신고              </t>
        </is>
      </c>
      <c r="F3325" s="3" t="inlineStr">
        <is>
          <t>오상자이엘</t>
        </is>
      </c>
      <c r="G3325" s="2" t="inlineStr">
        <is>
          <t>20260312901061</t>
        </is>
      </c>
      <c r="H3325" s="8">
        <f>HYPERLINK("https://dart.fss.or.kr/dsaf001/main.do?rcpNo=20260312901061", "공시열람")</f>
        <v/>
      </c>
    </row>
    <row r="3326">
      <c r="A3326" s="2" t="inlineStr">
        <is>
          <t>2026-03-12</t>
        </is>
      </c>
      <c r="B3326" s="3" t="inlineStr">
        <is>
          <t>디티앤씨알오</t>
        </is>
      </c>
      <c r="C3326" s="2" t="inlineStr">
        <is>
          <t>코스닥</t>
        </is>
      </c>
      <c r="D3326" s="2" t="inlineStr">
        <is>
          <t>383930</t>
        </is>
      </c>
      <c r="E3326" s="3" t="inlineStr">
        <is>
          <t>주주총회소집공고</t>
        </is>
      </c>
      <c r="F3326" s="3" t="inlineStr">
        <is>
          <t>디티앤씨알오</t>
        </is>
      </c>
      <c r="G3326" s="2" t="inlineStr">
        <is>
          <t>20260312000815</t>
        </is>
      </c>
      <c r="H3326" s="8">
        <f>HYPERLINK("https://dart.fss.or.kr/dsaf001/main.do?rcpNo=20260312000815", "공시열람")</f>
        <v/>
      </c>
    </row>
    <row r="3327">
      <c r="A3327" s="2" t="inlineStr">
        <is>
          <t>2026-03-12</t>
        </is>
      </c>
      <c r="B3327" s="3" t="inlineStr">
        <is>
          <t>SBS</t>
        </is>
      </c>
      <c r="C3327" s="2" t="inlineStr">
        <is>
          <t>코스피</t>
        </is>
      </c>
      <c r="D3327" s="2" t="inlineStr">
        <is>
          <t>034120</t>
        </is>
      </c>
      <c r="E3327" s="3" t="inlineStr">
        <is>
          <t>주주총회소집공고</t>
        </is>
      </c>
      <c r="F3327" s="3" t="inlineStr">
        <is>
          <t>SBS</t>
        </is>
      </c>
      <c r="G3327" s="2" t="inlineStr">
        <is>
          <t>20260312000813</t>
        </is>
      </c>
      <c r="H3327" s="8">
        <f>HYPERLINK("https://dart.fss.or.kr/dsaf001/main.do?rcpNo=20260312000813", "공시열람")</f>
        <v/>
      </c>
    </row>
    <row r="3328">
      <c r="A3328" s="2" t="inlineStr">
        <is>
          <t>2026-03-12</t>
        </is>
      </c>
      <c r="B3328" s="3" t="inlineStr">
        <is>
          <t>텔코웨어</t>
        </is>
      </c>
      <c r="C3328" s="2" t="inlineStr">
        <is>
          <t>코스피</t>
        </is>
      </c>
      <c r="D3328" s="2" t="inlineStr">
        <is>
          <t>078000</t>
        </is>
      </c>
      <c r="E3328" s="3" t="inlineStr">
        <is>
          <t xml:space="preserve">주주총회집중일개최사유신고              </t>
        </is>
      </c>
      <c r="F3328" s="3" t="inlineStr">
        <is>
          <t>텔코웨어</t>
        </is>
      </c>
      <c r="G3328" s="2" t="inlineStr">
        <is>
          <t>20260312801165</t>
        </is>
      </c>
      <c r="H3328" s="8">
        <f>HYPERLINK("https://dart.fss.or.kr/dsaf001/main.do?rcpNo=20260312801165", "공시열람")</f>
        <v/>
      </c>
    </row>
    <row r="3329">
      <c r="A3329" s="2" t="inlineStr">
        <is>
          <t>2026-03-12</t>
        </is>
      </c>
      <c r="B3329" s="3" t="inlineStr">
        <is>
          <t>뷰티스킨</t>
        </is>
      </c>
      <c r="C3329" s="2" t="inlineStr">
        <is>
          <t>코스닥</t>
        </is>
      </c>
      <c r="D3329" s="2" t="inlineStr">
        <is>
          <t>406820</t>
        </is>
      </c>
      <c r="E3329" s="3" t="inlineStr">
        <is>
          <t xml:space="preserve">주주총회집중일개최사유신고              </t>
        </is>
      </c>
      <c r="F3329" s="3" t="inlineStr">
        <is>
          <t>뷰티스킨</t>
        </is>
      </c>
      <c r="G3329" s="2" t="inlineStr">
        <is>
          <t>20260312901092</t>
        </is>
      </c>
      <c r="H3329" s="8">
        <f>HYPERLINK("https://dart.fss.or.kr/dsaf001/main.do?rcpNo=20260312901092", "공시열람")</f>
        <v/>
      </c>
    </row>
    <row r="3330">
      <c r="A3330" s="2" t="inlineStr">
        <is>
          <t>2026-03-12</t>
        </is>
      </c>
      <c r="B3330" s="3" t="inlineStr">
        <is>
          <t>뷰티스킨</t>
        </is>
      </c>
      <c r="C3330" s="2" t="inlineStr">
        <is>
          <t>코스닥</t>
        </is>
      </c>
      <c r="D3330" s="2" t="inlineStr">
        <is>
          <t>406820</t>
        </is>
      </c>
      <c r="E3330" s="3" t="inlineStr">
        <is>
          <t xml:space="preserve">주주총회소집결의              </t>
        </is>
      </c>
      <c r="F3330" s="3" t="inlineStr">
        <is>
          <t>뷰티스킨</t>
        </is>
      </c>
      <c r="G3330" s="2" t="inlineStr">
        <is>
          <t>20260312901075</t>
        </is>
      </c>
      <c r="H3330" s="8">
        <f>HYPERLINK("https://dart.fss.or.kr/dsaf001/main.do?rcpNo=20260312901075", "공시열람")</f>
        <v/>
      </c>
    </row>
    <row r="3331">
      <c r="A3331" s="2" t="inlineStr">
        <is>
          <t>2026-03-12</t>
        </is>
      </c>
      <c r="B3331" s="3" t="inlineStr">
        <is>
          <t>DSC인베스트먼트</t>
        </is>
      </c>
      <c r="C3331" s="2" t="inlineStr">
        <is>
          <t>코스닥</t>
        </is>
      </c>
      <c r="D3331" s="2" t="inlineStr">
        <is>
          <t>241520</t>
        </is>
      </c>
      <c r="E3331" s="3" t="inlineStr">
        <is>
          <t>주주총회소집공고</t>
        </is>
      </c>
      <c r="F3331" s="3" t="inlineStr">
        <is>
          <t>DSC인베스트먼트</t>
        </is>
      </c>
      <c r="G3331" s="2" t="inlineStr">
        <is>
          <t>20260312000809</t>
        </is>
      </c>
      <c r="H3331" s="8">
        <f>HYPERLINK("https://dart.fss.or.kr/dsaf001/main.do?rcpNo=20260312000809", "공시열람")</f>
        <v/>
      </c>
    </row>
    <row r="3332">
      <c r="A3332" s="2" t="inlineStr">
        <is>
          <t>2026-03-12</t>
        </is>
      </c>
      <c r="B3332" s="3" t="inlineStr">
        <is>
          <t>대영포장</t>
        </is>
      </c>
      <c r="C3332" s="2" t="inlineStr">
        <is>
          <t>코스피</t>
        </is>
      </c>
      <c r="D3332" s="2" t="inlineStr">
        <is>
          <t>014160</t>
        </is>
      </c>
      <c r="E3332" s="3" t="inlineStr">
        <is>
          <t xml:space="preserve">주주총회집중일개최사유신고              </t>
        </is>
      </c>
      <c r="F3332" s="3" t="inlineStr">
        <is>
          <t>대영포장</t>
        </is>
      </c>
      <c r="G3332" s="2" t="inlineStr">
        <is>
          <t>20260312801189</t>
        </is>
      </c>
      <c r="H3332" s="8">
        <f>HYPERLINK("https://dart.fss.or.kr/dsaf001/main.do?rcpNo=20260312801189", "공시열람")</f>
        <v/>
      </c>
    </row>
    <row r="3333">
      <c r="A3333" s="2" t="inlineStr">
        <is>
          <t>2026-03-12</t>
        </is>
      </c>
      <c r="B3333" s="3" t="inlineStr">
        <is>
          <t>대양금속</t>
        </is>
      </c>
      <c r="C3333" s="2" t="inlineStr">
        <is>
          <t>코스피</t>
        </is>
      </c>
      <c r="D3333" s="2" t="inlineStr">
        <is>
          <t>009190</t>
        </is>
      </c>
      <c r="E3333" s="3" t="inlineStr">
        <is>
          <t xml:space="preserve">주주총회집중일개최사유신고              </t>
        </is>
      </c>
      <c r="F3333" s="3" t="inlineStr">
        <is>
          <t>대양금속</t>
        </is>
      </c>
      <c r="G3333" s="2" t="inlineStr">
        <is>
          <t>20260312801213</t>
        </is>
      </c>
      <c r="H3333" s="8">
        <f>HYPERLINK("https://dart.fss.or.kr/dsaf001/main.do?rcpNo=20260312801213", "공시열람")</f>
        <v/>
      </c>
    </row>
    <row r="3334">
      <c r="A3334" s="2" t="inlineStr">
        <is>
          <t>2026-03-12</t>
        </is>
      </c>
      <c r="B3334" s="3" t="inlineStr">
        <is>
          <t>아티스트컴퍼니</t>
        </is>
      </c>
      <c r="C3334" s="2" t="inlineStr">
        <is>
          <t>코스닥</t>
        </is>
      </c>
      <c r="D3334" s="2" t="inlineStr">
        <is>
          <t>321820</t>
        </is>
      </c>
      <c r="E3334" s="3" t="inlineStr">
        <is>
          <t xml:space="preserve">주주총회소집결의              </t>
        </is>
      </c>
      <c r="F3334" s="3" t="inlineStr">
        <is>
          <t>아티스트컴퍼니</t>
        </is>
      </c>
      <c r="G3334" s="2" t="inlineStr">
        <is>
          <t>20260312901056</t>
        </is>
      </c>
      <c r="H3334" s="8">
        <f>HYPERLINK("https://dart.fss.or.kr/dsaf001/main.do?rcpNo=20260312901056", "공시열람")</f>
        <v/>
      </c>
    </row>
    <row r="3335">
      <c r="A3335" s="2" t="inlineStr">
        <is>
          <t>2026-03-12</t>
        </is>
      </c>
      <c r="B3335" s="3" t="inlineStr">
        <is>
          <t>대양금속</t>
        </is>
      </c>
      <c r="C3335" s="2" t="inlineStr">
        <is>
          <t>코스피</t>
        </is>
      </c>
      <c r="D3335" s="2" t="inlineStr">
        <is>
          <t>009190</t>
        </is>
      </c>
      <c r="E3335" s="3" t="inlineStr">
        <is>
          <t>주주총회소집공고</t>
        </is>
      </c>
      <c r="F3335" s="3" t="inlineStr">
        <is>
          <t>대양금속</t>
        </is>
      </c>
      <c r="G3335" s="2" t="inlineStr">
        <is>
          <t>20260312000806</t>
        </is>
      </c>
      <c r="H3335" s="8">
        <f>HYPERLINK("https://dart.fss.or.kr/dsaf001/main.do?rcpNo=20260312000806", "공시열람")</f>
        <v/>
      </c>
    </row>
    <row r="3336">
      <c r="A3336" s="2" t="inlineStr">
        <is>
          <t>2026-03-12 (정정: 2026-03-12)</t>
        </is>
      </c>
      <c r="B3336" s="3" t="inlineStr">
        <is>
          <t>브이티</t>
        </is>
      </c>
      <c r="C3336" s="2" t="inlineStr">
        <is>
          <t>코스닥</t>
        </is>
      </c>
      <c r="D3336" s="2" t="inlineStr">
        <is>
          <t>018290</t>
        </is>
      </c>
      <c r="E3336" s="3" t="inlineStr">
        <is>
          <t>주주총회소집결의               (정정: 20260312)</t>
        </is>
      </c>
      <c r="F3336" s="3" t="inlineStr">
        <is>
          <t>브이티</t>
        </is>
      </c>
      <c r="G3336" s="2" t="inlineStr">
        <is>
          <t>20260312901133</t>
        </is>
      </c>
      <c r="H3336" s="8">
        <f>HYPERLINK("https://dart.fss.or.kr/dsaf001/main.do?rcpNo=20260312901133", "공시열람")</f>
        <v/>
      </c>
    </row>
    <row r="3337">
      <c r="A3337" s="2" t="inlineStr">
        <is>
          <t>2026-03-12</t>
        </is>
      </c>
      <c r="B3337" s="3" t="inlineStr">
        <is>
          <t>오리엔트정공</t>
        </is>
      </c>
      <c r="C3337" s="2" t="inlineStr">
        <is>
          <t>코스닥</t>
        </is>
      </c>
      <c r="D3337" s="2" t="inlineStr">
        <is>
          <t>065500</t>
        </is>
      </c>
      <c r="E3337" s="3" t="inlineStr">
        <is>
          <t xml:space="preserve">주주총회소집결의              </t>
        </is>
      </c>
      <c r="F3337" s="3" t="inlineStr">
        <is>
          <t>오리엔트정공</t>
        </is>
      </c>
      <c r="G3337" s="2" t="inlineStr">
        <is>
          <t>20260312901134</t>
        </is>
      </c>
      <c r="H3337" s="8">
        <f>HYPERLINK("https://dart.fss.or.kr/dsaf001/main.do?rcpNo=20260312901134", "공시열람")</f>
        <v/>
      </c>
    </row>
    <row r="3338">
      <c r="A3338" s="2" t="inlineStr">
        <is>
          <t>2026-03-12</t>
        </is>
      </c>
      <c r="B3338" s="3" t="inlineStr">
        <is>
          <t>바이오솔루션</t>
        </is>
      </c>
      <c r="C3338" s="2" t="inlineStr">
        <is>
          <t>코스닥</t>
        </is>
      </c>
      <c r="D3338" s="2" t="inlineStr">
        <is>
          <t>086820</t>
        </is>
      </c>
      <c r="E3338" s="3" t="inlineStr">
        <is>
          <t xml:space="preserve">주주총회소집결의              </t>
        </is>
      </c>
      <c r="F3338" s="3" t="inlineStr">
        <is>
          <t>바이오솔루션</t>
        </is>
      </c>
      <c r="G3338" s="2" t="inlineStr">
        <is>
          <t>20260312901108</t>
        </is>
      </c>
      <c r="H3338" s="8">
        <f>HYPERLINK("https://dart.fss.or.kr/dsaf001/main.do?rcpNo=20260312901108", "공시열람")</f>
        <v/>
      </c>
    </row>
    <row r="3339">
      <c r="A3339" s="2" t="inlineStr">
        <is>
          <t>2026-03-12</t>
        </is>
      </c>
      <c r="B3339" s="3" t="inlineStr">
        <is>
          <t>에스아이리소스</t>
        </is>
      </c>
      <c r="C3339" s="2" t="inlineStr">
        <is>
          <t>코스닥</t>
        </is>
      </c>
      <c r="D3339" s="2" t="inlineStr">
        <is>
          <t>065420</t>
        </is>
      </c>
      <c r="E3339" s="3" t="inlineStr">
        <is>
          <t xml:space="preserve">주주총회집중일개최사유신고              </t>
        </is>
      </c>
      <c r="F3339" s="3" t="inlineStr">
        <is>
          <t>에스아이리소스</t>
        </is>
      </c>
      <c r="G3339" s="2" t="inlineStr">
        <is>
          <t>20260312900922</t>
        </is>
      </c>
      <c r="H3339" s="8">
        <f>HYPERLINK("https://dart.fss.or.kr/dsaf001/main.do?rcpNo=20260312900922", "공시열람")</f>
        <v/>
      </c>
    </row>
    <row r="3340">
      <c r="A3340" s="2" t="inlineStr">
        <is>
          <t>2026-03-12</t>
        </is>
      </c>
      <c r="B3340" s="3" t="inlineStr">
        <is>
          <t>플루토스</t>
        </is>
      </c>
      <c r="C3340" s="2" t="inlineStr">
        <is>
          <t>코스닥</t>
        </is>
      </c>
      <c r="D3340" s="2" t="inlineStr">
        <is>
          <t>019570</t>
        </is>
      </c>
      <c r="E3340" s="3" t="inlineStr">
        <is>
          <t>주주총회소집공고</t>
        </is>
      </c>
      <c r="F3340" s="3" t="inlineStr">
        <is>
          <t>플루토스</t>
        </is>
      </c>
      <c r="G3340" s="2" t="inlineStr">
        <is>
          <t>20260312000799</t>
        </is>
      </c>
      <c r="H3340" s="8">
        <f>HYPERLINK("https://dart.fss.or.kr/dsaf001/main.do?rcpNo=20260312000799", "공시열람")</f>
        <v/>
      </c>
    </row>
    <row r="3341">
      <c r="A3341" s="2" t="inlineStr">
        <is>
          <t>2026-03-12</t>
        </is>
      </c>
      <c r="B3341" s="3" t="inlineStr">
        <is>
          <t>에스아이리소스</t>
        </is>
      </c>
      <c r="C3341" s="2" t="inlineStr">
        <is>
          <t>코스닥</t>
        </is>
      </c>
      <c r="D3341" s="2" t="inlineStr">
        <is>
          <t>065420</t>
        </is>
      </c>
      <c r="E3341" s="3" t="inlineStr">
        <is>
          <t xml:space="preserve">주주총회소집결의              </t>
        </is>
      </c>
      <c r="F3341" s="3" t="inlineStr">
        <is>
          <t>에스아이리소스</t>
        </is>
      </c>
      <c r="G3341" s="2" t="inlineStr">
        <is>
          <t>20260312900912</t>
        </is>
      </c>
      <c r="H3341" s="8">
        <f>HYPERLINK("https://dart.fss.or.kr/dsaf001/main.do?rcpNo=20260312900912", "공시열람")</f>
        <v/>
      </c>
    </row>
    <row r="3342">
      <c r="A3342" s="2" t="inlineStr">
        <is>
          <t>2026-03-12</t>
        </is>
      </c>
      <c r="B3342" s="3" t="inlineStr">
        <is>
          <t>레이</t>
        </is>
      </c>
      <c r="C3342" s="2" t="inlineStr">
        <is>
          <t>코스닥</t>
        </is>
      </c>
      <c r="D3342" s="2" t="inlineStr">
        <is>
          <t>228670</t>
        </is>
      </c>
      <c r="E3342" s="3" t="inlineStr">
        <is>
          <t xml:space="preserve">주주총회집중일개최사유신고              </t>
        </is>
      </c>
      <c r="F3342" s="3" t="inlineStr">
        <is>
          <t>레이</t>
        </is>
      </c>
      <c r="G3342" s="2" t="inlineStr">
        <is>
          <t>20260312901015</t>
        </is>
      </c>
      <c r="H3342" s="8">
        <f>HYPERLINK("https://dart.fss.or.kr/dsaf001/main.do?rcpNo=20260312901015", "공시열람")</f>
        <v/>
      </c>
    </row>
    <row r="3343">
      <c r="A3343" s="2" t="inlineStr">
        <is>
          <t>2026-03-12</t>
        </is>
      </c>
      <c r="B3343" s="3" t="inlineStr">
        <is>
          <t>티와이홀딩스</t>
        </is>
      </c>
      <c r="C3343" s="2" t="inlineStr">
        <is>
          <t>코스피</t>
        </is>
      </c>
      <c r="D3343" s="2" t="inlineStr">
        <is>
          <t>363280</t>
        </is>
      </c>
      <c r="E3343" s="3" t="inlineStr">
        <is>
          <t xml:space="preserve">주주총회집중일개최사유신고              </t>
        </is>
      </c>
      <c r="F3343" s="3" t="inlineStr">
        <is>
          <t>티와이홀딩스</t>
        </is>
      </c>
      <c r="G3343" s="2" t="inlineStr">
        <is>
          <t>20260312801194</t>
        </is>
      </c>
      <c r="H3343" s="8">
        <f>HYPERLINK("https://dart.fss.or.kr/dsaf001/main.do?rcpNo=20260312801194", "공시열람")</f>
        <v/>
      </c>
    </row>
    <row r="3344">
      <c r="A3344" s="2" t="inlineStr">
        <is>
          <t>2026-03-12</t>
        </is>
      </c>
      <c r="B3344" s="3" t="inlineStr">
        <is>
          <t>레이</t>
        </is>
      </c>
      <c r="C3344" s="2" t="inlineStr">
        <is>
          <t>코스닥</t>
        </is>
      </c>
      <c r="D3344" s="2" t="inlineStr">
        <is>
          <t>228670</t>
        </is>
      </c>
      <c r="E3344" s="3" t="inlineStr">
        <is>
          <t xml:space="preserve">주주총회소집결의              </t>
        </is>
      </c>
      <c r="F3344" s="3" t="inlineStr">
        <is>
          <t>레이</t>
        </is>
      </c>
      <c r="G3344" s="2" t="inlineStr">
        <is>
          <t>20260312900987</t>
        </is>
      </c>
      <c r="H3344" s="8">
        <f>HYPERLINK("https://dart.fss.or.kr/dsaf001/main.do?rcpNo=20260312900987", "공시열람")</f>
        <v/>
      </c>
    </row>
    <row r="3345">
      <c r="A3345" s="2" t="inlineStr">
        <is>
          <t>2026-03-12</t>
        </is>
      </c>
      <c r="B3345" s="3" t="inlineStr">
        <is>
          <t>시너지이노베이션</t>
        </is>
      </c>
      <c r="C3345" s="2" t="inlineStr">
        <is>
          <t>코스닥</t>
        </is>
      </c>
      <c r="D3345" s="2" t="inlineStr">
        <is>
          <t>048870</t>
        </is>
      </c>
      <c r="E3345" s="3" t="inlineStr">
        <is>
          <t xml:space="preserve">주주총회소집결의              </t>
        </is>
      </c>
      <c r="F3345" s="3" t="inlineStr">
        <is>
          <t>시너지이노베이션</t>
        </is>
      </c>
      <c r="G3345" s="2" t="inlineStr">
        <is>
          <t>20260312901110</t>
        </is>
      </c>
      <c r="H3345" s="8">
        <f>HYPERLINK("https://dart.fss.or.kr/dsaf001/main.do?rcpNo=20260312901110", "공시열람")</f>
        <v/>
      </c>
    </row>
    <row r="3346">
      <c r="A3346" s="2" t="inlineStr">
        <is>
          <t>2026-03-12</t>
        </is>
      </c>
      <c r="B3346" s="3" t="inlineStr">
        <is>
          <t>플루토스</t>
        </is>
      </c>
      <c r="C3346" s="2" t="inlineStr">
        <is>
          <t>코스닥</t>
        </is>
      </c>
      <c r="D3346" s="2" t="inlineStr">
        <is>
          <t>019570</t>
        </is>
      </c>
      <c r="E3346" s="3" t="inlineStr">
        <is>
          <t xml:space="preserve">주주총회소집결의              </t>
        </is>
      </c>
      <c r="F3346" s="3" t="inlineStr">
        <is>
          <t>플루토스</t>
        </is>
      </c>
      <c r="G3346" s="2" t="inlineStr">
        <is>
          <t>20260312900853</t>
        </is>
      </c>
      <c r="H3346" s="8">
        <f>HYPERLINK("https://dart.fss.or.kr/dsaf001/main.do?rcpNo=20260312900853", "공시열람")</f>
        <v/>
      </c>
    </row>
    <row r="3347">
      <c r="A3347" s="2" t="inlineStr">
        <is>
          <t>2026-03-12</t>
        </is>
      </c>
      <c r="B3347" s="3" t="inlineStr">
        <is>
          <t>메가엠디</t>
        </is>
      </c>
      <c r="C3347" s="2" t="inlineStr">
        <is>
          <t>코스닥</t>
        </is>
      </c>
      <c r="D3347" s="2" t="inlineStr">
        <is>
          <t>133750</t>
        </is>
      </c>
      <c r="E3347" s="3" t="inlineStr">
        <is>
          <t xml:space="preserve">주주총회소집결의              </t>
        </is>
      </c>
      <c r="F3347" s="3" t="inlineStr">
        <is>
          <t>메가엠디</t>
        </is>
      </c>
      <c r="G3347" s="2" t="inlineStr">
        <is>
          <t>20260312901022</t>
        </is>
      </c>
      <c r="H3347" s="8">
        <f>HYPERLINK("https://dart.fss.or.kr/dsaf001/main.do?rcpNo=20260312901022", "공시열람")</f>
        <v/>
      </c>
    </row>
    <row r="3348">
      <c r="A3348" s="2" t="inlineStr">
        <is>
          <t>2026-03-12</t>
        </is>
      </c>
      <c r="B3348" s="3" t="inlineStr">
        <is>
          <t>상지건설</t>
        </is>
      </c>
      <c r="C3348" s="2" t="inlineStr">
        <is>
          <t>코스닥</t>
        </is>
      </c>
      <c r="D3348" s="2" t="inlineStr">
        <is>
          <t>042940</t>
        </is>
      </c>
      <c r="E3348" s="3" t="inlineStr">
        <is>
          <t xml:space="preserve">주주총회집중일개최사유신고              </t>
        </is>
      </c>
      <c r="F3348" s="3" t="inlineStr">
        <is>
          <t>상지건설</t>
        </is>
      </c>
      <c r="G3348" s="2" t="inlineStr">
        <is>
          <t>20260312900852</t>
        </is>
      </c>
      <c r="H3348" s="8">
        <f>HYPERLINK("https://dart.fss.or.kr/dsaf001/main.do?rcpNo=20260312900852", "공시열람")</f>
        <v/>
      </c>
    </row>
    <row r="3349">
      <c r="A3349" s="2" t="inlineStr">
        <is>
          <t>2026-03-12</t>
        </is>
      </c>
      <c r="B3349" s="3" t="inlineStr">
        <is>
          <t>한국맥널티</t>
        </is>
      </c>
      <c r="C3349" s="2" t="inlineStr">
        <is>
          <t>코스닥</t>
        </is>
      </c>
      <c r="D3349" s="2" t="inlineStr">
        <is>
          <t>222980</t>
        </is>
      </c>
      <c r="E3349" s="3" t="inlineStr">
        <is>
          <t xml:space="preserve">주주총회집중일개최사유신고              </t>
        </is>
      </c>
      <c r="F3349" s="3" t="inlineStr">
        <is>
          <t>한국맥널티</t>
        </is>
      </c>
      <c r="G3349" s="2" t="inlineStr">
        <is>
          <t>20260312900848</t>
        </is>
      </c>
      <c r="H3349" s="8">
        <f>HYPERLINK("https://dart.fss.or.kr/dsaf001/main.do?rcpNo=20260312900848", "공시열람")</f>
        <v/>
      </c>
    </row>
    <row r="3350">
      <c r="A3350" s="2" t="inlineStr">
        <is>
          <t>2026-03-12</t>
        </is>
      </c>
      <c r="B3350" s="3" t="inlineStr">
        <is>
          <t>원포유</t>
        </is>
      </c>
      <c r="C3350" s="2" t="inlineStr">
        <is>
          <t>코넥스</t>
        </is>
      </c>
      <c r="D3350" s="2" t="inlineStr">
        <is>
          <t>122830</t>
        </is>
      </c>
      <c r="E3350" s="3" t="inlineStr">
        <is>
          <t>주주총회소집공고</t>
        </is>
      </c>
      <c r="F3350" s="3" t="inlineStr">
        <is>
          <t>원포유</t>
        </is>
      </c>
      <c r="G3350" s="2" t="inlineStr">
        <is>
          <t>20260312000790</t>
        </is>
      </c>
      <c r="H3350" s="8">
        <f>HYPERLINK("https://dart.fss.or.kr/dsaf001/main.do?rcpNo=20260312000790", "공시열람")</f>
        <v/>
      </c>
    </row>
    <row r="3351">
      <c r="A3351" s="2" t="inlineStr">
        <is>
          <t>2026-03-12</t>
        </is>
      </c>
      <c r="B3351" s="3" t="inlineStr">
        <is>
          <t>가온칩스</t>
        </is>
      </c>
      <c r="C3351" s="2" t="inlineStr">
        <is>
          <t>코스닥</t>
        </is>
      </c>
      <c r="D3351" s="2" t="inlineStr">
        <is>
          <t>399720</t>
        </is>
      </c>
      <c r="E3351" s="3" t="inlineStr">
        <is>
          <t>주주총회소집공고</t>
        </is>
      </c>
      <c r="F3351" s="3" t="inlineStr">
        <is>
          <t>가온칩스</t>
        </is>
      </c>
      <c r="G3351" s="2" t="inlineStr">
        <is>
          <t>20260312000788</t>
        </is>
      </c>
      <c r="H3351" s="8">
        <f>HYPERLINK("https://dart.fss.or.kr/dsaf001/main.do?rcpNo=20260312000788", "공시열람")</f>
        <v/>
      </c>
    </row>
    <row r="3352">
      <c r="A3352" s="2" t="inlineStr">
        <is>
          <t>2026-03-12</t>
        </is>
      </c>
      <c r="B3352" s="3" t="inlineStr">
        <is>
          <t>위지윅스튜디오</t>
        </is>
      </c>
      <c r="C3352" s="2" t="inlineStr">
        <is>
          <t>코스닥</t>
        </is>
      </c>
      <c r="D3352" s="2" t="inlineStr">
        <is>
          <t>299900</t>
        </is>
      </c>
      <c r="E3352" s="3" t="inlineStr">
        <is>
          <t xml:space="preserve">주주총회집중일개최사유신고              </t>
        </is>
      </c>
      <c r="F3352" s="3" t="inlineStr">
        <is>
          <t>위지윅스튜디오</t>
        </is>
      </c>
      <c r="G3352" s="2" t="inlineStr">
        <is>
          <t>20260312900955</t>
        </is>
      </c>
      <c r="H3352" s="8">
        <f>HYPERLINK("https://dart.fss.or.kr/dsaf001/main.do?rcpNo=20260312900955", "공시열람")</f>
        <v/>
      </c>
    </row>
    <row r="3353">
      <c r="A3353" s="2" t="inlineStr">
        <is>
          <t>2026-03-12</t>
        </is>
      </c>
      <c r="B3353" s="3" t="inlineStr">
        <is>
          <t>위지윅스튜디오</t>
        </is>
      </c>
      <c r="C3353" s="2" t="inlineStr">
        <is>
          <t>코스닥</t>
        </is>
      </c>
      <c r="D3353" s="2" t="inlineStr">
        <is>
          <t>299900</t>
        </is>
      </c>
      <c r="E3353" s="3" t="inlineStr">
        <is>
          <t xml:space="preserve">주주총회소집결의              </t>
        </is>
      </c>
      <c r="F3353" s="3" t="inlineStr">
        <is>
          <t>위지윅스튜디오</t>
        </is>
      </c>
      <c r="G3353" s="2" t="inlineStr">
        <is>
          <t>20260312900948</t>
        </is>
      </c>
      <c r="H3353" s="8">
        <f>HYPERLINK("https://dart.fss.or.kr/dsaf001/main.do?rcpNo=20260312900948", "공시열람")</f>
        <v/>
      </c>
    </row>
    <row r="3354">
      <c r="A3354" s="2" t="inlineStr">
        <is>
          <t>2026-03-12</t>
        </is>
      </c>
      <c r="B3354" s="3" t="inlineStr">
        <is>
          <t>리더스코스메틱</t>
        </is>
      </c>
      <c r="C3354" s="2" t="inlineStr">
        <is>
          <t>코스닥</t>
        </is>
      </c>
      <c r="D3354" s="2" t="inlineStr">
        <is>
          <t>016100</t>
        </is>
      </c>
      <c r="E3354" s="3" t="inlineStr">
        <is>
          <t>주주총회소집공고</t>
        </is>
      </c>
      <c r="F3354" s="3" t="inlineStr">
        <is>
          <t>리더스코스메틱</t>
        </is>
      </c>
      <c r="G3354" s="2" t="inlineStr">
        <is>
          <t>20260312000785</t>
        </is>
      </c>
      <c r="H3354" s="8">
        <f>HYPERLINK("https://dart.fss.or.kr/dsaf001/main.do?rcpNo=20260312000785", "공시열람")</f>
        <v/>
      </c>
    </row>
    <row r="3355">
      <c r="A3355" s="2" t="inlineStr">
        <is>
          <t>2026-03-12</t>
        </is>
      </c>
      <c r="B3355" s="3" t="inlineStr">
        <is>
          <t>원포유</t>
        </is>
      </c>
      <c r="C3355" s="2" t="inlineStr">
        <is>
          <t>코넥스</t>
        </is>
      </c>
      <c r="D3355" s="2" t="inlineStr">
        <is>
          <t>122830</t>
        </is>
      </c>
      <c r="E3355" s="3" t="inlineStr">
        <is>
          <t xml:space="preserve">주주총회집중일개최사유신고              </t>
        </is>
      </c>
      <c r="F3355" s="3" t="inlineStr">
        <is>
          <t>원포유</t>
        </is>
      </c>
      <c r="G3355" s="2" t="inlineStr">
        <is>
          <t>20260312601120</t>
        </is>
      </c>
      <c r="H3355" s="8">
        <f>HYPERLINK("https://dart.fss.or.kr/dsaf001/main.do?rcpNo=20260312601120", "공시열람")</f>
        <v/>
      </c>
    </row>
    <row r="3356">
      <c r="A3356" s="2" t="inlineStr">
        <is>
          <t>2026-03-12</t>
        </is>
      </c>
      <c r="B3356" s="3" t="inlineStr">
        <is>
          <t>원포유</t>
        </is>
      </c>
      <c r="C3356" s="2" t="inlineStr">
        <is>
          <t>코넥스</t>
        </is>
      </c>
      <c r="D3356" s="2" t="inlineStr">
        <is>
          <t>122830</t>
        </is>
      </c>
      <c r="E3356" s="3" t="inlineStr">
        <is>
          <t xml:space="preserve">주주총회소집결의              </t>
        </is>
      </c>
      <c r="F3356" s="3" t="inlineStr">
        <is>
          <t>원포유</t>
        </is>
      </c>
      <c r="G3356" s="2" t="inlineStr">
        <is>
          <t>20260312601118</t>
        </is>
      </c>
      <c r="H3356" s="8">
        <f>HYPERLINK("https://dart.fss.or.kr/dsaf001/main.do?rcpNo=20260312601118", "공시열람")</f>
        <v/>
      </c>
    </row>
    <row r="3357">
      <c r="A3357" s="2" t="inlineStr">
        <is>
          <t>2026-03-12</t>
        </is>
      </c>
      <c r="B3357" s="3" t="inlineStr">
        <is>
          <t>대영포장</t>
        </is>
      </c>
      <c r="C3357" s="2" t="inlineStr">
        <is>
          <t>코스피</t>
        </is>
      </c>
      <c r="D3357" s="2" t="inlineStr">
        <is>
          <t>014160</t>
        </is>
      </c>
      <c r="E3357" s="3" t="inlineStr">
        <is>
          <t xml:space="preserve">주주총회소집결의              </t>
        </is>
      </c>
      <c r="F3357" s="3" t="inlineStr">
        <is>
          <t>대영포장</t>
        </is>
      </c>
      <c r="G3357" s="2" t="inlineStr">
        <is>
          <t>20260312801101</t>
        </is>
      </c>
      <c r="H3357" s="8">
        <f>HYPERLINK("https://dart.fss.or.kr/dsaf001/main.do?rcpNo=20260312801101", "공시열람")</f>
        <v/>
      </c>
    </row>
    <row r="3358">
      <c r="A3358" s="2" t="inlineStr">
        <is>
          <t>2026-03-12 (정정: 2026-06-18)</t>
        </is>
      </c>
      <c r="B3358" s="3" t="inlineStr">
        <is>
          <t>크라우드웍스</t>
        </is>
      </c>
      <c r="C3358" s="2" t="inlineStr">
        <is>
          <t>코스닥</t>
        </is>
      </c>
      <c r="D3358" s="2" t="inlineStr">
        <is>
          <t>355390</t>
        </is>
      </c>
      <c r="E3358" s="3" t="inlineStr">
        <is>
          <t>주주총회소집결의               (정정: 20260521) (정정: 20260604) (정정: 20260610) (정정: 20260618)</t>
        </is>
      </c>
      <c r="F3358" s="3" t="inlineStr">
        <is>
          <t>크라우드웍스</t>
        </is>
      </c>
      <c r="G3358" s="2" t="inlineStr">
        <is>
          <t>20260618000410</t>
        </is>
      </c>
      <c r="H3358" s="8">
        <f>HYPERLINK("https://dart.fss.or.kr/dsaf001/main.do?rcpNo=20260618000410", "공시열람")</f>
        <v/>
      </c>
    </row>
    <row r="3359">
      <c r="A3359" s="2" t="inlineStr">
        <is>
          <t>2026-03-12</t>
        </is>
      </c>
      <c r="B3359" s="3" t="inlineStr">
        <is>
          <t>티와이홀딩스</t>
        </is>
      </c>
      <c r="C3359" s="2" t="inlineStr">
        <is>
          <t>코스피</t>
        </is>
      </c>
      <c r="D3359" s="2" t="inlineStr">
        <is>
          <t>363280</t>
        </is>
      </c>
      <c r="E3359" s="3" t="inlineStr">
        <is>
          <t>주주총회소집공고</t>
        </is>
      </c>
      <c r="F3359" s="3" t="inlineStr">
        <is>
          <t>티와이홀딩스</t>
        </is>
      </c>
      <c r="G3359" s="2" t="inlineStr">
        <is>
          <t>20260312000776</t>
        </is>
      </c>
      <c r="H3359" s="8">
        <f>HYPERLINK("https://dart.fss.or.kr/dsaf001/main.do?rcpNo=20260312000776", "공시열람")</f>
        <v/>
      </c>
    </row>
    <row r="3360">
      <c r="A3360" s="2" t="inlineStr">
        <is>
          <t>2026-03-12</t>
        </is>
      </c>
      <c r="B3360" s="3" t="inlineStr">
        <is>
          <t>에이비엘바이오</t>
        </is>
      </c>
      <c r="C3360" s="2" t="inlineStr">
        <is>
          <t>코스닥</t>
        </is>
      </c>
      <c r="D3360" s="2" t="inlineStr">
        <is>
          <t>298380</t>
        </is>
      </c>
      <c r="E3360" s="3" t="inlineStr">
        <is>
          <t>주주총회소집공고</t>
        </is>
      </c>
      <c r="F3360" s="3" t="inlineStr">
        <is>
          <t>에이비엘바이오</t>
        </is>
      </c>
      <c r="G3360" s="2" t="inlineStr">
        <is>
          <t>20260312000773</t>
        </is>
      </c>
      <c r="H3360" s="8">
        <f>HYPERLINK("https://dart.fss.or.kr/dsaf001/main.do?rcpNo=20260312000773", "공시열람")</f>
        <v/>
      </c>
    </row>
    <row r="3361">
      <c r="A3361" s="2" t="inlineStr">
        <is>
          <t>2026-03-12</t>
        </is>
      </c>
      <c r="B3361" s="3" t="inlineStr">
        <is>
          <t>리더스코스메틱</t>
        </is>
      </c>
      <c r="C3361" s="2" t="inlineStr">
        <is>
          <t>코스닥</t>
        </is>
      </c>
      <c r="D3361" s="2" t="inlineStr">
        <is>
          <t>016100</t>
        </is>
      </c>
      <c r="E3361" s="3" t="inlineStr">
        <is>
          <t xml:space="preserve">주주총회소집결의              </t>
        </is>
      </c>
      <c r="F3361" s="3" t="inlineStr">
        <is>
          <t>리더스코스메틱</t>
        </is>
      </c>
      <c r="G3361" s="2" t="inlineStr">
        <is>
          <t>20260312900995</t>
        </is>
      </c>
      <c r="H3361" s="8">
        <f>HYPERLINK("https://dart.fss.or.kr/dsaf001/main.do?rcpNo=20260312900995", "공시열람")</f>
        <v/>
      </c>
    </row>
    <row r="3362">
      <c r="A3362" s="2" t="inlineStr">
        <is>
          <t>2026-03-12</t>
        </is>
      </c>
      <c r="B3362" s="3" t="inlineStr">
        <is>
          <t>대양금속</t>
        </is>
      </c>
      <c r="C3362" s="2" t="inlineStr">
        <is>
          <t>코스피</t>
        </is>
      </c>
      <c r="D3362" s="2" t="inlineStr">
        <is>
          <t>009190</t>
        </is>
      </c>
      <c r="E3362" s="3" t="inlineStr">
        <is>
          <t xml:space="preserve">주주총회소집결의              </t>
        </is>
      </c>
      <c r="F3362" s="3" t="inlineStr">
        <is>
          <t>대양금속</t>
        </is>
      </c>
      <c r="G3362" s="2" t="inlineStr">
        <is>
          <t>20260312801097</t>
        </is>
      </c>
      <c r="H3362" s="8">
        <f>HYPERLINK("https://dart.fss.or.kr/dsaf001/main.do?rcpNo=20260312801097", "공시열람")</f>
        <v/>
      </c>
    </row>
    <row r="3363">
      <c r="A3363" s="2" t="inlineStr">
        <is>
          <t>2026-03-12</t>
        </is>
      </c>
      <c r="B3363" s="3" t="inlineStr">
        <is>
          <t>하나투어</t>
        </is>
      </c>
      <c r="C3363" s="2" t="inlineStr">
        <is>
          <t>코스피</t>
        </is>
      </c>
      <c r="D3363" s="2" t="inlineStr">
        <is>
          <t>039130</t>
        </is>
      </c>
      <c r="E3363" s="3" t="inlineStr">
        <is>
          <t>주주총회소집공고</t>
        </is>
      </c>
      <c r="F3363" s="3" t="inlineStr">
        <is>
          <t>하나투어</t>
        </is>
      </c>
      <c r="G3363" s="2" t="inlineStr">
        <is>
          <t>20260312000767</t>
        </is>
      </c>
      <c r="H3363" s="8">
        <f>HYPERLINK("https://dart.fss.or.kr/dsaf001/main.do?rcpNo=20260312000767", "공시열람")</f>
        <v/>
      </c>
    </row>
    <row r="3364">
      <c r="A3364" s="2" t="inlineStr">
        <is>
          <t>2026-03-12</t>
        </is>
      </c>
      <c r="B3364" s="3" t="inlineStr">
        <is>
          <t>대륙제관</t>
        </is>
      </c>
      <c r="C3364" s="2" t="inlineStr">
        <is>
          <t>코스닥</t>
        </is>
      </c>
      <c r="D3364" s="2" t="inlineStr">
        <is>
          <t>004780</t>
        </is>
      </c>
      <c r="E3364" s="3" t="inlineStr">
        <is>
          <t>주주총회소집공고</t>
        </is>
      </c>
      <c r="F3364" s="3" t="inlineStr">
        <is>
          <t>대륙제관</t>
        </is>
      </c>
      <c r="G3364" s="2" t="inlineStr">
        <is>
          <t>20260312000764</t>
        </is>
      </c>
      <c r="H3364" s="8">
        <f>HYPERLINK("https://dart.fss.or.kr/dsaf001/main.do?rcpNo=20260312000764", "공시열람")</f>
        <v/>
      </c>
    </row>
    <row r="3365">
      <c r="A3365" s="2" t="inlineStr">
        <is>
          <t>2026-03-12</t>
        </is>
      </c>
      <c r="B3365" s="3" t="inlineStr">
        <is>
          <t>메디포스트</t>
        </is>
      </c>
      <c r="C3365" s="2" t="inlineStr">
        <is>
          <t>코스닥</t>
        </is>
      </c>
      <c r="D3365" s="2" t="inlineStr">
        <is>
          <t>078160</t>
        </is>
      </c>
      <c r="E3365" s="3" t="inlineStr">
        <is>
          <t xml:space="preserve">주주총회소집결의              </t>
        </is>
      </c>
      <c r="F3365" s="3" t="inlineStr">
        <is>
          <t>메디포스트</t>
        </is>
      </c>
      <c r="G3365" s="2" t="inlineStr">
        <is>
          <t>20260312900960</t>
        </is>
      </c>
      <c r="H3365" s="8">
        <f>HYPERLINK("https://dart.fss.or.kr/dsaf001/main.do?rcpNo=20260312900960", "공시열람")</f>
        <v/>
      </c>
    </row>
    <row r="3366">
      <c r="A3366" s="2" t="inlineStr">
        <is>
          <t>2026-03-12</t>
        </is>
      </c>
      <c r="B3366" s="3" t="inlineStr">
        <is>
          <t>텔코웨어</t>
        </is>
      </c>
      <c r="C3366" s="2" t="inlineStr">
        <is>
          <t>코스피</t>
        </is>
      </c>
      <c r="D3366" s="2" t="inlineStr">
        <is>
          <t>078000</t>
        </is>
      </c>
      <c r="E3366" s="3" t="inlineStr">
        <is>
          <t xml:space="preserve">주주총회소집결의              </t>
        </is>
      </c>
      <c r="F3366" s="3" t="inlineStr">
        <is>
          <t>텔코웨어</t>
        </is>
      </c>
      <c r="G3366" s="2" t="inlineStr">
        <is>
          <t>20260312800965</t>
        </is>
      </c>
      <c r="H3366" s="8">
        <f>HYPERLINK("https://dart.fss.or.kr/dsaf001/main.do?rcpNo=20260312800965", "공시열람")</f>
        <v/>
      </c>
    </row>
    <row r="3367">
      <c r="A3367" s="2" t="inlineStr">
        <is>
          <t>2026-03-12 (정정: 2026-03-12)</t>
        </is>
      </c>
      <c r="B3367" s="3" t="inlineStr">
        <is>
          <t>대한과학</t>
        </is>
      </c>
      <c r="C3367" s="2" t="inlineStr">
        <is>
          <t>코스닥</t>
        </is>
      </c>
      <c r="D3367" s="2" t="inlineStr">
        <is>
          <t>131220</t>
        </is>
      </c>
      <c r="E3367" s="3" t="inlineStr">
        <is>
          <t>주주총회소집공고 (정정: 20260312)</t>
        </is>
      </c>
      <c r="F3367" s="3" t="inlineStr">
        <is>
          <t>대한과학</t>
        </is>
      </c>
      <c r="G3367" s="2" t="inlineStr">
        <is>
          <t>20260312901001</t>
        </is>
      </c>
      <c r="H3367" s="8">
        <f>HYPERLINK("https://dart.fss.or.kr/dsaf001/main.do?rcpNo=20260312901001", "공시열람")</f>
        <v/>
      </c>
    </row>
    <row r="3368">
      <c r="A3368" s="2" t="inlineStr">
        <is>
          <t>2026-03-12</t>
        </is>
      </c>
      <c r="B3368" s="3" t="inlineStr">
        <is>
          <t>태경비케이</t>
        </is>
      </c>
      <c r="C3368" s="2" t="inlineStr">
        <is>
          <t>코스피</t>
        </is>
      </c>
      <c r="D3368" s="2" t="inlineStr">
        <is>
          <t>014580</t>
        </is>
      </c>
      <c r="E3368" s="3" t="inlineStr">
        <is>
          <t xml:space="preserve">주주총회집중일개최사유신고              </t>
        </is>
      </c>
      <c r="F3368" s="3" t="inlineStr">
        <is>
          <t>태경비케이</t>
        </is>
      </c>
      <c r="G3368" s="2" t="inlineStr">
        <is>
          <t>20260312801100</t>
        </is>
      </c>
      <c r="H3368" s="8">
        <f>HYPERLINK("https://dart.fss.or.kr/dsaf001/main.do?rcpNo=20260312801100", "공시열람")</f>
        <v/>
      </c>
    </row>
    <row r="3369">
      <c r="A3369" s="2" t="inlineStr">
        <is>
          <t>2026-03-12</t>
        </is>
      </c>
      <c r="B3369" s="3" t="inlineStr">
        <is>
          <t>대성산업</t>
        </is>
      </c>
      <c r="C3369" s="2" t="inlineStr">
        <is>
          <t>코스피</t>
        </is>
      </c>
      <c r="D3369" s="2" t="inlineStr">
        <is>
          <t>128820</t>
        </is>
      </c>
      <c r="E3369" s="3" t="inlineStr">
        <is>
          <t>주주총회소집공고</t>
        </is>
      </c>
      <c r="F3369" s="3" t="inlineStr">
        <is>
          <t>대성산업</t>
        </is>
      </c>
      <c r="G3369" s="2" t="inlineStr">
        <is>
          <t>20260312000759</t>
        </is>
      </c>
      <c r="H3369" s="8">
        <f>HYPERLINK("https://dart.fss.or.kr/dsaf001/main.do?rcpNo=20260312000759", "공시열람")</f>
        <v/>
      </c>
    </row>
    <row r="3370">
      <c r="A3370" s="2" t="inlineStr">
        <is>
          <t>2026-03-12</t>
        </is>
      </c>
      <c r="B3370" s="3" t="inlineStr">
        <is>
          <t>뉴로메카</t>
        </is>
      </c>
      <c r="C3370" s="2" t="inlineStr">
        <is>
          <t>코스닥</t>
        </is>
      </c>
      <c r="D3370" s="2" t="inlineStr">
        <is>
          <t>348340</t>
        </is>
      </c>
      <c r="E3370" s="3" t="inlineStr">
        <is>
          <t xml:space="preserve">주주총회소집결의              </t>
        </is>
      </c>
      <c r="F3370" s="3" t="inlineStr">
        <is>
          <t>뉴로메카</t>
        </is>
      </c>
      <c r="G3370" s="2" t="inlineStr">
        <is>
          <t>20260312900926</t>
        </is>
      </c>
      <c r="H3370" s="8">
        <f>HYPERLINK("https://dart.fss.or.kr/dsaf001/main.do?rcpNo=20260312900926", "공시열람")</f>
        <v/>
      </c>
    </row>
    <row r="3371">
      <c r="A3371" s="2" t="inlineStr">
        <is>
          <t>2026-03-12</t>
        </is>
      </c>
      <c r="B3371" s="3" t="inlineStr">
        <is>
          <t>에스제이엠홀딩스</t>
        </is>
      </c>
      <c r="C3371" s="2" t="inlineStr">
        <is>
          <t>코스피</t>
        </is>
      </c>
      <c r="D3371" s="2" t="inlineStr">
        <is>
          <t>025530</t>
        </is>
      </c>
      <c r="E3371" s="3" t="inlineStr">
        <is>
          <t xml:space="preserve">주주총회집중일개최사유신고              </t>
        </is>
      </c>
      <c r="F3371" s="3" t="inlineStr">
        <is>
          <t>에스제이엠홀딩스</t>
        </is>
      </c>
      <c r="G3371" s="2" t="inlineStr">
        <is>
          <t>20260312801071</t>
        </is>
      </c>
      <c r="H3371" s="8">
        <f>HYPERLINK("https://dart.fss.or.kr/dsaf001/main.do?rcpNo=20260312801071", "공시열람")</f>
        <v/>
      </c>
    </row>
    <row r="3372">
      <c r="A3372" s="2" t="inlineStr">
        <is>
          <t>2026-03-12</t>
        </is>
      </c>
      <c r="B3372" s="3" t="inlineStr">
        <is>
          <t>광전자</t>
        </is>
      </c>
      <c r="C3372" s="2" t="inlineStr">
        <is>
          <t>코스피</t>
        </is>
      </c>
      <c r="D3372" s="2" t="inlineStr">
        <is>
          <t>017900</t>
        </is>
      </c>
      <c r="E3372" s="3" t="inlineStr">
        <is>
          <t xml:space="preserve">주주총회소집결의              </t>
        </is>
      </c>
      <c r="F3372" s="3" t="inlineStr">
        <is>
          <t>광전자</t>
        </is>
      </c>
      <c r="G3372" s="2" t="inlineStr">
        <is>
          <t>20260312801068</t>
        </is>
      </c>
      <c r="H3372" s="8">
        <f>HYPERLINK("https://dart.fss.or.kr/dsaf001/main.do?rcpNo=20260312801068", "공시열람")</f>
        <v/>
      </c>
    </row>
    <row r="3373">
      <c r="A3373" s="2" t="inlineStr">
        <is>
          <t>2026-03-12</t>
        </is>
      </c>
      <c r="B3373" s="3" t="inlineStr">
        <is>
          <t>아미노로직스</t>
        </is>
      </c>
      <c r="C3373" s="2" t="inlineStr">
        <is>
          <t>코스닥</t>
        </is>
      </c>
      <c r="D3373" s="2" t="inlineStr">
        <is>
          <t>074430</t>
        </is>
      </c>
      <c r="E3373" s="3" t="inlineStr">
        <is>
          <t>주주총회소집공고</t>
        </is>
      </c>
      <c r="F3373" s="3" t="inlineStr">
        <is>
          <t>아미노로직스</t>
        </is>
      </c>
      <c r="G3373" s="2" t="inlineStr">
        <is>
          <t>20260312000755</t>
        </is>
      </c>
      <c r="H3373" s="8">
        <f>HYPERLINK("https://dart.fss.or.kr/dsaf001/main.do?rcpNo=20260312000755", "공시열람")</f>
        <v/>
      </c>
    </row>
    <row r="3374">
      <c r="A3374" s="2" t="inlineStr">
        <is>
          <t>2026-03-12</t>
        </is>
      </c>
      <c r="B3374" s="3" t="inlineStr">
        <is>
          <t>대륙제관</t>
        </is>
      </c>
      <c r="C3374" s="2" t="inlineStr">
        <is>
          <t>코스닥</t>
        </is>
      </c>
      <c r="D3374" s="2" t="inlineStr">
        <is>
          <t>004780</t>
        </is>
      </c>
      <c r="E3374" s="3" t="inlineStr">
        <is>
          <t xml:space="preserve">주주총회집중일개최사유신고              </t>
        </is>
      </c>
      <c r="F3374" s="3" t="inlineStr">
        <is>
          <t>대륙제관</t>
        </is>
      </c>
      <c r="G3374" s="2" t="inlineStr">
        <is>
          <t>20260312901073</t>
        </is>
      </c>
      <c r="H3374" s="8">
        <f>HYPERLINK("https://dart.fss.or.kr/dsaf001/main.do?rcpNo=20260312901073", "공시열람")</f>
        <v/>
      </c>
    </row>
    <row r="3375">
      <c r="A3375" s="2" t="inlineStr">
        <is>
          <t>2026-03-12</t>
        </is>
      </c>
      <c r="B3375" s="3" t="inlineStr">
        <is>
          <t>그리티</t>
        </is>
      </c>
      <c r="C3375" s="2" t="inlineStr">
        <is>
          <t>코스닥</t>
        </is>
      </c>
      <c r="D3375" s="2" t="inlineStr">
        <is>
          <t>204020</t>
        </is>
      </c>
      <c r="E3375" s="3" t="inlineStr">
        <is>
          <t xml:space="preserve">주주총회집중일개최사유신고              </t>
        </is>
      </c>
      <c r="F3375" s="3" t="inlineStr">
        <is>
          <t>그리티</t>
        </is>
      </c>
      <c r="G3375" s="2" t="inlineStr">
        <is>
          <t>20260312900979</t>
        </is>
      </c>
      <c r="H3375" s="8">
        <f>HYPERLINK("https://dart.fss.or.kr/dsaf001/main.do?rcpNo=20260312900979", "공시열람")</f>
        <v/>
      </c>
    </row>
    <row r="3376">
      <c r="A3376" s="2" t="inlineStr">
        <is>
          <t>2026-03-12</t>
        </is>
      </c>
      <c r="B3376" s="3" t="inlineStr">
        <is>
          <t>KCC건설</t>
        </is>
      </c>
      <c r="C3376" s="2" t="inlineStr">
        <is>
          <t>코스닥</t>
        </is>
      </c>
      <c r="D3376" s="2" t="inlineStr">
        <is>
          <t>021320</t>
        </is>
      </c>
      <c r="E3376" s="3" t="inlineStr">
        <is>
          <t>주주총회소집공고</t>
        </is>
      </c>
      <c r="F3376" s="3" t="inlineStr">
        <is>
          <t>KCC건설</t>
        </is>
      </c>
      <c r="G3376" s="2" t="inlineStr">
        <is>
          <t>20260312000743</t>
        </is>
      </c>
      <c r="H3376" s="8">
        <f>HYPERLINK("https://dart.fss.or.kr/dsaf001/main.do?rcpNo=20260312000743", "공시열람")</f>
        <v/>
      </c>
    </row>
    <row r="3377">
      <c r="A3377" s="2" t="inlineStr">
        <is>
          <t>2026-03-12</t>
        </is>
      </c>
      <c r="B3377" s="3" t="inlineStr">
        <is>
          <t>도부</t>
        </is>
      </c>
      <c r="C3377" s="2" t="inlineStr">
        <is>
          <t>코넥스</t>
        </is>
      </c>
      <c r="D3377" s="2" t="inlineStr">
        <is>
          <t>227420</t>
        </is>
      </c>
      <c r="E3377" s="3" t="inlineStr">
        <is>
          <t xml:space="preserve">주주총회집중일개최사유신고              </t>
        </is>
      </c>
      <c r="F3377" s="3" t="inlineStr">
        <is>
          <t>도부</t>
        </is>
      </c>
      <c r="G3377" s="2" t="inlineStr">
        <is>
          <t>20260312601084</t>
        </is>
      </c>
      <c r="H3377" s="8">
        <f>HYPERLINK("https://dart.fss.or.kr/dsaf001/main.do?rcpNo=20260312601084", "공시열람")</f>
        <v/>
      </c>
    </row>
    <row r="3378">
      <c r="A3378" s="2" t="inlineStr">
        <is>
          <t>2026-03-12</t>
        </is>
      </c>
      <c r="B3378" s="3" t="inlineStr">
        <is>
          <t>인카금융서비스</t>
        </is>
      </c>
      <c r="C3378" s="2" t="inlineStr">
        <is>
          <t>코스닥</t>
        </is>
      </c>
      <c r="D3378" s="2" t="inlineStr">
        <is>
          <t>211050</t>
        </is>
      </c>
      <c r="E3378" s="3" t="inlineStr">
        <is>
          <t xml:space="preserve">주주총회집중일개최사유신고              </t>
        </is>
      </c>
      <c r="F3378" s="3" t="inlineStr">
        <is>
          <t>인카금융서비스</t>
        </is>
      </c>
      <c r="G3378" s="2" t="inlineStr">
        <is>
          <t>20260312900983</t>
        </is>
      </c>
      <c r="H3378" s="8">
        <f>HYPERLINK("https://dart.fss.or.kr/dsaf001/main.do?rcpNo=20260312900983", "공시열람")</f>
        <v/>
      </c>
    </row>
    <row r="3379">
      <c r="A3379" s="2" t="inlineStr">
        <is>
          <t>2026-03-12</t>
        </is>
      </c>
      <c r="B3379" s="3" t="inlineStr">
        <is>
          <t>태경비케이</t>
        </is>
      </c>
      <c r="C3379" s="2" t="inlineStr">
        <is>
          <t>코스피</t>
        </is>
      </c>
      <c r="D3379" s="2" t="inlineStr">
        <is>
          <t>014580</t>
        </is>
      </c>
      <c r="E3379" s="3" t="inlineStr">
        <is>
          <t>주주총회소집공고</t>
        </is>
      </c>
      <c r="F3379" s="3" t="inlineStr">
        <is>
          <t>태경비케이</t>
        </is>
      </c>
      <c r="G3379" s="2" t="inlineStr">
        <is>
          <t>20260312000737</t>
        </is>
      </c>
      <c r="H3379" s="8">
        <f>HYPERLINK("https://dart.fss.or.kr/dsaf001/main.do?rcpNo=20260312000737", "공시열람")</f>
        <v/>
      </c>
    </row>
    <row r="3380">
      <c r="A3380" s="2" t="inlineStr">
        <is>
          <t>2026-03-12</t>
        </is>
      </c>
      <c r="B3380" s="3" t="inlineStr">
        <is>
          <t>대성산업</t>
        </is>
      </c>
      <c r="C3380" s="2" t="inlineStr">
        <is>
          <t>코스피</t>
        </is>
      </c>
      <c r="D3380" s="2" t="inlineStr">
        <is>
          <t>128820</t>
        </is>
      </c>
      <c r="E3380" s="3" t="inlineStr">
        <is>
          <t xml:space="preserve">주주총회집중일개최사유신고              </t>
        </is>
      </c>
      <c r="F3380" s="3" t="inlineStr">
        <is>
          <t>대성산업</t>
        </is>
      </c>
      <c r="G3380" s="2" t="inlineStr">
        <is>
          <t>20260312800990</t>
        </is>
      </c>
      <c r="H3380" s="8">
        <f>HYPERLINK("https://dart.fss.or.kr/dsaf001/main.do?rcpNo=20260312800990", "공시열람")</f>
        <v/>
      </c>
    </row>
    <row r="3381">
      <c r="A3381" s="2" t="inlineStr">
        <is>
          <t>2026-03-12</t>
        </is>
      </c>
      <c r="B3381" s="3" t="inlineStr">
        <is>
          <t>WISCOM</t>
        </is>
      </c>
      <c r="C3381" s="2" t="inlineStr">
        <is>
          <t>코스피</t>
        </is>
      </c>
      <c r="D3381" s="2" t="inlineStr">
        <is>
          <t>024070</t>
        </is>
      </c>
      <c r="E3381" s="3" t="inlineStr">
        <is>
          <t>주주총회소집공고</t>
        </is>
      </c>
      <c r="F3381" s="3" t="inlineStr">
        <is>
          <t>WISCOM</t>
        </is>
      </c>
      <c r="G3381" s="2" t="inlineStr">
        <is>
          <t>20260312000735</t>
        </is>
      </c>
      <c r="H3381" s="8">
        <f>HYPERLINK("https://dart.fss.or.kr/dsaf001/main.do?rcpNo=20260312000735", "공시열람")</f>
        <v/>
      </c>
    </row>
    <row r="3382">
      <c r="A3382" s="2" t="inlineStr">
        <is>
          <t>2026-03-12</t>
        </is>
      </c>
      <c r="B3382" s="3" t="inlineStr">
        <is>
          <t>그리티</t>
        </is>
      </c>
      <c r="C3382" s="2" t="inlineStr">
        <is>
          <t>코스닥</t>
        </is>
      </c>
      <c r="D3382" s="2" t="inlineStr">
        <is>
          <t>204020</t>
        </is>
      </c>
      <c r="E3382" s="3" t="inlineStr">
        <is>
          <t>주주총회소집공고</t>
        </is>
      </c>
      <c r="F3382" s="3" t="inlineStr">
        <is>
          <t>그리티</t>
        </is>
      </c>
      <c r="G3382" s="2" t="inlineStr">
        <is>
          <t>20260312000733</t>
        </is>
      </c>
      <c r="H3382" s="8">
        <f>HYPERLINK("https://dart.fss.or.kr/dsaf001/main.do?rcpNo=20260312000733", "공시열람")</f>
        <v/>
      </c>
    </row>
    <row r="3383">
      <c r="A3383" s="2" t="inlineStr">
        <is>
          <t>2026-03-12</t>
        </is>
      </c>
      <c r="B3383" s="3" t="inlineStr">
        <is>
          <t>파마리서치바이오</t>
        </is>
      </c>
      <c r="C3383" s="2" t="inlineStr">
        <is>
          <t>코넥스</t>
        </is>
      </c>
      <c r="D3383" s="2" t="inlineStr">
        <is>
          <t>217950</t>
        </is>
      </c>
      <c r="E3383" s="3" t="inlineStr">
        <is>
          <t xml:space="preserve">주주총회집중일개최사유신고              </t>
        </is>
      </c>
      <c r="F3383" s="3" t="inlineStr">
        <is>
          <t>파마리서치바이오</t>
        </is>
      </c>
      <c r="G3383" s="2" t="inlineStr">
        <is>
          <t>20260312601076</t>
        </is>
      </c>
      <c r="H3383" s="8">
        <f>HYPERLINK("https://dart.fss.or.kr/dsaf001/main.do?rcpNo=20260312601076", "공시열람")</f>
        <v/>
      </c>
    </row>
    <row r="3384">
      <c r="A3384" s="2" t="inlineStr">
        <is>
          <t>2026-03-12</t>
        </is>
      </c>
      <c r="B3384" s="3" t="inlineStr">
        <is>
          <t>WISCOM</t>
        </is>
      </c>
      <c r="C3384" s="2" t="inlineStr">
        <is>
          <t>코스피</t>
        </is>
      </c>
      <c r="D3384" s="2" t="inlineStr">
        <is>
          <t>024070</t>
        </is>
      </c>
      <c r="E3384" s="3" t="inlineStr">
        <is>
          <t xml:space="preserve">주주총회집중일개최사유신고              </t>
        </is>
      </c>
      <c r="F3384" s="3" t="inlineStr">
        <is>
          <t>WISCOM</t>
        </is>
      </c>
      <c r="G3384" s="2" t="inlineStr">
        <is>
          <t>20260312800942</t>
        </is>
      </c>
      <c r="H3384" s="8">
        <f>HYPERLINK("https://dart.fss.or.kr/dsaf001/main.do?rcpNo=20260312800942", "공시열람")</f>
        <v/>
      </c>
    </row>
    <row r="3385">
      <c r="A3385" s="2" t="inlineStr">
        <is>
          <t>2026-03-12</t>
        </is>
      </c>
      <c r="B3385" s="3" t="inlineStr">
        <is>
          <t>그리티</t>
        </is>
      </c>
      <c r="C3385" s="2" t="inlineStr">
        <is>
          <t>코스닥</t>
        </is>
      </c>
      <c r="D3385" s="2" t="inlineStr">
        <is>
          <t>204020</t>
        </is>
      </c>
      <c r="E3385" s="3" t="inlineStr">
        <is>
          <t xml:space="preserve">주주총회소집결의              </t>
        </is>
      </c>
      <c r="F3385" s="3" t="inlineStr">
        <is>
          <t>그리티</t>
        </is>
      </c>
      <c r="G3385" s="2" t="inlineStr">
        <is>
          <t>20260312900934</t>
        </is>
      </c>
      <c r="H3385" s="8">
        <f>HYPERLINK("https://dart.fss.or.kr/dsaf001/main.do?rcpNo=20260312900934", "공시열람")</f>
        <v/>
      </c>
    </row>
    <row r="3386">
      <c r="A3386" s="2" t="inlineStr">
        <is>
          <t>2026-03-12</t>
        </is>
      </c>
      <c r="B3386" s="3" t="inlineStr">
        <is>
          <t>가온칩스</t>
        </is>
      </c>
      <c r="C3386" s="2" t="inlineStr">
        <is>
          <t>코스닥</t>
        </is>
      </c>
      <c r="D3386" s="2" t="inlineStr">
        <is>
          <t>399720</t>
        </is>
      </c>
      <c r="E3386" s="3" t="inlineStr">
        <is>
          <t xml:space="preserve">주주총회소집결의              </t>
        </is>
      </c>
      <c r="F3386" s="3" t="inlineStr">
        <is>
          <t>가온칩스</t>
        </is>
      </c>
      <c r="G3386" s="2" t="inlineStr">
        <is>
          <t>20260312900911</t>
        </is>
      </c>
      <c r="H3386" s="8">
        <f>HYPERLINK("https://dart.fss.or.kr/dsaf001/main.do?rcpNo=20260312900911", "공시열람")</f>
        <v/>
      </c>
    </row>
    <row r="3387">
      <c r="A3387" s="2" t="inlineStr">
        <is>
          <t>2026-03-12</t>
        </is>
      </c>
      <c r="B3387" s="3" t="inlineStr">
        <is>
          <t>백산</t>
        </is>
      </c>
      <c r="C3387" s="2" t="inlineStr">
        <is>
          <t>코스피</t>
        </is>
      </c>
      <c r="D3387" s="2" t="inlineStr">
        <is>
          <t>035150</t>
        </is>
      </c>
      <c r="E3387" s="3" t="inlineStr">
        <is>
          <t>주주총회소집공고</t>
        </is>
      </c>
      <c r="F3387" s="3" t="inlineStr">
        <is>
          <t>백산</t>
        </is>
      </c>
      <c r="G3387" s="2" t="inlineStr">
        <is>
          <t>20260312000713</t>
        </is>
      </c>
      <c r="H3387" s="8">
        <f>HYPERLINK("https://dart.fss.or.kr/dsaf001/main.do?rcpNo=20260312000713", "공시열람")</f>
        <v/>
      </c>
    </row>
    <row r="3388">
      <c r="A3388" s="2" t="inlineStr">
        <is>
          <t>2026-03-12</t>
        </is>
      </c>
      <c r="B3388" s="3" t="inlineStr">
        <is>
          <t>유디엠텍</t>
        </is>
      </c>
      <c r="C3388" s="2" t="inlineStr">
        <is>
          <t>코스닥</t>
        </is>
      </c>
      <c r="D3388" s="2" t="inlineStr">
        <is>
          <t>389680</t>
        </is>
      </c>
      <c r="E3388" s="3" t="inlineStr">
        <is>
          <t>주주총회소집공고</t>
        </is>
      </c>
      <c r="F3388" s="3" t="inlineStr">
        <is>
          <t>유디엠텍</t>
        </is>
      </c>
      <c r="G3388" s="2" t="inlineStr">
        <is>
          <t>20260312000711</t>
        </is>
      </c>
      <c r="H3388" s="8">
        <f>HYPERLINK("https://dart.fss.or.kr/dsaf001/main.do?rcpNo=20260312000711", "공시열람")</f>
        <v/>
      </c>
    </row>
    <row r="3389">
      <c r="A3389" s="2" t="inlineStr">
        <is>
          <t>2026-03-12</t>
        </is>
      </c>
      <c r="B3389" s="3" t="inlineStr">
        <is>
          <t>케이디켐</t>
        </is>
      </c>
      <c r="C3389" s="2" t="inlineStr">
        <is>
          <t>코스닥</t>
        </is>
      </c>
      <c r="D3389" s="2" t="inlineStr">
        <is>
          <t>221980</t>
        </is>
      </c>
      <c r="E3389" s="3" t="inlineStr">
        <is>
          <t>주주총회소집공고</t>
        </is>
      </c>
      <c r="F3389" s="3" t="inlineStr">
        <is>
          <t>케이디켐</t>
        </is>
      </c>
      <c r="G3389" s="2" t="inlineStr">
        <is>
          <t>20260312000710</t>
        </is>
      </c>
      <c r="H3389" s="8">
        <f>HYPERLINK("https://dart.fss.or.kr/dsaf001/main.do?rcpNo=20260312000710", "공시열람")</f>
        <v/>
      </c>
    </row>
    <row r="3390">
      <c r="A3390" s="2" t="inlineStr">
        <is>
          <t>2026-03-12</t>
        </is>
      </c>
      <c r="B3390" s="3" t="inlineStr">
        <is>
          <t>에이비엘바이오</t>
        </is>
      </c>
      <c r="C3390" s="2" t="inlineStr">
        <is>
          <t>코스닥</t>
        </is>
      </c>
      <c r="D3390" s="2" t="inlineStr">
        <is>
          <t>298380</t>
        </is>
      </c>
      <c r="E3390" s="3" t="inlineStr">
        <is>
          <t xml:space="preserve">주주총회집중일개최사유신고              </t>
        </is>
      </c>
      <c r="F3390" s="3" t="inlineStr">
        <is>
          <t>에이비엘바이오</t>
        </is>
      </c>
      <c r="G3390" s="2" t="inlineStr">
        <is>
          <t>20260312900920</t>
        </is>
      </c>
      <c r="H3390" s="8">
        <f>HYPERLINK("https://dart.fss.or.kr/dsaf001/main.do?rcpNo=20260312900920", "공시열람")</f>
        <v/>
      </c>
    </row>
    <row r="3391">
      <c r="A3391" s="2" t="inlineStr">
        <is>
          <t>2026-03-12</t>
        </is>
      </c>
      <c r="B3391" s="3" t="inlineStr">
        <is>
          <t>진로발효</t>
        </is>
      </c>
      <c r="C3391" s="2" t="inlineStr">
        <is>
          <t>코스닥</t>
        </is>
      </c>
      <c r="D3391" s="2" t="inlineStr">
        <is>
          <t>018120</t>
        </is>
      </c>
      <c r="E3391" s="3" t="inlineStr">
        <is>
          <t>주주총회소집공고</t>
        </is>
      </c>
      <c r="F3391" s="3" t="inlineStr">
        <is>
          <t>진로발효</t>
        </is>
      </c>
      <c r="G3391" s="2" t="inlineStr">
        <is>
          <t>20260312000708</t>
        </is>
      </c>
      <c r="H3391" s="8">
        <f>HYPERLINK("https://dart.fss.or.kr/dsaf001/main.do?rcpNo=20260312000708", "공시열람")</f>
        <v/>
      </c>
    </row>
    <row r="3392">
      <c r="A3392" s="2" t="inlineStr">
        <is>
          <t>2026-03-12</t>
        </is>
      </c>
      <c r="B3392" s="3" t="inlineStr">
        <is>
          <t>토마토시스템</t>
        </is>
      </c>
      <c r="C3392" s="2" t="inlineStr">
        <is>
          <t>코스닥</t>
        </is>
      </c>
      <c r="D3392" s="2" t="inlineStr">
        <is>
          <t>393210</t>
        </is>
      </c>
      <c r="E3392" s="3" t="inlineStr">
        <is>
          <t>주주총회소집공고</t>
        </is>
      </c>
      <c r="F3392" s="3" t="inlineStr">
        <is>
          <t>토마토시스템</t>
        </is>
      </c>
      <c r="G3392" s="2" t="inlineStr">
        <is>
          <t>20260312000707</t>
        </is>
      </c>
      <c r="H3392" s="8">
        <f>HYPERLINK("https://dart.fss.or.kr/dsaf001/main.do?rcpNo=20260312000707", "공시열람")</f>
        <v/>
      </c>
    </row>
    <row r="3393">
      <c r="A3393" s="2" t="inlineStr">
        <is>
          <t>2026-03-12</t>
        </is>
      </c>
      <c r="B3393" s="3" t="inlineStr">
        <is>
          <t>잇츠한불</t>
        </is>
      </c>
      <c r="C3393" s="2" t="inlineStr">
        <is>
          <t>코스피</t>
        </is>
      </c>
      <c r="D3393" s="2" t="inlineStr">
        <is>
          <t>226320</t>
        </is>
      </c>
      <c r="E3393" s="3" t="inlineStr">
        <is>
          <t>주주총회소집공고</t>
        </is>
      </c>
      <c r="F3393" s="3" t="inlineStr">
        <is>
          <t>잇츠한불</t>
        </is>
      </c>
      <c r="G3393" s="2" t="inlineStr">
        <is>
          <t>20260312000706</t>
        </is>
      </c>
      <c r="H3393" s="8">
        <f>HYPERLINK("https://dart.fss.or.kr/dsaf001/main.do?rcpNo=20260312000706", "공시열람")</f>
        <v/>
      </c>
    </row>
    <row r="3394">
      <c r="A3394" s="2" t="inlineStr">
        <is>
          <t>2026-03-12</t>
        </is>
      </c>
      <c r="B3394" s="3" t="inlineStr">
        <is>
          <t>엔바이오니아</t>
        </is>
      </c>
      <c r="C3394" s="2" t="inlineStr">
        <is>
          <t>코스닥</t>
        </is>
      </c>
      <c r="D3394" s="2" t="inlineStr">
        <is>
          <t>317870</t>
        </is>
      </c>
      <c r="E3394" s="3" t="inlineStr">
        <is>
          <t>주주총회소집공고</t>
        </is>
      </c>
      <c r="F3394" s="3" t="inlineStr">
        <is>
          <t>엔바이오니아</t>
        </is>
      </c>
      <c r="G3394" s="2" t="inlineStr">
        <is>
          <t>20260312000704</t>
        </is>
      </c>
      <c r="H3394" s="8">
        <f>HYPERLINK("https://dart.fss.or.kr/dsaf001/main.do?rcpNo=20260312000704", "공시열람")</f>
        <v/>
      </c>
    </row>
    <row r="3395">
      <c r="A3395" s="2" t="inlineStr">
        <is>
          <t>2026-03-12</t>
        </is>
      </c>
      <c r="B3395" s="3" t="inlineStr">
        <is>
          <t>대륙제관</t>
        </is>
      </c>
      <c r="C3395" s="2" t="inlineStr">
        <is>
          <t>코스닥</t>
        </is>
      </c>
      <c r="D3395" s="2" t="inlineStr">
        <is>
          <t>004780</t>
        </is>
      </c>
      <c r="E3395" s="3" t="inlineStr">
        <is>
          <t xml:space="preserve">주주총회소집결의              </t>
        </is>
      </c>
      <c r="F3395" s="3" t="inlineStr">
        <is>
          <t>대륙제관</t>
        </is>
      </c>
      <c r="G3395" s="2" t="inlineStr">
        <is>
          <t>20260312900988</t>
        </is>
      </c>
      <c r="H3395" s="8">
        <f>HYPERLINK("https://dart.fss.or.kr/dsaf001/main.do?rcpNo=20260312900988", "공시열람")</f>
        <v/>
      </c>
    </row>
    <row r="3396">
      <c r="A3396" s="2" t="inlineStr">
        <is>
          <t>2026-03-12</t>
        </is>
      </c>
      <c r="B3396" s="3" t="inlineStr">
        <is>
          <t>파수AI</t>
        </is>
      </c>
      <c r="C3396" s="2" t="inlineStr">
        <is>
          <t>코스닥</t>
        </is>
      </c>
      <c r="D3396" s="2" t="inlineStr">
        <is>
          <t>150900</t>
        </is>
      </c>
      <c r="E3396" s="3" t="inlineStr">
        <is>
          <t>주주총회소집공고</t>
        </is>
      </c>
      <c r="F3396" s="3" t="inlineStr">
        <is>
          <t>파수AI</t>
        </is>
      </c>
      <c r="G3396" s="2" t="inlineStr">
        <is>
          <t>20260312000698</t>
        </is>
      </c>
      <c r="H3396" s="8">
        <f>HYPERLINK("https://dart.fss.or.kr/dsaf001/main.do?rcpNo=20260312000698", "공시열람")</f>
        <v/>
      </c>
    </row>
    <row r="3397">
      <c r="A3397" s="2" t="inlineStr">
        <is>
          <t>2026-03-12</t>
        </is>
      </c>
      <c r="B3397" s="3" t="inlineStr">
        <is>
          <t>오스템</t>
        </is>
      </c>
      <c r="C3397" s="2" t="inlineStr">
        <is>
          <t>코스닥</t>
        </is>
      </c>
      <c r="D3397" s="2" t="inlineStr">
        <is>
          <t>031510</t>
        </is>
      </c>
      <c r="E3397" s="3" t="inlineStr">
        <is>
          <t>주주총회소집공고</t>
        </is>
      </c>
      <c r="F3397" s="3" t="inlineStr">
        <is>
          <t>오스템</t>
        </is>
      </c>
      <c r="G3397" s="2" t="inlineStr">
        <is>
          <t>20260312000695</t>
        </is>
      </c>
      <c r="H3397" s="8">
        <f>HYPERLINK("https://dart.fss.or.kr/dsaf001/main.do?rcpNo=20260312000695", "공시열람")</f>
        <v/>
      </c>
    </row>
    <row r="3398">
      <c r="A3398" s="2" t="inlineStr">
        <is>
          <t>2026-03-12</t>
        </is>
      </c>
      <c r="B3398" s="3" t="inlineStr">
        <is>
          <t>KCC건설</t>
        </is>
      </c>
      <c r="C3398" s="2" t="inlineStr">
        <is>
          <t>코스닥</t>
        </is>
      </c>
      <c r="D3398" s="2" t="inlineStr">
        <is>
          <t>021320</t>
        </is>
      </c>
      <c r="E3398" s="3" t="inlineStr">
        <is>
          <t xml:space="preserve">주주총회소집결의              </t>
        </is>
      </c>
      <c r="F3398" s="3" t="inlineStr">
        <is>
          <t>KCC건설</t>
        </is>
      </c>
      <c r="G3398" s="2" t="inlineStr">
        <is>
          <t>20260312900901</t>
        </is>
      </c>
      <c r="H3398" s="8">
        <f>HYPERLINK("https://dart.fss.or.kr/dsaf001/main.do?rcpNo=20260312900901", "공시열람")</f>
        <v/>
      </c>
    </row>
    <row r="3399">
      <c r="A3399" s="2" t="inlineStr">
        <is>
          <t>2026-03-12</t>
        </is>
      </c>
      <c r="B3399" s="3" t="inlineStr">
        <is>
          <t>메타랩스</t>
        </is>
      </c>
      <c r="C3399" s="2" t="inlineStr">
        <is>
          <t>코스피</t>
        </is>
      </c>
      <c r="D3399" s="2" t="inlineStr">
        <is>
          <t>090370</t>
        </is>
      </c>
      <c r="E3399" s="3" t="inlineStr">
        <is>
          <t xml:space="preserve">주주총회집중일개최사유신고              </t>
        </is>
      </c>
      <c r="F3399" s="3" t="inlineStr">
        <is>
          <t>메타랩스</t>
        </is>
      </c>
      <c r="G3399" s="2" t="inlineStr">
        <is>
          <t>20260312800958</t>
        </is>
      </c>
      <c r="H3399" s="8">
        <f>HYPERLINK("https://dart.fss.or.kr/dsaf001/main.do?rcpNo=20260312800958", "공시열람")</f>
        <v/>
      </c>
    </row>
    <row r="3400">
      <c r="A3400" s="2" t="inlineStr">
        <is>
          <t>2026-03-12</t>
        </is>
      </c>
      <c r="B3400" s="3" t="inlineStr">
        <is>
          <t>잇츠한불</t>
        </is>
      </c>
      <c r="C3400" s="2" t="inlineStr">
        <is>
          <t>코스피</t>
        </is>
      </c>
      <c r="D3400" s="2" t="inlineStr">
        <is>
          <t>226320</t>
        </is>
      </c>
      <c r="E3400" s="3" t="inlineStr">
        <is>
          <t xml:space="preserve">주주총회집중일개최사유신고              </t>
        </is>
      </c>
      <c r="F3400" s="3" t="inlineStr">
        <is>
          <t>잇츠한불</t>
        </is>
      </c>
      <c r="G3400" s="2" t="inlineStr">
        <is>
          <t>20260312800976</t>
        </is>
      </c>
      <c r="H3400" s="8">
        <f>HYPERLINK("https://dart.fss.or.kr/dsaf001/main.do?rcpNo=20260312800976", "공시열람")</f>
        <v/>
      </c>
    </row>
    <row r="3401">
      <c r="A3401" s="2" t="inlineStr">
        <is>
          <t>2026-03-12</t>
        </is>
      </c>
      <c r="B3401" s="3" t="inlineStr">
        <is>
          <t>롯데관광개발</t>
        </is>
      </c>
      <c r="C3401" s="2" t="inlineStr">
        <is>
          <t>코스피</t>
        </is>
      </c>
      <c r="D3401" s="2" t="inlineStr">
        <is>
          <t>032350</t>
        </is>
      </c>
      <c r="E3401" s="3" t="inlineStr">
        <is>
          <t xml:space="preserve">주주총회집중일개최사유신고              </t>
        </is>
      </c>
      <c r="F3401" s="3" t="inlineStr">
        <is>
          <t>롯데관광개발</t>
        </is>
      </c>
      <c r="G3401" s="2" t="inlineStr">
        <is>
          <t>20260312800985</t>
        </is>
      </c>
      <c r="H3401" s="8">
        <f>HYPERLINK("https://dart.fss.or.kr/dsaf001/main.do?rcpNo=20260312800985", "공시열람")</f>
        <v/>
      </c>
    </row>
    <row r="3402">
      <c r="A3402" s="2" t="inlineStr">
        <is>
          <t>2026-03-12 (정정: 2026-06-23)</t>
        </is>
      </c>
      <c r="B3402" s="3" t="inlineStr">
        <is>
          <t>엑세스바이오</t>
        </is>
      </c>
      <c r="C3402" s="2" t="inlineStr">
        <is>
          <t>코스닥</t>
        </is>
      </c>
      <c r="D3402" s="2" t="inlineStr">
        <is>
          <t>950130</t>
        </is>
      </c>
      <c r="E3402" s="3" t="inlineStr">
        <is>
          <t>주주총회소집결의               (정정: 20260623)</t>
        </is>
      </c>
      <c r="F3402" s="3" t="inlineStr">
        <is>
          <t>엑세스바이오</t>
        </is>
      </c>
      <c r="G3402" s="2" t="inlineStr">
        <is>
          <t>20260623000058</t>
        </is>
      </c>
      <c r="H3402" s="8">
        <f>HYPERLINK("https://dart.fss.or.kr/dsaf001/main.do?rcpNo=20260623000058", "공시열람")</f>
        <v/>
      </c>
    </row>
    <row r="3403">
      <c r="A3403" s="2" t="inlineStr">
        <is>
          <t>2026-03-12</t>
        </is>
      </c>
      <c r="B3403" s="3" t="inlineStr">
        <is>
          <t>에스제이엠홀딩스</t>
        </is>
      </c>
      <c r="C3403" s="2" t="inlineStr">
        <is>
          <t>코스피</t>
        </is>
      </c>
      <c r="D3403" s="2" t="inlineStr">
        <is>
          <t>025530</t>
        </is>
      </c>
      <c r="E3403" s="3" t="inlineStr">
        <is>
          <t>주주총회소집공고</t>
        </is>
      </c>
      <c r="F3403" s="3" t="inlineStr">
        <is>
          <t>에스제이엠홀딩스</t>
        </is>
      </c>
      <c r="G3403" s="2" t="inlineStr">
        <is>
          <t>20260312000687</t>
        </is>
      </c>
      <c r="H3403" s="8">
        <f>HYPERLINK("https://dart.fss.or.kr/dsaf001/main.do?rcpNo=20260312000687", "공시열람")</f>
        <v/>
      </c>
    </row>
    <row r="3404">
      <c r="A3404" s="2" t="inlineStr">
        <is>
          <t>2026-03-12 (정정: 2026-03-12)</t>
        </is>
      </c>
      <c r="B3404" s="3" t="inlineStr">
        <is>
          <t>HPSP</t>
        </is>
      </c>
      <c r="C3404" s="2" t="inlineStr">
        <is>
          <t>코스닥</t>
        </is>
      </c>
      <c r="D3404" s="2" t="inlineStr">
        <is>
          <t>403870</t>
        </is>
      </c>
      <c r="E3404" s="3" t="inlineStr">
        <is>
          <t>주주총회소집공고 (정정: 20260312)</t>
        </is>
      </c>
      <c r="F3404" s="3" t="inlineStr">
        <is>
          <t>HPSP</t>
        </is>
      </c>
      <c r="G3404" s="2" t="inlineStr">
        <is>
          <t>20260312900282</t>
        </is>
      </c>
      <c r="H3404" s="8">
        <f>HYPERLINK("https://dart.fss.or.kr/dsaf001/main.do?rcpNo=20260312900282", "공시열람")</f>
        <v/>
      </c>
    </row>
    <row r="3405">
      <c r="A3405" s="2" t="inlineStr">
        <is>
          <t>2026-03-12</t>
        </is>
      </c>
      <c r="B3405" s="3" t="inlineStr">
        <is>
          <t>대성홀딩스</t>
        </is>
      </c>
      <c r="C3405" s="2" t="inlineStr">
        <is>
          <t>코스피</t>
        </is>
      </c>
      <c r="D3405" s="2" t="inlineStr">
        <is>
          <t>016710</t>
        </is>
      </c>
      <c r="E3405" s="3" t="inlineStr">
        <is>
          <t xml:space="preserve">주주총회집중일개최사유신고              </t>
        </is>
      </c>
      <c r="F3405" s="3" t="inlineStr">
        <is>
          <t>대성홀딩스</t>
        </is>
      </c>
      <c r="G3405" s="2" t="inlineStr">
        <is>
          <t>20260312800874</t>
        </is>
      </c>
      <c r="H3405" s="8">
        <f>HYPERLINK("https://dart.fss.or.kr/dsaf001/main.do?rcpNo=20260312800874", "공시열람")</f>
        <v/>
      </c>
    </row>
    <row r="3406">
      <c r="A3406" s="2" t="inlineStr">
        <is>
          <t>2026-03-12</t>
        </is>
      </c>
      <c r="B3406" s="3" t="inlineStr">
        <is>
          <t>잇츠한불</t>
        </is>
      </c>
      <c r="C3406" s="2" t="inlineStr">
        <is>
          <t>코스피</t>
        </is>
      </c>
      <c r="D3406" s="2" t="inlineStr">
        <is>
          <t>226320</t>
        </is>
      </c>
      <c r="E3406" s="3" t="inlineStr">
        <is>
          <t xml:space="preserve">주주총회소집결의              </t>
        </is>
      </c>
      <c r="F3406" s="3" t="inlineStr">
        <is>
          <t>잇츠한불</t>
        </is>
      </c>
      <c r="G3406" s="2" t="inlineStr">
        <is>
          <t>20260312800956</t>
        </is>
      </c>
      <c r="H3406" s="8">
        <f>HYPERLINK("https://dart.fss.or.kr/dsaf001/main.do?rcpNo=20260312800956", "공시열람")</f>
        <v/>
      </c>
    </row>
    <row r="3407">
      <c r="A3407" s="2" t="inlineStr">
        <is>
          <t>2026-03-12</t>
        </is>
      </c>
      <c r="B3407" s="3" t="inlineStr">
        <is>
          <t>이연제약</t>
        </is>
      </c>
      <c r="C3407" s="2" t="inlineStr">
        <is>
          <t>코스피</t>
        </is>
      </c>
      <c r="D3407" s="2" t="inlineStr">
        <is>
          <t>102460</t>
        </is>
      </c>
      <c r="E3407" s="3" t="inlineStr">
        <is>
          <t xml:space="preserve">주주총회집중일개최사유신고              </t>
        </is>
      </c>
      <c r="F3407" s="3" t="inlineStr">
        <is>
          <t>이연제약</t>
        </is>
      </c>
      <c r="G3407" s="2" t="inlineStr">
        <is>
          <t>20260312800952</t>
        </is>
      </c>
      <c r="H3407" s="8">
        <f>HYPERLINK("https://dart.fss.or.kr/dsaf001/main.do?rcpNo=20260312800952", "공시열람")</f>
        <v/>
      </c>
    </row>
    <row r="3408">
      <c r="A3408" s="2" t="inlineStr">
        <is>
          <t>2026-03-12</t>
        </is>
      </c>
      <c r="B3408" s="3" t="inlineStr">
        <is>
          <t>슈어소프트테크</t>
        </is>
      </c>
      <c r="C3408" s="2" t="inlineStr">
        <is>
          <t>코스닥</t>
        </is>
      </c>
      <c r="D3408" s="2" t="inlineStr">
        <is>
          <t>298830</t>
        </is>
      </c>
      <c r="E3408" s="3" t="inlineStr">
        <is>
          <t>주주총회소집공고</t>
        </is>
      </c>
      <c r="F3408" s="3" t="inlineStr">
        <is>
          <t>슈어소프트테크</t>
        </is>
      </c>
      <c r="G3408" s="2" t="inlineStr">
        <is>
          <t>20260312000679</t>
        </is>
      </c>
      <c r="H3408" s="8">
        <f>HYPERLINK("https://dart.fss.or.kr/dsaf001/main.do?rcpNo=20260312000679", "공시열람")</f>
        <v/>
      </c>
    </row>
    <row r="3409">
      <c r="A3409" s="2" t="inlineStr">
        <is>
          <t>2026-03-12</t>
        </is>
      </c>
      <c r="B3409" s="3" t="inlineStr">
        <is>
          <t>대성산업</t>
        </is>
      </c>
      <c r="C3409" s="2" t="inlineStr">
        <is>
          <t>코스피</t>
        </is>
      </c>
      <c r="D3409" s="2" t="inlineStr">
        <is>
          <t>128820</t>
        </is>
      </c>
      <c r="E3409" s="3" t="inlineStr">
        <is>
          <t xml:space="preserve">주주총회소집결의              </t>
        </is>
      </c>
      <c r="F3409" s="3" t="inlineStr">
        <is>
          <t>대성산업</t>
        </is>
      </c>
      <c r="G3409" s="2" t="inlineStr">
        <is>
          <t>20260312800933</t>
        </is>
      </c>
      <c r="H3409" s="8">
        <f>HYPERLINK("https://dart.fss.or.kr/dsaf001/main.do?rcpNo=20260312800933", "공시열람")</f>
        <v/>
      </c>
    </row>
    <row r="3410">
      <c r="A3410" s="2" t="inlineStr">
        <is>
          <t>2026-03-12</t>
        </is>
      </c>
      <c r="B3410" s="3" t="inlineStr">
        <is>
          <t>위지윅스튜디오</t>
        </is>
      </c>
      <c r="C3410" s="2" t="inlineStr">
        <is>
          <t>코스닥</t>
        </is>
      </c>
      <c r="D3410" s="2" t="inlineStr">
        <is>
          <t>299900</t>
        </is>
      </c>
      <c r="E3410" s="3" t="inlineStr">
        <is>
          <t>주주총회소집공고</t>
        </is>
      </c>
      <c r="F3410" s="3" t="inlineStr">
        <is>
          <t>위지윅스튜디오</t>
        </is>
      </c>
      <c r="G3410" s="2" t="inlineStr">
        <is>
          <t>20260312000676</t>
        </is>
      </c>
      <c r="H3410" s="8">
        <f>HYPERLINK("https://dart.fss.or.kr/dsaf001/main.do?rcpNo=20260312000676", "공시열람")</f>
        <v/>
      </c>
    </row>
    <row r="3411">
      <c r="A3411" s="2" t="inlineStr">
        <is>
          <t>2026-03-12</t>
        </is>
      </c>
      <c r="B3411" s="3" t="inlineStr">
        <is>
          <t>주연테크</t>
        </is>
      </c>
      <c r="C3411" s="2" t="inlineStr">
        <is>
          <t>코스피</t>
        </is>
      </c>
      <c r="D3411" s="2" t="inlineStr">
        <is>
          <t>044380</t>
        </is>
      </c>
      <c r="E3411" s="3" t="inlineStr">
        <is>
          <t>주주총회소집공고</t>
        </is>
      </c>
      <c r="F3411" s="3" t="inlineStr">
        <is>
          <t>주연테크</t>
        </is>
      </c>
      <c r="G3411" s="2" t="inlineStr">
        <is>
          <t>20260312000671</t>
        </is>
      </c>
      <c r="H3411" s="8">
        <f>HYPERLINK("https://dart.fss.or.kr/dsaf001/main.do?rcpNo=20260312000671", "공시열람")</f>
        <v/>
      </c>
    </row>
    <row r="3412">
      <c r="A3412" s="2" t="inlineStr">
        <is>
          <t>2026-03-12</t>
        </is>
      </c>
      <c r="B3412" s="3" t="inlineStr">
        <is>
          <t>메타랩스</t>
        </is>
      </c>
      <c r="C3412" s="2" t="inlineStr">
        <is>
          <t>코스피</t>
        </is>
      </c>
      <c r="D3412" s="2" t="inlineStr">
        <is>
          <t>090370</t>
        </is>
      </c>
      <c r="E3412" s="3" t="inlineStr">
        <is>
          <t>주주총회소집공고</t>
        </is>
      </c>
      <c r="F3412" s="3" t="inlineStr">
        <is>
          <t>메타랩스</t>
        </is>
      </c>
      <c r="G3412" s="2" t="inlineStr">
        <is>
          <t>20260312000670</t>
        </is>
      </c>
      <c r="H3412" s="8">
        <f>HYPERLINK("https://dart.fss.or.kr/dsaf001/main.do?rcpNo=20260312000670", "공시열람")</f>
        <v/>
      </c>
    </row>
    <row r="3413">
      <c r="A3413" s="2" t="inlineStr">
        <is>
          <t>2026-03-12</t>
        </is>
      </c>
      <c r="B3413" s="3" t="inlineStr">
        <is>
          <t>WISCOM</t>
        </is>
      </c>
      <c r="C3413" s="2" t="inlineStr">
        <is>
          <t>코스피</t>
        </is>
      </c>
      <c r="D3413" s="2" t="inlineStr">
        <is>
          <t>024070</t>
        </is>
      </c>
      <c r="E3413" s="3" t="inlineStr">
        <is>
          <t xml:space="preserve">주주총회소집결의              </t>
        </is>
      </c>
      <c r="F3413" s="3" t="inlineStr">
        <is>
          <t>WISCOM</t>
        </is>
      </c>
      <c r="G3413" s="2" t="inlineStr">
        <is>
          <t>20260312800870</t>
        </is>
      </c>
      <c r="H3413" s="8">
        <f>HYPERLINK("https://dart.fss.or.kr/dsaf001/main.do?rcpNo=20260312800870", "공시열람")</f>
        <v/>
      </c>
    </row>
    <row r="3414">
      <c r="A3414" s="2" t="inlineStr">
        <is>
          <t>2026-03-12</t>
        </is>
      </c>
      <c r="B3414" s="3" t="inlineStr">
        <is>
          <t>롯데관광개발</t>
        </is>
      </c>
      <c r="C3414" s="2" t="inlineStr">
        <is>
          <t>코스피</t>
        </is>
      </c>
      <c r="D3414" s="2" t="inlineStr">
        <is>
          <t>032350</t>
        </is>
      </c>
      <c r="E3414" s="3" t="inlineStr">
        <is>
          <t>주주총회소집공고</t>
        </is>
      </c>
      <c r="F3414" s="3" t="inlineStr">
        <is>
          <t>롯데관광개발</t>
        </is>
      </c>
      <c r="G3414" s="2" t="inlineStr">
        <is>
          <t>20260312000669</t>
        </is>
      </c>
      <c r="H3414" s="8">
        <f>HYPERLINK("https://dart.fss.or.kr/dsaf001/main.do?rcpNo=20260312000669", "공시열람")</f>
        <v/>
      </c>
    </row>
    <row r="3415">
      <c r="A3415" s="2" t="inlineStr">
        <is>
          <t>2026-03-12</t>
        </is>
      </c>
      <c r="B3415" s="3" t="inlineStr">
        <is>
          <t>토마토시스템</t>
        </is>
      </c>
      <c r="C3415" s="2" t="inlineStr">
        <is>
          <t>코스닥</t>
        </is>
      </c>
      <c r="D3415" s="2" t="inlineStr">
        <is>
          <t>393210</t>
        </is>
      </c>
      <c r="E3415" s="3" t="inlineStr">
        <is>
          <t xml:space="preserve">주주총회소집결의              </t>
        </is>
      </c>
      <c r="F3415" s="3" t="inlineStr">
        <is>
          <t>토마토시스템</t>
        </is>
      </c>
      <c r="G3415" s="2" t="inlineStr">
        <is>
          <t>20260312900869</t>
        </is>
      </c>
      <c r="H3415" s="8">
        <f>HYPERLINK("https://dart.fss.or.kr/dsaf001/main.do?rcpNo=20260312900869", "공시열람")</f>
        <v/>
      </c>
    </row>
    <row r="3416">
      <c r="A3416" s="2" t="inlineStr">
        <is>
          <t>2026-03-12</t>
        </is>
      </c>
      <c r="B3416" s="3" t="inlineStr">
        <is>
          <t>모티브링크</t>
        </is>
      </c>
      <c r="C3416" s="2" t="inlineStr">
        <is>
          <t>코스닥</t>
        </is>
      </c>
      <c r="D3416" s="2" t="inlineStr">
        <is>
          <t>463480</t>
        </is>
      </c>
      <c r="E3416" s="3" t="inlineStr">
        <is>
          <t xml:space="preserve">주주총회소집결의              </t>
        </is>
      </c>
      <c r="F3416" s="3" t="inlineStr">
        <is>
          <t>모티브링크</t>
        </is>
      </c>
      <c r="G3416" s="2" t="inlineStr">
        <is>
          <t>20260312900847</t>
        </is>
      </c>
      <c r="H3416" s="8">
        <f>HYPERLINK("https://dart.fss.or.kr/dsaf001/main.do?rcpNo=20260312900847", "공시열람")</f>
        <v/>
      </c>
    </row>
    <row r="3417">
      <c r="A3417" s="2" t="inlineStr">
        <is>
          <t>2026-03-12</t>
        </is>
      </c>
      <c r="B3417" s="3" t="inlineStr">
        <is>
          <t>일신석재</t>
        </is>
      </c>
      <c r="C3417" s="2" t="inlineStr">
        <is>
          <t>코스피</t>
        </is>
      </c>
      <c r="D3417" s="2" t="inlineStr">
        <is>
          <t>007110</t>
        </is>
      </c>
      <c r="E3417" s="3" t="inlineStr">
        <is>
          <t>주주총회소집공고</t>
        </is>
      </c>
      <c r="F3417" s="3" t="inlineStr">
        <is>
          <t>일신석재</t>
        </is>
      </c>
      <c r="G3417" s="2" t="inlineStr">
        <is>
          <t>20260312000663</t>
        </is>
      </c>
      <c r="H3417" s="8">
        <f>HYPERLINK("https://dart.fss.or.kr/dsaf001/main.do?rcpNo=20260312000663", "공시열람")</f>
        <v/>
      </c>
    </row>
    <row r="3418">
      <c r="A3418" s="2" t="inlineStr">
        <is>
          <t>2026-03-12</t>
        </is>
      </c>
      <c r="B3418" s="3" t="inlineStr">
        <is>
          <t>비트플래닛</t>
        </is>
      </c>
      <c r="C3418" s="2" t="inlineStr">
        <is>
          <t>코스닥</t>
        </is>
      </c>
      <c r="D3418" s="2" t="inlineStr">
        <is>
          <t>049470</t>
        </is>
      </c>
      <c r="E3418" s="3" t="inlineStr">
        <is>
          <t>주주총회소집공고</t>
        </is>
      </c>
      <c r="F3418" s="3" t="inlineStr">
        <is>
          <t>비트플래닛</t>
        </is>
      </c>
      <c r="G3418" s="2" t="inlineStr">
        <is>
          <t>20260312000660</t>
        </is>
      </c>
      <c r="H3418" s="8">
        <f>HYPERLINK("https://dart.fss.or.kr/dsaf001/main.do?rcpNo=20260312000660", "공시열람")</f>
        <v/>
      </c>
    </row>
    <row r="3419">
      <c r="A3419" s="2" t="inlineStr">
        <is>
          <t>2026-03-12</t>
        </is>
      </c>
      <c r="B3419" s="3" t="inlineStr">
        <is>
          <t>레드캡투어</t>
        </is>
      </c>
      <c r="C3419" s="2" t="inlineStr">
        <is>
          <t>코스닥</t>
        </is>
      </c>
      <c r="D3419" s="2" t="inlineStr">
        <is>
          <t>038390</t>
        </is>
      </c>
      <c r="E3419" s="3" t="inlineStr">
        <is>
          <t>주주총회소집공고</t>
        </is>
      </c>
      <c r="F3419" s="3" t="inlineStr">
        <is>
          <t>레드캡투어</t>
        </is>
      </c>
      <c r="G3419" s="2" t="inlineStr">
        <is>
          <t>20260312000659</t>
        </is>
      </c>
      <c r="H3419" s="8">
        <f>HYPERLINK("https://dart.fss.or.kr/dsaf001/main.do?rcpNo=20260312000659", "공시열람")</f>
        <v/>
      </c>
    </row>
    <row r="3420">
      <c r="A3420" s="2" t="inlineStr">
        <is>
          <t>2026-03-12</t>
        </is>
      </c>
      <c r="B3420" s="3" t="inlineStr">
        <is>
          <t>오스템</t>
        </is>
      </c>
      <c r="C3420" s="2" t="inlineStr">
        <is>
          <t>코스닥</t>
        </is>
      </c>
      <c r="D3420" s="2" t="inlineStr">
        <is>
          <t>031510</t>
        </is>
      </c>
      <c r="E3420" s="3" t="inlineStr">
        <is>
          <t xml:space="preserve">주주총회집중일개최사유신고              </t>
        </is>
      </c>
      <c r="F3420" s="3" t="inlineStr">
        <is>
          <t>오스템</t>
        </is>
      </c>
      <c r="G3420" s="2" t="inlineStr">
        <is>
          <t>20260312900790</t>
        </is>
      </c>
      <c r="H3420" s="8">
        <f>HYPERLINK("https://dart.fss.or.kr/dsaf001/main.do?rcpNo=20260312900790", "공시열람")</f>
        <v/>
      </c>
    </row>
    <row r="3421">
      <c r="A3421" s="2" t="inlineStr">
        <is>
          <t>2026-03-12</t>
        </is>
      </c>
      <c r="B3421" s="3" t="inlineStr">
        <is>
          <t>오킨스전자</t>
        </is>
      </c>
      <c r="C3421" s="2" t="inlineStr">
        <is>
          <t>코스닥</t>
        </is>
      </c>
      <c r="D3421" s="2" t="inlineStr">
        <is>
          <t>080580</t>
        </is>
      </c>
      <c r="E3421" s="3" t="inlineStr">
        <is>
          <t>주주총회소집공고</t>
        </is>
      </c>
      <c r="F3421" s="3" t="inlineStr">
        <is>
          <t>오킨스전자</t>
        </is>
      </c>
      <c r="G3421" s="2" t="inlineStr">
        <is>
          <t>20260312000658</t>
        </is>
      </c>
      <c r="H3421" s="8">
        <f>HYPERLINK("https://dart.fss.or.kr/dsaf001/main.do?rcpNo=20260312000658", "공시열람")</f>
        <v/>
      </c>
    </row>
    <row r="3422">
      <c r="A3422" s="2" t="inlineStr">
        <is>
          <t>2026-03-12 (정정: 2026-03-12)</t>
        </is>
      </c>
      <c r="B3422" s="3" t="inlineStr">
        <is>
          <t>모비데이즈</t>
        </is>
      </c>
      <c r="C3422" s="2" t="inlineStr">
        <is>
          <t>코스닥</t>
        </is>
      </c>
      <c r="D3422" s="2" t="inlineStr">
        <is>
          <t>363260</t>
        </is>
      </c>
      <c r="E3422" s="3" t="inlineStr">
        <is>
          <t>주주총회소집공고 (정정: 20260312)</t>
        </is>
      </c>
      <c r="F3422" s="3" t="inlineStr">
        <is>
          <t>모비데이즈</t>
        </is>
      </c>
      <c r="G3422" s="2" t="inlineStr">
        <is>
          <t>20260312900817</t>
        </is>
      </c>
      <c r="H3422" s="8">
        <f>HYPERLINK("https://dart.fss.or.kr/dsaf001/main.do?rcpNo=20260312900817", "공시열람")</f>
        <v/>
      </c>
    </row>
    <row r="3423">
      <c r="A3423" s="2" t="inlineStr">
        <is>
          <t>2026-03-12</t>
        </is>
      </c>
      <c r="B3423" s="3" t="inlineStr">
        <is>
          <t>레드캡투어</t>
        </is>
      </c>
      <c r="C3423" s="2" t="inlineStr">
        <is>
          <t>코스닥</t>
        </is>
      </c>
      <c r="D3423" s="2" t="inlineStr">
        <is>
          <t>038390</t>
        </is>
      </c>
      <c r="E3423" s="3" t="inlineStr">
        <is>
          <t xml:space="preserve">주주총회집중일개최사유신고              </t>
        </is>
      </c>
      <c r="F3423" s="3" t="inlineStr">
        <is>
          <t>레드캡투어</t>
        </is>
      </c>
      <c r="G3423" s="2" t="inlineStr">
        <is>
          <t>20260312900924</t>
        </is>
      </c>
      <c r="H3423" s="8">
        <f>HYPERLINK("https://dart.fss.or.kr/dsaf001/main.do?rcpNo=20260312900924", "공시열람")</f>
        <v/>
      </c>
    </row>
    <row r="3424">
      <c r="A3424" s="2" t="inlineStr">
        <is>
          <t>2026-03-12</t>
        </is>
      </c>
      <c r="B3424" s="3" t="inlineStr">
        <is>
          <t>모비릭스</t>
        </is>
      </c>
      <c r="C3424" s="2" t="inlineStr">
        <is>
          <t>코스닥</t>
        </is>
      </c>
      <c r="D3424" s="2" t="inlineStr">
        <is>
          <t>348030</t>
        </is>
      </c>
      <c r="E3424" s="3" t="inlineStr">
        <is>
          <t>주주총회소집공고</t>
        </is>
      </c>
      <c r="F3424" s="3" t="inlineStr">
        <is>
          <t>모비릭스</t>
        </is>
      </c>
      <c r="G3424" s="2" t="inlineStr">
        <is>
          <t>20260312000656</t>
        </is>
      </c>
      <c r="H3424" s="8">
        <f>HYPERLINK("https://dart.fss.or.kr/dsaf001/main.do?rcpNo=20260312000656", "공시열람")</f>
        <v/>
      </c>
    </row>
    <row r="3425">
      <c r="A3425" s="2" t="inlineStr">
        <is>
          <t>2026-03-12</t>
        </is>
      </c>
      <c r="B3425" s="3" t="inlineStr">
        <is>
          <t>아이씨티케이</t>
        </is>
      </c>
      <c r="C3425" s="2" t="inlineStr">
        <is>
          <t>코스닥</t>
        </is>
      </c>
      <c r="D3425" s="2" t="inlineStr">
        <is>
          <t>456010</t>
        </is>
      </c>
      <c r="E3425" s="3" t="inlineStr">
        <is>
          <t xml:space="preserve">주주총회집중일개최사유신고              </t>
        </is>
      </c>
      <c r="F3425" s="3" t="inlineStr">
        <is>
          <t>아이씨티케이</t>
        </is>
      </c>
      <c r="G3425" s="2" t="inlineStr">
        <is>
          <t>20260312900862</t>
        </is>
      </c>
      <c r="H3425" s="8">
        <f>HYPERLINK("https://dart.fss.or.kr/dsaf001/main.do?rcpNo=20260312900862", "공시열람")</f>
        <v/>
      </c>
    </row>
    <row r="3426">
      <c r="A3426" s="2" t="inlineStr">
        <is>
          <t>2026-03-12</t>
        </is>
      </c>
      <c r="B3426" s="3" t="inlineStr">
        <is>
          <t>아이씨티케이</t>
        </is>
      </c>
      <c r="C3426" s="2" t="inlineStr">
        <is>
          <t>코스닥</t>
        </is>
      </c>
      <c r="D3426" s="2" t="inlineStr">
        <is>
          <t>456010</t>
        </is>
      </c>
      <c r="E3426" s="3" t="inlineStr">
        <is>
          <t xml:space="preserve">주주총회소집결의              </t>
        </is>
      </c>
      <c r="F3426" s="3" t="inlineStr">
        <is>
          <t>아이씨티케이</t>
        </is>
      </c>
      <c r="G3426" s="2" t="inlineStr">
        <is>
          <t>20260312900859</t>
        </is>
      </c>
      <c r="H3426" s="8">
        <f>HYPERLINK("https://dart.fss.or.kr/dsaf001/main.do?rcpNo=20260312900859", "공시열람")</f>
        <v/>
      </c>
    </row>
    <row r="3427">
      <c r="A3427" s="2" t="inlineStr">
        <is>
          <t>2026-03-12</t>
        </is>
      </c>
      <c r="B3427" s="3" t="inlineStr">
        <is>
          <t>토비스</t>
        </is>
      </c>
      <c r="C3427" s="2" t="inlineStr">
        <is>
          <t>코스닥</t>
        </is>
      </c>
      <c r="D3427" s="2" t="inlineStr">
        <is>
          <t>051360</t>
        </is>
      </c>
      <c r="E3427" s="3" t="inlineStr">
        <is>
          <t>[기재정정]주요사항보고서(회사분할결정)</t>
        </is>
      </c>
      <c r="F3427" s="3" t="inlineStr">
        <is>
          <t>토비스</t>
        </is>
      </c>
      <c r="G3427" s="2" t="inlineStr">
        <is>
          <t>20260312000602</t>
        </is>
      </c>
      <c r="H3427" s="8">
        <f>HYPERLINK("https://dart.fss.or.kr/dsaf001/main.do?rcpNo=20260312000602", "공시열람")</f>
        <v/>
      </c>
    </row>
    <row r="3428">
      <c r="A3428" s="2" t="inlineStr">
        <is>
          <t>2026-03-12</t>
        </is>
      </c>
      <c r="B3428" s="3" t="inlineStr">
        <is>
          <t>도부</t>
        </is>
      </c>
      <c r="C3428" s="2" t="inlineStr">
        <is>
          <t>코넥스</t>
        </is>
      </c>
      <c r="D3428" s="2" t="inlineStr">
        <is>
          <t>227420</t>
        </is>
      </c>
      <c r="E3428" s="3" t="inlineStr">
        <is>
          <t xml:space="preserve">주주총회소집결의              </t>
        </is>
      </c>
      <c r="F3428" s="3" t="inlineStr">
        <is>
          <t>도부</t>
        </is>
      </c>
      <c r="G3428" s="2" t="inlineStr">
        <is>
          <t>20260312600879</t>
        </is>
      </c>
      <c r="H3428" s="8">
        <f>HYPERLINK("https://dart.fss.or.kr/dsaf001/main.do?rcpNo=20260312600879", "공시열람")</f>
        <v/>
      </c>
    </row>
    <row r="3429">
      <c r="A3429" s="2" t="inlineStr">
        <is>
          <t>2026-03-12</t>
        </is>
      </c>
      <c r="B3429" s="3" t="inlineStr">
        <is>
          <t>인카금융서비스</t>
        </is>
      </c>
      <c r="C3429" s="2" t="inlineStr">
        <is>
          <t>코스닥</t>
        </is>
      </c>
      <c r="D3429" s="2" t="inlineStr">
        <is>
          <t>211050</t>
        </is>
      </c>
      <c r="E3429" s="3" t="inlineStr">
        <is>
          <t>주주총회소집공고</t>
        </is>
      </c>
      <c r="F3429" s="3" t="inlineStr">
        <is>
          <t>인카금융서비스</t>
        </is>
      </c>
      <c r="G3429" s="2" t="inlineStr">
        <is>
          <t>20260312000651</t>
        </is>
      </c>
      <c r="H3429" s="8">
        <f>HYPERLINK("https://dart.fss.or.kr/dsaf001/main.do?rcpNo=20260312000651", "공시열람")</f>
        <v/>
      </c>
    </row>
    <row r="3430">
      <c r="A3430" s="2" t="inlineStr">
        <is>
          <t>2026-03-12</t>
        </is>
      </c>
      <c r="B3430" s="3" t="inlineStr">
        <is>
          <t>메디톡스</t>
        </is>
      </c>
      <c r="C3430" s="2" t="inlineStr">
        <is>
          <t>코스닥</t>
        </is>
      </c>
      <c r="D3430" s="2" t="inlineStr">
        <is>
          <t>086900</t>
        </is>
      </c>
      <c r="E3430" s="3" t="inlineStr">
        <is>
          <t xml:space="preserve">주주총회집중일개최사유신고              </t>
        </is>
      </c>
      <c r="F3430" s="3" t="inlineStr">
        <is>
          <t>메디톡스</t>
        </is>
      </c>
      <c r="G3430" s="2" t="inlineStr">
        <is>
          <t>20260312900894</t>
        </is>
      </c>
      <c r="H3430" s="8">
        <f>HYPERLINK("https://dart.fss.or.kr/dsaf001/main.do?rcpNo=20260312900894", "공시열람")</f>
        <v/>
      </c>
    </row>
    <row r="3431">
      <c r="A3431" s="2" t="inlineStr">
        <is>
          <t>2026-03-12</t>
        </is>
      </c>
      <c r="B3431" s="3" t="inlineStr">
        <is>
          <t>알서포트</t>
        </is>
      </c>
      <c r="C3431" s="2" t="inlineStr">
        <is>
          <t>코스닥</t>
        </is>
      </c>
      <c r="D3431" s="2" t="inlineStr">
        <is>
          <t>131370</t>
        </is>
      </c>
      <c r="E3431" s="3" t="inlineStr">
        <is>
          <t>주주총회소집공고</t>
        </is>
      </c>
      <c r="F3431" s="3" t="inlineStr">
        <is>
          <t>알서포트</t>
        </is>
      </c>
      <c r="G3431" s="2" t="inlineStr">
        <is>
          <t>20260312000646</t>
        </is>
      </c>
      <c r="H3431" s="8">
        <f>HYPERLINK("https://dart.fss.or.kr/dsaf001/main.do?rcpNo=20260312000646", "공시열람")</f>
        <v/>
      </c>
    </row>
    <row r="3432">
      <c r="A3432" s="2" t="inlineStr">
        <is>
          <t>2026-03-12</t>
        </is>
      </c>
      <c r="B3432" s="3" t="inlineStr">
        <is>
          <t>대영포장</t>
        </is>
      </c>
      <c r="C3432" s="2" t="inlineStr">
        <is>
          <t>코스피</t>
        </is>
      </c>
      <c r="D3432" s="2" t="inlineStr">
        <is>
          <t>014160</t>
        </is>
      </c>
      <c r="E3432" s="3" t="inlineStr">
        <is>
          <t>주주총회소집공고</t>
        </is>
      </c>
      <c r="F3432" s="3" t="inlineStr">
        <is>
          <t>대영포장</t>
        </is>
      </c>
      <c r="G3432" s="2" t="inlineStr">
        <is>
          <t>20260312000645</t>
        </is>
      </c>
      <c r="H3432" s="8">
        <f>HYPERLINK("https://dart.fss.or.kr/dsaf001/main.do?rcpNo=20260312000645", "공시열람")</f>
        <v/>
      </c>
    </row>
    <row r="3433">
      <c r="A3433" s="2" t="inlineStr">
        <is>
          <t>2026-03-12</t>
        </is>
      </c>
      <c r="B3433" s="3" t="inlineStr">
        <is>
          <t>동양파일</t>
        </is>
      </c>
      <c r="C3433" s="2" t="inlineStr">
        <is>
          <t>코스닥</t>
        </is>
      </c>
      <c r="D3433" s="2" t="inlineStr">
        <is>
          <t>228340</t>
        </is>
      </c>
      <c r="E3433" s="3" t="inlineStr">
        <is>
          <t>주주총회소집공고</t>
        </is>
      </c>
      <c r="F3433" s="3" t="inlineStr">
        <is>
          <t>동양파일</t>
        </is>
      </c>
      <c r="G3433" s="2" t="inlineStr">
        <is>
          <t>20260312000644</t>
        </is>
      </c>
      <c r="H3433" s="8">
        <f>HYPERLINK("https://dart.fss.or.kr/dsaf001/main.do?rcpNo=20260312000644", "공시열람")</f>
        <v/>
      </c>
    </row>
    <row r="3434">
      <c r="A3434" s="2" t="inlineStr">
        <is>
          <t>2026-03-12</t>
        </is>
      </c>
      <c r="B3434" s="3" t="inlineStr">
        <is>
          <t>DSR</t>
        </is>
      </c>
      <c r="C3434" s="2" t="inlineStr">
        <is>
          <t>코스피</t>
        </is>
      </c>
      <c r="D3434" s="2" t="inlineStr">
        <is>
          <t>155660</t>
        </is>
      </c>
      <c r="E3434" s="3" t="inlineStr">
        <is>
          <t>주주총회소집공고</t>
        </is>
      </c>
      <c r="F3434" s="3" t="inlineStr">
        <is>
          <t>DSR</t>
        </is>
      </c>
      <c r="G3434" s="2" t="inlineStr">
        <is>
          <t>20260312000642</t>
        </is>
      </c>
      <c r="H3434" s="8">
        <f>HYPERLINK("https://dart.fss.or.kr/dsaf001/main.do?rcpNo=20260312000642", "공시열람")</f>
        <v/>
      </c>
    </row>
    <row r="3435">
      <c r="A3435" s="2" t="inlineStr">
        <is>
          <t>2026-03-12</t>
        </is>
      </c>
      <c r="B3435" s="3" t="inlineStr">
        <is>
          <t>신흥</t>
        </is>
      </c>
      <c r="C3435" s="2" t="inlineStr">
        <is>
          <t>코스피</t>
        </is>
      </c>
      <c r="D3435" s="2" t="inlineStr">
        <is>
          <t>004080</t>
        </is>
      </c>
      <c r="E3435" s="3" t="inlineStr">
        <is>
          <t xml:space="preserve">주주총회소집결의              </t>
        </is>
      </c>
      <c r="F3435" s="3" t="inlineStr">
        <is>
          <t>신흥</t>
        </is>
      </c>
      <c r="G3435" s="2" t="inlineStr">
        <is>
          <t>20260312800835</t>
        </is>
      </c>
      <c r="H3435" s="8">
        <f>HYPERLINK("https://dart.fss.or.kr/dsaf001/main.do?rcpNo=20260312800835", "공시열람")</f>
        <v/>
      </c>
    </row>
    <row r="3436">
      <c r="A3436" s="2" t="inlineStr">
        <is>
          <t>2026-03-12</t>
        </is>
      </c>
      <c r="B3436" s="3" t="inlineStr">
        <is>
          <t>모비데이즈</t>
        </is>
      </c>
      <c r="C3436" s="2" t="inlineStr">
        <is>
          <t>코스닥</t>
        </is>
      </c>
      <c r="D3436" s="2" t="inlineStr">
        <is>
          <t>363260</t>
        </is>
      </c>
      <c r="E3436" s="3" t="inlineStr">
        <is>
          <t xml:space="preserve">주주총회소집결의              </t>
        </is>
      </c>
      <c r="F3436" s="3" t="inlineStr">
        <is>
          <t>모비데이즈</t>
        </is>
      </c>
      <c r="G3436" s="2" t="inlineStr">
        <is>
          <t>20260312900891</t>
        </is>
      </c>
      <c r="H3436" s="8">
        <f>HYPERLINK("https://dart.fss.or.kr/dsaf001/main.do?rcpNo=20260312900891", "공시열람")</f>
        <v/>
      </c>
    </row>
    <row r="3437">
      <c r="A3437" s="2" t="inlineStr">
        <is>
          <t>2026-03-12</t>
        </is>
      </c>
      <c r="B3437" s="3" t="inlineStr">
        <is>
          <t>에이비엘바이오</t>
        </is>
      </c>
      <c r="C3437" s="2" t="inlineStr">
        <is>
          <t>코스닥</t>
        </is>
      </c>
      <c r="D3437" s="2" t="inlineStr">
        <is>
          <t>298380</t>
        </is>
      </c>
      <c r="E3437" s="3" t="inlineStr">
        <is>
          <t xml:space="preserve">주주총회소집결의              </t>
        </is>
      </c>
      <c r="F3437" s="3" t="inlineStr">
        <is>
          <t>에이비엘바이오</t>
        </is>
      </c>
      <c r="G3437" s="2" t="inlineStr">
        <is>
          <t>20260312900849</t>
        </is>
      </c>
      <c r="H3437" s="8">
        <f>HYPERLINK("https://dart.fss.or.kr/dsaf001/main.do?rcpNo=20260312900849", "공시열람")</f>
        <v/>
      </c>
    </row>
    <row r="3438">
      <c r="A3438" s="2" t="inlineStr">
        <is>
          <t>2026-03-12</t>
        </is>
      </c>
      <c r="B3438" s="3" t="inlineStr">
        <is>
          <t>레드캡투어</t>
        </is>
      </c>
      <c r="C3438" s="2" t="inlineStr">
        <is>
          <t>코스닥</t>
        </is>
      </c>
      <c r="D3438" s="2" t="inlineStr">
        <is>
          <t>038390</t>
        </is>
      </c>
      <c r="E3438" s="3" t="inlineStr">
        <is>
          <t xml:space="preserve">주주총회소집결의              </t>
        </is>
      </c>
      <c r="F3438" s="3" t="inlineStr">
        <is>
          <t>레드캡투어</t>
        </is>
      </c>
      <c r="G3438" s="2" t="inlineStr">
        <is>
          <t>20260312900836</t>
        </is>
      </c>
      <c r="H3438" s="8">
        <f>HYPERLINK("https://dart.fss.or.kr/dsaf001/main.do?rcpNo=20260312900836", "공시열람")</f>
        <v/>
      </c>
    </row>
    <row r="3439">
      <c r="A3439" s="2" t="inlineStr">
        <is>
          <t>2026-03-12</t>
        </is>
      </c>
      <c r="B3439" s="3" t="inlineStr">
        <is>
          <t>YG PLUS</t>
        </is>
      </c>
      <c r="C3439" s="2" t="inlineStr">
        <is>
          <t>코스피</t>
        </is>
      </c>
      <c r="D3439" s="2" t="inlineStr">
        <is>
          <t>037270</t>
        </is>
      </c>
      <c r="E3439" s="3" t="inlineStr">
        <is>
          <t xml:space="preserve">주주총회집중일개최사유신고              </t>
        </is>
      </c>
      <c r="F3439" s="3" t="inlineStr">
        <is>
          <t>YG PLUS</t>
        </is>
      </c>
      <c r="G3439" s="2" t="inlineStr">
        <is>
          <t>20260312800826</t>
        </is>
      </c>
      <c r="H3439" s="8">
        <f>HYPERLINK("https://dart.fss.or.kr/dsaf001/main.do?rcpNo=20260312800826", "공시열람")</f>
        <v/>
      </c>
    </row>
    <row r="3440">
      <c r="A3440" s="2" t="inlineStr">
        <is>
          <t>2026-03-12</t>
        </is>
      </c>
      <c r="B3440" s="3" t="inlineStr">
        <is>
          <t>대창솔루션</t>
        </is>
      </c>
      <c r="C3440" s="2" t="inlineStr">
        <is>
          <t>코스닥</t>
        </is>
      </c>
      <c r="D3440" s="2" t="inlineStr">
        <is>
          <t>096350</t>
        </is>
      </c>
      <c r="E3440" s="3" t="inlineStr">
        <is>
          <t>주주총회소집공고</t>
        </is>
      </c>
      <c r="F3440" s="3" t="inlineStr">
        <is>
          <t>대창솔루션</t>
        </is>
      </c>
      <c r="G3440" s="2" t="inlineStr">
        <is>
          <t>20260312000630</t>
        </is>
      </c>
      <c r="H3440" s="8">
        <f>HYPERLINK("https://dart.fss.or.kr/dsaf001/main.do?rcpNo=20260312000630", "공시열람")</f>
        <v/>
      </c>
    </row>
    <row r="3441">
      <c r="A3441" s="2" t="inlineStr">
        <is>
          <t>2026-03-12</t>
        </is>
      </c>
      <c r="B3441" s="3" t="inlineStr">
        <is>
          <t>한켐</t>
        </is>
      </c>
      <c r="C3441" s="2" t="inlineStr">
        <is>
          <t>코스닥</t>
        </is>
      </c>
      <c r="D3441" s="2" t="inlineStr">
        <is>
          <t>457370</t>
        </is>
      </c>
      <c r="E3441" s="3" t="inlineStr">
        <is>
          <t>주주총회소집공고</t>
        </is>
      </c>
      <c r="F3441" s="3" t="inlineStr">
        <is>
          <t>한켐</t>
        </is>
      </c>
      <c r="G3441" s="2" t="inlineStr">
        <is>
          <t>20260312000628</t>
        </is>
      </c>
      <c r="H3441" s="8">
        <f>HYPERLINK("https://dart.fss.or.kr/dsaf001/main.do?rcpNo=20260312000628", "공시열람")</f>
        <v/>
      </c>
    </row>
    <row r="3442">
      <c r="A3442" s="2" t="inlineStr">
        <is>
          <t>2026-03-12</t>
        </is>
      </c>
      <c r="B3442" s="3" t="inlineStr">
        <is>
          <t>동양파일</t>
        </is>
      </c>
      <c r="C3442" s="2" t="inlineStr">
        <is>
          <t>코스닥</t>
        </is>
      </c>
      <c r="D3442" s="2" t="inlineStr">
        <is>
          <t>228340</t>
        </is>
      </c>
      <c r="E3442" s="3" t="inlineStr">
        <is>
          <t xml:space="preserve">주주총회소집결의              </t>
        </is>
      </c>
      <c r="F3442" s="3" t="inlineStr">
        <is>
          <t>동양파일</t>
        </is>
      </c>
      <c r="G3442" s="2" t="inlineStr">
        <is>
          <t>20260312900830</t>
        </is>
      </c>
      <c r="H3442" s="8">
        <f>HYPERLINK("https://dart.fss.or.kr/dsaf001/main.do?rcpNo=20260312900830", "공시열람")</f>
        <v/>
      </c>
    </row>
    <row r="3443">
      <c r="A3443" s="2" t="inlineStr">
        <is>
          <t>2026-03-12</t>
        </is>
      </c>
      <c r="B3443" s="3" t="inlineStr">
        <is>
          <t>원익</t>
        </is>
      </c>
      <c r="C3443" s="2" t="inlineStr">
        <is>
          <t>코스닥</t>
        </is>
      </c>
      <c r="D3443" s="2" t="inlineStr">
        <is>
          <t>032940</t>
        </is>
      </c>
      <c r="E3443" s="3" t="inlineStr">
        <is>
          <t xml:space="preserve">주주총회소집결의              </t>
        </is>
      </c>
      <c r="F3443" s="3" t="inlineStr">
        <is>
          <t>원익</t>
        </is>
      </c>
      <c r="G3443" s="2" t="inlineStr">
        <is>
          <t>20260312900831</t>
        </is>
      </c>
      <c r="H3443" s="8">
        <f>HYPERLINK("https://dart.fss.or.kr/dsaf001/main.do?rcpNo=20260312900831", "공시열람")</f>
        <v/>
      </c>
    </row>
    <row r="3444">
      <c r="A3444" s="2" t="inlineStr">
        <is>
          <t>2026-03-12</t>
        </is>
      </c>
      <c r="B3444" s="3" t="inlineStr">
        <is>
          <t>모비릭스</t>
        </is>
      </c>
      <c r="C3444" s="2" t="inlineStr">
        <is>
          <t>코스닥</t>
        </is>
      </c>
      <c r="D3444" s="2" t="inlineStr">
        <is>
          <t>348030</t>
        </is>
      </c>
      <c r="E3444" s="3" t="inlineStr">
        <is>
          <t xml:space="preserve">주주총회집중일개최사유신고              </t>
        </is>
      </c>
      <c r="F3444" s="3" t="inlineStr">
        <is>
          <t>모비릭스</t>
        </is>
      </c>
      <c r="G3444" s="2" t="inlineStr">
        <is>
          <t>20260312900857</t>
        </is>
      </c>
      <c r="H3444" s="8">
        <f>HYPERLINK("https://dart.fss.or.kr/dsaf001/main.do?rcpNo=20260312900857", "공시열람")</f>
        <v/>
      </c>
    </row>
    <row r="3445">
      <c r="A3445" s="2" t="inlineStr">
        <is>
          <t>2026-03-12</t>
        </is>
      </c>
      <c r="B3445" s="3" t="inlineStr">
        <is>
          <t>모비릭스</t>
        </is>
      </c>
      <c r="C3445" s="2" t="inlineStr">
        <is>
          <t>코스닥</t>
        </is>
      </c>
      <c r="D3445" s="2" t="inlineStr">
        <is>
          <t>348030</t>
        </is>
      </c>
      <c r="E3445" s="3" t="inlineStr">
        <is>
          <t xml:space="preserve">주주총회소집결의              </t>
        </is>
      </c>
      <c r="F3445" s="3" t="inlineStr">
        <is>
          <t>모비릭스</t>
        </is>
      </c>
      <c r="G3445" s="2" t="inlineStr">
        <is>
          <t>20260312900854</t>
        </is>
      </c>
      <c r="H3445" s="8">
        <f>HYPERLINK("https://dart.fss.or.kr/dsaf001/main.do?rcpNo=20260312900854", "공시열람")</f>
        <v/>
      </c>
    </row>
    <row r="3446">
      <c r="A3446" s="2" t="inlineStr">
        <is>
          <t>2026-03-12</t>
        </is>
      </c>
      <c r="B3446" s="3" t="inlineStr">
        <is>
          <t>NH농우바이오</t>
        </is>
      </c>
      <c r="C3446" s="2" t="inlineStr">
        <is>
          <t>코스닥</t>
        </is>
      </c>
      <c r="D3446" s="2" t="inlineStr">
        <is>
          <t>054050</t>
        </is>
      </c>
      <c r="E3446" s="3" t="inlineStr">
        <is>
          <t>주주총회소집공고</t>
        </is>
      </c>
      <c r="F3446" s="3" t="inlineStr">
        <is>
          <t>NH농우바이오</t>
        </is>
      </c>
      <c r="G3446" s="2" t="inlineStr">
        <is>
          <t>20260312000622</t>
        </is>
      </c>
      <c r="H3446" s="8">
        <f>HYPERLINK("https://dart.fss.or.kr/dsaf001/main.do?rcpNo=20260312000622", "공시열람")</f>
        <v/>
      </c>
    </row>
    <row r="3447">
      <c r="A3447" s="2" t="inlineStr">
        <is>
          <t>2026-03-12</t>
        </is>
      </c>
      <c r="B3447" s="3" t="inlineStr">
        <is>
          <t>더블유에스아이</t>
        </is>
      </c>
      <c r="C3447" s="2" t="inlineStr">
        <is>
          <t>코스닥</t>
        </is>
      </c>
      <c r="D3447" s="2" t="inlineStr">
        <is>
          <t>299170</t>
        </is>
      </c>
      <c r="E3447" s="3" t="inlineStr">
        <is>
          <t>주주총회소집공고</t>
        </is>
      </c>
      <c r="F3447" s="3" t="inlineStr">
        <is>
          <t>더블유에스아이</t>
        </is>
      </c>
      <c r="G3447" s="2" t="inlineStr">
        <is>
          <t>20260312000621</t>
        </is>
      </c>
      <c r="H3447" s="8">
        <f>HYPERLINK("https://dart.fss.or.kr/dsaf001/main.do?rcpNo=20260312000621", "공시열람")</f>
        <v/>
      </c>
    </row>
    <row r="3448">
      <c r="A3448" s="2" t="inlineStr">
        <is>
          <t>2026-03-12</t>
        </is>
      </c>
      <c r="B3448" s="3" t="inlineStr">
        <is>
          <t>메디톡스</t>
        </is>
      </c>
      <c r="C3448" s="2" t="inlineStr">
        <is>
          <t>코스닥</t>
        </is>
      </c>
      <c r="D3448" s="2" t="inlineStr">
        <is>
          <t>086900</t>
        </is>
      </c>
      <c r="E3448" s="3" t="inlineStr">
        <is>
          <t>주주총회소집공고</t>
        </is>
      </c>
      <c r="F3448" s="3" t="inlineStr">
        <is>
          <t>메디톡스</t>
        </is>
      </c>
      <c r="G3448" s="2" t="inlineStr">
        <is>
          <t>20260312000619</t>
        </is>
      </c>
      <c r="H3448" s="8">
        <f>HYPERLINK("https://dart.fss.or.kr/dsaf001/main.do?rcpNo=20260312000619", "공시열람")</f>
        <v/>
      </c>
    </row>
    <row r="3449">
      <c r="A3449" s="2" t="inlineStr">
        <is>
          <t>2026-03-12</t>
        </is>
      </c>
      <c r="B3449" s="3" t="inlineStr">
        <is>
          <t>윤성에프앤씨</t>
        </is>
      </c>
      <c r="C3449" s="2" t="inlineStr">
        <is>
          <t>코스닥</t>
        </is>
      </c>
      <c r="D3449" s="2" t="inlineStr">
        <is>
          <t>372170</t>
        </is>
      </c>
      <c r="E3449" s="3" t="inlineStr">
        <is>
          <t>주주총회소집공고</t>
        </is>
      </c>
      <c r="F3449" s="3" t="inlineStr">
        <is>
          <t>윤성에프앤씨</t>
        </is>
      </c>
      <c r="G3449" s="2" t="inlineStr">
        <is>
          <t>20260312000612</t>
        </is>
      </c>
      <c r="H3449" s="8">
        <f>HYPERLINK("https://dart.fss.or.kr/dsaf001/main.do?rcpNo=20260312000612", "공시열람")</f>
        <v/>
      </c>
    </row>
    <row r="3450">
      <c r="A3450" s="2" t="inlineStr">
        <is>
          <t>2026-03-12</t>
        </is>
      </c>
      <c r="B3450" s="3" t="inlineStr">
        <is>
          <t>삼성출판사</t>
        </is>
      </c>
      <c r="C3450" s="2" t="inlineStr">
        <is>
          <t>코스피</t>
        </is>
      </c>
      <c r="D3450" s="2" t="inlineStr">
        <is>
          <t>068290</t>
        </is>
      </c>
      <c r="E3450" s="3" t="inlineStr">
        <is>
          <t xml:space="preserve">주주총회집중일개최사유신고              </t>
        </is>
      </c>
      <c r="F3450" s="3" t="inlineStr">
        <is>
          <t>삼성출판사</t>
        </is>
      </c>
      <c r="G3450" s="2" t="inlineStr">
        <is>
          <t>20260312800846</t>
        </is>
      </c>
      <c r="H3450" s="8">
        <f>HYPERLINK("https://dart.fss.or.kr/dsaf001/main.do?rcpNo=20260312800846", "공시열람")</f>
        <v/>
      </c>
    </row>
    <row r="3451">
      <c r="A3451" s="2" t="inlineStr">
        <is>
          <t>2026-03-12</t>
        </is>
      </c>
      <c r="B3451" s="3" t="inlineStr">
        <is>
          <t>DXVX</t>
        </is>
      </c>
      <c r="C3451" s="2" t="inlineStr">
        <is>
          <t>코스닥</t>
        </is>
      </c>
      <c r="D3451" s="2" t="inlineStr">
        <is>
          <t>180400</t>
        </is>
      </c>
      <c r="E3451" s="3" t="inlineStr">
        <is>
          <t xml:space="preserve">주주총회소집결의              </t>
        </is>
      </c>
      <c r="F3451" s="3" t="inlineStr">
        <is>
          <t>DXVX</t>
        </is>
      </c>
      <c r="G3451" s="2" t="inlineStr">
        <is>
          <t>20260312900803</t>
        </is>
      </c>
      <c r="H3451" s="8">
        <f>HYPERLINK("https://dart.fss.or.kr/dsaf001/main.do?rcpNo=20260312900803", "공시열람")</f>
        <v/>
      </c>
    </row>
    <row r="3452">
      <c r="A3452" s="2" t="inlineStr">
        <is>
          <t>2026-03-12</t>
        </is>
      </c>
      <c r="B3452" s="3" t="inlineStr">
        <is>
          <t>일신석재</t>
        </is>
      </c>
      <c r="C3452" s="2" t="inlineStr">
        <is>
          <t>코스피</t>
        </is>
      </c>
      <c r="D3452" s="2" t="inlineStr">
        <is>
          <t>007110</t>
        </is>
      </c>
      <c r="E3452" s="3" t="inlineStr">
        <is>
          <t xml:space="preserve">주주총회집중일개최사유신고              </t>
        </is>
      </c>
      <c r="F3452" s="3" t="inlineStr">
        <is>
          <t>일신석재</t>
        </is>
      </c>
      <c r="G3452" s="2" t="inlineStr">
        <is>
          <t>20260312800837</t>
        </is>
      </c>
      <c r="H3452" s="8">
        <f>HYPERLINK("https://dart.fss.or.kr/dsaf001/main.do?rcpNo=20260312800837", "공시열람")</f>
        <v/>
      </c>
    </row>
    <row r="3453">
      <c r="A3453" s="2" t="inlineStr">
        <is>
          <t>2026-03-12</t>
        </is>
      </c>
      <c r="B3453" s="3" t="inlineStr">
        <is>
          <t>로킷헬스케어</t>
        </is>
      </c>
      <c r="C3453" s="2" t="inlineStr">
        <is>
          <t>코스닥</t>
        </is>
      </c>
      <c r="D3453" s="2" t="inlineStr">
        <is>
          <t>376900</t>
        </is>
      </c>
      <c r="E3453" s="3" t="inlineStr">
        <is>
          <t xml:space="preserve">주주총회소집결의              </t>
        </is>
      </c>
      <c r="F3453" s="3" t="inlineStr">
        <is>
          <t>로킷헬스케어</t>
        </is>
      </c>
      <c r="G3453" s="2" t="inlineStr">
        <is>
          <t>20260312900807</t>
        </is>
      </c>
      <c r="H3453" s="8">
        <f>HYPERLINK("https://dart.fss.or.kr/dsaf001/main.do?rcpNo=20260312900807", "공시열람")</f>
        <v/>
      </c>
    </row>
    <row r="3454">
      <c r="A3454" s="2" t="inlineStr">
        <is>
          <t>2026-03-12</t>
        </is>
      </c>
      <c r="B3454" s="3" t="inlineStr">
        <is>
          <t>유진로봇</t>
        </is>
      </c>
      <c r="C3454" s="2" t="inlineStr">
        <is>
          <t>코스닥</t>
        </is>
      </c>
      <c r="D3454" s="2" t="inlineStr">
        <is>
          <t>056080</t>
        </is>
      </c>
      <c r="E3454" s="3" t="inlineStr">
        <is>
          <t>주주총회소집공고</t>
        </is>
      </c>
      <c r="F3454" s="3" t="inlineStr">
        <is>
          <t>유진로봇</t>
        </is>
      </c>
      <c r="G3454" s="2" t="inlineStr">
        <is>
          <t>20260312000611</t>
        </is>
      </c>
      <c r="H3454" s="8">
        <f>HYPERLINK("https://dart.fss.or.kr/dsaf001/main.do?rcpNo=20260312000611", "공시열람")</f>
        <v/>
      </c>
    </row>
    <row r="3455">
      <c r="A3455" s="2" t="inlineStr">
        <is>
          <t>2026-03-12</t>
        </is>
      </c>
      <c r="B3455" s="3" t="inlineStr">
        <is>
          <t>삼현</t>
        </is>
      </c>
      <c r="C3455" s="2" t="inlineStr">
        <is>
          <t>코스닥</t>
        </is>
      </c>
      <c r="D3455" s="2" t="inlineStr">
        <is>
          <t>437730</t>
        </is>
      </c>
      <c r="E3455" s="3" t="inlineStr">
        <is>
          <t>주주총회소집공고</t>
        </is>
      </c>
      <c r="F3455" s="3" t="inlineStr">
        <is>
          <t>삼현</t>
        </is>
      </c>
      <c r="G3455" s="2" t="inlineStr">
        <is>
          <t>20260312000610</t>
        </is>
      </c>
      <c r="H3455" s="8">
        <f>HYPERLINK("https://dart.fss.or.kr/dsaf001/main.do?rcpNo=20260312000610", "공시열람")</f>
        <v/>
      </c>
    </row>
    <row r="3456">
      <c r="A3456" s="2" t="inlineStr">
        <is>
          <t>2026-03-12</t>
        </is>
      </c>
      <c r="B3456" s="3" t="inlineStr">
        <is>
          <t>NH농우바이오</t>
        </is>
      </c>
      <c r="C3456" s="2" t="inlineStr">
        <is>
          <t>코스닥</t>
        </is>
      </c>
      <c r="D3456" s="2" t="inlineStr">
        <is>
          <t>054050</t>
        </is>
      </c>
      <c r="E3456" s="3" t="inlineStr">
        <is>
          <t xml:space="preserve">주주총회집중일개최사유신고              </t>
        </is>
      </c>
      <c r="F3456" s="3" t="inlineStr">
        <is>
          <t>NH농우바이오</t>
        </is>
      </c>
      <c r="G3456" s="2" t="inlineStr">
        <is>
          <t>20260312900820</t>
        </is>
      </c>
      <c r="H3456" s="8">
        <f>HYPERLINK("https://dart.fss.or.kr/dsaf001/main.do?rcpNo=20260312900820", "공시열람")</f>
        <v/>
      </c>
    </row>
    <row r="3457">
      <c r="A3457" s="2" t="inlineStr">
        <is>
          <t>2026-03-12</t>
        </is>
      </c>
      <c r="B3457" s="3" t="inlineStr">
        <is>
          <t>핑거스토리</t>
        </is>
      </c>
      <c r="C3457" s="2" t="inlineStr">
        <is>
          <t>코스닥</t>
        </is>
      </c>
      <c r="D3457" s="2" t="inlineStr">
        <is>
          <t>417180</t>
        </is>
      </c>
      <c r="E3457" s="3" t="inlineStr">
        <is>
          <t>주주총회소집공고</t>
        </is>
      </c>
      <c r="F3457" s="3" t="inlineStr">
        <is>
          <t>핑거스토리</t>
        </is>
      </c>
      <c r="G3457" s="2" t="inlineStr">
        <is>
          <t>20260312000609</t>
        </is>
      </c>
      <c r="H3457" s="8">
        <f>HYPERLINK("https://dart.fss.or.kr/dsaf001/main.do?rcpNo=20260312000609", "공시열람")</f>
        <v/>
      </c>
    </row>
    <row r="3458">
      <c r="A3458" s="2" t="inlineStr">
        <is>
          <t>2026-03-12</t>
        </is>
      </c>
      <c r="B3458" s="3" t="inlineStr">
        <is>
          <t>제로투세븐</t>
        </is>
      </c>
      <c r="C3458" s="2" t="inlineStr">
        <is>
          <t>코스닥</t>
        </is>
      </c>
      <c r="D3458" s="2" t="inlineStr">
        <is>
          <t>159580</t>
        </is>
      </c>
      <c r="E3458" s="3" t="inlineStr">
        <is>
          <t xml:space="preserve">주주총회집중일개최사유신고              </t>
        </is>
      </c>
      <c r="F3458" s="3" t="inlineStr">
        <is>
          <t>제로투세븐</t>
        </is>
      </c>
      <c r="G3458" s="2" t="inlineStr">
        <is>
          <t>20260312900741</t>
        </is>
      </c>
      <c r="H3458" s="8">
        <f>HYPERLINK("https://dart.fss.or.kr/dsaf001/main.do?rcpNo=20260312900741", "공시열람")</f>
        <v/>
      </c>
    </row>
    <row r="3459">
      <c r="A3459" s="2" t="inlineStr">
        <is>
          <t>2026-03-12</t>
        </is>
      </c>
      <c r="B3459" s="3" t="inlineStr">
        <is>
          <t>와이씨켐</t>
        </is>
      </c>
      <c r="C3459" s="2" t="inlineStr">
        <is>
          <t>코스닥</t>
        </is>
      </c>
      <c r="D3459" s="2" t="inlineStr">
        <is>
          <t>112290</t>
        </is>
      </c>
      <c r="E3459" s="3" t="inlineStr">
        <is>
          <t>주주총회소집공고</t>
        </is>
      </c>
      <c r="F3459" s="3" t="inlineStr">
        <is>
          <t>와이씨켐</t>
        </is>
      </c>
      <c r="G3459" s="2" t="inlineStr">
        <is>
          <t>20260312000599</t>
        </is>
      </c>
      <c r="H3459" s="8">
        <f>HYPERLINK("https://dart.fss.or.kr/dsaf001/main.do?rcpNo=20260312000599", "공시열람")</f>
        <v/>
      </c>
    </row>
    <row r="3460">
      <c r="A3460" s="2" t="inlineStr">
        <is>
          <t>2026-03-12</t>
        </is>
      </c>
      <c r="B3460" s="3" t="inlineStr">
        <is>
          <t>삼성출판사</t>
        </is>
      </c>
      <c r="C3460" s="2" t="inlineStr">
        <is>
          <t>코스피</t>
        </is>
      </c>
      <c r="D3460" s="2" t="inlineStr">
        <is>
          <t>068290</t>
        </is>
      </c>
      <c r="E3460" s="3" t="inlineStr">
        <is>
          <t>주주총회소집공고</t>
        </is>
      </c>
      <c r="F3460" s="3" t="inlineStr">
        <is>
          <t>삼성출판사</t>
        </is>
      </c>
      <c r="G3460" s="2" t="inlineStr">
        <is>
          <t>20260312000595</t>
        </is>
      </c>
      <c r="H3460" s="8">
        <f>HYPERLINK("https://dart.fss.or.kr/dsaf001/main.do?rcpNo=20260312000595", "공시열람")</f>
        <v/>
      </c>
    </row>
    <row r="3461">
      <c r="A3461" s="2" t="inlineStr">
        <is>
          <t>2026-03-12</t>
        </is>
      </c>
      <c r="B3461" s="3" t="inlineStr">
        <is>
          <t>와이씨켐</t>
        </is>
      </c>
      <c r="C3461" s="2" t="inlineStr">
        <is>
          <t>코스닥</t>
        </is>
      </c>
      <c r="D3461" s="2" t="inlineStr">
        <is>
          <t>112290</t>
        </is>
      </c>
      <c r="E3461" s="3" t="inlineStr">
        <is>
          <t xml:space="preserve">주주총회집중일개최사유신고              </t>
        </is>
      </c>
      <c r="F3461" s="3" t="inlineStr">
        <is>
          <t>와이씨켐</t>
        </is>
      </c>
      <c r="G3461" s="2" t="inlineStr">
        <is>
          <t>20260312900705</t>
        </is>
      </c>
      <c r="H3461" s="8">
        <f>HYPERLINK("https://dart.fss.or.kr/dsaf001/main.do?rcpNo=20260312900705", "공시열람")</f>
        <v/>
      </c>
    </row>
    <row r="3462">
      <c r="A3462" s="2" t="inlineStr">
        <is>
          <t>2026-03-12</t>
        </is>
      </c>
      <c r="B3462" s="3" t="inlineStr">
        <is>
          <t>파마리서치바이오</t>
        </is>
      </c>
      <c r="C3462" s="2" t="inlineStr">
        <is>
          <t>코넥스</t>
        </is>
      </c>
      <c r="D3462" s="2" t="inlineStr">
        <is>
          <t>217950</t>
        </is>
      </c>
      <c r="E3462" s="3" t="inlineStr">
        <is>
          <t>주주총회소집공고</t>
        </is>
      </c>
      <c r="F3462" s="3" t="inlineStr">
        <is>
          <t>파마리서치바이오</t>
        </is>
      </c>
      <c r="G3462" s="2" t="inlineStr">
        <is>
          <t>20260312000594</t>
        </is>
      </c>
      <c r="H3462" s="8">
        <f>HYPERLINK("https://dart.fss.or.kr/dsaf001/main.do?rcpNo=20260312000594", "공시열람")</f>
        <v/>
      </c>
    </row>
    <row r="3463">
      <c r="A3463" s="2" t="inlineStr">
        <is>
          <t>2026-03-12</t>
        </is>
      </c>
      <c r="B3463" s="3" t="inlineStr">
        <is>
          <t>와이씨켐</t>
        </is>
      </c>
      <c r="C3463" s="2" t="inlineStr">
        <is>
          <t>코스닥</t>
        </is>
      </c>
      <c r="D3463" s="2" t="inlineStr">
        <is>
          <t>112290</t>
        </is>
      </c>
      <c r="E3463" s="3" t="inlineStr">
        <is>
          <t xml:space="preserve">주주총회소집결의              </t>
        </is>
      </c>
      <c r="F3463" s="3" t="inlineStr">
        <is>
          <t>와이씨켐</t>
        </is>
      </c>
      <c r="G3463" s="2" t="inlineStr">
        <is>
          <t>20260312900701</t>
        </is>
      </c>
      <c r="H3463" s="8">
        <f>HYPERLINK("https://dart.fss.or.kr/dsaf001/main.do?rcpNo=20260312900701", "공시열람")</f>
        <v/>
      </c>
    </row>
    <row r="3464">
      <c r="A3464" s="2" t="inlineStr">
        <is>
          <t>2026-03-12 (정정: 2026-06-18)</t>
        </is>
      </c>
      <c r="B3464" s="3" t="inlineStr">
        <is>
          <t>동방메디컬</t>
        </is>
      </c>
      <c r="C3464" s="2" t="inlineStr">
        <is>
          <t>코스닥</t>
        </is>
      </c>
      <c r="D3464" s="2" t="inlineStr">
        <is>
          <t>240550</t>
        </is>
      </c>
      <c r="E3464" s="3" t="inlineStr">
        <is>
          <t>주주총회소집공고 (정정: 20260618)</t>
        </is>
      </c>
      <c r="F3464" s="3" t="inlineStr">
        <is>
          <t>동방메디컬</t>
        </is>
      </c>
      <c r="G3464" s="2" t="inlineStr">
        <is>
          <t>20260618000383</t>
        </is>
      </c>
      <c r="H3464" s="8">
        <f>HYPERLINK("https://dart.fss.or.kr/dsaf001/main.do?rcpNo=20260618000383", "공시열람")</f>
        <v/>
      </c>
    </row>
    <row r="3465">
      <c r="A3465" s="2" t="inlineStr">
        <is>
          <t>2026-03-12</t>
        </is>
      </c>
      <c r="B3465" s="3" t="inlineStr">
        <is>
          <t>민테크</t>
        </is>
      </c>
      <c r="C3465" s="2" t="inlineStr">
        <is>
          <t>코스닥</t>
        </is>
      </c>
      <c r="D3465" s="2" t="inlineStr">
        <is>
          <t>452200</t>
        </is>
      </c>
      <c r="E3465" s="3" t="inlineStr">
        <is>
          <t>주주총회소집공고</t>
        </is>
      </c>
      <c r="F3465" s="3" t="inlineStr">
        <is>
          <t>민테크</t>
        </is>
      </c>
      <c r="G3465" s="2" t="inlineStr">
        <is>
          <t>20260312000592</t>
        </is>
      </c>
      <c r="H3465" s="8">
        <f>HYPERLINK("https://dart.fss.or.kr/dsaf001/main.do?rcpNo=20260312000592", "공시열람")</f>
        <v/>
      </c>
    </row>
    <row r="3466">
      <c r="A3466" s="2" t="inlineStr">
        <is>
          <t>2026-03-12 (정정: 2026-03-19)</t>
        </is>
      </c>
      <c r="B3466" s="3" t="inlineStr">
        <is>
          <t>인포뱅크</t>
        </is>
      </c>
      <c r="C3466" s="2" t="inlineStr">
        <is>
          <t>코스닥</t>
        </is>
      </c>
      <c r="D3466" s="2" t="inlineStr">
        <is>
          <t>039290</t>
        </is>
      </c>
      <c r="E3466" s="3" t="inlineStr">
        <is>
          <t>주주총회소집공고 (정정: 20260319)</t>
        </is>
      </c>
      <c r="F3466" s="3" t="inlineStr">
        <is>
          <t>인포뱅크</t>
        </is>
      </c>
      <c r="G3466" s="2" t="inlineStr">
        <is>
          <t>20260319000870</t>
        </is>
      </c>
      <c r="H3466" s="8">
        <f>HYPERLINK("https://dart.fss.or.kr/dsaf001/main.do?rcpNo=20260319000870", "공시열람")</f>
        <v/>
      </c>
    </row>
    <row r="3467">
      <c r="A3467" s="2" t="inlineStr">
        <is>
          <t>2026-03-12</t>
        </is>
      </c>
      <c r="B3467" s="3" t="inlineStr">
        <is>
          <t>대성홀딩스</t>
        </is>
      </c>
      <c r="C3467" s="2" t="inlineStr">
        <is>
          <t>코스피</t>
        </is>
      </c>
      <c r="D3467" s="2" t="inlineStr">
        <is>
          <t>016710</t>
        </is>
      </c>
      <c r="E3467" s="3" t="inlineStr">
        <is>
          <t>주주총회소집공고</t>
        </is>
      </c>
      <c r="F3467" s="3" t="inlineStr">
        <is>
          <t>대성홀딩스</t>
        </is>
      </c>
      <c r="G3467" s="2" t="inlineStr">
        <is>
          <t>20260312000589</t>
        </is>
      </c>
      <c r="H3467" s="8">
        <f>HYPERLINK("https://dart.fss.or.kr/dsaf001/main.do?rcpNo=20260312000589", "공시열람")</f>
        <v/>
      </c>
    </row>
    <row r="3468">
      <c r="A3468" s="2" t="inlineStr">
        <is>
          <t>2026-03-12</t>
        </is>
      </c>
      <c r="B3468" s="3" t="inlineStr">
        <is>
          <t>메디톡스</t>
        </is>
      </c>
      <c r="C3468" s="2" t="inlineStr">
        <is>
          <t>코스닥</t>
        </is>
      </c>
      <c r="D3468" s="2" t="inlineStr">
        <is>
          <t>086900</t>
        </is>
      </c>
      <c r="E3468" s="3" t="inlineStr">
        <is>
          <t xml:space="preserve">주주총회소집결의              </t>
        </is>
      </c>
      <c r="F3468" s="3" t="inlineStr">
        <is>
          <t>메디톡스</t>
        </is>
      </c>
      <c r="G3468" s="2" t="inlineStr">
        <is>
          <t>20260312900772</t>
        </is>
      </c>
      <c r="H3468" s="8">
        <f>HYPERLINK("https://dart.fss.or.kr/dsaf001/main.do?rcpNo=20260312900772", "공시열람")</f>
        <v/>
      </c>
    </row>
    <row r="3469">
      <c r="A3469" s="2" t="inlineStr">
        <is>
          <t>2026-03-12</t>
        </is>
      </c>
      <c r="B3469" s="3" t="inlineStr">
        <is>
          <t>YG PLUS</t>
        </is>
      </c>
      <c r="C3469" s="2" t="inlineStr">
        <is>
          <t>코스피</t>
        </is>
      </c>
      <c r="D3469" s="2" t="inlineStr">
        <is>
          <t>037270</t>
        </is>
      </c>
      <c r="E3469" s="3" t="inlineStr">
        <is>
          <t>주주총회소집공고</t>
        </is>
      </c>
      <c r="F3469" s="3" t="inlineStr">
        <is>
          <t>YG PLUS</t>
        </is>
      </c>
      <c r="G3469" s="2" t="inlineStr">
        <is>
          <t>20260312000587</t>
        </is>
      </c>
      <c r="H3469" s="8">
        <f>HYPERLINK("https://dart.fss.or.kr/dsaf001/main.do?rcpNo=20260312000587", "공시열람")</f>
        <v/>
      </c>
    </row>
    <row r="3470">
      <c r="A3470" s="2" t="inlineStr">
        <is>
          <t>2026-03-12</t>
        </is>
      </c>
      <c r="B3470" s="3" t="inlineStr">
        <is>
          <t>와이씨켐</t>
        </is>
      </c>
      <c r="C3470" s="2" t="inlineStr">
        <is>
          <t>코스닥</t>
        </is>
      </c>
      <c r="D3470" s="2" t="inlineStr">
        <is>
          <t>112290</t>
        </is>
      </c>
      <c r="E3470" s="3" t="inlineStr">
        <is>
          <t xml:space="preserve">주식분할결정              </t>
        </is>
      </c>
      <c r="F3470" s="3" t="inlineStr">
        <is>
          <t>와이씨켐</t>
        </is>
      </c>
      <c r="G3470" s="2" t="inlineStr">
        <is>
          <t>20260312900694</t>
        </is>
      </c>
      <c r="H3470" s="8">
        <f>HYPERLINK("https://dart.fss.or.kr/dsaf001/main.do?rcpNo=20260312900694", "공시열람")</f>
        <v/>
      </c>
    </row>
    <row r="3471">
      <c r="A3471" s="2" t="inlineStr">
        <is>
          <t>2026-03-12</t>
        </is>
      </c>
      <c r="B3471" s="3" t="inlineStr">
        <is>
          <t>NH농우바이오</t>
        </is>
      </c>
      <c r="C3471" s="2" t="inlineStr">
        <is>
          <t>코스닥</t>
        </is>
      </c>
      <c r="D3471" s="2" t="inlineStr">
        <is>
          <t>054050</t>
        </is>
      </c>
      <c r="E3471" s="3" t="inlineStr">
        <is>
          <t xml:space="preserve">주주총회소집결의              </t>
        </is>
      </c>
      <c r="F3471" s="3" t="inlineStr">
        <is>
          <t>NH농우바이오</t>
        </is>
      </c>
      <c r="G3471" s="2" t="inlineStr">
        <is>
          <t>20260312900766</t>
        </is>
      </c>
      <c r="H3471" s="8">
        <f>HYPERLINK("https://dart.fss.or.kr/dsaf001/main.do?rcpNo=20260312900766", "공시열람")</f>
        <v/>
      </c>
    </row>
    <row r="3472">
      <c r="A3472" s="2" t="inlineStr">
        <is>
          <t>2026-03-12</t>
        </is>
      </c>
      <c r="B3472" s="3" t="inlineStr">
        <is>
          <t>테고사이언스</t>
        </is>
      </c>
      <c r="C3472" s="2" t="inlineStr">
        <is>
          <t>코스닥</t>
        </is>
      </c>
      <c r="D3472" s="2" t="inlineStr">
        <is>
          <t>191420</t>
        </is>
      </c>
      <c r="E3472" s="3" t="inlineStr">
        <is>
          <t>주주총회소집공고</t>
        </is>
      </c>
      <c r="F3472" s="3" t="inlineStr">
        <is>
          <t>테고사이언스</t>
        </is>
      </c>
      <c r="G3472" s="2" t="inlineStr">
        <is>
          <t>20260312000581</t>
        </is>
      </c>
      <c r="H3472" s="8">
        <f>HYPERLINK("https://dart.fss.or.kr/dsaf001/main.do?rcpNo=20260312000581", "공시열람")</f>
        <v/>
      </c>
    </row>
    <row r="3473">
      <c r="A3473" s="2" t="inlineStr">
        <is>
          <t>2026-03-12</t>
        </is>
      </c>
      <c r="B3473" s="3" t="inlineStr">
        <is>
          <t>엔피케이</t>
        </is>
      </c>
      <c r="C3473" s="2" t="inlineStr">
        <is>
          <t>코스닥</t>
        </is>
      </c>
      <c r="D3473" s="2" t="inlineStr">
        <is>
          <t>048830</t>
        </is>
      </c>
      <c r="E3473" s="3" t="inlineStr">
        <is>
          <t>주주총회소집공고</t>
        </is>
      </c>
      <c r="F3473" s="3" t="inlineStr">
        <is>
          <t>엔피케이</t>
        </is>
      </c>
      <c r="G3473" s="2" t="inlineStr">
        <is>
          <t>20260312000579</t>
        </is>
      </c>
      <c r="H3473" s="8">
        <f>HYPERLINK("https://dart.fss.or.kr/dsaf001/main.do?rcpNo=20260312000579", "공시열람")</f>
        <v/>
      </c>
    </row>
    <row r="3474">
      <c r="A3474" s="2" t="inlineStr">
        <is>
          <t>2026-03-12</t>
        </is>
      </c>
      <c r="B3474" s="3" t="inlineStr">
        <is>
          <t>바이오톡스텍</t>
        </is>
      </c>
      <c r="C3474" s="2" t="inlineStr">
        <is>
          <t>코스닥</t>
        </is>
      </c>
      <c r="D3474" s="2" t="inlineStr">
        <is>
          <t>086040</t>
        </is>
      </c>
      <c r="E3474" s="3" t="inlineStr">
        <is>
          <t>주주총회소집공고</t>
        </is>
      </c>
      <c r="F3474" s="3" t="inlineStr">
        <is>
          <t>바이오톡스텍</t>
        </is>
      </c>
      <c r="G3474" s="2" t="inlineStr">
        <is>
          <t>20260312000572</t>
        </is>
      </c>
      <c r="H3474" s="8">
        <f>HYPERLINK("https://dart.fss.or.kr/dsaf001/main.do?rcpNo=20260312000572", "공시열람")</f>
        <v/>
      </c>
    </row>
    <row r="3475">
      <c r="A3475" s="2" t="inlineStr">
        <is>
          <t>2026-03-12</t>
        </is>
      </c>
      <c r="B3475" s="3" t="inlineStr">
        <is>
          <t>일신석재</t>
        </is>
      </c>
      <c r="C3475" s="2" t="inlineStr">
        <is>
          <t>코스피</t>
        </is>
      </c>
      <c r="D3475" s="2" t="inlineStr">
        <is>
          <t>007110</t>
        </is>
      </c>
      <c r="E3475" s="3" t="inlineStr">
        <is>
          <t xml:space="preserve">주주총회소집결의              </t>
        </is>
      </c>
      <c r="F3475" s="3" t="inlineStr">
        <is>
          <t>일신석재</t>
        </is>
      </c>
      <c r="G3475" s="2" t="inlineStr">
        <is>
          <t>20260312800762</t>
        </is>
      </c>
      <c r="H3475" s="8">
        <f>HYPERLINK("https://dart.fss.or.kr/dsaf001/main.do?rcpNo=20260312800762", "공시열람")</f>
        <v/>
      </c>
    </row>
    <row r="3476">
      <c r="A3476" s="2" t="inlineStr">
        <is>
          <t>2026-03-12</t>
        </is>
      </c>
      <c r="B3476" s="3" t="inlineStr">
        <is>
          <t>이연제약</t>
        </is>
      </c>
      <c r="C3476" s="2" t="inlineStr">
        <is>
          <t>코스피</t>
        </is>
      </c>
      <c r="D3476" s="2" t="inlineStr">
        <is>
          <t>102460</t>
        </is>
      </c>
      <c r="E3476" s="3" t="inlineStr">
        <is>
          <t>주주총회소집공고</t>
        </is>
      </c>
      <c r="F3476" s="3" t="inlineStr">
        <is>
          <t>이연제약</t>
        </is>
      </c>
      <c r="G3476" s="2" t="inlineStr">
        <is>
          <t>20260312000571</t>
        </is>
      </c>
      <c r="H3476" s="8">
        <f>HYPERLINK("https://dart.fss.or.kr/dsaf001/main.do?rcpNo=20260312000571", "공시열람")</f>
        <v/>
      </c>
    </row>
    <row r="3477">
      <c r="A3477" s="2" t="inlineStr">
        <is>
          <t>2026-03-12</t>
        </is>
      </c>
      <c r="B3477" s="3" t="inlineStr">
        <is>
          <t>에스씨디</t>
        </is>
      </c>
      <c r="C3477" s="2" t="inlineStr">
        <is>
          <t>코스닥</t>
        </is>
      </c>
      <c r="D3477" s="2" t="inlineStr">
        <is>
          <t>042110</t>
        </is>
      </c>
      <c r="E3477" s="3" t="inlineStr">
        <is>
          <t>주주총회소집공고</t>
        </is>
      </c>
      <c r="F3477" s="3" t="inlineStr">
        <is>
          <t>에스씨디</t>
        </is>
      </c>
      <c r="G3477" s="2" t="inlineStr">
        <is>
          <t>20260312000567</t>
        </is>
      </c>
      <c r="H3477" s="8">
        <f>HYPERLINK("https://dart.fss.or.kr/dsaf001/main.do?rcpNo=20260312000567", "공시열람")</f>
        <v/>
      </c>
    </row>
    <row r="3478">
      <c r="A3478" s="2" t="inlineStr">
        <is>
          <t>2026-03-12</t>
        </is>
      </c>
      <c r="B3478" s="3" t="inlineStr">
        <is>
          <t>체리부로</t>
        </is>
      </c>
      <c r="C3478" s="2" t="inlineStr">
        <is>
          <t>코스닥</t>
        </is>
      </c>
      <c r="D3478" s="2" t="inlineStr">
        <is>
          <t>066360</t>
        </is>
      </c>
      <c r="E3478" s="3" t="inlineStr">
        <is>
          <t xml:space="preserve">주주총회소집결의              </t>
        </is>
      </c>
      <c r="F3478" s="3" t="inlineStr">
        <is>
          <t>체리부로</t>
        </is>
      </c>
      <c r="G3478" s="2" t="inlineStr">
        <is>
          <t>20260312900691</t>
        </is>
      </c>
      <c r="H3478" s="8">
        <f>HYPERLINK("https://dart.fss.or.kr/dsaf001/main.do?rcpNo=20260312900691", "공시열람")</f>
        <v/>
      </c>
    </row>
    <row r="3479">
      <c r="A3479" s="2" t="inlineStr">
        <is>
          <t>2026-03-12</t>
        </is>
      </c>
      <c r="B3479" s="3" t="inlineStr">
        <is>
          <t>육일씨엔에쓰</t>
        </is>
      </c>
      <c r="C3479" s="2" t="inlineStr">
        <is>
          <t>코스닥</t>
        </is>
      </c>
      <c r="D3479" s="2" t="inlineStr">
        <is>
          <t>191410</t>
        </is>
      </c>
      <c r="E3479" s="3" t="inlineStr">
        <is>
          <t xml:space="preserve">주주총회집중일개최사유신고              </t>
        </is>
      </c>
      <c r="F3479" s="3" t="inlineStr">
        <is>
          <t>육일씨엔에쓰</t>
        </is>
      </c>
      <c r="G3479" s="2" t="inlineStr">
        <is>
          <t>20260312900690</t>
        </is>
      </c>
      <c r="H3479" s="8">
        <f>HYPERLINK("https://dart.fss.or.kr/dsaf001/main.do?rcpNo=20260312900690", "공시열람")</f>
        <v/>
      </c>
    </row>
    <row r="3480">
      <c r="A3480" s="2" t="inlineStr">
        <is>
          <t>2026-03-12</t>
        </is>
      </c>
      <c r="B3480" s="3" t="inlineStr">
        <is>
          <t>에스제이엠</t>
        </is>
      </c>
      <c r="C3480" s="2" t="inlineStr">
        <is>
          <t>코스피</t>
        </is>
      </c>
      <c r="D3480" s="2" t="inlineStr">
        <is>
          <t>123700</t>
        </is>
      </c>
      <c r="E3480" s="3" t="inlineStr">
        <is>
          <t xml:space="preserve">주주총회집중일개최사유신고              </t>
        </is>
      </c>
      <c r="F3480" s="3" t="inlineStr">
        <is>
          <t>에스제이엠</t>
        </is>
      </c>
      <c r="G3480" s="2" t="inlineStr">
        <is>
          <t>20260312800734</t>
        </is>
      </c>
      <c r="H3480" s="8">
        <f>HYPERLINK("https://dart.fss.or.kr/dsaf001/main.do?rcpNo=20260312800734", "공시열람")</f>
        <v/>
      </c>
    </row>
    <row r="3481">
      <c r="A3481" s="2" t="inlineStr">
        <is>
          <t>2026-03-12</t>
        </is>
      </c>
      <c r="B3481" s="3" t="inlineStr">
        <is>
          <t>KBI메탈</t>
        </is>
      </c>
      <c r="C3481" s="2" t="inlineStr">
        <is>
          <t>코스닥</t>
        </is>
      </c>
      <c r="D3481" s="2" t="inlineStr">
        <is>
          <t>024840</t>
        </is>
      </c>
      <c r="E3481" s="3" t="inlineStr">
        <is>
          <t>주주총회소집공고</t>
        </is>
      </c>
      <c r="F3481" s="3" t="inlineStr">
        <is>
          <t>KBI메탈</t>
        </is>
      </c>
      <c r="G3481" s="2" t="inlineStr">
        <is>
          <t>20260312000558</t>
        </is>
      </c>
      <c r="H3481" s="8">
        <f>HYPERLINK("https://dart.fss.or.kr/dsaf001/main.do?rcpNo=20260312000558", "공시열람")</f>
        <v/>
      </c>
    </row>
    <row r="3482">
      <c r="A3482" s="2" t="inlineStr">
        <is>
          <t>2026-03-12 (정정: 2026-03-12)</t>
        </is>
      </c>
      <c r="B3482" s="3" t="inlineStr">
        <is>
          <t>케이엠</t>
        </is>
      </c>
      <c r="C3482" s="2" t="inlineStr">
        <is>
          <t>코스닥</t>
        </is>
      </c>
      <c r="D3482" s="2" t="inlineStr">
        <is>
          <t>083550</t>
        </is>
      </c>
      <c r="E3482" s="3" t="inlineStr">
        <is>
          <t>주주총회소집공고 (정정: 20260312)</t>
        </is>
      </c>
      <c r="F3482" s="3" t="inlineStr">
        <is>
          <t>케이엠</t>
        </is>
      </c>
      <c r="G3482" s="2" t="inlineStr">
        <is>
          <t>20260312900725</t>
        </is>
      </c>
      <c r="H3482" s="8">
        <f>HYPERLINK("https://dart.fss.or.kr/dsaf001/main.do?rcpNo=20260312900725", "공시열람")</f>
        <v/>
      </c>
    </row>
    <row r="3483">
      <c r="A3483" s="2" t="inlineStr">
        <is>
          <t>2026-03-12</t>
        </is>
      </c>
      <c r="B3483" s="3" t="inlineStr">
        <is>
          <t>디바이스</t>
        </is>
      </c>
      <c r="C3483" s="2" t="inlineStr">
        <is>
          <t>코스닥</t>
        </is>
      </c>
      <c r="D3483" s="2" t="inlineStr">
        <is>
          <t>187870</t>
        </is>
      </c>
      <c r="E3483" s="3" t="inlineStr">
        <is>
          <t>주주총회소집공고</t>
        </is>
      </c>
      <c r="F3483" s="3" t="inlineStr">
        <is>
          <t>디바이스</t>
        </is>
      </c>
      <c r="G3483" s="2" t="inlineStr">
        <is>
          <t>20260312000556</t>
        </is>
      </c>
      <c r="H3483" s="8">
        <f>HYPERLINK("https://dart.fss.or.kr/dsaf001/main.do?rcpNo=20260312000556", "공시열람")</f>
        <v/>
      </c>
    </row>
    <row r="3484">
      <c r="A3484" s="2" t="inlineStr">
        <is>
          <t>2026-03-12</t>
        </is>
      </c>
      <c r="B3484" s="3" t="inlineStr">
        <is>
          <t>바이오톡스텍</t>
        </is>
      </c>
      <c r="C3484" s="2" t="inlineStr">
        <is>
          <t>코스닥</t>
        </is>
      </c>
      <c r="D3484" s="2" t="inlineStr">
        <is>
          <t>086040</t>
        </is>
      </c>
      <c r="E3484" s="3" t="inlineStr">
        <is>
          <t xml:space="preserve">주주총회집중일개최사유신고              </t>
        </is>
      </c>
      <c r="F3484" s="3" t="inlineStr">
        <is>
          <t>바이오톡스텍</t>
        </is>
      </c>
      <c r="G3484" s="2" t="inlineStr">
        <is>
          <t>20260312900756</t>
        </is>
      </c>
      <c r="H3484" s="8">
        <f>HYPERLINK("https://dart.fss.or.kr/dsaf001/main.do?rcpNo=20260312900756", "공시열람")</f>
        <v/>
      </c>
    </row>
    <row r="3485">
      <c r="A3485" s="2" t="inlineStr">
        <is>
          <t>2026-03-12</t>
        </is>
      </c>
      <c r="B3485" s="3" t="inlineStr">
        <is>
          <t>바이오톡스텍</t>
        </is>
      </c>
      <c r="C3485" s="2" t="inlineStr">
        <is>
          <t>코스닥</t>
        </is>
      </c>
      <c r="D3485" s="2" t="inlineStr">
        <is>
          <t>086040</t>
        </is>
      </c>
      <c r="E3485" s="3" t="inlineStr">
        <is>
          <t xml:space="preserve">주주총회소집결의              </t>
        </is>
      </c>
      <c r="F3485" s="3" t="inlineStr">
        <is>
          <t>바이오톡스텍</t>
        </is>
      </c>
      <c r="G3485" s="2" t="inlineStr">
        <is>
          <t>20260312900752</t>
        </is>
      </c>
      <c r="H3485" s="8">
        <f>HYPERLINK("https://dart.fss.or.kr/dsaf001/main.do?rcpNo=20260312900752", "공시열람")</f>
        <v/>
      </c>
    </row>
    <row r="3486">
      <c r="A3486" s="2" t="inlineStr">
        <is>
          <t>2026-03-12</t>
        </is>
      </c>
      <c r="B3486" s="3" t="inlineStr">
        <is>
          <t>로지스몬</t>
        </is>
      </c>
      <c r="C3486" s="2" t="inlineStr">
        <is>
          <t>코넥스</t>
        </is>
      </c>
      <c r="D3486" s="2" t="inlineStr">
        <is>
          <t>223220</t>
        </is>
      </c>
      <c r="E3486" s="3" t="inlineStr">
        <is>
          <t>주주총회소집공고</t>
        </is>
      </c>
      <c r="F3486" s="3" t="inlineStr">
        <is>
          <t>로지스몬</t>
        </is>
      </c>
      <c r="G3486" s="2" t="inlineStr">
        <is>
          <t>20260312000553</t>
        </is>
      </c>
      <c r="H3486" s="8">
        <f>HYPERLINK("https://dart.fss.or.kr/dsaf001/main.do?rcpNo=20260312000553", "공시열람")</f>
        <v/>
      </c>
    </row>
    <row r="3487">
      <c r="A3487" s="2" t="inlineStr">
        <is>
          <t>2026-03-12</t>
        </is>
      </c>
      <c r="B3487" s="3" t="inlineStr">
        <is>
          <t>디티앤씨알오</t>
        </is>
      </c>
      <c r="C3487" s="2" t="inlineStr">
        <is>
          <t>코스닥</t>
        </is>
      </c>
      <c r="D3487" s="2" t="inlineStr">
        <is>
          <t>383930</t>
        </is>
      </c>
      <c r="E3487" s="3" t="inlineStr">
        <is>
          <t xml:space="preserve">주주총회집중일개최사유신고              </t>
        </is>
      </c>
      <c r="F3487" s="3" t="inlineStr">
        <is>
          <t>디티앤씨알오</t>
        </is>
      </c>
      <c r="G3487" s="2" t="inlineStr">
        <is>
          <t>20260312900754</t>
        </is>
      </c>
      <c r="H3487" s="8">
        <f>HYPERLINK("https://dart.fss.or.kr/dsaf001/main.do?rcpNo=20260312900754", "공시열람")</f>
        <v/>
      </c>
    </row>
    <row r="3488">
      <c r="A3488" s="2" t="inlineStr">
        <is>
          <t>2026-03-12</t>
        </is>
      </c>
      <c r="B3488" s="3" t="inlineStr">
        <is>
          <t>디티앤씨알오</t>
        </is>
      </c>
      <c r="C3488" s="2" t="inlineStr">
        <is>
          <t>코스닥</t>
        </is>
      </c>
      <c r="D3488" s="2" t="inlineStr">
        <is>
          <t>383930</t>
        </is>
      </c>
      <c r="E3488" s="3" t="inlineStr">
        <is>
          <t xml:space="preserve">주주총회소집결의              </t>
        </is>
      </c>
      <c r="F3488" s="3" t="inlineStr">
        <is>
          <t>디티앤씨알오</t>
        </is>
      </c>
      <c r="G3488" s="2" t="inlineStr">
        <is>
          <t>20260312900748</t>
        </is>
      </c>
      <c r="H3488" s="8">
        <f>HYPERLINK("https://dart.fss.or.kr/dsaf001/main.do?rcpNo=20260312900748", "공시열람")</f>
        <v/>
      </c>
    </row>
    <row r="3489">
      <c r="A3489" s="2" t="inlineStr">
        <is>
          <t>2026-03-12</t>
        </is>
      </c>
      <c r="B3489" s="3" t="inlineStr">
        <is>
          <t>파마리서치</t>
        </is>
      </c>
      <c r="C3489" s="2" t="inlineStr">
        <is>
          <t>코스닥</t>
        </is>
      </c>
      <c r="D3489" s="2" t="inlineStr">
        <is>
          <t>214450</t>
        </is>
      </c>
      <c r="E3489" s="3" t="inlineStr">
        <is>
          <t>주주총회소집공고</t>
        </is>
      </c>
      <c r="F3489" s="3" t="inlineStr">
        <is>
          <t>파마리서치</t>
        </is>
      </c>
      <c r="G3489" s="2" t="inlineStr">
        <is>
          <t>20260312000551</t>
        </is>
      </c>
      <c r="H3489" s="8">
        <f>HYPERLINK("https://dart.fss.or.kr/dsaf001/main.do?rcpNo=20260312000551", "공시열람")</f>
        <v/>
      </c>
    </row>
    <row r="3490">
      <c r="A3490" s="2" t="inlineStr">
        <is>
          <t>2026-03-12</t>
        </is>
      </c>
      <c r="B3490" s="3" t="inlineStr">
        <is>
          <t>제로투세븐</t>
        </is>
      </c>
      <c r="C3490" s="2" t="inlineStr">
        <is>
          <t>코스닥</t>
        </is>
      </c>
      <c r="D3490" s="2" t="inlineStr">
        <is>
          <t>159580</t>
        </is>
      </c>
      <c r="E3490" s="3" t="inlineStr">
        <is>
          <t>주주총회소집공고</t>
        </is>
      </c>
      <c r="F3490" s="3" t="inlineStr">
        <is>
          <t>제로투세븐</t>
        </is>
      </c>
      <c r="G3490" s="2" t="inlineStr">
        <is>
          <t>20260312000550</t>
        </is>
      </c>
      <c r="H3490" s="8">
        <f>HYPERLINK("https://dart.fss.or.kr/dsaf001/main.do?rcpNo=20260312000550", "공시열람")</f>
        <v/>
      </c>
    </row>
    <row r="3491">
      <c r="A3491" s="2" t="inlineStr">
        <is>
          <t>2026-03-12</t>
        </is>
      </c>
      <c r="B3491" s="3" t="inlineStr">
        <is>
          <t>케이엠</t>
        </is>
      </c>
      <c r="C3491" s="2" t="inlineStr">
        <is>
          <t>코스닥</t>
        </is>
      </c>
      <c r="D3491" s="2" t="inlineStr">
        <is>
          <t>083550</t>
        </is>
      </c>
      <c r="E3491" s="3" t="inlineStr">
        <is>
          <t xml:space="preserve">주주총회소집결의              </t>
        </is>
      </c>
      <c r="F3491" s="3" t="inlineStr">
        <is>
          <t>케이엠</t>
        </is>
      </c>
      <c r="G3491" s="2" t="inlineStr">
        <is>
          <t>20260312900730</t>
        </is>
      </c>
      <c r="H3491" s="8">
        <f>HYPERLINK("https://dart.fss.or.kr/dsaf001/main.do?rcpNo=20260312900730", "공시열람")</f>
        <v/>
      </c>
    </row>
    <row r="3492">
      <c r="A3492" s="2" t="inlineStr">
        <is>
          <t>2026-03-12</t>
        </is>
      </c>
      <c r="B3492" s="3" t="inlineStr">
        <is>
          <t>큐로셀</t>
        </is>
      </c>
      <c r="C3492" s="2" t="inlineStr">
        <is>
          <t>코스닥</t>
        </is>
      </c>
      <c r="D3492" s="2" t="inlineStr">
        <is>
          <t>372320</t>
        </is>
      </c>
      <c r="E3492" s="3" t="inlineStr">
        <is>
          <t>주주총회소집공고</t>
        </is>
      </c>
      <c r="F3492" s="3" t="inlineStr">
        <is>
          <t>큐로셀</t>
        </is>
      </c>
      <c r="G3492" s="2" t="inlineStr">
        <is>
          <t>20260312000547</t>
        </is>
      </c>
      <c r="H3492" s="8">
        <f>HYPERLINK("https://dart.fss.or.kr/dsaf001/main.do?rcpNo=20260312000547", "공시열람")</f>
        <v/>
      </c>
    </row>
    <row r="3493">
      <c r="A3493" s="2" t="inlineStr">
        <is>
          <t>2026-03-12 (정정: 2026-03-12)</t>
        </is>
      </c>
      <c r="B3493" s="3" t="inlineStr">
        <is>
          <t>와이제이링크</t>
        </is>
      </c>
      <c r="C3493" s="2" t="inlineStr">
        <is>
          <t>코스닥</t>
        </is>
      </c>
      <c r="D3493" s="2" t="inlineStr">
        <is>
          <t>209640</t>
        </is>
      </c>
      <c r="E3493" s="3" t="inlineStr">
        <is>
          <t>주주총회소집공고 (정정: 20260312)</t>
        </is>
      </c>
      <c r="F3493" s="3" t="inlineStr">
        <is>
          <t>와이제이링크</t>
        </is>
      </c>
      <c r="G3493" s="2" t="inlineStr">
        <is>
          <t>20260312900604</t>
        </is>
      </c>
      <c r="H3493" s="8">
        <f>HYPERLINK("https://dart.fss.or.kr/dsaf001/main.do?rcpNo=20260312900604", "공시열람")</f>
        <v/>
      </c>
    </row>
    <row r="3494">
      <c r="A3494" s="2" t="inlineStr">
        <is>
          <t>2026-03-12</t>
        </is>
      </c>
      <c r="B3494" s="3" t="inlineStr">
        <is>
          <t>케이옥션</t>
        </is>
      </c>
      <c r="C3494" s="2" t="inlineStr">
        <is>
          <t>코스닥</t>
        </is>
      </c>
      <c r="D3494" s="2" t="inlineStr">
        <is>
          <t>102370</t>
        </is>
      </c>
      <c r="E3494" s="3" t="inlineStr">
        <is>
          <t>주주총회소집공고</t>
        </is>
      </c>
      <c r="F3494" s="3" t="inlineStr">
        <is>
          <t>케이옥션</t>
        </is>
      </c>
      <c r="G3494" s="2" t="inlineStr">
        <is>
          <t>20260312000542</t>
        </is>
      </c>
      <c r="H3494" s="8">
        <f>HYPERLINK("https://dart.fss.or.kr/dsaf001/main.do?rcpNo=20260312000542", "공시열람")</f>
        <v/>
      </c>
    </row>
    <row r="3495">
      <c r="A3495" s="2" t="inlineStr">
        <is>
          <t>2026-03-12</t>
        </is>
      </c>
      <c r="B3495" s="3" t="inlineStr">
        <is>
          <t>케이엠</t>
        </is>
      </c>
      <c r="C3495" s="2" t="inlineStr">
        <is>
          <t>코스닥</t>
        </is>
      </c>
      <c r="D3495" s="2" t="inlineStr">
        <is>
          <t>083550</t>
        </is>
      </c>
      <c r="E3495" s="3" t="inlineStr">
        <is>
          <t xml:space="preserve">주주총회집중일개최사유신고              </t>
        </is>
      </c>
      <c r="F3495" s="3" t="inlineStr">
        <is>
          <t>케이엠</t>
        </is>
      </c>
      <c r="G3495" s="2" t="inlineStr">
        <is>
          <t>20260312900733</t>
        </is>
      </c>
      <c r="H3495" s="8">
        <f>HYPERLINK("https://dart.fss.or.kr/dsaf001/main.do?rcpNo=20260312900733", "공시열람")</f>
        <v/>
      </c>
    </row>
    <row r="3496">
      <c r="A3496" s="2" t="inlineStr">
        <is>
          <t>2026-03-12</t>
        </is>
      </c>
      <c r="B3496" s="3" t="inlineStr">
        <is>
          <t>한켐</t>
        </is>
      </c>
      <c r="C3496" s="2" t="inlineStr">
        <is>
          <t>코스닥</t>
        </is>
      </c>
      <c r="D3496" s="2" t="inlineStr">
        <is>
          <t>457370</t>
        </is>
      </c>
      <c r="E3496" s="3" t="inlineStr">
        <is>
          <t xml:space="preserve">주주총회집중일개최사유신고              </t>
        </is>
      </c>
      <c r="F3496" s="3" t="inlineStr">
        <is>
          <t>한켐</t>
        </is>
      </c>
      <c r="G3496" s="2" t="inlineStr">
        <is>
          <t>20260312900685</t>
        </is>
      </c>
      <c r="H3496" s="8">
        <f>HYPERLINK("https://dart.fss.or.kr/dsaf001/main.do?rcpNo=20260312900685", "공시열람")</f>
        <v/>
      </c>
    </row>
    <row r="3497">
      <c r="A3497" s="2" t="inlineStr">
        <is>
          <t>2026-03-12</t>
        </is>
      </c>
      <c r="B3497" s="3" t="inlineStr">
        <is>
          <t>인스피언</t>
        </is>
      </c>
      <c r="C3497" s="2" t="inlineStr">
        <is>
          <t>코스닥</t>
        </is>
      </c>
      <c r="D3497" s="2" t="inlineStr">
        <is>
          <t>465480</t>
        </is>
      </c>
      <c r="E3497" s="3" t="inlineStr">
        <is>
          <t xml:space="preserve">주주총회소집결의              </t>
        </is>
      </c>
      <c r="F3497" s="3" t="inlineStr">
        <is>
          <t>인스피언</t>
        </is>
      </c>
      <c r="G3497" s="2" t="inlineStr">
        <is>
          <t>20260312900664</t>
        </is>
      </c>
      <c r="H3497" s="8">
        <f>HYPERLINK("https://dart.fss.or.kr/dsaf001/main.do?rcpNo=20260312900664", "공시열람")</f>
        <v/>
      </c>
    </row>
    <row r="3498">
      <c r="A3498" s="2" t="inlineStr">
        <is>
          <t>2026-03-12 (정정: 2026-03-12)</t>
        </is>
      </c>
      <c r="B3498" s="3" t="inlineStr">
        <is>
          <t>로지스몬</t>
        </is>
      </c>
      <c r="C3498" s="2" t="inlineStr">
        <is>
          <t>코넥스</t>
        </is>
      </c>
      <c r="D3498" s="2" t="inlineStr">
        <is>
          <t>223220</t>
        </is>
      </c>
      <c r="E3498" s="3" t="inlineStr">
        <is>
          <t>주주총회집중일개최사유신고               (정정: 20260312)</t>
        </is>
      </c>
      <c r="F3498" s="3" t="inlineStr">
        <is>
          <t>로지스몬</t>
        </is>
      </c>
      <c r="G3498" s="2" t="inlineStr">
        <is>
          <t>20260312600656</t>
        </is>
      </c>
      <c r="H3498" s="8">
        <f>HYPERLINK("https://dart.fss.or.kr/dsaf001/main.do?rcpNo=20260312600656", "공시열람")</f>
        <v/>
      </c>
    </row>
    <row r="3499">
      <c r="A3499" s="2" t="inlineStr">
        <is>
          <t>2026-03-12 (정정: 2026-03-19)</t>
        </is>
      </c>
      <c r="B3499" s="3" t="inlineStr">
        <is>
          <t>케이피티유</t>
        </is>
      </c>
      <c r="C3499" s="2" t="inlineStr">
        <is>
          <t>코스닥</t>
        </is>
      </c>
      <c r="D3499" s="2" t="inlineStr">
        <is>
          <t>054410</t>
        </is>
      </c>
      <c r="E3499" s="3" t="inlineStr">
        <is>
          <t>주주총회소집공고 (정정: 20260319)</t>
        </is>
      </c>
      <c r="F3499" s="3" t="inlineStr">
        <is>
          <t>케이피티유</t>
        </is>
      </c>
      <c r="G3499" s="2" t="inlineStr">
        <is>
          <t>20260319001262</t>
        </is>
      </c>
      <c r="H3499" s="8">
        <f>HYPERLINK("https://dart.fss.or.kr/dsaf001/main.do?rcpNo=20260319001262", "공시열람")</f>
        <v/>
      </c>
    </row>
    <row r="3500">
      <c r="A3500" s="2" t="inlineStr">
        <is>
          <t>2026-03-12</t>
        </is>
      </c>
      <c r="B3500" s="3" t="inlineStr">
        <is>
          <t>테고사이언스</t>
        </is>
      </c>
      <c r="C3500" s="2" t="inlineStr">
        <is>
          <t>코스닥</t>
        </is>
      </c>
      <c r="D3500" s="2" t="inlineStr">
        <is>
          <t>191420</t>
        </is>
      </c>
      <c r="E3500" s="3" t="inlineStr">
        <is>
          <t xml:space="preserve">주주총회집중일개최사유신고              </t>
        </is>
      </c>
      <c r="F3500" s="3" t="inlineStr">
        <is>
          <t>테고사이언스</t>
        </is>
      </c>
      <c r="G3500" s="2" t="inlineStr">
        <is>
          <t>20260312900682</t>
        </is>
      </c>
      <c r="H3500" s="8">
        <f>HYPERLINK("https://dart.fss.or.kr/dsaf001/main.do?rcpNo=20260312900682", "공시열람")</f>
        <v/>
      </c>
    </row>
    <row r="3501">
      <c r="A3501" s="2" t="inlineStr">
        <is>
          <t>2026-03-12</t>
        </is>
      </c>
      <c r="B3501" s="3" t="inlineStr">
        <is>
          <t>에스에스알</t>
        </is>
      </c>
      <c r="C3501" s="2" t="inlineStr">
        <is>
          <t>코스닥</t>
        </is>
      </c>
      <c r="D3501" s="2" t="inlineStr">
        <is>
          <t>275630</t>
        </is>
      </c>
      <c r="E3501" s="3" t="inlineStr">
        <is>
          <t xml:space="preserve">주주총회집중일개최사유신고              </t>
        </is>
      </c>
      <c r="F3501" s="3" t="inlineStr">
        <is>
          <t>에스에스알</t>
        </is>
      </c>
      <c r="G3501" s="2" t="inlineStr">
        <is>
          <t>20260312900558</t>
        </is>
      </c>
      <c r="H3501" s="8">
        <f>HYPERLINK("https://dart.fss.or.kr/dsaf001/main.do?rcpNo=20260312900558", "공시열람")</f>
        <v/>
      </c>
    </row>
    <row r="3502">
      <c r="A3502" s="2" t="inlineStr">
        <is>
          <t>2026-03-12 (정정: 2026-03-16)</t>
        </is>
      </c>
      <c r="B3502" s="3" t="inlineStr">
        <is>
          <t>에스에스알</t>
        </is>
      </c>
      <c r="C3502" s="2" t="inlineStr">
        <is>
          <t>코스닥</t>
        </is>
      </c>
      <c r="D3502" s="2" t="inlineStr">
        <is>
          <t>275630</t>
        </is>
      </c>
      <c r="E3502" s="3" t="inlineStr">
        <is>
          <t>주주총회소집결의               (정정: 20260316)</t>
        </is>
      </c>
      <c r="F3502" s="3" t="inlineStr">
        <is>
          <t>에스에스알</t>
        </is>
      </c>
      <c r="G3502" s="2" t="inlineStr">
        <is>
          <t>20260316001388</t>
        </is>
      </c>
      <c r="H3502" s="8">
        <f>HYPERLINK("https://dart.fss.or.kr/dsaf001/main.do?rcpNo=20260316001388", "공시열람")</f>
        <v/>
      </c>
    </row>
    <row r="3503">
      <c r="A3503" s="2" t="inlineStr">
        <is>
          <t>2026-03-12</t>
        </is>
      </c>
      <c r="B3503" s="3" t="inlineStr">
        <is>
          <t>서울보증보험</t>
        </is>
      </c>
      <c r="C3503" s="2" t="inlineStr">
        <is>
          <t>코스피</t>
        </is>
      </c>
      <c r="D3503" s="2" t="inlineStr">
        <is>
          <t>031210</t>
        </is>
      </c>
      <c r="E3503" s="3" t="inlineStr">
        <is>
          <t>주주총회소집공고</t>
        </is>
      </c>
      <c r="F3503" s="3" t="inlineStr">
        <is>
          <t>서울보증보험</t>
        </is>
      </c>
      <c r="G3503" s="2" t="inlineStr">
        <is>
          <t>20260312000524</t>
        </is>
      </c>
      <c r="H3503" s="8">
        <f>HYPERLINK("https://dart.fss.or.kr/dsaf001/main.do?rcpNo=20260312000524", "공시열람")</f>
        <v/>
      </c>
    </row>
    <row r="3504">
      <c r="A3504" s="2" t="inlineStr">
        <is>
          <t>2026-03-12</t>
        </is>
      </c>
      <c r="B3504" s="3" t="inlineStr">
        <is>
          <t>서울보증보험</t>
        </is>
      </c>
      <c r="C3504" s="2" t="inlineStr">
        <is>
          <t>코스피</t>
        </is>
      </c>
      <c r="D3504" s="2" t="inlineStr">
        <is>
          <t>031210</t>
        </is>
      </c>
      <c r="E3504" s="3" t="inlineStr">
        <is>
          <t xml:space="preserve">주주총회소집결의              </t>
        </is>
      </c>
      <c r="F3504" s="3" t="inlineStr">
        <is>
          <t>서울보증보험</t>
        </is>
      </c>
      <c r="G3504" s="2" t="inlineStr">
        <is>
          <t>20260312800668</t>
        </is>
      </c>
      <c r="H3504" s="8">
        <f>HYPERLINK("https://dart.fss.or.kr/dsaf001/main.do?rcpNo=20260312800668", "공시열람")</f>
        <v/>
      </c>
    </row>
    <row r="3505">
      <c r="A3505" s="2" t="inlineStr">
        <is>
          <t>2026-03-12</t>
        </is>
      </c>
      <c r="B3505" s="3" t="inlineStr">
        <is>
          <t>이연제약</t>
        </is>
      </c>
      <c r="C3505" s="2" t="inlineStr">
        <is>
          <t>코스피</t>
        </is>
      </c>
      <c r="D3505" s="2" t="inlineStr">
        <is>
          <t>102460</t>
        </is>
      </c>
      <c r="E3505" s="3" t="inlineStr">
        <is>
          <t xml:space="preserve">주주총회소집결의              </t>
        </is>
      </c>
      <c r="F3505" s="3" t="inlineStr">
        <is>
          <t>이연제약</t>
        </is>
      </c>
      <c r="G3505" s="2" t="inlineStr">
        <is>
          <t>20260312800627</t>
        </is>
      </c>
      <c r="H3505" s="8">
        <f>HYPERLINK("https://dart.fss.or.kr/dsaf001/main.do?rcpNo=20260312800627", "공시열람")</f>
        <v/>
      </c>
    </row>
    <row r="3506">
      <c r="A3506" s="2" t="inlineStr">
        <is>
          <t>2026-03-12</t>
        </is>
      </c>
      <c r="B3506" s="3" t="inlineStr">
        <is>
          <t>제로투세븐</t>
        </is>
      </c>
      <c r="C3506" s="2" t="inlineStr">
        <is>
          <t>코스닥</t>
        </is>
      </c>
      <c r="D3506" s="2" t="inlineStr">
        <is>
          <t>159580</t>
        </is>
      </c>
      <c r="E3506" s="3" t="inlineStr">
        <is>
          <t xml:space="preserve">주주총회소집결의              </t>
        </is>
      </c>
      <c r="F3506" s="3" t="inlineStr">
        <is>
          <t>제로투세븐</t>
        </is>
      </c>
      <c r="G3506" s="2" t="inlineStr">
        <is>
          <t>20260312900654</t>
        </is>
      </c>
      <c r="H3506" s="8">
        <f>HYPERLINK("https://dart.fss.or.kr/dsaf001/main.do?rcpNo=20260312900654", "공시열람")</f>
        <v/>
      </c>
    </row>
    <row r="3507">
      <c r="A3507" s="2" t="inlineStr">
        <is>
          <t>2026-03-12</t>
        </is>
      </c>
      <c r="B3507" s="3" t="inlineStr">
        <is>
          <t>에스제이엠</t>
        </is>
      </c>
      <c r="C3507" s="2" t="inlineStr">
        <is>
          <t>코스피</t>
        </is>
      </c>
      <c r="D3507" s="2" t="inlineStr">
        <is>
          <t>123700</t>
        </is>
      </c>
      <c r="E3507" s="3" t="inlineStr">
        <is>
          <t>주주총회소집공고</t>
        </is>
      </c>
      <c r="F3507" s="3" t="inlineStr">
        <is>
          <t>에스제이엠</t>
        </is>
      </c>
      <c r="G3507" s="2" t="inlineStr">
        <is>
          <t>20260312000512</t>
        </is>
      </c>
      <c r="H3507" s="8">
        <f>HYPERLINK("https://dart.fss.or.kr/dsaf001/main.do?rcpNo=20260312000512", "공시열람")</f>
        <v/>
      </c>
    </row>
    <row r="3508">
      <c r="A3508" s="2" t="inlineStr">
        <is>
          <t>2026-03-12</t>
        </is>
      </c>
      <c r="B3508" s="3" t="inlineStr">
        <is>
          <t>오픈엣지테크놀로지</t>
        </is>
      </c>
      <c r="C3508" s="2" t="inlineStr">
        <is>
          <t>코스닥</t>
        </is>
      </c>
      <c r="D3508" s="2" t="inlineStr">
        <is>
          <t>394280</t>
        </is>
      </c>
      <c r="E3508" s="3" t="inlineStr">
        <is>
          <t>주주총회소집공고</t>
        </is>
      </c>
      <c r="F3508" s="3" t="inlineStr">
        <is>
          <t>오픈엣지테크놀로지</t>
        </is>
      </c>
      <c r="G3508" s="2" t="inlineStr">
        <is>
          <t>20260312000510</t>
        </is>
      </c>
      <c r="H3508" s="8">
        <f>HYPERLINK("https://dart.fss.or.kr/dsaf001/main.do?rcpNo=20260312000510", "공시열람")</f>
        <v/>
      </c>
    </row>
    <row r="3509">
      <c r="A3509" s="2" t="inlineStr">
        <is>
          <t>2026-03-12</t>
        </is>
      </c>
      <c r="B3509" s="3" t="inlineStr">
        <is>
          <t>KBG</t>
        </is>
      </c>
      <c r="C3509" s="2" t="inlineStr">
        <is>
          <t>코스닥</t>
        </is>
      </c>
      <c r="D3509" s="2" t="inlineStr">
        <is>
          <t>318000</t>
        </is>
      </c>
      <c r="E3509" s="3" t="inlineStr">
        <is>
          <t>주주총회소집공고</t>
        </is>
      </c>
      <c r="F3509" s="3" t="inlineStr">
        <is>
          <t>KBG</t>
        </is>
      </c>
      <c r="G3509" s="2" t="inlineStr">
        <is>
          <t>20260312000509</t>
        </is>
      </c>
      <c r="H3509" s="8">
        <f>HYPERLINK("https://dart.fss.or.kr/dsaf001/main.do?rcpNo=20260312000509", "공시열람")</f>
        <v/>
      </c>
    </row>
    <row r="3510">
      <c r="A3510" s="2" t="inlineStr">
        <is>
          <t>2026-03-12</t>
        </is>
      </c>
      <c r="B3510" s="3" t="inlineStr">
        <is>
          <t>이엠티</t>
        </is>
      </c>
      <c r="C3510" s="2" t="inlineStr">
        <is>
          <t>코넥스</t>
        </is>
      </c>
      <c r="D3510" s="2" t="inlineStr">
        <is>
          <t>232530</t>
        </is>
      </c>
      <c r="E3510" s="3" t="inlineStr">
        <is>
          <t>주주총회소집공고</t>
        </is>
      </c>
      <c r="F3510" s="3" t="inlineStr">
        <is>
          <t>이엠티</t>
        </is>
      </c>
      <c r="G3510" s="2" t="inlineStr">
        <is>
          <t>20260312000506</t>
        </is>
      </c>
      <c r="H3510" s="8">
        <f>HYPERLINK("https://dart.fss.or.kr/dsaf001/main.do?rcpNo=20260312000506", "공시열람")</f>
        <v/>
      </c>
    </row>
    <row r="3511">
      <c r="A3511" s="2" t="inlineStr">
        <is>
          <t>2026-03-12 (정정: 2026-06-09)</t>
        </is>
      </c>
      <c r="B3511" s="3" t="inlineStr">
        <is>
          <t>한켐</t>
        </is>
      </c>
      <c r="C3511" s="2" t="inlineStr">
        <is>
          <t>코스닥</t>
        </is>
      </c>
      <c r="D3511" s="2" t="inlineStr">
        <is>
          <t>457370</t>
        </is>
      </c>
      <c r="E3511" s="3" t="inlineStr">
        <is>
          <t>주주총회소집결의               (정정: 20260609)</t>
        </is>
      </c>
      <c r="F3511" s="3" t="inlineStr">
        <is>
          <t>한켐</t>
        </is>
      </c>
      <c r="G3511" s="2" t="inlineStr">
        <is>
          <t>20260609000191</t>
        </is>
      </c>
      <c r="H3511" s="8">
        <f>HYPERLINK("https://dart.fss.or.kr/dsaf001/main.do?rcpNo=20260609000191", "공시열람")</f>
        <v/>
      </c>
    </row>
    <row r="3512">
      <c r="A3512" s="2" t="inlineStr">
        <is>
          <t>2026-03-12</t>
        </is>
      </c>
      <c r="B3512" s="3" t="inlineStr">
        <is>
          <t>슈어소프트테크</t>
        </is>
      </c>
      <c r="C3512" s="2" t="inlineStr">
        <is>
          <t>코스닥</t>
        </is>
      </c>
      <c r="D3512" s="2" t="inlineStr">
        <is>
          <t>298830</t>
        </is>
      </c>
      <c r="E3512" s="3" t="inlineStr">
        <is>
          <t xml:space="preserve">주주총회집중일개최사유신고              </t>
        </is>
      </c>
      <c r="F3512" s="3" t="inlineStr">
        <is>
          <t>슈어소프트테크</t>
        </is>
      </c>
      <c r="G3512" s="2" t="inlineStr">
        <is>
          <t>20260312900636</t>
        </is>
      </c>
      <c r="H3512" s="8">
        <f>HYPERLINK("https://dart.fss.or.kr/dsaf001/main.do?rcpNo=20260312900636", "공시열람")</f>
        <v/>
      </c>
    </row>
    <row r="3513">
      <c r="A3513" s="2" t="inlineStr">
        <is>
          <t>2026-03-12</t>
        </is>
      </c>
      <c r="B3513" s="3" t="inlineStr">
        <is>
          <t>우리이앤엘하루틴</t>
        </is>
      </c>
      <c r="C3513" s="2" t="inlineStr">
        <is>
          <t>코스닥</t>
        </is>
      </c>
      <c r="D3513" s="2" t="inlineStr">
        <is>
          <t>153490</t>
        </is>
      </c>
      <c r="E3513" s="3" t="inlineStr">
        <is>
          <t>주주총회소집공고</t>
        </is>
      </c>
      <c r="F3513" s="3" t="inlineStr">
        <is>
          <t>우리이앤엘하루틴</t>
        </is>
      </c>
      <c r="G3513" s="2" t="inlineStr">
        <is>
          <t>20260312000500</t>
        </is>
      </c>
      <c r="H3513" s="8">
        <f>HYPERLINK("https://dart.fss.or.kr/dsaf001/main.do?rcpNo=20260312000500", "공시열람")</f>
        <v/>
      </c>
    </row>
    <row r="3514">
      <c r="A3514" s="2" t="inlineStr">
        <is>
          <t>2026-03-12</t>
        </is>
      </c>
      <c r="B3514" s="3" t="inlineStr">
        <is>
          <t>동인기연</t>
        </is>
      </c>
      <c r="C3514" s="2" t="inlineStr">
        <is>
          <t>코스피</t>
        </is>
      </c>
      <c r="D3514" s="2" t="inlineStr">
        <is>
          <t>111380</t>
        </is>
      </c>
      <c r="E3514" s="3" t="inlineStr">
        <is>
          <t xml:space="preserve">주주총회집중일개최사유신고              </t>
        </is>
      </c>
      <c r="F3514" s="3" t="inlineStr">
        <is>
          <t>동인기연</t>
        </is>
      </c>
      <c r="G3514" s="2" t="inlineStr">
        <is>
          <t>20260312800672</t>
        </is>
      </c>
      <c r="H3514" s="8">
        <f>HYPERLINK("https://dart.fss.or.kr/dsaf001/main.do?rcpNo=20260312800672", "공시열람")</f>
        <v/>
      </c>
    </row>
    <row r="3515">
      <c r="A3515" s="2" t="inlineStr">
        <is>
          <t>2026-03-12</t>
        </is>
      </c>
      <c r="B3515" s="3" t="inlineStr">
        <is>
          <t>케이웨더</t>
        </is>
      </c>
      <c r="C3515" s="2" t="inlineStr">
        <is>
          <t>코스닥</t>
        </is>
      </c>
      <c r="D3515" s="2" t="inlineStr">
        <is>
          <t>068100</t>
        </is>
      </c>
      <c r="E3515" s="3" t="inlineStr">
        <is>
          <t>주주총회소집공고</t>
        </is>
      </c>
      <c r="F3515" s="3" t="inlineStr">
        <is>
          <t>케이웨더</t>
        </is>
      </c>
      <c r="G3515" s="2" t="inlineStr">
        <is>
          <t>20260312000496</t>
        </is>
      </c>
      <c r="H3515" s="8">
        <f>HYPERLINK("https://dart.fss.or.kr/dsaf001/main.do?rcpNo=20260312000496", "공시열람")</f>
        <v/>
      </c>
    </row>
    <row r="3516">
      <c r="A3516" s="2" t="inlineStr">
        <is>
          <t>2026-03-12</t>
        </is>
      </c>
      <c r="B3516" s="3" t="inlineStr">
        <is>
          <t>SH에너지화학</t>
        </is>
      </c>
      <c r="C3516" s="2" t="inlineStr">
        <is>
          <t>코스피</t>
        </is>
      </c>
      <c r="D3516" s="2" t="inlineStr">
        <is>
          <t>002360</t>
        </is>
      </c>
      <c r="E3516" s="3" t="inlineStr">
        <is>
          <t xml:space="preserve">주주총회집중일개최사유신고              </t>
        </is>
      </c>
      <c r="F3516" s="3" t="inlineStr">
        <is>
          <t>SH에너지화학</t>
        </is>
      </c>
      <c r="G3516" s="2" t="inlineStr">
        <is>
          <t>20260312800648</t>
        </is>
      </c>
      <c r="H3516" s="8">
        <f>HYPERLINK("https://dart.fss.or.kr/dsaf001/main.do?rcpNo=20260312800648", "공시열람")</f>
        <v/>
      </c>
    </row>
    <row r="3517">
      <c r="A3517" s="2" t="inlineStr">
        <is>
          <t>2026-03-12</t>
        </is>
      </c>
      <c r="B3517" s="3" t="inlineStr">
        <is>
          <t>신흥</t>
        </is>
      </c>
      <c r="C3517" s="2" t="inlineStr">
        <is>
          <t>코스피</t>
        </is>
      </c>
      <c r="D3517" s="2" t="inlineStr">
        <is>
          <t>004080</t>
        </is>
      </c>
      <c r="E3517" s="3" t="inlineStr">
        <is>
          <t xml:space="preserve">주주총회집중일개최사유신고              </t>
        </is>
      </c>
      <c r="F3517" s="3" t="inlineStr">
        <is>
          <t>신흥</t>
        </is>
      </c>
      <c r="G3517" s="2" t="inlineStr">
        <is>
          <t>20260312800625</t>
        </is>
      </c>
      <c r="H3517" s="8">
        <f>HYPERLINK("https://dart.fss.or.kr/dsaf001/main.do?rcpNo=20260312800625", "공시열람")</f>
        <v/>
      </c>
    </row>
    <row r="3518">
      <c r="A3518" s="2" t="inlineStr">
        <is>
          <t>2026-03-12</t>
        </is>
      </c>
      <c r="B3518" s="3" t="inlineStr">
        <is>
          <t>동인기연</t>
        </is>
      </c>
      <c r="C3518" s="2" t="inlineStr">
        <is>
          <t>코스피</t>
        </is>
      </c>
      <c r="D3518" s="2" t="inlineStr">
        <is>
          <t>111380</t>
        </is>
      </c>
      <c r="E3518" s="3" t="inlineStr">
        <is>
          <t>주주총회소집공고</t>
        </is>
      </c>
      <c r="F3518" s="3" t="inlineStr">
        <is>
          <t>동인기연</t>
        </is>
      </c>
      <c r="G3518" s="2" t="inlineStr">
        <is>
          <t>20260312000491</t>
        </is>
      </c>
      <c r="H3518" s="8">
        <f>HYPERLINK("https://dart.fss.or.kr/dsaf001/main.do?rcpNo=20260312000491", "공시열람")</f>
        <v/>
      </c>
    </row>
    <row r="3519">
      <c r="A3519" s="2" t="inlineStr">
        <is>
          <t>2026-03-12</t>
        </is>
      </c>
      <c r="B3519" s="3" t="inlineStr">
        <is>
          <t>육일씨엔에쓰</t>
        </is>
      </c>
      <c r="C3519" s="2" t="inlineStr">
        <is>
          <t>코스닥</t>
        </is>
      </c>
      <c r="D3519" s="2" t="inlineStr">
        <is>
          <t>191410</t>
        </is>
      </c>
      <c r="E3519" s="3" t="inlineStr">
        <is>
          <t>주주총회소집공고</t>
        </is>
      </c>
      <c r="F3519" s="3" t="inlineStr">
        <is>
          <t>육일씨엔에쓰</t>
        </is>
      </c>
      <c r="G3519" s="2" t="inlineStr">
        <is>
          <t>20260312000489</t>
        </is>
      </c>
      <c r="H3519" s="8">
        <f>HYPERLINK("https://dart.fss.or.kr/dsaf001/main.do?rcpNo=20260312000489", "공시열람")</f>
        <v/>
      </c>
    </row>
    <row r="3520">
      <c r="A3520" s="2" t="inlineStr">
        <is>
          <t>2026-03-12</t>
        </is>
      </c>
      <c r="B3520" s="3" t="inlineStr">
        <is>
          <t>한국전자홀딩스</t>
        </is>
      </c>
      <c r="C3520" s="2" t="inlineStr">
        <is>
          <t>코스피</t>
        </is>
      </c>
      <c r="D3520" s="2" t="inlineStr">
        <is>
          <t>006200</t>
        </is>
      </c>
      <c r="E3520" s="3" t="inlineStr">
        <is>
          <t>주주총회소집공고</t>
        </is>
      </c>
      <c r="F3520" s="3" t="inlineStr">
        <is>
          <t>한국전자홀딩스</t>
        </is>
      </c>
      <c r="G3520" s="2" t="inlineStr">
        <is>
          <t>20260312000483</t>
        </is>
      </c>
      <c r="H3520" s="8">
        <f>HYPERLINK("https://dart.fss.or.kr/dsaf001/main.do?rcpNo=20260312000483", "공시열람")</f>
        <v/>
      </c>
    </row>
    <row r="3521">
      <c r="A3521" s="2" t="inlineStr">
        <is>
          <t>2026-03-12</t>
        </is>
      </c>
      <c r="B3521" s="3" t="inlineStr">
        <is>
          <t>제놀루션</t>
        </is>
      </c>
      <c r="C3521" s="2" t="inlineStr">
        <is>
          <t>코스닥</t>
        </is>
      </c>
      <c r="D3521" s="2" t="inlineStr">
        <is>
          <t>225220</t>
        </is>
      </c>
      <c r="E3521" s="3" t="inlineStr">
        <is>
          <t>주주총회소집공고</t>
        </is>
      </c>
      <c r="F3521" s="3" t="inlineStr">
        <is>
          <t>제놀루션</t>
        </is>
      </c>
      <c r="G3521" s="2" t="inlineStr">
        <is>
          <t>20260312000482</t>
        </is>
      </c>
      <c r="H3521" s="8">
        <f>HYPERLINK("https://dart.fss.or.kr/dsaf001/main.do?rcpNo=20260312000482", "공시열람")</f>
        <v/>
      </c>
    </row>
    <row r="3522">
      <c r="A3522" s="2" t="inlineStr">
        <is>
          <t>2026-03-12</t>
        </is>
      </c>
      <c r="B3522" s="3" t="inlineStr">
        <is>
          <t>동인기연</t>
        </is>
      </c>
      <c r="C3522" s="2" t="inlineStr">
        <is>
          <t>코스피</t>
        </is>
      </c>
      <c r="D3522" s="2" t="inlineStr">
        <is>
          <t>111380</t>
        </is>
      </c>
      <c r="E3522" s="3" t="inlineStr">
        <is>
          <t xml:space="preserve">주주총회소집결의              </t>
        </is>
      </c>
      <c r="F3522" s="3" t="inlineStr">
        <is>
          <t>동인기연</t>
        </is>
      </c>
      <c r="G3522" s="2" t="inlineStr">
        <is>
          <t>20260312800581</t>
        </is>
      </c>
      <c r="H3522" s="8">
        <f>HYPERLINK("https://dart.fss.or.kr/dsaf001/main.do?rcpNo=20260312800581", "공시열람")</f>
        <v/>
      </c>
    </row>
    <row r="3523">
      <c r="A3523" s="2" t="inlineStr">
        <is>
          <t>2026-03-12</t>
        </is>
      </c>
      <c r="B3523" s="3" t="inlineStr">
        <is>
          <t>실리콘투</t>
        </is>
      </c>
      <c r="C3523" s="2" t="inlineStr">
        <is>
          <t>코스닥</t>
        </is>
      </c>
      <c r="D3523" s="2" t="inlineStr">
        <is>
          <t>257720</t>
        </is>
      </c>
      <c r="E3523" s="3" t="inlineStr">
        <is>
          <t>주주총회소집공고</t>
        </is>
      </c>
      <c r="F3523" s="3" t="inlineStr">
        <is>
          <t>실리콘투</t>
        </is>
      </c>
      <c r="G3523" s="2" t="inlineStr">
        <is>
          <t>20260312000471</t>
        </is>
      </c>
      <c r="H3523" s="8">
        <f>HYPERLINK("https://dart.fss.or.kr/dsaf001/main.do?rcpNo=20260312000471", "공시열람")</f>
        <v/>
      </c>
    </row>
    <row r="3524">
      <c r="A3524" s="2" t="inlineStr">
        <is>
          <t>2026-03-12 (정정: 2026-03-12)</t>
        </is>
      </c>
      <c r="B3524" s="3" t="inlineStr">
        <is>
          <t>한창산업</t>
        </is>
      </c>
      <c r="C3524" s="2" t="inlineStr">
        <is>
          <t>코스닥</t>
        </is>
      </c>
      <c r="D3524" s="2" t="inlineStr">
        <is>
          <t>079170</t>
        </is>
      </c>
      <c r="E3524" s="3" t="inlineStr">
        <is>
          <t>[기재정정]주주총회소집공고</t>
        </is>
      </c>
      <c r="F3524" s="3" t="inlineStr">
        <is>
          <t>한창산업</t>
        </is>
      </c>
      <c r="G3524" s="2" t="inlineStr">
        <is>
          <t>20260312000470</t>
        </is>
      </c>
      <c r="H3524" s="8">
        <f>HYPERLINK("https://dart.fss.or.kr/dsaf001/main.do?rcpNo=20260312000470", "공시열람")</f>
        <v/>
      </c>
    </row>
    <row r="3525">
      <c r="A3525" s="2" t="inlineStr">
        <is>
          <t>2026-03-12</t>
        </is>
      </c>
      <c r="B3525" s="3" t="inlineStr">
        <is>
          <t>육일씨엔에쓰</t>
        </is>
      </c>
      <c r="C3525" s="2" t="inlineStr">
        <is>
          <t>코스닥</t>
        </is>
      </c>
      <c r="D3525" s="2" t="inlineStr">
        <is>
          <t>191410</t>
        </is>
      </c>
      <c r="E3525" s="3" t="inlineStr">
        <is>
          <t xml:space="preserve">주주총회소집결의              </t>
        </is>
      </c>
      <c r="F3525" s="3" t="inlineStr">
        <is>
          <t>육일씨엔에쓰</t>
        </is>
      </c>
      <c r="G3525" s="2" t="inlineStr">
        <is>
          <t>20260312900555</t>
        </is>
      </c>
      <c r="H3525" s="8">
        <f>HYPERLINK("https://dart.fss.or.kr/dsaf001/main.do?rcpNo=20260312900555", "공시열람")</f>
        <v/>
      </c>
    </row>
    <row r="3526">
      <c r="A3526" s="2" t="inlineStr">
        <is>
          <t>2026-03-12</t>
        </is>
      </c>
      <c r="B3526" s="3" t="inlineStr">
        <is>
          <t>에스코넥</t>
        </is>
      </c>
      <c r="C3526" s="2" t="inlineStr">
        <is>
          <t>코스닥</t>
        </is>
      </c>
      <c r="D3526" s="2" t="inlineStr">
        <is>
          <t>096630</t>
        </is>
      </c>
      <c r="E3526" s="3" t="inlineStr">
        <is>
          <t>주주총회소집공고</t>
        </is>
      </c>
      <c r="F3526" s="3" t="inlineStr">
        <is>
          <t>에스코넥</t>
        </is>
      </c>
      <c r="G3526" s="2" t="inlineStr">
        <is>
          <t>20260312000468</t>
        </is>
      </c>
      <c r="H3526" s="8">
        <f>HYPERLINK("https://dart.fss.or.kr/dsaf001/main.do?rcpNo=20260312000468", "공시열람")</f>
        <v/>
      </c>
    </row>
    <row r="3527">
      <c r="A3527" s="2" t="inlineStr">
        <is>
          <t>2026-03-12</t>
        </is>
      </c>
      <c r="B3527" s="3" t="inlineStr">
        <is>
          <t>코디</t>
        </is>
      </c>
      <c r="C3527" s="2" t="inlineStr">
        <is>
          <t>코스닥</t>
        </is>
      </c>
      <c r="D3527" s="2" t="inlineStr">
        <is>
          <t>080530</t>
        </is>
      </c>
      <c r="E3527" s="3" t="inlineStr">
        <is>
          <t xml:space="preserve">주주총회소집결의              </t>
        </is>
      </c>
      <c r="F3527" s="3" t="inlineStr">
        <is>
          <t>코디</t>
        </is>
      </c>
      <c r="G3527" s="2" t="inlineStr">
        <is>
          <t>20260312900607</t>
        </is>
      </c>
      <c r="H3527" s="8">
        <f>HYPERLINK("https://dart.fss.or.kr/dsaf001/main.do?rcpNo=20260312900607", "공시열람")</f>
        <v/>
      </c>
    </row>
    <row r="3528">
      <c r="A3528" s="2" t="inlineStr">
        <is>
          <t>2026-03-12</t>
        </is>
      </c>
      <c r="B3528" s="3" t="inlineStr">
        <is>
          <t>큐로셀</t>
        </is>
      </c>
      <c r="C3528" s="2" t="inlineStr">
        <is>
          <t>코스닥</t>
        </is>
      </c>
      <c r="D3528" s="2" t="inlineStr">
        <is>
          <t>372320</t>
        </is>
      </c>
      <c r="E3528" s="3" t="inlineStr">
        <is>
          <t xml:space="preserve">주주총회소집결의              </t>
        </is>
      </c>
      <c r="F3528" s="3" t="inlineStr">
        <is>
          <t>큐로셀</t>
        </is>
      </c>
      <c r="G3528" s="2" t="inlineStr">
        <is>
          <t>20260312900573</t>
        </is>
      </c>
      <c r="H3528" s="8">
        <f>HYPERLINK("https://dart.fss.or.kr/dsaf001/main.do?rcpNo=20260312900573", "공시열람")</f>
        <v/>
      </c>
    </row>
    <row r="3529">
      <c r="A3529" s="2" t="inlineStr">
        <is>
          <t>2026-03-12</t>
        </is>
      </c>
      <c r="B3529" s="3" t="inlineStr">
        <is>
          <t>상지건설</t>
        </is>
      </c>
      <c r="C3529" s="2" t="inlineStr">
        <is>
          <t>코스닥</t>
        </is>
      </c>
      <c r="D3529" s="2" t="inlineStr">
        <is>
          <t>042940</t>
        </is>
      </c>
      <c r="E3529" s="3" t="inlineStr">
        <is>
          <t xml:space="preserve">주주총회소집결의              </t>
        </is>
      </c>
      <c r="F3529" s="3" t="inlineStr">
        <is>
          <t>상지건설</t>
        </is>
      </c>
      <c r="G3529" s="2" t="inlineStr">
        <is>
          <t>20260312900538</t>
        </is>
      </c>
      <c r="H3529" s="8">
        <f>HYPERLINK("https://dart.fss.or.kr/dsaf001/main.do?rcpNo=20260312900538", "공시열람")</f>
        <v/>
      </c>
    </row>
    <row r="3530">
      <c r="A3530" s="2" t="inlineStr">
        <is>
          <t>2026-03-12</t>
        </is>
      </c>
      <c r="B3530" s="3" t="inlineStr">
        <is>
          <t>KB오토시스</t>
        </is>
      </c>
      <c r="C3530" s="2" t="inlineStr">
        <is>
          <t>코스닥</t>
        </is>
      </c>
      <c r="D3530" s="2" t="inlineStr">
        <is>
          <t>024120</t>
        </is>
      </c>
      <c r="E3530" s="3" t="inlineStr">
        <is>
          <t xml:space="preserve">주주총회집중일개최사유신고              </t>
        </is>
      </c>
      <c r="F3530" s="3" t="inlineStr">
        <is>
          <t>KB오토시스</t>
        </is>
      </c>
      <c r="G3530" s="2" t="inlineStr">
        <is>
          <t>20260312900589</t>
        </is>
      </c>
      <c r="H3530" s="8">
        <f>HYPERLINK("https://dart.fss.or.kr/dsaf001/main.do?rcpNo=20260312900589", "공시열람")</f>
        <v/>
      </c>
    </row>
    <row r="3531">
      <c r="A3531" s="2" t="inlineStr">
        <is>
          <t>2026-03-12</t>
        </is>
      </c>
      <c r="B3531" s="3" t="inlineStr">
        <is>
          <t>제놀루션</t>
        </is>
      </c>
      <c r="C3531" s="2" t="inlineStr">
        <is>
          <t>코스닥</t>
        </is>
      </c>
      <c r="D3531" s="2" t="inlineStr">
        <is>
          <t>225220</t>
        </is>
      </c>
      <c r="E3531" s="3" t="inlineStr">
        <is>
          <t xml:space="preserve">주주총회집중일개최사유신고              </t>
        </is>
      </c>
      <c r="F3531" s="3" t="inlineStr">
        <is>
          <t>제놀루션</t>
        </is>
      </c>
      <c r="G3531" s="2" t="inlineStr">
        <is>
          <t>20260312900560</t>
        </is>
      </c>
      <c r="H3531" s="8">
        <f>HYPERLINK("https://dart.fss.or.kr/dsaf001/main.do?rcpNo=20260312900560", "공시열람")</f>
        <v/>
      </c>
    </row>
    <row r="3532">
      <c r="A3532" s="2" t="inlineStr">
        <is>
          <t>2026-03-12</t>
        </is>
      </c>
      <c r="B3532" s="3" t="inlineStr">
        <is>
          <t>테고사이언스</t>
        </is>
      </c>
      <c r="C3532" s="2" t="inlineStr">
        <is>
          <t>코스닥</t>
        </is>
      </c>
      <c r="D3532" s="2" t="inlineStr">
        <is>
          <t>191420</t>
        </is>
      </c>
      <c r="E3532" s="3" t="inlineStr">
        <is>
          <t xml:space="preserve">주주총회소집결의              </t>
        </is>
      </c>
      <c r="F3532" s="3" t="inlineStr">
        <is>
          <t>테고사이언스</t>
        </is>
      </c>
      <c r="G3532" s="2" t="inlineStr">
        <is>
          <t>20260312900501</t>
        </is>
      </c>
      <c r="H3532" s="8">
        <f>HYPERLINK("https://dart.fss.or.kr/dsaf001/main.do?rcpNo=20260312900501", "공시열람")</f>
        <v/>
      </c>
    </row>
    <row r="3533">
      <c r="A3533" s="2" t="inlineStr">
        <is>
          <t>2026-03-12 (정정: 2026-03-12)</t>
        </is>
      </c>
      <c r="B3533" s="3" t="inlineStr">
        <is>
          <t>제놀루션</t>
        </is>
      </c>
      <c r="C3533" s="2" t="inlineStr">
        <is>
          <t>코스닥</t>
        </is>
      </c>
      <c r="D3533" s="2" t="inlineStr">
        <is>
          <t>225220</t>
        </is>
      </c>
      <c r="E3533" s="3" t="inlineStr">
        <is>
          <t>주주총회소집결의               (정정: 20260312)</t>
        </is>
      </c>
      <c r="F3533" s="3" t="inlineStr">
        <is>
          <t>제놀루션</t>
        </is>
      </c>
      <c r="G3533" s="2" t="inlineStr">
        <is>
          <t>20260312900260</t>
        </is>
      </c>
      <c r="H3533" s="8">
        <f>HYPERLINK("https://dart.fss.or.kr/dsaf001/main.do?rcpNo=20260312900260", "공시열람")</f>
        <v/>
      </c>
    </row>
    <row r="3534">
      <c r="A3534" s="2" t="inlineStr">
        <is>
          <t>2026-03-12</t>
        </is>
      </c>
      <c r="B3534" s="3" t="inlineStr">
        <is>
          <t>공구우먼</t>
        </is>
      </c>
      <c r="C3534" s="2" t="inlineStr">
        <is>
          <t>코스닥</t>
        </is>
      </c>
      <c r="D3534" s="2" t="inlineStr">
        <is>
          <t>366030</t>
        </is>
      </c>
      <c r="E3534" s="3" t="inlineStr">
        <is>
          <t xml:space="preserve">주주총회소집결의              </t>
        </is>
      </c>
      <c r="F3534" s="3" t="inlineStr">
        <is>
          <t>공구우먼</t>
        </is>
      </c>
      <c r="G3534" s="2" t="inlineStr">
        <is>
          <t>20260312900446</t>
        </is>
      </c>
      <c r="H3534" s="8">
        <f>HYPERLINK("https://dart.fss.or.kr/dsaf001/main.do?rcpNo=20260312900446", "공시열람")</f>
        <v/>
      </c>
    </row>
    <row r="3535">
      <c r="A3535" s="2" t="inlineStr">
        <is>
          <t>2026-03-12</t>
        </is>
      </c>
      <c r="B3535" s="3" t="inlineStr">
        <is>
          <t>슈어소프트테크</t>
        </is>
      </c>
      <c r="C3535" s="2" t="inlineStr">
        <is>
          <t>코스닥</t>
        </is>
      </c>
      <c r="D3535" s="2" t="inlineStr">
        <is>
          <t>298830</t>
        </is>
      </c>
      <c r="E3535" s="3" t="inlineStr">
        <is>
          <t xml:space="preserve">주주총회소집결의              </t>
        </is>
      </c>
      <c r="F3535" s="3" t="inlineStr">
        <is>
          <t>슈어소프트테크</t>
        </is>
      </c>
      <c r="G3535" s="2" t="inlineStr">
        <is>
          <t>20260312900596</t>
        </is>
      </c>
      <c r="H3535" s="8">
        <f>HYPERLINK("https://dart.fss.or.kr/dsaf001/main.do?rcpNo=20260312900596", "공시열람")</f>
        <v/>
      </c>
    </row>
    <row r="3536">
      <c r="A3536" s="2" t="inlineStr">
        <is>
          <t>2026-03-12</t>
        </is>
      </c>
      <c r="B3536" s="3" t="inlineStr">
        <is>
          <t>오디텍</t>
        </is>
      </c>
      <c r="C3536" s="2" t="inlineStr">
        <is>
          <t>코스닥</t>
        </is>
      </c>
      <c r="D3536" s="2" t="inlineStr">
        <is>
          <t>080520</t>
        </is>
      </c>
      <c r="E3536" s="3" t="inlineStr">
        <is>
          <t>주주총회소집공고</t>
        </is>
      </c>
      <c r="F3536" s="3" t="inlineStr">
        <is>
          <t>오디텍</t>
        </is>
      </c>
      <c r="G3536" s="2" t="inlineStr">
        <is>
          <t>20260312000464</t>
        </is>
      </c>
      <c r="H3536" s="8">
        <f>HYPERLINK("https://dart.fss.or.kr/dsaf001/main.do?rcpNo=20260312000464", "공시열람")</f>
        <v/>
      </c>
    </row>
    <row r="3537">
      <c r="A3537" s="2" t="inlineStr">
        <is>
          <t>2026-03-12</t>
        </is>
      </c>
      <c r="B3537" s="3" t="inlineStr">
        <is>
          <t>실리콘투</t>
        </is>
      </c>
      <c r="C3537" s="2" t="inlineStr">
        <is>
          <t>코스닥</t>
        </is>
      </c>
      <c r="D3537" s="2" t="inlineStr">
        <is>
          <t>257720</t>
        </is>
      </c>
      <c r="E3537" s="3" t="inlineStr">
        <is>
          <t xml:space="preserve">주주총회집중일개최사유신고              </t>
        </is>
      </c>
      <c r="F3537" s="3" t="inlineStr">
        <is>
          <t>실리콘투</t>
        </is>
      </c>
      <c r="G3537" s="2" t="inlineStr">
        <is>
          <t>20260312900547</t>
        </is>
      </c>
      <c r="H3537" s="8">
        <f>HYPERLINK("https://dart.fss.or.kr/dsaf001/main.do?rcpNo=20260312900547", "공시열람")</f>
        <v/>
      </c>
    </row>
    <row r="3538">
      <c r="A3538" s="2" t="inlineStr">
        <is>
          <t>2026-03-12</t>
        </is>
      </c>
      <c r="B3538" s="3" t="inlineStr">
        <is>
          <t>미쥬</t>
        </is>
      </c>
      <c r="C3538" s="2" t="inlineStr">
        <is>
          <t>코넥스</t>
        </is>
      </c>
      <c r="D3538" s="2" t="inlineStr">
        <is>
          <t>351020</t>
        </is>
      </c>
      <c r="E3538" s="3" t="inlineStr">
        <is>
          <t>주주총회소집공고</t>
        </is>
      </c>
      <c r="F3538" s="3" t="inlineStr">
        <is>
          <t>미쥬</t>
        </is>
      </c>
      <c r="G3538" s="2" t="inlineStr">
        <is>
          <t>20260312000463</t>
        </is>
      </c>
      <c r="H3538" s="8">
        <f>HYPERLINK("https://dart.fss.or.kr/dsaf001/main.do?rcpNo=20260312000463", "공시열람")</f>
        <v/>
      </c>
    </row>
    <row r="3539">
      <c r="A3539" s="2" t="inlineStr">
        <is>
          <t>2026-03-12</t>
        </is>
      </c>
      <c r="B3539" s="3" t="inlineStr">
        <is>
          <t>우리산업홀딩스</t>
        </is>
      </c>
      <c r="C3539" s="2" t="inlineStr">
        <is>
          <t>코스닥</t>
        </is>
      </c>
      <c r="D3539" s="2" t="inlineStr">
        <is>
          <t>072470</t>
        </is>
      </c>
      <c r="E3539" s="3" t="inlineStr">
        <is>
          <t xml:space="preserve">주주총회집중일개최사유신고              </t>
        </is>
      </c>
      <c r="F3539" s="3" t="inlineStr">
        <is>
          <t>우리산업홀딩스</t>
        </is>
      </c>
      <c r="G3539" s="2" t="inlineStr">
        <is>
          <t>20260312900519</t>
        </is>
      </c>
      <c r="H3539" s="8">
        <f>HYPERLINK("https://dart.fss.or.kr/dsaf001/main.do?rcpNo=20260312900519", "공시열람")</f>
        <v/>
      </c>
    </row>
    <row r="3540">
      <c r="A3540" s="2" t="inlineStr">
        <is>
          <t>2026-03-12 (정정: 2026-03-12)</t>
        </is>
      </c>
      <c r="B3540" s="3" t="inlineStr">
        <is>
          <t>실리콘투</t>
        </is>
      </c>
      <c r="C3540" s="2" t="inlineStr">
        <is>
          <t>코스닥</t>
        </is>
      </c>
      <c r="D3540" s="2" t="inlineStr">
        <is>
          <t>257720</t>
        </is>
      </c>
      <c r="E3540" s="3" t="inlineStr">
        <is>
          <t>주주총회소집결의               (정정: 20260312) (정정: 20260312)</t>
        </is>
      </c>
      <c r="F3540" s="3" t="inlineStr">
        <is>
          <t>실리콘투</t>
        </is>
      </c>
      <c r="G3540" s="2" t="inlineStr">
        <is>
          <t>20260312900450</t>
        </is>
      </c>
      <c r="H3540" s="8">
        <f>HYPERLINK("https://dart.fss.or.kr/dsaf001/main.do?rcpNo=20260312900450", "공시열람")</f>
        <v/>
      </c>
    </row>
    <row r="3541">
      <c r="A3541" s="2" t="inlineStr">
        <is>
          <t>2026-03-12</t>
        </is>
      </c>
      <c r="B3541" s="3" t="inlineStr">
        <is>
          <t>대한제당</t>
        </is>
      </c>
      <c r="C3541" s="2" t="inlineStr">
        <is>
          <t>코스피</t>
        </is>
      </c>
      <c r="D3541" s="2" t="inlineStr">
        <is>
          <t>001790</t>
        </is>
      </c>
      <c r="E3541" s="3" t="inlineStr">
        <is>
          <t xml:space="preserve">주주총회집중일개최사유신고              </t>
        </is>
      </c>
      <c r="F3541" s="3" t="inlineStr">
        <is>
          <t>대한제당</t>
        </is>
      </c>
      <c r="G3541" s="2" t="inlineStr">
        <is>
          <t>20260312800554</t>
        </is>
      </c>
      <c r="H3541" s="8">
        <f>HYPERLINK("https://dart.fss.or.kr/dsaf001/main.do?rcpNo=20260312800554", "공시열람")</f>
        <v/>
      </c>
    </row>
    <row r="3542">
      <c r="A3542" s="2" t="inlineStr">
        <is>
          <t>2026-03-12</t>
        </is>
      </c>
      <c r="B3542" s="3" t="inlineStr">
        <is>
          <t>SH에너지화학</t>
        </is>
      </c>
      <c r="C3542" s="2" t="inlineStr">
        <is>
          <t>코스피</t>
        </is>
      </c>
      <c r="D3542" s="2" t="inlineStr">
        <is>
          <t>002360</t>
        </is>
      </c>
      <c r="E3542" s="3" t="inlineStr">
        <is>
          <t>주주총회소집공고</t>
        </is>
      </c>
      <c r="F3542" s="3" t="inlineStr">
        <is>
          <t>SH에너지화학</t>
        </is>
      </c>
      <c r="G3542" s="2" t="inlineStr">
        <is>
          <t>20260312000453</t>
        </is>
      </c>
      <c r="H3542" s="8">
        <f>HYPERLINK("https://dart.fss.or.kr/dsaf001/main.do?rcpNo=20260312000453", "공시열람")</f>
        <v/>
      </c>
    </row>
    <row r="3543">
      <c r="A3543" s="2" t="inlineStr">
        <is>
          <t>2026-03-12</t>
        </is>
      </c>
      <c r="B3543" s="3" t="inlineStr">
        <is>
          <t>KEC</t>
        </is>
      </c>
      <c r="C3543" s="2" t="inlineStr">
        <is>
          <t>코스피</t>
        </is>
      </c>
      <c r="D3543" s="2" t="inlineStr">
        <is>
          <t>092220</t>
        </is>
      </c>
      <c r="E3543" s="3" t="inlineStr">
        <is>
          <t>주주총회소집공고</t>
        </is>
      </c>
      <c r="F3543" s="3" t="inlineStr">
        <is>
          <t>KEC</t>
        </is>
      </c>
      <c r="G3543" s="2" t="inlineStr">
        <is>
          <t>20260312000451</t>
        </is>
      </c>
      <c r="H3543" s="8">
        <f>HYPERLINK("https://dart.fss.or.kr/dsaf001/main.do?rcpNo=20260312000451", "공시열람")</f>
        <v/>
      </c>
    </row>
    <row r="3544">
      <c r="A3544" s="2" t="inlineStr">
        <is>
          <t>2026-03-12</t>
        </is>
      </c>
      <c r="B3544" s="3" t="inlineStr">
        <is>
          <t>미쥬</t>
        </is>
      </c>
      <c r="C3544" s="2" t="inlineStr">
        <is>
          <t>코넥스</t>
        </is>
      </c>
      <c r="D3544" s="2" t="inlineStr">
        <is>
          <t>351020</t>
        </is>
      </c>
      <c r="E3544" s="3" t="inlineStr">
        <is>
          <t xml:space="preserve">주주총회소집결의              </t>
        </is>
      </c>
      <c r="F3544" s="3" t="inlineStr">
        <is>
          <t>미쥬</t>
        </is>
      </c>
      <c r="G3544" s="2" t="inlineStr">
        <is>
          <t>20260312600533</t>
        </is>
      </c>
      <c r="H3544" s="8">
        <f>HYPERLINK("https://dart.fss.or.kr/dsaf001/main.do?rcpNo=20260312600533", "공시열람")</f>
        <v/>
      </c>
    </row>
    <row r="3545">
      <c r="A3545" s="2" t="inlineStr">
        <is>
          <t>2026-03-12</t>
        </is>
      </c>
      <c r="B3545" s="3" t="inlineStr">
        <is>
          <t>피앤에스로보틱스</t>
        </is>
      </c>
      <c r="C3545" s="2" t="inlineStr">
        <is>
          <t>코스닥</t>
        </is>
      </c>
      <c r="D3545" s="2" t="inlineStr">
        <is>
          <t>460940</t>
        </is>
      </c>
      <c r="E3545" s="3" t="inlineStr">
        <is>
          <t>[기재정정]주주총회소집공고</t>
        </is>
      </c>
      <c r="F3545" s="3" t="inlineStr">
        <is>
          <t>피앤에스로보틱스</t>
        </is>
      </c>
      <c r="G3545" s="2" t="inlineStr">
        <is>
          <t>20260312000450</t>
        </is>
      </c>
      <c r="H3545" s="8">
        <f>HYPERLINK("https://dart.fss.or.kr/dsaf001/main.do?rcpNo=20260312000450", "공시열람")</f>
        <v/>
      </c>
    </row>
    <row r="3546">
      <c r="A3546" s="2" t="inlineStr">
        <is>
          <t>2026-03-12</t>
        </is>
      </c>
      <c r="B3546" s="3" t="inlineStr">
        <is>
          <t>한창산업</t>
        </is>
      </c>
      <c r="C3546" s="2" t="inlineStr">
        <is>
          <t>코스닥</t>
        </is>
      </c>
      <c r="D3546" s="2" t="inlineStr">
        <is>
          <t>079170</t>
        </is>
      </c>
      <c r="E3546" s="3" t="inlineStr">
        <is>
          <t xml:space="preserve">주주총회집중일개최사유신고              </t>
        </is>
      </c>
      <c r="F3546" s="3" t="inlineStr">
        <is>
          <t>한창산업</t>
        </is>
      </c>
      <c r="G3546" s="2" t="inlineStr">
        <is>
          <t>20260312900540</t>
        </is>
      </c>
      <c r="H3546" s="8">
        <f>HYPERLINK("https://dart.fss.or.kr/dsaf001/main.do?rcpNo=20260312900540", "공시열람")</f>
        <v/>
      </c>
    </row>
    <row r="3547">
      <c r="A3547" s="2" t="inlineStr">
        <is>
          <t>2026-03-12</t>
        </is>
      </c>
      <c r="B3547" s="3" t="inlineStr">
        <is>
          <t>우리산업홀딩스</t>
        </is>
      </c>
      <c r="C3547" s="2" t="inlineStr">
        <is>
          <t>코스닥</t>
        </is>
      </c>
      <c r="D3547" s="2" t="inlineStr">
        <is>
          <t>072470</t>
        </is>
      </c>
      <c r="E3547" s="3" t="inlineStr">
        <is>
          <t>주주총회소집공고</t>
        </is>
      </c>
      <c r="F3547" s="3" t="inlineStr">
        <is>
          <t>우리산업홀딩스</t>
        </is>
      </c>
      <c r="G3547" s="2" t="inlineStr">
        <is>
          <t>20260312000440</t>
        </is>
      </c>
      <c r="H3547" s="8">
        <f>HYPERLINK("https://dart.fss.or.kr/dsaf001/main.do?rcpNo=20260312000440", "공시열람")</f>
        <v/>
      </c>
    </row>
    <row r="3548">
      <c r="A3548" s="2" t="inlineStr">
        <is>
          <t>2026-03-12 (정정: 2026-03-12)</t>
        </is>
      </c>
      <c r="B3548" s="3" t="inlineStr">
        <is>
          <t>서울식품공업</t>
        </is>
      </c>
      <c r="C3548" s="2" t="inlineStr">
        <is>
          <t>코스피</t>
        </is>
      </c>
      <c r="D3548" s="2" t="inlineStr">
        <is>
          <t>004410</t>
        </is>
      </c>
      <c r="E3548" s="3" t="inlineStr">
        <is>
          <t>[기재정정]주주총회소집공고</t>
        </is>
      </c>
      <c r="F3548" s="3" t="inlineStr">
        <is>
          <t>서울식품공업</t>
        </is>
      </c>
      <c r="G3548" s="2" t="inlineStr">
        <is>
          <t>20260312000439</t>
        </is>
      </c>
      <c r="H3548" s="8">
        <f>HYPERLINK("https://dart.fss.or.kr/dsaf001/main.do?rcpNo=20260312000439", "공시열람")</f>
        <v/>
      </c>
    </row>
    <row r="3549">
      <c r="A3549" s="2" t="inlineStr">
        <is>
          <t>2026-03-12</t>
        </is>
      </c>
      <c r="B3549" s="3" t="inlineStr">
        <is>
          <t>바이오플러스</t>
        </is>
      </c>
      <c r="C3549" s="2" t="inlineStr">
        <is>
          <t>코스닥</t>
        </is>
      </c>
      <c r="D3549" s="2" t="inlineStr">
        <is>
          <t>099430</t>
        </is>
      </c>
      <c r="E3549" s="3" t="inlineStr">
        <is>
          <t>주주총회소집공고</t>
        </is>
      </c>
      <c r="F3549" s="3" t="inlineStr">
        <is>
          <t>바이오플러스</t>
        </is>
      </c>
      <c r="G3549" s="2" t="inlineStr">
        <is>
          <t>20260312000436</t>
        </is>
      </c>
      <c r="H3549" s="8">
        <f>HYPERLINK("https://dart.fss.or.kr/dsaf001/main.do?rcpNo=20260312000436", "공시열람")</f>
        <v/>
      </c>
    </row>
    <row r="3550">
      <c r="A3550" s="2" t="inlineStr">
        <is>
          <t>2026-03-12</t>
        </is>
      </c>
      <c r="B3550" s="3" t="inlineStr">
        <is>
          <t>신흥</t>
        </is>
      </c>
      <c r="C3550" s="2" t="inlineStr">
        <is>
          <t>코스피</t>
        </is>
      </c>
      <c r="D3550" s="2" t="inlineStr">
        <is>
          <t>004080</t>
        </is>
      </c>
      <c r="E3550" s="3" t="inlineStr">
        <is>
          <t>주주총회소집공고</t>
        </is>
      </c>
      <c r="F3550" s="3" t="inlineStr">
        <is>
          <t>신흥</t>
        </is>
      </c>
      <c r="G3550" s="2" t="inlineStr">
        <is>
          <t>20260312000429</t>
        </is>
      </c>
      <c r="H3550" s="8">
        <f>HYPERLINK("https://dart.fss.or.kr/dsaf001/main.do?rcpNo=20260312000429", "공시열람")</f>
        <v/>
      </c>
    </row>
    <row r="3551">
      <c r="A3551" s="2" t="inlineStr">
        <is>
          <t>2026-03-12</t>
        </is>
      </c>
      <c r="B3551" s="3" t="inlineStr">
        <is>
          <t>솔트룩스</t>
        </is>
      </c>
      <c r="C3551" s="2" t="inlineStr">
        <is>
          <t>코스닥</t>
        </is>
      </c>
      <c r="D3551" s="2" t="inlineStr">
        <is>
          <t>304100</t>
        </is>
      </c>
      <c r="E3551" s="3" t="inlineStr">
        <is>
          <t>주주총회소집공고</t>
        </is>
      </c>
      <c r="F3551" s="3" t="inlineStr">
        <is>
          <t>솔트룩스</t>
        </is>
      </c>
      <c r="G3551" s="2" t="inlineStr">
        <is>
          <t>20260312000423</t>
        </is>
      </c>
      <c r="H3551" s="8">
        <f>HYPERLINK("https://dart.fss.or.kr/dsaf001/main.do?rcpNo=20260312000423", "공시열람")</f>
        <v/>
      </c>
    </row>
    <row r="3552">
      <c r="A3552" s="2" t="inlineStr">
        <is>
          <t>2026-03-12</t>
        </is>
      </c>
      <c r="B3552" s="3" t="inlineStr">
        <is>
          <t>KBG</t>
        </is>
      </c>
      <c r="C3552" s="2" t="inlineStr">
        <is>
          <t>코스닥</t>
        </is>
      </c>
      <c r="D3552" s="2" t="inlineStr">
        <is>
          <t>318000</t>
        </is>
      </c>
      <c r="E3552" s="3" t="inlineStr">
        <is>
          <t xml:space="preserve">주주총회집중일개최사유신고              </t>
        </is>
      </c>
      <c r="F3552" s="3" t="inlineStr">
        <is>
          <t>KBG</t>
        </is>
      </c>
      <c r="G3552" s="2" t="inlineStr">
        <is>
          <t>20260312900551</t>
        </is>
      </c>
      <c r="H3552" s="8">
        <f>HYPERLINK("https://dart.fss.or.kr/dsaf001/main.do?rcpNo=20260312900551", "공시열람")</f>
        <v/>
      </c>
    </row>
    <row r="3553">
      <c r="A3553" s="2" t="inlineStr">
        <is>
          <t>2026-03-12</t>
        </is>
      </c>
      <c r="B3553" s="3" t="inlineStr">
        <is>
          <t>SK오션플랜트</t>
        </is>
      </c>
      <c r="C3553" s="2" t="inlineStr">
        <is>
          <t>코스피</t>
        </is>
      </c>
      <c r="D3553" s="2" t="inlineStr">
        <is>
          <t>100090</t>
        </is>
      </c>
      <c r="E3553" s="3" t="inlineStr">
        <is>
          <t>주주총회소집공고</t>
        </is>
      </c>
      <c r="F3553" s="3" t="inlineStr">
        <is>
          <t>SK오션플랜트</t>
        </is>
      </c>
      <c r="G3553" s="2" t="inlineStr">
        <is>
          <t>20260312000420</t>
        </is>
      </c>
      <c r="H3553" s="8">
        <f>HYPERLINK("https://dart.fss.or.kr/dsaf001/main.do?rcpNo=20260312000420", "공시열람")</f>
        <v/>
      </c>
    </row>
    <row r="3554">
      <c r="A3554" s="2" t="inlineStr">
        <is>
          <t>2026-03-12 (정정: 2026-03-23)</t>
        </is>
      </c>
      <c r="B3554" s="3" t="inlineStr">
        <is>
          <t>대창단조</t>
        </is>
      </c>
      <c r="C3554" s="2" t="inlineStr">
        <is>
          <t>코스피</t>
        </is>
      </c>
      <c r="D3554" s="2" t="inlineStr">
        <is>
          <t>015230</t>
        </is>
      </c>
      <c r="E3554" s="3" t="inlineStr">
        <is>
          <t>주주총회소집공고 (정정: 20260323)</t>
        </is>
      </c>
      <c r="F3554" s="3" t="inlineStr">
        <is>
          <t>대창단조</t>
        </is>
      </c>
      <c r="G3554" s="2" t="inlineStr">
        <is>
          <t>20260323000597</t>
        </is>
      </c>
      <c r="H3554" s="8">
        <f>HYPERLINK("https://dart.fss.or.kr/dsaf001/main.do?rcpNo=20260323000597", "공시열람")</f>
        <v/>
      </c>
    </row>
    <row r="3555">
      <c r="A3555" s="2" t="inlineStr">
        <is>
          <t>2026-03-12</t>
        </is>
      </c>
      <c r="B3555" s="3" t="inlineStr">
        <is>
          <t>한창산업</t>
        </is>
      </c>
      <c r="C3555" s="2" t="inlineStr">
        <is>
          <t>코스닥</t>
        </is>
      </c>
      <c r="D3555" s="2" t="inlineStr">
        <is>
          <t>079170</t>
        </is>
      </c>
      <c r="E3555" s="3" t="inlineStr">
        <is>
          <t>주주총회소집공고</t>
        </is>
      </c>
      <c r="F3555" s="3" t="inlineStr">
        <is>
          <t>한창산업</t>
        </is>
      </c>
      <c r="G3555" s="2" t="inlineStr">
        <is>
          <t>20260312000417</t>
        </is>
      </c>
      <c r="H3555" s="8">
        <f>HYPERLINK("https://dart.fss.or.kr/dsaf001/main.do?rcpNo=20260312000417", "공시열람")</f>
        <v/>
      </c>
    </row>
    <row r="3556">
      <c r="A3556" s="2" t="inlineStr">
        <is>
          <t>2026-03-12</t>
        </is>
      </c>
      <c r="B3556" s="3" t="inlineStr">
        <is>
          <t>우리이앤엘하루틴</t>
        </is>
      </c>
      <c r="C3556" s="2" t="inlineStr">
        <is>
          <t>코스닥</t>
        </is>
      </c>
      <c r="D3556" s="2" t="inlineStr">
        <is>
          <t>153490</t>
        </is>
      </c>
      <c r="E3556" s="3" t="inlineStr">
        <is>
          <t xml:space="preserve">주주총회소집결의              </t>
        </is>
      </c>
      <c r="F3556" s="3" t="inlineStr">
        <is>
          <t>우리이앤엘하루틴</t>
        </is>
      </c>
      <c r="G3556" s="2" t="inlineStr">
        <is>
          <t>20260312900521</t>
        </is>
      </c>
      <c r="H3556" s="8">
        <f>HYPERLINK("https://dart.fss.or.kr/dsaf001/main.do?rcpNo=20260312900521", "공시열람")</f>
        <v/>
      </c>
    </row>
    <row r="3557">
      <c r="A3557" s="2" t="inlineStr">
        <is>
          <t>2026-03-12</t>
        </is>
      </c>
      <c r="B3557" s="3" t="inlineStr">
        <is>
          <t>KB오토시스</t>
        </is>
      </c>
      <c r="C3557" s="2" t="inlineStr">
        <is>
          <t>코스닥</t>
        </is>
      </c>
      <c r="D3557" s="2" t="inlineStr">
        <is>
          <t>024120</t>
        </is>
      </c>
      <c r="E3557" s="3" t="inlineStr">
        <is>
          <t>주주총회소집공고</t>
        </is>
      </c>
      <c r="F3557" s="3" t="inlineStr">
        <is>
          <t>KB오토시스</t>
        </is>
      </c>
      <c r="G3557" s="2" t="inlineStr">
        <is>
          <t>20260312000414</t>
        </is>
      </c>
      <c r="H3557" s="8">
        <f>HYPERLINK("https://dart.fss.or.kr/dsaf001/main.do?rcpNo=20260312000414", "공시열람")</f>
        <v/>
      </c>
    </row>
    <row r="3558">
      <c r="A3558" s="2" t="inlineStr">
        <is>
          <t>2026-03-12</t>
        </is>
      </c>
      <c r="B3558" s="3" t="inlineStr">
        <is>
          <t>부산주공</t>
        </is>
      </c>
      <c r="C3558" s="2" t="inlineStr">
        <is>
          <t>코스피</t>
        </is>
      </c>
      <c r="D3558" s="2" t="inlineStr">
        <is>
          <t>005030</t>
        </is>
      </c>
      <c r="E3558" s="3" t="inlineStr">
        <is>
          <t xml:space="preserve">주주총회집중일개최사유신고              </t>
        </is>
      </c>
      <c r="F3558" s="3" t="inlineStr">
        <is>
          <t>부산주공</t>
        </is>
      </c>
      <c r="G3558" s="2" t="inlineStr">
        <is>
          <t>20260312800544</t>
        </is>
      </c>
      <c r="H3558" s="8">
        <f>HYPERLINK("https://dart.fss.or.kr/dsaf001/main.do?rcpNo=20260312800544", "공시열람")</f>
        <v/>
      </c>
    </row>
    <row r="3559">
      <c r="A3559" s="2" t="inlineStr">
        <is>
          <t>2026-03-12</t>
        </is>
      </c>
      <c r="B3559" s="3" t="inlineStr">
        <is>
          <t>대한제당</t>
        </is>
      </c>
      <c r="C3559" s="2" t="inlineStr">
        <is>
          <t>코스피</t>
        </is>
      </c>
      <c r="D3559" s="2" t="inlineStr">
        <is>
          <t>001790</t>
        </is>
      </c>
      <c r="E3559" s="3" t="inlineStr">
        <is>
          <t>주주총회소집공고</t>
        </is>
      </c>
      <c r="F3559" s="3" t="inlineStr">
        <is>
          <t>대한제당</t>
        </is>
      </c>
      <c r="G3559" s="2" t="inlineStr">
        <is>
          <t>20260312000411</t>
        </is>
      </c>
      <c r="H3559" s="8">
        <f>HYPERLINK("https://dart.fss.or.kr/dsaf001/main.do?rcpNo=20260312000411", "공시열람")</f>
        <v/>
      </c>
    </row>
    <row r="3560">
      <c r="A3560" s="2" t="inlineStr">
        <is>
          <t>2026-03-12</t>
        </is>
      </c>
      <c r="B3560" s="3" t="inlineStr">
        <is>
          <t>뉴키즈온</t>
        </is>
      </c>
      <c r="C3560" s="2" t="inlineStr">
        <is>
          <t>코스닥</t>
        </is>
      </c>
      <c r="D3560" s="2" t="inlineStr">
        <is>
          <t>462310</t>
        </is>
      </c>
      <c r="E3560" s="3" t="inlineStr">
        <is>
          <t xml:space="preserve">주주총회집중일개최사유신고              </t>
        </is>
      </c>
      <c r="F3560" s="3" t="inlineStr">
        <is>
          <t>뉴키즈온</t>
        </is>
      </c>
      <c r="G3560" s="2" t="inlineStr">
        <is>
          <t>20260312900460</t>
        </is>
      </c>
      <c r="H3560" s="8">
        <f>HYPERLINK("https://dart.fss.or.kr/dsaf001/main.do?rcpNo=20260312900460", "공시열람")</f>
        <v/>
      </c>
    </row>
    <row r="3561">
      <c r="A3561" s="2" t="inlineStr">
        <is>
          <t>2026-03-12</t>
        </is>
      </c>
      <c r="B3561" s="3" t="inlineStr">
        <is>
          <t>인텔리안테크</t>
        </is>
      </c>
      <c r="C3561" s="2" t="inlineStr">
        <is>
          <t>코스닥</t>
        </is>
      </c>
      <c r="D3561" s="2" t="inlineStr">
        <is>
          <t>189300</t>
        </is>
      </c>
      <c r="E3561" s="3" t="inlineStr">
        <is>
          <t>주주총회소집공고</t>
        </is>
      </c>
      <c r="F3561" s="3" t="inlineStr">
        <is>
          <t>인텔리안테크</t>
        </is>
      </c>
      <c r="G3561" s="2" t="inlineStr">
        <is>
          <t>20260312000407</t>
        </is>
      </c>
      <c r="H3561" s="8">
        <f>HYPERLINK("https://dart.fss.or.kr/dsaf001/main.do?rcpNo=20260312000407", "공시열람")</f>
        <v/>
      </c>
    </row>
    <row r="3562">
      <c r="A3562" s="2" t="inlineStr">
        <is>
          <t>2026-03-12</t>
        </is>
      </c>
      <c r="B3562" s="3" t="inlineStr">
        <is>
          <t>시디즈</t>
        </is>
      </c>
      <c r="C3562" s="2" t="inlineStr">
        <is>
          <t>코스피</t>
        </is>
      </c>
      <c r="D3562" s="2" t="inlineStr">
        <is>
          <t>134790</t>
        </is>
      </c>
      <c r="E3562" s="3" t="inlineStr">
        <is>
          <t>주주총회소집공고</t>
        </is>
      </c>
      <c r="F3562" s="3" t="inlineStr">
        <is>
          <t>시디즈</t>
        </is>
      </c>
      <c r="G3562" s="2" t="inlineStr">
        <is>
          <t>20260312000406</t>
        </is>
      </c>
      <c r="H3562" s="8">
        <f>HYPERLINK("https://dart.fss.or.kr/dsaf001/main.do?rcpNo=20260312000406", "공시열람")</f>
        <v/>
      </c>
    </row>
    <row r="3563">
      <c r="A3563" s="2" t="inlineStr">
        <is>
          <t>2026-03-12</t>
        </is>
      </c>
      <c r="B3563" s="3" t="inlineStr">
        <is>
          <t>제이케이시냅스</t>
        </is>
      </c>
      <c r="C3563" s="2" t="inlineStr">
        <is>
          <t>코스닥</t>
        </is>
      </c>
      <c r="D3563" s="2" t="inlineStr">
        <is>
          <t>060230</t>
        </is>
      </c>
      <c r="E3563" s="3" t="inlineStr">
        <is>
          <t xml:space="preserve">주주총회소집결의              </t>
        </is>
      </c>
      <c r="F3563" s="3" t="inlineStr">
        <is>
          <t>제이케이시냅스</t>
        </is>
      </c>
      <c r="G3563" s="2" t="inlineStr">
        <is>
          <t>20260312900505</t>
        </is>
      </c>
      <c r="H3563" s="8">
        <f>HYPERLINK("https://dart.fss.or.kr/dsaf001/main.do?rcpNo=20260312900505", "공시열람")</f>
        <v/>
      </c>
    </row>
    <row r="3564">
      <c r="A3564" s="2" t="inlineStr">
        <is>
          <t>2026-03-12</t>
        </is>
      </c>
      <c r="B3564" s="3" t="inlineStr">
        <is>
          <t>부산주공</t>
        </is>
      </c>
      <c r="C3564" s="2" t="inlineStr">
        <is>
          <t>코스피</t>
        </is>
      </c>
      <c r="D3564" s="2" t="inlineStr">
        <is>
          <t>005030</t>
        </is>
      </c>
      <c r="E3564" s="3" t="inlineStr">
        <is>
          <t>주주총회소집공고</t>
        </is>
      </c>
      <c r="F3564" s="3" t="inlineStr">
        <is>
          <t>부산주공</t>
        </is>
      </c>
      <c r="G3564" s="2" t="inlineStr">
        <is>
          <t>20260312000404</t>
        </is>
      </c>
      <c r="H3564" s="8">
        <f>HYPERLINK("https://dart.fss.or.kr/dsaf001/main.do?rcpNo=20260312000404", "공시열람")</f>
        <v/>
      </c>
    </row>
    <row r="3565">
      <c r="A3565" s="2" t="inlineStr">
        <is>
          <t>2026-03-12</t>
        </is>
      </c>
      <c r="B3565" s="3" t="inlineStr">
        <is>
          <t>스톤브릿지벤처스</t>
        </is>
      </c>
      <c r="C3565" s="2" t="inlineStr">
        <is>
          <t>코스닥</t>
        </is>
      </c>
      <c r="D3565" s="2" t="inlineStr">
        <is>
          <t>330730</t>
        </is>
      </c>
      <c r="E3565" s="3" t="inlineStr">
        <is>
          <t xml:space="preserve">주주총회집중일개최사유신고              </t>
        </is>
      </c>
      <c r="F3565" s="3" t="inlineStr">
        <is>
          <t>스톤브릿지벤처스</t>
        </is>
      </c>
      <c r="G3565" s="2" t="inlineStr">
        <is>
          <t>20260312900468</t>
        </is>
      </c>
      <c r="H3565" s="8">
        <f>HYPERLINK("https://dart.fss.or.kr/dsaf001/main.do?rcpNo=20260312900468", "공시열람")</f>
        <v/>
      </c>
    </row>
    <row r="3566">
      <c r="A3566" s="2" t="inlineStr">
        <is>
          <t>2026-03-12</t>
        </is>
      </c>
      <c r="B3566" s="3" t="inlineStr">
        <is>
          <t>스톤브릿지벤처스</t>
        </is>
      </c>
      <c r="C3566" s="2" t="inlineStr">
        <is>
          <t>코스닥</t>
        </is>
      </c>
      <c r="D3566" s="2" t="inlineStr">
        <is>
          <t>330730</t>
        </is>
      </c>
      <c r="E3566" s="3" t="inlineStr">
        <is>
          <t xml:space="preserve">주주총회소집결의              </t>
        </is>
      </c>
      <c r="F3566" s="3" t="inlineStr">
        <is>
          <t>스톤브릿지벤처스</t>
        </is>
      </c>
      <c r="G3566" s="2" t="inlineStr">
        <is>
          <t>20260312900461</t>
        </is>
      </c>
      <c r="H3566" s="8">
        <f>HYPERLINK("https://dart.fss.or.kr/dsaf001/main.do?rcpNo=20260312900461", "공시열람")</f>
        <v/>
      </c>
    </row>
    <row r="3567">
      <c r="A3567" s="2" t="inlineStr">
        <is>
          <t>2026-03-12 (정정: 2026-03-26)</t>
        </is>
      </c>
      <c r="B3567" s="3" t="inlineStr">
        <is>
          <t>에스제이켐</t>
        </is>
      </c>
      <c r="C3567" s="2" t="inlineStr">
        <is>
          <t>코넥스</t>
        </is>
      </c>
      <c r="D3567" s="2" t="inlineStr">
        <is>
          <t>217910</t>
        </is>
      </c>
      <c r="E3567" s="3" t="inlineStr">
        <is>
          <t>주주총회소집공고 (정정: 20260326)</t>
        </is>
      </c>
      <c r="F3567" s="3" t="inlineStr">
        <is>
          <t>에스제이켐</t>
        </is>
      </c>
      <c r="G3567" s="2" t="inlineStr">
        <is>
          <t>20260326000608</t>
        </is>
      </c>
      <c r="H3567" s="8">
        <f>HYPERLINK("https://dart.fss.or.kr/dsaf001/main.do?rcpNo=20260326000608", "공시열람")</f>
        <v/>
      </c>
    </row>
    <row r="3568">
      <c r="A3568" s="2" t="inlineStr">
        <is>
          <t>2026-03-12 (정정: 2026-03-19)</t>
        </is>
      </c>
      <c r="B3568" s="3" t="inlineStr">
        <is>
          <t>스튜디오삼익</t>
        </is>
      </c>
      <c r="C3568" s="2" t="inlineStr">
        <is>
          <t>코스닥</t>
        </is>
      </c>
      <c r="D3568" s="2" t="inlineStr">
        <is>
          <t>415380</t>
        </is>
      </c>
      <c r="E3568" s="3" t="inlineStr">
        <is>
          <t>주주총회집중일개최사유신고               (정정: 20260319)</t>
        </is>
      </c>
      <c r="F3568" s="3" t="inlineStr">
        <is>
          <t>스튜디오삼익</t>
        </is>
      </c>
      <c r="G3568" s="2" t="inlineStr">
        <is>
          <t>20260319000559</t>
        </is>
      </c>
      <c r="H3568" s="8">
        <f>HYPERLINK("https://dart.fss.or.kr/dsaf001/main.do?rcpNo=20260319000559", "공시열람")</f>
        <v/>
      </c>
    </row>
    <row r="3569">
      <c r="A3569" s="2" t="inlineStr">
        <is>
          <t>2026-03-12</t>
        </is>
      </c>
      <c r="B3569" s="3" t="inlineStr">
        <is>
          <t>태원물산</t>
        </is>
      </c>
      <c r="C3569" s="2" t="inlineStr">
        <is>
          <t>코스피</t>
        </is>
      </c>
      <c r="D3569" s="2" t="inlineStr">
        <is>
          <t>001420</t>
        </is>
      </c>
      <c r="E3569" s="3" t="inlineStr">
        <is>
          <t xml:space="preserve">주주총회집중일개최사유신고              </t>
        </is>
      </c>
      <c r="F3569" s="3" t="inlineStr">
        <is>
          <t>태원물산</t>
        </is>
      </c>
      <c r="G3569" s="2" t="inlineStr">
        <is>
          <t>20260312800499</t>
        </is>
      </c>
      <c r="H3569" s="8">
        <f>HYPERLINK("https://dart.fss.or.kr/dsaf001/main.do?rcpNo=20260312800499", "공시열람")</f>
        <v/>
      </c>
    </row>
    <row r="3570">
      <c r="A3570" s="2" t="inlineStr">
        <is>
          <t>2026-03-12</t>
        </is>
      </c>
      <c r="B3570" s="3" t="inlineStr">
        <is>
          <t>아이패밀리에스씨</t>
        </is>
      </c>
      <c r="C3570" s="2" t="inlineStr">
        <is>
          <t>코스닥</t>
        </is>
      </c>
      <c r="D3570" s="2" t="inlineStr">
        <is>
          <t>114840</t>
        </is>
      </c>
      <c r="E3570" s="3" t="inlineStr">
        <is>
          <t>주주총회소집공고</t>
        </is>
      </c>
      <c r="F3570" s="3" t="inlineStr">
        <is>
          <t>아이패밀리에스씨</t>
        </is>
      </c>
      <c r="G3570" s="2" t="inlineStr">
        <is>
          <t>20260312000396</t>
        </is>
      </c>
      <c r="H3570" s="8">
        <f>HYPERLINK("https://dart.fss.or.kr/dsaf001/main.do?rcpNo=20260312000396", "공시열람")</f>
        <v/>
      </c>
    </row>
    <row r="3571">
      <c r="A3571" s="2" t="inlineStr">
        <is>
          <t>2026-03-12</t>
        </is>
      </c>
      <c r="B3571" s="3" t="inlineStr">
        <is>
          <t>블루콤</t>
        </is>
      </c>
      <c r="C3571" s="2" t="inlineStr">
        <is>
          <t>코스닥</t>
        </is>
      </c>
      <c r="D3571" s="2" t="inlineStr">
        <is>
          <t>033560</t>
        </is>
      </c>
      <c r="E3571" s="3" t="inlineStr">
        <is>
          <t xml:space="preserve">[기재정정]주주총회소집결의              </t>
        </is>
      </c>
      <c r="F3571" s="3" t="inlineStr">
        <is>
          <t>블루콤</t>
        </is>
      </c>
      <c r="G3571" s="2" t="inlineStr">
        <is>
          <t>20260312900502</t>
        </is>
      </c>
      <c r="H3571" s="8">
        <f>HYPERLINK("https://dart.fss.or.kr/dsaf001/main.do?rcpNo=20260312900502", "공시열람")</f>
        <v/>
      </c>
    </row>
    <row r="3572">
      <c r="A3572" s="2" t="inlineStr">
        <is>
          <t>2026-03-12</t>
        </is>
      </c>
      <c r="B3572" s="3" t="inlineStr">
        <is>
          <t>스튜디오삼익</t>
        </is>
      </c>
      <c r="C3572" s="2" t="inlineStr">
        <is>
          <t>코스닥</t>
        </is>
      </c>
      <c r="D3572" s="2" t="inlineStr">
        <is>
          <t>415380</t>
        </is>
      </c>
      <c r="E3572" s="3" t="inlineStr">
        <is>
          <t>주주총회소집공고</t>
        </is>
      </c>
      <c r="F3572" s="3" t="inlineStr">
        <is>
          <t>스튜디오삼익</t>
        </is>
      </c>
      <c r="G3572" s="2" t="inlineStr">
        <is>
          <t>20260312000394</t>
        </is>
      </c>
      <c r="H3572" s="8">
        <f>HYPERLINK("https://dart.fss.or.kr/dsaf001/main.do?rcpNo=20260312000394", "공시열람")</f>
        <v/>
      </c>
    </row>
    <row r="3573">
      <c r="A3573" s="2" t="inlineStr">
        <is>
          <t>2026-03-12</t>
        </is>
      </c>
      <c r="B3573" s="3" t="inlineStr">
        <is>
          <t>우리산업홀딩스</t>
        </is>
      </c>
      <c r="C3573" s="2" t="inlineStr">
        <is>
          <t>코스닥</t>
        </is>
      </c>
      <c r="D3573" s="2" t="inlineStr">
        <is>
          <t>072470</t>
        </is>
      </c>
      <c r="E3573" s="3" t="inlineStr">
        <is>
          <t xml:space="preserve">주주총회소집결의              </t>
        </is>
      </c>
      <c r="F3573" s="3" t="inlineStr">
        <is>
          <t>우리산업홀딩스</t>
        </is>
      </c>
      <c r="G3573" s="2" t="inlineStr">
        <is>
          <t>20260312900458</t>
        </is>
      </c>
      <c r="H3573" s="8">
        <f>HYPERLINK("https://dart.fss.or.kr/dsaf001/main.do?rcpNo=20260312900458", "공시열람")</f>
        <v/>
      </c>
    </row>
    <row r="3574">
      <c r="A3574" s="2" t="inlineStr">
        <is>
          <t>2026-03-12</t>
        </is>
      </c>
      <c r="B3574" s="3" t="inlineStr">
        <is>
          <t>에스제이켐</t>
        </is>
      </c>
      <c r="C3574" s="2" t="inlineStr">
        <is>
          <t>코넥스</t>
        </is>
      </c>
      <c r="D3574" s="2" t="inlineStr">
        <is>
          <t>217910</t>
        </is>
      </c>
      <c r="E3574" s="3" t="inlineStr">
        <is>
          <t xml:space="preserve">주주총회집중일개최사유신고              </t>
        </is>
      </c>
      <c r="F3574" s="3" t="inlineStr">
        <is>
          <t>에스제이켐</t>
        </is>
      </c>
      <c r="G3574" s="2" t="inlineStr">
        <is>
          <t>20260312600498</t>
        </is>
      </c>
      <c r="H3574" s="8">
        <f>HYPERLINK("https://dart.fss.or.kr/dsaf001/main.do?rcpNo=20260312600498", "공시열람")</f>
        <v/>
      </c>
    </row>
    <row r="3575">
      <c r="A3575" s="2" t="inlineStr">
        <is>
          <t>2026-03-12</t>
        </is>
      </c>
      <c r="B3575" s="3" t="inlineStr">
        <is>
          <t>부산주공</t>
        </is>
      </c>
      <c r="C3575" s="2" t="inlineStr">
        <is>
          <t>코스피</t>
        </is>
      </c>
      <c r="D3575" s="2" t="inlineStr">
        <is>
          <t>005030</t>
        </is>
      </c>
      <c r="E3575" s="3" t="inlineStr">
        <is>
          <t xml:space="preserve">주주총회소집결의              </t>
        </is>
      </c>
      <c r="F3575" s="3" t="inlineStr">
        <is>
          <t>부산주공</t>
        </is>
      </c>
      <c r="G3575" s="2" t="inlineStr">
        <is>
          <t>20260312800440</t>
        </is>
      </c>
      <c r="H3575" s="8">
        <f>HYPERLINK("https://dart.fss.or.kr/dsaf001/main.do?rcpNo=20260312800440", "공시열람")</f>
        <v/>
      </c>
    </row>
    <row r="3576">
      <c r="A3576" s="2" t="inlineStr">
        <is>
          <t>2026-03-12</t>
        </is>
      </c>
      <c r="B3576" s="3" t="inlineStr">
        <is>
          <t>유신</t>
        </is>
      </c>
      <c r="C3576" s="2" t="inlineStr">
        <is>
          <t>코스닥</t>
        </is>
      </c>
      <c r="D3576" s="2" t="inlineStr">
        <is>
          <t>054930</t>
        </is>
      </c>
      <c r="E3576" s="3" t="inlineStr">
        <is>
          <t>주주총회소집공고</t>
        </is>
      </c>
      <c r="F3576" s="3" t="inlineStr">
        <is>
          <t>유신</t>
        </is>
      </c>
      <c r="G3576" s="2" t="inlineStr">
        <is>
          <t>20260312000388</t>
        </is>
      </c>
      <c r="H3576" s="8">
        <f>HYPERLINK("https://dart.fss.or.kr/dsaf001/main.do?rcpNo=20260312000388", "공시열람")</f>
        <v/>
      </c>
    </row>
    <row r="3577">
      <c r="A3577" s="2" t="inlineStr">
        <is>
          <t>2026-03-12</t>
        </is>
      </c>
      <c r="B3577" s="3" t="inlineStr">
        <is>
          <t>에스제이켐</t>
        </is>
      </c>
      <c r="C3577" s="2" t="inlineStr">
        <is>
          <t>코넥스</t>
        </is>
      </c>
      <c r="D3577" s="2" t="inlineStr">
        <is>
          <t>217910</t>
        </is>
      </c>
      <c r="E3577" s="3" t="inlineStr">
        <is>
          <t xml:space="preserve">주주총회소집결의              </t>
        </is>
      </c>
      <c r="F3577" s="3" t="inlineStr">
        <is>
          <t>에스제이켐</t>
        </is>
      </c>
      <c r="G3577" s="2" t="inlineStr">
        <is>
          <t>20260312600459</t>
        </is>
      </c>
      <c r="H3577" s="8">
        <f>HYPERLINK("https://dart.fss.or.kr/dsaf001/main.do?rcpNo=20260312600459", "공시열람")</f>
        <v/>
      </c>
    </row>
    <row r="3578">
      <c r="A3578" s="2" t="inlineStr">
        <is>
          <t>2026-03-12</t>
        </is>
      </c>
      <c r="B3578" s="3" t="inlineStr">
        <is>
          <t>우리산업</t>
        </is>
      </c>
      <c r="C3578" s="2" t="inlineStr">
        <is>
          <t>코스닥</t>
        </is>
      </c>
      <c r="D3578" s="2" t="inlineStr">
        <is>
          <t>215360</t>
        </is>
      </c>
      <c r="E3578" s="3" t="inlineStr">
        <is>
          <t>주주총회소집공고</t>
        </is>
      </c>
      <c r="F3578" s="3" t="inlineStr">
        <is>
          <t>우리산업</t>
        </is>
      </c>
      <c r="G3578" s="2" t="inlineStr">
        <is>
          <t>20260312000378</t>
        </is>
      </c>
      <c r="H3578" s="8">
        <f>HYPERLINK("https://dart.fss.or.kr/dsaf001/main.do?rcpNo=20260312000378", "공시열람")</f>
        <v/>
      </c>
    </row>
    <row r="3579">
      <c r="A3579" s="2" t="inlineStr">
        <is>
          <t>2026-03-12</t>
        </is>
      </c>
      <c r="B3579" s="3" t="inlineStr">
        <is>
          <t>한국쉘석유</t>
        </is>
      </c>
      <c r="C3579" s="2" t="inlineStr">
        <is>
          <t>코스피</t>
        </is>
      </c>
      <c r="D3579" s="2" t="inlineStr">
        <is>
          <t>002960</t>
        </is>
      </c>
      <c r="E3579" s="3" t="inlineStr">
        <is>
          <t>주주총회소집공고</t>
        </is>
      </c>
      <c r="F3579" s="3" t="inlineStr">
        <is>
          <t>한국쉘석유</t>
        </is>
      </c>
      <c r="G3579" s="2" t="inlineStr">
        <is>
          <t>20260312000377</t>
        </is>
      </c>
      <c r="H3579" s="8">
        <f>HYPERLINK("https://dart.fss.or.kr/dsaf001/main.do?rcpNo=20260312000377", "공시열람")</f>
        <v/>
      </c>
    </row>
    <row r="3580">
      <c r="A3580" s="2" t="inlineStr">
        <is>
          <t>2026-03-12</t>
        </is>
      </c>
      <c r="B3580" s="3" t="inlineStr">
        <is>
          <t>에이테크솔루션</t>
        </is>
      </c>
      <c r="C3580" s="2" t="inlineStr">
        <is>
          <t>코스닥</t>
        </is>
      </c>
      <c r="D3580" s="2" t="inlineStr">
        <is>
          <t>071670</t>
        </is>
      </c>
      <c r="E3580" s="3" t="inlineStr">
        <is>
          <t xml:space="preserve">주주총회집중일개최사유신고              </t>
        </is>
      </c>
      <c r="F3580" s="3" t="inlineStr">
        <is>
          <t>에이테크솔루션</t>
        </is>
      </c>
      <c r="G3580" s="2" t="inlineStr">
        <is>
          <t>20260312900451</t>
        </is>
      </c>
      <c r="H3580" s="8">
        <f>HYPERLINK("https://dart.fss.or.kr/dsaf001/main.do?rcpNo=20260312900451", "공시열람")</f>
        <v/>
      </c>
    </row>
    <row r="3581">
      <c r="A3581" s="2" t="inlineStr">
        <is>
          <t>2026-03-12</t>
        </is>
      </c>
      <c r="B3581" s="3" t="inlineStr">
        <is>
          <t>인포뱅크</t>
        </is>
      </c>
      <c r="C3581" s="2" t="inlineStr">
        <is>
          <t>코스닥</t>
        </is>
      </c>
      <c r="D3581" s="2" t="inlineStr">
        <is>
          <t>039290</t>
        </is>
      </c>
      <c r="E3581" s="3" t="inlineStr">
        <is>
          <t xml:space="preserve">주주총회집중일개최사유신고              </t>
        </is>
      </c>
      <c r="F3581" s="3" t="inlineStr">
        <is>
          <t>인포뱅크</t>
        </is>
      </c>
      <c r="G3581" s="2" t="inlineStr">
        <is>
          <t>20260312900434</t>
        </is>
      </c>
      <c r="H3581" s="8">
        <f>HYPERLINK("https://dart.fss.or.kr/dsaf001/main.do?rcpNo=20260312900434", "공시열람")</f>
        <v/>
      </c>
    </row>
    <row r="3582">
      <c r="A3582" s="2" t="inlineStr">
        <is>
          <t>2026-03-12</t>
        </is>
      </c>
      <c r="B3582" s="3" t="inlineStr">
        <is>
          <t>더블유에스아이</t>
        </is>
      </c>
      <c r="C3582" s="2" t="inlineStr">
        <is>
          <t>코스닥</t>
        </is>
      </c>
      <c r="D3582" s="2" t="inlineStr">
        <is>
          <t>299170</t>
        </is>
      </c>
      <c r="E3582" s="3" t="inlineStr">
        <is>
          <t xml:space="preserve">주주총회집중일개최사유신고              </t>
        </is>
      </c>
      <c r="F3582" s="3" t="inlineStr">
        <is>
          <t>더블유에스아이</t>
        </is>
      </c>
      <c r="G3582" s="2" t="inlineStr">
        <is>
          <t>20260312900410</t>
        </is>
      </c>
      <c r="H3582" s="8">
        <f>HYPERLINK("https://dart.fss.or.kr/dsaf001/main.do?rcpNo=20260312900410", "공시열람")</f>
        <v/>
      </c>
    </row>
    <row r="3583">
      <c r="A3583" s="2" t="inlineStr">
        <is>
          <t>2026-03-12</t>
        </is>
      </c>
      <c r="B3583" s="3" t="inlineStr">
        <is>
          <t>유진스팩10호</t>
        </is>
      </c>
      <c r="C3583" s="2" t="inlineStr">
        <is>
          <t>코스닥</t>
        </is>
      </c>
      <c r="D3583" s="2" t="inlineStr">
        <is>
          <t>468760</t>
        </is>
      </c>
      <c r="E3583" s="3" t="inlineStr">
        <is>
          <t>주주총회소집공고</t>
        </is>
      </c>
      <c r="F3583" s="3" t="inlineStr">
        <is>
          <t>유진스팩10호</t>
        </is>
      </c>
      <c r="G3583" s="2" t="inlineStr">
        <is>
          <t>20260312000371</t>
        </is>
      </c>
      <c r="H3583" s="8">
        <f>HYPERLINK("https://dart.fss.or.kr/dsaf001/main.do?rcpNo=20260312000371", "공시열람")</f>
        <v/>
      </c>
    </row>
    <row r="3584">
      <c r="A3584" s="2" t="inlineStr">
        <is>
          <t>2026-03-12</t>
        </is>
      </c>
      <c r="B3584" s="3" t="inlineStr">
        <is>
          <t>시지메드텍</t>
        </is>
      </c>
      <c r="C3584" s="2" t="inlineStr">
        <is>
          <t>코스닥</t>
        </is>
      </c>
      <c r="D3584" s="2" t="inlineStr">
        <is>
          <t>056090</t>
        </is>
      </c>
      <c r="E3584" s="3" t="inlineStr">
        <is>
          <t xml:space="preserve">주주총회집중일개최사유신고              </t>
        </is>
      </c>
      <c r="F3584" s="3" t="inlineStr">
        <is>
          <t>시지메드텍</t>
        </is>
      </c>
      <c r="G3584" s="2" t="inlineStr">
        <is>
          <t>20260312900412</t>
        </is>
      </c>
      <c r="H3584" s="8">
        <f>HYPERLINK("https://dart.fss.or.kr/dsaf001/main.do?rcpNo=20260312900412", "공시열람")</f>
        <v/>
      </c>
    </row>
    <row r="3585">
      <c r="A3585" s="2" t="inlineStr">
        <is>
          <t>2026-03-12</t>
        </is>
      </c>
      <c r="B3585" s="3" t="inlineStr">
        <is>
          <t>키스트론</t>
        </is>
      </c>
      <c r="C3585" s="2" t="inlineStr">
        <is>
          <t>코스닥</t>
        </is>
      </c>
      <c r="D3585" s="2" t="inlineStr">
        <is>
          <t>475430</t>
        </is>
      </c>
      <c r="E3585" s="3" t="inlineStr">
        <is>
          <t>주주총회소집공고</t>
        </is>
      </c>
      <c r="F3585" s="3" t="inlineStr">
        <is>
          <t>키스트론</t>
        </is>
      </c>
      <c r="G3585" s="2" t="inlineStr">
        <is>
          <t>20260312000370</t>
        </is>
      </c>
      <c r="H3585" s="8">
        <f>HYPERLINK("https://dart.fss.or.kr/dsaf001/main.do?rcpNo=20260312000370", "공시열람")</f>
        <v/>
      </c>
    </row>
    <row r="3586">
      <c r="A3586" s="2" t="inlineStr">
        <is>
          <t>2026-03-12</t>
        </is>
      </c>
      <c r="B3586" s="3" t="inlineStr">
        <is>
          <t>우리산업</t>
        </is>
      </c>
      <c r="C3586" s="2" t="inlineStr">
        <is>
          <t>코스닥</t>
        </is>
      </c>
      <c r="D3586" s="2" t="inlineStr">
        <is>
          <t>215360</t>
        </is>
      </c>
      <c r="E3586" s="3" t="inlineStr">
        <is>
          <t xml:space="preserve">주주총회집중일개최사유신고              </t>
        </is>
      </c>
      <c r="F3586" s="3" t="inlineStr">
        <is>
          <t>우리산업</t>
        </is>
      </c>
      <c r="G3586" s="2" t="inlineStr">
        <is>
          <t>20260312900462</t>
        </is>
      </c>
      <c r="H3586" s="8">
        <f>HYPERLINK("https://dart.fss.or.kr/dsaf001/main.do?rcpNo=20260312900462", "공시열람")</f>
        <v/>
      </c>
    </row>
    <row r="3587">
      <c r="A3587" s="2" t="inlineStr">
        <is>
          <t>2026-03-12</t>
        </is>
      </c>
      <c r="B3587" s="3" t="inlineStr">
        <is>
          <t>태원물산</t>
        </is>
      </c>
      <c r="C3587" s="2" t="inlineStr">
        <is>
          <t>코스피</t>
        </is>
      </c>
      <c r="D3587" s="2" t="inlineStr">
        <is>
          <t>001420</t>
        </is>
      </c>
      <c r="E3587" s="3" t="inlineStr">
        <is>
          <t>주주총회소집공고</t>
        </is>
      </c>
      <c r="F3587" s="3" t="inlineStr">
        <is>
          <t>태원물산</t>
        </is>
      </c>
      <c r="G3587" s="2" t="inlineStr">
        <is>
          <t>20260312000369</t>
        </is>
      </c>
      <c r="H3587" s="8">
        <f>HYPERLINK("https://dart.fss.or.kr/dsaf001/main.do?rcpNo=20260312000369", "공시열람")</f>
        <v/>
      </c>
    </row>
    <row r="3588">
      <c r="A3588" s="2" t="inlineStr">
        <is>
          <t>2026-03-12</t>
        </is>
      </c>
      <c r="B3588" s="3" t="inlineStr">
        <is>
          <t>스튜디오삼익</t>
        </is>
      </c>
      <c r="C3588" s="2" t="inlineStr">
        <is>
          <t>코스닥</t>
        </is>
      </c>
      <c r="D3588" s="2" t="inlineStr">
        <is>
          <t>415380</t>
        </is>
      </c>
      <c r="E3588" s="3" t="inlineStr">
        <is>
          <t xml:space="preserve">주주총회소집결의              </t>
        </is>
      </c>
      <c r="F3588" s="3" t="inlineStr">
        <is>
          <t>스튜디오삼익</t>
        </is>
      </c>
      <c r="G3588" s="2" t="inlineStr">
        <is>
          <t>20260312900396</t>
        </is>
      </c>
      <c r="H3588" s="8">
        <f>HYPERLINK("https://dart.fss.or.kr/dsaf001/main.do?rcpNo=20260312900396", "공시열람")</f>
        <v/>
      </c>
    </row>
    <row r="3589">
      <c r="A3589" s="2" t="inlineStr">
        <is>
          <t>2026-03-12</t>
        </is>
      </c>
      <c r="B3589" s="3" t="inlineStr">
        <is>
          <t>이화산업</t>
        </is>
      </c>
      <c r="C3589" s="2" t="inlineStr">
        <is>
          <t>코스피</t>
        </is>
      </c>
      <c r="D3589" s="2" t="inlineStr">
        <is>
          <t>000760</t>
        </is>
      </c>
      <c r="E3589" s="3" t="inlineStr">
        <is>
          <t xml:space="preserve">주주총회집중일개최사유신고              </t>
        </is>
      </c>
      <c r="F3589" s="3" t="inlineStr">
        <is>
          <t>이화산업</t>
        </is>
      </c>
      <c r="G3589" s="2" t="inlineStr">
        <is>
          <t>20260312800417</t>
        </is>
      </c>
      <c r="H3589" s="8">
        <f>HYPERLINK("https://dart.fss.or.kr/dsaf001/main.do?rcpNo=20260312800417", "공시열람")</f>
        <v/>
      </c>
    </row>
    <row r="3590">
      <c r="A3590" s="2" t="inlineStr">
        <is>
          <t>2026-03-12</t>
        </is>
      </c>
      <c r="B3590" s="3" t="inlineStr">
        <is>
          <t>에스에너지</t>
        </is>
      </c>
      <c r="C3590" s="2" t="inlineStr">
        <is>
          <t>코스닥</t>
        </is>
      </c>
      <c r="D3590" s="2" t="inlineStr">
        <is>
          <t>095910</t>
        </is>
      </c>
      <c r="E3590" s="3" t="inlineStr">
        <is>
          <t>주주총회소집공고</t>
        </is>
      </c>
      <c r="F3590" s="3" t="inlineStr">
        <is>
          <t>에스에너지</t>
        </is>
      </c>
      <c r="G3590" s="2" t="inlineStr">
        <is>
          <t>20260312000367</t>
        </is>
      </c>
      <c r="H3590" s="8">
        <f>HYPERLINK("https://dart.fss.or.kr/dsaf001/main.do?rcpNo=20260312000367", "공시열람")</f>
        <v/>
      </c>
    </row>
    <row r="3591">
      <c r="A3591" s="2" t="inlineStr">
        <is>
          <t>2026-03-12</t>
        </is>
      </c>
      <c r="B3591" s="3" t="inlineStr">
        <is>
          <t>한국쉘석유</t>
        </is>
      </c>
      <c r="C3591" s="2" t="inlineStr">
        <is>
          <t>코스피</t>
        </is>
      </c>
      <c r="D3591" s="2" t="inlineStr">
        <is>
          <t>002960</t>
        </is>
      </c>
      <c r="E3591" s="3" t="inlineStr">
        <is>
          <t xml:space="preserve">주주총회집중일개최사유신고              </t>
        </is>
      </c>
      <c r="F3591" s="3" t="inlineStr">
        <is>
          <t>한국쉘석유</t>
        </is>
      </c>
      <c r="G3591" s="2" t="inlineStr">
        <is>
          <t>20260312800415</t>
        </is>
      </c>
      <c r="H3591" s="8">
        <f>HYPERLINK("https://dart.fss.or.kr/dsaf001/main.do?rcpNo=20260312800415", "공시열람")</f>
        <v/>
      </c>
    </row>
    <row r="3592">
      <c r="A3592" s="2" t="inlineStr">
        <is>
          <t>2026-03-12</t>
        </is>
      </c>
      <c r="B3592" s="3" t="inlineStr">
        <is>
          <t>우리산업</t>
        </is>
      </c>
      <c r="C3592" s="2" t="inlineStr">
        <is>
          <t>코스닥</t>
        </is>
      </c>
      <c r="D3592" s="2" t="inlineStr">
        <is>
          <t>215360</t>
        </is>
      </c>
      <c r="E3592" s="3" t="inlineStr">
        <is>
          <t xml:space="preserve">주주총회소집결의              </t>
        </is>
      </c>
      <c r="F3592" s="3" t="inlineStr">
        <is>
          <t>우리산업</t>
        </is>
      </c>
      <c r="G3592" s="2" t="inlineStr">
        <is>
          <t>20260312900443</t>
        </is>
      </c>
      <c r="H3592" s="8">
        <f>HYPERLINK("https://dart.fss.or.kr/dsaf001/main.do?rcpNo=20260312900443", "공시열람")</f>
        <v/>
      </c>
    </row>
    <row r="3593">
      <c r="A3593" s="2" t="inlineStr">
        <is>
          <t>2026-03-12</t>
        </is>
      </c>
      <c r="B3593" s="3" t="inlineStr">
        <is>
          <t>에스켐</t>
        </is>
      </c>
      <c r="C3593" s="2" t="inlineStr">
        <is>
          <t>코스닥</t>
        </is>
      </c>
      <c r="D3593" s="2" t="inlineStr">
        <is>
          <t>475660</t>
        </is>
      </c>
      <c r="E3593" s="3" t="inlineStr">
        <is>
          <t xml:space="preserve">주주총회소집결의              </t>
        </is>
      </c>
      <c r="F3593" s="3" t="inlineStr">
        <is>
          <t>에스켐</t>
        </is>
      </c>
      <c r="G3593" s="2" t="inlineStr">
        <is>
          <t>20260312900385</t>
        </is>
      </c>
      <c r="H3593" s="8">
        <f>HYPERLINK("https://dart.fss.or.kr/dsaf001/main.do?rcpNo=20260312900385", "공시열람")</f>
        <v/>
      </c>
    </row>
    <row r="3594">
      <c r="A3594" s="2" t="inlineStr">
        <is>
          <t>2026-03-12</t>
        </is>
      </c>
      <c r="B3594" s="3" t="inlineStr">
        <is>
          <t>미래산업</t>
        </is>
      </c>
      <c r="C3594" s="2" t="inlineStr">
        <is>
          <t>코스피</t>
        </is>
      </c>
      <c r="D3594" s="2" t="inlineStr">
        <is>
          <t>025560</t>
        </is>
      </c>
      <c r="E3594" s="3" t="inlineStr">
        <is>
          <t xml:space="preserve">주주총회소집결의              </t>
        </is>
      </c>
      <c r="F3594" s="3" t="inlineStr">
        <is>
          <t>미래산업</t>
        </is>
      </c>
      <c r="G3594" s="2" t="inlineStr">
        <is>
          <t>20260312800390</t>
        </is>
      </c>
      <c r="H3594" s="8">
        <f>HYPERLINK("https://dart.fss.or.kr/dsaf001/main.do?rcpNo=20260312800390", "공시열람")</f>
        <v/>
      </c>
    </row>
    <row r="3595">
      <c r="A3595" s="2" t="inlineStr">
        <is>
          <t>2026-03-12</t>
        </is>
      </c>
      <c r="B3595" s="3" t="inlineStr">
        <is>
          <t>오픈엣지테크놀로지</t>
        </is>
      </c>
      <c r="C3595" s="2" t="inlineStr">
        <is>
          <t>코스닥</t>
        </is>
      </c>
      <c r="D3595" s="2" t="inlineStr">
        <is>
          <t>394280</t>
        </is>
      </c>
      <c r="E3595" s="3" t="inlineStr">
        <is>
          <t xml:space="preserve">주주총회집중일개최사유신고              </t>
        </is>
      </c>
      <c r="F3595" s="3" t="inlineStr">
        <is>
          <t>오픈엣지테크놀로지</t>
        </is>
      </c>
      <c r="G3595" s="2" t="inlineStr">
        <is>
          <t>20260312900376</t>
        </is>
      </c>
      <c r="H3595" s="8">
        <f>HYPERLINK("https://dart.fss.or.kr/dsaf001/main.do?rcpNo=20260312900376", "공시열람")</f>
        <v/>
      </c>
    </row>
    <row r="3596">
      <c r="A3596" s="2" t="inlineStr">
        <is>
          <t>2026-03-12</t>
        </is>
      </c>
      <c r="B3596" s="3" t="inlineStr">
        <is>
          <t>세경하이테크</t>
        </is>
      </c>
      <c r="C3596" s="2" t="inlineStr">
        <is>
          <t>코스닥</t>
        </is>
      </c>
      <c r="D3596" s="2" t="inlineStr">
        <is>
          <t>148150</t>
        </is>
      </c>
      <c r="E3596" s="3" t="inlineStr">
        <is>
          <t>주주총회소집공고</t>
        </is>
      </c>
      <c r="F3596" s="3" t="inlineStr">
        <is>
          <t>세경하이테크</t>
        </is>
      </c>
      <c r="G3596" s="2" t="inlineStr">
        <is>
          <t>20260312000358</t>
        </is>
      </c>
      <c r="H3596" s="8">
        <f>HYPERLINK("https://dart.fss.or.kr/dsaf001/main.do?rcpNo=20260312000358", "공시열람")</f>
        <v/>
      </c>
    </row>
    <row r="3597">
      <c r="A3597" s="2" t="inlineStr">
        <is>
          <t>2026-03-12</t>
        </is>
      </c>
      <c r="B3597" s="3" t="inlineStr">
        <is>
          <t>오픈엣지테크놀로지</t>
        </is>
      </c>
      <c r="C3597" s="2" t="inlineStr">
        <is>
          <t>코스닥</t>
        </is>
      </c>
      <c r="D3597" s="2" t="inlineStr">
        <is>
          <t>394280</t>
        </is>
      </c>
      <c r="E3597" s="3" t="inlineStr">
        <is>
          <t xml:space="preserve">주주총회소집결의              </t>
        </is>
      </c>
      <c r="F3597" s="3" t="inlineStr">
        <is>
          <t>오픈엣지테크놀로지</t>
        </is>
      </c>
      <c r="G3597" s="2" t="inlineStr">
        <is>
          <t>20260312900432</t>
        </is>
      </c>
      <c r="H3597" s="8">
        <f>HYPERLINK("https://dart.fss.or.kr/dsaf001/main.do?rcpNo=20260312900432", "공시열람")</f>
        <v/>
      </c>
    </row>
    <row r="3598">
      <c r="A3598" s="2" t="inlineStr">
        <is>
          <t>2026-03-12</t>
        </is>
      </c>
      <c r="B3598" s="3" t="inlineStr">
        <is>
          <t>에스에너지</t>
        </is>
      </c>
      <c r="C3598" s="2" t="inlineStr">
        <is>
          <t>코스닥</t>
        </is>
      </c>
      <c r="D3598" s="2" t="inlineStr">
        <is>
          <t>095910</t>
        </is>
      </c>
      <c r="E3598" s="3" t="inlineStr">
        <is>
          <t xml:space="preserve">주주총회소집결의              </t>
        </is>
      </c>
      <c r="F3598" s="3" t="inlineStr">
        <is>
          <t>에스에너지</t>
        </is>
      </c>
      <c r="G3598" s="2" t="inlineStr">
        <is>
          <t>20260312900384</t>
        </is>
      </c>
      <c r="H3598" s="8">
        <f>HYPERLINK("https://dart.fss.or.kr/dsaf001/main.do?rcpNo=20260312900384", "공시열람")</f>
        <v/>
      </c>
    </row>
    <row r="3599">
      <c r="A3599" s="2" t="inlineStr">
        <is>
          <t>2026-03-12 (정정: 2026-03-13)</t>
        </is>
      </c>
      <c r="B3599" s="3" t="inlineStr">
        <is>
          <t>유비벨록스</t>
        </is>
      </c>
      <c r="C3599" s="2" t="inlineStr">
        <is>
          <t>코스닥</t>
        </is>
      </c>
      <c r="D3599" s="2" t="inlineStr">
        <is>
          <t>089850</t>
        </is>
      </c>
      <c r="E3599" s="3" t="inlineStr">
        <is>
          <t>주주총회집중일개최사유신고               (정정: 20260313) (정정: 20260313)</t>
        </is>
      </c>
      <c r="F3599" s="3" t="inlineStr">
        <is>
          <t>유비벨록스</t>
        </is>
      </c>
      <c r="G3599" s="2" t="inlineStr">
        <is>
          <t>20260313901959</t>
        </is>
      </c>
      <c r="H3599" s="8">
        <f>HYPERLINK("https://dart.fss.or.kr/dsaf001/main.do?rcpNo=20260313901959", "공시열람")</f>
        <v/>
      </c>
    </row>
    <row r="3600">
      <c r="A3600" s="2" t="inlineStr">
        <is>
          <t>2026-03-12</t>
        </is>
      </c>
      <c r="B3600" s="3" t="inlineStr">
        <is>
          <t>나라엠앤디</t>
        </is>
      </c>
      <c r="C3600" s="2" t="inlineStr">
        <is>
          <t>코스닥</t>
        </is>
      </c>
      <c r="D3600" s="2" t="inlineStr">
        <is>
          <t>051490</t>
        </is>
      </c>
      <c r="E3600" s="3" t="inlineStr">
        <is>
          <t>주주총회소집공고</t>
        </is>
      </c>
      <c r="F3600" s="3" t="inlineStr">
        <is>
          <t>나라엠앤디</t>
        </is>
      </c>
      <c r="G3600" s="2" t="inlineStr">
        <is>
          <t>20260312000356</t>
        </is>
      </c>
      <c r="H3600" s="8">
        <f>HYPERLINK("https://dart.fss.or.kr/dsaf001/main.do?rcpNo=20260312000356", "공시열람")</f>
        <v/>
      </c>
    </row>
    <row r="3601">
      <c r="A3601" s="2" t="inlineStr">
        <is>
          <t>2026-03-12</t>
        </is>
      </c>
      <c r="B3601" s="3" t="inlineStr">
        <is>
          <t>피씨디렉트</t>
        </is>
      </c>
      <c r="C3601" s="2" t="inlineStr">
        <is>
          <t>코스닥</t>
        </is>
      </c>
      <c r="D3601" s="2" t="inlineStr">
        <is>
          <t>051380</t>
        </is>
      </c>
      <c r="E3601" s="3" t="inlineStr">
        <is>
          <t>주주총회소집공고</t>
        </is>
      </c>
      <c r="F3601" s="3" t="inlineStr">
        <is>
          <t>피씨디렉트</t>
        </is>
      </c>
      <c r="G3601" s="2" t="inlineStr">
        <is>
          <t>20260312000354</t>
        </is>
      </c>
      <c r="H3601" s="8">
        <f>HYPERLINK("https://dart.fss.or.kr/dsaf001/main.do?rcpNo=20260312000354", "공시열람")</f>
        <v/>
      </c>
    </row>
    <row r="3602">
      <c r="A3602" s="2" t="inlineStr">
        <is>
          <t>2026-03-12</t>
        </is>
      </c>
      <c r="B3602" s="3" t="inlineStr">
        <is>
          <t>STX그린로지스</t>
        </is>
      </c>
      <c r="C3602" s="2" t="inlineStr">
        <is>
          <t>코스피</t>
        </is>
      </c>
      <c r="D3602" s="2" t="inlineStr">
        <is>
          <t>465770</t>
        </is>
      </c>
      <c r="E3602" s="3" t="inlineStr">
        <is>
          <t>주주총회소집공고</t>
        </is>
      </c>
      <c r="F3602" s="3" t="inlineStr">
        <is>
          <t>STX그린로지스</t>
        </is>
      </c>
      <c r="G3602" s="2" t="inlineStr">
        <is>
          <t>20260312000353</t>
        </is>
      </c>
      <c r="H3602" s="8">
        <f>HYPERLINK("https://dart.fss.or.kr/dsaf001/main.do?rcpNo=20260312000353", "공시열람")</f>
        <v/>
      </c>
    </row>
    <row r="3603">
      <c r="A3603" s="2" t="inlineStr">
        <is>
          <t>2026-03-12</t>
        </is>
      </c>
      <c r="B3603" s="3" t="inlineStr">
        <is>
          <t>디바이스</t>
        </is>
      </c>
      <c r="C3603" s="2" t="inlineStr">
        <is>
          <t>코스닥</t>
        </is>
      </c>
      <c r="D3603" s="2" t="inlineStr">
        <is>
          <t>187870</t>
        </is>
      </c>
      <c r="E3603" s="3" t="inlineStr">
        <is>
          <t xml:space="preserve">주주총회소집결의              </t>
        </is>
      </c>
      <c r="F3603" s="3" t="inlineStr">
        <is>
          <t>디바이스</t>
        </is>
      </c>
      <c r="G3603" s="2" t="inlineStr">
        <is>
          <t>20260312900398</t>
        </is>
      </c>
      <c r="H3603" s="8">
        <f>HYPERLINK("https://dart.fss.or.kr/dsaf001/main.do?rcpNo=20260312900398", "공시열람")</f>
        <v/>
      </c>
    </row>
    <row r="3604">
      <c r="A3604" s="2" t="inlineStr">
        <is>
          <t>2026-03-12</t>
        </is>
      </c>
      <c r="B3604" s="3" t="inlineStr">
        <is>
          <t>비트플래닛</t>
        </is>
      </c>
      <c r="C3604" s="2" t="inlineStr">
        <is>
          <t>코스닥</t>
        </is>
      </c>
      <c r="D3604" s="2" t="inlineStr">
        <is>
          <t>049470</t>
        </is>
      </c>
      <c r="E3604" s="3" t="inlineStr">
        <is>
          <t xml:space="preserve">주주총회집중일개최사유신고              </t>
        </is>
      </c>
      <c r="F3604" s="3" t="inlineStr">
        <is>
          <t>비트플래닛</t>
        </is>
      </c>
      <c r="G3604" s="2" t="inlineStr">
        <is>
          <t>20260312900416</t>
        </is>
      </c>
      <c r="H3604" s="8">
        <f>HYPERLINK("https://dart.fss.or.kr/dsaf001/main.do?rcpNo=20260312900416", "공시열람")</f>
        <v/>
      </c>
    </row>
    <row r="3605">
      <c r="A3605" s="2" t="inlineStr">
        <is>
          <t>2026-03-12</t>
        </is>
      </c>
      <c r="B3605" s="3" t="inlineStr">
        <is>
          <t>유비벨록스</t>
        </is>
      </c>
      <c r="C3605" s="2" t="inlineStr">
        <is>
          <t>코스닥</t>
        </is>
      </c>
      <c r="D3605" s="2" t="inlineStr">
        <is>
          <t>089850</t>
        </is>
      </c>
      <c r="E3605" s="3" t="inlineStr">
        <is>
          <t>주주총회소집공고</t>
        </is>
      </c>
      <c r="F3605" s="3" t="inlineStr">
        <is>
          <t>유비벨록스</t>
        </is>
      </c>
      <c r="G3605" s="2" t="inlineStr">
        <is>
          <t>20260312000344</t>
        </is>
      </c>
      <c r="H3605" s="8">
        <f>HYPERLINK("https://dart.fss.or.kr/dsaf001/main.do?rcpNo=20260312000344", "공시열람")</f>
        <v/>
      </c>
    </row>
    <row r="3606">
      <c r="A3606" s="2" t="inlineStr">
        <is>
          <t>2026-03-12</t>
        </is>
      </c>
      <c r="B3606" s="3" t="inlineStr">
        <is>
          <t>뉴키즈온</t>
        </is>
      </c>
      <c r="C3606" s="2" t="inlineStr">
        <is>
          <t>코스닥</t>
        </is>
      </c>
      <c r="D3606" s="2" t="inlineStr">
        <is>
          <t>462310</t>
        </is>
      </c>
      <c r="E3606" s="3" t="inlineStr">
        <is>
          <t>주주총회소집공고</t>
        </is>
      </c>
      <c r="F3606" s="3" t="inlineStr">
        <is>
          <t>뉴키즈온</t>
        </is>
      </c>
      <c r="G3606" s="2" t="inlineStr">
        <is>
          <t>20260312000343</t>
        </is>
      </c>
      <c r="H3606" s="8">
        <f>HYPERLINK("https://dart.fss.or.kr/dsaf001/main.do?rcpNo=20260312000343", "공시열람")</f>
        <v/>
      </c>
    </row>
    <row r="3607">
      <c r="A3607" s="2" t="inlineStr">
        <is>
          <t>2026-03-12</t>
        </is>
      </c>
      <c r="B3607" s="3" t="inlineStr">
        <is>
          <t>차AI헬스케어</t>
        </is>
      </c>
      <c r="C3607" s="2" t="inlineStr">
        <is>
          <t>코스피</t>
        </is>
      </c>
      <c r="D3607" s="2" t="inlineStr">
        <is>
          <t>025620</t>
        </is>
      </c>
      <c r="E3607" s="3" t="inlineStr">
        <is>
          <t>주주총회소집공고</t>
        </is>
      </c>
      <c r="F3607" s="3" t="inlineStr">
        <is>
          <t>차AI헬스케어</t>
        </is>
      </c>
      <c r="G3607" s="2" t="inlineStr">
        <is>
          <t>20260312000341</t>
        </is>
      </c>
      <c r="H3607" s="8">
        <f>HYPERLINK("https://dart.fss.or.kr/dsaf001/main.do?rcpNo=20260312000341", "공시열람")</f>
        <v/>
      </c>
    </row>
    <row r="3608">
      <c r="A3608" s="2" t="inlineStr">
        <is>
          <t>2026-03-12</t>
        </is>
      </c>
      <c r="B3608" s="3" t="inlineStr">
        <is>
          <t>우원개발</t>
        </is>
      </c>
      <c r="C3608" s="2" t="inlineStr">
        <is>
          <t>코스닥</t>
        </is>
      </c>
      <c r="D3608" s="2" t="inlineStr">
        <is>
          <t>046940</t>
        </is>
      </c>
      <c r="E3608" s="3" t="inlineStr">
        <is>
          <t>주주총회소집공고</t>
        </is>
      </c>
      <c r="F3608" s="3" t="inlineStr">
        <is>
          <t>우원개발</t>
        </is>
      </c>
      <c r="G3608" s="2" t="inlineStr">
        <is>
          <t>20260312000335</t>
        </is>
      </c>
      <c r="H3608" s="8">
        <f>HYPERLINK("https://dart.fss.or.kr/dsaf001/main.do?rcpNo=20260312000335", "공시열람")</f>
        <v/>
      </c>
    </row>
    <row r="3609">
      <c r="A3609" s="2" t="inlineStr">
        <is>
          <t>2026-03-12</t>
        </is>
      </c>
      <c r="B3609" s="3" t="inlineStr">
        <is>
          <t>STX그린로지스</t>
        </is>
      </c>
      <c r="C3609" s="2" t="inlineStr">
        <is>
          <t>코스피</t>
        </is>
      </c>
      <c r="D3609" s="2" t="inlineStr">
        <is>
          <t>465770</t>
        </is>
      </c>
      <c r="E3609" s="3" t="inlineStr">
        <is>
          <t xml:space="preserve">주주총회집중일개최사유신고              </t>
        </is>
      </c>
      <c r="F3609" s="3" t="inlineStr">
        <is>
          <t>STX그린로지스</t>
        </is>
      </c>
      <c r="G3609" s="2" t="inlineStr">
        <is>
          <t>20260312800386</t>
        </is>
      </c>
      <c r="H3609" s="8">
        <f>HYPERLINK("https://dart.fss.or.kr/dsaf001/main.do?rcpNo=20260312800386", "공시열람")</f>
        <v/>
      </c>
    </row>
    <row r="3610">
      <c r="A3610" s="2" t="inlineStr">
        <is>
          <t>2026-03-12</t>
        </is>
      </c>
      <c r="B3610" s="3" t="inlineStr">
        <is>
          <t>비트플래닛</t>
        </is>
      </c>
      <c r="C3610" s="2" t="inlineStr">
        <is>
          <t>코스닥</t>
        </is>
      </c>
      <c r="D3610" s="2" t="inlineStr">
        <is>
          <t>049470</t>
        </is>
      </c>
      <c r="E3610" s="3" t="inlineStr">
        <is>
          <t xml:space="preserve">주주총회소집결의              </t>
        </is>
      </c>
      <c r="F3610" s="3" t="inlineStr">
        <is>
          <t>비트플래닛</t>
        </is>
      </c>
      <c r="G3610" s="2" t="inlineStr">
        <is>
          <t>20260312900388</t>
        </is>
      </c>
      <c r="H3610" s="8">
        <f>HYPERLINK("https://dart.fss.or.kr/dsaf001/main.do?rcpNo=20260312900388", "공시열람")</f>
        <v/>
      </c>
    </row>
    <row r="3611">
      <c r="A3611" s="2" t="inlineStr">
        <is>
          <t>2026-03-12</t>
        </is>
      </c>
      <c r="B3611" s="3" t="inlineStr">
        <is>
          <t>시지메드텍</t>
        </is>
      </c>
      <c r="C3611" s="2" t="inlineStr">
        <is>
          <t>코스닥</t>
        </is>
      </c>
      <c r="D3611" s="2" t="inlineStr">
        <is>
          <t>056090</t>
        </is>
      </c>
      <c r="E3611" s="3" t="inlineStr">
        <is>
          <t>주주총회소집공고</t>
        </is>
      </c>
      <c r="F3611" s="3" t="inlineStr">
        <is>
          <t>시지메드텍</t>
        </is>
      </c>
      <c r="G3611" s="2" t="inlineStr">
        <is>
          <t>20260312000330</t>
        </is>
      </c>
      <c r="H3611" s="8">
        <f>HYPERLINK("https://dart.fss.or.kr/dsaf001/main.do?rcpNo=20260312000330", "공시열람")</f>
        <v/>
      </c>
    </row>
    <row r="3612">
      <c r="A3612" s="2" t="inlineStr">
        <is>
          <t>2026-03-12</t>
        </is>
      </c>
      <c r="B3612" s="3" t="inlineStr">
        <is>
          <t>이화산업</t>
        </is>
      </c>
      <c r="C3612" s="2" t="inlineStr">
        <is>
          <t>코스피</t>
        </is>
      </c>
      <c r="D3612" s="2" t="inlineStr">
        <is>
          <t>000760</t>
        </is>
      </c>
      <c r="E3612" s="3" t="inlineStr">
        <is>
          <t>주주총회소집공고</t>
        </is>
      </c>
      <c r="F3612" s="3" t="inlineStr">
        <is>
          <t>이화산업</t>
        </is>
      </c>
      <c r="G3612" s="2" t="inlineStr">
        <is>
          <t>20260312000328</t>
        </is>
      </c>
      <c r="H3612" s="8">
        <f>HYPERLINK("https://dart.fss.or.kr/dsaf001/main.do?rcpNo=20260312000328", "공시열람")</f>
        <v/>
      </c>
    </row>
    <row r="3613">
      <c r="A3613" s="2" t="inlineStr">
        <is>
          <t>2026-03-12</t>
        </is>
      </c>
      <c r="B3613" s="3" t="inlineStr">
        <is>
          <t>피씨디렉트</t>
        </is>
      </c>
      <c r="C3613" s="2" t="inlineStr">
        <is>
          <t>코스닥</t>
        </is>
      </c>
      <c r="D3613" s="2" t="inlineStr">
        <is>
          <t>051380</t>
        </is>
      </c>
      <c r="E3613" s="3" t="inlineStr">
        <is>
          <t xml:space="preserve">주주총회집중일개최사유신고              </t>
        </is>
      </c>
      <c r="F3613" s="3" t="inlineStr">
        <is>
          <t>피씨디렉트</t>
        </is>
      </c>
      <c r="G3613" s="2" t="inlineStr">
        <is>
          <t>20260312900374</t>
        </is>
      </c>
      <c r="H3613" s="8">
        <f>HYPERLINK("https://dart.fss.or.kr/dsaf001/main.do?rcpNo=20260312900374", "공시열람")</f>
        <v/>
      </c>
    </row>
    <row r="3614">
      <c r="A3614" s="2" t="inlineStr">
        <is>
          <t>2026-03-12</t>
        </is>
      </c>
      <c r="B3614" s="3" t="inlineStr">
        <is>
          <t>피씨디렉트</t>
        </is>
      </c>
      <c r="C3614" s="2" t="inlineStr">
        <is>
          <t>코스닥</t>
        </is>
      </c>
      <c r="D3614" s="2" t="inlineStr">
        <is>
          <t>051380</t>
        </is>
      </c>
      <c r="E3614" s="3" t="inlineStr">
        <is>
          <t xml:space="preserve">주주총회소집결의              </t>
        </is>
      </c>
      <c r="F3614" s="3" t="inlineStr">
        <is>
          <t>피씨디렉트</t>
        </is>
      </c>
      <c r="G3614" s="2" t="inlineStr">
        <is>
          <t>20260312900369</t>
        </is>
      </c>
      <c r="H3614" s="8">
        <f>HYPERLINK("https://dart.fss.or.kr/dsaf001/main.do?rcpNo=20260312900369", "공시열람")</f>
        <v/>
      </c>
    </row>
    <row r="3615">
      <c r="A3615" s="2" t="inlineStr">
        <is>
          <t>2026-03-12</t>
        </is>
      </c>
      <c r="B3615" s="3" t="inlineStr">
        <is>
          <t>차AI헬스케어</t>
        </is>
      </c>
      <c r="C3615" s="2" t="inlineStr">
        <is>
          <t>코스피</t>
        </is>
      </c>
      <c r="D3615" s="2" t="inlineStr">
        <is>
          <t>025620</t>
        </is>
      </c>
      <c r="E3615" s="3" t="inlineStr">
        <is>
          <t xml:space="preserve">주주총회집중일개최사유신고              </t>
        </is>
      </c>
      <c r="F3615" s="3" t="inlineStr">
        <is>
          <t>차AI헬스케어</t>
        </is>
      </c>
      <c r="G3615" s="2" t="inlineStr">
        <is>
          <t>20260312800387</t>
        </is>
      </c>
      <c r="H3615" s="8">
        <f>HYPERLINK("https://dart.fss.or.kr/dsaf001/main.do?rcpNo=20260312800387", "공시열람")</f>
        <v/>
      </c>
    </row>
    <row r="3616">
      <c r="A3616" s="2" t="inlineStr">
        <is>
          <t>2026-03-12</t>
        </is>
      </c>
      <c r="B3616" s="3" t="inlineStr">
        <is>
          <t>시지메드텍</t>
        </is>
      </c>
      <c r="C3616" s="2" t="inlineStr">
        <is>
          <t>코스닥</t>
        </is>
      </c>
      <c r="D3616" s="2" t="inlineStr">
        <is>
          <t>056090</t>
        </is>
      </c>
      <c r="E3616" s="3" t="inlineStr">
        <is>
          <t xml:space="preserve">주주총회소집결의              </t>
        </is>
      </c>
      <c r="F3616" s="3" t="inlineStr">
        <is>
          <t>시지메드텍</t>
        </is>
      </c>
      <c r="G3616" s="2" t="inlineStr">
        <is>
          <t>20260312900360</t>
        </is>
      </c>
      <c r="H3616" s="8">
        <f>HYPERLINK("https://dart.fss.or.kr/dsaf001/main.do?rcpNo=20260312900360", "공시열람")</f>
        <v/>
      </c>
    </row>
    <row r="3617">
      <c r="A3617" s="2" t="inlineStr">
        <is>
          <t>2026-03-12</t>
        </is>
      </c>
      <c r="B3617" s="3" t="inlineStr">
        <is>
          <t>더블유에스아이</t>
        </is>
      </c>
      <c r="C3617" s="2" t="inlineStr">
        <is>
          <t>코스닥</t>
        </is>
      </c>
      <c r="D3617" s="2" t="inlineStr">
        <is>
          <t>299170</t>
        </is>
      </c>
      <c r="E3617" s="3" t="inlineStr">
        <is>
          <t xml:space="preserve">주주총회소집결의              </t>
        </is>
      </c>
      <c r="F3617" s="3" t="inlineStr">
        <is>
          <t>더블유에스아이</t>
        </is>
      </c>
      <c r="G3617" s="2" t="inlineStr">
        <is>
          <t>20260312900362</t>
        </is>
      </c>
      <c r="H3617" s="8">
        <f>HYPERLINK("https://dart.fss.or.kr/dsaf001/main.do?rcpNo=20260312900362", "공시열람")</f>
        <v/>
      </c>
    </row>
    <row r="3618">
      <c r="A3618" s="2" t="inlineStr">
        <is>
          <t>2026-03-12</t>
        </is>
      </c>
      <c r="B3618" s="3" t="inlineStr">
        <is>
          <t>세경하이테크</t>
        </is>
      </c>
      <c r="C3618" s="2" t="inlineStr">
        <is>
          <t>코스닥</t>
        </is>
      </c>
      <c r="D3618" s="2" t="inlineStr">
        <is>
          <t>148150</t>
        </is>
      </c>
      <c r="E3618" s="3" t="inlineStr">
        <is>
          <t xml:space="preserve">주주총회소집결의              </t>
        </is>
      </c>
      <c r="F3618" s="3" t="inlineStr">
        <is>
          <t>세경하이테크</t>
        </is>
      </c>
      <c r="G3618" s="2" t="inlineStr">
        <is>
          <t>20260312900351</t>
        </is>
      </c>
      <c r="H3618" s="8">
        <f>HYPERLINK("https://dart.fss.or.kr/dsaf001/main.do?rcpNo=20260312900351", "공시열람")</f>
        <v/>
      </c>
    </row>
    <row r="3619">
      <c r="A3619" s="2" t="inlineStr">
        <is>
          <t>2026-03-12</t>
        </is>
      </c>
      <c r="B3619" s="3" t="inlineStr">
        <is>
          <t>링네트</t>
        </is>
      </c>
      <c r="C3619" s="2" t="inlineStr">
        <is>
          <t>코스닥</t>
        </is>
      </c>
      <c r="D3619" s="2" t="inlineStr">
        <is>
          <t>042500</t>
        </is>
      </c>
      <c r="E3619" s="3" t="inlineStr">
        <is>
          <t>주주총회소집공고</t>
        </is>
      </c>
      <c r="F3619" s="3" t="inlineStr">
        <is>
          <t>링네트</t>
        </is>
      </c>
      <c r="G3619" s="2" t="inlineStr">
        <is>
          <t>20260312000322</t>
        </is>
      </c>
      <c r="H3619" s="8">
        <f>HYPERLINK("https://dart.fss.or.kr/dsaf001/main.do?rcpNo=20260312000322", "공시열람")</f>
        <v/>
      </c>
    </row>
    <row r="3620">
      <c r="A3620" s="2" t="inlineStr">
        <is>
          <t>2026-03-12</t>
        </is>
      </c>
      <c r="B3620" s="3" t="inlineStr">
        <is>
          <t>STX그린로지스</t>
        </is>
      </c>
      <c r="C3620" s="2" t="inlineStr">
        <is>
          <t>코스피</t>
        </is>
      </c>
      <c r="D3620" s="2" t="inlineStr">
        <is>
          <t>465770</t>
        </is>
      </c>
      <c r="E3620" s="3" t="inlineStr">
        <is>
          <t xml:space="preserve">주주총회소집결의              </t>
        </is>
      </c>
      <c r="F3620" s="3" t="inlineStr">
        <is>
          <t>STX그린로지스</t>
        </is>
      </c>
      <c r="G3620" s="2" t="inlineStr">
        <is>
          <t>20260312800368</t>
        </is>
      </c>
      <c r="H3620" s="8">
        <f>HYPERLINK("https://dart.fss.or.kr/dsaf001/main.do?rcpNo=20260312800368", "공시열람")</f>
        <v/>
      </c>
    </row>
    <row r="3621">
      <c r="A3621" s="2" t="inlineStr">
        <is>
          <t>2026-03-12</t>
        </is>
      </c>
      <c r="B3621" s="3" t="inlineStr">
        <is>
          <t>유비벨록스</t>
        </is>
      </c>
      <c r="C3621" s="2" t="inlineStr">
        <is>
          <t>코스닥</t>
        </is>
      </c>
      <c r="D3621" s="2" t="inlineStr">
        <is>
          <t>089850</t>
        </is>
      </c>
      <c r="E3621" s="3" t="inlineStr">
        <is>
          <t xml:space="preserve">주주총회소집결의              </t>
        </is>
      </c>
      <c r="F3621" s="3" t="inlineStr">
        <is>
          <t>유비벨록스</t>
        </is>
      </c>
      <c r="G3621" s="2" t="inlineStr">
        <is>
          <t>20260312900367</t>
        </is>
      </c>
      <c r="H3621" s="8">
        <f>HYPERLINK("https://dart.fss.or.kr/dsaf001/main.do?rcpNo=20260312900367", "공시열람")</f>
        <v/>
      </c>
    </row>
    <row r="3622">
      <c r="A3622" s="2" t="inlineStr">
        <is>
          <t>2026-03-12</t>
        </is>
      </c>
      <c r="B3622" s="3" t="inlineStr">
        <is>
          <t>소프트캠프</t>
        </is>
      </c>
      <c r="C3622" s="2" t="inlineStr">
        <is>
          <t>코스닥</t>
        </is>
      </c>
      <c r="D3622" s="2" t="inlineStr">
        <is>
          <t>258790</t>
        </is>
      </c>
      <c r="E3622" s="3" t="inlineStr">
        <is>
          <t>주주총회소집공고</t>
        </is>
      </c>
      <c r="F3622" s="3" t="inlineStr">
        <is>
          <t>소프트캠프</t>
        </is>
      </c>
      <c r="G3622" s="2" t="inlineStr">
        <is>
          <t>20260312000314</t>
        </is>
      </c>
      <c r="H3622" s="8">
        <f>HYPERLINK("https://dart.fss.or.kr/dsaf001/main.do?rcpNo=20260312000314", "공시열람")</f>
        <v/>
      </c>
    </row>
    <row r="3623">
      <c r="A3623" s="2" t="inlineStr">
        <is>
          <t>2026-03-12</t>
        </is>
      </c>
      <c r="B3623" s="3" t="inlineStr">
        <is>
          <t>에이테크솔루션</t>
        </is>
      </c>
      <c r="C3623" s="2" t="inlineStr">
        <is>
          <t>코스닥</t>
        </is>
      </c>
      <c r="D3623" s="2" t="inlineStr">
        <is>
          <t>071670</t>
        </is>
      </c>
      <c r="E3623" s="3" t="inlineStr">
        <is>
          <t>주주총회소집공고</t>
        </is>
      </c>
      <c r="F3623" s="3" t="inlineStr">
        <is>
          <t>에이테크솔루션</t>
        </is>
      </c>
      <c r="G3623" s="2" t="inlineStr">
        <is>
          <t>20260312000312</t>
        </is>
      </c>
      <c r="H3623" s="8">
        <f>HYPERLINK("https://dart.fss.or.kr/dsaf001/main.do?rcpNo=20260312000312", "공시열람")</f>
        <v/>
      </c>
    </row>
    <row r="3624">
      <c r="A3624" s="2" t="inlineStr">
        <is>
          <t>2026-03-12</t>
        </is>
      </c>
      <c r="B3624" s="3" t="inlineStr">
        <is>
          <t>에이테크솔루션</t>
        </is>
      </c>
      <c r="C3624" s="2" t="inlineStr">
        <is>
          <t>코스닥</t>
        </is>
      </c>
      <c r="D3624" s="2" t="inlineStr">
        <is>
          <t>071670</t>
        </is>
      </c>
      <c r="E3624" s="3" t="inlineStr">
        <is>
          <t xml:space="preserve">주주총회소집결의              </t>
        </is>
      </c>
      <c r="F3624" s="3" t="inlineStr">
        <is>
          <t>에이테크솔루션</t>
        </is>
      </c>
      <c r="G3624" s="2" t="inlineStr">
        <is>
          <t>20260312900347</t>
        </is>
      </c>
      <c r="H3624" s="8">
        <f>HYPERLINK("https://dart.fss.or.kr/dsaf001/main.do?rcpNo=20260312900347", "공시열람")</f>
        <v/>
      </c>
    </row>
    <row r="3625">
      <c r="A3625" s="2" t="inlineStr">
        <is>
          <t>2026-03-12</t>
        </is>
      </c>
      <c r="B3625" s="3" t="inlineStr">
        <is>
          <t>컨텍</t>
        </is>
      </c>
      <c r="C3625" s="2" t="inlineStr">
        <is>
          <t>코스닥</t>
        </is>
      </c>
      <c r="D3625" s="2" t="inlineStr">
        <is>
          <t>451760</t>
        </is>
      </c>
      <c r="E3625" s="3" t="inlineStr">
        <is>
          <t>주주총회소집공고</t>
        </is>
      </c>
      <c r="F3625" s="3" t="inlineStr">
        <is>
          <t>컨텍</t>
        </is>
      </c>
      <c r="G3625" s="2" t="inlineStr">
        <is>
          <t>20260312000311</t>
        </is>
      </c>
      <c r="H3625" s="8">
        <f>HYPERLINK("https://dart.fss.or.kr/dsaf001/main.do?rcpNo=20260312000311", "공시열람")</f>
        <v/>
      </c>
    </row>
    <row r="3626">
      <c r="A3626" s="2" t="inlineStr">
        <is>
          <t>2026-03-12</t>
        </is>
      </c>
      <c r="B3626" s="3" t="inlineStr">
        <is>
          <t>컨텍</t>
        </is>
      </c>
      <c r="C3626" s="2" t="inlineStr">
        <is>
          <t>코스닥</t>
        </is>
      </c>
      <c r="D3626" s="2" t="inlineStr">
        <is>
          <t>451760</t>
        </is>
      </c>
      <c r="E3626" s="3" t="inlineStr">
        <is>
          <t xml:space="preserve">주주총회소집결의              </t>
        </is>
      </c>
      <c r="F3626" s="3" t="inlineStr">
        <is>
          <t>컨텍</t>
        </is>
      </c>
      <c r="G3626" s="2" t="inlineStr">
        <is>
          <t>20260312900343</t>
        </is>
      </c>
      <c r="H3626" s="8">
        <f>HYPERLINK("https://dart.fss.or.kr/dsaf001/main.do?rcpNo=20260312900343", "공시열람")</f>
        <v/>
      </c>
    </row>
    <row r="3627">
      <c r="A3627" s="2" t="inlineStr">
        <is>
          <t>2026-03-12</t>
        </is>
      </c>
      <c r="B3627" s="3" t="inlineStr">
        <is>
          <t>태광</t>
        </is>
      </c>
      <c r="C3627" s="2" t="inlineStr">
        <is>
          <t>코스닥</t>
        </is>
      </c>
      <c r="D3627" s="2" t="inlineStr">
        <is>
          <t>023160</t>
        </is>
      </c>
      <c r="E3627" s="3" t="inlineStr">
        <is>
          <t>[기재정정]주주총회소집공고</t>
        </is>
      </c>
      <c r="F3627" s="3" t="inlineStr">
        <is>
          <t>태광</t>
        </is>
      </c>
      <c r="G3627" s="2" t="inlineStr">
        <is>
          <t>20260312000310</t>
        </is>
      </c>
      <c r="H3627" s="8">
        <f>HYPERLINK("https://dart.fss.or.kr/dsaf001/main.do?rcpNo=20260312000310", "공시열람")</f>
        <v/>
      </c>
    </row>
    <row r="3628">
      <c r="A3628" s="2" t="inlineStr">
        <is>
          <t>2026-03-12</t>
        </is>
      </c>
      <c r="B3628" s="3" t="inlineStr">
        <is>
          <t>힘스</t>
        </is>
      </c>
      <c r="C3628" s="2" t="inlineStr">
        <is>
          <t>코스닥</t>
        </is>
      </c>
      <c r="D3628" s="2" t="inlineStr">
        <is>
          <t>238490</t>
        </is>
      </c>
      <c r="E3628" s="3" t="inlineStr">
        <is>
          <t>주주총회소집공고</t>
        </is>
      </c>
      <c r="F3628" s="3" t="inlineStr">
        <is>
          <t>힘스</t>
        </is>
      </c>
      <c r="G3628" s="2" t="inlineStr">
        <is>
          <t>20260312000306</t>
        </is>
      </c>
      <c r="H3628" s="8">
        <f>HYPERLINK("https://dart.fss.or.kr/dsaf001/main.do?rcpNo=20260312000306", "공시열람")</f>
        <v/>
      </c>
    </row>
    <row r="3629">
      <c r="A3629" s="2" t="inlineStr">
        <is>
          <t>2026-03-12</t>
        </is>
      </c>
      <c r="B3629" s="3" t="inlineStr">
        <is>
          <t>유신</t>
        </is>
      </c>
      <c r="C3629" s="2" t="inlineStr">
        <is>
          <t>코스닥</t>
        </is>
      </c>
      <c r="D3629" s="2" t="inlineStr">
        <is>
          <t>054930</t>
        </is>
      </c>
      <c r="E3629" s="3" t="inlineStr">
        <is>
          <t xml:space="preserve">주주총회집중일개최사유신고              </t>
        </is>
      </c>
      <c r="F3629" s="3" t="inlineStr">
        <is>
          <t>유신</t>
        </is>
      </c>
      <c r="G3629" s="2" t="inlineStr">
        <is>
          <t>20260312900344</t>
        </is>
      </c>
      <c r="H3629" s="8">
        <f>HYPERLINK("https://dart.fss.or.kr/dsaf001/main.do?rcpNo=20260312900344", "공시열람")</f>
        <v/>
      </c>
    </row>
    <row r="3630">
      <c r="A3630" s="2" t="inlineStr">
        <is>
          <t>2026-03-12</t>
        </is>
      </c>
      <c r="B3630" s="3" t="inlineStr">
        <is>
          <t>유신</t>
        </is>
      </c>
      <c r="C3630" s="2" t="inlineStr">
        <is>
          <t>코스닥</t>
        </is>
      </c>
      <c r="D3630" s="2" t="inlineStr">
        <is>
          <t>054930</t>
        </is>
      </c>
      <c r="E3630" s="3" t="inlineStr">
        <is>
          <t xml:space="preserve">주주총회소집결의              </t>
        </is>
      </c>
      <c r="F3630" s="3" t="inlineStr">
        <is>
          <t>유신</t>
        </is>
      </c>
      <c r="G3630" s="2" t="inlineStr">
        <is>
          <t>20260312900342</t>
        </is>
      </c>
      <c r="H3630" s="8">
        <f>HYPERLINK("https://dart.fss.or.kr/dsaf001/main.do?rcpNo=20260312900342", "공시열람")</f>
        <v/>
      </c>
    </row>
    <row r="3631">
      <c r="A3631" s="2" t="inlineStr">
        <is>
          <t>2026-03-12 (정정: 2026-06-01)</t>
        </is>
      </c>
      <c r="B3631" s="3" t="inlineStr">
        <is>
          <t>인바이오</t>
        </is>
      </c>
      <c r="C3631" s="2" t="inlineStr">
        <is>
          <t>코스닥</t>
        </is>
      </c>
      <c r="D3631" s="2" t="inlineStr">
        <is>
          <t>352940</t>
        </is>
      </c>
      <c r="E3631" s="3" t="inlineStr">
        <is>
          <t>주주총회소집공고 (정정: 20260601)</t>
        </is>
      </c>
      <c r="F3631" s="3" t="inlineStr">
        <is>
          <t>인바이오</t>
        </is>
      </c>
      <c r="G3631" s="2" t="inlineStr">
        <is>
          <t>20260601901264</t>
        </is>
      </c>
      <c r="H3631" s="8">
        <f>HYPERLINK("https://dart.fss.or.kr/dsaf001/main.do?rcpNo=20260601901264", "공시열람")</f>
        <v/>
      </c>
    </row>
    <row r="3632">
      <c r="A3632" s="2" t="inlineStr">
        <is>
          <t>2026-03-12</t>
        </is>
      </c>
      <c r="B3632" s="3" t="inlineStr">
        <is>
          <t>한국주강</t>
        </is>
      </c>
      <c r="C3632" s="2" t="inlineStr">
        <is>
          <t>코스피</t>
        </is>
      </c>
      <c r="D3632" s="2" t="inlineStr">
        <is>
          <t>025890</t>
        </is>
      </c>
      <c r="E3632" s="3" t="inlineStr">
        <is>
          <t>주주총회소집공고</t>
        </is>
      </c>
      <c r="F3632" s="3" t="inlineStr">
        <is>
          <t>한국주강</t>
        </is>
      </c>
      <c r="G3632" s="2" t="inlineStr">
        <is>
          <t>20260312000299</t>
        </is>
      </c>
      <c r="H3632" s="8">
        <f>HYPERLINK("https://dart.fss.or.kr/dsaf001/main.do?rcpNo=20260312000299", "공시열람")</f>
        <v/>
      </c>
    </row>
    <row r="3633">
      <c r="A3633" s="2" t="inlineStr">
        <is>
          <t>2026-03-12</t>
        </is>
      </c>
      <c r="B3633" s="3" t="inlineStr">
        <is>
          <t>프로텍</t>
        </is>
      </c>
      <c r="C3633" s="2" t="inlineStr">
        <is>
          <t>코스닥</t>
        </is>
      </c>
      <c r="D3633" s="2" t="inlineStr">
        <is>
          <t>053610</t>
        </is>
      </c>
      <c r="E3633" s="3" t="inlineStr">
        <is>
          <t>주주총회소집공고</t>
        </is>
      </c>
      <c r="F3633" s="3" t="inlineStr">
        <is>
          <t>프로텍</t>
        </is>
      </c>
      <c r="G3633" s="2" t="inlineStr">
        <is>
          <t>20260312000287</t>
        </is>
      </c>
      <c r="H3633" s="8">
        <f>HYPERLINK("https://dart.fss.or.kr/dsaf001/main.do?rcpNo=20260312000287", "공시열람")</f>
        <v/>
      </c>
    </row>
    <row r="3634">
      <c r="A3634" s="2" t="inlineStr">
        <is>
          <t>2026-03-12</t>
        </is>
      </c>
      <c r="B3634" s="3" t="inlineStr">
        <is>
          <t>미래반도체</t>
        </is>
      </c>
      <c r="C3634" s="2" t="inlineStr">
        <is>
          <t>코스닥</t>
        </is>
      </c>
      <c r="D3634" s="2" t="inlineStr">
        <is>
          <t>254490</t>
        </is>
      </c>
      <c r="E3634" s="3" t="inlineStr">
        <is>
          <t>주주총회소집공고</t>
        </is>
      </c>
      <c r="F3634" s="3" t="inlineStr">
        <is>
          <t>미래반도체</t>
        </is>
      </c>
      <c r="G3634" s="2" t="inlineStr">
        <is>
          <t>20260312000285</t>
        </is>
      </c>
      <c r="H3634" s="8">
        <f>HYPERLINK("https://dart.fss.or.kr/dsaf001/main.do?rcpNo=20260312000285", "공시열람")</f>
        <v/>
      </c>
    </row>
    <row r="3635">
      <c r="A3635" s="2" t="inlineStr">
        <is>
          <t>2026-03-12</t>
        </is>
      </c>
      <c r="B3635" s="3" t="inlineStr">
        <is>
          <t>삼화전기</t>
        </is>
      </c>
      <c r="C3635" s="2" t="inlineStr">
        <is>
          <t>코스피</t>
        </is>
      </c>
      <c r="D3635" s="2" t="inlineStr">
        <is>
          <t>009470</t>
        </is>
      </c>
      <c r="E3635" s="3" t="inlineStr">
        <is>
          <t xml:space="preserve">주주총회집중일개최사유신고              </t>
        </is>
      </c>
      <c r="F3635" s="3" t="inlineStr">
        <is>
          <t>삼화전기</t>
        </is>
      </c>
      <c r="G3635" s="2" t="inlineStr">
        <is>
          <t>20260312800326</t>
        </is>
      </c>
      <c r="H3635" s="8">
        <f>HYPERLINK("https://dart.fss.or.kr/dsaf001/main.do?rcpNo=20260312800326", "공시열람")</f>
        <v/>
      </c>
    </row>
    <row r="3636">
      <c r="A3636" s="2" t="inlineStr">
        <is>
          <t>2026-03-12</t>
        </is>
      </c>
      <c r="B3636" s="3" t="inlineStr">
        <is>
          <t>피앤에스로보틱스</t>
        </is>
      </c>
      <c r="C3636" s="2" t="inlineStr">
        <is>
          <t>코스닥</t>
        </is>
      </c>
      <c r="D3636" s="2" t="inlineStr">
        <is>
          <t>460940</t>
        </is>
      </c>
      <c r="E3636" s="3" t="inlineStr">
        <is>
          <t xml:space="preserve">주주총회집중일개최사유신고              </t>
        </is>
      </c>
      <c r="F3636" s="3" t="inlineStr">
        <is>
          <t>피앤에스로보틱스</t>
        </is>
      </c>
      <c r="G3636" s="2" t="inlineStr">
        <is>
          <t>20260312900303</t>
        </is>
      </c>
      <c r="H3636" s="8">
        <f>HYPERLINK("https://dart.fss.or.kr/dsaf001/main.do?rcpNo=20260312900303", "공시열람")</f>
        <v/>
      </c>
    </row>
    <row r="3637">
      <c r="A3637" s="2" t="inlineStr">
        <is>
          <t>2026-03-12</t>
        </is>
      </c>
      <c r="B3637" s="3" t="inlineStr">
        <is>
          <t>E1</t>
        </is>
      </c>
      <c r="C3637" s="2" t="inlineStr">
        <is>
          <t>코스피</t>
        </is>
      </c>
      <c r="D3637" s="2" t="inlineStr">
        <is>
          <t>017940</t>
        </is>
      </c>
      <c r="E3637" s="3" t="inlineStr">
        <is>
          <t xml:space="preserve">주주총회집중일개최사유신고              </t>
        </is>
      </c>
      <c r="F3637" s="3" t="inlineStr">
        <is>
          <t>E1</t>
        </is>
      </c>
      <c r="G3637" s="2" t="inlineStr">
        <is>
          <t>20260312800315</t>
        </is>
      </c>
      <c r="H3637" s="8">
        <f>HYPERLINK("https://dart.fss.or.kr/dsaf001/main.do?rcpNo=20260312800315", "공시열람")</f>
        <v/>
      </c>
    </row>
    <row r="3638">
      <c r="A3638" s="2" t="inlineStr">
        <is>
          <t>2026-03-12</t>
        </is>
      </c>
      <c r="B3638" s="3" t="inlineStr">
        <is>
          <t>진양산업</t>
        </is>
      </c>
      <c r="C3638" s="2" t="inlineStr">
        <is>
          <t>코스피</t>
        </is>
      </c>
      <c r="D3638" s="2" t="inlineStr">
        <is>
          <t>003780</t>
        </is>
      </c>
      <c r="E3638" s="3" t="inlineStr">
        <is>
          <t xml:space="preserve">정기주주총회결과              </t>
        </is>
      </c>
      <c r="F3638" s="3" t="inlineStr">
        <is>
          <t>진양산업</t>
        </is>
      </c>
      <c r="G3638" s="2" t="inlineStr">
        <is>
          <t>20260312800311</t>
        </is>
      </c>
      <c r="H3638" s="8">
        <f>HYPERLINK("https://dart.fss.or.kr/dsaf001/main.do?rcpNo=20260312800311", "공시열람")</f>
        <v/>
      </c>
    </row>
    <row r="3639">
      <c r="A3639" s="2" t="inlineStr">
        <is>
          <t>2026-03-12</t>
        </is>
      </c>
      <c r="B3639" s="3" t="inlineStr">
        <is>
          <t>인디에프</t>
        </is>
      </c>
      <c r="C3639" s="2" t="inlineStr">
        <is>
          <t>코스피</t>
        </is>
      </c>
      <c r="D3639" s="2" t="inlineStr">
        <is>
          <t>014990</t>
        </is>
      </c>
      <c r="E3639" s="3" t="inlineStr">
        <is>
          <t xml:space="preserve">주주총회집중일개최사유신고              </t>
        </is>
      </c>
      <c r="F3639" s="3" t="inlineStr">
        <is>
          <t>인디에프</t>
        </is>
      </c>
      <c r="G3639" s="2" t="inlineStr">
        <is>
          <t>20260312800308</t>
        </is>
      </c>
      <c r="H3639" s="8">
        <f>HYPERLINK("https://dart.fss.or.kr/dsaf001/main.do?rcpNo=20260312800308", "공시열람")</f>
        <v/>
      </c>
    </row>
    <row r="3640">
      <c r="A3640" s="2" t="inlineStr">
        <is>
          <t>2026-03-12</t>
        </is>
      </c>
      <c r="B3640" s="3" t="inlineStr">
        <is>
          <t>마이크로투나노</t>
        </is>
      </c>
      <c r="C3640" s="2" t="inlineStr">
        <is>
          <t>코스닥</t>
        </is>
      </c>
      <c r="D3640" s="2" t="inlineStr">
        <is>
          <t>424980</t>
        </is>
      </c>
      <c r="E3640" s="3" t="inlineStr">
        <is>
          <t>주주총회소집공고</t>
        </is>
      </c>
      <c r="F3640" s="3" t="inlineStr">
        <is>
          <t>마이크로투나노</t>
        </is>
      </c>
      <c r="G3640" s="2" t="inlineStr">
        <is>
          <t>20260312000274</t>
        </is>
      </c>
      <c r="H3640" s="8">
        <f>HYPERLINK("https://dart.fss.or.kr/dsaf001/main.do?rcpNo=20260312000274", "공시열람")</f>
        <v/>
      </c>
    </row>
    <row r="3641">
      <c r="A3641" s="2" t="inlineStr">
        <is>
          <t>2026-03-12</t>
        </is>
      </c>
      <c r="B3641" s="3" t="inlineStr">
        <is>
          <t>덕산하이메탈</t>
        </is>
      </c>
      <c r="C3641" s="2" t="inlineStr">
        <is>
          <t>코스닥</t>
        </is>
      </c>
      <c r="D3641" s="2" t="inlineStr">
        <is>
          <t>077360</t>
        </is>
      </c>
      <c r="E3641" s="3" t="inlineStr">
        <is>
          <t>주주총회소집공고</t>
        </is>
      </c>
      <c r="F3641" s="3" t="inlineStr">
        <is>
          <t>덕산하이메탈</t>
        </is>
      </c>
      <c r="G3641" s="2" t="inlineStr">
        <is>
          <t>20260312000271</t>
        </is>
      </c>
      <c r="H3641" s="8">
        <f>HYPERLINK("https://dart.fss.or.kr/dsaf001/main.do?rcpNo=20260312000271", "공시열람")</f>
        <v/>
      </c>
    </row>
    <row r="3642">
      <c r="A3642" s="2" t="inlineStr">
        <is>
          <t>2026-03-12</t>
        </is>
      </c>
      <c r="B3642" s="3" t="inlineStr">
        <is>
          <t>와이지엔터테인먼트</t>
        </is>
      </c>
      <c r="C3642" s="2" t="inlineStr">
        <is>
          <t>코스닥</t>
        </is>
      </c>
      <c r="D3642" s="2" t="inlineStr">
        <is>
          <t>122870</t>
        </is>
      </c>
      <c r="E3642" s="3" t="inlineStr">
        <is>
          <t>주주총회소집공고</t>
        </is>
      </c>
      <c r="F3642" s="3" t="inlineStr">
        <is>
          <t>와이지엔터테인먼트</t>
        </is>
      </c>
      <c r="G3642" s="2" t="inlineStr">
        <is>
          <t>20260312000270</t>
        </is>
      </c>
      <c r="H3642" s="8">
        <f>HYPERLINK("https://dart.fss.or.kr/dsaf001/main.do?rcpNo=20260312000270", "공시열람")</f>
        <v/>
      </c>
    </row>
    <row r="3643">
      <c r="A3643" s="2" t="inlineStr">
        <is>
          <t>2026-03-12</t>
        </is>
      </c>
      <c r="B3643" s="3" t="inlineStr">
        <is>
          <t>E1</t>
        </is>
      </c>
      <c r="C3643" s="2" t="inlineStr">
        <is>
          <t>코스피</t>
        </is>
      </c>
      <c r="D3643" s="2" t="inlineStr">
        <is>
          <t>017940</t>
        </is>
      </c>
      <c r="E3643" s="3" t="inlineStr">
        <is>
          <t>주주총회소집공고</t>
        </is>
      </c>
      <c r="F3643" s="3" t="inlineStr">
        <is>
          <t>E1</t>
        </is>
      </c>
      <c r="G3643" s="2" t="inlineStr">
        <is>
          <t>20260312000269</t>
        </is>
      </c>
      <c r="H3643" s="8">
        <f>HYPERLINK("https://dart.fss.or.kr/dsaf001/main.do?rcpNo=20260312000269", "공시열람")</f>
        <v/>
      </c>
    </row>
    <row r="3644">
      <c r="A3644" s="2" t="inlineStr">
        <is>
          <t>2026-03-12</t>
        </is>
      </c>
      <c r="B3644" s="3" t="inlineStr">
        <is>
          <t>인디에프</t>
        </is>
      </c>
      <c r="C3644" s="2" t="inlineStr">
        <is>
          <t>코스피</t>
        </is>
      </c>
      <c r="D3644" s="2" t="inlineStr">
        <is>
          <t>014990</t>
        </is>
      </c>
      <c r="E3644" s="3" t="inlineStr">
        <is>
          <t>주주총회소집공고</t>
        </is>
      </c>
      <c r="F3644" s="3" t="inlineStr">
        <is>
          <t>인디에프</t>
        </is>
      </c>
      <c r="G3644" s="2" t="inlineStr">
        <is>
          <t>20260312000267</t>
        </is>
      </c>
      <c r="H3644" s="8">
        <f>HYPERLINK("https://dart.fss.or.kr/dsaf001/main.do?rcpNo=20260312000267", "공시열람")</f>
        <v/>
      </c>
    </row>
    <row r="3645">
      <c r="A3645" s="2" t="inlineStr">
        <is>
          <t>2026-03-12</t>
        </is>
      </c>
      <c r="B3645" s="3" t="inlineStr">
        <is>
          <t>태광</t>
        </is>
      </c>
      <c r="C3645" s="2" t="inlineStr">
        <is>
          <t>코스닥</t>
        </is>
      </c>
      <c r="D3645" s="2" t="inlineStr">
        <is>
          <t>023160</t>
        </is>
      </c>
      <c r="E3645" s="3" t="inlineStr">
        <is>
          <t xml:space="preserve">주주총회집중일개최사유신고              </t>
        </is>
      </c>
      <c r="F3645" s="3" t="inlineStr">
        <is>
          <t>태광</t>
        </is>
      </c>
      <c r="G3645" s="2" t="inlineStr">
        <is>
          <t>20260312900294</t>
        </is>
      </c>
      <c r="H3645" s="8">
        <f>HYPERLINK("https://dart.fss.or.kr/dsaf001/main.do?rcpNo=20260312900294", "공시열람")</f>
        <v/>
      </c>
    </row>
    <row r="3646">
      <c r="A3646" s="2" t="inlineStr">
        <is>
          <t>2026-03-12</t>
        </is>
      </c>
      <c r="B3646" s="3" t="inlineStr">
        <is>
          <t>동신건설</t>
        </is>
      </c>
      <c r="C3646" s="2" t="inlineStr">
        <is>
          <t>코스닥</t>
        </is>
      </c>
      <c r="D3646" s="2" t="inlineStr">
        <is>
          <t>025950</t>
        </is>
      </c>
      <c r="E3646" s="3" t="inlineStr">
        <is>
          <t>주주총회소집공고</t>
        </is>
      </c>
      <c r="F3646" s="3" t="inlineStr">
        <is>
          <t>동신건설</t>
        </is>
      </c>
      <c r="G3646" s="2" t="inlineStr">
        <is>
          <t>20260312000259</t>
        </is>
      </c>
      <c r="H3646" s="8">
        <f>HYPERLINK("https://dart.fss.or.kr/dsaf001/main.do?rcpNo=20260312000259", "공시열람")</f>
        <v/>
      </c>
    </row>
    <row r="3647">
      <c r="A3647" s="2" t="inlineStr">
        <is>
          <t>2026-03-12</t>
        </is>
      </c>
      <c r="B3647" s="3" t="inlineStr">
        <is>
          <t>아이언디바이스</t>
        </is>
      </c>
      <c r="C3647" s="2" t="inlineStr">
        <is>
          <t>코스닥</t>
        </is>
      </c>
      <c r="D3647" s="2" t="inlineStr">
        <is>
          <t>464500</t>
        </is>
      </c>
      <c r="E3647" s="3" t="inlineStr">
        <is>
          <t>주주총회소집공고</t>
        </is>
      </c>
      <c r="F3647" s="3" t="inlineStr">
        <is>
          <t>아이언디바이스</t>
        </is>
      </c>
      <c r="G3647" s="2" t="inlineStr">
        <is>
          <t>20260312000258</t>
        </is>
      </c>
      <c r="H3647" s="8">
        <f>HYPERLINK("https://dart.fss.or.kr/dsaf001/main.do?rcpNo=20260312000258", "공시열람")</f>
        <v/>
      </c>
    </row>
    <row r="3648">
      <c r="A3648" s="2" t="inlineStr">
        <is>
          <t>2026-03-12</t>
        </is>
      </c>
      <c r="B3648" s="3" t="inlineStr">
        <is>
          <t>에스티오</t>
        </is>
      </c>
      <c r="C3648" s="2" t="inlineStr">
        <is>
          <t>코스닥</t>
        </is>
      </c>
      <c r="D3648" s="2" t="inlineStr">
        <is>
          <t>098660</t>
        </is>
      </c>
      <c r="E3648" s="3" t="inlineStr">
        <is>
          <t xml:space="preserve">주주총회집중일개최사유신고              </t>
        </is>
      </c>
      <c r="F3648" s="3" t="inlineStr">
        <is>
          <t>에스티오</t>
        </is>
      </c>
      <c r="G3648" s="2" t="inlineStr">
        <is>
          <t>20260312900273</t>
        </is>
      </c>
      <c r="H3648" s="8">
        <f>HYPERLINK("https://dart.fss.or.kr/dsaf001/main.do?rcpNo=20260312900273", "공시열람")</f>
        <v/>
      </c>
    </row>
    <row r="3649">
      <c r="A3649" s="2" t="inlineStr">
        <is>
          <t>2026-03-12</t>
        </is>
      </c>
      <c r="B3649" s="3" t="inlineStr">
        <is>
          <t>에스코넥</t>
        </is>
      </c>
      <c r="C3649" s="2" t="inlineStr">
        <is>
          <t>코스닥</t>
        </is>
      </c>
      <c r="D3649" s="2" t="inlineStr">
        <is>
          <t>096630</t>
        </is>
      </c>
      <c r="E3649" s="3" t="inlineStr">
        <is>
          <t xml:space="preserve">주주총회집중일개최사유신고              </t>
        </is>
      </c>
      <c r="F3649" s="3" t="inlineStr">
        <is>
          <t>에스코넥</t>
        </is>
      </c>
      <c r="G3649" s="2" t="inlineStr">
        <is>
          <t>20260312900266</t>
        </is>
      </c>
      <c r="H3649" s="8">
        <f>HYPERLINK("https://dart.fss.or.kr/dsaf001/main.do?rcpNo=20260312900266", "공시열람")</f>
        <v/>
      </c>
    </row>
    <row r="3650">
      <c r="A3650" s="2" t="inlineStr">
        <is>
          <t>2026-03-12</t>
        </is>
      </c>
      <c r="B3650" s="3" t="inlineStr">
        <is>
          <t>에스코넥</t>
        </is>
      </c>
      <c r="C3650" s="2" t="inlineStr">
        <is>
          <t>코스닥</t>
        </is>
      </c>
      <c r="D3650" s="2" t="inlineStr">
        <is>
          <t>096630</t>
        </is>
      </c>
      <c r="E3650" s="3" t="inlineStr">
        <is>
          <t xml:space="preserve">주주총회소집결의              </t>
        </is>
      </c>
      <c r="F3650" s="3" t="inlineStr">
        <is>
          <t>에스코넥</t>
        </is>
      </c>
      <c r="G3650" s="2" t="inlineStr">
        <is>
          <t>20260312900262</t>
        </is>
      </c>
      <c r="H3650" s="8">
        <f>HYPERLINK("https://dart.fss.or.kr/dsaf001/main.do?rcpNo=20260312900262", "공시열람")</f>
        <v/>
      </c>
    </row>
    <row r="3651">
      <c r="A3651" s="2" t="inlineStr">
        <is>
          <t>2026-03-12</t>
        </is>
      </c>
      <c r="B3651" s="3" t="inlineStr">
        <is>
          <t>하이퍼코퍼레이션</t>
        </is>
      </c>
      <c r="C3651" s="2" t="inlineStr">
        <is>
          <t>코스닥</t>
        </is>
      </c>
      <c r="D3651" s="2" t="inlineStr">
        <is>
          <t>065650</t>
        </is>
      </c>
      <c r="E3651" s="3" t="inlineStr">
        <is>
          <t xml:space="preserve">임시주주총회결과              </t>
        </is>
      </c>
      <c r="F3651" s="3" t="inlineStr">
        <is>
          <t>하이퍼코퍼레이션</t>
        </is>
      </c>
      <c r="G3651" s="2" t="inlineStr">
        <is>
          <t>20260312900284</t>
        </is>
      </c>
      <c r="H3651" s="8">
        <f>HYPERLINK("https://dart.fss.or.kr/dsaf001/main.do?rcpNo=20260312900284", "공시열람")</f>
        <v/>
      </c>
    </row>
    <row r="3652">
      <c r="A3652" s="2" t="inlineStr">
        <is>
          <t>2026-03-12</t>
        </is>
      </c>
      <c r="B3652" s="3" t="inlineStr">
        <is>
          <t>HS화성</t>
        </is>
      </c>
      <c r="C3652" s="2" t="inlineStr">
        <is>
          <t>코스피</t>
        </is>
      </c>
      <c r="D3652" s="2" t="inlineStr">
        <is>
          <t>002460</t>
        </is>
      </c>
      <c r="E3652" s="3" t="inlineStr">
        <is>
          <t xml:space="preserve">주주총회집중일개최사유신고              </t>
        </is>
      </c>
      <c r="F3652" s="3" t="inlineStr">
        <is>
          <t>HS화성</t>
        </is>
      </c>
      <c r="G3652" s="2" t="inlineStr">
        <is>
          <t>20260312800293</t>
        </is>
      </c>
      <c r="H3652" s="8">
        <f>HYPERLINK("https://dart.fss.or.kr/dsaf001/main.do?rcpNo=20260312800293", "공시열람")</f>
        <v/>
      </c>
    </row>
    <row r="3653">
      <c r="A3653" s="2" t="inlineStr">
        <is>
          <t>2026-03-12</t>
        </is>
      </c>
      <c r="B3653" s="3" t="inlineStr">
        <is>
          <t>아이언디바이스</t>
        </is>
      </c>
      <c r="C3653" s="2" t="inlineStr">
        <is>
          <t>코스닥</t>
        </is>
      </c>
      <c r="D3653" s="2" t="inlineStr">
        <is>
          <t>464500</t>
        </is>
      </c>
      <c r="E3653" s="3" t="inlineStr">
        <is>
          <t xml:space="preserve">주주총회집중일개최사유신고              </t>
        </is>
      </c>
      <c r="F3653" s="3" t="inlineStr">
        <is>
          <t>아이언디바이스</t>
        </is>
      </c>
      <c r="G3653" s="2" t="inlineStr">
        <is>
          <t>20260312900270</t>
        </is>
      </c>
      <c r="H3653" s="8">
        <f>HYPERLINK("https://dart.fss.or.kr/dsaf001/main.do?rcpNo=20260312900270", "공시열람")</f>
        <v/>
      </c>
    </row>
    <row r="3654">
      <c r="A3654" s="2" t="inlineStr">
        <is>
          <t>2026-03-12</t>
        </is>
      </c>
      <c r="B3654" s="3" t="inlineStr">
        <is>
          <t>파수AI</t>
        </is>
      </c>
      <c r="C3654" s="2" t="inlineStr">
        <is>
          <t>코스닥</t>
        </is>
      </c>
      <c r="D3654" s="2" t="inlineStr">
        <is>
          <t>150900</t>
        </is>
      </c>
      <c r="E3654" s="3" t="inlineStr">
        <is>
          <t xml:space="preserve">주주총회집중일개최사유신고              </t>
        </is>
      </c>
      <c r="F3654" s="3" t="inlineStr">
        <is>
          <t>파수AI</t>
        </is>
      </c>
      <c r="G3654" s="2" t="inlineStr">
        <is>
          <t>20260312900285</t>
        </is>
      </c>
      <c r="H3654" s="8">
        <f>HYPERLINK("https://dart.fss.or.kr/dsaf001/main.do?rcpNo=20260312900285", "공시열람")</f>
        <v/>
      </c>
    </row>
    <row r="3655">
      <c r="A3655" s="2" t="inlineStr">
        <is>
          <t>2026-03-12</t>
        </is>
      </c>
      <c r="B3655" s="3" t="inlineStr">
        <is>
          <t>엔바이오니아</t>
        </is>
      </c>
      <c r="C3655" s="2" t="inlineStr">
        <is>
          <t>코스닥</t>
        </is>
      </c>
      <c r="D3655" s="2" t="inlineStr">
        <is>
          <t>317870</t>
        </is>
      </c>
      <c r="E3655" s="3" t="inlineStr">
        <is>
          <t xml:space="preserve">주주총회집중일개최사유신고              </t>
        </is>
      </c>
      <c r="F3655" s="3" t="inlineStr">
        <is>
          <t>엔바이오니아</t>
        </is>
      </c>
      <c r="G3655" s="2" t="inlineStr">
        <is>
          <t>20260312900283</t>
        </is>
      </c>
      <c r="H3655" s="8">
        <f>HYPERLINK("https://dart.fss.or.kr/dsaf001/main.do?rcpNo=20260312900283", "공시열람")</f>
        <v/>
      </c>
    </row>
    <row r="3656">
      <c r="A3656" s="2" t="inlineStr">
        <is>
          <t>2026-03-12</t>
        </is>
      </c>
      <c r="B3656" s="3" t="inlineStr">
        <is>
          <t>지에이이노더스</t>
        </is>
      </c>
      <c r="C3656" s="2" t="inlineStr">
        <is>
          <t>코넥스</t>
        </is>
      </c>
      <c r="D3656" s="2" t="inlineStr">
        <is>
          <t>076340</t>
        </is>
      </c>
      <c r="E3656" s="3" t="inlineStr">
        <is>
          <t xml:space="preserve">주주총회집중일개최사유신고              </t>
        </is>
      </c>
      <c r="F3656" s="3" t="inlineStr">
        <is>
          <t>지에이이노더스</t>
        </is>
      </c>
      <c r="G3656" s="2" t="inlineStr">
        <is>
          <t>20260312600288</t>
        </is>
      </c>
      <c r="H3656" s="8">
        <f>HYPERLINK("https://dart.fss.or.kr/dsaf001/main.do?rcpNo=20260312600288", "공시열람")</f>
        <v/>
      </c>
    </row>
    <row r="3657">
      <c r="A3657" s="2" t="inlineStr">
        <is>
          <t>2026-03-12</t>
        </is>
      </c>
      <c r="B3657" s="3" t="inlineStr">
        <is>
          <t>엔바이오니아</t>
        </is>
      </c>
      <c r="C3657" s="2" t="inlineStr">
        <is>
          <t>코스닥</t>
        </is>
      </c>
      <c r="D3657" s="2" t="inlineStr">
        <is>
          <t>317870</t>
        </is>
      </c>
      <c r="E3657" s="3" t="inlineStr">
        <is>
          <t xml:space="preserve">주주총회소집결의              </t>
        </is>
      </c>
      <c r="F3657" s="3" t="inlineStr">
        <is>
          <t>엔바이오니아</t>
        </is>
      </c>
      <c r="G3657" s="2" t="inlineStr">
        <is>
          <t>20260312900277</t>
        </is>
      </c>
      <c r="H3657" s="8">
        <f>HYPERLINK("https://dart.fss.or.kr/dsaf001/main.do?rcpNo=20260312900277", "공시열람")</f>
        <v/>
      </c>
    </row>
    <row r="3658">
      <c r="A3658" s="2" t="inlineStr">
        <is>
          <t>2026-03-12</t>
        </is>
      </c>
      <c r="B3658" s="3" t="inlineStr">
        <is>
          <t>아이언디바이스</t>
        </is>
      </c>
      <c r="C3658" s="2" t="inlineStr">
        <is>
          <t>코스닥</t>
        </is>
      </c>
      <c r="D3658" s="2" t="inlineStr">
        <is>
          <t>464500</t>
        </is>
      </c>
      <c r="E3658" s="3" t="inlineStr">
        <is>
          <t xml:space="preserve">주주총회소집결의              </t>
        </is>
      </c>
      <c r="F3658" s="3" t="inlineStr">
        <is>
          <t>아이언디바이스</t>
        </is>
      </c>
      <c r="G3658" s="2" t="inlineStr">
        <is>
          <t>20260312900269</t>
        </is>
      </c>
      <c r="H3658" s="8">
        <f>HYPERLINK("https://dart.fss.or.kr/dsaf001/main.do?rcpNo=20260312900269", "공시열람")</f>
        <v/>
      </c>
    </row>
    <row r="3659">
      <c r="A3659" s="2" t="inlineStr">
        <is>
          <t>2026-03-12</t>
        </is>
      </c>
      <c r="B3659" s="3" t="inlineStr">
        <is>
          <t>차AI헬스케어</t>
        </is>
      </c>
      <c r="C3659" s="2" t="inlineStr">
        <is>
          <t>코스피</t>
        </is>
      </c>
      <c r="D3659" s="2" t="inlineStr">
        <is>
          <t>025620</t>
        </is>
      </c>
      <c r="E3659" s="3" t="inlineStr">
        <is>
          <t xml:space="preserve">주주총회소집결의              </t>
        </is>
      </c>
      <c r="F3659" s="3" t="inlineStr">
        <is>
          <t>차AI헬스케어</t>
        </is>
      </c>
      <c r="G3659" s="2" t="inlineStr">
        <is>
          <t>20260312800275</t>
        </is>
      </c>
      <c r="H3659" s="8">
        <f>HYPERLINK("https://dart.fss.or.kr/dsaf001/main.do?rcpNo=20260312800275", "공시열람")</f>
        <v/>
      </c>
    </row>
    <row r="3660">
      <c r="A3660" s="2" t="inlineStr">
        <is>
          <t>2026-03-12</t>
        </is>
      </c>
      <c r="B3660" s="3" t="inlineStr">
        <is>
          <t>HS화성</t>
        </is>
      </c>
      <c r="C3660" s="2" t="inlineStr">
        <is>
          <t>코스피</t>
        </is>
      </c>
      <c r="D3660" s="2" t="inlineStr">
        <is>
          <t>002460</t>
        </is>
      </c>
      <c r="E3660" s="3" t="inlineStr">
        <is>
          <t>주주총회소집공고</t>
        </is>
      </c>
      <c r="F3660" s="3" t="inlineStr">
        <is>
          <t>HS화성</t>
        </is>
      </c>
      <c r="G3660" s="2" t="inlineStr">
        <is>
          <t>20260312000246</t>
        </is>
      </c>
      <c r="H3660" s="8">
        <f>HYPERLINK("https://dart.fss.or.kr/dsaf001/main.do?rcpNo=20260312000246", "공시열람")</f>
        <v/>
      </c>
    </row>
    <row r="3661">
      <c r="A3661" s="2" t="inlineStr">
        <is>
          <t>2026-03-12</t>
        </is>
      </c>
      <c r="B3661" s="3" t="inlineStr">
        <is>
          <t>멤레이비티</t>
        </is>
      </c>
      <c r="C3661" s="2" t="inlineStr">
        <is>
          <t>코스닥</t>
        </is>
      </c>
      <c r="D3661" s="2" t="inlineStr">
        <is>
          <t>072770</t>
        </is>
      </c>
      <c r="E3661" s="3" t="inlineStr">
        <is>
          <t xml:space="preserve">[기재정정]주주총회소집결의              </t>
        </is>
      </c>
      <c r="F3661" s="3" t="inlineStr">
        <is>
          <t>멤레이비티</t>
        </is>
      </c>
      <c r="G3661" s="2" t="inlineStr">
        <is>
          <t>20260312900264</t>
        </is>
      </c>
      <c r="H3661" s="8">
        <f>HYPERLINK("https://dart.fss.or.kr/dsaf001/main.do?rcpNo=20260312900264", "공시열람")</f>
        <v/>
      </c>
    </row>
    <row r="3662">
      <c r="A3662" s="2" t="inlineStr">
        <is>
          <t>2026-03-12</t>
        </is>
      </c>
      <c r="B3662" s="3" t="inlineStr">
        <is>
          <t>인터로이드</t>
        </is>
      </c>
      <c r="C3662" s="2" t="inlineStr">
        <is>
          <t>코넥스</t>
        </is>
      </c>
      <c r="D3662" s="2" t="inlineStr">
        <is>
          <t>311960</t>
        </is>
      </c>
      <c r="E3662" s="3" t="inlineStr">
        <is>
          <t>[기재정정]주주총회소집공고</t>
        </is>
      </c>
      <c r="F3662" s="3" t="inlineStr">
        <is>
          <t>인터로이드</t>
        </is>
      </c>
      <c r="G3662" s="2" t="inlineStr">
        <is>
          <t>20260312000244</t>
        </is>
      </c>
      <c r="H3662" s="8">
        <f>HYPERLINK("https://dart.fss.or.kr/dsaf001/main.do?rcpNo=20260312000244", "공시열람")</f>
        <v/>
      </c>
    </row>
    <row r="3663">
      <c r="A3663" s="2" t="inlineStr">
        <is>
          <t>2026-03-12</t>
        </is>
      </c>
      <c r="B3663" s="3" t="inlineStr">
        <is>
          <t>KBI메탈</t>
        </is>
      </c>
      <c r="C3663" s="2" t="inlineStr">
        <is>
          <t>코스닥</t>
        </is>
      </c>
      <c r="D3663" s="2" t="inlineStr">
        <is>
          <t>024840</t>
        </is>
      </c>
      <c r="E3663" s="3" t="inlineStr">
        <is>
          <t xml:space="preserve">주주총회집중일개최사유신고              </t>
        </is>
      </c>
      <c r="F3663" s="3" t="inlineStr">
        <is>
          <t>KBI메탈</t>
        </is>
      </c>
      <c r="G3663" s="2" t="inlineStr">
        <is>
          <t>20260312900272</t>
        </is>
      </c>
      <c r="H3663" s="8">
        <f>HYPERLINK("https://dart.fss.or.kr/dsaf001/main.do?rcpNo=20260312900272", "공시열람")</f>
        <v/>
      </c>
    </row>
    <row r="3664">
      <c r="A3664" s="2" t="inlineStr">
        <is>
          <t>2026-03-12</t>
        </is>
      </c>
      <c r="B3664" s="3" t="inlineStr">
        <is>
          <t>지에이이노더스</t>
        </is>
      </c>
      <c r="C3664" s="2" t="inlineStr">
        <is>
          <t>코넥스</t>
        </is>
      </c>
      <c r="D3664" s="2" t="inlineStr">
        <is>
          <t>076340</t>
        </is>
      </c>
      <c r="E3664" s="3" t="inlineStr">
        <is>
          <t xml:space="preserve">주주총회소집결의              </t>
        </is>
      </c>
      <c r="F3664" s="3" t="inlineStr">
        <is>
          <t>지에이이노더스</t>
        </is>
      </c>
      <c r="G3664" s="2" t="inlineStr">
        <is>
          <t>20260312600246</t>
        </is>
      </c>
      <c r="H3664" s="8">
        <f>HYPERLINK("https://dart.fss.or.kr/dsaf001/main.do?rcpNo=20260312600246", "공시열람")</f>
        <v/>
      </c>
    </row>
    <row r="3665">
      <c r="A3665" s="2" t="inlineStr">
        <is>
          <t>2026-03-12</t>
        </is>
      </c>
      <c r="B3665" s="3" t="inlineStr">
        <is>
          <t>센서뷰</t>
        </is>
      </c>
      <c r="C3665" s="2" t="inlineStr">
        <is>
          <t>코스닥</t>
        </is>
      </c>
      <c r="D3665" s="2" t="inlineStr">
        <is>
          <t>321370</t>
        </is>
      </c>
      <c r="E3665" s="3" t="inlineStr">
        <is>
          <t>주주총회소집공고</t>
        </is>
      </c>
      <c r="F3665" s="3" t="inlineStr">
        <is>
          <t>센서뷰</t>
        </is>
      </c>
      <c r="G3665" s="2" t="inlineStr">
        <is>
          <t>20260312000240</t>
        </is>
      </c>
      <c r="H3665" s="8">
        <f>HYPERLINK("https://dart.fss.or.kr/dsaf001/main.do?rcpNo=20260312000240", "공시열람")</f>
        <v/>
      </c>
    </row>
    <row r="3666">
      <c r="A3666" s="2" t="inlineStr">
        <is>
          <t>2026-03-12</t>
        </is>
      </c>
      <c r="B3666" s="3" t="inlineStr">
        <is>
          <t>파수AI</t>
        </is>
      </c>
      <c r="C3666" s="2" t="inlineStr">
        <is>
          <t>코스닥</t>
        </is>
      </c>
      <c r="D3666" s="2" t="inlineStr">
        <is>
          <t>150900</t>
        </is>
      </c>
      <c r="E3666" s="3" t="inlineStr">
        <is>
          <t xml:space="preserve">주주총회소집결의              </t>
        </is>
      </c>
      <c r="F3666" s="3" t="inlineStr">
        <is>
          <t>파수AI</t>
        </is>
      </c>
      <c r="G3666" s="2" t="inlineStr">
        <is>
          <t>20260312900235</t>
        </is>
      </c>
      <c r="H3666" s="8">
        <f>HYPERLINK("https://dart.fss.or.kr/dsaf001/main.do?rcpNo=20260312900235", "공시열람")</f>
        <v/>
      </c>
    </row>
    <row r="3667">
      <c r="A3667" s="2" t="inlineStr">
        <is>
          <t>2026-03-12</t>
        </is>
      </c>
      <c r="B3667" s="3" t="inlineStr">
        <is>
          <t>KBI메탈</t>
        </is>
      </c>
      <c r="C3667" s="2" t="inlineStr">
        <is>
          <t>코스닥</t>
        </is>
      </c>
      <c r="D3667" s="2" t="inlineStr">
        <is>
          <t>024840</t>
        </is>
      </c>
      <c r="E3667" s="3" t="inlineStr">
        <is>
          <t xml:space="preserve">주주총회소집결의              </t>
        </is>
      </c>
      <c r="F3667" s="3" t="inlineStr">
        <is>
          <t>KBI메탈</t>
        </is>
      </c>
      <c r="G3667" s="2" t="inlineStr">
        <is>
          <t>20260312900176</t>
        </is>
      </c>
      <c r="H3667" s="8">
        <f>HYPERLINK("https://dart.fss.or.kr/dsaf001/main.do?rcpNo=20260312900176", "공시열람")</f>
        <v/>
      </c>
    </row>
    <row r="3668">
      <c r="A3668" s="2" t="inlineStr">
        <is>
          <t>2026-03-12</t>
        </is>
      </c>
      <c r="B3668" s="3" t="inlineStr">
        <is>
          <t>한국정보공학</t>
        </is>
      </c>
      <c r="C3668" s="2" t="inlineStr">
        <is>
          <t>코스닥</t>
        </is>
      </c>
      <c r="D3668" s="2" t="inlineStr">
        <is>
          <t>039740</t>
        </is>
      </c>
      <c r="E3668" s="3" t="inlineStr">
        <is>
          <t>주주총회소집공고</t>
        </is>
      </c>
      <c r="F3668" s="3" t="inlineStr">
        <is>
          <t>한국정보공학</t>
        </is>
      </c>
      <c r="G3668" s="2" t="inlineStr">
        <is>
          <t>20260312000236</t>
        </is>
      </c>
      <c r="H3668" s="8">
        <f>HYPERLINK("https://dart.fss.or.kr/dsaf001/main.do?rcpNo=20260312000236", "공시열람")</f>
        <v/>
      </c>
    </row>
    <row r="3669">
      <c r="A3669" s="2" t="inlineStr">
        <is>
          <t>2026-03-12</t>
        </is>
      </c>
      <c r="B3669" s="3" t="inlineStr">
        <is>
          <t>지에이이노더스</t>
        </is>
      </c>
      <c r="C3669" s="2" t="inlineStr">
        <is>
          <t>코넥스</t>
        </is>
      </c>
      <c r="D3669" s="2" t="inlineStr">
        <is>
          <t>076340</t>
        </is>
      </c>
      <c r="E3669" s="3" t="inlineStr">
        <is>
          <t>주주총회소집공고</t>
        </is>
      </c>
      <c r="F3669" s="3" t="inlineStr">
        <is>
          <t>지에이이노더스</t>
        </is>
      </c>
      <c r="G3669" s="2" t="inlineStr">
        <is>
          <t>20260312000235</t>
        </is>
      </c>
      <c r="H3669" s="8">
        <f>HYPERLINK("https://dart.fss.or.kr/dsaf001/main.do?rcpNo=20260312000235", "공시열람")</f>
        <v/>
      </c>
    </row>
    <row r="3670">
      <c r="A3670" s="2" t="inlineStr">
        <is>
          <t>2026-03-12</t>
        </is>
      </c>
      <c r="B3670" s="3" t="inlineStr">
        <is>
          <t>케이디켐</t>
        </is>
      </c>
      <c r="C3670" s="2" t="inlineStr">
        <is>
          <t>코스닥</t>
        </is>
      </c>
      <c r="D3670" s="2" t="inlineStr">
        <is>
          <t>221980</t>
        </is>
      </c>
      <c r="E3670" s="3" t="inlineStr">
        <is>
          <t xml:space="preserve">주주총회집중일개최사유신고              </t>
        </is>
      </c>
      <c r="F3670" s="3" t="inlineStr">
        <is>
          <t>케이디켐</t>
        </is>
      </c>
      <c r="G3670" s="2" t="inlineStr">
        <is>
          <t>20260312900234</t>
        </is>
      </c>
      <c r="H3670" s="8">
        <f>HYPERLINK("https://dart.fss.or.kr/dsaf001/main.do?rcpNo=20260312900234", "공시열람")</f>
        <v/>
      </c>
    </row>
    <row r="3671">
      <c r="A3671" s="2" t="inlineStr">
        <is>
          <t>2026-03-12</t>
        </is>
      </c>
      <c r="B3671" s="3" t="inlineStr">
        <is>
          <t>천일고속</t>
        </is>
      </c>
      <c r="C3671" s="2" t="inlineStr">
        <is>
          <t>코스피</t>
        </is>
      </c>
      <c r="D3671" s="2" t="inlineStr">
        <is>
          <t>000650</t>
        </is>
      </c>
      <c r="E3671" s="3" t="inlineStr">
        <is>
          <t>주주총회소집공고</t>
        </is>
      </c>
      <c r="F3671" s="3" t="inlineStr">
        <is>
          <t>천일고속</t>
        </is>
      </c>
      <c r="G3671" s="2" t="inlineStr">
        <is>
          <t>20260312000228</t>
        </is>
      </c>
      <c r="H3671" s="8">
        <f>HYPERLINK("https://dart.fss.or.kr/dsaf001/main.do?rcpNo=20260312000228", "공시열람")</f>
        <v/>
      </c>
    </row>
    <row r="3672">
      <c r="A3672" s="2" t="inlineStr">
        <is>
          <t>2026-03-12</t>
        </is>
      </c>
      <c r="B3672" s="3" t="inlineStr">
        <is>
          <t>엠에스씨</t>
        </is>
      </c>
      <c r="C3672" s="2" t="inlineStr">
        <is>
          <t>코스닥</t>
        </is>
      </c>
      <c r="D3672" s="2" t="inlineStr">
        <is>
          <t>009780</t>
        </is>
      </c>
      <c r="E3672" s="3" t="inlineStr">
        <is>
          <t>주주총회소집공고</t>
        </is>
      </c>
      <c r="F3672" s="3" t="inlineStr">
        <is>
          <t>엠에스씨</t>
        </is>
      </c>
      <c r="G3672" s="2" t="inlineStr">
        <is>
          <t>20260312000223</t>
        </is>
      </c>
      <c r="H3672" s="8">
        <f>HYPERLINK("https://dart.fss.or.kr/dsaf001/main.do?rcpNo=20260312000223", "공시열람")</f>
        <v/>
      </c>
    </row>
    <row r="3673">
      <c r="A3673" s="2" t="inlineStr">
        <is>
          <t>2026-03-12</t>
        </is>
      </c>
      <c r="B3673" s="3" t="inlineStr">
        <is>
          <t>천일고속</t>
        </is>
      </c>
      <c r="C3673" s="2" t="inlineStr">
        <is>
          <t>코스피</t>
        </is>
      </c>
      <c r="D3673" s="2" t="inlineStr">
        <is>
          <t>000650</t>
        </is>
      </c>
      <c r="E3673" s="3" t="inlineStr">
        <is>
          <t xml:space="preserve">주주총회집중일개최사유신고              </t>
        </is>
      </c>
      <c r="F3673" s="3" t="inlineStr">
        <is>
          <t>천일고속</t>
        </is>
      </c>
      <c r="G3673" s="2" t="inlineStr">
        <is>
          <t>20260312800226</t>
        </is>
      </c>
      <c r="H3673" s="8">
        <f>HYPERLINK("https://dart.fss.or.kr/dsaf001/main.do?rcpNo=20260312800226", "공시열람")</f>
        <v/>
      </c>
    </row>
    <row r="3674">
      <c r="A3674" s="2" t="inlineStr">
        <is>
          <t>2026-03-12 (정정: 2026-03-12)</t>
        </is>
      </c>
      <c r="B3674" s="3" t="inlineStr">
        <is>
          <t>모니터랩</t>
        </is>
      </c>
      <c r="C3674" s="2" t="inlineStr">
        <is>
          <t>코스닥</t>
        </is>
      </c>
      <c r="D3674" s="2" t="inlineStr">
        <is>
          <t>434480</t>
        </is>
      </c>
      <c r="E3674" s="3" t="inlineStr">
        <is>
          <t>[기재정정]주주총회소집공고 (정정: 20260312)</t>
        </is>
      </c>
      <c r="F3674" s="3" t="inlineStr">
        <is>
          <t>모니터랩</t>
        </is>
      </c>
      <c r="G3674" s="2" t="inlineStr">
        <is>
          <t>20260312900212</t>
        </is>
      </c>
      <c r="H3674" s="8">
        <f>HYPERLINK("https://dart.fss.or.kr/dsaf001/main.do?rcpNo=20260312900212", "공시열람")</f>
        <v/>
      </c>
    </row>
    <row r="3675">
      <c r="A3675" s="2" t="inlineStr">
        <is>
          <t>2026-03-12</t>
        </is>
      </c>
      <c r="B3675" s="3" t="inlineStr">
        <is>
          <t>유니퀘스트</t>
        </is>
      </c>
      <c r="C3675" s="2" t="inlineStr">
        <is>
          <t>코스피</t>
        </is>
      </c>
      <c r="D3675" s="2" t="inlineStr">
        <is>
          <t>077500</t>
        </is>
      </c>
      <c r="E3675" s="3" t="inlineStr">
        <is>
          <t xml:space="preserve">주주총회집중일개최사유신고              </t>
        </is>
      </c>
      <c r="F3675" s="3" t="inlineStr">
        <is>
          <t>유니퀘스트</t>
        </is>
      </c>
      <c r="G3675" s="2" t="inlineStr">
        <is>
          <t>20260312800223</t>
        </is>
      </c>
      <c r="H3675" s="8">
        <f>HYPERLINK("https://dart.fss.or.kr/dsaf001/main.do?rcpNo=20260312800223", "공시열람")</f>
        <v/>
      </c>
    </row>
    <row r="3676">
      <c r="A3676" s="2" t="inlineStr">
        <is>
          <t>2026-03-12</t>
        </is>
      </c>
      <c r="B3676" s="3" t="inlineStr">
        <is>
          <t>경창산업</t>
        </is>
      </c>
      <c r="C3676" s="2" t="inlineStr">
        <is>
          <t>코스닥</t>
        </is>
      </c>
      <c r="D3676" s="2" t="inlineStr">
        <is>
          <t>024910</t>
        </is>
      </c>
      <c r="E3676" s="3" t="inlineStr">
        <is>
          <t>주주총회소집공고</t>
        </is>
      </c>
      <c r="F3676" s="3" t="inlineStr">
        <is>
          <t>경창산업</t>
        </is>
      </c>
      <c r="G3676" s="2" t="inlineStr">
        <is>
          <t>20260312000210</t>
        </is>
      </c>
      <c r="H3676" s="8">
        <f>HYPERLINK("https://dart.fss.or.kr/dsaf001/main.do?rcpNo=20260312000210", "공시열람")</f>
        <v/>
      </c>
    </row>
    <row r="3677">
      <c r="A3677" s="2" t="inlineStr">
        <is>
          <t>2026-03-12</t>
        </is>
      </c>
      <c r="B3677" s="3" t="inlineStr">
        <is>
          <t>미원홀딩스</t>
        </is>
      </c>
      <c r="C3677" s="2" t="inlineStr">
        <is>
          <t>코스피</t>
        </is>
      </c>
      <c r="D3677" s="2" t="inlineStr">
        <is>
          <t>107590</t>
        </is>
      </c>
      <c r="E3677" s="3" t="inlineStr">
        <is>
          <t xml:space="preserve">주주총회집중일개최사유신고              </t>
        </is>
      </c>
      <c r="F3677" s="3" t="inlineStr">
        <is>
          <t>미원홀딩스</t>
        </is>
      </c>
      <c r="G3677" s="2" t="inlineStr">
        <is>
          <t>20260312800220</t>
        </is>
      </c>
      <c r="H3677" s="8">
        <f>HYPERLINK("https://dart.fss.or.kr/dsaf001/main.do?rcpNo=20260312800220", "공시열람")</f>
        <v/>
      </c>
    </row>
    <row r="3678">
      <c r="A3678" s="2" t="inlineStr">
        <is>
          <t>2026-03-12</t>
        </is>
      </c>
      <c r="B3678" s="3" t="inlineStr">
        <is>
          <t>퍼시스</t>
        </is>
      </c>
      <c r="C3678" s="2" t="inlineStr">
        <is>
          <t>코스피</t>
        </is>
      </c>
      <c r="D3678" s="2" t="inlineStr">
        <is>
          <t>016800</t>
        </is>
      </c>
      <c r="E3678" s="3" t="inlineStr">
        <is>
          <t>주주총회소집공고</t>
        </is>
      </c>
      <c r="F3678" s="3" t="inlineStr">
        <is>
          <t>퍼시스</t>
        </is>
      </c>
      <c r="G3678" s="2" t="inlineStr">
        <is>
          <t>20260312000195</t>
        </is>
      </c>
      <c r="H3678" s="8">
        <f>HYPERLINK("https://dart.fss.or.kr/dsaf001/main.do?rcpNo=20260312000195", "공시열람")</f>
        <v/>
      </c>
    </row>
    <row r="3679">
      <c r="A3679" s="2" t="inlineStr">
        <is>
          <t>2026-03-12</t>
        </is>
      </c>
      <c r="B3679" s="3" t="inlineStr">
        <is>
          <t>유아이엘</t>
        </is>
      </c>
      <c r="C3679" s="2" t="inlineStr">
        <is>
          <t>코스닥</t>
        </is>
      </c>
      <c r="D3679" s="2" t="inlineStr">
        <is>
          <t>049520</t>
        </is>
      </c>
      <c r="E3679" s="3" t="inlineStr">
        <is>
          <t>주주총회소집공고</t>
        </is>
      </c>
      <c r="F3679" s="3" t="inlineStr">
        <is>
          <t>유아이엘</t>
        </is>
      </c>
      <c r="G3679" s="2" t="inlineStr">
        <is>
          <t>20260312000194</t>
        </is>
      </c>
      <c r="H3679" s="8">
        <f>HYPERLINK("https://dart.fss.or.kr/dsaf001/main.do?rcpNo=20260312000194", "공시열람")</f>
        <v/>
      </c>
    </row>
    <row r="3680">
      <c r="A3680" s="2" t="inlineStr">
        <is>
          <t>2026-03-12</t>
        </is>
      </c>
      <c r="B3680" s="3" t="inlineStr">
        <is>
          <t>덕산하이메탈</t>
        </is>
      </c>
      <c r="C3680" s="2" t="inlineStr">
        <is>
          <t>코스닥</t>
        </is>
      </c>
      <c r="D3680" s="2" t="inlineStr">
        <is>
          <t>077360</t>
        </is>
      </c>
      <c r="E3680" s="3" t="inlineStr">
        <is>
          <t xml:space="preserve">주주총회집중일개최사유신고              </t>
        </is>
      </c>
      <c r="F3680" s="3" t="inlineStr">
        <is>
          <t>덕산하이메탈</t>
        </is>
      </c>
      <c r="G3680" s="2" t="inlineStr">
        <is>
          <t>20260312900206</t>
        </is>
      </c>
      <c r="H3680" s="8">
        <f>HYPERLINK("https://dart.fss.or.kr/dsaf001/main.do?rcpNo=20260312900206", "공시열람")</f>
        <v/>
      </c>
    </row>
    <row r="3681">
      <c r="A3681" s="2" t="inlineStr">
        <is>
          <t>2026-03-12 (정정: 2026-04-16)</t>
        </is>
      </c>
      <c r="B3681" s="3" t="inlineStr">
        <is>
          <t>덕산하이메탈</t>
        </is>
      </c>
      <c r="C3681" s="2" t="inlineStr">
        <is>
          <t>코스닥</t>
        </is>
      </c>
      <c r="D3681" s="2" t="inlineStr">
        <is>
          <t>077360</t>
        </is>
      </c>
      <c r="E3681" s="3" t="inlineStr">
        <is>
          <t>주주총회소집결의               (정정: 20260416) (정정: 20260416)</t>
        </is>
      </c>
      <c r="F3681" s="3" t="inlineStr">
        <is>
          <t>덕산하이메탈</t>
        </is>
      </c>
      <c r="G3681" s="2" t="inlineStr">
        <is>
          <t>20260416000261</t>
        </is>
      </c>
      <c r="H3681" s="8">
        <f>HYPERLINK("https://dart.fss.or.kr/dsaf001/main.do?rcpNo=20260416000261", "공시열람")</f>
        <v/>
      </c>
    </row>
    <row r="3682">
      <c r="A3682" s="2" t="inlineStr">
        <is>
          <t>2026-03-12</t>
        </is>
      </c>
      <c r="B3682" s="3" t="inlineStr">
        <is>
          <t>미원홀딩스</t>
        </is>
      </c>
      <c r="C3682" s="2" t="inlineStr">
        <is>
          <t>코스피</t>
        </is>
      </c>
      <c r="D3682" s="2" t="inlineStr">
        <is>
          <t>107590</t>
        </is>
      </c>
      <c r="E3682" s="3" t="inlineStr">
        <is>
          <t>주주총회소집공고</t>
        </is>
      </c>
      <c r="F3682" s="3" t="inlineStr">
        <is>
          <t>미원홀딩스</t>
        </is>
      </c>
      <c r="G3682" s="2" t="inlineStr">
        <is>
          <t>20260312000190</t>
        </is>
      </c>
      <c r="H3682" s="8">
        <f>HYPERLINK("https://dart.fss.or.kr/dsaf001/main.do?rcpNo=20260312000190", "공시열람")</f>
        <v/>
      </c>
    </row>
    <row r="3683">
      <c r="A3683" s="2" t="inlineStr">
        <is>
          <t>2026-03-12</t>
        </is>
      </c>
      <c r="B3683" s="3" t="inlineStr">
        <is>
          <t>HJ중공업</t>
        </is>
      </c>
      <c r="C3683" s="2" t="inlineStr">
        <is>
          <t>코스피</t>
        </is>
      </c>
      <c r="D3683" s="2" t="inlineStr">
        <is>
          <t>097230</t>
        </is>
      </c>
      <c r="E3683" s="3" t="inlineStr">
        <is>
          <t xml:space="preserve">주주총회집중일개최사유신고              </t>
        </is>
      </c>
      <c r="F3683" s="3" t="inlineStr">
        <is>
          <t>HJ중공업</t>
        </is>
      </c>
      <c r="G3683" s="2" t="inlineStr">
        <is>
          <t>20260312800178</t>
        </is>
      </c>
      <c r="H3683" s="8">
        <f>HYPERLINK("https://dart.fss.or.kr/dsaf001/main.do?rcpNo=20260312800178", "공시열람")</f>
        <v/>
      </c>
    </row>
    <row r="3684">
      <c r="A3684" s="2" t="inlineStr">
        <is>
          <t>2026-03-12</t>
        </is>
      </c>
      <c r="B3684" s="3" t="inlineStr">
        <is>
          <t>유아이엘</t>
        </is>
      </c>
      <c r="C3684" s="2" t="inlineStr">
        <is>
          <t>코스닥</t>
        </is>
      </c>
      <c r="D3684" s="2" t="inlineStr">
        <is>
          <t>049520</t>
        </is>
      </c>
      <c r="E3684" s="3" t="inlineStr">
        <is>
          <t xml:space="preserve">주주총회집중일개최사유신고              </t>
        </is>
      </c>
      <c r="F3684" s="3" t="inlineStr">
        <is>
          <t>유아이엘</t>
        </is>
      </c>
      <c r="G3684" s="2" t="inlineStr">
        <is>
          <t>20260312900208</t>
        </is>
      </c>
      <c r="H3684" s="8">
        <f>HYPERLINK("https://dart.fss.or.kr/dsaf001/main.do?rcpNo=20260312900208", "공시열람")</f>
        <v/>
      </c>
    </row>
    <row r="3685">
      <c r="A3685" s="2" t="inlineStr">
        <is>
          <t>2026-03-12</t>
        </is>
      </c>
      <c r="B3685" s="3" t="inlineStr">
        <is>
          <t>한국맥널티</t>
        </is>
      </c>
      <c r="C3685" s="2" t="inlineStr">
        <is>
          <t>코스닥</t>
        </is>
      </c>
      <c r="D3685" s="2" t="inlineStr">
        <is>
          <t>222980</t>
        </is>
      </c>
      <c r="E3685" s="3" t="inlineStr">
        <is>
          <t>주주총회소집공고</t>
        </is>
      </c>
      <c r="F3685" s="3" t="inlineStr">
        <is>
          <t>한국맥널티</t>
        </is>
      </c>
      <c r="G3685" s="2" t="inlineStr">
        <is>
          <t>20260312000186</t>
        </is>
      </c>
      <c r="H3685" s="8">
        <f>HYPERLINK("https://dart.fss.or.kr/dsaf001/main.do?rcpNo=20260312000186", "공시열람")</f>
        <v/>
      </c>
    </row>
    <row r="3686">
      <c r="A3686" s="2" t="inlineStr">
        <is>
          <t>2026-03-12</t>
        </is>
      </c>
      <c r="B3686" s="3" t="inlineStr">
        <is>
          <t>대덕</t>
        </is>
      </c>
      <c r="C3686" s="2" t="inlineStr">
        <is>
          <t>코스피</t>
        </is>
      </c>
      <c r="D3686" s="2" t="inlineStr">
        <is>
          <t>008060</t>
        </is>
      </c>
      <c r="E3686" s="3" t="inlineStr">
        <is>
          <t xml:space="preserve">주주총회집중일개최사유신고              </t>
        </is>
      </c>
      <c r="F3686" s="3" t="inlineStr">
        <is>
          <t>대덕</t>
        </is>
      </c>
      <c r="G3686" s="2" t="inlineStr">
        <is>
          <t>20260312800196</t>
        </is>
      </c>
      <c r="H3686" s="8">
        <f>HYPERLINK("https://dart.fss.or.kr/dsaf001/main.do?rcpNo=20260312800196", "공시열람")</f>
        <v/>
      </c>
    </row>
    <row r="3687">
      <c r="A3687" s="2" t="inlineStr">
        <is>
          <t>2026-03-12</t>
        </is>
      </c>
      <c r="B3687" s="3" t="inlineStr">
        <is>
          <t>한국선재</t>
        </is>
      </c>
      <c r="C3687" s="2" t="inlineStr">
        <is>
          <t>코스닥</t>
        </is>
      </c>
      <c r="D3687" s="2" t="inlineStr">
        <is>
          <t>025550</t>
        </is>
      </c>
      <c r="E3687" s="3" t="inlineStr">
        <is>
          <t>주주총회소집공고</t>
        </is>
      </c>
      <c r="F3687" s="3" t="inlineStr">
        <is>
          <t>한국선재</t>
        </is>
      </c>
      <c r="G3687" s="2" t="inlineStr">
        <is>
          <t>20260312000181</t>
        </is>
      </c>
      <c r="H3687" s="8">
        <f>HYPERLINK("https://dart.fss.or.kr/dsaf001/main.do?rcpNo=20260312000181", "공시열람")</f>
        <v/>
      </c>
    </row>
    <row r="3688">
      <c r="A3688" s="2" t="inlineStr">
        <is>
          <t>2026-03-12</t>
        </is>
      </c>
      <c r="B3688" s="3" t="inlineStr">
        <is>
          <t>동운아나텍</t>
        </is>
      </c>
      <c r="C3688" s="2" t="inlineStr">
        <is>
          <t>코스닥</t>
        </is>
      </c>
      <c r="D3688" s="2" t="inlineStr">
        <is>
          <t>094170</t>
        </is>
      </c>
      <c r="E3688" s="3" t="inlineStr">
        <is>
          <t>주주총회소집공고</t>
        </is>
      </c>
      <c r="F3688" s="3" t="inlineStr">
        <is>
          <t>동운아나텍</t>
        </is>
      </c>
      <c r="G3688" s="2" t="inlineStr">
        <is>
          <t>20260312000180</t>
        </is>
      </c>
      <c r="H3688" s="8">
        <f>HYPERLINK("https://dart.fss.or.kr/dsaf001/main.do?rcpNo=20260312000180", "공시열람")</f>
        <v/>
      </c>
    </row>
    <row r="3689">
      <c r="A3689" s="2" t="inlineStr">
        <is>
          <t>2026-03-12</t>
        </is>
      </c>
      <c r="B3689" s="3" t="inlineStr">
        <is>
          <t>엠에스씨</t>
        </is>
      </c>
      <c r="C3689" s="2" t="inlineStr">
        <is>
          <t>코스닥</t>
        </is>
      </c>
      <c r="D3689" s="2" t="inlineStr">
        <is>
          <t>009780</t>
        </is>
      </c>
      <c r="E3689" s="3" t="inlineStr">
        <is>
          <t xml:space="preserve">주주총회집중일개최사유신고              </t>
        </is>
      </c>
      <c r="F3689" s="3" t="inlineStr">
        <is>
          <t>엠에스씨</t>
        </is>
      </c>
      <c r="G3689" s="2" t="inlineStr">
        <is>
          <t>20260312900160</t>
        </is>
      </c>
      <c r="H3689" s="8">
        <f>HYPERLINK("https://dart.fss.or.kr/dsaf001/main.do?rcpNo=20260312900160", "공시열람")</f>
        <v/>
      </c>
    </row>
    <row r="3690">
      <c r="A3690" s="2" t="inlineStr">
        <is>
          <t>2026-03-12</t>
        </is>
      </c>
      <c r="B3690" s="3" t="inlineStr">
        <is>
          <t>나래나노텍</t>
        </is>
      </c>
      <c r="C3690" s="2" t="inlineStr">
        <is>
          <t>코스닥</t>
        </is>
      </c>
      <c r="D3690" s="2" t="inlineStr">
        <is>
          <t>137080</t>
        </is>
      </c>
      <c r="E3690" s="3" t="inlineStr">
        <is>
          <t>주주총회소집공고</t>
        </is>
      </c>
      <c r="F3690" s="3" t="inlineStr">
        <is>
          <t>나래나노텍</t>
        </is>
      </c>
      <c r="G3690" s="2" t="inlineStr">
        <is>
          <t>20260312000175</t>
        </is>
      </c>
      <c r="H3690" s="8">
        <f>HYPERLINK("https://dart.fss.or.kr/dsaf001/main.do?rcpNo=20260312000175", "공시열람")</f>
        <v/>
      </c>
    </row>
    <row r="3691">
      <c r="A3691" s="2" t="inlineStr">
        <is>
          <t>2026-03-12</t>
        </is>
      </c>
      <c r="B3691" s="3" t="inlineStr">
        <is>
          <t>한국정보공학</t>
        </is>
      </c>
      <c r="C3691" s="2" t="inlineStr">
        <is>
          <t>코스닥</t>
        </is>
      </c>
      <c r="D3691" s="2" t="inlineStr">
        <is>
          <t>039740</t>
        </is>
      </c>
      <c r="E3691" s="3" t="inlineStr">
        <is>
          <t xml:space="preserve">주주총회집중일개최사유신고              </t>
        </is>
      </c>
      <c r="F3691" s="3" t="inlineStr">
        <is>
          <t>한국정보공학</t>
        </is>
      </c>
      <c r="G3691" s="2" t="inlineStr">
        <is>
          <t>20260312900182</t>
        </is>
      </c>
      <c r="H3691" s="8">
        <f>HYPERLINK("https://dart.fss.or.kr/dsaf001/main.do?rcpNo=20260312900182", "공시열람")</f>
        <v/>
      </c>
    </row>
    <row r="3692">
      <c r="A3692" s="2" t="inlineStr">
        <is>
          <t>2026-03-12</t>
        </is>
      </c>
      <c r="B3692" s="3" t="inlineStr">
        <is>
          <t>대덕</t>
        </is>
      </c>
      <c r="C3692" s="2" t="inlineStr">
        <is>
          <t>코스피</t>
        </is>
      </c>
      <c r="D3692" s="2" t="inlineStr">
        <is>
          <t>008060</t>
        </is>
      </c>
      <c r="E3692" s="3" t="inlineStr">
        <is>
          <t>주주총회소집공고</t>
        </is>
      </c>
      <c r="F3692" s="3" t="inlineStr">
        <is>
          <t>대덕</t>
        </is>
      </c>
      <c r="G3692" s="2" t="inlineStr">
        <is>
          <t>20260312000170</t>
        </is>
      </c>
      <c r="H3692" s="8">
        <f>HYPERLINK("https://dart.fss.or.kr/dsaf001/main.do?rcpNo=20260312000170", "공시열람")</f>
        <v/>
      </c>
    </row>
    <row r="3693">
      <c r="A3693" s="2" t="inlineStr">
        <is>
          <t>2026-03-12</t>
        </is>
      </c>
      <c r="B3693" s="3" t="inlineStr">
        <is>
          <t>마이크로투나노</t>
        </is>
      </c>
      <c r="C3693" s="2" t="inlineStr">
        <is>
          <t>코스닥</t>
        </is>
      </c>
      <c r="D3693" s="2" t="inlineStr">
        <is>
          <t>424980</t>
        </is>
      </c>
      <c r="E3693" s="3" t="inlineStr">
        <is>
          <t xml:space="preserve">주주총회집중일개최사유신고              </t>
        </is>
      </c>
      <c r="F3693" s="3" t="inlineStr">
        <is>
          <t>마이크로투나노</t>
        </is>
      </c>
      <c r="G3693" s="2" t="inlineStr">
        <is>
          <t>20260312900169</t>
        </is>
      </c>
      <c r="H3693" s="8">
        <f>HYPERLINK("https://dart.fss.or.kr/dsaf001/main.do?rcpNo=20260312900169", "공시열람")</f>
        <v/>
      </c>
    </row>
    <row r="3694">
      <c r="A3694" s="2" t="inlineStr">
        <is>
          <t>2026-03-12</t>
        </is>
      </c>
      <c r="B3694" s="3" t="inlineStr">
        <is>
          <t>마이크로투나노</t>
        </is>
      </c>
      <c r="C3694" s="2" t="inlineStr">
        <is>
          <t>코스닥</t>
        </is>
      </c>
      <c r="D3694" s="2" t="inlineStr">
        <is>
          <t>424980</t>
        </is>
      </c>
      <c r="E3694" s="3" t="inlineStr">
        <is>
          <t xml:space="preserve">주주총회소집결의              </t>
        </is>
      </c>
      <c r="F3694" s="3" t="inlineStr">
        <is>
          <t>마이크로투나노</t>
        </is>
      </c>
      <c r="G3694" s="2" t="inlineStr">
        <is>
          <t>20260312900166</t>
        </is>
      </c>
      <c r="H3694" s="8">
        <f>HYPERLINK("https://dart.fss.or.kr/dsaf001/main.do?rcpNo=20260312900166", "공시열람")</f>
        <v/>
      </c>
    </row>
    <row r="3695">
      <c r="A3695" s="2" t="inlineStr">
        <is>
          <t>2026-03-12</t>
        </is>
      </c>
      <c r="B3695" s="3" t="inlineStr">
        <is>
          <t>유니퀘스트</t>
        </is>
      </c>
      <c r="C3695" s="2" t="inlineStr">
        <is>
          <t>코스피</t>
        </is>
      </c>
      <c r="D3695" s="2" t="inlineStr">
        <is>
          <t>077500</t>
        </is>
      </c>
      <c r="E3695" s="3" t="inlineStr">
        <is>
          <t>주주총회소집공고</t>
        </is>
      </c>
      <c r="F3695" s="3" t="inlineStr">
        <is>
          <t>유니퀘스트</t>
        </is>
      </c>
      <c r="G3695" s="2" t="inlineStr">
        <is>
          <t>20260312000164</t>
        </is>
      </c>
      <c r="H3695" s="8">
        <f>HYPERLINK("https://dart.fss.or.kr/dsaf001/main.do?rcpNo=20260312000164", "공시열람")</f>
        <v/>
      </c>
    </row>
    <row r="3696">
      <c r="A3696" s="2" t="inlineStr">
        <is>
          <t>2026-03-12</t>
        </is>
      </c>
      <c r="B3696" s="3" t="inlineStr">
        <is>
          <t>인터로이드</t>
        </is>
      </c>
      <c r="C3696" s="2" t="inlineStr">
        <is>
          <t>코넥스</t>
        </is>
      </c>
      <c r="D3696" s="2" t="inlineStr">
        <is>
          <t>311960</t>
        </is>
      </c>
      <c r="E3696" s="3" t="inlineStr">
        <is>
          <t>[기재정정]주주총회소집공고</t>
        </is>
      </c>
      <c r="F3696" s="3" t="inlineStr">
        <is>
          <t>인터로이드</t>
        </is>
      </c>
      <c r="G3696" s="2" t="inlineStr">
        <is>
          <t>20260312000158</t>
        </is>
      </c>
      <c r="H3696" s="8">
        <f>HYPERLINK("https://dart.fss.or.kr/dsaf001/main.do?rcpNo=20260312000158", "공시열람")</f>
        <v/>
      </c>
    </row>
    <row r="3697">
      <c r="A3697" s="2" t="inlineStr">
        <is>
          <t>2026-03-12 (정정: 2026-03-20)</t>
        </is>
      </c>
      <c r="B3697" s="3" t="inlineStr">
        <is>
          <t>헥토파이낸셜</t>
        </is>
      </c>
      <c r="C3697" s="2" t="inlineStr">
        <is>
          <t>코스닥</t>
        </is>
      </c>
      <c r="D3697" s="2" t="inlineStr">
        <is>
          <t>234340</t>
        </is>
      </c>
      <c r="E3697" s="3" t="inlineStr">
        <is>
          <t>주주총회소집공고 (정정: 20260320)</t>
        </is>
      </c>
      <c r="F3697" s="3" t="inlineStr">
        <is>
          <t>헥토파이낸셜</t>
        </is>
      </c>
      <c r="G3697" s="2" t="inlineStr">
        <is>
          <t>20260320001023</t>
        </is>
      </c>
      <c r="H3697" s="8">
        <f>HYPERLINK("https://dart.fss.or.kr/dsaf001/main.do?rcpNo=20260320001023", "공시열람")</f>
        <v/>
      </c>
    </row>
    <row r="3698">
      <c r="A3698" s="2" t="inlineStr">
        <is>
          <t>2026-03-12</t>
        </is>
      </c>
      <c r="B3698" s="3" t="inlineStr">
        <is>
          <t>이노테나</t>
        </is>
      </c>
      <c r="C3698" s="2" t="inlineStr">
        <is>
          <t>코스닥</t>
        </is>
      </c>
      <c r="D3698" s="2" t="inlineStr">
        <is>
          <t>333050</t>
        </is>
      </c>
      <c r="E3698" s="3" t="inlineStr">
        <is>
          <t>주주총회소집공고</t>
        </is>
      </c>
      <c r="F3698" s="3" t="inlineStr">
        <is>
          <t>이노테나</t>
        </is>
      </c>
      <c r="G3698" s="2" t="inlineStr">
        <is>
          <t>20260312000150</t>
        </is>
      </c>
      <c r="H3698" s="8">
        <f>HYPERLINK("https://dart.fss.or.kr/dsaf001/main.do?rcpNo=20260312000150", "공시열람")</f>
        <v/>
      </c>
    </row>
    <row r="3699">
      <c r="A3699" s="2" t="inlineStr">
        <is>
          <t>2026-03-12</t>
        </is>
      </c>
      <c r="B3699" s="3" t="inlineStr">
        <is>
          <t>HJ중공업</t>
        </is>
      </c>
      <c r="C3699" s="2" t="inlineStr">
        <is>
          <t>코스피</t>
        </is>
      </c>
      <c r="D3699" s="2" t="inlineStr">
        <is>
          <t>097230</t>
        </is>
      </c>
      <c r="E3699" s="3" t="inlineStr">
        <is>
          <t>주주총회소집공고</t>
        </is>
      </c>
      <c r="F3699" s="3" t="inlineStr">
        <is>
          <t>HJ중공업</t>
        </is>
      </c>
      <c r="G3699" s="2" t="inlineStr">
        <is>
          <t>20260312000143</t>
        </is>
      </c>
      <c r="H3699" s="8">
        <f>HYPERLINK("https://dart.fss.or.kr/dsaf001/main.do?rcpNo=20260312000143", "공시열람")</f>
        <v/>
      </c>
    </row>
    <row r="3700">
      <c r="A3700" s="2" t="inlineStr">
        <is>
          <t>2026-03-12</t>
        </is>
      </c>
      <c r="B3700" s="3" t="inlineStr">
        <is>
          <t>한국정보공학</t>
        </is>
      </c>
      <c r="C3700" s="2" t="inlineStr">
        <is>
          <t>코스닥</t>
        </is>
      </c>
      <c r="D3700" s="2" t="inlineStr">
        <is>
          <t>039740</t>
        </is>
      </c>
      <c r="E3700" s="3" t="inlineStr">
        <is>
          <t xml:space="preserve">주주총회소집결의              </t>
        </is>
      </c>
      <c r="F3700" s="3" t="inlineStr">
        <is>
          <t>한국정보공학</t>
        </is>
      </c>
      <c r="G3700" s="2" t="inlineStr">
        <is>
          <t>20260312900146</t>
        </is>
      </c>
      <c r="H3700" s="8">
        <f>HYPERLINK("https://dart.fss.or.kr/dsaf001/main.do?rcpNo=20260312900146", "공시열람")</f>
        <v/>
      </c>
    </row>
    <row r="3701">
      <c r="A3701" s="2" t="inlineStr">
        <is>
          <t>2026-03-12</t>
        </is>
      </c>
      <c r="B3701" s="3" t="inlineStr">
        <is>
          <t>툴젠</t>
        </is>
      </c>
      <c r="C3701" s="2" t="inlineStr">
        <is>
          <t>코스닥</t>
        </is>
      </c>
      <c r="D3701" s="2" t="inlineStr">
        <is>
          <t>199800</t>
        </is>
      </c>
      <c r="E3701" s="3" t="inlineStr">
        <is>
          <t>주주총회소집공고</t>
        </is>
      </c>
      <c r="F3701" s="3" t="inlineStr">
        <is>
          <t>툴젠</t>
        </is>
      </c>
      <c r="G3701" s="2" t="inlineStr">
        <is>
          <t>20260312000138</t>
        </is>
      </c>
      <c r="H3701" s="8">
        <f>HYPERLINK("https://dart.fss.or.kr/dsaf001/main.do?rcpNo=20260312000138", "공시열람")</f>
        <v/>
      </c>
    </row>
    <row r="3702">
      <c r="A3702" s="2" t="inlineStr">
        <is>
          <t>2026-03-12</t>
        </is>
      </c>
      <c r="B3702" s="3" t="inlineStr">
        <is>
          <t>보라티알</t>
        </is>
      </c>
      <c r="C3702" s="2" t="inlineStr">
        <is>
          <t>코스닥</t>
        </is>
      </c>
      <c r="D3702" s="2" t="inlineStr">
        <is>
          <t>250000</t>
        </is>
      </c>
      <c r="E3702" s="3" t="inlineStr">
        <is>
          <t>주주총회소집공고</t>
        </is>
      </c>
      <c r="F3702" s="3" t="inlineStr">
        <is>
          <t>보라티알</t>
        </is>
      </c>
      <c r="G3702" s="2" t="inlineStr">
        <is>
          <t>20260312000135</t>
        </is>
      </c>
      <c r="H3702" s="8">
        <f>HYPERLINK("https://dart.fss.or.kr/dsaf001/main.do?rcpNo=20260312000135", "공시열람")</f>
        <v/>
      </c>
    </row>
    <row r="3703">
      <c r="A3703" s="2" t="inlineStr">
        <is>
          <t>2026-03-12</t>
        </is>
      </c>
      <c r="B3703" s="3" t="inlineStr">
        <is>
          <t>삼화전자공업</t>
        </is>
      </c>
      <c r="C3703" s="2" t="inlineStr">
        <is>
          <t>코스피</t>
        </is>
      </c>
      <c r="D3703" s="2" t="inlineStr">
        <is>
          <t>011230</t>
        </is>
      </c>
      <c r="E3703" s="3" t="inlineStr">
        <is>
          <t xml:space="preserve">주주총회집중일개최사유신고              </t>
        </is>
      </c>
      <c r="F3703" s="3" t="inlineStr">
        <is>
          <t>삼화전자공업</t>
        </is>
      </c>
      <c r="G3703" s="2" t="inlineStr">
        <is>
          <t>20260312800153</t>
        </is>
      </c>
      <c r="H3703" s="8">
        <f>HYPERLINK("https://dart.fss.or.kr/dsaf001/main.do?rcpNo=20260312800153", "공시열람")</f>
        <v/>
      </c>
    </row>
    <row r="3704">
      <c r="A3704" s="2" t="inlineStr">
        <is>
          <t>2026-03-12</t>
        </is>
      </c>
      <c r="B3704" s="3" t="inlineStr">
        <is>
          <t>서울식품공업</t>
        </is>
      </c>
      <c r="C3704" s="2" t="inlineStr">
        <is>
          <t>코스피</t>
        </is>
      </c>
      <c r="D3704" s="2" t="inlineStr">
        <is>
          <t>004410</t>
        </is>
      </c>
      <c r="E3704" s="3" t="inlineStr">
        <is>
          <t>주주총회소집공고</t>
        </is>
      </c>
      <c r="F3704" s="3" t="inlineStr">
        <is>
          <t>서울식품공업</t>
        </is>
      </c>
      <c r="G3704" s="2" t="inlineStr">
        <is>
          <t>20260312000126</t>
        </is>
      </c>
      <c r="H3704" s="8">
        <f>HYPERLINK("https://dart.fss.or.kr/dsaf001/main.do?rcpNo=20260312000126", "공시열람")</f>
        <v/>
      </c>
    </row>
    <row r="3705">
      <c r="A3705" s="2" t="inlineStr">
        <is>
          <t>2026-03-12</t>
        </is>
      </c>
      <c r="B3705" s="3" t="inlineStr">
        <is>
          <t>티비씨</t>
        </is>
      </c>
      <c r="C3705" s="2" t="inlineStr">
        <is>
          <t>코스닥</t>
        </is>
      </c>
      <c r="D3705" s="2" t="inlineStr">
        <is>
          <t>033830</t>
        </is>
      </c>
      <c r="E3705" s="3" t="inlineStr">
        <is>
          <t>주주총회소집공고</t>
        </is>
      </c>
      <c r="F3705" s="3" t="inlineStr">
        <is>
          <t>티비씨</t>
        </is>
      </c>
      <c r="G3705" s="2" t="inlineStr">
        <is>
          <t>20260312000118</t>
        </is>
      </c>
      <c r="H3705" s="8">
        <f>HYPERLINK("https://dart.fss.or.kr/dsaf001/main.do?rcpNo=20260312000118", "공시열람")</f>
        <v/>
      </c>
    </row>
    <row r="3706">
      <c r="A3706" s="2" t="inlineStr">
        <is>
          <t>2026-03-12</t>
        </is>
      </c>
      <c r="B3706" s="3" t="inlineStr">
        <is>
          <t>피앤에스로보틱스</t>
        </is>
      </c>
      <c r="C3706" s="2" t="inlineStr">
        <is>
          <t>코스닥</t>
        </is>
      </c>
      <c r="D3706" s="2" t="inlineStr">
        <is>
          <t>460940</t>
        </is>
      </c>
      <c r="E3706" s="3" t="inlineStr">
        <is>
          <t>주주총회소집공고</t>
        </is>
      </c>
      <c r="F3706" s="3" t="inlineStr">
        <is>
          <t>피앤에스로보틱스</t>
        </is>
      </c>
      <c r="G3706" s="2" t="inlineStr">
        <is>
          <t>20260312000117</t>
        </is>
      </c>
      <c r="H3706" s="8">
        <f>HYPERLINK("https://dart.fss.or.kr/dsaf001/main.do?rcpNo=20260312000117", "공시열람")</f>
        <v/>
      </c>
    </row>
    <row r="3707">
      <c r="A3707" s="2" t="inlineStr">
        <is>
          <t>2026-03-12</t>
        </is>
      </c>
      <c r="B3707" s="3" t="inlineStr">
        <is>
          <t>삼화전자공업</t>
        </is>
      </c>
      <c r="C3707" s="2" t="inlineStr">
        <is>
          <t>코스피</t>
        </is>
      </c>
      <c r="D3707" s="2" t="inlineStr">
        <is>
          <t>011230</t>
        </is>
      </c>
      <c r="E3707" s="3" t="inlineStr">
        <is>
          <t>주주총회소집공고</t>
        </is>
      </c>
      <c r="F3707" s="3" t="inlineStr">
        <is>
          <t>삼화전자공업</t>
        </is>
      </c>
      <c r="G3707" s="2" t="inlineStr">
        <is>
          <t>20260312000114</t>
        </is>
      </c>
      <c r="H3707" s="8">
        <f>HYPERLINK("https://dart.fss.or.kr/dsaf001/main.do?rcpNo=20260312000114", "공시열람")</f>
        <v/>
      </c>
    </row>
    <row r="3708">
      <c r="A3708" s="2" t="inlineStr">
        <is>
          <t>2026-03-12</t>
        </is>
      </c>
      <c r="B3708" s="3" t="inlineStr">
        <is>
          <t>서울식품공업</t>
        </is>
      </c>
      <c r="C3708" s="2" t="inlineStr">
        <is>
          <t>코스피</t>
        </is>
      </c>
      <c r="D3708" s="2" t="inlineStr">
        <is>
          <t>004410</t>
        </is>
      </c>
      <c r="E3708" s="3" t="inlineStr">
        <is>
          <t xml:space="preserve">주주총회집중일개최사유신고              </t>
        </is>
      </c>
      <c r="F3708" s="3" t="inlineStr">
        <is>
          <t>서울식품공업</t>
        </is>
      </c>
      <c r="G3708" s="2" t="inlineStr">
        <is>
          <t>20260312800118</t>
        </is>
      </c>
      <c r="H3708" s="8">
        <f>HYPERLINK("https://dart.fss.or.kr/dsaf001/main.do?rcpNo=20260312800118", "공시열람")</f>
        <v/>
      </c>
    </row>
    <row r="3709">
      <c r="A3709" s="2" t="inlineStr">
        <is>
          <t>2026-03-12 (정정: 2026-03-12)</t>
        </is>
      </c>
      <c r="B3709" s="3" t="inlineStr">
        <is>
          <t>서울식품공업</t>
        </is>
      </c>
      <c r="C3709" s="2" t="inlineStr">
        <is>
          <t>코스피</t>
        </is>
      </c>
      <c r="D3709" s="2" t="inlineStr">
        <is>
          <t>004410</t>
        </is>
      </c>
      <c r="E3709" s="3" t="inlineStr">
        <is>
          <t>주주총회소집결의               (정정: 20260312)</t>
        </is>
      </c>
      <c r="F3709" s="3" t="inlineStr">
        <is>
          <t>서울식품공업</t>
        </is>
      </c>
      <c r="G3709" s="2" t="inlineStr">
        <is>
          <t>20260312800075</t>
        </is>
      </c>
      <c r="H3709" s="8">
        <f>HYPERLINK("https://dart.fss.or.kr/dsaf001/main.do?rcpNo=20260312800075", "공시열람")</f>
        <v/>
      </c>
    </row>
    <row r="3710">
      <c r="A3710" s="2" t="inlineStr">
        <is>
          <t>2026-03-12</t>
        </is>
      </c>
      <c r="B3710" s="3" t="inlineStr">
        <is>
          <t>동우팜투테이블</t>
        </is>
      </c>
      <c r="C3710" s="2" t="inlineStr">
        <is>
          <t>코스닥</t>
        </is>
      </c>
      <c r="D3710" s="2" t="inlineStr">
        <is>
          <t>088910</t>
        </is>
      </c>
      <c r="E3710" s="3" t="inlineStr">
        <is>
          <t xml:space="preserve">주주총회집중일개최사유신고              </t>
        </is>
      </c>
      <c r="F3710" s="3" t="inlineStr">
        <is>
          <t>동우팜투테이블</t>
        </is>
      </c>
      <c r="G3710" s="2" t="inlineStr">
        <is>
          <t>20260312900133</t>
        </is>
      </c>
      <c r="H3710" s="8">
        <f>HYPERLINK("https://dart.fss.or.kr/dsaf001/main.do?rcpNo=20260312900133", "공시열람")</f>
        <v/>
      </c>
    </row>
    <row r="3711">
      <c r="A3711" s="2" t="inlineStr">
        <is>
          <t>2026-03-12</t>
        </is>
      </c>
      <c r="B3711" s="3" t="inlineStr">
        <is>
          <t>민테크</t>
        </is>
      </c>
      <c r="C3711" s="2" t="inlineStr">
        <is>
          <t>코스닥</t>
        </is>
      </c>
      <c r="D3711" s="2" t="inlineStr">
        <is>
          <t>452200</t>
        </is>
      </c>
      <c r="E3711" s="3" t="inlineStr">
        <is>
          <t xml:space="preserve">주주총회집중일개최사유신고              </t>
        </is>
      </c>
      <c r="F3711" s="3" t="inlineStr">
        <is>
          <t>민테크</t>
        </is>
      </c>
      <c r="G3711" s="2" t="inlineStr">
        <is>
          <t>20260312900135</t>
        </is>
      </c>
      <c r="H3711" s="8">
        <f>HYPERLINK("https://dart.fss.or.kr/dsaf001/main.do?rcpNo=20260312900135", "공시열람")</f>
        <v/>
      </c>
    </row>
    <row r="3712">
      <c r="A3712" s="2" t="inlineStr">
        <is>
          <t>2026-03-12</t>
        </is>
      </c>
      <c r="B3712" s="3" t="inlineStr">
        <is>
          <t>펨토바이오메드</t>
        </is>
      </c>
      <c r="C3712" s="2" t="inlineStr">
        <is>
          <t>코넥스</t>
        </is>
      </c>
      <c r="D3712" s="2" t="inlineStr">
        <is>
          <t>327610</t>
        </is>
      </c>
      <c r="E3712" s="3" t="inlineStr">
        <is>
          <t>주주총회소집공고</t>
        </is>
      </c>
      <c r="F3712" s="3" t="inlineStr">
        <is>
          <t>펨토바이오메드</t>
        </is>
      </c>
      <c r="G3712" s="2" t="inlineStr">
        <is>
          <t>20260312000103</t>
        </is>
      </c>
      <c r="H3712" s="8">
        <f>HYPERLINK("https://dart.fss.or.kr/dsaf001/main.do?rcpNo=20260312000103", "공시열람")</f>
        <v/>
      </c>
    </row>
    <row r="3713">
      <c r="A3713" s="2" t="inlineStr">
        <is>
          <t>2026-03-12</t>
        </is>
      </c>
      <c r="B3713" s="3" t="inlineStr">
        <is>
          <t>성우하이텍</t>
        </is>
      </c>
      <c r="C3713" s="2" t="inlineStr">
        <is>
          <t>코스닥</t>
        </is>
      </c>
      <c r="D3713" s="2" t="inlineStr">
        <is>
          <t>015750</t>
        </is>
      </c>
      <c r="E3713" s="3" t="inlineStr">
        <is>
          <t>주주총회소집공고</t>
        </is>
      </c>
      <c r="F3713" s="3" t="inlineStr">
        <is>
          <t>성우하이텍</t>
        </is>
      </c>
      <c r="G3713" s="2" t="inlineStr">
        <is>
          <t>20260312000099</t>
        </is>
      </c>
      <c r="H3713" s="8">
        <f>HYPERLINK("https://dart.fss.or.kr/dsaf001/main.do?rcpNo=20260312000099", "공시열람")</f>
        <v/>
      </c>
    </row>
    <row r="3714">
      <c r="A3714" s="2" t="inlineStr">
        <is>
          <t>2026-03-12</t>
        </is>
      </c>
      <c r="B3714" s="3" t="inlineStr">
        <is>
          <t>동우팜투테이블</t>
        </is>
      </c>
      <c r="C3714" s="2" t="inlineStr">
        <is>
          <t>코스닥</t>
        </is>
      </c>
      <c r="D3714" s="2" t="inlineStr">
        <is>
          <t>088910</t>
        </is>
      </c>
      <c r="E3714" s="3" t="inlineStr">
        <is>
          <t>주주총회소집공고</t>
        </is>
      </c>
      <c r="F3714" s="3" t="inlineStr">
        <is>
          <t>동우팜투테이블</t>
        </is>
      </c>
      <c r="G3714" s="2" t="inlineStr">
        <is>
          <t>20260312000097</t>
        </is>
      </c>
      <c r="H3714" s="8">
        <f>HYPERLINK("https://dart.fss.or.kr/dsaf001/main.do?rcpNo=20260312000097", "공시열람")</f>
        <v/>
      </c>
    </row>
    <row r="3715">
      <c r="A3715" s="2" t="inlineStr">
        <is>
          <t>2026-03-12</t>
        </is>
      </c>
      <c r="B3715" s="3" t="inlineStr">
        <is>
          <t>삼화전기</t>
        </is>
      </c>
      <c r="C3715" s="2" t="inlineStr">
        <is>
          <t>코스피</t>
        </is>
      </c>
      <c r="D3715" s="2" t="inlineStr">
        <is>
          <t>009470</t>
        </is>
      </c>
      <c r="E3715" s="3" t="inlineStr">
        <is>
          <t>주주총회소집공고</t>
        </is>
      </c>
      <c r="F3715" s="3" t="inlineStr">
        <is>
          <t>삼화전기</t>
        </is>
      </c>
      <c r="G3715" s="2" t="inlineStr">
        <is>
          <t>20260312000093</t>
        </is>
      </c>
      <c r="H3715" s="8">
        <f>HYPERLINK("https://dart.fss.or.kr/dsaf001/main.do?rcpNo=20260312000093", "공시열람")</f>
        <v/>
      </c>
    </row>
    <row r="3716">
      <c r="A3716" s="2" t="inlineStr">
        <is>
          <t>2026-03-12</t>
        </is>
      </c>
      <c r="B3716" s="3" t="inlineStr">
        <is>
          <t>NE능률</t>
        </is>
      </c>
      <c r="C3716" s="2" t="inlineStr">
        <is>
          <t>코스닥</t>
        </is>
      </c>
      <c r="D3716" s="2" t="inlineStr">
        <is>
          <t>053290</t>
        </is>
      </c>
      <c r="E3716" s="3" t="inlineStr">
        <is>
          <t>주주총회소집공고</t>
        </is>
      </c>
      <c r="F3716" s="3" t="inlineStr">
        <is>
          <t>NE능률</t>
        </is>
      </c>
      <c r="G3716" s="2" t="inlineStr">
        <is>
          <t>20260312000092</t>
        </is>
      </c>
      <c r="H3716" s="8">
        <f>HYPERLINK("https://dart.fss.or.kr/dsaf001/main.do?rcpNo=20260312000092", "공시열람")</f>
        <v/>
      </c>
    </row>
    <row r="3717">
      <c r="A3717" s="2" t="inlineStr">
        <is>
          <t>2026-03-12</t>
        </is>
      </c>
      <c r="B3717" s="3" t="inlineStr">
        <is>
          <t>한국무브넥스</t>
        </is>
      </c>
      <c r="C3717" s="2" t="inlineStr">
        <is>
          <t>코스피</t>
        </is>
      </c>
      <c r="D3717" s="2" t="inlineStr">
        <is>
          <t>010100</t>
        </is>
      </c>
      <c r="E3717" s="3" t="inlineStr">
        <is>
          <t>주주총회소집공고</t>
        </is>
      </c>
      <c r="F3717" s="3" t="inlineStr">
        <is>
          <t>한국무브넥스</t>
        </is>
      </c>
      <c r="G3717" s="2" t="inlineStr">
        <is>
          <t>20260312000088</t>
        </is>
      </c>
      <c r="H3717" s="8">
        <f>HYPERLINK("https://dart.fss.or.kr/dsaf001/main.do?rcpNo=20260312000088", "공시열람")</f>
        <v/>
      </c>
    </row>
    <row r="3718">
      <c r="A3718" s="2" t="inlineStr">
        <is>
          <t>2026-03-12</t>
        </is>
      </c>
      <c r="B3718" s="3" t="inlineStr">
        <is>
          <t>탈로스</t>
        </is>
      </c>
      <c r="C3718" s="2" t="inlineStr">
        <is>
          <t>코넥스</t>
        </is>
      </c>
      <c r="D3718" s="2" t="inlineStr">
        <is>
          <t>434190</t>
        </is>
      </c>
      <c r="E3718" s="3" t="inlineStr">
        <is>
          <t xml:space="preserve">주주총회소집결의              </t>
        </is>
      </c>
      <c r="F3718" s="3" t="inlineStr">
        <is>
          <t>탈로스</t>
        </is>
      </c>
      <c r="G3718" s="2" t="inlineStr">
        <is>
          <t>20260312600111</t>
        </is>
      </c>
      <c r="H3718" s="8">
        <f>HYPERLINK("https://dart.fss.or.kr/dsaf001/main.do?rcpNo=20260312600111", "공시열람")</f>
        <v/>
      </c>
    </row>
    <row r="3719">
      <c r="A3719" s="2" t="inlineStr">
        <is>
          <t>2026-03-12</t>
        </is>
      </c>
      <c r="B3719" s="3" t="inlineStr">
        <is>
          <t>한국주철관공업</t>
        </is>
      </c>
      <c r="C3719" s="2" t="inlineStr">
        <is>
          <t>코스피</t>
        </is>
      </c>
      <c r="D3719" s="2" t="inlineStr">
        <is>
          <t>000970</t>
        </is>
      </c>
      <c r="E3719" s="3" t="inlineStr">
        <is>
          <t xml:space="preserve">주주총회집중일개최사유신고              </t>
        </is>
      </c>
      <c r="F3719" s="3" t="inlineStr">
        <is>
          <t>한국주철관공업</t>
        </is>
      </c>
      <c r="G3719" s="2" t="inlineStr">
        <is>
          <t>20260312800104</t>
        </is>
      </c>
      <c r="H3719" s="8">
        <f>HYPERLINK("https://dart.fss.or.kr/dsaf001/main.do?rcpNo=20260312800104", "공시열람")</f>
        <v/>
      </c>
    </row>
    <row r="3720">
      <c r="A3720" s="2" t="inlineStr">
        <is>
          <t>2026-03-12</t>
        </is>
      </c>
      <c r="B3720" s="3" t="inlineStr">
        <is>
          <t>앱코</t>
        </is>
      </c>
      <c r="C3720" s="2" t="inlineStr">
        <is>
          <t>코스닥</t>
        </is>
      </c>
      <c r="D3720" s="2" t="inlineStr">
        <is>
          <t>129890</t>
        </is>
      </c>
      <c r="E3720" s="3" t="inlineStr">
        <is>
          <t>주주총회소집공고</t>
        </is>
      </c>
      <c r="F3720" s="3" t="inlineStr">
        <is>
          <t>앱코</t>
        </is>
      </c>
      <c r="G3720" s="2" t="inlineStr">
        <is>
          <t>20260312000069</t>
        </is>
      </c>
      <c r="H3720" s="8">
        <f>HYPERLINK("https://dart.fss.or.kr/dsaf001/main.do?rcpNo=20260312000069", "공시열람")</f>
        <v/>
      </c>
    </row>
    <row r="3721">
      <c r="A3721" s="2" t="inlineStr">
        <is>
          <t>2026-03-12</t>
        </is>
      </c>
      <c r="B3721" s="3" t="inlineStr">
        <is>
          <t>고려제강</t>
        </is>
      </c>
      <c r="C3721" s="2" t="inlineStr">
        <is>
          <t>코스피</t>
        </is>
      </c>
      <c r="D3721" s="2" t="inlineStr">
        <is>
          <t>002240</t>
        </is>
      </c>
      <c r="E3721" s="3" t="inlineStr">
        <is>
          <t xml:space="preserve">주주총회집중일개최사유신고              </t>
        </is>
      </c>
      <c r="F3721" s="3" t="inlineStr">
        <is>
          <t>고려제강</t>
        </is>
      </c>
      <c r="G3721" s="2" t="inlineStr">
        <is>
          <t>20260312800082</t>
        </is>
      </c>
      <c r="H3721" s="8">
        <f>HYPERLINK("https://dart.fss.or.kr/dsaf001/main.do?rcpNo=20260312800082", "공시열람")</f>
        <v/>
      </c>
    </row>
    <row r="3722">
      <c r="A3722" s="2" t="inlineStr">
        <is>
          <t>2026-03-12</t>
        </is>
      </c>
      <c r="B3722" s="3" t="inlineStr">
        <is>
          <t>한국주철관공업</t>
        </is>
      </c>
      <c r="C3722" s="2" t="inlineStr">
        <is>
          <t>코스피</t>
        </is>
      </c>
      <c r="D3722" s="2" t="inlineStr">
        <is>
          <t>000970</t>
        </is>
      </c>
      <c r="E3722" s="3" t="inlineStr">
        <is>
          <t>주주총회소집공고</t>
        </is>
      </c>
      <c r="F3722" s="3" t="inlineStr">
        <is>
          <t>한국주철관공업</t>
        </is>
      </c>
      <c r="G3722" s="2" t="inlineStr">
        <is>
          <t>20260312000040</t>
        </is>
      </c>
      <c r="H3722" s="8">
        <f>HYPERLINK("https://dart.fss.or.kr/dsaf001/main.do?rcpNo=20260312000040", "공시열람")</f>
        <v/>
      </c>
    </row>
    <row r="3723">
      <c r="A3723" s="2" t="inlineStr">
        <is>
          <t>2026-03-12</t>
        </is>
      </c>
      <c r="B3723" s="3" t="inlineStr">
        <is>
          <t>알멕</t>
        </is>
      </c>
      <c r="C3723" s="2" t="inlineStr">
        <is>
          <t>코스닥</t>
        </is>
      </c>
      <c r="D3723" s="2" t="inlineStr">
        <is>
          <t>354320</t>
        </is>
      </c>
      <c r="E3723" s="3" t="inlineStr">
        <is>
          <t>[기재정정]주주총회소집공고</t>
        </is>
      </c>
      <c r="F3723" s="3" t="inlineStr">
        <is>
          <t>알멕</t>
        </is>
      </c>
      <c r="G3723" s="2" t="inlineStr">
        <is>
          <t>20260312000016</t>
        </is>
      </c>
      <c r="H3723" s="8">
        <f>HYPERLINK("https://dart.fss.or.kr/dsaf001/main.do?rcpNo=20260312000016", "공시열람")</f>
        <v/>
      </c>
    </row>
    <row r="3724">
      <c r="A3724" s="2" t="inlineStr">
        <is>
          <t>2026-03-12</t>
        </is>
      </c>
      <c r="B3724" s="3" t="inlineStr">
        <is>
          <t>고려제강</t>
        </is>
      </c>
      <c r="C3724" s="2" t="inlineStr">
        <is>
          <t>코스피</t>
        </is>
      </c>
      <c r="D3724" s="2" t="inlineStr">
        <is>
          <t>002240</t>
        </is>
      </c>
      <c r="E3724" s="3" t="inlineStr">
        <is>
          <t>주주총회소집공고</t>
        </is>
      </c>
      <c r="F3724" s="3" t="inlineStr">
        <is>
          <t>고려제강</t>
        </is>
      </c>
      <c r="G3724" s="2" t="inlineStr">
        <is>
          <t>20260312000010</t>
        </is>
      </c>
      <c r="H3724" s="8">
        <f>HYPERLINK("https://dart.fss.or.kr/dsaf001/main.do?rcpNo=20260312000010", "공시열람")</f>
        <v/>
      </c>
    </row>
    <row r="3725">
      <c r="A3725" s="2" t="inlineStr">
        <is>
          <t>2026-03-12</t>
        </is>
      </c>
      <c r="B3725" s="3" t="inlineStr">
        <is>
          <t>멤레이비티</t>
        </is>
      </c>
      <c r="C3725" s="2" t="inlineStr">
        <is>
          <t>코스닥</t>
        </is>
      </c>
      <c r="D3725" s="2" t="inlineStr">
        <is>
          <t>072770</t>
        </is>
      </c>
      <c r="E3725" s="3" t="inlineStr">
        <is>
          <t>주주총회소집공고</t>
        </is>
      </c>
      <c r="F3725" s="3" t="inlineStr">
        <is>
          <t>멤레이비티</t>
        </is>
      </c>
      <c r="G3725" s="2" t="inlineStr">
        <is>
          <t>20260311004650</t>
        </is>
      </c>
      <c r="H3725" s="8">
        <f>HYPERLINK("https://dart.fss.or.kr/dsaf001/main.do?rcpNo=20260311004650", "공시열람")</f>
        <v/>
      </c>
    </row>
    <row r="3726">
      <c r="A3726" s="2" t="inlineStr">
        <is>
          <t>2026-03-12</t>
        </is>
      </c>
      <c r="B3726" s="3" t="inlineStr">
        <is>
          <t>비츠로시스</t>
        </is>
      </c>
      <c r="C3726" s="2" t="inlineStr">
        <is>
          <t>코스닥</t>
        </is>
      </c>
      <c r="D3726" s="2" t="inlineStr">
        <is>
          <t>054220</t>
        </is>
      </c>
      <c r="E3726" s="3" t="inlineStr">
        <is>
          <t>주주총회소집공고</t>
        </is>
      </c>
      <c r="F3726" s="3" t="inlineStr">
        <is>
          <t>비츠로시스</t>
        </is>
      </c>
      <c r="G3726" s="2" t="inlineStr">
        <is>
          <t>20260311004661</t>
        </is>
      </c>
      <c r="H3726" s="8">
        <f>HYPERLINK("https://dart.fss.or.kr/dsaf001/main.do?rcpNo=20260311004661", "공시열람")</f>
        <v/>
      </c>
    </row>
    <row r="3727">
      <c r="A3727" s="2" t="inlineStr">
        <is>
          <t>2026-03-12</t>
        </is>
      </c>
      <c r="B3727" s="3" t="inlineStr">
        <is>
          <t>아이엠</t>
        </is>
      </c>
      <c r="C3727" s="2" t="inlineStr">
        <is>
          <t>코스닥</t>
        </is>
      </c>
      <c r="D3727" s="2" t="inlineStr">
        <is>
          <t>101390</t>
        </is>
      </c>
      <c r="E3727" s="3" t="inlineStr">
        <is>
          <t>주주총회소집공고</t>
        </is>
      </c>
      <c r="F3727" s="3" t="inlineStr">
        <is>
          <t>아이엠</t>
        </is>
      </c>
      <c r="G3727" s="2" t="inlineStr">
        <is>
          <t>20260311004659</t>
        </is>
      </c>
      <c r="H3727" s="8">
        <f>HYPERLINK("https://dart.fss.or.kr/dsaf001/main.do?rcpNo=20260311004659", "공시열람")</f>
        <v/>
      </c>
    </row>
    <row r="3728">
      <c r="A3728" s="2" t="inlineStr">
        <is>
          <t>2026-03-12</t>
        </is>
      </c>
      <c r="B3728" s="3" t="inlineStr">
        <is>
          <t>코셈</t>
        </is>
      </c>
      <c r="C3728" s="2" t="inlineStr">
        <is>
          <t>코스닥</t>
        </is>
      </c>
      <c r="D3728" s="2" t="inlineStr">
        <is>
          <t>360350</t>
        </is>
      </c>
      <c r="E3728" s="3" t="inlineStr">
        <is>
          <t>주주총회소집공고</t>
        </is>
      </c>
      <c r="F3728" s="3" t="inlineStr">
        <is>
          <t>코셈</t>
        </is>
      </c>
      <c r="G3728" s="2" t="inlineStr">
        <is>
          <t>20260311004660</t>
        </is>
      </c>
      <c r="H3728" s="8">
        <f>HYPERLINK("https://dart.fss.or.kr/dsaf001/main.do?rcpNo=20260311004660", "공시열람")</f>
        <v/>
      </c>
    </row>
    <row r="3729">
      <c r="A3729" s="2" t="inlineStr">
        <is>
          <t>2026-03-12</t>
        </is>
      </c>
      <c r="B3729" s="3" t="inlineStr">
        <is>
          <t>태광</t>
        </is>
      </c>
      <c r="C3729" s="2" t="inlineStr">
        <is>
          <t>코스닥</t>
        </is>
      </c>
      <c r="D3729" s="2" t="inlineStr">
        <is>
          <t>023160</t>
        </is>
      </c>
      <c r="E3729" s="3" t="inlineStr">
        <is>
          <t>주주총회소집공고</t>
        </is>
      </c>
      <c r="F3729" s="3" t="inlineStr">
        <is>
          <t>태광</t>
        </is>
      </c>
      <c r="G3729" s="2" t="inlineStr">
        <is>
          <t>20260311004656</t>
        </is>
      </c>
      <c r="H3729" s="8">
        <f>HYPERLINK("https://dart.fss.or.kr/dsaf001/main.do?rcpNo=20260311004656", "공시열람")</f>
        <v/>
      </c>
    </row>
    <row r="3730">
      <c r="A3730" s="2" t="inlineStr">
        <is>
          <t>2026-03-13</t>
        </is>
      </c>
      <c r="B3730" s="3" t="inlineStr">
        <is>
          <t>슈피겐코리아</t>
        </is>
      </c>
      <c r="C3730" s="2" t="inlineStr">
        <is>
          <t>코스닥</t>
        </is>
      </c>
      <c r="D3730" s="2" t="inlineStr">
        <is>
          <t>192440</t>
        </is>
      </c>
      <c r="E3730" s="3" t="inlineStr">
        <is>
          <t xml:space="preserve">주주총회집중일개최사유신고              </t>
        </is>
      </c>
      <c r="F3730" s="3" t="inlineStr">
        <is>
          <t>슈피겐코리아</t>
        </is>
      </c>
      <c r="G3730" s="2" t="inlineStr">
        <is>
          <t>20260313902085</t>
        </is>
      </c>
      <c r="H3730" s="8">
        <f>HYPERLINK("https://dart.fss.or.kr/dsaf001/main.do?rcpNo=20260313902085", "공시열람")</f>
        <v/>
      </c>
    </row>
    <row r="3731">
      <c r="A3731" s="2" t="inlineStr">
        <is>
          <t>2026-02-13 (정정: 2026-03-13)</t>
        </is>
      </c>
      <c r="B3731" s="3" t="inlineStr">
        <is>
          <t>삼영엠텍</t>
        </is>
      </c>
      <c r="C3731" s="2" t="inlineStr">
        <is>
          <t>코스닥</t>
        </is>
      </c>
      <c r="D3731" s="2" t="inlineStr">
        <is>
          <t>054540</t>
        </is>
      </c>
      <c r="E3731" s="3" t="inlineStr">
        <is>
          <t xml:space="preserve">[기재정정]주주총회소집결의              </t>
        </is>
      </c>
      <c r="F3731" s="3" t="inlineStr">
        <is>
          <t>삼영엠텍</t>
        </is>
      </c>
      <c r="G3731" s="2" t="inlineStr">
        <is>
          <t>20260313902302</t>
        </is>
      </c>
      <c r="H3731" s="8">
        <f>HYPERLINK("https://dart.fss.or.kr/dsaf001/main.do?rcpNo=20260313902302", "공시열람")</f>
        <v/>
      </c>
    </row>
    <row r="3732">
      <c r="A3732" s="2" t="inlineStr">
        <is>
          <t>2026-03-13</t>
        </is>
      </c>
      <c r="B3732" s="3" t="inlineStr">
        <is>
          <t>슈피겐코리아</t>
        </is>
      </c>
      <c r="C3732" s="2" t="inlineStr">
        <is>
          <t>코스닥</t>
        </is>
      </c>
      <c r="D3732" s="2" t="inlineStr">
        <is>
          <t>192440</t>
        </is>
      </c>
      <c r="E3732" s="3" t="inlineStr">
        <is>
          <t xml:space="preserve">주주총회소집결의              </t>
        </is>
      </c>
      <c r="F3732" s="3" t="inlineStr">
        <is>
          <t>슈피겐코리아</t>
        </is>
      </c>
      <c r="G3732" s="2" t="inlineStr">
        <is>
          <t>20260313902315</t>
        </is>
      </c>
      <c r="H3732" s="8">
        <f>HYPERLINK("https://dart.fss.or.kr/dsaf001/main.do?rcpNo=20260313902315", "공시열람")</f>
        <v/>
      </c>
    </row>
    <row r="3733">
      <c r="A3733" s="2" t="inlineStr">
        <is>
          <t>2026-03-13</t>
        </is>
      </c>
      <c r="B3733" s="3" t="inlineStr">
        <is>
          <t>노머스</t>
        </is>
      </c>
      <c r="C3733" s="2" t="inlineStr">
        <is>
          <t>코스닥</t>
        </is>
      </c>
      <c r="D3733" s="2" t="inlineStr">
        <is>
          <t>473980</t>
        </is>
      </c>
      <c r="E3733" s="3" t="inlineStr">
        <is>
          <t xml:space="preserve">주주총회소집결의              </t>
        </is>
      </c>
      <c r="F3733" s="3" t="inlineStr">
        <is>
          <t>노머스</t>
        </is>
      </c>
      <c r="G3733" s="2" t="inlineStr">
        <is>
          <t>20260313902297</t>
        </is>
      </c>
      <c r="H3733" s="8">
        <f>HYPERLINK("https://dart.fss.or.kr/dsaf001/main.do?rcpNo=20260313902297", "공시열람")</f>
        <v/>
      </c>
    </row>
    <row r="3734">
      <c r="A3734" s="2" t="inlineStr">
        <is>
          <t>2026-03-13 (정정: 2026-03-24)</t>
        </is>
      </c>
      <c r="B3734" s="3" t="inlineStr">
        <is>
          <t>하이로닉</t>
        </is>
      </c>
      <c r="C3734" s="2" t="inlineStr">
        <is>
          <t>코스닥</t>
        </is>
      </c>
      <c r="D3734" s="2" t="inlineStr">
        <is>
          <t>149980</t>
        </is>
      </c>
      <c r="E3734" s="3" t="inlineStr">
        <is>
          <t>주주총회집중일개최사유신고               (정정: 20260320) (정정: 20260324)</t>
        </is>
      </c>
      <c r="F3734" s="3" t="inlineStr">
        <is>
          <t>하이로닉</t>
        </is>
      </c>
      <c r="G3734" s="2" t="inlineStr">
        <is>
          <t>20260324000551</t>
        </is>
      </c>
      <c r="H3734" s="8">
        <f>HYPERLINK("https://dart.fss.or.kr/dsaf001/main.do?rcpNo=20260324000551", "공시열람")</f>
        <v/>
      </c>
    </row>
    <row r="3735">
      <c r="A3735" s="2" t="inlineStr">
        <is>
          <t>2026-03-13</t>
        </is>
      </c>
      <c r="B3735" s="3" t="inlineStr">
        <is>
          <t>하이로닉</t>
        </is>
      </c>
      <c r="C3735" s="2" t="inlineStr">
        <is>
          <t>코스닥</t>
        </is>
      </c>
      <c r="D3735" s="2" t="inlineStr">
        <is>
          <t>149980</t>
        </is>
      </c>
      <c r="E3735" s="3" t="inlineStr">
        <is>
          <t xml:space="preserve">주주총회소집결의              </t>
        </is>
      </c>
      <c r="F3735" s="3" t="inlineStr">
        <is>
          <t>하이로닉</t>
        </is>
      </c>
      <c r="G3735" s="2" t="inlineStr">
        <is>
          <t>20260313902059</t>
        </is>
      </c>
      <c r="H3735" s="8">
        <f>HYPERLINK("https://dart.fss.or.kr/dsaf001/main.do?rcpNo=20260313902059", "공시열람")</f>
        <v/>
      </c>
    </row>
    <row r="3736">
      <c r="A3736" s="2" t="inlineStr">
        <is>
          <t>2026-03-13 (정정: 2026-05-29)</t>
        </is>
      </c>
      <c r="B3736" s="3" t="inlineStr">
        <is>
          <t>블루산업개발</t>
        </is>
      </c>
      <c r="C3736" s="2" t="inlineStr">
        <is>
          <t>코스피</t>
        </is>
      </c>
      <c r="D3736" s="2" t="inlineStr">
        <is>
          <t>006740</t>
        </is>
      </c>
      <c r="E3736" s="3" t="inlineStr">
        <is>
          <t>주주총회집중일개최사유신고               (정정: 20260529)</t>
        </is>
      </c>
      <c r="F3736" s="3" t="inlineStr">
        <is>
          <t>블루산업개발</t>
        </is>
      </c>
      <c r="G3736" s="2" t="inlineStr">
        <is>
          <t>20260529001515</t>
        </is>
      </c>
      <c r="H3736" s="8">
        <f>HYPERLINK("https://dart.fss.or.kr/dsaf001/main.do?rcpNo=20260529001515", "공시열람")</f>
        <v/>
      </c>
    </row>
    <row r="3737">
      <c r="A3737" s="2" t="inlineStr">
        <is>
          <t>2026-03-13</t>
        </is>
      </c>
      <c r="B3737" s="3" t="inlineStr">
        <is>
          <t>블루산업개발</t>
        </is>
      </c>
      <c r="C3737" s="2" t="inlineStr">
        <is>
          <t>코스피</t>
        </is>
      </c>
      <c r="D3737" s="2" t="inlineStr">
        <is>
          <t>006740</t>
        </is>
      </c>
      <c r="E3737" s="3" t="inlineStr">
        <is>
          <t xml:space="preserve">주주총회소집결의              </t>
        </is>
      </c>
      <c r="F3737" s="3" t="inlineStr">
        <is>
          <t>블루산업개발</t>
        </is>
      </c>
      <c r="G3737" s="2" t="inlineStr">
        <is>
          <t>20260313802283</t>
        </is>
      </c>
      <c r="H3737" s="8">
        <f>HYPERLINK("https://dart.fss.or.kr/dsaf001/main.do?rcpNo=20260313802283", "공시열람")</f>
        <v/>
      </c>
    </row>
    <row r="3738">
      <c r="A3738" s="2" t="inlineStr">
        <is>
          <t>2026-03-13</t>
        </is>
      </c>
      <c r="B3738" s="3" t="inlineStr">
        <is>
          <t>블루엠텍</t>
        </is>
      </c>
      <c r="C3738" s="2" t="inlineStr">
        <is>
          <t>코스닥</t>
        </is>
      </c>
      <c r="D3738" s="2" t="inlineStr">
        <is>
          <t>439580</t>
        </is>
      </c>
      <c r="E3738" s="3" t="inlineStr">
        <is>
          <t xml:space="preserve">주주총회소집결의              </t>
        </is>
      </c>
      <c r="F3738" s="3" t="inlineStr">
        <is>
          <t>블루엠텍</t>
        </is>
      </c>
      <c r="G3738" s="2" t="inlineStr">
        <is>
          <t>20260313902285</t>
        </is>
      </c>
      <c r="H3738" s="8">
        <f>HYPERLINK("https://dart.fss.or.kr/dsaf001/main.do?rcpNo=20260313902285", "공시열람")</f>
        <v/>
      </c>
    </row>
    <row r="3739">
      <c r="A3739" s="2" t="inlineStr">
        <is>
          <t>2026-03-13</t>
        </is>
      </c>
      <c r="B3739" s="3" t="inlineStr">
        <is>
          <t>아톤</t>
        </is>
      </c>
      <c r="C3739" s="2" t="inlineStr">
        <is>
          <t>코스닥</t>
        </is>
      </c>
      <c r="D3739" s="2" t="inlineStr">
        <is>
          <t>158430</t>
        </is>
      </c>
      <c r="E3739" s="3" t="inlineStr">
        <is>
          <t xml:space="preserve">주주총회집중일개최사유신고              </t>
        </is>
      </c>
      <c r="F3739" s="3" t="inlineStr">
        <is>
          <t>아톤</t>
        </is>
      </c>
      <c r="G3739" s="2" t="inlineStr">
        <is>
          <t>20260313902238</t>
        </is>
      </c>
      <c r="H3739" s="8">
        <f>HYPERLINK("https://dart.fss.or.kr/dsaf001/main.do?rcpNo=20260313902238", "공시열람")</f>
        <v/>
      </c>
    </row>
    <row r="3740">
      <c r="A3740" s="2" t="inlineStr">
        <is>
          <t>2026-03-13</t>
        </is>
      </c>
      <c r="B3740" s="3" t="inlineStr">
        <is>
          <t>아톤</t>
        </is>
      </c>
      <c r="C3740" s="2" t="inlineStr">
        <is>
          <t>코스닥</t>
        </is>
      </c>
      <c r="D3740" s="2" t="inlineStr">
        <is>
          <t>158430</t>
        </is>
      </c>
      <c r="E3740" s="3" t="inlineStr">
        <is>
          <t xml:space="preserve">주주총회소집결의              </t>
        </is>
      </c>
      <c r="F3740" s="3" t="inlineStr">
        <is>
          <t>아톤</t>
        </is>
      </c>
      <c r="G3740" s="2" t="inlineStr">
        <is>
          <t>20260313902212</t>
        </is>
      </c>
      <c r="H3740" s="8">
        <f>HYPERLINK("https://dart.fss.or.kr/dsaf001/main.do?rcpNo=20260313902212", "공시열람")</f>
        <v/>
      </c>
    </row>
    <row r="3741">
      <c r="A3741" s="2" t="inlineStr">
        <is>
          <t>2026-03-13</t>
        </is>
      </c>
      <c r="B3741" s="3" t="inlineStr">
        <is>
          <t>위지트</t>
        </is>
      </c>
      <c r="C3741" s="2" t="inlineStr">
        <is>
          <t>코스닥</t>
        </is>
      </c>
      <c r="D3741" s="2" t="inlineStr">
        <is>
          <t>036090</t>
        </is>
      </c>
      <c r="E3741" s="3" t="inlineStr">
        <is>
          <t xml:space="preserve">주주총회소집결의              </t>
        </is>
      </c>
      <c r="F3741" s="3" t="inlineStr">
        <is>
          <t>위지트</t>
        </is>
      </c>
      <c r="G3741" s="2" t="inlineStr">
        <is>
          <t>20260313902193</t>
        </is>
      </c>
      <c r="H3741" s="8">
        <f>HYPERLINK("https://dart.fss.or.kr/dsaf001/main.do?rcpNo=20260313902193", "공시열람")</f>
        <v/>
      </c>
    </row>
    <row r="3742">
      <c r="A3742" s="2" t="inlineStr">
        <is>
          <t>2026-03-13</t>
        </is>
      </c>
      <c r="B3742" s="3" t="inlineStr">
        <is>
          <t>웰킵스하이텍</t>
        </is>
      </c>
      <c r="C3742" s="2" t="inlineStr">
        <is>
          <t>코스닥</t>
        </is>
      </c>
      <c r="D3742" s="2" t="inlineStr">
        <is>
          <t>043590</t>
        </is>
      </c>
      <c r="E3742" s="3" t="inlineStr">
        <is>
          <t xml:space="preserve">주주총회집중일개최사유신고              </t>
        </is>
      </c>
      <c r="F3742" s="3" t="inlineStr">
        <is>
          <t>웰킵스하이텍</t>
        </is>
      </c>
      <c r="G3742" s="2" t="inlineStr">
        <is>
          <t>20260313902151</t>
        </is>
      </c>
      <c r="H3742" s="8">
        <f>HYPERLINK("https://dart.fss.or.kr/dsaf001/main.do?rcpNo=20260313902151", "공시열람")</f>
        <v/>
      </c>
    </row>
    <row r="3743">
      <c r="A3743" s="2" t="inlineStr">
        <is>
          <t>2026-03-13</t>
        </is>
      </c>
      <c r="B3743" s="3" t="inlineStr">
        <is>
          <t>웰킵스하이텍</t>
        </is>
      </c>
      <c r="C3743" s="2" t="inlineStr">
        <is>
          <t>코스닥</t>
        </is>
      </c>
      <c r="D3743" s="2" t="inlineStr">
        <is>
          <t>043590</t>
        </is>
      </c>
      <c r="E3743" s="3" t="inlineStr">
        <is>
          <t xml:space="preserve">주주총회소집결의              </t>
        </is>
      </c>
      <c r="F3743" s="3" t="inlineStr">
        <is>
          <t>웰킵스하이텍</t>
        </is>
      </c>
      <c r="G3743" s="2" t="inlineStr">
        <is>
          <t>20260313902149</t>
        </is>
      </c>
      <c r="H3743" s="8">
        <f>HYPERLINK("https://dart.fss.or.kr/dsaf001/main.do?rcpNo=20260313902149", "공시열람")</f>
        <v/>
      </c>
    </row>
    <row r="3744">
      <c r="A3744" s="2" t="inlineStr">
        <is>
          <t>2026-03-13</t>
        </is>
      </c>
      <c r="B3744" s="3" t="inlineStr">
        <is>
          <t>인피니트헬스케어</t>
        </is>
      </c>
      <c r="C3744" s="2" t="inlineStr">
        <is>
          <t>코스닥</t>
        </is>
      </c>
      <c r="D3744" s="2" t="inlineStr">
        <is>
          <t>071200</t>
        </is>
      </c>
      <c r="E3744" s="3" t="inlineStr">
        <is>
          <t xml:space="preserve">주주총회집중일개최사유신고              </t>
        </is>
      </c>
      <c r="F3744" s="3" t="inlineStr">
        <is>
          <t>인피니트헬스케어</t>
        </is>
      </c>
      <c r="G3744" s="2" t="inlineStr">
        <is>
          <t>20260313902190</t>
        </is>
      </c>
      <c r="H3744" s="8">
        <f>HYPERLINK("https://dart.fss.or.kr/dsaf001/main.do?rcpNo=20260313902190", "공시열람")</f>
        <v/>
      </c>
    </row>
    <row r="3745">
      <c r="A3745" s="2" t="inlineStr">
        <is>
          <t>2026-03-13</t>
        </is>
      </c>
      <c r="B3745" s="3" t="inlineStr">
        <is>
          <t>인피니트헬스케어</t>
        </is>
      </c>
      <c r="C3745" s="2" t="inlineStr">
        <is>
          <t>코스닥</t>
        </is>
      </c>
      <c r="D3745" s="2" t="inlineStr">
        <is>
          <t>071200</t>
        </is>
      </c>
      <c r="E3745" s="3" t="inlineStr">
        <is>
          <t xml:space="preserve">주주총회소집결의              </t>
        </is>
      </c>
      <c r="F3745" s="3" t="inlineStr">
        <is>
          <t>인피니트헬스케어</t>
        </is>
      </c>
      <c r="G3745" s="2" t="inlineStr">
        <is>
          <t>20260313902183</t>
        </is>
      </c>
      <c r="H3745" s="8">
        <f>HYPERLINK("https://dart.fss.or.kr/dsaf001/main.do?rcpNo=20260313902183", "공시열람")</f>
        <v/>
      </c>
    </row>
    <row r="3746">
      <c r="A3746" s="2" t="inlineStr">
        <is>
          <t>2026-03-13</t>
        </is>
      </c>
      <c r="B3746" s="3" t="inlineStr">
        <is>
          <t>삼영이엔씨</t>
        </is>
      </c>
      <c r="C3746" s="2" t="inlineStr">
        <is>
          <t>코스닥</t>
        </is>
      </c>
      <c r="D3746" s="2" t="inlineStr">
        <is>
          <t>065570</t>
        </is>
      </c>
      <c r="E3746" s="3" t="inlineStr">
        <is>
          <t xml:space="preserve">임시주주총회결과              </t>
        </is>
      </c>
      <c r="F3746" s="3" t="inlineStr">
        <is>
          <t>삼영이엔씨</t>
        </is>
      </c>
      <c r="G3746" s="2" t="inlineStr">
        <is>
          <t>20260313902213</t>
        </is>
      </c>
      <c r="H3746" s="8">
        <f>HYPERLINK("https://dart.fss.or.kr/dsaf001/main.do?rcpNo=20260313902213", "공시열람")</f>
        <v/>
      </c>
    </row>
    <row r="3747">
      <c r="A3747" s="2" t="inlineStr">
        <is>
          <t>2026-03-13</t>
        </is>
      </c>
      <c r="B3747" s="3" t="inlineStr">
        <is>
          <t>인바이츠바이오코아</t>
        </is>
      </c>
      <c r="C3747" s="2" t="inlineStr">
        <is>
          <t>코넥스</t>
        </is>
      </c>
      <c r="D3747" s="2" t="inlineStr">
        <is>
          <t>216400</t>
        </is>
      </c>
      <c r="E3747" s="3" t="inlineStr">
        <is>
          <t xml:space="preserve">주주총회소집결의              </t>
        </is>
      </c>
      <c r="F3747" s="3" t="inlineStr">
        <is>
          <t>인바이츠바이오코아</t>
        </is>
      </c>
      <c r="G3747" s="2" t="inlineStr">
        <is>
          <t>20260313602228</t>
        </is>
      </c>
      <c r="H3747" s="8">
        <f>HYPERLINK("https://dart.fss.or.kr/dsaf001/main.do?rcpNo=20260313602228", "공시열람")</f>
        <v/>
      </c>
    </row>
    <row r="3748">
      <c r="A3748" s="2" t="inlineStr">
        <is>
          <t>2026-03-13</t>
        </is>
      </c>
      <c r="B3748" s="3" t="inlineStr">
        <is>
          <t>에이프로</t>
        </is>
      </c>
      <c r="C3748" s="2" t="inlineStr">
        <is>
          <t>코스닥</t>
        </is>
      </c>
      <c r="D3748" s="2" t="inlineStr">
        <is>
          <t>262260</t>
        </is>
      </c>
      <c r="E3748" s="3" t="inlineStr">
        <is>
          <t xml:space="preserve">주주총회집중일개최사유신고              </t>
        </is>
      </c>
      <c r="F3748" s="3" t="inlineStr">
        <is>
          <t>에이프로</t>
        </is>
      </c>
      <c r="G3748" s="2" t="inlineStr">
        <is>
          <t>20260313902209</t>
        </is>
      </c>
      <c r="H3748" s="8">
        <f>HYPERLINK("https://dart.fss.or.kr/dsaf001/main.do?rcpNo=20260313902209", "공시열람")</f>
        <v/>
      </c>
    </row>
    <row r="3749">
      <c r="A3749" s="2" t="inlineStr">
        <is>
          <t>2026-03-13</t>
        </is>
      </c>
      <c r="B3749" s="3" t="inlineStr">
        <is>
          <t>셀레믹스</t>
        </is>
      </c>
      <c r="C3749" s="2" t="inlineStr">
        <is>
          <t>코스닥</t>
        </is>
      </c>
      <c r="D3749" s="2" t="inlineStr">
        <is>
          <t>331920</t>
        </is>
      </c>
      <c r="E3749" s="3" t="inlineStr">
        <is>
          <t xml:space="preserve">임시주주총회결과              </t>
        </is>
      </c>
      <c r="F3749" s="3" t="inlineStr">
        <is>
          <t>셀레믹스</t>
        </is>
      </c>
      <c r="G3749" s="2" t="inlineStr">
        <is>
          <t>20260313902133</t>
        </is>
      </c>
      <c r="H3749" s="8">
        <f>HYPERLINK("https://dart.fss.or.kr/dsaf001/main.do?rcpNo=20260313902133", "공시열람")</f>
        <v/>
      </c>
    </row>
    <row r="3750">
      <c r="A3750" s="2" t="inlineStr">
        <is>
          <t>2026-03-13</t>
        </is>
      </c>
      <c r="B3750" s="3" t="inlineStr">
        <is>
          <t>엠아이큐브솔루션</t>
        </is>
      </c>
      <c r="C3750" s="2" t="inlineStr">
        <is>
          <t>코스닥</t>
        </is>
      </c>
      <c r="D3750" s="2" t="inlineStr">
        <is>
          <t>373170</t>
        </is>
      </c>
      <c r="E3750" s="3" t="inlineStr">
        <is>
          <t xml:space="preserve">주주총회집중일개최사유신고              </t>
        </is>
      </c>
      <c r="F3750" s="3" t="inlineStr">
        <is>
          <t>엠아이큐브솔루션</t>
        </is>
      </c>
      <c r="G3750" s="2" t="inlineStr">
        <is>
          <t>20260313902049</t>
        </is>
      </c>
      <c r="H3750" s="8">
        <f>HYPERLINK("https://dart.fss.or.kr/dsaf001/main.do?rcpNo=20260313902049", "공시열람")</f>
        <v/>
      </c>
    </row>
    <row r="3751">
      <c r="A3751" s="2" t="inlineStr">
        <is>
          <t>2026-03-13 (정정: 2026-03-17)</t>
        </is>
      </c>
      <c r="B3751" s="3" t="inlineStr">
        <is>
          <t>벡트</t>
        </is>
      </c>
      <c r="C3751" s="2" t="inlineStr">
        <is>
          <t>코스닥</t>
        </is>
      </c>
      <c r="D3751" s="2" t="inlineStr">
        <is>
          <t>457600</t>
        </is>
      </c>
      <c r="E3751" s="3" t="inlineStr">
        <is>
          <t>주주총회집중일개최사유신고               (정정: 20260317)</t>
        </is>
      </c>
      <c r="F3751" s="3" t="inlineStr">
        <is>
          <t>벡트</t>
        </is>
      </c>
      <c r="G3751" s="2" t="inlineStr">
        <is>
          <t>20260317000584</t>
        </is>
      </c>
      <c r="H3751" s="8">
        <f>HYPERLINK("https://dart.fss.or.kr/dsaf001/main.do?rcpNo=20260317000584", "공시열람")</f>
        <v/>
      </c>
    </row>
    <row r="3752">
      <c r="A3752" s="2" t="inlineStr">
        <is>
          <t>2026-03-13</t>
        </is>
      </c>
      <c r="B3752" s="3" t="inlineStr">
        <is>
          <t>에이프로</t>
        </is>
      </c>
      <c r="C3752" s="2" t="inlineStr">
        <is>
          <t>코스닥</t>
        </is>
      </c>
      <c r="D3752" s="2" t="inlineStr">
        <is>
          <t>262260</t>
        </is>
      </c>
      <c r="E3752" s="3" t="inlineStr">
        <is>
          <t xml:space="preserve">주주총회소집결의              </t>
        </is>
      </c>
      <c r="F3752" s="3" t="inlineStr">
        <is>
          <t>에이프로</t>
        </is>
      </c>
      <c r="G3752" s="2" t="inlineStr">
        <is>
          <t>20260313902095</t>
        </is>
      </c>
      <c r="H3752" s="8">
        <f>HYPERLINK("https://dart.fss.or.kr/dsaf001/main.do?rcpNo=20260313902095", "공시열람")</f>
        <v/>
      </c>
    </row>
    <row r="3753">
      <c r="A3753" s="2" t="inlineStr">
        <is>
          <t>2026-03-13</t>
        </is>
      </c>
      <c r="B3753" s="3" t="inlineStr">
        <is>
          <t>디에이피</t>
        </is>
      </c>
      <c r="C3753" s="2" t="inlineStr">
        <is>
          <t>코스닥</t>
        </is>
      </c>
      <c r="D3753" s="2" t="inlineStr">
        <is>
          <t>066900</t>
        </is>
      </c>
      <c r="E3753" s="3" t="inlineStr">
        <is>
          <t xml:space="preserve">주주총회집중일개최사유신고              </t>
        </is>
      </c>
      <c r="F3753" s="3" t="inlineStr">
        <is>
          <t>디에이피</t>
        </is>
      </c>
      <c r="G3753" s="2" t="inlineStr">
        <is>
          <t>20260313902121</t>
        </is>
      </c>
      <c r="H3753" s="8">
        <f>HYPERLINK("https://dart.fss.or.kr/dsaf001/main.do?rcpNo=20260313902121", "공시열람")</f>
        <v/>
      </c>
    </row>
    <row r="3754">
      <c r="A3754" s="2" t="inlineStr">
        <is>
          <t>2026-03-13 (정정: 2026-03-16)</t>
        </is>
      </c>
      <c r="B3754" s="3" t="inlineStr">
        <is>
          <t>블루산업개발</t>
        </is>
      </c>
      <c r="C3754" s="2" t="inlineStr">
        <is>
          <t>코스피</t>
        </is>
      </c>
      <c r="D3754" s="2" t="inlineStr">
        <is>
          <t>006740</t>
        </is>
      </c>
      <c r="E3754" s="3" t="inlineStr">
        <is>
          <t>주식분할결정               (정정: 20260316)</t>
        </is>
      </c>
      <c r="F3754" s="3" t="inlineStr">
        <is>
          <t>블루산업개발</t>
        </is>
      </c>
      <c r="G3754" s="2" t="inlineStr">
        <is>
          <t>20260316001385</t>
        </is>
      </c>
      <c r="H3754" s="8">
        <f>HYPERLINK("https://dart.fss.or.kr/dsaf001/main.do?rcpNo=20260316001385", "공시열람")</f>
        <v/>
      </c>
    </row>
    <row r="3755">
      <c r="A3755" s="2" t="inlineStr">
        <is>
          <t>2026-03-13</t>
        </is>
      </c>
      <c r="B3755" s="3" t="inlineStr">
        <is>
          <t>롤링스톤</t>
        </is>
      </c>
      <c r="C3755" s="2" t="inlineStr">
        <is>
          <t>코스닥</t>
        </is>
      </c>
      <c r="D3755" s="2" t="inlineStr">
        <is>
          <t>214610</t>
        </is>
      </c>
      <c r="E3755" s="3" t="inlineStr">
        <is>
          <t xml:space="preserve">주주총회소집결의              </t>
        </is>
      </c>
      <c r="F3755" s="3" t="inlineStr">
        <is>
          <t>롤링스톤</t>
        </is>
      </c>
      <c r="G3755" s="2" t="inlineStr">
        <is>
          <t>20260313902169</t>
        </is>
      </c>
      <c r="H3755" s="8">
        <f>HYPERLINK("https://dart.fss.or.kr/dsaf001/main.do?rcpNo=20260313902169", "공시열람")</f>
        <v/>
      </c>
    </row>
    <row r="3756">
      <c r="A3756" s="2" t="inlineStr">
        <is>
          <t>2026-03-13 (정정: 2026-06-25)</t>
        </is>
      </c>
      <c r="B3756" s="3" t="inlineStr">
        <is>
          <t>알엔티엑스</t>
        </is>
      </c>
      <c r="C3756" s="2" t="inlineStr">
        <is>
          <t>코스닥</t>
        </is>
      </c>
      <c r="D3756" s="2" t="inlineStr">
        <is>
          <t>123010</t>
        </is>
      </c>
      <c r="E3756" s="3" t="inlineStr">
        <is>
          <t>주주총회집중일개최사유신고               (정정: 20260313) (정정: 20260625)</t>
        </is>
      </c>
      <c r="F3756" s="3" t="inlineStr">
        <is>
          <t>알엔티엑스</t>
        </is>
      </c>
      <c r="G3756" s="2" t="inlineStr">
        <is>
          <t>20260625900408</t>
        </is>
      </c>
      <c r="H3756" s="8">
        <f>HYPERLINK("https://dart.fss.or.kr/dsaf001/main.do?rcpNo=20260625900408", "공시열람")</f>
        <v/>
      </c>
    </row>
    <row r="3757">
      <c r="A3757" s="2" t="inlineStr">
        <is>
          <t>2026-03-13</t>
        </is>
      </c>
      <c r="B3757" s="3" t="inlineStr">
        <is>
          <t>CG인바이츠</t>
        </is>
      </c>
      <c r="C3757" s="2" t="inlineStr">
        <is>
          <t>코스닥</t>
        </is>
      </c>
      <c r="D3757" s="2" t="inlineStr">
        <is>
          <t>083790</t>
        </is>
      </c>
      <c r="E3757" s="3" t="inlineStr">
        <is>
          <t xml:space="preserve">주주총회소집결의              </t>
        </is>
      </c>
      <c r="F3757" s="3" t="inlineStr">
        <is>
          <t>CG인바이츠</t>
        </is>
      </c>
      <c r="G3757" s="2" t="inlineStr">
        <is>
          <t>20260313902142</t>
        </is>
      </c>
      <c r="H3757" s="8">
        <f>HYPERLINK("https://dart.fss.or.kr/dsaf001/main.do?rcpNo=20260313902142", "공시열람")</f>
        <v/>
      </c>
    </row>
    <row r="3758">
      <c r="A3758" s="2" t="inlineStr">
        <is>
          <t>2026-03-13</t>
        </is>
      </c>
      <c r="B3758" s="3" t="inlineStr">
        <is>
          <t>웰킵스하이텍</t>
        </is>
      </c>
      <c r="C3758" s="2" t="inlineStr">
        <is>
          <t>코스닥</t>
        </is>
      </c>
      <c r="D3758" s="2" t="inlineStr">
        <is>
          <t>043590</t>
        </is>
      </c>
      <c r="E3758" s="3" t="inlineStr">
        <is>
          <t>주주총회소집공고</t>
        </is>
      </c>
      <c r="F3758" s="3" t="inlineStr">
        <is>
          <t>웰킵스하이텍</t>
        </is>
      </c>
      <c r="G3758" s="2" t="inlineStr">
        <is>
          <t>20260313001368</t>
        </is>
      </c>
      <c r="H3758" s="8">
        <f>HYPERLINK("https://dart.fss.or.kr/dsaf001/main.do?rcpNo=20260313001368", "공시열람")</f>
        <v/>
      </c>
    </row>
    <row r="3759">
      <c r="A3759" s="2" t="inlineStr">
        <is>
          <t>2026-03-13</t>
        </is>
      </c>
      <c r="B3759" s="3" t="inlineStr">
        <is>
          <t>슈피겐코리아</t>
        </is>
      </c>
      <c r="C3759" s="2" t="inlineStr">
        <is>
          <t>코스닥</t>
        </is>
      </c>
      <c r="D3759" s="2" t="inlineStr">
        <is>
          <t>192440</t>
        </is>
      </c>
      <c r="E3759" s="3" t="inlineStr">
        <is>
          <t>주주총회소집공고</t>
        </is>
      </c>
      <c r="F3759" s="3" t="inlineStr">
        <is>
          <t>슈피겐코리아</t>
        </is>
      </c>
      <c r="G3759" s="2" t="inlineStr">
        <is>
          <t>20260313001367</t>
        </is>
      </c>
      <c r="H3759" s="8">
        <f>HYPERLINK("https://dart.fss.or.kr/dsaf001/main.do?rcpNo=20260313001367", "공시열람")</f>
        <v/>
      </c>
    </row>
    <row r="3760">
      <c r="A3760" s="2" t="inlineStr">
        <is>
          <t>2026-03-13</t>
        </is>
      </c>
      <c r="B3760" s="3" t="inlineStr">
        <is>
          <t>노머스</t>
        </is>
      </c>
      <c r="C3760" s="2" t="inlineStr">
        <is>
          <t>코스닥</t>
        </is>
      </c>
      <c r="D3760" s="2" t="inlineStr">
        <is>
          <t>473980</t>
        </is>
      </c>
      <c r="E3760" s="3" t="inlineStr">
        <is>
          <t>주주총회소집공고</t>
        </is>
      </c>
      <c r="F3760" s="3" t="inlineStr">
        <is>
          <t>노머스</t>
        </is>
      </c>
      <c r="G3760" s="2" t="inlineStr">
        <is>
          <t>20260313001363</t>
        </is>
      </c>
      <c r="H3760" s="8">
        <f>HYPERLINK("https://dart.fss.or.kr/dsaf001/main.do?rcpNo=20260313001363", "공시열람")</f>
        <v/>
      </c>
    </row>
    <row r="3761">
      <c r="A3761" s="2" t="inlineStr">
        <is>
          <t>2026-03-13</t>
        </is>
      </c>
      <c r="B3761" s="3" t="inlineStr">
        <is>
          <t>알에프세미</t>
        </is>
      </c>
      <c r="C3761" s="2" t="inlineStr">
        <is>
          <t>코스닥</t>
        </is>
      </c>
      <c r="D3761" s="2" t="inlineStr">
        <is>
          <t>096610</t>
        </is>
      </c>
      <c r="E3761" s="3" t="inlineStr">
        <is>
          <t xml:space="preserve">주주총회집중일개최사유신고              </t>
        </is>
      </c>
      <c r="F3761" s="3" t="inlineStr">
        <is>
          <t>알에프세미</t>
        </is>
      </c>
      <c r="G3761" s="2" t="inlineStr">
        <is>
          <t>20260313902115</t>
        </is>
      </c>
      <c r="H3761" s="8">
        <f>HYPERLINK("https://dart.fss.or.kr/dsaf001/main.do?rcpNo=20260313902115", "공시열람")</f>
        <v/>
      </c>
    </row>
    <row r="3762">
      <c r="A3762" s="2" t="inlineStr">
        <is>
          <t>2026-03-13</t>
        </is>
      </c>
      <c r="B3762" s="3" t="inlineStr">
        <is>
          <t>CG인바이츠</t>
        </is>
      </c>
      <c r="C3762" s="2" t="inlineStr">
        <is>
          <t>코스닥</t>
        </is>
      </c>
      <c r="D3762" s="2" t="inlineStr">
        <is>
          <t>083790</t>
        </is>
      </c>
      <c r="E3762" s="3" t="inlineStr">
        <is>
          <t>주주총회소집공고</t>
        </is>
      </c>
      <c r="F3762" s="3" t="inlineStr">
        <is>
          <t>CG인바이츠</t>
        </is>
      </c>
      <c r="G3762" s="2" t="inlineStr">
        <is>
          <t>20260313001360</t>
        </is>
      </c>
      <c r="H3762" s="8">
        <f>HYPERLINK("https://dart.fss.or.kr/dsaf001/main.do?rcpNo=20260313001360", "공시열람")</f>
        <v/>
      </c>
    </row>
    <row r="3763">
      <c r="A3763" s="2" t="inlineStr">
        <is>
          <t>2026-03-13</t>
        </is>
      </c>
      <c r="B3763" s="3" t="inlineStr">
        <is>
          <t>에이프로</t>
        </is>
      </c>
      <c r="C3763" s="2" t="inlineStr">
        <is>
          <t>코스닥</t>
        </is>
      </c>
      <c r="D3763" s="2" t="inlineStr">
        <is>
          <t>262260</t>
        </is>
      </c>
      <c r="E3763" s="3" t="inlineStr">
        <is>
          <t>주주총회소집공고</t>
        </is>
      </c>
      <c r="F3763" s="3" t="inlineStr">
        <is>
          <t>에이프로</t>
        </is>
      </c>
      <c r="G3763" s="2" t="inlineStr">
        <is>
          <t>20260313001352</t>
        </is>
      </c>
      <c r="H3763" s="8">
        <f>HYPERLINK("https://dart.fss.or.kr/dsaf001/main.do?rcpNo=20260313001352", "공시열람")</f>
        <v/>
      </c>
    </row>
    <row r="3764">
      <c r="A3764" s="2" t="inlineStr">
        <is>
          <t>2026-03-13 (정정: 2026-03-13)</t>
        </is>
      </c>
      <c r="B3764" s="3" t="inlineStr">
        <is>
          <t>엠케이전자</t>
        </is>
      </c>
      <c r="C3764" s="2" t="inlineStr">
        <is>
          <t>코스닥</t>
        </is>
      </c>
      <c r="D3764" s="2" t="inlineStr">
        <is>
          <t>033160</t>
        </is>
      </c>
      <c r="E3764" s="3" t="inlineStr">
        <is>
          <t>주주총회소집결의               (정정: 20260313)</t>
        </is>
      </c>
      <c r="F3764" s="3" t="inlineStr">
        <is>
          <t>엠케이전자</t>
        </is>
      </c>
      <c r="G3764" s="2" t="inlineStr">
        <is>
          <t>20260313902009</t>
        </is>
      </c>
      <c r="H3764" s="8">
        <f>HYPERLINK("https://dart.fss.or.kr/dsaf001/main.do?rcpNo=20260313902009", "공시열람")</f>
        <v/>
      </c>
    </row>
    <row r="3765">
      <c r="A3765" s="2" t="inlineStr">
        <is>
          <t>2026-03-13</t>
        </is>
      </c>
      <c r="B3765" s="3" t="inlineStr">
        <is>
          <t>알에프세미</t>
        </is>
      </c>
      <c r="C3765" s="2" t="inlineStr">
        <is>
          <t>코스닥</t>
        </is>
      </c>
      <c r="D3765" s="2" t="inlineStr">
        <is>
          <t>096610</t>
        </is>
      </c>
      <c r="E3765" s="3" t="inlineStr">
        <is>
          <t xml:space="preserve">주주총회소집결의              </t>
        </is>
      </c>
      <c r="F3765" s="3" t="inlineStr">
        <is>
          <t>알에프세미</t>
        </is>
      </c>
      <c r="G3765" s="2" t="inlineStr">
        <is>
          <t>20260313902146</t>
        </is>
      </c>
      <c r="H3765" s="8">
        <f>HYPERLINK("https://dart.fss.or.kr/dsaf001/main.do?rcpNo=20260313902146", "공시열람")</f>
        <v/>
      </c>
    </row>
    <row r="3766">
      <c r="A3766" s="2" t="inlineStr">
        <is>
          <t>2026-03-13</t>
        </is>
      </c>
      <c r="B3766" s="3" t="inlineStr">
        <is>
          <t>레뷰코퍼레이션</t>
        </is>
      </c>
      <c r="C3766" s="2" t="inlineStr">
        <is>
          <t>코스닥</t>
        </is>
      </c>
      <c r="D3766" s="2" t="inlineStr">
        <is>
          <t>443250</t>
        </is>
      </c>
      <c r="E3766" s="3" t="inlineStr">
        <is>
          <t xml:space="preserve">최대주주변경을수반하는주식양수도계약해제ㆍ취소등              </t>
        </is>
      </c>
      <c r="F3766" s="3" t="inlineStr">
        <is>
          <t>레뷰코퍼레이션</t>
        </is>
      </c>
      <c r="G3766" s="2" t="inlineStr">
        <is>
          <t>20260313901847</t>
        </is>
      </c>
      <c r="H3766" s="8">
        <f>HYPERLINK("https://dart.fss.or.kr/dsaf001/main.do?rcpNo=20260313901847", "공시열람")</f>
        <v/>
      </c>
    </row>
    <row r="3767">
      <c r="A3767" s="2" t="inlineStr">
        <is>
          <t>2026-03-13</t>
        </is>
      </c>
      <c r="B3767" s="3" t="inlineStr">
        <is>
          <t>인바이츠바이오코아</t>
        </is>
      </c>
      <c r="C3767" s="2" t="inlineStr">
        <is>
          <t>코넥스</t>
        </is>
      </c>
      <c r="D3767" s="2" t="inlineStr">
        <is>
          <t>216400</t>
        </is>
      </c>
      <c r="E3767" s="3" t="inlineStr">
        <is>
          <t xml:space="preserve">주주총회집중일개최사유신고              </t>
        </is>
      </c>
      <c r="F3767" s="3" t="inlineStr">
        <is>
          <t>인바이츠바이오코아</t>
        </is>
      </c>
      <c r="G3767" s="2" t="inlineStr">
        <is>
          <t>20260313602022</t>
        </is>
      </c>
      <c r="H3767" s="8">
        <f>HYPERLINK("https://dart.fss.or.kr/dsaf001/main.do?rcpNo=20260313602022", "공시열람")</f>
        <v/>
      </c>
    </row>
    <row r="3768">
      <c r="A3768" s="2" t="inlineStr">
        <is>
          <t>2026-03-13</t>
        </is>
      </c>
      <c r="B3768" s="3" t="inlineStr">
        <is>
          <t>CG인바이츠</t>
        </is>
      </c>
      <c r="C3768" s="2" t="inlineStr">
        <is>
          <t>코스닥</t>
        </is>
      </c>
      <c r="D3768" s="2" t="inlineStr">
        <is>
          <t>083790</t>
        </is>
      </c>
      <c r="E3768" s="3" t="inlineStr">
        <is>
          <t xml:space="preserve">주주총회집중일개최사유신고              </t>
        </is>
      </c>
      <c r="F3768" s="3" t="inlineStr">
        <is>
          <t>CG인바이츠</t>
        </is>
      </c>
      <c r="G3768" s="2" t="inlineStr">
        <is>
          <t>20260313902006</t>
        </is>
      </c>
      <c r="H3768" s="8">
        <f>HYPERLINK("https://dart.fss.or.kr/dsaf001/main.do?rcpNo=20260313902006", "공시열람")</f>
        <v/>
      </c>
    </row>
    <row r="3769">
      <c r="A3769" s="2" t="inlineStr">
        <is>
          <t>2026-03-13</t>
        </is>
      </c>
      <c r="B3769" s="3" t="inlineStr">
        <is>
          <t>대한유화</t>
        </is>
      </c>
      <c r="C3769" s="2" t="inlineStr">
        <is>
          <t>코스피</t>
        </is>
      </c>
      <c r="D3769" s="2" t="inlineStr">
        <is>
          <t>006650</t>
        </is>
      </c>
      <c r="E3769" s="3" t="inlineStr">
        <is>
          <t xml:space="preserve">정기주주총회결과              </t>
        </is>
      </c>
      <c r="F3769" s="3" t="inlineStr">
        <is>
          <t>대한유화</t>
        </is>
      </c>
      <c r="G3769" s="2" t="inlineStr">
        <is>
          <t>20260313801998</t>
        </is>
      </c>
      <c r="H3769" s="8">
        <f>HYPERLINK("https://dart.fss.or.kr/dsaf001/main.do?rcpNo=20260313801998", "공시열람")</f>
        <v/>
      </c>
    </row>
    <row r="3770">
      <c r="A3770" s="2" t="inlineStr">
        <is>
          <t>2026-03-13</t>
        </is>
      </c>
      <c r="B3770" s="3" t="inlineStr">
        <is>
          <t>유비벨록스</t>
        </is>
      </c>
      <c r="C3770" s="2" t="inlineStr">
        <is>
          <t>코스닥</t>
        </is>
      </c>
      <c r="D3770" s="2" t="inlineStr">
        <is>
          <t>089850</t>
        </is>
      </c>
      <c r="E3770" s="3" t="inlineStr">
        <is>
          <t>[기재정정]주주총회소집공고</t>
        </is>
      </c>
      <c r="F3770" s="3" t="inlineStr">
        <is>
          <t>유비벨록스</t>
        </is>
      </c>
      <c r="G3770" s="2" t="inlineStr">
        <is>
          <t>20260313001339</t>
        </is>
      </c>
      <c r="H3770" s="8">
        <f>HYPERLINK("https://dart.fss.or.kr/dsaf001/main.do?rcpNo=20260313001339", "공시열람")</f>
        <v/>
      </c>
    </row>
    <row r="3771">
      <c r="A3771" s="2" t="inlineStr">
        <is>
          <t>2026-03-13</t>
        </is>
      </c>
      <c r="B3771" s="3" t="inlineStr">
        <is>
          <t>키네마스터</t>
        </is>
      </c>
      <c r="C3771" s="2" t="inlineStr">
        <is>
          <t>코스닥</t>
        </is>
      </c>
      <c r="D3771" s="2" t="inlineStr">
        <is>
          <t>139670</t>
        </is>
      </c>
      <c r="E3771" s="3" t="inlineStr">
        <is>
          <t>주주총회소집공고</t>
        </is>
      </c>
      <c r="F3771" s="3" t="inlineStr">
        <is>
          <t>키네마스터</t>
        </is>
      </c>
      <c r="G3771" s="2" t="inlineStr">
        <is>
          <t>20260313001336</t>
        </is>
      </c>
      <c r="H3771" s="8">
        <f>HYPERLINK("https://dart.fss.or.kr/dsaf001/main.do?rcpNo=20260313001336", "공시열람")</f>
        <v/>
      </c>
    </row>
    <row r="3772">
      <c r="A3772" s="2" t="inlineStr">
        <is>
          <t>2026-03-13</t>
        </is>
      </c>
      <c r="B3772" s="3" t="inlineStr">
        <is>
          <t>파라텍</t>
        </is>
      </c>
      <c r="C3772" s="2" t="inlineStr">
        <is>
          <t>코스닥</t>
        </is>
      </c>
      <c r="D3772" s="2" t="inlineStr">
        <is>
          <t>033540</t>
        </is>
      </c>
      <c r="E3772" s="3" t="inlineStr">
        <is>
          <t>주주총회소집공고</t>
        </is>
      </c>
      <c r="F3772" s="3" t="inlineStr">
        <is>
          <t>파라텍</t>
        </is>
      </c>
      <c r="G3772" s="2" t="inlineStr">
        <is>
          <t>20260313001333</t>
        </is>
      </c>
      <c r="H3772" s="8">
        <f>HYPERLINK("https://dart.fss.or.kr/dsaf001/main.do?rcpNo=20260313001333", "공시열람")</f>
        <v/>
      </c>
    </row>
    <row r="3773">
      <c r="A3773" s="2" t="inlineStr">
        <is>
          <t>2026-03-13</t>
        </is>
      </c>
      <c r="B3773" s="3" t="inlineStr">
        <is>
          <t>인피니트헬스케어</t>
        </is>
      </c>
      <c r="C3773" s="2" t="inlineStr">
        <is>
          <t>코스닥</t>
        </is>
      </c>
      <c r="D3773" s="2" t="inlineStr">
        <is>
          <t>071200</t>
        </is>
      </c>
      <c r="E3773" s="3" t="inlineStr">
        <is>
          <t>주주총회소집공고</t>
        </is>
      </c>
      <c r="F3773" s="3" t="inlineStr">
        <is>
          <t>인피니트헬스케어</t>
        </is>
      </c>
      <c r="G3773" s="2" t="inlineStr">
        <is>
          <t>20260313001332</t>
        </is>
      </c>
      <c r="H3773" s="8">
        <f>HYPERLINK("https://dart.fss.or.kr/dsaf001/main.do?rcpNo=20260313001332", "공시열람")</f>
        <v/>
      </c>
    </row>
    <row r="3774">
      <c r="A3774" s="2" t="inlineStr">
        <is>
          <t>2026-03-13</t>
        </is>
      </c>
      <c r="B3774" s="3" t="inlineStr">
        <is>
          <t>키네마스터</t>
        </is>
      </c>
      <c r="C3774" s="2" t="inlineStr">
        <is>
          <t>코스닥</t>
        </is>
      </c>
      <c r="D3774" s="2" t="inlineStr">
        <is>
          <t>139670</t>
        </is>
      </c>
      <c r="E3774" s="3" t="inlineStr">
        <is>
          <t xml:space="preserve">주주총회집중일개최사유신고              </t>
        </is>
      </c>
      <c r="F3774" s="3" t="inlineStr">
        <is>
          <t>키네마스터</t>
        </is>
      </c>
      <c r="G3774" s="2" t="inlineStr">
        <is>
          <t>20260313901960</t>
        </is>
      </c>
      <c r="H3774" s="8">
        <f>HYPERLINK("https://dart.fss.or.kr/dsaf001/main.do?rcpNo=20260313901960", "공시열람")</f>
        <v/>
      </c>
    </row>
    <row r="3775">
      <c r="A3775" s="2" t="inlineStr">
        <is>
          <t>2026-03-13</t>
        </is>
      </c>
      <c r="B3775" s="3" t="inlineStr">
        <is>
          <t>앱튼</t>
        </is>
      </c>
      <c r="C3775" s="2" t="inlineStr">
        <is>
          <t>코스닥</t>
        </is>
      </c>
      <c r="D3775" s="2" t="inlineStr">
        <is>
          <t>270520</t>
        </is>
      </c>
      <c r="E3775" s="3" t="inlineStr">
        <is>
          <t xml:space="preserve">최대주주변경을수반하는주식담보제공계약체결              </t>
        </is>
      </c>
      <c r="F3775" s="3" t="inlineStr">
        <is>
          <t>앱튼</t>
        </is>
      </c>
      <c r="G3775" s="2" t="inlineStr">
        <is>
          <t>20260313901949</t>
        </is>
      </c>
      <c r="H3775" s="8">
        <f>HYPERLINK("https://dart.fss.or.kr/dsaf001/main.do?rcpNo=20260313901949", "공시열람")</f>
        <v/>
      </c>
    </row>
    <row r="3776">
      <c r="A3776" s="2" t="inlineStr">
        <is>
          <t>2026-03-13</t>
        </is>
      </c>
      <c r="B3776" s="3" t="inlineStr">
        <is>
          <t>덕양에너젠</t>
        </is>
      </c>
      <c r="C3776" s="2" t="inlineStr">
        <is>
          <t>코스닥</t>
        </is>
      </c>
      <c r="D3776" s="2" t="inlineStr">
        <is>
          <t>0001A0</t>
        </is>
      </c>
      <c r="E3776" s="3" t="inlineStr">
        <is>
          <t>주주총회소집공고</t>
        </is>
      </c>
      <c r="F3776" s="3" t="inlineStr">
        <is>
          <t>덕양에너젠</t>
        </is>
      </c>
      <c r="G3776" s="2" t="inlineStr">
        <is>
          <t>20260313001330</t>
        </is>
      </c>
      <c r="H3776" s="8">
        <f>HYPERLINK("https://dart.fss.or.kr/dsaf001/main.do?rcpNo=20260313001330", "공시열람")</f>
        <v/>
      </c>
    </row>
    <row r="3777">
      <c r="A3777" s="2" t="inlineStr">
        <is>
          <t>2026-03-13</t>
        </is>
      </c>
      <c r="B3777" s="3" t="inlineStr">
        <is>
          <t>디에이피</t>
        </is>
      </c>
      <c r="C3777" s="2" t="inlineStr">
        <is>
          <t>코스닥</t>
        </is>
      </c>
      <c r="D3777" s="2" t="inlineStr">
        <is>
          <t>066900</t>
        </is>
      </c>
      <c r="E3777" s="3" t="inlineStr">
        <is>
          <t xml:space="preserve">주주총회소집결의              </t>
        </is>
      </c>
      <c r="F3777" s="3" t="inlineStr">
        <is>
          <t>디에이피</t>
        </is>
      </c>
      <c r="G3777" s="2" t="inlineStr">
        <is>
          <t>20260313901890</t>
        </is>
      </c>
      <c r="H3777" s="8">
        <f>HYPERLINK("https://dart.fss.or.kr/dsaf001/main.do?rcpNo=20260313901890", "공시열람")</f>
        <v/>
      </c>
    </row>
    <row r="3778">
      <c r="A3778" s="2" t="inlineStr">
        <is>
          <t>2026-03-13</t>
        </is>
      </c>
      <c r="B3778" s="3" t="inlineStr">
        <is>
          <t>우림피티에스</t>
        </is>
      </c>
      <c r="C3778" s="2" t="inlineStr">
        <is>
          <t>코스닥</t>
        </is>
      </c>
      <c r="D3778" s="2" t="inlineStr">
        <is>
          <t>101170</t>
        </is>
      </c>
      <c r="E3778" s="3" t="inlineStr">
        <is>
          <t xml:space="preserve">주주총회소집결의              </t>
        </is>
      </c>
      <c r="F3778" s="3" t="inlineStr">
        <is>
          <t>우림피티에스</t>
        </is>
      </c>
      <c r="G3778" s="2" t="inlineStr">
        <is>
          <t>20260313901881</t>
        </is>
      </c>
      <c r="H3778" s="8">
        <f>HYPERLINK("https://dart.fss.or.kr/dsaf001/main.do?rcpNo=20260313901881", "공시열람")</f>
        <v/>
      </c>
    </row>
    <row r="3779">
      <c r="A3779" s="2" t="inlineStr">
        <is>
          <t>2026-03-13</t>
        </is>
      </c>
      <c r="B3779" s="3" t="inlineStr">
        <is>
          <t>덕양에너젠</t>
        </is>
      </c>
      <c r="C3779" s="2" t="inlineStr">
        <is>
          <t>코스닥</t>
        </is>
      </c>
      <c r="D3779" s="2" t="inlineStr">
        <is>
          <t>0001A0</t>
        </is>
      </c>
      <c r="E3779" s="3" t="inlineStr">
        <is>
          <t xml:space="preserve">주주총회집중일개최사유신고              </t>
        </is>
      </c>
      <c r="F3779" s="3" t="inlineStr">
        <is>
          <t>덕양에너젠</t>
        </is>
      </c>
      <c r="G3779" s="2" t="inlineStr">
        <is>
          <t>20260313902057</t>
        </is>
      </c>
      <c r="H3779" s="8">
        <f>HYPERLINK("https://dart.fss.or.kr/dsaf001/main.do?rcpNo=20260313902057", "공시열람")</f>
        <v/>
      </c>
    </row>
    <row r="3780">
      <c r="A3780" s="2" t="inlineStr">
        <is>
          <t>2026-03-13</t>
        </is>
      </c>
      <c r="B3780" s="3" t="inlineStr">
        <is>
          <t>덕양에너젠</t>
        </is>
      </c>
      <c r="C3780" s="2" t="inlineStr">
        <is>
          <t>코스닥</t>
        </is>
      </c>
      <c r="D3780" s="2" t="inlineStr">
        <is>
          <t>0001A0</t>
        </is>
      </c>
      <c r="E3780" s="3" t="inlineStr">
        <is>
          <t xml:space="preserve">주주총회소집결의              </t>
        </is>
      </c>
      <c r="F3780" s="3" t="inlineStr">
        <is>
          <t>덕양에너젠</t>
        </is>
      </c>
      <c r="G3780" s="2" t="inlineStr">
        <is>
          <t>20260313902051</t>
        </is>
      </c>
      <c r="H3780" s="8">
        <f>HYPERLINK("https://dart.fss.or.kr/dsaf001/main.do?rcpNo=20260313902051", "공시열람")</f>
        <v/>
      </c>
    </row>
    <row r="3781">
      <c r="A3781" s="2" t="inlineStr">
        <is>
          <t>2026-03-13</t>
        </is>
      </c>
      <c r="B3781" s="3" t="inlineStr">
        <is>
          <t>아이비젼웍스</t>
        </is>
      </c>
      <c r="C3781" s="2" t="inlineStr">
        <is>
          <t>코스닥</t>
        </is>
      </c>
      <c r="D3781" s="2" t="inlineStr">
        <is>
          <t>469750</t>
        </is>
      </c>
      <c r="E3781" s="3" t="inlineStr">
        <is>
          <t xml:space="preserve">주주총회집중일개최사유신고              </t>
        </is>
      </c>
      <c r="F3781" s="3" t="inlineStr">
        <is>
          <t>아이비젼웍스</t>
        </is>
      </c>
      <c r="G3781" s="2" t="inlineStr">
        <is>
          <t>20260313902046</t>
        </is>
      </c>
      <c r="H3781" s="8">
        <f>HYPERLINK("https://dart.fss.or.kr/dsaf001/main.do?rcpNo=20260313902046", "공시열람")</f>
        <v/>
      </c>
    </row>
    <row r="3782">
      <c r="A3782" s="2" t="inlineStr">
        <is>
          <t>2026-03-13 (정정: 2026-05-22)</t>
        </is>
      </c>
      <c r="B3782" s="3" t="inlineStr">
        <is>
          <t>아이비젼웍스</t>
        </is>
      </c>
      <c r="C3782" s="2" t="inlineStr">
        <is>
          <t>코스닥</t>
        </is>
      </c>
      <c r="D3782" s="2" t="inlineStr">
        <is>
          <t>469750</t>
        </is>
      </c>
      <c r="E3782" s="3" t="inlineStr">
        <is>
          <t>주주총회소집결의               (정정: 20260522)</t>
        </is>
      </c>
      <c r="F3782" s="3" t="inlineStr">
        <is>
          <t>아이비젼웍스</t>
        </is>
      </c>
      <c r="G3782" s="2" t="inlineStr">
        <is>
          <t>20260522000570</t>
        </is>
      </c>
      <c r="H3782" s="8">
        <f>HYPERLINK("https://dart.fss.or.kr/dsaf001/main.do?rcpNo=20260522000570", "공시열람")</f>
        <v/>
      </c>
    </row>
    <row r="3783">
      <c r="A3783" s="2" t="inlineStr">
        <is>
          <t>2026-03-13</t>
        </is>
      </c>
      <c r="B3783" s="3" t="inlineStr">
        <is>
          <t>엠아이큐브솔루션</t>
        </is>
      </c>
      <c r="C3783" s="2" t="inlineStr">
        <is>
          <t>코스닥</t>
        </is>
      </c>
      <c r="D3783" s="2" t="inlineStr">
        <is>
          <t>373170</t>
        </is>
      </c>
      <c r="E3783" s="3" t="inlineStr">
        <is>
          <t>주주총회소집공고</t>
        </is>
      </c>
      <c r="F3783" s="3" t="inlineStr">
        <is>
          <t>엠아이큐브솔루션</t>
        </is>
      </c>
      <c r="G3783" s="2" t="inlineStr">
        <is>
          <t>20260313001317</t>
        </is>
      </c>
      <c r="H3783" s="8">
        <f>HYPERLINK("https://dart.fss.or.kr/dsaf001/main.do?rcpNo=20260313001317", "공시열람")</f>
        <v/>
      </c>
    </row>
    <row r="3784">
      <c r="A3784" s="2" t="inlineStr">
        <is>
          <t>2026-03-13</t>
        </is>
      </c>
      <c r="B3784" s="3" t="inlineStr">
        <is>
          <t>이뮨온시아</t>
        </is>
      </c>
      <c r="C3784" s="2" t="inlineStr">
        <is>
          <t>코스닥</t>
        </is>
      </c>
      <c r="D3784" s="2" t="inlineStr">
        <is>
          <t>424870</t>
        </is>
      </c>
      <c r="E3784" s="3" t="inlineStr">
        <is>
          <t>주주총회소집공고</t>
        </is>
      </c>
      <c r="F3784" s="3" t="inlineStr">
        <is>
          <t>이뮨온시아</t>
        </is>
      </c>
      <c r="G3784" s="2" t="inlineStr">
        <is>
          <t>20260313001316</t>
        </is>
      </c>
      <c r="H3784" s="8">
        <f>HYPERLINK("https://dart.fss.or.kr/dsaf001/main.do?rcpNo=20260313001316", "공시열람")</f>
        <v/>
      </c>
    </row>
    <row r="3785">
      <c r="A3785" s="2" t="inlineStr">
        <is>
          <t>2026-03-13</t>
        </is>
      </c>
      <c r="B3785" s="3" t="inlineStr">
        <is>
          <t>오스코텍</t>
        </is>
      </c>
      <c r="C3785" s="2" t="inlineStr">
        <is>
          <t>코스닥</t>
        </is>
      </c>
      <c r="D3785" s="2" t="inlineStr">
        <is>
          <t>039200</t>
        </is>
      </c>
      <c r="E3785" s="3" t="inlineStr">
        <is>
          <t>주주총회소집공고</t>
        </is>
      </c>
      <c r="F3785" s="3" t="inlineStr">
        <is>
          <t>오스코텍</t>
        </is>
      </c>
      <c r="G3785" s="2" t="inlineStr">
        <is>
          <t>20260313001314</t>
        </is>
      </c>
      <c r="H3785" s="8">
        <f>HYPERLINK("https://dart.fss.or.kr/dsaf001/main.do?rcpNo=20260313001314", "공시열람")</f>
        <v/>
      </c>
    </row>
    <row r="3786">
      <c r="A3786" s="2" t="inlineStr">
        <is>
          <t>2026-03-13</t>
        </is>
      </c>
      <c r="B3786" s="3" t="inlineStr">
        <is>
          <t>상신이디피</t>
        </is>
      </c>
      <c r="C3786" s="2" t="inlineStr">
        <is>
          <t>코스닥</t>
        </is>
      </c>
      <c r="D3786" s="2" t="inlineStr">
        <is>
          <t>091580</t>
        </is>
      </c>
      <c r="E3786" s="3" t="inlineStr">
        <is>
          <t>주주총회소집공고</t>
        </is>
      </c>
      <c r="F3786" s="3" t="inlineStr">
        <is>
          <t>상신이디피</t>
        </is>
      </c>
      <c r="G3786" s="2" t="inlineStr">
        <is>
          <t>20260313001310</t>
        </is>
      </c>
      <c r="H3786" s="8">
        <f>HYPERLINK("https://dart.fss.or.kr/dsaf001/main.do?rcpNo=20260313001310", "공시열람")</f>
        <v/>
      </c>
    </row>
    <row r="3787">
      <c r="A3787" s="2" t="inlineStr">
        <is>
          <t>2026-03-13</t>
        </is>
      </c>
      <c r="B3787" s="3" t="inlineStr">
        <is>
          <t>마이크로디지탈</t>
        </is>
      </c>
      <c r="C3787" s="2" t="inlineStr">
        <is>
          <t>코스닥</t>
        </is>
      </c>
      <c r="D3787" s="2" t="inlineStr">
        <is>
          <t>305090</t>
        </is>
      </c>
      <c r="E3787" s="3" t="inlineStr">
        <is>
          <t xml:space="preserve">주주총회소집결의              </t>
        </is>
      </c>
      <c r="F3787" s="3" t="inlineStr">
        <is>
          <t>마이크로디지탈</t>
        </is>
      </c>
      <c r="G3787" s="2" t="inlineStr">
        <is>
          <t>20260313902008</t>
        </is>
      </c>
      <c r="H3787" s="8">
        <f>HYPERLINK("https://dart.fss.or.kr/dsaf001/main.do?rcpNo=20260313902008", "공시열람")</f>
        <v/>
      </c>
    </row>
    <row r="3788">
      <c r="A3788" s="2" t="inlineStr">
        <is>
          <t>2026-03-13</t>
        </is>
      </c>
      <c r="B3788" s="3" t="inlineStr">
        <is>
          <t>성일하이텍</t>
        </is>
      </c>
      <c r="C3788" s="2" t="inlineStr">
        <is>
          <t>코스닥</t>
        </is>
      </c>
      <c r="D3788" s="2" t="inlineStr">
        <is>
          <t>365340</t>
        </is>
      </c>
      <c r="E3788" s="3" t="inlineStr">
        <is>
          <t xml:space="preserve">주주총회집중일개최사유신고              </t>
        </is>
      </c>
      <c r="F3788" s="3" t="inlineStr">
        <is>
          <t>성일하이텍</t>
        </is>
      </c>
      <c r="G3788" s="2" t="inlineStr">
        <is>
          <t>20260313901963</t>
        </is>
      </c>
      <c r="H3788" s="8">
        <f>HYPERLINK("https://dart.fss.or.kr/dsaf001/main.do?rcpNo=20260313901963", "공시열람")</f>
        <v/>
      </c>
    </row>
    <row r="3789">
      <c r="A3789" s="2" t="inlineStr">
        <is>
          <t>2026-03-13</t>
        </is>
      </c>
      <c r="B3789" s="3" t="inlineStr">
        <is>
          <t>테라뷰</t>
        </is>
      </c>
      <c r="C3789" s="2" t="inlineStr">
        <is>
          <t>코스닥</t>
        </is>
      </c>
      <c r="D3789" s="2" t="inlineStr">
        <is>
          <t>950250</t>
        </is>
      </c>
      <c r="E3789" s="3" t="inlineStr">
        <is>
          <t>주주총회소집공고</t>
        </is>
      </c>
      <c r="F3789" s="3" t="inlineStr">
        <is>
          <t>테라뷰</t>
        </is>
      </c>
      <c r="G3789" s="2" t="inlineStr">
        <is>
          <t>20260313001304</t>
        </is>
      </c>
      <c r="H3789" s="8">
        <f>HYPERLINK("https://dart.fss.or.kr/dsaf001/main.do?rcpNo=20260313001304", "공시열람")</f>
        <v/>
      </c>
    </row>
    <row r="3790">
      <c r="A3790" s="2" t="inlineStr">
        <is>
          <t>2026-03-13 (정정: 2026-06-02)</t>
        </is>
      </c>
      <c r="B3790" s="3" t="inlineStr">
        <is>
          <t>상신이디피</t>
        </is>
      </c>
      <c r="C3790" s="2" t="inlineStr">
        <is>
          <t>코스닥</t>
        </is>
      </c>
      <c r="D3790" s="2" t="inlineStr">
        <is>
          <t>091580</t>
        </is>
      </c>
      <c r="E3790" s="3" t="inlineStr">
        <is>
          <t>주주총회소집결의               (정정: 20260602)</t>
        </is>
      </c>
      <c r="F3790" s="3" t="inlineStr">
        <is>
          <t>상신이디피</t>
        </is>
      </c>
      <c r="G3790" s="2" t="inlineStr">
        <is>
          <t>20260602000490</t>
        </is>
      </c>
      <c r="H3790" s="8">
        <f>HYPERLINK("https://dart.fss.or.kr/dsaf001/main.do?rcpNo=20260602000490", "공시열람")</f>
        <v/>
      </c>
    </row>
    <row r="3791">
      <c r="A3791" s="2" t="inlineStr">
        <is>
          <t>2026-03-13</t>
        </is>
      </c>
      <c r="B3791" s="3" t="inlineStr">
        <is>
          <t>인바이츠바이오코아</t>
        </is>
      </c>
      <c r="C3791" s="2" t="inlineStr">
        <is>
          <t>코넥스</t>
        </is>
      </c>
      <c r="D3791" s="2" t="inlineStr">
        <is>
          <t>216400</t>
        </is>
      </c>
      <c r="E3791" s="3" t="inlineStr">
        <is>
          <t>주주총회소집공고</t>
        </is>
      </c>
      <c r="F3791" s="3" t="inlineStr">
        <is>
          <t>인바이츠바이오코아</t>
        </is>
      </c>
      <c r="G3791" s="2" t="inlineStr">
        <is>
          <t>20260313001296</t>
        </is>
      </c>
      <c r="H3791" s="8">
        <f>HYPERLINK("https://dart.fss.or.kr/dsaf001/main.do?rcpNo=20260313001296", "공시열람")</f>
        <v/>
      </c>
    </row>
    <row r="3792">
      <c r="A3792" s="2" t="inlineStr">
        <is>
          <t>2026-03-13</t>
        </is>
      </c>
      <c r="B3792" s="3" t="inlineStr">
        <is>
          <t>엠아이큐브솔루션</t>
        </is>
      </c>
      <c r="C3792" s="2" t="inlineStr">
        <is>
          <t>코스닥</t>
        </is>
      </c>
      <c r="D3792" s="2" t="inlineStr">
        <is>
          <t>373170</t>
        </is>
      </c>
      <c r="E3792" s="3" t="inlineStr">
        <is>
          <t xml:space="preserve">주주총회소집결의              </t>
        </is>
      </c>
      <c r="F3792" s="3" t="inlineStr">
        <is>
          <t>엠아이큐브솔루션</t>
        </is>
      </c>
      <c r="G3792" s="2" t="inlineStr">
        <is>
          <t>20260313901514</t>
        </is>
      </c>
      <c r="H3792" s="8">
        <f>HYPERLINK("https://dart.fss.or.kr/dsaf001/main.do?rcpNo=20260313901514", "공시열람")</f>
        <v/>
      </c>
    </row>
    <row r="3793">
      <c r="A3793" s="2" t="inlineStr">
        <is>
          <t>2026-03-13</t>
        </is>
      </c>
      <c r="B3793" s="3" t="inlineStr">
        <is>
          <t>공구우먼</t>
        </is>
      </c>
      <c r="C3793" s="2" t="inlineStr">
        <is>
          <t>코스닥</t>
        </is>
      </c>
      <c r="D3793" s="2" t="inlineStr">
        <is>
          <t>366030</t>
        </is>
      </c>
      <c r="E3793" s="3" t="inlineStr">
        <is>
          <t xml:space="preserve">최대주주변경을수반하는주식양수도계약체결              </t>
        </is>
      </c>
      <c r="F3793" s="3" t="inlineStr">
        <is>
          <t>공구우먼</t>
        </is>
      </c>
      <c r="G3793" s="2" t="inlineStr">
        <is>
          <t>20260313901795</t>
        </is>
      </c>
      <c r="H3793" s="8">
        <f>HYPERLINK("https://dart.fss.or.kr/dsaf001/main.do?rcpNo=20260313901795", "공시열람")</f>
        <v/>
      </c>
    </row>
    <row r="3794">
      <c r="A3794" s="2" t="inlineStr">
        <is>
          <t>2026-03-13</t>
        </is>
      </c>
      <c r="B3794" s="3" t="inlineStr">
        <is>
          <t>휴림로봇</t>
        </is>
      </c>
      <c r="C3794" s="2" t="inlineStr">
        <is>
          <t>코스닥</t>
        </is>
      </c>
      <c r="D3794" s="2" t="inlineStr">
        <is>
          <t>090710</t>
        </is>
      </c>
      <c r="E3794" s="3" t="inlineStr">
        <is>
          <t>주주총회소집공고</t>
        </is>
      </c>
      <c r="F3794" s="3" t="inlineStr">
        <is>
          <t>휴림로봇</t>
        </is>
      </c>
      <c r="G3794" s="2" t="inlineStr">
        <is>
          <t>20260313001293</t>
        </is>
      </c>
      <c r="H3794" s="8">
        <f>HYPERLINK("https://dart.fss.or.kr/dsaf001/main.do?rcpNo=20260313001293", "공시열람")</f>
        <v/>
      </c>
    </row>
    <row r="3795">
      <c r="A3795" s="2" t="inlineStr">
        <is>
          <t>2026-03-13</t>
        </is>
      </c>
      <c r="B3795" s="3" t="inlineStr">
        <is>
          <t>알에프세미</t>
        </is>
      </c>
      <c r="C3795" s="2" t="inlineStr">
        <is>
          <t>코스닥</t>
        </is>
      </c>
      <c r="D3795" s="2" t="inlineStr">
        <is>
          <t>096610</t>
        </is>
      </c>
      <c r="E3795" s="3" t="inlineStr">
        <is>
          <t>주주총회소집공고</t>
        </is>
      </c>
      <c r="F3795" s="3" t="inlineStr">
        <is>
          <t>알에프세미</t>
        </is>
      </c>
      <c r="G3795" s="2" t="inlineStr">
        <is>
          <t>20260313001290</t>
        </is>
      </c>
      <c r="H3795" s="8">
        <f>HYPERLINK("https://dart.fss.or.kr/dsaf001/main.do?rcpNo=20260313001290", "공시열람")</f>
        <v/>
      </c>
    </row>
    <row r="3796">
      <c r="A3796" s="2" t="inlineStr">
        <is>
          <t>2026-03-13</t>
        </is>
      </c>
      <c r="B3796" s="3" t="inlineStr">
        <is>
          <t>쓰리에이로직스</t>
        </is>
      </c>
      <c r="C3796" s="2" t="inlineStr">
        <is>
          <t>코스닥</t>
        </is>
      </c>
      <c r="D3796" s="2" t="inlineStr">
        <is>
          <t>177900</t>
        </is>
      </c>
      <c r="E3796" s="3" t="inlineStr">
        <is>
          <t xml:space="preserve">주주총회집중일개최사유신고              </t>
        </is>
      </c>
      <c r="F3796" s="3" t="inlineStr">
        <is>
          <t>쓰리에이로직스</t>
        </is>
      </c>
      <c r="G3796" s="2" t="inlineStr">
        <is>
          <t>20260313901915</t>
        </is>
      </c>
      <c r="H3796" s="8">
        <f>HYPERLINK("https://dart.fss.or.kr/dsaf001/main.do?rcpNo=20260313901915", "공시열람")</f>
        <v/>
      </c>
    </row>
    <row r="3797">
      <c r="A3797" s="2" t="inlineStr">
        <is>
          <t>2026-03-13</t>
        </is>
      </c>
      <c r="B3797" s="3" t="inlineStr">
        <is>
          <t>쓰리에이로직스</t>
        </is>
      </c>
      <c r="C3797" s="2" t="inlineStr">
        <is>
          <t>코스닥</t>
        </is>
      </c>
      <c r="D3797" s="2" t="inlineStr">
        <is>
          <t>177900</t>
        </is>
      </c>
      <c r="E3797" s="3" t="inlineStr">
        <is>
          <t xml:space="preserve">주주총회소집결의              </t>
        </is>
      </c>
      <c r="F3797" s="3" t="inlineStr">
        <is>
          <t>쓰리에이로직스</t>
        </is>
      </c>
      <c r="G3797" s="2" t="inlineStr">
        <is>
          <t>20260313901999</t>
        </is>
      </c>
      <c r="H3797" s="8">
        <f>HYPERLINK("https://dart.fss.or.kr/dsaf001/main.do?rcpNo=20260313901999", "공시열람")</f>
        <v/>
      </c>
    </row>
    <row r="3798">
      <c r="A3798" s="2" t="inlineStr">
        <is>
          <t>2026-03-13</t>
        </is>
      </c>
      <c r="B3798" s="3" t="inlineStr">
        <is>
          <t>테라뷰</t>
        </is>
      </c>
      <c r="C3798" s="2" t="inlineStr">
        <is>
          <t>코스닥</t>
        </is>
      </c>
      <c r="D3798" s="2" t="inlineStr">
        <is>
          <t>950250</t>
        </is>
      </c>
      <c r="E3798" s="3" t="inlineStr">
        <is>
          <t xml:space="preserve">[기재정정]주주총회소집결의              </t>
        </is>
      </c>
      <c r="F3798" s="3" t="inlineStr">
        <is>
          <t>테라뷰</t>
        </is>
      </c>
      <c r="G3798" s="2" t="inlineStr">
        <is>
          <t>20260313901865</t>
        </is>
      </c>
      <c r="H3798" s="8">
        <f>HYPERLINK("https://dart.fss.or.kr/dsaf001/main.do?rcpNo=20260313901865", "공시열람")</f>
        <v/>
      </c>
    </row>
    <row r="3799">
      <c r="A3799" s="2" t="inlineStr">
        <is>
          <t>2026-03-13</t>
        </is>
      </c>
      <c r="B3799" s="3" t="inlineStr">
        <is>
          <t>파라텍</t>
        </is>
      </c>
      <c r="C3799" s="2" t="inlineStr">
        <is>
          <t>코스닥</t>
        </is>
      </c>
      <c r="D3799" s="2" t="inlineStr">
        <is>
          <t>033540</t>
        </is>
      </c>
      <c r="E3799" s="3" t="inlineStr">
        <is>
          <t xml:space="preserve">주주총회집중일개최사유신고              </t>
        </is>
      </c>
      <c r="F3799" s="3" t="inlineStr">
        <is>
          <t>파라텍</t>
        </is>
      </c>
      <c r="G3799" s="2" t="inlineStr">
        <is>
          <t>20260313901993</t>
        </is>
      </c>
      <c r="H3799" s="8">
        <f>HYPERLINK("https://dart.fss.or.kr/dsaf001/main.do?rcpNo=20260313901993", "공시열람")</f>
        <v/>
      </c>
    </row>
    <row r="3800">
      <c r="A3800" s="2" t="inlineStr">
        <is>
          <t>2026-03-13</t>
        </is>
      </c>
      <c r="B3800" s="3" t="inlineStr">
        <is>
          <t>파라텍</t>
        </is>
      </c>
      <c r="C3800" s="2" t="inlineStr">
        <is>
          <t>코스닥</t>
        </is>
      </c>
      <c r="D3800" s="2" t="inlineStr">
        <is>
          <t>033540</t>
        </is>
      </c>
      <c r="E3800" s="3" t="inlineStr">
        <is>
          <t xml:space="preserve">주주총회소집결의              </t>
        </is>
      </c>
      <c r="F3800" s="3" t="inlineStr">
        <is>
          <t>파라텍</t>
        </is>
      </c>
      <c r="G3800" s="2" t="inlineStr">
        <is>
          <t>20260313901988</t>
        </is>
      </c>
      <c r="H3800" s="8">
        <f>HYPERLINK("https://dart.fss.or.kr/dsaf001/main.do?rcpNo=20260313901988", "공시열람")</f>
        <v/>
      </c>
    </row>
    <row r="3801">
      <c r="A3801" s="2" t="inlineStr">
        <is>
          <t>2026-03-13</t>
        </is>
      </c>
      <c r="B3801" s="3" t="inlineStr">
        <is>
          <t>휴림로봇</t>
        </is>
      </c>
      <c r="C3801" s="2" t="inlineStr">
        <is>
          <t>코스닥</t>
        </is>
      </c>
      <c r="D3801" s="2" t="inlineStr">
        <is>
          <t>090710</t>
        </is>
      </c>
      <c r="E3801" s="3" t="inlineStr">
        <is>
          <t xml:space="preserve">주주총회소집결의              </t>
        </is>
      </c>
      <c r="F3801" s="3" t="inlineStr">
        <is>
          <t>휴림로봇</t>
        </is>
      </c>
      <c r="G3801" s="2" t="inlineStr">
        <is>
          <t>20260313901961</t>
        </is>
      </c>
      <c r="H3801" s="8">
        <f>HYPERLINK("https://dart.fss.or.kr/dsaf001/main.do?rcpNo=20260313901961", "공시열람")</f>
        <v/>
      </c>
    </row>
    <row r="3802">
      <c r="A3802" s="2" t="inlineStr">
        <is>
          <t>2026-03-13</t>
        </is>
      </c>
      <c r="B3802" s="3" t="inlineStr">
        <is>
          <t>비비씨</t>
        </is>
      </c>
      <c r="C3802" s="2" t="inlineStr">
        <is>
          <t>코스닥</t>
        </is>
      </c>
      <c r="D3802" s="2" t="inlineStr">
        <is>
          <t>318410</t>
        </is>
      </c>
      <c r="E3802" s="3" t="inlineStr">
        <is>
          <t>주주총회소집공고</t>
        </is>
      </c>
      <c r="F3802" s="3" t="inlineStr">
        <is>
          <t>비비씨</t>
        </is>
      </c>
      <c r="G3802" s="2" t="inlineStr">
        <is>
          <t>20260313001263</t>
        </is>
      </c>
      <c r="H3802" s="8">
        <f>HYPERLINK("https://dart.fss.or.kr/dsaf001/main.do?rcpNo=20260313001263", "공시열람")</f>
        <v/>
      </c>
    </row>
    <row r="3803">
      <c r="A3803" s="2" t="inlineStr">
        <is>
          <t>2026-03-13 (정정: 2026-03-27)</t>
        </is>
      </c>
      <c r="B3803" s="3" t="inlineStr">
        <is>
          <t>엠엑스온</t>
        </is>
      </c>
      <c r="C3803" s="2" t="inlineStr">
        <is>
          <t>코스닥</t>
        </is>
      </c>
      <c r="D3803" s="2" t="inlineStr">
        <is>
          <t>347890</t>
        </is>
      </c>
      <c r="E3803" s="3" t="inlineStr">
        <is>
          <t>주주총회소집공고 (정정: 20260327)</t>
        </is>
      </c>
      <c r="F3803" s="3" t="inlineStr">
        <is>
          <t>엠엑스온</t>
        </is>
      </c>
      <c r="G3803" s="2" t="inlineStr">
        <is>
          <t>20260327001395</t>
        </is>
      </c>
      <c r="H3803" s="8">
        <f>HYPERLINK("https://dart.fss.or.kr/dsaf001/main.do?rcpNo=20260327001395", "공시열람")</f>
        <v/>
      </c>
    </row>
    <row r="3804">
      <c r="A3804" s="2" t="inlineStr">
        <is>
          <t>2026-03-13</t>
        </is>
      </c>
      <c r="B3804" s="3" t="inlineStr">
        <is>
          <t>비비안</t>
        </is>
      </c>
      <c r="C3804" s="2" t="inlineStr">
        <is>
          <t>코스피</t>
        </is>
      </c>
      <c r="D3804" s="2" t="inlineStr">
        <is>
          <t>002070</t>
        </is>
      </c>
      <c r="E3804" s="3" t="inlineStr">
        <is>
          <t xml:space="preserve">주주총회소집결의              </t>
        </is>
      </c>
      <c r="F3804" s="3" t="inlineStr">
        <is>
          <t>비비안</t>
        </is>
      </c>
      <c r="G3804" s="2" t="inlineStr">
        <is>
          <t>20260313801931</t>
        </is>
      </c>
      <c r="H3804" s="8">
        <f>HYPERLINK("https://dart.fss.or.kr/dsaf001/main.do?rcpNo=20260313801931", "공시열람")</f>
        <v/>
      </c>
    </row>
    <row r="3805">
      <c r="A3805" s="2" t="inlineStr">
        <is>
          <t>2026-03-13</t>
        </is>
      </c>
      <c r="B3805" s="3" t="inlineStr">
        <is>
          <t>바이오프로테크</t>
        </is>
      </c>
      <c r="C3805" s="2" t="inlineStr">
        <is>
          <t>코넥스</t>
        </is>
      </c>
      <c r="D3805" s="2" t="inlineStr">
        <is>
          <t>199290</t>
        </is>
      </c>
      <c r="E3805" s="3" t="inlineStr">
        <is>
          <t>주주총회소집공고</t>
        </is>
      </c>
      <c r="F3805" s="3" t="inlineStr">
        <is>
          <t>바이오프로테크</t>
        </is>
      </c>
      <c r="G3805" s="2" t="inlineStr">
        <is>
          <t>20260313001255</t>
        </is>
      </c>
      <c r="H3805" s="8">
        <f>HYPERLINK("https://dart.fss.or.kr/dsaf001/main.do?rcpNo=20260313001255", "공시열람")</f>
        <v/>
      </c>
    </row>
    <row r="3806">
      <c r="A3806" s="2" t="inlineStr">
        <is>
          <t>2026-03-13</t>
        </is>
      </c>
      <c r="B3806" s="3" t="inlineStr">
        <is>
          <t>케이엔알시스템</t>
        </is>
      </c>
      <c r="C3806" s="2" t="inlineStr">
        <is>
          <t>코스닥</t>
        </is>
      </c>
      <c r="D3806" s="2" t="inlineStr">
        <is>
          <t>199430</t>
        </is>
      </c>
      <c r="E3806" s="3" t="inlineStr">
        <is>
          <t>주주총회소집공고</t>
        </is>
      </c>
      <c r="F3806" s="3" t="inlineStr">
        <is>
          <t>케이엔알시스템</t>
        </is>
      </c>
      <c r="G3806" s="2" t="inlineStr">
        <is>
          <t>20260313001253</t>
        </is>
      </c>
      <c r="H3806" s="8">
        <f>HYPERLINK("https://dart.fss.or.kr/dsaf001/main.do?rcpNo=20260313001253", "공시열람")</f>
        <v/>
      </c>
    </row>
    <row r="3807">
      <c r="A3807" s="2" t="inlineStr">
        <is>
          <t>2026-03-13</t>
        </is>
      </c>
      <c r="B3807" s="3" t="inlineStr">
        <is>
          <t>KG에코솔루션</t>
        </is>
      </c>
      <c r="C3807" s="2" t="inlineStr">
        <is>
          <t>코스닥</t>
        </is>
      </c>
      <c r="D3807" s="2" t="inlineStr">
        <is>
          <t>151860</t>
        </is>
      </c>
      <c r="E3807" s="3" t="inlineStr">
        <is>
          <t xml:space="preserve">[첨부정정]주요사항보고서(회사합병결정)(자회사의 주요경영사항)              </t>
        </is>
      </c>
      <c r="F3807" s="3" t="inlineStr">
        <is>
          <t>KG에코솔루션</t>
        </is>
      </c>
      <c r="G3807" s="2" t="inlineStr">
        <is>
          <t>20260313901852</t>
        </is>
      </c>
      <c r="H3807" s="8">
        <f>HYPERLINK("https://dart.fss.or.kr/dsaf001/main.do?rcpNo=20260313901852", "공시열람")</f>
        <v/>
      </c>
    </row>
    <row r="3808">
      <c r="A3808" s="2" t="inlineStr">
        <is>
          <t>2026-02-10 (정정: 2026-03-13)</t>
        </is>
      </c>
      <c r="B3808" s="3" t="inlineStr">
        <is>
          <t>아이진</t>
        </is>
      </c>
      <c r="C3808" s="2" t="inlineStr">
        <is>
          <t>코스닥</t>
        </is>
      </c>
      <c r="D3808" s="2" t="inlineStr">
        <is>
          <t>185490</t>
        </is>
      </c>
      <c r="E3808" s="3" t="inlineStr">
        <is>
          <t xml:space="preserve">[기재정정]주주총회소집결의              </t>
        </is>
      </c>
      <c r="F3808" s="3" t="inlineStr">
        <is>
          <t>아이진</t>
        </is>
      </c>
      <c r="G3808" s="2" t="inlineStr">
        <is>
          <t>20260313901851</t>
        </is>
      </c>
      <c r="H3808" s="8">
        <f>HYPERLINK("https://dart.fss.or.kr/dsaf001/main.do?rcpNo=20260313901851", "공시열람")</f>
        <v/>
      </c>
    </row>
    <row r="3809">
      <c r="A3809" s="2" t="inlineStr">
        <is>
          <t>2026-03-13</t>
        </is>
      </c>
      <c r="B3809" s="3" t="inlineStr">
        <is>
          <t>엠엑스온</t>
        </is>
      </c>
      <c r="C3809" s="2" t="inlineStr">
        <is>
          <t>코스닥</t>
        </is>
      </c>
      <c r="D3809" s="2" t="inlineStr">
        <is>
          <t>347890</t>
        </is>
      </c>
      <c r="E3809" s="3" t="inlineStr">
        <is>
          <t xml:space="preserve">주주총회집중일개최사유신고              </t>
        </is>
      </c>
      <c r="F3809" s="3" t="inlineStr">
        <is>
          <t>엠엑스온</t>
        </is>
      </c>
      <c r="G3809" s="2" t="inlineStr">
        <is>
          <t>20260313901667</t>
        </is>
      </c>
      <c r="H3809" s="8">
        <f>HYPERLINK("https://dart.fss.or.kr/dsaf001/main.do?rcpNo=20260313901667", "공시열람")</f>
        <v/>
      </c>
    </row>
    <row r="3810">
      <c r="A3810" s="2" t="inlineStr">
        <is>
          <t>2026-03-13</t>
        </is>
      </c>
      <c r="B3810" s="3" t="inlineStr">
        <is>
          <t>엠엑스온</t>
        </is>
      </c>
      <c r="C3810" s="2" t="inlineStr">
        <is>
          <t>코스닥</t>
        </is>
      </c>
      <c r="D3810" s="2" t="inlineStr">
        <is>
          <t>347890</t>
        </is>
      </c>
      <c r="E3810" s="3" t="inlineStr">
        <is>
          <t xml:space="preserve">주주총회소집결의              </t>
        </is>
      </c>
      <c r="F3810" s="3" t="inlineStr">
        <is>
          <t>엠엑스온</t>
        </is>
      </c>
      <c r="G3810" s="2" t="inlineStr">
        <is>
          <t>20260313901664</t>
        </is>
      </c>
      <c r="H3810" s="8">
        <f>HYPERLINK("https://dart.fss.or.kr/dsaf001/main.do?rcpNo=20260313901664", "공시열람")</f>
        <v/>
      </c>
    </row>
    <row r="3811">
      <c r="A3811" s="2" t="inlineStr">
        <is>
          <t>2026-03-13</t>
        </is>
      </c>
      <c r="B3811" s="3" t="inlineStr">
        <is>
          <t>KG에코솔루션</t>
        </is>
      </c>
      <c r="C3811" s="2" t="inlineStr">
        <is>
          <t>코스닥</t>
        </is>
      </c>
      <c r="D3811" s="2" t="inlineStr">
        <is>
          <t>151860</t>
        </is>
      </c>
      <c r="E3811" s="3" t="inlineStr">
        <is>
          <t xml:space="preserve">[첨부정정]주요사항보고서(회사합병결정)(자회사의 주요경영사항)              </t>
        </is>
      </c>
      <c r="F3811" s="3" t="inlineStr">
        <is>
          <t>KG에코솔루션</t>
        </is>
      </c>
      <c r="G3811" s="2" t="inlineStr">
        <is>
          <t>20260313901844</t>
        </is>
      </c>
      <c r="H3811" s="8">
        <f>HYPERLINK("https://dart.fss.or.kr/dsaf001/main.do?rcpNo=20260313901844", "공시열람")</f>
        <v/>
      </c>
    </row>
    <row r="3812">
      <c r="A3812" s="2" t="inlineStr">
        <is>
          <t>2026-03-13</t>
        </is>
      </c>
      <c r="B3812" s="3" t="inlineStr">
        <is>
          <t>키네마스터</t>
        </is>
      </c>
      <c r="C3812" s="2" t="inlineStr">
        <is>
          <t>코스닥</t>
        </is>
      </c>
      <c r="D3812" s="2" t="inlineStr">
        <is>
          <t>139670</t>
        </is>
      </c>
      <c r="E3812" s="3" t="inlineStr">
        <is>
          <t xml:space="preserve">주주총회소집결의              </t>
        </is>
      </c>
      <c r="F3812" s="3" t="inlineStr">
        <is>
          <t>키네마스터</t>
        </is>
      </c>
      <c r="G3812" s="2" t="inlineStr">
        <is>
          <t>20260313901764</t>
        </is>
      </c>
      <c r="H3812" s="8">
        <f>HYPERLINK("https://dart.fss.or.kr/dsaf001/main.do?rcpNo=20260313901764", "공시열람")</f>
        <v/>
      </c>
    </row>
    <row r="3813">
      <c r="A3813" s="2" t="inlineStr">
        <is>
          <t>2026-03-13</t>
        </is>
      </c>
      <c r="B3813" s="3" t="inlineStr">
        <is>
          <t>앱토크롬</t>
        </is>
      </c>
      <c r="C3813" s="2" t="inlineStr">
        <is>
          <t>코스닥</t>
        </is>
      </c>
      <c r="D3813" s="2" t="inlineStr">
        <is>
          <t>109960</t>
        </is>
      </c>
      <c r="E3813" s="3" t="inlineStr">
        <is>
          <t xml:space="preserve">주주총회집중일개최사유신고              </t>
        </is>
      </c>
      <c r="F3813" s="3" t="inlineStr">
        <is>
          <t>앱토크롬</t>
        </is>
      </c>
      <c r="G3813" s="2" t="inlineStr">
        <is>
          <t>20260313901781</t>
        </is>
      </c>
      <c r="H3813" s="8">
        <f>HYPERLINK("https://dart.fss.or.kr/dsaf001/main.do?rcpNo=20260313901781", "공시열람")</f>
        <v/>
      </c>
    </row>
    <row r="3814">
      <c r="A3814" s="2" t="inlineStr">
        <is>
          <t>2026-03-13</t>
        </is>
      </c>
      <c r="B3814" s="3" t="inlineStr">
        <is>
          <t>유틸렉스</t>
        </is>
      </c>
      <c r="C3814" s="2" t="inlineStr">
        <is>
          <t>코스닥</t>
        </is>
      </c>
      <c r="D3814" s="2" t="inlineStr">
        <is>
          <t>263050</t>
        </is>
      </c>
      <c r="E3814" s="3" t="inlineStr">
        <is>
          <t xml:space="preserve">주주총회소집결의              </t>
        </is>
      </c>
      <c r="F3814" s="3" t="inlineStr">
        <is>
          <t>유틸렉스</t>
        </is>
      </c>
      <c r="G3814" s="2" t="inlineStr">
        <is>
          <t>20260313901656</t>
        </is>
      </c>
      <c r="H3814" s="8">
        <f>HYPERLINK("https://dart.fss.or.kr/dsaf001/main.do?rcpNo=20260313901656", "공시열람")</f>
        <v/>
      </c>
    </row>
    <row r="3815">
      <c r="A3815" s="2" t="inlineStr">
        <is>
          <t>2026-03-13</t>
        </is>
      </c>
      <c r="B3815" s="3" t="inlineStr">
        <is>
          <t>아이엘로보틱스</t>
        </is>
      </c>
      <c r="C3815" s="2" t="inlineStr">
        <is>
          <t>코넥스</t>
        </is>
      </c>
      <c r="D3815" s="2" t="inlineStr">
        <is>
          <t>403810</t>
        </is>
      </c>
      <c r="E3815" s="3" t="inlineStr">
        <is>
          <t>주주총회소집공고</t>
        </is>
      </c>
      <c r="F3815" s="3" t="inlineStr">
        <is>
          <t>아이엘로보틱스</t>
        </is>
      </c>
      <c r="G3815" s="2" t="inlineStr">
        <is>
          <t>20260313001245</t>
        </is>
      </c>
      <c r="H3815" s="8">
        <f>HYPERLINK("https://dart.fss.or.kr/dsaf001/main.do?rcpNo=20260313001245", "공시열람")</f>
        <v/>
      </c>
    </row>
    <row r="3816">
      <c r="A3816" s="2" t="inlineStr">
        <is>
          <t>2026-03-13</t>
        </is>
      </c>
      <c r="B3816" s="3" t="inlineStr">
        <is>
          <t>성일하이텍</t>
        </is>
      </c>
      <c r="C3816" s="2" t="inlineStr">
        <is>
          <t>코스닥</t>
        </is>
      </c>
      <c r="D3816" s="2" t="inlineStr">
        <is>
          <t>365340</t>
        </is>
      </c>
      <c r="E3816" s="3" t="inlineStr">
        <is>
          <t>주주총회소집공고</t>
        </is>
      </c>
      <c r="F3816" s="3" t="inlineStr">
        <is>
          <t>성일하이텍</t>
        </is>
      </c>
      <c r="G3816" s="2" t="inlineStr">
        <is>
          <t>20260313001234</t>
        </is>
      </c>
      <c r="H3816" s="8">
        <f>HYPERLINK("https://dart.fss.or.kr/dsaf001/main.do?rcpNo=20260313001234", "공시열람")</f>
        <v/>
      </c>
    </row>
    <row r="3817">
      <c r="A3817" s="2" t="inlineStr">
        <is>
          <t>2026-03-13 (정정: 2026-05-29)</t>
        </is>
      </c>
      <c r="B3817" s="3" t="inlineStr">
        <is>
          <t>이니텍</t>
        </is>
      </c>
      <c r="C3817" s="2" t="inlineStr">
        <is>
          <t>코스닥</t>
        </is>
      </c>
      <c r="D3817" s="2" t="inlineStr">
        <is>
          <t>053350</t>
        </is>
      </c>
      <c r="E3817" s="3" t="inlineStr">
        <is>
          <t>주주총회소집공고 (정정: 20260529)</t>
        </is>
      </c>
      <c r="F3817" s="3" t="inlineStr">
        <is>
          <t>이니텍</t>
        </is>
      </c>
      <c r="G3817" s="2" t="inlineStr">
        <is>
          <t>20260529900884</t>
        </is>
      </c>
      <c r="H3817" s="8">
        <f>HYPERLINK("https://dart.fss.or.kr/dsaf001/main.do?rcpNo=20260529900884", "공시열람")</f>
        <v/>
      </c>
    </row>
    <row r="3818">
      <c r="A3818" s="2" t="inlineStr">
        <is>
          <t>2026-03-13</t>
        </is>
      </c>
      <c r="B3818" s="3" t="inlineStr">
        <is>
          <t>에이프로젠바이오로직스</t>
        </is>
      </c>
      <c r="C3818" s="2" t="inlineStr">
        <is>
          <t>코스피</t>
        </is>
      </c>
      <c r="D3818" s="2" t="inlineStr">
        <is>
          <t>003060</t>
        </is>
      </c>
      <c r="E3818" s="3" t="inlineStr">
        <is>
          <t xml:space="preserve">주주총회집중일개최사유신고              </t>
        </is>
      </c>
      <c r="F3818" s="3" t="inlineStr">
        <is>
          <t>에이프로젠바이오로직스</t>
        </is>
      </c>
      <c r="G3818" s="2" t="inlineStr">
        <is>
          <t>20260313801849</t>
        </is>
      </c>
      <c r="H3818" s="8">
        <f>HYPERLINK("https://dart.fss.or.kr/dsaf001/main.do?rcpNo=20260313801849", "공시열람")</f>
        <v/>
      </c>
    </row>
    <row r="3819">
      <c r="A3819" s="2" t="inlineStr">
        <is>
          <t>2026-03-13</t>
        </is>
      </c>
      <c r="B3819" s="3" t="inlineStr">
        <is>
          <t>좋은사람들</t>
        </is>
      </c>
      <c r="C3819" s="2" t="inlineStr">
        <is>
          <t>코스닥</t>
        </is>
      </c>
      <c r="D3819" s="2" t="inlineStr">
        <is>
          <t>033340</t>
        </is>
      </c>
      <c r="E3819" s="3" t="inlineStr">
        <is>
          <t>주주총회소집공고</t>
        </is>
      </c>
      <c r="F3819" s="3" t="inlineStr">
        <is>
          <t>좋은사람들</t>
        </is>
      </c>
      <c r="G3819" s="2" t="inlineStr">
        <is>
          <t>20260313001228</t>
        </is>
      </c>
      <c r="H3819" s="8">
        <f>HYPERLINK("https://dart.fss.or.kr/dsaf001/main.do?rcpNo=20260313001228", "공시열람")</f>
        <v/>
      </c>
    </row>
    <row r="3820">
      <c r="A3820" s="2" t="inlineStr">
        <is>
          <t>2026-03-13</t>
        </is>
      </c>
      <c r="B3820" s="3" t="inlineStr">
        <is>
          <t>하이젠알앤엠</t>
        </is>
      </c>
      <c r="C3820" s="2" t="inlineStr">
        <is>
          <t>코스닥</t>
        </is>
      </c>
      <c r="D3820" s="2" t="inlineStr">
        <is>
          <t>160190</t>
        </is>
      </c>
      <c r="E3820" s="3" t="inlineStr">
        <is>
          <t>[기재정정]주주총회소집공고</t>
        </is>
      </c>
      <c r="F3820" s="3" t="inlineStr">
        <is>
          <t>하이젠알앤엠</t>
        </is>
      </c>
      <c r="G3820" s="2" t="inlineStr">
        <is>
          <t>20260313001220</t>
        </is>
      </c>
      <c r="H3820" s="8">
        <f>HYPERLINK("https://dart.fss.or.kr/dsaf001/main.do?rcpNo=20260313001220", "공시열람")</f>
        <v/>
      </c>
    </row>
    <row r="3821">
      <c r="A3821" s="2" t="inlineStr">
        <is>
          <t>2026-03-13</t>
        </is>
      </c>
      <c r="B3821" s="3" t="inlineStr">
        <is>
          <t>킵스파마</t>
        </is>
      </c>
      <c r="C3821" s="2" t="inlineStr">
        <is>
          <t>코스닥</t>
        </is>
      </c>
      <c r="D3821" s="2" t="inlineStr">
        <is>
          <t>256940</t>
        </is>
      </c>
      <c r="E3821" s="3" t="inlineStr">
        <is>
          <t xml:space="preserve">주주총회집중일개최사유신고              </t>
        </is>
      </c>
      <c r="F3821" s="3" t="inlineStr">
        <is>
          <t>킵스파마</t>
        </is>
      </c>
      <c r="G3821" s="2" t="inlineStr">
        <is>
          <t>20260313901745</t>
        </is>
      </c>
      <c r="H3821" s="8">
        <f>HYPERLINK("https://dart.fss.or.kr/dsaf001/main.do?rcpNo=20260313901745", "공시열람")</f>
        <v/>
      </c>
    </row>
    <row r="3822">
      <c r="A3822" s="2" t="inlineStr">
        <is>
          <t>2026-03-13</t>
        </is>
      </c>
      <c r="B3822" s="3" t="inlineStr">
        <is>
          <t>킵스파마</t>
        </is>
      </c>
      <c r="C3822" s="2" t="inlineStr">
        <is>
          <t>코스닥</t>
        </is>
      </c>
      <c r="D3822" s="2" t="inlineStr">
        <is>
          <t>256940</t>
        </is>
      </c>
      <c r="E3822" s="3" t="inlineStr">
        <is>
          <t xml:space="preserve">주주총회소집결의              </t>
        </is>
      </c>
      <c r="F3822" s="3" t="inlineStr">
        <is>
          <t>킵스파마</t>
        </is>
      </c>
      <c r="G3822" s="2" t="inlineStr">
        <is>
          <t>20260313901739</t>
        </is>
      </c>
      <c r="H3822" s="8">
        <f>HYPERLINK("https://dart.fss.or.kr/dsaf001/main.do?rcpNo=20260313901739", "공시열람")</f>
        <v/>
      </c>
    </row>
    <row r="3823">
      <c r="A3823" s="2" t="inlineStr">
        <is>
          <t>2026-03-13</t>
        </is>
      </c>
      <c r="B3823" s="3" t="inlineStr">
        <is>
          <t>쓰리에이로직스</t>
        </is>
      </c>
      <c r="C3823" s="2" t="inlineStr">
        <is>
          <t>코스닥</t>
        </is>
      </c>
      <c r="D3823" s="2" t="inlineStr">
        <is>
          <t>177900</t>
        </is>
      </c>
      <c r="E3823" s="3" t="inlineStr">
        <is>
          <t>주주총회소집공고</t>
        </is>
      </c>
      <c r="F3823" s="3" t="inlineStr">
        <is>
          <t>쓰리에이로직스</t>
        </is>
      </c>
      <c r="G3823" s="2" t="inlineStr">
        <is>
          <t>20260313001219</t>
        </is>
      </c>
      <c r="H3823" s="8">
        <f>HYPERLINK("https://dart.fss.or.kr/dsaf001/main.do?rcpNo=20260313001219", "공시열람")</f>
        <v/>
      </c>
    </row>
    <row r="3824">
      <c r="A3824" s="2" t="inlineStr">
        <is>
          <t>2026-03-13</t>
        </is>
      </c>
      <c r="B3824" s="3" t="inlineStr">
        <is>
          <t>하이로닉</t>
        </is>
      </c>
      <c r="C3824" s="2" t="inlineStr">
        <is>
          <t>코스닥</t>
        </is>
      </c>
      <c r="D3824" s="2" t="inlineStr">
        <is>
          <t>149980</t>
        </is>
      </c>
      <c r="E3824" s="3" t="inlineStr">
        <is>
          <t>주주총회소집공고</t>
        </is>
      </c>
      <c r="F3824" s="3" t="inlineStr">
        <is>
          <t>하이로닉</t>
        </is>
      </c>
      <c r="G3824" s="2" t="inlineStr">
        <is>
          <t>20260313001217</t>
        </is>
      </c>
      <c r="H3824" s="8">
        <f>HYPERLINK("https://dart.fss.or.kr/dsaf001/main.do?rcpNo=20260313001217", "공시열람")</f>
        <v/>
      </c>
    </row>
    <row r="3825">
      <c r="A3825" s="2" t="inlineStr">
        <is>
          <t>2026-03-13</t>
        </is>
      </c>
      <c r="B3825" s="3" t="inlineStr">
        <is>
          <t>대호특수강</t>
        </is>
      </c>
      <c r="C3825" s="2" t="inlineStr">
        <is>
          <t>코스닥</t>
        </is>
      </c>
      <c r="D3825" s="2" t="inlineStr">
        <is>
          <t>021040</t>
        </is>
      </c>
      <c r="E3825" s="3" t="inlineStr">
        <is>
          <t>[기재정정]주주총회소집공고</t>
        </is>
      </c>
      <c r="F3825" s="3" t="inlineStr">
        <is>
          <t>대호특수강</t>
        </is>
      </c>
      <c r="G3825" s="2" t="inlineStr">
        <is>
          <t>20260313001216</t>
        </is>
      </c>
      <c r="H3825" s="8">
        <f>HYPERLINK("https://dart.fss.or.kr/dsaf001/main.do?rcpNo=20260313001216", "공시열람")</f>
        <v/>
      </c>
    </row>
    <row r="3826">
      <c r="A3826" s="2" t="inlineStr">
        <is>
          <t>2026-03-13 (정정: 2026-06-02)</t>
        </is>
      </c>
      <c r="B3826" s="3" t="inlineStr">
        <is>
          <t>성일하이텍</t>
        </is>
      </c>
      <c r="C3826" s="2" t="inlineStr">
        <is>
          <t>코스닥</t>
        </is>
      </c>
      <c r="D3826" s="2" t="inlineStr">
        <is>
          <t>365340</t>
        </is>
      </c>
      <c r="E3826" s="3" t="inlineStr">
        <is>
          <t>주주총회소집결의               (정정: 20260602)</t>
        </is>
      </c>
      <c r="F3826" s="3" t="inlineStr">
        <is>
          <t>성일하이텍</t>
        </is>
      </c>
      <c r="G3826" s="2" t="inlineStr">
        <is>
          <t>20260602000219</t>
        </is>
      </c>
      <c r="H3826" s="8">
        <f>HYPERLINK("https://dart.fss.or.kr/dsaf001/main.do?rcpNo=20260602000219", "공시열람")</f>
        <v/>
      </c>
    </row>
    <row r="3827">
      <c r="A3827" s="2" t="inlineStr">
        <is>
          <t>2026-03-13</t>
        </is>
      </c>
      <c r="B3827" s="3" t="inlineStr">
        <is>
          <t>좋은사람들</t>
        </is>
      </c>
      <c r="C3827" s="2" t="inlineStr">
        <is>
          <t>코스닥</t>
        </is>
      </c>
      <c r="D3827" s="2" t="inlineStr">
        <is>
          <t>033340</t>
        </is>
      </c>
      <c r="E3827" s="3" t="inlineStr">
        <is>
          <t xml:space="preserve">주주총회집중일개최사유신고              </t>
        </is>
      </c>
      <c r="F3827" s="3" t="inlineStr">
        <is>
          <t>좋은사람들</t>
        </is>
      </c>
      <c r="G3827" s="2" t="inlineStr">
        <is>
          <t>20260313901798</t>
        </is>
      </c>
      <c r="H3827" s="8">
        <f>HYPERLINK("https://dart.fss.or.kr/dsaf001/main.do?rcpNo=20260313901798", "공시열람")</f>
        <v/>
      </c>
    </row>
    <row r="3828">
      <c r="A3828" s="2" t="inlineStr">
        <is>
          <t>2026-03-13</t>
        </is>
      </c>
      <c r="B3828" s="3" t="inlineStr">
        <is>
          <t>비비씨</t>
        </is>
      </c>
      <c r="C3828" s="2" t="inlineStr">
        <is>
          <t>코스닥</t>
        </is>
      </c>
      <c r="D3828" s="2" t="inlineStr">
        <is>
          <t>318410</t>
        </is>
      </c>
      <c r="E3828" s="3" t="inlineStr">
        <is>
          <t xml:space="preserve">주주총회소집결의              </t>
        </is>
      </c>
      <c r="F3828" s="3" t="inlineStr">
        <is>
          <t>비비씨</t>
        </is>
      </c>
      <c r="G3828" s="2" t="inlineStr">
        <is>
          <t>20260313901063</t>
        </is>
      </c>
      <c r="H3828" s="8">
        <f>HYPERLINK("https://dart.fss.or.kr/dsaf001/main.do?rcpNo=20260313901063", "공시열람")</f>
        <v/>
      </c>
    </row>
    <row r="3829">
      <c r="A3829" s="2" t="inlineStr">
        <is>
          <t>2026-03-13</t>
        </is>
      </c>
      <c r="B3829" s="3" t="inlineStr">
        <is>
          <t>버넥트</t>
        </is>
      </c>
      <c r="C3829" s="2" t="inlineStr">
        <is>
          <t>코스닥</t>
        </is>
      </c>
      <c r="D3829" s="2" t="inlineStr">
        <is>
          <t>438700</t>
        </is>
      </c>
      <c r="E3829" s="3" t="inlineStr">
        <is>
          <t>주주총회소집공고</t>
        </is>
      </c>
      <c r="F3829" s="3" t="inlineStr">
        <is>
          <t>버넥트</t>
        </is>
      </c>
      <c r="G3829" s="2" t="inlineStr">
        <is>
          <t>20260313001210</t>
        </is>
      </c>
      <c r="H3829" s="8">
        <f>HYPERLINK("https://dart.fss.or.kr/dsaf001/main.do?rcpNo=20260313001210", "공시열람")</f>
        <v/>
      </c>
    </row>
    <row r="3830">
      <c r="A3830" s="2" t="inlineStr">
        <is>
          <t>2026-03-13</t>
        </is>
      </c>
      <c r="B3830" s="3" t="inlineStr">
        <is>
          <t>경동제약</t>
        </is>
      </c>
      <c r="C3830" s="2" t="inlineStr">
        <is>
          <t>코스닥</t>
        </is>
      </c>
      <c r="D3830" s="2" t="inlineStr">
        <is>
          <t>011040</t>
        </is>
      </c>
      <c r="E3830" s="3" t="inlineStr">
        <is>
          <t>주주총회소집공고</t>
        </is>
      </c>
      <c r="F3830" s="3" t="inlineStr">
        <is>
          <t>경동제약</t>
        </is>
      </c>
      <c r="G3830" s="2" t="inlineStr">
        <is>
          <t>20260313001208</t>
        </is>
      </c>
      <c r="H3830" s="8">
        <f>HYPERLINK("https://dart.fss.or.kr/dsaf001/main.do?rcpNo=20260313001208", "공시열람")</f>
        <v/>
      </c>
    </row>
    <row r="3831">
      <c r="A3831" s="2" t="inlineStr">
        <is>
          <t>2026-03-13</t>
        </is>
      </c>
      <c r="B3831" s="3" t="inlineStr">
        <is>
          <t>좋은사람들</t>
        </is>
      </c>
      <c r="C3831" s="2" t="inlineStr">
        <is>
          <t>코스닥</t>
        </is>
      </c>
      <c r="D3831" s="2" t="inlineStr">
        <is>
          <t>033340</t>
        </is>
      </c>
      <c r="E3831" s="3" t="inlineStr">
        <is>
          <t xml:space="preserve">주주총회소집결의              </t>
        </is>
      </c>
      <c r="F3831" s="3" t="inlineStr">
        <is>
          <t>좋은사람들</t>
        </is>
      </c>
      <c r="G3831" s="2" t="inlineStr">
        <is>
          <t>20260313901777</t>
        </is>
      </c>
      <c r="H3831" s="8">
        <f>HYPERLINK("https://dart.fss.or.kr/dsaf001/main.do?rcpNo=20260313901777", "공시열람")</f>
        <v/>
      </c>
    </row>
    <row r="3832">
      <c r="A3832" s="2" t="inlineStr">
        <is>
          <t>2026-03-13</t>
        </is>
      </c>
      <c r="B3832" s="3" t="inlineStr">
        <is>
          <t>KG스틸</t>
        </is>
      </c>
      <c r="C3832" s="2" t="inlineStr">
        <is>
          <t>코스피</t>
        </is>
      </c>
      <c r="D3832" s="2" t="inlineStr">
        <is>
          <t>016380</t>
        </is>
      </c>
      <c r="E3832" s="3" t="inlineStr">
        <is>
          <t>[첨부정정]주요사항보고서(회사합병결정)</t>
        </is>
      </c>
      <c r="F3832" s="3" t="inlineStr">
        <is>
          <t>KG스틸</t>
        </is>
      </c>
      <c r="G3832" s="2" t="inlineStr">
        <is>
          <t>20260313001198</t>
        </is>
      </c>
      <c r="H3832" s="8">
        <f>HYPERLINK("https://dart.fss.or.kr/dsaf001/main.do?rcpNo=20260313001198", "공시열람")</f>
        <v/>
      </c>
    </row>
    <row r="3833">
      <c r="A3833" s="2" t="inlineStr">
        <is>
          <t>2026-03-13</t>
        </is>
      </c>
      <c r="B3833" s="3" t="inlineStr">
        <is>
          <t>KG스틸</t>
        </is>
      </c>
      <c r="C3833" s="2" t="inlineStr">
        <is>
          <t>코스피</t>
        </is>
      </c>
      <c r="D3833" s="2" t="inlineStr">
        <is>
          <t>016380</t>
        </is>
      </c>
      <c r="E3833" s="3" t="inlineStr">
        <is>
          <t>[첨부정정]주요사항보고서(회사합병결정)</t>
        </is>
      </c>
      <c r="F3833" s="3" t="inlineStr">
        <is>
          <t>KG스틸</t>
        </is>
      </c>
      <c r="G3833" s="2" t="inlineStr">
        <is>
          <t>20260313001182</t>
        </is>
      </c>
      <c r="H3833" s="8">
        <f>HYPERLINK("https://dart.fss.or.kr/dsaf001/main.do?rcpNo=20260313001182", "공시열람")</f>
        <v/>
      </c>
    </row>
    <row r="3834">
      <c r="A3834" s="2" t="inlineStr">
        <is>
          <t>2026-03-13 (정정: 2026-03-17)</t>
        </is>
      </c>
      <c r="B3834" s="3" t="inlineStr">
        <is>
          <t>갤럭시아에스엠</t>
        </is>
      </c>
      <c r="C3834" s="2" t="inlineStr">
        <is>
          <t>코스피</t>
        </is>
      </c>
      <c r="D3834" s="2" t="inlineStr">
        <is>
          <t>011420</t>
        </is>
      </c>
      <c r="E3834" s="3" t="inlineStr">
        <is>
          <t>주주총회소집공고 (정정: 20260317)</t>
        </is>
      </c>
      <c r="F3834" s="3" t="inlineStr">
        <is>
          <t>갤럭시아에스엠</t>
        </is>
      </c>
      <c r="G3834" s="2" t="inlineStr">
        <is>
          <t>20260317000418</t>
        </is>
      </c>
      <c r="H3834" s="8">
        <f>HYPERLINK("https://dart.fss.or.kr/dsaf001/main.do?rcpNo=20260317000418", "공시열람")</f>
        <v/>
      </c>
    </row>
    <row r="3835">
      <c r="A3835" s="2" t="inlineStr">
        <is>
          <t>2026-03-13</t>
        </is>
      </c>
      <c r="B3835" s="3" t="inlineStr">
        <is>
          <t>스튜디오미르</t>
        </is>
      </c>
      <c r="C3835" s="2" t="inlineStr">
        <is>
          <t>코스닥</t>
        </is>
      </c>
      <c r="D3835" s="2" t="inlineStr">
        <is>
          <t>408900</t>
        </is>
      </c>
      <c r="E3835" s="3" t="inlineStr">
        <is>
          <t>주주총회소집공고</t>
        </is>
      </c>
      <c r="F3835" s="3" t="inlineStr">
        <is>
          <t>스튜디오미르</t>
        </is>
      </c>
      <c r="G3835" s="2" t="inlineStr">
        <is>
          <t>20260313001201</t>
        </is>
      </c>
      <c r="H3835" s="8">
        <f>HYPERLINK("https://dart.fss.or.kr/dsaf001/main.do?rcpNo=20260313001201", "공시열람")</f>
        <v/>
      </c>
    </row>
    <row r="3836">
      <c r="A3836" s="2" t="inlineStr">
        <is>
          <t>2026-03-13</t>
        </is>
      </c>
      <c r="B3836" s="3" t="inlineStr">
        <is>
          <t>넥스트아이</t>
        </is>
      </c>
      <c r="C3836" s="2" t="inlineStr">
        <is>
          <t>코스닥</t>
        </is>
      </c>
      <c r="D3836" s="2" t="inlineStr">
        <is>
          <t>137940</t>
        </is>
      </c>
      <c r="E3836" s="3" t="inlineStr">
        <is>
          <t>주주총회소집공고</t>
        </is>
      </c>
      <c r="F3836" s="3" t="inlineStr">
        <is>
          <t>넥스트아이</t>
        </is>
      </c>
      <c r="G3836" s="2" t="inlineStr">
        <is>
          <t>20260313001200</t>
        </is>
      </c>
      <c r="H3836" s="8">
        <f>HYPERLINK("https://dart.fss.or.kr/dsaf001/main.do?rcpNo=20260313001200", "공시열람")</f>
        <v/>
      </c>
    </row>
    <row r="3837">
      <c r="A3837" s="2" t="inlineStr">
        <is>
          <t>2026-03-13</t>
        </is>
      </c>
      <c r="B3837" s="3" t="inlineStr">
        <is>
          <t>제이브이엠</t>
        </is>
      </c>
      <c r="C3837" s="2" t="inlineStr">
        <is>
          <t>코스닥</t>
        </is>
      </c>
      <c r="D3837" s="2" t="inlineStr">
        <is>
          <t>054950</t>
        </is>
      </c>
      <c r="E3837" s="3" t="inlineStr">
        <is>
          <t>주주총회소집공고</t>
        </is>
      </c>
      <c r="F3837" s="3" t="inlineStr">
        <is>
          <t>제이브이엠</t>
        </is>
      </c>
      <c r="G3837" s="2" t="inlineStr">
        <is>
          <t>20260313001199</t>
        </is>
      </c>
      <c r="H3837" s="8">
        <f>HYPERLINK("https://dart.fss.or.kr/dsaf001/main.do?rcpNo=20260313001199", "공시열람")</f>
        <v/>
      </c>
    </row>
    <row r="3838">
      <c r="A3838" s="2" t="inlineStr">
        <is>
          <t>2026-03-13 (정정: 2026-03-13)</t>
        </is>
      </c>
      <c r="B3838" s="3" t="inlineStr">
        <is>
          <t>에이프로젠바이오로직스</t>
        </is>
      </c>
      <c r="C3838" s="2" t="inlineStr">
        <is>
          <t>코스피</t>
        </is>
      </c>
      <c r="D3838" s="2" t="inlineStr">
        <is>
          <t>003060</t>
        </is>
      </c>
      <c r="E3838" s="3" t="inlineStr">
        <is>
          <t>주주총회소집공고 (정정: 20260313)</t>
        </is>
      </c>
      <c r="F3838" s="3" t="inlineStr">
        <is>
          <t>에이프로젠바이오로직스</t>
        </is>
      </c>
      <c r="G3838" s="2" t="inlineStr">
        <is>
          <t>20260313801630</t>
        </is>
      </c>
      <c r="H3838" s="8">
        <f>HYPERLINK("https://dart.fss.or.kr/dsaf001/main.do?rcpNo=20260313801630", "공시열람")</f>
        <v/>
      </c>
    </row>
    <row r="3839">
      <c r="A3839" s="2" t="inlineStr">
        <is>
          <t>2026-03-13</t>
        </is>
      </c>
      <c r="B3839" s="3" t="inlineStr">
        <is>
          <t>뉴보텍</t>
        </is>
      </c>
      <c r="C3839" s="2" t="inlineStr">
        <is>
          <t>코스닥</t>
        </is>
      </c>
      <c r="D3839" s="2" t="inlineStr">
        <is>
          <t>060260</t>
        </is>
      </c>
      <c r="E3839" s="3" t="inlineStr">
        <is>
          <t>주주총회소집공고</t>
        </is>
      </c>
      <c r="F3839" s="3" t="inlineStr">
        <is>
          <t>뉴보텍</t>
        </is>
      </c>
      <c r="G3839" s="2" t="inlineStr">
        <is>
          <t>20260313001180</t>
        </is>
      </c>
      <c r="H3839" s="8">
        <f>HYPERLINK("https://dart.fss.or.kr/dsaf001/main.do?rcpNo=20260313001180", "공시열람")</f>
        <v/>
      </c>
    </row>
    <row r="3840">
      <c r="A3840" s="2" t="inlineStr">
        <is>
          <t>2026-03-13</t>
        </is>
      </c>
      <c r="B3840" s="3" t="inlineStr">
        <is>
          <t>부방</t>
        </is>
      </c>
      <c r="C3840" s="2" t="inlineStr">
        <is>
          <t>코스닥</t>
        </is>
      </c>
      <c r="D3840" s="2" t="inlineStr">
        <is>
          <t>014470</t>
        </is>
      </c>
      <c r="E3840" s="3" t="inlineStr">
        <is>
          <t>주주총회소집공고</t>
        </is>
      </c>
      <c r="F3840" s="3" t="inlineStr">
        <is>
          <t>부방</t>
        </is>
      </c>
      <c r="G3840" s="2" t="inlineStr">
        <is>
          <t>20260313001172</t>
        </is>
      </c>
      <c r="H3840" s="8">
        <f>HYPERLINK("https://dart.fss.or.kr/dsaf001/main.do?rcpNo=20260313001172", "공시열람")</f>
        <v/>
      </c>
    </row>
    <row r="3841">
      <c r="A3841" s="2" t="inlineStr">
        <is>
          <t>2026-03-13</t>
        </is>
      </c>
      <c r="B3841" s="3" t="inlineStr">
        <is>
          <t>디알텍</t>
        </is>
      </c>
      <c r="C3841" s="2" t="inlineStr">
        <is>
          <t>코스닥</t>
        </is>
      </c>
      <c r="D3841" s="2" t="inlineStr">
        <is>
          <t>214680</t>
        </is>
      </c>
      <c r="E3841" s="3" t="inlineStr">
        <is>
          <t xml:space="preserve">주주총회집중일개최사유신고              </t>
        </is>
      </c>
      <c r="F3841" s="3" t="inlineStr">
        <is>
          <t>디알텍</t>
        </is>
      </c>
      <c r="G3841" s="2" t="inlineStr">
        <is>
          <t>20260313901727</t>
        </is>
      </c>
      <c r="H3841" s="8">
        <f>HYPERLINK("https://dart.fss.or.kr/dsaf001/main.do?rcpNo=20260313901727", "공시열람")</f>
        <v/>
      </c>
    </row>
    <row r="3842">
      <c r="A3842" s="2" t="inlineStr">
        <is>
          <t>2026-03-13</t>
        </is>
      </c>
      <c r="B3842" s="3" t="inlineStr">
        <is>
          <t>디알텍</t>
        </is>
      </c>
      <c r="C3842" s="2" t="inlineStr">
        <is>
          <t>코스닥</t>
        </is>
      </c>
      <c r="D3842" s="2" t="inlineStr">
        <is>
          <t>214680</t>
        </is>
      </c>
      <c r="E3842" s="3" t="inlineStr">
        <is>
          <t xml:space="preserve">주주총회소집결의              </t>
        </is>
      </c>
      <c r="F3842" s="3" t="inlineStr">
        <is>
          <t>디알텍</t>
        </is>
      </c>
      <c r="G3842" s="2" t="inlineStr">
        <is>
          <t>20260313901718</t>
        </is>
      </c>
      <c r="H3842" s="8">
        <f>HYPERLINK("https://dart.fss.or.kr/dsaf001/main.do?rcpNo=20260313901718", "공시열람")</f>
        <v/>
      </c>
    </row>
    <row r="3843">
      <c r="A3843" s="2" t="inlineStr">
        <is>
          <t>2026-03-13</t>
        </is>
      </c>
      <c r="B3843" s="3" t="inlineStr">
        <is>
          <t>빛과전자</t>
        </is>
      </c>
      <c r="C3843" s="2" t="inlineStr">
        <is>
          <t>코스닥</t>
        </is>
      </c>
      <c r="D3843" s="2" t="inlineStr">
        <is>
          <t>069540</t>
        </is>
      </c>
      <c r="E3843" s="3" t="inlineStr">
        <is>
          <t>주주총회소집공고</t>
        </is>
      </c>
      <c r="F3843" s="3" t="inlineStr">
        <is>
          <t>빛과전자</t>
        </is>
      </c>
      <c r="G3843" s="2" t="inlineStr">
        <is>
          <t>20260313001169</t>
        </is>
      </c>
      <c r="H3843" s="8">
        <f>HYPERLINK("https://dart.fss.or.kr/dsaf001/main.do?rcpNo=20260313001169", "공시열람")</f>
        <v/>
      </c>
    </row>
    <row r="3844">
      <c r="A3844" s="2" t="inlineStr">
        <is>
          <t>2026-03-13</t>
        </is>
      </c>
      <c r="B3844" s="3" t="inlineStr">
        <is>
          <t>지아이에스</t>
        </is>
      </c>
      <c r="C3844" s="2" t="inlineStr">
        <is>
          <t>코스닥</t>
        </is>
      </c>
      <c r="D3844" s="2" t="inlineStr">
        <is>
          <t>306620</t>
        </is>
      </c>
      <c r="E3844" s="3" t="inlineStr">
        <is>
          <t>주주총회소집공고</t>
        </is>
      </c>
      <c r="F3844" s="3" t="inlineStr">
        <is>
          <t>지아이에스</t>
        </is>
      </c>
      <c r="G3844" s="2" t="inlineStr">
        <is>
          <t>20260313001162</t>
        </is>
      </c>
      <c r="H3844" s="8">
        <f>HYPERLINK("https://dart.fss.or.kr/dsaf001/main.do?rcpNo=20260313001162", "공시열람")</f>
        <v/>
      </c>
    </row>
    <row r="3845">
      <c r="A3845" s="2" t="inlineStr">
        <is>
          <t>2026-03-13</t>
        </is>
      </c>
      <c r="B3845" s="3" t="inlineStr">
        <is>
          <t>스튜디오미르</t>
        </is>
      </c>
      <c r="C3845" s="2" t="inlineStr">
        <is>
          <t>코스닥</t>
        </is>
      </c>
      <c r="D3845" s="2" t="inlineStr">
        <is>
          <t>408900</t>
        </is>
      </c>
      <c r="E3845" s="3" t="inlineStr">
        <is>
          <t xml:space="preserve">주주총회집중일개최사유신고              </t>
        </is>
      </c>
      <c r="F3845" s="3" t="inlineStr">
        <is>
          <t>스튜디오미르</t>
        </is>
      </c>
      <c r="G3845" s="2" t="inlineStr">
        <is>
          <t>20260313901640</t>
        </is>
      </c>
      <c r="H3845" s="8">
        <f>HYPERLINK("https://dart.fss.or.kr/dsaf001/main.do?rcpNo=20260313901640", "공시열람")</f>
        <v/>
      </c>
    </row>
    <row r="3846">
      <c r="A3846" s="2" t="inlineStr">
        <is>
          <t>2026-03-13</t>
        </is>
      </c>
      <c r="B3846" s="3" t="inlineStr">
        <is>
          <t>스튜디오미르</t>
        </is>
      </c>
      <c r="C3846" s="2" t="inlineStr">
        <is>
          <t>코스닥</t>
        </is>
      </c>
      <c r="D3846" s="2" t="inlineStr">
        <is>
          <t>408900</t>
        </is>
      </c>
      <c r="E3846" s="3" t="inlineStr">
        <is>
          <t xml:space="preserve">주주총회소집결의              </t>
        </is>
      </c>
      <c r="F3846" s="3" t="inlineStr">
        <is>
          <t>스튜디오미르</t>
        </is>
      </c>
      <c r="G3846" s="2" t="inlineStr">
        <is>
          <t>20260313901628</t>
        </is>
      </c>
      <c r="H3846" s="8">
        <f>HYPERLINK("https://dart.fss.or.kr/dsaf001/main.do?rcpNo=20260313901628", "공시열람")</f>
        <v/>
      </c>
    </row>
    <row r="3847">
      <c r="A3847" s="2" t="inlineStr">
        <is>
          <t>2026-03-13</t>
        </is>
      </c>
      <c r="B3847" s="3" t="inlineStr">
        <is>
          <t>이오플로우</t>
        </is>
      </c>
      <c r="C3847" s="2" t="inlineStr">
        <is>
          <t>코스닥</t>
        </is>
      </c>
      <c r="D3847" s="2" t="inlineStr">
        <is>
          <t>294090</t>
        </is>
      </c>
      <c r="E3847" s="3" t="inlineStr">
        <is>
          <t xml:space="preserve">임시주주총회결과              </t>
        </is>
      </c>
      <c r="F3847" s="3" t="inlineStr">
        <is>
          <t>이오플로우</t>
        </is>
      </c>
      <c r="G3847" s="2" t="inlineStr">
        <is>
          <t>20260313901635</t>
        </is>
      </c>
      <c r="H3847" s="8">
        <f>HYPERLINK("https://dart.fss.or.kr/dsaf001/main.do?rcpNo=20260313901635", "공시열람")</f>
        <v/>
      </c>
    </row>
    <row r="3848">
      <c r="A3848" s="2" t="inlineStr">
        <is>
          <t>2026-03-13</t>
        </is>
      </c>
      <c r="B3848" s="3" t="inlineStr">
        <is>
          <t>빛과전자</t>
        </is>
      </c>
      <c r="C3848" s="2" t="inlineStr">
        <is>
          <t>코스닥</t>
        </is>
      </c>
      <c r="D3848" s="2" t="inlineStr">
        <is>
          <t>069540</t>
        </is>
      </c>
      <c r="E3848" s="3" t="inlineStr">
        <is>
          <t xml:space="preserve">주주총회집중일개최사유신고              </t>
        </is>
      </c>
      <c r="F3848" s="3" t="inlineStr">
        <is>
          <t>빛과전자</t>
        </is>
      </c>
      <c r="G3848" s="2" t="inlineStr">
        <is>
          <t>20260313901594</t>
        </is>
      </c>
      <c r="H3848" s="8">
        <f>HYPERLINK("https://dart.fss.or.kr/dsaf001/main.do?rcpNo=20260313901594", "공시열람")</f>
        <v/>
      </c>
    </row>
    <row r="3849">
      <c r="A3849" s="2" t="inlineStr">
        <is>
          <t>2026-03-13</t>
        </is>
      </c>
      <c r="B3849" s="3" t="inlineStr">
        <is>
          <t>빛과전자</t>
        </is>
      </c>
      <c r="C3849" s="2" t="inlineStr">
        <is>
          <t>코스닥</t>
        </is>
      </c>
      <c r="D3849" s="2" t="inlineStr">
        <is>
          <t>069540</t>
        </is>
      </c>
      <c r="E3849" s="3" t="inlineStr">
        <is>
          <t xml:space="preserve">[기재정정]주주총회소집결의              </t>
        </is>
      </c>
      <c r="F3849" s="3" t="inlineStr">
        <is>
          <t>빛과전자</t>
        </is>
      </c>
      <c r="G3849" s="2" t="inlineStr">
        <is>
          <t>20260313901593</t>
        </is>
      </c>
      <c r="H3849" s="8">
        <f>HYPERLINK("https://dart.fss.or.kr/dsaf001/main.do?rcpNo=20260313901593", "공시열람")</f>
        <v/>
      </c>
    </row>
    <row r="3850">
      <c r="A3850" s="2" t="inlineStr">
        <is>
          <t>2026-03-13</t>
        </is>
      </c>
      <c r="B3850" s="3" t="inlineStr">
        <is>
          <t>솔본</t>
        </is>
      </c>
      <c r="C3850" s="2" t="inlineStr">
        <is>
          <t>코스닥</t>
        </is>
      </c>
      <c r="D3850" s="2" t="inlineStr">
        <is>
          <t>035610</t>
        </is>
      </c>
      <c r="E3850" s="3" t="inlineStr">
        <is>
          <t>주주총회소집공고</t>
        </is>
      </c>
      <c r="F3850" s="3" t="inlineStr">
        <is>
          <t>솔본</t>
        </is>
      </c>
      <c r="G3850" s="2" t="inlineStr">
        <is>
          <t>20260313001148</t>
        </is>
      </c>
      <c r="H3850" s="8">
        <f>HYPERLINK("https://dart.fss.or.kr/dsaf001/main.do?rcpNo=20260313001148", "공시열람")</f>
        <v/>
      </c>
    </row>
    <row r="3851">
      <c r="A3851" s="2" t="inlineStr">
        <is>
          <t>2026-03-13</t>
        </is>
      </c>
      <c r="B3851" s="3" t="inlineStr">
        <is>
          <t>디알텍</t>
        </is>
      </c>
      <c r="C3851" s="2" t="inlineStr">
        <is>
          <t>코스닥</t>
        </is>
      </c>
      <c r="D3851" s="2" t="inlineStr">
        <is>
          <t>214680</t>
        </is>
      </c>
      <c r="E3851" s="3" t="inlineStr">
        <is>
          <t>주주총회소집공고</t>
        </is>
      </c>
      <c r="F3851" s="3" t="inlineStr">
        <is>
          <t>디알텍</t>
        </is>
      </c>
      <c r="G3851" s="2" t="inlineStr">
        <is>
          <t>20260313001146</t>
        </is>
      </c>
      <c r="H3851" s="8">
        <f>HYPERLINK("https://dart.fss.or.kr/dsaf001/main.do?rcpNo=20260313001146", "공시열람")</f>
        <v/>
      </c>
    </row>
    <row r="3852">
      <c r="A3852" s="2" t="inlineStr">
        <is>
          <t>2026-03-13</t>
        </is>
      </c>
      <c r="B3852" s="3" t="inlineStr">
        <is>
          <t>톱텍</t>
        </is>
      </c>
      <c r="C3852" s="2" t="inlineStr">
        <is>
          <t>코스닥</t>
        </is>
      </c>
      <c r="D3852" s="2" t="inlineStr">
        <is>
          <t>108230</t>
        </is>
      </c>
      <c r="E3852" s="3" t="inlineStr">
        <is>
          <t xml:space="preserve">주주총회집중일개최사유신고              </t>
        </is>
      </c>
      <c r="F3852" s="3" t="inlineStr">
        <is>
          <t>톱텍</t>
        </is>
      </c>
      <c r="G3852" s="2" t="inlineStr">
        <is>
          <t>20260313901661</t>
        </is>
      </c>
      <c r="H3852" s="8">
        <f>HYPERLINK("https://dart.fss.or.kr/dsaf001/main.do?rcpNo=20260313901661", "공시열람")</f>
        <v/>
      </c>
    </row>
    <row r="3853">
      <c r="A3853" s="2" t="inlineStr">
        <is>
          <t>2026-03-13</t>
        </is>
      </c>
      <c r="B3853" s="3" t="inlineStr">
        <is>
          <t>레드우즈</t>
        </is>
      </c>
      <c r="C3853" s="2" t="inlineStr">
        <is>
          <t>코넥스</t>
        </is>
      </c>
      <c r="D3853" s="2" t="inlineStr">
        <is>
          <t>266170</t>
        </is>
      </c>
      <c r="E3853" s="3" t="inlineStr">
        <is>
          <t>주주총회소집공고</t>
        </is>
      </c>
      <c r="F3853" s="3" t="inlineStr">
        <is>
          <t>레드우즈</t>
        </is>
      </c>
      <c r="G3853" s="2" t="inlineStr">
        <is>
          <t>20260313001145</t>
        </is>
      </c>
      <c r="H3853" s="8">
        <f>HYPERLINK("https://dart.fss.or.kr/dsaf001/main.do?rcpNo=20260313001145", "공시열람")</f>
        <v/>
      </c>
    </row>
    <row r="3854">
      <c r="A3854" s="2" t="inlineStr">
        <is>
          <t>2026-03-13</t>
        </is>
      </c>
      <c r="B3854" s="3" t="inlineStr">
        <is>
          <t>코디</t>
        </is>
      </c>
      <c r="C3854" s="2" t="inlineStr">
        <is>
          <t>코스닥</t>
        </is>
      </c>
      <c r="D3854" s="2" t="inlineStr">
        <is>
          <t>080530</t>
        </is>
      </c>
      <c r="E3854" s="3" t="inlineStr">
        <is>
          <t>주주총회소집공고</t>
        </is>
      </c>
      <c r="F3854" s="3" t="inlineStr">
        <is>
          <t>코디</t>
        </is>
      </c>
      <c r="G3854" s="2" t="inlineStr">
        <is>
          <t>20260313001143</t>
        </is>
      </c>
      <c r="H3854" s="8">
        <f>HYPERLINK("https://dart.fss.or.kr/dsaf001/main.do?rcpNo=20260313001143", "공시열람")</f>
        <v/>
      </c>
    </row>
    <row r="3855">
      <c r="A3855" s="2" t="inlineStr">
        <is>
          <t>2026-03-13</t>
        </is>
      </c>
      <c r="B3855" s="3" t="inlineStr">
        <is>
          <t>레인보우로보틱스</t>
        </is>
      </c>
      <c r="C3855" s="2" t="inlineStr">
        <is>
          <t>코스닥</t>
        </is>
      </c>
      <c r="D3855" s="2" t="inlineStr">
        <is>
          <t>277810</t>
        </is>
      </c>
      <c r="E3855" s="3" t="inlineStr">
        <is>
          <t>주주총회소집공고</t>
        </is>
      </c>
      <c r="F3855" s="3" t="inlineStr">
        <is>
          <t>레인보우로보틱스</t>
        </is>
      </c>
      <c r="G3855" s="2" t="inlineStr">
        <is>
          <t>20260313001141</t>
        </is>
      </c>
      <c r="H3855" s="8">
        <f>HYPERLINK("https://dart.fss.or.kr/dsaf001/main.do?rcpNo=20260313001141", "공시열람")</f>
        <v/>
      </c>
    </row>
    <row r="3856">
      <c r="A3856" s="2" t="inlineStr">
        <is>
          <t>2026-03-13</t>
        </is>
      </c>
      <c r="B3856" s="3" t="inlineStr">
        <is>
          <t>에이치브이엠</t>
        </is>
      </c>
      <c r="C3856" s="2" t="inlineStr">
        <is>
          <t>코스닥</t>
        </is>
      </c>
      <c r="D3856" s="2" t="inlineStr">
        <is>
          <t>295310</t>
        </is>
      </c>
      <c r="E3856" s="3" t="inlineStr">
        <is>
          <t>주주총회소집공고</t>
        </is>
      </c>
      <c r="F3856" s="3" t="inlineStr">
        <is>
          <t>에이치브이엠</t>
        </is>
      </c>
      <c r="G3856" s="2" t="inlineStr">
        <is>
          <t>20260313001139</t>
        </is>
      </c>
      <c r="H3856" s="8">
        <f>HYPERLINK("https://dart.fss.or.kr/dsaf001/main.do?rcpNo=20260313001139", "공시열람")</f>
        <v/>
      </c>
    </row>
    <row r="3857">
      <c r="A3857" s="2" t="inlineStr">
        <is>
          <t>2026-03-13</t>
        </is>
      </c>
      <c r="B3857" s="3" t="inlineStr">
        <is>
          <t>금강철강</t>
        </is>
      </c>
      <c r="C3857" s="2" t="inlineStr">
        <is>
          <t>코스닥</t>
        </is>
      </c>
      <c r="D3857" s="2" t="inlineStr">
        <is>
          <t>053260</t>
        </is>
      </c>
      <c r="E3857" s="3" t="inlineStr">
        <is>
          <t>소송등의제기ㆍ신청(경영권분쟁소송)              (장부등열람허용가처분(항고))</t>
        </is>
      </c>
      <c r="F3857" s="3" t="inlineStr">
        <is>
          <t>금강철강</t>
        </is>
      </c>
      <c r="G3857" s="2" t="inlineStr">
        <is>
          <t>20260313901570</t>
        </is>
      </c>
      <c r="H3857" s="8">
        <f>HYPERLINK("https://dart.fss.or.kr/dsaf001/main.do?rcpNo=20260313901570", "공시열람")</f>
        <v/>
      </c>
    </row>
    <row r="3858">
      <c r="A3858" s="2" t="inlineStr">
        <is>
          <t>2026-03-13</t>
        </is>
      </c>
      <c r="B3858" s="3" t="inlineStr">
        <is>
          <t>노을</t>
        </is>
      </c>
      <c r="C3858" s="2" t="inlineStr">
        <is>
          <t>코스닥</t>
        </is>
      </c>
      <c r="D3858" s="2" t="inlineStr">
        <is>
          <t>376930</t>
        </is>
      </c>
      <c r="E3858" s="3" t="inlineStr">
        <is>
          <t xml:space="preserve">주주총회소집결의              </t>
        </is>
      </c>
      <c r="F3858" s="3" t="inlineStr">
        <is>
          <t>노을</t>
        </is>
      </c>
      <c r="G3858" s="2" t="inlineStr">
        <is>
          <t>20260313901601</t>
        </is>
      </c>
      <c r="H3858" s="8">
        <f>HYPERLINK("https://dart.fss.or.kr/dsaf001/main.do?rcpNo=20260313901601", "공시열람")</f>
        <v/>
      </c>
    </row>
    <row r="3859">
      <c r="A3859" s="2" t="inlineStr">
        <is>
          <t>2026-03-13</t>
        </is>
      </c>
      <c r="B3859" s="3" t="inlineStr">
        <is>
          <t>비트맥스</t>
        </is>
      </c>
      <c r="C3859" s="2" t="inlineStr">
        <is>
          <t>코스닥</t>
        </is>
      </c>
      <c r="D3859" s="2" t="inlineStr">
        <is>
          <t>377030</t>
        </is>
      </c>
      <c r="E3859" s="3" t="inlineStr">
        <is>
          <t>[기재정정]주주총회소집공고</t>
        </is>
      </c>
      <c r="F3859" s="3" t="inlineStr">
        <is>
          <t>비트맥스</t>
        </is>
      </c>
      <c r="G3859" s="2" t="inlineStr">
        <is>
          <t>20260313001118</t>
        </is>
      </c>
      <c r="H3859" s="8">
        <f>HYPERLINK("https://dart.fss.or.kr/dsaf001/main.do?rcpNo=20260313001118", "공시열람")</f>
        <v/>
      </c>
    </row>
    <row r="3860">
      <c r="A3860" s="2" t="inlineStr">
        <is>
          <t>2026-03-13</t>
        </is>
      </c>
      <c r="B3860" s="3" t="inlineStr">
        <is>
          <t>소프트센</t>
        </is>
      </c>
      <c r="C3860" s="2" t="inlineStr">
        <is>
          <t>코스닥</t>
        </is>
      </c>
      <c r="D3860" s="2" t="inlineStr">
        <is>
          <t>032680</t>
        </is>
      </c>
      <c r="E3860" s="3" t="inlineStr">
        <is>
          <t>주주총회소집공고</t>
        </is>
      </c>
      <c r="F3860" s="3" t="inlineStr">
        <is>
          <t>소프트센</t>
        </is>
      </c>
      <c r="G3860" s="2" t="inlineStr">
        <is>
          <t>20260313001116</t>
        </is>
      </c>
      <c r="H3860" s="8">
        <f>HYPERLINK("https://dart.fss.or.kr/dsaf001/main.do?rcpNo=20260313001116", "공시열람")</f>
        <v/>
      </c>
    </row>
    <row r="3861">
      <c r="A3861" s="2" t="inlineStr">
        <is>
          <t>2026-03-13 (정정: 2026-03-23)</t>
        </is>
      </c>
      <c r="B3861" s="3" t="inlineStr">
        <is>
          <t>싸이토젠</t>
        </is>
      </c>
      <c r="C3861" s="2" t="inlineStr">
        <is>
          <t>코스닥</t>
        </is>
      </c>
      <c r="D3861" s="2" t="inlineStr">
        <is>
          <t>217330</t>
        </is>
      </c>
      <c r="E3861" s="3" t="inlineStr">
        <is>
          <t>주주총회소집공고 (정정: 20260323)</t>
        </is>
      </c>
      <c r="F3861" s="3" t="inlineStr">
        <is>
          <t>싸이토젠</t>
        </is>
      </c>
      <c r="G3861" s="2" t="inlineStr">
        <is>
          <t>20260323000659</t>
        </is>
      </c>
      <c r="H3861" s="8">
        <f>HYPERLINK("https://dart.fss.or.kr/dsaf001/main.do?rcpNo=20260323000659", "공시열람")</f>
        <v/>
      </c>
    </row>
    <row r="3862">
      <c r="A3862" s="2" t="inlineStr">
        <is>
          <t>2026-03-13</t>
        </is>
      </c>
      <c r="B3862" s="3" t="inlineStr">
        <is>
          <t>이지스레지던스리츠</t>
        </is>
      </c>
      <c r="C3862" s="2" t="inlineStr">
        <is>
          <t>코스피</t>
        </is>
      </c>
      <c r="D3862" s="2" t="inlineStr">
        <is>
          <t>350520</t>
        </is>
      </c>
      <c r="E3862" s="3" t="inlineStr">
        <is>
          <t>주주총회소집공고</t>
        </is>
      </c>
      <c r="F3862" s="3" t="inlineStr">
        <is>
          <t>이지스레지던스리츠</t>
        </is>
      </c>
      <c r="G3862" s="2" t="inlineStr">
        <is>
          <t>20260313001102</t>
        </is>
      </c>
      <c r="H3862" s="8">
        <f>HYPERLINK("https://dart.fss.or.kr/dsaf001/main.do?rcpNo=20260313001102", "공시열람")</f>
        <v/>
      </c>
    </row>
    <row r="3863">
      <c r="A3863" s="2" t="inlineStr">
        <is>
          <t>2026-03-13</t>
        </is>
      </c>
      <c r="B3863" s="3" t="inlineStr">
        <is>
          <t>솔본</t>
        </is>
      </c>
      <c r="C3863" s="2" t="inlineStr">
        <is>
          <t>코스닥</t>
        </is>
      </c>
      <c r="D3863" s="2" t="inlineStr">
        <is>
          <t>035610</t>
        </is>
      </c>
      <c r="E3863" s="3" t="inlineStr">
        <is>
          <t xml:space="preserve">주주총회집중일개최사유신고              </t>
        </is>
      </c>
      <c r="F3863" s="3" t="inlineStr">
        <is>
          <t>솔본</t>
        </is>
      </c>
      <c r="G3863" s="2" t="inlineStr">
        <is>
          <t>20260313901591</t>
        </is>
      </c>
      <c r="H3863" s="8">
        <f>HYPERLINK("https://dart.fss.or.kr/dsaf001/main.do?rcpNo=20260313901591", "공시열람")</f>
        <v/>
      </c>
    </row>
    <row r="3864">
      <c r="A3864" s="2" t="inlineStr">
        <is>
          <t>2026-03-13</t>
        </is>
      </c>
      <c r="B3864" s="3" t="inlineStr">
        <is>
          <t>다우데이타</t>
        </is>
      </c>
      <c r="C3864" s="2" t="inlineStr">
        <is>
          <t>코스닥</t>
        </is>
      </c>
      <c r="D3864" s="2" t="inlineStr">
        <is>
          <t>032190</t>
        </is>
      </c>
      <c r="E3864" s="3" t="inlineStr">
        <is>
          <t>주주총회소집공고</t>
        </is>
      </c>
      <c r="F3864" s="3" t="inlineStr">
        <is>
          <t>다우데이타</t>
        </is>
      </c>
      <c r="G3864" s="2" t="inlineStr">
        <is>
          <t>20260313001100</t>
        </is>
      </c>
      <c r="H3864" s="8">
        <f>HYPERLINK("https://dart.fss.or.kr/dsaf001/main.do?rcpNo=20260313001100", "공시열람")</f>
        <v/>
      </c>
    </row>
    <row r="3865">
      <c r="A3865" s="2" t="inlineStr">
        <is>
          <t>2026-03-13</t>
        </is>
      </c>
      <c r="B3865" s="3" t="inlineStr">
        <is>
          <t>제이브이엠</t>
        </is>
      </c>
      <c r="C3865" s="2" t="inlineStr">
        <is>
          <t>코스닥</t>
        </is>
      </c>
      <c r="D3865" s="2" t="inlineStr">
        <is>
          <t>054950</t>
        </is>
      </c>
      <c r="E3865" s="3" t="inlineStr">
        <is>
          <t xml:space="preserve">주주총회소집결의              </t>
        </is>
      </c>
      <c r="F3865" s="3" t="inlineStr">
        <is>
          <t>제이브이엠</t>
        </is>
      </c>
      <c r="G3865" s="2" t="inlineStr">
        <is>
          <t>20260313901543</t>
        </is>
      </c>
      <c r="H3865" s="8">
        <f>HYPERLINK("https://dart.fss.or.kr/dsaf001/main.do?rcpNo=20260313901543", "공시열람")</f>
        <v/>
      </c>
    </row>
    <row r="3866">
      <c r="A3866" s="2" t="inlineStr">
        <is>
          <t>2026-03-13</t>
        </is>
      </c>
      <c r="B3866" s="3" t="inlineStr">
        <is>
          <t>더라미</t>
        </is>
      </c>
      <c r="C3866" s="2" t="inlineStr">
        <is>
          <t>코스닥</t>
        </is>
      </c>
      <c r="D3866" s="2" t="inlineStr">
        <is>
          <t>032860</t>
        </is>
      </c>
      <c r="E3866" s="3" t="inlineStr">
        <is>
          <t>주주총회소집공고</t>
        </is>
      </c>
      <c r="F3866" s="3" t="inlineStr">
        <is>
          <t>더라미</t>
        </is>
      </c>
      <c r="G3866" s="2" t="inlineStr">
        <is>
          <t>20260313001097</t>
        </is>
      </c>
      <c r="H3866" s="8">
        <f>HYPERLINK("https://dart.fss.or.kr/dsaf001/main.do?rcpNo=20260313001097", "공시열람")</f>
        <v/>
      </c>
    </row>
    <row r="3867">
      <c r="A3867" s="2" t="inlineStr">
        <is>
          <t>2026-03-13</t>
        </is>
      </c>
      <c r="B3867" s="3" t="inlineStr">
        <is>
          <t>뉴로핏</t>
        </is>
      </c>
      <c r="C3867" s="2" t="inlineStr">
        <is>
          <t>코스닥</t>
        </is>
      </c>
      <c r="D3867" s="2" t="inlineStr">
        <is>
          <t>380550</t>
        </is>
      </c>
      <c r="E3867" s="3" t="inlineStr">
        <is>
          <t xml:space="preserve">주주총회집중일개최사유신고              </t>
        </is>
      </c>
      <c r="F3867" s="3" t="inlineStr">
        <is>
          <t>뉴로핏</t>
        </is>
      </c>
      <c r="G3867" s="2" t="inlineStr">
        <is>
          <t>20260313901501</t>
        </is>
      </c>
      <c r="H3867" s="8">
        <f>HYPERLINK("https://dart.fss.or.kr/dsaf001/main.do?rcpNo=20260313901501", "공시열람")</f>
        <v/>
      </c>
    </row>
    <row r="3868">
      <c r="A3868" s="2" t="inlineStr">
        <is>
          <t>2026-03-13</t>
        </is>
      </c>
      <c r="B3868" s="3" t="inlineStr">
        <is>
          <t>아이티켐</t>
        </is>
      </c>
      <c r="C3868" s="2" t="inlineStr">
        <is>
          <t>코스닥</t>
        </is>
      </c>
      <c r="D3868" s="2" t="inlineStr">
        <is>
          <t>309710</t>
        </is>
      </c>
      <c r="E3868" s="3" t="inlineStr">
        <is>
          <t>주주총회소집공고</t>
        </is>
      </c>
      <c r="F3868" s="3" t="inlineStr">
        <is>
          <t>아이티켐</t>
        </is>
      </c>
      <c r="G3868" s="2" t="inlineStr">
        <is>
          <t>20260313001088</t>
        </is>
      </c>
      <c r="H3868" s="8">
        <f>HYPERLINK("https://dart.fss.or.kr/dsaf001/main.do?rcpNo=20260313001088", "공시열람")</f>
        <v/>
      </c>
    </row>
    <row r="3869">
      <c r="A3869" s="2" t="inlineStr">
        <is>
          <t>2026-03-13</t>
        </is>
      </c>
      <c r="B3869" s="3" t="inlineStr">
        <is>
          <t>DMS</t>
        </is>
      </c>
      <c r="C3869" s="2" t="inlineStr">
        <is>
          <t>코스닥</t>
        </is>
      </c>
      <c r="D3869" s="2" t="inlineStr">
        <is>
          <t>068790</t>
        </is>
      </c>
      <c r="E3869" s="3" t="inlineStr">
        <is>
          <t>주주총회소집공고</t>
        </is>
      </c>
      <c r="F3869" s="3" t="inlineStr">
        <is>
          <t>DMS</t>
        </is>
      </c>
      <c r="G3869" s="2" t="inlineStr">
        <is>
          <t>20260313001084</t>
        </is>
      </c>
      <c r="H3869" s="8">
        <f>HYPERLINK("https://dart.fss.or.kr/dsaf001/main.do?rcpNo=20260313001084", "공시열람")</f>
        <v/>
      </c>
    </row>
    <row r="3870">
      <c r="A3870" s="2" t="inlineStr">
        <is>
          <t>2026-03-13 (정정: 2026-06-15)</t>
        </is>
      </c>
      <c r="B3870" s="3" t="inlineStr">
        <is>
          <t>NPX</t>
        </is>
      </c>
      <c r="C3870" s="2" t="inlineStr">
        <is>
          <t>코스닥</t>
        </is>
      </c>
      <c r="D3870" s="2" t="inlineStr">
        <is>
          <t>222160</t>
        </is>
      </c>
      <c r="E3870" s="3" t="inlineStr">
        <is>
          <t>주주총회소집공고 (정정: 20260615) (정정: 20260615)</t>
        </is>
      </c>
      <c r="F3870" s="3" t="inlineStr">
        <is>
          <t>NPX</t>
        </is>
      </c>
      <c r="G3870" s="2" t="inlineStr">
        <is>
          <t>20260615900584</t>
        </is>
      </c>
      <c r="H3870" s="8">
        <f>HYPERLINK("https://dart.fss.or.kr/dsaf001/main.do?rcpNo=20260615900584", "공시열람")</f>
        <v/>
      </c>
    </row>
    <row r="3871">
      <c r="A3871" s="2" t="inlineStr">
        <is>
          <t>2026-03-13</t>
        </is>
      </c>
      <c r="B3871" s="3" t="inlineStr">
        <is>
          <t>오성첨단소재</t>
        </is>
      </c>
      <c r="C3871" s="2" t="inlineStr">
        <is>
          <t>코스닥</t>
        </is>
      </c>
      <c r="D3871" s="2" t="inlineStr">
        <is>
          <t>052420</t>
        </is>
      </c>
      <c r="E3871" s="3" t="inlineStr">
        <is>
          <t>주주총회소집공고</t>
        </is>
      </c>
      <c r="F3871" s="3" t="inlineStr">
        <is>
          <t>오성첨단소재</t>
        </is>
      </c>
      <c r="G3871" s="2" t="inlineStr">
        <is>
          <t>20260313001079</t>
        </is>
      </c>
      <c r="H3871" s="8">
        <f>HYPERLINK("https://dart.fss.or.kr/dsaf001/main.do?rcpNo=20260313001079", "공시열람")</f>
        <v/>
      </c>
    </row>
    <row r="3872">
      <c r="A3872" s="2" t="inlineStr">
        <is>
          <t>2026-03-13</t>
        </is>
      </c>
      <c r="B3872" s="3" t="inlineStr">
        <is>
          <t>다우데이타</t>
        </is>
      </c>
      <c r="C3872" s="2" t="inlineStr">
        <is>
          <t>코스닥</t>
        </is>
      </c>
      <c r="D3872" s="2" t="inlineStr">
        <is>
          <t>032190</t>
        </is>
      </c>
      <c r="E3872" s="3" t="inlineStr">
        <is>
          <t xml:space="preserve">주주총회집중일개최사유신고              </t>
        </is>
      </c>
      <c r="F3872" s="3" t="inlineStr">
        <is>
          <t>다우데이타</t>
        </is>
      </c>
      <c r="G3872" s="2" t="inlineStr">
        <is>
          <t>20260313901444</t>
        </is>
      </c>
      <c r="H3872" s="8">
        <f>HYPERLINK("https://dart.fss.or.kr/dsaf001/main.do?rcpNo=20260313901444", "공시열람")</f>
        <v/>
      </c>
    </row>
    <row r="3873">
      <c r="A3873" s="2" t="inlineStr">
        <is>
          <t>2026-03-13 (정정: 2026-05-26)</t>
        </is>
      </c>
      <c r="B3873" s="3" t="inlineStr">
        <is>
          <t>다우데이타</t>
        </is>
      </c>
      <c r="C3873" s="2" t="inlineStr">
        <is>
          <t>코스닥</t>
        </is>
      </c>
      <c r="D3873" s="2" t="inlineStr">
        <is>
          <t>032190</t>
        </is>
      </c>
      <c r="E3873" s="3" t="inlineStr">
        <is>
          <t>주주총회소집결의               (정정: 20260526)</t>
        </is>
      </c>
      <c r="F3873" s="3" t="inlineStr">
        <is>
          <t>다우데이타</t>
        </is>
      </c>
      <c r="G3873" s="2" t="inlineStr">
        <is>
          <t>20260526900823</t>
        </is>
      </c>
      <c r="H3873" s="8">
        <f>HYPERLINK("https://dart.fss.or.kr/dsaf001/main.do?rcpNo=20260526900823", "공시열람")</f>
        <v/>
      </c>
    </row>
    <row r="3874">
      <c r="A3874" s="2" t="inlineStr">
        <is>
          <t>2026-03-13</t>
        </is>
      </c>
      <c r="B3874" s="3" t="inlineStr">
        <is>
          <t>유티아이</t>
        </is>
      </c>
      <c r="C3874" s="2" t="inlineStr">
        <is>
          <t>코스닥</t>
        </is>
      </c>
      <c r="D3874" s="2" t="inlineStr">
        <is>
          <t>179900</t>
        </is>
      </c>
      <c r="E3874" s="3" t="inlineStr">
        <is>
          <t xml:space="preserve">주주총회소집결의              </t>
        </is>
      </c>
      <c r="F3874" s="3" t="inlineStr">
        <is>
          <t>유티아이</t>
        </is>
      </c>
      <c r="G3874" s="2" t="inlineStr">
        <is>
          <t>20260313901508</t>
        </is>
      </c>
      <c r="H3874" s="8">
        <f>HYPERLINK("https://dart.fss.or.kr/dsaf001/main.do?rcpNo=20260313901508", "공시열람")</f>
        <v/>
      </c>
    </row>
    <row r="3875">
      <c r="A3875" s="2" t="inlineStr">
        <is>
          <t>2026-03-13</t>
        </is>
      </c>
      <c r="B3875" s="3" t="inlineStr">
        <is>
          <t>이지스레지던스리츠</t>
        </is>
      </c>
      <c r="C3875" s="2" t="inlineStr">
        <is>
          <t>코스피</t>
        </is>
      </c>
      <c r="D3875" s="2" t="inlineStr">
        <is>
          <t>350520</t>
        </is>
      </c>
      <c r="E3875" s="3" t="inlineStr">
        <is>
          <t xml:space="preserve">주주총회집중일개최사유신고              </t>
        </is>
      </c>
      <c r="F3875" s="3" t="inlineStr">
        <is>
          <t>이지스레지던스리츠</t>
        </is>
      </c>
      <c r="G3875" s="2" t="inlineStr">
        <is>
          <t>20260313801532</t>
        </is>
      </c>
      <c r="H3875" s="8">
        <f>HYPERLINK("https://dart.fss.or.kr/dsaf001/main.do?rcpNo=20260313801532", "공시열람")</f>
        <v/>
      </c>
    </row>
    <row r="3876">
      <c r="A3876" s="2" t="inlineStr">
        <is>
          <t>2026-03-13</t>
        </is>
      </c>
      <c r="B3876" s="3" t="inlineStr">
        <is>
          <t>이지스레지던스리츠</t>
        </is>
      </c>
      <c r="C3876" s="2" t="inlineStr">
        <is>
          <t>코스피</t>
        </is>
      </c>
      <c r="D3876" s="2" t="inlineStr">
        <is>
          <t>350520</t>
        </is>
      </c>
      <c r="E3876" s="3" t="inlineStr">
        <is>
          <t xml:space="preserve">주주총회소집결의              </t>
        </is>
      </c>
      <c r="F3876" s="3" t="inlineStr">
        <is>
          <t>이지스레지던스리츠</t>
        </is>
      </c>
      <c r="G3876" s="2" t="inlineStr">
        <is>
          <t>20260313801481</t>
        </is>
      </c>
      <c r="H3876" s="8">
        <f>HYPERLINK("https://dart.fss.or.kr/dsaf001/main.do?rcpNo=20260313801481", "공시열람")</f>
        <v/>
      </c>
    </row>
    <row r="3877">
      <c r="A3877" s="2" t="inlineStr">
        <is>
          <t>2026-03-13</t>
        </is>
      </c>
      <c r="B3877" s="3" t="inlineStr">
        <is>
          <t>아로마티카</t>
        </is>
      </c>
      <c r="C3877" s="2" t="inlineStr">
        <is>
          <t>코스닥</t>
        </is>
      </c>
      <c r="D3877" s="2" t="inlineStr">
        <is>
          <t>0015N0</t>
        </is>
      </c>
      <c r="E3877" s="3" t="inlineStr">
        <is>
          <t>주주총회소집공고</t>
        </is>
      </c>
      <c r="F3877" s="3" t="inlineStr">
        <is>
          <t>아로마티카</t>
        </is>
      </c>
      <c r="G3877" s="2" t="inlineStr">
        <is>
          <t>20260313001070</t>
        </is>
      </c>
      <c r="H3877" s="8">
        <f>HYPERLINK("https://dart.fss.or.kr/dsaf001/main.do?rcpNo=20260313001070", "공시열람")</f>
        <v/>
      </c>
    </row>
    <row r="3878">
      <c r="A3878" s="2" t="inlineStr">
        <is>
          <t>2026-03-13</t>
        </is>
      </c>
      <c r="B3878" s="3" t="inlineStr">
        <is>
          <t>컴퍼니케이</t>
        </is>
      </c>
      <c r="C3878" s="2" t="inlineStr">
        <is>
          <t>코스닥</t>
        </is>
      </c>
      <c r="D3878" s="2" t="inlineStr">
        <is>
          <t>307930</t>
        </is>
      </c>
      <c r="E3878" s="3" t="inlineStr">
        <is>
          <t>주주총회소집공고</t>
        </is>
      </c>
      <c r="F3878" s="3" t="inlineStr">
        <is>
          <t>컴퍼니케이</t>
        </is>
      </c>
      <c r="G3878" s="2" t="inlineStr">
        <is>
          <t>20260313001066</t>
        </is>
      </c>
      <c r="H3878" s="8">
        <f>HYPERLINK("https://dart.fss.or.kr/dsaf001/main.do?rcpNo=20260313001066", "공시열람")</f>
        <v/>
      </c>
    </row>
    <row r="3879">
      <c r="A3879" s="2" t="inlineStr">
        <is>
          <t>2026-03-13</t>
        </is>
      </c>
      <c r="B3879" s="3" t="inlineStr">
        <is>
          <t>앱토크롬</t>
        </is>
      </c>
      <c r="C3879" s="2" t="inlineStr">
        <is>
          <t>코스닥</t>
        </is>
      </c>
      <c r="D3879" s="2" t="inlineStr">
        <is>
          <t>109960</t>
        </is>
      </c>
      <c r="E3879" s="3" t="inlineStr">
        <is>
          <t>주주총회소집공고</t>
        </is>
      </c>
      <c r="F3879" s="3" t="inlineStr">
        <is>
          <t>앱토크롬</t>
        </is>
      </c>
      <c r="G3879" s="2" t="inlineStr">
        <is>
          <t>20260313001063</t>
        </is>
      </c>
      <c r="H3879" s="8">
        <f>HYPERLINK("https://dart.fss.or.kr/dsaf001/main.do?rcpNo=20260313001063", "공시열람")</f>
        <v/>
      </c>
    </row>
    <row r="3880">
      <c r="A3880" s="2" t="inlineStr">
        <is>
          <t>2026-03-13</t>
        </is>
      </c>
      <c r="B3880" s="3" t="inlineStr">
        <is>
          <t>부방</t>
        </is>
      </c>
      <c r="C3880" s="2" t="inlineStr">
        <is>
          <t>코스닥</t>
        </is>
      </c>
      <c r="D3880" s="2" t="inlineStr">
        <is>
          <t>014470</t>
        </is>
      </c>
      <c r="E3880" s="3" t="inlineStr">
        <is>
          <t xml:space="preserve">주주총회소집결의              </t>
        </is>
      </c>
      <c r="F3880" s="3" t="inlineStr">
        <is>
          <t>부방</t>
        </is>
      </c>
      <c r="G3880" s="2" t="inlineStr">
        <is>
          <t>20260313901317</t>
        </is>
      </c>
      <c r="H3880" s="8">
        <f>HYPERLINK("https://dart.fss.or.kr/dsaf001/main.do?rcpNo=20260313901317", "공시열람")</f>
        <v/>
      </c>
    </row>
    <row r="3881">
      <c r="A3881" s="2" t="inlineStr">
        <is>
          <t>2026-03-13</t>
        </is>
      </c>
      <c r="B3881" s="3" t="inlineStr">
        <is>
          <t>부방</t>
        </is>
      </c>
      <c r="C3881" s="2" t="inlineStr">
        <is>
          <t>코스닥</t>
        </is>
      </c>
      <c r="D3881" s="2" t="inlineStr">
        <is>
          <t>014470</t>
        </is>
      </c>
      <c r="E3881" s="3" t="inlineStr">
        <is>
          <t xml:space="preserve">주주총회집중일개최사유신고              </t>
        </is>
      </c>
      <c r="F3881" s="3" t="inlineStr">
        <is>
          <t>부방</t>
        </is>
      </c>
      <c r="G3881" s="2" t="inlineStr">
        <is>
          <t>20260313901331</t>
        </is>
      </c>
      <c r="H3881" s="8">
        <f>HYPERLINK("https://dart.fss.or.kr/dsaf001/main.do?rcpNo=20260313901331", "공시열람")</f>
        <v/>
      </c>
    </row>
    <row r="3882">
      <c r="A3882" s="2" t="inlineStr">
        <is>
          <t>2026-03-13</t>
        </is>
      </c>
      <c r="B3882" s="3" t="inlineStr">
        <is>
          <t>더라미</t>
        </is>
      </c>
      <c r="C3882" s="2" t="inlineStr">
        <is>
          <t>코스닥</t>
        </is>
      </c>
      <c r="D3882" s="2" t="inlineStr">
        <is>
          <t>032860</t>
        </is>
      </c>
      <c r="E3882" s="3" t="inlineStr">
        <is>
          <t xml:space="preserve">주주총회집중일개최사유신고              </t>
        </is>
      </c>
      <c r="F3882" s="3" t="inlineStr">
        <is>
          <t>더라미</t>
        </is>
      </c>
      <c r="G3882" s="2" t="inlineStr">
        <is>
          <t>20260313901563</t>
        </is>
      </c>
      <c r="H3882" s="8">
        <f>HYPERLINK("https://dart.fss.or.kr/dsaf001/main.do?rcpNo=20260313901563", "공시열람")</f>
        <v/>
      </c>
    </row>
    <row r="3883">
      <c r="A3883" s="2" t="inlineStr">
        <is>
          <t>2026-03-13</t>
        </is>
      </c>
      <c r="B3883" s="3" t="inlineStr">
        <is>
          <t>서울옥션</t>
        </is>
      </c>
      <c r="C3883" s="2" t="inlineStr">
        <is>
          <t>코스닥</t>
        </is>
      </c>
      <c r="D3883" s="2" t="inlineStr">
        <is>
          <t>063170</t>
        </is>
      </c>
      <c r="E3883" s="3" t="inlineStr">
        <is>
          <t xml:space="preserve">주주총회집중일개최사유신고              </t>
        </is>
      </c>
      <c r="F3883" s="3" t="inlineStr">
        <is>
          <t>서울옥션</t>
        </is>
      </c>
      <c r="G3883" s="2" t="inlineStr">
        <is>
          <t>20260313901455</t>
        </is>
      </c>
      <c r="H3883" s="8">
        <f>HYPERLINK("https://dart.fss.or.kr/dsaf001/main.do?rcpNo=20260313901455", "공시열람")</f>
        <v/>
      </c>
    </row>
    <row r="3884">
      <c r="A3884" s="2" t="inlineStr">
        <is>
          <t>2026-03-13</t>
        </is>
      </c>
      <c r="B3884" s="3" t="inlineStr">
        <is>
          <t>메지온</t>
        </is>
      </c>
      <c r="C3884" s="2" t="inlineStr">
        <is>
          <t>코스닥</t>
        </is>
      </c>
      <c r="D3884" s="2" t="inlineStr">
        <is>
          <t>140410</t>
        </is>
      </c>
      <c r="E3884" s="3" t="inlineStr">
        <is>
          <t>주주총회소집공고</t>
        </is>
      </c>
      <c r="F3884" s="3" t="inlineStr">
        <is>
          <t>메지온</t>
        </is>
      </c>
      <c r="G3884" s="2" t="inlineStr">
        <is>
          <t>20260313001055</t>
        </is>
      </c>
      <c r="H3884" s="8">
        <f>HYPERLINK("https://dart.fss.or.kr/dsaf001/main.do?rcpNo=20260313001055", "공시열람")</f>
        <v/>
      </c>
    </row>
    <row r="3885">
      <c r="A3885" s="2" t="inlineStr">
        <is>
          <t>2026-03-16</t>
        </is>
      </c>
      <c r="B3885" s="3" t="inlineStr">
        <is>
          <t>차바이오텍</t>
        </is>
      </c>
      <c r="C3885" s="2" t="inlineStr">
        <is>
          <t>코스닥</t>
        </is>
      </c>
      <c r="D3885" s="2" t="inlineStr">
        <is>
          <t>085660</t>
        </is>
      </c>
      <c r="E3885" s="3" t="inlineStr">
        <is>
          <t>주주총회소집공고</t>
        </is>
      </c>
      <c r="F3885" s="3" t="inlineStr">
        <is>
          <t>차바이오텍</t>
        </is>
      </c>
      <c r="G3885" s="2" t="inlineStr">
        <is>
          <t>20260316001604</t>
        </is>
      </c>
      <c r="H3885" s="8">
        <f>HYPERLINK("https://dart.fss.or.kr/dsaf001/main.do?rcpNo=20260316001604", "공시열람")</f>
        <v/>
      </c>
    </row>
    <row r="3886">
      <c r="A3886" s="2" t="inlineStr">
        <is>
          <t>2026-03-16</t>
        </is>
      </c>
      <c r="B3886" s="3" t="inlineStr">
        <is>
          <t>엔켐</t>
        </is>
      </c>
      <c r="C3886" s="2" t="inlineStr">
        <is>
          <t>코스닥</t>
        </is>
      </c>
      <c r="D3886" s="2" t="inlineStr">
        <is>
          <t>348370</t>
        </is>
      </c>
      <c r="E3886" s="3" t="inlineStr">
        <is>
          <t>주주총회소집공고</t>
        </is>
      </c>
      <c r="F3886" s="3" t="inlineStr">
        <is>
          <t>엔켐</t>
        </is>
      </c>
      <c r="G3886" s="2" t="inlineStr">
        <is>
          <t>20260316001598</t>
        </is>
      </c>
      <c r="H3886" s="8">
        <f>HYPERLINK("https://dart.fss.or.kr/dsaf001/main.do?rcpNo=20260316001598", "공시열람")</f>
        <v/>
      </c>
    </row>
    <row r="3887">
      <c r="A3887" s="2" t="inlineStr">
        <is>
          <t>2026-03-16 (정정: 2026-05-22)</t>
        </is>
      </c>
      <c r="B3887" s="3" t="inlineStr">
        <is>
          <t>엔투텍</t>
        </is>
      </c>
      <c r="C3887" s="2" t="inlineStr">
        <is>
          <t>코스닥</t>
        </is>
      </c>
      <c r="D3887" s="2" t="inlineStr">
        <is>
          <t>227950</t>
        </is>
      </c>
      <c r="E3887" s="3" t="inlineStr">
        <is>
          <t>주주총회소집공고 (정정: 20260522)</t>
        </is>
      </c>
      <c r="F3887" s="3" t="inlineStr">
        <is>
          <t>엔투텍</t>
        </is>
      </c>
      <c r="G3887" s="2" t="inlineStr">
        <is>
          <t>20260522900982</t>
        </is>
      </c>
      <c r="H3887" s="8">
        <f>HYPERLINK("https://dart.fss.or.kr/dsaf001/main.do?rcpNo=20260522900982", "공시열람")</f>
        <v/>
      </c>
    </row>
    <row r="3888">
      <c r="A3888" s="2" t="inlineStr">
        <is>
          <t>2026-03-16</t>
        </is>
      </c>
      <c r="B3888" s="3" t="inlineStr">
        <is>
          <t>세원물산</t>
        </is>
      </c>
      <c r="C3888" s="2" t="inlineStr">
        <is>
          <t>코스닥</t>
        </is>
      </c>
      <c r="D3888" s="2" t="inlineStr">
        <is>
          <t>024830</t>
        </is>
      </c>
      <c r="E3888" s="3" t="inlineStr">
        <is>
          <t>주주총회소집공고</t>
        </is>
      </c>
      <c r="F3888" s="3" t="inlineStr">
        <is>
          <t>세원물산</t>
        </is>
      </c>
      <c r="G3888" s="2" t="inlineStr">
        <is>
          <t>20260316001595</t>
        </is>
      </c>
      <c r="H3888" s="8">
        <f>HYPERLINK("https://dart.fss.or.kr/dsaf001/main.do?rcpNo=20260316001595", "공시열람")</f>
        <v/>
      </c>
    </row>
    <row r="3889">
      <c r="A3889" s="2" t="inlineStr">
        <is>
          <t>2026-03-16</t>
        </is>
      </c>
      <c r="B3889" s="3" t="inlineStr">
        <is>
          <t>제이오</t>
        </is>
      </c>
      <c r="C3889" s="2" t="inlineStr">
        <is>
          <t>코스닥</t>
        </is>
      </c>
      <c r="D3889" s="2" t="inlineStr">
        <is>
          <t>418550</t>
        </is>
      </c>
      <c r="E3889" s="3" t="inlineStr">
        <is>
          <t>주주총회소집공고</t>
        </is>
      </c>
      <c r="F3889" s="3" t="inlineStr">
        <is>
          <t>제이오</t>
        </is>
      </c>
      <c r="G3889" s="2" t="inlineStr">
        <is>
          <t>20260316001593</t>
        </is>
      </c>
      <c r="H3889" s="8">
        <f>HYPERLINK("https://dart.fss.or.kr/dsaf001/main.do?rcpNo=20260316001593", "공시열람")</f>
        <v/>
      </c>
    </row>
    <row r="3890">
      <c r="A3890" s="2" t="inlineStr">
        <is>
          <t>2026-03-16</t>
        </is>
      </c>
      <c r="B3890" s="3" t="inlineStr">
        <is>
          <t>알엔투테크놀로지</t>
        </is>
      </c>
      <c r="C3890" s="2" t="inlineStr">
        <is>
          <t>코스닥</t>
        </is>
      </c>
      <c r="D3890" s="2" t="inlineStr">
        <is>
          <t>148250</t>
        </is>
      </c>
      <c r="E3890" s="3" t="inlineStr">
        <is>
          <t>주주총회소집공고</t>
        </is>
      </c>
      <c r="F3890" s="3" t="inlineStr">
        <is>
          <t>알엔투테크놀로지</t>
        </is>
      </c>
      <c r="G3890" s="2" t="inlineStr">
        <is>
          <t>20260316001589</t>
        </is>
      </c>
      <c r="H3890" s="8">
        <f>HYPERLINK("https://dart.fss.or.kr/dsaf001/main.do?rcpNo=20260316001589", "공시열람")</f>
        <v/>
      </c>
    </row>
    <row r="3891">
      <c r="A3891" s="2" t="inlineStr">
        <is>
          <t>2026-03-16 (정정: 2026-05-20)</t>
        </is>
      </c>
      <c r="B3891" s="3" t="inlineStr">
        <is>
          <t>대진첨단소재</t>
        </is>
      </c>
      <c r="C3891" s="2" t="inlineStr">
        <is>
          <t>코스닥</t>
        </is>
      </c>
      <c r="D3891" s="2" t="inlineStr">
        <is>
          <t>393970</t>
        </is>
      </c>
      <c r="E3891" s="3" t="inlineStr">
        <is>
          <t>주주총회소집공고 (정정: 20260317) (정정: 20260520)</t>
        </is>
      </c>
      <c r="F3891" s="3" t="inlineStr">
        <is>
          <t>대진첨단소재</t>
        </is>
      </c>
      <c r="G3891" s="2" t="inlineStr">
        <is>
          <t>20260520900229</t>
        </is>
      </c>
      <c r="H3891" s="8">
        <f>HYPERLINK("https://dart.fss.or.kr/dsaf001/main.do?rcpNo=20260520900229", "공시열람")</f>
        <v/>
      </c>
    </row>
    <row r="3892">
      <c r="A3892" s="2" t="inlineStr">
        <is>
          <t>2026-03-16</t>
        </is>
      </c>
      <c r="B3892" s="3" t="inlineStr">
        <is>
          <t>대보마그네틱</t>
        </is>
      </c>
      <c r="C3892" s="2" t="inlineStr">
        <is>
          <t>코스닥</t>
        </is>
      </c>
      <c r="D3892" s="2" t="inlineStr">
        <is>
          <t>290670</t>
        </is>
      </c>
      <c r="E3892" s="3" t="inlineStr">
        <is>
          <t>주주총회소집공고</t>
        </is>
      </c>
      <c r="F3892" s="3" t="inlineStr">
        <is>
          <t>대보마그네틱</t>
        </is>
      </c>
      <c r="G3892" s="2" t="inlineStr">
        <is>
          <t>20260316001585</t>
        </is>
      </c>
      <c r="H3892" s="8">
        <f>HYPERLINK("https://dart.fss.or.kr/dsaf001/main.do?rcpNo=20260316001585", "공시열람")</f>
        <v/>
      </c>
    </row>
    <row r="3893">
      <c r="A3893" s="2" t="inlineStr">
        <is>
          <t>2026-03-16</t>
        </is>
      </c>
      <c r="B3893" s="3" t="inlineStr">
        <is>
          <t>와이바이오로직스</t>
        </is>
      </c>
      <c r="C3893" s="2" t="inlineStr">
        <is>
          <t>코스닥</t>
        </is>
      </c>
      <c r="D3893" s="2" t="inlineStr">
        <is>
          <t>338840</t>
        </is>
      </c>
      <c r="E3893" s="3" t="inlineStr">
        <is>
          <t>주주총회소집공고</t>
        </is>
      </c>
      <c r="F3893" s="3" t="inlineStr">
        <is>
          <t>와이바이오로직스</t>
        </is>
      </c>
      <c r="G3893" s="2" t="inlineStr">
        <is>
          <t>20260316001584</t>
        </is>
      </c>
      <c r="H3893" s="8">
        <f>HYPERLINK("https://dart.fss.or.kr/dsaf001/main.do?rcpNo=20260316001584", "공시열람")</f>
        <v/>
      </c>
    </row>
    <row r="3894">
      <c r="A3894" s="2" t="inlineStr">
        <is>
          <t>2026-03-16</t>
        </is>
      </c>
      <c r="B3894" s="3" t="inlineStr">
        <is>
          <t>시큐브</t>
        </is>
      </c>
      <c r="C3894" s="2" t="inlineStr">
        <is>
          <t>코스닥</t>
        </is>
      </c>
      <c r="D3894" s="2" t="inlineStr">
        <is>
          <t>131090</t>
        </is>
      </c>
      <c r="E3894" s="3" t="inlineStr">
        <is>
          <t>주주총회소집공고</t>
        </is>
      </c>
      <c r="F3894" s="3" t="inlineStr">
        <is>
          <t>시큐브</t>
        </is>
      </c>
      <c r="G3894" s="2" t="inlineStr">
        <is>
          <t>20260316001578</t>
        </is>
      </c>
      <c r="H3894" s="8">
        <f>HYPERLINK("https://dart.fss.or.kr/dsaf001/main.do?rcpNo=20260316001578", "공시열람")</f>
        <v/>
      </c>
    </row>
    <row r="3895">
      <c r="A3895" s="2" t="inlineStr">
        <is>
          <t>2026-03-16</t>
        </is>
      </c>
      <c r="B3895" s="3" t="inlineStr">
        <is>
          <t>아크솔루션스</t>
        </is>
      </c>
      <c r="C3895" s="2" t="inlineStr">
        <is>
          <t>코스닥</t>
        </is>
      </c>
      <c r="D3895" s="2" t="inlineStr">
        <is>
          <t>203690</t>
        </is>
      </c>
      <c r="E3895" s="3" t="inlineStr">
        <is>
          <t>주주총회소집공고</t>
        </is>
      </c>
      <c r="F3895" s="3" t="inlineStr">
        <is>
          <t>아크솔루션스</t>
        </is>
      </c>
      <c r="G3895" s="2" t="inlineStr">
        <is>
          <t>20260316001576</t>
        </is>
      </c>
      <c r="H3895" s="8">
        <f>HYPERLINK("https://dart.fss.or.kr/dsaf001/main.do?rcpNo=20260316001576", "공시열람")</f>
        <v/>
      </c>
    </row>
    <row r="3896">
      <c r="A3896" s="2" t="inlineStr">
        <is>
          <t>2026-03-16</t>
        </is>
      </c>
      <c r="B3896" s="3" t="inlineStr">
        <is>
          <t>자연과환경</t>
        </is>
      </c>
      <c r="C3896" s="2" t="inlineStr">
        <is>
          <t>코스닥</t>
        </is>
      </c>
      <c r="D3896" s="2" t="inlineStr">
        <is>
          <t>043910</t>
        </is>
      </c>
      <c r="E3896" s="3" t="inlineStr">
        <is>
          <t>주주총회소집공고</t>
        </is>
      </c>
      <c r="F3896" s="3" t="inlineStr">
        <is>
          <t>자연과환경</t>
        </is>
      </c>
      <c r="G3896" s="2" t="inlineStr">
        <is>
          <t>20260316001571</t>
        </is>
      </c>
      <c r="H3896" s="8">
        <f>HYPERLINK("https://dart.fss.or.kr/dsaf001/main.do?rcpNo=20260316001571", "공시열람")</f>
        <v/>
      </c>
    </row>
    <row r="3897">
      <c r="A3897" s="2" t="inlineStr">
        <is>
          <t>2026-03-16</t>
        </is>
      </c>
      <c r="B3897" s="3" t="inlineStr">
        <is>
          <t>제이스코홀딩스</t>
        </is>
      </c>
      <c r="C3897" s="2" t="inlineStr">
        <is>
          <t>코스닥</t>
        </is>
      </c>
      <c r="D3897" s="2" t="inlineStr">
        <is>
          <t>023440</t>
        </is>
      </c>
      <c r="E3897" s="3" t="inlineStr">
        <is>
          <t>주주총회소집공고</t>
        </is>
      </c>
      <c r="F3897" s="3" t="inlineStr">
        <is>
          <t>제이스코홀딩스</t>
        </is>
      </c>
      <c r="G3897" s="2" t="inlineStr">
        <is>
          <t>20260316001569</t>
        </is>
      </c>
      <c r="H3897" s="8">
        <f>HYPERLINK("https://dart.fss.or.kr/dsaf001/main.do?rcpNo=20260316001569", "공시열람")</f>
        <v/>
      </c>
    </row>
    <row r="3898">
      <c r="A3898" s="2" t="inlineStr">
        <is>
          <t>2026-03-16 (정정: 2026-03-24)</t>
        </is>
      </c>
      <c r="B3898" s="3" t="inlineStr">
        <is>
          <t>자이글</t>
        </is>
      </c>
      <c r="C3898" s="2" t="inlineStr">
        <is>
          <t>코스닥</t>
        </is>
      </c>
      <c r="D3898" s="2" t="inlineStr">
        <is>
          <t>234920</t>
        </is>
      </c>
      <c r="E3898" s="3" t="inlineStr">
        <is>
          <t>주주총회소집공고 (정정: 20260317) (정정: 20260324)</t>
        </is>
      </c>
      <c r="F3898" s="3" t="inlineStr">
        <is>
          <t>자이글</t>
        </is>
      </c>
      <c r="G3898" s="2" t="inlineStr">
        <is>
          <t>20260324000345</t>
        </is>
      </c>
      <c r="H3898" s="8">
        <f>HYPERLINK("https://dart.fss.or.kr/dsaf001/main.do?rcpNo=20260324000345", "공시열람")</f>
        <v/>
      </c>
    </row>
    <row r="3899">
      <c r="A3899" s="2" t="inlineStr">
        <is>
          <t>2026-03-16</t>
        </is>
      </c>
      <c r="B3899" s="3" t="inlineStr">
        <is>
          <t>에스팀</t>
        </is>
      </c>
      <c r="C3899" s="2" t="inlineStr">
        <is>
          <t>코스닥</t>
        </is>
      </c>
      <c r="D3899" s="2" t="inlineStr">
        <is>
          <t>458350</t>
        </is>
      </c>
      <c r="E3899" s="3" t="inlineStr">
        <is>
          <t>주주총회소집공고</t>
        </is>
      </c>
      <c r="F3899" s="3" t="inlineStr">
        <is>
          <t>에스팀</t>
        </is>
      </c>
      <c r="G3899" s="2" t="inlineStr">
        <is>
          <t>20260316001565</t>
        </is>
      </c>
      <c r="H3899" s="8">
        <f>HYPERLINK("https://dart.fss.or.kr/dsaf001/main.do?rcpNo=20260316001565", "공시열람")</f>
        <v/>
      </c>
    </row>
    <row r="3900">
      <c r="A3900" s="2" t="inlineStr">
        <is>
          <t>2026-03-16</t>
        </is>
      </c>
      <c r="B3900" s="3" t="inlineStr">
        <is>
          <t>바이온</t>
        </is>
      </c>
      <c r="C3900" s="2" t="inlineStr">
        <is>
          <t>코스닥</t>
        </is>
      </c>
      <c r="D3900" s="2" t="inlineStr">
        <is>
          <t>032980</t>
        </is>
      </c>
      <c r="E3900" s="3" t="inlineStr">
        <is>
          <t>주주총회소집공고</t>
        </is>
      </c>
      <c r="F3900" s="3" t="inlineStr">
        <is>
          <t>바이온</t>
        </is>
      </c>
      <c r="G3900" s="2" t="inlineStr">
        <is>
          <t>20260316001564</t>
        </is>
      </c>
      <c r="H3900" s="8">
        <f>HYPERLINK("https://dart.fss.or.kr/dsaf001/main.do?rcpNo=20260316001564", "공시열람")</f>
        <v/>
      </c>
    </row>
    <row r="3901">
      <c r="A3901" s="2" t="inlineStr">
        <is>
          <t>2026-03-16</t>
        </is>
      </c>
      <c r="B3901" s="3" t="inlineStr">
        <is>
          <t>체시스</t>
        </is>
      </c>
      <c r="C3901" s="2" t="inlineStr">
        <is>
          <t>코스피</t>
        </is>
      </c>
      <c r="D3901" s="2" t="inlineStr">
        <is>
          <t>033250</t>
        </is>
      </c>
      <c r="E3901" s="3" t="inlineStr">
        <is>
          <t>[기재정정]주주총회소집공고</t>
        </is>
      </c>
      <c r="F3901" s="3" t="inlineStr">
        <is>
          <t>체시스</t>
        </is>
      </c>
      <c r="G3901" s="2" t="inlineStr">
        <is>
          <t>20260316001557</t>
        </is>
      </c>
      <c r="H3901" s="8">
        <f>HYPERLINK("https://dart.fss.or.kr/dsaf001/main.do?rcpNo=20260316001557", "공시열람")</f>
        <v/>
      </c>
    </row>
    <row r="3902">
      <c r="A3902" s="2" t="inlineStr">
        <is>
          <t>2026-03-16</t>
        </is>
      </c>
      <c r="B3902" s="3" t="inlineStr">
        <is>
          <t>마이크로디지탈</t>
        </is>
      </c>
      <c r="C3902" s="2" t="inlineStr">
        <is>
          <t>코스닥</t>
        </is>
      </c>
      <c r="D3902" s="2" t="inlineStr">
        <is>
          <t>305090</t>
        </is>
      </c>
      <c r="E3902" s="3" t="inlineStr">
        <is>
          <t>주주총회소집공고</t>
        </is>
      </c>
      <c r="F3902" s="3" t="inlineStr">
        <is>
          <t>마이크로디지탈</t>
        </is>
      </c>
      <c r="G3902" s="2" t="inlineStr">
        <is>
          <t>20260316001556</t>
        </is>
      </c>
      <c r="H3902" s="8">
        <f>HYPERLINK("https://dart.fss.or.kr/dsaf001/main.do?rcpNo=20260316001556", "공시열람")</f>
        <v/>
      </c>
    </row>
    <row r="3903">
      <c r="A3903" s="2" t="inlineStr">
        <is>
          <t>2026-03-16</t>
        </is>
      </c>
      <c r="B3903" s="3" t="inlineStr">
        <is>
          <t>브이원텍</t>
        </is>
      </c>
      <c r="C3903" s="2" t="inlineStr">
        <is>
          <t>코스닥</t>
        </is>
      </c>
      <c r="D3903" s="2" t="inlineStr">
        <is>
          <t>251630</t>
        </is>
      </c>
      <c r="E3903" s="3" t="inlineStr">
        <is>
          <t>주주총회소집공고</t>
        </is>
      </c>
      <c r="F3903" s="3" t="inlineStr">
        <is>
          <t>브이원텍</t>
        </is>
      </c>
      <c r="G3903" s="2" t="inlineStr">
        <is>
          <t>20260316001554</t>
        </is>
      </c>
      <c r="H3903" s="8">
        <f>HYPERLINK("https://dart.fss.or.kr/dsaf001/main.do?rcpNo=20260316001554", "공시열람")</f>
        <v/>
      </c>
    </row>
    <row r="3904">
      <c r="A3904" s="2" t="inlineStr">
        <is>
          <t>2026-03-16</t>
        </is>
      </c>
      <c r="B3904" s="3" t="inlineStr">
        <is>
          <t>에이에스텍</t>
        </is>
      </c>
      <c r="C3904" s="2" t="inlineStr">
        <is>
          <t>코스닥</t>
        </is>
      </c>
      <c r="D3904" s="2" t="inlineStr">
        <is>
          <t>453860</t>
        </is>
      </c>
      <c r="E3904" s="3" t="inlineStr">
        <is>
          <t>주주총회소집공고</t>
        </is>
      </c>
      <c r="F3904" s="3" t="inlineStr">
        <is>
          <t>에이에스텍</t>
        </is>
      </c>
      <c r="G3904" s="2" t="inlineStr">
        <is>
          <t>20260316001553</t>
        </is>
      </c>
      <c r="H3904" s="8">
        <f>HYPERLINK("https://dart.fss.or.kr/dsaf001/main.do?rcpNo=20260316001553", "공시열람")</f>
        <v/>
      </c>
    </row>
    <row r="3905">
      <c r="A3905" s="2" t="inlineStr">
        <is>
          <t>2026-03-16 (정정: 2026-03-16)</t>
        </is>
      </c>
      <c r="B3905" s="3" t="inlineStr">
        <is>
          <t>화인베스틸</t>
        </is>
      </c>
      <c r="C3905" s="2" t="inlineStr">
        <is>
          <t>코스피</t>
        </is>
      </c>
      <c r="D3905" s="2" t="inlineStr">
        <is>
          <t>133820</t>
        </is>
      </c>
      <c r="E3905" s="3" t="inlineStr">
        <is>
          <t>[기재정정]주주총회소집공고</t>
        </is>
      </c>
      <c r="F3905" s="3" t="inlineStr">
        <is>
          <t>화인베스틸</t>
        </is>
      </c>
      <c r="G3905" s="2" t="inlineStr">
        <is>
          <t>20260316001552</t>
        </is>
      </c>
      <c r="H3905" s="8">
        <f>HYPERLINK("https://dart.fss.or.kr/dsaf001/main.do?rcpNo=20260316001552", "공시열람")</f>
        <v/>
      </c>
    </row>
    <row r="3906">
      <c r="A3906" s="2" t="inlineStr">
        <is>
          <t>2026-03-16</t>
        </is>
      </c>
      <c r="B3906" s="3" t="inlineStr">
        <is>
          <t>엠에스오토텍</t>
        </is>
      </c>
      <c r="C3906" s="2" t="inlineStr">
        <is>
          <t>코스닥</t>
        </is>
      </c>
      <c r="D3906" s="2" t="inlineStr">
        <is>
          <t>123040</t>
        </is>
      </c>
      <c r="E3906" s="3" t="inlineStr">
        <is>
          <t>주주총회소집공고</t>
        </is>
      </c>
      <c r="F3906" s="3" t="inlineStr">
        <is>
          <t>엠에스오토텍</t>
        </is>
      </c>
      <c r="G3906" s="2" t="inlineStr">
        <is>
          <t>20260316001546</t>
        </is>
      </c>
      <c r="H3906" s="8">
        <f>HYPERLINK("https://dart.fss.or.kr/dsaf001/main.do?rcpNo=20260316001546", "공시열람")</f>
        <v/>
      </c>
    </row>
    <row r="3907">
      <c r="A3907" s="2" t="inlineStr">
        <is>
          <t>2026-03-16</t>
        </is>
      </c>
      <c r="B3907" s="3" t="inlineStr">
        <is>
          <t>앱튼</t>
        </is>
      </c>
      <c r="C3907" s="2" t="inlineStr">
        <is>
          <t>코스닥</t>
        </is>
      </c>
      <c r="D3907" s="2" t="inlineStr">
        <is>
          <t>270520</t>
        </is>
      </c>
      <c r="E3907" s="3" t="inlineStr">
        <is>
          <t>주주총회소집공고</t>
        </is>
      </c>
      <c r="F3907" s="3" t="inlineStr">
        <is>
          <t>앱튼</t>
        </is>
      </c>
      <c r="G3907" s="2" t="inlineStr">
        <is>
          <t>20260316001541</t>
        </is>
      </c>
      <c r="H3907" s="8">
        <f>HYPERLINK("https://dart.fss.or.kr/dsaf001/main.do?rcpNo=20260316001541", "공시열람")</f>
        <v/>
      </c>
    </row>
    <row r="3908">
      <c r="A3908" s="2" t="inlineStr">
        <is>
          <t>2026-03-16</t>
        </is>
      </c>
      <c r="B3908" s="3" t="inlineStr">
        <is>
          <t>플럼라인생명과학</t>
        </is>
      </c>
      <c r="C3908" s="2" t="inlineStr">
        <is>
          <t>코넥스</t>
        </is>
      </c>
      <c r="D3908" s="2" t="inlineStr">
        <is>
          <t>222670</t>
        </is>
      </c>
      <c r="E3908" s="3" t="inlineStr">
        <is>
          <t>주주총회소집공고</t>
        </is>
      </c>
      <c r="F3908" s="3" t="inlineStr">
        <is>
          <t>플럼라인생명과학</t>
        </is>
      </c>
      <c r="G3908" s="2" t="inlineStr">
        <is>
          <t>20260316001539</t>
        </is>
      </c>
      <c r="H3908" s="8">
        <f>HYPERLINK("https://dart.fss.or.kr/dsaf001/main.do?rcpNo=20260316001539", "공시열람")</f>
        <v/>
      </c>
    </row>
    <row r="3909">
      <c r="A3909" s="2" t="inlineStr">
        <is>
          <t>2026-03-16</t>
        </is>
      </c>
      <c r="B3909" s="3" t="inlineStr">
        <is>
          <t>에코캡</t>
        </is>
      </c>
      <c r="C3909" s="2" t="inlineStr">
        <is>
          <t>코스닥</t>
        </is>
      </c>
      <c r="D3909" s="2" t="inlineStr">
        <is>
          <t>128540</t>
        </is>
      </c>
      <c r="E3909" s="3" t="inlineStr">
        <is>
          <t>주주총회소집공고</t>
        </is>
      </c>
      <c r="F3909" s="3" t="inlineStr">
        <is>
          <t>에코캡</t>
        </is>
      </c>
      <c r="G3909" s="2" t="inlineStr">
        <is>
          <t>20260316001537</t>
        </is>
      </c>
      <c r="H3909" s="8">
        <f>HYPERLINK("https://dart.fss.or.kr/dsaf001/main.do?rcpNo=20260316001537", "공시열람")</f>
        <v/>
      </c>
    </row>
    <row r="3910">
      <c r="A3910" s="2" t="inlineStr">
        <is>
          <t>2026-03-16</t>
        </is>
      </c>
      <c r="B3910" s="3" t="inlineStr">
        <is>
          <t>삼진엘앤디</t>
        </is>
      </c>
      <c r="C3910" s="2" t="inlineStr">
        <is>
          <t>코스닥</t>
        </is>
      </c>
      <c r="D3910" s="2" t="inlineStr">
        <is>
          <t>054090</t>
        </is>
      </c>
      <c r="E3910" s="3" t="inlineStr">
        <is>
          <t>주주총회소집공고</t>
        </is>
      </c>
      <c r="F3910" s="3" t="inlineStr">
        <is>
          <t>삼진엘앤디</t>
        </is>
      </c>
      <c r="G3910" s="2" t="inlineStr">
        <is>
          <t>20260316001536</t>
        </is>
      </c>
      <c r="H3910" s="8">
        <f>HYPERLINK("https://dart.fss.or.kr/dsaf001/main.do?rcpNo=20260316001536", "공시열람")</f>
        <v/>
      </c>
    </row>
    <row r="3911">
      <c r="A3911" s="2" t="inlineStr">
        <is>
          <t>2026-03-16</t>
        </is>
      </c>
      <c r="B3911" s="3" t="inlineStr">
        <is>
          <t>피노</t>
        </is>
      </c>
      <c r="C3911" s="2" t="inlineStr">
        <is>
          <t>코스닥</t>
        </is>
      </c>
      <c r="D3911" s="2" t="inlineStr">
        <is>
          <t>033790</t>
        </is>
      </c>
      <c r="E3911" s="3" t="inlineStr">
        <is>
          <t>주주총회소집공고</t>
        </is>
      </c>
      <c r="F3911" s="3" t="inlineStr">
        <is>
          <t>피노</t>
        </is>
      </c>
      <c r="G3911" s="2" t="inlineStr">
        <is>
          <t>20260316001534</t>
        </is>
      </c>
      <c r="H3911" s="8">
        <f>HYPERLINK("https://dart.fss.or.kr/dsaf001/main.do?rcpNo=20260316001534", "공시열람")</f>
        <v/>
      </c>
    </row>
    <row r="3912">
      <c r="A3912" s="2" t="inlineStr">
        <is>
          <t>2026-03-16</t>
        </is>
      </c>
      <c r="B3912" s="3" t="inlineStr">
        <is>
          <t>아즈텍WB</t>
        </is>
      </c>
      <c r="C3912" s="2" t="inlineStr">
        <is>
          <t>코스닥</t>
        </is>
      </c>
      <c r="D3912" s="2" t="inlineStr">
        <is>
          <t>032080</t>
        </is>
      </c>
      <c r="E3912" s="3" t="inlineStr">
        <is>
          <t>주주총회소집공고</t>
        </is>
      </c>
      <c r="F3912" s="3" t="inlineStr">
        <is>
          <t>아즈텍WB</t>
        </is>
      </c>
      <c r="G3912" s="2" t="inlineStr">
        <is>
          <t>20260316001532</t>
        </is>
      </c>
      <c r="H3912" s="8">
        <f>HYPERLINK("https://dart.fss.or.kr/dsaf001/main.do?rcpNo=20260316001532", "공시열람")</f>
        <v/>
      </c>
    </row>
    <row r="3913">
      <c r="A3913" s="2" t="inlineStr">
        <is>
          <t>2026-03-16</t>
        </is>
      </c>
      <c r="B3913" s="3" t="inlineStr">
        <is>
          <t>우듬지팜</t>
        </is>
      </c>
      <c r="C3913" s="2" t="inlineStr">
        <is>
          <t>코스닥</t>
        </is>
      </c>
      <c r="D3913" s="2" t="inlineStr">
        <is>
          <t>403490</t>
        </is>
      </c>
      <c r="E3913" s="3" t="inlineStr">
        <is>
          <t>주주총회소집공고</t>
        </is>
      </c>
      <c r="F3913" s="3" t="inlineStr">
        <is>
          <t>우듬지팜</t>
        </is>
      </c>
      <c r="G3913" s="2" t="inlineStr">
        <is>
          <t>20260316001531</t>
        </is>
      </c>
      <c r="H3913" s="8">
        <f>HYPERLINK("https://dart.fss.or.kr/dsaf001/main.do?rcpNo=20260316001531", "공시열람")</f>
        <v/>
      </c>
    </row>
    <row r="3914">
      <c r="A3914" s="2" t="inlineStr">
        <is>
          <t>2026-03-16 (정정: 2026-05-21)</t>
        </is>
      </c>
      <c r="B3914" s="3" t="inlineStr">
        <is>
          <t>서진시스템</t>
        </is>
      </c>
      <c r="C3914" s="2" t="inlineStr">
        <is>
          <t>코스닥</t>
        </is>
      </c>
      <c r="D3914" s="2" t="inlineStr">
        <is>
          <t>178320</t>
        </is>
      </c>
      <c r="E3914" s="3" t="inlineStr">
        <is>
          <t>주주총회소집공고 (정정: 20260521)</t>
        </is>
      </c>
      <c r="F3914" s="3" t="inlineStr">
        <is>
          <t>서진시스템</t>
        </is>
      </c>
      <c r="G3914" s="2" t="inlineStr">
        <is>
          <t>20260521900874</t>
        </is>
      </c>
      <c r="H3914" s="8">
        <f>HYPERLINK("https://dart.fss.or.kr/dsaf001/main.do?rcpNo=20260521900874", "공시열람")</f>
        <v/>
      </c>
    </row>
    <row r="3915">
      <c r="A3915" s="2" t="inlineStr">
        <is>
          <t>2026-03-16</t>
        </is>
      </c>
      <c r="B3915" s="3" t="inlineStr">
        <is>
          <t>폴라리스오피스</t>
        </is>
      </c>
      <c r="C3915" s="2" t="inlineStr">
        <is>
          <t>코스닥</t>
        </is>
      </c>
      <c r="D3915" s="2" t="inlineStr">
        <is>
          <t>041020</t>
        </is>
      </c>
      <c r="E3915" s="3" t="inlineStr">
        <is>
          <t>주주총회소집공고</t>
        </is>
      </c>
      <c r="F3915" s="3" t="inlineStr">
        <is>
          <t>폴라리스오피스</t>
        </is>
      </c>
      <c r="G3915" s="2" t="inlineStr">
        <is>
          <t>20260316001521</t>
        </is>
      </c>
      <c r="H3915" s="8">
        <f>HYPERLINK("https://dart.fss.or.kr/dsaf001/main.do?rcpNo=20260316001521", "공시열람")</f>
        <v/>
      </c>
    </row>
    <row r="3916">
      <c r="A3916" s="2" t="inlineStr">
        <is>
          <t>2026-03-16</t>
        </is>
      </c>
      <c r="B3916" s="3" t="inlineStr">
        <is>
          <t>인콘</t>
        </is>
      </c>
      <c r="C3916" s="2" t="inlineStr">
        <is>
          <t>코스닥</t>
        </is>
      </c>
      <c r="D3916" s="2" t="inlineStr">
        <is>
          <t>083640</t>
        </is>
      </c>
      <c r="E3916" s="3" t="inlineStr">
        <is>
          <t>주주총회소집공고</t>
        </is>
      </c>
      <c r="F3916" s="3" t="inlineStr">
        <is>
          <t>인콘</t>
        </is>
      </c>
      <c r="G3916" s="2" t="inlineStr">
        <is>
          <t>20260316001519</t>
        </is>
      </c>
      <c r="H3916" s="8">
        <f>HYPERLINK("https://dart.fss.or.kr/dsaf001/main.do?rcpNo=20260316001519", "공시열람")</f>
        <v/>
      </c>
    </row>
    <row r="3917">
      <c r="A3917" s="2" t="inlineStr">
        <is>
          <t>2026-03-16</t>
        </is>
      </c>
      <c r="B3917" s="3" t="inlineStr">
        <is>
          <t>코퍼스코리아</t>
        </is>
      </c>
      <c r="C3917" s="2" t="inlineStr">
        <is>
          <t>코스닥</t>
        </is>
      </c>
      <c r="D3917" s="2" t="inlineStr">
        <is>
          <t>322780</t>
        </is>
      </c>
      <c r="E3917" s="3" t="inlineStr">
        <is>
          <t>주주총회소집공고</t>
        </is>
      </c>
      <c r="F3917" s="3" t="inlineStr">
        <is>
          <t>코퍼스코리아</t>
        </is>
      </c>
      <c r="G3917" s="2" t="inlineStr">
        <is>
          <t>20260316001518</t>
        </is>
      </c>
      <c r="H3917" s="8">
        <f>HYPERLINK("https://dart.fss.or.kr/dsaf001/main.do?rcpNo=20260316001518", "공시열람")</f>
        <v/>
      </c>
    </row>
    <row r="3918">
      <c r="A3918" s="2" t="inlineStr">
        <is>
          <t>2026-03-16</t>
        </is>
      </c>
      <c r="B3918" s="3" t="inlineStr">
        <is>
          <t>코세스</t>
        </is>
      </c>
      <c r="C3918" s="2" t="inlineStr">
        <is>
          <t>코스닥</t>
        </is>
      </c>
      <c r="D3918" s="2" t="inlineStr">
        <is>
          <t>089890</t>
        </is>
      </c>
      <c r="E3918" s="3" t="inlineStr">
        <is>
          <t>주주총회소집공고</t>
        </is>
      </c>
      <c r="F3918" s="3" t="inlineStr">
        <is>
          <t>코세스</t>
        </is>
      </c>
      <c r="G3918" s="2" t="inlineStr">
        <is>
          <t>20260316001517</t>
        </is>
      </c>
      <c r="H3918" s="8">
        <f>HYPERLINK("https://dart.fss.or.kr/dsaf001/main.do?rcpNo=20260316001517", "공시열람")</f>
        <v/>
      </c>
    </row>
    <row r="3919">
      <c r="A3919" s="2" t="inlineStr">
        <is>
          <t>2026-03-16</t>
        </is>
      </c>
      <c r="B3919" s="3" t="inlineStr">
        <is>
          <t>핸즈코퍼레이션</t>
        </is>
      </c>
      <c r="C3919" s="2" t="inlineStr">
        <is>
          <t>코스피</t>
        </is>
      </c>
      <c r="D3919" s="2" t="inlineStr">
        <is>
          <t>143210</t>
        </is>
      </c>
      <c r="E3919" s="3" t="inlineStr">
        <is>
          <t>주주총회소집공고</t>
        </is>
      </c>
      <c r="F3919" s="3" t="inlineStr">
        <is>
          <t>핸즈코퍼레이션</t>
        </is>
      </c>
      <c r="G3919" s="2" t="inlineStr">
        <is>
          <t>20260316001516</t>
        </is>
      </c>
      <c r="H3919" s="8">
        <f>HYPERLINK("https://dart.fss.or.kr/dsaf001/main.do?rcpNo=20260316001516", "공시열람")</f>
        <v/>
      </c>
    </row>
    <row r="3920">
      <c r="A3920" s="2" t="inlineStr">
        <is>
          <t>2026-03-16 (정정: 2026-03-19)</t>
        </is>
      </c>
      <c r="B3920" s="3" t="inlineStr">
        <is>
          <t>비츠로넥스텍</t>
        </is>
      </c>
      <c r="C3920" s="2" t="inlineStr">
        <is>
          <t>코스닥</t>
        </is>
      </c>
      <c r="D3920" s="2" t="inlineStr">
        <is>
          <t>488900</t>
        </is>
      </c>
      <c r="E3920" s="3" t="inlineStr">
        <is>
          <t>주주총회소집공고 (정정: 20260319)</t>
        </is>
      </c>
      <c r="F3920" s="3" t="inlineStr">
        <is>
          <t>비츠로넥스텍</t>
        </is>
      </c>
      <c r="G3920" s="2" t="inlineStr">
        <is>
          <t>20260319000693</t>
        </is>
      </c>
      <c r="H3920" s="8">
        <f>HYPERLINK("https://dart.fss.or.kr/dsaf001/main.do?rcpNo=20260319000693", "공시열람")</f>
        <v/>
      </c>
    </row>
    <row r="3921">
      <c r="A3921" s="2" t="inlineStr">
        <is>
          <t>2026-03-16</t>
        </is>
      </c>
      <c r="B3921" s="3" t="inlineStr">
        <is>
          <t>케이바이오랩스</t>
        </is>
      </c>
      <c r="C3921" s="2" t="inlineStr">
        <is>
          <t>코스닥</t>
        </is>
      </c>
      <c r="D3921" s="2" t="inlineStr">
        <is>
          <t>038530</t>
        </is>
      </c>
      <c r="E3921" s="3" t="inlineStr">
        <is>
          <t>주주총회소집공고</t>
        </is>
      </c>
      <c r="F3921" s="3" t="inlineStr">
        <is>
          <t>케이바이오랩스</t>
        </is>
      </c>
      <c r="G3921" s="2" t="inlineStr">
        <is>
          <t>20260316001511</t>
        </is>
      </c>
      <c r="H3921" s="8">
        <f>HYPERLINK("https://dart.fss.or.kr/dsaf001/main.do?rcpNo=20260316001511", "공시열람")</f>
        <v/>
      </c>
    </row>
    <row r="3922">
      <c r="A3922" s="2" t="inlineStr">
        <is>
          <t>2026-03-16</t>
        </is>
      </c>
      <c r="B3922" s="3" t="inlineStr">
        <is>
          <t>피아이이</t>
        </is>
      </c>
      <c r="C3922" s="2" t="inlineStr">
        <is>
          <t>코스닥</t>
        </is>
      </c>
      <c r="D3922" s="2" t="inlineStr">
        <is>
          <t>452450</t>
        </is>
      </c>
      <c r="E3922" s="3" t="inlineStr">
        <is>
          <t>주주총회소집공고</t>
        </is>
      </c>
      <c r="F3922" s="3" t="inlineStr">
        <is>
          <t>피아이이</t>
        </is>
      </c>
      <c r="G3922" s="2" t="inlineStr">
        <is>
          <t>20260316001497</t>
        </is>
      </c>
      <c r="H3922" s="8">
        <f>HYPERLINK("https://dart.fss.or.kr/dsaf001/main.do?rcpNo=20260316001497", "공시열람")</f>
        <v/>
      </c>
    </row>
    <row r="3923">
      <c r="A3923" s="2" t="inlineStr">
        <is>
          <t>2026-03-16 (정정: 2026-03-26)</t>
        </is>
      </c>
      <c r="B3923" s="3" t="inlineStr">
        <is>
          <t>에이비프로바이오</t>
        </is>
      </c>
      <c r="C3923" s="2" t="inlineStr">
        <is>
          <t>코스닥</t>
        </is>
      </c>
      <c r="D3923" s="2" t="inlineStr">
        <is>
          <t>195990</t>
        </is>
      </c>
      <c r="E3923" s="3" t="inlineStr">
        <is>
          <t>주주총회소집공고 (정정: 20260326)</t>
        </is>
      </c>
      <c r="F3923" s="3" t="inlineStr">
        <is>
          <t>에이비프로바이오</t>
        </is>
      </c>
      <c r="G3923" s="2" t="inlineStr">
        <is>
          <t>20260326001418</t>
        </is>
      </c>
      <c r="H3923" s="8">
        <f>HYPERLINK("https://dart.fss.or.kr/dsaf001/main.do?rcpNo=20260326001418", "공시열람")</f>
        <v/>
      </c>
    </row>
    <row r="3924">
      <c r="A3924" s="2" t="inlineStr">
        <is>
          <t>2026-03-16 (정정: 2026-03-17)</t>
        </is>
      </c>
      <c r="B3924" s="3" t="inlineStr">
        <is>
          <t>켄코아에어로스페이스</t>
        </is>
      </c>
      <c r="C3924" s="2" t="inlineStr">
        <is>
          <t>코스닥</t>
        </is>
      </c>
      <c r="D3924" s="2" t="inlineStr">
        <is>
          <t>274090</t>
        </is>
      </c>
      <c r="E3924" s="3" t="inlineStr">
        <is>
          <t>주주총회소집공고 (정정: 20260317)</t>
        </is>
      </c>
      <c r="F3924" s="3" t="inlineStr">
        <is>
          <t>켄코아에어로스페이스</t>
        </is>
      </c>
      <c r="G3924" s="2" t="inlineStr">
        <is>
          <t>20260317000399</t>
        </is>
      </c>
      <c r="H3924" s="8">
        <f>HYPERLINK("https://dart.fss.or.kr/dsaf001/main.do?rcpNo=20260317000399", "공시열람")</f>
        <v/>
      </c>
    </row>
    <row r="3925">
      <c r="A3925" s="2" t="inlineStr">
        <is>
          <t>2026-03-16</t>
        </is>
      </c>
      <c r="B3925" s="3" t="inlineStr">
        <is>
          <t>삼영이엔씨</t>
        </is>
      </c>
      <c r="C3925" s="2" t="inlineStr">
        <is>
          <t>코스닥</t>
        </is>
      </c>
      <c r="D3925" s="2" t="inlineStr">
        <is>
          <t>065570</t>
        </is>
      </c>
      <c r="E3925" s="3" t="inlineStr">
        <is>
          <t>주주총회소집공고</t>
        </is>
      </c>
      <c r="F3925" s="3" t="inlineStr">
        <is>
          <t>삼영이엔씨</t>
        </is>
      </c>
      <c r="G3925" s="2" t="inlineStr">
        <is>
          <t>20260316001493</t>
        </is>
      </c>
      <c r="H3925" s="8">
        <f>HYPERLINK("https://dart.fss.or.kr/dsaf001/main.do?rcpNo=20260316001493", "공시열람")</f>
        <v/>
      </c>
    </row>
    <row r="3926">
      <c r="A3926" s="2" t="inlineStr">
        <is>
          <t>2026-03-16</t>
        </is>
      </c>
      <c r="B3926" s="3" t="inlineStr">
        <is>
          <t>이지홀딩스</t>
        </is>
      </c>
      <c r="C3926" s="2" t="inlineStr">
        <is>
          <t>코스닥</t>
        </is>
      </c>
      <c r="D3926" s="2" t="inlineStr">
        <is>
          <t>035810</t>
        </is>
      </c>
      <c r="E3926" s="3" t="inlineStr">
        <is>
          <t>주주총회소집공고</t>
        </is>
      </c>
      <c r="F3926" s="3" t="inlineStr">
        <is>
          <t>이지홀딩스</t>
        </is>
      </c>
      <c r="G3926" s="2" t="inlineStr">
        <is>
          <t>20260316001492</t>
        </is>
      </c>
      <c r="H3926" s="8">
        <f>HYPERLINK("https://dart.fss.or.kr/dsaf001/main.do?rcpNo=20260316001492", "공시열람")</f>
        <v/>
      </c>
    </row>
    <row r="3927">
      <c r="A3927" s="2" t="inlineStr">
        <is>
          <t>2026-03-16 (정정: 2026-03-17)</t>
        </is>
      </c>
      <c r="B3927" s="3" t="inlineStr">
        <is>
          <t>달바글로벌</t>
        </is>
      </c>
      <c r="C3927" s="2" t="inlineStr">
        <is>
          <t>코스피</t>
        </is>
      </c>
      <c r="D3927" s="2" t="inlineStr">
        <is>
          <t>483650</t>
        </is>
      </c>
      <c r="E3927" s="3" t="inlineStr">
        <is>
          <t>주주총회소집공고 (정정: 20260317)</t>
        </is>
      </c>
      <c r="F3927" s="3" t="inlineStr">
        <is>
          <t>달바글로벌</t>
        </is>
      </c>
      <c r="G3927" s="2" t="inlineStr">
        <is>
          <t>20260317000103</t>
        </is>
      </c>
      <c r="H3927" s="8">
        <f>HYPERLINK("https://dart.fss.or.kr/dsaf001/main.do?rcpNo=20260317000103", "공시열람")</f>
        <v/>
      </c>
    </row>
    <row r="3928">
      <c r="A3928" s="2" t="inlineStr">
        <is>
          <t>2026-03-16</t>
        </is>
      </c>
      <c r="B3928" s="3" t="inlineStr">
        <is>
          <t>대산F&amp;B</t>
        </is>
      </c>
      <c r="C3928" s="2" t="inlineStr">
        <is>
          <t>코스닥</t>
        </is>
      </c>
      <c r="D3928" s="2" t="inlineStr">
        <is>
          <t>065150</t>
        </is>
      </c>
      <c r="E3928" s="3" t="inlineStr">
        <is>
          <t>주주총회소집공고</t>
        </is>
      </c>
      <c r="F3928" s="3" t="inlineStr">
        <is>
          <t>대산F&amp;B</t>
        </is>
      </c>
      <c r="G3928" s="2" t="inlineStr">
        <is>
          <t>20260316001478</t>
        </is>
      </c>
      <c r="H3928" s="8">
        <f>HYPERLINK("https://dart.fss.or.kr/dsaf001/main.do?rcpNo=20260316001478", "공시열람")</f>
        <v/>
      </c>
    </row>
    <row r="3929">
      <c r="A3929" s="2" t="inlineStr">
        <is>
          <t>2026-03-16</t>
        </is>
      </c>
      <c r="B3929" s="3" t="inlineStr">
        <is>
          <t>캐리</t>
        </is>
      </c>
      <c r="C3929" s="2" t="inlineStr">
        <is>
          <t>코스닥</t>
        </is>
      </c>
      <c r="D3929" s="2" t="inlineStr">
        <is>
          <t>313760</t>
        </is>
      </c>
      <c r="E3929" s="3" t="inlineStr">
        <is>
          <t>주주총회소집공고</t>
        </is>
      </c>
      <c r="F3929" s="3" t="inlineStr">
        <is>
          <t>캐리</t>
        </is>
      </c>
      <c r="G3929" s="2" t="inlineStr">
        <is>
          <t>20260316001473</t>
        </is>
      </c>
      <c r="H3929" s="8">
        <f>HYPERLINK("https://dart.fss.or.kr/dsaf001/main.do?rcpNo=20260316001473", "공시열람")</f>
        <v/>
      </c>
    </row>
    <row r="3930">
      <c r="A3930" s="2" t="inlineStr">
        <is>
          <t>2026-03-16</t>
        </is>
      </c>
      <c r="B3930" s="3" t="inlineStr">
        <is>
          <t>디에이치엑스컴퍼니</t>
        </is>
      </c>
      <c r="C3930" s="2" t="inlineStr">
        <is>
          <t>코스닥</t>
        </is>
      </c>
      <c r="D3930" s="2" t="inlineStr">
        <is>
          <t>031860</t>
        </is>
      </c>
      <c r="E3930" s="3" t="inlineStr">
        <is>
          <t>주주총회소집공고</t>
        </is>
      </c>
      <c r="F3930" s="3" t="inlineStr">
        <is>
          <t>디에이치엑스컴퍼니</t>
        </is>
      </c>
      <c r="G3930" s="2" t="inlineStr">
        <is>
          <t>20260316001472</t>
        </is>
      </c>
      <c r="H3930" s="8">
        <f>HYPERLINK("https://dart.fss.or.kr/dsaf001/main.do?rcpNo=20260316001472", "공시열람")</f>
        <v/>
      </c>
    </row>
    <row r="3931">
      <c r="A3931" s="2" t="inlineStr">
        <is>
          <t>2026-03-16</t>
        </is>
      </c>
      <c r="B3931" s="3" t="inlineStr">
        <is>
          <t>싸이버원</t>
        </is>
      </c>
      <c r="C3931" s="2" t="inlineStr">
        <is>
          <t>코스닥</t>
        </is>
      </c>
      <c r="D3931" s="2" t="inlineStr">
        <is>
          <t>356890</t>
        </is>
      </c>
      <c r="E3931" s="3" t="inlineStr">
        <is>
          <t>주주총회소집공고</t>
        </is>
      </c>
      <c r="F3931" s="3" t="inlineStr">
        <is>
          <t>싸이버원</t>
        </is>
      </c>
      <c r="G3931" s="2" t="inlineStr">
        <is>
          <t>20260316001471</t>
        </is>
      </c>
      <c r="H3931" s="8">
        <f>HYPERLINK("https://dart.fss.or.kr/dsaf001/main.do?rcpNo=20260316001471", "공시열람")</f>
        <v/>
      </c>
    </row>
    <row r="3932">
      <c r="A3932" s="2" t="inlineStr">
        <is>
          <t>2026-03-16 (정정: 2026-05-20)</t>
        </is>
      </c>
      <c r="B3932" s="3" t="inlineStr">
        <is>
          <t>대호에이엘</t>
        </is>
      </c>
      <c r="C3932" s="2" t="inlineStr">
        <is>
          <t>코스피</t>
        </is>
      </c>
      <c r="D3932" s="2" t="inlineStr">
        <is>
          <t>069460</t>
        </is>
      </c>
      <c r="E3932" s="3" t="inlineStr">
        <is>
          <t>주주총회소집공고 (정정: 20260317) (정정: 20260520)</t>
        </is>
      </c>
      <c r="F3932" s="3" t="inlineStr">
        <is>
          <t>대호에이엘</t>
        </is>
      </c>
      <c r="G3932" s="2" t="inlineStr">
        <is>
          <t>20260520800433</t>
        </is>
      </c>
      <c r="H3932" s="8">
        <f>HYPERLINK("https://dart.fss.or.kr/dsaf001/main.do?rcpNo=20260520800433", "공시열람")</f>
        <v/>
      </c>
    </row>
    <row r="3933">
      <c r="A3933" s="2" t="inlineStr">
        <is>
          <t>2026-03-16</t>
        </is>
      </c>
      <c r="B3933" s="3" t="inlineStr">
        <is>
          <t>화승알앤에이</t>
        </is>
      </c>
      <c r="C3933" s="2" t="inlineStr">
        <is>
          <t>코스피</t>
        </is>
      </c>
      <c r="D3933" s="2" t="inlineStr">
        <is>
          <t>378850</t>
        </is>
      </c>
      <c r="E3933" s="3" t="inlineStr">
        <is>
          <t>주주총회소집공고</t>
        </is>
      </c>
      <c r="F3933" s="3" t="inlineStr">
        <is>
          <t>화승알앤에이</t>
        </is>
      </c>
      <c r="G3933" s="2" t="inlineStr">
        <is>
          <t>20260316001462</t>
        </is>
      </c>
      <c r="H3933" s="8">
        <f>HYPERLINK("https://dart.fss.or.kr/dsaf001/main.do?rcpNo=20260316001462", "공시열람")</f>
        <v/>
      </c>
    </row>
    <row r="3934">
      <c r="A3934" s="2" t="inlineStr">
        <is>
          <t>2026-03-16</t>
        </is>
      </c>
      <c r="B3934" s="3" t="inlineStr">
        <is>
          <t>케이씨씨</t>
        </is>
      </c>
      <c r="C3934" s="2" t="inlineStr">
        <is>
          <t>코스피</t>
        </is>
      </c>
      <c r="D3934" s="2" t="inlineStr">
        <is>
          <t>002380</t>
        </is>
      </c>
      <c r="E3934" s="3" t="inlineStr">
        <is>
          <t>[기재정정]주주총회소집공고</t>
        </is>
      </c>
      <c r="F3934" s="3" t="inlineStr">
        <is>
          <t>케이씨씨</t>
        </is>
      </c>
      <c r="G3934" s="2" t="inlineStr">
        <is>
          <t>20260316001461</t>
        </is>
      </c>
      <c r="H3934" s="8">
        <f>HYPERLINK("https://dart.fss.or.kr/dsaf001/main.do?rcpNo=20260316001461", "공시열람")</f>
        <v/>
      </c>
    </row>
    <row r="3935">
      <c r="A3935" s="2" t="inlineStr">
        <is>
          <t>2026-03-16</t>
        </is>
      </c>
      <c r="B3935" s="3" t="inlineStr">
        <is>
          <t>압타바이오</t>
        </is>
      </c>
      <c r="C3935" s="2" t="inlineStr">
        <is>
          <t>코스닥</t>
        </is>
      </c>
      <c r="D3935" s="2" t="inlineStr">
        <is>
          <t>293780</t>
        </is>
      </c>
      <c r="E3935" s="3" t="inlineStr">
        <is>
          <t>주주총회소집공고</t>
        </is>
      </c>
      <c r="F3935" s="3" t="inlineStr">
        <is>
          <t>압타바이오</t>
        </is>
      </c>
      <c r="G3935" s="2" t="inlineStr">
        <is>
          <t>20260316001456</t>
        </is>
      </c>
      <c r="H3935" s="8">
        <f>HYPERLINK("https://dart.fss.or.kr/dsaf001/main.do?rcpNo=20260316001456", "공시열람")</f>
        <v/>
      </c>
    </row>
    <row r="3936">
      <c r="A3936" s="2" t="inlineStr">
        <is>
          <t>2026-03-16 (정정: 2026-03-26)</t>
        </is>
      </c>
      <c r="B3936" s="3" t="inlineStr">
        <is>
          <t>셀레믹스</t>
        </is>
      </c>
      <c r="C3936" s="2" t="inlineStr">
        <is>
          <t>코스닥</t>
        </is>
      </c>
      <c r="D3936" s="2" t="inlineStr">
        <is>
          <t>331920</t>
        </is>
      </c>
      <c r="E3936" s="3" t="inlineStr">
        <is>
          <t>주주총회소집공고 (정정: 20260317) (정정: 20260326)</t>
        </is>
      </c>
      <c r="F3936" s="3" t="inlineStr">
        <is>
          <t>셀레믹스</t>
        </is>
      </c>
      <c r="G3936" s="2" t="inlineStr">
        <is>
          <t>20260326001344</t>
        </is>
      </c>
      <c r="H3936" s="8">
        <f>HYPERLINK("https://dart.fss.or.kr/dsaf001/main.do?rcpNo=20260326001344", "공시열람")</f>
        <v/>
      </c>
    </row>
    <row r="3937">
      <c r="A3937" s="2" t="inlineStr">
        <is>
          <t>2026-03-16</t>
        </is>
      </c>
      <c r="B3937" s="3" t="inlineStr">
        <is>
          <t>에이프로젠</t>
        </is>
      </c>
      <c r="C3937" s="2" t="inlineStr">
        <is>
          <t>코스피</t>
        </is>
      </c>
      <c r="D3937" s="2" t="inlineStr">
        <is>
          <t>007460</t>
        </is>
      </c>
      <c r="E3937" s="3" t="inlineStr">
        <is>
          <t>주주총회소집공고</t>
        </is>
      </c>
      <c r="F3937" s="3" t="inlineStr">
        <is>
          <t>에이프로젠</t>
        </is>
      </c>
      <c r="G3937" s="2" t="inlineStr">
        <is>
          <t>20260316001441</t>
        </is>
      </c>
      <c r="H3937" s="8">
        <f>HYPERLINK("https://dart.fss.or.kr/dsaf001/main.do?rcpNo=20260316001441", "공시열람")</f>
        <v/>
      </c>
    </row>
    <row r="3938">
      <c r="A3938" s="2" t="inlineStr">
        <is>
          <t>2026-03-16</t>
        </is>
      </c>
      <c r="B3938" s="3" t="inlineStr">
        <is>
          <t>휴스틸</t>
        </is>
      </c>
      <c r="C3938" s="2" t="inlineStr">
        <is>
          <t>코스피</t>
        </is>
      </c>
      <c r="D3938" s="2" t="inlineStr">
        <is>
          <t>005010</t>
        </is>
      </c>
      <c r="E3938" s="3" t="inlineStr">
        <is>
          <t>주주총회소집공고</t>
        </is>
      </c>
      <c r="F3938" s="3" t="inlineStr">
        <is>
          <t>휴스틸</t>
        </is>
      </c>
      <c r="G3938" s="2" t="inlineStr">
        <is>
          <t>20260316001436</t>
        </is>
      </c>
      <c r="H3938" s="8">
        <f>HYPERLINK("https://dart.fss.or.kr/dsaf001/main.do?rcpNo=20260316001436", "공시열람")</f>
        <v/>
      </c>
    </row>
    <row r="3939">
      <c r="A3939" s="2" t="inlineStr">
        <is>
          <t>2026-03-16</t>
        </is>
      </c>
      <c r="B3939" s="3" t="inlineStr">
        <is>
          <t>다원넥스뷰</t>
        </is>
      </c>
      <c r="C3939" s="2" t="inlineStr">
        <is>
          <t>코스닥</t>
        </is>
      </c>
      <c r="D3939" s="2" t="inlineStr">
        <is>
          <t>323350</t>
        </is>
      </c>
      <c r="E3939" s="3" t="inlineStr">
        <is>
          <t>주주총회소집공고</t>
        </is>
      </c>
      <c r="F3939" s="3" t="inlineStr">
        <is>
          <t>다원넥스뷰</t>
        </is>
      </c>
      <c r="G3939" s="2" t="inlineStr">
        <is>
          <t>20260316001435</t>
        </is>
      </c>
      <c r="H3939" s="8">
        <f>HYPERLINK("https://dart.fss.or.kr/dsaf001/main.do?rcpNo=20260316001435", "공시열람")</f>
        <v/>
      </c>
    </row>
    <row r="3940">
      <c r="A3940" s="2" t="inlineStr">
        <is>
          <t>2026-03-16</t>
        </is>
      </c>
      <c r="B3940" s="3" t="inlineStr">
        <is>
          <t>제이에스링크</t>
        </is>
      </c>
      <c r="C3940" s="2" t="inlineStr">
        <is>
          <t>코스닥</t>
        </is>
      </c>
      <c r="D3940" s="2" t="inlineStr">
        <is>
          <t>127120</t>
        </is>
      </c>
      <c r="E3940" s="3" t="inlineStr">
        <is>
          <t>주주총회소집공고</t>
        </is>
      </c>
      <c r="F3940" s="3" t="inlineStr">
        <is>
          <t>제이에스링크</t>
        </is>
      </c>
      <c r="G3940" s="2" t="inlineStr">
        <is>
          <t>20260316001433</t>
        </is>
      </c>
      <c r="H3940" s="8">
        <f>HYPERLINK("https://dart.fss.or.kr/dsaf001/main.do?rcpNo=20260316001433", "공시열람")</f>
        <v/>
      </c>
    </row>
    <row r="3941">
      <c r="A3941" s="2" t="inlineStr">
        <is>
          <t>2026-03-16 (정정: 2026-05-27)</t>
        </is>
      </c>
      <c r="B3941" s="3" t="inlineStr">
        <is>
          <t>휴온스글로벌</t>
        </is>
      </c>
      <c r="C3941" s="2" t="inlineStr">
        <is>
          <t>코스닥</t>
        </is>
      </c>
      <c r="D3941" s="2" t="inlineStr">
        <is>
          <t>084110</t>
        </is>
      </c>
      <c r="E3941" s="3" t="inlineStr">
        <is>
          <t>주주총회소집공고 (정정: 20260527)</t>
        </is>
      </c>
      <c r="F3941" s="3" t="inlineStr">
        <is>
          <t>휴온스글로벌</t>
        </is>
      </c>
      <c r="G3941" s="2" t="inlineStr">
        <is>
          <t>20260527900869</t>
        </is>
      </c>
      <c r="H3941" s="8">
        <f>HYPERLINK("https://dart.fss.or.kr/dsaf001/main.do?rcpNo=20260527900869", "공시열람")</f>
        <v/>
      </c>
    </row>
    <row r="3942">
      <c r="A3942" s="2" t="inlineStr">
        <is>
          <t>2026-03-16</t>
        </is>
      </c>
      <c r="B3942" s="3" t="inlineStr">
        <is>
          <t>핑거</t>
        </is>
      </c>
      <c r="C3942" s="2" t="inlineStr">
        <is>
          <t>코스닥</t>
        </is>
      </c>
      <c r="D3942" s="2" t="inlineStr">
        <is>
          <t>163730</t>
        </is>
      </c>
      <c r="E3942" s="3" t="inlineStr">
        <is>
          <t>주주총회소집공고</t>
        </is>
      </c>
      <c r="F3942" s="3" t="inlineStr">
        <is>
          <t>핑거</t>
        </is>
      </c>
      <c r="G3942" s="2" t="inlineStr">
        <is>
          <t>20260316001422</t>
        </is>
      </c>
      <c r="H3942" s="8">
        <f>HYPERLINK("https://dart.fss.or.kr/dsaf001/main.do?rcpNo=20260316001422", "공시열람")</f>
        <v/>
      </c>
    </row>
    <row r="3943">
      <c r="A3943" s="2" t="inlineStr">
        <is>
          <t>2026-03-16</t>
        </is>
      </c>
      <c r="B3943" s="3" t="inlineStr">
        <is>
          <t>형지글로벌</t>
        </is>
      </c>
      <c r="C3943" s="2" t="inlineStr">
        <is>
          <t>코스닥</t>
        </is>
      </c>
      <c r="D3943" s="2" t="inlineStr">
        <is>
          <t>308100</t>
        </is>
      </c>
      <c r="E3943" s="3" t="inlineStr">
        <is>
          <t>주주총회소집공고</t>
        </is>
      </c>
      <c r="F3943" s="3" t="inlineStr">
        <is>
          <t>형지글로벌</t>
        </is>
      </c>
      <c r="G3943" s="2" t="inlineStr">
        <is>
          <t>20260316001411</t>
        </is>
      </c>
      <c r="H3943" s="8">
        <f>HYPERLINK("https://dart.fss.or.kr/dsaf001/main.do?rcpNo=20260316001411", "공시열람")</f>
        <v/>
      </c>
    </row>
    <row r="3944">
      <c r="A3944" s="2" t="inlineStr">
        <is>
          <t>2026-03-16</t>
        </is>
      </c>
      <c r="B3944" s="3" t="inlineStr">
        <is>
          <t>플래스크</t>
        </is>
      </c>
      <c r="C3944" s="2" t="inlineStr">
        <is>
          <t>코스닥</t>
        </is>
      </c>
      <c r="D3944" s="2" t="inlineStr">
        <is>
          <t>041590</t>
        </is>
      </c>
      <c r="E3944" s="3" t="inlineStr">
        <is>
          <t>주주총회소집공고</t>
        </is>
      </c>
      <c r="F3944" s="3" t="inlineStr">
        <is>
          <t>플래스크</t>
        </is>
      </c>
      <c r="G3944" s="2" t="inlineStr">
        <is>
          <t>20260316001401</t>
        </is>
      </c>
      <c r="H3944" s="8">
        <f>HYPERLINK("https://dart.fss.or.kr/dsaf001/main.do?rcpNo=20260316001401", "공시열람")</f>
        <v/>
      </c>
    </row>
    <row r="3945">
      <c r="A3945" s="2" t="inlineStr">
        <is>
          <t>2026-03-16</t>
        </is>
      </c>
      <c r="B3945" s="3" t="inlineStr">
        <is>
          <t>에스피시스템스</t>
        </is>
      </c>
      <c r="C3945" s="2" t="inlineStr">
        <is>
          <t>코스닥</t>
        </is>
      </c>
      <c r="D3945" s="2" t="inlineStr">
        <is>
          <t>317830</t>
        </is>
      </c>
      <c r="E3945" s="3" t="inlineStr">
        <is>
          <t>주주총회소집공고</t>
        </is>
      </c>
      <c r="F3945" s="3" t="inlineStr">
        <is>
          <t>에스피시스템스</t>
        </is>
      </c>
      <c r="G3945" s="2" t="inlineStr">
        <is>
          <t>20260316001398</t>
        </is>
      </c>
      <c r="H3945" s="8">
        <f>HYPERLINK("https://dart.fss.or.kr/dsaf001/main.do?rcpNo=20260316001398", "공시열람")</f>
        <v/>
      </c>
    </row>
    <row r="3946">
      <c r="A3946" s="2" t="inlineStr">
        <is>
          <t>2026-03-16</t>
        </is>
      </c>
      <c r="B3946" s="3" t="inlineStr">
        <is>
          <t>젝시믹스</t>
        </is>
      </c>
      <c r="C3946" s="2" t="inlineStr">
        <is>
          <t>코스닥</t>
        </is>
      </c>
      <c r="D3946" s="2" t="inlineStr">
        <is>
          <t>337930</t>
        </is>
      </c>
      <c r="E3946" s="3" t="inlineStr">
        <is>
          <t>주주총회소집공고</t>
        </is>
      </c>
      <c r="F3946" s="3" t="inlineStr">
        <is>
          <t>젝시믹스</t>
        </is>
      </c>
      <c r="G3946" s="2" t="inlineStr">
        <is>
          <t>20260316001391</t>
        </is>
      </c>
      <c r="H3946" s="8">
        <f>HYPERLINK("https://dart.fss.or.kr/dsaf001/main.do?rcpNo=20260316001391", "공시열람")</f>
        <v/>
      </c>
    </row>
    <row r="3947">
      <c r="A3947" s="2" t="inlineStr">
        <is>
          <t>2026-03-16 (정정: 2026-03-17)</t>
        </is>
      </c>
      <c r="B3947" s="3" t="inlineStr">
        <is>
          <t>삼보산업</t>
        </is>
      </c>
      <c r="C3947" s="2" t="inlineStr">
        <is>
          <t>코스닥</t>
        </is>
      </c>
      <c r="D3947" s="2" t="inlineStr">
        <is>
          <t>009620</t>
        </is>
      </c>
      <c r="E3947" s="3" t="inlineStr">
        <is>
          <t>주주총회소집공고 (정정: 20260317) (정정: 20260317)</t>
        </is>
      </c>
      <c r="F3947" s="3" t="inlineStr">
        <is>
          <t>삼보산업</t>
        </is>
      </c>
      <c r="G3947" s="2" t="inlineStr">
        <is>
          <t>20260317000320</t>
        </is>
      </c>
      <c r="H3947" s="8">
        <f>HYPERLINK("https://dart.fss.or.kr/dsaf001/main.do?rcpNo=20260317000320", "공시열람")</f>
        <v/>
      </c>
    </row>
    <row r="3948">
      <c r="A3948" s="2" t="inlineStr">
        <is>
          <t>2026-03-16</t>
        </is>
      </c>
      <c r="B3948" s="3" t="inlineStr">
        <is>
          <t>우정바이오</t>
        </is>
      </c>
      <c r="C3948" s="2" t="inlineStr">
        <is>
          <t>코스닥</t>
        </is>
      </c>
      <c r="D3948" s="2" t="inlineStr">
        <is>
          <t>215380</t>
        </is>
      </c>
      <c r="E3948" s="3" t="inlineStr">
        <is>
          <t>주주총회소집공고</t>
        </is>
      </c>
      <c r="F3948" s="3" t="inlineStr">
        <is>
          <t>우정바이오</t>
        </is>
      </c>
      <c r="G3948" s="2" t="inlineStr">
        <is>
          <t>20260316001384</t>
        </is>
      </c>
      <c r="H3948" s="8">
        <f>HYPERLINK("https://dart.fss.or.kr/dsaf001/main.do?rcpNo=20260316001384", "공시열람")</f>
        <v/>
      </c>
    </row>
    <row r="3949">
      <c r="A3949" s="2" t="inlineStr">
        <is>
          <t>2026-03-16</t>
        </is>
      </c>
      <c r="B3949" s="3" t="inlineStr">
        <is>
          <t>ES큐브</t>
        </is>
      </c>
      <c r="C3949" s="2" t="inlineStr">
        <is>
          <t>코스닥</t>
        </is>
      </c>
      <c r="D3949" s="2" t="inlineStr">
        <is>
          <t>050120</t>
        </is>
      </c>
      <c r="E3949" s="3" t="inlineStr">
        <is>
          <t>주주총회소집공고</t>
        </is>
      </c>
      <c r="F3949" s="3" t="inlineStr">
        <is>
          <t>ES큐브</t>
        </is>
      </c>
      <c r="G3949" s="2" t="inlineStr">
        <is>
          <t>20260316001382</t>
        </is>
      </c>
      <c r="H3949" s="8">
        <f>HYPERLINK("https://dart.fss.or.kr/dsaf001/main.do?rcpNo=20260316001382", "공시열람")</f>
        <v/>
      </c>
    </row>
    <row r="3950">
      <c r="A3950" s="2" t="inlineStr">
        <is>
          <t>2026-03-16</t>
        </is>
      </c>
      <c r="B3950" s="3" t="inlineStr">
        <is>
          <t>앤로보틱스</t>
        </is>
      </c>
      <c r="C3950" s="2" t="inlineStr">
        <is>
          <t>코스닥</t>
        </is>
      </c>
      <c r="D3950" s="2" t="inlineStr">
        <is>
          <t>138360</t>
        </is>
      </c>
      <c r="E3950" s="3" t="inlineStr">
        <is>
          <t>주주총회소집공고</t>
        </is>
      </c>
      <c r="F3950" s="3" t="inlineStr">
        <is>
          <t>앤로보틱스</t>
        </is>
      </c>
      <c r="G3950" s="2" t="inlineStr">
        <is>
          <t>20260316001378</t>
        </is>
      </c>
      <c r="H3950" s="8">
        <f>HYPERLINK("https://dart.fss.or.kr/dsaf001/main.do?rcpNo=20260316001378", "공시열람")</f>
        <v/>
      </c>
    </row>
    <row r="3951">
      <c r="A3951" s="2" t="inlineStr">
        <is>
          <t>2026-03-16 (정정: 2026-03-30)</t>
        </is>
      </c>
      <c r="B3951" s="3" t="inlineStr">
        <is>
          <t>엑시온그룹</t>
        </is>
      </c>
      <c r="C3951" s="2" t="inlineStr">
        <is>
          <t>코스닥</t>
        </is>
      </c>
      <c r="D3951" s="2" t="inlineStr">
        <is>
          <t>069920</t>
        </is>
      </c>
      <c r="E3951" s="3" t="inlineStr">
        <is>
          <t>주주총회소집공고 (정정: 20260330)</t>
        </is>
      </c>
      <c r="F3951" s="3" t="inlineStr">
        <is>
          <t>엑시온그룹</t>
        </is>
      </c>
      <c r="G3951" s="2" t="inlineStr">
        <is>
          <t>20260330001556</t>
        </is>
      </c>
      <c r="H3951" s="8">
        <f>HYPERLINK("https://dart.fss.or.kr/dsaf001/main.do?rcpNo=20260330001556", "공시열람")</f>
        <v/>
      </c>
    </row>
    <row r="3952">
      <c r="A3952" s="2" t="inlineStr">
        <is>
          <t>2026-03-16</t>
        </is>
      </c>
      <c r="B3952" s="3" t="inlineStr">
        <is>
          <t>머니무브</t>
        </is>
      </c>
      <c r="C3952" s="2" t="inlineStr">
        <is>
          <t>코넥스</t>
        </is>
      </c>
      <c r="D3952" s="2" t="inlineStr">
        <is>
          <t>179720</t>
        </is>
      </c>
      <c r="E3952" s="3" t="inlineStr">
        <is>
          <t>주주총회소집공고</t>
        </is>
      </c>
      <c r="F3952" s="3" t="inlineStr">
        <is>
          <t>머니무브</t>
        </is>
      </c>
      <c r="G3952" s="2" t="inlineStr">
        <is>
          <t>20260316001369</t>
        </is>
      </c>
      <c r="H3952" s="8">
        <f>HYPERLINK("https://dart.fss.or.kr/dsaf001/main.do?rcpNo=20260316001369", "공시열람")</f>
        <v/>
      </c>
    </row>
    <row r="3953">
      <c r="A3953" s="2" t="inlineStr">
        <is>
          <t>2026-03-16</t>
        </is>
      </c>
      <c r="B3953" s="3" t="inlineStr">
        <is>
          <t>알피바이오</t>
        </is>
      </c>
      <c r="C3953" s="2" t="inlineStr">
        <is>
          <t>코스닥</t>
        </is>
      </c>
      <c r="D3953" s="2" t="inlineStr">
        <is>
          <t>314140</t>
        </is>
      </c>
      <c r="E3953" s="3" t="inlineStr">
        <is>
          <t>주주총회소집공고</t>
        </is>
      </c>
      <c r="F3953" s="3" t="inlineStr">
        <is>
          <t>알피바이오</t>
        </is>
      </c>
      <c r="G3953" s="2" t="inlineStr">
        <is>
          <t>20260316001366</t>
        </is>
      </c>
      <c r="H3953" s="8">
        <f>HYPERLINK("https://dart.fss.or.kr/dsaf001/main.do?rcpNo=20260316001366", "공시열람")</f>
        <v/>
      </c>
    </row>
    <row r="3954">
      <c r="A3954" s="2" t="inlineStr">
        <is>
          <t>2026-03-16</t>
        </is>
      </c>
      <c r="B3954" s="3" t="inlineStr">
        <is>
          <t>SFA반도체</t>
        </is>
      </c>
      <c r="C3954" s="2" t="inlineStr">
        <is>
          <t>코스닥</t>
        </is>
      </c>
      <c r="D3954" s="2" t="inlineStr">
        <is>
          <t>036540</t>
        </is>
      </c>
      <c r="E3954" s="3" t="inlineStr">
        <is>
          <t>주주총회소집공고</t>
        </is>
      </c>
      <c r="F3954" s="3" t="inlineStr">
        <is>
          <t>SFA반도체</t>
        </is>
      </c>
      <c r="G3954" s="2" t="inlineStr">
        <is>
          <t>20260316001363</t>
        </is>
      </c>
      <c r="H3954" s="8">
        <f>HYPERLINK("https://dart.fss.or.kr/dsaf001/main.do?rcpNo=20260316001363", "공시열람")</f>
        <v/>
      </c>
    </row>
    <row r="3955">
      <c r="A3955" s="2" t="inlineStr">
        <is>
          <t>2026-03-16</t>
        </is>
      </c>
      <c r="B3955" s="3" t="inlineStr">
        <is>
          <t>유나이티드</t>
        </is>
      </c>
      <c r="C3955" s="2" t="inlineStr">
        <is>
          <t>코스피</t>
        </is>
      </c>
      <c r="D3955" s="2" t="inlineStr">
        <is>
          <t>033270</t>
        </is>
      </c>
      <c r="E3955" s="3" t="inlineStr">
        <is>
          <t>[기재정정]주주총회소집공고</t>
        </is>
      </c>
      <c r="F3955" s="3" t="inlineStr">
        <is>
          <t>유나이티드</t>
        </is>
      </c>
      <c r="G3955" s="2" t="inlineStr">
        <is>
          <t>20260316001356</t>
        </is>
      </c>
      <c r="H3955" s="8">
        <f>HYPERLINK("https://dart.fss.or.kr/dsaf001/main.do?rcpNo=20260316001356", "공시열람")</f>
        <v/>
      </c>
    </row>
    <row r="3956">
      <c r="A3956" s="2" t="inlineStr">
        <is>
          <t>2026-03-16</t>
        </is>
      </c>
      <c r="B3956" s="3" t="inlineStr">
        <is>
          <t>다산디엠씨</t>
        </is>
      </c>
      <c r="C3956" s="2" t="inlineStr">
        <is>
          <t>코스닥</t>
        </is>
      </c>
      <c r="D3956" s="2" t="inlineStr">
        <is>
          <t>208860</t>
        </is>
      </c>
      <c r="E3956" s="3" t="inlineStr">
        <is>
          <t>주주총회소집공고</t>
        </is>
      </c>
      <c r="F3956" s="3" t="inlineStr">
        <is>
          <t>다산디엠씨</t>
        </is>
      </c>
      <c r="G3956" s="2" t="inlineStr">
        <is>
          <t>20260316001352</t>
        </is>
      </c>
      <c r="H3956" s="8">
        <f>HYPERLINK("https://dart.fss.or.kr/dsaf001/main.do?rcpNo=20260316001352", "공시열람")</f>
        <v/>
      </c>
    </row>
    <row r="3957">
      <c r="A3957" s="2" t="inlineStr">
        <is>
          <t>2026-03-16</t>
        </is>
      </c>
      <c r="B3957" s="3" t="inlineStr">
        <is>
          <t>아미코젠</t>
        </is>
      </c>
      <c r="C3957" s="2" t="inlineStr">
        <is>
          <t>코스닥</t>
        </is>
      </c>
      <c r="D3957" s="2" t="inlineStr">
        <is>
          <t>092040</t>
        </is>
      </c>
      <c r="E3957" s="3" t="inlineStr">
        <is>
          <t>주주총회소집공고</t>
        </is>
      </c>
      <c r="F3957" s="3" t="inlineStr">
        <is>
          <t>아미코젠</t>
        </is>
      </c>
      <c r="G3957" s="2" t="inlineStr">
        <is>
          <t>20260316001350</t>
        </is>
      </c>
      <c r="H3957" s="8">
        <f>HYPERLINK("https://dart.fss.or.kr/dsaf001/main.do?rcpNo=20260316001350", "공시열람")</f>
        <v/>
      </c>
    </row>
    <row r="3958">
      <c r="A3958" s="2" t="inlineStr">
        <is>
          <t>2026-03-16 (정정: 2026-05-29)</t>
        </is>
      </c>
      <c r="B3958" s="3" t="inlineStr">
        <is>
          <t>다보링크</t>
        </is>
      </c>
      <c r="C3958" s="2" t="inlineStr">
        <is>
          <t>코스닥</t>
        </is>
      </c>
      <c r="D3958" s="2" t="inlineStr">
        <is>
          <t>340360</t>
        </is>
      </c>
      <c r="E3958" s="3" t="inlineStr">
        <is>
          <t>주주총회소집공고 (정정: 20260529)</t>
        </is>
      </c>
      <c r="F3958" s="3" t="inlineStr">
        <is>
          <t>다보링크</t>
        </is>
      </c>
      <c r="G3958" s="2" t="inlineStr">
        <is>
          <t>20260529001553</t>
        </is>
      </c>
      <c r="H3958" s="8">
        <f>HYPERLINK("https://dart.fss.or.kr/dsaf001/main.do?rcpNo=20260529001553", "공시열람")</f>
        <v/>
      </c>
    </row>
    <row r="3959">
      <c r="A3959" s="2" t="inlineStr">
        <is>
          <t>2026-03-16</t>
        </is>
      </c>
      <c r="B3959" s="3" t="inlineStr">
        <is>
          <t>얼라인드</t>
        </is>
      </c>
      <c r="C3959" s="2" t="inlineStr">
        <is>
          <t>코스닥</t>
        </is>
      </c>
      <c r="D3959" s="2" t="inlineStr">
        <is>
          <t>238120</t>
        </is>
      </c>
      <c r="E3959" s="3" t="inlineStr">
        <is>
          <t>주주총회소집공고</t>
        </is>
      </c>
      <c r="F3959" s="3" t="inlineStr">
        <is>
          <t>얼라인드</t>
        </is>
      </c>
      <c r="G3959" s="2" t="inlineStr">
        <is>
          <t>20260316001346</t>
        </is>
      </c>
      <c r="H3959" s="8">
        <f>HYPERLINK("https://dart.fss.or.kr/dsaf001/main.do?rcpNo=20260316001346", "공시열람")</f>
        <v/>
      </c>
    </row>
    <row r="3960">
      <c r="A3960" s="2" t="inlineStr">
        <is>
          <t>2026-03-16</t>
        </is>
      </c>
      <c r="B3960" s="3" t="inlineStr">
        <is>
          <t>리튬포어스</t>
        </is>
      </c>
      <c r="C3960" s="2" t="inlineStr">
        <is>
          <t>코스닥</t>
        </is>
      </c>
      <c r="D3960" s="2" t="inlineStr">
        <is>
          <t>073570</t>
        </is>
      </c>
      <c r="E3960" s="3" t="inlineStr">
        <is>
          <t>[기재정정]주주총회소집공고</t>
        </is>
      </c>
      <c r="F3960" s="3" t="inlineStr">
        <is>
          <t>리튬포어스</t>
        </is>
      </c>
      <c r="G3960" s="2" t="inlineStr">
        <is>
          <t>20260316001342</t>
        </is>
      </c>
      <c r="H3960" s="8">
        <f>HYPERLINK("https://dart.fss.or.kr/dsaf001/main.do?rcpNo=20260316001342", "공시열람")</f>
        <v/>
      </c>
    </row>
    <row r="3961">
      <c r="A3961" s="2" t="inlineStr">
        <is>
          <t>2026-03-16</t>
        </is>
      </c>
      <c r="B3961" s="3" t="inlineStr">
        <is>
          <t>바이오니아</t>
        </is>
      </c>
      <c r="C3961" s="2" t="inlineStr">
        <is>
          <t>코스닥</t>
        </is>
      </c>
      <c r="D3961" s="2" t="inlineStr">
        <is>
          <t>064550</t>
        </is>
      </c>
      <c r="E3961" s="3" t="inlineStr">
        <is>
          <t>[기재정정]주주총회소집공고</t>
        </is>
      </c>
      <c r="F3961" s="3" t="inlineStr">
        <is>
          <t>바이오니아</t>
        </is>
      </c>
      <c r="G3961" s="2" t="inlineStr">
        <is>
          <t>20260316001340</t>
        </is>
      </c>
      <c r="H3961" s="8">
        <f>HYPERLINK("https://dart.fss.or.kr/dsaf001/main.do?rcpNo=20260316001340", "공시열람")</f>
        <v/>
      </c>
    </row>
    <row r="3962">
      <c r="A3962" s="2" t="inlineStr">
        <is>
          <t>2026-03-16</t>
        </is>
      </c>
      <c r="B3962" s="3" t="inlineStr">
        <is>
          <t>코나솔</t>
        </is>
      </c>
      <c r="C3962" s="2" t="inlineStr">
        <is>
          <t>코넥스</t>
        </is>
      </c>
      <c r="D3962" s="2" t="inlineStr">
        <is>
          <t>176590</t>
        </is>
      </c>
      <c r="E3962" s="3" t="inlineStr">
        <is>
          <t>주주총회소집공고</t>
        </is>
      </c>
      <c r="F3962" s="3" t="inlineStr">
        <is>
          <t>코나솔</t>
        </is>
      </c>
      <c r="G3962" s="2" t="inlineStr">
        <is>
          <t>20260316001336</t>
        </is>
      </c>
      <c r="H3962" s="8">
        <f>HYPERLINK("https://dart.fss.or.kr/dsaf001/main.do?rcpNo=20260316001336", "공시열람")</f>
        <v/>
      </c>
    </row>
    <row r="3963">
      <c r="A3963" s="2" t="inlineStr">
        <is>
          <t>2026-03-16</t>
        </is>
      </c>
      <c r="B3963" s="3" t="inlineStr">
        <is>
          <t>스코넥</t>
        </is>
      </c>
      <c r="C3963" s="2" t="inlineStr">
        <is>
          <t>코스닥</t>
        </is>
      </c>
      <c r="D3963" s="2" t="inlineStr">
        <is>
          <t>276040</t>
        </is>
      </c>
      <c r="E3963" s="3" t="inlineStr">
        <is>
          <t>주주총회소집공고</t>
        </is>
      </c>
      <c r="F3963" s="3" t="inlineStr">
        <is>
          <t>스코넥</t>
        </is>
      </c>
      <c r="G3963" s="2" t="inlineStr">
        <is>
          <t>20260316001333</t>
        </is>
      </c>
      <c r="H3963" s="8">
        <f>HYPERLINK("https://dart.fss.or.kr/dsaf001/main.do?rcpNo=20260316001333", "공시열람")</f>
        <v/>
      </c>
    </row>
    <row r="3964">
      <c r="A3964" s="2" t="inlineStr">
        <is>
          <t>2026-03-16</t>
        </is>
      </c>
      <c r="B3964" s="3" t="inlineStr">
        <is>
          <t>셀피글로벌</t>
        </is>
      </c>
      <c r="C3964" s="2" t="inlineStr">
        <is>
          <t>코스닥</t>
        </is>
      </c>
      <c r="D3964" s="2" t="inlineStr">
        <is>
          <t>068940</t>
        </is>
      </c>
      <c r="E3964" s="3" t="inlineStr">
        <is>
          <t>주주총회소집공고</t>
        </is>
      </c>
      <c r="F3964" s="3" t="inlineStr">
        <is>
          <t>셀피글로벌</t>
        </is>
      </c>
      <c r="G3964" s="2" t="inlineStr">
        <is>
          <t>20260316001328</t>
        </is>
      </c>
      <c r="H3964" s="8">
        <f>HYPERLINK("https://dart.fss.or.kr/dsaf001/main.do?rcpNo=20260316001328", "공시열람")</f>
        <v/>
      </c>
    </row>
    <row r="3965">
      <c r="A3965" s="2" t="inlineStr">
        <is>
          <t>2026-03-16 (정정: 2026-05-29)</t>
        </is>
      </c>
      <c r="B3965" s="3" t="inlineStr">
        <is>
          <t>세븐브로이맥주</t>
        </is>
      </c>
      <c r="C3965" s="2" t="inlineStr">
        <is>
          <t>코넥스</t>
        </is>
      </c>
      <c r="D3965" s="2" t="inlineStr">
        <is>
          <t>267080</t>
        </is>
      </c>
      <c r="E3965" s="3" t="inlineStr">
        <is>
          <t>주주총회소집공고 (정정: 20260529)</t>
        </is>
      </c>
      <c r="F3965" s="3" t="inlineStr">
        <is>
          <t>세븐브로이맥주</t>
        </is>
      </c>
      <c r="G3965" s="2" t="inlineStr">
        <is>
          <t>20260529601082</t>
        </is>
      </c>
      <c r="H3965" s="8">
        <f>HYPERLINK("https://dart.fss.or.kr/dsaf001/main.do?rcpNo=20260529601082", "공시열람")</f>
        <v/>
      </c>
    </row>
    <row r="3966">
      <c r="A3966" s="2" t="inlineStr">
        <is>
          <t>2026-03-16</t>
        </is>
      </c>
      <c r="B3966" s="3" t="inlineStr">
        <is>
          <t>피플바이오</t>
        </is>
      </c>
      <c r="C3966" s="2" t="inlineStr">
        <is>
          <t>코스닥</t>
        </is>
      </c>
      <c r="D3966" s="2" t="inlineStr">
        <is>
          <t>304840</t>
        </is>
      </c>
      <c r="E3966" s="3" t="inlineStr">
        <is>
          <t>주주총회소집공고</t>
        </is>
      </c>
      <c r="F3966" s="3" t="inlineStr">
        <is>
          <t>피플바이오</t>
        </is>
      </c>
      <c r="G3966" s="2" t="inlineStr">
        <is>
          <t>20260316001318</t>
        </is>
      </c>
      <c r="H3966" s="8">
        <f>HYPERLINK("https://dart.fss.or.kr/dsaf001/main.do?rcpNo=20260316001318", "공시열람")</f>
        <v/>
      </c>
    </row>
    <row r="3967">
      <c r="A3967" s="2" t="inlineStr">
        <is>
          <t>2026-03-16</t>
        </is>
      </c>
      <c r="B3967" s="3" t="inlineStr">
        <is>
          <t>일승</t>
        </is>
      </c>
      <c r="C3967" s="2" t="inlineStr">
        <is>
          <t>코스닥</t>
        </is>
      </c>
      <c r="D3967" s="2" t="inlineStr">
        <is>
          <t>333430</t>
        </is>
      </c>
      <c r="E3967" s="3" t="inlineStr">
        <is>
          <t>주주총회소집공고</t>
        </is>
      </c>
      <c r="F3967" s="3" t="inlineStr">
        <is>
          <t>일승</t>
        </is>
      </c>
      <c r="G3967" s="2" t="inlineStr">
        <is>
          <t>20260316001317</t>
        </is>
      </c>
      <c r="H3967" s="8">
        <f>HYPERLINK("https://dart.fss.or.kr/dsaf001/main.do?rcpNo=20260316001317", "공시열람")</f>
        <v/>
      </c>
    </row>
    <row r="3968">
      <c r="A3968" s="2" t="inlineStr">
        <is>
          <t>2026-03-16</t>
        </is>
      </c>
      <c r="B3968" s="3" t="inlineStr">
        <is>
          <t>큐라티스</t>
        </is>
      </c>
      <c r="C3968" s="2" t="inlineStr">
        <is>
          <t>코스닥</t>
        </is>
      </c>
      <c r="D3968" s="2" t="inlineStr">
        <is>
          <t>348080</t>
        </is>
      </c>
      <c r="E3968" s="3" t="inlineStr">
        <is>
          <t>주주총회소집공고</t>
        </is>
      </c>
      <c r="F3968" s="3" t="inlineStr">
        <is>
          <t>큐라티스</t>
        </is>
      </c>
      <c r="G3968" s="2" t="inlineStr">
        <is>
          <t>20260316001315</t>
        </is>
      </c>
      <c r="H3968" s="8">
        <f>HYPERLINK("https://dart.fss.or.kr/dsaf001/main.do?rcpNo=20260316001315", "공시열람")</f>
        <v/>
      </c>
    </row>
    <row r="3969">
      <c r="A3969" s="2" t="inlineStr">
        <is>
          <t>2026-03-16</t>
        </is>
      </c>
      <c r="B3969" s="3" t="inlineStr">
        <is>
          <t>케이엠제약</t>
        </is>
      </c>
      <c r="C3969" s="2" t="inlineStr">
        <is>
          <t>코스닥</t>
        </is>
      </c>
      <c r="D3969" s="2" t="inlineStr">
        <is>
          <t>225430</t>
        </is>
      </c>
      <c r="E3969" s="3" t="inlineStr">
        <is>
          <t>주주총회소집공고</t>
        </is>
      </c>
      <c r="F3969" s="3" t="inlineStr">
        <is>
          <t>케이엠제약</t>
        </is>
      </c>
      <c r="G3969" s="2" t="inlineStr">
        <is>
          <t>20260316001314</t>
        </is>
      </c>
      <c r="H3969" s="8">
        <f>HYPERLINK("https://dart.fss.or.kr/dsaf001/main.do?rcpNo=20260316001314", "공시열람")</f>
        <v/>
      </c>
    </row>
    <row r="3970">
      <c r="A3970" s="2" t="inlineStr">
        <is>
          <t>2026-03-16 (정정: 2026-06-01)</t>
        </is>
      </c>
      <c r="B3970" s="3" t="inlineStr">
        <is>
          <t>DB하이텍</t>
        </is>
      </c>
      <c r="C3970" s="2" t="inlineStr">
        <is>
          <t>코스피</t>
        </is>
      </c>
      <c r="D3970" s="2" t="inlineStr">
        <is>
          <t>000990</t>
        </is>
      </c>
      <c r="E3970" s="3" t="inlineStr">
        <is>
          <t>[기재정정]주주총회소집공고 (정정: 20260601)</t>
        </is>
      </c>
      <c r="F3970" s="3" t="inlineStr">
        <is>
          <t>DB하이텍</t>
        </is>
      </c>
      <c r="G3970" s="2" t="inlineStr">
        <is>
          <t>20260601001661</t>
        </is>
      </c>
      <c r="H3970" s="8">
        <f>HYPERLINK("https://dart.fss.or.kr/dsaf001/main.do?rcpNo=20260601001661", "공시열람")</f>
        <v/>
      </c>
    </row>
    <row r="3971">
      <c r="A3971" s="2" t="inlineStr">
        <is>
          <t>2026-03-16</t>
        </is>
      </c>
      <c r="B3971" s="3" t="inlineStr">
        <is>
          <t>엠플러스</t>
        </is>
      </c>
      <c r="C3971" s="2" t="inlineStr">
        <is>
          <t>코스닥</t>
        </is>
      </c>
      <c r="D3971" s="2" t="inlineStr">
        <is>
          <t>259630</t>
        </is>
      </c>
      <c r="E3971" s="3" t="inlineStr">
        <is>
          <t>[기재정정]주주총회소집공고</t>
        </is>
      </c>
      <c r="F3971" s="3" t="inlineStr">
        <is>
          <t>엠플러스</t>
        </is>
      </c>
      <c r="G3971" s="2" t="inlineStr">
        <is>
          <t>20260316001311</t>
        </is>
      </c>
      <c r="H3971" s="8">
        <f>HYPERLINK("https://dart.fss.or.kr/dsaf001/main.do?rcpNo=20260316001311", "공시열람")</f>
        <v/>
      </c>
    </row>
    <row r="3972">
      <c r="A3972" s="2" t="inlineStr">
        <is>
          <t>2026-03-16 (정정: 2026-05-20)</t>
        </is>
      </c>
      <c r="B3972" s="3" t="inlineStr">
        <is>
          <t>페이퍼코리아</t>
        </is>
      </c>
      <c r="C3972" s="2" t="inlineStr">
        <is>
          <t>코스피</t>
        </is>
      </c>
      <c r="D3972" s="2" t="inlineStr">
        <is>
          <t>001020</t>
        </is>
      </c>
      <c r="E3972" s="3" t="inlineStr">
        <is>
          <t>주주총회소집공고 (정정: 20260323) (정정: 20260520)</t>
        </is>
      </c>
      <c r="F3972" s="3" t="inlineStr">
        <is>
          <t>페이퍼코리아</t>
        </is>
      </c>
      <c r="G3972" s="2" t="inlineStr">
        <is>
          <t>20260520800452</t>
        </is>
      </c>
      <c r="H3972" s="8">
        <f>HYPERLINK("https://dart.fss.or.kr/dsaf001/main.do?rcpNo=20260520800452", "공시열람")</f>
        <v/>
      </c>
    </row>
    <row r="3973">
      <c r="A3973" s="2" t="inlineStr">
        <is>
          <t>2026-03-16</t>
        </is>
      </c>
      <c r="B3973" s="3" t="inlineStr">
        <is>
          <t>비보존 제약</t>
        </is>
      </c>
      <c r="C3973" s="2" t="inlineStr">
        <is>
          <t>코스닥</t>
        </is>
      </c>
      <c r="D3973" s="2" t="inlineStr">
        <is>
          <t>082800</t>
        </is>
      </c>
      <c r="E3973" s="3" t="inlineStr">
        <is>
          <t>주주총회소집공고</t>
        </is>
      </c>
      <c r="F3973" s="3" t="inlineStr">
        <is>
          <t>비보존 제약</t>
        </is>
      </c>
      <c r="G3973" s="2" t="inlineStr">
        <is>
          <t>20260316001302</t>
        </is>
      </c>
      <c r="H3973" s="8">
        <f>HYPERLINK("https://dart.fss.or.kr/dsaf001/main.do?rcpNo=20260316001302", "공시열람")</f>
        <v/>
      </c>
    </row>
    <row r="3974">
      <c r="A3974" s="2" t="inlineStr">
        <is>
          <t>2026-03-16</t>
        </is>
      </c>
      <c r="B3974" s="3" t="inlineStr">
        <is>
          <t>위지트</t>
        </is>
      </c>
      <c r="C3974" s="2" t="inlineStr">
        <is>
          <t>코스닥</t>
        </is>
      </c>
      <c r="D3974" s="2" t="inlineStr">
        <is>
          <t>036090</t>
        </is>
      </c>
      <c r="E3974" s="3" t="inlineStr">
        <is>
          <t>주주총회소집공고</t>
        </is>
      </c>
      <c r="F3974" s="3" t="inlineStr">
        <is>
          <t>위지트</t>
        </is>
      </c>
      <c r="G3974" s="2" t="inlineStr">
        <is>
          <t>20260316001298</t>
        </is>
      </c>
      <c r="H3974" s="8">
        <f>HYPERLINK("https://dart.fss.or.kr/dsaf001/main.do?rcpNo=20260316001298", "공시열람")</f>
        <v/>
      </c>
    </row>
    <row r="3975">
      <c r="A3975" s="2" t="inlineStr">
        <is>
          <t>2026-03-16</t>
        </is>
      </c>
      <c r="B3975" s="3" t="inlineStr">
        <is>
          <t>골드앤에스</t>
        </is>
      </c>
      <c r="C3975" s="2" t="inlineStr">
        <is>
          <t>코스닥</t>
        </is>
      </c>
      <c r="D3975" s="2" t="inlineStr">
        <is>
          <t>035290</t>
        </is>
      </c>
      <c r="E3975" s="3" t="inlineStr">
        <is>
          <t>주주총회소집공고</t>
        </is>
      </c>
      <c r="F3975" s="3" t="inlineStr">
        <is>
          <t>골드앤에스</t>
        </is>
      </c>
      <c r="G3975" s="2" t="inlineStr">
        <is>
          <t>20260316001294</t>
        </is>
      </c>
      <c r="H3975" s="8">
        <f>HYPERLINK("https://dart.fss.or.kr/dsaf001/main.do?rcpNo=20260316001294", "공시열람")</f>
        <v/>
      </c>
    </row>
    <row r="3976">
      <c r="A3976" s="2" t="inlineStr">
        <is>
          <t>2026-03-16</t>
        </is>
      </c>
      <c r="B3976" s="3" t="inlineStr">
        <is>
          <t>네오리진</t>
        </is>
      </c>
      <c r="C3976" s="2" t="inlineStr">
        <is>
          <t>코스닥</t>
        </is>
      </c>
      <c r="D3976" s="2" t="inlineStr">
        <is>
          <t>094860</t>
        </is>
      </c>
      <c r="E3976" s="3" t="inlineStr">
        <is>
          <t>주주총회소집공고</t>
        </is>
      </c>
      <c r="F3976" s="3" t="inlineStr">
        <is>
          <t>네오리진</t>
        </is>
      </c>
      <c r="G3976" s="2" t="inlineStr">
        <is>
          <t>20260316001293</t>
        </is>
      </c>
      <c r="H3976" s="8">
        <f>HYPERLINK("https://dart.fss.or.kr/dsaf001/main.do?rcpNo=20260316001293", "공시열람")</f>
        <v/>
      </c>
    </row>
    <row r="3977">
      <c r="A3977" s="2" t="inlineStr">
        <is>
          <t>2026-03-16</t>
        </is>
      </c>
      <c r="B3977" s="3" t="inlineStr">
        <is>
          <t>아이로보틱스</t>
        </is>
      </c>
      <c r="C3977" s="2" t="inlineStr">
        <is>
          <t>코스닥</t>
        </is>
      </c>
      <c r="D3977" s="2" t="inlineStr">
        <is>
          <t>066430</t>
        </is>
      </c>
      <c r="E3977" s="3" t="inlineStr">
        <is>
          <t>주주총회소집공고</t>
        </is>
      </c>
      <c r="F3977" s="3" t="inlineStr">
        <is>
          <t>아이로보틱스</t>
        </is>
      </c>
      <c r="G3977" s="2" t="inlineStr">
        <is>
          <t>20260316001291</t>
        </is>
      </c>
      <c r="H3977" s="8">
        <f>HYPERLINK("https://dart.fss.or.kr/dsaf001/main.do?rcpNo=20260316001291", "공시열람")</f>
        <v/>
      </c>
    </row>
    <row r="3978">
      <c r="A3978" s="2" t="inlineStr">
        <is>
          <t>2026-03-16</t>
        </is>
      </c>
      <c r="B3978" s="3" t="inlineStr">
        <is>
          <t>태경산업</t>
        </is>
      </c>
      <c r="C3978" s="2" t="inlineStr">
        <is>
          <t>코스피</t>
        </is>
      </c>
      <c r="D3978" s="2" t="inlineStr">
        <is>
          <t>015890</t>
        </is>
      </c>
      <c r="E3978" s="3" t="inlineStr">
        <is>
          <t>주주총회소집공고</t>
        </is>
      </c>
      <c r="F3978" s="3" t="inlineStr">
        <is>
          <t>태경산업</t>
        </is>
      </c>
      <c r="G3978" s="2" t="inlineStr">
        <is>
          <t>20260316001290</t>
        </is>
      </c>
      <c r="H3978" s="8">
        <f>HYPERLINK("https://dart.fss.or.kr/dsaf001/main.do?rcpNo=20260316001290", "공시열람")</f>
        <v/>
      </c>
    </row>
    <row r="3979">
      <c r="A3979" s="2" t="inlineStr">
        <is>
          <t>2026-03-16</t>
        </is>
      </c>
      <c r="B3979" s="3" t="inlineStr">
        <is>
          <t>알파AI</t>
        </is>
      </c>
      <c r="C3979" s="2" t="inlineStr">
        <is>
          <t>코스닥</t>
        </is>
      </c>
      <c r="D3979" s="2" t="inlineStr">
        <is>
          <t>043100</t>
        </is>
      </c>
      <c r="E3979" s="3" t="inlineStr">
        <is>
          <t>주주총회소집공고</t>
        </is>
      </c>
      <c r="F3979" s="3" t="inlineStr">
        <is>
          <t>알파AI</t>
        </is>
      </c>
      <c r="G3979" s="2" t="inlineStr">
        <is>
          <t>20260316001288</t>
        </is>
      </c>
      <c r="H3979" s="8">
        <f>HYPERLINK("https://dart.fss.or.kr/dsaf001/main.do?rcpNo=20260316001288", "공시열람")</f>
        <v/>
      </c>
    </row>
    <row r="3980">
      <c r="A3980" s="2" t="inlineStr">
        <is>
          <t>2026-03-16 (정정: 2026-03-23)</t>
        </is>
      </c>
      <c r="B3980" s="3" t="inlineStr">
        <is>
          <t>NICE</t>
        </is>
      </c>
      <c r="C3980" s="2" t="inlineStr">
        <is>
          <t>코스피</t>
        </is>
      </c>
      <c r="D3980" s="2" t="inlineStr">
        <is>
          <t>034310</t>
        </is>
      </c>
      <c r="E3980" s="3" t="inlineStr">
        <is>
          <t>주주총회소집공고 (정정: 20260323)</t>
        </is>
      </c>
      <c r="F3980" s="3" t="inlineStr">
        <is>
          <t>NICE</t>
        </is>
      </c>
      <c r="G3980" s="2" t="inlineStr">
        <is>
          <t>20260323000922</t>
        </is>
      </c>
      <c r="H3980" s="8">
        <f>HYPERLINK("https://dart.fss.or.kr/dsaf001/main.do?rcpNo=20260323000922", "공시열람")</f>
        <v/>
      </c>
    </row>
    <row r="3981">
      <c r="A3981" s="2" t="inlineStr">
        <is>
          <t>2026-03-16</t>
        </is>
      </c>
      <c r="B3981" s="3" t="inlineStr">
        <is>
          <t>애드바이오텍</t>
        </is>
      </c>
      <c r="C3981" s="2" t="inlineStr">
        <is>
          <t>코스닥</t>
        </is>
      </c>
      <c r="D3981" s="2" t="inlineStr">
        <is>
          <t>179530</t>
        </is>
      </c>
      <c r="E3981" s="3" t="inlineStr">
        <is>
          <t>주주총회소집공고</t>
        </is>
      </c>
      <c r="F3981" s="3" t="inlineStr">
        <is>
          <t>애드바이오텍</t>
        </is>
      </c>
      <c r="G3981" s="2" t="inlineStr">
        <is>
          <t>20260316001284</t>
        </is>
      </c>
      <c r="H3981" s="8">
        <f>HYPERLINK("https://dart.fss.or.kr/dsaf001/main.do?rcpNo=20260316001284", "공시열람")</f>
        <v/>
      </c>
    </row>
    <row r="3982">
      <c r="A3982" s="2" t="inlineStr">
        <is>
          <t>2026-03-16</t>
        </is>
      </c>
      <c r="B3982" s="3" t="inlineStr">
        <is>
          <t>나노캠텍</t>
        </is>
      </c>
      <c r="C3982" s="2" t="inlineStr">
        <is>
          <t>코스닥</t>
        </is>
      </c>
      <c r="D3982" s="2" t="inlineStr">
        <is>
          <t>091970</t>
        </is>
      </c>
      <c r="E3982" s="3" t="inlineStr">
        <is>
          <t>주주총회소집공고</t>
        </is>
      </c>
      <c r="F3982" s="3" t="inlineStr">
        <is>
          <t>나노캠텍</t>
        </is>
      </c>
      <c r="G3982" s="2" t="inlineStr">
        <is>
          <t>20260316001283</t>
        </is>
      </c>
      <c r="H3982" s="8">
        <f>HYPERLINK("https://dart.fss.or.kr/dsaf001/main.do?rcpNo=20260316001283", "공시열람")</f>
        <v/>
      </c>
    </row>
    <row r="3983">
      <c r="A3983" s="2" t="inlineStr">
        <is>
          <t>2026-03-16</t>
        </is>
      </c>
      <c r="B3983" s="3" t="inlineStr">
        <is>
          <t>TS트릴리온</t>
        </is>
      </c>
      <c r="C3983" s="2" t="inlineStr">
        <is>
          <t>코스닥</t>
        </is>
      </c>
      <c r="D3983" s="2" t="inlineStr">
        <is>
          <t>317240</t>
        </is>
      </c>
      <c r="E3983" s="3" t="inlineStr">
        <is>
          <t>주주총회소집공고</t>
        </is>
      </c>
      <c r="F3983" s="3" t="inlineStr">
        <is>
          <t>TS트릴리온</t>
        </is>
      </c>
      <c r="G3983" s="2" t="inlineStr">
        <is>
          <t>20260316001282</t>
        </is>
      </c>
      <c r="H3983" s="8">
        <f>HYPERLINK("https://dart.fss.or.kr/dsaf001/main.do?rcpNo=20260316001282", "공시열람")</f>
        <v/>
      </c>
    </row>
    <row r="3984">
      <c r="A3984" s="2" t="inlineStr">
        <is>
          <t>2026-03-16</t>
        </is>
      </c>
      <c r="B3984" s="3" t="inlineStr">
        <is>
          <t>옵티코어</t>
        </is>
      </c>
      <c r="C3984" s="2" t="inlineStr">
        <is>
          <t>코스닥</t>
        </is>
      </c>
      <c r="D3984" s="2" t="inlineStr">
        <is>
          <t>380540</t>
        </is>
      </c>
      <c r="E3984" s="3" t="inlineStr">
        <is>
          <t>주주총회소집공고</t>
        </is>
      </c>
      <c r="F3984" s="3" t="inlineStr">
        <is>
          <t>옵티코어</t>
        </is>
      </c>
      <c r="G3984" s="2" t="inlineStr">
        <is>
          <t>20260316001280</t>
        </is>
      </c>
      <c r="H3984" s="8">
        <f>HYPERLINK("https://dart.fss.or.kr/dsaf001/main.do?rcpNo=20260316001280", "공시열람")</f>
        <v/>
      </c>
    </row>
    <row r="3985">
      <c r="A3985" s="2" t="inlineStr">
        <is>
          <t>2026-03-16</t>
        </is>
      </c>
      <c r="B3985" s="3" t="inlineStr">
        <is>
          <t>드래곤플라이</t>
        </is>
      </c>
      <c r="C3985" s="2" t="inlineStr">
        <is>
          <t>코스닥</t>
        </is>
      </c>
      <c r="D3985" s="2" t="inlineStr">
        <is>
          <t>030350</t>
        </is>
      </c>
      <c r="E3985" s="3" t="inlineStr">
        <is>
          <t>주주총회소집공고</t>
        </is>
      </c>
      <c r="F3985" s="3" t="inlineStr">
        <is>
          <t>드래곤플라이</t>
        </is>
      </c>
      <c r="G3985" s="2" t="inlineStr">
        <is>
          <t>20260316001274</t>
        </is>
      </c>
      <c r="H3985" s="8">
        <f>HYPERLINK("https://dart.fss.or.kr/dsaf001/main.do?rcpNo=20260316001274", "공시열람")</f>
        <v/>
      </c>
    </row>
    <row r="3986">
      <c r="A3986" s="2" t="inlineStr">
        <is>
          <t>2026-03-16</t>
        </is>
      </c>
      <c r="B3986" s="3" t="inlineStr">
        <is>
          <t>농심</t>
        </is>
      </c>
      <c r="C3986" s="2" t="inlineStr">
        <is>
          <t>코스피</t>
        </is>
      </c>
      <c r="D3986" s="2" t="inlineStr">
        <is>
          <t>004370</t>
        </is>
      </c>
      <c r="E3986" s="3" t="inlineStr">
        <is>
          <t>[기재정정]주주총회소집공고</t>
        </is>
      </c>
      <c r="F3986" s="3" t="inlineStr">
        <is>
          <t>농심</t>
        </is>
      </c>
      <c r="G3986" s="2" t="inlineStr">
        <is>
          <t>20260316001271</t>
        </is>
      </c>
      <c r="H3986" s="8">
        <f>HYPERLINK("https://dart.fss.or.kr/dsaf001/main.do?rcpNo=20260316001271", "공시열람")</f>
        <v/>
      </c>
    </row>
    <row r="3987">
      <c r="A3987" s="2" t="inlineStr">
        <is>
          <t>2026-03-16 (정정: 2026-03-17)</t>
        </is>
      </c>
      <c r="B3987" s="3" t="inlineStr">
        <is>
          <t>KG케미칼</t>
        </is>
      </c>
      <c r="C3987" s="2" t="inlineStr">
        <is>
          <t>코스피</t>
        </is>
      </c>
      <c r="D3987" s="2" t="inlineStr">
        <is>
          <t>001390</t>
        </is>
      </c>
      <c r="E3987" s="3" t="inlineStr">
        <is>
          <t>주주총회소집공고 (정정: 20260317)</t>
        </is>
      </c>
      <c r="F3987" s="3" t="inlineStr">
        <is>
          <t>KG케미칼</t>
        </is>
      </c>
      <c r="G3987" s="2" t="inlineStr">
        <is>
          <t>20260317000666</t>
        </is>
      </c>
      <c r="H3987" s="8">
        <f>HYPERLINK("https://dart.fss.or.kr/dsaf001/main.do?rcpNo=20260317000666", "공시열람")</f>
        <v/>
      </c>
    </row>
    <row r="3988">
      <c r="A3988" s="2" t="inlineStr">
        <is>
          <t>2026-03-16</t>
        </is>
      </c>
      <c r="B3988" s="3" t="inlineStr">
        <is>
          <t>DYP</t>
        </is>
      </c>
      <c r="C3988" s="2" t="inlineStr">
        <is>
          <t>코스피</t>
        </is>
      </c>
      <c r="D3988" s="2" t="inlineStr">
        <is>
          <t>092780</t>
        </is>
      </c>
      <c r="E3988" s="3" t="inlineStr">
        <is>
          <t>주주총회소집공고</t>
        </is>
      </c>
      <c r="F3988" s="3" t="inlineStr">
        <is>
          <t>DYP</t>
        </is>
      </c>
      <c r="G3988" s="2" t="inlineStr">
        <is>
          <t>20260316001260</t>
        </is>
      </c>
      <c r="H3988" s="8">
        <f>HYPERLINK("https://dart.fss.or.kr/dsaf001/main.do?rcpNo=20260316001260", "공시열람")</f>
        <v/>
      </c>
    </row>
    <row r="3989">
      <c r="A3989" s="2" t="inlineStr">
        <is>
          <t>2026-03-16</t>
        </is>
      </c>
      <c r="B3989" s="3" t="inlineStr">
        <is>
          <t>오션인더블유</t>
        </is>
      </c>
      <c r="C3989" s="2" t="inlineStr">
        <is>
          <t>코스닥</t>
        </is>
      </c>
      <c r="D3989" s="2" t="inlineStr">
        <is>
          <t>052300</t>
        </is>
      </c>
      <c r="E3989" s="3" t="inlineStr">
        <is>
          <t>주주총회소집공고</t>
        </is>
      </c>
      <c r="F3989" s="3" t="inlineStr">
        <is>
          <t>오션인더블유</t>
        </is>
      </c>
      <c r="G3989" s="2" t="inlineStr">
        <is>
          <t>20260316001259</t>
        </is>
      </c>
      <c r="H3989" s="8">
        <f>HYPERLINK("https://dart.fss.or.kr/dsaf001/main.do?rcpNo=20260316001259", "공시열람")</f>
        <v/>
      </c>
    </row>
    <row r="3990">
      <c r="A3990" s="2" t="inlineStr">
        <is>
          <t>2026-03-16</t>
        </is>
      </c>
      <c r="B3990" s="3" t="inlineStr">
        <is>
          <t>블랙야크아이앤씨</t>
        </is>
      </c>
      <c r="C3990" s="2" t="inlineStr">
        <is>
          <t>코스닥</t>
        </is>
      </c>
      <c r="D3990" s="2" t="inlineStr">
        <is>
          <t>478560</t>
        </is>
      </c>
      <c r="E3990" s="3" t="inlineStr">
        <is>
          <t>주주총회소집공고</t>
        </is>
      </c>
      <c r="F3990" s="3" t="inlineStr">
        <is>
          <t>블랙야크아이앤씨</t>
        </is>
      </c>
      <c r="G3990" s="2" t="inlineStr">
        <is>
          <t>20260316001258</t>
        </is>
      </c>
      <c r="H3990" s="8">
        <f>HYPERLINK("https://dart.fss.or.kr/dsaf001/main.do?rcpNo=20260316001258", "공시열람")</f>
        <v/>
      </c>
    </row>
    <row r="3991">
      <c r="A3991" s="2" t="inlineStr">
        <is>
          <t>2026-03-16</t>
        </is>
      </c>
      <c r="B3991" s="3" t="inlineStr">
        <is>
          <t>제이앤티씨</t>
        </is>
      </c>
      <c r="C3991" s="2" t="inlineStr">
        <is>
          <t>코스닥</t>
        </is>
      </c>
      <c r="D3991" s="2" t="inlineStr">
        <is>
          <t>204270</t>
        </is>
      </c>
      <c r="E3991" s="3" t="inlineStr">
        <is>
          <t>주주총회소집공고</t>
        </is>
      </c>
      <c r="F3991" s="3" t="inlineStr">
        <is>
          <t>제이앤티씨</t>
        </is>
      </c>
      <c r="G3991" s="2" t="inlineStr">
        <is>
          <t>20260316001255</t>
        </is>
      </c>
      <c r="H3991" s="8">
        <f>HYPERLINK("https://dart.fss.or.kr/dsaf001/main.do?rcpNo=20260316001255", "공시열람")</f>
        <v/>
      </c>
    </row>
    <row r="3992">
      <c r="A3992" s="2" t="inlineStr">
        <is>
          <t>2026-03-16 (정정: 2026-05-27)</t>
        </is>
      </c>
      <c r="B3992" s="3" t="inlineStr">
        <is>
          <t>빌리언스</t>
        </is>
      </c>
      <c r="C3992" s="2" t="inlineStr">
        <is>
          <t>코스닥</t>
        </is>
      </c>
      <c r="D3992" s="2" t="inlineStr">
        <is>
          <t>044480</t>
        </is>
      </c>
      <c r="E3992" s="3" t="inlineStr">
        <is>
          <t>주주총회소집공고 (정정: 20260527)</t>
        </is>
      </c>
      <c r="F3992" s="3" t="inlineStr">
        <is>
          <t>빌리언스</t>
        </is>
      </c>
      <c r="G3992" s="2" t="inlineStr">
        <is>
          <t>20260527900629</t>
        </is>
      </c>
      <c r="H3992" s="8">
        <f>HYPERLINK("https://dart.fss.or.kr/dsaf001/main.do?rcpNo=20260527900629", "공시열람")</f>
        <v/>
      </c>
    </row>
    <row r="3993">
      <c r="A3993" s="2" t="inlineStr">
        <is>
          <t>2026-03-16 (정정: 2026-06-11)</t>
        </is>
      </c>
      <c r="B3993" s="3" t="inlineStr">
        <is>
          <t>씨씨에스</t>
        </is>
      </c>
      <c r="C3993" s="2" t="inlineStr">
        <is>
          <t>코스닥</t>
        </is>
      </c>
      <c r="D3993" s="2" t="inlineStr">
        <is>
          <t>066790</t>
        </is>
      </c>
      <c r="E3993" s="3" t="inlineStr">
        <is>
          <t>주주총회소집공고 (정정: 20260521) (정정: 20260605) (정정: 20260611)</t>
        </is>
      </c>
      <c r="F3993" s="3" t="inlineStr">
        <is>
          <t>씨씨에스</t>
        </is>
      </c>
      <c r="G3993" s="2" t="inlineStr">
        <is>
          <t>20260611000001</t>
        </is>
      </c>
      <c r="H3993" s="8">
        <f>HYPERLINK("https://dart.fss.or.kr/dsaf001/main.do?rcpNo=20260611000001", "공시열람")</f>
        <v/>
      </c>
    </row>
    <row r="3994">
      <c r="A3994" s="2" t="inlineStr">
        <is>
          <t>2026-03-16</t>
        </is>
      </c>
      <c r="B3994" s="3" t="inlineStr">
        <is>
          <t>CJ씨푸드</t>
        </is>
      </c>
      <c r="C3994" s="2" t="inlineStr">
        <is>
          <t>코스피</t>
        </is>
      </c>
      <c r="D3994" s="2" t="inlineStr">
        <is>
          <t>011150</t>
        </is>
      </c>
      <c r="E3994" s="3" t="inlineStr">
        <is>
          <t>주주총회소집공고</t>
        </is>
      </c>
      <c r="F3994" s="3" t="inlineStr">
        <is>
          <t>CJ씨푸드</t>
        </is>
      </c>
      <c r="G3994" s="2" t="inlineStr">
        <is>
          <t>20260316001232</t>
        </is>
      </c>
      <c r="H3994" s="8">
        <f>HYPERLINK("https://dart.fss.or.kr/dsaf001/main.do?rcpNo=20260316001232", "공시열람")</f>
        <v/>
      </c>
    </row>
    <row r="3995">
      <c r="A3995" s="2" t="inlineStr">
        <is>
          <t>2026-03-16</t>
        </is>
      </c>
      <c r="B3995" s="3" t="inlineStr">
        <is>
          <t>노을</t>
        </is>
      </c>
      <c r="C3995" s="2" t="inlineStr">
        <is>
          <t>코스닥</t>
        </is>
      </c>
      <c r="D3995" s="2" t="inlineStr">
        <is>
          <t>376930</t>
        </is>
      </c>
      <c r="E3995" s="3" t="inlineStr">
        <is>
          <t>주주총회소집공고</t>
        </is>
      </c>
      <c r="F3995" s="3" t="inlineStr">
        <is>
          <t>노을</t>
        </is>
      </c>
      <c r="G3995" s="2" t="inlineStr">
        <is>
          <t>20260316001227</t>
        </is>
      </c>
      <c r="H3995" s="8">
        <f>HYPERLINK("https://dart.fss.or.kr/dsaf001/main.do?rcpNo=20260316001227", "공시열람")</f>
        <v/>
      </c>
    </row>
    <row r="3996">
      <c r="A3996" s="2" t="inlineStr">
        <is>
          <t>2026-03-16</t>
        </is>
      </c>
      <c r="B3996" s="3" t="inlineStr">
        <is>
          <t>디와이디</t>
        </is>
      </c>
      <c r="C3996" s="2" t="inlineStr">
        <is>
          <t>코스닥</t>
        </is>
      </c>
      <c r="D3996" s="2" t="inlineStr">
        <is>
          <t>219550</t>
        </is>
      </c>
      <c r="E3996" s="3" t="inlineStr">
        <is>
          <t>주주총회소집공고</t>
        </is>
      </c>
      <c r="F3996" s="3" t="inlineStr">
        <is>
          <t>디와이디</t>
        </is>
      </c>
      <c r="G3996" s="2" t="inlineStr">
        <is>
          <t>20260316001225</t>
        </is>
      </c>
      <c r="H3996" s="8">
        <f>HYPERLINK("https://dart.fss.or.kr/dsaf001/main.do?rcpNo=20260316001225", "공시열람")</f>
        <v/>
      </c>
    </row>
    <row r="3997">
      <c r="A3997" s="2" t="inlineStr">
        <is>
          <t>2026-03-16</t>
        </is>
      </c>
      <c r="B3997" s="3" t="inlineStr">
        <is>
          <t>보령</t>
        </is>
      </c>
      <c r="C3997" s="2" t="inlineStr">
        <is>
          <t>코스피</t>
        </is>
      </c>
      <c r="D3997" s="2" t="inlineStr">
        <is>
          <t>003850</t>
        </is>
      </c>
      <c r="E3997" s="3" t="inlineStr">
        <is>
          <t>주주총회소집공고</t>
        </is>
      </c>
      <c r="F3997" s="3" t="inlineStr">
        <is>
          <t>보령</t>
        </is>
      </c>
      <c r="G3997" s="2" t="inlineStr">
        <is>
          <t>20260316001222</t>
        </is>
      </c>
      <c r="H3997" s="8">
        <f>HYPERLINK("https://dart.fss.or.kr/dsaf001/main.do?rcpNo=20260316001222", "공시열람")</f>
        <v/>
      </c>
    </row>
    <row r="3998">
      <c r="A3998" s="2" t="inlineStr">
        <is>
          <t>2026-03-16</t>
        </is>
      </c>
      <c r="B3998" s="3" t="inlineStr">
        <is>
          <t>코오롱</t>
        </is>
      </c>
      <c r="C3998" s="2" t="inlineStr">
        <is>
          <t>코스피</t>
        </is>
      </c>
      <c r="D3998" s="2" t="inlineStr">
        <is>
          <t>002020</t>
        </is>
      </c>
      <c r="E3998" s="3" t="inlineStr">
        <is>
          <t>주주총회소집공고</t>
        </is>
      </c>
      <c r="F3998" s="3" t="inlineStr">
        <is>
          <t>코오롱</t>
        </is>
      </c>
      <c r="G3998" s="2" t="inlineStr">
        <is>
          <t>20260316001220</t>
        </is>
      </c>
      <c r="H3998" s="8">
        <f>HYPERLINK("https://dart.fss.or.kr/dsaf001/main.do?rcpNo=20260316001220", "공시열람")</f>
        <v/>
      </c>
    </row>
    <row r="3999">
      <c r="A3999" s="2" t="inlineStr">
        <is>
          <t>2026-03-16</t>
        </is>
      </c>
      <c r="B3999" s="3" t="inlineStr">
        <is>
          <t>알테오젠</t>
        </is>
      </c>
      <c r="C3999" s="2" t="inlineStr">
        <is>
          <t>코스닥</t>
        </is>
      </c>
      <c r="D3999" s="2" t="inlineStr">
        <is>
          <t>196170</t>
        </is>
      </c>
      <c r="E3999" s="3" t="inlineStr">
        <is>
          <t>주주총회소집공고</t>
        </is>
      </c>
      <c r="F3999" s="3" t="inlineStr">
        <is>
          <t>알테오젠</t>
        </is>
      </c>
      <c r="G3999" s="2" t="inlineStr">
        <is>
          <t>20260316001218</t>
        </is>
      </c>
      <c r="H3999" s="8">
        <f>HYPERLINK("https://dart.fss.or.kr/dsaf001/main.do?rcpNo=20260316001218", "공시열람")</f>
        <v/>
      </c>
    </row>
    <row r="4000">
      <c r="A4000" s="2" t="inlineStr">
        <is>
          <t>2026-03-16</t>
        </is>
      </c>
      <c r="B4000" s="3" t="inlineStr">
        <is>
          <t>CSA 코스믹</t>
        </is>
      </c>
      <c r="C4000" s="2" t="inlineStr">
        <is>
          <t>코스닥</t>
        </is>
      </c>
      <c r="D4000" s="2" t="inlineStr">
        <is>
          <t>083660</t>
        </is>
      </c>
      <c r="E4000" s="3" t="inlineStr">
        <is>
          <t>주주총회소집공고</t>
        </is>
      </c>
      <c r="F4000" s="3" t="inlineStr">
        <is>
          <t>CSA 코스믹</t>
        </is>
      </c>
      <c r="G4000" s="2" t="inlineStr">
        <is>
          <t>20260316001202</t>
        </is>
      </c>
      <c r="H4000" s="8">
        <f>HYPERLINK("https://dart.fss.or.kr/dsaf001/main.do?rcpNo=20260316001202", "공시열람")</f>
        <v/>
      </c>
    </row>
    <row r="4001">
      <c r="A4001" s="2" t="inlineStr">
        <is>
          <t>2026-03-16 (정정: 2026-03-17)</t>
        </is>
      </c>
      <c r="B4001" s="3" t="inlineStr">
        <is>
          <t>제일일렉트릭</t>
        </is>
      </c>
      <c r="C4001" s="2" t="inlineStr">
        <is>
          <t>코스닥</t>
        </is>
      </c>
      <c r="D4001" s="2" t="inlineStr">
        <is>
          <t>199820</t>
        </is>
      </c>
      <c r="E4001" s="3" t="inlineStr">
        <is>
          <t>주주총회소집공고 (정정: 20260317)</t>
        </is>
      </c>
      <c r="F4001" s="3" t="inlineStr">
        <is>
          <t>제일일렉트릭</t>
        </is>
      </c>
      <c r="G4001" s="2" t="inlineStr">
        <is>
          <t>20260317000571</t>
        </is>
      </c>
      <c r="H4001" s="8">
        <f>HYPERLINK("https://dart.fss.or.kr/dsaf001/main.do?rcpNo=20260317000571", "공시열람")</f>
        <v/>
      </c>
    </row>
    <row r="4002">
      <c r="A4002" s="2" t="inlineStr">
        <is>
          <t>2026-03-16</t>
        </is>
      </c>
      <c r="B4002" s="3" t="inlineStr">
        <is>
          <t>유에스티</t>
        </is>
      </c>
      <c r="C4002" s="2" t="inlineStr">
        <is>
          <t>코스닥</t>
        </is>
      </c>
      <c r="D4002" s="2" t="inlineStr">
        <is>
          <t>263770</t>
        </is>
      </c>
      <c r="E4002" s="3" t="inlineStr">
        <is>
          <t>주주총회소집공고</t>
        </is>
      </c>
      <c r="F4002" s="3" t="inlineStr">
        <is>
          <t>유에스티</t>
        </is>
      </c>
      <c r="G4002" s="2" t="inlineStr">
        <is>
          <t>20260316001194</t>
        </is>
      </c>
      <c r="H4002" s="8">
        <f>HYPERLINK("https://dart.fss.or.kr/dsaf001/main.do?rcpNo=20260316001194", "공시열람")</f>
        <v/>
      </c>
    </row>
    <row r="4003">
      <c r="A4003" s="2" t="inlineStr">
        <is>
          <t>2026-03-16</t>
        </is>
      </c>
      <c r="B4003" s="3" t="inlineStr">
        <is>
          <t>한미사이언스</t>
        </is>
      </c>
      <c r="C4003" s="2" t="inlineStr">
        <is>
          <t>코스피</t>
        </is>
      </c>
      <c r="D4003" s="2" t="inlineStr">
        <is>
          <t>008930</t>
        </is>
      </c>
      <c r="E4003" s="3" t="inlineStr">
        <is>
          <t>주주총회소집공고</t>
        </is>
      </c>
      <c r="F4003" s="3" t="inlineStr">
        <is>
          <t>한미사이언스</t>
        </is>
      </c>
      <c r="G4003" s="2" t="inlineStr">
        <is>
          <t>20260316001193</t>
        </is>
      </c>
      <c r="H4003" s="8">
        <f>HYPERLINK("https://dart.fss.or.kr/dsaf001/main.do?rcpNo=20260316001193", "공시열람")</f>
        <v/>
      </c>
    </row>
    <row r="4004">
      <c r="A4004" s="2" t="inlineStr">
        <is>
          <t>2026-03-16</t>
        </is>
      </c>
      <c r="B4004" s="3" t="inlineStr">
        <is>
          <t>DB</t>
        </is>
      </c>
      <c r="C4004" s="2" t="inlineStr">
        <is>
          <t>코스피</t>
        </is>
      </c>
      <c r="D4004" s="2" t="inlineStr">
        <is>
          <t>012030</t>
        </is>
      </c>
      <c r="E4004" s="3" t="inlineStr">
        <is>
          <t>주주총회소집공고</t>
        </is>
      </c>
      <c r="F4004" s="3" t="inlineStr">
        <is>
          <t>DB</t>
        </is>
      </c>
      <c r="G4004" s="2" t="inlineStr">
        <is>
          <t>20260316001185</t>
        </is>
      </c>
      <c r="H4004" s="8">
        <f>HYPERLINK("https://dart.fss.or.kr/dsaf001/main.do?rcpNo=20260316001185", "공시열람")</f>
        <v/>
      </c>
    </row>
    <row r="4005">
      <c r="A4005" s="2" t="inlineStr">
        <is>
          <t>2026-03-16</t>
        </is>
      </c>
      <c r="B4005" s="3" t="inlineStr">
        <is>
          <t>한전기술</t>
        </is>
      </c>
      <c r="C4005" s="2" t="inlineStr">
        <is>
          <t>코스피</t>
        </is>
      </c>
      <c r="D4005" s="2" t="inlineStr">
        <is>
          <t>052690</t>
        </is>
      </c>
      <c r="E4005" s="3" t="inlineStr">
        <is>
          <t>주주총회소집공고</t>
        </is>
      </c>
      <c r="F4005" s="3" t="inlineStr">
        <is>
          <t>한전기술</t>
        </is>
      </c>
      <c r="G4005" s="2" t="inlineStr">
        <is>
          <t>20260316001183</t>
        </is>
      </c>
      <c r="H4005" s="8">
        <f>HYPERLINK("https://dart.fss.or.kr/dsaf001/main.do?rcpNo=20260316001183", "공시열람")</f>
        <v/>
      </c>
    </row>
    <row r="4006">
      <c r="A4006" s="2" t="inlineStr">
        <is>
          <t>2026-03-16</t>
        </is>
      </c>
      <c r="B4006" s="3" t="inlineStr">
        <is>
          <t>STX</t>
        </is>
      </c>
      <c r="C4006" s="2" t="inlineStr">
        <is>
          <t>코스피</t>
        </is>
      </c>
      <c r="D4006" s="2" t="inlineStr">
        <is>
          <t>011810</t>
        </is>
      </c>
      <c r="E4006" s="3" t="inlineStr">
        <is>
          <t>주주총회소집공고</t>
        </is>
      </c>
      <c r="F4006" s="3" t="inlineStr">
        <is>
          <t>STX</t>
        </is>
      </c>
      <c r="G4006" s="2" t="inlineStr">
        <is>
          <t>20260316001180</t>
        </is>
      </c>
      <c r="H4006" s="8">
        <f>HYPERLINK("https://dart.fss.or.kr/dsaf001/main.do?rcpNo=20260316001180", "공시열람")</f>
        <v/>
      </c>
    </row>
    <row r="4007">
      <c r="A4007" s="2" t="inlineStr">
        <is>
          <t>2026-03-16</t>
        </is>
      </c>
      <c r="B4007" s="3" t="inlineStr">
        <is>
          <t>노브랜드</t>
        </is>
      </c>
      <c r="C4007" s="2" t="inlineStr">
        <is>
          <t>코스닥</t>
        </is>
      </c>
      <c r="D4007" s="2" t="inlineStr">
        <is>
          <t>145170</t>
        </is>
      </c>
      <c r="E4007" s="3" t="inlineStr">
        <is>
          <t>주주총회소집공고</t>
        </is>
      </c>
      <c r="F4007" s="3" t="inlineStr">
        <is>
          <t>노브랜드</t>
        </is>
      </c>
      <c r="G4007" s="2" t="inlineStr">
        <is>
          <t>20260316001179</t>
        </is>
      </c>
      <c r="H4007" s="8">
        <f>HYPERLINK("https://dart.fss.or.kr/dsaf001/main.do?rcpNo=20260316001179", "공시열람")</f>
        <v/>
      </c>
    </row>
    <row r="4008">
      <c r="A4008" s="2" t="inlineStr">
        <is>
          <t>2026-03-16</t>
        </is>
      </c>
      <c r="B4008" s="3" t="inlineStr">
        <is>
          <t>씨앗</t>
        </is>
      </c>
      <c r="C4008" s="2" t="inlineStr">
        <is>
          <t>코넥스</t>
        </is>
      </c>
      <c r="D4008" s="2" t="inlineStr">
        <is>
          <t>103660</t>
        </is>
      </c>
      <c r="E4008" s="3" t="inlineStr">
        <is>
          <t>주주총회소집공고</t>
        </is>
      </c>
      <c r="F4008" s="3" t="inlineStr">
        <is>
          <t>씨앗</t>
        </is>
      </c>
      <c r="G4008" s="2" t="inlineStr">
        <is>
          <t>20260316001176</t>
        </is>
      </c>
      <c r="H4008" s="8">
        <f>HYPERLINK("https://dart.fss.or.kr/dsaf001/main.do?rcpNo=20260316001176", "공시열람")</f>
        <v/>
      </c>
    </row>
    <row r="4009">
      <c r="A4009" s="2" t="inlineStr">
        <is>
          <t>2026-03-16</t>
        </is>
      </c>
      <c r="B4009" s="3" t="inlineStr">
        <is>
          <t>THE E&amp;M</t>
        </is>
      </c>
      <c r="C4009" s="2" t="inlineStr">
        <is>
          <t>코스닥</t>
        </is>
      </c>
      <c r="D4009" s="2" t="inlineStr">
        <is>
          <t>089230</t>
        </is>
      </c>
      <c r="E4009" s="3" t="inlineStr">
        <is>
          <t>주주총회소집공고</t>
        </is>
      </c>
      <c r="F4009" s="3" t="inlineStr">
        <is>
          <t>THE E&amp;M</t>
        </is>
      </c>
      <c r="G4009" s="2" t="inlineStr">
        <is>
          <t>20260316001168</t>
        </is>
      </c>
      <c r="H4009" s="8">
        <f>HYPERLINK("https://dart.fss.or.kr/dsaf001/main.do?rcpNo=20260316001168", "공시열람")</f>
        <v/>
      </c>
    </row>
    <row r="4010">
      <c r="A4010" s="2" t="inlineStr">
        <is>
          <t>2026-03-16</t>
        </is>
      </c>
      <c r="B4010" s="3" t="inlineStr">
        <is>
          <t>남선알미늄</t>
        </is>
      </c>
      <c r="C4010" s="2" t="inlineStr">
        <is>
          <t>코스피</t>
        </is>
      </c>
      <c r="D4010" s="2" t="inlineStr">
        <is>
          <t>008350</t>
        </is>
      </c>
      <c r="E4010" s="3" t="inlineStr">
        <is>
          <t>주주총회소집공고</t>
        </is>
      </c>
      <c r="F4010" s="3" t="inlineStr">
        <is>
          <t>남선알미늄</t>
        </is>
      </c>
      <c r="G4010" s="2" t="inlineStr">
        <is>
          <t>20260316001166</t>
        </is>
      </c>
      <c r="H4010" s="8">
        <f>HYPERLINK("https://dart.fss.or.kr/dsaf001/main.do?rcpNo=20260316001166", "공시열람")</f>
        <v/>
      </c>
    </row>
    <row r="4011">
      <c r="A4011" s="2" t="inlineStr">
        <is>
          <t>2026-03-16</t>
        </is>
      </c>
      <c r="B4011" s="3" t="inlineStr">
        <is>
          <t>휴온스</t>
        </is>
      </c>
      <c r="C4011" s="2" t="inlineStr">
        <is>
          <t>코스닥</t>
        </is>
      </c>
      <c r="D4011" s="2" t="inlineStr">
        <is>
          <t>243070</t>
        </is>
      </c>
      <c r="E4011" s="3" t="inlineStr">
        <is>
          <t>주주총회소집공고</t>
        </is>
      </c>
      <c r="F4011" s="3" t="inlineStr">
        <is>
          <t>휴온스</t>
        </is>
      </c>
      <c r="G4011" s="2" t="inlineStr">
        <is>
          <t>20260316001163</t>
        </is>
      </c>
      <c r="H4011" s="8">
        <f>HYPERLINK("https://dart.fss.or.kr/dsaf001/main.do?rcpNo=20260316001163", "공시열람")</f>
        <v/>
      </c>
    </row>
    <row r="4012">
      <c r="A4012" s="2" t="inlineStr">
        <is>
          <t>2026-03-16</t>
        </is>
      </c>
      <c r="B4012" s="3" t="inlineStr">
        <is>
          <t>SCL사이언스</t>
        </is>
      </c>
      <c r="C4012" s="2" t="inlineStr">
        <is>
          <t>코스닥</t>
        </is>
      </c>
      <c r="D4012" s="2" t="inlineStr">
        <is>
          <t>246960</t>
        </is>
      </c>
      <c r="E4012" s="3" t="inlineStr">
        <is>
          <t>주주총회소집공고</t>
        </is>
      </c>
      <c r="F4012" s="3" t="inlineStr">
        <is>
          <t>SCL사이언스</t>
        </is>
      </c>
      <c r="G4012" s="2" t="inlineStr">
        <is>
          <t>20260316001162</t>
        </is>
      </c>
      <c r="H4012" s="8">
        <f>HYPERLINK("https://dart.fss.or.kr/dsaf001/main.do?rcpNo=20260316001162", "공시열람")</f>
        <v/>
      </c>
    </row>
    <row r="4013">
      <c r="A4013" s="2" t="inlineStr">
        <is>
          <t>2026-03-16</t>
        </is>
      </c>
      <c r="B4013" s="3" t="inlineStr">
        <is>
          <t>모아라이프플러스</t>
        </is>
      </c>
      <c r="C4013" s="2" t="inlineStr">
        <is>
          <t>코스닥</t>
        </is>
      </c>
      <c r="D4013" s="2" t="inlineStr">
        <is>
          <t>142760</t>
        </is>
      </c>
      <c r="E4013" s="3" t="inlineStr">
        <is>
          <t>주주총회소집공고</t>
        </is>
      </c>
      <c r="F4013" s="3" t="inlineStr">
        <is>
          <t>모아라이프플러스</t>
        </is>
      </c>
      <c r="G4013" s="2" t="inlineStr">
        <is>
          <t>20260316001156</t>
        </is>
      </c>
      <c r="H4013" s="8">
        <f>HYPERLINK("https://dart.fss.or.kr/dsaf001/main.do?rcpNo=20260316001156", "공시열람")</f>
        <v/>
      </c>
    </row>
    <row r="4014">
      <c r="A4014" s="2" t="inlineStr">
        <is>
          <t>2026-03-16</t>
        </is>
      </c>
      <c r="B4014" s="3" t="inlineStr">
        <is>
          <t>한미약품</t>
        </is>
      </c>
      <c r="C4014" s="2" t="inlineStr">
        <is>
          <t>코스피</t>
        </is>
      </c>
      <c r="D4014" s="2" t="inlineStr">
        <is>
          <t>128940</t>
        </is>
      </c>
      <c r="E4014" s="3" t="inlineStr">
        <is>
          <t>주주총회소집공고</t>
        </is>
      </c>
      <c r="F4014" s="3" t="inlineStr">
        <is>
          <t>한미약품</t>
        </is>
      </c>
      <c r="G4014" s="2" t="inlineStr">
        <is>
          <t>20260316001152</t>
        </is>
      </c>
      <c r="H4014" s="8">
        <f>HYPERLINK("https://dart.fss.or.kr/dsaf001/main.do?rcpNo=20260316001152", "공시열람")</f>
        <v/>
      </c>
    </row>
    <row r="4015">
      <c r="A4015" s="2" t="inlineStr">
        <is>
          <t>2026-03-16</t>
        </is>
      </c>
      <c r="B4015" s="3" t="inlineStr">
        <is>
          <t>뷰웍스</t>
        </is>
      </c>
      <c r="C4015" s="2" t="inlineStr">
        <is>
          <t>코스닥</t>
        </is>
      </c>
      <c r="D4015" s="2" t="inlineStr">
        <is>
          <t>100120</t>
        </is>
      </c>
      <c r="E4015" s="3" t="inlineStr">
        <is>
          <t>주주총회소집공고</t>
        </is>
      </c>
      <c r="F4015" s="3" t="inlineStr">
        <is>
          <t>뷰웍스</t>
        </is>
      </c>
      <c r="G4015" s="2" t="inlineStr">
        <is>
          <t>20260316001150</t>
        </is>
      </c>
      <c r="H4015" s="8">
        <f>HYPERLINK("https://dart.fss.or.kr/dsaf001/main.do?rcpNo=20260316001150", "공시열람")</f>
        <v/>
      </c>
    </row>
    <row r="4016">
      <c r="A4016" s="2" t="inlineStr">
        <is>
          <t>2026-03-16</t>
        </is>
      </c>
      <c r="B4016" s="3" t="inlineStr">
        <is>
          <t>웨이브일렉트로</t>
        </is>
      </c>
      <c r="C4016" s="2" t="inlineStr">
        <is>
          <t>코스닥</t>
        </is>
      </c>
      <c r="D4016" s="2" t="inlineStr">
        <is>
          <t>095270</t>
        </is>
      </c>
      <c r="E4016" s="3" t="inlineStr">
        <is>
          <t>주주총회소집공고</t>
        </is>
      </c>
      <c r="F4016" s="3" t="inlineStr">
        <is>
          <t>웨이브일렉트로</t>
        </is>
      </c>
      <c r="G4016" s="2" t="inlineStr">
        <is>
          <t>20260316001147</t>
        </is>
      </c>
      <c r="H4016" s="8">
        <f>HYPERLINK("https://dart.fss.or.kr/dsaf001/main.do?rcpNo=20260316001147", "공시열람")</f>
        <v/>
      </c>
    </row>
    <row r="4017">
      <c r="A4017" s="2" t="inlineStr">
        <is>
          <t>2026-03-16 (정정: 2026-04-16)</t>
        </is>
      </c>
      <c r="B4017" s="3" t="inlineStr">
        <is>
          <t>KC그린홀딩스</t>
        </is>
      </c>
      <c r="C4017" s="2" t="inlineStr">
        <is>
          <t>코스피</t>
        </is>
      </c>
      <c r="D4017" s="2" t="inlineStr">
        <is>
          <t>009440</t>
        </is>
      </c>
      <c r="E4017" s="3" t="inlineStr">
        <is>
          <t>주주총회소집공고 (정정: 20260416)</t>
        </is>
      </c>
      <c r="F4017" s="3" t="inlineStr">
        <is>
          <t>KC그린홀딩스</t>
        </is>
      </c>
      <c r="G4017" s="2" t="inlineStr">
        <is>
          <t>20260416800625</t>
        </is>
      </c>
      <c r="H4017" s="8">
        <f>HYPERLINK("https://dart.fss.or.kr/dsaf001/main.do?rcpNo=20260416800625", "공시열람")</f>
        <v/>
      </c>
    </row>
    <row r="4018">
      <c r="A4018" s="2" t="inlineStr">
        <is>
          <t>2026-03-16</t>
        </is>
      </c>
      <c r="B4018" s="3" t="inlineStr">
        <is>
          <t>갤럭시아머니트리</t>
        </is>
      </c>
      <c r="C4018" s="2" t="inlineStr">
        <is>
          <t>코스닥</t>
        </is>
      </c>
      <c r="D4018" s="2" t="inlineStr">
        <is>
          <t>094480</t>
        </is>
      </c>
      <c r="E4018" s="3" t="inlineStr">
        <is>
          <t>주주총회소집공고</t>
        </is>
      </c>
      <c r="F4018" s="3" t="inlineStr">
        <is>
          <t>갤럭시아머니트리</t>
        </is>
      </c>
      <c r="G4018" s="2" t="inlineStr">
        <is>
          <t>20260316001144</t>
        </is>
      </c>
      <c r="H4018" s="8">
        <f>HYPERLINK("https://dart.fss.or.kr/dsaf001/main.do?rcpNo=20260316001144", "공시열람")</f>
        <v/>
      </c>
    </row>
    <row r="4019">
      <c r="A4019" s="2" t="inlineStr">
        <is>
          <t>2026-03-16</t>
        </is>
      </c>
      <c r="B4019" s="3" t="inlineStr">
        <is>
          <t>벽산</t>
        </is>
      </c>
      <c r="C4019" s="2" t="inlineStr">
        <is>
          <t>코스피</t>
        </is>
      </c>
      <c r="D4019" s="2" t="inlineStr">
        <is>
          <t>007210</t>
        </is>
      </c>
      <c r="E4019" s="3" t="inlineStr">
        <is>
          <t>주주총회소집공고</t>
        </is>
      </c>
      <c r="F4019" s="3" t="inlineStr">
        <is>
          <t>벽산</t>
        </is>
      </c>
      <c r="G4019" s="2" t="inlineStr">
        <is>
          <t>20260316001139</t>
        </is>
      </c>
      <c r="H4019" s="8">
        <f>HYPERLINK("https://dart.fss.or.kr/dsaf001/main.do?rcpNo=20260316001139", "공시열람")</f>
        <v/>
      </c>
    </row>
    <row r="4020">
      <c r="A4020" s="2" t="inlineStr">
        <is>
          <t>2026-03-16</t>
        </is>
      </c>
      <c r="B4020" s="3" t="inlineStr">
        <is>
          <t>씨앤지하이테크</t>
        </is>
      </c>
      <c r="C4020" s="2" t="inlineStr">
        <is>
          <t>코스닥</t>
        </is>
      </c>
      <c r="D4020" s="2" t="inlineStr">
        <is>
          <t>264660</t>
        </is>
      </c>
      <c r="E4020" s="3" t="inlineStr">
        <is>
          <t>주주총회소집공고</t>
        </is>
      </c>
      <c r="F4020" s="3" t="inlineStr">
        <is>
          <t>씨앤지하이테크</t>
        </is>
      </c>
      <c r="G4020" s="2" t="inlineStr">
        <is>
          <t>20260316001136</t>
        </is>
      </c>
      <c r="H4020" s="8">
        <f>HYPERLINK("https://dart.fss.or.kr/dsaf001/main.do?rcpNo=20260316001136", "공시열람")</f>
        <v/>
      </c>
    </row>
    <row r="4021">
      <c r="A4021" s="2" t="inlineStr">
        <is>
          <t>2026-03-16</t>
        </is>
      </c>
      <c r="B4021" s="3" t="inlineStr">
        <is>
          <t>조선선재</t>
        </is>
      </c>
      <c r="C4021" s="2" t="inlineStr">
        <is>
          <t>코스피</t>
        </is>
      </c>
      <c r="D4021" s="2" t="inlineStr">
        <is>
          <t>120030</t>
        </is>
      </c>
      <c r="E4021" s="3" t="inlineStr">
        <is>
          <t>주주총회소집공고</t>
        </is>
      </c>
      <c r="F4021" s="3" t="inlineStr">
        <is>
          <t>조선선재</t>
        </is>
      </c>
      <c r="G4021" s="2" t="inlineStr">
        <is>
          <t>20260316001134</t>
        </is>
      </c>
      <c r="H4021" s="8">
        <f>HYPERLINK("https://dart.fss.or.kr/dsaf001/main.do?rcpNo=20260316001134", "공시열람")</f>
        <v/>
      </c>
    </row>
    <row r="4022">
      <c r="A4022" s="2" t="inlineStr">
        <is>
          <t>2026-03-16</t>
        </is>
      </c>
      <c r="B4022" s="3" t="inlineStr">
        <is>
          <t>해성옵틱스</t>
        </is>
      </c>
      <c r="C4022" s="2" t="inlineStr">
        <is>
          <t>코스닥</t>
        </is>
      </c>
      <c r="D4022" s="2" t="inlineStr">
        <is>
          <t>076610</t>
        </is>
      </c>
      <c r="E4022" s="3" t="inlineStr">
        <is>
          <t>주주총회소집공고</t>
        </is>
      </c>
      <c r="F4022" s="3" t="inlineStr">
        <is>
          <t>해성옵틱스</t>
        </is>
      </c>
      <c r="G4022" s="2" t="inlineStr">
        <is>
          <t>20260316001126</t>
        </is>
      </c>
      <c r="H4022" s="8">
        <f>HYPERLINK("https://dart.fss.or.kr/dsaf001/main.do?rcpNo=20260316001126", "공시열람")</f>
        <v/>
      </c>
    </row>
    <row r="4023">
      <c r="A4023" s="2" t="inlineStr">
        <is>
          <t>2026-03-16</t>
        </is>
      </c>
      <c r="B4023" s="3" t="inlineStr">
        <is>
          <t>인포뱅크</t>
        </is>
      </c>
      <c r="C4023" s="2" t="inlineStr">
        <is>
          <t>코스닥</t>
        </is>
      </c>
      <c r="D4023" s="2" t="inlineStr">
        <is>
          <t>039290</t>
        </is>
      </c>
      <c r="E4023" s="3" t="inlineStr">
        <is>
          <t>[기재정정]주주총회소집공고</t>
        </is>
      </c>
      <c r="F4023" s="3" t="inlineStr">
        <is>
          <t>인포뱅크</t>
        </is>
      </c>
      <c r="G4023" s="2" t="inlineStr">
        <is>
          <t>20260316001123</t>
        </is>
      </c>
      <c r="H4023" s="8">
        <f>HYPERLINK("https://dart.fss.or.kr/dsaf001/main.do?rcpNo=20260316001123", "공시열람")</f>
        <v/>
      </c>
    </row>
    <row r="4024">
      <c r="A4024" s="2" t="inlineStr">
        <is>
          <t>2026-03-16 (정정: 2026-03-23)</t>
        </is>
      </c>
      <c r="B4024" s="3" t="inlineStr">
        <is>
          <t>한국특강</t>
        </is>
      </c>
      <c r="C4024" s="2" t="inlineStr">
        <is>
          <t>코스피</t>
        </is>
      </c>
      <c r="D4024" s="2" t="inlineStr">
        <is>
          <t>007280</t>
        </is>
      </c>
      <c r="E4024" s="3" t="inlineStr">
        <is>
          <t>주주총회소집공고 (정정: 20260323)</t>
        </is>
      </c>
      <c r="F4024" s="3" t="inlineStr">
        <is>
          <t>한국특강</t>
        </is>
      </c>
      <c r="G4024" s="2" t="inlineStr">
        <is>
          <t>20260323000263</t>
        </is>
      </c>
      <c r="H4024" s="8">
        <f>HYPERLINK("https://dart.fss.or.kr/dsaf001/main.do?rcpNo=20260323000263", "공시열람")</f>
        <v/>
      </c>
    </row>
    <row r="4025">
      <c r="A4025" s="2" t="inlineStr">
        <is>
          <t>2026-03-16</t>
        </is>
      </c>
      <c r="B4025" s="3" t="inlineStr">
        <is>
          <t>아이윈</t>
        </is>
      </c>
      <c r="C4025" s="2" t="inlineStr">
        <is>
          <t>코스닥</t>
        </is>
      </c>
      <c r="D4025" s="2" t="inlineStr">
        <is>
          <t>090150</t>
        </is>
      </c>
      <c r="E4025" s="3" t="inlineStr">
        <is>
          <t>주주총회소집공고</t>
        </is>
      </c>
      <c r="F4025" s="3" t="inlineStr">
        <is>
          <t>아이윈</t>
        </is>
      </c>
      <c r="G4025" s="2" t="inlineStr">
        <is>
          <t>20260316001110</t>
        </is>
      </c>
      <c r="H4025" s="8">
        <f>HYPERLINK("https://dart.fss.or.kr/dsaf001/main.do?rcpNo=20260316001110", "공시열람")</f>
        <v/>
      </c>
    </row>
    <row r="4026">
      <c r="A4026" s="2" t="inlineStr">
        <is>
          <t>2026-03-16</t>
        </is>
      </c>
      <c r="B4026" s="3" t="inlineStr">
        <is>
          <t>크리스에프앤씨</t>
        </is>
      </c>
      <c r="C4026" s="2" t="inlineStr">
        <is>
          <t>코스닥</t>
        </is>
      </c>
      <c r="D4026" s="2" t="inlineStr">
        <is>
          <t>110790</t>
        </is>
      </c>
      <c r="E4026" s="3" t="inlineStr">
        <is>
          <t>주주총회소집공고</t>
        </is>
      </c>
      <c r="F4026" s="3" t="inlineStr">
        <is>
          <t>크리스에프앤씨</t>
        </is>
      </c>
      <c r="G4026" s="2" t="inlineStr">
        <is>
          <t>20260316001107</t>
        </is>
      </c>
      <c r="H4026" s="8">
        <f>HYPERLINK("https://dart.fss.or.kr/dsaf001/main.do?rcpNo=20260316001107", "공시열람")</f>
        <v/>
      </c>
    </row>
    <row r="4027">
      <c r="A4027" s="2" t="inlineStr">
        <is>
          <t>2026-03-16</t>
        </is>
      </c>
      <c r="B4027" s="3" t="inlineStr">
        <is>
          <t>한울반도체</t>
        </is>
      </c>
      <c r="C4027" s="2" t="inlineStr">
        <is>
          <t>코스닥</t>
        </is>
      </c>
      <c r="D4027" s="2" t="inlineStr">
        <is>
          <t>320000</t>
        </is>
      </c>
      <c r="E4027" s="3" t="inlineStr">
        <is>
          <t>주주총회소집공고</t>
        </is>
      </c>
      <c r="F4027" s="3" t="inlineStr">
        <is>
          <t>한울반도체</t>
        </is>
      </c>
      <c r="G4027" s="2" t="inlineStr">
        <is>
          <t>20260316001103</t>
        </is>
      </c>
      <c r="H4027" s="8">
        <f>HYPERLINK("https://dart.fss.or.kr/dsaf001/main.do?rcpNo=20260316001103", "공시열람")</f>
        <v/>
      </c>
    </row>
    <row r="4028">
      <c r="A4028" s="2" t="inlineStr">
        <is>
          <t>2026-03-16</t>
        </is>
      </c>
      <c r="B4028" s="3" t="inlineStr">
        <is>
          <t>세중</t>
        </is>
      </c>
      <c r="C4028" s="2" t="inlineStr">
        <is>
          <t>코스닥</t>
        </is>
      </c>
      <c r="D4028" s="2" t="inlineStr">
        <is>
          <t>039310</t>
        </is>
      </c>
      <c r="E4028" s="3" t="inlineStr">
        <is>
          <t>주주총회소집공고</t>
        </is>
      </c>
      <c r="F4028" s="3" t="inlineStr">
        <is>
          <t>세중</t>
        </is>
      </c>
      <c r="G4028" s="2" t="inlineStr">
        <is>
          <t>20260316001102</t>
        </is>
      </c>
      <c r="H4028" s="8">
        <f>HYPERLINK("https://dart.fss.or.kr/dsaf001/main.do?rcpNo=20260316001102", "공시열람")</f>
        <v/>
      </c>
    </row>
    <row r="4029">
      <c r="A4029" s="2" t="inlineStr">
        <is>
          <t>2026-03-16</t>
        </is>
      </c>
      <c r="B4029" s="3" t="inlineStr">
        <is>
          <t>씨아이에스</t>
        </is>
      </c>
      <c r="C4029" s="2" t="inlineStr">
        <is>
          <t>코스닥</t>
        </is>
      </c>
      <c r="D4029" s="2" t="inlineStr">
        <is>
          <t>222080</t>
        </is>
      </c>
      <c r="E4029" s="3" t="inlineStr">
        <is>
          <t>주주총회소집공고</t>
        </is>
      </c>
      <c r="F4029" s="3" t="inlineStr">
        <is>
          <t>씨아이에스</t>
        </is>
      </c>
      <c r="G4029" s="2" t="inlineStr">
        <is>
          <t>20260316001101</t>
        </is>
      </c>
      <c r="H4029" s="8">
        <f>HYPERLINK("https://dart.fss.or.kr/dsaf001/main.do?rcpNo=20260316001101", "공시열람")</f>
        <v/>
      </c>
    </row>
    <row r="4030">
      <c r="A4030" s="2" t="inlineStr">
        <is>
          <t>2026-03-16</t>
        </is>
      </c>
      <c r="B4030" s="3" t="inlineStr">
        <is>
          <t>프롬바이오</t>
        </is>
      </c>
      <c r="C4030" s="2" t="inlineStr">
        <is>
          <t>코스닥</t>
        </is>
      </c>
      <c r="D4030" s="2" t="inlineStr">
        <is>
          <t>377220</t>
        </is>
      </c>
      <c r="E4030" s="3" t="inlineStr">
        <is>
          <t>주주총회소집공고</t>
        </is>
      </c>
      <c r="F4030" s="3" t="inlineStr">
        <is>
          <t>프롬바이오</t>
        </is>
      </c>
      <c r="G4030" s="2" t="inlineStr">
        <is>
          <t>20260316001099</t>
        </is>
      </c>
      <c r="H4030" s="8">
        <f>HYPERLINK("https://dart.fss.or.kr/dsaf001/main.do?rcpNo=20260316001099", "공시열람")</f>
        <v/>
      </c>
    </row>
    <row r="4031">
      <c r="A4031" s="2" t="inlineStr">
        <is>
          <t>2026-03-16</t>
        </is>
      </c>
      <c r="B4031" s="3" t="inlineStr">
        <is>
          <t>이엔플러스</t>
        </is>
      </c>
      <c r="C4031" s="2" t="inlineStr">
        <is>
          <t>코스피</t>
        </is>
      </c>
      <c r="D4031" s="2" t="inlineStr">
        <is>
          <t>074610</t>
        </is>
      </c>
      <c r="E4031" s="3" t="inlineStr">
        <is>
          <t>주주총회소집공고</t>
        </is>
      </c>
      <c r="F4031" s="3" t="inlineStr">
        <is>
          <t>이엔플러스</t>
        </is>
      </c>
      <c r="G4031" s="2" t="inlineStr">
        <is>
          <t>20260316001098</t>
        </is>
      </c>
      <c r="H4031" s="8">
        <f>HYPERLINK("https://dart.fss.or.kr/dsaf001/main.do?rcpNo=20260316001098", "공시열람")</f>
        <v/>
      </c>
    </row>
    <row r="4032">
      <c r="A4032" s="2" t="inlineStr">
        <is>
          <t>2026-03-16</t>
        </is>
      </c>
      <c r="B4032" s="3" t="inlineStr">
        <is>
          <t>디에스케이</t>
        </is>
      </c>
      <c r="C4032" s="2" t="inlineStr">
        <is>
          <t>코스닥</t>
        </is>
      </c>
      <c r="D4032" s="2" t="inlineStr">
        <is>
          <t>109740</t>
        </is>
      </c>
      <c r="E4032" s="3" t="inlineStr">
        <is>
          <t>주주총회소집공고</t>
        </is>
      </c>
      <c r="F4032" s="3" t="inlineStr">
        <is>
          <t>디에스케이</t>
        </is>
      </c>
      <c r="G4032" s="2" t="inlineStr">
        <is>
          <t>20260316001095</t>
        </is>
      </c>
      <c r="H4032" s="8">
        <f>HYPERLINK("https://dart.fss.or.kr/dsaf001/main.do?rcpNo=20260316001095", "공시열람")</f>
        <v/>
      </c>
    </row>
    <row r="4033">
      <c r="A4033" s="2" t="inlineStr">
        <is>
          <t>2026-03-16</t>
        </is>
      </c>
      <c r="B4033" s="3" t="inlineStr">
        <is>
          <t>윌비스</t>
        </is>
      </c>
      <c r="C4033" s="2" t="inlineStr">
        <is>
          <t>코스피</t>
        </is>
      </c>
      <c r="D4033" s="2" t="inlineStr">
        <is>
          <t>008600</t>
        </is>
      </c>
      <c r="E4033" s="3" t="inlineStr">
        <is>
          <t>주주총회소집공고</t>
        </is>
      </c>
      <c r="F4033" s="3" t="inlineStr">
        <is>
          <t>윌비스</t>
        </is>
      </c>
      <c r="G4033" s="2" t="inlineStr">
        <is>
          <t>20260316001094</t>
        </is>
      </c>
      <c r="H4033" s="8">
        <f>HYPERLINK("https://dart.fss.or.kr/dsaf001/main.do?rcpNo=20260316001094", "공시열람")</f>
        <v/>
      </c>
    </row>
    <row r="4034">
      <c r="A4034" s="2" t="inlineStr">
        <is>
          <t>2026-03-16</t>
        </is>
      </c>
      <c r="B4034" s="3" t="inlineStr">
        <is>
          <t>에스트래픽</t>
        </is>
      </c>
      <c r="C4034" s="2" t="inlineStr">
        <is>
          <t>코스닥</t>
        </is>
      </c>
      <c r="D4034" s="2" t="inlineStr">
        <is>
          <t>234300</t>
        </is>
      </c>
      <c r="E4034" s="3" t="inlineStr">
        <is>
          <t>[기재정정]주주총회소집공고</t>
        </is>
      </c>
      <c r="F4034" s="3" t="inlineStr">
        <is>
          <t>에스트래픽</t>
        </is>
      </c>
      <c r="G4034" s="2" t="inlineStr">
        <is>
          <t>20260316001092</t>
        </is>
      </c>
      <c r="H4034" s="8">
        <f>HYPERLINK("https://dart.fss.or.kr/dsaf001/main.do?rcpNo=20260316001092", "공시열람")</f>
        <v/>
      </c>
    </row>
    <row r="4035">
      <c r="A4035" s="2" t="inlineStr">
        <is>
          <t>2026-03-16</t>
        </is>
      </c>
      <c r="B4035" s="3" t="inlineStr">
        <is>
          <t>이오테크닉스</t>
        </is>
      </c>
      <c r="C4035" s="2" t="inlineStr">
        <is>
          <t>코스닥</t>
        </is>
      </c>
      <c r="D4035" s="2" t="inlineStr">
        <is>
          <t>039030</t>
        </is>
      </c>
      <c r="E4035" s="3" t="inlineStr">
        <is>
          <t>주주총회소집공고</t>
        </is>
      </c>
      <c r="F4035" s="3" t="inlineStr">
        <is>
          <t>이오테크닉스</t>
        </is>
      </c>
      <c r="G4035" s="2" t="inlineStr">
        <is>
          <t>20260316001091</t>
        </is>
      </c>
      <c r="H4035" s="8">
        <f>HYPERLINK("https://dart.fss.or.kr/dsaf001/main.do?rcpNo=20260316001091", "공시열람")</f>
        <v/>
      </c>
    </row>
    <row r="4036">
      <c r="A4036" s="2" t="inlineStr">
        <is>
          <t>2026-03-16</t>
        </is>
      </c>
      <c r="B4036" s="3" t="inlineStr">
        <is>
          <t>탑런토탈솔루션</t>
        </is>
      </c>
      <c r="C4036" s="2" t="inlineStr">
        <is>
          <t>코스닥</t>
        </is>
      </c>
      <c r="D4036" s="2" t="inlineStr">
        <is>
          <t>336680</t>
        </is>
      </c>
      <c r="E4036" s="3" t="inlineStr">
        <is>
          <t>[기재정정]주주총회소집공고</t>
        </is>
      </c>
      <c r="F4036" s="3" t="inlineStr">
        <is>
          <t>탑런토탈솔루션</t>
        </is>
      </c>
      <c r="G4036" s="2" t="inlineStr">
        <is>
          <t>20260316001085</t>
        </is>
      </c>
      <c r="H4036" s="8">
        <f>HYPERLINK("https://dart.fss.or.kr/dsaf001/main.do?rcpNo=20260316001085", "공시열람")</f>
        <v/>
      </c>
    </row>
    <row r="4037">
      <c r="A4037" s="2" t="inlineStr">
        <is>
          <t>2026-03-16</t>
        </is>
      </c>
      <c r="B4037" s="3" t="inlineStr">
        <is>
          <t>진코스텍</t>
        </is>
      </c>
      <c r="C4037" s="2" t="inlineStr">
        <is>
          <t>코넥스</t>
        </is>
      </c>
      <c r="D4037" s="2" t="inlineStr">
        <is>
          <t>250030</t>
        </is>
      </c>
      <c r="E4037" s="3" t="inlineStr">
        <is>
          <t>주주총회소집공고</t>
        </is>
      </c>
      <c r="F4037" s="3" t="inlineStr">
        <is>
          <t>진코스텍</t>
        </is>
      </c>
      <c r="G4037" s="2" t="inlineStr">
        <is>
          <t>20260316001084</t>
        </is>
      </c>
      <c r="H4037" s="8">
        <f>HYPERLINK("https://dart.fss.or.kr/dsaf001/main.do?rcpNo=20260316001084", "공시열람")</f>
        <v/>
      </c>
    </row>
    <row r="4038">
      <c r="A4038" s="2" t="inlineStr">
        <is>
          <t>2026-03-16</t>
        </is>
      </c>
      <c r="B4038" s="3" t="inlineStr">
        <is>
          <t>CS홀딩스</t>
        </is>
      </c>
      <c r="C4038" s="2" t="inlineStr">
        <is>
          <t>코스피</t>
        </is>
      </c>
      <c r="D4038" s="2" t="inlineStr">
        <is>
          <t>000590</t>
        </is>
      </c>
      <c r="E4038" s="3" t="inlineStr">
        <is>
          <t>주주총회소집공고</t>
        </is>
      </c>
      <c r="F4038" s="3" t="inlineStr">
        <is>
          <t>CS홀딩스</t>
        </is>
      </c>
      <c r="G4038" s="2" t="inlineStr">
        <is>
          <t>20260316001082</t>
        </is>
      </c>
      <c r="H4038" s="8">
        <f>HYPERLINK("https://dart.fss.or.kr/dsaf001/main.do?rcpNo=20260316001082", "공시열람")</f>
        <v/>
      </c>
    </row>
    <row r="4039">
      <c r="A4039" s="2" t="inlineStr">
        <is>
          <t>2026-03-16</t>
        </is>
      </c>
      <c r="B4039" s="3" t="inlineStr">
        <is>
          <t>휴마시스</t>
        </is>
      </c>
      <c r="C4039" s="2" t="inlineStr">
        <is>
          <t>코스닥</t>
        </is>
      </c>
      <c r="D4039" s="2" t="inlineStr">
        <is>
          <t>205470</t>
        </is>
      </c>
      <c r="E4039" s="3" t="inlineStr">
        <is>
          <t>주주총회소집공고</t>
        </is>
      </c>
      <c r="F4039" s="3" t="inlineStr">
        <is>
          <t>휴마시스</t>
        </is>
      </c>
      <c r="G4039" s="2" t="inlineStr">
        <is>
          <t>20260316001079</t>
        </is>
      </c>
      <c r="H4039" s="8">
        <f>HYPERLINK("https://dart.fss.or.kr/dsaf001/main.do?rcpNo=20260316001079", "공시열람")</f>
        <v/>
      </c>
    </row>
    <row r="4040">
      <c r="A4040" s="2" t="inlineStr">
        <is>
          <t>2026-03-16</t>
        </is>
      </c>
      <c r="B4040" s="3" t="inlineStr">
        <is>
          <t>광무</t>
        </is>
      </c>
      <c r="C4040" s="2" t="inlineStr">
        <is>
          <t>코스닥</t>
        </is>
      </c>
      <c r="D4040" s="2" t="inlineStr">
        <is>
          <t>029480</t>
        </is>
      </c>
      <c r="E4040" s="3" t="inlineStr">
        <is>
          <t>주주총회소집공고</t>
        </is>
      </c>
      <c r="F4040" s="3" t="inlineStr">
        <is>
          <t>광무</t>
        </is>
      </c>
      <c r="G4040" s="2" t="inlineStr">
        <is>
          <t>20260316001073</t>
        </is>
      </c>
      <c r="H4040" s="8">
        <f>HYPERLINK("https://dart.fss.or.kr/dsaf001/main.do?rcpNo=20260316001073", "공시열람")</f>
        <v/>
      </c>
    </row>
    <row r="4041">
      <c r="A4041" s="2" t="inlineStr">
        <is>
          <t>2026-03-16</t>
        </is>
      </c>
      <c r="B4041" s="3" t="inlineStr">
        <is>
          <t>미트박스</t>
        </is>
      </c>
      <c r="C4041" s="2" t="inlineStr">
        <is>
          <t>코스닥</t>
        </is>
      </c>
      <c r="D4041" s="2" t="inlineStr">
        <is>
          <t>475460</t>
        </is>
      </c>
      <c r="E4041" s="3" t="inlineStr">
        <is>
          <t>주주총회소집공고</t>
        </is>
      </c>
      <c r="F4041" s="3" t="inlineStr">
        <is>
          <t>미트박스</t>
        </is>
      </c>
      <c r="G4041" s="2" t="inlineStr">
        <is>
          <t>20260316001069</t>
        </is>
      </c>
      <c r="H4041" s="8">
        <f>HYPERLINK("https://dart.fss.or.kr/dsaf001/main.do?rcpNo=20260316001069", "공시열람")</f>
        <v/>
      </c>
    </row>
    <row r="4042">
      <c r="A4042" s="2" t="inlineStr">
        <is>
          <t>2026-03-16</t>
        </is>
      </c>
      <c r="B4042" s="3" t="inlineStr">
        <is>
          <t>체리부로</t>
        </is>
      </c>
      <c r="C4042" s="2" t="inlineStr">
        <is>
          <t>코스닥</t>
        </is>
      </c>
      <c r="D4042" s="2" t="inlineStr">
        <is>
          <t>066360</t>
        </is>
      </c>
      <c r="E4042" s="3" t="inlineStr">
        <is>
          <t>주주총회소집공고</t>
        </is>
      </c>
      <c r="F4042" s="3" t="inlineStr">
        <is>
          <t>체리부로</t>
        </is>
      </c>
      <c r="G4042" s="2" t="inlineStr">
        <is>
          <t>20260316001068</t>
        </is>
      </c>
      <c r="H4042" s="8">
        <f>HYPERLINK("https://dart.fss.or.kr/dsaf001/main.do?rcpNo=20260316001068", "공시열람")</f>
        <v/>
      </c>
    </row>
    <row r="4043">
      <c r="A4043" s="2" t="inlineStr">
        <is>
          <t>2026-03-16 (정정: 2026-03-30)</t>
        </is>
      </c>
      <c r="B4043" s="3" t="inlineStr">
        <is>
          <t>티에프이</t>
        </is>
      </c>
      <c r="C4043" s="2" t="inlineStr">
        <is>
          <t>코스닥</t>
        </is>
      </c>
      <c r="D4043" s="2" t="inlineStr">
        <is>
          <t>425420</t>
        </is>
      </c>
      <c r="E4043" s="3" t="inlineStr">
        <is>
          <t>주주총회소집공고 (정정: 20260330)</t>
        </is>
      </c>
      <c r="F4043" s="3" t="inlineStr">
        <is>
          <t>티에프이</t>
        </is>
      </c>
      <c r="G4043" s="2" t="inlineStr">
        <is>
          <t>20260330001659</t>
        </is>
      </c>
      <c r="H4043" s="8">
        <f>HYPERLINK("https://dart.fss.or.kr/dsaf001/main.do?rcpNo=20260330001659", "공시열람")</f>
        <v/>
      </c>
    </row>
    <row r="4044">
      <c r="A4044" s="2" t="inlineStr">
        <is>
          <t>2026-03-16 (정정: 2026-03-24)</t>
        </is>
      </c>
      <c r="B4044" s="3" t="inlineStr">
        <is>
          <t>드림씨아이에스</t>
        </is>
      </c>
      <c r="C4044" s="2" t="inlineStr">
        <is>
          <t>코스닥</t>
        </is>
      </c>
      <c r="D4044" s="2" t="inlineStr">
        <is>
          <t>223250</t>
        </is>
      </c>
      <c r="E4044" s="3" t="inlineStr">
        <is>
          <t>주주총회소집공고 (정정: 20260324)</t>
        </is>
      </c>
      <c r="F4044" s="3" t="inlineStr">
        <is>
          <t>드림씨아이에스</t>
        </is>
      </c>
      <c r="G4044" s="2" t="inlineStr">
        <is>
          <t>20260323001696</t>
        </is>
      </c>
      <c r="H4044" s="8">
        <f>HYPERLINK("https://dart.fss.or.kr/dsaf001/main.do?rcpNo=20260323001696", "공시열람")</f>
        <v/>
      </c>
    </row>
    <row r="4045">
      <c r="A4045" s="2" t="inlineStr">
        <is>
          <t>2026-03-16 (정정: 2026-03-25)</t>
        </is>
      </c>
      <c r="B4045" s="3" t="inlineStr">
        <is>
          <t>DH오토웨어</t>
        </is>
      </c>
      <c r="C4045" s="2" t="inlineStr">
        <is>
          <t>코스닥</t>
        </is>
      </c>
      <c r="D4045" s="2" t="inlineStr">
        <is>
          <t>025440</t>
        </is>
      </c>
      <c r="E4045" s="3" t="inlineStr">
        <is>
          <t>주주총회소집공고 (정정: 20260325)</t>
        </is>
      </c>
      <c r="F4045" s="3" t="inlineStr">
        <is>
          <t>DH오토웨어</t>
        </is>
      </c>
      <c r="G4045" s="2" t="inlineStr">
        <is>
          <t>20260325000357</t>
        </is>
      </c>
      <c r="H4045" s="8">
        <f>HYPERLINK("https://dart.fss.or.kr/dsaf001/main.do?rcpNo=20260325000357", "공시열람")</f>
        <v/>
      </c>
    </row>
    <row r="4046">
      <c r="A4046" s="2" t="inlineStr">
        <is>
          <t>2026-03-16</t>
        </is>
      </c>
      <c r="B4046" s="3" t="inlineStr">
        <is>
          <t>본시스템즈</t>
        </is>
      </c>
      <c r="C4046" s="2" t="inlineStr">
        <is>
          <t>코넥스</t>
        </is>
      </c>
      <c r="D4046" s="2" t="inlineStr">
        <is>
          <t>496320</t>
        </is>
      </c>
      <c r="E4046" s="3" t="inlineStr">
        <is>
          <t>[기재정정]주주총회소집공고</t>
        </is>
      </c>
      <c r="F4046" s="3" t="inlineStr">
        <is>
          <t>본시스템즈</t>
        </is>
      </c>
      <c r="G4046" s="2" t="inlineStr">
        <is>
          <t>20260316001058</t>
        </is>
      </c>
      <c r="H4046" s="8">
        <f>HYPERLINK("https://dart.fss.or.kr/dsaf001/main.do?rcpNo=20260316001058", "공시열람")</f>
        <v/>
      </c>
    </row>
    <row r="4047">
      <c r="A4047" s="2" t="inlineStr">
        <is>
          <t>2026-03-16</t>
        </is>
      </c>
      <c r="B4047" s="3" t="inlineStr">
        <is>
          <t>그리드위즈</t>
        </is>
      </c>
      <c r="C4047" s="2" t="inlineStr">
        <is>
          <t>코스닥</t>
        </is>
      </c>
      <c r="D4047" s="2" t="inlineStr">
        <is>
          <t>453450</t>
        </is>
      </c>
      <c r="E4047" s="3" t="inlineStr">
        <is>
          <t>주주총회소집공고</t>
        </is>
      </c>
      <c r="F4047" s="3" t="inlineStr">
        <is>
          <t>그리드위즈</t>
        </is>
      </c>
      <c r="G4047" s="2" t="inlineStr">
        <is>
          <t>20260316001057</t>
        </is>
      </c>
      <c r="H4047" s="8">
        <f>HYPERLINK("https://dart.fss.or.kr/dsaf001/main.do?rcpNo=20260316001057", "공시열람")</f>
        <v/>
      </c>
    </row>
    <row r="4048">
      <c r="A4048" s="2" t="inlineStr">
        <is>
          <t>2026-03-16</t>
        </is>
      </c>
      <c r="B4048" s="3" t="inlineStr">
        <is>
          <t>덕산테코피아</t>
        </is>
      </c>
      <c r="C4048" s="2" t="inlineStr">
        <is>
          <t>코스닥</t>
        </is>
      </c>
      <c r="D4048" s="2" t="inlineStr">
        <is>
          <t>317330</t>
        </is>
      </c>
      <c r="E4048" s="3" t="inlineStr">
        <is>
          <t>주주총회소집공고</t>
        </is>
      </c>
      <c r="F4048" s="3" t="inlineStr">
        <is>
          <t>덕산테코피아</t>
        </is>
      </c>
      <c r="G4048" s="2" t="inlineStr">
        <is>
          <t>20260316001055</t>
        </is>
      </c>
      <c r="H4048" s="8">
        <f>HYPERLINK("https://dart.fss.or.kr/dsaf001/main.do?rcpNo=20260316001055", "공시열람")</f>
        <v/>
      </c>
    </row>
    <row r="4049">
      <c r="A4049" s="2" t="inlineStr">
        <is>
          <t>2026-03-16</t>
        </is>
      </c>
      <c r="B4049" s="3" t="inlineStr">
        <is>
          <t>미래아이앤지</t>
        </is>
      </c>
      <c r="C4049" s="2" t="inlineStr">
        <is>
          <t>코스피</t>
        </is>
      </c>
      <c r="D4049" s="2" t="inlineStr">
        <is>
          <t>007120</t>
        </is>
      </c>
      <c r="E4049" s="3" t="inlineStr">
        <is>
          <t>주주총회소집공고</t>
        </is>
      </c>
      <c r="F4049" s="3" t="inlineStr">
        <is>
          <t>미래아이앤지</t>
        </is>
      </c>
      <c r="G4049" s="2" t="inlineStr">
        <is>
          <t>20260316001052</t>
        </is>
      </c>
      <c r="H4049" s="8">
        <f>HYPERLINK("https://dart.fss.or.kr/dsaf001/main.do?rcpNo=20260316001052", "공시열람")</f>
        <v/>
      </c>
    </row>
    <row r="4050">
      <c r="A4050" s="2" t="inlineStr">
        <is>
          <t>2026-03-16</t>
        </is>
      </c>
      <c r="B4050" s="3" t="inlineStr">
        <is>
          <t>블루엠텍</t>
        </is>
      </c>
      <c r="C4050" s="2" t="inlineStr">
        <is>
          <t>코스닥</t>
        </is>
      </c>
      <c r="D4050" s="2" t="inlineStr">
        <is>
          <t>439580</t>
        </is>
      </c>
      <c r="E4050" s="3" t="inlineStr">
        <is>
          <t>주주총회소집공고</t>
        </is>
      </c>
      <c r="F4050" s="3" t="inlineStr">
        <is>
          <t>블루엠텍</t>
        </is>
      </c>
      <c r="G4050" s="2" t="inlineStr">
        <is>
          <t>20260316001051</t>
        </is>
      </c>
      <c r="H4050" s="8">
        <f>HYPERLINK("https://dart.fss.or.kr/dsaf001/main.do?rcpNo=20260316001051", "공시열람")</f>
        <v/>
      </c>
    </row>
    <row r="4051">
      <c r="A4051" s="2" t="inlineStr">
        <is>
          <t>2026-03-16</t>
        </is>
      </c>
      <c r="B4051" s="3" t="inlineStr">
        <is>
          <t>오리콤</t>
        </is>
      </c>
      <c r="C4051" s="2" t="inlineStr">
        <is>
          <t>코스닥</t>
        </is>
      </c>
      <c r="D4051" s="2" t="inlineStr">
        <is>
          <t>010470</t>
        </is>
      </c>
      <c r="E4051" s="3" t="inlineStr">
        <is>
          <t>주주총회소집공고</t>
        </is>
      </c>
      <c r="F4051" s="3" t="inlineStr">
        <is>
          <t>오리콤</t>
        </is>
      </c>
      <c r="G4051" s="2" t="inlineStr">
        <is>
          <t>20260316001049</t>
        </is>
      </c>
      <c r="H4051" s="8">
        <f>HYPERLINK("https://dart.fss.or.kr/dsaf001/main.do?rcpNo=20260316001049", "공시열람")</f>
        <v/>
      </c>
    </row>
    <row r="4052">
      <c r="A4052" s="2" t="inlineStr">
        <is>
          <t>2026-03-16</t>
        </is>
      </c>
      <c r="B4052" s="3" t="inlineStr">
        <is>
          <t>케이티</t>
        </is>
      </c>
      <c r="C4052" s="2" t="inlineStr">
        <is>
          <t>코스피</t>
        </is>
      </c>
      <c r="D4052" s="2" t="inlineStr">
        <is>
          <t>030200</t>
        </is>
      </c>
      <c r="E4052" s="3" t="inlineStr">
        <is>
          <t>[기재정정]주주총회소집공고</t>
        </is>
      </c>
      <c r="F4052" s="3" t="inlineStr">
        <is>
          <t>케이티</t>
        </is>
      </c>
      <c r="G4052" s="2" t="inlineStr">
        <is>
          <t>20260316001040</t>
        </is>
      </c>
      <c r="H4052" s="8">
        <f>HYPERLINK("https://dart.fss.or.kr/dsaf001/main.do?rcpNo=20260316001040", "공시열람")</f>
        <v/>
      </c>
    </row>
    <row r="4053">
      <c r="A4053" s="2" t="inlineStr">
        <is>
          <t>2026-03-16</t>
        </is>
      </c>
      <c r="B4053" s="3" t="inlineStr">
        <is>
          <t>엣지파운드리</t>
        </is>
      </c>
      <c r="C4053" s="2" t="inlineStr">
        <is>
          <t>코스닥</t>
        </is>
      </c>
      <c r="D4053" s="2" t="inlineStr">
        <is>
          <t>105550</t>
        </is>
      </c>
      <c r="E4053" s="3" t="inlineStr">
        <is>
          <t>주주총회소집공고</t>
        </is>
      </c>
      <c r="F4053" s="3" t="inlineStr">
        <is>
          <t>엣지파운드리</t>
        </is>
      </c>
      <c r="G4053" s="2" t="inlineStr">
        <is>
          <t>20260316001037</t>
        </is>
      </c>
      <c r="H4053" s="8">
        <f>HYPERLINK("https://dart.fss.or.kr/dsaf001/main.do?rcpNo=20260316001037", "공시열람")</f>
        <v/>
      </c>
    </row>
    <row r="4054">
      <c r="A4054" s="2" t="inlineStr">
        <is>
          <t>2026-03-16</t>
        </is>
      </c>
      <c r="B4054" s="3" t="inlineStr">
        <is>
          <t>덕우전자</t>
        </is>
      </c>
      <c r="C4054" s="2" t="inlineStr">
        <is>
          <t>코스닥</t>
        </is>
      </c>
      <c r="D4054" s="2" t="inlineStr">
        <is>
          <t>263600</t>
        </is>
      </c>
      <c r="E4054" s="3" t="inlineStr">
        <is>
          <t>주주총회소집공고</t>
        </is>
      </c>
      <c r="F4054" s="3" t="inlineStr">
        <is>
          <t>덕우전자</t>
        </is>
      </c>
      <c r="G4054" s="2" t="inlineStr">
        <is>
          <t>20260316001027</t>
        </is>
      </c>
      <c r="H4054" s="8">
        <f>HYPERLINK("https://dart.fss.or.kr/dsaf001/main.do?rcpNo=20260316001027", "공시열람")</f>
        <v/>
      </c>
    </row>
    <row r="4055">
      <c r="A4055" s="2" t="inlineStr">
        <is>
          <t>2026-03-16</t>
        </is>
      </c>
      <c r="B4055" s="3" t="inlineStr">
        <is>
          <t>이삭엔지니어링</t>
        </is>
      </c>
      <c r="C4055" s="2" t="inlineStr">
        <is>
          <t>코스닥</t>
        </is>
      </c>
      <c r="D4055" s="2" t="inlineStr">
        <is>
          <t>351330</t>
        </is>
      </c>
      <c r="E4055" s="3" t="inlineStr">
        <is>
          <t>주주총회소집공고</t>
        </is>
      </c>
      <c r="F4055" s="3" t="inlineStr">
        <is>
          <t>이삭엔지니어링</t>
        </is>
      </c>
      <c r="G4055" s="2" t="inlineStr">
        <is>
          <t>20260316001025</t>
        </is>
      </c>
      <c r="H4055" s="8">
        <f>HYPERLINK("https://dart.fss.or.kr/dsaf001/main.do?rcpNo=20260316001025", "공시열람")</f>
        <v/>
      </c>
    </row>
    <row r="4056">
      <c r="A4056" s="2" t="inlineStr">
        <is>
          <t>2026-03-16</t>
        </is>
      </c>
      <c r="B4056" s="3" t="inlineStr">
        <is>
          <t>인지컨트롤스</t>
        </is>
      </c>
      <c r="C4056" s="2" t="inlineStr">
        <is>
          <t>코스피</t>
        </is>
      </c>
      <c r="D4056" s="2" t="inlineStr">
        <is>
          <t>023800</t>
        </is>
      </c>
      <c r="E4056" s="3" t="inlineStr">
        <is>
          <t>주주총회소집공고</t>
        </is>
      </c>
      <c r="F4056" s="3" t="inlineStr">
        <is>
          <t>인지컨트롤스</t>
        </is>
      </c>
      <c r="G4056" s="2" t="inlineStr">
        <is>
          <t>20260316001021</t>
        </is>
      </c>
      <c r="H4056" s="8">
        <f>HYPERLINK("https://dart.fss.or.kr/dsaf001/main.do?rcpNo=20260316001021", "공시열람")</f>
        <v/>
      </c>
    </row>
    <row r="4057">
      <c r="A4057" s="2" t="inlineStr">
        <is>
          <t>2026-03-16</t>
        </is>
      </c>
      <c r="B4057" s="3" t="inlineStr">
        <is>
          <t>비비안</t>
        </is>
      </c>
      <c r="C4057" s="2" t="inlineStr">
        <is>
          <t>코스피</t>
        </is>
      </c>
      <c r="D4057" s="2" t="inlineStr">
        <is>
          <t>002070</t>
        </is>
      </c>
      <c r="E4057" s="3" t="inlineStr">
        <is>
          <t>주주총회소집공고</t>
        </is>
      </c>
      <c r="F4057" s="3" t="inlineStr">
        <is>
          <t>비비안</t>
        </is>
      </c>
      <c r="G4057" s="2" t="inlineStr">
        <is>
          <t>20260316001019</t>
        </is>
      </c>
      <c r="H4057" s="8">
        <f>HYPERLINK("https://dart.fss.or.kr/dsaf001/main.do?rcpNo=20260316001019", "공시열람")</f>
        <v/>
      </c>
    </row>
    <row r="4058">
      <c r="A4058" s="2" t="inlineStr">
        <is>
          <t>2026-03-16</t>
        </is>
      </c>
      <c r="B4058" s="3" t="inlineStr">
        <is>
          <t>STX엔진</t>
        </is>
      </c>
      <c r="C4058" s="2" t="inlineStr">
        <is>
          <t>코스피</t>
        </is>
      </c>
      <c r="D4058" s="2" t="inlineStr">
        <is>
          <t>077970</t>
        </is>
      </c>
      <c r="E4058" s="3" t="inlineStr">
        <is>
          <t>주주총회소집공고</t>
        </is>
      </c>
      <c r="F4058" s="3" t="inlineStr">
        <is>
          <t>STX엔진</t>
        </is>
      </c>
      <c r="G4058" s="2" t="inlineStr">
        <is>
          <t>20260316001015</t>
        </is>
      </c>
      <c r="H4058" s="8">
        <f>HYPERLINK("https://dart.fss.or.kr/dsaf001/main.do?rcpNo=20260316001015", "공시열람")</f>
        <v/>
      </c>
    </row>
    <row r="4059">
      <c r="A4059" s="2" t="inlineStr">
        <is>
          <t>2026-03-16 (정정: 2026-03-17)</t>
        </is>
      </c>
      <c r="B4059" s="3" t="inlineStr">
        <is>
          <t>유일에너테크</t>
        </is>
      </c>
      <c r="C4059" s="2" t="inlineStr">
        <is>
          <t>코스닥</t>
        </is>
      </c>
      <c r="D4059" s="2" t="inlineStr">
        <is>
          <t>340930</t>
        </is>
      </c>
      <c r="E4059" s="3" t="inlineStr">
        <is>
          <t>주주총회소집공고 (정정: 20260317)</t>
        </is>
      </c>
      <c r="F4059" s="3" t="inlineStr">
        <is>
          <t>유일에너테크</t>
        </is>
      </c>
      <c r="G4059" s="2" t="inlineStr">
        <is>
          <t>20260317000547</t>
        </is>
      </c>
      <c r="H4059" s="8">
        <f>HYPERLINK("https://dart.fss.or.kr/dsaf001/main.do?rcpNo=20260317000547", "공시열람")</f>
        <v/>
      </c>
    </row>
    <row r="4060">
      <c r="A4060" s="2" t="inlineStr">
        <is>
          <t>2026-03-16 (정정: 2026-03-31)</t>
        </is>
      </c>
      <c r="B4060" s="3" t="inlineStr">
        <is>
          <t>피씨엘</t>
        </is>
      </c>
      <c r="C4060" s="2" t="inlineStr">
        <is>
          <t>코스닥</t>
        </is>
      </c>
      <c r="D4060" s="2" t="inlineStr">
        <is>
          <t>241820</t>
        </is>
      </c>
      <c r="E4060" s="3" t="inlineStr">
        <is>
          <t>주주총회소집공고 (정정: 20260323) (정정: 20260331)</t>
        </is>
      </c>
      <c r="F4060" s="3" t="inlineStr">
        <is>
          <t>피씨엘</t>
        </is>
      </c>
      <c r="G4060" s="2" t="inlineStr">
        <is>
          <t>20260331004617</t>
        </is>
      </c>
      <c r="H4060" s="8">
        <f>HYPERLINK("https://dart.fss.or.kr/dsaf001/main.do?rcpNo=20260331004617", "공시열람")</f>
        <v/>
      </c>
    </row>
    <row r="4061">
      <c r="A4061" s="2" t="inlineStr">
        <is>
          <t>2026-03-16 (정정: 2026-03-23)</t>
        </is>
      </c>
      <c r="B4061" s="3" t="inlineStr">
        <is>
          <t>티케이케미칼</t>
        </is>
      </c>
      <c r="C4061" s="2" t="inlineStr">
        <is>
          <t>코스닥</t>
        </is>
      </c>
      <c r="D4061" s="2" t="inlineStr">
        <is>
          <t>104480</t>
        </is>
      </c>
      <c r="E4061" s="3" t="inlineStr">
        <is>
          <t>주주총회소집공고 (정정: 20260323)</t>
        </is>
      </c>
      <c r="F4061" s="3" t="inlineStr">
        <is>
          <t>티케이케미칼</t>
        </is>
      </c>
      <c r="G4061" s="2" t="inlineStr">
        <is>
          <t>20260323001467</t>
        </is>
      </c>
      <c r="H4061" s="8">
        <f>HYPERLINK("https://dart.fss.or.kr/dsaf001/main.do?rcpNo=20260323001467", "공시열람")</f>
        <v/>
      </c>
    </row>
    <row r="4062">
      <c r="A4062" s="2" t="inlineStr">
        <is>
          <t>2026-03-16</t>
        </is>
      </c>
      <c r="B4062" s="3" t="inlineStr">
        <is>
          <t>체시스</t>
        </is>
      </c>
      <c r="C4062" s="2" t="inlineStr">
        <is>
          <t>코스피</t>
        </is>
      </c>
      <c r="D4062" s="2" t="inlineStr">
        <is>
          <t>033250</t>
        </is>
      </c>
      <c r="E4062" s="3" t="inlineStr">
        <is>
          <t>주주총회소집공고</t>
        </is>
      </c>
      <c r="F4062" s="3" t="inlineStr">
        <is>
          <t>체시스</t>
        </is>
      </c>
      <c r="G4062" s="2" t="inlineStr">
        <is>
          <t>20260316001004</t>
        </is>
      </c>
      <c r="H4062" s="8">
        <f>HYPERLINK("https://dart.fss.or.kr/dsaf001/main.do?rcpNo=20260316001004", "공시열람")</f>
        <v/>
      </c>
    </row>
    <row r="4063">
      <c r="A4063" s="2" t="inlineStr">
        <is>
          <t>2026-03-16</t>
        </is>
      </c>
      <c r="B4063" s="3" t="inlineStr">
        <is>
          <t>두산</t>
        </is>
      </c>
      <c r="C4063" s="2" t="inlineStr">
        <is>
          <t>코스피</t>
        </is>
      </c>
      <c r="D4063" s="2" t="inlineStr">
        <is>
          <t>000150</t>
        </is>
      </c>
      <c r="E4063" s="3" t="inlineStr">
        <is>
          <t>주주총회소집공고</t>
        </is>
      </c>
      <c r="F4063" s="3" t="inlineStr">
        <is>
          <t>두산</t>
        </is>
      </c>
      <c r="G4063" s="2" t="inlineStr">
        <is>
          <t>20260316001003</t>
        </is>
      </c>
      <c r="H4063" s="8">
        <f>HYPERLINK("https://dart.fss.or.kr/dsaf001/main.do?rcpNo=20260316001003", "공시열람")</f>
        <v/>
      </c>
    </row>
    <row r="4064">
      <c r="A4064" s="2" t="inlineStr">
        <is>
          <t>2026-03-16</t>
        </is>
      </c>
      <c r="B4064" s="3" t="inlineStr">
        <is>
          <t>다산솔루에타</t>
        </is>
      </c>
      <c r="C4064" s="2" t="inlineStr">
        <is>
          <t>코스닥</t>
        </is>
      </c>
      <c r="D4064" s="2" t="inlineStr">
        <is>
          <t>154040</t>
        </is>
      </c>
      <c r="E4064" s="3" t="inlineStr">
        <is>
          <t>주주총회소집공고</t>
        </is>
      </c>
      <c r="F4064" s="3" t="inlineStr">
        <is>
          <t>다산솔루에타</t>
        </is>
      </c>
      <c r="G4064" s="2" t="inlineStr">
        <is>
          <t>20260316001000</t>
        </is>
      </c>
      <c r="H4064" s="8">
        <f>HYPERLINK("https://dart.fss.or.kr/dsaf001/main.do?rcpNo=20260316001000", "공시열람")</f>
        <v/>
      </c>
    </row>
    <row r="4065">
      <c r="A4065" s="2" t="inlineStr">
        <is>
          <t>2026-03-16</t>
        </is>
      </c>
      <c r="B4065" s="3" t="inlineStr">
        <is>
          <t>엔케이</t>
        </is>
      </c>
      <c r="C4065" s="2" t="inlineStr">
        <is>
          <t>코스피</t>
        </is>
      </c>
      <c r="D4065" s="2" t="inlineStr">
        <is>
          <t>085310</t>
        </is>
      </c>
      <c r="E4065" s="3" t="inlineStr">
        <is>
          <t>주주총회소집공고</t>
        </is>
      </c>
      <c r="F4065" s="3" t="inlineStr">
        <is>
          <t>엔케이</t>
        </is>
      </c>
      <c r="G4065" s="2" t="inlineStr">
        <is>
          <t>20260316000995</t>
        </is>
      </c>
      <c r="H4065" s="8">
        <f>HYPERLINK("https://dart.fss.or.kr/dsaf001/main.do?rcpNo=20260316000995", "공시열람")</f>
        <v/>
      </c>
    </row>
    <row r="4066">
      <c r="A4066" s="2" t="inlineStr">
        <is>
          <t>2026-03-16</t>
        </is>
      </c>
      <c r="B4066" s="3" t="inlineStr">
        <is>
          <t>삼일씨엔에스</t>
        </is>
      </c>
      <c r="C4066" s="2" t="inlineStr">
        <is>
          <t>코스피</t>
        </is>
      </c>
      <c r="D4066" s="2" t="inlineStr">
        <is>
          <t>004440</t>
        </is>
      </c>
      <c r="E4066" s="3" t="inlineStr">
        <is>
          <t>주주총회소집공고</t>
        </is>
      </c>
      <c r="F4066" s="3" t="inlineStr">
        <is>
          <t>삼일씨엔에스</t>
        </is>
      </c>
      <c r="G4066" s="2" t="inlineStr">
        <is>
          <t>20260316000991</t>
        </is>
      </c>
      <c r="H4066" s="8">
        <f>HYPERLINK("https://dart.fss.or.kr/dsaf001/main.do?rcpNo=20260316000991", "공시열람")</f>
        <v/>
      </c>
    </row>
    <row r="4067">
      <c r="A4067" s="2" t="inlineStr">
        <is>
          <t>2026-03-16</t>
        </is>
      </c>
      <c r="B4067" s="3" t="inlineStr">
        <is>
          <t>와이엠티</t>
        </is>
      </c>
      <c r="C4067" s="2" t="inlineStr">
        <is>
          <t>코스닥</t>
        </is>
      </c>
      <c r="D4067" s="2" t="inlineStr">
        <is>
          <t>251370</t>
        </is>
      </c>
      <c r="E4067" s="3" t="inlineStr">
        <is>
          <t>주주총회소집공고</t>
        </is>
      </c>
      <c r="F4067" s="3" t="inlineStr">
        <is>
          <t>와이엠티</t>
        </is>
      </c>
      <c r="G4067" s="2" t="inlineStr">
        <is>
          <t>20260316000988</t>
        </is>
      </c>
      <c r="H4067" s="8">
        <f>HYPERLINK("https://dart.fss.or.kr/dsaf001/main.do?rcpNo=20260316000988", "공시열람")</f>
        <v/>
      </c>
    </row>
    <row r="4068">
      <c r="A4068" s="2" t="inlineStr">
        <is>
          <t>2026-03-16</t>
        </is>
      </c>
      <c r="B4068" s="3" t="inlineStr">
        <is>
          <t>나노엔텍</t>
        </is>
      </c>
      <c r="C4068" s="2" t="inlineStr">
        <is>
          <t>코스닥</t>
        </is>
      </c>
      <c r="D4068" s="2" t="inlineStr">
        <is>
          <t>039860</t>
        </is>
      </c>
      <c r="E4068" s="3" t="inlineStr">
        <is>
          <t>주주총회소집공고</t>
        </is>
      </c>
      <c r="F4068" s="3" t="inlineStr">
        <is>
          <t>나노엔텍</t>
        </is>
      </c>
      <c r="G4068" s="2" t="inlineStr">
        <is>
          <t>20260316000984</t>
        </is>
      </c>
      <c r="H4068" s="8">
        <f>HYPERLINK("https://dart.fss.or.kr/dsaf001/main.do?rcpNo=20260316000984", "공시열람")</f>
        <v/>
      </c>
    </row>
    <row r="4069">
      <c r="A4069" s="2" t="inlineStr">
        <is>
          <t>2026-03-16</t>
        </is>
      </c>
      <c r="B4069" s="3" t="inlineStr">
        <is>
          <t>이원컴포텍</t>
        </is>
      </c>
      <c r="C4069" s="2" t="inlineStr">
        <is>
          <t>코스닥</t>
        </is>
      </c>
      <c r="D4069" s="2" t="inlineStr">
        <is>
          <t>088290</t>
        </is>
      </c>
      <c r="E4069" s="3" t="inlineStr">
        <is>
          <t>주주총회소집공고</t>
        </is>
      </c>
      <c r="F4069" s="3" t="inlineStr">
        <is>
          <t>이원컴포텍</t>
        </is>
      </c>
      <c r="G4069" s="2" t="inlineStr">
        <is>
          <t>20260316000981</t>
        </is>
      </c>
      <c r="H4069" s="8">
        <f>HYPERLINK("https://dart.fss.or.kr/dsaf001/main.do?rcpNo=20260316000981", "공시열람")</f>
        <v/>
      </c>
    </row>
    <row r="4070">
      <c r="A4070" s="2" t="inlineStr">
        <is>
          <t>2026-03-16</t>
        </is>
      </c>
      <c r="B4070" s="3" t="inlineStr">
        <is>
          <t>금양그린파워</t>
        </is>
      </c>
      <c r="C4070" s="2" t="inlineStr">
        <is>
          <t>코스닥</t>
        </is>
      </c>
      <c r="D4070" s="2" t="inlineStr">
        <is>
          <t>282720</t>
        </is>
      </c>
      <c r="E4070" s="3" t="inlineStr">
        <is>
          <t>주주총회소집공고</t>
        </is>
      </c>
      <c r="F4070" s="3" t="inlineStr">
        <is>
          <t>금양그린파워</t>
        </is>
      </c>
      <c r="G4070" s="2" t="inlineStr">
        <is>
          <t>20260316000968</t>
        </is>
      </c>
      <c r="H4070" s="8">
        <f>HYPERLINK("https://dart.fss.or.kr/dsaf001/main.do?rcpNo=20260316000968", "공시열람")</f>
        <v/>
      </c>
    </row>
    <row r="4071">
      <c r="A4071" s="2" t="inlineStr">
        <is>
          <t>2026-03-16 (정정: 2026-03-18)</t>
        </is>
      </c>
      <c r="B4071" s="3" t="inlineStr">
        <is>
          <t>에이치피오</t>
        </is>
      </c>
      <c r="C4071" s="2" t="inlineStr">
        <is>
          <t>코스닥</t>
        </is>
      </c>
      <c r="D4071" s="2" t="inlineStr">
        <is>
          <t>357230</t>
        </is>
      </c>
      <c r="E4071" s="3" t="inlineStr">
        <is>
          <t>주주총회소집공고 (정정: 20260318)</t>
        </is>
      </c>
      <c r="F4071" s="3" t="inlineStr">
        <is>
          <t>에이치피오</t>
        </is>
      </c>
      <c r="G4071" s="2" t="inlineStr">
        <is>
          <t>20260318000732</t>
        </is>
      </c>
      <c r="H4071" s="8">
        <f>HYPERLINK("https://dart.fss.or.kr/dsaf001/main.do?rcpNo=20260318000732", "공시열람")</f>
        <v/>
      </c>
    </row>
    <row r="4072">
      <c r="A4072" s="2" t="inlineStr">
        <is>
          <t>2026-03-16</t>
        </is>
      </c>
      <c r="B4072" s="3" t="inlineStr">
        <is>
          <t>틸론</t>
        </is>
      </c>
      <c r="C4072" s="2" t="inlineStr">
        <is>
          <t>코넥스</t>
        </is>
      </c>
      <c r="D4072" s="2" t="inlineStr">
        <is>
          <t>217880</t>
        </is>
      </c>
      <c r="E4072" s="3" t="inlineStr">
        <is>
          <t>주주총회소집공고</t>
        </is>
      </c>
      <c r="F4072" s="3" t="inlineStr">
        <is>
          <t>틸론</t>
        </is>
      </c>
      <c r="G4072" s="2" t="inlineStr">
        <is>
          <t>20260316000958</t>
        </is>
      </c>
      <c r="H4072" s="8">
        <f>HYPERLINK("https://dart.fss.or.kr/dsaf001/main.do?rcpNo=20260316000958", "공시열람")</f>
        <v/>
      </c>
    </row>
    <row r="4073">
      <c r="A4073" s="2" t="inlineStr">
        <is>
          <t>2026-03-16</t>
        </is>
      </c>
      <c r="B4073" s="3" t="inlineStr">
        <is>
          <t>씨엔플러스</t>
        </is>
      </c>
      <c r="C4073" s="2" t="inlineStr">
        <is>
          <t>코스닥</t>
        </is>
      </c>
      <c r="D4073" s="2" t="inlineStr">
        <is>
          <t>115530</t>
        </is>
      </c>
      <c r="E4073" s="3" t="inlineStr">
        <is>
          <t>주주총회소집공고</t>
        </is>
      </c>
      <c r="F4073" s="3" t="inlineStr">
        <is>
          <t>씨엔플러스</t>
        </is>
      </c>
      <c r="G4073" s="2" t="inlineStr">
        <is>
          <t>20260316000957</t>
        </is>
      </c>
      <c r="H4073" s="8">
        <f>HYPERLINK("https://dart.fss.or.kr/dsaf001/main.do?rcpNo=20260316000957", "공시열람")</f>
        <v/>
      </c>
    </row>
    <row r="4074">
      <c r="A4074" s="2" t="inlineStr">
        <is>
          <t>2026-03-16</t>
        </is>
      </c>
      <c r="B4074" s="3" t="inlineStr">
        <is>
          <t>마녀공장</t>
        </is>
      </c>
      <c r="C4074" s="2" t="inlineStr">
        <is>
          <t>코스닥</t>
        </is>
      </c>
      <c r="D4074" s="2" t="inlineStr">
        <is>
          <t>439090</t>
        </is>
      </c>
      <c r="E4074" s="3" t="inlineStr">
        <is>
          <t>주주총회소집공고</t>
        </is>
      </c>
      <c r="F4074" s="3" t="inlineStr">
        <is>
          <t>마녀공장</t>
        </is>
      </c>
      <c r="G4074" s="2" t="inlineStr">
        <is>
          <t>20260316000956</t>
        </is>
      </c>
      <c r="H4074" s="8">
        <f>HYPERLINK("https://dart.fss.or.kr/dsaf001/main.do?rcpNo=20260316000956", "공시열람")</f>
        <v/>
      </c>
    </row>
    <row r="4075">
      <c r="A4075" s="2" t="inlineStr">
        <is>
          <t>2026-03-16</t>
        </is>
      </c>
      <c r="B4075" s="3" t="inlineStr">
        <is>
          <t>태광</t>
        </is>
      </c>
      <c r="C4075" s="2" t="inlineStr">
        <is>
          <t>코스닥</t>
        </is>
      </c>
      <c r="D4075" s="2" t="inlineStr">
        <is>
          <t>023160</t>
        </is>
      </c>
      <c r="E4075" s="3" t="inlineStr">
        <is>
          <t>[기재정정]주주총회소집공고</t>
        </is>
      </c>
      <c r="F4075" s="3" t="inlineStr">
        <is>
          <t>태광</t>
        </is>
      </c>
      <c r="G4075" s="2" t="inlineStr">
        <is>
          <t>20260316000952</t>
        </is>
      </c>
      <c r="H4075" s="8">
        <f>HYPERLINK("https://dart.fss.or.kr/dsaf001/main.do?rcpNo=20260316000952", "공시열람")</f>
        <v/>
      </c>
    </row>
    <row r="4076">
      <c r="A4076" s="2" t="inlineStr">
        <is>
          <t>2026-03-16 (정정: 2026-03-23)</t>
        </is>
      </c>
      <c r="B4076" s="3" t="inlineStr">
        <is>
          <t>티에이치엔</t>
        </is>
      </c>
      <c r="C4076" s="2" t="inlineStr">
        <is>
          <t>코스피</t>
        </is>
      </c>
      <c r="D4076" s="2" t="inlineStr">
        <is>
          <t>019180</t>
        </is>
      </c>
      <c r="E4076" s="3" t="inlineStr">
        <is>
          <t>주주총회소집공고 (정정: 20260323)</t>
        </is>
      </c>
      <c r="F4076" s="3" t="inlineStr">
        <is>
          <t>티에이치엔</t>
        </is>
      </c>
      <c r="G4076" s="2" t="inlineStr">
        <is>
          <t>20260323001142</t>
        </is>
      </c>
      <c r="H4076" s="8">
        <f>HYPERLINK("https://dart.fss.or.kr/dsaf001/main.do?rcpNo=20260323001142", "공시열람")</f>
        <v/>
      </c>
    </row>
    <row r="4077">
      <c r="A4077" s="2" t="inlineStr">
        <is>
          <t>2026-03-16</t>
        </is>
      </c>
      <c r="B4077" s="3" t="inlineStr">
        <is>
          <t>알지노믹스</t>
        </is>
      </c>
      <c r="C4077" s="2" t="inlineStr">
        <is>
          <t>코스닥</t>
        </is>
      </c>
      <c r="D4077" s="2" t="inlineStr">
        <is>
          <t>476830</t>
        </is>
      </c>
      <c r="E4077" s="3" t="inlineStr">
        <is>
          <t>주주총회소집공고</t>
        </is>
      </c>
      <c r="F4077" s="3" t="inlineStr">
        <is>
          <t>알지노믹스</t>
        </is>
      </c>
      <c r="G4077" s="2" t="inlineStr">
        <is>
          <t>20260316000950</t>
        </is>
      </c>
      <c r="H4077" s="8">
        <f>HYPERLINK("https://dart.fss.or.kr/dsaf001/main.do?rcpNo=20260316000950", "공시열람")</f>
        <v/>
      </c>
    </row>
    <row r="4078">
      <c r="A4078" s="2" t="inlineStr">
        <is>
          <t>2026-03-16</t>
        </is>
      </c>
      <c r="B4078" s="3" t="inlineStr">
        <is>
          <t>제이알글로벌리츠</t>
        </is>
      </c>
      <c r="C4078" s="2" t="inlineStr">
        <is>
          <t>코스피</t>
        </is>
      </c>
      <c r="D4078" s="2" t="inlineStr">
        <is>
          <t>348950</t>
        </is>
      </c>
      <c r="E4078" s="3" t="inlineStr">
        <is>
          <t>주주총회소집공고</t>
        </is>
      </c>
      <c r="F4078" s="3" t="inlineStr">
        <is>
          <t>제이알글로벌리츠</t>
        </is>
      </c>
      <c r="G4078" s="2" t="inlineStr">
        <is>
          <t>20260316000949</t>
        </is>
      </c>
      <c r="H4078" s="8">
        <f>HYPERLINK("https://dart.fss.or.kr/dsaf001/main.do?rcpNo=20260316000949", "공시열람")</f>
        <v/>
      </c>
    </row>
    <row r="4079">
      <c r="A4079" s="2" t="inlineStr">
        <is>
          <t>2026-03-16</t>
        </is>
      </c>
      <c r="B4079" s="3" t="inlineStr">
        <is>
          <t>대신증권</t>
        </is>
      </c>
      <c r="C4079" s="2" t="inlineStr">
        <is>
          <t>코스피</t>
        </is>
      </c>
      <c r="D4079" s="2" t="inlineStr">
        <is>
          <t>003540</t>
        </is>
      </c>
      <c r="E4079" s="3" t="inlineStr">
        <is>
          <t>[기재정정]주주총회소집공고</t>
        </is>
      </c>
      <c r="F4079" s="3" t="inlineStr">
        <is>
          <t>대신증권</t>
        </is>
      </c>
      <c r="G4079" s="2" t="inlineStr">
        <is>
          <t>20260316000946</t>
        </is>
      </c>
      <c r="H4079" s="8">
        <f>HYPERLINK("https://dart.fss.or.kr/dsaf001/main.do?rcpNo=20260316000946", "공시열람")</f>
        <v/>
      </c>
    </row>
    <row r="4080">
      <c r="A4080" s="2" t="inlineStr">
        <is>
          <t>2026-03-16</t>
        </is>
      </c>
      <c r="B4080" s="3" t="inlineStr">
        <is>
          <t>세진중공업</t>
        </is>
      </c>
      <c r="C4080" s="2" t="inlineStr">
        <is>
          <t>코스피</t>
        </is>
      </c>
      <c r="D4080" s="2" t="inlineStr">
        <is>
          <t>075580</t>
        </is>
      </c>
      <c r="E4080" s="3" t="inlineStr">
        <is>
          <t>주주총회소집공고</t>
        </is>
      </c>
      <c r="F4080" s="3" t="inlineStr">
        <is>
          <t>세진중공업</t>
        </is>
      </c>
      <c r="G4080" s="2" t="inlineStr">
        <is>
          <t>20260316000936</t>
        </is>
      </c>
      <c r="H4080" s="8">
        <f>HYPERLINK("https://dart.fss.or.kr/dsaf001/main.do?rcpNo=20260316000936", "공시열람")</f>
        <v/>
      </c>
    </row>
    <row r="4081">
      <c r="A4081" s="2" t="inlineStr">
        <is>
          <t>2026-03-16</t>
        </is>
      </c>
      <c r="B4081" s="3" t="inlineStr">
        <is>
          <t>플레이위드</t>
        </is>
      </c>
      <c r="C4081" s="2" t="inlineStr">
        <is>
          <t>코스닥</t>
        </is>
      </c>
      <c r="D4081" s="2" t="inlineStr">
        <is>
          <t>023770</t>
        </is>
      </c>
      <c r="E4081" s="3" t="inlineStr">
        <is>
          <t>[기재정정]주주총회소집공고</t>
        </is>
      </c>
      <c r="F4081" s="3" t="inlineStr">
        <is>
          <t>플레이위드</t>
        </is>
      </c>
      <c r="G4081" s="2" t="inlineStr">
        <is>
          <t>20260316000935</t>
        </is>
      </c>
      <c r="H4081" s="8">
        <f>HYPERLINK("https://dart.fss.or.kr/dsaf001/main.do?rcpNo=20260316000935", "공시열람")</f>
        <v/>
      </c>
    </row>
    <row r="4082">
      <c r="A4082" s="2" t="inlineStr">
        <is>
          <t>2026-03-16 (정정: 2026-03-19)</t>
        </is>
      </c>
      <c r="B4082" s="3" t="inlineStr">
        <is>
          <t>이상네트웍스</t>
        </is>
      </c>
      <c r="C4082" s="2" t="inlineStr">
        <is>
          <t>코스닥</t>
        </is>
      </c>
      <c r="D4082" s="2" t="inlineStr">
        <is>
          <t>080010</t>
        </is>
      </c>
      <c r="E4082" s="3" t="inlineStr">
        <is>
          <t>주주총회소집공고 (정정: 20260319)</t>
        </is>
      </c>
      <c r="F4082" s="3" t="inlineStr">
        <is>
          <t>이상네트웍스</t>
        </is>
      </c>
      <c r="G4082" s="2" t="inlineStr">
        <is>
          <t>20260319001308</t>
        </is>
      </c>
      <c r="H4082" s="8">
        <f>HYPERLINK("https://dart.fss.or.kr/dsaf001/main.do?rcpNo=20260319001308", "공시열람")</f>
        <v/>
      </c>
    </row>
    <row r="4083">
      <c r="A4083" s="2" t="inlineStr">
        <is>
          <t>2026-03-16 (정정: 2026-06-22)</t>
        </is>
      </c>
      <c r="B4083" s="3" t="inlineStr">
        <is>
          <t>리브스메드</t>
        </is>
      </c>
      <c r="C4083" s="2" t="inlineStr">
        <is>
          <t>코스닥</t>
        </is>
      </c>
      <c r="D4083" s="2" t="inlineStr">
        <is>
          <t>491000</t>
        </is>
      </c>
      <c r="E4083" s="3" t="inlineStr">
        <is>
          <t>주주총회소집공고 (정정: 20260622)</t>
        </is>
      </c>
      <c r="F4083" s="3" t="inlineStr">
        <is>
          <t>리브스메드</t>
        </is>
      </c>
      <c r="G4083" s="2" t="inlineStr">
        <is>
          <t>20260622000139</t>
        </is>
      </c>
      <c r="H4083" s="8">
        <f>HYPERLINK("https://dart.fss.or.kr/dsaf001/main.do?rcpNo=20260622000139", "공시열람")</f>
        <v/>
      </c>
    </row>
    <row r="4084">
      <c r="A4084" s="2" t="inlineStr">
        <is>
          <t>2026-03-16</t>
        </is>
      </c>
      <c r="B4084" s="3" t="inlineStr">
        <is>
          <t>DH오토넥스</t>
        </is>
      </c>
      <c r="C4084" s="2" t="inlineStr">
        <is>
          <t>코스피</t>
        </is>
      </c>
      <c r="D4084" s="2" t="inlineStr">
        <is>
          <t>000300</t>
        </is>
      </c>
      <c r="E4084" s="3" t="inlineStr">
        <is>
          <t>[기재정정]주주총회소집공고</t>
        </is>
      </c>
      <c r="F4084" s="3" t="inlineStr">
        <is>
          <t>DH오토넥스</t>
        </is>
      </c>
      <c r="G4084" s="2" t="inlineStr">
        <is>
          <t>20260316000925</t>
        </is>
      </c>
      <c r="H4084" s="8">
        <f>HYPERLINK("https://dart.fss.or.kr/dsaf001/main.do?rcpNo=20260316000925", "공시열람")</f>
        <v/>
      </c>
    </row>
    <row r="4085">
      <c r="A4085" s="2" t="inlineStr">
        <is>
          <t>2026-03-16</t>
        </is>
      </c>
      <c r="B4085" s="3" t="inlineStr">
        <is>
          <t>지슨</t>
        </is>
      </c>
      <c r="C4085" s="2" t="inlineStr">
        <is>
          <t>코스닥</t>
        </is>
      </c>
      <c r="D4085" s="2" t="inlineStr">
        <is>
          <t>446840</t>
        </is>
      </c>
      <c r="E4085" s="3" t="inlineStr">
        <is>
          <t>[기재정정]주주총회소집공고</t>
        </is>
      </c>
      <c r="F4085" s="3" t="inlineStr">
        <is>
          <t>지슨</t>
        </is>
      </c>
      <c r="G4085" s="2" t="inlineStr">
        <is>
          <t>20260316000922</t>
        </is>
      </c>
      <c r="H4085" s="8">
        <f>HYPERLINK("https://dart.fss.or.kr/dsaf001/main.do?rcpNo=20260316000922", "공시열람")</f>
        <v/>
      </c>
    </row>
    <row r="4086">
      <c r="A4086" s="2" t="inlineStr">
        <is>
          <t>2026-03-16</t>
        </is>
      </c>
      <c r="B4086" s="3" t="inlineStr">
        <is>
          <t>넥사다이내믹스</t>
        </is>
      </c>
      <c r="C4086" s="2" t="inlineStr">
        <is>
          <t>코스닥</t>
        </is>
      </c>
      <c r="D4086" s="2" t="inlineStr">
        <is>
          <t>351320</t>
        </is>
      </c>
      <c r="E4086" s="3" t="inlineStr">
        <is>
          <t>주주총회소집공고</t>
        </is>
      </c>
      <c r="F4086" s="3" t="inlineStr">
        <is>
          <t>넥사다이내믹스</t>
        </is>
      </c>
      <c r="G4086" s="2" t="inlineStr">
        <is>
          <t>20260316000920</t>
        </is>
      </c>
      <c r="H4086" s="8">
        <f>HYPERLINK("https://dart.fss.or.kr/dsaf001/main.do?rcpNo=20260316000920", "공시열람")</f>
        <v/>
      </c>
    </row>
    <row r="4087">
      <c r="A4087" s="2" t="inlineStr">
        <is>
          <t>2026-03-16</t>
        </is>
      </c>
      <c r="B4087" s="3" t="inlineStr">
        <is>
          <t>강원에너지</t>
        </is>
      </c>
      <c r="C4087" s="2" t="inlineStr">
        <is>
          <t>코스닥</t>
        </is>
      </c>
      <c r="D4087" s="2" t="inlineStr">
        <is>
          <t>114190</t>
        </is>
      </c>
      <c r="E4087" s="3" t="inlineStr">
        <is>
          <t>주주총회소집공고</t>
        </is>
      </c>
      <c r="F4087" s="3" t="inlineStr">
        <is>
          <t>강원에너지</t>
        </is>
      </c>
      <c r="G4087" s="2" t="inlineStr">
        <is>
          <t>20260316000917</t>
        </is>
      </c>
      <c r="H4087" s="8">
        <f>HYPERLINK("https://dart.fss.or.kr/dsaf001/main.do?rcpNo=20260316000917", "공시열람")</f>
        <v/>
      </c>
    </row>
    <row r="4088">
      <c r="A4088" s="2" t="inlineStr">
        <is>
          <t>2026-03-16</t>
        </is>
      </c>
      <c r="B4088" s="3" t="inlineStr">
        <is>
          <t>메쎄이상</t>
        </is>
      </c>
      <c r="C4088" s="2" t="inlineStr">
        <is>
          <t>코스닥</t>
        </is>
      </c>
      <c r="D4088" s="2" t="inlineStr">
        <is>
          <t>408920</t>
        </is>
      </c>
      <c r="E4088" s="3" t="inlineStr">
        <is>
          <t>주주총회소집공고</t>
        </is>
      </c>
      <c r="F4088" s="3" t="inlineStr">
        <is>
          <t>메쎄이상</t>
        </is>
      </c>
      <c r="G4088" s="2" t="inlineStr">
        <is>
          <t>20260316000915</t>
        </is>
      </c>
      <c r="H4088" s="8">
        <f>HYPERLINK("https://dart.fss.or.kr/dsaf001/main.do?rcpNo=20260316000915", "공시열람")</f>
        <v/>
      </c>
    </row>
    <row r="4089">
      <c r="A4089" s="2" t="inlineStr">
        <is>
          <t>2026-03-16 (정정: 2026-06-10)</t>
        </is>
      </c>
      <c r="B4089" s="3" t="inlineStr">
        <is>
          <t>한울소재과학</t>
        </is>
      </c>
      <c r="C4089" s="2" t="inlineStr">
        <is>
          <t>코스닥</t>
        </is>
      </c>
      <c r="D4089" s="2" t="inlineStr">
        <is>
          <t>091440</t>
        </is>
      </c>
      <c r="E4089" s="3" t="inlineStr">
        <is>
          <t>주주총회소집공고 (정정: 20260521) (정정: 20260528) (정정: 20260610)</t>
        </is>
      </c>
      <c r="F4089" s="3" t="inlineStr">
        <is>
          <t>한울소재과학</t>
        </is>
      </c>
      <c r="G4089" s="2" t="inlineStr">
        <is>
          <t>20260610000666</t>
        </is>
      </c>
      <c r="H4089" s="8">
        <f>HYPERLINK("https://dart.fss.or.kr/dsaf001/main.do?rcpNo=20260610000666", "공시열람")</f>
        <v/>
      </c>
    </row>
    <row r="4090">
      <c r="A4090" s="2" t="inlineStr">
        <is>
          <t>2026-03-16 (정정: 2026-05-26)</t>
        </is>
      </c>
      <c r="B4090" s="3" t="inlineStr">
        <is>
          <t>애니플러스</t>
        </is>
      </c>
      <c r="C4090" s="2" t="inlineStr">
        <is>
          <t>코스닥</t>
        </is>
      </c>
      <c r="D4090" s="2" t="inlineStr">
        <is>
          <t>310200</t>
        </is>
      </c>
      <c r="E4090" s="3" t="inlineStr">
        <is>
          <t>주주총회소집공고 (정정: 20260526)</t>
        </is>
      </c>
      <c r="F4090" s="3" t="inlineStr">
        <is>
          <t>애니플러스</t>
        </is>
      </c>
      <c r="G4090" s="2" t="inlineStr">
        <is>
          <t>20260526000486</t>
        </is>
      </c>
      <c r="H4090" s="8">
        <f>HYPERLINK("https://dart.fss.or.kr/dsaf001/main.do?rcpNo=20260526000486", "공시열람")</f>
        <v/>
      </c>
    </row>
    <row r="4091">
      <c r="A4091" s="2" t="inlineStr">
        <is>
          <t>2026-03-16</t>
        </is>
      </c>
      <c r="B4091" s="3" t="inlineStr">
        <is>
          <t>아시아경제</t>
        </is>
      </c>
      <c r="C4091" s="2" t="inlineStr">
        <is>
          <t>코스닥</t>
        </is>
      </c>
      <c r="D4091" s="2" t="inlineStr">
        <is>
          <t>127710</t>
        </is>
      </c>
      <c r="E4091" s="3" t="inlineStr">
        <is>
          <t>주주총회소집공고</t>
        </is>
      </c>
      <c r="F4091" s="3" t="inlineStr">
        <is>
          <t>아시아경제</t>
        </is>
      </c>
      <c r="G4091" s="2" t="inlineStr">
        <is>
          <t>20260316000904</t>
        </is>
      </c>
      <c r="H4091" s="8">
        <f>HYPERLINK("https://dart.fss.or.kr/dsaf001/main.do?rcpNo=20260316000904", "공시열람")</f>
        <v/>
      </c>
    </row>
    <row r="4092">
      <c r="A4092" s="2" t="inlineStr">
        <is>
          <t>2026-03-16</t>
        </is>
      </c>
      <c r="B4092" s="3" t="inlineStr">
        <is>
          <t>알비더블유</t>
        </is>
      </c>
      <c r="C4092" s="2" t="inlineStr">
        <is>
          <t>코스닥</t>
        </is>
      </c>
      <c r="D4092" s="2" t="inlineStr">
        <is>
          <t>361570</t>
        </is>
      </c>
      <c r="E4092" s="3" t="inlineStr">
        <is>
          <t>주주총회소집공고</t>
        </is>
      </c>
      <c r="F4092" s="3" t="inlineStr">
        <is>
          <t>알비더블유</t>
        </is>
      </c>
      <c r="G4092" s="2" t="inlineStr">
        <is>
          <t>20260316000903</t>
        </is>
      </c>
      <c r="H4092" s="8">
        <f>HYPERLINK("https://dart.fss.or.kr/dsaf001/main.do?rcpNo=20260316000903", "공시열람")</f>
        <v/>
      </c>
    </row>
    <row r="4093">
      <c r="A4093" s="2" t="inlineStr">
        <is>
          <t>2026-03-16</t>
        </is>
      </c>
      <c r="B4093" s="3" t="inlineStr">
        <is>
          <t>우림피티에스</t>
        </is>
      </c>
      <c r="C4093" s="2" t="inlineStr">
        <is>
          <t>코스닥</t>
        </is>
      </c>
      <c r="D4093" s="2" t="inlineStr">
        <is>
          <t>101170</t>
        </is>
      </c>
      <c r="E4093" s="3" t="inlineStr">
        <is>
          <t>주주총회소집공고</t>
        </is>
      </c>
      <c r="F4093" s="3" t="inlineStr">
        <is>
          <t>우림피티에스</t>
        </is>
      </c>
      <c r="G4093" s="2" t="inlineStr">
        <is>
          <t>20260316000899</t>
        </is>
      </c>
      <c r="H4093" s="8">
        <f>HYPERLINK("https://dart.fss.or.kr/dsaf001/main.do?rcpNo=20260316000899", "공시열람")</f>
        <v/>
      </c>
    </row>
    <row r="4094">
      <c r="A4094" s="2" t="inlineStr">
        <is>
          <t>2026-03-16</t>
        </is>
      </c>
      <c r="B4094" s="3" t="inlineStr">
        <is>
          <t>HLB</t>
        </is>
      </c>
      <c r="C4094" s="2" t="inlineStr">
        <is>
          <t>코스닥</t>
        </is>
      </c>
      <c r="D4094" s="2" t="inlineStr">
        <is>
          <t>028300</t>
        </is>
      </c>
      <c r="E4094" s="3" t="inlineStr">
        <is>
          <t>주주총회소집공고</t>
        </is>
      </c>
      <c r="F4094" s="3" t="inlineStr">
        <is>
          <t>HLB</t>
        </is>
      </c>
      <c r="G4094" s="2" t="inlineStr">
        <is>
          <t>20260316000897</t>
        </is>
      </c>
      <c r="H4094" s="8">
        <f>HYPERLINK("https://dart.fss.or.kr/dsaf001/main.do?rcpNo=20260316000897", "공시열람")</f>
        <v/>
      </c>
    </row>
    <row r="4095">
      <c r="A4095" s="2" t="inlineStr">
        <is>
          <t>2026-03-16</t>
        </is>
      </c>
      <c r="B4095" s="3" t="inlineStr">
        <is>
          <t>아이진</t>
        </is>
      </c>
      <c r="C4095" s="2" t="inlineStr">
        <is>
          <t>코스닥</t>
        </is>
      </c>
      <c r="D4095" s="2" t="inlineStr">
        <is>
          <t>185490</t>
        </is>
      </c>
      <c r="E4095" s="3" t="inlineStr">
        <is>
          <t>주주총회소집공고</t>
        </is>
      </c>
      <c r="F4095" s="3" t="inlineStr">
        <is>
          <t>아이진</t>
        </is>
      </c>
      <c r="G4095" s="2" t="inlineStr">
        <is>
          <t>20260316000895</t>
        </is>
      </c>
      <c r="H4095" s="8">
        <f>HYPERLINK("https://dart.fss.or.kr/dsaf001/main.do?rcpNo=20260316000895", "공시열람")</f>
        <v/>
      </c>
    </row>
    <row r="4096">
      <c r="A4096" s="2" t="inlineStr">
        <is>
          <t>2026-03-16</t>
        </is>
      </c>
      <c r="B4096" s="3" t="inlineStr">
        <is>
          <t>그린플러스</t>
        </is>
      </c>
      <c r="C4096" s="2" t="inlineStr">
        <is>
          <t>코스닥</t>
        </is>
      </c>
      <c r="D4096" s="2" t="inlineStr">
        <is>
          <t>186230</t>
        </is>
      </c>
      <c r="E4096" s="3" t="inlineStr">
        <is>
          <t>주주총회소집공고</t>
        </is>
      </c>
      <c r="F4096" s="3" t="inlineStr">
        <is>
          <t>그린플러스</t>
        </is>
      </c>
      <c r="G4096" s="2" t="inlineStr">
        <is>
          <t>20260316000894</t>
        </is>
      </c>
      <c r="H4096" s="8">
        <f>HYPERLINK("https://dart.fss.or.kr/dsaf001/main.do?rcpNo=20260316000894", "공시열람")</f>
        <v/>
      </c>
    </row>
    <row r="4097">
      <c r="A4097" s="2" t="inlineStr">
        <is>
          <t>2026-03-16 (정정: 2026-03-23)</t>
        </is>
      </c>
      <c r="B4097" s="3" t="inlineStr">
        <is>
          <t>모아데이타</t>
        </is>
      </c>
      <c r="C4097" s="2" t="inlineStr">
        <is>
          <t>코스닥</t>
        </is>
      </c>
      <c r="D4097" s="2" t="inlineStr">
        <is>
          <t>288980</t>
        </is>
      </c>
      <c r="E4097" s="3" t="inlineStr">
        <is>
          <t>주주총회소집공고 (정정: 20260323)</t>
        </is>
      </c>
      <c r="F4097" s="3" t="inlineStr">
        <is>
          <t>모아데이타</t>
        </is>
      </c>
      <c r="G4097" s="2" t="inlineStr">
        <is>
          <t>20260323000116</t>
        </is>
      </c>
      <c r="H4097" s="8">
        <f>HYPERLINK("https://dart.fss.or.kr/dsaf001/main.do?rcpNo=20260323000116", "공시열람")</f>
        <v/>
      </c>
    </row>
    <row r="4098">
      <c r="A4098" s="2" t="inlineStr">
        <is>
          <t>2026-03-16</t>
        </is>
      </c>
      <c r="B4098" s="3" t="inlineStr">
        <is>
          <t>아이씨티케이</t>
        </is>
      </c>
      <c r="C4098" s="2" t="inlineStr">
        <is>
          <t>코스닥</t>
        </is>
      </c>
      <c r="D4098" s="2" t="inlineStr">
        <is>
          <t>456010</t>
        </is>
      </c>
      <c r="E4098" s="3" t="inlineStr">
        <is>
          <t>[기재정정]주주총회소집공고</t>
        </is>
      </c>
      <c r="F4098" s="3" t="inlineStr">
        <is>
          <t>아이씨티케이</t>
        </is>
      </c>
      <c r="G4098" s="2" t="inlineStr">
        <is>
          <t>20260316000890</t>
        </is>
      </c>
      <c r="H4098" s="8">
        <f>HYPERLINK("https://dart.fss.or.kr/dsaf001/main.do?rcpNo=20260316000890", "공시열람")</f>
        <v/>
      </c>
    </row>
    <row r="4099">
      <c r="A4099" s="2" t="inlineStr">
        <is>
          <t>2026-03-16 (정정: 2026-06-01)</t>
        </is>
      </c>
      <c r="B4099" s="3" t="inlineStr">
        <is>
          <t>현대사료</t>
        </is>
      </c>
      <c r="C4099" s="2" t="inlineStr">
        <is>
          <t>코스닥</t>
        </is>
      </c>
      <c r="D4099" s="2" t="inlineStr">
        <is>
          <t>016790</t>
        </is>
      </c>
      <c r="E4099" s="3" t="inlineStr">
        <is>
          <t>주주총회소집공고 (정정: 20260601) (정정: 20260601)</t>
        </is>
      </c>
      <c r="F4099" s="3" t="inlineStr">
        <is>
          <t>현대사료</t>
        </is>
      </c>
      <c r="G4099" s="2" t="inlineStr">
        <is>
          <t>20260601901415</t>
        </is>
      </c>
      <c r="H4099" s="8">
        <f>HYPERLINK("https://dart.fss.or.kr/dsaf001/main.do?rcpNo=20260601901415", "공시열람")</f>
        <v/>
      </c>
    </row>
    <row r="4100">
      <c r="A4100" s="2" t="inlineStr">
        <is>
          <t>2026-03-16</t>
        </is>
      </c>
      <c r="B4100" s="3" t="inlineStr">
        <is>
          <t>신진에스엠</t>
        </is>
      </c>
      <c r="C4100" s="2" t="inlineStr">
        <is>
          <t>코스닥</t>
        </is>
      </c>
      <c r="D4100" s="2" t="inlineStr">
        <is>
          <t>138070</t>
        </is>
      </c>
      <c r="E4100" s="3" t="inlineStr">
        <is>
          <t>주주총회소집공고</t>
        </is>
      </c>
      <c r="F4100" s="3" t="inlineStr">
        <is>
          <t>신진에스엠</t>
        </is>
      </c>
      <c r="G4100" s="2" t="inlineStr">
        <is>
          <t>20260316000885</t>
        </is>
      </c>
      <c r="H4100" s="8">
        <f>HYPERLINK("https://dart.fss.or.kr/dsaf001/main.do?rcpNo=20260316000885", "공시열람")</f>
        <v/>
      </c>
    </row>
    <row r="4101">
      <c r="A4101" s="2" t="inlineStr">
        <is>
          <t>2026-03-16 (정정: 2026-04-01)</t>
        </is>
      </c>
      <c r="B4101" s="3" t="inlineStr">
        <is>
          <t>DH오토리드</t>
        </is>
      </c>
      <c r="C4101" s="2" t="inlineStr">
        <is>
          <t>코스닥</t>
        </is>
      </c>
      <c r="D4101" s="2" t="inlineStr">
        <is>
          <t>290120</t>
        </is>
      </c>
      <c r="E4101" s="3" t="inlineStr">
        <is>
          <t>주주총회소집공고 (정정: 20260318) (정정: 20260401)</t>
        </is>
      </c>
      <c r="F4101" s="3" t="inlineStr">
        <is>
          <t>DH오토리드</t>
        </is>
      </c>
      <c r="G4101" s="2" t="inlineStr">
        <is>
          <t>20260331004982</t>
        </is>
      </c>
      <c r="H4101" s="8">
        <f>HYPERLINK("https://dart.fss.or.kr/dsaf001/main.do?rcpNo=20260331004982", "공시열람")</f>
        <v/>
      </c>
    </row>
    <row r="4102">
      <c r="A4102" s="2" t="inlineStr">
        <is>
          <t>2026-03-16</t>
        </is>
      </c>
      <c r="B4102" s="3" t="inlineStr">
        <is>
          <t>알에스오토메이션</t>
        </is>
      </c>
      <c r="C4102" s="2" t="inlineStr">
        <is>
          <t>코스닥</t>
        </is>
      </c>
      <c r="D4102" s="2" t="inlineStr">
        <is>
          <t>140670</t>
        </is>
      </c>
      <c r="E4102" s="3" t="inlineStr">
        <is>
          <t>[기재정정]주주총회소집공고</t>
        </is>
      </c>
      <c r="F4102" s="3" t="inlineStr">
        <is>
          <t>알에스오토메이션</t>
        </is>
      </c>
      <c r="G4102" s="2" t="inlineStr">
        <is>
          <t>20260316000871</t>
        </is>
      </c>
      <c r="H4102" s="8">
        <f>HYPERLINK("https://dart.fss.or.kr/dsaf001/main.do?rcpNo=20260316000871", "공시열람")</f>
        <v/>
      </c>
    </row>
    <row r="4103">
      <c r="A4103" s="2" t="inlineStr">
        <is>
          <t>2026-03-16</t>
        </is>
      </c>
      <c r="B4103" s="3" t="inlineStr">
        <is>
          <t>SUN&amp;L</t>
        </is>
      </c>
      <c r="C4103" s="2" t="inlineStr">
        <is>
          <t>코스피</t>
        </is>
      </c>
      <c r="D4103" s="2" t="inlineStr">
        <is>
          <t>002820</t>
        </is>
      </c>
      <c r="E4103" s="3" t="inlineStr">
        <is>
          <t>주주총회소집공고</t>
        </is>
      </c>
      <c r="F4103" s="3" t="inlineStr">
        <is>
          <t>SUN&amp;L</t>
        </is>
      </c>
      <c r="G4103" s="2" t="inlineStr">
        <is>
          <t>20260316000869</t>
        </is>
      </c>
      <c r="H4103" s="8">
        <f>HYPERLINK("https://dart.fss.or.kr/dsaf001/main.do?rcpNo=20260316000869", "공시열람")</f>
        <v/>
      </c>
    </row>
    <row r="4104">
      <c r="A4104" s="2" t="inlineStr">
        <is>
          <t>2026-03-16</t>
        </is>
      </c>
      <c r="B4104" s="3" t="inlineStr">
        <is>
          <t>휴젤</t>
        </is>
      </c>
      <c r="C4104" s="2" t="inlineStr">
        <is>
          <t>코스닥</t>
        </is>
      </c>
      <c r="D4104" s="2" t="inlineStr">
        <is>
          <t>145020</t>
        </is>
      </c>
      <c r="E4104" s="3" t="inlineStr">
        <is>
          <t>주주총회소집공고</t>
        </is>
      </c>
      <c r="F4104" s="3" t="inlineStr">
        <is>
          <t>휴젤</t>
        </is>
      </c>
      <c r="G4104" s="2" t="inlineStr">
        <is>
          <t>20260316000868</t>
        </is>
      </c>
      <c r="H4104" s="8">
        <f>HYPERLINK("https://dart.fss.or.kr/dsaf001/main.do?rcpNo=20260316000868", "공시열람")</f>
        <v/>
      </c>
    </row>
    <row r="4105">
      <c r="A4105" s="2" t="inlineStr">
        <is>
          <t>2026-03-16</t>
        </is>
      </c>
      <c r="B4105" s="3" t="inlineStr">
        <is>
          <t>글로벌텍스프리</t>
        </is>
      </c>
      <c r="C4105" s="2" t="inlineStr">
        <is>
          <t>코스닥</t>
        </is>
      </c>
      <c r="D4105" s="2" t="inlineStr">
        <is>
          <t>204620</t>
        </is>
      </c>
      <c r="E4105" s="3" t="inlineStr">
        <is>
          <t>주주총회소집공고</t>
        </is>
      </c>
      <c r="F4105" s="3" t="inlineStr">
        <is>
          <t>글로벌텍스프리</t>
        </is>
      </c>
      <c r="G4105" s="2" t="inlineStr">
        <is>
          <t>20260316000867</t>
        </is>
      </c>
      <c r="H4105" s="8">
        <f>HYPERLINK("https://dart.fss.or.kr/dsaf001/main.do?rcpNo=20260316000867", "공시열람")</f>
        <v/>
      </c>
    </row>
    <row r="4106">
      <c r="A4106" s="2" t="inlineStr">
        <is>
          <t>2026-03-16</t>
        </is>
      </c>
      <c r="B4106" s="3" t="inlineStr">
        <is>
          <t>스타플렉스</t>
        </is>
      </c>
      <c r="C4106" s="2" t="inlineStr">
        <is>
          <t>코스닥</t>
        </is>
      </c>
      <c r="D4106" s="2" t="inlineStr">
        <is>
          <t>115570</t>
        </is>
      </c>
      <c r="E4106" s="3" t="inlineStr">
        <is>
          <t>주주총회소집공고</t>
        </is>
      </c>
      <c r="F4106" s="3" t="inlineStr">
        <is>
          <t>스타플렉스</t>
        </is>
      </c>
      <c r="G4106" s="2" t="inlineStr">
        <is>
          <t>20260316000866</t>
        </is>
      </c>
      <c r="H4106" s="8">
        <f>HYPERLINK("https://dart.fss.or.kr/dsaf001/main.do?rcpNo=20260316000866", "공시열람")</f>
        <v/>
      </c>
    </row>
    <row r="4107">
      <c r="A4107" s="2" t="inlineStr">
        <is>
          <t>2026-03-16</t>
        </is>
      </c>
      <c r="B4107" s="3" t="inlineStr">
        <is>
          <t>하림지주</t>
        </is>
      </c>
      <c r="C4107" s="2" t="inlineStr">
        <is>
          <t>코스닥</t>
        </is>
      </c>
      <c r="D4107" s="2" t="inlineStr">
        <is>
          <t>003380</t>
        </is>
      </c>
      <c r="E4107" s="3" t="inlineStr">
        <is>
          <t>[기재정정]주주총회소집공고</t>
        </is>
      </c>
      <c r="F4107" s="3" t="inlineStr">
        <is>
          <t>하림지주</t>
        </is>
      </c>
      <c r="G4107" s="2" t="inlineStr">
        <is>
          <t>20260316000863</t>
        </is>
      </c>
      <c r="H4107" s="8">
        <f>HYPERLINK("https://dart.fss.or.kr/dsaf001/main.do?rcpNo=20260316000863", "공시열람")</f>
        <v/>
      </c>
    </row>
    <row r="4108">
      <c r="A4108" s="2" t="inlineStr">
        <is>
          <t>2026-03-16 (정정: 2026-03-25)</t>
        </is>
      </c>
      <c r="B4108" s="3" t="inlineStr">
        <is>
          <t>대성하이텍</t>
        </is>
      </c>
      <c r="C4108" s="2" t="inlineStr">
        <is>
          <t>코스닥</t>
        </is>
      </c>
      <c r="D4108" s="2" t="inlineStr">
        <is>
          <t>129920</t>
        </is>
      </c>
      <c r="E4108" s="3" t="inlineStr">
        <is>
          <t>주주총회소집공고 (정정: 20260325)</t>
        </is>
      </c>
      <c r="F4108" s="3" t="inlineStr">
        <is>
          <t>대성하이텍</t>
        </is>
      </c>
      <c r="G4108" s="2" t="inlineStr">
        <is>
          <t>20260325000907</t>
        </is>
      </c>
      <c r="H4108" s="8">
        <f>HYPERLINK("https://dart.fss.or.kr/dsaf001/main.do?rcpNo=20260325000907", "공시열람")</f>
        <v/>
      </c>
    </row>
    <row r="4109">
      <c r="A4109" s="2" t="inlineStr">
        <is>
          <t>2026-03-16</t>
        </is>
      </c>
      <c r="B4109" s="3" t="inlineStr">
        <is>
          <t>푸드나무</t>
        </is>
      </c>
      <c r="C4109" s="2" t="inlineStr">
        <is>
          <t>코스닥</t>
        </is>
      </c>
      <c r="D4109" s="2" t="inlineStr">
        <is>
          <t>290720</t>
        </is>
      </c>
      <c r="E4109" s="3" t="inlineStr">
        <is>
          <t>주주총회소집공고</t>
        </is>
      </c>
      <c r="F4109" s="3" t="inlineStr">
        <is>
          <t>푸드나무</t>
        </is>
      </c>
      <c r="G4109" s="2" t="inlineStr">
        <is>
          <t>20260316000850</t>
        </is>
      </c>
      <c r="H4109" s="8">
        <f>HYPERLINK("https://dart.fss.or.kr/dsaf001/main.do?rcpNo=20260316000850", "공시열람")</f>
        <v/>
      </c>
    </row>
    <row r="4110">
      <c r="A4110" s="2" t="inlineStr">
        <is>
          <t>2026-03-16</t>
        </is>
      </c>
      <c r="B4110" s="3" t="inlineStr">
        <is>
          <t>평화홀딩스</t>
        </is>
      </c>
      <c r="C4110" s="2" t="inlineStr">
        <is>
          <t>코스피</t>
        </is>
      </c>
      <c r="D4110" s="2" t="inlineStr">
        <is>
          <t>010770</t>
        </is>
      </c>
      <c r="E4110" s="3" t="inlineStr">
        <is>
          <t>[기재정정]주주총회소집공고</t>
        </is>
      </c>
      <c r="F4110" s="3" t="inlineStr">
        <is>
          <t>평화홀딩스</t>
        </is>
      </c>
      <c r="G4110" s="2" t="inlineStr">
        <is>
          <t>20260316000840</t>
        </is>
      </c>
      <c r="H4110" s="8">
        <f>HYPERLINK("https://dart.fss.or.kr/dsaf001/main.do?rcpNo=20260316000840", "공시열람")</f>
        <v/>
      </c>
    </row>
    <row r="4111">
      <c r="A4111" s="2" t="inlineStr">
        <is>
          <t>2026-03-16</t>
        </is>
      </c>
      <c r="B4111" s="3" t="inlineStr">
        <is>
          <t>메디콕스</t>
        </is>
      </c>
      <c r="C4111" s="2" t="inlineStr">
        <is>
          <t>코스닥</t>
        </is>
      </c>
      <c r="D4111" s="2" t="inlineStr">
        <is>
          <t>054180</t>
        </is>
      </c>
      <c r="E4111" s="3" t="inlineStr">
        <is>
          <t>[기재정정]주주총회소집공고</t>
        </is>
      </c>
      <c r="F4111" s="3" t="inlineStr">
        <is>
          <t>메디콕스</t>
        </is>
      </c>
      <c r="G4111" s="2" t="inlineStr">
        <is>
          <t>20260316000838</t>
        </is>
      </c>
      <c r="H4111" s="8">
        <f>HYPERLINK("https://dart.fss.or.kr/dsaf001/main.do?rcpNo=20260316000838", "공시열람")</f>
        <v/>
      </c>
    </row>
    <row r="4112">
      <c r="A4112" s="2" t="inlineStr">
        <is>
          <t>2026-03-16 (정정: 2026-03-17)</t>
        </is>
      </c>
      <c r="B4112" s="3" t="inlineStr">
        <is>
          <t>이오플로우</t>
        </is>
      </c>
      <c r="C4112" s="2" t="inlineStr">
        <is>
          <t>코스닥</t>
        </is>
      </c>
      <c r="D4112" s="2" t="inlineStr">
        <is>
          <t>294090</t>
        </is>
      </c>
      <c r="E4112" s="3" t="inlineStr">
        <is>
          <t>[기재정정]주주총회소집공고 (정정: 20260317)</t>
        </is>
      </c>
      <c r="F4112" s="3" t="inlineStr">
        <is>
          <t>이오플로우</t>
        </is>
      </c>
      <c r="G4112" s="2" t="inlineStr">
        <is>
          <t>20260317000456</t>
        </is>
      </c>
      <c r="H4112" s="8">
        <f>HYPERLINK("https://dart.fss.or.kr/dsaf001/main.do?rcpNo=20260317000456", "공시열람")</f>
        <v/>
      </c>
    </row>
    <row r="4113">
      <c r="A4113" s="2" t="inlineStr">
        <is>
          <t>2026-03-16</t>
        </is>
      </c>
      <c r="B4113" s="3" t="inlineStr">
        <is>
          <t>루켄테크놀러지스</t>
        </is>
      </c>
      <c r="C4113" s="2" t="inlineStr">
        <is>
          <t>코넥스</t>
        </is>
      </c>
      <c r="D4113" s="2" t="inlineStr">
        <is>
          <t>162120</t>
        </is>
      </c>
      <c r="E4113" s="3" t="inlineStr">
        <is>
          <t>주주총회소집공고</t>
        </is>
      </c>
      <c r="F4113" s="3" t="inlineStr">
        <is>
          <t>루켄테크놀러지스</t>
        </is>
      </c>
      <c r="G4113" s="2" t="inlineStr">
        <is>
          <t>20260316000833</t>
        </is>
      </c>
      <c r="H4113" s="8">
        <f>HYPERLINK("https://dart.fss.or.kr/dsaf001/main.do?rcpNo=20260316000833", "공시열람")</f>
        <v/>
      </c>
    </row>
    <row r="4114">
      <c r="A4114" s="2" t="inlineStr">
        <is>
          <t>2026-03-16</t>
        </is>
      </c>
      <c r="B4114" s="3" t="inlineStr">
        <is>
          <t>대한방직</t>
        </is>
      </c>
      <c r="C4114" s="2" t="inlineStr">
        <is>
          <t>코스피</t>
        </is>
      </c>
      <c r="D4114" s="2" t="inlineStr">
        <is>
          <t>001070</t>
        </is>
      </c>
      <c r="E4114" s="3" t="inlineStr">
        <is>
          <t>[기재정정]주주총회소집공고</t>
        </is>
      </c>
      <c r="F4114" s="3" t="inlineStr">
        <is>
          <t>대한방직</t>
        </is>
      </c>
      <c r="G4114" s="2" t="inlineStr">
        <is>
          <t>20260316000831</t>
        </is>
      </c>
      <c r="H4114" s="8">
        <f>HYPERLINK("https://dart.fss.or.kr/dsaf001/main.do?rcpNo=20260316000831", "공시열람")</f>
        <v/>
      </c>
    </row>
    <row r="4115">
      <c r="A4115" s="2" t="inlineStr">
        <is>
          <t>2026-03-16</t>
        </is>
      </c>
      <c r="B4115" s="3" t="inlineStr">
        <is>
          <t>대봉엘에스</t>
        </is>
      </c>
      <c r="C4115" s="2" t="inlineStr">
        <is>
          <t>코스닥</t>
        </is>
      </c>
      <c r="D4115" s="2" t="inlineStr">
        <is>
          <t>078140</t>
        </is>
      </c>
      <c r="E4115" s="3" t="inlineStr">
        <is>
          <t>주주총회소집공고</t>
        </is>
      </c>
      <c r="F4115" s="3" t="inlineStr">
        <is>
          <t>대봉엘에스</t>
        </is>
      </c>
      <c r="G4115" s="2" t="inlineStr">
        <is>
          <t>20260316000830</t>
        </is>
      </c>
      <c r="H4115" s="8">
        <f>HYPERLINK("https://dart.fss.or.kr/dsaf001/main.do?rcpNo=20260316000830", "공시열람")</f>
        <v/>
      </c>
    </row>
    <row r="4116">
      <c r="A4116" s="2" t="inlineStr">
        <is>
          <t>2026-03-16 (정정: 2026-06-12)</t>
        </is>
      </c>
      <c r="B4116" s="3" t="inlineStr">
        <is>
          <t>해성산업</t>
        </is>
      </c>
      <c r="C4116" s="2" t="inlineStr">
        <is>
          <t>코스닥</t>
        </is>
      </c>
      <c r="D4116" s="2" t="inlineStr">
        <is>
          <t>034810</t>
        </is>
      </c>
      <c r="E4116" s="3" t="inlineStr">
        <is>
          <t>주주총회소집공고 (정정: 20260327) (정정: 20260612)</t>
        </is>
      </c>
      <c r="F4116" s="3" t="inlineStr">
        <is>
          <t>해성산업</t>
        </is>
      </c>
      <c r="G4116" s="2" t="inlineStr">
        <is>
          <t>20260612900993</t>
        </is>
      </c>
      <c r="H4116" s="8">
        <f>HYPERLINK("https://dart.fss.or.kr/dsaf001/main.do?rcpNo=20260612900993", "공시열람")</f>
        <v/>
      </c>
    </row>
    <row r="4117">
      <c r="A4117" s="2" t="inlineStr">
        <is>
          <t>2026-03-16</t>
        </is>
      </c>
      <c r="B4117" s="3" t="inlineStr">
        <is>
          <t>대양전기공업</t>
        </is>
      </c>
      <c r="C4117" s="2" t="inlineStr">
        <is>
          <t>코스닥</t>
        </is>
      </c>
      <c r="D4117" s="2" t="inlineStr">
        <is>
          <t>108380</t>
        </is>
      </c>
      <c r="E4117" s="3" t="inlineStr">
        <is>
          <t>주주총회소집공고</t>
        </is>
      </c>
      <c r="F4117" s="3" t="inlineStr">
        <is>
          <t>대양전기공업</t>
        </is>
      </c>
      <c r="G4117" s="2" t="inlineStr">
        <is>
          <t>20260316000821</t>
        </is>
      </c>
      <c r="H4117" s="8">
        <f>HYPERLINK("https://dart.fss.or.kr/dsaf001/main.do?rcpNo=20260316000821", "공시열람")</f>
        <v/>
      </c>
    </row>
    <row r="4118">
      <c r="A4118" s="2" t="inlineStr">
        <is>
          <t>2026-03-16 (정정: 2026-03-17)</t>
        </is>
      </c>
      <c r="B4118" s="3" t="inlineStr">
        <is>
          <t>일진디스플</t>
        </is>
      </c>
      <c r="C4118" s="2" t="inlineStr">
        <is>
          <t>코스피</t>
        </is>
      </c>
      <c r="D4118" s="2" t="inlineStr">
        <is>
          <t>020760</t>
        </is>
      </c>
      <c r="E4118" s="3" t="inlineStr">
        <is>
          <t>주주총회소집공고 (정정: 20260317)</t>
        </is>
      </c>
      <c r="F4118" s="3" t="inlineStr">
        <is>
          <t>일진디스플</t>
        </is>
      </c>
      <c r="G4118" s="2" t="inlineStr">
        <is>
          <t>20260317000498</t>
        </is>
      </c>
      <c r="H4118" s="8">
        <f>HYPERLINK("https://dart.fss.or.kr/dsaf001/main.do?rcpNo=20260317000498", "공시열람")</f>
        <v/>
      </c>
    </row>
    <row r="4119">
      <c r="A4119" s="2" t="inlineStr">
        <is>
          <t>2026-03-16</t>
        </is>
      </c>
      <c r="B4119" s="3" t="inlineStr">
        <is>
          <t>엔케이젠바이오텍코리아</t>
        </is>
      </c>
      <c r="C4119" s="2" t="inlineStr">
        <is>
          <t>코스닥</t>
        </is>
      </c>
      <c r="D4119" s="2" t="inlineStr">
        <is>
          <t>182400</t>
        </is>
      </c>
      <c r="E4119" s="3" t="inlineStr">
        <is>
          <t>주주총회소집공고</t>
        </is>
      </c>
      <c r="F4119" s="3" t="inlineStr">
        <is>
          <t>엔케이젠바이오텍코리아</t>
        </is>
      </c>
      <c r="G4119" s="2" t="inlineStr">
        <is>
          <t>20260316000812</t>
        </is>
      </c>
      <c r="H4119" s="8">
        <f>HYPERLINK("https://dart.fss.or.kr/dsaf001/main.do?rcpNo=20260316000812", "공시열람")</f>
        <v/>
      </c>
    </row>
    <row r="4120">
      <c r="A4120" s="2" t="inlineStr">
        <is>
          <t>2026-03-16</t>
        </is>
      </c>
      <c r="B4120" s="3" t="inlineStr">
        <is>
          <t>이브이첨단소재</t>
        </is>
      </c>
      <c r="C4120" s="2" t="inlineStr">
        <is>
          <t>코스닥</t>
        </is>
      </c>
      <c r="D4120" s="2" t="inlineStr">
        <is>
          <t>131400</t>
        </is>
      </c>
      <c r="E4120" s="3" t="inlineStr">
        <is>
          <t>주주총회소집공고</t>
        </is>
      </c>
      <c r="F4120" s="3" t="inlineStr">
        <is>
          <t>이브이첨단소재</t>
        </is>
      </c>
      <c r="G4120" s="2" t="inlineStr">
        <is>
          <t>20260316000811</t>
        </is>
      </c>
      <c r="H4120" s="8">
        <f>HYPERLINK("https://dart.fss.or.kr/dsaf001/main.do?rcpNo=20260316000811", "공시열람")</f>
        <v/>
      </c>
    </row>
    <row r="4121">
      <c r="A4121" s="2" t="inlineStr">
        <is>
          <t>2026-03-16</t>
        </is>
      </c>
      <c r="B4121" s="3" t="inlineStr">
        <is>
          <t>광명전기</t>
        </is>
      </c>
      <c r="C4121" s="2" t="inlineStr">
        <is>
          <t>코스피</t>
        </is>
      </c>
      <c r="D4121" s="2" t="inlineStr">
        <is>
          <t>017040</t>
        </is>
      </c>
      <c r="E4121" s="3" t="inlineStr">
        <is>
          <t>주주총회소집공고</t>
        </is>
      </c>
      <c r="F4121" s="3" t="inlineStr">
        <is>
          <t>광명전기</t>
        </is>
      </c>
      <c r="G4121" s="2" t="inlineStr">
        <is>
          <t>20260316000810</t>
        </is>
      </c>
      <c r="H4121" s="8">
        <f>HYPERLINK("https://dart.fss.or.kr/dsaf001/main.do?rcpNo=20260316000810", "공시열람")</f>
        <v/>
      </c>
    </row>
    <row r="4122">
      <c r="A4122" s="2" t="inlineStr">
        <is>
          <t>2026-03-16</t>
        </is>
      </c>
      <c r="B4122" s="3" t="inlineStr">
        <is>
          <t>태양3C</t>
        </is>
      </c>
      <c r="C4122" s="2" t="inlineStr">
        <is>
          <t>코넥스</t>
        </is>
      </c>
      <c r="D4122" s="2" t="inlineStr">
        <is>
          <t>052960</t>
        </is>
      </c>
      <c r="E4122" s="3" t="inlineStr">
        <is>
          <t>주주총회소집공고</t>
        </is>
      </c>
      <c r="F4122" s="3" t="inlineStr">
        <is>
          <t>태양3C</t>
        </is>
      </c>
      <c r="G4122" s="2" t="inlineStr">
        <is>
          <t>20260316000807</t>
        </is>
      </c>
      <c r="H4122" s="8">
        <f>HYPERLINK("https://dart.fss.or.kr/dsaf001/main.do?rcpNo=20260316000807", "공시열람")</f>
        <v/>
      </c>
    </row>
    <row r="4123">
      <c r="A4123" s="2" t="inlineStr">
        <is>
          <t>2026-03-16</t>
        </is>
      </c>
      <c r="B4123" s="3" t="inlineStr">
        <is>
          <t>이엠넷</t>
        </is>
      </c>
      <c r="C4123" s="2" t="inlineStr">
        <is>
          <t>코스닥</t>
        </is>
      </c>
      <c r="D4123" s="2" t="inlineStr">
        <is>
          <t>123570</t>
        </is>
      </c>
      <c r="E4123" s="3" t="inlineStr">
        <is>
          <t>주주총회소집공고</t>
        </is>
      </c>
      <c r="F4123" s="3" t="inlineStr">
        <is>
          <t>이엠넷</t>
        </is>
      </c>
      <c r="G4123" s="2" t="inlineStr">
        <is>
          <t>20260316000802</t>
        </is>
      </c>
      <c r="H4123" s="8">
        <f>HYPERLINK("https://dart.fss.or.kr/dsaf001/main.do?rcpNo=20260316000802", "공시열람")</f>
        <v/>
      </c>
    </row>
    <row r="4124">
      <c r="A4124" s="2" t="inlineStr">
        <is>
          <t>2026-03-16</t>
        </is>
      </c>
      <c r="B4124" s="3" t="inlineStr">
        <is>
          <t>포커스에이아이</t>
        </is>
      </c>
      <c r="C4124" s="2" t="inlineStr">
        <is>
          <t>코스닥</t>
        </is>
      </c>
      <c r="D4124" s="2" t="inlineStr">
        <is>
          <t>331380</t>
        </is>
      </c>
      <c r="E4124" s="3" t="inlineStr">
        <is>
          <t>주주총회소집공고</t>
        </is>
      </c>
      <c r="F4124" s="3" t="inlineStr">
        <is>
          <t>포커스에이아이</t>
        </is>
      </c>
      <c r="G4124" s="2" t="inlineStr">
        <is>
          <t>20260316000801</t>
        </is>
      </c>
      <c r="H4124" s="8">
        <f>HYPERLINK("https://dart.fss.or.kr/dsaf001/main.do?rcpNo=20260316000801", "공시열람")</f>
        <v/>
      </c>
    </row>
    <row r="4125">
      <c r="A4125" s="2" t="inlineStr">
        <is>
          <t>2026-03-16</t>
        </is>
      </c>
      <c r="B4125" s="3" t="inlineStr">
        <is>
          <t>넥스틸</t>
        </is>
      </c>
      <c r="C4125" s="2" t="inlineStr">
        <is>
          <t>코스피</t>
        </is>
      </c>
      <c r="D4125" s="2" t="inlineStr">
        <is>
          <t>092790</t>
        </is>
      </c>
      <c r="E4125" s="3" t="inlineStr">
        <is>
          <t>주주총회소집공고</t>
        </is>
      </c>
      <c r="F4125" s="3" t="inlineStr">
        <is>
          <t>넥스틸</t>
        </is>
      </c>
      <c r="G4125" s="2" t="inlineStr">
        <is>
          <t>20260316000799</t>
        </is>
      </c>
      <c r="H4125" s="8">
        <f>HYPERLINK("https://dart.fss.or.kr/dsaf001/main.do?rcpNo=20260316000799", "공시열람")</f>
        <v/>
      </c>
    </row>
    <row r="4126">
      <c r="A4126" s="2" t="inlineStr">
        <is>
          <t>2026-03-16</t>
        </is>
      </c>
      <c r="B4126" s="3" t="inlineStr">
        <is>
          <t>동구바이오제약</t>
        </is>
      </c>
      <c r="C4126" s="2" t="inlineStr">
        <is>
          <t>코스닥</t>
        </is>
      </c>
      <c r="D4126" s="2" t="inlineStr">
        <is>
          <t>006620</t>
        </is>
      </c>
      <c r="E4126" s="3" t="inlineStr">
        <is>
          <t>주주총회소집공고</t>
        </is>
      </c>
      <c r="F4126" s="3" t="inlineStr">
        <is>
          <t>동구바이오제약</t>
        </is>
      </c>
      <c r="G4126" s="2" t="inlineStr">
        <is>
          <t>20260316000797</t>
        </is>
      </c>
      <c r="H4126" s="8">
        <f>HYPERLINK("https://dart.fss.or.kr/dsaf001/main.do?rcpNo=20260316000797", "공시열람")</f>
        <v/>
      </c>
    </row>
    <row r="4127">
      <c r="A4127" s="2" t="inlineStr">
        <is>
          <t>2026-03-16</t>
        </is>
      </c>
      <c r="B4127" s="3" t="inlineStr">
        <is>
          <t>삼목에스폼</t>
        </is>
      </c>
      <c r="C4127" s="2" t="inlineStr">
        <is>
          <t>코스닥</t>
        </is>
      </c>
      <c r="D4127" s="2" t="inlineStr">
        <is>
          <t>018310</t>
        </is>
      </c>
      <c r="E4127" s="3" t="inlineStr">
        <is>
          <t>주주총회소집공고</t>
        </is>
      </c>
      <c r="F4127" s="3" t="inlineStr">
        <is>
          <t>삼목에스폼</t>
        </is>
      </c>
      <c r="G4127" s="2" t="inlineStr">
        <is>
          <t>20260316000796</t>
        </is>
      </c>
      <c r="H4127" s="8">
        <f>HYPERLINK("https://dart.fss.or.kr/dsaf001/main.do?rcpNo=20260316000796", "공시열람")</f>
        <v/>
      </c>
    </row>
    <row r="4128">
      <c r="A4128" s="2" t="inlineStr">
        <is>
          <t>2026-03-16</t>
        </is>
      </c>
      <c r="B4128" s="3" t="inlineStr">
        <is>
          <t>교촌에프앤비</t>
        </is>
      </c>
      <c r="C4128" s="2" t="inlineStr">
        <is>
          <t>코스피</t>
        </is>
      </c>
      <c r="D4128" s="2" t="inlineStr">
        <is>
          <t>339770</t>
        </is>
      </c>
      <c r="E4128" s="3" t="inlineStr">
        <is>
          <t>주주총회소집공고</t>
        </is>
      </c>
      <c r="F4128" s="3" t="inlineStr">
        <is>
          <t>교촌에프앤비</t>
        </is>
      </c>
      <c r="G4128" s="2" t="inlineStr">
        <is>
          <t>20260316000790</t>
        </is>
      </c>
      <c r="H4128" s="8">
        <f>HYPERLINK("https://dart.fss.or.kr/dsaf001/main.do?rcpNo=20260316000790", "공시열람")</f>
        <v/>
      </c>
    </row>
    <row r="4129">
      <c r="A4129" s="2" t="inlineStr">
        <is>
          <t>2026-03-16</t>
        </is>
      </c>
      <c r="B4129" s="3" t="inlineStr">
        <is>
          <t>하림지주</t>
        </is>
      </c>
      <c r="C4129" s="2" t="inlineStr">
        <is>
          <t>코스닥</t>
        </is>
      </c>
      <c r="D4129" s="2" t="inlineStr">
        <is>
          <t>003380</t>
        </is>
      </c>
      <c r="E4129" s="3" t="inlineStr">
        <is>
          <t>주주총회소집공고</t>
        </is>
      </c>
      <c r="F4129" s="3" t="inlineStr">
        <is>
          <t>하림지주</t>
        </is>
      </c>
      <c r="G4129" s="2" t="inlineStr">
        <is>
          <t>20260316000788</t>
        </is>
      </c>
      <c r="H4129" s="8">
        <f>HYPERLINK("https://dart.fss.or.kr/dsaf001/main.do?rcpNo=20260316000788", "공시열람")</f>
        <v/>
      </c>
    </row>
    <row r="4130">
      <c r="A4130" s="2" t="inlineStr">
        <is>
          <t>2026-03-16</t>
        </is>
      </c>
      <c r="B4130" s="3" t="inlineStr">
        <is>
          <t>애드포러스</t>
        </is>
      </c>
      <c r="C4130" s="2" t="inlineStr">
        <is>
          <t>코스닥</t>
        </is>
      </c>
      <c r="D4130" s="2" t="inlineStr">
        <is>
          <t>397810</t>
        </is>
      </c>
      <c r="E4130" s="3" t="inlineStr">
        <is>
          <t>주주총회소집공고</t>
        </is>
      </c>
      <c r="F4130" s="3" t="inlineStr">
        <is>
          <t>애드포러스</t>
        </is>
      </c>
      <c r="G4130" s="2" t="inlineStr">
        <is>
          <t>20260316000783</t>
        </is>
      </c>
      <c r="H4130" s="8">
        <f>HYPERLINK("https://dart.fss.or.kr/dsaf001/main.do?rcpNo=20260316000783", "공시열람")</f>
        <v/>
      </c>
    </row>
    <row r="4131">
      <c r="A4131" s="2" t="inlineStr">
        <is>
          <t>2026-03-16 (정정: 2026-03-18)</t>
        </is>
      </c>
      <c r="B4131" s="3" t="inlineStr">
        <is>
          <t>인지소프트</t>
        </is>
      </c>
      <c r="C4131" s="2" t="inlineStr">
        <is>
          <t>코스닥</t>
        </is>
      </c>
      <c r="D4131" s="2" t="inlineStr">
        <is>
          <t>100030</t>
        </is>
      </c>
      <c r="E4131" s="3" t="inlineStr">
        <is>
          <t>주주총회소집공고 (정정: 20260318)</t>
        </is>
      </c>
      <c r="F4131" s="3" t="inlineStr">
        <is>
          <t>인지소프트</t>
        </is>
      </c>
      <c r="G4131" s="2" t="inlineStr">
        <is>
          <t>20260318001040</t>
        </is>
      </c>
      <c r="H4131" s="8">
        <f>HYPERLINK("https://dart.fss.or.kr/dsaf001/main.do?rcpNo=20260318001040", "공시열람")</f>
        <v/>
      </c>
    </row>
    <row r="4132">
      <c r="A4132" s="2" t="inlineStr">
        <is>
          <t>2026-03-16</t>
        </is>
      </c>
      <c r="B4132" s="3" t="inlineStr">
        <is>
          <t>태성</t>
        </is>
      </c>
      <c r="C4132" s="2" t="inlineStr">
        <is>
          <t>코스닥</t>
        </is>
      </c>
      <c r="D4132" s="2" t="inlineStr">
        <is>
          <t>323280</t>
        </is>
      </c>
      <c r="E4132" s="3" t="inlineStr">
        <is>
          <t>주주총회소집공고</t>
        </is>
      </c>
      <c r="F4132" s="3" t="inlineStr">
        <is>
          <t>태성</t>
        </is>
      </c>
      <c r="G4132" s="2" t="inlineStr">
        <is>
          <t>20260316000775</t>
        </is>
      </c>
      <c r="H4132" s="8">
        <f>HYPERLINK("https://dart.fss.or.kr/dsaf001/main.do?rcpNo=20260316000775", "공시열람")</f>
        <v/>
      </c>
    </row>
    <row r="4133">
      <c r="A4133" s="2" t="inlineStr">
        <is>
          <t>2026-03-16</t>
        </is>
      </c>
      <c r="B4133" s="3" t="inlineStr">
        <is>
          <t>그래피</t>
        </is>
      </c>
      <c r="C4133" s="2" t="inlineStr">
        <is>
          <t>코스닥</t>
        </is>
      </c>
      <c r="D4133" s="2" t="inlineStr">
        <is>
          <t>318060</t>
        </is>
      </c>
      <c r="E4133" s="3" t="inlineStr">
        <is>
          <t>주주총회소집공고</t>
        </is>
      </c>
      <c r="F4133" s="3" t="inlineStr">
        <is>
          <t>그래피</t>
        </is>
      </c>
      <c r="G4133" s="2" t="inlineStr">
        <is>
          <t>20260316000769</t>
        </is>
      </c>
      <c r="H4133" s="8">
        <f>HYPERLINK("https://dart.fss.or.kr/dsaf001/main.do?rcpNo=20260316000769", "공시열람")</f>
        <v/>
      </c>
    </row>
    <row r="4134">
      <c r="A4134" s="2" t="inlineStr">
        <is>
          <t>2026-03-16</t>
        </is>
      </c>
      <c r="B4134" s="3" t="inlineStr">
        <is>
          <t>카나프테라퓨틱스</t>
        </is>
      </c>
      <c r="C4134" s="2" t="inlineStr">
        <is>
          <t>코스닥</t>
        </is>
      </c>
      <c r="D4134" s="2" t="inlineStr">
        <is>
          <t>0082N0</t>
        </is>
      </c>
      <c r="E4134" s="3" t="inlineStr">
        <is>
          <t>주주총회소집공고</t>
        </is>
      </c>
      <c r="F4134" s="3" t="inlineStr">
        <is>
          <t>카나프테라퓨틱스</t>
        </is>
      </c>
      <c r="G4134" s="2" t="inlineStr">
        <is>
          <t>20260316000768</t>
        </is>
      </c>
      <c r="H4134" s="8">
        <f>HYPERLINK("https://dart.fss.or.kr/dsaf001/main.do?rcpNo=20260316000768", "공시열람")</f>
        <v/>
      </c>
    </row>
    <row r="4135">
      <c r="A4135" s="2" t="inlineStr">
        <is>
          <t>2026-03-16</t>
        </is>
      </c>
      <c r="B4135" s="3" t="inlineStr">
        <is>
          <t>토박스코리아</t>
        </is>
      </c>
      <c r="C4135" s="2" t="inlineStr">
        <is>
          <t>코스닥</t>
        </is>
      </c>
      <c r="D4135" s="2" t="inlineStr">
        <is>
          <t>215480</t>
        </is>
      </c>
      <c r="E4135" s="3" t="inlineStr">
        <is>
          <t>주주총회소집공고</t>
        </is>
      </c>
      <c r="F4135" s="3" t="inlineStr">
        <is>
          <t>토박스코리아</t>
        </is>
      </c>
      <c r="G4135" s="2" t="inlineStr">
        <is>
          <t>20260316000766</t>
        </is>
      </c>
      <c r="H4135" s="8">
        <f>HYPERLINK("https://dart.fss.or.kr/dsaf001/main.do?rcpNo=20260316000766", "공시열람")</f>
        <v/>
      </c>
    </row>
    <row r="4136">
      <c r="A4136" s="2" t="inlineStr">
        <is>
          <t>2026-03-16</t>
        </is>
      </c>
      <c r="B4136" s="3" t="inlineStr">
        <is>
          <t>예선테크</t>
        </is>
      </c>
      <c r="C4136" s="2" t="inlineStr">
        <is>
          <t>코스닥</t>
        </is>
      </c>
      <c r="D4136" s="2" t="inlineStr">
        <is>
          <t>250930</t>
        </is>
      </c>
      <c r="E4136" s="3" t="inlineStr">
        <is>
          <t>주주총회소집공고</t>
        </is>
      </c>
      <c r="F4136" s="3" t="inlineStr">
        <is>
          <t>예선테크</t>
        </is>
      </c>
      <c r="G4136" s="2" t="inlineStr">
        <is>
          <t>20260316000764</t>
        </is>
      </c>
      <c r="H4136" s="8">
        <f>HYPERLINK("https://dart.fss.or.kr/dsaf001/main.do?rcpNo=20260316000764", "공시열람")</f>
        <v/>
      </c>
    </row>
    <row r="4137">
      <c r="A4137" s="2" t="inlineStr">
        <is>
          <t>2026-03-16</t>
        </is>
      </c>
      <c r="B4137" s="3" t="inlineStr">
        <is>
          <t>동일스틸럭스</t>
        </is>
      </c>
      <c r="C4137" s="2" t="inlineStr">
        <is>
          <t>코스닥</t>
        </is>
      </c>
      <c r="D4137" s="2" t="inlineStr">
        <is>
          <t>023790</t>
        </is>
      </c>
      <c r="E4137" s="3" t="inlineStr">
        <is>
          <t>주주총회소집공고</t>
        </is>
      </c>
      <c r="F4137" s="3" t="inlineStr">
        <is>
          <t>동일스틸럭스</t>
        </is>
      </c>
      <c r="G4137" s="2" t="inlineStr">
        <is>
          <t>20260316000758</t>
        </is>
      </c>
      <c r="H4137" s="8">
        <f>HYPERLINK("https://dart.fss.or.kr/dsaf001/main.do?rcpNo=20260316000758", "공시열람")</f>
        <v/>
      </c>
    </row>
    <row r="4138">
      <c r="A4138" s="2" t="inlineStr">
        <is>
          <t>2026-03-16</t>
        </is>
      </c>
      <c r="B4138" s="3" t="inlineStr">
        <is>
          <t>풍원정밀</t>
        </is>
      </c>
      <c r="C4138" s="2" t="inlineStr">
        <is>
          <t>코스닥</t>
        </is>
      </c>
      <c r="D4138" s="2" t="inlineStr">
        <is>
          <t>371950</t>
        </is>
      </c>
      <c r="E4138" s="3" t="inlineStr">
        <is>
          <t>주주총회소집공고</t>
        </is>
      </c>
      <c r="F4138" s="3" t="inlineStr">
        <is>
          <t>풍원정밀</t>
        </is>
      </c>
      <c r="G4138" s="2" t="inlineStr">
        <is>
          <t>20260316000757</t>
        </is>
      </c>
      <c r="H4138" s="8">
        <f>HYPERLINK("https://dart.fss.or.kr/dsaf001/main.do?rcpNo=20260316000757", "공시열람")</f>
        <v/>
      </c>
    </row>
    <row r="4139">
      <c r="A4139" s="2" t="inlineStr">
        <is>
          <t>2026-03-16</t>
        </is>
      </c>
      <c r="B4139" s="3" t="inlineStr">
        <is>
          <t>썸에이지</t>
        </is>
      </c>
      <c r="C4139" s="2" t="inlineStr">
        <is>
          <t>코스닥</t>
        </is>
      </c>
      <c r="D4139" s="2" t="inlineStr">
        <is>
          <t>208640</t>
        </is>
      </c>
      <c r="E4139" s="3" t="inlineStr">
        <is>
          <t>주주총회소집공고</t>
        </is>
      </c>
      <c r="F4139" s="3" t="inlineStr">
        <is>
          <t>썸에이지</t>
        </is>
      </c>
      <c r="G4139" s="2" t="inlineStr">
        <is>
          <t>20260316000754</t>
        </is>
      </c>
      <c r="H4139" s="8">
        <f>HYPERLINK("https://dart.fss.or.kr/dsaf001/main.do?rcpNo=20260316000754", "공시열람")</f>
        <v/>
      </c>
    </row>
    <row r="4140">
      <c r="A4140" s="2" t="inlineStr">
        <is>
          <t>2026-03-16</t>
        </is>
      </c>
      <c r="B4140" s="3" t="inlineStr">
        <is>
          <t>비엘팜텍</t>
        </is>
      </c>
      <c r="C4140" s="2" t="inlineStr">
        <is>
          <t>코스닥</t>
        </is>
      </c>
      <c r="D4140" s="2" t="inlineStr">
        <is>
          <t>065170</t>
        </is>
      </c>
      <c r="E4140" s="3" t="inlineStr">
        <is>
          <t>주주총회소집공고</t>
        </is>
      </c>
      <c r="F4140" s="3" t="inlineStr">
        <is>
          <t>비엘팜텍</t>
        </is>
      </c>
      <c r="G4140" s="2" t="inlineStr">
        <is>
          <t>20260316000753</t>
        </is>
      </c>
      <c r="H4140" s="8">
        <f>HYPERLINK("https://dart.fss.or.kr/dsaf001/main.do?rcpNo=20260316000753", "공시열람")</f>
        <v/>
      </c>
    </row>
    <row r="4141">
      <c r="A4141" s="2" t="inlineStr">
        <is>
          <t>2026-03-16</t>
        </is>
      </c>
      <c r="B4141" s="3" t="inlineStr">
        <is>
          <t>노브메타파마</t>
        </is>
      </c>
      <c r="C4141" s="2" t="inlineStr">
        <is>
          <t>코넥스</t>
        </is>
      </c>
      <c r="D4141" s="2" t="inlineStr">
        <is>
          <t>229500</t>
        </is>
      </c>
      <c r="E4141" s="3" t="inlineStr">
        <is>
          <t>주주총회소집공고</t>
        </is>
      </c>
      <c r="F4141" s="3" t="inlineStr">
        <is>
          <t>노브메타파마</t>
        </is>
      </c>
      <c r="G4141" s="2" t="inlineStr">
        <is>
          <t>20260316000752</t>
        </is>
      </c>
      <c r="H4141" s="8">
        <f>HYPERLINK("https://dart.fss.or.kr/dsaf001/main.do?rcpNo=20260316000752", "공시열람")</f>
        <v/>
      </c>
    </row>
    <row r="4142">
      <c r="A4142" s="2" t="inlineStr">
        <is>
          <t>2026-03-16</t>
        </is>
      </c>
      <c r="B4142" s="3" t="inlineStr">
        <is>
          <t>대화제약</t>
        </is>
      </c>
      <c r="C4142" s="2" t="inlineStr">
        <is>
          <t>코스닥</t>
        </is>
      </c>
      <c r="D4142" s="2" t="inlineStr">
        <is>
          <t>067080</t>
        </is>
      </c>
      <c r="E4142" s="3" t="inlineStr">
        <is>
          <t>주주총회소집공고</t>
        </is>
      </c>
      <c r="F4142" s="3" t="inlineStr">
        <is>
          <t>대화제약</t>
        </is>
      </c>
      <c r="G4142" s="2" t="inlineStr">
        <is>
          <t>20260316000740</t>
        </is>
      </c>
      <c r="H4142" s="8">
        <f>HYPERLINK("https://dart.fss.or.kr/dsaf001/main.do?rcpNo=20260316000740", "공시열람")</f>
        <v/>
      </c>
    </row>
    <row r="4143">
      <c r="A4143" s="2" t="inlineStr">
        <is>
          <t>2026-03-16</t>
        </is>
      </c>
      <c r="B4143" s="3" t="inlineStr">
        <is>
          <t>티웨이홀딩스</t>
        </is>
      </c>
      <c r="C4143" s="2" t="inlineStr">
        <is>
          <t>코스피</t>
        </is>
      </c>
      <c r="D4143" s="2" t="inlineStr">
        <is>
          <t>004870</t>
        </is>
      </c>
      <c r="E4143" s="3" t="inlineStr">
        <is>
          <t>주주총회소집공고</t>
        </is>
      </c>
      <c r="F4143" s="3" t="inlineStr">
        <is>
          <t>티웨이홀딩스</t>
        </is>
      </c>
      <c r="G4143" s="2" t="inlineStr">
        <is>
          <t>20260316000738</t>
        </is>
      </c>
      <c r="H4143" s="8">
        <f>HYPERLINK("https://dart.fss.or.kr/dsaf001/main.do?rcpNo=20260316000738", "공시열람")</f>
        <v/>
      </c>
    </row>
    <row r="4144">
      <c r="A4144" s="2" t="inlineStr">
        <is>
          <t>2026-03-16</t>
        </is>
      </c>
      <c r="B4144" s="3" t="inlineStr">
        <is>
          <t>동일제강</t>
        </is>
      </c>
      <c r="C4144" s="2" t="inlineStr">
        <is>
          <t>코스피</t>
        </is>
      </c>
      <c r="D4144" s="2" t="inlineStr">
        <is>
          <t>002690</t>
        </is>
      </c>
      <c r="E4144" s="3" t="inlineStr">
        <is>
          <t>주주총회소집공고</t>
        </is>
      </c>
      <c r="F4144" s="3" t="inlineStr">
        <is>
          <t>동일제강</t>
        </is>
      </c>
      <c r="G4144" s="2" t="inlineStr">
        <is>
          <t>20260316000735</t>
        </is>
      </c>
      <c r="H4144" s="8">
        <f>HYPERLINK("https://dart.fss.or.kr/dsaf001/main.do?rcpNo=20260316000735", "공시열람")</f>
        <v/>
      </c>
    </row>
    <row r="4145">
      <c r="A4145" s="2" t="inlineStr">
        <is>
          <t>2026-03-16</t>
        </is>
      </c>
      <c r="B4145" s="3" t="inlineStr">
        <is>
          <t>한전KPS</t>
        </is>
      </c>
      <c r="C4145" s="2" t="inlineStr">
        <is>
          <t>코스피</t>
        </is>
      </c>
      <c r="D4145" s="2" t="inlineStr">
        <is>
          <t>051600</t>
        </is>
      </c>
      <c r="E4145" s="3" t="inlineStr">
        <is>
          <t>주주총회소집공고</t>
        </is>
      </c>
      <c r="F4145" s="3" t="inlineStr">
        <is>
          <t>한전KPS</t>
        </is>
      </c>
      <c r="G4145" s="2" t="inlineStr">
        <is>
          <t>20260316000734</t>
        </is>
      </c>
      <c r="H4145" s="8">
        <f>HYPERLINK("https://dart.fss.or.kr/dsaf001/main.do?rcpNo=20260316000734", "공시열람")</f>
        <v/>
      </c>
    </row>
    <row r="4146">
      <c r="A4146" s="2" t="inlineStr">
        <is>
          <t>2026-03-16</t>
        </is>
      </c>
      <c r="B4146" s="3" t="inlineStr">
        <is>
          <t>유성티엔에스</t>
        </is>
      </c>
      <c r="C4146" s="2" t="inlineStr">
        <is>
          <t>코스닥</t>
        </is>
      </c>
      <c r="D4146" s="2" t="inlineStr">
        <is>
          <t>024800</t>
        </is>
      </c>
      <c r="E4146" s="3" t="inlineStr">
        <is>
          <t>주주총회소집공고</t>
        </is>
      </c>
      <c r="F4146" s="3" t="inlineStr">
        <is>
          <t>유성티엔에스</t>
        </is>
      </c>
      <c r="G4146" s="2" t="inlineStr">
        <is>
          <t>20260316000732</t>
        </is>
      </c>
      <c r="H4146" s="8">
        <f>HYPERLINK("https://dart.fss.or.kr/dsaf001/main.do?rcpNo=20260316000732", "공시열람")</f>
        <v/>
      </c>
    </row>
    <row r="4147">
      <c r="A4147" s="2" t="inlineStr">
        <is>
          <t>2026-03-16</t>
        </is>
      </c>
      <c r="B4147" s="3" t="inlineStr">
        <is>
          <t>조이웍스앤코</t>
        </is>
      </c>
      <c r="C4147" s="2" t="inlineStr">
        <is>
          <t>코스닥</t>
        </is>
      </c>
      <c r="D4147" s="2" t="inlineStr">
        <is>
          <t>309930</t>
        </is>
      </c>
      <c r="E4147" s="3" t="inlineStr">
        <is>
          <t>주주총회소집공고</t>
        </is>
      </c>
      <c r="F4147" s="3" t="inlineStr">
        <is>
          <t>조이웍스앤코</t>
        </is>
      </c>
      <c r="G4147" s="2" t="inlineStr">
        <is>
          <t>20260316000730</t>
        </is>
      </c>
      <c r="H4147" s="8">
        <f>HYPERLINK("https://dart.fss.or.kr/dsaf001/main.do?rcpNo=20260316000730", "공시열람")</f>
        <v/>
      </c>
    </row>
    <row r="4148">
      <c r="A4148" s="2" t="inlineStr">
        <is>
          <t>2026-03-16 (정정: 2026-03-17)</t>
        </is>
      </c>
      <c r="B4148" s="3" t="inlineStr">
        <is>
          <t>일진파워</t>
        </is>
      </c>
      <c r="C4148" s="2" t="inlineStr">
        <is>
          <t>코스닥</t>
        </is>
      </c>
      <c r="D4148" s="2" t="inlineStr">
        <is>
          <t>094820</t>
        </is>
      </c>
      <c r="E4148" s="3" t="inlineStr">
        <is>
          <t>주주총회소집공고 (정정: 20260317)</t>
        </is>
      </c>
      <c r="F4148" s="3" t="inlineStr">
        <is>
          <t>일진파워</t>
        </is>
      </c>
      <c r="G4148" s="2" t="inlineStr">
        <is>
          <t>20260317000340</t>
        </is>
      </c>
      <c r="H4148" s="8">
        <f>HYPERLINK("https://dart.fss.or.kr/dsaf001/main.do?rcpNo=20260317000340", "공시열람")</f>
        <v/>
      </c>
    </row>
    <row r="4149">
      <c r="A4149" s="2" t="inlineStr">
        <is>
          <t>2026-03-16</t>
        </is>
      </c>
      <c r="B4149" s="3" t="inlineStr">
        <is>
          <t>대구백화점</t>
        </is>
      </c>
      <c r="C4149" s="2" t="inlineStr">
        <is>
          <t>코스피</t>
        </is>
      </c>
      <c r="D4149" s="2" t="inlineStr">
        <is>
          <t>006370</t>
        </is>
      </c>
      <c r="E4149" s="3" t="inlineStr">
        <is>
          <t>주주총회소집공고</t>
        </is>
      </c>
      <c r="F4149" s="3" t="inlineStr">
        <is>
          <t>대구백화점</t>
        </is>
      </c>
      <c r="G4149" s="2" t="inlineStr">
        <is>
          <t>20260316000726</t>
        </is>
      </c>
      <c r="H4149" s="8">
        <f>HYPERLINK("https://dart.fss.or.kr/dsaf001/main.do?rcpNo=20260316000726", "공시열람")</f>
        <v/>
      </c>
    </row>
    <row r="4150">
      <c r="A4150" s="2" t="inlineStr">
        <is>
          <t>2026-03-16 (정정: 2026-05-29)</t>
        </is>
      </c>
      <c r="B4150" s="3" t="inlineStr">
        <is>
          <t>중앙첨단소재</t>
        </is>
      </c>
      <c r="C4150" s="2" t="inlineStr">
        <is>
          <t>코스닥</t>
        </is>
      </c>
      <c r="D4150" s="2" t="inlineStr">
        <is>
          <t>051980</t>
        </is>
      </c>
      <c r="E4150" s="3" t="inlineStr">
        <is>
          <t>주주총회소집공고 (정정: 20260326) (정정: 20260529)</t>
        </is>
      </c>
      <c r="F4150" s="3" t="inlineStr">
        <is>
          <t>중앙첨단소재</t>
        </is>
      </c>
      <c r="G4150" s="2" t="inlineStr">
        <is>
          <t>20260529901167</t>
        </is>
      </c>
      <c r="H4150" s="8">
        <f>HYPERLINK("https://dart.fss.or.kr/dsaf001/main.do?rcpNo=20260529901167", "공시열람")</f>
        <v/>
      </c>
    </row>
    <row r="4151">
      <c r="A4151" s="2" t="inlineStr">
        <is>
          <t>2026-03-16</t>
        </is>
      </c>
      <c r="B4151" s="3" t="inlineStr">
        <is>
          <t>동방선기</t>
        </is>
      </c>
      <c r="C4151" s="2" t="inlineStr">
        <is>
          <t>코스닥</t>
        </is>
      </c>
      <c r="D4151" s="2" t="inlineStr">
        <is>
          <t>099410</t>
        </is>
      </c>
      <c r="E4151" s="3" t="inlineStr">
        <is>
          <t>주주총회소집공고</t>
        </is>
      </c>
      <c r="F4151" s="3" t="inlineStr">
        <is>
          <t>동방선기</t>
        </is>
      </c>
      <c r="G4151" s="2" t="inlineStr">
        <is>
          <t>20260316000724</t>
        </is>
      </c>
      <c r="H4151" s="8">
        <f>HYPERLINK("https://dart.fss.or.kr/dsaf001/main.do?rcpNo=20260316000724", "공시열람")</f>
        <v/>
      </c>
    </row>
    <row r="4152">
      <c r="A4152" s="2" t="inlineStr">
        <is>
          <t>2026-03-16</t>
        </is>
      </c>
      <c r="B4152" s="3" t="inlineStr">
        <is>
          <t>퓨쳐메디신</t>
        </is>
      </c>
      <c r="C4152" s="2" t="inlineStr">
        <is>
          <t>코넥스</t>
        </is>
      </c>
      <c r="D4152" s="2" t="inlineStr">
        <is>
          <t>341170</t>
        </is>
      </c>
      <c r="E4152" s="3" t="inlineStr">
        <is>
          <t>주주총회소집공고</t>
        </is>
      </c>
      <c r="F4152" s="3" t="inlineStr">
        <is>
          <t>퓨쳐메디신</t>
        </is>
      </c>
      <c r="G4152" s="2" t="inlineStr">
        <is>
          <t>20260316000723</t>
        </is>
      </c>
      <c r="H4152" s="8">
        <f>HYPERLINK("https://dart.fss.or.kr/dsaf001/main.do?rcpNo=20260316000723", "공시열람")</f>
        <v/>
      </c>
    </row>
    <row r="4153">
      <c r="A4153" s="2" t="inlineStr">
        <is>
          <t>2026-03-16</t>
        </is>
      </c>
      <c r="B4153" s="3" t="inlineStr">
        <is>
          <t>에이스테크</t>
        </is>
      </c>
      <c r="C4153" s="2" t="inlineStr">
        <is>
          <t>코스닥</t>
        </is>
      </c>
      <c r="D4153" s="2" t="inlineStr">
        <is>
          <t>088800</t>
        </is>
      </c>
      <c r="E4153" s="3" t="inlineStr">
        <is>
          <t>주주총회소집공고</t>
        </is>
      </c>
      <c r="F4153" s="3" t="inlineStr">
        <is>
          <t>에이스테크</t>
        </is>
      </c>
      <c r="G4153" s="2" t="inlineStr">
        <is>
          <t>20260316000721</t>
        </is>
      </c>
      <c r="H4153" s="8">
        <f>HYPERLINK("https://dart.fss.or.kr/dsaf001/main.do?rcpNo=20260316000721", "공시열람")</f>
        <v/>
      </c>
    </row>
    <row r="4154">
      <c r="A4154" s="2" t="inlineStr">
        <is>
          <t>2026-03-16 (정정: 2026-03-17)</t>
        </is>
      </c>
      <c r="B4154" s="3" t="inlineStr">
        <is>
          <t>화승코퍼레이션</t>
        </is>
      </c>
      <c r="C4154" s="2" t="inlineStr">
        <is>
          <t>코스피</t>
        </is>
      </c>
      <c r="D4154" s="2" t="inlineStr">
        <is>
          <t>013520</t>
        </is>
      </c>
      <c r="E4154" s="3" t="inlineStr">
        <is>
          <t>주주총회소집공고 (정정: 20260317)</t>
        </is>
      </c>
      <c r="F4154" s="3" t="inlineStr">
        <is>
          <t>화승코퍼레이션</t>
        </is>
      </c>
      <c r="G4154" s="2" t="inlineStr">
        <is>
          <t>20260317000708</t>
        </is>
      </c>
      <c r="H4154" s="8">
        <f>HYPERLINK("https://dart.fss.or.kr/dsaf001/main.do?rcpNo=20260317000708", "공시열람")</f>
        <v/>
      </c>
    </row>
    <row r="4155">
      <c r="A4155" s="2" t="inlineStr">
        <is>
          <t>2026-03-16</t>
        </is>
      </c>
      <c r="B4155" s="3" t="inlineStr">
        <is>
          <t>위너스일렉</t>
        </is>
      </c>
      <c r="C4155" s="2" t="inlineStr">
        <is>
          <t>코스닥</t>
        </is>
      </c>
      <c r="D4155" s="2" t="inlineStr">
        <is>
          <t>479960</t>
        </is>
      </c>
      <c r="E4155" s="3" t="inlineStr">
        <is>
          <t>주주총회소집공고</t>
        </is>
      </c>
      <c r="F4155" s="3" t="inlineStr">
        <is>
          <t>위너스일렉</t>
        </is>
      </c>
      <c r="G4155" s="2" t="inlineStr">
        <is>
          <t>20260316000713</t>
        </is>
      </c>
      <c r="H4155" s="8">
        <f>HYPERLINK("https://dart.fss.or.kr/dsaf001/main.do?rcpNo=20260316000713", "공시열람")</f>
        <v/>
      </c>
    </row>
    <row r="4156">
      <c r="A4156" s="2" t="inlineStr">
        <is>
          <t>2026-03-16</t>
        </is>
      </c>
      <c r="B4156" s="3" t="inlineStr">
        <is>
          <t>이노시뮬레이션</t>
        </is>
      </c>
      <c r="C4156" s="2" t="inlineStr">
        <is>
          <t>코스닥</t>
        </is>
      </c>
      <c r="D4156" s="2" t="inlineStr">
        <is>
          <t>274400</t>
        </is>
      </c>
      <c r="E4156" s="3" t="inlineStr">
        <is>
          <t>주주총회소집공고</t>
        </is>
      </c>
      <c r="F4156" s="3" t="inlineStr">
        <is>
          <t>이노시뮬레이션</t>
        </is>
      </c>
      <c r="G4156" s="2" t="inlineStr">
        <is>
          <t>20260316000712</t>
        </is>
      </c>
      <c r="H4156" s="8">
        <f>HYPERLINK("https://dart.fss.or.kr/dsaf001/main.do?rcpNo=20260316000712", "공시열람")</f>
        <v/>
      </c>
    </row>
    <row r="4157">
      <c r="A4157" s="2" t="inlineStr">
        <is>
          <t>2026-03-16 (정정: 2026-03-24)</t>
        </is>
      </c>
      <c r="B4157" s="3" t="inlineStr">
        <is>
          <t>아이엠지티</t>
        </is>
      </c>
      <c r="C4157" s="2" t="inlineStr">
        <is>
          <t>코넥스</t>
        </is>
      </c>
      <c r="D4157" s="2" t="inlineStr">
        <is>
          <t>456570</t>
        </is>
      </c>
      <c r="E4157" s="3" t="inlineStr">
        <is>
          <t>주주총회소집공고 (정정: 20260324) (정정: 20260324)</t>
        </is>
      </c>
      <c r="F4157" s="3" t="inlineStr">
        <is>
          <t>아이엠지티</t>
        </is>
      </c>
      <c r="G4157" s="2" t="inlineStr">
        <is>
          <t>20260324000298</t>
        </is>
      </c>
      <c r="H4157" s="8">
        <f>HYPERLINK("https://dart.fss.or.kr/dsaf001/main.do?rcpNo=20260324000298", "공시열람")</f>
        <v/>
      </c>
    </row>
    <row r="4158">
      <c r="A4158" s="2" t="inlineStr">
        <is>
          <t>2026-03-16</t>
        </is>
      </c>
      <c r="B4158" s="3" t="inlineStr">
        <is>
          <t>카스</t>
        </is>
      </c>
      <c r="C4158" s="2" t="inlineStr">
        <is>
          <t>코스닥</t>
        </is>
      </c>
      <c r="D4158" s="2" t="inlineStr">
        <is>
          <t>016920</t>
        </is>
      </c>
      <c r="E4158" s="3" t="inlineStr">
        <is>
          <t>주주총회소집공고</t>
        </is>
      </c>
      <c r="F4158" s="3" t="inlineStr">
        <is>
          <t>카스</t>
        </is>
      </c>
      <c r="G4158" s="2" t="inlineStr">
        <is>
          <t>20260316000705</t>
        </is>
      </c>
      <c r="H4158" s="8">
        <f>HYPERLINK("https://dart.fss.or.kr/dsaf001/main.do?rcpNo=20260316000705", "공시열람")</f>
        <v/>
      </c>
    </row>
    <row r="4159">
      <c r="A4159" s="2" t="inlineStr">
        <is>
          <t>2026-03-16</t>
        </is>
      </c>
      <c r="B4159" s="3" t="inlineStr">
        <is>
          <t>디앤디플랫폼리츠</t>
        </is>
      </c>
      <c r="C4159" s="2" t="inlineStr">
        <is>
          <t>코스피</t>
        </is>
      </c>
      <c r="D4159" s="2" t="inlineStr">
        <is>
          <t>377190</t>
        </is>
      </c>
      <c r="E4159" s="3" t="inlineStr">
        <is>
          <t>주주총회소집공고</t>
        </is>
      </c>
      <c r="F4159" s="3" t="inlineStr">
        <is>
          <t>디앤디플랫폼리츠</t>
        </is>
      </c>
      <c r="G4159" s="2" t="inlineStr">
        <is>
          <t>20260316000697</t>
        </is>
      </c>
      <c r="H4159" s="8">
        <f>HYPERLINK("https://dart.fss.or.kr/dsaf001/main.do?rcpNo=20260316000697", "공시열람")</f>
        <v/>
      </c>
    </row>
    <row r="4160">
      <c r="A4160" s="2" t="inlineStr">
        <is>
          <t>2026-03-16 (정정: 2026-03-17)</t>
        </is>
      </c>
      <c r="B4160" s="3" t="inlineStr">
        <is>
          <t>와이엠텍</t>
        </is>
      </c>
      <c r="C4160" s="2" t="inlineStr">
        <is>
          <t>코스닥</t>
        </is>
      </c>
      <c r="D4160" s="2" t="inlineStr">
        <is>
          <t>273640</t>
        </is>
      </c>
      <c r="E4160" s="3" t="inlineStr">
        <is>
          <t>주주총회소집공고 (정정: 20260317)</t>
        </is>
      </c>
      <c r="F4160" s="3" t="inlineStr">
        <is>
          <t>와이엠텍</t>
        </is>
      </c>
      <c r="G4160" s="2" t="inlineStr">
        <is>
          <t>20260317000877</t>
        </is>
      </c>
      <c r="H4160" s="8">
        <f>HYPERLINK("https://dart.fss.or.kr/dsaf001/main.do?rcpNo=20260317000877", "공시열람")</f>
        <v/>
      </c>
    </row>
    <row r="4161">
      <c r="A4161" s="2" t="inlineStr">
        <is>
          <t>2026-03-16</t>
        </is>
      </c>
      <c r="B4161" s="3" t="inlineStr">
        <is>
          <t>제이아이테크</t>
        </is>
      </c>
      <c r="C4161" s="2" t="inlineStr">
        <is>
          <t>코스닥</t>
        </is>
      </c>
      <c r="D4161" s="2" t="inlineStr">
        <is>
          <t>417500</t>
        </is>
      </c>
      <c r="E4161" s="3" t="inlineStr">
        <is>
          <t>주주총회소집공고</t>
        </is>
      </c>
      <c r="F4161" s="3" t="inlineStr">
        <is>
          <t>제이아이테크</t>
        </is>
      </c>
      <c r="G4161" s="2" t="inlineStr">
        <is>
          <t>20260316000684</t>
        </is>
      </c>
      <c r="H4161" s="8">
        <f>HYPERLINK("https://dart.fss.or.kr/dsaf001/main.do?rcpNo=20260316000684", "공시열람")</f>
        <v/>
      </c>
    </row>
    <row r="4162">
      <c r="A4162" s="2" t="inlineStr">
        <is>
          <t>2026-03-16</t>
        </is>
      </c>
      <c r="B4162" s="3" t="inlineStr">
        <is>
          <t>흥국에프엔비</t>
        </is>
      </c>
      <c r="C4162" s="2" t="inlineStr">
        <is>
          <t>코스닥</t>
        </is>
      </c>
      <c r="D4162" s="2" t="inlineStr">
        <is>
          <t>189980</t>
        </is>
      </c>
      <c r="E4162" s="3" t="inlineStr">
        <is>
          <t>주주총회소집공고</t>
        </is>
      </c>
      <c r="F4162" s="3" t="inlineStr">
        <is>
          <t>흥국에프엔비</t>
        </is>
      </c>
      <c r="G4162" s="2" t="inlineStr">
        <is>
          <t>20260316000683</t>
        </is>
      </c>
      <c r="H4162" s="8">
        <f>HYPERLINK("https://dart.fss.or.kr/dsaf001/main.do?rcpNo=20260316000683", "공시열람")</f>
        <v/>
      </c>
    </row>
    <row r="4163">
      <c r="A4163" s="2" t="inlineStr">
        <is>
          <t>2026-03-16 (정정: 2026-05-29)</t>
        </is>
      </c>
      <c r="B4163" s="3" t="inlineStr">
        <is>
          <t>롤링스톤</t>
        </is>
      </c>
      <c r="C4163" s="2" t="inlineStr">
        <is>
          <t>코스닥</t>
        </is>
      </c>
      <c r="D4163" s="2" t="inlineStr">
        <is>
          <t>214610</t>
        </is>
      </c>
      <c r="E4163" s="3" t="inlineStr">
        <is>
          <t>주주총회소집공고 (정정: 20260529)</t>
        </is>
      </c>
      <c r="F4163" s="3" t="inlineStr">
        <is>
          <t>롤링스톤</t>
        </is>
      </c>
      <c r="G4163" s="2" t="inlineStr">
        <is>
          <t>20260529901862</t>
        </is>
      </c>
      <c r="H4163" s="8">
        <f>HYPERLINK("https://dart.fss.or.kr/dsaf001/main.do?rcpNo=20260529901862", "공시열람")</f>
        <v/>
      </c>
    </row>
    <row r="4164">
      <c r="A4164" s="2" t="inlineStr">
        <is>
          <t>2026-03-16</t>
        </is>
      </c>
      <c r="B4164" s="3" t="inlineStr">
        <is>
          <t>티에스아이</t>
        </is>
      </c>
      <c r="C4164" s="2" t="inlineStr">
        <is>
          <t>코스닥</t>
        </is>
      </c>
      <c r="D4164" s="2" t="inlineStr">
        <is>
          <t>277880</t>
        </is>
      </c>
      <c r="E4164" s="3" t="inlineStr">
        <is>
          <t>[기재정정]주주총회소집공고</t>
        </is>
      </c>
      <c r="F4164" s="3" t="inlineStr">
        <is>
          <t>티에스아이</t>
        </is>
      </c>
      <c r="G4164" s="2" t="inlineStr">
        <is>
          <t>20260316000676</t>
        </is>
      </c>
      <c r="H4164" s="8">
        <f>HYPERLINK("https://dart.fss.or.kr/dsaf001/main.do?rcpNo=20260316000676", "공시열람")</f>
        <v/>
      </c>
    </row>
    <row r="4165">
      <c r="A4165" s="2" t="inlineStr">
        <is>
          <t>2026-03-16 (정정: 2026-03-17)</t>
        </is>
      </c>
      <c r="B4165" s="3" t="inlineStr">
        <is>
          <t>금양</t>
        </is>
      </c>
      <c r="C4165" s="2" t="inlineStr">
        <is>
          <t>코스피</t>
        </is>
      </c>
      <c r="D4165" s="2" t="inlineStr">
        <is>
          <t>001570</t>
        </is>
      </c>
      <c r="E4165" s="3" t="inlineStr">
        <is>
          <t>주주총회소집공고 (정정: 20260317)</t>
        </is>
      </c>
      <c r="F4165" s="3" t="inlineStr">
        <is>
          <t>금양</t>
        </is>
      </c>
      <c r="G4165" s="2" t="inlineStr">
        <is>
          <t>20260317000468</t>
        </is>
      </c>
      <c r="H4165" s="8">
        <f>HYPERLINK("https://dart.fss.or.kr/dsaf001/main.do?rcpNo=20260317000468", "공시열람")</f>
        <v/>
      </c>
    </row>
    <row r="4166">
      <c r="A4166" s="2" t="inlineStr">
        <is>
          <t>2026-03-16</t>
        </is>
      </c>
      <c r="B4166" s="3" t="inlineStr">
        <is>
          <t>한국정밀기계</t>
        </is>
      </c>
      <c r="C4166" s="2" t="inlineStr">
        <is>
          <t>코스닥</t>
        </is>
      </c>
      <c r="D4166" s="2" t="inlineStr">
        <is>
          <t>101680</t>
        </is>
      </c>
      <c r="E4166" s="3" t="inlineStr">
        <is>
          <t>주주총회소집공고</t>
        </is>
      </c>
      <c r="F4166" s="3" t="inlineStr">
        <is>
          <t>한국정밀기계</t>
        </is>
      </c>
      <c r="G4166" s="2" t="inlineStr">
        <is>
          <t>20260316000672</t>
        </is>
      </c>
      <c r="H4166" s="8">
        <f>HYPERLINK("https://dart.fss.or.kr/dsaf001/main.do?rcpNo=20260316000672", "공시열람")</f>
        <v/>
      </c>
    </row>
    <row r="4167">
      <c r="A4167" s="2" t="inlineStr">
        <is>
          <t>2026-03-16</t>
        </is>
      </c>
      <c r="B4167" s="3" t="inlineStr">
        <is>
          <t>케이알엠</t>
        </is>
      </c>
      <c r="C4167" s="2" t="inlineStr">
        <is>
          <t>코스닥</t>
        </is>
      </c>
      <c r="D4167" s="2" t="inlineStr">
        <is>
          <t>093640</t>
        </is>
      </c>
      <c r="E4167" s="3" t="inlineStr">
        <is>
          <t>주주총회소집공고</t>
        </is>
      </c>
      <c r="F4167" s="3" t="inlineStr">
        <is>
          <t>케이알엠</t>
        </is>
      </c>
      <c r="G4167" s="2" t="inlineStr">
        <is>
          <t>20260316000670</t>
        </is>
      </c>
      <c r="H4167" s="8">
        <f>HYPERLINK("https://dart.fss.or.kr/dsaf001/main.do?rcpNo=20260316000670", "공시열람")</f>
        <v/>
      </c>
    </row>
    <row r="4168">
      <c r="A4168" s="2" t="inlineStr">
        <is>
          <t>2026-03-16</t>
        </is>
      </c>
      <c r="B4168" s="3" t="inlineStr">
        <is>
          <t>원준</t>
        </is>
      </c>
      <c r="C4168" s="2" t="inlineStr">
        <is>
          <t>코스닥</t>
        </is>
      </c>
      <c r="D4168" s="2" t="inlineStr">
        <is>
          <t>382840</t>
        </is>
      </c>
      <c r="E4168" s="3" t="inlineStr">
        <is>
          <t>주주총회소집공고</t>
        </is>
      </c>
      <c r="F4168" s="3" t="inlineStr">
        <is>
          <t>원준</t>
        </is>
      </c>
      <c r="G4168" s="2" t="inlineStr">
        <is>
          <t>20260316000668</t>
        </is>
      </c>
      <c r="H4168" s="8">
        <f>HYPERLINK("https://dart.fss.or.kr/dsaf001/main.do?rcpNo=20260316000668", "공시열람")</f>
        <v/>
      </c>
    </row>
    <row r="4169">
      <c r="A4169" s="2" t="inlineStr">
        <is>
          <t>2026-03-16</t>
        </is>
      </c>
      <c r="B4169" s="3" t="inlineStr">
        <is>
          <t>이오플로우</t>
        </is>
      </c>
      <c r="C4169" s="2" t="inlineStr">
        <is>
          <t>코스닥</t>
        </is>
      </c>
      <c r="D4169" s="2" t="inlineStr">
        <is>
          <t>294090</t>
        </is>
      </c>
      <c r="E4169" s="3" t="inlineStr">
        <is>
          <t>주주총회소집공고</t>
        </is>
      </c>
      <c r="F4169" s="3" t="inlineStr">
        <is>
          <t>이오플로우</t>
        </is>
      </c>
      <c r="G4169" s="2" t="inlineStr">
        <is>
          <t>20260316000666</t>
        </is>
      </c>
      <c r="H4169" s="8">
        <f>HYPERLINK("https://dart.fss.or.kr/dsaf001/main.do?rcpNo=20260316000666", "공시열람")</f>
        <v/>
      </c>
    </row>
    <row r="4170">
      <c r="A4170" s="2" t="inlineStr">
        <is>
          <t>2026-03-16</t>
        </is>
      </c>
      <c r="B4170" s="3" t="inlineStr">
        <is>
          <t>진원생명과학</t>
        </is>
      </c>
      <c r="C4170" s="2" t="inlineStr">
        <is>
          <t>코스피</t>
        </is>
      </c>
      <c r="D4170" s="2" t="inlineStr">
        <is>
          <t>011000</t>
        </is>
      </c>
      <c r="E4170" s="3" t="inlineStr">
        <is>
          <t>주주총회소집공고</t>
        </is>
      </c>
      <c r="F4170" s="3" t="inlineStr">
        <is>
          <t>진원생명과학</t>
        </is>
      </c>
      <c r="G4170" s="2" t="inlineStr">
        <is>
          <t>20260316000664</t>
        </is>
      </c>
      <c r="H4170" s="8">
        <f>HYPERLINK("https://dart.fss.or.kr/dsaf001/main.do?rcpNo=20260316000664", "공시열람")</f>
        <v/>
      </c>
    </row>
    <row r="4171">
      <c r="A4171" s="2" t="inlineStr">
        <is>
          <t>2026-03-16</t>
        </is>
      </c>
      <c r="B4171" s="3" t="inlineStr">
        <is>
          <t>유틸렉스</t>
        </is>
      </c>
      <c r="C4171" s="2" t="inlineStr">
        <is>
          <t>코스닥</t>
        </is>
      </c>
      <c r="D4171" s="2" t="inlineStr">
        <is>
          <t>263050</t>
        </is>
      </c>
      <c r="E4171" s="3" t="inlineStr">
        <is>
          <t>주주총회소집공고</t>
        </is>
      </c>
      <c r="F4171" s="3" t="inlineStr">
        <is>
          <t>유틸렉스</t>
        </is>
      </c>
      <c r="G4171" s="2" t="inlineStr">
        <is>
          <t>20260316000662</t>
        </is>
      </c>
      <c r="H4171" s="8">
        <f>HYPERLINK("https://dart.fss.or.kr/dsaf001/main.do?rcpNo=20260316000662", "공시열람")</f>
        <v/>
      </c>
    </row>
    <row r="4172">
      <c r="A4172" s="2" t="inlineStr">
        <is>
          <t>2026-03-16</t>
        </is>
      </c>
      <c r="B4172" s="3" t="inlineStr">
        <is>
          <t>소노스퀘어</t>
        </is>
      </c>
      <c r="C4172" s="2" t="inlineStr">
        <is>
          <t>코스닥</t>
        </is>
      </c>
      <c r="D4172" s="2" t="inlineStr">
        <is>
          <t>007720</t>
        </is>
      </c>
      <c r="E4172" s="3" t="inlineStr">
        <is>
          <t>주주총회소집공고</t>
        </is>
      </c>
      <c r="F4172" s="3" t="inlineStr">
        <is>
          <t>소노스퀘어</t>
        </is>
      </c>
      <c r="G4172" s="2" t="inlineStr">
        <is>
          <t>20260316000656</t>
        </is>
      </c>
      <c r="H4172" s="8">
        <f>HYPERLINK("https://dart.fss.or.kr/dsaf001/main.do?rcpNo=20260316000656", "공시열람")</f>
        <v/>
      </c>
    </row>
    <row r="4173">
      <c r="A4173" s="2" t="inlineStr">
        <is>
          <t>2026-03-16</t>
        </is>
      </c>
      <c r="B4173" s="3" t="inlineStr">
        <is>
          <t>피엔에이치테크</t>
        </is>
      </c>
      <c r="C4173" s="2" t="inlineStr">
        <is>
          <t>코스닥</t>
        </is>
      </c>
      <c r="D4173" s="2" t="inlineStr">
        <is>
          <t>239890</t>
        </is>
      </c>
      <c r="E4173" s="3" t="inlineStr">
        <is>
          <t>주주총회소집공고</t>
        </is>
      </c>
      <c r="F4173" s="3" t="inlineStr">
        <is>
          <t>피엔에이치테크</t>
        </is>
      </c>
      <c r="G4173" s="2" t="inlineStr">
        <is>
          <t>20260316000650</t>
        </is>
      </c>
      <c r="H4173" s="8">
        <f>HYPERLINK("https://dart.fss.or.kr/dsaf001/main.do?rcpNo=20260316000650", "공시열람")</f>
        <v/>
      </c>
    </row>
    <row r="4174">
      <c r="A4174" s="2" t="inlineStr">
        <is>
          <t>2026-03-16</t>
        </is>
      </c>
      <c r="B4174" s="3" t="inlineStr">
        <is>
          <t>한국가스공사</t>
        </is>
      </c>
      <c r="C4174" s="2" t="inlineStr">
        <is>
          <t>코스피</t>
        </is>
      </c>
      <c r="D4174" s="2" t="inlineStr">
        <is>
          <t>036460</t>
        </is>
      </c>
      <c r="E4174" s="3" t="inlineStr">
        <is>
          <t>주주총회소집공고</t>
        </is>
      </c>
      <c r="F4174" s="3" t="inlineStr">
        <is>
          <t>한국가스공사</t>
        </is>
      </c>
      <c r="G4174" s="2" t="inlineStr">
        <is>
          <t>20260316000637</t>
        </is>
      </c>
      <c r="H4174" s="8">
        <f>HYPERLINK("https://dart.fss.or.kr/dsaf001/main.do?rcpNo=20260316000637", "공시열람")</f>
        <v/>
      </c>
    </row>
    <row r="4175">
      <c r="A4175" s="2" t="inlineStr">
        <is>
          <t>2026-03-16 (정정: 2026-05-21)</t>
        </is>
      </c>
      <c r="B4175" s="3" t="inlineStr">
        <is>
          <t>코어라인소프트</t>
        </is>
      </c>
      <c r="C4175" s="2" t="inlineStr">
        <is>
          <t>코스닥</t>
        </is>
      </c>
      <c r="D4175" s="2" t="inlineStr">
        <is>
          <t>384470</t>
        </is>
      </c>
      <c r="E4175" s="3" t="inlineStr">
        <is>
          <t>[기재정정]주주총회소집공고 (정정: 20260521) (정정: 20260521) (정정: 20260521) (정정: 20260521)</t>
        </is>
      </c>
      <c r="F4175" s="3" t="inlineStr">
        <is>
          <t>코어라인소프트</t>
        </is>
      </c>
      <c r="G4175" s="2" t="inlineStr">
        <is>
          <t>20260521000301</t>
        </is>
      </c>
      <c r="H4175" s="8">
        <f>HYPERLINK("https://dart.fss.or.kr/dsaf001/main.do?rcpNo=20260521000301", "공시열람")</f>
        <v/>
      </c>
    </row>
    <row r="4176">
      <c r="A4176" s="2" t="inlineStr">
        <is>
          <t>2026-03-16</t>
        </is>
      </c>
      <c r="B4176" s="3" t="inlineStr">
        <is>
          <t>노타</t>
        </is>
      </c>
      <c r="C4176" s="2" t="inlineStr">
        <is>
          <t>코스닥</t>
        </is>
      </c>
      <c r="D4176" s="2" t="inlineStr">
        <is>
          <t>486990</t>
        </is>
      </c>
      <c r="E4176" s="3" t="inlineStr">
        <is>
          <t>주주총회소집공고</t>
        </is>
      </c>
      <c r="F4176" s="3" t="inlineStr">
        <is>
          <t>노타</t>
        </is>
      </c>
      <c r="G4176" s="2" t="inlineStr">
        <is>
          <t>20260316000622</t>
        </is>
      </c>
      <c r="H4176" s="8">
        <f>HYPERLINK("https://dart.fss.or.kr/dsaf001/main.do?rcpNo=20260316000622", "공시열람")</f>
        <v/>
      </c>
    </row>
    <row r="4177">
      <c r="A4177" s="2" t="inlineStr">
        <is>
          <t>2026-03-16</t>
        </is>
      </c>
      <c r="B4177" s="3" t="inlineStr">
        <is>
          <t>엔더블유시</t>
        </is>
      </c>
      <c r="C4177" s="2" t="inlineStr">
        <is>
          <t>코넥스</t>
        </is>
      </c>
      <c r="D4177" s="2" t="inlineStr">
        <is>
          <t>059180</t>
        </is>
      </c>
      <c r="E4177" s="3" t="inlineStr">
        <is>
          <t>주주총회소집공고</t>
        </is>
      </c>
      <c r="F4177" s="3" t="inlineStr">
        <is>
          <t>엔더블유시</t>
        </is>
      </c>
      <c r="G4177" s="2" t="inlineStr">
        <is>
          <t>20260316000619</t>
        </is>
      </c>
      <c r="H4177" s="8">
        <f>HYPERLINK("https://dart.fss.or.kr/dsaf001/main.do?rcpNo=20260316000619", "공시열람")</f>
        <v/>
      </c>
    </row>
    <row r="4178">
      <c r="A4178" s="2" t="inlineStr">
        <is>
          <t>2026-03-16</t>
        </is>
      </c>
      <c r="B4178" s="3" t="inlineStr">
        <is>
          <t>씨아이테크</t>
        </is>
      </c>
      <c r="C4178" s="2" t="inlineStr">
        <is>
          <t>코스피</t>
        </is>
      </c>
      <c r="D4178" s="2" t="inlineStr">
        <is>
          <t>004920</t>
        </is>
      </c>
      <c r="E4178" s="3" t="inlineStr">
        <is>
          <t>[기재정정]주주총회소집공고</t>
        </is>
      </c>
      <c r="F4178" s="3" t="inlineStr">
        <is>
          <t>씨아이테크</t>
        </is>
      </c>
      <c r="G4178" s="2" t="inlineStr">
        <is>
          <t>20260316000607</t>
        </is>
      </c>
      <c r="H4178" s="8">
        <f>HYPERLINK("https://dart.fss.or.kr/dsaf001/main.do?rcpNo=20260316000607", "공시열람")</f>
        <v/>
      </c>
    </row>
    <row r="4179">
      <c r="A4179" s="2" t="inlineStr">
        <is>
          <t>2026-03-16</t>
        </is>
      </c>
      <c r="B4179" s="3" t="inlineStr">
        <is>
          <t>극동유화</t>
        </is>
      </c>
      <c r="C4179" s="2" t="inlineStr">
        <is>
          <t>코스피</t>
        </is>
      </c>
      <c r="D4179" s="2" t="inlineStr">
        <is>
          <t>014530</t>
        </is>
      </c>
      <c r="E4179" s="3" t="inlineStr">
        <is>
          <t>주주총회소집공고</t>
        </is>
      </c>
      <c r="F4179" s="3" t="inlineStr">
        <is>
          <t>극동유화</t>
        </is>
      </c>
      <c r="G4179" s="2" t="inlineStr">
        <is>
          <t>20260316000603</t>
        </is>
      </c>
      <c r="H4179" s="8">
        <f>HYPERLINK("https://dart.fss.or.kr/dsaf001/main.do?rcpNo=20260316000603", "공시열람")</f>
        <v/>
      </c>
    </row>
    <row r="4180">
      <c r="A4180" s="2" t="inlineStr">
        <is>
          <t>2026-03-16</t>
        </is>
      </c>
      <c r="B4180" s="3" t="inlineStr">
        <is>
          <t>에스에프에이</t>
        </is>
      </c>
      <c r="C4180" s="2" t="inlineStr">
        <is>
          <t>코스닥</t>
        </is>
      </c>
      <c r="D4180" s="2" t="inlineStr">
        <is>
          <t>056190</t>
        </is>
      </c>
      <c r="E4180" s="3" t="inlineStr">
        <is>
          <t>주주총회소집공고</t>
        </is>
      </c>
      <c r="F4180" s="3" t="inlineStr">
        <is>
          <t>에스에프에이</t>
        </is>
      </c>
      <c r="G4180" s="2" t="inlineStr">
        <is>
          <t>20260316000600</t>
        </is>
      </c>
      <c r="H4180" s="8">
        <f>HYPERLINK("https://dart.fss.or.kr/dsaf001/main.do?rcpNo=20260316000600", "공시열람")</f>
        <v/>
      </c>
    </row>
    <row r="4181">
      <c r="A4181" s="2" t="inlineStr">
        <is>
          <t>2026-03-16</t>
        </is>
      </c>
      <c r="B4181" s="3" t="inlineStr">
        <is>
          <t>티비에이치글로벌</t>
        </is>
      </c>
      <c r="C4181" s="2" t="inlineStr">
        <is>
          <t>코스피</t>
        </is>
      </c>
      <c r="D4181" s="2" t="inlineStr">
        <is>
          <t>084870</t>
        </is>
      </c>
      <c r="E4181" s="3" t="inlineStr">
        <is>
          <t>주주총회소집공고</t>
        </is>
      </c>
      <c r="F4181" s="3" t="inlineStr">
        <is>
          <t>티비에이치글로벌</t>
        </is>
      </c>
      <c r="G4181" s="2" t="inlineStr">
        <is>
          <t>20260316000594</t>
        </is>
      </c>
      <c r="H4181" s="8">
        <f>HYPERLINK("https://dart.fss.or.kr/dsaf001/main.do?rcpNo=20260316000594", "공시열람")</f>
        <v/>
      </c>
    </row>
    <row r="4182">
      <c r="A4182" s="2" t="inlineStr">
        <is>
          <t>2026-03-16</t>
        </is>
      </c>
      <c r="B4182" s="3" t="inlineStr">
        <is>
          <t>이화공영</t>
        </is>
      </c>
      <c r="C4182" s="2" t="inlineStr">
        <is>
          <t>코스닥</t>
        </is>
      </c>
      <c r="D4182" s="2" t="inlineStr">
        <is>
          <t>001840</t>
        </is>
      </c>
      <c r="E4182" s="3" t="inlineStr">
        <is>
          <t>주주총회소집공고</t>
        </is>
      </c>
      <c r="F4182" s="3" t="inlineStr">
        <is>
          <t>이화공영</t>
        </is>
      </c>
      <c r="G4182" s="2" t="inlineStr">
        <is>
          <t>20260316000593</t>
        </is>
      </c>
      <c r="H4182" s="8">
        <f>HYPERLINK("https://dart.fss.or.kr/dsaf001/main.do?rcpNo=20260316000593", "공시열람")</f>
        <v/>
      </c>
    </row>
    <row r="4183">
      <c r="A4183" s="2" t="inlineStr">
        <is>
          <t>2026-03-16</t>
        </is>
      </c>
      <c r="B4183" s="3" t="inlineStr">
        <is>
          <t>큐엠씨</t>
        </is>
      </c>
      <c r="C4183" s="2" t="inlineStr">
        <is>
          <t>코넥스</t>
        </is>
      </c>
      <c r="D4183" s="2" t="inlineStr">
        <is>
          <t>136660</t>
        </is>
      </c>
      <c r="E4183" s="3" t="inlineStr">
        <is>
          <t>주주총회소집공고</t>
        </is>
      </c>
      <c r="F4183" s="3" t="inlineStr">
        <is>
          <t>큐엠씨</t>
        </is>
      </c>
      <c r="G4183" s="2" t="inlineStr">
        <is>
          <t>20260316000592</t>
        </is>
      </c>
      <c r="H4183" s="8">
        <f>HYPERLINK("https://dart.fss.or.kr/dsaf001/main.do?rcpNo=20260316000592", "공시열람")</f>
        <v/>
      </c>
    </row>
    <row r="4184">
      <c r="A4184" s="2" t="inlineStr">
        <is>
          <t>2026-03-16</t>
        </is>
      </c>
      <c r="B4184" s="3" t="inlineStr">
        <is>
          <t>피엔케이피부임상연구센타</t>
        </is>
      </c>
      <c r="C4184" s="2" t="inlineStr">
        <is>
          <t>코스닥</t>
        </is>
      </c>
      <c r="D4184" s="2" t="inlineStr">
        <is>
          <t>347740</t>
        </is>
      </c>
      <c r="E4184" s="3" t="inlineStr">
        <is>
          <t>주주총회소집공고</t>
        </is>
      </c>
      <c r="F4184" s="3" t="inlineStr">
        <is>
          <t>피엔케이피부임상연구센타</t>
        </is>
      </c>
      <c r="G4184" s="2" t="inlineStr">
        <is>
          <t>20260316000591</t>
        </is>
      </c>
      <c r="H4184" s="8">
        <f>HYPERLINK("https://dart.fss.or.kr/dsaf001/main.do?rcpNo=20260316000591", "공시열람")</f>
        <v/>
      </c>
    </row>
    <row r="4185">
      <c r="A4185" s="2" t="inlineStr">
        <is>
          <t>2026-03-16</t>
        </is>
      </c>
      <c r="B4185" s="3" t="inlineStr">
        <is>
          <t>뉴로핏</t>
        </is>
      </c>
      <c r="C4185" s="2" t="inlineStr">
        <is>
          <t>코스닥</t>
        </is>
      </c>
      <c r="D4185" s="2" t="inlineStr">
        <is>
          <t>380550</t>
        </is>
      </c>
      <c r="E4185" s="3" t="inlineStr">
        <is>
          <t>[기재정정]주주총회소집공고</t>
        </is>
      </c>
      <c r="F4185" s="3" t="inlineStr">
        <is>
          <t>뉴로핏</t>
        </is>
      </c>
      <c r="G4185" s="2" t="inlineStr">
        <is>
          <t>20260316000589</t>
        </is>
      </c>
      <c r="H4185" s="8">
        <f>HYPERLINK("https://dart.fss.or.kr/dsaf001/main.do?rcpNo=20260316000589", "공시열람")</f>
        <v/>
      </c>
    </row>
    <row r="4186">
      <c r="A4186" s="2" t="inlineStr">
        <is>
          <t>2026-03-16 (정정: 2026-05-27)</t>
        </is>
      </c>
      <c r="B4186" s="3" t="inlineStr">
        <is>
          <t>코스나인</t>
        </is>
      </c>
      <c r="C4186" s="2" t="inlineStr">
        <is>
          <t>코스닥</t>
        </is>
      </c>
      <c r="D4186" s="2" t="inlineStr">
        <is>
          <t>082660</t>
        </is>
      </c>
      <c r="E4186" s="3" t="inlineStr">
        <is>
          <t>주주총회소집공고 (정정: 20260527) (정정: 20260527)</t>
        </is>
      </c>
      <c r="F4186" s="3" t="inlineStr">
        <is>
          <t>코스나인</t>
        </is>
      </c>
      <c r="G4186" s="2" t="inlineStr">
        <is>
          <t>20260527900411</t>
        </is>
      </c>
      <c r="H4186" s="8">
        <f>HYPERLINK("https://dart.fss.or.kr/dsaf001/main.do?rcpNo=20260527900411", "공시열람")</f>
        <v/>
      </c>
    </row>
    <row r="4187">
      <c r="A4187" s="2" t="inlineStr">
        <is>
          <t>2026-03-16</t>
        </is>
      </c>
      <c r="B4187" s="3" t="inlineStr">
        <is>
          <t>SKAI</t>
        </is>
      </c>
      <c r="C4187" s="2" t="inlineStr">
        <is>
          <t>코스닥</t>
        </is>
      </c>
      <c r="D4187" s="2" t="inlineStr">
        <is>
          <t>357880</t>
        </is>
      </c>
      <c r="E4187" s="3" t="inlineStr">
        <is>
          <t>주주총회소집공고</t>
        </is>
      </c>
      <c r="F4187" s="3" t="inlineStr">
        <is>
          <t>SKAI</t>
        </is>
      </c>
      <c r="G4187" s="2" t="inlineStr">
        <is>
          <t>20260316000586</t>
        </is>
      </c>
      <c r="H4187" s="8">
        <f>HYPERLINK("https://dart.fss.or.kr/dsaf001/main.do?rcpNo=20260316000586", "공시열람")</f>
        <v/>
      </c>
    </row>
    <row r="4188">
      <c r="A4188" s="2" t="inlineStr">
        <is>
          <t>2026-03-16</t>
        </is>
      </c>
      <c r="B4188" s="3" t="inlineStr">
        <is>
          <t>솔디펜스</t>
        </is>
      </c>
      <c r="C4188" s="2" t="inlineStr">
        <is>
          <t>코스닥</t>
        </is>
      </c>
      <c r="D4188" s="2" t="inlineStr">
        <is>
          <t>215090</t>
        </is>
      </c>
      <c r="E4188" s="3" t="inlineStr">
        <is>
          <t>주주총회소집공고</t>
        </is>
      </c>
      <c r="F4188" s="3" t="inlineStr">
        <is>
          <t>솔디펜스</t>
        </is>
      </c>
      <c r="G4188" s="2" t="inlineStr">
        <is>
          <t>20260316000580</t>
        </is>
      </c>
      <c r="H4188" s="8">
        <f>HYPERLINK("https://dart.fss.or.kr/dsaf001/main.do?rcpNo=20260316000580", "공시열람")</f>
        <v/>
      </c>
    </row>
    <row r="4189">
      <c r="A4189" s="2" t="inlineStr">
        <is>
          <t>2026-03-16</t>
        </is>
      </c>
      <c r="B4189" s="3" t="inlineStr">
        <is>
          <t>미래에셋증권</t>
        </is>
      </c>
      <c r="C4189" s="2" t="inlineStr">
        <is>
          <t>코스피</t>
        </is>
      </c>
      <c r="D4189" s="2" t="inlineStr">
        <is>
          <t>006800</t>
        </is>
      </c>
      <c r="E4189" s="3" t="inlineStr">
        <is>
          <t>[기재정정]주주총회소집공고</t>
        </is>
      </c>
      <c r="F4189" s="3" t="inlineStr">
        <is>
          <t>미래에셋증권</t>
        </is>
      </c>
      <c r="G4189" s="2" t="inlineStr">
        <is>
          <t>20260316000579</t>
        </is>
      </c>
      <c r="H4189" s="8">
        <f>HYPERLINK("https://dart.fss.or.kr/dsaf001/main.do?rcpNo=20260316000579", "공시열람")</f>
        <v/>
      </c>
    </row>
    <row r="4190">
      <c r="A4190" s="2" t="inlineStr">
        <is>
          <t>2026-03-16 (정정: 2026-05-21)</t>
        </is>
      </c>
      <c r="B4190" s="3" t="inlineStr">
        <is>
          <t>비덴트</t>
        </is>
      </c>
      <c r="C4190" s="2" t="inlineStr">
        <is>
          <t>코스닥</t>
        </is>
      </c>
      <c r="D4190" s="2" t="inlineStr">
        <is>
          <t>121800</t>
        </is>
      </c>
      <c r="E4190" s="3" t="inlineStr">
        <is>
          <t>주주총회소집공고 (정정: 20260521)</t>
        </is>
      </c>
      <c r="F4190" s="3" t="inlineStr">
        <is>
          <t>비덴트</t>
        </is>
      </c>
      <c r="G4190" s="2" t="inlineStr">
        <is>
          <t>20260521900296</t>
        </is>
      </c>
      <c r="H4190" s="8">
        <f>HYPERLINK("https://dart.fss.or.kr/dsaf001/main.do?rcpNo=20260521900296", "공시열람")</f>
        <v/>
      </c>
    </row>
    <row r="4191">
      <c r="A4191" s="2" t="inlineStr">
        <is>
          <t>2026-03-16</t>
        </is>
      </c>
      <c r="B4191" s="3" t="inlineStr">
        <is>
          <t>서희건설</t>
        </is>
      </c>
      <c r="C4191" s="2" t="inlineStr">
        <is>
          <t>코스닥</t>
        </is>
      </c>
      <c r="D4191" s="2" t="inlineStr">
        <is>
          <t>035890</t>
        </is>
      </c>
      <c r="E4191" s="3" t="inlineStr">
        <is>
          <t>주주총회소집공고</t>
        </is>
      </c>
      <c r="F4191" s="3" t="inlineStr">
        <is>
          <t>서희건설</t>
        </is>
      </c>
      <c r="G4191" s="2" t="inlineStr">
        <is>
          <t>20260316000558</t>
        </is>
      </c>
      <c r="H4191" s="8">
        <f>HYPERLINK("https://dart.fss.or.kr/dsaf001/main.do?rcpNo=20260316000558", "공시열람")</f>
        <v/>
      </c>
    </row>
    <row r="4192">
      <c r="A4192" s="2" t="inlineStr">
        <is>
          <t>2026-03-16</t>
        </is>
      </c>
      <c r="B4192" s="3" t="inlineStr">
        <is>
          <t>화인베스틸</t>
        </is>
      </c>
      <c r="C4192" s="2" t="inlineStr">
        <is>
          <t>코스피</t>
        </is>
      </c>
      <c r="D4192" s="2" t="inlineStr">
        <is>
          <t>133820</t>
        </is>
      </c>
      <c r="E4192" s="3" t="inlineStr">
        <is>
          <t>주주총회소집공고</t>
        </is>
      </c>
      <c r="F4192" s="3" t="inlineStr">
        <is>
          <t>화인베스틸</t>
        </is>
      </c>
      <c r="G4192" s="2" t="inlineStr">
        <is>
          <t>20260316000555</t>
        </is>
      </c>
      <c r="H4192" s="8">
        <f>HYPERLINK("https://dart.fss.or.kr/dsaf001/main.do?rcpNo=20260316000555", "공시열람")</f>
        <v/>
      </c>
    </row>
    <row r="4193">
      <c r="A4193" s="2" t="inlineStr">
        <is>
          <t>2026-03-16</t>
        </is>
      </c>
      <c r="B4193" s="3" t="inlineStr">
        <is>
          <t>이노인스트루먼트</t>
        </is>
      </c>
      <c r="C4193" s="2" t="inlineStr">
        <is>
          <t>코스닥</t>
        </is>
      </c>
      <c r="D4193" s="2" t="inlineStr">
        <is>
          <t>215790</t>
        </is>
      </c>
      <c r="E4193" s="3" t="inlineStr">
        <is>
          <t>주주총회소집공고</t>
        </is>
      </c>
      <c r="F4193" s="3" t="inlineStr">
        <is>
          <t>이노인스트루먼트</t>
        </is>
      </c>
      <c r="G4193" s="2" t="inlineStr">
        <is>
          <t>20260316000552</t>
        </is>
      </c>
      <c r="H4193" s="8">
        <f>HYPERLINK("https://dart.fss.or.kr/dsaf001/main.do?rcpNo=20260316000552", "공시열람")</f>
        <v/>
      </c>
    </row>
    <row r="4194">
      <c r="A4194" s="2" t="inlineStr">
        <is>
          <t>2026-03-16</t>
        </is>
      </c>
      <c r="B4194" s="3" t="inlineStr">
        <is>
          <t>삼양컴텍</t>
        </is>
      </c>
      <c r="C4194" s="2" t="inlineStr">
        <is>
          <t>코스닥</t>
        </is>
      </c>
      <c r="D4194" s="2" t="inlineStr">
        <is>
          <t>484590</t>
        </is>
      </c>
      <c r="E4194" s="3" t="inlineStr">
        <is>
          <t>주주총회소집공고</t>
        </is>
      </c>
      <c r="F4194" s="3" t="inlineStr">
        <is>
          <t>삼양컴텍</t>
        </is>
      </c>
      <c r="G4194" s="2" t="inlineStr">
        <is>
          <t>20260316000549</t>
        </is>
      </c>
      <c r="H4194" s="8">
        <f>HYPERLINK("https://dart.fss.or.kr/dsaf001/main.do?rcpNo=20260316000549", "공시열람")</f>
        <v/>
      </c>
    </row>
    <row r="4195">
      <c r="A4195" s="2" t="inlineStr">
        <is>
          <t>2026-03-16</t>
        </is>
      </c>
      <c r="B4195" s="3" t="inlineStr">
        <is>
          <t>HC홈센타</t>
        </is>
      </c>
      <c r="C4195" s="2" t="inlineStr">
        <is>
          <t>코스닥</t>
        </is>
      </c>
      <c r="D4195" s="2" t="inlineStr">
        <is>
          <t>060560</t>
        </is>
      </c>
      <c r="E4195" s="3" t="inlineStr">
        <is>
          <t>주주총회소집공고</t>
        </is>
      </c>
      <c r="F4195" s="3" t="inlineStr">
        <is>
          <t>HC홈센타</t>
        </is>
      </c>
      <c r="G4195" s="2" t="inlineStr">
        <is>
          <t>20260316000548</t>
        </is>
      </c>
      <c r="H4195" s="8">
        <f>HYPERLINK("https://dart.fss.or.kr/dsaf001/main.do?rcpNo=20260316000548", "공시열람")</f>
        <v/>
      </c>
    </row>
    <row r="4196">
      <c r="A4196" s="2" t="inlineStr">
        <is>
          <t>2026-03-16</t>
        </is>
      </c>
      <c r="B4196" s="3" t="inlineStr">
        <is>
          <t>SAMG엔터</t>
        </is>
      </c>
      <c r="C4196" s="2" t="inlineStr">
        <is>
          <t>코스닥</t>
        </is>
      </c>
      <c r="D4196" s="2" t="inlineStr">
        <is>
          <t>419530</t>
        </is>
      </c>
      <c r="E4196" s="3" t="inlineStr">
        <is>
          <t>주주총회소집공고</t>
        </is>
      </c>
      <c r="F4196" s="3" t="inlineStr">
        <is>
          <t>SAMG엔터</t>
        </is>
      </c>
      <c r="G4196" s="2" t="inlineStr">
        <is>
          <t>20260316000543</t>
        </is>
      </c>
      <c r="H4196" s="8">
        <f>HYPERLINK("https://dart.fss.or.kr/dsaf001/main.do?rcpNo=20260316000543", "공시열람")</f>
        <v/>
      </c>
    </row>
    <row r="4197">
      <c r="A4197" s="2" t="inlineStr">
        <is>
          <t>2026-03-16</t>
        </is>
      </c>
      <c r="B4197" s="3" t="inlineStr">
        <is>
          <t>현대에이치티</t>
        </is>
      </c>
      <c r="C4197" s="2" t="inlineStr">
        <is>
          <t>코스닥</t>
        </is>
      </c>
      <c r="D4197" s="2" t="inlineStr">
        <is>
          <t>039010</t>
        </is>
      </c>
      <c r="E4197" s="3" t="inlineStr">
        <is>
          <t>주주총회소집공고</t>
        </is>
      </c>
      <c r="F4197" s="3" t="inlineStr">
        <is>
          <t>현대에이치티</t>
        </is>
      </c>
      <c r="G4197" s="2" t="inlineStr">
        <is>
          <t>20260316000530</t>
        </is>
      </c>
      <c r="H4197" s="8">
        <f>HYPERLINK("https://dart.fss.or.kr/dsaf001/main.do?rcpNo=20260316000530", "공시열람")</f>
        <v/>
      </c>
    </row>
    <row r="4198">
      <c r="A4198" s="2" t="inlineStr">
        <is>
          <t>2026-03-16</t>
        </is>
      </c>
      <c r="B4198" s="3" t="inlineStr">
        <is>
          <t>가이아코퍼레이션</t>
        </is>
      </c>
      <c r="C4198" s="2" t="inlineStr">
        <is>
          <t>코넥스</t>
        </is>
      </c>
      <c r="D4198" s="2" t="inlineStr">
        <is>
          <t>296520</t>
        </is>
      </c>
      <c r="E4198" s="3" t="inlineStr">
        <is>
          <t>주주총회소집공고</t>
        </is>
      </c>
      <c r="F4198" s="3" t="inlineStr">
        <is>
          <t>가이아코퍼레이션</t>
        </is>
      </c>
      <c r="G4198" s="2" t="inlineStr">
        <is>
          <t>20260316000529</t>
        </is>
      </c>
      <c r="H4198" s="8">
        <f>HYPERLINK("https://dart.fss.or.kr/dsaf001/main.do?rcpNo=20260316000529", "공시열람")</f>
        <v/>
      </c>
    </row>
    <row r="4199">
      <c r="A4199" s="2" t="inlineStr">
        <is>
          <t>2026-03-16</t>
        </is>
      </c>
      <c r="B4199" s="3" t="inlineStr">
        <is>
          <t>버킷스튜디오</t>
        </is>
      </c>
      <c r="C4199" s="2" t="inlineStr">
        <is>
          <t>코스닥</t>
        </is>
      </c>
      <c r="D4199" s="2" t="inlineStr">
        <is>
          <t>066410</t>
        </is>
      </c>
      <c r="E4199" s="3" t="inlineStr">
        <is>
          <t>주주총회소집공고</t>
        </is>
      </c>
      <c r="F4199" s="3" t="inlineStr">
        <is>
          <t>버킷스튜디오</t>
        </is>
      </c>
      <c r="G4199" s="2" t="inlineStr">
        <is>
          <t>20260316000528</t>
        </is>
      </c>
      <c r="H4199" s="8">
        <f>HYPERLINK("https://dart.fss.or.kr/dsaf001/main.do?rcpNo=20260316000528", "공시열람")</f>
        <v/>
      </c>
    </row>
    <row r="4200">
      <c r="A4200" s="2" t="inlineStr">
        <is>
          <t>2026-03-16</t>
        </is>
      </c>
      <c r="B4200" s="3" t="inlineStr">
        <is>
          <t>유비씨</t>
        </is>
      </c>
      <c r="C4200" s="2" t="inlineStr">
        <is>
          <t>코넥스</t>
        </is>
      </c>
      <c r="D4200" s="2" t="inlineStr">
        <is>
          <t>495810</t>
        </is>
      </c>
      <c r="E4200" s="3" t="inlineStr">
        <is>
          <t>주주총회소집공고</t>
        </is>
      </c>
      <c r="F4200" s="3" t="inlineStr">
        <is>
          <t>유비씨</t>
        </is>
      </c>
      <c r="G4200" s="2" t="inlineStr">
        <is>
          <t>20260316000525</t>
        </is>
      </c>
      <c r="H4200" s="8">
        <f>HYPERLINK("https://dart.fss.or.kr/dsaf001/main.do?rcpNo=20260316000525", "공시열람")</f>
        <v/>
      </c>
    </row>
    <row r="4201">
      <c r="A4201" s="2" t="inlineStr">
        <is>
          <t>2026-03-16 (정정: 2026-06-09)</t>
        </is>
      </c>
      <c r="B4201" s="3" t="inlineStr">
        <is>
          <t>휴먼테크놀로지</t>
        </is>
      </c>
      <c r="C4201" s="2" t="inlineStr">
        <is>
          <t>코스닥</t>
        </is>
      </c>
      <c r="D4201" s="2" t="inlineStr">
        <is>
          <t>175140</t>
        </is>
      </c>
      <c r="E4201" s="3" t="inlineStr">
        <is>
          <t>주주총회소집공고 (정정: 20260609)</t>
        </is>
      </c>
      <c r="F4201" s="3" t="inlineStr">
        <is>
          <t>휴먼테크놀로지</t>
        </is>
      </c>
      <c r="G4201" s="2" t="inlineStr">
        <is>
          <t>20260609000390</t>
        </is>
      </c>
      <c r="H4201" s="8">
        <f>HYPERLINK("https://dart.fss.or.kr/dsaf001/main.do?rcpNo=20260609000390", "공시열람")</f>
        <v/>
      </c>
    </row>
    <row r="4202">
      <c r="A4202" s="2" t="inlineStr">
        <is>
          <t>2026-03-16</t>
        </is>
      </c>
      <c r="B4202" s="3" t="inlineStr">
        <is>
          <t>인베니아</t>
        </is>
      </c>
      <c r="C4202" s="2" t="inlineStr">
        <is>
          <t>코스닥</t>
        </is>
      </c>
      <c r="D4202" s="2" t="inlineStr">
        <is>
          <t>079950</t>
        </is>
      </c>
      <c r="E4202" s="3" t="inlineStr">
        <is>
          <t>주주총회소집공고</t>
        </is>
      </c>
      <c r="F4202" s="3" t="inlineStr">
        <is>
          <t>인베니아</t>
        </is>
      </c>
      <c r="G4202" s="2" t="inlineStr">
        <is>
          <t>20260316000510</t>
        </is>
      </c>
      <c r="H4202" s="8">
        <f>HYPERLINK("https://dart.fss.or.kr/dsaf001/main.do?rcpNo=20260316000510", "공시열람")</f>
        <v/>
      </c>
    </row>
    <row r="4203">
      <c r="A4203" s="2" t="inlineStr">
        <is>
          <t>2026-03-16</t>
        </is>
      </c>
      <c r="B4203" s="3" t="inlineStr">
        <is>
          <t>에이팩트</t>
        </is>
      </c>
      <c r="C4203" s="2" t="inlineStr">
        <is>
          <t>코스닥</t>
        </is>
      </c>
      <c r="D4203" s="2" t="inlineStr">
        <is>
          <t>200470</t>
        </is>
      </c>
      <c r="E4203" s="3" t="inlineStr">
        <is>
          <t>주주총회소집공고</t>
        </is>
      </c>
      <c r="F4203" s="3" t="inlineStr">
        <is>
          <t>에이팩트</t>
        </is>
      </c>
      <c r="G4203" s="2" t="inlineStr">
        <is>
          <t>20260316000506</t>
        </is>
      </c>
      <c r="H4203" s="8">
        <f>HYPERLINK("https://dart.fss.or.kr/dsaf001/main.do?rcpNo=20260316000506", "공시열람")</f>
        <v/>
      </c>
    </row>
    <row r="4204">
      <c r="A4204" s="2" t="inlineStr">
        <is>
          <t>2026-03-16</t>
        </is>
      </c>
      <c r="B4204" s="3" t="inlineStr">
        <is>
          <t>아이톡시</t>
        </is>
      </c>
      <c r="C4204" s="2" t="inlineStr">
        <is>
          <t>코스닥</t>
        </is>
      </c>
      <c r="D4204" s="2" t="inlineStr">
        <is>
          <t>052770</t>
        </is>
      </c>
      <c r="E4204" s="3" t="inlineStr">
        <is>
          <t>주주총회소집공고</t>
        </is>
      </c>
      <c r="F4204" s="3" t="inlineStr">
        <is>
          <t>아이톡시</t>
        </is>
      </c>
      <c r="G4204" s="2" t="inlineStr">
        <is>
          <t>20260316000503</t>
        </is>
      </c>
      <c r="H4204" s="8">
        <f>HYPERLINK("https://dart.fss.or.kr/dsaf001/main.do?rcpNo=20260316000503", "공시열람")</f>
        <v/>
      </c>
    </row>
    <row r="4205">
      <c r="A4205" s="2" t="inlineStr">
        <is>
          <t>2026-03-16</t>
        </is>
      </c>
      <c r="B4205" s="3" t="inlineStr">
        <is>
          <t>파루</t>
        </is>
      </c>
      <c r="C4205" s="2" t="inlineStr">
        <is>
          <t>코스닥</t>
        </is>
      </c>
      <c r="D4205" s="2" t="inlineStr">
        <is>
          <t>043200</t>
        </is>
      </c>
      <c r="E4205" s="3" t="inlineStr">
        <is>
          <t>주주총회소집공고</t>
        </is>
      </c>
      <c r="F4205" s="3" t="inlineStr">
        <is>
          <t>파루</t>
        </is>
      </c>
      <c r="G4205" s="2" t="inlineStr">
        <is>
          <t>20260316000502</t>
        </is>
      </c>
      <c r="H4205" s="8">
        <f>HYPERLINK("https://dart.fss.or.kr/dsaf001/main.do?rcpNo=20260316000502", "공시열람")</f>
        <v/>
      </c>
    </row>
    <row r="4206">
      <c r="A4206" s="2" t="inlineStr">
        <is>
          <t>2026-03-16</t>
        </is>
      </c>
      <c r="B4206" s="3" t="inlineStr">
        <is>
          <t>스타코링크</t>
        </is>
      </c>
      <c r="C4206" s="2" t="inlineStr">
        <is>
          <t>코스닥</t>
        </is>
      </c>
      <c r="D4206" s="2" t="inlineStr">
        <is>
          <t>060240</t>
        </is>
      </c>
      <c r="E4206" s="3" t="inlineStr">
        <is>
          <t>주주총회소집공고</t>
        </is>
      </c>
      <c r="F4206" s="3" t="inlineStr">
        <is>
          <t>스타코링크</t>
        </is>
      </c>
      <c r="G4206" s="2" t="inlineStr">
        <is>
          <t>20260316000500</t>
        </is>
      </c>
      <c r="H4206" s="8">
        <f>HYPERLINK("https://dart.fss.or.kr/dsaf001/main.do?rcpNo=20260316000500", "공시열람")</f>
        <v/>
      </c>
    </row>
    <row r="4207">
      <c r="A4207" s="2" t="inlineStr">
        <is>
          <t>2026-03-16 (정정: 2026-03-17)</t>
        </is>
      </c>
      <c r="B4207" s="3" t="inlineStr">
        <is>
          <t>옵트론텍</t>
        </is>
      </c>
      <c r="C4207" s="2" t="inlineStr">
        <is>
          <t>코스닥</t>
        </is>
      </c>
      <c r="D4207" s="2" t="inlineStr">
        <is>
          <t>082210</t>
        </is>
      </c>
      <c r="E4207" s="3" t="inlineStr">
        <is>
          <t>주주총회소집공고 (정정: 20260317)</t>
        </is>
      </c>
      <c r="F4207" s="3" t="inlineStr">
        <is>
          <t>옵트론텍</t>
        </is>
      </c>
      <c r="G4207" s="2" t="inlineStr">
        <is>
          <t>20260317000151</t>
        </is>
      </c>
      <c r="H4207" s="8">
        <f>HYPERLINK("https://dart.fss.or.kr/dsaf001/main.do?rcpNo=20260317000151", "공시열람")</f>
        <v/>
      </c>
    </row>
    <row r="4208">
      <c r="A4208" s="2" t="inlineStr">
        <is>
          <t>2026-03-16</t>
        </is>
      </c>
      <c r="B4208" s="3" t="inlineStr">
        <is>
          <t>엔시스</t>
        </is>
      </c>
      <c r="C4208" s="2" t="inlineStr">
        <is>
          <t>코스닥</t>
        </is>
      </c>
      <c r="D4208" s="2" t="inlineStr">
        <is>
          <t>333620</t>
        </is>
      </c>
      <c r="E4208" s="3" t="inlineStr">
        <is>
          <t>[기재정정]주주총회소집공고</t>
        </is>
      </c>
      <c r="F4208" s="3" t="inlineStr">
        <is>
          <t>엔시스</t>
        </is>
      </c>
      <c r="G4208" s="2" t="inlineStr">
        <is>
          <t>20260316000494</t>
        </is>
      </c>
      <c r="H4208" s="8">
        <f>HYPERLINK("https://dart.fss.or.kr/dsaf001/main.do?rcpNo=20260316000494", "공시열람")</f>
        <v/>
      </c>
    </row>
    <row r="4209">
      <c r="A4209" s="2" t="inlineStr">
        <is>
          <t>2026-03-16</t>
        </is>
      </c>
      <c r="B4209" s="3" t="inlineStr">
        <is>
          <t>아이에스티이</t>
        </is>
      </c>
      <c r="C4209" s="2" t="inlineStr">
        <is>
          <t>코스닥</t>
        </is>
      </c>
      <c r="D4209" s="2" t="inlineStr">
        <is>
          <t>212710</t>
        </is>
      </c>
      <c r="E4209" s="3" t="inlineStr">
        <is>
          <t>주주총회소집공고</t>
        </is>
      </c>
      <c r="F4209" s="3" t="inlineStr">
        <is>
          <t>아이에스티이</t>
        </is>
      </c>
      <c r="G4209" s="2" t="inlineStr">
        <is>
          <t>20260316000493</t>
        </is>
      </c>
      <c r="H4209" s="8">
        <f>HYPERLINK("https://dart.fss.or.kr/dsaf001/main.do?rcpNo=20260316000493", "공시열람")</f>
        <v/>
      </c>
    </row>
    <row r="4210">
      <c r="A4210" s="2" t="inlineStr">
        <is>
          <t>2026-03-16</t>
        </is>
      </c>
      <c r="B4210" s="3" t="inlineStr">
        <is>
          <t>메디젠휴먼케어</t>
        </is>
      </c>
      <c r="C4210" s="2" t="inlineStr">
        <is>
          <t>코넥스</t>
        </is>
      </c>
      <c r="D4210" s="2" t="inlineStr">
        <is>
          <t>236340</t>
        </is>
      </c>
      <c r="E4210" s="3" t="inlineStr">
        <is>
          <t>주주총회소집공고</t>
        </is>
      </c>
      <c r="F4210" s="3" t="inlineStr">
        <is>
          <t>메디젠휴먼케어</t>
        </is>
      </c>
      <c r="G4210" s="2" t="inlineStr">
        <is>
          <t>20260316000485</t>
        </is>
      </c>
      <c r="H4210" s="8">
        <f>HYPERLINK("https://dart.fss.or.kr/dsaf001/main.do?rcpNo=20260316000485", "공시열람")</f>
        <v/>
      </c>
    </row>
    <row r="4211">
      <c r="A4211" s="2" t="inlineStr">
        <is>
          <t>2026-03-16</t>
        </is>
      </c>
      <c r="B4211" s="3" t="inlineStr">
        <is>
          <t>황금에스티</t>
        </is>
      </c>
      <c r="C4211" s="2" t="inlineStr">
        <is>
          <t>코스피</t>
        </is>
      </c>
      <c r="D4211" s="2" t="inlineStr">
        <is>
          <t>032560</t>
        </is>
      </c>
      <c r="E4211" s="3" t="inlineStr">
        <is>
          <t>[기재정정]주주총회소집공고</t>
        </is>
      </c>
      <c r="F4211" s="3" t="inlineStr">
        <is>
          <t>황금에스티</t>
        </is>
      </c>
      <c r="G4211" s="2" t="inlineStr">
        <is>
          <t>20260316000480</t>
        </is>
      </c>
      <c r="H4211" s="8">
        <f>HYPERLINK("https://dart.fss.or.kr/dsaf001/main.do?rcpNo=20260316000480", "공시열람")</f>
        <v/>
      </c>
    </row>
    <row r="4212">
      <c r="A4212" s="2" t="inlineStr">
        <is>
          <t>2026-03-16</t>
        </is>
      </c>
      <c r="B4212" s="3" t="inlineStr">
        <is>
          <t>딥노이드</t>
        </is>
      </c>
      <c r="C4212" s="2" t="inlineStr">
        <is>
          <t>코스닥</t>
        </is>
      </c>
      <c r="D4212" s="2" t="inlineStr">
        <is>
          <t>315640</t>
        </is>
      </c>
      <c r="E4212" s="3" t="inlineStr">
        <is>
          <t>[기재정정]주주총회소집공고</t>
        </is>
      </c>
      <c r="F4212" s="3" t="inlineStr">
        <is>
          <t>딥노이드</t>
        </is>
      </c>
      <c r="G4212" s="2" t="inlineStr">
        <is>
          <t>20260316000475</t>
        </is>
      </c>
      <c r="H4212" s="8">
        <f>HYPERLINK("https://dart.fss.or.kr/dsaf001/main.do?rcpNo=20260316000475", "공시열람")</f>
        <v/>
      </c>
    </row>
    <row r="4213">
      <c r="A4213" s="2" t="inlineStr">
        <is>
          <t>2026-03-16</t>
        </is>
      </c>
      <c r="B4213" s="3" t="inlineStr">
        <is>
          <t>코미코</t>
        </is>
      </c>
      <c r="C4213" s="2" t="inlineStr">
        <is>
          <t>코스닥</t>
        </is>
      </c>
      <c r="D4213" s="2" t="inlineStr">
        <is>
          <t>183300</t>
        </is>
      </c>
      <c r="E4213" s="3" t="inlineStr">
        <is>
          <t>주주총회소집공고</t>
        </is>
      </c>
      <c r="F4213" s="3" t="inlineStr">
        <is>
          <t>코미코</t>
        </is>
      </c>
      <c r="G4213" s="2" t="inlineStr">
        <is>
          <t>20260316000471</t>
        </is>
      </c>
      <c r="H4213" s="8">
        <f>HYPERLINK("https://dart.fss.or.kr/dsaf001/main.do?rcpNo=20260316000471", "공시열람")</f>
        <v/>
      </c>
    </row>
    <row r="4214">
      <c r="A4214" s="2" t="inlineStr">
        <is>
          <t>2026-03-16</t>
        </is>
      </c>
      <c r="B4214" s="3" t="inlineStr">
        <is>
          <t>HC보광산업</t>
        </is>
      </c>
      <c r="C4214" s="2" t="inlineStr">
        <is>
          <t>코스닥</t>
        </is>
      </c>
      <c r="D4214" s="2" t="inlineStr">
        <is>
          <t>225530</t>
        </is>
      </c>
      <c r="E4214" s="3" t="inlineStr">
        <is>
          <t>주주총회소집공고</t>
        </is>
      </c>
      <c r="F4214" s="3" t="inlineStr">
        <is>
          <t>HC보광산업</t>
        </is>
      </c>
      <c r="G4214" s="2" t="inlineStr">
        <is>
          <t>20260316000467</t>
        </is>
      </c>
      <c r="H4214" s="8">
        <f>HYPERLINK("https://dart.fss.or.kr/dsaf001/main.do?rcpNo=20260316000467", "공시열람")</f>
        <v/>
      </c>
    </row>
    <row r="4215">
      <c r="A4215" s="2" t="inlineStr">
        <is>
          <t>2026-03-16</t>
        </is>
      </c>
      <c r="B4215" s="3" t="inlineStr">
        <is>
          <t>아이티센씨티에스</t>
        </is>
      </c>
      <c r="C4215" s="2" t="inlineStr">
        <is>
          <t>코스피</t>
        </is>
      </c>
      <c r="D4215" s="2" t="inlineStr">
        <is>
          <t>031820</t>
        </is>
      </c>
      <c r="E4215" s="3" t="inlineStr">
        <is>
          <t>주주총회소집공고</t>
        </is>
      </c>
      <c r="F4215" s="3" t="inlineStr">
        <is>
          <t>아이티센씨티에스</t>
        </is>
      </c>
      <c r="G4215" s="2" t="inlineStr">
        <is>
          <t>20260316000464</t>
        </is>
      </c>
      <c r="H4215" s="8">
        <f>HYPERLINK("https://dart.fss.or.kr/dsaf001/main.do?rcpNo=20260316000464", "공시열람")</f>
        <v/>
      </c>
    </row>
    <row r="4216">
      <c r="A4216" s="2" t="inlineStr">
        <is>
          <t>2026-03-16</t>
        </is>
      </c>
      <c r="B4216" s="3" t="inlineStr">
        <is>
          <t>알티캐스트</t>
        </is>
      </c>
      <c r="C4216" s="2" t="inlineStr">
        <is>
          <t>코스닥</t>
        </is>
      </c>
      <c r="D4216" s="2" t="inlineStr">
        <is>
          <t>085810</t>
        </is>
      </c>
      <c r="E4216" s="3" t="inlineStr">
        <is>
          <t>[기재정정]주주총회소집공고</t>
        </is>
      </c>
      <c r="F4216" s="3" t="inlineStr">
        <is>
          <t>알티캐스트</t>
        </is>
      </c>
      <c r="G4216" s="2" t="inlineStr">
        <is>
          <t>20260316000460</t>
        </is>
      </c>
      <c r="H4216" s="8">
        <f>HYPERLINK("https://dart.fss.or.kr/dsaf001/main.do?rcpNo=20260316000460", "공시열람")</f>
        <v/>
      </c>
    </row>
    <row r="4217">
      <c r="A4217" s="2" t="inlineStr">
        <is>
          <t>2026-03-16</t>
        </is>
      </c>
      <c r="B4217" s="3" t="inlineStr">
        <is>
          <t>유아이디</t>
        </is>
      </c>
      <c r="C4217" s="2" t="inlineStr">
        <is>
          <t>코스닥</t>
        </is>
      </c>
      <c r="D4217" s="2" t="inlineStr">
        <is>
          <t>069330</t>
        </is>
      </c>
      <c r="E4217" s="3" t="inlineStr">
        <is>
          <t>주주총회소집공고</t>
        </is>
      </c>
      <c r="F4217" s="3" t="inlineStr">
        <is>
          <t>유아이디</t>
        </is>
      </c>
      <c r="G4217" s="2" t="inlineStr">
        <is>
          <t>20260316000459</t>
        </is>
      </c>
      <c r="H4217" s="8">
        <f>HYPERLINK("https://dart.fss.or.kr/dsaf001/main.do?rcpNo=20260316000459", "공시열람")</f>
        <v/>
      </c>
    </row>
    <row r="4218">
      <c r="A4218" s="2" t="inlineStr">
        <is>
          <t>2026-03-16 (정정: 2026-05-21)</t>
        </is>
      </c>
      <c r="B4218" s="3" t="inlineStr">
        <is>
          <t>인바이오젠</t>
        </is>
      </c>
      <c r="C4218" s="2" t="inlineStr">
        <is>
          <t>코스피</t>
        </is>
      </c>
      <c r="D4218" s="2" t="inlineStr">
        <is>
          <t>101140</t>
        </is>
      </c>
      <c r="E4218" s="3" t="inlineStr">
        <is>
          <t>주주총회소집공고 (정정: 20260521)</t>
        </is>
      </c>
      <c r="F4218" s="3" t="inlineStr">
        <is>
          <t>인바이오젠</t>
        </is>
      </c>
      <c r="G4218" s="2" t="inlineStr">
        <is>
          <t>20260521800302</t>
        </is>
      </c>
      <c r="H4218" s="8">
        <f>HYPERLINK("https://dart.fss.or.kr/dsaf001/main.do?rcpNo=20260521800302", "공시열람")</f>
        <v/>
      </c>
    </row>
    <row r="4219">
      <c r="A4219" s="2" t="inlineStr">
        <is>
          <t>2026-03-16</t>
        </is>
      </c>
      <c r="B4219" s="3" t="inlineStr">
        <is>
          <t>바이오비쥬</t>
        </is>
      </c>
      <c r="C4219" s="2" t="inlineStr">
        <is>
          <t>코스닥</t>
        </is>
      </c>
      <c r="D4219" s="2" t="inlineStr">
        <is>
          <t>489460</t>
        </is>
      </c>
      <c r="E4219" s="3" t="inlineStr">
        <is>
          <t>주주총회소집공고</t>
        </is>
      </c>
      <c r="F4219" s="3" t="inlineStr">
        <is>
          <t>바이오비쥬</t>
        </is>
      </c>
      <c r="G4219" s="2" t="inlineStr">
        <is>
          <t>20260316000454</t>
        </is>
      </c>
      <c r="H4219" s="8">
        <f>HYPERLINK("https://dart.fss.or.kr/dsaf001/main.do?rcpNo=20260316000454", "공시열람")</f>
        <v/>
      </c>
    </row>
    <row r="4220">
      <c r="A4220" s="2" t="inlineStr">
        <is>
          <t>2026-03-16</t>
        </is>
      </c>
      <c r="B4220" s="3" t="inlineStr">
        <is>
          <t>본느</t>
        </is>
      </c>
      <c r="C4220" s="2" t="inlineStr">
        <is>
          <t>코스닥</t>
        </is>
      </c>
      <c r="D4220" s="2" t="inlineStr">
        <is>
          <t>226340</t>
        </is>
      </c>
      <c r="E4220" s="3" t="inlineStr">
        <is>
          <t>주주총회소집공고</t>
        </is>
      </c>
      <c r="F4220" s="3" t="inlineStr">
        <is>
          <t>본느</t>
        </is>
      </c>
      <c r="G4220" s="2" t="inlineStr">
        <is>
          <t>20260316000448</t>
        </is>
      </c>
      <c r="H4220" s="8">
        <f>HYPERLINK("https://dart.fss.or.kr/dsaf001/main.do?rcpNo=20260316000448", "공시열람")</f>
        <v/>
      </c>
    </row>
    <row r="4221">
      <c r="A4221" s="2" t="inlineStr">
        <is>
          <t>2026-03-16</t>
        </is>
      </c>
      <c r="B4221" s="3" t="inlineStr">
        <is>
          <t>아이엠</t>
        </is>
      </c>
      <c r="C4221" s="2" t="inlineStr">
        <is>
          <t>코스닥</t>
        </is>
      </c>
      <c r="D4221" s="2" t="inlineStr">
        <is>
          <t>101390</t>
        </is>
      </c>
      <c r="E4221" s="3" t="inlineStr">
        <is>
          <t>주주총회소집공고</t>
        </is>
      </c>
      <c r="F4221" s="3" t="inlineStr">
        <is>
          <t>아이엠</t>
        </is>
      </c>
      <c r="G4221" s="2" t="inlineStr">
        <is>
          <t>20260316000438</t>
        </is>
      </c>
      <c r="H4221" s="8">
        <f>HYPERLINK("https://dart.fss.or.kr/dsaf001/main.do?rcpNo=20260316000438", "공시열람")</f>
        <v/>
      </c>
    </row>
    <row r="4222">
      <c r="A4222" s="2" t="inlineStr">
        <is>
          <t>2026-03-16</t>
        </is>
      </c>
      <c r="B4222" s="3" t="inlineStr">
        <is>
          <t>피엠티</t>
        </is>
      </c>
      <c r="C4222" s="2" t="inlineStr">
        <is>
          <t>코스닥</t>
        </is>
      </c>
      <c r="D4222" s="2" t="inlineStr">
        <is>
          <t>147760</t>
        </is>
      </c>
      <c r="E4222" s="3" t="inlineStr">
        <is>
          <t>주주총회소집공고</t>
        </is>
      </c>
      <c r="F4222" s="3" t="inlineStr">
        <is>
          <t>피엠티</t>
        </is>
      </c>
      <c r="G4222" s="2" t="inlineStr">
        <is>
          <t>20260316000432</t>
        </is>
      </c>
      <c r="H4222" s="8">
        <f>HYPERLINK("https://dart.fss.or.kr/dsaf001/main.do?rcpNo=20260316000432", "공시열람")</f>
        <v/>
      </c>
    </row>
    <row r="4223">
      <c r="A4223" s="2" t="inlineStr">
        <is>
          <t>2026-03-16</t>
        </is>
      </c>
      <c r="B4223" s="3" t="inlineStr">
        <is>
          <t>아이오바이오</t>
        </is>
      </c>
      <c r="C4223" s="2" t="inlineStr">
        <is>
          <t>코넥스</t>
        </is>
      </c>
      <c r="D4223" s="2" t="inlineStr">
        <is>
          <t>447690</t>
        </is>
      </c>
      <c r="E4223" s="3" t="inlineStr">
        <is>
          <t>주주총회소집공고</t>
        </is>
      </c>
      <c r="F4223" s="3" t="inlineStr">
        <is>
          <t>아이오바이오</t>
        </is>
      </c>
      <c r="G4223" s="2" t="inlineStr">
        <is>
          <t>20260316000429</t>
        </is>
      </c>
      <c r="H4223" s="8">
        <f>HYPERLINK("https://dart.fss.or.kr/dsaf001/main.do?rcpNo=20260316000429", "공시열람")</f>
        <v/>
      </c>
    </row>
    <row r="4224">
      <c r="A4224" s="2" t="inlineStr">
        <is>
          <t>2026-03-16</t>
        </is>
      </c>
      <c r="B4224" s="3" t="inlineStr">
        <is>
          <t>그래디언트</t>
        </is>
      </c>
      <c r="C4224" s="2" t="inlineStr">
        <is>
          <t>코스닥</t>
        </is>
      </c>
      <c r="D4224" s="2" t="inlineStr">
        <is>
          <t>035080</t>
        </is>
      </c>
      <c r="E4224" s="3" t="inlineStr">
        <is>
          <t>주주총회소집공고</t>
        </is>
      </c>
      <c r="F4224" s="3" t="inlineStr">
        <is>
          <t>그래디언트</t>
        </is>
      </c>
      <c r="G4224" s="2" t="inlineStr">
        <is>
          <t>20260316000428</t>
        </is>
      </c>
      <c r="H4224" s="8">
        <f>HYPERLINK("https://dart.fss.or.kr/dsaf001/main.do?rcpNo=20260316000428", "공시열람")</f>
        <v/>
      </c>
    </row>
    <row r="4225">
      <c r="A4225" s="2" t="inlineStr">
        <is>
          <t>2026-03-16</t>
        </is>
      </c>
      <c r="B4225" s="3" t="inlineStr">
        <is>
          <t>뉴파워프라즈마</t>
        </is>
      </c>
      <c r="C4225" s="2" t="inlineStr">
        <is>
          <t>코스닥</t>
        </is>
      </c>
      <c r="D4225" s="2" t="inlineStr">
        <is>
          <t>144960</t>
        </is>
      </c>
      <c r="E4225" s="3" t="inlineStr">
        <is>
          <t>주주총회소집공고</t>
        </is>
      </c>
      <c r="F4225" s="3" t="inlineStr">
        <is>
          <t>뉴파워프라즈마</t>
        </is>
      </c>
      <c r="G4225" s="2" t="inlineStr">
        <is>
          <t>20260316000417</t>
        </is>
      </c>
      <c r="H4225" s="8">
        <f>HYPERLINK("https://dart.fss.or.kr/dsaf001/main.do?rcpNo=20260316000417", "공시열람")</f>
        <v/>
      </c>
    </row>
    <row r="4226">
      <c r="A4226" s="2" t="inlineStr">
        <is>
          <t>2026-03-16</t>
        </is>
      </c>
      <c r="B4226" s="3" t="inlineStr">
        <is>
          <t>서울평가정보</t>
        </is>
      </c>
      <c r="C4226" s="2" t="inlineStr">
        <is>
          <t>코스닥</t>
        </is>
      </c>
      <c r="D4226" s="2" t="inlineStr">
        <is>
          <t>036120</t>
        </is>
      </c>
      <c r="E4226" s="3" t="inlineStr">
        <is>
          <t>주주총회소집공고</t>
        </is>
      </c>
      <c r="F4226" s="3" t="inlineStr">
        <is>
          <t>서울평가정보</t>
        </is>
      </c>
      <c r="G4226" s="2" t="inlineStr">
        <is>
          <t>20260316000416</t>
        </is>
      </c>
      <c r="H4226" s="8">
        <f>HYPERLINK("https://dart.fss.or.kr/dsaf001/main.do?rcpNo=20260316000416", "공시열람")</f>
        <v/>
      </c>
    </row>
    <row r="4227">
      <c r="A4227" s="2" t="inlineStr">
        <is>
          <t>2026-03-16</t>
        </is>
      </c>
      <c r="B4227" s="3" t="inlineStr">
        <is>
          <t>휴엠앤씨</t>
        </is>
      </c>
      <c r="C4227" s="2" t="inlineStr">
        <is>
          <t>코스닥</t>
        </is>
      </c>
      <c r="D4227" s="2" t="inlineStr">
        <is>
          <t>263920</t>
        </is>
      </c>
      <c r="E4227" s="3" t="inlineStr">
        <is>
          <t>주주총회소집공고</t>
        </is>
      </c>
      <c r="F4227" s="3" t="inlineStr">
        <is>
          <t>휴엠앤씨</t>
        </is>
      </c>
      <c r="G4227" s="2" t="inlineStr">
        <is>
          <t>20260316000406</t>
        </is>
      </c>
      <c r="H4227" s="8">
        <f>HYPERLINK("https://dart.fss.or.kr/dsaf001/main.do?rcpNo=20260316000406", "공시열람")</f>
        <v/>
      </c>
    </row>
    <row r="4228">
      <c r="A4228" s="2" t="inlineStr">
        <is>
          <t>2026-03-16</t>
        </is>
      </c>
      <c r="B4228" s="3" t="inlineStr">
        <is>
          <t>청담글로벌</t>
        </is>
      </c>
      <c r="C4228" s="2" t="inlineStr">
        <is>
          <t>코스닥</t>
        </is>
      </c>
      <c r="D4228" s="2" t="inlineStr">
        <is>
          <t>362320</t>
        </is>
      </c>
      <c r="E4228" s="3" t="inlineStr">
        <is>
          <t>[기재정정]주주총회소집공고</t>
        </is>
      </c>
      <c r="F4228" s="3" t="inlineStr">
        <is>
          <t>청담글로벌</t>
        </is>
      </c>
      <c r="G4228" s="2" t="inlineStr">
        <is>
          <t>20260316000404</t>
        </is>
      </c>
      <c r="H4228" s="8">
        <f>HYPERLINK("https://dart.fss.or.kr/dsaf001/main.do?rcpNo=20260316000404", "공시열람")</f>
        <v/>
      </c>
    </row>
    <row r="4229">
      <c r="A4229" s="2" t="inlineStr">
        <is>
          <t>2026-03-16</t>
        </is>
      </c>
      <c r="B4229" s="3" t="inlineStr">
        <is>
          <t>테크트랜스</t>
        </is>
      </c>
      <c r="C4229" s="2" t="inlineStr">
        <is>
          <t>코넥스</t>
        </is>
      </c>
      <c r="D4229" s="2" t="inlineStr">
        <is>
          <t>258050</t>
        </is>
      </c>
      <c r="E4229" s="3" t="inlineStr">
        <is>
          <t>주주총회소집공고</t>
        </is>
      </c>
      <c r="F4229" s="3" t="inlineStr">
        <is>
          <t>테크트랜스</t>
        </is>
      </c>
      <c r="G4229" s="2" t="inlineStr">
        <is>
          <t>20260316000401</t>
        </is>
      </c>
      <c r="H4229" s="8">
        <f>HYPERLINK("https://dart.fss.or.kr/dsaf001/main.do?rcpNo=20260316000401", "공시열람")</f>
        <v/>
      </c>
    </row>
    <row r="4230">
      <c r="A4230" s="2" t="inlineStr">
        <is>
          <t>2026-03-16</t>
        </is>
      </c>
      <c r="B4230" s="3" t="inlineStr">
        <is>
          <t>팅크웨어</t>
        </is>
      </c>
      <c r="C4230" s="2" t="inlineStr">
        <is>
          <t>코스닥</t>
        </is>
      </c>
      <c r="D4230" s="2" t="inlineStr">
        <is>
          <t>084730</t>
        </is>
      </c>
      <c r="E4230" s="3" t="inlineStr">
        <is>
          <t>[기재정정]주주총회소집공고</t>
        </is>
      </c>
      <c r="F4230" s="3" t="inlineStr">
        <is>
          <t>팅크웨어</t>
        </is>
      </c>
      <c r="G4230" s="2" t="inlineStr">
        <is>
          <t>20260316000395</t>
        </is>
      </c>
      <c r="H4230" s="8">
        <f>HYPERLINK("https://dart.fss.or.kr/dsaf001/main.do?rcpNo=20260316000395", "공시열람")</f>
        <v/>
      </c>
    </row>
    <row r="4231">
      <c r="A4231" s="2" t="inlineStr">
        <is>
          <t>2026-03-16 (정정: 2026-03-23)</t>
        </is>
      </c>
      <c r="B4231" s="3" t="inlineStr">
        <is>
          <t>엘브이엠씨</t>
        </is>
      </c>
      <c r="C4231" s="2" t="inlineStr">
        <is>
          <t>코스피</t>
        </is>
      </c>
      <c r="D4231" s="2" t="inlineStr">
        <is>
          <t>900140</t>
        </is>
      </c>
      <c r="E4231" s="3" t="inlineStr">
        <is>
          <t>주주총회소집공고 (정정: 20260323)</t>
        </is>
      </c>
      <c r="F4231" s="3" t="inlineStr">
        <is>
          <t>엘브이엠씨</t>
        </is>
      </c>
      <c r="G4231" s="2" t="inlineStr">
        <is>
          <t>20260323000827</t>
        </is>
      </c>
      <c r="H4231" s="8">
        <f>HYPERLINK("https://dart.fss.or.kr/dsaf001/main.do?rcpNo=20260323000827", "공시열람")</f>
        <v/>
      </c>
    </row>
    <row r="4232">
      <c r="A4232" s="2" t="inlineStr">
        <is>
          <t>2026-03-16</t>
        </is>
      </c>
      <c r="B4232" s="3" t="inlineStr">
        <is>
          <t>퀀타매트릭스</t>
        </is>
      </c>
      <c r="C4232" s="2" t="inlineStr">
        <is>
          <t>코스닥</t>
        </is>
      </c>
      <c r="D4232" s="2" t="inlineStr">
        <is>
          <t>317690</t>
        </is>
      </c>
      <c r="E4232" s="3" t="inlineStr">
        <is>
          <t>주주총회소집공고</t>
        </is>
      </c>
      <c r="F4232" s="3" t="inlineStr">
        <is>
          <t>퀀타매트릭스</t>
        </is>
      </c>
      <c r="G4232" s="2" t="inlineStr">
        <is>
          <t>20260316000389</t>
        </is>
      </c>
      <c r="H4232" s="8">
        <f>HYPERLINK("https://dart.fss.or.kr/dsaf001/main.do?rcpNo=20260316000389", "공시열람")</f>
        <v/>
      </c>
    </row>
    <row r="4233">
      <c r="A4233" s="2" t="inlineStr">
        <is>
          <t>2026-03-16</t>
        </is>
      </c>
      <c r="B4233" s="3" t="inlineStr">
        <is>
          <t>한일화학</t>
        </is>
      </c>
      <c r="C4233" s="2" t="inlineStr">
        <is>
          <t>코스닥</t>
        </is>
      </c>
      <c r="D4233" s="2" t="inlineStr">
        <is>
          <t>007770</t>
        </is>
      </c>
      <c r="E4233" s="3" t="inlineStr">
        <is>
          <t>주주총회소집공고</t>
        </is>
      </c>
      <c r="F4233" s="3" t="inlineStr">
        <is>
          <t>한일화학</t>
        </is>
      </c>
      <c r="G4233" s="2" t="inlineStr">
        <is>
          <t>20260316000386</t>
        </is>
      </c>
      <c r="H4233" s="8">
        <f>HYPERLINK("https://dart.fss.or.kr/dsaf001/main.do?rcpNo=20260316000386", "공시열람")</f>
        <v/>
      </c>
    </row>
    <row r="4234">
      <c r="A4234" s="2" t="inlineStr">
        <is>
          <t>2026-03-16</t>
        </is>
      </c>
      <c r="B4234" s="3" t="inlineStr">
        <is>
          <t>엔에스컴퍼니</t>
        </is>
      </c>
      <c r="C4234" s="2" t="inlineStr">
        <is>
          <t>코넥스</t>
        </is>
      </c>
      <c r="D4234" s="2" t="inlineStr">
        <is>
          <t>224760</t>
        </is>
      </c>
      <c r="E4234" s="3" t="inlineStr">
        <is>
          <t>주주총회소집공고</t>
        </is>
      </c>
      <c r="F4234" s="3" t="inlineStr">
        <is>
          <t>엔에스컴퍼니</t>
        </is>
      </c>
      <c r="G4234" s="2" t="inlineStr">
        <is>
          <t>20260316000384</t>
        </is>
      </c>
      <c r="H4234" s="8">
        <f>HYPERLINK("https://dart.fss.or.kr/dsaf001/main.do?rcpNo=20260316000384", "공시열람")</f>
        <v/>
      </c>
    </row>
    <row r="4235">
      <c r="A4235" s="2" t="inlineStr">
        <is>
          <t>2026-03-16</t>
        </is>
      </c>
      <c r="B4235" s="3" t="inlineStr">
        <is>
          <t>킵스파마</t>
        </is>
      </c>
      <c r="C4235" s="2" t="inlineStr">
        <is>
          <t>코스닥</t>
        </is>
      </c>
      <c r="D4235" s="2" t="inlineStr">
        <is>
          <t>256940</t>
        </is>
      </c>
      <c r="E4235" s="3" t="inlineStr">
        <is>
          <t>[기재정정]주주총회소집공고</t>
        </is>
      </c>
      <c r="F4235" s="3" t="inlineStr">
        <is>
          <t>킵스파마</t>
        </is>
      </c>
      <c r="G4235" s="2" t="inlineStr">
        <is>
          <t>20260316000383</t>
        </is>
      </c>
      <c r="H4235" s="8">
        <f>HYPERLINK("https://dart.fss.or.kr/dsaf001/main.do?rcpNo=20260316000383", "공시열람")</f>
        <v/>
      </c>
    </row>
    <row r="4236">
      <c r="A4236" s="2" t="inlineStr">
        <is>
          <t>2026-03-16</t>
        </is>
      </c>
      <c r="B4236" s="3" t="inlineStr">
        <is>
          <t>포인트모바일</t>
        </is>
      </c>
      <c r="C4236" s="2" t="inlineStr">
        <is>
          <t>코스닥</t>
        </is>
      </c>
      <c r="D4236" s="2" t="inlineStr">
        <is>
          <t>318020</t>
        </is>
      </c>
      <c r="E4236" s="3" t="inlineStr">
        <is>
          <t>주주총회소집공고</t>
        </is>
      </c>
      <c r="F4236" s="3" t="inlineStr">
        <is>
          <t>포인트모바일</t>
        </is>
      </c>
      <c r="G4236" s="2" t="inlineStr">
        <is>
          <t>20260316000379</t>
        </is>
      </c>
      <c r="H4236" s="8">
        <f>HYPERLINK("https://dart.fss.or.kr/dsaf001/main.do?rcpNo=20260316000379", "공시열람")</f>
        <v/>
      </c>
    </row>
    <row r="4237">
      <c r="A4237" s="2" t="inlineStr">
        <is>
          <t>2026-03-16 (정정: 2026-03-17)</t>
        </is>
      </c>
      <c r="B4237" s="3" t="inlineStr">
        <is>
          <t>아진전자부품</t>
        </is>
      </c>
      <c r="C4237" s="2" t="inlineStr">
        <is>
          <t>코스피</t>
        </is>
      </c>
      <c r="D4237" s="2" t="inlineStr">
        <is>
          <t>009320</t>
        </is>
      </c>
      <c r="E4237" s="3" t="inlineStr">
        <is>
          <t>주주총회소집공고 (정정: 20260317)</t>
        </is>
      </c>
      <c r="F4237" s="3" t="inlineStr">
        <is>
          <t>아진전자부품</t>
        </is>
      </c>
      <c r="G4237" s="2" t="inlineStr">
        <is>
          <t>20260317000465</t>
        </is>
      </c>
      <c r="H4237" s="8">
        <f>HYPERLINK("https://dart.fss.or.kr/dsaf001/main.do?rcpNo=20260317000465", "공시열람")</f>
        <v/>
      </c>
    </row>
    <row r="4238">
      <c r="A4238" s="2" t="inlineStr">
        <is>
          <t>2026-03-16</t>
        </is>
      </c>
      <c r="B4238" s="3" t="inlineStr">
        <is>
          <t>유비벨록스</t>
        </is>
      </c>
      <c r="C4238" s="2" t="inlineStr">
        <is>
          <t>코스닥</t>
        </is>
      </c>
      <c r="D4238" s="2" t="inlineStr">
        <is>
          <t>089850</t>
        </is>
      </c>
      <c r="E4238" s="3" t="inlineStr">
        <is>
          <t>[기재정정]주주총회소집공고</t>
        </is>
      </c>
      <c r="F4238" s="3" t="inlineStr">
        <is>
          <t>유비벨록스</t>
        </is>
      </c>
      <c r="G4238" s="2" t="inlineStr">
        <is>
          <t>20260316000371</t>
        </is>
      </c>
      <c r="H4238" s="8">
        <f>HYPERLINK("https://dart.fss.or.kr/dsaf001/main.do?rcpNo=20260316000371", "공시열람")</f>
        <v/>
      </c>
    </row>
    <row r="4239">
      <c r="A4239" s="2" t="inlineStr">
        <is>
          <t>2026-03-16</t>
        </is>
      </c>
      <c r="B4239" s="3" t="inlineStr">
        <is>
          <t>아이티센글로벌</t>
        </is>
      </c>
      <c r="C4239" s="2" t="inlineStr">
        <is>
          <t>코스닥</t>
        </is>
      </c>
      <c r="D4239" s="2" t="inlineStr">
        <is>
          <t>124500</t>
        </is>
      </c>
      <c r="E4239" s="3" t="inlineStr">
        <is>
          <t>주주총회소집공고</t>
        </is>
      </c>
      <c r="F4239" s="3" t="inlineStr">
        <is>
          <t>아이티센글로벌</t>
        </is>
      </c>
      <c r="G4239" s="2" t="inlineStr">
        <is>
          <t>20260316000370</t>
        </is>
      </c>
      <c r="H4239" s="8">
        <f>HYPERLINK("https://dart.fss.or.kr/dsaf001/main.do?rcpNo=20260316000370", "공시열람")</f>
        <v/>
      </c>
    </row>
    <row r="4240">
      <c r="A4240" s="2" t="inlineStr">
        <is>
          <t>2026-03-16</t>
        </is>
      </c>
      <c r="B4240" s="3" t="inlineStr">
        <is>
          <t>팬젠</t>
        </is>
      </c>
      <c r="C4240" s="2" t="inlineStr">
        <is>
          <t>코스닥</t>
        </is>
      </c>
      <c r="D4240" s="2" t="inlineStr">
        <is>
          <t>222110</t>
        </is>
      </c>
      <c r="E4240" s="3" t="inlineStr">
        <is>
          <t>주주총회소집공고</t>
        </is>
      </c>
      <c r="F4240" s="3" t="inlineStr">
        <is>
          <t>팬젠</t>
        </is>
      </c>
      <c r="G4240" s="2" t="inlineStr">
        <is>
          <t>20260316000363</t>
        </is>
      </c>
      <c r="H4240" s="8">
        <f>HYPERLINK("https://dart.fss.or.kr/dsaf001/main.do?rcpNo=20260316000363", "공시열람")</f>
        <v/>
      </c>
    </row>
    <row r="4241">
      <c r="A4241" s="2" t="inlineStr">
        <is>
          <t>2026-03-16</t>
        </is>
      </c>
      <c r="B4241" s="3" t="inlineStr">
        <is>
          <t>그린광학</t>
        </is>
      </c>
      <c r="C4241" s="2" t="inlineStr">
        <is>
          <t>코스닥</t>
        </is>
      </c>
      <c r="D4241" s="2" t="inlineStr">
        <is>
          <t>0015G0</t>
        </is>
      </c>
      <c r="E4241" s="3" t="inlineStr">
        <is>
          <t>주주총회소집공고</t>
        </is>
      </c>
      <c r="F4241" s="3" t="inlineStr">
        <is>
          <t>그린광학</t>
        </is>
      </c>
      <c r="G4241" s="2" t="inlineStr">
        <is>
          <t>20260316000357</t>
        </is>
      </c>
      <c r="H4241" s="8">
        <f>HYPERLINK("https://dart.fss.or.kr/dsaf001/main.do?rcpNo=20260316000357", "공시열람")</f>
        <v/>
      </c>
    </row>
    <row r="4242">
      <c r="A4242" s="2" t="inlineStr">
        <is>
          <t>2026-03-16</t>
        </is>
      </c>
      <c r="B4242" s="3" t="inlineStr">
        <is>
          <t>탈로스</t>
        </is>
      </c>
      <c r="C4242" s="2" t="inlineStr">
        <is>
          <t>코넥스</t>
        </is>
      </c>
      <c r="D4242" s="2" t="inlineStr">
        <is>
          <t>434190</t>
        </is>
      </c>
      <c r="E4242" s="3" t="inlineStr">
        <is>
          <t>주주총회소집공고</t>
        </is>
      </c>
      <c r="F4242" s="3" t="inlineStr">
        <is>
          <t>탈로스</t>
        </is>
      </c>
      <c r="G4242" s="2" t="inlineStr">
        <is>
          <t>20260316000352</t>
        </is>
      </c>
      <c r="H4242" s="8">
        <f>HYPERLINK("https://dart.fss.or.kr/dsaf001/main.do?rcpNo=20260316000352", "공시열람")</f>
        <v/>
      </c>
    </row>
    <row r="4243">
      <c r="A4243" s="2" t="inlineStr">
        <is>
          <t>2026-03-16</t>
        </is>
      </c>
      <c r="B4243" s="3" t="inlineStr">
        <is>
          <t>PN풍년</t>
        </is>
      </c>
      <c r="C4243" s="2" t="inlineStr">
        <is>
          <t>코스닥</t>
        </is>
      </c>
      <c r="D4243" s="2" t="inlineStr">
        <is>
          <t>024940</t>
        </is>
      </c>
      <c r="E4243" s="3" t="inlineStr">
        <is>
          <t>주주총회소집공고</t>
        </is>
      </c>
      <c r="F4243" s="3" t="inlineStr">
        <is>
          <t>PN풍년</t>
        </is>
      </c>
      <c r="G4243" s="2" t="inlineStr">
        <is>
          <t>20260316000346</t>
        </is>
      </c>
      <c r="H4243" s="8">
        <f>HYPERLINK("https://dart.fss.or.kr/dsaf001/main.do?rcpNo=20260316000346", "공시열람")</f>
        <v/>
      </c>
    </row>
    <row r="4244">
      <c r="A4244" s="2" t="inlineStr">
        <is>
          <t>2026-03-16</t>
        </is>
      </c>
      <c r="B4244" s="3" t="inlineStr">
        <is>
          <t>이엠앤아이</t>
        </is>
      </c>
      <c r="C4244" s="2" t="inlineStr">
        <is>
          <t>코스닥</t>
        </is>
      </c>
      <c r="D4244" s="2" t="inlineStr">
        <is>
          <t>083470</t>
        </is>
      </c>
      <c r="E4244" s="3" t="inlineStr">
        <is>
          <t>[기재정정]주주총회소집공고</t>
        </is>
      </c>
      <c r="F4244" s="3" t="inlineStr">
        <is>
          <t>이엠앤아이</t>
        </is>
      </c>
      <c r="G4244" s="2" t="inlineStr">
        <is>
          <t>20260316000343</t>
        </is>
      </c>
      <c r="H4244" s="8">
        <f>HYPERLINK("https://dart.fss.or.kr/dsaf001/main.do?rcpNo=20260316000343", "공시열람")</f>
        <v/>
      </c>
    </row>
    <row r="4245">
      <c r="A4245" s="2" t="inlineStr">
        <is>
          <t>2026-03-16</t>
        </is>
      </c>
      <c r="B4245" s="3" t="inlineStr">
        <is>
          <t>남광토건</t>
        </is>
      </c>
      <c r="C4245" s="2" t="inlineStr">
        <is>
          <t>코스피</t>
        </is>
      </c>
      <c r="D4245" s="2" t="inlineStr">
        <is>
          <t>001260</t>
        </is>
      </c>
      <c r="E4245" s="3" t="inlineStr">
        <is>
          <t>주주총회소집공고</t>
        </is>
      </c>
      <c r="F4245" s="3" t="inlineStr">
        <is>
          <t>남광토건</t>
        </is>
      </c>
      <c r="G4245" s="2" t="inlineStr">
        <is>
          <t>20260316000341</t>
        </is>
      </c>
      <c r="H4245" s="8">
        <f>HYPERLINK("https://dart.fss.or.kr/dsaf001/main.do?rcpNo=20260316000341", "공시열람")</f>
        <v/>
      </c>
    </row>
    <row r="4246">
      <c r="A4246" s="2" t="inlineStr">
        <is>
          <t>2026-03-16</t>
        </is>
      </c>
      <c r="B4246" s="3" t="inlineStr">
        <is>
          <t>수산인더스트리</t>
        </is>
      </c>
      <c r="C4246" s="2" t="inlineStr">
        <is>
          <t>코스피</t>
        </is>
      </c>
      <c r="D4246" s="2" t="inlineStr">
        <is>
          <t>126720</t>
        </is>
      </c>
      <c r="E4246" s="3" t="inlineStr">
        <is>
          <t>주주총회소집공고</t>
        </is>
      </c>
      <c r="F4246" s="3" t="inlineStr">
        <is>
          <t>수산인더스트리</t>
        </is>
      </c>
      <c r="G4246" s="2" t="inlineStr">
        <is>
          <t>20260316000339</t>
        </is>
      </c>
      <c r="H4246" s="8">
        <f>HYPERLINK("https://dart.fss.or.kr/dsaf001/main.do?rcpNo=20260316000339", "공시열람")</f>
        <v/>
      </c>
    </row>
    <row r="4247">
      <c r="A4247" s="2" t="inlineStr">
        <is>
          <t>2026-03-16</t>
        </is>
      </c>
      <c r="B4247" s="3" t="inlineStr">
        <is>
          <t>AK홀딩스</t>
        </is>
      </c>
      <c r="C4247" s="2" t="inlineStr">
        <is>
          <t>코스피</t>
        </is>
      </c>
      <c r="D4247" s="2" t="inlineStr">
        <is>
          <t>006840</t>
        </is>
      </c>
      <c r="E4247" s="3" t="inlineStr">
        <is>
          <t>주주총회소집공고</t>
        </is>
      </c>
      <c r="F4247" s="3" t="inlineStr">
        <is>
          <t>AK홀딩스</t>
        </is>
      </c>
      <c r="G4247" s="2" t="inlineStr">
        <is>
          <t>20260316000332</t>
        </is>
      </c>
      <c r="H4247" s="8">
        <f>HYPERLINK("https://dart.fss.or.kr/dsaf001/main.do?rcpNo=20260316000332", "공시열람")</f>
        <v/>
      </c>
    </row>
    <row r="4248">
      <c r="A4248" s="2" t="inlineStr">
        <is>
          <t>2026-03-16</t>
        </is>
      </c>
      <c r="B4248" s="3" t="inlineStr">
        <is>
          <t>대주이엔티</t>
        </is>
      </c>
      <c r="C4248" s="2" t="inlineStr">
        <is>
          <t>코넥스</t>
        </is>
      </c>
      <c r="D4248" s="2" t="inlineStr">
        <is>
          <t>114920</t>
        </is>
      </c>
      <c r="E4248" s="3" t="inlineStr">
        <is>
          <t>주주총회소집공고</t>
        </is>
      </c>
      <c r="F4248" s="3" t="inlineStr">
        <is>
          <t>대주이엔티</t>
        </is>
      </c>
      <c r="G4248" s="2" t="inlineStr">
        <is>
          <t>20260316000329</t>
        </is>
      </c>
      <c r="H4248" s="8">
        <f>HYPERLINK("https://dart.fss.or.kr/dsaf001/main.do?rcpNo=20260316000329", "공시열람")</f>
        <v/>
      </c>
    </row>
    <row r="4249">
      <c r="A4249" s="2" t="inlineStr">
        <is>
          <t>2026-03-16</t>
        </is>
      </c>
      <c r="B4249" s="3" t="inlineStr">
        <is>
          <t>야스</t>
        </is>
      </c>
      <c r="C4249" s="2" t="inlineStr">
        <is>
          <t>코스닥</t>
        </is>
      </c>
      <c r="D4249" s="2" t="inlineStr">
        <is>
          <t>255440</t>
        </is>
      </c>
      <c r="E4249" s="3" t="inlineStr">
        <is>
          <t>주주총회소집공고</t>
        </is>
      </c>
      <c r="F4249" s="3" t="inlineStr">
        <is>
          <t>야스</t>
        </is>
      </c>
      <c r="G4249" s="2" t="inlineStr">
        <is>
          <t>20260316000326</t>
        </is>
      </c>
      <c r="H4249" s="8">
        <f>HYPERLINK("https://dart.fss.or.kr/dsaf001/main.do?rcpNo=20260316000326", "공시열람")</f>
        <v/>
      </c>
    </row>
    <row r="4250">
      <c r="A4250" s="2" t="inlineStr">
        <is>
          <t>2026-03-16</t>
        </is>
      </c>
      <c r="B4250" s="3" t="inlineStr">
        <is>
          <t>에스지헬스케어</t>
        </is>
      </c>
      <c r="C4250" s="2" t="inlineStr">
        <is>
          <t>코스닥</t>
        </is>
      </c>
      <c r="D4250" s="2" t="inlineStr">
        <is>
          <t>398120</t>
        </is>
      </c>
      <c r="E4250" s="3" t="inlineStr">
        <is>
          <t>주주총회소집공고</t>
        </is>
      </c>
      <c r="F4250" s="3" t="inlineStr">
        <is>
          <t>에스지헬스케어</t>
        </is>
      </c>
      <c r="G4250" s="2" t="inlineStr">
        <is>
          <t>20260316000325</t>
        </is>
      </c>
      <c r="H4250" s="8">
        <f>HYPERLINK("https://dart.fss.or.kr/dsaf001/main.do?rcpNo=20260316000325", "공시열람")</f>
        <v/>
      </c>
    </row>
    <row r="4251">
      <c r="A4251" s="2" t="inlineStr">
        <is>
          <t>2026-03-16</t>
        </is>
      </c>
      <c r="B4251" s="3" t="inlineStr">
        <is>
          <t>지란지교시큐리티</t>
        </is>
      </c>
      <c r="C4251" s="2" t="inlineStr">
        <is>
          <t>코스닥</t>
        </is>
      </c>
      <c r="D4251" s="2" t="inlineStr">
        <is>
          <t>208350</t>
        </is>
      </c>
      <c r="E4251" s="3" t="inlineStr">
        <is>
          <t>주주총회소집공고</t>
        </is>
      </c>
      <c r="F4251" s="3" t="inlineStr">
        <is>
          <t>지란지교시큐리티</t>
        </is>
      </c>
      <c r="G4251" s="2" t="inlineStr">
        <is>
          <t>20260316000314</t>
        </is>
      </c>
      <c r="H4251" s="8">
        <f>HYPERLINK("https://dart.fss.or.kr/dsaf001/main.do?rcpNo=20260316000314", "공시열람")</f>
        <v/>
      </c>
    </row>
    <row r="4252">
      <c r="A4252" s="2" t="inlineStr">
        <is>
          <t>2026-03-16</t>
        </is>
      </c>
      <c r="B4252" s="3" t="inlineStr">
        <is>
          <t>수산아이앤티</t>
        </is>
      </c>
      <c r="C4252" s="2" t="inlineStr">
        <is>
          <t>코스닥</t>
        </is>
      </c>
      <c r="D4252" s="2" t="inlineStr">
        <is>
          <t>050960</t>
        </is>
      </c>
      <c r="E4252" s="3" t="inlineStr">
        <is>
          <t>주주총회소집공고</t>
        </is>
      </c>
      <c r="F4252" s="3" t="inlineStr">
        <is>
          <t>수산아이앤티</t>
        </is>
      </c>
      <c r="G4252" s="2" t="inlineStr">
        <is>
          <t>20260316000313</t>
        </is>
      </c>
      <c r="H4252" s="8">
        <f>HYPERLINK("https://dart.fss.or.kr/dsaf001/main.do?rcpNo=20260316000313", "공시열람")</f>
        <v/>
      </c>
    </row>
    <row r="4253">
      <c r="A4253" s="2" t="inlineStr">
        <is>
          <t>2026-03-16</t>
        </is>
      </c>
      <c r="B4253" s="3" t="inlineStr">
        <is>
          <t>엄지하우스</t>
        </is>
      </c>
      <c r="C4253" s="2" t="inlineStr">
        <is>
          <t>코넥스</t>
        </is>
      </c>
      <c r="D4253" s="2" t="inlineStr">
        <is>
          <t>224810</t>
        </is>
      </c>
      <c r="E4253" s="3" t="inlineStr">
        <is>
          <t>주주총회소집공고</t>
        </is>
      </c>
      <c r="F4253" s="3" t="inlineStr">
        <is>
          <t>엄지하우스</t>
        </is>
      </c>
      <c r="G4253" s="2" t="inlineStr">
        <is>
          <t>20260316000310</t>
        </is>
      </c>
      <c r="H4253" s="8">
        <f>HYPERLINK("https://dart.fss.or.kr/dsaf001/main.do?rcpNo=20260316000310", "공시열람")</f>
        <v/>
      </c>
    </row>
    <row r="4254">
      <c r="A4254" s="2" t="inlineStr">
        <is>
          <t>2026-03-16</t>
        </is>
      </c>
      <c r="B4254" s="3" t="inlineStr">
        <is>
          <t>진시스템</t>
        </is>
      </c>
      <c r="C4254" s="2" t="inlineStr">
        <is>
          <t>코스닥</t>
        </is>
      </c>
      <c r="D4254" s="2" t="inlineStr">
        <is>
          <t>363250</t>
        </is>
      </c>
      <c r="E4254" s="3" t="inlineStr">
        <is>
          <t>주주총회소집공고</t>
        </is>
      </c>
      <c r="F4254" s="3" t="inlineStr">
        <is>
          <t>진시스템</t>
        </is>
      </c>
      <c r="G4254" s="2" t="inlineStr">
        <is>
          <t>20260316000308</t>
        </is>
      </c>
      <c r="H4254" s="8">
        <f>HYPERLINK("https://dart.fss.or.kr/dsaf001/main.do?rcpNo=20260316000308", "공시열람")</f>
        <v/>
      </c>
    </row>
    <row r="4255">
      <c r="A4255" s="2" t="inlineStr">
        <is>
          <t>2026-03-16</t>
        </is>
      </c>
      <c r="B4255" s="3" t="inlineStr">
        <is>
          <t>더콘텐츠온</t>
        </is>
      </c>
      <c r="C4255" s="2" t="inlineStr">
        <is>
          <t>코넥스</t>
        </is>
      </c>
      <c r="D4255" s="2" t="inlineStr">
        <is>
          <t>302920</t>
        </is>
      </c>
      <c r="E4255" s="3" t="inlineStr">
        <is>
          <t>주주총회소집공고</t>
        </is>
      </c>
      <c r="F4255" s="3" t="inlineStr">
        <is>
          <t>더콘텐츠온</t>
        </is>
      </c>
      <c r="G4255" s="2" t="inlineStr">
        <is>
          <t>20260316000302</t>
        </is>
      </c>
      <c r="H4255" s="8">
        <f>HYPERLINK("https://dart.fss.or.kr/dsaf001/main.do?rcpNo=20260316000302", "공시열람")</f>
        <v/>
      </c>
    </row>
    <row r="4256">
      <c r="A4256" s="2" t="inlineStr">
        <is>
          <t>2026-03-16</t>
        </is>
      </c>
      <c r="B4256" s="3" t="inlineStr">
        <is>
          <t>이엠앤아이</t>
        </is>
      </c>
      <c r="C4256" s="2" t="inlineStr">
        <is>
          <t>코스닥</t>
        </is>
      </c>
      <c r="D4256" s="2" t="inlineStr">
        <is>
          <t>083470</t>
        </is>
      </c>
      <c r="E4256" s="3" t="inlineStr">
        <is>
          <t>주주총회소집공고</t>
        </is>
      </c>
      <c r="F4256" s="3" t="inlineStr">
        <is>
          <t>이엠앤아이</t>
        </is>
      </c>
      <c r="G4256" s="2" t="inlineStr">
        <is>
          <t>20260316000295</t>
        </is>
      </c>
      <c r="H4256" s="8">
        <f>HYPERLINK("https://dart.fss.or.kr/dsaf001/main.do?rcpNo=20260316000295", "공시열람")</f>
        <v/>
      </c>
    </row>
    <row r="4257">
      <c r="A4257" s="2" t="inlineStr">
        <is>
          <t>2026-03-16</t>
        </is>
      </c>
      <c r="B4257" s="3" t="inlineStr">
        <is>
          <t>클리오</t>
        </is>
      </c>
      <c r="C4257" s="2" t="inlineStr">
        <is>
          <t>코스닥</t>
        </is>
      </c>
      <c r="D4257" s="2" t="inlineStr">
        <is>
          <t>237880</t>
        </is>
      </c>
      <c r="E4257" s="3" t="inlineStr">
        <is>
          <t>주주총회소집공고</t>
        </is>
      </c>
      <c r="F4257" s="3" t="inlineStr">
        <is>
          <t>클리오</t>
        </is>
      </c>
      <c r="G4257" s="2" t="inlineStr">
        <is>
          <t>20260316000294</t>
        </is>
      </c>
      <c r="H4257" s="8">
        <f>HYPERLINK("https://dart.fss.or.kr/dsaf001/main.do?rcpNo=20260316000294", "공시열람")</f>
        <v/>
      </c>
    </row>
    <row r="4258">
      <c r="A4258" s="2" t="inlineStr">
        <is>
          <t>2026-03-16</t>
        </is>
      </c>
      <c r="B4258" s="3" t="inlineStr">
        <is>
          <t>티에스넥스젠</t>
        </is>
      </c>
      <c r="C4258" s="2" t="inlineStr">
        <is>
          <t>코스닥</t>
        </is>
      </c>
      <c r="D4258" s="2" t="inlineStr">
        <is>
          <t>043220</t>
        </is>
      </c>
      <c r="E4258" s="3" t="inlineStr">
        <is>
          <t>주주총회소집공고</t>
        </is>
      </c>
      <c r="F4258" s="3" t="inlineStr">
        <is>
          <t>티에스넥스젠</t>
        </is>
      </c>
      <c r="G4258" s="2" t="inlineStr">
        <is>
          <t>20260316000292</t>
        </is>
      </c>
      <c r="H4258" s="8">
        <f>HYPERLINK("https://dart.fss.or.kr/dsaf001/main.do?rcpNo=20260316000292", "공시열람")</f>
        <v/>
      </c>
    </row>
    <row r="4259">
      <c r="A4259" s="2" t="inlineStr">
        <is>
          <t>2026-03-16</t>
        </is>
      </c>
      <c r="B4259" s="3" t="inlineStr">
        <is>
          <t>청담글로벌</t>
        </is>
      </c>
      <c r="C4259" s="2" t="inlineStr">
        <is>
          <t>코스닥</t>
        </is>
      </c>
      <c r="D4259" s="2" t="inlineStr">
        <is>
          <t>362320</t>
        </is>
      </c>
      <c r="E4259" s="3" t="inlineStr">
        <is>
          <t>주주총회소집공고</t>
        </is>
      </c>
      <c r="F4259" s="3" t="inlineStr">
        <is>
          <t>청담글로벌</t>
        </is>
      </c>
      <c r="G4259" s="2" t="inlineStr">
        <is>
          <t>20260316000289</t>
        </is>
      </c>
      <c r="H4259" s="8">
        <f>HYPERLINK("https://dart.fss.or.kr/dsaf001/main.do?rcpNo=20260316000289", "공시열람")</f>
        <v/>
      </c>
    </row>
    <row r="4260">
      <c r="A4260" s="2" t="inlineStr">
        <is>
          <t>2026-03-16 (정정: 2026-06-15)</t>
        </is>
      </c>
      <c r="B4260" s="3" t="inlineStr">
        <is>
          <t>오르비텍</t>
        </is>
      </c>
      <c r="C4260" s="2" t="inlineStr">
        <is>
          <t>코스닥</t>
        </is>
      </c>
      <c r="D4260" s="2" t="inlineStr">
        <is>
          <t>046120</t>
        </is>
      </c>
      <c r="E4260" s="3" t="inlineStr">
        <is>
          <t>[기재정정]주주총회소집공고 (정정: 20260416) (정정: 20260615)</t>
        </is>
      </c>
      <c r="F4260" s="3" t="inlineStr">
        <is>
          <t>오르비텍</t>
        </is>
      </c>
      <c r="G4260" s="2" t="inlineStr">
        <is>
          <t>20260615900850</t>
        </is>
      </c>
      <c r="H4260" s="8">
        <f>HYPERLINK("https://dart.fss.or.kr/dsaf001/main.do?rcpNo=20260615900850", "공시열람")</f>
        <v/>
      </c>
    </row>
    <row r="4261">
      <c r="A4261" s="2" t="inlineStr">
        <is>
          <t>2026-03-16</t>
        </is>
      </c>
      <c r="B4261" s="3" t="inlineStr">
        <is>
          <t>쎄크</t>
        </is>
      </c>
      <c r="C4261" s="2" t="inlineStr">
        <is>
          <t>코스닥</t>
        </is>
      </c>
      <c r="D4261" s="2" t="inlineStr">
        <is>
          <t>081180</t>
        </is>
      </c>
      <c r="E4261" s="3" t="inlineStr">
        <is>
          <t>주주총회소집공고</t>
        </is>
      </c>
      <c r="F4261" s="3" t="inlineStr">
        <is>
          <t>쎄크</t>
        </is>
      </c>
      <c r="G4261" s="2" t="inlineStr">
        <is>
          <t>20260316000283</t>
        </is>
      </c>
      <c r="H4261" s="8">
        <f>HYPERLINK("https://dart.fss.or.kr/dsaf001/main.do?rcpNo=20260316000283", "공시열람")</f>
        <v/>
      </c>
    </row>
    <row r="4262">
      <c r="A4262" s="2" t="inlineStr">
        <is>
          <t>2026-03-16</t>
        </is>
      </c>
      <c r="B4262" s="3" t="inlineStr">
        <is>
          <t>아진산업</t>
        </is>
      </c>
      <c r="C4262" s="2" t="inlineStr">
        <is>
          <t>코스닥</t>
        </is>
      </c>
      <c r="D4262" s="2" t="inlineStr">
        <is>
          <t>013310</t>
        </is>
      </c>
      <c r="E4262" s="3" t="inlineStr">
        <is>
          <t>주주총회소집공고</t>
        </is>
      </c>
      <c r="F4262" s="3" t="inlineStr">
        <is>
          <t>아진산업</t>
        </is>
      </c>
      <c r="G4262" s="2" t="inlineStr">
        <is>
          <t>20260316000280</t>
        </is>
      </c>
      <c r="H4262" s="8">
        <f>HYPERLINK("https://dart.fss.or.kr/dsaf001/main.do?rcpNo=20260316000280", "공시열람")</f>
        <v/>
      </c>
    </row>
    <row r="4263">
      <c r="A4263" s="2" t="inlineStr">
        <is>
          <t>2026-03-16</t>
        </is>
      </c>
      <c r="B4263" s="3" t="inlineStr">
        <is>
          <t>씨앤씨인터내셔널</t>
        </is>
      </c>
      <c r="C4263" s="2" t="inlineStr">
        <is>
          <t>코스닥</t>
        </is>
      </c>
      <c r="D4263" s="2" t="inlineStr">
        <is>
          <t>352480</t>
        </is>
      </c>
      <c r="E4263" s="3" t="inlineStr">
        <is>
          <t>주주총회소집공고</t>
        </is>
      </c>
      <c r="F4263" s="3" t="inlineStr">
        <is>
          <t>씨앤씨인터내셔널</t>
        </is>
      </c>
      <c r="G4263" s="2" t="inlineStr">
        <is>
          <t>20260316000278</t>
        </is>
      </c>
      <c r="H4263" s="8">
        <f>HYPERLINK("https://dart.fss.or.kr/dsaf001/main.do?rcpNo=20260316000278", "공시열람")</f>
        <v/>
      </c>
    </row>
    <row r="4264">
      <c r="A4264" s="2" t="inlineStr">
        <is>
          <t>2026-03-16</t>
        </is>
      </c>
      <c r="B4264" s="3" t="inlineStr">
        <is>
          <t>팅크웨어</t>
        </is>
      </c>
      <c r="C4264" s="2" t="inlineStr">
        <is>
          <t>코스닥</t>
        </is>
      </c>
      <c r="D4264" s="2" t="inlineStr">
        <is>
          <t>084730</t>
        </is>
      </c>
      <c r="E4264" s="3" t="inlineStr">
        <is>
          <t>[기재정정]주주총회소집공고</t>
        </is>
      </c>
      <c r="F4264" s="3" t="inlineStr">
        <is>
          <t>팅크웨어</t>
        </is>
      </c>
      <c r="G4264" s="2" t="inlineStr">
        <is>
          <t>20260316000277</t>
        </is>
      </c>
      <c r="H4264" s="8">
        <f>HYPERLINK("https://dart.fss.or.kr/dsaf001/main.do?rcpNo=20260316000277", "공시열람")</f>
        <v/>
      </c>
    </row>
    <row r="4265">
      <c r="A4265" s="2" t="inlineStr">
        <is>
          <t>2026-03-16</t>
        </is>
      </c>
      <c r="B4265" s="3" t="inlineStr">
        <is>
          <t>노머스</t>
        </is>
      </c>
      <c r="C4265" s="2" t="inlineStr">
        <is>
          <t>코스닥</t>
        </is>
      </c>
      <c r="D4265" s="2" t="inlineStr">
        <is>
          <t>473980</t>
        </is>
      </c>
      <c r="E4265" s="3" t="inlineStr">
        <is>
          <t>[기재정정]주주총회소집공고</t>
        </is>
      </c>
      <c r="F4265" s="3" t="inlineStr">
        <is>
          <t>노머스</t>
        </is>
      </c>
      <c r="G4265" s="2" t="inlineStr">
        <is>
          <t>20260316000274</t>
        </is>
      </c>
      <c r="H4265" s="8">
        <f>HYPERLINK("https://dart.fss.or.kr/dsaf001/main.do?rcpNo=20260316000274", "공시열람")</f>
        <v/>
      </c>
    </row>
    <row r="4266">
      <c r="A4266" s="2" t="inlineStr">
        <is>
          <t>2026-03-16</t>
        </is>
      </c>
      <c r="B4266" s="3" t="inlineStr">
        <is>
          <t>차이커뮤니케이션</t>
        </is>
      </c>
      <c r="C4266" s="2" t="inlineStr">
        <is>
          <t>코스닥</t>
        </is>
      </c>
      <c r="D4266" s="2" t="inlineStr">
        <is>
          <t>351870</t>
        </is>
      </c>
      <c r="E4266" s="3" t="inlineStr">
        <is>
          <t>주주총회소집공고</t>
        </is>
      </c>
      <c r="F4266" s="3" t="inlineStr">
        <is>
          <t>차이커뮤니케이션</t>
        </is>
      </c>
      <c r="G4266" s="2" t="inlineStr">
        <is>
          <t>20260316000260</t>
        </is>
      </c>
      <c r="H4266" s="8">
        <f>HYPERLINK("https://dart.fss.or.kr/dsaf001/main.do?rcpNo=20260316000260", "공시열람")</f>
        <v/>
      </c>
    </row>
    <row r="4267">
      <c r="A4267" s="2" t="inlineStr">
        <is>
          <t>2026-03-16</t>
        </is>
      </c>
      <c r="B4267" s="3" t="inlineStr">
        <is>
          <t>신도기연</t>
        </is>
      </c>
      <c r="C4267" s="2" t="inlineStr">
        <is>
          <t>코스닥</t>
        </is>
      </c>
      <c r="D4267" s="2" t="inlineStr">
        <is>
          <t>290520</t>
        </is>
      </c>
      <c r="E4267" s="3" t="inlineStr">
        <is>
          <t>주주총회소집공고</t>
        </is>
      </c>
      <c r="F4267" s="3" t="inlineStr">
        <is>
          <t>신도기연</t>
        </is>
      </c>
      <c r="G4267" s="2" t="inlineStr">
        <is>
          <t>20260316000246</t>
        </is>
      </c>
      <c r="H4267" s="8">
        <f>HYPERLINK("https://dart.fss.or.kr/dsaf001/main.do?rcpNo=20260316000246", "공시열람")</f>
        <v/>
      </c>
    </row>
    <row r="4268">
      <c r="A4268" s="2" t="inlineStr">
        <is>
          <t>2026-03-16 (정정: 2026-03-18)</t>
        </is>
      </c>
      <c r="B4268" s="3" t="inlineStr">
        <is>
          <t>크레오에스지</t>
        </is>
      </c>
      <c r="C4268" s="2" t="inlineStr">
        <is>
          <t>코스닥</t>
        </is>
      </c>
      <c r="D4268" s="2" t="inlineStr">
        <is>
          <t>040350</t>
        </is>
      </c>
      <c r="E4268" s="3" t="inlineStr">
        <is>
          <t>주주총회소집공고 (정정: 20260318)</t>
        </is>
      </c>
      <c r="F4268" s="3" t="inlineStr">
        <is>
          <t>크레오에스지</t>
        </is>
      </c>
      <c r="G4268" s="2" t="inlineStr">
        <is>
          <t>20260318000648</t>
        </is>
      </c>
      <c r="H4268" s="8">
        <f>HYPERLINK("https://dart.fss.or.kr/dsaf001/main.do?rcpNo=20260318000648", "공시열람")</f>
        <v/>
      </c>
    </row>
    <row r="4269">
      <c r="A4269" s="2" t="inlineStr">
        <is>
          <t>2026-03-16</t>
        </is>
      </c>
      <c r="B4269" s="3" t="inlineStr">
        <is>
          <t>휴메딕스</t>
        </is>
      </c>
      <c r="C4269" s="2" t="inlineStr">
        <is>
          <t>코스닥</t>
        </is>
      </c>
      <c r="D4269" s="2" t="inlineStr">
        <is>
          <t>200670</t>
        </is>
      </c>
      <c r="E4269" s="3" t="inlineStr">
        <is>
          <t>주주총회소집공고</t>
        </is>
      </c>
      <c r="F4269" s="3" t="inlineStr">
        <is>
          <t>휴메딕스</t>
        </is>
      </c>
      <c r="G4269" s="2" t="inlineStr">
        <is>
          <t>20260316000228</t>
        </is>
      </c>
      <c r="H4269" s="8">
        <f>HYPERLINK("https://dart.fss.or.kr/dsaf001/main.do?rcpNo=20260316000228", "공시열람")</f>
        <v/>
      </c>
    </row>
    <row r="4270">
      <c r="A4270" s="2" t="inlineStr">
        <is>
          <t>2026-03-16</t>
        </is>
      </c>
      <c r="B4270" s="3" t="inlineStr">
        <is>
          <t>경동인베스트</t>
        </is>
      </c>
      <c r="C4270" s="2" t="inlineStr">
        <is>
          <t>코스피</t>
        </is>
      </c>
      <c r="D4270" s="2" t="inlineStr">
        <is>
          <t>012320</t>
        </is>
      </c>
      <c r="E4270" s="3" t="inlineStr">
        <is>
          <t>주주총회소집공고</t>
        </is>
      </c>
      <c r="F4270" s="3" t="inlineStr">
        <is>
          <t>경동인베스트</t>
        </is>
      </c>
      <c r="G4270" s="2" t="inlineStr">
        <is>
          <t>20260316000220</t>
        </is>
      </c>
      <c r="H4270" s="8">
        <f>HYPERLINK("https://dart.fss.or.kr/dsaf001/main.do?rcpNo=20260316000220", "공시열람")</f>
        <v/>
      </c>
    </row>
    <row r="4271">
      <c r="A4271" s="2" t="inlineStr">
        <is>
          <t>2026-03-16</t>
        </is>
      </c>
      <c r="B4271" s="3" t="inlineStr">
        <is>
          <t>대한조선</t>
        </is>
      </c>
      <c r="C4271" s="2" t="inlineStr">
        <is>
          <t>코스피</t>
        </is>
      </c>
      <c r="D4271" s="2" t="inlineStr">
        <is>
          <t>439260</t>
        </is>
      </c>
      <c r="E4271" s="3" t="inlineStr">
        <is>
          <t>주주총회소집공고</t>
        </is>
      </c>
      <c r="F4271" s="3" t="inlineStr">
        <is>
          <t>대한조선</t>
        </is>
      </c>
      <c r="G4271" s="2" t="inlineStr">
        <is>
          <t>20260316000214</t>
        </is>
      </c>
      <c r="H4271" s="8">
        <f>HYPERLINK("https://dart.fss.or.kr/dsaf001/main.do?rcpNo=20260316000214", "공시열람")</f>
        <v/>
      </c>
    </row>
    <row r="4272">
      <c r="A4272" s="2" t="inlineStr">
        <is>
          <t>2026-03-16</t>
        </is>
      </c>
      <c r="B4272" s="3" t="inlineStr">
        <is>
          <t>멀티캠퍼스</t>
        </is>
      </c>
      <c r="C4272" s="2" t="inlineStr">
        <is>
          <t>코스닥</t>
        </is>
      </c>
      <c r="D4272" s="2" t="inlineStr">
        <is>
          <t>067280</t>
        </is>
      </c>
      <c r="E4272" s="3" t="inlineStr">
        <is>
          <t>[기재정정]주주총회소집공고</t>
        </is>
      </c>
      <c r="F4272" s="3" t="inlineStr">
        <is>
          <t>멀티캠퍼스</t>
        </is>
      </c>
      <c r="G4272" s="2" t="inlineStr">
        <is>
          <t>20260316000210</t>
        </is>
      </c>
      <c r="H4272" s="8">
        <f>HYPERLINK("https://dart.fss.or.kr/dsaf001/main.do?rcpNo=20260316000210", "공시열람")</f>
        <v/>
      </c>
    </row>
    <row r="4273">
      <c r="A4273" s="2" t="inlineStr">
        <is>
          <t>2026-03-16</t>
        </is>
      </c>
      <c r="B4273" s="3" t="inlineStr">
        <is>
          <t>바이오인프라생명과학</t>
        </is>
      </c>
      <c r="C4273" s="2" t="inlineStr">
        <is>
          <t>코넥스</t>
        </is>
      </c>
      <c r="D4273" s="2" t="inlineStr">
        <is>
          <t>266470</t>
        </is>
      </c>
      <c r="E4273" s="3" t="inlineStr">
        <is>
          <t>주주총회소집공고</t>
        </is>
      </c>
      <c r="F4273" s="3" t="inlineStr">
        <is>
          <t>바이오인프라생명과학</t>
        </is>
      </c>
      <c r="G4273" s="2" t="inlineStr">
        <is>
          <t>20260316000208</t>
        </is>
      </c>
      <c r="H4273" s="8">
        <f>HYPERLINK("https://dart.fss.or.kr/dsaf001/main.do?rcpNo=20260316000208", "공시열람")</f>
        <v/>
      </c>
    </row>
    <row r="4274">
      <c r="A4274" s="2" t="inlineStr">
        <is>
          <t>2026-03-16</t>
        </is>
      </c>
      <c r="B4274" s="3" t="inlineStr">
        <is>
          <t>아이케이세미콘</t>
        </is>
      </c>
      <c r="C4274" s="2" t="inlineStr">
        <is>
          <t>코넥스</t>
        </is>
      </c>
      <c r="D4274" s="2" t="inlineStr">
        <is>
          <t>149010</t>
        </is>
      </c>
      <c r="E4274" s="3" t="inlineStr">
        <is>
          <t>주주총회소집공고</t>
        </is>
      </c>
      <c r="F4274" s="3" t="inlineStr">
        <is>
          <t>아이케이세미콘</t>
        </is>
      </c>
      <c r="G4274" s="2" t="inlineStr">
        <is>
          <t>20260316000199</t>
        </is>
      </c>
      <c r="H4274" s="8">
        <f>HYPERLINK("https://dart.fss.or.kr/dsaf001/main.do?rcpNo=20260316000199", "공시열람")</f>
        <v/>
      </c>
    </row>
    <row r="4275">
      <c r="A4275" s="2" t="inlineStr">
        <is>
          <t>2026-03-16</t>
        </is>
      </c>
      <c r="B4275" s="3" t="inlineStr">
        <is>
          <t>와이랩</t>
        </is>
      </c>
      <c r="C4275" s="2" t="inlineStr">
        <is>
          <t>코스닥</t>
        </is>
      </c>
      <c r="D4275" s="2" t="inlineStr">
        <is>
          <t>432430</t>
        </is>
      </c>
      <c r="E4275" s="3" t="inlineStr">
        <is>
          <t>주주총회소집공고</t>
        </is>
      </c>
      <c r="F4275" s="3" t="inlineStr">
        <is>
          <t>와이랩</t>
        </is>
      </c>
      <c r="G4275" s="2" t="inlineStr">
        <is>
          <t>20260316000175</t>
        </is>
      </c>
      <c r="H4275" s="8">
        <f>HYPERLINK("https://dart.fss.or.kr/dsaf001/main.do?rcpNo=20260316000175", "공시열람")</f>
        <v/>
      </c>
    </row>
    <row r="4276">
      <c r="A4276" s="2" t="inlineStr">
        <is>
          <t>2026-03-16</t>
        </is>
      </c>
      <c r="B4276" s="3" t="inlineStr">
        <is>
          <t>블루탑</t>
        </is>
      </c>
      <c r="C4276" s="2" t="inlineStr">
        <is>
          <t>코넥스</t>
        </is>
      </c>
      <c r="D4276" s="2" t="inlineStr">
        <is>
          <t>191600</t>
        </is>
      </c>
      <c r="E4276" s="3" t="inlineStr">
        <is>
          <t>주주총회소집공고</t>
        </is>
      </c>
      <c r="F4276" s="3" t="inlineStr">
        <is>
          <t>블루탑</t>
        </is>
      </c>
      <c r="G4276" s="2" t="inlineStr">
        <is>
          <t>20260316000174</t>
        </is>
      </c>
      <c r="H4276" s="8">
        <f>HYPERLINK("https://dart.fss.or.kr/dsaf001/main.do?rcpNo=20260316000174", "공시열람")</f>
        <v/>
      </c>
    </row>
    <row r="4277">
      <c r="A4277" s="2" t="inlineStr">
        <is>
          <t>2026-03-16</t>
        </is>
      </c>
      <c r="B4277" s="3" t="inlineStr">
        <is>
          <t>더핑크퐁컴퍼니</t>
        </is>
      </c>
      <c r="C4277" s="2" t="inlineStr">
        <is>
          <t>코스닥</t>
        </is>
      </c>
      <c r="D4277" s="2" t="inlineStr">
        <is>
          <t>403850</t>
        </is>
      </c>
      <c r="E4277" s="3" t="inlineStr">
        <is>
          <t>주주총회소집공고</t>
        </is>
      </c>
      <c r="F4277" s="3" t="inlineStr">
        <is>
          <t>더핑크퐁컴퍼니</t>
        </is>
      </c>
      <c r="G4277" s="2" t="inlineStr">
        <is>
          <t>20260316000164</t>
        </is>
      </c>
      <c r="H4277" s="8">
        <f>HYPERLINK("https://dart.fss.or.kr/dsaf001/main.do?rcpNo=20260316000164", "공시열람")</f>
        <v/>
      </c>
    </row>
    <row r="4278">
      <c r="A4278" s="2" t="inlineStr">
        <is>
          <t>2026-03-16</t>
        </is>
      </c>
      <c r="B4278" s="3" t="inlineStr">
        <is>
          <t>영흥</t>
        </is>
      </c>
      <c r="C4278" s="2" t="inlineStr">
        <is>
          <t>코스피</t>
        </is>
      </c>
      <c r="D4278" s="2" t="inlineStr">
        <is>
          <t>012160</t>
        </is>
      </c>
      <c r="E4278" s="3" t="inlineStr">
        <is>
          <t>주주총회소집공고</t>
        </is>
      </c>
      <c r="F4278" s="3" t="inlineStr">
        <is>
          <t>영흥</t>
        </is>
      </c>
      <c r="G4278" s="2" t="inlineStr">
        <is>
          <t>20260316000161</t>
        </is>
      </c>
      <c r="H4278" s="8">
        <f>HYPERLINK("https://dart.fss.or.kr/dsaf001/main.do?rcpNo=20260316000161", "공시열람")</f>
        <v/>
      </c>
    </row>
    <row r="4279">
      <c r="A4279" s="2" t="inlineStr">
        <is>
          <t>2026-03-16</t>
        </is>
      </c>
      <c r="B4279" s="3" t="inlineStr">
        <is>
          <t>씨피시스템</t>
        </is>
      </c>
      <c r="C4279" s="2" t="inlineStr">
        <is>
          <t>코스닥</t>
        </is>
      </c>
      <c r="D4279" s="2" t="inlineStr">
        <is>
          <t>413630</t>
        </is>
      </c>
      <c r="E4279" s="3" t="inlineStr">
        <is>
          <t>주주총회소집공고</t>
        </is>
      </c>
      <c r="F4279" s="3" t="inlineStr">
        <is>
          <t>씨피시스템</t>
        </is>
      </c>
      <c r="G4279" s="2" t="inlineStr">
        <is>
          <t>20260316000158</t>
        </is>
      </c>
      <c r="H4279" s="8">
        <f>HYPERLINK("https://dart.fss.or.kr/dsaf001/main.do?rcpNo=20260316000158", "공시열람")</f>
        <v/>
      </c>
    </row>
    <row r="4280">
      <c r="A4280" s="2" t="inlineStr">
        <is>
          <t>2026-03-16</t>
        </is>
      </c>
      <c r="B4280" s="3" t="inlineStr">
        <is>
          <t>아진엑스텍</t>
        </is>
      </c>
      <c r="C4280" s="2" t="inlineStr">
        <is>
          <t>코스닥</t>
        </is>
      </c>
      <c r="D4280" s="2" t="inlineStr">
        <is>
          <t>059120</t>
        </is>
      </c>
      <c r="E4280" s="3" t="inlineStr">
        <is>
          <t>주주총회소집공고</t>
        </is>
      </c>
      <c r="F4280" s="3" t="inlineStr">
        <is>
          <t>아진엑스텍</t>
        </is>
      </c>
      <c r="G4280" s="2" t="inlineStr">
        <is>
          <t>20260316000149</t>
        </is>
      </c>
      <c r="H4280" s="8">
        <f>HYPERLINK("https://dart.fss.or.kr/dsaf001/main.do?rcpNo=20260316000149", "공시열람")</f>
        <v/>
      </c>
    </row>
    <row r="4281">
      <c r="A4281" s="2" t="inlineStr">
        <is>
          <t>2026-03-16 (정정: 2026-03-17)</t>
        </is>
      </c>
      <c r="B4281" s="3" t="inlineStr">
        <is>
          <t>켐트로스</t>
        </is>
      </c>
      <c r="C4281" s="2" t="inlineStr">
        <is>
          <t>코스닥</t>
        </is>
      </c>
      <c r="D4281" s="2" t="inlineStr">
        <is>
          <t>220260</t>
        </is>
      </c>
      <c r="E4281" s="3" t="inlineStr">
        <is>
          <t>주주총회소집공고 (정정: 20260317)</t>
        </is>
      </c>
      <c r="F4281" s="3" t="inlineStr">
        <is>
          <t>켐트로스</t>
        </is>
      </c>
      <c r="G4281" s="2" t="inlineStr">
        <is>
          <t>20260317000178</t>
        </is>
      </c>
      <c r="H4281" s="8">
        <f>HYPERLINK("https://dart.fss.or.kr/dsaf001/main.do?rcpNo=20260317000178", "공시열람")</f>
        <v/>
      </c>
    </row>
    <row r="4282">
      <c r="A4282" s="2" t="inlineStr">
        <is>
          <t>2026-03-16</t>
        </is>
      </c>
      <c r="B4282" s="3" t="inlineStr">
        <is>
          <t>KC코트렐</t>
        </is>
      </c>
      <c r="C4282" s="2" t="inlineStr">
        <is>
          <t>코스피</t>
        </is>
      </c>
      <c r="D4282" s="2" t="inlineStr">
        <is>
          <t>119650</t>
        </is>
      </c>
      <c r="E4282" s="3" t="inlineStr">
        <is>
          <t>주주총회소집공고</t>
        </is>
      </c>
      <c r="F4282" s="3" t="inlineStr">
        <is>
          <t>KC코트렐</t>
        </is>
      </c>
      <c r="G4282" s="2" t="inlineStr">
        <is>
          <t>20260316000138</t>
        </is>
      </c>
      <c r="H4282" s="8">
        <f>HYPERLINK("https://dart.fss.or.kr/dsaf001/main.do?rcpNo=20260316000138", "공시열람")</f>
        <v/>
      </c>
    </row>
    <row r="4283">
      <c r="A4283" s="2" t="inlineStr">
        <is>
          <t>2026-03-16</t>
        </is>
      </c>
      <c r="B4283" s="3" t="inlineStr">
        <is>
          <t>유티아이</t>
        </is>
      </c>
      <c r="C4283" s="2" t="inlineStr">
        <is>
          <t>코스닥</t>
        </is>
      </c>
      <c r="D4283" s="2" t="inlineStr">
        <is>
          <t>179900</t>
        </is>
      </c>
      <c r="E4283" s="3" t="inlineStr">
        <is>
          <t>주주총회소집공고</t>
        </is>
      </c>
      <c r="F4283" s="3" t="inlineStr">
        <is>
          <t>유티아이</t>
        </is>
      </c>
      <c r="G4283" s="2" t="inlineStr">
        <is>
          <t>20260316000136</t>
        </is>
      </c>
      <c r="H4283" s="8">
        <f>HYPERLINK("https://dart.fss.or.kr/dsaf001/main.do?rcpNo=20260316000136", "공시열람")</f>
        <v/>
      </c>
    </row>
    <row r="4284">
      <c r="A4284" s="2" t="inlineStr">
        <is>
          <t>2026-03-16</t>
        </is>
      </c>
      <c r="B4284" s="3" t="inlineStr">
        <is>
          <t>원익QnC</t>
        </is>
      </c>
      <c r="C4284" s="2" t="inlineStr">
        <is>
          <t>코스닥</t>
        </is>
      </c>
      <c r="D4284" s="2" t="inlineStr">
        <is>
          <t>074600</t>
        </is>
      </c>
      <c r="E4284" s="3" t="inlineStr">
        <is>
          <t>주주총회소집공고</t>
        </is>
      </c>
      <c r="F4284" s="3" t="inlineStr">
        <is>
          <t>원익QnC</t>
        </is>
      </c>
      <c r="G4284" s="2" t="inlineStr">
        <is>
          <t>20260316000122</t>
        </is>
      </c>
      <c r="H4284" s="8">
        <f>HYPERLINK("https://dart.fss.or.kr/dsaf001/main.do?rcpNo=20260316000122", "공시열람")</f>
        <v/>
      </c>
    </row>
    <row r="4285">
      <c r="A4285" s="2" t="inlineStr">
        <is>
          <t>2026-03-16</t>
        </is>
      </c>
      <c r="B4285" s="3" t="inlineStr">
        <is>
          <t>서진오토모티브</t>
        </is>
      </c>
      <c r="C4285" s="2" t="inlineStr">
        <is>
          <t>코스닥</t>
        </is>
      </c>
      <c r="D4285" s="2" t="inlineStr">
        <is>
          <t>122690</t>
        </is>
      </c>
      <c r="E4285" s="3" t="inlineStr">
        <is>
          <t>주주총회소집공고</t>
        </is>
      </c>
      <c r="F4285" s="3" t="inlineStr">
        <is>
          <t>서진오토모티브</t>
        </is>
      </c>
      <c r="G4285" s="2" t="inlineStr">
        <is>
          <t>20260316000120</t>
        </is>
      </c>
      <c r="H4285" s="8">
        <f>HYPERLINK("https://dart.fss.or.kr/dsaf001/main.do?rcpNo=20260316000120", "공시열람")</f>
        <v/>
      </c>
    </row>
    <row r="4286">
      <c r="A4286" s="2" t="inlineStr">
        <is>
          <t>2026-03-16</t>
        </is>
      </c>
      <c r="B4286" s="3" t="inlineStr">
        <is>
          <t>황금에스티</t>
        </is>
      </c>
      <c r="C4286" s="2" t="inlineStr">
        <is>
          <t>코스피</t>
        </is>
      </c>
      <c r="D4286" s="2" t="inlineStr">
        <is>
          <t>032560</t>
        </is>
      </c>
      <c r="E4286" s="3" t="inlineStr">
        <is>
          <t>주주총회소집공고</t>
        </is>
      </c>
      <c r="F4286" s="3" t="inlineStr">
        <is>
          <t>황금에스티</t>
        </is>
      </c>
      <c r="G4286" s="2" t="inlineStr">
        <is>
          <t>20260316000119</t>
        </is>
      </c>
      <c r="H4286" s="8">
        <f>HYPERLINK("https://dart.fss.or.kr/dsaf001/main.do?rcpNo=20260316000119", "공시열람")</f>
        <v/>
      </c>
    </row>
    <row r="4287">
      <c r="A4287" s="2" t="inlineStr">
        <is>
          <t>2026-03-16</t>
        </is>
      </c>
      <c r="B4287" s="3" t="inlineStr">
        <is>
          <t>알트</t>
        </is>
      </c>
      <c r="C4287" s="2" t="inlineStr">
        <is>
          <t>코스닥</t>
        </is>
      </c>
      <c r="D4287" s="2" t="inlineStr">
        <is>
          <t>459550</t>
        </is>
      </c>
      <c r="E4287" s="3" t="inlineStr">
        <is>
          <t>주주총회소집공고</t>
        </is>
      </c>
      <c r="F4287" s="3" t="inlineStr">
        <is>
          <t>알트</t>
        </is>
      </c>
      <c r="G4287" s="2" t="inlineStr">
        <is>
          <t>20260316000115</t>
        </is>
      </c>
      <c r="H4287" s="8">
        <f>HYPERLINK("https://dart.fss.or.kr/dsaf001/main.do?rcpNo=20260316000115", "공시열람")</f>
        <v/>
      </c>
    </row>
    <row r="4288">
      <c r="A4288" s="2" t="inlineStr">
        <is>
          <t>2026-03-16 (정정: 2026-03-18)</t>
        </is>
      </c>
      <c r="B4288" s="3" t="inlineStr">
        <is>
          <t>아스플로</t>
        </is>
      </c>
      <c r="C4288" s="2" t="inlineStr">
        <is>
          <t>코스닥</t>
        </is>
      </c>
      <c r="D4288" s="2" t="inlineStr">
        <is>
          <t>159010</t>
        </is>
      </c>
      <c r="E4288" s="3" t="inlineStr">
        <is>
          <t>주주총회소집공고 (정정: 20260318)</t>
        </is>
      </c>
      <c r="F4288" s="3" t="inlineStr">
        <is>
          <t>아스플로</t>
        </is>
      </c>
      <c r="G4288" s="2" t="inlineStr">
        <is>
          <t>20260318000030</t>
        </is>
      </c>
      <c r="H4288" s="8">
        <f>HYPERLINK("https://dart.fss.or.kr/dsaf001/main.do?rcpNo=20260318000030", "공시열람")</f>
        <v/>
      </c>
    </row>
    <row r="4289">
      <c r="A4289" s="2" t="inlineStr">
        <is>
          <t>2026-03-16</t>
        </is>
      </c>
      <c r="B4289" s="3" t="inlineStr">
        <is>
          <t>판도라티비</t>
        </is>
      </c>
      <c r="C4289" s="2" t="inlineStr">
        <is>
          <t>코넥스</t>
        </is>
      </c>
      <c r="D4289" s="2" t="inlineStr">
        <is>
          <t>202960</t>
        </is>
      </c>
      <c r="E4289" s="3" t="inlineStr">
        <is>
          <t>주주총회소집공고</t>
        </is>
      </c>
      <c r="F4289" s="3" t="inlineStr">
        <is>
          <t>판도라티비</t>
        </is>
      </c>
      <c r="G4289" s="2" t="inlineStr">
        <is>
          <t>20260316000092</t>
        </is>
      </c>
      <c r="H4289" s="8">
        <f>HYPERLINK("https://dart.fss.or.kr/dsaf001/main.do?rcpNo=20260316000092", "공시열람")</f>
        <v/>
      </c>
    </row>
    <row r="4290">
      <c r="A4290" s="2" t="inlineStr">
        <is>
          <t>2026-03-16 (정정: 2026-06-10)</t>
        </is>
      </c>
      <c r="B4290" s="3" t="inlineStr">
        <is>
          <t>코메론</t>
        </is>
      </c>
      <c r="C4290" s="2" t="inlineStr">
        <is>
          <t>코스닥</t>
        </is>
      </c>
      <c r="D4290" s="2" t="inlineStr">
        <is>
          <t>049430</t>
        </is>
      </c>
      <c r="E4290" s="3" t="inlineStr">
        <is>
          <t>[기재정정]주주총회소집공고 (정정: 20260610)</t>
        </is>
      </c>
      <c r="F4290" s="3" t="inlineStr">
        <is>
          <t>코메론</t>
        </is>
      </c>
      <c r="G4290" s="2" t="inlineStr">
        <is>
          <t>20260610000589</t>
        </is>
      </c>
      <c r="H4290" s="8">
        <f>HYPERLINK("https://dart.fss.or.kr/dsaf001/main.do?rcpNo=20260610000589", "공시열람")</f>
        <v/>
      </c>
    </row>
    <row r="4291">
      <c r="A4291" s="2" t="inlineStr">
        <is>
          <t>2026-03-16</t>
        </is>
      </c>
      <c r="B4291" s="3" t="inlineStr">
        <is>
          <t>한국철강</t>
        </is>
      </c>
      <c r="C4291" s="2" t="inlineStr">
        <is>
          <t>코스피</t>
        </is>
      </c>
      <c r="D4291" s="2" t="inlineStr">
        <is>
          <t>104700</t>
        </is>
      </c>
      <c r="E4291" s="3" t="inlineStr">
        <is>
          <t>[기재정정]주주총회소집공고</t>
        </is>
      </c>
      <c r="F4291" s="3" t="inlineStr">
        <is>
          <t>한국철강</t>
        </is>
      </c>
      <c r="G4291" s="2" t="inlineStr">
        <is>
          <t>20260316000078</t>
        </is>
      </c>
      <c r="H4291" s="8">
        <f>HYPERLINK("https://dart.fss.or.kr/dsaf001/main.do?rcpNo=20260316000078", "공시열람")</f>
        <v/>
      </c>
    </row>
    <row r="4292">
      <c r="A4292" s="2" t="inlineStr">
        <is>
          <t>2026-03-16</t>
        </is>
      </c>
      <c r="B4292" s="3" t="inlineStr">
        <is>
          <t>원익</t>
        </is>
      </c>
      <c r="C4292" s="2" t="inlineStr">
        <is>
          <t>코스닥</t>
        </is>
      </c>
      <c r="D4292" s="2" t="inlineStr">
        <is>
          <t>032940</t>
        </is>
      </c>
      <c r="E4292" s="3" t="inlineStr">
        <is>
          <t>주주총회소집공고</t>
        </is>
      </c>
      <c r="F4292" s="3" t="inlineStr">
        <is>
          <t>원익</t>
        </is>
      </c>
      <c r="G4292" s="2" t="inlineStr">
        <is>
          <t>20260316000077</t>
        </is>
      </c>
      <c r="H4292" s="8">
        <f>HYPERLINK("https://dart.fss.or.kr/dsaf001/main.do?rcpNo=20260316000077", "공시열람")</f>
        <v/>
      </c>
    </row>
    <row r="4293">
      <c r="A4293" s="2" t="inlineStr">
        <is>
          <t>2026-03-16</t>
        </is>
      </c>
      <c r="B4293" s="3" t="inlineStr">
        <is>
          <t>타임기술</t>
        </is>
      </c>
      <c r="C4293" s="2" t="inlineStr">
        <is>
          <t>코넥스</t>
        </is>
      </c>
      <c r="D4293" s="2" t="inlineStr">
        <is>
          <t>318660</t>
        </is>
      </c>
      <c r="E4293" s="3" t="inlineStr">
        <is>
          <t>주주총회소집공고</t>
        </is>
      </c>
      <c r="F4293" s="3" t="inlineStr">
        <is>
          <t>타임기술</t>
        </is>
      </c>
      <c r="G4293" s="2" t="inlineStr">
        <is>
          <t>20260316000045</t>
        </is>
      </c>
      <c r="H4293" s="8">
        <f>HYPERLINK("https://dart.fss.or.kr/dsaf001/main.do?rcpNo=20260316000045", "공시열람")</f>
        <v/>
      </c>
    </row>
    <row r="4294">
      <c r="A4294" s="2" t="inlineStr">
        <is>
          <t>2026-03-16</t>
        </is>
      </c>
      <c r="B4294" s="3" t="inlineStr">
        <is>
          <t>현대공업</t>
        </is>
      </c>
      <c r="C4294" s="2" t="inlineStr">
        <is>
          <t>코스닥</t>
        </is>
      </c>
      <c r="D4294" s="2" t="inlineStr">
        <is>
          <t>170030</t>
        </is>
      </c>
      <c r="E4294" s="3" t="inlineStr">
        <is>
          <t>주주총회소집공고</t>
        </is>
      </c>
      <c r="F4294" s="3" t="inlineStr">
        <is>
          <t>현대공업</t>
        </is>
      </c>
      <c r="G4294" s="2" t="inlineStr">
        <is>
          <t>20260316000042</t>
        </is>
      </c>
      <c r="H4294" s="8">
        <f>HYPERLINK("https://dart.fss.or.kr/dsaf001/main.do?rcpNo=20260316000042", "공시열람")</f>
        <v/>
      </c>
    </row>
    <row r="4295">
      <c r="A4295" s="2" t="inlineStr">
        <is>
          <t>2026-03-16</t>
        </is>
      </c>
      <c r="B4295" s="3" t="inlineStr">
        <is>
          <t>국영지앤엠</t>
        </is>
      </c>
      <c r="C4295" s="2" t="inlineStr">
        <is>
          <t>코스닥</t>
        </is>
      </c>
      <c r="D4295" s="2" t="inlineStr">
        <is>
          <t>006050</t>
        </is>
      </c>
      <c r="E4295" s="3" t="inlineStr">
        <is>
          <t>[기재정정]주주총회소집공고</t>
        </is>
      </c>
      <c r="F4295" s="3" t="inlineStr">
        <is>
          <t>국영지앤엠</t>
        </is>
      </c>
      <c r="G4295" s="2" t="inlineStr">
        <is>
          <t>20260316000039</t>
        </is>
      </c>
      <c r="H4295" s="8">
        <f>HYPERLINK("https://dart.fss.or.kr/dsaf001/main.do?rcpNo=20260316000039", "공시열람")</f>
        <v/>
      </c>
    </row>
    <row r="4296">
      <c r="A4296" s="2" t="inlineStr">
        <is>
          <t>2026-03-16</t>
        </is>
      </c>
      <c r="B4296" s="3" t="inlineStr">
        <is>
          <t>루트락</t>
        </is>
      </c>
      <c r="C4296" s="2" t="inlineStr">
        <is>
          <t>코넥스</t>
        </is>
      </c>
      <c r="D4296" s="2" t="inlineStr">
        <is>
          <t>253610</t>
        </is>
      </c>
      <c r="E4296" s="3" t="inlineStr">
        <is>
          <t>[기재정정]주주총회소집공고</t>
        </is>
      </c>
      <c r="F4296" s="3" t="inlineStr">
        <is>
          <t>루트락</t>
        </is>
      </c>
      <c r="G4296" s="2" t="inlineStr">
        <is>
          <t>20260316000033</t>
        </is>
      </c>
      <c r="H4296" s="8">
        <f>HYPERLINK("https://dart.fss.or.kr/dsaf001/main.do?rcpNo=20260316000033", "공시열람")</f>
        <v/>
      </c>
    </row>
    <row r="4297">
      <c r="A4297" s="2" t="inlineStr">
        <is>
          <t>2026-03-16 (정정: 2026-03-17)</t>
        </is>
      </c>
      <c r="B4297" s="3" t="inlineStr">
        <is>
          <t>에스바이오메딕스</t>
        </is>
      </c>
      <c r="C4297" s="2" t="inlineStr">
        <is>
          <t>코스닥</t>
        </is>
      </c>
      <c r="D4297" s="2" t="inlineStr">
        <is>
          <t>304360</t>
        </is>
      </c>
      <c r="E4297" s="3" t="inlineStr">
        <is>
          <t>주주총회소집공고 (정정: 20260317)</t>
        </is>
      </c>
      <c r="F4297" s="3" t="inlineStr">
        <is>
          <t>에스바이오메딕스</t>
        </is>
      </c>
      <c r="G4297" s="2" t="inlineStr">
        <is>
          <t>20260317000711</t>
        </is>
      </c>
      <c r="H4297" s="8">
        <f>HYPERLINK("https://dart.fss.or.kr/dsaf001/main.do?rcpNo=20260317000711", "공시열람")</f>
        <v/>
      </c>
    </row>
    <row r="4298">
      <c r="A4298" s="2" t="inlineStr">
        <is>
          <t>2026-03-16</t>
        </is>
      </c>
      <c r="B4298" s="3" t="inlineStr">
        <is>
          <t>디에이피</t>
        </is>
      </c>
      <c r="C4298" s="2" t="inlineStr">
        <is>
          <t>코스닥</t>
        </is>
      </c>
      <c r="D4298" s="2" t="inlineStr">
        <is>
          <t>066900</t>
        </is>
      </c>
      <c r="E4298" s="3" t="inlineStr">
        <is>
          <t>주주총회소집공고</t>
        </is>
      </c>
      <c r="F4298" s="3" t="inlineStr">
        <is>
          <t>디에이피</t>
        </is>
      </c>
      <c r="G4298" s="2" t="inlineStr">
        <is>
          <t>20260313001377</t>
        </is>
      </c>
      <c r="H4298" s="8">
        <f>HYPERLINK("https://dart.fss.or.kr/dsaf001/main.do?rcpNo=20260313001377", "공시열람")</f>
        <v/>
      </c>
    </row>
    <row r="4299">
      <c r="A4299" s="2" t="inlineStr">
        <is>
          <t>2026-03-16</t>
        </is>
      </c>
      <c r="B4299" s="3" t="inlineStr">
        <is>
          <t>디와이피엔에프</t>
        </is>
      </c>
      <c r="C4299" s="2" t="inlineStr">
        <is>
          <t>코스닥</t>
        </is>
      </c>
      <c r="D4299" s="2" t="inlineStr">
        <is>
          <t>104460</t>
        </is>
      </c>
      <c r="E4299" s="3" t="inlineStr">
        <is>
          <t>주주총회소집공고</t>
        </is>
      </c>
      <c r="F4299" s="3" t="inlineStr">
        <is>
          <t>디와이피엔에프</t>
        </is>
      </c>
      <c r="G4299" s="2" t="inlineStr">
        <is>
          <t>20260313001376</t>
        </is>
      </c>
      <c r="H4299" s="8">
        <f>HYPERLINK("https://dart.fss.or.kr/dsaf001/main.do?rcpNo=20260313001376", "공시열람")</f>
        <v/>
      </c>
    </row>
    <row r="4300">
      <c r="A4300" s="2" t="inlineStr">
        <is>
          <t>2026-03-16</t>
        </is>
      </c>
      <c r="B4300" s="3" t="inlineStr">
        <is>
          <t>블루산업개발</t>
        </is>
      </c>
      <c r="C4300" s="2" t="inlineStr">
        <is>
          <t>코스피</t>
        </is>
      </c>
      <c r="D4300" s="2" t="inlineStr">
        <is>
          <t>006740</t>
        </is>
      </c>
      <c r="E4300" s="3" t="inlineStr">
        <is>
          <t>주주총회소집공고</t>
        </is>
      </c>
      <c r="F4300" s="3" t="inlineStr">
        <is>
          <t>블루산업개발</t>
        </is>
      </c>
      <c r="G4300" s="2" t="inlineStr">
        <is>
          <t>20260313001397</t>
        </is>
      </c>
      <c r="H4300" s="8">
        <f>HYPERLINK("https://dart.fss.or.kr/dsaf001/main.do?rcpNo=20260313001397", "공시열람")</f>
        <v/>
      </c>
    </row>
    <row r="4301">
      <c r="A4301" s="2" t="inlineStr">
        <is>
          <t>2026-03-16</t>
        </is>
      </c>
      <c r="B4301" s="3" t="inlineStr">
        <is>
          <t>삼영엠텍</t>
        </is>
      </c>
      <c r="C4301" s="2" t="inlineStr">
        <is>
          <t>코스닥</t>
        </is>
      </c>
      <c r="D4301" s="2" t="inlineStr">
        <is>
          <t>054540</t>
        </is>
      </c>
      <c r="E4301" s="3" t="inlineStr">
        <is>
          <t>[기재정정]주주총회소집공고</t>
        </is>
      </c>
      <c r="F4301" s="3" t="inlineStr">
        <is>
          <t>삼영엠텍</t>
        </is>
      </c>
      <c r="G4301" s="2" t="inlineStr">
        <is>
          <t>20260313001400</t>
        </is>
      </c>
      <c r="H4301" s="8">
        <f>HYPERLINK("https://dart.fss.or.kr/dsaf001/main.do?rcpNo=20260313001400", "공시열람")</f>
        <v/>
      </c>
    </row>
    <row r="4302">
      <c r="A4302" s="2" t="inlineStr">
        <is>
          <t>2026-03-16</t>
        </is>
      </c>
      <c r="B4302" s="3" t="inlineStr">
        <is>
          <t>아톤</t>
        </is>
      </c>
      <c r="C4302" s="2" t="inlineStr">
        <is>
          <t>코스닥</t>
        </is>
      </c>
      <c r="D4302" s="2" t="inlineStr">
        <is>
          <t>158430</t>
        </is>
      </c>
      <c r="E4302" s="3" t="inlineStr">
        <is>
          <t>주주총회소집공고</t>
        </is>
      </c>
      <c r="F4302" s="3" t="inlineStr">
        <is>
          <t>아톤</t>
        </is>
      </c>
      <c r="G4302" s="2" t="inlineStr">
        <is>
          <t>20260313001382</t>
        </is>
      </c>
      <c r="H4302" s="8">
        <f>HYPERLINK("https://dart.fss.or.kr/dsaf001/main.do?rcpNo=20260313001382", "공시열람")</f>
        <v/>
      </c>
    </row>
    <row r="4303">
      <c r="A4303" s="2" t="inlineStr">
        <is>
          <t>2026-03-16</t>
        </is>
      </c>
      <c r="B4303" s="3" t="inlineStr">
        <is>
          <t>엠케이전자</t>
        </is>
      </c>
      <c r="C4303" s="2" t="inlineStr">
        <is>
          <t>코스닥</t>
        </is>
      </c>
      <c r="D4303" s="2" t="inlineStr">
        <is>
          <t>033160</t>
        </is>
      </c>
      <c r="E4303" s="3" t="inlineStr">
        <is>
          <t>주주총회소집공고</t>
        </is>
      </c>
      <c r="F4303" s="3" t="inlineStr">
        <is>
          <t>엠케이전자</t>
        </is>
      </c>
      <c r="G4303" s="2" t="inlineStr">
        <is>
          <t>20260313001374</t>
        </is>
      </c>
      <c r="H4303" s="8">
        <f>HYPERLINK("https://dart.fss.or.kr/dsaf001/main.do?rcpNo=20260313001374", "공시열람")</f>
        <v/>
      </c>
    </row>
    <row r="4304">
      <c r="A4304" s="2" t="inlineStr">
        <is>
          <t>2026-03-16</t>
        </is>
      </c>
      <c r="B4304" s="3" t="inlineStr">
        <is>
          <t>킵스파마</t>
        </is>
      </c>
      <c r="C4304" s="2" t="inlineStr">
        <is>
          <t>코스닥</t>
        </is>
      </c>
      <c r="D4304" s="2" t="inlineStr">
        <is>
          <t>256940</t>
        </is>
      </c>
      <c r="E4304" s="3" t="inlineStr">
        <is>
          <t>주주총회소집공고</t>
        </is>
      </c>
      <c r="F4304" s="3" t="inlineStr">
        <is>
          <t>킵스파마</t>
        </is>
      </c>
      <c r="G4304" s="2" t="inlineStr">
        <is>
          <t>20260313001372</t>
        </is>
      </c>
      <c r="H4304" s="8">
        <f>HYPERLINK("https://dart.fss.or.kr/dsaf001/main.do?rcpNo=20260313001372", "공시열람")</f>
        <v/>
      </c>
    </row>
    <row r="4305">
      <c r="A4305" s="2" t="inlineStr">
        <is>
          <t>2026-03-16</t>
        </is>
      </c>
      <c r="B4305" s="3" t="inlineStr">
        <is>
          <t>팅크웨어</t>
        </is>
      </c>
      <c r="C4305" s="2" t="inlineStr">
        <is>
          <t>코스닥</t>
        </is>
      </c>
      <c r="D4305" s="2" t="inlineStr">
        <is>
          <t>084730</t>
        </is>
      </c>
      <c r="E4305" s="3" t="inlineStr">
        <is>
          <t>[기재정정]주주총회소집공고</t>
        </is>
      </c>
      <c r="F4305" s="3" t="inlineStr">
        <is>
          <t>팅크웨어</t>
        </is>
      </c>
      <c r="G4305" s="2" t="inlineStr">
        <is>
          <t>20260313001379</t>
        </is>
      </c>
      <c r="H4305" s="8">
        <f>HYPERLINK("https://dart.fss.or.kr/dsaf001/main.do?rcpNo=20260313001379", "공시열람")</f>
        <v/>
      </c>
    </row>
    <row r="4306">
      <c r="A4306" s="2" t="inlineStr">
        <is>
          <t>2026-03-17 (정정: 2026-06-10)</t>
        </is>
      </c>
      <c r="B4306" s="3" t="inlineStr">
        <is>
          <t>에스에프에이</t>
        </is>
      </c>
      <c r="C4306" s="2" t="inlineStr">
        <is>
          <t>코스닥</t>
        </is>
      </c>
      <c r="D4306" s="2" t="inlineStr">
        <is>
          <t>056190</t>
        </is>
      </c>
      <c r="E4306" s="3" t="inlineStr">
        <is>
          <t>[기재정정]주주총회소집공고 (정정: 20260610)</t>
        </is>
      </c>
      <c r="F4306" s="3" t="inlineStr">
        <is>
          <t>에스에프에이</t>
        </is>
      </c>
      <c r="G4306" s="2" t="inlineStr">
        <is>
          <t>20260610000400</t>
        </is>
      </c>
      <c r="H4306" s="8">
        <f>HYPERLINK("https://dart.fss.or.kr/dsaf001/main.do?rcpNo=20260610000400", "공시열람")</f>
        <v/>
      </c>
    </row>
    <row r="4307">
      <c r="A4307" s="2" t="inlineStr">
        <is>
          <t>2026-03-17 (정정: 2026-05-29)</t>
        </is>
      </c>
      <c r="B4307" s="3" t="inlineStr">
        <is>
          <t>케이엠제약</t>
        </is>
      </c>
      <c r="C4307" s="2" t="inlineStr">
        <is>
          <t>코스닥</t>
        </is>
      </c>
      <c r="D4307" s="2" t="inlineStr">
        <is>
          <t>225430</t>
        </is>
      </c>
      <c r="E4307" s="3" t="inlineStr">
        <is>
          <t>[기재정정]주주총회소집공고 (정정: 20260529)</t>
        </is>
      </c>
      <c r="F4307" s="3" t="inlineStr">
        <is>
          <t>케이엠제약</t>
        </is>
      </c>
      <c r="G4307" s="2" t="inlineStr">
        <is>
          <t>20260529001434</t>
        </is>
      </c>
      <c r="H4307" s="8">
        <f>HYPERLINK("https://dart.fss.or.kr/dsaf001/main.do?rcpNo=20260529001434", "공시열람")</f>
        <v/>
      </c>
    </row>
    <row r="4308">
      <c r="A4308" s="2" t="inlineStr">
        <is>
          <t>2026-03-09 (정정: 2026-03-17)</t>
        </is>
      </c>
      <c r="B4308" s="3" t="inlineStr">
        <is>
          <t>씨알푸드</t>
        </is>
      </c>
      <c r="C4308" s="2" t="inlineStr">
        <is>
          <t>코넥스</t>
        </is>
      </c>
      <c r="D4308" s="2" t="inlineStr">
        <is>
          <t>236030</t>
        </is>
      </c>
      <c r="E4308" s="3" t="inlineStr">
        <is>
          <t>[기재정정]주주총회소집공고</t>
        </is>
      </c>
      <c r="F4308" s="3" t="inlineStr">
        <is>
          <t>씨알푸드</t>
        </is>
      </c>
      <c r="G4308" s="2" t="inlineStr">
        <is>
          <t>20260317000630</t>
        </is>
      </c>
      <c r="H4308" s="8">
        <f>HYPERLINK("https://dart.fss.or.kr/dsaf001/main.do?rcpNo=20260317000630", "공시열람")</f>
        <v/>
      </c>
    </row>
    <row r="4309">
      <c r="A4309" s="2" t="inlineStr">
        <is>
          <t>2026-03-17</t>
        </is>
      </c>
      <c r="B4309" s="3" t="inlineStr">
        <is>
          <t>그린플러스</t>
        </is>
      </c>
      <c r="C4309" s="2" t="inlineStr">
        <is>
          <t>코스닥</t>
        </is>
      </c>
      <c r="D4309" s="2" t="inlineStr">
        <is>
          <t>186230</t>
        </is>
      </c>
      <c r="E4309" s="3" t="inlineStr">
        <is>
          <t>[기재정정]주주총회소집공고</t>
        </is>
      </c>
      <c r="F4309" s="3" t="inlineStr">
        <is>
          <t>그린플러스</t>
        </is>
      </c>
      <c r="G4309" s="2" t="inlineStr">
        <is>
          <t>20260317000616</t>
        </is>
      </c>
      <c r="H4309" s="8">
        <f>HYPERLINK("https://dart.fss.or.kr/dsaf001/main.do?rcpNo=20260317000616", "공시열람")</f>
        <v/>
      </c>
    </row>
    <row r="4310">
      <c r="A4310" s="2" t="inlineStr">
        <is>
          <t>2026-03-17</t>
        </is>
      </c>
      <c r="B4310" s="3" t="inlineStr">
        <is>
          <t>케일럼</t>
        </is>
      </c>
      <c r="C4310" s="2" t="inlineStr">
        <is>
          <t>코스닥</t>
        </is>
      </c>
      <c r="D4310" s="2" t="inlineStr">
        <is>
          <t>258610</t>
        </is>
      </c>
      <c r="E4310" s="3" t="inlineStr">
        <is>
          <t>[기재정정]주주총회소집공고</t>
        </is>
      </c>
      <c r="F4310" s="3" t="inlineStr">
        <is>
          <t>케일럼</t>
        </is>
      </c>
      <c r="G4310" s="2" t="inlineStr">
        <is>
          <t>20260317000501</t>
        </is>
      </c>
      <c r="H4310" s="8">
        <f>HYPERLINK("https://dart.fss.or.kr/dsaf001/main.do?rcpNo=20260317000501", "공시열람")</f>
        <v/>
      </c>
    </row>
    <row r="4311">
      <c r="A4311" s="2" t="inlineStr">
        <is>
          <t>2026-03-17</t>
        </is>
      </c>
      <c r="B4311" s="3" t="inlineStr">
        <is>
          <t>카스</t>
        </is>
      </c>
      <c r="C4311" s="2" t="inlineStr">
        <is>
          <t>코스닥</t>
        </is>
      </c>
      <c r="D4311" s="2" t="inlineStr">
        <is>
          <t>016920</t>
        </is>
      </c>
      <c r="E4311" s="3" t="inlineStr">
        <is>
          <t>[기재정정]주주총회소집공고</t>
        </is>
      </c>
      <c r="F4311" s="3" t="inlineStr">
        <is>
          <t>카스</t>
        </is>
      </c>
      <c r="G4311" s="2" t="inlineStr">
        <is>
          <t>20260317000181</t>
        </is>
      </c>
      <c r="H4311" s="8">
        <f>HYPERLINK("https://dart.fss.or.kr/dsaf001/main.do?rcpNo=20260317000181", "공시열람")</f>
        <v/>
      </c>
    </row>
    <row r="4312">
      <c r="A4312" s="2" t="inlineStr">
        <is>
          <t>2026-03-17</t>
        </is>
      </c>
      <c r="B4312" s="3" t="inlineStr">
        <is>
          <t>다원시스</t>
        </is>
      </c>
      <c r="C4312" s="2" t="inlineStr">
        <is>
          <t>코스닥</t>
        </is>
      </c>
      <c r="D4312" s="2" t="inlineStr">
        <is>
          <t>068240</t>
        </is>
      </c>
      <c r="E4312" s="3" t="inlineStr">
        <is>
          <t>주주총회소집공고</t>
        </is>
      </c>
      <c r="F4312" s="3" t="inlineStr">
        <is>
          <t>다원시스</t>
        </is>
      </c>
      <c r="G4312" s="2" t="inlineStr">
        <is>
          <t>20260317000013</t>
        </is>
      </c>
      <c r="H4312" s="8">
        <f>HYPERLINK("https://dart.fss.or.kr/dsaf001/main.do?rcpNo=20260317000013", "공시열람")</f>
        <v/>
      </c>
    </row>
    <row r="4313">
      <c r="A4313" s="2" t="inlineStr">
        <is>
          <t>2026-03-17 (정정: 2026-03-19)</t>
        </is>
      </c>
      <c r="B4313" s="3" t="inlineStr">
        <is>
          <t>엔시트론</t>
        </is>
      </c>
      <c r="C4313" s="2" t="inlineStr">
        <is>
          <t>코스닥</t>
        </is>
      </c>
      <c r="D4313" s="2" t="inlineStr">
        <is>
          <t>101400</t>
        </is>
      </c>
      <c r="E4313" s="3" t="inlineStr">
        <is>
          <t>주주총회소집공고 (정정: 20260319)</t>
        </is>
      </c>
      <c r="F4313" s="3" t="inlineStr">
        <is>
          <t>엔시트론</t>
        </is>
      </c>
      <c r="G4313" s="2" t="inlineStr">
        <is>
          <t>20260319000218</t>
        </is>
      </c>
      <c r="H4313" s="8">
        <f>HYPERLINK("https://dart.fss.or.kr/dsaf001/main.do?rcpNo=20260319000218", "공시열람")</f>
        <v/>
      </c>
    </row>
    <row r="4314">
      <c r="A4314" s="2" t="inlineStr">
        <is>
          <t>2026-03-17</t>
        </is>
      </c>
      <c r="B4314" s="3" t="inlineStr">
        <is>
          <t>메타바이오메드</t>
        </is>
      </c>
      <c r="C4314" s="2" t="inlineStr">
        <is>
          <t>코스닥</t>
        </is>
      </c>
      <c r="D4314" s="2" t="inlineStr">
        <is>
          <t>059210</t>
        </is>
      </c>
      <c r="E4314" s="3" t="inlineStr">
        <is>
          <t>주주총회소집공고</t>
        </is>
      </c>
      <c r="F4314" s="3" t="inlineStr">
        <is>
          <t>메타바이오메드</t>
        </is>
      </c>
      <c r="G4314" s="2" t="inlineStr">
        <is>
          <t>20260317000006</t>
        </is>
      </c>
      <c r="H4314" s="8">
        <f>HYPERLINK("https://dart.fss.or.kr/dsaf001/main.do?rcpNo=20260317000006", "공시열람")</f>
        <v/>
      </c>
    </row>
    <row r="4315">
      <c r="A4315" s="2" t="inlineStr">
        <is>
          <t>2026-03-17</t>
        </is>
      </c>
      <c r="B4315" s="3" t="inlineStr">
        <is>
          <t>베셀</t>
        </is>
      </c>
      <c r="C4315" s="2" t="inlineStr">
        <is>
          <t>코스닥</t>
        </is>
      </c>
      <c r="D4315" s="2" t="inlineStr">
        <is>
          <t>177350</t>
        </is>
      </c>
      <c r="E4315" s="3" t="inlineStr">
        <is>
          <t>주주총회소집공고</t>
        </is>
      </c>
      <c r="F4315" s="3" t="inlineStr">
        <is>
          <t>베셀</t>
        </is>
      </c>
      <c r="G4315" s="2" t="inlineStr">
        <is>
          <t>20260317000005</t>
        </is>
      </c>
      <c r="H4315" s="8">
        <f>HYPERLINK("https://dart.fss.or.kr/dsaf001/main.do?rcpNo=20260317000005", "공시열람")</f>
        <v/>
      </c>
    </row>
    <row r="4316">
      <c r="A4316" s="2" t="inlineStr">
        <is>
          <t>2026-03-17</t>
        </is>
      </c>
      <c r="B4316" s="3" t="inlineStr">
        <is>
          <t>셀루메드</t>
        </is>
      </c>
      <c r="C4316" s="2" t="inlineStr">
        <is>
          <t>코스닥</t>
        </is>
      </c>
      <c r="D4316" s="2" t="inlineStr">
        <is>
          <t>049180</t>
        </is>
      </c>
      <c r="E4316" s="3" t="inlineStr">
        <is>
          <t>주주총회소집공고</t>
        </is>
      </c>
      <c r="F4316" s="3" t="inlineStr">
        <is>
          <t>셀루메드</t>
        </is>
      </c>
      <c r="G4316" s="2" t="inlineStr">
        <is>
          <t>20260317000001</t>
        </is>
      </c>
      <c r="H4316" s="8">
        <f>HYPERLINK("https://dart.fss.or.kr/dsaf001/main.do?rcpNo=20260317000001", "공시열람")</f>
        <v/>
      </c>
    </row>
    <row r="4317">
      <c r="A4317" s="2" t="inlineStr">
        <is>
          <t>2026-03-17</t>
        </is>
      </c>
      <c r="B4317" s="3" t="inlineStr">
        <is>
          <t>DKME</t>
        </is>
      </c>
      <c r="C4317" s="2" t="inlineStr">
        <is>
          <t>코스피</t>
        </is>
      </c>
      <c r="D4317" s="2" t="inlineStr">
        <is>
          <t>015590</t>
        </is>
      </c>
      <c r="E4317" s="3" t="inlineStr">
        <is>
          <t>주주총회소집공고</t>
        </is>
      </c>
      <c r="F4317" s="3" t="inlineStr">
        <is>
          <t>DKME</t>
        </is>
      </c>
      <c r="G4317" s="2" t="inlineStr">
        <is>
          <t>20260316001678</t>
        </is>
      </c>
      <c r="H4317" s="8">
        <f>HYPERLINK("https://dart.fss.or.kr/dsaf001/main.do?rcpNo=20260316001678", "공시열람")</f>
        <v/>
      </c>
    </row>
    <row r="4318">
      <c r="A4318" s="2" t="inlineStr">
        <is>
          <t>2026-03-17</t>
        </is>
      </c>
      <c r="B4318" s="3" t="inlineStr">
        <is>
          <t>FSN</t>
        </is>
      </c>
      <c r="C4318" s="2" t="inlineStr">
        <is>
          <t>코스닥</t>
        </is>
      </c>
      <c r="D4318" s="2" t="inlineStr">
        <is>
          <t>214270</t>
        </is>
      </c>
      <c r="E4318" s="3" t="inlineStr">
        <is>
          <t>주주총회소집공고</t>
        </is>
      </c>
      <c r="F4318" s="3" t="inlineStr">
        <is>
          <t>FSN</t>
        </is>
      </c>
      <c r="G4318" s="2" t="inlineStr">
        <is>
          <t>20260316001693</t>
        </is>
      </c>
      <c r="H4318" s="8">
        <f>HYPERLINK("https://dart.fss.or.kr/dsaf001/main.do?rcpNo=20260316001693", "공시열람")</f>
        <v/>
      </c>
    </row>
    <row r="4319">
      <c r="A4319" s="2" t="inlineStr">
        <is>
          <t>2026-03-17</t>
        </is>
      </c>
      <c r="B4319" s="3" t="inlineStr">
        <is>
          <t>글로벌에스엠</t>
        </is>
      </c>
      <c r="C4319" s="2" t="inlineStr">
        <is>
          <t>코스닥</t>
        </is>
      </c>
      <c r="D4319" s="2" t="inlineStr">
        <is>
          <t>900070</t>
        </is>
      </c>
      <c r="E4319" s="3" t="inlineStr">
        <is>
          <t>주주총회소집공고</t>
        </is>
      </c>
      <c r="F4319" s="3" t="inlineStr">
        <is>
          <t>글로벌에스엠</t>
        </is>
      </c>
      <c r="G4319" s="2" t="inlineStr">
        <is>
          <t>20260316001620</t>
        </is>
      </c>
      <c r="H4319" s="8">
        <f>HYPERLINK("https://dart.fss.or.kr/dsaf001/main.do?rcpNo=20260316001620", "공시열람")</f>
        <v/>
      </c>
    </row>
    <row r="4320">
      <c r="A4320" s="2" t="inlineStr">
        <is>
          <t>2026-03-17</t>
        </is>
      </c>
      <c r="B4320" s="3" t="inlineStr">
        <is>
          <t>글로본</t>
        </is>
      </c>
      <c r="C4320" s="2" t="inlineStr">
        <is>
          <t>코스닥</t>
        </is>
      </c>
      <c r="D4320" s="2" t="inlineStr">
        <is>
          <t>019660</t>
        </is>
      </c>
      <c r="E4320" s="3" t="inlineStr">
        <is>
          <t>주주총회소집공고</t>
        </is>
      </c>
      <c r="F4320" s="3" t="inlineStr">
        <is>
          <t>글로본</t>
        </is>
      </c>
      <c r="G4320" s="2" t="inlineStr">
        <is>
          <t>20260316001621</t>
        </is>
      </c>
      <c r="H4320" s="8">
        <f>HYPERLINK("https://dart.fss.or.kr/dsaf001/main.do?rcpNo=20260316001621", "공시열람")</f>
        <v/>
      </c>
    </row>
    <row r="4321">
      <c r="A4321" s="2" t="inlineStr">
        <is>
          <t>2026-03-17 (정정: 2026-05-29)</t>
        </is>
      </c>
      <c r="B4321" s="3" t="inlineStr">
        <is>
          <t>넥스턴앤롤코리아</t>
        </is>
      </c>
      <c r="C4321" s="2" t="inlineStr">
        <is>
          <t>코스닥</t>
        </is>
      </c>
      <c r="D4321" s="2" t="inlineStr">
        <is>
          <t>089140</t>
        </is>
      </c>
      <c r="E4321" s="3" t="inlineStr">
        <is>
          <t>주주총회소집공고 (정정: 20260529)</t>
        </is>
      </c>
      <c r="F4321" s="3" t="inlineStr">
        <is>
          <t>넥스턴앤롤코리아</t>
        </is>
      </c>
      <c r="G4321" s="2" t="inlineStr">
        <is>
          <t>20260529001744</t>
        </is>
      </c>
      <c r="H4321" s="8">
        <f>HYPERLINK("https://dart.fss.or.kr/dsaf001/main.do?rcpNo=20260529001744", "공시열람")</f>
        <v/>
      </c>
    </row>
    <row r="4322">
      <c r="A4322" s="2" t="inlineStr">
        <is>
          <t>2026-03-17</t>
        </is>
      </c>
      <c r="B4322" s="3" t="inlineStr">
        <is>
          <t>리파인</t>
        </is>
      </c>
      <c r="C4322" s="2" t="inlineStr">
        <is>
          <t>코스닥</t>
        </is>
      </c>
      <c r="D4322" s="2" t="inlineStr">
        <is>
          <t>377450</t>
        </is>
      </c>
      <c r="E4322" s="3" t="inlineStr">
        <is>
          <t>주주총회소집공고</t>
        </is>
      </c>
      <c r="F4322" s="3" t="inlineStr">
        <is>
          <t>리파인</t>
        </is>
      </c>
      <c r="G4322" s="2" t="inlineStr">
        <is>
          <t>20260316001612</t>
        </is>
      </c>
      <c r="H4322" s="8">
        <f>HYPERLINK("https://dart.fss.or.kr/dsaf001/main.do?rcpNo=20260316001612", "공시열람")</f>
        <v/>
      </c>
    </row>
    <row r="4323">
      <c r="A4323" s="2" t="inlineStr">
        <is>
          <t>2026-03-17</t>
        </is>
      </c>
      <c r="B4323" s="3" t="inlineStr">
        <is>
          <t>범한퓨얼셀</t>
        </is>
      </c>
      <c r="C4323" s="2" t="inlineStr">
        <is>
          <t>코스닥</t>
        </is>
      </c>
      <c r="D4323" s="2" t="inlineStr">
        <is>
          <t>382900</t>
        </is>
      </c>
      <c r="E4323" s="3" t="inlineStr">
        <is>
          <t>주주총회소집공고</t>
        </is>
      </c>
      <c r="F4323" s="3" t="inlineStr">
        <is>
          <t>범한퓨얼셀</t>
        </is>
      </c>
      <c r="G4323" s="2" t="inlineStr">
        <is>
          <t>20260316001674</t>
        </is>
      </c>
      <c r="H4323" s="8">
        <f>HYPERLINK("https://dart.fss.or.kr/dsaf001/main.do?rcpNo=20260316001674", "공시열람")</f>
        <v/>
      </c>
    </row>
    <row r="4324">
      <c r="A4324" s="2" t="inlineStr">
        <is>
          <t>2026-03-17</t>
        </is>
      </c>
      <c r="B4324" s="3" t="inlineStr">
        <is>
          <t>비츠로테크</t>
        </is>
      </c>
      <c r="C4324" s="2" t="inlineStr">
        <is>
          <t>코스닥</t>
        </is>
      </c>
      <c r="D4324" s="2" t="inlineStr">
        <is>
          <t>042370</t>
        </is>
      </c>
      <c r="E4324" s="3" t="inlineStr">
        <is>
          <t>주주총회소집공고</t>
        </is>
      </c>
      <c r="F4324" s="3" t="inlineStr">
        <is>
          <t>비츠로테크</t>
        </is>
      </c>
      <c r="G4324" s="2" t="inlineStr">
        <is>
          <t>20260316001640</t>
        </is>
      </c>
      <c r="H4324" s="8">
        <f>HYPERLINK("https://dart.fss.or.kr/dsaf001/main.do?rcpNo=20260316001640", "공시열람")</f>
        <v/>
      </c>
    </row>
    <row r="4325">
      <c r="A4325" s="2" t="inlineStr">
        <is>
          <t>2026-03-17 (정정: 2026-03-19)</t>
        </is>
      </c>
      <c r="B4325" s="3" t="inlineStr">
        <is>
          <t>솔루엠</t>
        </is>
      </c>
      <c r="C4325" s="2" t="inlineStr">
        <is>
          <t>코스피</t>
        </is>
      </c>
      <c r="D4325" s="2" t="inlineStr">
        <is>
          <t>248070</t>
        </is>
      </c>
      <c r="E4325" s="3" t="inlineStr">
        <is>
          <t>주주총회소집공고 (정정: 20260319) (정정: 20260319)</t>
        </is>
      </c>
      <c r="F4325" s="3" t="inlineStr">
        <is>
          <t>솔루엠</t>
        </is>
      </c>
      <c r="G4325" s="2" t="inlineStr">
        <is>
          <t>20260319000346</t>
        </is>
      </c>
      <c r="H4325" s="8">
        <f>HYPERLINK("https://dart.fss.or.kr/dsaf001/main.do?rcpNo=20260319000346", "공시열람")</f>
        <v/>
      </c>
    </row>
    <row r="4326">
      <c r="A4326" s="2" t="inlineStr">
        <is>
          <t>2026-03-17 (정정: 2026-03-23)</t>
        </is>
      </c>
      <c r="B4326" s="3" t="inlineStr">
        <is>
          <t>아우딘퓨쳐스</t>
        </is>
      </c>
      <c r="C4326" s="2" t="inlineStr">
        <is>
          <t>코스닥</t>
        </is>
      </c>
      <c r="D4326" s="2" t="inlineStr">
        <is>
          <t>227610</t>
        </is>
      </c>
      <c r="E4326" s="3" t="inlineStr">
        <is>
          <t>주주총회소집공고 (정정: 20260320) (정정: 20260323)</t>
        </is>
      </c>
      <c r="F4326" s="3" t="inlineStr">
        <is>
          <t>아우딘퓨쳐스</t>
        </is>
      </c>
      <c r="G4326" s="2" t="inlineStr">
        <is>
          <t>20260320001392</t>
        </is>
      </c>
      <c r="H4326" s="8">
        <f>HYPERLINK("https://dart.fss.or.kr/dsaf001/main.do?rcpNo=20260320001392", "공시열람")</f>
        <v/>
      </c>
    </row>
    <row r="4327">
      <c r="A4327" s="2" t="inlineStr">
        <is>
          <t>2026-03-17</t>
        </is>
      </c>
      <c r="B4327" s="3" t="inlineStr">
        <is>
          <t>아우토크립트</t>
        </is>
      </c>
      <c r="C4327" s="2" t="inlineStr">
        <is>
          <t>코스닥</t>
        </is>
      </c>
      <c r="D4327" s="2" t="inlineStr">
        <is>
          <t>331740</t>
        </is>
      </c>
      <c r="E4327" s="3" t="inlineStr">
        <is>
          <t>주주총회소집공고</t>
        </is>
      </c>
      <c r="F4327" s="3" t="inlineStr">
        <is>
          <t>아우토크립트</t>
        </is>
      </c>
      <c r="G4327" s="2" t="inlineStr">
        <is>
          <t>20260316001675</t>
        </is>
      </c>
      <c r="H4327" s="8">
        <f>HYPERLINK("https://dart.fss.or.kr/dsaf001/main.do?rcpNo=20260316001675", "공시열람")</f>
        <v/>
      </c>
    </row>
    <row r="4328">
      <c r="A4328" s="2" t="inlineStr">
        <is>
          <t>2026-03-17</t>
        </is>
      </c>
      <c r="B4328" s="3" t="inlineStr">
        <is>
          <t>아이엘</t>
        </is>
      </c>
      <c r="C4328" s="2" t="inlineStr">
        <is>
          <t>코스닥</t>
        </is>
      </c>
      <c r="D4328" s="2" t="inlineStr">
        <is>
          <t>307180</t>
        </is>
      </c>
      <c r="E4328" s="3" t="inlineStr">
        <is>
          <t>주주총회소집공고</t>
        </is>
      </c>
      <c r="F4328" s="3" t="inlineStr">
        <is>
          <t>아이엘</t>
        </is>
      </c>
      <c r="G4328" s="2" t="inlineStr">
        <is>
          <t>20260316001692</t>
        </is>
      </c>
      <c r="H4328" s="8">
        <f>HYPERLINK("https://dart.fss.or.kr/dsaf001/main.do?rcpNo=20260316001692", "공시열람")</f>
        <v/>
      </c>
    </row>
    <row r="4329">
      <c r="A4329" s="2" t="inlineStr">
        <is>
          <t>2026-03-17</t>
        </is>
      </c>
      <c r="B4329" s="3" t="inlineStr">
        <is>
          <t>액토즈소프트</t>
        </is>
      </c>
      <c r="C4329" s="2" t="inlineStr">
        <is>
          <t>코스닥</t>
        </is>
      </c>
      <c r="D4329" s="2" t="inlineStr">
        <is>
          <t>052790</t>
        </is>
      </c>
      <c r="E4329" s="3" t="inlineStr">
        <is>
          <t>주주총회소집공고</t>
        </is>
      </c>
      <c r="F4329" s="3" t="inlineStr">
        <is>
          <t>액토즈소프트</t>
        </is>
      </c>
      <c r="G4329" s="2" t="inlineStr">
        <is>
          <t>20260316001683</t>
        </is>
      </c>
      <c r="H4329" s="8">
        <f>HYPERLINK("https://dart.fss.or.kr/dsaf001/main.do?rcpNo=20260316001683", "공시열람")</f>
        <v/>
      </c>
    </row>
    <row r="4330">
      <c r="A4330" s="2" t="inlineStr">
        <is>
          <t>2026-03-17 (정정: 2026-03-18)</t>
        </is>
      </c>
      <c r="B4330" s="3" t="inlineStr">
        <is>
          <t>에코마케팅</t>
        </is>
      </c>
      <c r="C4330" s="2" t="inlineStr">
        <is>
          <t>코스닥</t>
        </is>
      </c>
      <c r="D4330" s="2" t="inlineStr">
        <is>
          <t>230360</t>
        </is>
      </c>
      <c r="E4330" s="3" t="inlineStr">
        <is>
          <t>주주총회소집공고 (정정: 20260318)</t>
        </is>
      </c>
      <c r="F4330" s="3" t="inlineStr">
        <is>
          <t>에코마케팅</t>
        </is>
      </c>
      <c r="G4330" s="2" t="inlineStr">
        <is>
          <t>20260318000139</t>
        </is>
      </c>
      <c r="H4330" s="8">
        <f>HYPERLINK("https://dart.fss.or.kr/dsaf001/main.do?rcpNo=20260318000139", "공시열람")</f>
        <v/>
      </c>
    </row>
    <row r="4331">
      <c r="A4331" s="2" t="inlineStr">
        <is>
          <t>2026-03-17</t>
        </is>
      </c>
      <c r="B4331" s="3" t="inlineStr">
        <is>
          <t>엔브이에이치코리아</t>
        </is>
      </c>
      <c r="C4331" s="2" t="inlineStr">
        <is>
          <t>코스닥</t>
        </is>
      </c>
      <c r="D4331" s="2" t="inlineStr">
        <is>
          <t>067570</t>
        </is>
      </c>
      <c r="E4331" s="3" t="inlineStr">
        <is>
          <t>주주총회소집공고</t>
        </is>
      </c>
      <c r="F4331" s="3" t="inlineStr">
        <is>
          <t>엔브이에이치코리아</t>
        </is>
      </c>
      <c r="G4331" s="2" t="inlineStr">
        <is>
          <t>20260316001684</t>
        </is>
      </c>
      <c r="H4331" s="8">
        <f>HYPERLINK("https://dart.fss.or.kr/dsaf001/main.do?rcpNo=20260316001684", "공시열람")</f>
        <v/>
      </c>
    </row>
    <row r="4332">
      <c r="A4332" s="2" t="inlineStr">
        <is>
          <t>2026-03-17</t>
        </is>
      </c>
      <c r="B4332" s="3" t="inlineStr">
        <is>
          <t>엠에프씨</t>
        </is>
      </c>
      <c r="C4332" s="2" t="inlineStr">
        <is>
          <t>코스닥</t>
        </is>
      </c>
      <c r="D4332" s="2" t="inlineStr">
        <is>
          <t>432980</t>
        </is>
      </c>
      <c r="E4332" s="3" t="inlineStr">
        <is>
          <t>주주총회소집공고</t>
        </is>
      </c>
      <c r="F4332" s="3" t="inlineStr">
        <is>
          <t>엠에프씨</t>
        </is>
      </c>
      <c r="G4332" s="2" t="inlineStr">
        <is>
          <t>20260316001662</t>
        </is>
      </c>
      <c r="H4332" s="8">
        <f>HYPERLINK("https://dart.fss.or.kr/dsaf001/main.do?rcpNo=20260316001662", "공시열람")</f>
        <v/>
      </c>
    </row>
    <row r="4333">
      <c r="A4333" s="2" t="inlineStr">
        <is>
          <t>2026-03-17</t>
        </is>
      </c>
      <c r="B4333" s="3" t="inlineStr">
        <is>
          <t>이엘씨</t>
        </is>
      </c>
      <c r="C4333" s="2" t="inlineStr">
        <is>
          <t>코스닥</t>
        </is>
      </c>
      <c r="D4333" s="2" t="inlineStr">
        <is>
          <t>041520</t>
        </is>
      </c>
      <c r="E4333" s="3" t="inlineStr">
        <is>
          <t>[기재정정]주주총회소집공고</t>
        </is>
      </c>
      <c r="F4333" s="3" t="inlineStr">
        <is>
          <t>이엘씨</t>
        </is>
      </c>
      <c r="G4333" s="2" t="inlineStr">
        <is>
          <t>20260316001606</t>
        </is>
      </c>
      <c r="H4333" s="8">
        <f>HYPERLINK("https://dart.fss.or.kr/dsaf001/main.do?rcpNo=20260316001606", "공시열람")</f>
        <v/>
      </c>
    </row>
    <row r="4334">
      <c r="A4334" s="2" t="inlineStr">
        <is>
          <t>2026-03-17</t>
        </is>
      </c>
      <c r="B4334" s="3" t="inlineStr">
        <is>
          <t>이지바이오</t>
        </is>
      </c>
      <c r="C4334" s="2" t="inlineStr">
        <is>
          <t>코스닥</t>
        </is>
      </c>
      <c r="D4334" s="2" t="inlineStr">
        <is>
          <t>353810</t>
        </is>
      </c>
      <c r="E4334" s="3" t="inlineStr">
        <is>
          <t>주주총회소집공고</t>
        </is>
      </c>
      <c r="F4334" s="3" t="inlineStr">
        <is>
          <t>이지바이오</t>
        </is>
      </c>
      <c r="G4334" s="2" t="inlineStr">
        <is>
          <t>20260316001651</t>
        </is>
      </c>
      <c r="H4334" s="8">
        <f>HYPERLINK("https://dart.fss.or.kr/dsaf001/main.do?rcpNo=20260316001651", "공시열람")</f>
        <v/>
      </c>
    </row>
    <row r="4335">
      <c r="A4335" s="2" t="inlineStr">
        <is>
          <t>2026-03-17</t>
        </is>
      </c>
      <c r="B4335" s="3" t="inlineStr">
        <is>
          <t>인벤티지랩</t>
        </is>
      </c>
      <c r="C4335" s="2" t="inlineStr">
        <is>
          <t>코스닥</t>
        </is>
      </c>
      <c r="D4335" s="2" t="inlineStr">
        <is>
          <t>389470</t>
        </is>
      </c>
      <c r="E4335" s="3" t="inlineStr">
        <is>
          <t>주주총회소집공고</t>
        </is>
      </c>
      <c r="F4335" s="3" t="inlineStr">
        <is>
          <t>인벤티지랩</t>
        </is>
      </c>
      <c r="G4335" s="2" t="inlineStr">
        <is>
          <t>20260316001661</t>
        </is>
      </c>
      <c r="H4335" s="8">
        <f>HYPERLINK("https://dart.fss.or.kr/dsaf001/main.do?rcpNo=20260316001661", "공시열람")</f>
        <v/>
      </c>
    </row>
    <row r="4336">
      <c r="A4336" s="2" t="inlineStr">
        <is>
          <t>2026-03-17</t>
        </is>
      </c>
      <c r="B4336" s="3" t="inlineStr">
        <is>
          <t>인지디스플레</t>
        </is>
      </c>
      <c r="C4336" s="2" t="inlineStr">
        <is>
          <t>코스닥</t>
        </is>
      </c>
      <c r="D4336" s="2" t="inlineStr">
        <is>
          <t>037330</t>
        </is>
      </c>
      <c r="E4336" s="3" t="inlineStr">
        <is>
          <t>주주총회소집공고</t>
        </is>
      </c>
      <c r="F4336" s="3" t="inlineStr">
        <is>
          <t>인지디스플레</t>
        </is>
      </c>
      <c r="G4336" s="2" t="inlineStr">
        <is>
          <t>20260316001696</t>
        </is>
      </c>
      <c r="H4336" s="8">
        <f>HYPERLINK("https://dart.fss.or.kr/dsaf001/main.do?rcpNo=20260316001696", "공시열람")</f>
        <v/>
      </c>
    </row>
    <row r="4337">
      <c r="A4337" s="2" t="inlineStr">
        <is>
          <t>2026-03-17</t>
        </is>
      </c>
      <c r="B4337" s="3" t="inlineStr">
        <is>
          <t>제이케이시냅스</t>
        </is>
      </c>
      <c r="C4337" s="2" t="inlineStr">
        <is>
          <t>코스닥</t>
        </is>
      </c>
      <c r="D4337" s="2" t="inlineStr">
        <is>
          <t>060230</t>
        </is>
      </c>
      <c r="E4337" s="3" t="inlineStr">
        <is>
          <t>주주총회소집공고</t>
        </is>
      </c>
      <c r="F4337" s="3" t="inlineStr">
        <is>
          <t>제이케이시냅스</t>
        </is>
      </c>
      <c r="G4337" s="2" t="inlineStr">
        <is>
          <t>20260316001652</t>
        </is>
      </c>
      <c r="H4337" s="8">
        <f>HYPERLINK("https://dart.fss.or.kr/dsaf001/main.do?rcpNo=20260316001652", "공시열람")</f>
        <v/>
      </c>
    </row>
    <row r="4338">
      <c r="A4338" s="2" t="inlineStr">
        <is>
          <t>2026-03-17 (정정: 2026-06-02)</t>
        </is>
      </c>
      <c r="B4338" s="3" t="inlineStr">
        <is>
          <t>제일엠앤에스</t>
        </is>
      </c>
      <c r="C4338" s="2" t="inlineStr">
        <is>
          <t>코스닥</t>
        </is>
      </c>
      <c r="D4338" s="2" t="inlineStr">
        <is>
          <t>412540</t>
        </is>
      </c>
      <c r="E4338" s="3" t="inlineStr">
        <is>
          <t>주주총회소집공고 (정정: 20260602)</t>
        </is>
      </c>
      <c r="F4338" s="3" t="inlineStr">
        <is>
          <t>제일엠앤에스</t>
        </is>
      </c>
      <c r="G4338" s="2" t="inlineStr">
        <is>
          <t>20260602900925</t>
        </is>
      </c>
      <c r="H4338" s="8">
        <f>HYPERLINK("https://dart.fss.or.kr/dsaf001/main.do?rcpNo=20260602900925", "공시열람")</f>
        <v/>
      </c>
    </row>
    <row r="4339">
      <c r="A4339" s="2" t="inlineStr">
        <is>
          <t>2026-03-17</t>
        </is>
      </c>
      <c r="B4339" s="3" t="inlineStr">
        <is>
          <t>카이노스메드</t>
        </is>
      </c>
      <c r="C4339" s="2" t="inlineStr">
        <is>
          <t>코스닥</t>
        </is>
      </c>
      <c r="D4339" s="2" t="inlineStr">
        <is>
          <t>284620</t>
        </is>
      </c>
      <c r="E4339" s="3" t="inlineStr">
        <is>
          <t>주주총회소집공고</t>
        </is>
      </c>
      <c r="F4339" s="3" t="inlineStr">
        <is>
          <t>카이노스메드</t>
        </is>
      </c>
      <c r="G4339" s="2" t="inlineStr">
        <is>
          <t>20260316001610</t>
        </is>
      </c>
      <c r="H4339" s="8">
        <f>HYPERLINK("https://dart.fss.or.kr/dsaf001/main.do?rcpNo=20260316001610", "공시열람")</f>
        <v/>
      </c>
    </row>
    <row r="4340">
      <c r="A4340" s="2" t="inlineStr">
        <is>
          <t>2026-03-17 (정정: 2026-05-27)</t>
        </is>
      </c>
      <c r="B4340" s="3" t="inlineStr">
        <is>
          <t>케이이엠텍</t>
        </is>
      </c>
      <c r="C4340" s="2" t="inlineStr">
        <is>
          <t>코스닥</t>
        </is>
      </c>
      <c r="D4340" s="2" t="inlineStr">
        <is>
          <t>106080</t>
        </is>
      </c>
      <c r="E4340" s="3" t="inlineStr">
        <is>
          <t>주주총회소집공고 (정정: 20260320) (정정: 20260527)</t>
        </is>
      </c>
      <c r="F4340" s="3" t="inlineStr">
        <is>
          <t>케이이엠텍</t>
        </is>
      </c>
      <c r="G4340" s="2" t="inlineStr">
        <is>
          <t>20260527900498</t>
        </is>
      </c>
      <c r="H4340" s="8">
        <f>HYPERLINK("https://dart.fss.or.kr/dsaf001/main.do?rcpNo=20260527900498", "공시열람")</f>
        <v/>
      </c>
    </row>
    <row r="4341">
      <c r="A4341" s="2" t="inlineStr">
        <is>
          <t>2026-03-17</t>
        </is>
      </c>
      <c r="B4341" s="3" t="inlineStr">
        <is>
          <t>파라택시스코리아</t>
        </is>
      </c>
      <c r="C4341" s="2" t="inlineStr">
        <is>
          <t>코스닥</t>
        </is>
      </c>
      <c r="D4341" s="2" t="inlineStr">
        <is>
          <t>288330</t>
        </is>
      </c>
      <c r="E4341" s="3" t="inlineStr">
        <is>
          <t>주주총회소집공고</t>
        </is>
      </c>
      <c r="F4341" s="3" t="inlineStr">
        <is>
          <t>파라택시스코리아</t>
        </is>
      </c>
      <c r="G4341" s="2" t="inlineStr">
        <is>
          <t>20260316001616</t>
        </is>
      </c>
      <c r="H4341" s="8">
        <f>HYPERLINK("https://dart.fss.or.kr/dsaf001/main.do?rcpNo=20260316001616", "공시열람")</f>
        <v/>
      </c>
    </row>
    <row r="4342">
      <c r="A4342" s="2" t="inlineStr">
        <is>
          <t>2026-03-17</t>
        </is>
      </c>
      <c r="B4342" s="3" t="inlineStr">
        <is>
          <t>팜스토리</t>
        </is>
      </c>
      <c r="C4342" s="2" t="inlineStr">
        <is>
          <t>코스닥</t>
        </is>
      </c>
      <c r="D4342" s="2" t="inlineStr">
        <is>
          <t>027710</t>
        </is>
      </c>
      <c r="E4342" s="3" t="inlineStr">
        <is>
          <t>주주총회소집공고</t>
        </is>
      </c>
      <c r="F4342" s="3" t="inlineStr">
        <is>
          <t>팜스토리</t>
        </is>
      </c>
      <c r="G4342" s="2" t="inlineStr">
        <is>
          <t>20260316001653</t>
        </is>
      </c>
      <c r="H4342" s="8">
        <f>HYPERLINK("https://dart.fss.or.kr/dsaf001/main.do?rcpNo=20260316001653", "공시열람")</f>
        <v/>
      </c>
    </row>
    <row r="4343">
      <c r="A4343" s="2" t="inlineStr">
        <is>
          <t>2026-03-17</t>
        </is>
      </c>
      <c r="B4343" s="3" t="inlineStr">
        <is>
          <t>하이퍼코퍼레이션</t>
        </is>
      </c>
      <c r="C4343" s="2" t="inlineStr">
        <is>
          <t>코스닥</t>
        </is>
      </c>
      <c r="D4343" s="2" t="inlineStr">
        <is>
          <t>065650</t>
        </is>
      </c>
      <c r="E4343" s="3" t="inlineStr">
        <is>
          <t>주주총회소집공고</t>
        </is>
      </c>
      <c r="F4343" s="3" t="inlineStr">
        <is>
          <t>하이퍼코퍼레이션</t>
        </is>
      </c>
      <c r="G4343" s="2" t="inlineStr">
        <is>
          <t>20260316001607</t>
        </is>
      </c>
      <c r="H4343" s="8">
        <f>HYPERLINK("https://dart.fss.or.kr/dsaf001/main.do?rcpNo=20260316001607", "공시열람")</f>
        <v/>
      </c>
    </row>
    <row r="4344">
      <c r="A4344" s="2" t="inlineStr">
        <is>
          <t>2026-03-18</t>
        </is>
      </c>
      <c r="B4344" s="3" t="inlineStr">
        <is>
          <t>코데즈컴바인</t>
        </is>
      </c>
      <c r="C4344" s="2" t="inlineStr">
        <is>
          <t>코스닥</t>
        </is>
      </c>
      <c r="D4344" s="2" t="inlineStr">
        <is>
          <t>047770</t>
        </is>
      </c>
      <c r="E4344" s="3" t="inlineStr">
        <is>
          <t>[기재정정]주주총회소집공고</t>
        </is>
      </c>
      <c r="F4344" s="3" t="inlineStr">
        <is>
          <t>코데즈컴바인</t>
        </is>
      </c>
      <c r="G4344" s="2" t="inlineStr">
        <is>
          <t>20260318001513</t>
        </is>
      </c>
      <c r="H4344" s="8">
        <f>HYPERLINK("https://dart.fss.or.kr/dsaf001/main.do?rcpNo=20260318001513", "공시열람")</f>
        <v/>
      </c>
    </row>
    <row r="4345">
      <c r="A4345" s="2" t="inlineStr">
        <is>
          <t>2026-03-18</t>
        </is>
      </c>
      <c r="B4345" s="3" t="inlineStr">
        <is>
          <t>태양금속공업</t>
        </is>
      </c>
      <c r="C4345" s="2" t="inlineStr">
        <is>
          <t>코스피</t>
        </is>
      </c>
      <c r="D4345" s="2" t="inlineStr">
        <is>
          <t>004100</t>
        </is>
      </c>
      <c r="E4345" s="3" t="inlineStr">
        <is>
          <t>[기재정정]주주총회소집공고</t>
        </is>
      </c>
      <c r="F4345" s="3" t="inlineStr">
        <is>
          <t>태양금속공업</t>
        </is>
      </c>
      <c r="G4345" s="2" t="inlineStr">
        <is>
          <t>20260318001292</t>
        </is>
      </c>
      <c r="H4345" s="8">
        <f>HYPERLINK("https://dart.fss.or.kr/dsaf001/main.do?rcpNo=20260318001292", "공시열람")</f>
        <v/>
      </c>
    </row>
    <row r="4346">
      <c r="A4346" s="2" t="inlineStr">
        <is>
          <t>2026-03-18</t>
        </is>
      </c>
      <c r="B4346" s="3" t="inlineStr">
        <is>
          <t>다이나믹디자인</t>
        </is>
      </c>
      <c r="C4346" s="2" t="inlineStr">
        <is>
          <t>코스피</t>
        </is>
      </c>
      <c r="D4346" s="2" t="inlineStr">
        <is>
          <t>145210</t>
        </is>
      </c>
      <c r="E4346" s="3" t="inlineStr">
        <is>
          <t>[기재정정]주주총회소집공고</t>
        </is>
      </c>
      <c r="F4346" s="3" t="inlineStr">
        <is>
          <t>다이나믹디자인</t>
        </is>
      </c>
      <c r="G4346" s="2" t="inlineStr">
        <is>
          <t>20260318000830</t>
        </is>
      </c>
      <c r="H4346" s="8">
        <f>HYPERLINK("https://dart.fss.or.kr/dsaf001/main.do?rcpNo=20260318000830", "공시열람")</f>
        <v/>
      </c>
    </row>
    <row r="4347">
      <c r="A4347" s="2" t="inlineStr">
        <is>
          <t>2026-03-18</t>
        </is>
      </c>
      <c r="B4347" s="3" t="inlineStr">
        <is>
          <t>신성이엔지</t>
        </is>
      </c>
      <c r="C4347" s="2" t="inlineStr">
        <is>
          <t>코스피</t>
        </is>
      </c>
      <c r="D4347" s="2" t="inlineStr">
        <is>
          <t>011930</t>
        </is>
      </c>
      <c r="E4347" s="3" t="inlineStr">
        <is>
          <t>[기재정정]주주총회소집공고</t>
        </is>
      </c>
      <c r="F4347" s="3" t="inlineStr">
        <is>
          <t>신성이엔지</t>
        </is>
      </c>
      <c r="G4347" s="2" t="inlineStr">
        <is>
          <t>20260318000772</t>
        </is>
      </c>
      <c r="H4347" s="8">
        <f>HYPERLINK("https://dart.fss.or.kr/dsaf001/main.do?rcpNo=20260318000772", "공시열람")</f>
        <v/>
      </c>
    </row>
    <row r="4348">
      <c r="A4348" s="2" t="inlineStr">
        <is>
          <t>2026-03-18</t>
        </is>
      </c>
      <c r="B4348" s="3" t="inlineStr">
        <is>
          <t>대보마그네틱</t>
        </is>
      </c>
      <c r="C4348" s="2" t="inlineStr">
        <is>
          <t>코스닥</t>
        </is>
      </c>
      <c r="D4348" s="2" t="inlineStr">
        <is>
          <t>290670</t>
        </is>
      </c>
      <c r="E4348" s="3" t="inlineStr">
        <is>
          <t>[기재정정]주주총회소집공고</t>
        </is>
      </c>
      <c r="F4348" s="3" t="inlineStr">
        <is>
          <t>대보마그네틱</t>
        </is>
      </c>
      <c r="G4348" s="2" t="inlineStr">
        <is>
          <t>20260318000737</t>
        </is>
      </c>
      <c r="H4348" s="8">
        <f>HYPERLINK("https://dart.fss.or.kr/dsaf001/main.do?rcpNo=20260318000737", "공시열람")</f>
        <v/>
      </c>
    </row>
    <row r="4349">
      <c r="A4349" s="2" t="inlineStr">
        <is>
          <t>2026-03-18</t>
        </is>
      </c>
      <c r="B4349" s="3" t="inlineStr">
        <is>
          <t>우리산업홀딩스</t>
        </is>
      </c>
      <c r="C4349" s="2" t="inlineStr">
        <is>
          <t>코스닥</t>
        </is>
      </c>
      <c r="D4349" s="2" t="inlineStr">
        <is>
          <t>072470</t>
        </is>
      </c>
      <c r="E4349" s="3" t="inlineStr">
        <is>
          <t>[기재정정]주주총회소집공고</t>
        </is>
      </c>
      <c r="F4349" s="3" t="inlineStr">
        <is>
          <t>우리산업홀딩스</t>
        </is>
      </c>
      <c r="G4349" s="2" t="inlineStr">
        <is>
          <t>20260318000653</t>
        </is>
      </c>
      <c r="H4349" s="8">
        <f>HYPERLINK("https://dart.fss.or.kr/dsaf001/main.do?rcpNo=20260318000653", "공시열람")</f>
        <v/>
      </c>
    </row>
    <row r="4350">
      <c r="A4350" s="2" t="inlineStr">
        <is>
          <t>2026-03-18</t>
        </is>
      </c>
      <c r="B4350" s="3" t="inlineStr">
        <is>
          <t>민테크</t>
        </is>
      </c>
      <c r="C4350" s="2" t="inlineStr">
        <is>
          <t>코스닥</t>
        </is>
      </c>
      <c r="D4350" s="2" t="inlineStr">
        <is>
          <t>452200</t>
        </is>
      </c>
      <c r="E4350" s="3" t="inlineStr">
        <is>
          <t>[기재정정]주주총회소집공고</t>
        </is>
      </c>
      <c r="F4350" s="3" t="inlineStr">
        <is>
          <t>민테크</t>
        </is>
      </c>
      <c r="G4350" s="2" t="inlineStr">
        <is>
          <t>20260318000565</t>
        </is>
      </c>
      <c r="H4350" s="8">
        <f>HYPERLINK("https://dart.fss.or.kr/dsaf001/main.do?rcpNo=20260318000565", "공시열람")</f>
        <v/>
      </c>
    </row>
    <row r="4351">
      <c r="A4351" s="2" t="inlineStr">
        <is>
          <t>2026-03-18</t>
        </is>
      </c>
      <c r="B4351" s="3" t="inlineStr">
        <is>
          <t>파라택시스이더리움</t>
        </is>
      </c>
      <c r="C4351" s="2" t="inlineStr">
        <is>
          <t>코스닥</t>
        </is>
      </c>
      <c r="D4351" s="2" t="inlineStr">
        <is>
          <t>290560</t>
        </is>
      </c>
      <c r="E4351" s="3" t="inlineStr">
        <is>
          <t>[기재정정]주주총회소집공고</t>
        </is>
      </c>
      <c r="F4351" s="3" t="inlineStr">
        <is>
          <t>파라택시스이더리움</t>
        </is>
      </c>
      <c r="G4351" s="2" t="inlineStr">
        <is>
          <t>20260318000379</t>
        </is>
      </c>
      <c r="H4351" s="8">
        <f>HYPERLINK("https://dart.fss.or.kr/dsaf001/main.do?rcpNo=20260318000379", "공시열람")</f>
        <v/>
      </c>
    </row>
    <row r="4352">
      <c r="A4352" s="2" t="inlineStr">
        <is>
          <t>2026-03-05 (정정: 2026-03-19)</t>
        </is>
      </c>
      <c r="B4352" s="3" t="inlineStr">
        <is>
          <t>동방</t>
        </is>
      </c>
      <c r="C4352" s="2" t="inlineStr">
        <is>
          <t>코스피</t>
        </is>
      </c>
      <c r="D4352" s="2" t="inlineStr">
        <is>
          <t>004140</t>
        </is>
      </c>
      <c r="E4352" s="3" t="inlineStr">
        <is>
          <t>[기재정정]주주총회소집공고</t>
        </is>
      </c>
      <c r="F4352" s="3" t="inlineStr">
        <is>
          <t>동방</t>
        </is>
      </c>
      <c r="G4352" s="2" t="inlineStr">
        <is>
          <t>20260319001325</t>
        </is>
      </c>
      <c r="H4352" s="8">
        <f>HYPERLINK("https://dart.fss.or.kr/dsaf001/main.do?rcpNo=20260319001325", "공시열람")</f>
        <v/>
      </c>
    </row>
    <row r="4353">
      <c r="A4353" s="2" t="inlineStr">
        <is>
          <t>2026-03-19</t>
        </is>
      </c>
      <c r="B4353" s="3" t="inlineStr">
        <is>
          <t>스틱인베스트먼트</t>
        </is>
      </c>
      <c r="C4353" s="2" t="inlineStr">
        <is>
          <t>코스피</t>
        </is>
      </c>
      <c r="D4353" s="2" t="inlineStr">
        <is>
          <t>026890</t>
        </is>
      </c>
      <c r="E4353" s="3" t="inlineStr">
        <is>
          <t>[기재정정]주주총회소집공고</t>
        </is>
      </c>
      <c r="F4353" s="3" t="inlineStr">
        <is>
          <t>스틱인베스트먼트</t>
        </is>
      </c>
      <c r="G4353" s="2" t="inlineStr">
        <is>
          <t>20260319001036</t>
        </is>
      </c>
      <c r="H4353" s="8">
        <f>HYPERLINK("https://dart.fss.or.kr/dsaf001/main.do?rcpNo=20260319001036", "공시열람")</f>
        <v/>
      </c>
    </row>
    <row r="4354">
      <c r="A4354" s="2" t="inlineStr">
        <is>
          <t>2026-03-13 (정정: 2026-03-20)</t>
        </is>
      </c>
      <c r="B4354" s="3" t="inlineStr">
        <is>
          <t>KR모터스</t>
        </is>
      </c>
      <c r="C4354" s="2" t="inlineStr">
        <is>
          <t>코스피</t>
        </is>
      </c>
      <c r="D4354" s="2" t="inlineStr">
        <is>
          <t>000040</t>
        </is>
      </c>
      <c r="E4354" s="3" t="inlineStr">
        <is>
          <t>[기재정정]주주총회소집공고</t>
        </is>
      </c>
      <c r="F4354" s="3" t="inlineStr">
        <is>
          <t>KR모터스</t>
        </is>
      </c>
      <c r="G4354" s="2" t="inlineStr">
        <is>
          <t>20260320001299</t>
        </is>
      </c>
      <c r="H4354" s="8">
        <f>HYPERLINK("https://dart.fss.or.kr/dsaf001/main.do?rcpNo=20260320001299", "공시열람")</f>
        <v/>
      </c>
    </row>
    <row r="4355">
      <c r="A4355" s="2" t="inlineStr">
        <is>
          <t>2026-03-20</t>
        </is>
      </c>
      <c r="B4355" s="3" t="inlineStr">
        <is>
          <t>액토즈소프트</t>
        </is>
      </c>
      <c r="C4355" s="2" t="inlineStr">
        <is>
          <t>코스닥</t>
        </is>
      </c>
      <c r="D4355" s="2" t="inlineStr">
        <is>
          <t>052790</t>
        </is>
      </c>
      <c r="E4355" s="3" t="inlineStr">
        <is>
          <t>[기재정정]주주총회소집공고</t>
        </is>
      </c>
      <c r="F4355" s="3" t="inlineStr">
        <is>
          <t>액토즈소프트</t>
        </is>
      </c>
      <c r="G4355" s="2" t="inlineStr">
        <is>
          <t>20260320001102</t>
        </is>
      </c>
      <c r="H4355" s="8">
        <f>HYPERLINK("https://dart.fss.or.kr/dsaf001/main.do?rcpNo=20260320001102", "공시열람")</f>
        <v/>
      </c>
    </row>
    <row r="4356">
      <c r="A4356" s="2" t="inlineStr">
        <is>
          <t>2026-03-13 (정정: 2026-03-20)</t>
        </is>
      </c>
      <c r="B4356" s="3" t="inlineStr">
        <is>
          <t>레이저옵텍</t>
        </is>
      </c>
      <c r="C4356" s="2" t="inlineStr">
        <is>
          <t>코스닥</t>
        </is>
      </c>
      <c r="D4356" s="2" t="inlineStr">
        <is>
          <t>199550</t>
        </is>
      </c>
      <c r="E4356" s="3" t="inlineStr">
        <is>
          <t>[기재정정]주주총회소집공고</t>
        </is>
      </c>
      <c r="F4356" s="3" t="inlineStr">
        <is>
          <t>레이저옵텍</t>
        </is>
      </c>
      <c r="G4356" s="2" t="inlineStr">
        <is>
          <t>20260320000856</t>
        </is>
      </c>
      <c r="H4356" s="8">
        <f>HYPERLINK("https://dart.fss.or.kr/dsaf001/main.do?rcpNo=20260320000856", "공시열람")</f>
        <v/>
      </c>
    </row>
    <row r="4357">
      <c r="A4357" s="2" t="inlineStr">
        <is>
          <t>2026-03-09 (정정: 2026-03-20)</t>
        </is>
      </c>
      <c r="B4357" s="3" t="inlineStr">
        <is>
          <t>포인트엔지니어링</t>
        </is>
      </c>
      <c r="C4357" s="2" t="inlineStr">
        <is>
          <t>코스닥</t>
        </is>
      </c>
      <c r="D4357" s="2" t="inlineStr">
        <is>
          <t>256630</t>
        </is>
      </c>
      <c r="E4357" s="3" t="inlineStr">
        <is>
          <t>[기재정정]주주총회소집공고</t>
        </is>
      </c>
      <c r="F4357" s="3" t="inlineStr">
        <is>
          <t>포인트엔지니어링</t>
        </is>
      </c>
      <c r="G4357" s="2" t="inlineStr">
        <is>
          <t>20260320000677</t>
        </is>
      </c>
      <c r="H4357" s="8">
        <f>HYPERLINK("https://dart.fss.or.kr/dsaf001/main.do?rcpNo=20260320000677", "공시열람")</f>
        <v/>
      </c>
    </row>
    <row r="4358">
      <c r="A4358" s="2" t="inlineStr">
        <is>
          <t>2026-03-13 (정정: 2026-03-20)</t>
        </is>
      </c>
      <c r="B4358" s="3" t="inlineStr">
        <is>
          <t>모나용평</t>
        </is>
      </c>
      <c r="C4358" s="2" t="inlineStr">
        <is>
          <t>코스피</t>
        </is>
      </c>
      <c r="D4358" s="2" t="inlineStr">
        <is>
          <t>070960</t>
        </is>
      </c>
      <c r="E4358" s="3" t="inlineStr">
        <is>
          <t>[기재정정]주주총회소집공고</t>
        </is>
      </c>
      <c r="F4358" s="3" t="inlineStr">
        <is>
          <t>모나용평</t>
        </is>
      </c>
      <c r="G4358" s="2" t="inlineStr">
        <is>
          <t>20260320000592</t>
        </is>
      </c>
      <c r="H4358" s="8">
        <f>HYPERLINK("https://dart.fss.or.kr/dsaf001/main.do?rcpNo=20260320000592", "공시열람")</f>
        <v/>
      </c>
    </row>
    <row r="4359">
      <c r="A4359" s="2" t="inlineStr">
        <is>
          <t>2026-03-20</t>
        </is>
      </c>
      <c r="B4359" s="3" t="inlineStr">
        <is>
          <t>한화</t>
        </is>
      </c>
      <c r="C4359" s="2" t="inlineStr">
        <is>
          <t>코스피</t>
        </is>
      </c>
      <c r="D4359" s="2" t="inlineStr">
        <is>
          <t>000880</t>
        </is>
      </c>
      <c r="E4359" s="3" t="inlineStr">
        <is>
          <t>[기재정정]주주총회소집공고</t>
        </is>
      </c>
      <c r="F4359" s="3" t="inlineStr">
        <is>
          <t>한화</t>
        </is>
      </c>
      <c r="G4359" s="2" t="inlineStr">
        <is>
          <t>20260320000505</t>
        </is>
      </c>
      <c r="H4359" s="8">
        <f>HYPERLINK("https://dart.fss.or.kr/dsaf001/main.do?rcpNo=20260320000505", "공시열람")</f>
        <v/>
      </c>
    </row>
    <row r="4360">
      <c r="A4360" s="2" t="inlineStr">
        <is>
          <t>2026-03-09 (정정: 2026-03-20)</t>
        </is>
      </c>
      <c r="B4360" s="3" t="inlineStr">
        <is>
          <t>제닉</t>
        </is>
      </c>
      <c r="C4360" s="2" t="inlineStr">
        <is>
          <t>코스닥</t>
        </is>
      </c>
      <c r="D4360" s="2" t="inlineStr">
        <is>
          <t>123330</t>
        </is>
      </c>
      <c r="E4360" s="3" t="inlineStr">
        <is>
          <t>[기재정정]주주총회소집공고</t>
        </is>
      </c>
      <c r="F4360" s="3" t="inlineStr">
        <is>
          <t>제닉</t>
        </is>
      </c>
      <c r="G4360" s="2" t="inlineStr">
        <is>
          <t>20260320000396</t>
        </is>
      </c>
      <c r="H4360" s="8">
        <f>HYPERLINK("https://dart.fss.or.kr/dsaf001/main.do?rcpNo=20260320000396", "공시열람")</f>
        <v/>
      </c>
    </row>
    <row r="4361">
      <c r="A4361" s="2" t="inlineStr">
        <is>
          <t>2026-03-23 (정정: 2026-05-21)</t>
        </is>
      </c>
      <c r="B4361" s="3" t="inlineStr">
        <is>
          <t>씨엑스아이</t>
        </is>
      </c>
      <c r="C4361" s="2" t="inlineStr">
        <is>
          <t>코스닥</t>
        </is>
      </c>
      <c r="D4361" s="2" t="inlineStr">
        <is>
          <t>900120</t>
        </is>
      </c>
      <c r="E4361" s="3" t="inlineStr">
        <is>
          <t>주주총회소집공고 (정정: 20260521) (정정: 20260521)</t>
        </is>
      </c>
      <c r="F4361" s="3" t="inlineStr">
        <is>
          <t>씨엑스아이</t>
        </is>
      </c>
      <c r="G4361" s="2" t="inlineStr">
        <is>
          <t>20260521000598</t>
        </is>
      </c>
      <c r="H4361" s="8">
        <f>HYPERLINK("https://dart.fss.or.kr/dsaf001/main.do?rcpNo=20260521000598", "공시열람")</f>
        <v/>
      </c>
    </row>
    <row r="4362">
      <c r="A4362" s="2" t="inlineStr">
        <is>
          <t>2026-03-23</t>
        </is>
      </c>
      <c r="B4362" s="3" t="inlineStr">
        <is>
          <t>태경산업</t>
        </is>
      </c>
      <c r="C4362" s="2" t="inlineStr">
        <is>
          <t>코스피</t>
        </is>
      </c>
      <c r="D4362" s="2" t="inlineStr">
        <is>
          <t>015890</t>
        </is>
      </c>
      <c r="E4362" s="3" t="inlineStr">
        <is>
          <t>[기재정정]주주총회소집공고</t>
        </is>
      </c>
      <c r="F4362" s="3" t="inlineStr">
        <is>
          <t>태경산업</t>
        </is>
      </c>
      <c r="G4362" s="2" t="inlineStr">
        <is>
          <t>20260323001113</t>
        </is>
      </c>
      <c r="H4362" s="8">
        <f>HYPERLINK("https://dart.fss.or.kr/dsaf001/main.do?rcpNo=20260323001113", "공시열람")</f>
        <v/>
      </c>
    </row>
    <row r="4363">
      <c r="A4363" s="2" t="inlineStr">
        <is>
          <t>2026-03-23</t>
        </is>
      </c>
      <c r="B4363" s="3" t="inlineStr">
        <is>
          <t>미래에셋생명</t>
        </is>
      </c>
      <c r="C4363" s="2" t="inlineStr">
        <is>
          <t>코스피</t>
        </is>
      </c>
      <c r="D4363" s="2" t="inlineStr">
        <is>
          <t>085620</t>
        </is>
      </c>
      <c r="E4363" s="3" t="inlineStr">
        <is>
          <t>[기재정정]주주총회소집공고</t>
        </is>
      </c>
      <c r="F4363" s="3" t="inlineStr">
        <is>
          <t>미래에셋생명</t>
        </is>
      </c>
      <c r="G4363" s="2" t="inlineStr">
        <is>
          <t>20260323001086</t>
        </is>
      </c>
      <c r="H4363" s="8">
        <f>HYPERLINK("https://dart.fss.or.kr/dsaf001/main.do?rcpNo=20260323001086", "공시열람")</f>
        <v/>
      </c>
    </row>
    <row r="4364">
      <c r="A4364" s="2" t="inlineStr">
        <is>
          <t>2026-03-23</t>
        </is>
      </c>
      <c r="B4364" s="3" t="inlineStr">
        <is>
          <t>SK아이이테크놀로지</t>
        </is>
      </c>
      <c r="C4364" s="2" t="inlineStr">
        <is>
          <t>코스피</t>
        </is>
      </c>
      <c r="D4364" s="2" t="inlineStr">
        <is>
          <t>361610</t>
        </is>
      </c>
      <c r="E4364" s="3" t="inlineStr">
        <is>
          <t>[기재정정]주주총회소집공고</t>
        </is>
      </c>
      <c r="F4364" s="3" t="inlineStr">
        <is>
          <t>SK아이이테크놀로지</t>
        </is>
      </c>
      <c r="G4364" s="2" t="inlineStr">
        <is>
          <t>20260323000285</t>
        </is>
      </c>
      <c r="H4364" s="8">
        <f>HYPERLINK("https://dart.fss.or.kr/dsaf001/main.do?rcpNo=20260323000285", "공시열람")</f>
        <v/>
      </c>
    </row>
    <row r="4365">
      <c r="A4365" s="2" t="inlineStr">
        <is>
          <t>2026-03-23</t>
        </is>
      </c>
      <c r="B4365" s="3" t="inlineStr">
        <is>
          <t>주성엔지니어링</t>
        </is>
      </c>
      <c r="C4365" s="2" t="inlineStr">
        <is>
          <t>코스닥</t>
        </is>
      </c>
      <c r="D4365" s="2" t="inlineStr">
        <is>
          <t>036930</t>
        </is>
      </c>
      <c r="E4365" s="3" t="inlineStr">
        <is>
          <t>[기재정정]주주총회소집공고</t>
        </is>
      </c>
      <c r="F4365" s="3" t="inlineStr">
        <is>
          <t>주성엔지니어링</t>
        </is>
      </c>
      <c r="G4365" s="2" t="inlineStr">
        <is>
          <t>20260323000092</t>
        </is>
      </c>
      <c r="H4365" s="8">
        <f>HYPERLINK("https://dart.fss.or.kr/dsaf001/main.do?rcpNo=20260323000092", "공시열람")</f>
        <v/>
      </c>
    </row>
    <row r="4366">
      <c r="A4366" s="2" t="inlineStr">
        <is>
          <t>2026-03-24</t>
        </is>
      </c>
      <c r="B4366" s="3" t="inlineStr">
        <is>
          <t>우리바이오</t>
        </is>
      </c>
      <c r="C4366" s="2" t="inlineStr">
        <is>
          <t>코스닥</t>
        </is>
      </c>
      <c r="D4366" s="2" t="inlineStr">
        <is>
          <t>082850</t>
        </is>
      </c>
      <c r="E4366" s="3" t="inlineStr">
        <is>
          <t>[기재정정]주주총회소집공고</t>
        </is>
      </c>
      <c r="F4366" s="3" t="inlineStr">
        <is>
          <t>우리바이오</t>
        </is>
      </c>
      <c r="G4366" s="2" t="inlineStr">
        <is>
          <t>20260324000576</t>
        </is>
      </c>
      <c r="H4366" s="8">
        <f>HYPERLINK("https://dart.fss.or.kr/dsaf001/main.do?rcpNo=20260324000576", "공시열람")</f>
        <v/>
      </c>
    </row>
    <row r="4367">
      <c r="A4367" s="2" t="inlineStr">
        <is>
          <t>2026-03-13 (정정: 2026-03-24)</t>
        </is>
      </c>
      <c r="B4367" s="3" t="inlineStr">
        <is>
          <t>소마젠</t>
        </is>
      </c>
      <c r="C4367" s="2" t="inlineStr">
        <is>
          <t>코스닥</t>
        </is>
      </c>
      <c r="D4367" s="2" t="inlineStr">
        <is>
          <t>950200</t>
        </is>
      </c>
      <c r="E4367" s="3" t="inlineStr">
        <is>
          <t>[기재정정]주주총회소집공고</t>
        </is>
      </c>
      <c r="F4367" s="3" t="inlineStr">
        <is>
          <t>소마젠</t>
        </is>
      </c>
      <c r="G4367" s="2" t="inlineStr">
        <is>
          <t>20260323001705</t>
        </is>
      </c>
      <c r="H4367" s="8">
        <f>HYPERLINK("https://dart.fss.or.kr/dsaf001/main.do?rcpNo=20260323001705", "공시열람")</f>
        <v/>
      </c>
    </row>
    <row r="4368">
      <c r="A4368" s="2" t="inlineStr">
        <is>
          <t>2026-03-24</t>
        </is>
      </c>
      <c r="B4368" s="3" t="inlineStr">
        <is>
          <t>에스피시스템스</t>
        </is>
      </c>
      <c r="C4368" s="2" t="inlineStr">
        <is>
          <t>코스닥</t>
        </is>
      </c>
      <c r="D4368" s="2" t="inlineStr">
        <is>
          <t>317830</t>
        </is>
      </c>
      <c r="E4368" s="3" t="inlineStr">
        <is>
          <t>[기재정정]주주총회소집공고</t>
        </is>
      </c>
      <c r="F4368" s="3" t="inlineStr">
        <is>
          <t>에스피시스템스</t>
        </is>
      </c>
      <c r="G4368" s="2" t="inlineStr">
        <is>
          <t>20260323001732</t>
        </is>
      </c>
      <c r="H4368" s="8">
        <f>HYPERLINK("https://dart.fss.or.kr/dsaf001/main.do?rcpNo=20260323001732", "공시열람")</f>
        <v/>
      </c>
    </row>
    <row r="4369">
      <c r="A4369" s="2" t="inlineStr">
        <is>
          <t>2026-03-25</t>
        </is>
      </c>
      <c r="B4369" s="3" t="inlineStr">
        <is>
          <t>카스</t>
        </is>
      </c>
      <c r="C4369" s="2" t="inlineStr">
        <is>
          <t>코스닥</t>
        </is>
      </c>
      <c r="D4369" s="2" t="inlineStr">
        <is>
          <t>016920</t>
        </is>
      </c>
      <c r="E4369" s="3" t="inlineStr">
        <is>
          <t>[기재정정]주주총회소집공고</t>
        </is>
      </c>
      <c r="F4369" s="3" t="inlineStr">
        <is>
          <t>카스</t>
        </is>
      </c>
      <c r="G4369" s="2" t="inlineStr">
        <is>
          <t>20260325000625</t>
        </is>
      </c>
      <c r="H4369" s="8">
        <f>HYPERLINK("https://dart.fss.or.kr/dsaf001/main.do?rcpNo=20260325000625", "공시열람")</f>
        <v/>
      </c>
    </row>
    <row r="4370">
      <c r="A4370" s="2" t="inlineStr">
        <is>
          <t>2026-03-13 (정정: 2026-03-25)</t>
        </is>
      </c>
      <c r="B4370" s="3" t="inlineStr">
        <is>
          <t>세미파이브</t>
        </is>
      </c>
      <c r="C4370" s="2" t="inlineStr">
        <is>
          <t>코스닥</t>
        </is>
      </c>
      <c r="D4370" s="2" t="inlineStr">
        <is>
          <t>490470</t>
        </is>
      </c>
      <c r="E4370" s="3" t="inlineStr">
        <is>
          <t>[기재정정]주주총회소집공고</t>
        </is>
      </c>
      <c r="F4370" s="3" t="inlineStr">
        <is>
          <t>세미파이브</t>
        </is>
      </c>
      <c r="G4370" s="2" t="inlineStr">
        <is>
          <t>20260325000283</t>
        </is>
      </c>
      <c r="H4370" s="8">
        <f>HYPERLINK("https://dart.fss.or.kr/dsaf001/main.do?rcpNo=20260325000283", "공시열람")</f>
        <v/>
      </c>
    </row>
    <row r="4371">
      <c r="A4371" s="2" t="inlineStr">
        <is>
          <t>2026-03-13 (정정: 2026-03-25)</t>
        </is>
      </c>
      <c r="B4371" s="3" t="inlineStr">
        <is>
          <t>사피엔반도체</t>
        </is>
      </c>
      <c r="C4371" s="2" t="inlineStr">
        <is>
          <t>코스닥</t>
        </is>
      </c>
      <c r="D4371" s="2" t="inlineStr">
        <is>
          <t>452430</t>
        </is>
      </c>
      <c r="E4371" s="3" t="inlineStr">
        <is>
          <t>[기재정정]주주총회소집공고</t>
        </is>
      </c>
      <c r="F4371" s="3" t="inlineStr">
        <is>
          <t>사피엔반도체</t>
        </is>
      </c>
      <c r="G4371" s="2" t="inlineStr">
        <is>
          <t>20260324001039</t>
        </is>
      </c>
      <c r="H4371" s="8">
        <f>HYPERLINK("https://dart.fss.or.kr/dsaf001/main.do?rcpNo=20260324001039", "공시열람")</f>
        <v/>
      </c>
    </row>
    <row r="4372">
      <c r="A4372" s="2" t="inlineStr">
        <is>
          <t>2026-03-26</t>
        </is>
      </c>
      <c r="B4372" s="3" t="inlineStr">
        <is>
          <t>오름테라퓨틱</t>
        </is>
      </c>
      <c r="C4372" s="2" t="inlineStr">
        <is>
          <t>코스닥</t>
        </is>
      </c>
      <c r="D4372" s="2" t="inlineStr">
        <is>
          <t>475830</t>
        </is>
      </c>
      <c r="E4372" s="3" t="inlineStr">
        <is>
          <t>[기재정정]주주총회소집공고</t>
        </is>
      </c>
      <c r="F4372" s="3" t="inlineStr">
        <is>
          <t>오름테라퓨틱</t>
        </is>
      </c>
      <c r="G4372" s="2" t="inlineStr">
        <is>
          <t>20260326001503</t>
        </is>
      </c>
      <c r="H4372" s="8">
        <f>HYPERLINK("https://dart.fss.or.kr/dsaf001/main.do?rcpNo=20260326001503", "공시열람")</f>
        <v/>
      </c>
    </row>
    <row r="4373">
      <c r="A4373" s="2" t="inlineStr">
        <is>
          <t>2026-03-26</t>
        </is>
      </c>
      <c r="B4373" s="3" t="inlineStr">
        <is>
          <t>이스타코</t>
        </is>
      </c>
      <c r="C4373" s="2" t="inlineStr">
        <is>
          <t>코스피</t>
        </is>
      </c>
      <c r="D4373" s="2" t="inlineStr">
        <is>
          <t>015020</t>
        </is>
      </c>
      <c r="E4373" s="3" t="inlineStr">
        <is>
          <t>[기재정정]주주총회소집공고</t>
        </is>
      </c>
      <c r="F4373" s="3" t="inlineStr">
        <is>
          <t>이스타코</t>
        </is>
      </c>
      <c r="G4373" s="2" t="inlineStr">
        <is>
          <t>20260326000264</t>
        </is>
      </c>
      <c r="H4373" s="8">
        <f>HYPERLINK("https://dart.fss.or.kr/dsaf001/main.do?rcpNo=20260326000264", "공시열람")</f>
        <v/>
      </c>
    </row>
    <row r="4374">
      <c r="A4374" s="2" t="inlineStr">
        <is>
          <t>2026-03-27</t>
        </is>
      </c>
      <c r="B4374" s="3" t="inlineStr">
        <is>
          <t>자연과환경</t>
        </is>
      </c>
      <c r="C4374" s="2" t="inlineStr">
        <is>
          <t>코스닥</t>
        </is>
      </c>
      <c r="D4374" s="2" t="inlineStr">
        <is>
          <t>043910</t>
        </is>
      </c>
      <c r="E4374" s="3" t="inlineStr">
        <is>
          <t>[기재정정]주주총회소집공고</t>
        </is>
      </c>
      <c r="F4374" s="3" t="inlineStr">
        <is>
          <t>자연과환경</t>
        </is>
      </c>
      <c r="G4374" s="2" t="inlineStr">
        <is>
          <t>20260327001513</t>
        </is>
      </c>
      <c r="H4374" s="8">
        <f>HYPERLINK("https://dart.fss.or.kr/dsaf001/main.do?rcpNo=20260327001513", "공시열람")</f>
        <v/>
      </c>
    </row>
    <row r="4375">
      <c r="A4375" s="2" t="inlineStr">
        <is>
          <t>2026-03-30</t>
        </is>
      </c>
      <c r="B4375" s="3" t="inlineStr">
        <is>
          <t>강원랜드</t>
        </is>
      </c>
      <c r="C4375" s="2" t="inlineStr">
        <is>
          <t>코스피</t>
        </is>
      </c>
      <c r="D4375" s="2" t="inlineStr">
        <is>
          <t>035250</t>
        </is>
      </c>
      <c r="E4375" s="3" t="inlineStr">
        <is>
          <t>주주총회소집공고</t>
        </is>
      </c>
      <c r="F4375" s="3" t="inlineStr">
        <is>
          <t>강원랜드</t>
        </is>
      </c>
      <c r="G4375" s="2" t="inlineStr">
        <is>
          <t>20260330001211</t>
        </is>
      </c>
      <c r="H4375" s="8">
        <f>HYPERLINK("https://dart.fss.or.kr/dsaf001/main.do?rcpNo=20260330001211", "공시열람")</f>
        <v/>
      </c>
    </row>
    <row r="4376">
      <c r="A4376" s="2" t="inlineStr">
        <is>
          <t>2026-03-30</t>
        </is>
      </c>
      <c r="B4376" s="3" t="inlineStr">
        <is>
          <t>가이아코퍼레이션</t>
        </is>
      </c>
      <c r="C4376" s="2" t="inlineStr">
        <is>
          <t>코넥스</t>
        </is>
      </c>
      <c r="D4376" s="2" t="inlineStr">
        <is>
          <t>296520</t>
        </is>
      </c>
      <c r="E4376" s="3" t="inlineStr">
        <is>
          <t>[기재정정]주주총회소집공고</t>
        </is>
      </c>
      <c r="F4376" s="3" t="inlineStr">
        <is>
          <t>가이아코퍼레이션</t>
        </is>
      </c>
      <c r="G4376" s="2" t="inlineStr">
        <is>
          <t>20260330000560</t>
        </is>
      </c>
      <c r="H4376" s="8">
        <f>HYPERLINK("https://dart.fss.or.kr/dsaf001/main.do?rcpNo=20260330000560", "공시열람")</f>
        <v/>
      </c>
    </row>
    <row r="4377">
      <c r="A4377" s="2" t="inlineStr">
        <is>
          <t>2026-03-31 (정정: 2026-04-14)</t>
        </is>
      </c>
      <c r="B4377" s="3" t="inlineStr">
        <is>
          <t>윙입푸드</t>
        </is>
      </c>
      <c r="C4377" s="2" t="inlineStr">
        <is>
          <t>코스닥</t>
        </is>
      </c>
      <c r="D4377" s="2" t="inlineStr">
        <is>
          <t>900340</t>
        </is>
      </c>
      <c r="E4377" s="3" t="inlineStr">
        <is>
          <t>주주총회소집공고 (정정: 20260407) (정정: 20260414)</t>
        </is>
      </c>
      <c r="F4377" s="3" t="inlineStr">
        <is>
          <t>윙입푸드</t>
        </is>
      </c>
      <c r="G4377" s="2" t="inlineStr">
        <is>
          <t>20260414002695</t>
        </is>
      </c>
      <c r="H4377" s="8">
        <f>HYPERLINK("https://dart.fss.or.kr/dsaf001/main.do?rcpNo=20260414002695", "공시열람")</f>
        <v/>
      </c>
    </row>
    <row r="4378">
      <c r="A4378" s="2" t="inlineStr">
        <is>
          <t>2026-03-31</t>
        </is>
      </c>
      <c r="B4378" s="3" t="inlineStr">
        <is>
          <t>오리엔트바이오</t>
        </is>
      </c>
      <c r="C4378" s="2" t="inlineStr">
        <is>
          <t>코스피</t>
        </is>
      </c>
      <c r="D4378" s="2" t="inlineStr">
        <is>
          <t>002630</t>
        </is>
      </c>
      <c r="E4378" s="3" t="inlineStr">
        <is>
          <t>주주총회소집공고</t>
        </is>
      </c>
      <c r="F4378" s="3" t="inlineStr">
        <is>
          <t>오리엔트바이오</t>
        </is>
      </c>
      <c r="G4378" s="2" t="inlineStr">
        <is>
          <t>20260331003856</t>
        </is>
      </c>
      <c r="H4378" s="8">
        <f>HYPERLINK("https://dart.fss.or.kr/dsaf001/main.do?rcpNo=20260331003856", "공시열람")</f>
        <v/>
      </c>
    </row>
    <row r="4379">
      <c r="A4379" s="2" t="inlineStr">
        <is>
          <t>2026-04-01 (정정: 2026-06-16)</t>
        </is>
      </c>
      <c r="B4379" s="3" t="inlineStr">
        <is>
          <t>딥커머스</t>
        </is>
      </c>
      <c r="C4379" s="2" t="inlineStr">
        <is>
          <t>코스닥</t>
        </is>
      </c>
      <c r="D4379" s="2" t="inlineStr">
        <is>
          <t>900110</t>
        </is>
      </c>
      <c r="E4379" s="3" t="inlineStr">
        <is>
          <t>주주총회소집공고 (정정: 20260415) (정정: 20260521) (정정: 20260616)</t>
        </is>
      </c>
      <c r="F4379" s="3" t="inlineStr">
        <is>
          <t>딥커머스</t>
        </is>
      </c>
      <c r="G4379" s="2" t="inlineStr">
        <is>
          <t>20260616000067</t>
        </is>
      </c>
      <c r="H4379" s="8">
        <f>HYPERLINK("https://dart.fss.or.kr/dsaf001/main.do?rcpNo=20260616000067", "공시열람")</f>
        <v/>
      </c>
    </row>
    <row r="4380">
      <c r="A4380" s="2" t="inlineStr">
        <is>
          <t>2026-04-01</t>
        </is>
      </c>
      <c r="B4380" s="3" t="inlineStr">
        <is>
          <t>로스웰</t>
        </is>
      </c>
      <c r="C4380" s="2" t="inlineStr">
        <is>
          <t>코스닥</t>
        </is>
      </c>
      <c r="D4380" s="2" t="inlineStr">
        <is>
          <t>900260</t>
        </is>
      </c>
      <c r="E4380" s="3" t="inlineStr">
        <is>
          <t>주주총회소집공고</t>
        </is>
      </c>
      <c r="F4380" s="3" t="inlineStr">
        <is>
          <t>로스웰</t>
        </is>
      </c>
      <c r="G4380" s="2" t="inlineStr">
        <is>
          <t>20260401004044</t>
        </is>
      </c>
      <c r="H4380" s="8">
        <f>HYPERLINK("https://dart.fss.or.kr/dsaf001/main.do?rcpNo=20260401004044", "공시열람")</f>
        <v/>
      </c>
    </row>
    <row r="4381">
      <c r="A4381" s="2" t="inlineStr">
        <is>
          <t>2026-04-02</t>
        </is>
      </c>
      <c r="B4381" s="3" t="inlineStr">
        <is>
          <t>에스아이리소스</t>
        </is>
      </c>
      <c r="C4381" s="2" t="inlineStr">
        <is>
          <t>코스닥</t>
        </is>
      </c>
      <c r="D4381" s="2" t="inlineStr">
        <is>
          <t>065420</t>
        </is>
      </c>
      <c r="E4381" s="3" t="inlineStr">
        <is>
          <t>[기재정정]주주총회소집공고</t>
        </is>
      </c>
      <c r="F4381" s="3" t="inlineStr">
        <is>
          <t>김효수</t>
        </is>
      </c>
      <c r="G4381" s="2" t="inlineStr">
        <is>
          <t>20260402003524</t>
        </is>
      </c>
      <c r="H4381" s="8">
        <f>HYPERLINK("https://dart.fss.or.kr/dsaf001/main.do?rcpNo=20260402003524", "공시열람")</f>
        <v/>
      </c>
    </row>
    <row r="4382">
      <c r="A4382" s="2" t="inlineStr">
        <is>
          <t>2026-04-02</t>
        </is>
      </c>
      <c r="B4382" s="3" t="inlineStr">
        <is>
          <t>에스아이리소스</t>
        </is>
      </c>
      <c r="C4382" s="2" t="inlineStr">
        <is>
          <t>코스닥</t>
        </is>
      </c>
      <c r="D4382" s="2" t="inlineStr">
        <is>
          <t>065420</t>
        </is>
      </c>
      <c r="E4382" s="3" t="inlineStr">
        <is>
          <t>[기재정정]주주총회소집공고</t>
        </is>
      </c>
      <c r="F4382" s="3" t="inlineStr">
        <is>
          <t>김효수</t>
        </is>
      </c>
      <c r="G4382" s="2" t="inlineStr">
        <is>
          <t>20260402003035</t>
        </is>
      </c>
      <c r="H4382" s="8">
        <f>HYPERLINK("https://dart.fss.or.kr/dsaf001/main.do?rcpNo=20260402003035", "공시열람")</f>
        <v/>
      </c>
    </row>
    <row r="4383">
      <c r="A4383" s="2" t="inlineStr">
        <is>
          <t>2026-04-02</t>
        </is>
      </c>
      <c r="B4383" s="3" t="inlineStr">
        <is>
          <t>에스아이리소스</t>
        </is>
      </c>
      <c r="C4383" s="2" t="inlineStr">
        <is>
          <t>코스닥</t>
        </is>
      </c>
      <c r="D4383" s="2" t="inlineStr">
        <is>
          <t>065420</t>
        </is>
      </c>
      <c r="E4383" s="3" t="inlineStr">
        <is>
          <t>주주총회소집공고</t>
        </is>
      </c>
      <c r="F4383" s="3" t="inlineStr">
        <is>
          <t>김효수</t>
        </is>
      </c>
      <c r="G4383" s="2" t="inlineStr">
        <is>
          <t>20260402002844</t>
        </is>
      </c>
      <c r="H4383" s="8">
        <f>HYPERLINK("https://dart.fss.or.kr/dsaf001/main.do?rcpNo=20260402002844", "공시열람")</f>
        <v/>
      </c>
    </row>
    <row r="4384">
      <c r="A4384" s="2" t="inlineStr">
        <is>
          <t>2026-04-02</t>
        </is>
      </c>
      <c r="B4384" s="3" t="inlineStr">
        <is>
          <t>삼성FN리츠</t>
        </is>
      </c>
      <c r="C4384" s="2" t="inlineStr">
        <is>
          <t>코스피</t>
        </is>
      </c>
      <c r="D4384" s="2" t="inlineStr">
        <is>
          <t>448730</t>
        </is>
      </c>
      <c r="E4384" s="3" t="inlineStr">
        <is>
          <t>주주총회소집공고</t>
        </is>
      </c>
      <c r="F4384" s="3" t="inlineStr">
        <is>
          <t>삼성FN리츠</t>
        </is>
      </c>
      <c r="G4384" s="2" t="inlineStr">
        <is>
          <t>20260402001638</t>
        </is>
      </c>
      <c r="H4384" s="8">
        <f>HYPERLINK("https://dart.fss.or.kr/dsaf001/main.do?rcpNo=20260402001638", "공시열람")</f>
        <v/>
      </c>
    </row>
    <row r="4385">
      <c r="A4385" s="2" t="inlineStr">
        <is>
          <t>2026-04-03 (정정: 2026-05-22)</t>
        </is>
      </c>
      <c r="B4385" s="3" t="inlineStr">
        <is>
          <t>현대홈쇼핑</t>
        </is>
      </c>
      <c r="C4385" s="2" t="inlineStr">
        <is>
          <t>코스피</t>
        </is>
      </c>
      <c r="D4385" s="2" t="inlineStr">
        <is>
          <t>057050</t>
        </is>
      </c>
      <c r="E4385" s="3" t="inlineStr">
        <is>
          <t>주주총회소집공고 (정정: 20260522) (정정: 20260522)</t>
        </is>
      </c>
      <c r="F4385" s="3" t="inlineStr">
        <is>
          <t>현대홈쇼핑</t>
        </is>
      </c>
      <c r="G4385" s="2" t="inlineStr">
        <is>
          <t>20260522000254</t>
        </is>
      </c>
      <c r="H4385" s="8">
        <f>HYPERLINK("https://dart.fss.or.kr/dsaf001/main.do?rcpNo=20260522000254", "공시열람")</f>
        <v/>
      </c>
    </row>
    <row r="4386">
      <c r="A4386" s="2" t="inlineStr">
        <is>
          <t>2026-04-03 (정정: 2026-05-22)</t>
        </is>
      </c>
      <c r="B4386" s="3" t="inlineStr">
        <is>
          <t>현대지에프홀딩스</t>
        </is>
      </c>
      <c r="C4386" s="2" t="inlineStr">
        <is>
          <t>코스피</t>
        </is>
      </c>
      <c r="D4386" s="2" t="inlineStr">
        <is>
          <t>005440</t>
        </is>
      </c>
      <c r="E4386" s="3" t="inlineStr">
        <is>
          <t>주주총회소집공고 (정정: 20260522) (정정: 20260522) (정정: 20260522)</t>
        </is>
      </c>
      <c r="F4386" s="3" t="inlineStr">
        <is>
          <t>현대지에프홀딩스</t>
        </is>
      </c>
      <c r="G4386" s="2" t="inlineStr">
        <is>
          <t>20260522000296</t>
        </is>
      </c>
      <c r="H4386" s="8">
        <f>HYPERLINK("https://dart.fss.or.kr/dsaf001/main.do?rcpNo=20260522000296", "공시열람")</f>
        <v/>
      </c>
    </row>
    <row r="4387">
      <c r="A4387" s="2" t="inlineStr">
        <is>
          <t>2026-04-06</t>
        </is>
      </c>
      <c r="B4387" s="3" t="inlineStr">
        <is>
          <t>크리스탈신소재</t>
        </is>
      </c>
      <c r="C4387" s="2" t="inlineStr">
        <is>
          <t>코스닥</t>
        </is>
      </c>
      <c r="D4387" s="2" t="inlineStr">
        <is>
          <t>900250</t>
        </is>
      </c>
      <c r="E4387" s="3" t="inlineStr">
        <is>
          <t>주주총회소집공고</t>
        </is>
      </c>
      <c r="F4387" s="3" t="inlineStr">
        <is>
          <t>크리스탈신소재</t>
        </is>
      </c>
      <c r="G4387" s="2" t="inlineStr">
        <is>
          <t>20260406003742</t>
        </is>
      </c>
      <c r="H4387" s="8">
        <f>HYPERLINK("https://dart.fss.or.kr/dsaf001/main.do?rcpNo=20260406003742", "공시열람")</f>
        <v/>
      </c>
    </row>
    <row r="4388">
      <c r="A4388" s="2" t="inlineStr">
        <is>
          <t>2026-04-06</t>
        </is>
      </c>
      <c r="B4388" s="3" t="inlineStr">
        <is>
          <t>지역난방공사</t>
        </is>
      </c>
      <c r="C4388" s="2" t="inlineStr">
        <is>
          <t>코스피</t>
        </is>
      </c>
      <c r="D4388" s="2" t="inlineStr">
        <is>
          <t>071320</t>
        </is>
      </c>
      <c r="E4388" s="3" t="inlineStr">
        <is>
          <t>주주총회소집공고</t>
        </is>
      </c>
      <c r="F4388" s="3" t="inlineStr">
        <is>
          <t>지역난방공사</t>
        </is>
      </c>
      <c r="G4388" s="2" t="inlineStr">
        <is>
          <t>20260406002382</t>
        </is>
      </c>
      <c r="H4388" s="8">
        <f>HYPERLINK("https://dart.fss.or.kr/dsaf001/main.do?rcpNo=20260406002382", "공시열람")</f>
        <v/>
      </c>
    </row>
    <row r="4389">
      <c r="A4389" s="2" t="inlineStr">
        <is>
          <t>2026-04-08 (정정: 2026-04-23)</t>
        </is>
      </c>
      <c r="B4389" s="3" t="inlineStr">
        <is>
          <t>오가닉티코스메틱</t>
        </is>
      </c>
      <c r="C4389" s="2" t="inlineStr">
        <is>
          <t>코스닥</t>
        </is>
      </c>
      <c r="D4389" s="2" t="inlineStr">
        <is>
          <t>900300</t>
        </is>
      </c>
      <c r="E4389" s="3" t="inlineStr">
        <is>
          <t>주주총회소집공고 (정정: 20260421) (정정: 20260422) (정정: 20260423)</t>
        </is>
      </c>
      <c r="F4389" s="3" t="inlineStr">
        <is>
          <t>오가닉티코스메틱</t>
        </is>
      </c>
      <c r="G4389" s="2" t="inlineStr">
        <is>
          <t>20260423000719</t>
        </is>
      </c>
      <c r="H4389" s="8">
        <f>HYPERLINK("https://dart.fss.or.kr/dsaf001/main.do?rcpNo=20260423000719", "공시열람")</f>
        <v/>
      </c>
    </row>
    <row r="4390">
      <c r="A4390" s="2" t="inlineStr">
        <is>
          <t>2026-04-08 (정정: 2026-04-22)</t>
        </is>
      </c>
      <c r="B4390" s="3" t="inlineStr">
        <is>
          <t>헝셩그룹</t>
        </is>
      </c>
      <c r="C4390" s="2" t="inlineStr">
        <is>
          <t>코스닥</t>
        </is>
      </c>
      <c r="D4390" s="2" t="inlineStr">
        <is>
          <t>900270</t>
        </is>
      </c>
      <c r="E4390" s="3" t="inlineStr">
        <is>
          <t>주주총회소집공고 (정정: 20260422)</t>
        </is>
      </c>
      <c r="F4390" s="3" t="inlineStr">
        <is>
          <t>헝셩그룹</t>
        </is>
      </c>
      <c r="G4390" s="2" t="inlineStr">
        <is>
          <t>20260422000581</t>
        </is>
      </c>
      <c r="H4390" s="8">
        <f>HYPERLINK("https://dart.fss.or.kr/dsaf001/main.do?rcpNo=20260422000581", "공시열람")</f>
        <v/>
      </c>
    </row>
    <row r="4391">
      <c r="A4391" s="2" t="inlineStr">
        <is>
          <t>2026-04-08</t>
        </is>
      </c>
      <c r="B4391" s="3" t="inlineStr">
        <is>
          <t>무학</t>
        </is>
      </c>
      <c r="C4391" s="2" t="inlineStr">
        <is>
          <t>코스피</t>
        </is>
      </c>
      <c r="D4391" s="2" t="inlineStr">
        <is>
          <t>033920</t>
        </is>
      </c>
      <c r="E4391" s="3" t="inlineStr">
        <is>
          <t>주주총회소집공고</t>
        </is>
      </c>
      <c r="F4391" s="3" t="inlineStr">
        <is>
          <t>무학</t>
        </is>
      </c>
      <c r="G4391" s="2" t="inlineStr">
        <is>
          <t>20260408002734</t>
        </is>
      </c>
      <c r="H4391" s="8">
        <f>HYPERLINK("https://dart.fss.or.kr/dsaf001/main.do?rcpNo=20260408002734", "공시열람")</f>
        <v/>
      </c>
    </row>
    <row r="4392">
      <c r="A4392" s="2" t="inlineStr">
        <is>
          <t>2026-04-08</t>
        </is>
      </c>
      <c r="B4392" s="3" t="inlineStr">
        <is>
          <t>컬러레이</t>
        </is>
      </c>
      <c r="C4392" s="2" t="inlineStr">
        <is>
          <t>코스닥</t>
        </is>
      </c>
      <c r="D4392" s="2" t="inlineStr">
        <is>
          <t>900310</t>
        </is>
      </c>
      <c r="E4392" s="3" t="inlineStr">
        <is>
          <t>주주총회소집공고</t>
        </is>
      </c>
      <c r="F4392" s="3" t="inlineStr">
        <is>
          <t>컬러레이</t>
        </is>
      </c>
      <c r="G4392" s="2" t="inlineStr">
        <is>
          <t>20260408002258</t>
        </is>
      </c>
      <c r="H4392" s="8">
        <f>HYPERLINK("https://dart.fss.or.kr/dsaf001/main.do?rcpNo=20260408002258", "공시열람")</f>
        <v/>
      </c>
    </row>
    <row r="4393">
      <c r="A4393" s="2" t="inlineStr">
        <is>
          <t>2026-04-09</t>
        </is>
      </c>
      <c r="B4393" s="3" t="inlineStr">
        <is>
          <t>삐아</t>
        </is>
      </c>
      <c r="C4393" s="2" t="inlineStr">
        <is>
          <t>코스닥</t>
        </is>
      </c>
      <c r="D4393" s="2" t="inlineStr">
        <is>
          <t>451250</t>
        </is>
      </c>
      <c r="E4393" s="3" t="inlineStr">
        <is>
          <t>주주총회소집공고</t>
        </is>
      </c>
      <c r="F4393" s="3" t="inlineStr">
        <is>
          <t>삐아</t>
        </is>
      </c>
      <c r="G4393" s="2" t="inlineStr">
        <is>
          <t>20260409001550</t>
        </is>
      </c>
      <c r="H4393" s="8">
        <f>HYPERLINK("https://dart.fss.or.kr/dsaf001/main.do?rcpNo=20260409001550", "공시열람")</f>
        <v/>
      </c>
    </row>
    <row r="4394">
      <c r="A4394" s="2" t="inlineStr">
        <is>
          <t>2026-04-10</t>
        </is>
      </c>
      <c r="B4394" s="3" t="inlineStr">
        <is>
          <t>한국전력공사</t>
        </is>
      </c>
      <c r="C4394" s="2" t="inlineStr">
        <is>
          <t>코스피</t>
        </is>
      </c>
      <c r="D4394" s="2" t="inlineStr">
        <is>
          <t>015760</t>
        </is>
      </c>
      <c r="E4394" s="3" t="inlineStr">
        <is>
          <t>주주총회소집공고</t>
        </is>
      </c>
      <c r="F4394" s="3" t="inlineStr">
        <is>
          <t>한국전력공사</t>
        </is>
      </c>
      <c r="G4394" s="2" t="inlineStr">
        <is>
          <t>20260410002886</t>
        </is>
      </c>
      <c r="H4394" s="8">
        <f>HYPERLINK("https://dart.fss.or.kr/dsaf001/main.do?rcpNo=20260410002886", "공시열람")</f>
        <v/>
      </c>
    </row>
    <row r="4395">
      <c r="A4395" s="2" t="inlineStr">
        <is>
          <t>2026-04-10</t>
        </is>
      </c>
      <c r="B4395" s="3" t="inlineStr">
        <is>
          <t>아이에이</t>
        </is>
      </c>
      <c r="C4395" s="2" t="inlineStr">
        <is>
          <t>코스닥</t>
        </is>
      </c>
      <c r="D4395" s="2" t="inlineStr">
        <is>
          <t>038880</t>
        </is>
      </c>
      <c r="E4395" s="3" t="inlineStr">
        <is>
          <t>주주총회소집공고</t>
        </is>
      </c>
      <c r="F4395" s="3" t="inlineStr">
        <is>
          <t>아이에이</t>
        </is>
      </c>
      <c r="G4395" s="2" t="inlineStr">
        <is>
          <t>20260410002363</t>
        </is>
      </c>
      <c r="H4395" s="8">
        <f>HYPERLINK("https://dart.fss.or.kr/dsaf001/main.do?rcpNo=20260410002363", "공시열람")</f>
        <v/>
      </c>
    </row>
    <row r="4396">
      <c r="A4396" s="2" t="inlineStr">
        <is>
          <t>2026-04-13</t>
        </is>
      </c>
      <c r="B4396" s="3" t="inlineStr">
        <is>
          <t>한국첨단소재</t>
        </is>
      </c>
      <c r="C4396" s="2" t="inlineStr">
        <is>
          <t>코스닥</t>
        </is>
      </c>
      <c r="D4396" s="2" t="inlineStr">
        <is>
          <t>062970</t>
        </is>
      </c>
      <c r="E4396" s="3" t="inlineStr">
        <is>
          <t>주주총회소집공고</t>
        </is>
      </c>
      <c r="F4396" s="3" t="inlineStr">
        <is>
          <t>한국첨단소재</t>
        </is>
      </c>
      <c r="G4396" s="2" t="inlineStr">
        <is>
          <t>20260413003041</t>
        </is>
      </c>
      <c r="H4396" s="8">
        <f>HYPERLINK("https://dart.fss.or.kr/dsaf001/main.do?rcpNo=20260413003041", "공시열람")</f>
        <v/>
      </c>
    </row>
    <row r="4397">
      <c r="A4397" s="2" t="inlineStr">
        <is>
          <t>2026-04-13</t>
        </is>
      </c>
      <c r="B4397" s="3" t="inlineStr">
        <is>
          <t>와이바이오로직스</t>
        </is>
      </c>
      <c r="C4397" s="2" t="inlineStr">
        <is>
          <t>코스닥</t>
        </is>
      </c>
      <c r="D4397" s="2" t="inlineStr">
        <is>
          <t>338840</t>
        </is>
      </c>
      <c r="E4397" s="3" t="inlineStr">
        <is>
          <t>주주총회소집공고</t>
        </is>
      </c>
      <c r="F4397" s="3" t="inlineStr">
        <is>
          <t>와이바이오로직스</t>
        </is>
      </c>
      <c r="G4397" s="2" t="inlineStr">
        <is>
          <t>20260413002892</t>
        </is>
      </c>
      <c r="H4397" s="8">
        <f>HYPERLINK("https://dart.fss.or.kr/dsaf001/main.do?rcpNo=20260413002892", "공시열람")</f>
        <v/>
      </c>
    </row>
    <row r="4398">
      <c r="A4398" s="2" t="inlineStr">
        <is>
          <t>2026-04-13</t>
        </is>
      </c>
      <c r="B4398" s="3" t="inlineStr">
        <is>
          <t>한솔아이원스</t>
        </is>
      </c>
      <c r="C4398" s="2" t="inlineStr">
        <is>
          <t>코스닥</t>
        </is>
      </c>
      <c r="D4398" s="2" t="inlineStr">
        <is>
          <t>114810</t>
        </is>
      </c>
      <c r="E4398" s="3" t="inlineStr">
        <is>
          <t>주주총회소집공고</t>
        </is>
      </c>
      <c r="F4398" s="3" t="inlineStr">
        <is>
          <t>한솔아이원스</t>
        </is>
      </c>
      <c r="G4398" s="2" t="inlineStr">
        <is>
          <t>20260413002239</t>
        </is>
      </c>
      <c r="H4398" s="8">
        <f>HYPERLINK("https://dart.fss.or.kr/dsaf001/main.do?rcpNo=20260413002239", "공시열람")</f>
        <v/>
      </c>
    </row>
    <row r="4399">
      <c r="A4399" s="2" t="inlineStr">
        <is>
          <t>2026-04-14</t>
        </is>
      </c>
      <c r="B4399" s="3" t="inlineStr">
        <is>
          <t>푸른로보틱스</t>
        </is>
      </c>
      <c r="C4399" s="2" t="inlineStr">
        <is>
          <t>코스닥</t>
        </is>
      </c>
      <c r="D4399" s="2" t="inlineStr">
        <is>
          <t>094940</t>
        </is>
      </c>
      <c r="E4399" s="3" t="inlineStr">
        <is>
          <t>주주총회소집공고</t>
        </is>
      </c>
      <c r="F4399" s="3" t="inlineStr">
        <is>
          <t>푸른로보틱스</t>
        </is>
      </c>
      <c r="G4399" s="2" t="inlineStr">
        <is>
          <t>20260414002203</t>
        </is>
      </c>
      <c r="H4399" s="8">
        <f>HYPERLINK("https://dart.fss.or.kr/dsaf001/main.do?rcpNo=20260414002203", "공시열람")</f>
        <v/>
      </c>
    </row>
    <row r="4400">
      <c r="A4400" s="2" t="inlineStr">
        <is>
          <t>2026-04-14</t>
        </is>
      </c>
      <c r="B4400" s="3" t="inlineStr">
        <is>
          <t>수성웹툰</t>
        </is>
      </c>
      <c r="C4400" s="2" t="inlineStr">
        <is>
          <t>코스닥</t>
        </is>
      </c>
      <c r="D4400" s="2" t="inlineStr">
        <is>
          <t>084180</t>
        </is>
      </c>
      <c r="E4400" s="3" t="inlineStr">
        <is>
          <t>주주총회소집공고</t>
        </is>
      </c>
      <c r="F4400" s="3" t="inlineStr">
        <is>
          <t>수성웹툰</t>
        </is>
      </c>
      <c r="G4400" s="2" t="inlineStr">
        <is>
          <t>20260414002139</t>
        </is>
      </c>
      <c r="H4400" s="8">
        <f>HYPERLINK("https://dart.fss.or.kr/dsaf001/main.do?rcpNo=20260414002139", "공시열람")</f>
        <v/>
      </c>
    </row>
    <row r="4401">
      <c r="A4401" s="2" t="inlineStr">
        <is>
          <t>2026-04-14</t>
        </is>
      </c>
      <c r="B4401" s="3" t="inlineStr">
        <is>
          <t>화인써키트</t>
        </is>
      </c>
      <c r="C4401" s="2" t="inlineStr">
        <is>
          <t>코스닥</t>
        </is>
      </c>
      <c r="D4401" s="2" t="inlineStr">
        <is>
          <t>127980</t>
        </is>
      </c>
      <c r="E4401" s="3" t="inlineStr">
        <is>
          <t>주주총회소집공고</t>
        </is>
      </c>
      <c r="F4401" s="3" t="inlineStr">
        <is>
          <t>화인써키트</t>
        </is>
      </c>
      <c r="G4401" s="2" t="inlineStr">
        <is>
          <t>20260414001512</t>
        </is>
      </c>
      <c r="H4401" s="8">
        <f>HYPERLINK("https://dart.fss.or.kr/dsaf001/main.do?rcpNo=20260414001512", "공시열람")</f>
        <v/>
      </c>
    </row>
    <row r="4402">
      <c r="A4402" s="2" t="inlineStr">
        <is>
          <t>2026-04-15</t>
        </is>
      </c>
      <c r="B4402" s="3" t="inlineStr">
        <is>
          <t>아리바이오LAB</t>
        </is>
      </c>
      <c r="C4402" s="2" t="inlineStr">
        <is>
          <t>코스닥</t>
        </is>
      </c>
      <c r="D4402" s="2" t="inlineStr">
        <is>
          <t>261780</t>
        </is>
      </c>
      <c r="E4402" s="3" t="inlineStr">
        <is>
          <t>주주총회소집공고</t>
        </is>
      </c>
      <c r="F4402" s="3" t="inlineStr">
        <is>
          <t>아리바이오LAB</t>
        </is>
      </c>
      <c r="G4402" s="2" t="inlineStr">
        <is>
          <t>20260415000647</t>
        </is>
      </c>
      <c r="H4402" s="8">
        <f>HYPERLINK("https://dart.fss.or.kr/dsaf001/main.do?rcpNo=20260415000647", "공시열람")</f>
        <v/>
      </c>
    </row>
    <row r="4403">
      <c r="A4403" s="2" t="inlineStr">
        <is>
          <t>2026-04-15</t>
        </is>
      </c>
      <c r="B4403" s="3" t="inlineStr">
        <is>
          <t>KB스타리츠</t>
        </is>
      </c>
      <c r="C4403" s="2" t="inlineStr">
        <is>
          <t>코스피</t>
        </is>
      </c>
      <c r="D4403" s="2" t="inlineStr">
        <is>
          <t>432320</t>
        </is>
      </c>
      <c r="E4403" s="3" t="inlineStr">
        <is>
          <t>주주총회소집공고</t>
        </is>
      </c>
      <c r="F4403" s="3" t="inlineStr">
        <is>
          <t>KB스타리츠</t>
        </is>
      </c>
      <c r="G4403" s="2" t="inlineStr">
        <is>
          <t>20260415000510</t>
        </is>
      </c>
      <c r="H4403" s="8">
        <f>HYPERLINK("https://dart.fss.or.kr/dsaf001/main.do?rcpNo=20260415000510", "공시열람")</f>
        <v/>
      </c>
    </row>
    <row r="4404">
      <c r="A4404" s="2" t="inlineStr">
        <is>
          <t>2026-04-15</t>
        </is>
      </c>
      <c r="B4404" s="3" t="inlineStr">
        <is>
          <t>유니켐</t>
        </is>
      </c>
      <c r="C4404" s="2" t="inlineStr">
        <is>
          <t>코스피</t>
        </is>
      </c>
      <c r="D4404" s="2" t="inlineStr">
        <is>
          <t>011330</t>
        </is>
      </c>
      <c r="E4404" s="3" t="inlineStr">
        <is>
          <t>주주총회소집공고</t>
        </is>
      </c>
      <c r="F4404" s="3" t="inlineStr">
        <is>
          <t>유니켐</t>
        </is>
      </c>
      <c r="G4404" s="2" t="inlineStr">
        <is>
          <t>20260415000415</t>
        </is>
      </c>
      <c r="H4404" s="8">
        <f>HYPERLINK("https://dart.fss.or.kr/dsaf001/main.do?rcpNo=20260415000415", "공시열람")</f>
        <v/>
      </c>
    </row>
    <row r="4405">
      <c r="A4405" s="2" t="inlineStr">
        <is>
          <t>2026-04-15</t>
        </is>
      </c>
      <c r="B4405" s="3" t="inlineStr">
        <is>
          <t>진원생명과학</t>
        </is>
      </c>
      <c r="C4405" s="2" t="inlineStr">
        <is>
          <t>코스피</t>
        </is>
      </c>
      <c r="D4405" s="2" t="inlineStr">
        <is>
          <t>011000</t>
        </is>
      </c>
      <c r="E4405" s="3" t="inlineStr">
        <is>
          <t>주주총회소집공고</t>
        </is>
      </c>
      <c r="F4405" s="3" t="inlineStr">
        <is>
          <t>진원생명과학</t>
        </is>
      </c>
      <c r="G4405" s="2" t="inlineStr">
        <is>
          <t>20260415000404</t>
        </is>
      </c>
      <c r="H4405" s="8">
        <f>HYPERLINK("https://dart.fss.or.kr/dsaf001/main.do?rcpNo=20260415000404", "공시열람")</f>
        <v/>
      </c>
    </row>
    <row r="4406">
      <c r="A4406" s="2" t="inlineStr">
        <is>
          <t>2026-04-15</t>
        </is>
      </c>
      <c r="B4406" s="3" t="inlineStr">
        <is>
          <t>SNT모티브</t>
        </is>
      </c>
      <c r="C4406" s="2" t="inlineStr">
        <is>
          <t>코스피</t>
        </is>
      </c>
      <c r="D4406" s="2" t="inlineStr">
        <is>
          <t>064960</t>
        </is>
      </c>
      <c r="E4406" s="3" t="inlineStr">
        <is>
          <t>주주총회소집공고</t>
        </is>
      </c>
      <c r="F4406" s="3" t="inlineStr">
        <is>
          <t>SNT모티브</t>
        </is>
      </c>
      <c r="G4406" s="2" t="inlineStr">
        <is>
          <t>20260415000396</t>
        </is>
      </c>
      <c r="H4406" s="8">
        <f>HYPERLINK("https://dart.fss.or.kr/dsaf001/main.do?rcpNo=20260415000396", "공시열람")</f>
        <v/>
      </c>
    </row>
    <row r="4407">
      <c r="A4407" s="2" t="inlineStr">
        <is>
          <t>2026-04-15</t>
        </is>
      </c>
      <c r="B4407" s="3" t="inlineStr">
        <is>
          <t>골드앤에스</t>
        </is>
      </c>
      <c r="C4407" s="2" t="inlineStr">
        <is>
          <t>코스닥</t>
        </is>
      </c>
      <c r="D4407" s="2" t="inlineStr">
        <is>
          <t>035290</t>
        </is>
      </c>
      <c r="E4407" s="3" t="inlineStr">
        <is>
          <t>주주총회소집공고</t>
        </is>
      </c>
      <c r="F4407" s="3" t="inlineStr">
        <is>
          <t>골드앤에스</t>
        </is>
      </c>
      <c r="G4407" s="2" t="inlineStr">
        <is>
          <t>20260415000235</t>
        </is>
      </c>
      <c r="H4407" s="8">
        <f>HYPERLINK("https://dart.fss.or.kr/dsaf001/main.do?rcpNo=20260415000235", "공시열람")</f>
        <v/>
      </c>
    </row>
    <row r="4408">
      <c r="A4408" s="2" t="inlineStr">
        <is>
          <t>2026-04-15</t>
        </is>
      </c>
      <c r="B4408" s="3" t="inlineStr">
        <is>
          <t>파이온엑스</t>
        </is>
      </c>
      <c r="C4408" s="2" t="inlineStr">
        <is>
          <t>코스닥</t>
        </is>
      </c>
      <c r="D4408" s="2" t="inlineStr">
        <is>
          <t>900100</t>
        </is>
      </c>
      <c r="E4408" s="3" t="inlineStr">
        <is>
          <t>주주총회소집공고</t>
        </is>
      </c>
      <c r="F4408" s="3" t="inlineStr">
        <is>
          <t>파이온엑스</t>
        </is>
      </c>
      <c r="G4408" s="2" t="inlineStr">
        <is>
          <t>20260415000044</t>
        </is>
      </c>
      <c r="H4408" s="8">
        <f>HYPERLINK("https://dart.fss.or.kr/dsaf001/main.do?rcpNo=20260415000044", "공시열람")</f>
        <v/>
      </c>
    </row>
    <row r="4409">
      <c r="A4409" s="2" t="inlineStr">
        <is>
          <t>2026-04-16</t>
        </is>
      </c>
      <c r="B4409" s="3" t="inlineStr">
        <is>
          <t>감성코퍼레이션</t>
        </is>
      </c>
      <c r="C4409" s="2" t="inlineStr">
        <is>
          <t>코스닥</t>
        </is>
      </c>
      <c r="D4409" s="2" t="inlineStr">
        <is>
          <t>036620</t>
        </is>
      </c>
      <c r="E4409" s="3" t="inlineStr">
        <is>
          <t>주요사항보고서(회사분할결정)</t>
        </is>
      </c>
      <c r="F4409" s="3" t="inlineStr">
        <is>
          <t>감성코퍼레이션</t>
        </is>
      </c>
      <c r="G4409" s="2" t="inlineStr">
        <is>
          <t>20260416000369</t>
        </is>
      </c>
      <c r="H4409" s="8">
        <f>HYPERLINK("https://dart.fss.or.kr/dsaf001/main.do?rcpNo=20260416000369", "공시열람")</f>
        <v/>
      </c>
    </row>
    <row r="4410">
      <c r="A4410" s="2" t="inlineStr">
        <is>
          <t>2026-04-16 (정정: 2026-04-16)</t>
        </is>
      </c>
      <c r="B4410" s="3" t="inlineStr">
        <is>
          <t>온코크로스</t>
        </is>
      </c>
      <c r="C4410" s="2" t="inlineStr">
        <is>
          <t>코스닥</t>
        </is>
      </c>
      <c r="D4410" s="2" t="inlineStr">
        <is>
          <t>382150</t>
        </is>
      </c>
      <c r="E4410" s="3" t="inlineStr">
        <is>
          <t>[첨부정정]주요사항보고서(회사합병결정) (정정: 20260416)</t>
        </is>
      </c>
      <c r="F4410" s="3" t="inlineStr">
        <is>
          <t>온코크로스</t>
        </is>
      </c>
      <c r="G4410" s="2" t="inlineStr">
        <is>
          <t>20260415000702</t>
        </is>
      </c>
      <c r="H4410" s="8">
        <f>HYPERLINK("https://dart.fss.or.kr/dsaf001/main.do?rcpNo=20260415000702", "공시열람")</f>
        <v/>
      </c>
    </row>
    <row r="4411">
      <c r="A4411" s="2" t="inlineStr">
        <is>
          <t>2026-04-17</t>
        </is>
      </c>
      <c r="B4411" s="3" t="inlineStr">
        <is>
          <t>에스아이리소스</t>
        </is>
      </c>
      <c r="C4411" s="2" t="inlineStr">
        <is>
          <t>코스닥</t>
        </is>
      </c>
      <c r="D4411" s="2" t="inlineStr">
        <is>
          <t>065420</t>
        </is>
      </c>
      <c r="E4411" s="3" t="inlineStr">
        <is>
          <t>[기재정정]주주총회소집공고</t>
        </is>
      </c>
      <c r="F4411" s="3" t="inlineStr">
        <is>
          <t>김효수</t>
        </is>
      </c>
      <c r="G4411" s="2" t="inlineStr">
        <is>
          <t>20260417000662</t>
        </is>
      </c>
      <c r="H4411" s="8">
        <f>HYPERLINK("https://dart.fss.or.kr/dsaf001/main.do?rcpNo=20260417000662", "공시열람")</f>
        <v/>
      </c>
    </row>
    <row r="4412">
      <c r="A4412" s="2" t="inlineStr">
        <is>
          <t>2026-04-20 (정정: 2026-05-26)</t>
        </is>
      </c>
      <c r="B4412" s="3" t="inlineStr">
        <is>
          <t>롯데케미칼</t>
        </is>
      </c>
      <c r="C4412" s="2" t="inlineStr">
        <is>
          <t>코스피</t>
        </is>
      </c>
      <c r="D4412" s="2" t="inlineStr">
        <is>
          <t>011170</t>
        </is>
      </c>
      <c r="E4412" s="3" t="inlineStr">
        <is>
          <t>주주총회소집공고 (정정: 20260526)</t>
        </is>
      </c>
      <c r="F4412" s="3" t="inlineStr">
        <is>
          <t>롯데케미칼</t>
        </is>
      </c>
      <c r="G4412" s="2" t="inlineStr">
        <is>
          <t>20260526800542</t>
        </is>
      </c>
      <c r="H4412" s="8">
        <f>HYPERLINK("https://dart.fss.or.kr/dsaf001/main.do?rcpNo=20260526800542", "공시열람")</f>
        <v/>
      </c>
    </row>
    <row r="4413">
      <c r="A4413" s="2" t="inlineStr">
        <is>
          <t>2026-04-21</t>
        </is>
      </c>
      <c r="B4413" s="3" t="inlineStr">
        <is>
          <t>다이나믹솔루션</t>
        </is>
      </c>
      <c r="C4413" s="2" t="inlineStr">
        <is>
          <t>코스닥</t>
        </is>
      </c>
      <c r="D4413" s="2" t="inlineStr">
        <is>
          <t>290660</t>
        </is>
      </c>
      <c r="E4413" s="3" t="inlineStr">
        <is>
          <t>주주총회소집공고</t>
        </is>
      </c>
      <c r="F4413" s="3" t="inlineStr">
        <is>
          <t>다이나믹솔루션</t>
        </is>
      </c>
      <c r="G4413" s="2" t="inlineStr">
        <is>
          <t>20260421000352</t>
        </is>
      </c>
      <c r="H4413" s="8">
        <f>HYPERLINK("https://dart.fss.or.kr/dsaf001/main.do?rcpNo=20260421000352", "공시열람")</f>
        <v/>
      </c>
    </row>
    <row r="4414">
      <c r="A4414" s="2" t="inlineStr">
        <is>
          <t>2026-04-21</t>
        </is>
      </c>
      <c r="B4414" s="3" t="inlineStr">
        <is>
          <t>메이슨캐피탈</t>
        </is>
      </c>
      <c r="C4414" s="2" t="inlineStr">
        <is>
          <t>코스닥</t>
        </is>
      </c>
      <c r="D4414" s="2" t="inlineStr">
        <is>
          <t>021880</t>
        </is>
      </c>
      <c r="E4414" s="3" t="inlineStr">
        <is>
          <t>주주총회소집공고</t>
        </is>
      </c>
      <c r="F4414" s="3" t="inlineStr">
        <is>
          <t>메이슨캐피탈</t>
        </is>
      </c>
      <c r="G4414" s="2" t="inlineStr">
        <is>
          <t>20260421000350</t>
        </is>
      </c>
      <c r="H4414" s="8">
        <f>HYPERLINK("https://dart.fss.or.kr/dsaf001/main.do?rcpNo=20260421000350", "공시열람")</f>
        <v/>
      </c>
    </row>
    <row r="4415">
      <c r="A4415" s="2" t="inlineStr">
        <is>
          <t>2026-04-22</t>
        </is>
      </c>
      <c r="B4415" s="3" t="inlineStr">
        <is>
          <t>메타바이오메드</t>
        </is>
      </c>
      <c r="C4415" s="2" t="inlineStr">
        <is>
          <t>코스닥</t>
        </is>
      </c>
      <c r="D4415" s="2" t="inlineStr">
        <is>
          <t>059210</t>
        </is>
      </c>
      <c r="E4415" s="3" t="inlineStr">
        <is>
          <t>주주총회소집공고</t>
        </is>
      </c>
      <c r="F4415" s="3" t="inlineStr">
        <is>
          <t>메타바이오메드</t>
        </is>
      </c>
      <c r="G4415" s="2" t="inlineStr">
        <is>
          <t>20260422000687</t>
        </is>
      </c>
      <c r="H4415" s="8">
        <f>HYPERLINK("https://dart.fss.or.kr/dsaf001/main.do?rcpNo=20260422000687", "공시열람")</f>
        <v/>
      </c>
    </row>
    <row r="4416">
      <c r="A4416" s="2" t="inlineStr">
        <is>
          <t>2026-04-22 (정정: 2026-05-06)</t>
        </is>
      </c>
      <c r="B4416" s="3" t="inlineStr">
        <is>
          <t>하이드로리튬</t>
        </is>
      </c>
      <c r="C4416" s="2" t="inlineStr">
        <is>
          <t>코스닥</t>
        </is>
      </c>
      <c r="D4416" s="2" t="inlineStr">
        <is>
          <t>101670</t>
        </is>
      </c>
      <c r="E4416" s="3" t="inlineStr">
        <is>
          <t>주주총회소집공고 (정정: 20260506)</t>
        </is>
      </c>
      <c r="F4416" s="3" t="inlineStr">
        <is>
          <t>하이드로리튬</t>
        </is>
      </c>
      <c r="G4416" s="2" t="inlineStr">
        <is>
          <t>20260506000424</t>
        </is>
      </c>
      <c r="H4416" s="8">
        <f>HYPERLINK("https://dart.fss.or.kr/dsaf001/main.do?rcpNo=20260506000424", "공시열람")</f>
        <v/>
      </c>
    </row>
    <row r="4417">
      <c r="A4417" s="2" t="inlineStr">
        <is>
          <t>2026-04-22</t>
        </is>
      </c>
      <c r="B4417" s="3" t="inlineStr">
        <is>
          <t>에코심플렉스</t>
        </is>
      </c>
      <c r="C4417" s="2" t="inlineStr">
        <is>
          <t>코스닥</t>
        </is>
      </c>
      <c r="D4417" s="2" t="inlineStr">
        <is>
          <t>038870</t>
        </is>
      </c>
      <c r="E4417" s="3" t="inlineStr">
        <is>
          <t>주주총회소집공고</t>
        </is>
      </c>
      <c r="F4417" s="3" t="inlineStr">
        <is>
          <t>에코심플렉스</t>
        </is>
      </c>
      <c r="G4417" s="2" t="inlineStr">
        <is>
          <t>20260422000398</t>
        </is>
      </c>
      <c r="H4417" s="8">
        <f>HYPERLINK("https://dart.fss.or.kr/dsaf001/main.do?rcpNo=20260422000398", "공시열람")</f>
        <v/>
      </c>
    </row>
    <row r="4418">
      <c r="A4418" s="2" t="inlineStr">
        <is>
          <t>2026-04-22 (정정: 2026-05-27)</t>
        </is>
      </c>
      <c r="B4418" s="3" t="inlineStr">
        <is>
          <t>쓰리에이로직스</t>
        </is>
      </c>
      <c r="C4418" s="2" t="inlineStr">
        <is>
          <t>코스닥</t>
        </is>
      </c>
      <c r="D4418" s="2" t="inlineStr">
        <is>
          <t>177900</t>
        </is>
      </c>
      <c r="E4418" s="3" t="inlineStr">
        <is>
          <t>주주총회소집공고 (정정: 20260527)</t>
        </is>
      </c>
      <c r="F4418" s="3" t="inlineStr">
        <is>
          <t>쓰리에이로직스</t>
        </is>
      </c>
      <c r="G4418" s="2" t="inlineStr">
        <is>
          <t>20260527900219</t>
        </is>
      </c>
      <c r="H4418" s="8">
        <f>HYPERLINK("https://dart.fss.or.kr/dsaf001/main.do?rcpNo=20260527900219", "공시열람")</f>
        <v/>
      </c>
    </row>
    <row r="4419">
      <c r="A4419" s="2" t="inlineStr">
        <is>
          <t>2026-04-22</t>
        </is>
      </c>
      <c r="B4419" s="3" t="inlineStr">
        <is>
          <t>한국수출포장공업</t>
        </is>
      </c>
      <c r="C4419" s="2" t="inlineStr">
        <is>
          <t>코스피</t>
        </is>
      </c>
      <c r="D4419" s="2" t="inlineStr">
        <is>
          <t>002200</t>
        </is>
      </c>
      <c r="E4419" s="3" t="inlineStr">
        <is>
          <t>주주총회소집공고</t>
        </is>
      </c>
      <c r="F4419" s="3" t="inlineStr">
        <is>
          <t>한국수출포장공업</t>
        </is>
      </c>
      <c r="G4419" s="2" t="inlineStr">
        <is>
          <t>20260422000392</t>
        </is>
      </c>
      <c r="H4419" s="8">
        <f>HYPERLINK("https://dart.fss.or.kr/dsaf001/main.do?rcpNo=20260422000392", "공시열람")</f>
        <v/>
      </c>
    </row>
    <row r="4420">
      <c r="A4420" s="2" t="inlineStr">
        <is>
          <t>2026-04-22 (정정: 2026-05-22)</t>
        </is>
      </c>
      <c r="B4420" s="3" t="inlineStr">
        <is>
          <t>이오플로우</t>
        </is>
      </c>
      <c r="C4420" s="2" t="inlineStr">
        <is>
          <t>코스닥</t>
        </is>
      </c>
      <c r="D4420" s="2" t="inlineStr">
        <is>
          <t>294090</t>
        </is>
      </c>
      <c r="E4420" s="3" t="inlineStr">
        <is>
          <t>주주총회소집공고 (정정: 20260522)</t>
        </is>
      </c>
      <c r="F4420" s="3" t="inlineStr">
        <is>
          <t>이오플로우</t>
        </is>
      </c>
      <c r="G4420" s="2" t="inlineStr">
        <is>
          <t>20260522000398</t>
        </is>
      </c>
      <c r="H4420" s="8">
        <f>HYPERLINK("https://dart.fss.or.kr/dsaf001/main.do?rcpNo=20260522000398", "공시열람")</f>
        <v/>
      </c>
    </row>
    <row r="4421">
      <c r="A4421" s="2" t="inlineStr">
        <is>
          <t>2026-04-22</t>
        </is>
      </c>
      <c r="B4421" s="3" t="inlineStr">
        <is>
          <t>씨엔알리서치</t>
        </is>
      </c>
      <c r="C4421" s="2" t="inlineStr">
        <is>
          <t>코스닥</t>
        </is>
      </c>
      <c r="D4421" s="2" t="inlineStr">
        <is>
          <t>359090</t>
        </is>
      </c>
      <c r="E4421" s="3" t="inlineStr">
        <is>
          <t>주주총회소집공고</t>
        </is>
      </c>
      <c r="F4421" s="3" t="inlineStr">
        <is>
          <t>씨엔알리서치</t>
        </is>
      </c>
      <c r="G4421" s="2" t="inlineStr">
        <is>
          <t>20260422000070</t>
        </is>
      </c>
      <c r="H4421" s="8">
        <f>HYPERLINK("https://dart.fss.or.kr/dsaf001/main.do?rcpNo=20260422000070", "공시열람")</f>
        <v/>
      </c>
    </row>
    <row r="4422">
      <c r="A4422" s="2" t="inlineStr">
        <is>
          <t>2026-04-23</t>
        </is>
      </c>
      <c r="B4422" s="3" t="inlineStr">
        <is>
          <t>인크레더블버즈</t>
        </is>
      </c>
      <c r="C4422" s="2" t="inlineStr">
        <is>
          <t>코스닥</t>
        </is>
      </c>
      <c r="D4422" s="2" t="inlineStr">
        <is>
          <t>064090</t>
        </is>
      </c>
      <c r="E4422" s="3" t="inlineStr">
        <is>
          <t>주주총회소집공고</t>
        </is>
      </c>
      <c r="F4422" s="3" t="inlineStr">
        <is>
          <t>인크레더블버즈</t>
        </is>
      </c>
      <c r="G4422" s="2" t="inlineStr">
        <is>
          <t>20260423000759</t>
        </is>
      </c>
      <c r="H4422" s="8">
        <f>HYPERLINK("https://dart.fss.or.kr/dsaf001/main.do?rcpNo=20260423000759", "공시열람")</f>
        <v/>
      </c>
    </row>
    <row r="4423">
      <c r="A4423" s="2" t="inlineStr">
        <is>
          <t>2026-04-23</t>
        </is>
      </c>
      <c r="B4423" s="3" t="inlineStr">
        <is>
          <t>슈피겐코리아</t>
        </is>
      </c>
      <c r="C4423" s="2" t="inlineStr">
        <is>
          <t>코스닥</t>
        </is>
      </c>
      <c r="D4423" s="2" t="inlineStr">
        <is>
          <t>192440</t>
        </is>
      </c>
      <c r="E4423" s="3" t="inlineStr">
        <is>
          <t>주주총회소집공고</t>
        </is>
      </c>
      <c r="F4423" s="3" t="inlineStr">
        <is>
          <t>슈피겐코리아</t>
        </is>
      </c>
      <c r="G4423" s="2" t="inlineStr">
        <is>
          <t>20260423000687</t>
        </is>
      </c>
      <c r="H4423" s="8">
        <f>HYPERLINK("https://dart.fss.or.kr/dsaf001/main.do?rcpNo=20260423000687", "공시열람")</f>
        <v/>
      </c>
    </row>
    <row r="4424">
      <c r="A4424" s="2" t="inlineStr">
        <is>
          <t>2026-04-23</t>
        </is>
      </c>
      <c r="B4424" s="3" t="inlineStr">
        <is>
          <t>HMM</t>
        </is>
      </c>
      <c r="C4424" s="2" t="inlineStr">
        <is>
          <t>코스피</t>
        </is>
      </c>
      <c r="D4424" s="2" t="inlineStr">
        <is>
          <t>011200</t>
        </is>
      </c>
      <c r="E4424" s="3" t="inlineStr">
        <is>
          <t>주주총회소집공고</t>
        </is>
      </c>
      <c r="F4424" s="3" t="inlineStr">
        <is>
          <t>HMM</t>
        </is>
      </c>
      <c r="G4424" s="2" t="inlineStr">
        <is>
          <t>20260423000572</t>
        </is>
      </c>
      <c r="H4424" s="8">
        <f>HYPERLINK("https://dart.fss.or.kr/dsaf001/main.do?rcpNo=20260423000572", "공시열람")</f>
        <v/>
      </c>
    </row>
    <row r="4425">
      <c r="A4425" s="2" t="inlineStr">
        <is>
          <t>2026-04-23</t>
        </is>
      </c>
      <c r="B4425" s="3" t="inlineStr">
        <is>
          <t>로보로보</t>
        </is>
      </c>
      <c r="C4425" s="2" t="inlineStr">
        <is>
          <t>코스닥</t>
        </is>
      </c>
      <c r="D4425" s="2" t="inlineStr">
        <is>
          <t>215100</t>
        </is>
      </c>
      <c r="E4425" s="3" t="inlineStr">
        <is>
          <t>주주총회소집공고</t>
        </is>
      </c>
      <c r="F4425" s="3" t="inlineStr">
        <is>
          <t>로보로보</t>
        </is>
      </c>
      <c r="G4425" s="2" t="inlineStr">
        <is>
          <t>20260423000222</t>
        </is>
      </c>
      <c r="H4425" s="8">
        <f>HYPERLINK("https://dart.fss.or.kr/dsaf001/main.do?rcpNo=20260423000222", "공시열람")</f>
        <v/>
      </c>
    </row>
    <row r="4426">
      <c r="A4426" s="2" t="inlineStr">
        <is>
          <t>2026-04-24</t>
        </is>
      </c>
      <c r="B4426" s="3" t="inlineStr">
        <is>
          <t>캔버스엔</t>
        </is>
      </c>
      <c r="C4426" s="2" t="inlineStr">
        <is>
          <t>코스닥</t>
        </is>
      </c>
      <c r="D4426" s="2" t="inlineStr">
        <is>
          <t>210120</t>
        </is>
      </c>
      <c r="E4426" s="3" t="inlineStr">
        <is>
          <t>주주총회소집공고</t>
        </is>
      </c>
      <c r="F4426" s="3" t="inlineStr">
        <is>
          <t>캔버스엔</t>
        </is>
      </c>
      <c r="G4426" s="2" t="inlineStr">
        <is>
          <t>20260424000666</t>
        </is>
      </c>
      <c r="H4426" s="8">
        <f>HYPERLINK("https://dart.fss.or.kr/dsaf001/main.do?rcpNo=20260424000666", "공시열람")</f>
        <v/>
      </c>
    </row>
    <row r="4427">
      <c r="A4427" s="2" t="inlineStr">
        <is>
          <t>2026-04-24 (정정: 2026-04-27)</t>
        </is>
      </c>
      <c r="B4427" s="3" t="inlineStr">
        <is>
          <t>DKME</t>
        </is>
      </c>
      <c r="C4427" s="2" t="inlineStr">
        <is>
          <t>코스피</t>
        </is>
      </c>
      <c r="D4427" s="2" t="inlineStr">
        <is>
          <t>015590</t>
        </is>
      </c>
      <c r="E4427" s="3" t="inlineStr">
        <is>
          <t>주주총회소집공고 (정정: 20260427)</t>
        </is>
      </c>
      <c r="F4427" s="3" t="inlineStr">
        <is>
          <t>DKME</t>
        </is>
      </c>
      <c r="G4427" s="2" t="inlineStr">
        <is>
          <t>20260427000511</t>
        </is>
      </c>
      <c r="H4427" s="8">
        <f>HYPERLINK("https://dart.fss.or.kr/dsaf001/main.do?rcpNo=20260427000511", "공시열람")</f>
        <v/>
      </c>
    </row>
    <row r="4428">
      <c r="A4428" s="2" t="inlineStr">
        <is>
          <t>2026-04-24</t>
        </is>
      </c>
      <c r="B4428" s="3" t="inlineStr">
        <is>
          <t>기가레인</t>
        </is>
      </c>
      <c r="C4428" s="2" t="inlineStr">
        <is>
          <t>코스닥</t>
        </is>
      </c>
      <c r="D4428" s="2" t="inlineStr">
        <is>
          <t>049080</t>
        </is>
      </c>
      <c r="E4428" s="3" t="inlineStr">
        <is>
          <t>주주총회소집공고</t>
        </is>
      </c>
      <c r="F4428" s="3" t="inlineStr">
        <is>
          <t>기가레인</t>
        </is>
      </c>
      <c r="G4428" s="2" t="inlineStr">
        <is>
          <t>20260424000601</t>
        </is>
      </c>
      <c r="H4428" s="8">
        <f>HYPERLINK("https://dart.fss.or.kr/dsaf001/main.do?rcpNo=20260424000601", "공시열람")</f>
        <v/>
      </c>
    </row>
    <row r="4429">
      <c r="A4429" s="2" t="inlineStr">
        <is>
          <t>2026-04-24</t>
        </is>
      </c>
      <c r="B4429" s="3" t="inlineStr">
        <is>
          <t>뉴프렉스</t>
        </is>
      </c>
      <c r="C4429" s="2" t="inlineStr">
        <is>
          <t>코스닥</t>
        </is>
      </c>
      <c r="D4429" s="2" t="inlineStr">
        <is>
          <t>085670</t>
        </is>
      </c>
      <c r="E4429" s="3" t="inlineStr">
        <is>
          <t>주주총회소집공고</t>
        </is>
      </c>
      <c r="F4429" s="3" t="inlineStr">
        <is>
          <t>뉴프렉스</t>
        </is>
      </c>
      <c r="G4429" s="2" t="inlineStr">
        <is>
          <t>20260424000514</t>
        </is>
      </c>
      <c r="H4429" s="8">
        <f>HYPERLINK("https://dart.fss.or.kr/dsaf001/main.do?rcpNo=20260424000514", "공시열람")</f>
        <v/>
      </c>
    </row>
    <row r="4430">
      <c r="A4430" s="2" t="inlineStr">
        <is>
          <t>2026-04-27 (정정: 2026-06-11)</t>
        </is>
      </c>
      <c r="B4430" s="3" t="inlineStr">
        <is>
          <t>씨씨에스</t>
        </is>
      </c>
      <c r="C4430" s="2" t="inlineStr">
        <is>
          <t>코스닥</t>
        </is>
      </c>
      <c r="D4430" s="2" t="inlineStr">
        <is>
          <t>066790</t>
        </is>
      </c>
      <c r="E4430" s="3" t="inlineStr">
        <is>
          <t>주주총회소집공고 (정정: 20260507) (정정: 20260521) (정정: 20260521) (정정: 20260521) (정정: 20260521) (정정: 20260522) (정정: 20260611) (정정: 20260611)</t>
        </is>
      </c>
      <c r="F4430" s="3" t="inlineStr">
        <is>
          <t>씨씨에스</t>
        </is>
      </c>
      <c r="G4430" s="2" t="inlineStr">
        <is>
          <t>20260611000472</t>
        </is>
      </c>
      <c r="H4430" s="8">
        <f>HYPERLINK("https://dart.fss.or.kr/dsaf001/main.do?rcpNo=20260611000472", "공시열람")</f>
        <v/>
      </c>
    </row>
    <row r="4431">
      <c r="A4431" s="2" t="inlineStr">
        <is>
          <t>2026-04-27</t>
        </is>
      </c>
      <c r="B4431" s="3" t="inlineStr">
        <is>
          <t>피플바이오</t>
        </is>
      </c>
      <c r="C4431" s="2" t="inlineStr">
        <is>
          <t>코스닥</t>
        </is>
      </c>
      <c r="D4431" s="2" t="inlineStr">
        <is>
          <t>304840</t>
        </is>
      </c>
      <c r="E4431" s="3" t="inlineStr">
        <is>
          <t>주주총회소집공고</t>
        </is>
      </c>
      <c r="F4431" s="3" t="inlineStr">
        <is>
          <t>피플바이오</t>
        </is>
      </c>
      <c r="G4431" s="2" t="inlineStr">
        <is>
          <t>20260427000718</t>
        </is>
      </c>
      <c r="H4431" s="8">
        <f>HYPERLINK("https://dart.fss.or.kr/dsaf001/main.do?rcpNo=20260427000718", "공시열람")</f>
        <v/>
      </c>
    </row>
    <row r="4432">
      <c r="A4432" s="2" t="inlineStr">
        <is>
          <t>2026-04-27</t>
        </is>
      </c>
      <c r="B4432" s="3" t="inlineStr">
        <is>
          <t>에코마케팅</t>
        </is>
      </c>
      <c r="C4432" s="2" t="inlineStr">
        <is>
          <t>코스닥</t>
        </is>
      </c>
      <c r="D4432" s="2" t="inlineStr">
        <is>
          <t>230360</t>
        </is>
      </c>
      <c r="E4432" s="3" t="inlineStr">
        <is>
          <t>주주총회소집공고</t>
        </is>
      </c>
      <c r="F4432" s="3" t="inlineStr">
        <is>
          <t>에코마케팅</t>
        </is>
      </c>
      <c r="G4432" s="2" t="inlineStr">
        <is>
          <t>20260427000706</t>
        </is>
      </c>
      <c r="H4432" s="8">
        <f>HYPERLINK("https://dart.fss.or.kr/dsaf001/main.do?rcpNo=20260427000706", "공시열람")</f>
        <v/>
      </c>
    </row>
    <row r="4433">
      <c r="A4433" s="2" t="inlineStr">
        <is>
          <t>2026-04-27</t>
        </is>
      </c>
      <c r="B4433" s="3" t="inlineStr">
        <is>
          <t>나노캠텍</t>
        </is>
      </c>
      <c r="C4433" s="2" t="inlineStr">
        <is>
          <t>코스닥</t>
        </is>
      </c>
      <c r="D4433" s="2" t="inlineStr">
        <is>
          <t>091970</t>
        </is>
      </c>
      <c r="E4433" s="3" t="inlineStr">
        <is>
          <t>주주총회소집공고</t>
        </is>
      </c>
      <c r="F4433" s="3" t="inlineStr">
        <is>
          <t>나노캠텍</t>
        </is>
      </c>
      <c r="G4433" s="2" t="inlineStr">
        <is>
          <t>20260427000544</t>
        </is>
      </c>
      <c r="H4433" s="8">
        <f>HYPERLINK("https://dart.fss.or.kr/dsaf001/main.do?rcpNo=20260427000544", "공시열람")</f>
        <v/>
      </c>
    </row>
    <row r="4434">
      <c r="A4434" s="2" t="inlineStr">
        <is>
          <t>2026-04-27</t>
        </is>
      </c>
      <c r="B4434" s="3" t="inlineStr">
        <is>
          <t>퓨쳐메디신</t>
        </is>
      </c>
      <c r="C4434" s="2" t="inlineStr">
        <is>
          <t>코넥스</t>
        </is>
      </c>
      <c r="D4434" s="2" t="inlineStr">
        <is>
          <t>341170</t>
        </is>
      </c>
      <c r="E4434" s="3" t="inlineStr">
        <is>
          <t>주주총회소집공고</t>
        </is>
      </c>
      <c r="F4434" s="3" t="inlineStr">
        <is>
          <t>퓨쳐메디신</t>
        </is>
      </c>
      <c r="G4434" s="2" t="inlineStr">
        <is>
          <t>20260427000479</t>
        </is>
      </c>
      <c r="H4434" s="8">
        <f>HYPERLINK("https://dart.fss.or.kr/dsaf001/main.do?rcpNo=20260427000479", "공시열람")</f>
        <v/>
      </c>
    </row>
    <row r="4435">
      <c r="A4435" s="2" t="inlineStr">
        <is>
          <t>2026-04-27</t>
        </is>
      </c>
      <c r="B4435" s="3" t="inlineStr">
        <is>
          <t>엔시스</t>
        </is>
      </c>
      <c r="C4435" s="2" t="inlineStr">
        <is>
          <t>코스닥</t>
        </is>
      </c>
      <c r="D4435" s="2" t="inlineStr">
        <is>
          <t>333620</t>
        </is>
      </c>
      <c r="E4435" s="3" t="inlineStr">
        <is>
          <t>주주총회소집공고</t>
        </is>
      </c>
      <c r="F4435" s="3" t="inlineStr">
        <is>
          <t>엔시스</t>
        </is>
      </c>
      <c r="G4435" s="2" t="inlineStr">
        <is>
          <t>20260427000256</t>
        </is>
      </c>
      <c r="H4435" s="8">
        <f>HYPERLINK("https://dart.fss.or.kr/dsaf001/main.do?rcpNo=20260427000256", "공시열람")</f>
        <v/>
      </c>
    </row>
    <row r="4436">
      <c r="A4436" s="2" t="inlineStr">
        <is>
          <t>2026-04-27</t>
        </is>
      </c>
      <c r="B4436" s="3" t="inlineStr">
        <is>
          <t>영흥</t>
        </is>
      </c>
      <c r="C4436" s="2" t="inlineStr">
        <is>
          <t>코스피</t>
        </is>
      </c>
      <c r="D4436" s="2" t="inlineStr">
        <is>
          <t>012160</t>
        </is>
      </c>
      <c r="E4436" s="3" t="inlineStr">
        <is>
          <t>주주총회소집공고</t>
        </is>
      </c>
      <c r="F4436" s="3" t="inlineStr">
        <is>
          <t>영흥</t>
        </is>
      </c>
      <c r="G4436" s="2" t="inlineStr">
        <is>
          <t>20260427000206</t>
        </is>
      </c>
      <c r="H4436" s="8">
        <f>HYPERLINK("https://dart.fss.or.kr/dsaf001/main.do?rcpNo=20260427000206", "공시열람")</f>
        <v/>
      </c>
    </row>
    <row r="4437">
      <c r="A4437" s="2" t="inlineStr">
        <is>
          <t>2026-04-27</t>
        </is>
      </c>
      <c r="B4437" s="3" t="inlineStr">
        <is>
          <t>파이버프로</t>
        </is>
      </c>
      <c r="C4437" s="2" t="inlineStr">
        <is>
          <t>코스닥</t>
        </is>
      </c>
      <c r="D4437" s="2" t="inlineStr">
        <is>
          <t>368770</t>
        </is>
      </c>
      <c r="E4437" s="3" t="inlineStr">
        <is>
          <t>주주총회소집공고</t>
        </is>
      </c>
      <c r="F4437" s="3" t="inlineStr">
        <is>
          <t>파이버프로</t>
        </is>
      </c>
      <c r="G4437" s="2" t="inlineStr">
        <is>
          <t>20260427000027</t>
        </is>
      </c>
      <c r="H4437" s="8">
        <f>HYPERLINK("https://dart.fss.or.kr/dsaf001/main.do?rcpNo=20260427000027", "공시열람")</f>
        <v/>
      </c>
    </row>
    <row r="4438">
      <c r="A4438" s="2" t="inlineStr">
        <is>
          <t>2026-04-28 (정정: 2026-05-21)</t>
        </is>
      </c>
      <c r="B4438" s="3" t="inlineStr">
        <is>
          <t>공구우먼</t>
        </is>
      </c>
      <c r="C4438" s="2" t="inlineStr">
        <is>
          <t>코스닥</t>
        </is>
      </c>
      <c r="D4438" s="2" t="inlineStr">
        <is>
          <t>366030</t>
        </is>
      </c>
      <c r="E4438" s="3" t="inlineStr">
        <is>
          <t>주주총회소집공고 (정정: 20260512) (정정: 20260520) (정정: 20260520) (정정: 20260520) (정정: 20260521)</t>
        </is>
      </c>
      <c r="F4438" s="3" t="inlineStr">
        <is>
          <t>공구우먼</t>
        </is>
      </c>
      <c r="G4438" s="2" t="inlineStr">
        <is>
          <t>20260521000123</t>
        </is>
      </c>
      <c r="H4438" s="8">
        <f>HYPERLINK("https://dart.fss.or.kr/dsaf001/main.do?rcpNo=20260521000123", "공시열람")</f>
        <v/>
      </c>
    </row>
    <row r="4439">
      <c r="A4439" s="2" t="inlineStr">
        <is>
          <t>2026-04-28</t>
        </is>
      </c>
      <c r="B4439" s="3" t="inlineStr">
        <is>
          <t>달바글로벌</t>
        </is>
      </c>
      <c r="C4439" s="2" t="inlineStr">
        <is>
          <t>코스피</t>
        </is>
      </c>
      <c r="D4439" s="2" t="inlineStr">
        <is>
          <t>483650</t>
        </is>
      </c>
      <c r="E4439" s="3" t="inlineStr">
        <is>
          <t>주주총회소집공고</t>
        </is>
      </c>
      <c r="F4439" s="3" t="inlineStr">
        <is>
          <t>달바글로벌</t>
        </is>
      </c>
      <c r="G4439" s="2" t="inlineStr">
        <is>
          <t>20260428000562</t>
        </is>
      </c>
      <c r="H4439" s="8">
        <f>HYPERLINK("https://dart.fss.or.kr/dsaf001/main.do?rcpNo=20260428000562", "공시열람")</f>
        <v/>
      </c>
    </row>
    <row r="4440">
      <c r="A4440" s="2" t="inlineStr">
        <is>
          <t>2026-04-28</t>
        </is>
      </c>
      <c r="B4440" s="3" t="inlineStr">
        <is>
          <t>서플러스글로벌</t>
        </is>
      </c>
      <c r="C4440" s="2" t="inlineStr">
        <is>
          <t>코스닥</t>
        </is>
      </c>
      <c r="D4440" s="2" t="inlineStr">
        <is>
          <t>140070</t>
        </is>
      </c>
      <c r="E4440" s="3" t="inlineStr">
        <is>
          <t>주주총회소집공고</t>
        </is>
      </c>
      <c r="F4440" s="3" t="inlineStr">
        <is>
          <t>서플러스글로벌</t>
        </is>
      </c>
      <c r="G4440" s="2" t="inlineStr">
        <is>
          <t>20260428000524</t>
        </is>
      </c>
      <c r="H4440" s="8">
        <f>HYPERLINK("https://dart.fss.or.kr/dsaf001/main.do?rcpNo=20260428000524", "공시열람")</f>
        <v/>
      </c>
    </row>
    <row r="4441">
      <c r="A4441" s="2" t="inlineStr">
        <is>
          <t>2026-04-28</t>
        </is>
      </c>
      <c r="B4441" s="3" t="inlineStr">
        <is>
          <t>에스티오</t>
        </is>
      </c>
      <c r="C4441" s="2" t="inlineStr">
        <is>
          <t>코스닥</t>
        </is>
      </c>
      <c r="D4441" s="2" t="inlineStr">
        <is>
          <t>098660</t>
        </is>
      </c>
      <c r="E4441" s="3" t="inlineStr">
        <is>
          <t>주주총회소집공고</t>
        </is>
      </c>
      <c r="F4441" s="3" t="inlineStr">
        <is>
          <t>에스티오</t>
        </is>
      </c>
      <c r="G4441" s="2" t="inlineStr">
        <is>
          <t>20260428000503</t>
        </is>
      </c>
      <c r="H4441" s="8">
        <f>HYPERLINK("https://dart.fss.or.kr/dsaf001/main.do?rcpNo=20260428000503", "공시열람")</f>
        <v/>
      </c>
    </row>
    <row r="4442">
      <c r="A4442" s="2" t="inlineStr">
        <is>
          <t>2026-04-28 (정정: 2026-05-06)</t>
        </is>
      </c>
      <c r="B4442" s="3" t="inlineStr">
        <is>
          <t>멕아이씨에스</t>
        </is>
      </c>
      <c r="C4442" s="2" t="inlineStr">
        <is>
          <t>코스닥</t>
        </is>
      </c>
      <c r="D4442" s="2" t="inlineStr">
        <is>
          <t>058110</t>
        </is>
      </c>
      <c r="E4442" s="3" t="inlineStr">
        <is>
          <t>주주총회소집공고 (정정: 20260429) (정정: 20260506)</t>
        </is>
      </c>
      <c r="F4442" s="3" t="inlineStr">
        <is>
          <t>멕아이씨에스</t>
        </is>
      </c>
      <c r="G4442" s="2" t="inlineStr">
        <is>
          <t>20260506000541</t>
        </is>
      </c>
      <c r="H4442" s="8">
        <f>HYPERLINK("https://dart.fss.or.kr/dsaf001/main.do?rcpNo=20260506000541", "공시열람")</f>
        <v/>
      </c>
    </row>
    <row r="4443">
      <c r="A4443" s="2" t="inlineStr">
        <is>
          <t>2026-04-28</t>
        </is>
      </c>
      <c r="B4443" s="3" t="inlineStr">
        <is>
          <t>GST</t>
        </is>
      </c>
      <c r="C4443" s="2" t="inlineStr">
        <is>
          <t>코스닥</t>
        </is>
      </c>
      <c r="D4443" s="2" t="inlineStr">
        <is>
          <t>083450</t>
        </is>
      </c>
      <c r="E4443" s="3" t="inlineStr">
        <is>
          <t>주주총회소집공고</t>
        </is>
      </c>
      <c r="F4443" s="3" t="inlineStr">
        <is>
          <t>GST</t>
        </is>
      </c>
      <c r="G4443" s="2" t="inlineStr">
        <is>
          <t>20260428000460</t>
        </is>
      </c>
      <c r="H4443" s="8">
        <f>HYPERLINK("https://dart.fss.or.kr/dsaf001/main.do?rcpNo=20260428000460", "공시열람")</f>
        <v/>
      </c>
    </row>
    <row r="4444">
      <c r="A4444" s="2" t="inlineStr">
        <is>
          <t>2026-04-28</t>
        </is>
      </c>
      <c r="B4444" s="3" t="inlineStr">
        <is>
          <t>대신밸류리츠</t>
        </is>
      </c>
      <c r="C4444" s="2" t="inlineStr">
        <is>
          <t>코스피</t>
        </is>
      </c>
      <c r="D4444" s="2" t="inlineStr">
        <is>
          <t>0030R0</t>
        </is>
      </c>
      <c r="E4444" s="3" t="inlineStr">
        <is>
          <t>주주총회소집공고</t>
        </is>
      </c>
      <c r="F4444" s="3" t="inlineStr">
        <is>
          <t>대신밸류리츠</t>
        </is>
      </c>
      <c r="G4444" s="2" t="inlineStr">
        <is>
          <t>20260428000439</t>
        </is>
      </c>
      <c r="H4444" s="8">
        <f>HYPERLINK("https://dart.fss.or.kr/dsaf001/main.do?rcpNo=20260428000439", "공시열람")</f>
        <v/>
      </c>
    </row>
    <row r="4445">
      <c r="A4445" s="2" t="inlineStr">
        <is>
          <t>2026-04-28</t>
        </is>
      </c>
      <c r="B4445" s="3" t="inlineStr">
        <is>
          <t>아이패밀리에스씨</t>
        </is>
      </c>
      <c r="C4445" s="2" t="inlineStr">
        <is>
          <t>코스닥</t>
        </is>
      </c>
      <c r="D4445" s="2" t="inlineStr">
        <is>
          <t>114840</t>
        </is>
      </c>
      <c r="E4445" s="3" t="inlineStr">
        <is>
          <t>주주총회소집공고</t>
        </is>
      </c>
      <c r="F4445" s="3" t="inlineStr">
        <is>
          <t>아이패밀리에스씨</t>
        </is>
      </c>
      <c r="G4445" s="2" t="inlineStr">
        <is>
          <t>20260428000361</t>
        </is>
      </c>
      <c r="H4445" s="8">
        <f>HYPERLINK("https://dart.fss.or.kr/dsaf001/main.do?rcpNo=20260428000361", "공시열람")</f>
        <v/>
      </c>
    </row>
    <row r="4446">
      <c r="A4446" s="2" t="inlineStr">
        <is>
          <t>2026-04-29</t>
        </is>
      </c>
      <c r="B4446" s="3" t="inlineStr">
        <is>
          <t>텔콘RF제약</t>
        </is>
      </c>
      <c r="C4446" s="2" t="inlineStr">
        <is>
          <t>코스닥</t>
        </is>
      </c>
      <c r="D4446" s="2" t="inlineStr">
        <is>
          <t>200230</t>
        </is>
      </c>
      <c r="E4446" s="3" t="inlineStr">
        <is>
          <t>주주총회소집공고</t>
        </is>
      </c>
      <c r="F4446" s="3" t="inlineStr">
        <is>
          <t>텔콘RF제약</t>
        </is>
      </c>
      <c r="G4446" s="2" t="inlineStr">
        <is>
          <t>20260429000762</t>
        </is>
      </c>
      <c r="H4446" s="8">
        <f>HYPERLINK("https://dart.fss.or.kr/dsaf001/main.do?rcpNo=20260429000762", "공시열람")</f>
        <v/>
      </c>
    </row>
    <row r="4447">
      <c r="A4447" s="2" t="inlineStr">
        <is>
          <t>2026-04-29</t>
        </is>
      </c>
      <c r="B4447" s="3" t="inlineStr">
        <is>
          <t>진원생명과학</t>
        </is>
      </c>
      <c r="C4447" s="2" t="inlineStr">
        <is>
          <t>코스피</t>
        </is>
      </c>
      <c r="D4447" s="2" t="inlineStr">
        <is>
          <t>011000</t>
        </is>
      </c>
      <c r="E4447" s="3" t="inlineStr">
        <is>
          <t>[기재정정]주주총회소집공고</t>
        </is>
      </c>
      <c r="F4447" s="3" t="inlineStr">
        <is>
          <t>진원생명과학</t>
        </is>
      </c>
      <c r="G4447" s="2" t="inlineStr">
        <is>
          <t>20260429000610</t>
        </is>
      </c>
      <c r="H4447" s="8">
        <f>HYPERLINK("https://dart.fss.or.kr/dsaf001/main.do?rcpNo=20260429000610", "공시열람")</f>
        <v/>
      </c>
    </row>
    <row r="4448">
      <c r="A4448" s="2" t="inlineStr">
        <is>
          <t>2026-04-29</t>
        </is>
      </c>
      <c r="B4448" s="3" t="inlineStr">
        <is>
          <t>한국비티비</t>
        </is>
      </c>
      <c r="C4448" s="2" t="inlineStr">
        <is>
          <t>코스닥</t>
        </is>
      </c>
      <c r="D4448" s="2" t="inlineStr">
        <is>
          <t>219750</t>
        </is>
      </c>
      <c r="E4448" s="3" t="inlineStr">
        <is>
          <t>주주총회소집공고</t>
        </is>
      </c>
      <c r="F4448" s="3" t="inlineStr">
        <is>
          <t>한국비티비</t>
        </is>
      </c>
      <c r="G4448" s="2" t="inlineStr">
        <is>
          <t>20260429000559</t>
        </is>
      </c>
      <c r="H4448" s="8">
        <f>HYPERLINK("https://dart.fss.or.kr/dsaf001/main.do?rcpNo=20260429000559", "공시열람")</f>
        <v/>
      </c>
    </row>
    <row r="4449">
      <c r="A4449" s="2" t="inlineStr">
        <is>
          <t>2026-04-29</t>
        </is>
      </c>
      <c r="B4449" s="3" t="inlineStr">
        <is>
          <t>토박스코리아</t>
        </is>
      </c>
      <c r="C4449" s="2" t="inlineStr">
        <is>
          <t>코스닥</t>
        </is>
      </c>
      <c r="D4449" s="2" t="inlineStr">
        <is>
          <t>215480</t>
        </is>
      </c>
      <c r="E4449" s="3" t="inlineStr">
        <is>
          <t>주주총회소집공고</t>
        </is>
      </c>
      <c r="F4449" s="3" t="inlineStr">
        <is>
          <t>토박스코리아</t>
        </is>
      </c>
      <c r="G4449" s="2" t="inlineStr">
        <is>
          <t>20260429000492</t>
        </is>
      </c>
      <c r="H4449" s="8">
        <f>HYPERLINK("https://dart.fss.or.kr/dsaf001/main.do?rcpNo=20260429000492", "공시열람")</f>
        <v/>
      </c>
    </row>
    <row r="4450">
      <c r="A4450" s="2" t="inlineStr">
        <is>
          <t>2026-04-29</t>
        </is>
      </c>
      <c r="B4450" s="3" t="inlineStr">
        <is>
          <t>아즈텍WB</t>
        </is>
      </c>
      <c r="C4450" s="2" t="inlineStr">
        <is>
          <t>코스닥</t>
        </is>
      </c>
      <c r="D4450" s="2" t="inlineStr">
        <is>
          <t>032080</t>
        </is>
      </c>
      <c r="E4450" s="3" t="inlineStr">
        <is>
          <t>주주총회소집공고</t>
        </is>
      </c>
      <c r="F4450" s="3" t="inlineStr">
        <is>
          <t>아즈텍WB</t>
        </is>
      </c>
      <c r="G4450" s="2" t="inlineStr">
        <is>
          <t>20260429000328</t>
        </is>
      </c>
      <c r="H4450" s="8">
        <f>HYPERLINK("https://dart.fss.or.kr/dsaf001/main.do?rcpNo=20260429000328", "공시열람")</f>
        <v/>
      </c>
    </row>
    <row r="4451">
      <c r="A4451" s="2" t="inlineStr">
        <is>
          <t>2026-04-29</t>
        </is>
      </c>
      <c r="B4451" s="3" t="inlineStr">
        <is>
          <t>메디콕스</t>
        </is>
      </c>
      <c r="C4451" s="2" t="inlineStr">
        <is>
          <t>코스닥</t>
        </is>
      </c>
      <c r="D4451" s="2" t="inlineStr">
        <is>
          <t>054180</t>
        </is>
      </c>
      <c r="E4451" s="3" t="inlineStr">
        <is>
          <t>주주총회소집공고</t>
        </is>
      </c>
      <c r="F4451" s="3" t="inlineStr">
        <is>
          <t>메디콕스</t>
        </is>
      </c>
      <c r="G4451" s="2" t="inlineStr">
        <is>
          <t>20260428000831</t>
        </is>
      </c>
      <c r="H4451" s="8">
        <f>HYPERLINK("https://dart.fss.or.kr/dsaf001/main.do?rcpNo=20260428000831", "공시열람")</f>
        <v/>
      </c>
    </row>
    <row r="4452">
      <c r="A4452" s="2" t="inlineStr">
        <is>
          <t>2026-04-30 (정정: 2026-06-26)</t>
        </is>
      </c>
      <c r="B4452" s="3" t="inlineStr">
        <is>
          <t>아이로보틱스</t>
        </is>
      </c>
      <c r="C4452" s="2" t="inlineStr">
        <is>
          <t>코스닥</t>
        </is>
      </c>
      <c r="D4452" s="2" t="inlineStr">
        <is>
          <t>066430</t>
        </is>
      </c>
      <c r="E4452" s="3" t="inlineStr">
        <is>
          <t>주주총회소집공고 (정정: 20260512) (정정: 20260512) (정정: 20260615) (정정: 20260615) (정정: 20260626) (정정: 20260626)</t>
        </is>
      </c>
      <c r="F4452" s="3" t="inlineStr">
        <is>
          <t>아이로보틱스</t>
        </is>
      </c>
      <c r="G4452" s="2" t="inlineStr">
        <is>
          <t>20260626000568</t>
        </is>
      </c>
      <c r="H4452" s="8">
        <f>HYPERLINK("https://dart.fss.or.kr/dsaf001/main.do?rcpNo=20260626000568", "공시열람")</f>
        <v/>
      </c>
    </row>
    <row r="4453">
      <c r="A4453" s="2" t="inlineStr">
        <is>
          <t>2026-04-30</t>
        </is>
      </c>
      <c r="B4453" s="3" t="inlineStr">
        <is>
          <t>나우로보틱스</t>
        </is>
      </c>
      <c r="C4453" s="2" t="inlineStr">
        <is>
          <t>코스닥</t>
        </is>
      </c>
      <c r="D4453" s="2" t="inlineStr">
        <is>
          <t>459510</t>
        </is>
      </c>
      <c r="E4453" s="3" t="inlineStr">
        <is>
          <t>주주총회소집공고</t>
        </is>
      </c>
      <c r="F4453" s="3" t="inlineStr">
        <is>
          <t>나우로보틱스</t>
        </is>
      </c>
      <c r="G4453" s="2" t="inlineStr">
        <is>
          <t>20260430001642</t>
        </is>
      </c>
      <c r="H4453" s="8">
        <f>HYPERLINK("https://dart.fss.or.kr/dsaf001/main.do?rcpNo=20260430001642", "공시열람")</f>
        <v/>
      </c>
    </row>
    <row r="4454">
      <c r="A4454" s="2" t="inlineStr">
        <is>
          <t>2026-04-30</t>
        </is>
      </c>
      <c r="B4454" s="3" t="inlineStr">
        <is>
          <t>소노스퀘어</t>
        </is>
      </c>
      <c r="C4454" s="2" t="inlineStr">
        <is>
          <t>코스닥</t>
        </is>
      </c>
      <c r="D4454" s="2" t="inlineStr">
        <is>
          <t>007720</t>
        </is>
      </c>
      <c r="E4454" s="3" t="inlineStr">
        <is>
          <t>주주총회소집공고</t>
        </is>
      </c>
      <c r="F4454" s="3" t="inlineStr">
        <is>
          <t>소노스퀘어</t>
        </is>
      </c>
      <c r="G4454" s="2" t="inlineStr">
        <is>
          <t>20260430001605</t>
        </is>
      </c>
      <c r="H4454" s="8">
        <f>HYPERLINK("https://dart.fss.or.kr/dsaf001/main.do?rcpNo=20260430001605", "공시열람")</f>
        <v/>
      </c>
    </row>
    <row r="4455">
      <c r="A4455" s="2" t="inlineStr">
        <is>
          <t>2026-04-30</t>
        </is>
      </c>
      <c r="B4455" s="3" t="inlineStr">
        <is>
          <t>오텍</t>
        </is>
      </c>
      <c r="C4455" s="2" t="inlineStr">
        <is>
          <t>코스닥</t>
        </is>
      </c>
      <c r="D4455" s="2" t="inlineStr">
        <is>
          <t>067170</t>
        </is>
      </c>
      <c r="E4455" s="3" t="inlineStr">
        <is>
          <t>주주총회소집공고</t>
        </is>
      </c>
      <c r="F4455" s="3" t="inlineStr">
        <is>
          <t>오텍</t>
        </is>
      </c>
      <c r="G4455" s="2" t="inlineStr">
        <is>
          <t>20260430001362</t>
        </is>
      </c>
      <c r="H4455" s="8">
        <f>HYPERLINK("https://dart.fss.or.kr/dsaf001/main.do?rcpNo=20260430001362", "공시열람")</f>
        <v/>
      </c>
    </row>
    <row r="4456">
      <c r="A4456" s="2" t="inlineStr">
        <is>
          <t>2026-04-30</t>
        </is>
      </c>
      <c r="B4456" s="3" t="inlineStr">
        <is>
          <t>케이피엠테크</t>
        </is>
      </c>
      <c r="C4456" s="2" t="inlineStr">
        <is>
          <t>코스닥</t>
        </is>
      </c>
      <c r="D4456" s="2" t="inlineStr">
        <is>
          <t>042040</t>
        </is>
      </c>
      <c r="E4456" s="3" t="inlineStr">
        <is>
          <t>주주총회소집공고</t>
        </is>
      </c>
      <c r="F4456" s="3" t="inlineStr">
        <is>
          <t>케이피엠테크</t>
        </is>
      </c>
      <c r="G4456" s="2" t="inlineStr">
        <is>
          <t>20260430001284</t>
        </is>
      </c>
      <c r="H4456" s="8">
        <f>HYPERLINK("https://dart.fss.or.kr/dsaf001/main.do?rcpNo=20260430001284", "공시열람")</f>
        <v/>
      </c>
    </row>
    <row r="4457">
      <c r="A4457" s="2" t="inlineStr">
        <is>
          <t>2026-04-30</t>
        </is>
      </c>
      <c r="B4457" s="3" t="inlineStr">
        <is>
          <t>한전기술</t>
        </is>
      </c>
      <c r="C4457" s="2" t="inlineStr">
        <is>
          <t>코스피</t>
        </is>
      </c>
      <c r="D4457" s="2" t="inlineStr">
        <is>
          <t>052690</t>
        </is>
      </c>
      <c r="E4457" s="3" t="inlineStr">
        <is>
          <t>주주총회소집공고</t>
        </is>
      </c>
      <c r="F4457" s="3" t="inlineStr">
        <is>
          <t>한전기술</t>
        </is>
      </c>
      <c r="G4457" s="2" t="inlineStr">
        <is>
          <t>20260430001131</t>
        </is>
      </c>
      <c r="H4457" s="8">
        <f>HYPERLINK("https://dart.fss.or.kr/dsaf001/main.do?rcpNo=20260430001131", "공시열람")</f>
        <v/>
      </c>
    </row>
    <row r="4458">
      <c r="A4458" s="2" t="inlineStr">
        <is>
          <t>2026-04-30</t>
        </is>
      </c>
      <c r="B4458" s="3" t="inlineStr">
        <is>
          <t>셀리드</t>
        </is>
      </c>
      <c r="C4458" s="2" t="inlineStr">
        <is>
          <t>코스닥</t>
        </is>
      </c>
      <c r="D4458" s="2" t="inlineStr">
        <is>
          <t>299660</t>
        </is>
      </c>
      <c r="E4458" s="3" t="inlineStr">
        <is>
          <t>주주총회소집공고</t>
        </is>
      </c>
      <c r="F4458" s="3" t="inlineStr">
        <is>
          <t>셀리드</t>
        </is>
      </c>
      <c r="G4458" s="2" t="inlineStr">
        <is>
          <t>20260430000921</t>
        </is>
      </c>
      <c r="H4458" s="8">
        <f>HYPERLINK("https://dart.fss.or.kr/dsaf001/main.do?rcpNo=20260430000921", "공시열람")</f>
        <v/>
      </c>
    </row>
    <row r="4459">
      <c r="A4459" s="2" t="inlineStr">
        <is>
          <t>2026-04-30 (정정: 2026-05-12)</t>
        </is>
      </c>
      <c r="B4459" s="3" t="inlineStr">
        <is>
          <t>솔트룩스</t>
        </is>
      </c>
      <c r="C4459" s="2" t="inlineStr">
        <is>
          <t>코스닥</t>
        </is>
      </c>
      <c r="D4459" s="2" t="inlineStr">
        <is>
          <t>304100</t>
        </is>
      </c>
      <c r="E4459" s="3" t="inlineStr">
        <is>
          <t>주주총회소집공고 (정정: 20260512)</t>
        </is>
      </c>
      <c r="F4459" s="3" t="inlineStr">
        <is>
          <t>솔트룩스</t>
        </is>
      </c>
      <c r="G4459" s="2" t="inlineStr">
        <is>
          <t>20260512000021</t>
        </is>
      </c>
      <c r="H4459" s="8">
        <f>HYPERLINK("https://dart.fss.or.kr/dsaf001/main.do?rcpNo=20260512000021", "공시열람")</f>
        <v/>
      </c>
    </row>
    <row r="4460">
      <c r="A4460" s="2" t="inlineStr">
        <is>
          <t>2026-04-30</t>
        </is>
      </c>
      <c r="B4460" s="3" t="inlineStr">
        <is>
          <t>케이사인</t>
        </is>
      </c>
      <c r="C4460" s="2" t="inlineStr">
        <is>
          <t>코스닥</t>
        </is>
      </c>
      <c r="D4460" s="2" t="inlineStr">
        <is>
          <t>192250</t>
        </is>
      </c>
      <c r="E4460" s="3" t="inlineStr">
        <is>
          <t>주주총회소집공고</t>
        </is>
      </c>
      <c r="F4460" s="3" t="inlineStr">
        <is>
          <t>케이사인</t>
        </is>
      </c>
      <c r="G4460" s="2" t="inlineStr">
        <is>
          <t>20260430000059</t>
        </is>
      </c>
      <c r="H4460" s="8">
        <f>HYPERLINK("https://dart.fss.or.kr/dsaf001/main.do?rcpNo=20260430000059", "공시열람")</f>
        <v/>
      </c>
    </row>
    <row r="4461">
      <c r="A4461" s="2" t="inlineStr">
        <is>
          <t>2026-04-30</t>
        </is>
      </c>
      <c r="B4461" s="3" t="inlineStr">
        <is>
          <t>KBG</t>
        </is>
      </c>
      <c r="C4461" s="2" t="inlineStr">
        <is>
          <t>코스닥</t>
        </is>
      </c>
      <c r="D4461" s="2" t="inlineStr">
        <is>
          <t>318000</t>
        </is>
      </c>
      <c r="E4461" s="3" t="inlineStr">
        <is>
          <t>주주총회소집공고</t>
        </is>
      </c>
      <c r="F4461" s="3" t="inlineStr">
        <is>
          <t>KBG</t>
        </is>
      </c>
      <c r="G4461" s="2" t="inlineStr">
        <is>
          <t>20260429001162</t>
        </is>
      </c>
      <c r="H4461" s="8">
        <f>HYPERLINK("https://dart.fss.or.kr/dsaf001/main.do?rcpNo=20260429001162", "공시열람")</f>
        <v/>
      </c>
    </row>
    <row r="4462">
      <c r="A4462" s="2" t="inlineStr">
        <is>
          <t>2026-05-04</t>
        </is>
      </c>
      <c r="B4462" s="3" t="inlineStr">
        <is>
          <t>인산가</t>
        </is>
      </c>
      <c r="C4462" s="2" t="inlineStr">
        <is>
          <t>코스닥</t>
        </is>
      </c>
      <c r="D4462" s="2" t="inlineStr">
        <is>
          <t>277410</t>
        </is>
      </c>
      <c r="E4462" s="3" t="inlineStr">
        <is>
          <t>주주총회소집공고</t>
        </is>
      </c>
      <c r="F4462" s="3" t="inlineStr">
        <is>
          <t>인산가</t>
        </is>
      </c>
      <c r="G4462" s="2" t="inlineStr">
        <is>
          <t>20260504000284</t>
        </is>
      </c>
      <c r="H4462" s="8">
        <f>HYPERLINK("https://dart.fss.or.kr/dsaf001/main.do?rcpNo=20260504000284", "공시열람")</f>
        <v/>
      </c>
    </row>
    <row r="4463">
      <c r="A4463" s="2" t="inlineStr">
        <is>
          <t>2026-05-04</t>
        </is>
      </c>
      <c r="B4463" s="3" t="inlineStr">
        <is>
          <t>이엠앤아이</t>
        </is>
      </c>
      <c r="C4463" s="2" t="inlineStr">
        <is>
          <t>코스닥</t>
        </is>
      </c>
      <c r="D4463" s="2" t="inlineStr">
        <is>
          <t>083470</t>
        </is>
      </c>
      <c r="E4463" s="3" t="inlineStr">
        <is>
          <t>주주총회소집공고</t>
        </is>
      </c>
      <c r="F4463" s="3" t="inlineStr">
        <is>
          <t>이엠앤아이</t>
        </is>
      </c>
      <c r="G4463" s="2" t="inlineStr">
        <is>
          <t>20260504000182</t>
        </is>
      </c>
      <c r="H4463" s="8">
        <f>HYPERLINK("https://dart.fss.or.kr/dsaf001/main.do?rcpNo=20260504000182", "공시열람")</f>
        <v/>
      </c>
    </row>
    <row r="4464">
      <c r="A4464" s="2" t="inlineStr">
        <is>
          <t>2026-05-06</t>
        </is>
      </c>
      <c r="B4464" s="3" t="inlineStr">
        <is>
          <t>한국전력공사</t>
        </is>
      </c>
      <c r="C4464" s="2" t="inlineStr">
        <is>
          <t>코스피</t>
        </is>
      </c>
      <c r="D4464" s="2" t="inlineStr">
        <is>
          <t>015760</t>
        </is>
      </c>
      <c r="E4464" s="3" t="inlineStr">
        <is>
          <t>주주총회소집공고</t>
        </is>
      </c>
      <c r="F4464" s="3" t="inlineStr">
        <is>
          <t>한국전력공사</t>
        </is>
      </c>
      <c r="G4464" s="2" t="inlineStr">
        <is>
          <t>20260506000718</t>
        </is>
      </c>
      <c r="H4464" s="8">
        <f>HYPERLINK("https://dart.fss.or.kr/dsaf001/main.do?rcpNo=20260506000718", "공시열람")</f>
        <v/>
      </c>
    </row>
    <row r="4465">
      <c r="A4465" s="2" t="inlineStr">
        <is>
          <t>2026-05-06</t>
        </is>
      </c>
      <c r="B4465" s="3" t="inlineStr">
        <is>
          <t>다이나믹디자인</t>
        </is>
      </c>
      <c r="C4465" s="2" t="inlineStr">
        <is>
          <t>코스피</t>
        </is>
      </c>
      <c r="D4465" s="2" t="inlineStr">
        <is>
          <t>145210</t>
        </is>
      </c>
      <c r="E4465" s="3" t="inlineStr">
        <is>
          <t>주주총회소집공고</t>
        </is>
      </c>
      <c r="F4465" s="3" t="inlineStr">
        <is>
          <t>다이나믹디자인</t>
        </is>
      </c>
      <c r="G4465" s="2" t="inlineStr">
        <is>
          <t>20260506000645</t>
        </is>
      </c>
      <c r="H4465" s="8">
        <f>HYPERLINK("https://dart.fss.or.kr/dsaf001/main.do?rcpNo=20260506000645", "공시열람")</f>
        <v/>
      </c>
    </row>
    <row r="4466">
      <c r="A4466" s="2" t="inlineStr">
        <is>
          <t>2026-05-06 (정정: 2026-05-29)</t>
        </is>
      </c>
      <c r="B4466" s="3" t="inlineStr">
        <is>
          <t>하이로닉</t>
        </is>
      </c>
      <c r="C4466" s="2" t="inlineStr">
        <is>
          <t>코스닥</t>
        </is>
      </c>
      <c r="D4466" s="2" t="inlineStr">
        <is>
          <t>149980</t>
        </is>
      </c>
      <c r="E4466" s="3" t="inlineStr">
        <is>
          <t>주주총회소집공고 (정정: 20260529)</t>
        </is>
      </c>
      <c r="F4466" s="3" t="inlineStr">
        <is>
          <t>하이로닉</t>
        </is>
      </c>
      <c r="G4466" s="2" t="inlineStr">
        <is>
          <t>20260529001516</t>
        </is>
      </c>
      <c r="H4466" s="8">
        <f>HYPERLINK("https://dart.fss.or.kr/dsaf001/main.do?rcpNo=20260529001516", "공시열람")</f>
        <v/>
      </c>
    </row>
    <row r="4467">
      <c r="A4467" s="2" t="inlineStr">
        <is>
          <t>2026-05-06 (정정: 2026-05-20)</t>
        </is>
      </c>
      <c r="B4467" s="3" t="inlineStr">
        <is>
          <t>한탑</t>
        </is>
      </c>
      <c r="C4467" s="2" t="inlineStr">
        <is>
          <t>코스닥</t>
        </is>
      </c>
      <c r="D4467" s="2" t="inlineStr">
        <is>
          <t>002680</t>
        </is>
      </c>
      <c r="E4467" s="3" t="inlineStr">
        <is>
          <t>주주총회소집공고 (정정: 20260520) (정정: 20260520)</t>
        </is>
      </c>
      <c r="F4467" s="3" t="inlineStr">
        <is>
          <t>한탑</t>
        </is>
      </c>
      <c r="G4467" s="2" t="inlineStr">
        <is>
          <t>20260520000293</t>
        </is>
      </c>
      <c r="H4467" s="8">
        <f>HYPERLINK("https://dart.fss.or.kr/dsaf001/main.do?rcpNo=20260520000293", "공시열람")</f>
        <v/>
      </c>
    </row>
    <row r="4468">
      <c r="A4468" s="2" t="inlineStr">
        <is>
          <t>2026-05-06 (정정: 2026-05-15)</t>
        </is>
      </c>
      <c r="B4468" s="3" t="inlineStr">
        <is>
          <t>플루토스</t>
        </is>
      </c>
      <c r="C4468" s="2" t="inlineStr">
        <is>
          <t>코스닥</t>
        </is>
      </c>
      <c r="D4468" s="2" t="inlineStr">
        <is>
          <t>019570</t>
        </is>
      </c>
      <c r="E4468" s="3" t="inlineStr">
        <is>
          <t>주주총회소집공고 (정정: 20260512) (정정: 20260515)</t>
        </is>
      </c>
      <c r="F4468" s="3" t="inlineStr">
        <is>
          <t>플루토스</t>
        </is>
      </c>
      <c r="G4468" s="2" t="inlineStr">
        <is>
          <t>20260515002458</t>
        </is>
      </c>
      <c r="H4468" s="8">
        <f>HYPERLINK("https://dart.fss.or.kr/dsaf001/main.do?rcpNo=20260515002458", "공시열람")</f>
        <v/>
      </c>
    </row>
    <row r="4469">
      <c r="A4469" s="2" t="inlineStr">
        <is>
          <t>2026-05-06</t>
        </is>
      </c>
      <c r="B4469" s="3" t="inlineStr">
        <is>
          <t>신한글로벌액티브리츠</t>
        </is>
      </c>
      <c r="C4469" s="2" t="inlineStr">
        <is>
          <t>코스피</t>
        </is>
      </c>
      <c r="D4469" s="2" t="inlineStr">
        <is>
          <t>481850</t>
        </is>
      </c>
      <c r="E4469" s="3" t="inlineStr">
        <is>
          <t>주주총회소집공고</t>
        </is>
      </c>
      <c r="F4469" s="3" t="inlineStr">
        <is>
          <t>신한글로벌액티브리츠</t>
        </is>
      </c>
      <c r="G4469" s="2" t="inlineStr">
        <is>
          <t>20260506000342</t>
        </is>
      </c>
      <c r="H4469" s="8">
        <f>HYPERLINK("https://dart.fss.or.kr/dsaf001/main.do?rcpNo=20260506000342", "공시열람")</f>
        <v/>
      </c>
    </row>
    <row r="4470">
      <c r="A4470" s="2" t="inlineStr">
        <is>
          <t>2026-05-06</t>
        </is>
      </c>
      <c r="B4470" s="3" t="inlineStr">
        <is>
          <t>엑시큐어하이트론</t>
        </is>
      </c>
      <c r="C4470" s="2" t="inlineStr">
        <is>
          <t>코스피</t>
        </is>
      </c>
      <c r="D4470" s="2" t="inlineStr">
        <is>
          <t>019490</t>
        </is>
      </c>
      <c r="E4470" s="3" t="inlineStr">
        <is>
          <t>주주총회소집공고</t>
        </is>
      </c>
      <c r="F4470" s="3" t="inlineStr">
        <is>
          <t>엑시큐어하이트론</t>
        </is>
      </c>
      <c r="G4470" s="2" t="inlineStr">
        <is>
          <t>20260506000285</t>
        </is>
      </c>
      <c r="H4470" s="8">
        <f>HYPERLINK("https://dart.fss.or.kr/dsaf001/main.do?rcpNo=20260506000285", "공시열람")</f>
        <v/>
      </c>
    </row>
    <row r="4471">
      <c r="A4471" s="2" t="inlineStr">
        <is>
          <t>2026-05-06</t>
        </is>
      </c>
      <c r="B4471" s="3" t="inlineStr">
        <is>
          <t>유진테크놀로지</t>
        </is>
      </c>
      <c r="C4471" s="2" t="inlineStr">
        <is>
          <t>코스닥</t>
        </is>
      </c>
      <c r="D4471" s="2" t="inlineStr">
        <is>
          <t>240600</t>
        </is>
      </c>
      <c r="E4471" s="3" t="inlineStr">
        <is>
          <t>주주총회소집공고</t>
        </is>
      </c>
      <c r="F4471" s="3" t="inlineStr">
        <is>
          <t>유진테크놀로지</t>
        </is>
      </c>
      <c r="G4471" s="2" t="inlineStr">
        <is>
          <t>20260506000163</t>
        </is>
      </c>
      <c r="H4471" s="8">
        <f>HYPERLINK("https://dart.fss.or.kr/dsaf001/main.do?rcpNo=20260506000163", "공시열람")</f>
        <v/>
      </c>
    </row>
    <row r="4472">
      <c r="A4472" s="2" t="inlineStr">
        <is>
          <t>2026-05-07 (정정: 2026-06-11)</t>
        </is>
      </c>
      <c r="B4472" s="3" t="inlineStr">
        <is>
          <t>엑시온그룹</t>
        </is>
      </c>
      <c r="C4472" s="2" t="inlineStr">
        <is>
          <t>코스닥</t>
        </is>
      </c>
      <c r="D4472" s="2" t="inlineStr">
        <is>
          <t>069920</t>
        </is>
      </c>
      <c r="E4472" s="3" t="inlineStr">
        <is>
          <t>주주총회소집공고 (정정: 20260521) (정정: 20260521) (정정: 20260529) (정정: 20260610) (정정: 20260611)</t>
        </is>
      </c>
      <c r="F4472" s="3" t="inlineStr">
        <is>
          <t>엑시온그룹</t>
        </is>
      </c>
      <c r="G4472" s="2" t="inlineStr">
        <is>
          <t>20260611000605</t>
        </is>
      </c>
      <c r="H4472" s="8">
        <f>HYPERLINK("https://dart.fss.or.kr/dsaf001/main.do?rcpNo=20260611000605", "공시열람")</f>
        <v/>
      </c>
    </row>
    <row r="4473">
      <c r="A4473" s="2" t="inlineStr">
        <is>
          <t>2026-05-07</t>
        </is>
      </c>
      <c r="B4473" s="3" t="inlineStr">
        <is>
          <t>지역난방공사</t>
        </is>
      </c>
      <c r="C4473" s="2" t="inlineStr">
        <is>
          <t>코스피</t>
        </is>
      </c>
      <c r="D4473" s="2" t="inlineStr">
        <is>
          <t>071320</t>
        </is>
      </c>
      <c r="E4473" s="3" t="inlineStr">
        <is>
          <t>주주총회소집공고</t>
        </is>
      </c>
      <c r="F4473" s="3" t="inlineStr">
        <is>
          <t>지역난방공사</t>
        </is>
      </c>
      <c r="G4473" s="2" t="inlineStr">
        <is>
          <t>20260507000564</t>
        </is>
      </c>
      <c r="H4473" s="8">
        <f>HYPERLINK("https://dart.fss.or.kr/dsaf001/main.do?rcpNo=20260507000564", "공시열람")</f>
        <v/>
      </c>
    </row>
    <row r="4474">
      <c r="A4474" s="2" t="inlineStr">
        <is>
          <t>2026-05-07</t>
        </is>
      </c>
      <c r="B4474" s="3" t="inlineStr">
        <is>
          <t>KT밀리의서재</t>
        </is>
      </c>
      <c r="C4474" s="2" t="inlineStr">
        <is>
          <t>코스닥</t>
        </is>
      </c>
      <c r="D4474" s="2" t="inlineStr">
        <is>
          <t>418470</t>
        </is>
      </c>
      <c r="E4474" s="3" t="inlineStr">
        <is>
          <t>주주총회소집공고</t>
        </is>
      </c>
      <c r="F4474" s="3" t="inlineStr">
        <is>
          <t>KT밀리의서재</t>
        </is>
      </c>
      <c r="G4474" s="2" t="inlineStr">
        <is>
          <t>20260507000448</t>
        </is>
      </c>
      <c r="H4474" s="8">
        <f>HYPERLINK("https://dart.fss.or.kr/dsaf001/main.do?rcpNo=20260507000448", "공시열람")</f>
        <v/>
      </c>
    </row>
    <row r="4475">
      <c r="A4475" s="2" t="inlineStr">
        <is>
          <t>2026-05-07</t>
        </is>
      </c>
      <c r="B4475" s="3" t="inlineStr">
        <is>
          <t>TS인베스트먼트</t>
        </is>
      </c>
      <c r="C4475" s="2" t="inlineStr">
        <is>
          <t>코스닥</t>
        </is>
      </c>
      <c r="D4475" s="2" t="inlineStr">
        <is>
          <t>246690</t>
        </is>
      </c>
      <c r="E4475" s="3" t="inlineStr">
        <is>
          <t>주주총회소집공고</t>
        </is>
      </c>
      <c r="F4475" s="3" t="inlineStr">
        <is>
          <t>TS인베스트먼트</t>
        </is>
      </c>
      <c r="G4475" s="2" t="inlineStr">
        <is>
          <t>20260507000437</t>
        </is>
      </c>
      <c r="H4475" s="8">
        <f>HYPERLINK("https://dart.fss.or.kr/dsaf001/main.do?rcpNo=20260507000437", "공시열람")</f>
        <v/>
      </c>
    </row>
    <row r="4476">
      <c r="A4476" s="2" t="inlineStr">
        <is>
          <t>2026-05-07</t>
        </is>
      </c>
      <c r="B4476" s="3" t="inlineStr">
        <is>
          <t>KT나스미디어</t>
        </is>
      </c>
      <c r="C4476" s="2" t="inlineStr">
        <is>
          <t>코스닥</t>
        </is>
      </c>
      <c r="D4476" s="2" t="inlineStr">
        <is>
          <t>089600</t>
        </is>
      </c>
      <c r="E4476" s="3" t="inlineStr">
        <is>
          <t>주주총회소집공고</t>
        </is>
      </c>
      <c r="F4476" s="3" t="inlineStr">
        <is>
          <t>KT나스미디어</t>
        </is>
      </c>
      <c r="G4476" s="2" t="inlineStr">
        <is>
          <t>20260507000413</t>
        </is>
      </c>
      <c r="H4476" s="8">
        <f>HYPERLINK("https://dart.fss.or.kr/dsaf001/main.do?rcpNo=20260507000413", "공시열람")</f>
        <v/>
      </c>
    </row>
    <row r="4477">
      <c r="A4477" s="2" t="inlineStr">
        <is>
          <t>2026-05-07</t>
        </is>
      </c>
      <c r="B4477" s="3" t="inlineStr">
        <is>
          <t>인디에프</t>
        </is>
      </c>
      <c r="C4477" s="2" t="inlineStr">
        <is>
          <t>코스피</t>
        </is>
      </c>
      <c r="D4477" s="2" t="inlineStr">
        <is>
          <t>014990</t>
        </is>
      </c>
      <c r="E4477" s="3" t="inlineStr">
        <is>
          <t>주주총회소집공고</t>
        </is>
      </c>
      <c r="F4477" s="3" t="inlineStr">
        <is>
          <t>인디에프</t>
        </is>
      </c>
      <c r="G4477" s="2" t="inlineStr">
        <is>
          <t>20260507000124</t>
        </is>
      </c>
      <c r="H4477" s="8">
        <f>HYPERLINK("https://dart.fss.or.kr/dsaf001/main.do?rcpNo=20260507000124", "공시열람")</f>
        <v/>
      </c>
    </row>
    <row r="4478">
      <c r="A4478" s="2" t="inlineStr">
        <is>
          <t>2026-05-08</t>
        </is>
      </c>
      <c r="B4478" s="3" t="inlineStr">
        <is>
          <t>우림피티에스</t>
        </is>
      </c>
      <c r="C4478" s="2" t="inlineStr">
        <is>
          <t>코스닥</t>
        </is>
      </c>
      <c r="D4478" s="2" t="inlineStr">
        <is>
          <t>101170</t>
        </is>
      </c>
      <c r="E4478" s="3" t="inlineStr">
        <is>
          <t>주주총회소집공고</t>
        </is>
      </c>
      <c r="F4478" s="3" t="inlineStr">
        <is>
          <t>우림피티에스</t>
        </is>
      </c>
      <c r="G4478" s="2" t="inlineStr">
        <is>
          <t>20260508000444</t>
        </is>
      </c>
      <c r="H4478" s="8">
        <f>HYPERLINK("https://dart.fss.or.kr/dsaf001/main.do?rcpNo=20260508000444", "공시열람")</f>
        <v/>
      </c>
    </row>
    <row r="4479">
      <c r="A4479" s="2" t="inlineStr">
        <is>
          <t>2026-05-08</t>
        </is>
      </c>
      <c r="B4479" s="3" t="inlineStr">
        <is>
          <t>서호전기</t>
        </is>
      </c>
      <c r="C4479" s="2" t="inlineStr">
        <is>
          <t>코스닥</t>
        </is>
      </c>
      <c r="D4479" s="2" t="inlineStr">
        <is>
          <t>065710</t>
        </is>
      </c>
      <c r="E4479" s="3" t="inlineStr">
        <is>
          <t>주주총회소집공고</t>
        </is>
      </c>
      <c r="F4479" s="3" t="inlineStr">
        <is>
          <t>서호전기</t>
        </is>
      </c>
      <c r="G4479" s="2" t="inlineStr">
        <is>
          <t>20260508000347</t>
        </is>
      </c>
      <c r="H4479" s="8">
        <f>HYPERLINK("https://dart.fss.or.kr/dsaf001/main.do?rcpNo=20260508000347", "공시열람")</f>
        <v/>
      </c>
    </row>
    <row r="4480">
      <c r="A4480" s="2" t="inlineStr">
        <is>
          <t>2026-05-08</t>
        </is>
      </c>
      <c r="B4480" s="3" t="inlineStr">
        <is>
          <t>토비스</t>
        </is>
      </c>
      <c r="C4480" s="2" t="inlineStr">
        <is>
          <t>코스닥</t>
        </is>
      </c>
      <c r="D4480" s="2" t="inlineStr">
        <is>
          <t>051360</t>
        </is>
      </c>
      <c r="E4480" s="3" t="inlineStr">
        <is>
          <t>주주총회소집공고</t>
        </is>
      </c>
      <c r="F4480" s="3" t="inlineStr">
        <is>
          <t>토비스</t>
        </is>
      </c>
      <c r="G4480" s="2" t="inlineStr">
        <is>
          <t>20260508000227</t>
        </is>
      </c>
      <c r="H4480" s="8">
        <f>HYPERLINK("https://dart.fss.or.kr/dsaf001/main.do?rcpNo=20260508000227", "공시열람")</f>
        <v/>
      </c>
    </row>
    <row r="4481">
      <c r="A4481" s="2" t="inlineStr">
        <is>
          <t>2026-05-11</t>
        </is>
      </c>
      <c r="B4481" s="3" t="inlineStr">
        <is>
          <t>프리티</t>
        </is>
      </c>
      <c r="C4481" s="2" t="inlineStr">
        <is>
          <t>코스피</t>
        </is>
      </c>
      <c r="D4481" s="2" t="inlineStr">
        <is>
          <t>006490</t>
        </is>
      </c>
      <c r="E4481" s="3" t="inlineStr">
        <is>
          <t>주주총회소집공고</t>
        </is>
      </c>
      <c r="F4481" s="3" t="inlineStr">
        <is>
          <t>프리티</t>
        </is>
      </c>
      <c r="G4481" s="2" t="inlineStr">
        <is>
          <t>20260511000721</t>
        </is>
      </c>
      <c r="H4481" s="8">
        <f>HYPERLINK("https://dart.fss.or.kr/dsaf001/main.do?rcpNo=20260511000721", "공시열람")</f>
        <v/>
      </c>
    </row>
    <row r="4482">
      <c r="A4482" s="2" t="inlineStr">
        <is>
          <t>2026-05-11</t>
        </is>
      </c>
      <c r="B4482" s="3" t="inlineStr">
        <is>
          <t>경남제약</t>
        </is>
      </c>
      <c r="C4482" s="2" t="inlineStr">
        <is>
          <t>코스닥</t>
        </is>
      </c>
      <c r="D4482" s="2" t="inlineStr">
        <is>
          <t>053950</t>
        </is>
      </c>
      <c r="E4482" s="3" t="inlineStr">
        <is>
          <t>주주총회소집공고</t>
        </is>
      </c>
      <c r="F4482" s="3" t="inlineStr">
        <is>
          <t>경남제약</t>
        </is>
      </c>
      <c r="G4482" s="2" t="inlineStr">
        <is>
          <t>20260511000693</t>
        </is>
      </c>
      <c r="H4482" s="8">
        <f>HYPERLINK("https://dart.fss.or.kr/dsaf001/main.do?rcpNo=20260511000693", "공시열람")</f>
        <v/>
      </c>
    </row>
    <row r="4483">
      <c r="A4483" s="2" t="inlineStr">
        <is>
          <t>2026-05-11</t>
        </is>
      </c>
      <c r="B4483" s="3" t="inlineStr">
        <is>
          <t>비츠로시스</t>
        </is>
      </c>
      <c r="C4483" s="2" t="inlineStr">
        <is>
          <t>코스닥</t>
        </is>
      </c>
      <c r="D4483" s="2" t="inlineStr">
        <is>
          <t>054220</t>
        </is>
      </c>
      <c r="E4483" s="3" t="inlineStr">
        <is>
          <t>주주총회소집공고</t>
        </is>
      </c>
      <c r="F4483" s="3" t="inlineStr">
        <is>
          <t>비츠로시스</t>
        </is>
      </c>
      <c r="G4483" s="2" t="inlineStr">
        <is>
          <t>20260511000597</t>
        </is>
      </c>
      <c r="H4483" s="8">
        <f>HYPERLINK("https://dart.fss.or.kr/dsaf001/main.do?rcpNo=20260511000597", "공시열람")</f>
        <v/>
      </c>
    </row>
    <row r="4484">
      <c r="A4484" s="2" t="inlineStr">
        <is>
          <t>2026-05-11 (정정: 2026-05-22)</t>
        </is>
      </c>
      <c r="B4484" s="3" t="inlineStr">
        <is>
          <t>썸에이지</t>
        </is>
      </c>
      <c r="C4484" s="2" t="inlineStr">
        <is>
          <t>코스닥</t>
        </is>
      </c>
      <c r="D4484" s="2" t="inlineStr">
        <is>
          <t>208640</t>
        </is>
      </c>
      <c r="E4484" s="3" t="inlineStr">
        <is>
          <t>주주총회소집공고 (정정: 20260522)</t>
        </is>
      </c>
      <c r="F4484" s="3" t="inlineStr">
        <is>
          <t>썸에이지</t>
        </is>
      </c>
      <c r="G4484" s="2" t="inlineStr">
        <is>
          <t>20260522000628</t>
        </is>
      </c>
      <c r="H4484" s="8">
        <f>HYPERLINK("https://dart.fss.or.kr/dsaf001/main.do?rcpNo=20260522000628", "공시열람")</f>
        <v/>
      </c>
    </row>
    <row r="4485">
      <c r="A4485" s="2" t="inlineStr">
        <is>
          <t>2026-05-11</t>
        </is>
      </c>
      <c r="B4485" s="3" t="inlineStr">
        <is>
          <t>미래아이앤지</t>
        </is>
      </c>
      <c r="C4485" s="2" t="inlineStr">
        <is>
          <t>코스피</t>
        </is>
      </c>
      <c r="D4485" s="2" t="inlineStr">
        <is>
          <t>007120</t>
        </is>
      </c>
      <c r="E4485" s="3" t="inlineStr">
        <is>
          <t>주주총회소집공고</t>
        </is>
      </c>
      <c r="F4485" s="3" t="inlineStr">
        <is>
          <t>미래아이앤지</t>
        </is>
      </c>
      <c r="G4485" s="2" t="inlineStr">
        <is>
          <t>20260511000460</t>
        </is>
      </c>
      <c r="H4485" s="8">
        <f>HYPERLINK("https://dart.fss.or.kr/dsaf001/main.do?rcpNo=20260511000460", "공시열람")</f>
        <v/>
      </c>
    </row>
    <row r="4486">
      <c r="A4486" s="2" t="inlineStr">
        <is>
          <t>2026-05-11</t>
        </is>
      </c>
      <c r="B4486" s="3" t="inlineStr">
        <is>
          <t>한국가스공사</t>
        </is>
      </c>
      <c r="C4486" s="2" t="inlineStr">
        <is>
          <t>코스피</t>
        </is>
      </c>
      <c r="D4486" s="2" t="inlineStr">
        <is>
          <t>036460</t>
        </is>
      </c>
      <c r="E4486" s="3" t="inlineStr">
        <is>
          <t>주주총회소집공고</t>
        </is>
      </c>
      <c r="F4486" s="3" t="inlineStr">
        <is>
          <t>한국가스공사</t>
        </is>
      </c>
      <c r="G4486" s="2" t="inlineStr">
        <is>
          <t>20260511000296</t>
        </is>
      </c>
      <c r="H4486" s="8">
        <f>HYPERLINK("https://dart.fss.or.kr/dsaf001/main.do?rcpNo=20260511000296", "공시열람")</f>
        <v/>
      </c>
    </row>
    <row r="4487">
      <c r="A4487" s="2" t="inlineStr">
        <is>
          <t>2026-05-11</t>
        </is>
      </c>
      <c r="B4487" s="3" t="inlineStr">
        <is>
          <t>케이티스카이라이프</t>
        </is>
      </c>
      <c r="C4487" s="2" t="inlineStr">
        <is>
          <t>코스피</t>
        </is>
      </c>
      <c r="D4487" s="2" t="inlineStr">
        <is>
          <t>053210</t>
        </is>
      </c>
      <c r="E4487" s="3" t="inlineStr">
        <is>
          <t>주주총회소집공고</t>
        </is>
      </c>
      <c r="F4487" s="3" t="inlineStr">
        <is>
          <t>케이티스카이라이프</t>
        </is>
      </c>
      <c r="G4487" s="2" t="inlineStr">
        <is>
          <t>20260511000194</t>
        </is>
      </c>
      <c r="H4487" s="8">
        <f>HYPERLINK("https://dart.fss.or.kr/dsaf001/main.do?rcpNo=20260511000194", "공시열람")</f>
        <v/>
      </c>
    </row>
    <row r="4488">
      <c r="A4488" s="2" t="inlineStr">
        <is>
          <t>2026-05-12</t>
        </is>
      </c>
      <c r="B4488" s="3" t="inlineStr">
        <is>
          <t>금양그린파워</t>
        </is>
      </c>
      <c r="C4488" s="2" t="inlineStr">
        <is>
          <t>코스닥</t>
        </is>
      </c>
      <c r="D4488" s="2" t="inlineStr">
        <is>
          <t>282720</t>
        </is>
      </c>
      <c r="E4488" s="3" t="inlineStr">
        <is>
          <t>주주총회소집공고</t>
        </is>
      </c>
      <c r="F4488" s="3" t="inlineStr">
        <is>
          <t>금양그린파워</t>
        </is>
      </c>
      <c r="G4488" s="2" t="inlineStr">
        <is>
          <t>20260512000652</t>
        </is>
      </c>
      <c r="H4488" s="8">
        <f>HYPERLINK("https://dart.fss.or.kr/dsaf001/main.do?rcpNo=20260512000652", "공시열람")</f>
        <v/>
      </c>
    </row>
    <row r="4489">
      <c r="A4489" s="2" t="inlineStr">
        <is>
          <t>2026-05-12</t>
        </is>
      </c>
      <c r="B4489" s="3" t="inlineStr">
        <is>
          <t>KTis</t>
        </is>
      </c>
      <c r="C4489" s="2" t="inlineStr">
        <is>
          <t>코스피</t>
        </is>
      </c>
      <c r="D4489" s="2" t="inlineStr">
        <is>
          <t>058860</t>
        </is>
      </c>
      <c r="E4489" s="3" t="inlineStr">
        <is>
          <t>주주총회소집공고</t>
        </is>
      </c>
      <c r="F4489" s="3" t="inlineStr">
        <is>
          <t>KTis</t>
        </is>
      </c>
      <c r="G4489" s="2" t="inlineStr">
        <is>
          <t>20260512000613</t>
        </is>
      </c>
      <c r="H4489" s="8">
        <f>HYPERLINK("https://dart.fss.or.kr/dsaf001/main.do?rcpNo=20260512000613", "공시열람")</f>
        <v/>
      </c>
    </row>
    <row r="4490">
      <c r="A4490" s="2" t="inlineStr">
        <is>
          <t>2026-05-12</t>
        </is>
      </c>
      <c r="B4490" s="3" t="inlineStr">
        <is>
          <t>와이즈넛</t>
        </is>
      </c>
      <c r="C4490" s="2" t="inlineStr">
        <is>
          <t>코스닥</t>
        </is>
      </c>
      <c r="D4490" s="2" t="inlineStr">
        <is>
          <t>096250</t>
        </is>
      </c>
      <c r="E4490" s="3" t="inlineStr">
        <is>
          <t>주주총회소집공고</t>
        </is>
      </c>
      <c r="F4490" s="3" t="inlineStr">
        <is>
          <t>와이즈넛</t>
        </is>
      </c>
      <c r="G4490" s="2" t="inlineStr">
        <is>
          <t>20260512000585</t>
        </is>
      </c>
      <c r="H4490" s="8">
        <f>HYPERLINK("https://dart.fss.or.kr/dsaf001/main.do?rcpNo=20260512000585", "공시열람")</f>
        <v/>
      </c>
    </row>
    <row r="4491">
      <c r="A4491" s="2" t="inlineStr">
        <is>
          <t>2026-05-12</t>
        </is>
      </c>
      <c r="B4491" s="3" t="inlineStr">
        <is>
          <t>KTcs</t>
        </is>
      </c>
      <c r="C4491" s="2" t="inlineStr">
        <is>
          <t>코스피</t>
        </is>
      </c>
      <c r="D4491" s="2" t="inlineStr">
        <is>
          <t>058850</t>
        </is>
      </c>
      <c r="E4491" s="3" t="inlineStr">
        <is>
          <t>주주총회소집공고</t>
        </is>
      </c>
      <c r="F4491" s="3" t="inlineStr">
        <is>
          <t>KTcs</t>
        </is>
      </c>
      <c r="G4491" s="2" t="inlineStr">
        <is>
          <t>20260512000376</t>
        </is>
      </c>
      <c r="H4491" s="8">
        <f>HYPERLINK("https://dart.fss.or.kr/dsaf001/main.do?rcpNo=20260512000376", "공시열람")</f>
        <v/>
      </c>
    </row>
    <row r="4492">
      <c r="A4492" s="2" t="inlineStr">
        <is>
          <t>2026-05-13</t>
        </is>
      </c>
      <c r="B4492" s="3" t="inlineStr">
        <is>
          <t>한전기술</t>
        </is>
      </c>
      <c r="C4492" s="2" t="inlineStr">
        <is>
          <t>코스피</t>
        </is>
      </c>
      <c r="D4492" s="2" t="inlineStr">
        <is>
          <t>052690</t>
        </is>
      </c>
      <c r="E4492" s="3" t="inlineStr">
        <is>
          <t>주주총회소집공고</t>
        </is>
      </c>
      <c r="F4492" s="3" t="inlineStr">
        <is>
          <t>한전기술</t>
        </is>
      </c>
      <c r="G4492" s="2" t="inlineStr">
        <is>
          <t>20260513000760</t>
        </is>
      </c>
      <c r="H4492" s="8">
        <f>HYPERLINK("https://dart.fss.or.kr/dsaf001/main.do?rcpNo=20260513000760", "공시열람")</f>
        <v/>
      </c>
    </row>
    <row r="4493">
      <c r="A4493" s="2" t="inlineStr">
        <is>
          <t>2026-05-13</t>
        </is>
      </c>
      <c r="B4493" s="3" t="inlineStr">
        <is>
          <t>지슨</t>
        </is>
      </c>
      <c r="C4493" s="2" t="inlineStr">
        <is>
          <t>코스닥</t>
        </is>
      </c>
      <c r="D4493" s="2" t="inlineStr">
        <is>
          <t>446840</t>
        </is>
      </c>
      <c r="E4493" s="3" t="inlineStr">
        <is>
          <t>주주총회소집공고</t>
        </is>
      </c>
      <c r="F4493" s="3" t="inlineStr">
        <is>
          <t>지슨</t>
        </is>
      </c>
      <c r="G4493" s="2" t="inlineStr">
        <is>
          <t>20260513000757</t>
        </is>
      </c>
      <c r="H4493" s="8">
        <f>HYPERLINK("https://dart.fss.or.kr/dsaf001/main.do?rcpNo=20260513000757", "공시열람")</f>
        <v/>
      </c>
    </row>
    <row r="4494">
      <c r="A4494" s="2" t="inlineStr">
        <is>
          <t>2026-05-13</t>
        </is>
      </c>
      <c r="B4494" s="3" t="inlineStr">
        <is>
          <t>JTC</t>
        </is>
      </c>
      <c r="C4494" s="2" t="inlineStr">
        <is>
          <t>코스닥</t>
        </is>
      </c>
      <c r="D4494" s="2" t="inlineStr">
        <is>
          <t>950170</t>
        </is>
      </c>
      <c r="E4494" s="3" t="inlineStr">
        <is>
          <t>주주총회소집공고</t>
        </is>
      </c>
      <c r="F4494" s="3" t="inlineStr">
        <is>
          <t>JTC</t>
        </is>
      </c>
      <c r="G4494" s="2" t="inlineStr">
        <is>
          <t>20260513000621</t>
        </is>
      </c>
      <c r="H4494" s="8">
        <f>HYPERLINK("https://dart.fss.or.kr/dsaf001/main.do?rcpNo=20260513000621", "공시열람")</f>
        <v/>
      </c>
    </row>
    <row r="4495">
      <c r="A4495" s="2" t="inlineStr">
        <is>
          <t>2026-05-13</t>
        </is>
      </c>
      <c r="B4495" s="3" t="inlineStr">
        <is>
          <t>한화리츠</t>
        </is>
      </c>
      <c r="C4495" s="2" t="inlineStr">
        <is>
          <t>코스피</t>
        </is>
      </c>
      <c r="D4495" s="2" t="inlineStr">
        <is>
          <t>451800</t>
        </is>
      </c>
      <c r="E4495" s="3" t="inlineStr">
        <is>
          <t>주주총회소집공고</t>
        </is>
      </c>
      <c r="F4495" s="3" t="inlineStr">
        <is>
          <t>한화리츠</t>
        </is>
      </c>
      <c r="G4495" s="2" t="inlineStr">
        <is>
          <t>20260513000594</t>
        </is>
      </c>
      <c r="H4495" s="8">
        <f>HYPERLINK("https://dart.fss.or.kr/dsaf001/main.do?rcpNo=20260513000594", "공시열람")</f>
        <v/>
      </c>
    </row>
    <row r="4496">
      <c r="A4496" s="2" t="inlineStr">
        <is>
          <t>2026-05-13</t>
        </is>
      </c>
      <c r="B4496" s="3" t="inlineStr">
        <is>
          <t>케이티알파</t>
        </is>
      </c>
      <c r="C4496" s="2" t="inlineStr">
        <is>
          <t>코스닥</t>
        </is>
      </c>
      <c r="D4496" s="2" t="inlineStr">
        <is>
          <t>036030</t>
        </is>
      </c>
      <c r="E4496" s="3" t="inlineStr">
        <is>
          <t>주주총회소집공고</t>
        </is>
      </c>
      <c r="F4496" s="3" t="inlineStr">
        <is>
          <t>케이티알파</t>
        </is>
      </c>
      <c r="G4496" s="2" t="inlineStr">
        <is>
          <t>20260513000578</t>
        </is>
      </c>
      <c r="H4496" s="8">
        <f>HYPERLINK("https://dart.fss.or.kr/dsaf001/main.do?rcpNo=20260513000578", "공시열람")</f>
        <v/>
      </c>
    </row>
    <row r="4497">
      <c r="A4497" s="2" t="inlineStr">
        <is>
          <t>2026-05-13</t>
        </is>
      </c>
      <c r="B4497" s="3" t="inlineStr">
        <is>
          <t>코칩</t>
        </is>
      </c>
      <c r="C4497" s="2" t="inlineStr">
        <is>
          <t>코스닥</t>
        </is>
      </c>
      <c r="D4497" s="2" t="inlineStr">
        <is>
          <t>126730</t>
        </is>
      </c>
      <c r="E4497" s="3" t="inlineStr">
        <is>
          <t>주주총회소집공고</t>
        </is>
      </c>
      <c r="F4497" s="3" t="inlineStr">
        <is>
          <t>코칩</t>
        </is>
      </c>
      <c r="G4497" s="2" t="inlineStr">
        <is>
          <t>20260513000561</t>
        </is>
      </c>
      <c r="H4497" s="8">
        <f>HYPERLINK("https://dart.fss.or.kr/dsaf001/main.do?rcpNo=20260513000561", "공시열람")</f>
        <v/>
      </c>
    </row>
    <row r="4498">
      <c r="A4498" s="2" t="inlineStr">
        <is>
          <t>2026-05-13</t>
        </is>
      </c>
      <c r="B4498" s="3" t="inlineStr">
        <is>
          <t>레이</t>
        </is>
      </c>
      <c r="C4498" s="2" t="inlineStr">
        <is>
          <t>코스닥</t>
        </is>
      </c>
      <c r="D4498" s="2" t="inlineStr">
        <is>
          <t>228670</t>
        </is>
      </c>
      <c r="E4498" s="3" t="inlineStr">
        <is>
          <t>주주총회소집공고</t>
        </is>
      </c>
      <c r="F4498" s="3" t="inlineStr">
        <is>
          <t>레이</t>
        </is>
      </c>
      <c r="G4498" s="2" t="inlineStr">
        <is>
          <t>20260513000470</t>
        </is>
      </c>
      <c r="H4498" s="8">
        <f>HYPERLINK("https://dart.fss.or.kr/dsaf001/main.do?rcpNo=20260513000470", "공시열람")</f>
        <v/>
      </c>
    </row>
    <row r="4499">
      <c r="A4499" s="2" t="inlineStr">
        <is>
          <t>2026-05-13</t>
        </is>
      </c>
      <c r="B4499" s="3" t="inlineStr">
        <is>
          <t>티비씨</t>
        </is>
      </c>
      <c r="C4499" s="2" t="inlineStr">
        <is>
          <t>코스닥</t>
        </is>
      </c>
      <c r="D4499" s="2" t="inlineStr">
        <is>
          <t>033830</t>
        </is>
      </c>
      <c r="E4499" s="3" t="inlineStr">
        <is>
          <t>주주총회소집공고</t>
        </is>
      </c>
      <c r="F4499" s="3" t="inlineStr">
        <is>
          <t>티비씨</t>
        </is>
      </c>
      <c r="G4499" s="2" t="inlineStr">
        <is>
          <t>20260513000468</t>
        </is>
      </c>
      <c r="H4499" s="8">
        <f>HYPERLINK("https://dart.fss.or.kr/dsaf001/main.do?rcpNo=20260513000468", "공시열람")</f>
        <v/>
      </c>
    </row>
    <row r="4500">
      <c r="A4500" s="2" t="inlineStr">
        <is>
          <t>2026-05-13</t>
        </is>
      </c>
      <c r="B4500" s="3" t="inlineStr">
        <is>
          <t>하이즈항공</t>
        </is>
      </c>
      <c r="C4500" s="2" t="inlineStr">
        <is>
          <t>코스닥</t>
        </is>
      </c>
      <c r="D4500" s="2" t="inlineStr">
        <is>
          <t>221840</t>
        </is>
      </c>
      <c r="E4500" s="3" t="inlineStr">
        <is>
          <t>주주총회소집공고</t>
        </is>
      </c>
      <c r="F4500" s="3" t="inlineStr">
        <is>
          <t>하이즈항공</t>
        </is>
      </c>
      <c r="G4500" s="2" t="inlineStr">
        <is>
          <t>20260513000397</t>
        </is>
      </c>
      <c r="H4500" s="8">
        <f>HYPERLINK("https://dart.fss.or.kr/dsaf001/main.do?rcpNo=20260513000397", "공시열람")</f>
        <v/>
      </c>
    </row>
    <row r="4501">
      <c r="A4501" s="2" t="inlineStr">
        <is>
          <t>2026-05-13 (정정: 2026-05-29)</t>
        </is>
      </c>
      <c r="B4501" s="3" t="inlineStr">
        <is>
          <t>덕산하이메탈</t>
        </is>
      </c>
      <c r="C4501" s="2" t="inlineStr">
        <is>
          <t>코스닥</t>
        </is>
      </c>
      <c r="D4501" s="2" t="inlineStr">
        <is>
          <t>077360</t>
        </is>
      </c>
      <c r="E4501" s="3" t="inlineStr">
        <is>
          <t>주주총회소집공고 (정정: 20260529)</t>
        </is>
      </c>
      <c r="F4501" s="3" t="inlineStr">
        <is>
          <t>덕산하이메탈</t>
        </is>
      </c>
      <c r="G4501" s="2" t="inlineStr">
        <is>
          <t>20260529900694</t>
        </is>
      </c>
      <c r="H4501" s="8">
        <f>HYPERLINK("https://dart.fss.or.kr/dsaf001/main.do?rcpNo=20260529900694", "공시열람")</f>
        <v/>
      </c>
    </row>
    <row r="4502">
      <c r="A4502" s="2" t="inlineStr">
        <is>
          <t>2026-05-13</t>
        </is>
      </c>
      <c r="B4502" s="3" t="inlineStr">
        <is>
          <t>에스제이그룹</t>
        </is>
      </c>
      <c r="C4502" s="2" t="inlineStr">
        <is>
          <t>코스닥</t>
        </is>
      </c>
      <c r="D4502" s="2" t="inlineStr">
        <is>
          <t>306040</t>
        </is>
      </c>
      <c r="E4502" s="3" t="inlineStr">
        <is>
          <t>주주총회소집공고</t>
        </is>
      </c>
      <c r="F4502" s="3" t="inlineStr">
        <is>
          <t>에스제이그룹</t>
        </is>
      </c>
      <c r="G4502" s="2" t="inlineStr">
        <is>
          <t>20260513000371</t>
        </is>
      </c>
      <c r="H4502" s="8">
        <f>HYPERLINK("https://dart.fss.or.kr/dsaf001/main.do?rcpNo=20260513000371", "공시열람")</f>
        <v/>
      </c>
    </row>
    <row r="4503">
      <c r="A4503" s="2" t="inlineStr">
        <is>
          <t>2026-05-13</t>
        </is>
      </c>
      <c r="B4503" s="3" t="inlineStr">
        <is>
          <t>이삭엔지니어링</t>
        </is>
      </c>
      <c r="C4503" s="2" t="inlineStr">
        <is>
          <t>코스닥</t>
        </is>
      </c>
      <c r="D4503" s="2" t="inlineStr">
        <is>
          <t>351330</t>
        </is>
      </c>
      <c r="E4503" s="3" t="inlineStr">
        <is>
          <t>주주총회소집공고</t>
        </is>
      </c>
      <c r="F4503" s="3" t="inlineStr">
        <is>
          <t>이삭엔지니어링</t>
        </is>
      </c>
      <c r="G4503" s="2" t="inlineStr">
        <is>
          <t>20260513000362</t>
        </is>
      </c>
      <c r="H4503" s="8">
        <f>HYPERLINK("https://dart.fss.or.kr/dsaf001/main.do?rcpNo=20260513000362", "공시열람")</f>
        <v/>
      </c>
    </row>
    <row r="4504">
      <c r="A4504" s="2" t="inlineStr">
        <is>
          <t>2026-05-13</t>
        </is>
      </c>
      <c r="B4504" s="3" t="inlineStr">
        <is>
          <t>EG</t>
        </is>
      </c>
      <c r="C4504" s="2" t="inlineStr">
        <is>
          <t>코스닥</t>
        </is>
      </c>
      <c r="D4504" s="2" t="inlineStr">
        <is>
          <t>037370</t>
        </is>
      </c>
      <c r="E4504" s="3" t="inlineStr">
        <is>
          <t>주주총회소집공고</t>
        </is>
      </c>
      <c r="F4504" s="3" t="inlineStr">
        <is>
          <t>EG</t>
        </is>
      </c>
      <c r="G4504" s="2" t="inlineStr">
        <is>
          <t>20260513000230</t>
        </is>
      </c>
      <c r="H4504" s="8">
        <f>HYPERLINK("https://dart.fss.or.kr/dsaf001/main.do?rcpNo=20260513000230", "공시열람")</f>
        <v/>
      </c>
    </row>
    <row r="4505">
      <c r="A4505" s="2" t="inlineStr">
        <is>
          <t>2026-05-13</t>
        </is>
      </c>
      <c r="B4505" s="3" t="inlineStr">
        <is>
          <t>지오엘리먼트</t>
        </is>
      </c>
      <c r="C4505" s="2" t="inlineStr">
        <is>
          <t>코스닥</t>
        </is>
      </c>
      <c r="D4505" s="2" t="inlineStr">
        <is>
          <t>311320</t>
        </is>
      </c>
      <c r="E4505" s="3" t="inlineStr">
        <is>
          <t>주주총회소집공고</t>
        </is>
      </c>
      <c r="F4505" s="3" t="inlineStr">
        <is>
          <t>지오엘리먼트</t>
        </is>
      </c>
      <c r="G4505" s="2" t="inlineStr">
        <is>
          <t>20260513000198</t>
        </is>
      </c>
      <c r="H4505" s="8">
        <f>HYPERLINK("https://dart.fss.or.kr/dsaf001/main.do?rcpNo=20260513000198", "공시열람")</f>
        <v/>
      </c>
    </row>
    <row r="4506">
      <c r="A4506" s="2" t="inlineStr">
        <is>
          <t>2026-05-14 (정정: 2026-06-08)</t>
        </is>
      </c>
      <c r="B4506" s="3" t="inlineStr">
        <is>
          <t>코람코더원리츠</t>
        </is>
      </c>
      <c r="C4506" s="2" t="inlineStr">
        <is>
          <t>코스피</t>
        </is>
      </c>
      <c r="D4506" s="2" t="inlineStr">
        <is>
          <t>417310</t>
        </is>
      </c>
      <c r="E4506" s="3" t="inlineStr">
        <is>
          <t>주주총회소집공고 (정정: 20260604) (정정: 20260608) (정정: 20260608)</t>
        </is>
      </c>
      <c r="F4506" s="3" t="inlineStr">
        <is>
          <t>코람코더원리츠</t>
        </is>
      </c>
      <c r="G4506" s="2" t="inlineStr">
        <is>
          <t>20260608000469</t>
        </is>
      </c>
      <c r="H4506" s="8">
        <f>HYPERLINK("https://dart.fss.or.kr/dsaf001/main.do?rcpNo=20260608000469", "공시열람")</f>
        <v/>
      </c>
    </row>
    <row r="4507">
      <c r="A4507" s="2" t="inlineStr">
        <is>
          <t>2026-05-14</t>
        </is>
      </c>
      <c r="B4507" s="3" t="inlineStr">
        <is>
          <t>빛과전자</t>
        </is>
      </c>
      <c r="C4507" s="2" t="inlineStr">
        <is>
          <t>코스닥</t>
        </is>
      </c>
      <c r="D4507" s="2" t="inlineStr">
        <is>
          <t>069540</t>
        </is>
      </c>
      <c r="E4507" s="3" t="inlineStr">
        <is>
          <t>주주총회소집공고</t>
        </is>
      </c>
      <c r="F4507" s="3" t="inlineStr">
        <is>
          <t>빛과전자</t>
        </is>
      </c>
      <c r="G4507" s="2" t="inlineStr">
        <is>
          <t>20260514000958</t>
        </is>
      </c>
      <c r="H4507" s="8">
        <f>HYPERLINK("https://dart.fss.or.kr/dsaf001/main.do?rcpNo=20260514000958", "공시열람")</f>
        <v/>
      </c>
    </row>
    <row r="4508">
      <c r="A4508" s="2" t="inlineStr">
        <is>
          <t>2026-05-14</t>
        </is>
      </c>
      <c r="B4508" s="3" t="inlineStr">
        <is>
          <t>나노엔텍</t>
        </is>
      </c>
      <c r="C4508" s="2" t="inlineStr">
        <is>
          <t>코스닥</t>
        </is>
      </c>
      <c r="D4508" s="2" t="inlineStr">
        <is>
          <t>039860</t>
        </is>
      </c>
      <c r="E4508" s="3" t="inlineStr">
        <is>
          <t>주주총회소집공고</t>
        </is>
      </c>
      <c r="F4508" s="3" t="inlineStr">
        <is>
          <t>나노엔텍</t>
        </is>
      </c>
      <c r="G4508" s="2" t="inlineStr">
        <is>
          <t>20260514000898</t>
        </is>
      </c>
      <c r="H4508" s="8">
        <f>HYPERLINK("https://dart.fss.or.kr/dsaf001/main.do?rcpNo=20260514000898", "공시열람")</f>
        <v/>
      </c>
    </row>
    <row r="4509">
      <c r="A4509" s="2" t="inlineStr">
        <is>
          <t>2026-05-14</t>
        </is>
      </c>
      <c r="B4509" s="3" t="inlineStr">
        <is>
          <t>나노캠텍</t>
        </is>
      </c>
      <c r="C4509" s="2" t="inlineStr">
        <is>
          <t>코스닥</t>
        </is>
      </c>
      <c r="D4509" s="2" t="inlineStr">
        <is>
          <t>091970</t>
        </is>
      </c>
      <c r="E4509" s="3" t="inlineStr">
        <is>
          <t>주주총회소집공고</t>
        </is>
      </c>
      <c r="F4509" s="3" t="inlineStr">
        <is>
          <t>나노캠텍</t>
        </is>
      </c>
      <c r="G4509" s="2" t="inlineStr">
        <is>
          <t>20260514000850</t>
        </is>
      </c>
      <c r="H4509" s="8">
        <f>HYPERLINK("https://dart.fss.or.kr/dsaf001/main.do?rcpNo=20260514000850", "공시열람")</f>
        <v/>
      </c>
    </row>
    <row r="4510">
      <c r="A4510" s="2" t="inlineStr">
        <is>
          <t>2026-05-14</t>
        </is>
      </c>
      <c r="B4510" s="3" t="inlineStr">
        <is>
          <t>이지스밸류플러스리츠</t>
        </is>
      </c>
      <c r="C4510" s="2" t="inlineStr">
        <is>
          <t>코스피</t>
        </is>
      </c>
      <c r="D4510" s="2" t="inlineStr">
        <is>
          <t>334890</t>
        </is>
      </c>
      <c r="E4510" s="3" t="inlineStr">
        <is>
          <t>주주총회소집공고</t>
        </is>
      </c>
      <c r="F4510" s="3" t="inlineStr">
        <is>
          <t>이지스밸류플러스리츠</t>
        </is>
      </c>
      <c r="G4510" s="2" t="inlineStr">
        <is>
          <t>20260514000760</t>
        </is>
      </c>
      <c r="H4510" s="8">
        <f>HYPERLINK("https://dart.fss.or.kr/dsaf001/main.do?rcpNo=20260514000760", "공시열람")</f>
        <v/>
      </c>
    </row>
    <row r="4511">
      <c r="A4511" s="2" t="inlineStr">
        <is>
          <t>2026-05-14</t>
        </is>
      </c>
      <c r="B4511" s="3" t="inlineStr">
        <is>
          <t>아모텍</t>
        </is>
      </c>
      <c r="C4511" s="2" t="inlineStr">
        <is>
          <t>코스닥</t>
        </is>
      </c>
      <c r="D4511" s="2" t="inlineStr">
        <is>
          <t>052710</t>
        </is>
      </c>
      <c r="E4511" s="3" t="inlineStr">
        <is>
          <t>주주총회소집공고</t>
        </is>
      </c>
      <c r="F4511" s="3" t="inlineStr">
        <is>
          <t>아모텍</t>
        </is>
      </c>
      <c r="G4511" s="2" t="inlineStr">
        <is>
          <t>20260514000534</t>
        </is>
      </c>
      <c r="H4511" s="8">
        <f>HYPERLINK("https://dart.fss.or.kr/dsaf001/main.do?rcpNo=20260514000534", "공시열람")</f>
        <v/>
      </c>
    </row>
    <row r="4512">
      <c r="A4512" s="2" t="inlineStr">
        <is>
          <t>2026-05-14</t>
        </is>
      </c>
      <c r="B4512" s="3" t="inlineStr">
        <is>
          <t>펨트론</t>
        </is>
      </c>
      <c r="C4512" s="2" t="inlineStr">
        <is>
          <t>코스닥</t>
        </is>
      </c>
      <c r="D4512" s="2" t="inlineStr">
        <is>
          <t>168360</t>
        </is>
      </c>
      <c r="E4512" s="3" t="inlineStr">
        <is>
          <t>주주총회소집공고</t>
        </is>
      </c>
      <c r="F4512" s="3" t="inlineStr">
        <is>
          <t>펨트론</t>
        </is>
      </c>
      <c r="G4512" s="2" t="inlineStr">
        <is>
          <t>20260514000418</t>
        </is>
      </c>
      <c r="H4512" s="8">
        <f>HYPERLINK("https://dart.fss.or.kr/dsaf001/main.do?rcpNo=20260514000418", "공시열람")</f>
        <v/>
      </c>
    </row>
    <row r="4513">
      <c r="A4513" s="2" t="inlineStr">
        <is>
          <t>2026-05-14</t>
        </is>
      </c>
      <c r="B4513" s="3" t="inlineStr">
        <is>
          <t>부산산업</t>
        </is>
      </c>
      <c r="C4513" s="2" t="inlineStr">
        <is>
          <t>코스피</t>
        </is>
      </c>
      <c r="D4513" s="2" t="inlineStr">
        <is>
          <t>011390</t>
        </is>
      </c>
      <c r="E4513" s="3" t="inlineStr">
        <is>
          <t>주주총회소집공고</t>
        </is>
      </c>
      <c r="F4513" s="3" t="inlineStr">
        <is>
          <t>부산산업</t>
        </is>
      </c>
      <c r="G4513" s="2" t="inlineStr">
        <is>
          <t>20260514000096</t>
        </is>
      </c>
      <c r="H4513" s="8">
        <f>HYPERLINK("https://dart.fss.or.kr/dsaf001/main.do?rcpNo=20260514000096", "공시열람")</f>
        <v/>
      </c>
    </row>
    <row r="4514">
      <c r="A4514" s="2" t="inlineStr">
        <is>
          <t>2026-05-14</t>
        </is>
      </c>
      <c r="B4514" s="3" t="inlineStr">
        <is>
          <t>앱코</t>
        </is>
      </c>
      <c r="C4514" s="2" t="inlineStr">
        <is>
          <t>코스닥</t>
        </is>
      </c>
      <c r="D4514" s="2" t="inlineStr">
        <is>
          <t>129890</t>
        </is>
      </c>
      <c r="E4514" s="3" t="inlineStr">
        <is>
          <t>주주총회소집공고</t>
        </is>
      </c>
      <c r="F4514" s="3" t="inlineStr">
        <is>
          <t>앱코</t>
        </is>
      </c>
      <c r="G4514" s="2" t="inlineStr">
        <is>
          <t>20260514000044</t>
        </is>
      </c>
      <c r="H4514" s="8">
        <f>HYPERLINK("https://dart.fss.or.kr/dsaf001/main.do?rcpNo=20260514000044", "공시열람")</f>
        <v/>
      </c>
    </row>
    <row r="4515">
      <c r="A4515" s="2" t="inlineStr">
        <is>
          <t>2026-05-15 (정정: 2026-05-29)</t>
        </is>
      </c>
      <c r="B4515" s="3" t="inlineStr">
        <is>
          <t>광명전기</t>
        </is>
      </c>
      <c r="C4515" s="2" t="inlineStr">
        <is>
          <t>코스피</t>
        </is>
      </c>
      <c r="D4515" s="2" t="inlineStr">
        <is>
          <t>017040</t>
        </is>
      </c>
      <c r="E4515" s="3" t="inlineStr">
        <is>
          <t>주주총회소집공고 (정정: 20260518) (정정: 20260529)</t>
        </is>
      </c>
      <c r="F4515" s="3" t="inlineStr">
        <is>
          <t>광명전기</t>
        </is>
      </c>
      <c r="G4515" s="2" t="inlineStr">
        <is>
          <t>20260529000862</t>
        </is>
      </c>
      <c r="H4515" s="8">
        <f>HYPERLINK("https://dart.fss.or.kr/dsaf001/main.do?rcpNo=20260529000862", "공시열람")</f>
        <v/>
      </c>
    </row>
    <row r="4516">
      <c r="A4516" s="2" t="inlineStr">
        <is>
          <t>2026-05-15</t>
        </is>
      </c>
      <c r="B4516" s="3" t="inlineStr">
        <is>
          <t>GKL</t>
        </is>
      </c>
      <c r="C4516" s="2" t="inlineStr">
        <is>
          <t>코스피</t>
        </is>
      </c>
      <c r="D4516" s="2" t="inlineStr">
        <is>
          <t>114090</t>
        </is>
      </c>
      <c r="E4516" s="3" t="inlineStr">
        <is>
          <t>주주총회소집공고</t>
        </is>
      </c>
      <c r="F4516" s="3" t="inlineStr">
        <is>
          <t>GKL</t>
        </is>
      </c>
      <c r="G4516" s="2" t="inlineStr">
        <is>
          <t>20260515001673</t>
        </is>
      </c>
      <c r="H4516" s="8">
        <f>HYPERLINK("https://dart.fss.or.kr/dsaf001/main.do?rcpNo=20260515001673", "공시열람")</f>
        <v/>
      </c>
    </row>
    <row r="4517">
      <c r="A4517" s="2" t="inlineStr">
        <is>
          <t>2026-05-15</t>
        </is>
      </c>
      <c r="B4517" s="3" t="inlineStr">
        <is>
          <t>DH오토웨어</t>
        </is>
      </c>
      <c r="C4517" s="2" t="inlineStr">
        <is>
          <t>코스닥</t>
        </is>
      </c>
      <c r="D4517" s="2" t="inlineStr">
        <is>
          <t>025440</t>
        </is>
      </c>
      <c r="E4517" s="3" t="inlineStr">
        <is>
          <t>주주총회소집공고</t>
        </is>
      </c>
      <c r="F4517" s="3" t="inlineStr">
        <is>
          <t>DH오토웨어</t>
        </is>
      </c>
      <c r="G4517" s="2" t="inlineStr">
        <is>
          <t>20260515000683</t>
        </is>
      </c>
      <c r="H4517" s="8">
        <f>HYPERLINK("https://dart.fss.or.kr/dsaf001/main.do?rcpNo=20260515000683", "공시열람")</f>
        <v/>
      </c>
    </row>
    <row r="4518">
      <c r="A4518" s="2" t="inlineStr">
        <is>
          <t>2026-05-15</t>
        </is>
      </c>
      <c r="B4518" s="3" t="inlineStr">
        <is>
          <t>큐라티스</t>
        </is>
      </c>
      <c r="C4518" s="2" t="inlineStr">
        <is>
          <t>코스닥</t>
        </is>
      </c>
      <c r="D4518" s="2" t="inlineStr">
        <is>
          <t>348080</t>
        </is>
      </c>
      <c r="E4518" s="3" t="inlineStr">
        <is>
          <t>주주총회소집공고</t>
        </is>
      </c>
      <c r="F4518" s="3" t="inlineStr">
        <is>
          <t>큐라티스</t>
        </is>
      </c>
      <c r="G4518" s="2" t="inlineStr">
        <is>
          <t>20260515000526</t>
        </is>
      </c>
      <c r="H4518" s="8">
        <f>HYPERLINK("https://dart.fss.or.kr/dsaf001/main.do?rcpNo=20260515000526", "공시열람")</f>
        <v/>
      </c>
    </row>
    <row r="4519">
      <c r="A4519" s="2" t="inlineStr">
        <is>
          <t>2026-05-15</t>
        </is>
      </c>
      <c r="B4519" s="3" t="inlineStr">
        <is>
          <t>나노신소재</t>
        </is>
      </c>
      <c r="C4519" s="2" t="inlineStr">
        <is>
          <t>코스닥</t>
        </is>
      </c>
      <c r="D4519" s="2" t="inlineStr">
        <is>
          <t>121600</t>
        </is>
      </c>
      <c r="E4519" s="3" t="inlineStr">
        <is>
          <t>주주총회소집공고</t>
        </is>
      </c>
      <c r="F4519" s="3" t="inlineStr">
        <is>
          <t>나노신소재</t>
        </is>
      </c>
      <c r="G4519" s="2" t="inlineStr">
        <is>
          <t>20260515000129</t>
        </is>
      </c>
      <c r="H4519" s="8">
        <f>HYPERLINK("https://dart.fss.or.kr/dsaf001/main.do?rcpNo=20260515000129", "공시열람")</f>
        <v/>
      </c>
    </row>
    <row r="4520">
      <c r="A4520" s="2" t="inlineStr">
        <is>
          <t>2026-05-15 (정정: 2026-05-21)</t>
        </is>
      </c>
      <c r="B4520" s="3" t="inlineStr">
        <is>
          <t>알엔티엑스</t>
        </is>
      </c>
      <c r="C4520" s="2" t="inlineStr">
        <is>
          <t>코스닥</t>
        </is>
      </c>
      <c r="D4520" s="2" t="inlineStr">
        <is>
          <t>123010</t>
        </is>
      </c>
      <c r="E4520" s="3" t="inlineStr">
        <is>
          <t>주주총회소집공고 (정정: 20260521)</t>
        </is>
      </c>
      <c r="F4520" s="3" t="inlineStr">
        <is>
          <t>알엔티엑스</t>
        </is>
      </c>
      <c r="G4520" s="2" t="inlineStr">
        <is>
          <t>20260521000745</t>
        </is>
      </c>
      <c r="H4520" s="8">
        <f>HYPERLINK("https://dart.fss.or.kr/dsaf001/main.do?rcpNo=20260521000745", "공시열람")</f>
        <v/>
      </c>
    </row>
    <row r="4521">
      <c r="A4521" s="2" t="inlineStr">
        <is>
          <t>2026-05-18</t>
        </is>
      </c>
      <c r="B4521" s="3" t="inlineStr">
        <is>
          <t>효성중공업</t>
        </is>
      </c>
      <c r="C4521" s="2" t="inlineStr">
        <is>
          <t>코스피</t>
        </is>
      </c>
      <c r="D4521" s="2" t="inlineStr">
        <is>
          <t>298040</t>
        </is>
      </c>
      <c r="E4521" s="3" t="inlineStr">
        <is>
          <t>주주총회소집공고</t>
        </is>
      </c>
      <c r="F4521" s="3" t="inlineStr">
        <is>
          <t>효성중공업</t>
        </is>
      </c>
      <c r="G4521" s="2" t="inlineStr">
        <is>
          <t>20260518000325</t>
        </is>
      </c>
      <c r="H4521" s="8">
        <f>HYPERLINK("https://dart.fss.or.kr/dsaf001/main.do?rcpNo=20260518000325", "공시열람")</f>
        <v/>
      </c>
    </row>
    <row r="4522">
      <c r="A4522" s="2" t="inlineStr">
        <is>
          <t>2026-05-18</t>
        </is>
      </c>
      <c r="B4522" s="3" t="inlineStr">
        <is>
          <t>코리아나</t>
        </is>
      </c>
      <c r="C4522" s="2" t="inlineStr">
        <is>
          <t>코스닥</t>
        </is>
      </c>
      <c r="D4522" s="2" t="inlineStr">
        <is>
          <t>027050</t>
        </is>
      </c>
      <c r="E4522" s="3" t="inlineStr">
        <is>
          <t>주주총회소집공고</t>
        </is>
      </c>
      <c r="F4522" s="3" t="inlineStr">
        <is>
          <t>코리아나</t>
        </is>
      </c>
      <c r="G4522" s="2" t="inlineStr">
        <is>
          <t>20260518000103</t>
        </is>
      </c>
      <c r="H4522" s="8">
        <f>HYPERLINK("https://dart.fss.or.kr/dsaf001/main.do?rcpNo=20260518000103", "공시열람")</f>
        <v/>
      </c>
    </row>
    <row r="4523">
      <c r="A4523" s="2" t="inlineStr">
        <is>
          <t>2026-05-19</t>
        </is>
      </c>
      <c r="B4523" s="3" t="inlineStr">
        <is>
          <t>쏘카</t>
        </is>
      </c>
      <c r="C4523" s="2" t="inlineStr">
        <is>
          <t>코스피</t>
        </is>
      </c>
      <c r="D4523" s="2" t="inlineStr">
        <is>
          <t>403550</t>
        </is>
      </c>
      <c r="E4523" s="3" t="inlineStr">
        <is>
          <t>주주총회소집공고</t>
        </is>
      </c>
      <c r="F4523" s="3" t="inlineStr">
        <is>
          <t>쏘카</t>
        </is>
      </c>
      <c r="G4523" s="2" t="inlineStr">
        <is>
          <t>20260519000234</t>
        </is>
      </c>
      <c r="H4523" s="8">
        <f>HYPERLINK("https://dart.fss.or.kr/dsaf001/main.do?rcpNo=20260519000234", "공시열람")</f>
        <v/>
      </c>
    </row>
    <row r="4524">
      <c r="A4524" s="2" t="inlineStr">
        <is>
          <t>2026-05-19</t>
        </is>
      </c>
      <c r="B4524" s="3" t="inlineStr">
        <is>
          <t>KNN</t>
        </is>
      </c>
      <c r="C4524" s="2" t="inlineStr">
        <is>
          <t>코스닥</t>
        </is>
      </c>
      <c r="D4524" s="2" t="inlineStr">
        <is>
          <t>058400</t>
        </is>
      </c>
      <c r="E4524" s="3" t="inlineStr">
        <is>
          <t>주주총회소집공고</t>
        </is>
      </c>
      <c r="F4524" s="3" t="inlineStr">
        <is>
          <t>KNN</t>
        </is>
      </c>
      <c r="G4524" s="2" t="inlineStr">
        <is>
          <t>20260519000121</t>
        </is>
      </c>
      <c r="H4524" s="8">
        <f>HYPERLINK("https://dart.fss.or.kr/dsaf001/main.do?rcpNo=20260519000121", "공시열람")</f>
        <v/>
      </c>
    </row>
    <row r="4525">
      <c r="A4525" s="2" t="inlineStr">
        <is>
          <t>2026-05-19</t>
        </is>
      </c>
      <c r="B4525" s="3" t="inlineStr">
        <is>
          <t>웨이브일렉트로</t>
        </is>
      </c>
      <c r="C4525" s="2" t="inlineStr">
        <is>
          <t>코스닥</t>
        </is>
      </c>
      <c r="D4525" s="2" t="inlineStr">
        <is>
          <t>095270</t>
        </is>
      </c>
      <c r="E4525" s="3" t="inlineStr">
        <is>
          <t>주주총회소집공고</t>
        </is>
      </c>
      <c r="F4525" s="3" t="inlineStr">
        <is>
          <t>웨이브일렉트로</t>
        </is>
      </c>
      <c r="G4525" s="2" t="inlineStr">
        <is>
          <t>20260519000083</t>
        </is>
      </c>
      <c r="H4525" s="8">
        <f>HYPERLINK("https://dart.fss.or.kr/dsaf001/main.do?rcpNo=20260519000083", "공시열람")</f>
        <v/>
      </c>
    </row>
    <row r="4526">
      <c r="A4526" s="2" t="inlineStr">
        <is>
          <t>2026-05-19</t>
        </is>
      </c>
      <c r="B4526" s="3" t="inlineStr">
        <is>
          <t>세코닉스</t>
        </is>
      </c>
      <c r="C4526" s="2" t="inlineStr">
        <is>
          <t>코스닥</t>
        </is>
      </c>
      <c r="D4526" s="2" t="inlineStr">
        <is>
          <t>053450</t>
        </is>
      </c>
      <c r="E4526" s="3" t="inlineStr">
        <is>
          <t>주주총회소집공고</t>
        </is>
      </c>
      <c r="F4526" s="3" t="inlineStr">
        <is>
          <t>세코닉스</t>
        </is>
      </c>
      <c r="G4526" s="2" t="inlineStr">
        <is>
          <t>20260519000060</t>
        </is>
      </c>
      <c r="H4526" s="8">
        <f>HYPERLINK("https://dart.fss.or.kr/dsaf001/main.do?rcpNo=20260519000060", "공시열람")</f>
        <v/>
      </c>
    </row>
    <row r="4527">
      <c r="A4527" s="2" t="inlineStr">
        <is>
          <t>2026-05-20</t>
        </is>
      </c>
      <c r="B4527" s="3" t="inlineStr">
        <is>
          <t>웨이버스</t>
        </is>
      </c>
      <c r="C4527" s="2" t="inlineStr">
        <is>
          <t>코스닥</t>
        </is>
      </c>
      <c r="D4527" s="2" t="inlineStr">
        <is>
          <t>336060</t>
        </is>
      </c>
      <c r="E4527" s="3" t="inlineStr">
        <is>
          <t>주주총회소집결의              (임시주주총회)</t>
        </is>
      </c>
      <c r="F4527" s="3" t="inlineStr">
        <is>
          <t>웨이버스</t>
        </is>
      </c>
      <c r="G4527" s="2" t="inlineStr">
        <is>
          <t>20260520900752</t>
        </is>
      </c>
      <c r="H4527" s="8">
        <f>HYPERLINK("https://dart.fss.or.kr/dsaf001/main.do?rcpNo=20260520900752", "공시열람")</f>
        <v/>
      </c>
    </row>
    <row r="4528">
      <c r="A4528" s="2" t="inlineStr">
        <is>
          <t>2026-05-20</t>
        </is>
      </c>
      <c r="B4528" s="3" t="inlineStr">
        <is>
          <t>판타지오</t>
        </is>
      </c>
      <c r="C4528" s="2" t="inlineStr">
        <is>
          <t>코스닥</t>
        </is>
      </c>
      <c r="D4528" s="2" t="inlineStr">
        <is>
          <t>032800</t>
        </is>
      </c>
      <c r="E4528" s="3" t="inlineStr">
        <is>
          <t xml:space="preserve">최대주주변경              </t>
        </is>
      </c>
      <c r="F4528" s="3" t="inlineStr">
        <is>
          <t>판타지오</t>
        </is>
      </c>
      <c r="G4528" s="2" t="inlineStr">
        <is>
          <t>20260520900686</t>
        </is>
      </c>
      <c r="H4528" s="8">
        <f>HYPERLINK("https://dart.fss.or.kr/dsaf001/main.do?rcpNo=20260520900686", "공시열람")</f>
        <v/>
      </c>
    </row>
    <row r="4529">
      <c r="A4529" s="2" t="inlineStr">
        <is>
          <t>2026-05-20</t>
        </is>
      </c>
      <c r="B4529" s="3" t="inlineStr">
        <is>
          <t>와이랩</t>
        </is>
      </c>
      <c r="C4529" s="2" t="inlineStr">
        <is>
          <t>코스닥</t>
        </is>
      </c>
      <c r="D4529" s="2" t="inlineStr">
        <is>
          <t>432430</t>
        </is>
      </c>
      <c r="E4529" s="3" t="inlineStr">
        <is>
          <t>주주총회소집결의              (임시주주총회)</t>
        </is>
      </c>
      <c r="F4529" s="3" t="inlineStr">
        <is>
          <t>와이랩</t>
        </is>
      </c>
      <c r="G4529" s="2" t="inlineStr">
        <is>
          <t>20260520900707</t>
        </is>
      </c>
      <c r="H4529" s="8">
        <f>HYPERLINK("https://dart.fss.or.kr/dsaf001/main.do?rcpNo=20260520900707", "공시열람")</f>
        <v/>
      </c>
    </row>
    <row r="4530">
      <c r="A4530" s="2" t="inlineStr">
        <is>
          <t>2026-05-20</t>
        </is>
      </c>
      <c r="B4530" s="3" t="inlineStr">
        <is>
          <t>감성코퍼레이션</t>
        </is>
      </c>
      <c r="C4530" s="2" t="inlineStr">
        <is>
          <t>코스닥</t>
        </is>
      </c>
      <c r="D4530" s="2" t="inlineStr">
        <is>
          <t>036620</t>
        </is>
      </c>
      <c r="E4530" s="3" t="inlineStr">
        <is>
          <t>주주총회소집공고</t>
        </is>
      </c>
      <c r="F4530" s="3" t="inlineStr">
        <is>
          <t>감성코퍼레이션</t>
        </is>
      </c>
      <c r="G4530" s="2" t="inlineStr">
        <is>
          <t>20260520000335</t>
        </is>
      </c>
      <c r="H4530" s="8">
        <f>HYPERLINK("https://dart.fss.or.kr/dsaf001/main.do?rcpNo=20260520000335", "공시열람")</f>
        <v/>
      </c>
    </row>
    <row r="4531">
      <c r="A4531" s="2" t="inlineStr">
        <is>
          <t>2026-05-20</t>
        </is>
      </c>
      <c r="B4531" s="3" t="inlineStr">
        <is>
          <t>핸즈코퍼레이션</t>
        </is>
      </c>
      <c r="C4531" s="2" t="inlineStr">
        <is>
          <t>코스피</t>
        </is>
      </c>
      <c r="D4531" s="2" t="inlineStr">
        <is>
          <t>143210</t>
        </is>
      </c>
      <c r="E4531" s="3" t="inlineStr">
        <is>
          <t>주주총회소집공고</t>
        </is>
      </c>
      <c r="F4531" s="3" t="inlineStr">
        <is>
          <t>핸즈코퍼레이션</t>
        </is>
      </c>
      <c r="G4531" s="2" t="inlineStr">
        <is>
          <t>20260520000332</t>
        </is>
      </c>
      <c r="H4531" s="8">
        <f>HYPERLINK("https://dart.fss.or.kr/dsaf001/main.do?rcpNo=20260520000332", "공시열람")</f>
        <v/>
      </c>
    </row>
    <row r="4532">
      <c r="A4532" s="2" t="inlineStr">
        <is>
          <t>2026-05-20 (정정: 2026-06-09)</t>
        </is>
      </c>
      <c r="B4532" s="3" t="inlineStr">
        <is>
          <t>테라사이언스</t>
        </is>
      </c>
      <c r="C4532" s="2" t="inlineStr">
        <is>
          <t>코스닥</t>
        </is>
      </c>
      <c r="D4532" s="2" t="inlineStr">
        <is>
          <t>073640</t>
        </is>
      </c>
      <c r="E4532" s="3" t="inlineStr">
        <is>
          <t>[기재정정]주주총회소집결의               (정정: 20260520) (정정: 20260529) (정정: 20260529) (정정: 20260609) (정정: 20260609) (정정: 20260609)</t>
        </is>
      </c>
      <c r="F4532" s="3" t="inlineStr">
        <is>
          <t>테라사이언스</t>
        </is>
      </c>
      <c r="G4532" s="2" t="inlineStr">
        <is>
          <t>20260609000449</t>
        </is>
      </c>
      <c r="H4532" s="8">
        <f>HYPERLINK("https://dart.fss.or.kr/dsaf001/main.do?rcpNo=20260609000449", "공시열람")</f>
        <v/>
      </c>
    </row>
    <row r="4533">
      <c r="A4533" s="2" t="inlineStr">
        <is>
          <t>2026-05-20 (정정: 2026-05-20)</t>
        </is>
      </c>
      <c r="B4533" s="3" t="inlineStr">
        <is>
          <t>에이비프로바이오</t>
        </is>
      </c>
      <c r="C4533" s="2" t="inlineStr">
        <is>
          <t>코스닥</t>
        </is>
      </c>
      <c r="D4533" s="2" t="inlineStr">
        <is>
          <t>195990</t>
        </is>
      </c>
      <c r="E4533" s="3" t="inlineStr">
        <is>
          <t>주주총회소집공고 (정정: 20260520)</t>
        </is>
      </c>
      <c r="F4533" s="3" t="inlineStr">
        <is>
          <t>에이비프로바이오</t>
        </is>
      </c>
      <c r="G4533" s="2" t="inlineStr">
        <is>
          <t>20260520900514</t>
        </is>
      </c>
      <c r="H4533" s="8">
        <f>HYPERLINK("https://dart.fss.or.kr/dsaf001/main.do?rcpNo=20260520900514", "공시열람")</f>
        <v/>
      </c>
    </row>
    <row r="4534">
      <c r="A4534" s="2" t="inlineStr">
        <is>
          <t>2026-05-20</t>
        </is>
      </c>
      <c r="B4534" s="3" t="inlineStr">
        <is>
          <t>성창기업지주</t>
        </is>
      </c>
      <c r="C4534" s="2" t="inlineStr">
        <is>
          <t>코스피</t>
        </is>
      </c>
      <c r="D4534" s="2" t="inlineStr">
        <is>
          <t>000180</t>
        </is>
      </c>
      <c r="E4534" s="3" t="inlineStr">
        <is>
          <t>주요사항보고서(회사합병결정)</t>
        </is>
      </c>
      <c r="F4534" s="3" t="inlineStr">
        <is>
          <t>성창기업지주</t>
        </is>
      </c>
      <c r="G4534" s="2" t="inlineStr">
        <is>
          <t>20260520000274</t>
        </is>
      </c>
      <c r="H4534" s="8">
        <f>HYPERLINK("https://dart.fss.or.kr/dsaf001/main.do?rcpNo=20260520000274", "공시열람")</f>
        <v/>
      </c>
    </row>
    <row r="4535">
      <c r="A4535" s="2" t="inlineStr">
        <is>
          <t>2026-05-20</t>
        </is>
      </c>
      <c r="B4535" s="3" t="inlineStr">
        <is>
          <t>미스터블루</t>
        </is>
      </c>
      <c r="C4535" s="2" t="inlineStr">
        <is>
          <t>코스닥</t>
        </is>
      </c>
      <c r="D4535" s="2" t="inlineStr">
        <is>
          <t>207760</t>
        </is>
      </c>
      <c r="E4535" s="3" t="inlineStr">
        <is>
          <t>주주총회소집결의              (임시주주총회)</t>
        </is>
      </c>
      <c r="F4535" s="3" t="inlineStr">
        <is>
          <t>미스터블루</t>
        </is>
      </c>
      <c r="G4535" s="2" t="inlineStr">
        <is>
          <t>20260520900475</t>
        </is>
      </c>
      <c r="H4535" s="8">
        <f>HYPERLINK("https://dart.fss.or.kr/dsaf001/main.do?rcpNo=20260520900475", "공시열람")</f>
        <v/>
      </c>
    </row>
    <row r="4536">
      <c r="A4536" s="2" t="inlineStr">
        <is>
          <t>2026-05-20</t>
        </is>
      </c>
      <c r="B4536" s="3" t="inlineStr">
        <is>
          <t>디젠스</t>
        </is>
      </c>
      <c r="C4536" s="2" t="inlineStr">
        <is>
          <t>코스닥</t>
        </is>
      </c>
      <c r="D4536" s="2" t="inlineStr">
        <is>
          <t>113810</t>
        </is>
      </c>
      <c r="E4536" s="3" t="inlineStr">
        <is>
          <t>주주총회소집공고</t>
        </is>
      </c>
      <c r="F4536" s="3" t="inlineStr">
        <is>
          <t>디젠스</t>
        </is>
      </c>
      <c r="G4536" s="2" t="inlineStr">
        <is>
          <t>20260520000266</t>
        </is>
      </c>
      <c r="H4536" s="8">
        <f>HYPERLINK("https://dart.fss.or.kr/dsaf001/main.do?rcpNo=20260520000266", "공시열람")</f>
        <v/>
      </c>
    </row>
    <row r="4537">
      <c r="A4537" s="2" t="inlineStr">
        <is>
          <t>2026-05-20</t>
        </is>
      </c>
      <c r="B4537" s="3" t="inlineStr">
        <is>
          <t>레인보우로보틱스</t>
        </is>
      </c>
      <c r="C4537" s="2" t="inlineStr">
        <is>
          <t>코스닥</t>
        </is>
      </c>
      <c r="D4537" s="2" t="inlineStr">
        <is>
          <t>277810</t>
        </is>
      </c>
      <c r="E4537" s="3" t="inlineStr">
        <is>
          <t>주주총회소집결의              (임시주주총회)</t>
        </is>
      </c>
      <c r="F4537" s="3" t="inlineStr">
        <is>
          <t>레인보우로보틱스</t>
        </is>
      </c>
      <c r="G4537" s="2" t="inlineStr">
        <is>
          <t>20260520900451</t>
        </is>
      </c>
      <c r="H4537" s="8">
        <f>HYPERLINK("https://dart.fss.or.kr/dsaf001/main.do?rcpNo=20260520900451", "공시열람")</f>
        <v/>
      </c>
    </row>
    <row r="4538">
      <c r="A4538" s="2" t="inlineStr">
        <is>
          <t>2026-05-20</t>
        </is>
      </c>
      <c r="B4538" s="3" t="inlineStr">
        <is>
          <t>빛과전자</t>
        </is>
      </c>
      <c r="C4538" s="2" t="inlineStr">
        <is>
          <t>코스닥</t>
        </is>
      </c>
      <c r="D4538" s="2" t="inlineStr">
        <is>
          <t>069540</t>
        </is>
      </c>
      <c r="E4538" s="3" t="inlineStr">
        <is>
          <t>주요사항보고서(회사합병결정)</t>
        </is>
      </c>
      <c r="F4538" s="3" t="inlineStr">
        <is>
          <t>빛과전자</t>
        </is>
      </c>
      <c r="G4538" s="2" t="inlineStr">
        <is>
          <t>20260520000246</t>
        </is>
      </c>
      <c r="H4538" s="8">
        <f>HYPERLINK("https://dart.fss.or.kr/dsaf001/main.do?rcpNo=20260520000246", "공시열람")</f>
        <v/>
      </c>
    </row>
    <row r="4539">
      <c r="A4539" s="2" t="inlineStr">
        <is>
          <t>2026-05-20</t>
        </is>
      </c>
      <c r="B4539" s="3" t="inlineStr">
        <is>
          <t>DKME</t>
        </is>
      </c>
      <c r="C4539" s="2" t="inlineStr">
        <is>
          <t>코스피</t>
        </is>
      </c>
      <c r="D4539" s="2" t="inlineStr">
        <is>
          <t>015590</t>
        </is>
      </c>
      <c r="E4539" s="3" t="inlineStr">
        <is>
          <t xml:space="preserve">최대주주변경              </t>
        </is>
      </c>
      <c r="F4539" s="3" t="inlineStr">
        <is>
          <t>DKME</t>
        </is>
      </c>
      <c r="G4539" s="2" t="inlineStr">
        <is>
          <t>20260520800418</t>
        </is>
      </c>
      <c r="H4539" s="8">
        <f>HYPERLINK("https://dart.fss.or.kr/dsaf001/main.do?rcpNo=20260520800418", "공시열람")</f>
        <v/>
      </c>
    </row>
    <row r="4540">
      <c r="A4540" s="2" t="inlineStr">
        <is>
          <t>2026-05-20 (정정: 2026-05-21)</t>
        </is>
      </c>
      <c r="B4540" s="3" t="inlineStr">
        <is>
          <t>기아</t>
        </is>
      </c>
      <c r="C4540" s="2" t="inlineStr">
        <is>
          <t>코스피</t>
        </is>
      </c>
      <c r="D4540" s="2" t="inlineStr">
        <is>
          <t>000270</t>
        </is>
      </c>
      <c r="E4540" s="3" t="inlineStr">
        <is>
          <t>주주총회소집결의               (정정: 20260521)</t>
        </is>
      </c>
      <c r="F4540" s="3" t="inlineStr">
        <is>
          <t>기아</t>
        </is>
      </c>
      <c r="G4540" s="2" t="inlineStr">
        <is>
          <t>20260521800560</t>
        </is>
      </c>
      <c r="H4540" s="8">
        <f>HYPERLINK("https://dart.fss.or.kr/dsaf001/main.do?rcpNo=20260521800560", "공시열람")</f>
        <v/>
      </c>
    </row>
    <row r="4541">
      <c r="A4541" s="2" t="inlineStr">
        <is>
          <t>2026-05-20</t>
        </is>
      </c>
      <c r="B4541" s="3" t="inlineStr">
        <is>
          <t>이엠앤아이</t>
        </is>
      </c>
      <c r="C4541" s="2" t="inlineStr">
        <is>
          <t>코스닥</t>
        </is>
      </c>
      <c r="D4541" s="2" t="inlineStr">
        <is>
          <t>083470</t>
        </is>
      </c>
      <c r="E4541" s="3" t="inlineStr">
        <is>
          <t xml:space="preserve">임시주주총회결과              </t>
        </is>
      </c>
      <c r="F4541" s="3" t="inlineStr">
        <is>
          <t>이엠앤아이</t>
        </is>
      </c>
      <c r="G4541" s="2" t="inlineStr">
        <is>
          <t>20260520900348</t>
        </is>
      </c>
      <c r="H4541" s="8">
        <f>HYPERLINK("https://dart.fss.or.kr/dsaf001/main.do?rcpNo=20260520900348", "공시열람")</f>
        <v/>
      </c>
    </row>
    <row r="4542">
      <c r="A4542" s="2" t="inlineStr">
        <is>
          <t>2026-05-20 (정정: 2026-06-04)</t>
        </is>
      </c>
      <c r="B4542" s="3" t="inlineStr">
        <is>
          <t>아우토크립트</t>
        </is>
      </c>
      <c r="C4542" s="2" t="inlineStr">
        <is>
          <t>코스닥</t>
        </is>
      </c>
      <c r="D4542" s="2" t="inlineStr">
        <is>
          <t>331740</t>
        </is>
      </c>
      <c r="E4542" s="3" t="inlineStr">
        <is>
          <t>주주총회소집공고 (정정: 20260604)</t>
        </is>
      </c>
      <c r="F4542" s="3" t="inlineStr">
        <is>
          <t>아우토크립트</t>
        </is>
      </c>
      <c r="G4542" s="2" t="inlineStr">
        <is>
          <t>20260604000439</t>
        </is>
      </c>
      <c r="H4542" s="8">
        <f>HYPERLINK("https://dart.fss.or.kr/dsaf001/main.do?rcpNo=20260604000439", "공시열람")</f>
        <v/>
      </c>
    </row>
    <row r="4543">
      <c r="A4543" s="2" t="inlineStr">
        <is>
          <t>2026-05-20</t>
        </is>
      </c>
      <c r="B4543" s="3" t="inlineStr">
        <is>
          <t>인산가</t>
        </is>
      </c>
      <c r="C4543" s="2" t="inlineStr">
        <is>
          <t>코스닥</t>
        </is>
      </c>
      <c r="D4543" s="2" t="inlineStr">
        <is>
          <t>277410</t>
        </is>
      </c>
      <c r="E4543" s="3" t="inlineStr">
        <is>
          <t xml:space="preserve">임시주주총회결과              </t>
        </is>
      </c>
      <c r="F4543" s="3" t="inlineStr">
        <is>
          <t>인산가</t>
        </is>
      </c>
      <c r="G4543" s="2" t="inlineStr">
        <is>
          <t>20260520900327</t>
        </is>
      </c>
      <c r="H4543" s="8">
        <f>HYPERLINK("https://dart.fss.or.kr/dsaf001/main.do?rcpNo=20260520900327", "공시열람")</f>
        <v/>
      </c>
    </row>
    <row r="4544">
      <c r="A4544" s="2" t="inlineStr">
        <is>
          <t>2026-05-20</t>
        </is>
      </c>
      <c r="B4544" s="3" t="inlineStr">
        <is>
          <t>그래피</t>
        </is>
      </c>
      <c r="C4544" s="2" t="inlineStr">
        <is>
          <t>코스닥</t>
        </is>
      </c>
      <c r="D4544" s="2" t="inlineStr">
        <is>
          <t>318060</t>
        </is>
      </c>
      <c r="E4544" s="3" t="inlineStr">
        <is>
          <t>주주총회소집공고</t>
        </is>
      </c>
      <c r="F4544" s="3" t="inlineStr">
        <is>
          <t>그래피</t>
        </is>
      </c>
      <c r="G4544" s="2" t="inlineStr">
        <is>
          <t>20260520000193</t>
        </is>
      </c>
      <c r="H4544" s="8">
        <f>HYPERLINK("https://dart.fss.or.kr/dsaf001/main.do?rcpNo=20260520000193", "공시열람")</f>
        <v/>
      </c>
    </row>
    <row r="4545">
      <c r="A4545" s="2" t="inlineStr">
        <is>
          <t>2026-05-20</t>
        </is>
      </c>
      <c r="B4545" s="3" t="inlineStr">
        <is>
          <t>디앤디플랫폼리츠</t>
        </is>
      </c>
      <c r="C4545" s="2" t="inlineStr">
        <is>
          <t>코스피</t>
        </is>
      </c>
      <c r="D4545" s="2" t="inlineStr">
        <is>
          <t>377190</t>
        </is>
      </c>
      <c r="E4545" s="3" t="inlineStr">
        <is>
          <t>주주총회소집공고</t>
        </is>
      </c>
      <c r="F4545" s="3" t="inlineStr">
        <is>
          <t>디앤디플랫폼리츠</t>
        </is>
      </c>
      <c r="G4545" s="2" t="inlineStr">
        <is>
          <t>20260520000155</t>
        </is>
      </c>
      <c r="H4545" s="8">
        <f>HYPERLINK("https://dart.fss.or.kr/dsaf001/main.do?rcpNo=20260520000155", "공시열람")</f>
        <v/>
      </c>
    </row>
    <row r="4546">
      <c r="A4546" s="2" t="inlineStr">
        <is>
          <t>2026-05-20</t>
        </is>
      </c>
      <c r="B4546" s="3" t="inlineStr">
        <is>
          <t>디앤디플랫폼리츠</t>
        </is>
      </c>
      <c r="C4546" s="2" t="inlineStr">
        <is>
          <t>코스피</t>
        </is>
      </c>
      <c r="D4546" s="2" t="inlineStr">
        <is>
          <t>377190</t>
        </is>
      </c>
      <c r="E4546" s="3" t="inlineStr">
        <is>
          <t xml:space="preserve">주주총회소집결의              </t>
        </is>
      </c>
      <c r="F4546" s="3" t="inlineStr">
        <is>
          <t>디앤디플랫폼리츠</t>
        </is>
      </c>
      <c r="G4546" s="2" t="inlineStr">
        <is>
          <t>20260520800209</t>
        </is>
      </c>
      <c r="H4546" s="8">
        <f>HYPERLINK("https://dart.fss.or.kr/dsaf001/main.do?rcpNo=20260520800209", "공시열람")</f>
        <v/>
      </c>
    </row>
    <row r="4547">
      <c r="A4547" s="2" t="inlineStr">
        <is>
          <t>2026-05-21</t>
        </is>
      </c>
      <c r="B4547" s="3" t="inlineStr">
        <is>
          <t>이씨에스</t>
        </is>
      </c>
      <c r="C4547" s="2" t="inlineStr">
        <is>
          <t>코스닥</t>
        </is>
      </c>
      <c r="D4547" s="2" t="inlineStr">
        <is>
          <t>067010</t>
        </is>
      </c>
      <c r="E4547" s="3" t="inlineStr">
        <is>
          <t xml:space="preserve">[기재정정]주주총회소집결의              </t>
        </is>
      </c>
      <c r="F4547" s="3" t="inlineStr">
        <is>
          <t>이씨에스</t>
        </is>
      </c>
      <c r="G4547" s="2" t="inlineStr">
        <is>
          <t>20260521900921</t>
        </is>
      </c>
      <c r="H4547" s="8">
        <f>HYPERLINK("https://dart.fss.or.kr/dsaf001/main.do?rcpNo=20260521900921", "공시열람")</f>
        <v/>
      </c>
    </row>
    <row r="4548">
      <c r="A4548" s="2" t="inlineStr">
        <is>
          <t>2026-05-21</t>
        </is>
      </c>
      <c r="B4548" s="3" t="inlineStr">
        <is>
          <t>신한글로벌액티브리츠</t>
        </is>
      </c>
      <c r="C4548" s="2" t="inlineStr">
        <is>
          <t>코스피</t>
        </is>
      </c>
      <c r="D4548" s="2" t="inlineStr">
        <is>
          <t>481850</t>
        </is>
      </c>
      <c r="E4548" s="3" t="inlineStr">
        <is>
          <t xml:space="preserve">정기주주총회결과              </t>
        </is>
      </c>
      <c r="F4548" s="3" t="inlineStr">
        <is>
          <t>신한글로벌액티브리츠</t>
        </is>
      </c>
      <c r="G4548" s="2" t="inlineStr">
        <is>
          <t>20260521800939</t>
        </is>
      </c>
      <c r="H4548" s="8">
        <f>HYPERLINK("https://dart.fss.or.kr/dsaf001/main.do?rcpNo=20260521800939", "공시열람")</f>
        <v/>
      </c>
    </row>
    <row r="4549">
      <c r="A4549" s="2" t="inlineStr">
        <is>
          <t>2026-05-21</t>
        </is>
      </c>
      <c r="B4549" s="3" t="inlineStr">
        <is>
          <t>세기상사</t>
        </is>
      </c>
      <c r="C4549" s="2" t="inlineStr">
        <is>
          <t>코스피</t>
        </is>
      </c>
      <c r="D4549" s="2" t="inlineStr">
        <is>
          <t>002420</t>
        </is>
      </c>
      <c r="E4549" s="3" t="inlineStr">
        <is>
          <t xml:space="preserve">주주총회소집결의              </t>
        </is>
      </c>
      <c r="F4549" s="3" t="inlineStr">
        <is>
          <t>세기상사</t>
        </is>
      </c>
      <c r="G4549" s="2" t="inlineStr">
        <is>
          <t>20260521800945</t>
        </is>
      </c>
      <c r="H4549" s="8">
        <f>HYPERLINK("https://dart.fss.or.kr/dsaf001/main.do?rcpNo=20260521800945", "공시열람")</f>
        <v/>
      </c>
    </row>
    <row r="4550">
      <c r="A4550" s="2" t="inlineStr">
        <is>
          <t>2026-05-21</t>
        </is>
      </c>
      <c r="B4550" s="3" t="inlineStr">
        <is>
          <t>빛과전자</t>
        </is>
      </c>
      <c r="C4550" s="2" t="inlineStr">
        <is>
          <t>코스닥</t>
        </is>
      </c>
      <c r="D4550" s="2" t="inlineStr">
        <is>
          <t>069540</t>
        </is>
      </c>
      <c r="E4550" s="3" t="inlineStr">
        <is>
          <t>[첨부정정]주요사항보고서(회사합병결정)</t>
        </is>
      </c>
      <c r="F4550" s="3" t="inlineStr">
        <is>
          <t>빛과전자</t>
        </is>
      </c>
      <c r="G4550" s="2" t="inlineStr">
        <is>
          <t>20260521000732</t>
        </is>
      </c>
      <c r="H4550" s="8">
        <f>HYPERLINK("https://dart.fss.or.kr/dsaf001/main.do?rcpNo=20260521000732", "공시열람")</f>
        <v/>
      </c>
    </row>
    <row r="4551">
      <c r="A4551" s="2" t="inlineStr">
        <is>
          <t>2026-05-21</t>
        </is>
      </c>
      <c r="B4551" s="3" t="inlineStr">
        <is>
          <t>기신정기</t>
        </is>
      </c>
      <c r="C4551" s="2" t="inlineStr">
        <is>
          <t>코스피</t>
        </is>
      </c>
      <c r="D4551" s="2" t="inlineStr">
        <is>
          <t>092440</t>
        </is>
      </c>
      <c r="E4551" s="3" t="inlineStr">
        <is>
          <t xml:space="preserve">주주총회소집결의              </t>
        </is>
      </c>
      <c r="F4551" s="3" t="inlineStr">
        <is>
          <t>기신정기</t>
        </is>
      </c>
      <c r="G4551" s="2" t="inlineStr">
        <is>
          <t>20260521800912</t>
        </is>
      </c>
      <c r="H4551" s="8">
        <f>HYPERLINK("https://dart.fss.or.kr/dsaf001/main.do?rcpNo=20260521800912", "공시열람")</f>
        <v/>
      </c>
    </row>
    <row r="4552">
      <c r="A4552" s="2" t="inlineStr">
        <is>
          <t>2026-05-21</t>
        </is>
      </c>
      <c r="B4552" s="3" t="inlineStr">
        <is>
          <t>SJG세종</t>
        </is>
      </c>
      <c r="C4552" s="2" t="inlineStr">
        <is>
          <t>코스피</t>
        </is>
      </c>
      <c r="D4552" s="2" t="inlineStr">
        <is>
          <t>033530</t>
        </is>
      </c>
      <c r="E4552" s="3" t="inlineStr">
        <is>
          <t xml:space="preserve">주주총회소집결의              </t>
        </is>
      </c>
      <c r="F4552" s="3" t="inlineStr">
        <is>
          <t>SJG세종</t>
        </is>
      </c>
      <c r="G4552" s="2" t="inlineStr">
        <is>
          <t>20260521800880</t>
        </is>
      </c>
      <c r="H4552" s="8">
        <f>HYPERLINK("https://dart.fss.or.kr/dsaf001/main.do?rcpNo=20260521800880", "공시열람")</f>
        <v/>
      </c>
    </row>
    <row r="4553">
      <c r="A4553" s="2" t="inlineStr">
        <is>
          <t>2026-05-21</t>
        </is>
      </c>
      <c r="B4553" s="3" t="inlineStr">
        <is>
          <t>서울전자통신</t>
        </is>
      </c>
      <c r="C4553" s="2" t="inlineStr">
        <is>
          <t>코스닥</t>
        </is>
      </c>
      <c r="D4553" s="2" t="inlineStr">
        <is>
          <t>027040</t>
        </is>
      </c>
      <c r="E4553" s="3" t="inlineStr">
        <is>
          <t>주주총회소집결의              (임시주주총회)</t>
        </is>
      </c>
      <c r="F4553" s="3" t="inlineStr">
        <is>
          <t>서울전자통신</t>
        </is>
      </c>
      <c r="G4553" s="2" t="inlineStr">
        <is>
          <t>20260521900809</t>
        </is>
      </c>
      <c r="H4553" s="8">
        <f>HYPERLINK("https://dart.fss.or.kr/dsaf001/main.do?rcpNo=20260521900809", "공시열람")</f>
        <v/>
      </c>
    </row>
    <row r="4554">
      <c r="A4554" s="2" t="inlineStr">
        <is>
          <t>2026-05-21</t>
        </is>
      </c>
      <c r="B4554" s="3" t="inlineStr">
        <is>
          <t>세기상사</t>
        </is>
      </c>
      <c r="C4554" s="2" t="inlineStr">
        <is>
          <t>코스피</t>
        </is>
      </c>
      <c r="D4554" s="2" t="inlineStr">
        <is>
          <t>002420</t>
        </is>
      </c>
      <c r="E4554" s="3" t="inlineStr">
        <is>
          <t>주요사항보고서(회사합병결정)</t>
        </is>
      </c>
      <c r="F4554" s="3" t="inlineStr">
        <is>
          <t>세기상사</t>
        </is>
      </c>
      <c r="G4554" s="2" t="inlineStr">
        <is>
          <t>20260521000642</t>
        </is>
      </c>
      <c r="H4554" s="8">
        <f>HYPERLINK("https://dart.fss.or.kr/dsaf001/main.do?rcpNo=20260521000642", "공시열람")</f>
        <v/>
      </c>
    </row>
    <row r="4555">
      <c r="A4555" s="2" t="inlineStr">
        <is>
          <t>2026-05-21</t>
        </is>
      </c>
      <c r="B4555" s="3" t="inlineStr">
        <is>
          <t>서울전자통신</t>
        </is>
      </c>
      <c r="C4555" s="2" t="inlineStr">
        <is>
          <t>코스닥</t>
        </is>
      </c>
      <c r="D4555" s="2" t="inlineStr">
        <is>
          <t>027040</t>
        </is>
      </c>
      <c r="E4555" s="3" t="inlineStr">
        <is>
          <t xml:space="preserve">최대주주변경을수반하는주식양수도계약체결              </t>
        </is>
      </c>
      <c r="F4555" s="3" t="inlineStr">
        <is>
          <t>서울전자통신</t>
        </is>
      </c>
      <c r="G4555" s="2" t="inlineStr">
        <is>
          <t>20260521900803</t>
        </is>
      </c>
      <c r="H4555" s="8">
        <f>HYPERLINK("https://dart.fss.or.kr/dsaf001/main.do?rcpNo=20260521900803", "공시열람")</f>
        <v/>
      </c>
    </row>
    <row r="4556">
      <c r="A4556" s="2" t="inlineStr">
        <is>
          <t>2026-05-21</t>
        </is>
      </c>
      <c r="B4556" s="3" t="inlineStr">
        <is>
          <t>핑거</t>
        </is>
      </c>
      <c r="C4556" s="2" t="inlineStr">
        <is>
          <t>코스닥</t>
        </is>
      </c>
      <c r="D4556" s="2" t="inlineStr">
        <is>
          <t>163730</t>
        </is>
      </c>
      <c r="E4556" s="3" t="inlineStr">
        <is>
          <t xml:space="preserve">최대주주변경              </t>
        </is>
      </c>
      <c r="F4556" s="3" t="inlineStr">
        <is>
          <t>핑거</t>
        </is>
      </c>
      <c r="G4556" s="2" t="inlineStr">
        <is>
          <t>20260521900719</t>
        </is>
      </c>
      <c r="H4556" s="8">
        <f>HYPERLINK("https://dart.fss.or.kr/dsaf001/main.do?rcpNo=20260521900719", "공시열람")</f>
        <v/>
      </c>
    </row>
    <row r="4557">
      <c r="A4557" s="2" t="inlineStr">
        <is>
          <t>2026-05-21</t>
        </is>
      </c>
      <c r="B4557" s="3" t="inlineStr">
        <is>
          <t>이렘</t>
        </is>
      </c>
      <c r="C4557" s="2" t="inlineStr">
        <is>
          <t>코스닥</t>
        </is>
      </c>
      <c r="D4557" s="2" t="inlineStr">
        <is>
          <t>009730</t>
        </is>
      </c>
      <c r="E4557" s="3" t="inlineStr">
        <is>
          <t>주주총회소집공고</t>
        </is>
      </c>
      <c r="F4557" s="3" t="inlineStr">
        <is>
          <t>이렘</t>
        </is>
      </c>
      <c r="G4557" s="2" t="inlineStr">
        <is>
          <t>20260521000675</t>
        </is>
      </c>
      <c r="H4557" s="8">
        <f>HYPERLINK("https://dart.fss.or.kr/dsaf001/main.do?rcpNo=20260521000675", "공시열람")</f>
        <v/>
      </c>
    </row>
    <row r="4558">
      <c r="A4558" s="2" t="inlineStr">
        <is>
          <t>2026-05-21 (정정: 2026-05-22)</t>
        </is>
      </c>
      <c r="B4558" s="3" t="inlineStr">
        <is>
          <t>한국전력공사</t>
        </is>
      </c>
      <c r="C4558" s="2" t="inlineStr">
        <is>
          <t>코스피</t>
        </is>
      </c>
      <c r="D4558" s="2" t="inlineStr">
        <is>
          <t>015760</t>
        </is>
      </c>
      <c r="E4558" s="3" t="inlineStr">
        <is>
          <t>임시주주총회결과               (정정: 20260522)</t>
        </is>
      </c>
      <c r="F4558" s="3" t="inlineStr">
        <is>
          <t>한국전력공사</t>
        </is>
      </c>
      <c r="G4558" s="2" t="inlineStr">
        <is>
          <t>20260522800906</t>
        </is>
      </c>
      <c r="H4558" s="8">
        <f>HYPERLINK("https://dart.fss.or.kr/dsaf001/main.do?rcpNo=20260522800906", "공시열람")</f>
        <v/>
      </c>
    </row>
    <row r="4559">
      <c r="A4559" s="2" t="inlineStr">
        <is>
          <t>2026-05-21</t>
        </is>
      </c>
      <c r="B4559" s="3" t="inlineStr">
        <is>
          <t>오아</t>
        </is>
      </c>
      <c r="C4559" s="2" t="inlineStr">
        <is>
          <t>코스닥</t>
        </is>
      </c>
      <c r="D4559" s="2" t="inlineStr">
        <is>
          <t>342870</t>
        </is>
      </c>
      <c r="E4559" s="3" t="inlineStr">
        <is>
          <t>주주총회소집공고</t>
        </is>
      </c>
      <c r="F4559" s="3" t="inlineStr">
        <is>
          <t>오아</t>
        </is>
      </c>
      <c r="G4559" s="2" t="inlineStr">
        <is>
          <t>20260521000601</t>
        </is>
      </c>
      <c r="H4559" s="8">
        <f>HYPERLINK("https://dart.fss.or.kr/dsaf001/main.do?rcpNo=20260521000601", "공시열람")</f>
        <v/>
      </c>
    </row>
    <row r="4560">
      <c r="A4560" s="2" t="inlineStr">
        <is>
          <t>2026-05-21</t>
        </is>
      </c>
      <c r="B4560" s="3" t="inlineStr">
        <is>
          <t>엑시큐어하이트론</t>
        </is>
      </c>
      <c r="C4560" s="2" t="inlineStr">
        <is>
          <t>코스피</t>
        </is>
      </c>
      <c r="D4560" s="2" t="inlineStr">
        <is>
          <t>019490</t>
        </is>
      </c>
      <c r="E4560" s="3" t="inlineStr">
        <is>
          <t xml:space="preserve">임시주주총회결과              </t>
        </is>
      </c>
      <c r="F4560" s="3" t="inlineStr">
        <is>
          <t>엑시큐어하이트론</t>
        </is>
      </c>
      <c r="G4560" s="2" t="inlineStr">
        <is>
          <t>20260521800722</t>
        </is>
      </c>
      <c r="H4560" s="8">
        <f>HYPERLINK("https://dart.fss.or.kr/dsaf001/main.do?rcpNo=20260521800722", "공시열람")</f>
        <v/>
      </c>
    </row>
    <row r="4561">
      <c r="A4561" s="2" t="inlineStr">
        <is>
          <t>2026-05-21</t>
        </is>
      </c>
      <c r="B4561" s="3" t="inlineStr">
        <is>
          <t>디와이에이</t>
        </is>
      </c>
      <c r="C4561" s="2" t="inlineStr">
        <is>
          <t>코스피</t>
        </is>
      </c>
      <c r="D4561" s="2" t="inlineStr">
        <is>
          <t>002880</t>
        </is>
      </c>
      <c r="E4561" s="3" t="inlineStr">
        <is>
          <t xml:space="preserve">주주총회소집결의              </t>
        </is>
      </c>
      <c r="F4561" s="3" t="inlineStr">
        <is>
          <t>디와이에이</t>
        </is>
      </c>
      <c r="G4561" s="2" t="inlineStr">
        <is>
          <t>20260521800638</t>
        </is>
      </c>
      <c r="H4561" s="8">
        <f>HYPERLINK("https://dart.fss.or.kr/dsaf001/main.do?rcpNo=20260521800638", "공시열람")</f>
        <v/>
      </c>
    </row>
    <row r="4562">
      <c r="A4562" s="2" t="inlineStr">
        <is>
          <t>2026-05-21</t>
        </is>
      </c>
      <c r="B4562" s="3" t="inlineStr">
        <is>
          <t>압타머사이언스</t>
        </is>
      </c>
      <c r="C4562" s="2" t="inlineStr">
        <is>
          <t>코스닥</t>
        </is>
      </c>
      <c r="D4562" s="2" t="inlineStr">
        <is>
          <t>291650</t>
        </is>
      </c>
      <c r="E4562" s="3" t="inlineStr">
        <is>
          <t>주주총회소집결의              (임시주주총회)</t>
        </is>
      </c>
      <c r="F4562" s="3" t="inlineStr">
        <is>
          <t>압타머사이언스</t>
        </is>
      </c>
      <c r="G4562" s="2" t="inlineStr">
        <is>
          <t>20260521900697</t>
        </is>
      </c>
      <c r="H4562" s="8">
        <f>HYPERLINK("https://dart.fss.or.kr/dsaf001/main.do?rcpNo=20260521900697", "공시열람")</f>
        <v/>
      </c>
    </row>
    <row r="4563">
      <c r="A4563" s="2" t="inlineStr">
        <is>
          <t>2026-05-21</t>
        </is>
      </c>
      <c r="B4563" s="3" t="inlineStr">
        <is>
          <t>HB솔루션</t>
        </is>
      </c>
      <c r="C4563" s="2" t="inlineStr">
        <is>
          <t>코스닥</t>
        </is>
      </c>
      <c r="D4563" s="2" t="inlineStr">
        <is>
          <t>297890</t>
        </is>
      </c>
      <c r="E4563" s="3" t="inlineStr">
        <is>
          <t>주주총회소집결의              (임시주주총회)</t>
        </is>
      </c>
      <c r="F4563" s="3" t="inlineStr">
        <is>
          <t>HB솔루션</t>
        </is>
      </c>
      <c r="G4563" s="2" t="inlineStr">
        <is>
          <t>20260521900661</t>
        </is>
      </c>
      <c r="H4563" s="8">
        <f>HYPERLINK("https://dart.fss.or.kr/dsaf001/main.do?rcpNo=20260521900661", "공시열람")</f>
        <v/>
      </c>
    </row>
    <row r="4564">
      <c r="A4564" s="2" t="inlineStr">
        <is>
          <t>2026-05-21</t>
        </is>
      </c>
      <c r="B4564" s="3" t="inlineStr">
        <is>
          <t>한전산업</t>
        </is>
      </c>
      <c r="C4564" s="2" t="inlineStr">
        <is>
          <t>코스피</t>
        </is>
      </c>
      <c r="D4564" s="2" t="inlineStr">
        <is>
          <t>130660</t>
        </is>
      </c>
      <c r="E4564" s="3" t="inlineStr">
        <is>
          <t xml:space="preserve">주주총회소집결의              </t>
        </is>
      </c>
      <c r="F4564" s="3" t="inlineStr">
        <is>
          <t>한전산업</t>
        </is>
      </c>
      <c r="G4564" s="2" t="inlineStr">
        <is>
          <t>20260521800654</t>
        </is>
      </c>
      <c r="H4564" s="8">
        <f>HYPERLINK("https://dart.fss.or.kr/dsaf001/main.do?rcpNo=20260521800654", "공시열람")</f>
        <v/>
      </c>
    </row>
    <row r="4565">
      <c r="A4565" s="2" t="inlineStr">
        <is>
          <t>2026-05-21</t>
        </is>
      </c>
      <c r="B4565" s="3" t="inlineStr">
        <is>
          <t>제이케이시냅스</t>
        </is>
      </c>
      <c r="C4565" s="2" t="inlineStr">
        <is>
          <t>코스닥</t>
        </is>
      </c>
      <c r="D4565" s="2" t="inlineStr">
        <is>
          <t>060230</t>
        </is>
      </c>
      <c r="E4565" s="3" t="inlineStr">
        <is>
          <t>주주총회소집공고</t>
        </is>
      </c>
      <c r="F4565" s="3" t="inlineStr">
        <is>
          <t>제이케이시냅스</t>
        </is>
      </c>
      <c r="G4565" s="2" t="inlineStr">
        <is>
          <t>20260521000558</t>
        </is>
      </c>
      <c r="H4565" s="8">
        <f>HYPERLINK("https://dart.fss.or.kr/dsaf001/main.do?rcpNo=20260521000558", "공시열람")</f>
        <v/>
      </c>
    </row>
    <row r="4566">
      <c r="A4566" s="2" t="inlineStr">
        <is>
          <t>2026-05-21</t>
        </is>
      </c>
      <c r="B4566" s="3" t="inlineStr">
        <is>
          <t>체리부로</t>
        </is>
      </c>
      <c r="C4566" s="2" t="inlineStr">
        <is>
          <t>코스닥</t>
        </is>
      </c>
      <c r="D4566" s="2" t="inlineStr">
        <is>
          <t>066360</t>
        </is>
      </c>
      <c r="E4566" s="3" t="inlineStr">
        <is>
          <t>주주총회소집결의              (임시주주총회)</t>
        </is>
      </c>
      <c r="F4566" s="3" t="inlineStr">
        <is>
          <t>체리부로</t>
        </is>
      </c>
      <c r="G4566" s="2" t="inlineStr">
        <is>
          <t>20260521900587</t>
        </is>
      </c>
      <c r="H4566" s="8">
        <f>HYPERLINK("https://dart.fss.or.kr/dsaf001/main.do?rcpNo=20260521900587", "공시열람")</f>
        <v/>
      </c>
    </row>
    <row r="4567">
      <c r="A4567" s="2" t="inlineStr">
        <is>
          <t>2026-05-21</t>
        </is>
      </c>
      <c r="B4567" s="3" t="inlineStr">
        <is>
          <t>로지스몬</t>
        </is>
      </c>
      <c r="C4567" s="2" t="inlineStr">
        <is>
          <t>코넥스</t>
        </is>
      </c>
      <c r="D4567" s="2" t="inlineStr">
        <is>
          <t>223220</t>
        </is>
      </c>
      <c r="E4567" s="3" t="inlineStr">
        <is>
          <t xml:space="preserve">소송등의제기ㆍ신청(경영권분쟁소송)              </t>
        </is>
      </c>
      <c r="F4567" s="3" t="inlineStr">
        <is>
          <t>로지스몬</t>
        </is>
      </c>
      <c r="G4567" s="2" t="inlineStr">
        <is>
          <t>20260521600572</t>
        </is>
      </c>
      <c r="H4567" s="8">
        <f>HYPERLINK("https://dart.fss.or.kr/dsaf001/main.do?rcpNo=20260521600572", "공시열람")</f>
        <v/>
      </c>
    </row>
    <row r="4568">
      <c r="A4568" s="2" t="inlineStr">
        <is>
          <t>2026-05-21</t>
        </is>
      </c>
      <c r="B4568" s="3" t="inlineStr">
        <is>
          <t>금강철강</t>
        </is>
      </c>
      <c r="C4568" s="2" t="inlineStr">
        <is>
          <t>코스닥</t>
        </is>
      </c>
      <c r="D4568" s="2" t="inlineStr">
        <is>
          <t>053260</t>
        </is>
      </c>
      <c r="E4568" s="3" t="inlineStr">
        <is>
          <t>주주총회소집결의              (임시주주총회)</t>
        </is>
      </c>
      <c r="F4568" s="3" t="inlineStr">
        <is>
          <t>금강철강</t>
        </is>
      </c>
      <c r="G4568" s="2" t="inlineStr">
        <is>
          <t>20260521900441</t>
        </is>
      </c>
      <c r="H4568" s="8">
        <f>HYPERLINK("https://dart.fss.or.kr/dsaf001/main.do?rcpNo=20260521900441", "공시열람")</f>
        <v/>
      </c>
    </row>
    <row r="4569">
      <c r="A4569" s="2" t="inlineStr">
        <is>
          <t>2026-05-21</t>
        </is>
      </c>
      <c r="B4569" s="3" t="inlineStr">
        <is>
          <t>디바이스</t>
        </is>
      </c>
      <c r="C4569" s="2" t="inlineStr">
        <is>
          <t>코스닥</t>
        </is>
      </c>
      <c r="D4569" s="2" t="inlineStr">
        <is>
          <t>187870</t>
        </is>
      </c>
      <c r="E4569" s="3" t="inlineStr">
        <is>
          <t>[첨부정정]주요사항보고서(회사합병결정)</t>
        </is>
      </c>
      <c r="F4569" s="3" t="inlineStr">
        <is>
          <t>디바이스</t>
        </is>
      </c>
      <c r="G4569" s="2" t="inlineStr">
        <is>
          <t>20260521000273</t>
        </is>
      </c>
      <c r="H4569" s="8">
        <f>HYPERLINK("https://dart.fss.or.kr/dsaf001/main.do?rcpNo=20260521000273", "공시열람")</f>
        <v/>
      </c>
    </row>
    <row r="4570">
      <c r="A4570" s="2" t="inlineStr">
        <is>
          <t>2026-05-21</t>
        </is>
      </c>
      <c r="B4570" s="3" t="inlineStr">
        <is>
          <t>비큐AI</t>
        </is>
      </c>
      <c r="C4570" s="2" t="inlineStr">
        <is>
          <t>코스닥</t>
        </is>
      </c>
      <c r="D4570" s="2" t="inlineStr">
        <is>
          <t>148780</t>
        </is>
      </c>
      <c r="E4570" s="3" t="inlineStr">
        <is>
          <t>주주총회소집결의              (임시주주총회)</t>
        </is>
      </c>
      <c r="F4570" s="3" t="inlineStr">
        <is>
          <t>비큐AI</t>
        </is>
      </c>
      <c r="G4570" s="2" t="inlineStr">
        <is>
          <t>20260521900431</t>
        </is>
      </c>
      <c r="H4570" s="8">
        <f>HYPERLINK("https://dart.fss.or.kr/dsaf001/main.do?rcpNo=20260521900431", "공시열람")</f>
        <v/>
      </c>
    </row>
    <row r="4571">
      <c r="A4571" s="2" t="inlineStr">
        <is>
          <t>2026-05-21</t>
        </is>
      </c>
      <c r="B4571" s="3" t="inlineStr">
        <is>
          <t>유진테크놀로지</t>
        </is>
      </c>
      <c r="C4571" s="2" t="inlineStr">
        <is>
          <t>코스닥</t>
        </is>
      </c>
      <c r="D4571" s="2" t="inlineStr">
        <is>
          <t>240600</t>
        </is>
      </c>
      <c r="E4571" s="3" t="inlineStr">
        <is>
          <t xml:space="preserve">임시주주총회결과              </t>
        </is>
      </c>
      <c r="F4571" s="3" t="inlineStr">
        <is>
          <t>유진테크놀로지</t>
        </is>
      </c>
      <c r="G4571" s="2" t="inlineStr">
        <is>
          <t>20260521900396</t>
        </is>
      </c>
      <c r="H4571" s="8">
        <f>HYPERLINK("https://dart.fss.or.kr/dsaf001/main.do?rcpNo=20260521900396", "공시열람")</f>
        <v/>
      </c>
    </row>
    <row r="4572">
      <c r="A4572" s="2" t="inlineStr">
        <is>
          <t>2026-05-21 (정정: 2026-05-21)</t>
        </is>
      </c>
      <c r="B4572" s="3" t="inlineStr">
        <is>
          <t>애드바이오텍</t>
        </is>
      </c>
      <c r="C4572" s="2" t="inlineStr">
        <is>
          <t>코스닥</t>
        </is>
      </c>
      <c r="D4572" s="2" t="inlineStr">
        <is>
          <t>179530</t>
        </is>
      </c>
      <c r="E4572" s="3" t="inlineStr">
        <is>
          <t>주주총회소집공고 (정정: 20260521)</t>
        </is>
      </c>
      <c r="F4572" s="3" t="inlineStr">
        <is>
          <t>애드바이오텍</t>
        </is>
      </c>
      <c r="G4572" s="2" t="inlineStr">
        <is>
          <t>20260521900364</t>
        </is>
      </c>
      <c r="H4572" s="8">
        <f>HYPERLINK("https://dart.fss.or.kr/dsaf001/main.do?rcpNo=20260521900364", "공시열람")</f>
        <v/>
      </c>
    </row>
    <row r="4573">
      <c r="A4573" s="2" t="inlineStr">
        <is>
          <t>2026-05-21 (정정: 2026-06-22)</t>
        </is>
      </c>
      <c r="B4573" s="3" t="inlineStr">
        <is>
          <t>KS인더스트리</t>
        </is>
      </c>
      <c r="C4573" s="2" t="inlineStr">
        <is>
          <t>코스닥</t>
        </is>
      </c>
      <c r="D4573" s="2" t="inlineStr">
        <is>
          <t>101000</t>
        </is>
      </c>
      <c r="E4573" s="3" t="inlineStr">
        <is>
          <t>주주총회소집결의              (임시주주총회) (정정: 20260622)</t>
        </is>
      </c>
      <c r="F4573" s="3" t="inlineStr">
        <is>
          <t>KS인더스트리</t>
        </is>
      </c>
      <c r="G4573" s="2" t="inlineStr">
        <is>
          <t>20260622000085</t>
        </is>
      </c>
      <c r="H4573" s="8">
        <f>HYPERLINK("https://dart.fss.or.kr/dsaf001/main.do?rcpNo=20260622000085", "공시열람")</f>
        <v/>
      </c>
    </row>
    <row r="4574">
      <c r="A4574" s="2" t="inlineStr">
        <is>
          <t>2026-05-21</t>
        </is>
      </c>
      <c r="B4574" s="3" t="inlineStr">
        <is>
          <t>텔콘RF제약</t>
        </is>
      </c>
      <c r="C4574" s="2" t="inlineStr">
        <is>
          <t>코스닥</t>
        </is>
      </c>
      <c r="D4574" s="2" t="inlineStr">
        <is>
          <t>200230</t>
        </is>
      </c>
      <c r="E4574" s="3" t="inlineStr">
        <is>
          <t xml:space="preserve">임시주주총회결과              </t>
        </is>
      </c>
      <c r="F4574" s="3" t="inlineStr">
        <is>
          <t>텔콘RF제약</t>
        </is>
      </c>
      <c r="G4574" s="2" t="inlineStr">
        <is>
          <t>20260521900317</t>
        </is>
      </c>
      <c r="H4574" s="8">
        <f>HYPERLINK("https://dart.fss.or.kr/dsaf001/main.do?rcpNo=20260521900317", "공시열람")</f>
        <v/>
      </c>
    </row>
    <row r="4575">
      <c r="A4575" s="2" t="inlineStr">
        <is>
          <t>2026-05-21</t>
        </is>
      </c>
      <c r="B4575" s="3" t="inlineStr">
        <is>
          <t>KC산업</t>
        </is>
      </c>
      <c r="C4575" s="2" t="inlineStr">
        <is>
          <t>코넥스</t>
        </is>
      </c>
      <c r="D4575" s="2" t="inlineStr">
        <is>
          <t>112190</t>
        </is>
      </c>
      <c r="E4575" s="3" t="inlineStr">
        <is>
          <t xml:space="preserve">주주총회소집결의              </t>
        </is>
      </c>
      <c r="F4575" s="3" t="inlineStr">
        <is>
          <t>KC산업</t>
        </is>
      </c>
      <c r="G4575" s="2" t="inlineStr">
        <is>
          <t>20260521600271</t>
        </is>
      </c>
      <c r="H4575" s="8">
        <f>HYPERLINK("https://dart.fss.or.kr/dsaf001/main.do?rcpNo=20260521600271", "공시열람")</f>
        <v/>
      </c>
    </row>
    <row r="4576">
      <c r="A4576" s="2" t="inlineStr">
        <is>
          <t>2026-05-21</t>
        </is>
      </c>
      <c r="B4576" s="3" t="inlineStr">
        <is>
          <t>성창기업지주</t>
        </is>
      </c>
      <c r="C4576" s="2" t="inlineStr">
        <is>
          <t>코스피</t>
        </is>
      </c>
      <c r="D4576" s="2" t="inlineStr">
        <is>
          <t>000180</t>
        </is>
      </c>
      <c r="E4576" s="3" t="inlineStr">
        <is>
          <t>[첨부정정]주요사항보고서(회사합병결정)</t>
        </is>
      </c>
      <c r="F4576" s="3" t="inlineStr">
        <is>
          <t>성창기업지주</t>
        </is>
      </c>
      <c r="G4576" s="2" t="inlineStr">
        <is>
          <t>20260521000131</t>
        </is>
      </c>
      <c r="H4576" s="8">
        <f>HYPERLINK("https://dart.fss.or.kr/dsaf001/main.do?rcpNo=20260521000131", "공시열람")</f>
        <v/>
      </c>
    </row>
    <row r="4577">
      <c r="A4577" s="2" t="inlineStr">
        <is>
          <t>2026-05-21</t>
        </is>
      </c>
      <c r="B4577" s="3" t="inlineStr">
        <is>
          <t>딥노이드</t>
        </is>
      </c>
      <c r="C4577" s="2" t="inlineStr">
        <is>
          <t>코스닥</t>
        </is>
      </c>
      <c r="D4577" s="2" t="inlineStr">
        <is>
          <t>315640</t>
        </is>
      </c>
      <c r="E4577" s="3" t="inlineStr">
        <is>
          <t>주주총회소집공고</t>
        </is>
      </c>
      <c r="F4577" s="3" t="inlineStr">
        <is>
          <t>딥노이드</t>
        </is>
      </c>
      <c r="G4577" s="2" t="inlineStr">
        <is>
          <t>20260521000126</t>
        </is>
      </c>
      <c r="H4577" s="8">
        <f>HYPERLINK("https://dart.fss.or.kr/dsaf001/main.do?rcpNo=20260521000126", "공시열람")</f>
        <v/>
      </c>
    </row>
    <row r="4578">
      <c r="A4578" s="2" t="inlineStr">
        <is>
          <t>2026-05-21</t>
        </is>
      </c>
      <c r="B4578" s="3" t="inlineStr">
        <is>
          <t>한탑</t>
        </is>
      </c>
      <c r="C4578" s="2" t="inlineStr">
        <is>
          <t>코스닥</t>
        </is>
      </c>
      <c r="D4578" s="2" t="inlineStr">
        <is>
          <t>002680</t>
        </is>
      </c>
      <c r="E4578" s="3" t="inlineStr">
        <is>
          <t xml:space="preserve">임시주주총회결과              </t>
        </is>
      </c>
      <c r="F4578" s="3" t="inlineStr">
        <is>
          <t>한탑</t>
        </is>
      </c>
      <c r="G4578" s="2" t="inlineStr">
        <is>
          <t>20260521900210</t>
        </is>
      </c>
      <c r="H4578" s="8">
        <f>HYPERLINK("https://dart.fss.or.kr/dsaf001/main.do?rcpNo=20260521900210", "공시열람")</f>
        <v/>
      </c>
    </row>
    <row r="4579">
      <c r="A4579" s="2" t="inlineStr">
        <is>
          <t>2026-05-21</t>
        </is>
      </c>
      <c r="B4579" s="3" t="inlineStr">
        <is>
          <t>이씨에스</t>
        </is>
      </c>
      <c r="C4579" s="2" t="inlineStr">
        <is>
          <t>코스닥</t>
        </is>
      </c>
      <c r="D4579" s="2" t="inlineStr">
        <is>
          <t>067010</t>
        </is>
      </c>
      <c r="E4579" s="3" t="inlineStr">
        <is>
          <t xml:space="preserve">주주총회소집결의              </t>
        </is>
      </c>
      <c r="F4579" s="3" t="inlineStr">
        <is>
          <t>이씨에스</t>
        </is>
      </c>
      <c r="G4579" s="2" t="inlineStr">
        <is>
          <t>20260521900165</t>
        </is>
      </c>
      <c r="H4579" s="8">
        <f>HYPERLINK("https://dart.fss.or.kr/dsaf001/main.do?rcpNo=20260521900165", "공시열람")</f>
        <v/>
      </c>
    </row>
    <row r="4580">
      <c r="A4580" s="2" t="inlineStr">
        <is>
          <t>2026-05-22 (정정: 2026-06-04)</t>
        </is>
      </c>
      <c r="B4580" s="3" t="inlineStr">
        <is>
          <t>휴온스</t>
        </is>
      </c>
      <c r="C4580" s="2" t="inlineStr">
        <is>
          <t>코스닥</t>
        </is>
      </c>
      <c r="D4580" s="2" t="inlineStr">
        <is>
          <t>243070</t>
        </is>
      </c>
      <c r="E4580" s="3" t="inlineStr">
        <is>
          <t>기타경영사항(자율공시)              (소규모합병 승인 이사회 결의(주주총회 갈음) 결과 보고) (정정: 20260527) (정정: 20260528) (정정: 20260528) (정정: 20260604) (정정: 20260604) (정정: 20260604)</t>
        </is>
      </c>
      <c r="F4580" s="3" t="inlineStr">
        <is>
          <t>휴온스</t>
        </is>
      </c>
      <c r="G4580" s="2" t="inlineStr">
        <is>
          <t>20260604900715</t>
        </is>
      </c>
      <c r="H4580" s="8">
        <f>HYPERLINK("https://dart.fss.or.kr/dsaf001/main.do?rcpNo=20260604900715", "공시열람")</f>
        <v/>
      </c>
    </row>
    <row r="4581">
      <c r="A4581" s="2" t="inlineStr">
        <is>
          <t>2026-05-22</t>
        </is>
      </c>
      <c r="B4581" s="3" t="inlineStr">
        <is>
          <t>SYTS</t>
        </is>
      </c>
      <c r="C4581" s="2" t="inlineStr">
        <is>
          <t>코스피</t>
        </is>
      </c>
      <c r="D4581" s="2" t="inlineStr">
        <is>
          <t>002170</t>
        </is>
      </c>
      <c r="E4581" s="3" t="inlineStr">
        <is>
          <t xml:space="preserve">주주총회소집결의              </t>
        </is>
      </c>
      <c r="F4581" s="3" t="inlineStr">
        <is>
          <t>SYTS</t>
        </is>
      </c>
      <c r="G4581" s="2" t="inlineStr">
        <is>
          <t>20260522800807</t>
        </is>
      </c>
      <c r="H4581" s="8">
        <f>HYPERLINK("https://dart.fss.or.kr/dsaf001/main.do?rcpNo=20260522800807", "공시열람")</f>
        <v/>
      </c>
    </row>
    <row r="4582">
      <c r="A4582" s="2" t="inlineStr">
        <is>
          <t>2026-05-22</t>
        </is>
      </c>
      <c r="B4582" s="3" t="inlineStr">
        <is>
          <t>테라뷰</t>
        </is>
      </c>
      <c r="C4582" s="2" t="inlineStr">
        <is>
          <t>코스닥</t>
        </is>
      </c>
      <c r="D4582" s="2" t="inlineStr">
        <is>
          <t>950250</t>
        </is>
      </c>
      <c r="E4582" s="3" t="inlineStr">
        <is>
          <t>주주총회소집공고</t>
        </is>
      </c>
      <c r="F4582" s="3" t="inlineStr">
        <is>
          <t>테라뷰</t>
        </is>
      </c>
      <c r="G4582" s="2" t="inlineStr">
        <is>
          <t>20260522000568</t>
        </is>
      </c>
      <c r="H4582" s="8">
        <f>HYPERLINK("https://dart.fss.or.kr/dsaf001/main.do?rcpNo=20260522000568", "공시열람")</f>
        <v/>
      </c>
    </row>
    <row r="4583">
      <c r="A4583" s="2" t="inlineStr">
        <is>
          <t>2026-05-22</t>
        </is>
      </c>
      <c r="B4583" s="3" t="inlineStr">
        <is>
          <t>디에이치엑스컴퍼니</t>
        </is>
      </c>
      <c r="C4583" s="2" t="inlineStr">
        <is>
          <t>코스닥</t>
        </is>
      </c>
      <c r="D4583" s="2" t="inlineStr">
        <is>
          <t>031860</t>
        </is>
      </c>
      <c r="E4583" s="3" t="inlineStr">
        <is>
          <t>주주총회소집결의              (임시주주총회)</t>
        </is>
      </c>
      <c r="F4583" s="3" t="inlineStr">
        <is>
          <t>디에이치엑스컴퍼니</t>
        </is>
      </c>
      <c r="G4583" s="2" t="inlineStr">
        <is>
          <t>20260522900815</t>
        </is>
      </c>
      <c r="H4583" s="8">
        <f>HYPERLINK("https://dart.fss.or.kr/dsaf001/main.do?rcpNo=20260522900815", "공시열람")</f>
        <v/>
      </c>
    </row>
    <row r="4584">
      <c r="A4584" s="2" t="inlineStr">
        <is>
          <t>2026-05-22</t>
        </is>
      </c>
      <c r="B4584" s="3" t="inlineStr">
        <is>
          <t>테라뷰</t>
        </is>
      </c>
      <c r="C4584" s="2" t="inlineStr">
        <is>
          <t>코스닥</t>
        </is>
      </c>
      <c r="D4584" s="2" t="inlineStr">
        <is>
          <t>950250</t>
        </is>
      </c>
      <c r="E4584" s="3" t="inlineStr">
        <is>
          <t>주주총회소집결의              (임시주주총회)</t>
        </is>
      </c>
      <c r="F4584" s="3" t="inlineStr">
        <is>
          <t>테라뷰</t>
        </is>
      </c>
      <c r="G4584" s="2" t="inlineStr">
        <is>
          <t>20260522900777</t>
        </is>
      </c>
      <c r="H4584" s="8">
        <f>HYPERLINK("https://dart.fss.or.kr/dsaf001/main.do?rcpNo=20260522900777", "공시열람")</f>
        <v/>
      </c>
    </row>
    <row r="4585">
      <c r="A4585" s="2" t="inlineStr">
        <is>
          <t>2026-05-22</t>
        </is>
      </c>
      <c r="B4585" s="3" t="inlineStr">
        <is>
          <t>피제이메탈</t>
        </is>
      </c>
      <c r="C4585" s="2" t="inlineStr">
        <is>
          <t>코스닥</t>
        </is>
      </c>
      <c r="D4585" s="2" t="inlineStr">
        <is>
          <t>128660</t>
        </is>
      </c>
      <c r="E4585" s="3" t="inlineStr">
        <is>
          <t>주주총회소집결의              (임시주주총회)</t>
        </is>
      </c>
      <c r="F4585" s="3" t="inlineStr">
        <is>
          <t>피제이메탈</t>
        </is>
      </c>
      <c r="G4585" s="2" t="inlineStr">
        <is>
          <t>20260522900747</t>
        </is>
      </c>
      <c r="H4585" s="8">
        <f>HYPERLINK("https://dart.fss.or.kr/dsaf001/main.do?rcpNo=20260522900747", "공시열람")</f>
        <v/>
      </c>
    </row>
    <row r="4586">
      <c r="A4586" s="2" t="inlineStr">
        <is>
          <t>2026-05-22</t>
        </is>
      </c>
      <c r="B4586" s="3" t="inlineStr">
        <is>
          <t>씨아이에스</t>
        </is>
      </c>
      <c r="C4586" s="2" t="inlineStr">
        <is>
          <t>코스닥</t>
        </is>
      </c>
      <c r="D4586" s="2" t="inlineStr">
        <is>
          <t>222080</t>
        </is>
      </c>
      <c r="E4586" s="3" t="inlineStr">
        <is>
          <t>주주총회소집결의              (임시주주총회)</t>
        </is>
      </c>
      <c r="F4586" s="3" t="inlineStr">
        <is>
          <t>씨아이에스</t>
        </is>
      </c>
      <c r="G4586" s="2" t="inlineStr">
        <is>
          <t>20260522900771</t>
        </is>
      </c>
      <c r="H4586" s="8">
        <f>HYPERLINK("https://dart.fss.or.kr/dsaf001/main.do?rcpNo=20260522900771", "공시열람")</f>
        <v/>
      </c>
    </row>
    <row r="4587">
      <c r="A4587" s="2" t="inlineStr">
        <is>
          <t>2026-05-22</t>
        </is>
      </c>
      <c r="B4587" s="3" t="inlineStr">
        <is>
          <t>씨아이에스</t>
        </is>
      </c>
      <c r="C4587" s="2" t="inlineStr">
        <is>
          <t>코스닥</t>
        </is>
      </c>
      <c r="D4587" s="2" t="inlineStr">
        <is>
          <t>222080</t>
        </is>
      </c>
      <c r="E4587" s="3" t="inlineStr">
        <is>
          <t>주주총회소집공고</t>
        </is>
      </c>
      <c r="F4587" s="3" t="inlineStr">
        <is>
          <t>씨아이에스</t>
        </is>
      </c>
      <c r="G4587" s="2" t="inlineStr">
        <is>
          <t>20260522000523</t>
        </is>
      </c>
      <c r="H4587" s="8">
        <f>HYPERLINK("https://dart.fss.or.kr/dsaf001/main.do?rcpNo=20260522000523", "공시열람")</f>
        <v/>
      </c>
    </row>
    <row r="4588">
      <c r="A4588" s="2" t="inlineStr">
        <is>
          <t>2026-05-22</t>
        </is>
      </c>
      <c r="B4588" s="3" t="inlineStr">
        <is>
          <t>캐스텍코리아</t>
        </is>
      </c>
      <c r="C4588" s="2" t="inlineStr">
        <is>
          <t>코스닥</t>
        </is>
      </c>
      <c r="D4588" s="2" t="inlineStr">
        <is>
          <t>071850</t>
        </is>
      </c>
      <c r="E4588" s="3" t="inlineStr">
        <is>
          <t>소송등의판결ㆍ결정              (주주총회결의무효확인 등)</t>
        </is>
      </c>
      <c r="F4588" s="3" t="inlineStr">
        <is>
          <t>캐스텍코리아</t>
        </is>
      </c>
      <c r="G4588" s="2" t="inlineStr">
        <is>
          <t>20260522900639</t>
        </is>
      </c>
      <c r="H4588" s="8">
        <f>HYPERLINK("https://dart.fss.or.kr/dsaf001/main.do?rcpNo=20260522900639", "공시열람")</f>
        <v/>
      </c>
    </row>
    <row r="4589">
      <c r="A4589" s="2" t="inlineStr">
        <is>
          <t>2026-05-22</t>
        </is>
      </c>
      <c r="B4589" s="3" t="inlineStr">
        <is>
          <t>씨씨에스</t>
        </is>
      </c>
      <c r="C4589" s="2" t="inlineStr">
        <is>
          <t>코스닥</t>
        </is>
      </c>
      <c r="D4589" s="2" t="inlineStr">
        <is>
          <t>066790</t>
        </is>
      </c>
      <c r="E4589" s="3" t="inlineStr">
        <is>
          <t>소송등의판결ㆍ결정              (경영권 분쟁 소송)(주주총회결의 집행금지 가처분)</t>
        </is>
      </c>
      <c r="F4589" s="3" t="inlineStr">
        <is>
          <t>씨씨에스</t>
        </is>
      </c>
      <c r="G4589" s="2" t="inlineStr">
        <is>
          <t>20260522900603</t>
        </is>
      </c>
      <c r="H4589" s="8">
        <f>HYPERLINK("https://dart.fss.or.kr/dsaf001/main.do?rcpNo=20260522900603", "공시열람")</f>
        <v/>
      </c>
    </row>
    <row r="4590">
      <c r="A4590" s="2" t="inlineStr">
        <is>
          <t>2026-05-22</t>
        </is>
      </c>
      <c r="B4590" s="3" t="inlineStr">
        <is>
          <t>다산네트웍스</t>
        </is>
      </c>
      <c r="C4590" s="2" t="inlineStr">
        <is>
          <t>코스닥</t>
        </is>
      </c>
      <c r="D4590" s="2" t="inlineStr">
        <is>
          <t>039560</t>
        </is>
      </c>
      <c r="E4590" s="3" t="inlineStr">
        <is>
          <t>주주총회소집공고</t>
        </is>
      </c>
      <c r="F4590" s="3" t="inlineStr">
        <is>
          <t>다산네트웍스</t>
        </is>
      </c>
      <c r="G4590" s="2" t="inlineStr">
        <is>
          <t>20260522000452</t>
        </is>
      </c>
      <c r="H4590" s="8">
        <f>HYPERLINK("https://dart.fss.or.kr/dsaf001/main.do?rcpNo=20260522000452", "공시열람")</f>
        <v/>
      </c>
    </row>
    <row r="4591">
      <c r="A4591" s="2" t="inlineStr">
        <is>
          <t>2026-05-22</t>
        </is>
      </c>
      <c r="B4591" s="3" t="inlineStr">
        <is>
          <t>씨씨에스</t>
        </is>
      </c>
      <c r="C4591" s="2" t="inlineStr">
        <is>
          <t>코스닥</t>
        </is>
      </c>
      <c r="D4591" s="2" t="inlineStr">
        <is>
          <t>066790</t>
        </is>
      </c>
      <c r="E4591" s="3" t="inlineStr">
        <is>
          <t>소송등의판결ㆍ결정              (경영권 분쟁 소송)(임시주주총회 개최금지 가처분)</t>
        </is>
      </c>
      <c r="F4591" s="3" t="inlineStr">
        <is>
          <t>씨씨에스</t>
        </is>
      </c>
      <c r="G4591" s="2" t="inlineStr">
        <is>
          <t>20260522900545</t>
        </is>
      </c>
      <c r="H4591" s="8">
        <f>HYPERLINK("https://dart.fss.or.kr/dsaf001/main.do?rcpNo=20260522900545", "공시열람")</f>
        <v/>
      </c>
    </row>
    <row r="4592">
      <c r="A4592" s="2" t="inlineStr">
        <is>
          <t>2026-05-22</t>
        </is>
      </c>
      <c r="B4592" s="3" t="inlineStr">
        <is>
          <t>씨씨에스</t>
        </is>
      </c>
      <c r="C4592" s="2" t="inlineStr">
        <is>
          <t>코스닥</t>
        </is>
      </c>
      <c r="D4592" s="2" t="inlineStr">
        <is>
          <t>066790</t>
        </is>
      </c>
      <c r="E4592" s="3" t="inlineStr">
        <is>
          <t>소송등의판결ㆍ결정              (경영권 분쟁 소송)(임시주주총회 개최금지 가처분)</t>
        </is>
      </c>
      <c r="F4592" s="3" t="inlineStr">
        <is>
          <t>씨씨에스</t>
        </is>
      </c>
      <c r="G4592" s="2" t="inlineStr">
        <is>
          <t>20260522900543</t>
        </is>
      </c>
      <c r="H4592" s="8">
        <f>HYPERLINK("https://dart.fss.or.kr/dsaf001/main.do?rcpNo=20260522900543", "공시열람")</f>
        <v/>
      </c>
    </row>
    <row r="4593">
      <c r="A4593" s="2" t="inlineStr">
        <is>
          <t>2026-05-22</t>
        </is>
      </c>
      <c r="B4593" s="3" t="inlineStr">
        <is>
          <t>씨씨에스</t>
        </is>
      </c>
      <c r="C4593" s="2" t="inlineStr">
        <is>
          <t>코스닥</t>
        </is>
      </c>
      <c r="D4593" s="2" t="inlineStr">
        <is>
          <t>066790</t>
        </is>
      </c>
      <c r="E4593" s="3" t="inlineStr">
        <is>
          <t>소송등의판결ㆍ결정              (경영권 분쟁 소송)(직무집행정지 및 대행자선임 가처분)</t>
        </is>
      </c>
      <c r="F4593" s="3" t="inlineStr">
        <is>
          <t>씨씨에스</t>
        </is>
      </c>
      <c r="G4593" s="2" t="inlineStr">
        <is>
          <t>20260522900541</t>
        </is>
      </c>
      <c r="H4593" s="8">
        <f>HYPERLINK("https://dart.fss.or.kr/dsaf001/main.do?rcpNo=20260522900541", "공시열람")</f>
        <v/>
      </c>
    </row>
    <row r="4594">
      <c r="A4594" s="2" t="inlineStr">
        <is>
          <t>2026-05-22</t>
        </is>
      </c>
      <c r="B4594" s="3" t="inlineStr">
        <is>
          <t>씨씨에스</t>
        </is>
      </c>
      <c r="C4594" s="2" t="inlineStr">
        <is>
          <t>코스닥</t>
        </is>
      </c>
      <c r="D4594" s="2" t="inlineStr">
        <is>
          <t>066790</t>
        </is>
      </c>
      <c r="E4594" s="3" t="inlineStr">
        <is>
          <t>소송등의판결ㆍ결정              (경영권 분쟁 소송)(주주총회결의 효력정지 및 직무집행신청)</t>
        </is>
      </c>
      <c r="F4594" s="3" t="inlineStr">
        <is>
          <t>씨씨에스</t>
        </is>
      </c>
      <c r="G4594" s="2" t="inlineStr">
        <is>
          <t>20260522900538</t>
        </is>
      </c>
      <c r="H4594" s="8">
        <f>HYPERLINK("https://dart.fss.or.kr/dsaf001/main.do?rcpNo=20260522900538", "공시열람")</f>
        <v/>
      </c>
    </row>
    <row r="4595">
      <c r="A4595" s="2" t="inlineStr">
        <is>
          <t>2026-05-22</t>
        </is>
      </c>
      <c r="B4595" s="3" t="inlineStr">
        <is>
          <t>엔젠바이오</t>
        </is>
      </c>
      <c r="C4595" s="2" t="inlineStr">
        <is>
          <t>코스닥</t>
        </is>
      </c>
      <c r="D4595" s="2" t="inlineStr">
        <is>
          <t>354200</t>
        </is>
      </c>
      <c r="E4595" s="3" t="inlineStr">
        <is>
          <t>주주총회소집공고</t>
        </is>
      </c>
      <c r="F4595" s="3" t="inlineStr">
        <is>
          <t>엔젠바이오</t>
        </is>
      </c>
      <c r="G4595" s="2" t="inlineStr">
        <is>
          <t>20260522000433</t>
        </is>
      </c>
      <c r="H4595" s="8">
        <f>HYPERLINK("https://dart.fss.or.kr/dsaf001/main.do?rcpNo=20260522000433", "공시열람")</f>
        <v/>
      </c>
    </row>
    <row r="4596">
      <c r="A4596" s="2" t="inlineStr">
        <is>
          <t>2026-05-22</t>
        </is>
      </c>
      <c r="B4596" s="3" t="inlineStr">
        <is>
          <t>이엠텍</t>
        </is>
      </c>
      <c r="C4596" s="2" t="inlineStr">
        <is>
          <t>코스닥</t>
        </is>
      </c>
      <c r="D4596" s="2" t="inlineStr">
        <is>
          <t>091120</t>
        </is>
      </c>
      <c r="E4596" s="3" t="inlineStr">
        <is>
          <t>주요사항보고서(회사합병결정)</t>
        </is>
      </c>
      <c r="F4596" s="3" t="inlineStr">
        <is>
          <t>이엠텍</t>
        </is>
      </c>
      <c r="G4596" s="2" t="inlineStr">
        <is>
          <t>20260522000393</t>
        </is>
      </c>
      <c r="H4596" s="8">
        <f>HYPERLINK("https://dart.fss.or.kr/dsaf001/main.do?rcpNo=20260522000393", "공시열람")</f>
        <v/>
      </c>
    </row>
    <row r="4597">
      <c r="A4597" s="2" t="inlineStr">
        <is>
          <t>2026-05-22</t>
        </is>
      </c>
      <c r="B4597" s="3" t="inlineStr">
        <is>
          <t>한국캐피탈</t>
        </is>
      </c>
      <c r="C4597" s="2" t="inlineStr">
        <is>
          <t>코스닥</t>
        </is>
      </c>
      <c r="D4597" s="2" t="inlineStr">
        <is>
          <t>023760</t>
        </is>
      </c>
      <c r="E4597" s="3" t="inlineStr">
        <is>
          <t>주주총회소집결의              (임시주주총회)</t>
        </is>
      </c>
      <c r="F4597" s="3" t="inlineStr">
        <is>
          <t>한국캐피탈</t>
        </is>
      </c>
      <c r="G4597" s="2" t="inlineStr">
        <is>
          <t>20260522900520</t>
        </is>
      </c>
      <c r="H4597" s="8">
        <f>HYPERLINK("https://dart.fss.or.kr/dsaf001/main.do?rcpNo=20260522900520", "공시열람")</f>
        <v/>
      </c>
    </row>
    <row r="4598">
      <c r="A4598" s="2" t="inlineStr">
        <is>
          <t>2026-05-22</t>
        </is>
      </c>
      <c r="B4598" s="3" t="inlineStr">
        <is>
          <t>알로이스</t>
        </is>
      </c>
      <c r="C4598" s="2" t="inlineStr">
        <is>
          <t>코스닥</t>
        </is>
      </c>
      <c r="D4598" s="2" t="inlineStr">
        <is>
          <t>297570</t>
        </is>
      </c>
      <c r="E4598" s="3" t="inlineStr">
        <is>
          <t>소송등의제기ㆍ신청(경영권분쟁소송)              (임시의장 선임 가처분)</t>
        </is>
      </c>
      <c r="F4598" s="3" t="inlineStr">
        <is>
          <t>알로이스</t>
        </is>
      </c>
      <c r="G4598" s="2" t="inlineStr">
        <is>
          <t>20260522900493</t>
        </is>
      </c>
      <c r="H4598" s="8">
        <f>HYPERLINK("https://dart.fss.or.kr/dsaf001/main.do?rcpNo=20260522900493", "공시열람")</f>
        <v/>
      </c>
    </row>
    <row r="4599">
      <c r="A4599" s="2" t="inlineStr">
        <is>
          <t>2026-05-22</t>
        </is>
      </c>
      <c r="B4599" s="3" t="inlineStr">
        <is>
          <t>KT밀리의서재</t>
        </is>
      </c>
      <c r="C4599" s="2" t="inlineStr">
        <is>
          <t>코스닥</t>
        </is>
      </c>
      <c r="D4599" s="2" t="inlineStr">
        <is>
          <t>418470</t>
        </is>
      </c>
      <c r="E4599" s="3" t="inlineStr">
        <is>
          <t xml:space="preserve">임시주주총회결과              </t>
        </is>
      </c>
      <c r="F4599" s="3" t="inlineStr">
        <is>
          <t>KT밀리의서재</t>
        </is>
      </c>
      <c r="G4599" s="2" t="inlineStr">
        <is>
          <t>20260522900475</t>
        </is>
      </c>
      <c r="H4599" s="8">
        <f>HYPERLINK("https://dart.fss.or.kr/dsaf001/main.do?rcpNo=20260522900475", "공시열람")</f>
        <v/>
      </c>
    </row>
    <row r="4600">
      <c r="A4600" s="2" t="inlineStr">
        <is>
          <t>2026-05-22</t>
        </is>
      </c>
      <c r="B4600" s="3" t="inlineStr">
        <is>
          <t>신한알파리츠</t>
        </is>
      </c>
      <c r="C4600" s="2" t="inlineStr">
        <is>
          <t>코스피</t>
        </is>
      </c>
      <c r="D4600" s="2" t="inlineStr">
        <is>
          <t>293940</t>
        </is>
      </c>
      <c r="E4600" s="3" t="inlineStr">
        <is>
          <t>주주총회소집공고</t>
        </is>
      </c>
      <c r="F4600" s="3" t="inlineStr">
        <is>
          <t>신한알파리츠</t>
        </is>
      </c>
      <c r="G4600" s="2" t="inlineStr">
        <is>
          <t>20260522000360</t>
        </is>
      </c>
      <c r="H4600" s="8">
        <f>HYPERLINK("https://dart.fss.or.kr/dsaf001/main.do?rcpNo=20260522000360", "공시열람")</f>
        <v/>
      </c>
    </row>
    <row r="4601">
      <c r="A4601" s="2" t="inlineStr">
        <is>
          <t>2026-05-22</t>
        </is>
      </c>
      <c r="B4601" s="3" t="inlineStr">
        <is>
          <t>아즈텍WB</t>
        </is>
      </c>
      <c r="C4601" s="2" t="inlineStr">
        <is>
          <t>코스닥</t>
        </is>
      </c>
      <c r="D4601" s="2" t="inlineStr">
        <is>
          <t>032080</t>
        </is>
      </c>
      <c r="E4601" s="3" t="inlineStr">
        <is>
          <t xml:space="preserve">임시주주총회결과              </t>
        </is>
      </c>
      <c r="F4601" s="3" t="inlineStr">
        <is>
          <t>아즈텍WB</t>
        </is>
      </c>
      <c r="G4601" s="2" t="inlineStr">
        <is>
          <t>20260522900447</t>
        </is>
      </c>
      <c r="H4601" s="8">
        <f>HYPERLINK("https://dart.fss.or.kr/dsaf001/main.do?rcpNo=20260522900447", "공시열람")</f>
        <v/>
      </c>
    </row>
    <row r="4602">
      <c r="A4602" s="2" t="inlineStr">
        <is>
          <t>2026-05-22</t>
        </is>
      </c>
      <c r="B4602" s="3" t="inlineStr">
        <is>
          <t>신한알파리츠</t>
        </is>
      </c>
      <c r="C4602" s="2" t="inlineStr">
        <is>
          <t>코스피</t>
        </is>
      </c>
      <c r="D4602" s="2" t="inlineStr">
        <is>
          <t>293940</t>
        </is>
      </c>
      <c r="E4602" s="3" t="inlineStr">
        <is>
          <t xml:space="preserve">주주총회소집결의              </t>
        </is>
      </c>
      <c r="F4602" s="3" t="inlineStr">
        <is>
          <t>신한알파리츠</t>
        </is>
      </c>
      <c r="G4602" s="2" t="inlineStr">
        <is>
          <t>20260522800437</t>
        </is>
      </c>
      <c r="H4602" s="8">
        <f>HYPERLINK("https://dart.fss.or.kr/dsaf001/main.do?rcpNo=20260522800437", "공시열람")</f>
        <v/>
      </c>
    </row>
    <row r="4603">
      <c r="A4603" s="2" t="inlineStr">
        <is>
          <t>2026-05-22</t>
        </is>
      </c>
      <c r="B4603" s="3" t="inlineStr">
        <is>
          <t>세화피앤씨</t>
        </is>
      </c>
      <c r="C4603" s="2" t="inlineStr">
        <is>
          <t>코스닥</t>
        </is>
      </c>
      <c r="D4603" s="2" t="inlineStr">
        <is>
          <t>252500</t>
        </is>
      </c>
      <c r="E4603" s="3" t="inlineStr">
        <is>
          <t>주주총회소집결의              (임시주주총회)</t>
        </is>
      </c>
      <c r="F4603" s="3" t="inlineStr">
        <is>
          <t>세화피앤씨</t>
        </is>
      </c>
      <c r="G4603" s="2" t="inlineStr">
        <is>
          <t>20260522900421</t>
        </is>
      </c>
      <c r="H4603" s="8">
        <f>HYPERLINK("https://dart.fss.or.kr/dsaf001/main.do?rcpNo=20260522900421", "공시열람")</f>
        <v/>
      </c>
    </row>
    <row r="4604">
      <c r="A4604" s="2" t="inlineStr">
        <is>
          <t>2026-05-22 (정정: 2026-06-25)</t>
        </is>
      </c>
      <c r="B4604" s="3" t="inlineStr">
        <is>
          <t>셀리드</t>
        </is>
      </c>
      <c r="C4604" s="2" t="inlineStr">
        <is>
          <t>코스닥</t>
        </is>
      </c>
      <c r="D4604" s="2" t="inlineStr">
        <is>
          <t>299660</t>
        </is>
      </c>
      <c r="E4604" s="3" t="inlineStr">
        <is>
          <t>임시주주총회결과               (정정: 20260625)</t>
        </is>
      </c>
      <c r="F4604" s="3" t="inlineStr">
        <is>
          <t>셀리드</t>
        </is>
      </c>
      <c r="G4604" s="2" t="inlineStr">
        <is>
          <t>20260625900722</t>
        </is>
      </c>
      <c r="H4604" s="8">
        <f>HYPERLINK("https://dart.fss.or.kr/dsaf001/main.do?rcpNo=20260625900722", "공시열람")</f>
        <v/>
      </c>
    </row>
    <row r="4605">
      <c r="A4605" s="2" t="inlineStr">
        <is>
          <t>2026-05-22</t>
        </is>
      </c>
      <c r="B4605" s="3" t="inlineStr">
        <is>
          <t>KT나스미디어</t>
        </is>
      </c>
      <c r="C4605" s="2" t="inlineStr">
        <is>
          <t>코스닥</t>
        </is>
      </c>
      <c r="D4605" s="2" t="inlineStr">
        <is>
          <t>089600</t>
        </is>
      </c>
      <c r="E4605" s="3" t="inlineStr">
        <is>
          <t xml:space="preserve">임시주주총회결과              </t>
        </is>
      </c>
      <c r="F4605" s="3" t="inlineStr">
        <is>
          <t>KT나스미디어</t>
        </is>
      </c>
      <c r="G4605" s="2" t="inlineStr">
        <is>
          <t>20260522900367</t>
        </is>
      </c>
      <c r="H4605" s="8">
        <f>HYPERLINK("https://dart.fss.or.kr/dsaf001/main.do?rcpNo=20260522900367", "공시열람")</f>
        <v/>
      </c>
    </row>
    <row r="4606">
      <c r="A4606" s="2" t="inlineStr">
        <is>
          <t>2026-05-22</t>
        </is>
      </c>
      <c r="B4606" s="3" t="inlineStr">
        <is>
          <t>조아제약</t>
        </is>
      </c>
      <c r="C4606" s="2" t="inlineStr">
        <is>
          <t>코스닥</t>
        </is>
      </c>
      <c r="D4606" s="2" t="inlineStr">
        <is>
          <t>034940</t>
        </is>
      </c>
      <c r="E4606" s="3" t="inlineStr">
        <is>
          <t xml:space="preserve">주주총회소집결의              </t>
        </is>
      </c>
      <c r="F4606" s="3" t="inlineStr">
        <is>
          <t>조아제약</t>
        </is>
      </c>
      <c r="G4606" s="2" t="inlineStr">
        <is>
          <t>20260522900363</t>
        </is>
      </c>
      <c r="H4606" s="8">
        <f>HYPERLINK("https://dart.fss.or.kr/dsaf001/main.do?rcpNo=20260522900363", "공시열람")</f>
        <v/>
      </c>
    </row>
    <row r="4607">
      <c r="A4607" s="2" t="inlineStr">
        <is>
          <t>2026-05-22</t>
        </is>
      </c>
      <c r="B4607" s="3" t="inlineStr">
        <is>
          <t>두올</t>
        </is>
      </c>
      <c r="C4607" s="2" t="inlineStr">
        <is>
          <t>코스피</t>
        </is>
      </c>
      <c r="D4607" s="2" t="inlineStr">
        <is>
          <t>016740</t>
        </is>
      </c>
      <c r="E4607" s="3" t="inlineStr">
        <is>
          <t xml:space="preserve">주주총회소집결의              </t>
        </is>
      </c>
      <c r="F4607" s="3" t="inlineStr">
        <is>
          <t>두올</t>
        </is>
      </c>
      <c r="G4607" s="2" t="inlineStr">
        <is>
          <t>20260522800339</t>
        </is>
      </c>
      <c r="H4607" s="8">
        <f>HYPERLINK("https://dart.fss.or.kr/dsaf001/main.do?rcpNo=20260522800339", "공시열람")</f>
        <v/>
      </c>
    </row>
    <row r="4608">
      <c r="A4608" s="2" t="inlineStr">
        <is>
          <t>2026-05-22 (정정: 2026-05-26)</t>
        </is>
      </c>
      <c r="B4608" s="3" t="inlineStr">
        <is>
          <t>TS인베스트먼트</t>
        </is>
      </c>
      <c r="C4608" s="2" t="inlineStr">
        <is>
          <t>코스닥</t>
        </is>
      </c>
      <c r="D4608" s="2" t="inlineStr">
        <is>
          <t>246690</t>
        </is>
      </c>
      <c r="E4608" s="3" t="inlineStr">
        <is>
          <t>임시주주총회결과               (정정: 20260526)</t>
        </is>
      </c>
      <c r="F4608" s="3" t="inlineStr">
        <is>
          <t>TS인베스트먼트</t>
        </is>
      </c>
      <c r="G4608" s="2" t="inlineStr">
        <is>
          <t>20260526900131</t>
        </is>
      </c>
      <c r="H4608" s="8">
        <f>HYPERLINK("https://dart.fss.or.kr/dsaf001/main.do?rcpNo=20260526900131", "공시열람")</f>
        <v/>
      </c>
    </row>
    <row r="4609">
      <c r="A4609" s="2" t="inlineStr">
        <is>
          <t>2026-05-22</t>
        </is>
      </c>
      <c r="B4609" s="3" t="inlineStr">
        <is>
          <t>제이스로보틱스</t>
        </is>
      </c>
      <c r="C4609" s="2" t="inlineStr">
        <is>
          <t>코스닥</t>
        </is>
      </c>
      <c r="D4609" s="2" t="inlineStr">
        <is>
          <t>090470</t>
        </is>
      </c>
      <c r="E4609" s="3" t="inlineStr">
        <is>
          <t>주주총회소집공고</t>
        </is>
      </c>
      <c r="F4609" s="3" t="inlineStr">
        <is>
          <t>제이스로보틱스</t>
        </is>
      </c>
      <c r="G4609" s="2" t="inlineStr">
        <is>
          <t>20260522000218</t>
        </is>
      </c>
      <c r="H4609" s="8">
        <f>HYPERLINK("https://dart.fss.or.kr/dsaf001/main.do?rcpNo=20260522000218", "공시열람")</f>
        <v/>
      </c>
    </row>
    <row r="4610">
      <c r="A4610" s="2" t="inlineStr">
        <is>
          <t>2026-05-22</t>
        </is>
      </c>
      <c r="B4610" s="3" t="inlineStr">
        <is>
          <t>지역난방공사</t>
        </is>
      </c>
      <c r="C4610" s="2" t="inlineStr">
        <is>
          <t>코스피</t>
        </is>
      </c>
      <c r="D4610" s="2" t="inlineStr">
        <is>
          <t>071320</t>
        </is>
      </c>
      <c r="E4610" s="3" t="inlineStr">
        <is>
          <t xml:space="preserve">임시주주총회결과              </t>
        </is>
      </c>
      <c r="F4610" s="3" t="inlineStr">
        <is>
          <t>지역난방공사</t>
        </is>
      </c>
      <c r="G4610" s="2" t="inlineStr">
        <is>
          <t>20260522800326</t>
        </is>
      </c>
      <c r="H4610" s="8">
        <f>HYPERLINK("https://dart.fss.or.kr/dsaf001/main.do?rcpNo=20260522800326", "공시열람")</f>
        <v/>
      </c>
    </row>
    <row r="4611">
      <c r="A4611" s="2" t="inlineStr">
        <is>
          <t>2026-05-22</t>
        </is>
      </c>
      <c r="B4611" s="3" t="inlineStr">
        <is>
          <t>금호전기</t>
        </is>
      </c>
      <c r="C4611" s="2" t="inlineStr">
        <is>
          <t>코스피</t>
        </is>
      </c>
      <c r="D4611" s="2" t="inlineStr">
        <is>
          <t>001210</t>
        </is>
      </c>
      <c r="E4611" s="3" t="inlineStr">
        <is>
          <t xml:space="preserve">주주총회소집결의              </t>
        </is>
      </c>
      <c r="F4611" s="3" t="inlineStr">
        <is>
          <t>금호전기</t>
        </is>
      </c>
      <c r="G4611" s="2" t="inlineStr">
        <is>
          <t>20260522800309</t>
        </is>
      </c>
      <c r="H4611" s="8">
        <f>HYPERLINK("https://dart.fss.or.kr/dsaf001/main.do?rcpNo=20260522800309", "공시열람")</f>
        <v/>
      </c>
    </row>
    <row r="4612">
      <c r="A4612" s="2" t="inlineStr">
        <is>
          <t>2026-05-22</t>
        </is>
      </c>
      <c r="B4612" s="3" t="inlineStr">
        <is>
          <t>인디에프</t>
        </is>
      </c>
      <c r="C4612" s="2" t="inlineStr">
        <is>
          <t>코스피</t>
        </is>
      </c>
      <c r="D4612" s="2" t="inlineStr">
        <is>
          <t>014990</t>
        </is>
      </c>
      <c r="E4612" s="3" t="inlineStr">
        <is>
          <t xml:space="preserve">임시주주총회결과              </t>
        </is>
      </c>
      <c r="F4612" s="3" t="inlineStr">
        <is>
          <t>인디에프</t>
        </is>
      </c>
      <c r="G4612" s="2" t="inlineStr">
        <is>
          <t>20260522800265</t>
        </is>
      </c>
      <c r="H4612" s="8">
        <f>HYPERLINK("https://dart.fss.or.kr/dsaf001/main.do?rcpNo=20260522800265", "공시열람")</f>
        <v/>
      </c>
    </row>
    <row r="4613">
      <c r="A4613" s="2" t="inlineStr">
        <is>
          <t>2026-05-26</t>
        </is>
      </c>
      <c r="B4613" s="3" t="inlineStr">
        <is>
          <t>동양생명</t>
        </is>
      </c>
      <c r="C4613" s="2" t="inlineStr">
        <is>
          <t>코스피</t>
        </is>
      </c>
      <c r="D4613" s="2" t="inlineStr">
        <is>
          <t>082640</t>
        </is>
      </c>
      <c r="E4613" s="3" t="inlineStr">
        <is>
          <t>정정명령부과( 2026.05.14. 제출 주요사항보고서(주식교환ㆍ이전 결정) )</t>
        </is>
      </c>
      <c r="F4613" s="3" t="inlineStr">
        <is>
          <t>금융감독원</t>
        </is>
      </c>
      <c r="G4613" s="2" t="inlineStr">
        <is>
          <t>20260526100048</t>
        </is>
      </c>
      <c r="H4613" s="8">
        <f>HYPERLINK("https://dart.fss.or.kr/dsaf001/main.do?rcpNo=20260526100048", "공시열람")</f>
        <v/>
      </c>
    </row>
    <row r="4614">
      <c r="A4614" s="2" t="inlineStr">
        <is>
          <t>2026-05-26</t>
        </is>
      </c>
      <c r="B4614" s="3" t="inlineStr">
        <is>
          <t>프리티</t>
        </is>
      </c>
      <c r="C4614" s="2" t="inlineStr">
        <is>
          <t>코스피</t>
        </is>
      </c>
      <c r="D4614" s="2" t="inlineStr">
        <is>
          <t>006490</t>
        </is>
      </c>
      <c r="E4614" s="3" t="inlineStr">
        <is>
          <t xml:space="preserve">임시주주총회결과              </t>
        </is>
      </c>
      <c r="F4614" s="3" t="inlineStr">
        <is>
          <t>프리티</t>
        </is>
      </c>
      <c r="G4614" s="2" t="inlineStr">
        <is>
          <t>20260526800910</t>
        </is>
      </c>
      <c r="H4614" s="8">
        <f>HYPERLINK("https://dart.fss.or.kr/dsaf001/main.do?rcpNo=20260526800910", "공시열람")</f>
        <v/>
      </c>
    </row>
    <row r="4615">
      <c r="A4615" s="2" t="inlineStr">
        <is>
          <t>2026-05-26 (정정: 2026-05-26)</t>
        </is>
      </c>
      <c r="B4615" s="3" t="inlineStr">
        <is>
          <t>지구홀딩스</t>
        </is>
      </c>
      <c r="C4615" s="2" t="inlineStr">
        <is>
          <t>코스닥</t>
        </is>
      </c>
      <c r="D4615" s="2" t="inlineStr">
        <is>
          <t>221800</t>
        </is>
      </c>
      <c r="E4615" s="3" t="inlineStr">
        <is>
          <t>주주총회소집공고 (정정: 20260526)</t>
        </is>
      </c>
      <c r="F4615" s="3" t="inlineStr">
        <is>
          <t>지구홀딩스</t>
        </is>
      </c>
      <c r="G4615" s="2" t="inlineStr">
        <is>
          <t>20260526900391</t>
        </is>
      </c>
      <c r="H4615" s="8">
        <f>HYPERLINK("https://dart.fss.or.kr/dsaf001/main.do?rcpNo=20260526900391", "공시열람")</f>
        <v/>
      </c>
    </row>
    <row r="4616">
      <c r="A4616" s="2" t="inlineStr">
        <is>
          <t>2026-05-26</t>
        </is>
      </c>
      <c r="B4616" s="3" t="inlineStr">
        <is>
          <t>이지케어텍</t>
        </is>
      </c>
      <c r="C4616" s="2" t="inlineStr">
        <is>
          <t>코스닥</t>
        </is>
      </c>
      <c r="D4616" s="2" t="inlineStr">
        <is>
          <t>099750</t>
        </is>
      </c>
      <c r="E4616" s="3" t="inlineStr">
        <is>
          <t xml:space="preserve">주주총회소집결의              </t>
        </is>
      </c>
      <c r="F4616" s="3" t="inlineStr">
        <is>
          <t>이지케어텍</t>
        </is>
      </c>
      <c r="G4616" s="2" t="inlineStr">
        <is>
          <t>20260526900725</t>
        </is>
      </c>
      <c r="H4616" s="8">
        <f>HYPERLINK("https://dart.fss.or.kr/dsaf001/main.do?rcpNo=20260526900725", "공시열람")</f>
        <v/>
      </c>
    </row>
    <row r="4617">
      <c r="A4617" s="2" t="inlineStr">
        <is>
          <t>2026-05-26</t>
        </is>
      </c>
      <c r="B4617" s="3" t="inlineStr">
        <is>
          <t>대한해운</t>
        </is>
      </c>
      <c r="C4617" s="2" t="inlineStr">
        <is>
          <t>코스피</t>
        </is>
      </c>
      <c r="D4617" s="2" t="inlineStr">
        <is>
          <t>005880</t>
        </is>
      </c>
      <c r="E4617" s="3" t="inlineStr">
        <is>
          <t xml:space="preserve">주주총회소집결의              </t>
        </is>
      </c>
      <c r="F4617" s="3" t="inlineStr">
        <is>
          <t>대한해운</t>
        </is>
      </c>
      <c r="G4617" s="2" t="inlineStr">
        <is>
          <t>20260526800734</t>
        </is>
      </c>
      <c r="H4617" s="8">
        <f>HYPERLINK("https://dart.fss.or.kr/dsaf001/main.do?rcpNo=20260526800734", "공시열람")</f>
        <v/>
      </c>
    </row>
    <row r="4618">
      <c r="A4618" s="2" t="inlineStr">
        <is>
          <t>2026-05-26</t>
        </is>
      </c>
      <c r="B4618" s="3" t="inlineStr">
        <is>
          <t>디비금융스팩12호</t>
        </is>
      </c>
      <c r="C4618" s="2" t="inlineStr">
        <is>
          <t>코스닥</t>
        </is>
      </c>
      <c r="D4618" s="2" t="inlineStr">
        <is>
          <t>477760</t>
        </is>
      </c>
      <c r="E4618" s="3" t="inlineStr">
        <is>
          <t>주권매매거래정지해제              (합병결정 철회)</t>
        </is>
      </c>
      <c r="F4618" s="3" t="inlineStr">
        <is>
          <t>코스닥시장본부</t>
        </is>
      </c>
      <c r="G4618" s="2" t="inlineStr">
        <is>
          <t>20260526900733</t>
        </is>
      </c>
      <c r="H4618" s="8">
        <f>HYPERLINK("https://dart.fss.or.kr/dsaf001/main.do?rcpNo=20260526900733", "공시열람")</f>
        <v/>
      </c>
    </row>
    <row r="4619">
      <c r="A4619" s="2" t="inlineStr">
        <is>
          <t>2026-05-26</t>
        </is>
      </c>
      <c r="B4619" s="3" t="inlineStr">
        <is>
          <t>진원생명과학</t>
        </is>
      </c>
      <c r="C4619" s="2" t="inlineStr">
        <is>
          <t>코스피</t>
        </is>
      </c>
      <c r="D4619" s="2" t="inlineStr">
        <is>
          <t>011000</t>
        </is>
      </c>
      <c r="E4619" s="3" t="inlineStr">
        <is>
          <t xml:space="preserve">[기재정정]주주총회소집결의              </t>
        </is>
      </c>
      <c r="F4619" s="3" t="inlineStr">
        <is>
          <t>진원생명과학</t>
        </is>
      </c>
      <c r="G4619" s="2" t="inlineStr">
        <is>
          <t>20260526800669</t>
        </is>
      </c>
      <c r="H4619" s="8">
        <f>HYPERLINK("https://dart.fss.or.kr/dsaf001/main.do?rcpNo=20260526800669", "공시열람")</f>
        <v/>
      </c>
    </row>
    <row r="4620">
      <c r="A4620" s="2" t="inlineStr">
        <is>
          <t>2026-05-26</t>
        </is>
      </c>
      <c r="B4620" s="3" t="inlineStr">
        <is>
          <t>아이에이</t>
        </is>
      </c>
      <c r="C4620" s="2" t="inlineStr">
        <is>
          <t>코스닥</t>
        </is>
      </c>
      <c r="D4620" s="2" t="inlineStr">
        <is>
          <t>038880</t>
        </is>
      </c>
      <c r="E4620" s="3" t="inlineStr">
        <is>
          <t xml:space="preserve">임시주주총회결과              </t>
        </is>
      </c>
      <c r="F4620" s="3" t="inlineStr">
        <is>
          <t>아이에이</t>
        </is>
      </c>
      <c r="G4620" s="2" t="inlineStr">
        <is>
          <t>20260526900672</t>
        </is>
      </c>
      <c r="H4620" s="8">
        <f>HYPERLINK("https://dart.fss.or.kr/dsaf001/main.do?rcpNo=20260526900672", "공시열람")</f>
        <v/>
      </c>
    </row>
    <row r="4621">
      <c r="A4621" s="2" t="inlineStr">
        <is>
          <t>2026-05-26</t>
        </is>
      </c>
      <c r="B4621" s="3" t="inlineStr">
        <is>
          <t>경남제약</t>
        </is>
      </c>
      <c r="C4621" s="2" t="inlineStr">
        <is>
          <t>코스닥</t>
        </is>
      </c>
      <c r="D4621" s="2" t="inlineStr">
        <is>
          <t>053950</t>
        </is>
      </c>
      <c r="E4621" s="3" t="inlineStr">
        <is>
          <t xml:space="preserve">임시주주총회결과              </t>
        </is>
      </c>
      <c r="F4621" s="3" t="inlineStr">
        <is>
          <t>경남제약</t>
        </is>
      </c>
      <c r="G4621" s="2" t="inlineStr">
        <is>
          <t>20260526900648</t>
        </is>
      </c>
      <c r="H4621" s="8">
        <f>HYPERLINK("https://dart.fss.or.kr/dsaf001/main.do?rcpNo=20260526900648", "공시열람")</f>
        <v/>
      </c>
    </row>
    <row r="4622">
      <c r="A4622" s="2" t="inlineStr">
        <is>
          <t>2026-05-26</t>
        </is>
      </c>
      <c r="B4622" s="3" t="inlineStr">
        <is>
          <t>진원생명과학</t>
        </is>
      </c>
      <c r="C4622" s="2" t="inlineStr">
        <is>
          <t>코스피</t>
        </is>
      </c>
      <c r="D4622" s="2" t="inlineStr">
        <is>
          <t>011000</t>
        </is>
      </c>
      <c r="E4622" s="3" t="inlineStr">
        <is>
          <t>[기재정정]주주총회소집공고</t>
        </is>
      </c>
      <c r="F4622" s="3" t="inlineStr">
        <is>
          <t>진원생명과학</t>
        </is>
      </c>
      <c r="G4622" s="2" t="inlineStr">
        <is>
          <t>20260526000439</t>
        </is>
      </c>
      <c r="H4622" s="8">
        <f>HYPERLINK("https://dart.fss.or.kr/dsaf001/main.do?rcpNo=20260526000439", "공시열람")</f>
        <v/>
      </c>
    </row>
    <row r="4623">
      <c r="A4623" s="2" t="inlineStr">
        <is>
          <t>2026-05-26</t>
        </is>
      </c>
      <c r="B4623" s="3" t="inlineStr">
        <is>
          <t>광명전기</t>
        </is>
      </c>
      <c r="C4623" s="2" t="inlineStr">
        <is>
          <t>코스피</t>
        </is>
      </c>
      <c r="D4623" s="2" t="inlineStr">
        <is>
          <t>017040</t>
        </is>
      </c>
      <c r="E4623" s="3" t="inlineStr">
        <is>
          <t xml:space="preserve">소송등의제기ㆍ신청(경영권분쟁소송)              </t>
        </is>
      </c>
      <c r="F4623" s="3" t="inlineStr">
        <is>
          <t>광명전기</t>
        </is>
      </c>
      <c r="G4623" s="2" t="inlineStr">
        <is>
          <t>20260526800611</t>
        </is>
      </c>
      <c r="H4623" s="8">
        <f>HYPERLINK("https://dart.fss.or.kr/dsaf001/main.do?rcpNo=20260526800611", "공시열람")</f>
        <v/>
      </c>
    </row>
    <row r="4624">
      <c r="A4624" s="2" t="inlineStr">
        <is>
          <t>2026-05-26 (정정: 2026-06-26)</t>
        </is>
      </c>
      <c r="B4624" s="3" t="inlineStr">
        <is>
          <t>레이</t>
        </is>
      </c>
      <c r="C4624" s="2" t="inlineStr">
        <is>
          <t>코스닥</t>
        </is>
      </c>
      <c r="D4624" s="2" t="inlineStr">
        <is>
          <t>228670</t>
        </is>
      </c>
      <c r="E4624" s="3" t="inlineStr">
        <is>
          <t>소송등의제기ㆍ신청(경영권분쟁소송)              (검사인 선임) (정정: 20260526) (정정: 20260626)</t>
        </is>
      </c>
      <c r="F4624" s="3" t="inlineStr">
        <is>
          <t>레이</t>
        </is>
      </c>
      <c r="G4624" s="2" t="inlineStr">
        <is>
          <t>20260626900335</t>
        </is>
      </c>
      <c r="H4624" s="8">
        <f>HYPERLINK("https://dart.fss.or.kr/dsaf001/main.do?rcpNo=20260626900335", "공시열람")</f>
        <v/>
      </c>
    </row>
    <row r="4625">
      <c r="A4625" s="2" t="inlineStr">
        <is>
          <t>2026-05-26</t>
        </is>
      </c>
      <c r="B4625" s="3" t="inlineStr">
        <is>
          <t>한세엠케이</t>
        </is>
      </c>
      <c r="C4625" s="2" t="inlineStr">
        <is>
          <t>코스피</t>
        </is>
      </c>
      <c r="D4625" s="2" t="inlineStr">
        <is>
          <t>069640</t>
        </is>
      </c>
      <c r="E4625" s="3" t="inlineStr">
        <is>
          <t>주주총회소집공고</t>
        </is>
      </c>
      <c r="F4625" s="3" t="inlineStr">
        <is>
          <t>한세엠케이</t>
        </is>
      </c>
      <c r="G4625" s="2" t="inlineStr">
        <is>
          <t>20260526000371</t>
        </is>
      </c>
      <c r="H4625" s="8">
        <f>HYPERLINK("https://dart.fss.or.kr/dsaf001/main.do?rcpNo=20260526000371", "공시열람")</f>
        <v/>
      </c>
    </row>
    <row r="4626">
      <c r="A4626" s="2" t="inlineStr">
        <is>
          <t>2026-05-26</t>
        </is>
      </c>
      <c r="B4626" s="3" t="inlineStr">
        <is>
          <t>SGA솔루션즈</t>
        </is>
      </c>
      <c r="C4626" s="2" t="inlineStr">
        <is>
          <t>코스닥</t>
        </is>
      </c>
      <c r="D4626" s="2" t="inlineStr">
        <is>
          <t>184230</t>
        </is>
      </c>
      <c r="E4626" s="3" t="inlineStr">
        <is>
          <t>기타경영사항(자율공시)              (소규모합병 승인 이사회 결의(주주총회 갈음) 결과보고)</t>
        </is>
      </c>
      <c r="F4626" s="3" t="inlineStr">
        <is>
          <t>SGA솔루션즈</t>
        </is>
      </c>
      <c r="G4626" s="2" t="inlineStr">
        <is>
          <t>20260526900546</t>
        </is>
      </c>
      <c r="H4626" s="8">
        <f>HYPERLINK("https://dart.fss.or.kr/dsaf001/main.do?rcpNo=20260526900546", "공시열람")</f>
        <v/>
      </c>
    </row>
    <row r="4627">
      <c r="A4627" s="2" t="inlineStr">
        <is>
          <t>2026-05-26</t>
        </is>
      </c>
      <c r="B4627" s="3" t="inlineStr">
        <is>
          <t>셀피글로벌</t>
        </is>
      </c>
      <c r="C4627" s="2" t="inlineStr">
        <is>
          <t>코스닥</t>
        </is>
      </c>
      <c r="D4627" s="2" t="inlineStr">
        <is>
          <t>068940</t>
        </is>
      </c>
      <c r="E4627" s="3" t="inlineStr">
        <is>
          <t>소송등의제기ㆍ신청(경영권분쟁소송)              (직무집행정지 등 가처분)</t>
        </is>
      </c>
      <c r="F4627" s="3" t="inlineStr">
        <is>
          <t>셀피글로벌</t>
        </is>
      </c>
      <c r="G4627" s="2" t="inlineStr">
        <is>
          <t>20260526900534</t>
        </is>
      </c>
      <c r="H4627" s="8">
        <f>HYPERLINK("https://dart.fss.or.kr/dsaf001/main.do?rcpNo=20260526900534", "공시열람")</f>
        <v/>
      </c>
    </row>
    <row r="4628">
      <c r="A4628" s="2" t="inlineStr">
        <is>
          <t>2026-05-26</t>
        </is>
      </c>
      <c r="B4628" s="3" t="inlineStr">
        <is>
          <t>모바일어플라이언스</t>
        </is>
      </c>
      <c r="C4628" s="2" t="inlineStr">
        <is>
          <t>코스닥</t>
        </is>
      </c>
      <c r="D4628" s="2" t="inlineStr">
        <is>
          <t>087260</t>
        </is>
      </c>
      <c r="E4628" s="3" t="inlineStr">
        <is>
          <t xml:space="preserve">소송등의제기ㆍ신청(경영권분쟁소송)              </t>
        </is>
      </c>
      <c r="F4628" s="3" t="inlineStr">
        <is>
          <t>모바일어플라이언스</t>
        </is>
      </c>
      <c r="G4628" s="2" t="inlineStr">
        <is>
          <t>20260526900507</t>
        </is>
      </c>
      <c r="H4628" s="8">
        <f>HYPERLINK("https://dart.fss.or.kr/dsaf001/main.do?rcpNo=20260526900507", "공시열람")</f>
        <v/>
      </c>
    </row>
    <row r="4629">
      <c r="A4629" s="2" t="inlineStr">
        <is>
          <t>2026-05-26</t>
        </is>
      </c>
      <c r="B4629" s="3" t="inlineStr">
        <is>
          <t>엘디티</t>
        </is>
      </c>
      <c r="C4629" s="2" t="inlineStr">
        <is>
          <t>코스닥</t>
        </is>
      </c>
      <c r="D4629" s="2" t="inlineStr">
        <is>
          <t>096870</t>
        </is>
      </c>
      <c r="E4629" s="3" t="inlineStr">
        <is>
          <t>소송등의제기ㆍ신청(경영권분쟁소송)              (주주총회소집허가)</t>
        </is>
      </c>
      <c r="F4629" s="3" t="inlineStr">
        <is>
          <t>엘디티</t>
        </is>
      </c>
      <c r="G4629" s="2" t="inlineStr">
        <is>
          <t>20260526900498</t>
        </is>
      </c>
      <c r="H4629" s="8">
        <f>HYPERLINK("https://dart.fss.or.kr/dsaf001/main.do?rcpNo=20260526900498", "공시열람")</f>
        <v/>
      </c>
    </row>
    <row r="4630">
      <c r="A4630" s="2" t="inlineStr">
        <is>
          <t>2026-05-26</t>
        </is>
      </c>
      <c r="B4630" s="3" t="inlineStr">
        <is>
          <t>한국가스공사</t>
        </is>
      </c>
      <c r="C4630" s="2" t="inlineStr">
        <is>
          <t>코스피</t>
        </is>
      </c>
      <c r="D4630" s="2" t="inlineStr">
        <is>
          <t>036460</t>
        </is>
      </c>
      <c r="E4630" s="3" t="inlineStr">
        <is>
          <t xml:space="preserve">임시주주총회결과              </t>
        </is>
      </c>
      <c r="F4630" s="3" t="inlineStr">
        <is>
          <t>한국가스공사</t>
        </is>
      </c>
      <c r="G4630" s="2" t="inlineStr">
        <is>
          <t>20260526800481</t>
        </is>
      </c>
      <c r="H4630" s="8">
        <f>HYPERLINK("https://dart.fss.or.kr/dsaf001/main.do?rcpNo=20260526800481", "공시열람")</f>
        <v/>
      </c>
    </row>
    <row r="4631">
      <c r="A4631" s="2" t="inlineStr">
        <is>
          <t>2026-05-26</t>
        </is>
      </c>
      <c r="B4631" s="3" t="inlineStr">
        <is>
          <t>동일기연</t>
        </is>
      </c>
      <c r="C4631" s="2" t="inlineStr">
        <is>
          <t>코스닥</t>
        </is>
      </c>
      <c r="D4631" s="2" t="inlineStr">
        <is>
          <t>032960</t>
        </is>
      </c>
      <c r="E4631" s="3" t="inlineStr">
        <is>
          <t>주주총회소집공고</t>
        </is>
      </c>
      <c r="F4631" s="3" t="inlineStr">
        <is>
          <t>동일기연</t>
        </is>
      </c>
      <c r="G4631" s="2" t="inlineStr">
        <is>
          <t>20260526000332</t>
        </is>
      </c>
      <c r="H4631" s="8">
        <f>HYPERLINK("https://dart.fss.or.kr/dsaf001/main.do?rcpNo=20260526000332", "공시열람")</f>
        <v/>
      </c>
    </row>
    <row r="4632">
      <c r="A4632" s="2" t="inlineStr">
        <is>
          <t>2026-05-26</t>
        </is>
      </c>
      <c r="B4632" s="3" t="inlineStr">
        <is>
          <t>미래아이앤지</t>
        </is>
      </c>
      <c r="C4632" s="2" t="inlineStr">
        <is>
          <t>코스피</t>
        </is>
      </c>
      <c r="D4632" s="2" t="inlineStr">
        <is>
          <t>007120</t>
        </is>
      </c>
      <c r="E4632" s="3" t="inlineStr">
        <is>
          <t xml:space="preserve">임시주주총회결과              </t>
        </is>
      </c>
      <c r="F4632" s="3" t="inlineStr">
        <is>
          <t>미래아이앤지</t>
        </is>
      </c>
      <c r="G4632" s="2" t="inlineStr">
        <is>
          <t>20260526800460</t>
        </is>
      </c>
      <c r="H4632" s="8">
        <f>HYPERLINK("https://dart.fss.or.kr/dsaf001/main.do?rcpNo=20260526800460", "공시열람")</f>
        <v/>
      </c>
    </row>
    <row r="4633">
      <c r="A4633" s="2" t="inlineStr">
        <is>
          <t>2026-05-26</t>
        </is>
      </c>
      <c r="B4633" s="3" t="inlineStr">
        <is>
          <t>시그네틱스</t>
        </is>
      </c>
      <c r="C4633" s="2" t="inlineStr">
        <is>
          <t>코스닥</t>
        </is>
      </c>
      <c r="D4633" s="2" t="inlineStr">
        <is>
          <t>033170</t>
        </is>
      </c>
      <c r="E4633" s="3" t="inlineStr">
        <is>
          <t>주주총회소집결의              (임시주주총회)</t>
        </is>
      </c>
      <c r="F4633" s="3" t="inlineStr">
        <is>
          <t>시그네틱스</t>
        </is>
      </c>
      <c r="G4633" s="2" t="inlineStr">
        <is>
          <t>20260526900447</t>
        </is>
      </c>
      <c r="H4633" s="8">
        <f>HYPERLINK("https://dart.fss.or.kr/dsaf001/main.do?rcpNo=20260526900447", "공시열람")</f>
        <v/>
      </c>
    </row>
    <row r="4634">
      <c r="A4634" s="2" t="inlineStr">
        <is>
          <t>2026-05-26</t>
        </is>
      </c>
      <c r="B4634" s="3" t="inlineStr">
        <is>
          <t>선진뷰티사이언스</t>
        </is>
      </c>
      <c r="C4634" s="2" t="inlineStr">
        <is>
          <t>코스닥</t>
        </is>
      </c>
      <c r="D4634" s="2" t="inlineStr">
        <is>
          <t>086710</t>
        </is>
      </c>
      <c r="E4634" s="3" t="inlineStr">
        <is>
          <t>주주총회소집공고</t>
        </is>
      </c>
      <c r="F4634" s="3" t="inlineStr">
        <is>
          <t>선진뷰티사이언스</t>
        </is>
      </c>
      <c r="G4634" s="2" t="inlineStr">
        <is>
          <t>20260526000294</t>
        </is>
      </c>
      <c r="H4634" s="8">
        <f>HYPERLINK("https://dart.fss.or.kr/dsaf001/main.do?rcpNo=20260526000294", "공시열람")</f>
        <v/>
      </c>
    </row>
    <row r="4635">
      <c r="A4635" s="2" t="inlineStr">
        <is>
          <t>2026-05-26</t>
        </is>
      </c>
      <c r="B4635" s="3" t="inlineStr">
        <is>
          <t>썸에이지</t>
        </is>
      </c>
      <c r="C4635" s="2" t="inlineStr">
        <is>
          <t>코스닥</t>
        </is>
      </c>
      <c r="D4635" s="2" t="inlineStr">
        <is>
          <t>208640</t>
        </is>
      </c>
      <c r="E4635" s="3" t="inlineStr">
        <is>
          <t xml:space="preserve">임시주주총회결과              </t>
        </is>
      </c>
      <c r="F4635" s="3" t="inlineStr">
        <is>
          <t>썸에이지</t>
        </is>
      </c>
      <c r="G4635" s="2" t="inlineStr">
        <is>
          <t>20260526900359</t>
        </is>
      </c>
      <c r="H4635" s="8">
        <f>HYPERLINK("https://dart.fss.or.kr/dsaf001/main.do?rcpNo=20260526900359", "공시열람")</f>
        <v/>
      </c>
    </row>
    <row r="4636">
      <c r="A4636" s="2" t="inlineStr">
        <is>
          <t>2026-05-26</t>
        </is>
      </c>
      <c r="B4636" s="3" t="inlineStr">
        <is>
          <t>우림피티에스</t>
        </is>
      </c>
      <c r="C4636" s="2" t="inlineStr">
        <is>
          <t>코스닥</t>
        </is>
      </c>
      <c r="D4636" s="2" t="inlineStr">
        <is>
          <t>101170</t>
        </is>
      </c>
      <c r="E4636" s="3" t="inlineStr">
        <is>
          <t xml:space="preserve">임시주주총회결과              </t>
        </is>
      </c>
      <c r="F4636" s="3" t="inlineStr">
        <is>
          <t>우림피티에스</t>
        </is>
      </c>
      <c r="G4636" s="2" t="inlineStr">
        <is>
          <t>20260526900292</t>
        </is>
      </c>
      <c r="H4636" s="8">
        <f>HYPERLINK("https://dart.fss.or.kr/dsaf001/main.do?rcpNo=20260526900292", "공시열람")</f>
        <v/>
      </c>
    </row>
    <row r="4637">
      <c r="A4637" s="2" t="inlineStr">
        <is>
          <t>2026-05-26</t>
        </is>
      </c>
      <c r="B4637" s="3" t="inlineStr">
        <is>
          <t>비츠로시스</t>
        </is>
      </c>
      <c r="C4637" s="2" t="inlineStr">
        <is>
          <t>코스닥</t>
        </is>
      </c>
      <c r="D4637" s="2" t="inlineStr">
        <is>
          <t>054220</t>
        </is>
      </c>
      <c r="E4637" s="3" t="inlineStr">
        <is>
          <t xml:space="preserve">임시주주총회결과              </t>
        </is>
      </c>
      <c r="F4637" s="3" t="inlineStr">
        <is>
          <t>비츠로시스</t>
        </is>
      </c>
      <c r="G4637" s="2" t="inlineStr">
        <is>
          <t>20260526900278</t>
        </is>
      </c>
      <c r="H4637" s="8">
        <f>HYPERLINK("https://dart.fss.or.kr/dsaf001/main.do?rcpNo=20260526900278", "공시열람")</f>
        <v/>
      </c>
    </row>
    <row r="4638">
      <c r="A4638" s="2" t="inlineStr">
        <is>
          <t>2026-05-26</t>
        </is>
      </c>
      <c r="B4638" s="3" t="inlineStr">
        <is>
          <t>이엠텍</t>
        </is>
      </c>
      <c r="C4638" s="2" t="inlineStr">
        <is>
          <t>코스닥</t>
        </is>
      </c>
      <c r="D4638" s="2" t="inlineStr">
        <is>
          <t>091120</t>
        </is>
      </c>
      <c r="E4638" s="3" t="inlineStr">
        <is>
          <t>[첨부정정]주요사항보고서(회사합병결정)</t>
        </is>
      </c>
      <c r="F4638" s="3" t="inlineStr">
        <is>
          <t>이엠텍</t>
        </is>
      </c>
      <c r="G4638" s="2" t="inlineStr">
        <is>
          <t>20260526000073</t>
        </is>
      </c>
      <c r="H4638" s="8">
        <f>HYPERLINK("https://dart.fss.or.kr/dsaf001/main.do?rcpNo=20260526000073", "공시열람")</f>
        <v/>
      </c>
    </row>
    <row r="4639">
      <c r="A4639" s="2" t="inlineStr">
        <is>
          <t>2026-05-26</t>
        </is>
      </c>
      <c r="B4639" s="3" t="inlineStr">
        <is>
          <t>아모그린텍</t>
        </is>
      </c>
      <c r="C4639" s="2" t="inlineStr">
        <is>
          <t>코스닥</t>
        </is>
      </c>
      <c r="D4639" s="2" t="inlineStr">
        <is>
          <t>125210</t>
        </is>
      </c>
      <c r="E4639" s="3" t="inlineStr">
        <is>
          <t>주주총회소집공고</t>
        </is>
      </c>
      <c r="F4639" s="3" t="inlineStr">
        <is>
          <t>아모그린텍</t>
        </is>
      </c>
      <c r="G4639" s="2" t="inlineStr">
        <is>
          <t>20260526000072</t>
        </is>
      </c>
      <c r="H4639" s="8">
        <f>HYPERLINK("https://dart.fss.or.kr/dsaf001/main.do?rcpNo=20260526000072", "공시열람")</f>
        <v/>
      </c>
    </row>
    <row r="4640">
      <c r="A4640" s="2" t="inlineStr">
        <is>
          <t>2026-05-27 (정정: 2026-05-28)</t>
        </is>
      </c>
      <c r="B4640" s="3" t="inlineStr">
        <is>
          <t>코스맥스비티아이</t>
        </is>
      </c>
      <c r="C4640" s="2" t="inlineStr">
        <is>
          <t>코스피</t>
        </is>
      </c>
      <c r="D4640" s="2" t="inlineStr">
        <is>
          <t>044820</t>
        </is>
      </c>
      <c r="E4640" s="3" t="inlineStr">
        <is>
          <t>최대주주변경               (정정: 20260528)</t>
        </is>
      </c>
      <c r="F4640" s="3" t="inlineStr">
        <is>
          <t>코스맥스비티아이</t>
        </is>
      </c>
      <c r="G4640" s="2" t="inlineStr">
        <is>
          <t>20260528800324</t>
        </is>
      </c>
      <c r="H4640" s="8">
        <f>HYPERLINK("https://dart.fss.or.kr/dsaf001/main.do?rcpNo=20260528800324", "공시열람")</f>
        <v/>
      </c>
    </row>
    <row r="4641">
      <c r="A4641" s="2" t="inlineStr">
        <is>
          <t>2026-05-27</t>
        </is>
      </c>
      <c r="B4641" s="3" t="inlineStr">
        <is>
          <t>신영증권</t>
        </is>
      </c>
      <c r="C4641" s="2" t="inlineStr">
        <is>
          <t>코스피</t>
        </is>
      </c>
      <c r="D4641" s="2" t="inlineStr">
        <is>
          <t>001720</t>
        </is>
      </c>
      <c r="E4641" s="3" t="inlineStr">
        <is>
          <t xml:space="preserve">주주총회소집결의              </t>
        </is>
      </c>
      <c r="F4641" s="3" t="inlineStr">
        <is>
          <t>신영증권</t>
        </is>
      </c>
      <c r="G4641" s="2" t="inlineStr">
        <is>
          <t>20260527800883</t>
        </is>
      </c>
      <c r="H4641" s="8">
        <f>HYPERLINK("https://dart.fss.or.kr/dsaf001/main.do?rcpNo=20260527800883", "공시열람")</f>
        <v/>
      </c>
    </row>
    <row r="4642">
      <c r="A4642" s="2" t="inlineStr">
        <is>
          <t>2026-05-27</t>
        </is>
      </c>
      <c r="B4642" s="3" t="inlineStr">
        <is>
          <t>대호에이엘</t>
        </is>
      </c>
      <c r="C4642" s="2" t="inlineStr">
        <is>
          <t>코스피</t>
        </is>
      </c>
      <c r="D4642" s="2" t="inlineStr">
        <is>
          <t>069460</t>
        </is>
      </c>
      <c r="E4642" s="3" t="inlineStr">
        <is>
          <t>주주총회소집공고</t>
        </is>
      </c>
      <c r="F4642" s="3" t="inlineStr">
        <is>
          <t>대호에이엘</t>
        </is>
      </c>
      <c r="G4642" s="2" t="inlineStr">
        <is>
          <t>20260527000613</t>
        </is>
      </c>
      <c r="H4642" s="8">
        <f>HYPERLINK("https://dart.fss.or.kr/dsaf001/main.do?rcpNo=20260527000613", "공시열람")</f>
        <v/>
      </c>
    </row>
    <row r="4643">
      <c r="A4643" s="2" t="inlineStr">
        <is>
          <t>2026-05-27</t>
        </is>
      </c>
      <c r="B4643" s="3" t="inlineStr">
        <is>
          <t>우듬지팜</t>
        </is>
      </c>
      <c r="C4643" s="2" t="inlineStr">
        <is>
          <t>코스닥</t>
        </is>
      </c>
      <c r="D4643" s="2" t="inlineStr">
        <is>
          <t>403490</t>
        </is>
      </c>
      <c r="E4643" s="3" t="inlineStr">
        <is>
          <t>주주총회소집결의              (임시주주총회)</t>
        </is>
      </c>
      <c r="F4643" s="3" t="inlineStr">
        <is>
          <t>우듬지팜</t>
        </is>
      </c>
      <c r="G4643" s="2" t="inlineStr">
        <is>
          <t>20260527900872</t>
        </is>
      </c>
      <c r="H4643" s="8">
        <f>HYPERLINK("https://dart.fss.or.kr/dsaf001/main.do?rcpNo=20260527900872", "공시열람")</f>
        <v/>
      </c>
    </row>
    <row r="4644">
      <c r="A4644" s="2" t="inlineStr">
        <is>
          <t>2026-05-27 (정정: 2026-05-27)</t>
        </is>
      </c>
      <c r="B4644" s="3" t="inlineStr">
        <is>
          <t>알로이스</t>
        </is>
      </c>
      <c r="C4644" s="2" t="inlineStr">
        <is>
          <t>코스닥</t>
        </is>
      </c>
      <c r="D4644" s="2" t="inlineStr">
        <is>
          <t>297570</t>
        </is>
      </c>
      <c r="E4644" s="3" t="inlineStr">
        <is>
          <t>주주총회소집공고 (정정: 20260527)</t>
        </is>
      </c>
      <c r="F4644" s="3" t="inlineStr">
        <is>
          <t>알로이스</t>
        </is>
      </c>
      <c r="G4644" s="2" t="inlineStr">
        <is>
          <t>20260527900699</t>
        </is>
      </c>
      <c r="H4644" s="8">
        <f>HYPERLINK("https://dart.fss.or.kr/dsaf001/main.do?rcpNo=20260527900699", "공시열람")</f>
        <v/>
      </c>
    </row>
    <row r="4645">
      <c r="A4645" s="2" t="inlineStr">
        <is>
          <t>2026-05-27</t>
        </is>
      </c>
      <c r="B4645" s="3" t="inlineStr">
        <is>
          <t>3S</t>
        </is>
      </c>
      <c r="C4645" s="2" t="inlineStr">
        <is>
          <t>코스닥</t>
        </is>
      </c>
      <c r="D4645" s="2" t="inlineStr">
        <is>
          <t>060310</t>
        </is>
      </c>
      <c r="E4645" s="3" t="inlineStr">
        <is>
          <t xml:space="preserve">주주총회소집결의              </t>
        </is>
      </c>
      <c r="F4645" s="3" t="inlineStr">
        <is>
          <t>3S</t>
        </is>
      </c>
      <c r="G4645" s="2" t="inlineStr">
        <is>
          <t>20260527900858</t>
        </is>
      </c>
      <c r="H4645" s="8">
        <f>HYPERLINK("https://dart.fss.or.kr/dsaf001/main.do?rcpNo=20260527900858", "공시열람")</f>
        <v/>
      </c>
    </row>
    <row r="4646">
      <c r="A4646" s="2" t="inlineStr">
        <is>
          <t>2026-05-27</t>
        </is>
      </c>
      <c r="B4646" s="3" t="inlineStr">
        <is>
          <t>원일티엔아이</t>
        </is>
      </c>
      <c r="C4646" s="2" t="inlineStr">
        <is>
          <t>코스닥</t>
        </is>
      </c>
      <c r="D4646" s="2" t="inlineStr">
        <is>
          <t>136150</t>
        </is>
      </c>
      <c r="E4646" s="3" t="inlineStr">
        <is>
          <t>주주총회소집결의              (임시주주총회)</t>
        </is>
      </c>
      <c r="F4646" s="3" t="inlineStr">
        <is>
          <t>원일티엔아이</t>
        </is>
      </c>
      <c r="G4646" s="2" t="inlineStr">
        <is>
          <t>20260527900719</t>
        </is>
      </c>
      <c r="H4646" s="8">
        <f>HYPERLINK("https://dart.fss.or.kr/dsaf001/main.do?rcpNo=20260527900719", "공시열람")</f>
        <v/>
      </c>
    </row>
    <row r="4647">
      <c r="A4647" s="2" t="inlineStr">
        <is>
          <t>2026-05-27</t>
        </is>
      </c>
      <c r="B4647" s="3" t="inlineStr">
        <is>
          <t>와이바이오로직스</t>
        </is>
      </c>
      <c r="C4647" s="2" t="inlineStr">
        <is>
          <t>코스닥</t>
        </is>
      </c>
      <c r="D4647" s="2" t="inlineStr">
        <is>
          <t>338840</t>
        </is>
      </c>
      <c r="E4647" s="3" t="inlineStr">
        <is>
          <t>주주총회소집결의              (임시주주총회)</t>
        </is>
      </c>
      <c r="F4647" s="3" t="inlineStr">
        <is>
          <t>와이바이오로직스</t>
        </is>
      </c>
      <c r="G4647" s="2" t="inlineStr">
        <is>
          <t>20260527900678</t>
        </is>
      </c>
      <c r="H4647" s="8">
        <f>HYPERLINK("https://dart.fss.or.kr/dsaf001/main.do?rcpNo=20260527900678", "공시열람")</f>
        <v/>
      </c>
    </row>
    <row r="4648">
      <c r="A4648" s="2" t="inlineStr">
        <is>
          <t>2026-05-27</t>
        </is>
      </c>
      <c r="B4648" s="3" t="inlineStr">
        <is>
          <t>삼익제약</t>
        </is>
      </c>
      <c r="C4648" s="2" t="inlineStr">
        <is>
          <t>코스닥</t>
        </is>
      </c>
      <c r="D4648" s="2" t="inlineStr">
        <is>
          <t>014950</t>
        </is>
      </c>
      <c r="E4648" s="3" t="inlineStr">
        <is>
          <t>주주총회소집결의              (임시주주총회)</t>
        </is>
      </c>
      <c r="F4648" s="3" t="inlineStr">
        <is>
          <t>삼익제약</t>
        </is>
      </c>
      <c r="G4648" s="2" t="inlineStr">
        <is>
          <t>20260527900591</t>
        </is>
      </c>
      <c r="H4648" s="8">
        <f>HYPERLINK("https://dart.fss.or.kr/dsaf001/main.do?rcpNo=20260527900591", "공시열람")</f>
        <v/>
      </c>
    </row>
    <row r="4649">
      <c r="A4649" s="2" t="inlineStr">
        <is>
          <t>2026-05-27</t>
        </is>
      </c>
      <c r="B4649" s="3" t="inlineStr">
        <is>
          <t>KTcs</t>
        </is>
      </c>
      <c r="C4649" s="2" t="inlineStr">
        <is>
          <t>코스피</t>
        </is>
      </c>
      <c r="D4649" s="2" t="inlineStr">
        <is>
          <t>058850</t>
        </is>
      </c>
      <c r="E4649" s="3" t="inlineStr">
        <is>
          <t xml:space="preserve">임시주주총회결과              </t>
        </is>
      </c>
      <c r="F4649" s="3" t="inlineStr">
        <is>
          <t>KTcs</t>
        </is>
      </c>
      <c r="G4649" s="2" t="inlineStr">
        <is>
          <t>20260527800611</t>
        </is>
      </c>
      <c r="H4649" s="8">
        <f>HYPERLINK("https://dart.fss.or.kr/dsaf001/main.do?rcpNo=20260527800611", "공시열람")</f>
        <v/>
      </c>
    </row>
    <row r="4650">
      <c r="A4650" s="2" t="inlineStr">
        <is>
          <t>2026-05-27</t>
        </is>
      </c>
      <c r="B4650" s="3" t="inlineStr">
        <is>
          <t>케이티스카이라이프</t>
        </is>
      </c>
      <c r="C4650" s="2" t="inlineStr">
        <is>
          <t>코스피</t>
        </is>
      </c>
      <c r="D4650" s="2" t="inlineStr">
        <is>
          <t>053210</t>
        </is>
      </c>
      <c r="E4650" s="3" t="inlineStr">
        <is>
          <t xml:space="preserve">임시주주총회결과              </t>
        </is>
      </c>
      <c r="F4650" s="3" t="inlineStr">
        <is>
          <t>케이티스카이라이프</t>
        </is>
      </c>
      <c r="G4650" s="2" t="inlineStr">
        <is>
          <t>20260527800613</t>
        </is>
      </c>
      <c r="H4650" s="8">
        <f>HYPERLINK("https://dart.fss.or.kr/dsaf001/main.do?rcpNo=20260527800613", "공시열람")</f>
        <v/>
      </c>
    </row>
    <row r="4651">
      <c r="A4651" s="2" t="inlineStr">
        <is>
          <t>2026-05-27</t>
        </is>
      </c>
      <c r="B4651" s="3" t="inlineStr">
        <is>
          <t>파워넷</t>
        </is>
      </c>
      <c r="C4651" s="2" t="inlineStr">
        <is>
          <t>코스닥</t>
        </is>
      </c>
      <c r="D4651" s="2" t="inlineStr">
        <is>
          <t>037030</t>
        </is>
      </c>
      <c r="E4651" s="3" t="inlineStr">
        <is>
          <t>주주총회소집결의              (임시주주총회)</t>
        </is>
      </c>
      <c r="F4651" s="3" t="inlineStr">
        <is>
          <t>파워넷</t>
        </is>
      </c>
      <c r="G4651" s="2" t="inlineStr">
        <is>
          <t>20260527900576</t>
        </is>
      </c>
      <c r="H4651" s="8">
        <f>HYPERLINK("https://dart.fss.or.kr/dsaf001/main.do?rcpNo=20260527900576", "공시열람")</f>
        <v/>
      </c>
    </row>
    <row r="4652">
      <c r="A4652" s="2" t="inlineStr">
        <is>
          <t>2026-05-27</t>
        </is>
      </c>
      <c r="B4652" s="3" t="inlineStr">
        <is>
          <t>원림</t>
        </is>
      </c>
      <c r="C4652" s="2" t="inlineStr">
        <is>
          <t>코스피</t>
        </is>
      </c>
      <c r="D4652" s="2" t="inlineStr">
        <is>
          <t>005820</t>
        </is>
      </c>
      <c r="E4652" s="3" t="inlineStr">
        <is>
          <t xml:space="preserve">주주총회소집결의              </t>
        </is>
      </c>
      <c r="F4652" s="3" t="inlineStr">
        <is>
          <t>원림</t>
        </is>
      </c>
      <c r="G4652" s="2" t="inlineStr">
        <is>
          <t>20260527800511</t>
        </is>
      </c>
      <c r="H4652" s="8">
        <f>HYPERLINK("https://dart.fss.or.kr/dsaf001/main.do?rcpNo=20260527800511", "공시열람")</f>
        <v/>
      </c>
    </row>
    <row r="4653">
      <c r="A4653" s="2" t="inlineStr">
        <is>
          <t>2026-05-27 (정정: 2026-05-27)</t>
        </is>
      </c>
      <c r="B4653" s="3" t="inlineStr">
        <is>
          <t>플래스크</t>
        </is>
      </c>
      <c r="C4653" s="2" t="inlineStr">
        <is>
          <t>코스닥</t>
        </is>
      </c>
      <c r="D4653" s="2" t="inlineStr">
        <is>
          <t>041590</t>
        </is>
      </c>
      <c r="E4653" s="3" t="inlineStr">
        <is>
          <t>주주총회소집공고 (정정: 20260527)</t>
        </is>
      </c>
      <c r="F4653" s="3" t="inlineStr">
        <is>
          <t>플래스크</t>
        </is>
      </c>
      <c r="G4653" s="2" t="inlineStr">
        <is>
          <t>20260527900440</t>
        </is>
      </c>
      <c r="H4653" s="8">
        <f>HYPERLINK("https://dart.fss.or.kr/dsaf001/main.do?rcpNo=20260527900440", "공시열람")</f>
        <v/>
      </c>
    </row>
    <row r="4654">
      <c r="A4654" s="2" t="inlineStr">
        <is>
          <t>2026-05-27</t>
        </is>
      </c>
      <c r="B4654" s="3" t="inlineStr">
        <is>
          <t>KTis</t>
        </is>
      </c>
      <c r="C4654" s="2" t="inlineStr">
        <is>
          <t>코스피</t>
        </is>
      </c>
      <c r="D4654" s="2" t="inlineStr">
        <is>
          <t>058860</t>
        </is>
      </c>
      <c r="E4654" s="3" t="inlineStr">
        <is>
          <t xml:space="preserve">임시주주총회결과              </t>
        </is>
      </c>
      <c r="F4654" s="3" t="inlineStr">
        <is>
          <t>KTis</t>
        </is>
      </c>
      <c r="G4654" s="2" t="inlineStr">
        <is>
          <t>20260527800471</t>
        </is>
      </c>
      <c r="H4654" s="8">
        <f>HYPERLINK("https://dart.fss.or.kr/dsaf001/main.do?rcpNo=20260527800471", "공시열람")</f>
        <v/>
      </c>
    </row>
    <row r="4655">
      <c r="A4655" s="2" t="inlineStr">
        <is>
          <t>2026-05-27</t>
        </is>
      </c>
      <c r="B4655" s="3" t="inlineStr">
        <is>
          <t>한국유니온제약</t>
        </is>
      </c>
      <c r="C4655" s="2" t="inlineStr">
        <is>
          <t>코스닥</t>
        </is>
      </c>
      <c r="D4655" s="2" t="inlineStr">
        <is>
          <t>080720</t>
        </is>
      </c>
      <c r="E4655" s="3" t="inlineStr">
        <is>
          <t xml:space="preserve">최대주주변경              </t>
        </is>
      </c>
      <c r="F4655" s="3" t="inlineStr">
        <is>
          <t>한국유니온제약</t>
        </is>
      </c>
      <c r="G4655" s="2" t="inlineStr">
        <is>
          <t>20260527900439</t>
        </is>
      </c>
      <c r="H4655" s="8">
        <f>HYPERLINK("https://dart.fss.or.kr/dsaf001/main.do?rcpNo=20260527900439", "공시열람")</f>
        <v/>
      </c>
    </row>
    <row r="4656">
      <c r="A4656" s="2" t="inlineStr">
        <is>
          <t>2026-05-27</t>
        </is>
      </c>
      <c r="B4656" s="3" t="inlineStr">
        <is>
          <t>와이즈넛</t>
        </is>
      </c>
      <c r="C4656" s="2" t="inlineStr">
        <is>
          <t>코스닥</t>
        </is>
      </c>
      <c r="D4656" s="2" t="inlineStr">
        <is>
          <t>096250</t>
        </is>
      </c>
      <c r="E4656" s="3" t="inlineStr">
        <is>
          <t xml:space="preserve">임시주주총회결과              </t>
        </is>
      </c>
      <c r="F4656" s="3" t="inlineStr">
        <is>
          <t>와이즈넛</t>
        </is>
      </c>
      <c r="G4656" s="2" t="inlineStr">
        <is>
          <t>20260527900446</t>
        </is>
      </c>
      <c r="H4656" s="8">
        <f>HYPERLINK("https://dart.fss.or.kr/dsaf001/main.do?rcpNo=20260527900446", "공시열람")</f>
        <v/>
      </c>
    </row>
    <row r="4657">
      <c r="A4657" s="2" t="inlineStr">
        <is>
          <t>2026-05-27</t>
        </is>
      </c>
      <c r="B4657" s="3" t="inlineStr">
        <is>
          <t>피앤씨테크</t>
        </is>
      </c>
      <c r="C4657" s="2" t="inlineStr">
        <is>
          <t>코스닥</t>
        </is>
      </c>
      <c r="D4657" s="2" t="inlineStr">
        <is>
          <t>237750</t>
        </is>
      </c>
      <c r="E4657" s="3" t="inlineStr">
        <is>
          <t>기타경영사항(자율공시)              (소규모합병 승인 이사회결의(주주총회 갈음)결과 보고)</t>
        </is>
      </c>
      <c r="F4657" s="3" t="inlineStr">
        <is>
          <t>피앤씨테크</t>
        </is>
      </c>
      <c r="G4657" s="2" t="inlineStr">
        <is>
          <t>20260527900413</t>
        </is>
      </c>
      <c r="H4657" s="8">
        <f>HYPERLINK("https://dart.fss.or.kr/dsaf001/main.do?rcpNo=20260527900413", "공시열람")</f>
        <v/>
      </c>
    </row>
    <row r="4658">
      <c r="A4658" s="2" t="inlineStr">
        <is>
          <t>2026-05-27</t>
        </is>
      </c>
      <c r="B4658" s="3" t="inlineStr">
        <is>
          <t>금양그린파워</t>
        </is>
      </c>
      <c r="C4658" s="2" t="inlineStr">
        <is>
          <t>코스닥</t>
        </is>
      </c>
      <c r="D4658" s="2" t="inlineStr">
        <is>
          <t>282720</t>
        </is>
      </c>
      <c r="E4658" s="3" t="inlineStr">
        <is>
          <t xml:space="preserve">임시주주총회결과              </t>
        </is>
      </c>
      <c r="F4658" s="3" t="inlineStr">
        <is>
          <t>금양그린파워</t>
        </is>
      </c>
      <c r="G4658" s="2" t="inlineStr">
        <is>
          <t>20260527900408</t>
        </is>
      </c>
      <c r="H4658" s="8">
        <f>HYPERLINK("https://dart.fss.or.kr/dsaf001/main.do?rcpNo=20260527900408", "공시열람")</f>
        <v/>
      </c>
    </row>
    <row r="4659">
      <c r="A4659" s="2" t="inlineStr">
        <is>
          <t>2026-05-27</t>
        </is>
      </c>
      <c r="B4659" s="3" t="inlineStr">
        <is>
          <t>우진아이엔에스</t>
        </is>
      </c>
      <c r="C4659" s="2" t="inlineStr">
        <is>
          <t>코스피</t>
        </is>
      </c>
      <c r="D4659" s="2" t="inlineStr">
        <is>
          <t>010400</t>
        </is>
      </c>
      <c r="E4659" s="3" t="inlineStr">
        <is>
          <t>주주총회소집공고</t>
        </is>
      </c>
      <c r="F4659" s="3" t="inlineStr">
        <is>
          <t>우진아이엔에스</t>
        </is>
      </c>
      <c r="G4659" s="2" t="inlineStr">
        <is>
          <t>20260527000273</t>
        </is>
      </c>
      <c r="H4659" s="8">
        <f>HYPERLINK("https://dart.fss.or.kr/dsaf001/main.do?rcpNo=20260527000273", "공시열람")</f>
        <v/>
      </c>
    </row>
    <row r="4660">
      <c r="A4660" s="2" t="inlineStr">
        <is>
          <t>2026-05-27</t>
        </is>
      </c>
      <c r="B4660" s="3" t="inlineStr">
        <is>
          <t>이엠텍</t>
        </is>
      </c>
      <c r="C4660" s="2" t="inlineStr">
        <is>
          <t>코스닥</t>
        </is>
      </c>
      <c r="D4660" s="2" t="inlineStr">
        <is>
          <t>091120</t>
        </is>
      </c>
      <c r="E4660" s="3" t="inlineStr">
        <is>
          <t>[첨부정정]주요사항보고서(회사합병결정)</t>
        </is>
      </c>
      <c r="F4660" s="3" t="inlineStr">
        <is>
          <t>이엠텍</t>
        </is>
      </c>
      <c r="G4660" s="2" t="inlineStr">
        <is>
          <t>20260527000208</t>
        </is>
      </c>
      <c r="H4660" s="8">
        <f>HYPERLINK("https://dart.fss.or.kr/dsaf001/main.do?rcpNo=20260527000208", "공시열람")</f>
        <v/>
      </c>
    </row>
    <row r="4661">
      <c r="A4661" s="2" t="inlineStr">
        <is>
          <t>2026-05-28 (정정: 2026-06-22)</t>
        </is>
      </c>
      <c r="B4661" s="3" t="inlineStr">
        <is>
          <t>휴온스글로벌</t>
        </is>
      </c>
      <c r="C4661" s="2" t="inlineStr">
        <is>
          <t>코스닥</t>
        </is>
      </c>
      <c r="D4661" s="2" t="inlineStr">
        <is>
          <t>084110</t>
        </is>
      </c>
      <c r="E4661" s="3" t="inlineStr">
        <is>
          <t>주주총회소집결의              (임시주주총회) (정정: 20260528) (정정: 20260622)</t>
        </is>
      </c>
      <c r="F4661" s="3" t="inlineStr">
        <is>
          <t>휴온스글로벌</t>
        </is>
      </c>
      <c r="G4661" s="2" t="inlineStr">
        <is>
          <t>20260622900504</t>
        </is>
      </c>
      <c r="H4661" s="8">
        <f>HYPERLINK("https://dart.fss.or.kr/dsaf001/main.do?rcpNo=20260622900504", "공시열람")</f>
        <v/>
      </c>
    </row>
    <row r="4662">
      <c r="A4662" s="2" t="inlineStr">
        <is>
          <t>2026-05-28 (정정: 2026-05-28)</t>
        </is>
      </c>
      <c r="B4662" s="3" t="inlineStr">
        <is>
          <t>알엔티엑스</t>
        </is>
      </c>
      <c r="C4662" s="2" t="inlineStr">
        <is>
          <t>코스닥</t>
        </is>
      </c>
      <c r="D4662" s="2" t="inlineStr">
        <is>
          <t>123010</t>
        </is>
      </c>
      <c r="E4662" s="3" t="inlineStr">
        <is>
          <t>최대주주변경               (정정: 20260528)</t>
        </is>
      </c>
      <c r="F4662" s="3" t="inlineStr">
        <is>
          <t>알엔티엑스</t>
        </is>
      </c>
      <c r="G4662" s="2" t="inlineStr">
        <is>
          <t>20260528901112</t>
        </is>
      </c>
      <c r="H4662" s="8">
        <f>HYPERLINK("https://dart.fss.or.kr/dsaf001/main.do?rcpNo=20260528901112", "공시열람")</f>
        <v/>
      </c>
    </row>
    <row r="4663">
      <c r="A4663" s="2" t="inlineStr">
        <is>
          <t>2026-05-28</t>
        </is>
      </c>
      <c r="B4663" s="3" t="inlineStr">
        <is>
          <t>셀레믹스</t>
        </is>
      </c>
      <c r="C4663" s="2" t="inlineStr">
        <is>
          <t>코스닥</t>
        </is>
      </c>
      <c r="D4663" s="2" t="inlineStr">
        <is>
          <t>331920</t>
        </is>
      </c>
      <c r="E4663" s="3" t="inlineStr">
        <is>
          <t>주주총회소집결의              (임시주주총회)</t>
        </is>
      </c>
      <c r="F4663" s="3" t="inlineStr">
        <is>
          <t>셀레믹스</t>
        </is>
      </c>
      <c r="G4663" s="2" t="inlineStr">
        <is>
          <t>20260528901074</t>
        </is>
      </c>
      <c r="H4663" s="8">
        <f>HYPERLINK("https://dart.fss.or.kr/dsaf001/main.do?rcpNo=20260528901074", "공시열람")</f>
        <v/>
      </c>
    </row>
    <row r="4664">
      <c r="A4664" s="2" t="inlineStr">
        <is>
          <t>2026-05-28</t>
        </is>
      </c>
      <c r="B4664" s="3" t="inlineStr">
        <is>
          <t>서울전자통신</t>
        </is>
      </c>
      <c r="C4664" s="2" t="inlineStr">
        <is>
          <t>코스닥</t>
        </is>
      </c>
      <c r="D4664" s="2" t="inlineStr">
        <is>
          <t>027040</t>
        </is>
      </c>
      <c r="E4664" s="3" t="inlineStr">
        <is>
          <t xml:space="preserve">최대주주변경을수반하는주식담보제공계약체결              </t>
        </is>
      </c>
      <c r="F4664" s="3" t="inlineStr">
        <is>
          <t>서울전자통신</t>
        </is>
      </c>
      <c r="G4664" s="2" t="inlineStr">
        <is>
          <t>20260528901060</t>
        </is>
      </c>
      <c r="H4664" s="8">
        <f>HYPERLINK("https://dart.fss.or.kr/dsaf001/main.do?rcpNo=20260528901060", "공시열람")</f>
        <v/>
      </c>
    </row>
    <row r="4665">
      <c r="A4665" s="2" t="inlineStr">
        <is>
          <t>2026-05-28 (정정: 2026-05-28)</t>
        </is>
      </c>
      <c r="B4665" s="3" t="inlineStr">
        <is>
          <t>서울전자통신</t>
        </is>
      </c>
      <c r="C4665" s="2" t="inlineStr">
        <is>
          <t>코스닥</t>
        </is>
      </c>
      <c r="D4665" s="2" t="inlineStr">
        <is>
          <t>027040</t>
        </is>
      </c>
      <c r="E4665" s="3" t="inlineStr">
        <is>
          <t>최대주주변경               (정정: 20260528)</t>
        </is>
      </c>
      <c r="F4665" s="3" t="inlineStr">
        <is>
          <t>서울전자통신</t>
        </is>
      </c>
      <c r="G4665" s="2" t="inlineStr">
        <is>
          <t>20260528901064</t>
        </is>
      </c>
      <c r="H4665" s="8">
        <f>HYPERLINK("https://dart.fss.or.kr/dsaf001/main.do?rcpNo=20260528901064", "공시열람")</f>
        <v/>
      </c>
    </row>
    <row r="4666">
      <c r="A4666" s="2" t="inlineStr">
        <is>
          <t>2026-05-28 (정정: 2026-06-25)</t>
        </is>
      </c>
      <c r="B4666" s="3" t="inlineStr">
        <is>
          <t>신테카바이오</t>
        </is>
      </c>
      <c r="C4666" s="2" t="inlineStr">
        <is>
          <t>코스닥</t>
        </is>
      </c>
      <c r="D4666" s="2" t="inlineStr">
        <is>
          <t>226330</t>
        </is>
      </c>
      <c r="E4666" s="3" t="inlineStr">
        <is>
          <t>최대주주변경을수반하는주식담보제공계약체결               (정정: 20260625) (정정: 20260625)</t>
        </is>
      </c>
      <c r="F4666" s="3" t="inlineStr">
        <is>
          <t>신테카바이오</t>
        </is>
      </c>
      <c r="G4666" s="2" t="inlineStr">
        <is>
          <t>20260625900444</t>
        </is>
      </c>
      <c r="H4666" s="8">
        <f>HYPERLINK("https://dart.fss.or.kr/dsaf001/main.do?rcpNo=20260625900444", "공시열람")</f>
        <v/>
      </c>
    </row>
    <row r="4667">
      <c r="A4667" s="2" t="inlineStr">
        <is>
          <t>2026-05-28 (정정: 2026-05-28)</t>
        </is>
      </c>
      <c r="B4667" s="3" t="inlineStr">
        <is>
          <t>케스피온</t>
        </is>
      </c>
      <c r="C4667" s="2" t="inlineStr">
        <is>
          <t>코스닥</t>
        </is>
      </c>
      <c r="D4667" s="2" t="inlineStr">
        <is>
          <t>079190</t>
        </is>
      </c>
      <c r="E4667" s="3" t="inlineStr">
        <is>
          <t>주주총회소집공고 (정정: 20260528)</t>
        </is>
      </c>
      <c r="F4667" s="3" t="inlineStr">
        <is>
          <t>케스피온</t>
        </is>
      </c>
      <c r="G4667" s="2" t="inlineStr">
        <is>
          <t>20260528900991</t>
        </is>
      </c>
      <c r="H4667" s="8">
        <f>HYPERLINK("https://dart.fss.or.kr/dsaf001/main.do?rcpNo=20260528900991", "공시열람")</f>
        <v/>
      </c>
    </row>
    <row r="4668">
      <c r="A4668" s="2" t="inlineStr">
        <is>
          <t>2026-05-28</t>
        </is>
      </c>
      <c r="B4668" s="3" t="inlineStr">
        <is>
          <t>노브랜드</t>
        </is>
      </c>
      <c r="C4668" s="2" t="inlineStr">
        <is>
          <t>코스닥</t>
        </is>
      </c>
      <c r="D4668" s="2" t="inlineStr">
        <is>
          <t>145170</t>
        </is>
      </c>
      <c r="E4668" s="3" t="inlineStr">
        <is>
          <t>주주총회소집결의              (임시주주총회)</t>
        </is>
      </c>
      <c r="F4668" s="3" t="inlineStr">
        <is>
          <t>노브랜드</t>
        </is>
      </c>
      <c r="G4668" s="2" t="inlineStr">
        <is>
          <t>20260528900947</t>
        </is>
      </c>
      <c r="H4668" s="8">
        <f>HYPERLINK("https://dart.fss.or.kr/dsaf001/main.do?rcpNo=20260528900947", "공시열람")</f>
        <v/>
      </c>
    </row>
    <row r="4669">
      <c r="A4669" s="2" t="inlineStr">
        <is>
          <t>2026-05-28</t>
        </is>
      </c>
      <c r="B4669" s="3" t="inlineStr">
        <is>
          <t>지슨</t>
        </is>
      </c>
      <c r="C4669" s="2" t="inlineStr">
        <is>
          <t>코스닥</t>
        </is>
      </c>
      <c r="D4669" s="2" t="inlineStr">
        <is>
          <t>446840</t>
        </is>
      </c>
      <c r="E4669" s="3" t="inlineStr">
        <is>
          <t xml:space="preserve">임시주주총회결과              </t>
        </is>
      </c>
      <c r="F4669" s="3" t="inlineStr">
        <is>
          <t>지슨</t>
        </is>
      </c>
      <c r="G4669" s="2" t="inlineStr">
        <is>
          <t>20260528900797</t>
        </is>
      </c>
      <c r="H4669" s="8">
        <f>HYPERLINK("https://dart.fss.or.kr/dsaf001/main.do?rcpNo=20260528900797", "공시열람")</f>
        <v/>
      </c>
    </row>
    <row r="4670">
      <c r="A4670" s="2" t="inlineStr">
        <is>
          <t>2026-05-28</t>
        </is>
      </c>
      <c r="B4670" s="3" t="inlineStr">
        <is>
          <t>한전기술</t>
        </is>
      </c>
      <c r="C4670" s="2" t="inlineStr">
        <is>
          <t>코스피</t>
        </is>
      </c>
      <c r="D4670" s="2" t="inlineStr">
        <is>
          <t>052690</t>
        </is>
      </c>
      <c r="E4670" s="3" t="inlineStr">
        <is>
          <t xml:space="preserve">임시주주총회결과              </t>
        </is>
      </c>
      <c r="F4670" s="3" t="inlineStr">
        <is>
          <t>한전기술</t>
        </is>
      </c>
      <c r="G4670" s="2" t="inlineStr">
        <is>
          <t>20260528800772</t>
        </is>
      </c>
      <c r="H4670" s="8">
        <f>HYPERLINK("https://dart.fss.or.kr/dsaf001/main.do?rcpNo=20260528800772", "공시열람")</f>
        <v/>
      </c>
    </row>
    <row r="4671">
      <c r="A4671" s="2" t="inlineStr">
        <is>
          <t>2026-05-28</t>
        </is>
      </c>
      <c r="B4671" s="3" t="inlineStr">
        <is>
          <t>아스트</t>
        </is>
      </c>
      <c r="C4671" s="2" t="inlineStr">
        <is>
          <t>코스닥</t>
        </is>
      </c>
      <c r="D4671" s="2" t="inlineStr">
        <is>
          <t>067390</t>
        </is>
      </c>
      <c r="E4671" s="3" t="inlineStr">
        <is>
          <t>주주총회소집결의              (임시주주총회)</t>
        </is>
      </c>
      <c r="F4671" s="3" t="inlineStr">
        <is>
          <t>아스트</t>
        </is>
      </c>
      <c r="G4671" s="2" t="inlineStr">
        <is>
          <t>20260528900603</t>
        </is>
      </c>
      <c r="H4671" s="8">
        <f>HYPERLINK("https://dart.fss.or.kr/dsaf001/main.do?rcpNo=20260528900603", "공시열람")</f>
        <v/>
      </c>
    </row>
    <row r="4672">
      <c r="A4672" s="2" t="inlineStr">
        <is>
          <t>2026-05-28</t>
        </is>
      </c>
      <c r="B4672" s="3" t="inlineStr">
        <is>
          <t>JTC</t>
        </is>
      </c>
      <c r="C4672" s="2" t="inlineStr">
        <is>
          <t>코스닥</t>
        </is>
      </c>
      <c r="D4672" s="2" t="inlineStr">
        <is>
          <t>950170</t>
        </is>
      </c>
      <c r="E4672" s="3" t="inlineStr">
        <is>
          <t xml:space="preserve">정기주주총회결과              </t>
        </is>
      </c>
      <c r="F4672" s="3" t="inlineStr">
        <is>
          <t>JTC</t>
        </is>
      </c>
      <c r="G4672" s="2" t="inlineStr">
        <is>
          <t>20260528900681</t>
        </is>
      </c>
      <c r="H4672" s="8">
        <f>HYPERLINK("https://dart.fss.or.kr/dsaf001/main.do?rcpNo=20260528900681", "공시열람")</f>
        <v/>
      </c>
    </row>
    <row r="4673">
      <c r="A4673" s="2" t="inlineStr">
        <is>
          <t>2026-05-28</t>
        </is>
      </c>
      <c r="B4673" s="3" t="inlineStr">
        <is>
          <t>레이</t>
        </is>
      </c>
      <c r="C4673" s="2" t="inlineStr">
        <is>
          <t>코스닥</t>
        </is>
      </c>
      <c r="D4673" s="2" t="inlineStr">
        <is>
          <t>228670</t>
        </is>
      </c>
      <c r="E4673" s="3" t="inlineStr">
        <is>
          <t xml:space="preserve">임시주주총회결과              </t>
        </is>
      </c>
      <c r="F4673" s="3" t="inlineStr">
        <is>
          <t>레이</t>
        </is>
      </c>
      <c r="G4673" s="2" t="inlineStr">
        <is>
          <t>20260528900674</t>
        </is>
      </c>
      <c r="H4673" s="8">
        <f>HYPERLINK("https://dart.fss.or.kr/dsaf001/main.do?rcpNo=20260528900674", "공시열람")</f>
        <v/>
      </c>
    </row>
    <row r="4674">
      <c r="A4674" s="2" t="inlineStr">
        <is>
          <t>2026-05-28</t>
        </is>
      </c>
      <c r="B4674" s="3" t="inlineStr">
        <is>
          <t>지엘팜텍</t>
        </is>
      </c>
      <c r="C4674" s="2" t="inlineStr">
        <is>
          <t>코스닥</t>
        </is>
      </c>
      <c r="D4674" s="2" t="inlineStr">
        <is>
          <t>204840</t>
        </is>
      </c>
      <c r="E4674" s="3" t="inlineStr">
        <is>
          <t>[첨부정정]주요사항보고서(회사합병결정)</t>
        </is>
      </c>
      <c r="F4674" s="3" t="inlineStr">
        <is>
          <t>지엘팜텍</t>
        </is>
      </c>
      <c r="G4674" s="2" t="inlineStr">
        <is>
          <t>20260528000651</t>
        </is>
      </c>
      <c r="H4674" s="8">
        <f>HYPERLINK("https://dart.fss.or.kr/dsaf001/main.do?rcpNo=20260528000651", "공시열람")</f>
        <v/>
      </c>
    </row>
    <row r="4675">
      <c r="A4675" s="2" t="inlineStr">
        <is>
          <t>2026-05-28 (정정: 2026-05-28)</t>
        </is>
      </c>
      <c r="B4675" s="3" t="inlineStr">
        <is>
          <t>소룩스</t>
        </is>
      </c>
      <c r="C4675" s="2" t="inlineStr">
        <is>
          <t>코스닥</t>
        </is>
      </c>
      <c r="D4675" s="2" t="inlineStr">
        <is>
          <t>290690</t>
        </is>
      </c>
      <c r="E4675" s="3" t="inlineStr">
        <is>
          <t>[기재정정]주요사항보고서(회사합병결정) (정정: 20260528) (정정: 20260528)</t>
        </is>
      </c>
      <c r="F4675" s="3" t="inlineStr">
        <is>
          <t>소룩스</t>
        </is>
      </c>
      <c r="G4675" s="2" t="inlineStr">
        <is>
          <t>20260528900577</t>
        </is>
      </c>
      <c r="H4675" s="8">
        <f>HYPERLINK("https://dart.fss.or.kr/dsaf001/main.do?rcpNo=20260528900577", "공시열람")</f>
        <v/>
      </c>
    </row>
    <row r="4676">
      <c r="A4676" s="2" t="inlineStr">
        <is>
          <t>2026-05-28</t>
        </is>
      </c>
      <c r="B4676" s="3" t="inlineStr">
        <is>
          <t>한화리츠</t>
        </is>
      </c>
      <c r="C4676" s="2" t="inlineStr">
        <is>
          <t>코스피</t>
        </is>
      </c>
      <c r="D4676" s="2" t="inlineStr">
        <is>
          <t>451800</t>
        </is>
      </c>
      <c r="E4676" s="3" t="inlineStr">
        <is>
          <t xml:space="preserve">임시주주총회결과              </t>
        </is>
      </c>
      <c r="F4676" s="3" t="inlineStr">
        <is>
          <t>한화리츠</t>
        </is>
      </c>
      <c r="G4676" s="2" t="inlineStr">
        <is>
          <t>20260528800531</t>
        </is>
      </c>
      <c r="H4676" s="8">
        <f>HYPERLINK("https://dart.fss.or.kr/dsaf001/main.do?rcpNo=20260528800531", "공시열람")</f>
        <v/>
      </c>
    </row>
    <row r="4677">
      <c r="A4677" s="2" t="inlineStr">
        <is>
          <t>2026-05-28</t>
        </is>
      </c>
      <c r="B4677" s="3" t="inlineStr">
        <is>
          <t>위지윅스튜디오</t>
        </is>
      </c>
      <c r="C4677" s="2" t="inlineStr">
        <is>
          <t>코스닥</t>
        </is>
      </c>
      <c r="D4677" s="2" t="inlineStr">
        <is>
          <t>299900</t>
        </is>
      </c>
      <c r="E4677" s="3" t="inlineStr">
        <is>
          <t>주주총회소집공고</t>
        </is>
      </c>
      <c r="F4677" s="3" t="inlineStr">
        <is>
          <t>위지윅스튜디오</t>
        </is>
      </c>
      <c r="G4677" s="2" t="inlineStr">
        <is>
          <t>20260528000552</t>
        </is>
      </c>
      <c r="H4677" s="8">
        <f>HYPERLINK("https://dart.fss.or.kr/dsaf001/main.do?rcpNo=20260528000552", "공시열람")</f>
        <v/>
      </c>
    </row>
    <row r="4678">
      <c r="A4678" s="2" t="inlineStr">
        <is>
          <t>2026-05-28</t>
        </is>
      </c>
      <c r="B4678" s="3" t="inlineStr">
        <is>
          <t>엔피</t>
        </is>
      </c>
      <c r="C4678" s="2" t="inlineStr">
        <is>
          <t>코스닥</t>
        </is>
      </c>
      <c r="D4678" s="2" t="inlineStr">
        <is>
          <t>291230</t>
        </is>
      </c>
      <c r="E4678" s="3" t="inlineStr">
        <is>
          <t>주주총회소집공고</t>
        </is>
      </c>
      <c r="F4678" s="3" t="inlineStr">
        <is>
          <t>엔피</t>
        </is>
      </c>
      <c r="G4678" s="2" t="inlineStr">
        <is>
          <t>20260528000548</t>
        </is>
      </c>
      <c r="H4678" s="8">
        <f>HYPERLINK("https://dart.fss.or.kr/dsaf001/main.do?rcpNo=20260528000548", "공시열람")</f>
        <v/>
      </c>
    </row>
    <row r="4679">
      <c r="A4679" s="2" t="inlineStr">
        <is>
          <t>2026-05-28</t>
        </is>
      </c>
      <c r="B4679" s="3" t="inlineStr">
        <is>
          <t>프롬바이오</t>
        </is>
      </c>
      <c r="C4679" s="2" t="inlineStr">
        <is>
          <t>코스닥</t>
        </is>
      </c>
      <c r="D4679" s="2" t="inlineStr">
        <is>
          <t>377220</t>
        </is>
      </c>
      <c r="E4679" s="3" t="inlineStr">
        <is>
          <t>주주총회소집결의              (임시주주총회)</t>
        </is>
      </c>
      <c r="F4679" s="3" t="inlineStr">
        <is>
          <t>프롬바이오</t>
        </is>
      </c>
      <c r="G4679" s="2" t="inlineStr">
        <is>
          <t>20260528900494</t>
        </is>
      </c>
      <c r="H4679" s="8">
        <f>HYPERLINK("https://dart.fss.or.kr/dsaf001/main.do?rcpNo=20260528900494", "공시열람")</f>
        <v/>
      </c>
    </row>
    <row r="4680">
      <c r="A4680" s="2" t="inlineStr">
        <is>
          <t>2026-05-28</t>
        </is>
      </c>
      <c r="B4680" s="3" t="inlineStr">
        <is>
          <t>씨큐브</t>
        </is>
      </c>
      <c r="C4680" s="2" t="inlineStr">
        <is>
          <t>코스닥</t>
        </is>
      </c>
      <c r="D4680" s="2" t="inlineStr">
        <is>
          <t>101240</t>
        </is>
      </c>
      <c r="E4680" s="3" t="inlineStr">
        <is>
          <t>주주총회소집결의              (임시주주총회)</t>
        </is>
      </c>
      <c r="F4680" s="3" t="inlineStr">
        <is>
          <t>씨큐브</t>
        </is>
      </c>
      <c r="G4680" s="2" t="inlineStr">
        <is>
          <t>20260528900468</t>
        </is>
      </c>
      <c r="H4680" s="8">
        <f>HYPERLINK("https://dart.fss.or.kr/dsaf001/main.do?rcpNo=20260528900468", "공시열람")</f>
        <v/>
      </c>
    </row>
    <row r="4681">
      <c r="A4681" s="2" t="inlineStr">
        <is>
          <t>2026-05-28</t>
        </is>
      </c>
      <c r="B4681" s="3" t="inlineStr">
        <is>
          <t>지엘팜텍</t>
        </is>
      </c>
      <c r="C4681" s="2" t="inlineStr">
        <is>
          <t>코스닥</t>
        </is>
      </c>
      <c r="D4681" s="2" t="inlineStr">
        <is>
          <t>204840</t>
        </is>
      </c>
      <c r="E4681" s="3" t="inlineStr">
        <is>
          <t>주요사항보고서(회사합병결정)</t>
        </is>
      </c>
      <c r="F4681" s="3" t="inlineStr">
        <is>
          <t>지엘팜텍</t>
        </is>
      </c>
      <c r="G4681" s="2" t="inlineStr">
        <is>
          <t>20260528000464</t>
        </is>
      </c>
      <c r="H4681" s="8">
        <f>HYPERLINK("https://dart.fss.or.kr/dsaf001/main.do?rcpNo=20260528000464", "공시열람")</f>
        <v/>
      </c>
    </row>
    <row r="4682">
      <c r="A4682" s="2" t="inlineStr">
        <is>
          <t>2026-05-28</t>
        </is>
      </c>
      <c r="B4682" s="3" t="inlineStr">
        <is>
          <t>티비씨</t>
        </is>
      </c>
      <c r="C4682" s="2" t="inlineStr">
        <is>
          <t>코스닥</t>
        </is>
      </c>
      <c r="D4682" s="2" t="inlineStr">
        <is>
          <t>033830</t>
        </is>
      </c>
      <c r="E4682" s="3" t="inlineStr">
        <is>
          <t xml:space="preserve">임시주주총회결과              </t>
        </is>
      </c>
      <c r="F4682" s="3" t="inlineStr">
        <is>
          <t>티비씨</t>
        </is>
      </c>
      <c r="G4682" s="2" t="inlineStr">
        <is>
          <t>20260528900453</t>
        </is>
      </c>
      <c r="H4682" s="8">
        <f>HYPERLINK("https://dart.fss.or.kr/dsaf001/main.do?rcpNo=20260528900453", "공시열람")</f>
        <v/>
      </c>
    </row>
    <row r="4683">
      <c r="A4683" s="2" t="inlineStr">
        <is>
          <t>2026-05-28</t>
        </is>
      </c>
      <c r="B4683" s="3" t="inlineStr">
        <is>
          <t>에스제이그룹</t>
        </is>
      </c>
      <c r="C4683" s="2" t="inlineStr">
        <is>
          <t>코스닥</t>
        </is>
      </c>
      <c r="D4683" s="2" t="inlineStr">
        <is>
          <t>306040</t>
        </is>
      </c>
      <c r="E4683" s="3" t="inlineStr">
        <is>
          <t xml:space="preserve">임시주주총회결과              </t>
        </is>
      </c>
      <c r="F4683" s="3" t="inlineStr">
        <is>
          <t>에스제이그룹</t>
        </is>
      </c>
      <c r="G4683" s="2" t="inlineStr">
        <is>
          <t>20260528900456</t>
        </is>
      </c>
      <c r="H4683" s="8">
        <f>HYPERLINK("https://dart.fss.or.kr/dsaf001/main.do?rcpNo=20260528900456", "공시열람")</f>
        <v/>
      </c>
    </row>
    <row r="4684">
      <c r="A4684" s="2" t="inlineStr">
        <is>
          <t>2026-05-28</t>
        </is>
      </c>
      <c r="B4684" s="3" t="inlineStr">
        <is>
          <t>THE CUBE&amp;</t>
        </is>
      </c>
      <c r="C4684" s="2" t="inlineStr">
        <is>
          <t>코스닥</t>
        </is>
      </c>
      <c r="D4684" s="2" t="inlineStr">
        <is>
          <t>013720</t>
        </is>
      </c>
      <c r="E4684" s="3" t="inlineStr">
        <is>
          <t>주주총회소집공고</t>
        </is>
      </c>
      <c r="F4684" s="3" t="inlineStr">
        <is>
          <t>THE CUBE&amp;</t>
        </is>
      </c>
      <c r="G4684" s="2" t="inlineStr">
        <is>
          <t>20260528000424</t>
        </is>
      </c>
      <c r="H4684" s="8">
        <f>HYPERLINK("https://dart.fss.or.kr/dsaf001/main.do?rcpNo=20260528000424", "공시열람")</f>
        <v/>
      </c>
    </row>
    <row r="4685">
      <c r="A4685" s="2" t="inlineStr">
        <is>
          <t>2026-05-28</t>
        </is>
      </c>
      <c r="B4685" s="3" t="inlineStr">
        <is>
          <t>서호전기</t>
        </is>
      </c>
      <c r="C4685" s="2" t="inlineStr">
        <is>
          <t>코스닥</t>
        </is>
      </c>
      <c r="D4685" s="2" t="inlineStr">
        <is>
          <t>065710</t>
        </is>
      </c>
      <c r="E4685" s="3" t="inlineStr">
        <is>
          <t xml:space="preserve">임시주주총회결과              </t>
        </is>
      </c>
      <c r="F4685" s="3" t="inlineStr">
        <is>
          <t>서호전기</t>
        </is>
      </c>
      <c r="G4685" s="2" t="inlineStr">
        <is>
          <t>20260528900344</t>
        </is>
      </c>
      <c r="H4685" s="8">
        <f>HYPERLINK("https://dart.fss.or.kr/dsaf001/main.do?rcpNo=20260528900344", "공시열람")</f>
        <v/>
      </c>
    </row>
    <row r="4686">
      <c r="A4686" s="2" t="inlineStr">
        <is>
          <t>2026-05-28 (정정: 2026-06-10)</t>
        </is>
      </c>
      <c r="B4686" s="3" t="inlineStr">
        <is>
          <t>대진첨단소재</t>
        </is>
      </c>
      <c r="C4686" s="2" t="inlineStr">
        <is>
          <t>코스닥</t>
        </is>
      </c>
      <c r="D4686" s="2" t="inlineStr">
        <is>
          <t>393970</t>
        </is>
      </c>
      <c r="E4686" s="3" t="inlineStr">
        <is>
          <t>주주총회소집공고 (정정: 20260610)</t>
        </is>
      </c>
      <c r="F4686" s="3" t="inlineStr">
        <is>
          <t>대진첨단소재</t>
        </is>
      </c>
      <c r="G4686" s="2" t="inlineStr">
        <is>
          <t>20260610000142</t>
        </is>
      </c>
      <c r="H4686" s="8">
        <f>HYPERLINK("https://dart.fss.or.kr/dsaf001/main.do?rcpNo=20260610000142", "공시열람")</f>
        <v/>
      </c>
    </row>
    <row r="4687">
      <c r="A4687" s="2" t="inlineStr">
        <is>
          <t>2026-05-28</t>
        </is>
      </c>
      <c r="B4687" s="3" t="inlineStr">
        <is>
          <t>케이티알파</t>
        </is>
      </c>
      <c r="C4687" s="2" t="inlineStr">
        <is>
          <t>코스닥</t>
        </is>
      </c>
      <c r="D4687" s="2" t="inlineStr">
        <is>
          <t>036030</t>
        </is>
      </c>
      <c r="E4687" s="3" t="inlineStr">
        <is>
          <t xml:space="preserve">임시주주총회결과              </t>
        </is>
      </c>
      <c r="F4687" s="3" t="inlineStr">
        <is>
          <t>케이티알파</t>
        </is>
      </c>
      <c r="G4687" s="2" t="inlineStr">
        <is>
          <t>20260528900306</t>
        </is>
      </c>
      <c r="H4687" s="8">
        <f>HYPERLINK("https://dart.fss.or.kr/dsaf001/main.do?rcpNo=20260528900306", "공시열람")</f>
        <v/>
      </c>
    </row>
    <row r="4688">
      <c r="A4688" s="2" t="inlineStr">
        <is>
          <t>2026-05-29 (정정: 2026-06-02)</t>
        </is>
      </c>
      <c r="B4688" s="3" t="inlineStr">
        <is>
          <t>코칩</t>
        </is>
      </c>
      <c r="C4688" s="2" t="inlineStr">
        <is>
          <t>코스닥</t>
        </is>
      </c>
      <c r="D4688" s="2" t="inlineStr">
        <is>
          <t>126730</t>
        </is>
      </c>
      <c r="E4688" s="3" t="inlineStr">
        <is>
          <t>임시주주총회결과               (정정: 20260602)</t>
        </is>
      </c>
      <c r="F4688" s="3" t="inlineStr">
        <is>
          <t>코칩</t>
        </is>
      </c>
      <c r="G4688" s="2" t="inlineStr">
        <is>
          <t>20260602000506</t>
        </is>
      </c>
      <c r="H4688" s="8">
        <f>HYPERLINK("https://dart.fss.or.kr/dsaf001/main.do?rcpNo=20260602000506", "공시열람")</f>
        <v/>
      </c>
    </row>
    <row r="4689">
      <c r="A4689" s="2" t="inlineStr">
        <is>
          <t>2026-05-29</t>
        </is>
      </c>
      <c r="B4689" s="3" t="inlineStr">
        <is>
          <t>씨씨에스</t>
        </is>
      </c>
      <c r="C4689" s="2" t="inlineStr">
        <is>
          <t>코스닥</t>
        </is>
      </c>
      <c r="D4689" s="2" t="inlineStr">
        <is>
          <t>066790</t>
        </is>
      </c>
      <c r="E4689" s="3" t="inlineStr">
        <is>
          <t>소송등의제기ㆍ신청(경영권분쟁소송)              (직무대행자선임 가처분)</t>
        </is>
      </c>
      <c r="F4689" s="3" t="inlineStr">
        <is>
          <t>씨씨에스</t>
        </is>
      </c>
      <c r="G4689" s="2" t="inlineStr">
        <is>
          <t>20260529901867</t>
        </is>
      </c>
      <c r="H4689" s="8">
        <f>HYPERLINK("https://dart.fss.or.kr/dsaf001/main.do?rcpNo=20260529901867", "공시열람")</f>
        <v/>
      </c>
    </row>
    <row r="4690">
      <c r="A4690" s="2" t="inlineStr">
        <is>
          <t>2026-05-29</t>
        </is>
      </c>
      <c r="B4690" s="3" t="inlineStr">
        <is>
          <t>이엠티</t>
        </is>
      </c>
      <c r="C4690" s="2" t="inlineStr">
        <is>
          <t>코넥스</t>
        </is>
      </c>
      <c r="D4690" s="2" t="inlineStr">
        <is>
          <t>232530</t>
        </is>
      </c>
      <c r="E4690" s="3" t="inlineStr">
        <is>
          <t xml:space="preserve">주주총회소집결의              </t>
        </is>
      </c>
      <c r="F4690" s="3" t="inlineStr">
        <is>
          <t>이엠티</t>
        </is>
      </c>
      <c r="G4690" s="2" t="inlineStr">
        <is>
          <t>20260529602008</t>
        </is>
      </c>
      <c r="H4690" s="8">
        <f>HYPERLINK("https://dart.fss.or.kr/dsaf001/main.do?rcpNo=20260529602008", "공시열람")</f>
        <v/>
      </c>
    </row>
    <row r="4691">
      <c r="A4691" s="2" t="inlineStr">
        <is>
          <t>2026-05-29</t>
        </is>
      </c>
      <c r="B4691" s="3" t="inlineStr">
        <is>
          <t>이엠티</t>
        </is>
      </c>
      <c r="C4691" s="2" t="inlineStr">
        <is>
          <t>코넥스</t>
        </is>
      </c>
      <c r="D4691" s="2" t="inlineStr">
        <is>
          <t>232530</t>
        </is>
      </c>
      <c r="E4691" s="3" t="inlineStr">
        <is>
          <t xml:space="preserve">주주총회소집결의              </t>
        </is>
      </c>
      <c r="F4691" s="3" t="inlineStr">
        <is>
          <t>이엠티</t>
        </is>
      </c>
      <c r="G4691" s="2" t="inlineStr">
        <is>
          <t>20260529601986</t>
        </is>
      </c>
      <c r="H4691" s="8">
        <f>HYPERLINK("https://dart.fss.or.kr/dsaf001/main.do?rcpNo=20260529601986", "공시열람")</f>
        <v/>
      </c>
    </row>
    <row r="4692">
      <c r="A4692" s="2" t="inlineStr">
        <is>
          <t>2026-05-29</t>
        </is>
      </c>
      <c r="B4692" s="3" t="inlineStr">
        <is>
          <t>알엔티엑스</t>
        </is>
      </c>
      <c r="C4692" s="2" t="inlineStr">
        <is>
          <t>코스닥</t>
        </is>
      </c>
      <c r="D4692" s="2" t="inlineStr">
        <is>
          <t>123010</t>
        </is>
      </c>
      <c r="E4692" s="3" t="inlineStr">
        <is>
          <t xml:space="preserve">임시주주총회결과              </t>
        </is>
      </c>
      <c r="F4692" s="3" t="inlineStr">
        <is>
          <t>알엔티엑스</t>
        </is>
      </c>
      <c r="G4692" s="2" t="inlineStr">
        <is>
          <t>20260529901930</t>
        </is>
      </c>
      <c r="H4692" s="8">
        <f>HYPERLINK("https://dart.fss.or.kr/dsaf001/main.do?rcpNo=20260529901930", "공시열람")</f>
        <v/>
      </c>
    </row>
    <row r="4693">
      <c r="A4693" s="2" t="inlineStr">
        <is>
          <t>2026-05-29</t>
        </is>
      </c>
      <c r="B4693" s="3" t="inlineStr">
        <is>
          <t>이지스밸류플러스리츠</t>
        </is>
      </c>
      <c r="C4693" s="2" t="inlineStr">
        <is>
          <t>코스피</t>
        </is>
      </c>
      <c r="D4693" s="2" t="inlineStr">
        <is>
          <t>334890</t>
        </is>
      </c>
      <c r="E4693" s="3" t="inlineStr">
        <is>
          <t xml:space="preserve">정기주주총회결과              </t>
        </is>
      </c>
      <c r="F4693" s="3" t="inlineStr">
        <is>
          <t>이지스밸류플러스리츠</t>
        </is>
      </c>
      <c r="G4693" s="2" t="inlineStr">
        <is>
          <t>20260529801868</t>
        </is>
      </c>
      <c r="H4693" s="8">
        <f>HYPERLINK("https://dart.fss.or.kr/dsaf001/main.do?rcpNo=20260529801868", "공시열람")</f>
        <v/>
      </c>
    </row>
    <row r="4694">
      <c r="A4694" s="2" t="inlineStr">
        <is>
          <t>2026-05-29</t>
        </is>
      </c>
      <c r="B4694" s="3" t="inlineStr">
        <is>
          <t>이화공영</t>
        </is>
      </c>
      <c r="C4694" s="2" t="inlineStr">
        <is>
          <t>코스닥</t>
        </is>
      </c>
      <c r="D4694" s="2" t="inlineStr">
        <is>
          <t>001840</t>
        </is>
      </c>
      <c r="E4694" s="3" t="inlineStr">
        <is>
          <t xml:space="preserve">주주총회소집결의              </t>
        </is>
      </c>
      <c r="F4694" s="3" t="inlineStr">
        <is>
          <t>이화공영</t>
        </is>
      </c>
      <c r="G4694" s="2" t="inlineStr">
        <is>
          <t>20260529901928</t>
        </is>
      </c>
      <c r="H4694" s="8">
        <f>HYPERLINK("https://dart.fss.or.kr/dsaf001/main.do?rcpNo=20260529901928", "공시열람")</f>
        <v/>
      </c>
    </row>
    <row r="4695">
      <c r="A4695" s="2" t="inlineStr">
        <is>
          <t>2026-05-29</t>
        </is>
      </c>
      <c r="B4695" s="3" t="inlineStr">
        <is>
          <t>이지스레지던스리츠</t>
        </is>
      </c>
      <c r="C4695" s="2" t="inlineStr">
        <is>
          <t>코스피</t>
        </is>
      </c>
      <c r="D4695" s="2" t="inlineStr">
        <is>
          <t>350520</t>
        </is>
      </c>
      <c r="E4695" s="3" t="inlineStr">
        <is>
          <t>주주총회소집공고</t>
        </is>
      </c>
      <c r="F4695" s="3" t="inlineStr">
        <is>
          <t>이지스레지던스리츠</t>
        </is>
      </c>
      <c r="G4695" s="2" t="inlineStr">
        <is>
          <t>20260529002213</t>
        </is>
      </c>
      <c r="H4695" s="8">
        <f>HYPERLINK("https://dart.fss.or.kr/dsaf001/main.do?rcpNo=20260529002213", "공시열람")</f>
        <v/>
      </c>
    </row>
    <row r="4696">
      <c r="A4696" s="2" t="inlineStr">
        <is>
          <t>2026-05-29</t>
        </is>
      </c>
      <c r="B4696" s="3" t="inlineStr">
        <is>
          <t>이지스레지던스리츠</t>
        </is>
      </c>
      <c r="C4696" s="2" t="inlineStr">
        <is>
          <t>코스피</t>
        </is>
      </c>
      <c r="D4696" s="2" t="inlineStr">
        <is>
          <t>350520</t>
        </is>
      </c>
      <c r="E4696" s="3" t="inlineStr">
        <is>
          <t xml:space="preserve">주주총회소집결의              </t>
        </is>
      </c>
      <c r="F4696" s="3" t="inlineStr">
        <is>
          <t>이지스레지던스리츠</t>
        </is>
      </c>
      <c r="G4696" s="2" t="inlineStr">
        <is>
          <t>20260529801856</t>
        </is>
      </c>
      <c r="H4696" s="8">
        <f>HYPERLINK("https://dart.fss.or.kr/dsaf001/main.do?rcpNo=20260529801856", "공시열람")</f>
        <v/>
      </c>
    </row>
    <row r="4697">
      <c r="A4697" s="2" t="inlineStr">
        <is>
          <t>2026-05-29</t>
        </is>
      </c>
      <c r="B4697" s="3" t="inlineStr">
        <is>
          <t>씨씨에스</t>
        </is>
      </c>
      <c r="C4697" s="2" t="inlineStr">
        <is>
          <t>코스닥</t>
        </is>
      </c>
      <c r="D4697" s="2" t="inlineStr">
        <is>
          <t>066790</t>
        </is>
      </c>
      <c r="E4697" s="3" t="inlineStr">
        <is>
          <t>소송등의제기ㆍ신청(경영권분쟁소송)              (주주총회결의 집행금지 가처분)</t>
        </is>
      </c>
      <c r="F4697" s="3" t="inlineStr">
        <is>
          <t>씨씨에스</t>
        </is>
      </c>
      <c r="G4697" s="2" t="inlineStr">
        <is>
          <t>20260529901863</t>
        </is>
      </c>
      <c r="H4697" s="8">
        <f>HYPERLINK("https://dart.fss.or.kr/dsaf001/main.do?rcpNo=20260529901863", "공시열람")</f>
        <v/>
      </c>
    </row>
    <row r="4698">
      <c r="A4698" s="2" t="inlineStr">
        <is>
          <t>2026-05-29</t>
        </is>
      </c>
      <c r="B4698" s="3" t="inlineStr">
        <is>
          <t>오스테오닉</t>
        </is>
      </c>
      <c r="C4698" s="2" t="inlineStr">
        <is>
          <t>코스닥</t>
        </is>
      </c>
      <c r="D4698" s="2" t="inlineStr">
        <is>
          <t>226400</t>
        </is>
      </c>
      <c r="E4698" s="3" t="inlineStr">
        <is>
          <t>주주총회소집공고</t>
        </is>
      </c>
      <c r="F4698" s="3" t="inlineStr">
        <is>
          <t>오스테오닉</t>
        </is>
      </c>
      <c r="G4698" s="2" t="inlineStr">
        <is>
          <t>20260529002171</t>
        </is>
      </c>
      <c r="H4698" s="8">
        <f>HYPERLINK("https://dart.fss.or.kr/dsaf001/main.do?rcpNo=20260529002171", "공시열람")</f>
        <v/>
      </c>
    </row>
    <row r="4699">
      <c r="A4699" s="2" t="inlineStr">
        <is>
          <t>2026-05-29</t>
        </is>
      </c>
      <c r="B4699" s="3" t="inlineStr">
        <is>
          <t>프로이천</t>
        </is>
      </c>
      <c r="C4699" s="2" t="inlineStr">
        <is>
          <t>코스닥</t>
        </is>
      </c>
      <c r="D4699" s="2" t="inlineStr">
        <is>
          <t>321260</t>
        </is>
      </c>
      <c r="E4699" s="3" t="inlineStr">
        <is>
          <t>주주총회소집결의              (임시주주총회)</t>
        </is>
      </c>
      <c r="F4699" s="3" t="inlineStr">
        <is>
          <t>프로이천</t>
        </is>
      </c>
      <c r="G4699" s="2" t="inlineStr">
        <is>
          <t>20260529901802</t>
        </is>
      </c>
      <c r="H4699" s="8">
        <f>HYPERLINK("https://dart.fss.or.kr/dsaf001/main.do?rcpNo=20260529901802", "공시열람")</f>
        <v/>
      </c>
    </row>
    <row r="4700">
      <c r="A4700" s="2" t="inlineStr">
        <is>
          <t>2026-05-29</t>
        </is>
      </c>
      <c r="B4700" s="3" t="inlineStr">
        <is>
          <t>엠로</t>
        </is>
      </c>
      <c r="C4700" s="2" t="inlineStr">
        <is>
          <t>코스닥</t>
        </is>
      </c>
      <c r="D4700" s="2" t="inlineStr">
        <is>
          <t>058970</t>
        </is>
      </c>
      <c r="E4700" s="3" t="inlineStr">
        <is>
          <t>주주총회소집결의              (임시주주총회)</t>
        </is>
      </c>
      <c r="F4700" s="3" t="inlineStr">
        <is>
          <t>엠로</t>
        </is>
      </c>
      <c r="G4700" s="2" t="inlineStr">
        <is>
          <t>20260529901740</t>
        </is>
      </c>
      <c r="H4700" s="8">
        <f>HYPERLINK("https://dart.fss.or.kr/dsaf001/main.do?rcpNo=20260529901740", "공시열람")</f>
        <v/>
      </c>
    </row>
    <row r="4701">
      <c r="A4701" s="2" t="inlineStr">
        <is>
          <t>2026-05-29</t>
        </is>
      </c>
      <c r="B4701" s="3" t="inlineStr">
        <is>
          <t>오스테오닉</t>
        </is>
      </c>
      <c r="C4701" s="2" t="inlineStr">
        <is>
          <t>코스닥</t>
        </is>
      </c>
      <c r="D4701" s="2" t="inlineStr">
        <is>
          <t>226400</t>
        </is>
      </c>
      <c r="E4701" s="3" t="inlineStr">
        <is>
          <t>[첨부정정]주주총회소집결의              (임시주주총회)</t>
        </is>
      </c>
      <c r="F4701" s="3" t="inlineStr">
        <is>
          <t>오스테오닉</t>
        </is>
      </c>
      <c r="G4701" s="2" t="inlineStr">
        <is>
          <t>20260529901689</t>
        </is>
      </c>
      <c r="H4701" s="8">
        <f>HYPERLINK("https://dart.fss.or.kr/dsaf001/main.do?rcpNo=20260529901689", "공시열람")</f>
        <v/>
      </c>
    </row>
    <row r="4702">
      <c r="A4702" s="2" t="inlineStr">
        <is>
          <t>2026-05-29</t>
        </is>
      </c>
      <c r="B4702" s="3" t="inlineStr">
        <is>
          <t>삼현</t>
        </is>
      </c>
      <c r="C4702" s="2" t="inlineStr">
        <is>
          <t>코스닥</t>
        </is>
      </c>
      <c r="D4702" s="2" t="inlineStr">
        <is>
          <t>437730</t>
        </is>
      </c>
      <c r="E4702" s="3" t="inlineStr">
        <is>
          <t>주주총회소집결의              (임시주주총회)</t>
        </is>
      </c>
      <c r="F4702" s="3" t="inlineStr">
        <is>
          <t>삼현</t>
        </is>
      </c>
      <c r="G4702" s="2" t="inlineStr">
        <is>
          <t>20260529901625</t>
        </is>
      </c>
      <c r="H4702" s="8">
        <f>HYPERLINK("https://dart.fss.or.kr/dsaf001/main.do?rcpNo=20260529901625", "공시열람")</f>
        <v/>
      </c>
    </row>
    <row r="4703">
      <c r="A4703" s="2" t="inlineStr">
        <is>
          <t>2026-05-29</t>
        </is>
      </c>
      <c r="B4703" s="3" t="inlineStr">
        <is>
          <t>오스테오닉</t>
        </is>
      </c>
      <c r="C4703" s="2" t="inlineStr">
        <is>
          <t>코스닥</t>
        </is>
      </c>
      <c r="D4703" s="2" t="inlineStr">
        <is>
          <t>226400</t>
        </is>
      </c>
      <c r="E4703" s="3" t="inlineStr">
        <is>
          <t>[첨부정정]주주총회소집결의              (임시주주총회)</t>
        </is>
      </c>
      <c r="F4703" s="3" t="inlineStr">
        <is>
          <t>오스테오닉</t>
        </is>
      </c>
      <c r="G4703" s="2" t="inlineStr">
        <is>
          <t>20260529901142</t>
        </is>
      </c>
      <c r="H4703" s="8">
        <f>HYPERLINK("https://dart.fss.or.kr/dsaf001/main.do?rcpNo=20260529901142", "공시열람")</f>
        <v/>
      </c>
    </row>
    <row r="4704">
      <c r="A4704" s="2" t="inlineStr">
        <is>
          <t>2026-05-29</t>
        </is>
      </c>
      <c r="B4704" s="3" t="inlineStr">
        <is>
          <t>미래에셋글로벌리츠</t>
        </is>
      </c>
      <c r="C4704" s="2" t="inlineStr">
        <is>
          <t>코스피</t>
        </is>
      </c>
      <c r="D4704" s="2" t="inlineStr">
        <is>
          <t>396690</t>
        </is>
      </c>
      <c r="E4704" s="3" t="inlineStr">
        <is>
          <t xml:space="preserve">주주총회소집결의              </t>
        </is>
      </c>
      <c r="F4704" s="3" t="inlineStr">
        <is>
          <t>미래에셋글로벌리츠</t>
        </is>
      </c>
      <c r="G4704" s="2" t="inlineStr">
        <is>
          <t>20260529801124</t>
        </is>
      </c>
      <c r="H4704" s="8">
        <f>HYPERLINK("https://dart.fss.or.kr/dsaf001/main.do?rcpNo=20260529801124", "공시열람")</f>
        <v/>
      </c>
    </row>
    <row r="4705">
      <c r="A4705" s="2" t="inlineStr">
        <is>
          <t>2026-05-29</t>
        </is>
      </c>
      <c r="B4705" s="3" t="inlineStr">
        <is>
          <t>한국제지</t>
        </is>
      </c>
      <c r="C4705" s="2" t="inlineStr">
        <is>
          <t>코스피</t>
        </is>
      </c>
      <c r="D4705" s="2" t="inlineStr">
        <is>
          <t>027970</t>
        </is>
      </c>
      <c r="E4705" s="3" t="inlineStr">
        <is>
          <t>주주총회소집공고</t>
        </is>
      </c>
      <c r="F4705" s="3" t="inlineStr">
        <is>
          <t>한국제지</t>
        </is>
      </c>
      <c r="G4705" s="2" t="inlineStr">
        <is>
          <t>20260529001364</t>
        </is>
      </c>
      <c r="H4705" s="8">
        <f>HYPERLINK("https://dart.fss.or.kr/dsaf001/main.do?rcpNo=20260529001364", "공시열람")</f>
        <v/>
      </c>
    </row>
    <row r="4706">
      <c r="A4706" s="2" t="inlineStr">
        <is>
          <t>2026-05-29</t>
        </is>
      </c>
      <c r="B4706" s="3" t="inlineStr">
        <is>
          <t>한국제지</t>
        </is>
      </c>
      <c r="C4706" s="2" t="inlineStr">
        <is>
          <t>코스피</t>
        </is>
      </c>
      <c r="D4706" s="2" t="inlineStr">
        <is>
          <t>027970</t>
        </is>
      </c>
      <c r="E4706" s="3" t="inlineStr">
        <is>
          <t xml:space="preserve">주주총회소집결의              </t>
        </is>
      </c>
      <c r="F4706" s="3" t="inlineStr">
        <is>
          <t>한국제지</t>
        </is>
      </c>
      <c r="G4706" s="2" t="inlineStr">
        <is>
          <t>20260529801084</t>
        </is>
      </c>
      <c r="H4706" s="8">
        <f>HYPERLINK("https://dart.fss.or.kr/dsaf001/main.do?rcpNo=20260529801084", "공시열람")</f>
        <v/>
      </c>
    </row>
    <row r="4707">
      <c r="A4707" s="2" t="inlineStr">
        <is>
          <t>2026-05-29 (정정: 2026-06-19)</t>
        </is>
      </c>
      <c r="B4707" s="3" t="inlineStr">
        <is>
          <t>비투엔</t>
        </is>
      </c>
      <c r="C4707" s="2" t="inlineStr">
        <is>
          <t>코스닥</t>
        </is>
      </c>
      <c r="D4707" s="2" t="inlineStr">
        <is>
          <t>307870</t>
        </is>
      </c>
      <c r="E4707" s="3" t="inlineStr">
        <is>
          <t>주주총회소집공고 (정정: 20260529) (정정: 20260610) (정정: 20260610) (정정: 20260619)</t>
        </is>
      </c>
      <c r="F4707" s="3" t="inlineStr">
        <is>
          <t>비투엔</t>
        </is>
      </c>
      <c r="G4707" s="2" t="inlineStr">
        <is>
          <t>20260619000465</t>
        </is>
      </c>
      <c r="H4707" s="8">
        <f>HYPERLINK("https://dart.fss.or.kr/dsaf001/main.do?rcpNo=20260619000465", "공시열람")</f>
        <v/>
      </c>
    </row>
    <row r="4708">
      <c r="A4708" s="2" t="inlineStr">
        <is>
          <t>2026-05-29</t>
        </is>
      </c>
      <c r="B4708" s="3" t="inlineStr">
        <is>
          <t>나노엔텍</t>
        </is>
      </c>
      <c r="C4708" s="2" t="inlineStr">
        <is>
          <t>코스닥</t>
        </is>
      </c>
      <c r="D4708" s="2" t="inlineStr">
        <is>
          <t>039860</t>
        </is>
      </c>
      <c r="E4708" s="3" t="inlineStr">
        <is>
          <t xml:space="preserve">임시주주총회결과              </t>
        </is>
      </c>
      <c r="F4708" s="3" t="inlineStr">
        <is>
          <t>나노엔텍</t>
        </is>
      </c>
      <c r="G4708" s="2" t="inlineStr">
        <is>
          <t>20260529900949</t>
        </is>
      </c>
      <c r="H4708" s="8">
        <f>HYPERLINK("https://dart.fss.or.kr/dsaf001/main.do?rcpNo=20260529900949", "공시열람")</f>
        <v/>
      </c>
    </row>
    <row r="4709">
      <c r="A4709" s="2" t="inlineStr">
        <is>
          <t>2026-05-29</t>
        </is>
      </c>
      <c r="B4709" s="3" t="inlineStr">
        <is>
          <t>코람코더원리츠</t>
        </is>
      </c>
      <c r="C4709" s="2" t="inlineStr">
        <is>
          <t>코스피</t>
        </is>
      </c>
      <c r="D4709" s="2" t="inlineStr">
        <is>
          <t>417310</t>
        </is>
      </c>
      <c r="E4709" s="3" t="inlineStr">
        <is>
          <t xml:space="preserve">정기주주총회결과              </t>
        </is>
      </c>
      <c r="F4709" s="3" t="inlineStr">
        <is>
          <t>코람코더원리츠</t>
        </is>
      </c>
      <c r="G4709" s="2" t="inlineStr">
        <is>
          <t>20260529800896</t>
        </is>
      </c>
      <c r="H4709" s="8">
        <f>HYPERLINK("https://dart.fss.or.kr/dsaf001/main.do?rcpNo=20260529800896", "공시열람")</f>
        <v/>
      </c>
    </row>
    <row r="4710">
      <c r="A4710" s="2" t="inlineStr">
        <is>
          <t>2026-05-29</t>
        </is>
      </c>
      <c r="B4710" s="3" t="inlineStr">
        <is>
          <t>EMB</t>
        </is>
      </c>
      <c r="C4710" s="2" t="inlineStr">
        <is>
          <t>코넥스</t>
        </is>
      </c>
      <c r="D4710" s="2" t="inlineStr">
        <is>
          <t>278990</t>
        </is>
      </c>
      <c r="E4710" s="3" t="inlineStr">
        <is>
          <t xml:space="preserve">주주총회소집결의              </t>
        </is>
      </c>
      <c r="F4710" s="3" t="inlineStr">
        <is>
          <t>EMB</t>
        </is>
      </c>
      <c r="G4710" s="2" t="inlineStr">
        <is>
          <t>20260529600877</t>
        </is>
      </c>
      <c r="H4710" s="8">
        <f>HYPERLINK("https://dart.fss.or.kr/dsaf001/main.do?rcpNo=20260529600877", "공시열람")</f>
        <v/>
      </c>
    </row>
    <row r="4711">
      <c r="A4711" s="2" t="inlineStr">
        <is>
          <t>2026-05-29</t>
        </is>
      </c>
      <c r="B4711" s="3" t="inlineStr">
        <is>
          <t>펨트론</t>
        </is>
      </c>
      <c r="C4711" s="2" t="inlineStr">
        <is>
          <t>코스닥</t>
        </is>
      </c>
      <c r="D4711" s="2" t="inlineStr">
        <is>
          <t>168360</t>
        </is>
      </c>
      <c r="E4711" s="3" t="inlineStr">
        <is>
          <t xml:space="preserve">임시주주총회결과              </t>
        </is>
      </c>
      <c r="F4711" s="3" t="inlineStr">
        <is>
          <t>펨트론</t>
        </is>
      </c>
      <c r="G4711" s="2" t="inlineStr">
        <is>
          <t>20260529900781</t>
        </is>
      </c>
      <c r="H4711" s="8">
        <f>HYPERLINK("https://dart.fss.or.kr/dsaf001/main.do?rcpNo=20260529900781", "공시열람")</f>
        <v/>
      </c>
    </row>
    <row r="4712">
      <c r="A4712" s="2" t="inlineStr">
        <is>
          <t>2026-05-29</t>
        </is>
      </c>
      <c r="B4712" s="3" t="inlineStr">
        <is>
          <t>율촌</t>
        </is>
      </c>
      <c r="C4712" s="2" t="inlineStr">
        <is>
          <t>코스닥</t>
        </is>
      </c>
      <c r="D4712" s="2" t="inlineStr">
        <is>
          <t>146060</t>
        </is>
      </c>
      <c r="E4712" s="3" t="inlineStr">
        <is>
          <t>주주총회소집공고</t>
        </is>
      </c>
      <c r="F4712" s="3" t="inlineStr">
        <is>
          <t>율촌</t>
        </is>
      </c>
      <c r="G4712" s="2" t="inlineStr">
        <is>
          <t>20260529000861</t>
        </is>
      </c>
      <c r="H4712" s="8">
        <f>HYPERLINK("https://dart.fss.or.kr/dsaf001/main.do?rcpNo=20260529000861", "공시열람")</f>
        <v/>
      </c>
    </row>
    <row r="4713">
      <c r="A4713" s="2" t="inlineStr">
        <is>
          <t>2026-05-29</t>
        </is>
      </c>
      <c r="B4713" s="3" t="inlineStr">
        <is>
          <t>우정바이오</t>
        </is>
      </c>
      <c r="C4713" s="2" t="inlineStr">
        <is>
          <t>코스닥</t>
        </is>
      </c>
      <c r="D4713" s="2" t="inlineStr">
        <is>
          <t>215380</t>
        </is>
      </c>
      <c r="E4713" s="3" t="inlineStr">
        <is>
          <t xml:space="preserve">주주총회소집결의              </t>
        </is>
      </c>
      <c r="F4713" s="3" t="inlineStr">
        <is>
          <t>우정바이오</t>
        </is>
      </c>
      <c r="G4713" s="2" t="inlineStr">
        <is>
          <t>20260529900704</t>
        </is>
      </c>
      <c r="H4713" s="8">
        <f>HYPERLINK("https://dart.fss.or.kr/dsaf001/main.do?rcpNo=20260529900704", "공시열람")</f>
        <v/>
      </c>
    </row>
    <row r="4714">
      <c r="A4714" s="2" t="inlineStr">
        <is>
          <t>2026-05-29</t>
        </is>
      </c>
      <c r="B4714" s="3" t="inlineStr">
        <is>
          <t>부산산업</t>
        </is>
      </c>
      <c r="C4714" s="2" t="inlineStr">
        <is>
          <t>코스피</t>
        </is>
      </c>
      <c r="D4714" s="2" t="inlineStr">
        <is>
          <t>011390</t>
        </is>
      </c>
      <c r="E4714" s="3" t="inlineStr">
        <is>
          <t xml:space="preserve">임시주주총회결과              </t>
        </is>
      </c>
      <c r="F4714" s="3" t="inlineStr">
        <is>
          <t>부산산업</t>
        </is>
      </c>
      <c r="G4714" s="2" t="inlineStr">
        <is>
          <t>20260529800701</t>
        </is>
      </c>
      <c r="H4714" s="8">
        <f>HYPERLINK("https://dart.fss.or.kr/dsaf001/main.do?rcpNo=20260529800701", "공시열람")</f>
        <v/>
      </c>
    </row>
    <row r="4715">
      <c r="A4715" s="2" t="inlineStr">
        <is>
          <t>2026-05-29</t>
        </is>
      </c>
      <c r="B4715" s="3" t="inlineStr">
        <is>
          <t>나노캠텍</t>
        </is>
      </c>
      <c r="C4715" s="2" t="inlineStr">
        <is>
          <t>코스닥</t>
        </is>
      </c>
      <c r="D4715" s="2" t="inlineStr">
        <is>
          <t>091970</t>
        </is>
      </c>
      <c r="E4715" s="3" t="inlineStr">
        <is>
          <t xml:space="preserve">임시주주총회결과              </t>
        </is>
      </c>
      <c r="F4715" s="3" t="inlineStr">
        <is>
          <t>나노캠텍</t>
        </is>
      </c>
      <c r="G4715" s="2" t="inlineStr">
        <is>
          <t>20260529900616</t>
        </is>
      </c>
      <c r="H4715" s="8">
        <f>HYPERLINK("https://dart.fss.or.kr/dsaf001/main.do?rcpNo=20260529900616", "공시열람")</f>
        <v/>
      </c>
    </row>
    <row r="4716">
      <c r="A4716" s="2" t="inlineStr">
        <is>
          <t>2026-05-29</t>
        </is>
      </c>
      <c r="B4716" s="3" t="inlineStr">
        <is>
          <t>나우로보틱스</t>
        </is>
      </c>
      <c r="C4716" s="2" t="inlineStr">
        <is>
          <t>코스닥</t>
        </is>
      </c>
      <c r="D4716" s="2" t="inlineStr">
        <is>
          <t>459510</t>
        </is>
      </c>
      <c r="E4716" s="3" t="inlineStr">
        <is>
          <t>기타경영사항(자율공시)              (소규모합병 승인 이사회 결의(주주총회 갈음) 결과보고)</t>
        </is>
      </c>
      <c r="F4716" s="3" t="inlineStr">
        <is>
          <t>나우로보틱스</t>
        </is>
      </c>
      <c r="G4716" s="2" t="inlineStr">
        <is>
          <t>20260529900576</t>
        </is>
      </c>
      <c r="H4716" s="8">
        <f>HYPERLINK("https://dart.fss.or.kr/dsaf001/main.do?rcpNo=20260529900576", "공시열람")</f>
        <v/>
      </c>
    </row>
    <row r="4717">
      <c r="A4717" s="2" t="inlineStr">
        <is>
          <t>2026-05-29</t>
        </is>
      </c>
      <c r="B4717" s="3" t="inlineStr">
        <is>
          <t>화인써키트</t>
        </is>
      </c>
      <c r="C4717" s="2" t="inlineStr">
        <is>
          <t>코스닥</t>
        </is>
      </c>
      <c r="D4717" s="2" t="inlineStr">
        <is>
          <t>127980</t>
        </is>
      </c>
      <c r="E4717" s="3" t="inlineStr">
        <is>
          <t xml:space="preserve">임시주주총회결과              </t>
        </is>
      </c>
      <c r="F4717" s="3" t="inlineStr">
        <is>
          <t>화인써키트</t>
        </is>
      </c>
      <c r="G4717" s="2" t="inlineStr">
        <is>
          <t>20260529900515</t>
        </is>
      </c>
      <c r="H4717" s="8">
        <f>HYPERLINK("https://dart.fss.or.kr/dsaf001/main.do?rcpNo=20260529900515", "공시열람")</f>
        <v/>
      </c>
    </row>
    <row r="4718">
      <c r="A4718" s="2" t="inlineStr">
        <is>
          <t>2026-05-29</t>
        </is>
      </c>
      <c r="B4718" s="3" t="inlineStr">
        <is>
          <t>제일테크노스</t>
        </is>
      </c>
      <c r="C4718" s="2" t="inlineStr">
        <is>
          <t>코스닥</t>
        </is>
      </c>
      <c r="D4718" s="2" t="inlineStr">
        <is>
          <t>038010</t>
        </is>
      </c>
      <c r="E4718" s="3" t="inlineStr">
        <is>
          <t>주주총회소집결의              (임시주주총회)</t>
        </is>
      </c>
      <c r="F4718" s="3" t="inlineStr">
        <is>
          <t>제일테크노스</t>
        </is>
      </c>
      <c r="G4718" s="2" t="inlineStr">
        <is>
          <t>20260529900482</t>
        </is>
      </c>
      <c r="H4718" s="8">
        <f>HYPERLINK("https://dart.fss.or.kr/dsaf001/main.do?rcpNo=20260529900482", "공시열람")</f>
        <v/>
      </c>
    </row>
    <row r="4719">
      <c r="A4719" s="2" t="inlineStr">
        <is>
          <t>2026-05-29</t>
        </is>
      </c>
      <c r="B4719" s="3" t="inlineStr">
        <is>
          <t>대신정보통신</t>
        </is>
      </c>
      <c r="C4719" s="2" t="inlineStr">
        <is>
          <t>코스닥</t>
        </is>
      </c>
      <c r="D4719" s="2" t="inlineStr">
        <is>
          <t>020180</t>
        </is>
      </c>
      <c r="E4719" s="3" t="inlineStr">
        <is>
          <t xml:space="preserve">주주총회소집결의              </t>
        </is>
      </c>
      <c r="F4719" s="3" t="inlineStr">
        <is>
          <t>대신정보통신</t>
        </is>
      </c>
      <c r="G4719" s="2" t="inlineStr">
        <is>
          <t>20260529900455</t>
        </is>
      </c>
      <c r="H4719" s="8">
        <f>HYPERLINK("https://dart.fss.or.kr/dsaf001/main.do?rcpNo=20260529900455", "공시열람")</f>
        <v/>
      </c>
    </row>
    <row r="4720">
      <c r="A4720" s="2" t="inlineStr">
        <is>
          <t>2026-05-29</t>
        </is>
      </c>
      <c r="B4720" s="3" t="inlineStr">
        <is>
          <t>대진첨단소재</t>
        </is>
      </c>
      <c r="C4720" s="2" t="inlineStr">
        <is>
          <t>코스닥</t>
        </is>
      </c>
      <c r="D4720" s="2" t="inlineStr">
        <is>
          <t>393970</t>
        </is>
      </c>
      <c r="E4720" s="3" t="inlineStr">
        <is>
          <t>기타경영사항(자율공시)              (소규모합병 승인 이사회 결의(주주총회 갈음) 결과보고)</t>
        </is>
      </c>
      <c r="F4720" s="3" t="inlineStr">
        <is>
          <t>대진첨단소재</t>
        </is>
      </c>
      <c r="G4720" s="2" t="inlineStr">
        <is>
          <t>20260529900437</t>
        </is>
      </c>
      <c r="H4720" s="8">
        <f>HYPERLINK("https://dart.fss.or.kr/dsaf001/main.do?rcpNo=20260529900437", "공시열람")</f>
        <v/>
      </c>
    </row>
    <row r="4721">
      <c r="A4721" s="2" t="inlineStr">
        <is>
          <t>2026-05-29</t>
        </is>
      </c>
      <c r="B4721" s="3" t="inlineStr">
        <is>
          <t>이삭엔지니어링</t>
        </is>
      </c>
      <c r="C4721" s="2" t="inlineStr">
        <is>
          <t>코스닥</t>
        </is>
      </c>
      <c r="D4721" s="2" t="inlineStr">
        <is>
          <t>351330</t>
        </is>
      </c>
      <c r="E4721" s="3" t="inlineStr">
        <is>
          <t xml:space="preserve">임시주주총회결과              </t>
        </is>
      </c>
      <c r="F4721" s="3" t="inlineStr">
        <is>
          <t>이삭엔지니어링</t>
        </is>
      </c>
      <c r="G4721" s="2" t="inlineStr">
        <is>
          <t>20260529900432</t>
        </is>
      </c>
      <c r="H4721" s="8">
        <f>HYPERLINK("https://dart.fss.or.kr/dsaf001/main.do?rcpNo=20260529900432", "공시열람")</f>
        <v/>
      </c>
    </row>
    <row r="4722">
      <c r="A4722" s="2" t="inlineStr">
        <is>
          <t>2026-05-29</t>
        </is>
      </c>
      <c r="B4722" s="3" t="inlineStr">
        <is>
          <t>덕산하이메탈</t>
        </is>
      </c>
      <c r="C4722" s="2" t="inlineStr">
        <is>
          <t>코스닥</t>
        </is>
      </c>
      <c r="D4722" s="2" t="inlineStr">
        <is>
          <t>077360</t>
        </is>
      </c>
      <c r="E4722" s="3" t="inlineStr">
        <is>
          <t xml:space="preserve">임시주주총회결과              </t>
        </is>
      </c>
      <c r="F4722" s="3" t="inlineStr">
        <is>
          <t>덕산하이메탈</t>
        </is>
      </c>
      <c r="G4722" s="2" t="inlineStr">
        <is>
          <t>20260529900456</t>
        </is>
      </c>
      <c r="H4722" s="8">
        <f>HYPERLINK("https://dart.fss.or.kr/dsaf001/main.do?rcpNo=20260529900456", "공시열람")</f>
        <v/>
      </c>
    </row>
    <row r="4723">
      <c r="A4723" s="2" t="inlineStr">
        <is>
          <t>2026-05-29</t>
        </is>
      </c>
      <c r="B4723" s="3" t="inlineStr">
        <is>
          <t>제너셈</t>
        </is>
      </c>
      <c r="C4723" s="2" t="inlineStr">
        <is>
          <t>코스닥</t>
        </is>
      </c>
      <c r="D4723" s="2" t="inlineStr">
        <is>
          <t>217190</t>
        </is>
      </c>
      <c r="E4723" s="3" t="inlineStr">
        <is>
          <t>주주총회소집공고</t>
        </is>
      </c>
      <c r="F4723" s="3" t="inlineStr">
        <is>
          <t>제너셈</t>
        </is>
      </c>
      <c r="G4723" s="2" t="inlineStr">
        <is>
          <t>20260529000369</t>
        </is>
      </c>
      <c r="H4723" s="8">
        <f>HYPERLINK("https://dart.fss.or.kr/dsaf001/main.do?rcpNo=20260529000369", "공시열람")</f>
        <v/>
      </c>
    </row>
    <row r="4724">
      <c r="A4724" s="2" t="inlineStr">
        <is>
          <t>2026-05-29</t>
        </is>
      </c>
      <c r="B4724" s="3" t="inlineStr">
        <is>
          <t>앱코</t>
        </is>
      </c>
      <c r="C4724" s="2" t="inlineStr">
        <is>
          <t>코스닥</t>
        </is>
      </c>
      <c r="D4724" s="2" t="inlineStr">
        <is>
          <t>129890</t>
        </is>
      </c>
      <c r="E4724" s="3" t="inlineStr">
        <is>
          <t xml:space="preserve">임시주주총회결과              </t>
        </is>
      </c>
      <c r="F4724" s="3" t="inlineStr">
        <is>
          <t>앱코</t>
        </is>
      </c>
      <c r="G4724" s="2" t="inlineStr">
        <is>
          <t>20260529900385</t>
        </is>
      </c>
      <c r="H4724" s="8">
        <f>HYPERLINK("https://dart.fss.or.kr/dsaf001/main.do?rcpNo=20260529900385", "공시열람")</f>
        <v/>
      </c>
    </row>
    <row r="4725">
      <c r="A4725" s="2" t="inlineStr">
        <is>
          <t>2026-05-29</t>
        </is>
      </c>
      <c r="B4725" s="3" t="inlineStr">
        <is>
          <t>EG</t>
        </is>
      </c>
      <c r="C4725" s="2" t="inlineStr">
        <is>
          <t>코스닥</t>
        </is>
      </c>
      <c r="D4725" s="2" t="inlineStr">
        <is>
          <t>037370</t>
        </is>
      </c>
      <c r="E4725" s="3" t="inlineStr">
        <is>
          <t xml:space="preserve">임시주주총회결과              </t>
        </is>
      </c>
      <c r="F4725" s="3" t="inlineStr">
        <is>
          <t>EG</t>
        </is>
      </c>
      <c r="G4725" s="2" t="inlineStr">
        <is>
          <t>20260529900375</t>
        </is>
      </c>
      <c r="H4725" s="8">
        <f>HYPERLINK("https://dart.fss.or.kr/dsaf001/main.do?rcpNo=20260529900375", "공시열람")</f>
        <v/>
      </c>
    </row>
    <row r="4726">
      <c r="A4726" s="2" t="inlineStr">
        <is>
          <t>2026-06-01</t>
        </is>
      </c>
      <c r="B4726" s="3" t="inlineStr">
        <is>
          <t>공구우먼</t>
        </is>
      </c>
      <c r="C4726" s="2" t="inlineStr">
        <is>
          <t>코스닥</t>
        </is>
      </c>
      <c r="D4726" s="2" t="inlineStr">
        <is>
          <t>366030</t>
        </is>
      </c>
      <c r="E4726" s="3" t="inlineStr">
        <is>
          <t xml:space="preserve">최대주주변경을수반하는주식담보제공계약체결              </t>
        </is>
      </c>
      <c r="F4726" s="3" t="inlineStr">
        <is>
          <t>공구우먼</t>
        </is>
      </c>
      <c r="G4726" s="2" t="inlineStr">
        <is>
          <t>20260601901971</t>
        </is>
      </c>
      <c r="H4726" s="8">
        <f>HYPERLINK("https://dart.fss.or.kr/dsaf001/main.do?rcpNo=20260601901971", "공시열람")</f>
        <v/>
      </c>
    </row>
    <row r="4727">
      <c r="A4727" s="2" t="inlineStr">
        <is>
          <t>2026-06-01</t>
        </is>
      </c>
      <c r="B4727" s="3" t="inlineStr">
        <is>
          <t>공구우먼</t>
        </is>
      </c>
      <c r="C4727" s="2" t="inlineStr">
        <is>
          <t>코스닥</t>
        </is>
      </c>
      <c r="D4727" s="2" t="inlineStr">
        <is>
          <t>366030</t>
        </is>
      </c>
      <c r="E4727" s="3" t="inlineStr">
        <is>
          <t xml:space="preserve">최대주주변경              </t>
        </is>
      </c>
      <c r="F4727" s="3" t="inlineStr">
        <is>
          <t>공구우먼</t>
        </is>
      </c>
      <c r="G4727" s="2" t="inlineStr">
        <is>
          <t>20260601901970</t>
        </is>
      </c>
      <c r="H4727" s="8">
        <f>HYPERLINK("https://dart.fss.or.kr/dsaf001/main.do?rcpNo=20260601901970", "공시열람")</f>
        <v/>
      </c>
    </row>
    <row r="4728">
      <c r="A4728" s="2" t="inlineStr">
        <is>
          <t>2026-06-01</t>
        </is>
      </c>
      <c r="B4728" s="3" t="inlineStr">
        <is>
          <t>한국첨단소재</t>
        </is>
      </c>
      <c r="C4728" s="2" t="inlineStr">
        <is>
          <t>코스닥</t>
        </is>
      </c>
      <c r="D4728" s="2" t="inlineStr">
        <is>
          <t>062970</t>
        </is>
      </c>
      <c r="E4728" s="3" t="inlineStr">
        <is>
          <t>주주총회소집공고</t>
        </is>
      </c>
      <c r="F4728" s="3" t="inlineStr">
        <is>
          <t>한국첨단소재</t>
        </is>
      </c>
      <c r="G4728" s="2" t="inlineStr">
        <is>
          <t>20260601001847</t>
        </is>
      </c>
      <c r="H4728" s="8">
        <f>HYPERLINK("https://dart.fss.or.kr/dsaf001/main.do?rcpNo=20260601001847", "공시열람")</f>
        <v/>
      </c>
    </row>
    <row r="4729">
      <c r="A4729" s="2" t="inlineStr">
        <is>
          <t>2026-06-01</t>
        </is>
      </c>
      <c r="B4729" s="3" t="inlineStr">
        <is>
          <t>GKL</t>
        </is>
      </c>
      <c r="C4729" s="2" t="inlineStr">
        <is>
          <t>코스피</t>
        </is>
      </c>
      <c r="D4729" s="2" t="inlineStr">
        <is>
          <t>114090</t>
        </is>
      </c>
      <c r="E4729" s="3" t="inlineStr">
        <is>
          <t xml:space="preserve">임시주주총회결과              </t>
        </is>
      </c>
      <c r="F4729" s="3" t="inlineStr">
        <is>
          <t>GKL</t>
        </is>
      </c>
      <c r="G4729" s="2" t="inlineStr">
        <is>
          <t>20260601801600</t>
        </is>
      </c>
      <c r="H4729" s="8">
        <f>HYPERLINK("https://dart.fss.or.kr/dsaf001/main.do?rcpNo=20260601801600", "공시열람")</f>
        <v/>
      </c>
    </row>
    <row r="4730">
      <c r="A4730" s="2" t="inlineStr">
        <is>
          <t>2026-06-01</t>
        </is>
      </c>
      <c r="B4730" s="3" t="inlineStr">
        <is>
          <t>모비릭스</t>
        </is>
      </c>
      <c r="C4730" s="2" t="inlineStr">
        <is>
          <t>코스닥</t>
        </is>
      </c>
      <c r="D4730" s="2" t="inlineStr">
        <is>
          <t>348030</t>
        </is>
      </c>
      <c r="E4730" s="3" t="inlineStr">
        <is>
          <t xml:space="preserve">주주총회소집결의              </t>
        </is>
      </c>
      <c r="F4730" s="3" t="inlineStr">
        <is>
          <t>모비릭스</t>
        </is>
      </c>
      <c r="G4730" s="2" t="inlineStr">
        <is>
          <t>20260601901525</t>
        </is>
      </c>
      <c r="H4730" s="8">
        <f>HYPERLINK("https://dart.fss.or.kr/dsaf001/main.do?rcpNo=20260601901525", "공시열람")</f>
        <v/>
      </c>
    </row>
    <row r="4731">
      <c r="A4731" s="2" t="inlineStr">
        <is>
          <t>2026-06-01</t>
        </is>
      </c>
      <c r="B4731" s="3" t="inlineStr">
        <is>
          <t>더라미</t>
        </is>
      </c>
      <c r="C4731" s="2" t="inlineStr">
        <is>
          <t>코스닥</t>
        </is>
      </c>
      <c r="D4731" s="2" t="inlineStr">
        <is>
          <t>032860</t>
        </is>
      </c>
      <c r="E4731" s="3" t="inlineStr">
        <is>
          <t>주주총회소집결의              (임시주주총회)</t>
        </is>
      </c>
      <c r="F4731" s="3" t="inlineStr">
        <is>
          <t>더라미</t>
        </is>
      </c>
      <c r="G4731" s="2" t="inlineStr">
        <is>
          <t>20260601901537</t>
        </is>
      </c>
      <c r="H4731" s="8">
        <f>HYPERLINK("https://dart.fss.or.kr/dsaf001/main.do?rcpNo=20260601901537", "공시열람")</f>
        <v/>
      </c>
    </row>
    <row r="4732">
      <c r="A4732" s="2" t="inlineStr">
        <is>
          <t>2026-06-01</t>
        </is>
      </c>
      <c r="B4732" s="3" t="inlineStr">
        <is>
          <t>엑사이엔씨</t>
        </is>
      </c>
      <c r="C4732" s="2" t="inlineStr">
        <is>
          <t>코스닥</t>
        </is>
      </c>
      <c r="D4732" s="2" t="inlineStr">
        <is>
          <t>054940</t>
        </is>
      </c>
      <c r="E4732" s="3" t="inlineStr">
        <is>
          <t>주주총회소집결의              (임시주주총회)</t>
        </is>
      </c>
      <c r="F4732" s="3" t="inlineStr">
        <is>
          <t>엑사이엔씨</t>
        </is>
      </c>
      <c r="G4732" s="2" t="inlineStr">
        <is>
          <t>20260601900878</t>
        </is>
      </c>
      <c r="H4732" s="8">
        <f>HYPERLINK("https://dart.fss.or.kr/dsaf001/main.do?rcpNo=20260601900878", "공시열람")</f>
        <v/>
      </c>
    </row>
    <row r="4733">
      <c r="A4733" s="2" t="inlineStr">
        <is>
          <t>2026-06-01</t>
        </is>
      </c>
      <c r="B4733" s="3" t="inlineStr">
        <is>
          <t>플루토스</t>
        </is>
      </c>
      <c r="C4733" s="2" t="inlineStr">
        <is>
          <t>코스닥</t>
        </is>
      </c>
      <c r="D4733" s="2" t="inlineStr">
        <is>
          <t>019570</t>
        </is>
      </c>
      <c r="E4733" s="3" t="inlineStr">
        <is>
          <t xml:space="preserve">임시주주총회결과              </t>
        </is>
      </c>
      <c r="F4733" s="3" t="inlineStr">
        <is>
          <t>플루토스</t>
        </is>
      </c>
      <c r="G4733" s="2" t="inlineStr">
        <is>
          <t>20260601901305</t>
        </is>
      </c>
      <c r="H4733" s="8">
        <f>HYPERLINK("https://dart.fss.or.kr/dsaf001/main.do?rcpNo=20260601901305", "공시열람")</f>
        <v/>
      </c>
    </row>
    <row r="4734">
      <c r="A4734" s="2" t="inlineStr">
        <is>
          <t>2026-06-01</t>
        </is>
      </c>
      <c r="B4734" s="3" t="inlineStr">
        <is>
          <t>기신정기</t>
        </is>
      </c>
      <c r="C4734" s="2" t="inlineStr">
        <is>
          <t>코스피</t>
        </is>
      </c>
      <c r="D4734" s="2" t="inlineStr">
        <is>
          <t>092440</t>
        </is>
      </c>
      <c r="E4734" s="3" t="inlineStr">
        <is>
          <t>주주총회소집공고</t>
        </is>
      </c>
      <c r="F4734" s="3" t="inlineStr">
        <is>
          <t>기신정기</t>
        </is>
      </c>
      <c r="G4734" s="2" t="inlineStr">
        <is>
          <t>20260601001635</t>
        </is>
      </c>
      <c r="H4734" s="8">
        <f>HYPERLINK("https://dart.fss.or.kr/dsaf001/main.do?rcpNo=20260601001635", "공시열람")</f>
        <v/>
      </c>
    </row>
    <row r="4735">
      <c r="A4735" s="2" t="inlineStr">
        <is>
          <t>2026-06-01</t>
        </is>
      </c>
      <c r="B4735" s="3" t="inlineStr">
        <is>
          <t>아리바이오LAB</t>
        </is>
      </c>
      <c r="C4735" s="2" t="inlineStr">
        <is>
          <t>코스닥</t>
        </is>
      </c>
      <c r="D4735" s="2" t="inlineStr">
        <is>
          <t>261780</t>
        </is>
      </c>
      <c r="E4735" s="3" t="inlineStr">
        <is>
          <t xml:space="preserve">최대주주변경을수반하는주식담보제공계약해제ㆍ취소등              </t>
        </is>
      </c>
      <c r="F4735" s="3" t="inlineStr">
        <is>
          <t>아리바이오LAB</t>
        </is>
      </c>
      <c r="G4735" s="2" t="inlineStr">
        <is>
          <t>20260601901120</t>
        </is>
      </c>
      <c r="H4735" s="8">
        <f>HYPERLINK("https://dart.fss.or.kr/dsaf001/main.do?rcpNo=20260601901120", "공시열람")</f>
        <v/>
      </c>
    </row>
    <row r="4736">
      <c r="A4736" s="2" t="inlineStr">
        <is>
          <t>2026-06-01</t>
        </is>
      </c>
      <c r="B4736" s="3" t="inlineStr">
        <is>
          <t>솔트룩스</t>
        </is>
      </c>
      <c r="C4736" s="2" t="inlineStr">
        <is>
          <t>코스닥</t>
        </is>
      </c>
      <c r="D4736" s="2" t="inlineStr">
        <is>
          <t>304100</t>
        </is>
      </c>
      <c r="E4736" s="3" t="inlineStr">
        <is>
          <t xml:space="preserve">임시주주총회결과              </t>
        </is>
      </c>
      <c r="F4736" s="3" t="inlineStr">
        <is>
          <t>솔트룩스</t>
        </is>
      </c>
      <c r="G4736" s="2" t="inlineStr">
        <is>
          <t>20260601900943</t>
        </is>
      </c>
      <c r="H4736" s="8">
        <f>HYPERLINK("https://dart.fss.or.kr/dsaf001/main.do?rcpNo=20260601900943", "공시열람")</f>
        <v/>
      </c>
    </row>
    <row r="4737">
      <c r="A4737" s="2" t="inlineStr">
        <is>
          <t>2026-06-01</t>
        </is>
      </c>
      <c r="B4737" s="3" t="inlineStr">
        <is>
          <t>알엔티엑스</t>
        </is>
      </c>
      <c r="C4737" s="2" t="inlineStr">
        <is>
          <t>코스닥</t>
        </is>
      </c>
      <c r="D4737" s="2" t="inlineStr">
        <is>
          <t>123010</t>
        </is>
      </c>
      <c r="E4737" s="3" t="inlineStr">
        <is>
          <t>주주총회소집결의              (임시주주총회)</t>
        </is>
      </c>
      <c r="F4737" s="3" t="inlineStr">
        <is>
          <t>알엔티엑스</t>
        </is>
      </c>
      <c r="G4737" s="2" t="inlineStr">
        <is>
          <t>20260601900993</t>
        </is>
      </c>
      <c r="H4737" s="8">
        <f>HYPERLINK("https://dart.fss.or.kr/dsaf001/main.do?rcpNo=20260601900993", "공시열람")</f>
        <v/>
      </c>
    </row>
    <row r="4738">
      <c r="A4738" s="2" t="inlineStr">
        <is>
          <t>2026-06-01</t>
        </is>
      </c>
      <c r="B4738" s="3" t="inlineStr">
        <is>
          <t>손오공</t>
        </is>
      </c>
      <c r="C4738" s="2" t="inlineStr">
        <is>
          <t>코스닥</t>
        </is>
      </c>
      <c r="D4738" s="2" t="inlineStr">
        <is>
          <t>066910</t>
        </is>
      </c>
      <c r="E4738" s="3" t="inlineStr">
        <is>
          <t xml:space="preserve">회사합병결정(종속회사의주요경영사항)              </t>
        </is>
      </c>
      <c r="F4738" s="3" t="inlineStr">
        <is>
          <t>손오공</t>
        </is>
      </c>
      <c r="G4738" s="2" t="inlineStr">
        <is>
          <t>20260601900995</t>
        </is>
      </c>
      <c r="H4738" s="8">
        <f>HYPERLINK("https://dart.fss.or.kr/dsaf001/main.do?rcpNo=20260601900995", "공시열람")</f>
        <v/>
      </c>
    </row>
    <row r="4739">
      <c r="A4739" s="2" t="inlineStr">
        <is>
          <t>2026-06-01</t>
        </is>
      </c>
      <c r="B4739" s="3" t="inlineStr">
        <is>
          <t>손오공</t>
        </is>
      </c>
      <c r="C4739" s="2" t="inlineStr">
        <is>
          <t>코스닥</t>
        </is>
      </c>
      <c r="D4739" s="2" t="inlineStr">
        <is>
          <t>066910</t>
        </is>
      </c>
      <c r="E4739" s="3" t="inlineStr">
        <is>
          <t>주요사항보고서(회사합병결정)</t>
        </is>
      </c>
      <c r="F4739" s="3" t="inlineStr">
        <is>
          <t>손오공</t>
        </is>
      </c>
      <c r="G4739" s="2" t="inlineStr">
        <is>
          <t>20260601001134</t>
        </is>
      </c>
      <c r="H4739" s="8">
        <f>HYPERLINK("https://dart.fss.or.kr/dsaf001/main.do?rcpNo=20260601001134", "공시열람")</f>
        <v/>
      </c>
    </row>
    <row r="4740">
      <c r="A4740" s="2" t="inlineStr">
        <is>
          <t>2026-06-01</t>
        </is>
      </c>
      <c r="B4740" s="3" t="inlineStr">
        <is>
          <t>아이오케이이엔엠</t>
        </is>
      </c>
      <c r="C4740" s="2" t="inlineStr">
        <is>
          <t>코스닥</t>
        </is>
      </c>
      <c r="D4740" s="2" t="inlineStr">
        <is>
          <t>078860</t>
        </is>
      </c>
      <c r="E4740" s="3" t="inlineStr">
        <is>
          <t xml:space="preserve">[기재정정]주주총회소집결의              </t>
        </is>
      </c>
      <c r="F4740" s="3" t="inlineStr">
        <is>
          <t>아이오케이이엔엠</t>
        </is>
      </c>
      <c r="G4740" s="2" t="inlineStr">
        <is>
          <t>20260601900955</t>
        </is>
      </c>
      <c r="H4740" s="8">
        <f>HYPERLINK("https://dart.fss.or.kr/dsaf001/main.do?rcpNo=20260601900955", "공시열람")</f>
        <v/>
      </c>
    </row>
    <row r="4741">
      <c r="A4741" s="2" t="inlineStr">
        <is>
          <t>2026-06-01 (정정: 2026-06-01)</t>
        </is>
      </c>
      <c r="B4741" s="3" t="inlineStr">
        <is>
          <t>에코볼트</t>
        </is>
      </c>
      <c r="C4741" s="2" t="inlineStr">
        <is>
          <t>코스닥</t>
        </is>
      </c>
      <c r="D4741" s="2" t="inlineStr">
        <is>
          <t>097780</t>
        </is>
      </c>
      <c r="E4741" s="3" t="inlineStr">
        <is>
          <t>주주총회소집공고 (정정: 20260601)</t>
        </is>
      </c>
      <c r="F4741" s="3" t="inlineStr">
        <is>
          <t>에코볼트</t>
        </is>
      </c>
      <c r="G4741" s="2" t="inlineStr">
        <is>
          <t>20260601900731</t>
        </is>
      </c>
      <c r="H4741" s="8">
        <f>HYPERLINK("https://dart.fss.or.kr/dsaf001/main.do?rcpNo=20260601900731", "공시열람")</f>
        <v/>
      </c>
    </row>
    <row r="4742">
      <c r="A4742" s="2" t="inlineStr">
        <is>
          <t>2026-06-01</t>
        </is>
      </c>
      <c r="B4742" s="3" t="inlineStr">
        <is>
          <t>지오엘리먼트</t>
        </is>
      </c>
      <c r="C4742" s="2" t="inlineStr">
        <is>
          <t>코스닥</t>
        </is>
      </c>
      <c r="D4742" s="2" t="inlineStr">
        <is>
          <t>311320</t>
        </is>
      </c>
      <c r="E4742" s="3" t="inlineStr">
        <is>
          <t xml:space="preserve">임시주주총회결과              </t>
        </is>
      </c>
      <c r="F4742" s="3" t="inlineStr">
        <is>
          <t>지오엘리먼트</t>
        </is>
      </c>
      <c r="G4742" s="2" t="inlineStr">
        <is>
          <t>20260601900586</t>
        </is>
      </c>
      <c r="H4742" s="8">
        <f>HYPERLINK("https://dart.fss.or.kr/dsaf001/main.do?rcpNo=20260601900586", "공시열람")</f>
        <v/>
      </c>
    </row>
    <row r="4743">
      <c r="A4743" s="2" t="inlineStr">
        <is>
          <t>2026-06-01</t>
        </is>
      </c>
      <c r="B4743" s="3" t="inlineStr">
        <is>
          <t>대동스틸</t>
        </is>
      </c>
      <c r="C4743" s="2" t="inlineStr">
        <is>
          <t>코스닥</t>
        </is>
      </c>
      <c r="D4743" s="2" t="inlineStr">
        <is>
          <t>048470</t>
        </is>
      </c>
      <c r="E4743" s="3" t="inlineStr">
        <is>
          <t xml:space="preserve">최대주주변경              </t>
        </is>
      </c>
      <c r="F4743" s="3" t="inlineStr">
        <is>
          <t>대동스틸</t>
        </is>
      </c>
      <c r="G4743" s="2" t="inlineStr">
        <is>
          <t>20260601900524</t>
        </is>
      </c>
      <c r="H4743" s="8">
        <f>HYPERLINK("https://dart.fss.or.kr/dsaf001/main.do?rcpNo=20260601900524", "공시열람")</f>
        <v/>
      </c>
    </row>
    <row r="4744">
      <c r="A4744" s="2" t="inlineStr">
        <is>
          <t>2026-06-01</t>
        </is>
      </c>
      <c r="B4744" s="3" t="inlineStr">
        <is>
          <t>헝셩그룹</t>
        </is>
      </c>
      <c r="C4744" s="2" t="inlineStr">
        <is>
          <t>코스닥</t>
        </is>
      </c>
      <c r="D4744" s="2" t="inlineStr">
        <is>
          <t>900270</t>
        </is>
      </c>
      <c r="E4744" s="3" t="inlineStr">
        <is>
          <t>주주총회소집결의              (임시주주총회)</t>
        </is>
      </c>
      <c r="F4744" s="3" t="inlineStr">
        <is>
          <t>헝셩그룹</t>
        </is>
      </c>
      <c r="G4744" s="2" t="inlineStr">
        <is>
          <t>20260601900506</t>
        </is>
      </c>
      <c r="H4744" s="8">
        <f>HYPERLINK("https://dart.fss.or.kr/dsaf001/main.do?rcpNo=20260601900506", "공시열람")</f>
        <v/>
      </c>
    </row>
    <row r="4745">
      <c r="A4745" s="2" t="inlineStr">
        <is>
          <t>2026-06-01</t>
        </is>
      </c>
      <c r="B4745" s="3" t="inlineStr">
        <is>
          <t>빛과전자</t>
        </is>
      </c>
      <c r="C4745" s="2" t="inlineStr">
        <is>
          <t>코스닥</t>
        </is>
      </c>
      <c r="D4745" s="2" t="inlineStr">
        <is>
          <t>069540</t>
        </is>
      </c>
      <c r="E4745" s="3" t="inlineStr">
        <is>
          <t xml:space="preserve">임시주주총회결과              </t>
        </is>
      </c>
      <c r="F4745" s="3" t="inlineStr">
        <is>
          <t>빛과전자</t>
        </is>
      </c>
      <c r="G4745" s="2" t="inlineStr">
        <is>
          <t>20260601900489</t>
        </is>
      </c>
      <c r="H4745" s="8">
        <f>HYPERLINK("https://dart.fss.or.kr/dsaf001/main.do?rcpNo=20260601900489", "공시열람")</f>
        <v/>
      </c>
    </row>
    <row r="4746">
      <c r="A4746" s="2" t="inlineStr">
        <is>
          <t>2026-06-01</t>
        </is>
      </c>
      <c r="B4746" s="3" t="inlineStr">
        <is>
          <t>큐라티스</t>
        </is>
      </c>
      <c r="C4746" s="2" t="inlineStr">
        <is>
          <t>코스닥</t>
        </is>
      </c>
      <c r="D4746" s="2" t="inlineStr">
        <is>
          <t>348080</t>
        </is>
      </c>
      <c r="E4746" s="3" t="inlineStr">
        <is>
          <t xml:space="preserve">임시주주총회결과              </t>
        </is>
      </c>
      <c r="F4746" s="3" t="inlineStr">
        <is>
          <t>큐라티스</t>
        </is>
      </c>
      <c r="G4746" s="2" t="inlineStr">
        <is>
          <t>20260601900346</t>
        </is>
      </c>
      <c r="H4746" s="8">
        <f>HYPERLINK("https://dart.fss.or.kr/dsaf001/main.do?rcpNo=20260601900346", "공시열람")</f>
        <v/>
      </c>
    </row>
    <row r="4747">
      <c r="A4747" s="2" t="inlineStr">
        <is>
          <t>2026-06-01</t>
        </is>
      </c>
      <c r="B4747" s="3" t="inlineStr">
        <is>
          <t>DH오토웨어</t>
        </is>
      </c>
      <c r="C4747" s="2" t="inlineStr">
        <is>
          <t>코스닥</t>
        </is>
      </c>
      <c r="D4747" s="2" t="inlineStr">
        <is>
          <t>025440</t>
        </is>
      </c>
      <c r="E4747" s="3" t="inlineStr">
        <is>
          <t xml:space="preserve">임시주주총회결과              </t>
        </is>
      </c>
      <c r="F4747" s="3" t="inlineStr">
        <is>
          <t>DH오토웨어</t>
        </is>
      </c>
      <c r="G4747" s="2" t="inlineStr">
        <is>
          <t>20260601900357</t>
        </is>
      </c>
      <c r="H4747" s="8">
        <f>HYPERLINK("https://dart.fss.or.kr/dsaf001/main.do?rcpNo=20260601900357", "공시열람")</f>
        <v/>
      </c>
    </row>
    <row r="4748">
      <c r="A4748" s="2" t="inlineStr">
        <is>
          <t>2026-06-01</t>
        </is>
      </c>
      <c r="B4748" s="3" t="inlineStr">
        <is>
          <t>지엘팜텍</t>
        </is>
      </c>
      <c r="C4748" s="2" t="inlineStr">
        <is>
          <t>코스닥</t>
        </is>
      </c>
      <c r="D4748" s="2" t="inlineStr">
        <is>
          <t>204840</t>
        </is>
      </c>
      <c r="E4748" s="3" t="inlineStr">
        <is>
          <t>[첨부정정]주요사항보고서(회사합병결정)</t>
        </is>
      </c>
      <c r="F4748" s="3" t="inlineStr">
        <is>
          <t>지엘팜텍</t>
        </is>
      </c>
      <c r="G4748" s="2" t="inlineStr">
        <is>
          <t>20260601000130</t>
        </is>
      </c>
      <c r="H4748" s="8">
        <f>HYPERLINK("https://dart.fss.or.kr/dsaf001/main.do?rcpNo=20260601000130", "공시열람")</f>
        <v/>
      </c>
    </row>
    <row r="4749">
      <c r="A4749" s="2" t="inlineStr">
        <is>
          <t>2026-06-01 (정정: 2026-06-16)</t>
        </is>
      </c>
      <c r="B4749" s="3" t="inlineStr">
        <is>
          <t>씨씨에스</t>
        </is>
      </c>
      <c r="C4749" s="2" t="inlineStr">
        <is>
          <t>코스닥</t>
        </is>
      </c>
      <c r="D4749" s="2" t="inlineStr">
        <is>
          <t>066790</t>
        </is>
      </c>
      <c r="E4749" s="3" t="inlineStr">
        <is>
          <t>소송등의제기ㆍ신청(경영권분쟁소송)              (임시주주총회 개최금지 가처분) (정정: 20260616)</t>
        </is>
      </c>
      <c r="F4749" s="3" t="inlineStr">
        <is>
          <t>씨씨에스</t>
        </is>
      </c>
      <c r="G4749" s="2" t="inlineStr">
        <is>
          <t>20260616900807</t>
        </is>
      </c>
      <c r="H4749" s="8">
        <f>HYPERLINK("https://dart.fss.or.kr/dsaf001/main.do?rcpNo=20260616900807", "공시열람")</f>
        <v/>
      </c>
    </row>
    <row r="4750">
      <c r="A4750" s="2" t="inlineStr">
        <is>
          <t>2026-06-02 (정정: 2026-06-04)</t>
        </is>
      </c>
      <c r="B4750" s="3" t="inlineStr">
        <is>
          <t>달바글로벌</t>
        </is>
      </c>
      <c r="C4750" s="2" t="inlineStr">
        <is>
          <t>코스피</t>
        </is>
      </c>
      <c r="D4750" s="2" t="inlineStr">
        <is>
          <t>483650</t>
        </is>
      </c>
      <c r="E4750" s="3" t="inlineStr">
        <is>
          <t>임시주주총회결과               (정정: 20260604)</t>
        </is>
      </c>
      <c r="F4750" s="3" t="inlineStr">
        <is>
          <t>달바글로벌</t>
        </is>
      </c>
      <c r="G4750" s="2" t="inlineStr">
        <is>
          <t>20260604800163</t>
        </is>
      </c>
      <c r="H4750" s="8">
        <f>HYPERLINK("https://dart.fss.or.kr/dsaf001/main.do?rcpNo=20260604800163", "공시열람")</f>
        <v/>
      </c>
    </row>
    <row r="4751">
      <c r="A4751" s="2" t="inlineStr">
        <is>
          <t>2026-06-02</t>
        </is>
      </c>
      <c r="B4751" s="3" t="inlineStr">
        <is>
          <t>삼영전자공업</t>
        </is>
      </c>
      <c r="C4751" s="2" t="inlineStr">
        <is>
          <t>코스피</t>
        </is>
      </c>
      <c r="D4751" s="2" t="inlineStr">
        <is>
          <t>005680</t>
        </is>
      </c>
      <c r="E4751" s="3" t="inlineStr">
        <is>
          <t xml:space="preserve">소송등의제기ㆍ신청(경영권분쟁소송)              </t>
        </is>
      </c>
      <c r="F4751" s="3" t="inlineStr">
        <is>
          <t>삼영전자공업</t>
        </is>
      </c>
      <c r="G4751" s="2" t="inlineStr">
        <is>
          <t>20260602800823</t>
        </is>
      </c>
      <c r="H4751" s="8">
        <f>HYPERLINK("https://dart.fss.or.kr/dsaf001/main.do?rcpNo=20260602800823", "공시열람")</f>
        <v/>
      </c>
    </row>
    <row r="4752">
      <c r="A4752" s="2" t="inlineStr">
        <is>
          <t>2026-06-02</t>
        </is>
      </c>
      <c r="B4752" s="3" t="inlineStr">
        <is>
          <t>제주반도체</t>
        </is>
      </c>
      <c r="C4752" s="2" t="inlineStr">
        <is>
          <t>코스닥</t>
        </is>
      </c>
      <c r="D4752" s="2" t="inlineStr">
        <is>
          <t>080220</t>
        </is>
      </c>
      <c r="E4752" s="3" t="inlineStr">
        <is>
          <t>주주총회소집공고</t>
        </is>
      </c>
      <c r="F4752" s="3" t="inlineStr">
        <is>
          <t>제주반도체</t>
        </is>
      </c>
      <c r="G4752" s="2" t="inlineStr">
        <is>
          <t>20260602000543</t>
        </is>
      </c>
      <c r="H4752" s="8">
        <f>HYPERLINK("https://dart.fss.or.kr/dsaf001/main.do?rcpNo=20260602000543", "공시열람")</f>
        <v/>
      </c>
    </row>
    <row r="4753">
      <c r="A4753" s="2" t="inlineStr">
        <is>
          <t>2026-06-02</t>
        </is>
      </c>
      <c r="B4753" s="3" t="inlineStr">
        <is>
          <t>삼영에스앤씨</t>
        </is>
      </c>
      <c r="C4753" s="2" t="inlineStr">
        <is>
          <t>코스닥</t>
        </is>
      </c>
      <c r="D4753" s="2" t="inlineStr">
        <is>
          <t>361670</t>
        </is>
      </c>
      <c r="E4753" s="3" t="inlineStr">
        <is>
          <t>주주총회소집결의              (임시주주총회)</t>
        </is>
      </c>
      <c r="F4753" s="3" t="inlineStr">
        <is>
          <t>삼영에스앤씨</t>
        </is>
      </c>
      <c r="G4753" s="2" t="inlineStr">
        <is>
          <t>20260602900653</t>
        </is>
      </c>
      <c r="H4753" s="8">
        <f>HYPERLINK("https://dart.fss.or.kr/dsaf001/main.do?rcpNo=20260602900653", "공시열람")</f>
        <v/>
      </c>
    </row>
    <row r="4754">
      <c r="A4754" s="2" t="inlineStr">
        <is>
          <t>2026-06-02</t>
        </is>
      </c>
      <c r="B4754" s="3" t="inlineStr">
        <is>
          <t>대원화성</t>
        </is>
      </c>
      <c r="C4754" s="2" t="inlineStr">
        <is>
          <t>코스피</t>
        </is>
      </c>
      <c r="D4754" s="2" t="inlineStr">
        <is>
          <t>024890</t>
        </is>
      </c>
      <c r="E4754" s="3" t="inlineStr">
        <is>
          <t xml:space="preserve">주주총회소집결의              </t>
        </is>
      </c>
      <c r="F4754" s="3" t="inlineStr">
        <is>
          <t>대원화성</t>
        </is>
      </c>
      <c r="G4754" s="2" t="inlineStr">
        <is>
          <t>20260602800745</t>
        </is>
      </c>
      <c r="H4754" s="8">
        <f>HYPERLINK("https://dart.fss.or.kr/dsaf001/main.do?rcpNo=20260602800745", "공시열람")</f>
        <v/>
      </c>
    </row>
    <row r="4755">
      <c r="A4755" s="2" t="inlineStr">
        <is>
          <t>2026-06-02</t>
        </is>
      </c>
      <c r="B4755" s="3" t="inlineStr">
        <is>
          <t>SK리츠</t>
        </is>
      </c>
      <c r="C4755" s="2" t="inlineStr">
        <is>
          <t>코스피</t>
        </is>
      </c>
      <c r="D4755" s="2" t="inlineStr">
        <is>
          <t>395400</t>
        </is>
      </c>
      <c r="E4755" s="3" t="inlineStr">
        <is>
          <t>주주총회소집공고</t>
        </is>
      </c>
      <c r="F4755" s="3" t="inlineStr">
        <is>
          <t>SK리츠</t>
        </is>
      </c>
      <c r="G4755" s="2" t="inlineStr">
        <is>
          <t>20260602000425</t>
        </is>
      </c>
      <c r="H4755" s="8">
        <f>HYPERLINK("https://dart.fss.or.kr/dsaf001/main.do?rcpNo=20260602000425", "공시열람")</f>
        <v/>
      </c>
    </row>
    <row r="4756">
      <c r="A4756" s="2" t="inlineStr">
        <is>
          <t>2026-06-02</t>
        </is>
      </c>
      <c r="B4756" s="3" t="inlineStr">
        <is>
          <t>나노신소재</t>
        </is>
      </c>
      <c r="C4756" s="2" t="inlineStr">
        <is>
          <t>코스닥</t>
        </is>
      </c>
      <c r="D4756" s="2" t="inlineStr">
        <is>
          <t>121600</t>
        </is>
      </c>
      <c r="E4756" s="3" t="inlineStr">
        <is>
          <t xml:space="preserve">임시주주총회결과              </t>
        </is>
      </c>
      <c r="F4756" s="3" t="inlineStr">
        <is>
          <t>나노신소재</t>
        </is>
      </c>
      <c r="G4756" s="2" t="inlineStr">
        <is>
          <t>20260602900648</t>
        </is>
      </c>
      <c r="H4756" s="8">
        <f>HYPERLINK("https://dart.fss.or.kr/dsaf001/main.do?rcpNo=20260602900648", "공시열람")</f>
        <v/>
      </c>
    </row>
    <row r="4757">
      <c r="A4757" s="2" t="inlineStr">
        <is>
          <t>2026-06-02</t>
        </is>
      </c>
      <c r="B4757" s="3" t="inlineStr">
        <is>
          <t>다우데이타</t>
        </is>
      </c>
      <c r="C4757" s="2" t="inlineStr">
        <is>
          <t>코스닥</t>
        </is>
      </c>
      <c r="D4757" s="2" t="inlineStr">
        <is>
          <t>032190</t>
        </is>
      </c>
      <c r="E4757" s="3" t="inlineStr">
        <is>
          <t xml:space="preserve">회사합병결정(종속회사의주요경영사항)              </t>
        </is>
      </c>
      <c r="F4757" s="3" t="inlineStr">
        <is>
          <t>다우데이타</t>
        </is>
      </c>
      <c r="G4757" s="2" t="inlineStr">
        <is>
          <t>20260602900641</t>
        </is>
      </c>
      <c r="H4757" s="8">
        <f>HYPERLINK("https://dart.fss.or.kr/dsaf001/main.do?rcpNo=20260602900641", "공시열람")</f>
        <v/>
      </c>
    </row>
    <row r="4758">
      <c r="A4758" s="2" t="inlineStr">
        <is>
          <t>2026-06-02</t>
        </is>
      </c>
      <c r="B4758" s="3" t="inlineStr">
        <is>
          <t>다우기술</t>
        </is>
      </c>
      <c r="C4758" s="2" t="inlineStr">
        <is>
          <t>코스피</t>
        </is>
      </c>
      <c r="D4758" s="2" t="inlineStr">
        <is>
          <t>023590</t>
        </is>
      </c>
      <c r="E4758" s="3" t="inlineStr">
        <is>
          <t>주요사항보고서(회사합병결정)</t>
        </is>
      </c>
      <c r="F4758" s="3" t="inlineStr">
        <is>
          <t>다우기술</t>
        </is>
      </c>
      <c r="G4758" s="2" t="inlineStr">
        <is>
          <t>20260602000363</t>
        </is>
      </c>
      <c r="H4758" s="8">
        <f>HYPERLINK("https://dart.fss.or.kr/dsaf001/main.do?rcpNo=20260602000363", "공시열람")</f>
        <v/>
      </c>
    </row>
    <row r="4759">
      <c r="A4759" s="2" t="inlineStr">
        <is>
          <t>2026-06-02</t>
        </is>
      </c>
      <c r="B4759" s="3" t="inlineStr">
        <is>
          <t>나이스정보통신</t>
        </is>
      </c>
      <c r="C4759" s="2" t="inlineStr">
        <is>
          <t>코스닥</t>
        </is>
      </c>
      <c r="D4759" s="2" t="inlineStr">
        <is>
          <t>036800</t>
        </is>
      </c>
      <c r="E4759" s="3" t="inlineStr">
        <is>
          <t>주주총회소집결의              (임시주주총회)</t>
        </is>
      </c>
      <c r="F4759" s="3" t="inlineStr">
        <is>
          <t>나이스정보통신</t>
        </is>
      </c>
      <c r="G4759" s="2" t="inlineStr">
        <is>
          <t>20260602900601</t>
        </is>
      </c>
      <c r="H4759" s="8">
        <f>HYPERLINK("https://dart.fss.or.kr/dsaf001/main.do?rcpNo=20260602900601", "공시열람")</f>
        <v/>
      </c>
    </row>
    <row r="4760">
      <c r="A4760" s="2" t="inlineStr">
        <is>
          <t>2026-06-02</t>
        </is>
      </c>
      <c r="B4760" s="3" t="inlineStr">
        <is>
          <t>효성중공업</t>
        </is>
      </c>
      <c r="C4760" s="2" t="inlineStr">
        <is>
          <t>코스피</t>
        </is>
      </c>
      <c r="D4760" s="2" t="inlineStr">
        <is>
          <t>298040</t>
        </is>
      </c>
      <c r="E4760" s="3" t="inlineStr">
        <is>
          <t xml:space="preserve">임시주주총회결과              </t>
        </is>
      </c>
      <c r="F4760" s="3" t="inlineStr">
        <is>
          <t>효성중공업</t>
        </is>
      </c>
      <c r="G4760" s="2" t="inlineStr">
        <is>
          <t>20260602800611</t>
        </is>
      </c>
      <c r="H4760" s="8">
        <f>HYPERLINK("https://dart.fss.or.kr/dsaf001/main.do?rcpNo=20260602800611", "공시열람")</f>
        <v/>
      </c>
    </row>
    <row r="4761">
      <c r="A4761" s="2" t="inlineStr">
        <is>
          <t>2026-06-02</t>
        </is>
      </c>
      <c r="B4761" s="3" t="inlineStr">
        <is>
          <t>엠아이큐브솔루션</t>
        </is>
      </c>
      <c r="C4761" s="2" t="inlineStr">
        <is>
          <t>코스닥</t>
        </is>
      </c>
      <c r="D4761" s="2" t="inlineStr">
        <is>
          <t>373170</t>
        </is>
      </c>
      <c r="E4761" s="3" t="inlineStr">
        <is>
          <t>주주총회소집결의              (임시주주총회)</t>
        </is>
      </c>
      <c r="F4761" s="3" t="inlineStr">
        <is>
          <t>엠아이큐브솔루션</t>
        </is>
      </c>
      <c r="G4761" s="2" t="inlineStr">
        <is>
          <t>20260602900569</t>
        </is>
      </c>
      <c r="H4761" s="8">
        <f>HYPERLINK("https://dart.fss.or.kr/dsaf001/main.do?rcpNo=20260602900569", "공시열람")</f>
        <v/>
      </c>
    </row>
    <row r="4762">
      <c r="A4762" s="2" t="inlineStr">
        <is>
          <t>2026-06-02</t>
        </is>
      </c>
      <c r="B4762" s="3" t="inlineStr">
        <is>
          <t>나이스정보통신</t>
        </is>
      </c>
      <c r="C4762" s="2" t="inlineStr">
        <is>
          <t>코스닥</t>
        </is>
      </c>
      <c r="D4762" s="2" t="inlineStr">
        <is>
          <t>036800</t>
        </is>
      </c>
      <c r="E4762" s="3" t="inlineStr">
        <is>
          <t xml:space="preserve">주식분할결정              </t>
        </is>
      </c>
      <c r="F4762" s="3" t="inlineStr">
        <is>
          <t>나이스정보통신</t>
        </is>
      </c>
      <c r="G4762" s="2" t="inlineStr">
        <is>
          <t>20260602900609</t>
        </is>
      </c>
      <c r="H4762" s="8">
        <f>HYPERLINK("https://dart.fss.or.kr/dsaf001/main.do?rcpNo=20260602900609", "공시열람")</f>
        <v/>
      </c>
    </row>
    <row r="4763">
      <c r="A4763" s="2" t="inlineStr">
        <is>
          <t>2026-06-02</t>
        </is>
      </c>
      <c r="B4763" s="3" t="inlineStr">
        <is>
          <t>제주반도체</t>
        </is>
      </c>
      <c r="C4763" s="2" t="inlineStr">
        <is>
          <t>코스닥</t>
        </is>
      </c>
      <c r="D4763" s="2" t="inlineStr">
        <is>
          <t>080220</t>
        </is>
      </c>
      <c r="E4763" s="3" t="inlineStr">
        <is>
          <t xml:space="preserve">[첨부정정]주주총회소집결의              </t>
        </is>
      </c>
      <c r="F4763" s="3" t="inlineStr">
        <is>
          <t>제주반도체</t>
        </is>
      </c>
      <c r="G4763" s="2" t="inlineStr">
        <is>
          <t>20260602900570</t>
        </is>
      </c>
      <c r="H4763" s="8">
        <f>HYPERLINK("https://dart.fss.or.kr/dsaf001/main.do?rcpNo=20260602900570", "공시열람")</f>
        <v/>
      </c>
    </row>
    <row r="4764">
      <c r="A4764" s="2" t="inlineStr">
        <is>
          <t>2026-06-02</t>
        </is>
      </c>
      <c r="B4764" s="3" t="inlineStr">
        <is>
          <t>SK리츠</t>
        </is>
      </c>
      <c r="C4764" s="2" t="inlineStr">
        <is>
          <t>코스피</t>
        </is>
      </c>
      <c r="D4764" s="2" t="inlineStr">
        <is>
          <t>395400</t>
        </is>
      </c>
      <c r="E4764" s="3" t="inlineStr">
        <is>
          <t xml:space="preserve">주주총회소집결의              </t>
        </is>
      </c>
      <c r="F4764" s="3" t="inlineStr">
        <is>
          <t>SK리츠</t>
        </is>
      </c>
      <c r="G4764" s="2" t="inlineStr">
        <is>
          <t>20260602800496</t>
        </is>
      </c>
      <c r="H4764" s="8">
        <f>HYPERLINK("https://dart.fss.or.kr/dsaf001/main.do?rcpNo=20260602800496", "공시열람")</f>
        <v/>
      </c>
    </row>
    <row r="4765">
      <c r="A4765" s="2" t="inlineStr">
        <is>
          <t>2026-06-02</t>
        </is>
      </c>
      <c r="B4765" s="3" t="inlineStr">
        <is>
          <t>한국전력공사</t>
        </is>
      </c>
      <c r="C4765" s="2" t="inlineStr">
        <is>
          <t>코스피</t>
        </is>
      </c>
      <c r="D4765" s="2" t="inlineStr">
        <is>
          <t>015760</t>
        </is>
      </c>
      <c r="E4765" s="3" t="inlineStr">
        <is>
          <t>주주총회소집공고</t>
        </is>
      </c>
      <c r="F4765" s="3" t="inlineStr">
        <is>
          <t>한국전력공사</t>
        </is>
      </c>
      <c r="G4765" s="2" t="inlineStr">
        <is>
          <t>20260602000327</t>
        </is>
      </c>
      <c r="H4765" s="8">
        <f>HYPERLINK("https://dart.fss.or.kr/dsaf001/main.do?rcpNo=20260602000327", "공시열람")</f>
        <v/>
      </c>
    </row>
    <row r="4766">
      <c r="A4766" s="2" t="inlineStr">
        <is>
          <t>2026-06-02</t>
        </is>
      </c>
      <c r="B4766" s="3" t="inlineStr">
        <is>
          <t>노을</t>
        </is>
      </c>
      <c r="C4766" s="2" t="inlineStr">
        <is>
          <t>코스닥</t>
        </is>
      </c>
      <c r="D4766" s="2" t="inlineStr">
        <is>
          <t>376930</t>
        </is>
      </c>
      <c r="E4766" s="3" t="inlineStr">
        <is>
          <t xml:space="preserve">주주총회소집결의              </t>
        </is>
      </c>
      <c r="F4766" s="3" t="inlineStr">
        <is>
          <t>노을</t>
        </is>
      </c>
      <c r="G4766" s="2" t="inlineStr">
        <is>
          <t>20260602900499</t>
        </is>
      </c>
      <c r="H4766" s="8">
        <f>HYPERLINK("https://dart.fss.or.kr/dsaf001/main.do?rcpNo=20260602900499", "공시열람")</f>
        <v/>
      </c>
    </row>
    <row r="4767">
      <c r="A4767" s="2" t="inlineStr">
        <is>
          <t>2026-06-02</t>
        </is>
      </c>
      <c r="B4767" s="3" t="inlineStr">
        <is>
          <t>서울반도체</t>
        </is>
      </c>
      <c r="C4767" s="2" t="inlineStr">
        <is>
          <t>코스닥</t>
        </is>
      </c>
      <c r="D4767" s="2" t="inlineStr">
        <is>
          <t>046890</t>
        </is>
      </c>
      <c r="E4767" s="3" t="inlineStr">
        <is>
          <t>주주총회소집공고</t>
        </is>
      </c>
      <c r="F4767" s="3" t="inlineStr">
        <is>
          <t>서울반도체</t>
        </is>
      </c>
      <c r="G4767" s="2" t="inlineStr">
        <is>
          <t>20260602000318</t>
        </is>
      </c>
      <c r="H4767" s="8">
        <f>HYPERLINK("https://dart.fss.or.kr/dsaf001/main.do?rcpNo=20260602000318", "공시열람")</f>
        <v/>
      </c>
    </row>
    <row r="4768">
      <c r="A4768" s="2" t="inlineStr">
        <is>
          <t>2026-06-02</t>
        </is>
      </c>
      <c r="B4768" s="3" t="inlineStr">
        <is>
          <t>예선테크</t>
        </is>
      </c>
      <c r="C4768" s="2" t="inlineStr">
        <is>
          <t>코스닥</t>
        </is>
      </c>
      <c r="D4768" s="2" t="inlineStr">
        <is>
          <t>250930</t>
        </is>
      </c>
      <c r="E4768" s="3" t="inlineStr">
        <is>
          <t>주주총회소집공고</t>
        </is>
      </c>
      <c r="F4768" s="3" t="inlineStr">
        <is>
          <t>예선테크</t>
        </is>
      </c>
      <c r="G4768" s="2" t="inlineStr">
        <is>
          <t>20260602000285</t>
        </is>
      </c>
      <c r="H4768" s="8">
        <f>HYPERLINK("https://dart.fss.or.kr/dsaf001/main.do?rcpNo=20260602000285", "공시열람")</f>
        <v/>
      </c>
    </row>
    <row r="4769">
      <c r="A4769" s="2" t="inlineStr">
        <is>
          <t>2026-06-02</t>
        </is>
      </c>
      <c r="B4769" s="3" t="inlineStr">
        <is>
          <t>캔버스엔</t>
        </is>
      </c>
      <c r="C4769" s="2" t="inlineStr">
        <is>
          <t>코스닥</t>
        </is>
      </c>
      <c r="D4769" s="2" t="inlineStr">
        <is>
          <t>210120</t>
        </is>
      </c>
      <c r="E4769" s="3" t="inlineStr">
        <is>
          <t>주주총회소집결의              (임시주주총회)</t>
        </is>
      </c>
      <c r="F4769" s="3" t="inlineStr">
        <is>
          <t>캔버스엔</t>
        </is>
      </c>
      <c r="G4769" s="2" t="inlineStr">
        <is>
          <t>20260602900428</t>
        </is>
      </c>
      <c r="H4769" s="8">
        <f>HYPERLINK("https://dart.fss.or.kr/dsaf001/main.do?rcpNo=20260602900428", "공시열람")</f>
        <v/>
      </c>
    </row>
    <row r="4770">
      <c r="A4770" s="2" t="inlineStr">
        <is>
          <t>2026-06-02</t>
        </is>
      </c>
      <c r="B4770" s="3" t="inlineStr">
        <is>
          <t>한국전력공사</t>
        </is>
      </c>
      <c r="C4770" s="2" t="inlineStr">
        <is>
          <t>코스피</t>
        </is>
      </c>
      <c r="D4770" s="2" t="inlineStr">
        <is>
          <t>015760</t>
        </is>
      </c>
      <c r="E4770" s="3" t="inlineStr">
        <is>
          <t xml:space="preserve">주주총회소집결의              </t>
        </is>
      </c>
      <c r="F4770" s="3" t="inlineStr">
        <is>
          <t>한국전력공사</t>
        </is>
      </c>
      <c r="G4770" s="2" t="inlineStr">
        <is>
          <t>20260602800431</t>
        </is>
      </c>
      <c r="H4770" s="8">
        <f>HYPERLINK("https://dart.fss.or.kr/dsaf001/main.do?rcpNo=20260602800431", "공시열람")</f>
        <v/>
      </c>
    </row>
    <row r="4771">
      <c r="A4771" s="2" t="inlineStr">
        <is>
          <t>2026-03-26 (정정: 2026-06-02)</t>
        </is>
      </c>
      <c r="B4771" s="3" t="inlineStr">
        <is>
          <t>에스디시스템</t>
        </is>
      </c>
      <c r="C4771" s="2" t="inlineStr">
        <is>
          <t>코스닥</t>
        </is>
      </c>
      <c r="D4771" s="2" t="inlineStr">
        <is>
          <t>121890</t>
        </is>
      </c>
      <c r="E4771" s="3" t="inlineStr">
        <is>
          <t>[기재정정]주주총회소집결의              (임시주주총회)</t>
        </is>
      </c>
      <c r="F4771" s="3" t="inlineStr">
        <is>
          <t>에스디시스템</t>
        </is>
      </c>
      <c r="G4771" s="2" t="inlineStr">
        <is>
          <t>20260602900430</t>
        </is>
      </c>
      <c r="H4771" s="8">
        <f>HYPERLINK("https://dart.fss.or.kr/dsaf001/main.do?rcpNo=20260602900430", "공시열람")</f>
        <v/>
      </c>
    </row>
    <row r="4772">
      <c r="A4772" s="2" t="inlineStr">
        <is>
          <t>2026-06-02</t>
        </is>
      </c>
      <c r="B4772" s="3" t="inlineStr">
        <is>
          <t>파루</t>
        </is>
      </c>
      <c r="C4772" s="2" t="inlineStr">
        <is>
          <t>코스닥</t>
        </is>
      </c>
      <c r="D4772" s="2" t="inlineStr">
        <is>
          <t>043200</t>
        </is>
      </c>
      <c r="E4772" s="3" t="inlineStr">
        <is>
          <t xml:space="preserve">주주총회소집결의              </t>
        </is>
      </c>
      <c r="F4772" s="3" t="inlineStr">
        <is>
          <t>파루</t>
        </is>
      </c>
      <c r="G4772" s="2" t="inlineStr">
        <is>
          <t>20260602900409</t>
        </is>
      </c>
      <c r="H4772" s="8">
        <f>HYPERLINK("https://dart.fss.or.kr/dsaf001/main.do?rcpNo=20260602900409", "공시열람")</f>
        <v/>
      </c>
    </row>
    <row r="4773">
      <c r="A4773" s="2" t="inlineStr">
        <is>
          <t>2026-06-02</t>
        </is>
      </c>
      <c r="B4773" s="3" t="inlineStr">
        <is>
          <t>넥사다이내믹스</t>
        </is>
      </c>
      <c r="C4773" s="2" t="inlineStr">
        <is>
          <t>코스닥</t>
        </is>
      </c>
      <c r="D4773" s="2" t="inlineStr">
        <is>
          <t>351320</t>
        </is>
      </c>
      <c r="E4773" s="3" t="inlineStr">
        <is>
          <t>주주총회소집결의              (임시주주총회)</t>
        </is>
      </c>
      <c r="F4773" s="3" t="inlineStr">
        <is>
          <t>넥사다이내믹스</t>
        </is>
      </c>
      <c r="G4773" s="2" t="inlineStr">
        <is>
          <t>20260602900392</t>
        </is>
      </c>
      <c r="H4773" s="8">
        <f>HYPERLINK("https://dart.fss.or.kr/dsaf001/main.do?rcpNo=20260602900392", "공시열람")</f>
        <v/>
      </c>
    </row>
    <row r="4774">
      <c r="A4774" s="2" t="inlineStr">
        <is>
          <t>2026-06-02</t>
        </is>
      </c>
      <c r="B4774" s="3" t="inlineStr">
        <is>
          <t>대호에이엘</t>
        </is>
      </c>
      <c r="C4774" s="2" t="inlineStr">
        <is>
          <t>코스피</t>
        </is>
      </c>
      <c r="D4774" s="2" t="inlineStr">
        <is>
          <t>069460</t>
        </is>
      </c>
      <c r="E4774" s="3" t="inlineStr">
        <is>
          <t xml:space="preserve">소송등의제기ㆍ신청(경영권분쟁소송)              </t>
        </is>
      </c>
      <c r="F4774" s="3" t="inlineStr">
        <is>
          <t>대호에이엘</t>
        </is>
      </c>
      <c r="G4774" s="2" t="inlineStr">
        <is>
          <t>20260602800394</t>
        </is>
      </c>
      <c r="H4774" s="8">
        <f>HYPERLINK("https://dart.fss.or.kr/dsaf001/main.do?rcpNo=20260602800394", "공시열람")</f>
        <v/>
      </c>
    </row>
    <row r="4775">
      <c r="A4775" s="2" t="inlineStr">
        <is>
          <t>2026-06-02</t>
        </is>
      </c>
      <c r="B4775" s="3" t="inlineStr">
        <is>
          <t>효성오앤비</t>
        </is>
      </c>
      <c r="C4775" s="2" t="inlineStr">
        <is>
          <t>코스닥</t>
        </is>
      </c>
      <c r="D4775" s="2" t="inlineStr">
        <is>
          <t>097870</t>
        </is>
      </c>
      <c r="E4775" s="3" t="inlineStr">
        <is>
          <t>주주총회소집공고</t>
        </is>
      </c>
      <c r="F4775" s="3" t="inlineStr">
        <is>
          <t>효성오앤비</t>
        </is>
      </c>
      <c r="G4775" s="2" t="inlineStr">
        <is>
          <t>20260602000243</t>
        </is>
      </c>
      <c r="H4775" s="8">
        <f>HYPERLINK("https://dart.fss.or.kr/dsaf001/main.do?rcpNo=20260602000243", "공시열람")</f>
        <v/>
      </c>
    </row>
    <row r="4776">
      <c r="A4776" s="2" t="inlineStr">
        <is>
          <t>2026-06-02 (정정: 2026-06-04)</t>
        </is>
      </c>
      <c r="B4776" s="3" t="inlineStr">
        <is>
          <t>한중엔시에스</t>
        </is>
      </c>
      <c r="C4776" s="2" t="inlineStr">
        <is>
          <t>코스닥</t>
        </is>
      </c>
      <c r="D4776" s="2" t="inlineStr">
        <is>
          <t>107640</t>
        </is>
      </c>
      <c r="E4776" s="3" t="inlineStr">
        <is>
          <t>주주총회소집결의              (임시주주총회) (정정: 20260604)</t>
        </is>
      </c>
      <c r="F4776" s="3" t="inlineStr">
        <is>
          <t>한중엔시에스</t>
        </is>
      </c>
      <c r="G4776" s="2" t="inlineStr">
        <is>
          <t>20260604900321</t>
        </is>
      </c>
      <c r="H4776" s="8">
        <f>HYPERLINK("https://dart.fss.or.kr/dsaf001/main.do?rcpNo=20260604900321", "공시열람")</f>
        <v/>
      </c>
    </row>
    <row r="4777">
      <c r="A4777" s="2" t="inlineStr">
        <is>
          <t>2026-06-02</t>
        </is>
      </c>
      <c r="B4777" s="3" t="inlineStr">
        <is>
          <t>동양</t>
        </is>
      </c>
      <c r="C4777" s="2" t="inlineStr">
        <is>
          <t>코스피</t>
        </is>
      </c>
      <c r="D4777" s="2" t="inlineStr">
        <is>
          <t>001520</t>
        </is>
      </c>
      <c r="E4777" s="3" t="inlineStr">
        <is>
          <t xml:space="preserve">주주총회소집결의              </t>
        </is>
      </c>
      <c r="F4777" s="3" t="inlineStr">
        <is>
          <t>동양</t>
        </is>
      </c>
      <c r="G4777" s="2" t="inlineStr">
        <is>
          <t>20260602800258</t>
        </is>
      </c>
      <c r="H4777" s="8">
        <f>HYPERLINK("https://dart.fss.or.kr/dsaf001/main.do?rcpNo=20260602800258", "공시열람")</f>
        <v/>
      </c>
    </row>
    <row r="4778">
      <c r="A4778" s="2" t="inlineStr">
        <is>
          <t>2026-06-02</t>
        </is>
      </c>
      <c r="B4778" s="3" t="inlineStr">
        <is>
          <t>토비스</t>
        </is>
      </c>
      <c r="C4778" s="2" t="inlineStr">
        <is>
          <t>코스닥</t>
        </is>
      </c>
      <c r="D4778" s="2" t="inlineStr">
        <is>
          <t>051360</t>
        </is>
      </c>
      <c r="E4778" s="3" t="inlineStr">
        <is>
          <t xml:space="preserve">임시주주총회결과              </t>
        </is>
      </c>
      <c r="F4778" s="3" t="inlineStr">
        <is>
          <t>토비스</t>
        </is>
      </c>
      <c r="G4778" s="2" t="inlineStr">
        <is>
          <t>20260602900238</t>
        </is>
      </c>
      <c r="H4778" s="8">
        <f>HYPERLINK("https://dart.fss.or.kr/dsaf001/main.do?rcpNo=20260602900238", "공시열람")</f>
        <v/>
      </c>
    </row>
    <row r="4779">
      <c r="A4779" s="2" t="inlineStr">
        <is>
          <t>2026-06-02</t>
        </is>
      </c>
      <c r="B4779" s="3" t="inlineStr">
        <is>
          <t>케이사인</t>
        </is>
      </c>
      <c r="C4779" s="2" t="inlineStr">
        <is>
          <t>코스닥</t>
        </is>
      </c>
      <c r="D4779" s="2" t="inlineStr">
        <is>
          <t>192250</t>
        </is>
      </c>
      <c r="E4779" s="3" t="inlineStr">
        <is>
          <t xml:space="preserve">임시주주총회결과              </t>
        </is>
      </c>
      <c r="F4779" s="3" t="inlineStr">
        <is>
          <t>케이사인</t>
        </is>
      </c>
      <c r="G4779" s="2" t="inlineStr">
        <is>
          <t>20260602900201</t>
        </is>
      </c>
      <c r="H4779" s="8">
        <f>HYPERLINK("https://dart.fss.or.kr/dsaf001/main.do?rcpNo=20260602900201", "공시열람")</f>
        <v/>
      </c>
    </row>
    <row r="4780">
      <c r="A4780" s="2" t="inlineStr">
        <is>
          <t>2026-06-02</t>
        </is>
      </c>
      <c r="B4780" s="3" t="inlineStr">
        <is>
          <t>인바이오</t>
        </is>
      </c>
      <c r="C4780" s="2" t="inlineStr">
        <is>
          <t>코스닥</t>
        </is>
      </c>
      <c r="D4780" s="2" t="inlineStr">
        <is>
          <t>352940</t>
        </is>
      </c>
      <c r="E4780" s="3" t="inlineStr">
        <is>
          <t>주주총회소집공고</t>
        </is>
      </c>
      <c r="F4780" s="3" t="inlineStr">
        <is>
          <t>인바이오</t>
        </is>
      </c>
      <c r="G4780" s="2" t="inlineStr">
        <is>
          <t>20260602000103</t>
        </is>
      </c>
      <c r="H4780" s="8">
        <f>HYPERLINK("https://dart.fss.or.kr/dsaf001/main.do?rcpNo=20260602000103", "공시열람")</f>
        <v/>
      </c>
    </row>
    <row r="4781">
      <c r="A4781" s="2" t="inlineStr">
        <is>
          <t>2026-06-02</t>
        </is>
      </c>
      <c r="B4781" s="3" t="inlineStr">
        <is>
          <t>씨티알모빌리티</t>
        </is>
      </c>
      <c r="C4781" s="2" t="inlineStr">
        <is>
          <t>코스피</t>
        </is>
      </c>
      <c r="D4781" s="2" t="inlineStr">
        <is>
          <t>308170</t>
        </is>
      </c>
      <c r="E4781" s="3" t="inlineStr">
        <is>
          <t>주주총회소집공고</t>
        </is>
      </c>
      <c r="F4781" s="3" t="inlineStr">
        <is>
          <t>씨티알모빌리티</t>
        </is>
      </c>
      <c r="G4781" s="2" t="inlineStr">
        <is>
          <t>20260602000094</t>
        </is>
      </c>
      <c r="H4781" s="8">
        <f>HYPERLINK("https://dart.fss.or.kr/dsaf001/main.do?rcpNo=20260602000094", "공시열람")</f>
        <v/>
      </c>
    </row>
    <row r="4782">
      <c r="A4782" s="2" t="inlineStr">
        <is>
          <t>2026-06-02</t>
        </is>
      </c>
      <c r="B4782" s="3" t="inlineStr">
        <is>
          <t>손오공</t>
        </is>
      </c>
      <c r="C4782" s="2" t="inlineStr">
        <is>
          <t>코스닥</t>
        </is>
      </c>
      <c r="D4782" s="2" t="inlineStr">
        <is>
          <t>066910</t>
        </is>
      </c>
      <c r="E4782" s="3" t="inlineStr">
        <is>
          <t>[첨부정정]주요사항보고서(회사합병결정)</t>
        </is>
      </c>
      <c r="F4782" s="3" t="inlineStr">
        <is>
          <t>손오공</t>
        </is>
      </c>
      <c r="G4782" s="2" t="inlineStr">
        <is>
          <t>20260602000070</t>
        </is>
      </c>
      <c r="H4782" s="8">
        <f>HYPERLINK("https://dart.fss.or.kr/dsaf001/main.do?rcpNo=20260602000070", "공시열람")</f>
        <v/>
      </c>
    </row>
    <row r="4783">
      <c r="A4783" s="2" t="inlineStr">
        <is>
          <t>2026-06-02</t>
        </is>
      </c>
      <c r="B4783" s="3" t="inlineStr">
        <is>
          <t>이노에이엑스</t>
        </is>
      </c>
      <c r="C4783" s="2" t="inlineStr">
        <is>
          <t>코스닥</t>
        </is>
      </c>
      <c r="D4783" s="2" t="inlineStr">
        <is>
          <t>296640</t>
        </is>
      </c>
      <c r="E4783" s="3" t="inlineStr">
        <is>
          <t>주주총회소집공고</t>
        </is>
      </c>
      <c r="F4783" s="3" t="inlineStr">
        <is>
          <t>이노에이엑스</t>
        </is>
      </c>
      <c r="G4783" s="2" t="inlineStr">
        <is>
          <t>20260602000059</t>
        </is>
      </c>
      <c r="H4783" s="8">
        <f>HYPERLINK("https://dart.fss.or.kr/dsaf001/main.do?rcpNo=20260602000059", "공시열람")</f>
        <v/>
      </c>
    </row>
    <row r="4784">
      <c r="A4784" s="2" t="inlineStr">
        <is>
          <t>2026-06-04</t>
        </is>
      </c>
      <c r="B4784" s="3" t="inlineStr">
        <is>
          <t>애드바이오텍</t>
        </is>
      </c>
      <c r="C4784" s="2" t="inlineStr">
        <is>
          <t>코스닥</t>
        </is>
      </c>
      <c r="D4784" s="2" t="inlineStr">
        <is>
          <t>179530</t>
        </is>
      </c>
      <c r="E4784" s="3" t="inlineStr">
        <is>
          <t xml:space="preserve">최대주주인명목회사·조합등의최대주주변경              </t>
        </is>
      </c>
      <c r="F4784" s="3" t="inlineStr">
        <is>
          <t>애드바이오텍</t>
        </is>
      </c>
      <c r="G4784" s="2" t="inlineStr">
        <is>
          <t>20260604900849</t>
        </is>
      </c>
      <c r="H4784" s="8">
        <f>HYPERLINK("https://dart.fss.or.kr/dsaf001/main.do?rcpNo=20260604900849", "공시열람")</f>
        <v/>
      </c>
    </row>
    <row r="4785">
      <c r="A4785" s="2" t="inlineStr">
        <is>
          <t>2026-06-04</t>
        </is>
      </c>
      <c r="B4785" s="3" t="inlineStr">
        <is>
          <t>핸디소프트</t>
        </is>
      </c>
      <c r="C4785" s="2" t="inlineStr">
        <is>
          <t>코스닥</t>
        </is>
      </c>
      <c r="D4785" s="2" t="inlineStr">
        <is>
          <t>220180</t>
        </is>
      </c>
      <c r="E4785" s="3" t="inlineStr">
        <is>
          <t>주주총회소집결의              (임시주주총회)</t>
        </is>
      </c>
      <c r="F4785" s="3" t="inlineStr">
        <is>
          <t>핸디소프트</t>
        </is>
      </c>
      <c r="G4785" s="2" t="inlineStr">
        <is>
          <t>20260604900763</t>
        </is>
      </c>
      <c r="H4785" s="8">
        <f>HYPERLINK("https://dart.fss.or.kr/dsaf001/main.do?rcpNo=20260604900763", "공시열람")</f>
        <v/>
      </c>
    </row>
    <row r="4786">
      <c r="A4786" s="2" t="inlineStr">
        <is>
          <t>2026-06-04</t>
        </is>
      </c>
      <c r="B4786" s="3" t="inlineStr">
        <is>
          <t>JTC</t>
        </is>
      </c>
      <c r="C4786" s="2" t="inlineStr">
        <is>
          <t>코스닥</t>
        </is>
      </c>
      <c r="D4786" s="2" t="inlineStr">
        <is>
          <t>950170</t>
        </is>
      </c>
      <c r="E4786" s="3" t="inlineStr">
        <is>
          <t xml:space="preserve">최대주주변경을수반하는주식담보제공계약해제ㆍ취소등              </t>
        </is>
      </c>
      <c r="F4786" s="3" t="inlineStr">
        <is>
          <t>JTC</t>
        </is>
      </c>
      <c r="G4786" s="2" t="inlineStr">
        <is>
          <t>20260604900746</t>
        </is>
      </c>
      <c r="H4786" s="8">
        <f>HYPERLINK("https://dart.fss.or.kr/dsaf001/main.do?rcpNo=20260604900746", "공시열람")</f>
        <v/>
      </c>
    </row>
    <row r="4787">
      <c r="A4787" s="2" t="inlineStr">
        <is>
          <t>2026-06-04</t>
        </is>
      </c>
      <c r="B4787" s="3" t="inlineStr">
        <is>
          <t>코스텍시스템</t>
        </is>
      </c>
      <c r="C4787" s="2" t="inlineStr">
        <is>
          <t>코넥스</t>
        </is>
      </c>
      <c r="D4787" s="2" t="inlineStr">
        <is>
          <t>169670</t>
        </is>
      </c>
      <c r="E4787" s="3" t="inlineStr">
        <is>
          <t xml:space="preserve">최대주주변경              </t>
        </is>
      </c>
      <c r="F4787" s="3" t="inlineStr">
        <is>
          <t>코스텍시스템</t>
        </is>
      </c>
      <c r="G4787" s="2" t="inlineStr">
        <is>
          <t>20260604600754</t>
        </is>
      </c>
      <c r="H4787" s="8">
        <f>HYPERLINK("https://dart.fss.or.kr/dsaf001/main.do?rcpNo=20260604600754", "공시열람")</f>
        <v/>
      </c>
    </row>
    <row r="4788">
      <c r="A4788" s="2" t="inlineStr">
        <is>
          <t>2026-06-04</t>
        </is>
      </c>
      <c r="B4788" s="3" t="inlineStr">
        <is>
          <t>공구우먼</t>
        </is>
      </c>
      <c r="C4788" s="2" t="inlineStr">
        <is>
          <t>코스닥</t>
        </is>
      </c>
      <c r="D4788" s="2" t="inlineStr">
        <is>
          <t>366030</t>
        </is>
      </c>
      <c r="E4788" s="3" t="inlineStr">
        <is>
          <t xml:space="preserve">임시주주총회결과              </t>
        </is>
      </c>
      <c r="F4788" s="3" t="inlineStr">
        <is>
          <t>공구우먼</t>
        </is>
      </c>
      <c r="G4788" s="2" t="inlineStr">
        <is>
          <t>20260604900650</t>
        </is>
      </c>
      <c r="H4788" s="8">
        <f>HYPERLINK("https://dart.fss.or.kr/dsaf001/main.do?rcpNo=20260604900650", "공시열람")</f>
        <v/>
      </c>
    </row>
    <row r="4789">
      <c r="A4789" s="2" t="inlineStr">
        <is>
          <t>2026-06-04 (정정: 2026-06-11)</t>
        </is>
      </c>
      <c r="B4789" s="3" t="inlineStr">
        <is>
          <t>쏘카</t>
        </is>
      </c>
      <c r="C4789" s="2" t="inlineStr">
        <is>
          <t>코스피</t>
        </is>
      </c>
      <c r="D4789" s="2" t="inlineStr">
        <is>
          <t>403550</t>
        </is>
      </c>
      <c r="E4789" s="3" t="inlineStr">
        <is>
          <t>임시주주총회결과               (정정: 20260611) (정정: 20260611)</t>
        </is>
      </c>
      <c r="F4789" s="3" t="inlineStr">
        <is>
          <t>쏘카</t>
        </is>
      </c>
      <c r="G4789" s="2" t="inlineStr">
        <is>
          <t>20260611000277</t>
        </is>
      </c>
      <c r="H4789" s="8">
        <f>HYPERLINK("https://dart.fss.or.kr/dsaf001/main.do?rcpNo=20260611000277", "공시열람")</f>
        <v/>
      </c>
    </row>
    <row r="4790">
      <c r="A4790" s="2" t="inlineStr">
        <is>
          <t>2026-06-04</t>
        </is>
      </c>
      <c r="B4790" s="3" t="inlineStr">
        <is>
          <t>그래피</t>
        </is>
      </c>
      <c r="C4790" s="2" t="inlineStr">
        <is>
          <t>코스닥</t>
        </is>
      </c>
      <c r="D4790" s="2" t="inlineStr">
        <is>
          <t>318060</t>
        </is>
      </c>
      <c r="E4790" s="3" t="inlineStr">
        <is>
          <t xml:space="preserve">임시주주총회결과              </t>
        </is>
      </c>
      <c r="F4790" s="3" t="inlineStr">
        <is>
          <t>그래피</t>
        </is>
      </c>
      <c r="G4790" s="2" t="inlineStr">
        <is>
          <t>20260604900694</t>
        </is>
      </c>
      <c r="H4790" s="8">
        <f>HYPERLINK("https://dart.fss.or.kr/dsaf001/main.do?rcpNo=20260604900694", "공시열람")</f>
        <v/>
      </c>
    </row>
    <row r="4791">
      <c r="A4791" s="2" t="inlineStr">
        <is>
          <t>2026-06-04</t>
        </is>
      </c>
      <c r="B4791" s="3" t="inlineStr">
        <is>
          <t>아크솔루션스</t>
        </is>
      </c>
      <c r="C4791" s="2" t="inlineStr">
        <is>
          <t>코스닥</t>
        </is>
      </c>
      <c r="D4791" s="2" t="inlineStr">
        <is>
          <t>203690</t>
        </is>
      </c>
      <c r="E4791" s="3" t="inlineStr">
        <is>
          <t>[기재정정]주주총회소집결의              (임시주주총회)</t>
        </is>
      </c>
      <c r="F4791" s="3" t="inlineStr">
        <is>
          <t>아크솔루션스</t>
        </is>
      </c>
      <c r="G4791" s="2" t="inlineStr">
        <is>
          <t>20260604900677</t>
        </is>
      </c>
      <c r="H4791" s="8">
        <f>HYPERLINK("https://dart.fss.or.kr/dsaf001/main.do?rcpNo=20260604900677", "공시열람")</f>
        <v/>
      </c>
    </row>
    <row r="4792">
      <c r="A4792" s="2" t="inlineStr">
        <is>
          <t>2026-06-04</t>
        </is>
      </c>
      <c r="B4792" s="3" t="inlineStr">
        <is>
          <t>핸즈코퍼레이션</t>
        </is>
      </c>
      <c r="C4792" s="2" t="inlineStr">
        <is>
          <t>코스피</t>
        </is>
      </c>
      <c r="D4792" s="2" t="inlineStr">
        <is>
          <t>143210</t>
        </is>
      </c>
      <c r="E4792" s="3" t="inlineStr">
        <is>
          <t xml:space="preserve">임시주주총회결과              </t>
        </is>
      </c>
      <c r="F4792" s="3" t="inlineStr">
        <is>
          <t>핸즈코퍼레이션</t>
        </is>
      </c>
      <c r="G4792" s="2" t="inlineStr">
        <is>
          <t>20260604800625</t>
        </is>
      </c>
      <c r="H4792" s="8">
        <f>HYPERLINK("https://dart.fss.or.kr/dsaf001/main.do?rcpNo=20260604800625", "공시열람")</f>
        <v/>
      </c>
    </row>
    <row r="4793">
      <c r="A4793" s="2" t="inlineStr">
        <is>
          <t>2026-06-04</t>
        </is>
      </c>
      <c r="B4793" s="3" t="inlineStr">
        <is>
          <t>엣지파운드리</t>
        </is>
      </c>
      <c r="C4793" s="2" t="inlineStr">
        <is>
          <t>코스닥</t>
        </is>
      </c>
      <c r="D4793" s="2" t="inlineStr">
        <is>
          <t>105550</t>
        </is>
      </c>
      <c r="E4793" s="3" t="inlineStr">
        <is>
          <t>주주총회소집공고</t>
        </is>
      </c>
      <c r="F4793" s="3" t="inlineStr">
        <is>
          <t>엣지파운드리</t>
        </is>
      </c>
      <c r="G4793" s="2" t="inlineStr">
        <is>
          <t>20260604000525</t>
        </is>
      </c>
      <c r="H4793" s="8">
        <f>HYPERLINK("https://dart.fss.or.kr/dsaf001/main.do?rcpNo=20260604000525", "공시열람")</f>
        <v/>
      </c>
    </row>
    <row r="4794">
      <c r="A4794" s="2" t="inlineStr">
        <is>
          <t>2026-06-04</t>
        </is>
      </c>
      <c r="B4794" s="3" t="inlineStr">
        <is>
          <t>디젠스</t>
        </is>
      </c>
      <c r="C4794" s="2" t="inlineStr">
        <is>
          <t>코스닥</t>
        </is>
      </c>
      <c r="D4794" s="2" t="inlineStr">
        <is>
          <t>113810</t>
        </is>
      </c>
      <c r="E4794" s="3" t="inlineStr">
        <is>
          <t xml:space="preserve">임시주주총회결과              </t>
        </is>
      </c>
      <c r="F4794" s="3" t="inlineStr">
        <is>
          <t>디젠스</t>
        </is>
      </c>
      <c r="G4794" s="2" t="inlineStr">
        <is>
          <t>20260604900577</t>
        </is>
      </c>
      <c r="H4794" s="8">
        <f>HYPERLINK("https://dart.fss.or.kr/dsaf001/main.do?rcpNo=20260604900577", "공시열람")</f>
        <v/>
      </c>
    </row>
    <row r="4795">
      <c r="A4795" s="2" t="inlineStr">
        <is>
          <t>2026-06-04 (정정: 2026-06-04)</t>
        </is>
      </c>
      <c r="B4795" s="3" t="inlineStr">
        <is>
          <t>CNT85</t>
        </is>
      </c>
      <c r="C4795" s="2" t="inlineStr">
        <is>
          <t>코스닥</t>
        </is>
      </c>
      <c r="D4795" s="2" t="inlineStr">
        <is>
          <t>056730</t>
        </is>
      </c>
      <c r="E4795" s="3" t="inlineStr">
        <is>
          <t>주주총회소집공고 (정정: 20260604)</t>
        </is>
      </c>
      <c r="F4795" s="3" t="inlineStr">
        <is>
          <t>CNT85</t>
        </is>
      </c>
      <c r="G4795" s="2" t="inlineStr">
        <is>
          <t>20260604900574</t>
        </is>
      </c>
      <c r="H4795" s="8">
        <f>HYPERLINK("https://dart.fss.or.kr/dsaf001/main.do?rcpNo=20260604900574", "공시열람")</f>
        <v/>
      </c>
    </row>
    <row r="4796">
      <c r="A4796" s="2" t="inlineStr">
        <is>
          <t>2026-06-04</t>
        </is>
      </c>
      <c r="B4796" s="3" t="inlineStr">
        <is>
          <t>티엔엔터테인먼트</t>
        </is>
      </c>
      <c r="C4796" s="2" t="inlineStr">
        <is>
          <t>코스닥</t>
        </is>
      </c>
      <c r="D4796" s="2" t="inlineStr">
        <is>
          <t>131100</t>
        </is>
      </c>
      <c r="E4796" s="3" t="inlineStr">
        <is>
          <t>주주총회소집결의              (임시주주총회)</t>
        </is>
      </c>
      <c r="F4796" s="3" t="inlineStr">
        <is>
          <t>티엔엔터테인먼트</t>
        </is>
      </c>
      <c r="G4796" s="2" t="inlineStr">
        <is>
          <t>20260604900538</t>
        </is>
      </c>
      <c r="H4796" s="8">
        <f>HYPERLINK("https://dart.fss.or.kr/dsaf001/main.do?rcpNo=20260604900538", "공시열람")</f>
        <v/>
      </c>
    </row>
    <row r="4797">
      <c r="A4797" s="2" t="inlineStr">
        <is>
          <t>2026-06-04</t>
        </is>
      </c>
      <c r="B4797" s="3" t="inlineStr">
        <is>
          <t>이엠티</t>
        </is>
      </c>
      <c r="C4797" s="2" t="inlineStr">
        <is>
          <t>코넥스</t>
        </is>
      </c>
      <c r="D4797" s="2" t="inlineStr">
        <is>
          <t>232530</t>
        </is>
      </c>
      <c r="E4797" s="3" t="inlineStr">
        <is>
          <t>주주총회소집공고</t>
        </is>
      </c>
      <c r="F4797" s="3" t="inlineStr">
        <is>
          <t>이엠티</t>
        </is>
      </c>
      <c r="G4797" s="2" t="inlineStr">
        <is>
          <t>20260604000480</t>
        </is>
      </c>
      <c r="H4797" s="8">
        <f>HYPERLINK("https://dart.fss.or.kr/dsaf001/main.do?rcpNo=20260604000480", "공시열람")</f>
        <v/>
      </c>
    </row>
    <row r="4798">
      <c r="A4798" s="2" t="inlineStr">
        <is>
          <t>2026-06-04</t>
        </is>
      </c>
      <c r="B4798" s="3" t="inlineStr">
        <is>
          <t>티웨이홀딩스</t>
        </is>
      </c>
      <c r="C4798" s="2" t="inlineStr">
        <is>
          <t>코스피</t>
        </is>
      </c>
      <c r="D4798" s="2" t="inlineStr">
        <is>
          <t>004870</t>
        </is>
      </c>
      <c r="E4798" s="3" t="inlineStr">
        <is>
          <t>주주총회소집공고</t>
        </is>
      </c>
      <c r="F4798" s="3" t="inlineStr">
        <is>
          <t>티웨이홀딩스</t>
        </is>
      </c>
      <c r="G4798" s="2" t="inlineStr">
        <is>
          <t>20260604000467</t>
        </is>
      </c>
      <c r="H4798" s="8">
        <f>HYPERLINK("https://dart.fss.or.kr/dsaf001/main.do?rcpNo=20260604000467", "공시열람")</f>
        <v/>
      </c>
    </row>
    <row r="4799">
      <c r="A4799" s="2" t="inlineStr">
        <is>
          <t>2026-06-04</t>
        </is>
      </c>
      <c r="B4799" s="3" t="inlineStr">
        <is>
          <t>한국알콜</t>
        </is>
      </c>
      <c r="C4799" s="2" t="inlineStr">
        <is>
          <t>코스닥</t>
        </is>
      </c>
      <c r="D4799" s="2" t="inlineStr">
        <is>
          <t>017890</t>
        </is>
      </c>
      <c r="E4799" s="3" t="inlineStr">
        <is>
          <t>주주총회소집결의              (임시주주총회)</t>
        </is>
      </c>
      <c r="F4799" s="3" t="inlineStr">
        <is>
          <t>한국알콜</t>
        </is>
      </c>
      <c r="G4799" s="2" t="inlineStr">
        <is>
          <t>20260604900485</t>
        </is>
      </c>
      <c r="H4799" s="8">
        <f>HYPERLINK("https://dart.fss.or.kr/dsaf001/main.do?rcpNo=20260604900485", "공시열람")</f>
        <v/>
      </c>
    </row>
    <row r="4800">
      <c r="A4800" s="2" t="inlineStr">
        <is>
          <t>2026-06-04</t>
        </is>
      </c>
      <c r="B4800" s="3" t="inlineStr">
        <is>
          <t>KNN</t>
        </is>
      </c>
      <c r="C4800" s="2" t="inlineStr">
        <is>
          <t>코스닥</t>
        </is>
      </c>
      <c r="D4800" s="2" t="inlineStr">
        <is>
          <t>058400</t>
        </is>
      </c>
      <c r="E4800" s="3" t="inlineStr">
        <is>
          <t xml:space="preserve">임시주주총회결과              </t>
        </is>
      </c>
      <c r="F4800" s="3" t="inlineStr">
        <is>
          <t>KNN</t>
        </is>
      </c>
      <c r="G4800" s="2" t="inlineStr">
        <is>
          <t>20260604900516</t>
        </is>
      </c>
      <c r="H4800" s="8">
        <f>HYPERLINK("https://dart.fss.or.kr/dsaf001/main.do?rcpNo=20260604900516", "공시열람")</f>
        <v/>
      </c>
    </row>
    <row r="4801">
      <c r="A4801" s="2" t="inlineStr">
        <is>
          <t>2026-06-04</t>
        </is>
      </c>
      <c r="B4801" s="3" t="inlineStr">
        <is>
          <t>비비안</t>
        </is>
      </c>
      <c r="C4801" s="2" t="inlineStr">
        <is>
          <t>코스피</t>
        </is>
      </c>
      <c r="D4801" s="2" t="inlineStr">
        <is>
          <t>002070</t>
        </is>
      </c>
      <c r="E4801" s="3" t="inlineStr">
        <is>
          <t xml:space="preserve">[기재정정]주주총회소집결의              </t>
        </is>
      </c>
      <c r="F4801" s="3" t="inlineStr">
        <is>
          <t>비비안</t>
        </is>
      </c>
      <c r="G4801" s="2" t="inlineStr">
        <is>
          <t>20260604800534</t>
        </is>
      </c>
      <c r="H4801" s="8">
        <f>HYPERLINK("https://dart.fss.or.kr/dsaf001/main.do?rcpNo=20260604800534", "공시열람")</f>
        <v/>
      </c>
    </row>
    <row r="4802">
      <c r="A4802" s="2" t="inlineStr">
        <is>
          <t>2026-06-04</t>
        </is>
      </c>
      <c r="B4802" s="3" t="inlineStr">
        <is>
          <t>SK시그넷</t>
        </is>
      </c>
      <c r="C4802" s="2" t="inlineStr">
        <is>
          <t>코넥스</t>
        </is>
      </c>
      <c r="D4802" s="2" t="inlineStr">
        <is>
          <t>260870</t>
        </is>
      </c>
      <c r="E4802" s="3" t="inlineStr">
        <is>
          <t>주주총회소집공고</t>
        </is>
      </c>
      <c r="F4802" s="3" t="inlineStr">
        <is>
          <t>SK시그넷</t>
        </is>
      </c>
      <c r="G4802" s="2" t="inlineStr">
        <is>
          <t>20260604000434</t>
        </is>
      </c>
      <c r="H4802" s="8">
        <f>HYPERLINK("https://dart.fss.or.kr/dsaf001/main.do?rcpNo=20260604000434", "공시열람")</f>
        <v/>
      </c>
    </row>
    <row r="4803">
      <c r="A4803" s="2" t="inlineStr">
        <is>
          <t>2026-06-04 (정정: 2026-06-08)</t>
        </is>
      </c>
      <c r="B4803" s="3" t="inlineStr">
        <is>
          <t>알로이스</t>
        </is>
      </c>
      <c r="C4803" s="2" t="inlineStr">
        <is>
          <t>코스닥</t>
        </is>
      </c>
      <c r="D4803" s="2" t="inlineStr">
        <is>
          <t>297570</t>
        </is>
      </c>
      <c r="E4803" s="3" t="inlineStr">
        <is>
          <t>소송등의제기ㆍ신청(경영권분쟁소송)              (의결권행사금지 가처분 신청) (정정: 20260608)</t>
        </is>
      </c>
      <c r="F4803" s="3" t="inlineStr">
        <is>
          <t>알로이스</t>
        </is>
      </c>
      <c r="G4803" s="2" t="inlineStr">
        <is>
          <t>20260608000464</t>
        </is>
      </c>
      <c r="H4803" s="8">
        <f>HYPERLINK("https://dart.fss.or.kr/dsaf001/main.do?rcpNo=20260608000464", "공시열람")</f>
        <v/>
      </c>
    </row>
    <row r="4804">
      <c r="A4804" s="2" t="inlineStr">
        <is>
          <t>2026-06-04</t>
        </is>
      </c>
      <c r="B4804" s="3" t="inlineStr">
        <is>
          <t>카카오게임즈</t>
        </is>
      </c>
      <c r="C4804" s="2" t="inlineStr">
        <is>
          <t>코스닥</t>
        </is>
      </c>
      <c r="D4804" s="2" t="inlineStr">
        <is>
          <t>293490</t>
        </is>
      </c>
      <c r="E4804" s="3" t="inlineStr">
        <is>
          <t xml:space="preserve">주주총회소집결의              </t>
        </is>
      </c>
      <c r="F4804" s="3" t="inlineStr">
        <is>
          <t>카카오게임즈</t>
        </is>
      </c>
      <c r="G4804" s="2" t="inlineStr">
        <is>
          <t>20260604900511</t>
        </is>
      </c>
      <c r="H4804" s="8">
        <f>HYPERLINK("https://dart.fss.or.kr/dsaf001/main.do?rcpNo=20260604900511", "공시열람")</f>
        <v/>
      </c>
    </row>
    <row r="4805">
      <c r="A4805" s="2" t="inlineStr">
        <is>
          <t>2026-06-04</t>
        </is>
      </c>
      <c r="B4805" s="3" t="inlineStr">
        <is>
          <t>신영증권</t>
        </is>
      </c>
      <c r="C4805" s="2" t="inlineStr">
        <is>
          <t>코스피</t>
        </is>
      </c>
      <c r="D4805" s="2" t="inlineStr">
        <is>
          <t>001720</t>
        </is>
      </c>
      <c r="E4805" s="3" t="inlineStr">
        <is>
          <t>주주총회소집공고</t>
        </is>
      </c>
      <c r="F4805" s="3" t="inlineStr">
        <is>
          <t>신영증권</t>
        </is>
      </c>
      <c r="G4805" s="2" t="inlineStr">
        <is>
          <t>20260604000413</t>
        </is>
      </c>
      <c r="H4805" s="8">
        <f>HYPERLINK("https://dart.fss.or.kr/dsaf001/main.do?rcpNo=20260604000413", "공시열람")</f>
        <v/>
      </c>
    </row>
    <row r="4806">
      <c r="A4806" s="2" t="inlineStr">
        <is>
          <t>2026-06-04</t>
        </is>
      </c>
      <c r="B4806" s="3" t="inlineStr">
        <is>
          <t>하이드로리튬</t>
        </is>
      </c>
      <c r="C4806" s="2" t="inlineStr">
        <is>
          <t>코스닥</t>
        </is>
      </c>
      <c r="D4806" s="2" t="inlineStr">
        <is>
          <t>101670</t>
        </is>
      </c>
      <c r="E4806" s="3" t="inlineStr">
        <is>
          <t xml:space="preserve">임시주주총회결과              </t>
        </is>
      </c>
      <c r="F4806" s="3" t="inlineStr">
        <is>
          <t>하이드로리튬</t>
        </is>
      </c>
      <c r="G4806" s="2" t="inlineStr">
        <is>
          <t>20260604900449</t>
        </is>
      </c>
      <c r="H4806" s="8">
        <f>HYPERLINK("https://dart.fss.or.kr/dsaf001/main.do?rcpNo=20260604900449", "공시열람")</f>
        <v/>
      </c>
    </row>
    <row r="4807">
      <c r="A4807" s="2" t="inlineStr">
        <is>
          <t>2026-06-04</t>
        </is>
      </c>
      <c r="B4807" s="3" t="inlineStr">
        <is>
          <t>블리츠웨이엔터테인먼트</t>
        </is>
      </c>
      <c r="C4807" s="2" t="inlineStr">
        <is>
          <t>코스닥</t>
        </is>
      </c>
      <c r="D4807" s="2" t="inlineStr">
        <is>
          <t>369370</t>
        </is>
      </c>
      <c r="E4807" s="3" t="inlineStr">
        <is>
          <t>주주총회소집공고</t>
        </is>
      </c>
      <c r="F4807" s="3" t="inlineStr">
        <is>
          <t>블리츠웨이엔터테인먼트</t>
        </is>
      </c>
      <c r="G4807" s="2" t="inlineStr">
        <is>
          <t>20260604000322</t>
        </is>
      </c>
      <c r="H4807" s="8">
        <f>HYPERLINK("https://dart.fss.or.kr/dsaf001/main.do?rcpNo=20260604000322", "공시열람")</f>
        <v/>
      </c>
    </row>
    <row r="4808">
      <c r="A4808" s="2" t="inlineStr">
        <is>
          <t>2026-06-04</t>
        </is>
      </c>
      <c r="B4808" s="3" t="inlineStr">
        <is>
          <t>아모텍</t>
        </is>
      </c>
      <c r="C4808" s="2" t="inlineStr">
        <is>
          <t>코스닥</t>
        </is>
      </c>
      <c r="D4808" s="2" t="inlineStr">
        <is>
          <t>052710</t>
        </is>
      </c>
      <c r="E4808" s="3" t="inlineStr">
        <is>
          <t xml:space="preserve">임시주주총회결과              </t>
        </is>
      </c>
      <c r="F4808" s="3" t="inlineStr">
        <is>
          <t>아모텍</t>
        </is>
      </c>
      <c r="G4808" s="2" t="inlineStr">
        <is>
          <t>20260604900396</t>
        </is>
      </c>
      <c r="H4808" s="8">
        <f>HYPERLINK("https://dart.fss.or.kr/dsaf001/main.do?rcpNo=20260604900396", "공시열람")</f>
        <v/>
      </c>
    </row>
    <row r="4809">
      <c r="A4809" s="2" t="inlineStr">
        <is>
          <t>2026-06-04</t>
        </is>
      </c>
      <c r="B4809" s="3" t="inlineStr">
        <is>
          <t>감성코퍼레이션</t>
        </is>
      </c>
      <c r="C4809" s="2" t="inlineStr">
        <is>
          <t>코스닥</t>
        </is>
      </c>
      <c r="D4809" s="2" t="inlineStr">
        <is>
          <t>036620</t>
        </is>
      </c>
      <c r="E4809" s="3" t="inlineStr">
        <is>
          <t xml:space="preserve">임시주주총회결과              </t>
        </is>
      </c>
      <c r="F4809" s="3" t="inlineStr">
        <is>
          <t>감성코퍼레이션</t>
        </is>
      </c>
      <c r="G4809" s="2" t="inlineStr">
        <is>
          <t>20260604900389</t>
        </is>
      </c>
      <c r="H4809" s="8">
        <f>HYPERLINK("https://dart.fss.or.kr/dsaf001/main.do?rcpNo=20260604900389", "공시열람")</f>
        <v/>
      </c>
    </row>
    <row r="4810">
      <c r="A4810" s="2" t="inlineStr">
        <is>
          <t>2026-06-04</t>
        </is>
      </c>
      <c r="B4810" s="3" t="inlineStr">
        <is>
          <t>이엠앤아이</t>
        </is>
      </c>
      <c r="C4810" s="2" t="inlineStr">
        <is>
          <t>코스닥</t>
        </is>
      </c>
      <c r="D4810" s="2" t="inlineStr">
        <is>
          <t>083470</t>
        </is>
      </c>
      <c r="E4810" s="3" t="inlineStr">
        <is>
          <t>소송등의제기ㆍ신청(경영권분쟁소송)              (주주총회소집허가)</t>
        </is>
      </c>
      <c r="F4810" s="3" t="inlineStr">
        <is>
          <t>이엠앤아이</t>
        </is>
      </c>
      <c r="G4810" s="2" t="inlineStr">
        <is>
          <t>20260604900367</t>
        </is>
      </c>
      <c r="H4810" s="8">
        <f>HYPERLINK("https://dart.fss.or.kr/dsaf001/main.do?rcpNo=20260604900367", "공시열람")</f>
        <v/>
      </c>
    </row>
    <row r="4811">
      <c r="A4811" s="2" t="inlineStr">
        <is>
          <t>2026-06-04</t>
        </is>
      </c>
      <c r="B4811" s="3" t="inlineStr">
        <is>
          <t>성우</t>
        </is>
      </c>
      <c r="C4811" s="2" t="inlineStr">
        <is>
          <t>코스닥</t>
        </is>
      </c>
      <c r="D4811" s="2" t="inlineStr">
        <is>
          <t>458650</t>
        </is>
      </c>
      <c r="E4811" s="3" t="inlineStr">
        <is>
          <t>주주총회소집결의              (임시주주총회)</t>
        </is>
      </c>
      <c r="F4811" s="3" t="inlineStr">
        <is>
          <t>성우</t>
        </is>
      </c>
      <c r="G4811" s="2" t="inlineStr">
        <is>
          <t>20260604900363</t>
        </is>
      </c>
      <c r="H4811" s="8">
        <f>HYPERLINK("https://dart.fss.or.kr/dsaf001/main.do?rcpNo=20260604900363", "공시열람")</f>
        <v/>
      </c>
    </row>
    <row r="4812">
      <c r="A4812" s="2" t="inlineStr">
        <is>
          <t>2026-06-04</t>
        </is>
      </c>
      <c r="B4812" s="3" t="inlineStr">
        <is>
          <t>코닉오토메이션</t>
        </is>
      </c>
      <c r="C4812" s="2" t="inlineStr">
        <is>
          <t>코스닥</t>
        </is>
      </c>
      <c r="D4812" s="2" t="inlineStr">
        <is>
          <t>391710</t>
        </is>
      </c>
      <c r="E4812" s="3" t="inlineStr">
        <is>
          <t>주주총회소집결의              (임시주주총회)</t>
        </is>
      </c>
      <c r="F4812" s="3" t="inlineStr">
        <is>
          <t>코닉오토메이션</t>
        </is>
      </c>
      <c r="G4812" s="2" t="inlineStr">
        <is>
          <t>20260604900342</t>
        </is>
      </c>
      <c r="H4812" s="8">
        <f>HYPERLINK("https://dart.fss.or.kr/dsaf001/main.do?rcpNo=20260604900342", "공시열람")</f>
        <v/>
      </c>
    </row>
    <row r="4813">
      <c r="A4813" s="2" t="inlineStr">
        <is>
          <t>2026-06-04</t>
        </is>
      </c>
      <c r="B4813" s="3" t="inlineStr">
        <is>
          <t>에스앤더블류</t>
        </is>
      </c>
      <c r="C4813" s="2" t="inlineStr">
        <is>
          <t>코스닥</t>
        </is>
      </c>
      <c r="D4813" s="2" t="inlineStr">
        <is>
          <t>103230</t>
        </is>
      </c>
      <c r="E4813" s="3" t="inlineStr">
        <is>
          <t>주주총회소집결의              (임시주주총회)</t>
        </is>
      </c>
      <c r="F4813" s="3" t="inlineStr">
        <is>
          <t>에스앤더블류</t>
        </is>
      </c>
      <c r="G4813" s="2" t="inlineStr">
        <is>
          <t>20260604900331</t>
        </is>
      </c>
      <c r="H4813" s="8">
        <f>HYPERLINK("https://dart.fss.or.kr/dsaf001/main.do?rcpNo=20260604900331", "공시열람")</f>
        <v/>
      </c>
    </row>
    <row r="4814">
      <c r="A4814" s="2" t="inlineStr">
        <is>
          <t>2026-06-04</t>
        </is>
      </c>
      <c r="B4814" s="3" t="inlineStr">
        <is>
          <t>KR모터스</t>
        </is>
      </c>
      <c r="C4814" s="2" t="inlineStr">
        <is>
          <t>코스피</t>
        </is>
      </c>
      <c r="D4814" s="2" t="inlineStr">
        <is>
          <t>000040</t>
        </is>
      </c>
      <c r="E4814" s="3" t="inlineStr">
        <is>
          <t>주주총회소집공고</t>
        </is>
      </c>
      <c r="F4814" s="3" t="inlineStr">
        <is>
          <t>KR모터스</t>
        </is>
      </c>
      <c r="G4814" s="2" t="inlineStr">
        <is>
          <t>20260604000161</t>
        </is>
      </c>
      <c r="H4814" s="8">
        <f>HYPERLINK("https://dart.fss.or.kr/dsaf001/main.do?rcpNo=20260604000161", "공시열람")</f>
        <v/>
      </c>
    </row>
    <row r="4815">
      <c r="A4815" s="2" t="inlineStr">
        <is>
          <t>2026-06-04</t>
        </is>
      </c>
      <c r="B4815" s="3" t="inlineStr">
        <is>
          <t>이씨에스</t>
        </is>
      </c>
      <c r="C4815" s="2" t="inlineStr">
        <is>
          <t>코스닥</t>
        </is>
      </c>
      <c r="D4815" s="2" t="inlineStr">
        <is>
          <t>067010</t>
        </is>
      </c>
      <c r="E4815" s="3" t="inlineStr">
        <is>
          <t>주주총회소집공고</t>
        </is>
      </c>
      <c r="F4815" s="3" t="inlineStr">
        <is>
          <t>이씨에스</t>
        </is>
      </c>
      <c r="G4815" s="2" t="inlineStr">
        <is>
          <t>20260604000158</t>
        </is>
      </c>
      <c r="H4815" s="8">
        <f>HYPERLINK("https://dart.fss.or.kr/dsaf001/main.do?rcpNo=20260604000158", "공시열람")</f>
        <v/>
      </c>
    </row>
    <row r="4816">
      <c r="A4816" s="2" t="inlineStr">
        <is>
          <t>2026-06-04</t>
        </is>
      </c>
      <c r="B4816" s="3" t="inlineStr">
        <is>
          <t>다우기술</t>
        </is>
      </c>
      <c r="C4816" s="2" t="inlineStr">
        <is>
          <t>코스피</t>
        </is>
      </c>
      <c r="D4816" s="2" t="inlineStr">
        <is>
          <t>023590</t>
        </is>
      </c>
      <c r="E4816" s="3" t="inlineStr">
        <is>
          <t>[첨부정정]주요사항보고서(회사합병결정)</t>
        </is>
      </c>
      <c r="F4816" s="3" t="inlineStr">
        <is>
          <t>다우기술</t>
        </is>
      </c>
      <c r="G4816" s="2" t="inlineStr">
        <is>
          <t>20260604000102</t>
        </is>
      </c>
      <c r="H4816" s="8">
        <f>HYPERLINK("https://dart.fss.or.kr/dsaf001/main.do?rcpNo=20260604000102", "공시열람")</f>
        <v/>
      </c>
    </row>
    <row r="4817">
      <c r="A4817" s="2" t="inlineStr">
        <is>
          <t>2026-06-05</t>
        </is>
      </c>
      <c r="B4817" s="3" t="inlineStr">
        <is>
          <t>에스아이리소스</t>
        </is>
      </c>
      <c r="C4817" s="2" t="inlineStr">
        <is>
          <t>코스닥</t>
        </is>
      </c>
      <c r="D4817" s="2" t="inlineStr">
        <is>
          <t>065420</t>
        </is>
      </c>
      <c r="E4817" s="3" t="inlineStr">
        <is>
          <t>소송등의제기ㆍ신청(경영권분쟁소송)              (회계의장부와 서류에 대한 가처분)</t>
        </is>
      </c>
      <c r="F4817" s="3" t="inlineStr">
        <is>
          <t>에스아이리소스</t>
        </is>
      </c>
      <c r="G4817" s="2" t="inlineStr">
        <is>
          <t>20260605900948</t>
        </is>
      </c>
      <c r="H4817" s="8">
        <f>HYPERLINK("https://dart.fss.or.kr/dsaf001/main.do?rcpNo=20260605900948", "공시열람")</f>
        <v/>
      </c>
    </row>
    <row r="4818">
      <c r="A4818" s="2" t="inlineStr">
        <is>
          <t>2026-06-05 (정정: 2026-06-05)</t>
        </is>
      </c>
      <c r="B4818" s="3" t="inlineStr">
        <is>
          <t>빛과전자</t>
        </is>
      </c>
      <c r="C4818" s="2" t="inlineStr">
        <is>
          <t>코스닥</t>
        </is>
      </c>
      <c r="D4818" s="2" t="inlineStr">
        <is>
          <t>069540</t>
        </is>
      </c>
      <c r="E4818" s="3" t="inlineStr">
        <is>
          <t>[첨부정정]주요사항보고서(회사합병결정) (정정: 20260605)</t>
        </is>
      </c>
      <c r="F4818" s="3" t="inlineStr">
        <is>
          <t>빛과전자</t>
        </is>
      </c>
      <c r="G4818" s="2" t="inlineStr">
        <is>
          <t>20260605000645</t>
        </is>
      </c>
      <c r="H4818" s="8">
        <f>HYPERLINK("https://dart.fss.or.kr/dsaf001/main.do?rcpNo=20260605000645", "공시열람")</f>
        <v/>
      </c>
    </row>
    <row r="4819">
      <c r="A4819" s="2" t="inlineStr">
        <is>
          <t>2026-06-05</t>
        </is>
      </c>
      <c r="B4819" s="3" t="inlineStr">
        <is>
          <t>휴림에이텍</t>
        </is>
      </c>
      <c r="C4819" s="2" t="inlineStr">
        <is>
          <t>코스닥</t>
        </is>
      </c>
      <c r="D4819" s="2" t="inlineStr">
        <is>
          <t>078590</t>
        </is>
      </c>
      <c r="E4819" s="3" t="inlineStr">
        <is>
          <t>주주총회소집결의              (임시주주총회)</t>
        </is>
      </c>
      <c r="F4819" s="3" t="inlineStr">
        <is>
          <t>휴림에이텍</t>
        </is>
      </c>
      <c r="G4819" s="2" t="inlineStr">
        <is>
          <t>20260605900840</t>
        </is>
      </c>
      <c r="H4819" s="8">
        <f>HYPERLINK("https://dart.fss.or.kr/dsaf001/main.do?rcpNo=20260605900840", "공시열람")</f>
        <v/>
      </c>
    </row>
    <row r="4820">
      <c r="A4820" s="2" t="inlineStr">
        <is>
          <t>2026-06-05 (정정: 2026-06-05)</t>
        </is>
      </c>
      <c r="B4820" s="3" t="inlineStr">
        <is>
          <t>오아</t>
        </is>
      </c>
      <c r="C4820" s="2" t="inlineStr">
        <is>
          <t>코스닥</t>
        </is>
      </c>
      <c r="D4820" s="2" t="inlineStr">
        <is>
          <t>342870</t>
        </is>
      </c>
      <c r="E4820" s="3" t="inlineStr">
        <is>
          <t>임시주주총회결과               (정정: 20260605)</t>
        </is>
      </c>
      <c r="F4820" s="3" t="inlineStr">
        <is>
          <t>오아</t>
        </is>
      </c>
      <c r="G4820" s="2" t="inlineStr">
        <is>
          <t>20260605000565</t>
        </is>
      </c>
      <c r="H4820" s="8">
        <f>HYPERLINK("https://dart.fss.or.kr/dsaf001/main.do?rcpNo=20260605000565", "공시열람")</f>
        <v/>
      </c>
    </row>
    <row r="4821">
      <c r="A4821" s="2" t="inlineStr">
        <is>
          <t>2026-06-05</t>
        </is>
      </c>
      <c r="B4821" s="3" t="inlineStr">
        <is>
          <t>동양</t>
        </is>
      </c>
      <c r="C4821" s="2" t="inlineStr">
        <is>
          <t>코스피</t>
        </is>
      </c>
      <c r="D4821" s="2" t="inlineStr">
        <is>
          <t>001520</t>
        </is>
      </c>
      <c r="E4821" s="3" t="inlineStr">
        <is>
          <t>주주총회소집공고</t>
        </is>
      </c>
      <c r="F4821" s="3" t="inlineStr">
        <is>
          <t>동양</t>
        </is>
      </c>
      <c r="G4821" s="2" t="inlineStr">
        <is>
          <t>20260605000585</t>
        </is>
      </c>
      <c r="H4821" s="8">
        <f>HYPERLINK("https://dart.fss.or.kr/dsaf001/main.do?rcpNo=20260605000585", "공시열람")</f>
        <v/>
      </c>
    </row>
    <row r="4822">
      <c r="A4822" s="2" t="inlineStr">
        <is>
          <t>2026-06-05</t>
        </is>
      </c>
      <c r="B4822" s="3" t="inlineStr">
        <is>
          <t>에임드바이오</t>
        </is>
      </c>
      <c r="C4822" s="2" t="inlineStr">
        <is>
          <t>코스닥</t>
        </is>
      </c>
      <c r="D4822" s="2" t="inlineStr">
        <is>
          <t>0009K0</t>
        </is>
      </c>
      <c r="E4822" s="3" t="inlineStr">
        <is>
          <t>주주총회소집결의              (임시주주총회)</t>
        </is>
      </c>
      <c r="F4822" s="3" t="inlineStr">
        <is>
          <t>에임드바이오</t>
        </is>
      </c>
      <c r="G4822" s="2" t="inlineStr">
        <is>
          <t>20260605900756</t>
        </is>
      </c>
      <c r="H4822" s="8">
        <f>HYPERLINK("https://dart.fss.or.kr/dsaf001/main.do?rcpNo=20260605900756", "공시열람")</f>
        <v/>
      </c>
    </row>
    <row r="4823">
      <c r="A4823" s="2" t="inlineStr">
        <is>
          <t>2026-06-05 (정정: 2026-06-05)</t>
        </is>
      </c>
      <c r="B4823" s="3" t="inlineStr">
        <is>
          <t>크레버스</t>
        </is>
      </c>
      <c r="C4823" s="2" t="inlineStr">
        <is>
          <t>코스닥</t>
        </is>
      </c>
      <c r="D4823" s="2" t="inlineStr">
        <is>
          <t>096240</t>
        </is>
      </c>
      <c r="E4823" s="3" t="inlineStr">
        <is>
          <t>주주총회소집공고 (정정: 20260605)</t>
        </is>
      </c>
      <c r="F4823" s="3" t="inlineStr">
        <is>
          <t>크레버스</t>
        </is>
      </c>
      <c r="G4823" s="2" t="inlineStr">
        <is>
          <t>20260605900739</t>
        </is>
      </c>
      <c r="H4823" s="8">
        <f>HYPERLINK("https://dart.fss.or.kr/dsaf001/main.do?rcpNo=20260605900739", "공시열람")</f>
        <v/>
      </c>
    </row>
    <row r="4824">
      <c r="A4824" s="2" t="inlineStr">
        <is>
          <t>2026-06-05 (정정: 2026-06-11)</t>
        </is>
      </c>
      <c r="B4824" s="3" t="inlineStr">
        <is>
          <t>에이프로</t>
        </is>
      </c>
      <c r="C4824" s="2" t="inlineStr">
        <is>
          <t>코스닥</t>
        </is>
      </c>
      <c r="D4824" s="2" t="inlineStr">
        <is>
          <t>262260</t>
        </is>
      </c>
      <c r="E4824" s="3" t="inlineStr">
        <is>
          <t>주주총회소집결의              (임시주주총회) (정정: 20260611)</t>
        </is>
      </c>
      <c r="F4824" s="3" t="inlineStr">
        <is>
          <t>에이프로</t>
        </is>
      </c>
      <c r="G4824" s="2" t="inlineStr">
        <is>
          <t>20260611000502</t>
        </is>
      </c>
      <c r="H4824" s="8">
        <f>HYPERLINK("https://dart.fss.or.kr/dsaf001/main.do?rcpNo=20260611000502", "공시열람")</f>
        <v/>
      </c>
    </row>
    <row r="4825">
      <c r="A4825" s="2" t="inlineStr">
        <is>
          <t>2026-06-05</t>
        </is>
      </c>
      <c r="B4825" s="3" t="inlineStr">
        <is>
          <t>씨케이솔루션</t>
        </is>
      </c>
      <c r="C4825" s="2" t="inlineStr">
        <is>
          <t>코스피</t>
        </is>
      </c>
      <c r="D4825" s="2" t="inlineStr">
        <is>
          <t>480370</t>
        </is>
      </c>
      <c r="E4825" s="3" t="inlineStr">
        <is>
          <t xml:space="preserve">주주총회소집결의              </t>
        </is>
      </c>
      <c r="F4825" s="3" t="inlineStr">
        <is>
          <t>씨케이솔루션</t>
        </is>
      </c>
      <c r="G4825" s="2" t="inlineStr">
        <is>
          <t>20260605800719</t>
        </is>
      </c>
      <c r="H4825" s="8">
        <f>HYPERLINK("https://dart.fss.or.kr/dsaf001/main.do?rcpNo=20260605800719", "공시열람")</f>
        <v/>
      </c>
    </row>
    <row r="4826">
      <c r="A4826" s="2" t="inlineStr">
        <is>
          <t>2026-06-05</t>
        </is>
      </c>
      <c r="B4826" s="3" t="inlineStr">
        <is>
          <t>와이즈버즈</t>
        </is>
      </c>
      <c r="C4826" s="2" t="inlineStr">
        <is>
          <t>코스닥</t>
        </is>
      </c>
      <c r="D4826" s="2" t="inlineStr">
        <is>
          <t>273060</t>
        </is>
      </c>
      <c r="E4826" s="3" t="inlineStr">
        <is>
          <t>주주총회소집결의              (임시주주총회)</t>
        </is>
      </c>
      <c r="F4826" s="3" t="inlineStr">
        <is>
          <t>와이즈버즈</t>
        </is>
      </c>
      <c r="G4826" s="2" t="inlineStr">
        <is>
          <t>20260605900633</t>
        </is>
      </c>
      <c r="H4826" s="8">
        <f>HYPERLINK("https://dart.fss.or.kr/dsaf001/main.do?rcpNo=20260605900633", "공시열람")</f>
        <v/>
      </c>
    </row>
    <row r="4827">
      <c r="A4827" s="2" t="inlineStr">
        <is>
          <t>2026-06-05</t>
        </is>
      </c>
      <c r="B4827" s="3" t="inlineStr">
        <is>
          <t>매일유업</t>
        </is>
      </c>
      <c r="C4827" s="2" t="inlineStr">
        <is>
          <t>코스닥</t>
        </is>
      </c>
      <c r="D4827" s="2" t="inlineStr">
        <is>
          <t>267980</t>
        </is>
      </c>
      <c r="E4827" s="3" t="inlineStr">
        <is>
          <t>주주총회소집결의              (임시주주총회)</t>
        </is>
      </c>
      <c r="F4827" s="3" t="inlineStr">
        <is>
          <t>매일유업</t>
        </is>
      </c>
      <c r="G4827" s="2" t="inlineStr">
        <is>
          <t>20260605900639</t>
        </is>
      </c>
      <c r="H4827" s="8">
        <f>HYPERLINK("https://dart.fss.or.kr/dsaf001/main.do?rcpNo=20260605900639", "공시열람")</f>
        <v/>
      </c>
    </row>
    <row r="4828">
      <c r="A4828" s="2" t="inlineStr">
        <is>
          <t>2026-06-05</t>
        </is>
      </c>
      <c r="B4828" s="3" t="inlineStr">
        <is>
          <t>엑스큐어</t>
        </is>
      </c>
      <c r="C4828" s="2" t="inlineStr">
        <is>
          <t>코스닥</t>
        </is>
      </c>
      <c r="D4828" s="2" t="inlineStr">
        <is>
          <t>070300</t>
        </is>
      </c>
      <c r="E4828" s="3" t="inlineStr">
        <is>
          <t>주주총회소집결의              (임시주주총회)</t>
        </is>
      </c>
      <c r="F4828" s="3" t="inlineStr">
        <is>
          <t>엑스큐어</t>
        </is>
      </c>
      <c r="G4828" s="2" t="inlineStr">
        <is>
          <t>20260605900640</t>
        </is>
      </c>
      <c r="H4828" s="8">
        <f>HYPERLINK("https://dart.fss.or.kr/dsaf001/main.do?rcpNo=20260605900640", "공시열람")</f>
        <v/>
      </c>
    </row>
    <row r="4829">
      <c r="A4829" s="2" t="inlineStr">
        <is>
          <t>2026-06-05</t>
        </is>
      </c>
      <c r="B4829" s="3" t="inlineStr">
        <is>
          <t>마스턴프리미어리츠</t>
        </is>
      </c>
      <c r="C4829" s="2" t="inlineStr">
        <is>
          <t>코스피</t>
        </is>
      </c>
      <c r="D4829" s="2" t="inlineStr">
        <is>
          <t>357430</t>
        </is>
      </c>
      <c r="E4829" s="3" t="inlineStr">
        <is>
          <t xml:space="preserve">주주총회소집결의              </t>
        </is>
      </c>
      <c r="F4829" s="3" t="inlineStr">
        <is>
          <t>마스턴프리미어리츠</t>
        </is>
      </c>
      <c r="G4829" s="2" t="inlineStr">
        <is>
          <t>20260605800630</t>
        </is>
      </c>
      <c r="H4829" s="8">
        <f>HYPERLINK("https://dart.fss.or.kr/dsaf001/main.do?rcpNo=20260605800630", "공시열람")</f>
        <v/>
      </c>
    </row>
    <row r="4830">
      <c r="A4830" s="2" t="inlineStr">
        <is>
          <t>2026-06-05</t>
        </is>
      </c>
      <c r="B4830" s="3" t="inlineStr">
        <is>
          <t>캐스텍코리아</t>
        </is>
      </c>
      <c r="C4830" s="2" t="inlineStr">
        <is>
          <t>코스닥</t>
        </is>
      </c>
      <c r="D4830" s="2" t="inlineStr">
        <is>
          <t>071850</t>
        </is>
      </c>
      <c r="E4830" s="3" t="inlineStr">
        <is>
          <t>기타경영사항(자율공시)              (주주총회결의무효확인 등 소송 판결에 대한 상고제기)</t>
        </is>
      </c>
      <c r="F4830" s="3" t="inlineStr">
        <is>
          <t>캐스텍코리아</t>
        </is>
      </c>
      <c r="G4830" s="2" t="inlineStr">
        <is>
          <t>20260605900586</t>
        </is>
      </c>
      <c r="H4830" s="8">
        <f>HYPERLINK("https://dart.fss.or.kr/dsaf001/main.do?rcpNo=20260605900586", "공시열람")</f>
        <v/>
      </c>
    </row>
    <row r="4831">
      <c r="A4831" s="2" t="inlineStr">
        <is>
          <t>2026-06-05</t>
        </is>
      </c>
      <c r="B4831" s="3" t="inlineStr">
        <is>
          <t>이렘</t>
        </is>
      </c>
      <c r="C4831" s="2" t="inlineStr">
        <is>
          <t>코스닥</t>
        </is>
      </c>
      <c r="D4831" s="2" t="inlineStr">
        <is>
          <t>009730</t>
        </is>
      </c>
      <c r="E4831" s="3" t="inlineStr">
        <is>
          <t xml:space="preserve">임시주주총회결과              </t>
        </is>
      </c>
      <c r="F4831" s="3" t="inlineStr">
        <is>
          <t>이렘</t>
        </is>
      </c>
      <c r="G4831" s="2" t="inlineStr">
        <is>
          <t>20260605900604</t>
        </is>
      </c>
      <c r="H4831" s="8">
        <f>HYPERLINK("https://dart.fss.or.kr/dsaf001/main.do?rcpNo=20260605900604", "공시열람")</f>
        <v/>
      </c>
    </row>
    <row r="4832">
      <c r="A4832" s="2" t="inlineStr">
        <is>
          <t>2026-06-05</t>
        </is>
      </c>
      <c r="B4832" s="3" t="inlineStr">
        <is>
          <t>신세계푸드</t>
        </is>
      </c>
      <c r="C4832" s="2" t="inlineStr">
        <is>
          <t>코스피</t>
        </is>
      </c>
      <c r="D4832" s="2" t="inlineStr">
        <is>
          <t>031440</t>
        </is>
      </c>
      <c r="E4832" s="3" t="inlineStr">
        <is>
          <t>주주총회소집공고</t>
        </is>
      </c>
      <c r="F4832" s="3" t="inlineStr">
        <is>
          <t>신세계푸드</t>
        </is>
      </c>
      <c r="G4832" s="2" t="inlineStr">
        <is>
          <t>20260605000449</t>
        </is>
      </c>
      <c r="H4832" s="8">
        <f>HYPERLINK("https://dart.fss.or.kr/dsaf001/main.do?rcpNo=20260605000449", "공시열람")</f>
        <v/>
      </c>
    </row>
    <row r="4833">
      <c r="A4833" s="2" t="inlineStr">
        <is>
          <t>2026-06-05</t>
        </is>
      </c>
      <c r="B4833" s="3" t="inlineStr">
        <is>
          <t>하이퍼코퍼레이션</t>
        </is>
      </c>
      <c r="C4833" s="2" t="inlineStr">
        <is>
          <t>코스닥</t>
        </is>
      </c>
      <c r="D4833" s="2" t="inlineStr">
        <is>
          <t>065650</t>
        </is>
      </c>
      <c r="E4833" s="3" t="inlineStr">
        <is>
          <t xml:space="preserve">주주총회소집결의              </t>
        </is>
      </c>
      <c r="F4833" s="3" t="inlineStr">
        <is>
          <t>하이퍼코퍼레이션</t>
        </is>
      </c>
      <c r="G4833" s="2" t="inlineStr">
        <is>
          <t>20260605900593</t>
        </is>
      </c>
      <c r="H4833" s="8">
        <f>HYPERLINK("https://dart.fss.or.kr/dsaf001/main.do?rcpNo=20260605900593", "공시열람")</f>
        <v/>
      </c>
    </row>
    <row r="4834">
      <c r="A4834" s="2" t="inlineStr">
        <is>
          <t>2026-06-05</t>
        </is>
      </c>
      <c r="B4834" s="3" t="inlineStr">
        <is>
          <t>카카오게임즈</t>
        </is>
      </c>
      <c r="C4834" s="2" t="inlineStr">
        <is>
          <t>코스닥</t>
        </is>
      </c>
      <c r="D4834" s="2" t="inlineStr">
        <is>
          <t>293490</t>
        </is>
      </c>
      <c r="E4834" s="3" t="inlineStr">
        <is>
          <t>주주총회소집공고</t>
        </is>
      </c>
      <c r="F4834" s="3" t="inlineStr">
        <is>
          <t>카카오게임즈</t>
        </is>
      </c>
      <c r="G4834" s="2" t="inlineStr">
        <is>
          <t>20260605000429</t>
        </is>
      </c>
      <c r="H4834" s="8">
        <f>HYPERLINK("https://dart.fss.or.kr/dsaf001/main.do?rcpNo=20260605000429", "공시열람")</f>
        <v/>
      </c>
    </row>
    <row r="4835">
      <c r="A4835" s="2" t="inlineStr">
        <is>
          <t>2026-06-05</t>
        </is>
      </c>
      <c r="B4835" s="3" t="inlineStr">
        <is>
          <t>아티스트컴퍼니</t>
        </is>
      </c>
      <c r="C4835" s="2" t="inlineStr">
        <is>
          <t>코스닥</t>
        </is>
      </c>
      <c r="D4835" s="2" t="inlineStr">
        <is>
          <t>321820</t>
        </is>
      </c>
      <c r="E4835" s="3" t="inlineStr">
        <is>
          <t>주주총회소집결의              (임시주주총회)</t>
        </is>
      </c>
      <c r="F4835" s="3" t="inlineStr">
        <is>
          <t>아티스트컴퍼니</t>
        </is>
      </c>
      <c r="G4835" s="2" t="inlineStr">
        <is>
          <t>20260605900579</t>
        </is>
      </c>
      <c r="H4835" s="8">
        <f>HYPERLINK("https://dart.fss.or.kr/dsaf001/main.do?rcpNo=20260605900579", "공시열람")</f>
        <v/>
      </c>
    </row>
    <row r="4836">
      <c r="A4836" s="2" t="inlineStr">
        <is>
          <t>2026-06-05</t>
        </is>
      </c>
      <c r="B4836" s="3" t="inlineStr">
        <is>
          <t>기아</t>
        </is>
      </c>
      <c r="C4836" s="2" t="inlineStr">
        <is>
          <t>코스피</t>
        </is>
      </c>
      <c r="D4836" s="2" t="inlineStr">
        <is>
          <t>000270</t>
        </is>
      </c>
      <c r="E4836" s="3" t="inlineStr">
        <is>
          <t>주주총회소집공고</t>
        </is>
      </c>
      <c r="F4836" s="3" t="inlineStr">
        <is>
          <t>기아</t>
        </is>
      </c>
      <c r="G4836" s="2" t="inlineStr">
        <is>
          <t>20260605000406</t>
        </is>
      </c>
      <c r="H4836" s="8">
        <f>HYPERLINK("https://dart.fss.or.kr/dsaf001/main.do?rcpNo=20260605000406", "공시열람")</f>
        <v/>
      </c>
    </row>
    <row r="4837">
      <c r="A4837" s="2" t="inlineStr">
        <is>
          <t>2026-06-05</t>
        </is>
      </c>
      <c r="B4837" s="3" t="inlineStr">
        <is>
          <t>아우토크립트</t>
        </is>
      </c>
      <c r="C4837" s="2" t="inlineStr">
        <is>
          <t>코스닥</t>
        </is>
      </c>
      <c r="D4837" s="2" t="inlineStr">
        <is>
          <t>331740</t>
        </is>
      </c>
      <c r="E4837" s="3" t="inlineStr">
        <is>
          <t xml:space="preserve">임시주주총회결과              </t>
        </is>
      </c>
      <c r="F4837" s="3" t="inlineStr">
        <is>
          <t>아우토크립트</t>
        </is>
      </c>
      <c r="G4837" s="2" t="inlineStr">
        <is>
          <t>20260605900527</t>
        </is>
      </c>
      <c r="H4837" s="8">
        <f>HYPERLINK("https://dart.fss.or.kr/dsaf001/main.do?rcpNo=20260605900527", "공시열람")</f>
        <v/>
      </c>
    </row>
    <row r="4838">
      <c r="A4838" s="2" t="inlineStr">
        <is>
          <t>2026-06-05</t>
        </is>
      </c>
      <c r="B4838" s="3" t="inlineStr">
        <is>
          <t>대신정보통신</t>
        </is>
      </c>
      <c r="C4838" s="2" t="inlineStr">
        <is>
          <t>코스닥</t>
        </is>
      </c>
      <c r="D4838" s="2" t="inlineStr">
        <is>
          <t>020180</t>
        </is>
      </c>
      <c r="E4838" s="3" t="inlineStr">
        <is>
          <t>주주총회소집공고</t>
        </is>
      </c>
      <c r="F4838" s="3" t="inlineStr">
        <is>
          <t>대신정보통신</t>
        </is>
      </c>
      <c r="G4838" s="2" t="inlineStr">
        <is>
          <t>20260605000378</t>
        </is>
      </c>
      <c r="H4838" s="8">
        <f>HYPERLINK("https://dart.fss.or.kr/dsaf001/main.do?rcpNo=20260605000378", "공시열람")</f>
        <v/>
      </c>
    </row>
    <row r="4839">
      <c r="A4839" s="2" t="inlineStr">
        <is>
          <t>2026-06-05</t>
        </is>
      </c>
      <c r="B4839" s="3" t="inlineStr">
        <is>
          <t>옵트론텍</t>
        </is>
      </c>
      <c r="C4839" s="2" t="inlineStr">
        <is>
          <t>코스닥</t>
        </is>
      </c>
      <c r="D4839" s="2" t="inlineStr">
        <is>
          <t>082210</t>
        </is>
      </c>
      <c r="E4839" s="3" t="inlineStr">
        <is>
          <t>주주총회소집결의              (임시주주총회)</t>
        </is>
      </c>
      <c r="F4839" s="3" t="inlineStr">
        <is>
          <t>옵트론텍</t>
        </is>
      </c>
      <c r="G4839" s="2" t="inlineStr">
        <is>
          <t>20260605900469</t>
        </is>
      </c>
      <c r="H4839" s="8">
        <f>HYPERLINK("https://dart.fss.or.kr/dsaf001/main.do?rcpNo=20260605900469", "공시열람")</f>
        <v/>
      </c>
    </row>
    <row r="4840">
      <c r="A4840" s="2" t="inlineStr">
        <is>
          <t>2026-06-05</t>
        </is>
      </c>
      <c r="B4840" s="3" t="inlineStr">
        <is>
          <t>딥노이드</t>
        </is>
      </c>
      <c r="C4840" s="2" t="inlineStr">
        <is>
          <t>코스닥</t>
        </is>
      </c>
      <c r="D4840" s="2" t="inlineStr">
        <is>
          <t>315640</t>
        </is>
      </c>
      <c r="E4840" s="3" t="inlineStr">
        <is>
          <t xml:space="preserve">임시주주총회결과              </t>
        </is>
      </c>
      <c r="F4840" s="3" t="inlineStr">
        <is>
          <t>딥노이드</t>
        </is>
      </c>
      <c r="G4840" s="2" t="inlineStr">
        <is>
          <t>20260605900441</t>
        </is>
      </c>
      <c r="H4840" s="8">
        <f>HYPERLINK("https://dart.fss.or.kr/dsaf001/main.do?rcpNo=20260605900441", "공시열람")</f>
        <v/>
      </c>
    </row>
    <row r="4841">
      <c r="A4841" s="2" t="inlineStr">
        <is>
          <t>2026-06-05</t>
        </is>
      </c>
      <c r="B4841" s="3" t="inlineStr">
        <is>
          <t>케이엠제약</t>
        </is>
      </c>
      <c r="C4841" s="2" t="inlineStr">
        <is>
          <t>코스닥</t>
        </is>
      </c>
      <c r="D4841" s="2" t="inlineStr">
        <is>
          <t>225430</t>
        </is>
      </c>
      <c r="E4841" s="3" t="inlineStr">
        <is>
          <t>주주총회소집공고</t>
        </is>
      </c>
      <c r="F4841" s="3" t="inlineStr">
        <is>
          <t>케이엠제약</t>
        </is>
      </c>
      <c r="G4841" s="2" t="inlineStr">
        <is>
          <t>20260605000317</t>
        </is>
      </c>
      <c r="H4841" s="8">
        <f>HYPERLINK("https://dart.fss.or.kr/dsaf001/main.do?rcpNo=20260605000317", "공시열람")</f>
        <v/>
      </c>
    </row>
    <row r="4842">
      <c r="A4842" s="2" t="inlineStr">
        <is>
          <t>2026-06-05</t>
        </is>
      </c>
      <c r="B4842" s="3" t="inlineStr">
        <is>
          <t>미래산업</t>
        </is>
      </c>
      <c r="C4842" s="2" t="inlineStr">
        <is>
          <t>코스피</t>
        </is>
      </c>
      <c r="D4842" s="2" t="inlineStr">
        <is>
          <t>025560</t>
        </is>
      </c>
      <c r="E4842" s="3" t="inlineStr">
        <is>
          <t>주주총회소집공고</t>
        </is>
      </c>
      <c r="F4842" s="3" t="inlineStr">
        <is>
          <t>미래산업</t>
        </is>
      </c>
      <c r="G4842" s="2" t="inlineStr">
        <is>
          <t>20260605000280</t>
        </is>
      </c>
      <c r="H4842" s="8">
        <f>HYPERLINK("https://dart.fss.or.kr/dsaf001/main.do?rcpNo=20260605000280", "공시열람")</f>
        <v/>
      </c>
    </row>
    <row r="4843">
      <c r="A4843" s="2" t="inlineStr">
        <is>
          <t>2026-06-05</t>
        </is>
      </c>
      <c r="B4843" s="3" t="inlineStr">
        <is>
          <t>씨씨에스</t>
        </is>
      </c>
      <c r="C4843" s="2" t="inlineStr">
        <is>
          <t>코스닥</t>
        </is>
      </c>
      <c r="D4843" s="2" t="inlineStr">
        <is>
          <t>066790</t>
        </is>
      </c>
      <c r="E4843" s="3" t="inlineStr">
        <is>
          <t>소송등의제기ㆍ신청(경영권분쟁소송)              (임시주주총회 개최금지 가처분-즉시항고)</t>
        </is>
      </c>
      <c r="F4843" s="3" t="inlineStr">
        <is>
          <t>씨씨에스</t>
        </is>
      </c>
      <c r="G4843" s="2" t="inlineStr">
        <is>
          <t>20260605900386</t>
        </is>
      </c>
      <c r="H4843" s="8">
        <f>HYPERLINK("https://dart.fss.or.kr/dsaf001/main.do?rcpNo=20260605900386", "공시열람")</f>
        <v/>
      </c>
    </row>
    <row r="4844">
      <c r="A4844" s="2" t="inlineStr">
        <is>
          <t>2026-06-05</t>
        </is>
      </c>
      <c r="B4844" s="3" t="inlineStr">
        <is>
          <t>제이케이시냅스</t>
        </is>
      </c>
      <c r="C4844" s="2" t="inlineStr">
        <is>
          <t>코스닥</t>
        </is>
      </c>
      <c r="D4844" s="2" t="inlineStr">
        <is>
          <t>060230</t>
        </is>
      </c>
      <c r="E4844" s="3" t="inlineStr">
        <is>
          <t xml:space="preserve">임시주주총회결과              </t>
        </is>
      </c>
      <c r="F4844" s="3" t="inlineStr">
        <is>
          <t>제이케이시냅스</t>
        </is>
      </c>
      <c r="G4844" s="2" t="inlineStr">
        <is>
          <t>20260605900317</t>
        </is>
      </c>
      <c r="H4844" s="8">
        <f>HYPERLINK("https://dart.fss.or.kr/dsaf001/main.do?rcpNo=20260605900317", "공시열람")</f>
        <v/>
      </c>
    </row>
    <row r="4845">
      <c r="A4845" s="2" t="inlineStr">
        <is>
          <t>2026-06-05</t>
        </is>
      </c>
      <c r="B4845" s="3" t="inlineStr">
        <is>
          <t>웨이브일렉트로</t>
        </is>
      </c>
      <c r="C4845" s="2" t="inlineStr">
        <is>
          <t>코스닥</t>
        </is>
      </c>
      <c r="D4845" s="2" t="inlineStr">
        <is>
          <t>095270</t>
        </is>
      </c>
      <c r="E4845" s="3" t="inlineStr">
        <is>
          <t xml:space="preserve">임시주주총회결과              </t>
        </is>
      </c>
      <c r="F4845" s="3" t="inlineStr">
        <is>
          <t>웨이브일렉트로</t>
        </is>
      </c>
      <c r="G4845" s="2" t="inlineStr">
        <is>
          <t>20260605900274</t>
        </is>
      </c>
      <c r="H4845" s="8">
        <f>HYPERLINK("https://dart.fss.or.kr/dsaf001/main.do?rcpNo=20260605900274", "공시열람")</f>
        <v/>
      </c>
    </row>
    <row r="4846">
      <c r="A4846" s="2" t="inlineStr">
        <is>
          <t>2026-06-05</t>
        </is>
      </c>
      <c r="B4846" s="3" t="inlineStr">
        <is>
          <t>SK디앤디</t>
        </is>
      </c>
      <c r="C4846" s="2" t="inlineStr">
        <is>
          <t>코스피</t>
        </is>
      </c>
      <c r="D4846" s="2" t="inlineStr">
        <is>
          <t>210980</t>
        </is>
      </c>
      <c r="E4846" s="3" t="inlineStr">
        <is>
          <t xml:space="preserve">주주총회소집결의              </t>
        </is>
      </c>
      <c r="F4846" s="3" t="inlineStr">
        <is>
          <t>SK디앤디</t>
        </is>
      </c>
      <c r="G4846" s="2" t="inlineStr">
        <is>
          <t>20260605800242</t>
        </is>
      </c>
      <c r="H4846" s="8">
        <f>HYPERLINK("https://dart.fss.or.kr/dsaf001/main.do?rcpNo=20260605800242", "공시열람")</f>
        <v/>
      </c>
    </row>
    <row r="4847">
      <c r="A4847" s="2" t="inlineStr">
        <is>
          <t>2026-06-05</t>
        </is>
      </c>
      <c r="B4847" s="3" t="inlineStr">
        <is>
          <t>태성</t>
        </is>
      </c>
      <c r="C4847" s="2" t="inlineStr">
        <is>
          <t>코스닥</t>
        </is>
      </c>
      <c r="D4847" s="2" t="inlineStr">
        <is>
          <t>323280</t>
        </is>
      </c>
      <c r="E4847" s="3" t="inlineStr">
        <is>
          <t>주주총회소집결의              (임시주주총회)</t>
        </is>
      </c>
      <c r="F4847" s="3" t="inlineStr">
        <is>
          <t>태성</t>
        </is>
      </c>
      <c r="G4847" s="2" t="inlineStr">
        <is>
          <t>20260605900235</t>
        </is>
      </c>
      <c r="H4847" s="8">
        <f>HYPERLINK("https://dart.fss.or.kr/dsaf001/main.do?rcpNo=20260605900235", "공시열람")</f>
        <v/>
      </c>
    </row>
    <row r="4848">
      <c r="A4848" s="2" t="inlineStr">
        <is>
          <t>2026-06-05</t>
        </is>
      </c>
      <c r="B4848" s="3" t="inlineStr">
        <is>
          <t>이지트로닉스</t>
        </is>
      </c>
      <c r="C4848" s="2" t="inlineStr">
        <is>
          <t>코스닥</t>
        </is>
      </c>
      <c r="D4848" s="2" t="inlineStr">
        <is>
          <t>377330</t>
        </is>
      </c>
      <c r="E4848" s="3" t="inlineStr">
        <is>
          <t>주주총회소집공고</t>
        </is>
      </c>
      <c r="F4848" s="3" t="inlineStr">
        <is>
          <t>이지트로닉스</t>
        </is>
      </c>
      <c r="G4848" s="2" t="inlineStr">
        <is>
          <t>20260605000120</t>
        </is>
      </c>
      <c r="H4848" s="8">
        <f>HYPERLINK("https://dart.fss.or.kr/dsaf001/main.do?rcpNo=20260605000120", "공시열람")</f>
        <v/>
      </c>
    </row>
    <row r="4849">
      <c r="A4849" s="2" t="inlineStr">
        <is>
          <t>2026-06-05</t>
        </is>
      </c>
      <c r="B4849" s="3" t="inlineStr">
        <is>
          <t>하이즈항공</t>
        </is>
      </c>
      <c r="C4849" s="2" t="inlineStr">
        <is>
          <t>코스닥</t>
        </is>
      </c>
      <c r="D4849" s="2" t="inlineStr">
        <is>
          <t>221840</t>
        </is>
      </c>
      <c r="E4849" s="3" t="inlineStr">
        <is>
          <t xml:space="preserve">임시주주총회결과              </t>
        </is>
      </c>
      <c r="F4849" s="3" t="inlineStr">
        <is>
          <t>하이즈항공</t>
        </is>
      </c>
      <c r="G4849" s="2" t="inlineStr">
        <is>
          <t>20260605900193</t>
        </is>
      </c>
      <c r="H4849" s="8">
        <f>HYPERLINK("https://dart.fss.or.kr/dsaf001/main.do?rcpNo=20260605900193", "공시열람")</f>
        <v/>
      </c>
    </row>
    <row r="4850">
      <c r="A4850" s="2" t="inlineStr">
        <is>
          <t>2026-06-08</t>
        </is>
      </c>
      <c r="B4850" s="3" t="inlineStr">
        <is>
          <t>푸드나무</t>
        </is>
      </c>
      <c r="C4850" s="2" t="inlineStr">
        <is>
          <t>코스닥</t>
        </is>
      </c>
      <c r="D4850" s="2" t="inlineStr">
        <is>
          <t>290720</t>
        </is>
      </c>
      <c r="E4850" s="3" t="inlineStr">
        <is>
          <t xml:space="preserve">최대주주변경을수반하는주식담보제공계약체결              </t>
        </is>
      </c>
      <c r="F4850" s="3" t="inlineStr">
        <is>
          <t>푸드나무</t>
        </is>
      </c>
      <c r="G4850" s="2" t="inlineStr">
        <is>
          <t>20260608901075</t>
        </is>
      </c>
      <c r="H4850" s="8">
        <f>HYPERLINK("https://dart.fss.or.kr/dsaf001/main.do?rcpNo=20260608901075", "공시열람")</f>
        <v/>
      </c>
    </row>
    <row r="4851">
      <c r="A4851" s="2" t="inlineStr">
        <is>
          <t>2026-06-08</t>
        </is>
      </c>
      <c r="B4851" s="3" t="inlineStr">
        <is>
          <t>푸드나무</t>
        </is>
      </c>
      <c r="C4851" s="2" t="inlineStr">
        <is>
          <t>코스닥</t>
        </is>
      </c>
      <c r="D4851" s="2" t="inlineStr">
        <is>
          <t>290720</t>
        </is>
      </c>
      <c r="E4851" s="3" t="inlineStr">
        <is>
          <t xml:space="preserve">최대주주변경              </t>
        </is>
      </c>
      <c r="F4851" s="3" t="inlineStr">
        <is>
          <t>푸드나무</t>
        </is>
      </c>
      <c r="G4851" s="2" t="inlineStr">
        <is>
          <t>20260608901074</t>
        </is>
      </c>
      <c r="H4851" s="8">
        <f>HYPERLINK("https://dart.fss.or.kr/dsaf001/main.do?rcpNo=20260608901074", "공시열람")</f>
        <v/>
      </c>
    </row>
    <row r="4852">
      <c r="A4852" s="2" t="inlineStr">
        <is>
          <t>2026-06-08 (정정: 2026-06-09)</t>
        </is>
      </c>
      <c r="B4852" s="3" t="inlineStr">
        <is>
          <t>SV인베스트먼트</t>
        </is>
      </c>
      <c r="C4852" s="2" t="inlineStr">
        <is>
          <t>코스닥</t>
        </is>
      </c>
      <c r="D4852" s="2" t="inlineStr">
        <is>
          <t>289080</t>
        </is>
      </c>
      <c r="E4852" s="3" t="inlineStr">
        <is>
          <t>주주총회소집결의               (정정: 20260609) (정정: 20260609)</t>
        </is>
      </c>
      <c r="F4852" s="3" t="inlineStr">
        <is>
          <t>SV인베스트먼트</t>
        </is>
      </c>
      <c r="G4852" s="2" t="inlineStr">
        <is>
          <t>20260609000006</t>
        </is>
      </c>
      <c r="H4852" s="8">
        <f>HYPERLINK("https://dart.fss.or.kr/dsaf001/main.do?rcpNo=20260609000006", "공시열람")</f>
        <v/>
      </c>
    </row>
    <row r="4853">
      <c r="A4853" s="2" t="inlineStr">
        <is>
          <t>2026-06-08</t>
        </is>
      </c>
      <c r="B4853" s="3" t="inlineStr">
        <is>
          <t>아이윈</t>
        </is>
      </c>
      <c r="C4853" s="2" t="inlineStr">
        <is>
          <t>코스닥</t>
        </is>
      </c>
      <c r="D4853" s="2" t="inlineStr">
        <is>
          <t>090150</t>
        </is>
      </c>
      <c r="E4853" s="3" t="inlineStr">
        <is>
          <t>주주총회소집공고</t>
        </is>
      </c>
      <c r="F4853" s="3" t="inlineStr">
        <is>
          <t>아이윈</t>
        </is>
      </c>
      <c r="G4853" s="2" t="inlineStr">
        <is>
          <t>20260608000455</t>
        </is>
      </c>
      <c r="H4853" s="8">
        <f>HYPERLINK("https://dart.fss.or.kr/dsaf001/main.do?rcpNo=20260608000455", "공시열람")</f>
        <v/>
      </c>
    </row>
    <row r="4854">
      <c r="A4854" s="2" t="inlineStr">
        <is>
          <t>2026-06-08</t>
        </is>
      </c>
      <c r="B4854" s="3" t="inlineStr">
        <is>
          <t>아이윈</t>
        </is>
      </c>
      <c r="C4854" s="2" t="inlineStr">
        <is>
          <t>코스닥</t>
        </is>
      </c>
      <c r="D4854" s="2" t="inlineStr">
        <is>
          <t>090150</t>
        </is>
      </c>
      <c r="E4854" s="3" t="inlineStr">
        <is>
          <t>[기재정정]주주총회소집결의              (임시주주총회)</t>
        </is>
      </c>
      <c r="F4854" s="3" t="inlineStr">
        <is>
          <t>아이윈</t>
        </is>
      </c>
      <c r="G4854" s="2" t="inlineStr">
        <is>
          <t>20260608900988</t>
        </is>
      </c>
      <c r="H4854" s="8">
        <f>HYPERLINK("https://dart.fss.or.kr/dsaf001/main.do?rcpNo=20260608900988", "공시열람")</f>
        <v/>
      </c>
    </row>
    <row r="4855">
      <c r="A4855" s="2" t="inlineStr">
        <is>
          <t>2026-06-08</t>
        </is>
      </c>
      <c r="B4855" s="3" t="inlineStr">
        <is>
          <t>신한알파리츠</t>
        </is>
      </c>
      <c r="C4855" s="2" t="inlineStr">
        <is>
          <t>코스피</t>
        </is>
      </c>
      <c r="D4855" s="2" t="inlineStr">
        <is>
          <t>293940</t>
        </is>
      </c>
      <c r="E4855" s="3" t="inlineStr">
        <is>
          <t xml:space="preserve">정기주주총회결과              </t>
        </is>
      </c>
      <c r="F4855" s="3" t="inlineStr">
        <is>
          <t>신한알파리츠</t>
        </is>
      </c>
      <c r="G4855" s="2" t="inlineStr">
        <is>
          <t>20260608800886</t>
        </is>
      </c>
      <c r="H4855" s="8">
        <f>HYPERLINK("https://dart.fss.or.kr/dsaf001/main.do?rcpNo=20260608800886", "공시열람")</f>
        <v/>
      </c>
    </row>
    <row r="4856">
      <c r="A4856" s="2" t="inlineStr">
        <is>
          <t>2026-06-08</t>
        </is>
      </c>
      <c r="B4856" s="3" t="inlineStr">
        <is>
          <t>케이탑리츠</t>
        </is>
      </c>
      <c r="C4856" s="2" t="inlineStr">
        <is>
          <t>코스피</t>
        </is>
      </c>
      <c r="D4856" s="2" t="inlineStr">
        <is>
          <t>145270</t>
        </is>
      </c>
      <c r="E4856" s="3" t="inlineStr">
        <is>
          <t xml:space="preserve">최대주주변경              </t>
        </is>
      </c>
      <c r="F4856" s="3" t="inlineStr">
        <is>
          <t>케이탑리츠</t>
        </is>
      </c>
      <c r="G4856" s="2" t="inlineStr">
        <is>
          <t>20260608800852</t>
        </is>
      </c>
      <c r="H4856" s="8">
        <f>HYPERLINK("https://dart.fss.or.kr/dsaf001/main.do?rcpNo=20260608800852", "공시열람")</f>
        <v/>
      </c>
    </row>
    <row r="4857">
      <c r="A4857" s="2" t="inlineStr">
        <is>
          <t>2026-06-08</t>
        </is>
      </c>
      <c r="B4857" s="3" t="inlineStr">
        <is>
          <t>노랑풍선</t>
        </is>
      </c>
      <c r="C4857" s="2" t="inlineStr">
        <is>
          <t>코스닥</t>
        </is>
      </c>
      <c r="D4857" s="2" t="inlineStr">
        <is>
          <t>104620</t>
        </is>
      </c>
      <c r="E4857" s="3" t="inlineStr">
        <is>
          <t>주주총회소집공고</t>
        </is>
      </c>
      <c r="F4857" s="3" t="inlineStr">
        <is>
          <t>노랑풍선</t>
        </is>
      </c>
      <c r="G4857" s="2" t="inlineStr">
        <is>
          <t>20260608000374</t>
        </is>
      </c>
      <c r="H4857" s="8">
        <f>HYPERLINK("https://dart.fss.or.kr/dsaf001/main.do?rcpNo=20260608000374", "공시열람")</f>
        <v/>
      </c>
    </row>
    <row r="4858">
      <c r="A4858" s="2" t="inlineStr">
        <is>
          <t>2026-06-08</t>
        </is>
      </c>
      <c r="B4858" s="3" t="inlineStr">
        <is>
          <t>우리엔터프라이즈</t>
        </is>
      </c>
      <c r="C4858" s="2" t="inlineStr">
        <is>
          <t>코스닥</t>
        </is>
      </c>
      <c r="D4858" s="2" t="inlineStr">
        <is>
          <t>037400</t>
        </is>
      </c>
      <c r="E4858" s="3" t="inlineStr">
        <is>
          <t>주주총회소집결의              (임시주주총회)</t>
        </is>
      </c>
      <c r="F4858" s="3" t="inlineStr">
        <is>
          <t>우리엔터프라이즈</t>
        </is>
      </c>
      <c r="G4858" s="2" t="inlineStr">
        <is>
          <t>20260608900809</t>
        </is>
      </c>
      <c r="H4858" s="8">
        <f>HYPERLINK("https://dart.fss.or.kr/dsaf001/main.do?rcpNo=20260608900809", "공시열람")</f>
        <v/>
      </c>
    </row>
    <row r="4859">
      <c r="A4859" s="2" t="inlineStr">
        <is>
          <t>2026-06-08 (정정: 2026-06-15)</t>
        </is>
      </c>
      <c r="B4859" s="3" t="inlineStr">
        <is>
          <t>한국유니온제약</t>
        </is>
      </c>
      <c r="C4859" s="2" t="inlineStr">
        <is>
          <t>코스닥</t>
        </is>
      </c>
      <c r="D4859" s="2" t="inlineStr">
        <is>
          <t>080720</t>
        </is>
      </c>
      <c r="E4859" s="3" t="inlineStr">
        <is>
          <t>주주총회소집공고 (정정: 20260615) (정정: 20260615)</t>
        </is>
      </c>
      <c r="F4859" s="3" t="inlineStr">
        <is>
          <t>한국유니온제약</t>
        </is>
      </c>
      <c r="G4859" s="2" t="inlineStr">
        <is>
          <t>20260615900649</t>
        </is>
      </c>
      <c r="H4859" s="8">
        <f>HYPERLINK("https://dart.fss.or.kr/dsaf001/main.do?rcpNo=20260615900649", "공시열람")</f>
        <v/>
      </c>
    </row>
    <row r="4860">
      <c r="A4860" s="2" t="inlineStr">
        <is>
          <t>2026-06-08</t>
        </is>
      </c>
      <c r="B4860" s="3" t="inlineStr">
        <is>
          <t>우리이앤엘하루틴</t>
        </is>
      </c>
      <c r="C4860" s="2" t="inlineStr">
        <is>
          <t>코스닥</t>
        </is>
      </c>
      <c r="D4860" s="2" t="inlineStr">
        <is>
          <t>153490</t>
        </is>
      </c>
      <c r="E4860" s="3" t="inlineStr">
        <is>
          <t>주주총회소집결의              (임시주주총회)</t>
        </is>
      </c>
      <c r="F4860" s="3" t="inlineStr">
        <is>
          <t>우리이앤엘하루틴</t>
        </is>
      </c>
      <c r="G4860" s="2" t="inlineStr">
        <is>
          <t>20260608900769</t>
        </is>
      </c>
      <c r="H4860" s="8">
        <f>HYPERLINK("https://dart.fss.or.kr/dsaf001/main.do?rcpNo=20260608900769", "공시열람")</f>
        <v/>
      </c>
    </row>
    <row r="4861">
      <c r="A4861" s="2" t="inlineStr">
        <is>
          <t>2026-06-08</t>
        </is>
      </c>
      <c r="B4861" s="3" t="inlineStr">
        <is>
          <t>우리바이오</t>
        </is>
      </c>
      <c r="C4861" s="2" t="inlineStr">
        <is>
          <t>코스닥</t>
        </is>
      </c>
      <c r="D4861" s="2" t="inlineStr">
        <is>
          <t>082850</t>
        </is>
      </c>
      <c r="E4861" s="3" t="inlineStr">
        <is>
          <t xml:space="preserve">주주총회소집결의              </t>
        </is>
      </c>
      <c r="F4861" s="3" t="inlineStr">
        <is>
          <t>우리바이오</t>
        </is>
      </c>
      <c r="G4861" s="2" t="inlineStr">
        <is>
          <t>20260608900782</t>
        </is>
      </c>
      <c r="H4861" s="8">
        <f>HYPERLINK("https://dart.fss.or.kr/dsaf001/main.do?rcpNo=20260608900782", "공시열람")</f>
        <v/>
      </c>
    </row>
    <row r="4862">
      <c r="A4862" s="2" t="inlineStr">
        <is>
          <t>2026-06-08</t>
        </is>
      </c>
      <c r="B4862" s="3" t="inlineStr">
        <is>
          <t>테라뷰</t>
        </is>
      </c>
      <c r="C4862" s="2" t="inlineStr">
        <is>
          <t>코스닥</t>
        </is>
      </c>
      <c r="D4862" s="2" t="inlineStr">
        <is>
          <t>950250</t>
        </is>
      </c>
      <c r="E4862" s="3" t="inlineStr">
        <is>
          <t xml:space="preserve">임시주주총회결과              </t>
        </is>
      </c>
      <c r="F4862" s="3" t="inlineStr">
        <is>
          <t>테라뷰</t>
        </is>
      </c>
      <c r="G4862" s="2" t="inlineStr">
        <is>
          <t>20260608900671</t>
        </is>
      </c>
      <c r="H4862" s="8">
        <f>HYPERLINK("https://dart.fss.or.kr/dsaf001/main.do?rcpNo=20260608900671", "공시열람")</f>
        <v/>
      </c>
    </row>
    <row r="4863">
      <c r="A4863" s="2" t="inlineStr">
        <is>
          <t>2026-06-08</t>
        </is>
      </c>
      <c r="B4863" s="3" t="inlineStr">
        <is>
          <t>에너토크</t>
        </is>
      </c>
      <c r="C4863" s="2" t="inlineStr">
        <is>
          <t>코스닥</t>
        </is>
      </c>
      <c r="D4863" s="2" t="inlineStr">
        <is>
          <t>019990</t>
        </is>
      </c>
      <c r="E4863" s="3" t="inlineStr">
        <is>
          <t>주주총회소집결의              (임시주주총회)</t>
        </is>
      </c>
      <c r="F4863" s="3" t="inlineStr">
        <is>
          <t>에너토크</t>
        </is>
      </c>
      <c r="G4863" s="2" t="inlineStr">
        <is>
          <t>20260608900592</t>
        </is>
      </c>
      <c r="H4863" s="8">
        <f>HYPERLINK("https://dart.fss.or.kr/dsaf001/main.do?rcpNo=20260608900592", "공시열람")</f>
        <v/>
      </c>
    </row>
    <row r="4864">
      <c r="A4864" s="2" t="inlineStr">
        <is>
          <t>2026-06-08 (정정: 2026-06-09)</t>
        </is>
      </c>
      <c r="B4864" s="3" t="inlineStr">
        <is>
          <t>한국유니온제약</t>
        </is>
      </c>
      <c r="C4864" s="2" t="inlineStr">
        <is>
          <t>코스닥</t>
        </is>
      </c>
      <c r="D4864" s="2" t="inlineStr">
        <is>
          <t>080720</t>
        </is>
      </c>
      <c r="E4864" s="3" t="inlineStr">
        <is>
          <t>주주총회소집결의              (임시주주총회) (정정: 20260609)</t>
        </is>
      </c>
      <c r="F4864" s="3" t="inlineStr">
        <is>
          <t>한국유니온제약</t>
        </is>
      </c>
      <c r="G4864" s="2" t="inlineStr">
        <is>
          <t>20260609000167</t>
        </is>
      </c>
      <c r="H4864" s="8">
        <f>HYPERLINK("https://dart.fss.or.kr/dsaf001/main.do?rcpNo=20260609000167", "공시열람")</f>
        <v/>
      </c>
    </row>
    <row r="4865">
      <c r="A4865" s="2" t="inlineStr">
        <is>
          <t>2026-06-08 (정정: 2026-06-23)</t>
        </is>
      </c>
      <c r="B4865" s="3" t="inlineStr">
        <is>
          <t>하이젠알앤엠</t>
        </is>
      </c>
      <c r="C4865" s="2" t="inlineStr">
        <is>
          <t>코스닥</t>
        </is>
      </c>
      <c r="D4865" s="2" t="inlineStr">
        <is>
          <t>160190</t>
        </is>
      </c>
      <c r="E4865" s="3" t="inlineStr">
        <is>
          <t>주주총회소집공고 (정정: 20260617) (정정: 20260623)</t>
        </is>
      </c>
      <c r="F4865" s="3" t="inlineStr">
        <is>
          <t>하이젠알앤엠</t>
        </is>
      </c>
      <c r="G4865" s="2" t="inlineStr">
        <is>
          <t>20260623900737</t>
        </is>
      </c>
      <c r="H4865" s="8">
        <f>HYPERLINK("https://dart.fss.or.kr/dsaf001/main.do?rcpNo=20260623900737", "공시열람")</f>
        <v/>
      </c>
    </row>
    <row r="4866">
      <c r="A4866" s="2" t="inlineStr">
        <is>
          <t>2026-06-08</t>
        </is>
      </c>
      <c r="B4866" s="3" t="inlineStr">
        <is>
          <t>성일하이텍</t>
        </is>
      </c>
      <c r="C4866" s="2" t="inlineStr">
        <is>
          <t>코스닥</t>
        </is>
      </c>
      <c r="D4866" s="2" t="inlineStr">
        <is>
          <t>365340</t>
        </is>
      </c>
      <c r="E4866" s="3" t="inlineStr">
        <is>
          <t>주주총회소집결의              (임시주주총회)</t>
        </is>
      </c>
      <c r="F4866" s="3" t="inlineStr">
        <is>
          <t>성일하이텍</t>
        </is>
      </c>
      <c r="G4866" s="2" t="inlineStr">
        <is>
          <t>20260608900475</t>
        </is>
      </c>
      <c r="H4866" s="8">
        <f>HYPERLINK("https://dart.fss.or.kr/dsaf001/main.do?rcpNo=20260608900475", "공시열람")</f>
        <v/>
      </c>
    </row>
    <row r="4867">
      <c r="A4867" s="2" t="inlineStr">
        <is>
          <t>2026-06-08</t>
        </is>
      </c>
      <c r="B4867" s="3" t="inlineStr">
        <is>
          <t>하이로닉</t>
        </is>
      </c>
      <c r="C4867" s="2" t="inlineStr">
        <is>
          <t>코스닥</t>
        </is>
      </c>
      <c r="D4867" s="2" t="inlineStr">
        <is>
          <t>149980</t>
        </is>
      </c>
      <c r="E4867" s="3" t="inlineStr">
        <is>
          <t xml:space="preserve">임시주주총회결과              </t>
        </is>
      </c>
      <c r="F4867" s="3" t="inlineStr">
        <is>
          <t>하이로닉</t>
        </is>
      </c>
      <c r="G4867" s="2" t="inlineStr">
        <is>
          <t>20260608900472</t>
        </is>
      </c>
      <c r="H4867" s="8">
        <f>HYPERLINK("https://dart.fss.or.kr/dsaf001/main.do?rcpNo=20260608900472", "공시열람")</f>
        <v/>
      </c>
    </row>
    <row r="4868">
      <c r="A4868" s="2" t="inlineStr">
        <is>
          <t>2026-06-08 (정정: 2026-06-08)</t>
        </is>
      </c>
      <c r="B4868" s="3" t="inlineStr">
        <is>
          <t>베셀</t>
        </is>
      </c>
      <c r="C4868" s="2" t="inlineStr">
        <is>
          <t>코스닥</t>
        </is>
      </c>
      <c r="D4868" s="2" t="inlineStr">
        <is>
          <t>177350</t>
        </is>
      </c>
      <c r="E4868" s="3" t="inlineStr">
        <is>
          <t>주주총회소집공고 (정정: 20260608)</t>
        </is>
      </c>
      <c r="F4868" s="3" t="inlineStr">
        <is>
          <t>베셀</t>
        </is>
      </c>
      <c r="G4868" s="2" t="inlineStr">
        <is>
          <t>20260608900465</t>
        </is>
      </c>
      <c r="H4868" s="8">
        <f>HYPERLINK("https://dart.fss.or.kr/dsaf001/main.do?rcpNo=20260608900465", "공시열람")</f>
        <v/>
      </c>
    </row>
    <row r="4869">
      <c r="A4869" s="2" t="inlineStr">
        <is>
          <t>2026-06-08</t>
        </is>
      </c>
      <c r="B4869" s="3" t="inlineStr">
        <is>
          <t>로지스몬</t>
        </is>
      </c>
      <c r="C4869" s="2" t="inlineStr">
        <is>
          <t>코넥스</t>
        </is>
      </c>
      <c r="D4869" s="2" t="inlineStr">
        <is>
          <t>223220</t>
        </is>
      </c>
      <c r="E4869" s="3" t="inlineStr">
        <is>
          <t xml:space="preserve">소송등의제기ㆍ신청(경영권분쟁소송)              </t>
        </is>
      </c>
      <c r="F4869" s="3" t="inlineStr">
        <is>
          <t>로지스몬</t>
        </is>
      </c>
      <c r="G4869" s="2" t="inlineStr">
        <is>
          <t>20260608600477</t>
        </is>
      </c>
      <c r="H4869" s="8">
        <f>HYPERLINK("https://dart.fss.or.kr/dsaf001/main.do?rcpNo=20260608600477", "공시열람")</f>
        <v/>
      </c>
    </row>
    <row r="4870">
      <c r="A4870" s="2" t="inlineStr">
        <is>
          <t>2026-06-08</t>
        </is>
      </c>
      <c r="B4870" s="3" t="inlineStr">
        <is>
          <t>멤레이비티</t>
        </is>
      </c>
      <c r="C4870" s="2" t="inlineStr">
        <is>
          <t>코스닥</t>
        </is>
      </c>
      <c r="D4870" s="2" t="inlineStr">
        <is>
          <t>072770</t>
        </is>
      </c>
      <c r="E4870" s="3" t="inlineStr">
        <is>
          <t>주주총회소집결의              (임시주주총회)</t>
        </is>
      </c>
      <c r="F4870" s="3" t="inlineStr">
        <is>
          <t>멤레이비티</t>
        </is>
      </c>
      <c r="G4870" s="2" t="inlineStr">
        <is>
          <t>20260608900467</t>
        </is>
      </c>
      <c r="H4870" s="8">
        <f>HYPERLINK("https://dart.fss.or.kr/dsaf001/main.do?rcpNo=20260608900467", "공시열람")</f>
        <v/>
      </c>
    </row>
    <row r="4871">
      <c r="A4871" s="2" t="inlineStr">
        <is>
          <t>2026-06-09</t>
        </is>
      </c>
      <c r="B4871" s="3" t="inlineStr">
        <is>
          <t>유니크</t>
        </is>
      </c>
      <c r="C4871" s="2" t="inlineStr">
        <is>
          <t>코스닥</t>
        </is>
      </c>
      <c r="D4871" s="2" t="inlineStr">
        <is>
          <t>011320</t>
        </is>
      </c>
      <c r="E4871" s="3" t="inlineStr">
        <is>
          <t>주주총회소집결의              (임시주주총회)</t>
        </is>
      </c>
      <c r="F4871" s="3" t="inlineStr">
        <is>
          <t>유니크</t>
        </is>
      </c>
      <c r="G4871" s="2" t="inlineStr">
        <is>
          <t>20260609900767</t>
        </is>
      </c>
      <c r="H4871" s="8">
        <f>HYPERLINK("https://dart.fss.or.kr/dsaf001/main.do?rcpNo=20260609900767", "공시열람")</f>
        <v/>
      </c>
    </row>
    <row r="4872">
      <c r="A4872" s="2" t="inlineStr">
        <is>
          <t>2026-06-09</t>
        </is>
      </c>
      <c r="B4872" s="3" t="inlineStr">
        <is>
          <t>플레이그램</t>
        </is>
      </c>
      <c r="C4872" s="2" t="inlineStr">
        <is>
          <t>코스피</t>
        </is>
      </c>
      <c r="D4872" s="2" t="inlineStr">
        <is>
          <t>009810</t>
        </is>
      </c>
      <c r="E4872" s="3" t="inlineStr">
        <is>
          <t xml:space="preserve">주주총회소집결의              </t>
        </is>
      </c>
      <c r="F4872" s="3" t="inlineStr">
        <is>
          <t>플레이그램</t>
        </is>
      </c>
      <c r="G4872" s="2" t="inlineStr">
        <is>
          <t>20260609800779</t>
        </is>
      </c>
      <c r="H4872" s="8">
        <f>HYPERLINK("https://dart.fss.or.kr/dsaf001/main.do?rcpNo=20260609800779", "공시열람")</f>
        <v/>
      </c>
    </row>
    <row r="4873">
      <c r="A4873" s="2" t="inlineStr">
        <is>
          <t>2026-06-09</t>
        </is>
      </c>
      <c r="B4873" s="3" t="inlineStr">
        <is>
          <t>파라텍</t>
        </is>
      </c>
      <c r="C4873" s="2" t="inlineStr">
        <is>
          <t>코스닥</t>
        </is>
      </c>
      <c r="D4873" s="2" t="inlineStr">
        <is>
          <t>033540</t>
        </is>
      </c>
      <c r="E4873" s="3" t="inlineStr">
        <is>
          <t>주주총회소집공고</t>
        </is>
      </c>
      <c r="F4873" s="3" t="inlineStr">
        <is>
          <t>파라텍</t>
        </is>
      </c>
      <c r="G4873" s="2" t="inlineStr">
        <is>
          <t>20260609000483</t>
        </is>
      </c>
      <c r="H4873" s="8">
        <f>HYPERLINK("https://dart.fss.or.kr/dsaf001/main.do?rcpNo=20260609000483", "공시열람")</f>
        <v/>
      </c>
    </row>
    <row r="4874">
      <c r="A4874" s="2" t="inlineStr">
        <is>
          <t>2026-06-09</t>
        </is>
      </c>
      <c r="B4874" s="3" t="inlineStr">
        <is>
          <t>피플바이오</t>
        </is>
      </c>
      <c r="C4874" s="2" t="inlineStr">
        <is>
          <t>코스닥</t>
        </is>
      </c>
      <c r="D4874" s="2" t="inlineStr">
        <is>
          <t>304840</t>
        </is>
      </c>
      <c r="E4874" s="3" t="inlineStr">
        <is>
          <t>주주총회소집결의              (임시주주총회)</t>
        </is>
      </c>
      <c r="F4874" s="3" t="inlineStr">
        <is>
          <t>피플바이오</t>
        </is>
      </c>
      <c r="G4874" s="2" t="inlineStr">
        <is>
          <t>20260609900540</t>
        </is>
      </c>
      <c r="H4874" s="8">
        <f>HYPERLINK("https://dart.fss.or.kr/dsaf001/main.do?rcpNo=20260609900540", "공시열람")</f>
        <v/>
      </c>
    </row>
    <row r="4875">
      <c r="A4875" s="2" t="inlineStr">
        <is>
          <t>2026-06-09</t>
        </is>
      </c>
      <c r="B4875" s="3" t="inlineStr">
        <is>
          <t>핑거</t>
        </is>
      </c>
      <c r="C4875" s="2" t="inlineStr">
        <is>
          <t>코스닥</t>
        </is>
      </c>
      <c r="D4875" s="2" t="inlineStr">
        <is>
          <t>163730</t>
        </is>
      </c>
      <c r="E4875" s="3" t="inlineStr">
        <is>
          <t>주주총회소집공고</t>
        </is>
      </c>
      <c r="F4875" s="3" t="inlineStr">
        <is>
          <t>핑거</t>
        </is>
      </c>
      <c r="G4875" s="2" t="inlineStr">
        <is>
          <t>20260609000423</t>
        </is>
      </c>
      <c r="H4875" s="8">
        <f>HYPERLINK("https://dart.fss.or.kr/dsaf001/main.do?rcpNo=20260609000423", "공시열람")</f>
        <v/>
      </c>
    </row>
    <row r="4876">
      <c r="A4876" s="2" t="inlineStr">
        <is>
          <t>2026-06-09</t>
        </is>
      </c>
      <c r="B4876" s="3" t="inlineStr">
        <is>
          <t>엔젠바이오</t>
        </is>
      </c>
      <c r="C4876" s="2" t="inlineStr">
        <is>
          <t>코스닥</t>
        </is>
      </c>
      <c r="D4876" s="2" t="inlineStr">
        <is>
          <t>354200</t>
        </is>
      </c>
      <c r="E4876" s="3" t="inlineStr">
        <is>
          <t xml:space="preserve">임시주주총회결과              </t>
        </is>
      </c>
      <c r="F4876" s="3" t="inlineStr">
        <is>
          <t>엔젠바이오</t>
        </is>
      </c>
      <c r="G4876" s="2" t="inlineStr">
        <is>
          <t>20260609900607</t>
        </is>
      </c>
      <c r="H4876" s="8">
        <f>HYPERLINK("https://dart.fss.or.kr/dsaf001/main.do?rcpNo=20260609900607", "공시열람")</f>
        <v/>
      </c>
    </row>
    <row r="4877">
      <c r="A4877" s="2" t="inlineStr">
        <is>
          <t>2026-06-09</t>
        </is>
      </c>
      <c r="B4877" s="3" t="inlineStr">
        <is>
          <t>대호에이엘</t>
        </is>
      </c>
      <c r="C4877" s="2" t="inlineStr">
        <is>
          <t>코스피</t>
        </is>
      </c>
      <c r="D4877" s="2" t="inlineStr">
        <is>
          <t>069460</t>
        </is>
      </c>
      <c r="E4877" s="3" t="inlineStr">
        <is>
          <t xml:space="preserve">소송등의제기ㆍ신청(경영권분쟁소송)              </t>
        </is>
      </c>
      <c r="F4877" s="3" t="inlineStr">
        <is>
          <t>대호에이엘</t>
        </is>
      </c>
      <c r="G4877" s="2" t="inlineStr">
        <is>
          <t>20260609800584</t>
        </is>
      </c>
      <c r="H4877" s="8">
        <f>HYPERLINK("https://dart.fss.or.kr/dsaf001/main.do?rcpNo=20260609800584", "공시열람")</f>
        <v/>
      </c>
    </row>
    <row r="4878">
      <c r="A4878" s="2" t="inlineStr">
        <is>
          <t>2026-06-09</t>
        </is>
      </c>
      <c r="B4878" s="3" t="inlineStr">
        <is>
          <t>싸이토젠</t>
        </is>
      </c>
      <c r="C4878" s="2" t="inlineStr">
        <is>
          <t>코스닥</t>
        </is>
      </c>
      <c r="D4878" s="2" t="inlineStr">
        <is>
          <t>217330</t>
        </is>
      </c>
      <c r="E4878" s="3" t="inlineStr">
        <is>
          <t>주주총회소집결의              (임시주주총회)</t>
        </is>
      </c>
      <c r="F4878" s="3" t="inlineStr">
        <is>
          <t>싸이토젠</t>
        </is>
      </c>
      <c r="G4878" s="2" t="inlineStr">
        <is>
          <t>20260609900564</t>
        </is>
      </c>
      <c r="H4878" s="8">
        <f>HYPERLINK("https://dart.fss.or.kr/dsaf001/main.do?rcpNo=20260609900564", "공시열람")</f>
        <v/>
      </c>
    </row>
    <row r="4879">
      <c r="A4879" s="2" t="inlineStr">
        <is>
          <t>2026-06-09</t>
        </is>
      </c>
      <c r="B4879" s="3" t="inlineStr">
        <is>
          <t>슈프리마</t>
        </is>
      </c>
      <c r="C4879" s="2" t="inlineStr">
        <is>
          <t>코스닥</t>
        </is>
      </c>
      <c r="D4879" s="2" t="inlineStr">
        <is>
          <t>236200</t>
        </is>
      </c>
      <c r="E4879" s="3" t="inlineStr">
        <is>
          <t>주주총회소집결의              (임시주주총회)</t>
        </is>
      </c>
      <c r="F4879" s="3" t="inlineStr">
        <is>
          <t>슈프리마</t>
        </is>
      </c>
      <c r="G4879" s="2" t="inlineStr">
        <is>
          <t>20260609900537</t>
        </is>
      </c>
      <c r="H4879" s="8">
        <f>HYPERLINK("https://dart.fss.or.kr/dsaf001/main.do?rcpNo=20260609900537", "공시열람")</f>
        <v/>
      </c>
    </row>
    <row r="4880">
      <c r="A4880" s="2" t="inlineStr">
        <is>
          <t>2026-06-09</t>
        </is>
      </c>
      <c r="B4880" s="3" t="inlineStr">
        <is>
          <t>슈프리마에이치큐</t>
        </is>
      </c>
      <c r="C4880" s="2" t="inlineStr">
        <is>
          <t>코스닥</t>
        </is>
      </c>
      <c r="D4880" s="2" t="inlineStr">
        <is>
          <t>094840</t>
        </is>
      </c>
      <c r="E4880" s="3" t="inlineStr">
        <is>
          <t>주주총회소집결의              (임시주주총회)</t>
        </is>
      </c>
      <c r="F4880" s="3" t="inlineStr">
        <is>
          <t>슈프리마에이치큐</t>
        </is>
      </c>
      <c r="G4880" s="2" t="inlineStr">
        <is>
          <t>20260609900532</t>
        </is>
      </c>
      <c r="H4880" s="8">
        <f>HYPERLINK("https://dart.fss.or.kr/dsaf001/main.do?rcpNo=20260609900532", "공시열람")</f>
        <v/>
      </c>
    </row>
    <row r="4881">
      <c r="A4881" s="2" t="inlineStr">
        <is>
          <t>2026-06-09</t>
        </is>
      </c>
      <c r="B4881" s="3" t="inlineStr">
        <is>
          <t>참엔지니어링</t>
        </is>
      </c>
      <c r="C4881" s="2" t="inlineStr">
        <is>
          <t>코스피</t>
        </is>
      </c>
      <c r="D4881" s="2" t="inlineStr">
        <is>
          <t>009310</t>
        </is>
      </c>
      <c r="E4881" s="3" t="inlineStr">
        <is>
          <t>주주총회소집공고</t>
        </is>
      </c>
      <c r="F4881" s="3" t="inlineStr">
        <is>
          <t>참엔지니어링</t>
        </is>
      </c>
      <c r="G4881" s="2" t="inlineStr">
        <is>
          <t>20260609000352</t>
        </is>
      </c>
      <c r="H4881" s="8">
        <f>HYPERLINK("https://dart.fss.or.kr/dsaf001/main.do?rcpNo=20260609000352", "공시열람")</f>
        <v/>
      </c>
    </row>
    <row r="4882">
      <c r="A4882" s="2" t="inlineStr">
        <is>
          <t>2026-06-09</t>
        </is>
      </c>
      <c r="B4882" s="3" t="inlineStr">
        <is>
          <t>아리바이오LAB</t>
        </is>
      </c>
      <c r="C4882" s="2" t="inlineStr">
        <is>
          <t>코스닥</t>
        </is>
      </c>
      <c r="D4882" s="2" t="inlineStr">
        <is>
          <t>261780</t>
        </is>
      </c>
      <c r="E4882" s="3" t="inlineStr">
        <is>
          <t xml:space="preserve">최대주주변경을수반하는주식담보제공계약체결              </t>
        </is>
      </c>
      <c r="F4882" s="3" t="inlineStr">
        <is>
          <t>아리바이오LAB</t>
        </is>
      </c>
      <c r="G4882" s="2" t="inlineStr">
        <is>
          <t>20260609900525</t>
        </is>
      </c>
      <c r="H4882" s="8">
        <f>HYPERLINK("https://dart.fss.or.kr/dsaf001/main.do?rcpNo=20260609900525", "공시열람")</f>
        <v/>
      </c>
    </row>
    <row r="4883">
      <c r="A4883" s="2" t="inlineStr">
        <is>
          <t>2026-06-09</t>
        </is>
      </c>
      <c r="B4883" s="3" t="inlineStr">
        <is>
          <t>참엔지니어링</t>
        </is>
      </c>
      <c r="C4883" s="2" t="inlineStr">
        <is>
          <t>코스피</t>
        </is>
      </c>
      <c r="D4883" s="2" t="inlineStr">
        <is>
          <t>009310</t>
        </is>
      </c>
      <c r="E4883" s="3" t="inlineStr">
        <is>
          <t xml:space="preserve">[기재정정]주주총회소집결의              </t>
        </is>
      </c>
      <c r="F4883" s="3" t="inlineStr">
        <is>
          <t>참엔지니어링</t>
        </is>
      </c>
      <c r="G4883" s="2" t="inlineStr">
        <is>
          <t>20260609800512</t>
        </is>
      </c>
      <c r="H4883" s="8">
        <f>HYPERLINK("https://dart.fss.or.kr/dsaf001/main.do?rcpNo=20260609800512", "공시열람")</f>
        <v/>
      </c>
    </row>
    <row r="4884">
      <c r="A4884" s="2" t="inlineStr">
        <is>
          <t>2026-06-09</t>
        </is>
      </c>
      <c r="B4884" s="3" t="inlineStr">
        <is>
          <t>제이스로보틱스</t>
        </is>
      </c>
      <c r="C4884" s="2" t="inlineStr">
        <is>
          <t>코스닥</t>
        </is>
      </c>
      <c r="D4884" s="2" t="inlineStr">
        <is>
          <t>090470</t>
        </is>
      </c>
      <c r="E4884" s="3" t="inlineStr">
        <is>
          <t xml:space="preserve">임시주주총회결과              </t>
        </is>
      </c>
      <c r="F4884" s="3" t="inlineStr">
        <is>
          <t>제이스로보틱스</t>
        </is>
      </c>
      <c r="G4884" s="2" t="inlineStr">
        <is>
          <t>20260609900415</t>
        </is>
      </c>
      <c r="H4884" s="8">
        <f>HYPERLINK("https://dart.fss.or.kr/dsaf001/main.do?rcpNo=20260609900415", "공시열람")</f>
        <v/>
      </c>
    </row>
    <row r="4885">
      <c r="A4885" s="2" t="inlineStr">
        <is>
          <t>2026-06-09</t>
        </is>
      </c>
      <c r="B4885" s="3" t="inlineStr">
        <is>
          <t>씨씨에스</t>
        </is>
      </c>
      <c r="C4885" s="2" t="inlineStr">
        <is>
          <t>코스닥</t>
        </is>
      </c>
      <c r="D4885" s="2" t="inlineStr">
        <is>
          <t>066790</t>
        </is>
      </c>
      <c r="E4885" s="3" t="inlineStr">
        <is>
          <t>소송등의판결ㆍ결정              (주주총회 결의 효력정지 등 가처분)</t>
        </is>
      </c>
      <c r="F4885" s="3" t="inlineStr">
        <is>
          <t>씨씨에스</t>
        </is>
      </c>
      <c r="G4885" s="2" t="inlineStr">
        <is>
          <t>20260609900380</t>
        </is>
      </c>
      <c r="H4885" s="8">
        <f>HYPERLINK("https://dart.fss.or.kr/dsaf001/main.do?rcpNo=20260609900380", "공시열람")</f>
        <v/>
      </c>
    </row>
    <row r="4886">
      <c r="A4886" s="2" t="inlineStr">
        <is>
          <t>2026-06-09</t>
        </is>
      </c>
      <c r="B4886" s="3" t="inlineStr">
        <is>
          <t>미래에셋글로벌리츠</t>
        </is>
      </c>
      <c r="C4886" s="2" t="inlineStr">
        <is>
          <t>코스피</t>
        </is>
      </c>
      <c r="D4886" s="2" t="inlineStr">
        <is>
          <t>396690</t>
        </is>
      </c>
      <c r="E4886" s="3" t="inlineStr">
        <is>
          <t>주주총회소집공고</t>
        </is>
      </c>
      <c r="F4886" s="3" t="inlineStr">
        <is>
          <t>미래에셋글로벌리츠</t>
        </is>
      </c>
      <c r="G4886" s="2" t="inlineStr">
        <is>
          <t>20260609000211</t>
        </is>
      </c>
      <c r="H4886" s="8">
        <f>HYPERLINK("https://dart.fss.or.kr/dsaf001/main.do?rcpNo=20260609000211", "공시열람")</f>
        <v/>
      </c>
    </row>
    <row r="4887">
      <c r="A4887" s="2" t="inlineStr">
        <is>
          <t>2026-06-09</t>
        </is>
      </c>
      <c r="B4887" s="3" t="inlineStr">
        <is>
          <t>모아텍</t>
        </is>
      </c>
      <c r="C4887" s="2" t="inlineStr">
        <is>
          <t>코스닥</t>
        </is>
      </c>
      <c r="D4887" s="2" t="inlineStr">
        <is>
          <t>033200</t>
        </is>
      </c>
      <c r="E4887" s="3" t="inlineStr">
        <is>
          <t>주주총회소집공고</t>
        </is>
      </c>
      <c r="F4887" s="3" t="inlineStr">
        <is>
          <t>모아텍</t>
        </is>
      </c>
      <c r="G4887" s="2" t="inlineStr">
        <is>
          <t>20260609000190</t>
        </is>
      </c>
      <c r="H4887" s="8">
        <f>HYPERLINK("https://dart.fss.or.kr/dsaf001/main.do?rcpNo=20260609000190", "공시열람")</f>
        <v/>
      </c>
    </row>
    <row r="4888">
      <c r="A4888" s="2" t="inlineStr">
        <is>
          <t>2026-06-09</t>
        </is>
      </c>
      <c r="B4888" s="3" t="inlineStr">
        <is>
          <t>SV인베스트먼트</t>
        </is>
      </c>
      <c r="C4888" s="2" t="inlineStr">
        <is>
          <t>코스닥</t>
        </is>
      </c>
      <c r="D4888" s="2" t="inlineStr">
        <is>
          <t>289080</t>
        </is>
      </c>
      <c r="E4888" s="3" t="inlineStr">
        <is>
          <t>주주총회소집공고</t>
        </is>
      </c>
      <c r="F4888" s="3" t="inlineStr">
        <is>
          <t>SV인베스트먼트</t>
        </is>
      </c>
      <c r="G4888" s="2" t="inlineStr">
        <is>
          <t>20260609000172</t>
        </is>
      </c>
      <c r="H4888" s="8">
        <f>HYPERLINK("https://dart.fss.or.kr/dsaf001/main.do?rcpNo=20260609000172", "공시열람")</f>
        <v/>
      </c>
    </row>
    <row r="4889">
      <c r="A4889" s="2" t="inlineStr">
        <is>
          <t>2026-06-09</t>
        </is>
      </c>
      <c r="B4889" s="3" t="inlineStr">
        <is>
          <t>동국홀딩스</t>
        </is>
      </c>
      <c r="C4889" s="2" t="inlineStr">
        <is>
          <t>코스피</t>
        </is>
      </c>
      <c r="D4889" s="2" t="inlineStr">
        <is>
          <t>001230</t>
        </is>
      </c>
      <c r="E4889" s="3" t="inlineStr">
        <is>
          <t>주주총회소집공고</t>
        </is>
      </c>
      <c r="F4889" s="3" t="inlineStr">
        <is>
          <t>동국홀딩스</t>
        </is>
      </c>
      <c r="G4889" s="2" t="inlineStr">
        <is>
          <t>20260609000053</t>
        </is>
      </c>
      <c r="H4889" s="8">
        <f>HYPERLINK("https://dart.fss.or.kr/dsaf001/main.do?rcpNo=20260609000053", "공시열람")</f>
        <v/>
      </c>
    </row>
    <row r="4890">
      <c r="A4890" s="2" t="inlineStr">
        <is>
          <t>2026-06-10</t>
        </is>
      </c>
      <c r="B4890" s="3" t="inlineStr">
        <is>
          <t>피노</t>
        </is>
      </c>
      <c r="C4890" s="2" t="inlineStr">
        <is>
          <t>코스닥</t>
        </is>
      </c>
      <c r="D4890" s="2" t="inlineStr">
        <is>
          <t>033790</t>
        </is>
      </c>
      <c r="E4890" s="3" t="inlineStr">
        <is>
          <t>주주총회소집결의              (임시주주총회)</t>
        </is>
      </c>
      <c r="F4890" s="3" t="inlineStr">
        <is>
          <t>피노</t>
        </is>
      </c>
      <c r="G4890" s="2" t="inlineStr">
        <is>
          <t>20260610901007</t>
        </is>
      </c>
      <c r="H4890" s="8">
        <f>HYPERLINK("https://dart.fss.or.kr/dsaf001/main.do?rcpNo=20260610901007", "공시열람")</f>
        <v/>
      </c>
    </row>
    <row r="4891">
      <c r="A4891" s="2" t="inlineStr">
        <is>
          <t>2026-06-10</t>
        </is>
      </c>
      <c r="B4891" s="3" t="inlineStr">
        <is>
          <t>코스텍시스템</t>
        </is>
      </c>
      <c r="C4891" s="2" t="inlineStr">
        <is>
          <t>코넥스</t>
        </is>
      </c>
      <c r="D4891" s="2" t="inlineStr">
        <is>
          <t>169670</t>
        </is>
      </c>
      <c r="E4891" s="3" t="inlineStr">
        <is>
          <t xml:space="preserve">주주총회소집결의              </t>
        </is>
      </c>
      <c r="F4891" s="3" t="inlineStr">
        <is>
          <t>코스텍시스템</t>
        </is>
      </c>
      <c r="G4891" s="2" t="inlineStr">
        <is>
          <t>20260610600956</t>
        </is>
      </c>
      <c r="H4891" s="8">
        <f>HYPERLINK("https://dart.fss.or.kr/dsaf001/main.do?rcpNo=20260610600956", "공시열람")</f>
        <v/>
      </c>
    </row>
    <row r="4892">
      <c r="A4892" s="2" t="inlineStr">
        <is>
          <t>2026-06-10</t>
        </is>
      </c>
      <c r="B4892" s="3" t="inlineStr">
        <is>
          <t>삼영전자공업</t>
        </is>
      </c>
      <c r="C4892" s="2" t="inlineStr">
        <is>
          <t>코스피</t>
        </is>
      </c>
      <c r="D4892" s="2" t="inlineStr">
        <is>
          <t>005680</t>
        </is>
      </c>
      <c r="E4892" s="3" t="inlineStr">
        <is>
          <t xml:space="preserve">소송등의제기ㆍ신청(경영권분쟁소송)              </t>
        </is>
      </c>
      <c r="F4892" s="3" t="inlineStr">
        <is>
          <t>삼영전자공업</t>
        </is>
      </c>
      <c r="G4892" s="2" t="inlineStr">
        <is>
          <t>20260610800901</t>
        </is>
      </c>
      <c r="H4892" s="8">
        <f>HYPERLINK("https://dart.fss.or.kr/dsaf001/main.do?rcpNo=20260610800901", "공시열람")</f>
        <v/>
      </c>
    </row>
    <row r="4893">
      <c r="A4893" s="2" t="inlineStr">
        <is>
          <t>2026-06-10</t>
        </is>
      </c>
      <c r="B4893" s="3" t="inlineStr">
        <is>
          <t>덴티움</t>
        </is>
      </c>
      <c r="C4893" s="2" t="inlineStr">
        <is>
          <t>코스피</t>
        </is>
      </c>
      <c r="D4893" s="2" t="inlineStr">
        <is>
          <t>145720</t>
        </is>
      </c>
      <c r="E4893" s="3" t="inlineStr">
        <is>
          <t xml:space="preserve">소송등의제기ㆍ신청(경영권분쟁소송)              </t>
        </is>
      </c>
      <c r="F4893" s="3" t="inlineStr">
        <is>
          <t>덴티움</t>
        </is>
      </c>
      <c r="G4893" s="2" t="inlineStr">
        <is>
          <t>20260610800916</t>
        </is>
      </c>
      <c r="H4893" s="8">
        <f>HYPERLINK("https://dart.fss.or.kr/dsaf001/main.do?rcpNo=20260610800916", "공시열람")</f>
        <v/>
      </c>
    </row>
    <row r="4894">
      <c r="A4894" s="2" t="inlineStr">
        <is>
          <t>2026-06-10</t>
        </is>
      </c>
      <c r="B4894" s="3" t="inlineStr">
        <is>
          <t>에이팩트</t>
        </is>
      </c>
      <c r="C4894" s="2" t="inlineStr">
        <is>
          <t>코스닥</t>
        </is>
      </c>
      <c r="D4894" s="2" t="inlineStr">
        <is>
          <t>200470</t>
        </is>
      </c>
      <c r="E4894" s="3" t="inlineStr">
        <is>
          <t xml:space="preserve">[기재정정]최대주주변경을수반하는주식양수도계약체결              </t>
        </is>
      </c>
      <c r="F4894" s="3" t="inlineStr">
        <is>
          <t>에이팩트</t>
        </is>
      </c>
      <c r="G4894" s="2" t="inlineStr">
        <is>
          <t>20260610900846</t>
        </is>
      </c>
      <c r="H4894" s="8">
        <f>HYPERLINK("https://dart.fss.or.kr/dsaf001/main.do?rcpNo=20260610900846", "공시열람")</f>
        <v/>
      </c>
    </row>
    <row r="4895">
      <c r="A4895" s="2" t="inlineStr">
        <is>
          <t>2026-06-10</t>
        </is>
      </c>
      <c r="B4895" s="3" t="inlineStr">
        <is>
          <t>이엠앤아이</t>
        </is>
      </c>
      <c r="C4895" s="2" t="inlineStr">
        <is>
          <t>코스닥</t>
        </is>
      </c>
      <c r="D4895" s="2" t="inlineStr">
        <is>
          <t>083470</t>
        </is>
      </c>
      <c r="E4895" s="3" t="inlineStr">
        <is>
          <t>소송등의판결ㆍ결정              (주주총회소집허가-취하)</t>
        </is>
      </c>
      <c r="F4895" s="3" t="inlineStr">
        <is>
          <t>이엠앤아이</t>
        </is>
      </c>
      <c r="G4895" s="2" t="inlineStr">
        <is>
          <t>20260610900840</t>
        </is>
      </c>
      <c r="H4895" s="8">
        <f>HYPERLINK("https://dart.fss.or.kr/dsaf001/main.do?rcpNo=20260610900840", "공시열람")</f>
        <v/>
      </c>
    </row>
    <row r="4896">
      <c r="A4896" s="2" t="inlineStr">
        <is>
          <t>2026-06-10</t>
        </is>
      </c>
      <c r="B4896" s="3" t="inlineStr">
        <is>
          <t>에이팩트</t>
        </is>
      </c>
      <c r="C4896" s="2" t="inlineStr">
        <is>
          <t>코스닥</t>
        </is>
      </c>
      <c r="D4896" s="2" t="inlineStr">
        <is>
          <t>200470</t>
        </is>
      </c>
      <c r="E4896" s="3" t="inlineStr">
        <is>
          <t xml:space="preserve">[기재정정]최대주주변경을수반하는주식양수도계약체결              </t>
        </is>
      </c>
      <c r="F4896" s="3" t="inlineStr">
        <is>
          <t>에이팩트</t>
        </is>
      </c>
      <c r="G4896" s="2" t="inlineStr">
        <is>
          <t>20260610900627</t>
        </is>
      </c>
      <c r="H4896" s="8">
        <f>HYPERLINK("https://dart.fss.or.kr/dsaf001/main.do?rcpNo=20260610900627", "공시열람")</f>
        <v/>
      </c>
    </row>
    <row r="4897">
      <c r="A4897" s="2" t="inlineStr">
        <is>
          <t>2026-06-10 (정정: 2026-06-10)</t>
        </is>
      </c>
      <c r="B4897" s="3" t="inlineStr">
        <is>
          <t>3S</t>
        </is>
      </c>
      <c r="C4897" s="2" t="inlineStr">
        <is>
          <t>코스닥</t>
        </is>
      </c>
      <c r="D4897" s="2" t="inlineStr">
        <is>
          <t>060310</t>
        </is>
      </c>
      <c r="E4897" s="3" t="inlineStr">
        <is>
          <t>주주총회소집공고 (정정: 20260610)</t>
        </is>
      </c>
      <c r="F4897" s="3" t="inlineStr">
        <is>
          <t>3S</t>
        </is>
      </c>
      <c r="G4897" s="2" t="inlineStr">
        <is>
          <t>20260610900689</t>
        </is>
      </c>
      <c r="H4897" s="8">
        <f>HYPERLINK("https://dart.fss.or.kr/dsaf001/main.do?rcpNo=20260610900689", "공시열람")</f>
        <v/>
      </c>
    </row>
    <row r="4898">
      <c r="A4898" s="2" t="inlineStr">
        <is>
          <t>2026-06-10</t>
        </is>
      </c>
      <c r="B4898" s="3" t="inlineStr">
        <is>
          <t>디앤디플랫폼리츠</t>
        </is>
      </c>
      <c r="C4898" s="2" t="inlineStr">
        <is>
          <t>코스피</t>
        </is>
      </c>
      <c r="D4898" s="2" t="inlineStr">
        <is>
          <t>377190</t>
        </is>
      </c>
      <c r="E4898" s="3" t="inlineStr">
        <is>
          <t xml:space="preserve">정기주주총회결과              </t>
        </is>
      </c>
      <c r="F4898" s="3" t="inlineStr">
        <is>
          <t>디앤디플랫폼리츠</t>
        </is>
      </c>
      <c r="G4898" s="2" t="inlineStr">
        <is>
          <t>20260610800708</t>
        </is>
      </c>
      <c r="H4898" s="8">
        <f>HYPERLINK("https://dart.fss.or.kr/dsaf001/main.do?rcpNo=20260610800708", "공시열람")</f>
        <v/>
      </c>
    </row>
    <row r="4899">
      <c r="A4899" s="2" t="inlineStr">
        <is>
          <t>2026-06-10</t>
        </is>
      </c>
      <c r="B4899" s="3" t="inlineStr">
        <is>
          <t>전진건설로봇</t>
        </is>
      </c>
      <c r="C4899" s="2" t="inlineStr">
        <is>
          <t>코스피</t>
        </is>
      </c>
      <c r="D4899" s="2" t="inlineStr">
        <is>
          <t>079900</t>
        </is>
      </c>
      <c r="E4899" s="3" t="inlineStr">
        <is>
          <t xml:space="preserve">주주총회소집결의              </t>
        </is>
      </c>
      <c r="F4899" s="3" t="inlineStr">
        <is>
          <t>전진건설로봇</t>
        </is>
      </c>
      <c r="G4899" s="2" t="inlineStr">
        <is>
          <t>20260610800703</t>
        </is>
      </c>
      <c r="H4899" s="8">
        <f>HYPERLINK("https://dart.fss.or.kr/dsaf001/main.do?rcpNo=20260610800703", "공시열람")</f>
        <v/>
      </c>
    </row>
    <row r="4900">
      <c r="A4900" s="2" t="inlineStr">
        <is>
          <t>2026-06-10</t>
        </is>
      </c>
      <c r="B4900" s="3" t="inlineStr">
        <is>
          <t>주연테크</t>
        </is>
      </c>
      <c r="C4900" s="2" t="inlineStr">
        <is>
          <t>코스피</t>
        </is>
      </c>
      <c r="D4900" s="2" t="inlineStr">
        <is>
          <t>044380</t>
        </is>
      </c>
      <c r="E4900" s="3" t="inlineStr">
        <is>
          <t xml:space="preserve">주주총회소집결의              </t>
        </is>
      </c>
      <c r="F4900" s="3" t="inlineStr">
        <is>
          <t>주연테크</t>
        </is>
      </c>
      <c r="G4900" s="2" t="inlineStr">
        <is>
          <t>20260610800658</t>
        </is>
      </c>
      <c r="H4900" s="8">
        <f>HYPERLINK("https://dart.fss.or.kr/dsaf001/main.do?rcpNo=20260610800658", "공시열람")</f>
        <v/>
      </c>
    </row>
    <row r="4901">
      <c r="A4901" s="2" t="inlineStr">
        <is>
          <t>2026-06-10</t>
        </is>
      </c>
      <c r="B4901" s="3" t="inlineStr">
        <is>
          <t>알파AI</t>
        </is>
      </c>
      <c r="C4901" s="2" t="inlineStr">
        <is>
          <t>코스닥</t>
        </is>
      </c>
      <c r="D4901" s="2" t="inlineStr">
        <is>
          <t>043100</t>
        </is>
      </c>
      <c r="E4901" s="3" t="inlineStr">
        <is>
          <t>[기재정정]주주총회소집결의              (임시주주총회)</t>
        </is>
      </c>
      <c r="F4901" s="3" t="inlineStr">
        <is>
          <t>알파AI</t>
        </is>
      </c>
      <c r="G4901" s="2" t="inlineStr">
        <is>
          <t>20260610900648</t>
        </is>
      </c>
      <c r="H4901" s="8">
        <f>HYPERLINK("https://dart.fss.or.kr/dsaf001/main.do?rcpNo=20260610900648", "공시열람")</f>
        <v/>
      </c>
    </row>
    <row r="4902">
      <c r="A4902" s="2" t="inlineStr">
        <is>
          <t>2026-06-10</t>
        </is>
      </c>
      <c r="B4902" s="3" t="inlineStr">
        <is>
          <t>이노벡스</t>
        </is>
      </c>
      <c r="C4902" s="2" t="inlineStr">
        <is>
          <t>코넥스</t>
        </is>
      </c>
      <c r="D4902" s="2" t="inlineStr">
        <is>
          <t>279060</t>
        </is>
      </c>
      <c r="E4902" s="3" t="inlineStr">
        <is>
          <t>주주총회소집공고</t>
        </is>
      </c>
      <c r="F4902" s="3" t="inlineStr">
        <is>
          <t>이노벡스</t>
        </is>
      </c>
      <c r="G4902" s="2" t="inlineStr">
        <is>
          <t>20260610000378</t>
        </is>
      </c>
      <c r="H4902" s="8">
        <f>HYPERLINK("https://dart.fss.or.kr/dsaf001/main.do?rcpNo=20260610000378", "공시열람")</f>
        <v/>
      </c>
    </row>
    <row r="4903">
      <c r="A4903" s="2" t="inlineStr">
        <is>
          <t>2026-06-10</t>
        </is>
      </c>
      <c r="B4903" s="3" t="inlineStr">
        <is>
          <t>이엠텍</t>
        </is>
      </c>
      <c r="C4903" s="2" t="inlineStr">
        <is>
          <t>코스닥</t>
        </is>
      </c>
      <c r="D4903" s="2" t="inlineStr">
        <is>
          <t>091120</t>
        </is>
      </c>
      <c r="E4903" s="3" t="inlineStr">
        <is>
          <t xml:space="preserve">최대주주변경을수반하는주식담보제공계약해제ㆍ취소등              </t>
        </is>
      </c>
      <c r="F4903" s="3" t="inlineStr">
        <is>
          <t>이엠텍</t>
        </is>
      </c>
      <c r="G4903" s="2" t="inlineStr">
        <is>
          <t>20260610900508</t>
        </is>
      </c>
      <c r="H4903" s="8">
        <f>HYPERLINK("https://dart.fss.or.kr/dsaf001/main.do?rcpNo=20260610900508", "공시열람")</f>
        <v/>
      </c>
    </row>
    <row r="4904">
      <c r="A4904" s="2" t="inlineStr">
        <is>
          <t>2026-06-10</t>
        </is>
      </c>
      <c r="B4904" s="3" t="inlineStr">
        <is>
          <t>메이슨캐피탈</t>
        </is>
      </c>
      <c r="C4904" s="2" t="inlineStr">
        <is>
          <t>코스닥</t>
        </is>
      </c>
      <c r="D4904" s="2" t="inlineStr">
        <is>
          <t>021880</t>
        </is>
      </c>
      <c r="E4904" s="3" t="inlineStr">
        <is>
          <t>주주총회소집공고</t>
        </is>
      </c>
      <c r="F4904" s="3" t="inlineStr">
        <is>
          <t>메이슨캐피탈</t>
        </is>
      </c>
      <c r="G4904" s="2" t="inlineStr">
        <is>
          <t>20260610000368</t>
        </is>
      </c>
      <c r="H4904" s="8">
        <f>HYPERLINK("https://dart.fss.or.kr/dsaf001/main.do?rcpNo=20260610000368", "공시열람")</f>
        <v/>
      </c>
    </row>
    <row r="4905">
      <c r="A4905" s="2" t="inlineStr">
        <is>
          <t>2026-06-10</t>
        </is>
      </c>
      <c r="B4905" s="3" t="inlineStr">
        <is>
          <t>디에이치엑스컴퍼니</t>
        </is>
      </c>
      <c r="C4905" s="2" t="inlineStr">
        <is>
          <t>코스닥</t>
        </is>
      </c>
      <c r="D4905" s="2" t="inlineStr">
        <is>
          <t>031860</t>
        </is>
      </c>
      <c r="E4905" s="3" t="inlineStr">
        <is>
          <t>[기재정정]주주총회소집결의              (임시주주총회)</t>
        </is>
      </c>
      <c r="F4905" s="3" t="inlineStr">
        <is>
          <t>디에이치엑스컴퍼니</t>
        </is>
      </c>
      <c r="G4905" s="2" t="inlineStr">
        <is>
          <t>20260610900540</t>
        </is>
      </c>
      <c r="H4905" s="8">
        <f>HYPERLINK("https://dart.fss.or.kr/dsaf001/main.do?rcpNo=20260610900540", "공시열람")</f>
        <v/>
      </c>
    </row>
    <row r="4906">
      <c r="A4906" s="2" t="inlineStr">
        <is>
          <t>2026-06-10</t>
        </is>
      </c>
      <c r="B4906" s="3" t="inlineStr">
        <is>
          <t>HPSP</t>
        </is>
      </c>
      <c r="C4906" s="2" t="inlineStr">
        <is>
          <t>코스닥</t>
        </is>
      </c>
      <c r="D4906" s="2" t="inlineStr">
        <is>
          <t>403870</t>
        </is>
      </c>
      <c r="E4906" s="3" t="inlineStr">
        <is>
          <t>주주총회소집공고</t>
        </is>
      </c>
      <c r="F4906" s="3" t="inlineStr">
        <is>
          <t>HPSP</t>
        </is>
      </c>
      <c r="G4906" s="2" t="inlineStr">
        <is>
          <t>20260610000367</t>
        </is>
      </c>
      <c r="H4906" s="8">
        <f>HYPERLINK("https://dart.fss.or.kr/dsaf001/main.do?rcpNo=20260610000367", "공시열람")</f>
        <v/>
      </c>
    </row>
    <row r="4907">
      <c r="A4907" s="2" t="inlineStr">
        <is>
          <t>2026-06-10</t>
        </is>
      </c>
      <c r="B4907" s="3" t="inlineStr">
        <is>
          <t>지구홀딩스</t>
        </is>
      </c>
      <c r="C4907" s="2" t="inlineStr">
        <is>
          <t>코스닥</t>
        </is>
      </c>
      <c r="D4907" s="2" t="inlineStr">
        <is>
          <t>221800</t>
        </is>
      </c>
      <c r="E4907" s="3" t="inlineStr">
        <is>
          <t xml:space="preserve">임시주주총회결과              </t>
        </is>
      </c>
      <c r="F4907" s="3" t="inlineStr">
        <is>
          <t>지구홀딩스</t>
        </is>
      </c>
      <c r="G4907" s="2" t="inlineStr">
        <is>
          <t>20260610900504</t>
        </is>
      </c>
      <c r="H4907" s="8">
        <f>HYPERLINK("https://dart.fss.or.kr/dsaf001/main.do?rcpNo=20260610900504", "공시열람")</f>
        <v/>
      </c>
    </row>
    <row r="4908">
      <c r="A4908" s="2" t="inlineStr">
        <is>
          <t>2026-06-10</t>
        </is>
      </c>
      <c r="B4908" s="3" t="inlineStr">
        <is>
          <t>윙스풋</t>
        </is>
      </c>
      <c r="C4908" s="2" t="inlineStr">
        <is>
          <t>코스닥</t>
        </is>
      </c>
      <c r="D4908" s="2" t="inlineStr">
        <is>
          <t>335870</t>
        </is>
      </c>
      <c r="E4908" s="3" t="inlineStr">
        <is>
          <t>주주총회소집결의              (임시주주총회)</t>
        </is>
      </c>
      <c r="F4908" s="3" t="inlineStr">
        <is>
          <t>윙스풋</t>
        </is>
      </c>
      <c r="G4908" s="2" t="inlineStr">
        <is>
          <t>20260610900466</t>
        </is>
      </c>
      <c r="H4908" s="8">
        <f>HYPERLINK("https://dart.fss.or.kr/dsaf001/main.do?rcpNo=20260610900466", "공시열람")</f>
        <v/>
      </c>
    </row>
    <row r="4909">
      <c r="A4909" s="2" t="inlineStr">
        <is>
          <t>2026-06-10</t>
        </is>
      </c>
      <c r="B4909" s="3" t="inlineStr">
        <is>
          <t>한세엠케이</t>
        </is>
      </c>
      <c r="C4909" s="2" t="inlineStr">
        <is>
          <t>코스피</t>
        </is>
      </c>
      <c r="D4909" s="2" t="inlineStr">
        <is>
          <t>069640</t>
        </is>
      </c>
      <c r="E4909" s="3" t="inlineStr">
        <is>
          <t xml:space="preserve">임시주주총회결과              </t>
        </is>
      </c>
      <c r="F4909" s="3" t="inlineStr">
        <is>
          <t>한세엠케이</t>
        </is>
      </c>
      <c r="G4909" s="2" t="inlineStr">
        <is>
          <t>20260610800443</t>
        </is>
      </c>
      <c r="H4909" s="8">
        <f>HYPERLINK("https://dart.fss.or.kr/dsaf001/main.do?rcpNo=20260610800443", "공시열람")</f>
        <v/>
      </c>
    </row>
    <row r="4910">
      <c r="A4910" s="2" t="inlineStr">
        <is>
          <t>2026-06-10</t>
        </is>
      </c>
      <c r="B4910" s="3" t="inlineStr">
        <is>
          <t>코디</t>
        </is>
      </c>
      <c r="C4910" s="2" t="inlineStr">
        <is>
          <t>코스닥</t>
        </is>
      </c>
      <c r="D4910" s="2" t="inlineStr">
        <is>
          <t>080530</t>
        </is>
      </c>
      <c r="E4910" s="3" t="inlineStr">
        <is>
          <t xml:space="preserve">주주총회소집결의              </t>
        </is>
      </c>
      <c r="F4910" s="3" t="inlineStr">
        <is>
          <t>코디</t>
        </is>
      </c>
      <c r="G4910" s="2" t="inlineStr">
        <is>
          <t>20260610900361</t>
        </is>
      </c>
      <c r="H4910" s="8">
        <f>HYPERLINK("https://dart.fss.or.kr/dsaf001/main.do?rcpNo=20260610900361", "공시열람")</f>
        <v/>
      </c>
    </row>
    <row r="4911">
      <c r="A4911" s="2" t="inlineStr">
        <is>
          <t>2026-06-10</t>
        </is>
      </c>
      <c r="B4911" s="3" t="inlineStr">
        <is>
          <t>HPSP</t>
        </is>
      </c>
      <c r="C4911" s="2" t="inlineStr">
        <is>
          <t>코스닥</t>
        </is>
      </c>
      <c r="D4911" s="2" t="inlineStr">
        <is>
          <t>403870</t>
        </is>
      </c>
      <c r="E4911" s="3" t="inlineStr">
        <is>
          <t>[기재정정]주주총회소집결의              (임시주주총회)</t>
        </is>
      </c>
      <c r="F4911" s="3" t="inlineStr">
        <is>
          <t>HPSP</t>
        </is>
      </c>
      <c r="G4911" s="2" t="inlineStr">
        <is>
          <t>20260610900349</t>
        </is>
      </c>
      <c r="H4911" s="8">
        <f>HYPERLINK("https://dart.fss.or.kr/dsaf001/main.do?rcpNo=20260610900349", "공시열람")</f>
        <v/>
      </c>
    </row>
    <row r="4912">
      <c r="A4912" s="2" t="inlineStr">
        <is>
          <t>2026-06-10</t>
        </is>
      </c>
      <c r="B4912" s="3" t="inlineStr">
        <is>
          <t>나무기술</t>
        </is>
      </c>
      <c r="C4912" s="2" t="inlineStr">
        <is>
          <t>코스닥</t>
        </is>
      </c>
      <c r="D4912" s="2" t="inlineStr">
        <is>
          <t>242040</t>
        </is>
      </c>
      <c r="E4912" s="3" t="inlineStr">
        <is>
          <t xml:space="preserve">[첨부정정]주주총회소집결의              </t>
        </is>
      </c>
      <c r="F4912" s="3" t="inlineStr">
        <is>
          <t>나무기술</t>
        </is>
      </c>
      <c r="G4912" s="2" t="inlineStr">
        <is>
          <t>20260610900381</t>
        </is>
      </c>
      <c r="H4912" s="8">
        <f>HYPERLINK("https://dart.fss.or.kr/dsaf001/main.do?rcpNo=20260610900381", "공시열람")</f>
        <v/>
      </c>
    </row>
    <row r="4913">
      <c r="A4913" s="2" t="inlineStr">
        <is>
          <t>2026-06-10</t>
        </is>
      </c>
      <c r="B4913" s="3" t="inlineStr">
        <is>
          <t>선진뷰티사이언스</t>
        </is>
      </c>
      <c r="C4913" s="2" t="inlineStr">
        <is>
          <t>코스닥</t>
        </is>
      </c>
      <c r="D4913" s="2" t="inlineStr">
        <is>
          <t>086710</t>
        </is>
      </c>
      <c r="E4913" s="3" t="inlineStr">
        <is>
          <t xml:space="preserve">임시주주총회결과              </t>
        </is>
      </c>
      <c r="F4913" s="3" t="inlineStr">
        <is>
          <t>선진뷰티사이언스</t>
        </is>
      </c>
      <c r="G4913" s="2" t="inlineStr">
        <is>
          <t>20260610900411</t>
        </is>
      </c>
      <c r="H4913" s="8">
        <f>HYPERLINK("https://dart.fss.or.kr/dsaf001/main.do?rcpNo=20260610900411", "공시열람")</f>
        <v/>
      </c>
    </row>
    <row r="4914">
      <c r="A4914" s="2" t="inlineStr">
        <is>
          <t>2026-06-10</t>
        </is>
      </c>
      <c r="B4914" s="3" t="inlineStr">
        <is>
          <t>메이슨캐피탈</t>
        </is>
      </c>
      <c r="C4914" s="2" t="inlineStr">
        <is>
          <t>코스닥</t>
        </is>
      </c>
      <c r="D4914" s="2" t="inlineStr">
        <is>
          <t>021880</t>
        </is>
      </c>
      <c r="E4914" s="3" t="inlineStr">
        <is>
          <t xml:space="preserve">주주총회소집결의              </t>
        </is>
      </c>
      <c r="F4914" s="3" t="inlineStr">
        <is>
          <t>메이슨캐피탈</t>
        </is>
      </c>
      <c r="G4914" s="2" t="inlineStr">
        <is>
          <t>20260610900406</t>
        </is>
      </c>
      <c r="H4914" s="8">
        <f>HYPERLINK("https://dart.fss.or.kr/dsaf001/main.do?rcpNo=20260610900406", "공시열람")</f>
        <v/>
      </c>
    </row>
    <row r="4915">
      <c r="A4915" s="2" t="inlineStr">
        <is>
          <t>2026-06-10</t>
        </is>
      </c>
      <c r="B4915" s="3" t="inlineStr">
        <is>
          <t>신풍</t>
        </is>
      </c>
      <c r="C4915" s="2" t="inlineStr">
        <is>
          <t>코스피</t>
        </is>
      </c>
      <c r="D4915" s="2" t="inlineStr">
        <is>
          <t>002870</t>
        </is>
      </c>
      <c r="E4915" s="3" t="inlineStr">
        <is>
          <t xml:space="preserve">주주총회소집결의              </t>
        </is>
      </c>
      <c r="F4915" s="3" t="inlineStr">
        <is>
          <t>신풍</t>
        </is>
      </c>
      <c r="G4915" s="2" t="inlineStr">
        <is>
          <t>20260610800356</t>
        </is>
      </c>
      <c r="H4915" s="8">
        <f>HYPERLINK("https://dart.fss.or.kr/dsaf001/main.do?rcpNo=20260610800356", "공시열람")</f>
        <v/>
      </c>
    </row>
    <row r="4916">
      <c r="A4916" s="2" t="inlineStr">
        <is>
          <t>2026-06-10</t>
        </is>
      </c>
      <c r="B4916" s="3" t="inlineStr">
        <is>
          <t>러셀</t>
        </is>
      </c>
      <c r="C4916" s="2" t="inlineStr">
        <is>
          <t>코스닥</t>
        </is>
      </c>
      <c r="D4916" s="2" t="inlineStr">
        <is>
          <t>217500</t>
        </is>
      </c>
      <c r="E4916" s="3" t="inlineStr">
        <is>
          <t>주주총회소집공고</t>
        </is>
      </c>
      <c r="F4916" s="3" t="inlineStr">
        <is>
          <t>러셀</t>
        </is>
      </c>
      <c r="G4916" s="2" t="inlineStr">
        <is>
          <t>20260610000195</t>
        </is>
      </c>
      <c r="H4916" s="8">
        <f>HYPERLINK("https://dart.fss.or.kr/dsaf001/main.do?rcpNo=20260610000195", "공시열람")</f>
        <v/>
      </c>
    </row>
    <row r="4917">
      <c r="A4917" s="2" t="inlineStr">
        <is>
          <t>2026-06-10</t>
        </is>
      </c>
      <c r="B4917" s="3" t="inlineStr">
        <is>
          <t>아모그린텍</t>
        </is>
      </c>
      <c r="C4917" s="2" t="inlineStr">
        <is>
          <t>코스닥</t>
        </is>
      </c>
      <c r="D4917" s="2" t="inlineStr">
        <is>
          <t>125210</t>
        </is>
      </c>
      <c r="E4917" s="3" t="inlineStr">
        <is>
          <t xml:space="preserve">임시주주총회결과              </t>
        </is>
      </c>
      <c r="F4917" s="3" t="inlineStr">
        <is>
          <t>아모그린텍</t>
        </is>
      </c>
      <c r="G4917" s="2" t="inlineStr">
        <is>
          <t>20260610900200</t>
        </is>
      </c>
      <c r="H4917" s="8">
        <f>HYPERLINK("https://dart.fss.or.kr/dsaf001/main.do?rcpNo=20260610900200", "공시열람")</f>
        <v/>
      </c>
    </row>
    <row r="4918">
      <c r="A4918" s="2" t="inlineStr">
        <is>
          <t>2026-06-10</t>
        </is>
      </c>
      <c r="B4918" s="3" t="inlineStr">
        <is>
          <t>티에스아이</t>
        </is>
      </c>
      <c r="C4918" s="2" t="inlineStr">
        <is>
          <t>코스닥</t>
        </is>
      </c>
      <c r="D4918" s="2" t="inlineStr">
        <is>
          <t>277880</t>
        </is>
      </c>
      <c r="E4918" s="3" t="inlineStr">
        <is>
          <t>주주총회소집공고</t>
        </is>
      </c>
      <c r="F4918" s="3" t="inlineStr">
        <is>
          <t>티에스아이</t>
        </is>
      </c>
      <c r="G4918" s="2" t="inlineStr">
        <is>
          <t>20260610000106</t>
        </is>
      </c>
      <c r="H4918" s="8">
        <f>HYPERLINK("https://dart.fss.or.kr/dsaf001/main.do?rcpNo=20260610000106", "공시열람")</f>
        <v/>
      </c>
    </row>
    <row r="4919">
      <c r="A4919" s="2" t="inlineStr">
        <is>
          <t>2026-06-10</t>
        </is>
      </c>
      <c r="B4919" s="3" t="inlineStr">
        <is>
          <t>이지케어텍</t>
        </is>
      </c>
      <c r="C4919" s="2" t="inlineStr">
        <is>
          <t>코스닥</t>
        </is>
      </c>
      <c r="D4919" s="2" t="inlineStr">
        <is>
          <t>099750</t>
        </is>
      </c>
      <c r="E4919" s="3" t="inlineStr">
        <is>
          <t>주주총회소집공고</t>
        </is>
      </c>
      <c r="F4919" s="3" t="inlineStr">
        <is>
          <t>이지케어텍</t>
        </is>
      </c>
      <c r="G4919" s="2" t="inlineStr">
        <is>
          <t>20260610000056</t>
        </is>
      </c>
      <c r="H4919" s="8">
        <f>HYPERLINK("https://dart.fss.or.kr/dsaf001/main.do?rcpNo=20260610000056", "공시열람")</f>
        <v/>
      </c>
    </row>
    <row r="4920">
      <c r="A4920" s="2" t="inlineStr">
        <is>
          <t>2026-06-10</t>
        </is>
      </c>
      <c r="B4920" s="3" t="inlineStr">
        <is>
          <t>엠앤씨솔루션</t>
        </is>
      </c>
      <c r="C4920" s="2" t="inlineStr">
        <is>
          <t>코스피</t>
        </is>
      </c>
      <c r="D4920" s="2" t="inlineStr">
        <is>
          <t>484870</t>
        </is>
      </c>
      <c r="E4920" s="3" t="inlineStr">
        <is>
          <t>주주총회소집공고</t>
        </is>
      </c>
      <c r="F4920" s="3" t="inlineStr">
        <is>
          <t>엠앤씨솔루션</t>
        </is>
      </c>
      <c r="G4920" s="2" t="inlineStr">
        <is>
          <t>20260610000029</t>
        </is>
      </c>
      <c r="H4920" s="8">
        <f>HYPERLINK("https://dart.fss.or.kr/dsaf001/main.do?rcpNo=20260610000029", "공시열람")</f>
        <v/>
      </c>
    </row>
    <row r="4921">
      <c r="A4921" s="2" t="inlineStr">
        <is>
          <t>2026-06-11 (정정: 2026-06-25)</t>
        </is>
      </c>
      <c r="B4921" s="3" t="inlineStr">
        <is>
          <t>CG인바이츠</t>
        </is>
      </c>
      <c r="C4921" s="2" t="inlineStr">
        <is>
          <t>코스닥</t>
        </is>
      </c>
      <c r="D4921" s="2" t="inlineStr">
        <is>
          <t>083790</t>
        </is>
      </c>
      <c r="E4921" s="3" t="inlineStr">
        <is>
          <t>주주총회소집공고 (정정: 20260625)</t>
        </is>
      </c>
      <c r="F4921" s="3" t="inlineStr">
        <is>
          <t>CG인바이츠</t>
        </is>
      </c>
      <c r="G4921" s="2" t="inlineStr">
        <is>
          <t>20260625000170</t>
        </is>
      </c>
      <c r="H4921" s="8">
        <f>HYPERLINK("https://dart.fss.or.kr/dsaf001/main.do?rcpNo=20260625000170", "공시열람")</f>
        <v/>
      </c>
    </row>
    <row r="4922">
      <c r="A4922" s="2" t="inlineStr">
        <is>
          <t>2026-06-11</t>
        </is>
      </c>
      <c r="B4922" s="3" t="inlineStr">
        <is>
          <t>씨아이에스</t>
        </is>
      </c>
      <c r="C4922" s="2" t="inlineStr">
        <is>
          <t>코스닥</t>
        </is>
      </c>
      <c r="D4922" s="2" t="inlineStr">
        <is>
          <t>222080</t>
        </is>
      </c>
      <c r="E4922" s="3" t="inlineStr">
        <is>
          <t xml:space="preserve">임시주주총회결과              </t>
        </is>
      </c>
      <c r="F4922" s="3" t="inlineStr">
        <is>
          <t>씨아이에스</t>
        </is>
      </c>
      <c r="G4922" s="2" t="inlineStr">
        <is>
          <t>20260611900796</t>
        </is>
      </c>
      <c r="H4922" s="8">
        <f>HYPERLINK("https://dart.fss.or.kr/dsaf001/main.do?rcpNo=20260611900796", "공시열람")</f>
        <v/>
      </c>
    </row>
    <row r="4923">
      <c r="A4923" s="2" t="inlineStr">
        <is>
          <t>2026-06-11 (정정: 2026-06-17)</t>
        </is>
      </c>
      <c r="B4923" s="3" t="inlineStr">
        <is>
          <t>광진실업</t>
        </is>
      </c>
      <c r="C4923" s="2" t="inlineStr">
        <is>
          <t>코스닥</t>
        </is>
      </c>
      <c r="D4923" s="2" t="inlineStr">
        <is>
          <t>026910</t>
        </is>
      </c>
      <c r="E4923" s="3" t="inlineStr">
        <is>
          <t>주주총회소집공고 (정정: 20260617)</t>
        </is>
      </c>
      <c r="F4923" s="3" t="inlineStr">
        <is>
          <t>광진실업</t>
        </is>
      </c>
      <c r="G4923" s="2" t="inlineStr">
        <is>
          <t>20260617000312</t>
        </is>
      </c>
      <c r="H4923" s="8">
        <f>HYPERLINK("https://dart.fss.or.kr/dsaf001/main.do?rcpNo=20260617000312", "공시열람")</f>
        <v/>
      </c>
    </row>
    <row r="4924">
      <c r="A4924" s="2" t="inlineStr">
        <is>
          <t>2026-06-11</t>
        </is>
      </c>
      <c r="B4924" s="3" t="inlineStr">
        <is>
          <t>CG인바이츠</t>
        </is>
      </c>
      <c r="C4924" s="2" t="inlineStr">
        <is>
          <t>코스닥</t>
        </is>
      </c>
      <c r="D4924" s="2" t="inlineStr">
        <is>
          <t>083790</t>
        </is>
      </c>
      <c r="E4924" s="3" t="inlineStr">
        <is>
          <t>주주총회소집결의              (임시주주총회)</t>
        </is>
      </c>
      <c r="F4924" s="3" t="inlineStr">
        <is>
          <t>CG인바이츠</t>
        </is>
      </c>
      <c r="G4924" s="2" t="inlineStr">
        <is>
          <t>20260611900789</t>
        </is>
      </c>
      <c r="H4924" s="8">
        <f>HYPERLINK("https://dart.fss.or.kr/dsaf001/main.do?rcpNo=20260611900789", "공시열람")</f>
        <v/>
      </c>
    </row>
    <row r="4925">
      <c r="A4925" s="2" t="inlineStr">
        <is>
          <t>2026-06-11</t>
        </is>
      </c>
      <c r="B4925" s="3" t="inlineStr">
        <is>
          <t>진원생명과학</t>
        </is>
      </c>
      <c r="C4925" s="2" t="inlineStr">
        <is>
          <t>코스피</t>
        </is>
      </c>
      <c r="D4925" s="2" t="inlineStr">
        <is>
          <t>011000</t>
        </is>
      </c>
      <c r="E4925" s="3" t="inlineStr">
        <is>
          <t xml:space="preserve">임시주주총회결과              </t>
        </is>
      </c>
      <c r="F4925" s="3" t="inlineStr">
        <is>
          <t>진원생명과학</t>
        </is>
      </c>
      <c r="G4925" s="2" t="inlineStr">
        <is>
          <t>20260611800766</t>
        </is>
      </c>
      <c r="H4925" s="8">
        <f>HYPERLINK("https://dart.fss.or.kr/dsaf001/main.do?rcpNo=20260611800766", "공시열람")</f>
        <v/>
      </c>
    </row>
    <row r="4926">
      <c r="A4926" s="2" t="inlineStr">
        <is>
          <t>2026-06-11</t>
        </is>
      </c>
      <c r="B4926" s="3" t="inlineStr">
        <is>
          <t>네오위즈홀딩스</t>
        </is>
      </c>
      <c r="C4926" s="2" t="inlineStr">
        <is>
          <t>코스닥</t>
        </is>
      </c>
      <c r="D4926" s="2" t="inlineStr">
        <is>
          <t>042420</t>
        </is>
      </c>
      <c r="E4926" s="3" t="inlineStr">
        <is>
          <t>주요사항보고서(회사합병결정)(자회사의 주요경영사항)              (소규모합병)</t>
        </is>
      </c>
      <c r="F4926" s="3" t="inlineStr">
        <is>
          <t>네오위즈홀딩스</t>
        </is>
      </c>
      <c r="G4926" s="2" t="inlineStr">
        <is>
          <t>20260611900782</t>
        </is>
      </c>
      <c r="H4926" s="8">
        <f>HYPERLINK("https://dart.fss.or.kr/dsaf001/main.do?rcpNo=20260611900782", "공시열람")</f>
        <v/>
      </c>
    </row>
    <row r="4927">
      <c r="A4927" s="2" t="inlineStr">
        <is>
          <t>2026-06-11</t>
        </is>
      </c>
      <c r="B4927" s="3" t="inlineStr">
        <is>
          <t>네오위즈</t>
        </is>
      </c>
      <c r="C4927" s="2" t="inlineStr">
        <is>
          <t>코스닥</t>
        </is>
      </c>
      <c r="D4927" s="2" t="inlineStr">
        <is>
          <t>095660</t>
        </is>
      </c>
      <c r="E4927" s="3" t="inlineStr">
        <is>
          <t>주요사항보고서(회사합병결정)</t>
        </is>
      </c>
      <c r="F4927" s="3" t="inlineStr">
        <is>
          <t>네오위즈</t>
        </is>
      </c>
      <c r="G4927" s="2" t="inlineStr">
        <is>
          <t>20260611000607</t>
        </is>
      </c>
      <c r="H4927" s="8">
        <f>HYPERLINK("https://dart.fss.or.kr/dsaf001/main.do?rcpNo=20260611000607", "공시열람")</f>
        <v/>
      </c>
    </row>
    <row r="4928">
      <c r="A4928" s="2" t="inlineStr">
        <is>
          <t>2026-06-11</t>
        </is>
      </c>
      <c r="B4928" s="3" t="inlineStr">
        <is>
          <t>YTN</t>
        </is>
      </c>
      <c r="C4928" s="2" t="inlineStr">
        <is>
          <t>코스닥</t>
        </is>
      </c>
      <c r="D4928" s="2" t="inlineStr">
        <is>
          <t>040300</t>
        </is>
      </c>
      <c r="E4928" s="3" t="inlineStr">
        <is>
          <t>주주총회소집공고</t>
        </is>
      </c>
      <c r="F4928" s="3" t="inlineStr">
        <is>
          <t>YTN</t>
        </is>
      </c>
      <c r="G4928" s="2" t="inlineStr">
        <is>
          <t>20260611000544</t>
        </is>
      </c>
      <c r="H4928" s="8">
        <f>HYPERLINK("https://dart.fss.or.kr/dsaf001/main.do?rcpNo=20260611000544", "공시열람")</f>
        <v/>
      </c>
    </row>
    <row r="4929">
      <c r="A4929" s="2" t="inlineStr">
        <is>
          <t>2026-06-11</t>
        </is>
      </c>
      <c r="B4929" s="3" t="inlineStr">
        <is>
          <t>마스턴프리미어리츠</t>
        </is>
      </c>
      <c r="C4929" s="2" t="inlineStr">
        <is>
          <t>코스피</t>
        </is>
      </c>
      <c r="D4929" s="2" t="inlineStr">
        <is>
          <t>357430</t>
        </is>
      </c>
      <c r="E4929" s="3" t="inlineStr">
        <is>
          <t>주주총회소집공고</t>
        </is>
      </c>
      <c r="F4929" s="3" t="inlineStr">
        <is>
          <t>마스턴프리미어리츠</t>
        </is>
      </c>
      <c r="G4929" s="2" t="inlineStr">
        <is>
          <t>20260611000497</t>
        </is>
      </c>
      <c r="H4929" s="8">
        <f>HYPERLINK("https://dart.fss.or.kr/dsaf001/main.do?rcpNo=20260611000497", "공시열람")</f>
        <v/>
      </c>
    </row>
    <row r="4930">
      <c r="A4930" s="2" t="inlineStr">
        <is>
          <t>2026-06-11 (정정: 2026-06-11)</t>
        </is>
      </c>
      <c r="B4930" s="3" t="inlineStr">
        <is>
          <t>오성첨단소재</t>
        </is>
      </c>
      <c r="C4930" s="2" t="inlineStr">
        <is>
          <t>코스닥</t>
        </is>
      </c>
      <c r="D4930" s="2" t="inlineStr">
        <is>
          <t>052420</t>
        </is>
      </c>
      <c r="E4930" s="3" t="inlineStr">
        <is>
          <t>주주총회소집공고 (정정: 20260611)</t>
        </is>
      </c>
      <c r="F4930" s="3" t="inlineStr">
        <is>
          <t>오성첨단소재</t>
        </is>
      </c>
      <c r="G4930" s="2" t="inlineStr">
        <is>
          <t>20260611900471</t>
        </is>
      </c>
      <c r="H4930" s="8">
        <f>HYPERLINK("https://dart.fss.or.kr/dsaf001/main.do?rcpNo=20260611900471", "공시열람")</f>
        <v/>
      </c>
    </row>
    <row r="4931">
      <c r="A4931" s="2" t="inlineStr">
        <is>
          <t>2026-06-11</t>
        </is>
      </c>
      <c r="B4931" s="3" t="inlineStr">
        <is>
          <t>아이컴포넌트</t>
        </is>
      </c>
      <c r="C4931" s="2" t="inlineStr">
        <is>
          <t>코스닥</t>
        </is>
      </c>
      <c r="D4931" s="2" t="inlineStr">
        <is>
          <t>059100</t>
        </is>
      </c>
      <c r="E4931" s="3" t="inlineStr">
        <is>
          <t>주주총회소집공고</t>
        </is>
      </c>
      <c r="F4931" s="3" t="inlineStr">
        <is>
          <t>아이컴포넌트</t>
        </is>
      </c>
      <c r="G4931" s="2" t="inlineStr">
        <is>
          <t>20260611000474</t>
        </is>
      </c>
      <c r="H4931" s="8">
        <f>HYPERLINK("https://dart.fss.or.kr/dsaf001/main.do?rcpNo=20260611000474", "공시열람")</f>
        <v/>
      </c>
    </row>
    <row r="4932">
      <c r="A4932" s="2" t="inlineStr">
        <is>
          <t>2026-06-11</t>
        </is>
      </c>
      <c r="B4932" s="3" t="inlineStr">
        <is>
          <t>동일기연</t>
        </is>
      </c>
      <c r="C4932" s="2" t="inlineStr">
        <is>
          <t>코스닥</t>
        </is>
      </c>
      <c r="D4932" s="2" t="inlineStr">
        <is>
          <t>032960</t>
        </is>
      </c>
      <c r="E4932" s="3" t="inlineStr">
        <is>
          <t xml:space="preserve">임시주주총회결과              </t>
        </is>
      </c>
      <c r="F4932" s="3" t="inlineStr">
        <is>
          <t>동일기연</t>
        </is>
      </c>
      <c r="G4932" s="2" t="inlineStr">
        <is>
          <t>20260611900441</t>
        </is>
      </c>
      <c r="H4932" s="8">
        <f>HYPERLINK("https://dart.fss.or.kr/dsaf001/main.do?rcpNo=20260611900441", "공시열람")</f>
        <v/>
      </c>
    </row>
    <row r="4933">
      <c r="A4933" s="2" t="inlineStr">
        <is>
          <t>2026-06-11</t>
        </is>
      </c>
      <c r="B4933" s="3" t="inlineStr">
        <is>
          <t>포커스에이아이</t>
        </is>
      </c>
      <c r="C4933" s="2" t="inlineStr">
        <is>
          <t>코스닥</t>
        </is>
      </c>
      <c r="D4933" s="2" t="inlineStr">
        <is>
          <t>331380</t>
        </is>
      </c>
      <c r="E4933" s="3" t="inlineStr">
        <is>
          <t>주주총회소집공고</t>
        </is>
      </c>
      <c r="F4933" s="3" t="inlineStr">
        <is>
          <t>포커스에이아이</t>
        </is>
      </c>
      <c r="G4933" s="2" t="inlineStr">
        <is>
          <t>20260611000405</t>
        </is>
      </c>
      <c r="H4933" s="8">
        <f>HYPERLINK("https://dart.fss.or.kr/dsaf001/main.do?rcpNo=20260611000405", "공시열람")</f>
        <v/>
      </c>
    </row>
    <row r="4934">
      <c r="A4934" s="2" t="inlineStr">
        <is>
          <t>2026-06-11</t>
        </is>
      </c>
      <c r="B4934" s="3" t="inlineStr">
        <is>
          <t>수프로</t>
        </is>
      </c>
      <c r="C4934" s="2" t="inlineStr">
        <is>
          <t>코넥스</t>
        </is>
      </c>
      <c r="D4934" s="2" t="inlineStr">
        <is>
          <t>185190</t>
        </is>
      </c>
      <c r="E4934" s="3" t="inlineStr">
        <is>
          <t>주주총회소집공고</t>
        </is>
      </c>
      <c r="F4934" s="3" t="inlineStr">
        <is>
          <t>수프로</t>
        </is>
      </c>
      <c r="G4934" s="2" t="inlineStr">
        <is>
          <t>20260611000360</t>
        </is>
      </c>
      <c r="H4934" s="8">
        <f>HYPERLINK("https://dart.fss.or.kr/dsaf001/main.do?rcpNo=20260611000360", "공시열람")</f>
        <v/>
      </c>
    </row>
    <row r="4935">
      <c r="A4935" s="2" t="inlineStr">
        <is>
          <t>2026-06-11</t>
        </is>
      </c>
      <c r="B4935" s="3" t="inlineStr">
        <is>
          <t>모바일어플라이언스</t>
        </is>
      </c>
      <c r="C4935" s="2" t="inlineStr">
        <is>
          <t>코스닥</t>
        </is>
      </c>
      <c r="D4935" s="2" t="inlineStr">
        <is>
          <t>087260</t>
        </is>
      </c>
      <c r="E4935" s="3" t="inlineStr">
        <is>
          <t xml:space="preserve">[기재정정]최대주주변경              </t>
        </is>
      </c>
      <c r="F4935" s="3" t="inlineStr">
        <is>
          <t>모바일어플라이언스</t>
        </is>
      </c>
      <c r="G4935" s="2" t="inlineStr">
        <is>
          <t>20260611900370</t>
        </is>
      </c>
      <c r="H4935" s="8">
        <f>HYPERLINK("https://dart.fss.or.kr/dsaf001/main.do?rcpNo=20260611900370", "공시열람")</f>
        <v/>
      </c>
    </row>
    <row r="4936">
      <c r="A4936" s="2" t="inlineStr">
        <is>
          <t>2026-06-11</t>
        </is>
      </c>
      <c r="B4936" s="3" t="inlineStr">
        <is>
          <t>수프로</t>
        </is>
      </c>
      <c r="C4936" s="2" t="inlineStr">
        <is>
          <t>코넥스</t>
        </is>
      </c>
      <c r="D4936" s="2" t="inlineStr">
        <is>
          <t>185190</t>
        </is>
      </c>
      <c r="E4936" s="3" t="inlineStr">
        <is>
          <t xml:space="preserve">주주총회소집결의              </t>
        </is>
      </c>
      <c r="F4936" s="3" t="inlineStr">
        <is>
          <t>수프로</t>
        </is>
      </c>
      <c r="G4936" s="2" t="inlineStr">
        <is>
          <t>20260611600366</t>
        </is>
      </c>
      <c r="H4936" s="8">
        <f>HYPERLINK("https://dart.fss.or.kr/dsaf001/main.do?rcpNo=20260611600366", "공시열람")</f>
        <v/>
      </c>
    </row>
    <row r="4937">
      <c r="A4937" s="2" t="inlineStr">
        <is>
          <t>2026-06-11</t>
        </is>
      </c>
      <c r="B4937" s="3" t="inlineStr">
        <is>
          <t>코디</t>
        </is>
      </c>
      <c r="C4937" s="2" t="inlineStr">
        <is>
          <t>코스닥</t>
        </is>
      </c>
      <c r="D4937" s="2" t="inlineStr">
        <is>
          <t>080530</t>
        </is>
      </c>
      <c r="E4937" s="3" t="inlineStr">
        <is>
          <t xml:space="preserve">[첨부정정]주주총회소집결의              </t>
        </is>
      </c>
      <c r="F4937" s="3" t="inlineStr">
        <is>
          <t>코디</t>
        </is>
      </c>
      <c r="G4937" s="2" t="inlineStr">
        <is>
          <t>20260611900288</t>
        </is>
      </c>
      <c r="H4937" s="8">
        <f>HYPERLINK("https://dart.fss.or.kr/dsaf001/main.do?rcpNo=20260611900288", "공시열람")</f>
        <v/>
      </c>
    </row>
    <row r="4938">
      <c r="A4938" s="2" t="inlineStr">
        <is>
          <t>2026-06-11</t>
        </is>
      </c>
      <c r="B4938" s="3" t="inlineStr">
        <is>
          <t>블랙야크아이앤씨</t>
        </is>
      </c>
      <c r="C4938" s="2" t="inlineStr">
        <is>
          <t>코스닥</t>
        </is>
      </c>
      <c r="D4938" s="2" t="inlineStr">
        <is>
          <t>478560</t>
        </is>
      </c>
      <c r="E4938" s="3" t="inlineStr">
        <is>
          <t>주주총회소집공고</t>
        </is>
      </c>
      <c r="F4938" s="3" t="inlineStr">
        <is>
          <t>블랙야크아이앤씨</t>
        </is>
      </c>
      <c r="G4938" s="2" t="inlineStr">
        <is>
          <t>20260611000334</t>
        </is>
      </c>
      <c r="H4938" s="8">
        <f>HYPERLINK("https://dart.fss.or.kr/dsaf001/main.do?rcpNo=20260611000334", "공시열람")</f>
        <v/>
      </c>
    </row>
    <row r="4939">
      <c r="A4939" s="2" t="inlineStr">
        <is>
          <t>2026-06-12</t>
        </is>
      </c>
      <c r="B4939" s="3" t="inlineStr">
        <is>
          <t>엔지켐생명과학</t>
        </is>
      </c>
      <c r="C4939" s="2" t="inlineStr">
        <is>
          <t>코스닥</t>
        </is>
      </c>
      <c r="D4939" s="2" t="inlineStr">
        <is>
          <t>183490</t>
        </is>
      </c>
      <c r="E4939" s="3" t="inlineStr">
        <is>
          <t>주주총회소집결의              (임시주주총회)</t>
        </is>
      </c>
      <c r="F4939" s="3" t="inlineStr">
        <is>
          <t>엔지켐생명과학</t>
        </is>
      </c>
      <c r="G4939" s="2" t="inlineStr">
        <is>
          <t>20260612901173</t>
        </is>
      </c>
      <c r="H4939" s="8">
        <f>HYPERLINK("https://dart.fss.or.kr/dsaf001/main.do?rcpNo=20260612901173", "공시열람")</f>
        <v/>
      </c>
    </row>
    <row r="4940">
      <c r="A4940" s="2" t="inlineStr">
        <is>
          <t>2026-06-12</t>
        </is>
      </c>
      <c r="B4940" s="3" t="inlineStr">
        <is>
          <t>위지윅스튜디오</t>
        </is>
      </c>
      <c r="C4940" s="2" t="inlineStr">
        <is>
          <t>코스닥</t>
        </is>
      </c>
      <c r="D4940" s="2" t="inlineStr">
        <is>
          <t>299900</t>
        </is>
      </c>
      <c r="E4940" s="3" t="inlineStr">
        <is>
          <t xml:space="preserve">임시주주총회결과              </t>
        </is>
      </c>
      <c r="F4940" s="3" t="inlineStr">
        <is>
          <t>위지윅스튜디오</t>
        </is>
      </c>
      <c r="G4940" s="2" t="inlineStr">
        <is>
          <t>20260612901099</t>
        </is>
      </c>
      <c r="H4940" s="8">
        <f>HYPERLINK("https://dart.fss.or.kr/dsaf001/main.do?rcpNo=20260612901099", "공시열람")</f>
        <v/>
      </c>
    </row>
    <row r="4941">
      <c r="A4941" s="2" t="inlineStr">
        <is>
          <t>2026-06-12</t>
        </is>
      </c>
      <c r="B4941" s="3" t="inlineStr">
        <is>
          <t>씨씨에스</t>
        </is>
      </c>
      <c r="C4941" s="2" t="inlineStr">
        <is>
          <t>코스닥</t>
        </is>
      </c>
      <c r="D4941" s="2" t="inlineStr">
        <is>
          <t>066790</t>
        </is>
      </c>
      <c r="E4941" s="3" t="inlineStr">
        <is>
          <t>소송등의제기ㆍ신청(경영권분쟁소송)              (임시총회소집허가 신청)</t>
        </is>
      </c>
      <c r="F4941" s="3" t="inlineStr">
        <is>
          <t>씨씨에스</t>
        </is>
      </c>
      <c r="G4941" s="2" t="inlineStr">
        <is>
          <t>20260612901045</t>
        </is>
      </c>
      <c r="H4941" s="8">
        <f>HYPERLINK("https://dart.fss.or.kr/dsaf001/main.do?rcpNo=20260612901045", "공시열람")</f>
        <v/>
      </c>
    </row>
    <row r="4942">
      <c r="A4942" s="2" t="inlineStr">
        <is>
          <t>2026-06-12</t>
        </is>
      </c>
      <c r="B4942" s="3" t="inlineStr">
        <is>
          <t>엔피</t>
        </is>
      </c>
      <c r="C4942" s="2" t="inlineStr">
        <is>
          <t>코스닥</t>
        </is>
      </c>
      <c r="D4942" s="2" t="inlineStr">
        <is>
          <t>291230</t>
        </is>
      </c>
      <c r="E4942" s="3" t="inlineStr">
        <is>
          <t xml:space="preserve">임시주주총회결과              </t>
        </is>
      </c>
      <c r="F4942" s="3" t="inlineStr">
        <is>
          <t>엔피</t>
        </is>
      </c>
      <c r="G4942" s="2" t="inlineStr">
        <is>
          <t>20260612900994</t>
        </is>
      </c>
      <c r="H4942" s="8">
        <f>HYPERLINK("https://dart.fss.or.kr/dsaf001/main.do?rcpNo=20260612900994", "공시열람")</f>
        <v/>
      </c>
    </row>
    <row r="4943">
      <c r="A4943" s="2" t="inlineStr">
        <is>
          <t>2026-06-12</t>
        </is>
      </c>
      <c r="B4943" s="3" t="inlineStr">
        <is>
          <t>씨앤투스</t>
        </is>
      </c>
      <c r="C4943" s="2" t="inlineStr">
        <is>
          <t>코스닥</t>
        </is>
      </c>
      <c r="D4943" s="2" t="inlineStr">
        <is>
          <t>352700</t>
        </is>
      </c>
      <c r="E4943" s="3" t="inlineStr">
        <is>
          <t xml:space="preserve">회사합병결정(종속회사의주요경영사항)              </t>
        </is>
      </c>
      <c r="F4943" s="3" t="inlineStr">
        <is>
          <t>씨앤투스</t>
        </is>
      </c>
      <c r="G4943" s="2" t="inlineStr">
        <is>
          <t>20260612901043</t>
        </is>
      </c>
      <c r="H4943" s="8">
        <f>HYPERLINK("https://dart.fss.or.kr/dsaf001/main.do?rcpNo=20260612901043", "공시열람")</f>
        <v/>
      </c>
    </row>
    <row r="4944">
      <c r="A4944" s="2" t="inlineStr">
        <is>
          <t>2026-06-12</t>
        </is>
      </c>
      <c r="B4944" s="3" t="inlineStr">
        <is>
          <t>서진시스템</t>
        </is>
      </c>
      <c r="C4944" s="2" t="inlineStr">
        <is>
          <t>코스닥</t>
        </is>
      </c>
      <c r="D4944" s="2" t="inlineStr">
        <is>
          <t>178320</t>
        </is>
      </c>
      <c r="E4944" s="3" t="inlineStr">
        <is>
          <t xml:space="preserve">최대주주변경을수반하는주식담보제공계약해제ㆍ취소등              </t>
        </is>
      </c>
      <c r="F4944" s="3" t="inlineStr">
        <is>
          <t>서진시스템</t>
        </is>
      </c>
      <c r="G4944" s="2" t="inlineStr">
        <is>
          <t>20260612900896</t>
        </is>
      </c>
      <c r="H4944" s="8">
        <f>HYPERLINK("https://dart.fss.or.kr/dsaf001/main.do?rcpNo=20260612900896", "공시열람")</f>
        <v/>
      </c>
    </row>
    <row r="4945">
      <c r="A4945" s="2" t="inlineStr">
        <is>
          <t>2026-06-12</t>
        </is>
      </c>
      <c r="B4945" s="3" t="inlineStr">
        <is>
          <t>월덱스</t>
        </is>
      </c>
      <c r="C4945" s="2" t="inlineStr">
        <is>
          <t>코스닥</t>
        </is>
      </c>
      <c r="D4945" s="2" t="inlineStr">
        <is>
          <t>101160</t>
        </is>
      </c>
      <c r="E4945" s="3" t="inlineStr">
        <is>
          <t>주주총회소집공고</t>
        </is>
      </c>
      <c r="F4945" s="3" t="inlineStr">
        <is>
          <t>월덱스</t>
        </is>
      </c>
      <c r="G4945" s="2" t="inlineStr">
        <is>
          <t>20260612000617</t>
        </is>
      </c>
      <c r="H4945" s="8">
        <f>HYPERLINK("https://dart.fss.or.kr/dsaf001/main.do?rcpNo=20260612000617", "공시열람")</f>
        <v/>
      </c>
    </row>
    <row r="4946">
      <c r="A4946" s="2" t="inlineStr">
        <is>
          <t>2026-06-12</t>
        </is>
      </c>
      <c r="B4946" s="3" t="inlineStr">
        <is>
          <t>웨이버스</t>
        </is>
      </c>
      <c r="C4946" s="2" t="inlineStr">
        <is>
          <t>코스닥</t>
        </is>
      </c>
      <c r="D4946" s="2" t="inlineStr">
        <is>
          <t>336060</t>
        </is>
      </c>
      <c r="E4946" s="3" t="inlineStr">
        <is>
          <t>주주총회소집공고</t>
        </is>
      </c>
      <c r="F4946" s="3" t="inlineStr">
        <is>
          <t>웨이버스</t>
        </is>
      </c>
      <c r="G4946" s="2" t="inlineStr">
        <is>
          <t>20260612000614</t>
        </is>
      </c>
      <c r="H4946" s="8">
        <f>HYPERLINK("https://dart.fss.or.kr/dsaf001/main.do?rcpNo=20260612000614", "공시열람")</f>
        <v/>
      </c>
    </row>
    <row r="4947">
      <c r="A4947" s="2" t="inlineStr">
        <is>
          <t>2026-06-12</t>
        </is>
      </c>
      <c r="B4947" s="3" t="inlineStr">
        <is>
          <t>크레오에스지</t>
        </is>
      </c>
      <c r="C4947" s="2" t="inlineStr">
        <is>
          <t>코스닥</t>
        </is>
      </c>
      <c r="D4947" s="2" t="inlineStr">
        <is>
          <t>040350</t>
        </is>
      </c>
      <c r="E4947" s="3" t="inlineStr">
        <is>
          <t xml:space="preserve">최대주주변경을수반하는주식담보제공계약체결              </t>
        </is>
      </c>
      <c r="F4947" s="3" t="inlineStr">
        <is>
          <t>크레오에스지</t>
        </is>
      </c>
      <c r="G4947" s="2" t="inlineStr">
        <is>
          <t>20260612900895</t>
        </is>
      </c>
      <c r="H4947" s="8">
        <f>HYPERLINK("https://dart.fss.or.kr/dsaf001/main.do?rcpNo=20260612900895", "공시열람")</f>
        <v/>
      </c>
    </row>
    <row r="4948">
      <c r="A4948" s="2" t="inlineStr">
        <is>
          <t>2026-06-12</t>
        </is>
      </c>
      <c r="B4948" s="3" t="inlineStr">
        <is>
          <t>국영지앤엠</t>
        </is>
      </c>
      <c r="C4948" s="2" t="inlineStr">
        <is>
          <t>코스닥</t>
        </is>
      </c>
      <c r="D4948" s="2" t="inlineStr">
        <is>
          <t>006050</t>
        </is>
      </c>
      <c r="E4948" s="3" t="inlineStr">
        <is>
          <t>주주총회소집결의              (임시주주총회)</t>
        </is>
      </c>
      <c r="F4948" s="3" t="inlineStr">
        <is>
          <t>국영지앤엠</t>
        </is>
      </c>
      <c r="G4948" s="2" t="inlineStr">
        <is>
          <t>20260612900666</t>
        </is>
      </c>
      <c r="H4948" s="8">
        <f>HYPERLINK("https://dart.fss.or.kr/dsaf001/main.do?rcpNo=20260612900666", "공시열람")</f>
        <v/>
      </c>
    </row>
    <row r="4949">
      <c r="A4949" s="2" t="inlineStr">
        <is>
          <t>2026-06-12</t>
        </is>
      </c>
      <c r="B4949" s="3" t="inlineStr">
        <is>
          <t>소룩스</t>
        </is>
      </c>
      <c r="C4949" s="2" t="inlineStr">
        <is>
          <t>코스닥</t>
        </is>
      </c>
      <c r="D4949" s="2" t="inlineStr">
        <is>
          <t>290690</t>
        </is>
      </c>
      <c r="E4949" s="3" t="inlineStr">
        <is>
          <t>주주총회소집공고</t>
        </is>
      </c>
      <c r="F4949" s="3" t="inlineStr">
        <is>
          <t>소룩스</t>
        </is>
      </c>
      <c r="G4949" s="2" t="inlineStr">
        <is>
          <t>20260612000545</t>
        </is>
      </c>
      <c r="H4949" s="8">
        <f>HYPERLINK("https://dart.fss.or.kr/dsaf001/main.do?rcpNo=20260612000545", "공시열람")</f>
        <v/>
      </c>
    </row>
    <row r="4950">
      <c r="A4950" s="2" t="inlineStr">
        <is>
          <t>2026-06-12</t>
        </is>
      </c>
      <c r="B4950" s="3" t="inlineStr">
        <is>
          <t>월덱스</t>
        </is>
      </c>
      <c r="C4950" s="2" t="inlineStr">
        <is>
          <t>코스닥</t>
        </is>
      </c>
      <c r="D4950" s="2" t="inlineStr">
        <is>
          <t>101160</t>
        </is>
      </c>
      <c r="E4950" s="3" t="inlineStr">
        <is>
          <t xml:space="preserve">[첨부정정]주주총회소집결의              </t>
        </is>
      </c>
      <c r="F4950" s="3" t="inlineStr">
        <is>
          <t>월덱스</t>
        </is>
      </c>
      <c r="G4950" s="2" t="inlineStr">
        <is>
          <t>20260612900767</t>
        </is>
      </c>
      <c r="H4950" s="8">
        <f>HYPERLINK("https://dart.fss.or.kr/dsaf001/main.do?rcpNo=20260612900767", "공시열람")</f>
        <v/>
      </c>
    </row>
    <row r="4951">
      <c r="A4951" s="2" t="inlineStr">
        <is>
          <t>2026-06-12</t>
        </is>
      </c>
      <c r="B4951" s="3" t="inlineStr">
        <is>
          <t>동원금속</t>
        </is>
      </c>
      <c r="C4951" s="2" t="inlineStr">
        <is>
          <t>코스피</t>
        </is>
      </c>
      <c r="D4951" s="2" t="inlineStr">
        <is>
          <t>018500</t>
        </is>
      </c>
      <c r="E4951" s="3" t="inlineStr">
        <is>
          <t>주주총회소집공고</t>
        </is>
      </c>
      <c r="F4951" s="3" t="inlineStr">
        <is>
          <t>동원금속</t>
        </is>
      </c>
      <c r="G4951" s="2" t="inlineStr">
        <is>
          <t>20260612000499</t>
        </is>
      </c>
      <c r="H4951" s="8">
        <f>HYPERLINK("https://dart.fss.or.kr/dsaf001/main.do?rcpNo=20260612000499", "공시열람")</f>
        <v/>
      </c>
    </row>
    <row r="4952">
      <c r="A4952" s="2" t="inlineStr">
        <is>
          <t>2026-06-12</t>
        </is>
      </c>
      <c r="B4952" s="3" t="inlineStr">
        <is>
          <t>와이바이오로직스</t>
        </is>
      </c>
      <c r="C4952" s="2" t="inlineStr">
        <is>
          <t>코스닥</t>
        </is>
      </c>
      <c r="D4952" s="2" t="inlineStr">
        <is>
          <t>338840</t>
        </is>
      </c>
      <c r="E4952" s="3" t="inlineStr">
        <is>
          <t>주주총회소집공고</t>
        </is>
      </c>
      <c r="F4952" s="3" t="inlineStr">
        <is>
          <t>와이바이오로직스</t>
        </is>
      </c>
      <c r="G4952" s="2" t="inlineStr">
        <is>
          <t>20260612000498</t>
        </is>
      </c>
      <c r="H4952" s="8">
        <f>HYPERLINK("https://dart.fss.or.kr/dsaf001/main.do?rcpNo=20260612000498", "공시열람")</f>
        <v/>
      </c>
    </row>
    <row r="4953">
      <c r="A4953" s="2" t="inlineStr">
        <is>
          <t>2026-06-12</t>
        </is>
      </c>
      <c r="B4953" s="3" t="inlineStr">
        <is>
          <t>덕양에너젠</t>
        </is>
      </c>
      <c r="C4953" s="2" t="inlineStr">
        <is>
          <t>코스닥</t>
        </is>
      </c>
      <c r="D4953" s="2" t="inlineStr">
        <is>
          <t>0001A0</t>
        </is>
      </c>
      <c r="E4953" s="3" t="inlineStr">
        <is>
          <t>주주총회소집공고</t>
        </is>
      </c>
      <c r="F4953" s="3" t="inlineStr">
        <is>
          <t>덕양에너젠</t>
        </is>
      </c>
      <c r="G4953" s="2" t="inlineStr">
        <is>
          <t>20260612000489</t>
        </is>
      </c>
      <c r="H4953" s="8">
        <f>HYPERLINK("https://dart.fss.or.kr/dsaf001/main.do?rcpNo=20260612000489", "공시열람")</f>
        <v/>
      </c>
    </row>
    <row r="4954">
      <c r="A4954" s="2" t="inlineStr">
        <is>
          <t>2026-06-12</t>
        </is>
      </c>
      <c r="B4954" s="3" t="inlineStr">
        <is>
          <t>모바일어플라이언스</t>
        </is>
      </c>
      <c r="C4954" s="2" t="inlineStr">
        <is>
          <t>코스닥</t>
        </is>
      </c>
      <c r="D4954" s="2" t="inlineStr">
        <is>
          <t>087260</t>
        </is>
      </c>
      <c r="E4954" s="3" t="inlineStr">
        <is>
          <t>주주총회소집공고</t>
        </is>
      </c>
      <c r="F4954" s="3" t="inlineStr">
        <is>
          <t>모바일어플라이언스</t>
        </is>
      </c>
      <c r="G4954" s="2" t="inlineStr">
        <is>
          <t>20260612000475</t>
        </is>
      </c>
      <c r="H4954" s="8">
        <f>HYPERLINK("https://dart.fss.or.kr/dsaf001/main.do?rcpNo=20260612000475", "공시열람")</f>
        <v/>
      </c>
    </row>
    <row r="4955">
      <c r="A4955" s="2" t="inlineStr">
        <is>
          <t>2026-06-12</t>
        </is>
      </c>
      <c r="B4955" s="3" t="inlineStr">
        <is>
          <t>오리엔트바이오</t>
        </is>
      </c>
      <c r="C4955" s="2" t="inlineStr">
        <is>
          <t>코스피</t>
        </is>
      </c>
      <c r="D4955" s="2" t="inlineStr">
        <is>
          <t>002630</t>
        </is>
      </c>
      <c r="E4955" s="3" t="inlineStr">
        <is>
          <t xml:space="preserve">주주총회소집결의              </t>
        </is>
      </c>
      <c r="F4955" s="3" t="inlineStr">
        <is>
          <t>오리엔트바이오</t>
        </is>
      </c>
      <c r="G4955" s="2" t="inlineStr">
        <is>
          <t>20260612800693</t>
        </is>
      </c>
      <c r="H4955" s="8">
        <f>HYPERLINK("https://dart.fss.or.kr/dsaf001/main.do?rcpNo=20260612800693", "공시열람")</f>
        <v/>
      </c>
    </row>
    <row r="4956">
      <c r="A4956" s="2" t="inlineStr">
        <is>
          <t>2026-06-12 (정정: 2026-06-19)</t>
        </is>
      </c>
      <c r="B4956" s="3" t="inlineStr">
        <is>
          <t>오리엔트바이오</t>
        </is>
      </c>
      <c r="C4956" s="2" t="inlineStr">
        <is>
          <t>코스피</t>
        </is>
      </c>
      <c r="D4956" s="2" t="inlineStr">
        <is>
          <t>002630</t>
        </is>
      </c>
      <c r="E4956" s="3" t="inlineStr">
        <is>
          <t>주주총회소집공고 (정정: 20260619)</t>
        </is>
      </c>
      <c r="F4956" s="3" t="inlineStr">
        <is>
          <t>오리엔트바이오</t>
        </is>
      </c>
      <c r="G4956" s="2" t="inlineStr">
        <is>
          <t>20260619801030</t>
        </is>
      </c>
      <c r="H4956" s="8">
        <f>HYPERLINK("https://dart.fss.or.kr/dsaf001/main.do?rcpNo=20260619801030", "공시열람")</f>
        <v/>
      </c>
    </row>
    <row r="4957">
      <c r="A4957" s="2" t="inlineStr">
        <is>
          <t>2026-06-12</t>
        </is>
      </c>
      <c r="B4957" s="3" t="inlineStr">
        <is>
          <t>동원금속</t>
        </is>
      </c>
      <c r="C4957" s="2" t="inlineStr">
        <is>
          <t>코스피</t>
        </is>
      </c>
      <c r="D4957" s="2" t="inlineStr">
        <is>
          <t>018500</t>
        </is>
      </c>
      <c r="E4957" s="3" t="inlineStr">
        <is>
          <t xml:space="preserve">주주총회소집결의              </t>
        </is>
      </c>
      <c r="F4957" s="3" t="inlineStr">
        <is>
          <t>동원금속</t>
        </is>
      </c>
      <c r="G4957" s="2" t="inlineStr">
        <is>
          <t>20260612800679</t>
        </is>
      </c>
      <c r="H4957" s="8">
        <f>HYPERLINK("https://dart.fss.or.kr/dsaf001/main.do?rcpNo=20260612800679", "공시열람")</f>
        <v/>
      </c>
    </row>
    <row r="4958">
      <c r="A4958" s="2" t="inlineStr">
        <is>
          <t>2026-06-12</t>
        </is>
      </c>
      <c r="B4958" s="3" t="inlineStr">
        <is>
          <t>삼천당제약</t>
        </is>
      </c>
      <c r="C4958" s="2" t="inlineStr">
        <is>
          <t>코스닥</t>
        </is>
      </c>
      <c r="D4958" s="2" t="inlineStr">
        <is>
          <t>000250</t>
        </is>
      </c>
      <c r="E4958" s="3" t="inlineStr">
        <is>
          <t>주주총회소집공고</t>
        </is>
      </c>
      <c r="F4958" s="3" t="inlineStr">
        <is>
          <t>삼천당제약</t>
        </is>
      </c>
      <c r="G4958" s="2" t="inlineStr">
        <is>
          <t>20260612000460</t>
        </is>
      </c>
      <c r="H4958" s="8">
        <f>HYPERLINK("https://dart.fss.or.kr/dsaf001/main.do?rcpNo=20260612000460", "공시열람")</f>
        <v/>
      </c>
    </row>
    <row r="4959">
      <c r="A4959" s="2" t="inlineStr">
        <is>
          <t>2026-06-12</t>
        </is>
      </c>
      <c r="B4959" s="3" t="inlineStr">
        <is>
          <t>아톤</t>
        </is>
      </c>
      <c r="C4959" s="2" t="inlineStr">
        <is>
          <t>코스닥</t>
        </is>
      </c>
      <c r="D4959" s="2" t="inlineStr">
        <is>
          <t>158430</t>
        </is>
      </c>
      <c r="E4959" s="3" t="inlineStr">
        <is>
          <t>주주총회소집결의              (임시주주총회)</t>
        </is>
      </c>
      <c r="F4959" s="3" t="inlineStr">
        <is>
          <t>아톤</t>
        </is>
      </c>
      <c r="G4959" s="2" t="inlineStr">
        <is>
          <t>20260612900648</t>
        </is>
      </c>
      <c r="H4959" s="8">
        <f>HYPERLINK("https://dart.fss.or.kr/dsaf001/main.do?rcpNo=20260612900648", "공시열람")</f>
        <v/>
      </c>
    </row>
    <row r="4960">
      <c r="A4960" s="2" t="inlineStr">
        <is>
          <t>2026-06-12</t>
        </is>
      </c>
      <c r="B4960" s="3" t="inlineStr">
        <is>
          <t>우리넷</t>
        </is>
      </c>
      <c r="C4960" s="2" t="inlineStr">
        <is>
          <t>코스닥</t>
        </is>
      </c>
      <c r="D4960" s="2" t="inlineStr">
        <is>
          <t>115440</t>
        </is>
      </c>
      <c r="E4960" s="3" t="inlineStr">
        <is>
          <t xml:space="preserve">회사합병결정(종속회사의주요경영사항)              </t>
        </is>
      </c>
      <c r="F4960" s="3" t="inlineStr">
        <is>
          <t>우리넷</t>
        </is>
      </c>
      <c r="G4960" s="2" t="inlineStr">
        <is>
          <t>20260612900697</t>
        </is>
      </c>
      <c r="H4960" s="8">
        <f>HYPERLINK("https://dart.fss.or.kr/dsaf001/main.do?rcpNo=20260612900697", "공시열람")</f>
        <v/>
      </c>
    </row>
    <row r="4961">
      <c r="A4961" s="2" t="inlineStr">
        <is>
          <t>2026-06-12</t>
        </is>
      </c>
      <c r="B4961" s="3" t="inlineStr">
        <is>
          <t>라온피플</t>
        </is>
      </c>
      <c r="C4961" s="2" t="inlineStr">
        <is>
          <t>코스닥</t>
        </is>
      </c>
      <c r="D4961" s="2" t="inlineStr">
        <is>
          <t>300120</t>
        </is>
      </c>
      <c r="E4961" s="3" t="inlineStr">
        <is>
          <t>주주총회소집공고</t>
        </is>
      </c>
      <c r="F4961" s="3" t="inlineStr">
        <is>
          <t>라온피플</t>
        </is>
      </c>
      <c r="G4961" s="2" t="inlineStr">
        <is>
          <t>20260612000449</t>
        </is>
      </c>
      <c r="H4961" s="8">
        <f>HYPERLINK("https://dart.fss.or.kr/dsaf001/main.do?rcpNo=20260612000449", "공시열람")</f>
        <v/>
      </c>
    </row>
    <row r="4962">
      <c r="A4962" s="2" t="inlineStr">
        <is>
          <t>2026-06-12 (정정: 2026-06-23)</t>
        </is>
      </c>
      <c r="B4962" s="3" t="inlineStr">
        <is>
          <t>프리티</t>
        </is>
      </c>
      <c r="C4962" s="2" t="inlineStr">
        <is>
          <t>코스피</t>
        </is>
      </c>
      <c r="D4962" s="2" t="inlineStr">
        <is>
          <t>006490</t>
        </is>
      </c>
      <c r="E4962" s="3" t="inlineStr">
        <is>
          <t>주주총회소집결의               (정정: 20260623)</t>
        </is>
      </c>
      <c r="F4962" s="3" t="inlineStr">
        <is>
          <t>프리티</t>
        </is>
      </c>
      <c r="G4962" s="2" t="inlineStr">
        <is>
          <t>20260623800297</t>
        </is>
      </c>
      <c r="H4962" s="8">
        <f>HYPERLINK("https://dart.fss.or.kr/dsaf001/main.do?rcpNo=20260623800297", "공시열람")</f>
        <v/>
      </c>
    </row>
    <row r="4963">
      <c r="A4963" s="2" t="inlineStr">
        <is>
          <t>2026-06-12</t>
        </is>
      </c>
      <c r="B4963" s="3" t="inlineStr">
        <is>
          <t>에이비프로바이오</t>
        </is>
      </c>
      <c r="C4963" s="2" t="inlineStr">
        <is>
          <t>코스닥</t>
        </is>
      </c>
      <c r="D4963" s="2" t="inlineStr">
        <is>
          <t>195990</t>
        </is>
      </c>
      <c r="E4963" s="3" t="inlineStr">
        <is>
          <t xml:space="preserve">임시주주총회결과              </t>
        </is>
      </c>
      <c r="F4963" s="3" t="inlineStr">
        <is>
          <t>에이비프로바이오</t>
        </is>
      </c>
      <c r="G4963" s="2" t="inlineStr">
        <is>
          <t>20260612900626</t>
        </is>
      </c>
      <c r="H4963" s="8">
        <f>HYPERLINK("https://dart.fss.or.kr/dsaf001/main.do?rcpNo=20260612900626", "공시열람")</f>
        <v/>
      </c>
    </row>
    <row r="4964">
      <c r="A4964" s="2" t="inlineStr">
        <is>
          <t>2026-06-12</t>
        </is>
      </c>
      <c r="B4964" s="3" t="inlineStr">
        <is>
          <t>알파AI</t>
        </is>
      </c>
      <c r="C4964" s="2" t="inlineStr">
        <is>
          <t>코스닥</t>
        </is>
      </c>
      <c r="D4964" s="2" t="inlineStr">
        <is>
          <t>043100</t>
        </is>
      </c>
      <c r="E4964" s="3" t="inlineStr">
        <is>
          <t>주주총회소집공고</t>
        </is>
      </c>
      <c r="F4964" s="3" t="inlineStr">
        <is>
          <t>알파AI</t>
        </is>
      </c>
      <c r="G4964" s="2" t="inlineStr">
        <is>
          <t>20260612000426</t>
        </is>
      </c>
      <c r="H4964" s="8">
        <f>HYPERLINK("https://dart.fss.or.kr/dsaf001/main.do?rcpNo=20260612000426", "공시열람")</f>
        <v/>
      </c>
    </row>
    <row r="4965">
      <c r="A4965" s="2" t="inlineStr">
        <is>
          <t>2026-06-12</t>
        </is>
      </c>
      <c r="B4965" s="3" t="inlineStr">
        <is>
          <t>수성웹툰</t>
        </is>
      </c>
      <c r="C4965" s="2" t="inlineStr">
        <is>
          <t>코스닥</t>
        </is>
      </c>
      <c r="D4965" s="2" t="inlineStr">
        <is>
          <t>084180</t>
        </is>
      </c>
      <c r="E4965" s="3" t="inlineStr">
        <is>
          <t>주주총회소집결의              (임시주주총회)</t>
        </is>
      </c>
      <c r="F4965" s="3" t="inlineStr">
        <is>
          <t>수성웹툰</t>
        </is>
      </c>
      <c r="G4965" s="2" t="inlineStr">
        <is>
          <t>20260612900612</t>
        </is>
      </c>
      <c r="H4965" s="8">
        <f>HYPERLINK("https://dart.fss.or.kr/dsaf001/main.do?rcpNo=20260612900612", "공시열람")</f>
        <v/>
      </c>
    </row>
    <row r="4966">
      <c r="A4966" s="2" t="inlineStr">
        <is>
          <t>2026-06-12</t>
        </is>
      </c>
      <c r="B4966" s="3" t="inlineStr">
        <is>
          <t>모바일어플라이언스</t>
        </is>
      </c>
      <c r="C4966" s="2" t="inlineStr">
        <is>
          <t>코스닥</t>
        </is>
      </c>
      <c r="D4966" s="2" t="inlineStr">
        <is>
          <t>087260</t>
        </is>
      </c>
      <c r="E4966" s="3" t="inlineStr">
        <is>
          <t xml:space="preserve">[기재정정]주주총회소집결의              </t>
        </is>
      </c>
      <c r="F4966" s="3" t="inlineStr">
        <is>
          <t>모바일어플라이언스</t>
        </is>
      </c>
      <c r="G4966" s="2" t="inlineStr">
        <is>
          <t>20260612900608</t>
        </is>
      </c>
      <c r="H4966" s="8">
        <f>HYPERLINK("https://dart.fss.or.kr/dsaf001/main.do?rcpNo=20260612900608", "공시열람")</f>
        <v/>
      </c>
    </row>
    <row r="4967">
      <c r="A4967" s="2" t="inlineStr">
        <is>
          <t>2026-06-12</t>
        </is>
      </c>
      <c r="B4967" s="3" t="inlineStr">
        <is>
          <t>네오위즈홀딩스</t>
        </is>
      </c>
      <c r="C4967" s="2" t="inlineStr">
        <is>
          <t>코스닥</t>
        </is>
      </c>
      <c r="D4967" s="2" t="inlineStr">
        <is>
          <t>042420</t>
        </is>
      </c>
      <c r="E4967" s="3" t="inlineStr">
        <is>
          <t xml:space="preserve">[첨부정정]주요사항보고서(회사합병결정)(자회사의 주요경영사항)              </t>
        </is>
      </c>
      <c r="F4967" s="3" t="inlineStr">
        <is>
          <t>네오위즈홀딩스</t>
        </is>
      </c>
      <c r="G4967" s="2" t="inlineStr">
        <is>
          <t>20260612900558</t>
        </is>
      </c>
      <c r="H4967" s="8">
        <f>HYPERLINK("https://dart.fss.or.kr/dsaf001/main.do?rcpNo=20260612900558", "공시열람")</f>
        <v/>
      </c>
    </row>
    <row r="4968">
      <c r="A4968" s="2" t="inlineStr">
        <is>
          <t>2026-06-12</t>
        </is>
      </c>
      <c r="B4968" s="3" t="inlineStr">
        <is>
          <t>알로이스</t>
        </is>
      </c>
      <c r="C4968" s="2" t="inlineStr">
        <is>
          <t>코스닥</t>
        </is>
      </c>
      <c r="D4968" s="2" t="inlineStr">
        <is>
          <t>297570</t>
        </is>
      </c>
      <c r="E4968" s="3" t="inlineStr">
        <is>
          <t xml:space="preserve">임시주주총회결과              </t>
        </is>
      </c>
      <c r="F4968" s="3" t="inlineStr">
        <is>
          <t>알로이스</t>
        </is>
      </c>
      <c r="G4968" s="2" t="inlineStr">
        <is>
          <t>20260612900547</t>
        </is>
      </c>
      <c r="H4968" s="8">
        <f>HYPERLINK("https://dart.fss.or.kr/dsaf001/main.do?rcpNo=20260612900547", "공시열람")</f>
        <v/>
      </c>
    </row>
    <row r="4969">
      <c r="A4969" s="2" t="inlineStr">
        <is>
          <t>2026-06-12</t>
        </is>
      </c>
      <c r="B4969" s="3" t="inlineStr">
        <is>
          <t>네오위즈</t>
        </is>
      </c>
      <c r="C4969" s="2" t="inlineStr">
        <is>
          <t>코스닥</t>
        </is>
      </c>
      <c r="D4969" s="2" t="inlineStr">
        <is>
          <t>095660</t>
        </is>
      </c>
      <c r="E4969" s="3" t="inlineStr">
        <is>
          <t>[첨부정정]주요사항보고서(회사합병결정)</t>
        </is>
      </c>
      <c r="F4969" s="3" t="inlineStr">
        <is>
          <t>네오위즈</t>
        </is>
      </c>
      <c r="G4969" s="2" t="inlineStr">
        <is>
          <t>20260612000289</t>
        </is>
      </c>
      <c r="H4969" s="8">
        <f>HYPERLINK("https://dart.fss.or.kr/dsaf001/main.do?rcpNo=20260612000289", "공시열람")</f>
        <v/>
      </c>
    </row>
    <row r="4970">
      <c r="A4970" s="2" t="inlineStr">
        <is>
          <t>2026-06-12</t>
        </is>
      </c>
      <c r="B4970" s="3" t="inlineStr">
        <is>
          <t>비큐AI</t>
        </is>
      </c>
      <c r="C4970" s="2" t="inlineStr">
        <is>
          <t>코스닥</t>
        </is>
      </c>
      <c r="D4970" s="2" t="inlineStr">
        <is>
          <t>148780</t>
        </is>
      </c>
      <c r="E4970" s="3" t="inlineStr">
        <is>
          <t>주주총회소집공고</t>
        </is>
      </c>
      <c r="F4970" s="3" t="inlineStr">
        <is>
          <t>비큐AI</t>
        </is>
      </c>
      <c r="G4970" s="2" t="inlineStr">
        <is>
          <t>20260612000261</t>
        </is>
      </c>
      <c r="H4970" s="8">
        <f>HYPERLINK("https://dart.fss.or.kr/dsaf001/main.do?rcpNo=20260612000261", "공시열람")</f>
        <v/>
      </c>
    </row>
    <row r="4971">
      <c r="A4971" s="2" t="inlineStr">
        <is>
          <t>2026-06-12</t>
        </is>
      </c>
      <c r="B4971" s="3" t="inlineStr">
        <is>
          <t>티에프이</t>
        </is>
      </c>
      <c r="C4971" s="2" t="inlineStr">
        <is>
          <t>코스닥</t>
        </is>
      </c>
      <c r="D4971" s="2" t="inlineStr">
        <is>
          <t>425420</t>
        </is>
      </c>
      <c r="E4971" s="3" t="inlineStr">
        <is>
          <t>주주총회소집공고</t>
        </is>
      </c>
      <c r="F4971" s="3" t="inlineStr">
        <is>
          <t>티에프이</t>
        </is>
      </c>
      <c r="G4971" s="2" t="inlineStr">
        <is>
          <t>20260612000201</t>
        </is>
      </c>
      <c r="H4971" s="8">
        <f>HYPERLINK("https://dart.fss.or.kr/dsaf001/main.do?rcpNo=20260612000201", "공시열람")</f>
        <v/>
      </c>
    </row>
    <row r="4972">
      <c r="A4972" s="2" t="inlineStr">
        <is>
          <t>2026-06-12</t>
        </is>
      </c>
      <c r="B4972" s="3" t="inlineStr">
        <is>
          <t>나무기술</t>
        </is>
      </c>
      <c r="C4972" s="2" t="inlineStr">
        <is>
          <t>코스닥</t>
        </is>
      </c>
      <c r="D4972" s="2" t="inlineStr">
        <is>
          <t>242040</t>
        </is>
      </c>
      <c r="E4972" s="3" t="inlineStr">
        <is>
          <t>주주총회소집공고</t>
        </is>
      </c>
      <c r="F4972" s="3" t="inlineStr">
        <is>
          <t>나무기술</t>
        </is>
      </c>
      <c r="G4972" s="2" t="inlineStr">
        <is>
          <t>20260612000183</t>
        </is>
      </c>
      <c r="H4972" s="8">
        <f>HYPERLINK("https://dart.fss.or.kr/dsaf001/main.do?rcpNo=20260612000183", "공시열람")</f>
        <v/>
      </c>
    </row>
    <row r="4973">
      <c r="A4973" s="2" t="inlineStr">
        <is>
          <t>2026-06-12</t>
        </is>
      </c>
      <c r="B4973" s="3" t="inlineStr">
        <is>
          <t>에스아이리소스</t>
        </is>
      </c>
      <c r="C4973" s="2" t="inlineStr">
        <is>
          <t>코스닥</t>
        </is>
      </c>
      <c r="D4973" s="2" t="inlineStr">
        <is>
          <t>065420</t>
        </is>
      </c>
      <c r="E4973" s="3" t="inlineStr">
        <is>
          <t>조회공시요구(풍문또는보도)              (주주총회효력정지 가처분 및 직무집행정지 가처분 결정설)</t>
        </is>
      </c>
      <c r="F4973" s="3" t="inlineStr">
        <is>
          <t>코스닥시장본부</t>
        </is>
      </c>
      <c r="G4973" s="2" t="inlineStr">
        <is>
          <t>20260612900373</t>
        </is>
      </c>
      <c r="H4973" s="8">
        <f>HYPERLINK("https://dart.fss.or.kr/dsaf001/main.do?rcpNo=20260612900373", "공시열람")</f>
        <v/>
      </c>
    </row>
    <row r="4974">
      <c r="A4974" s="2" t="inlineStr">
        <is>
          <t>2026-06-12</t>
        </is>
      </c>
      <c r="B4974" s="3" t="inlineStr">
        <is>
          <t>THE CUBE&amp;</t>
        </is>
      </c>
      <c r="C4974" s="2" t="inlineStr">
        <is>
          <t>코스닥</t>
        </is>
      </c>
      <c r="D4974" s="2" t="inlineStr">
        <is>
          <t>013720</t>
        </is>
      </c>
      <c r="E4974" s="3" t="inlineStr">
        <is>
          <t xml:space="preserve">임시주주총회결과              </t>
        </is>
      </c>
      <c r="F4974" s="3" t="inlineStr">
        <is>
          <t>THE CUBE&amp;</t>
        </is>
      </c>
      <c r="G4974" s="2" t="inlineStr">
        <is>
          <t>20260612900319</t>
        </is>
      </c>
      <c r="H4974" s="8">
        <f>HYPERLINK("https://dart.fss.or.kr/dsaf001/main.do?rcpNo=20260612900319", "공시열람")</f>
        <v/>
      </c>
    </row>
    <row r="4975">
      <c r="A4975" s="2" t="inlineStr">
        <is>
          <t>2026-06-12</t>
        </is>
      </c>
      <c r="B4975" s="3" t="inlineStr">
        <is>
          <t>KC산업</t>
        </is>
      </c>
      <c r="C4975" s="2" t="inlineStr">
        <is>
          <t>코넥스</t>
        </is>
      </c>
      <c r="D4975" s="2" t="inlineStr">
        <is>
          <t>112190</t>
        </is>
      </c>
      <c r="E4975" s="3" t="inlineStr">
        <is>
          <t>주주총회소집공고</t>
        </is>
      </c>
      <c r="F4975" s="3" t="inlineStr">
        <is>
          <t>KC산업</t>
        </is>
      </c>
      <c r="G4975" s="2" t="inlineStr">
        <is>
          <t>20260612000089</t>
        </is>
      </c>
      <c r="H4975" s="8">
        <f>HYPERLINK("https://dart.fss.or.kr/dsaf001/main.do?rcpNo=20260612000089", "공시열람")</f>
        <v/>
      </c>
    </row>
    <row r="4976">
      <c r="A4976" s="2" t="inlineStr">
        <is>
          <t>2026-06-12</t>
        </is>
      </c>
      <c r="B4976" s="3" t="inlineStr">
        <is>
          <t>SJG세종</t>
        </is>
      </c>
      <c r="C4976" s="2" t="inlineStr">
        <is>
          <t>코스피</t>
        </is>
      </c>
      <c r="D4976" s="2" t="inlineStr">
        <is>
          <t>033530</t>
        </is>
      </c>
      <c r="E4976" s="3" t="inlineStr">
        <is>
          <t>주주총회소집공고</t>
        </is>
      </c>
      <c r="F4976" s="3" t="inlineStr">
        <is>
          <t>SJG세종</t>
        </is>
      </c>
      <c r="G4976" s="2" t="inlineStr">
        <is>
          <t>20260612000050</t>
        </is>
      </c>
      <c r="H4976" s="8">
        <f>HYPERLINK("https://dart.fss.or.kr/dsaf001/main.do?rcpNo=20260612000050", "공시열람")</f>
        <v/>
      </c>
    </row>
    <row r="4977">
      <c r="A4977" s="2" t="inlineStr">
        <is>
          <t>2026-06-12</t>
        </is>
      </c>
      <c r="B4977" s="3" t="inlineStr">
        <is>
          <t>대호에이엘</t>
        </is>
      </c>
      <c r="C4977" s="2" t="inlineStr">
        <is>
          <t>코스피</t>
        </is>
      </c>
      <c r="D4977" s="2" t="inlineStr">
        <is>
          <t>069460</t>
        </is>
      </c>
      <c r="E4977" s="3" t="inlineStr">
        <is>
          <t xml:space="preserve">임시주주총회결과              </t>
        </is>
      </c>
      <c r="F4977" s="3" t="inlineStr">
        <is>
          <t>대호에이엘</t>
        </is>
      </c>
      <c r="G4977" s="2" t="inlineStr">
        <is>
          <t>20260612800013</t>
        </is>
      </c>
      <c r="H4977" s="8">
        <f>HYPERLINK("https://dart.fss.or.kr/dsaf001/main.do?rcpNo=20260612800013", "공시열람")</f>
        <v/>
      </c>
    </row>
    <row r="4978">
      <c r="A4978" s="2" t="inlineStr">
        <is>
          <t>2026-06-15</t>
        </is>
      </c>
      <c r="B4978" s="3" t="inlineStr">
        <is>
          <t>경인전자</t>
        </is>
      </c>
      <c r="C4978" s="2" t="inlineStr">
        <is>
          <t>코스피</t>
        </is>
      </c>
      <c r="D4978" s="2" t="inlineStr">
        <is>
          <t>009140</t>
        </is>
      </c>
      <c r="E4978" s="3" t="inlineStr">
        <is>
          <t xml:space="preserve">최대주주변경              </t>
        </is>
      </c>
      <c r="F4978" s="3" t="inlineStr">
        <is>
          <t>경인전자</t>
        </is>
      </c>
      <c r="G4978" s="2" t="inlineStr">
        <is>
          <t>20260615800895</t>
        </is>
      </c>
      <c r="H4978" s="8">
        <f>HYPERLINK("https://dart.fss.or.kr/dsaf001/main.do?rcpNo=20260615800895", "공시열람")</f>
        <v/>
      </c>
    </row>
    <row r="4979">
      <c r="A4979" s="2" t="inlineStr">
        <is>
          <t>2026-06-15</t>
        </is>
      </c>
      <c r="B4979" s="3" t="inlineStr">
        <is>
          <t>디에스케이</t>
        </is>
      </c>
      <c r="C4979" s="2" t="inlineStr">
        <is>
          <t>코스닥</t>
        </is>
      </c>
      <c r="D4979" s="2" t="inlineStr">
        <is>
          <t>109740</t>
        </is>
      </c>
      <c r="E4979" s="3" t="inlineStr">
        <is>
          <t>주주총회소집공고</t>
        </is>
      </c>
      <c r="F4979" s="3" t="inlineStr">
        <is>
          <t>디에스케이</t>
        </is>
      </c>
      <c r="G4979" s="2" t="inlineStr">
        <is>
          <t>20260615000444</t>
        </is>
      </c>
      <c r="H4979" s="8">
        <f>HYPERLINK("https://dart.fss.or.kr/dsaf001/main.do?rcpNo=20260615000444", "공시열람")</f>
        <v/>
      </c>
    </row>
    <row r="4980">
      <c r="A4980" s="2" t="inlineStr">
        <is>
          <t>2026-06-15</t>
        </is>
      </c>
      <c r="B4980" s="3" t="inlineStr">
        <is>
          <t>EDGC</t>
        </is>
      </c>
      <c r="C4980" s="2" t="inlineStr">
        <is>
          <t>코스닥</t>
        </is>
      </c>
      <c r="D4980" s="2" t="inlineStr">
        <is>
          <t>245620</t>
        </is>
      </c>
      <c r="E4980" s="3" t="inlineStr">
        <is>
          <t>주주총회소집공고</t>
        </is>
      </c>
      <c r="F4980" s="3" t="inlineStr">
        <is>
          <t>EDGC</t>
        </is>
      </c>
      <c r="G4980" s="2" t="inlineStr">
        <is>
          <t>20260615000441</t>
        </is>
      </c>
      <c r="H4980" s="8">
        <f>HYPERLINK("https://dart.fss.or.kr/dsaf001/main.do?rcpNo=20260615000441", "공시열람")</f>
        <v/>
      </c>
    </row>
    <row r="4981">
      <c r="A4981" s="2" t="inlineStr">
        <is>
          <t>2026-06-15</t>
        </is>
      </c>
      <c r="B4981" s="3" t="inlineStr">
        <is>
          <t>이지스레지던스리츠</t>
        </is>
      </c>
      <c r="C4981" s="2" t="inlineStr">
        <is>
          <t>코스피</t>
        </is>
      </c>
      <c r="D4981" s="2" t="inlineStr">
        <is>
          <t>350520</t>
        </is>
      </c>
      <c r="E4981" s="3" t="inlineStr">
        <is>
          <t xml:space="preserve">임시주주총회결과              </t>
        </is>
      </c>
      <c r="F4981" s="3" t="inlineStr">
        <is>
          <t>이지스레지던스리츠</t>
        </is>
      </c>
      <c r="G4981" s="2" t="inlineStr">
        <is>
          <t>20260615800885</t>
        </is>
      </c>
      <c r="H4981" s="8">
        <f>HYPERLINK("https://dart.fss.or.kr/dsaf001/main.do?rcpNo=20260615800885", "공시열람")</f>
        <v/>
      </c>
    </row>
    <row r="4982">
      <c r="A4982" s="2" t="inlineStr">
        <is>
          <t>2026-06-15</t>
        </is>
      </c>
      <c r="B4982" s="3" t="inlineStr">
        <is>
          <t>디에스케이</t>
        </is>
      </c>
      <c r="C4982" s="2" t="inlineStr">
        <is>
          <t>코스닥</t>
        </is>
      </c>
      <c r="D4982" s="2" t="inlineStr">
        <is>
          <t>109740</t>
        </is>
      </c>
      <c r="E4982" s="3" t="inlineStr">
        <is>
          <t xml:space="preserve">[기재정정]주주총회소집결의              </t>
        </is>
      </c>
      <c r="F4982" s="3" t="inlineStr">
        <is>
          <t>디에스케이</t>
        </is>
      </c>
      <c r="G4982" s="2" t="inlineStr">
        <is>
          <t>20260615900877</t>
        </is>
      </c>
      <c r="H4982" s="8">
        <f>HYPERLINK("https://dart.fss.or.kr/dsaf001/main.do?rcpNo=20260615900877", "공시열람")</f>
        <v/>
      </c>
    </row>
    <row r="4983">
      <c r="A4983" s="2" t="inlineStr">
        <is>
          <t>2026-06-15 (정정: 2026-06-15)</t>
        </is>
      </c>
      <c r="B4983" s="3" t="inlineStr">
        <is>
          <t>비덴트</t>
        </is>
      </c>
      <c r="C4983" s="2" t="inlineStr">
        <is>
          <t>코스닥</t>
        </is>
      </c>
      <c r="D4983" s="2" t="inlineStr">
        <is>
          <t>121800</t>
        </is>
      </c>
      <c r="E4983" s="3" t="inlineStr">
        <is>
          <t>주주총회소집공고 (정정: 20260615)</t>
        </is>
      </c>
      <c r="F4983" s="3" t="inlineStr">
        <is>
          <t>비덴트</t>
        </is>
      </c>
      <c r="G4983" s="2" t="inlineStr">
        <is>
          <t>20260615900694</t>
        </is>
      </c>
      <c r="H4983" s="8">
        <f>HYPERLINK("https://dart.fss.or.kr/dsaf001/main.do?rcpNo=20260615900694", "공시열람")</f>
        <v/>
      </c>
    </row>
    <row r="4984">
      <c r="A4984" s="2" t="inlineStr">
        <is>
          <t>2026-06-15</t>
        </is>
      </c>
      <c r="B4984" s="3" t="inlineStr">
        <is>
          <t>유비온</t>
        </is>
      </c>
      <c r="C4984" s="2" t="inlineStr">
        <is>
          <t>코스닥</t>
        </is>
      </c>
      <c r="D4984" s="2" t="inlineStr">
        <is>
          <t>084440</t>
        </is>
      </c>
      <c r="E4984" s="3" t="inlineStr">
        <is>
          <t>주주총회소집결의              (임시주주총회)</t>
        </is>
      </c>
      <c r="F4984" s="3" t="inlineStr">
        <is>
          <t>유비온</t>
        </is>
      </c>
      <c r="G4984" s="2" t="inlineStr">
        <is>
          <t>20260615900870</t>
        </is>
      </c>
      <c r="H4984" s="8">
        <f>HYPERLINK("https://dart.fss.or.kr/dsaf001/main.do?rcpNo=20260615900870", "공시열람")</f>
        <v/>
      </c>
    </row>
    <row r="4985">
      <c r="A4985" s="2" t="inlineStr">
        <is>
          <t>2026-06-15</t>
        </is>
      </c>
      <c r="B4985" s="3" t="inlineStr">
        <is>
          <t>코아시아씨엠</t>
        </is>
      </c>
      <c r="C4985" s="2" t="inlineStr">
        <is>
          <t>코스닥</t>
        </is>
      </c>
      <c r="D4985" s="2" t="inlineStr">
        <is>
          <t>196450</t>
        </is>
      </c>
      <c r="E4985" s="3" t="inlineStr">
        <is>
          <t>주주총회소집공고</t>
        </is>
      </c>
      <c r="F4985" s="3" t="inlineStr">
        <is>
          <t>코아시아씨엠</t>
        </is>
      </c>
      <c r="G4985" s="2" t="inlineStr">
        <is>
          <t>20260615000424</t>
        </is>
      </c>
      <c r="H4985" s="8">
        <f>HYPERLINK("https://dart.fss.or.kr/dsaf001/main.do?rcpNo=20260615000424", "공시열람")</f>
        <v/>
      </c>
    </row>
    <row r="4986">
      <c r="A4986" s="2" t="inlineStr">
        <is>
          <t>2026-06-15</t>
        </is>
      </c>
      <c r="B4986" s="3" t="inlineStr">
        <is>
          <t>이지스밸류플러스리츠</t>
        </is>
      </c>
      <c r="C4986" s="2" t="inlineStr">
        <is>
          <t>코스피</t>
        </is>
      </c>
      <c r="D4986" s="2" t="inlineStr">
        <is>
          <t>334890</t>
        </is>
      </c>
      <c r="E4986" s="3" t="inlineStr">
        <is>
          <t xml:space="preserve">최대주주변경              </t>
        </is>
      </c>
      <c r="F4986" s="3" t="inlineStr">
        <is>
          <t>이지스밸류플러스리츠</t>
        </is>
      </c>
      <c r="G4986" s="2" t="inlineStr">
        <is>
          <t>20260615800854</t>
        </is>
      </c>
      <c r="H4986" s="8">
        <f>HYPERLINK("https://dart.fss.or.kr/dsaf001/main.do?rcpNo=20260615800854", "공시열람")</f>
        <v/>
      </c>
    </row>
    <row r="4987">
      <c r="A4987" s="2" t="inlineStr">
        <is>
          <t>2026-06-15</t>
        </is>
      </c>
      <c r="B4987" s="3" t="inlineStr">
        <is>
          <t>코아시아씨엠</t>
        </is>
      </c>
      <c r="C4987" s="2" t="inlineStr">
        <is>
          <t>코스닥</t>
        </is>
      </c>
      <c r="D4987" s="2" t="inlineStr">
        <is>
          <t>196450</t>
        </is>
      </c>
      <c r="E4987" s="3" t="inlineStr">
        <is>
          <t>[기재정정]주주총회소집결의              (임시주주총회)</t>
        </is>
      </c>
      <c r="F4987" s="3" t="inlineStr">
        <is>
          <t>코아시아씨엠</t>
        </is>
      </c>
      <c r="G4987" s="2" t="inlineStr">
        <is>
          <t>20260615900813</t>
        </is>
      </c>
      <c r="H4987" s="8">
        <f>HYPERLINK("https://dart.fss.or.kr/dsaf001/main.do?rcpNo=20260615900813", "공시열람")</f>
        <v/>
      </c>
    </row>
    <row r="4988">
      <c r="A4988" s="2" t="inlineStr">
        <is>
          <t>2026-06-15</t>
        </is>
      </c>
      <c r="B4988" s="3" t="inlineStr">
        <is>
          <t>롤링스톤</t>
        </is>
      </c>
      <c r="C4988" s="2" t="inlineStr">
        <is>
          <t>코스닥</t>
        </is>
      </c>
      <c r="D4988" s="2" t="inlineStr">
        <is>
          <t>214610</t>
        </is>
      </c>
      <c r="E4988" s="3" t="inlineStr">
        <is>
          <t>주주총회소집공고</t>
        </is>
      </c>
      <c r="F4988" s="3" t="inlineStr">
        <is>
          <t>롤링스톤</t>
        </is>
      </c>
      <c r="G4988" s="2" t="inlineStr">
        <is>
          <t>20260615000404</t>
        </is>
      </c>
      <c r="H4988" s="8">
        <f>HYPERLINK("https://dart.fss.or.kr/dsaf001/main.do?rcpNo=20260615000404", "공시열람")</f>
        <v/>
      </c>
    </row>
    <row r="4989">
      <c r="A4989" s="2" t="inlineStr">
        <is>
          <t>2026-06-15 (정정: 2026-06-23)</t>
        </is>
      </c>
      <c r="B4989" s="3" t="inlineStr">
        <is>
          <t>압타머사이언스</t>
        </is>
      </c>
      <c r="C4989" s="2" t="inlineStr">
        <is>
          <t>코스닥</t>
        </is>
      </c>
      <c r="D4989" s="2" t="inlineStr">
        <is>
          <t>291650</t>
        </is>
      </c>
      <c r="E4989" s="3" t="inlineStr">
        <is>
          <t>주주총회소집공고 (정정: 20260623)</t>
        </is>
      </c>
      <c r="F4989" s="3" t="inlineStr">
        <is>
          <t>압타머사이언스</t>
        </is>
      </c>
      <c r="G4989" s="2" t="inlineStr">
        <is>
          <t>20260623000157</t>
        </is>
      </c>
      <c r="H4989" s="8">
        <f>HYPERLINK("https://dart.fss.or.kr/dsaf001/main.do?rcpNo=20260623000157", "공시열람")</f>
        <v/>
      </c>
    </row>
    <row r="4990">
      <c r="A4990" s="2" t="inlineStr">
        <is>
          <t>2026-06-15</t>
        </is>
      </c>
      <c r="B4990" s="3" t="inlineStr">
        <is>
          <t>NH투자증권</t>
        </is>
      </c>
      <c r="C4990" s="2" t="inlineStr">
        <is>
          <t>코스피</t>
        </is>
      </c>
      <c r="D4990" s="2" t="inlineStr">
        <is>
          <t>005940</t>
        </is>
      </c>
      <c r="E4990" s="3" t="inlineStr">
        <is>
          <t>주주총회소집공고</t>
        </is>
      </c>
      <c r="F4990" s="3" t="inlineStr">
        <is>
          <t>NH투자증권</t>
        </is>
      </c>
      <c r="G4990" s="2" t="inlineStr">
        <is>
          <t>20260615000317</t>
        </is>
      </c>
      <c r="H4990" s="8">
        <f>HYPERLINK("https://dart.fss.or.kr/dsaf001/main.do?rcpNo=20260615000317", "공시열람")</f>
        <v/>
      </c>
    </row>
    <row r="4991">
      <c r="A4991" s="2" t="inlineStr">
        <is>
          <t>2026-06-15 (정정: 2026-06-18)</t>
        </is>
      </c>
      <c r="B4991" s="3" t="inlineStr">
        <is>
          <t>아이오케이이엔엠</t>
        </is>
      </c>
      <c r="C4991" s="2" t="inlineStr">
        <is>
          <t>코스닥</t>
        </is>
      </c>
      <c r="D4991" s="2" t="inlineStr">
        <is>
          <t>078860</t>
        </is>
      </c>
      <c r="E4991" s="3" t="inlineStr">
        <is>
          <t>[기재정정]주주총회소집결의               (정정: 20260618) (정정: 20260618)</t>
        </is>
      </c>
      <c r="F4991" s="3" t="inlineStr">
        <is>
          <t>아이오케이이엔엠</t>
        </is>
      </c>
      <c r="G4991" s="2" t="inlineStr">
        <is>
          <t>20260618900314</t>
        </is>
      </c>
      <c r="H4991" s="8">
        <f>HYPERLINK("https://dart.fss.or.kr/dsaf001/main.do?rcpNo=20260618900314", "공시열람")</f>
        <v/>
      </c>
    </row>
    <row r="4992">
      <c r="A4992" s="2" t="inlineStr">
        <is>
          <t>2026-06-15 (정정: 2026-06-19)</t>
        </is>
      </c>
      <c r="B4992" s="3" t="inlineStr">
        <is>
          <t>DH오토넥스</t>
        </is>
      </c>
      <c r="C4992" s="2" t="inlineStr">
        <is>
          <t>코스피</t>
        </is>
      </c>
      <c r="D4992" s="2" t="inlineStr">
        <is>
          <t>000300</t>
        </is>
      </c>
      <c r="E4992" s="3" t="inlineStr">
        <is>
          <t>주주총회소집결의               (정정: 20260619) (정정: 20260619)</t>
        </is>
      </c>
      <c r="F4992" s="3" t="inlineStr">
        <is>
          <t>DH오토넥스</t>
        </is>
      </c>
      <c r="G4992" s="2" t="inlineStr">
        <is>
          <t>20260619000548</t>
        </is>
      </c>
      <c r="H4992" s="8">
        <f>HYPERLINK("https://dart.fss.or.kr/dsaf001/main.do?rcpNo=20260619000548", "공시열람")</f>
        <v/>
      </c>
    </row>
    <row r="4993">
      <c r="A4993" s="2" t="inlineStr">
        <is>
          <t>2026-06-15</t>
        </is>
      </c>
      <c r="B4993" s="3" t="inlineStr">
        <is>
          <t>나노캠텍</t>
        </is>
      </c>
      <c r="C4993" s="2" t="inlineStr">
        <is>
          <t>코스닥</t>
        </is>
      </c>
      <c r="D4993" s="2" t="inlineStr">
        <is>
          <t>091970</t>
        </is>
      </c>
      <c r="E4993" s="3" t="inlineStr">
        <is>
          <t xml:space="preserve">최대주주변경을수반하는주식담보제공계약해제ㆍ취소등              </t>
        </is>
      </c>
      <c r="F4993" s="3" t="inlineStr">
        <is>
          <t>나노캠텍</t>
        </is>
      </c>
      <c r="G4993" s="2" t="inlineStr">
        <is>
          <t>20260615900647</t>
        </is>
      </c>
      <c r="H4993" s="8">
        <f>HYPERLINK("https://dart.fss.or.kr/dsaf001/main.do?rcpNo=20260615900647", "공시열람")</f>
        <v/>
      </c>
    </row>
    <row r="4994">
      <c r="A4994" s="2" t="inlineStr">
        <is>
          <t>2026-06-15</t>
        </is>
      </c>
      <c r="B4994" s="3" t="inlineStr">
        <is>
          <t>페이퍼코리아</t>
        </is>
      </c>
      <c r="C4994" s="2" t="inlineStr">
        <is>
          <t>코스피</t>
        </is>
      </c>
      <c r="D4994" s="2" t="inlineStr">
        <is>
          <t>001020</t>
        </is>
      </c>
      <c r="E4994" s="3" t="inlineStr">
        <is>
          <t>주주총회소집공고</t>
        </is>
      </c>
      <c r="F4994" s="3" t="inlineStr">
        <is>
          <t>페이퍼코리아</t>
        </is>
      </c>
      <c r="G4994" s="2" t="inlineStr">
        <is>
          <t>20260615000295</t>
        </is>
      </c>
      <c r="H4994" s="8">
        <f>HYPERLINK("https://dart.fss.or.kr/dsaf001/main.do?rcpNo=20260615000295", "공시열람")</f>
        <v/>
      </c>
    </row>
    <row r="4995">
      <c r="A4995" s="2" t="inlineStr">
        <is>
          <t>2026-06-15</t>
        </is>
      </c>
      <c r="B4995" s="3" t="inlineStr">
        <is>
          <t>NH투자증권</t>
        </is>
      </c>
      <c r="C4995" s="2" t="inlineStr">
        <is>
          <t>코스피</t>
        </is>
      </c>
      <c r="D4995" s="2" t="inlineStr">
        <is>
          <t>005940</t>
        </is>
      </c>
      <c r="E4995" s="3" t="inlineStr">
        <is>
          <t xml:space="preserve">주주총회소집결의              </t>
        </is>
      </c>
      <c r="F4995" s="3" t="inlineStr">
        <is>
          <t>NH투자증권</t>
        </is>
      </c>
      <c r="G4995" s="2" t="inlineStr">
        <is>
          <t>20260615800639</t>
        </is>
      </c>
      <c r="H4995" s="8">
        <f>HYPERLINK("https://dart.fss.or.kr/dsaf001/main.do?rcpNo=20260615800639", "공시열람")</f>
        <v/>
      </c>
    </row>
    <row r="4996">
      <c r="A4996" s="2" t="inlineStr">
        <is>
          <t>2026-06-15 (정정: 2026-06-15)</t>
        </is>
      </c>
      <c r="B4996" s="3" t="inlineStr">
        <is>
          <t>세종메디칼</t>
        </is>
      </c>
      <c r="C4996" s="2" t="inlineStr">
        <is>
          <t>코스닥</t>
        </is>
      </c>
      <c r="D4996" s="2" t="inlineStr">
        <is>
          <t>258830</t>
        </is>
      </c>
      <c r="E4996" s="3" t="inlineStr">
        <is>
          <t>주주총회소집공고 (정정: 20260615)</t>
        </is>
      </c>
      <c r="F4996" s="3" t="inlineStr">
        <is>
          <t>세종메디칼</t>
        </is>
      </c>
      <c r="G4996" s="2" t="inlineStr">
        <is>
          <t>20260615900601</t>
        </is>
      </c>
      <c r="H4996" s="8">
        <f>HYPERLINK("https://dart.fss.or.kr/dsaf001/main.do?rcpNo=20260615900601", "공시열람")</f>
        <v/>
      </c>
    </row>
    <row r="4997">
      <c r="A4997" s="2" t="inlineStr">
        <is>
          <t>2026-06-15</t>
        </is>
      </c>
      <c r="B4997" s="3" t="inlineStr">
        <is>
          <t>디에이치엑스컴퍼니</t>
        </is>
      </c>
      <c r="C4997" s="2" t="inlineStr">
        <is>
          <t>코스닥</t>
        </is>
      </c>
      <c r="D4997" s="2" t="inlineStr">
        <is>
          <t>031860</t>
        </is>
      </c>
      <c r="E4997" s="3" t="inlineStr">
        <is>
          <t>주주총회소집공고</t>
        </is>
      </c>
      <c r="F4997" s="3" t="inlineStr">
        <is>
          <t>디에이치엑스컴퍼니</t>
        </is>
      </c>
      <c r="G4997" s="2" t="inlineStr">
        <is>
          <t>20260615000285</t>
        </is>
      </c>
      <c r="H4997" s="8">
        <f>HYPERLINK("https://dart.fss.or.kr/dsaf001/main.do?rcpNo=20260615000285", "공시열람")</f>
        <v/>
      </c>
    </row>
    <row r="4998">
      <c r="A4998" s="2" t="inlineStr">
        <is>
          <t>2026-06-15</t>
        </is>
      </c>
      <c r="B4998" s="3" t="inlineStr">
        <is>
          <t>세니젠</t>
        </is>
      </c>
      <c r="C4998" s="2" t="inlineStr">
        <is>
          <t>코스닥</t>
        </is>
      </c>
      <c r="D4998" s="2" t="inlineStr">
        <is>
          <t>188260</t>
        </is>
      </c>
      <c r="E4998" s="3" t="inlineStr">
        <is>
          <t>주주총회소집결의              (임시주주총회)</t>
        </is>
      </c>
      <c r="F4998" s="3" t="inlineStr">
        <is>
          <t>세니젠</t>
        </is>
      </c>
      <c r="G4998" s="2" t="inlineStr">
        <is>
          <t>20260615900598</t>
        </is>
      </c>
      <c r="H4998" s="8">
        <f>HYPERLINK("https://dart.fss.or.kr/dsaf001/main.do?rcpNo=20260615900598", "공시열람")</f>
        <v/>
      </c>
    </row>
    <row r="4999">
      <c r="A4999" s="2" t="inlineStr">
        <is>
          <t>2026-06-15</t>
        </is>
      </c>
      <c r="B4999" s="3" t="inlineStr">
        <is>
          <t>덕신이피씨</t>
        </is>
      </c>
      <c r="C4999" s="2" t="inlineStr">
        <is>
          <t>코스닥</t>
        </is>
      </c>
      <c r="D4999" s="2" t="inlineStr">
        <is>
          <t>090410</t>
        </is>
      </c>
      <c r="E4999" s="3" t="inlineStr">
        <is>
          <t>주주총회소집결의              (임시주주총회)</t>
        </is>
      </c>
      <c r="F4999" s="3" t="inlineStr">
        <is>
          <t>덕신이피씨</t>
        </is>
      </c>
      <c r="G4999" s="2" t="inlineStr">
        <is>
          <t>20260615900567</t>
        </is>
      </c>
      <c r="H4999" s="8">
        <f>HYPERLINK("https://dart.fss.or.kr/dsaf001/main.do?rcpNo=20260615900567", "공시열람")</f>
        <v/>
      </c>
    </row>
    <row r="5000">
      <c r="A5000" s="2" t="inlineStr">
        <is>
          <t>2026-06-15</t>
        </is>
      </c>
      <c r="B5000" s="3" t="inlineStr">
        <is>
          <t>디에스케이</t>
        </is>
      </c>
      <c r="C5000" s="2" t="inlineStr">
        <is>
          <t>코스닥</t>
        </is>
      </c>
      <c r="D5000" s="2" t="inlineStr">
        <is>
          <t>109740</t>
        </is>
      </c>
      <c r="E5000" s="3" t="inlineStr">
        <is>
          <t xml:space="preserve">[기재정정]최대주주변경을수반하는주식양수도계약체결              </t>
        </is>
      </c>
      <c r="F5000" s="3" t="inlineStr">
        <is>
          <t>디에스케이</t>
        </is>
      </c>
      <c r="G5000" s="2" t="inlineStr">
        <is>
          <t>20260615900548</t>
        </is>
      </c>
      <c r="H5000" s="8">
        <f>HYPERLINK("https://dart.fss.or.kr/dsaf001/main.do?rcpNo=20260615900548", "공시열람")</f>
        <v/>
      </c>
    </row>
    <row r="5001">
      <c r="A5001" s="2" t="inlineStr">
        <is>
          <t>2026-06-15</t>
        </is>
      </c>
      <c r="B5001" s="3" t="inlineStr">
        <is>
          <t>삼보산업</t>
        </is>
      </c>
      <c r="C5001" s="2" t="inlineStr">
        <is>
          <t>코스닥</t>
        </is>
      </c>
      <c r="D5001" s="2" t="inlineStr">
        <is>
          <t>009620</t>
        </is>
      </c>
      <c r="E5001" s="3" t="inlineStr">
        <is>
          <t xml:space="preserve">주주총회소집결의              </t>
        </is>
      </c>
      <c r="F5001" s="3" t="inlineStr">
        <is>
          <t>삼보산업</t>
        </is>
      </c>
      <c r="G5001" s="2" t="inlineStr">
        <is>
          <t>20260615900564</t>
        </is>
      </c>
      <c r="H5001" s="8">
        <f>HYPERLINK("https://dart.fss.or.kr/dsaf001/main.do?rcpNo=20260615900564", "공시열람")</f>
        <v/>
      </c>
    </row>
    <row r="5002">
      <c r="A5002" s="2" t="inlineStr">
        <is>
          <t>2026-06-15 (정정: 2026-06-18)</t>
        </is>
      </c>
      <c r="B5002" s="3" t="inlineStr">
        <is>
          <t>모바일어플라이언스</t>
        </is>
      </c>
      <c r="C5002" s="2" t="inlineStr">
        <is>
          <t>코스닥</t>
        </is>
      </c>
      <c r="D5002" s="2" t="inlineStr">
        <is>
          <t>087260</t>
        </is>
      </c>
      <c r="E5002" s="3" t="inlineStr">
        <is>
          <t>소송등의제기ㆍ신청(경영권분쟁소송)               (정정: 20260618)</t>
        </is>
      </c>
      <c r="F5002" s="3" t="inlineStr">
        <is>
          <t>모바일어플라이언스</t>
        </is>
      </c>
      <c r="G5002" s="2" t="inlineStr">
        <is>
          <t>20260618000075</t>
        </is>
      </c>
      <c r="H5002" s="8">
        <f>HYPERLINK("https://dart.fss.or.kr/dsaf001/main.do?rcpNo=20260618000075", "공시열람")</f>
        <v/>
      </c>
    </row>
    <row r="5003">
      <c r="A5003" s="2" t="inlineStr">
        <is>
          <t>2026-06-15</t>
        </is>
      </c>
      <c r="B5003" s="3" t="inlineStr">
        <is>
          <t>덕산테코피아</t>
        </is>
      </c>
      <c r="C5003" s="2" t="inlineStr">
        <is>
          <t>코스닥</t>
        </is>
      </c>
      <c r="D5003" s="2" t="inlineStr">
        <is>
          <t>317330</t>
        </is>
      </c>
      <c r="E5003" s="3" t="inlineStr">
        <is>
          <t>주주총회소집공고</t>
        </is>
      </c>
      <c r="F5003" s="3" t="inlineStr">
        <is>
          <t>덕산테코피아</t>
        </is>
      </c>
      <c r="G5003" s="2" t="inlineStr">
        <is>
          <t>20260615000222</t>
        </is>
      </c>
      <c r="H5003" s="8">
        <f>HYPERLINK("https://dart.fss.or.kr/dsaf001/main.do?rcpNo=20260615000222", "공시열람")</f>
        <v/>
      </c>
    </row>
    <row r="5004">
      <c r="A5004" s="2" t="inlineStr">
        <is>
          <t>2026-06-15</t>
        </is>
      </c>
      <c r="B5004" s="3" t="inlineStr">
        <is>
          <t>코리아에셋투자증권</t>
        </is>
      </c>
      <c r="C5004" s="2" t="inlineStr">
        <is>
          <t>코스닥</t>
        </is>
      </c>
      <c r="D5004" s="2" t="inlineStr">
        <is>
          <t>190650</t>
        </is>
      </c>
      <c r="E5004" s="3" t="inlineStr">
        <is>
          <t xml:space="preserve">주주총회소집결의              </t>
        </is>
      </c>
      <c r="F5004" s="3" t="inlineStr">
        <is>
          <t>코리아에셋투자증권</t>
        </is>
      </c>
      <c r="G5004" s="2" t="inlineStr">
        <is>
          <t>20260615900514</t>
        </is>
      </c>
      <c r="H5004" s="8">
        <f>HYPERLINK("https://dart.fss.or.kr/dsaf001/main.do?rcpNo=20260615900514", "공시열람")</f>
        <v/>
      </c>
    </row>
    <row r="5005">
      <c r="A5005" s="2" t="inlineStr">
        <is>
          <t>2026-06-15</t>
        </is>
      </c>
      <c r="B5005" s="3" t="inlineStr">
        <is>
          <t>율촌</t>
        </is>
      </c>
      <c r="C5005" s="2" t="inlineStr">
        <is>
          <t>코스닥</t>
        </is>
      </c>
      <c r="D5005" s="2" t="inlineStr">
        <is>
          <t>146060</t>
        </is>
      </c>
      <c r="E5005" s="3" t="inlineStr">
        <is>
          <t xml:space="preserve">임시주주총회결과              </t>
        </is>
      </c>
      <c r="F5005" s="3" t="inlineStr">
        <is>
          <t>율촌</t>
        </is>
      </c>
      <c r="G5005" s="2" t="inlineStr">
        <is>
          <t>20260615900488</t>
        </is>
      </c>
      <c r="H5005" s="8">
        <f>HYPERLINK("https://dart.fss.or.kr/dsaf001/main.do?rcpNo=20260615900488", "공시열람")</f>
        <v/>
      </c>
    </row>
    <row r="5006">
      <c r="A5006" s="2" t="inlineStr">
        <is>
          <t>2026-06-15 (정정: 2026-06-15)</t>
        </is>
      </c>
      <c r="B5006" s="3" t="inlineStr">
        <is>
          <t>버킷스튜디오</t>
        </is>
      </c>
      <c r="C5006" s="2" t="inlineStr">
        <is>
          <t>코스닥</t>
        </is>
      </c>
      <c r="D5006" s="2" t="inlineStr">
        <is>
          <t>066410</t>
        </is>
      </c>
      <c r="E5006" s="3" t="inlineStr">
        <is>
          <t>주주총회소집공고 (정정: 20260615)</t>
        </is>
      </c>
      <c r="F5006" s="3" t="inlineStr">
        <is>
          <t>버킷스튜디오</t>
        </is>
      </c>
      <c r="G5006" s="2" t="inlineStr">
        <is>
          <t>20260615900448</t>
        </is>
      </c>
      <c r="H5006" s="8">
        <f>HYPERLINK("https://dart.fss.or.kr/dsaf001/main.do?rcpNo=20260615900448", "공시열람")</f>
        <v/>
      </c>
    </row>
    <row r="5007">
      <c r="A5007" s="2" t="inlineStr">
        <is>
          <t>2026-06-15</t>
        </is>
      </c>
      <c r="B5007" s="3" t="inlineStr">
        <is>
          <t>한국캐피탈</t>
        </is>
      </c>
      <c r="C5007" s="2" t="inlineStr">
        <is>
          <t>코스닥</t>
        </is>
      </c>
      <c r="D5007" s="2" t="inlineStr">
        <is>
          <t>023760</t>
        </is>
      </c>
      <c r="E5007" s="3" t="inlineStr">
        <is>
          <t>주주총회소집공고</t>
        </is>
      </c>
      <c r="F5007" s="3" t="inlineStr">
        <is>
          <t>한국캐피탈</t>
        </is>
      </c>
      <c r="G5007" s="2" t="inlineStr">
        <is>
          <t>20260615000203</t>
        </is>
      </c>
      <c r="H5007" s="8">
        <f>HYPERLINK("https://dart.fss.or.kr/dsaf001/main.do?rcpNo=20260615000203", "공시열람")</f>
        <v/>
      </c>
    </row>
    <row r="5008">
      <c r="A5008" s="2" t="inlineStr">
        <is>
          <t>2026-06-15</t>
        </is>
      </c>
      <c r="B5008" s="3" t="inlineStr">
        <is>
          <t>휴먼테크놀로지</t>
        </is>
      </c>
      <c r="C5008" s="2" t="inlineStr">
        <is>
          <t>코스닥</t>
        </is>
      </c>
      <c r="D5008" s="2" t="inlineStr">
        <is>
          <t>175140</t>
        </is>
      </c>
      <c r="E5008" s="3" t="inlineStr">
        <is>
          <t>주주총회소집공고</t>
        </is>
      </c>
      <c r="F5008" s="3" t="inlineStr">
        <is>
          <t>휴먼테크놀로지</t>
        </is>
      </c>
      <c r="G5008" s="2" t="inlineStr">
        <is>
          <t>20260615000192</t>
        </is>
      </c>
      <c r="H5008" s="8">
        <f>HYPERLINK("https://dart.fss.or.kr/dsaf001/main.do?rcpNo=20260615000192", "공시열람")</f>
        <v/>
      </c>
    </row>
    <row r="5009">
      <c r="A5009" s="2" t="inlineStr">
        <is>
          <t>2026-06-15</t>
        </is>
      </c>
      <c r="B5009" s="3" t="inlineStr">
        <is>
          <t>다이나믹디자인</t>
        </is>
      </c>
      <c r="C5009" s="2" t="inlineStr">
        <is>
          <t>코스피</t>
        </is>
      </c>
      <c r="D5009" s="2" t="inlineStr">
        <is>
          <t>145210</t>
        </is>
      </c>
      <c r="E5009" s="3" t="inlineStr">
        <is>
          <t xml:space="preserve">임시주주총회결과              </t>
        </is>
      </c>
      <c r="F5009" s="3" t="inlineStr">
        <is>
          <t>다이나믹디자인</t>
        </is>
      </c>
      <c r="G5009" s="2" t="inlineStr">
        <is>
          <t>20260615800449</t>
        </is>
      </c>
      <c r="H5009" s="8">
        <f>HYPERLINK("https://dart.fss.or.kr/dsaf001/main.do?rcpNo=20260615800449", "공시열람")</f>
        <v/>
      </c>
    </row>
    <row r="5010">
      <c r="A5010" s="2" t="inlineStr">
        <is>
          <t>2026-06-15</t>
        </is>
      </c>
      <c r="B5010" s="3" t="inlineStr">
        <is>
          <t>플래스크</t>
        </is>
      </c>
      <c r="C5010" s="2" t="inlineStr">
        <is>
          <t>코스닥</t>
        </is>
      </c>
      <c r="D5010" s="2" t="inlineStr">
        <is>
          <t>041590</t>
        </is>
      </c>
      <c r="E5010" s="3" t="inlineStr">
        <is>
          <t xml:space="preserve">임시주주총회결과              </t>
        </is>
      </c>
      <c r="F5010" s="3" t="inlineStr">
        <is>
          <t>플래스크</t>
        </is>
      </c>
      <c r="G5010" s="2" t="inlineStr">
        <is>
          <t>20260615900392</t>
        </is>
      </c>
      <c r="H5010" s="8">
        <f>HYPERLINK("https://dart.fss.or.kr/dsaf001/main.do?rcpNo=20260615900392", "공시열람")</f>
        <v/>
      </c>
    </row>
    <row r="5011">
      <c r="A5011" s="2" t="inlineStr">
        <is>
          <t>2026-06-15</t>
        </is>
      </c>
      <c r="B5011" s="3" t="inlineStr">
        <is>
          <t>코리아에셋투자증권</t>
        </is>
      </c>
      <c r="C5011" s="2" t="inlineStr">
        <is>
          <t>코스닥</t>
        </is>
      </c>
      <c r="D5011" s="2" t="inlineStr">
        <is>
          <t>190650</t>
        </is>
      </c>
      <c r="E5011" s="3" t="inlineStr">
        <is>
          <t>주주총회소집공고</t>
        </is>
      </c>
      <c r="F5011" s="3" t="inlineStr">
        <is>
          <t>코리아에셋투자증권</t>
        </is>
      </c>
      <c r="G5011" s="2" t="inlineStr">
        <is>
          <t>20260615000152</t>
        </is>
      </c>
      <c r="H5011" s="8">
        <f>HYPERLINK("https://dart.fss.or.kr/dsaf001/main.do?rcpNo=20260615000152", "공시열람")</f>
        <v/>
      </c>
    </row>
    <row r="5012">
      <c r="A5012" s="2" t="inlineStr">
        <is>
          <t>2026-06-15 (정정: 2026-06-15)</t>
        </is>
      </c>
      <c r="B5012" s="3" t="inlineStr">
        <is>
          <t>인바이오젠</t>
        </is>
      </c>
      <c r="C5012" s="2" t="inlineStr">
        <is>
          <t>코스피</t>
        </is>
      </c>
      <c r="D5012" s="2" t="inlineStr">
        <is>
          <t>101140</t>
        </is>
      </c>
      <c r="E5012" s="3" t="inlineStr">
        <is>
          <t>주주총회소집공고 (정정: 20260615)</t>
        </is>
      </c>
      <c r="F5012" s="3" t="inlineStr">
        <is>
          <t>인바이오젠</t>
        </is>
      </c>
      <c r="G5012" s="2" t="inlineStr">
        <is>
          <t>20260615800315</t>
        </is>
      </c>
      <c r="H5012" s="8">
        <f>HYPERLINK("https://dart.fss.or.kr/dsaf001/main.do?rcpNo=20260615800315", "공시열람")</f>
        <v/>
      </c>
    </row>
    <row r="5013">
      <c r="A5013" s="2" t="inlineStr">
        <is>
          <t>2026-06-15</t>
        </is>
      </c>
      <c r="B5013" s="3" t="inlineStr">
        <is>
          <t>두올</t>
        </is>
      </c>
      <c r="C5013" s="2" t="inlineStr">
        <is>
          <t>코스피</t>
        </is>
      </c>
      <c r="D5013" s="2" t="inlineStr">
        <is>
          <t>016740</t>
        </is>
      </c>
      <c r="E5013" s="3" t="inlineStr">
        <is>
          <t>주주총회소집공고</t>
        </is>
      </c>
      <c r="F5013" s="3" t="inlineStr">
        <is>
          <t>두올</t>
        </is>
      </c>
      <c r="G5013" s="2" t="inlineStr">
        <is>
          <t>20260615000129</t>
        </is>
      </c>
      <c r="H5013" s="8">
        <f>HYPERLINK("https://dart.fss.or.kr/dsaf001/main.do?rcpNo=20260615000129", "공시열람")</f>
        <v/>
      </c>
    </row>
    <row r="5014">
      <c r="A5014" s="2" t="inlineStr">
        <is>
          <t>2026-06-15</t>
        </is>
      </c>
      <c r="B5014" s="3" t="inlineStr">
        <is>
          <t>드림어스컴퍼니</t>
        </is>
      </c>
      <c r="C5014" s="2" t="inlineStr">
        <is>
          <t>코스닥</t>
        </is>
      </c>
      <c r="D5014" s="2" t="inlineStr">
        <is>
          <t>060570</t>
        </is>
      </c>
      <c r="E5014" s="3" t="inlineStr">
        <is>
          <t>주주총회소집공고</t>
        </is>
      </c>
      <c r="F5014" s="3" t="inlineStr">
        <is>
          <t>드림어스컴퍼니</t>
        </is>
      </c>
      <c r="G5014" s="2" t="inlineStr">
        <is>
          <t>20260615000105</t>
        </is>
      </c>
      <c r="H5014" s="8">
        <f>HYPERLINK("https://dart.fss.or.kr/dsaf001/main.do?rcpNo=20260615000105", "공시열람")</f>
        <v/>
      </c>
    </row>
    <row r="5015">
      <c r="A5015" s="2" t="inlineStr">
        <is>
          <t>2026-06-15</t>
        </is>
      </c>
      <c r="B5015" s="3" t="inlineStr">
        <is>
          <t>지역난방공사</t>
        </is>
      </c>
      <c r="C5015" s="2" t="inlineStr">
        <is>
          <t>코스피</t>
        </is>
      </c>
      <c r="D5015" s="2" t="inlineStr">
        <is>
          <t>071320</t>
        </is>
      </c>
      <c r="E5015" s="3" t="inlineStr">
        <is>
          <t>주주총회소집공고</t>
        </is>
      </c>
      <c r="F5015" s="3" t="inlineStr">
        <is>
          <t>지역난방공사</t>
        </is>
      </c>
      <c r="G5015" s="2" t="inlineStr">
        <is>
          <t>20260615000098</t>
        </is>
      </c>
      <c r="H5015" s="8">
        <f>HYPERLINK("https://dart.fss.or.kr/dsaf001/main.do?rcpNo=20260615000098", "공시열람")</f>
        <v/>
      </c>
    </row>
    <row r="5016">
      <c r="A5016" s="2" t="inlineStr">
        <is>
          <t>2026-06-15</t>
        </is>
      </c>
      <c r="B5016" s="3" t="inlineStr">
        <is>
          <t>지역난방공사</t>
        </is>
      </c>
      <c r="C5016" s="2" t="inlineStr">
        <is>
          <t>코스피</t>
        </is>
      </c>
      <c r="D5016" s="2" t="inlineStr">
        <is>
          <t>071320</t>
        </is>
      </c>
      <c r="E5016" s="3" t="inlineStr">
        <is>
          <t xml:space="preserve">주주총회소집결의              </t>
        </is>
      </c>
      <c r="F5016" s="3" t="inlineStr">
        <is>
          <t>지역난방공사</t>
        </is>
      </c>
      <c r="G5016" s="2" t="inlineStr">
        <is>
          <t>20260615800248</t>
        </is>
      </c>
      <c r="H5016" s="8">
        <f>HYPERLINK("https://dart.fss.or.kr/dsaf001/main.do?rcpNo=20260615800248", "공시열람")</f>
        <v/>
      </c>
    </row>
    <row r="5017">
      <c r="A5017" s="2" t="inlineStr">
        <is>
          <t>2026-06-16</t>
        </is>
      </c>
      <c r="B5017" s="3" t="inlineStr">
        <is>
          <t>코스텍시스템</t>
        </is>
      </c>
      <c r="C5017" s="2" t="inlineStr">
        <is>
          <t>코넥스</t>
        </is>
      </c>
      <c r="D5017" s="2" t="inlineStr">
        <is>
          <t>169670</t>
        </is>
      </c>
      <c r="E5017" s="3" t="inlineStr">
        <is>
          <t xml:space="preserve">[기재정정]최대주주변경              </t>
        </is>
      </c>
      <c r="F5017" s="3" t="inlineStr">
        <is>
          <t>코스텍시스템</t>
        </is>
      </c>
      <c r="G5017" s="2" t="inlineStr">
        <is>
          <t>20260616600838</t>
        </is>
      </c>
      <c r="H5017" s="8">
        <f>HYPERLINK("https://dart.fss.or.kr/dsaf001/main.do?rcpNo=20260616600838", "공시열람")</f>
        <v/>
      </c>
    </row>
    <row r="5018">
      <c r="A5018" s="2" t="inlineStr">
        <is>
          <t>2026-06-16</t>
        </is>
      </c>
      <c r="B5018" s="3" t="inlineStr">
        <is>
          <t>씨씨에스</t>
        </is>
      </c>
      <c r="C5018" s="2" t="inlineStr">
        <is>
          <t>코스닥</t>
        </is>
      </c>
      <c r="D5018" s="2" t="inlineStr">
        <is>
          <t>066790</t>
        </is>
      </c>
      <c r="E5018" s="3" t="inlineStr">
        <is>
          <t>주주총회소집결의              (임시주주총회)</t>
        </is>
      </c>
      <c r="F5018" s="3" t="inlineStr">
        <is>
          <t>씨씨에스</t>
        </is>
      </c>
      <c r="G5018" s="2" t="inlineStr">
        <is>
          <t>20260616900811</t>
        </is>
      </c>
      <c r="H5018" s="8">
        <f>HYPERLINK("https://dart.fss.or.kr/dsaf001/main.do?rcpNo=20260616900811", "공시열람")</f>
        <v/>
      </c>
    </row>
    <row r="5019">
      <c r="A5019" s="2" t="inlineStr">
        <is>
          <t>2026-06-16</t>
        </is>
      </c>
      <c r="B5019" s="3" t="inlineStr">
        <is>
          <t>대호에이엘</t>
        </is>
      </c>
      <c r="C5019" s="2" t="inlineStr">
        <is>
          <t>코스피</t>
        </is>
      </c>
      <c r="D5019" s="2" t="inlineStr">
        <is>
          <t>069460</t>
        </is>
      </c>
      <c r="E5019" s="3" t="inlineStr">
        <is>
          <t xml:space="preserve">주주총회소집결의              </t>
        </is>
      </c>
      <c r="F5019" s="3" t="inlineStr">
        <is>
          <t>대호에이엘</t>
        </is>
      </c>
      <c r="G5019" s="2" t="inlineStr">
        <is>
          <t>20260616800771</t>
        </is>
      </c>
      <c r="H5019" s="8">
        <f>HYPERLINK("https://dart.fss.or.kr/dsaf001/main.do?rcpNo=20260616800771", "공시열람")</f>
        <v/>
      </c>
    </row>
    <row r="5020">
      <c r="A5020" s="2" t="inlineStr">
        <is>
          <t>2026-06-16</t>
        </is>
      </c>
      <c r="B5020" s="3" t="inlineStr">
        <is>
          <t>디와이에이</t>
        </is>
      </c>
      <c r="C5020" s="2" t="inlineStr">
        <is>
          <t>코스피</t>
        </is>
      </c>
      <c r="D5020" s="2" t="inlineStr">
        <is>
          <t>002880</t>
        </is>
      </c>
      <c r="E5020" s="3" t="inlineStr">
        <is>
          <t>주주총회소집공고</t>
        </is>
      </c>
      <c r="F5020" s="3" t="inlineStr">
        <is>
          <t>디와이에이</t>
        </is>
      </c>
      <c r="G5020" s="2" t="inlineStr">
        <is>
          <t>20260616000327</t>
        </is>
      </c>
      <c r="H5020" s="8">
        <f>HYPERLINK("https://dart.fss.or.kr/dsaf001/main.do?rcpNo=20260616000327", "공시열람")</f>
        <v/>
      </c>
    </row>
    <row r="5021">
      <c r="A5021" s="2" t="inlineStr">
        <is>
          <t>2026-06-16</t>
        </is>
      </c>
      <c r="B5021" s="3" t="inlineStr">
        <is>
          <t>알파AI</t>
        </is>
      </c>
      <c r="C5021" s="2" t="inlineStr">
        <is>
          <t>코스닥</t>
        </is>
      </c>
      <c r="D5021" s="2" t="inlineStr">
        <is>
          <t>043100</t>
        </is>
      </c>
      <c r="E5021" s="3" t="inlineStr">
        <is>
          <t>[기재정정]주주총회소집공고</t>
        </is>
      </c>
      <c r="F5021" s="3" t="inlineStr">
        <is>
          <t>알파AI</t>
        </is>
      </c>
      <c r="G5021" s="2" t="inlineStr">
        <is>
          <t>20260616000322</t>
        </is>
      </c>
      <c r="H5021" s="8">
        <f>HYPERLINK("https://dart.fss.or.kr/dsaf001/main.do?rcpNo=20260616000322", "공시열람")</f>
        <v/>
      </c>
    </row>
    <row r="5022">
      <c r="A5022" s="2" t="inlineStr">
        <is>
          <t>2026-06-16</t>
        </is>
      </c>
      <c r="B5022" s="3" t="inlineStr">
        <is>
          <t>덴티움</t>
        </is>
      </c>
      <c r="C5022" s="2" t="inlineStr">
        <is>
          <t>코스피</t>
        </is>
      </c>
      <c r="D5022" s="2" t="inlineStr">
        <is>
          <t>145720</t>
        </is>
      </c>
      <c r="E5022" s="3" t="inlineStr">
        <is>
          <t xml:space="preserve">소송등의제기ㆍ신청(경영권분쟁소송)              </t>
        </is>
      </c>
      <c r="F5022" s="3" t="inlineStr">
        <is>
          <t>덴티움</t>
        </is>
      </c>
      <c r="G5022" s="2" t="inlineStr">
        <is>
          <t>20260616800624</t>
        </is>
      </c>
      <c r="H5022" s="8">
        <f>HYPERLINK("https://dart.fss.or.kr/dsaf001/main.do?rcpNo=20260616800624", "공시열람")</f>
        <v/>
      </c>
    </row>
    <row r="5023">
      <c r="A5023" s="2" t="inlineStr">
        <is>
          <t>2026-06-16</t>
        </is>
      </c>
      <c r="B5023" s="3" t="inlineStr">
        <is>
          <t>캐스텍코리아</t>
        </is>
      </c>
      <c r="C5023" s="2" t="inlineStr">
        <is>
          <t>코스닥</t>
        </is>
      </c>
      <c r="D5023" s="2" t="inlineStr">
        <is>
          <t>071850</t>
        </is>
      </c>
      <c r="E5023" s="3" t="inlineStr">
        <is>
          <t>소송등의제기ㆍ신청(경영권분쟁소송)              (주주총회결의무효확인 등)</t>
        </is>
      </c>
      <c r="F5023" s="3" t="inlineStr">
        <is>
          <t>캐스텍코리아</t>
        </is>
      </c>
      <c r="G5023" s="2" t="inlineStr">
        <is>
          <t>20260616900483</t>
        </is>
      </c>
      <c r="H5023" s="8">
        <f>HYPERLINK("https://dart.fss.or.kr/dsaf001/main.do?rcpNo=20260616900483", "공시열람")</f>
        <v/>
      </c>
    </row>
    <row r="5024">
      <c r="A5024" s="2" t="inlineStr">
        <is>
          <t>2026-06-16 (정정: 2026-06-24)</t>
        </is>
      </c>
      <c r="B5024" s="3" t="inlineStr">
        <is>
          <t>에코볼트</t>
        </is>
      </c>
      <c r="C5024" s="2" t="inlineStr">
        <is>
          <t>코스닥</t>
        </is>
      </c>
      <c r="D5024" s="2" t="inlineStr">
        <is>
          <t>097780</t>
        </is>
      </c>
      <c r="E5024" s="3" t="inlineStr">
        <is>
          <t>임시주주총회결과               (정정: 20260624)</t>
        </is>
      </c>
      <c r="F5024" s="3" t="inlineStr">
        <is>
          <t>에코볼트</t>
        </is>
      </c>
      <c r="G5024" s="2" t="inlineStr">
        <is>
          <t>20260624000474</t>
        </is>
      </c>
      <c r="H5024" s="8">
        <f>HYPERLINK("https://dart.fss.or.kr/dsaf001/main.do?rcpNo=20260624000474", "공시열람")</f>
        <v/>
      </c>
    </row>
    <row r="5025">
      <c r="A5025" s="2" t="inlineStr">
        <is>
          <t>2026-06-16</t>
        </is>
      </c>
      <c r="B5025" s="3" t="inlineStr">
        <is>
          <t>미스터블루</t>
        </is>
      </c>
      <c r="C5025" s="2" t="inlineStr">
        <is>
          <t>코스닥</t>
        </is>
      </c>
      <c r="D5025" s="2" t="inlineStr">
        <is>
          <t>207760</t>
        </is>
      </c>
      <c r="E5025" s="3" t="inlineStr">
        <is>
          <t>주주총회소집공고</t>
        </is>
      </c>
      <c r="F5025" s="3" t="inlineStr">
        <is>
          <t>미스터블루</t>
        </is>
      </c>
      <c r="G5025" s="2" t="inlineStr">
        <is>
          <t>20260616000234</t>
        </is>
      </c>
      <c r="H5025" s="8">
        <f>HYPERLINK("https://dart.fss.or.kr/dsaf001/main.do?rcpNo=20260616000234", "공시열람")</f>
        <v/>
      </c>
    </row>
    <row r="5026">
      <c r="A5026" s="2" t="inlineStr">
        <is>
          <t>2026-06-16</t>
        </is>
      </c>
      <c r="B5026" s="3" t="inlineStr">
        <is>
          <t>오에스피</t>
        </is>
      </c>
      <c r="C5026" s="2" t="inlineStr">
        <is>
          <t>코스닥</t>
        </is>
      </c>
      <c r="D5026" s="2" t="inlineStr">
        <is>
          <t>368970</t>
        </is>
      </c>
      <c r="E5026" s="3" t="inlineStr">
        <is>
          <t>주주총회소집결의              (임시주주총회)</t>
        </is>
      </c>
      <c r="F5026" s="3" t="inlineStr">
        <is>
          <t>오에스피</t>
        </is>
      </c>
      <c r="G5026" s="2" t="inlineStr">
        <is>
          <t>20260616900486</t>
        </is>
      </c>
      <c r="H5026" s="8">
        <f>HYPERLINK("https://dart.fss.or.kr/dsaf001/main.do?rcpNo=20260616900486", "공시열람")</f>
        <v/>
      </c>
    </row>
    <row r="5027">
      <c r="A5027" s="2" t="inlineStr">
        <is>
          <t>2026-06-16</t>
        </is>
      </c>
      <c r="B5027" s="3" t="inlineStr">
        <is>
          <t>휴니드테크놀러지스</t>
        </is>
      </c>
      <c r="C5027" s="2" t="inlineStr">
        <is>
          <t>코스피</t>
        </is>
      </c>
      <c r="D5027" s="2" t="inlineStr">
        <is>
          <t>005870</t>
        </is>
      </c>
      <c r="E5027" s="3" t="inlineStr">
        <is>
          <t>주주총회소집공고</t>
        </is>
      </c>
      <c r="F5027" s="3" t="inlineStr">
        <is>
          <t>휴니드테크놀러지스</t>
        </is>
      </c>
      <c r="G5027" s="2" t="inlineStr">
        <is>
          <t>20260616000198</t>
        </is>
      </c>
      <c r="H5027" s="8">
        <f>HYPERLINK("https://dart.fss.or.kr/dsaf001/main.do?rcpNo=20260616000198", "공시열람")</f>
        <v/>
      </c>
    </row>
    <row r="5028">
      <c r="A5028" s="2" t="inlineStr">
        <is>
          <t>2026-06-16</t>
        </is>
      </c>
      <c r="B5028" s="3" t="inlineStr">
        <is>
          <t>케스피온</t>
        </is>
      </c>
      <c r="C5028" s="2" t="inlineStr">
        <is>
          <t>코스닥</t>
        </is>
      </c>
      <c r="D5028" s="2" t="inlineStr">
        <is>
          <t>079190</t>
        </is>
      </c>
      <c r="E5028" s="3" t="inlineStr">
        <is>
          <t xml:space="preserve">임시주주총회결과              </t>
        </is>
      </c>
      <c r="F5028" s="3" t="inlineStr">
        <is>
          <t>케스피온</t>
        </is>
      </c>
      <c r="G5028" s="2" t="inlineStr">
        <is>
          <t>20260616900445</t>
        </is>
      </c>
      <c r="H5028" s="8">
        <f>HYPERLINK("https://dart.fss.or.kr/dsaf001/main.do?rcpNo=20260616900445", "공시열람")</f>
        <v/>
      </c>
    </row>
    <row r="5029">
      <c r="A5029" s="2" t="inlineStr">
        <is>
          <t>2026-06-16</t>
        </is>
      </c>
      <c r="B5029" s="3" t="inlineStr">
        <is>
          <t>씨엠티엑스</t>
        </is>
      </c>
      <c r="C5029" s="2" t="inlineStr">
        <is>
          <t>코스닥</t>
        </is>
      </c>
      <c r="D5029" s="2" t="inlineStr">
        <is>
          <t>388210</t>
        </is>
      </c>
      <c r="E5029" s="3" t="inlineStr">
        <is>
          <t>주주총회소집결의              (임시주주총회)</t>
        </is>
      </c>
      <c r="F5029" s="3" t="inlineStr">
        <is>
          <t>씨엠티엑스</t>
        </is>
      </c>
      <c r="G5029" s="2" t="inlineStr">
        <is>
          <t>20260616900438</t>
        </is>
      </c>
      <c r="H5029" s="8">
        <f>HYPERLINK("https://dart.fss.or.kr/dsaf001/main.do?rcpNo=20260616900438", "공시열람")</f>
        <v/>
      </c>
    </row>
    <row r="5030">
      <c r="A5030" s="2" t="inlineStr">
        <is>
          <t>2026-06-16 (정정: 2026-06-18)</t>
        </is>
      </c>
      <c r="B5030" s="3" t="inlineStr">
        <is>
          <t>바이오인프라생명과학</t>
        </is>
      </c>
      <c r="C5030" s="2" t="inlineStr">
        <is>
          <t>코넥스</t>
        </is>
      </c>
      <c r="D5030" s="2" t="inlineStr">
        <is>
          <t>266470</t>
        </is>
      </c>
      <c r="E5030" s="3" t="inlineStr">
        <is>
          <t>주주총회소집결의               (정정: 20260618)</t>
        </is>
      </c>
      <c r="F5030" s="3" t="inlineStr">
        <is>
          <t>바이오인프라생명과학</t>
        </is>
      </c>
      <c r="G5030" s="2" t="inlineStr">
        <is>
          <t>20260618600607</t>
        </is>
      </c>
      <c r="H5030" s="8">
        <f>HYPERLINK("https://dart.fss.or.kr/dsaf001/main.do?rcpNo=20260618600607", "공시열람")</f>
        <v/>
      </c>
    </row>
    <row r="5031">
      <c r="A5031" s="2" t="inlineStr">
        <is>
          <t>2026-06-16</t>
        </is>
      </c>
      <c r="B5031" s="3" t="inlineStr">
        <is>
          <t>우진아이엔에스</t>
        </is>
      </c>
      <c r="C5031" s="2" t="inlineStr">
        <is>
          <t>코스피</t>
        </is>
      </c>
      <c r="D5031" s="2" t="inlineStr">
        <is>
          <t>010400</t>
        </is>
      </c>
      <c r="E5031" s="3" t="inlineStr">
        <is>
          <t xml:space="preserve">임시주주총회결과              </t>
        </is>
      </c>
      <c r="F5031" s="3" t="inlineStr">
        <is>
          <t>우진아이엔에스</t>
        </is>
      </c>
      <c r="G5031" s="2" t="inlineStr">
        <is>
          <t>20260616800423</t>
        </is>
      </c>
      <c r="H5031" s="8">
        <f>HYPERLINK("https://dart.fss.or.kr/dsaf001/main.do?rcpNo=20260616800423", "공시열람")</f>
        <v/>
      </c>
    </row>
    <row r="5032">
      <c r="A5032" s="2" t="inlineStr">
        <is>
          <t>2026-06-16</t>
        </is>
      </c>
      <c r="B5032" s="3" t="inlineStr">
        <is>
          <t>세코닉스</t>
        </is>
      </c>
      <c r="C5032" s="2" t="inlineStr">
        <is>
          <t>코스닥</t>
        </is>
      </c>
      <c r="D5032" s="2" t="inlineStr">
        <is>
          <t>053450</t>
        </is>
      </c>
      <c r="E5032" s="3" t="inlineStr">
        <is>
          <t xml:space="preserve">임시주주총회결과              </t>
        </is>
      </c>
      <c r="F5032" s="3" t="inlineStr">
        <is>
          <t>세코닉스</t>
        </is>
      </c>
      <c r="G5032" s="2" t="inlineStr">
        <is>
          <t>20260616900358</t>
        </is>
      </c>
      <c r="H5032" s="8">
        <f>HYPERLINK("https://dart.fss.or.kr/dsaf001/main.do?rcpNo=20260616900358", "공시열람")</f>
        <v/>
      </c>
    </row>
    <row r="5033">
      <c r="A5033" s="2" t="inlineStr">
        <is>
          <t>2026-06-16</t>
        </is>
      </c>
      <c r="B5033" s="3" t="inlineStr">
        <is>
          <t>한글과컴퓨터</t>
        </is>
      </c>
      <c r="C5033" s="2" t="inlineStr">
        <is>
          <t>코스닥</t>
        </is>
      </c>
      <c r="D5033" s="2" t="inlineStr">
        <is>
          <t>030520</t>
        </is>
      </c>
      <c r="E5033" s="3" t="inlineStr">
        <is>
          <t>주주총회소집공고</t>
        </is>
      </c>
      <c r="F5033" s="3" t="inlineStr">
        <is>
          <t>한글과컴퓨터</t>
        </is>
      </c>
      <c r="G5033" s="2" t="inlineStr">
        <is>
          <t>20260616000107</t>
        </is>
      </c>
      <c r="H5033" s="8">
        <f>HYPERLINK("https://dart.fss.or.kr/dsaf001/main.do?rcpNo=20260616000107", "공시열람")</f>
        <v/>
      </c>
    </row>
    <row r="5034">
      <c r="A5034" s="2" t="inlineStr">
        <is>
          <t>2026-06-16</t>
        </is>
      </c>
      <c r="B5034" s="3" t="inlineStr">
        <is>
          <t>딥커머스</t>
        </is>
      </c>
      <c r="C5034" s="2" t="inlineStr">
        <is>
          <t>코스닥</t>
        </is>
      </c>
      <c r="D5034" s="2" t="inlineStr">
        <is>
          <t>900110</t>
        </is>
      </c>
      <c r="E5034" s="3" t="inlineStr">
        <is>
          <t xml:space="preserve">[첨부정정]주주총회소집결의              </t>
        </is>
      </c>
      <c r="F5034" s="3" t="inlineStr">
        <is>
          <t>딥커머스</t>
        </is>
      </c>
      <c r="G5034" s="2" t="inlineStr">
        <is>
          <t>20260616900228</t>
        </is>
      </c>
      <c r="H5034" s="8">
        <f>HYPERLINK("https://dart.fss.or.kr/dsaf001/main.do?rcpNo=20260616900228", "공시열람")</f>
        <v/>
      </c>
    </row>
    <row r="5035">
      <c r="A5035" s="2" t="inlineStr">
        <is>
          <t>2026-06-16</t>
        </is>
      </c>
      <c r="B5035" s="3" t="inlineStr">
        <is>
          <t>피제이메탈</t>
        </is>
      </c>
      <c r="C5035" s="2" t="inlineStr">
        <is>
          <t>코스닥</t>
        </is>
      </c>
      <c r="D5035" s="2" t="inlineStr">
        <is>
          <t>128660</t>
        </is>
      </c>
      <c r="E5035" s="3" t="inlineStr">
        <is>
          <t>주주총회소집공고</t>
        </is>
      </c>
      <c r="F5035" s="3" t="inlineStr">
        <is>
          <t>피제이메탈</t>
        </is>
      </c>
      <c r="G5035" s="2" t="inlineStr">
        <is>
          <t>20260616000016</t>
        </is>
      </c>
      <c r="H5035" s="8">
        <f>HYPERLINK("https://dart.fss.or.kr/dsaf001/main.do?rcpNo=20260616000016", "공시열람")</f>
        <v/>
      </c>
    </row>
    <row r="5036">
      <c r="A5036" s="2" t="inlineStr">
        <is>
          <t>2026-06-16</t>
        </is>
      </c>
      <c r="B5036" s="3" t="inlineStr">
        <is>
          <t>이엠티</t>
        </is>
      </c>
      <c r="C5036" s="2" t="inlineStr">
        <is>
          <t>코넥스</t>
        </is>
      </c>
      <c r="D5036" s="2" t="inlineStr">
        <is>
          <t>232530</t>
        </is>
      </c>
      <c r="E5036" s="3" t="inlineStr">
        <is>
          <t>주주총회소집공고</t>
        </is>
      </c>
      <c r="F5036" s="3" t="inlineStr">
        <is>
          <t>이엠티</t>
        </is>
      </c>
      <c r="G5036" s="2" t="inlineStr">
        <is>
          <t>20260615000448</t>
        </is>
      </c>
      <c r="H5036" s="8">
        <f>HYPERLINK("https://dart.fss.or.kr/dsaf001/main.do?rcpNo=20260615000448", "공시열람")</f>
        <v/>
      </c>
    </row>
    <row r="5037">
      <c r="A5037" s="2" t="inlineStr">
        <is>
          <t>2026-06-17</t>
        </is>
      </c>
      <c r="B5037" s="3" t="inlineStr">
        <is>
          <t>엔지켐생명과학</t>
        </is>
      </c>
      <c r="C5037" s="2" t="inlineStr">
        <is>
          <t>코스닥</t>
        </is>
      </c>
      <c r="D5037" s="2" t="inlineStr">
        <is>
          <t>183490</t>
        </is>
      </c>
      <c r="E5037" s="3" t="inlineStr">
        <is>
          <t>소송등의제기ㆍ신청(경영권분쟁소송)              (임시주주지위확인가처분)</t>
        </is>
      </c>
      <c r="F5037" s="3" t="inlineStr">
        <is>
          <t>엔지켐생명과학</t>
        </is>
      </c>
      <c r="G5037" s="2" t="inlineStr">
        <is>
          <t>20260617900715</t>
        </is>
      </c>
      <c r="H5037" s="8">
        <f>HYPERLINK("https://dart.fss.or.kr/dsaf001/main.do?rcpNo=20260617900715", "공시열람")</f>
        <v/>
      </c>
    </row>
    <row r="5038">
      <c r="A5038" s="2" t="inlineStr">
        <is>
          <t>2026-06-17</t>
        </is>
      </c>
      <c r="B5038" s="3" t="inlineStr">
        <is>
          <t>휴젤</t>
        </is>
      </c>
      <c r="C5038" s="2" t="inlineStr">
        <is>
          <t>코스닥</t>
        </is>
      </c>
      <c r="D5038" s="2" t="inlineStr">
        <is>
          <t>145020</t>
        </is>
      </c>
      <c r="E5038" s="3" t="inlineStr">
        <is>
          <t xml:space="preserve">최대주주변경을수반하는주식담보제공계약체결              </t>
        </is>
      </c>
      <c r="F5038" s="3" t="inlineStr">
        <is>
          <t>휴젤</t>
        </is>
      </c>
      <c r="G5038" s="2" t="inlineStr">
        <is>
          <t>20260617900673</t>
        </is>
      </c>
      <c r="H5038" s="8">
        <f>HYPERLINK("https://dart.fss.or.kr/dsaf001/main.do?rcpNo=20260617900673", "공시열람")</f>
        <v/>
      </c>
    </row>
    <row r="5039">
      <c r="A5039" s="2" t="inlineStr">
        <is>
          <t>2026-06-17</t>
        </is>
      </c>
      <c r="B5039" s="3" t="inlineStr">
        <is>
          <t>휴젤</t>
        </is>
      </c>
      <c r="C5039" s="2" t="inlineStr">
        <is>
          <t>코스닥</t>
        </is>
      </c>
      <c r="D5039" s="2" t="inlineStr">
        <is>
          <t>145020</t>
        </is>
      </c>
      <c r="E5039" s="3" t="inlineStr">
        <is>
          <t xml:space="preserve">최대주주변경을수반하는주식담보제공계약해제ㆍ취소등              </t>
        </is>
      </c>
      <c r="F5039" s="3" t="inlineStr">
        <is>
          <t>휴젤</t>
        </is>
      </c>
      <c r="G5039" s="2" t="inlineStr">
        <is>
          <t>20260617900672</t>
        </is>
      </c>
      <c r="H5039" s="8">
        <f>HYPERLINK("https://dart.fss.or.kr/dsaf001/main.do?rcpNo=20260617900672", "공시열람")</f>
        <v/>
      </c>
    </row>
    <row r="5040">
      <c r="A5040" s="2" t="inlineStr">
        <is>
          <t>2026-06-17</t>
        </is>
      </c>
      <c r="B5040" s="3" t="inlineStr">
        <is>
          <t>투비소프트</t>
        </is>
      </c>
      <c r="C5040" s="2" t="inlineStr">
        <is>
          <t>코스닥</t>
        </is>
      </c>
      <c r="D5040" s="2" t="inlineStr">
        <is>
          <t>079970</t>
        </is>
      </c>
      <c r="E5040" s="3" t="inlineStr">
        <is>
          <t>소송등의제기ㆍ신청(경영권분쟁소송)              (회계장부 열람등사 가처분)</t>
        </is>
      </c>
      <c r="F5040" s="3" t="inlineStr">
        <is>
          <t>투비소프트</t>
        </is>
      </c>
      <c r="G5040" s="2" t="inlineStr">
        <is>
          <t>20260617900641</t>
        </is>
      </c>
      <c r="H5040" s="8">
        <f>HYPERLINK("https://dart.fss.or.kr/dsaf001/main.do?rcpNo=20260617900641", "공시열람")</f>
        <v/>
      </c>
    </row>
    <row r="5041">
      <c r="A5041" s="2" t="inlineStr">
        <is>
          <t>2026-06-17</t>
        </is>
      </c>
      <c r="B5041" s="3" t="inlineStr">
        <is>
          <t>한국전력공사</t>
        </is>
      </c>
      <c r="C5041" s="2" t="inlineStr">
        <is>
          <t>코스피</t>
        </is>
      </c>
      <c r="D5041" s="2" t="inlineStr">
        <is>
          <t>015760</t>
        </is>
      </c>
      <c r="E5041" s="3" t="inlineStr">
        <is>
          <t xml:space="preserve">임시주주총회결과              </t>
        </is>
      </c>
      <c r="F5041" s="3" t="inlineStr">
        <is>
          <t>한국전력공사</t>
        </is>
      </c>
      <c r="G5041" s="2" t="inlineStr">
        <is>
          <t>20260617800529</t>
        </is>
      </c>
      <c r="H5041" s="8">
        <f>HYPERLINK("https://dart.fss.or.kr/dsaf001/main.do?rcpNo=20260617800529", "공시열람")</f>
        <v/>
      </c>
    </row>
    <row r="5042">
      <c r="A5042" s="2" t="inlineStr">
        <is>
          <t>2026-06-17</t>
        </is>
      </c>
      <c r="B5042" s="3" t="inlineStr">
        <is>
          <t>알파칩스</t>
        </is>
      </c>
      <c r="C5042" s="2" t="inlineStr">
        <is>
          <t>코스닥</t>
        </is>
      </c>
      <c r="D5042" s="2" t="inlineStr">
        <is>
          <t>117670</t>
        </is>
      </c>
      <c r="E5042" s="3" t="inlineStr">
        <is>
          <t>주주총회소집결의              (임시주주총회)</t>
        </is>
      </c>
      <c r="F5042" s="3" t="inlineStr">
        <is>
          <t>알파칩스</t>
        </is>
      </c>
      <c r="G5042" s="2" t="inlineStr">
        <is>
          <t>20260617900491</t>
        </is>
      </c>
      <c r="H5042" s="8">
        <f>HYPERLINK("https://dart.fss.or.kr/dsaf001/main.do?rcpNo=20260617900491", "공시열람")</f>
        <v/>
      </c>
    </row>
    <row r="5043">
      <c r="A5043" s="2" t="inlineStr">
        <is>
          <t>2026-06-17</t>
        </is>
      </c>
      <c r="B5043" s="3" t="inlineStr">
        <is>
          <t>한국첨단소재</t>
        </is>
      </c>
      <c r="C5043" s="2" t="inlineStr">
        <is>
          <t>코스닥</t>
        </is>
      </c>
      <c r="D5043" s="2" t="inlineStr">
        <is>
          <t>062970</t>
        </is>
      </c>
      <c r="E5043" s="3" t="inlineStr">
        <is>
          <t xml:space="preserve">임시주주총회결과              </t>
        </is>
      </c>
      <c r="F5043" s="3" t="inlineStr">
        <is>
          <t>한국첨단소재</t>
        </is>
      </c>
      <c r="G5043" s="2" t="inlineStr">
        <is>
          <t>20260617900464</t>
        </is>
      </c>
      <c r="H5043" s="8">
        <f>HYPERLINK("https://dart.fss.or.kr/dsaf001/main.do?rcpNo=20260617900464", "공시열람")</f>
        <v/>
      </c>
    </row>
    <row r="5044">
      <c r="A5044" s="2" t="inlineStr">
        <is>
          <t>2026-06-17</t>
        </is>
      </c>
      <c r="B5044" s="3" t="inlineStr">
        <is>
          <t>영화금속</t>
        </is>
      </c>
      <c r="C5044" s="2" t="inlineStr">
        <is>
          <t>코스피</t>
        </is>
      </c>
      <c r="D5044" s="2" t="inlineStr">
        <is>
          <t>012280</t>
        </is>
      </c>
      <c r="E5044" s="3" t="inlineStr">
        <is>
          <t xml:space="preserve">[기재정정]주주총회소집결의              </t>
        </is>
      </c>
      <c r="F5044" s="3" t="inlineStr">
        <is>
          <t>영화금속</t>
        </is>
      </c>
      <c r="G5044" s="2" t="inlineStr">
        <is>
          <t>20260617800496</t>
        </is>
      </c>
      <c r="H5044" s="8">
        <f>HYPERLINK("https://dart.fss.or.kr/dsaf001/main.do?rcpNo=20260617800496", "공시열람")</f>
        <v/>
      </c>
    </row>
    <row r="5045">
      <c r="A5045" s="2" t="inlineStr">
        <is>
          <t>2026-06-17</t>
        </is>
      </c>
      <c r="B5045" s="3" t="inlineStr">
        <is>
          <t>KX</t>
        </is>
      </c>
      <c r="C5045" s="2" t="inlineStr">
        <is>
          <t>코스닥</t>
        </is>
      </c>
      <c r="D5045" s="2" t="inlineStr">
        <is>
          <t>122450</t>
        </is>
      </c>
      <c r="E5045" s="3" t="inlineStr">
        <is>
          <t>주요사항보고서(회사합병결정)</t>
        </is>
      </c>
      <c r="F5045" s="3" t="inlineStr">
        <is>
          <t>KX</t>
        </is>
      </c>
      <c r="G5045" s="2" t="inlineStr">
        <is>
          <t>20260617000362</t>
        </is>
      </c>
      <c r="H5045" s="8">
        <f>HYPERLINK("https://dart.fss.or.kr/dsaf001/main.do?rcpNo=20260617000362", "공시열람")</f>
        <v/>
      </c>
    </row>
    <row r="5046">
      <c r="A5046" s="2" t="inlineStr">
        <is>
          <t>2026-06-17</t>
        </is>
      </c>
      <c r="B5046" s="3" t="inlineStr">
        <is>
          <t>GKL</t>
        </is>
      </c>
      <c r="C5046" s="2" t="inlineStr">
        <is>
          <t>코스피</t>
        </is>
      </c>
      <c r="D5046" s="2" t="inlineStr">
        <is>
          <t>114090</t>
        </is>
      </c>
      <c r="E5046" s="3" t="inlineStr">
        <is>
          <t>주주총회소집공고</t>
        </is>
      </c>
      <c r="F5046" s="3" t="inlineStr">
        <is>
          <t>GKL</t>
        </is>
      </c>
      <c r="G5046" s="2" t="inlineStr">
        <is>
          <t>20260617000376</t>
        </is>
      </c>
      <c r="H5046" s="8">
        <f>HYPERLINK("https://dart.fss.or.kr/dsaf001/main.do?rcpNo=20260617000376", "공시열람")</f>
        <v/>
      </c>
    </row>
    <row r="5047">
      <c r="A5047" s="2" t="inlineStr">
        <is>
          <t>2026-06-17</t>
        </is>
      </c>
      <c r="B5047" s="3" t="inlineStr">
        <is>
          <t>금호전기</t>
        </is>
      </c>
      <c r="C5047" s="2" t="inlineStr">
        <is>
          <t>코스피</t>
        </is>
      </c>
      <c r="D5047" s="2" t="inlineStr">
        <is>
          <t>001210</t>
        </is>
      </c>
      <c r="E5047" s="3" t="inlineStr">
        <is>
          <t>주주총회소집공고</t>
        </is>
      </c>
      <c r="F5047" s="3" t="inlineStr">
        <is>
          <t>금호전기</t>
        </is>
      </c>
      <c r="G5047" s="2" t="inlineStr">
        <is>
          <t>20260617000371</t>
        </is>
      </c>
      <c r="H5047" s="8">
        <f>HYPERLINK("https://dart.fss.or.kr/dsaf001/main.do?rcpNo=20260617000371", "공시열람")</f>
        <v/>
      </c>
    </row>
    <row r="5048">
      <c r="A5048" s="2" t="inlineStr">
        <is>
          <t>2026-06-17</t>
        </is>
      </c>
      <c r="B5048" s="3" t="inlineStr">
        <is>
          <t>GKL</t>
        </is>
      </c>
      <c r="C5048" s="2" t="inlineStr">
        <is>
          <t>코스피</t>
        </is>
      </c>
      <c r="D5048" s="2" t="inlineStr">
        <is>
          <t>114090</t>
        </is>
      </c>
      <c r="E5048" s="3" t="inlineStr">
        <is>
          <t xml:space="preserve">주주총회소집결의              </t>
        </is>
      </c>
      <c r="F5048" s="3" t="inlineStr">
        <is>
          <t>GKL</t>
        </is>
      </c>
      <c r="G5048" s="2" t="inlineStr">
        <is>
          <t>20260617800406</t>
        </is>
      </c>
      <c r="H5048" s="8">
        <f>HYPERLINK("https://dart.fss.or.kr/dsaf001/main.do?rcpNo=20260617800406", "공시열람")</f>
        <v/>
      </c>
    </row>
    <row r="5049">
      <c r="A5049" s="2" t="inlineStr">
        <is>
          <t>2026-06-17</t>
        </is>
      </c>
      <c r="B5049" s="3" t="inlineStr">
        <is>
          <t>KX</t>
        </is>
      </c>
      <c r="C5049" s="2" t="inlineStr">
        <is>
          <t>코스닥</t>
        </is>
      </c>
      <c r="D5049" s="2" t="inlineStr">
        <is>
          <t>122450</t>
        </is>
      </c>
      <c r="E5049" s="3" t="inlineStr">
        <is>
          <t xml:space="preserve">회사합병결정(종속회사의주요경영사항)              </t>
        </is>
      </c>
      <c r="F5049" s="3" t="inlineStr">
        <is>
          <t>KX</t>
        </is>
      </c>
      <c r="G5049" s="2" t="inlineStr">
        <is>
          <t>20260617900417</t>
        </is>
      </c>
      <c r="H5049" s="8">
        <f>HYPERLINK("https://dart.fss.or.kr/dsaf001/main.do?rcpNo=20260617900417", "공시열람")</f>
        <v/>
      </c>
    </row>
    <row r="5050">
      <c r="A5050" s="2" t="inlineStr">
        <is>
          <t>2026-06-17</t>
        </is>
      </c>
      <c r="B5050" s="3" t="inlineStr">
        <is>
          <t>영화금속</t>
        </is>
      </c>
      <c r="C5050" s="2" t="inlineStr">
        <is>
          <t>코스피</t>
        </is>
      </c>
      <c r="D5050" s="2" t="inlineStr">
        <is>
          <t>012280</t>
        </is>
      </c>
      <c r="E5050" s="3" t="inlineStr">
        <is>
          <t xml:space="preserve">주주총회소집결의              </t>
        </is>
      </c>
      <c r="F5050" s="3" t="inlineStr">
        <is>
          <t>영화금속</t>
        </is>
      </c>
      <c r="G5050" s="2" t="inlineStr">
        <is>
          <t>20260617800373</t>
        </is>
      </c>
      <c r="H5050" s="8">
        <f>HYPERLINK("https://dart.fss.or.kr/dsaf001/main.do?rcpNo=20260617800373", "공시열람")</f>
        <v/>
      </c>
    </row>
    <row r="5051">
      <c r="A5051" s="2" t="inlineStr">
        <is>
          <t>2026-06-17</t>
        </is>
      </c>
      <c r="B5051" s="3" t="inlineStr">
        <is>
          <t>인바이오</t>
        </is>
      </c>
      <c r="C5051" s="2" t="inlineStr">
        <is>
          <t>코스닥</t>
        </is>
      </c>
      <c r="D5051" s="2" t="inlineStr">
        <is>
          <t>352940</t>
        </is>
      </c>
      <c r="E5051" s="3" t="inlineStr">
        <is>
          <t xml:space="preserve">임시주주총회결과              </t>
        </is>
      </c>
      <c r="F5051" s="3" t="inlineStr">
        <is>
          <t>인바이오</t>
        </is>
      </c>
      <c r="G5051" s="2" t="inlineStr">
        <is>
          <t>20260617900347</t>
        </is>
      </c>
      <c r="H5051" s="8">
        <f>HYPERLINK("https://dart.fss.or.kr/dsaf001/main.do?rcpNo=20260617900347", "공시열람")</f>
        <v/>
      </c>
    </row>
    <row r="5052">
      <c r="A5052" s="2" t="inlineStr">
        <is>
          <t>2026-06-17</t>
        </is>
      </c>
      <c r="B5052" s="3" t="inlineStr">
        <is>
          <t>예선테크</t>
        </is>
      </c>
      <c r="C5052" s="2" t="inlineStr">
        <is>
          <t>코스닥</t>
        </is>
      </c>
      <c r="D5052" s="2" t="inlineStr">
        <is>
          <t>250930</t>
        </is>
      </c>
      <c r="E5052" s="3" t="inlineStr">
        <is>
          <t xml:space="preserve">임시주주총회결과              </t>
        </is>
      </c>
      <c r="F5052" s="3" t="inlineStr">
        <is>
          <t>예선테크</t>
        </is>
      </c>
      <c r="G5052" s="2" t="inlineStr">
        <is>
          <t>20260617900311</t>
        </is>
      </c>
      <c r="H5052" s="8">
        <f>HYPERLINK("https://dart.fss.or.kr/dsaf001/main.do?rcpNo=20260617900311", "공시열람")</f>
        <v/>
      </c>
    </row>
    <row r="5053">
      <c r="A5053" s="2" t="inlineStr">
        <is>
          <t>2026-06-17</t>
        </is>
      </c>
      <c r="B5053" s="3" t="inlineStr">
        <is>
          <t>나노실리칸첨단소재</t>
        </is>
      </c>
      <c r="C5053" s="2" t="inlineStr">
        <is>
          <t>코스닥</t>
        </is>
      </c>
      <c r="D5053" s="2" t="inlineStr">
        <is>
          <t>286750</t>
        </is>
      </c>
      <c r="E5053" s="3" t="inlineStr">
        <is>
          <t>주주총회소집공고</t>
        </is>
      </c>
      <c r="F5053" s="3" t="inlineStr">
        <is>
          <t>나노실리칸첨단소재</t>
        </is>
      </c>
      <c r="G5053" s="2" t="inlineStr">
        <is>
          <t>20260617000111</t>
        </is>
      </c>
      <c r="H5053" s="8">
        <f>HYPERLINK("https://dart.fss.or.kr/dsaf001/main.do?rcpNo=20260617000111", "공시열람")</f>
        <v/>
      </c>
    </row>
    <row r="5054">
      <c r="A5054" s="2" t="inlineStr">
        <is>
          <t>2026-06-18</t>
        </is>
      </c>
      <c r="B5054" s="3" t="inlineStr">
        <is>
          <t>SK리츠</t>
        </is>
      </c>
      <c r="C5054" s="2" t="inlineStr">
        <is>
          <t>코스피</t>
        </is>
      </c>
      <c r="D5054" s="2" t="inlineStr">
        <is>
          <t>395400</t>
        </is>
      </c>
      <c r="E5054" s="3" t="inlineStr">
        <is>
          <t xml:space="preserve">정기주주총회결과              </t>
        </is>
      </c>
      <c r="F5054" s="3" t="inlineStr">
        <is>
          <t>SK리츠</t>
        </is>
      </c>
      <c r="G5054" s="2" t="inlineStr">
        <is>
          <t>20260618800841</t>
        </is>
      </c>
      <c r="H5054" s="8">
        <f>HYPERLINK("https://dart.fss.or.kr/dsaf001/main.do?rcpNo=20260618800841", "공시열람")</f>
        <v/>
      </c>
    </row>
    <row r="5055">
      <c r="A5055" s="2" t="inlineStr">
        <is>
          <t>2026-06-18 (정정: 2026-06-18)</t>
        </is>
      </c>
      <c r="B5055" s="3" t="inlineStr">
        <is>
          <t>크라우드웍스</t>
        </is>
      </c>
      <c r="C5055" s="2" t="inlineStr">
        <is>
          <t>코스닥</t>
        </is>
      </c>
      <c r="D5055" s="2" t="inlineStr">
        <is>
          <t>355390</t>
        </is>
      </c>
      <c r="E5055" s="3" t="inlineStr">
        <is>
          <t>주주총회소집공고 (정정: 20260618)</t>
        </is>
      </c>
      <c r="F5055" s="3" t="inlineStr">
        <is>
          <t>크라우드웍스</t>
        </is>
      </c>
      <c r="G5055" s="2" t="inlineStr">
        <is>
          <t>20260618900812</t>
        </is>
      </c>
      <c r="H5055" s="8">
        <f>HYPERLINK("https://dart.fss.or.kr/dsaf001/main.do?rcpNo=20260618900812", "공시열람")</f>
        <v/>
      </c>
    </row>
    <row r="5056">
      <c r="A5056" s="2" t="inlineStr">
        <is>
          <t>2026-06-18</t>
        </is>
      </c>
      <c r="B5056" s="3" t="inlineStr">
        <is>
          <t>캐스텍코리아</t>
        </is>
      </c>
      <c r="C5056" s="2" t="inlineStr">
        <is>
          <t>코스닥</t>
        </is>
      </c>
      <c r="D5056" s="2" t="inlineStr">
        <is>
          <t>071850</t>
        </is>
      </c>
      <c r="E5056" s="3" t="inlineStr">
        <is>
          <t>소송등의판결ㆍ결정              (주주총회결의무효확인 등)</t>
        </is>
      </c>
      <c r="F5056" s="3" t="inlineStr">
        <is>
          <t>캐스텍코리아</t>
        </is>
      </c>
      <c r="G5056" s="2" t="inlineStr">
        <is>
          <t>20260618900719</t>
        </is>
      </c>
      <c r="H5056" s="8">
        <f>HYPERLINK("https://dart.fss.or.kr/dsaf001/main.do?rcpNo=20260618900719", "공시열람")</f>
        <v/>
      </c>
    </row>
    <row r="5057">
      <c r="A5057" s="2" t="inlineStr">
        <is>
          <t>2026-06-18</t>
        </is>
      </c>
      <c r="B5057" s="3" t="inlineStr">
        <is>
          <t>레인보우로보틱스</t>
        </is>
      </c>
      <c r="C5057" s="2" t="inlineStr">
        <is>
          <t>코스닥</t>
        </is>
      </c>
      <c r="D5057" s="2" t="inlineStr">
        <is>
          <t>277810</t>
        </is>
      </c>
      <c r="E5057" s="3" t="inlineStr">
        <is>
          <t>주주총회소집공고</t>
        </is>
      </c>
      <c r="F5057" s="3" t="inlineStr">
        <is>
          <t>레인보우로보틱스</t>
        </is>
      </c>
      <c r="G5057" s="2" t="inlineStr">
        <is>
          <t>20260618000354</t>
        </is>
      </c>
      <c r="H5057" s="8">
        <f>HYPERLINK("https://dart.fss.or.kr/dsaf001/main.do?rcpNo=20260618000354", "공시열람")</f>
        <v/>
      </c>
    </row>
    <row r="5058">
      <c r="A5058" s="2" t="inlineStr">
        <is>
          <t>2026-06-18</t>
        </is>
      </c>
      <c r="B5058" s="3" t="inlineStr">
        <is>
          <t>휴온스글로벌</t>
        </is>
      </c>
      <c r="C5058" s="2" t="inlineStr">
        <is>
          <t>코스닥</t>
        </is>
      </c>
      <c r="D5058" s="2" t="inlineStr">
        <is>
          <t>084110</t>
        </is>
      </c>
      <c r="E5058" s="3" t="inlineStr">
        <is>
          <t>주주총회소집공고</t>
        </is>
      </c>
      <c r="F5058" s="3" t="inlineStr">
        <is>
          <t>휴온스글로벌</t>
        </is>
      </c>
      <c r="G5058" s="2" t="inlineStr">
        <is>
          <t>20260618000314</t>
        </is>
      </c>
      <c r="H5058" s="8">
        <f>HYPERLINK("https://dart.fss.or.kr/dsaf001/main.do?rcpNo=20260618000314", "공시열람")</f>
        <v/>
      </c>
    </row>
    <row r="5059">
      <c r="A5059" s="2" t="inlineStr">
        <is>
          <t>2026-06-18</t>
        </is>
      </c>
      <c r="B5059" s="3" t="inlineStr">
        <is>
          <t>M83</t>
        </is>
      </c>
      <c r="C5059" s="2" t="inlineStr">
        <is>
          <t>코스닥</t>
        </is>
      </c>
      <c r="D5059" s="2" t="inlineStr">
        <is>
          <t>476080</t>
        </is>
      </c>
      <c r="E5059" s="3" t="inlineStr">
        <is>
          <t>주주총회소집결의              (임시주주총회)</t>
        </is>
      </c>
      <c r="F5059" s="3" t="inlineStr">
        <is>
          <t>M83</t>
        </is>
      </c>
      <c r="G5059" s="2" t="inlineStr">
        <is>
          <t>20260618900562</t>
        </is>
      </c>
      <c r="H5059" s="8">
        <f>HYPERLINK("https://dart.fss.or.kr/dsaf001/main.do?rcpNo=20260618900562", "공시열람")</f>
        <v/>
      </c>
    </row>
    <row r="5060">
      <c r="A5060" s="2" t="inlineStr">
        <is>
          <t>2026-06-18</t>
        </is>
      </c>
      <c r="B5060" s="3" t="inlineStr">
        <is>
          <t>비비안</t>
        </is>
      </c>
      <c r="C5060" s="2" t="inlineStr">
        <is>
          <t>코스피</t>
        </is>
      </c>
      <c r="D5060" s="2" t="inlineStr">
        <is>
          <t>002070</t>
        </is>
      </c>
      <c r="E5060" s="3" t="inlineStr">
        <is>
          <t xml:space="preserve">[기재정정]주주총회소집결의              </t>
        </is>
      </c>
      <c r="F5060" s="3" t="inlineStr">
        <is>
          <t>비비안</t>
        </is>
      </c>
      <c r="G5060" s="2" t="inlineStr">
        <is>
          <t>20260618800519</t>
        </is>
      </c>
      <c r="H5060" s="8">
        <f>HYPERLINK("https://dart.fss.or.kr/dsaf001/main.do?rcpNo=20260618800519", "공시열람")</f>
        <v/>
      </c>
    </row>
    <row r="5061">
      <c r="A5061" s="2" t="inlineStr">
        <is>
          <t>2026-06-18</t>
        </is>
      </c>
      <c r="B5061" s="3" t="inlineStr">
        <is>
          <t>트리니티항공</t>
        </is>
      </c>
      <c r="C5061" s="2" t="inlineStr">
        <is>
          <t>코스피</t>
        </is>
      </c>
      <c r="D5061" s="2" t="inlineStr">
        <is>
          <t>091810</t>
        </is>
      </c>
      <c r="E5061" s="3" t="inlineStr">
        <is>
          <t xml:space="preserve">주주총회소집결의              </t>
        </is>
      </c>
      <c r="F5061" s="3" t="inlineStr">
        <is>
          <t>트리니티항공</t>
        </is>
      </c>
      <c r="G5061" s="2" t="inlineStr">
        <is>
          <t>20260618800514</t>
        </is>
      </c>
      <c r="H5061" s="8">
        <f>HYPERLINK("https://dart.fss.or.kr/dsaf001/main.do?rcpNo=20260618800514", "공시열람")</f>
        <v/>
      </c>
    </row>
    <row r="5062">
      <c r="A5062" s="2" t="inlineStr">
        <is>
          <t>2026-06-18 (정정: 2026-06-19)</t>
        </is>
      </c>
      <c r="B5062" s="3" t="inlineStr">
        <is>
          <t>에이팩트</t>
        </is>
      </c>
      <c r="C5062" s="2" t="inlineStr">
        <is>
          <t>코스닥</t>
        </is>
      </c>
      <c r="D5062" s="2" t="inlineStr">
        <is>
          <t>200470</t>
        </is>
      </c>
      <c r="E5062" s="3" t="inlineStr">
        <is>
          <t>[기재정정]최대주주변경을수반하는주식양수도계약체결               (정정: 20260619)</t>
        </is>
      </c>
      <c r="F5062" s="3" t="inlineStr">
        <is>
          <t>에이팩트</t>
        </is>
      </c>
      <c r="G5062" s="2" t="inlineStr">
        <is>
          <t>20260619900952</t>
        </is>
      </c>
      <c r="H5062" s="8">
        <f>HYPERLINK("https://dart.fss.or.kr/dsaf001/main.do?rcpNo=20260619900952", "공시열람")</f>
        <v/>
      </c>
    </row>
    <row r="5063">
      <c r="A5063" s="2" t="inlineStr">
        <is>
          <t>2026-06-18</t>
        </is>
      </c>
      <c r="B5063" s="3" t="inlineStr">
        <is>
          <t>삼익제약</t>
        </is>
      </c>
      <c r="C5063" s="2" t="inlineStr">
        <is>
          <t>코스닥</t>
        </is>
      </c>
      <c r="D5063" s="2" t="inlineStr">
        <is>
          <t>014950</t>
        </is>
      </c>
      <c r="E5063" s="3" t="inlineStr">
        <is>
          <t>주주총회소집공고</t>
        </is>
      </c>
      <c r="F5063" s="3" t="inlineStr">
        <is>
          <t>삼익제약</t>
        </is>
      </c>
      <c r="G5063" s="2" t="inlineStr">
        <is>
          <t>20260618000181</t>
        </is>
      </c>
      <c r="H5063" s="8">
        <f>HYPERLINK("https://dart.fss.or.kr/dsaf001/main.do?rcpNo=20260618000181", "공시열람")</f>
        <v/>
      </c>
    </row>
    <row r="5064">
      <c r="A5064" s="2" t="inlineStr">
        <is>
          <t>2026-06-18</t>
        </is>
      </c>
      <c r="B5064" s="3" t="inlineStr">
        <is>
          <t>대한해운</t>
        </is>
      </c>
      <c r="C5064" s="2" t="inlineStr">
        <is>
          <t>코스피</t>
        </is>
      </c>
      <c r="D5064" s="2" t="inlineStr">
        <is>
          <t>005880</t>
        </is>
      </c>
      <c r="E5064" s="3" t="inlineStr">
        <is>
          <t>주주총회소집공고</t>
        </is>
      </c>
      <c r="F5064" s="3" t="inlineStr">
        <is>
          <t>대한해운</t>
        </is>
      </c>
      <c r="G5064" s="2" t="inlineStr">
        <is>
          <t>20260618000177</t>
        </is>
      </c>
      <c r="H5064" s="8">
        <f>HYPERLINK("https://dart.fss.or.kr/dsaf001/main.do?rcpNo=20260618000177", "공시열람")</f>
        <v/>
      </c>
    </row>
    <row r="5065">
      <c r="A5065" s="2" t="inlineStr">
        <is>
          <t>2026-06-18</t>
        </is>
      </c>
      <c r="B5065" s="3" t="inlineStr">
        <is>
          <t>플랜티넷</t>
        </is>
      </c>
      <c r="C5065" s="2" t="inlineStr">
        <is>
          <t>코스닥</t>
        </is>
      </c>
      <c r="D5065" s="2" t="inlineStr">
        <is>
          <t>075130</t>
        </is>
      </c>
      <c r="E5065" s="3" t="inlineStr">
        <is>
          <t>주주총회소집결의              (임시주주총회)</t>
        </is>
      </c>
      <c r="F5065" s="3" t="inlineStr">
        <is>
          <t>플랜티넷</t>
        </is>
      </c>
      <c r="G5065" s="2" t="inlineStr">
        <is>
          <t>20260618900252</t>
        </is>
      </c>
      <c r="H5065" s="8">
        <f>HYPERLINK("https://dart.fss.or.kr/dsaf001/main.do?rcpNo=20260618900252", "공시열람")</f>
        <v/>
      </c>
    </row>
    <row r="5066">
      <c r="A5066" s="2" t="inlineStr">
        <is>
          <t>2026-06-18</t>
        </is>
      </c>
      <c r="B5066" s="3" t="inlineStr">
        <is>
          <t>이노에이엑스</t>
        </is>
      </c>
      <c r="C5066" s="2" t="inlineStr">
        <is>
          <t>코스닥</t>
        </is>
      </c>
      <c r="D5066" s="2" t="inlineStr">
        <is>
          <t>296640</t>
        </is>
      </c>
      <c r="E5066" s="3" t="inlineStr">
        <is>
          <t xml:space="preserve">임시주주총회결과              </t>
        </is>
      </c>
      <c r="F5066" s="3" t="inlineStr">
        <is>
          <t>이노에이엑스</t>
        </is>
      </c>
      <c r="G5066" s="2" t="inlineStr">
        <is>
          <t>20260618900331</t>
        </is>
      </c>
      <c r="H5066" s="8">
        <f>HYPERLINK("https://dart.fss.or.kr/dsaf001/main.do?rcpNo=20260618900331", "공시열람")</f>
        <v/>
      </c>
    </row>
    <row r="5067">
      <c r="A5067" s="2" t="inlineStr">
        <is>
          <t>2026-06-18</t>
        </is>
      </c>
      <c r="B5067" s="3" t="inlineStr">
        <is>
          <t>씨티알모빌리티</t>
        </is>
      </c>
      <c r="C5067" s="2" t="inlineStr">
        <is>
          <t>코스피</t>
        </is>
      </c>
      <c r="D5067" s="2" t="inlineStr">
        <is>
          <t>308170</t>
        </is>
      </c>
      <c r="E5067" s="3" t="inlineStr">
        <is>
          <t xml:space="preserve">임시주주총회결과              </t>
        </is>
      </c>
      <c r="F5067" s="3" t="inlineStr">
        <is>
          <t>씨티알모빌리티</t>
        </is>
      </c>
      <c r="G5067" s="2" t="inlineStr">
        <is>
          <t>20260618800214</t>
        </is>
      </c>
      <c r="H5067" s="8">
        <f>HYPERLINK("https://dart.fss.or.kr/dsaf001/main.do?rcpNo=20260618800214", "공시열람")</f>
        <v/>
      </c>
    </row>
    <row r="5068">
      <c r="A5068" s="2" t="inlineStr">
        <is>
          <t>2026-06-18</t>
        </is>
      </c>
      <c r="B5068" s="3" t="inlineStr">
        <is>
          <t>남광토건</t>
        </is>
      </c>
      <c r="C5068" s="2" t="inlineStr">
        <is>
          <t>코스피</t>
        </is>
      </c>
      <c r="D5068" s="2" t="inlineStr">
        <is>
          <t>001260</t>
        </is>
      </c>
      <c r="E5068" s="3" t="inlineStr">
        <is>
          <t xml:space="preserve">주주총회소집결의              </t>
        </is>
      </c>
      <c r="F5068" s="3" t="inlineStr">
        <is>
          <t>남광토건</t>
        </is>
      </c>
      <c r="G5068" s="2" t="inlineStr">
        <is>
          <t>20260618800161</t>
        </is>
      </c>
      <c r="H5068" s="8">
        <f>HYPERLINK("https://dart.fss.or.kr/dsaf001/main.do?rcpNo=20260618800161", "공시열람")</f>
        <v/>
      </c>
    </row>
    <row r="5069">
      <c r="A5069" s="2" t="inlineStr">
        <is>
          <t>2026-06-19</t>
        </is>
      </c>
      <c r="B5069" s="3" t="inlineStr">
        <is>
          <t>로지스몬</t>
        </is>
      </c>
      <c r="C5069" s="2" t="inlineStr">
        <is>
          <t>코넥스</t>
        </is>
      </c>
      <c r="D5069" s="2" t="inlineStr">
        <is>
          <t>223220</t>
        </is>
      </c>
      <c r="E5069" s="3" t="inlineStr">
        <is>
          <t xml:space="preserve">소송등의제기ㆍ신청(경영권분쟁소송)              </t>
        </is>
      </c>
      <c r="F5069" s="3" t="inlineStr">
        <is>
          <t>로지스몬</t>
        </is>
      </c>
      <c r="G5069" s="2" t="inlineStr">
        <is>
          <t>20260619601007</t>
        </is>
      </c>
      <c r="H5069" s="8">
        <f>HYPERLINK("https://dart.fss.or.kr/dsaf001/main.do?rcpNo=20260619601007", "공시열람")</f>
        <v/>
      </c>
    </row>
    <row r="5070">
      <c r="A5070" s="2" t="inlineStr">
        <is>
          <t>2026-06-19</t>
        </is>
      </c>
      <c r="B5070" s="3" t="inlineStr">
        <is>
          <t>IBKS제24호스팩</t>
        </is>
      </c>
      <c r="C5070" s="2" t="inlineStr">
        <is>
          <t>코스닥</t>
        </is>
      </c>
      <c r="D5070" s="2" t="inlineStr">
        <is>
          <t>469480</t>
        </is>
      </c>
      <c r="E5070" s="3" t="inlineStr">
        <is>
          <t>주요사항보고서(회사합병결정)</t>
        </is>
      </c>
      <c r="F5070" s="3" t="inlineStr">
        <is>
          <t>IBKS제24호스팩</t>
        </is>
      </c>
      <c r="G5070" s="2" t="inlineStr">
        <is>
          <t>20260619000664</t>
        </is>
      </c>
      <c r="H5070" s="8">
        <f>HYPERLINK("https://dart.fss.or.kr/dsaf001/main.do?rcpNo=20260619000664", "공시열람")</f>
        <v/>
      </c>
    </row>
    <row r="5071">
      <c r="A5071" s="2" t="inlineStr">
        <is>
          <t>2026-06-19</t>
        </is>
      </c>
      <c r="B5071" s="3" t="inlineStr">
        <is>
          <t>미래아이앤지</t>
        </is>
      </c>
      <c r="C5071" s="2" t="inlineStr">
        <is>
          <t>코스피</t>
        </is>
      </c>
      <c r="D5071" s="2" t="inlineStr">
        <is>
          <t>007120</t>
        </is>
      </c>
      <c r="E5071" s="3" t="inlineStr">
        <is>
          <t xml:space="preserve">소송등의제기ㆍ신청(경영권분쟁소송)              </t>
        </is>
      </c>
      <c r="F5071" s="3" t="inlineStr">
        <is>
          <t>미래아이앤지</t>
        </is>
      </c>
      <c r="G5071" s="2" t="inlineStr">
        <is>
          <t>20260619801014</t>
        </is>
      </c>
      <c r="H5071" s="8">
        <f>HYPERLINK("https://dart.fss.or.kr/dsaf001/main.do?rcpNo=20260619801014", "공시열람")</f>
        <v/>
      </c>
    </row>
    <row r="5072">
      <c r="A5072" s="2" t="inlineStr">
        <is>
          <t>2026-06-19</t>
        </is>
      </c>
      <c r="B5072" s="3" t="inlineStr">
        <is>
          <t>카카오게임즈</t>
        </is>
      </c>
      <c r="C5072" s="2" t="inlineStr">
        <is>
          <t>코스닥</t>
        </is>
      </c>
      <c r="D5072" s="2" t="inlineStr">
        <is>
          <t>293490</t>
        </is>
      </c>
      <c r="E5072" s="3" t="inlineStr">
        <is>
          <t xml:space="preserve">최대주주변경              </t>
        </is>
      </c>
      <c r="F5072" s="3" t="inlineStr">
        <is>
          <t>카카오게임즈</t>
        </is>
      </c>
      <c r="G5072" s="2" t="inlineStr">
        <is>
          <t>20260619900968</t>
        </is>
      </c>
      <c r="H5072" s="8">
        <f>HYPERLINK("https://dart.fss.or.kr/dsaf001/main.do?rcpNo=20260619900968", "공시열람")</f>
        <v/>
      </c>
    </row>
    <row r="5073">
      <c r="A5073" s="2" t="inlineStr">
        <is>
          <t>2026-06-19</t>
        </is>
      </c>
      <c r="B5073" s="3" t="inlineStr">
        <is>
          <t>신영증권</t>
        </is>
      </c>
      <c r="C5073" s="2" t="inlineStr">
        <is>
          <t>코스피</t>
        </is>
      </c>
      <c r="D5073" s="2" t="inlineStr">
        <is>
          <t>001720</t>
        </is>
      </c>
      <c r="E5073" s="3" t="inlineStr">
        <is>
          <t xml:space="preserve">정기주주총회결과              </t>
        </is>
      </c>
      <c r="F5073" s="3" t="inlineStr">
        <is>
          <t>신영증권</t>
        </is>
      </c>
      <c r="G5073" s="2" t="inlineStr">
        <is>
          <t>20260619800971</t>
        </is>
      </c>
      <c r="H5073" s="8">
        <f>HYPERLINK("https://dart.fss.or.kr/dsaf001/main.do?rcpNo=20260619800971", "공시열람")</f>
        <v/>
      </c>
    </row>
    <row r="5074">
      <c r="A5074" s="2" t="inlineStr">
        <is>
          <t>2026-06-19</t>
        </is>
      </c>
      <c r="B5074" s="3" t="inlineStr">
        <is>
          <t>이엠티</t>
        </is>
      </c>
      <c r="C5074" s="2" t="inlineStr">
        <is>
          <t>코넥스</t>
        </is>
      </c>
      <c r="D5074" s="2" t="inlineStr">
        <is>
          <t>232530</t>
        </is>
      </c>
      <c r="E5074" s="3" t="inlineStr">
        <is>
          <t xml:space="preserve">임시주주총회결과              </t>
        </is>
      </c>
      <c r="F5074" s="3" t="inlineStr">
        <is>
          <t>이엠티</t>
        </is>
      </c>
      <c r="G5074" s="2" t="inlineStr">
        <is>
          <t>20260619600970</t>
        </is>
      </c>
      <c r="H5074" s="8">
        <f>HYPERLINK("https://dart.fss.or.kr/dsaf001/main.do?rcpNo=20260619600970", "공시열람")</f>
        <v/>
      </c>
    </row>
    <row r="5075">
      <c r="A5075" s="2" t="inlineStr">
        <is>
          <t>2026-06-19</t>
        </is>
      </c>
      <c r="B5075" s="3" t="inlineStr">
        <is>
          <t>SK시그넷</t>
        </is>
      </c>
      <c r="C5075" s="2" t="inlineStr">
        <is>
          <t>코넥스</t>
        </is>
      </c>
      <c r="D5075" s="2" t="inlineStr">
        <is>
          <t>260870</t>
        </is>
      </c>
      <c r="E5075" s="3" t="inlineStr">
        <is>
          <t xml:space="preserve">임시주주총회결과              </t>
        </is>
      </c>
      <c r="F5075" s="3" t="inlineStr">
        <is>
          <t>SK시그넷</t>
        </is>
      </c>
      <c r="G5075" s="2" t="inlineStr">
        <is>
          <t>20260619600891</t>
        </is>
      </c>
      <c r="H5075" s="8">
        <f>HYPERLINK("https://dart.fss.or.kr/dsaf001/main.do?rcpNo=20260619600891", "공시열람")</f>
        <v/>
      </c>
    </row>
    <row r="5076">
      <c r="A5076" s="2" t="inlineStr">
        <is>
          <t>2026-06-19</t>
        </is>
      </c>
      <c r="B5076" s="3" t="inlineStr">
        <is>
          <t>CNT85</t>
        </is>
      </c>
      <c r="C5076" s="2" t="inlineStr">
        <is>
          <t>코스닥</t>
        </is>
      </c>
      <c r="D5076" s="2" t="inlineStr">
        <is>
          <t>056730</t>
        </is>
      </c>
      <c r="E5076" s="3" t="inlineStr">
        <is>
          <t xml:space="preserve">임시주주총회결과              </t>
        </is>
      </c>
      <c r="F5076" s="3" t="inlineStr">
        <is>
          <t>CNT85</t>
        </is>
      </c>
      <c r="G5076" s="2" t="inlineStr">
        <is>
          <t>20260619900847</t>
        </is>
      </c>
      <c r="H5076" s="8">
        <f>HYPERLINK("https://dart.fss.or.kr/dsaf001/main.do?rcpNo=20260619900847", "공시열람")</f>
        <v/>
      </c>
    </row>
    <row r="5077">
      <c r="A5077" s="2" t="inlineStr">
        <is>
          <t>2026-06-19</t>
        </is>
      </c>
      <c r="B5077" s="3" t="inlineStr">
        <is>
          <t>티웨이홀딩스</t>
        </is>
      </c>
      <c r="C5077" s="2" t="inlineStr">
        <is>
          <t>코스피</t>
        </is>
      </c>
      <c r="D5077" s="2" t="inlineStr">
        <is>
          <t>004870</t>
        </is>
      </c>
      <c r="E5077" s="3" t="inlineStr">
        <is>
          <t xml:space="preserve">임시주주총회결과              </t>
        </is>
      </c>
      <c r="F5077" s="3" t="inlineStr">
        <is>
          <t>티웨이홀딩스</t>
        </is>
      </c>
      <c r="G5077" s="2" t="inlineStr">
        <is>
          <t>20260619800800</t>
        </is>
      </c>
      <c r="H5077" s="8">
        <f>HYPERLINK("https://dart.fss.or.kr/dsaf001/main.do?rcpNo=20260619800800", "공시열람")</f>
        <v/>
      </c>
    </row>
    <row r="5078">
      <c r="A5078" s="2" t="inlineStr">
        <is>
          <t>2026-06-19</t>
        </is>
      </c>
      <c r="B5078" s="3" t="inlineStr">
        <is>
          <t>체리부로</t>
        </is>
      </c>
      <c r="C5078" s="2" t="inlineStr">
        <is>
          <t>코스닥</t>
        </is>
      </c>
      <c r="D5078" s="2" t="inlineStr">
        <is>
          <t>066360</t>
        </is>
      </c>
      <c r="E5078" s="3" t="inlineStr">
        <is>
          <t>주주총회소집공고</t>
        </is>
      </c>
      <c r="F5078" s="3" t="inlineStr">
        <is>
          <t>체리부로</t>
        </is>
      </c>
      <c r="G5078" s="2" t="inlineStr">
        <is>
          <t>20260619000535</t>
        </is>
      </c>
      <c r="H5078" s="8">
        <f>HYPERLINK("https://dart.fss.or.kr/dsaf001/main.do?rcpNo=20260619000535", "공시열람")</f>
        <v/>
      </c>
    </row>
    <row r="5079">
      <c r="A5079" s="2" t="inlineStr">
        <is>
          <t>2026-06-19</t>
        </is>
      </c>
      <c r="B5079" s="3" t="inlineStr">
        <is>
          <t>제너셈</t>
        </is>
      </c>
      <c r="C5079" s="2" t="inlineStr">
        <is>
          <t>코스닥</t>
        </is>
      </c>
      <c r="D5079" s="2" t="inlineStr">
        <is>
          <t>217190</t>
        </is>
      </c>
      <c r="E5079" s="3" t="inlineStr">
        <is>
          <t xml:space="preserve">임시주주총회결과              </t>
        </is>
      </c>
      <c r="F5079" s="3" t="inlineStr">
        <is>
          <t>제너셈</t>
        </is>
      </c>
      <c r="G5079" s="2" t="inlineStr">
        <is>
          <t>20260619900735</t>
        </is>
      </c>
      <c r="H5079" s="8">
        <f>HYPERLINK("https://dart.fss.or.kr/dsaf001/main.do?rcpNo=20260619900735", "공시열람")</f>
        <v/>
      </c>
    </row>
    <row r="5080">
      <c r="A5080" s="2" t="inlineStr">
        <is>
          <t>2026-06-19</t>
        </is>
      </c>
      <c r="B5080" s="3" t="inlineStr">
        <is>
          <t>기신정기</t>
        </is>
      </c>
      <c r="C5080" s="2" t="inlineStr">
        <is>
          <t>코스피</t>
        </is>
      </c>
      <c r="D5080" s="2" t="inlineStr">
        <is>
          <t>092440</t>
        </is>
      </c>
      <c r="E5080" s="3" t="inlineStr">
        <is>
          <t xml:space="preserve">정기주주총회결과              </t>
        </is>
      </c>
      <c r="F5080" s="3" t="inlineStr">
        <is>
          <t>기신정기</t>
        </is>
      </c>
      <c r="G5080" s="2" t="inlineStr">
        <is>
          <t>20260619800752</t>
        </is>
      </c>
      <c r="H5080" s="8">
        <f>HYPERLINK("https://dart.fss.or.kr/dsaf001/main.do?rcpNo=20260619800752", "공시열람")</f>
        <v/>
      </c>
    </row>
    <row r="5081">
      <c r="A5081" s="2" t="inlineStr">
        <is>
          <t>2026-06-19</t>
        </is>
      </c>
      <c r="B5081" s="3" t="inlineStr">
        <is>
          <t>다산네트웍스</t>
        </is>
      </c>
      <c r="C5081" s="2" t="inlineStr">
        <is>
          <t>코스닥</t>
        </is>
      </c>
      <c r="D5081" s="2" t="inlineStr">
        <is>
          <t>039560</t>
        </is>
      </c>
      <c r="E5081" s="3" t="inlineStr">
        <is>
          <t xml:space="preserve">임시주주총회결과              </t>
        </is>
      </c>
      <c r="F5081" s="3" t="inlineStr">
        <is>
          <t>다산네트웍스</t>
        </is>
      </c>
      <c r="G5081" s="2" t="inlineStr">
        <is>
          <t>20260619900758</t>
        </is>
      </c>
      <c r="H5081" s="8">
        <f>HYPERLINK("https://dart.fss.or.kr/dsaf001/main.do?rcpNo=20260619900758", "공시열람")</f>
        <v/>
      </c>
    </row>
    <row r="5082">
      <c r="A5082" s="2" t="inlineStr">
        <is>
          <t>2026-06-19</t>
        </is>
      </c>
      <c r="B5082" s="3" t="inlineStr">
        <is>
          <t>프롬바이오</t>
        </is>
      </c>
      <c r="C5082" s="2" t="inlineStr">
        <is>
          <t>코스닥</t>
        </is>
      </c>
      <c r="D5082" s="2" t="inlineStr">
        <is>
          <t>377220</t>
        </is>
      </c>
      <c r="E5082" s="3" t="inlineStr">
        <is>
          <t>주주총회소집공고</t>
        </is>
      </c>
      <c r="F5082" s="3" t="inlineStr">
        <is>
          <t>프롬바이오</t>
        </is>
      </c>
      <c r="G5082" s="2" t="inlineStr">
        <is>
          <t>20260619000453</t>
        </is>
      </c>
      <c r="H5082" s="8">
        <f>HYPERLINK("https://dart.fss.or.kr/dsaf001/main.do?rcpNo=20260619000453", "공시열람")</f>
        <v/>
      </c>
    </row>
    <row r="5083">
      <c r="A5083" s="2" t="inlineStr">
        <is>
          <t>2026-06-19</t>
        </is>
      </c>
      <c r="B5083" s="3" t="inlineStr">
        <is>
          <t>유니크</t>
        </is>
      </c>
      <c r="C5083" s="2" t="inlineStr">
        <is>
          <t>코스닥</t>
        </is>
      </c>
      <c r="D5083" s="2" t="inlineStr">
        <is>
          <t>011320</t>
        </is>
      </c>
      <c r="E5083" s="3" t="inlineStr">
        <is>
          <t>주주총회소집공고</t>
        </is>
      </c>
      <c r="F5083" s="3" t="inlineStr">
        <is>
          <t>유니크</t>
        </is>
      </c>
      <c r="G5083" s="2" t="inlineStr">
        <is>
          <t>20260619000430</t>
        </is>
      </c>
      <c r="H5083" s="8">
        <f>HYPERLINK("https://dart.fss.or.kr/dsaf001/main.do?rcpNo=20260619000430", "공시열람")</f>
        <v/>
      </c>
    </row>
    <row r="5084">
      <c r="A5084" s="2" t="inlineStr">
        <is>
          <t>2026-06-19</t>
        </is>
      </c>
      <c r="B5084" s="3" t="inlineStr">
        <is>
          <t>에치에프알</t>
        </is>
      </c>
      <c r="C5084" s="2" t="inlineStr">
        <is>
          <t>코스닥</t>
        </is>
      </c>
      <c r="D5084" s="2" t="inlineStr">
        <is>
          <t>230240</t>
        </is>
      </c>
      <c r="E5084" s="3" t="inlineStr">
        <is>
          <t>주주총회소집결의              (임시주주총회)</t>
        </is>
      </c>
      <c r="F5084" s="3" t="inlineStr">
        <is>
          <t>에치에프알</t>
        </is>
      </c>
      <c r="G5084" s="2" t="inlineStr">
        <is>
          <t>20260619900653</t>
        </is>
      </c>
      <c r="H5084" s="8">
        <f>HYPERLINK("https://dart.fss.or.kr/dsaf001/main.do?rcpNo=20260619900653", "공시열람")</f>
        <v/>
      </c>
    </row>
    <row r="5085">
      <c r="A5085" s="2" t="inlineStr">
        <is>
          <t>2026-06-19</t>
        </is>
      </c>
      <c r="B5085" s="3" t="inlineStr">
        <is>
          <t>디에이치엑스컴퍼니</t>
        </is>
      </c>
      <c r="C5085" s="2" t="inlineStr">
        <is>
          <t>코스닥</t>
        </is>
      </c>
      <c r="D5085" s="2" t="inlineStr">
        <is>
          <t>031860</t>
        </is>
      </c>
      <c r="E5085" s="3" t="inlineStr">
        <is>
          <t>[기재정정]주주총회소집결의              (임시주주총회)</t>
        </is>
      </c>
      <c r="F5085" s="3" t="inlineStr">
        <is>
          <t>디에이치엑스컴퍼니</t>
        </is>
      </c>
      <c r="G5085" s="2" t="inlineStr">
        <is>
          <t>20260619900615</t>
        </is>
      </c>
      <c r="H5085" s="8">
        <f>HYPERLINK("https://dart.fss.or.kr/dsaf001/main.do?rcpNo=20260619900615", "공시열람")</f>
        <v/>
      </c>
    </row>
    <row r="5086">
      <c r="A5086" s="2" t="inlineStr">
        <is>
          <t>2026-06-19</t>
        </is>
      </c>
      <c r="B5086" s="3" t="inlineStr">
        <is>
          <t>틸론</t>
        </is>
      </c>
      <c r="C5086" s="2" t="inlineStr">
        <is>
          <t>코넥스</t>
        </is>
      </c>
      <c r="D5086" s="2" t="inlineStr">
        <is>
          <t>217880</t>
        </is>
      </c>
      <c r="E5086" s="3" t="inlineStr">
        <is>
          <t xml:space="preserve">주주총회소집결의              </t>
        </is>
      </c>
      <c r="F5086" s="3" t="inlineStr">
        <is>
          <t>틸론</t>
        </is>
      </c>
      <c r="G5086" s="2" t="inlineStr">
        <is>
          <t>20260619600655</t>
        </is>
      </c>
      <c r="H5086" s="8">
        <f>HYPERLINK("https://dart.fss.or.kr/dsaf001/main.do?rcpNo=20260619600655", "공시열람")</f>
        <v/>
      </c>
    </row>
    <row r="5087">
      <c r="A5087" s="2" t="inlineStr">
        <is>
          <t>2026-06-19</t>
        </is>
      </c>
      <c r="B5087" s="3" t="inlineStr">
        <is>
          <t>엣지파운드리</t>
        </is>
      </c>
      <c r="C5087" s="2" t="inlineStr">
        <is>
          <t>코스닥</t>
        </is>
      </c>
      <c r="D5087" s="2" t="inlineStr">
        <is>
          <t>105550</t>
        </is>
      </c>
      <c r="E5087" s="3" t="inlineStr">
        <is>
          <t xml:space="preserve">임시주주총회결과              </t>
        </is>
      </c>
      <c r="F5087" s="3" t="inlineStr">
        <is>
          <t>엣지파운드리</t>
        </is>
      </c>
      <c r="G5087" s="2" t="inlineStr">
        <is>
          <t>20260619900606</t>
        </is>
      </c>
      <c r="H5087" s="8">
        <f>HYPERLINK("https://dart.fss.or.kr/dsaf001/main.do?rcpNo=20260619900606", "공시열람")</f>
        <v/>
      </c>
    </row>
    <row r="5088">
      <c r="A5088" s="2" t="inlineStr">
        <is>
          <t>2026-06-19</t>
        </is>
      </c>
      <c r="B5088" s="3" t="inlineStr">
        <is>
          <t>블리츠웨이엔터테인먼트</t>
        </is>
      </c>
      <c r="C5088" s="2" t="inlineStr">
        <is>
          <t>코스닥</t>
        </is>
      </c>
      <c r="D5088" s="2" t="inlineStr">
        <is>
          <t>369370</t>
        </is>
      </c>
      <c r="E5088" s="3" t="inlineStr">
        <is>
          <t xml:space="preserve">임시주주총회결과              </t>
        </is>
      </c>
      <c r="F5088" s="3" t="inlineStr">
        <is>
          <t>블리츠웨이엔터테인먼트</t>
        </is>
      </c>
      <c r="G5088" s="2" t="inlineStr">
        <is>
          <t>20260619900529</t>
        </is>
      </c>
      <c r="H5088" s="8">
        <f>HYPERLINK("https://dart.fss.or.kr/dsaf001/main.do?rcpNo=20260619900529", "공시열람")</f>
        <v/>
      </c>
    </row>
    <row r="5089">
      <c r="A5089" s="2" t="inlineStr">
        <is>
          <t>2026-06-19</t>
        </is>
      </c>
      <c r="B5089" s="3" t="inlineStr">
        <is>
          <t>KR모터스</t>
        </is>
      </c>
      <c r="C5089" s="2" t="inlineStr">
        <is>
          <t>코스피</t>
        </is>
      </c>
      <c r="D5089" s="2" t="inlineStr">
        <is>
          <t>000040</t>
        </is>
      </c>
      <c r="E5089" s="3" t="inlineStr">
        <is>
          <t xml:space="preserve">임시주주총회결과              </t>
        </is>
      </c>
      <c r="F5089" s="3" t="inlineStr">
        <is>
          <t>KR모터스</t>
        </is>
      </c>
      <c r="G5089" s="2" t="inlineStr">
        <is>
          <t>20260619800532</t>
        </is>
      </c>
      <c r="H5089" s="8">
        <f>HYPERLINK("https://dart.fss.or.kr/dsaf001/main.do?rcpNo=20260619800532", "공시열람")</f>
        <v/>
      </c>
    </row>
    <row r="5090">
      <c r="A5090" s="2" t="inlineStr">
        <is>
          <t>2026-06-19</t>
        </is>
      </c>
      <c r="B5090" s="3" t="inlineStr">
        <is>
          <t>한솔홈데코</t>
        </is>
      </c>
      <c r="C5090" s="2" t="inlineStr">
        <is>
          <t>코스피</t>
        </is>
      </c>
      <c r="D5090" s="2" t="inlineStr">
        <is>
          <t>025750</t>
        </is>
      </c>
      <c r="E5090" s="3" t="inlineStr">
        <is>
          <t xml:space="preserve">주주총회소집결의              </t>
        </is>
      </c>
      <c r="F5090" s="3" t="inlineStr">
        <is>
          <t>한솔홈데코</t>
        </is>
      </c>
      <c r="G5090" s="2" t="inlineStr">
        <is>
          <t>20260619800490</t>
        </is>
      </c>
      <c r="H5090" s="8">
        <f>HYPERLINK("https://dart.fss.or.kr/dsaf001/main.do?rcpNo=20260619800490", "공시열람")</f>
        <v/>
      </c>
    </row>
    <row r="5091">
      <c r="A5091" s="2" t="inlineStr">
        <is>
          <t>2026-06-19</t>
        </is>
      </c>
      <c r="B5091" s="3" t="inlineStr">
        <is>
          <t>시그네틱스</t>
        </is>
      </c>
      <c r="C5091" s="2" t="inlineStr">
        <is>
          <t>코스닥</t>
        </is>
      </c>
      <c r="D5091" s="2" t="inlineStr">
        <is>
          <t>033170</t>
        </is>
      </c>
      <c r="E5091" s="3" t="inlineStr">
        <is>
          <t>주주총회소집공고</t>
        </is>
      </c>
      <c r="F5091" s="3" t="inlineStr">
        <is>
          <t>시그네틱스</t>
        </is>
      </c>
      <c r="G5091" s="2" t="inlineStr">
        <is>
          <t>20260619000197</t>
        </is>
      </c>
      <c r="H5091" s="8">
        <f>HYPERLINK("https://dart.fss.or.kr/dsaf001/main.do?rcpNo=20260619000197", "공시열람")</f>
        <v/>
      </c>
    </row>
    <row r="5092">
      <c r="A5092" s="2" t="inlineStr">
        <is>
          <t>2026-06-19</t>
        </is>
      </c>
      <c r="B5092" s="3" t="inlineStr">
        <is>
          <t>이엔플러스</t>
        </is>
      </c>
      <c r="C5092" s="2" t="inlineStr">
        <is>
          <t>코스피</t>
        </is>
      </c>
      <c r="D5092" s="2" t="inlineStr">
        <is>
          <t>074610</t>
        </is>
      </c>
      <c r="E5092" s="3" t="inlineStr">
        <is>
          <t xml:space="preserve">소송등의제기ㆍ신청(경영권분쟁소송)              </t>
        </is>
      </c>
      <c r="F5092" s="3" t="inlineStr">
        <is>
          <t>이엔플러스</t>
        </is>
      </c>
      <c r="G5092" s="2" t="inlineStr">
        <is>
          <t>20260619800454</t>
        </is>
      </c>
      <c r="H5092" s="8">
        <f>HYPERLINK("https://dart.fss.or.kr/dsaf001/main.do?rcpNo=20260619800454", "공시열람")</f>
        <v/>
      </c>
    </row>
    <row r="5093">
      <c r="A5093" s="2" t="inlineStr">
        <is>
          <t>2026-06-19</t>
        </is>
      </c>
      <c r="B5093" s="3" t="inlineStr">
        <is>
          <t>조아제약</t>
        </is>
      </c>
      <c r="C5093" s="2" t="inlineStr">
        <is>
          <t>코스닥</t>
        </is>
      </c>
      <c r="D5093" s="2" t="inlineStr">
        <is>
          <t>034940</t>
        </is>
      </c>
      <c r="E5093" s="3" t="inlineStr">
        <is>
          <t>주주총회소집공고</t>
        </is>
      </c>
      <c r="F5093" s="3" t="inlineStr">
        <is>
          <t>조아제약</t>
        </is>
      </c>
      <c r="G5093" s="2" t="inlineStr">
        <is>
          <t>20260619000157</t>
        </is>
      </c>
      <c r="H5093" s="8">
        <f>HYPERLINK("https://dart.fss.or.kr/dsaf001/main.do?rcpNo=20260619000157", "공시열람")</f>
        <v/>
      </c>
    </row>
    <row r="5094">
      <c r="A5094" s="2" t="inlineStr">
        <is>
          <t>2026-06-19</t>
        </is>
      </c>
      <c r="B5094" s="3" t="inlineStr">
        <is>
          <t>이씨에스</t>
        </is>
      </c>
      <c r="C5094" s="2" t="inlineStr">
        <is>
          <t>코스닥</t>
        </is>
      </c>
      <c r="D5094" s="2" t="inlineStr">
        <is>
          <t>067010</t>
        </is>
      </c>
      <c r="E5094" s="3" t="inlineStr">
        <is>
          <t xml:space="preserve">정기주주총회결과              </t>
        </is>
      </c>
      <c r="F5094" s="3" t="inlineStr">
        <is>
          <t>이씨에스</t>
        </is>
      </c>
      <c r="G5094" s="2" t="inlineStr">
        <is>
          <t>20260619900416</t>
        </is>
      </c>
      <c r="H5094" s="8">
        <f>HYPERLINK("https://dart.fss.or.kr/dsaf001/main.do?rcpNo=20260619900416", "공시열람")</f>
        <v/>
      </c>
    </row>
    <row r="5095">
      <c r="A5095" s="2" t="inlineStr">
        <is>
          <t>2026-06-19</t>
        </is>
      </c>
      <c r="B5095" s="3" t="inlineStr">
        <is>
          <t>애드바이오텍</t>
        </is>
      </c>
      <c r="C5095" s="2" t="inlineStr">
        <is>
          <t>코스닥</t>
        </is>
      </c>
      <c r="D5095" s="2" t="inlineStr">
        <is>
          <t>179530</t>
        </is>
      </c>
      <c r="E5095" s="3" t="inlineStr">
        <is>
          <t xml:space="preserve">임시주주총회결과              </t>
        </is>
      </c>
      <c r="F5095" s="3" t="inlineStr">
        <is>
          <t>애드바이오텍</t>
        </is>
      </c>
      <c r="G5095" s="2" t="inlineStr">
        <is>
          <t>20260619900411</t>
        </is>
      </c>
      <c r="H5095" s="8">
        <f>HYPERLINK("https://dart.fss.or.kr/dsaf001/main.do?rcpNo=20260619900411", "공시열람")</f>
        <v/>
      </c>
    </row>
    <row r="5096">
      <c r="A5096" s="2" t="inlineStr">
        <is>
          <t>2026-06-19</t>
        </is>
      </c>
      <c r="B5096" s="3" t="inlineStr">
        <is>
          <t>태성</t>
        </is>
      </c>
      <c r="C5096" s="2" t="inlineStr">
        <is>
          <t>코스닥</t>
        </is>
      </c>
      <c r="D5096" s="2" t="inlineStr">
        <is>
          <t>323280</t>
        </is>
      </c>
      <c r="E5096" s="3" t="inlineStr">
        <is>
          <t>[기재정정]주주총회소집결의              (임시주주총회)</t>
        </is>
      </c>
      <c r="F5096" s="3" t="inlineStr">
        <is>
          <t>태성</t>
        </is>
      </c>
      <c r="G5096" s="2" t="inlineStr">
        <is>
          <t>20260619900399</t>
        </is>
      </c>
      <c r="H5096" s="8">
        <f>HYPERLINK("https://dart.fss.or.kr/dsaf001/main.do?rcpNo=20260619900399", "공시열람")</f>
        <v/>
      </c>
    </row>
    <row r="5097">
      <c r="A5097" s="2" t="inlineStr">
        <is>
          <t>2026-06-19</t>
        </is>
      </c>
      <c r="B5097" s="3" t="inlineStr">
        <is>
          <t>지엘팜텍</t>
        </is>
      </c>
      <c r="C5097" s="2" t="inlineStr">
        <is>
          <t>코스닥</t>
        </is>
      </c>
      <c r="D5097" s="2" t="inlineStr">
        <is>
          <t>204840</t>
        </is>
      </c>
      <c r="E5097" s="3" t="inlineStr">
        <is>
          <t>주주총회소집공고</t>
        </is>
      </c>
      <c r="F5097" s="3" t="inlineStr">
        <is>
          <t>지엘팜텍</t>
        </is>
      </c>
      <c r="G5097" s="2" t="inlineStr">
        <is>
          <t>20260619000091</t>
        </is>
      </c>
      <c r="H5097" s="8">
        <f>HYPERLINK("https://dart.fss.or.kr/dsaf001/main.do?rcpNo=20260619000091", "공시열람")</f>
        <v/>
      </c>
    </row>
    <row r="5098">
      <c r="A5098" s="2" t="inlineStr">
        <is>
          <t>2026-06-19</t>
        </is>
      </c>
      <c r="B5098" s="3" t="inlineStr">
        <is>
          <t>와이랩</t>
        </is>
      </c>
      <c r="C5098" s="2" t="inlineStr">
        <is>
          <t>코스닥</t>
        </is>
      </c>
      <c r="D5098" s="2" t="inlineStr">
        <is>
          <t>432430</t>
        </is>
      </c>
      <c r="E5098" s="3" t="inlineStr">
        <is>
          <t>주주총회소집공고</t>
        </is>
      </c>
      <c r="F5098" s="3" t="inlineStr">
        <is>
          <t>와이랩</t>
        </is>
      </c>
      <c r="G5098" s="2" t="inlineStr">
        <is>
          <t>20260619000086</t>
        </is>
      </c>
      <c r="H5098" s="8">
        <f>HYPERLINK("https://dart.fss.or.kr/dsaf001/main.do?rcpNo=20260619000086", "공시열람")</f>
        <v/>
      </c>
    </row>
    <row r="5099">
      <c r="A5099" s="2" t="inlineStr">
        <is>
          <t>2026-06-22</t>
        </is>
      </c>
      <c r="B5099" s="3" t="inlineStr">
        <is>
          <t>에이팩트</t>
        </is>
      </c>
      <c r="C5099" s="2" t="inlineStr">
        <is>
          <t>코스닥</t>
        </is>
      </c>
      <c r="D5099" s="2" t="inlineStr">
        <is>
          <t>200470</t>
        </is>
      </c>
      <c r="E5099" s="3" t="inlineStr">
        <is>
          <t xml:space="preserve">최대주주변경을수반하는주식담보제공계약체결              </t>
        </is>
      </c>
      <c r="F5099" s="3" t="inlineStr">
        <is>
          <t>에이팩트</t>
        </is>
      </c>
      <c r="G5099" s="2" t="inlineStr">
        <is>
          <t>20260622900881</t>
        </is>
      </c>
      <c r="H5099" s="8">
        <f>HYPERLINK("https://dart.fss.or.kr/dsaf001/main.do?rcpNo=20260622900881", "공시열람")</f>
        <v/>
      </c>
    </row>
    <row r="5100">
      <c r="A5100" s="2" t="inlineStr">
        <is>
          <t>2026-06-22</t>
        </is>
      </c>
      <c r="B5100" s="3" t="inlineStr">
        <is>
          <t>에이팩트</t>
        </is>
      </c>
      <c r="C5100" s="2" t="inlineStr">
        <is>
          <t>코스닥</t>
        </is>
      </c>
      <c r="D5100" s="2" t="inlineStr">
        <is>
          <t>200470</t>
        </is>
      </c>
      <c r="E5100" s="3" t="inlineStr">
        <is>
          <t xml:space="preserve">최대주주변경              </t>
        </is>
      </c>
      <c r="F5100" s="3" t="inlineStr">
        <is>
          <t>에이팩트</t>
        </is>
      </c>
      <c r="G5100" s="2" t="inlineStr">
        <is>
          <t>20260622900880</t>
        </is>
      </c>
      <c r="H5100" s="8">
        <f>HYPERLINK("https://dart.fss.or.kr/dsaf001/main.do?rcpNo=20260622900880", "공시열람")</f>
        <v/>
      </c>
    </row>
    <row r="5101">
      <c r="A5101" s="2" t="inlineStr">
        <is>
          <t>2026-06-22</t>
        </is>
      </c>
      <c r="B5101" s="3" t="inlineStr">
        <is>
          <t>서한</t>
        </is>
      </c>
      <c r="C5101" s="2" t="inlineStr">
        <is>
          <t>코스닥</t>
        </is>
      </c>
      <c r="D5101" s="2" t="inlineStr">
        <is>
          <t>011370</t>
        </is>
      </c>
      <c r="E5101" s="3" t="inlineStr">
        <is>
          <t>주주총회소집결의              (임시주주총회)</t>
        </is>
      </c>
      <c r="F5101" s="3" t="inlineStr">
        <is>
          <t>서한</t>
        </is>
      </c>
      <c r="G5101" s="2" t="inlineStr">
        <is>
          <t>20260622900824</t>
        </is>
      </c>
      <c r="H5101" s="8">
        <f>HYPERLINK("https://dart.fss.or.kr/dsaf001/main.do?rcpNo=20260622900824", "공시열람")</f>
        <v/>
      </c>
    </row>
    <row r="5102">
      <c r="A5102" s="2" t="inlineStr">
        <is>
          <t>2026-06-22</t>
        </is>
      </c>
      <c r="B5102" s="3" t="inlineStr">
        <is>
          <t>동양</t>
        </is>
      </c>
      <c r="C5102" s="2" t="inlineStr">
        <is>
          <t>코스피</t>
        </is>
      </c>
      <c r="D5102" s="2" t="inlineStr">
        <is>
          <t>001520</t>
        </is>
      </c>
      <c r="E5102" s="3" t="inlineStr">
        <is>
          <t xml:space="preserve">임시주주총회결과              </t>
        </is>
      </c>
      <c r="F5102" s="3" t="inlineStr">
        <is>
          <t>동양</t>
        </is>
      </c>
      <c r="G5102" s="2" t="inlineStr">
        <is>
          <t>20260622800804</t>
        </is>
      </c>
      <c r="H5102" s="8">
        <f>HYPERLINK("https://dart.fss.or.kr/dsaf001/main.do?rcpNo=20260622800804", "공시열람")</f>
        <v/>
      </c>
    </row>
    <row r="5103">
      <c r="A5103" s="2" t="inlineStr">
        <is>
          <t>2026-06-22</t>
        </is>
      </c>
      <c r="B5103" s="3" t="inlineStr">
        <is>
          <t>정원엔시스</t>
        </is>
      </c>
      <c r="C5103" s="2" t="inlineStr">
        <is>
          <t>코스닥</t>
        </is>
      </c>
      <c r="D5103" s="2" t="inlineStr">
        <is>
          <t>045510</t>
        </is>
      </c>
      <c r="E5103" s="3" t="inlineStr">
        <is>
          <t>소송등의판결ㆍ결정              (주주총회결의무효확인등)</t>
        </is>
      </c>
      <c r="F5103" s="3" t="inlineStr">
        <is>
          <t>정원엔시스</t>
        </is>
      </c>
      <c r="G5103" s="2" t="inlineStr">
        <is>
          <t>20260622900733</t>
        </is>
      </c>
      <c r="H5103" s="8">
        <f>HYPERLINK("https://dart.fss.or.kr/dsaf001/main.do?rcpNo=20260622900733", "공시열람")</f>
        <v/>
      </c>
    </row>
    <row r="5104">
      <c r="A5104" s="2" t="inlineStr">
        <is>
          <t>2026-06-22</t>
        </is>
      </c>
      <c r="B5104" s="3" t="inlineStr">
        <is>
          <t>아리바이오LAB</t>
        </is>
      </c>
      <c r="C5104" s="2" t="inlineStr">
        <is>
          <t>코스닥</t>
        </is>
      </c>
      <c r="D5104" s="2" t="inlineStr">
        <is>
          <t>261780</t>
        </is>
      </c>
      <c r="E5104" s="3" t="inlineStr">
        <is>
          <t>주주총회소집결의              (임시주주총회)</t>
        </is>
      </c>
      <c r="F5104" s="3" t="inlineStr">
        <is>
          <t>아리바이오LAB</t>
        </is>
      </c>
      <c r="G5104" s="2" t="inlineStr">
        <is>
          <t>20260622900545</t>
        </is>
      </c>
      <c r="H5104" s="8">
        <f>HYPERLINK("https://dart.fss.or.kr/dsaf001/main.do?rcpNo=20260622900545", "공시열람")</f>
        <v/>
      </c>
    </row>
    <row r="5105">
      <c r="A5105" s="2" t="inlineStr">
        <is>
          <t>2026-06-22</t>
        </is>
      </c>
      <c r="B5105" s="3" t="inlineStr">
        <is>
          <t>이스트에이드</t>
        </is>
      </c>
      <c r="C5105" s="2" t="inlineStr">
        <is>
          <t>코스닥</t>
        </is>
      </c>
      <c r="D5105" s="2" t="inlineStr">
        <is>
          <t>239340</t>
        </is>
      </c>
      <c r="E5105" s="3" t="inlineStr">
        <is>
          <t>주주총회소집결의              (임시주주총회)</t>
        </is>
      </c>
      <c r="F5105" s="3" t="inlineStr">
        <is>
          <t>이스트에이드</t>
        </is>
      </c>
      <c r="G5105" s="2" t="inlineStr">
        <is>
          <t>20260622900559</t>
        </is>
      </c>
      <c r="H5105" s="8">
        <f>HYPERLINK("https://dart.fss.or.kr/dsaf001/main.do?rcpNo=20260622900559", "공시열람")</f>
        <v/>
      </c>
    </row>
    <row r="5106">
      <c r="A5106" s="2" t="inlineStr">
        <is>
          <t>2026-06-22</t>
        </is>
      </c>
      <c r="B5106" s="3" t="inlineStr">
        <is>
          <t>EMB</t>
        </is>
      </c>
      <c r="C5106" s="2" t="inlineStr">
        <is>
          <t>코넥스</t>
        </is>
      </c>
      <c r="D5106" s="2" t="inlineStr">
        <is>
          <t>278990</t>
        </is>
      </c>
      <c r="E5106" s="3" t="inlineStr">
        <is>
          <t>주주총회소집공고</t>
        </is>
      </c>
      <c r="F5106" s="3" t="inlineStr">
        <is>
          <t>EMB</t>
        </is>
      </c>
      <c r="G5106" s="2" t="inlineStr">
        <is>
          <t>20260622000279</t>
        </is>
      </c>
      <c r="H5106" s="8">
        <f>HYPERLINK("https://dart.fss.or.kr/dsaf001/main.do?rcpNo=20260622000279", "공시열람")</f>
        <v/>
      </c>
    </row>
    <row r="5107">
      <c r="A5107" s="2" t="inlineStr">
        <is>
          <t>2026-06-22</t>
        </is>
      </c>
      <c r="B5107" s="3" t="inlineStr">
        <is>
          <t>세기상사</t>
        </is>
      </c>
      <c r="C5107" s="2" t="inlineStr">
        <is>
          <t>코스피</t>
        </is>
      </c>
      <c r="D5107" s="2" t="inlineStr">
        <is>
          <t>002420</t>
        </is>
      </c>
      <c r="E5107" s="3" t="inlineStr">
        <is>
          <t>주주총회소집공고</t>
        </is>
      </c>
      <c r="F5107" s="3" t="inlineStr">
        <is>
          <t>세기상사</t>
        </is>
      </c>
      <c r="G5107" s="2" t="inlineStr">
        <is>
          <t>20260622000265</t>
        </is>
      </c>
      <c r="H5107" s="8">
        <f>HYPERLINK("https://dart.fss.or.kr/dsaf001/main.do?rcpNo=20260622000265", "공시열람")</f>
        <v/>
      </c>
    </row>
    <row r="5108">
      <c r="A5108" s="2" t="inlineStr">
        <is>
          <t>2026-06-22</t>
        </is>
      </c>
      <c r="B5108" s="3" t="inlineStr">
        <is>
          <t>크레버스</t>
        </is>
      </c>
      <c r="C5108" s="2" t="inlineStr">
        <is>
          <t>코스닥</t>
        </is>
      </c>
      <c r="D5108" s="2" t="inlineStr">
        <is>
          <t>096240</t>
        </is>
      </c>
      <c r="E5108" s="3" t="inlineStr">
        <is>
          <t xml:space="preserve">임시주주총회결과              </t>
        </is>
      </c>
      <c r="F5108" s="3" t="inlineStr">
        <is>
          <t>크레버스</t>
        </is>
      </c>
      <c r="G5108" s="2" t="inlineStr">
        <is>
          <t>20260622900487</t>
        </is>
      </c>
      <c r="H5108" s="8">
        <f>HYPERLINK("https://dart.fss.or.kr/dsaf001/main.do?rcpNo=20260622900487", "공시열람")</f>
        <v/>
      </c>
    </row>
    <row r="5109">
      <c r="A5109" s="2" t="inlineStr">
        <is>
          <t>2026-06-22</t>
        </is>
      </c>
      <c r="B5109" s="3" t="inlineStr">
        <is>
          <t>엘엠에스</t>
        </is>
      </c>
      <c r="C5109" s="2" t="inlineStr">
        <is>
          <t>코스닥</t>
        </is>
      </c>
      <c r="D5109" s="2" t="inlineStr">
        <is>
          <t>073110</t>
        </is>
      </c>
      <c r="E5109" s="3" t="inlineStr">
        <is>
          <t xml:space="preserve">주주총회소집결의              </t>
        </is>
      </c>
      <c r="F5109" s="3" t="inlineStr">
        <is>
          <t>엘엠에스</t>
        </is>
      </c>
      <c r="G5109" s="2" t="inlineStr">
        <is>
          <t>20260622900482</t>
        </is>
      </c>
      <c r="H5109" s="8">
        <f>HYPERLINK("https://dart.fss.or.kr/dsaf001/main.do?rcpNo=20260622900482", "공시열람")</f>
        <v/>
      </c>
    </row>
    <row r="5110">
      <c r="A5110" s="2" t="inlineStr">
        <is>
          <t>2026-06-22</t>
        </is>
      </c>
      <c r="B5110" s="3" t="inlineStr">
        <is>
          <t>신세계푸드</t>
        </is>
      </c>
      <c r="C5110" s="2" t="inlineStr">
        <is>
          <t>코스피</t>
        </is>
      </c>
      <c r="D5110" s="2" t="inlineStr">
        <is>
          <t>031440</t>
        </is>
      </c>
      <c r="E5110" s="3" t="inlineStr">
        <is>
          <t xml:space="preserve">임시주주총회결과              </t>
        </is>
      </c>
      <c r="F5110" s="3" t="inlineStr">
        <is>
          <t>신세계푸드</t>
        </is>
      </c>
      <c r="G5110" s="2" t="inlineStr">
        <is>
          <t>20260622800460</t>
        </is>
      </c>
      <c r="H5110" s="8">
        <f>HYPERLINK("https://dart.fss.or.kr/dsaf001/main.do?rcpNo=20260622800460", "공시열람")</f>
        <v/>
      </c>
    </row>
    <row r="5111">
      <c r="A5111" s="2" t="inlineStr">
        <is>
          <t>2026-06-22</t>
        </is>
      </c>
      <c r="B5111" s="3" t="inlineStr">
        <is>
          <t>사조동아원</t>
        </is>
      </c>
      <c r="C5111" s="2" t="inlineStr">
        <is>
          <t>코스피</t>
        </is>
      </c>
      <c r="D5111" s="2" t="inlineStr">
        <is>
          <t>008040</t>
        </is>
      </c>
      <c r="E5111" s="3" t="inlineStr">
        <is>
          <t xml:space="preserve">주주총회소집결의              </t>
        </is>
      </c>
      <c r="F5111" s="3" t="inlineStr">
        <is>
          <t>사조동아원</t>
        </is>
      </c>
      <c r="G5111" s="2" t="inlineStr">
        <is>
          <t>20260622800388</t>
        </is>
      </c>
      <c r="H5111" s="8">
        <f>HYPERLINK("https://dart.fss.or.kr/dsaf001/main.do?rcpNo=20260622800388", "공시열람")</f>
        <v/>
      </c>
    </row>
    <row r="5112">
      <c r="A5112" s="2" t="inlineStr">
        <is>
          <t>2026-06-22</t>
        </is>
      </c>
      <c r="B5112" s="3" t="inlineStr">
        <is>
          <t>이지트로닉스</t>
        </is>
      </c>
      <c r="C5112" s="2" t="inlineStr">
        <is>
          <t>코스닥</t>
        </is>
      </c>
      <c r="D5112" s="2" t="inlineStr">
        <is>
          <t>377330</t>
        </is>
      </c>
      <c r="E5112" s="3" t="inlineStr">
        <is>
          <t xml:space="preserve">임시주주총회결과              </t>
        </is>
      </c>
      <c r="F5112" s="3" t="inlineStr">
        <is>
          <t>이지트로닉스</t>
        </is>
      </c>
      <c r="G5112" s="2" t="inlineStr">
        <is>
          <t>20260622900342</t>
        </is>
      </c>
      <c r="H5112" s="8">
        <f>HYPERLINK("https://dart.fss.or.kr/dsaf001/main.do?rcpNo=20260622900342", "공시열람")</f>
        <v/>
      </c>
    </row>
    <row r="5113">
      <c r="A5113" s="2" t="inlineStr">
        <is>
          <t>2026-06-22</t>
        </is>
      </c>
      <c r="B5113" s="3" t="inlineStr">
        <is>
          <t>엠앤씨솔루션</t>
        </is>
      </c>
      <c r="C5113" s="2" t="inlineStr">
        <is>
          <t>코스피</t>
        </is>
      </c>
      <c r="D5113" s="2" t="inlineStr">
        <is>
          <t>484870</t>
        </is>
      </c>
      <c r="E5113" s="3" t="inlineStr">
        <is>
          <t>[기재정정]주주총회소집공고</t>
        </is>
      </c>
      <c r="F5113" s="3" t="inlineStr">
        <is>
          <t>엠앤씨솔루션</t>
        </is>
      </c>
      <c r="G5113" s="2" t="inlineStr">
        <is>
          <t>20260622000134</t>
        </is>
      </c>
      <c r="H5113" s="8">
        <f>HYPERLINK("https://dart.fss.or.kr/dsaf001/main.do?rcpNo=20260622000134", "공시열람")</f>
        <v/>
      </c>
    </row>
    <row r="5114">
      <c r="A5114" s="2" t="inlineStr">
        <is>
          <t>2026-06-22</t>
        </is>
      </c>
      <c r="B5114" s="3" t="inlineStr">
        <is>
          <t>효성오앤비</t>
        </is>
      </c>
      <c r="C5114" s="2" t="inlineStr">
        <is>
          <t>코스닥</t>
        </is>
      </c>
      <c r="D5114" s="2" t="inlineStr">
        <is>
          <t>097870</t>
        </is>
      </c>
      <c r="E5114" s="3" t="inlineStr">
        <is>
          <t xml:space="preserve">임시주주총회결과              </t>
        </is>
      </c>
      <c r="F5114" s="3" t="inlineStr">
        <is>
          <t>효성오앤비</t>
        </is>
      </c>
      <c r="G5114" s="2" t="inlineStr">
        <is>
          <t>20260622900320</t>
        </is>
      </c>
      <c r="H5114" s="8">
        <f>HYPERLINK("https://dart.fss.or.kr/dsaf001/main.do?rcpNo=20260622900320", "공시열람")</f>
        <v/>
      </c>
    </row>
    <row r="5115">
      <c r="A5115" s="2" t="inlineStr">
        <is>
          <t>2026-06-22</t>
        </is>
      </c>
      <c r="B5115" s="3" t="inlineStr">
        <is>
          <t>엠앤씨솔루션</t>
        </is>
      </c>
      <c r="C5115" s="2" t="inlineStr">
        <is>
          <t>코스피</t>
        </is>
      </c>
      <c r="D5115" s="2" t="inlineStr">
        <is>
          <t>484870</t>
        </is>
      </c>
      <c r="E5115" s="3" t="inlineStr">
        <is>
          <t xml:space="preserve">[기재정정]주주총회소집결의              </t>
        </is>
      </c>
      <c r="F5115" s="3" t="inlineStr">
        <is>
          <t>엠앤씨솔루션</t>
        </is>
      </c>
      <c r="G5115" s="2" t="inlineStr">
        <is>
          <t>20260622800323</t>
        </is>
      </c>
      <c r="H5115" s="8">
        <f>HYPERLINK("https://dart.fss.or.kr/dsaf001/main.do?rcpNo=20260622800323", "공시열람")</f>
        <v/>
      </c>
    </row>
    <row r="5116">
      <c r="A5116" s="2" t="inlineStr">
        <is>
          <t>2026-06-22</t>
        </is>
      </c>
      <c r="B5116" s="3" t="inlineStr">
        <is>
          <t>원텍</t>
        </is>
      </c>
      <c r="C5116" s="2" t="inlineStr">
        <is>
          <t>코스닥</t>
        </is>
      </c>
      <c r="D5116" s="2" t="inlineStr">
        <is>
          <t>336570</t>
        </is>
      </c>
      <c r="E5116" s="3" t="inlineStr">
        <is>
          <t xml:space="preserve">주주총회소집결의              </t>
        </is>
      </c>
      <c r="F5116" s="3" t="inlineStr">
        <is>
          <t>원텍</t>
        </is>
      </c>
      <c r="G5116" s="2" t="inlineStr">
        <is>
          <t>20260622900275</t>
        </is>
      </c>
      <c r="H5116" s="8">
        <f>HYPERLINK("https://dart.fss.or.kr/dsaf001/main.do?rcpNo=20260622900275", "공시열람")</f>
        <v/>
      </c>
    </row>
    <row r="5117">
      <c r="A5117" s="2" t="inlineStr">
        <is>
          <t>2026-06-22</t>
        </is>
      </c>
      <c r="B5117" s="3" t="inlineStr">
        <is>
          <t>카카오게임즈</t>
        </is>
      </c>
      <c r="C5117" s="2" t="inlineStr">
        <is>
          <t>코스닥</t>
        </is>
      </c>
      <c r="D5117" s="2" t="inlineStr">
        <is>
          <t>293490</t>
        </is>
      </c>
      <c r="E5117" s="3" t="inlineStr">
        <is>
          <t xml:space="preserve">임시주주총회결과              </t>
        </is>
      </c>
      <c r="F5117" s="3" t="inlineStr">
        <is>
          <t>카카오게임즈</t>
        </is>
      </c>
      <c r="G5117" s="2" t="inlineStr">
        <is>
          <t>20260622900249</t>
        </is>
      </c>
      <c r="H5117" s="8">
        <f>HYPERLINK("https://dart.fss.or.kr/dsaf001/main.do?rcpNo=20260622900249", "공시열람")</f>
        <v/>
      </c>
    </row>
    <row r="5118">
      <c r="A5118" s="2" t="inlineStr">
        <is>
          <t>2026-06-22</t>
        </is>
      </c>
      <c r="B5118" s="3" t="inlineStr">
        <is>
          <t>케이카</t>
        </is>
      </c>
      <c r="C5118" s="2" t="inlineStr">
        <is>
          <t>코스피</t>
        </is>
      </c>
      <c r="D5118" s="2" t="inlineStr">
        <is>
          <t>381970</t>
        </is>
      </c>
      <c r="E5118" s="3" t="inlineStr">
        <is>
          <t>주주총회소집공고</t>
        </is>
      </c>
      <c r="F5118" s="3" t="inlineStr">
        <is>
          <t>케이카</t>
        </is>
      </c>
      <c r="G5118" s="2" t="inlineStr">
        <is>
          <t>20260622000059</t>
        </is>
      </c>
      <c r="H5118" s="8">
        <f>HYPERLINK("https://dart.fss.or.kr/dsaf001/main.do?rcpNo=20260622000059", "공시열람")</f>
        <v/>
      </c>
    </row>
    <row r="5119">
      <c r="A5119" s="2" t="inlineStr">
        <is>
          <t>2026-06-22</t>
        </is>
      </c>
      <c r="B5119" s="3" t="inlineStr">
        <is>
          <t>케이카</t>
        </is>
      </c>
      <c r="C5119" s="2" t="inlineStr">
        <is>
          <t>코스피</t>
        </is>
      </c>
      <c r="D5119" s="2" t="inlineStr">
        <is>
          <t>381970</t>
        </is>
      </c>
      <c r="E5119" s="3" t="inlineStr">
        <is>
          <t xml:space="preserve">주주총회소집결의              </t>
        </is>
      </c>
      <c r="F5119" s="3" t="inlineStr">
        <is>
          <t>케이카</t>
        </is>
      </c>
      <c r="G5119" s="2" t="inlineStr">
        <is>
          <t>20260622800218</t>
        </is>
      </c>
      <c r="H5119" s="8">
        <f>HYPERLINK("https://dart.fss.or.kr/dsaf001/main.do?rcpNo=20260622800218", "공시열람")</f>
        <v/>
      </c>
    </row>
    <row r="5120">
      <c r="A5120" s="2" t="inlineStr">
        <is>
          <t>2026-06-22</t>
        </is>
      </c>
      <c r="B5120" s="3" t="inlineStr">
        <is>
          <t>한전산업</t>
        </is>
      </c>
      <c r="C5120" s="2" t="inlineStr">
        <is>
          <t>코스피</t>
        </is>
      </c>
      <c r="D5120" s="2" t="inlineStr">
        <is>
          <t>130660</t>
        </is>
      </c>
      <c r="E5120" s="3" t="inlineStr">
        <is>
          <t>주주총회소집공고</t>
        </is>
      </c>
      <c r="F5120" s="3" t="inlineStr">
        <is>
          <t>한전산업</t>
        </is>
      </c>
      <c r="G5120" s="2" t="inlineStr">
        <is>
          <t>20260622000006</t>
        </is>
      </c>
      <c r="H5120" s="8">
        <f>HYPERLINK("https://dart.fss.or.kr/dsaf001/main.do?rcpNo=20260622000006", "공시열람")</f>
        <v/>
      </c>
    </row>
    <row r="5121">
      <c r="A5121" s="2" t="inlineStr">
        <is>
          <t>2026-06-23</t>
        </is>
      </c>
      <c r="B5121" s="3" t="inlineStr">
        <is>
          <t>미코</t>
        </is>
      </c>
      <c r="C5121" s="2" t="inlineStr">
        <is>
          <t>코스닥</t>
        </is>
      </c>
      <c r="D5121" s="2" t="inlineStr">
        <is>
          <t>059090</t>
        </is>
      </c>
      <c r="E5121" s="3" t="inlineStr">
        <is>
          <t xml:space="preserve">최대주주변경을수반하는주식담보제공계약체결              </t>
        </is>
      </c>
      <c r="F5121" s="3" t="inlineStr">
        <is>
          <t>미코</t>
        </is>
      </c>
      <c r="G5121" s="2" t="inlineStr">
        <is>
          <t>20260623900776</t>
        </is>
      </c>
      <c r="H5121" s="8">
        <f>HYPERLINK("https://dart.fss.or.kr/dsaf001/main.do?rcpNo=20260623900776", "공시열람")</f>
        <v/>
      </c>
    </row>
    <row r="5122">
      <c r="A5122" s="2" t="inlineStr">
        <is>
          <t>2026-06-23 (정정: 2026-06-23)</t>
        </is>
      </c>
      <c r="B5122" s="3" t="inlineStr">
        <is>
          <t>아센디오</t>
        </is>
      </c>
      <c r="C5122" s="2" t="inlineStr">
        <is>
          <t>코스피</t>
        </is>
      </c>
      <c r="D5122" s="2" t="inlineStr">
        <is>
          <t>012170</t>
        </is>
      </c>
      <c r="E5122" s="3" t="inlineStr">
        <is>
          <t>주주총회소집공고 (정정: 20260623)</t>
        </is>
      </c>
      <c r="F5122" s="3" t="inlineStr">
        <is>
          <t>아센디오</t>
        </is>
      </c>
      <c r="G5122" s="2" t="inlineStr">
        <is>
          <t>20260623800767</t>
        </is>
      </c>
      <c r="H5122" s="8">
        <f>HYPERLINK("https://dart.fss.or.kr/dsaf001/main.do?rcpNo=20260623800767", "공시열람")</f>
        <v/>
      </c>
    </row>
    <row r="5123">
      <c r="A5123" s="2" t="inlineStr">
        <is>
          <t>2026-06-23</t>
        </is>
      </c>
      <c r="B5123" s="3" t="inlineStr">
        <is>
          <t>아이윈</t>
        </is>
      </c>
      <c r="C5123" s="2" t="inlineStr">
        <is>
          <t>코스닥</t>
        </is>
      </c>
      <c r="D5123" s="2" t="inlineStr">
        <is>
          <t>090150</t>
        </is>
      </c>
      <c r="E5123" s="3" t="inlineStr">
        <is>
          <t xml:space="preserve">임시주주총회결과              </t>
        </is>
      </c>
      <c r="F5123" s="3" t="inlineStr">
        <is>
          <t>아이윈</t>
        </is>
      </c>
      <c r="G5123" s="2" t="inlineStr">
        <is>
          <t>20260623900757</t>
        </is>
      </c>
      <c r="H5123" s="8">
        <f>HYPERLINK("https://dart.fss.or.kr/dsaf001/main.do?rcpNo=20260623900757", "공시열람")</f>
        <v/>
      </c>
    </row>
    <row r="5124">
      <c r="A5124" s="2" t="inlineStr">
        <is>
          <t>2026-06-23</t>
        </is>
      </c>
      <c r="B5124" s="3" t="inlineStr">
        <is>
          <t>인콘</t>
        </is>
      </c>
      <c r="C5124" s="2" t="inlineStr">
        <is>
          <t>코스닥</t>
        </is>
      </c>
      <c r="D5124" s="2" t="inlineStr">
        <is>
          <t>083640</t>
        </is>
      </c>
      <c r="E5124" s="3" t="inlineStr">
        <is>
          <t>주주총회소집결의              (임시주주총회)</t>
        </is>
      </c>
      <c r="F5124" s="3" t="inlineStr">
        <is>
          <t>인콘</t>
        </is>
      </c>
      <c r="G5124" s="2" t="inlineStr">
        <is>
          <t>20260623900744</t>
        </is>
      </c>
      <c r="H5124" s="8">
        <f>HYPERLINK("https://dart.fss.or.kr/dsaf001/main.do?rcpNo=20260623900744", "공시열람")</f>
        <v/>
      </c>
    </row>
    <row r="5125">
      <c r="A5125" s="2" t="inlineStr">
        <is>
          <t>2026-06-23</t>
        </is>
      </c>
      <c r="B5125" s="3" t="inlineStr">
        <is>
          <t>진흥기업</t>
        </is>
      </c>
      <c r="C5125" s="2" t="inlineStr">
        <is>
          <t>코스피</t>
        </is>
      </c>
      <c r="D5125" s="2" t="inlineStr">
        <is>
          <t>002780</t>
        </is>
      </c>
      <c r="E5125" s="3" t="inlineStr">
        <is>
          <t xml:space="preserve">주주총회소집결의              </t>
        </is>
      </c>
      <c r="F5125" s="3" t="inlineStr">
        <is>
          <t>진흥기업</t>
        </is>
      </c>
      <c r="G5125" s="2" t="inlineStr">
        <is>
          <t>20260623800715</t>
        </is>
      </c>
      <c r="H5125" s="8">
        <f>HYPERLINK("https://dart.fss.or.kr/dsaf001/main.do?rcpNo=20260623800715", "공시열람")</f>
        <v/>
      </c>
    </row>
    <row r="5126">
      <c r="A5126" s="2" t="inlineStr">
        <is>
          <t>2026-06-23</t>
        </is>
      </c>
      <c r="B5126" s="3" t="inlineStr">
        <is>
          <t>이엠텍</t>
        </is>
      </c>
      <c r="C5126" s="2" t="inlineStr">
        <is>
          <t>코스닥</t>
        </is>
      </c>
      <c r="D5126" s="2" t="inlineStr">
        <is>
          <t>091120</t>
        </is>
      </c>
      <c r="E5126" s="3" t="inlineStr">
        <is>
          <t>기타경영사항(자율공시)              (소규모합병 승인 이사회 결의(주주총회 갈음) 결과 보고)</t>
        </is>
      </c>
      <c r="F5126" s="3" t="inlineStr">
        <is>
          <t>이엠텍</t>
        </is>
      </c>
      <c r="G5126" s="2" t="inlineStr">
        <is>
          <t>20260623900619</t>
        </is>
      </c>
      <c r="H5126" s="8">
        <f>HYPERLINK("https://dart.fss.or.kr/dsaf001/main.do?rcpNo=20260623900619", "공시열람")</f>
        <v/>
      </c>
    </row>
    <row r="5127">
      <c r="A5127" s="2" t="inlineStr">
        <is>
          <t>2026-06-23</t>
        </is>
      </c>
      <c r="B5127" s="3" t="inlineStr">
        <is>
          <t>오리엔트바이오</t>
        </is>
      </c>
      <c r="C5127" s="2" t="inlineStr">
        <is>
          <t>코스피</t>
        </is>
      </c>
      <c r="D5127" s="2" t="inlineStr">
        <is>
          <t>002630</t>
        </is>
      </c>
      <c r="E5127" s="3" t="inlineStr">
        <is>
          <t xml:space="preserve">주주총회소집결의              </t>
        </is>
      </c>
      <c r="F5127" s="3" t="inlineStr">
        <is>
          <t>오리엔트바이오</t>
        </is>
      </c>
      <c r="G5127" s="2" t="inlineStr">
        <is>
          <t>20260623800591</t>
        </is>
      </c>
      <c r="H5127" s="8">
        <f>HYPERLINK("https://dart.fss.or.kr/dsaf001/main.do?rcpNo=20260623800591", "공시열람")</f>
        <v/>
      </c>
    </row>
    <row r="5128">
      <c r="A5128" s="2" t="inlineStr">
        <is>
          <t>2026-06-23</t>
        </is>
      </c>
      <c r="B5128" s="3" t="inlineStr">
        <is>
          <t>노랑풍선</t>
        </is>
      </c>
      <c r="C5128" s="2" t="inlineStr">
        <is>
          <t>코스닥</t>
        </is>
      </c>
      <c r="D5128" s="2" t="inlineStr">
        <is>
          <t>104620</t>
        </is>
      </c>
      <c r="E5128" s="3" t="inlineStr">
        <is>
          <t xml:space="preserve">임시주주총회결과              </t>
        </is>
      </c>
      <c r="F5128" s="3" t="inlineStr">
        <is>
          <t>노랑풍선</t>
        </is>
      </c>
      <c r="G5128" s="2" t="inlineStr">
        <is>
          <t>20260623900538</t>
        </is>
      </c>
      <c r="H5128" s="8">
        <f>HYPERLINK("https://dart.fss.or.kr/dsaf001/main.do?rcpNo=20260623900538", "공시열람")</f>
        <v/>
      </c>
    </row>
    <row r="5129">
      <c r="A5129" s="2" t="inlineStr">
        <is>
          <t>2026-06-23</t>
        </is>
      </c>
      <c r="B5129" s="3" t="inlineStr">
        <is>
          <t>파워넷</t>
        </is>
      </c>
      <c r="C5129" s="2" t="inlineStr">
        <is>
          <t>코스닥</t>
        </is>
      </c>
      <c r="D5129" s="2" t="inlineStr">
        <is>
          <t>037030</t>
        </is>
      </c>
      <c r="E5129" s="3" t="inlineStr">
        <is>
          <t>주주총회소집공고</t>
        </is>
      </c>
      <c r="F5129" s="3" t="inlineStr">
        <is>
          <t>파워넷</t>
        </is>
      </c>
      <c r="G5129" s="2" t="inlineStr">
        <is>
          <t>20260623000328</t>
        </is>
      </c>
      <c r="H5129" s="8">
        <f>HYPERLINK("https://dart.fss.or.kr/dsaf001/main.do?rcpNo=20260623000328", "공시열람")</f>
        <v/>
      </c>
    </row>
    <row r="5130">
      <c r="A5130" s="2" t="inlineStr">
        <is>
          <t>2026-06-23</t>
        </is>
      </c>
      <c r="B5130" s="3" t="inlineStr">
        <is>
          <t>세화피앤씨</t>
        </is>
      </c>
      <c r="C5130" s="2" t="inlineStr">
        <is>
          <t>코스닥</t>
        </is>
      </c>
      <c r="D5130" s="2" t="inlineStr">
        <is>
          <t>252500</t>
        </is>
      </c>
      <c r="E5130" s="3" t="inlineStr">
        <is>
          <t>주주총회소집공고</t>
        </is>
      </c>
      <c r="F5130" s="3" t="inlineStr">
        <is>
          <t>세화피앤씨</t>
        </is>
      </c>
      <c r="G5130" s="2" t="inlineStr">
        <is>
          <t>20260623000317</t>
        </is>
      </c>
      <c r="H5130" s="8">
        <f>HYPERLINK("https://dart.fss.or.kr/dsaf001/main.do?rcpNo=20260623000317", "공시열람")</f>
        <v/>
      </c>
    </row>
    <row r="5131">
      <c r="A5131" s="2" t="inlineStr">
        <is>
          <t>2026-06-23</t>
        </is>
      </c>
      <c r="B5131" s="3" t="inlineStr">
        <is>
          <t>소룩스</t>
        </is>
      </c>
      <c r="C5131" s="2" t="inlineStr">
        <is>
          <t>코스닥</t>
        </is>
      </c>
      <c r="D5131" s="2" t="inlineStr">
        <is>
          <t>290690</t>
        </is>
      </c>
      <c r="E5131" s="3" t="inlineStr">
        <is>
          <t>[기재정정]주요사항보고서(회사합병결정)</t>
        </is>
      </c>
      <c r="F5131" s="3" t="inlineStr">
        <is>
          <t>소룩스</t>
        </is>
      </c>
      <c r="G5131" s="2" t="inlineStr">
        <is>
          <t>20260623000274</t>
        </is>
      </c>
      <c r="H5131" s="8">
        <f>HYPERLINK("https://dart.fss.or.kr/dsaf001/main.do?rcpNo=20260623000274", "공시열람")</f>
        <v/>
      </c>
    </row>
    <row r="5132">
      <c r="A5132" s="2" t="inlineStr">
        <is>
          <t>2026-06-23</t>
        </is>
      </c>
      <c r="B5132" s="3" t="inlineStr">
        <is>
          <t>금강철강</t>
        </is>
      </c>
      <c r="C5132" s="2" t="inlineStr">
        <is>
          <t>코스닥</t>
        </is>
      </c>
      <c r="D5132" s="2" t="inlineStr">
        <is>
          <t>053260</t>
        </is>
      </c>
      <c r="E5132" s="3" t="inlineStr">
        <is>
          <t>주주총회소집공고</t>
        </is>
      </c>
      <c r="F5132" s="3" t="inlineStr">
        <is>
          <t>금강철강</t>
        </is>
      </c>
      <c r="G5132" s="2" t="inlineStr">
        <is>
          <t>20260623000302</t>
        </is>
      </c>
      <c r="H5132" s="8">
        <f>HYPERLINK("https://dart.fss.or.kr/dsaf001/main.do?rcpNo=20260623000302", "공시열람")</f>
        <v/>
      </c>
    </row>
    <row r="5133">
      <c r="A5133" s="2" t="inlineStr">
        <is>
          <t>2026-06-23</t>
        </is>
      </c>
      <c r="B5133" s="3" t="inlineStr">
        <is>
          <t>하이젠알앤엠</t>
        </is>
      </c>
      <c r="C5133" s="2" t="inlineStr">
        <is>
          <t>코스닥</t>
        </is>
      </c>
      <c r="D5133" s="2" t="inlineStr">
        <is>
          <t>160190</t>
        </is>
      </c>
      <c r="E5133" s="3" t="inlineStr">
        <is>
          <t xml:space="preserve">임시주주총회결과              </t>
        </is>
      </c>
      <c r="F5133" s="3" t="inlineStr">
        <is>
          <t>하이젠알앤엠</t>
        </is>
      </c>
      <c r="G5133" s="2" t="inlineStr">
        <is>
          <t>20260623900481</t>
        </is>
      </c>
      <c r="H5133" s="8">
        <f>HYPERLINK("https://dart.fss.or.kr/dsaf001/main.do?rcpNo=20260623900481", "공시열람")</f>
        <v/>
      </c>
    </row>
    <row r="5134">
      <c r="A5134" s="2" t="inlineStr">
        <is>
          <t>2026-06-23</t>
        </is>
      </c>
      <c r="B5134" s="3" t="inlineStr">
        <is>
          <t>미래에셋글로벌리츠</t>
        </is>
      </c>
      <c r="C5134" s="2" t="inlineStr">
        <is>
          <t>코스피</t>
        </is>
      </c>
      <c r="D5134" s="2" t="inlineStr">
        <is>
          <t>396690</t>
        </is>
      </c>
      <c r="E5134" s="3" t="inlineStr">
        <is>
          <t>[기재정정]주주총회소집공고</t>
        </is>
      </c>
      <c r="F5134" s="3" t="inlineStr">
        <is>
          <t>미래에셋글로벌리츠</t>
        </is>
      </c>
      <c r="G5134" s="2" t="inlineStr">
        <is>
          <t>20260623000292</t>
        </is>
      </c>
      <c r="H5134" s="8">
        <f>HYPERLINK("https://dart.fss.or.kr/dsaf001/main.do?rcpNo=20260623000292", "공시열람")</f>
        <v/>
      </c>
    </row>
    <row r="5135">
      <c r="A5135" s="2" t="inlineStr">
        <is>
          <t>2026-06-23</t>
        </is>
      </c>
      <c r="B5135" s="3" t="inlineStr">
        <is>
          <t>엠로</t>
        </is>
      </c>
      <c r="C5135" s="2" t="inlineStr">
        <is>
          <t>코스닥</t>
        </is>
      </c>
      <c r="D5135" s="2" t="inlineStr">
        <is>
          <t>058970</t>
        </is>
      </c>
      <c r="E5135" s="3" t="inlineStr">
        <is>
          <t>주주총회소집공고</t>
        </is>
      </c>
      <c r="F5135" s="3" t="inlineStr">
        <is>
          <t>엠로</t>
        </is>
      </c>
      <c r="G5135" s="2" t="inlineStr">
        <is>
          <t>20260623000288</t>
        </is>
      </c>
      <c r="H5135" s="8">
        <f>HYPERLINK("https://dart.fss.or.kr/dsaf001/main.do?rcpNo=20260623000288", "공시열람")</f>
        <v/>
      </c>
    </row>
    <row r="5136">
      <c r="A5136" s="2" t="inlineStr">
        <is>
          <t>2026-06-23 (정정: 2026-06-23)</t>
        </is>
      </c>
      <c r="B5136" s="3" t="inlineStr">
        <is>
          <t>모아라이프플러스</t>
        </is>
      </c>
      <c r="C5136" s="2" t="inlineStr">
        <is>
          <t>코스닥</t>
        </is>
      </c>
      <c r="D5136" s="2" t="inlineStr">
        <is>
          <t>142760</t>
        </is>
      </c>
      <c r="E5136" s="3" t="inlineStr">
        <is>
          <t>주주총회소집공고 (정정: 20260623)</t>
        </is>
      </c>
      <c r="F5136" s="3" t="inlineStr">
        <is>
          <t>모아라이프플러스</t>
        </is>
      </c>
      <c r="G5136" s="2" t="inlineStr">
        <is>
          <t>20260623900259</t>
        </is>
      </c>
      <c r="H5136" s="8">
        <f>HYPERLINK("https://dart.fss.or.kr/dsaf001/main.do?rcpNo=20260623900259", "공시열람")</f>
        <v/>
      </c>
    </row>
    <row r="5137">
      <c r="A5137" s="2" t="inlineStr">
        <is>
          <t>2026-06-23 (정정: 2026-06-24)</t>
        </is>
      </c>
      <c r="B5137" s="3" t="inlineStr">
        <is>
          <t>헝셩그룹</t>
        </is>
      </c>
      <c r="C5137" s="2" t="inlineStr">
        <is>
          <t>코스닥</t>
        </is>
      </c>
      <c r="D5137" s="2" t="inlineStr">
        <is>
          <t>900270</t>
        </is>
      </c>
      <c r="E5137" s="3" t="inlineStr">
        <is>
          <t>주주총회소집공고 (정정: 20260624)</t>
        </is>
      </c>
      <c r="F5137" s="3" t="inlineStr">
        <is>
          <t>헝셩그룹</t>
        </is>
      </c>
      <c r="G5137" s="2" t="inlineStr">
        <is>
          <t>20260624000264</t>
        </is>
      </c>
      <c r="H5137" s="8">
        <f>HYPERLINK("https://dart.fss.or.kr/dsaf001/main.do?rcpNo=20260624000264", "공시열람")</f>
        <v/>
      </c>
    </row>
    <row r="5138">
      <c r="A5138" s="2" t="inlineStr">
        <is>
          <t>2026-06-23</t>
        </is>
      </c>
      <c r="B5138" s="3" t="inlineStr">
        <is>
          <t>엑사이엔씨</t>
        </is>
      </c>
      <c r="C5138" s="2" t="inlineStr">
        <is>
          <t>코스닥</t>
        </is>
      </c>
      <c r="D5138" s="2" t="inlineStr">
        <is>
          <t>054940</t>
        </is>
      </c>
      <c r="E5138" s="3" t="inlineStr">
        <is>
          <t>주주총회소집공고</t>
        </is>
      </c>
      <c r="F5138" s="3" t="inlineStr">
        <is>
          <t>엑사이엔씨</t>
        </is>
      </c>
      <c r="G5138" s="2" t="inlineStr">
        <is>
          <t>20260623000209</t>
        </is>
      </c>
      <c r="H5138" s="8">
        <f>HYPERLINK("https://dart.fss.or.kr/dsaf001/main.do?rcpNo=20260623000209", "공시열람")</f>
        <v/>
      </c>
    </row>
    <row r="5139">
      <c r="A5139" s="2" t="inlineStr">
        <is>
          <t>2026-06-23</t>
        </is>
      </c>
      <c r="B5139" s="3" t="inlineStr">
        <is>
          <t>원일티엔아이</t>
        </is>
      </c>
      <c r="C5139" s="2" t="inlineStr">
        <is>
          <t>코스닥</t>
        </is>
      </c>
      <c r="D5139" s="2" t="inlineStr">
        <is>
          <t>136150</t>
        </is>
      </c>
      <c r="E5139" s="3" t="inlineStr">
        <is>
          <t>주주총회소집공고</t>
        </is>
      </c>
      <c r="F5139" s="3" t="inlineStr">
        <is>
          <t>원일티엔아이</t>
        </is>
      </c>
      <c r="G5139" s="2" t="inlineStr">
        <is>
          <t>20260623000199</t>
        </is>
      </c>
      <c r="H5139" s="8">
        <f>HYPERLINK("https://dart.fss.or.kr/dsaf001/main.do?rcpNo=20260623000199", "공시열람")</f>
        <v/>
      </c>
    </row>
    <row r="5140">
      <c r="A5140" s="2" t="inlineStr">
        <is>
          <t>2026-06-23</t>
        </is>
      </c>
      <c r="B5140" s="3" t="inlineStr">
        <is>
          <t>우정바이오</t>
        </is>
      </c>
      <c r="C5140" s="2" t="inlineStr">
        <is>
          <t>코스닥</t>
        </is>
      </c>
      <c r="D5140" s="2" t="inlineStr">
        <is>
          <t>215380</t>
        </is>
      </c>
      <c r="E5140" s="3" t="inlineStr">
        <is>
          <t>주주총회소집공고</t>
        </is>
      </c>
      <c r="F5140" s="3" t="inlineStr">
        <is>
          <t>우정바이오</t>
        </is>
      </c>
      <c r="G5140" s="2" t="inlineStr">
        <is>
          <t>20260623000196</t>
        </is>
      </c>
      <c r="H5140" s="8">
        <f>HYPERLINK("https://dart.fss.or.kr/dsaf001/main.do?rcpNo=20260623000196", "공시열람")</f>
        <v/>
      </c>
    </row>
    <row r="5141">
      <c r="A5141" s="2" t="inlineStr">
        <is>
          <t>2026-06-23</t>
        </is>
      </c>
      <c r="B5141" s="3" t="inlineStr">
        <is>
          <t>HB솔루션</t>
        </is>
      </c>
      <c r="C5141" s="2" t="inlineStr">
        <is>
          <t>코스닥</t>
        </is>
      </c>
      <c r="D5141" s="2" t="inlineStr">
        <is>
          <t>297890</t>
        </is>
      </c>
      <c r="E5141" s="3" t="inlineStr">
        <is>
          <t>주주총회소집공고</t>
        </is>
      </c>
      <c r="F5141" s="3" t="inlineStr">
        <is>
          <t>HB솔루션</t>
        </is>
      </c>
      <c r="G5141" s="2" t="inlineStr">
        <is>
          <t>20260623000067</t>
        </is>
      </c>
      <c r="H5141" s="8">
        <f>HYPERLINK("https://dart.fss.or.kr/dsaf001/main.do?rcpNo=20260623000067", "공시열람")</f>
        <v/>
      </c>
    </row>
    <row r="5142">
      <c r="A5142" s="2" t="inlineStr">
        <is>
          <t>2026-06-23</t>
        </is>
      </c>
      <c r="B5142" s="3" t="inlineStr">
        <is>
          <t>두올</t>
        </is>
      </c>
      <c r="C5142" s="2" t="inlineStr">
        <is>
          <t>코스피</t>
        </is>
      </c>
      <c r="D5142" s="2" t="inlineStr">
        <is>
          <t>016740</t>
        </is>
      </c>
      <c r="E5142" s="3" t="inlineStr">
        <is>
          <t xml:space="preserve">주주총회소집결의              </t>
        </is>
      </c>
      <c r="F5142" s="3" t="inlineStr">
        <is>
          <t>두올</t>
        </is>
      </c>
      <c r="G5142" s="2" t="inlineStr">
        <is>
          <t>20260623800178</t>
        </is>
      </c>
      <c r="H5142" s="8">
        <f>HYPERLINK("https://dart.fss.or.kr/dsaf001/main.do?rcpNo=20260623800178", "공시열람")</f>
        <v/>
      </c>
    </row>
    <row r="5143">
      <c r="A5143" s="2" t="inlineStr">
        <is>
          <t>2026-06-23</t>
        </is>
      </c>
      <c r="B5143" s="3" t="inlineStr">
        <is>
          <t>케이엠제약</t>
        </is>
      </c>
      <c r="C5143" s="2" t="inlineStr">
        <is>
          <t>코스닥</t>
        </is>
      </c>
      <c r="D5143" s="2" t="inlineStr">
        <is>
          <t>225430</t>
        </is>
      </c>
      <c r="E5143" s="3" t="inlineStr">
        <is>
          <t xml:space="preserve">임시주주총회결과              </t>
        </is>
      </c>
      <c r="F5143" s="3" t="inlineStr">
        <is>
          <t>케이엠제약</t>
        </is>
      </c>
      <c r="G5143" s="2" t="inlineStr">
        <is>
          <t>20260623900173</t>
        </is>
      </c>
      <c r="H5143" s="8">
        <f>HYPERLINK("https://dart.fss.or.kr/dsaf001/main.do?rcpNo=20260623900173", "공시열람")</f>
        <v/>
      </c>
    </row>
    <row r="5144">
      <c r="A5144" s="2" t="inlineStr">
        <is>
          <t>2026-06-23 (정정: 2026-06-23)</t>
        </is>
      </c>
      <c r="B5144" s="3" t="inlineStr">
        <is>
          <t>베셀</t>
        </is>
      </c>
      <c r="C5144" s="2" t="inlineStr">
        <is>
          <t>코스닥</t>
        </is>
      </c>
      <c r="D5144" s="2" t="inlineStr">
        <is>
          <t>177350</t>
        </is>
      </c>
      <c r="E5144" s="3" t="inlineStr">
        <is>
          <t>임시주주총회결과               (정정: 20260623)</t>
        </is>
      </c>
      <c r="F5144" s="3" t="inlineStr">
        <is>
          <t>베셀</t>
        </is>
      </c>
      <c r="G5144" s="2" t="inlineStr">
        <is>
          <t>20260623900168</t>
        </is>
      </c>
      <c r="H5144" s="8">
        <f>HYPERLINK("https://dart.fss.or.kr/dsaf001/main.do?rcpNo=20260623900168", "공시열람")</f>
        <v/>
      </c>
    </row>
    <row r="5145">
      <c r="A5145" s="2" t="inlineStr">
        <is>
          <t>2026-06-24 (정정: 2026-06-26)</t>
        </is>
      </c>
      <c r="B5145" s="3" t="inlineStr">
        <is>
          <t>성호전자</t>
        </is>
      </c>
      <c r="C5145" s="2" t="inlineStr">
        <is>
          <t>코스닥</t>
        </is>
      </c>
      <c r="D5145" s="2" t="inlineStr">
        <is>
          <t>043260</t>
        </is>
      </c>
      <c r="E5145" s="3" t="inlineStr">
        <is>
          <t>최대주주변경을수반하는주식담보제공계약체결               (정정: 20260626)</t>
        </is>
      </c>
      <c r="F5145" s="3" t="inlineStr">
        <is>
          <t>성호전자</t>
        </is>
      </c>
      <c r="G5145" s="2" t="inlineStr">
        <is>
          <t>20260626901416</t>
        </is>
      </c>
      <c r="H5145" s="8">
        <f>HYPERLINK("https://dart.fss.or.kr/dsaf001/main.do?rcpNo=20260626901416", "공시열람")</f>
        <v/>
      </c>
    </row>
    <row r="5146">
      <c r="A5146" s="2" t="inlineStr">
        <is>
          <t>2026-06-24</t>
        </is>
      </c>
      <c r="B5146" s="3" t="inlineStr">
        <is>
          <t>동원금속</t>
        </is>
      </c>
      <c r="C5146" s="2" t="inlineStr">
        <is>
          <t>코스피</t>
        </is>
      </c>
      <c r="D5146" s="2" t="inlineStr">
        <is>
          <t>018500</t>
        </is>
      </c>
      <c r="E5146" s="3" t="inlineStr">
        <is>
          <t>[기재정정]주주총회소집공고</t>
        </is>
      </c>
      <c r="F5146" s="3" t="inlineStr">
        <is>
          <t>동원금속</t>
        </is>
      </c>
      <c r="G5146" s="2" t="inlineStr">
        <is>
          <t>20260624000502</t>
        </is>
      </c>
      <c r="H5146" s="8">
        <f>HYPERLINK("https://dart.fss.or.kr/dsaf001/main.do?rcpNo=20260624000502", "공시열람")</f>
        <v/>
      </c>
    </row>
    <row r="5147">
      <c r="A5147" s="2" t="inlineStr">
        <is>
          <t>2026-06-24</t>
        </is>
      </c>
      <c r="B5147" s="3" t="inlineStr">
        <is>
          <t>인베니아</t>
        </is>
      </c>
      <c r="C5147" s="2" t="inlineStr">
        <is>
          <t>코스닥</t>
        </is>
      </c>
      <c r="D5147" s="2" t="inlineStr">
        <is>
          <t>079950</t>
        </is>
      </c>
      <c r="E5147" s="3" t="inlineStr">
        <is>
          <t xml:space="preserve">최대주주변경을수반하는주식담보제공계약해제ㆍ취소등              </t>
        </is>
      </c>
      <c r="F5147" s="3" t="inlineStr">
        <is>
          <t>인베니아</t>
        </is>
      </c>
      <c r="G5147" s="2" t="inlineStr">
        <is>
          <t>20260624900919</t>
        </is>
      </c>
      <c r="H5147" s="8">
        <f>HYPERLINK("https://dart.fss.or.kr/dsaf001/main.do?rcpNo=20260624900919", "공시열람")</f>
        <v/>
      </c>
    </row>
    <row r="5148">
      <c r="A5148" s="2" t="inlineStr">
        <is>
          <t>2026-06-24</t>
        </is>
      </c>
      <c r="B5148" s="3" t="inlineStr">
        <is>
          <t>씨씨에스</t>
        </is>
      </c>
      <c r="C5148" s="2" t="inlineStr">
        <is>
          <t>코스닥</t>
        </is>
      </c>
      <c r="D5148" s="2" t="inlineStr">
        <is>
          <t>066790</t>
        </is>
      </c>
      <c r="E5148" s="3" t="inlineStr">
        <is>
          <t>소송등의판결ㆍ결정              (임시주주총회 개최금지 가처분)</t>
        </is>
      </c>
      <c r="F5148" s="3" t="inlineStr">
        <is>
          <t>씨씨에스</t>
        </is>
      </c>
      <c r="G5148" s="2" t="inlineStr">
        <is>
          <t>20260624900935</t>
        </is>
      </c>
      <c r="H5148" s="8">
        <f>HYPERLINK("https://dart.fss.or.kr/dsaf001/main.do?rcpNo=20260624900935", "공시열람")</f>
        <v/>
      </c>
    </row>
    <row r="5149">
      <c r="A5149" s="2" t="inlineStr">
        <is>
          <t>2026-06-24</t>
        </is>
      </c>
      <c r="B5149" s="3" t="inlineStr">
        <is>
          <t>씨씨에스</t>
        </is>
      </c>
      <c r="C5149" s="2" t="inlineStr">
        <is>
          <t>코스닥</t>
        </is>
      </c>
      <c r="D5149" s="2" t="inlineStr">
        <is>
          <t>066790</t>
        </is>
      </c>
      <c r="E5149" s="3" t="inlineStr">
        <is>
          <t>소송등의제기ㆍ신청(경영권분쟁소송)              (일시대표이사선임신청)</t>
        </is>
      </c>
      <c r="F5149" s="3" t="inlineStr">
        <is>
          <t>씨씨에스</t>
        </is>
      </c>
      <c r="G5149" s="2" t="inlineStr">
        <is>
          <t>20260624900932</t>
        </is>
      </c>
      <c r="H5149" s="8">
        <f>HYPERLINK("https://dart.fss.or.kr/dsaf001/main.do?rcpNo=20260624900932", "공시열람")</f>
        <v/>
      </c>
    </row>
    <row r="5150">
      <c r="A5150" s="2" t="inlineStr">
        <is>
          <t>2026-06-24</t>
        </is>
      </c>
      <c r="B5150" s="3" t="inlineStr">
        <is>
          <t>나노씨엠에스</t>
        </is>
      </c>
      <c r="C5150" s="2" t="inlineStr">
        <is>
          <t>코스닥</t>
        </is>
      </c>
      <c r="D5150" s="2" t="inlineStr">
        <is>
          <t>247660</t>
        </is>
      </c>
      <c r="E5150" s="3" t="inlineStr">
        <is>
          <t>소송등의제기ㆍ신청(경영권분쟁소송)              (직무대행자선임가처분)</t>
        </is>
      </c>
      <c r="F5150" s="3" t="inlineStr">
        <is>
          <t>나노씨엠에스</t>
        </is>
      </c>
      <c r="G5150" s="2" t="inlineStr">
        <is>
          <t>20260624900753</t>
        </is>
      </c>
      <c r="H5150" s="8">
        <f>HYPERLINK("https://dart.fss.or.kr/dsaf001/main.do?rcpNo=20260624900753", "공시열람")</f>
        <v/>
      </c>
    </row>
    <row r="5151">
      <c r="A5151" s="2" t="inlineStr">
        <is>
          <t>2026-06-24</t>
        </is>
      </c>
      <c r="B5151" s="3" t="inlineStr">
        <is>
          <t>아크솔루션스</t>
        </is>
      </c>
      <c r="C5151" s="2" t="inlineStr">
        <is>
          <t>코스닥</t>
        </is>
      </c>
      <c r="D5151" s="2" t="inlineStr">
        <is>
          <t>203690</t>
        </is>
      </c>
      <c r="E5151" s="3" t="inlineStr">
        <is>
          <t>[기재정정]주주총회소집결의              (임시주주총회)</t>
        </is>
      </c>
      <c r="F5151" s="3" t="inlineStr">
        <is>
          <t>아크솔루션스</t>
        </is>
      </c>
      <c r="G5151" s="2" t="inlineStr">
        <is>
          <t>20260624900762</t>
        </is>
      </c>
      <c r="H5151" s="8">
        <f>HYPERLINK("https://dart.fss.or.kr/dsaf001/main.do?rcpNo=20260624900762", "공시열람")</f>
        <v/>
      </c>
    </row>
    <row r="5152">
      <c r="A5152" s="2" t="inlineStr">
        <is>
          <t>2026-06-24</t>
        </is>
      </c>
      <c r="B5152" s="3" t="inlineStr">
        <is>
          <t>우듬지팜</t>
        </is>
      </c>
      <c r="C5152" s="2" t="inlineStr">
        <is>
          <t>코스닥</t>
        </is>
      </c>
      <c r="D5152" s="2" t="inlineStr">
        <is>
          <t>403490</t>
        </is>
      </c>
      <c r="E5152" s="3" t="inlineStr">
        <is>
          <t>주주총회소집공고</t>
        </is>
      </c>
      <c r="F5152" s="3" t="inlineStr">
        <is>
          <t>우듬지팜</t>
        </is>
      </c>
      <c r="G5152" s="2" t="inlineStr">
        <is>
          <t>20260624000413</t>
        </is>
      </c>
      <c r="H5152" s="8">
        <f>HYPERLINK("https://dart.fss.or.kr/dsaf001/main.do?rcpNo=20260624000413", "공시열람")</f>
        <v/>
      </c>
    </row>
    <row r="5153">
      <c r="A5153" s="2" t="inlineStr">
        <is>
          <t>2026-06-24</t>
        </is>
      </c>
      <c r="B5153" s="3" t="inlineStr">
        <is>
          <t>KS인더스트리</t>
        </is>
      </c>
      <c r="C5153" s="2" t="inlineStr">
        <is>
          <t>코스닥</t>
        </is>
      </c>
      <c r="D5153" s="2" t="inlineStr">
        <is>
          <t>101000</t>
        </is>
      </c>
      <c r="E5153" s="3" t="inlineStr">
        <is>
          <t>주주총회소집공고</t>
        </is>
      </c>
      <c r="F5153" s="3" t="inlineStr">
        <is>
          <t>KS인더스트리</t>
        </is>
      </c>
      <c r="G5153" s="2" t="inlineStr">
        <is>
          <t>20260624000400</t>
        </is>
      </c>
      <c r="H5153" s="8">
        <f>HYPERLINK("https://dart.fss.or.kr/dsaf001/main.do?rcpNo=20260624000400", "공시열람")</f>
        <v/>
      </c>
    </row>
    <row r="5154">
      <c r="A5154" s="2" t="inlineStr">
        <is>
          <t>2026-06-24</t>
        </is>
      </c>
      <c r="B5154" s="3" t="inlineStr">
        <is>
          <t>더라미</t>
        </is>
      </c>
      <c r="C5154" s="2" t="inlineStr">
        <is>
          <t>코스닥</t>
        </is>
      </c>
      <c r="D5154" s="2" t="inlineStr">
        <is>
          <t>032860</t>
        </is>
      </c>
      <c r="E5154" s="3" t="inlineStr">
        <is>
          <t>주주총회소집공고</t>
        </is>
      </c>
      <c r="F5154" s="3" t="inlineStr">
        <is>
          <t>더라미</t>
        </is>
      </c>
      <c r="G5154" s="2" t="inlineStr">
        <is>
          <t>20260624000326</t>
        </is>
      </c>
      <c r="H5154" s="8">
        <f>HYPERLINK("https://dart.fss.or.kr/dsaf001/main.do?rcpNo=20260624000326", "공시열람")</f>
        <v/>
      </c>
    </row>
    <row r="5155">
      <c r="A5155" s="2" t="inlineStr">
        <is>
          <t>2026-06-24</t>
        </is>
      </c>
      <c r="B5155" s="3" t="inlineStr">
        <is>
          <t>아스트</t>
        </is>
      </c>
      <c r="C5155" s="2" t="inlineStr">
        <is>
          <t>코스닥</t>
        </is>
      </c>
      <c r="D5155" s="2" t="inlineStr">
        <is>
          <t>067390</t>
        </is>
      </c>
      <c r="E5155" s="3" t="inlineStr">
        <is>
          <t>주주총회소집공고</t>
        </is>
      </c>
      <c r="F5155" s="3" t="inlineStr">
        <is>
          <t>아스트</t>
        </is>
      </c>
      <c r="G5155" s="2" t="inlineStr">
        <is>
          <t>20260624000323</t>
        </is>
      </c>
      <c r="H5155" s="8">
        <f>HYPERLINK("https://dart.fss.or.kr/dsaf001/main.do?rcpNo=20260624000323", "공시열람")</f>
        <v/>
      </c>
    </row>
    <row r="5156">
      <c r="A5156" s="2" t="inlineStr">
        <is>
          <t>2026-06-24</t>
        </is>
      </c>
      <c r="B5156" s="3" t="inlineStr">
        <is>
          <t>SDN</t>
        </is>
      </c>
      <c r="C5156" s="2" t="inlineStr">
        <is>
          <t>코스닥</t>
        </is>
      </c>
      <c r="D5156" s="2" t="inlineStr">
        <is>
          <t>099220</t>
        </is>
      </c>
      <c r="E5156" s="3" t="inlineStr">
        <is>
          <t>주주총회소집결의              (임시주주총회)</t>
        </is>
      </c>
      <c r="F5156" s="3" t="inlineStr">
        <is>
          <t>SDN</t>
        </is>
      </c>
      <c r="G5156" s="2" t="inlineStr">
        <is>
          <t>20260624900609</t>
        </is>
      </c>
      <c r="H5156" s="8">
        <f>HYPERLINK("https://dart.fss.or.kr/dsaf001/main.do?rcpNo=20260624900609", "공시열람")</f>
        <v/>
      </c>
    </row>
    <row r="5157">
      <c r="A5157" s="2" t="inlineStr">
        <is>
          <t>2026-06-24</t>
        </is>
      </c>
      <c r="B5157" s="3" t="inlineStr">
        <is>
          <t>참엔지니어링</t>
        </is>
      </c>
      <c r="C5157" s="2" t="inlineStr">
        <is>
          <t>코스피</t>
        </is>
      </c>
      <c r="D5157" s="2" t="inlineStr">
        <is>
          <t>009310</t>
        </is>
      </c>
      <c r="E5157" s="3" t="inlineStr">
        <is>
          <t xml:space="preserve">임시주주총회결과              </t>
        </is>
      </c>
      <c r="F5157" s="3" t="inlineStr">
        <is>
          <t>참엔지니어링</t>
        </is>
      </c>
      <c r="G5157" s="2" t="inlineStr">
        <is>
          <t>20260624800552</t>
        </is>
      </c>
      <c r="H5157" s="8">
        <f>HYPERLINK("https://dart.fss.or.kr/dsaf001/main.do?rcpNo=20260624800552", "공시열람")</f>
        <v/>
      </c>
    </row>
    <row r="5158">
      <c r="A5158" s="2" t="inlineStr">
        <is>
          <t>2026-06-24</t>
        </is>
      </c>
      <c r="B5158" s="3" t="inlineStr">
        <is>
          <t>미래에셋글로벌리츠</t>
        </is>
      </c>
      <c r="C5158" s="2" t="inlineStr">
        <is>
          <t>코스피</t>
        </is>
      </c>
      <c r="D5158" s="2" t="inlineStr">
        <is>
          <t>396690</t>
        </is>
      </c>
      <c r="E5158" s="3" t="inlineStr">
        <is>
          <t xml:space="preserve">정기주주총회결과              </t>
        </is>
      </c>
      <c r="F5158" s="3" t="inlineStr">
        <is>
          <t>미래에셋글로벌리츠</t>
        </is>
      </c>
      <c r="G5158" s="2" t="inlineStr">
        <is>
          <t>20260624800539</t>
        </is>
      </c>
      <c r="H5158" s="8">
        <f>HYPERLINK("https://dart.fss.or.kr/dsaf001/main.do?rcpNo=20260624800539", "공시열람")</f>
        <v/>
      </c>
    </row>
    <row r="5159">
      <c r="A5159" s="2" t="inlineStr">
        <is>
          <t>2026-06-24</t>
        </is>
      </c>
      <c r="B5159" s="3" t="inlineStr">
        <is>
          <t>핑거</t>
        </is>
      </c>
      <c r="C5159" s="2" t="inlineStr">
        <is>
          <t>코스닥</t>
        </is>
      </c>
      <c r="D5159" s="2" t="inlineStr">
        <is>
          <t>163730</t>
        </is>
      </c>
      <c r="E5159" s="3" t="inlineStr">
        <is>
          <t xml:space="preserve">임시주주총회결과              </t>
        </is>
      </c>
      <c r="F5159" s="3" t="inlineStr">
        <is>
          <t>핑거</t>
        </is>
      </c>
      <c r="G5159" s="2" t="inlineStr">
        <is>
          <t>20260624900516</t>
        </is>
      </c>
      <c r="H5159" s="8">
        <f>HYPERLINK("https://dart.fss.or.kr/dsaf001/main.do?rcpNo=20260624900516", "공시열람")</f>
        <v/>
      </c>
    </row>
    <row r="5160">
      <c r="A5160" s="2" t="inlineStr">
        <is>
          <t>2026-06-24</t>
        </is>
      </c>
      <c r="B5160" s="3" t="inlineStr">
        <is>
          <t>원림</t>
        </is>
      </c>
      <c r="C5160" s="2" t="inlineStr">
        <is>
          <t>코스피</t>
        </is>
      </c>
      <c r="D5160" s="2" t="inlineStr">
        <is>
          <t>005820</t>
        </is>
      </c>
      <c r="E5160" s="3" t="inlineStr">
        <is>
          <t>주주총회소집공고</t>
        </is>
      </c>
      <c r="F5160" s="3" t="inlineStr">
        <is>
          <t>원림</t>
        </is>
      </c>
      <c r="G5160" s="2" t="inlineStr">
        <is>
          <t>20260624000214</t>
        </is>
      </c>
      <c r="H5160" s="8">
        <f>HYPERLINK("https://dart.fss.or.kr/dsaf001/main.do?rcpNo=20260624000214", "공시열람")</f>
        <v/>
      </c>
    </row>
    <row r="5161">
      <c r="A5161" s="2" t="inlineStr">
        <is>
          <t>2026-06-24</t>
        </is>
      </c>
      <c r="B5161" s="3" t="inlineStr">
        <is>
          <t>헝셩그룹</t>
        </is>
      </c>
      <c r="C5161" s="2" t="inlineStr">
        <is>
          <t>코스닥</t>
        </is>
      </c>
      <c r="D5161" s="2" t="inlineStr">
        <is>
          <t>900270</t>
        </is>
      </c>
      <c r="E5161" s="3" t="inlineStr">
        <is>
          <t>[첨부정정]주주총회소집결의              (임시주주총회)</t>
        </is>
      </c>
      <c r="F5161" s="3" t="inlineStr">
        <is>
          <t>헝셩그룹</t>
        </is>
      </c>
      <c r="G5161" s="2" t="inlineStr">
        <is>
          <t>20260624900500</t>
        </is>
      </c>
      <c r="H5161" s="8">
        <f>HYPERLINK("https://dart.fss.or.kr/dsaf001/main.do?rcpNo=20260624900500", "공시열람")</f>
        <v/>
      </c>
    </row>
    <row r="5162">
      <c r="A5162" s="2" t="inlineStr">
        <is>
          <t>2026-06-24</t>
        </is>
      </c>
      <c r="B5162" s="3" t="inlineStr">
        <is>
          <t>미래산업</t>
        </is>
      </c>
      <c r="C5162" s="2" t="inlineStr">
        <is>
          <t>코스피</t>
        </is>
      </c>
      <c r="D5162" s="2" t="inlineStr">
        <is>
          <t>025560</t>
        </is>
      </c>
      <c r="E5162" s="3" t="inlineStr">
        <is>
          <t xml:space="preserve">임시주주총회결과              </t>
        </is>
      </c>
      <c r="F5162" s="3" t="inlineStr">
        <is>
          <t>미래산업</t>
        </is>
      </c>
      <c r="G5162" s="2" t="inlineStr">
        <is>
          <t>20260624800457</t>
        </is>
      </c>
      <c r="H5162" s="8">
        <f>HYPERLINK("https://dart.fss.or.kr/dsaf001/main.do?rcpNo=20260624800457", "공시열람")</f>
        <v/>
      </c>
    </row>
    <row r="5163">
      <c r="A5163" s="2" t="inlineStr">
        <is>
          <t>2026-06-24</t>
        </is>
      </c>
      <c r="B5163" s="3" t="inlineStr">
        <is>
          <t>동국홀딩스</t>
        </is>
      </c>
      <c r="C5163" s="2" t="inlineStr">
        <is>
          <t>코스피</t>
        </is>
      </c>
      <c r="D5163" s="2" t="inlineStr">
        <is>
          <t>001230</t>
        </is>
      </c>
      <c r="E5163" s="3" t="inlineStr">
        <is>
          <t xml:space="preserve">임시주주총회결과              </t>
        </is>
      </c>
      <c r="F5163" s="3" t="inlineStr">
        <is>
          <t>동국홀딩스</t>
        </is>
      </c>
      <c r="G5163" s="2" t="inlineStr">
        <is>
          <t>20260624800467</t>
        </is>
      </c>
      <c r="H5163" s="8">
        <f>HYPERLINK("https://dart.fss.or.kr/dsaf001/main.do?rcpNo=20260624800467", "공시열람")</f>
        <v/>
      </c>
    </row>
    <row r="5164">
      <c r="A5164" s="2" t="inlineStr">
        <is>
          <t>2026-06-24</t>
        </is>
      </c>
      <c r="B5164" s="3" t="inlineStr">
        <is>
          <t>이화공영</t>
        </is>
      </c>
      <c r="C5164" s="2" t="inlineStr">
        <is>
          <t>코스닥</t>
        </is>
      </c>
      <c r="D5164" s="2" t="inlineStr">
        <is>
          <t>001840</t>
        </is>
      </c>
      <c r="E5164" s="3" t="inlineStr">
        <is>
          <t>주주총회소집공고</t>
        </is>
      </c>
      <c r="F5164" s="3" t="inlineStr">
        <is>
          <t>이화공영</t>
        </is>
      </c>
      <c r="G5164" s="2" t="inlineStr">
        <is>
          <t>20260624000146</t>
        </is>
      </c>
      <c r="H5164" s="8">
        <f>HYPERLINK("https://dart.fss.or.kr/dsaf001/main.do?rcpNo=20260624000146", "공시열람")</f>
        <v/>
      </c>
    </row>
    <row r="5165">
      <c r="A5165" s="2" t="inlineStr">
        <is>
          <t>2026-06-24</t>
        </is>
      </c>
      <c r="B5165" s="3" t="inlineStr">
        <is>
          <t>페스카로</t>
        </is>
      </c>
      <c r="C5165" s="2" t="inlineStr">
        <is>
          <t>코스닥</t>
        </is>
      </c>
      <c r="D5165" s="2" t="inlineStr">
        <is>
          <t>0015S0</t>
        </is>
      </c>
      <c r="E5165" s="3" t="inlineStr">
        <is>
          <t>주주총회소집결의              (임시주주총회)</t>
        </is>
      </c>
      <c r="F5165" s="3" t="inlineStr">
        <is>
          <t>페스카로</t>
        </is>
      </c>
      <c r="G5165" s="2" t="inlineStr">
        <is>
          <t>20260624900382</t>
        </is>
      </c>
      <c r="H5165" s="8">
        <f>HYPERLINK("https://dart.fss.or.kr/dsaf001/main.do?rcpNo=20260624900382", "공시열람")</f>
        <v/>
      </c>
    </row>
    <row r="5166">
      <c r="A5166" s="2" t="inlineStr">
        <is>
          <t>2026-06-24</t>
        </is>
      </c>
      <c r="B5166" s="3" t="inlineStr">
        <is>
          <t>세진티에스</t>
        </is>
      </c>
      <c r="C5166" s="2" t="inlineStr">
        <is>
          <t>코스닥</t>
        </is>
      </c>
      <c r="D5166" s="2" t="inlineStr">
        <is>
          <t>067770</t>
        </is>
      </c>
      <c r="E5166" s="3" t="inlineStr">
        <is>
          <t xml:space="preserve">주주총회소집결의              </t>
        </is>
      </c>
      <c r="F5166" s="3" t="inlineStr">
        <is>
          <t>세진티에스</t>
        </is>
      </c>
      <c r="G5166" s="2" t="inlineStr">
        <is>
          <t>20260624900365</t>
        </is>
      </c>
      <c r="H5166" s="8">
        <f>HYPERLINK("https://dart.fss.or.kr/dsaf001/main.do?rcpNo=20260624900365", "공시열람")</f>
        <v/>
      </c>
    </row>
    <row r="5167">
      <c r="A5167" s="2" t="inlineStr">
        <is>
          <t>2026-06-24</t>
        </is>
      </c>
      <c r="B5167" s="3" t="inlineStr">
        <is>
          <t>멕아이씨에스</t>
        </is>
      </c>
      <c r="C5167" s="2" t="inlineStr">
        <is>
          <t>코스닥</t>
        </is>
      </c>
      <c r="D5167" s="2" t="inlineStr">
        <is>
          <t>058110</t>
        </is>
      </c>
      <c r="E5167" s="3" t="inlineStr">
        <is>
          <t>주주총회소집결의              (임시주주총회)</t>
        </is>
      </c>
      <c r="F5167" s="3" t="inlineStr">
        <is>
          <t>멕아이씨에스</t>
        </is>
      </c>
      <c r="G5167" s="2" t="inlineStr">
        <is>
          <t>20260624900340</t>
        </is>
      </c>
      <c r="H5167" s="8">
        <f>HYPERLINK("https://dart.fss.or.kr/dsaf001/main.do?rcpNo=20260624900340", "공시열람")</f>
        <v/>
      </c>
    </row>
    <row r="5168">
      <c r="A5168" s="2" t="inlineStr">
        <is>
          <t>2026-06-24</t>
        </is>
      </c>
      <c r="B5168" s="3" t="inlineStr">
        <is>
          <t>디알텍</t>
        </is>
      </c>
      <c r="C5168" s="2" t="inlineStr">
        <is>
          <t>코스닥</t>
        </is>
      </c>
      <c r="D5168" s="2" t="inlineStr">
        <is>
          <t>214680</t>
        </is>
      </c>
      <c r="E5168" s="3" t="inlineStr">
        <is>
          <t xml:space="preserve">주주총회소집결의              </t>
        </is>
      </c>
      <c r="F5168" s="3" t="inlineStr">
        <is>
          <t>디알텍</t>
        </is>
      </c>
      <c r="G5168" s="2" t="inlineStr">
        <is>
          <t>20260624900314</t>
        </is>
      </c>
      <c r="H5168" s="8">
        <f>HYPERLINK("https://dart.fss.or.kr/dsaf001/main.do?rcpNo=20260624900314", "공시열람")</f>
        <v/>
      </c>
    </row>
    <row r="5169">
      <c r="A5169" s="2" t="inlineStr">
        <is>
          <t>2026-06-25</t>
        </is>
      </c>
      <c r="B5169" s="3" t="inlineStr">
        <is>
          <t>광명전기</t>
        </is>
      </c>
      <c r="C5169" s="2" t="inlineStr">
        <is>
          <t>코스피</t>
        </is>
      </c>
      <c r="D5169" s="2" t="inlineStr">
        <is>
          <t>017040</t>
        </is>
      </c>
      <c r="E5169" s="3" t="inlineStr">
        <is>
          <t xml:space="preserve">임시주주총회결과              </t>
        </is>
      </c>
      <c r="F5169" s="3" t="inlineStr">
        <is>
          <t>광명전기</t>
        </is>
      </c>
      <c r="G5169" s="2" t="inlineStr">
        <is>
          <t>20260625800901</t>
        </is>
      </c>
      <c r="H5169" s="8">
        <f>HYPERLINK("https://dart.fss.or.kr/dsaf001/main.do?rcpNo=20260625800901", "공시열람")</f>
        <v/>
      </c>
    </row>
    <row r="5170">
      <c r="A5170" s="2" t="inlineStr">
        <is>
          <t>2026-06-25</t>
        </is>
      </c>
      <c r="B5170" s="3" t="inlineStr">
        <is>
          <t>3S</t>
        </is>
      </c>
      <c r="C5170" s="2" t="inlineStr">
        <is>
          <t>코스닥</t>
        </is>
      </c>
      <c r="D5170" s="2" t="inlineStr">
        <is>
          <t>060310</t>
        </is>
      </c>
      <c r="E5170" s="3" t="inlineStr">
        <is>
          <t xml:space="preserve">정기주주총회결과              </t>
        </is>
      </c>
      <c r="F5170" s="3" t="inlineStr">
        <is>
          <t>3S</t>
        </is>
      </c>
      <c r="G5170" s="2" t="inlineStr">
        <is>
          <t>20260625900866</t>
        </is>
      </c>
      <c r="H5170" s="8">
        <f>HYPERLINK("https://dart.fss.or.kr/dsaf001/main.do?rcpNo=20260625900866", "공시열람")</f>
        <v/>
      </c>
    </row>
    <row r="5171">
      <c r="A5171" s="2" t="inlineStr">
        <is>
          <t>2026-06-25</t>
        </is>
      </c>
      <c r="B5171" s="3" t="inlineStr">
        <is>
          <t>젠큐릭스</t>
        </is>
      </c>
      <c r="C5171" s="2" t="inlineStr">
        <is>
          <t>코스닥</t>
        </is>
      </c>
      <c r="D5171" s="2" t="inlineStr">
        <is>
          <t>229000</t>
        </is>
      </c>
      <c r="E5171" s="3" t="inlineStr">
        <is>
          <t>주요사항보고서(회사합병결정)</t>
        </is>
      </c>
      <c r="F5171" s="3" t="inlineStr">
        <is>
          <t>젠큐릭스</t>
        </is>
      </c>
      <c r="G5171" s="2" t="inlineStr">
        <is>
          <t>20260625000609</t>
        </is>
      </c>
      <c r="H5171" s="8">
        <f>HYPERLINK("https://dart.fss.or.kr/dsaf001/main.do?rcpNo=20260625000609", "공시열람")</f>
        <v/>
      </c>
    </row>
    <row r="5172">
      <c r="A5172" s="2" t="inlineStr">
        <is>
          <t>2026-06-25</t>
        </is>
      </c>
      <c r="B5172" s="3" t="inlineStr">
        <is>
          <t>SYTS</t>
        </is>
      </c>
      <c r="C5172" s="2" t="inlineStr">
        <is>
          <t>코스피</t>
        </is>
      </c>
      <c r="D5172" s="2" t="inlineStr">
        <is>
          <t>002170</t>
        </is>
      </c>
      <c r="E5172" s="3" t="inlineStr">
        <is>
          <t>주주총회소집공고</t>
        </is>
      </c>
      <c r="F5172" s="3" t="inlineStr">
        <is>
          <t>SYTS</t>
        </is>
      </c>
      <c r="G5172" s="2" t="inlineStr">
        <is>
          <t>20260625000565</t>
        </is>
      </c>
      <c r="H5172" s="8">
        <f>HYPERLINK("https://dart.fss.or.kr/dsaf001/main.do?rcpNo=20260625000565", "공시열람")</f>
        <v/>
      </c>
    </row>
    <row r="5173">
      <c r="A5173" s="2" t="inlineStr">
        <is>
          <t>2026-06-25</t>
        </is>
      </c>
      <c r="B5173" s="3" t="inlineStr">
        <is>
          <t>삼영에스앤씨</t>
        </is>
      </c>
      <c r="C5173" s="2" t="inlineStr">
        <is>
          <t>코스닥</t>
        </is>
      </c>
      <c r="D5173" s="2" t="inlineStr">
        <is>
          <t>361670</t>
        </is>
      </c>
      <c r="E5173" s="3" t="inlineStr">
        <is>
          <t>주주총회소집공고</t>
        </is>
      </c>
      <c r="F5173" s="3" t="inlineStr">
        <is>
          <t>삼영에스앤씨</t>
        </is>
      </c>
      <c r="G5173" s="2" t="inlineStr">
        <is>
          <t>20260625000553</t>
        </is>
      </c>
      <c r="H5173" s="8">
        <f>HYPERLINK("https://dart.fss.or.kr/dsaf001/main.do?rcpNo=20260625000553", "공시열람")</f>
        <v/>
      </c>
    </row>
    <row r="5174">
      <c r="A5174" s="2" t="inlineStr">
        <is>
          <t>2026-06-25</t>
        </is>
      </c>
      <c r="B5174" s="3" t="inlineStr">
        <is>
          <t>디와이에이</t>
        </is>
      </c>
      <c r="C5174" s="2" t="inlineStr">
        <is>
          <t>코스피</t>
        </is>
      </c>
      <c r="D5174" s="2" t="inlineStr">
        <is>
          <t>002880</t>
        </is>
      </c>
      <c r="E5174" s="3" t="inlineStr">
        <is>
          <t xml:space="preserve">주주총회소집결의              </t>
        </is>
      </c>
      <c r="F5174" s="3" t="inlineStr">
        <is>
          <t>디와이에이</t>
        </is>
      </c>
      <c r="G5174" s="2" t="inlineStr">
        <is>
          <t>20260625800689</t>
        </is>
      </c>
      <c r="H5174" s="8">
        <f>HYPERLINK("https://dart.fss.or.kr/dsaf001/main.do?rcpNo=20260625800689", "공시열람")</f>
        <v/>
      </c>
    </row>
    <row r="5175">
      <c r="A5175" s="2" t="inlineStr">
        <is>
          <t>2026-06-25</t>
        </is>
      </c>
      <c r="B5175" s="3" t="inlineStr">
        <is>
          <t>카카오게임즈</t>
        </is>
      </c>
      <c r="C5175" s="2" t="inlineStr">
        <is>
          <t>코스닥</t>
        </is>
      </c>
      <c r="D5175" s="2" t="inlineStr">
        <is>
          <t>293490</t>
        </is>
      </c>
      <c r="E5175" s="3" t="inlineStr">
        <is>
          <t xml:space="preserve">최대주주변경을수반하는주식담보제공계약체결              </t>
        </is>
      </c>
      <c r="F5175" s="3" t="inlineStr">
        <is>
          <t>카카오게임즈</t>
        </is>
      </c>
      <c r="G5175" s="2" t="inlineStr">
        <is>
          <t>20260625900683</t>
        </is>
      </c>
      <c r="H5175" s="8">
        <f>HYPERLINK("https://dart.fss.or.kr/dsaf001/main.do?rcpNo=20260625900683", "공시열람")</f>
        <v/>
      </c>
    </row>
    <row r="5176">
      <c r="A5176" s="2" t="inlineStr">
        <is>
          <t>2026-06-25</t>
        </is>
      </c>
      <c r="B5176" s="3" t="inlineStr">
        <is>
          <t>코리아나</t>
        </is>
      </c>
      <c r="C5176" s="2" t="inlineStr">
        <is>
          <t>코스닥</t>
        </is>
      </c>
      <c r="D5176" s="2" t="inlineStr">
        <is>
          <t>027050</t>
        </is>
      </c>
      <c r="E5176" s="3" t="inlineStr">
        <is>
          <t xml:space="preserve">임시주주총회결과              </t>
        </is>
      </c>
      <c r="F5176" s="3" t="inlineStr">
        <is>
          <t>코리아나</t>
        </is>
      </c>
      <c r="G5176" s="2" t="inlineStr">
        <is>
          <t>20260625900486</t>
        </is>
      </c>
      <c r="H5176" s="8">
        <f>HYPERLINK("https://dart.fss.or.kr/dsaf001/main.do?rcpNo=20260625900486", "공시열람")</f>
        <v/>
      </c>
    </row>
    <row r="5177">
      <c r="A5177" s="2" t="inlineStr">
        <is>
          <t>2026-06-25</t>
        </is>
      </c>
      <c r="B5177" s="3" t="inlineStr">
        <is>
          <t>서울반도체</t>
        </is>
      </c>
      <c r="C5177" s="2" t="inlineStr">
        <is>
          <t>코스닥</t>
        </is>
      </c>
      <c r="D5177" s="2" t="inlineStr">
        <is>
          <t>046890</t>
        </is>
      </c>
      <c r="E5177" s="3" t="inlineStr">
        <is>
          <t xml:space="preserve">임시주주총회결과              </t>
        </is>
      </c>
      <c r="F5177" s="3" t="inlineStr">
        <is>
          <t>서울반도체</t>
        </is>
      </c>
      <c r="G5177" s="2" t="inlineStr">
        <is>
          <t>20260625900551</t>
        </is>
      </c>
      <c r="H5177" s="8">
        <f>HYPERLINK("https://dart.fss.or.kr/dsaf001/main.do?rcpNo=20260625900551", "공시열람")</f>
        <v/>
      </c>
    </row>
    <row r="5178">
      <c r="A5178" s="2" t="inlineStr">
        <is>
          <t>2026-06-25</t>
        </is>
      </c>
      <c r="B5178" s="3" t="inlineStr">
        <is>
          <t>한국앤컴퍼니</t>
        </is>
      </c>
      <c r="C5178" s="2" t="inlineStr">
        <is>
          <t>코스피</t>
        </is>
      </c>
      <c r="D5178" s="2" t="inlineStr">
        <is>
          <t>000240</t>
        </is>
      </c>
      <c r="E5178" s="3" t="inlineStr">
        <is>
          <t xml:space="preserve">소송등의제기ㆍ신청(경영권분쟁소송)              </t>
        </is>
      </c>
      <c r="F5178" s="3" t="inlineStr">
        <is>
          <t>한국앤컴퍼니</t>
        </is>
      </c>
      <c r="G5178" s="2" t="inlineStr">
        <is>
          <t>20260625800539</t>
        </is>
      </c>
      <c r="H5178" s="8">
        <f>HYPERLINK("https://dart.fss.or.kr/dsaf001/main.do?rcpNo=20260625800539", "공시열람")</f>
        <v/>
      </c>
    </row>
    <row r="5179">
      <c r="A5179" s="2" t="inlineStr">
        <is>
          <t>2026-06-25</t>
        </is>
      </c>
      <c r="B5179" s="3" t="inlineStr">
        <is>
          <t>HPSP</t>
        </is>
      </c>
      <c r="C5179" s="2" t="inlineStr">
        <is>
          <t>코스닥</t>
        </is>
      </c>
      <c r="D5179" s="2" t="inlineStr">
        <is>
          <t>403870</t>
        </is>
      </c>
      <c r="E5179" s="3" t="inlineStr">
        <is>
          <t xml:space="preserve">임시주주총회결과              </t>
        </is>
      </c>
      <c r="F5179" s="3" t="inlineStr">
        <is>
          <t>HPSP</t>
        </is>
      </c>
      <c r="G5179" s="2" t="inlineStr">
        <is>
          <t>20260625900498</t>
        </is>
      </c>
      <c r="H5179" s="8">
        <f>HYPERLINK("https://dart.fss.or.kr/dsaf001/main.do?rcpNo=20260625900498", "공시열람")</f>
        <v/>
      </c>
    </row>
    <row r="5180">
      <c r="A5180" s="2" t="inlineStr">
        <is>
          <t>2026-06-25</t>
        </is>
      </c>
      <c r="B5180" s="3" t="inlineStr">
        <is>
          <t>아미코젠</t>
        </is>
      </c>
      <c r="C5180" s="2" t="inlineStr">
        <is>
          <t>코스닥</t>
        </is>
      </c>
      <c r="D5180" s="2" t="inlineStr">
        <is>
          <t>092040</t>
        </is>
      </c>
      <c r="E5180" s="3" t="inlineStr">
        <is>
          <t>주주총회소집결의              (임시주주총회)</t>
        </is>
      </c>
      <c r="F5180" s="3" t="inlineStr">
        <is>
          <t>아미코젠</t>
        </is>
      </c>
      <c r="G5180" s="2" t="inlineStr">
        <is>
          <t>20260625900479</t>
        </is>
      </c>
      <c r="H5180" s="8">
        <f>HYPERLINK("https://dart.fss.or.kr/dsaf001/main.do?rcpNo=20260625900479", "공시열람")</f>
        <v/>
      </c>
    </row>
    <row r="5181">
      <c r="A5181" s="2" t="inlineStr">
        <is>
          <t>2026-06-25</t>
        </is>
      </c>
      <c r="B5181" s="3" t="inlineStr">
        <is>
          <t>로지스몬</t>
        </is>
      </c>
      <c r="C5181" s="2" t="inlineStr">
        <is>
          <t>코넥스</t>
        </is>
      </c>
      <c r="D5181" s="2" t="inlineStr">
        <is>
          <t>223220</t>
        </is>
      </c>
      <c r="E5181" s="3" t="inlineStr">
        <is>
          <t xml:space="preserve">소송등의제기ㆍ신청(경영권분쟁소송)              </t>
        </is>
      </c>
      <c r="F5181" s="3" t="inlineStr">
        <is>
          <t>로지스몬</t>
        </is>
      </c>
      <c r="G5181" s="2" t="inlineStr">
        <is>
          <t>20260625600436</t>
        </is>
      </c>
      <c r="H5181" s="8">
        <f>HYPERLINK("https://dart.fss.or.kr/dsaf001/main.do?rcpNo=20260625600436", "공시열람")</f>
        <v/>
      </c>
    </row>
    <row r="5182">
      <c r="A5182" s="2" t="inlineStr">
        <is>
          <t>2026-06-25</t>
        </is>
      </c>
      <c r="B5182" s="3" t="inlineStr">
        <is>
          <t>성우</t>
        </is>
      </c>
      <c r="C5182" s="2" t="inlineStr">
        <is>
          <t>코스닥</t>
        </is>
      </c>
      <c r="D5182" s="2" t="inlineStr">
        <is>
          <t>458650</t>
        </is>
      </c>
      <c r="E5182" s="3" t="inlineStr">
        <is>
          <t>주주총회소집공고</t>
        </is>
      </c>
      <c r="F5182" s="3" t="inlineStr">
        <is>
          <t>성우</t>
        </is>
      </c>
      <c r="G5182" s="2" t="inlineStr">
        <is>
          <t>20260625000326</t>
        </is>
      </c>
      <c r="H5182" s="8">
        <f>HYPERLINK("https://dart.fss.or.kr/dsaf001/main.do?rcpNo=20260625000326", "공시열람")</f>
        <v/>
      </c>
    </row>
    <row r="5183">
      <c r="A5183" s="2" t="inlineStr">
        <is>
          <t>2026-06-25</t>
        </is>
      </c>
      <c r="B5183" s="3" t="inlineStr">
        <is>
          <t>모아텍</t>
        </is>
      </c>
      <c r="C5183" s="2" t="inlineStr">
        <is>
          <t>코스닥</t>
        </is>
      </c>
      <c r="D5183" s="2" t="inlineStr">
        <is>
          <t>033200</t>
        </is>
      </c>
      <c r="E5183" s="3" t="inlineStr">
        <is>
          <t xml:space="preserve">정기주주총회결과              </t>
        </is>
      </c>
      <c r="F5183" s="3" t="inlineStr">
        <is>
          <t>모아텍</t>
        </is>
      </c>
      <c r="G5183" s="2" t="inlineStr">
        <is>
          <t>20260625900375</t>
        </is>
      </c>
      <c r="H5183" s="8">
        <f>HYPERLINK("https://dart.fss.or.kr/dsaf001/main.do?rcpNo=20260625900375", "공시열람")</f>
        <v/>
      </c>
    </row>
    <row r="5184">
      <c r="A5184" s="2" t="inlineStr">
        <is>
          <t>2026-06-25</t>
        </is>
      </c>
      <c r="B5184" s="3" t="inlineStr">
        <is>
          <t>이지케어텍</t>
        </is>
      </c>
      <c r="C5184" s="2" t="inlineStr">
        <is>
          <t>코스닥</t>
        </is>
      </c>
      <c r="D5184" s="2" t="inlineStr">
        <is>
          <t>099750</t>
        </is>
      </c>
      <c r="E5184" s="3" t="inlineStr">
        <is>
          <t xml:space="preserve">정기주주총회결과              </t>
        </is>
      </c>
      <c r="F5184" s="3" t="inlineStr">
        <is>
          <t>이지케어텍</t>
        </is>
      </c>
      <c r="G5184" s="2" t="inlineStr">
        <is>
          <t>20260625900360</t>
        </is>
      </c>
      <c r="H5184" s="8">
        <f>HYPERLINK("https://dart.fss.or.kr/dsaf001/main.do?rcpNo=20260625900360", "공시열람")</f>
        <v/>
      </c>
    </row>
    <row r="5185">
      <c r="A5185" s="2" t="inlineStr">
        <is>
          <t>2026-06-25</t>
        </is>
      </c>
      <c r="B5185" s="3" t="inlineStr">
        <is>
          <t>노브랜드</t>
        </is>
      </c>
      <c r="C5185" s="2" t="inlineStr">
        <is>
          <t>코스닥</t>
        </is>
      </c>
      <c r="D5185" s="2" t="inlineStr">
        <is>
          <t>145170</t>
        </is>
      </c>
      <c r="E5185" s="3" t="inlineStr">
        <is>
          <t>주주총회소집공고</t>
        </is>
      </c>
      <c r="F5185" s="3" t="inlineStr">
        <is>
          <t>노브랜드</t>
        </is>
      </c>
      <c r="G5185" s="2" t="inlineStr">
        <is>
          <t>20260625000294</t>
        </is>
      </c>
      <c r="H5185" s="8">
        <f>HYPERLINK("https://dart.fss.or.kr/dsaf001/main.do?rcpNo=20260625000294", "공시열람")</f>
        <v/>
      </c>
    </row>
    <row r="5186">
      <c r="A5186" s="2" t="inlineStr">
        <is>
          <t>2026-06-25</t>
        </is>
      </c>
      <c r="B5186" s="3" t="inlineStr">
        <is>
          <t>롯데하이마트</t>
        </is>
      </c>
      <c r="C5186" s="2" t="inlineStr">
        <is>
          <t>코스피</t>
        </is>
      </c>
      <c r="D5186" s="2" t="inlineStr">
        <is>
          <t>071840</t>
        </is>
      </c>
      <c r="E5186" s="3" t="inlineStr">
        <is>
          <t xml:space="preserve">주주총회소집결의              </t>
        </is>
      </c>
      <c r="F5186" s="3" t="inlineStr">
        <is>
          <t>롯데하이마트</t>
        </is>
      </c>
      <c r="G5186" s="2" t="inlineStr">
        <is>
          <t>20260625800350</t>
        </is>
      </c>
      <c r="H5186" s="8">
        <f>HYPERLINK("https://dart.fss.or.kr/dsaf001/main.do?rcpNo=20260625800350", "공시열람")</f>
        <v/>
      </c>
    </row>
    <row r="5187">
      <c r="A5187" s="2" t="inlineStr">
        <is>
          <t>2026-06-25</t>
        </is>
      </c>
      <c r="B5187" s="3" t="inlineStr">
        <is>
          <t>알엔투테크놀로지</t>
        </is>
      </c>
      <c r="C5187" s="2" t="inlineStr">
        <is>
          <t>코스닥</t>
        </is>
      </c>
      <c r="D5187" s="2" t="inlineStr">
        <is>
          <t>148250</t>
        </is>
      </c>
      <c r="E5187" s="3" t="inlineStr">
        <is>
          <t>주주총회소집공고</t>
        </is>
      </c>
      <c r="F5187" s="3" t="inlineStr">
        <is>
          <t>알엔투테크놀로지</t>
        </is>
      </c>
      <c r="G5187" s="2" t="inlineStr">
        <is>
          <t>20260625000191</t>
        </is>
      </c>
      <c r="H5187" s="8">
        <f>HYPERLINK("https://dart.fss.or.kr/dsaf001/main.do?rcpNo=20260625000191", "공시열람")</f>
        <v/>
      </c>
    </row>
    <row r="5188">
      <c r="A5188" s="2" t="inlineStr">
        <is>
          <t>2026-06-25</t>
        </is>
      </c>
      <c r="B5188" s="3" t="inlineStr">
        <is>
          <t>씨큐브</t>
        </is>
      </c>
      <c r="C5188" s="2" t="inlineStr">
        <is>
          <t>코스닥</t>
        </is>
      </c>
      <c r="D5188" s="2" t="inlineStr">
        <is>
          <t>101240</t>
        </is>
      </c>
      <c r="E5188" s="3" t="inlineStr">
        <is>
          <t>주주총회소집공고</t>
        </is>
      </c>
      <c r="F5188" s="3" t="inlineStr">
        <is>
          <t>씨큐브</t>
        </is>
      </c>
      <c r="G5188" s="2" t="inlineStr">
        <is>
          <t>20260625000119</t>
        </is>
      </c>
      <c r="H5188" s="8">
        <f>HYPERLINK("https://dart.fss.or.kr/dsaf001/main.do?rcpNo=20260625000119", "공시열람")</f>
        <v/>
      </c>
    </row>
    <row r="5189">
      <c r="A5189" s="2" t="inlineStr">
        <is>
          <t>2026-06-25</t>
        </is>
      </c>
      <c r="B5189" s="3" t="inlineStr">
        <is>
          <t>알에프텍</t>
        </is>
      </c>
      <c r="C5189" s="2" t="inlineStr">
        <is>
          <t>코스닥</t>
        </is>
      </c>
      <c r="D5189" s="2" t="inlineStr">
        <is>
          <t>061040</t>
        </is>
      </c>
      <c r="E5189" s="3" t="inlineStr">
        <is>
          <t>[첨부정정]주요사항보고서(회사합병결정)</t>
        </is>
      </c>
      <c r="F5189" s="3" t="inlineStr">
        <is>
          <t>알에프텍</t>
        </is>
      </c>
      <c r="G5189" s="2" t="inlineStr">
        <is>
          <t>20260624000510</t>
        </is>
      </c>
      <c r="H5189" s="8">
        <f>HYPERLINK("https://dart.fss.or.kr/dsaf001/main.do?rcpNo=20260624000510", "공시열람")</f>
        <v/>
      </c>
    </row>
    <row r="5190">
      <c r="A5190" s="2" t="inlineStr">
        <is>
          <t>2026-06-26 (정정: 2026-06-26)</t>
        </is>
      </c>
      <c r="B5190" s="3" t="inlineStr">
        <is>
          <t>알엔투테크놀로지</t>
        </is>
      </c>
      <c r="C5190" s="2" t="inlineStr">
        <is>
          <t>코스닥</t>
        </is>
      </c>
      <c r="D5190" s="2" t="inlineStr">
        <is>
          <t>148250</t>
        </is>
      </c>
      <c r="E5190" s="3" t="inlineStr">
        <is>
          <t>소송등의제기ㆍ신청(경영권분쟁소송)              (이사회결의효력정지 가처분) (정정: 20260626)</t>
        </is>
      </c>
      <c r="F5190" s="3" t="inlineStr">
        <is>
          <t>알엔투테크놀로지</t>
        </is>
      </c>
      <c r="G5190" s="2" t="inlineStr">
        <is>
          <t>20260626000765</t>
        </is>
      </c>
      <c r="H5190" s="8">
        <f>HYPERLINK("https://dart.fss.or.kr/dsaf001/main.do?rcpNo=20260626000765", "공시열람")</f>
        <v/>
      </c>
    </row>
    <row r="5191">
      <c r="A5191" s="2" t="inlineStr">
        <is>
          <t>2026-06-26</t>
        </is>
      </c>
      <c r="B5191" s="3" t="inlineStr">
        <is>
          <t>해성에어로보틱스</t>
        </is>
      </c>
      <c r="C5191" s="2" t="inlineStr">
        <is>
          <t>코스닥</t>
        </is>
      </c>
      <c r="D5191" s="2" t="inlineStr">
        <is>
          <t>059270</t>
        </is>
      </c>
      <c r="E5191" s="3" t="inlineStr">
        <is>
          <t xml:space="preserve">소송등의제기ㆍ신청(경영권분쟁소송)              </t>
        </is>
      </c>
      <c r="F5191" s="3" t="inlineStr">
        <is>
          <t>해성에어로보틱스</t>
        </is>
      </c>
      <c r="G5191" s="2" t="inlineStr">
        <is>
          <t>20260626901413</t>
        </is>
      </c>
      <c r="H5191" s="8">
        <f>HYPERLINK("https://dart.fss.or.kr/dsaf001/main.do?rcpNo=20260626901413", "공시열람")</f>
        <v/>
      </c>
    </row>
    <row r="5192">
      <c r="A5192" s="2" t="inlineStr">
        <is>
          <t>2026-06-26</t>
        </is>
      </c>
      <c r="B5192" s="3" t="inlineStr">
        <is>
          <t>유일에너테크</t>
        </is>
      </c>
      <c r="C5192" s="2" t="inlineStr">
        <is>
          <t>코스닥</t>
        </is>
      </c>
      <c r="D5192" s="2" t="inlineStr">
        <is>
          <t>340930</t>
        </is>
      </c>
      <c r="E5192" s="3" t="inlineStr">
        <is>
          <t xml:space="preserve">최대주주변경을수반하는주식양수도계약해제ㆍ취소등              </t>
        </is>
      </c>
      <c r="F5192" s="3" t="inlineStr">
        <is>
          <t>유일에너테크</t>
        </is>
      </c>
      <c r="G5192" s="2" t="inlineStr">
        <is>
          <t>20260626901414</t>
        </is>
      </c>
      <c r="H5192" s="8">
        <f>HYPERLINK("https://dart.fss.or.kr/dsaf001/main.do?rcpNo=20260626901414", "공시열람")</f>
        <v/>
      </c>
    </row>
    <row r="5193">
      <c r="A5193" s="2" t="inlineStr">
        <is>
          <t>2026-06-26</t>
        </is>
      </c>
      <c r="B5193" s="3" t="inlineStr">
        <is>
          <t>신라섬유</t>
        </is>
      </c>
      <c r="C5193" s="2" t="inlineStr">
        <is>
          <t>코스닥</t>
        </is>
      </c>
      <c r="D5193" s="2" t="inlineStr">
        <is>
          <t>001000</t>
        </is>
      </c>
      <c r="E5193" s="3" t="inlineStr">
        <is>
          <t>주주총회소집결의              (임시주주총회)</t>
        </is>
      </c>
      <c r="F5193" s="3" t="inlineStr">
        <is>
          <t>신라섬유</t>
        </is>
      </c>
      <c r="G5193" s="2" t="inlineStr">
        <is>
          <t>20260626901041</t>
        </is>
      </c>
      <c r="H5193" s="8">
        <f>HYPERLINK("https://dart.fss.or.kr/dsaf001/main.do?rcpNo=20260626901041", "공시열람")</f>
        <v/>
      </c>
    </row>
    <row r="5194">
      <c r="A5194" s="2" t="inlineStr">
        <is>
          <t>2026-06-26</t>
        </is>
      </c>
      <c r="B5194" s="3" t="inlineStr">
        <is>
          <t>애드바이오텍</t>
        </is>
      </c>
      <c r="C5194" s="2" t="inlineStr">
        <is>
          <t>코스닥</t>
        </is>
      </c>
      <c r="D5194" s="2" t="inlineStr">
        <is>
          <t>179530</t>
        </is>
      </c>
      <c r="E5194" s="3" t="inlineStr">
        <is>
          <t>주주총회소집결의              (임시주주총회)</t>
        </is>
      </c>
      <c r="F5194" s="3" t="inlineStr">
        <is>
          <t>애드바이오텍</t>
        </is>
      </c>
      <c r="G5194" s="2" t="inlineStr">
        <is>
          <t>20260626900986</t>
        </is>
      </c>
      <c r="H5194" s="8">
        <f>HYPERLINK("https://dart.fss.or.kr/dsaf001/main.do?rcpNo=20260626900986", "공시열람")</f>
        <v/>
      </c>
    </row>
    <row r="5195">
      <c r="A5195" s="2" t="inlineStr">
        <is>
          <t>2026-06-26</t>
        </is>
      </c>
      <c r="B5195" s="3" t="inlineStr">
        <is>
          <t>파라텍</t>
        </is>
      </c>
      <c r="C5195" s="2" t="inlineStr">
        <is>
          <t>코스닥</t>
        </is>
      </c>
      <c r="D5195" s="2" t="inlineStr">
        <is>
          <t>033540</t>
        </is>
      </c>
      <c r="E5195" s="3" t="inlineStr">
        <is>
          <t xml:space="preserve">임시주주총회결과              </t>
        </is>
      </c>
      <c r="F5195" s="3" t="inlineStr">
        <is>
          <t>파라텍</t>
        </is>
      </c>
      <c r="G5195" s="2" t="inlineStr">
        <is>
          <t>20260626900917</t>
        </is>
      </c>
      <c r="H5195" s="8">
        <f>HYPERLINK("https://dart.fss.or.kr/dsaf001/main.do?rcpNo=20260626900917", "공시열람")</f>
        <v/>
      </c>
    </row>
    <row r="5196">
      <c r="A5196" s="2" t="inlineStr">
        <is>
          <t>2026-06-26</t>
        </is>
      </c>
      <c r="B5196" s="3" t="inlineStr">
        <is>
          <t>클래시스</t>
        </is>
      </c>
      <c r="C5196" s="2" t="inlineStr">
        <is>
          <t>코스닥</t>
        </is>
      </c>
      <c r="D5196" s="2" t="inlineStr">
        <is>
          <t>214150</t>
        </is>
      </c>
      <c r="E5196" s="3" t="inlineStr">
        <is>
          <t xml:space="preserve">최대주주변경을수반하는주식담보제공계약체결              </t>
        </is>
      </c>
      <c r="F5196" s="3" t="inlineStr">
        <is>
          <t>클래시스</t>
        </is>
      </c>
      <c r="G5196" s="2" t="inlineStr">
        <is>
          <t>20260626900920</t>
        </is>
      </c>
      <c r="H5196" s="8">
        <f>HYPERLINK("https://dart.fss.or.kr/dsaf001/main.do?rcpNo=20260626900920", "공시열람")</f>
        <v/>
      </c>
    </row>
    <row r="5197">
      <c r="A5197" s="2" t="inlineStr">
        <is>
          <t>2026-06-26</t>
        </is>
      </c>
      <c r="B5197" s="3" t="inlineStr">
        <is>
          <t>클래시스</t>
        </is>
      </c>
      <c r="C5197" s="2" t="inlineStr">
        <is>
          <t>코스닥</t>
        </is>
      </c>
      <c r="D5197" s="2" t="inlineStr">
        <is>
          <t>214150</t>
        </is>
      </c>
      <c r="E5197" s="3" t="inlineStr">
        <is>
          <t xml:space="preserve">최대주주변경을수반하는주식담보제공계약체결              </t>
        </is>
      </c>
      <c r="F5197" s="3" t="inlineStr">
        <is>
          <t>클래시스</t>
        </is>
      </c>
      <c r="G5197" s="2" t="inlineStr">
        <is>
          <t>20260626900913</t>
        </is>
      </c>
      <c r="H5197" s="8">
        <f>HYPERLINK("https://dart.fss.or.kr/dsaf001/main.do?rcpNo=20260626900913", "공시열람")</f>
        <v/>
      </c>
    </row>
    <row r="5198">
      <c r="A5198" s="2" t="inlineStr">
        <is>
          <t>2026-06-26</t>
        </is>
      </c>
      <c r="B5198" s="3" t="inlineStr">
        <is>
          <t>SV인베스트먼트</t>
        </is>
      </c>
      <c r="C5198" s="2" t="inlineStr">
        <is>
          <t>코스닥</t>
        </is>
      </c>
      <c r="D5198" s="2" t="inlineStr">
        <is>
          <t>289080</t>
        </is>
      </c>
      <c r="E5198" s="3" t="inlineStr">
        <is>
          <t xml:space="preserve">정기주주총회결과              </t>
        </is>
      </c>
      <c r="F5198" s="3" t="inlineStr">
        <is>
          <t>SV인베스트먼트</t>
        </is>
      </c>
      <c r="G5198" s="2" t="inlineStr">
        <is>
          <t>20260626900947</t>
        </is>
      </c>
      <c r="H5198" s="8">
        <f>HYPERLINK("https://dart.fss.or.kr/dsaf001/main.do?rcpNo=20260626900947", "공시열람")</f>
        <v/>
      </c>
    </row>
    <row r="5199">
      <c r="A5199" s="2" t="inlineStr">
        <is>
          <t>2026-06-26</t>
        </is>
      </c>
      <c r="B5199" s="3" t="inlineStr">
        <is>
          <t>클래시스</t>
        </is>
      </c>
      <c r="C5199" s="2" t="inlineStr">
        <is>
          <t>코스닥</t>
        </is>
      </c>
      <c r="D5199" s="2" t="inlineStr">
        <is>
          <t>214150</t>
        </is>
      </c>
      <c r="E5199" s="3" t="inlineStr">
        <is>
          <t xml:space="preserve">최대주주변경을수반하는주식담보제공계약체결              </t>
        </is>
      </c>
      <c r="F5199" s="3" t="inlineStr">
        <is>
          <t>클래시스</t>
        </is>
      </c>
      <c r="G5199" s="2" t="inlineStr">
        <is>
          <t>20260626900906</t>
        </is>
      </c>
      <c r="H5199" s="8">
        <f>HYPERLINK("https://dart.fss.or.kr/dsaf001/main.do?rcpNo=20260626900906", "공시열람")</f>
        <v/>
      </c>
    </row>
    <row r="5200">
      <c r="A5200" s="2" t="inlineStr">
        <is>
          <t>2026-06-26</t>
        </is>
      </c>
      <c r="B5200" s="3" t="inlineStr">
        <is>
          <t>KG케미칼</t>
        </is>
      </c>
      <c r="C5200" s="2" t="inlineStr">
        <is>
          <t>코스피</t>
        </is>
      </c>
      <c r="D5200" s="2" t="inlineStr">
        <is>
          <t>001390</t>
        </is>
      </c>
      <c r="E5200" s="3" t="inlineStr">
        <is>
          <t xml:space="preserve">주주총회소집결의              </t>
        </is>
      </c>
      <c r="F5200" s="3" t="inlineStr">
        <is>
          <t>KG케미칼</t>
        </is>
      </c>
      <c r="G5200" s="2" t="inlineStr">
        <is>
          <t>20260626800889</t>
        </is>
      </c>
      <c r="H5200" s="8">
        <f>HYPERLINK("https://dart.fss.or.kr/dsaf001/main.do?rcpNo=20260626800889", "공시열람")</f>
        <v/>
      </c>
    </row>
    <row r="5201">
      <c r="A5201" s="2" t="inlineStr">
        <is>
          <t>2026-06-26</t>
        </is>
      </c>
      <c r="B5201" s="3" t="inlineStr">
        <is>
          <t>엑시온그룹</t>
        </is>
      </c>
      <c r="C5201" s="2" t="inlineStr">
        <is>
          <t>코스닥</t>
        </is>
      </c>
      <c r="D5201" s="2" t="inlineStr">
        <is>
          <t>069920</t>
        </is>
      </c>
      <c r="E5201" s="3" t="inlineStr">
        <is>
          <t xml:space="preserve">임시주주총회결과              </t>
        </is>
      </c>
      <c r="F5201" s="3" t="inlineStr">
        <is>
          <t>엑시온그룹</t>
        </is>
      </c>
      <c r="G5201" s="2" t="inlineStr">
        <is>
          <t>20260626900857</t>
        </is>
      </c>
      <c r="H5201" s="8">
        <f>HYPERLINK("https://dart.fss.or.kr/dsaf001/main.do?rcpNo=20260626900857", "공시열람")</f>
        <v/>
      </c>
    </row>
    <row r="5202">
      <c r="A5202" s="2" t="inlineStr">
        <is>
          <t>2026-06-26</t>
        </is>
      </c>
      <c r="B5202" s="3" t="inlineStr">
        <is>
          <t>세원정공</t>
        </is>
      </c>
      <c r="C5202" s="2" t="inlineStr">
        <is>
          <t>코스피</t>
        </is>
      </c>
      <c r="D5202" s="2" t="inlineStr">
        <is>
          <t>021820</t>
        </is>
      </c>
      <c r="E5202" s="3" t="inlineStr">
        <is>
          <t>주주총회소집공고</t>
        </is>
      </c>
      <c r="F5202" s="3" t="inlineStr">
        <is>
          <t>세원정공</t>
        </is>
      </c>
      <c r="G5202" s="2" t="inlineStr">
        <is>
          <t>20260626000551</t>
        </is>
      </c>
      <c r="H5202" s="8">
        <f>HYPERLINK("https://dart.fss.or.kr/dsaf001/main.do?rcpNo=20260626000551", "공시열람")</f>
        <v/>
      </c>
    </row>
    <row r="5203">
      <c r="A5203" s="2" t="inlineStr">
        <is>
          <t>2026-06-26</t>
        </is>
      </c>
      <c r="B5203" s="3" t="inlineStr">
        <is>
          <t>마스턴프리미어리츠</t>
        </is>
      </c>
      <c r="C5203" s="2" t="inlineStr">
        <is>
          <t>코스피</t>
        </is>
      </c>
      <c r="D5203" s="2" t="inlineStr">
        <is>
          <t>357430</t>
        </is>
      </c>
      <c r="E5203" s="3" t="inlineStr">
        <is>
          <t xml:space="preserve">정기주주총회결과              </t>
        </is>
      </c>
      <c r="F5203" s="3" t="inlineStr">
        <is>
          <t>마스턴프리미어리츠</t>
        </is>
      </c>
      <c r="G5203" s="2" t="inlineStr">
        <is>
          <t>20260626800791</t>
        </is>
      </c>
      <c r="H5203" s="8">
        <f>HYPERLINK("https://dart.fss.or.kr/dsaf001/main.do?rcpNo=20260626800791", "공시열람")</f>
        <v/>
      </c>
    </row>
    <row r="5204">
      <c r="A5204" s="2" t="inlineStr">
        <is>
          <t>2026-06-26</t>
        </is>
      </c>
      <c r="B5204" s="3" t="inlineStr">
        <is>
          <t>젠큐릭스</t>
        </is>
      </c>
      <c r="C5204" s="2" t="inlineStr">
        <is>
          <t>코스닥</t>
        </is>
      </c>
      <c r="D5204" s="2" t="inlineStr">
        <is>
          <t>229000</t>
        </is>
      </c>
      <c r="E5204" s="3" t="inlineStr">
        <is>
          <t>[첨부정정]주요사항보고서(회사합병결정)</t>
        </is>
      </c>
      <c r="F5204" s="3" t="inlineStr">
        <is>
          <t>젠큐릭스</t>
        </is>
      </c>
      <c r="G5204" s="2" t="inlineStr">
        <is>
          <t>20260626000472</t>
        </is>
      </c>
      <c r="H5204" s="8">
        <f>HYPERLINK("https://dart.fss.or.kr/dsaf001/main.do?rcpNo=20260626000472", "공시열람")</f>
        <v/>
      </c>
    </row>
    <row r="5205">
      <c r="A5205" s="2" t="inlineStr">
        <is>
          <t>2026-06-26</t>
        </is>
      </c>
      <c r="B5205" s="3" t="inlineStr">
        <is>
          <t>세원정공</t>
        </is>
      </c>
      <c r="C5205" s="2" t="inlineStr">
        <is>
          <t>코스피</t>
        </is>
      </c>
      <c r="D5205" s="2" t="inlineStr">
        <is>
          <t>021820</t>
        </is>
      </c>
      <c r="E5205" s="3" t="inlineStr">
        <is>
          <t xml:space="preserve">주주총회소집결의              </t>
        </is>
      </c>
      <c r="F5205" s="3" t="inlineStr">
        <is>
          <t>세원정공</t>
        </is>
      </c>
      <c r="G5205" s="2" t="inlineStr">
        <is>
          <t>20260626800739</t>
        </is>
      </c>
      <c r="H5205" s="8">
        <f>HYPERLINK("https://dart.fss.or.kr/dsaf001/main.do?rcpNo=20260626800739", "공시열람")</f>
        <v/>
      </c>
    </row>
    <row r="5206">
      <c r="A5206" s="2" t="inlineStr">
        <is>
          <t>2026-06-26</t>
        </is>
      </c>
      <c r="B5206" s="3" t="inlineStr">
        <is>
          <t>셀레믹스</t>
        </is>
      </c>
      <c r="C5206" s="2" t="inlineStr">
        <is>
          <t>코스닥</t>
        </is>
      </c>
      <c r="D5206" s="2" t="inlineStr">
        <is>
          <t>331920</t>
        </is>
      </c>
      <c r="E5206" s="3" t="inlineStr">
        <is>
          <t>주주총회소집공고</t>
        </is>
      </c>
      <c r="F5206" s="3" t="inlineStr">
        <is>
          <t>셀레믹스</t>
        </is>
      </c>
      <c r="G5206" s="2" t="inlineStr">
        <is>
          <t>20260626000473</t>
        </is>
      </c>
      <c r="H5206" s="8">
        <f>HYPERLINK("https://dart.fss.or.kr/dsaf001/main.do?rcpNo=20260626000473", "공시열람")</f>
        <v/>
      </c>
    </row>
    <row r="5207">
      <c r="A5207" s="2" t="inlineStr">
        <is>
          <t>2026-06-26</t>
        </is>
      </c>
      <c r="B5207" s="3" t="inlineStr">
        <is>
          <t>대신정보통신</t>
        </is>
      </c>
      <c r="C5207" s="2" t="inlineStr">
        <is>
          <t>코스닥</t>
        </is>
      </c>
      <c r="D5207" s="2" t="inlineStr">
        <is>
          <t>020180</t>
        </is>
      </c>
      <c r="E5207" s="3" t="inlineStr">
        <is>
          <t xml:space="preserve">정기주주총회결과              </t>
        </is>
      </c>
      <c r="F5207" s="3" t="inlineStr">
        <is>
          <t>대신정보통신</t>
        </is>
      </c>
      <c r="G5207" s="2" t="inlineStr">
        <is>
          <t>20260626900685</t>
        </is>
      </c>
      <c r="H5207" s="8">
        <f>HYPERLINK("https://dart.fss.or.kr/dsaf001/main.do?rcpNo=20260626900685", "공시열람")</f>
        <v/>
      </c>
    </row>
    <row r="5208">
      <c r="A5208" s="2" t="inlineStr">
        <is>
          <t>2026-06-26</t>
        </is>
      </c>
      <c r="B5208" s="3" t="inlineStr">
        <is>
          <t>광진실업</t>
        </is>
      </c>
      <c r="C5208" s="2" t="inlineStr">
        <is>
          <t>코스닥</t>
        </is>
      </c>
      <c r="D5208" s="2" t="inlineStr">
        <is>
          <t>026910</t>
        </is>
      </c>
      <c r="E5208" s="3" t="inlineStr">
        <is>
          <t xml:space="preserve">임시주주총회결과              </t>
        </is>
      </c>
      <c r="F5208" s="3" t="inlineStr">
        <is>
          <t>광진실업</t>
        </is>
      </c>
      <c r="G5208" s="2" t="inlineStr">
        <is>
          <t>20260626900663</t>
        </is>
      </c>
      <c r="H5208" s="8">
        <f>HYPERLINK("https://dart.fss.or.kr/dsaf001/main.do?rcpNo=20260626900663", "공시열람")</f>
        <v/>
      </c>
    </row>
    <row r="5209">
      <c r="A5209" s="2" t="inlineStr">
        <is>
          <t>2026-06-26</t>
        </is>
      </c>
      <c r="B5209" s="3" t="inlineStr">
        <is>
          <t>피앤씨테크</t>
        </is>
      </c>
      <c r="C5209" s="2" t="inlineStr">
        <is>
          <t>코스닥</t>
        </is>
      </c>
      <c r="D5209" s="2" t="inlineStr">
        <is>
          <t>237750</t>
        </is>
      </c>
      <c r="E5209" s="3" t="inlineStr">
        <is>
          <t>소송등의제기ㆍ신청(경영권분쟁소송)              (간접강제)</t>
        </is>
      </c>
      <c r="F5209" s="3" t="inlineStr">
        <is>
          <t>피앤씨테크</t>
        </is>
      </c>
      <c r="G5209" s="2" t="inlineStr">
        <is>
          <t>20260626900649</t>
        </is>
      </c>
      <c r="H5209" s="8">
        <f>HYPERLINK("https://dart.fss.or.kr/dsaf001/main.do?rcpNo=20260626900649", "공시열람")</f>
        <v/>
      </c>
    </row>
    <row r="5210">
      <c r="A5210" s="2" t="inlineStr">
        <is>
          <t>2026-06-26</t>
        </is>
      </c>
      <c r="B5210" s="3" t="inlineStr">
        <is>
          <t>YTN</t>
        </is>
      </c>
      <c r="C5210" s="2" t="inlineStr">
        <is>
          <t>코스닥</t>
        </is>
      </c>
      <c r="D5210" s="2" t="inlineStr">
        <is>
          <t>040300</t>
        </is>
      </c>
      <c r="E5210" s="3" t="inlineStr">
        <is>
          <t xml:space="preserve">임시주주총회결과              </t>
        </is>
      </c>
      <c r="F5210" s="3" t="inlineStr">
        <is>
          <t>YTN</t>
        </is>
      </c>
      <c r="G5210" s="2" t="inlineStr">
        <is>
          <t>20260626900653</t>
        </is>
      </c>
      <c r="H5210" s="8">
        <f>HYPERLINK("https://dart.fss.or.kr/dsaf001/main.do?rcpNo=20260626900653", "공시열람")</f>
        <v/>
      </c>
    </row>
    <row r="5211">
      <c r="A5211" s="2" t="inlineStr">
        <is>
          <t>2026-06-26</t>
        </is>
      </c>
      <c r="B5211" s="3" t="inlineStr">
        <is>
          <t>프로이천</t>
        </is>
      </c>
      <c r="C5211" s="2" t="inlineStr">
        <is>
          <t>코스닥</t>
        </is>
      </c>
      <c r="D5211" s="2" t="inlineStr">
        <is>
          <t>321260</t>
        </is>
      </c>
      <c r="E5211" s="3" t="inlineStr">
        <is>
          <t>주주총회소집공고</t>
        </is>
      </c>
      <c r="F5211" s="3" t="inlineStr">
        <is>
          <t>프로이천</t>
        </is>
      </c>
      <c r="G5211" s="2" t="inlineStr">
        <is>
          <t>20260626000408</t>
        </is>
      </c>
      <c r="H5211" s="8">
        <f>HYPERLINK("https://dart.fss.or.kr/dsaf001/main.do?rcpNo=20260626000408", "공시열람")</f>
        <v/>
      </c>
    </row>
    <row r="5212">
      <c r="A5212" s="2" t="inlineStr">
        <is>
          <t>2026-06-26</t>
        </is>
      </c>
      <c r="B5212" s="3" t="inlineStr">
        <is>
          <t>토박스코리아</t>
        </is>
      </c>
      <c r="C5212" s="2" t="inlineStr">
        <is>
          <t>코스닥</t>
        </is>
      </c>
      <c r="D5212" s="2" t="inlineStr">
        <is>
          <t>215480</t>
        </is>
      </c>
      <c r="E5212" s="3" t="inlineStr">
        <is>
          <t xml:space="preserve">최대주주변경을수반하는주식양수도계약체결              </t>
        </is>
      </c>
      <c r="F5212" s="3" t="inlineStr">
        <is>
          <t>토박스코리아</t>
        </is>
      </c>
      <c r="G5212" s="2" t="inlineStr">
        <is>
          <t>20260626900610</t>
        </is>
      </c>
      <c r="H5212" s="8">
        <f>HYPERLINK("https://dart.fss.or.kr/dsaf001/main.do?rcpNo=20260626900610", "공시열람")</f>
        <v/>
      </c>
    </row>
    <row r="5213">
      <c r="A5213" s="2" t="inlineStr">
        <is>
          <t>2026-06-26</t>
        </is>
      </c>
      <c r="B5213" s="3" t="inlineStr">
        <is>
          <t>모비데이즈</t>
        </is>
      </c>
      <c r="C5213" s="2" t="inlineStr">
        <is>
          <t>코스닥</t>
        </is>
      </c>
      <c r="D5213" s="2" t="inlineStr">
        <is>
          <t>363260</t>
        </is>
      </c>
      <c r="E5213" s="3" t="inlineStr">
        <is>
          <t xml:space="preserve">주주총회소집결의              </t>
        </is>
      </c>
      <c r="F5213" s="3" t="inlineStr">
        <is>
          <t>모비데이즈</t>
        </is>
      </c>
      <c r="G5213" s="2" t="inlineStr">
        <is>
          <t>20260626900595</t>
        </is>
      </c>
      <c r="H5213" s="8">
        <f>HYPERLINK("https://dart.fss.or.kr/dsaf001/main.do?rcpNo=20260626900595", "공시열람")</f>
        <v/>
      </c>
    </row>
    <row r="5214">
      <c r="A5214" s="2" t="inlineStr">
        <is>
          <t>2026-06-26</t>
        </is>
      </c>
      <c r="B5214" s="3" t="inlineStr">
        <is>
          <t>오성첨단소재</t>
        </is>
      </c>
      <c r="C5214" s="2" t="inlineStr">
        <is>
          <t>코스닥</t>
        </is>
      </c>
      <c r="D5214" s="2" t="inlineStr">
        <is>
          <t>052420</t>
        </is>
      </c>
      <c r="E5214" s="3" t="inlineStr">
        <is>
          <t xml:space="preserve">임시주주총회결과              </t>
        </is>
      </c>
      <c r="F5214" s="3" t="inlineStr">
        <is>
          <t>오성첨단소재</t>
        </is>
      </c>
      <c r="G5214" s="2" t="inlineStr">
        <is>
          <t>20260626900576</t>
        </is>
      </c>
      <c r="H5214" s="8">
        <f>HYPERLINK("https://dart.fss.or.kr/dsaf001/main.do?rcpNo=20260626900576", "공시열람")</f>
        <v/>
      </c>
    </row>
    <row r="5215">
      <c r="A5215" s="2" t="inlineStr">
        <is>
          <t>2026-06-26</t>
        </is>
      </c>
      <c r="B5215" s="3" t="inlineStr">
        <is>
          <t>블랙야크아이앤씨</t>
        </is>
      </c>
      <c r="C5215" s="2" t="inlineStr">
        <is>
          <t>코스닥</t>
        </is>
      </c>
      <c r="D5215" s="2" t="inlineStr">
        <is>
          <t>478560</t>
        </is>
      </c>
      <c r="E5215" s="3" t="inlineStr">
        <is>
          <t xml:space="preserve">임시주주총회결과              </t>
        </is>
      </c>
      <c r="F5215" s="3" t="inlineStr">
        <is>
          <t>블랙야크아이앤씨</t>
        </is>
      </c>
      <c r="G5215" s="2" t="inlineStr">
        <is>
          <t>20260626900544</t>
        </is>
      </c>
      <c r="H5215" s="8">
        <f>HYPERLINK("https://dart.fss.or.kr/dsaf001/main.do?rcpNo=20260626900544", "공시열람")</f>
        <v/>
      </c>
    </row>
    <row r="5216">
      <c r="A5216" s="2" t="inlineStr">
        <is>
          <t>2026-06-26</t>
        </is>
      </c>
      <c r="B5216" s="3" t="inlineStr">
        <is>
          <t>이노벡스</t>
        </is>
      </c>
      <c r="C5216" s="2" t="inlineStr">
        <is>
          <t>코넥스</t>
        </is>
      </c>
      <c r="D5216" s="2" t="inlineStr">
        <is>
          <t>279060</t>
        </is>
      </c>
      <c r="E5216" s="3" t="inlineStr">
        <is>
          <t xml:space="preserve">임시주주총회결과              </t>
        </is>
      </c>
      <c r="F5216" s="3" t="inlineStr">
        <is>
          <t>이노벡스</t>
        </is>
      </c>
      <c r="G5216" s="2" t="inlineStr">
        <is>
          <t>20260626600542</t>
        </is>
      </c>
      <c r="H5216" s="8">
        <f>HYPERLINK("https://dart.fss.or.kr/dsaf001/main.do?rcpNo=20260626600542", "공시열람")</f>
        <v/>
      </c>
    </row>
    <row r="5217">
      <c r="A5217" s="2" t="inlineStr">
        <is>
          <t>2026-06-26</t>
        </is>
      </c>
      <c r="B5217" s="3" t="inlineStr">
        <is>
          <t>딥커머스</t>
        </is>
      </c>
      <c r="C5217" s="2" t="inlineStr">
        <is>
          <t>코스닥</t>
        </is>
      </c>
      <c r="D5217" s="2" t="inlineStr">
        <is>
          <t>900110</t>
        </is>
      </c>
      <c r="E5217" s="3" t="inlineStr">
        <is>
          <t>주주총회소집결의              (임시주주총회)</t>
        </is>
      </c>
      <c r="F5217" s="3" t="inlineStr">
        <is>
          <t>딥커머스</t>
        </is>
      </c>
      <c r="G5217" s="2" t="inlineStr">
        <is>
          <t>20260626900527</t>
        </is>
      </c>
      <c r="H5217" s="8">
        <f>HYPERLINK("https://dart.fss.or.kr/dsaf001/main.do?rcpNo=20260626900527", "공시열람")</f>
        <v/>
      </c>
    </row>
    <row r="5218">
      <c r="A5218" s="2" t="inlineStr">
        <is>
          <t>2026-06-26</t>
        </is>
      </c>
      <c r="B5218" s="3" t="inlineStr">
        <is>
          <t>오스테오닉</t>
        </is>
      </c>
      <c r="C5218" s="2" t="inlineStr">
        <is>
          <t>코스닥</t>
        </is>
      </c>
      <c r="D5218" s="2" t="inlineStr">
        <is>
          <t>226400</t>
        </is>
      </c>
      <c r="E5218" s="3" t="inlineStr">
        <is>
          <t xml:space="preserve">임시주주총회결과              </t>
        </is>
      </c>
      <c r="F5218" s="3" t="inlineStr">
        <is>
          <t>오스테오닉</t>
        </is>
      </c>
      <c r="G5218" s="2" t="inlineStr">
        <is>
          <t>20260626900467</t>
        </is>
      </c>
      <c r="H5218" s="8">
        <f>HYPERLINK("https://dart.fss.or.kr/dsaf001/main.do?rcpNo=20260626900467", "공시열람")</f>
        <v/>
      </c>
    </row>
    <row r="5219">
      <c r="A5219" s="2" t="inlineStr">
        <is>
          <t>2026-06-26</t>
        </is>
      </c>
      <c r="B5219" s="3" t="inlineStr">
        <is>
          <t>코아시아씨엠</t>
        </is>
      </c>
      <c r="C5219" s="2" t="inlineStr">
        <is>
          <t>코스닥</t>
        </is>
      </c>
      <c r="D5219" s="2" t="inlineStr">
        <is>
          <t>196450</t>
        </is>
      </c>
      <c r="E5219" s="3" t="inlineStr">
        <is>
          <t>주주총회소집결의              (임시주주총회)</t>
        </is>
      </c>
      <c r="F5219" s="3" t="inlineStr">
        <is>
          <t>코아시아씨엠</t>
        </is>
      </c>
      <c r="G5219" s="2" t="inlineStr">
        <is>
          <t>20260626900457</t>
        </is>
      </c>
      <c r="H5219" s="8">
        <f>HYPERLINK("https://dart.fss.or.kr/dsaf001/main.do?rcpNo=20260626900457", "공시열람")</f>
        <v/>
      </c>
    </row>
    <row r="5220">
      <c r="A5220" s="2" t="inlineStr">
        <is>
          <t>2026-06-26</t>
        </is>
      </c>
      <c r="B5220" s="3" t="inlineStr">
        <is>
          <t>알로이스</t>
        </is>
      </c>
      <c r="C5220" s="2" t="inlineStr">
        <is>
          <t>코스닥</t>
        </is>
      </c>
      <c r="D5220" s="2" t="inlineStr">
        <is>
          <t>297570</t>
        </is>
      </c>
      <c r="E5220" s="3" t="inlineStr">
        <is>
          <t>주주총회소집결의              (임시주주총회)</t>
        </is>
      </c>
      <c r="F5220" s="3" t="inlineStr">
        <is>
          <t>알로이스</t>
        </is>
      </c>
      <c r="G5220" s="2" t="inlineStr">
        <is>
          <t>20260626900486</t>
        </is>
      </c>
      <c r="H5220" s="8">
        <f>HYPERLINK("https://dart.fss.or.kr/dsaf001/main.do?rcpNo=20260626900486", "공시열람")</f>
        <v/>
      </c>
    </row>
    <row r="5221">
      <c r="A5221" s="2" t="inlineStr">
        <is>
          <t>2026-06-26</t>
        </is>
      </c>
      <c r="B5221" s="3" t="inlineStr">
        <is>
          <t>메이슨캐피탈</t>
        </is>
      </c>
      <c r="C5221" s="2" t="inlineStr">
        <is>
          <t>코스닥</t>
        </is>
      </c>
      <c r="D5221" s="2" t="inlineStr">
        <is>
          <t>021880</t>
        </is>
      </c>
      <c r="E5221" s="3" t="inlineStr">
        <is>
          <t xml:space="preserve">정기주주총회결과              </t>
        </is>
      </c>
      <c r="F5221" s="3" t="inlineStr">
        <is>
          <t>메이슨캐피탈</t>
        </is>
      </c>
      <c r="G5221" s="2" t="inlineStr">
        <is>
          <t>20260626900480</t>
        </is>
      </c>
      <c r="H5221" s="8">
        <f>HYPERLINK("https://dart.fss.or.kr/dsaf001/main.do?rcpNo=20260626900480", "공시열람")</f>
        <v/>
      </c>
    </row>
    <row r="5222">
      <c r="A5222" s="2" t="inlineStr">
        <is>
          <t>2026-06-26</t>
        </is>
      </c>
      <c r="B5222" s="3" t="inlineStr">
        <is>
          <t>씨앤투스</t>
        </is>
      </c>
      <c r="C5222" s="2" t="inlineStr">
        <is>
          <t>코스닥</t>
        </is>
      </c>
      <c r="D5222" s="2" t="inlineStr">
        <is>
          <t>352700</t>
        </is>
      </c>
      <c r="E5222" s="3" t="inlineStr">
        <is>
          <t>주요사항보고서(회사합병결정)</t>
        </is>
      </c>
      <c r="F5222" s="3" t="inlineStr">
        <is>
          <t>씨앤투스</t>
        </is>
      </c>
      <c r="G5222" s="2" t="inlineStr">
        <is>
          <t>20260626000282</t>
        </is>
      </c>
      <c r="H5222" s="8">
        <f>HYPERLINK("https://dart.fss.or.kr/dsaf001/main.do?rcpNo=20260626000282", "공시열람")</f>
        <v/>
      </c>
    </row>
    <row r="5223">
      <c r="A5223" s="2" t="inlineStr">
        <is>
          <t>2026-06-26</t>
        </is>
      </c>
      <c r="B5223" s="3" t="inlineStr">
        <is>
          <t>티에스아이</t>
        </is>
      </c>
      <c r="C5223" s="2" t="inlineStr">
        <is>
          <t>코스닥</t>
        </is>
      </c>
      <c r="D5223" s="2" t="inlineStr">
        <is>
          <t>277880</t>
        </is>
      </c>
      <c r="E5223" s="3" t="inlineStr">
        <is>
          <t xml:space="preserve">임시주주총회결과              </t>
        </is>
      </c>
      <c r="F5223" s="3" t="inlineStr">
        <is>
          <t>티에스아이</t>
        </is>
      </c>
      <c r="G5223" s="2" t="inlineStr">
        <is>
          <t>20260626900440</t>
        </is>
      </c>
      <c r="H5223" s="8">
        <f>HYPERLINK("https://dart.fss.or.kr/dsaf001/main.do?rcpNo=20260626900440", "공시열람")</f>
        <v/>
      </c>
    </row>
    <row r="5224">
      <c r="A5224" s="2" t="inlineStr">
        <is>
          <t>2026-06-26</t>
        </is>
      </c>
      <c r="B5224" s="3" t="inlineStr">
        <is>
          <t>아이큐어</t>
        </is>
      </c>
      <c r="C5224" s="2" t="inlineStr">
        <is>
          <t>코스닥</t>
        </is>
      </c>
      <c r="D5224" s="2" t="inlineStr">
        <is>
          <t>175250</t>
        </is>
      </c>
      <c r="E5224" s="3" t="inlineStr">
        <is>
          <t>소송등의판결ㆍ결정              (주주총회소집허가)</t>
        </is>
      </c>
      <c r="F5224" s="3" t="inlineStr">
        <is>
          <t>아이큐어</t>
        </is>
      </c>
      <c r="G5224" s="2" t="inlineStr">
        <is>
          <t>20260626900395</t>
        </is>
      </c>
      <c r="H5224" s="8">
        <f>HYPERLINK("https://dart.fss.or.kr/dsaf001/main.do?rcpNo=20260626900395", "공시열람")</f>
        <v/>
      </c>
    </row>
    <row r="5225">
      <c r="A5225" s="2" t="inlineStr">
        <is>
          <t>2026-06-26</t>
        </is>
      </c>
      <c r="B5225" s="3" t="inlineStr">
        <is>
          <t>포커스에이아이</t>
        </is>
      </c>
      <c r="C5225" s="2" t="inlineStr">
        <is>
          <t>코스닥</t>
        </is>
      </c>
      <c r="D5225" s="2" t="inlineStr">
        <is>
          <t>331380</t>
        </is>
      </c>
      <c r="E5225" s="3" t="inlineStr">
        <is>
          <t xml:space="preserve">임시주주총회결과              </t>
        </is>
      </c>
      <c r="F5225" s="3" t="inlineStr">
        <is>
          <t>포커스에이아이</t>
        </is>
      </c>
      <c r="G5225" s="2" t="inlineStr">
        <is>
          <t>20260626900359</t>
        </is>
      </c>
      <c r="H5225" s="8">
        <f>HYPERLINK("https://dart.fss.or.kr/dsaf001/main.do?rcpNo=20260626900359", "공시열람")</f>
        <v/>
      </c>
    </row>
    <row r="5226">
      <c r="A5226" s="2" t="inlineStr">
        <is>
          <t>2026-06-26</t>
        </is>
      </c>
      <c r="B5226" s="3" t="inlineStr">
        <is>
          <t>수프로</t>
        </is>
      </c>
      <c r="C5226" s="2" t="inlineStr">
        <is>
          <t>코넥스</t>
        </is>
      </c>
      <c r="D5226" s="2" t="inlineStr">
        <is>
          <t>185190</t>
        </is>
      </c>
      <c r="E5226" s="3" t="inlineStr">
        <is>
          <t xml:space="preserve">정기주주총회결과              </t>
        </is>
      </c>
      <c r="F5226" s="3" t="inlineStr">
        <is>
          <t>수프로</t>
        </is>
      </c>
      <c r="G5226" s="2" t="inlineStr">
        <is>
          <t>20260626600346</t>
        </is>
      </c>
      <c r="H5226" s="8">
        <f>HYPERLINK("https://dart.fss.or.kr/dsaf001/main.do?rcpNo=20260626600346", "공시열람")</f>
        <v/>
      </c>
    </row>
    <row r="5227">
      <c r="A5227" s="2" t="inlineStr">
        <is>
          <t>2026-06-26</t>
        </is>
      </c>
      <c r="B5227" s="3" t="inlineStr">
        <is>
          <t>코닉오토메이션</t>
        </is>
      </c>
      <c r="C5227" s="2" t="inlineStr">
        <is>
          <t>코스닥</t>
        </is>
      </c>
      <c r="D5227" s="2" t="inlineStr">
        <is>
          <t>391710</t>
        </is>
      </c>
      <c r="E5227" s="3" t="inlineStr">
        <is>
          <t>주주총회소집공고</t>
        </is>
      </c>
      <c r="F5227" s="3" t="inlineStr">
        <is>
          <t>코닉오토메이션</t>
        </is>
      </c>
      <c r="G5227" s="2" t="inlineStr">
        <is>
          <t>20260626000115</t>
        </is>
      </c>
      <c r="H5227" s="8">
        <f>HYPERLINK("https://dart.fss.or.kr/dsaf001/main.do?rcpNo=20260626000115", "공시열람")</f>
        <v/>
      </c>
    </row>
    <row r="5228">
      <c r="A5228" s="2" t="inlineStr">
        <is>
          <t>2026-06-26</t>
        </is>
      </c>
      <c r="B5228" s="3" t="inlineStr">
        <is>
          <t>젠큐릭스</t>
        </is>
      </c>
      <c r="C5228" s="2" t="inlineStr">
        <is>
          <t>코스닥</t>
        </is>
      </c>
      <c r="D5228" s="2" t="inlineStr">
        <is>
          <t>229000</t>
        </is>
      </c>
      <c r="E5228" s="3" t="inlineStr">
        <is>
          <t>[첨부정정]주요사항보고서(회사합병결정)</t>
        </is>
      </c>
      <c r="F5228" s="3" t="inlineStr">
        <is>
          <t>젠큐릭스</t>
        </is>
      </c>
      <c r="G5228" s="2" t="inlineStr">
        <is>
          <t>20260626000077</t>
        </is>
      </c>
      <c r="H5228" s="8">
        <f>HYPERLINK("https://dart.fss.or.kr/dsaf001/main.do?rcpNo=20260626000077", "공시열람")</f>
        <v/>
      </c>
    </row>
    <row r="5229">
      <c r="A5229" s="2" t="inlineStr">
        <is>
          <t>2026-06-26</t>
        </is>
      </c>
      <c r="B5229" s="3" t="inlineStr">
        <is>
          <t>제일테크노스</t>
        </is>
      </c>
      <c r="C5229" s="2" t="inlineStr">
        <is>
          <t>코스닥</t>
        </is>
      </c>
      <c r="D5229" s="2" t="inlineStr">
        <is>
          <t>038010</t>
        </is>
      </c>
      <c r="E5229" s="3" t="inlineStr">
        <is>
          <t>주주총회소집공고</t>
        </is>
      </c>
      <c r="F5229" s="3" t="inlineStr">
        <is>
          <t>제일테크노스</t>
        </is>
      </c>
      <c r="G5229" s="2" t="inlineStr">
        <is>
          <t>20260626000075</t>
        </is>
      </c>
      <c r="H5229" s="8">
        <f>HYPERLINK("https://dart.fss.or.kr/dsaf001/main.do?rcpNo=20260626000075", "공시열람")</f>
        <v/>
      </c>
    </row>
    <row r="5230">
      <c r="A5230" s="2" t="inlineStr">
        <is>
          <t>2026-06-30</t>
        </is>
      </c>
      <c r="B5230" s="3" t="inlineStr">
        <is>
          <t>휴림에이텍</t>
        </is>
      </c>
      <c r="C5230" s="2" t="inlineStr">
        <is>
          <t>코스닥</t>
        </is>
      </c>
      <c r="D5230" s="2" t="inlineStr">
        <is>
          <t>078590</t>
        </is>
      </c>
      <c r="E5230" s="3" t="inlineStr">
        <is>
          <t>주주총회소집공고</t>
        </is>
      </c>
      <c r="F5230" s="3" t="inlineStr">
        <is>
          <t>휴림에이텍</t>
        </is>
      </c>
      <c r="G5230" s="2" t="inlineStr">
        <is>
          <t>20260630000904</t>
        </is>
      </c>
      <c r="H5230" s="8">
        <f>HYPERLINK("https://dart.fss.or.kr/dsaf001/main.do?rcpNo=20260630000904", "공시열람")</f>
        <v/>
      </c>
    </row>
    <row r="5231">
      <c r="A5231" s="2" t="inlineStr">
        <is>
          <t>2026-06-30</t>
        </is>
      </c>
      <c r="B5231" s="3" t="inlineStr">
        <is>
          <t>하이딥</t>
        </is>
      </c>
      <c r="C5231" s="2" t="inlineStr">
        <is>
          <t>코스닥</t>
        </is>
      </c>
      <c r="D5231" s="2" t="inlineStr">
        <is>
          <t>365590</t>
        </is>
      </c>
      <c r="E5231" s="3" t="inlineStr">
        <is>
          <t>주주총회소집결의              (임시주주총회)</t>
        </is>
      </c>
      <c r="F5231" s="3" t="inlineStr">
        <is>
          <t>하이딥</t>
        </is>
      </c>
      <c r="G5231" s="2" t="inlineStr">
        <is>
          <t>20260630901071</t>
        </is>
      </c>
      <c r="H5231" s="8">
        <f>HYPERLINK("https://dart.fss.or.kr/dsaf001/main.do?rcpNo=20260630901071", "공시열람")</f>
        <v/>
      </c>
    </row>
    <row r="5232">
      <c r="A5232" s="2" t="inlineStr">
        <is>
          <t>2026-06-30</t>
        </is>
      </c>
      <c r="B5232" s="3" t="inlineStr">
        <is>
          <t>상상인증권</t>
        </is>
      </c>
      <c r="C5232" s="2" t="inlineStr">
        <is>
          <t>코스피</t>
        </is>
      </c>
      <c r="D5232" s="2" t="inlineStr">
        <is>
          <t>001290</t>
        </is>
      </c>
      <c r="E5232" s="3" t="inlineStr">
        <is>
          <t xml:space="preserve">주주총회소집결의              </t>
        </is>
      </c>
      <c r="F5232" s="3" t="inlineStr">
        <is>
          <t>상상인증권</t>
        </is>
      </c>
      <c r="G5232" s="2" t="inlineStr">
        <is>
          <t>20260630801004</t>
        </is>
      </c>
      <c r="H5232" s="8">
        <f>HYPERLINK("https://dart.fss.or.kr/dsaf001/main.do?rcpNo=20260630801004", "공시열람")</f>
        <v/>
      </c>
    </row>
    <row r="5233">
      <c r="A5233" s="2" t="inlineStr">
        <is>
          <t>2026-06-30</t>
        </is>
      </c>
      <c r="B5233" s="3" t="inlineStr">
        <is>
          <t>이엠티</t>
        </is>
      </c>
      <c r="C5233" s="2" t="inlineStr">
        <is>
          <t>코넥스</t>
        </is>
      </c>
      <c r="D5233" s="2" t="inlineStr">
        <is>
          <t>232530</t>
        </is>
      </c>
      <c r="E5233" s="3" t="inlineStr">
        <is>
          <t xml:space="preserve">정기주주총회결과              </t>
        </is>
      </c>
      <c r="F5233" s="3" t="inlineStr">
        <is>
          <t>이엠티</t>
        </is>
      </c>
      <c r="G5233" s="2" t="inlineStr">
        <is>
          <t>20260630601028</t>
        </is>
      </c>
      <c r="H5233" s="8">
        <f>HYPERLINK("https://dart.fss.or.kr/dsaf001/main.do?rcpNo=20260630601028", "공시열람")</f>
        <v/>
      </c>
    </row>
    <row r="5234">
      <c r="A5234" s="2" t="inlineStr">
        <is>
          <t>2026-06-30</t>
        </is>
      </c>
      <c r="B5234" s="3" t="inlineStr">
        <is>
          <t>모아데이타</t>
        </is>
      </c>
      <c r="C5234" s="2" t="inlineStr">
        <is>
          <t>코스닥</t>
        </is>
      </c>
      <c r="D5234" s="2" t="inlineStr">
        <is>
          <t>288980</t>
        </is>
      </c>
      <c r="E5234" s="3" t="inlineStr">
        <is>
          <t xml:space="preserve">[기재정정]최대주주변경을수반하는주식담보제공계약체결              </t>
        </is>
      </c>
      <c r="F5234" s="3" t="inlineStr">
        <is>
          <t>모아데이타</t>
        </is>
      </c>
      <c r="G5234" s="2" t="inlineStr">
        <is>
          <t>20260630901034</t>
        </is>
      </c>
      <c r="H5234" s="8">
        <f>HYPERLINK("https://dart.fss.or.kr/dsaf001/main.do?rcpNo=20260630901034", "공시열람")</f>
        <v/>
      </c>
    </row>
    <row r="5235">
      <c r="A5235" s="2" t="inlineStr">
        <is>
          <t>2026-06-30</t>
        </is>
      </c>
      <c r="B5235" s="3" t="inlineStr">
        <is>
          <t>파루</t>
        </is>
      </c>
      <c r="C5235" s="2" t="inlineStr">
        <is>
          <t>코스닥</t>
        </is>
      </c>
      <c r="D5235" s="2" t="inlineStr">
        <is>
          <t>043200</t>
        </is>
      </c>
      <c r="E5235" s="3" t="inlineStr">
        <is>
          <t>주주총회소집공고</t>
        </is>
      </c>
      <c r="F5235" s="3" t="inlineStr">
        <is>
          <t>파루</t>
        </is>
      </c>
      <c r="G5235" s="2" t="inlineStr">
        <is>
          <t>20260630000827</t>
        </is>
      </c>
      <c r="H5235" s="8">
        <f>HYPERLINK("https://dart.fss.or.kr/dsaf001/main.do?rcpNo=20260630000827", "공시열람")</f>
        <v/>
      </c>
    </row>
    <row r="5236">
      <c r="A5236" s="2" t="inlineStr">
        <is>
          <t>2026-06-30</t>
        </is>
      </c>
      <c r="B5236" s="3" t="inlineStr">
        <is>
          <t>코리아에셋투자증권</t>
        </is>
      </c>
      <c r="C5236" s="2" t="inlineStr">
        <is>
          <t>코스닥</t>
        </is>
      </c>
      <c r="D5236" s="2" t="inlineStr">
        <is>
          <t>190650</t>
        </is>
      </c>
      <c r="E5236" s="3" t="inlineStr">
        <is>
          <t xml:space="preserve">[기재정정]정기주주총회결과              </t>
        </is>
      </c>
      <c r="F5236" s="3" t="inlineStr">
        <is>
          <t>코리아에셋투자증권</t>
        </is>
      </c>
      <c r="G5236" s="2" t="inlineStr">
        <is>
          <t>20260630900945</t>
        </is>
      </c>
      <c r="H5236" s="8">
        <f>HYPERLINK("https://dart.fss.or.kr/dsaf001/main.do?rcpNo=20260630900945", "공시열람")</f>
        <v/>
      </c>
    </row>
    <row r="5237">
      <c r="A5237" s="2" t="inlineStr">
        <is>
          <t>2026-06-30</t>
        </is>
      </c>
      <c r="B5237" s="3" t="inlineStr">
        <is>
          <t>알비더블유</t>
        </is>
      </c>
      <c r="C5237" s="2" t="inlineStr">
        <is>
          <t>코스닥</t>
        </is>
      </c>
      <c r="D5237" s="2" t="inlineStr">
        <is>
          <t>361570</t>
        </is>
      </c>
      <c r="E5237" s="3" t="inlineStr">
        <is>
          <t>주주총회소집결의              (임시주주총회)</t>
        </is>
      </c>
      <c r="F5237" s="3" t="inlineStr">
        <is>
          <t>알비더블유</t>
        </is>
      </c>
      <c r="G5237" s="2" t="inlineStr">
        <is>
          <t>20260630900978</t>
        </is>
      </c>
      <c r="H5237" s="8">
        <f>HYPERLINK("https://dart.fss.or.kr/dsaf001/main.do?rcpNo=20260630900978", "공시열람")</f>
        <v/>
      </c>
    </row>
    <row r="5238">
      <c r="A5238" s="2" t="inlineStr">
        <is>
          <t>2026-06-30</t>
        </is>
      </c>
      <c r="B5238" s="3" t="inlineStr">
        <is>
          <t>해성에어로보틱스</t>
        </is>
      </c>
      <c r="C5238" s="2" t="inlineStr">
        <is>
          <t>코스닥</t>
        </is>
      </c>
      <c r="D5238" s="2" t="inlineStr">
        <is>
          <t>059270</t>
        </is>
      </c>
      <c r="E5238" s="3" t="inlineStr">
        <is>
          <t>소송등의제기ㆍ신청(경영권분쟁소송)              (주주총회결의 무효 등의 소)</t>
        </is>
      </c>
      <c r="F5238" s="3" t="inlineStr">
        <is>
          <t>해성에어로보틱스</t>
        </is>
      </c>
      <c r="G5238" s="2" t="inlineStr">
        <is>
          <t>20260630900922</t>
        </is>
      </c>
      <c r="H5238" s="8">
        <f>HYPERLINK("https://dart.fss.or.kr/dsaf001/main.do?rcpNo=20260630900922", "공시열람")</f>
        <v/>
      </c>
    </row>
    <row r="5239">
      <c r="A5239" s="2" t="inlineStr">
        <is>
          <t>2026-06-30</t>
        </is>
      </c>
      <c r="B5239" s="3" t="inlineStr">
        <is>
          <t>코난테크놀로지</t>
        </is>
      </c>
      <c r="C5239" s="2" t="inlineStr">
        <is>
          <t>코스닥</t>
        </is>
      </c>
      <c r="D5239" s="2" t="inlineStr">
        <is>
          <t>402030</t>
        </is>
      </c>
      <c r="E5239" s="3" t="inlineStr">
        <is>
          <t xml:space="preserve">[기재정정]최대주주변경을수반하는주식담보제공계약체결              </t>
        </is>
      </c>
      <c r="F5239" s="3" t="inlineStr">
        <is>
          <t>코난테크놀로지</t>
        </is>
      </c>
      <c r="G5239" s="2" t="inlineStr">
        <is>
          <t>20260630900909</t>
        </is>
      </c>
      <c r="H5239" s="8">
        <f>HYPERLINK("https://dart.fss.or.kr/dsaf001/main.do?rcpNo=20260630900909", "공시열람")</f>
        <v/>
      </c>
    </row>
    <row r="5240">
      <c r="A5240" s="2" t="inlineStr">
        <is>
          <t>2026-06-30</t>
        </is>
      </c>
      <c r="B5240" s="3" t="inlineStr">
        <is>
          <t>위메이드</t>
        </is>
      </c>
      <c r="C5240" s="2" t="inlineStr">
        <is>
          <t>코스닥</t>
        </is>
      </c>
      <c r="D5240" s="2" t="inlineStr">
        <is>
          <t>112040</t>
        </is>
      </c>
      <c r="E5240" s="3" t="inlineStr">
        <is>
          <t xml:space="preserve">최대주주변경을수반하는주식양수도계약체결              </t>
        </is>
      </c>
      <c r="F5240" s="3" t="inlineStr">
        <is>
          <t>위메이드</t>
        </is>
      </c>
      <c r="G5240" s="2" t="inlineStr">
        <is>
          <t>20260630900888</t>
        </is>
      </c>
      <c r="H5240" s="8">
        <f>HYPERLINK("https://dart.fss.or.kr/dsaf001/main.do?rcpNo=20260630900888", "공시열람")</f>
        <v/>
      </c>
    </row>
    <row r="5241">
      <c r="A5241" s="2" t="inlineStr">
        <is>
          <t>2026-06-30</t>
        </is>
      </c>
      <c r="B5241" s="3" t="inlineStr">
        <is>
          <t>주성코퍼레이션</t>
        </is>
      </c>
      <c r="C5241" s="2" t="inlineStr">
        <is>
          <t>코스피</t>
        </is>
      </c>
      <c r="D5241" s="2" t="inlineStr">
        <is>
          <t>109070</t>
        </is>
      </c>
      <c r="E5241" s="3" t="inlineStr">
        <is>
          <t xml:space="preserve">주주총회소집결의              </t>
        </is>
      </c>
      <c r="F5241" s="3" t="inlineStr">
        <is>
          <t>주성코퍼레이션</t>
        </is>
      </c>
      <c r="G5241" s="2" t="inlineStr">
        <is>
          <t>20260630800969</t>
        </is>
      </c>
      <c r="H5241" s="8">
        <f>HYPERLINK("https://dart.fss.or.kr/dsaf001/main.do?rcpNo=20260630800969", "공시열람")</f>
        <v/>
      </c>
    </row>
    <row r="5242">
      <c r="A5242" s="2" t="inlineStr">
        <is>
          <t>2026-06-30</t>
        </is>
      </c>
      <c r="B5242" s="3" t="inlineStr">
        <is>
          <t>씨앤지하이테크</t>
        </is>
      </c>
      <c r="C5242" s="2" t="inlineStr">
        <is>
          <t>코스닥</t>
        </is>
      </c>
      <c r="D5242" s="2" t="inlineStr">
        <is>
          <t>264660</t>
        </is>
      </c>
      <c r="E5242" s="3" t="inlineStr">
        <is>
          <t xml:space="preserve">[기재정정]최대주주변경을수반하는주식담보제공계약체결              </t>
        </is>
      </c>
      <c r="F5242" s="3" t="inlineStr">
        <is>
          <t>씨앤지하이테크</t>
        </is>
      </c>
      <c r="G5242" s="2" t="inlineStr">
        <is>
          <t>20260630900882</t>
        </is>
      </c>
      <c r="H5242" s="8">
        <f>HYPERLINK("https://dart.fss.or.kr/dsaf001/main.do?rcpNo=20260630900882", "공시열람")</f>
        <v/>
      </c>
    </row>
    <row r="5243">
      <c r="A5243" s="2" t="inlineStr">
        <is>
          <t>2026-06-30</t>
        </is>
      </c>
      <c r="B5243" s="3" t="inlineStr">
        <is>
          <t>한국알콜</t>
        </is>
      </c>
      <c r="C5243" s="2" t="inlineStr">
        <is>
          <t>코스닥</t>
        </is>
      </c>
      <c r="D5243" s="2" t="inlineStr">
        <is>
          <t>017890</t>
        </is>
      </c>
      <c r="E5243" s="3" t="inlineStr">
        <is>
          <t>주주총회소집공고</t>
        </is>
      </c>
      <c r="F5243" s="3" t="inlineStr">
        <is>
          <t>한국알콜</t>
        </is>
      </c>
      <c r="G5243" s="2" t="inlineStr">
        <is>
          <t>20260630000767</t>
        </is>
      </c>
      <c r="H5243" s="8">
        <f>HYPERLINK("https://dart.fss.or.kr/dsaf001/main.do?rcpNo=20260630000767", "공시열람")</f>
        <v/>
      </c>
    </row>
    <row r="5244">
      <c r="A5244" s="2" t="inlineStr">
        <is>
          <t>2026-06-30</t>
        </is>
      </c>
      <c r="B5244" s="3" t="inlineStr">
        <is>
          <t>우리엔터프라이즈</t>
        </is>
      </c>
      <c r="C5244" s="2" t="inlineStr">
        <is>
          <t>코스닥</t>
        </is>
      </c>
      <c r="D5244" s="2" t="inlineStr">
        <is>
          <t>037400</t>
        </is>
      </c>
      <c r="E5244" s="3" t="inlineStr">
        <is>
          <t>주주총회소집공고</t>
        </is>
      </c>
      <c r="F5244" s="3" t="inlineStr">
        <is>
          <t>우리엔터프라이즈</t>
        </is>
      </c>
      <c r="G5244" s="2" t="inlineStr">
        <is>
          <t>20260630000766</t>
        </is>
      </c>
      <c r="H5244" s="8">
        <f>HYPERLINK("https://dart.fss.or.kr/dsaf001/main.do?rcpNo=20260630000766", "공시열람")</f>
        <v/>
      </c>
    </row>
    <row r="5245">
      <c r="A5245" s="2" t="inlineStr">
        <is>
          <t>2026-06-30</t>
        </is>
      </c>
      <c r="B5245" s="3" t="inlineStr">
        <is>
          <t>인바이오젠</t>
        </is>
      </c>
      <c r="C5245" s="2" t="inlineStr">
        <is>
          <t>코스피</t>
        </is>
      </c>
      <c r="D5245" s="2" t="inlineStr">
        <is>
          <t>101140</t>
        </is>
      </c>
      <c r="E5245" s="3" t="inlineStr">
        <is>
          <t xml:space="preserve">임시주주총회결과              </t>
        </is>
      </c>
      <c r="F5245" s="3" t="inlineStr">
        <is>
          <t>인바이오젠</t>
        </is>
      </c>
      <c r="G5245" s="2" t="inlineStr">
        <is>
          <t>20260630800854</t>
        </is>
      </c>
      <c r="H5245" s="8">
        <f>HYPERLINK("https://dart.fss.or.kr/dsaf001/main.do?rcpNo=20260630800854", "공시열람")</f>
        <v/>
      </c>
    </row>
    <row r="5246">
      <c r="A5246" s="2" t="inlineStr">
        <is>
          <t>2026-06-30</t>
        </is>
      </c>
      <c r="B5246" s="3" t="inlineStr">
        <is>
          <t>우리바이오</t>
        </is>
      </c>
      <c r="C5246" s="2" t="inlineStr">
        <is>
          <t>코스닥</t>
        </is>
      </c>
      <c r="D5246" s="2" t="inlineStr">
        <is>
          <t>082850</t>
        </is>
      </c>
      <c r="E5246" s="3" t="inlineStr">
        <is>
          <t>주주총회소집공고</t>
        </is>
      </c>
      <c r="F5246" s="3" t="inlineStr">
        <is>
          <t>우리바이오</t>
        </is>
      </c>
      <c r="G5246" s="2" t="inlineStr">
        <is>
          <t>20260630000745</t>
        </is>
      </c>
      <c r="H5246" s="8">
        <f>HYPERLINK("https://dart.fss.or.kr/dsaf001/main.do?rcpNo=20260630000745", "공시열람")</f>
        <v/>
      </c>
    </row>
    <row r="5247">
      <c r="A5247" s="2" t="inlineStr">
        <is>
          <t>2026-06-30</t>
        </is>
      </c>
      <c r="B5247" s="3" t="inlineStr">
        <is>
          <t>코스나인</t>
        </is>
      </c>
      <c r="C5247" s="2" t="inlineStr">
        <is>
          <t>코스닥</t>
        </is>
      </c>
      <c r="D5247" s="2" t="inlineStr">
        <is>
          <t>082660</t>
        </is>
      </c>
      <c r="E5247" s="3" t="inlineStr">
        <is>
          <t xml:space="preserve">[기재정정]주주총회소집결의              </t>
        </is>
      </c>
      <c r="F5247" s="3" t="inlineStr">
        <is>
          <t>코스나인</t>
        </is>
      </c>
      <c r="G5247" s="2" t="inlineStr">
        <is>
          <t>20260630900825</t>
        </is>
      </c>
      <c r="H5247" s="8">
        <f>HYPERLINK("https://dart.fss.or.kr/dsaf001/main.do?rcpNo=20260630900825", "공시열람")</f>
        <v/>
      </c>
    </row>
    <row r="5248">
      <c r="A5248" s="2" t="inlineStr">
        <is>
          <t>2026-06-30</t>
        </is>
      </c>
      <c r="B5248" s="3" t="inlineStr">
        <is>
          <t>에스트래픽</t>
        </is>
      </c>
      <c r="C5248" s="2" t="inlineStr">
        <is>
          <t>코스닥</t>
        </is>
      </c>
      <c r="D5248" s="2" t="inlineStr">
        <is>
          <t>234300</t>
        </is>
      </c>
      <c r="E5248" s="3" t="inlineStr">
        <is>
          <t>주요사항보고서(회사합병결정)</t>
        </is>
      </c>
      <c r="F5248" s="3" t="inlineStr">
        <is>
          <t>에스트래픽</t>
        </is>
      </c>
      <c r="G5248" s="2" t="inlineStr">
        <is>
          <t>20260630000674</t>
        </is>
      </c>
      <c r="H5248" s="8">
        <f>HYPERLINK("https://dart.fss.or.kr/dsaf001/main.do?rcpNo=20260630000674", "공시열람")</f>
        <v/>
      </c>
    </row>
    <row r="5249">
      <c r="A5249" s="2" t="inlineStr">
        <is>
          <t>2026-06-30</t>
        </is>
      </c>
      <c r="B5249" s="3" t="inlineStr">
        <is>
          <t>심텍홀딩스</t>
        </is>
      </c>
      <c r="C5249" s="2" t="inlineStr">
        <is>
          <t>코스닥</t>
        </is>
      </c>
      <c r="D5249" s="2" t="inlineStr">
        <is>
          <t>036710</t>
        </is>
      </c>
      <c r="E5249" s="3" t="inlineStr">
        <is>
          <t xml:space="preserve">회사합병결정(종속회사의주요경영사항)              </t>
        </is>
      </c>
      <c r="F5249" s="3" t="inlineStr">
        <is>
          <t>심텍홀딩스</t>
        </is>
      </c>
      <c r="G5249" s="2" t="inlineStr">
        <is>
          <t>20260630900771</t>
        </is>
      </c>
      <c r="H5249" s="8">
        <f>HYPERLINK("https://dart.fss.or.kr/dsaf001/main.do?rcpNo=20260630900771", "공시열람")</f>
        <v/>
      </c>
    </row>
    <row r="5250">
      <c r="A5250" s="2" t="inlineStr">
        <is>
          <t>2026-06-30</t>
        </is>
      </c>
      <c r="B5250" s="3" t="inlineStr">
        <is>
          <t>우리이앤엘하루틴</t>
        </is>
      </c>
      <c r="C5250" s="2" t="inlineStr">
        <is>
          <t>코스닥</t>
        </is>
      </c>
      <c r="D5250" s="2" t="inlineStr">
        <is>
          <t>153490</t>
        </is>
      </c>
      <c r="E5250" s="3" t="inlineStr">
        <is>
          <t>주주총회소집공고</t>
        </is>
      </c>
      <c r="F5250" s="3" t="inlineStr">
        <is>
          <t>우리이앤엘하루틴</t>
        </is>
      </c>
      <c r="G5250" s="2" t="inlineStr">
        <is>
          <t>20260630000690</t>
        </is>
      </c>
      <c r="H5250" s="8">
        <f>HYPERLINK("https://dart.fss.or.kr/dsaf001/main.do?rcpNo=20260630000690", "공시열람")</f>
        <v/>
      </c>
    </row>
    <row r="5251">
      <c r="A5251" s="2" t="inlineStr">
        <is>
          <t>2026-06-30</t>
        </is>
      </c>
      <c r="B5251" s="3" t="inlineStr">
        <is>
          <t>인바이오</t>
        </is>
      </c>
      <c r="C5251" s="2" t="inlineStr">
        <is>
          <t>코스닥</t>
        </is>
      </c>
      <c r="D5251" s="2" t="inlineStr">
        <is>
          <t>352940</t>
        </is>
      </c>
      <c r="E5251" s="3" t="inlineStr">
        <is>
          <t xml:space="preserve">[기재정정]임시주주총회결과              </t>
        </is>
      </c>
      <c r="F5251" s="3" t="inlineStr">
        <is>
          <t>인바이오</t>
        </is>
      </c>
      <c r="G5251" s="2" t="inlineStr">
        <is>
          <t>20260630900764</t>
        </is>
      </c>
      <c r="H5251" s="8">
        <f>HYPERLINK("https://dart.fss.or.kr/dsaf001/main.do?rcpNo=20260630900764", "공시열람")</f>
        <v/>
      </c>
    </row>
    <row r="5252">
      <c r="A5252" s="2" t="inlineStr">
        <is>
          <t>2026-06-30</t>
        </is>
      </c>
      <c r="B5252" s="3" t="inlineStr">
        <is>
          <t>한주에이알티</t>
        </is>
      </c>
      <c r="C5252" s="2" t="inlineStr">
        <is>
          <t>코스닥</t>
        </is>
      </c>
      <c r="D5252" s="2" t="inlineStr">
        <is>
          <t>058450</t>
        </is>
      </c>
      <c r="E5252" s="3" t="inlineStr">
        <is>
          <t>[기재정정]주주총회소집결의              (임시주주총회)</t>
        </is>
      </c>
      <c r="F5252" s="3" t="inlineStr">
        <is>
          <t>한주에이알티</t>
        </is>
      </c>
      <c r="G5252" s="2" t="inlineStr">
        <is>
          <t>20260630900725</t>
        </is>
      </c>
      <c r="H5252" s="8">
        <f>HYPERLINK("https://dart.fss.or.kr/dsaf001/main.do?rcpNo=20260630900725", "공시열람")</f>
        <v/>
      </c>
    </row>
    <row r="5253">
      <c r="A5253" s="2" t="inlineStr">
        <is>
          <t>2026-06-30</t>
        </is>
      </c>
      <c r="B5253" s="3" t="inlineStr">
        <is>
          <t>아티스트컴퍼니</t>
        </is>
      </c>
      <c r="C5253" s="2" t="inlineStr">
        <is>
          <t>코스닥</t>
        </is>
      </c>
      <c r="D5253" s="2" t="inlineStr">
        <is>
          <t>321820</t>
        </is>
      </c>
      <c r="E5253" s="3" t="inlineStr">
        <is>
          <t>주주총회소집공고</t>
        </is>
      </c>
      <c r="F5253" s="3" t="inlineStr">
        <is>
          <t>아티스트컴퍼니</t>
        </is>
      </c>
      <c r="G5253" s="2" t="inlineStr">
        <is>
          <t>20260630000655</t>
        </is>
      </c>
      <c r="H5253" s="8">
        <f>HYPERLINK("https://dart.fss.or.kr/dsaf001/main.do?rcpNo=20260630000655", "공시열람")</f>
        <v/>
      </c>
    </row>
    <row r="5254">
      <c r="A5254" s="2" t="inlineStr">
        <is>
          <t>2026-06-30</t>
        </is>
      </c>
      <c r="B5254" s="3" t="inlineStr">
        <is>
          <t>IBKS제25호스팩</t>
        </is>
      </c>
      <c r="C5254" s="2" t="inlineStr">
        <is>
          <t>코스닥</t>
        </is>
      </c>
      <c r="D5254" s="2" t="inlineStr">
        <is>
          <t>0099X0</t>
        </is>
      </c>
      <c r="E5254" s="3" t="inlineStr">
        <is>
          <t>주요사항보고서(회사합병결정)</t>
        </is>
      </c>
      <c r="F5254" s="3" t="inlineStr">
        <is>
          <t>IBKS제25호스팩</t>
        </is>
      </c>
      <c r="G5254" s="2" t="inlineStr">
        <is>
          <t>20260630000618</t>
        </is>
      </c>
      <c r="H5254" s="8">
        <f>HYPERLINK("https://dart.fss.or.kr/dsaf001/main.do?rcpNo=20260630000618", "공시열람")</f>
        <v/>
      </c>
    </row>
    <row r="5255">
      <c r="A5255" s="2" t="inlineStr">
        <is>
          <t>2026-06-30</t>
        </is>
      </c>
      <c r="B5255" s="3" t="inlineStr">
        <is>
          <t>현대사료</t>
        </is>
      </c>
      <c r="C5255" s="2" t="inlineStr">
        <is>
          <t>코스닥</t>
        </is>
      </c>
      <c r="D5255" s="2" t="inlineStr">
        <is>
          <t>016790</t>
        </is>
      </c>
      <c r="E5255" s="3" t="inlineStr">
        <is>
          <t xml:space="preserve">임시주주총회결과              </t>
        </is>
      </c>
      <c r="F5255" s="3" t="inlineStr">
        <is>
          <t>현대사료</t>
        </is>
      </c>
      <c r="G5255" s="2" t="inlineStr">
        <is>
          <t>20260630900629</t>
        </is>
      </c>
      <c r="H5255" s="8">
        <f>HYPERLINK("https://dart.fss.or.kr/dsaf001/main.do?rcpNo=20260630900629", "공시열람")</f>
        <v/>
      </c>
    </row>
    <row r="5256">
      <c r="A5256" s="2" t="inlineStr">
        <is>
          <t>2026-06-30</t>
        </is>
      </c>
      <c r="B5256" s="3" t="inlineStr">
        <is>
          <t>드림어스컴퍼니</t>
        </is>
      </c>
      <c r="C5256" s="2" t="inlineStr">
        <is>
          <t>코스닥</t>
        </is>
      </c>
      <c r="D5256" s="2" t="inlineStr">
        <is>
          <t>060570</t>
        </is>
      </c>
      <c r="E5256" s="3" t="inlineStr">
        <is>
          <t xml:space="preserve">임시주주총회결과              </t>
        </is>
      </c>
      <c r="F5256" s="3" t="inlineStr">
        <is>
          <t>드림어스컴퍼니</t>
        </is>
      </c>
      <c r="G5256" s="2" t="inlineStr">
        <is>
          <t>20260630900636</t>
        </is>
      </c>
      <c r="H5256" s="8">
        <f>HYPERLINK("https://dart.fss.or.kr/dsaf001/main.do?rcpNo=20260630900636", "공시열람")</f>
        <v/>
      </c>
    </row>
    <row r="5257">
      <c r="A5257" s="2" t="inlineStr">
        <is>
          <t>2026-06-30</t>
        </is>
      </c>
      <c r="B5257" s="3" t="inlineStr">
        <is>
          <t>코리아에셋투자증권</t>
        </is>
      </c>
      <c r="C5257" s="2" t="inlineStr">
        <is>
          <t>코스닥</t>
        </is>
      </c>
      <c r="D5257" s="2" t="inlineStr">
        <is>
          <t>190650</t>
        </is>
      </c>
      <c r="E5257" s="3" t="inlineStr">
        <is>
          <t xml:space="preserve">정기주주총회결과              </t>
        </is>
      </c>
      <c r="F5257" s="3" t="inlineStr">
        <is>
          <t>코리아에셋투자증권</t>
        </is>
      </c>
      <c r="G5257" s="2" t="inlineStr">
        <is>
          <t>20260630900590</t>
        </is>
      </c>
      <c r="H5257" s="8">
        <f>HYPERLINK("https://dart.fss.or.kr/dsaf001/main.do?rcpNo=20260630900590", "공시열람")</f>
        <v/>
      </c>
    </row>
    <row r="5258">
      <c r="A5258" s="2" t="inlineStr">
        <is>
          <t>2026-06-30</t>
        </is>
      </c>
      <c r="B5258" s="3" t="inlineStr">
        <is>
          <t>세종메디칼</t>
        </is>
      </c>
      <c r="C5258" s="2" t="inlineStr">
        <is>
          <t>코스닥</t>
        </is>
      </c>
      <c r="D5258" s="2" t="inlineStr">
        <is>
          <t>258830</t>
        </is>
      </c>
      <c r="E5258" s="3" t="inlineStr">
        <is>
          <t xml:space="preserve">임시주주총회결과              </t>
        </is>
      </c>
      <c r="F5258" s="3" t="inlineStr">
        <is>
          <t>세종메디칼</t>
        </is>
      </c>
      <c r="G5258" s="2" t="inlineStr">
        <is>
          <t>20260630900612</t>
        </is>
      </c>
      <c r="H5258" s="8">
        <f>HYPERLINK("https://dart.fss.or.kr/dsaf001/main.do?rcpNo=20260630900612", "공시열람")</f>
        <v/>
      </c>
    </row>
    <row r="5259">
      <c r="A5259" s="2" t="inlineStr">
        <is>
          <t>2026-06-30</t>
        </is>
      </c>
      <c r="B5259" s="3" t="inlineStr">
        <is>
          <t>알파AI</t>
        </is>
      </c>
      <c r="C5259" s="2" t="inlineStr">
        <is>
          <t>코스닥</t>
        </is>
      </c>
      <c r="D5259" s="2" t="inlineStr">
        <is>
          <t>043100</t>
        </is>
      </c>
      <c r="E5259" s="3" t="inlineStr">
        <is>
          <t xml:space="preserve">임시주주총회결과              </t>
        </is>
      </c>
      <c r="F5259" s="3" t="inlineStr">
        <is>
          <t>알파AI</t>
        </is>
      </c>
      <c r="G5259" s="2" t="inlineStr">
        <is>
          <t>20260630900610</t>
        </is>
      </c>
      <c r="H5259" s="8">
        <f>HYPERLINK("https://dart.fss.or.kr/dsaf001/main.do?rcpNo=20260630900610", "공시열람")</f>
        <v/>
      </c>
    </row>
    <row r="5260">
      <c r="A5260" s="2" t="inlineStr">
        <is>
          <t>2026-06-30</t>
        </is>
      </c>
      <c r="B5260" s="3" t="inlineStr">
        <is>
          <t>버킷스튜디오</t>
        </is>
      </c>
      <c r="C5260" s="2" t="inlineStr">
        <is>
          <t>코스닥</t>
        </is>
      </c>
      <c r="D5260" s="2" t="inlineStr">
        <is>
          <t>066410</t>
        </is>
      </c>
      <c r="E5260" s="3" t="inlineStr">
        <is>
          <t xml:space="preserve">임시주주총회결과              </t>
        </is>
      </c>
      <c r="F5260" s="3" t="inlineStr">
        <is>
          <t>버킷스튜디오</t>
        </is>
      </c>
      <c r="G5260" s="2" t="inlineStr">
        <is>
          <t>20260630900596</t>
        </is>
      </c>
      <c r="H5260" s="8">
        <f>HYPERLINK("https://dart.fss.or.kr/dsaf001/main.do?rcpNo=20260630900596", "공시열람")</f>
        <v/>
      </c>
    </row>
    <row r="5261">
      <c r="A5261" s="2" t="inlineStr">
        <is>
          <t>2026-06-30</t>
        </is>
      </c>
      <c r="B5261" s="3" t="inlineStr">
        <is>
          <t>비덴트</t>
        </is>
      </c>
      <c r="C5261" s="2" t="inlineStr">
        <is>
          <t>코스닥</t>
        </is>
      </c>
      <c r="D5261" s="2" t="inlineStr">
        <is>
          <t>121800</t>
        </is>
      </c>
      <c r="E5261" s="3" t="inlineStr">
        <is>
          <t xml:space="preserve">임시주주총회결과              </t>
        </is>
      </c>
      <c r="F5261" s="3" t="inlineStr">
        <is>
          <t>비덴트</t>
        </is>
      </c>
      <c r="G5261" s="2" t="inlineStr">
        <is>
          <t>20260630900600</t>
        </is>
      </c>
      <c r="H5261" s="8">
        <f>HYPERLINK("https://dart.fss.or.kr/dsaf001/main.do?rcpNo=20260630900600", "공시열람")</f>
        <v/>
      </c>
    </row>
    <row r="5262">
      <c r="A5262" s="2" t="inlineStr">
        <is>
          <t>2026-06-30</t>
        </is>
      </c>
      <c r="B5262" s="3" t="inlineStr">
        <is>
          <t>지역난방공사</t>
        </is>
      </c>
      <c r="C5262" s="2" t="inlineStr">
        <is>
          <t>코스피</t>
        </is>
      </c>
      <c r="D5262" s="2" t="inlineStr">
        <is>
          <t>071320</t>
        </is>
      </c>
      <c r="E5262" s="3" t="inlineStr">
        <is>
          <t xml:space="preserve">임시주주총회결과              </t>
        </is>
      </c>
      <c r="F5262" s="3" t="inlineStr">
        <is>
          <t>지역난방공사</t>
        </is>
      </c>
      <c r="G5262" s="2" t="inlineStr">
        <is>
          <t>20260630800564</t>
        </is>
      </c>
      <c r="H5262" s="8">
        <f>HYPERLINK("https://dart.fss.or.kr/dsaf001/main.do?rcpNo=20260630800564", "공시열람")</f>
        <v/>
      </c>
    </row>
    <row r="5263">
      <c r="A5263" s="2" t="inlineStr">
        <is>
          <t>2026-06-30</t>
        </is>
      </c>
      <c r="B5263" s="3" t="inlineStr">
        <is>
          <t>SG세계물산</t>
        </is>
      </c>
      <c r="C5263" s="2" t="inlineStr">
        <is>
          <t>코스피</t>
        </is>
      </c>
      <c r="D5263" s="2" t="inlineStr">
        <is>
          <t>004060</t>
        </is>
      </c>
      <c r="E5263" s="3" t="inlineStr">
        <is>
          <t xml:space="preserve">최대주주변경              </t>
        </is>
      </c>
      <c r="F5263" s="3" t="inlineStr">
        <is>
          <t>SG세계물산</t>
        </is>
      </c>
      <c r="G5263" s="2" t="inlineStr">
        <is>
          <t>20260630800535</t>
        </is>
      </c>
      <c r="H5263" s="8">
        <f>HYPERLINK("https://dart.fss.or.kr/dsaf001/main.do?rcpNo=20260630800535", "공시열람")</f>
        <v/>
      </c>
    </row>
    <row r="5264">
      <c r="A5264" s="2" t="inlineStr">
        <is>
          <t>2026-06-30</t>
        </is>
      </c>
      <c r="B5264" s="3" t="inlineStr">
        <is>
          <t>SG글로벌</t>
        </is>
      </c>
      <c r="C5264" s="2" t="inlineStr">
        <is>
          <t>코스피</t>
        </is>
      </c>
      <c r="D5264" s="2" t="inlineStr">
        <is>
          <t>001380</t>
        </is>
      </c>
      <c r="E5264" s="3" t="inlineStr">
        <is>
          <t xml:space="preserve">최대주주변경              </t>
        </is>
      </c>
      <c r="F5264" s="3" t="inlineStr">
        <is>
          <t>SG글로벌</t>
        </is>
      </c>
      <c r="G5264" s="2" t="inlineStr">
        <is>
          <t>20260630800525</t>
        </is>
      </c>
      <c r="H5264" s="8">
        <f>HYPERLINK("https://dart.fss.or.kr/dsaf001/main.do?rcpNo=20260630800525", "공시열람")</f>
        <v/>
      </c>
    </row>
    <row r="5265">
      <c r="A5265" s="2" t="inlineStr">
        <is>
          <t>2026-06-30</t>
        </is>
      </c>
      <c r="B5265" s="3" t="inlineStr">
        <is>
          <t>삼천당제약</t>
        </is>
      </c>
      <c r="C5265" s="2" t="inlineStr">
        <is>
          <t>코스닥</t>
        </is>
      </c>
      <c r="D5265" s="2" t="inlineStr">
        <is>
          <t>000250</t>
        </is>
      </c>
      <c r="E5265" s="3" t="inlineStr">
        <is>
          <t xml:space="preserve">임시주주총회결과              </t>
        </is>
      </c>
      <c r="F5265" s="3" t="inlineStr">
        <is>
          <t>삼천당제약</t>
        </is>
      </c>
      <c r="G5265" s="2" t="inlineStr">
        <is>
          <t>20260630900462</t>
        </is>
      </c>
      <c r="H5265" s="8">
        <f>HYPERLINK("https://dart.fss.or.kr/dsaf001/main.do?rcpNo=20260630900462", "공시열람")</f>
        <v/>
      </c>
    </row>
    <row r="5266">
      <c r="A5266" s="2" t="inlineStr">
        <is>
          <t>2026-06-30</t>
        </is>
      </c>
      <c r="B5266" s="3" t="inlineStr">
        <is>
          <t>휴먼테크놀로지</t>
        </is>
      </c>
      <c r="C5266" s="2" t="inlineStr">
        <is>
          <t>코스닥</t>
        </is>
      </c>
      <c r="D5266" s="2" t="inlineStr">
        <is>
          <t>175140</t>
        </is>
      </c>
      <c r="E5266" s="3" t="inlineStr">
        <is>
          <t xml:space="preserve">임시주주총회결과              </t>
        </is>
      </c>
      <c r="F5266" s="3" t="inlineStr">
        <is>
          <t>휴먼테크놀로지</t>
        </is>
      </c>
      <c r="G5266" s="2" t="inlineStr">
        <is>
          <t>20260630900422</t>
        </is>
      </c>
      <c r="H5266" s="8">
        <f>HYPERLINK("https://dart.fss.or.kr/dsaf001/main.do?rcpNo=20260630900422", "공시열람")</f>
        <v/>
      </c>
    </row>
    <row r="5267">
      <c r="A5267" s="2" t="inlineStr">
        <is>
          <t>2026-06-30</t>
        </is>
      </c>
      <c r="B5267" s="3" t="inlineStr">
        <is>
          <t>코아시아씨엠</t>
        </is>
      </c>
      <c r="C5267" s="2" t="inlineStr">
        <is>
          <t>코스닥</t>
        </is>
      </c>
      <c r="D5267" s="2" t="inlineStr">
        <is>
          <t>196450</t>
        </is>
      </c>
      <c r="E5267" s="3" t="inlineStr">
        <is>
          <t xml:space="preserve">임시주주총회결과              </t>
        </is>
      </c>
      <c r="F5267" s="3" t="inlineStr">
        <is>
          <t>코아시아씨엠</t>
        </is>
      </c>
      <c r="G5267" s="2" t="inlineStr">
        <is>
          <t>20260630900318</t>
        </is>
      </c>
      <c r="H5267" s="8">
        <f>HYPERLINK("https://dart.fss.or.kr/dsaf001/main.do?rcpNo=20260630900318", "공시열람")</f>
        <v/>
      </c>
    </row>
    <row r="5268">
      <c r="A5268" s="2" t="inlineStr">
        <is>
          <t>2026-06-30</t>
        </is>
      </c>
      <c r="B5268" s="3" t="inlineStr">
        <is>
          <t>삼현</t>
        </is>
      </c>
      <c r="C5268" s="2" t="inlineStr">
        <is>
          <t>코스닥</t>
        </is>
      </c>
      <c r="D5268" s="2" t="inlineStr">
        <is>
          <t>437730</t>
        </is>
      </c>
      <c r="E5268" s="3" t="inlineStr">
        <is>
          <t>주주총회소집공고</t>
        </is>
      </c>
      <c r="F5268" s="3" t="inlineStr">
        <is>
          <t>삼현</t>
        </is>
      </c>
      <c r="G5268" s="2" t="inlineStr">
        <is>
          <t>20260630000383</t>
        </is>
      </c>
      <c r="H5268" s="8">
        <f>HYPERLINK("https://dart.fss.or.kr/dsaf001/main.do?rcpNo=20260630000383", "공시열람")</f>
        <v/>
      </c>
    </row>
    <row r="5269">
      <c r="A5269" s="2" t="inlineStr">
        <is>
          <t>2026-06-30</t>
        </is>
      </c>
      <c r="B5269" s="3" t="inlineStr">
        <is>
          <t>오건에코텍</t>
        </is>
      </c>
      <c r="C5269" s="2" t="inlineStr">
        <is>
          <t>코넥스</t>
        </is>
      </c>
      <c r="D5269" s="2" t="inlineStr">
        <is>
          <t>212310</t>
        </is>
      </c>
      <c r="E5269" s="3" t="inlineStr">
        <is>
          <t xml:space="preserve">[기재정정]정기주주총회결과              </t>
        </is>
      </c>
      <c r="F5269" s="3" t="inlineStr">
        <is>
          <t>오건에코텍</t>
        </is>
      </c>
      <c r="G5269" s="2" t="inlineStr">
        <is>
          <t>20260630600339</t>
        </is>
      </c>
      <c r="H5269" s="8">
        <f>HYPERLINK("https://dart.fss.or.kr/dsaf001/main.do?rcpNo=20260630600339", "공시열람")</f>
        <v/>
      </c>
    </row>
    <row r="5270">
      <c r="A5270" s="2" t="inlineStr">
        <is>
          <t>2026-06-30</t>
        </is>
      </c>
      <c r="B5270" s="3" t="inlineStr">
        <is>
          <t>코미코</t>
        </is>
      </c>
      <c r="C5270" s="2" t="inlineStr">
        <is>
          <t>코스닥</t>
        </is>
      </c>
      <c r="D5270" s="2" t="inlineStr">
        <is>
          <t>183300</t>
        </is>
      </c>
      <c r="E5270" s="3" t="inlineStr">
        <is>
          <t>주주총회소집공고</t>
        </is>
      </c>
      <c r="F5270" s="3" t="inlineStr">
        <is>
          <t>코미코</t>
        </is>
      </c>
      <c r="G5270" s="2" t="inlineStr">
        <is>
          <t>20260630000320</t>
        </is>
      </c>
      <c r="H5270" s="8">
        <f>HYPERLINK("https://dart.fss.or.kr/dsaf001/main.do?rcpNo=20260630000320", "공시열람")</f>
        <v/>
      </c>
    </row>
    <row r="5271">
      <c r="A5271" s="2" t="inlineStr">
        <is>
          <t>2026-06-30</t>
        </is>
      </c>
      <c r="B5271" s="3" t="inlineStr">
        <is>
          <t>나무기술</t>
        </is>
      </c>
      <c r="C5271" s="2" t="inlineStr">
        <is>
          <t>코스닥</t>
        </is>
      </c>
      <c r="D5271" s="2" t="inlineStr">
        <is>
          <t>242040</t>
        </is>
      </c>
      <c r="E5271" s="3" t="inlineStr">
        <is>
          <t xml:space="preserve">임시주주총회결과              </t>
        </is>
      </c>
      <c r="F5271" s="3" t="inlineStr">
        <is>
          <t>나무기술</t>
        </is>
      </c>
      <c r="G5271" s="2" t="inlineStr">
        <is>
          <t>20260630900310</t>
        </is>
      </c>
      <c r="H5271" s="8">
        <f>HYPERLINK("https://dart.fss.or.kr/dsaf001/main.do?rcpNo=20260630900310", "공시열람")</f>
        <v/>
      </c>
    </row>
    <row r="5272">
      <c r="A5272" s="2" t="inlineStr">
        <is>
          <t>2026-06-30</t>
        </is>
      </c>
      <c r="B5272" s="3" t="inlineStr">
        <is>
          <t>씨케이솔루션</t>
        </is>
      </c>
      <c r="C5272" s="2" t="inlineStr">
        <is>
          <t>코스피</t>
        </is>
      </c>
      <c r="D5272" s="2" t="inlineStr">
        <is>
          <t>480370</t>
        </is>
      </c>
      <c r="E5272" s="3" t="inlineStr">
        <is>
          <t>주주총회소집공고</t>
        </is>
      </c>
      <c r="F5272" s="3" t="inlineStr">
        <is>
          <t>씨케이솔루션</t>
        </is>
      </c>
      <c r="G5272" s="2" t="inlineStr">
        <is>
          <t>20260630000284</t>
        </is>
      </c>
      <c r="H5272" s="8">
        <f>HYPERLINK("https://dart.fss.or.kr/dsaf001/main.do?rcpNo=20260630000284", "공시열람")</f>
        <v/>
      </c>
    </row>
    <row r="5273">
      <c r="A5273" s="2" t="inlineStr">
        <is>
          <t>2026-06-30</t>
        </is>
      </c>
      <c r="B5273" s="3" t="inlineStr">
        <is>
          <t>두올</t>
        </is>
      </c>
      <c r="C5273" s="2" t="inlineStr">
        <is>
          <t>코스피</t>
        </is>
      </c>
      <c r="D5273" s="2" t="inlineStr">
        <is>
          <t>016740</t>
        </is>
      </c>
      <c r="E5273" s="3" t="inlineStr">
        <is>
          <t xml:space="preserve">임시주주총회결과              </t>
        </is>
      </c>
      <c r="F5273" s="3" t="inlineStr">
        <is>
          <t>두올</t>
        </is>
      </c>
      <c r="G5273" s="2" t="inlineStr">
        <is>
          <t>20260630800289</t>
        </is>
      </c>
      <c r="H5273" s="8">
        <f>HYPERLINK("https://dart.fss.or.kr/dsaf001/main.do?rcpNo=20260630800289", "공시열람")</f>
        <v/>
      </c>
    </row>
    <row r="5274">
      <c r="A5274" s="2" t="inlineStr">
        <is>
          <t>2026-06-30</t>
        </is>
      </c>
      <c r="B5274" s="3" t="inlineStr">
        <is>
          <t>페이퍼코리아</t>
        </is>
      </c>
      <c r="C5274" s="2" t="inlineStr">
        <is>
          <t>코스피</t>
        </is>
      </c>
      <c r="D5274" s="2" t="inlineStr">
        <is>
          <t>001020</t>
        </is>
      </c>
      <c r="E5274" s="3" t="inlineStr">
        <is>
          <t xml:space="preserve">임시주주총회결과              </t>
        </is>
      </c>
      <c r="F5274" s="3" t="inlineStr">
        <is>
          <t>페이퍼코리아</t>
        </is>
      </c>
      <c r="G5274" s="2" t="inlineStr">
        <is>
          <t>20260630800254</t>
        </is>
      </c>
      <c r="H5274" s="8">
        <f>HYPERLINK("https://dart.fss.or.kr/dsaf001/main.do?rcpNo=20260630800254", "공시열람")</f>
        <v/>
      </c>
    </row>
    <row r="5275">
      <c r="A5275" s="2" t="inlineStr">
        <is>
          <t>2026-06-30</t>
        </is>
      </c>
      <c r="B5275" s="3" t="inlineStr">
        <is>
          <t>한국캐피탈</t>
        </is>
      </c>
      <c r="C5275" s="2" t="inlineStr">
        <is>
          <t>코스닥</t>
        </is>
      </c>
      <c r="D5275" s="2" t="inlineStr">
        <is>
          <t>023760</t>
        </is>
      </c>
      <c r="E5275" s="3" t="inlineStr">
        <is>
          <t xml:space="preserve">임시주주총회결과              </t>
        </is>
      </c>
      <c r="F5275" s="3" t="inlineStr">
        <is>
          <t>한국캐피탈</t>
        </is>
      </c>
      <c r="G5275" s="2" t="inlineStr">
        <is>
          <t>20260630900269</t>
        </is>
      </c>
      <c r="H5275" s="8">
        <f>HYPERLINK("https://dart.fss.or.kr/dsaf001/main.do?rcpNo=20260630900269", "공시열람")</f>
        <v/>
      </c>
    </row>
    <row r="5276">
      <c r="A5276" s="2" t="inlineStr">
        <is>
          <t>2026-06-30</t>
        </is>
      </c>
      <c r="B5276" s="3" t="inlineStr">
        <is>
          <t>NH투자증권</t>
        </is>
      </c>
      <c r="C5276" s="2" t="inlineStr">
        <is>
          <t>코스피</t>
        </is>
      </c>
      <c r="D5276" s="2" t="inlineStr">
        <is>
          <t>005940</t>
        </is>
      </c>
      <c r="E5276" s="3" t="inlineStr">
        <is>
          <t xml:space="preserve">임시주주총회결과              </t>
        </is>
      </c>
      <c r="F5276" s="3" t="inlineStr">
        <is>
          <t>NH투자증권</t>
        </is>
      </c>
      <c r="G5276" s="2" t="inlineStr">
        <is>
          <t>20260630800232</t>
        </is>
      </c>
      <c r="H5276" s="8">
        <f>HYPERLINK("https://dart.fss.or.kr/dsaf001/main.do?rcpNo=20260630800232", "공시열람")</f>
        <v/>
      </c>
    </row>
    <row r="5277">
      <c r="A5277" s="2" t="inlineStr">
        <is>
          <t>2026-06-30</t>
        </is>
      </c>
      <c r="B5277" s="3" t="inlineStr">
        <is>
          <t>한화</t>
        </is>
      </c>
      <c r="C5277" s="2" t="inlineStr">
        <is>
          <t>코스피</t>
        </is>
      </c>
      <c r="D5277" s="2" t="inlineStr">
        <is>
          <t>000880</t>
        </is>
      </c>
      <c r="E5277" s="3" t="inlineStr">
        <is>
          <t>주주총회소집공고</t>
        </is>
      </c>
      <c r="F5277" s="3" t="inlineStr">
        <is>
          <t>한화</t>
        </is>
      </c>
      <c r="G5277" s="2" t="inlineStr">
        <is>
          <t>20260630000035</t>
        </is>
      </c>
      <c r="H5277" s="8">
        <f>HYPERLINK("https://dart.fss.or.kr/dsaf001/main.do?rcpNo=20260630000035", "공시열람")</f>
        <v/>
      </c>
    </row>
    <row r="5278">
      <c r="A5278" s="2" t="inlineStr">
        <is>
          <t>2026-06-30</t>
        </is>
      </c>
      <c r="B5278" s="3" t="inlineStr">
        <is>
          <t>티디에스팜</t>
        </is>
      </c>
      <c r="C5278" s="2" t="inlineStr">
        <is>
          <t>코스닥</t>
        </is>
      </c>
      <c r="D5278" s="2" t="inlineStr">
        <is>
          <t>464280</t>
        </is>
      </c>
      <c r="E5278" s="3" t="inlineStr">
        <is>
          <t>주주총회소집공고</t>
        </is>
      </c>
      <c r="F5278" s="3" t="inlineStr">
        <is>
          <t>티디에스팜</t>
        </is>
      </c>
      <c r="G5278" s="2" t="inlineStr">
        <is>
          <t>20260630000008</t>
        </is>
      </c>
      <c r="H5278" s="8">
        <f>HYPERLINK("https://dart.fss.or.kr/dsaf001/main.do?rcpNo=20260630000008", "공시열람")</f>
        <v/>
      </c>
    </row>
    <row r="5279">
      <c r="A5279" s="2" t="inlineStr">
        <is>
          <t>2026-07-01</t>
        </is>
      </c>
      <c r="B5279" s="3" t="inlineStr">
        <is>
          <t>휴맥스홀딩스</t>
        </is>
      </c>
      <c r="C5279" s="2" t="inlineStr">
        <is>
          <t>코스닥</t>
        </is>
      </c>
      <c r="D5279" s="2" t="inlineStr">
        <is>
          <t>028080</t>
        </is>
      </c>
      <c r="E5279" s="3" t="inlineStr">
        <is>
          <t>주요사항보고서(회사합병결정)</t>
        </is>
      </c>
      <c r="F5279" s="3" t="inlineStr">
        <is>
          <t>휴맥스홀딩스</t>
        </is>
      </c>
      <c r="G5279" s="2" t="inlineStr">
        <is>
          <t>20260630001117</t>
        </is>
      </c>
      <c r="H5279" s="8">
        <f>HYPERLINK("https://dart.fss.or.kr/dsaf001/main.do?rcpNo=20260630001117", "공시열람")</f>
        <v/>
      </c>
    </row>
  </sheetData>
  <autoFilter ref="A1:H527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928"/>
  <sheetViews>
    <sheetView workbookViewId="0">
      <selection activeCell="A1" sqref="A1"/>
    </sheetView>
  </sheetViews>
  <sheetFormatPr baseColWidth="8" defaultRowHeight="15"/>
  <cols>
    <col width="43.5" customWidth="1" min="1" max="1"/>
    <col width="24" customWidth="1" min="2" max="2"/>
    <col width="10" customWidth="1" min="3" max="3"/>
    <col width="12" customWidth="1" min="4" max="4"/>
    <col width="60" customWidth="1" min="5" max="5"/>
    <col width="58.5" customWidth="1" min="6" max="6"/>
    <col width="24" customWidth="1" min="7" max="7"/>
    <col width="12" customWidth="1" min="8" max="8"/>
  </cols>
  <sheetData>
    <row r="1">
      <c r="A1" s="14" t="inlineStr">
        <is>
          <t>접수일자</t>
        </is>
      </c>
      <c r="B1" s="14" t="inlineStr">
        <is>
          <t>회사명</t>
        </is>
      </c>
      <c r="C1" s="14" t="inlineStr">
        <is>
          <t>시장구분</t>
        </is>
      </c>
      <c r="D1" s="14" t="inlineStr">
        <is>
          <t>종목코드</t>
        </is>
      </c>
      <c r="E1" s="14" t="inlineStr">
        <is>
          <t>공시명</t>
        </is>
      </c>
      <c r="F1" s="14" t="inlineStr">
        <is>
          <t>제출인</t>
        </is>
      </c>
      <c r="G1" s="14" t="inlineStr">
        <is>
          <t>접수번호</t>
        </is>
      </c>
      <c r="H1" s="14" t="inlineStr">
        <is>
          <t>DART링크</t>
        </is>
      </c>
    </row>
    <row r="2">
      <c r="A2" s="2" t="inlineStr">
        <is>
          <t>2025-11-18 (정정: 2025-12-05)</t>
        </is>
      </c>
      <c r="B2" s="3" t="inlineStr">
        <is>
          <t>에이플러스에셋</t>
        </is>
      </c>
      <c r="C2" s="2" t="inlineStr">
        <is>
          <t>코스피</t>
        </is>
      </c>
      <c r="D2" s="2" t="inlineStr">
        <is>
          <t>244920</t>
        </is>
      </c>
      <c r="E2" s="3" t="inlineStr">
        <is>
          <t>공개매수설명서 (정정: 20251205) (정정: 20251205)</t>
        </is>
      </c>
      <c r="F2" s="3" t="inlineStr">
        <is>
          <t>얼라인파트너스자산운용</t>
        </is>
      </c>
      <c r="G2" s="2" t="inlineStr">
        <is>
          <t>20251205000533</t>
        </is>
      </c>
      <c r="H2" s="8">
        <f>HYPERLINK("https://dart.fss.or.kr/dsaf001/main.do?rcpNo=20251205000533", "공시열람")</f>
        <v/>
      </c>
    </row>
    <row r="3">
      <c r="A3" s="2" t="inlineStr">
        <is>
          <t>2025-11-18</t>
        </is>
      </c>
      <c r="B3" s="3" t="inlineStr">
        <is>
          <t>에이플러스에셋</t>
        </is>
      </c>
      <c r="C3" s="2" t="inlineStr">
        <is>
          <t>코스피</t>
        </is>
      </c>
      <c r="D3" s="2" t="inlineStr">
        <is>
          <t>244920</t>
        </is>
      </c>
      <c r="E3" s="3" t="inlineStr">
        <is>
          <t>공개매수신고서</t>
        </is>
      </c>
      <c r="F3" s="3" t="inlineStr">
        <is>
          <t>얼라인파트너스자산운용</t>
        </is>
      </c>
      <c r="G3" s="2" t="inlineStr">
        <is>
          <t>20251118000006</t>
        </is>
      </c>
      <c r="H3" s="8">
        <f>HYPERLINK("https://dart.fss.or.kr/dsaf001/main.do?rcpNo=20251118000006", "공시열람")</f>
        <v/>
      </c>
    </row>
    <row r="4">
      <c r="A4" s="2" t="inlineStr">
        <is>
          <t>2025-11-25</t>
        </is>
      </c>
      <c r="B4" s="3" t="inlineStr">
        <is>
          <t>가비아</t>
        </is>
      </c>
      <c r="C4" s="2" t="inlineStr">
        <is>
          <t>코스닥</t>
        </is>
      </c>
      <c r="D4" s="2" t="inlineStr">
        <is>
          <t>079940</t>
        </is>
      </c>
      <c r="E4" s="3" t="inlineStr">
        <is>
          <t>공개매수설명서</t>
        </is>
      </c>
      <c r="F4" s="3" t="inlineStr">
        <is>
          <t>얼라인파트너스자산운용</t>
        </is>
      </c>
      <c r="G4" s="2" t="inlineStr">
        <is>
          <t>20251125000002</t>
        </is>
      </c>
      <c r="H4" s="8">
        <f>HYPERLINK("https://dart.fss.or.kr/dsaf001/main.do?rcpNo=20251125000002", "공시열람")</f>
        <v/>
      </c>
    </row>
    <row r="5">
      <c r="A5" s="2" t="inlineStr">
        <is>
          <t>2025-11-25</t>
        </is>
      </c>
      <c r="B5" s="3" t="inlineStr">
        <is>
          <t>가비아</t>
        </is>
      </c>
      <c r="C5" s="2" t="inlineStr">
        <is>
          <t>코스닥</t>
        </is>
      </c>
      <c r="D5" s="2" t="inlineStr">
        <is>
          <t>079940</t>
        </is>
      </c>
      <c r="E5" s="3" t="inlineStr">
        <is>
          <t>공개매수신고서</t>
        </is>
      </c>
      <c r="F5" s="3" t="inlineStr">
        <is>
          <t>얼라인파트너스자산운용</t>
        </is>
      </c>
      <c r="G5" s="2" t="inlineStr">
        <is>
          <t>20251125000001</t>
        </is>
      </c>
      <c r="H5" s="8">
        <f>HYPERLINK("https://dart.fss.or.kr/dsaf001/main.do?rcpNo=20251125000001", "공시열람")</f>
        <v/>
      </c>
    </row>
    <row r="6">
      <c r="A6" s="2" t="inlineStr">
        <is>
          <t>2025-12-08</t>
        </is>
      </c>
      <c r="B6" s="3" t="inlineStr">
        <is>
          <t>에이플러스에셋</t>
        </is>
      </c>
      <c r="C6" s="2" t="inlineStr">
        <is>
          <t>코스피</t>
        </is>
      </c>
      <c r="D6" s="2" t="inlineStr">
        <is>
          <t>244920</t>
        </is>
      </c>
      <c r="E6" s="3" t="inlineStr">
        <is>
          <t>[첨부정정]공개매수신고서</t>
        </is>
      </c>
      <c r="F6" s="3" t="inlineStr">
        <is>
          <t>얼라인파트너스자산운용</t>
        </is>
      </c>
      <c r="G6" s="2" t="inlineStr">
        <is>
          <t>20251208000004</t>
        </is>
      </c>
      <c r="H6" s="8">
        <f>HYPERLINK("https://dart.fss.or.kr/dsaf001/main.do?rcpNo=20251208000004", "공시열람")</f>
        <v/>
      </c>
    </row>
    <row r="7">
      <c r="A7" s="2" t="inlineStr">
        <is>
          <t>2025-12-12</t>
        </is>
      </c>
      <c r="B7" s="3" t="inlineStr">
        <is>
          <t>로스웰</t>
        </is>
      </c>
      <c r="C7" s="2" t="inlineStr">
        <is>
          <t>코스닥</t>
        </is>
      </c>
      <c r="D7" s="2" t="inlineStr">
        <is>
          <t>900260</t>
        </is>
      </c>
      <c r="E7" s="3" t="inlineStr">
        <is>
          <t>공개매수설명서</t>
        </is>
      </c>
      <c r="F7" s="3" t="inlineStr">
        <is>
          <t>트릴리온럭그룹리미티드</t>
        </is>
      </c>
      <c r="G7" s="2" t="inlineStr">
        <is>
          <t>20251212000002</t>
        </is>
      </c>
      <c r="H7" s="8">
        <f>HYPERLINK("https://dart.fss.or.kr/dsaf001/main.do?rcpNo=20251212000002", "공시열람")</f>
        <v/>
      </c>
    </row>
    <row r="8">
      <c r="A8" s="2" t="inlineStr">
        <is>
          <t>2025-12-12</t>
        </is>
      </c>
      <c r="B8" s="3" t="inlineStr">
        <is>
          <t>로스웰</t>
        </is>
      </c>
      <c r="C8" s="2" t="inlineStr">
        <is>
          <t>코스닥</t>
        </is>
      </c>
      <c r="D8" s="2" t="inlineStr">
        <is>
          <t>900260</t>
        </is>
      </c>
      <c r="E8" s="3" t="inlineStr">
        <is>
          <t>공개매수신고서</t>
        </is>
      </c>
      <c r="F8" s="3" t="inlineStr">
        <is>
          <t>트릴리온럭그룹리미티드</t>
        </is>
      </c>
      <c r="G8" s="2" t="inlineStr">
        <is>
          <t>20251212000001</t>
        </is>
      </c>
      <c r="H8" s="8">
        <f>HYPERLINK("https://dart.fss.or.kr/dsaf001/main.do?rcpNo=20251212000001", "공시열람")</f>
        <v/>
      </c>
    </row>
    <row r="9">
      <c r="A9" s="2" t="inlineStr">
        <is>
          <t>2025-12-15</t>
        </is>
      </c>
      <c r="B9" s="3" t="inlineStr">
        <is>
          <t>신세계푸드</t>
        </is>
      </c>
      <c r="C9" s="2" t="inlineStr">
        <is>
          <t>코스피</t>
        </is>
      </c>
      <c r="D9" s="2" t="inlineStr">
        <is>
          <t>031440</t>
        </is>
      </c>
      <c r="E9" s="3" t="inlineStr">
        <is>
          <t>공개매수설명서</t>
        </is>
      </c>
      <c r="F9" s="3" t="inlineStr">
        <is>
          <t>이마트</t>
        </is>
      </c>
      <c r="G9" s="2" t="inlineStr">
        <is>
          <t>20251215000003</t>
        </is>
      </c>
      <c r="H9" s="8">
        <f>HYPERLINK("https://dart.fss.or.kr/dsaf001/main.do?rcpNo=20251215000003", "공시열람")</f>
        <v/>
      </c>
    </row>
    <row r="10">
      <c r="A10" s="2" t="inlineStr">
        <is>
          <t>2025-12-15</t>
        </is>
      </c>
      <c r="B10" s="3" t="inlineStr">
        <is>
          <t>신세계푸드</t>
        </is>
      </c>
      <c r="C10" s="2" t="inlineStr">
        <is>
          <t>코스피</t>
        </is>
      </c>
      <c r="D10" s="2" t="inlineStr">
        <is>
          <t>031440</t>
        </is>
      </c>
      <c r="E10" s="3" t="inlineStr">
        <is>
          <t>공개매수신고서</t>
        </is>
      </c>
      <c r="F10" s="3" t="inlineStr">
        <is>
          <t>이마트</t>
        </is>
      </c>
      <c r="G10" s="2" t="inlineStr">
        <is>
          <t>20251215000002</t>
        </is>
      </c>
      <c r="H10" s="8">
        <f>HYPERLINK("https://dart.fss.or.kr/dsaf001/main.do?rcpNo=20251215000002", "공시열람")</f>
        <v/>
      </c>
    </row>
    <row r="11">
      <c r="A11" s="2" t="inlineStr">
        <is>
          <t>2025-12-16</t>
        </is>
      </c>
      <c r="B11" s="3" t="inlineStr">
        <is>
          <t>가비아</t>
        </is>
      </c>
      <c r="C11" s="2" t="inlineStr">
        <is>
          <t>코스닥</t>
        </is>
      </c>
      <c r="D11" s="2" t="inlineStr">
        <is>
          <t>079940</t>
        </is>
      </c>
      <c r="E11" s="3" t="inlineStr">
        <is>
          <t>공개매수결과보고서</t>
        </is>
      </c>
      <c r="F11" s="3" t="inlineStr">
        <is>
          <t>얼라인파트너스자산운용</t>
        </is>
      </c>
      <c r="G11" s="2" t="inlineStr">
        <is>
          <t>20251216000026</t>
        </is>
      </c>
      <c r="H11" s="8">
        <f>HYPERLINK("https://dart.fss.or.kr/dsaf001/main.do?rcpNo=20251216000026", "공시열람")</f>
        <v/>
      </c>
    </row>
    <row r="12">
      <c r="A12" s="2" t="inlineStr">
        <is>
          <t>2025-12-17</t>
        </is>
      </c>
      <c r="B12" s="3" t="inlineStr">
        <is>
          <t>에이플러스에셋</t>
        </is>
      </c>
      <c r="C12" s="2" t="inlineStr">
        <is>
          <t>코스피</t>
        </is>
      </c>
      <c r="D12" s="2" t="inlineStr">
        <is>
          <t>244920</t>
        </is>
      </c>
      <c r="E12" s="3" t="inlineStr">
        <is>
          <t>공개매수결과보고서</t>
        </is>
      </c>
      <c r="F12" s="3" t="inlineStr">
        <is>
          <t>얼라인파트너스자산운용</t>
        </is>
      </c>
      <c r="G12" s="2" t="inlineStr">
        <is>
          <t>20251217000053</t>
        </is>
      </c>
      <c r="H12" s="8">
        <f>HYPERLINK("https://dart.fss.or.kr/dsaf001/main.do?rcpNo=20251217000053", "공시열람")</f>
        <v/>
      </c>
    </row>
    <row r="13">
      <c r="A13" s="2" t="inlineStr">
        <is>
          <t>2025-12-30 (정정: 2026-03-10)</t>
        </is>
      </c>
      <c r="B13" s="3" t="inlineStr">
        <is>
          <t>SK디앤디</t>
        </is>
      </c>
      <c r="C13" s="2" t="inlineStr">
        <is>
          <t>코스피</t>
        </is>
      </c>
      <c r="D13" s="2" t="inlineStr">
        <is>
          <t>210980</t>
        </is>
      </c>
      <c r="E13" s="3" t="inlineStr">
        <is>
          <t>공개매수결과보고서 (정정: 20260310)</t>
        </is>
      </c>
      <c r="F13" s="3" t="inlineStr">
        <is>
          <t>한앤코개발홀딩스</t>
        </is>
      </c>
      <c r="G13" s="2" t="inlineStr">
        <is>
          <t>20260310002842</t>
        </is>
      </c>
      <c r="H13" s="8">
        <f>HYPERLINK("https://dart.fss.or.kr/dsaf001/main.do?rcpNo=20260310002842", "공시열람")</f>
        <v/>
      </c>
    </row>
    <row r="14">
      <c r="A14" s="2" t="inlineStr">
        <is>
          <t>2026-01-02</t>
        </is>
      </c>
      <c r="B14" s="3" t="inlineStr">
        <is>
          <t>에코마케팅</t>
        </is>
      </c>
      <c r="C14" s="2" t="inlineStr">
        <is>
          <t>코스닥</t>
        </is>
      </c>
      <c r="D14" s="2" t="inlineStr">
        <is>
          <t>230360</t>
        </is>
      </c>
      <c r="E14" s="3" t="inlineStr">
        <is>
          <t>공개매수설명서</t>
        </is>
      </c>
      <c r="F14" s="3" t="inlineStr">
        <is>
          <t>비씨피이이에이비드코원</t>
        </is>
      </c>
      <c r="G14" s="2" t="inlineStr">
        <is>
          <t>20260102000003</t>
        </is>
      </c>
      <c r="H14" s="8">
        <f>HYPERLINK("https://dart.fss.or.kr/dsaf001/main.do?rcpNo=20260102000003", "공시열람")</f>
        <v/>
      </c>
    </row>
    <row r="15">
      <c r="A15" s="2" t="inlineStr">
        <is>
          <t>2026-01-02</t>
        </is>
      </c>
      <c r="B15" s="3" t="inlineStr">
        <is>
          <t>에코마케팅</t>
        </is>
      </c>
      <c r="C15" s="2" t="inlineStr">
        <is>
          <t>코스닥</t>
        </is>
      </c>
      <c r="D15" s="2" t="inlineStr">
        <is>
          <t>230360</t>
        </is>
      </c>
      <c r="E15" s="3" t="inlineStr">
        <is>
          <t>공개매수신고서</t>
        </is>
      </c>
      <c r="F15" s="3" t="inlineStr">
        <is>
          <t>비씨피이이에이비드코원</t>
        </is>
      </c>
      <c r="G15" s="2" t="inlineStr">
        <is>
          <t>20260102000001</t>
        </is>
      </c>
      <c r="H15" s="8">
        <f>HYPERLINK("https://dart.fss.or.kr/dsaf001/main.do?rcpNo=20260102000001", "공시열람")</f>
        <v/>
      </c>
    </row>
    <row r="16">
      <c r="A16" s="2" t="inlineStr">
        <is>
          <t>2026-01-07</t>
        </is>
      </c>
      <c r="B16" s="3" t="inlineStr">
        <is>
          <t>신세계푸드</t>
        </is>
      </c>
      <c r="C16" s="2" t="inlineStr">
        <is>
          <t>코스피</t>
        </is>
      </c>
      <c r="D16" s="2" t="inlineStr">
        <is>
          <t>031440</t>
        </is>
      </c>
      <c r="E16" s="3" t="inlineStr">
        <is>
          <t>공개매수결과보고서</t>
        </is>
      </c>
      <c r="F16" s="3" t="inlineStr">
        <is>
          <t>이마트</t>
        </is>
      </c>
      <c r="G16" s="2" t="inlineStr">
        <is>
          <t>20260107000341</t>
        </is>
      </c>
      <c r="H16" s="8">
        <f>HYPERLINK("https://dart.fss.or.kr/dsaf001/main.do?rcpNo=20260107000341", "공시열람")</f>
        <v/>
      </c>
    </row>
    <row r="17">
      <c r="A17" s="2" t="inlineStr">
        <is>
          <t>2026-01-13</t>
        </is>
      </c>
      <c r="B17" s="3" t="inlineStr">
        <is>
          <t>로스웰</t>
        </is>
      </c>
      <c r="C17" s="2" t="inlineStr">
        <is>
          <t>코스닥</t>
        </is>
      </c>
      <c r="D17" s="2" t="inlineStr">
        <is>
          <t>900260</t>
        </is>
      </c>
      <c r="E17" s="3" t="inlineStr">
        <is>
          <t>공개매수결과보고서</t>
        </is>
      </c>
      <c r="F17" s="3" t="inlineStr">
        <is>
          <t>트릴리온럭그룹리미티드</t>
        </is>
      </c>
      <c r="G17" s="2" t="inlineStr">
        <is>
          <t>20260113000397</t>
        </is>
      </c>
      <c r="H17" s="8">
        <f>HYPERLINK("https://dart.fss.or.kr/dsaf001/main.do?rcpNo=20260113000397", "공시열람")</f>
        <v/>
      </c>
    </row>
    <row r="18">
      <c r="A18" s="2" t="inlineStr">
        <is>
          <t>2026-01-19</t>
        </is>
      </c>
      <c r="B18" s="3" t="inlineStr">
        <is>
          <t>판타지오</t>
        </is>
      </c>
      <c r="C18" s="2" t="inlineStr">
        <is>
          <t>코스닥</t>
        </is>
      </c>
      <c r="D18" s="2" t="inlineStr">
        <is>
          <t>032800</t>
        </is>
      </c>
      <c r="E18" s="3" t="inlineStr">
        <is>
          <t>전환가액의조정              (제7회차)</t>
        </is>
      </c>
      <c r="F18" s="3" t="inlineStr">
        <is>
          <t>판타지오</t>
        </is>
      </c>
      <c r="G18" s="2" t="inlineStr">
        <is>
          <t>20260119900984</t>
        </is>
      </c>
      <c r="H18" s="8">
        <f>HYPERLINK("https://dart.fss.or.kr/dsaf001/main.do?rcpNo=20260119900984", "공시열람")</f>
        <v/>
      </c>
    </row>
    <row r="19">
      <c r="A19" s="2" t="inlineStr">
        <is>
          <t>2026-01-19</t>
        </is>
      </c>
      <c r="B19" s="3" t="inlineStr">
        <is>
          <t>덕양에너젠</t>
        </is>
      </c>
      <c r="C19" s="2" t="inlineStr">
        <is>
          <t>코스닥</t>
        </is>
      </c>
      <c r="D19" s="2" t="inlineStr">
        <is>
          <t>0001A0</t>
        </is>
      </c>
      <c r="E19" s="3" t="inlineStr">
        <is>
          <t>[발행조건확정]증권신고서(지분증권)</t>
        </is>
      </c>
      <c r="F19" s="3" t="inlineStr">
        <is>
          <t>덕양에너젠</t>
        </is>
      </c>
      <c r="G19" s="2" t="inlineStr">
        <is>
          <t>20260119000297</t>
        </is>
      </c>
      <c r="H19" s="8">
        <f>HYPERLINK("https://dart.fss.or.kr/dsaf001/main.do?rcpNo=20260119000297", "공시열람")</f>
        <v/>
      </c>
    </row>
    <row r="20">
      <c r="A20" s="2" t="inlineStr">
        <is>
          <t>2026-01-19 (정정: 2026-02-02)</t>
        </is>
      </c>
      <c r="B20" s="3" t="inlineStr">
        <is>
          <t>슈프리마에이치큐</t>
        </is>
      </c>
      <c r="C20" s="2" t="inlineStr">
        <is>
          <t>코스닥</t>
        </is>
      </c>
      <c r="D20" s="2" t="inlineStr">
        <is>
          <t>094840</t>
        </is>
      </c>
      <c r="E20" s="3" t="inlineStr">
        <is>
          <t>정정명령부과( 2026.01.16. 제출 주요사항보고서(자기주식 처분 결정) ) (정정: 20260202)</t>
        </is>
      </c>
      <c r="F20" s="3" t="inlineStr">
        <is>
          <t>금융감독원</t>
        </is>
      </c>
      <c r="G20" s="2" t="inlineStr">
        <is>
          <t>20260202001274</t>
        </is>
      </c>
      <c r="H20" s="8">
        <f>HYPERLINK("https://dart.fss.or.kr/dsaf001/main.do?rcpNo=20260202001274", "공시열람")</f>
        <v/>
      </c>
    </row>
    <row r="21">
      <c r="A21" s="2" t="inlineStr">
        <is>
          <t>2026-01-19</t>
        </is>
      </c>
      <c r="B21" s="3" t="inlineStr">
        <is>
          <t>종근당홀딩스</t>
        </is>
      </c>
      <c r="C21" s="2" t="inlineStr">
        <is>
          <t>코스피</t>
        </is>
      </c>
      <c r="D21" s="2" t="inlineStr">
        <is>
          <t>001630</t>
        </is>
      </c>
      <c r="E21" s="3" t="inlineStr">
        <is>
          <t xml:space="preserve">투자판단관련주요경영사항(자회사의 주요경영사항)              </t>
        </is>
      </c>
      <c r="F21" s="3" t="inlineStr">
        <is>
          <t>종근당홀딩스</t>
        </is>
      </c>
      <c r="G21" s="2" t="inlineStr">
        <is>
          <t>20260119800979</t>
        </is>
      </c>
      <c r="H21" s="8">
        <f>HYPERLINK("https://dart.fss.or.kr/dsaf001/main.do?rcpNo=20260119800979", "공시열람")</f>
        <v/>
      </c>
    </row>
    <row r="22">
      <c r="A22" s="2" t="inlineStr">
        <is>
          <t>2026-01-19 (정정: 2026-03-10)</t>
        </is>
      </c>
      <c r="B22" s="3" t="inlineStr">
        <is>
          <t>아이톡시</t>
        </is>
      </c>
      <c r="C22" s="2" t="inlineStr">
        <is>
          <t>코스닥</t>
        </is>
      </c>
      <c r="D22" s="2" t="inlineStr">
        <is>
          <t>052770</t>
        </is>
      </c>
      <c r="E22" s="3" t="inlineStr">
        <is>
          <t>불성실공시법인지정              (공시불이행 1건, 공시번복 1건) (정정: 20260310)</t>
        </is>
      </c>
      <c r="F22" s="3" t="inlineStr">
        <is>
          <t>코스닥시장본부</t>
        </is>
      </c>
      <c r="G22" s="2" t="inlineStr">
        <is>
          <t>20260310002226</t>
        </is>
      </c>
      <c r="H22" s="8">
        <f>HYPERLINK("https://dart.fss.or.kr/dsaf001/main.do?rcpNo=20260310002226", "공시열람")</f>
        <v/>
      </c>
    </row>
    <row r="23">
      <c r="A23" s="2" t="inlineStr">
        <is>
          <t>2026-01-19</t>
        </is>
      </c>
      <c r="B23" s="3" t="inlineStr">
        <is>
          <t>종근당바이오</t>
        </is>
      </c>
      <c r="C23" s="2" t="inlineStr">
        <is>
          <t>코스피</t>
        </is>
      </c>
      <c r="D23" s="2" t="inlineStr">
        <is>
          <t>063160</t>
        </is>
      </c>
      <c r="E23" s="3" t="inlineStr">
        <is>
          <t xml:space="preserve">투자판단관련주요경영사항              </t>
        </is>
      </c>
      <c r="F23" s="3" t="inlineStr">
        <is>
          <t>종근당바이오</t>
        </is>
      </c>
      <c r="G23" s="2" t="inlineStr">
        <is>
          <t>20260119800976</t>
        </is>
      </c>
      <c r="H23" s="8">
        <f>HYPERLINK("https://dart.fss.or.kr/dsaf001/main.do?rcpNo=20260119800976", "공시열람")</f>
        <v/>
      </c>
    </row>
    <row r="24">
      <c r="A24" s="2" t="inlineStr">
        <is>
          <t>2026-01-19</t>
        </is>
      </c>
      <c r="B24" s="3" t="inlineStr">
        <is>
          <t>와이씨켐</t>
        </is>
      </c>
      <c r="C24" s="2" t="inlineStr">
        <is>
          <t>코스닥</t>
        </is>
      </c>
      <c r="D24" s="2" t="inlineStr">
        <is>
          <t>112290</t>
        </is>
      </c>
      <c r="E24" s="3" t="inlineStr">
        <is>
          <t>기타경영사항(자율공시)              (자기사채 (제6회차 CB) 소각 결정)</t>
        </is>
      </c>
      <c r="F24" s="3" t="inlineStr">
        <is>
          <t>와이씨켐</t>
        </is>
      </c>
      <c r="G24" s="2" t="inlineStr">
        <is>
          <t>20260119900973</t>
        </is>
      </c>
      <c r="H24" s="8">
        <f>HYPERLINK("https://dart.fss.or.kr/dsaf001/main.do?rcpNo=20260119900973", "공시열람")</f>
        <v/>
      </c>
    </row>
    <row r="25">
      <c r="A25" s="2" t="inlineStr">
        <is>
          <t>2026-01-19</t>
        </is>
      </c>
      <c r="B25" s="3" t="inlineStr">
        <is>
          <t>와이씨켐</t>
        </is>
      </c>
      <c r="C25" s="2" t="inlineStr">
        <is>
          <t>코스닥</t>
        </is>
      </c>
      <c r="D25" s="2" t="inlineStr">
        <is>
          <t>112290</t>
        </is>
      </c>
      <c r="E25" s="3" t="inlineStr">
        <is>
          <t>주요사항보고서(자기전환사채만기전취득결정)</t>
        </is>
      </c>
      <c r="F25" s="3" t="inlineStr">
        <is>
          <t>와이씨켐</t>
        </is>
      </c>
      <c r="G25" s="2" t="inlineStr">
        <is>
          <t>20260119000289</t>
        </is>
      </c>
      <c r="H25" s="8">
        <f>HYPERLINK("https://dart.fss.or.kr/dsaf001/main.do?rcpNo=20260119000289", "공시열람")</f>
        <v/>
      </c>
    </row>
    <row r="26">
      <c r="A26" s="2" t="inlineStr">
        <is>
          <t>2026-01-19 (정정: 2026-03-03)</t>
        </is>
      </c>
      <c r="B26" s="3" t="inlineStr">
        <is>
          <t>에스팀</t>
        </is>
      </c>
      <c r="C26" s="2" t="inlineStr">
        <is>
          <t>코스닥</t>
        </is>
      </c>
      <c r="D26" s="2" t="inlineStr">
        <is>
          <t>458350</t>
        </is>
      </c>
      <c r="E26" s="3" t="inlineStr">
        <is>
          <t>증권신고서(지분증권) (정정: 20260303)</t>
        </is>
      </c>
      <c r="F26" s="3" t="inlineStr">
        <is>
          <t>에스팀</t>
        </is>
      </c>
      <c r="G26" s="2" t="inlineStr">
        <is>
          <t>20260303002175</t>
        </is>
      </c>
      <c r="H26" s="8">
        <f>HYPERLINK("https://dart.fss.or.kr/dsaf001/main.do?rcpNo=20260303002175", "공시열람")</f>
        <v/>
      </c>
    </row>
    <row r="27">
      <c r="A27" s="2" t="inlineStr">
        <is>
          <t>2026-01-19</t>
        </is>
      </c>
      <c r="B27" s="3" t="inlineStr">
        <is>
          <t>DMS</t>
        </is>
      </c>
      <c r="C27" s="2" t="inlineStr">
        <is>
          <t>코스닥</t>
        </is>
      </c>
      <c r="D27" s="2" t="inlineStr">
        <is>
          <t>068790</t>
        </is>
      </c>
      <c r="E27" s="3" t="inlineStr">
        <is>
          <t>기타시장안내              (상장적격성 실질심사 대상결정 기한 안내)</t>
        </is>
      </c>
      <c r="F27" s="3" t="inlineStr">
        <is>
          <t>코스닥시장본부</t>
        </is>
      </c>
      <c r="G27" s="2" t="inlineStr">
        <is>
          <t>20260119900974</t>
        </is>
      </c>
      <c r="H27" s="8">
        <f>HYPERLINK("https://dart.fss.or.kr/dsaf001/main.do?rcpNo=20260119900974", "공시열람")</f>
        <v/>
      </c>
    </row>
    <row r="28">
      <c r="A28" s="2" t="inlineStr">
        <is>
          <t>2026-01-19</t>
        </is>
      </c>
      <c r="B28" s="3" t="inlineStr">
        <is>
          <t>DMS</t>
        </is>
      </c>
      <c r="C28" s="2" t="inlineStr">
        <is>
          <t>코스닥</t>
        </is>
      </c>
      <c r="D28" s="2" t="inlineStr">
        <is>
          <t>068790</t>
        </is>
      </c>
      <c r="E28" s="3" t="inlineStr">
        <is>
          <t>주권매매거래정지기간변경              (상장폐지 사유 해소)</t>
        </is>
      </c>
      <c r="F28" s="3" t="inlineStr">
        <is>
          <t>코스닥시장본부</t>
        </is>
      </c>
      <c r="G28" s="2" t="inlineStr">
        <is>
          <t>20260119900946</t>
        </is>
      </c>
      <c r="H28" s="8">
        <f>HYPERLINK("https://dart.fss.or.kr/dsaf001/main.do?rcpNo=20260119900946", "공시열람")</f>
        <v/>
      </c>
    </row>
    <row r="29">
      <c r="A29" s="2" t="inlineStr">
        <is>
          <t>2026-01-19</t>
        </is>
      </c>
      <c r="B29" s="3" t="inlineStr">
        <is>
          <t>DMS</t>
        </is>
      </c>
      <c r="C29" s="2" t="inlineStr">
        <is>
          <t>코스닥</t>
        </is>
      </c>
      <c r="D29" s="2" t="inlineStr">
        <is>
          <t>068790</t>
        </is>
      </c>
      <c r="E29" s="3" t="inlineStr">
        <is>
          <t>기타시장안내              (형식적 상장폐지 사유 해소 및 매매거래정지 지속 안내)</t>
        </is>
      </c>
      <c r="F29" s="3" t="inlineStr">
        <is>
          <t>코스닥시장본부</t>
        </is>
      </c>
      <c r="G29" s="2" t="inlineStr">
        <is>
          <t>20260119900939</t>
        </is>
      </c>
      <c r="H29" s="8">
        <f>HYPERLINK("https://dart.fss.or.kr/dsaf001/main.do?rcpNo=20260119900939", "공시열람")</f>
        <v/>
      </c>
    </row>
    <row r="30">
      <c r="A30" s="2" t="inlineStr">
        <is>
          <t>2026-01-19 (정정: 2026-01-19)</t>
        </is>
      </c>
      <c r="B30" s="3" t="inlineStr">
        <is>
          <t>디와이에이</t>
        </is>
      </c>
      <c r="C30" s="2" t="inlineStr">
        <is>
          <t>코스피</t>
        </is>
      </c>
      <c r="D30" s="2" t="inlineStr">
        <is>
          <t>002880</t>
        </is>
      </c>
      <c r="E30" s="3" t="inlineStr">
        <is>
          <t>[기재정정]소송등의제기ㆍ신청(일정금액이상의청구)               (정정: 20260119)</t>
        </is>
      </c>
      <c r="F30" s="3" t="inlineStr">
        <is>
          <t>디와이에이</t>
        </is>
      </c>
      <c r="G30" s="2" t="inlineStr">
        <is>
          <t>20260119800758</t>
        </is>
      </c>
      <c r="H30" s="8">
        <f>HYPERLINK("https://dart.fss.or.kr/dsaf001/main.do?rcpNo=20260119800758", "공시열람")</f>
        <v/>
      </c>
    </row>
    <row r="31">
      <c r="A31" s="2" t="inlineStr">
        <is>
          <t>2026-01-19</t>
        </is>
      </c>
      <c r="B31" s="3" t="inlineStr">
        <is>
          <t>HJ중공업</t>
        </is>
      </c>
      <c r="C31" s="2" t="inlineStr">
        <is>
          <t>코스피</t>
        </is>
      </c>
      <c r="D31" s="2" t="inlineStr">
        <is>
          <t>097230</t>
        </is>
      </c>
      <c r="E31" s="3" t="inlineStr">
        <is>
          <t xml:space="preserve">중대재해발생              </t>
        </is>
      </c>
      <c r="F31" s="3" t="inlineStr">
        <is>
          <t>HJ중공업</t>
        </is>
      </c>
      <c r="G31" s="2" t="inlineStr">
        <is>
          <t>20260119800952</t>
        </is>
      </c>
      <c r="H31" s="8">
        <f>HYPERLINK("https://dart.fss.or.kr/dsaf001/main.do?rcpNo=20260119800952", "공시열람")</f>
        <v/>
      </c>
    </row>
    <row r="32">
      <c r="A32" s="2" t="inlineStr">
        <is>
          <t>2026-01-19</t>
        </is>
      </c>
      <c r="B32" s="3" t="inlineStr">
        <is>
          <t>SK가스</t>
        </is>
      </c>
      <c r="C32" s="2" t="inlineStr">
        <is>
          <t>코스피</t>
        </is>
      </c>
      <c r="D32" s="2" t="inlineStr">
        <is>
          <t>018670</t>
        </is>
      </c>
      <c r="E32" s="3" t="inlineStr">
        <is>
          <t>증권신고서(채무증권)</t>
        </is>
      </c>
      <c r="F32" s="3" t="inlineStr">
        <is>
          <t>SK가스</t>
        </is>
      </c>
      <c r="G32" s="2" t="inlineStr">
        <is>
          <t>20260119000284</t>
        </is>
      </c>
      <c r="H32" s="8">
        <f>HYPERLINK("https://dart.fss.or.kr/dsaf001/main.do?rcpNo=20260119000284", "공시열람")</f>
        <v/>
      </c>
    </row>
    <row r="33">
      <c r="A33" s="2" t="inlineStr">
        <is>
          <t>2026-01-19</t>
        </is>
      </c>
      <c r="B33" s="3" t="inlineStr">
        <is>
          <t>가온그룹</t>
        </is>
      </c>
      <c r="C33" s="2" t="inlineStr">
        <is>
          <t>코스닥</t>
        </is>
      </c>
      <c r="D33" s="2" t="inlineStr">
        <is>
          <t>078890</t>
        </is>
      </c>
      <c r="E33" s="3" t="inlineStr">
        <is>
          <t xml:space="preserve">전환청구권행사              </t>
        </is>
      </c>
      <c r="F33" s="3" t="inlineStr">
        <is>
          <t>가온그룹</t>
        </is>
      </c>
      <c r="G33" s="2" t="inlineStr">
        <is>
          <t>20260119900958</t>
        </is>
      </c>
      <c r="H33" s="8">
        <f>HYPERLINK("https://dart.fss.or.kr/dsaf001/main.do?rcpNo=20260119900958", "공시열람")</f>
        <v/>
      </c>
    </row>
    <row r="34">
      <c r="A34" s="2" t="inlineStr">
        <is>
          <t>2026-01-19</t>
        </is>
      </c>
      <c r="B34" s="3" t="inlineStr">
        <is>
          <t>롯데리츠</t>
        </is>
      </c>
      <c r="C34" s="2" t="inlineStr">
        <is>
          <t>코스피</t>
        </is>
      </c>
      <c r="D34" s="2" t="inlineStr">
        <is>
          <t>330590</t>
        </is>
      </c>
      <c r="E34" s="3" t="inlineStr">
        <is>
          <t xml:space="preserve">부동산투자회사자산보관위탁계약변경              </t>
        </is>
      </c>
      <c r="F34" s="3" t="inlineStr">
        <is>
          <t>롯데리츠</t>
        </is>
      </c>
      <c r="G34" s="2" t="inlineStr">
        <is>
          <t>20260119800920</t>
        </is>
      </c>
      <c r="H34" s="8">
        <f>HYPERLINK("https://dart.fss.or.kr/dsaf001/main.do?rcpNo=20260119800920", "공시열람")</f>
        <v/>
      </c>
    </row>
    <row r="35">
      <c r="A35" s="2" t="inlineStr">
        <is>
          <t>2026-01-19</t>
        </is>
      </c>
      <c r="B35" s="3" t="inlineStr">
        <is>
          <t>현대건설</t>
        </is>
      </c>
      <c r="C35" s="2" t="inlineStr">
        <is>
          <t>코스피</t>
        </is>
      </c>
      <c r="D35" s="2" t="inlineStr">
        <is>
          <t>000720</t>
        </is>
      </c>
      <c r="E35" s="3" t="inlineStr">
        <is>
          <t>증권신고서(채무증권)</t>
        </is>
      </c>
      <c r="F35" s="3" t="inlineStr">
        <is>
          <t>현대건설</t>
        </is>
      </c>
      <c r="G35" s="2" t="inlineStr">
        <is>
          <t>20260119000279</t>
        </is>
      </c>
      <c r="H35" s="8">
        <f>HYPERLINK("https://dart.fss.or.kr/dsaf001/main.do?rcpNo=20260119000279", "공시열람")</f>
        <v/>
      </c>
    </row>
    <row r="36">
      <c r="A36" s="2" t="inlineStr">
        <is>
          <t>2026-01-19</t>
        </is>
      </c>
      <c r="B36" s="3" t="inlineStr">
        <is>
          <t>롯데리츠</t>
        </is>
      </c>
      <c r="C36" s="2" t="inlineStr">
        <is>
          <t>코스피</t>
        </is>
      </c>
      <c r="D36" s="2" t="inlineStr">
        <is>
          <t>330590</t>
        </is>
      </c>
      <c r="E36" s="3" t="inlineStr">
        <is>
          <t xml:space="preserve">부동산투자회사자산보관위탁계약변경              </t>
        </is>
      </c>
      <c r="F36" s="3" t="inlineStr">
        <is>
          <t>롯데리츠</t>
        </is>
      </c>
      <c r="G36" s="2" t="inlineStr">
        <is>
          <t>20260119800919</t>
        </is>
      </c>
      <c r="H36" s="8">
        <f>HYPERLINK("https://dart.fss.or.kr/dsaf001/main.do?rcpNo=20260119800919", "공시열람")</f>
        <v/>
      </c>
    </row>
    <row r="37">
      <c r="A37" s="2" t="inlineStr">
        <is>
          <t>2026-01-19 (정정: 2026-03-12)</t>
        </is>
      </c>
      <c r="B37" s="3" t="inlineStr">
        <is>
          <t>모아라이프플러스</t>
        </is>
      </c>
      <c r="C37" s="2" t="inlineStr">
        <is>
          <t>코스닥</t>
        </is>
      </c>
      <c r="D37" s="2" t="inlineStr">
        <is>
          <t>142760</t>
        </is>
      </c>
      <c r="E37" s="3" t="inlineStr">
        <is>
          <t>[기재정정]주요사항보고서(전환사채매수선택권행사자지정) (정정: 20260129) (정정: 20260303) (정정: 20260310) (정정: 20260312) (정정: 20260312)</t>
        </is>
      </c>
      <c r="F37" s="3" t="inlineStr">
        <is>
          <t>모아라이프플러스</t>
        </is>
      </c>
      <c r="G37" s="2" t="inlineStr">
        <is>
          <t>20260312000861</t>
        </is>
      </c>
      <c r="H37" s="8">
        <f>HYPERLINK("https://dart.fss.or.kr/dsaf001/main.do?rcpNo=20260312000861", "공시열람")</f>
        <v/>
      </c>
    </row>
    <row r="38">
      <c r="A38" s="2" t="inlineStr">
        <is>
          <t>2026-01-19</t>
        </is>
      </c>
      <c r="B38" s="3" t="inlineStr">
        <is>
          <t>크레오에스지</t>
        </is>
      </c>
      <c r="C38" s="2" t="inlineStr">
        <is>
          <t>코스닥</t>
        </is>
      </c>
      <c r="D38" s="2" t="inlineStr">
        <is>
          <t>040350</t>
        </is>
      </c>
      <c r="E38" s="3" t="inlineStr">
        <is>
          <t>불성실공시법인지정              (공시번복)</t>
        </is>
      </c>
      <c r="F38" s="3" t="inlineStr">
        <is>
          <t>코스닥시장본부</t>
        </is>
      </c>
      <c r="G38" s="2" t="inlineStr">
        <is>
          <t>20260119900932</t>
        </is>
      </c>
      <c r="H38" s="8">
        <f>HYPERLINK("https://dart.fss.or.kr/dsaf001/main.do?rcpNo=20260119900932", "공시열람")</f>
        <v/>
      </c>
    </row>
    <row r="39">
      <c r="A39" s="2" t="inlineStr">
        <is>
          <t>2026-01-19</t>
        </is>
      </c>
      <c r="B39" s="3" t="inlineStr">
        <is>
          <t>페스카로</t>
        </is>
      </c>
      <c r="C39" s="2" t="inlineStr">
        <is>
          <t>코스닥</t>
        </is>
      </c>
      <c r="D39" s="2" t="inlineStr">
        <is>
          <t>0015S0</t>
        </is>
      </c>
      <c r="E39" s="3" t="inlineStr">
        <is>
          <t xml:space="preserve">매출액또는손익구조30%(대규모법인은15%)이상변동              </t>
        </is>
      </c>
      <c r="F39" s="3" t="inlineStr">
        <is>
          <t>페스카로</t>
        </is>
      </c>
      <c r="G39" s="2" t="inlineStr">
        <is>
          <t>20260119900926</t>
        </is>
      </c>
      <c r="H39" s="8">
        <f>HYPERLINK("https://dart.fss.or.kr/dsaf001/main.do?rcpNo=20260119900926", "공시열람")</f>
        <v/>
      </c>
    </row>
    <row r="40">
      <c r="A40" s="2" t="inlineStr">
        <is>
          <t>2026-01-19</t>
        </is>
      </c>
      <c r="B40" s="3" t="inlineStr">
        <is>
          <t>스틱인베스트먼트</t>
        </is>
      </c>
      <c r="C40" s="2" t="inlineStr">
        <is>
          <t>코스피</t>
        </is>
      </c>
      <c r="D40" s="2" t="inlineStr">
        <is>
          <t>026890</t>
        </is>
      </c>
      <c r="E40" s="3" t="inlineStr">
        <is>
          <t xml:space="preserve">기업가치제고계획(자율공시)              </t>
        </is>
      </c>
      <c r="F40" s="3" t="inlineStr">
        <is>
          <t>스틱인베스트먼트</t>
        </is>
      </c>
      <c r="G40" s="2" t="inlineStr">
        <is>
          <t>20260119800910</t>
        </is>
      </c>
      <c r="H40" s="8">
        <f>HYPERLINK("https://dart.fss.or.kr/dsaf001/main.do?rcpNo=20260119800910", "공시열람")</f>
        <v/>
      </c>
    </row>
    <row r="41">
      <c r="A41" s="2" t="inlineStr">
        <is>
          <t>2026-01-19</t>
        </is>
      </c>
      <c r="B41" s="3" t="inlineStr">
        <is>
          <t>코미코</t>
        </is>
      </c>
      <c r="C41" s="2" t="inlineStr">
        <is>
          <t>코스닥</t>
        </is>
      </c>
      <c r="D41" s="2" t="inlineStr">
        <is>
          <t>183300</t>
        </is>
      </c>
      <c r="E41" s="3" t="inlineStr">
        <is>
          <t>임원ㆍ주요주주특정증권등소유상황보고서</t>
        </is>
      </c>
      <c r="F41" s="3" t="inlineStr">
        <is>
          <t>박창섭</t>
        </is>
      </c>
      <c r="G41" s="2" t="inlineStr">
        <is>
          <t>20260119000268</t>
        </is>
      </c>
      <c r="H41" s="8">
        <f>HYPERLINK("https://dart.fss.or.kr/dsaf001/main.do?rcpNo=20260119000268", "공시열람")</f>
        <v/>
      </c>
    </row>
    <row r="42">
      <c r="A42" s="2" t="inlineStr">
        <is>
          <t>2026-01-19</t>
        </is>
      </c>
      <c r="B42" s="3" t="inlineStr">
        <is>
          <t>엘컴텍</t>
        </is>
      </c>
      <c r="C42" s="2" t="inlineStr">
        <is>
          <t>코스닥</t>
        </is>
      </c>
      <c r="D42" s="2" t="inlineStr">
        <is>
          <t>037950</t>
        </is>
      </c>
      <c r="E42" s="3" t="inlineStr">
        <is>
          <t>임원ㆍ주요주주특정증권등소유상황보고서</t>
        </is>
      </c>
      <c r="F42" s="3" t="inlineStr">
        <is>
          <t>파트론</t>
        </is>
      </c>
      <c r="G42" s="2" t="inlineStr">
        <is>
          <t>20260119000263</t>
        </is>
      </c>
      <c r="H42" s="8">
        <f>HYPERLINK("https://dart.fss.or.kr/dsaf001/main.do?rcpNo=20260119000263", "공시열람")</f>
        <v/>
      </c>
    </row>
    <row r="43">
      <c r="A43" s="2" t="inlineStr">
        <is>
          <t>2026-01-19</t>
        </is>
      </c>
      <c r="B43" s="3" t="inlineStr">
        <is>
          <t>엘컴텍</t>
        </is>
      </c>
      <c r="C43" s="2" t="inlineStr">
        <is>
          <t>코스닥</t>
        </is>
      </c>
      <c r="D43" s="2" t="inlineStr">
        <is>
          <t>037950</t>
        </is>
      </c>
      <c r="E43" s="3" t="inlineStr">
        <is>
          <t>임원ㆍ주요주주특정증권등소유상황보고서</t>
        </is>
      </c>
      <c r="F43" s="3" t="inlineStr">
        <is>
          <t>김종구</t>
        </is>
      </c>
      <c r="G43" s="2" t="inlineStr">
        <is>
          <t>20260119000260</t>
        </is>
      </c>
      <c r="H43" s="8">
        <f>HYPERLINK("https://dart.fss.or.kr/dsaf001/main.do?rcpNo=20260119000260", "공시열람")</f>
        <v/>
      </c>
    </row>
    <row r="44">
      <c r="A44" s="2" t="inlineStr">
        <is>
          <t>2026-01-19</t>
        </is>
      </c>
      <c r="B44" s="3" t="inlineStr">
        <is>
          <t>온코닉테라퓨틱스</t>
        </is>
      </c>
      <c r="C44" s="2" t="inlineStr">
        <is>
          <t>코스닥</t>
        </is>
      </c>
      <c r="D44" s="2" t="inlineStr">
        <is>
          <t>476060</t>
        </is>
      </c>
      <c r="E44" s="3" t="inlineStr">
        <is>
          <t>임원ㆍ주요주주특정증권등소유상황보고서</t>
        </is>
      </c>
      <c r="F44" s="3" t="inlineStr">
        <is>
          <t>차현주</t>
        </is>
      </c>
      <c r="G44" s="2" t="inlineStr">
        <is>
          <t>20260119000259</t>
        </is>
      </c>
      <c r="H44" s="8">
        <f>HYPERLINK("https://dart.fss.or.kr/dsaf001/main.do?rcpNo=20260119000259", "공시열람")</f>
        <v/>
      </c>
    </row>
    <row r="45">
      <c r="A45" s="2" t="inlineStr">
        <is>
          <t>2026-01-19</t>
        </is>
      </c>
      <c r="B45" s="3" t="inlineStr">
        <is>
          <t>온코닉테라퓨틱스</t>
        </is>
      </c>
      <c r="C45" s="2" t="inlineStr">
        <is>
          <t>코스닥</t>
        </is>
      </c>
      <c r="D45" s="2" t="inlineStr">
        <is>
          <t>476060</t>
        </is>
      </c>
      <c r="E45" s="3" t="inlineStr">
        <is>
          <t>임원ㆍ주요주주특정증권등거래계획보고서</t>
        </is>
      </c>
      <c r="F45" s="3" t="inlineStr">
        <is>
          <t>신종길</t>
        </is>
      </c>
      <c r="G45" s="2" t="inlineStr">
        <is>
          <t>20260119000257</t>
        </is>
      </c>
      <c r="H45" s="8">
        <f>HYPERLINK("https://dart.fss.or.kr/dsaf001/main.do?rcpNo=20260119000257", "공시열람")</f>
        <v/>
      </c>
    </row>
    <row r="46">
      <c r="A46" s="2" t="inlineStr">
        <is>
          <t>2026-01-19</t>
        </is>
      </c>
      <c r="B46" s="3" t="inlineStr">
        <is>
          <t>에스프리즘</t>
        </is>
      </c>
      <c r="C46" s="2" t="inlineStr">
        <is>
          <t>코스닥</t>
        </is>
      </c>
      <c r="D46" s="2" t="inlineStr">
        <is>
          <t>288620</t>
        </is>
      </c>
      <c r="E46" s="3" t="inlineStr">
        <is>
          <t xml:space="preserve">본점소재지변경              </t>
        </is>
      </c>
      <c r="F46" s="3" t="inlineStr">
        <is>
          <t>에스프리즘</t>
        </is>
      </c>
      <c r="G46" s="2" t="inlineStr">
        <is>
          <t>20260119900900</t>
        </is>
      </c>
      <c r="H46" s="8">
        <f>HYPERLINK("https://dart.fss.or.kr/dsaf001/main.do?rcpNo=20260119900900", "공시열람")</f>
        <v/>
      </c>
    </row>
    <row r="47">
      <c r="A47" s="2" t="inlineStr">
        <is>
          <t>2026-01-19</t>
        </is>
      </c>
      <c r="B47" s="3" t="inlineStr">
        <is>
          <t>뉴로메카</t>
        </is>
      </c>
      <c r="C47" s="2" t="inlineStr">
        <is>
          <t>코스닥</t>
        </is>
      </c>
      <c r="D47" s="2" t="inlineStr">
        <is>
          <t>348340</t>
        </is>
      </c>
      <c r="E47" s="3" t="inlineStr">
        <is>
          <t>전환청구권행사              (제1회차)</t>
        </is>
      </c>
      <c r="F47" s="3" t="inlineStr">
        <is>
          <t>뉴로메카</t>
        </is>
      </c>
      <c r="G47" s="2" t="inlineStr">
        <is>
          <t>20260119900858</t>
        </is>
      </c>
      <c r="H47" s="8">
        <f>HYPERLINK("https://dart.fss.or.kr/dsaf001/main.do?rcpNo=20260119900858", "공시열람")</f>
        <v/>
      </c>
    </row>
    <row r="48">
      <c r="A48" s="2" t="inlineStr">
        <is>
          <t>2026-01-19</t>
        </is>
      </c>
      <c r="B48" s="3" t="inlineStr">
        <is>
          <t>파미셀</t>
        </is>
      </c>
      <c r="C48" s="2" t="inlineStr">
        <is>
          <t>코스피</t>
        </is>
      </c>
      <c r="D48" s="2" t="inlineStr">
        <is>
          <t>005690</t>
        </is>
      </c>
      <c r="E48" s="3" t="inlineStr">
        <is>
          <t>임원ㆍ주요주주특정증권등소유상황보고서</t>
        </is>
      </c>
      <c r="F48" s="3" t="inlineStr">
        <is>
          <t>성현술</t>
        </is>
      </c>
      <c r="G48" s="2" t="inlineStr">
        <is>
          <t>20260119000252</t>
        </is>
      </c>
      <c r="H48" s="8">
        <f>HYPERLINK("https://dart.fss.or.kr/dsaf001/main.do?rcpNo=20260119000252", "공시열람")</f>
        <v/>
      </c>
    </row>
    <row r="49">
      <c r="A49" s="2" t="inlineStr">
        <is>
          <t>2026-01-19</t>
        </is>
      </c>
      <c r="B49" s="3" t="inlineStr">
        <is>
          <t>에스에너지</t>
        </is>
      </c>
      <c r="C49" s="2" t="inlineStr">
        <is>
          <t>코스닥</t>
        </is>
      </c>
      <c r="D49" s="2" t="inlineStr">
        <is>
          <t>095910</t>
        </is>
      </c>
      <c r="E49" s="3" t="inlineStr">
        <is>
          <t xml:space="preserve">본점소재지변경              </t>
        </is>
      </c>
      <c r="F49" s="3" t="inlineStr">
        <is>
          <t>에스에너지</t>
        </is>
      </c>
      <c r="G49" s="2" t="inlineStr">
        <is>
          <t>20260119900893</t>
        </is>
      </c>
      <c r="H49" s="8">
        <f>HYPERLINK("https://dart.fss.or.kr/dsaf001/main.do?rcpNo=20260119900893", "공시열람")</f>
        <v/>
      </c>
    </row>
    <row r="50">
      <c r="A50" s="2" t="inlineStr">
        <is>
          <t>2026-01-19</t>
        </is>
      </c>
      <c r="B50" s="3" t="inlineStr">
        <is>
          <t>테라젠이텍스</t>
        </is>
      </c>
      <c r="C50" s="2" t="inlineStr">
        <is>
          <t>코스닥</t>
        </is>
      </c>
      <c r="D50" s="2" t="inlineStr">
        <is>
          <t>066700</t>
        </is>
      </c>
      <c r="E50" s="3" t="inlineStr">
        <is>
          <t>임원ㆍ주요주주특정증권등소유상황보고서</t>
        </is>
      </c>
      <c r="F50" s="3" t="inlineStr">
        <is>
          <t>박시홍</t>
        </is>
      </c>
      <c r="G50" s="2" t="inlineStr">
        <is>
          <t>20260119000251</t>
        </is>
      </c>
      <c r="H50" s="8">
        <f>HYPERLINK("https://dart.fss.or.kr/dsaf001/main.do?rcpNo=20260119000251", "공시열람")</f>
        <v/>
      </c>
    </row>
    <row r="51">
      <c r="A51" s="2" t="inlineStr">
        <is>
          <t>2026-01-19</t>
        </is>
      </c>
      <c r="B51" s="3" t="inlineStr">
        <is>
          <t>코미코</t>
        </is>
      </c>
      <c r="C51" s="2" t="inlineStr">
        <is>
          <t>코스닥</t>
        </is>
      </c>
      <c r="D51" s="2" t="inlineStr">
        <is>
          <t>183300</t>
        </is>
      </c>
      <c r="E51" s="3" t="inlineStr">
        <is>
          <t>임원ㆍ주요주주특정증권등소유상황보고서</t>
        </is>
      </c>
      <c r="F51" s="3" t="inlineStr">
        <is>
          <t>이용수</t>
        </is>
      </c>
      <c r="G51" s="2" t="inlineStr">
        <is>
          <t>20260119000248</t>
        </is>
      </c>
      <c r="H51" s="8">
        <f>HYPERLINK("https://dart.fss.or.kr/dsaf001/main.do?rcpNo=20260119000248", "공시열람")</f>
        <v/>
      </c>
    </row>
    <row r="52">
      <c r="A52" s="2" t="inlineStr">
        <is>
          <t>2026-01-19</t>
        </is>
      </c>
      <c r="B52" s="3" t="inlineStr">
        <is>
          <t>신세계푸드</t>
        </is>
      </c>
      <c r="C52" s="2" t="inlineStr">
        <is>
          <t>코스피</t>
        </is>
      </c>
      <c r="D52" s="2" t="inlineStr">
        <is>
          <t>031440</t>
        </is>
      </c>
      <c r="E52" s="3" t="inlineStr">
        <is>
          <t>증권신고서(채무증권)</t>
        </is>
      </c>
      <c r="F52" s="3" t="inlineStr">
        <is>
          <t>신세계푸드</t>
        </is>
      </c>
      <c r="G52" s="2" t="inlineStr">
        <is>
          <t>20260119000247</t>
        </is>
      </c>
      <c r="H52" s="8">
        <f>HYPERLINK("https://dart.fss.or.kr/dsaf001/main.do?rcpNo=20260119000247", "공시열람")</f>
        <v/>
      </c>
    </row>
    <row r="53">
      <c r="A53" s="2" t="inlineStr">
        <is>
          <t>2026-01-19</t>
        </is>
      </c>
      <c r="B53" s="3" t="inlineStr">
        <is>
          <t>현대비앤지스틸</t>
        </is>
      </c>
      <c r="C53" s="2" t="inlineStr">
        <is>
          <t>코스피</t>
        </is>
      </c>
      <c r="D53" s="2" t="inlineStr">
        <is>
          <t>004560</t>
        </is>
      </c>
      <c r="E53" s="3" t="inlineStr">
        <is>
          <t xml:space="preserve">매출액또는손익구조30%(대규모법인은15%)이상변경              </t>
        </is>
      </c>
      <c r="F53" s="3" t="inlineStr">
        <is>
          <t>현대비앤지스틸</t>
        </is>
      </c>
      <c r="G53" s="2" t="inlineStr">
        <is>
          <t>20260119800840</t>
        </is>
      </c>
      <c r="H53" s="8">
        <f>HYPERLINK("https://dart.fss.or.kr/dsaf001/main.do?rcpNo=20260119800840", "공시열람")</f>
        <v/>
      </c>
    </row>
    <row r="54">
      <c r="A54" s="2" t="inlineStr">
        <is>
          <t>2026-01-19</t>
        </is>
      </c>
      <c r="B54" s="3" t="inlineStr">
        <is>
          <t>NH투자증권</t>
        </is>
      </c>
      <c r="C54" s="2" t="inlineStr">
        <is>
          <t>코스피</t>
        </is>
      </c>
      <c r="D54" s="2" t="inlineStr">
        <is>
          <t>005940</t>
        </is>
      </c>
      <c r="E54" s="3" t="inlineStr">
        <is>
          <t>투자설명서(일괄신고)</t>
        </is>
      </c>
      <c r="F54" s="3" t="inlineStr">
        <is>
          <t>NH투자증권</t>
        </is>
      </c>
      <c r="G54" s="2" t="inlineStr">
        <is>
          <t>20260119000246</t>
        </is>
      </c>
      <c r="H54" s="8">
        <f>HYPERLINK("https://dart.fss.or.kr/dsaf001/main.do?rcpNo=20260119000246", "공시열람")</f>
        <v/>
      </c>
    </row>
    <row r="55">
      <c r="A55" s="2" t="inlineStr">
        <is>
          <t>2026-01-19 (정정: 2026-05-29)</t>
        </is>
      </c>
      <c r="B55" s="3" t="inlineStr">
        <is>
          <t>에이에스텍</t>
        </is>
      </c>
      <c r="C55" s="2" t="inlineStr">
        <is>
          <t>코스닥</t>
        </is>
      </c>
      <c r="D55" s="2" t="inlineStr">
        <is>
          <t>453860</t>
        </is>
      </c>
      <c r="E55" s="3" t="inlineStr">
        <is>
          <t>자기주식처분결과보고서 (정정: 20260306) (정정: 20260529)</t>
        </is>
      </c>
      <c r="F55" s="3" t="inlineStr">
        <is>
          <t>에이에스텍</t>
        </is>
      </c>
      <c r="G55" s="2" t="inlineStr">
        <is>
          <t>20260529001924</t>
        </is>
      </c>
      <c r="H55" s="8">
        <f>HYPERLINK("https://dart.fss.or.kr/dsaf001/main.do?rcpNo=20260529001924", "공시열람")</f>
        <v/>
      </c>
    </row>
    <row r="56">
      <c r="A56" s="2" t="inlineStr">
        <is>
          <t>2026-01-19</t>
        </is>
      </c>
      <c r="B56" s="3" t="inlineStr">
        <is>
          <t>한온시스템</t>
        </is>
      </c>
      <c r="C56" s="2" t="inlineStr">
        <is>
          <t>코스피</t>
        </is>
      </c>
      <c r="D56" s="2" t="inlineStr">
        <is>
          <t>018880</t>
        </is>
      </c>
      <c r="E56" s="3" t="inlineStr">
        <is>
          <t>임원ㆍ주요주주특정증권등소유상황보고서</t>
        </is>
      </c>
      <c r="F56" s="3" t="inlineStr">
        <is>
          <t>정수철</t>
        </is>
      </c>
      <c r="G56" s="2" t="inlineStr">
        <is>
          <t>20260119000241</t>
        </is>
      </c>
      <c r="H56" s="8">
        <f>HYPERLINK("https://dart.fss.or.kr/dsaf001/main.do?rcpNo=20260119000241", "공시열람")</f>
        <v/>
      </c>
    </row>
    <row r="57">
      <c r="A57" s="2" t="inlineStr">
        <is>
          <t>2026-01-19</t>
        </is>
      </c>
      <c r="B57" s="3" t="inlineStr">
        <is>
          <t>디티앤씨</t>
        </is>
      </c>
      <c r="C57" s="2" t="inlineStr">
        <is>
          <t>코스닥</t>
        </is>
      </c>
      <c r="D57" s="2" t="inlineStr">
        <is>
          <t>187220</t>
        </is>
      </c>
      <c r="E57" s="3" t="inlineStr">
        <is>
          <t xml:space="preserve">전환가액의조정              </t>
        </is>
      </c>
      <c r="F57" s="3" t="inlineStr">
        <is>
          <t>디티앤씨</t>
        </is>
      </c>
      <c r="G57" s="2" t="inlineStr">
        <is>
          <t>20260119900842</t>
        </is>
      </c>
      <c r="H57" s="8">
        <f>HYPERLINK("https://dart.fss.or.kr/dsaf001/main.do?rcpNo=20260119900842", "공시열람")</f>
        <v/>
      </c>
    </row>
    <row r="58">
      <c r="A58" s="2" t="inlineStr">
        <is>
          <t>2026-01-19</t>
        </is>
      </c>
      <c r="B58" s="3" t="inlineStr">
        <is>
          <t>엣지파운드리</t>
        </is>
      </c>
      <c r="C58" s="2" t="inlineStr">
        <is>
          <t>코스닥</t>
        </is>
      </c>
      <c r="D58" s="2" t="inlineStr">
        <is>
          <t>105550</t>
        </is>
      </c>
      <c r="E58" s="3" t="inlineStr">
        <is>
          <t xml:space="preserve">전환가액의조정              </t>
        </is>
      </c>
      <c r="F58" s="3" t="inlineStr">
        <is>
          <t>엣지파운드리</t>
        </is>
      </c>
      <c r="G58" s="2" t="inlineStr">
        <is>
          <t>20260119900839</t>
        </is>
      </c>
      <c r="H58" s="8">
        <f>HYPERLINK("https://dart.fss.or.kr/dsaf001/main.do?rcpNo=20260119900839", "공시열람")</f>
        <v/>
      </c>
    </row>
    <row r="59">
      <c r="A59" s="2" t="inlineStr">
        <is>
          <t>2026-01-19</t>
        </is>
      </c>
      <c r="B59" s="3" t="inlineStr">
        <is>
          <t>한온시스템</t>
        </is>
      </c>
      <c r="C59" s="2" t="inlineStr">
        <is>
          <t>코스피</t>
        </is>
      </c>
      <c r="D59" s="2" t="inlineStr">
        <is>
          <t>018880</t>
        </is>
      </c>
      <c r="E59" s="3" t="inlineStr">
        <is>
          <t>임원ㆍ주요주주특정증권등소유상황보고서</t>
        </is>
      </c>
      <c r="F59" s="3" t="inlineStr">
        <is>
          <t>김정호</t>
        </is>
      </c>
      <c r="G59" s="2" t="inlineStr">
        <is>
          <t>20260119000236</t>
        </is>
      </c>
      <c r="H59" s="8">
        <f>HYPERLINK("https://dart.fss.or.kr/dsaf001/main.do?rcpNo=20260119000236", "공시열람")</f>
        <v/>
      </c>
    </row>
    <row r="60">
      <c r="A60" s="2" t="inlineStr">
        <is>
          <t>2026-01-19</t>
        </is>
      </c>
      <c r="B60" s="3" t="inlineStr">
        <is>
          <t>엘앤케이바이오</t>
        </is>
      </c>
      <c r="C60" s="2" t="inlineStr">
        <is>
          <t>코스닥</t>
        </is>
      </c>
      <c r="D60" s="2" t="inlineStr">
        <is>
          <t>156100</t>
        </is>
      </c>
      <c r="E60" s="3" t="inlineStr">
        <is>
          <t xml:space="preserve">증권발행결과(자율공시)              </t>
        </is>
      </c>
      <c r="F60" s="3" t="inlineStr">
        <is>
          <t>엘앤케이바이오</t>
        </is>
      </c>
      <c r="G60" s="2" t="inlineStr">
        <is>
          <t>20260119900834</t>
        </is>
      </c>
      <c r="H60" s="8">
        <f>HYPERLINK("https://dart.fss.or.kr/dsaf001/main.do?rcpNo=20260119900834", "공시열람")</f>
        <v/>
      </c>
    </row>
    <row r="61">
      <c r="A61" s="2" t="inlineStr">
        <is>
          <t>2026-01-19</t>
        </is>
      </c>
      <c r="B61" s="3" t="inlineStr">
        <is>
          <t>영진약품</t>
        </is>
      </c>
      <c r="C61" s="2" t="inlineStr">
        <is>
          <t>코스피</t>
        </is>
      </c>
      <c r="D61" s="2" t="inlineStr">
        <is>
          <t>003520</t>
        </is>
      </c>
      <c r="E61" s="3" t="inlineStr">
        <is>
          <t xml:space="preserve">공정거래자율준수프로그램운영현황(안내공시)              </t>
        </is>
      </c>
      <c r="F61" s="3" t="inlineStr">
        <is>
          <t>영진약품</t>
        </is>
      </c>
      <c r="G61" s="2" t="inlineStr">
        <is>
          <t>20260119800833</t>
        </is>
      </c>
      <c r="H61" s="8">
        <f>HYPERLINK("https://dart.fss.or.kr/dsaf001/main.do?rcpNo=20260119800833", "공시열람")</f>
        <v/>
      </c>
    </row>
    <row r="62">
      <c r="A62" s="2" t="inlineStr">
        <is>
          <t>2026-01-19</t>
        </is>
      </c>
      <c r="B62" s="3" t="inlineStr">
        <is>
          <t>킵스파마</t>
        </is>
      </c>
      <c r="C62" s="2" t="inlineStr">
        <is>
          <t>코스닥</t>
        </is>
      </c>
      <c r="D62" s="2" t="inlineStr">
        <is>
          <t>256940</t>
        </is>
      </c>
      <c r="E62" s="3" t="inlineStr">
        <is>
          <t xml:space="preserve">전환가액의조정              </t>
        </is>
      </c>
      <c r="F62" s="3" t="inlineStr">
        <is>
          <t>킵스파마</t>
        </is>
      </c>
      <c r="G62" s="2" t="inlineStr">
        <is>
          <t>20260119900832</t>
        </is>
      </c>
      <c r="H62" s="8">
        <f>HYPERLINK("https://dart.fss.or.kr/dsaf001/main.do?rcpNo=20260119900832", "공시열람")</f>
        <v/>
      </c>
    </row>
    <row r="63">
      <c r="A63" s="2" t="inlineStr">
        <is>
          <t>2026-01-19</t>
        </is>
      </c>
      <c r="B63" s="3" t="inlineStr">
        <is>
          <t>영진약품</t>
        </is>
      </c>
      <c r="C63" s="2" t="inlineStr">
        <is>
          <t>코스피</t>
        </is>
      </c>
      <c r="D63" s="2" t="inlineStr">
        <is>
          <t>003520</t>
        </is>
      </c>
      <c r="E63" s="3" t="inlineStr">
        <is>
          <t xml:space="preserve">소송등의판결ㆍ결정(일정금액이상의청구)              </t>
        </is>
      </c>
      <c r="F63" s="3" t="inlineStr">
        <is>
          <t>영진약품</t>
        </is>
      </c>
      <c r="G63" s="2" t="inlineStr">
        <is>
          <t>20260119800828</t>
        </is>
      </c>
      <c r="H63" s="8">
        <f>HYPERLINK("https://dart.fss.or.kr/dsaf001/main.do?rcpNo=20260119800828", "공시열람")</f>
        <v/>
      </c>
    </row>
    <row r="64">
      <c r="A64" s="2" t="inlineStr">
        <is>
          <t>2026-01-19</t>
        </is>
      </c>
      <c r="B64" s="3" t="inlineStr">
        <is>
          <t>노브랜드</t>
        </is>
      </c>
      <c r="C64" s="2" t="inlineStr">
        <is>
          <t>코스닥</t>
        </is>
      </c>
      <c r="D64" s="2" t="inlineStr">
        <is>
          <t>145170</t>
        </is>
      </c>
      <c r="E64" s="3" t="inlineStr">
        <is>
          <t>임원ㆍ주요주주특정증권등소유상황보고서</t>
        </is>
      </c>
      <c r="F64" s="3" t="inlineStr">
        <is>
          <t>김기홍</t>
        </is>
      </c>
      <c r="G64" s="2" t="inlineStr">
        <is>
          <t>20260119000234</t>
        </is>
      </c>
      <c r="H64" s="8">
        <f>HYPERLINK("https://dart.fss.or.kr/dsaf001/main.do?rcpNo=20260119000234", "공시열람")</f>
        <v/>
      </c>
    </row>
    <row r="65">
      <c r="A65" s="2" t="inlineStr">
        <is>
          <t>2026-01-19</t>
        </is>
      </c>
      <c r="B65" s="3" t="inlineStr">
        <is>
          <t>NH투자증권</t>
        </is>
      </c>
      <c r="C65" s="2" t="inlineStr">
        <is>
          <t>코스피</t>
        </is>
      </c>
      <c r="D65" s="2" t="inlineStr">
        <is>
          <t>005940</t>
        </is>
      </c>
      <c r="E65" s="3" t="inlineStr">
        <is>
          <t>투자설명서(일괄신고)</t>
        </is>
      </c>
      <c r="F65" s="3" t="inlineStr">
        <is>
          <t>NH투자증권</t>
        </is>
      </c>
      <c r="G65" s="2" t="inlineStr">
        <is>
          <t>20260119000232</t>
        </is>
      </c>
      <c r="H65" s="8">
        <f>HYPERLINK("https://dart.fss.or.kr/dsaf001/main.do?rcpNo=20260119000232", "공시열람")</f>
        <v/>
      </c>
    </row>
    <row r="66">
      <c r="A66" s="2" t="inlineStr">
        <is>
          <t>2026-01-19</t>
        </is>
      </c>
      <c r="B66" s="3" t="inlineStr">
        <is>
          <t>메리츠금융지주</t>
        </is>
      </c>
      <c r="C66" s="2" t="inlineStr">
        <is>
          <t>코스피</t>
        </is>
      </c>
      <c r="D66" s="2" t="inlineStr">
        <is>
          <t>138040</t>
        </is>
      </c>
      <c r="E66" s="3" t="inlineStr">
        <is>
          <t>증권신고서(채무증권)</t>
        </is>
      </c>
      <c r="F66" s="3" t="inlineStr">
        <is>
          <t>메리츠금융지주</t>
        </is>
      </c>
      <c r="G66" s="2" t="inlineStr">
        <is>
          <t>20260119000230</t>
        </is>
      </c>
      <c r="H66" s="8">
        <f>HYPERLINK("https://dart.fss.or.kr/dsaf001/main.do?rcpNo=20260119000230", "공시열람")</f>
        <v/>
      </c>
    </row>
    <row r="67">
      <c r="A67" s="2" t="inlineStr">
        <is>
          <t>2026-01-19</t>
        </is>
      </c>
      <c r="B67" s="3" t="inlineStr">
        <is>
          <t>박셀바이오</t>
        </is>
      </c>
      <c r="C67" s="2" t="inlineStr">
        <is>
          <t>코스닥</t>
        </is>
      </c>
      <c r="D67" s="2" t="inlineStr">
        <is>
          <t>323990</t>
        </is>
      </c>
      <c r="E67" s="3" t="inlineStr">
        <is>
          <t xml:space="preserve">기업설명회(IR)개최              </t>
        </is>
      </c>
      <c r="F67" s="3" t="inlineStr">
        <is>
          <t>박셀바이오</t>
        </is>
      </c>
      <c r="G67" s="2" t="inlineStr">
        <is>
          <t>20260119900818</t>
        </is>
      </c>
      <c r="H67" s="8">
        <f>HYPERLINK("https://dart.fss.or.kr/dsaf001/main.do?rcpNo=20260119900818", "공시열람")</f>
        <v/>
      </c>
    </row>
    <row r="68">
      <c r="A68" s="2" t="inlineStr">
        <is>
          <t>2026-01-19</t>
        </is>
      </c>
      <c r="B68" s="3" t="inlineStr">
        <is>
          <t>CJ제일제당</t>
        </is>
      </c>
      <c r="C68" s="2" t="inlineStr">
        <is>
          <t>코스피</t>
        </is>
      </c>
      <c r="D68" s="2" t="inlineStr">
        <is>
          <t>097950</t>
        </is>
      </c>
      <c r="E68" s="3" t="inlineStr">
        <is>
          <t xml:space="preserve">기업설명회(IR)개최(안내공시)              </t>
        </is>
      </c>
      <c r="F68" s="3" t="inlineStr">
        <is>
          <t>CJ제일제당</t>
        </is>
      </c>
      <c r="G68" s="2" t="inlineStr">
        <is>
          <t>20260119800817</t>
        </is>
      </c>
      <c r="H68" s="8">
        <f>HYPERLINK("https://dart.fss.or.kr/dsaf001/main.do?rcpNo=20260119800817", "공시열람")</f>
        <v/>
      </c>
    </row>
    <row r="69">
      <c r="A69" s="2" t="inlineStr">
        <is>
          <t>2026-01-19</t>
        </is>
      </c>
      <c r="B69" s="3" t="inlineStr">
        <is>
          <t>LG헬로비전</t>
        </is>
      </c>
      <c r="C69" s="2" t="inlineStr">
        <is>
          <t>코스피</t>
        </is>
      </c>
      <c r="D69" s="2" t="inlineStr">
        <is>
          <t>037560</t>
        </is>
      </c>
      <c r="E69" s="3" t="inlineStr">
        <is>
          <t xml:space="preserve">매출액또는손익구조30%(대규모법인은15%)이상변경              </t>
        </is>
      </c>
      <c r="F69" s="3" t="inlineStr">
        <is>
          <t>LG헬로비전</t>
        </is>
      </c>
      <c r="G69" s="2" t="inlineStr">
        <is>
          <t>20260119800802</t>
        </is>
      </c>
      <c r="H69" s="8">
        <f>HYPERLINK("https://dart.fss.or.kr/dsaf001/main.do?rcpNo=20260119800802", "공시열람")</f>
        <v/>
      </c>
    </row>
    <row r="70">
      <c r="A70" s="2" t="inlineStr">
        <is>
          <t>2026-01-19</t>
        </is>
      </c>
      <c r="B70" s="3" t="inlineStr">
        <is>
          <t>KT밀리의서재</t>
        </is>
      </c>
      <c r="C70" s="2" t="inlineStr">
        <is>
          <t>코스닥</t>
        </is>
      </c>
      <c r="D70" s="2" t="inlineStr">
        <is>
          <t>418470</t>
        </is>
      </c>
      <c r="E70" s="3" t="inlineStr">
        <is>
          <t xml:space="preserve">기업가치제고계획(자율공시)              </t>
        </is>
      </c>
      <c r="F70" s="3" t="inlineStr">
        <is>
          <t>KT밀리의서재</t>
        </is>
      </c>
      <c r="G70" s="2" t="inlineStr">
        <is>
          <t>20260119900809</t>
        </is>
      </c>
      <c r="H70" s="8">
        <f>HYPERLINK("https://dart.fss.or.kr/dsaf001/main.do?rcpNo=20260119900809", "공시열람")</f>
        <v/>
      </c>
    </row>
    <row r="71">
      <c r="A71" s="2" t="inlineStr">
        <is>
          <t>2026-01-19</t>
        </is>
      </c>
      <c r="B71" s="3" t="inlineStr">
        <is>
          <t>디에이치엑스컴퍼니</t>
        </is>
      </c>
      <c r="C71" s="2" t="inlineStr">
        <is>
          <t>코스닥</t>
        </is>
      </c>
      <c r="D71" s="2" t="inlineStr">
        <is>
          <t>031860</t>
        </is>
      </c>
      <c r="E71" s="3" t="inlineStr">
        <is>
          <t>전환가액의조정              (제31회차)</t>
        </is>
      </c>
      <c r="F71" s="3" t="inlineStr">
        <is>
          <t>디에이치엑스컴퍼니</t>
        </is>
      </c>
      <c r="G71" s="2" t="inlineStr">
        <is>
          <t>20260119900788</t>
        </is>
      </c>
      <c r="H71" s="8">
        <f>HYPERLINK("https://dart.fss.or.kr/dsaf001/main.do?rcpNo=20260119900788", "공시열람")</f>
        <v/>
      </c>
    </row>
    <row r="72">
      <c r="A72" s="2" t="inlineStr">
        <is>
          <t>2026-01-19</t>
        </is>
      </c>
      <c r="B72" s="3" t="inlineStr">
        <is>
          <t>CJ제일제당</t>
        </is>
      </c>
      <c r="C72" s="2" t="inlineStr">
        <is>
          <t>코스피</t>
        </is>
      </c>
      <c r="D72" s="2" t="inlineStr">
        <is>
          <t>097950</t>
        </is>
      </c>
      <c r="E72" s="3" t="inlineStr">
        <is>
          <t xml:space="preserve">결산실적공시예고(안내공시)              </t>
        </is>
      </c>
      <c r="F72" s="3" t="inlineStr">
        <is>
          <t>CJ제일제당</t>
        </is>
      </c>
      <c r="G72" s="2" t="inlineStr">
        <is>
          <t>20260119800810</t>
        </is>
      </c>
      <c r="H72" s="8">
        <f>HYPERLINK("https://dart.fss.or.kr/dsaf001/main.do?rcpNo=20260119800810", "공시열람")</f>
        <v/>
      </c>
    </row>
    <row r="73">
      <c r="A73" s="2" t="inlineStr">
        <is>
          <t>2026-01-19</t>
        </is>
      </c>
      <c r="B73" s="3" t="inlineStr">
        <is>
          <t>대상</t>
        </is>
      </c>
      <c r="C73" s="2" t="inlineStr">
        <is>
          <t>코스피</t>
        </is>
      </c>
      <c r="D73" s="2" t="inlineStr">
        <is>
          <t>001680</t>
        </is>
      </c>
      <c r="E73" s="3" t="inlineStr">
        <is>
          <t>증권신고서(채무증권)</t>
        </is>
      </c>
      <c r="F73" s="3" t="inlineStr">
        <is>
          <t>대상</t>
        </is>
      </c>
      <c r="G73" s="2" t="inlineStr">
        <is>
          <t>20260119000224</t>
        </is>
      </c>
      <c r="H73" s="8">
        <f>HYPERLINK("https://dart.fss.or.kr/dsaf001/main.do?rcpNo=20260119000224", "공시열람")</f>
        <v/>
      </c>
    </row>
    <row r="74">
      <c r="A74" s="2" t="inlineStr">
        <is>
          <t>2026-01-19 (정정: 2026-02-02)</t>
        </is>
      </c>
      <c r="B74" s="3" t="inlineStr">
        <is>
          <t>엑시큐어하이트론</t>
        </is>
      </c>
      <c r="C74" s="2" t="inlineStr">
        <is>
          <t>코스피</t>
        </is>
      </c>
      <c r="D74" s="2" t="inlineStr">
        <is>
          <t>019490</t>
        </is>
      </c>
      <c r="E74" s="3" t="inlineStr">
        <is>
          <t>주요사항보고서(자기전환사채만기전취득결정) (정정: 20260202)</t>
        </is>
      </c>
      <c r="F74" s="3" t="inlineStr">
        <is>
          <t>엑시큐어하이트론</t>
        </is>
      </c>
      <c r="G74" s="2" t="inlineStr">
        <is>
          <t>20260202001333</t>
        </is>
      </c>
      <c r="H74" s="8">
        <f>HYPERLINK("https://dart.fss.or.kr/dsaf001/main.do?rcpNo=20260202001333", "공시열람")</f>
        <v/>
      </c>
    </row>
    <row r="75">
      <c r="A75" s="2" t="inlineStr">
        <is>
          <t>2026-01-19</t>
        </is>
      </c>
      <c r="B75" s="3" t="inlineStr">
        <is>
          <t>DKME</t>
        </is>
      </c>
      <c r="C75" s="2" t="inlineStr">
        <is>
          <t>코스피</t>
        </is>
      </c>
      <c r="D75" s="2" t="inlineStr">
        <is>
          <t>015590</t>
        </is>
      </c>
      <c r="E75" s="3" t="inlineStr">
        <is>
          <t xml:space="preserve">주주명부폐쇄기간또는기준일설정              </t>
        </is>
      </c>
      <c r="F75" s="3" t="inlineStr">
        <is>
          <t>DKME</t>
        </is>
      </c>
      <c r="G75" s="2" t="inlineStr">
        <is>
          <t>20260119800734</t>
        </is>
      </c>
      <c r="H75" s="8">
        <f>HYPERLINK("https://dart.fss.or.kr/dsaf001/main.do?rcpNo=20260119800734", "공시열람")</f>
        <v/>
      </c>
    </row>
    <row r="76">
      <c r="A76" s="2" t="inlineStr">
        <is>
          <t>2026-01-19</t>
        </is>
      </c>
      <c r="B76" s="3" t="inlineStr">
        <is>
          <t>윙스풋</t>
        </is>
      </c>
      <c r="C76" s="2" t="inlineStr">
        <is>
          <t>코스닥</t>
        </is>
      </c>
      <c r="D76" s="2" t="inlineStr">
        <is>
          <t>335870</t>
        </is>
      </c>
      <c r="E76" s="3" t="inlineStr">
        <is>
          <t>임원ㆍ주요주주특정증권등소유상황보고서</t>
        </is>
      </c>
      <c r="F76" s="3" t="inlineStr">
        <is>
          <t>임신영</t>
        </is>
      </c>
      <c r="G76" s="2" t="inlineStr">
        <is>
          <t>20260119000213</t>
        </is>
      </c>
      <c r="H76" s="8">
        <f>HYPERLINK("https://dart.fss.or.kr/dsaf001/main.do?rcpNo=20260119000213", "공시열람")</f>
        <v/>
      </c>
    </row>
    <row r="77">
      <c r="A77" s="2" t="inlineStr">
        <is>
          <t>2026-01-19</t>
        </is>
      </c>
      <c r="B77" s="3" t="inlineStr">
        <is>
          <t>넥사다이내믹스</t>
        </is>
      </c>
      <c r="C77" s="2" t="inlineStr">
        <is>
          <t>코스닥</t>
        </is>
      </c>
      <c r="D77" s="2" t="inlineStr">
        <is>
          <t>351320</t>
        </is>
      </c>
      <c r="E77" s="3" t="inlineStr">
        <is>
          <t>사외이사의선임ㆍ해임또는중도퇴임에관한신고</t>
        </is>
      </c>
      <c r="F77" s="3" t="inlineStr">
        <is>
          <t>넥사다이내믹스</t>
        </is>
      </c>
      <c r="G77" s="2" t="inlineStr">
        <is>
          <t>20260119000212</t>
        </is>
      </c>
      <c r="H77" s="8">
        <f>HYPERLINK("https://dart.fss.or.kr/dsaf001/main.do?rcpNo=20260119000212", "공시열람")</f>
        <v/>
      </c>
    </row>
    <row r="78">
      <c r="A78" s="2" t="inlineStr">
        <is>
          <t>2026-01-19</t>
        </is>
      </c>
      <c r="B78" s="3" t="inlineStr">
        <is>
          <t>스피어</t>
        </is>
      </c>
      <c r="C78" s="2" t="inlineStr">
        <is>
          <t>코스닥</t>
        </is>
      </c>
      <c r="D78" s="2" t="inlineStr">
        <is>
          <t>347700</t>
        </is>
      </c>
      <c r="E78" s="3" t="inlineStr">
        <is>
          <t xml:space="preserve">타법인주식및출자증권취득결정              </t>
        </is>
      </c>
      <c r="F78" s="3" t="inlineStr">
        <is>
          <t>스피어</t>
        </is>
      </c>
      <c r="G78" s="2" t="inlineStr">
        <is>
          <t>20260119900757</t>
        </is>
      </c>
      <c r="H78" s="8">
        <f>HYPERLINK("https://dart.fss.or.kr/dsaf001/main.do?rcpNo=20260119900757", "공시열람")</f>
        <v/>
      </c>
    </row>
    <row r="79">
      <c r="A79" s="2" t="inlineStr">
        <is>
          <t>2026-01-19</t>
        </is>
      </c>
      <c r="B79" s="3" t="inlineStr">
        <is>
          <t>DB손해보험</t>
        </is>
      </c>
      <c r="C79" s="2" t="inlineStr">
        <is>
          <t>코스피</t>
        </is>
      </c>
      <c r="D79" s="2" t="inlineStr">
        <is>
          <t>005830</t>
        </is>
      </c>
      <c r="E79" s="3" t="inlineStr">
        <is>
          <t>임원ㆍ주요주주특정증권등소유상황보고서</t>
        </is>
      </c>
      <c r="F79" s="3" t="inlineStr">
        <is>
          <t>장용준</t>
        </is>
      </c>
      <c r="G79" s="2" t="inlineStr">
        <is>
          <t>20260119000208</t>
        </is>
      </c>
      <c r="H79" s="8">
        <f>HYPERLINK("https://dart.fss.or.kr/dsaf001/main.do?rcpNo=20260119000208", "공시열람")</f>
        <v/>
      </c>
    </row>
    <row r="80">
      <c r="A80" s="2" t="inlineStr">
        <is>
          <t>2026-01-19</t>
        </is>
      </c>
      <c r="B80" s="3" t="inlineStr">
        <is>
          <t>신한제14호스팩</t>
        </is>
      </c>
      <c r="C80" s="2" t="inlineStr">
        <is>
          <t>코스닥</t>
        </is>
      </c>
      <c r="D80" s="2" t="inlineStr">
        <is>
          <t>487360</t>
        </is>
      </c>
      <c r="E80" s="3" t="inlineStr">
        <is>
          <t xml:space="preserve">대표이사변경              </t>
        </is>
      </c>
      <c r="F80" s="3" t="inlineStr">
        <is>
          <t>신한제14호스팩</t>
        </is>
      </c>
      <c r="G80" s="2" t="inlineStr">
        <is>
          <t>20260119900782</t>
        </is>
      </c>
      <c r="H80" s="8">
        <f>HYPERLINK("https://dart.fss.or.kr/dsaf001/main.do?rcpNo=20260119900782", "공시열람")</f>
        <v/>
      </c>
    </row>
    <row r="81">
      <c r="A81" s="2" t="inlineStr">
        <is>
          <t>2026-01-19</t>
        </is>
      </c>
      <c r="B81" s="3" t="inlineStr">
        <is>
          <t>신한제14호스팩</t>
        </is>
      </c>
      <c r="C81" s="2" t="inlineStr">
        <is>
          <t>코스닥</t>
        </is>
      </c>
      <c r="D81" s="2" t="inlineStr">
        <is>
          <t>487360</t>
        </is>
      </c>
      <c r="E81" s="3" t="inlineStr">
        <is>
          <t xml:space="preserve">기업인수목적회사의임원사임              </t>
        </is>
      </c>
      <c r="F81" s="3" t="inlineStr">
        <is>
          <t>신한제14호스팩</t>
        </is>
      </c>
      <c r="G81" s="2" t="inlineStr">
        <is>
          <t>20260119900779</t>
        </is>
      </c>
      <c r="H81" s="8">
        <f>HYPERLINK("https://dart.fss.or.kr/dsaf001/main.do?rcpNo=20260119900779", "공시열람")</f>
        <v/>
      </c>
    </row>
    <row r="82">
      <c r="A82" s="2" t="inlineStr">
        <is>
          <t>2026-01-19</t>
        </is>
      </c>
      <c r="B82" s="3" t="inlineStr">
        <is>
          <t>HL홀딩스</t>
        </is>
      </c>
      <c r="C82" s="2" t="inlineStr">
        <is>
          <t>코스피</t>
        </is>
      </c>
      <c r="D82" s="2" t="inlineStr">
        <is>
          <t>060980</t>
        </is>
      </c>
      <c r="E82" s="3" t="inlineStr">
        <is>
          <t xml:space="preserve">단기차입금증가결정(자회사의 주요경영사항)              </t>
        </is>
      </c>
      <c r="F82" s="3" t="inlineStr">
        <is>
          <t>HL홀딩스</t>
        </is>
      </c>
      <c r="G82" s="2" t="inlineStr">
        <is>
          <t>20260119800745</t>
        </is>
      </c>
      <c r="H82" s="8">
        <f>HYPERLINK("https://dart.fss.or.kr/dsaf001/main.do?rcpNo=20260119800745", "공시열람")</f>
        <v/>
      </c>
    </row>
    <row r="83">
      <c r="A83" s="2" t="inlineStr">
        <is>
          <t>2026-01-19</t>
        </is>
      </c>
      <c r="B83" s="3" t="inlineStr">
        <is>
          <t>트리니티항공</t>
        </is>
      </c>
      <c r="C83" s="2" t="inlineStr">
        <is>
          <t>코스피</t>
        </is>
      </c>
      <c r="D83" s="2" t="inlineStr">
        <is>
          <t>091810</t>
        </is>
      </c>
      <c r="E83" s="3" t="inlineStr">
        <is>
          <t>임원ㆍ주요주주특정증권등거래계획보고서</t>
        </is>
      </c>
      <c r="F83" s="3" t="inlineStr">
        <is>
          <t>티웨이홀딩스</t>
        </is>
      </c>
      <c r="G83" s="2" t="inlineStr">
        <is>
          <t>20260119000203</t>
        </is>
      </c>
      <c r="H83" s="8">
        <f>HYPERLINK("https://dart.fss.or.kr/dsaf001/main.do?rcpNo=20260119000203", "공시열람")</f>
        <v/>
      </c>
    </row>
    <row r="84">
      <c r="A84" s="2" t="inlineStr">
        <is>
          <t>2026-01-19</t>
        </is>
      </c>
      <c r="B84" s="3" t="inlineStr">
        <is>
          <t>테라젠이텍스</t>
        </is>
      </c>
      <c r="C84" s="2" t="inlineStr">
        <is>
          <t>코스닥</t>
        </is>
      </c>
      <c r="D84" s="2" t="inlineStr">
        <is>
          <t>066700</t>
        </is>
      </c>
      <c r="E84" s="3" t="inlineStr">
        <is>
          <t xml:space="preserve">전환가액의조정              </t>
        </is>
      </c>
      <c r="F84" s="3" t="inlineStr">
        <is>
          <t>테라젠이텍스</t>
        </is>
      </c>
      <c r="G84" s="2" t="inlineStr">
        <is>
          <t>20260119900777</t>
        </is>
      </c>
      <c r="H84" s="8">
        <f>HYPERLINK("https://dart.fss.or.kr/dsaf001/main.do?rcpNo=20260119900777", "공시열람")</f>
        <v/>
      </c>
    </row>
    <row r="85">
      <c r="A85" s="2" t="inlineStr">
        <is>
          <t>2025-12-15 (정정: 2026-01-19)</t>
        </is>
      </c>
      <c r="B85" s="3" t="inlineStr">
        <is>
          <t>아이지넷</t>
        </is>
      </c>
      <c r="C85" s="2" t="inlineStr">
        <is>
          <t>코스닥</t>
        </is>
      </c>
      <c r="D85" s="2" t="inlineStr">
        <is>
          <t>462980</t>
        </is>
      </c>
      <c r="E85" s="3" t="inlineStr">
        <is>
          <t xml:space="preserve">[기재정정]유형자산취득결정(종속회사의주요경영사항)              </t>
        </is>
      </c>
      <c r="F85" s="3" t="inlineStr">
        <is>
          <t>아이지넷</t>
        </is>
      </c>
      <c r="G85" s="2" t="inlineStr">
        <is>
          <t>20260119900755</t>
        </is>
      </c>
      <c r="H85" s="8">
        <f>HYPERLINK("https://dart.fss.or.kr/dsaf001/main.do?rcpNo=20260119900755", "공시열람")</f>
        <v/>
      </c>
    </row>
    <row r="86">
      <c r="A86" s="2" t="inlineStr">
        <is>
          <t>2026-01-19</t>
        </is>
      </c>
      <c r="B86" s="3" t="inlineStr">
        <is>
          <t>세보엠이씨</t>
        </is>
      </c>
      <c r="C86" s="2" t="inlineStr">
        <is>
          <t>코스닥</t>
        </is>
      </c>
      <c r="D86" s="2" t="inlineStr">
        <is>
          <t>011560</t>
        </is>
      </c>
      <c r="E86" s="3" t="inlineStr">
        <is>
          <t>주요사항보고서(자기주식처분결정)</t>
        </is>
      </c>
      <c r="F86" s="3" t="inlineStr">
        <is>
          <t>세보엠이씨</t>
        </is>
      </c>
      <c r="G86" s="2" t="inlineStr">
        <is>
          <t>20260119000194</t>
        </is>
      </c>
      <c r="H86" s="8">
        <f>HYPERLINK("https://dart.fss.or.kr/dsaf001/main.do?rcpNo=20260119000194", "공시열람")</f>
        <v/>
      </c>
    </row>
    <row r="87">
      <c r="A87" s="2" t="inlineStr">
        <is>
          <t>2026-01-19</t>
        </is>
      </c>
      <c r="B87" s="3" t="inlineStr">
        <is>
          <t>성도이엔지</t>
        </is>
      </c>
      <c r="C87" s="2" t="inlineStr">
        <is>
          <t>코스닥</t>
        </is>
      </c>
      <c r="D87" s="2" t="inlineStr">
        <is>
          <t>037350</t>
        </is>
      </c>
      <c r="E87" s="3" t="inlineStr">
        <is>
          <t>주요사항보고서(자기주식처분결정)</t>
        </is>
      </c>
      <c r="F87" s="3" t="inlineStr">
        <is>
          <t>성도이엔지</t>
        </is>
      </c>
      <c r="G87" s="2" t="inlineStr">
        <is>
          <t>20260119000191</t>
        </is>
      </c>
      <c r="H87" s="8">
        <f>HYPERLINK("https://dart.fss.or.kr/dsaf001/main.do?rcpNo=20260119000191", "공시열람")</f>
        <v/>
      </c>
    </row>
    <row r="88">
      <c r="A88" s="2" t="inlineStr">
        <is>
          <t>2026-01-19</t>
        </is>
      </c>
      <c r="B88" s="3" t="inlineStr">
        <is>
          <t>동서</t>
        </is>
      </c>
      <c r="C88" s="2" t="inlineStr">
        <is>
          <t>코스피</t>
        </is>
      </c>
      <c r="D88" s="2" t="inlineStr">
        <is>
          <t>026960</t>
        </is>
      </c>
      <c r="E88" s="3" t="inlineStr">
        <is>
          <t xml:space="preserve">결산실적공시예고(안내공시)              </t>
        </is>
      </c>
      <c r="F88" s="3" t="inlineStr">
        <is>
          <t>동서</t>
        </is>
      </c>
      <c r="G88" s="2" t="inlineStr">
        <is>
          <t>20260119800768</t>
        </is>
      </c>
      <c r="H88" s="8">
        <f>HYPERLINK("https://dart.fss.or.kr/dsaf001/main.do?rcpNo=20260119800768", "공시열람")</f>
        <v/>
      </c>
    </row>
    <row r="89">
      <c r="A89" s="2" t="inlineStr">
        <is>
          <t>2026-01-19</t>
        </is>
      </c>
      <c r="B89" s="3" t="inlineStr">
        <is>
          <t>진에어</t>
        </is>
      </c>
      <c r="C89" s="2" t="inlineStr">
        <is>
          <t>코스피</t>
        </is>
      </c>
      <c r="D89" s="2" t="inlineStr">
        <is>
          <t>272450</t>
        </is>
      </c>
      <c r="E89" s="3" t="inlineStr">
        <is>
          <t xml:space="preserve">기업설명회(IR)개최(안내공시)              </t>
        </is>
      </c>
      <c r="F89" s="3" t="inlineStr">
        <is>
          <t>진에어</t>
        </is>
      </c>
      <c r="G89" s="2" t="inlineStr">
        <is>
          <t>20260119800724</t>
        </is>
      </c>
      <c r="H89" s="8">
        <f>HYPERLINK("https://dart.fss.or.kr/dsaf001/main.do?rcpNo=20260119800724", "공시열람")</f>
        <v/>
      </c>
    </row>
    <row r="90">
      <c r="A90" s="2" t="inlineStr">
        <is>
          <t>2026-01-19</t>
        </is>
      </c>
      <c r="B90" s="3" t="inlineStr">
        <is>
          <t>카카오페이</t>
        </is>
      </c>
      <c r="C90" s="2" t="inlineStr">
        <is>
          <t>코스피</t>
        </is>
      </c>
      <c r="D90" s="2" t="inlineStr">
        <is>
          <t>377300</t>
        </is>
      </c>
      <c r="E90" s="3" t="inlineStr">
        <is>
          <t xml:space="preserve">기업설명회(IR)개최(안내공시)              </t>
        </is>
      </c>
      <c r="F90" s="3" t="inlineStr">
        <is>
          <t>카카오페이</t>
        </is>
      </c>
      <c r="G90" s="2" t="inlineStr">
        <is>
          <t>20260119800752</t>
        </is>
      </c>
      <c r="H90" s="8">
        <f>HYPERLINK("https://dart.fss.or.kr/dsaf001/main.do?rcpNo=20260119800752", "공시열람")</f>
        <v/>
      </c>
    </row>
    <row r="91">
      <c r="A91" s="2" t="inlineStr">
        <is>
          <t>2026-01-19</t>
        </is>
      </c>
      <c r="B91" s="3" t="inlineStr">
        <is>
          <t>카카오페이</t>
        </is>
      </c>
      <c r="C91" s="2" t="inlineStr">
        <is>
          <t>코스피</t>
        </is>
      </c>
      <c r="D91" s="2" t="inlineStr">
        <is>
          <t>377300</t>
        </is>
      </c>
      <c r="E91" s="3" t="inlineStr">
        <is>
          <t xml:space="preserve">기업설명회(IR)개최(안내공시)              </t>
        </is>
      </c>
      <c r="F91" s="3" t="inlineStr">
        <is>
          <t>카카오페이</t>
        </is>
      </c>
      <c r="G91" s="2" t="inlineStr">
        <is>
          <t>20260119800747</t>
        </is>
      </c>
      <c r="H91" s="8">
        <f>HYPERLINK("https://dart.fss.or.kr/dsaf001/main.do?rcpNo=20260119800747", "공시열람")</f>
        <v/>
      </c>
    </row>
    <row r="92">
      <c r="A92" s="2" t="inlineStr">
        <is>
          <t>2026-01-19</t>
        </is>
      </c>
      <c r="B92" s="3" t="inlineStr">
        <is>
          <t>카카오뱅크</t>
        </is>
      </c>
      <c r="C92" s="2" t="inlineStr">
        <is>
          <t>코스피</t>
        </is>
      </c>
      <c r="D92" s="2" t="inlineStr">
        <is>
          <t>323410</t>
        </is>
      </c>
      <c r="E92" s="3" t="inlineStr">
        <is>
          <t>[기재정정]주식매수선택권부여에관한신고</t>
        </is>
      </c>
      <c r="F92" s="3" t="inlineStr">
        <is>
          <t>카카오뱅크</t>
        </is>
      </c>
      <c r="G92" s="2" t="inlineStr">
        <is>
          <t>20260119000200</t>
        </is>
      </c>
      <c r="H92" s="8">
        <f>HYPERLINK("https://dart.fss.or.kr/dsaf001/main.do?rcpNo=20260119000200", "공시열람")</f>
        <v/>
      </c>
    </row>
    <row r="93">
      <c r="A93" s="2" t="inlineStr">
        <is>
          <t>2026-01-19</t>
        </is>
      </c>
      <c r="B93" s="3" t="inlineStr">
        <is>
          <t>캐스텍코리아</t>
        </is>
      </c>
      <c r="C93" s="2" t="inlineStr">
        <is>
          <t>코스닥</t>
        </is>
      </c>
      <c r="D93" s="2" t="inlineStr">
        <is>
          <t>071850</t>
        </is>
      </c>
      <c r="E93" s="3" t="inlineStr">
        <is>
          <t>임원ㆍ주요주주특정증권등소유상황보고서</t>
        </is>
      </c>
      <c r="F93" s="3" t="inlineStr">
        <is>
          <t>윤호성</t>
        </is>
      </c>
      <c r="G93" s="2" t="inlineStr">
        <is>
          <t>20260119000198</t>
        </is>
      </c>
      <c r="H93" s="8">
        <f>HYPERLINK("https://dart.fss.or.kr/dsaf001/main.do?rcpNo=20260119000198", "공시열람")</f>
        <v/>
      </c>
    </row>
    <row r="94">
      <c r="A94" s="2" t="inlineStr">
        <is>
          <t>2026-01-19</t>
        </is>
      </c>
      <c r="B94" s="3" t="inlineStr">
        <is>
          <t>카카오페이</t>
        </is>
      </c>
      <c r="C94" s="2" t="inlineStr">
        <is>
          <t>코스피</t>
        </is>
      </c>
      <c r="D94" s="2" t="inlineStr">
        <is>
          <t>377300</t>
        </is>
      </c>
      <c r="E94" s="3" t="inlineStr">
        <is>
          <t xml:space="preserve">결산실적공시예고(안내공시)              </t>
        </is>
      </c>
      <c r="F94" s="3" t="inlineStr">
        <is>
          <t>카카오페이</t>
        </is>
      </c>
      <c r="G94" s="2" t="inlineStr">
        <is>
          <t>20260119800733</t>
        </is>
      </c>
      <c r="H94" s="8">
        <f>HYPERLINK("https://dart.fss.or.kr/dsaf001/main.do?rcpNo=20260119800733", "공시열람")</f>
        <v/>
      </c>
    </row>
    <row r="95">
      <c r="A95" s="2" t="inlineStr">
        <is>
          <t>2026-01-19</t>
        </is>
      </c>
      <c r="B95" s="3" t="inlineStr">
        <is>
          <t>교보증권</t>
        </is>
      </c>
      <c r="C95" s="2" t="inlineStr">
        <is>
          <t>코스피</t>
        </is>
      </c>
      <c r="D95" s="2" t="inlineStr">
        <is>
          <t>030610</t>
        </is>
      </c>
      <c r="E95" s="3" t="inlineStr">
        <is>
          <t xml:space="preserve">매출액또는손익구조30%(대규모법인은15%)이상변경              </t>
        </is>
      </c>
      <c r="F95" s="3" t="inlineStr">
        <is>
          <t>교보증권</t>
        </is>
      </c>
      <c r="G95" s="2" t="inlineStr">
        <is>
          <t>20260119800714</t>
        </is>
      </c>
      <c r="H95" s="8">
        <f>HYPERLINK("https://dart.fss.or.kr/dsaf001/main.do?rcpNo=20260119800714", "공시열람")</f>
        <v/>
      </c>
    </row>
    <row r="96">
      <c r="A96" s="2" t="inlineStr">
        <is>
          <t>2026-01-19</t>
        </is>
      </c>
      <c r="B96" s="3" t="inlineStr">
        <is>
          <t>HL D&amp;I</t>
        </is>
      </c>
      <c r="C96" s="2" t="inlineStr">
        <is>
          <t>코스피</t>
        </is>
      </c>
      <c r="D96" s="2" t="inlineStr">
        <is>
          <t>014790</t>
        </is>
      </c>
      <c r="E96" s="3" t="inlineStr">
        <is>
          <t xml:space="preserve">단기차입금증가결정              </t>
        </is>
      </c>
      <c r="F96" s="3" t="inlineStr">
        <is>
          <t>HL D&amp;I</t>
        </is>
      </c>
      <c r="G96" s="2" t="inlineStr">
        <is>
          <t>20260119800744</t>
        </is>
      </c>
      <c r="H96" s="8">
        <f>HYPERLINK("https://dart.fss.or.kr/dsaf001/main.do?rcpNo=20260119800744", "공시열람")</f>
        <v/>
      </c>
    </row>
    <row r="97">
      <c r="A97" s="2" t="inlineStr">
        <is>
          <t>2026-01-19</t>
        </is>
      </c>
      <c r="B97" s="3" t="inlineStr">
        <is>
          <t>조이시티</t>
        </is>
      </c>
      <c r="C97" s="2" t="inlineStr">
        <is>
          <t>코스닥</t>
        </is>
      </c>
      <c r="D97" s="2" t="inlineStr">
        <is>
          <t>067000</t>
        </is>
      </c>
      <c r="E97" s="3" t="inlineStr">
        <is>
          <t xml:space="preserve">매출액또는손익구조30%(대규모법인은15%)이상변동              </t>
        </is>
      </c>
      <c r="F97" s="3" t="inlineStr">
        <is>
          <t>조이시티</t>
        </is>
      </c>
      <c r="G97" s="2" t="inlineStr">
        <is>
          <t>20260119900716</t>
        </is>
      </c>
      <c r="H97" s="8">
        <f>HYPERLINK("https://dart.fss.or.kr/dsaf001/main.do?rcpNo=20260119900716", "공시열람")</f>
        <v/>
      </c>
    </row>
    <row r="98">
      <c r="A98" s="2" t="inlineStr">
        <is>
          <t>2026-01-19</t>
        </is>
      </c>
      <c r="B98" s="3" t="inlineStr">
        <is>
          <t>DKME</t>
        </is>
      </c>
      <c r="C98" s="2" t="inlineStr">
        <is>
          <t>코스피</t>
        </is>
      </c>
      <c r="D98" s="2" t="inlineStr">
        <is>
          <t>015590</t>
        </is>
      </c>
      <c r="E98" s="3" t="inlineStr">
        <is>
          <t xml:space="preserve">소송등의판결ㆍ결정              </t>
        </is>
      </c>
      <c r="F98" s="3" t="inlineStr">
        <is>
          <t>DKME</t>
        </is>
      </c>
      <c r="G98" s="2" t="inlineStr">
        <is>
          <t>20260119800707</t>
        </is>
      </c>
      <c r="H98" s="8">
        <f>HYPERLINK("https://dart.fss.or.kr/dsaf001/main.do?rcpNo=20260119800707", "공시열람")</f>
        <v/>
      </c>
    </row>
    <row r="99">
      <c r="A99" s="2" t="inlineStr">
        <is>
          <t>2026-01-19 (정정: 2026-03-04)</t>
        </is>
      </c>
      <c r="B99" s="3" t="inlineStr">
        <is>
          <t>다스코</t>
        </is>
      </c>
      <c r="C99" s="2" t="inlineStr">
        <is>
          <t>코스피</t>
        </is>
      </c>
      <c r="D99" s="2" t="inlineStr">
        <is>
          <t>058730</t>
        </is>
      </c>
      <c r="E99" s="3" t="inlineStr">
        <is>
          <t>자기주식취득결과보고서 (정정: 20260304)</t>
        </is>
      </c>
      <c r="F99" s="3" t="inlineStr">
        <is>
          <t>다스코</t>
        </is>
      </c>
      <c r="G99" s="2" t="inlineStr">
        <is>
          <t>20260304800969</t>
        </is>
      </c>
      <c r="H99" s="8">
        <f>HYPERLINK("https://dart.fss.or.kr/dsaf001/main.do?rcpNo=20260304800969", "공시열람")</f>
        <v/>
      </c>
    </row>
    <row r="100">
      <c r="A100" s="2" t="inlineStr">
        <is>
          <t>2026-01-19</t>
        </is>
      </c>
      <c r="B100" s="3" t="inlineStr">
        <is>
          <t>진에어</t>
        </is>
      </c>
      <c r="C100" s="2" t="inlineStr">
        <is>
          <t>코스피</t>
        </is>
      </c>
      <c r="D100" s="2" t="inlineStr">
        <is>
          <t>272450</t>
        </is>
      </c>
      <c r="E100" s="3" t="inlineStr">
        <is>
          <t xml:space="preserve">기업설명회(IR)개최(안내공시)              </t>
        </is>
      </c>
      <c r="F100" s="3" t="inlineStr">
        <is>
          <t>진에어</t>
        </is>
      </c>
      <c r="G100" s="2" t="inlineStr">
        <is>
          <t>20260119800722</t>
        </is>
      </c>
      <c r="H100" s="8">
        <f>HYPERLINK("https://dart.fss.or.kr/dsaf001/main.do?rcpNo=20260119800722", "공시열람")</f>
        <v/>
      </c>
    </row>
    <row r="101">
      <c r="A101" s="2" t="inlineStr">
        <is>
          <t>2026-01-19</t>
        </is>
      </c>
      <c r="B101" s="3" t="inlineStr">
        <is>
          <t>조이시티</t>
        </is>
      </c>
      <c r="C101" s="2" t="inlineStr">
        <is>
          <t>코스닥</t>
        </is>
      </c>
      <c r="D101" s="2" t="inlineStr">
        <is>
          <t>067000</t>
        </is>
      </c>
      <c r="E101" s="3" t="inlineStr">
        <is>
          <t xml:space="preserve">연결재무제표기준영업(잠정)실적(공정공시)              </t>
        </is>
      </c>
      <c r="F101" s="3" t="inlineStr">
        <is>
          <t>조이시티</t>
        </is>
      </c>
      <c r="G101" s="2" t="inlineStr">
        <is>
          <t>20260119900711</t>
        </is>
      </c>
      <c r="H101" s="8">
        <f>HYPERLINK("https://dart.fss.or.kr/dsaf001/main.do?rcpNo=20260119900711", "공시열람")</f>
        <v/>
      </c>
    </row>
    <row r="102">
      <c r="A102" s="2" t="inlineStr">
        <is>
          <t>2026-01-19</t>
        </is>
      </c>
      <c r="B102" s="3" t="inlineStr">
        <is>
          <t>꿈비</t>
        </is>
      </c>
      <c r="C102" s="2" t="inlineStr">
        <is>
          <t>코스닥</t>
        </is>
      </c>
      <c r="D102" s="2" t="inlineStr">
        <is>
          <t>407400</t>
        </is>
      </c>
      <c r="E102" s="3" t="inlineStr">
        <is>
          <t>전환가액의조정              (제1회차)</t>
        </is>
      </c>
      <c r="F102" s="3" t="inlineStr">
        <is>
          <t>꿈비</t>
        </is>
      </c>
      <c r="G102" s="2" t="inlineStr">
        <is>
          <t>20260119900654</t>
        </is>
      </c>
      <c r="H102" s="8">
        <f>HYPERLINK("https://dart.fss.or.kr/dsaf001/main.do?rcpNo=20260119900654", "공시열람")</f>
        <v/>
      </c>
    </row>
    <row r="103">
      <c r="A103" s="2" t="inlineStr">
        <is>
          <t>2026-01-19</t>
        </is>
      </c>
      <c r="B103" s="3" t="inlineStr">
        <is>
          <t>동아에스티</t>
        </is>
      </c>
      <c r="C103" s="2" t="inlineStr">
        <is>
          <t>코스피</t>
        </is>
      </c>
      <c r="D103" s="2" t="inlineStr">
        <is>
          <t>170900</t>
        </is>
      </c>
      <c r="E103" s="3" t="inlineStr">
        <is>
          <t>자기주식처분결과보고서</t>
        </is>
      </c>
      <c r="F103" s="3" t="inlineStr">
        <is>
          <t>동아에스티</t>
        </is>
      </c>
      <c r="G103" s="2" t="inlineStr">
        <is>
          <t>20260119000193</t>
        </is>
      </c>
      <c r="H103" s="8">
        <f>HYPERLINK("https://dart.fss.or.kr/dsaf001/main.do?rcpNo=20260119000193", "공시열람")</f>
        <v/>
      </c>
    </row>
    <row r="104">
      <c r="A104" s="2" t="inlineStr">
        <is>
          <t>2026-01-19 (정정: 2026-03-04)</t>
        </is>
      </c>
      <c r="B104" s="3" t="inlineStr">
        <is>
          <t>카나프테라퓨틱스</t>
        </is>
      </c>
      <c r="C104" s="2" t="inlineStr">
        <is>
          <t>코스닥</t>
        </is>
      </c>
      <c r="D104" s="2" t="inlineStr">
        <is>
          <t>0082N0</t>
        </is>
      </c>
      <c r="E104" s="3" t="inlineStr">
        <is>
          <t>[기재정정]증권신고서(지분증권) (정정: 20260202) (정정: 20260304)</t>
        </is>
      </c>
      <c r="F104" s="3" t="inlineStr">
        <is>
          <t>카나프테라퓨틱스</t>
        </is>
      </c>
      <c r="G104" s="2" t="inlineStr">
        <is>
          <t>20260304001117</t>
        </is>
      </c>
      <c r="H104" s="8">
        <f>HYPERLINK("https://dart.fss.or.kr/dsaf001/main.do?rcpNo=20260304001117", "공시열람")</f>
        <v/>
      </c>
    </row>
    <row r="105">
      <c r="A105" s="2" t="inlineStr">
        <is>
          <t>2026-01-19</t>
        </is>
      </c>
      <c r="B105" s="3" t="inlineStr">
        <is>
          <t>대한유화</t>
        </is>
      </c>
      <c r="C105" s="2" t="inlineStr">
        <is>
          <t>코스피</t>
        </is>
      </c>
      <c r="D105" s="2" t="inlineStr">
        <is>
          <t>006650</t>
        </is>
      </c>
      <c r="E105" s="3" t="inlineStr">
        <is>
          <t xml:space="preserve">매출액또는손익구조30%(대규모법인은15%)이상변경              </t>
        </is>
      </c>
      <c r="F105" s="3" t="inlineStr">
        <is>
          <t>대한유화</t>
        </is>
      </c>
      <c r="G105" s="2" t="inlineStr">
        <is>
          <t>20260119800685</t>
        </is>
      </c>
      <c r="H105" s="8">
        <f>HYPERLINK("https://dart.fss.or.kr/dsaf001/main.do?rcpNo=20260119800685", "공시열람")</f>
        <v/>
      </c>
    </row>
    <row r="106">
      <c r="A106" s="2" t="inlineStr">
        <is>
          <t>2026-01-19</t>
        </is>
      </c>
      <c r="B106" s="3" t="inlineStr">
        <is>
          <t>센서뷰</t>
        </is>
      </c>
      <c r="C106" s="2" t="inlineStr">
        <is>
          <t>코스닥</t>
        </is>
      </c>
      <c r="D106" s="2" t="inlineStr">
        <is>
          <t>321370</t>
        </is>
      </c>
      <c r="E106" s="3" t="inlineStr">
        <is>
          <t>전환청구권행사              (제1회차)</t>
        </is>
      </c>
      <c r="F106" s="3" t="inlineStr">
        <is>
          <t>센서뷰</t>
        </is>
      </c>
      <c r="G106" s="2" t="inlineStr">
        <is>
          <t>20260119900679</t>
        </is>
      </c>
      <c r="H106" s="8">
        <f>HYPERLINK("https://dart.fss.or.kr/dsaf001/main.do?rcpNo=20260119900679", "공시열람")</f>
        <v/>
      </c>
    </row>
    <row r="107">
      <c r="A107" s="2" t="inlineStr">
        <is>
          <t>2026-01-19</t>
        </is>
      </c>
      <c r="B107" s="3" t="inlineStr">
        <is>
          <t>동아쏘시오홀딩스</t>
        </is>
      </c>
      <c r="C107" s="2" t="inlineStr">
        <is>
          <t>코스피</t>
        </is>
      </c>
      <c r="D107" s="2" t="inlineStr">
        <is>
          <t>000640</t>
        </is>
      </c>
      <c r="E107" s="3" t="inlineStr">
        <is>
          <t>자기주식처분결과보고서</t>
        </is>
      </c>
      <c r="F107" s="3" t="inlineStr">
        <is>
          <t>동아쏘시오홀딩스</t>
        </is>
      </c>
      <c r="G107" s="2" t="inlineStr">
        <is>
          <t>20260119000189</t>
        </is>
      </c>
      <c r="H107" s="8">
        <f>HYPERLINK("https://dart.fss.or.kr/dsaf001/main.do?rcpNo=20260119000189", "공시열람")</f>
        <v/>
      </c>
    </row>
    <row r="108">
      <c r="A108" s="2" t="inlineStr">
        <is>
          <t>2026-01-19</t>
        </is>
      </c>
      <c r="B108" s="3" t="inlineStr">
        <is>
          <t>진에어</t>
        </is>
      </c>
      <c r="C108" s="2" t="inlineStr">
        <is>
          <t>코스피</t>
        </is>
      </c>
      <c r="D108" s="2" t="inlineStr">
        <is>
          <t>272450</t>
        </is>
      </c>
      <c r="E108" s="3" t="inlineStr">
        <is>
          <t xml:space="preserve">매출액또는손익구조30%(대규모법인은15%)이상변경              </t>
        </is>
      </c>
      <c r="F108" s="3" t="inlineStr">
        <is>
          <t>진에어</t>
        </is>
      </c>
      <c r="G108" s="2" t="inlineStr">
        <is>
          <t>20260119800687</t>
        </is>
      </c>
      <c r="H108" s="8">
        <f>HYPERLINK("https://dart.fss.or.kr/dsaf001/main.do?rcpNo=20260119800687", "공시열람")</f>
        <v/>
      </c>
    </row>
    <row r="109">
      <c r="A109" s="2" t="inlineStr">
        <is>
          <t>2026-01-13 (정정: 2026-01-19)</t>
        </is>
      </c>
      <c r="B109" s="3" t="inlineStr">
        <is>
          <t>티에프이</t>
        </is>
      </c>
      <c r="C109" s="2" t="inlineStr">
        <is>
          <t>코스닥</t>
        </is>
      </c>
      <c r="D109" s="2" t="inlineStr">
        <is>
          <t>425420</t>
        </is>
      </c>
      <c r="E109" s="3" t="inlineStr">
        <is>
          <t>[기재정정]주요사항보고서(자기주식처분결정)</t>
        </is>
      </c>
      <c r="F109" s="3" t="inlineStr">
        <is>
          <t>티에프이</t>
        </is>
      </c>
      <c r="G109" s="2" t="inlineStr">
        <is>
          <t>20260119000172</t>
        </is>
      </c>
      <c r="H109" s="8">
        <f>HYPERLINK("https://dart.fss.or.kr/dsaf001/main.do?rcpNo=20260119000172", "공시열람")</f>
        <v/>
      </c>
    </row>
    <row r="110">
      <c r="A110" s="2" t="inlineStr">
        <is>
          <t>2026-01-19</t>
        </is>
      </c>
      <c r="B110" s="3" t="inlineStr">
        <is>
          <t>그래피</t>
        </is>
      </c>
      <c r="C110" s="2" t="inlineStr">
        <is>
          <t>코스닥</t>
        </is>
      </c>
      <c r="D110" s="2" t="inlineStr">
        <is>
          <t>318060</t>
        </is>
      </c>
      <c r="E110" s="3" t="inlineStr">
        <is>
          <t>임원ㆍ주요주주특정증권등소유상황보고서</t>
        </is>
      </c>
      <c r="F110" s="3" t="inlineStr">
        <is>
          <t>김수진</t>
        </is>
      </c>
      <c r="G110" s="2" t="inlineStr">
        <is>
          <t>20260119000182</t>
        </is>
      </c>
      <c r="H110" s="8">
        <f>HYPERLINK("https://dart.fss.or.kr/dsaf001/main.do?rcpNo=20260119000182", "공시열람")</f>
        <v/>
      </c>
    </row>
    <row r="111">
      <c r="A111" s="2" t="inlineStr">
        <is>
          <t>2026-01-19</t>
        </is>
      </c>
      <c r="B111" s="3" t="inlineStr">
        <is>
          <t>NH투자증권</t>
        </is>
      </c>
      <c r="C111" s="2" t="inlineStr">
        <is>
          <t>코스피</t>
        </is>
      </c>
      <c r="D111" s="2" t="inlineStr">
        <is>
          <t>005940</t>
        </is>
      </c>
      <c r="E111" s="3" t="inlineStr">
        <is>
          <t>일괄신고추가서류(파생결합증권-주가연계증권)</t>
        </is>
      </c>
      <c r="F111" s="3" t="inlineStr">
        <is>
          <t>NH투자증권</t>
        </is>
      </c>
      <c r="G111" s="2" t="inlineStr">
        <is>
          <t>20260119000181</t>
        </is>
      </c>
      <c r="H111" s="8">
        <f>HYPERLINK("https://dart.fss.or.kr/dsaf001/main.do?rcpNo=20260119000181", "공시열람")</f>
        <v/>
      </c>
    </row>
    <row r="112">
      <c r="A112" s="2" t="inlineStr">
        <is>
          <t>2026-01-19</t>
        </is>
      </c>
      <c r="B112" s="3" t="inlineStr">
        <is>
          <t>제이에스링크</t>
        </is>
      </c>
      <c r="C112" s="2" t="inlineStr">
        <is>
          <t>코스닥</t>
        </is>
      </c>
      <c r="D112" s="2" t="inlineStr">
        <is>
          <t>127120</t>
        </is>
      </c>
      <c r="E112" s="3" t="inlineStr">
        <is>
          <t>전환청구권행사              (제12회차,제13회차)</t>
        </is>
      </c>
      <c r="F112" s="3" t="inlineStr">
        <is>
          <t>제이에스링크</t>
        </is>
      </c>
      <c r="G112" s="2" t="inlineStr">
        <is>
          <t>20260119900663</t>
        </is>
      </c>
      <c r="H112" s="8">
        <f>HYPERLINK("https://dart.fss.or.kr/dsaf001/main.do?rcpNo=20260119900663", "공시열람")</f>
        <v/>
      </c>
    </row>
    <row r="113">
      <c r="A113" s="2" t="inlineStr">
        <is>
          <t>2026-01-19</t>
        </is>
      </c>
      <c r="B113" s="3" t="inlineStr">
        <is>
          <t>휴네시온</t>
        </is>
      </c>
      <c r="C113" s="2" t="inlineStr">
        <is>
          <t>코스닥</t>
        </is>
      </c>
      <c r="D113" s="2" t="inlineStr">
        <is>
          <t>290270</t>
        </is>
      </c>
      <c r="E113" s="3" t="inlineStr">
        <is>
          <t>임원ㆍ주요주주특정증권등소유상황보고서</t>
        </is>
      </c>
      <c r="F113" s="3" t="inlineStr">
        <is>
          <t>이경기</t>
        </is>
      </c>
      <c r="G113" s="2" t="inlineStr">
        <is>
          <t>20260119000179</t>
        </is>
      </c>
      <c r="H113" s="8">
        <f>HYPERLINK("https://dart.fss.or.kr/dsaf001/main.do?rcpNo=20260119000179", "공시열람")</f>
        <v/>
      </c>
    </row>
    <row r="114">
      <c r="A114" s="2" t="inlineStr">
        <is>
          <t>2026-01-19 (정정: 2026-01-19)</t>
        </is>
      </c>
      <c r="B114" s="3" t="inlineStr">
        <is>
          <t>비투엔</t>
        </is>
      </c>
      <c r="C114" s="2" t="inlineStr">
        <is>
          <t>코스닥</t>
        </is>
      </c>
      <c r="D114" s="2" t="inlineStr">
        <is>
          <t>307870</t>
        </is>
      </c>
      <c r="E114" s="3" t="inlineStr">
        <is>
          <t>전환가액의조정              (제5회차) (정정: 20260119)</t>
        </is>
      </c>
      <c r="F114" s="3" t="inlineStr">
        <is>
          <t>비투엔</t>
        </is>
      </c>
      <c r="G114" s="2" t="inlineStr">
        <is>
          <t>20260119900634</t>
        </is>
      </c>
      <c r="H114" s="8">
        <f>HYPERLINK("https://dart.fss.or.kr/dsaf001/main.do?rcpNo=20260119900634", "공시열람")</f>
        <v/>
      </c>
    </row>
    <row r="115">
      <c r="A115" s="2" t="inlineStr">
        <is>
          <t>2026-01-19</t>
        </is>
      </c>
      <c r="B115" s="3" t="inlineStr">
        <is>
          <t>한화투자증권</t>
        </is>
      </c>
      <c r="C115" s="2" t="inlineStr">
        <is>
          <t>코스피</t>
        </is>
      </c>
      <c r="D115" s="2" t="inlineStr">
        <is>
          <t>003530</t>
        </is>
      </c>
      <c r="E115" s="3" t="inlineStr">
        <is>
          <t>증권발행실적보고서</t>
        </is>
      </c>
      <c r="F115" s="3" t="inlineStr">
        <is>
          <t>한화투자증권</t>
        </is>
      </c>
      <c r="G115" s="2" t="inlineStr">
        <is>
          <t>20260119000177</t>
        </is>
      </c>
      <c r="H115" s="8">
        <f>HYPERLINK("https://dart.fss.or.kr/dsaf001/main.do?rcpNo=20260119000177", "공시열람")</f>
        <v/>
      </c>
    </row>
    <row r="116">
      <c r="A116" s="2" t="inlineStr">
        <is>
          <t>2026-01-19</t>
        </is>
      </c>
      <c r="B116" s="3" t="inlineStr">
        <is>
          <t>미래에셋증권</t>
        </is>
      </c>
      <c r="C116" s="2" t="inlineStr">
        <is>
          <t>코스피</t>
        </is>
      </c>
      <c r="D116" s="2" t="inlineStr">
        <is>
          <t>006800</t>
        </is>
      </c>
      <c r="E116" s="3" t="inlineStr">
        <is>
          <t>투자설명서(일괄신고)</t>
        </is>
      </c>
      <c r="F116" s="3" t="inlineStr">
        <is>
          <t>미래에셋증권</t>
        </is>
      </c>
      <c r="G116" s="2" t="inlineStr">
        <is>
          <t>20260119000176</t>
        </is>
      </c>
      <c r="H116" s="8">
        <f>HYPERLINK("https://dart.fss.or.kr/dsaf001/main.do?rcpNo=20260119000176", "공시열람")</f>
        <v/>
      </c>
    </row>
    <row r="117">
      <c r="A117" s="2" t="inlineStr">
        <is>
          <t>2026-01-19</t>
        </is>
      </c>
      <c r="B117" s="3" t="inlineStr">
        <is>
          <t>와이투솔루션</t>
        </is>
      </c>
      <c r="C117" s="2" t="inlineStr">
        <is>
          <t>코스피</t>
        </is>
      </c>
      <c r="D117" s="2" t="inlineStr">
        <is>
          <t>011690</t>
        </is>
      </c>
      <c r="E117" s="3" t="inlineStr">
        <is>
          <t>임원ㆍ주요주주특정증권등소유상황보고서</t>
        </is>
      </c>
      <c r="F117" s="3" t="inlineStr">
        <is>
          <t>이준용</t>
        </is>
      </c>
      <c r="G117" s="2" t="inlineStr">
        <is>
          <t>20260119000175</t>
        </is>
      </c>
      <c r="H117" s="8">
        <f>HYPERLINK("https://dart.fss.or.kr/dsaf001/main.do?rcpNo=20260119000175", "공시열람")</f>
        <v/>
      </c>
    </row>
    <row r="118">
      <c r="A118" s="2" t="inlineStr">
        <is>
          <t>2026-01-19</t>
        </is>
      </c>
      <c r="B118" s="3" t="inlineStr">
        <is>
          <t>크래프톤</t>
        </is>
      </c>
      <c r="C118" s="2" t="inlineStr">
        <is>
          <t>코스피</t>
        </is>
      </c>
      <c r="D118" s="2" t="inlineStr">
        <is>
          <t>259960</t>
        </is>
      </c>
      <c r="E118" s="3" t="inlineStr">
        <is>
          <t xml:space="preserve">기업설명회(IR)개최(안내공시)              </t>
        </is>
      </c>
      <c r="F118" s="3" t="inlineStr">
        <is>
          <t>크래프톤</t>
        </is>
      </c>
      <c r="G118" s="2" t="inlineStr">
        <is>
          <t>20260119800657</t>
        </is>
      </c>
      <c r="H118" s="8">
        <f>HYPERLINK("https://dart.fss.or.kr/dsaf001/main.do?rcpNo=20260119800657", "공시열람")</f>
        <v/>
      </c>
    </row>
    <row r="119">
      <c r="A119" s="2" t="inlineStr">
        <is>
          <t>2026-01-19</t>
        </is>
      </c>
      <c r="B119" s="3" t="inlineStr">
        <is>
          <t>크래프톤</t>
        </is>
      </c>
      <c r="C119" s="2" t="inlineStr">
        <is>
          <t>코스피</t>
        </is>
      </c>
      <c r="D119" s="2" t="inlineStr">
        <is>
          <t>259960</t>
        </is>
      </c>
      <c r="E119" s="3" t="inlineStr">
        <is>
          <t xml:space="preserve">결산실적공시예고(안내공시)              </t>
        </is>
      </c>
      <c r="F119" s="3" t="inlineStr">
        <is>
          <t>크래프톤</t>
        </is>
      </c>
      <c r="G119" s="2" t="inlineStr">
        <is>
          <t>20260119800653</t>
        </is>
      </c>
      <c r="H119" s="8">
        <f>HYPERLINK("https://dart.fss.or.kr/dsaf001/main.do?rcpNo=20260119800653", "공시열람")</f>
        <v/>
      </c>
    </row>
    <row r="120">
      <c r="A120" s="2" t="inlineStr">
        <is>
          <t>2026-01-19</t>
        </is>
      </c>
      <c r="B120" s="3" t="inlineStr">
        <is>
          <t>프리티</t>
        </is>
      </c>
      <c r="C120" s="2" t="inlineStr">
        <is>
          <t>코스피</t>
        </is>
      </c>
      <c r="D120" s="2" t="inlineStr">
        <is>
          <t>006490</t>
        </is>
      </c>
      <c r="E120" s="3" t="inlineStr">
        <is>
          <t xml:space="preserve">전환가액ㆍ신주인수권행사가액ㆍ교환가액의조정(안내공시)              </t>
        </is>
      </c>
      <c r="F120" s="3" t="inlineStr">
        <is>
          <t>프리티</t>
        </is>
      </c>
      <c r="G120" s="2" t="inlineStr">
        <is>
          <t>20260119800626</t>
        </is>
      </c>
      <c r="H120" s="8">
        <f>HYPERLINK("https://dart.fss.or.kr/dsaf001/main.do?rcpNo=20260119800626", "공시열람")</f>
        <v/>
      </c>
    </row>
    <row r="121">
      <c r="A121" s="2" t="inlineStr">
        <is>
          <t>2026-01-19</t>
        </is>
      </c>
      <c r="B121" s="3" t="inlineStr">
        <is>
          <t>DKME</t>
        </is>
      </c>
      <c r="C121" s="2" t="inlineStr">
        <is>
          <t>코스피</t>
        </is>
      </c>
      <c r="D121" s="2" t="inlineStr">
        <is>
          <t>015590</t>
        </is>
      </c>
      <c r="E121" s="3" t="inlineStr">
        <is>
          <t xml:space="preserve">소송등의판결ㆍ결정              </t>
        </is>
      </c>
      <c r="F121" s="3" t="inlineStr">
        <is>
          <t>DKME</t>
        </is>
      </c>
      <c r="G121" s="2" t="inlineStr">
        <is>
          <t>20260119800630</t>
        </is>
      </c>
      <c r="H121" s="8">
        <f>HYPERLINK("https://dart.fss.or.kr/dsaf001/main.do?rcpNo=20260119800630", "공시열람")</f>
        <v/>
      </c>
    </row>
    <row r="122">
      <c r="A122" s="2" t="inlineStr">
        <is>
          <t>2026-01-19</t>
        </is>
      </c>
      <c r="B122" s="3" t="inlineStr">
        <is>
          <t>윙스풋</t>
        </is>
      </c>
      <c r="C122" s="2" t="inlineStr">
        <is>
          <t>코스닥</t>
        </is>
      </c>
      <c r="D122" s="2" t="inlineStr">
        <is>
          <t>335870</t>
        </is>
      </c>
      <c r="E122" s="3" t="inlineStr">
        <is>
          <t>임원ㆍ주요주주특정증권등거래계획보고서</t>
        </is>
      </c>
      <c r="F122" s="3" t="inlineStr">
        <is>
          <t>임신영</t>
        </is>
      </c>
      <c r="G122" s="2" t="inlineStr">
        <is>
          <t>20260119000168</t>
        </is>
      </c>
      <c r="H122" s="8">
        <f>HYPERLINK("https://dart.fss.or.kr/dsaf001/main.do?rcpNo=20260119000168", "공시열람")</f>
        <v/>
      </c>
    </row>
    <row r="123">
      <c r="A123" s="2" t="inlineStr">
        <is>
          <t>2026-01-19</t>
        </is>
      </c>
      <c r="B123" s="3" t="inlineStr">
        <is>
          <t>미래에셋증권</t>
        </is>
      </c>
      <c r="C123" s="2" t="inlineStr">
        <is>
          <t>코스피</t>
        </is>
      </c>
      <c r="D123" s="2" t="inlineStr">
        <is>
          <t>006800</t>
        </is>
      </c>
      <c r="E123" s="3" t="inlineStr">
        <is>
          <t>일괄신고추가서류(파생결합사채-주가연계파생결합사채)</t>
        </is>
      </c>
      <c r="F123" s="3" t="inlineStr">
        <is>
          <t>미래에셋증권</t>
        </is>
      </c>
      <c r="G123" s="2" t="inlineStr">
        <is>
          <t>20260119000167</t>
        </is>
      </c>
      <c r="H123" s="8">
        <f>HYPERLINK("https://dart.fss.or.kr/dsaf001/main.do?rcpNo=20260119000167", "공시열람")</f>
        <v/>
      </c>
    </row>
    <row r="124">
      <c r="A124" s="2" t="inlineStr">
        <is>
          <t>2026-01-19</t>
        </is>
      </c>
      <c r="B124" s="3" t="inlineStr">
        <is>
          <t>범한퓨얼셀</t>
        </is>
      </c>
      <c r="C124" s="2" t="inlineStr">
        <is>
          <t>코스닥</t>
        </is>
      </c>
      <c r="D124" s="2" t="inlineStr">
        <is>
          <t>382900</t>
        </is>
      </c>
      <c r="E124" s="3" t="inlineStr">
        <is>
          <t>주요사항보고서(자기주식처분결정)</t>
        </is>
      </c>
      <c r="F124" s="3" t="inlineStr">
        <is>
          <t>범한퓨얼셀</t>
        </is>
      </c>
      <c r="G124" s="2" t="inlineStr">
        <is>
          <t>20260119000162</t>
        </is>
      </c>
      <c r="H124" s="8">
        <f>HYPERLINK("https://dart.fss.or.kr/dsaf001/main.do?rcpNo=20260119000162", "공시열람")</f>
        <v/>
      </c>
    </row>
    <row r="125">
      <c r="A125" s="2" t="inlineStr">
        <is>
          <t>2026-01-19</t>
        </is>
      </c>
      <c r="B125" s="3" t="inlineStr">
        <is>
          <t>오픈엣지테크놀로지</t>
        </is>
      </c>
      <c r="C125" s="2" t="inlineStr">
        <is>
          <t>코스닥</t>
        </is>
      </c>
      <c r="D125" s="2" t="inlineStr">
        <is>
          <t>394280</t>
        </is>
      </c>
      <c r="E125" s="3" t="inlineStr">
        <is>
          <t>전환주식의전환청구권행사              (전환우선주)</t>
        </is>
      </c>
      <c r="F125" s="3" t="inlineStr">
        <is>
          <t>오픈엣지테크놀로지</t>
        </is>
      </c>
      <c r="G125" s="2" t="inlineStr">
        <is>
          <t>20260119900613</t>
        </is>
      </c>
      <c r="H125" s="8">
        <f>HYPERLINK("https://dart.fss.or.kr/dsaf001/main.do?rcpNo=20260119900613", "공시열람")</f>
        <v/>
      </c>
    </row>
    <row r="126">
      <c r="A126" s="2" t="inlineStr">
        <is>
          <t>2026-01-19</t>
        </is>
      </c>
      <c r="B126" s="3" t="inlineStr">
        <is>
          <t>파라택시스이더리움</t>
        </is>
      </c>
      <c r="C126" s="2" t="inlineStr">
        <is>
          <t>코스닥</t>
        </is>
      </c>
      <c r="D126" s="2" t="inlineStr">
        <is>
          <t>290560</t>
        </is>
      </c>
      <c r="E126" s="3" t="inlineStr">
        <is>
          <t>사외이사의선임ㆍ해임또는중도퇴임에관한신고</t>
        </is>
      </c>
      <c r="F126" s="3" t="inlineStr">
        <is>
          <t>파라택시스이더리움</t>
        </is>
      </c>
      <c r="G126" s="2" t="inlineStr">
        <is>
          <t>20260119000166</t>
        </is>
      </c>
      <c r="H126" s="8">
        <f>HYPERLINK("https://dart.fss.or.kr/dsaf001/main.do?rcpNo=20260119000166", "공시열람")</f>
        <v/>
      </c>
    </row>
    <row r="127">
      <c r="A127" s="2" t="inlineStr">
        <is>
          <t>2026-01-19 (정정: 2026-01-19)</t>
        </is>
      </c>
      <c r="B127" s="3" t="inlineStr">
        <is>
          <t>지니틱스</t>
        </is>
      </c>
      <c r="C127" s="2" t="inlineStr">
        <is>
          <t>코스닥</t>
        </is>
      </c>
      <c r="D127" s="2" t="inlineStr">
        <is>
          <t>303030</t>
        </is>
      </c>
      <c r="E127" s="3" t="inlineStr">
        <is>
          <t>주주명부폐쇄기간또는기준일설정               (정정: 20260119)</t>
        </is>
      </c>
      <c r="F127" s="3" t="inlineStr">
        <is>
          <t>지니틱스</t>
        </is>
      </c>
      <c r="G127" s="2" t="inlineStr">
        <is>
          <t>20260119900577</t>
        </is>
      </c>
      <c r="H127" s="8">
        <f>HYPERLINK("https://dart.fss.or.kr/dsaf001/main.do?rcpNo=20260119900577", "공시열람")</f>
        <v/>
      </c>
    </row>
    <row r="128">
      <c r="A128" s="2" t="inlineStr">
        <is>
          <t>2026-01-19</t>
        </is>
      </c>
      <c r="B128" s="3" t="inlineStr">
        <is>
          <t>삼성증권</t>
        </is>
      </c>
      <c r="C128" s="2" t="inlineStr">
        <is>
          <t>코스피</t>
        </is>
      </c>
      <c r="D128" s="2" t="inlineStr">
        <is>
          <t>016360</t>
        </is>
      </c>
      <c r="E128" s="3" t="inlineStr">
        <is>
          <t>투자설명서(일괄신고)</t>
        </is>
      </c>
      <c r="F128" s="3" t="inlineStr">
        <is>
          <t>삼성증권</t>
        </is>
      </c>
      <c r="G128" s="2" t="inlineStr">
        <is>
          <t>20260119000157</t>
        </is>
      </c>
      <c r="H128" s="8">
        <f>HYPERLINK("https://dart.fss.or.kr/dsaf001/main.do?rcpNo=20260119000157", "공시열람")</f>
        <v/>
      </c>
    </row>
    <row r="129">
      <c r="A129" s="2" t="inlineStr">
        <is>
          <t>2026-01-19</t>
        </is>
      </c>
      <c r="B129" s="3" t="inlineStr">
        <is>
          <t>네오위즈</t>
        </is>
      </c>
      <c r="C129" s="2" t="inlineStr">
        <is>
          <t>코스닥</t>
        </is>
      </c>
      <c r="D129" s="2" t="inlineStr">
        <is>
          <t>095660</t>
        </is>
      </c>
      <c r="E129" s="3" t="inlineStr">
        <is>
          <t xml:space="preserve">결산실적공시예고              </t>
        </is>
      </c>
      <c r="F129" s="3" t="inlineStr">
        <is>
          <t>네오위즈</t>
        </is>
      </c>
      <c r="G129" s="2" t="inlineStr">
        <is>
          <t>20260119900601</t>
        </is>
      </c>
      <c r="H129" s="8">
        <f>HYPERLINK("https://dart.fss.or.kr/dsaf001/main.do?rcpNo=20260119900601", "공시열람")</f>
        <v/>
      </c>
    </row>
    <row r="130">
      <c r="A130" s="2" t="inlineStr">
        <is>
          <t>2026-01-19</t>
        </is>
      </c>
      <c r="B130" s="3" t="inlineStr">
        <is>
          <t>애드바이오텍</t>
        </is>
      </c>
      <c r="C130" s="2" t="inlineStr">
        <is>
          <t>코스닥</t>
        </is>
      </c>
      <c r="D130" s="2" t="inlineStr">
        <is>
          <t>179530</t>
        </is>
      </c>
      <c r="E130" s="3" t="inlineStr">
        <is>
          <t>임원ㆍ주요주주특정증권등소유상황보고서</t>
        </is>
      </c>
      <c r="F130" s="3" t="inlineStr">
        <is>
          <t>비케이파트너스투자조합2호</t>
        </is>
      </c>
      <c r="G130" s="2" t="inlineStr">
        <is>
          <t>20260119000154</t>
        </is>
      </c>
      <c r="H130" s="8">
        <f>HYPERLINK("https://dart.fss.or.kr/dsaf001/main.do?rcpNo=20260119000154", "공시열람")</f>
        <v/>
      </c>
    </row>
    <row r="131">
      <c r="A131" s="2" t="inlineStr">
        <is>
          <t>2026-01-19</t>
        </is>
      </c>
      <c r="B131" s="3" t="inlineStr">
        <is>
          <t>NH투자증권</t>
        </is>
      </c>
      <c r="C131" s="2" t="inlineStr">
        <is>
          <t>코스피</t>
        </is>
      </c>
      <c r="D131" s="2" t="inlineStr">
        <is>
          <t>005940</t>
        </is>
      </c>
      <c r="E131" s="3" t="inlineStr">
        <is>
          <t>일괄신고추가서류(파생결합증권-주가연계증권)</t>
        </is>
      </c>
      <c r="F131" s="3" t="inlineStr">
        <is>
          <t>NH투자증권</t>
        </is>
      </c>
      <c r="G131" s="2" t="inlineStr">
        <is>
          <t>20260119000153</t>
        </is>
      </c>
      <c r="H131" s="8">
        <f>HYPERLINK("https://dart.fss.or.kr/dsaf001/main.do?rcpNo=20260119000153", "공시열람")</f>
        <v/>
      </c>
    </row>
    <row r="132">
      <c r="A132" s="2" t="inlineStr">
        <is>
          <t>2026-01-19</t>
        </is>
      </c>
      <c r="B132" s="3" t="inlineStr">
        <is>
          <t>삼성증권</t>
        </is>
      </c>
      <c r="C132" s="2" t="inlineStr">
        <is>
          <t>코스피</t>
        </is>
      </c>
      <c r="D132" s="2" t="inlineStr">
        <is>
          <t>016360</t>
        </is>
      </c>
      <c r="E132" s="3" t="inlineStr">
        <is>
          <t>일괄신고추가서류(파생결합증권-주가연계증권)</t>
        </is>
      </c>
      <c r="F132" s="3" t="inlineStr">
        <is>
          <t>삼성증권</t>
        </is>
      </c>
      <c r="G132" s="2" t="inlineStr">
        <is>
          <t>20260119000152</t>
        </is>
      </c>
      <c r="H132" s="8">
        <f>HYPERLINK("https://dart.fss.or.kr/dsaf001/main.do?rcpNo=20260119000152", "공시열람")</f>
        <v/>
      </c>
    </row>
    <row r="133">
      <c r="A133" s="2" t="inlineStr">
        <is>
          <t>2026-01-19</t>
        </is>
      </c>
      <c r="B133" s="3" t="inlineStr">
        <is>
          <t>아주스틸</t>
        </is>
      </c>
      <c r="C133" s="2" t="inlineStr">
        <is>
          <t>코스피</t>
        </is>
      </c>
      <c r="D133" s="2" t="inlineStr">
        <is>
          <t>139990</t>
        </is>
      </c>
      <c r="E133" s="3" t="inlineStr">
        <is>
          <t xml:space="preserve">기타안내사항(안내공시)              </t>
        </is>
      </c>
      <c r="F133" s="3" t="inlineStr">
        <is>
          <t>아주스틸</t>
        </is>
      </c>
      <c r="G133" s="2" t="inlineStr">
        <is>
          <t>20260119800557</t>
        </is>
      </c>
      <c r="H133" s="8">
        <f>HYPERLINK("https://dart.fss.or.kr/dsaf001/main.do?rcpNo=20260119800557", "공시열람")</f>
        <v/>
      </c>
    </row>
    <row r="134">
      <c r="A134" s="2" t="inlineStr">
        <is>
          <t>2026-01-19</t>
        </is>
      </c>
      <c r="B134" s="3" t="inlineStr">
        <is>
          <t>오킨스전자</t>
        </is>
      </c>
      <c r="C134" s="2" t="inlineStr">
        <is>
          <t>코스닥</t>
        </is>
      </c>
      <c r="D134" s="2" t="inlineStr">
        <is>
          <t>080580</t>
        </is>
      </c>
      <c r="E134" s="3" t="inlineStr">
        <is>
          <t>자기주식처분결과보고서</t>
        </is>
      </c>
      <c r="F134" s="3" t="inlineStr">
        <is>
          <t>오킨스전자</t>
        </is>
      </c>
      <c r="G134" s="2" t="inlineStr">
        <is>
          <t>20260119000146</t>
        </is>
      </c>
      <c r="H134" s="8">
        <f>HYPERLINK("https://dart.fss.or.kr/dsaf001/main.do?rcpNo=20260119000146", "공시열람")</f>
        <v/>
      </c>
    </row>
    <row r="135">
      <c r="A135" s="2" t="inlineStr">
        <is>
          <t>2026-01-19</t>
        </is>
      </c>
      <c r="B135" s="3" t="inlineStr">
        <is>
          <t>삼성증권</t>
        </is>
      </c>
      <c r="C135" s="2" t="inlineStr">
        <is>
          <t>코스피</t>
        </is>
      </c>
      <c r="D135" s="2" t="inlineStr">
        <is>
          <t>016360</t>
        </is>
      </c>
      <c r="E135" s="3" t="inlineStr">
        <is>
          <t>증권발행실적보고서</t>
        </is>
      </c>
      <c r="F135" s="3" t="inlineStr">
        <is>
          <t>삼성증권</t>
        </is>
      </c>
      <c r="G135" s="2" t="inlineStr">
        <is>
          <t>20260119000145</t>
        </is>
      </c>
      <c r="H135" s="8">
        <f>HYPERLINK("https://dart.fss.or.kr/dsaf001/main.do?rcpNo=20260119000145", "공시열람")</f>
        <v/>
      </c>
    </row>
    <row r="136">
      <c r="A136" s="2" t="inlineStr">
        <is>
          <t>2026-01-19</t>
        </is>
      </c>
      <c r="B136" s="3" t="inlineStr">
        <is>
          <t>오킨스전자</t>
        </is>
      </c>
      <c r="C136" s="2" t="inlineStr">
        <is>
          <t>코스닥</t>
        </is>
      </c>
      <c r="D136" s="2" t="inlineStr">
        <is>
          <t>080580</t>
        </is>
      </c>
      <c r="E136" s="3" t="inlineStr">
        <is>
          <t xml:space="preserve">증권발행결과(자율공시)              </t>
        </is>
      </c>
      <c r="F136" s="3" t="inlineStr">
        <is>
          <t>오킨스전자</t>
        </is>
      </c>
      <c r="G136" s="2" t="inlineStr">
        <is>
          <t>20260119900583</t>
        </is>
      </c>
      <c r="H136" s="8">
        <f>HYPERLINK("https://dart.fss.or.kr/dsaf001/main.do?rcpNo=20260119900583", "공시열람")</f>
        <v/>
      </c>
    </row>
    <row r="137">
      <c r="A137" s="2" t="inlineStr">
        <is>
          <t>2026-01-19</t>
        </is>
      </c>
      <c r="B137" s="3" t="inlineStr">
        <is>
          <t>키움증권</t>
        </is>
      </c>
      <c r="C137" s="2" t="inlineStr">
        <is>
          <t>코스피</t>
        </is>
      </c>
      <c r="D137" s="2" t="inlineStr">
        <is>
          <t>039490</t>
        </is>
      </c>
      <c r="E137" s="3" t="inlineStr">
        <is>
          <t>증권발행실적보고서</t>
        </is>
      </c>
      <c r="F137" s="3" t="inlineStr">
        <is>
          <t>키움증권</t>
        </is>
      </c>
      <c r="G137" s="2" t="inlineStr">
        <is>
          <t>20260119000144</t>
        </is>
      </c>
      <c r="H137" s="8">
        <f>HYPERLINK("https://dart.fss.or.kr/dsaf001/main.do?rcpNo=20260119000144", "공시열람")</f>
        <v/>
      </c>
    </row>
    <row r="138">
      <c r="A138" s="2" t="inlineStr">
        <is>
          <t>2026-01-19</t>
        </is>
      </c>
      <c r="B138" s="3" t="inlineStr">
        <is>
          <t>흥국</t>
        </is>
      </c>
      <c r="C138" s="2" t="inlineStr">
        <is>
          <t>코스닥</t>
        </is>
      </c>
      <c r="D138" s="2" t="inlineStr">
        <is>
          <t>010240</t>
        </is>
      </c>
      <c r="E138" s="3" t="inlineStr">
        <is>
          <t>임원ㆍ주요주주특정증권등소유상황보고서</t>
        </is>
      </c>
      <c r="F138" s="3" t="inlineStr">
        <is>
          <t>석재현</t>
        </is>
      </c>
      <c r="G138" s="2" t="inlineStr">
        <is>
          <t>20260119000143</t>
        </is>
      </c>
      <c r="H138" s="8">
        <f>HYPERLINK("https://dart.fss.or.kr/dsaf001/main.do?rcpNo=20260119000143", "공시열람")</f>
        <v/>
      </c>
    </row>
    <row r="139">
      <c r="A139" s="2" t="inlineStr">
        <is>
          <t>2026-01-19 (정정: 2026-03-10)</t>
        </is>
      </c>
      <c r="B139" s="3" t="inlineStr">
        <is>
          <t>아이엠바이오로직스</t>
        </is>
      </c>
      <c r="C139" s="2" t="inlineStr">
        <is>
          <t>코스닥</t>
        </is>
      </c>
      <c r="D139" s="2" t="inlineStr">
        <is>
          <t>493280</t>
        </is>
      </c>
      <c r="E139" s="3" t="inlineStr">
        <is>
          <t>증권신고서(지분증권) (정정: 20260310)</t>
        </is>
      </c>
      <c r="F139" s="3" t="inlineStr">
        <is>
          <t>아이엠바이오로직스</t>
        </is>
      </c>
      <c r="G139" s="2" t="inlineStr">
        <is>
          <t>20260310002460</t>
        </is>
      </c>
      <c r="H139" s="8">
        <f>HYPERLINK("https://dart.fss.or.kr/dsaf001/main.do?rcpNo=20260310002460", "공시열람")</f>
        <v/>
      </c>
    </row>
    <row r="140">
      <c r="A140" s="2" t="inlineStr">
        <is>
          <t>2026-01-19</t>
        </is>
      </c>
      <c r="B140" s="3" t="inlineStr">
        <is>
          <t>하이브</t>
        </is>
      </c>
      <c r="C140" s="2" t="inlineStr">
        <is>
          <t>코스피</t>
        </is>
      </c>
      <c r="D140" s="2" t="inlineStr">
        <is>
          <t>352820</t>
        </is>
      </c>
      <c r="E140" s="3" t="inlineStr">
        <is>
          <t xml:space="preserve">기업설명회(IR)개최(안내공시)              </t>
        </is>
      </c>
      <c r="F140" s="3" t="inlineStr">
        <is>
          <t>하이브</t>
        </is>
      </c>
      <c r="G140" s="2" t="inlineStr">
        <is>
          <t>20260119800578</t>
        </is>
      </c>
      <c r="H140" s="8">
        <f>HYPERLINK("https://dart.fss.or.kr/dsaf001/main.do?rcpNo=20260119800578", "공시열람")</f>
        <v/>
      </c>
    </row>
    <row r="141">
      <c r="A141" s="2" t="inlineStr">
        <is>
          <t>2026-01-19</t>
        </is>
      </c>
      <c r="B141" s="3" t="inlineStr">
        <is>
          <t>엑세스바이오</t>
        </is>
      </c>
      <c r="C141" s="2" t="inlineStr">
        <is>
          <t>코스닥</t>
        </is>
      </c>
      <c r="D141" s="2" t="inlineStr">
        <is>
          <t>950130</t>
        </is>
      </c>
      <c r="E141" s="3" t="inlineStr">
        <is>
          <t xml:space="preserve">타법인주식및출자증권취득결정              </t>
        </is>
      </c>
      <c r="F141" s="3" t="inlineStr">
        <is>
          <t>엑세스바이오</t>
        </is>
      </c>
      <c r="G141" s="2" t="inlineStr">
        <is>
          <t>20260119900558</t>
        </is>
      </c>
      <c r="H141" s="8">
        <f>HYPERLINK("https://dart.fss.or.kr/dsaf001/main.do?rcpNo=20260119900558", "공시열람")</f>
        <v/>
      </c>
    </row>
    <row r="142">
      <c r="A142" s="2" t="inlineStr">
        <is>
          <t>2026-01-19</t>
        </is>
      </c>
      <c r="B142" s="3" t="inlineStr">
        <is>
          <t>현대사료</t>
        </is>
      </c>
      <c r="C142" s="2" t="inlineStr">
        <is>
          <t>코스닥</t>
        </is>
      </c>
      <c r="D142" s="2" t="inlineStr">
        <is>
          <t>016790</t>
        </is>
      </c>
      <c r="E142" s="3" t="inlineStr">
        <is>
          <t>임원ㆍ주요주주특정증권등소유상황보고서</t>
        </is>
      </c>
      <c r="F142" s="3" t="inlineStr">
        <is>
          <t>비에스제이에스</t>
        </is>
      </c>
      <c r="G142" s="2" t="inlineStr">
        <is>
          <t>20260119000139</t>
        </is>
      </c>
      <c r="H142" s="8">
        <f>HYPERLINK("https://dart.fss.or.kr/dsaf001/main.do?rcpNo=20260119000139", "공시열람")</f>
        <v/>
      </c>
    </row>
    <row r="143">
      <c r="A143" s="2" t="inlineStr">
        <is>
          <t>2026-01-19</t>
        </is>
      </c>
      <c r="B143" s="3" t="inlineStr">
        <is>
          <t>웨이버스</t>
        </is>
      </c>
      <c r="C143" s="2" t="inlineStr">
        <is>
          <t>코스닥</t>
        </is>
      </c>
      <c r="D143" s="2" t="inlineStr">
        <is>
          <t>336060</t>
        </is>
      </c>
      <c r="E143" s="3" t="inlineStr">
        <is>
          <t>임원ㆍ주요주주특정증권등소유상황보고서</t>
        </is>
      </c>
      <c r="F143" s="3" t="inlineStr">
        <is>
          <t>박창훈</t>
        </is>
      </c>
      <c r="G143" s="2" t="inlineStr">
        <is>
          <t>20260119000135</t>
        </is>
      </c>
      <c r="H143" s="8">
        <f>HYPERLINK("https://dart.fss.or.kr/dsaf001/main.do?rcpNo=20260119000135", "공시열람")</f>
        <v/>
      </c>
    </row>
    <row r="144">
      <c r="A144" s="2" t="inlineStr">
        <is>
          <t>2026-01-19</t>
        </is>
      </c>
      <c r="B144" s="3" t="inlineStr">
        <is>
          <t>이브이첨단소재</t>
        </is>
      </c>
      <c r="C144" s="2" t="inlineStr">
        <is>
          <t>코스닥</t>
        </is>
      </c>
      <c r="D144" s="2" t="inlineStr">
        <is>
          <t>131400</t>
        </is>
      </c>
      <c r="E144" s="3" t="inlineStr">
        <is>
          <t>주요사항보고서(타법인주식및출자증권양도결정)</t>
        </is>
      </c>
      <c r="F144" s="3" t="inlineStr">
        <is>
          <t>이브이첨단소재</t>
        </is>
      </c>
      <c r="G144" s="2" t="inlineStr">
        <is>
          <t>20260119000116</t>
        </is>
      </c>
      <c r="H144" s="8">
        <f>HYPERLINK("https://dart.fss.or.kr/dsaf001/main.do?rcpNo=20260119000116", "공시열람")</f>
        <v/>
      </c>
    </row>
    <row r="145">
      <c r="A145" s="2" t="inlineStr">
        <is>
          <t>2026-01-19</t>
        </is>
      </c>
      <c r="B145" s="3" t="inlineStr">
        <is>
          <t>한화투자증권</t>
        </is>
      </c>
      <c r="C145" s="2" t="inlineStr">
        <is>
          <t>코스피</t>
        </is>
      </c>
      <c r="D145" s="2" t="inlineStr">
        <is>
          <t>003530</t>
        </is>
      </c>
      <c r="E145" s="3" t="inlineStr">
        <is>
          <t>증권발행실적보고서</t>
        </is>
      </c>
      <c r="F145" s="3" t="inlineStr">
        <is>
          <t>한화투자증권</t>
        </is>
      </c>
      <c r="G145" s="2" t="inlineStr">
        <is>
          <t>20260119000132</t>
        </is>
      </c>
      <c r="H145" s="8">
        <f>HYPERLINK("https://dart.fss.or.kr/dsaf001/main.do?rcpNo=20260119000132", "공시열람")</f>
        <v/>
      </c>
    </row>
    <row r="146">
      <c r="A146" s="2" t="inlineStr">
        <is>
          <t>2026-01-19</t>
        </is>
      </c>
      <c r="B146" s="3" t="inlineStr">
        <is>
          <t>한화투자증권</t>
        </is>
      </c>
      <c r="C146" s="2" t="inlineStr">
        <is>
          <t>코스피</t>
        </is>
      </c>
      <c r="D146" s="2" t="inlineStr">
        <is>
          <t>003530</t>
        </is>
      </c>
      <c r="E146" s="3" t="inlineStr">
        <is>
          <t>증권발행실적보고서</t>
        </is>
      </c>
      <c r="F146" s="3" t="inlineStr">
        <is>
          <t>한화투자증권</t>
        </is>
      </c>
      <c r="G146" s="2" t="inlineStr">
        <is>
          <t>20260119000131</t>
        </is>
      </c>
      <c r="H146" s="8">
        <f>HYPERLINK("https://dart.fss.or.kr/dsaf001/main.do?rcpNo=20260119000131", "공시열람")</f>
        <v/>
      </c>
    </row>
    <row r="147">
      <c r="A147" s="2" t="inlineStr">
        <is>
          <t>2026-01-19</t>
        </is>
      </c>
      <c r="B147" s="3" t="inlineStr">
        <is>
          <t>흥국</t>
        </is>
      </c>
      <c r="C147" s="2" t="inlineStr">
        <is>
          <t>코스닥</t>
        </is>
      </c>
      <c r="D147" s="2" t="inlineStr">
        <is>
          <t>010240</t>
        </is>
      </c>
      <c r="E147" s="3" t="inlineStr">
        <is>
          <t>임원ㆍ주요주주특정증권등소유상황보고서</t>
        </is>
      </c>
      <c r="F147" s="3" t="inlineStr">
        <is>
          <t>송현의</t>
        </is>
      </c>
      <c r="G147" s="2" t="inlineStr">
        <is>
          <t>20260119000130</t>
        </is>
      </c>
      <c r="H147" s="8">
        <f>HYPERLINK("https://dart.fss.or.kr/dsaf001/main.do?rcpNo=20260119000130", "공시열람")</f>
        <v/>
      </c>
    </row>
    <row r="148">
      <c r="A148" s="2" t="inlineStr">
        <is>
          <t>2026-01-19</t>
        </is>
      </c>
      <c r="B148" s="3" t="inlineStr">
        <is>
          <t>현대사료</t>
        </is>
      </c>
      <c r="C148" s="2" t="inlineStr">
        <is>
          <t>코스닥</t>
        </is>
      </c>
      <c r="D148" s="2" t="inlineStr">
        <is>
          <t>016790</t>
        </is>
      </c>
      <c r="E148" s="3" t="inlineStr">
        <is>
          <t>임원ㆍ주요주주특정증권등소유상황보고서</t>
        </is>
      </c>
      <c r="F148" s="3" t="inlineStr">
        <is>
          <t>뜰안채건설</t>
        </is>
      </c>
      <c r="G148" s="2" t="inlineStr">
        <is>
          <t>20260119000127</t>
        </is>
      </c>
      <c r="H148" s="8">
        <f>HYPERLINK("https://dart.fss.or.kr/dsaf001/main.do?rcpNo=20260119000127", "공시열람")</f>
        <v/>
      </c>
    </row>
    <row r="149">
      <c r="A149" s="2" t="inlineStr">
        <is>
          <t>2026-01-19</t>
        </is>
      </c>
      <c r="B149" s="3" t="inlineStr">
        <is>
          <t>알에프텍</t>
        </is>
      </c>
      <c r="C149" s="2" t="inlineStr">
        <is>
          <t>코스닥</t>
        </is>
      </c>
      <c r="D149" s="2" t="inlineStr">
        <is>
          <t>061040</t>
        </is>
      </c>
      <c r="E149" s="3" t="inlineStr">
        <is>
          <t xml:space="preserve">타법인주식및출자증권처분결정              </t>
        </is>
      </c>
      <c r="F149" s="3" t="inlineStr">
        <is>
          <t>알에프텍</t>
        </is>
      </c>
      <c r="G149" s="2" t="inlineStr">
        <is>
          <t>20260119900562</t>
        </is>
      </c>
      <c r="H149" s="8">
        <f>HYPERLINK("https://dart.fss.or.kr/dsaf001/main.do?rcpNo=20260119900562", "공시열람")</f>
        <v/>
      </c>
    </row>
    <row r="150">
      <c r="A150" s="2" t="inlineStr">
        <is>
          <t>2026-01-19</t>
        </is>
      </c>
      <c r="B150" s="3" t="inlineStr">
        <is>
          <t>한화투자증권</t>
        </is>
      </c>
      <c r="C150" s="2" t="inlineStr">
        <is>
          <t>코스피</t>
        </is>
      </c>
      <c r="D150" s="2" t="inlineStr">
        <is>
          <t>003530</t>
        </is>
      </c>
      <c r="E150" s="3" t="inlineStr">
        <is>
          <t>증권발행실적보고서</t>
        </is>
      </c>
      <c r="F150" s="3" t="inlineStr">
        <is>
          <t>한화투자증권</t>
        </is>
      </c>
      <c r="G150" s="2" t="inlineStr">
        <is>
          <t>20260119000126</t>
        </is>
      </c>
      <c r="H150" s="8">
        <f>HYPERLINK("https://dart.fss.or.kr/dsaf001/main.do?rcpNo=20260119000126", "공시열람")</f>
        <v/>
      </c>
    </row>
    <row r="151">
      <c r="A151" s="2" t="inlineStr">
        <is>
          <t>2026-01-19</t>
        </is>
      </c>
      <c r="B151" s="3" t="inlineStr">
        <is>
          <t>에쓰씨엔지니어링</t>
        </is>
      </c>
      <c r="C151" s="2" t="inlineStr">
        <is>
          <t>코스피</t>
        </is>
      </c>
      <c r="D151" s="2" t="inlineStr">
        <is>
          <t>023960</t>
        </is>
      </c>
      <c r="E151" s="3" t="inlineStr">
        <is>
          <t xml:space="preserve">투자판단관련주요경영사항              </t>
        </is>
      </c>
      <c r="F151" s="3" t="inlineStr">
        <is>
          <t>에쓰씨엔지니어링</t>
        </is>
      </c>
      <c r="G151" s="2" t="inlineStr">
        <is>
          <t>20260119800554</t>
        </is>
      </c>
      <c r="H151" s="8">
        <f>HYPERLINK("https://dart.fss.or.kr/dsaf001/main.do?rcpNo=20260119800554", "공시열람")</f>
        <v/>
      </c>
    </row>
    <row r="152">
      <c r="A152" s="2" t="inlineStr">
        <is>
          <t>2026-01-19</t>
        </is>
      </c>
      <c r="B152" s="3" t="inlineStr">
        <is>
          <t>교보증권</t>
        </is>
      </c>
      <c r="C152" s="2" t="inlineStr">
        <is>
          <t>코스피</t>
        </is>
      </c>
      <c r="D152" s="2" t="inlineStr">
        <is>
          <t>030610</t>
        </is>
      </c>
      <c r="E152" s="3" t="inlineStr">
        <is>
          <t>증권발행실적보고서</t>
        </is>
      </c>
      <c r="F152" s="3" t="inlineStr">
        <is>
          <t>교보증권</t>
        </is>
      </c>
      <c r="G152" s="2" t="inlineStr">
        <is>
          <t>20260119000121</t>
        </is>
      </c>
      <c r="H152" s="8">
        <f>HYPERLINK("https://dart.fss.or.kr/dsaf001/main.do?rcpNo=20260119000121", "공시열람")</f>
        <v/>
      </c>
    </row>
    <row r="153">
      <c r="A153" s="2" t="inlineStr">
        <is>
          <t>2026-01-19</t>
        </is>
      </c>
      <c r="B153" s="3" t="inlineStr">
        <is>
          <t>웨이버스</t>
        </is>
      </c>
      <c r="C153" s="2" t="inlineStr">
        <is>
          <t>코스닥</t>
        </is>
      </c>
      <c r="D153" s="2" t="inlineStr">
        <is>
          <t>336060</t>
        </is>
      </c>
      <c r="E153" s="3" t="inlineStr">
        <is>
          <t>임원ㆍ주요주주특정증권등소유상황보고서</t>
        </is>
      </c>
      <c r="F153" s="3" t="inlineStr">
        <is>
          <t>조문기</t>
        </is>
      </c>
      <c r="G153" s="2" t="inlineStr">
        <is>
          <t>20260119000115</t>
        </is>
      </c>
      <c r="H153" s="8">
        <f>HYPERLINK("https://dart.fss.or.kr/dsaf001/main.do?rcpNo=20260119000115", "공시열람")</f>
        <v/>
      </c>
    </row>
    <row r="154">
      <c r="A154" s="2" t="inlineStr">
        <is>
          <t>2026-01-19</t>
        </is>
      </c>
      <c r="B154" s="3" t="inlineStr">
        <is>
          <t>미래에셋증권</t>
        </is>
      </c>
      <c r="C154" s="2" t="inlineStr">
        <is>
          <t>코스피</t>
        </is>
      </c>
      <c r="D154" s="2" t="inlineStr">
        <is>
          <t>006800</t>
        </is>
      </c>
      <c r="E154" s="3" t="inlineStr">
        <is>
          <t>증권발행실적보고서</t>
        </is>
      </c>
      <c r="F154" s="3" t="inlineStr">
        <is>
          <t>미래에셋증권</t>
        </is>
      </c>
      <c r="G154" s="2" t="inlineStr">
        <is>
          <t>20260119000114</t>
        </is>
      </c>
      <c r="H154" s="8">
        <f>HYPERLINK("https://dart.fss.or.kr/dsaf001/main.do?rcpNo=20260119000114", "공시열람")</f>
        <v/>
      </c>
    </row>
    <row r="155">
      <c r="A155" s="2" t="inlineStr">
        <is>
          <t>2026-01-19</t>
        </is>
      </c>
      <c r="B155" s="3" t="inlineStr">
        <is>
          <t>키움증권</t>
        </is>
      </c>
      <c r="C155" s="2" t="inlineStr">
        <is>
          <t>코스피</t>
        </is>
      </c>
      <c r="D155" s="2" t="inlineStr">
        <is>
          <t>039490</t>
        </is>
      </c>
      <c r="E155" s="3" t="inlineStr">
        <is>
          <t>증권발행실적보고서</t>
        </is>
      </c>
      <c r="F155" s="3" t="inlineStr">
        <is>
          <t>키움증권</t>
        </is>
      </c>
      <c r="G155" s="2" t="inlineStr">
        <is>
          <t>20260119000113</t>
        </is>
      </c>
      <c r="H155" s="8">
        <f>HYPERLINK("https://dart.fss.or.kr/dsaf001/main.do?rcpNo=20260119000113", "공시열람")</f>
        <v/>
      </c>
    </row>
    <row r="156">
      <c r="A156" s="2" t="inlineStr">
        <is>
          <t>2026-01-19</t>
        </is>
      </c>
      <c r="B156" s="3" t="inlineStr">
        <is>
          <t>인터엠</t>
        </is>
      </c>
      <c r="C156" s="2" t="inlineStr">
        <is>
          <t>코스닥</t>
        </is>
      </c>
      <c r="D156" s="2" t="inlineStr">
        <is>
          <t>017250</t>
        </is>
      </c>
      <c r="E156" s="3" t="inlineStr">
        <is>
          <t>임원ㆍ주요주주특정증권등소유상황보고서</t>
        </is>
      </c>
      <c r="F156" s="3" t="inlineStr">
        <is>
          <t>조남용</t>
        </is>
      </c>
      <c r="G156" s="2" t="inlineStr">
        <is>
          <t>20260119000111</t>
        </is>
      </c>
      <c r="H156" s="8">
        <f>HYPERLINK("https://dart.fss.or.kr/dsaf001/main.do?rcpNo=20260119000111", "공시열람")</f>
        <v/>
      </c>
    </row>
    <row r="157">
      <c r="A157" s="2" t="inlineStr">
        <is>
          <t>2026-01-19</t>
        </is>
      </c>
      <c r="B157" s="3" t="inlineStr">
        <is>
          <t>흥국</t>
        </is>
      </c>
      <c r="C157" s="2" t="inlineStr">
        <is>
          <t>코스닥</t>
        </is>
      </c>
      <c r="D157" s="2" t="inlineStr">
        <is>
          <t>010240</t>
        </is>
      </c>
      <c r="E157" s="3" t="inlineStr">
        <is>
          <t>임원ㆍ주요주주특정증권등소유상황보고서</t>
        </is>
      </c>
      <c r="F157" s="3" t="inlineStr">
        <is>
          <t>이상운</t>
        </is>
      </c>
      <c r="G157" s="2" t="inlineStr">
        <is>
          <t>20260119000109</t>
        </is>
      </c>
      <c r="H157" s="8">
        <f>HYPERLINK("https://dart.fss.or.kr/dsaf001/main.do?rcpNo=20260119000109", "공시열람")</f>
        <v/>
      </c>
    </row>
    <row r="158">
      <c r="A158" s="2" t="inlineStr">
        <is>
          <t>2026-01-19</t>
        </is>
      </c>
      <c r="B158" s="3" t="inlineStr">
        <is>
          <t>제이케이시냅스</t>
        </is>
      </c>
      <c r="C158" s="2" t="inlineStr">
        <is>
          <t>코스닥</t>
        </is>
      </c>
      <c r="D158" s="2" t="inlineStr">
        <is>
          <t>060230</t>
        </is>
      </c>
      <c r="E158" s="3" t="inlineStr">
        <is>
          <t xml:space="preserve">자산재평가결과(자율공시)              </t>
        </is>
      </c>
      <c r="F158" s="3" t="inlineStr">
        <is>
          <t>제이케이시냅스</t>
        </is>
      </c>
      <c r="G158" s="2" t="inlineStr">
        <is>
          <t>20260119900534</t>
        </is>
      </c>
      <c r="H158" s="8">
        <f>HYPERLINK("https://dart.fss.or.kr/dsaf001/main.do?rcpNo=20260119900534", "공시열람")</f>
        <v/>
      </c>
    </row>
    <row r="159">
      <c r="A159" s="2" t="inlineStr">
        <is>
          <t>2026-01-19</t>
        </is>
      </c>
      <c r="B159" s="3" t="inlineStr">
        <is>
          <t>유안타증권</t>
        </is>
      </c>
      <c r="C159" s="2" t="inlineStr">
        <is>
          <t>코스피</t>
        </is>
      </c>
      <c r="D159" s="2" t="inlineStr">
        <is>
          <t>003470</t>
        </is>
      </c>
      <c r="E159" s="3" t="inlineStr">
        <is>
          <t>증권발행실적보고서</t>
        </is>
      </c>
      <c r="F159" s="3" t="inlineStr">
        <is>
          <t>유안타증권</t>
        </is>
      </c>
      <c r="G159" s="2" t="inlineStr">
        <is>
          <t>20260119000105</t>
        </is>
      </c>
      <c r="H159" s="8">
        <f>HYPERLINK("https://dart.fss.or.kr/dsaf001/main.do?rcpNo=20260119000105", "공시열람")</f>
        <v/>
      </c>
    </row>
    <row r="160">
      <c r="A160" s="2" t="inlineStr">
        <is>
          <t>2026-01-19</t>
        </is>
      </c>
      <c r="B160" s="3" t="inlineStr">
        <is>
          <t>흥국</t>
        </is>
      </c>
      <c r="C160" s="2" t="inlineStr">
        <is>
          <t>코스닥</t>
        </is>
      </c>
      <c r="D160" s="2" t="inlineStr">
        <is>
          <t>010240</t>
        </is>
      </c>
      <c r="E160" s="3" t="inlineStr">
        <is>
          <t>임원ㆍ주요주주특정증권등소유상황보고서</t>
        </is>
      </c>
      <c r="F160" s="3" t="inlineStr">
        <is>
          <t>류기승</t>
        </is>
      </c>
      <c r="G160" s="2" t="inlineStr">
        <is>
          <t>20260119000101</t>
        </is>
      </c>
      <c r="H160" s="8">
        <f>HYPERLINK("https://dart.fss.or.kr/dsaf001/main.do?rcpNo=20260119000101", "공시열람")</f>
        <v/>
      </c>
    </row>
    <row r="161">
      <c r="A161" s="2" t="inlineStr">
        <is>
          <t>2026-01-19</t>
        </is>
      </c>
      <c r="B161" s="3" t="inlineStr">
        <is>
          <t>NH투자증권</t>
        </is>
      </c>
      <c r="C161" s="2" t="inlineStr">
        <is>
          <t>코스피</t>
        </is>
      </c>
      <c r="D161" s="2" t="inlineStr">
        <is>
          <t>005940</t>
        </is>
      </c>
      <c r="E161" s="3" t="inlineStr">
        <is>
          <t>증권발행실적보고서</t>
        </is>
      </c>
      <c r="F161" s="3" t="inlineStr">
        <is>
          <t>NH투자증권</t>
        </is>
      </c>
      <c r="G161" s="2" t="inlineStr">
        <is>
          <t>20260119000099</t>
        </is>
      </c>
      <c r="H161" s="8">
        <f>HYPERLINK("https://dart.fss.or.kr/dsaf001/main.do?rcpNo=20260119000099", "공시열람")</f>
        <v/>
      </c>
    </row>
    <row r="162">
      <c r="A162" s="2" t="inlineStr">
        <is>
          <t>2026-01-19</t>
        </is>
      </c>
      <c r="B162" s="3" t="inlineStr">
        <is>
          <t>유티아이</t>
        </is>
      </c>
      <c r="C162" s="2" t="inlineStr">
        <is>
          <t>코스닥</t>
        </is>
      </c>
      <c r="D162" s="2" t="inlineStr">
        <is>
          <t>179900</t>
        </is>
      </c>
      <c r="E162" s="3" t="inlineStr">
        <is>
          <t xml:space="preserve">유형자산취득결정(종속회사의주요경영사항)              </t>
        </is>
      </c>
      <c r="F162" s="3" t="inlineStr">
        <is>
          <t>유티아이</t>
        </is>
      </c>
      <c r="G162" s="2" t="inlineStr">
        <is>
          <t>20260119900517</t>
        </is>
      </c>
      <c r="H162" s="8">
        <f>HYPERLINK("https://dart.fss.or.kr/dsaf001/main.do?rcpNo=20260119900517", "공시열람")</f>
        <v/>
      </c>
    </row>
    <row r="163">
      <c r="A163" s="2" t="inlineStr">
        <is>
          <t>2026-01-19</t>
        </is>
      </c>
      <c r="B163" s="3" t="inlineStr">
        <is>
          <t>한온시스템</t>
        </is>
      </c>
      <c r="C163" s="2" t="inlineStr">
        <is>
          <t>코스피</t>
        </is>
      </c>
      <c r="D163" s="2" t="inlineStr">
        <is>
          <t>018880</t>
        </is>
      </c>
      <c r="E163" s="3" t="inlineStr">
        <is>
          <t xml:space="preserve">기업설명회(IR)개최(안내공시)              </t>
        </is>
      </c>
      <c r="F163" s="3" t="inlineStr">
        <is>
          <t>한온시스템</t>
        </is>
      </c>
      <c r="G163" s="2" t="inlineStr">
        <is>
          <t>20260119800516</t>
        </is>
      </c>
      <c r="H163" s="8">
        <f>HYPERLINK("https://dart.fss.or.kr/dsaf001/main.do?rcpNo=20260119800516", "공시열람")</f>
        <v/>
      </c>
    </row>
    <row r="164">
      <c r="A164" s="2" t="inlineStr">
        <is>
          <t>2026-01-19</t>
        </is>
      </c>
      <c r="B164" s="3" t="inlineStr">
        <is>
          <t>흥국</t>
        </is>
      </c>
      <c r="C164" s="2" t="inlineStr">
        <is>
          <t>코스닥</t>
        </is>
      </c>
      <c r="D164" s="2" t="inlineStr">
        <is>
          <t>010240</t>
        </is>
      </c>
      <c r="E164" s="3" t="inlineStr">
        <is>
          <t>자기주식처분결과보고서</t>
        </is>
      </c>
      <c r="F164" s="3" t="inlineStr">
        <is>
          <t>흥국</t>
        </is>
      </c>
      <c r="G164" s="2" t="inlineStr">
        <is>
          <t>20260119000094</t>
        </is>
      </c>
      <c r="H164" s="8">
        <f>HYPERLINK("https://dart.fss.or.kr/dsaf001/main.do?rcpNo=20260119000094", "공시열람")</f>
        <v/>
      </c>
    </row>
    <row r="165">
      <c r="A165" s="2" t="inlineStr">
        <is>
          <t>2026-01-19</t>
        </is>
      </c>
      <c r="B165" s="3" t="inlineStr">
        <is>
          <t>한온시스템</t>
        </is>
      </c>
      <c r="C165" s="2" t="inlineStr">
        <is>
          <t>코스피</t>
        </is>
      </c>
      <c r="D165" s="2" t="inlineStr">
        <is>
          <t>018880</t>
        </is>
      </c>
      <c r="E165" s="3" t="inlineStr">
        <is>
          <t xml:space="preserve">결산실적공시예고(안내공시)              </t>
        </is>
      </c>
      <c r="F165" s="3" t="inlineStr">
        <is>
          <t>한온시스템</t>
        </is>
      </c>
      <c r="G165" s="2" t="inlineStr">
        <is>
          <t>20260119800513</t>
        </is>
      </c>
      <c r="H165" s="8">
        <f>HYPERLINK("https://dart.fss.or.kr/dsaf001/main.do?rcpNo=20260119800513", "공시열람")</f>
        <v/>
      </c>
    </row>
    <row r="166">
      <c r="A166" s="2" t="inlineStr">
        <is>
          <t>2026-01-19</t>
        </is>
      </c>
      <c r="B166" s="3" t="inlineStr">
        <is>
          <t>아이엠</t>
        </is>
      </c>
      <c r="C166" s="2" t="inlineStr">
        <is>
          <t>코스닥</t>
        </is>
      </c>
      <c r="D166" s="2" t="inlineStr">
        <is>
          <t>101390</t>
        </is>
      </c>
      <c r="E166" s="3" t="inlineStr">
        <is>
          <t xml:space="preserve">[기재정정]주주명부폐쇄기간또는기준일설정              </t>
        </is>
      </c>
      <c r="F166" s="3" t="inlineStr">
        <is>
          <t>아이엠</t>
        </is>
      </c>
      <c r="G166" s="2" t="inlineStr">
        <is>
          <t>20260119900502</t>
        </is>
      </c>
      <c r="H166" s="8">
        <f>HYPERLINK("https://dart.fss.or.kr/dsaf001/main.do?rcpNo=20260119900502", "공시열람")</f>
        <v/>
      </c>
    </row>
    <row r="167">
      <c r="A167" s="2" t="inlineStr">
        <is>
          <t>2026-01-19</t>
        </is>
      </c>
      <c r="B167" s="3" t="inlineStr">
        <is>
          <t>코미코</t>
        </is>
      </c>
      <c r="C167" s="2" t="inlineStr">
        <is>
          <t>코스닥</t>
        </is>
      </c>
      <c r="D167" s="2" t="inlineStr">
        <is>
          <t>183300</t>
        </is>
      </c>
      <c r="E167" s="3" t="inlineStr">
        <is>
          <t>자기주식처분결과보고서</t>
        </is>
      </c>
      <c r="F167" s="3" t="inlineStr">
        <is>
          <t>코미코</t>
        </is>
      </c>
      <c r="G167" s="2" t="inlineStr">
        <is>
          <t>20260119000092</t>
        </is>
      </c>
      <c r="H167" s="8">
        <f>HYPERLINK("https://dart.fss.or.kr/dsaf001/main.do?rcpNo=20260119000092", "공시열람")</f>
        <v/>
      </c>
    </row>
    <row r="168">
      <c r="A168" s="2" t="inlineStr">
        <is>
          <t>2026-01-19</t>
        </is>
      </c>
      <c r="B168" s="3" t="inlineStr">
        <is>
          <t>코스모신소재</t>
        </is>
      </c>
      <c r="C168" s="2" t="inlineStr">
        <is>
          <t>코스피</t>
        </is>
      </c>
      <c r="D168" s="2" t="inlineStr">
        <is>
          <t>005070</t>
        </is>
      </c>
      <c r="E168" s="3" t="inlineStr">
        <is>
          <t xml:space="preserve">매출액또는손익구조30%(대규모법인은15%)이상변경              </t>
        </is>
      </c>
      <c r="F168" s="3" t="inlineStr">
        <is>
          <t>코스모신소재</t>
        </is>
      </c>
      <c r="G168" s="2" t="inlineStr">
        <is>
          <t>20260119800499</t>
        </is>
      </c>
      <c r="H168" s="8">
        <f>HYPERLINK("https://dart.fss.or.kr/dsaf001/main.do?rcpNo=20260119800499", "공시열람")</f>
        <v/>
      </c>
    </row>
    <row r="169">
      <c r="A169" s="2" t="inlineStr">
        <is>
          <t>2026-01-19 (정정: 2026-03-11)</t>
        </is>
      </c>
      <c r="B169" s="3" t="inlineStr">
        <is>
          <t>차이커뮤니케이션</t>
        </is>
      </c>
      <c r="C169" s="2" t="inlineStr">
        <is>
          <t>코스닥</t>
        </is>
      </c>
      <c r="D169" s="2" t="inlineStr">
        <is>
          <t>351870</t>
        </is>
      </c>
      <c r="E169" s="3" t="inlineStr">
        <is>
          <t>[기재정정]주식매수선택권부여에관한신고 (정정: 20260306) (정정: 20260311)</t>
        </is>
      </c>
      <c r="F169" s="3" t="inlineStr">
        <is>
          <t>차이커뮤니케이션</t>
        </is>
      </c>
      <c r="G169" s="2" t="inlineStr">
        <is>
          <t>20260311003475</t>
        </is>
      </c>
      <c r="H169" s="8">
        <f>HYPERLINK("https://dart.fss.or.kr/dsaf001/main.do?rcpNo=20260311003475", "공시열람")</f>
        <v/>
      </c>
    </row>
    <row r="170">
      <c r="A170" s="2" t="inlineStr">
        <is>
          <t>2026-01-19</t>
        </is>
      </c>
      <c r="B170" s="3" t="inlineStr">
        <is>
          <t>유안타제17호스팩</t>
        </is>
      </c>
      <c r="C170" s="2" t="inlineStr">
        <is>
          <t>코스닥</t>
        </is>
      </c>
      <c r="D170" s="2" t="inlineStr">
        <is>
          <t>493790</t>
        </is>
      </c>
      <c r="E170" s="3" t="inlineStr">
        <is>
          <t xml:space="preserve">기업인수목적회사의예치ㆍ신탁계약내용변경              </t>
        </is>
      </c>
      <c r="F170" s="3" t="inlineStr">
        <is>
          <t>유안타제17호스팩</t>
        </is>
      </c>
      <c r="G170" s="2" t="inlineStr">
        <is>
          <t>20260119900496</t>
        </is>
      </c>
      <c r="H170" s="8">
        <f>HYPERLINK("https://dart.fss.or.kr/dsaf001/main.do?rcpNo=20260119900496", "공시열람")</f>
        <v/>
      </c>
    </row>
    <row r="171">
      <c r="A171" s="2" t="inlineStr">
        <is>
          <t>2026-01-19</t>
        </is>
      </c>
      <c r="B171" s="3" t="inlineStr">
        <is>
          <t>키움증권</t>
        </is>
      </c>
      <c r="C171" s="2" t="inlineStr">
        <is>
          <t>코스피</t>
        </is>
      </c>
      <c r="D171" s="2" t="inlineStr">
        <is>
          <t>039490</t>
        </is>
      </c>
      <c r="E171" s="3" t="inlineStr">
        <is>
          <t>증권발행실적보고서</t>
        </is>
      </c>
      <c r="F171" s="3" t="inlineStr">
        <is>
          <t>키움증권</t>
        </is>
      </c>
      <c r="G171" s="2" t="inlineStr">
        <is>
          <t>20260119000089</t>
        </is>
      </c>
      <c r="H171" s="8">
        <f>HYPERLINK("https://dart.fss.or.kr/dsaf001/main.do?rcpNo=20260119000089", "공시열람")</f>
        <v/>
      </c>
    </row>
    <row r="172">
      <c r="A172" s="2" t="inlineStr">
        <is>
          <t>2026-01-19</t>
        </is>
      </c>
      <c r="B172" s="3" t="inlineStr">
        <is>
          <t>교보증권</t>
        </is>
      </c>
      <c r="C172" s="2" t="inlineStr">
        <is>
          <t>코스피</t>
        </is>
      </c>
      <c r="D172" s="2" t="inlineStr">
        <is>
          <t>030610</t>
        </is>
      </c>
      <c r="E172" s="3" t="inlineStr">
        <is>
          <t>증권발행실적보고서</t>
        </is>
      </c>
      <c r="F172" s="3" t="inlineStr">
        <is>
          <t>교보증권</t>
        </is>
      </c>
      <c r="G172" s="2" t="inlineStr">
        <is>
          <t>20260119000088</t>
        </is>
      </c>
      <c r="H172" s="8">
        <f>HYPERLINK("https://dart.fss.or.kr/dsaf001/main.do?rcpNo=20260119000088", "공시열람")</f>
        <v/>
      </c>
    </row>
    <row r="173">
      <c r="A173" s="2" t="inlineStr">
        <is>
          <t>2026-01-19</t>
        </is>
      </c>
      <c r="B173" s="3" t="inlineStr">
        <is>
          <t>인바이츠바이오코아</t>
        </is>
      </c>
      <c r="C173" s="2" t="inlineStr">
        <is>
          <t>코넥스</t>
        </is>
      </c>
      <c r="D173" s="2" t="inlineStr">
        <is>
          <t>216400</t>
        </is>
      </c>
      <c r="E173" s="3" t="inlineStr">
        <is>
          <t>임원ㆍ주요주주특정증권등소유상황보고서</t>
        </is>
      </c>
      <c r="F173" s="3" t="inlineStr">
        <is>
          <t>인바이츠지노믹스</t>
        </is>
      </c>
      <c r="G173" s="2" t="inlineStr">
        <is>
          <t>20260119000087</t>
        </is>
      </c>
      <c r="H173" s="8">
        <f>HYPERLINK("https://dart.fss.or.kr/dsaf001/main.do?rcpNo=20260119000087", "공시열람")</f>
        <v/>
      </c>
    </row>
    <row r="174">
      <c r="A174" s="2" t="inlineStr">
        <is>
          <t>2026-01-19</t>
        </is>
      </c>
      <c r="B174" s="3" t="inlineStr">
        <is>
          <t>교보증권</t>
        </is>
      </c>
      <c r="C174" s="2" t="inlineStr">
        <is>
          <t>코스피</t>
        </is>
      </c>
      <c r="D174" s="2" t="inlineStr">
        <is>
          <t>030610</t>
        </is>
      </c>
      <c r="E174" s="3" t="inlineStr">
        <is>
          <t>증권발행실적보고서</t>
        </is>
      </c>
      <c r="F174" s="3" t="inlineStr">
        <is>
          <t>교보증권</t>
        </is>
      </c>
      <c r="G174" s="2" t="inlineStr">
        <is>
          <t>20260119000085</t>
        </is>
      </c>
      <c r="H174" s="8">
        <f>HYPERLINK("https://dart.fss.or.kr/dsaf001/main.do?rcpNo=20260119000085", "공시열람")</f>
        <v/>
      </c>
    </row>
    <row r="175">
      <c r="A175" s="2" t="inlineStr">
        <is>
          <t>2026-01-19</t>
        </is>
      </c>
      <c r="B175" s="3" t="inlineStr">
        <is>
          <t>CG인바이츠</t>
        </is>
      </c>
      <c r="C175" s="2" t="inlineStr">
        <is>
          <t>코스닥</t>
        </is>
      </c>
      <c r="D175" s="2" t="inlineStr">
        <is>
          <t>083790</t>
        </is>
      </c>
      <c r="E175" s="3" t="inlineStr">
        <is>
          <t>임원ㆍ주요주주특정증권등소유상황보고서</t>
        </is>
      </c>
      <c r="F175" s="3" t="inlineStr">
        <is>
          <t>인바이츠바이오코아</t>
        </is>
      </c>
      <c r="G175" s="2" t="inlineStr">
        <is>
          <t>20260119000083</t>
        </is>
      </c>
      <c r="H175" s="8">
        <f>HYPERLINK("https://dart.fss.or.kr/dsaf001/main.do?rcpNo=20260119000083", "공시열람")</f>
        <v/>
      </c>
    </row>
    <row r="176">
      <c r="A176" s="2" t="inlineStr">
        <is>
          <t>2026-01-19</t>
        </is>
      </c>
      <c r="B176" s="3" t="inlineStr">
        <is>
          <t>CG인바이츠</t>
        </is>
      </c>
      <c r="C176" s="2" t="inlineStr">
        <is>
          <t>코스닥</t>
        </is>
      </c>
      <c r="D176" s="2" t="inlineStr">
        <is>
          <t>083790</t>
        </is>
      </c>
      <c r="E176" s="3" t="inlineStr">
        <is>
          <t>임원ㆍ주요주주특정증권등소유상황보고서</t>
        </is>
      </c>
      <c r="F176" s="3" t="inlineStr">
        <is>
          <t>인바이츠지노믹스</t>
        </is>
      </c>
      <c r="G176" s="2" t="inlineStr">
        <is>
          <t>20260119000081</t>
        </is>
      </c>
      <c r="H176" s="8">
        <f>HYPERLINK("https://dart.fss.or.kr/dsaf001/main.do?rcpNo=20260119000081", "공시열람")</f>
        <v/>
      </c>
    </row>
    <row r="177">
      <c r="A177" s="2" t="inlineStr">
        <is>
          <t>2026-01-19</t>
        </is>
      </c>
      <c r="B177" s="3" t="inlineStr">
        <is>
          <t>효성 ITX</t>
        </is>
      </c>
      <c r="C177" s="2" t="inlineStr">
        <is>
          <t>코스피</t>
        </is>
      </c>
      <c r="D177" s="2" t="inlineStr">
        <is>
          <t>094280</t>
        </is>
      </c>
      <c r="E177" s="3" t="inlineStr">
        <is>
          <t xml:space="preserve">결산실적공시예고(안내공시)              </t>
        </is>
      </c>
      <c r="F177" s="3" t="inlineStr">
        <is>
          <t>효성 ITX</t>
        </is>
      </c>
      <c r="G177" s="2" t="inlineStr">
        <is>
          <t>20260119800468</t>
        </is>
      </c>
      <c r="H177" s="8">
        <f>HYPERLINK("https://dart.fss.or.kr/dsaf001/main.do?rcpNo=20260119800468", "공시열람")</f>
        <v/>
      </c>
    </row>
    <row r="178">
      <c r="A178" s="2" t="inlineStr">
        <is>
          <t>2026-01-19</t>
        </is>
      </c>
      <c r="B178" s="3" t="inlineStr">
        <is>
          <t>SK이터닉스</t>
        </is>
      </c>
      <c r="C178" s="2" t="inlineStr">
        <is>
          <t>코스피</t>
        </is>
      </c>
      <c r="D178" s="2" t="inlineStr">
        <is>
          <t>475150</t>
        </is>
      </c>
      <c r="E178" s="3" t="inlineStr">
        <is>
          <t xml:space="preserve">단기차입금증가결정              </t>
        </is>
      </c>
      <c r="F178" s="3" t="inlineStr">
        <is>
          <t>SK이터닉스</t>
        </is>
      </c>
      <c r="G178" s="2" t="inlineStr">
        <is>
          <t>20260119800469</t>
        </is>
      </c>
      <c r="H178" s="8">
        <f>HYPERLINK("https://dart.fss.or.kr/dsaf001/main.do?rcpNo=20260119800469", "공시열람")</f>
        <v/>
      </c>
    </row>
    <row r="179">
      <c r="A179" s="2" t="inlineStr">
        <is>
          <t>2026-01-19</t>
        </is>
      </c>
      <c r="B179" s="3" t="inlineStr">
        <is>
          <t>애경산업</t>
        </is>
      </c>
      <c r="C179" s="2" t="inlineStr">
        <is>
          <t>코스피</t>
        </is>
      </c>
      <c r="D179" s="2" t="inlineStr">
        <is>
          <t>018250</t>
        </is>
      </c>
      <c r="E179" s="3" t="inlineStr">
        <is>
          <t xml:space="preserve">결산실적공시예고(안내공시)              </t>
        </is>
      </c>
      <c r="F179" s="3" t="inlineStr">
        <is>
          <t>애경산업</t>
        </is>
      </c>
      <c r="G179" s="2" t="inlineStr">
        <is>
          <t>20260119800464</t>
        </is>
      </c>
      <c r="H179" s="8">
        <f>HYPERLINK("https://dart.fss.or.kr/dsaf001/main.do?rcpNo=20260119800464", "공시열람")</f>
        <v/>
      </c>
    </row>
    <row r="180">
      <c r="A180" s="2" t="inlineStr">
        <is>
          <t>2026-01-19</t>
        </is>
      </c>
      <c r="B180" s="3" t="inlineStr">
        <is>
          <t>CG인바이츠</t>
        </is>
      </c>
      <c r="C180" s="2" t="inlineStr">
        <is>
          <t>코스닥</t>
        </is>
      </c>
      <c r="D180" s="2" t="inlineStr">
        <is>
          <t>083790</t>
        </is>
      </c>
      <c r="E180" s="3" t="inlineStr">
        <is>
          <t>임원ㆍ주요주주특정증권등소유상황보고서</t>
        </is>
      </c>
      <c r="F180" s="3" t="inlineStr">
        <is>
          <t>뉴레이크인바이츠투자</t>
        </is>
      </c>
      <c r="G180" s="2" t="inlineStr">
        <is>
          <t>20260119000080</t>
        </is>
      </c>
      <c r="H180" s="8">
        <f>HYPERLINK("https://dart.fss.or.kr/dsaf001/main.do?rcpNo=20260119000080", "공시열람")</f>
        <v/>
      </c>
    </row>
    <row r="181">
      <c r="A181" s="2" t="inlineStr">
        <is>
          <t>2026-01-19</t>
        </is>
      </c>
      <c r="B181" s="3" t="inlineStr">
        <is>
          <t>백금T&amp;A</t>
        </is>
      </c>
      <c r="C181" s="2" t="inlineStr">
        <is>
          <t>코스닥</t>
        </is>
      </c>
      <c r="D181" s="2" t="inlineStr">
        <is>
          <t>046310</t>
        </is>
      </c>
      <c r="E181" s="3" t="inlineStr">
        <is>
          <t>임원ㆍ주요주주특정증권등소유상황보고서</t>
        </is>
      </c>
      <c r="F181" s="3" t="inlineStr">
        <is>
          <t>김이태</t>
        </is>
      </c>
      <c r="G181" s="2" t="inlineStr">
        <is>
          <t>20260119000079</t>
        </is>
      </c>
      <c r="H181" s="8">
        <f>HYPERLINK("https://dart.fss.or.kr/dsaf001/main.do?rcpNo=20260119000079", "공시열람")</f>
        <v/>
      </c>
    </row>
    <row r="182">
      <c r="A182" s="2" t="inlineStr">
        <is>
          <t>2026-01-19</t>
        </is>
      </c>
      <c r="B182" s="3" t="inlineStr">
        <is>
          <t>인산가</t>
        </is>
      </c>
      <c r="C182" s="2" t="inlineStr">
        <is>
          <t>코스닥</t>
        </is>
      </c>
      <c r="D182" s="2" t="inlineStr">
        <is>
          <t>277410</t>
        </is>
      </c>
      <c r="E182" s="3" t="inlineStr">
        <is>
          <t>임원ㆍ주요주주특정증권등소유상황보고서</t>
        </is>
      </c>
      <c r="F182" s="3" t="inlineStr">
        <is>
          <t>김윤세</t>
        </is>
      </c>
      <c r="G182" s="2" t="inlineStr">
        <is>
          <t>20260119000075</t>
        </is>
      </c>
      <c r="H182" s="8">
        <f>HYPERLINK("https://dart.fss.or.kr/dsaf001/main.do?rcpNo=20260119000075", "공시열람")</f>
        <v/>
      </c>
    </row>
    <row r="183">
      <c r="A183" s="2" t="inlineStr">
        <is>
          <t>2026-01-19</t>
        </is>
      </c>
      <c r="B183" s="3" t="inlineStr">
        <is>
          <t>빅텍</t>
        </is>
      </c>
      <c r="C183" s="2" t="inlineStr">
        <is>
          <t>코스닥</t>
        </is>
      </c>
      <c r="D183" s="2" t="inlineStr">
        <is>
          <t>065450</t>
        </is>
      </c>
      <c r="E183" s="3" t="inlineStr">
        <is>
          <t xml:space="preserve">전환가액의조정              </t>
        </is>
      </c>
      <c r="F183" s="3" t="inlineStr">
        <is>
          <t>빅텍</t>
        </is>
      </c>
      <c r="G183" s="2" t="inlineStr">
        <is>
          <t>20260119900460</t>
        </is>
      </c>
      <c r="H183" s="8">
        <f>HYPERLINK("https://dart.fss.or.kr/dsaf001/main.do?rcpNo=20260119900460", "공시열람")</f>
        <v/>
      </c>
    </row>
    <row r="184">
      <c r="A184" s="2" t="inlineStr">
        <is>
          <t>2026-01-19</t>
        </is>
      </c>
      <c r="B184" s="3" t="inlineStr">
        <is>
          <t>나래나노텍</t>
        </is>
      </c>
      <c r="C184" s="2" t="inlineStr">
        <is>
          <t>코스닥</t>
        </is>
      </c>
      <c r="D184" s="2" t="inlineStr">
        <is>
          <t>137080</t>
        </is>
      </c>
      <c r="E184" s="3" t="inlineStr">
        <is>
          <t>합병등종료보고서(자산양수도)</t>
        </is>
      </c>
      <c r="F184" s="3" t="inlineStr">
        <is>
          <t>나래나노텍</t>
        </is>
      </c>
      <c r="G184" s="2" t="inlineStr">
        <is>
          <t>20260119000074</t>
        </is>
      </c>
      <c r="H184" s="8">
        <f>HYPERLINK("https://dart.fss.or.kr/dsaf001/main.do?rcpNo=20260119000074", "공시열람")</f>
        <v/>
      </c>
    </row>
    <row r="185">
      <c r="A185" s="2" t="inlineStr">
        <is>
          <t>2026-01-19</t>
        </is>
      </c>
      <c r="B185" s="3" t="inlineStr">
        <is>
          <t>아스플로</t>
        </is>
      </c>
      <c r="C185" s="2" t="inlineStr">
        <is>
          <t>코스닥</t>
        </is>
      </c>
      <c r="D185" s="2" t="inlineStr">
        <is>
          <t>159010</t>
        </is>
      </c>
      <c r="E185" s="3" t="inlineStr">
        <is>
          <t>자기주식처분결과보고서</t>
        </is>
      </c>
      <c r="F185" s="3" t="inlineStr">
        <is>
          <t>아스플로</t>
        </is>
      </c>
      <c r="G185" s="2" t="inlineStr">
        <is>
          <t>20260119000072</t>
        </is>
      </c>
      <c r="H185" s="8">
        <f>HYPERLINK("https://dart.fss.or.kr/dsaf001/main.do?rcpNo=20260119000072", "공시열람")</f>
        <v/>
      </c>
    </row>
    <row r="186">
      <c r="A186" s="2" t="inlineStr">
        <is>
          <t>2026-01-19</t>
        </is>
      </c>
      <c r="B186" s="3" t="inlineStr">
        <is>
          <t>S-Oil</t>
        </is>
      </c>
      <c r="C186" s="2" t="inlineStr">
        <is>
          <t>코스피</t>
        </is>
      </c>
      <c r="D186" s="2" t="inlineStr">
        <is>
          <t>010950</t>
        </is>
      </c>
      <c r="E186" s="3" t="inlineStr">
        <is>
          <t xml:space="preserve">기업설명회(IR)개최(안내공시)              </t>
        </is>
      </c>
      <c r="F186" s="3" t="inlineStr">
        <is>
          <t>S-Oil</t>
        </is>
      </c>
      <c r="G186" s="2" t="inlineStr">
        <is>
          <t>20260119800454</t>
        </is>
      </c>
      <c r="H186" s="8">
        <f>HYPERLINK("https://dart.fss.or.kr/dsaf001/main.do?rcpNo=20260119800454", "공시열람")</f>
        <v/>
      </c>
    </row>
    <row r="187">
      <c r="A187" s="2" t="inlineStr">
        <is>
          <t>2026-01-19</t>
        </is>
      </c>
      <c r="B187" s="3" t="inlineStr">
        <is>
          <t>유엑스엔</t>
        </is>
      </c>
      <c r="C187" s="2" t="inlineStr">
        <is>
          <t>코넥스</t>
        </is>
      </c>
      <c r="D187" s="2" t="inlineStr">
        <is>
          <t>337840</t>
        </is>
      </c>
      <c r="E187" s="3" t="inlineStr">
        <is>
          <t>사외이사의선임ㆍ해임또는중도퇴임에관한신고</t>
        </is>
      </c>
      <c r="F187" s="3" t="inlineStr">
        <is>
          <t>유엑스엔</t>
        </is>
      </c>
      <c r="G187" s="2" t="inlineStr">
        <is>
          <t>20260119000067</t>
        </is>
      </c>
      <c r="H187" s="8">
        <f>HYPERLINK("https://dart.fss.or.kr/dsaf001/main.do?rcpNo=20260119000067", "공시열람")</f>
        <v/>
      </c>
    </row>
    <row r="188">
      <c r="A188" s="2" t="inlineStr">
        <is>
          <t>2026-01-19</t>
        </is>
      </c>
      <c r="B188" s="3" t="inlineStr">
        <is>
          <t>엔알비</t>
        </is>
      </c>
      <c r="C188" s="2" t="inlineStr">
        <is>
          <t>코스닥</t>
        </is>
      </c>
      <c r="D188" s="2" t="inlineStr">
        <is>
          <t>475230</t>
        </is>
      </c>
      <c r="E188" s="3" t="inlineStr">
        <is>
          <t>[기재정정]주요사항보고서(유형자산양수결정)</t>
        </is>
      </c>
      <c r="F188" s="3" t="inlineStr">
        <is>
          <t>엔알비</t>
        </is>
      </c>
      <c r="G188" s="2" t="inlineStr">
        <is>
          <t>20260119000064</t>
        </is>
      </c>
      <c r="H188" s="8">
        <f>HYPERLINK("https://dart.fss.or.kr/dsaf001/main.do?rcpNo=20260119000064", "공시열람")</f>
        <v/>
      </c>
    </row>
    <row r="189">
      <c r="A189" s="2" t="inlineStr">
        <is>
          <t>2026-01-19</t>
        </is>
      </c>
      <c r="B189" s="3" t="inlineStr">
        <is>
          <t>APS</t>
        </is>
      </c>
      <c r="C189" s="2" t="inlineStr">
        <is>
          <t>코스닥</t>
        </is>
      </c>
      <c r="D189" s="2" t="inlineStr">
        <is>
          <t>054620</t>
        </is>
      </c>
      <c r="E189" s="3" t="inlineStr">
        <is>
          <t>임원ㆍ주요주주특정증권등소유상황보고서</t>
        </is>
      </c>
      <c r="F189" s="3" t="inlineStr">
        <is>
          <t>정기로</t>
        </is>
      </c>
      <c r="G189" s="2" t="inlineStr">
        <is>
          <t>20260119000061</t>
        </is>
      </c>
      <c r="H189" s="8">
        <f>HYPERLINK("https://dart.fss.or.kr/dsaf001/main.do?rcpNo=20260119000061", "공시열람")</f>
        <v/>
      </c>
    </row>
    <row r="190">
      <c r="A190" s="2" t="inlineStr">
        <is>
          <t>2026-01-19</t>
        </is>
      </c>
      <c r="B190" s="3" t="inlineStr">
        <is>
          <t>APS</t>
        </is>
      </c>
      <c r="C190" s="2" t="inlineStr">
        <is>
          <t>코스닥</t>
        </is>
      </c>
      <c r="D190" s="2" t="inlineStr">
        <is>
          <t>054620</t>
        </is>
      </c>
      <c r="E190" s="3" t="inlineStr">
        <is>
          <t>임원ㆍ주요주주특정증권등소유상황보고서</t>
        </is>
      </c>
      <c r="F190" s="3" t="inlineStr">
        <is>
          <t>이태훈</t>
        </is>
      </c>
      <c r="G190" s="2" t="inlineStr">
        <is>
          <t>20260119000060</t>
        </is>
      </c>
      <c r="H190" s="8">
        <f>HYPERLINK("https://dart.fss.or.kr/dsaf001/main.do?rcpNo=20260119000060", "공시열람")</f>
        <v/>
      </c>
    </row>
    <row r="191">
      <c r="A191" s="2" t="inlineStr">
        <is>
          <t>2026-01-19</t>
        </is>
      </c>
      <c r="B191" s="3" t="inlineStr">
        <is>
          <t>대신밸런스제17호스팩</t>
        </is>
      </c>
      <c r="C191" s="2" t="inlineStr">
        <is>
          <t>코스닥</t>
        </is>
      </c>
      <c r="D191" s="2" t="inlineStr">
        <is>
          <t>471050</t>
        </is>
      </c>
      <c r="E191" s="3" t="inlineStr">
        <is>
          <t xml:space="preserve">기업인수목적회사의예치ㆍ신탁계약내용변경              </t>
        </is>
      </c>
      <c r="F191" s="3" t="inlineStr">
        <is>
          <t>대신밸런스제17호스팩</t>
        </is>
      </c>
      <c r="G191" s="2" t="inlineStr">
        <is>
          <t>20260119900387</t>
        </is>
      </c>
      <c r="H191" s="8">
        <f>HYPERLINK("https://dart.fss.or.kr/dsaf001/main.do?rcpNo=20260119900387", "공시열람")</f>
        <v/>
      </c>
    </row>
    <row r="192">
      <c r="A192" s="2" t="inlineStr">
        <is>
          <t>2026-01-19</t>
        </is>
      </c>
      <c r="B192" s="3" t="inlineStr">
        <is>
          <t>씨씨에스</t>
        </is>
      </c>
      <c r="C192" s="2" t="inlineStr">
        <is>
          <t>코스닥</t>
        </is>
      </c>
      <c r="D192" s="2" t="inlineStr">
        <is>
          <t>066790</t>
        </is>
      </c>
      <c r="E192" s="3" t="inlineStr">
        <is>
          <t>기타경영사항(자율공시)              (소액주주에 의한 (공개매각)임시지위를 구하는 가처분 신청서 접수)</t>
        </is>
      </c>
      <c r="F192" s="3" t="inlineStr">
        <is>
          <t>씨씨에스</t>
        </is>
      </c>
      <c r="G192" s="2" t="inlineStr">
        <is>
          <t>20260119900385</t>
        </is>
      </c>
      <c r="H192" s="8">
        <f>HYPERLINK("https://dart.fss.or.kr/dsaf001/main.do?rcpNo=20260119900385", "공시열람")</f>
        <v/>
      </c>
    </row>
    <row r="193">
      <c r="A193" s="2" t="inlineStr">
        <is>
          <t>2026-01-19</t>
        </is>
      </c>
      <c r="B193" s="3" t="inlineStr">
        <is>
          <t>비트컴퓨터</t>
        </is>
      </c>
      <c r="C193" s="2" t="inlineStr">
        <is>
          <t>코스닥</t>
        </is>
      </c>
      <c r="D193" s="2" t="inlineStr">
        <is>
          <t>032850</t>
        </is>
      </c>
      <c r="E193" s="3" t="inlineStr">
        <is>
          <t>자기주식취득결과보고서</t>
        </is>
      </c>
      <c r="F193" s="3" t="inlineStr">
        <is>
          <t>비트컴퓨터</t>
        </is>
      </c>
      <c r="G193" s="2" t="inlineStr">
        <is>
          <t>20260119000052</t>
        </is>
      </c>
      <c r="H193" s="8">
        <f>HYPERLINK("https://dart.fss.or.kr/dsaf001/main.do?rcpNo=20260119000052", "공시열람")</f>
        <v/>
      </c>
    </row>
    <row r="194">
      <c r="A194" s="2" t="inlineStr">
        <is>
          <t>2026-01-19</t>
        </is>
      </c>
      <c r="B194" s="3" t="inlineStr">
        <is>
          <t>시지메드텍</t>
        </is>
      </c>
      <c r="C194" s="2" t="inlineStr">
        <is>
          <t>코스닥</t>
        </is>
      </c>
      <c r="D194" s="2" t="inlineStr">
        <is>
          <t>056090</t>
        </is>
      </c>
      <c r="E194" s="3" t="inlineStr">
        <is>
          <t>임원ㆍ주요주주특정증권등소유상황보고서</t>
        </is>
      </c>
      <c r="F194" s="3" t="inlineStr">
        <is>
          <t>시지바이오</t>
        </is>
      </c>
      <c r="G194" s="2" t="inlineStr">
        <is>
          <t>20260119000050</t>
        </is>
      </c>
      <c r="H194" s="8">
        <f>HYPERLINK("https://dart.fss.or.kr/dsaf001/main.do?rcpNo=20260119000050", "공시열람")</f>
        <v/>
      </c>
    </row>
    <row r="195">
      <c r="A195" s="2" t="inlineStr">
        <is>
          <t>2026-01-19</t>
        </is>
      </c>
      <c r="B195" s="3" t="inlineStr">
        <is>
          <t>시지메드텍</t>
        </is>
      </c>
      <c r="C195" s="2" t="inlineStr">
        <is>
          <t>코스닥</t>
        </is>
      </c>
      <c r="D195" s="2" t="inlineStr">
        <is>
          <t>056090</t>
        </is>
      </c>
      <c r="E195" s="3" t="inlineStr">
        <is>
          <t>임원ㆍ주요주주특정증권등소유상황보고서</t>
        </is>
      </c>
      <c r="F195" s="3" t="inlineStr">
        <is>
          <t>시지바이오</t>
        </is>
      </c>
      <c r="G195" s="2" t="inlineStr">
        <is>
          <t>20260119000048</t>
        </is>
      </c>
      <c r="H195" s="8">
        <f>HYPERLINK("https://dart.fss.or.kr/dsaf001/main.do?rcpNo=20260119000048", "공시열람")</f>
        <v/>
      </c>
    </row>
    <row r="196">
      <c r="A196" s="2" t="inlineStr">
        <is>
          <t>2026-01-19</t>
        </is>
      </c>
      <c r="B196" s="3" t="inlineStr">
        <is>
          <t>지씨지놈</t>
        </is>
      </c>
      <c r="C196" s="2" t="inlineStr">
        <is>
          <t>코스닥</t>
        </is>
      </c>
      <c r="D196" s="2" t="inlineStr">
        <is>
          <t>340450</t>
        </is>
      </c>
      <c r="E196" s="3" t="inlineStr">
        <is>
          <t xml:space="preserve">매출액또는손익구조30%(대규모법인은15%)이상변동              </t>
        </is>
      </c>
      <c r="F196" s="3" t="inlineStr">
        <is>
          <t>지씨지놈</t>
        </is>
      </c>
      <c r="G196" s="2" t="inlineStr">
        <is>
          <t>20260119900370</t>
        </is>
      </c>
      <c r="H196" s="8">
        <f>HYPERLINK("https://dart.fss.or.kr/dsaf001/main.do?rcpNo=20260119900370", "공시열람")</f>
        <v/>
      </c>
    </row>
    <row r="197">
      <c r="A197" s="2" t="inlineStr">
        <is>
          <t>2025-07-17 (정정: 2026-01-19)</t>
        </is>
      </c>
      <c r="B197" s="3" t="inlineStr">
        <is>
          <t>KPX홀딩스</t>
        </is>
      </c>
      <c r="C197" s="2" t="inlineStr">
        <is>
          <t>코스피</t>
        </is>
      </c>
      <c r="D197" s="2" t="inlineStr">
        <is>
          <t>092230</t>
        </is>
      </c>
      <c r="E197" s="3" t="inlineStr">
        <is>
          <t xml:space="preserve">[기재정정]유형자산처분결정(자회사의 주요경영사항)              </t>
        </is>
      </c>
      <c r="F197" s="3" t="inlineStr">
        <is>
          <t>KPX홀딩스</t>
        </is>
      </c>
      <c r="G197" s="2" t="inlineStr">
        <is>
          <t>20260119800360</t>
        </is>
      </c>
      <c r="H197" s="8">
        <f>HYPERLINK("https://dart.fss.or.kr/dsaf001/main.do?rcpNo=20260119800360", "공시열람")</f>
        <v/>
      </c>
    </row>
    <row r="198">
      <c r="A198" s="2" t="inlineStr">
        <is>
          <t>2025-07-17 (정정: 2026-01-19)</t>
        </is>
      </c>
      <c r="B198" s="3" t="inlineStr">
        <is>
          <t>진양홀딩스</t>
        </is>
      </c>
      <c r="C198" s="2" t="inlineStr">
        <is>
          <t>코스피</t>
        </is>
      </c>
      <c r="D198" s="2" t="inlineStr">
        <is>
          <t>100250</t>
        </is>
      </c>
      <c r="E198" s="3" t="inlineStr">
        <is>
          <t xml:space="preserve">[기재정정]유형자산처분결정(자회사의 주요경영사항)              </t>
        </is>
      </c>
      <c r="F198" s="3" t="inlineStr">
        <is>
          <t>진양홀딩스</t>
        </is>
      </c>
      <c r="G198" s="2" t="inlineStr">
        <is>
          <t>20260119800359</t>
        </is>
      </c>
      <c r="H198" s="8">
        <f>HYPERLINK("https://dart.fss.or.kr/dsaf001/main.do?rcpNo=20260119800359", "공시열람")</f>
        <v/>
      </c>
    </row>
    <row r="199">
      <c r="A199" s="2" t="inlineStr">
        <is>
          <t>2026-01-19</t>
        </is>
      </c>
      <c r="B199" s="3" t="inlineStr">
        <is>
          <t>감성코퍼레이션</t>
        </is>
      </c>
      <c r="C199" s="2" t="inlineStr">
        <is>
          <t>코스닥</t>
        </is>
      </c>
      <c r="D199" s="2" t="inlineStr">
        <is>
          <t>036620</t>
        </is>
      </c>
      <c r="E199" s="3" t="inlineStr">
        <is>
          <t>임원ㆍ주요주주특정증권등소유상황보고서</t>
        </is>
      </c>
      <c r="F199" s="3" t="inlineStr">
        <is>
          <t>김호선</t>
        </is>
      </c>
      <c r="G199" s="2" t="inlineStr">
        <is>
          <t>20260119000032</t>
        </is>
      </c>
      <c r="H199" s="8">
        <f>HYPERLINK("https://dart.fss.or.kr/dsaf001/main.do?rcpNo=20260119000032", "공시열람")</f>
        <v/>
      </c>
    </row>
    <row r="200">
      <c r="A200" s="2" t="inlineStr">
        <is>
          <t>2026-01-19</t>
        </is>
      </c>
      <c r="B200" s="3" t="inlineStr">
        <is>
          <t>키움증권</t>
        </is>
      </c>
      <c r="C200" s="2" t="inlineStr">
        <is>
          <t>코스피</t>
        </is>
      </c>
      <c r="D200" s="2" t="inlineStr">
        <is>
          <t>039490</t>
        </is>
      </c>
      <c r="E200" s="3" t="inlineStr">
        <is>
          <t>증권발행실적보고서</t>
        </is>
      </c>
      <c r="F200" s="3" t="inlineStr">
        <is>
          <t>키움증권</t>
        </is>
      </c>
      <c r="G200" s="2" t="inlineStr">
        <is>
          <t>20260119000027</t>
        </is>
      </c>
      <c r="H200" s="8">
        <f>HYPERLINK("https://dart.fss.or.kr/dsaf001/main.do?rcpNo=20260119000027", "공시열람")</f>
        <v/>
      </c>
    </row>
    <row r="201">
      <c r="A201" s="2" t="inlineStr">
        <is>
          <t>2026-01-19</t>
        </is>
      </c>
      <c r="B201" s="3" t="inlineStr">
        <is>
          <t>토모큐브</t>
        </is>
      </c>
      <c r="C201" s="2" t="inlineStr">
        <is>
          <t>코스닥</t>
        </is>
      </c>
      <c r="D201" s="2" t="inlineStr">
        <is>
          <t>475960</t>
        </is>
      </c>
      <c r="E201" s="3" t="inlineStr">
        <is>
          <t>임원ㆍ주요주주특정증권등소유상황보고서</t>
        </is>
      </c>
      <c r="F201" s="3" t="inlineStr">
        <is>
          <t>이수민</t>
        </is>
      </c>
      <c r="G201" s="2" t="inlineStr">
        <is>
          <t>20260119000026</t>
        </is>
      </c>
      <c r="H201" s="8">
        <f>HYPERLINK("https://dart.fss.or.kr/dsaf001/main.do?rcpNo=20260119000026", "공시열람")</f>
        <v/>
      </c>
    </row>
    <row r="202">
      <c r="A202" s="2" t="inlineStr">
        <is>
          <t>2026-01-19</t>
        </is>
      </c>
      <c r="B202" s="3" t="inlineStr">
        <is>
          <t>토모큐브</t>
        </is>
      </c>
      <c r="C202" s="2" t="inlineStr">
        <is>
          <t>코스닥</t>
        </is>
      </c>
      <c r="D202" s="2" t="inlineStr">
        <is>
          <t>475960</t>
        </is>
      </c>
      <c r="E202" s="3" t="inlineStr">
        <is>
          <t>임원ㆍ주요주주특정증권등소유상황보고서</t>
        </is>
      </c>
      <c r="F202" s="3" t="inlineStr">
        <is>
          <t>고성호</t>
        </is>
      </c>
      <c r="G202" s="2" t="inlineStr">
        <is>
          <t>20260119000024</t>
        </is>
      </c>
      <c r="H202" s="8">
        <f>HYPERLINK("https://dart.fss.or.kr/dsaf001/main.do?rcpNo=20260119000024", "공시열람")</f>
        <v/>
      </c>
    </row>
    <row r="203">
      <c r="A203" s="2" t="inlineStr">
        <is>
          <t>2026-01-19</t>
        </is>
      </c>
      <c r="B203" s="3" t="inlineStr">
        <is>
          <t>케이아이엔엑스</t>
        </is>
      </c>
      <c r="C203" s="2" t="inlineStr">
        <is>
          <t>코스닥</t>
        </is>
      </c>
      <c r="D203" s="2" t="inlineStr">
        <is>
          <t>093320</t>
        </is>
      </c>
      <c r="E203" s="3" t="inlineStr">
        <is>
          <t>임원ㆍ주요주주특정증권등소유상황보고서</t>
        </is>
      </c>
      <c r="F203" s="3" t="inlineStr">
        <is>
          <t>TheMiriStrategicEmergingMarketsFundLP</t>
        </is>
      </c>
      <c r="G203" s="2" t="inlineStr">
        <is>
          <t>20260119000023</t>
        </is>
      </c>
      <c r="H203" s="8">
        <f>HYPERLINK("https://dart.fss.or.kr/dsaf001/main.do?rcpNo=20260119000023", "공시열람")</f>
        <v/>
      </c>
    </row>
    <row r="204">
      <c r="A204" s="2" t="inlineStr">
        <is>
          <t>2026-01-19</t>
        </is>
      </c>
      <c r="B204" s="3" t="inlineStr">
        <is>
          <t>NH투자증권</t>
        </is>
      </c>
      <c r="C204" s="2" t="inlineStr">
        <is>
          <t>코스피</t>
        </is>
      </c>
      <c r="D204" s="2" t="inlineStr">
        <is>
          <t>005940</t>
        </is>
      </c>
      <c r="E204" s="3" t="inlineStr">
        <is>
          <t>증권발행실적보고서</t>
        </is>
      </c>
      <c r="F204" s="3" t="inlineStr">
        <is>
          <t>NH투자증권</t>
        </is>
      </c>
      <c r="G204" s="2" t="inlineStr">
        <is>
          <t>20260119000019</t>
        </is>
      </c>
      <c r="H204" s="8">
        <f>HYPERLINK("https://dart.fss.or.kr/dsaf001/main.do?rcpNo=20260119000019", "공시열람")</f>
        <v/>
      </c>
    </row>
    <row r="205">
      <c r="A205" s="2" t="inlineStr">
        <is>
          <t>2026-01-19</t>
        </is>
      </c>
      <c r="B205" s="3" t="inlineStr">
        <is>
          <t>삼성SDI</t>
        </is>
      </c>
      <c r="C205" s="2" t="inlineStr">
        <is>
          <t>코스피</t>
        </is>
      </c>
      <c r="D205" s="2" t="inlineStr">
        <is>
          <t>006400</t>
        </is>
      </c>
      <c r="E205" s="3" t="inlineStr">
        <is>
          <t>임원ㆍ주요주주특정증권등소유상황보고서</t>
        </is>
      </c>
      <c r="F205" s="3" t="inlineStr">
        <is>
          <t>정일형</t>
        </is>
      </c>
      <c r="G205" s="2" t="inlineStr">
        <is>
          <t>20260119000014</t>
        </is>
      </c>
      <c r="H205" s="8">
        <f>HYPERLINK("https://dart.fss.or.kr/dsaf001/main.do?rcpNo=20260119000014", "공시열람")</f>
        <v/>
      </c>
    </row>
    <row r="206">
      <c r="A206" s="2" t="inlineStr">
        <is>
          <t>2026-01-19</t>
        </is>
      </c>
      <c r="B206" s="3" t="inlineStr">
        <is>
          <t>한화비전</t>
        </is>
      </c>
      <c r="C206" s="2" t="inlineStr">
        <is>
          <t>코스피</t>
        </is>
      </c>
      <c r="D206" s="2" t="inlineStr">
        <is>
          <t>489790</t>
        </is>
      </c>
      <c r="E206" s="3" t="inlineStr">
        <is>
          <t>[첨부정정]주요사항보고서(유형자산양수결정)</t>
        </is>
      </c>
      <c r="F206" s="3" t="inlineStr">
        <is>
          <t>한화비전</t>
        </is>
      </c>
      <c r="G206" s="2" t="inlineStr">
        <is>
          <t>20260119000011</t>
        </is>
      </c>
      <c r="H206" s="8">
        <f>HYPERLINK("https://dart.fss.or.kr/dsaf001/main.do?rcpNo=20260119000011", "공시열람")</f>
        <v/>
      </c>
    </row>
    <row r="207">
      <c r="A207" s="2" t="inlineStr">
        <is>
          <t>2026-01-19</t>
        </is>
      </c>
      <c r="B207" s="3" t="inlineStr">
        <is>
          <t>한화</t>
        </is>
      </c>
      <c r="C207" s="2" t="inlineStr">
        <is>
          <t>코스피</t>
        </is>
      </c>
      <c r="D207" s="2" t="inlineStr">
        <is>
          <t>000880</t>
        </is>
      </c>
      <c r="E207" s="3" t="inlineStr">
        <is>
          <t xml:space="preserve">기업설명회(IR)개최(안내공시)              </t>
        </is>
      </c>
      <c r="F207" s="3" t="inlineStr">
        <is>
          <t>한화</t>
        </is>
      </c>
      <c r="G207" s="2" t="inlineStr">
        <is>
          <t>20260119800298</t>
        </is>
      </c>
      <c r="H207" s="8">
        <f>HYPERLINK("https://dart.fss.or.kr/dsaf001/main.do?rcpNo=20260119800298", "공시열람")</f>
        <v/>
      </c>
    </row>
    <row r="208">
      <c r="A208" s="2" t="inlineStr">
        <is>
          <t>2026-01-19</t>
        </is>
      </c>
      <c r="B208" s="3" t="inlineStr">
        <is>
          <t>유안타증권</t>
        </is>
      </c>
      <c r="C208" s="2" t="inlineStr">
        <is>
          <t>코스피</t>
        </is>
      </c>
      <c r="D208" s="2" t="inlineStr">
        <is>
          <t>003470</t>
        </is>
      </c>
      <c r="E208" s="3" t="inlineStr">
        <is>
          <t>증권발행실적보고서</t>
        </is>
      </c>
      <c r="F208" s="3" t="inlineStr">
        <is>
          <t>유안타증권</t>
        </is>
      </c>
      <c r="G208" s="2" t="inlineStr">
        <is>
          <t>20260119000009</t>
        </is>
      </c>
      <c r="H208" s="8">
        <f>HYPERLINK("https://dart.fss.or.kr/dsaf001/main.do?rcpNo=20260119000009", "공시열람")</f>
        <v/>
      </c>
    </row>
    <row r="209">
      <c r="A209" s="2" t="inlineStr">
        <is>
          <t>2026-01-19</t>
        </is>
      </c>
      <c r="B209" s="3" t="inlineStr">
        <is>
          <t>미래에셋증권</t>
        </is>
      </c>
      <c r="C209" s="2" t="inlineStr">
        <is>
          <t>코스피</t>
        </is>
      </c>
      <c r="D209" s="2" t="inlineStr">
        <is>
          <t>006800</t>
        </is>
      </c>
      <c r="E209" s="3" t="inlineStr">
        <is>
          <t>증권발행실적보고서</t>
        </is>
      </c>
      <c r="F209" s="3" t="inlineStr">
        <is>
          <t>미래에셋증권</t>
        </is>
      </c>
      <c r="G209" s="2" t="inlineStr">
        <is>
          <t>20260119000007</t>
        </is>
      </c>
      <c r="H209" s="8">
        <f>HYPERLINK("https://dart.fss.or.kr/dsaf001/main.do?rcpNo=20260119000007", "공시열람")</f>
        <v/>
      </c>
    </row>
    <row r="210">
      <c r="A210" s="2" t="inlineStr">
        <is>
          <t>2026-01-19</t>
        </is>
      </c>
      <c r="B210" s="3" t="inlineStr">
        <is>
          <t>NH투자증권</t>
        </is>
      </c>
      <c r="C210" s="2" t="inlineStr">
        <is>
          <t>코스피</t>
        </is>
      </c>
      <c r="D210" s="2" t="inlineStr">
        <is>
          <t>005940</t>
        </is>
      </c>
      <c r="E210" s="3" t="inlineStr">
        <is>
          <t>증권발행실적보고서</t>
        </is>
      </c>
      <c r="F210" s="3" t="inlineStr">
        <is>
          <t>NH투자증권</t>
        </is>
      </c>
      <c r="G210" s="2" t="inlineStr">
        <is>
          <t>20260119000006</t>
        </is>
      </c>
      <c r="H210" s="8">
        <f>HYPERLINK("https://dart.fss.or.kr/dsaf001/main.do?rcpNo=20260119000006", "공시열람")</f>
        <v/>
      </c>
    </row>
    <row r="211">
      <c r="A211" s="2" t="inlineStr">
        <is>
          <t>2026-01-19</t>
        </is>
      </c>
      <c r="B211" s="3" t="inlineStr">
        <is>
          <t>키움증권</t>
        </is>
      </c>
      <c r="C211" s="2" t="inlineStr">
        <is>
          <t>코스피</t>
        </is>
      </c>
      <c r="D211" s="2" t="inlineStr">
        <is>
          <t>039490</t>
        </is>
      </c>
      <c r="E211" s="3" t="inlineStr">
        <is>
          <t>증권발행실적보고서</t>
        </is>
      </c>
      <c r="F211" s="3" t="inlineStr">
        <is>
          <t>키움증권</t>
        </is>
      </c>
      <c r="G211" s="2" t="inlineStr">
        <is>
          <t>20260119000004</t>
        </is>
      </c>
      <c r="H211" s="8">
        <f>HYPERLINK("https://dart.fss.or.kr/dsaf001/main.do?rcpNo=20260119000004", "공시열람")</f>
        <v/>
      </c>
    </row>
    <row r="212">
      <c r="A212" s="2" t="inlineStr">
        <is>
          <t>2026-01-19</t>
        </is>
      </c>
      <c r="B212" s="3" t="inlineStr">
        <is>
          <t>대우건설</t>
        </is>
      </c>
      <c r="C212" s="2" t="inlineStr">
        <is>
          <t>코스피</t>
        </is>
      </c>
      <c r="D212" s="2" t="inlineStr">
        <is>
          <t>047040</t>
        </is>
      </c>
      <c r="E212" s="3" t="inlineStr">
        <is>
          <t xml:space="preserve">투자판단관련주요경영사항              </t>
        </is>
      </c>
      <c r="F212" s="3" t="inlineStr">
        <is>
          <t>대우건설</t>
        </is>
      </c>
      <c r="G212" s="2" t="inlineStr">
        <is>
          <t>20260119800228</t>
        </is>
      </c>
      <c r="H212" s="8">
        <f>HYPERLINK("https://dart.fss.or.kr/dsaf001/main.do?rcpNo=20260119800228", "공시열람")</f>
        <v/>
      </c>
    </row>
    <row r="213">
      <c r="A213" s="2" t="inlineStr">
        <is>
          <t>2026-01-19</t>
        </is>
      </c>
      <c r="B213" s="3" t="inlineStr">
        <is>
          <t>글로벌텍스프리</t>
        </is>
      </c>
      <c r="C213" s="2" t="inlineStr">
        <is>
          <t>코스닥</t>
        </is>
      </c>
      <c r="D213" s="2" t="inlineStr">
        <is>
          <t>204620</t>
        </is>
      </c>
      <c r="E213" s="3" t="inlineStr">
        <is>
          <t xml:space="preserve">주주명부폐쇄기간또는기준일설정              </t>
        </is>
      </c>
      <c r="F213" s="3" t="inlineStr">
        <is>
          <t>글로벌텍스프리</t>
        </is>
      </c>
      <c r="G213" s="2" t="inlineStr">
        <is>
          <t>20260119900233</t>
        </is>
      </c>
      <c r="H213" s="8">
        <f>HYPERLINK("https://dart.fss.or.kr/dsaf001/main.do?rcpNo=20260119900233", "공시열람")</f>
        <v/>
      </c>
    </row>
    <row r="214">
      <c r="A214" s="2" t="inlineStr">
        <is>
          <t>2026-01-19</t>
        </is>
      </c>
      <c r="B214" s="3" t="inlineStr">
        <is>
          <t>유안타증권</t>
        </is>
      </c>
      <c r="C214" s="2" t="inlineStr">
        <is>
          <t>코스피</t>
        </is>
      </c>
      <c r="D214" s="2" t="inlineStr">
        <is>
          <t>003470</t>
        </is>
      </c>
      <c r="E214" s="3" t="inlineStr">
        <is>
          <t>증권발행실적보고서</t>
        </is>
      </c>
      <c r="F214" s="3" t="inlineStr">
        <is>
          <t>유안타증권</t>
        </is>
      </c>
      <c r="G214" s="2" t="inlineStr">
        <is>
          <t>20260119000002</t>
        </is>
      </c>
      <c r="H214" s="8">
        <f>HYPERLINK("https://dart.fss.or.kr/dsaf001/main.do?rcpNo=20260119000002", "공시열람")</f>
        <v/>
      </c>
    </row>
    <row r="215">
      <c r="A215" s="2" t="inlineStr">
        <is>
          <t>2026-01-19</t>
        </is>
      </c>
      <c r="B215" s="3" t="inlineStr">
        <is>
          <t>현대오토에버</t>
        </is>
      </c>
      <c r="C215" s="2" t="inlineStr">
        <is>
          <t>코스피</t>
        </is>
      </c>
      <c r="D215" s="2" t="inlineStr">
        <is>
          <t>307950</t>
        </is>
      </c>
      <c r="E215" s="3" t="inlineStr">
        <is>
          <t>임원ㆍ주요주주특정증권등소유상황보고서</t>
        </is>
      </c>
      <c r="F215" s="3" t="inlineStr">
        <is>
          <t>서동권</t>
        </is>
      </c>
      <c r="G215" s="2" t="inlineStr">
        <is>
          <t>20260119000001</t>
        </is>
      </c>
      <c r="H215" s="8">
        <f>HYPERLINK("https://dart.fss.or.kr/dsaf001/main.do?rcpNo=20260119000001", "공시열람")</f>
        <v/>
      </c>
    </row>
    <row r="216">
      <c r="A216" s="2" t="inlineStr">
        <is>
          <t>2026-01-21</t>
        </is>
      </c>
      <c r="B216" s="3" t="inlineStr">
        <is>
          <t>로스웰</t>
        </is>
      </c>
      <c r="C216" s="2" t="inlineStr">
        <is>
          <t>코스닥</t>
        </is>
      </c>
      <c r="D216" s="2" t="inlineStr">
        <is>
          <t>900260</t>
        </is>
      </c>
      <c r="E216" s="3" t="inlineStr">
        <is>
          <t>공개매수설명서</t>
        </is>
      </c>
      <c r="F216" s="3" t="inlineStr">
        <is>
          <t>트릴리온럭그룹리미티드</t>
        </is>
      </c>
      <c r="G216" s="2" t="inlineStr">
        <is>
          <t>20260121000003</t>
        </is>
      </c>
      <c r="H216" s="8">
        <f>HYPERLINK("https://dart.fss.or.kr/dsaf001/main.do?rcpNo=20260121000003", "공시열람")</f>
        <v/>
      </c>
    </row>
    <row r="217">
      <c r="A217" s="2" t="inlineStr">
        <is>
          <t>2026-01-21</t>
        </is>
      </c>
      <c r="B217" s="3" t="inlineStr">
        <is>
          <t>로스웰</t>
        </is>
      </c>
      <c r="C217" s="2" t="inlineStr">
        <is>
          <t>코스닥</t>
        </is>
      </c>
      <c r="D217" s="2" t="inlineStr">
        <is>
          <t>900260</t>
        </is>
      </c>
      <c r="E217" s="3" t="inlineStr">
        <is>
          <t>공개매수신고서</t>
        </is>
      </c>
      <c r="F217" s="3" t="inlineStr">
        <is>
          <t>트릴리온럭그룹리미티드</t>
        </is>
      </c>
      <c r="G217" s="2" t="inlineStr">
        <is>
          <t>20260121000002</t>
        </is>
      </c>
      <c r="H217" s="8">
        <f>HYPERLINK("https://dart.fss.or.kr/dsaf001/main.do?rcpNo=20260121000002", "공시열람")</f>
        <v/>
      </c>
    </row>
    <row r="218">
      <c r="A218" s="2" t="inlineStr">
        <is>
          <t>2026-01-23</t>
        </is>
      </c>
      <c r="B218" s="3" t="inlineStr">
        <is>
          <t>에코마케팅</t>
        </is>
      </c>
      <c r="C218" s="2" t="inlineStr">
        <is>
          <t>코스닥</t>
        </is>
      </c>
      <c r="D218" s="2" t="inlineStr">
        <is>
          <t>230360</t>
        </is>
      </c>
      <c r="E218" s="3" t="inlineStr">
        <is>
          <t>공개매수결과보고서</t>
        </is>
      </c>
      <c r="F218" s="3" t="inlineStr">
        <is>
          <t>비씨피이이에이비드코원</t>
        </is>
      </c>
      <c r="G218" s="2" t="inlineStr">
        <is>
          <t>20260123000545</t>
        </is>
      </c>
      <c r="H218" s="8">
        <f>HYPERLINK("https://dart.fss.or.kr/dsaf001/main.do?rcpNo=20260123000545", "공시열람")</f>
        <v/>
      </c>
    </row>
    <row r="219">
      <c r="A219" s="2" t="inlineStr">
        <is>
          <t>2026-01-26</t>
        </is>
      </c>
      <c r="B219" s="3" t="inlineStr">
        <is>
          <t>에코마케팅</t>
        </is>
      </c>
      <c r="C219" s="2" t="inlineStr">
        <is>
          <t>코스닥</t>
        </is>
      </c>
      <c r="D219" s="2" t="inlineStr">
        <is>
          <t>230360</t>
        </is>
      </c>
      <c r="E219" s="3" t="inlineStr">
        <is>
          <t>공개매수설명서</t>
        </is>
      </c>
      <c r="F219" s="3" t="inlineStr">
        <is>
          <t>비씨피이이에이비드코원</t>
        </is>
      </c>
      <c r="G219" s="2" t="inlineStr">
        <is>
          <t>20260126000008</t>
        </is>
      </c>
      <c r="H219" s="8">
        <f>HYPERLINK("https://dart.fss.or.kr/dsaf001/main.do?rcpNo=20260126000008", "공시열람")</f>
        <v/>
      </c>
    </row>
    <row r="220">
      <c r="A220" s="2" t="inlineStr">
        <is>
          <t>2026-01-26</t>
        </is>
      </c>
      <c r="B220" s="3" t="inlineStr">
        <is>
          <t>에코마케팅</t>
        </is>
      </c>
      <c r="C220" s="2" t="inlineStr">
        <is>
          <t>코스닥</t>
        </is>
      </c>
      <c r="D220" s="2" t="inlineStr">
        <is>
          <t>230360</t>
        </is>
      </c>
      <c r="E220" s="3" t="inlineStr">
        <is>
          <t>공개매수신고서</t>
        </is>
      </c>
      <c r="F220" s="3" t="inlineStr">
        <is>
          <t>비씨피이이에이비드코원</t>
        </is>
      </c>
      <c r="G220" s="2" t="inlineStr">
        <is>
          <t>20260126000007</t>
        </is>
      </c>
      <c r="H220" s="8">
        <f>HYPERLINK("https://dart.fss.or.kr/dsaf001/main.do?rcpNo=20260126000007", "공시열람")</f>
        <v/>
      </c>
    </row>
    <row r="221">
      <c r="A221" s="2" t="inlineStr">
        <is>
          <t>2026-01-29</t>
        </is>
      </c>
      <c r="B221" s="3" t="inlineStr">
        <is>
          <t>남양유업</t>
        </is>
      </c>
      <c r="C221" s="2" t="inlineStr">
        <is>
          <t>코스피</t>
        </is>
      </c>
      <c r="D221" s="2" t="inlineStr">
        <is>
          <t>003920</t>
        </is>
      </c>
      <c r="E221" s="3" t="inlineStr">
        <is>
          <t xml:space="preserve">횡령ㆍ배임사실확인              </t>
        </is>
      </c>
      <c r="F221" s="3" t="inlineStr">
        <is>
          <t>남양유업</t>
        </is>
      </c>
      <c r="G221" s="2" t="inlineStr">
        <is>
          <t>20260129801107</t>
        </is>
      </c>
      <c r="H221" s="8">
        <f>HYPERLINK("https://dart.fss.or.kr/dsaf001/main.do?rcpNo=20260129801107", "공시열람")</f>
        <v/>
      </c>
    </row>
    <row r="222">
      <c r="A222" s="2" t="inlineStr">
        <is>
          <t>2026-01-29</t>
        </is>
      </c>
      <c r="B222" s="3" t="inlineStr">
        <is>
          <t>서희건설</t>
        </is>
      </c>
      <c r="C222" s="2" t="inlineStr">
        <is>
          <t>코스닥</t>
        </is>
      </c>
      <c r="D222" s="2" t="inlineStr">
        <is>
          <t>035890</t>
        </is>
      </c>
      <c r="E222" s="3" t="inlineStr">
        <is>
          <t xml:space="preserve">채무인수결정              </t>
        </is>
      </c>
      <c r="F222" s="3" t="inlineStr">
        <is>
          <t>서희건설</t>
        </is>
      </c>
      <c r="G222" s="2" t="inlineStr">
        <is>
          <t>20260129901062</t>
        </is>
      </c>
      <c r="H222" s="8">
        <f>HYPERLINK("https://dart.fss.or.kr/dsaf001/main.do?rcpNo=20260129901062", "공시열람")</f>
        <v/>
      </c>
    </row>
    <row r="223">
      <c r="A223" s="2" t="inlineStr">
        <is>
          <t>2026-01-29</t>
        </is>
      </c>
      <c r="B223" s="3" t="inlineStr">
        <is>
          <t>빛과전자</t>
        </is>
      </c>
      <c r="C223" s="2" t="inlineStr">
        <is>
          <t>코스닥</t>
        </is>
      </c>
      <c r="D223" s="2" t="inlineStr">
        <is>
          <t>069540</t>
        </is>
      </c>
      <c r="E223" s="3" t="inlineStr">
        <is>
          <t xml:space="preserve">기타시장안내(최대주주의의무보유관련)              </t>
        </is>
      </c>
      <c r="F223" s="3" t="inlineStr">
        <is>
          <t>코스닥시장본부</t>
        </is>
      </c>
      <c r="G223" s="2" t="inlineStr">
        <is>
          <t>20260129901083</t>
        </is>
      </c>
      <c r="H223" s="8">
        <f>HYPERLINK("https://dart.fss.or.kr/dsaf001/main.do?rcpNo=20260129901083", "공시열람")</f>
        <v/>
      </c>
    </row>
    <row r="224">
      <c r="A224" s="2" t="inlineStr">
        <is>
          <t>2026-01-29</t>
        </is>
      </c>
      <c r="B224" s="3" t="inlineStr">
        <is>
          <t>빛과전자</t>
        </is>
      </c>
      <c r="C224" s="2" t="inlineStr">
        <is>
          <t>코스닥</t>
        </is>
      </c>
      <c r="D224" s="2" t="inlineStr">
        <is>
          <t>069540</t>
        </is>
      </c>
      <c r="E224" s="3" t="inlineStr">
        <is>
          <t>증권발행결과(자율공시)              (제3자배정 유상증자)</t>
        </is>
      </c>
      <c r="F224" s="3" t="inlineStr">
        <is>
          <t>빛과전자</t>
        </is>
      </c>
      <c r="G224" s="2" t="inlineStr">
        <is>
          <t>20260129901072</t>
        </is>
      </c>
      <c r="H224" s="8">
        <f>HYPERLINK("https://dart.fss.or.kr/dsaf001/main.do?rcpNo=20260129901072", "공시열람")</f>
        <v/>
      </c>
    </row>
    <row r="225">
      <c r="A225" s="2" t="inlineStr">
        <is>
          <t>2026-01-29</t>
        </is>
      </c>
      <c r="B225" s="3" t="inlineStr">
        <is>
          <t>현대건설</t>
        </is>
      </c>
      <c r="C225" s="2" t="inlineStr">
        <is>
          <t>코스피</t>
        </is>
      </c>
      <c r="D225" s="2" t="inlineStr">
        <is>
          <t>000720</t>
        </is>
      </c>
      <c r="E225" s="3" t="inlineStr">
        <is>
          <t>특수관계인에대한채권매도</t>
        </is>
      </c>
      <c r="F225" s="3" t="inlineStr">
        <is>
          <t>현대건설</t>
        </is>
      </c>
      <c r="G225" s="2" t="inlineStr">
        <is>
          <t>20260129000754</t>
        </is>
      </c>
      <c r="H225" s="8">
        <f>HYPERLINK("https://dart.fss.or.kr/dsaf001/main.do?rcpNo=20260129000754", "공시열람")</f>
        <v/>
      </c>
    </row>
    <row r="226">
      <c r="A226" s="2" t="inlineStr">
        <is>
          <t>2026-01-29</t>
        </is>
      </c>
      <c r="B226" s="3" t="inlineStr">
        <is>
          <t>신한알파리츠</t>
        </is>
      </c>
      <c r="C226" s="2" t="inlineStr">
        <is>
          <t>코스피</t>
        </is>
      </c>
      <c r="D226" s="2" t="inlineStr">
        <is>
          <t>293940</t>
        </is>
      </c>
      <c r="E226" s="3" t="inlineStr">
        <is>
          <t xml:space="preserve">기타경영사항(자율공시)              </t>
        </is>
      </c>
      <c r="F226" s="3" t="inlineStr">
        <is>
          <t>신한알파리츠</t>
        </is>
      </c>
      <c r="G226" s="2" t="inlineStr">
        <is>
          <t>20260129801054</t>
        </is>
      </c>
      <c r="H226" s="8">
        <f>HYPERLINK("https://dart.fss.or.kr/dsaf001/main.do?rcpNo=20260129801054", "공시열람")</f>
        <v/>
      </c>
    </row>
    <row r="227">
      <c r="A227" s="2" t="inlineStr">
        <is>
          <t>2026-01-29</t>
        </is>
      </c>
      <c r="B227" s="3" t="inlineStr">
        <is>
          <t>CSA 코스믹</t>
        </is>
      </c>
      <c r="C227" s="2" t="inlineStr">
        <is>
          <t>코스닥</t>
        </is>
      </c>
      <c r="D227" s="2" t="inlineStr">
        <is>
          <t>083660</t>
        </is>
      </c>
      <c r="E227" s="3" t="inlineStr">
        <is>
          <t xml:space="preserve">타법인주식및출자증권취득결정              </t>
        </is>
      </c>
      <c r="F227" s="3" t="inlineStr">
        <is>
          <t>CSA 코스믹</t>
        </is>
      </c>
      <c r="G227" s="2" t="inlineStr">
        <is>
          <t>20260129901058</t>
        </is>
      </c>
      <c r="H227" s="8">
        <f>HYPERLINK("https://dart.fss.or.kr/dsaf001/main.do?rcpNo=20260129901058", "공시열람")</f>
        <v/>
      </c>
    </row>
    <row r="228">
      <c r="A228" s="2" t="inlineStr">
        <is>
          <t>2026-01-29</t>
        </is>
      </c>
      <c r="B228" s="3" t="inlineStr">
        <is>
          <t>인선이엔티</t>
        </is>
      </c>
      <c r="C228" s="2" t="inlineStr">
        <is>
          <t>코스닥</t>
        </is>
      </c>
      <c r="D228" s="2" t="inlineStr">
        <is>
          <t>060150</t>
        </is>
      </c>
      <c r="E228" s="3" t="inlineStr">
        <is>
          <t>임원ㆍ주요주주특정증권등소유상황보고서</t>
        </is>
      </c>
      <c r="F228" s="3" t="inlineStr">
        <is>
          <t>현상호</t>
        </is>
      </c>
      <c r="G228" s="2" t="inlineStr">
        <is>
          <t>20260129000752</t>
        </is>
      </c>
      <c r="H228" s="8">
        <f>HYPERLINK("https://dart.fss.or.kr/dsaf001/main.do?rcpNo=20260129000752", "공시열람")</f>
        <v/>
      </c>
    </row>
    <row r="229">
      <c r="A229" s="2" t="inlineStr">
        <is>
          <t>2026-01-29</t>
        </is>
      </c>
      <c r="B229" s="3" t="inlineStr">
        <is>
          <t>천보</t>
        </is>
      </c>
      <c r="C229" s="2" t="inlineStr">
        <is>
          <t>코스닥</t>
        </is>
      </c>
      <c r="D229" s="2" t="inlineStr">
        <is>
          <t>278280</t>
        </is>
      </c>
      <c r="E229" s="3" t="inlineStr">
        <is>
          <t xml:space="preserve">전환청구권행사              </t>
        </is>
      </c>
      <c r="F229" s="3" t="inlineStr">
        <is>
          <t>천보</t>
        </is>
      </c>
      <c r="G229" s="2" t="inlineStr">
        <is>
          <t>20260129901057</t>
        </is>
      </c>
      <c r="H229" s="8">
        <f>HYPERLINK("https://dart.fss.or.kr/dsaf001/main.do?rcpNo=20260129901057", "공시열람")</f>
        <v/>
      </c>
    </row>
    <row r="230">
      <c r="A230" s="2" t="inlineStr">
        <is>
          <t>2026-01-29</t>
        </is>
      </c>
      <c r="B230" s="3" t="inlineStr">
        <is>
          <t>대신증권</t>
        </is>
      </c>
      <c r="C230" s="2" t="inlineStr">
        <is>
          <t>코스피</t>
        </is>
      </c>
      <c r="D230" s="2" t="inlineStr">
        <is>
          <t>003540</t>
        </is>
      </c>
      <c r="E230" s="3" t="inlineStr">
        <is>
          <t>[발행조건확정]증권신고서(채무증권)</t>
        </is>
      </c>
      <c r="F230" s="3" t="inlineStr">
        <is>
          <t>대신증권</t>
        </is>
      </c>
      <c r="G230" s="2" t="inlineStr">
        <is>
          <t>20260129000749</t>
        </is>
      </c>
      <c r="H230" s="8">
        <f>HYPERLINK("https://dart.fss.or.kr/dsaf001/main.do?rcpNo=20260129000749", "공시열람")</f>
        <v/>
      </c>
    </row>
    <row r="231">
      <c r="A231" s="2" t="inlineStr">
        <is>
          <t>2026-01-29</t>
        </is>
      </c>
      <c r="B231" s="3" t="inlineStr">
        <is>
          <t>LS</t>
        </is>
      </c>
      <c r="C231" s="2" t="inlineStr">
        <is>
          <t>코스피</t>
        </is>
      </c>
      <c r="D231" s="2" t="inlineStr">
        <is>
          <t>006260</t>
        </is>
      </c>
      <c r="E231" s="3" t="inlineStr">
        <is>
          <t xml:space="preserve">타법인주식및출자증권취득결정(자회사의 주요경영사항)              </t>
        </is>
      </c>
      <c r="F231" s="3" t="inlineStr">
        <is>
          <t>LS</t>
        </is>
      </c>
      <c r="G231" s="2" t="inlineStr">
        <is>
          <t>20260129801043</t>
        </is>
      </c>
      <c r="H231" s="8">
        <f>HYPERLINK("https://dart.fss.or.kr/dsaf001/main.do?rcpNo=20260129801043", "공시열람")</f>
        <v/>
      </c>
    </row>
    <row r="232">
      <c r="A232" s="2" t="inlineStr">
        <is>
          <t>2026-01-29</t>
        </is>
      </c>
      <c r="B232" s="3" t="inlineStr">
        <is>
          <t>SK이노베이션</t>
        </is>
      </c>
      <c r="C232" s="2" t="inlineStr">
        <is>
          <t>코스피</t>
        </is>
      </c>
      <c r="D232" s="2" t="inlineStr">
        <is>
          <t>096770</t>
        </is>
      </c>
      <c r="E232" s="3" t="inlineStr">
        <is>
          <t>임원ㆍ주요주주특정증권등소유상황보고서</t>
        </is>
      </c>
      <c r="F232" s="3" t="inlineStr">
        <is>
          <t>김종하</t>
        </is>
      </c>
      <c r="G232" s="2" t="inlineStr">
        <is>
          <t>20260129000748</t>
        </is>
      </c>
      <c r="H232" s="8">
        <f>HYPERLINK("https://dart.fss.or.kr/dsaf001/main.do?rcpNo=20260129000748", "공시열람")</f>
        <v/>
      </c>
    </row>
    <row r="233">
      <c r="A233" s="2" t="inlineStr">
        <is>
          <t>2026-01-29</t>
        </is>
      </c>
      <c r="B233" s="3" t="inlineStr">
        <is>
          <t>LX하우시스</t>
        </is>
      </c>
      <c r="C233" s="2" t="inlineStr">
        <is>
          <t>코스피</t>
        </is>
      </c>
      <c r="D233" s="2" t="inlineStr">
        <is>
          <t>108670</t>
        </is>
      </c>
      <c r="E233" s="3" t="inlineStr">
        <is>
          <t>[발행조건확정]증권신고서(채무증권)</t>
        </is>
      </c>
      <c r="F233" s="3" t="inlineStr">
        <is>
          <t>LX하우시스</t>
        </is>
      </c>
      <c r="G233" s="2" t="inlineStr">
        <is>
          <t>20260129000747</t>
        </is>
      </c>
      <c r="H233" s="8">
        <f>HYPERLINK("https://dart.fss.or.kr/dsaf001/main.do?rcpNo=20260129000747", "공시열람")</f>
        <v/>
      </c>
    </row>
    <row r="234">
      <c r="A234" s="2" t="inlineStr">
        <is>
          <t>2026-01-29</t>
        </is>
      </c>
      <c r="B234" s="3" t="inlineStr">
        <is>
          <t>세보엠이씨</t>
        </is>
      </c>
      <c r="C234" s="2" t="inlineStr">
        <is>
          <t>코스닥</t>
        </is>
      </c>
      <c r="D234" s="2" t="inlineStr">
        <is>
          <t>011560</t>
        </is>
      </c>
      <c r="E234" s="3" t="inlineStr">
        <is>
          <t>[첨부정정]주요사항보고서(자기주식처분결정)</t>
        </is>
      </c>
      <c r="F234" s="3" t="inlineStr">
        <is>
          <t>세보엠이씨</t>
        </is>
      </c>
      <c r="G234" s="2" t="inlineStr">
        <is>
          <t>20260129000733</t>
        </is>
      </c>
      <c r="H234" s="8">
        <f>HYPERLINK("https://dart.fss.or.kr/dsaf001/main.do?rcpNo=20260129000733", "공시열람")</f>
        <v/>
      </c>
    </row>
    <row r="235">
      <c r="A235" s="2" t="inlineStr">
        <is>
          <t>2026-01-29</t>
        </is>
      </c>
      <c r="B235" s="3" t="inlineStr">
        <is>
          <t>롯데쇼핑</t>
        </is>
      </c>
      <c r="C235" s="2" t="inlineStr">
        <is>
          <t>코스피</t>
        </is>
      </c>
      <c r="D235" s="2" t="inlineStr">
        <is>
          <t>023530</t>
        </is>
      </c>
      <c r="E235" s="3" t="inlineStr">
        <is>
          <t>[발행조건확정]증권신고서(채무증권)</t>
        </is>
      </c>
      <c r="F235" s="3" t="inlineStr">
        <is>
          <t>롯데쇼핑</t>
        </is>
      </c>
      <c r="G235" s="2" t="inlineStr">
        <is>
          <t>20260129000745</t>
        </is>
      </c>
      <c r="H235" s="8">
        <f>HYPERLINK("https://dart.fss.or.kr/dsaf001/main.do?rcpNo=20260129000745", "공시열람")</f>
        <v/>
      </c>
    </row>
    <row r="236">
      <c r="A236" s="2" t="inlineStr">
        <is>
          <t>2026-01-29</t>
        </is>
      </c>
      <c r="B236" s="3" t="inlineStr">
        <is>
          <t>금호석유화학</t>
        </is>
      </c>
      <c r="C236" s="2" t="inlineStr">
        <is>
          <t>코스피</t>
        </is>
      </c>
      <c r="D236" s="2" t="inlineStr">
        <is>
          <t>011780</t>
        </is>
      </c>
      <c r="E236" s="3" t="inlineStr">
        <is>
          <t>임원ㆍ주요주주특정증권등소유상황보고서</t>
        </is>
      </c>
      <c r="F236" s="3" t="inlineStr">
        <is>
          <t>김태환</t>
        </is>
      </c>
      <c r="G236" s="2" t="inlineStr">
        <is>
          <t>20260129000744</t>
        </is>
      </c>
      <c r="H236" s="8">
        <f>HYPERLINK("https://dart.fss.or.kr/dsaf001/main.do?rcpNo=20260129000744", "공시열람")</f>
        <v/>
      </c>
    </row>
    <row r="237">
      <c r="A237" s="2" t="inlineStr">
        <is>
          <t>2026-01-29</t>
        </is>
      </c>
      <c r="B237" s="3" t="inlineStr">
        <is>
          <t>IPARK현대산업개발</t>
        </is>
      </c>
      <c r="C237" s="2" t="inlineStr">
        <is>
          <t>코스피</t>
        </is>
      </c>
      <c r="D237" s="2" t="inlineStr">
        <is>
          <t>294870</t>
        </is>
      </c>
      <c r="E237" s="3" t="inlineStr">
        <is>
          <t xml:space="preserve">결산실적공시예고(안내공시)              </t>
        </is>
      </c>
      <c r="F237" s="3" t="inlineStr">
        <is>
          <t>IPARK현대산업개발</t>
        </is>
      </c>
      <c r="G237" s="2" t="inlineStr">
        <is>
          <t>20260129801039</t>
        </is>
      </c>
      <c r="H237" s="8">
        <f>HYPERLINK("https://dart.fss.or.kr/dsaf001/main.do?rcpNo=20260129801039", "공시열람")</f>
        <v/>
      </c>
    </row>
    <row r="238">
      <c r="A238" s="2" t="inlineStr">
        <is>
          <t>2026-01-23 (정정: 2026-01-29)</t>
        </is>
      </c>
      <c r="B238" s="3" t="inlineStr">
        <is>
          <t>CJ대한통운</t>
        </is>
      </c>
      <c r="C238" s="2" t="inlineStr">
        <is>
          <t>코스피</t>
        </is>
      </c>
      <c r="D238" s="2" t="inlineStr">
        <is>
          <t>000120</t>
        </is>
      </c>
      <c r="E238" s="3" t="inlineStr">
        <is>
          <t>[기재정정]증권신고서(채무증권)</t>
        </is>
      </c>
      <c r="F238" s="3" t="inlineStr">
        <is>
          <t>CJ대한통운</t>
        </is>
      </c>
      <c r="G238" s="2" t="inlineStr">
        <is>
          <t>20260129000739</t>
        </is>
      </c>
      <c r="H238" s="8">
        <f>HYPERLINK("https://dart.fss.or.kr/dsaf001/main.do?rcpNo=20260129000739", "공시열람")</f>
        <v/>
      </c>
    </row>
    <row r="239">
      <c r="A239" s="2" t="inlineStr">
        <is>
          <t>2026-01-29</t>
        </is>
      </c>
      <c r="B239" s="3" t="inlineStr">
        <is>
          <t>금호전기</t>
        </is>
      </c>
      <c r="C239" s="2" t="inlineStr">
        <is>
          <t>코스피</t>
        </is>
      </c>
      <c r="D239" s="2" t="inlineStr">
        <is>
          <t>001210</t>
        </is>
      </c>
      <c r="E239" s="3" t="inlineStr">
        <is>
          <t xml:space="preserve">유형자산처분결정(종속회사의주요경영사항)              </t>
        </is>
      </c>
      <c r="F239" s="3" t="inlineStr">
        <is>
          <t>금호전기</t>
        </is>
      </c>
      <c r="G239" s="2" t="inlineStr">
        <is>
          <t>20260129801033</t>
        </is>
      </c>
      <c r="H239" s="8">
        <f>HYPERLINK("https://dart.fss.or.kr/dsaf001/main.do?rcpNo=20260129801033", "공시열람")</f>
        <v/>
      </c>
    </row>
    <row r="240">
      <c r="A240" s="2" t="inlineStr">
        <is>
          <t>2026-01-29</t>
        </is>
      </c>
      <c r="B240" s="3" t="inlineStr">
        <is>
          <t>HS효성</t>
        </is>
      </c>
      <c r="C240" s="2" t="inlineStr">
        <is>
          <t>코스피</t>
        </is>
      </c>
      <c r="D240" s="2" t="inlineStr">
        <is>
          <t>487570</t>
        </is>
      </c>
      <c r="E240" s="3" t="inlineStr">
        <is>
          <t>주요사항보고서(자기주식처분결정)</t>
        </is>
      </c>
      <c r="F240" s="3" t="inlineStr">
        <is>
          <t>HS효성</t>
        </is>
      </c>
      <c r="G240" s="2" t="inlineStr">
        <is>
          <t>20260129000728</t>
        </is>
      </c>
      <c r="H240" s="8">
        <f>HYPERLINK("https://dart.fss.or.kr/dsaf001/main.do?rcpNo=20260129000728", "공시열람")</f>
        <v/>
      </c>
    </row>
    <row r="241">
      <c r="A241" s="2" t="inlineStr">
        <is>
          <t>2026-01-29</t>
        </is>
      </c>
      <c r="B241" s="3" t="inlineStr">
        <is>
          <t>젠큐릭스</t>
        </is>
      </c>
      <c r="C241" s="2" t="inlineStr">
        <is>
          <t>코스닥</t>
        </is>
      </c>
      <c r="D241" s="2" t="inlineStr">
        <is>
          <t>229000</t>
        </is>
      </c>
      <c r="E241" s="3" t="inlineStr">
        <is>
          <t xml:space="preserve">주권관련사채권의취득결정              </t>
        </is>
      </c>
      <c r="F241" s="3" t="inlineStr">
        <is>
          <t>젠큐릭스</t>
        </is>
      </c>
      <c r="G241" s="2" t="inlineStr">
        <is>
          <t>20260129901003</t>
        </is>
      </c>
      <c r="H241" s="8">
        <f>HYPERLINK("https://dart.fss.or.kr/dsaf001/main.do?rcpNo=20260129901003", "공시열람")</f>
        <v/>
      </c>
    </row>
    <row r="242">
      <c r="A242" s="2" t="inlineStr">
        <is>
          <t>2026-01-29</t>
        </is>
      </c>
      <c r="B242" s="3" t="inlineStr">
        <is>
          <t>풍산</t>
        </is>
      </c>
      <c r="C242" s="2" t="inlineStr">
        <is>
          <t>코스피</t>
        </is>
      </c>
      <c r="D242" s="2" t="inlineStr">
        <is>
          <t>103140</t>
        </is>
      </c>
      <c r="E242" s="3" t="inlineStr">
        <is>
          <t xml:space="preserve">결산실적공시예고(안내공시)              </t>
        </is>
      </c>
      <c r="F242" s="3" t="inlineStr">
        <is>
          <t>풍산</t>
        </is>
      </c>
      <c r="G242" s="2" t="inlineStr">
        <is>
          <t>20260129801007</t>
        </is>
      </c>
      <c r="H242" s="8">
        <f>HYPERLINK("https://dart.fss.or.kr/dsaf001/main.do?rcpNo=20260129801007", "공시열람")</f>
        <v/>
      </c>
    </row>
    <row r="243">
      <c r="A243" s="2" t="inlineStr">
        <is>
          <t>2026-01-29</t>
        </is>
      </c>
      <c r="B243" s="3" t="inlineStr">
        <is>
          <t>젠큐릭스</t>
        </is>
      </c>
      <c r="C243" s="2" t="inlineStr">
        <is>
          <t>코스닥</t>
        </is>
      </c>
      <c r="D243" s="2" t="inlineStr">
        <is>
          <t>229000</t>
        </is>
      </c>
      <c r="E243" s="3" t="inlineStr">
        <is>
          <t xml:space="preserve">매출액또는손익구조30%(대규모법인은15%)이상변동              </t>
        </is>
      </c>
      <c r="F243" s="3" t="inlineStr">
        <is>
          <t>젠큐릭스</t>
        </is>
      </c>
      <c r="G243" s="2" t="inlineStr">
        <is>
          <t>20260129900941</t>
        </is>
      </c>
      <c r="H243" s="8">
        <f>HYPERLINK("https://dart.fss.or.kr/dsaf001/main.do?rcpNo=20260129900941", "공시열람")</f>
        <v/>
      </c>
    </row>
    <row r="244">
      <c r="A244" s="2" t="inlineStr">
        <is>
          <t>2025-12-22 (정정: 2026-01-29)</t>
        </is>
      </c>
      <c r="B244" s="3" t="inlineStr">
        <is>
          <t>제이스코홀딩스</t>
        </is>
      </c>
      <c r="C244" s="2" t="inlineStr">
        <is>
          <t>코스닥</t>
        </is>
      </c>
      <c r="D244" s="2" t="inlineStr">
        <is>
          <t>023440</t>
        </is>
      </c>
      <c r="E244" s="3" t="inlineStr">
        <is>
          <t>[기재정정]소액공모공시서류(지분증권)</t>
        </is>
      </c>
      <c r="F244" s="3" t="inlineStr">
        <is>
          <t>제이스코홀딩스</t>
        </is>
      </c>
      <c r="G244" s="2" t="inlineStr">
        <is>
          <t>20260129000732</t>
        </is>
      </c>
      <c r="H244" s="8">
        <f>HYPERLINK("https://dart.fss.or.kr/dsaf001/main.do?rcpNo=20260129000732", "공시열람")</f>
        <v/>
      </c>
    </row>
    <row r="245">
      <c r="A245" s="2" t="inlineStr">
        <is>
          <t>2026-01-29</t>
        </is>
      </c>
      <c r="B245" s="3" t="inlineStr">
        <is>
          <t>HS효성</t>
        </is>
      </c>
      <c r="C245" s="2" t="inlineStr">
        <is>
          <t>코스피</t>
        </is>
      </c>
      <c r="D245" s="2" t="inlineStr">
        <is>
          <t>487570</t>
        </is>
      </c>
      <c r="E245" s="3" t="inlineStr">
        <is>
          <t xml:space="preserve">연결재무제표기준영업(잠정)실적(공정공시)              </t>
        </is>
      </c>
      <c r="F245" s="3" t="inlineStr">
        <is>
          <t>HS효성</t>
        </is>
      </c>
      <c r="G245" s="2" t="inlineStr">
        <is>
          <t>20260129800993</t>
        </is>
      </c>
      <c r="H245" s="8">
        <f>HYPERLINK("https://dart.fss.or.kr/dsaf001/main.do?rcpNo=20260129800993", "공시열람")</f>
        <v/>
      </c>
    </row>
    <row r="246">
      <c r="A246" s="2" t="inlineStr">
        <is>
          <t>2026-01-29</t>
        </is>
      </c>
      <c r="B246" s="3" t="inlineStr">
        <is>
          <t>대한약품</t>
        </is>
      </c>
      <c r="C246" s="2" t="inlineStr">
        <is>
          <t>코스닥</t>
        </is>
      </c>
      <c r="D246" s="2" t="inlineStr">
        <is>
          <t>023910</t>
        </is>
      </c>
      <c r="E246" s="3" t="inlineStr">
        <is>
          <t>임원ㆍ주요주주특정증권등소유상황보고서</t>
        </is>
      </c>
      <c r="F246" s="3" t="inlineStr">
        <is>
          <t>이윤우</t>
        </is>
      </c>
      <c r="G246" s="2" t="inlineStr">
        <is>
          <t>20260129000731</t>
        </is>
      </c>
      <c r="H246" s="8">
        <f>HYPERLINK("https://dart.fss.or.kr/dsaf001/main.do?rcpNo=20260129000731", "공시열람")</f>
        <v/>
      </c>
    </row>
    <row r="247">
      <c r="A247" s="2" t="inlineStr">
        <is>
          <t>2026-01-29 (정정: 2026-01-29)</t>
        </is>
      </c>
      <c r="B247" s="3" t="inlineStr">
        <is>
          <t>삼성전자</t>
        </is>
      </c>
      <c r="C247" s="2" t="inlineStr">
        <is>
          <t>코스피</t>
        </is>
      </c>
      <c r="D247" s="2" t="inlineStr">
        <is>
          <t>005930</t>
        </is>
      </c>
      <c r="E247" s="3" t="inlineStr">
        <is>
          <t>자기주식처분결과보고서 (정정: 20260129) (정정: 20260129)</t>
        </is>
      </c>
      <c r="F247" s="3" t="inlineStr">
        <is>
          <t>삼성전자</t>
        </is>
      </c>
      <c r="G247" s="2" t="inlineStr">
        <is>
          <t>20260129800009</t>
        </is>
      </c>
      <c r="H247" s="8">
        <f>HYPERLINK("https://dart.fss.or.kr/dsaf001/main.do?rcpNo=20260129800009", "공시열람")</f>
        <v/>
      </c>
    </row>
    <row r="248">
      <c r="A248" s="2" t="inlineStr">
        <is>
          <t>2026-01-29 (정정: 2026-02-02)</t>
        </is>
      </c>
      <c r="B248" s="3" t="inlineStr">
        <is>
          <t>포커스에이아이</t>
        </is>
      </c>
      <c r="C248" s="2" t="inlineStr">
        <is>
          <t>코스닥</t>
        </is>
      </c>
      <c r="D248" s="2" t="inlineStr">
        <is>
          <t>331380</t>
        </is>
      </c>
      <c r="E248" s="3" t="inlineStr">
        <is>
          <t>전환청구권행사              (제2회차) (정정: 20260202)</t>
        </is>
      </c>
      <c r="F248" s="3" t="inlineStr">
        <is>
          <t>포커스에이아이</t>
        </is>
      </c>
      <c r="G248" s="2" t="inlineStr">
        <is>
          <t>20260202901404</t>
        </is>
      </c>
      <c r="H248" s="8">
        <f>HYPERLINK("https://dart.fss.or.kr/dsaf001/main.do?rcpNo=20260202901404", "공시열람")</f>
        <v/>
      </c>
    </row>
    <row r="249">
      <c r="A249" s="2" t="inlineStr">
        <is>
          <t>2026-01-29</t>
        </is>
      </c>
      <c r="B249" s="3" t="inlineStr">
        <is>
          <t>삼성생명</t>
        </is>
      </c>
      <c r="C249" s="2" t="inlineStr">
        <is>
          <t>코스피</t>
        </is>
      </c>
      <c r="D249" s="2" t="inlineStr">
        <is>
          <t>032830</t>
        </is>
      </c>
      <c r="E249" s="3" t="inlineStr">
        <is>
          <t xml:space="preserve">현금ㆍ현물배당결정              </t>
        </is>
      </c>
      <c r="F249" s="3" t="inlineStr">
        <is>
          <t>삼성생명</t>
        </is>
      </c>
      <c r="G249" s="2" t="inlineStr">
        <is>
          <t>20260129801002</t>
        </is>
      </c>
      <c r="H249" s="8">
        <f>HYPERLINK("https://dart.fss.or.kr/dsaf001/main.do?rcpNo=20260129801002", "공시열람")</f>
        <v/>
      </c>
    </row>
    <row r="250">
      <c r="A250" s="2" t="inlineStr">
        <is>
          <t>2026-01-29</t>
        </is>
      </c>
      <c r="B250" s="3" t="inlineStr">
        <is>
          <t>메리츠금융지주</t>
        </is>
      </c>
      <c r="C250" s="2" t="inlineStr">
        <is>
          <t>코스피</t>
        </is>
      </c>
      <c r="D250" s="2" t="inlineStr">
        <is>
          <t>138040</t>
        </is>
      </c>
      <c r="E250" s="3" t="inlineStr">
        <is>
          <t>증권발행실적보고서</t>
        </is>
      </c>
      <c r="F250" s="3" t="inlineStr">
        <is>
          <t>메리츠금융지주</t>
        </is>
      </c>
      <c r="G250" s="2" t="inlineStr">
        <is>
          <t>20260129000723</t>
        </is>
      </c>
      <c r="H250" s="8">
        <f>HYPERLINK("https://dart.fss.or.kr/dsaf001/main.do?rcpNo=20260129000723", "공시열람")</f>
        <v/>
      </c>
    </row>
    <row r="251">
      <c r="A251" s="2" t="inlineStr">
        <is>
          <t>2026-01-29</t>
        </is>
      </c>
      <c r="B251" s="3" t="inlineStr">
        <is>
          <t>엑세스바이오</t>
        </is>
      </c>
      <c r="C251" s="2" t="inlineStr">
        <is>
          <t>코스닥</t>
        </is>
      </c>
      <c r="D251" s="2" t="inlineStr">
        <is>
          <t>950130</t>
        </is>
      </c>
      <c r="E251" s="3" t="inlineStr">
        <is>
          <t>임원ㆍ주요주주특정증권등소유상황보고서</t>
        </is>
      </c>
      <c r="F251" s="3" t="inlineStr">
        <is>
          <t>박희덕</t>
        </is>
      </c>
      <c r="G251" s="2" t="inlineStr">
        <is>
          <t>20260129000722</t>
        </is>
      </c>
      <c r="H251" s="8">
        <f>HYPERLINK("https://dart.fss.or.kr/dsaf001/main.do?rcpNo=20260129000722", "공시열람")</f>
        <v/>
      </c>
    </row>
    <row r="252">
      <c r="A252" s="2" t="inlineStr">
        <is>
          <t>2026-01-29</t>
        </is>
      </c>
      <c r="B252" s="3" t="inlineStr">
        <is>
          <t>SKC</t>
        </is>
      </c>
      <c r="C252" s="2" t="inlineStr">
        <is>
          <t>코스피</t>
        </is>
      </c>
      <c r="D252" s="2" t="inlineStr">
        <is>
          <t>011790</t>
        </is>
      </c>
      <c r="E252" s="3" t="inlineStr">
        <is>
          <t>특수관계인에대한자금대여</t>
        </is>
      </c>
      <c r="F252" s="3" t="inlineStr">
        <is>
          <t>SKC</t>
        </is>
      </c>
      <c r="G252" s="2" t="inlineStr">
        <is>
          <t>20260129000721</t>
        </is>
      </c>
      <c r="H252" s="8">
        <f>HYPERLINK("https://dart.fss.or.kr/dsaf001/main.do?rcpNo=20260129000721", "공시열람")</f>
        <v/>
      </c>
    </row>
    <row r="253">
      <c r="A253" s="2" t="inlineStr">
        <is>
          <t>2026-01-29</t>
        </is>
      </c>
      <c r="B253" s="3" t="inlineStr">
        <is>
          <t>SK하이닉스</t>
        </is>
      </c>
      <c r="C253" s="2" t="inlineStr">
        <is>
          <t>코스피</t>
        </is>
      </c>
      <c r="D253" s="2" t="inlineStr">
        <is>
          <t>000660</t>
        </is>
      </c>
      <c r="E253" s="3" t="inlineStr">
        <is>
          <t>임원ㆍ주요주주특정증권등소유상황보고서</t>
        </is>
      </c>
      <c r="F253" s="3" t="inlineStr">
        <is>
          <t>정인철</t>
        </is>
      </c>
      <c r="G253" s="2" t="inlineStr">
        <is>
          <t>20260129000720</t>
        </is>
      </c>
      <c r="H253" s="8">
        <f>HYPERLINK("https://dart.fss.or.kr/dsaf001/main.do?rcpNo=20260129000720", "공시열람")</f>
        <v/>
      </c>
    </row>
    <row r="254">
      <c r="A254" s="2" t="inlineStr">
        <is>
          <t>2026-01-29</t>
        </is>
      </c>
      <c r="B254" s="3" t="inlineStr">
        <is>
          <t>윙스풋</t>
        </is>
      </c>
      <c r="C254" s="2" t="inlineStr">
        <is>
          <t>코스닥</t>
        </is>
      </c>
      <c r="D254" s="2" t="inlineStr">
        <is>
          <t>335870</t>
        </is>
      </c>
      <c r="E254" s="3" t="inlineStr">
        <is>
          <t>임원ㆍ주요주주특정증권등거래계획보고서</t>
        </is>
      </c>
      <c r="F254" s="3" t="inlineStr">
        <is>
          <t>모티바코리아</t>
        </is>
      </c>
      <c r="G254" s="2" t="inlineStr">
        <is>
          <t>20260129000719</t>
        </is>
      </c>
      <c r="H254" s="8">
        <f>HYPERLINK("https://dart.fss.or.kr/dsaf001/main.do?rcpNo=20260129000719", "공시열람")</f>
        <v/>
      </c>
    </row>
    <row r="255">
      <c r="A255" s="2" t="inlineStr">
        <is>
          <t>2026-01-29</t>
        </is>
      </c>
      <c r="B255" s="3" t="inlineStr">
        <is>
          <t>풍산</t>
        </is>
      </c>
      <c r="C255" s="2" t="inlineStr">
        <is>
          <t>코스피</t>
        </is>
      </c>
      <c r="D255" s="2" t="inlineStr">
        <is>
          <t>103140</t>
        </is>
      </c>
      <c r="E255" s="3" t="inlineStr">
        <is>
          <t>임원ㆍ주요주주특정증권등소유상황보고서</t>
        </is>
      </c>
      <c r="F255" s="3" t="inlineStr">
        <is>
          <t>이종무</t>
        </is>
      </c>
      <c r="G255" s="2" t="inlineStr">
        <is>
          <t>20260129000718</t>
        </is>
      </c>
      <c r="H255" s="8">
        <f>HYPERLINK("https://dart.fss.or.kr/dsaf001/main.do?rcpNo=20260129000718", "공시열람")</f>
        <v/>
      </c>
    </row>
    <row r="256">
      <c r="A256" s="2" t="inlineStr">
        <is>
          <t>2026-01-29</t>
        </is>
      </c>
      <c r="B256" s="3" t="inlineStr">
        <is>
          <t>엑세스바이오</t>
        </is>
      </c>
      <c r="C256" s="2" t="inlineStr">
        <is>
          <t>코스닥</t>
        </is>
      </c>
      <c r="D256" s="2" t="inlineStr">
        <is>
          <t>950130</t>
        </is>
      </c>
      <c r="E256" s="3" t="inlineStr">
        <is>
          <t>임원ㆍ주요주주특정증권등소유상황보고서</t>
        </is>
      </c>
      <c r="F256" s="3" t="inlineStr">
        <is>
          <t>이근형</t>
        </is>
      </c>
      <c r="G256" s="2" t="inlineStr">
        <is>
          <t>20260129000716</t>
        </is>
      </c>
      <c r="H256" s="8">
        <f>HYPERLINK("https://dart.fss.or.kr/dsaf001/main.do?rcpNo=20260129000716", "공시열람")</f>
        <v/>
      </c>
    </row>
    <row r="257">
      <c r="A257" s="2" t="inlineStr">
        <is>
          <t>2026-01-29 (정정: 2026-02-02)</t>
        </is>
      </c>
      <c r="B257" s="3" t="inlineStr">
        <is>
          <t>HS효성</t>
        </is>
      </c>
      <c r="C257" s="2" t="inlineStr">
        <is>
          <t>코스피</t>
        </is>
      </c>
      <c r="D257" s="2" t="inlineStr">
        <is>
          <t>487570</t>
        </is>
      </c>
      <c r="E257" s="3" t="inlineStr">
        <is>
          <t>매출액또는손익구조30%(대규모법인은15%)이상변경               (정정: 20260202)</t>
        </is>
      </c>
      <c r="F257" s="3" t="inlineStr">
        <is>
          <t>HS효성</t>
        </is>
      </c>
      <c r="G257" s="2" t="inlineStr">
        <is>
          <t>20260202801831</t>
        </is>
      </c>
      <c r="H257" s="8">
        <f>HYPERLINK("https://dart.fss.or.kr/dsaf001/main.do?rcpNo=20260202801831", "공시열람")</f>
        <v/>
      </c>
    </row>
    <row r="258">
      <c r="A258" s="2" t="inlineStr">
        <is>
          <t>2026-01-29 (정정: 2026-01-29)</t>
        </is>
      </c>
      <c r="B258" s="3" t="inlineStr">
        <is>
          <t>SKC</t>
        </is>
      </c>
      <c r="C258" s="2" t="inlineStr">
        <is>
          <t>코스피</t>
        </is>
      </c>
      <c r="D258" s="2" t="inlineStr">
        <is>
          <t>011790</t>
        </is>
      </c>
      <c r="E258" s="3" t="inlineStr">
        <is>
          <t>특수관계인에대한자금대여 (정정: 20260129)</t>
        </is>
      </c>
      <c r="F258" s="3" t="inlineStr">
        <is>
          <t>SKC</t>
        </is>
      </c>
      <c r="G258" s="2" t="inlineStr">
        <is>
          <t>20260129800980</t>
        </is>
      </c>
      <c r="H258" s="8">
        <f>HYPERLINK("https://dart.fss.or.kr/dsaf001/main.do?rcpNo=20260129800980", "공시열람")</f>
        <v/>
      </c>
    </row>
    <row r="259">
      <c r="A259" s="2" t="inlineStr">
        <is>
          <t>2026-01-29</t>
        </is>
      </c>
      <c r="B259" s="3" t="inlineStr">
        <is>
          <t>SK가스</t>
        </is>
      </c>
      <c r="C259" s="2" t="inlineStr">
        <is>
          <t>코스피</t>
        </is>
      </c>
      <c r="D259" s="2" t="inlineStr">
        <is>
          <t>018670</t>
        </is>
      </c>
      <c r="E259" s="3" t="inlineStr">
        <is>
          <t>증권발행실적보고서</t>
        </is>
      </c>
      <c r="F259" s="3" t="inlineStr">
        <is>
          <t>SK가스</t>
        </is>
      </c>
      <c r="G259" s="2" t="inlineStr">
        <is>
          <t>20260129000712</t>
        </is>
      </c>
      <c r="H259" s="8">
        <f>HYPERLINK("https://dart.fss.or.kr/dsaf001/main.do?rcpNo=20260129000712", "공시열람")</f>
        <v/>
      </c>
    </row>
    <row r="260">
      <c r="A260" s="2" t="inlineStr">
        <is>
          <t>2026-01-29</t>
        </is>
      </c>
      <c r="B260" s="3" t="inlineStr">
        <is>
          <t>SK하이닉스</t>
        </is>
      </c>
      <c r="C260" s="2" t="inlineStr">
        <is>
          <t>코스피</t>
        </is>
      </c>
      <c r="D260" s="2" t="inlineStr">
        <is>
          <t>000660</t>
        </is>
      </c>
      <c r="E260" s="3" t="inlineStr">
        <is>
          <t>임원ㆍ주요주주특정증권등소유상황보고서</t>
        </is>
      </c>
      <c r="F260" s="3" t="inlineStr">
        <is>
          <t>도승용</t>
        </is>
      </c>
      <c r="G260" s="2" t="inlineStr">
        <is>
          <t>20260129000711</t>
        </is>
      </c>
      <c r="H260" s="8">
        <f>HYPERLINK("https://dart.fss.or.kr/dsaf001/main.do?rcpNo=20260129000711", "공시열람")</f>
        <v/>
      </c>
    </row>
    <row r="261">
      <c r="A261" s="2" t="inlineStr">
        <is>
          <t>2026-01-29</t>
        </is>
      </c>
      <c r="B261" s="3" t="inlineStr">
        <is>
          <t>KSS해운</t>
        </is>
      </c>
      <c r="C261" s="2" t="inlineStr">
        <is>
          <t>코스피</t>
        </is>
      </c>
      <c r="D261" s="2" t="inlineStr">
        <is>
          <t>044450</t>
        </is>
      </c>
      <c r="E261" s="3" t="inlineStr">
        <is>
          <t xml:space="preserve">매출액또는손익구조30%(대규모법인은15%)이상변경              </t>
        </is>
      </c>
      <c r="F261" s="3" t="inlineStr">
        <is>
          <t>KSS해운</t>
        </is>
      </c>
      <c r="G261" s="2" t="inlineStr">
        <is>
          <t>20260129800920</t>
        </is>
      </c>
      <c r="H261" s="8">
        <f>HYPERLINK("https://dart.fss.or.kr/dsaf001/main.do?rcpNo=20260129800920", "공시열람")</f>
        <v/>
      </c>
    </row>
    <row r="262">
      <c r="A262" s="2" t="inlineStr">
        <is>
          <t>2026-01-29</t>
        </is>
      </c>
      <c r="B262" s="3" t="inlineStr">
        <is>
          <t>SK하이닉스</t>
        </is>
      </c>
      <c r="C262" s="2" t="inlineStr">
        <is>
          <t>코스피</t>
        </is>
      </c>
      <c r="D262" s="2" t="inlineStr">
        <is>
          <t>000660</t>
        </is>
      </c>
      <c r="E262" s="3" t="inlineStr">
        <is>
          <t>임원ㆍ주요주주특정증권등소유상황보고서</t>
        </is>
      </c>
      <c r="F262" s="3" t="inlineStr">
        <is>
          <t>안현</t>
        </is>
      </c>
      <c r="G262" s="2" t="inlineStr">
        <is>
          <t>20260129000705</t>
        </is>
      </c>
      <c r="H262" s="8">
        <f>HYPERLINK("https://dart.fss.or.kr/dsaf001/main.do?rcpNo=20260129000705", "공시열람")</f>
        <v/>
      </c>
    </row>
    <row r="263">
      <c r="A263" s="2" t="inlineStr">
        <is>
          <t>2025-10-24 (정정: 2026-01-29)</t>
        </is>
      </c>
      <c r="B263" s="3" t="inlineStr">
        <is>
          <t>한울앤제주</t>
        </is>
      </c>
      <c r="C263" s="2" t="inlineStr">
        <is>
          <t>코스닥</t>
        </is>
      </c>
      <c r="D263" s="2" t="inlineStr">
        <is>
          <t>276730</t>
        </is>
      </c>
      <c r="E263" s="3" t="inlineStr">
        <is>
          <t>[기재정정]소액공모공시서류(지분증권)</t>
        </is>
      </c>
      <c r="F263" s="3" t="inlineStr">
        <is>
          <t>한울앤제주</t>
        </is>
      </c>
      <c r="G263" s="2" t="inlineStr">
        <is>
          <t>20260129000703</t>
        </is>
      </c>
      <c r="H263" s="8">
        <f>HYPERLINK("https://dart.fss.or.kr/dsaf001/main.do?rcpNo=20260129000703", "공시열람")</f>
        <v/>
      </c>
    </row>
    <row r="264">
      <c r="A264" s="2" t="inlineStr">
        <is>
          <t>2026-01-29</t>
        </is>
      </c>
      <c r="B264" s="3" t="inlineStr">
        <is>
          <t>지니틱스</t>
        </is>
      </c>
      <c r="C264" s="2" t="inlineStr">
        <is>
          <t>코스닥</t>
        </is>
      </c>
      <c r="D264" s="2" t="inlineStr">
        <is>
          <t>303030</t>
        </is>
      </c>
      <c r="E264" s="3" t="inlineStr">
        <is>
          <t xml:space="preserve">매출액또는손익구조30%(대규모법인은15%)이상변동              </t>
        </is>
      </c>
      <c r="F264" s="3" t="inlineStr">
        <is>
          <t>지니틱스</t>
        </is>
      </c>
      <c r="G264" s="2" t="inlineStr">
        <is>
          <t>20260129900898</t>
        </is>
      </c>
      <c r="H264" s="8">
        <f>HYPERLINK("https://dart.fss.or.kr/dsaf001/main.do?rcpNo=20260129900898", "공시열람")</f>
        <v/>
      </c>
    </row>
    <row r="265">
      <c r="A265" s="2" t="inlineStr">
        <is>
          <t>2026-01-29</t>
        </is>
      </c>
      <c r="B265" s="3" t="inlineStr">
        <is>
          <t>SK하이닉스</t>
        </is>
      </c>
      <c r="C265" s="2" t="inlineStr">
        <is>
          <t>코스피</t>
        </is>
      </c>
      <c r="D265" s="2" t="inlineStr">
        <is>
          <t>000660</t>
        </is>
      </c>
      <c r="E265" s="3" t="inlineStr">
        <is>
          <t>임원ㆍ주요주주특정증권등소유상황보고서</t>
        </is>
      </c>
      <c r="F265" s="3" t="inlineStr">
        <is>
          <t>곽노정</t>
        </is>
      </c>
      <c r="G265" s="2" t="inlineStr">
        <is>
          <t>20260129000700</t>
        </is>
      </c>
      <c r="H265" s="8">
        <f>HYPERLINK("https://dart.fss.or.kr/dsaf001/main.do?rcpNo=20260129000700", "공시열람")</f>
        <v/>
      </c>
    </row>
    <row r="266">
      <c r="A266" s="2" t="inlineStr">
        <is>
          <t>2026-01-29</t>
        </is>
      </c>
      <c r="B266" s="3" t="inlineStr">
        <is>
          <t>기아</t>
        </is>
      </c>
      <c r="C266" s="2" t="inlineStr">
        <is>
          <t>코스피</t>
        </is>
      </c>
      <c r="D266" s="2" t="inlineStr">
        <is>
          <t>000270</t>
        </is>
      </c>
      <c r="E266" s="3" t="inlineStr">
        <is>
          <t>특수관계인으로부터기타유가증권매수</t>
        </is>
      </c>
      <c r="F266" s="3" t="inlineStr">
        <is>
          <t>기아</t>
        </is>
      </c>
      <c r="G266" s="2" t="inlineStr">
        <is>
          <t>20260129000689</t>
        </is>
      </c>
      <c r="H266" s="8">
        <f>HYPERLINK("https://dart.fss.or.kr/dsaf001/main.do?rcpNo=20260129000689", "공시열람")</f>
        <v/>
      </c>
    </row>
    <row r="267">
      <c r="A267" s="2" t="inlineStr">
        <is>
          <t>2026-01-29</t>
        </is>
      </c>
      <c r="B267" s="3" t="inlineStr">
        <is>
          <t>현대차증권</t>
        </is>
      </c>
      <c r="C267" s="2" t="inlineStr">
        <is>
          <t>코스피</t>
        </is>
      </c>
      <c r="D267" s="2" t="inlineStr">
        <is>
          <t>001500</t>
        </is>
      </c>
      <c r="E267" s="3" t="inlineStr">
        <is>
          <t xml:space="preserve">공정거래자율준수프로그램운영현황(안내공시)              </t>
        </is>
      </c>
      <c r="F267" s="3" t="inlineStr">
        <is>
          <t>현대차증권</t>
        </is>
      </c>
      <c r="G267" s="2" t="inlineStr">
        <is>
          <t>20260129800917</t>
        </is>
      </c>
      <c r="H267" s="8">
        <f>HYPERLINK("https://dart.fss.or.kr/dsaf001/main.do?rcpNo=20260129800917", "공시열람")</f>
        <v/>
      </c>
    </row>
    <row r="268">
      <c r="A268" s="2" t="inlineStr">
        <is>
          <t>2026-01-29</t>
        </is>
      </c>
      <c r="B268" s="3" t="inlineStr">
        <is>
          <t>폰드그룹</t>
        </is>
      </c>
      <c r="C268" s="2" t="inlineStr">
        <is>
          <t>코스닥</t>
        </is>
      </c>
      <c r="D268" s="2" t="inlineStr">
        <is>
          <t>472850</t>
        </is>
      </c>
      <c r="E268" s="3" t="inlineStr">
        <is>
          <t xml:space="preserve">주주명부폐쇄기간또는기준일설정              </t>
        </is>
      </c>
      <c r="F268" s="3" t="inlineStr">
        <is>
          <t>폰드그룹</t>
        </is>
      </c>
      <c r="G268" s="2" t="inlineStr">
        <is>
          <t>20260129900907</t>
        </is>
      </c>
      <c r="H268" s="8">
        <f>HYPERLINK("https://dart.fss.or.kr/dsaf001/main.do?rcpNo=20260129900907", "공시열람")</f>
        <v/>
      </c>
    </row>
    <row r="269">
      <c r="A269" s="2" t="inlineStr">
        <is>
          <t>2026-01-29</t>
        </is>
      </c>
      <c r="B269" s="3" t="inlineStr">
        <is>
          <t>현대차증권</t>
        </is>
      </c>
      <c r="C269" s="2" t="inlineStr">
        <is>
          <t>코스피</t>
        </is>
      </c>
      <c r="D269" s="2" t="inlineStr">
        <is>
          <t>001500</t>
        </is>
      </c>
      <c r="E269" s="3" t="inlineStr">
        <is>
          <t xml:space="preserve">연결재무제표기준영업(잠정)실적(공정공시)              </t>
        </is>
      </c>
      <c r="F269" s="3" t="inlineStr">
        <is>
          <t>현대차증권</t>
        </is>
      </c>
      <c r="G269" s="2" t="inlineStr">
        <is>
          <t>20260129800890</t>
        </is>
      </c>
      <c r="H269" s="8">
        <f>HYPERLINK("https://dart.fss.or.kr/dsaf001/main.do?rcpNo=20260129800890", "공시열람")</f>
        <v/>
      </c>
    </row>
    <row r="270">
      <c r="A270" s="2" t="inlineStr">
        <is>
          <t>2026-01-29</t>
        </is>
      </c>
      <c r="B270" s="3" t="inlineStr">
        <is>
          <t>나이벡</t>
        </is>
      </c>
      <c r="C270" s="2" t="inlineStr">
        <is>
          <t>코스닥</t>
        </is>
      </c>
      <c r="D270" s="2" t="inlineStr">
        <is>
          <t>138610</t>
        </is>
      </c>
      <c r="E270" s="3" t="inlineStr">
        <is>
          <t>투자판단관련주요경영사항(임상시험결과)              (나이벡 펩타이드 NP201 호주 임상 1b 임상시험결과)</t>
        </is>
      </c>
      <c r="F270" s="3" t="inlineStr">
        <is>
          <t>나이벡</t>
        </is>
      </c>
      <c r="G270" s="2" t="inlineStr">
        <is>
          <t>20260129900834</t>
        </is>
      </c>
      <c r="H270" s="8">
        <f>HYPERLINK("https://dart.fss.or.kr/dsaf001/main.do?rcpNo=20260129900834", "공시열람")</f>
        <v/>
      </c>
    </row>
    <row r="271">
      <c r="A271" s="2" t="inlineStr">
        <is>
          <t>2026-01-29</t>
        </is>
      </c>
      <c r="B271" s="3" t="inlineStr">
        <is>
          <t>쏠리드</t>
        </is>
      </c>
      <c r="C271" s="2" t="inlineStr">
        <is>
          <t>코스닥</t>
        </is>
      </c>
      <c r="D271" s="2" t="inlineStr">
        <is>
          <t>050890</t>
        </is>
      </c>
      <c r="E271" s="3" t="inlineStr">
        <is>
          <t xml:space="preserve">현금ㆍ현물배당을위한주주명부폐쇄(기준일)결정              </t>
        </is>
      </c>
      <c r="F271" s="3" t="inlineStr">
        <is>
          <t>쏠리드</t>
        </is>
      </c>
      <c r="G271" s="2" t="inlineStr">
        <is>
          <t>20260129900911</t>
        </is>
      </c>
      <c r="H271" s="8">
        <f>HYPERLINK("https://dart.fss.or.kr/dsaf001/main.do?rcpNo=20260129900911", "공시열람")</f>
        <v/>
      </c>
    </row>
    <row r="272">
      <c r="A272" s="2" t="inlineStr">
        <is>
          <t>2026-01-29</t>
        </is>
      </c>
      <c r="B272" s="3" t="inlineStr">
        <is>
          <t>성우전자</t>
        </is>
      </c>
      <c r="C272" s="2" t="inlineStr">
        <is>
          <t>코스닥</t>
        </is>
      </c>
      <c r="D272" s="2" t="inlineStr">
        <is>
          <t>081580</t>
        </is>
      </c>
      <c r="E272" s="3" t="inlineStr">
        <is>
          <t xml:space="preserve">매출액또는손익구조30%(대규모법인은15%)이상변동              </t>
        </is>
      </c>
      <c r="F272" s="3" t="inlineStr">
        <is>
          <t>성우전자</t>
        </is>
      </c>
      <c r="G272" s="2" t="inlineStr">
        <is>
          <t>20260129900807</t>
        </is>
      </c>
      <c r="H272" s="8">
        <f>HYPERLINK("https://dart.fss.or.kr/dsaf001/main.do?rcpNo=20260129900807", "공시열람")</f>
        <v/>
      </c>
    </row>
    <row r="273">
      <c r="A273" s="2" t="inlineStr">
        <is>
          <t>2026-01-29</t>
        </is>
      </c>
      <c r="B273" s="3" t="inlineStr">
        <is>
          <t>더블유게임즈</t>
        </is>
      </c>
      <c r="C273" s="2" t="inlineStr">
        <is>
          <t>코스피</t>
        </is>
      </c>
      <c r="D273" s="2" t="inlineStr">
        <is>
          <t>192080</t>
        </is>
      </c>
      <c r="E273" s="3" t="inlineStr">
        <is>
          <t xml:space="preserve">기업설명회(IR)개최(안내공시)              </t>
        </is>
      </c>
      <c r="F273" s="3" t="inlineStr">
        <is>
          <t>더블유게임즈</t>
        </is>
      </c>
      <c r="G273" s="2" t="inlineStr">
        <is>
          <t>20260129800903</t>
        </is>
      </c>
      <c r="H273" s="8">
        <f>HYPERLINK("https://dart.fss.or.kr/dsaf001/main.do?rcpNo=20260129800903", "공시열람")</f>
        <v/>
      </c>
    </row>
    <row r="274">
      <c r="A274" s="2" t="inlineStr">
        <is>
          <t>2026-01-29</t>
        </is>
      </c>
      <c r="B274" s="3" t="inlineStr">
        <is>
          <t>더블유게임즈</t>
        </is>
      </c>
      <c r="C274" s="2" t="inlineStr">
        <is>
          <t>코스피</t>
        </is>
      </c>
      <c r="D274" s="2" t="inlineStr">
        <is>
          <t>192080</t>
        </is>
      </c>
      <c r="E274" s="3" t="inlineStr">
        <is>
          <t xml:space="preserve">결산실적공시예고(안내공시)              </t>
        </is>
      </c>
      <c r="F274" s="3" t="inlineStr">
        <is>
          <t>더블유게임즈</t>
        </is>
      </c>
      <c r="G274" s="2" t="inlineStr">
        <is>
          <t>20260129800896</t>
        </is>
      </c>
      <c r="H274" s="8">
        <f>HYPERLINK("https://dart.fss.or.kr/dsaf001/main.do?rcpNo=20260129800896", "공시열람")</f>
        <v/>
      </c>
    </row>
    <row r="275">
      <c r="A275" s="2" t="inlineStr">
        <is>
          <t>2026-01-29</t>
        </is>
      </c>
      <c r="B275" s="3" t="inlineStr">
        <is>
          <t>CJ대한통운</t>
        </is>
      </c>
      <c r="C275" s="2" t="inlineStr">
        <is>
          <t>코스피</t>
        </is>
      </c>
      <c r="D275" s="2" t="inlineStr">
        <is>
          <t>000120</t>
        </is>
      </c>
      <c r="E275" s="3" t="inlineStr">
        <is>
          <t xml:space="preserve">결산실적공시예고(안내공시)              </t>
        </is>
      </c>
      <c r="F275" s="3" t="inlineStr">
        <is>
          <t>CJ대한통운</t>
        </is>
      </c>
      <c r="G275" s="2" t="inlineStr">
        <is>
          <t>20260129800905</t>
        </is>
      </c>
      <c r="H275" s="8">
        <f>HYPERLINK("https://dart.fss.or.kr/dsaf001/main.do?rcpNo=20260129800905", "공시열람")</f>
        <v/>
      </c>
    </row>
    <row r="276">
      <c r="A276" s="2" t="inlineStr">
        <is>
          <t>2026-01-29</t>
        </is>
      </c>
      <c r="B276" s="3" t="inlineStr">
        <is>
          <t>세종메디칼</t>
        </is>
      </c>
      <c r="C276" s="2" t="inlineStr">
        <is>
          <t>코스닥</t>
        </is>
      </c>
      <c r="D276" s="2" t="inlineStr">
        <is>
          <t>258830</t>
        </is>
      </c>
      <c r="E276" s="3" t="inlineStr">
        <is>
          <t xml:space="preserve">주주명부폐쇄기간또는기준일설정              </t>
        </is>
      </c>
      <c r="F276" s="3" t="inlineStr">
        <is>
          <t>세종메디칼</t>
        </is>
      </c>
      <c r="G276" s="2" t="inlineStr">
        <is>
          <t>20260129900880</t>
        </is>
      </c>
      <c r="H276" s="8">
        <f>HYPERLINK("https://dart.fss.or.kr/dsaf001/main.do?rcpNo=20260129900880", "공시열람")</f>
        <v/>
      </c>
    </row>
    <row r="277">
      <c r="A277" s="2" t="inlineStr">
        <is>
          <t>2026-01-29</t>
        </is>
      </c>
      <c r="B277" s="3" t="inlineStr">
        <is>
          <t>대상</t>
        </is>
      </c>
      <c r="C277" s="2" t="inlineStr">
        <is>
          <t>코스피</t>
        </is>
      </c>
      <c r="D277" s="2" t="inlineStr">
        <is>
          <t>001680</t>
        </is>
      </c>
      <c r="E277" s="3" t="inlineStr">
        <is>
          <t>증권발행실적보고서</t>
        </is>
      </c>
      <c r="F277" s="3" t="inlineStr">
        <is>
          <t>대상</t>
        </is>
      </c>
      <c r="G277" s="2" t="inlineStr">
        <is>
          <t>20260129000671</t>
        </is>
      </c>
      <c r="H277" s="8">
        <f>HYPERLINK("https://dart.fss.or.kr/dsaf001/main.do?rcpNo=20260129000671", "공시열람")</f>
        <v/>
      </c>
    </row>
    <row r="278">
      <c r="A278" s="2" t="inlineStr">
        <is>
          <t>2026-01-29</t>
        </is>
      </c>
      <c r="B278" s="3" t="inlineStr">
        <is>
          <t>LS</t>
        </is>
      </c>
      <c r="C278" s="2" t="inlineStr">
        <is>
          <t>코스피</t>
        </is>
      </c>
      <c r="D278" s="2" t="inlineStr">
        <is>
          <t>006260</t>
        </is>
      </c>
      <c r="E278" s="3" t="inlineStr">
        <is>
          <t xml:space="preserve">불성실공시법인지정예고              </t>
        </is>
      </c>
      <c r="F278" s="3" t="inlineStr">
        <is>
          <t>유가증권시장본부</t>
        </is>
      </c>
      <c r="G278" s="2" t="inlineStr">
        <is>
          <t>20260129800891</t>
        </is>
      </c>
      <c r="H278" s="8">
        <f>HYPERLINK("https://dart.fss.or.kr/dsaf001/main.do?rcpNo=20260129800891", "공시열람")</f>
        <v/>
      </c>
    </row>
    <row r="279">
      <c r="A279" s="2" t="inlineStr">
        <is>
          <t>2026-01-29</t>
        </is>
      </c>
      <c r="B279" s="3" t="inlineStr">
        <is>
          <t>케이씨씨글라스</t>
        </is>
      </c>
      <c r="C279" s="2" t="inlineStr">
        <is>
          <t>코스피</t>
        </is>
      </c>
      <c r="D279" s="2" t="inlineStr">
        <is>
          <t>344820</t>
        </is>
      </c>
      <c r="E279" s="3" t="inlineStr">
        <is>
          <t>증권신고서(채무증권)</t>
        </is>
      </c>
      <c r="F279" s="3" t="inlineStr">
        <is>
          <t>케이씨씨글라스</t>
        </is>
      </c>
      <c r="G279" s="2" t="inlineStr">
        <is>
          <t>20260129000668</t>
        </is>
      </c>
      <c r="H279" s="8">
        <f>HYPERLINK("https://dart.fss.or.kr/dsaf001/main.do?rcpNo=20260129000668", "공시열람")</f>
        <v/>
      </c>
    </row>
    <row r="280">
      <c r="A280" s="2" t="inlineStr">
        <is>
          <t>2026-01-29</t>
        </is>
      </c>
      <c r="B280" s="3" t="inlineStr">
        <is>
          <t>SK증권</t>
        </is>
      </c>
      <c r="C280" s="2" t="inlineStr">
        <is>
          <t>코스피</t>
        </is>
      </c>
      <c r="D280" s="2" t="inlineStr">
        <is>
          <t>001510</t>
        </is>
      </c>
      <c r="E280" s="3" t="inlineStr">
        <is>
          <t xml:space="preserve">매출액또는손익구조30%(대규모법인은15%)이상변경              </t>
        </is>
      </c>
      <c r="F280" s="3" t="inlineStr">
        <is>
          <t>SK증권</t>
        </is>
      </c>
      <c r="G280" s="2" t="inlineStr">
        <is>
          <t>20260129800856</t>
        </is>
      </c>
      <c r="H280" s="8">
        <f>HYPERLINK("https://dart.fss.or.kr/dsaf001/main.do?rcpNo=20260129800856", "공시열람")</f>
        <v/>
      </c>
    </row>
    <row r="281">
      <c r="A281" s="2" t="inlineStr">
        <is>
          <t>2026-01-29</t>
        </is>
      </c>
      <c r="B281" s="3" t="inlineStr">
        <is>
          <t>신세계푸드</t>
        </is>
      </c>
      <c r="C281" s="2" t="inlineStr">
        <is>
          <t>코스피</t>
        </is>
      </c>
      <c r="D281" s="2" t="inlineStr">
        <is>
          <t>031440</t>
        </is>
      </c>
      <c r="E281" s="3" t="inlineStr">
        <is>
          <t>증권발행실적보고서</t>
        </is>
      </c>
      <c r="F281" s="3" t="inlineStr">
        <is>
          <t>신세계푸드</t>
        </is>
      </c>
      <c r="G281" s="2" t="inlineStr">
        <is>
          <t>20260129000663</t>
        </is>
      </c>
      <c r="H281" s="8">
        <f>HYPERLINK("https://dart.fss.or.kr/dsaf001/main.do?rcpNo=20260129000663", "공시열람")</f>
        <v/>
      </c>
    </row>
    <row r="282">
      <c r="A282" s="2" t="inlineStr">
        <is>
          <t>2026-01-29</t>
        </is>
      </c>
      <c r="B282" s="3" t="inlineStr">
        <is>
          <t>애드바이오텍</t>
        </is>
      </c>
      <c r="C282" s="2" t="inlineStr">
        <is>
          <t>코스닥</t>
        </is>
      </c>
      <c r="D282" s="2" t="inlineStr">
        <is>
          <t>179530</t>
        </is>
      </c>
      <c r="E282" s="3" t="inlineStr">
        <is>
          <t>주요사항보고서(자기전환사채만기전취득결정)</t>
        </is>
      </c>
      <c r="F282" s="3" t="inlineStr">
        <is>
          <t>애드바이오텍</t>
        </is>
      </c>
      <c r="G282" s="2" t="inlineStr">
        <is>
          <t>20260129000640</t>
        </is>
      </c>
      <c r="H282" s="8">
        <f>HYPERLINK("https://dart.fss.or.kr/dsaf001/main.do?rcpNo=20260129000640", "공시열람")</f>
        <v/>
      </c>
    </row>
    <row r="283">
      <c r="A283" s="2" t="inlineStr">
        <is>
          <t>2026-01-29</t>
        </is>
      </c>
      <c r="B283" s="3" t="inlineStr">
        <is>
          <t>CJ대한통운</t>
        </is>
      </c>
      <c r="C283" s="2" t="inlineStr">
        <is>
          <t>코스피</t>
        </is>
      </c>
      <c r="D283" s="2" t="inlineStr">
        <is>
          <t>000120</t>
        </is>
      </c>
      <c r="E283" s="3" t="inlineStr">
        <is>
          <t xml:space="preserve">기업설명회(IR)개최(안내공시)              </t>
        </is>
      </c>
      <c r="F283" s="3" t="inlineStr">
        <is>
          <t>CJ대한통운</t>
        </is>
      </c>
      <c r="G283" s="2" t="inlineStr">
        <is>
          <t>20260129800878</t>
        </is>
      </c>
      <c r="H283" s="8">
        <f>HYPERLINK("https://dart.fss.or.kr/dsaf001/main.do?rcpNo=20260129800878", "공시열람")</f>
        <v/>
      </c>
    </row>
    <row r="284">
      <c r="A284" s="2" t="inlineStr">
        <is>
          <t>2026-01-29</t>
        </is>
      </c>
      <c r="B284" s="3" t="inlineStr">
        <is>
          <t>현대코퍼레이션</t>
        </is>
      </c>
      <c r="C284" s="2" t="inlineStr">
        <is>
          <t>코스피</t>
        </is>
      </c>
      <c r="D284" s="2" t="inlineStr">
        <is>
          <t>011760</t>
        </is>
      </c>
      <c r="E284" s="3" t="inlineStr">
        <is>
          <t xml:space="preserve">매출액또는손익구조30%(대규모법인은15%)이상변경              </t>
        </is>
      </c>
      <c r="F284" s="3" t="inlineStr">
        <is>
          <t>현대코퍼레이션</t>
        </is>
      </c>
      <c r="G284" s="2" t="inlineStr">
        <is>
          <t>20260129800864</t>
        </is>
      </c>
      <c r="H284" s="8">
        <f>HYPERLINK("https://dart.fss.or.kr/dsaf001/main.do?rcpNo=20260129800864", "공시열람")</f>
        <v/>
      </c>
    </row>
    <row r="285">
      <c r="A285" s="2" t="inlineStr">
        <is>
          <t>2026-01-29</t>
        </is>
      </c>
      <c r="B285" s="3" t="inlineStr">
        <is>
          <t>켐트로스</t>
        </is>
      </c>
      <c r="C285" s="2" t="inlineStr">
        <is>
          <t>코스닥</t>
        </is>
      </c>
      <c r="D285" s="2" t="inlineStr">
        <is>
          <t>220260</t>
        </is>
      </c>
      <c r="E285" s="3" t="inlineStr">
        <is>
          <t>임원ㆍ주요주주특정증권등소유상황보고서</t>
        </is>
      </c>
      <c r="F285" s="3" t="inlineStr">
        <is>
          <t>챔피온홀딩스</t>
        </is>
      </c>
      <c r="G285" s="2" t="inlineStr">
        <is>
          <t>20260129000658</t>
        </is>
      </c>
      <c r="H285" s="8">
        <f>HYPERLINK("https://dart.fss.or.kr/dsaf001/main.do?rcpNo=20260129000658", "공시열람")</f>
        <v/>
      </c>
    </row>
    <row r="286">
      <c r="A286" s="2" t="inlineStr">
        <is>
          <t>2026-01-29</t>
        </is>
      </c>
      <c r="B286" s="3" t="inlineStr">
        <is>
          <t>코오롱</t>
        </is>
      </c>
      <c r="C286" s="2" t="inlineStr">
        <is>
          <t>코스피</t>
        </is>
      </c>
      <c r="D286" s="2" t="inlineStr">
        <is>
          <t>002020</t>
        </is>
      </c>
      <c r="E286" s="3" t="inlineStr">
        <is>
          <t xml:space="preserve">매출액또는손익구조30%(대규모법인은15%)이상변경(자회사의 주요경영사항)              </t>
        </is>
      </c>
      <c r="F286" s="3" t="inlineStr">
        <is>
          <t>코오롱</t>
        </is>
      </c>
      <c r="G286" s="2" t="inlineStr">
        <is>
          <t>20260129800831</t>
        </is>
      </c>
      <c r="H286" s="8">
        <f>HYPERLINK("https://dart.fss.or.kr/dsaf001/main.do?rcpNo=20260129800831", "공시열람")</f>
        <v/>
      </c>
    </row>
    <row r="287">
      <c r="A287" s="2" t="inlineStr">
        <is>
          <t>2026-01-29</t>
        </is>
      </c>
      <c r="B287" s="3" t="inlineStr">
        <is>
          <t>현대차증권</t>
        </is>
      </c>
      <c r="C287" s="2" t="inlineStr">
        <is>
          <t>코스피</t>
        </is>
      </c>
      <c r="D287" s="2" t="inlineStr">
        <is>
          <t>001500</t>
        </is>
      </c>
      <c r="E287" s="3" t="inlineStr">
        <is>
          <t xml:space="preserve">매출액또는손익구조30%(대규모법인은15%)이상변경              </t>
        </is>
      </c>
      <c r="F287" s="3" t="inlineStr">
        <is>
          <t>현대차증권</t>
        </is>
      </c>
      <c r="G287" s="2" t="inlineStr">
        <is>
          <t>20260129800815</t>
        </is>
      </c>
      <c r="H287" s="8">
        <f>HYPERLINK("https://dart.fss.or.kr/dsaf001/main.do?rcpNo=20260129800815", "공시열람")</f>
        <v/>
      </c>
    </row>
    <row r="288">
      <c r="A288" s="2" t="inlineStr">
        <is>
          <t>2026-01-29</t>
        </is>
      </c>
      <c r="B288" s="3" t="inlineStr">
        <is>
          <t>바이오포트</t>
        </is>
      </c>
      <c r="C288" s="2" t="inlineStr">
        <is>
          <t>코스닥</t>
        </is>
      </c>
      <c r="D288" s="2" t="inlineStr">
        <is>
          <t>188040</t>
        </is>
      </c>
      <c r="E288" s="3" t="inlineStr">
        <is>
          <t xml:space="preserve">매출액또는손익구조30%(대규모법인은15%)이상변동              </t>
        </is>
      </c>
      <c r="F288" s="3" t="inlineStr">
        <is>
          <t>바이오포트</t>
        </is>
      </c>
      <c r="G288" s="2" t="inlineStr">
        <is>
          <t>20260129900816</t>
        </is>
      </c>
      <c r="H288" s="8">
        <f>HYPERLINK("https://dart.fss.or.kr/dsaf001/main.do?rcpNo=20260129900816", "공시열람")</f>
        <v/>
      </c>
    </row>
    <row r="289">
      <c r="A289" s="2" t="inlineStr">
        <is>
          <t>2026-01-29</t>
        </is>
      </c>
      <c r="B289" s="3" t="inlineStr">
        <is>
          <t>티와이홀딩스</t>
        </is>
      </c>
      <c r="C289" s="2" t="inlineStr">
        <is>
          <t>코스피</t>
        </is>
      </c>
      <c r="D289" s="2" t="inlineStr">
        <is>
          <t>363280</t>
        </is>
      </c>
      <c r="E289" s="3" t="inlineStr">
        <is>
          <t xml:space="preserve">매출액또는손익구조30%(대규모법인은15%)이상변경(자회사의 주요경영사항)              </t>
        </is>
      </c>
      <c r="F289" s="3" t="inlineStr">
        <is>
          <t>티와이홀딩스</t>
        </is>
      </c>
      <c r="G289" s="2" t="inlineStr">
        <is>
          <t>20260129800860</t>
        </is>
      </c>
      <c r="H289" s="8">
        <f>HYPERLINK("https://dart.fss.or.kr/dsaf001/main.do?rcpNo=20260129800860", "공시열람")</f>
        <v/>
      </c>
    </row>
    <row r="290">
      <c r="A290" s="2" t="inlineStr">
        <is>
          <t>2026-01-29</t>
        </is>
      </c>
      <c r="B290" s="3" t="inlineStr">
        <is>
          <t>대한조선</t>
        </is>
      </c>
      <c r="C290" s="2" t="inlineStr">
        <is>
          <t>코스피</t>
        </is>
      </c>
      <c r="D290" s="2" t="inlineStr">
        <is>
          <t>439260</t>
        </is>
      </c>
      <c r="E290" s="3" t="inlineStr">
        <is>
          <t xml:space="preserve">기업설명회(IR)개최(안내공시)              </t>
        </is>
      </c>
      <c r="F290" s="3" t="inlineStr">
        <is>
          <t>대한조선</t>
        </is>
      </c>
      <c r="G290" s="2" t="inlineStr">
        <is>
          <t>20260129800818</t>
        </is>
      </c>
      <c r="H290" s="8">
        <f>HYPERLINK("https://dart.fss.or.kr/dsaf001/main.do?rcpNo=20260129800818", "공시열람")</f>
        <v/>
      </c>
    </row>
    <row r="291">
      <c r="A291" s="2" t="inlineStr">
        <is>
          <t>2026-01-29</t>
        </is>
      </c>
      <c r="B291" s="3" t="inlineStr">
        <is>
          <t>SBS</t>
        </is>
      </c>
      <c r="C291" s="2" t="inlineStr">
        <is>
          <t>코스피</t>
        </is>
      </c>
      <c r="D291" s="2" t="inlineStr">
        <is>
          <t>034120</t>
        </is>
      </c>
      <c r="E291" s="3" t="inlineStr">
        <is>
          <t xml:space="preserve">매출액또는손익구조30%(대규모법인은15%)이상변경              </t>
        </is>
      </c>
      <c r="F291" s="3" t="inlineStr">
        <is>
          <t>SBS</t>
        </is>
      </c>
      <c r="G291" s="2" t="inlineStr">
        <is>
          <t>20260129800800</t>
        </is>
      </c>
      <c r="H291" s="8">
        <f>HYPERLINK("https://dart.fss.or.kr/dsaf001/main.do?rcpNo=20260129800800", "공시열람")</f>
        <v/>
      </c>
    </row>
    <row r="292">
      <c r="A292" s="2" t="inlineStr">
        <is>
          <t>2026-01-29</t>
        </is>
      </c>
      <c r="B292" s="3" t="inlineStr">
        <is>
          <t>영원무역</t>
        </is>
      </c>
      <c r="C292" s="2" t="inlineStr">
        <is>
          <t>코스피</t>
        </is>
      </c>
      <c r="D292" s="2" t="inlineStr">
        <is>
          <t>111770</t>
        </is>
      </c>
      <c r="E292" s="3" t="inlineStr">
        <is>
          <t>임원ㆍ주요주주특정증권등소유상황보고서</t>
        </is>
      </c>
      <c r="F292" s="3" t="inlineStr">
        <is>
          <t>국민연금공단</t>
        </is>
      </c>
      <c r="G292" s="2" t="inlineStr">
        <is>
          <t>20260129000648</t>
        </is>
      </c>
      <c r="H292" s="8">
        <f>HYPERLINK("https://dart.fss.or.kr/dsaf001/main.do?rcpNo=20260129000648", "공시열람")</f>
        <v/>
      </c>
    </row>
    <row r="293">
      <c r="A293" s="2" t="inlineStr">
        <is>
          <t>2026-01-29</t>
        </is>
      </c>
      <c r="B293" s="3" t="inlineStr">
        <is>
          <t>현대건설</t>
        </is>
      </c>
      <c r="C293" s="2" t="inlineStr">
        <is>
          <t>코스피</t>
        </is>
      </c>
      <c r="D293" s="2" t="inlineStr">
        <is>
          <t>000720</t>
        </is>
      </c>
      <c r="E293" s="3" t="inlineStr">
        <is>
          <t>증권발행실적보고서</t>
        </is>
      </c>
      <c r="F293" s="3" t="inlineStr">
        <is>
          <t>현대건설</t>
        </is>
      </c>
      <c r="G293" s="2" t="inlineStr">
        <is>
          <t>20260129000645</t>
        </is>
      </c>
      <c r="H293" s="8">
        <f>HYPERLINK("https://dart.fss.or.kr/dsaf001/main.do?rcpNo=20260129000645", "공시열람")</f>
        <v/>
      </c>
    </row>
    <row r="294">
      <c r="A294" s="2" t="inlineStr">
        <is>
          <t>2026-01-13 (정정: 2026-01-29)</t>
        </is>
      </c>
      <c r="B294" s="3" t="inlineStr">
        <is>
          <t>케이뱅크</t>
        </is>
      </c>
      <c r="C294" s="2" t="inlineStr">
        <is>
          <t>코스피</t>
        </is>
      </c>
      <c r="D294" s="2" t="inlineStr">
        <is>
          <t>279570</t>
        </is>
      </c>
      <c r="E294" s="3" t="inlineStr">
        <is>
          <t>[기재정정]증권신고서(지분증권)</t>
        </is>
      </c>
      <c r="F294" s="3" t="inlineStr">
        <is>
          <t>케이뱅크</t>
        </is>
      </c>
      <c r="G294" s="2" t="inlineStr">
        <is>
          <t>20260129000644</t>
        </is>
      </c>
      <c r="H294" s="8">
        <f>HYPERLINK("https://dart.fss.or.kr/dsaf001/main.do?rcpNo=20260129000644", "공시열람")</f>
        <v/>
      </c>
    </row>
    <row r="295">
      <c r="A295" s="2" t="inlineStr">
        <is>
          <t>2026-01-29</t>
        </is>
      </c>
      <c r="B295" s="3" t="inlineStr">
        <is>
          <t>세아제강지주</t>
        </is>
      </c>
      <c r="C295" s="2" t="inlineStr">
        <is>
          <t>코스피</t>
        </is>
      </c>
      <c r="D295" s="2" t="inlineStr">
        <is>
          <t>003030</t>
        </is>
      </c>
      <c r="E295" s="3" t="inlineStr">
        <is>
          <t>임원ㆍ주요주주특정증권등소유상황보고서</t>
        </is>
      </c>
      <c r="F295" s="3" t="inlineStr">
        <is>
          <t>국민연금공단</t>
        </is>
      </c>
      <c r="G295" s="2" t="inlineStr">
        <is>
          <t>20260129000643</t>
        </is>
      </c>
      <c r="H295" s="8">
        <f>HYPERLINK("https://dart.fss.or.kr/dsaf001/main.do?rcpNo=20260129000643", "공시열람")</f>
        <v/>
      </c>
    </row>
    <row r="296">
      <c r="A296" s="2" t="inlineStr">
        <is>
          <t>2026-01-29</t>
        </is>
      </c>
      <c r="B296" s="3" t="inlineStr">
        <is>
          <t>피엠티</t>
        </is>
      </c>
      <c r="C296" s="2" t="inlineStr">
        <is>
          <t>코스닥</t>
        </is>
      </c>
      <c r="D296" s="2" t="inlineStr">
        <is>
          <t>147760</t>
        </is>
      </c>
      <c r="E296" s="3" t="inlineStr">
        <is>
          <t>임원ㆍ주요주주특정증권등소유상황보고서</t>
        </is>
      </c>
      <c r="F296" s="3" t="inlineStr">
        <is>
          <t>프로텍</t>
        </is>
      </c>
      <c r="G296" s="2" t="inlineStr">
        <is>
          <t>20260129000642</t>
        </is>
      </c>
      <c r="H296" s="8">
        <f>HYPERLINK("https://dart.fss.or.kr/dsaf001/main.do?rcpNo=20260129000642", "공시열람")</f>
        <v/>
      </c>
    </row>
    <row r="297">
      <c r="A297" s="2" t="inlineStr">
        <is>
          <t>2026-01-29</t>
        </is>
      </c>
      <c r="B297" s="3" t="inlineStr">
        <is>
          <t>코오롱글로벌</t>
        </is>
      </c>
      <c r="C297" s="2" t="inlineStr">
        <is>
          <t>코스피</t>
        </is>
      </c>
      <c r="D297" s="2" t="inlineStr">
        <is>
          <t>003070</t>
        </is>
      </c>
      <c r="E297" s="3" t="inlineStr">
        <is>
          <t xml:space="preserve">기업설명회(IR)개최(안내공시)              </t>
        </is>
      </c>
      <c r="F297" s="3" t="inlineStr">
        <is>
          <t>코오롱글로벌</t>
        </is>
      </c>
      <c r="G297" s="2" t="inlineStr">
        <is>
          <t>20260129800843</t>
        </is>
      </c>
      <c r="H297" s="8">
        <f>HYPERLINK("https://dart.fss.or.kr/dsaf001/main.do?rcpNo=20260129800843", "공시열람")</f>
        <v/>
      </c>
    </row>
    <row r="298">
      <c r="A298" s="2" t="inlineStr">
        <is>
          <t>2026-01-29 (정정: 2026-01-29)</t>
        </is>
      </c>
      <c r="B298" s="3" t="inlineStr">
        <is>
          <t>CJ대한통운</t>
        </is>
      </c>
      <c r="C298" s="2" t="inlineStr">
        <is>
          <t>코스피</t>
        </is>
      </c>
      <c r="D298" s="2" t="inlineStr">
        <is>
          <t>000120</t>
        </is>
      </c>
      <c r="E298" s="3" t="inlineStr">
        <is>
          <t>[발행조건확정]증권신고서(채무증권) (정정: 20260129)</t>
        </is>
      </c>
      <c r="F298" s="3" t="inlineStr">
        <is>
          <t>CJ대한통운</t>
        </is>
      </c>
      <c r="G298" s="2" t="inlineStr">
        <is>
          <t>20260129000630</t>
        </is>
      </c>
      <c r="H298" s="8">
        <f>HYPERLINK("https://dart.fss.or.kr/dsaf001/main.do?rcpNo=20260129000630", "공시열람")</f>
        <v/>
      </c>
    </row>
    <row r="299">
      <c r="A299" s="2" t="inlineStr">
        <is>
          <t>2026-01-29</t>
        </is>
      </c>
      <c r="B299" s="3" t="inlineStr">
        <is>
          <t>한온시스템</t>
        </is>
      </c>
      <c r="C299" s="2" t="inlineStr">
        <is>
          <t>코스피</t>
        </is>
      </c>
      <c r="D299" s="2" t="inlineStr">
        <is>
          <t>018880</t>
        </is>
      </c>
      <c r="E299" s="3" t="inlineStr">
        <is>
          <t>임원ㆍ주요주주특정증권등소유상황보고서</t>
        </is>
      </c>
      <c r="F299" s="3" t="inlineStr">
        <is>
          <t>강명규</t>
        </is>
      </c>
      <c r="G299" s="2" t="inlineStr">
        <is>
          <t>20260129000634</t>
        </is>
      </c>
      <c r="H299" s="8">
        <f>HYPERLINK("https://dart.fss.or.kr/dsaf001/main.do?rcpNo=20260129000634", "공시열람")</f>
        <v/>
      </c>
    </row>
    <row r="300">
      <c r="A300" s="2" t="inlineStr">
        <is>
          <t>2026-01-29</t>
        </is>
      </c>
      <c r="B300" s="3" t="inlineStr">
        <is>
          <t>범양건영</t>
        </is>
      </c>
      <c r="C300" s="2" t="inlineStr">
        <is>
          <t>코스피</t>
        </is>
      </c>
      <c r="D300" s="2" t="inlineStr">
        <is>
          <t>002410</t>
        </is>
      </c>
      <c r="E300" s="3" t="inlineStr">
        <is>
          <t xml:space="preserve">거래처와의거래중단              </t>
        </is>
      </c>
      <c r="F300" s="3" t="inlineStr">
        <is>
          <t>범양건영</t>
        </is>
      </c>
      <c r="G300" s="2" t="inlineStr">
        <is>
          <t>20260129800726</t>
        </is>
      </c>
      <c r="H300" s="8">
        <f>HYPERLINK("https://dart.fss.or.kr/dsaf001/main.do?rcpNo=20260129800726", "공시열람")</f>
        <v/>
      </c>
    </row>
    <row r="301">
      <c r="A301" s="2" t="inlineStr">
        <is>
          <t>2026-01-29</t>
        </is>
      </c>
      <c r="B301" s="3" t="inlineStr">
        <is>
          <t>코오롱글로벌</t>
        </is>
      </c>
      <c r="C301" s="2" t="inlineStr">
        <is>
          <t>코스피</t>
        </is>
      </c>
      <c r="D301" s="2" t="inlineStr">
        <is>
          <t>003070</t>
        </is>
      </c>
      <c r="E301" s="3" t="inlineStr">
        <is>
          <t xml:space="preserve">연결재무제표기준영업실적등에대한전망(공정공시)              </t>
        </is>
      </c>
      <c r="F301" s="3" t="inlineStr">
        <is>
          <t>코오롱글로벌</t>
        </is>
      </c>
      <c r="G301" s="2" t="inlineStr">
        <is>
          <t>20260129800836</t>
        </is>
      </c>
      <c r="H301" s="8">
        <f>HYPERLINK("https://dart.fss.or.kr/dsaf001/main.do?rcpNo=20260129800836", "공시열람")</f>
        <v/>
      </c>
    </row>
    <row r="302">
      <c r="A302" s="2" t="inlineStr">
        <is>
          <t>2026-01-29</t>
        </is>
      </c>
      <c r="B302" s="3" t="inlineStr">
        <is>
          <t>SK</t>
        </is>
      </c>
      <c r="C302" s="2" t="inlineStr">
        <is>
          <t>코스피</t>
        </is>
      </c>
      <c r="D302" s="2" t="inlineStr">
        <is>
          <t>034730</t>
        </is>
      </c>
      <c r="E302" s="3" t="inlineStr">
        <is>
          <t xml:space="preserve">매출액또는손익구조30%(대규모법인은15%)이상변경(자회사의 주요경영사항)              </t>
        </is>
      </c>
      <c r="F302" s="3" t="inlineStr">
        <is>
          <t>SK</t>
        </is>
      </c>
      <c r="G302" s="2" t="inlineStr">
        <is>
          <t>20260129800780</t>
        </is>
      </c>
      <c r="H302" s="8">
        <f>HYPERLINK("https://dart.fss.or.kr/dsaf001/main.do?rcpNo=20260129800780", "공시열람")</f>
        <v/>
      </c>
    </row>
    <row r="303">
      <c r="A303" s="2" t="inlineStr">
        <is>
          <t>2026-01-29</t>
        </is>
      </c>
      <c r="B303" s="3" t="inlineStr">
        <is>
          <t>코오롱글로벌</t>
        </is>
      </c>
      <c r="C303" s="2" t="inlineStr">
        <is>
          <t>코스피</t>
        </is>
      </c>
      <c r="D303" s="2" t="inlineStr">
        <is>
          <t>003070</t>
        </is>
      </c>
      <c r="E303" s="3" t="inlineStr">
        <is>
          <t xml:space="preserve">매출액또는손익구조30%(대규모법인은15%)이상변경              </t>
        </is>
      </c>
      <c r="F303" s="3" t="inlineStr">
        <is>
          <t>코오롱글로벌</t>
        </is>
      </c>
      <c r="G303" s="2" t="inlineStr">
        <is>
          <t>20260129800741</t>
        </is>
      </c>
      <c r="H303" s="8">
        <f>HYPERLINK("https://dart.fss.or.kr/dsaf001/main.do?rcpNo=20260129800741", "공시열람")</f>
        <v/>
      </c>
    </row>
    <row r="304">
      <c r="A304" s="2" t="inlineStr">
        <is>
          <t>2026-01-29</t>
        </is>
      </c>
      <c r="B304" s="3" t="inlineStr">
        <is>
          <t>코리아에셋투자증권</t>
        </is>
      </c>
      <c r="C304" s="2" t="inlineStr">
        <is>
          <t>코스닥</t>
        </is>
      </c>
      <c r="D304" s="2" t="inlineStr">
        <is>
          <t>190650</t>
        </is>
      </c>
      <c r="E304" s="3" t="inlineStr">
        <is>
          <t xml:space="preserve">주주명부폐쇄기간또는기준일설정              </t>
        </is>
      </c>
      <c r="F304" s="3" t="inlineStr">
        <is>
          <t>코리아에셋투자증권</t>
        </is>
      </c>
      <c r="G304" s="2" t="inlineStr">
        <is>
          <t>20260129900830</t>
        </is>
      </c>
      <c r="H304" s="8">
        <f>HYPERLINK("https://dart.fss.or.kr/dsaf001/main.do?rcpNo=20260129900830", "공시열람")</f>
        <v/>
      </c>
    </row>
    <row r="305">
      <c r="A305" s="2" t="inlineStr">
        <is>
          <t>2026-01-29</t>
        </is>
      </c>
      <c r="B305" s="3" t="inlineStr">
        <is>
          <t>인크레더블버즈</t>
        </is>
      </c>
      <c r="C305" s="2" t="inlineStr">
        <is>
          <t>코스닥</t>
        </is>
      </c>
      <c r="D305" s="2" t="inlineStr">
        <is>
          <t>064090</t>
        </is>
      </c>
      <c r="E305" s="3" t="inlineStr">
        <is>
          <t>임원ㆍ주요주주특정증권등소유상황보고서</t>
        </is>
      </c>
      <c r="F305" s="3" t="inlineStr">
        <is>
          <t>임신영</t>
        </is>
      </c>
      <c r="G305" s="2" t="inlineStr">
        <is>
          <t>20260129000631</t>
        </is>
      </c>
      <c r="H305" s="8">
        <f>HYPERLINK("https://dart.fss.or.kr/dsaf001/main.do?rcpNo=20260129000631", "공시열람")</f>
        <v/>
      </c>
    </row>
    <row r="306">
      <c r="A306" s="2" t="inlineStr">
        <is>
          <t>2026-01-29</t>
        </is>
      </c>
      <c r="B306" s="3" t="inlineStr">
        <is>
          <t>엔피</t>
        </is>
      </c>
      <c r="C306" s="2" t="inlineStr">
        <is>
          <t>코스닥</t>
        </is>
      </c>
      <c r="D306" s="2" t="inlineStr">
        <is>
          <t>291230</t>
        </is>
      </c>
      <c r="E306" s="3" t="inlineStr">
        <is>
          <t xml:space="preserve">매출액또는손익구조30%(대규모법인은15%)이상변동              </t>
        </is>
      </c>
      <c r="F306" s="3" t="inlineStr">
        <is>
          <t>엔피</t>
        </is>
      </c>
      <c r="G306" s="2" t="inlineStr">
        <is>
          <t>20260129900743</t>
        </is>
      </c>
      <c r="H306" s="8">
        <f>HYPERLINK("https://dart.fss.or.kr/dsaf001/main.do?rcpNo=20260129900743", "공시열람")</f>
        <v/>
      </c>
    </row>
    <row r="307">
      <c r="A307" s="2" t="inlineStr">
        <is>
          <t>2026-01-29</t>
        </is>
      </c>
      <c r="B307" s="3" t="inlineStr">
        <is>
          <t>스피어</t>
        </is>
      </c>
      <c r="C307" s="2" t="inlineStr">
        <is>
          <t>코스닥</t>
        </is>
      </c>
      <c r="D307" s="2" t="inlineStr">
        <is>
          <t>347700</t>
        </is>
      </c>
      <c r="E307" s="3" t="inlineStr">
        <is>
          <t xml:space="preserve">타법인주식및출자증권취득결정              </t>
        </is>
      </c>
      <c r="F307" s="3" t="inlineStr">
        <is>
          <t>스피어</t>
        </is>
      </c>
      <c r="G307" s="2" t="inlineStr">
        <is>
          <t>20260129900811</t>
        </is>
      </c>
      <c r="H307" s="8">
        <f>HYPERLINK("https://dart.fss.or.kr/dsaf001/main.do?rcpNo=20260129900811", "공시열람")</f>
        <v/>
      </c>
    </row>
    <row r="308">
      <c r="A308" s="2" t="inlineStr">
        <is>
          <t>2026-01-29</t>
        </is>
      </c>
      <c r="B308" s="3" t="inlineStr">
        <is>
          <t>링크드</t>
        </is>
      </c>
      <c r="C308" s="2" t="inlineStr">
        <is>
          <t>코스닥</t>
        </is>
      </c>
      <c r="D308" s="2" t="inlineStr">
        <is>
          <t>193250</t>
        </is>
      </c>
      <c r="E308" s="3" t="inlineStr">
        <is>
          <t xml:space="preserve">증권발행결과(자율공시)              </t>
        </is>
      </c>
      <c r="F308" s="3" t="inlineStr">
        <is>
          <t>링크드</t>
        </is>
      </c>
      <c r="G308" s="2" t="inlineStr">
        <is>
          <t>20260129900825</t>
        </is>
      </c>
      <c r="H308" s="8">
        <f>HYPERLINK("https://dart.fss.or.kr/dsaf001/main.do?rcpNo=20260129900825", "공시열람")</f>
        <v/>
      </c>
    </row>
    <row r="309">
      <c r="A309" s="2" t="inlineStr">
        <is>
          <t>2026-01-29</t>
        </is>
      </c>
      <c r="B309" s="3" t="inlineStr">
        <is>
          <t>KD</t>
        </is>
      </c>
      <c r="C309" s="2" t="inlineStr">
        <is>
          <t>코스닥</t>
        </is>
      </c>
      <c r="D309" s="2" t="inlineStr">
        <is>
          <t>044180</t>
        </is>
      </c>
      <c r="E309" s="3" t="inlineStr">
        <is>
          <t xml:space="preserve">대출원리금연체사실발생              </t>
        </is>
      </c>
      <c r="F309" s="3" t="inlineStr">
        <is>
          <t>KD</t>
        </is>
      </c>
      <c r="G309" s="2" t="inlineStr">
        <is>
          <t>20260129900734</t>
        </is>
      </c>
      <c r="H309" s="8">
        <f>HYPERLINK("https://dart.fss.or.kr/dsaf001/main.do?rcpNo=20260129900734", "공시열람")</f>
        <v/>
      </c>
    </row>
    <row r="310">
      <c r="A310" s="2" t="inlineStr">
        <is>
          <t>2026-01-29</t>
        </is>
      </c>
      <c r="B310" s="3" t="inlineStr">
        <is>
          <t>제이브이엠</t>
        </is>
      </c>
      <c r="C310" s="2" t="inlineStr">
        <is>
          <t>코스닥</t>
        </is>
      </c>
      <c r="D310" s="2" t="inlineStr">
        <is>
          <t>054950</t>
        </is>
      </c>
      <c r="E310" s="3" t="inlineStr">
        <is>
          <t>임원ㆍ주요주주특정증권등소유상황보고서</t>
        </is>
      </c>
      <c r="F310" s="3" t="inlineStr">
        <is>
          <t>박창영</t>
        </is>
      </c>
      <c r="G310" s="2" t="inlineStr">
        <is>
          <t>20260129000628</t>
        </is>
      </c>
      <c r="H310" s="8">
        <f>HYPERLINK("https://dart.fss.or.kr/dsaf001/main.do?rcpNo=20260129000628", "공시열람")</f>
        <v/>
      </c>
    </row>
    <row r="311">
      <c r="A311" s="2" t="inlineStr">
        <is>
          <t>2026-01-29</t>
        </is>
      </c>
      <c r="B311" s="3" t="inlineStr">
        <is>
          <t>케이엔알시스템</t>
        </is>
      </c>
      <c r="C311" s="2" t="inlineStr">
        <is>
          <t>코스닥</t>
        </is>
      </c>
      <c r="D311" s="2" t="inlineStr">
        <is>
          <t>199430</t>
        </is>
      </c>
      <c r="E311" s="3" t="inlineStr">
        <is>
          <t>임원ㆍ주요주주특정증권등소유상황보고서</t>
        </is>
      </c>
      <c r="F311" s="3" t="inlineStr">
        <is>
          <t>김성규</t>
        </is>
      </c>
      <c r="G311" s="2" t="inlineStr">
        <is>
          <t>20260129000627</t>
        </is>
      </c>
      <c r="H311" s="8">
        <f>HYPERLINK("https://dart.fss.or.kr/dsaf001/main.do?rcpNo=20260129000627", "공시열람")</f>
        <v/>
      </c>
    </row>
    <row r="312">
      <c r="A312" s="2" t="inlineStr">
        <is>
          <t>2026-01-29</t>
        </is>
      </c>
      <c r="B312" s="3" t="inlineStr">
        <is>
          <t>신영증권</t>
        </is>
      </c>
      <c r="C312" s="2" t="inlineStr">
        <is>
          <t>코스피</t>
        </is>
      </c>
      <c r="D312" s="2" t="inlineStr">
        <is>
          <t>001720</t>
        </is>
      </c>
      <c r="E312" s="3" t="inlineStr">
        <is>
          <t>투자설명서(일괄신고)</t>
        </is>
      </c>
      <c r="F312" s="3" t="inlineStr">
        <is>
          <t>신영증권</t>
        </is>
      </c>
      <c r="G312" s="2" t="inlineStr">
        <is>
          <t>20260129000626</t>
        </is>
      </c>
      <c r="H312" s="8">
        <f>HYPERLINK("https://dart.fss.or.kr/dsaf001/main.do?rcpNo=20260129000626", "공시열람")</f>
        <v/>
      </c>
    </row>
    <row r="313">
      <c r="A313" s="2" t="inlineStr">
        <is>
          <t>2026-01-29</t>
        </is>
      </c>
      <c r="B313" s="3" t="inlineStr">
        <is>
          <t>아이퀘스트</t>
        </is>
      </c>
      <c r="C313" s="2" t="inlineStr">
        <is>
          <t>코스닥</t>
        </is>
      </c>
      <c r="D313" s="2" t="inlineStr">
        <is>
          <t>262840</t>
        </is>
      </c>
      <c r="E313" s="3" t="inlineStr">
        <is>
          <t>자기주식처분결과보고서</t>
        </is>
      </c>
      <c r="F313" s="3" t="inlineStr">
        <is>
          <t>아이퀘스트</t>
        </is>
      </c>
      <c r="G313" s="2" t="inlineStr">
        <is>
          <t>20260129000623</t>
        </is>
      </c>
      <c r="H313" s="8">
        <f>HYPERLINK("https://dart.fss.or.kr/dsaf001/main.do?rcpNo=20260129000623", "공시열람")</f>
        <v/>
      </c>
    </row>
    <row r="314">
      <c r="A314" s="2" t="inlineStr">
        <is>
          <t>2026-01-27 (정정: 2026-01-29)</t>
        </is>
      </c>
      <c r="B314" s="3" t="inlineStr">
        <is>
          <t>코오롱생명과학</t>
        </is>
      </c>
      <c r="C314" s="2" t="inlineStr">
        <is>
          <t>코스닥</t>
        </is>
      </c>
      <c r="D314" s="2" t="inlineStr">
        <is>
          <t>102940</t>
        </is>
      </c>
      <c r="E314" s="3" t="inlineStr">
        <is>
          <t xml:space="preserve">[기재정정]소송등의제기ㆍ신청(일정금액이상의청구)              </t>
        </is>
      </c>
      <c r="F314" s="3" t="inlineStr">
        <is>
          <t>코오롱생명과학</t>
        </is>
      </c>
      <c r="G314" s="2" t="inlineStr">
        <is>
          <t>20260129900753</t>
        </is>
      </c>
      <c r="H314" s="8">
        <f>HYPERLINK("https://dart.fss.or.kr/dsaf001/main.do?rcpNo=20260129900753", "공시열람")</f>
        <v/>
      </c>
    </row>
    <row r="315">
      <c r="A315" s="2" t="inlineStr">
        <is>
          <t>2026-01-29</t>
        </is>
      </c>
      <c r="B315" s="3" t="inlineStr">
        <is>
          <t>교보증권</t>
        </is>
      </c>
      <c r="C315" s="2" t="inlineStr">
        <is>
          <t>코스피</t>
        </is>
      </c>
      <c r="D315" s="2" t="inlineStr">
        <is>
          <t>030610</t>
        </is>
      </c>
      <c r="E315" s="3" t="inlineStr">
        <is>
          <t>투자설명서(일괄신고)</t>
        </is>
      </c>
      <c r="F315" s="3" t="inlineStr">
        <is>
          <t>교보증권</t>
        </is>
      </c>
      <c r="G315" s="2" t="inlineStr">
        <is>
          <t>20260129000622</t>
        </is>
      </c>
      <c r="H315" s="8">
        <f>HYPERLINK("https://dart.fss.or.kr/dsaf001/main.do?rcpNo=20260129000622", "공시열람")</f>
        <v/>
      </c>
    </row>
    <row r="316">
      <c r="A316" s="2" t="inlineStr">
        <is>
          <t>2026-01-29</t>
        </is>
      </c>
      <c r="B316" s="3" t="inlineStr">
        <is>
          <t>NH투자증권</t>
        </is>
      </c>
      <c r="C316" s="2" t="inlineStr">
        <is>
          <t>코스피</t>
        </is>
      </c>
      <c r="D316" s="2" t="inlineStr">
        <is>
          <t>005940</t>
        </is>
      </c>
      <c r="E316" s="3" t="inlineStr">
        <is>
          <t xml:space="preserve">기업설명회(IR)개최(안내공시)              </t>
        </is>
      </c>
      <c r="F316" s="3" t="inlineStr">
        <is>
          <t>NH투자증권</t>
        </is>
      </c>
      <c r="G316" s="2" t="inlineStr">
        <is>
          <t>20260129800802</t>
        </is>
      </c>
      <c r="H316" s="8">
        <f>HYPERLINK("https://dart.fss.or.kr/dsaf001/main.do?rcpNo=20260129800802", "공시열람")</f>
        <v/>
      </c>
    </row>
    <row r="317">
      <c r="A317" s="2" t="inlineStr">
        <is>
          <t>2026-01-29</t>
        </is>
      </c>
      <c r="B317" s="3" t="inlineStr">
        <is>
          <t>교보증권</t>
        </is>
      </c>
      <c r="C317" s="2" t="inlineStr">
        <is>
          <t>코스피</t>
        </is>
      </c>
      <c r="D317" s="2" t="inlineStr">
        <is>
          <t>030610</t>
        </is>
      </c>
      <c r="E317" s="3" t="inlineStr">
        <is>
          <t>일괄신고추가서류(파생결합사채-주가연계파생결합사채)</t>
        </is>
      </c>
      <c r="F317" s="3" t="inlineStr">
        <is>
          <t>교보증권</t>
        </is>
      </c>
      <c r="G317" s="2" t="inlineStr">
        <is>
          <t>20260129000620</t>
        </is>
      </c>
      <c r="H317" s="8">
        <f>HYPERLINK("https://dart.fss.or.kr/dsaf001/main.do?rcpNo=20260129000620", "공시열람")</f>
        <v/>
      </c>
    </row>
    <row r="318">
      <c r="A318" s="2" t="inlineStr">
        <is>
          <t>2026-01-29</t>
        </is>
      </c>
      <c r="B318" s="3" t="inlineStr">
        <is>
          <t>삼양식품</t>
        </is>
      </c>
      <c r="C318" s="2" t="inlineStr">
        <is>
          <t>코스피</t>
        </is>
      </c>
      <c r="D318" s="2" t="inlineStr">
        <is>
          <t>003230</t>
        </is>
      </c>
      <c r="E318" s="3" t="inlineStr">
        <is>
          <t xml:space="preserve">매출액또는손익구조30%(대규모법인은15%)이상변경              </t>
        </is>
      </c>
      <c r="F318" s="3" t="inlineStr">
        <is>
          <t>삼양식품</t>
        </is>
      </c>
      <c r="G318" s="2" t="inlineStr">
        <is>
          <t>20260129800733</t>
        </is>
      </c>
      <c r="H318" s="8">
        <f>HYPERLINK("https://dart.fss.or.kr/dsaf001/main.do?rcpNo=20260129800733", "공시열람")</f>
        <v/>
      </c>
    </row>
    <row r="319">
      <c r="A319" s="2" t="inlineStr">
        <is>
          <t>2026-01-29</t>
        </is>
      </c>
      <c r="B319" s="3" t="inlineStr">
        <is>
          <t>NH투자증권</t>
        </is>
      </c>
      <c r="C319" s="2" t="inlineStr">
        <is>
          <t>코스피</t>
        </is>
      </c>
      <c r="D319" s="2" t="inlineStr">
        <is>
          <t>005940</t>
        </is>
      </c>
      <c r="E319" s="3" t="inlineStr">
        <is>
          <t xml:space="preserve">매출액또는손익구조30%(대규모법인은15%)이상변경              </t>
        </is>
      </c>
      <c r="F319" s="3" t="inlineStr">
        <is>
          <t>NH투자증권</t>
        </is>
      </c>
      <c r="G319" s="2" t="inlineStr">
        <is>
          <t>20260129800700</t>
        </is>
      </c>
      <c r="H319" s="8">
        <f>HYPERLINK("https://dart.fss.or.kr/dsaf001/main.do?rcpNo=20260129800700", "공시열람")</f>
        <v/>
      </c>
    </row>
    <row r="320">
      <c r="A320" s="2" t="inlineStr">
        <is>
          <t>2026-01-29</t>
        </is>
      </c>
      <c r="B320" s="3" t="inlineStr">
        <is>
          <t>켐트로스</t>
        </is>
      </c>
      <c r="C320" s="2" t="inlineStr">
        <is>
          <t>코스닥</t>
        </is>
      </c>
      <c r="D320" s="2" t="inlineStr">
        <is>
          <t>220260</t>
        </is>
      </c>
      <c r="E320" s="3" t="inlineStr">
        <is>
          <t xml:space="preserve">신주인수권행사              </t>
        </is>
      </c>
      <c r="F320" s="3" t="inlineStr">
        <is>
          <t>켐트로스</t>
        </is>
      </c>
      <c r="G320" s="2" t="inlineStr">
        <is>
          <t>20260129900792</t>
        </is>
      </c>
      <c r="H320" s="8">
        <f>HYPERLINK("https://dart.fss.or.kr/dsaf001/main.do?rcpNo=20260129900792", "공시열람")</f>
        <v/>
      </c>
    </row>
    <row r="321">
      <c r="A321" s="2" t="inlineStr">
        <is>
          <t>2026-01-29</t>
        </is>
      </c>
      <c r="B321" s="3" t="inlineStr">
        <is>
          <t>쎄노텍</t>
        </is>
      </c>
      <c r="C321" s="2" t="inlineStr">
        <is>
          <t>코스닥</t>
        </is>
      </c>
      <c r="D321" s="2" t="inlineStr">
        <is>
          <t>222420</t>
        </is>
      </c>
      <c r="E321" s="3" t="inlineStr">
        <is>
          <t xml:space="preserve">전환청구권행사              </t>
        </is>
      </c>
      <c r="F321" s="3" t="inlineStr">
        <is>
          <t>쎄노텍</t>
        </is>
      </c>
      <c r="G321" s="2" t="inlineStr">
        <is>
          <t>20260129900788</t>
        </is>
      </c>
      <c r="H321" s="8">
        <f>HYPERLINK("https://dart.fss.or.kr/dsaf001/main.do?rcpNo=20260129900788", "공시열람")</f>
        <v/>
      </c>
    </row>
    <row r="322">
      <c r="A322" s="2" t="inlineStr">
        <is>
          <t>2026-01-29</t>
        </is>
      </c>
      <c r="B322" s="3" t="inlineStr">
        <is>
          <t>신영증권</t>
        </is>
      </c>
      <c r="C322" s="2" t="inlineStr">
        <is>
          <t>코스피</t>
        </is>
      </c>
      <c r="D322" s="2" t="inlineStr">
        <is>
          <t>001720</t>
        </is>
      </c>
      <c r="E322" s="3" t="inlineStr">
        <is>
          <t>증권발행실적보고서</t>
        </is>
      </c>
      <c r="F322" s="3" t="inlineStr">
        <is>
          <t>신영증권</t>
        </is>
      </c>
      <c r="G322" s="2" t="inlineStr">
        <is>
          <t>20260129000614</t>
        </is>
      </c>
      <c r="H322" s="8">
        <f>HYPERLINK("https://dart.fss.or.kr/dsaf001/main.do?rcpNo=20260129000614", "공시열람")</f>
        <v/>
      </c>
    </row>
    <row r="323">
      <c r="A323" s="2" t="inlineStr">
        <is>
          <t>2026-01-29</t>
        </is>
      </c>
      <c r="B323" s="3" t="inlineStr">
        <is>
          <t>SK이노베이션</t>
        </is>
      </c>
      <c r="C323" s="2" t="inlineStr">
        <is>
          <t>코스피</t>
        </is>
      </c>
      <c r="D323" s="2" t="inlineStr">
        <is>
          <t>096770</t>
        </is>
      </c>
      <c r="E323" s="3" t="inlineStr">
        <is>
          <t xml:space="preserve">매출액또는손익구조30%(대규모법인은15%)이상변경(자회사의 주요경영사항)              </t>
        </is>
      </c>
      <c r="F323" s="3" t="inlineStr">
        <is>
          <t>SK이노베이션</t>
        </is>
      </c>
      <c r="G323" s="2" t="inlineStr">
        <is>
          <t>20260129800691</t>
        </is>
      </c>
      <c r="H323" s="8">
        <f>HYPERLINK("https://dart.fss.or.kr/dsaf001/main.do?rcpNo=20260129800691", "공시열람")</f>
        <v/>
      </c>
    </row>
    <row r="324">
      <c r="A324" s="2" t="inlineStr">
        <is>
          <t>2026-01-29</t>
        </is>
      </c>
      <c r="B324" s="3" t="inlineStr">
        <is>
          <t>흥구석유</t>
        </is>
      </c>
      <c r="C324" s="2" t="inlineStr">
        <is>
          <t>코스닥</t>
        </is>
      </c>
      <c r="D324" s="2" t="inlineStr">
        <is>
          <t>024060</t>
        </is>
      </c>
      <c r="E324" s="3" t="inlineStr">
        <is>
          <t>임원ㆍ주요주주특정증권등소유상황보고서</t>
        </is>
      </c>
      <c r="F324" s="3" t="inlineStr">
        <is>
          <t>서동재</t>
        </is>
      </c>
      <c r="G324" s="2" t="inlineStr">
        <is>
          <t>20260129000609</t>
        </is>
      </c>
      <c r="H324" s="8">
        <f>HYPERLINK("https://dart.fss.or.kr/dsaf001/main.do?rcpNo=20260129000609", "공시열람")</f>
        <v/>
      </c>
    </row>
    <row r="325">
      <c r="A325" s="2" t="inlineStr">
        <is>
          <t>2026-01-29</t>
        </is>
      </c>
      <c r="B325" s="3" t="inlineStr">
        <is>
          <t>제일기획</t>
        </is>
      </c>
      <c r="C325" s="2" t="inlineStr">
        <is>
          <t>코스피</t>
        </is>
      </c>
      <c r="D325" s="2" t="inlineStr">
        <is>
          <t>030000</t>
        </is>
      </c>
      <c r="E325" s="3" t="inlineStr">
        <is>
          <t>임원ㆍ주요주주특정증권등소유상황보고서</t>
        </is>
      </c>
      <c r="F325" s="3" t="inlineStr">
        <is>
          <t>신재호</t>
        </is>
      </c>
      <c r="G325" s="2" t="inlineStr">
        <is>
          <t>20260129000607</t>
        </is>
      </c>
      <c r="H325" s="8">
        <f>HYPERLINK("https://dart.fss.or.kr/dsaf001/main.do?rcpNo=20260129000607", "공시열람")</f>
        <v/>
      </c>
    </row>
    <row r="326">
      <c r="A326" s="2" t="inlineStr">
        <is>
          <t>2026-01-29</t>
        </is>
      </c>
      <c r="B326" s="3" t="inlineStr">
        <is>
          <t>제이브이엠</t>
        </is>
      </c>
      <c r="C326" s="2" t="inlineStr">
        <is>
          <t>코스닥</t>
        </is>
      </c>
      <c r="D326" s="2" t="inlineStr">
        <is>
          <t>054950</t>
        </is>
      </c>
      <c r="E326" s="3" t="inlineStr">
        <is>
          <t>임원ㆍ주요주주특정증권등소유상황보고서</t>
        </is>
      </c>
      <c r="F326" s="3" t="inlineStr">
        <is>
          <t>김정민</t>
        </is>
      </c>
      <c r="G326" s="2" t="inlineStr">
        <is>
          <t>20260129000606</t>
        </is>
      </c>
      <c r="H326" s="8">
        <f>HYPERLINK("https://dart.fss.or.kr/dsaf001/main.do?rcpNo=20260129000606", "공시열람")</f>
        <v/>
      </c>
    </row>
    <row r="327">
      <c r="A327" s="2" t="inlineStr">
        <is>
          <t>2026-01-29</t>
        </is>
      </c>
      <c r="B327" s="3" t="inlineStr">
        <is>
          <t>교보증권</t>
        </is>
      </c>
      <c r="C327" s="2" t="inlineStr">
        <is>
          <t>코스피</t>
        </is>
      </c>
      <c r="D327" s="2" t="inlineStr">
        <is>
          <t>030610</t>
        </is>
      </c>
      <c r="E327" s="3" t="inlineStr">
        <is>
          <t>투자설명서(일괄신고)</t>
        </is>
      </c>
      <c r="F327" s="3" t="inlineStr">
        <is>
          <t>교보증권</t>
        </is>
      </c>
      <c r="G327" s="2" t="inlineStr">
        <is>
          <t>20260129000604</t>
        </is>
      </c>
      <c r="H327" s="8">
        <f>HYPERLINK("https://dart.fss.or.kr/dsaf001/main.do?rcpNo=20260129000604", "공시열람")</f>
        <v/>
      </c>
    </row>
    <row r="328">
      <c r="A328" s="2" t="inlineStr">
        <is>
          <t>2026-01-29</t>
        </is>
      </c>
      <c r="B328" s="3" t="inlineStr">
        <is>
          <t>현대자동차</t>
        </is>
      </c>
      <c r="C328" s="2" t="inlineStr">
        <is>
          <t>코스피</t>
        </is>
      </c>
      <c r="D328" s="2" t="inlineStr">
        <is>
          <t>005380</t>
        </is>
      </c>
      <c r="E328" s="3" t="inlineStr">
        <is>
          <t xml:space="preserve">공정거래자율준수프로그램운영현황(안내공시)              </t>
        </is>
      </c>
      <c r="F328" s="3" t="inlineStr">
        <is>
          <t>현대자동차</t>
        </is>
      </c>
      <c r="G328" s="2" t="inlineStr">
        <is>
          <t>20260129800762</t>
        </is>
      </c>
      <c r="H328" s="8">
        <f>HYPERLINK("https://dart.fss.or.kr/dsaf001/main.do?rcpNo=20260129800762", "공시열람")</f>
        <v/>
      </c>
    </row>
    <row r="329">
      <c r="A329" s="2" t="inlineStr">
        <is>
          <t>2026-01-29</t>
        </is>
      </c>
      <c r="B329" s="3" t="inlineStr">
        <is>
          <t>한국종합기술</t>
        </is>
      </c>
      <c r="C329" s="2" t="inlineStr">
        <is>
          <t>코스피</t>
        </is>
      </c>
      <c r="D329" s="2" t="inlineStr">
        <is>
          <t>023350</t>
        </is>
      </c>
      <c r="E329" s="3" t="inlineStr">
        <is>
          <t xml:space="preserve">소송등의판결ㆍ결정(일정금액이상의청구)              </t>
        </is>
      </c>
      <c r="F329" s="3" t="inlineStr">
        <is>
          <t>한국종합기술</t>
        </is>
      </c>
      <c r="G329" s="2" t="inlineStr">
        <is>
          <t>20260129800760</t>
        </is>
      </c>
      <c r="H329" s="8">
        <f>HYPERLINK("https://dart.fss.or.kr/dsaf001/main.do?rcpNo=20260129800760", "공시열람")</f>
        <v/>
      </c>
    </row>
    <row r="330">
      <c r="A330" s="2" t="inlineStr">
        <is>
          <t>2026-01-29</t>
        </is>
      </c>
      <c r="B330" s="3" t="inlineStr">
        <is>
          <t>제이브이엠</t>
        </is>
      </c>
      <c r="C330" s="2" t="inlineStr">
        <is>
          <t>코스닥</t>
        </is>
      </c>
      <c r="D330" s="2" t="inlineStr">
        <is>
          <t>054950</t>
        </is>
      </c>
      <c r="E330" s="3" t="inlineStr">
        <is>
          <t>임원ㆍ주요주주특정증권등소유상황보고서</t>
        </is>
      </c>
      <c r="F330" s="3" t="inlineStr">
        <is>
          <t>정연식</t>
        </is>
      </c>
      <c r="G330" s="2" t="inlineStr">
        <is>
          <t>20260129000599</t>
        </is>
      </c>
      <c r="H330" s="8">
        <f>HYPERLINK("https://dart.fss.or.kr/dsaf001/main.do?rcpNo=20260129000599", "공시열람")</f>
        <v/>
      </c>
    </row>
    <row r="331">
      <c r="A331" s="2" t="inlineStr">
        <is>
          <t>2026-01-29</t>
        </is>
      </c>
      <c r="B331" s="3" t="inlineStr">
        <is>
          <t>뉴로메카</t>
        </is>
      </c>
      <c r="C331" s="2" t="inlineStr">
        <is>
          <t>코스닥</t>
        </is>
      </c>
      <c r="D331" s="2" t="inlineStr">
        <is>
          <t>348340</t>
        </is>
      </c>
      <c r="E331" s="3" t="inlineStr">
        <is>
          <t>임원ㆍ주요주주특정증권등소유상황보고서</t>
        </is>
      </c>
      <c r="F331" s="3" t="inlineStr">
        <is>
          <t>강준수</t>
        </is>
      </c>
      <c r="G331" s="2" t="inlineStr">
        <is>
          <t>20260129000598</t>
        </is>
      </c>
      <c r="H331" s="8">
        <f>HYPERLINK("https://dart.fss.or.kr/dsaf001/main.do?rcpNo=20260129000598", "공시열람")</f>
        <v/>
      </c>
    </row>
    <row r="332">
      <c r="A332" s="2" t="inlineStr">
        <is>
          <t>2026-01-29</t>
        </is>
      </c>
      <c r="B332" s="3" t="inlineStr">
        <is>
          <t>교보증권</t>
        </is>
      </c>
      <c r="C332" s="2" t="inlineStr">
        <is>
          <t>코스피</t>
        </is>
      </c>
      <c r="D332" s="2" t="inlineStr">
        <is>
          <t>030610</t>
        </is>
      </c>
      <c r="E332" s="3" t="inlineStr">
        <is>
          <t>일괄신고추가서류(파생결합사채-주가연계파생결합사채)</t>
        </is>
      </c>
      <c r="F332" s="3" t="inlineStr">
        <is>
          <t>교보증권</t>
        </is>
      </c>
      <c r="G332" s="2" t="inlineStr">
        <is>
          <t>20260129000597</t>
        </is>
      </c>
      <c r="H332" s="8">
        <f>HYPERLINK("https://dart.fss.or.kr/dsaf001/main.do?rcpNo=20260129000597", "공시열람")</f>
        <v/>
      </c>
    </row>
    <row r="333">
      <c r="A333" s="2" t="inlineStr">
        <is>
          <t>2026-01-29</t>
        </is>
      </c>
      <c r="B333" s="3" t="inlineStr">
        <is>
          <t>웰킵스하이텍</t>
        </is>
      </c>
      <c r="C333" s="2" t="inlineStr">
        <is>
          <t>코스닥</t>
        </is>
      </c>
      <c r="D333" s="2" t="inlineStr">
        <is>
          <t>043590</t>
        </is>
      </c>
      <c r="E333" s="3" t="inlineStr">
        <is>
          <t>임원ㆍ주요주주특정증권등소유상황보고서</t>
        </is>
      </c>
      <c r="F333" s="3" t="inlineStr">
        <is>
          <t>웰킵스홀딩스</t>
        </is>
      </c>
      <c r="G333" s="2" t="inlineStr">
        <is>
          <t>20260129000592</t>
        </is>
      </c>
      <c r="H333" s="8">
        <f>HYPERLINK("https://dart.fss.or.kr/dsaf001/main.do?rcpNo=20260129000592", "공시열람")</f>
        <v/>
      </c>
    </row>
    <row r="334">
      <c r="A334" s="2" t="inlineStr">
        <is>
          <t>2026-01-29</t>
        </is>
      </c>
      <c r="B334" s="3" t="inlineStr">
        <is>
          <t>넷마블</t>
        </is>
      </c>
      <c r="C334" s="2" t="inlineStr">
        <is>
          <t>코스피</t>
        </is>
      </c>
      <c r="D334" s="2" t="inlineStr">
        <is>
          <t>251270</t>
        </is>
      </c>
      <c r="E334" s="3" t="inlineStr">
        <is>
          <t xml:space="preserve">기업설명회(IR)개최(안내공시)              </t>
        </is>
      </c>
      <c r="F334" s="3" t="inlineStr">
        <is>
          <t>넷마블</t>
        </is>
      </c>
      <c r="G334" s="2" t="inlineStr">
        <is>
          <t>20260129800729</t>
        </is>
      </c>
      <c r="H334" s="8">
        <f>HYPERLINK("https://dart.fss.or.kr/dsaf001/main.do?rcpNo=20260129800729", "공시열람")</f>
        <v/>
      </c>
    </row>
    <row r="335">
      <c r="A335" s="2" t="inlineStr">
        <is>
          <t>2026-01-29 (정정: 2026-02-02)</t>
        </is>
      </c>
      <c r="B335" s="3" t="inlineStr">
        <is>
          <t>기업은행</t>
        </is>
      </c>
      <c r="C335" s="2" t="inlineStr">
        <is>
          <t>코스피</t>
        </is>
      </c>
      <c r="D335" s="2" t="inlineStr">
        <is>
          <t>024110</t>
        </is>
      </c>
      <c r="E335" s="3" t="inlineStr">
        <is>
          <t>결산실적공시예고(안내공시)               (정정: 20260202)</t>
        </is>
      </c>
      <c r="F335" s="3" t="inlineStr">
        <is>
          <t>기업은행</t>
        </is>
      </c>
      <c r="G335" s="2" t="inlineStr">
        <is>
          <t>20260202000998</t>
        </is>
      </c>
      <c r="H335" s="8">
        <f>HYPERLINK("https://dart.fss.or.kr/dsaf001/main.do?rcpNo=20260202000998", "공시열람")</f>
        <v/>
      </c>
    </row>
    <row r="336">
      <c r="A336" s="2" t="inlineStr">
        <is>
          <t>2026-01-29</t>
        </is>
      </c>
      <c r="B336" s="3" t="inlineStr">
        <is>
          <t>헝셩그룹</t>
        </is>
      </c>
      <c r="C336" s="2" t="inlineStr">
        <is>
          <t>코스닥</t>
        </is>
      </c>
      <c r="D336" s="2" t="inlineStr">
        <is>
          <t>900270</t>
        </is>
      </c>
      <c r="E336" s="3" t="inlineStr">
        <is>
          <t>전환가액의조정              (제3회차)</t>
        </is>
      </c>
      <c r="F336" s="3" t="inlineStr">
        <is>
          <t>헝셩그룹</t>
        </is>
      </c>
      <c r="G336" s="2" t="inlineStr">
        <is>
          <t>20260129900647</t>
        </is>
      </c>
      <c r="H336" s="8">
        <f>HYPERLINK("https://dart.fss.or.kr/dsaf001/main.do?rcpNo=20260129900647", "공시열람")</f>
        <v/>
      </c>
    </row>
    <row r="337">
      <c r="A337" s="2" t="inlineStr">
        <is>
          <t>2026-01-29</t>
        </is>
      </c>
      <c r="B337" s="3" t="inlineStr">
        <is>
          <t>넷마블</t>
        </is>
      </c>
      <c r="C337" s="2" t="inlineStr">
        <is>
          <t>코스피</t>
        </is>
      </c>
      <c r="D337" s="2" t="inlineStr">
        <is>
          <t>251270</t>
        </is>
      </c>
      <c r="E337" s="3" t="inlineStr">
        <is>
          <t xml:space="preserve">결산실적공시예고(안내공시)              </t>
        </is>
      </c>
      <c r="F337" s="3" t="inlineStr">
        <is>
          <t>넷마블</t>
        </is>
      </c>
      <c r="G337" s="2" t="inlineStr">
        <is>
          <t>20260129800721</t>
        </is>
      </c>
      <c r="H337" s="8">
        <f>HYPERLINK("https://dart.fss.or.kr/dsaf001/main.do?rcpNo=20260129800721", "공시열람")</f>
        <v/>
      </c>
    </row>
    <row r="338">
      <c r="A338" s="2" t="inlineStr">
        <is>
          <t>2026-01-29</t>
        </is>
      </c>
      <c r="B338" s="3" t="inlineStr">
        <is>
          <t>흥구석유</t>
        </is>
      </c>
      <c r="C338" s="2" t="inlineStr">
        <is>
          <t>코스닥</t>
        </is>
      </c>
      <c r="D338" s="2" t="inlineStr">
        <is>
          <t>024060</t>
        </is>
      </c>
      <c r="E338" s="3" t="inlineStr">
        <is>
          <t>임원ㆍ주요주주특정증권등소유상황보고서</t>
        </is>
      </c>
      <c r="F338" s="3" t="inlineStr">
        <is>
          <t>김영성</t>
        </is>
      </c>
      <c r="G338" s="2" t="inlineStr">
        <is>
          <t>20260129000588</t>
        </is>
      </c>
      <c r="H338" s="8">
        <f>HYPERLINK("https://dart.fss.or.kr/dsaf001/main.do?rcpNo=20260129000588", "공시열람")</f>
        <v/>
      </c>
    </row>
    <row r="339">
      <c r="A339" s="2" t="inlineStr">
        <is>
          <t>2026-01-29</t>
        </is>
      </c>
      <c r="B339" s="3" t="inlineStr">
        <is>
          <t>디에이치엑스컴퍼니</t>
        </is>
      </c>
      <c r="C339" s="2" t="inlineStr">
        <is>
          <t>코스닥</t>
        </is>
      </c>
      <c r="D339" s="2" t="inlineStr">
        <is>
          <t>031860</t>
        </is>
      </c>
      <c r="E339" s="3" t="inlineStr">
        <is>
          <t xml:space="preserve">대표이사변경              </t>
        </is>
      </c>
      <c r="F339" s="3" t="inlineStr">
        <is>
          <t>디에이치엑스컴퍼니</t>
        </is>
      </c>
      <c r="G339" s="2" t="inlineStr">
        <is>
          <t>20260129900689</t>
        </is>
      </c>
      <c r="H339" s="8">
        <f>HYPERLINK("https://dart.fss.or.kr/dsaf001/main.do?rcpNo=20260129900689", "공시열람")</f>
        <v/>
      </c>
    </row>
    <row r="340">
      <c r="A340" s="2" t="inlineStr">
        <is>
          <t>2026-01-29</t>
        </is>
      </c>
      <c r="B340" s="3" t="inlineStr">
        <is>
          <t>코스메카코리아</t>
        </is>
      </c>
      <c r="C340" s="2" t="inlineStr">
        <is>
          <t>코스닥</t>
        </is>
      </c>
      <c r="D340" s="2" t="inlineStr">
        <is>
          <t>241710</t>
        </is>
      </c>
      <c r="E340" s="3" t="inlineStr">
        <is>
          <t xml:space="preserve">기업설명회(IR)개최              </t>
        </is>
      </c>
      <c r="F340" s="3" t="inlineStr">
        <is>
          <t>코스메카코리아</t>
        </is>
      </c>
      <c r="G340" s="2" t="inlineStr">
        <is>
          <t>20260129900711</t>
        </is>
      </c>
      <c r="H340" s="8">
        <f>HYPERLINK("https://dart.fss.or.kr/dsaf001/main.do?rcpNo=20260129900711", "공시열람")</f>
        <v/>
      </c>
    </row>
    <row r="341">
      <c r="A341" s="2" t="inlineStr">
        <is>
          <t>2026-01-29</t>
        </is>
      </c>
      <c r="B341" s="3" t="inlineStr">
        <is>
          <t>제이브이엠</t>
        </is>
      </c>
      <c r="C341" s="2" t="inlineStr">
        <is>
          <t>코스닥</t>
        </is>
      </c>
      <c r="D341" s="2" t="inlineStr">
        <is>
          <t>054950</t>
        </is>
      </c>
      <c r="E341" s="3" t="inlineStr">
        <is>
          <t>임원ㆍ주요주주특정증권등소유상황보고서</t>
        </is>
      </c>
      <c r="F341" s="3" t="inlineStr">
        <is>
          <t>이동환</t>
        </is>
      </c>
      <c r="G341" s="2" t="inlineStr">
        <is>
          <t>20260129000584</t>
        </is>
      </c>
      <c r="H341" s="8">
        <f>HYPERLINK("https://dart.fss.or.kr/dsaf001/main.do?rcpNo=20260129000584", "공시열람")</f>
        <v/>
      </c>
    </row>
    <row r="342">
      <c r="A342" s="2" t="inlineStr">
        <is>
          <t>2026-01-29</t>
        </is>
      </c>
      <c r="B342" s="3" t="inlineStr">
        <is>
          <t>LG헬로비전</t>
        </is>
      </c>
      <c r="C342" s="2" t="inlineStr">
        <is>
          <t>코스피</t>
        </is>
      </c>
      <c r="D342" s="2" t="inlineStr">
        <is>
          <t>037560</t>
        </is>
      </c>
      <c r="E342" s="3" t="inlineStr">
        <is>
          <t xml:space="preserve">결산실적공시예고(안내공시)              </t>
        </is>
      </c>
      <c r="F342" s="3" t="inlineStr">
        <is>
          <t>LG헬로비전</t>
        </is>
      </c>
      <c r="G342" s="2" t="inlineStr">
        <is>
          <t>20260129800709</t>
        </is>
      </c>
      <c r="H342" s="8">
        <f>HYPERLINK("https://dart.fss.or.kr/dsaf001/main.do?rcpNo=20260129800709", "공시열람")</f>
        <v/>
      </c>
    </row>
    <row r="343">
      <c r="A343" s="2" t="inlineStr">
        <is>
          <t>2026-01-29</t>
        </is>
      </c>
      <c r="B343" s="3" t="inlineStr">
        <is>
          <t>인터엠</t>
        </is>
      </c>
      <c r="C343" s="2" t="inlineStr">
        <is>
          <t>코스닥</t>
        </is>
      </c>
      <c r="D343" s="2" t="inlineStr">
        <is>
          <t>017250</t>
        </is>
      </c>
      <c r="E343" s="3" t="inlineStr">
        <is>
          <t>임원ㆍ주요주주특정증권등소유상황보고서</t>
        </is>
      </c>
      <c r="F343" s="3" t="inlineStr">
        <is>
          <t>조남용</t>
        </is>
      </c>
      <c r="G343" s="2" t="inlineStr">
        <is>
          <t>20260129000582</t>
        </is>
      </c>
      <c r="H343" s="8">
        <f>HYPERLINK("https://dart.fss.or.kr/dsaf001/main.do?rcpNo=20260129000582", "공시열람")</f>
        <v/>
      </c>
    </row>
    <row r="344">
      <c r="A344" s="2" t="inlineStr">
        <is>
          <t>2026-01-29</t>
        </is>
      </c>
      <c r="B344" s="3" t="inlineStr">
        <is>
          <t>JB금융지주</t>
        </is>
      </c>
      <c r="C344" s="2" t="inlineStr">
        <is>
          <t>코스피</t>
        </is>
      </c>
      <c r="D344" s="2" t="inlineStr">
        <is>
          <t>175330</t>
        </is>
      </c>
      <c r="E344" s="3" t="inlineStr">
        <is>
          <t xml:space="preserve">기업설명회(IR)개최(안내공시)              </t>
        </is>
      </c>
      <c r="F344" s="3" t="inlineStr">
        <is>
          <t>JB금융지주</t>
        </is>
      </c>
      <c r="G344" s="2" t="inlineStr">
        <is>
          <t>20260129800705</t>
        </is>
      </c>
      <c r="H344" s="8">
        <f>HYPERLINK("https://dart.fss.or.kr/dsaf001/main.do?rcpNo=20260129800705", "공시열람")</f>
        <v/>
      </c>
    </row>
    <row r="345">
      <c r="A345" s="2" t="inlineStr">
        <is>
          <t>2026-01-29</t>
        </is>
      </c>
      <c r="B345" s="3" t="inlineStr">
        <is>
          <t>키움증권</t>
        </is>
      </c>
      <c r="C345" s="2" t="inlineStr">
        <is>
          <t>코스피</t>
        </is>
      </c>
      <c r="D345" s="2" t="inlineStr">
        <is>
          <t>039490</t>
        </is>
      </c>
      <c r="E345" s="3" t="inlineStr">
        <is>
          <t>투자설명서(일괄신고)</t>
        </is>
      </c>
      <c r="F345" s="3" t="inlineStr">
        <is>
          <t>키움증권</t>
        </is>
      </c>
      <c r="G345" s="2" t="inlineStr">
        <is>
          <t>20260129000581</t>
        </is>
      </c>
      <c r="H345" s="8">
        <f>HYPERLINK("https://dart.fss.or.kr/dsaf001/main.do?rcpNo=20260129000581", "공시열람")</f>
        <v/>
      </c>
    </row>
    <row r="346">
      <c r="A346" s="2" t="inlineStr">
        <is>
          <t>2026-01-29</t>
        </is>
      </c>
      <c r="B346" s="3" t="inlineStr">
        <is>
          <t>JB금융지주</t>
        </is>
      </c>
      <c r="C346" s="2" t="inlineStr">
        <is>
          <t>코스피</t>
        </is>
      </c>
      <c r="D346" s="2" t="inlineStr">
        <is>
          <t>175330</t>
        </is>
      </c>
      <c r="E346" s="3" t="inlineStr">
        <is>
          <t xml:space="preserve">결산실적공시예고(안내공시)              </t>
        </is>
      </c>
      <c r="F346" s="3" t="inlineStr">
        <is>
          <t>JB금융지주</t>
        </is>
      </c>
      <c r="G346" s="2" t="inlineStr">
        <is>
          <t>20260129800696</t>
        </is>
      </c>
      <c r="H346" s="8">
        <f>HYPERLINK("https://dart.fss.or.kr/dsaf001/main.do?rcpNo=20260129800696", "공시열람")</f>
        <v/>
      </c>
    </row>
    <row r="347">
      <c r="A347" s="2" t="inlineStr">
        <is>
          <t>2026-01-29</t>
        </is>
      </c>
      <c r="B347" s="3" t="inlineStr">
        <is>
          <t>키움증권</t>
        </is>
      </c>
      <c r="C347" s="2" t="inlineStr">
        <is>
          <t>코스피</t>
        </is>
      </c>
      <c r="D347" s="2" t="inlineStr">
        <is>
          <t>039490</t>
        </is>
      </c>
      <c r="E347" s="3" t="inlineStr">
        <is>
          <t>투자설명서(일괄신고)</t>
        </is>
      </c>
      <c r="F347" s="3" t="inlineStr">
        <is>
          <t>키움증권</t>
        </is>
      </c>
      <c r="G347" s="2" t="inlineStr">
        <is>
          <t>20260129000577</t>
        </is>
      </c>
      <c r="H347" s="8">
        <f>HYPERLINK("https://dart.fss.or.kr/dsaf001/main.do?rcpNo=20260129000577", "공시열람")</f>
        <v/>
      </c>
    </row>
    <row r="348">
      <c r="A348" s="2" t="inlineStr">
        <is>
          <t>2026-01-29</t>
        </is>
      </c>
      <c r="B348" s="3" t="inlineStr">
        <is>
          <t>메가터치</t>
        </is>
      </c>
      <c r="C348" s="2" t="inlineStr">
        <is>
          <t>코스닥</t>
        </is>
      </c>
      <c r="D348" s="2" t="inlineStr">
        <is>
          <t>446540</t>
        </is>
      </c>
      <c r="E348" s="3" t="inlineStr">
        <is>
          <t>임원ㆍ주요주주특정증권등소유상황보고서</t>
        </is>
      </c>
      <c r="F348" s="3" t="inlineStr">
        <is>
          <t>휘스턴재료과학</t>
        </is>
      </c>
      <c r="G348" s="2" t="inlineStr">
        <is>
          <t>20260129000575</t>
        </is>
      </c>
      <c r="H348" s="8">
        <f>HYPERLINK("https://dart.fss.or.kr/dsaf001/main.do?rcpNo=20260129000575", "공시열람")</f>
        <v/>
      </c>
    </row>
    <row r="349">
      <c r="A349" s="2" t="inlineStr">
        <is>
          <t>2026-01-29 (정정: 2026-03-03)</t>
        </is>
      </c>
      <c r="B349" s="3" t="inlineStr">
        <is>
          <t>엔시스</t>
        </is>
      </c>
      <c r="C349" s="2" t="inlineStr">
        <is>
          <t>코스닥</t>
        </is>
      </c>
      <c r="D349" s="2" t="inlineStr">
        <is>
          <t>333620</t>
        </is>
      </c>
      <c r="E349" s="3" t="inlineStr">
        <is>
          <t>전환가액의조정               (정정: 20260303)</t>
        </is>
      </c>
      <c r="F349" s="3" t="inlineStr">
        <is>
          <t>엔시스</t>
        </is>
      </c>
      <c r="G349" s="2" t="inlineStr">
        <is>
          <t>20260303900723</t>
        </is>
      </c>
      <c r="H349" s="8">
        <f>HYPERLINK("https://dart.fss.or.kr/dsaf001/main.do?rcpNo=20260303900723", "공시열람")</f>
        <v/>
      </c>
    </row>
    <row r="350">
      <c r="A350" s="2" t="inlineStr">
        <is>
          <t>2026-01-29</t>
        </is>
      </c>
      <c r="B350" s="3" t="inlineStr">
        <is>
          <t>한화솔루션</t>
        </is>
      </c>
      <c r="C350" s="2" t="inlineStr">
        <is>
          <t>코스피</t>
        </is>
      </c>
      <c r="D350" s="2" t="inlineStr">
        <is>
          <t>009830</t>
        </is>
      </c>
      <c r="E350" s="3" t="inlineStr">
        <is>
          <t>동일인등출자계열회사와의상품ㆍ용역거래변경</t>
        </is>
      </c>
      <c r="F350" s="3" t="inlineStr">
        <is>
          <t>한화솔루션</t>
        </is>
      </c>
      <c r="G350" s="2" t="inlineStr">
        <is>
          <t>20260129000572</t>
        </is>
      </c>
      <c r="H350" s="8">
        <f>HYPERLINK("https://dart.fss.or.kr/dsaf001/main.do?rcpNo=20260129000572", "공시열람")</f>
        <v/>
      </c>
    </row>
    <row r="351">
      <c r="A351" s="2" t="inlineStr">
        <is>
          <t>2026-01-29</t>
        </is>
      </c>
      <c r="B351" s="3" t="inlineStr">
        <is>
          <t>한화솔루션</t>
        </is>
      </c>
      <c r="C351" s="2" t="inlineStr">
        <is>
          <t>코스피</t>
        </is>
      </c>
      <c r="D351" s="2" t="inlineStr">
        <is>
          <t>009830</t>
        </is>
      </c>
      <c r="E351" s="3" t="inlineStr">
        <is>
          <t>동일인등출자계열회사와의상품ㆍ용역거래변경</t>
        </is>
      </c>
      <c r="F351" s="3" t="inlineStr">
        <is>
          <t>한화솔루션</t>
        </is>
      </c>
      <c r="G351" s="2" t="inlineStr">
        <is>
          <t>20260129000570</t>
        </is>
      </c>
      <c r="H351" s="8">
        <f>HYPERLINK("https://dart.fss.or.kr/dsaf001/main.do?rcpNo=20260129000570", "공시열람")</f>
        <v/>
      </c>
    </row>
    <row r="352">
      <c r="A352" s="2" t="inlineStr">
        <is>
          <t>2026-01-29</t>
        </is>
      </c>
      <c r="B352" s="3" t="inlineStr">
        <is>
          <t>제이브이엠</t>
        </is>
      </c>
      <c r="C352" s="2" t="inlineStr">
        <is>
          <t>코스닥</t>
        </is>
      </c>
      <c r="D352" s="2" t="inlineStr">
        <is>
          <t>054950</t>
        </is>
      </c>
      <c r="E352" s="3" t="inlineStr">
        <is>
          <t>임원ㆍ주요주주특정증권등소유상황보고서</t>
        </is>
      </c>
      <c r="F352" s="3" t="inlineStr">
        <is>
          <t>박성진</t>
        </is>
      </c>
      <c r="G352" s="2" t="inlineStr">
        <is>
          <t>20260129000569</t>
        </is>
      </c>
      <c r="H352" s="8">
        <f>HYPERLINK("https://dart.fss.or.kr/dsaf001/main.do?rcpNo=20260129000569", "공시열람")</f>
        <v/>
      </c>
    </row>
    <row r="353">
      <c r="A353" s="2" t="inlineStr">
        <is>
          <t>2026-01-29</t>
        </is>
      </c>
      <c r="B353" s="3" t="inlineStr">
        <is>
          <t>한화솔루션</t>
        </is>
      </c>
      <c r="C353" s="2" t="inlineStr">
        <is>
          <t>코스피</t>
        </is>
      </c>
      <c r="D353" s="2" t="inlineStr">
        <is>
          <t>009830</t>
        </is>
      </c>
      <c r="E353" s="3" t="inlineStr">
        <is>
          <t>동일인등출자계열회사와의상품ㆍ용역거래변경</t>
        </is>
      </c>
      <c r="F353" s="3" t="inlineStr">
        <is>
          <t>한화솔루션</t>
        </is>
      </c>
      <c r="G353" s="2" t="inlineStr">
        <is>
          <t>20260129000568</t>
        </is>
      </c>
      <c r="H353" s="8">
        <f>HYPERLINK("https://dart.fss.or.kr/dsaf001/main.do?rcpNo=20260129000568", "공시열람")</f>
        <v/>
      </c>
    </row>
    <row r="354">
      <c r="A354" s="2" t="inlineStr">
        <is>
          <t>2026-01-29</t>
        </is>
      </c>
      <c r="B354" s="3" t="inlineStr">
        <is>
          <t>흥구석유</t>
        </is>
      </c>
      <c r="C354" s="2" t="inlineStr">
        <is>
          <t>코스닥</t>
        </is>
      </c>
      <c r="D354" s="2" t="inlineStr">
        <is>
          <t>024060</t>
        </is>
      </c>
      <c r="E354" s="3" t="inlineStr">
        <is>
          <t xml:space="preserve">현금ㆍ현물배당결정              </t>
        </is>
      </c>
      <c r="F354" s="3" t="inlineStr">
        <is>
          <t>흥구석유</t>
        </is>
      </c>
      <c r="G354" s="2" t="inlineStr">
        <is>
          <t>20260129900656</t>
        </is>
      </c>
      <c r="H354" s="8">
        <f>HYPERLINK("https://dart.fss.or.kr/dsaf001/main.do?rcpNo=20260129900656", "공시열람")</f>
        <v/>
      </c>
    </row>
    <row r="355">
      <c r="A355" s="2" t="inlineStr">
        <is>
          <t>2026-01-29</t>
        </is>
      </c>
      <c r="B355" s="3" t="inlineStr">
        <is>
          <t>에이플러스에셋</t>
        </is>
      </c>
      <c r="C355" s="2" t="inlineStr">
        <is>
          <t>코스피</t>
        </is>
      </c>
      <c r="D355" s="2" t="inlineStr">
        <is>
          <t>244920</t>
        </is>
      </c>
      <c r="E355" s="3" t="inlineStr">
        <is>
          <t>임원ㆍ주요주주특정증권등소유상황보고서</t>
        </is>
      </c>
      <c r="F355" s="3" t="inlineStr">
        <is>
          <t>ALIGNPARTNERSKOREAFUNDLP</t>
        </is>
      </c>
      <c r="G355" s="2" t="inlineStr">
        <is>
          <t>20260129000566</t>
        </is>
      </c>
      <c r="H355" s="8">
        <f>HYPERLINK("https://dart.fss.or.kr/dsaf001/main.do?rcpNo=20260129000566", "공시열람")</f>
        <v/>
      </c>
    </row>
    <row r="356">
      <c r="A356" s="2" t="inlineStr">
        <is>
          <t>2026-01-29</t>
        </is>
      </c>
      <c r="B356" s="3" t="inlineStr">
        <is>
          <t>흥구석유</t>
        </is>
      </c>
      <c r="C356" s="2" t="inlineStr">
        <is>
          <t>코스닥</t>
        </is>
      </c>
      <c r="D356" s="2" t="inlineStr">
        <is>
          <t>024060</t>
        </is>
      </c>
      <c r="E356" s="3" t="inlineStr">
        <is>
          <t xml:space="preserve">매출액또는손익구조30%(대규모법인은15%)이상변동              </t>
        </is>
      </c>
      <c r="F356" s="3" t="inlineStr">
        <is>
          <t>흥구석유</t>
        </is>
      </c>
      <c r="G356" s="2" t="inlineStr">
        <is>
          <t>20260129900653</t>
        </is>
      </c>
      <c r="H356" s="8">
        <f>HYPERLINK("https://dart.fss.or.kr/dsaf001/main.do?rcpNo=20260129900653", "공시열람")</f>
        <v/>
      </c>
    </row>
    <row r="357">
      <c r="A357" s="2" t="inlineStr">
        <is>
          <t>2026-01-29</t>
        </is>
      </c>
      <c r="B357" s="3" t="inlineStr">
        <is>
          <t>대덕</t>
        </is>
      </c>
      <c r="C357" s="2" t="inlineStr">
        <is>
          <t>코스피</t>
        </is>
      </c>
      <c r="D357" s="2" t="inlineStr">
        <is>
          <t>008060</t>
        </is>
      </c>
      <c r="E357" s="3" t="inlineStr">
        <is>
          <t xml:space="preserve">매출액또는손익구조30%(대규모법인은15%)이상변경(자회사의 주요경영사항)              </t>
        </is>
      </c>
      <c r="F357" s="3" t="inlineStr">
        <is>
          <t>대덕</t>
        </is>
      </c>
      <c r="G357" s="2" t="inlineStr">
        <is>
          <t>20260129800661</t>
        </is>
      </c>
      <c r="H357" s="8">
        <f>HYPERLINK("https://dart.fss.or.kr/dsaf001/main.do?rcpNo=20260129800661", "공시열람")</f>
        <v/>
      </c>
    </row>
    <row r="358">
      <c r="A358" s="2" t="inlineStr">
        <is>
          <t>2026-01-29</t>
        </is>
      </c>
      <c r="B358" s="3" t="inlineStr">
        <is>
          <t>JB금융지주</t>
        </is>
      </c>
      <c r="C358" s="2" t="inlineStr">
        <is>
          <t>코스피</t>
        </is>
      </c>
      <c r="D358" s="2" t="inlineStr">
        <is>
          <t>175330</t>
        </is>
      </c>
      <c r="E358" s="3" t="inlineStr">
        <is>
          <t>임원ㆍ주요주주특정증권등소유상황보고서</t>
        </is>
      </c>
      <c r="F358" s="3" t="inlineStr">
        <is>
          <t>삼양사</t>
        </is>
      </c>
      <c r="G358" s="2" t="inlineStr">
        <is>
          <t>20260129000563</t>
        </is>
      </c>
      <c r="H358" s="8">
        <f>HYPERLINK("https://dart.fss.or.kr/dsaf001/main.do?rcpNo=20260129000563", "공시열람")</f>
        <v/>
      </c>
    </row>
    <row r="359">
      <c r="A359" s="2" t="inlineStr">
        <is>
          <t>2026-01-29</t>
        </is>
      </c>
      <c r="B359" s="3" t="inlineStr">
        <is>
          <t>대덕전자</t>
        </is>
      </c>
      <c r="C359" s="2" t="inlineStr">
        <is>
          <t>코스피</t>
        </is>
      </c>
      <c r="D359" s="2" t="inlineStr">
        <is>
          <t>353200</t>
        </is>
      </c>
      <c r="E359" s="3" t="inlineStr">
        <is>
          <t xml:space="preserve">매출액또는손익구조30%(대규모법인은15%)이상변경              </t>
        </is>
      </c>
      <c r="F359" s="3" t="inlineStr">
        <is>
          <t>대덕전자</t>
        </is>
      </c>
      <c r="G359" s="2" t="inlineStr">
        <is>
          <t>20260129800643</t>
        </is>
      </c>
      <c r="H359" s="8">
        <f>HYPERLINK("https://dart.fss.or.kr/dsaf001/main.do?rcpNo=20260129800643", "공시열람")</f>
        <v/>
      </c>
    </row>
    <row r="360">
      <c r="A360" s="2" t="inlineStr">
        <is>
          <t>2026-01-29</t>
        </is>
      </c>
      <c r="B360" s="3" t="inlineStr">
        <is>
          <t>DB증권</t>
        </is>
      </c>
      <c r="C360" s="2" t="inlineStr">
        <is>
          <t>코스피</t>
        </is>
      </c>
      <c r="D360" s="2" t="inlineStr">
        <is>
          <t>016610</t>
        </is>
      </c>
      <c r="E360" s="3" t="inlineStr">
        <is>
          <t>투자설명서(일괄신고)</t>
        </is>
      </c>
      <c r="F360" s="3" t="inlineStr">
        <is>
          <t>DB증권</t>
        </is>
      </c>
      <c r="G360" s="2" t="inlineStr">
        <is>
          <t>20260129000561</t>
        </is>
      </c>
      <c r="H360" s="8">
        <f>HYPERLINK("https://dart.fss.or.kr/dsaf001/main.do?rcpNo=20260129000561", "공시열람")</f>
        <v/>
      </c>
    </row>
    <row r="361">
      <c r="A361" s="2" t="inlineStr">
        <is>
          <t>2026-01-29</t>
        </is>
      </c>
      <c r="B361" s="3" t="inlineStr">
        <is>
          <t>한화오션</t>
        </is>
      </c>
      <c r="C361" s="2" t="inlineStr">
        <is>
          <t>코스피</t>
        </is>
      </c>
      <c r="D361" s="2" t="inlineStr">
        <is>
          <t>042660</t>
        </is>
      </c>
      <c r="E361" s="3" t="inlineStr">
        <is>
          <t>특수관계인과의내부거래</t>
        </is>
      </c>
      <c r="F361" s="3" t="inlineStr">
        <is>
          <t>한화오션</t>
        </is>
      </c>
      <c r="G361" s="2" t="inlineStr">
        <is>
          <t>20260129000559</t>
        </is>
      </c>
      <c r="H361" s="8">
        <f>HYPERLINK("https://dart.fss.or.kr/dsaf001/main.do?rcpNo=20260129000559", "공시열람")</f>
        <v/>
      </c>
    </row>
    <row r="362">
      <c r="A362" s="2" t="inlineStr">
        <is>
          <t>2026-01-29</t>
        </is>
      </c>
      <c r="B362" s="3" t="inlineStr">
        <is>
          <t>방림</t>
        </is>
      </c>
      <c r="C362" s="2" t="inlineStr">
        <is>
          <t>코스피</t>
        </is>
      </c>
      <c r="D362" s="2" t="inlineStr">
        <is>
          <t>003610</t>
        </is>
      </c>
      <c r="E362" s="3" t="inlineStr">
        <is>
          <t>주요사항보고서(자기주식처분결정)</t>
        </is>
      </c>
      <c r="F362" s="3" t="inlineStr">
        <is>
          <t>방림</t>
        </is>
      </c>
      <c r="G362" s="2" t="inlineStr">
        <is>
          <t>20260129000546</t>
        </is>
      </c>
      <c r="H362" s="8">
        <f>HYPERLINK("https://dart.fss.or.kr/dsaf001/main.do?rcpNo=20260129000546", "공시열람")</f>
        <v/>
      </c>
    </row>
    <row r="363">
      <c r="A363" s="2" t="inlineStr">
        <is>
          <t>2026-01-29</t>
        </is>
      </c>
      <c r="B363" s="3" t="inlineStr">
        <is>
          <t>포스코인터내셔널</t>
        </is>
      </c>
      <c r="C363" s="2" t="inlineStr">
        <is>
          <t>코스피</t>
        </is>
      </c>
      <c r="D363" s="2" t="inlineStr">
        <is>
          <t>047050</t>
        </is>
      </c>
      <c r="E363" s="3" t="inlineStr">
        <is>
          <t xml:space="preserve">현금ㆍ현물배당을위한주주명부폐쇄(기준일)결정              </t>
        </is>
      </c>
      <c r="F363" s="3" t="inlineStr">
        <is>
          <t>포스코인터내셔널</t>
        </is>
      </c>
      <c r="G363" s="2" t="inlineStr">
        <is>
          <t>20260129800654</t>
        </is>
      </c>
      <c r="H363" s="8">
        <f>HYPERLINK("https://dart.fss.or.kr/dsaf001/main.do?rcpNo=20260129800654", "공시열람")</f>
        <v/>
      </c>
    </row>
    <row r="364">
      <c r="A364" s="2" t="inlineStr">
        <is>
          <t>2026-01-29</t>
        </is>
      </c>
      <c r="B364" s="3" t="inlineStr">
        <is>
          <t>에스지헬스케어</t>
        </is>
      </c>
      <c r="C364" s="2" t="inlineStr">
        <is>
          <t>코스닥</t>
        </is>
      </c>
      <c r="D364" s="2" t="inlineStr">
        <is>
          <t>398120</t>
        </is>
      </c>
      <c r="E364" s="3" t="inlineStr">
        <is>
          <t>임원ㆍ주요주주특정증권등소유상황보고서</t>
        </is>
      </c>
      <c r="F364" s="3" t="inlineStr">
        <is>
          <t>박용우</t>
        </is>
      </c>
      <c r="G364" s="2" t="inlineStr">
        <is>
          <t>20260129000556</t>
        </is>
      </c>
      <c r="H364" s="8">
        <f>HYPERLINK("https://dart.fss.or.kr/dsaf001/main.do?rcpNo=20260129000556", "공시열람")</f>
        <v/>
      </c>
    </row>
    <row r="365">
      <c r="A365" s="2" t="inlineStr">
        <is>
          <t>2026-01-29</t>
        </is>
      </c>
      <c r="B365" s="3" t="inlineStr">
        <is>
          <t>포스코인터내셔널</t>
        </is>
      </c>
      <c r="C365" s="2" t="inlineStr">
        <is>
          <t>코스피</t>
        </is>
      </c>
      <c r="D365" s="2" t="inlineStr">
        <is>
          <t>047050</t>
        </is>
      </c>
      <c r="E365" s="3" t="inlineStr">
        <is>
          <t xml:space="preserve">현금ㆍ현물배당결정              </t>
        </is>
      </c>
      <c r="F365" s="3" t="inlineStr">
        <is>
          <t>포스코인터내셔널</t>
        </is>
      </c>
      <c r="G365" s="2" t="inlineStr">
        <is>
          <t>20260129800645</t>
        </is>
      </c>
      <c r="H365" s="8">
        <f>HYPERLINK("https://dart.fss.or.kr/dsaf001/main.do?rcpNo=20260129800645", "공시열람")</f>
        <v/>
      </c>
    </row>
    <row r="366">
      <c r="A366" s="2" t="inlineStr">
        <is>
          <t>2026-01-29</t>
        </is>
      </c>
      <c r="B366" s="3" t="inlineStr">
        <is>
          <t>LG화학</t>
        </is>
      </c>
      <c r="C366" s="2" t="inlineStr">
        <is>
          <t>코스피</t>
        </is>
      </c>
      <c r="D366" s="2" t="inlineStr">
        <is>
          <t>051910</t>
        </is>
      </c>
      <c r="E366" s="3" t="inlineStr">
        <is>
          <t xml:space="preserve">수시공시의무관련사항(공정공시)              </t>
        </is>
      </c>
      <c r="F366" s="3" t="inlineStr">
        <is>
          <t>LG화학</t>
        </is>
      </c>
      <c r="G366" s="2" t="inlineStr">
        <is>
          <t>20260129800644</t>
        </is>
      </c>
      <c r="H366" s="8">
        <f>HYPERLINK("https://dart.fss.or.kr/dsaf001/main.do?rcpNo=20260129800644", "공시열람")</f>
        <v/>
      </c>
    </row>
    <row r="367">
      <c r="A367" s="2" t="inlineStr">
        <is>
          <t>2026-01-29</t>
        </is>
      </c>
      <c r="B367" s="3" t="inlineStr">
        <is>
          <t>삼성카드</t>
        </is>
      </c>
      <c r="C367" s="2" t="inlineStr">
        <is>
          <t>코스피</t>
        </is>
      </c>
      <c r="D367" s="2" t="inlineStr">
        <is>
          <t>029780</t>
        </is>
      </c>
      <c r="E367" s="3" t="inlineStr">
        <is>
          <t>증권발행실적보고서</t>
        </is>
      </c>
      <c r="F367" s="3" t="inlineStr">
        <is>
          <t>삼성카드</t>
        </is>
      </c>
      <c r="G367" s="2" t="inlineStr">
        <is>
          <t>20260129000551</t>
        </is>
      </c>
      <c r="H367" s="8">
        <f>HYPERLINK("https://dart.fss.or.kr/dsaf001/main.do?rcpNo=20260129000551", "공시열람")</f>
        <v/>
      </c>
    </row>
    <row r="368">
      <c r="A368" s="2" t="inlineStr">
        <is>
          <t>2026-01-29</t>
        </is>
      </c>
      <c r="B368" s="3" t="inlineStr">
        <is>
          <t>LG화학</t>
        </is>
      </c>
      <c r="C368" s="2" t="inlineStr">
        <is>
          <t>코스피</t>
        </is>
      </c>
      <c r="D368" s="2" t="inlineStr">
        <is>
          <t>051910</t>
        </is>
      </c>
      <c r="E368" s="3" t="inlineStr">
        <is>
          <t xml:space="preserve">연결재무제표기준영업실적등에대한전망(공정공시)              </t>
        </is>
      </c>
      <c r="F368" s="3" t="inlineStr">
        <is>
          <t>LG화학</t>
        </is>
      </c>
      <c r="G368" s="2" t="inlineStr">
        <is>
          <t>20260129800636</t>
        </is>
      </c>
      <c r="H368" s="8">
        <f>HYPERLINK("https://dart.fss.or.kr/dsaf001/main.do?rcpNo=20260129800636", "공시열람")</f>
        <v/>
      </c>
    </row>
    <row r="369">
      <c r="A369" s="2" t="inlineStr">
        <is>
          <t>2026-01-29</t>
        </is>
      </c>
      <c r="B369" s="3" t="inlineStr">
        <is>
          <t>키움증권</t>
        </is>
      </c>
      <c r="C369" s="2" t="inlineStr">
        <is>
          <t>코스피</t>
        </is>
      </c>
      <c r="D369" s="2" t="inlineStr">
        <is>
          <t>039490</t>
        </is>
      </c>
      <c r="E369" s="3" t="inlineStr">
        <is>
          <t>투자설명서(일괄신고)</t>
        </is>
      </c>
      <c r="F369" s="3" t="inlineStr">
        <is>
          <t>키움증권</t>
        </is>
      </c>
      <c r="G369" s="2" t="inlineStr">
        <is>
          <t>20260129000549</t>
        </is>
      </c>
      <c r="H369" s="8">
        <f>HYPERLINK("https://dart.fss.or.kr/dsaf001/main.do?rcpNo=20260129000549", "공시열람")</f>
        <v/>
      </c>
    </row>
    <row r="370">
      <c r="A370" s="2" t="inlineStr">
        <is>
          <t>2026-01-29</t>
        </is>
      </c>
      <c r="B370" s="3" t="inlineStr">
        <is>
          <t>CJ프레시웨이</t>
        </is>
      </c>
      <c r="C370" s="2" t="inlineStr">
        <is>
          <t>코스닥</t>
        </is>
      </c>
      <c r="D370" s="2" t="inlineStr">
        <is>
          <t>051500</t>
        </is>
      </c>
      <c r="E370" s="3" t="inlineStr">
        <is>
          <t xml:space="preserve">기업설명회(IR)개최              </t>
        </is>
      </c>
      <c r="F370" s="3" t="inlineStr">
        <is>
          <t>CJ프레시웨이</t>
        </is>
      </c>
      <c r="G370" s="2" t="inlineStr">
        <is>
          <t>20260129900627</t>
        </is>
      </c>
      <c r="H370" s="8">
        <f>HYPERLINK("https://dart.fss.or.kr/dsaf001/main.do?rcpNo=20260129900627", "공시열람")</f>
        <v/>
      </c>
    </row>
    <row r="371">
      <c r="A371" s="2" t="inlineStr">
        <is>
          <t>2026-01-29</t>
        </is>
      </c>
      <c r="B371" s="3" t="inlineStr">
        <is>
          <t>현대자동차</t>
        </is>
      </c>
      <c r="C371" s="2" t="inlineStr">
        <is>
          <t>코스피</t>
        </is>
      </c>
      <c r="D371" s="2" t="inlineStr">
        <is>
          <t>005380</t>
        </is>
      </c>
      <c r="E371" s="3" t="inlineStr">
        <is>
          <t>약관에의한금융거래시계열금융회사의거래상대방의공시</t>
        </is>
      </c>
      <c r="F371" s="3" t="inlineStr">
        <is>
          <t>현대자동차</t>
        </is>
      </c>
      <c r="G371" s="2" t="inlineStr">
        <is>
          <t>20260129000545</t>
        </is>
      </c>
      <c r="H371" s="8">
        <f>HYPERLINK("https://dart.fss.or.kr/dsaf001/main.do?rcpNo=20260129000545", "공시열람")</f>
        <v/>
      </c>
    </row>
    <row r="372">
      <c r="A372" s="2" t="inlineStr">
        <is>
          <t>2026-01-29</t>
        </is>
      </c>
      <c r="B372" s="3" t="inlineStr">
        <is>
          <t>LG화학</t>
        </is>
      </c>
      <c r="C372" s="2" t="inlineStr">
        <is>
          <t>코스피</t>
        </is>
      </c>
      <c r="D372" s="2" t="inlineStr">
        <is>
          <t>051910</t>
        </is>
      </c>
      <c r="E372" s="3" t="inlineStr">
        <is>
          <t xml:space="preserve">연결재무제표기준영업(잠정)실적(공정공시)              </t>
        </is>
      </c>
      <c r="F372" s="3" t="inlineStr">
        <is>
          <t>LG화학</t>
        </is>
      </c>
      <c r="G372" s="2" t="inlineStr">
        <is>
          <t>20260129800610</t>
        </is>
      </c>
      <c r="H372" s="8">
        <f>HYPERLINK("https://dart.fss.or.kr/dsaf001/main.do?rcpNo=20260129800610", "공시열람")</f>
        <v/>
      </c>
    </row>
    <row r="373">
      <c r="A373" s="2" t="inlineStr">
        <is>
          <t>2026-01-29</t>
        </is>
      </c>
      <c r="B373" s="3" t="inlineStr">
        <is>
          <t>솔본</t>
        </is>
      </c>
      <c r="C373" s="2" t="inlineStr">
        <is>
          <t>코스닥</t>
        </is>
      </c>
      <c r="D373" s="2" t="inlineStr">
        <is>
          <t>035610</t>
        </is>
      </c>
      <c r="E373" s="3" t="inlineStr">
        <is>
          <t>임원ㆍ주요주주특정증권등소유상황보고서</t>
        </is>
      </c>
      <c r="F373" s="3" t="inlineStr">
        <is>
          <t>이혜숙</t>
        </is>
      </c>
      <c r="G373" s="2" t="inlineStr">
        <is>
          <t>20260129000544</t>
        </is>
      </c>
      <c r="H373" s="8">
        <f>HYPERLINK("https://dart.fss.or.kr/dsaf001/main.do?rcpNo=20260129000544", "공시열람")</f>
        <v/>
      </c>
    </row>
    <row r="374">
      <c r="A374" s="2" t="inlineStr">
        <is>
          <t>2026-01-29</t>
        </is>
      </c>
      <c r="B374" s="3" t="inlineStr">
        <is>
          <t>에스원</t>
        </is>
      </c>
      <c r="C374" s="2" t="inlineStr">
        <is>
          <t>코스피</t>
        </is>
      </c>
      <c r="D374" s="2" t="inlineStr">
        <is>
          <t>012750</t>
        </is>
      </c>
      <c r="E374" s="3" t="inlineStr">
        <is>
          <t xml:space="preserve">연결재무제표기준영업(잠정)실적(공정공시)              </t>
        </is>
      </c>
      <c r="F374" s="3" t="inlineStr">
        <is>
          <t>에스원</t>
        </is>
      </c>
      <c r="G374" s="2" t="inlineStr">
        <is>
          <t>20260129800601</t>
        </is>
      </c>
      <c r="H374" s="8">
        <f>HYPERLINK("https://dart.fss.or.kr/dsaf001/main.do?rcpNo=20260129800601", "공시열람")</f>
        <v/>
      </c>
    </row>
    <row r="375">
      <c r="A375" s="2" t="inlineStr">
        <is>
          <t>2026-01-29</t>
        </is>
      </c>
      <c r="B375" s="3" t="inlineStr">
        <is>
          <t>제이브이엠</t>
        </is>
      </c>
      <c r="C375" s="2" t="inlineStr">
        <is>
          <t>코스닥</t>
        </is>
      </c>
      <c r="D375" s="2" t="inlineStr">
        <is>
          <t>054950</t>
        </is>
      </c>
      <c r="E375" s="3" t="inlineStr">
        <is>
          <t>임원ㆍ주요주주특정증권등소유상황보고서</t>
        </is>
      </c>
      <c r="F375" s="3" t="inlineStr">
        <is>
          <t>김상욱</t>
        </is>
      </c>
      <c r="G375" s="2" t="inlineStr">
        <is>
          <t>20260129000543</t>
        </is>
      </c>
      <c r="H375" s="8">
        <f>HYPERLINK("https://dart.fss.or.kr/dsaf001/main.do?rcpNo=20260129000543", "공시열람")</f>
        <v/>
      </c>
    </row>
    <row r="376">
      <c r="A376" s="2" t="inlineStr">
        <is>
          <t>2026-01-29</t>
        </is>
      </c>
      <c r="B376" s="3" t="inlineStr">
        <is>
          <t>고려아연</t>
        </is>
      </c>
      <c r="C376" s="2" t="inlineStr">
        <is>
          <t>코스피</t>
        </is>
      </c>
      <c r="D376" s="2" t="inlineStr">
        <is>
          <t>010130</t>
        </is>
      </c>
      <c r="E376" s="3" t="inlineStr">
        <is>
          <t xml:space="preserve">풍문또는보도에대한해명(미확정)              </t>
        </is>
      </c>
      <c r="F376" s="3" t="inlineStr">
        <is>
          <t>고려아연</t>
        </is>
      </c>
      <c r="G376" s="2" t="inlineStr">
        <is>
          <t>20260129800612</t>
        </is>
      </c>
      <c r="H376" s="8">
        <f>HYPERLINK("https://dart.fss.or.kr/dsaf001/main.do?rcpNo=20260129800612", "공시열람")</f>
        <v/>
      </c>
    </row>
    <row r="377">
      <c r="A377" s="2" t="inlineStr">
        <is>
          <t>2026-01-29</t>
        </is>
      </c>
      <c r="B377" s="3" t="inlineStr">
        <is>
          <t>솔본</t>
        </is>
      </c>
      <c r="C377" s="2" t="inlineStr">
        <is>
          <t>코스닥</t>
        </is>
      </c>
      <c r="D377" s="2" t="inlineStr">
        <is>
          <t>035610</t>
        </is>
      </c>
      <c r="E377" s="3" t="inlineStr">
        <is>
          <t>임원ㆍ주요주주특정증권등소유상황보고서</t>
        </is>
      </c>
      <c r="F377" s="3" t="inlineStr">
        <is>
          <t>홍기태</t>
        </is>
      </c>
      <c r="G377" s="2" t="inlineStr">
        <is>
          <t>20260129000538</t>
        </is>
      </c>
      <c r="H377" s="8">
        <f>HYPERLINK("https://dart.fss.or.kr/dsaf001/main.do?rcpNo=20260129000538", "공시열람")</f>
        <v/>
      </c>
    </row>
    <row r="378">
      <c r="A378" s="2" t="inlineStr">
        <is>
          <t>2026-01-29</t>
        </is>
      </c>
      <c r="B378" s="3" t="inlineStr">
        <is>
          <t>대덕전자</t>
        </is>
      </c>
      <c r="C378" s="2" t="inlineStr">
        <is>
          <t>코스피</t>
        </is>
      </c>
      <c r="D378" s="2" t="inlineStr">
        <is>
          <t>353200</t>
        </is>
      </c>
      <c r="E378" s="3" t="inlineStr">
        <is>
          <t xml:space="preserve">연결재무제표기준영업(잠정)실적(공정공시)              </t>
        </is>
      </c>
      <c r="F378" s="3" t="inlineStr">
        <is>
          <t>대덕전자</t>
        </is>
      </c>
      <c r="G378" s="2" t="inlineStr">
        <is>
          <t>20260129800602</t>
        </is>
      </c>
      <c r="H378" s="8">
        <f>HYPERLINK("https://dart.fss.or.kr/dsaf001/main.do?rcpNo=20260129800602", "공시열람")</f>
        <v/>
      </c>
    </row>
    <row r="379">
      <c r="A379" s="2" t="inlineStr">
        <is>
          <t>2026-01-29</t>
        </is>
      </c>
      <c r="B379" s="3" t="inlineStr">
        <is>
          <t>대신증권</t>
        </is>
      </c>
      <c r="C379" s="2" t="inlineStr">
        <is>
          <t>코스피</t>
        </is>
      </c>
      <c r="D379" s="2" t="inlineStr">
        <is>
          <t>003540</t>
        </is>
      </c>
      <c r="E379" s="3" t="inlineStr">
        <is>
          <t>증권발행실적보고서</t>
        </is>
      </c>
      <c r="F379" s="3" t="inlineStr">
        <is>
          <t>대신증권</t>
        </is>
      </c>
      <c r="G379" s="2" t="inlineStr">
        <is>
          <t>20260129000535</t>
        </is>
      </c>
      <c r="H379" s="8">
        <f>HYPERLINK("https://dart.fss.or.kr/dsaf001/main.do?rcpNo=20260129000535", "공시열람")</f>
        <v/>
      </c>
    </row>
    <row r="380">
      <c r="A380" s="2" t="inlineStr">
        <is>
          <t>2026-01-29</t>
        </is>
      </c>
      <c r="B380" s="3" t="inlineStr">
        <is>
          <t>에스원</t>
        </is>
      </c>
      <c r="C380" s="2" t="inlineStr">
        <is>
          <t>코스피</t>
        </is>
      </c>
      <c r="D380" s="2" t="inlineStr">
        <is>
          <t>012750</t>
        </is>
      </c>
      <c r="E380" s="3" t="inlineStr">
        <is>
          <t xml:space="preserve">현금ㆍ현물배당결정              </t>
        </is>
      </c>
      <c r="F380" s="3" t="inlineStr">
        <is>
          <t>에스원</t>
        </is>
      </c>
      <c r="G380" s="2" t="inlineStr">
        <is>
          <t>20260129800609</t>
        </is>
      </c>
      <c r="H380" s="8">
        <f>HYPERLINK("https://dart.fss.or.kr/dsaf001/main.do?rcpNo=20260129800609", "공시열람")</f>
        <v/>
      </c>
    </row>
    <row r="381">
      <c r="A381" s="2" t="inlineStr">
        <is>
          <t>2026-01-29</t>
        </is>
      </c>
      <c r="B381" s="3" t="inlineStr">
        <is>
          <t>대신증권</t>
        </is>
      </c>
      <c r="C381" s="2" t="inlineStr">
        <is>
          <t>코스피</t>
        </is>
      </c>
      <c r="D381" s="2" t="inlineStr">
        <is>
          <t>003540</t>
        </is>
      </c>
      <c r="E381" s="3" t="inlineStr">
        <is>
          <t>투자설명서(일괄신고)</t>
        </is>
      </c>
      <c r="F381" s="3" t="inlineStr">
        <is>
          <t>대신증권</t>
        </is>
      </c>
      <c r="G381" s="2" t="inlineStr">
        <is>
          <t>20260129000532</t>
        </is>
      </c>
      <c r="H381" s="8">
        <f>HYPERLINK("https://dart.fss.or.kr/dsaf001/main.do?rcpNo=20260129000532", "공시열람")</f>
        <v/>
      </c>
    </row>
    <row r="382">
      <c r="A382" s="2" t="inlineStr">
        <is>
          <t>2026-01-29</t>
        </is>
      </c>
      <c r="B382" s="3" t="inlineStr">
        <is>
          <t>대신증권</t>
        </is>
      </c>
      <c r="C382" s="2" t="inlineStr">
        <is>
          <t>코스피</t>
        </is>
      </c>
      <c r="D382" s="2" t="inlineStr">
        <is>
          <t>003540</t>
        </is>
      </c>
      <c r="E382" s="3" t="inlineStr">
        <is>
          <t>투자설명서(일괄신고)</t>
        </is>
      </c>
      <c r="F382" s="3" t="inlineStr">
        <is>
          <t>대신증권</t>
        </is>
      </c>
      <c r="G382" s="2" t="inlineStr">
        <is>
          <t>20260129000529</t>
        </is>
      </c>
      <c r="H382" s="8">
        <f>HYPERLINK("https://dart.fss.or.kr/dsaf001/main.do?rcpNo=20260129000529", "공시열람")</f>
        <v/>
      </c>
    </row>
    <row r="383">
      <c r="A383" s="2" t="inlineStr">
        <is>
          <t>2026-01-29</t>
        </is>
      </c>
      <c r="B383" s="3" t="inlineStr">
        <is>
          <t>제이브이엠</t>
        </is>
      </c>
      <c r="C383" s="2" t="inlineStr">
        <is>
          <t>코스닥</t>
        </is>
      </c>
      <c r="D383" s="2" t="inlineStr">
        <is>
          <t>054950</t>
        </is>
      </c>
      <c r="E383" s="3" t="inlineStr">
        <is>
          <t xml:space="preserve">결산실적공시예고              </t>
        </is>
      </c>
      <c r="F383" s="3" t="inlineStr">
        <is>
          <t>제이브이엠</t>
        </is>
      </c>
      <c r="G383" s="2" t="inlineStr">
        <is>
          <t>20260129900599</t>
        </is>
      </c>
      <c r="H383" s="8">
        <f>HYPERLINK("https://dart.fss.or.kr/dsaf001/main.do?rcpNo=20260129900599", "공시열람")</f>
        <v/>
      </c>
    </row>
    <row r="384">
      <c r="A384" s="2" t="inlineStr">
        <is>
          <t>2026-01-29 (정정: 2026-01-29)</t>
        </is>
      </c>
      <c r="B384" s="3" t="inlineStr">
        <is>
          <t>핀텔</t>
        </is>
      </c>
      <c r="C384" s="2" t="inlineStr">
        <is>
          <t>코스닥</t>
        </is>
      </c>
      <c r="D384" s="2" t="inlineStr">
        <is>
          <t>291810</t>
        </is>
      </c>
      <c r="E384" s="3" t="inlineStr">
        <is>
          <t>[기재정정]주주명부폐쇄기간또는기준일설정               (정정: 20260129)</t>
        </is>
      </c>
      <c r="F384" s="3" t="inlineStr">
        <is>
          <t>핀텔</t>
        </is>
      </c>
      <c r="G384" s="2" t="inlineStr">
        <is>
          <t>20260129900567</t>
        </is>
      </c>
      <c r="H384" s="8">
        <f>HYPERLINK("https://dart.fss.or.kr/dsaf001/main.do?rcpNo=20260129900567", "공시열람")</f>
        <v/>
      </c>
    </row>
    <row r="385">
      <c r="A385" s="2" t="inlineStr">
        <is>
          <t>2026-01-29</t>
        </is>
      </c>
      <c r="B385" s="3" t="inlineStr">
        <is>
          <t>에스지헬스케어</t>
        </is>
      </c>
      <c r="C385" s="2" t="inlineStr">
        <is>
          <t>코스닥</t>
        </is>
      </c>
      <c r="D385" s="2" t="inlineStr">
        <is>
          <t>398120</t>
        </is>
      </c>
      <c r="E385" s="3" t="inlineStr">
        <is>
          <t>임원ㆍ주요주주특정증권등소유상황보고서</t>
        </is>
      </c>
      <c r="F385" s="3" t="inlineStr">
        <is>
          <t>박용선</t>
        </is>
      </c>
      <c r="G385" s="2" t="inlineStr">
        <is>
          <t>20260129000525</t>
        </is>
      </c>
      <c r="H385" s="8">
        <f>HYPERLINK("https://dart.fss.or.kr/dsaf001/main.do?rcpNo=20260129000525", "공시열람")</f>
        <v/>
      </c>
    </row>
    <row r="386">
      <c r="A386" s="2" t="inlineStr">
        <is>
          <t>2026-01-29</t>
        </is>
      </c>
      <c r="B386" s="3" t="inlineStr">
        <is>
          <t>삼성증권</t>
        </is>
      </c>
      <c r="C386" s="2" t="inlineStr">
        <is>
          <t>코스피</t>
        </is>
      </c>
      <c r="D386" s="2" t="inlineStr">
        <is>
          <t>016360</t>
        </is>
      </c>
      <c r="E386" s="3" t="inlineStr">
        <is>
          <t>증권발행실적보고서</t>
        </is>
      </c>
      <c r="F386" s="3" t="inlineStr">
        <is>
          <t>삼성증권</t>
        </is>
      </c>
      <c r="G386" s="2" t="inlineStr">
        <is>
          <t>20260129000524</t>
        </is>
      </c>
      <c r="H386" s="8">
        <f>HYPERLINK("https://dart.fss.or.kr/dsaf001/main.do?rcpNo=20260129000524", "공시열람")</f>
        <v/>
      </c>
    </row>
    <row r="387">
      <c r="A387" s="2" t="inlineStr">
        <is>
          <t>2026-01-29</t>
        </is>
      </c>
      <c r="B387" s="3" t="inlineStr">
        <is>
          <t>DB증권</t>
        </is>
      </c>
      <c r="C387" s="2" t="inlineStr">
        <is>
          <t>코스피</t>
        </is>
      </c>
      <c r="D387" s="2" t="inlineStr">
        <is>
          <t>016610</t>
        </is>
      </c>
      <c r="E387" s="3" t="inlineStr">
        <is>
          <t>일괄신고추가서류(기타파생결합사채)</t>
        </is>
      </c>
      <c r="F387" s="3" t="inlineStr">
        <is>
          <t>DB증권</t>
        </is>
      </c>
      <c r="G387" s="2" t="inlineStr">
        <is>
          <t>20260129000522</t>
        </is>
      </c>
      <c r="H387" s="8">
        <f>HYPERLINK("https://dart.fss.or.kr/dsaf001/main.do?rcpNo=20260129000522", "공시열람")</f>
        <v/>
      </c>
    </row>
    <row r="388">
      <c r="A388" s="2" t="inlineStr">
        <is>
          <t>2026-01-29</t>
        </is>
      </c>
      <c r="B388" s="3" t="inlineStr">
        <is>
          <t>신영증권</t>
        </is>
      </c>
      <c r="C388" s="2" t="inlineStr">
        <is>
          <t>코스피</t>
        </is>
      </c>
      <c r="D388" s="2" t="inlineStr">
        <is>
          <t>001720</t>
        </is>
      </c>
      <c r="E388" s="3" t="inlineStr">
        <is>
          <t>일괄신고추가서류(파생결합증권-주가연계증권)</t>
        </is>
      </c>
      <c r="F388" s="3" t="inlineStr">
        <is>
          <t>신영증권</t>
        </is>
      </c>
      <c r="G388" s="2" t="inlineStr">
        <is>
          <t>20260129000520</t>
        </is>
      </c>
      <c r="H388" s="8">
        <f>HYPERLINK("https://dart.fss.or.kr/dsaf001/main.do?rcpNo=20260129000520", "공시열람")</f>
        <v/>
      </c>
    </row>
    <row r="389">
      <c r="A389" s="2" t="inlineStr">
        <is>
          <t>2026-01-29</t>
        </is>
      </c>
      <c r="B389" s="3" t="inlineStr">
        <is>
          <t>인천도시가스</t>
        </is>
      </c>
      <c r="C389" s="2" t="inlineStr">
        <is>
          <t>코스피</t>
        </is>
      </c>
      <c r="D389" s="2" t="inlineStr">
        <is>
          <t>034590</t>
        </is>
      </c>
      <c r="E389" s="3" t="inlineStr">
        <is>
          <t xml:space="preserve">현금ㆍ현물배당결정              </t>
        </is>
      </c>
      <c r="F389" s="3" t="inlineStr">
        <is>
          <t>인천도시가스</t>
        </is>
      </c>
      <c r="G389" s="2" t="inlineStr">
        <is>
          <t>20260129800587</t>
        </is>
      </c>
      <c r="H389" s="8">
        <f>HYPERLINK("https://dart.fss.or.kr/dsaf001/main.do?rcpNo=20260129800587", "공시열람")</f>
        <v/>
      </c>
    </row>
    <row r="390">
      <c r="A390" s="2" t="inlineStr">
        <is>
          <t>2026-01-29</t>
        </is>
      </c>
      <c r="B390" s="3" t="inlineStr">
        <is>
          <t>한미약품</t>
        </is>
      </c>
      <c r="C390" s="2" t="inlineStr">
        <is>
          <t>코스피</t>
        </is>
      </c>
      <c r="D390" s="2" t="inlineStr">
        <is>
          <t>128940</t>
        </is>
      </c>
      <c r="E390" s="3" t="inlineStr">
        <is>
          <t>임원ㆍ주요주주특정증권등소유상황보고서</t>
        </is>
      </c>
      <c r="F390" s="3" t="inlineStr">
        <is>
          <t>최창주</t>
        </is>
      </c>
      <c r="G390" s="2" t="inlineStr">
        <is>
          <t>20260129000518</t>
        </is>
      </c>
      <c r="H390" s="8">
        <f>HYPERLINK("https://dart.fss.or.kr/dsaf001/main.do?rcpNo=20260129000518", "공시열람")</f>
        <v/>
      </c>
    </row>
    <row r="391">
      <c r="A391" s="2" t="inlineStr">
        <is>
          <t>2026-01-29</t>
        </is>
      </c>
      <c r="B391" s="3" t="inlineStr">
        <is>
          <t>인크레더블버즈</t>
        </is>
      </c>
      <c r="C391" s="2" t="inlineStr">
        <is>
          <t>코스닥</t>
        </is>
      </c>
      <c r="D391" s="2" t="inlineStr">
        <is>
          <t>064090</t>
        </is>
      </c>
      <c r="E391" s="3" t="inlineStr">
        <is>
          <t>임원ㆍ주요주주특정증권등거래계획보고서</t>
        </is>
      </c>
      <c r="F391" s="3" t="inlineStr">
        <is>
          <t>임신영</t>
        </is>
      </c>
      <c r="G391" s="2" t="inlineStr">
        <is>
          <t>20260129000517</t>
        </is>
      </c>
      <c r="H391" s="8">
        <f>HYPERLINK("https://dart.fss.or.kr/dsaf001/main.do?rcpNo=20260129000517", "공시열람")</f>
        <v/>
      </c>
    </row>
    <row r="392">
      <c r="A392" s="2" t="inlineStr">
        <is>
          <t>2026-01-29</t>
        </is>
      </c>
      <c r="B392" s="3" t="inlineStr">
        <is>
          <t>한미약품</t>
        </is>
      </c>
      <c r="C392" s="2" t="inlineStr">
        <is>
          <t>코스피</t>
        </is>
      </c>
      <c r="D392" s="2" t="inlineStr">
        <is>
          <t>128940</t>
        </is>
      </c>
      <c r="E392" s="3" t="inlineStr">
        <is>
          <t>임원ㆍ주요주주특정증권등소유상황보고서</t>
        </is>
      </c>
      <c r="F392" s="3" t="inlineStr">
        <is>
          <t>최진명</t>
        </is>
      </c>
      <c r="G392" s="2" t="inlineStr">
        <is>
          <t>20260129000513</t>
        </is>
      </c>
      <c r="H392" s="8">
        <f>HYPERLINK("https://dart.fss.or.kr/dsaf001/main.do?rcpNo=20260129000513", "공시열람")</f>
        <v/>
      </c>
    </row>
    <row r="393">
      <c r="A393" s="2" t="inlineStr">
        <is>
          <t>2026-01-29</t>
        </is>
      </c>
      <c r="B393" s="3" t="inlineStr">
        <is>
          <t>한미약품</t>
        </is>
      </c>
      <c r="C393" s="2" t="inlineStr">
        <is>
          <t>코스피</t>
        </is>
      </c>
      <c r="D393" s="2" t="inlineStr">
        <is>
          <t>128940</t>
        </is>
      </c>
      <c r="E393" s="3" t="inlineStr">
        <is>
          <t>임원ㆍ주요주주특정증권등소유상황보고서</t>
        </is>
      </c>
      <c r="F393" s="3" t="inlineStr">
        <is>
          <t>최인영</t>
        </is>
      </c>
      <c r="G393" s="2" t="inlineStr">
        <is>
          <t>20260129000511</t>
        </is>
      </c>
      <c r="H393" s="8">
        <f>HYPERLINK("https://dart.fss.or.kr/dsaf001/main.do?rcpNo=20260129000511", "공시열람")</f>
        <v/>
      </c>
    </row>
    <row r="394">
      <c r="A394" s="2" t="inlineStr">
        <is>
          <t>2026-01-29</t>
        </is>
      </c>
      <c r="B394" s="3" t="inlineStr">
        <is>
          <t>비비안</t>
        </is>
      </c>
      <c r="C394" s="2" t="inlineStr">
        <is>
          <t>코스피</t>
        </is>
      </c>
      <c r="D394" s="2" t="inlineStr">
        <is>
          <t>002070</t>
        </is>
      </c>
      <c r="E394" s="3" t="inlineStr">
        <is>
          <t xml:space="preserve">유상증자또는주식관련사채등의발행결과(자율공시)              </t>
        </is>
      </c>
      <c r="F394" s="3" t="inlineStr">
        <is>
          <t>비비안</t>
        </is>
      </c>
      <c r="G394" s="2" t="inlineStr">
        <is>
          <t>20260129800562</t>
        </is>
      </c>
      <c r="H394" s="8">
        <f>HYPERLINK("https://dart.fss.or.kr/dsaf001/main.do?rcpNo=20260129800562", "공시열람")</f>
        <v/>
      </c>
    </row>
    <row r="395">
      <c r="A395" s="2" t="inlineStr">
        <is>
          <t>2026-01-29</t>
        </is>
      </c>
      <c r="B395" s="3" t="inlineStr">
        <is>
          <t>한미약품</t>
        </is>
      </c>
      <c r="C395" s="2" t="inlineStr">
        <is>
          <t>코스피</t>
        </is>
      </c>
      <c r="D395" s="2" t="inlineStr">
        <is>
          <t>128940</t>
        </is>
      </c>
      <c r="E395" s="3" t="inlineStr">
        <is>
          <t>임원ㆍ주요주주특정증권등소유상황보고서</t>
        </is>
      </c>
      <c r="F395" s="3" t="inlineStr">
        <is>
          <t>정민도</t>
        </is>
      </c>
      <c r="G395" s="2" t="inlineStr">
        <is>
          <t>20260129000508</t>
        </is>
      </c>
      <c r="H395" s="8">
        <f>HYPERLINK("https://dart.fss.or.kr/dsaf001/main.do?rcpNo=20260129000508", "공시열람")</f>
        <v/>
      </c>
    </row>
    <row r="396">
      <c r="A396" s="2" t="inlineStr">
        <is>
          <t>2026-01-29</t>
        </is>
      </c>
      <c r="B396" s="3" t="inlineStr">
        <is>
          <t>한미약품</t>
        </is>
      </c>
      <c r="C396" s="2" t="inlineStr">
        <is>
          <t>코스피</t>
        </is>
      </c>
      <c r="D396" s="2" t="inlineStr">
        <is>
          <t>128940</t>
        </is>
      </c>
      <c r="E396" s="3" t="inlineStr">
        <is>
          <t>임원ㆍ주요주주특정증권등소유상황보고서</t>
        </is>
      </c>
      <c r="F396" s="3" t="inlineStr">
        <is>
          <t>전해민</t>
        </is>
      </c>
      <c r="G396" s="2" t="inlineStr">
        <is>
          <t>20260129000507</t>
        </is>
      </c>
      <c r="H396" s="8">
        <f>HYPERLINK("https://dart.fss.or.kr/dsaf001/main.do?rcpNo=20260129000507", "공시열람")</f>
        <v/>
      </c>
    </row>
    <row r="397">
      <c r="A397" s="2" t="inlineStr">
        <is>
          <t>2026-01-29</t>
        </is>
      </c>
      <c r="B397" s="3" t="inlineStr">
        <is>
          <t>대신증권</t>
        </is>
      </c>
      <c r="C397" s="2" t="inlineStr">
        <is>
          <t>코스피</t>
        </is>
      </c>
      <c r="D397" s="2" t="inlineStr">
        <is>
          <t>003540</t>
        </is>
      </c>
      <c r="E397" s="3" t="inlineStr">
        <is>
          <t>일괄신고추가서류(파생결합사채-주가연계파생결합사채)</t>
        </is>
      </c>
      <c r="F397" s="3" t="inlineStr">
        <is>
          <t>대신증권</t>
        </is>
      </c>
      <c r="G397" s="2" t="inlineStr">
        <is>
          <t>20260129000506</t>
        </is>
      </c>
      <c r="H397" s="8">
        <f>HYPERLINK("https://dart.fss.or.kr/dsaf001/main.do?rcpNo=20260129000506", "공시열람")</f>
        <v/>
      </c>
    </row>
    <row r="398">
      <c r="A398" s="2" t="inlineStr">
        <is>
          <t>2026-01-29</t>
        </is>
      </c>
      <c r="B398" s="3" t="inlineStr">
        <is>
          <t>보해양조</t>
        </is>
      </c>
      <c r="C398" s="2" t="inlineStr">
        <is>
          <t>코스피</t>
        </is>
      </c>
      <c r="D398" s="2" t="inlineStr">
        <is>
          <t>000890</t>
        </is>
      </c>
      <c r="E398" s="3" t="inlineStr">
        <is>
          <t>자기주식취득결과보고서</t>
        </is>
      </c>
      <c r="F398" s="3" t="inlineStr">
        <is>
          <t>보해양조</t>
        </is>
      </c>
      <c r="G398" s="2" t="inlineStr">
        <is>
          <t>20260129000505</t>
        </is>
      </c>
      <c r="H398" s="8">
        <f>HYPERLINK("https://dart.fss.or.kr/dsaf001/main.do?rcpNo=20260129000505", "공시열람")</f>
        <v/>
      </c>
    </row>
    <row r="399">
      <c r="A399" s="2" t="inlineStr">
        <is>
          <t>2026-01-29</t>
        </is>
      </c>
      <c r="B399" s="3" t="inlineStr">
        <is>
          <t>흥아해운</t>
        </is>
      </c>
      <c r="C399" s="2" t="inlineStr">
        <is>
          <t>코스피</t>
        </is>
      </c>
      <c r="D399" s="2" t="inlineStr">
        <is>
          <t>003280</t>
        </is>
      </c>
      <c r="E399" s="3" t="inlineStr">
        <is>
          <t xml:space="preserve">매출액또는손익구조30%(대규모법인은15%)이상변경              </t>
        </is>
      </c>
      <c r="F399" s="3" t="inlineStr">
        <is>
          <t>흥아해운</t>
        </is>
      </c>
      <c r="G399" s="2" t="inlineStr">
        <is>
          <t>20260129800563</t>
        </is>
      </c>
      <c r="H399" s="8">
        <f>HYPERLINK("https://dart.fss.or.kr/dsaf001/main.do?rcpNo=20260129800563", "공시열람")</f>
        <v/>
      </c>
    </row>
    <row r="400">
      <c r="A400" s="2" t="inlineStr">
        <is>
          <t>2026-01-29</t>
        </is>
      </c>
      <c r="B400" s="3" t="inlineStr">
        <is>
          <t>코이즈</t>
        </is>
      </c>
      <c r="C400" s="2" t="inlineStr">
        <is>
          <t>코스닥</t>
        </is>
      </c>
      <c r="D400" s="2" t="inlineStr">
        <is>
          <t>121850</t>
        </is>
      </c>
      <c r="E400" s="3" t="inlineStr">
        <is>
          <t>증권발행실적보고서</t>
        </is>
      </c>
      <c r="F400" s="3" t="inlineStr">
        <is>
          <t>코이즈</t>
        </is>
      </c>
      <c r="G400" s="2" t="inlineStr">
        <is>
          <t>20260129000503</t>
        </is>
      </c>
      <c r="H400" s="8">
        <f>HYPERLINK("https://dart.fss.or.kr/dsaf001/main.do?rcpNo=20260129000503", "공시열람")</f>
        <v/>
      </c>
    </row>
    <row r="401">
      <c r="A401" s="2" t="inlineStr">
        <is>
          <t>2026-01-29</t>
        </is>
      </c>
      <c r="B401" s="3" t="inlineStr">
        <is>
          <t>대신증권</t>
        </is>
      </c>
      <c r="C401" s="2" t="inlineStr">
        <is>
          <t>코스피</t>
        </is>
      </c>
      <c r="D401" s="2" t="inlineStr">
        <is>
          <t>003540</t>
        </is>
      </c>
      <c r="E401" s="3" t="inlineStr">
        <is>
          <t>일괄신고추가서류(기타파생결합사채)</t>
        </is>
      </c>
      <c r="F401" s="3" t="inlineStr">
        <is>
          <t>대신증권</t>
        </is>
      </c>
      <c r="G401" s="2" t="inlineStr">
        <is>
          <t>20260129000502</t>
        </is>
      </c>
      <c r="H401" s="8">
        <f>HYPERLINK("https://dart.fss.or.kr/dsaf001/main.do?rcpNo=20260129000502", "공시열람")</f>
        <v/>
      </c>
    </row>
    <row r="402">
      <c r="A402" s="2" t="inlineStr">
        <is>
          <t>2026-01-29</t>
        </is>
      </c>
      <c r="B402" s="3" t="inlineStr">
        <is>
          <t>한미약품</t>
        </is>
      </c>
      <c r="C402" s="2" t="inlineStr">
        <is>
          <t>코스피</t>
        </is>
      </c>
      <c r="D402" s="2" t="inlineStr">
        <is>
          <t>128940</t>
        </is>
      </c>
      <c r="E402" s="3" t="inlineStr">
        <is>
          <t>임원ㆍ주요주주특정증권등소유상황보고서</t>
        </is>
      </c>
      <c r="F402" s="3" t="inlineStr">
        <is>
          <t>임호택</t>
        </is>
      </c>
      <c r="G402" s="2" t="inlineStr">
        <is>
          <t>20260129000501</t>
        </is>
      </c>
      <c r="H402" s="8">
        <f>HYPERLINK("https://dart.fss.or.kr/dsaf001/main.do?rcpNo=20260129000501", "공시열람")</f>
        <v/>
      </c>
    </row>
    <row r="403">
      <c r="A403" s="2" t="inlineStr">
        <is>
          <t>2026-01-29</t>
        </is>
      </c>
      <c r="B403" s="3" t="inlineStr">
        <is>
          <t>한미약품</t>
        </is>
      </c>
      <c r="C403" s="2" t="inlineStr">
        <is>
          <t>코스피</t>
        </is>
      </c>
      <c r="D403" s="2" t="inlineStr">
        <is>
          <t>128940</t>
        </is>
      </c>
      <c r="E403" s="3" t="inlineStr">
        <is>
          <t>임원ㆍ주요주주특정증권등소유상황보고서</t>
        </is>
      </c>
      <c r="F403" s="3" t="inlineStr">
        <is>
          <t>이정훈</t>
        </is>
      </c>
      <c r="G403" s="2" t="inlineStr">
        <is>
          <t>20260129000499</t>
        </is>
      </c>
      <c r="H403" s="8">
        <f>HYPERLINK("https://dart.fss.or.kr/dsaf001/main.do?rcpNo=20260129000499", "공시열람")</f>
        <v/>
      </c>
    </row>
    <row r="404">
      <c r="A404" s="2" t="inlineStr">
        <is>
          <t>2026-01-29</t>
        </is>
      </c>
      <c r="B404" s="3" t="inlineStr">
        <is>
          <t>키움증권</t>
        </is>
      </c>
      <c r="C404" s="2" t="inlineStr">
        <is>
          <t>코스피</t>
        </is>
      </c>
      <c r="D404" s="2" t="inlineStr">
        <is>
          <t>039490</t>
        </is>
      </c>
      <c r="E404" s="3" t="inlineStr">
        <is>
          <t>일괄신고추가서류(파생결합사채-주가연계파생결합사채)</t>
        </is>
      </c>
      <c r="F404" s="3" t="inlineStr">
        <is>
          <t>키움증권</t>
        </is>
      </c>
      <c r="G404" s="2" t="inlineStr">
        <is>
          <t>20260129000498</t>
        </is>
      </c>
      <c r="H404" s="8">
        <f>HYPERLINK("https://dart.fss.or.kr/dsaf001/main.do?rcpNo=20260129000498", "공시열람")</f>
        <v/>
      </c>
    </row>
    <row r="405">
      <c r="A405" s="2" t="inlineStr">
        <is>
          <t>2026-01-29</t>
        </is>
      </c>
      <c r="B405" s="3" t="inlineStr">
        <is>
          <t>DKME</t>
        </is>
      </c>
      <c r="C405" s="2" t="inlineStr">
        <is>
          <t>코스피</t>
        </is>
      </c>
      <c r="D405" s="2" t="inlineStr">
        <is>
          <t>015590</t>
        </is>
      </c>
      <c r="E405" s="3" t="inlineStr">
        <is>
          <t xml:space="preserve">소송등의판결ㆍ결정              </t>
        </is>
      </c>
      <c r="F405" s="3" t="inlineStr">
        <is>
          <t>DKME</t>
        </is>
      </c>
      <c r="G405" s="2" t="inlineStr">
        <is>
          <t>20260129800539</t>
        </is>
      </c>
      <c r="H405" s="8">
        <f>HYPERLINK("https://dart.fss.or.kr/dsaf001/main.do?rcpNo=20260129800539", "공시열람")</f>
        <v/>
      </c>
    </row>
    <row r="406">
      <c r="A406" s="2" t="inlineStr">
        <is>
          <t>2026-01-29</t>
        </is>
      </c>
      <c r="B406" s="3" t="inlineStr">
        <is>
          <t>한미약품</t>
        </is>
      </c>
      <c r="C406" s="2" t="inlineStr">
        <is>
          <t>코스피</t>
        </is>
      </c>
      <c r="D406" s="2" t="inlineStr">
        <is>
          <t>128940</t>
        </is>
      </c>
      <c r="E406" s="3" t="inlineStr">
        <is>
          <t>임원ㆍ주요주주특정증권등소유상황보고서</t>
        </is>
      </c>
      <c r="F406" s="3" t="inlineStr">
        <is>
          <t>이원택</t>
        </is>
      </c>
      <c r="G406" s="2" t="inlineStr">
        <is>
          <t>20260129000495</t>
        </is>
      </c>
      <c r="H406" s="8">
        <f>HYPERLINK("https://dart.fss.or.kr/dsaf001/main.do?rcpNo=20260129000495", "공시열람")</f>
        <v/>
      </c>
    </row>
    <row r="407">
      <c r="A407" s="2" t="inlineStr">
        <is>
          <t>2026-01-29 (정정: 2026-01-29)</t>
        </is>
      </c>
      <c r="B407" s="3" t="inlineStr">
        <is>
          <t>제이케이시냅스</t>
        </is>
      </c>
      <c r="C407" s="2" t="inlineStr">
        <is>
          <t>코스닥</t>
        </is>
      </c>
      <c r="D407" s="2" t="inlineStr">
        <is>
          <t>060230</t>
        </is>
      </c>
      <c r="E407" s="3" t="inlineStr">
        <is>
          <t>소액공모실적보고서 (정정: 20260129)</t>
        </is>
      </c>
      <c r="F407" s="3" t="inlineStr">
        <is>
          <t>제이케이시냅스</t>
        </is>
      </c>
      <c r="G407" s="2" t="inlineStr">
        <is>
          <t>20260129000249</t>
        </is>
      </c>
      <c r="H407" s="8">
        <f>HYPERLINK("https://dart.fss.or.kr/dsaf001/main.do?rcpNo=20260129000249", "공시열람")</f>
        <v/>
      </c>
    </row>
    <row r="408">
      <c r="A408" s="2" t="inlineStr">
        <is>
          <t>2026-01-29 (정정: 2026-02-02)</t>
        </is>
      </c>
      <c r="B408" s="3" t="inlineStr">
        <is>
          <t>코이즈</t>
        </is>
      </c>
      <c r="C408" s="2" t="inlineStr">
        <is>
          <t>코스닥</t>
        </is>
      </c>
      <c r="D408" s="2" t="inlineStr">
        <is>
          <t>121850</t>
        </is>
      </c>
      <c r="E408" s="3" t="inlineStr">
        <is>
          <t>증권발행결과(자율공시)               (정정: 20260202)</t>
        </is>
      </c>
      <c r="F408" s="3" t="inlineStr">
        <is>
          <t>코이즈</t>
        </is>
      </c>
      <c r="G408" s="2" t="inlineStr">
        <is>
          <t>20260202001225</t>
        </is>
      </c>
      <c r="H408" s="8">
        <f>HYPERLINK("https://dart.fss.or.kr/dsaf001/main.do?rcpNo=20260202001225", "공시열람")</f>
        <v/>
      </c>
    </row>
    <row r="409">
      <c r="A409" s="2" t="inlineStr">
        <is>
          <t>2026-01-29 (정정: 2026-01-29)</t>
        </is>
      </c>
      <c r="B409" s="3" t="inlineStr">
        <is>
          <t>큐라클</t>
        </is>
      </c>
      <c r="C409" s="2" t="inlineStr">
        <is>
          <t>코스닥</t>
        </is>
      </c>
      <c r="D409" s="2" t="inlineStr">
        <is>
          <t>365270</t>
        </is>
      </c>
      <c r="E409" s="3" t="inlineStr">
        <is>
          <t>주식매수선택권부여에관한신고 (정정: 20260129)</t>
        </is>
      </c>
      <c r="F409" s="3" t="inlineStr">
        <is>
          <t>큐라클</t>
        </is>
      </c>
      <c r="G409" s="2" t="inlineStr">
        <is>
          <t>20260129000274</t>
        </is>
      </c>
      <c r="H409" s="8">
        <f>HYPERLINK("https://dart.fss.or.kr/dsaf001/main.do?rcpNo=20260129000274", "공시열람")</f>
        <v/>
      </c>
    </row>
    <row r="410">
      <c r="A410" s="2" t="inlineStr">
        <is>
          <t>2026-01-29</t>
        </is>
      </c>
      <c r="B410" s="3" t="inlineStr">
        <is>
          <t>한미약품</t>
        </is>
      </c>
      <c r="C410" s="2" t="inlineStr">
        <is>
          <t>코스피</t>
        </is>
      </c>
      <c r="D410" s="2" t="inlineStr">
        <is>
          <t>128940</t>
        </is>
      </c>
      <c r="E410" s="3" t="inlineStr">
        <is>
          <t>임원ㆍ주요주주특정증권등소유상황보고서</t>
        </is>
      </c>
      <c r="F410" s="3" t="inlineStr">
        <is>
          <t>이상현</t>
        </is>
      </c>
      <c r="G410" s="2" t="inlineStr">
        <is>
          <t>20260129000491</t>
        </is>
      </c>
      <c r="H410" s="8">
        <f>HYPERLINK("https://dart.fss.or.kr/dsaf001/main.do?rcpNo=20260129000491", "공시열람")</f>
        <v/>
      </c>
    </row>
    <row r="411">
      <c r="A411" s="2" t="inlineStr">
        <is>
          <t>2026-01-29</t>
        </is>
      </c>
      <c r="B411" s="3" t="inlineStr">
        <is>
          <t>키움증권</t>
        </is>
      </c>
      <c r="C411" s="2" t="inlineStr">
        <is>
          <t>코스피</t>
        </is>
      </c>
      <c r="D411" s="2" t="inlineStr">
        <is>
          <t>039490</t>
        </is>
      </c>
      <c r="E411" s="3" t="inlineStr">
        <is>
          <t>투자설명서(일괄신고)</t>
        </is>
      </c>
      <c r="F411" s="3" t="inlineStr">
        <is>
          <t>키움증권</t>
        </is>
      </c>
      <c r="G411" s="2" t="inlineStr">
        <is>
          <t>20260129000490</t>
        </is>
      </c>
      <c r="H411" s="8">
        <f>HYPERLINK("https://dart.fss.or.kr/dsaf001/main.do?rcpNo=20260129000490", "공시열람")</f>
        <v/>
      </c>
    </row>
    <row r="412">
      <c r="A412" s="2" t="inlineStr">
        <is>
          <t>2026-01-29</t>
        </is>
      </c>
      <c r="B412" s="3" t="inlineStr">
        <is>
          <t>에스에스알</t>
        </is>
      </c>
      <c r="C412" s="2" t="inlineStr">
        <is>
          <t>코스닥</t>
        </is>
      </c>
      <c r="D412" s="2" t="inlineStr">
        <is>
          <t>275630</t>
        </is>
      </c>
      <c r="E412" s="3" t="inlineStr">
        <is>
          <t xml:space="preserve">매출액또는손익구조30%(대규모법인은15%)이상변동              </t>
        </is>
      </c>
      <c r="F412" s="3" t="inlineStr">
        <is>
          <t>에스에스알</t>
        </is>
      </c>
      <c r="G412" s="2" t="inlineStr">
        <is>
          <t>20260129900536</t>
        </is>
      </c>
      <c r="H412" s="8">
        <f>HYPERLINK("https://dart.fss.or.kr/dsaf001/main.do?rcpNo=20260129900536", "공시열람")</f>
        <v/>
      </c>
    </row>
    <row r="413">
      <c r="A413" s="2" t="inlineStr">
        <is>
          <t>2026-01-29</t>
        </is>
      </c>
      <c r="B413" s="3" t="inlineStr">
        <is>
          <t>한미약품</t>
        </is>
      </c>
      <c r="C413" s="2" t="inlineStr">
        <is>
          <t>코스피</t>
        </is>
      </c>
      <c r="D413" s="2" t="inlineStr">
        <is>
          <t>128940</t>
        </is>
      </c>
      <c r="E413" s="3" t="inlineStr">
        <is>
          <t>임원ㆍ주요주주특정증권등소유상황보고서</t>
        </is>
      </c>
      <c r="F413" s="3" t="inlineStr">
        <is>
          <t>이문희</t>
        </is>
      </c>
      <c r="G413" s="2" t="inlineStr">
        <is>
          <t>20260129000487</t>
        </is>
      </c>
      <c r="H413" s="8">
        <f>HYPERLINK("https://dart.fss.or.kr/dsaf001/main.do?rcpNo=20260129000487", "공시열람")</f>
        <v/>
      </c>
    </row>
    <row r="414">
      <c r="A414" s="2" t="inlineStr">
        <is>
          <t>2026-01-29</t>
        </is>
      </c>
      <c r="B414" s="3" t="inlineStr">
        <is>
          <t>링네트</t>
        </is>
      </c>
      <c r="C414" s="2" t="inlineStr">
        <is>
          <t>코스닥</t>
        </is>
      </c>
      <c r="D414" s="2" t="inlineStr">
        <is>
          <t>042500</t>
        </is>
      </c>
      <c r="E414" s="3" t="inlineStr">
        <is>
          <t>주요사항보고서(자기주식처분결정)</t>
        </is>
      </c>
      <c r="F414" s="3" t="inlineStr">
        <is>
          <t>링네트</t>
        </is>
      </c>
      <c r="G414" s="2" t="inlineStr">
        <is>
          <t>20260129000413</t>
        </is>
      </c>
      <c r="H414" s="8">
        <f>HYPERLINK("https://dart.fss.or.kr/dsaf001/main.do?rcpNo=20260129000413", "공시열람")</f>
        <v/>
      </c>
    </row>
    <row r="415">
      <c r="A415" s="2" t="inlineStr">
        <is>
          <t>2026-01-29</t>
        </is>
      </c>
      <c r="B415" s="3" t="inlineStr">
        <is>
          <t>키움증권</t>
        </is>
      </c>
      <c r="C415" s="2" t="inlineStr">
        <is>
          <t>코스피</t>
        </is>
      </c>
      <c r="D415" s="2" t="inlineStr">
        <is>
          <t>039490</t>
        </is>
      </c>
      <c r="E415" s="3" t="inlineStr">
        <is>
          <t>투자설명서(일괄신고)</t>
        </is>
      </c>
      <c r="F415" s="3" t="inlineStr">
        <is>
          <t>키움증권</t>
        </is>
      </c>
      <c r="G415" s="2" t="inlineStr">
        <is>
          <t>20260129000484</t>
        </is>
      </c>
      <c r="H415" s="8">
        <f>HYPERLINK("https://dart.fss.or.kr/dsaf001/main.do?rcpNo=20260129000484", "공시열람")</f>
        <v/>
      </c>
    </row>
    <row r="416">
      <c r="A416" s="2" t="inlineStr">
        <is>
          <t>2026-01-29</t>
        </is>
      </c>
      <c r="B416" s="3" t="inlineStr">
        <is>
          <t>교보증권</t>
        </is>
      </c>
      <c r="C416" s="2" t="inlineStr">
        <is>
          <t>코스피</t>
        </is>
      </c>
      <c r="D416" s="2" t="inlineStr">
        <is>
          <t>030610</t>
        </is>
      </c>
      <c r="E416" s="3" t="inlineStr">
        <is>
          <t>투자설명서(일괄신고)</t>
        </is>
      </c>
      <c r="F416" s="3" t="inlineStr">
        <is>
          <t>교보증권</t>
        </is>
      </c>
      <c r="G416" s="2" t="inlineStr">
        <is>
          <t>20260129000483</t>
        </is>
      </c>
      <c r="H416" s="8">
        <f>HYPERLINK("https://dart.fss.or.kr/dsaf001/main.do?rcpNo=20260129000483", "공시열람")</f>
        <v/>
      </c>
    </row>
    <row r="417">
      <c r="A417" s="2" t="inlineStr">
        <is>
          <t>2026-01-29</t>
        </is>
      </c>
      <c r="B417" s="3" t="inlineStr">
        <is>
          <t>한미약품</t>
        </is>
      </c>
      <c r="C417" s="2" t="inlineStr">
        <is>
          <t>코스피</t>
        </is>
      </c>
      <c r="D417" s="2" t="inlineStr">
        <is>
          <t>128940</t>
        </is>
      </c>
      <c r="E417" s="3" t="inlineStr">
        <is>
          <t>임원ㆍ주요주주특정증권등소유상황보고서</t>
        </is>
      </c>
      <c r="F417" s="3" t="inlineStr">
        <is>
          <t>이동한</t>
        </is>
      </c>
      <c r="G417" s="2" t="inlineStr">
        <is>
          <t>20260129000482</t>
        </is>
      </c>
      <c r="H417" s="8">
        <f>HYPERLINK("https://dart.fss.or.kr/dsaf001/main.do?rcpNo=20260129000482", "공시열람")</f>
        <v/>
      </c>
    </row>
    <row r="418">
      <c r="A418" s="2" t="inlineStr">
        <is>
          <t>2026-01-29</t>
        </is>
      </c>
      <c r="B418" s="3" t="inlineStr">
        <is>
          <t>한미약품</t>
        </is>
      </c>
      <c r="C418" s="2" t="inlineStr">
        <is>
          <t>코스피</t>
        </is>
      </c>
      <c r="D418" s="2" t="inlineStr">
        <is>
          <t>128940</t>
        </is>
      </c>
      <c r="E418" s="3" t="inlineStr">
        <is>
          <t>임원ㆍ주요주주특정증권등소유상황보고서</t>
        </is>
      </c>
      <c r="F418" s="3" t="inlineStr">
        <is>
          <t>안영길</t>
        </is>
      </c>
      <c r="G418" s="2" t="inlineStr">
        <is>
          <t>20260129000479</t>
        </is>
      </c>
      <c r="H418" s="8">
        <f>HYPERLINK("https://dart.fss.or.kr/dsaf001/main.do?rcpNo=20260129000479", "공시열람")</f>
        <v/>
      </c>
    </row>
    <row r="419">
      <c r="A419" s="2" t="inlineStr">
        <is>
          <t>2026-01-29</t>
        </is>
      </c>
      <c r="B419" s="3" t="inlineStr">
        <is>
          <t>키움증권</t>
        </is>
      </c>
      <c r="C419" s="2" t="inlineStr">
        <is>
          <t>코스피</t>
        </is>
      </c>
      <c r="D419" s="2" t="inlineStr">
        <is>
          <t>039490</t>
        </is>
      </c>
      <c r="E419" s="3" t="inlineStr">
        <is>
          <t>증권발행실적보고서</t>
        </is>
      </c>
      <c r="F419" s="3" t="inlineStr">
        <is>
          <t>키움증권</t>
        </is>
      </c>
      <c r="G419" s="2" t="inlineStr">
        <is>
          <t>20260129000478</t>
        </is>
      </c>
      <c r="H419" s="8">
        <f>HYPERLINK("https://dart.fss.or.kr/dsaf001/main.do?rcpNo=20260129000478", "공시열람")</f>
        <v/>
      </c>
    </row>
    <row r="420">
      <c r="A420" s="2" t="inlineStr">
        <is>
          <t>2026-01-29</t>
        </is>
      </c>
      <c r="B420" s="3" t="inlineStr">
        <is>
          <t>미래나노텍</t>
        </is>
      </c>
      <c r="C420" s="2" t="inlineStr">
        <is>
          <t>코스닥</t>
        </is>
      </c>
      <c r="D420" s="2" t="inlineStr">
        <is>
          <t>095500</t>
        </is>
      </c>
      <c r="E420" s="3" t="inlineStr">
        <is>
          <t>주요사항보고서(자기주식처분결정)</t>
        </is>
      </c>
      <c r="F420" s="3" t="inlineStr">
        <is>
          <t>미래나노텍</t>
        </is>
      </c>
      <c r="G420" s="2" t="inlineStr">
        <is>
          <t>20260129000379</t>
        </is>
      </c>
      <c r="H420" s="8">
        <f>HYPERLINK("https://dart.fss.or.kr/dsaf001/main.do?rcpNo=20260129000379", "공시열람")</f>
        <v/>
      </c>
    </row>
    <row r="421">
      <c r="A421" s="2" t="inlineStr">
        <is>
          <t>2026-01-29</t>
        </is>
      </c>
      <c r="B421" s="3" t="inlineStr">
        <is>
          <t>윌비스</t>
        </is>
      </c>
      <c r="C421" s="2" t="inlineStr">
        <is>
          <t>코스피</t>
        </is>
      </c>
      <c r="D421" s="2" t="inlineStr">
        <is>
          <t>008600</t>
        </is>
      </c>
      <c r="E421" s="3" t="inlineStr">
        <is>
          <t>사외이사의선임ㆍ해임또는중도퇴임에관한신고</t>
        </is>
      </c>
      <c r="F421" s="3" t="inlineStr">
        <is>
          <t>윌비스</t>
        </is>
      </c>
      <c r="G421" s="2" t="inlineStr">
        <is>
          <t>20260129000477</t>
        </is>
      </c>
      <c r="H421" s="8">
        <f>HYPERLINK("https://dart.fss.or.kr/dsaf001/main.do?rcpNo=20260129000477", "공시열람")</f>
        <v/>
      </c>
    </row>
    <row r="422">
      <c r="A422" s="2" t="inlineStr">
        <is>
          <t>2026-01-29</t>
        </is>
      </c>
      <c r="B422" s="3" t="inlineStr">
        <is>
          <t>한미약품</t>
        </is>
      </c>
      <c r="C422" s="2" t="inlineStr">
        <is>
          <t>코스피</t>
        </is>
      </c>
      <c r="D422" s="2" t="inlineStr">
        <is>
          <t>128940</t>
        </is>
      </c>
      <c r="E422" s="3" t="inlineStr">
        <is>
          <t>임원ㆍ주요주주특정증권등소유상황보고서</t>
        </is>
      </c>
      <c r="F422" s="3" t="inlineStr">
        <is>
          <t>신해곤</t>
        </is>
      </c>
      <c r="G422" s="2" t="inlineStr">
        <is>
          <t>20260129000476</t>
        </is>
      </c>
      <c r="H422" s="8">
        <f>HYPERLINK("https://dart.fss.or.kr/dsaf001/main.do?rcpNo=20260129000476", "공시열람")</f>
        <v/>
      </c>
    </row>
    <row r="423">
      <c r="A423" s="2" t="inlineStr">
        <is>
          <t>2026-01-29</t>
        </is>
      </c>
      <c r="B423" s="3" t="inlineStr">
        <is>
          <t>바이오인프라</t>
        </is>
      </c>
      <c r="C423" s="2" t="inlineStr">
        <is>
          <t>코스닥</t>
        </is>
      </c>
      <c r="D423" s="2" t="inlineStr">
        <is>
          <t>199730</t>
        </is>
      </c>
      <c r="E423" s="3" t="inlineStr">
        <is>
          <t xml:space="preserve">매출액또는손익구조30%(대규모법인은15%)이상변동              </t>
        </is>
      </c>
      <c r="F423" s="3" t="inlineStr">
        <is>
          <t>바이오인프라</t>
        </is>
      </c>
      <c r="G423" s="2" t="inlineStr">
        <is>
          <t>20260129900480</t>
        </is>
      </c>
      <c r="H423" s="8">
        <f>HYPERLINK("https://dart.fss.or.kr/dsaf001/main.do?rcpNo=20260129900480", "공시열람")</f>
        <v/>
      </c>
    </row>
    <row r="424">
      <c r="A424" s="2" t="inlineStr">
        <is>
          <t>2026-01-29</t>
        </is>
      </c>
      <c r="B424" s="3" t="inlineStr">
        <is>
          <t>한미약품</t>
        </is>
      </c>
      <c r="C424" s="2" t="inlineStr">
        <is>
          <t>코스피</t>
        </is>
      </c>
      <c r="D424" s="2" t="inlineStr">
        <is>
          <t>128940</t>
        </is>
      </c>
      <c r="E424" s="3" t="inlineStr">
        <is>
          <t>임원ㆍ주요주주특정증권등소유상황보고서</t>
        </is>
      </c>
      <c r="F424" s="3" t="inlineStr">
        <is>
          <t>신성재</t>
        </is>
      </c>
      <c r="G424" s="2" t="inlineStr">
        <is>
          <t>20260129000474</t>
        </is>
      </c>
      <c r="H424" s="8">
        <f>HYPERLINK("https://dart.fss.or.kr/dsaf001/main.do?rcpNo=20260129000474", "공시열람")</f>
        <v/>
      </c>
    </row>
    <row r="425">
      <c r="A425" s="2" t="inlineStr">
        <is>
          <t>2026-01-29 (정정: 2026-03-10)</t>
        </is>
      </c>
      <c r="B425" s="3" t="inlineStr">
        <is>
          <t>대상홀딩스</t>
        </is>
      </c>
      <c r="C425" s="2" t="inlineStr">
        <is>
          <t>코스피</t>
        </is>
      </c>
      <c r="D425" s="2" t="inlineStr">
        <is>
          <t>084690</t>
        </is>
      </c>
      <c r="E425" s="3" t="inlineStr">
        <is>
          <t>매출액또는손익구조30%(대규모법인은15%)이상변경(자회사의 주요경영사항)               (정정: 20260310)</t>
        </is>
      </c>
      <c r="F425" s="3" t="inlineStr">
        <is>
          <t>대상홀딩스</t>
        </is>
      </c>
      <c r="G425" s="2" t="inlineStr">
        <is>
          <t>20260310002616</t>
        </is>
      </c>
      <c r="H425" s="8">
        <f>HYPERLINK("https://dart.fss.or.kr/dsaf001/main.do?rcpNo=20260310002616", "공시열람")</f>
        <v/>
      </c>
    </row>
    <row r="426">
      <c r="A426" s="2" t="inlineStr">
        <is>
          <t>2026-01-29</t>
        </is>
      </c>
      <c r="B426" s="3" t="inlineStr">
        <is>
          <t>한미약품</t>
        </is>
      </c>
      <c r="C426" s="2" t="inlineStr">
        <is>
          <t>코스피</t>
        </is>
      </c>
      <c r="D426" s="2" t="inlineStr">
        <is>
          <t>128940</t>
        </is>
      </c>
      <c r="E426" s="3" t="inlineStr">
        <is>
          <t>임원ㆍ주요주주특정증권등소유상황보고서</t>
        </is>
      </c>
      <c r="F426" s="3" t="inlineStr">
        <is>
          <t>손진모</t>
        </is>
      </c>
      <c r="G426" s="2" t="inlineStr">
        <is>
          <t>20260129000470</t>
        </is>
      </c>
      <c r="H426" s="8">
        <f>HYPERLINK("https://dart.fss.or.kr/dsaf001/main.do?rcpNo=20260129000470", "공시열람")</f>
        <v/>
      </c>
    </row>
    <row r="427">
      <c r="A427" s="2" t="inlineStr">
        <is>
          <t>2026-01-29</t>
        </is>
      </c>
      <c r="B427" s="3" t="inlineStr">
        <is>
          <t>티쓰리</t>
        </is>
      </c>
      <c r="C427" s="2" t="inlineStr">
        <is>
          <t>코스닥</t>
        </is>
      </c>
      <c r="D427" s="2" t="inlineStr">
        <is>
          <t>204610</t>
        </is>
      </c>
      <c r="E427" s="3" t="inlineStr">
        <is>
          <t>임원ㆍ주요주주특정증권등소유상황보고서</t>
        </is>
      </c>
      <c r="F427" s="3" t="inlineStr">
        <is>
          <t>홍민균</t>
        </is>
      </c>
      <c r="G427" s="2" t="inlineStr">
        <is>
          <t>20260129000469</t>
        </is>
      </c>
      <c r="H427" s="8">
        <f>HYPERLINK("https://dart.fss.or.kr/dsaf001/main.do?rcpNo=20260129000469", "공시열람")</f>
        <v/>
      </c>
    </row>
    <row r="428">
      <c r="A428" s="2" t="inlineStr">
        <is>
          <t>2026-01-29</t>
        </is>
      </c>
      <c r="B428" s="3" t="inlineStr">
        <is>
          <t>흥아해운</t>
        </is>
      </c>
      <c r="C428" s="2" t="inlineStr">
        <is>
          <t>코스피</t>
        </is>
      </c>
      <c r="D428" s="2" t="inlineStr">
        <is>
          <t>003280</t>
        </is>
      </c>
      <c r="E428" s="3" t="inlineStr">
        <is>
          <t>자기주식처분결과보고서</t>
        </is>
      </c>
      <c r="F428" s="3" t="inlineStr">
        <is>
          <t>흥아해운</t>
        </is>
      </c>
      <c r="G428" s="2" t="inlineStr">
        <is>
          <t>20260129000467</t>
        </is>
      </c>
      <c r="H428" s="8">
        <f>HYPERLINK("https://dart.fss.or.kr/dsaf001/main.do?rcpNo=20260129000467", "공시열람")</f>
        <v/>
      </c>
    </row>
    <row r="429">
      <c r="A429" s="2" t="inlineStr">
        <is>
          <t>2026-01-29</t>
        </is>
      </c>
      <c r="B429" s="3" t="inlineStr">
        <is>
          <t>한미약품</t>
        </is>
      </c>
      <c r="C429" s="2" t="inlineStr">
        <is>
          <t>코스피</t>
        </is>
      </c>
      <c r="D429" s="2" t="inlineStr">
        <is>
          <t>128940</t>
        </is>
      </c>
      <c r="E429" s="3" t="inlineStr">
        <is>
          <t>임원ㆍ주요주주특정증권등소유상황보고서</t>
        </is>
      </c>
      <c r="F429" s="3" t="inlineStr">
        <is>
          <t>손지원</t>
        </is>
      </c>
      <c r="G429" s="2" t="inlineStr">
        <is>
          <t>20260129000466</t>
        </is>
      </c>
      <c r="H429" s="8">
        <f>HYPERLINK("https://dart.fss.or.kr/dsaf001/main.do?rcpNo=20260129000466", "공시열람")</f>
        <v/>
      </c>
    </row>
    <row r="430">
      <c r="A430" s="2" t="inlineStr">
        <is>
          <t>2026-01-29</t>
        </is>
      </c>
      <c r="B430" s="3" t="inlineStr">
        <is>
          <t>풍원정밀</t>
        </is>
      </c>
      <c r="C430" s="2" t="inlineStr">
        <is>
          <t>코스닥</t>
        </is>
      </c>
      <c r="D430" s="2" t="inlineStr">
        <is>
          <t>371950</t>
        </is>
      </c>
      <c r="E430" s="3" t="inlineStr">
        <is>
          <t xml:space="preserve">기업설명회(IR)개최              </t>
        </is>
      </c>
      <c r="F430" s="3" t="inlineStr">
        <is>
          <t>풍원정밀</t>
        </is>
      </c>
      <c r="G430" s="2" t="inlineStr">
        <is>
          <t>20260129900504</t>
        </is>
      </c>
      <c r="H430" s="8">
        <f>HYPERLINK("https://dart.fss.or.kr/dsaf001/main.do?rcpNo=20260129900504", "공시열람")</f>
        <v/>
      </c>
    </row>
    <row r="431">
      <c r="A431" s="2" t="inlineStr">
        <is>
          <t>2026-01-29</t>
        </is>
      </c>
      <c r="B431" s="3" t="inlineStr">
        <is>
          <t>한미사이언스</t>
        </is>
      </c>
      <c r="C431" s="2" t="inlineStr">
        <is>
          <t>코스피</t>
        </is>
      </c>
      <c r="D431" s="2" t="inlineStr">
        <is>
          <t>008930</t>
        </is>
      </c>
      <c r="E431" s="3" t="inlineStr">
        <is>
          <t>임원ㆍ주요주주특정증권등소유상황보고서</t>
        </is>
      </c>
      <c r="F431" s="3" t="inlineStr">
        <is>
          <t>한지연</t>
        </is>
      </c>
      <c r="G431" s="2" t="inlineStr">
        <is>
          <t>20260129000465</t>
        </is>
      </c>
      <c r="H431" s="8">
        <f>HYPERLINK("https://dart.fss.or.kr/dsaf001/main.do?rcpNo=20260129000465", "공시열람")</f>
        <v/>
      </c>
    </row>
    <row r="432">
      <c r="A432" s="2" t="inlineStr">
        <is>
          <t>2026-01-29</t>
        </is>
      </c>
      <c r="B432" s="3" t="inlineStr">
        <is>
          <t>한미사이언스</t>
        </is>
      </c>
      <c r="C432" s="2" t="inlineStr">
        <is>
          <t>코스피</t>
        </is>
      </c>
      <c r="D432" s="2" t="inlineStr">
        <is>
          <t>008930</t>
        </is>
      </c>
      <c r="E432" s="3" t="inlineStr">
        <is>
          <t>임원ㆍ주요주주특정증권등소유상황보고서</t>
        </is>
      </c>
      <c r="F432" s="3" t="inlineStr">
        <is>
          <t>한승우</t>
        </is>
      </c>
      <c r="G432" s="2" t="inlineStr">
        <is>
          <t>20260129000461</t>
        </is>
      </c>
      <c r="H432" s="8">
        <f>HYPERLINK("https://dart.fss.or.kr/dsaf001/main.do?rcpNo=20260129000461", "공시열람")</f>
        <v/>
      </c>
    </row>
    <row r="433">
      <c r="A433" s="2" t="inlineStr">
        <is>
          <t>2026-01-29</t>
        </is>
      </c>
      <c r="B433" s="3" t="inlineStr">
        <is>
          <t>대교</t>
        </is>
      </c>
      <c r="C433" s="2" t="inlineStr">
        <is>
          <t>코스피</t>
        </is>
      </c>
      <c r="D433" s="2" t="inlineStr">
        <is>
          <t>019680</t>
        </is>
      </c>
      <c r="E433" s="3" t="inlineStr">
        <is>
          <t>자기주식처분결과보고서</t>
        </is>
      </c>
      <c r="F433" s="3" t="inlineStr">
        <is>
          <t>대교</t>
        </is>
      </c>
      <c r="G433" s="2" t="inlineStr">
        <is>
          <t>20260129000460</t>
        </is>
      </c>
      <c r="H433" s="8">
        <f>HYPERLINK("https://dart.fss.or.kr/dsaf001/main.do?rcpNo=20260129000460", "공시열람")</f>
        <v/>
      </c>
    </row>
    <row r="434">
      <c r="A434" s="2" t="inlineStr">
        <is>
          <t>2026-01-29</t>
        </is>
      </c>
      <c r="B434" s="3" t="inlineStr">
        <is>
          <t>한미약품</t>
        </is>
      </c>
      <c r="C434" s="2" t="inlineStr">
        <is>
          <t>코스피</t>
        </is>
      </c>
      <c r="D434" s="2" t="inlineStr">
        <is>
          <t>128940</t>
        </is>
      </c>
      <c r="E434" s="3" t="inlineStr">
        <is>
          <t>임원ㆍ주요주주특정증권등소유상황보고서</t>
        </is>
      </c>
      <c r="F434" s="3" t="inlineStr">
        <is>
          <t>서상현</t>
        </is>
      </c>
      <c r="G434" s="2" t="inlineStr">
        <is>
          <t>20260129000459</t>
        </is>
      </c>
      <c r="H434" s="8">
        <f>HYPERLINK("https://dart.fss.or.kr/dsaf001/main.do?rcpNo=20260129000459", "공시열람")</f>
        <v/>
      </c>
    </row>
    <row r="435">
      <c r="A435" s="2" t="inlineStr">
        <is>
          <t>2026-01-29</t>
        </is>
      </c>
      <c r="B435" s="3" t="inlineStr">
        <is>
          <t>POSCO홀딩스</t>
        </is>
      </c>
      <c r="C435" s="2" t="inlineStr">
        <is>
          <t>코스피</t>
        </is>
      </c>
      <c r="D435" s="2" t="inlineStr">
        <is>
          <t>005490</t>
        </is>
      </c>
      <c r="E435" s="3" t="inlineStr">
        <is>
          <t xml:space="preserve">매출액또는손익구조30%(대규모법인은15%)이상변경              </t>
        </is>
      </c>
      <c r="F435" s="3" t="inlineStr">
        <is>
          <t>POSCO홀딩스</t>
        </is>
      </c>
      <c r="G435" s="2" t="inlineStr">
        <is>
          <t>20260129800475</t>
        </is>
      </c>
      <c r="H435" s="8">
        <f>HYPERLINK("https://dart.fss.or.kr/dsaf001/main.do?rcpNo=20260129800475", "공시열람")</f>
        <v/>
      </c>
    </row>
    <row r="436">
      <c r="A436" s="2" t="inlineStr">
        <is>
          <t>2026-01-29</t>
        </is>
      </c>
      <c r="B436" s="3" t="inlineStr">
        <is>
          <t>한미사이언스</t>
        </is>
      </c>
      <c r="C436" s="2" t="inlineStr">
        <is>
          <t>코스피</t>
        </is>
      </c>
      <c r="D436" s="2" t="inlineStr">
        <is>
          <t>008930</t>
        </is>
      </c>
      <c r="E436" s="3" t="inlineStr">
        <is>
          <t>임원ㆍ주요주주특정증권등소유상황보고서</t>
        </is>
      </c>
      <c r="F436" s="3" t="inlineStr">
        <is>
          <t>조정근</t>
        </is>
      </c>
      <c r="G436" s="2" t="inlineStr">
        <is>
          <t>20260129000458</t>
        </is>
      </c>
      <c r="H436" s="8">
        <f>HYPERLINK("https://dart.fss.or.kr/dsaf001/main.do?rcpNo=20260129000458", "공시열람")</f>
        <v/>
      </c>
    </row>
    <row r="437">
      <c r="A437" s="2" t="inlineStr">
        <is>
          <t>2026-01-29</t>
        </is>
      </c>
      <c r="B437" s="3" t="inlineStr">
        <is>
          <t>POSCO홀딩스</t>
        </is>
      </c>
      <c r="C437" s="2" t="inlineStr">
        <is>
          <t>코스피</t>
        </is>
      </c>
      <c r="D437" s="2" t="inlineStr">
        <is>
          <t>005490</t>
        </is>
      </c>
      <c r="E437" s="3" t="inlineStr">
        <is>
          <t xml:space="preserve">매출액또는손익구조30%(대규모법인은15%)이상변경(자회사의 주요경영사항)              </t>
        </is>
      </c>
      <c r="F437" s="3" t="inlineStr">
        <is>
          <t>POSCO홀딩스</t>
        </is>
      </c>
      <c r="G437" s="2" t="inlineStr">
        <is>
          <t>20260129800465</t>
        </is>
      </c>
      <c r="H437" s="8">
        <f>HYPERLINK("https://dart.fss.or.kr/dsaf001/main.do?rcpNo=20260129800465", "공시열람")</f>
        <v/>
      </c>
    </row>
    <row r="438">
      <c r="A438" s="2" t="inlineStr">
        <is>
          <t>2026-01-29</t>
        </is>
      </c>
      <c r="B438" s="3" t="inlineStr">
        <is>
          <t>LG</t>
        </is>
      </c>
      <c r="C438" s="2" t="inlineStr">
        <is>
          <t>코스피</t>
        </is>
      </c>
      <c r="D438" s="2" t="inlineStr">
        <is>
          <t>003550</t>
        </is>
      </c>
      <c r="E438" s="3" t="inlineStr">
        <is>
          <t xml:space="preserve">현금ㆍ현물배당을위한주주명부폐쇄(기준일)결정(자회사의 주요경영사항)              </t>
        </is>
      </c>
      <c r="F438" s="3" t="inlineStr">
        <is>
          <t>LG</t>
        </is>
      </c>
      <c r="G438" s="2" t="inlineStr">
        <is>
          <t>20260129800484</t>
        </is>
      </c>
      <c r="H438" s="8">
        <f>HYPERLINK("https://dart.fss.or.kr/dsaf001/main.do?rcpNo=20260129800484", "공시열람")</f>
        <v/>
      </c>
    </row>
    <row r="439">
      <c r="A439" s="2" t="inlineStr">
        <is>
          <t>2026-01-29</t>
        </is>
      </c>
      <c r="B439" s="3" t="inlineStr">
        <is>
          <t>대상</t>
        </is>
      </c>
      <c r="C439" s="2" t="inlineStr">
        <is>
          <t>코스피</t>
        </is>
      </c>
      <c r="D439" s="2" t="inlineStr">
        <is>
          <t>001680</t>
        </is>
      </c>
      <c r="E439" s="3" t="inlineStr">
        <is>
          <t xml:space="preserve">매출액또는손익구조30%(대규모법인은15%)이상변경              </t>
        </is>
      </c>
      <c r="F439" s="3" t="inlineStr">
        <is>
          <t>대상</t>
        </is>
      </c>
      <c r="G439" s="2" t="inlineStr">
        <is>
          <t>20260129800469</t>
        </is>
      </c>
      <c r="H439" s="8">
        <f>HYPERLINK("https://dart.fss.or.kr/dsaf001/main.do?rcpNo=20260129800469", "공시열람")</f>
        <v/>
      </c>
    </row>
    <row r="440">
      <c r="A440" s="2" t="inlineStr">
        <is>
          <t>2026-01-29</t>
        </is>
      </c>
      <c r="B440" s="3" t="inlineStr">
        <is>
          <t>한미약품</t>
        </is>
      </c>
      <c r="C440" s="2" t="inlineStr">
        <is>
          <t>코스피</t>
        </is>
      </c>
      <c r="D440" s="2" t="inlineStr">
        <is>
          <t>128940</t>
        </is>
      </c>
      <c r="E440" s="3" t="inlineStr">
        <is>
          <t>임원ㆍ주요주주특정증권등소유상황보고서</t>
        </is>
      </c>
      <c r="F440" s="3" t="inlineStr">
        <is>
          <t>배성민</t>
        </is>
      </c>
      <c r="G440" s="2" t="inlineStr">
        <is>
          <t>20260129000455</t>
        </is>
      </c>
      <c r="H440" s="8">
        <f>HYPERLINK("https://dart.fss.or.kr/dsaf001/main.do?rcpNo=20260129000455", "공시열람")</f>
        <v/>
      </c>
    </row>
    <row r="441">
      <c r="A441" s="2" t="inlineStr">
        <is>
          <t>2026-01-29</t>
        </is>
      </c>
      <c r="B441" s="3" t="inlineStr">
        <is>
          <t>LG</t>
        </is>
      </c>
      <c r="C441" s="2" t="inlineStr">
        <is>
          <t>코스피</t>
        </is>
      </c>
      <c r="D441" s="2" t="inlineStr">
        <is>
          <t>003550</t>
        </is>
      </c>
      <c r="E441" s="3" t="inlineStr">
        <is>
          <t xml:space="preserve">현금ㆍ현물배당결정(자회사의 주요경영사항)              </t>
        </is>
      </c>
      <c r="F441" s="3" t="inlineStr">
        <is>
          <t>LG</t>
        </is>
      </c>
      <c r="G441" s="2" t="inlineStr">
        <is>
          <t>20260129800477</t>
        </is>
      </c>
      <c r="H441" s="8">
        <f>HYPERLINK("https://dart.fss.or.kr/dsaf001/main.do?rcpNo=20260129800477", "공시열람")</f>
        <v/>
      </c>
    </row>
    <row r="442">
      <c r="A442" s="2" t="inlineStr">
        <is>
          <t>2026-01-29</t>
        </is>
      </c>
      <c r="B442" s="3" t="inlineStr">
        <is>
          <t>한미사이언스</t>
        </is>
      </c>
      <c r="C442" s="2" t="inlineStr">
        <is>
          <t>코스피</t>
        </is>
      </c>
      <c r="D442" s="2" t="inlineStr">
        <is>
          <t>008930</t>
        </is>
      </c>
      <c r="E442" s="3" t="inlineStr">
        <is>
          <t>임원ㆍ주요주주특정증권등소유상황보고서</t>
        </is>
      </c>
      <c r="F442" s="3" t="inlineStr">
        <is>
          <t>정원화</t>
        </is>
      </c>
      <c r="G442" s="2" t="inlineStr">
        <is>
          <t>20260129000453</t>
        </is>
      </c>
      <c r="H442" s="8">
        <f>HYPERLINK("https://dart.fss.or.kr/dsaf001/main.do?rcpNo=20260129000453", "공시열람")</f>
        <v/>
      </c>
    </row>
    <row r="443">
      <c r="A443" s="2" t="inlineStr">
        <is>
          <t>2026-01-29</t>
        </is>
      </c>
      <c r="B443" s="3" t="inlineStr">
        <is>
          <t>미래에셋증권</t>
        </is>
      </c>
      <c r="C443" s="2" t="inlineStr">
        <is>
          <t>코스피</t>
        </is>
      </c>
      <c r="D443" s="2" t="inlineStr">
        <is>
          <t>006800</t>
        </is>
      </c>
      <c r="E443" s="3" t="inlineStr">
        <is>
          <t>증권발행실적보고서</t>
        </is>
      </c>
      <c r="F443" s="3" t="inlineStr">
        <is>
          <t>미래에셋증권</t>
        </is>
      </c>
      <c r="G443" s="2" t="inlineStr">
        <is>
          <t>20260129000450</t>
        </is>
      </c>
      <c r="H443" s="8">
        <f>HYPERLINK("https://dart.fss.or.kr/dsaf001/main.do?rcpNo=20260129000450", "공시열람")</f>
        <v/>
      </c>
    </row>
    <row r="444">
      <c r="A444" s="2" t="inlineStr">
        <is>
          <t>2026-01-29</t>
        </is>
      </c>
      <c r="B444" s="3" t="inlineStr">
        <is>
          <t>금호석유화학</t>
        </is>
      </c>
      <c r="C444" s="2" t="inlineStr">
        <is>
          <t>코스피</t>
        </is>
      </c>
      <c r="D444" s="2" t="inlineStr">
        <is>
          <t>011780</t>
        </is>
      </c>
      <c r="E444" s="3" t="inlineStr">
        <is>
          <t xml:space="preserve">연결재무제표기준영업(잠정)실적(공정공시)              </t>
        </is>
      </c>
      <c r="F444" s="3" t="inlineStr">
        <is>
          <t>금호석유화학</t>
        </is>
      </c>
      <c r="G444" s="2" t="inlineStr">
        <is>
          <t>20260129800418</t>
        </is>
      </c>
      <c r="H444" s="8">
        <f>HYPERLINK("https://dart.fss.or.kr/dsaf001/main.do?rcpNo=20260129800418", "공시열람")</f>
        <v/>
      </c>
    </row>
    <row r="445">
      <c r="A445" s="2" t="inlineStr">
        <is>
          <t>2026-01-29</t>
        </is>
      </c>
      <c r="B445" s="3" t="inlineStr">
        <is>
          <t>LG</t>
        </is>
      </c>
      <c r="C445" s="2" t="inlineStr">
        <is>
          <t>코스피</t>
        </is>
      </c>
      <c r="D445" s="2" t="inlineStr">
        <is>
          <t>003550</t>
        </is>
      </c>
      <c r="E445" s="3" t="inlineStr">
        <is>
          <t xml:space="preserve">매출액또는손익구조30%(대규모법인은15%)이상변경(자회사의 주요경영사항)              </t>
        </is>
      </c>
      <c r="F445" s="3" t="inlineStr">
        <is>
          <t>LG</t>
        </is>
      </c>
      <c r="G445" s="2" t="inlineStr">
        <is>
          <t>20260129800456</t>
        </is>
      </c>
      <c r="H445" s="8">
        <f>HYPERLINK("https://dart.fss.or.kr/dsaf001/main.do?rcpNo=20260129800456", "공시열람")</f>
        <v/>
      </c>
    </row>
    <row r="446">
      <c r="A446" s="2" t="inlineStr">
        <is>
          <t>2026-01-29</t>
        </is>
      </c>
      <c r="B446" s="3" t="inlineStr">
        <is>
          <t>한미약품</t>
        </is>
      </c>
      <c r="C446" s="2" t="inlineStr">
        <is>
          <t>코스피</t>
        </is>
      </c>
      <c r="D446" s="2" t="inlineStr">
        <is>
          <t>128940</t>
        </is>
      </c>
      <c r="E446" s="3" t="inlineStr">
        <is>
          <t>임원ㆍ주요주주특정증권등소유상황보고서</t>
        </is>
      </c>
      <c r="F446" s="3" t="inlineStr">
        <is>
          <t>박희성</t>
        </is>
      </c>
      <c r="G446" s="2" t="inlineStr">
        <is>
          <t>20260129000449</t>
        </is>
      </c>
      <c r="H446" s="8">
        <f>HYPERLINK("https://dart.fss.or.kr/dsaf001/main.do?rcpNo=20260129000449", "공시열람")</f>
        <v/>
      </c>
    </row>
    <row r="447">
      <c r="A447" s="2" t="inlineStr">
        <is>
          <t>2026-01-29</t>
        </is>
      </c>
      <c r="B447" s="3" t="inlineStr">
        <is>
          <t>LG전자</t>
        </is>
      </c>
      <c r="C447" s="2" t="inlineStr">
        <is>
          <t>코스피</t>
        </is>
      </c>
      <c r="D447" s="2" t="inlineStr">
        <is>
          <t>066570</t>
        </is>
      </c>
      <c r="E447" s="3" t="inlineStr">
        <is>
          <t xml:space="preserve">현금ㆍ현물배당을위한주주명부폐쇄(기준일)결정              </t>
        </is>
      </c>
      <c r="F447" s="3" t="inlineStr">
        <is>
          <t>LG전자</t>
        </is>
      </c>
      <c r="G447" s="2" t="inlineStr">
        <is>
          <t>20260129800483</t>
        </is>
      </c>
      <c r="H447" s="8">
        <f>HYPERLINK("https://dart.fss.or.kr/dsaf001/main.do?rcpNo=20260129800483", "공시열람")</f>
        <v/>
      </c>
    </row>
    <row r="448">
      <c r="A448" s="2" t="inlineStr">
        <is>
          <t>2026-01-29</t>
        </is>
      </c>
      <c r="B448" s="3" t="inlineStr">
        <is>
          <t>한미사이언스</t>
        </is>
      </c>
      <c r="C448" s="2" t="inlineStr">
        <is>
          <t>코스피</t>
        </is>
      </c>
      <c r="D448" s="2" t="inlineStr">
        <is>
          <t>008930</t>
        </is>
      </c>
      <c r="E448" s="3" t="inlineStr">
        <is>
          <t>임원ㆍ주요주주특정증권등소유상황보고서</t>
        </is>
      </c>
      <c r="F448" s="3" t="inlineStr">
        <is>
          <t>정대수</t>
        </is>
      </c>
      <c r="G448" s="2" t="inlineStr">
        <is>
          <t>20260129000446</t>
        </is>
      </c>
      <c r="H448" s="8">
        <f>HYPERLINK("https://dart.fss.or.kr/dsaf001/main.do?rcpNo=20260129000446", "공시열람")</f>
        <v/>
      </c>
    </row>
    <row r="449">
      <c r="A449" s="2" t="inlineStr">
        <is>
          <t>2026-01-29</t>
        </is>
      </c>
      <c r="B449" s="3" t="inlineStr">
        <is>
          <t>LG전자</t>
        </is>
      </c>
      <c r="C449" s="2" t="inlineStr">
        <is>
          <t>코스피</t>
        </is>
      </c>
      <c r="D449" s="2" t="inlineStr">
        <is>
          <t>066570</t>
        </is>
      </c>
      <c r="E449" s="3" t="inlineStr">
        <is>
          <t xml:space="preserve">현금ㆍ현물배당결정              </t>
        </is>
      </c>
      <c r="F449" s="3" t="inlineStr">
        <is>
          <t>LG전자</t>
        </is>
      </c>
      <c r="G449" s="2" t="inlineStr">
        <is>
          <t>20260129800476</t>
        </is>
      </c>
      <c r="H449" s="8">
        <f>HYPERLINK("https://dart.fss.or.kr/dsaf001/main.do?rcpNo=20260129800476", "공시열람")</f>
        <v/>
      </c>
    </row>
    <row r="450">
      <c r="A450" s="2" t="inlineStr">
        <is>
          <t>2026-01-29</t>
        </is>
      </c>
      <c r="B450" s="3" t="inlineStr">
        <is>
          <t>한미약품</t>
        </is>
      </c>
      <c r="C450" s="2" t="inlineStr">
        <is>
          <t>코스피</t>
        </is>
      </c>
      <c r="D450" s="2" t="inlineStr">
        <is>
          <t>128940</t>
        </is>
      </c>
      <c r="E450" s="3" t="inlineStr">
        <is>
          <t>임원ㆍ주요주주특정증권등소유상황보고서</t>
        </is>
      </c>
      <c r="F450" s="3" t="inlineStr">
        <is>
          <t>박재현</t>
        </is>
      </c>
      <c r="G450" s="2" t="inlineStr">
        <is>
          <t>20260129000440</t>
        </is>
      </c>
      <c r="H450" s="8">
        <f>HYPERLINK("https://dart.fss.or.kr/dsaf001/main.do?rcpNo=20260129000440", "공시열람")</f>
        <v/>
      </c>
    </row>
    <row r="451">
      <c r="A451" s="2" t="inlineStr">
        <is>
          <t>2026-01-29</t>
        </is>
      </c>
      <c r="B451" s="3" t="inlineStr">
        <is>
          <t>LG전자</t>
        </is>
      </c>
      <c r="C451" s="2" t="inlineStr">
        <is>
          <t>코스피</t>
        </is>
      </c>
      <c r="D451" s="2" t="inlineStr">
        <is>
          <t>066570</t>
        </is>
      </c>
      <c r="E451" s="3" t="inlineStr">
        <is>
          <t xml:space="preserve">매출액또는손익구조30%(대규모법인은15%)이상변경              </t>
        </is>
      </c>
      <c r="F451" s="3" t="inlineStr">
        <is>
          <t>LG전자</t>
        </is>
      </c>
      <c r="G451" s="2" t="inlineStr">
        <is>
          <t>20260129800419</t>
        </is>
      </c>
      <c r="H451" s="8">
        <f>HYPERLINK("https://dart.fss.or.kr/dsaf001/main.do?rcpNo=20260129800419", "공시열람")</f>
        <v/>
      </c>
    </row>
    <row r="452">
      <c r="A452" s="2" t="inlineStr">
        <is>
          <t>2026-01-29</t>
        </is>
      </c>
      <c r="B452" s="3" t="inlineStr">
        <is>
          <t>지아이텍</t>
        </is>
      </c>
      <c r="C452" s="2" t="inlineStr">
        <is>
          <t>코스닥</t>
        </is>
      </c>
      <c r="D452" s="2" t="inlineStr">
        <is>
          <t>382480</t>
        </is>
      </c>
      <c r="E452" s="3" t="inlineStr">
        <is>
          <t>임원ㆍ주요주주특정증권등소유상황보고서</t>
        </is>
      </c>
      <c r="F452" s="3" t="inlineStr">
        <is>
          <t>김준모</t>
        </is>
      </c>
      <c r="G452" s="2" t="inlineStr">
        <is>
          <t>20260129000437</t>
        </is>
      </c>
      <c r="H452" s="8">
        <f>HYPERLINK("https://dart.fss.or.kr/dsaf001/main.do?rcpNo=20260129000437", "공시열람")</f>
        <v/>
      </c>
    </row>
    <row r="453">
      <c r="A453" s="2" t="inlineStr">
        <is>
          <t>2026-01-29</t>
        </is>
      </c>
      <c r="B453" s="3" t="inlineStr">
        <is>
          <t>POSCO홀딩스</t>
        </is>
      </c>
      <c r="C453" s="2" t="inlineStr">
        <is>
          <t>코스피</t>
        </is>
      </c>
      <c r="D453" s="2" t="inlineStr">
        <is>
          <t>005490</t>
        </is>
      </c>
      <c r="E453" s="3" t="inlineStr">
        <is>
          <t xml:space="preserve">연결재무제표기준영업(잠정)실적(공정공시)              </t>
        </is>
      </c>
      <c r="F453" s="3" t="inlineStr">
        <is>
          <t>POSCO홀딩스</t>
        </is>
      </c>
      <c r="G453" s="2" t="inlineStr">
        <is>
          <t>20260129800417</t>
        </is>
      </c>
      <c r="H453" s="8">
        <f>HYPERLINK("https://dart.fss.or.kr/dsaf001/main.do?rcpNo=20260129800417", "공시열람")</f>
        <v/>
      </c>
    </row>
    <row r="454">
      <c r="A454" s="2" t="inlineStr">
        <is>
          <t>2026-01-29</t>
        </is>
      </c>
      <c r="B454" s="3" t="inlineStr">
        <is>
          <t>POSCO홀딩스</t>
        </is>
      </c>
      <c r="C454" s="2" t="inlineStr">
        <is>
          <t>코스피</t>
        </is>
      </c>
      <c r="D454" s="2" t="inlineStr">
        <is>
          <t>005490</t>
        </is>
      </c>
      <c r="E454" s="3" t="inlineStr">
        <is>
          <t xml:space="preserve">영업(잠정)실적(공정공시)(자회사의 주요경영사항)              </t>
        </is>
      </c>
      <c r="F454" s="3" t="inlineStr">
        <is>
          <t>POSCO홀딩스</t>
        </is>
      </c>
      <c r="G454" s="2" t="inlineStr">
        <is>
          <t>20260129800407</t>
        </is>
      </c>
      <c r="H454" s="8">
        <f>HYPERLINK("https://dart.fss.or.kr/dsaf001/main.do?rcpNo=20260129800407", "공시열람")</f>
        <v/>
      </c>
    </row>
    <row r="455">
      <c r="A455" s="2" t="inlineStr">
        <is>
          <t>2025-12-22 (정정: 2026-01-29)</t>
        </is>
      </c>
      <c r="B455" s="3" t="inlineStr">
        <is>
          <t>아이씨에이치</t>
        </is>
      </c>
      <c r="C455" s="2" t="inlineStr">
        <is>
          <t>코스닥</t>
        </is>
      </c>
      <c r="D455" s="2" t="inlineStr">
        <is>
          <t>368600</t>
        </is>
      </c>
      <c r="E455" s="3" t="inlineStr">
        <is>
          <t>[기재정정]투자설명서</t>
        </is>
      </c>
      <c r="F455" s="3" t="inlineStr">
        <is>
          <t>아이씨에이치</t>
        </is>
      </c>
      <c r="G455" s="2" t="inlineStr">
        <is>
          <t>20260129000432</t>
        </is>
      </c>
      <c r="H455" s="8">
        <f>HYPERLINK("https://dart.fss.or.kr/dsaf001/main.do?rcpNo=20260129000432", "공시열람")</f>
        <v/>
      </c>
    </row>
    <row r="456">
      <c r="A456" s="2" t="inlineStr">
        <is>
          <t>2026-01-29</t>
        </is>
      </c>
      <c r="B456" s="3" t="inlineStr">
        <is>
          <t>한미약품</t>
        </is>
      </c>
      <c r="C456" s="2" t="inlineStr">
        <is>
          <t>코스피</t>
        </is>
      </c>
      <c r="D456" s="2" t="inlineStr">
        <is>
          <t>128940</t>
        </is>
      </c>
      <c r="E456" s="3" t="inlineStr">
        <is>
          <t>임원ㆍ주요주주특정증권등소유상황보고서</t>
        </is>
      </c>
      <c r="F456" s="3" t="inlineStr">
        <is>
          <t>박명희</t>
        </is>
      </c>
      <c r="G456" s="2" t="inlineStr">
        <is>
          <t>20260129000429</t>
        </is>
      </c>
      <c r="H456" s="8">
        <f>HYPERLINK("https://dart.fss.or.kr/dsaf001/main.do?rcpNo=20260129000429", "공시열람")</f>
        <v/>
      </c>
    </row>
    <row r="457">
      <c r="A457" s="2" t="inlineStr">
        <is>
          <t>2026-01-29</t>
        </is>
      </c>
      <c r="B457" s="3" t="inlineStr">
        <is>
          <t>한미사이언스</t>
        </is>
      </c>
      <c r="C457" s="2" t="inlineStr">
        <is>
          <t>코스피</t>
        </is>
      </c>
      <c r="D457" s="2" t="inlineStr">
        <is>
          <t>008930</t>
        </is>
      </c>
      <c r="E457" s="3" t="inlineStr">
        <is>
          <t>임원ㆍ주요주주특정증권등소유상황보고서</t>
        </is>
      </c>
      <c r="F457" s="3" t="inlineStr">
        <is>
          <t>이승엽</t>
        </is>
      </c>
      <c r="G457" s="2" t="inlineStr">
        <is>
          <t>20260129000425</t>
        </is>
      </c>
      <c r="H457" s="8">
        <f>HYPERLINK("https://dart.fss.or.kr/dsaf001/main.do?rcpNo=20260129000425", "공시열람")</f>
        <v/>
      </c>
    </row>
    <row r="458">
      <c r="A458" s="2" t="inlineStr">
        <is>
          <t>2026-01-29</t>
        </is>
      </c>
      <c r="B458" s="3" t="inlineStr">
        <is>
          <t>미래에셋증권</t>
        </is>
      </c>
      <c r="C458" s="2" t="inlineStr">
        <is>
          <t>코스피</t>
        </is>
      </c>
      <c r="D458" s="2" t="inlineStr">
        <is>
          <t>006800</t>
        </is>
      </c>
      <c r="E458" s="3" t="inlineStr">
        <is>
          <t>증권발행실적보고서</t>
        </is>
      </c>
      <c r="F458" s="3" t="inlineStr">
        <is>
          <t>미래에셋증권</t>
        </is>
      </c>
      <c r="G458" s="2" t="inlineStr">
        <is>
          <t>20260129000420</t>
        </is>
      </c>
      <c r="H458" s="8">
        <f>HYPERLINK("https://dart.fss.or.kr/dsaf001/main.do?rcpNo=20260129000420", "공시열람")</f>
        <v/>
      </c>
    </row>
    <row r="459">
      <c r="A459" s="2" t="inlineStr">
        <is>
          <t>2026-01-29</t>
        </is>
      </c>
      <c r="B459" s="3" t="inlineStr">
        <is>
          <t>한미약품</t>
        </is>
      </c>
      <c r="C459" s="2" t="inlineStr">
        <is>
          <t>코스피</t>
        </is>
      </c>
      <c r="D459" s="2" t="inlineStr">
        <is>
          <t>128940</t>
        </is>
      </c>
      <c r="E459" s="3" t="inlineStr">
        <is>
          <t>임원ㆍ주요주주특정증권등소유상황보고서</t>
        </is>
      </c>
      <c r="F459" s="3" t="inlineStr">
        <is>
          <t>두명국</t>
        </is>
      </c>
      <c r="G459" s="2" t="inlineStr">
        <is>
          <t>20260129000419</t>
        </is>
      </c>
      <c r="H459" s="8">
        <f>HYPERLINK("https://dart.fss.or.kr/dsaf001/main.do?rcpNo=20260129000419", "공시열람")</f>
        <v/>
      </c>
    </row>
    <row r="460">
      <c r="A460" s="2" t="inlineStr">
        <is>
          <t>2026-01-29</t>
        </is>
      </c>
      <c r="B460" s="3" t="inlineStr">
        <is>
          <t>데이원컴퍼니</t>
        </is>
      </c>
      <c r="C460" s="2" t="inlineStr">
        <is>
          <t>코스닥</t>
        </is>
      </c>
      <c r="D460" s="2" t="inlineStr">
        <is>
          <t>373160</t>
        </is>
      </c>
      <c r="E460" s="3" t="inlineStr">
        <is>
          <t>임원ㆍ주요주주특정증권등소유상황보고서</t>
        </is>
      </c>
      <c r="F460" s="3" t="inlineStr">
        <is>
          <t>이강민</t>
        </is>
      </c>
      <c r="G460" s="2" t="inlineStr">
        <is>
          <t>20260129000417</t>
        </is>
      </c>
      <c r="H460" s="8">
        <f>HYPERLINK("https://dart.fss.or.kr/dsaf001/main.do?rcpNo=20260129000417", "공시열람")</f>
        <v/>
      </c>
    </row>
    <row r="461">
      <c r="A461" s="2" t="inlineStr">
        <is>
          <t>2026-01-29</t>
        </is>
      </c>
      <c r="B461" s="3" t="inlineStr">
        <is>
          <t>한미사이언스</t>
        </is>
      </c>
      <c r="C461" s="2" t="inlineStr">
        <is>
          <t>코스피</t>
        </is>
      </c>
      <c r="D461" s="2" t="inlineStr">
        <is>
          <t>008930</t>
        </is>
      </c>
      <c r="E461" s="3" t="inlineStr">
        <is>
          <t>임원ㆍ주요주주특정증권등소유상황보고서</t>
        </is>
      </c>
      <c r="F461" s="3" t="inlineStr">
        <is>
          <t>심병화</t>
        </is>
      </c>
      <c r="G461" s="2" t="inlineStr">
        <is>
          <t>20260129000415</t>
        </is>
      </c>
      <c r="H461" s="8">
        <f>HYPERLINK("https://dart.fss.or.kr/dsaf001/main.do?rcpNo=20260129000415", "공시열람")</f>
        <v/>
      </c>
    </row>
    <row r="462">
      <c r="A462" s="2" t="inlineStr">
        <is>
          <t>2026-01-29</t>
        </is>
      </c>
      <c r="B462" s="3" t="inlineStr">
        <is>
          <t>앤씨앤</t>
        </is>
      </c>
      <c r="C462" s="2" t="inlineStr">
        <is>
          <t>코스닥</t>
        </is>
      </c>
      <c r="D462" s="2" t="inlineStr">
        <is>
          <t>092600</t>
        </is>
      </c>
      <c r="E462" s="3" t="inlineStr">
        <is>
          <t>임원ㆍ주요주주특정증권등소유상황보고서</t>
        </is>
      </c>
      <c r="F462" s="3" t="inlineStr">
        <is>
          <t>이정환</t>
        </is>
      </c>
      <c r="G462" s="2" t="inlineStr">
        <is>
          <t>20260129000410</t>
        </is>
      </c>
      <c r="H462" s="8">
        <f>HYPERLINK("https://dart.fss.or.kr/dsaf001/main.do?rcpNo=20260129000410", "공시열람")</f>
        <v/>
      </c>
    </row>
    <row r="463">
      <c r="A463" s="2" t="inlineStr">
        <is>
          <t>2026-01-29</t>
        </is>
      </c>
      <c r="B463" s="3" t="inlineStr">
        <is>
          <t>한미사이언스</t>
        </is>
      </c>
      <c r="C463" s="2" t="inlineStr">
        <is>
          <t>코스피</t>
        </is>
      </c>
      <c r="D463" s="2" t="inlineStr">
        <is>
          <t>008930</t>
        </is>
      </c>
      <c r="E463" s="3" t="inlineStr">
        <is>
          <t>임원ㆍ주요주주특정증권등소유상황보고서</t>
        </is>
      </c>
      <c r="F463" s="3" t="inlineStr">
        <is>
          <t>배명호</t>
        </is>
      </c>
      <c r="G463" s="2" t="inlineStr">
        <is>
          <t>20260129000408</t>
        </is>
      </c>
      <c r="H463" s="8">
        <f>HYPERLINK("https://dart.fss.or.kr/dsaf001/main.do?rcpNo=20260129000408", "공시열람")</f>
        <v/>
      </c>
    </row>
    <row r="464">
      <c r="A464" s="2" t="inlineStr">
        <is>
          <t>2026-01-29</t>
        </is>
      </c>
      <c r="B464" s="3" t="inlineStr">
        <is>
          <t>한미약품</t>
        </is>
      </c>
      <c r="C464" s="2" t="inlineStr">
        <is>
          <t>코스피</t>
        </is>
      </c>
      <c r="D464" s="2" t="inlineStr">
        <is>
          <t>128940</t>
        </is>
      </c>
      <c r="E464" s="3" t="inlineStr">
        <is>
          <t>임원ㆍ주요주주특정증권등소유상황보고서</t>
        </is>
      </c>
      <c r="F464" s="3" t="inlineStr">
        <is>
          <t>김유리</t>
        </is>
      </c>
      <c r="G464" s="2" t="inlineStr">
        <is>
          <t>20260129000407</t>
        </is>
      </c>
      <c r="H464" s="8">
        <f>HYPERLINK("https://dart.fss.or.kr/dsaf001/main.do?rcpNo=20260129000407", "공시열람")</f>
        <v/>
      </c>
    </row>
    <row r="465">
      <c r="A465" s="2" t="inlineStr">
        <is>
          <t>2026-01-29</t>
        </is>
      </c>
      <c r="B465" s="3" t="inlineStr">
        <is>
          <t>아이씨에이치</t>
        </is>
      </c>
      <c r="C465" s="2" t="inlineStr">
        <is>
          <t>코스닥</t>
        </is>
      </c>
      <c r="D465" s="2" t="inlineStr">
        <is>
          <t>368600</t>
        </is>
      </c>
      <c r="E465" s="3" t="inlineStr">
        <is>
          <t>[발행조건확정]증권신고서(지분증권)</t>
        </is>
      </c>
      <c r="F465" s="3" t="inlineStr">
        <is>
          <t>아이씨에이치</t>
        </is>
      </c>
      <c r="G465" s="2" t="inlineStr">
        <is>
          <t>20260129000406</t>
        </is>
      </c>
      <c r="H465" s="8">
        <f>HYPERLINK("https://dart.fss.or.kr/dsaf001/main.do?rcpNo=20260129000406", "공시열람")</f>
        <v/>
      </c>
    </row>
    <row r="466">
      <c r="A466" s="2" t="inlineStr">
        <is>
          <t>2026-01-29</t>
        </is>
      </c>
      <c r="B466" s="3" t="inlineStr">
        <is>
          <t>미래에셋증권</t>
        </is>
      </c>
      <c r="C466" s="2" t="inlineStr">
        <is>
          <t>코스피</t>
        </is>
      </c>
      <c r="D466" s="2" t="inlineStr">
        <is>
          <t>006800</t>
        </is>
      </c>
      <c r="E466" s="3" t="inlineStr">
        <is>
          <t xml:space="preserve">기업설명회(IR)개최(안내공시)              </t>
        </is>
      </c>
      <c r="F466" s="3" t="inlineStr">
        <is>
          <t>미래에셋증권</t>
        </is>
      </c>
      <c r="G466" s="2" t="inlineStr">
        <is>
          <t>20260129800424</t>
        </is>
      </c>
      <c r="H466" s="8">
        <f>HYPERLINK("https://dart.fss.or.kr/dsaf001/main.do?rcpNo=20260129800424", "공시열람")</f>
        <v/>
      </c>
    </row>
    <row r="467">
      <c r="A467" s="2" t="inlineStr">
        <is>
          <t>2026-01-29</t>
        </is>
      </c>
      <c r="B467" s="3" t="inlineStr">
        <is>
          <t>우양에이치씨</t>
        </is>
      </c>
      <c r="C467" s="2" t="inlineStr">
        <is>
          <t>코스닥</t>
        </is>
      </c>
      <c r="D467" s="2" t="inlineStr">
        <is>
          <t>101970</t>
        </is>
      </c>
      <c r="E467" s="3" t="inlineStr">
        <is>
          <t xml:space="preserve">매출액또는손익구조30%(대규모법인은15%)이상변동              </t>
        </is>
      </c>
      <c r="F467" s="3" t="inlineStr">
        <is>
          <t>우양에이치씨</t>
        </is>
      </c>
      <c r="G467" s="2" t="inlineStr">
        <is>
          <t>20260129900376</t>
        </is>
      </c>
      <c r="H467" s="8">
        <f>HYPERLINK("https://dart.fss.or.kr/dsaf001/main.do?rcpNo=20260129900376", "공시열람")</f>
        <v/>
      </c>
    </row>
    <row r="468">
      <c r="A468" s="2" t="inlineStr">
        <is>
          <t>2026-01-29</t>
        </is>
      </c>
      <c r="B468" s="3" t="inlineStr">
        <is>
          <t>한미사이언스</t>
        </is>
      </c>
      <c r="C468" s="2" t="inlineStr">
        <is>
          <t>코스피</t>
        </is>
      </c>
      <c r="D468" s="2" t="inlineStr">
        <is>
          <t>008930</t>
        </is>
      </c>
      <c r="E468" s="3" t="inlineStr">
        <is>
          <t>임원ㆍ주요주주특정증권등소유상황보고서</t>
        </is>
      </c>
      <c r="F468" s="3" t="inlineStr">
        <is>
          <t>맹지웅</t>
        </is>
      </c>
      <c r="G468" s="2" t="inlineStr">
        <is>
          <t>20260129000398</t>
        </is>
      </c>
      <c r="H468" s="8">
        <f>HYPERLINK("https://dart.fss.or.kr/dsaf001/main.do?rcpNo=20260129000398", "공시열람")</f>
        <v/>
      </c>
    </row>
    <row r="469">
      <c r="A469" s="2" t="inlineStr">
        <is>
          <t>2026-01-29</t>
        </is>
      </c>
      <c r="B469" s="3" t="inlineStr">
        <is>
          <t>에프에스티</t>
        </is>
      </c>
      <c r="C469" s="2" t="inlineStr">
        <is>
          <t>코스닥</t>
        </is>
      </c>
      <c r="D469" s="2" t="inlineStr">
        <is>
          <t>036810</t>
        </is>
      </c>
      <c r="E469" s="3" t="inlineStr">
        <is>
          <t>주요사항보고서(자기주식처분결정)</t>
        </is>
      </c>
      <c r="F469" s="3" t="inlineStr">
        <is>
          <t>에프에스티</t>
        </is>
      </c>
      <c r="G469" s="2" t="inlineStr">
        <is>
          <t>20260129000350</t>
        </is>
      </c>
      <c r="H469" s="8">
        <f>HYPERLINK("https://dart.fss.or.kr/dsaf001/main.do?rcpNo=20260129000350", "공시열람")</f>
        <v/>
      </c>
    </row>
    <row r="470">
      <c r="A470" s="2" t="inlineStr">
        <is>
          <t>2026-01-29</t>
        </is>
      </c>
      <c r="B470" s="3" t="inlineStr">
        <is>
          <t>대양전기공업</t>
        </is>
      </c>
      <c r="C470" s="2" t="inlineStr">
        <is>
          <t>코스닥</t>
        </is>
      </c>
      <c r="D470" s="2" t="inlineStr">
        <is>
          <t>108380</t>
        </is>
      </c>
      <c r="E470" s="3" t="inlineStr">
        <is>
          <t>수시공시의무관련사항(공정공시)              (주주가치 제고를 위한 구조개편 계획 안내)</t>
        </is>
      </c>
      <c r="F470" s="3" t="inlineStr">
        <is>
          <t>대양전기공업</t>
        </is>
      </c>
      <c r="G470" s="2" t="inlineStr">
        <is>
          <t>20260129900369</t>
        </is>
      </c>
      <c r="H470" s="8">
        <f>HYPERLINK("https://dart.fss.or.kr/dsaf001/main.do?rcpNo=20260129900369", "공시열람")</f>
        <v/>
      </c>
    </row>
    <row r="471">
      <c r="A471" s="2" t="inlineStr">
        <is>
          <t>2026-01-29</t>
        </is>
      </c>
      <c r="B471" s="3" t="inlineStr">
        <is>
          <t>한미약품</t>
        </is>
      </c>
      <c r="C471" s="2" t="inlineStr">
        <is>
          <t>코스피</t>
        </is>
      </c>
      <c r="D471" s="2" t="inlineStr">
        <is>
          <t>128940</t>
        </is>
      </c>
      <c r="E471" s="3" t="inlineStr">
        <is>
          <t>임원ㆍ주요주주특정증권등소유상황보고서</t>
        </is>
      </c>
      <c r="F471" s="3" t="inlineStr">
        <is>
          <t>김세권</t>
        </is>
      </c>
      <c r="G471" s="2" t="inlineStr">
        <is>
          <t>20260129000397</t>
        </is>
      </c>
      <c r="H471" s="8">
        <f>HYPERLINK("https://dart.fss.or.kr/dsaf001/main.do?rcpNo=20260129000397", "공시열람")</f>
        <v/>
      </c>
    </row>
    <row r="472">
      <c r="A472" s="2" t="inlineStr">
        <is>
          <t>2026-01-29</t>
        </is>
      </c>
      <c r="B472" s="3" t="inlineStr">
        <is>
          <t>한미사이언스</t>
        </is>
      </c>
      <c r="C472" s="2" t="inlineStr">
        <is>
          <t>코스피</t>
        </is>
      </c>
      <c r="D472" s="2" t="inlineStr">
        <is>
          <t>008930</t>
        </is>
      </c>
      <c r="E472" s="3" t="inlineStr">
        <is>
          <t>임원ㆍ주요주주특정증권등소유상황보고서</t>
        </is>
      </c>
      <c r="F472" s="3" t="inlineStr">
        <is>
          <t>나민수</t>
        </is>
      </c>
      <c r="G472" s="2" t="inlineStr">
        <is>
          <t>20260129000392</t>
        </is>
      </c>
      <c r="H472" s="8">
        <f>HYPERLINK("https://dart.fss.or.kr/dsaf001/main.do?rcpNo=20260129000392", "공시열람")</f>
        <v/>
      </c>
    </row>
    <row r="473">
      <c r="A473" s="2" t="inlineStr">
        <is>
          <t>2026-01-29</t>
        </is>
      </c>
      <c r="B473" s="3" t="inlineStr">
        <is>
          <t>한미약품</t>
        </is>
      </c>
      <c r="C473" s="2" t="inlineStr">
        <is>
          <t>코스피</t>
        </is>
      </c>
      <c r="D473" s="2" t="inlineStr">
        <is>
          <t>128940</t>
        </is>
      </c>
      <c r="E473" s="3" t="inlineStr">
        <is>
          <t>임원ㆍ주요주주특정증권등소유상황보고서</t>
        </is>
      </c>
      <c r="F473" s="3" t="inlineStr">
        <is>
          <t>김상종</t>
        </is>
      </c>
      <c r="G473" s="2" t="inlineStr">
        <is>
          <t>20260129000388</t>
        </is>
      </c>
      <c r="H473" s="8">
        <f>HYPERLINK("https://dart.fss.or.kr/dsaf001/main.do?rcpNo=20260129000388", "공시열람")</f>
        <v/>
      </c>
    </row>
    <row r="474">
      <c r="A474" s="2" t="inlineStr">
        <is>
          <t>2026-01-29</t>
        </is>
      </c>
      <c r="B474" s="3" t="inlineStr">
        <is>
          <t>한미사이언스</t>
        </is>
      </c>
      <c r="C474" s="2" t="inlineStr">
        <is>
          <t>코스피</t>
        </is>
      </c>
      <c r="D474" s="2" t="inlineStr">
        <is>
          <t>008930</t>
        </is>
      </c>
      <c r="E474" s="3" t="inlineStr">
        <is>
          <t>임원ㆍ주요주주특정증권등소유상황보고서</t>
        </is>
      </c>
      <c r="F474" s="3" t="inlineStr">
        <is>
          <t>김한곤</t>
        </is>
      </c>
      <c r="G474" s="2" t="inlineStr">
        <is>
          <t>20260129000387</t>
        </is>
      </c>
      <c r="H474" s="8">
        <f>HYPERLINK("https://dart.fss.or.kr/dsaf001/main.do?rcpNo=20260129000387", "공시열람")</f>
        <v/>
      </c>
    </row>
    <row r="475">
      <c r="A475" s="2" t="inlineStr">
        <is>
          <t>2026-01-29</t>
        </is>
      </c>
      <c r="B475" s="3" t="inlineStr">
        <is>
          <t>미래에셋증권</t>
        </is>
      </c>
      <c r="C475" s="2" t="inlineStr">
        <is>
          <t>코스피</t>
        </is>
      </c>
      <c r="D475" s="2" t="inlineStr">
        <is>
          <t>006800</t>
        </is>
      </c>
      <c r="E475" s="3" t="inlineStr">
        <is>
          <t xml:space="preserve">결산실적공시예고(안내공시)              </t>
        </is>
      </c>
      <c r="F475" s="3" t="inlineStr">
        <is>
          <t>미래에셋증권</t>
        </is>
      </c>
      <c r="G475" s="2" t="inlineStr">
        <is>
          <t>20260129800394</t>
        </is>
      </c>
      <c r="H475" s="8">
        <f>HYPERLINK("https://dart.fss.or.kr/dsaf001/main.do?rcpNo=20260129800394", "공시열람")</f>
        <v/>
      </c>
    </row>
    <row r="476">
      <c r="A476" s="2" t="inlineStr">
        <is>
          <t>2026-01-29</t>
        </is>
      </c>
      <c r="B476" s="3" t="inlineStr">
        <is>
          <t>인크레더블버즈</t>
        </is>
      </c>
      <c r="C476" s="2" t="inlineStr">
        <is>
          <t>코스닥</t>
        </is>
      </c>
      <c r="D476" s="2" t="inlineStr">
        <is>
          <t>064090</t>
        </is>
      </c>
      <c r="E476" s="3" t="inlineStr">
        <is>
          <t xml:space="preserve">타법인주식및출자증권취득결정(종속회사의주요경영사항)              </t>
        </is>
      </c>
      <c r="F476" s="3" t="inlineStr">
        <is>
          <t>인크레더블버즈</t>
        </is>
      </c>
      <c r="G476" s="2" t="inlineStr">
        <is>
          <t>20260129900357</t>
        </is>
      </c>
      <c r="H476" s="8">
        <f>HYPERLINK("https://dart.fss.or.kr/dsaf001/main.do?rcpNo=20260129900357", "공시열람")</f>
        <v/>
      </c>
    </row>
    <row r="477">
      <c r="A477" s="2" t="inlineStr">
        <is>
          <t>2026-01-29</t>
        </is>
      </c>
      <c r="B477" s="3" t="inlineStr">
        <is>
          <t>한미사이언스</t>
        </is>
      </c>
      <c r="C477" s="2" t="inlineStr">
        <is>
          <t>코스피</t>
        </is>
      </c>
      <c r="D477" s="2" t="inlineStr">
        <is>
          <t>008930</t>
        </is>
      </c>
      <c r="E477" s="3" t="inlineStr">
        <is>
          <t>임원ㆍ주요주주특정증권등소유상황보고서</t>
        </is>
      </c>
      <c r="F477" s="3" t="inlineStr">
        <is>
          <t>김재교</t>
        </is>
      </c>
      <c r="G477" s="2" t="inlineStr">
        <is>
          <t>20260129000382</t>
        </is>
      </c>
      <c r="H477" s="8">
        <f>HYPERLINK("https://dart.fss.or.kr/dsaf001/main.do?rcpNo=20260129000382", "공시열람")</f>
        <v/>
      </c>
    </row>
    <row r="478">
      <c r="A478" s="2" t="inlineStr">
        <is>
          <t>2026-01-29</t>
        </is>
      </c>
      <c r="B478" s="3" t="inlineStr">
        <is>
          <t>금호석유화학</t>
        </is>
      </c>
      <c r="C478" s="2" t="inlineStr">
        <is>
          <t>코스피</t>
        </is>
      </c>
      <c r="D478" s="2" t="inlineStr">
        <is>
          <t>011780</t>
        </is>
      </c>
      <c r="E478" s="3" t="inlineStr">
        <is>
          <t xml:space="preserve">매출액또는손익구조30%(대규모법인은15%)이상변경              </t>
        </is>
      </c>
      <c r="F478" s="3" t="inlineStr">
        <is>
          <t>금호석유화학</t>
        </is>
      </c>
      <c r="G478" s="2" t="inlineStr">
        <is>
          <t>20260129800356</t>
        </is>
      </c>
      <c r="H478" s="8">
        <f>HYPERLINK("https://dart.fss.or.kr/dsaf001/main.do?rcpNo=20260129800356", "공시열람")</f>
        <v/>
      </c>
    </row>
    <row r="479">
      <c r="A479" s="2" t="inlineStr">
        <is>
          <t>2026-01-29</t>
        </is>
      </c>
      <c r="B479" s="3" t="inlineStr">
        <is>
          <t>한미약품</t>
        </is>
      </c>
      <c r="C479" s="2" t="inlineStr">
        <is>
          <t>코스피</t>
        </is>
      </c>
      <c r="D479" s="2" t="inlineStr">
        <is>
          <t>128940</t>
        </is>
      </c>
      <c r="E479" s="3" t="inlineStr">
        <is>
          <t>임원ㆍ주요주주특정증권등소유상황보고서</t>
        </is>
      </c>
      <c r="F479" s="3" t="inlineStr">
        <is>
          <t>김병후</t>
        </is>
      </c>
      <c r="G479" s="2" t="inlineStr">
        <is>
          <t>20260129000376</t>
        </is>
      </c>
      <c r="H479" s="8">
        <f>HYPERLINK("https://dart.fss.or.kr/dsaf001/main.do?rcpNo=20260129000376", "공시열람")</f>
        <v/>
      </c>
    </row>
    <row r="480">
      <c r="A480" s="2" t="inlineStr">
        <is>
          <t>2026-01-29</t>
        </is>
      </c>
      <c r="B480" s="3" t="inlineStr">
        <is>
          <t>한미사이언스</t>
        </is>
      </c>
      <c r="C480" s="2" t="inlineStr">
        <is>
          <t>코스피</t>
        </is>
      </c>
      <c r="D480" s="2" t="inlineStr">
        <is>
          <t>008930</t>
        </is>
      </c>
      <c r="E480" s="3" t="inlineStr">
        <is>
          <t>임원ㆍ주요주주특정증권등소유상황보고서</t>
        </is>
      </c>
      <c r="F480" s="3" t="inlineStr">
        <is>
          <t>김성훈</t>
        </is>
      </c>
      <c r="G480" s="2" t="inlineStr">
        <is>
          <t>20260129000374</t>
        </is>
      </c>
      <c r="H480" s="8">
        <f>HYPERLINK("https://dart.fss.or.kr/dsaf001/main.do?rcpNo=20260129000374", "공시열람")</f>
        <v/>
      </c>
    </row>
    <row r="481">
      <c r="A481" s="2" t="inlineStr">
        <is>
          <t>2026-01-29</t>
        </is>
      </c>
      <c r="B481" s="3" t="inlineStr">
        <is>
          <t>현대자동차</t>
        </is>
      </c>
      <c r="C481" s="2" t="inlineStr">
        <is>
          <t>코스피</t>
        </is>
      </c>
      <c r="D481" s="2" t="inlineStr">
        <is>
          <t>005380</t>
        </is>
      </c>
      <c r="E481" s="3" t="inlineStr">
        <is>
          <t xml:space="preserve">현금ㆍ현물배당결정              </t>
        </is>
      </c>
      <c r="F481" s="3" t="inlineStr">
        <is>
          <t>현대자동차</t>
        </is>
      </c>
      <c r="G481" s="2" t="inlineStr">
        <is>
          <t>20260129800384</t>
        </is>
      </c>
      <c r="H481" s="8">
        <f>HYPERLINK("https://dart.fss.or.kr/dsaf001/main.do?rcpNo=20260129800384", "공시열람")</f>
        <v/>
      </c>
    </row>
    <row r="482">
      <c r="A482" s="2" t="inlineStr">
        <is>
          <t>2026-01-29</t>
        </is>
      </c>
      <c r="B482" s="3" t="inlineStr">
        <is>
          <t>현대자동차</t>
        </is>
      </c>
      <c r="C482" s="2" t="inlineStr">
        <is>
          <t>코스피</t>
        </is>
      </c>
      <c r="D482" s="2" t="inlineStr">
        <is>
          <t>005380</t>
        </is>
      </c>
      <c r="E482" s="3" t="inlineStr">
        <is>
          <t xml:space="preserve">현금ㆍ현물배당을위한주주명부폐쇄(기준일)결정              </t>
        </is>
      </c>
      <c r="F482" s="3" t="inlineStr">
        <is>
          <t>현대자동차</t>
        </is>
      </c>
      <c r="G482" s="2" t="inlineStr">
        <is>
          <t>20260129800380</t>
        </is>
      </c>
      <c r="H482" s="8">
        <f>HYPERLINK("https://dart.fss.or.kr/dsaf001/main.do?rcpNo=20260129800380", "공시열람")</f>
        <v/>
      </c>
    </row>
    <row r="483">
      <c r="A483" s="2" t="inlineStr">
        <is>
          <t>2026-01-29</t>
        </is>
      </c>
      <c r="B483" s="3" t="inlineStr">
        <is>
          <t>한미사이언스</t>
        </is>
      </c>
      <c r="C483" s="2" t="inlineStr">
        <is>
          <t>코스피</t>
        </is>
      </c>
      <c r="D483" s="2" t="inlineStr">
        <is>
          <t>008930</t>
        </is>
      </c>
      <c r="E483" s="3" t="inlineStr">
        <is>
          <t>임원ㆍ주요주주특정증권등소유상황보고서</t>
        </is>
      </c>
      <c r="F483" s="3" t="inlineStr">
        <is>
          <t>권순기</t>
        </is>
      </c>
      <c r="G483" s="2" t="inlineStr">
        <is>
          <t>20260129000364</t>
        </is>
      </c>
      <c r="H483" s="8">
        <f>HYPERLINK("https://dart.fss.or.kr/dsaf001/main.do?rcpNo=20260129000364", "공시열람")</f>
        <v/>
      </c>
    </row>
    <row r="484">
      <c r="A484" s="2" t="inlineStr">
        <is>
          <t>2026-01-29</t>
        </is>
      </c>
      <c r="B484" s="3" t="inlineStr">
        <is>
          <t>한미약품</t>
        </is>
      </c>
      <c r="C484" s="2" t="inlineStr">
        <is>
          <t>코스피</t>
        </is>
      </c>
      <c r="D484" s="2" t="inlineStr">
        <is>
          <t>128940</t>
        </is>
      </c>
      <c r="E484" s="3" t="inlineStr">
        <is>
          <t>임원ㆍ주요주주특정증권등소유상황보고서</t>
        </is>
      </c>
      <c r="F484" s="3" t="inlineStr">
        <is>
          <t>김나영</t>
        </is>
      </c>
      <c r="G484" s="2" t="inlineStr">
        <is>
          <t>20260129000363</t>
        </is>
      </c>
      <c r="H484" s="8">
        <f>HYPERLINK("https://dart.fss.or.kr/dsaf001/main.do?rcpNo=20260129000363", "공시열람")</f>
        <v/>
      </c>
    </row>
    <row r="485">
      <c r="A485" s="2" t="inlineStr">
        <is>
          <t>2026-01-29</t>
        </is>
      </c>
      <c r="B485" s="3" t="inlineStr">
        <is>
          <t>한미약품</t>
        </is>
      </c>
      <c r="C485" s="2" t="inlineStr">
        <is>
          <t>코스피</t>
        </is>
      </c>
      <c r="D485" s="2" t="inlineStr">
        <is>
          <t>128940</t>
        </is>
      </c>
      <c r="E485" s="3" t="inlineStr">
        <is>
          <t>임원ㆍ주요주주특정증권등소유상황보고서</t>
        </is>
      </c>
      <c r="F485" s="3" t="inlineStr">
        <is>
          <t>구인모</t>
        </is>
      </c>
      <c r="G485" s="2" t="inlineStr">
        <is>
          <t>20260129000356</t>
        </is>
      </c>
      <c r="H485" s="8">
        <f>HYPERLINK("https://dart.fss.or.kr/dsaf001/main.do?rcpNo=20260129000356", "공시열람")</f>
        <v/>
      </c>
    </row>
    <row r="486">
      <c r="A486" s="2" t="inlineStr">
        <is>
          <t>2026-01-29</t>
        </is>
      </c>
      <c r="B486" s="3" t="inlineStr">
        <is>
          <t>현대자동차</t>
        </is>
      </c>
      <c r="C486" s="2" t="inlineStr">
        <is>
          <t>코스피</t>
        </is>
      </c>
      <c r="D486" s="2" t="inlineStr">
        <is>
          <t>005380</t>
        </is>
      </c>
      <c r="E486" s="3" t="inlineStr">
        <is>
          <t xml:space="preserve">매출액또는손익구조30%(대규모법인은15%)이상변경              </t>
        </is>
      </c>
      <c r="F486" s="3" t="inlineStr">
        <is>
          <t>현대자동차</t>
        </is>
      </c>
      <c r="G486" s="2" t="inlineStr">
        <is>
          <t>20260129800345</t>
        </is>
      </c>
      <c r="H486" s="8">
        <f>HYPERLINK("https://dart.fss.or.kr/dsaf001/main.do?rcpNo=20260129800345", "공시열람")</f>
        <v/>
      </c>
    </row>
    <row r="487">
      <c r="A487" s="2" t="inlineStr">
        <is>
          <t>2026-01-29</t>
        </is>
      </c>
      <c r="B487" s="3" t="inlineStr">
        <is>
          <t>LX하우시스</t>
        </is>
      </c>
      <c r="C487" s="2" t="inlineStr">
        <is>
          <t>코스피</t>
        </is>
      </c>
      <c r="D487" s="2" t="inlineStr">
        <is>
          <t>108670</t>
        </is>
      </c>
      <c r="E487" s="3" t="inlineStr">
        <is>
          <t xml:space="preserve">결산실적공시예고(안내공시)              </t>
        </is>
      </c>
      <c r="F487" s="3" t="inlineStr">
        <is>
          <t>LX하우시스</t>
        </is>
      </c>
      <c r="G487" s="2" t="inlineStr">
        <is>
          <t>20260129800368</t>
        </is>
      </c>
      <c r="H487" s="8">
        <f>HYPERLINK("https://dart.fss.or.kr/dsaf001/main.do?rcpNo=20260129800368", "공시열람")</f>
        <v/>
      </c>
    </row>
    <row r="488">
      <c r="A488" s="2" t="inlineStr">
        <is>
          <t>2026-01-29</t>
        </is>
      </c>
      <c r="B488" s="3" t="inlineStr">
        <is>
          <t>현대자동차</t>
        </is>
      </c>
      <c r="C488" s="2" t="inlineStr">
        <is>
          <t>코스피</t>
        </is>
      </c>
      <c r="D488" s="2" t="inlineStr">
        <is>
          <t>005380</t>
        </is>
      </c>
      <c r="E488" s="3" t="inlineStr">
        <is>
          <t xml:space="preserve">연결재무제표기준영업(잠정)실적(공정공시)              </t>
        </is>
      </c>
      <c r="F488" s="3" t="inlineStr">
        <is>
          <t>현대자동차</t>
        </is>
      </c>
      <c r="G488" s="2" t="inlineStr">
        <is>
          <t>20260129800342</t>
        </is>
      </c>
      <c r="H488" s="8">
        <f>HYPERLINK("https://dart.fss.or.kr/dsaf001/main.do?rcpNo=20260129800342", "공시열람")</f>
        <v/>
      </c>
    </row>
    <row r="489">
      <c r="A489" s="2" t="inlineStr">
        <is>
          <t>2026-01-29</t>
        </is>
      </c>
      <c r="B489" s="3" t="inlineStr">
        <is>
          <t>교보증권</t>
        </is>
      </c>
      <c r="C489" s="2" t="inlineStr">
        <is>
          <t>코스피</t>
        </is>
      </c>
      <c r="D489" s="2" t="inlineStr">
        <is>
          <t>030610</t>
        </is>
      </c>
      <c r="E489" s="3" t="inlineStr">
        <is>
          <t>일괄신고추가서류(파생결합사채-주가연계파생결합사채)</t>
        </is>
      </c>
      <c r="F489" s="3" t="inlineStr">
        <is>
          <t>교보증권</t>
        </is>
      </c>
      <c r="G489" s="2" t="inlineStr">
        <is>
          <t>20260129000339</t>
        </is>
      </c>
      <c r="H489" s="8">
        <f>HYPERLINK("https://dart.fss.or.kr/dsaf001/main.do?rcpNo=20260129000339", "공시열람")</f>
        <v/>
      </c>
    </row>
    <row r="490">
      <c r="A490" s="2" t="inlineStr">
        <is>
          <t>2026-01-29</t>
        </is>
      </c>
      <c r="B490" s="3" t="inlineStr">
        <is>
          <t>유진증권</t>
        </is>
      </c>
      <c r="C490" s="2" t="inlineStr">
        <is>
          <t>코스피</t>
        </is>
      </c>
      <c r="D490" s="2" t="inlineStr">
        <is>
          <t>001200</t>
        </is>
      </c>
      <c r="E490" s="3" t="inlineStr">
        <is>
          <t>투자설명서(일괄신고)</t>
        </is>
      </c>
      <c r="F490" s="3" t="inlineStr">
        <is>
          <t>유진증권</t>
        </is>
      </c>
      <c r="G490" s="2" t="inlineStr">
        <is>
          <t>20260129000337</t>
        </is>
      </c>
      <c r="H490" s="8">
        <f>HYPERLINK("https://dart.fss.or.kr/dsaf001/main.do?rcpNo=20260129000337", "공시열람")</f>
        <v/>
      </c>
    </row>
    <row r="491">
      <c r="A491" s="2" t="inlineStr">
        <is>
          <t>2026-01-29</t>
        </is>
      </c>
      <c r="B491" s="3" t="inlineStr">
        <is>
          <t>현대자동차</t>
        </is>
      </c>
      <c r="C491" s="2" t="inlineStr">
        <is>
          <t>코스피</t>
        </is>
      </c>
      <c r="D491" s="2" t="inlineStr">
        <is>
          <t>005380</t>
        </is>
      </c>
      <c r="E491" s="3" t="inlineStr">
        <is>
          <t xml:space="preserve">장래사업ㆍ경영계획(공정공시)              </t>
        </is>
      </c>
      <c r="F491" s="3" t="inlineStr">
        <is>
          <t>현대자동차</t>
        </is>
      </c>
      <c r="G491" s="2" t="inlineStr">
        <is>
          <t>20260129800348</t>
        </is>
      </c>
      <c r="H491" s="8">
        <f>HYPERLINK("https://dart.fss.or.kr/dsaf001/main.do?rcpNo=20260129800348", "공시열람")</f>
        <v/>
      </c>
    </row>
    <row r="492">
      <c r="A492" s="2" t="inlineStr">
        <is>
          <t>2026-01-29</t>
        </is>
      </c>
      <c r="B492" s="3" t="inlineStr">
        <is>
          <t>키움증권</t>
        </is>
      </c>
      <c r="C492" s="2" t="inlineStr">
        <is>
          <t>코스피</t>
        </is>
      </c>
      <c r="D492" s="2" t="inlineStr">
        <is>
          <t>039490</t>
        </is>
      </c>
      <c r="E492" s="3" t="inlineStr">
        <is>
          <t>일괄신고추가서류(파생결합사채-주가연계파생결합사채)</t>
        </is>
      </c>
      <c r="F492" s="3" t="inlineStr">
        <is>
          <t>키움증권</t>
        </is>
      </c>
      <c r="G492" s="2" t="inlineStr">
        <is>
          <t>20260129000321</t>
        </is>
      </c>
      <c r="H492" s="8">
        <f>HYPERLINK("https://dart.fss.or.kr/dsaf001/main.do?rcpNo=20260129000321", "공시열람")</f>
        <v/>
      </c>
    </row>
    <row r="493">
      <c r="A493" s="2" t="inlineStr">
        <is>
          <t>2026-01-29</t>
        </is>
      </c>
      <c r="B493" s="3" t="inlineStr">
        <is>
          <t>LX세미콘</t>
        </is>
      </c>
      <c r="C493" s="2" t="inlineStr">
        <is>
          <t>코스피</t>
        </is>
      </c>
      <c r="D493" s="2" t="inlineStr">
        <is>
          <t>108320</t>
        </is>
      </c>
      <c r="E493" s="3" t="inlineStr">
        <is>
          <t xml:space="preserve">기업설명회(IR)개최(안내공시)              </t>
        </is>
      </c>
      <c r="F493" s="3" t="inlineStr">
        <is>
          <t>LX세미콘</t>
        </is>
      </c>
      <c r="G493" s="2" t="inlineStr">
        <is>
          <t>20260129800336</t>
        </is>
      </c>
      <c r="H493" s="8">
        <f>HYPERLINK("https://dart.fss.or.kr/dsaf001/main.do?rcpNo=20260129800336", "공시열람")</f>
        <v/>
      </c>
    </row>
    <row r="494">
      <c r="A494" s="2" t="inlineStr">
        <is>
          <t>2026-01-29</t>
        </is>
      </c>
      <c r="B494" s="3" t="inlineStr">
        <is>
          <t>유진증권</t>
        </is>
      </c>
      <c r="C494" s="2" t="inlineStr">
        <is>
          <t>코스피</t>
        </is>
      </c>
      <c r="D494" s="2" t="inlineStr">
        <is>
          <t>001200</t>
        </is>
      </c>
      <c r="E494" s="3" t="inlineStr">
        <is>
          <t>일괄신고추가서류(파생결합증권-주가연계증권)</t>
        </is>
      </c>
      <c r="F494" s="3" t="inlineStr">
        <is>
          <t>유진증권</t>
        </is>
      </c>
      <c r="G494" s="2" t="inlineStr">
        <is>
          <t>20260129000319</t>
        </is>
      </c>
      <c r="H494" s="8">
        <f>HYPERLINK("https://dart.fss.or.kr/dsaf001/main.do?rcpNo=20260129000319", "공시열람")</f>
        <v/>
      </c>
    </row>
    <row r="495">
      <c r="A495" s="2" t="inlineStr">
        <is>
          <t>2026-01-29</t>
        </is>
      </c>
      <c r="B495" s="3" t="inlineStr">
        <is>
          <t>태양</t>
        </is>
      </c>
      <c r="C495" s="2" t="inlineStr">
        <is>
          <t>코스닥</t>
        </is>
      </c>
      <c r="D495" s="2" t="inlineStr">
        <is>
          <t>053620</t>
        </is>
      </c>
      <c r="E495" s="3" t="inlineStr">
        <is>
          <t xml:space="preserve">매출액또는손익구조30%(대규모법인은15%)이상변동              </t>
        </is>
      </c>
      <c r="F495" s="3" t="inlineStr">
        <is>
          <t>태양</t>
        </is>
      </c>
      <c r="G495" s="2" t="inlineStr">
        <is>
          <t>20260129900319</t>
        </is>
      </c>
      <c r="H495" s="8">
        <f>HYPERLINK("https://dart.fss.or.kr/dsaf001/main.do?rcpNo=20260129900319", "공시열람")</f>
        <v/>
      </c>
    </row>
    <row r="496">
      <c r="A496" s="2" t="inlineStr">
        <is>
          <t>2026-01-29</t>
        </is>
      </c>
      <c r="B496" s="3" t="inlineStr">
        <is>
          <t>로지스몬</t>
        </is>
      </c>
      <c r="C496" s="2" t="inlineStr">
        <is>
          <t>코넥스</t>
        </is>
      </c>
      <c r="D496" s="2" t="inlineStr">
        <is>
          <t>223220</t>
        </is>
      </c>
      <c r="E496" s="3" t="inlineStr">
        <is>
          <t>전환가액의조정              (제5회차)</t>
        </is>
      </c>
      <c r="F496" s="3" t="inlineStr">
        <is>
          <t>로지스몬</t>
        </is>
      </c>
      <c r="G496" s="2" t="inlineStr">
        <is>
          <t>20260129600315</t>
        </is>
      </c>
      <c r="H496" s="8">
        <f>HYPERLINK("https://dart.fss.or.kr/dsaf001/main.do?rcpNo=20260129600315", "공시열람")</f>
        <v/>
      </c>
    </row>
    <row r="497">
      <c r="A497" s="2" t="inlineStr">
        <is>
          <t>2026-01-29</t>
        </is>
      </c>
      <c r="B497" s="3" t="inlineStr">
        <is>
          <t>LX세미콘</t>
        </is>
      </c>
      <c r="C497" s="2" t="inlineStr">
        <is>
          <t>코스피</t>
        </is>
      </c>
      <c r="D497" s="2" t="inlineStr">
        <is>
          <t>108320</t>
        </is>
      </c>
      <c r="E497" s="3" t="inlineStr">
        <is>
          <t xml:space="preserve">결산실적공시예고(안내공시)              </t>
        </is>
      </c>
      <c r="F497" s="3" t="inlineStr">
        <is>
          <t>LX세미콘</t>
        </is>
      </c>
      <c r="G497" s="2" t="inlineStr">
        <is>
          <t>20260129800314</t>
        </is>
      </c>
      <c r="H497" s="8">
        <f>HYPERLINK("https://dart.fss.or.kr/dsaf001/main.do?rcpNo=20260129800314", "공시열람")</f>
        <v/>
      </c>
    </row>
    <row r="498">
      <c r="A498" s="2" t="inlineStr">
        <is>
          <t>2026-01-29</t>
        </is>
      </c>
      <c r="B498" s="3" t="inlineStr">
        <is>
          <t>잉크테크</t>
        </is>
      </c>
      <c r="C498" s="2" t="inlineStr">
        <is>
          <t>코스닥</t>
        </is>
      </c>
      <c r="D498" s="2" t="inlineStr">
        <is>
          <t>049550</t>
        </is>
      </c>
      <c r="E498" s="3" t="inlineStr">
        <is>
          <t>임원ㆍ주요주주특정증권등소유상황보고서</t>
        </is>
      </c>
      <c r="F498" s="3" t="inlineStr">
        <is>
          <t>김정돈</t>
        </is>
      </c>
      <c r="G498" s="2" t="inlineStr">
        <is>
          <t>20260129000291</t>
        </is>
      </c>
      <c r="H498" s="8">
        <f>HYPERLINK("https://dart.fss.or.kr/dsaf001/main.do?rcpNo=20260129000291", "공시열람")</f>
        <v/>
      </c>
    </row>
    <row r="499">
      <c r="A499" s="2" t="inlineStr">
        <is>
          <t>2026-01-29</t>
        </is>
      </c>
      <c r="B499" s="3" t="inlineStr">
        <is>
          <t>삼영이엔씨</t>
        </is>
      </c>
      <c r="C499" s="2" t="inlineStr">
        <is>
          <t>코스닥</t>
        </is>
      </c>
      <c r="D499" s="2" t="inlineStr">
        <is>
          <t>065570</t>
        </is>
      </c>
      <c r="E499" s="3" t="inlineStr">
        <is>
          <t>소송등의판결ㆍ결정              (이사회결의무효확인의소)</t>
        </is>
      </c>
      <c r="F499" s="3" t="inlineStr">
        <is>
          <t>삼영이엔씨</t>
        </is>
      </c>
      <c r="G499" s="2" t="inlineStr">
        <is>
          <t>20260129900312</t>
        </is>
      </c>
      <c r="H499" s="8">
        <f>HYPERLINK("https://dart.fss.or.kr/dsaf001/main.do?rcpNo=20260129900312", "공시열람")</f>
        <v/>
      </c>
    </row>
    <row r="500">
      <c r="A500" s="2" t="inlineStr">
        <is>
          <t>2026-01-29</t>
        </is>
      </c>
      <c r="B500" s="3" t="inlineStr">
        <is>
          <t>포스코엠텍</t>
        </is>
      </c>
      <c r="C500" s="2" t="inlineStr">
        <is>
          <t>코스닥</t>
        </is>
      </c>
      <c r="D500" s="2" t="inlineStr">
        <is>
          <t>009520</t>
        </is>
      </c>
      <c r="E500" s="3" t="inlineStr">
        <is>
          <t xml:space="preserve">영업(잠정)실적(공정공시)              </t>
        </is>
      </c>
      <c r="F500" s="3" t="inlineStr">
        <is>
          <t>포스코엠텍</t>
        </is>
      </c>
      <c r="G500" s="2" t="inlineStr">
        <is>
          <t>20260129900313</t>
        </is>
      </c>
      <c r="H500" s="8">
        <f>HYPERLINK("https://dart.fss.or.kr/dsaf001/main.do?rcpNo=20260129900313", "공시열람")</f>
        <v/>
      </c>
    </row>
    <row r="501">
      <c r="A501" s="2" t="inlineStr">
        <is>
          <t>2026-01-29</t>
        </is>
      </c>
      <c r="B501" s="3" t="inlineStr">
        <is>
          <t>아이씨에이치</t>
        </is>
      </c>
      <c r="C501" s="2" t="inlineStr">
        <is>
          <t>코스닥</t>
        </is>
      </c>
      <c r="D501" s="2" t="inlineStr">
        <is>
          <t>368600</t>
        </is>
      </c>
      <c r="E501" s="3" t="inlineStr">
        <is>
          <t>유상증자최종발행가액확정              (주주배정후 실권주 일반공모)</t>
        </is>
      </c>
      <c r="F501" s="3" t="inlineStr">
        <is>
          <t>아이씨에이치</t>
        </is>
      </c>
      <c r="G501" s="2" t="inlineStr">
        <is>
          <t>20260129900309</t>
        </is>
      </c>
      <c r="H501" s="8">
        <f>HYPERLINK("https://dart.fss.or.kr/dsaf001/main.do?rcpNo=20260129900309", "공시열람")</f>
        <v/>
      </c>
    </row>
    <row r="502">
      <c r="A502" s="2" t="inlineStr">
        <is>
          <t>2026-01-29</t>
        </is>
      </c>
      <c r="B502" s="3" t="inlineStr">
        <is>
          <t>교보증권</t>
        </is>
      </c>
      <c r="C502" s="2" t="inlineStr">
        <is>
          <t>코스피</t>
        </is>
      </c>
      <c r="D502" s="2" t="inlineStr">
        <is>
          <t>030610</t>
        </is>
      </c>
      <c r="E502" s="3" t="inlineStr">
        <is>
          <t>증권발행실적보고서</t>
        </is>
      </c>
      <c r="F502" s="3" t="inlineStr">
        <is>
          <t>교보증권</t>
        </is>
      </c>
      <c r="G502" s="2" t="inlineStr">
        <is>
          <t>20260129000281</t>
        </is>
      </c>
      <c r="H502" s="8">
        <f>HYPERLINK("https://dart.fss.or.kr/dsaf001/main.do?rcpNo=20260129000281", "공시열람")</f>
        <v/>
      </c>
    </row>
    <row r="503">
      <c r="A503" s="2" t="inlineStr">
        <is>
          <t>2026-01-29</t>
        </is>
      </c>
      <c r="B503" s="3" t="inlineStr">
        <is>
          <t>대신증권</t>
        </is>
      </c>
      <c r="C503" s="2" t="inlineStr">
        <is>
          <t>코스피</t>
        </is>
      </c>
      <c r="D503" s="2" t="inlineStr">
        <is>
          <t>003540</t>
        </is>
      </c>
      <c r="E503" s="3" t="inlineStr">
        <is>
          <t>증권발행실적보고서</t>
        </is>
      </c>
      <c r="F503" s="3" t="inlineStr">
        <is>
          <t>대신증권</t>
        </is>
      </c>
      <c r="G503" s="2" t="inlineStr">
        <is>
          <t>20260129000278</t>
        </is>
      </c>
      <c r="H503" s="8">
        <f>HYPERLINK("https://dart.fss.or.kr/dsaf001/main.do?rcpNo=20260129000278", "공시열람")</f>
        <v/>
      </c>
    </row>
    <row r="504">
      <c r="A504" s="2" t="inlineStr">
        <is>
          <t>2026-01-29</t>
        </is>
      </c>
      <c r="B504" s="3" t="inlineStr">
        <is>
          <t>교보증권</t>
        </is>
      </c>
      <c r="C504" s="2" t="inlineStr">
        <is>
          <t>코스피</t>
        </is>
      </c>
      <c r="D504" s="2" t="inlineStr">
        <is>
          <t>030610</t>
        </is>
      </c>
      <c r="E504" s="3" t="inlineStr">
        <is>
          <t>증권발행실적보고서</t>
        </is>
      </c>
      <c r="F504" s="3" t="inlineStr">
        <is>
          <t>교보증권</t>
        </is>
      </c>
      <c r="G504" s="2" t="inlineStr">
        <is>
          <t>20260129000270</t>
        </is>
      </c>
      <c r="H504" s="8">
        <f>HYPERLINK("https://dart.fss.or.kr/dsaf001/main.do?rcpNo=20260129000270", "공시열람")</f>
        <v/>
      </c>
    </row>
    <row r="505">
      <c r="A505" s="2" t="inlineStr">
        <is>
          <t>2026-01-29</t>
        </is>
      </c>
      <c r="B505" s="3" t="inlineStr">
        <is>
          <t>롯데손해보험</t>
        </is>
      </c>
      <c r="C505" s="2" t="inlineStr">
        <is>
          <t>코스피</t>
        </is>
      </c>
      <c r="D505" s="2" t="inlineStr">
        <is>
          <t>000400</t>
        </is>
      </c>
      <c r="E505" s="3" t="inlineStr">
        <is>
          <t xml:space="preserve">기타경영사항(자율공시)              </t>
        </is>
      </c>
      <c r="F505" s="3" t="inlineStr">
        <is>
          <t>롯데손해보험</t>
        </is>
      </c>
      <c r="G505" s="2" t="inlineStr">
        <is>
          <t>20260129800286</t>
        </is>
      </c>
      <c r="H505" s="8">
        <f>HYPERLINK("https://dart.fss.or.kr/dsaf001/main.do?rcpNo=20260129800286", "공시열람")</f>
        <v/>
      </c>
    </row>
    <row r="506">
      <c r="A506" s="2" t="inlineStr">
        <is>
          <t>2026-01-29</t>
        </is>
      </c>
      <c r="B506" s="3" t="inlineStr">
        <is>
          <t>키움증권</t>
        </is>
      </c>
      <c r="C506" s="2" t="inlineStr">
        <is>
          <t>코스피</t>
        </is>
      </c>
      <c r="D506" s="2" t="inlineStr">
        <is>
          <t>039490</t>
        </is>
      </c>
      <c r="E506" s="3" t="inlineStr">
        <is>
          <t>일괄신고추가서류(파생결합사채-주가연계파생결합사채)</t>
        </is>
      </c>
      <c r="F506" s="3" t="inlineStr">
        <is>
          <t>키움증권</t>
        </is>
      </c>
      <c r="G506" s="2" t="inlineStr">
        <is>
          <t>20260129000262</t>
        </is>
      </c>
      <c r="H506" s="8">
        <f>HYPERLINK("https://dart.fss.or.kr/dsaf001/main.do?rcpNo=20260129000262", "공시열람")</f>
        <v/>
      </c>
    </row>
    <row r="507">
      <c r="A507" s="2" t="inlineStr">
        <is>
          <t>2026-01-29 (정정: 2026-03-10)</t>
        </is>
      </c>
      <c r="B507" s="3" t="inlineStr">
        <is>
          <t>듀켐바이오</t>
        </is>
      </c>
      <c r="C507" s="2" t="inlineStr">
        <is>
          <t>코스닥</t>
        </is>
      </c>
      <c r="D507" s="2" t="inlineStr">
        <is>
          <t>176750</t>
        </is>
      </c>
      <c r="E507" s="3" t="inlineStr">
        <is>
          <t>매출액또는손익구조30%(대규모법인은15%)이상변동               (정정: 20260310)</t>
        </is>
      </c>
      <c r="F507" s="3" t="inlineStr">
        <is>
          <t>듀켐바이오</t>
        </is>
      </c>
      <c r="G507" s="2" t="inlineStr">
        <is>
          <t>20260310900615</t>
        </is>
      </c>
      <c r="H507" s="8">
        <f>HYPERLINK("https://dart.fss.or.kr/dsaf001/main.do?rcpNo=20260310900615", "공시열람")</f>
        <v/>
      </c>
    </row>
    <row r="508">
      <c r="A508" s="2" t="inlineStr">
        <is>
          <t>2026-01-29</t>
        </is>
      </c>
      <c r="B508" s="3" t="inlineStr">
        <is>
          <t>신흥</t>
        </is>
      </c>
      <c r="C508" s="2" t="inlineStr">
        <is>
          <t>코스피</t>
        </is>
      </c>
      <c r="D508" s="2" t="inlineStr">
        <is>
          <t>004080</t>
        </is>
      </c>
      <c r="E508" s="3" t="inlineStr">
        <is>
          <t>임원ㆍ주요주주특정증권등소유상황보고서</t>
        </is>
      </c>
      <c r="F508" s="3" t="inlineStr">
        <is>
          <t>이용익</t>
        </is>
      </c>
      <c r="G508" s="2" t="inlineStr">
        <is>
          <t>20260129000259</t>
        </is>
      </c>
      <c r="H508" s="8">
        <f>HYPERLINK("https://dart.fss.or.kr/dsaf001/main.do?rcpNo=20260129000259", "공시열람")</f>
        <v/>
      </c>
    </row>
    <row r="509">
      <c r="A509" s="2" t="inlineStr">
        <is>
          <t>2026-01-29</t>
        </is>
      </c>
      <c r="B509" s="3" t="inlineStr">
        <is>
          <t>시선AI</t>
        </is>
      </c>
      <c r="C509" s="2" t="inlineStr">
        <is>
          <t>코스닥</t>
        </is>
      </c>
      <c r="D509" s="2" t="inlineStr">
        <is>
          <t>340810</t>
        </is>
      </c>
      <c r="E509" s="3" t="inlineStr">
        <is>
          <t>전환가액의조정              (제4회차)</t>
        </is>
      </c>
      <c r="F509" s="3" t="inlineStr">
        <is>
          <t>시선AI</t>
        </is>
      </c>
      <c r="G509" s="2" t="inlineStr">
        <is>
          <t>20260129900279</t>
        </is>
      </c>
      <c r="H509" s="8">
        <f>HYPERLINK("https://dart.fss.or.kr/dsaf001/main.do?rcpNo=20260129900279", "공시열람")</f>
        <v/>
      </c>
    </row>
    <row r="510">
      <c r="A510" s="2" t="inlineStr">
        <is>
          <t>2026-01-29</t>
        </is>
      </c>
      <c r="B510" s="3" t="inlineStr">
        <is>
          <t>이월드</t>
        </is>
      </c>
      <c r="C510" s="2" t="inlineStr">
        <is>
          <t>코스피</t>
        </is>
      </c>
      <c r="D510" s="2" t="inlineStr">
        <is>
          <t>084680</t>
        </is>
      </c>
      <c r="E510" s="3" t="inlineStr">
        <is>
          <t xml:space="preserve">대표이사(대표집행임원)변경(안내공시)              </t>
        </is>
      </c>
      <c r="F510" s="3" t="inlineStr">
        <is>
          <t>이월드</t>
        </is>
      </c>
      <c r="G510" s="2" t="inlineStr">
        <is>
          <t>20260129800273</t>
        </is>
      </c>
      <c r="H510" s="8">
        <f>HYPERLINK("https://dart.fss.or.kr/dsaf001/main.do?rcpNo=20260129800273", "공시열람")</f>
        <v/>
      </c>
    </row>
    <row r="511">
      <c r="A511" s="2" t="inlineStr">
        <is>
          <t>2026-01-29</t>
        </is>
      </c>
      <c r="B511" s="3" t="inlineStr">
        <is>
          <t>삼성카드</t>
        </is>
      </c>
      <c r="C511" s="2" t="inlineStr">
        <is>
          <t>코스피</t>
        </is>
      </c>
      <c r="D511" s="2" t="inlineStr">
        <is>
          <t>029780</t>
        </is>
      </c>
      <c r="E511" s="3" t="inlineStr">
        <is>
          <t xml:space="preserve">기업설명회(IR)개최(안내공시)              </t>
        </is>
      </c>
      <c r="F511" s="3" t="inlineStr">
        <is>
          <t>삼성카드</t>
        </is>
      </c>
      <c r="G511" s="2" t="inlineStr">
        <is>
          <t>20260129800277</t>
        </is>
      </c>
      <c r="H511" s="8">
        <f>HYPERLINK("https://dart.fss.or.kr/dsaf001/main.do?rcpNo=20260129800277", "공시열람")</f>
        <v/>
      </c>
    </row>
    <row r="512">
      <c r="A512" s="2" t="inlineStr">
        <is>
          <t>2026-01-29</t>
        </is>
      </c>
      <c r="B512" s="3" t="inlineStr">
        <is>
          <t>교보증권</t>
        </is>
      </c>
      <c r="C512" s="2" t="inlineStr">
        <is>
          <t>코스피</t>
        </is>
      </c>
      <c r="D512" s="2" t="inlineStr">
        <is>
          <t>030610</t>
        </is>
      </c>
      <c r="E512" s="3" t="inlineStr">
        <is>
          <t>투자설명서(일괄신고)</t>
        </is>
      </c>
      <c r="F512" s="3" t="inlineStr">
        <is>
          <t>교보증권</t>
        </is>
      </c>
      <c r="G512" s="2" t="inlineStr">
        <is>
          <t>20260129000251</t>
        </is>
      </c>
      <c r="H512" s="8">
        <f>HYPERLINK("https://dart.fss.or.kr/dsaf001/main.do?rcpNo=20260129000251", "공시열람")</f>
        <v/>
      </c>
    </row>
    <row r="513">
      <c r="A513" s="2" t="inlineStr">
        <is>
          <t>2026-01-29</t>
        </is>
      </c>
      <c r="B513" s="3" t="inlineStr">
        <is>
          <t>포스코퓨처엠</t>
        </is>
      </c>
      <c r="C513" s="2" t="inlineStr">
        <is>
          <t>코스피</t>
        </is>
      </c>
      <c r="D513" s="2" t="inlineStr">
        <is>
          <t>003670</t>
        </is>
      </c>
      <c r="E513" s="3" t="inlineStr">
        <is>
          <t xml:space="preserve">연결재무제표기준영업(잠정)실적(공정공시)              </t>
        </is>
      </c>
      <c r="F513" s="3" t="inlineStr">
        <is>
          <t>포스코퓨처엠</t>
        </is>
      </c>
      <c r="G513" s="2" t="inlineStr">
        <is>
          <t>20260129800269</t>
        </is>
      </c>
      <c r="H513" s="8">
        <f>HYPERLINK("https://dart.fss.or.kr/dsaf001/main.do?rcpNo=20260129800269", "공시열람")</f>
        <v/>
      </c>
    </row>
    <row r="514">
      <c r="A514" s="2" t="inlineStr">
        <is>
          <t>2026-01-29</t>
        </is>
      </c>
      <c r="B514" s="3" t="inlineStr">
        <is>
          <t>포스코퓨처엠</t>
        </is>
      </c>
      <c r="C514" s="2" t="inlineStr">
        <is>
          <t>코스피</t>
        </is>
      </c>
      <c r="D514" s="2" t="inlineStr">
        <is>
          <t>003670</t>
        </is>
      </c>
      <c r="E514" s="3" t="inlineStr">
        <is>
          <t xml:space="preserve">영업(잠정)실적(공정공시)              </t>
        </is>
      </c>
      <c r="F514" s="3" t="inlineStr">
        <is>
          <t>포스코퓨처엠</t>
        </is>
      </c>
      <c r="G514" s="2" t="inlineStr">
        <is>
          <t>20260129800268</t>
        </is>
      </c>
      <c r="H514" s="8">
        <f>HYPERLINK("https://dart.fss.or.kr/dsaf001/main.do?rcpNo=20260129800268", "공시열람")</f>
        <v/>
      </c>
    </row>
    <row r="515">
      <c r="A515" s="2" t="inlineStr">
        <is>
          <t>2026-01-29</t>
        </is>
      </c>
      <c r="B515" s="3" t="inlineStr">
        <is>
          <t>포스코퓨처엠</t>
        </is>
      </c>
      <c r="C515" s="2" t="inlineStr">
        <is>
          <t>코스피</t>
        </is>
      </c>
      <c r="D515" s="2" t="inlineStr">
        <is>
          <t>003670</t>
        </is>
      </c>
      <c r="E515" s="3" t="inlineStr">
        <is>
          <t xml:space="preserve">매출액또는손익구조30%(대규모법인은15%)이상변경              </t>
        </is>
      </c>
      <c r="F515" s="3" t="inlineStr">
        <is>
          <t>포스코퓨처엠</t>
        </is>
      </c>
      <c r="G515" s="2" t="inlineStr">
        <is>
          <t>20260129800267</t>
        </is>
      </c>
      <c r="H515" s="8">
        <f>HYPERLINK("https://dart.fss.or.kr/dsaf001/main.do?rcpNo=20260129800267", "공시열람")</f>
        <v/>
      </c>
    </row>
    <row r="516">
      <c r="A516" s="2" t="inlineStr">
        <is>
          <t>2026-01-29</t>
        </is>
      </c>
      <c r="B516" s="3" t="inlineStr">
        <is>
          <t>밸로프</t>
        </is>
      </c>
      <c r="C516" s="2" t="inlineStr">
        <is>
          <t>코스닥</t>
        </is>
      </c>
      <c r="D516" s="2" t="inlineStr">
        <is>
          <t>331520</t>
        </is>
      </c>
      <c r="E516" s="3" t="inlineStr">
        <is>
          <t>임원ㆍ주요주주특정증권등소유상황보고서</t>
        </is>
      </c>
      <c r="F516" s="3" t="inlineStr">
        <is>
          <t>신재명</t>
        </is>
      </c>
      <c r="G516" s="2" t="inlineStr">
        <is>
          <t>20260129000246</t>
        </is>
      </c>
      <c r="H516" s="8">
        <f>HYPERLINK("https://dart.fss.or.kr/dsaf001/main.do?rcpNo=20260129000246", "공시열람")</f>
        <v/>
      </c>
    </row>
    <row r="517">
      <c r="A517" s="2" t="inlineStr">
        <is>
          <t>2026-01-29</t>
        </is>
      </c>
      <c r="B517" s="3" t="inlineStr">
        <is>
          <t>한양디지텍</t>
        </is>
      </c>
      <c r="C517" s="2" t="inlineStr">
        <is>
          <t>코스닥</t>
        </is>
      </c>
      <c r="D517" s="2" t="inlineStr">
        <is>
          <t>078350</t>
        </is>
      </c>
      <c r="E517" s="3" t="inlineStr">
        <is>
          <t xml:space="preserve">대표이사변경              </t>
        </is>
      </c>
      <c r="F517" s="3" t="inlineStr">
        <is>
          <t>한양디지텍</t>
        </is>
      </c>
      <c r="G517" s="2" t="inlineStr">
        <is>
          <t>20260129900246</t>
        </is>
      </c>
      <c r="H517" s="8">
        <f>HYPERLINK("https://dart.fss.or.kr/dsaf001/main.do?rcpNo=20260129900246", "공시열람")</f>
        <v/>
      </c>
    </row>
    <row r="518">
      <c r="A518" s="2" t="inlineStr">
        <is>
          <t>2026-01-29</t>
        </is>
      </c>
      <c r="B518" s="3" t="inlineStr">
        <is>
          <t>지앤비에스 에코</t>
        </is>
      </c>
      <c r="C518" s="2" t="inlineStr">
        <is>
          <t>코스닥</t>
        </is>
      </c>
      <c r="D518" s="2" t="inlineStr">
        <is>
          <t>382800</t>
        </is>
      </c>
      <c r="E518" s="3" t="inlineStr">
        <is>
          <t xml:space="preserve">현금ㆍ현물배당결정              </t>
        </is>
      </c>
      <c r="F518" s="3" t="inlineStr">
        <is>
          <t>지앤비에스 에코</t>
        </is>
      </c>
      <c r="G518" s="2" t="inlineStr">
        <is>
          <t>20260129900235</t>
        </is>
      </c>
      <c r="H518" s="8">
        <f>HYPERLINK("https://dart.fss.or.kr/dsaf001/main.do?rcpNo=20260129900235", "공시열람")</f>
        <v/>
      </c>
    </row>
    <row r="519">
      <c r="A519" s="2" t="inlineStr">
        <is>
          <t>2026-01-29</t>
        </is>
      </c>
      <c r="B519" s="3" t="inlineStr">
        <is>
          <t>현대오토에버</t>
        </is>
      </c>
      <c r="C519" s="2" t="inlineStr">
        <is>
          <t>코스피</t>
        </is>
      </c>
      <c r="D519" s="2" t="inlineStr">
        <is>
          <t>307950</t>
        </is>
      </c>
      <c r="E519" s="3" t="inlineStr">
        <is>
          <t xml:space="preserve">공정거래자율준수프로그램운영현황(안내공시)              </t>
        </is>
      </c>
      <c r="F519" s="3" t="inlineStr">
        <is>
          <t>현대오토에버</t>
        </is>
      </c>
      <c r="G519" s="2" t="inlineStr">
        <is>
          <t>20260129800247</t>
        </is>
      </c>
      <c r="H519" s="8">
        <f>HYPERLINK("https://dart.fss.or.kr/dsaf001/main.do?rcpNo=20260129800247", "공시열람")</f>
        <v/>
      </c>
    </row>
    <row r="520">
      <c r="A520" s="2" t="inlineStr">
        <is>
          <t>2026-01-29</t>
        </is>
      </c>
      <c r="B520" s="3" t="inlineStr">
        <is>
          <t>현대오토에버</t>
        </is>
      </c>
      <c r="C520" s="2" t="inlineStr">
        <is>
          <t>코스피</t>
        </is>
      </c>
      <c r="D520" s="2" t="inlineStr">
        <is>
          <t>307950</t>
        </is>
      </c>
      <c r="E520" s="3" t="inlineStr">
        <is>
          <t xml:space="preserve">현금ㆍ현물배당을위한주주명부폐쇄(기준일)결정              </t>
        </is>
      </c>
      <c r="F520" s="3" t="inlineStr">
        <is>
          <t>현대오토에버</t>
        </is>
      </c>
      <c r="G520" s="2" t="inlineStr">
        <is>
          <t>20260129800242</t>
        </is>
      </c>
      <c r="H520" s="8">
        <f>HYPERLINK("https://dart.fss.or.kr/dsaf001/main.do?rcpNo=20260129800242", "공시열람")</f>
        <v/>
      </c>
    </row>
    <row r="521">
      <c r="A521" s="2" t="inlineStr">
        <is>
          <t>2026-01-29</t>
        </is>
      </c>
      <c r="B521" s="3" t="inlineStr">
        <is>
          <t>현대오토에버</t>
        </is>
      </c>
      <c r="C521" s="2" t="inlineStr">
        <is>
          <t>코스피</t>
        </is>
      </c>
      <c r="D521" s="2" t="inlineStr">
        <is>
          <t>307950</t>
        </is>
      </c>
      <c r="E521" s="3" t="inlineStr">
        <is>
          <t xml:space="preserve">현금ㆍ현물배당결정              </t>
        </is>
      </c>
      <c r="F521" s="3" t="inlineStr">
        <is>
          <t>현대오토에버</t>
        </is>
      </c>
      <c r="G521" s="2" t="inlineStr">
        <is>
          <t>20260129800239</t>
        </is>
      </c>
      <c r="H521" s="8">
        <f>HYPERLINK("https://dart.fss.or.kr/dsaf001/main.do?rcpNo=20260129800239", "공시열람")</f>
        <v/>
      </c>
    </row>
    <row r="522">
      <c r="A522" s="2" t="inlineStr">
        <is>
          <t>2026-01-29</t>
        </is>
      </c>
      <c r="B522" s="3" t="inlineStr">
        <is>
          <t>지앤비에스 에코</t>
        </is>
      </c>
      <c r="C522" s="2" t="inlineStr">
        <is>
          <t>코스닥</t>
        </is>
      </c>
      <c r="D522" s="2" t="inlineStr">
        <is>
          <t>382800</t>
        </is>
      </c>
      <c r="E522" s="3" t="inlineStr">
        <is>
          <t xml:space="preserve">매출액또는손익구조30%(대규모법인은15%)이상변동              </t>
        </is>
      </c>
      <c r="F522" s="3" t="inlineStr">
        <is>
          <t>지앤비에스 에코</t>
        </is>
      </c>
      <c r="G522" s="2" t="inlineStr">
        <is>
          <t>20260129900202</t>
        </is>
      </c>
      <c r="H522" s="8">
        <f>HYPERLINK("https://dart.fss.or.kr/dsaf001/main.do?rcpNo=20260129900202", "공시열람")</f>
        <v/>
      </c>
    </row>
    <row r="523">
      <c r="A523" s="2" t="inlineStr">
        <is>
          <t>2026-01-29</t>
        </is>
      </c>
      <c r="B523" s="3" t="inlineStr">
        <is>
          <t>교보증권</t>
        </is>
      </c>
      <c r="C523" s="2" t="inlineStr">
        <is>
          <t>코스피</t>
        </is>
      </c>
      <c r="D523" s="2" t="inlineStr">
        <is>
          <t>030610</t>
        </is>
      </c>
      <c r="E523" s="3" t="inlineStr">
        <is>
          <t>일괄신고추가서류(파생결합증권-주가연계증권)</t>
        </is>
      </c>
      <c r="F523" s="3" t="inlineStr">
        <is>
          <t>교보증권</t>
        </is>
      </c>
      <c r="G523" s="2" t="inlineStr">
        <is>
          <t>20260129000216</t>
        </is>
      </c>
      <c r="H523" s="8">
        <f>HYPERLINK("https://dart.fss.or.kr/dsaf001/main.do?rcpNo=20260129000216", "공시열람")</f>
        <v/>
      </c>
    </row>
    <row r="524">
      <c r="A524" s="2" t="inlineStr">
        <is>
          <t>2026-01-29</t>
        </is>
      </c>
      <c r="B524" s="3" t="inlineStr">
        <is>
          <t>교보증권</t>
        </is>
      </c>
      <c r="C524" s="2" t="inlineStr">
        <is>
          <t>코스피</t>
        </is>
      </c>
      <c r="D524" s="2" t="inlineStr">
        <is>
          <t>030610</t>
        </is>
      </c>
      <c r="E524" s="3" t="inlineStr">
        <is>
          <t>투자설명서(일괄신고)</t>
        </is>
      </c>
      <c r="F524" s="3" t="inlineStr">
        <is>
          <t>교보증권</t>
        </is>
      </c>
      <c r="G524" s="2" t="inlineStr">
        <is>
          <t>20260129000214</t>
        </is>
      </c>
      <c r="H524" s="8">
        <f>HYPERLINK("https://dart.fss.or.kr/dsaf001/main.do?rcpNo=20260129000214", "공시열람")</f>
        <v/>
      </c>
    </row>
    <row r="525">
      <c r="A525" s="2" t="inlineStr">
        <is>
          <t>2026-01-29</t>
        </is>
      </c>
      <c r="B525" s="3" t="inlineStr">
        <is>
          <t>교보증권</t>
        </is>
      </c>
      <c r="C525" s="2" t="inlineStr">
        <is>
          <t>코스피</t>
        </is>
      </c>
      <c r="D525" s="2" t="inlineStr">
        <is>
          <t>030610</t>
        </is>
      </c>
      <c r="E525" s="3" t="inlineStr">
        <is>
          <t>일괄신고추가서류(파생결합사채-주가연계파생결합사채)</t>
        </is>
      </c>
      <c r="F525" s="3" t="inlineStr">
        <is>
          <t>교보증권</t>
        </is>
      </c>
      <c r="G525" s="2" t="inlineStr">
        <is>
          <t>20260129000211</t>
        </is>
      </c>
      <c r="H525" s="8">
        <f>HYPERLINK("https://dart.fss.or.kr/dsaf001/main.do?rcpNo=20260129000211", "공시열람")</f>
        <v/>
      </c>
    </row>
    <row r="526">
      <c r="A526" s="2" t="inlineStr">
        <is>
          <t>2026-01-29</t>
        </is>
      </c>
      <c r="B526" s="3" t="inlineStr">
        <is>
          <t>한양이엔지</t>
        </is>
      </c>
      <c r="C526" s="2" t="inlineStr">
        <is>
          <t>코스닥</t>
        </is>
      </c>
      <c r="D526" s="2" t="inlineStr">
        <is>
          <t>045100</t>
        </is>
      </c>
      <c r="E526" s="3" t="inlineStr">
        <is>
          <t>임원ㆍ주요주주특정증권등소유상황보고서</t>
        </is>
      </c>
      <c r="F526" s="3" t="inlineStr">
        <is>
          <t>김윤상</t>
        </is>
      </c>
      <c r="G526" s="2" t="inlineStr">
        <is>
          <t>20260129000210</t>
        </is>
      </c>
      <c r="H526" s="8">
        <f>HYPERLINK("https://dart.fss.or.kr/dsaf001/main.do?rcpNo=20260129000210", "공시열람")</f>
        <v/>
      </c>
    </row>
    <row r="527">
      <c r="A527" s="2" t="inlineStr">
        <is>
          <t>2026-01-29</t>
        </is>
      </c>
      <c r="B527" s="3" t="inlineStr">
        <is>
          <t>한양이엔지</t>
        </is>
      </c>
      <c r="C527" s="2" t="inlineStr">
        <is>
          <t>코스닥</t>
        </is>
      </c>
      <c r="D527" s="2" t="inlineStr">
        <is>
          <t>045100</t>
        </is>
      </c>
      <c r="E527" s="3" t="inlineStr">
        <is>
          <t>임원ㆍ주요주주특정증권등소유상황보고서</t>
        </is>
      </c>
      <c r="F527" s="3" t="inlineStr">
        <is>
          <t>김형육</t>
        </is>
      </c>
      <c r="G527" s="2" t="inlineStr">
        <is>
          <t>20260129000205</t>
        </is>
      </c>
      <c r="H527" s="8">
        <f>HYPERLINK("https://dart.fss.or.kr/dsaf001/main.do?rcpNo=20260129000205", "공시열람")</f>
        <v/>
      </c>
    </row>
    <row r="528">
      <c r="A528" s="2" t="inlineStr">
        <is>
          <t>2026-01-29</t>
        </is>
      </c>
      <c r="B528" s="3" t="inlineStr">
        <is>
          <t>캔버스엔</t>
        </is>
      </c>
      <c r="C528" s="2" t="inlineStr">
        <is>
          <t>코스닥</t>
        </is>
      </c>
      <c r="D528" s="2" t="inlineStr">
        <is>
          <t>210120</t>
        </is>
      </c>
      <c r="E528" s="3" t="inlineStr">
        <is>
          <t>임원ㆍ주요주주특정증권등소유상황보고서</t>
        </is>
      </c>
      <c r="F528" s="3" t="inlineStr">
        <is>
          <t>나노캠텍</t>
        </is>
      </c>
      <c r="G528" s="2" t="inlineStr">
        <is>
          <t>20260129000172</t>
        </is>
      </c>
      <c r="H528" s="8">
        <f>HYPERLINK("https://dart.fss.or.kr/dsaf001/main.do?rcpNo=20260129000172", "공시열람")</f>
        <v/>
      </c>
    </row>
    <row r="529">
      <c r="A529" s="2" t="inlineStr">
        <is>
          <t>2026-01-29</t>
        </is>
      </c>
      <c r="B529" s="3" t="inlineStr">
        <is>
          <t>현대그린푸드</t>
        </is>
      </c>
      <c r="C529" s="2" t="inlineStr">
        <is>
          <t>코스피</t>
        </is>
      </c>
      <c r="D529" s="2" t="inlineStr">
        <is>
          <t>453340</t>
        </is>
      </c>
      <c r="E529" s="3" t="inlineStr">
        <is>
          <t>자기주식취득결과보고서</t>
        </is>
      </c>
      <c r="F529" s="3" t="inlineStr">
        <is>
          <t>현대그린푸드</t>
        </is>
      </c>
      <c r="G529" s="2" t="inlineStr">
        <is>
          <t>20260129000169</t>
        </is>
      </c>
      <c r="H529" s="8">
        <f>HYPERLINK("https://dart.fss.or.kr/dsaf001/main.do?rcpNo=20260129000169", "공시열람")</f>
        <v/>
      </c>
    </row>
    <row r="530">
      <c r="A530" s="2" t="inlineStr">
        <is>
          <t>2026-01-29</t>
        </is>
      </c>
      <c r="B530" s="3" t="inlineStr">
        <is>
          <t>현대글로비스</t>
        </is>
      </c>
      <c r="C530" s="2" t="inlineStr">
        <is>
          <t>코스피</t>
        </is>
      </c>
      <c r="D530" s="2" t="inlineStr">
        <is>
          <t>086280</t>
        </is>
      </c>
      <c r="E530" s="3" t="inlineStr">
        <is>
          <t xml:space="preserve">연결재무제표기준영업실적등에대한전망(공정공시)              </t>
        </is>
      </c>
      <c r="F530" s="3" t="inlineStr">
        <is>
          <t>현대글로비스</t>
        </is>
      </c>
      <c r="G530" s="2" t="inlineStr">
        <is>
          <t>20260129800205</t>
        </is>
      </c>
      <c r="H530" s="8">
        <f>HYPERLINK("https://dart.fss.or.kr/dsaf001/main.do?rcpNo=20260129800205", "공시열람")</f>
        <v/>
      </c>
    </row>
    <row r="531">
      <c r="A531" s="2" t="inlineStr">
        <is>
          <t>2026-01-29</t>
        </is>
      </c>
      <c r="B531" s="3" t="inlineStr">
        <is>
          <t>키움증권</t>
        </is>
      </c>
      <c r="C531" s="2" t="inlineStr">
        <is>
          <t>코스피</t>
        </is>
      </c>
      <c r="D531" s="2" t="inlineStr">
        <is>
          <t>039490</t>
        </is>
      </c>
      <c r="E531" s="3" t="inlineStr">
        <is>
          <t>일괄신고추가서류(파생결합증권-주가연계증권)</t>
        </is>
      </c>
      <c r="F531" s="3" t="inlineStr">
        <is>
          <t>키움증권</t>
        </is>
      </c>
      <c r="G531" s="2" t="inlineStr">
        <is>
          <t>20260129000165</t>
        </is>
      </c>
      <c r="H531" s="8">
        <f>HYPERLINK("https://dart.fss.or.kr/dsaf001/main.do?rcpNo=20260129000165", "공시열람")</f>
        <v/>
      </c>
    </row>
    <row r="532">
      <c r="A532" s="2" t="inlineStr">
        <is>
          <t>2026-01-29</t>
        </is>
      </c>
      <c r="B532" s="3" t="inlineStr">
        <is>
          <t>현대글로비스</t>
        </is>
      </c>
      <c r="C532" s="2" t="inlineStr">
        <is>
          <t>코스피</t>
        </is>
      </c>
      <c r="D532" s="2" t="inlineStr">
        <is>
          <t>086280</t>
        </is>
      </c>
      <c r="E532" s="3" t="inlineStr">
        <is>
          <t xml:space="preserve">현금ㆍ현물배당결정              </t>
        </is>
      </c>
      <c r="F532" s="3" t="inlineStr">
        <is>
          <t>현대글로비스</t>
        </is>
      </c>
      <c r="G532" s="2" t="inlineStr">
        <is>
          <t>20260129800203</t>
        </is>
      </c>
      <c r="H532" s="8">
        <f>HYPERLINK("https://dart.fss.or.kr/dsaf001/main.do?rcpNo=20260129800203", "공시열람")</f>
        <v/>
      </c>
    </row>
    <row r="533">
      <c r="A533" s="2" t="inlineStr">
        <is>
          <t>2026-01-29</t>
        </is>
      </c>
      <c r="B533" s="3" t="inlineStr">
        <is>
          <t>현대글로비스</t>
        </is>
      </c>
      <c r="C533" s="2" t="inlineStr">
        <is>
          <t>코스피</t>
        </is>
      </c>
      <c r="D533" s="2" t="inlineStr">
        <is>
          <t>086280</t>
        </is>
      </c>
      <c r="E533" s="3" t="inlineStr">
        <is>
          <t xml:space="preserve">연결재무제표기준영업(잠정)실적(공정공시)              </t>
        </is>
      </c>
      <c r="F533" s="3" t="inlineStr">
        <is>
          <t>현대글로비스</t>
        </is>
      </c>
      <c r="G533" s="2" t="inlineStr">
        <is>
          <t>20260129800178</t>
        </is>
      </c>
      <c r="H533" s="8">
        <f>HYPERLINK("https://dart.fss.or.kr/dsaf001/main.do?rcpNo=20260129800178", "공시열람")</f>
        <v/>
      </c>
    </row>
    <row r="534">
      <c r="A534" s="2" t="inlineStr">
        <is>
          <t>2026-01-29</t>
        </is>
      </c>
      <c r="B534" s="3" t="inlineStr">
        <is>
          <t>현대글로비스</t>
        </is>
      </c>
      <c r="C534" s="2" t="inlineStr">
        <is>
          <t>코스피</t>
        </is>
      </c>
      <c r="D534" s="2" t="inlineStr">
        <is>
          <t>086280</t>
        </is>
      </c>
      <c r="E534" s="3" t="inlineStr">
        <is>
          <t xml:space="preserve">매출액또는손익구조30%(대규모법인은15%)이상변경              </t>
        </is>
      </c>
      <c r="F534" s="3" t="inlineStr">
        <is>
          <t>현대글로비스</t>
        </is>
      </c>
      <c r="G534" s="2" t="inlineStr">
        <is>
          <t>20260129800177</t>
        </is>
      </c>
      <c r="H534" s="8">
        <f>HYPERLINK("https://dart.fss.or.kr/dsaf001/main.do?rcpNo=20260129800177", "공시열람")</f>
        <v/>
      </c>
    </row>
    <row r="535">
      <c r="A535" s="2" t="inlineStr">
        <is>
          <t>2026-01-29</t>
        </is>
      </c>
      <c r="B535" s="3" t="inlineStr">
        <is>
          <t>DB증권</t>
        </is>
      </c>
      <c r="C535" s="2" t="inlineStr">
        <is>
          <t>코스피</t>
        </is>
      </c>
      <c r="D535" s="2" t="inlineStr">
        <is>
          <t>016610</t>
        </is>
      </c>
      <c r="E535" s="3" t="inlineStr">
        <is>
          <t>임원ㆍ주요주주특정증권등소유상황보고서</t>
        </is>
      </c>
      <c r="F535" s="3" t="inlineStr">
        <is>
          <t>이병진</t>
        </is>
      </c>
      <c r="G535" s="2" t="inlineStr">
        <is>
          <t>20260129000156</t>
        </is>
      </c>
      <c r="H535" s="8">
        <f>HYPERLINK("https://dart.fss.or.kr/dsaf001/main.do?rcpNo=20260129000156", "공시열람")</f>
        <v/>
      </c>
    </row>
    <row r="536">
      <c r="A536" s="2" t="inlineStr">
        <is>
          <t>2026-01-29</t>
        </is>
      </c>
      <c r="B536" s="3" t="inlineStr">
        <is>
          <t>현대글로비스</t>
        </is>
      </c>
      <c r="C536" s="2" t="inlineStr">
        <is>
          <t>코스피</t>
        </is>
      </c>
      <c r="D536" s="2" t="inlineStr">
        <is>
          <t>086280</t>
        </is>
      </c>
      <c r="E536" s="3" t="inlineStr">
        <is>
          <t xml:space="preserve">현금ㆍ현물배당을위한주주명부폐쇄(기준일)결정              </t>
        </is>
      </c>
      <c r="F536" s="3" t="inlineStr">
        <is>
          <t>현대글로비스</t>
        </is>
      </c>
      <c r="G536" s="2" t="inlineStr">
        <is>
          <t>20260129800199</t>
        </is>
      </c>
      <c r="H536" s="8">
        <f>HYPERLINK("https://dart.fss.or.kr/dsaf001/main.do?rcpNo=20260129800199", "공시열람")</f>
        <v/>
      </c>
    </row>
    <row r="537">
      <c r="A537" s="2" t="inlineStr">
        <is>
          <t>2026-01-29</t>
        </is>
      </c>
      <c r="B537" s="3" t="inlineStr">
        <is>
          <t>키움증권</t>
        </is>
      </c>
      <c r="C537" s="2" t="inlineStr">
        <is>
          <t>코스피</t>
        </is>
      </c>
      <c r="D537" s="2" t="inlineStr">
        <is>
          <t>039490</t>
        </is>
      </c>
      <c r="E537" s="3" t="inlineStr">
        <is>
          <t>일괄신고추가서류(파생결합사채-주가연계파생결합사채)</t>
        </is>
      </c>
      <c r="F537" s="3" t="inlineStr">
        <is>
          <t>키움증권</t>
        </is>
      </c>
      <c r="G537" s="2" t="inlineStr">
        <is>
          <t>20260129000149</t>
        </is>
      </c>
      <c r="H537" s="8">
        <f>HYPERLINK("https://dart.fss.or.kr/dsaf001/main.do?rcpNo=20260129000149", "공시열람")</f>
        <v/>
      </c>
    </row>
    <row r="538">
      <c r="A538" s="2" t="inlineStr">
        <is>
          <t>2026-01-29</t>
        </is>
      </c>
      <c r="B538" s="3" t="inlineStr">
        <is>
          <t>DB증권</t>
        </is>
      </c>
      <c r="C538" s="2" t="inlineStr">
        <is>
          <t>코스피</t>
        </is>
      </c>
      <c r="D538" s="2" t="inlineStr">
        <is>
          <t>016610</t>
        </is>
      </c>
      <c r="E538" s="3" t="inlineStr">
        <is>
          <t>임원ㆍ주요주주특정증권등소유상황보고서</t>
        </is>
      </c>
      <c r="F538" s="3" t="inlineStr">
        <is>
          <t>장석진</t>
        </is>
      </c>
      <c r="G538" s="2" t="inlineStr">
        <is>
          <t>20260129000147</t>
        </is>
      </c>
      <c r="H538" s="8">
        <f>HYPERLINK("https://dart.fss.or.kr/dsaf001/main.do?rcpNo=20260129000147", "공시열람")</f>
        <v/>
      </c>
    </row>
    <row r="539">
      <c r="A539" s="2" t="inlineStr">
        <is>
          <t>2026-01-29</t>
        </is>
      </c>
      <c r="B539" s="3" t="inlineStr">
        <is>
          <t>DB증권</t>
        </is>
      </c>
      <c r="C539" s="2" t="inlineStr">
        <is>
          <t>코스피</t>
        </is>
      </c>
      <c r="D539" s="2" t="inlineStr">
        <is>
          <t>016610</t>
        </is>
      </c>
      <c r="E539" s="3" t="inlineStr">
        <is>
          <t>임원ㆍ주요주주특정증권등소유상황보고서</t>
        </is>
      </c>
      <c r="F539" s="3" t="inlineStr">
        <is>
          <t>김명규</t>
        </is>
      </c>
      <c r="G539" s="2" t="inlineStr">
        <is>
          <t>20260129000141</t>
        </is>
      </c>
      <c r="H539" s="8">
        <f>HYPERLINK("https://dart.fss.or.kr/dsaf001/main.do?rcpNo=20260129000141", "공시열람")</f>
        <v/>
      </c>
    </row>
    <row r="540">
      <c r="A540" s="2" t="inlineStr">
        <is>
          <t>2026-01-29</t>
        </is>
      </c>
      <c r="B540" s="3" t="inlineStr">
        <is>
          <t>DB증권</t>
        </is>
      </c>
      <c r="C540" s="2" t="inlineStr">
        <is>
          <t>코스피</t>
        </is>
      </c>
      <c r="D540" s="2" t="inlineStr">
        <is>
          <t>016610</t>
        </is>
      </c>
      <c r="E540" s="3" t="inlineStr">
        <is>
          <t>임원ㆍ주요주주특정증권등소유상황보고서</t>
        </is>
      </c>
      <c r="F540" s="3" t="inlineStr">
        <is>
          <t>최성호</t>
        </is>
      </c>
      <c r="G540" s="2" t="inlineStr">
        <is>
          <t>20260129000137</t>
        </is>
      </c>
      <c r="H540" s="8">
        <f>HYPERLINK("https://dart.fss.or.kr/dsaf001/main.do?rcpNo=20260129000137", "공시열람")</f>
        <v/>
      </c>
    </row>
    <row r="541">
      <c r="A541" s="2" t="inlineStr">
        <is>
          <t>2026-01-29</t>
        </is>
      </c>
      <c r="B541" s="3" t="inlineStr">
        <is>
          <t>DB증권</t>
        </is>
      </c>
      <c r="C541" s="2" t="inlineStr">
        <is>
          <t>코스피</t>
        </is>
      </c>
      <c r="D541" s="2" t="inlineStr">
        <is>
          <t>016610</t>
        </is>
      </c>
      <c r="E541" s="3" t="inlineStr">
        <is>
          <t>임원ㆍ주요주주특정증권등소유상황보고서</t>
        </is>
      </c>
      <c r="F541" s="3" t="inlineStr">
        <is>
          <t>허성준</t>
        </is>
      </c>
      <c r="G541" s="2" t="inlineStr">
        <is>
          <t>20260129000127</t>
        </is>
      </c>
      <c r="H541" s="8">
        <f>HYPERLINK("https://dart.fss.or.kr/dsaf001/main.do?rcpNo=20260129000127", "공시열람")</f>
        <v/>
      </c>
    </row>
    <row r="542">
      <c r="A542" s="2" t="inlineStr">
        <is>
          <t>2026-01-29 (정정: 2026-01-29)</t>
        </is>
      </c>
      <c r="B542" s="3" t="inlineStr">
        <is>
          <t>LG에너지솔루션</t>
        </is>
      </c>
      <c r="C542" s="2" t="inlineStr">
        <is>
          <t>코스피</t>
        </is>
      </c>
      <c r="D542" s="2" t="inlineStr">
        <is>
          <t>373220</t>
        </is>
      </c>
      <c r="E542" s="3" t="inlineStr">
        <is>
          <t>[첨부추가]장래사업ㆍ경영계획(공정공시)               (정정: 20260129)</t>
        </is>
      </c>
      <c r="F542" s="3" t="inlineStr">
        <is>
          <t>LG에너지솔루션</t>
        </is>
      </c>
      <c r="G542" s="2" t="inlineStr">
        <is>
          <t>20260129800140</t>
        </is>
      </c>
      <c r="H542" s="8">
        <f>HYPERLINK("https://dart.fss.or.kr/dsaf001/main.do?rcpNo=20260129800140", "공시열람")</f>
        <v/>
      </c>
    </row>
    <row r="543">
      <c r="A543" s="2" t="inlineStr">
        <is>
          <t>2026-01-29</t>
        </is>
      </c>
      <c r="B543" s="3" t="inlineStr">
        <is>
          <t>형지엘리트</t>
        </is>
      </c>
      <c r="C543" s="2" t="inlineStr">
        <is>
          <t>코스피</t>
        </is>
      </c>
      <c r="D543" s="2" t="inlineStr">
        <is>
          <t>093240</t>
        </is>
      </c>
      <c r="E543" s="3" t="inlineStr">
        <is>
          <t xml:space="preserve">유상증자또는주식관련사채등의청약결과(자율공시)              </t>
        </is>
      </c>
      <c r="F543" s="3" t="inlineStr">
        <is>
          <t>형지엘리트</t>
        </is>
      </c>
      <c r="G543" s="2" t="inlineStr">
        <is>
          <t>20260129800180</t>
        </is>
      </c>
      <c r="H543" s="8">
        <f>HYPERLINK("https://dart.fss.or.kr/dsaf001/main.do?rcpNo=20260129800180", "공시열람")</f>
        <v/>
      </c>
    </row>
    <row r="544">
      <c r="A544" s="2" t="inlineStr">
        <is>
          <t>2026-01-29</t>
        </is>
      </c>
      <c r="B544" s="3" t="inlineStr">
        <is>
          <t>LG유플러스</t>
        </is>
      </c>
      <c r="C544" s="2" t="inlineStr">
        <is>
          <t>코스피</t>
        </is>
      </c>
      <c r="D544" s="2" t="inlineStr">
        <is>
          <t>032640</t>
        </is>
      </c>
      <c r="E544" s="3" t="inlineStr">
        <is>
          <t xml:space="preserve">기업설명회(IR)개최(안내공시)              </t>
        </is>
      </c>
      <c r="F544" s="3" t="inlineStr">
        <is>
          <t>LG유플러스</t>
        </is>
      </c>
      <c r="G544" s="2" t="inlineStr">
        <is>
          <t>20260129800174</t>
        </is>
      </c>
      <c r="H544" s="8">
        <f>HYPERLINK("https://dart.fss.or.kr/dsaf001/main.do?rcpNo=20260129800174", "공시열람")</f>
        <v/>
      </c>
    </row>
    <row r="545">
      <c r="A545" s="2" t="inlineStr">
        <is>
          <t>2026-01-29</t>
        </is>
      </c>
      <c r="B545" s="3" t="inlineStr">
        <is>
          <t>제이앤티씨</t>
        </is>
      </c>
      <c r="C545" s="2" t="inlineStr">
        <is>
          <t>코스닥</t>
        </is>
      </c>
      <c r="D545" s="2" t="inlineStr">
        <is>
          <t>204270</t>
        </is>
      </c>
      <c r="E545" s="3" t="inlineStr">
        <is>
          <t xml:space="preserve">기업설명회(IR)개최              </t>
        </is>
      </c>
      <c r="F545" s="3" t="inlineStr">
        <is>
          <t>제이앤티씨</t>
        </is>
      </c>
      <c r="G545" s="2" t="inlineStr">
        <is>
          <t>20260129900170</t>
        </is>
      </c>
      <c r="H545" s="8">
        <f>HYPERLINK("https://dart.fss.or.kr/dsaf001/main.do?rcpNo=20260129900170", "공시열람")</f>
        <v/>
      </c>
    </row>
    <row r="546">
      <c r="A546" s="2" t="inlineStr">
        <is>
          <t>2026-01-29</t>
        </is>
      </c>
      <c r="B546" s="3" t="inlineStr">
        <is>
          <t>바디텍메드</t>
        </is>
      </c>
      <c r="C546" s="2" t="inlineStr">
        <is>
          <t>코스닥</t>
        </is>
      </c>
      <c r="D546" s="2" t="inlineStr">
        <is>
          <t>206640</t>
        </is>
      </c>
      <c r="E546" s="3" t="inlineStr">
        <is>
          <t>임원ㆍ주요주주특정증권등소유상황보고서</t>
        </is>
      </c>
      <c r="F546" s="3" t="inlineStr">
        <is>
          <t>장덕환</t>
        </is>
      </c>
      <c r="G546" s="2" t="inlineStr">
        <is>
          <t>20260129000105</t>
        </is>
      </c>
      <c r="H546" s="8">
        <f>HYPERLINK("https://dart.fss.or.kr/dsaf001/main.do?rcpNo=20260129000105", "공시열람")</f>
        <v/>
      </c>
    </row>
    <row r="547">
      <c r="A547" s="2" t="inlineStr">
        <is>
          <t>2026-01-29</t>
        </is>
      </c>
      <c r="B547" s="3" t="inlineStr">
        <is>
          <t>SG글로벌</t>
        </is>
      </c>
      <c r="C547" s="2" t="inlineStr">
        <is>
          <t>코스피</t>
        </is>
      </c>
      <c r="D547" s="2" t="inlineStr">
        <is>
          <t>001380</t>
        </is>
      </c>
      <c r="E547" s="3" t="inlineStr">
        <is>
          <t xml:space="preserve">매출액또는손익구조30%(대규모법인은15%)이상변경              </t>
        </is>
      </c>
      <c r="F547" s="3" t="inlineStr">
        <is>
          <t>SG글로벌</t>
        </is>
      </c>
      <c r="G547" s="2" t="inlineStr">
        <is>
          <t>20260129800159</t>
        </is>
      </c>
      <c r="H547" s="8">
        <f>HYPERLINK("https://dart.fss.or.kr/dsaf001/main.do?rcpNo=20260129800159", "공시열람")</f>
        <v/>
      </c>
    </row>
    <row r="548">
      <c r="A548" s="2" t="inlineStr">
        <is>
          <t>2026-01-29</t>
        </is>
      </c>
      <c r="B548" s="3" t="inlineStr">
        <is>
          <t>KG모빌리티</t>
        </is>
      </c>
      <c r="C548" s="2" t="inlineStr">
        <is>
          <t>코스피</t>
        </is>
      </c>
      <c r="D548" s="2" t="inlineStr">
        <is>
          <t>003620</t>
        </is>
      </c>
      <c r="E548" s="3" t="inlineStr">
        <is>
          <t>임원ㆍ주요주주특정증권등소유상황보고서</t>
        </is>
      </c>
      <c r="F548" s="3" t="inlineStr">
        <is>
          <t>이강</t>
        </is>
      </c>
      <c r="G548" s="2" t="inlineStr">
        <is>
          <t>20260129000093</t>
        </is>
      </c>
      <c r="H548" s="8">
        <f>HYPERLINK("https://dart.fss.or.kr/dsaf001/main.do?rcpNo=20260129000093", "공시열람")</f>
        <v/>
      </c>
    </row>
    <row r="549">
      <c r="A549" s="2" t="inlineStr">
        <is>
          <t>2026-01-29</t>
        </is>
      </c>
      <c r="B549" s="3" t="inlineStr">
        <is>
          <t>포스코스틸리온</t>
        </is>
      </c>
      <c r="C549" s="2" t="inlineStr">
        <is>
          <t>코스피</t>
        </is>
      </c>
      <c r="D549" s="2" t="inlineStr">
        <is>
          <t>058430</t>
        </is>
      </c>
      <c r="E549" s="3" t="inlineStr">
        <is>
          <t xml:space="preserve">매출액또는손익구조30%(대규모법인은15%)이상변경              </t>
        </is>
      </c>
      <c r="F549" s="3" t="inlineStr">
        <is>
          <t>포스코스틸리온</t>
        </is>
      </c>
      <c r="G549" s="2" t="inlineStr">
        <is>
          <t>20260129800155</t>
        </is>
      </c>
      <c r="H549" s="8">
        <f>HYPERLINK("https://dart.fss.or.kr/dsaf001/main.do?rcpNo=20260129800155", "공시열람")</f>
        <v/>
      </c>
    </row>
    <row r="550">
      <c r="A550" s="2" t="inlineStr">
        <is>
          <t>2026-01-29</t>
        </is>
      </c>
      <c r="B550" s="3" t="inlineStr">
        <is>
          <t>더블유씨피</t>
        </is>
      </c>
      <c r="C550" s="2" t="inlineStr">
        <is>
          <t>코스닥</t>
        </is>
      </c>
      <c r="D550" s="2" t="inlineStr">
        <is>
          <t>393890</t>
        </is>
      </c>
      <c r="E550" s="3" t="inlineStr">
        <is>
          <t xml:space="preserve">기업설명회(IR)개최              </t>
        </is>
      </c>
      <c r="F550" s="3" t="inlineStr">
        <is>
          <t>더블유씨피</t>
        </is>
      </c>
      <c r="G550" s="2" t="inlineStr">
        <is>
          <t>20260129900153</t>
        </is>
      </c>
      <c r="H550" s="8">
        <f>HYPERLINK("https://dart.fss.or.kr/dsaf001/main.do?rcpNo=20260129900153", "공시열람")</f>
        <v/>
      </c>
    </row>
    <row r="551">
      <c r="A551" s="2" t="inlineStr">
        <is>
          <t>2026-01-29</t>
        </is>
      </c>
      <c r="B551" s="3" t="inlineStr">
        <is>
          <t>나무가</t>
        </is>
      </c>
      <c r="C551" s="2" t="inlineStr">
        <is>
          <t>코스닥</t>
        </is>
      </c>
      <c r="D551" s="2" t="inlineStr">
        <is>
          <t>190510</t>
        </is>
      </c>
      <c r="E551" s="3" t="inlineStr">
        <is>
          <t xml:space="preserve">매출액또는손익구조30%(대규모법인은15%)이상변동              </t>
        </is>
      </c>
      <c r="F551" s="3" t="inlineStr">
        <is>
          <t>나무가</t>
        </is>
      </c>
      <c r="G551" s="2" t="inlineStr">
        <is>
          <t>20260129900133</t>
        </is>
      </c>
      <c r="H551" s="8">
        <f>HYPERLINK("https://dart.fss.or.kr/dsaf001/main.do?rcpNo=20260129900133", "공시열람")</f>
        <v/>
      </c>
    </row>
    <row r="552">
      <c r="A552" s="2" t="inlineStr">
        <is>
          <t>2026-01-29</t>
        </is>
      </c>
      <c r="B552" s="3" t="inlineStr">
        <is>
          <t>포스코스틸리온</t>
        </is>
      </c>
      <c r="C552" s="2" t="inlineStr">
        <is>
          <t>코스피</t>
        </is>
      </c>
      <c r="D552" s="2" t="inlineStr">
        <is>
          <t>058430</t>
        </is>
      </c>
      <c r="E552" s="3" t="inlineStr">
        <is>
          <t xml:space="preserve">연결재무제표기준영업(잠정)실적(공정공시)              </t>
        </is>
      </c>
      <c r="F552" s="3" t="inlineStr">
        <is>
          <t>포스코스틸리온</t>
        </is>
      </c>
      <c r="G552" s="2" t="inlineStr">
        <is>
          <t>20260129800120</t>
        </is>
      </c>
      <c r="H552" s="8">
        <f>HYPERLINK("https://dart.fss.or.kr/dsaf001/main.do?rcpNo=20260129800120", "공시열람")</f>
        <v/>
      </c>
    </row>
    <row r="553">
      <c r="A553" s="2" t="inlineStr">
        <is>
          <t>2026-01-29</t>
        </is>
      </c>
      <c r="B553" s="3" t="inlineStr">
        <is>
          <t>포스코스틸리온</t>
        </is>
      </c>
      <c r="C553" s="2" t="inlineStr">
        <is>
          <t>코스피</t>
        </is>
      </c>
      <c r="D553" s="2" t="inlineStr">
        <is>
          <t>058430</t>
        </is>
      </c>
      <c r="E553" s="3" t="inlineStr">
        <is>
          <t xml:space="preserve">영업(잠정)실적(공정공시)              </t>
        </is>
      </c>
      <c r="F553" s="3" t="inlineStr">
        <is>
          <t>포스코스틸리온</t>
        </is>
      </c>
      <c r="G553" s="2" t="inlineStr">
        <is>
          <t>20260129800118</t>
        </is>
      </c>
      <c r="H553" s="8">
        <f>HYPERLINK("https://dart.fss.or.kr/dsaf001/main.do?rcpNo=20260129800118", "공시열람")</f>
        <v/>
      </c>
    </row>
    <row r="554">
      <c r="A554" s="2" t="inlineStr">
        <is>
          <t>2026-01-29</t>
        </is>
      </c>
      <c r="B554" s="3" t="inlineStr">
        <is>
          <t>더블유씨피</t>
        </is>
      </c>
      <c r="C554" s="2" t="inlineStr">
        <is>
          <t>코스닥</t>
        </is>
      </c>
      <c r="D554" s="2" t="inlineStr">
        <is>
          <t>393890</t>
        </is>
      </c>
      <c r="E554" s="3" t="inlineStr">
        <is>
          <t xml:space="preserve">결산실적공시예고              </t>
        </is>
      </c>
      <c r="F554" s="3" t="inlineStr">
        <is>
          <t>더블유씨피</t>
        </is>
      </c>
      <c r="G554" s="2" t="inlineStr">
        <is>
          <t>20260129900136</t>
        </is>
      </c>
      <c r="H554" s="8">
        <f>HYPERLINK("https://dart.fss.or.kr/dsaf001/main.do?rcpNo=20260129900136", "공시열람")</f>
        <v/>
      </c>
    </row>
    <row r="555">
      <c r="A555" s="2" t="inlineStr">
        <is>
          <t>2026-01-29</t>
        </is>
      </c>
      <c r="B555" s="3" t="inlineStr">
        <is>
          <t>기아</t>
        </is>
      </c>
      <c r="C555" s="2" t="inlineStr">
        <is>
          <t>코스피</t>
        </is>
      </c>
      <c r="D555" s="2" t="inlineStr">
        <is>
          <t>000270</t>
        </is>
      </c>
      <c r="E555" s="3" t="inlineStr">
        <is>
          <t xml:space="preserve">기업설명회(IR)개최(안내공시)              </t>
        </is>
      </c>
      <c r="F555" s="3" t="inlineStr">
        <is>
          <t>기아</t>
        </is>
      </c>
      <c r="G555" s="2" t="inlineStr">
        <is>
          <t>20260129800132</t>
        </is>
      </c>
      <c r="H555" s="8">
        <f>HYPERLINK("https://dart.fss.or.kr/dsaf001/main.do?rcpNo=20260129800132", "공시열람")</f>
        <v/>
      </c>
    </row>
    <row r="556">
      <c r="A556" s="2" t="inlineStr">
        <is>
          <t>2026-01-29 (정정: 2026-01-29)</t>
        </is>
      </c>
      <c r="B556" s="3" t="inlineStr">
        <is>
          <t>SK텔레콤</t>
        </is>
      </c>
      <c r="C556" s="2" t="inlineStr">
        <is>
          <t>코스피</t>
        </is>
      </c>
      <c r="D556" s="2" t="inlineStr">
        <is>
          <t>017670</t>
        </is>
      </c>
      <c r="E556" s="3" t="inlineStr">
        <is>
          <t xml:space="preserve">[기재정정]기업설명회(IR)개최(안내공시)              </t>
        </is>
      </c>
      <c r="F556" s="3" t="inlineStr">
        <is>
          <t>SK텔레콤</t>
        </is>
      </c>
      <c r="G556" s="2" t="inlineStr">
        <is>
          <t>20260129800131</t>
        </is>
      </c>
      <c r="H556" s="8">
        <f>HYPERLINK("https://dart.fss.or.kr/dsaf001/main.do?rcpNo=20260129800131", "공시열람")</f>
        <v/>
      </c>
    </row>
    <row r="557">
      <c r="A557" s="2" t="inlineStr">
        <is>
          <t>2026-01-29</t>
        </is>
      </c>
      <c r="B557" s="3" t="inlineStr">
        <is>
          <t>SNT홀딩스</t>
        </is>
      </c>
      <c r="C557" s="2" t="inlineStr">
        <is>
          <t>코스피</t>
        </is>
      </c>
      <c r="D557" s="2" t="inlineStr">
        <is>
          <t>036530</t>
        </is>
      </c>
      <c r="E557" s="3" t="inlineStr">
        <is>
          <t xml:space="preserve">현금ㆍ현물배당결정(자회사의 주요경영사항)              </t>
        </is>
      </c>
      <c r="F557" s="3" t="inlineStr">
        <is>
          <t>SNT홀딩스</t>
        </is>
      </c>
      <c r="G557" s="2" t="inlineStr">
        <is>
          <t>20260129800111</t>
        </is>
      </c>
      <c r="H557" s="8">
        <f>HYPERLINK("https://dart.fss.or.kr/dsaf001/main.do?rcpNo=20260129800111", "공시열람")</f>
        <v/>
      </c>
    </row>
    <row r="558">
      <c r="A558" s="2" t="inlineStr">
        <is>
          <t>2026-01-29</t>
        </is>
      </c>
      <c r="B558" s="3" t="inlineStr">
        <is>
          <t>SNT홀딩스</t>
        </is>
      </c>
      <c r="C558" s="2" t="inlineStr">
        <is>
          <t>코스피</t>
        </is>
      </c>
      <c r="D558" s="2" t="inlineStr">
        <is>
          <t>036530</t>
        </is>
      </c>
      <c r="E558" s="3" t="inlineStr">
        <is>
          <t xml:space="preserve">현금ㆍ현물배당결정(자회사의 주요경영사항)              </t>
        </is>
      </c>
      <c r="F558" s="3" t="inlineStr">
        <is>
          <t>SNT홀딩스</t>
        </is>
      </c>
      <c r="G558" s="2" t="inlineStr">
        <is>
          <t>20260129800103</t>
        </is>
      </c>
      <c r="H558" s="8">
        <f>HYPERLINK("https://dart.fss.or.kr/dsaf001/main.do?rcpNo=20260129800103", "공시열람")</f>
        <v/>
      </c>
    </row>
    <row r="559">
      <c r="A559" s="2" t="inlineStr">
        <is>
          <t>2026-01-29</t>
        </is>
      </c>
      <c r="B559" s="3" t="inlineStr">
        <is>
          <t>SNT홀딩스</t>
        </is>
      </c>
      <c r="C559" s="2" t="inlineStr">
        <is>
          <t>코스피</t>
        </is>
      </c>
      <c r="D559" s="2" t="inlineStr">
        <is>
          <t>036530</t>
        </is>
      </c>
      <c r="E559" s="3" t="inlineStr">
        <is>
          <t xml:space="preserve">매출액또는손익구조30%(대규모법인은15%)이상변경(자회사의 주요경영사항)              </t>
        </is>
      </c>
      <c r="F559" s="3" t="inlineStr">
        <is>
          <t>SNT홀딩스</t>
        </is>
      </c>
      <c r="G559" s="2" t="inlineStr">
        <is>
          <t>20260129800101</t>
        </is>
      </c>
      <c r="H559" s="8">
        <f>HYPERLINK("https://dart.fss.or.kr/dsaf001/main.do?rcpNo=20260129800101", "공시열람")</f>
        <v/>
      </c>
    </row>
    <row r="560">
      <c r="A560" s="2" t="inlineStr">
        <is>
          <t>2026-01-29</t>
        </is>
      </c>
      <c r="B560" s="3" t="inlineStr">
        <is>
          <t>SNT홀딩스</t>
        </is>
      </c>
      <c r="C560" s="2" t="inlineStr">
        <is>
          <t>코스피</t>
        </is>
      </c>
      <c r="D560" s="2" t="inlineStr">
        <is>
          <t>036530</t>
        </is>
      </c>
      <c r="E560" s="3" t="inlineStr">
        <is>
          <t xml:space="preserve">현금ㆍ현물배당결정(자회사의 주요경영사항)              </t>
        </is>
      </c>
      <c r="F560" s="3" t="inlineStr">
        <is>
          <t>SNT홀딩스</t>
        </is>
      </c>
      <c r="G560" s="2" t="inlineStr">
        <is>
          <t>20260129800099</t>
        </is>
      </c>
      <c r="H560" s="8">
        <f>HYPERLINK("https://dart.fss.or.kr/dsaf001/main.do?rcpNo=20260129800099", "공시열람")</f>
        <v/>
      </c>
    </row>
    <row r="561">
      <c r="A561" s="2" t="inlineStr">
        <is>
          <t>2026-01-29</t>
        </is>
      </c>
      <c r="B561" s="3" t="inlineStr">
        <is>
          <t>SNT홀딩스</t>
        </is>
      </c>
      <c r="C561" s="2" t="inlineStr">
        <is>
          <t>코스피</t>
        </is>
      </c>
      <c r="D561" s="2" t="inlineStr">
        <is>
          <t>036530</t>
        </is>
      </c>
      <c r="E561" s="3" t="inlineStr">
        <is>
          <t xml:space="preserve">매출액또는손익구조30%(대규모법인은15%)이상변경(자회사의 주요경영사항)              </t>
        </is>
      </c>
      <c r="F561" s="3" t="inlineStr">
        <is>
          <t>SNT홀딩스</t>
        </is>
      </c>
      <c r="G561" s="2" t="inlineStr">
        <is>
          <t>20260129800097</t>
        </is>
      </c>
      <c r="H561" s="8">
        <f>HYPERLINK("https://dart.fss.or.kr/dsaf001/main.do?rcpNo=20260129800097", "공시열람")</f>
        <v/>
      </c>
    </row>
    <row r="562">
      <c r="A562" s="2" t="inlineStr">
        <is>
          <t>2026-01-29</t>
        </is>
      </c>
      <c r="B562" s="3" t="inlineStr">
        <is>
          <t>SNT홀딩스</t>
        </is>
      </c>
      <c r="C562" s="2" t="inlineStr">
        <is>
          <t>코스피</t>
        </is>
      </c>
      <c r="D562" s="2" t="inlineStr">
        <is>
          <t>036530</t>
        </is>
      </c>
      <c r="E562" s="3" t="inlineStr">
        <is>
          <t xml:space="preserve">매출액또는손익구조30%(대규모법인은15%)이상변경(자회사의 주요경영사항)              </t>
        </is>
      </c>
      <c r="F562" s="3" t="inlineStr">
        <is>
          <t>SNT홀딩스</t>
        </is>
      </c>
      <c r="G562" s="2" t="inlineStr">
        <is>
          <t>20260129800096</t>
        </is>
      </c>
      <c r="H562" s="8">
        <f>HYPERLINK("https://dart.fss.or.kr/dsaf001/main.do?rcpNo=20260129800096", "공시열람")</f>
        <v/>
      </c>
    </row>
    <row r="563">
      <c r="A563" s="2" t="inlineStr">
        <is>
          <t>2026-01-29</t>
        </is>
      </c>
      <c r="B563" s="3" t="inlineStr">
        <is>
          <t>SNT홀딩스</t>
        </is>
      </c>
      <c r="C563" s="2" t="inlineStr">
        <is>
          <t>코스피</t>
        </is>
      </c>
      <c r="D563" s="2" t="inlineStr">
        <is>
          <t>036530</t>
        </is>
      </c>
      <c r="E563" s="3" t="inlineStr">
        <is>
          <t xml:space="preserve">매출액또는손익구조30%(대규모법인은15%)이상변경              </t>
        </is>
      </c>
      <c r="F563" s="3" t="inlineStr">
        <is>
          <t>SNT홀딩스</t>
        </is>
      </c>
      <c r="G563" s="2" t="inlineStr">
        <is>
          <t>20260129800088</t>
        </is>
      </c>
      <c r="H563" s="8">
        <f>HYPERLINK("https://dart.fss.or.kr/dsaf001/main.do?rcpNo=20260129800088", "공시열람")</f>
        <v/>
      </c>
    </row>
    <row r="564">
      <c r="A564" s="2" t="inlineStr">
        <is>
          <t>2026-01-29</t>
        </is>
      </c>
      <c r="B564" s="3" t="inlineStr">
        <is>
          <t>SNT에너지</t>
        </is>
      </c>
      <c r="C564" s="2" t="inlineStr">
        <is>
          <t>코스피</t>
        </is>
      </c>
      <c r="D564" s="2" t="inlineStr">
        <is>
          <t>100840</t>
        </is>
      </c>
      <c r="E564" s="3" t="inlineStr">
        <is>
          <t xml:space="preserve">현금ㆍ현물배당결정              </t>
        </is>
      </c>
      <c r="F564" s="3" t="inlineStr">
        <is>
          <t>SNT에너지</t>
        </is>
      </c>
      <c r="G564" s="2" t="inlineStr">
        <is>
          <t>20260129800110</t>
        </is>
      </c>
      <c r="H564" s="8">
        <f>HYPERLINK("https://dart.fss.or.kr/dsaf001/main.do?rcpNo=20260129800110", "공시열람")</f>
        <v/>
      </c>
    </row>
    <row r="565">
      <c r="A565" s="2" t="inlineStr">
        <is>
          <t>2026-01-29</t>
        </is>
      </c>
      <c r="B565" s="3" t="inlineStr">
        <is>
          <t>SNT홀딩스</t>
        </is>
      </c>
      <c r="C565" s="2" t="inlineStr">
        <is>
          <t>코스피</t>
        </is>
      </c>
      <c r="D565" s="2" t="inlineStr">
        <is>
          <t>036530</t>
        </is>
      </c>
      <c r="E565" s="3" t="inlineStr">
        <is>
          <t xml:space="preserve">현금ㆍ현물배당결정              </t>
        </is>
      </c>
      <c r="F565" s="3" t="inlineStr">
        <is>
          <t>SNT홀딩스</t>
        </is>
      </c>
      <c r="G565" s="2" t="inlineStr">
        <is>
          <t>20260129800107</t>
        </is>
      </c>
      <c r="H565" s="8">
        <f>HYPERLINK("https://dart.fss.or.kr/dsaf001/main.do?rcpNo=20260129800107", "공시열람")</f>
        <v/>
      </c>
    </row>
    <row r="566">
      <c r="A566" s="2" t="inlineStr">
        <is>
          <t>2026-01-29</t>
        </is>
      </c>
      <c r="B566" s="3" t="inlineStr">
        <is>
          <t>SNT모티브</t>
        </is>
      </c>
      <c r="C566" s="2" t="inlineStr">
        <is>
          <t>코스피</t>
        </is>
      </c>
      <c r="D566" s="2" t="inlineStr">
        <is>
          <t>064960</t>
        </is>
      </c>
      <c r="E566" s="3" t="inlineStr">
        <is>
          <t xml:space="preserve">현금ㆍ현물배당결정              </t>
        </is>
      </c>
      <c r="F566" s="3" t="inlineStr">
        <is>
          <t>SNT모티브</t>
        </is>
      </c>
      <c r="G566" s="2" t="inlineStr">
        <is>
          <t>20260129800102</t>
        </is>
      </c>
      <c r="H566" s="8">
        <f>HYPERLINK("https://dart.fss.or.kr/dsaf001/main.do?rcpNo=20260129800102", "공시열람")</f>
        <v/>
      </c>
    </row>
    <row r="567">
      <c r="A567" s="2" t="inlineStr">
        <is>
          <t>2026-01-29</t>
        </is>
      </c>
      <c r="B567" s="3" t="inlineStr">
        <is>
          <t>SNT에너지</t>
        </is>
      </c>
      <c r="C567" s="2" t="inlineStr">
        <is>
          <t>코스피</t>
        </is>
      </c>
      <c r="D567" s="2" t="inlineStr">
        <is>
          <t>100840</t>
        </is>
      </c>
      <c r="E567" s="3" t="inlineStr">
        <is>
          <t xml:space="preserve">매출액또는손익구조30%(대규모법인은15%)이상변경              </t>
        </is>
      </c>
      <c r="F567" s="3" t="inlineStr">
        <is>
          <t>SNT에너지</t>
        </is>
      </c>
      <c r="G567" s="2" t="inlineStr">
        <is>
          <t>20260129800079</t>
        </is>
      </c>
      <c r="H567" s="8">
        <f>HYPERLINK("https://dart.fss.or.kr/dsaf001/main.do?rcpNo=20260129800079", "공시열람")</f>
        <v/>
      </c>
    </row>
    <row r="568">
      <c r="A568" s="2" t="inlineStr">
        <is>
          <t>2026-01-29</t>
        </is>
      </c>
      <c r="B568" s="3" t="inlineStr">
        <is>
          <t>SNT다이내믹스</t>
        </is>
      </c>
      <c r="C568" s="2" t="inlineStr">
        <is>
          <t>코스피</t>
        </is>
      </c>
      <c r="D568" s="2" t="inlineStr">
        <is>
          <t>003570</t>
        </is>
      </c>
      <c r="E568" s="3" t="inlineStr">
        <is>
          <t xml:space="preserve">현금ㆍ현물배당결정              </t>
        </is>
      </c>
      <c r="F568" s="3" t="inlineStr">
        <is>
          <t>SNT다이내믹스</t>
        </is>
      </c>
      <c r="G568" s="2" t="inlineStr">
        <is>
          <t>20260129800098</t>
        </is>
      </c>
      <c r="H568" s="8">
        <f>HYPERLINK("https://dart.fss.or.kr/dsaf001/main.do?rcpNo=20260129800098", "공시열람")</f>
        <v/>
      </c>
    </row>
    <row r="569">
      <c r="A569" s="2" t="inlineStr">
        <is>
          <t>2026-01-29</t>
        </is>
      </c>
      <c r="B569" s="3" t="inlineStr">
        <is>
          <t>SNT다이내믹스</t>
        </is>
      </c>
      <c r="C569" s="2" t="inlineStr">
        <is>
          <t>코스피</t>
        </is>
      </c>
      <c r="D569" s="2" t="inlineStr">
        <is>
          <t>003570</t>
        </is>
      </c>
      <c r="E569" s="3" t="inlineStr">
        <is>
          <t xml:space="preserve">매출액또는손익구조30%(대규모법인은15%)이상변경              </t>
        </is>
      </c>
      <c r="F569" s="3" t="inlineStr">
        <is>
          <t>SNT다이내믹스</t>
        </is>
      </c>
      <c r="G569" s="2" t="inlineStr">
        <is>
          <t>20260129800078</t>
        </is>
      </c>
      <c r="H569" s="8">
        <f>HYPERLINK("https://dart.fss.or.kr/dsaf001/main.do?rcpNo=20260129800078", "공시열람")</f>
        <v/>
      </c>
    </row>
    <row r="570">
      <c r="A570" s="2" t="inlineStr">
        <is>
          <t>2026-01-29</t>
        </is>
      </c>
      <c r="B570" s="3" t="inlineStr">
        <is>
          <t>SNT모티브</t>
        </is>
      </c>
      <c r="C570" s="2" t="inlineStr">
        <is>
          <t>코스피</t>
        </is>
      </c>
      <c r="D570" s="2" t="inlineStr">
        <is>
          <t>064960</t>
        </is>
      </c>
      <c r="E570" s="3" t="inlineStr">
        <is>
          <t xml:space="preserve">매출액또는손익구조30%(대규모법인은15%)이상변경              </t>
        </is>
      </c>
      <c r="F570" s="3" t="inlineStr">
        <is>
          <t>SNT모티브</t>
        </is>
      </c>
      <c r="G570" s="2" t="inlineStr">
        <is>
          <t>20260129800077</t>
        </is>
      </c>
      <c r="H570" s="8">
        <f>HYPERLINK("https://dart.fss.or.kr/dsaf001/main.do?rcpNo=20260129800077", "공시열람")</f>
        <v/>
      </c>
    </row>
    <row r="571">
      <c r="A571" s="2" t="inlineStr">
        <is>
          <t>2026-01-29</t>
        </is>
      </c>
      <c r="B571" s="3" t="inlineStr">
        <is>
          <t>SK텔레콤</t>
        </is>
      </c>
      <c r="C571" s="2" t="inlineStr">
        <is>
          <t>코스피</t>
        </is>
      </c>
      <c r="D571" s="2" t="inlineStr">
        <is>
          <t>017670</t>
        </is>
      </c>
      <c r="E571" s="3" t="inlineStr">
        <is>
          <t xml:space="preserve">기업설명회(IR)개최(안내공시)              </t>
        </is>
      </c>
      <c r="F571" s="3" t="inlineStr">
        <is>
          <t>SK텔레콤</t>
        </is>
      </c>
      <c r="G571" s="2" t="inlineStr">
        <is>
          <t>20260129800091</t>
        </is>
      </c>
      <c r="H571" s="8">
        <f>HYPERLINK("https://dart.fss.or.kr/dsaf001/main.do?rcpNo=20260129800091", "공시열람")</f>
        <v/>
      </c>
    </row>
    <row r="572">
      <c r="A572" s="2" t="inlineStr">
        <is>
          <t>2026-01-29</t>
        </is>
      </c>
      <c r="B572" s="3" t="inlineStr">
        <is>
          <t>메리츠금융지주</t>
        </is>
      </c>
      <c r="C572" s="2" t="inlineStr">
        <is>
          <t>코스피</t>
        </is>
      </c>
      <c r="D572" s="2" t="inlineStr">
        <is>
          <t>138040</t>
        </is>
      </c>
      <c r="E572" s="3" t="inlineStr">
        <is>
          <t>투자설명서</t>
        </is>
      </c>
      <c r="F572" s="3" t="inlineStr">
        <is>
          <t>메리츠금융지주</t>
        </is>
      </c>
      <c r="G572" s="2" t="inlineStr">
        <is>
          <t>20260129000024</t>
        </is>
      </c>
      <c r="H572" s="8">
        <f>HYPERLINK("https://dart.fss.or.kr/dsaf001/main.do?rcpNo=20260129000024", "공시열람")</f>
        <v/>
      </c>
    </row>
    <row r="573">
      <c r="A573" s="2" t="inlineStr">
        <is>
          <t>2026-01-29</t>
        </is>
      </c>
      <c r="B573" s="3" t="inlineStr">
        <is>
          <t>대상</t>
        </is>
      </c>
      <c r="C573" s="2" t="inlineStr">
        <is>
          <t>코스피</t>
        </is>
      </c>
      <c r="D573" s="2" t="inlineStr">
        <is>
          <t>001680</t>
        </is>
      </c>
      <c r="E573" s="3" t="inlineStr">
        <is>
          <t>투자설명서</t>
        </is>
      </c>
      <c r="F573" s="3" t="inlineStr">
        <is>
          <t>대상</t>
        </is>
      </c>
      <c r="G573" s="2" t="inlineStr">
        <is>
          <t>20260129000019</t>
        </is>
      </c>
      <c r="H573" s="8">
        <f>HYPERLINK("https://dart.fss.or.kr/dsaf001/main.do?rcpNo=20260129000019", "공시열람")</f>
        <v/>
      </c>
    </row>
    <row r="574">
      <c r="A574" s="2" t="inlineStr">
        <is>
          <t>2026-01-29</t>
        </is>
      </c>
      <c r="B574" s="3" t="inlineStr">
        <is>
          <t>SK가스</t>
        </is>
      </c>
      <c r="C574" s="2" t="inlineStr">
        <is>
          <t>코스피</t>
        </is>
      </c>
      <c r="D574" s="2" t="inlineStr">
        <is>
          <t>018670</t>
        </is>
      </c>
      <c r="E574" s="3" t="inlineStr">
        <is>
          <t>투자설명서</t>
        </is>
      </c>
      <c r="F574" s="3" t="inlineStr">
        <is>
          <t>SK가스</t>
        </is>
      </c>
      <c r="G574" s="2" t="inlineStr">
        <is>
          <t>20260129000014</t>
        </is>
      </c>
      <c r="H574" s="8">
        <f>HYPERLINK("https://dart.fss.or.kr/dsaf001/main.do?rcpNo=20260129000014", "공시열람")</f>
        <v/>
      </c>
    </row>
    <row r="575">
      <c r="A575" s="2" t="inlineStr">
        <is>
          <t>2026-01-29</t>
        </is>
      </c>
      <c r="B575" s="3" t="inlineStr">
        <is>
          <t>현대건설</t>
        </is>
      </c>
      <c r="C575" s="2" t="inlineStr">
        <is>
          <t>코스피</t>
        </is>
      </c>
      <c r="D575" s="2" t="inlineStr">
        <is>
          <t>000720</t>
        </is>
      </c>
      <c r="E575" s="3" t="inlineStr">
        <is>
          <t>투자설명서</t>
        </is>
      </c>
      <c r="F575" s="3" t="inlineStr">
        <is>
          <t>현대건설</t>
        </is>
      </c>
      <c r="G575" s="2" t="inlineStr">
        <is>
          <t>20260129000013</t>
        </is>
      </c>
      <c r="H575" s="8">
        <f>HYPERLINK("https://dart.fss.or.kr/dsaf001/main.do?rcpNo=20260129000013", "공시열람")</f>
        <v/>
      </c>
    </row>
    <row r="576">
      <c r="A576" s="2" t="inlineStr">
        <is>
          <t>2026-01-29</t>
        </is>
      </c>
      <c r="B576" s="3" t="inlineStr">
        <is>
          <t>신세계푸드</t>
        </is>
      </c>
      <c r="C576" s="2" t="inlineStr">
        <is>
          <t>코스피</t>
        </is>
      </c>
      <c r="D576" s="2" t="inlineStr">
        <is>
          <t>031440</t>
        </is>
      </c>
      <c r="E576" s="3" t="inlineStr">
        <is>
          <t>투자설명서</t>
        </is>
      </c>
      <c r="F576" s="3" t="inlineStr">
        <is>
          <t>신세계푸드</t>
        </is>
      </c>
      <c r="G576" s="2" t="inlineStr">
        <is>
          <t>20260129000010</t>
        </is>
      </c>
      <c r="H576" s="8">
        <f>HYPERLINK("https://dart.fss.or.kr/dsaf001/main.do?rcpNo=20260129000010", "공시열람")</f>
        <v/>
      </c>
    </row>
    <row r="577">
      <c r="A577" s="2" t="inlineStr">
        <is>
          <t>2026-01-29</t>
        </is>
      </c>
      <c r="B577" s="3" t="inlineStr">
        <is>
          <t>LG디스플레이</t>
        </is>
      </c>
      <c r="C577" s="2" t="inlineStr">
        <is>
          <t>코스피</t>
        </is>
      </c>
      <c r="D577" s="2" t="inlineStr">
        <is>
          <t>034220</t>
        </is>
      </c>
      <c r="E577" s="3" t="inlineStr">
        <is>
          <t xml:space="preserve">기업설명회(IR)개최(안내공시)              </t>
        </is>
      </c>
      <c r="F577" s="3" t="inlineStr">
        <is>
          <t>LG디스플레이</t>
        </is>
      </c>
      <c r="G577" s="2" t="inlineStr">
        <is>
          <t>20260129800064</t>
        </is>
      </c>
      <c r="H577" s="8">
        <f>HYPERLINK("https://dart.fss.or.kr/dsaf001/main.do?rcpNo=20260129800064", "공시열람")</f>
        <v/>
      </c>
    </row>
    <row r="578">
      <c r="A578" s="2" t="inlineStr">
        <is>
          <t>2026-01-29</t>
        </is>
      </c>
      <c r="B578" s="3" t="inlineStr">
        <is>
          <t>포스코인터내셔널</t>
        </is>
      </c>
      <c r="C578" s="2" t="inlineStr">
        <is>
          <t>코스피</t>
        </is>
      </c>
      <c r="D578" s="2" t="inlineStr">
        <is>
          <t>047050</t>
        </is>
      </c>
      <c r="E578" s="3" t="inlineStr">
        <is>
          <t xml:space="preserve">연결재무제표기준영업(잠정)실적(공정공시)              </t>
        </is>
      </c>
      <c r="F578" s="3" t="inlineStr">
        <is>
          <t>포스코인터내셔널</t>
        </is>
      </c>
      <c r="G578" s="2" t="inlineStr">
        <is>
          <t>20260129800026</t>
        </is>
      </c>
      <c r="H578" s="8">
        <f>HYPERLINK("https://dart.fss.or.kr/dsaf001/main.do?rcpNo=20260129800026", "공시열람")</f>
        <v/>
      </c>
    </row>
    <row r="579">
      <c r="A579" s="2" t="inlineStr">
        <is>
          <t>2026-01-29</t>
        </is>
      </c>
      <c r="B579" s="3" t="inlineStr">
        <is>
          <t>포스코인터내셔널</t>
        </is>
      </c>
      <c r="C579" s="2" t="inlineStr">
        <is>
          <t>코스피</t>
        </is>
      </c>
      <c r="D579" s="2" t="inlineStr">
        <is>
          <t>047050</t>
        </is>
      </c>
      <c r="E579" s="3" t="inlineStr">
        <is>
          <t xml:space="preserve">매출액또는손익구조30%(대규모법인은15%)이상변경              </t>
        </is>
      </c>
      <c r="F579" s="3" t="inlineStr">
        <is>
          <t>포스코인터내셔널</t>
        </is>
      </c>
      <c r="G579" s="2" t="inlineStr">
        <is>
          <t>20260129800021</t>
        </is>
      </c>
      <c r="H579" s="8">
        <f>HYPERLINK("https://dart.fss.or.kr/dsaf001/main.do?rcpNo=20260129800021", "공시열람")</f>
        <v/>
      </c>
    </row>
    <row r="580">
      <c r="A580" s="2" t="inlineStr">
        <is>
          <t>2026-01-29</t>
        </is>
      </c>
      <c r="B580" s="3" t="inlineStr">
        <is>
          <t>삼성전자</t>
        </is>
      </c>
      <c r="C580" s="2" t="inlineStr">
        <is>
          <t>코스피</t>
        </is>
      </c>
      <c r="D580" s="2" t="inlineStr">
        <is>
          <t>005930</t>
        </is>
      </c>
      <c r="E580" s="3" t="inlineStr">
        <is>
          <t>주요사항보고서(자기주식처분결정)</t>
        </is>
      </c>
      <c r="F580" s="3" t="inlineStr">
        <is>
          <t>삼성전자</t>
        </is>
      </c>
      <c r="G580" s="2" t="inlineStr">
        <is>
          <t>20260129000004</t>
        </is>
      </c>
      <c r="H580" s="8">
        <f>HYPERLINK("https://dart.fss.or.kr/dsaf001/main.do?rcpNo=20260129000004", "공시열람")</f>
        <v/>
      </c>
    </row>
    <row r="581">
      <c r="A581" s="2" t="inlineStr">
        <is>
          <t>2026-01-29</t>
        </is>
      </c>
      <c r="B581" s="3" t="inlineStr">
        <is>
          <t>삼성전자</t>
        </is>
      </c>
      <c r="C581" s="2" t="inlineStr">
        <is>
          <t>코스피</t>
        </is>
      </c>
      <c r="D581" s="2" t="inlineStr">
        <is>
          <t>005930</t>
        </is>
      </c>
      <c r="E581" s="3" t="inlineStr">
        <is>
          <t xml:space="preserve">매출액또는손익구조30%(대규모법인은15%)이상변경              </t>
        </is>
      </c>
      <c r="F581" s="3" t="inlineStr">
        <is>
          <t>삼성전자</t>
        </is>
      </c>
      <c r="G581" s="2" t="inlineStr">
        <is>
          <t>20260129800005</t>
        </is>
      </c>
      <c r="H581" s="8">
        <f>HYPERLINK("https://dart.fss.or.kr/dsaf001/main.do?rcpNo=20260129800005", "공시열람")</f>
        <v/>
      </c>
    </row>
    <row r="582">
      <c r="A582" s="2" t="inlineStr">
        <is>
          <t>2026-01-29</t>
        </is>
      </c>
      <c r="B582" s="3" t="inlineStr">
        <is>
          <t>삼성전자</t>
        </is>
      </c>
      <c r="C582" s="2" t="inlineStr">
        <is>
          <t>코스피</t>
        </is>
      </c>
      <c r="D582" s="2" t="inlineStr">
        <is>
          <t>005930</t>
        </is>
      </c>
      <c r="E582" s="3" t="inlineStr">
        <is>
          <t xml:space="preserve">연결재무제표기준영업(잠정)실적(공정공시)              </t>
        </is>
      </c>
      <c r="F582" s="3" t="inlineStr">
        <is>
          <t>삼성전자</t>
        </is>
      </c>
      <c r="G582" s="2" t="inlineStr">
        <is>
          <t>20260129800002</t>
        </is>
      </c>
      <c r="H582" s="8">
        <f>HYPERLINK("https://dart.fss.or.kr/dsaf001/main.do?rcpNo=20260129800002", "공시열람")</f>
        <v/>
      </c>
    </row>
    <row r="583">
      <c r="A583" s="2" t="inlineStr">
        <is>
          <t>2026-01-29</t>
        </is>
      </c>
      <c r="B583" s="3" t="inlineStr">
        <is>
          <t>삼성전자</t>
        </is>
      </c>
      <c r="C583" s="2" t="inlineStr">
        <is>
          <t>코스피</t>
        </is>
      </c>
      <c r="D583" s="2" t="inlineStr">
        <is>
          <t>005930</t>
        </is>
      </c>
      <c r="E583" s="3" t="inlineStr">
        <is>
          <t xml:space="preserve">현금ㆍ현물배당결정              </t>
        </is>
      </c>
      <c r="F583" s="3" t="inlineStr">
        <is>
          <t>삼성전자</t>
        </is>
      </c>
      <c r="G583" s="2" t="inlineStr">
        <is>
          <t>20260129800004</t>
        </is>
      </c>
      <c r="H583" s="8">
        <f>HYPERLINK("https://dart.fss.or.kr/dsaf001/main.do?rcpNo=20260129800004", "공시열람")</f>
        <v/>
      </c>
    </row>
    <row r="584">
      <c r="A584" s="2" t="inlineStr">
        <is>
          <t>2026-02-02</t>
        </is>
      </c>
      <c r="B584" s="3" t="inlineStr">
        <is>
          <t>한샘</t>
        </is>
      </c>
      <c r="C584" s="2" t="inlineStr">
        <is>
          <t>코스피</t>
        </is>
      </c>
      <c r="D584" s="2" t="inlineStr">
        <is>
          <t>009240</t>
        </is>
      </c>
      <c r="E584" s="3" t="inlineStr">
        <is>
          <t xml:space="preserve">매출액또는손익구조30%(대규모법인은15%)이상변경              </t>
        </is>
      </c>
      <c r="F584" s="3" t="inlineStr">
        <is>
          <t>한샘</t>
        </is>
      </c>
      <c r="G584" s="2" t="inlineStr">
        <is>
          <t>20260202802147</t>
        </is>
      </c>
      <c r="H584" s="8">
        <f>HYPERLINK("https://dart.fss.or.kr/dsaf001/main.do?rcpNo=20260202802147", "공시열람")</f>
        <v/>
      </c>
    </row>
    <row r="585">
      <c r="A585" s="2" t="inlineStr">
        <is>
          <t>2026-02-02</t>
        </is>
      </c>
      <c r="B585" s="3" t="inlineStr">
        <is>
          <t>노바렉스</t>
        </is>
      </c>
      <c r="C585" s="2" t="inlineStr">
        <is>
          <t>코스닥</t>
        </is>
      </c>
      <c r="D585" s="2" t="inlineStr">
        <is>
          <t>194700</t>
        </is>
      </c>
      <c r="E585" s="3" t="inlineStr">
        <is>
          <t xml:space="preserve">매출액또는손익구조30%(대규모법인은15%)이상변동              </t>
        </is>
      </c>
      <c r="F585" s="3" t="inlineStr">
        <is>
          <t>노바렉스</t>
        </is>
      </c>
      <c r="G585" s="2" t="inlineStr">
        <is>
          <t>20260202902146</t>
        </is>
      </c>
      <c r="H585" s="8">
        <f>HYPERLINK("https://dart.fss.or.kr/dsaf001/main.do?rcpNo=20260202902146", "공시열람")</f>
        <v/>
      </c>
    </row>
    <row r="586">
      <c r="A586" s="2" t="inlineStr">
        <is>
          <t>2026-02-02</t>
        </is>
      </c>
      <c r="B586" s="3" t="inlineStr">
        <is>
          <t>옵티시스</t>
        </is>
      </c>
      <c r="C586" s="2" t="inlineStr">
        <is>
          <t>코스닥</t>
        </is>
      </c>
      <c r="D586" s="2" t="inlineStr">
        <is>
          <t>109080</t>
        </is>
      </c>
      <c r="E586" s="3" t="inlineStr">
        <is>
          <t xml:space="preserve">매출액또는손익구조30%(대규모법인은15%)이상변동              </t>
        </is>
      </c>
      <c r="F586" s="3" t="inlineStr">
        <is>
          <t>옵티시스</t>
        </is>
      </c>
      <c r="G586" s="2" t="inlineStr">
        <is>
          <t>20260202902141</t>
        </is>
      </c>
      <c r="H586" s="8">
        <f>HYPERLINK("https://dart.fss.or.kr/dsaf001/main.do?rcpNo=20260202902141", "공시열람")</f>
        <v/>
      </c>
    </row>
    <row r="587">
      <c r="A587" s="2" t="inlineStr">
        <is>
          <t>2026-02-02</t>
        </is>
      </c>
      <c r="B587" s="3" t="inlineStr">
        <is>
          <t>삼성전자</t>
        </is>
      </c>
      <c r="C587" s="2" t="inlineStr">
        <is>
          <t>코스피</t>
        </is>
      </c>
      <c r="D587" s="2" t="inlineStr">
        <is>
          <t>005930</t>
        </is>
      </c>
      <c r="E587" s="3" t="inlineStr">
        <is>
          <t>임원ㆍ주요주주특정증권등소유상황보고서</t>
        </is>
      </c>
      <c r="F587" s="3" t="inlineStr">
        <is>
          <t>황일권</t>
        </is>
      </c>
      <c r="G587" s="2" t="inlineStr">
        <is>
          <t>20260202001342</t>
        </is>
      </c>
      <c r="H587" s="8">
        <f>HYPERLINK("https://dart.fss.or.kr/dsaf001/main.do?rcpNo=20260202001342", "공시열람")</f>
        <v/>
      </c>
    </row>
    <row r="588">
      <c r="A588" s="2" t="inlineStr">
        <is>
          <t>2026-02-02</t>
        </is>
      </c>
      <c r="B588" s="3" t="inlineStr">
        <is>
          <t>플리토</t>
        </is>
      </c>
      <c r="C588" s="2" t="inlineStr">
        <is>
          <t>코스닥</t>
        </is>
      </c>
      <c r="D588" s="2" t="inlineStr">
        <is>
          <t>300080</t>
        </is>
      </c>
      <c r="E588" s="3" t="inlineStr">
        <is>
          <t>투자판단관련주요경영사항              (국책과제 선정(독자 AI 파운데이션 모델 프로젝트 데이터 지원 사업 선정))</t>
        </is>
      </c>
      <c r="F588" s="3" t="inlineStr">
        <is>
          <t>플리토</t>
        </is>
      </c>
      <c r="G588" s="2" t="inlineStr">
        <is>
          <t>20260202902138</t>
        </is>
      </c>
      <c r="H588" s="8">
        <f>HYPERLINK("https://dart.fss.or.kr/dsaf001/main.do?rcpNo=20260202902138", "공시열람")</f>
        <v/>
      </c>
    </row>
    <row r="589">
      <c r="A589" s="2" t="inlineStr">
        <is>
          <t>2026-02-02</t>
        </is>
      </c>
      <c r="B589" s="3" t="inlineStr">
        <is>
          <t>삼성전자</t>
        </is>
      </c>
      <c r="C589" s="2" t="inlineStr">
        <is>
          <t>코스피</t>
        </is>
      </c>
      <c r="D589" s="2" t="inlineStr">
        <is>
          <t>005930</t>
        </is>
      </c>
      <c r="E589" s="3" t="inlineStr">
        <is>
          <t>임원ㆍ주요주주특정증권등소유상황보고서</t>
        </is>
      </c>
      <c r="F589" s="3" t="inlineStr">
        <is>
          <t>전승수</t>
        </is>
      </c>
      <c r="G589" s="2" t="inlineStr">
        <is>
          <t>20260202001340</t>
        </is>
      </c>
      <c r="H589" s="8">
        <f>HYPERLINK("https://dart.fss.or.kr/dsaf001/main.do?rcpNo=20260202001340", "공시열람")</f>
        <v/>
      </c>
    </row>
    <row r="590">
      <c r="A590" s="2" t="inlineStr">
        <is>
          <t>2026-02-02</t>
        </is>
      </c>
      <c r="B590" s="3" t="inlineStr">
        <is>
          <t>LX홀딩스</t>
        </is>
      </c>
      <c r="C590" s="2" t="inlineStr">
        <is>
          <t>코스피</t>
        </is>
      </c>
      <c r="D590" s="2" t="inlineStr">
        <is>
          <t>383800</t>
        </is>
      </c>
      <c r="E590" s="3" t="inlineStr">
        <is>
          <t xml:space="preserve">매출액또는손익구조30%(대규모법인은15%)이상변경(자회사의 주요경영사항)              </t>
        </is>
      </c>
      <c r="F590" s="3" t="inlineStr">
        <is>
          <t>LX홀딩스</t>
        </is>
      </c>
      <c r="G590" s="2" t="inlineStr">
        <is>
          <t>20260202802126</t>
        </is>
      </c>
      <c r="H590" s="8">
        <f>HYPERLINK("https://dart.fss.or.kr/dsaf001/main.do?rcpNo=20260202802126", "공시열람")</f>
        <v/>
      </c>
    </row>
    <row r="591">
      <c r="A591" s="2" t="inlineStr">
        <is>
          <t>2026-02-02</t>
        </is>
      </c>
      <c r="B591" s="3" t="inlineStr">
        <is>
          <t>옵티시스</t>
        </is>
      </c>
      <c r="C591" s="2" t="inlineStr">
        <is>
          <t>코스닥</t>
        </is>
      </c>
      <c r="D591" s="2" t="inlineStr">
        <is>
          <t>109080</t>
        </is>
      </c>
      <c r="E591" s="3" t="inlineStr">
        <is>
          <t xml:space="preserve">영업(잠정)실적(공정공시)              </t>
        </is>
      </c>
      <c r="F591" s="3" t="inlineStr">
        <is>
          <t>옵티시스</t>
        </is>
      </c>
      <c r="G591" s="2" t="inlineStr">
        <is>
          <t>20260202902118</t>
        </is>
      </c>
      <c r="H591" s="8">
        <f>HYPERLINK("https://dart.fss.or.kr/dsaf001/main.do?rcpNo=20260202902118", "공시열람")</f>
        <v/>
      </c>
    </row>
    <row r="592">
      <c r="A592" s="2" t="inlineStr">
        <is>
          <t>2026-02-02</t>
        </is>
      </c>
      <c r="B592" s="3" t="inlineStr">
        <is>
          <t>삼성전자</t>
        </is>
      </c>
      <c r="C592" s="2" t="inlineStr">
        <is>
          <t>코스피</t>
        </is>
      </c>
      <c r="D592" s="2" t="inlineStr">
        <is>
          <t>005930</t>
        </is>
      </c>
      <c r="E592" s="3" t="inlineStr">
        <is>
          <t>임원ㆍ주요주주특정증권등소유상황보고서</t>
        </is>
      </c>
      <c r="F592" s="3" t="inlineStr">
        <is>
          <t>양택진</t>
        </is>
      </c>
      <c r="G592" s="2" t="inlineStr">
        <is>
          <t>20260202001339</t>
        </is>
      </c>
      <c r="H592" s="8">
        <f>HYPERLINK("https://dart.fss.or.kr/dsaf001/main.do?rcpNo=20260202001339", "공시열람")</f>
        <v/>
      </c>
    </row>
    <row r="593">
      <c r="A593" s="2" t="inlineStr">
        <is>
          <t>2026-02-02</t>
        </is>
      </c>
      <c r="B593" s="3" t="inlineStr">
        <is>
          <t>삼일씨엔에스</t>
        </is>
      </c>
      <c r="C593" s="2" t="inlineStr">
        <is>
          <t>코스피</t>
        </is>
      </c>
      <c r="D593" s="2" t="inlineStr">
        <is>
          <t>004440</t>
        </is>
      </c>
      <c r="E593" s="3" t="inlineStr">
        <is>
          <t xml:space="preserve">매출액또는손익구조30%(대규모법인은15%)이상변경              </t>
        </is>
      </c>
      <c r="F593" s="3" t="inlineStr">
        <is>
          <t>삼일씨엔에스</t>
        </is>
      </c>
      <c r="G593" s="2" t="inlineStr">
        <is>
          <t>20260202802130</t>
        </is>
      </c>
      <c r="H593" s="8">
        <f>HYPERLINK("https://dart.fss.or.kr/dsaf001/main.do?rcpNo=20260202802130", "공시열람")</f>
        <v/>
      </c>
    </row>
    <row r="594">
      <c r="A594" s="2" t="inlineStr">
        <is>
          <t>2026-02-02</t>
        </is>
      </c>
      <c r="B594" s="3" t="inlineStr">
        <is>
          <t>파두</t>
        </is>
      </c>
      <c r="C594" s="2" t="inlineStr">
        <is>
          <t>코스닥</t>
        </is>
      </c>
      <c r="D594" s="2" t="inlineStr">
        <is>
          <t>440110</t>
        </is>
      </c>
      <c r="E594" s="3" t="inlineStr">
        <is>
          <t>주권매매거래정지해제              (상장적격성 실질심사 대상 제외 결정)</t>
        </is>
      </c>
      <c r="F594" s="3" t="inlineStr">
        <is>
          <t>코스닥시장본부</t>
        </is>
      </c>
      <c r="G594" s="2" t="inlineStr">
        <is>
          <t>20260202902085</t>
        </is>
      </c>
      <c r="H594" s="8">
        <f>HYPERLINK("https://dart.fss.or.kr/dsaf001/main.do?rcpNo=20260202902085", "공시열람")</f>
        <v/>
      </c>
    </row>
    <row r="595">
      <c r="A595" s="2" t="inlineStr">
        <is>
          <t>2026-02-02</t>
        </is>
      </c>
      <c r="B595" s="3" t="inlineStr">
        <is>
          <t>삼성전자</t>
        </is>
      </c>
      <c r="C595" s="2" t="inlineStr">
        <is>
          <t>코스피</t>
        </is>
      </c>
      <c r="D595" s="2" t="inlineStr">
        <is>
          <t>005930</t>
        </is>
      </c>
      <c r="E595" s="3" t="inlineStr">
        <is>
          <t>임원ㆍ주요주주특정증권등소유상황보고서</t>
        </is>
      </c>
      <c r="F595" s="3" t="inlineStr">
        <is>
          <t>신병무</t>
        </is>
      </c>
      <c r="G595" s="2" t="inlineStr">
        <is>
          <t>20260202001338</t>
        </is>
      </c>
      <c r="H595" s="8">
        <f>HYPERLINK("https://dart.fss.or.kr/dsaf001/main.do?rcpNo=20260202001338", "공시열람")</f>
        <v/>
      </c>
    </row>
    <row r="596">
      <c r="A596" s="2" t="inlineStr">
        <is>
          <t>2026-02-02</t>
        </is>
      </c>
      <c r="B596" s="3" t="inlineStr">
        <is>
          <t>롯데관광개발</t>
        </is>
      </c>
      <c r="C596" s="2" t="inlineStr">
        <is>
          <t>코스피</t>
        </is>
      </c>
      <c r="D596" s="2" t="inlineStr">
        <is>
          <t>032350</t>
        </is>
      </c>
      <c r="E596" s="3" t="inlineStr">
        <is>
          <t xml:space="preserve">연결재무제표기준영업(잠정)실적(공정공시)              </t>
        </is>
      </c>
      <c r="F596" s="3" t="inlineStr">
        <is>
          <t>롯데관광개발</t>
        </is>
      </c>
      <c r="G596" s="2" t="inlineStr">
        <is>
          <t>20260202802123</t>
        </is>
      </c>
      <c r="H596" s="8">
        <f>HYPERLINK("https://dart.fss.or.kr/dsaf001/main.do?rcpNo=20260202802123", "공시열람")</f>
        <v/>
      </c>
    </row>
    <row r="597">
      <c r="A597" s="2" t="inlineStr">
        <is>
          <t>2026-02-02</t>
        </is>
      </c>
      <c r="B597" s="3" t="inlineStr">
        <is>
          <t>삼성전자</t>
        </is>
      </c>
      <c r="C597" s="2" t="inlineStr">
        <is>
          <t>코스피</t>
        </is>
      </c>
      <c r="D597" s="2" t="inlineStr">
        <is>
          <t>005930</t>
        </is>
      </c>
      <c r="E597" s="3" t="inlineStr">
        <is>
          <t>임원ㆍ주요주주특정증권등소유상황보고서</t>
        </is>
      </c>
      <c r="F597" s="3" t="inlineStr">
        <is>
          <t>이선일</t>
        </is>
      </c>
      <c r="G597" s="2" t="inlineStr">
        <is>
          <t>20260202001337</t>
        </is>
      </c>
      <c r="H597" s="8">
        <f>HYPERLINK("https://dart.fss.or.kr/dsaf001/main.do?rcpNo=20260202001337", "공시열람")</f>
        <v/>
      </c>
    </row>
    <row r="598">
      <c r="A598" s="2" t="inlineStr">
        <is>
          <t>2026-02-02</t>
        </is>
      </c>
      <c r="B598" s="3" t="inlineStr">
        <is>
          <t>LX하우시스</t>
        </is>
      </c>
      <c r="C598" s="2" t="inlineStr">
        <is>
          <t>코스피</t>
        </is>
      </c>
      <c r="D598" s="2" t="inlineStr">
        <is>
          <t>108670</t>
        </is>
      </c>
      <c r="E598" s="3" t="inlineStr">
        <is>
          <t xml:space="preserve">매출액또는손익구조30%(대규모법인은15%)이상변경              </t>
        </is>
      </c>
      <c r="F598" s="3" t="inlineStr">
        <is>
          <t>LX하우시스</t>
        </is>
      </c>
      <c r="G598" s="2" t="inlineStr">
        <is>
          <t>20260202802071</t>
        </is>
      </c>
      <c r="H598" s="8">
        <f>HYPERLINK("https://dart.fss.or.kr/dsaf001/main.do?rcpNo=20260202802071", "공시열람")</f>
        <v/>
      </c>
    </row>
    <row r="599">
      <c r="A599" s="2" t="inlineStr">
        <is>
          <t>2026-02-02</t>
        </is>
      </c>
      <c r="B599" s="3" t="inlineStr">
        <is>
          <t>PS일렉트로닉스</t>
        </is>
      </c>
      <c r="C599" s="2" t="inlineStr">
        <is>
          <t>코스닥</t>
        </is>
      </c>
      <c r="D599" s="2" t="inlineStr">
        <is>
          <t>332570</t>
        </is>
      </c>
      <c r="E599" s="3" t="inlineStr">
        <is>
          <t xml:space="preserve">전환주식의전환청구권행사              </t>
        </is>
      </c>
      <c r="F599" s="3" t="inlineStr">
        <is>
          <t>PS일렉트로닉스</t>
        </is>
      </c>
      <c r="G599" s="2" t="inlineStr">
        <is>
          <t>20260202902103</t>
        </is>
      </c>
      <c r="H599" s="8">
        <f>HYPERLINK("https://dart.fss.or.kr/dsaf001/main.do?rcpNo=20260202902103", "공시열람")</f>
        <v/>
      </c>
    </row>
    <row r="600">
      <c r="A600" s="2" t="inlineStr">
        <is>
          <t>2026-02-02</t>
        </is>
      </c>
      <c r="B600" s="3" t="inlineStr">
        <is>
          <t>삼성전자</t>
        </is>
      </c>
      <c r="C600" s="2" t="inlineStr">
        <is>
          <t>코스피</t>
        </is>
      </c>
      <c r="D600" s="2" t="inlineStr">
        <is>
          <t>005930</t>
        </is>
      </c>
      <c r="E600" s="3" t="inlineStr">
        <is>
          <t>임원ㆍ주요주주특정증권등소유상황보고서</t>
        </is>
      </c>
      <c r="F600" s="3" t="inlineStr">
        <is>
          <t>박찬형</t>
        </is>
      </c>
      <c r="G600" s="2" t="inlineStr">
        <is>
          <t>20260202001336</t>
        </is>
      </c>
      <c r="H600" s="8">
        <f>HYPERLINK("https://dart.fss.or.kr/dsaf001/main.do?rcpNo=20260202001336", "공시열람")</f>
        <v/>
      </c>
    </row>
    <row r="601">
      <c r="A601" s="2" t="inlineStr">
        <is>
          <t>2026-02-02</t>
        </is>
      </c>
      <c r="B601" s="3" t="inlineStr">
        <is>
          <t>삼성전자</t>
        </is>
      </c>
      <c r="C601" s="2" t="inlineStr">
        <is>
          <t>코스피</t>
        </is>
      </c>
      <c r="D601" s="2" t="inlineStr">
        <is>
          <t>005930</t>
        </is>
      </c>
      <c r="E601" s="3" t="inlineStr">
        <is>
          <t>임원ㆍ주요주주특정증권등소유상황보고서</t>
        </is>
      </c>
      <c r="F601" s="3" t="inlineStr">
        <is>
          <t>강종호</t>
        </is>
      </c>
      <c r="G601" s="2" t="inlineStr">
        <is>
          <t>20260202001335</t>
        </is>
      </c>
      <c r="H601" s="8">
        <f>HYPERLINK("https://dart.fss.or.kr/dsaf001/main.do?rcpNo=20260202001335", "공시열람")</f>
        <v/>
      </c>
    </row>
    <row r="602">
      <c r="A602" s="2" t="inlineStr">
        <is>
          <t>2026-02-02</t>
        </is>
      </c>
      <c r="B602" s="3" t="inlineStr">
        <is>
          <t>삼성전자</t>
        </is>
      </c>
      <c r="C602" s="2" t="inlineStr">
        <is>
          <t>코스피</t>
        </is>
      </c>
      <c r="D602" s="2" t="inlineStr">
        <is>
          <t>005930</t>
        </is>
      </c>
      <c r="E602" s="3" t="inlineStr">
        <is>
          <t>임원ㆍ주요주주특정증권등소유상황보고서</t>
        </is>
      </c>
      <c r="F602" s="3" t="inlineStr">
        <is>
          <t>하지훈</t>
        </is>
      </c>
      <c r="G602" s="2" t="inlineStr">
        <is>
          <t>20260202001334</t>
        </is>
      </c>
      <c r="H602" s="8">
        <f>HYPERLINK("https://dart.fss.or.kr/dsaf001/main.do?rcpNo=20260202001334", "공시열람")</f>
        <v/>
      </c>
    </row>
    <row r="603">
      <c r="A603" s="2" t="inlineStr">
        <is>
          <t>2026-02-02</t>
        </is>
      </c>
      <c r="B603" s="3" t="inlineStr">
        <is>
          <t>우리기술</t>
        </is>
      </c>
      <c r="C603" s="2" t="inlineStr">
        <is>
          <t>코스닥</t>
        </is>
      </c>
      <c r="D603" s="2" t="inlineStr">
        <is>
          <t>032820</t>
        </is>
      </c>
      <c r="E603" s="3" t="inlineStr">
        <is>
          <t>주요사항보고서(자기전환사채매도결정)</t>
        </is>
      </c>
      <c r="F603" s="3" t="inlineStr">
        <is>
          <t>우리기술</t>
        </is>
      </c>
      <c r="G603" s="2" t="inlineStr">
        <is>
          <t>20260202001303</t>
        </is>
      </c>
      <c r="H603" s="8">
        <f>HYPERLINK("https://dart.fss.or.kr/dsaf001/main.do?rcpNo=20260202001303", "공시열람")</f>
        <v/>
      </c>
    </row>
    <row r="604">
      <c r="A604" s="2" t="inlineStr">
        <is>
          <t>2026-02-02</t>
        </is>
      </c>
      <c r="B604" s="3" t="inlineStr">
        <is>
          <t>삼성전자</t>
        </is>
      </c>
      <c r="C604" s="2" t="inlineStr">
        <is>
          <t>코스피</t>
        </is>
      </c>
      <c r="D604" s="2" t="inlineStr">
        <is>
          <t>005930</t>
        </is>
      </c>
      <c r="E604" s="3" t="inlineStr">
        <is>
          <t>임원ㆍ주요주주특정증권등소유상황보고서</t>
        </is>
      </c>
      <c r="F604" s="3" t="inlineStr">
        <is>
          <t>김지용</t>
        </is>
      </c>
      <c r="G604" s="2" t="inlineStr">
        <is>
          <t>20260202001332</t>
        </is>
      </c>
      <c r="H604" s="8">
        <f>HYPERLINK("https://dart.fss.or.kr/dsaf001/main.do?rcpNo=20260202001332", "공시열람")</f>
        <v/>
      </c>
    </row>
    <row r="605">
      <c r="A605" s="2" t="inlineStr">
        <is>
          <t>2026-02-02</t>
        </is>
      </c>
      <c r="B605" s="3" t="inlineStr">
        <is>
          <t>삼성전자</t>
        </is>
      </c>
      <c r="C605" s="2" t="inlineStr">
        <is>
          <t>코스피</t>
        </is>
      </c>
      <c r="D605" s="2" t="inlineStr">
        <is>
          <t>005930</t>
        </is>
      </c>
      <c r="E605" s="3" t="inlineStr">
        <is>
          <t>임원ㆍ주요주주특정증권등소유상황보고서</t>
        </is>
      </c>
      <c r="F605" s="3" t="inlineStr">
        <is>
          <t>박승일</t>
        </is>
      </c>
      <c r="G605" s="2" t="inlineStr">
        <is>
          <t>20260202001331</t>
        </is>
      </c>
      <c r="H605" s="8">
        <f>HYPERLINK("https://dart.fss.or.kr/dsaf001/main.do?rcpNo=20260202001331", "공시열람")</f>
        <v/>
      </c>
    </row>
    <row r="606">
      <c r="A606" s="2" t="inlineStr">
        <is>
          <t>2026-02-02</t>
        </is>
      </c>
      <c r="B606" s="3" t="inlineStr">
        <is>
          <t>삼성전자</t>
        </is>
      </c>
      <c r="C606" s="2" t="inlineStr">
        <is>
          <t>코스피</t>
        </is>
      </c>
      <c r="D606" s="2" t="inlineStr">
        <is>
          <t>005930</t>
        </is>
      </c>
      <c r="E606" s="3" t="inlineStr">
        <is>
          <t>임원ㆍ주요주주특정증권등소유상황보고서</t>
        </is>
      </c>
      <c r="F606" s="3" t="inlineStr">
        <is>
          <t>예장희</t>
        </is>
      </c>
      <c r="G606" s="2" t="inlineStr">
        <is>
          <t>20260202001330</t>
        </is>
      </c>
      <c r="H606" s="8">
        <f>HYPERLINK("https://dart.fss.or.kr/dsaf001/main.do?rcpNo=20260202001330", "공시열람")</f>
        <v/>
      </c>
    </row>
    <row r="607">
      <c r="A607" s="2" t="inlineStr">
        <is>
          <t>2026-02-02</t>
        </is>
      </c>
      <c r="B607" s="3" t="inlineStr">
        <is>
          <t>삼아알미늄</t>
        </is>
      </c>
      <c r="C607" s="2" t="inlineStr">
        <is>
          <t>코스피</t>
        </is>
      </c>
      <c r="D607" s="2" t="inlineStr">
        <is>
          <t>006110</t>
        </is>
      </c>
      <c r="E607" s="3" t="inlineStr">
        <is>
          <t xml:space="preserve">매출액또는손익구조30%(대규모법인은15%)이상변경              </t>
        </is>
      </c>
      <c r="F607" s="3" t="inlineStr">
        <is>
          <t>삼아알미늄</t>
        </is>
      </c>
      <c r="G607" s="2" t="inlineStr">
        <is>
          <t>20260202802077</t>
        </is>
      </c>
      <c r="H607" s="8">
        <f>HYPERLINK("https://dart.fss.or.kr/dsaf001/main.do?rcpNo=20260202802077", "공시열람")</f>
        <v/>
      </c>
    </row>
    <row r="608">
      <c r="A608" s="2" t="inlineStr">
        <is>
          <t>2026-02-02</t>
        </is>
      </c>
      <c r="B608" s="3" t="inlineStr">
        <is>
          <t>삼성전자</t>
        </is>
      </c>
      <c r="C608" s="2" t="inlineStr">
        <is>
          <t>코스피</t>
        </is>
      </c>
      <c r="D608" s="2" t="inlineStr">
        <is>
          <t>005930</t>
        </is>
      </c>
      <c r="E608" s="3" t="inlineStr">
        <is>
          <t>임원ㆍ주요주주특정증권등소유상황보고서</t>
        </is>
      </c>
      <c r="F608" s="3" t="inlineStr">
        <is>
          <t>김종현</t>
        </is>
      </c>
      <c r="G608" s="2" t="inlineStr">
        <is>
          <t>20260202001329</t>
        </is>
      </c>
      <c r="H608" s="8">
        <f>HYPERLINK("https://dart.fss.or.kr/dsaf001/main.do?rcpNo=20260202001329", "공시열람")</f>
        <v/>
      </c>
    </row>
    <row r="609">
      <c r="A609" s="2" t="inlineStr">
        <is>
          <t>2026-02-02</t>
        </is>
      </c>
      <c r="B609" s="3" t="inlineStr">
        <is>
          <t>삼성전자</t>
        </is>
      </c>
      <c r="C609" s="2" t="inlineStr">
        <is>
          <t>코스피</t>
        </is>
      </c>
      <c r="D609" s="2" t="inlineStr">
        <is>
          <t>005930</t>
        </is>
      </c>
      <c r="E609" s="3" t="inlineStr">
        <is>
          <t>임원ㆍ주요주주특정증권등소유상황보고서</t>
        </is>
      </c>
      <c r="F609" s="3" t="inlineStr">
        <is>
          <t>장용일</t>
        </is>
      </c>
      <c r="G609" s="2" t="inlineStr">
        <is>
          <t>20260202001328</t>
        </is>
      </c>
      <c r="H609" s="8">
        <f>HYPERLINK("https://dart.fss.or.kr/dsaf001/main.do?rcpNo=20260202001328", "공시열람")</f>
        <v/>
      </c>
    </row>
    <row r="610">
      <c r="A610" s="2" t="inlineStr">
        <is>
          <t>2026-02-02</t>
        </is>
      </c>
      <c r="B610" s="3" t="inlineStr">
        <is>
          <t>삼성전자</t>
        </is>
      </c>
      <c r="C610" s="2" t="inlineStr">
        <is>
          <t>코스피</t>
        </is>
      </c>
      <c r="D610" s="2" t="inlineStr">
        <is>
          <t>005930</t>
        </is>
      </c>
      <c r="E610" s="3" t="inlineStr">
        <is>
          <t>임원ㆍ주요주주특정증권등소유상황보고서</t>
        </is>
      </c>
      <c r="F610" s="3" t="inlineStr">
        <is>
          <t>고현목</t>
        </is>
      </c>
      <c r="G610" s="2" t="inlineStr">
        <is>
          <t>20260202001327</t>
        </is>
      </c>
      <c r="H610" s="8">
        <f>HYPERLINK("https://dart.fss.or.kr/dsaf001/main.do?rcpNo=20260202001327", "공시열람")</f>
        <v/>
      </c>
    </row>
    <row r="611">
      <c r="A611" s="2" t="inlineStr">
        <is>
          <t>2026-02-02</t>
        </is>
      </c>
      <c r="B611" s="3" t="inlineStr">
        <is>
          <t>삼성전자</t>
        </is>
      </c>
      <c r="C611" s="2" t="inlineStr">
        <is>
          <t>코스피</t>
        </is>
      </c>
      <c r="D611" s="2" t="inlineStr">
        <is>
          <t>005930</t>
        </is>
      </c>
      <c r="E611" s="3" t="inlineStr">
        <is>
          <t>임원ㆍ주요주주특정증권등소유상황보고서</t>
        </is>
      </c>
      <c r="F611" s="3" t="inlineStr">
        <is>
          <t>이선웅</t>
        </is>
      </c>
      <c r="G611" s="2" t="inlineStr">
        <is>
          <t>20260202001326</t>
        </is>
      </c>
      <c r="H611" s="8">
        <f>HYPERLINK("https://dart.fss.or.kr/dsaf001/main.do?rcpNo=20260202001326", "공시열람")</f>
        <v/>
      </c>
    </row>
    <row r="612">
      <c r="A612" s="2" t="inlineStr">
        <is>
          <t>2026-02-02</t>
        </is>
      </c>
      <c r="B612" s="3" t="inlineStr">
        <is>
          <t>삼성전자</t>
        </is>
      </c>
      <c r="C612" s="2" t="inlineStr">
        <is>
          <t>코스피</t>
        </is>
      </c>
      <c r="D612" s="2" t="inlineStr">
        <is>
          <t>005930</t>
        </is>
      </c>
      <c r="E612" s="3" t="inlineStr">
        <is>
          <t>임원ㆍ주요주주특정증권등소유상황보고서</t>
        </is>
      </c>
      <c r="F612" s="3" t="inlineStr">
        <is>
          <t>김창수</t>
        </is>
      </c>
      <c r="G612" s="2" t="inlineStr">
        <is>
          <t>20260202001325</t>
        </is>
      </c>
      <c r="H612" s="8">
        <f>HYPERLINK("https://dart.fss.or.kr/dsaf001/main.do?rcpNo=20260202001325", "공시열람")</f>
        <v/>
      </c>
    </row>
    <row r="613">
      <c r="A613" s="2" t="inlineStr">
        <is>
          <t>2026-02-02</t>
        </is>
      </c>
      <c r="B613" s="3" t="inlineStr">
        <is>
          <t>삼성전자</t>
        </is>
      </c>
      <c r="C613" s="2" t="inlineStr">
        <is>
          <t>코스피</t>
        </is>
      </c>
      <c r="D613" s="2" t="inlineStr">
        <is>
          <t>005930</t>
        </is>
      </c>
      <c r="E613" s="3" t="inlineStr">
        <is>
          <t>임원ㆍ주요주주특정증권등소유상황보고서</t>
        </is>
      </c>
      <c r="F613" s="3" t="inlineStr">
        <is>
          <t>김재관</t>
        </is>
      </c>
      <c r="G613" s="2" t="inlineStr">
        <is>
          <t>20260202001324</t>
        </is>
      </c>
      <c r="H613" s="8">
        <f>HYPERLINK("https://dart.fss.or.kr/dsaf001/main.do?rcpNo=20260202001324", "공시열람")</f>
        <v/>
      </c>
    </row>
    <row r="614">
      <c r="A614" s="2" t="inlineStr">
        <is>
          <t>2026-02-02</t>
        </is>
      </c>
      <c r="B614" s="3" t="inlineStr">
        <is>
          <t>삼성전자</t>
        </is>
      </c>
      <c r="C614" s="2" t="inlineStr">
        <is>
          <t>코스피</t>
        </is>
      </c>
      <c r="D614" s="2" t="inlineStr">
        <is>
          <t>005930</t>
        </is>
      </c>
      <c r="E614" s="3" t="inlineStr">
        <is>
          <t>임원ㆍ주요주주특정증권등소유상황보고서</t>
        </is>
      </c>
      <c r="F614" s="3" t="inlineStr">
        <is>
          <t>서현석</t>
        </is>
      </c>
      <c r="G614" s="2" t="inlineStr">
        <is>
          <t>20260202001323</t>
        </is>
      </c>
      <c r="H614" s="8">
        <f>HYPERLINK("https://dart.fss.or.kr/dsaf001/main.do?rcpNo=20260202001323", "공시열람")</f>
        <v/>
      </c>
    </row>
    <row r="615">
      <c r="A615" s="2" t="inlineStr">
        <is>
          <t>2026-02-02</t>
        </is>
      </c>
      <c r="B615" s="3" t="inlineStr">
        <is>
          <t>풀무원</t>
        </is>
      </c>
      <c r="C615" s="2" t="inlineStr">
        <is>
          <t>코스피</t>
        </is>
      </c>
      <c r="D615" s="2" t="inlineStr">
        <is>
          <t>017810</t>
        </is>
      </c>
      <c r="E615" s="3" t="inlineStr">
        <is>
          <t xml:space="preserve">매출액또는손익구조30%(대규모법인은15%)이상변경              </t>
        </is>
      </c>
      <c r="F615" s="3" t="inlineStr">
        <is>
          <t>풀무원</t>
        </is>
      </c>
      <c r="G615" s="2" t="inlineStr">
        <is>
          <t>20260202802009</t>
        </is>
      </c>
      <c r="H615" s="8">
        <f>HYPERLINK("https://dart.fss.or.kr/dsaf001/main.do?rcpNo=20260202802009", "공시열람")</f>
        <v/>
      </c>
    </row>
    <row r="616">
      <c r="A616" s="2" t="inlineStr">
        <is>
          <t>2026-02-02</t>
        </is>
      </c>
      <c r="B616" s="3" t="inlineStr">
        <is>
          <t>삼성전자</t>
        </is>
      </c>
      <c r="C616" s="2" t="inlineStr">
        <is>
          <t>코스피</t>
        </is>
      </c>
      <c r="D616" s="2" t="inlineStr">
        <is>
          <t>005930</t>
        </is>
      </c>
      <c r="E616" s="3" t="inlineStr">
        <is>
          <t>임원ㆍ주요주주특정증권등소유상황보고서</t>
        </is>
      </c>
      <c r="F616" s="3" t="inlineStr">
        <is>
          <t>손준호</t>
        </is>
      </c>
      <c r="G616" s="2" t="inlineStr">
        <is>
          <t>20260202001322</t>
        </is>
      </c>
      <c r="H616" s="8">
        <f>HYPERLINK("https://dart.fss.or.kr/dsaf001/main.do?rcpNo=20260202001322", "공시열람")</f>
        <v/>
      </c>
    </row>
    <row r="617">
      <c r="A617" s="2" t="inlineStr">
        <is>
          <t>2026-02-02</t>
        </is>
      </c>
      <c r="B617" s="3" t="inlineStr">
        <is>
          <t>삼성전자</t>
        </is>
      </c>
      <c r="C617" s="2" t="inlineStr">
        <is>
          <t>코스피</t>
        </is>
      </c>
      <c r="D617" s="2" t="inlineStr">
        <is>
          <t>005930</t>
        </is>
      </c>
      <c r="E617" s="3" t="inlineStr">
        <is>
          <t>임원ㆍ주요주주특정증권등소유상황보고서</t>
        </is>
      </c>
      <c r="F617" s="3" t="inlineStr">
        <is>
          <t>오영기</t>
        </is>
      </c>
      <c r="G617" s="2" t="inlineStr">
        <is>
          <t>20260202001321</t>
        </is>
      </c>
      <c r="H617" s="8">
        <f>HYPERLINK("https://dart.fss.or.kr/dsaf001/main.do?rcpNo=20260202001321", "공시열람")</f>
        <v/>
      </c>
    </row>
    <row r="618">
      <c r="A618" s="2" t="inlineStr">
        <is>
          <t>2026-02-02</t>
        </is>
      </c>
      <c r="B618" s="3" t="inlineStr">
        <is>
          <t>삼성전자</t>
        </is>
      </c>
      <c r="C618" s="2" t="inlineStr">
        <is>
          <t>코스피</t>
        </is>
      </c>
      <c r="D618" s="2" t="inlineStr">
        <is>
          <t>005930</t>
        </is>
      </c>
      <c r="E618" s="3" t="inlineStr">
        <is>
          <t>임원ㆍ주요주주특정증권등소유상황보고서</t>
        </is>
      </c>
      <c r="F618" s="3" t="inlineStr">
        <is>
          <t>김창수</t>
        </is>
      </c>
      <c r="G618" s="2" t="inlineStr">
        <is>
          <t>20260202001320</t>
        </is>
      </c>
      <c r="H618" s="8">
        <f>HYPERLINK("https://dart.fss.or.kr/dsaf001/main.do?rcpNo=20260202001320", "공시열람")</f>
        <v/>
      </c>
    </row>
    <row r="619">
      <c r="A619" s="2" t="inlineStr">
        <is>
          <t>2026-02-02</t>
        </is>
      </c>
      <c r="B619" s="3" t="inlineStr">
        <is>
          <t>삼성전자</t>
        </is>
      </c>
      <c r="C619" s="2" t="inlineStr">
        <is>
          <t>코스피</t>
        </is>
      </c>
      <c r="D619" s="2" t="inlineStr">
        <is>
          <t>005930</t>
        </is>
      </c>
      <c r="E619" s="3" t="inlineStr">
        <is>
          <t>임원ㆍ주요주주특정증권등소유상황보고서</t>
        </is>
      </c>
      <c r="F619" s="3" t="inlineStr">
        <is>
          <t>정세환</t>
        </is>
      </c>
      <c r="G619" s="2" t="inlineStr">
        <is>
          <t>20260202001319</t>
        </is>
      </c>
      <c r="H619" s="8">
        <f>HYPERLINK("https://dart.fss.or.kr/dsaf001/main.do?rcpNo=20260202001319", "공시열람")</f>
        <v/>
      </c>
    </row>
    <row r="620">
      <c r="A620" s="2" t="inlineStr">
        <is>
          <t>2026-02-02 (정정: 2026-03-06)</t>
        </is>
      </c>
      <c r="B620" s="3" t="inlineStr">
        <is>
          <t>녹십자홀딩스</t>
        </is>
      </c>
      <c r="C620" s="2" t="inlineStr">
        <is>
          <t>코스피</t>
        </is>
      </c>
      <c r="D620" s="2" t="inlineStr">
        <is>
          <t>005250</t>
        </is>
      </c>
      <c r="E620" s="3" t="inlineStr">
        <is>
          <t>매출액또는손익구조30%(대규모법인은15%)이상변경               (정정: 20260306)</t>
        </is>
      </c>
      <c r="F620" s="3" t="inlineStr">
        <is>
          <t>녹십자홀딩스</t>
        </is>
      </c>
      <c r="G620" s="2" t="inlineStr">
        <is>
          <t>20260306801701</t>
        </is>
      </c>
      <c r="H620" s="8">
        <f>HYPERLINK("https://dart.fss.or.kr/dsaf001/main.do?rcpNo=20260306801701", "공시열람")</f>
        <v/>
      </c>
    </row>
    <row r="621">
      <c r="A621" s="2" t="inlineStr">
        <is>
          <t>2026-02-02</t>
        </is>
      </c>
      <c r="B621" s="3" t="inlineStr">
        <is>
          <t>만호제강</t>
        </is>
      </c>
      <c r="C621" s="2" t="inlineStr">
        <is>
          <t>코스피</t>
        </is>
      </c>
      <c r="D621" s="2" t="inlineStr">
        <is>
          <t>001080</t>
        </is>
      </c>
      <c r="E621" s="3" t="inlineStr">
        <is>
          <t>사외이사의선임ㆍ해임또는중도퇴임에관한신고</t>
        </is>
      </c>
      <c r="F621" s="3" t="inlineStr">
        <is>
          <t>만호제강</t>
        </is>
      </c>
      <c r="G621" s="2" t="inlineStr">
        <is>
          <t>20260202001317</t>
        </is>
      </c>
      <c r="H621" s="8">
        <f>HYPERLINK("https://dart.fss.or.kr/dsaf001/main.do?rcpNo=20260202001317", "공시열람")</f>
        <v/>
      </c>
    </row>
    <row r="622">
      <c r="A622" s="2" t="inlineStr">
        <is>
          <t>2026-02-02</t>
        </is>
      </c>
      <c r="B622" s="3" t="inlineStr">
        <is>
          <t>삼천리자전거</t>
        </is>
      </c>
      <c r="C622" s="2" t="inlineStr">
        <is>
          <t>코스닥</t>
        </is>
      </c>
      <c r="D622" s="2" t="inlineStr">
        <is>
          <t>024950</t>
        </is>
      </c>
      <c r="E622" s="3" t="inlineStr">
        <is>
          <t>기타시장안내              (실질심사 대상여부 결정을 위한 조사기간 연장 안내)</t>
        </is>
      </c>
      <c r="F622" s="3" t="inlineStr">
        <is>
          <t>코스닥시장본부</t>
        </is>
      </c>
      <c r="G622" s="2" t="inlineStr">
        <is>
          <t>20260202902072</t>
        </is>
      </c>
      <c r="H622" s="8">
        <f>HYPERLINK("https://dart.fss.or.kr/dsaf001/main.do?rcpNo=20260202902072", "공시열람")</f>
        <v/>
      </c>
    </row>
    <row r="623">
      <c r="A623" s="2" t="inlineStr">
        <is>
          <t>2026-02-02</t>
        </is>
      </c>
      <c r="B623" s="3" t="inlineStr">
        <is>
          <t>파두</t>
        </is>
      </c>
      <c r="C623" s="2" t="inlineStr">
        <is>
          <t>코스닥</t>
        </is>
      </c>
      <c r="D623" s="2" t="inlineStr">
        <is>
          <t>440110</t>
        </is>
      </c>
      <c r="E623" s="3" t="inlineStr">
        <is>
          <t>기타시장안내              (상장적격성 실질심사 대상 제외 결정)</t>
        </is>
      </c>
      <c r="F623" s="3" t="inlineStr">
        <is>
          <t>코스닥시장본부</t>
        </is>
      </c>
      <c r="G623" s="2" t="inlineStr">
        <is>
          <t>20260202902015</t>
        </is>
      </c>
      <c r="H623" s="8">
        <f>HYPERLINK("https://dart.fss.or.kr/dsaf001/main.do?rcpNo=20260202902015", "공시열람")</f>
        <v/>
      </c>
    </row>
    <row r="624">
      <c r="A624" s="2" t="inlineStr">
        <is>
          <t>2026-02-02</t>
        </is>
      </c>
      <c r="B624" s="3" t="inlineStr">
        <is>
          <t>천보</t>
        </is>
      </c>
      <c r="C624" s="2" t="inlineStr">
        <is>
          <t>코스닥</t>
        </is>
      </c>
      <c r="D624" s="2" t="inlineStr">
        <is>
          <t>278280</t>
        </is>
      </c>
      <c r="E624" s="3" t="inlineStr">
        <is>
          <t xml:space="preserve">매출액또는손익구조30%(대규모법인은15%)이상변동              </t>
        </is>
      </c>
      <c r="F624" s="3" t="inlineStr">
        <is>
          <t>천보</t>
        </is>
      </c>
      <c r="G624" s="2" t="inlineStr">
        <is>
          <t>20260202902057</t>
        </is>
      </c>
      <c r="H624" s="8">
        <f>HYPERLINK("https://dart.fss.or.kr/dsaf001/main.do?rcpNo=20260202902057", "공시열람")</f>
        <v/>
      </c>
    </row>
    <row r="625">
      <c r="A625" s="2" t="inlineStr">
        <is>
          <t>2026-02-02</t>
        </is>
      </c>
      <c r="B625" s="3" t="inlineStr">
        <is>
          <t>삼성전자</t>
        </is>
      </c>
      <c r="C625" s="2" t="inlineStr">
        <is>
          <t>코스피</t>
        </is>
      </c>
      <c r="D625" s="2" t="inlineStr">
        <is>
          <t>005930</t>
        </is>
      </c>
      <c r="E625" s="3" t="inlineStr">
        <is>
          <t>임원ㆍ주요주주특정증권등소유상황보고서</t>
        </is>
      </c>
      <c r="F625" s="3" t="inlineStr">
        <is>
          <t>이현정</t>
        </is>
      </c>
      <c r="G625" s="2" t="inlineStr">
        <is>
          <t>20260202001315</t>
        </is>
      </c>
      <c r="H625" s="8">
        <f>HYPERLINK("https://dart.fss.or.kr/dsaf001/main.do?rcpNo=20260202001315", "공시열람")</f>
        <v/>
      </c>
    </row>
    <row r="626">
      <c r="A626" s="2" t="inlineStr">
        <is>
          <t>2026-02-02</t>
        </is>
      </c>
      <c r="B626" s="3" t="inlineStr">
        <is>
          <t>삼성전자</t>
        </is>
      </c>
      <c r="C626" s="2" t="inlineStr">
        <is>
          <t>코스피</t>
        </is>
      </c>
      <c r="D626" s="2" t="inlineStr">
        <is>
          <t>005930</t>
        </is>
      </c>
      <c r="E626" s="3" t="inlineStr">
        <is>
          <t>임원ㆍ주요주주특정증권등소유상황보고서</t>
        </is>
      </c>
      <c r="F626" s="3" t="inlineStr">
        <is>
          <t>이훈신</t>
        </is>
      </c>
      <c r="G626" s="2" t="inlineStr">
        <is>
          <t>20260202001313</t>
        </is>
      </c>
      <c r="H626" s="8">
        <f>HYPERLINK("https://dart.fss.or.kr/dsaf001/main.do?rcpNo=20260202001313", "공시열람")</f>
        <v/>
      </c>
    </row>
    <row r="627">
      <c r="A627" s="2" t="inlineStr">
        <is>
          <t>2026-02-02</t>
        </is>
      </c>
      <c r="B627" s="3" t="inlineStr">
        <is>
          <t>삼성전자</t>
        </is>
      </c>
      <c r="C627" s="2" t="inlineStr">
        <is>
          <t>코스피</t>
        </is>
      </c>
      <c r="D627" s="2" t="inlineStr">
        <is>
          <t>005930</t>
        </is>
      </c>
      <c r="E627" s="3" t="inlineStr">
        <is>
          <t>임원ㆍ주요주주특정증권등소유상황보고서</t>
        </is>
      </c>
      <c r="F627" s="3" t="inlineStr">
        <is>
          <t>박병수</t>
        </is>
      </c>
      <c r="G627" s="2" t="inlineStr">
        <is>
          <t>20260202001306</t>
        </is>
      </c>
      <c r="H627" s="8">
        <f>HYPERLINK("https://dart.fss.or.kr/dsaf001/main.do?rcpNo=20260202001306", "공시열람")</f>
        <v/>
      </c>
    </row>
    <row r="628">
      <c r="A628" s="2" t="inlineStr">
        <is>
          <t>2026-01-20 (정정: 2026-02-02)</t>
        </is>
      </c>
      <c r="B628" s="3" t="inlineStr">
        <is>
          <t>지투파워</t>
        </is>
      </c>
      <c r="C628" s="2" t="inlineStr">
        <is>
          <t>코스닥</t>
        </is>
      </c>
      <c r="D628" s="2" t="inlineStr">
        <is>
          <t>388050</t>
        </is>
      </c>
      <c r="E628" s="3" t="inlineStr">
        <is>
          <t xml:space="preserve">[기재정정]거래처와의거래중단              </t>
        </is>
      </c>
      <c r="F628" s="3" t="inlineStr">
        <is>
          <t>지투파워</t>
        </is>
      </c>
      <c r="G628" s="2" t="inlineStr">
        <is>
          <t>20260202902021</t>
        </is>
      </c>
      <c r="H628" s="8">
        <f>HYPERLINK("https://dart.fss.or.kr/dsaf001/main.do?rcpNo=20260202902021", "공시열람")</f>
        <v/>
      </c>
    </row>
    <row r="629">
      <c r="A629" s="2" t="inlineStr">
        <is>
          <t>2026-02-02</t>
        </is>
      </c>
      <c r="B629" s="3" t="inlineStr">
        <is>
          <t>SKC</t>
        </is>
      </c>
      <c r="C629" s="2" t="inlineStr">
        <is>
          <t>코스피</t>
        </is>
      </c>
      <c r="D629" s="2" t="inlineStr">
        <is>
          <t>011790</t>
        </is>
      </c>
      <c r="E629" s="3" t="inlineStr">
        <is>
          <t>[발행조건확정]증권신고서(채무증권)</t>
        </is>
      </c>
      <c r="F629" s="3" t="inlineStr">
        <is>
          <t>SKC</t>
        </is>
      </c>
      <c r="G629" s="2" t="inlineStr">
        <is>
          <t>20260202001304</t>
        </is>
      </c>
      <c r="H629" s="8">
        <f>HYPERLINK("https://dart.fss.or.kr/dsaf001/main.do?rcpNo=20260202001304", "공시열람")</f>
        <v/>
      </c>
    </row>
    <row r="630">
      <c r="A630" s="2" t="inlineStr">
        <is>
          <t>2026-02-02</t>
        </is>
      </c>
      <c r="B630" s="3" t="inlineStr">
        <is>
          <t>삼성전자</t>
        </is>
      </c>
      <c r="C630" s="2" t="inlineStr">
        <is>
          <t>코스피</t>
        </is>
      </c>
      <c r="D630" s="2" t="inlineStr">
        <is>
          <t>005930</t>
        </is>
      </c>
      <c r="E630" s="3" t="inlineStr">
        <is>
          <t>임원ㆍ주요주주특정증권등소유상황보고서</t>
        </is>
      </c>
      <c r="F630" s="3" t="inlineStr">
        <is>
          <t>박영민</t>
        </is>
      </c>
      <c r="G630" s="2" t="inlineStr">
        <is>
          <t>20260202001302</t>
        </is>
      </c>
      <c r="H630" s="8">
        <f>HYPERLINK("https://dart.fss.or.kr/dsaf001/main.do?rcpNo=20260202001302", "공시열람")</f>
        <v/>
      </c>
    </row>
    <row r="631">
      <c r="A631" s="2" t="inlineStr">
        <is>
          <t>2026-02-02</t>
        </is>
      </c>
      <c r="B631" s="3" t="inlineStr">
        <is>
          <t>엘앤에프</t>
        </is>
      </c>
      <c r="C631" s="2" t="inlineStr">
        <is>
          <t>코스피</t>
        </is>
      </c>
      <c r="D631" s="2" t="inlineStr">
        <is>
          <t>066970</t>
        </is>
      </c>
      <c r="E631" s="3" t="inlineStr">
        <is>
          <t xml:space="preserve">파생상품거래손실발생              </t>
        </is>
      </c>
      <c r="F631" s="3" t="inlineStr">
        <is>
          <t>엘앤에프</t>
        </is>
      </c>
      <c r="G631" s="2" t="inlineStr">
        <is>
          <t>20260202802026</t>
        </is>
      </c>
      <c r="H631" s="8">
        <f>HYPERLINK("https://dart.fss.or.kr/dsaf001/main.do?rcpNo=20260202802026", "공시열람")</f>
        <v/>
      </c>
    </row>
    <row r="632">
      <c r="A632" s="2" t="inlineStr">
        <is>
          <t>2026-02-02</t>
        </is>
      </c>
      <c r="B632" s="3" t="inlineStr">
        <is>
          <t>LX홀딩스</t>
        </is>
      </c>
      <c r="C632" s="2" t="inlineStr">
        <is>
          <t>코스피</t>
        </is>
      </c>
      <c r="D632" s="2" t="inlineStr">
        <is>
          <t>383800</t>
        </is>
      </c>
      <c r="E632" s="3" t="inlineStr">
        <is>
          <t xml:space="preserve">현금ㆍ현물배당을위한주주명부폐쇄(기준일)결정              </t>
        </is>
      </c>
      <c r="F632" s="3" t="inlineStr">
        <is>
          <t>LX홀딩스</t>
        </is>
      </c>
      <c r="G632" s="2" t="inlineStr">
        <is>
          <t>20260202802063</t>
        </is>
      </c>
      <c r="H632" s="8">
        <f>HYPERLINK("https://dart.fss.or.kr/dsaf001/main.do?rcpNo=20260202802063", "공시열람")</f>
        <v/>
      </c>
    </row>
    <row r="633">
      <c r="A633" s="2" t="inlineStr">
        <is>
          <t>2026-02-02</t>
        </is>
      </c>
      <c r="B633" s="3" t="inlineStr">
        <is>
          <t>삼성전자</t>
        </is>
      </c>
      <c r="C633" s="2" t="inlineStr">
        <is>
          <t>코스피</t>
        </is>
      </c>
      <c r="D633" s="2" t="inlineStr">
        <is>
          <t>005930</t>
        </is>
      </c>
      <c r="E633" s="3" t="inlineStr">
        <is>
          <t>임원ㆍ주요주주특정증권등소유상황보고서</t>
        </is>
      </c>
      <c r="F633" s="3" t="inlineStr">
        <is>
          <t>목진호</t>
        </is>
      </c>
      <c r="G633" s="2" t="inlineStr">
        <is>
          <t>20260202001301</t>
        </is>
      </c>
      <c r="H633" s="8">
        <f>HYPERLINK("https://dart.fss.or.kr/dsaf001/main.do?rcpNo=20260202001301", "공시열람")</f>
        <v/>
      </c>
    </row>
    <row r="634">
      <c r="A634" s="2" t="inlineStr">
        <is>
          <t>2026-02-02</t>
        </is>
      </c>
      <c r="B634" s="3" t="inlineStr">
        <is>
          <t>삼성전자</t>
        </is>
      </c>
      <c r="C634" s="2" t="inlineStr">
        <is>
          <t>코스피</t>
        </is>
      </c>
      <c r="D634" s="2" t="inlineStr">
        <is>
          <t>005930</t>
        </is>
      </c>
      <c r="E634" s="3" t="inlineStr">
        <is>
          <t>임원ㆍ주요주주특정증권등소유상황보고서</t>
        </is>
      </c>
      <c r="F634" s="3" t="inlineStr">
        <is>
          <t>현정혁</t>
        </is>
      </c>
      <c r="G634" s="2" t="inlineStr">
        <is>
          <t>20260202001299</t>
        </is>
      </c>
      <c r="H634" s="8">
        <f>HYPERLINK("https://dart.fss.or.kr/dsaf001/main.do?rcpNo=20260202001299", "공시열람")</f>
        <v/>
      </c>
    </row>
    <row r="635">
      <c r="A635" s="2" t="inlineStr">
        <is>
          <t>2026-02-02</t>
        </is>
      </c>
      <c r="B635" s="3" t="inlineStr">
        <is>
          <t>에코앤드림</t>
        </is>
      </c>
      <c r="C635" s="2" t="inlineStr">
        <is>
          <t>코스닥</t>
        </is>
      </c>
      <c r="D635" s="2" t="inlineStr">
        <is>
          <t>101360</t>
        </is>
      </c>
      <c r="E635" s="3" t="inlineStr">
        <is>
          <t xml:space="preserve">단기차입금증가결정              </t>
        </is>
      </c>
      <c r="F635" s="3" t="inlineStr">
        <is>
          <t>에코앤드림</t>
        </is>
      </c>
      <c r="G635" s="2" t="inlineStr">
        <is>
          <t>20260202902059</t>
        </is>
      </c>
      <c r="H635" s="8">
        <f>HYPERLINK("https://dart.fss.or.kr/dsaf001/main.do?rcpNo=20260202902059", "공시열람")</f>
        <v/>
      </c>
    </row>
    <row r="636">
      <c r="A636" s="2" t="inlineStr">
        <is>
          <t>2026-02-02</t>
        </is>
      </c>
      <c r="B636" s="3" t="inlineStr">
        <is>
          <t>삼성전자</t>
        </is>
      </c>
      <c r="C636" s="2" t="inlineStr">
        <is>
          <t>코스피</t>
        </is>
      </c>
      <c r="D636" s="2" t="inlineStr">
        <is>
          <t>005930</t>
        </is>
      </c>
      <c r="E636" s="3" t="inlineStr">
        <is>
          <t>임원ㆍ주요주주특정증권등소유상황보고서</t>
        </is>
      </c>
      <c r="F636" s="3" t="inlineStr">
        <is>
          <t>이승목</t>
        </is>
      </c>
      <c r="G636" s="2" t="inlineStr">
        <is>
          <t>20260202001297</t>
        </is>
      </c>
      <c r="H636" s="8">
        <f>HYPERLINK("https://dart.fss.or.kr/dsaf001/main.do?rcpNo=20260202001297", "공시열람")</f>
        <v/>
      </c>
    </row>
    <row r="637">
      <c r="A637" s="2" t="inlineStr">
        <is>
          <t>2026-02-02</t>
        </is>
      </c>
      <c r="B637" s="3" t="inlineStr">
        <is>
          <t>삼성전자</t>
        </is>
      </c>
      <c r="C637" s="2" t="inlineStr">
        <is>
          <t>코스피</t>
        </is>
      </c>
      <c r="D637" s="2" t="inlineStr">
        <is>
          <t>005930</t>
        </is>
      </c>
      <c r="E637" s="3" t="inlineStr">
        <is>
          <t>임원ㆍ주요주주특정증권등소유상황보고서</t>
        </is>
      </c>
      <c r="F637" s="3" t="inlineStr">
        <is>
          <t>정영환</t>
        </is>
      </c>
      <c r="G637" s="2" t="inlineStr">
        <is>
          <t>20260202001296</t>
        </is>
      </c>
      <c r="H637" s="8">
        <f>HYPERLINK("https://dart.fss.or.kr/dsaf001/main.do?rcpNo=20260202001296", "공시열람")</f>
        <v/>
      </c>
    </row>
    <row r="638">
      <c r="A638" s="2" t="inlineStr">
        <is>
          <t>2026-02-02</t>
        </is>
      </c>
      <c r="B638" s="3" t="inlineStr">
        <is>
          <t>NH투자증권</t>
        </is>
      </c>
      <c r="C638" s="2" t="inlineStr">
        <is>
          <t>코스피</t>
        </is>
      </c>
      <c r="D638" s="2" t="inlineStr">
        <is>
          <t>005940</t>
        </is>
      </c>
      <c r="E638" s="3" t="inlineStr">
        <is>
          <t>투자설명서(일괄신고)</t>
        </is>
      </c>
      <c r="F638" s="3" t="inlineStr">
        <is>
          <t>NH투자증권</t>
        </is>
      </c>
      <c r="G638" s="2" t="inlineStr">
        <is>
          <t>20260202001295</t>
        </is>
      </c>
      <c r="H638" s="8">
        <f>HYPERLINK("https://dart.fss.or.kr/dsaf001/main.do?rcpNo=20260202001295", "공시열람")</f>
        <v/>
      </c>
    </row>
    <row r="639">
      <c r="A639" s="2" t="inlineStr">
        <is>
          <t>2026-02-02</t>
        </is>
      </c>
      <c r="B639" s="3" t="inlineStr">
        <is>
          <t>엘앤에프</t>
        </is>
      </c>
      <c r="C639" s="2" t="inlineStr">
        <is>
          <t>코스피</t>
        </is>
      </c>
      <c r="D639" s="2" t="inlineStr">
        <is>
          <t>066970</t>
        </is>
      </c>
      <c r="E639" s="3" t="inlineStr">
        <is>
          <t xml:space="preserve">매출액또는손익구조30%(대규모법인은15%)이상변경              </t>
        </is>
      </c>
      <c r="F639" s="3" t="inlineStr">
        <is>
          <t>엘앤에프</t>
        </is>
      </c>
      <c r="G639" s="2" t="inlineStr">
        <is>
          <t>20260202802019</t>
        </is>
      </c>
      <c r="H639" s="8">
        <f>HYPERLINK("https://dart.fss.or.kr/dsaf001/main.do?rcpNo=20260202802019", "공시열람")</f>
        <v/>
      </c>
    </row>
    <row r="640">
      <c r="A640" s="2" t="inlineStr">
        <is>
          <t>2026-02-02</t>
        </is>
      </c>
      <c r="B640" s="3" t="inlineStr">
        <is>
          <t>삼성전자</t>
        </is>
      </c>
      <c r="C640" s="2" t="inlineStr">
        <is>
          <t>코스피</t>
        </is>
      </c>
      <c r="D640" s="2" t="inlineStr">
        <is>
          <t>005930</t>
        </is>
      </c>
      <c r="E640" s="3" t="inlineStr">
        <is>
          <t>임원ㆍ주요주주특정증권등소유상황보고서</t>
        </is>
      </c>
      <c r="F640" s="3" t="inlineStr">
        <is>
          <t>이지연</t>
        </is>
      </c>
      <c r="G640" s="2" t="inlineStr">
        <is>
          <t>20260202001294</t>
        </is>
      </c>
      <c r="H640" s="8">
        <f>HYPERLINK("https://dart.fss.or.kr/dsaf001/main.do?rcpNo=20260202001294", "공시열람")</f>
        <v/>
      </c>
    </row>
    <row r="641">
      <c r="A641" s="2" t="inlineStr">
        <is>
          <t>2026-02-02</t>
        </is>
      </c>
      <c r="B641" s="3" t="inlineStr">
        <is>
          <t>LX홀딩스</t>
        </is>
      </c>
      <c r="C641" s="2" t="inlineStr">
        <is>
          <t>코스피</t>
        </is>
      </c>
      <c r="D641" s="2" t="inlineStr">
        <is>
          <t>383800</t>
        </is>
      </c>
      <c r="E641" s="3" t="inlineStr">
        <is>
          <t xml:space="preserve">현금ㆍ현물배당결정              </t>
        </is>
      </c>
      <c r="F641" s="3" t="inlineStr">
        <is>
          <t>LX홀딩스</t>
        </is>
      </c>
      <c r="G641" s="2" t="inlineStr">
        <is>
          <t>20260202802047</t>
        </is>
      </c>
      <c r="H641" s="8">
        <f>HYPERLINK("https://dart.fss.or.kr/dsaf001/main.do?rcpNo=20260202802047", "공시열람")</f>
        <v/>
      </c>
    </row>
    <row r="642">
      <c r="A642" s="2" t="inlineStr">
        <is>
          <t>2026-02-02</t>
        </is>
      </c>
      <c r="B642" s="3" t="inlineStr">
        <is>
          <t>삼성전자</t>
        </is>
      </c>
      <c r="C642" s="2" t="inlineStr">
        <is>
          <t>코스피</t>
        </is>
      </c>
      <c r="D642" s="2" t="inlineStr">
        <is>
          <t>005930</t>
        </is>
      </c>
      <c r="E642" s="3" t="inlineStr">
        <is>
          <t>임원ㆍ주요주주특정증권등소유상황보고서</t>
        </is>
      </c>
      <c r="F642" s="3" t="inlineStr">
        <is>
          <t>이광재</t>
        </is>
      </c>
      <c r="G642" s="2" t="inlineStr">
        <is>
          <t>20260202001293</t>
        </is>
      </c>
      <c r="H642" s="8">
        <f>HYPERLINK("https://dart.fss.or.kr/dsaf001/main.do?rcpNo=20260202001293", "공시열람")</f>
        <v/>
      </c>
    </row>
    <row r="643">
      <c r="A643" s="2" t="inlineStr">
        <is>
          <t>2026-02-02</t>
        </is>
      </c>
      <c r="B643" s="3" t="inlineStr">
        <is>
          <t>한화투자증권</t>
        </is>
      </c>
      <c r="C643" s="2" t="inlineStr">
        <is>
          <t>코스피</t>
        </is>
      </c>
      <c r="D643" s="2" t="inlineStr">
        <is>
          <t>003530</t>
        </is>
      </c>
      <c r="E643" s="3" t="inlineStr">
        <is>
          <t>증권발행실적보고서</t>
        </is>
      </c>
      <c r="F643" s="3" t="inlineStr">
        <is>
          <t>한화투자증권</t>
        </is>
      </c>
      <c r="G643" s="2" t="inlineStr">
        <is>
          <t>20260202001292</t>
        </is>
      </c>
      <c r="H643" s="8">
        <f>HYPERLINK("https://dart.fss.or.kr/dsaf001/main.do?rcpNo=20260202001292", "공시열람")</f>
        <v/>
      </c>
    </row>
    <row r="644">
      <c r="A644" s="2" t="inlineStr">
        <is>
          <t>2026-02-02</t>
        </is>
      </c>
      <c r="B644" s="3" t="inlineStr">
        <is>
          <t>위지트</t>
        </is>
      </c>
      <c r="C644" s="2" t="inlineStr">
        <is>
          <t>코스닥</t>
        </is>
      </c>
      <c r="D644" s="2" t="inlineStr">
        <is>
          <t>036090</t>
        </is>
      </c>
      <c r="E644" s="3" t="inlineStr">
        <is>
          <t xml:space="preserve">전환가액의조정              </t>
        </is>
      </c>
      <c r="F644" s="3" t="inlineStr">
        <is>
          <t>위지트</t>
        </is>
      </c>
      <c r="G644" s="2" t="inlineStr">
        <is>
          <t>20260202902044</t>
        </is>
      </c>
      <c r="H644" s="8">
        <f>HYPERLINK("https://dart.fss.or.kr/dsaf001/main.do?rcpNo=20260202902044", "공시열람")</f>
        <v/>
      </c>
    </row>
    <row r="645">
      <c r="A645" s="2" t="inlineStr">
        <is>
          <t>2026-02-02</t>
        </is>
      </c>
      <c r="B645" s="3" t="inlineStr">
        <is>
          <t>켐트로스</t>
        </is>
      </c>
      <c r="C645" s="2" t="inlineStr">
        <is>
          <t>코스닥</t>
        </is>
      </c>
      <c r="D645" s="2" t="inlineStr">
        <is>
          <t>220260</t>
        </is>
      </c>
      <c r="E645" s="3" t="inlineStr">
        <is>
          <t>임원ㆍ주요주주특정증권등소유상황보고서</t>
        </is>
      </c>
      <c r="F645" s="3" t="inlineStr">
        <is>
          <t>챔피온홀딩스</t>
        </is>
      </c>
      <c r="G645" s="2" t="inlineStr">
        <is>
          <t>20260202001291</t>
        </is>
      </c>
      <c r="H645" s="8">
        <f>HYPERLINK("https://dart.fss.or.kr/dsaf001/main.do?rcpNo=20260202001291", "공시열람")</f>
        <v/>
      </c>
    </row>
    <row r="646">
      <c r="A646" s="2" t="inlineStr">
        <is>
          <t>2026-02-02</t>
        </is>
      </c>
      <c r="B646" s="3" t="inlineStr">
        <is>
          <t>다이나믹솔루션</t>
        </is>
      </c>
      <c r="C646" s="2" t="inlineStr">
        <is>
          <t>코스닥</t>
        </is>
      </c>
      <c r="D646" s="2" t="inlineStr">
        <is>
          <t>290660</t>
        </is>
      </c>
      <c r="E646" s="3" t="inlineStr">
        <is>
          <t xml:space="preserve">전환청구권행사              </t>
        </is>
      </c>
      <c r="F646" s="3" t="inlineStr">
        <is>
          <t>다이나믹솔루션</t>
        </is>
      </c>
      <c r="G646" s="2" t="inlineStr">
        <is>
          <t>20260202902041</t>
        </is>
      </c>
      <c r="H646" s="8">
        <f>HYPERLINK("https://dart.fss.or.kr/dsaf001/main.do?rcpNo=20260202902041", "공시열람")</f>
        <v/>
      </c>
    </row>
    <row r="647">
      <c r="A647" s="2" t="inlineStr">
        <is>
          <t>2026-02-02</t>
        </is>
      </c>
      <c r="B647" s="3" t="inlineStr">
        <is>
          <t>오르비텍</t>
        </is>
      </c>
      <c r="C647" s="2" t="inlineStr">
        <is>
          <t>코스닥</t>
        </is>
      </c>
      <c r="D647" s="2" t="inlineStr">
        <is>
          <t>046120</t>
        </is>
      </c>
      <c r="E647" s="3" t="inlineStr">
        <is>
          <t xml:space="preserve">전환청구권행사              </t>
        </is>
      </c>
      <c r="F647" s="3" t="inlineStr">
        <is>
          <t>오르비텍</t>
        </is>
      </c>
      <c r="G647" s="2" t="inlineStr">
        <is>
          <t>20260202902039</t>
        </is>
      </c>
      <c r="H647" s="8">
        <f>HYPERLINK("https://dart.fss.or.kr/dsaf001/main.do?rcpNo=20260202902039", "공시열람")</f>
        <v/>
      </c>
    </row>
    <row r="648">
      <c r="A648" s="2" t="inlineStr">
        <is>
          <t>2026-02-02</t>
        </is>
      </c>
      <c r="B648" s="3" t="inlineStr">
        <is>
          <t>SK아이이테크놀로지</t>
        </is>
      </c>
      <c r="C648" s="2" t="inlineStr">
        <is>
          <t>코스피</t>
        </is>
      </c>
      <c r="D648" s="2" t="inlineStr">
        <is>
          <t>361610</t>
        </is>
      </c>
      <c r="E648" s="3" t="inlineStr">
        <is>
          <t xml:space="preserve">매출액또는손익구조30%(대규모법인은15%)이상변경              </t>
        </is>
      </c>
      <c r="F648" s="3" t="inlineStr">
        <is>
          <t>SK아이이테크놀로지</t>
        </is>
      </c>
      <c r="G648" s="2" t="inlineStr">
        <is>
          <t>20260202801991</t>
        </is>
      </c>
      <c r="H648" s="8">
        <f>HYPERLINK("https://dart.fss.or.kr/dsaf001/main.do?rcpNo=20260202801991", "공시열람")</f>
        <v/>
      </c>
    </row>
    <row r="649">
      <c r="A649" s="2" t="inlineStr">
        <is>
          <t>2026-02-02</t>
        </is>
      </c>
      <c r="B649" s="3" t="inlineStr">
        <is>
          <t>POSCO홀딩스</t>
        </is>
      </c>
      <c r="C649" s="2" t="inlineStr">
        <is>
          <t>코스피</t>
        </is>
      </c>
      <c r="D649" s="2" t="inlineStr">
        <is>
          <t>005490</t>
        </is>
      </c>
      <c r="E649" s="3" t="inlineStr">
        <is>
          <t xml:space="preserve">현금ㆍ현물배당결정(자회사의 주요경영사항)              </t>
        </is>
      </c>
      <c r="F649" s="3" t="inlineStr">
        <is>
          <t>POSCO홀딩스</t>
        </is>
      </c>
      <c r="G649" s="2" t="inlineStr">
        <is>
          <t>20260202802020</t>
        </is>
      </c>
      <c r="H649" s="8">
        <f>HYPERLINK("https://dart.fss.or.kr/dsaf001/main.do?rcpNo=20260202802020", "공시열람")</f>
        <v/>
      </c>
    </row>
    <row r="650">
      <c r="A650" s="2" t="inlineStr">
        <is>
          <t>2026-02-02</t>
        </is>
      </c>
      <c r="B650" s="3" t="inlineStr">
        <is>
          <t>천보</t>
        </is>
      </c>
      <c r="C650" s="2" t="inlineStr">
        <is>
          <t>코스닥</t>
        </is>
      </c>
      <c r="D650" s="2" t="inlineStr">
        <is>
          <t>278280</t>
        </is>
      </c>
      <c r="E650" s="3" t="inlineStr">
        <is>
          <t xml:space="preserve">파생상품거래손실발생              </t>
        </is>
      </c>
      <c r="F650" s="3" t="inlineStr">
        <is>
          <t>천보</t>
        </is>
      </c>
      <c r="G650" s="2" t="inlineStr">
        <is>
          <t>20260202902036</t>
        </is>
      </c>
      <c r="H650" s="8">
        <f>HYPERLINK("https://dart.fss.or.kr/dsaf001/main.do?rcpNo=20260202902036", "공시열람")</f>
        <v/>
      </c>
    </row>
    <row r="651">
      <c r="A651" s="2" t="inlineStr">
        <is>
          <t>2026-02-02</t>
        </is>
      </c>
      <c r="B651" s="3" t="inlineStr">
        <is>
          <t>삼성전자</t>
        </is>
      </c>
      <c r="C651" s="2" t="inlineStr">
        <is>
          <t>코스피</t>
        </is>
      </c>
      <c r="D651" s="2" t="inlineStr">
        <is>
          <t>005930</t>
        </is>
      </c>
      <c r="E651" s="3" t="inlineStr">
        <is>
          <t>임원ㆍ주요주주특정증권등소유상황보고서</t>
        </is>
      </c>
      <c r="F651" s="3" t="inlineStr">
        <is>
          <t>반수형</t>
        </is>
      </c>
      <c r="G651" s="2" t="inlineStr">
        <is>
          <t>20260202001290</t>
        </is>
      </c>
      <c r="H651" s="8">
        <f>HYPERLINK("https://dart.fss.or.kr/dsaf001/main.do?rcpNo=20260202001290", "공시열람")</f>
        <v/>
      </c>
    </row>
    <row r="652">
      <c r="A652" s="2" t="inlineStr">
        <is>
          <t>2026-02-02</t>
        </is>
      </c>
      <c r="B652" s="3" t="inlineStr">
        <is>
          <t>위지트</t>
        </is>
      </c>
      <c r="C652" s="2" t="inlineStr">
        <is>
          <t>코스닥</t>
        </is>
      </c>
      <c r="D652" s="2" t="inlineStr">
        <is>
          <t>036090</t>
        </is>
      </c>
      <c r="E652" s="3" t="inlineStr">
        <is>
          <t xml:space="preserve">전환가액의조정              </t>
        </is>
      </c>
      <c r="F652" s="3" t="inlineStr">
        <is>
          <t>위지트</t>
        </is>
      </c>
      <c r="G652" s="2" t="inlineStr">
        <is>
          <t>20260202902034</t>
        </is>
      </c>
      <c r="H652" s="8">
        <f>HYPERLINK("https://dart.fss.or.kr/dsaf001/main.do?rcpNo=20260202902034", "공시열람")</f>
        <v/>
      </c>
    </row>
    <row r="653">
      <c r="A653" s="2" t="inlineStr">
        <is>
          <t>2026-02-02</t>
        </is>
      </c>
      <c r="B653" s="3" t="inlineStr">
        <is>
          <t>만호제강</t>
        </is>
      </c>
      <c r="C653" s="2" t="inlineStr">
        <is>
          <t>코스피</t>
        </is>
      </c>
      <c r="D653" s="2" t="inlineStr">
        <is>
          <t>001080</t>
        </is>
      </c>
      <c r="E653" s="3" t="inlineStr">
        <is>
          <t xml:space="preserve">대표이사(대표집행임원)변경(안내공시)              </t>
        </is>
      </c>
      <c r="F653" s="3" t="inlineStr">
        <is>
          <t>만호제강</t>
        </is>
      </c>
      <c r="G653" s="2" t="inlineStr">
        <is>
          <t>20260202802001</t>
        </is>
      </c>
      <c r="H653" s="8">
        <f>HYPERLINK("https://dart.fss.or.kr/dsaf001/main.do?rcpNo=20260202802001", "공시열람")</f>
        <v/>
      </c>
    </row>
    <row r="654">
      <c r="A654" s="2" t="inlineStr">
        <is>
          <t>2026-02-02</t>
        </is>
      </c>
      <c r="B654" s="3" t="inlineStr">
        <is>
          <t>삼성전자</t>
        </is>
      </c>
      <c r="C654" s="2" t="inlineStr">
        <is>
          <t>코스피</t>
        </is>
      </c>
      <c r="D654" s="2" t="inlineStr">
        <is>
          <t>005930</t>
        </is>
      </c>
      <c r="E654" s="3" t="inlineStr">
        <is>
          <t>임원ㆍ주요주주특정증권등소유상황보고서</t>
        </is>
      </c>
      <c r="F654" s="3" t="inlineStr">
        <is>
          <t>이승목</t>
        </is>
      </c>
      <c r="G654" s="2" t="inlineStr">
        <is>
          <t>20260202001288</t>
        </is>
      </c>
      <c r="H654" s="8">
        <f>HYPERLINK("https://dart.fss.or.kr/dsaf001/main.do?rcpNo=20260202001288", "공시열람")</f>
        <v/>
      </c>
    </row>
    <row r="655">
      <c r="A655" s="2" t="inlineStr">
        <is>
          <t>2026-02-02</t>
        </is>
      </c>
      <c r="B655" s="3" t="inlineStr">
        <is>
          <t>삼성전자</t>
        </is>
      </c>
      <c r="C655" s="2" t="inlineStr">
        <is>
          <t>코스피</t>
        </is>
      </c>
      <c r="D655" s="2" t="inlineStr">
        <is>
          <t>005930</t>
        </is>
      </c>
      <c r="E655" s="3" t="inlineStr">
        <is>
          <t>임원ㆍ주요주주특정증권등소유상황보고서</t>
        </is>
      </c>
      <c r="F655" s="3" t="inlineStr">
        <is>
          <t>최연호</t>
        </is>
      </c>
      <c r="G655" s="2" t="inlineStr">
        <is>
          <t>20260202001287</t>
        </is>
      </c>
      <c r="H655" s="8">
        <f>HYPERLINK("https://dart.fss.or.kr/dsaf001/main.do?rcpNo=20260202001287", "공시열람")</f>
        <v/>
      </c>
    </row>
    <row r="656">
      <c r="A656" s="2" t="inlineStr">
        <is>
          <t>2026-02-02</t>
        </is>
      </c>
      <c r="B656" s="3" t="inlineStr">
        <is>
          <t>한화투자증권</t>
        </is>
      </c>
      <c r="C656" s="2" t="inlineStr">
        <is>
          <t>코스피</t>
        </is>
      </c>
      <c r="D656" s="2" t="inlineStr">
        <is>
          <t>003530</t>
        </is>
      </c>
      <c r="E656" s="3" t="inlineStr">
        <is>
          <t>증권발행실적보고서</t>
        </is>
      </c>
      <c r="F656" s="3" t="inlineStr">
        <is>
          <t>한화투자증권</t>
        </is>
      </c>
      <c r="G656" s="2" t="inlineStr">
        <is>
          <t>20260202001285</t>
        </is>
      </c>
      <c r="H656" s="8">
        <f>HYPERLINK("https://dart.fss.or.kr/dsaf001/main.do?rcpNo=20260202001285", "공시열람")</f>
        <v/>
      </c>
    </row>
    <row r="657">
      <c r="A657" s="2" t="inlineStr">
        <is>
          <t>2026-02-02</t>
        </is>
      </c>
      <c r="B657" s="3" t="inlineStr">
        <is>
          <t>삼성전자</t>
        </is>
      </c>
      <c r="C657" s="2" t="inlineStr">
        <is>
          <t>코스피</t>
        </is>
      </c>
      <c r="D657" s="2" t="inlineStr">
        <is>
          <t>005930</t>
        </is>
      </c>
      <c r="E657" s="3" t="inlineStr">
        <is>
          <t>임원ㆍ주요주주특정증권등소유상황보고서</t>
        </is>
      </c>
      <c r="F657" s="3" t="inlineStr">
        <is>
          <t>강혁</t>
        </is>
      </c>
      <c r="G657" s="2" t="inlineStr">
        <is>
          <t>20260202001284</t>
        </is>
      </c>
      <c r="H657" s="8">
        <f>HYPERLINK("https://dart.fss.or.kr/dsaf001/main.do?rcpNo=20260202001284", "공시열람")</f>
        <v/>
      </c>
    </row>
    <row r="658">
      <c r="A658" s="2" t="inlineStr">
        <is>
          <t>2026-02-02</t>
        </is>
      </c>
      <c r="B658" s="3" t="inlineStr">
        <is>
          <t>도우인시스</t>
        </is>
      </c>
      <c r="C658" s="2" t="inlineStr">
        <is>
          <t>코스닥</t>
        </is>
      </c>
      <c r="D658" s="2" t="inlineStr">
        <is>
          <t>484120</t>
        </is>
      </c>
      <c r="E658" s="3" t="inlineStr">
        <is>
          <t>임원ㆍ주요주주특정증권등소유상황보고서</t>
        </is>
      </c>
      <c r="F658" s="3" t="inlineStr">
        <is>
          <t>송영남</t>
        </is>
      </c>
      <c r="G658" s="2" t="inlineStr">
        <is>
          <t>20260202001283</t>
        </is>
      </c>
      <c r="H658" s="8">
        <f>HYPERLINK("https://dart.fss.or.kr/dsaf001/main.do?rcpNo=20260202001283", "공시열람")</f>
        <v/>
      </c>
    </row>
    <row r="659">
      <c r="A659" s="2" t="inlineStr">
        <is>
          <t>2026-02-02</t>
        </is>
      </c>
      <c r="B659" s="3" t="inlineStr">
        <is>
          <t>스피어</t>
        </is>
      </c>
      <c r="C659" s="2" t="inlineStr">
        <is>
          <t>코스닥</t>
        </is>
      </c>
      <c r="D659" s="2" t="inlineStr">
        <is>
          <t>347700</t>
        </is>
      </c>
      <c r="E659" s="3" t="inlineStr">
        <is>
          <t>주요사항보고서(자기주식처분결정)</t>
        </is>
      </c>
      <c r="F659" s="3" t="inlineStr">
        <is>
          <t>스피어</t>
        </is>
      </c>
      <c r="G659" s="2" t="inlineStr">
        <is>
          <t>20260202001258</t>
        </is>
      </c>
      <c r="H659" s="8">
        <f>HYPERLINK("https://dart.fss.or.kr/dsaf001/main.do?rcpNo=20260202001258", "공시열람")</f>
        <v/>
      </c>
    </row>
    <row r="660">
      <c r="A660" s="2" t="inlineStr">
        <is>
          <t>2026-02-02</t>
        </is>
      </c>
      <c r="B660" s="3" t="inlineStr">
        <is>
          <t>NH투자증권</t>
        </is>
      </c>
      <c r="C660" s="2" t="inlineStr">
        <is>
          <t>코스피</t>
        </is>
      </c>
      <c r="D660" s="2" t="inlineStr">
        <is>
          <t>005940</t>
        </is>
      </c>
      <c r="E660" s="3" t="inlineStr">
        <is>
          <t>일괄신고추가서류(파생결합증권-주가연계증권)</t>
        </is>
      </c>
      <c r="F660" s="3" t="inlineStr">
        <is>
          <t>NH투자증권</t>
        </is>
      </c>
      <c r="G660" s="2" t="inlineStr">
        <is>
          <t>20260202001282</t>
        </is>
      </c>
      <c r="H660" s="8">
        <f>HYPERLINK("https://dart.fss.or.kr/dsaf001/main.do?rcpNo=20260202001282", "공시열람")</f>
        <v/>
      </c>
    </row>
    <row r="661">
      <c r="A661" s="2" t="inlineStr">
        <is>
          <t>2026-02-02</t>
        </is>
      </c>
      <c r="B661" s="3" t="inlineStr">
        <is>
          <t>삼성전자</t>
        </is>
      </c>
      <c r="C661" s="2" t="inlineStr">
        <is>
          <t>코스피</t>
        </is>
      </c>
      <c r="D661" s="2" t="inlineStr">
        <is>
          <t>005930</t>
        </is>
      </c>
      <c r="E661" s="3" t="inlineStr">
        <is>
          <t>임원ㆍ주요주주특정증권등소유상황보고서</t>
        </is>
      </c>
      <c r="F661" s="3" t="inlineStr">
        <is>
          <t>장상익</t>
        </is>
      </c>
      <c r="G661" s="2" t="inlineStr">
        <is>
          <t>20260202001281</t>
        </is>
      </c>
      <c r="H661" s="8">
        <f>HYPERLINK("https://dart.fss.or.kr/dsaf001/main.do?rcpNo=20260202001281", "공시열람")</f>
        <v/>
      </c>
    </row>
    <row r="662">
      <c r="A662" s="2" t="inlineStr">
        <is>
          <t>2026-02-02</t>
        </is>
      </c>
      <c r="B662" s="3" t="inlineStr">
        <is>
          <t>미래에셋생명</t>
        </is>
      </c>
      <c r="C662" s="2" t="inlineStr">
        <is>
          <t>코스피</t>
        </is>
      </c>
      <c r="D662" s="2" t="inlineStr">
        <is>
          <t>085620</t>
        </is>
      </c>
      <c r="E662" s="3" t="inlineStr">
        <is>
          <t>임원ㆍ주요주주특정증권등소유상황보고서</t>
        </is>
      </c>
      <c r="F662" s="3" t="inlineStr">
        <is>
          <t>미래에셋자산운용</t>
        </is>
      </c>
      <c r="G662" s="2" t="inlineStr">
        <is>
          <t>20260202001280</t>
        </is>
      </c>
      <c r="H662" s="8">
        <f>HYPERLINK("https://dart.fss.or.kr/dsaf001/main.do?rcpNo=20260202001280", "공시열람")</f>
        <v/>
      </c>
    </row>
    <row r="663">
      <c r="A663" s="2" t="inlineStr">
        <is>
          <t>2026-02-02</t>
        </is>
      </c>
      <c r="B663" s="3" t="inlineStr">
        <is>
          <t>스튜디오미르</t>
        </is>
      </c>
      <c r="C663" s="2" t="inlineStr">
        <is>
          <t>코스닥</t>
        </is>
      </c>
      <c r="D663" s="2" t="inlineStr">
        <is>
          <t>408900</t>
        </is>
      </c>
      <c r="E663" s="3" t="inlineStr">
        <is>
          <t>자기주식처분결과보고서</t>
        </is>
      </c>
      <c r="F663" s="3" t="inlineStr">
        <is>
          <t>스튜디오미르</t>
        </is>
      </c>
      <c r="G663" s="2" t="inlineStr">
        <is>
          <t>20260202001278</t>
        </is>
      </c>
      <c r="H663" s="8">
        <f>HYPERLINK("https://dart.fss.or.kr/dsaf001/main.do?rcpNo=20260202001278", "공시열람")</f>
        <v/>
      </c>
    </row>
    <row r="664">
      <c r="A664" s="2" t="inlineStr">
        <is>
          <t>2026-02-02</t>
        </is>
      </c>
      <c r="B664" s="3" t="inlineStr">
        <is>
          <t>삼성전자</t>
        </is>
      </c>
      <c r="C664" s="2" t="inlineStr">
        <is>
          <t>코스피</t>
        </is>
      </c>
      <c r="D664" s="2" t="inlineStr">
        <is>
          <t>005930</t>
        </is>
      </c>
      <c r="E664" s="3" t="inlineStr">
        <is>
          <t>임원ㆍ주요주주특정증권등소유상황보고서</t>
        </is>
      </c>
      <c r="F664" s="3" t="inlineStr">
        <is>
          <t>류철우</t>
        </is>
      </c>
      <c r="G664" s="2" t="inlineStr">
        <is>
          <t>20260202001277</t>
        </is>
      </c>
      <c r="H664" s="8">
        <f>HYPERLINK("https://dart.fss.or.kr/dsaf001/main.do?rcpNo=20260202001277", "공시열람")</f>
        <v/>
      </c>
    </row>
    <row r="665">
      <c r="A665" s="2" t="inlineStr">
        <is>
          <t>2026-02-02</t>
        </is>
      </c>
      <c r="B665" s="3" t="inlineStr">
        <is>
          <t>삼성전자</t>
        </is>
      </c>
      <c r="C665" s="2" t="inlineStr">
        <is>
          <t>코스피</t>
        </is>
      </c>
      <c r="D665" s="2" t="inlineStr">
        <is>
          <t>005930</t>
        </is>
      </c>
      <c r="E665" s="3" t="inlineStr">
        <is>
          <t>임원ㆍ주요주주특정증권등소유상황보고서</t>
        </is>
      </c>
      <c r="F665" s="3" t="inlineStr">
        <is>
          <t>이두환</t>
        </is>
      </c>
      <c r="G665" s="2" t="inlineStr">
        <is>
          <t>20260202001276</t>
        </is>
      </c>
      <c r="H665" s="8">
        <f>HYPERLINK("https://dart.fss.or.kr/dsaf001/main.do?rcpNo=20260202001276", "공시열람")</f>
        <v/>
      </c>
    </row>
    <row r="666">
      <c r="A666" s="2" t="inlineStr">
        <is>
          <t>2026-02-02</t>
        </is>
      </c>
      <c r="B666" s="3" t="inlineStr">
        <is>
          <t>한화투자증권</t>
        </is>
      </c>
      <c r="C666" s="2" t="inlineStr">
        <is>
          <t>코스피</t>
        </is>
      </c>
      <c r="D666" s="2" t="inlineStr">
        <is>
          <t>003530</t>
        </is>
      </c>
      <c r="E666" s="3" t="inlineStr">
        <is>
          <t>증권발행실적보고서</t>
        </is>
      </c>
      <c r="F666" s="3" t="inlineStr">
        <is>
          <t>한화투자증권</t>
        </is>
      </c>
      <c r="G666" s="2" t="inlineStr">
        <is>
          <t>20260202001275</t>
        </is>
      </c>
      <c r="H666" s="8">
        <f>HYPERLINK("https://dart.fss.or.kr/dsaf001/main.do?rcpNo=20260202001275", "공시열람")</f>
        <v/>
      </c>
    </row>
    <row r="667">
      <c r="A667" s="2" t="inlineStr">
        <is>
          <t>2026-02-02</t>
        </is>
      </c>
      <c r="B667" s="3" t="inlineStr">
        <is>
          <t>NH투자증권</t>
        </is>
      </c>
      <c r="C667" s="2" t="inlineStr">
        <is>
          <t>코스피</t>
        </is>
      </c>
      <c r="D667" s="2" t="inlineStr">
        <is>
          <t>005940</t>
        </is>
      </c>
      <c r="E667" s="3" t="inlineStr">
        <is>
          <t>투자설명서(일괄신고)</t>
        </is>
      </c>
      <c r="F667" s="3" t="inlineStr">
        <is>
          <t>NH투자증권</t>
        </is>
      </c>
      <c r="G667" s="2" t="inlineStr">
        <is>
          <t>20260202001273</t>
        </is>
      </c>
      <c r="H667" s="8">
        <f>HYPERLINK("https://dart.fss.or.kr/dsaf001/main.do?rcpNo=20260202001273", "공시열람")</f>
        <v/>
      </c>
    </row>
    <row r="668">
      <c r="A668" s="2" t="inlineStr">
        <is>
          <t>2026-02-02</t>
        </is>
      </c>
      <c r="B668" s="3" t="inlineStr">
        <is>
          <t>라온로보틱스</t>
        </is>
      </c>
      <c r="C668" s="2" t="inlineStr">
        <is>
          <t>코스닥</t>
        </is>
      </c>
      <c r="D668" s="2" t="inlineStr">
        <is>
          <t>232680</t>
        </is>
      </c>
      <c r="E668" s="3" t="inlineStr">
        <is>
          <t>주요사항보고서(자기주식처분결정)</t>
        </is>
      </c>
      <c r="F668" s="3" t="inlineStr">
        <is>
          <t>라온로보틱스</t>
        </is>
      </c>
      <c r="G668" s="2" t="inlineStr">
        <is>
          <t>20260202001250</t>
        </is>
      </c>
      <c r="H668" s="8">
        <f>HYPERLINK("https://dart.fss.or.kr/dsaf001/main.do?rcpNo=20260202001250", "공시열람")</f>
        <v/>
      </c>
    </row>
    <row r="669">
      <c r="A669" s="2" t="inlineStr">
        <is>
          <t>2026-02-02</t>
        </is>
      </c>
      <c r="B669" s="3" t="inlineStr">
        <is>
          <t>케이지에이</t>
        </is>
      </c>
      <c r="C669" s="2" t="inlineStr">
        <is>
          <t>코스닥</t>
        </is>
      </c>
      <c r="D669" s="2" t="inlineStr">
        <is>
          <t>455180</t>
        </is>
      </c>
      <c r="E669" s="3" t="inlineStr">
        <is>
          <t xml:space="preserve">매출액또는손익구조30%(대규모법인은15%)이상변동              </t>
        </is>
      </c>
      <c r="F669" s="3" t="inlineStr">
        <is>
          <t>케이지에이</t>
        </is>
      </c>
      <c r="G669" s="2" t="inlineStr">
        <is>
          <t>20260202901808</t>
        </is>
      </c>
      <c r="H669" s="8">
        <f>HYPERLINK("https://dart.fss.or.kr/dsaf001/main.do?rcpNo=20260202901808", "공시열람")</f>
        <v/>
      </c>
    </row>
    <row r="670">
      <c r="A670" s="2" t="inlineStr">
        <is>
          <t>2026-02-02</t>
        </is>
      </c>
      <c r="B670" s="3" t="inlineStr">
        <is>
          <t>삼성전자</t>
        </is>
      </c>
      <c r="C670" s="2" t="inlineStr">
        <is>
          <t>코스피</t>
        </is>
      </c>
      <c r="D670" s="2" t="inlineStr">
        <is>
          <t>005930</t>
        </is>
      </c>
      <c r="E670" s="3" t="inlineStr">
        <is>
          <t>임원ㆍ주요주주특정증권등소유상황보고서</t>
        </is>
      </c>
      <c r="F670" s="3" t="inlineStr">
        <is>
          <t>정승일</t>
        </is>
      </c>
      <c r="G670" s="2" t="inlineStr">
        <is>
          <t>20260202001271</t>
        </is>
      </c>
      <c r="H670" s="8">
        <f>HYPERLINK("https://dart.fss.or.kr/dsaf001/main.do?rcpNo=20260202001271", "공시열람")</f>
        <v/>
      </c>
    </row>
    <row r="671">
      <c r="A671" s="2" t="inlineStr">
        <is>
          <t>2026-02-02</t>
        </is>
      </c>
      <c r="B671" s="3" t="inlineStr">
        <is>
          <t>삼성전자</t>
        </is>
      </c>
      <c r="C671" s="2" t="inlineStr">
        <is>
          <t>코스피</t>
        </is>
      </c>
      <c r="D671" s="2" t="inlineStr">
        <is>
          <t>005930</t>
        </is>
      </c>
      <c r="E671" s="3" t="inlineStr">
        <is>
          <t>임원ㆍ주요주주특정증권등소유상황보고서</t>
        </is>
      </c>
      <c r="F671" s="3" t="inlineStr">
        <is>
          <t>장흥민</t>
        </is>
      </c>
      <c r="G671" s="2" t="inlineStr">
        <is>
          <t>20260202001270</t>
        </is>
      </c>
      <c r="H671" s="8">
        <f>HYPERLINK("https://dart.fss.or.kr/dsaf001/main.do?rcpNo=20260202001270", "공시열람")</f>
        <v/>
      </c>
    </row>
    <row r="672">
      <c r="A672" s="2" t="inlineStr">
        <is>
          <t>2026-02-02</t>
        </is>
      </c>
      <c r="B672" s="3" t="inlineStr">
        <is>
          <t>인투셀</t>
        </is>
      </c>
      <c r="C672" s="2" t="inlineStr">
        <is>
          <t>코스닥</t>
        </is>
      </c>
      <c r="D672" s="2" t="inlineStr">
        <is>
          <t>287840</t>
        </is>
      </c>
      <c r="E672" s="3" t="inlineStr">
        <is>
          <t>임원ㆍ주요주주특정증권등소유상황보고서</t>
        </is>
      </c>
      <c r="F672" s="3" t="inlineStr">
        <is>
          <t>서영석</t>
        </is>
      </c>
      <c r="G672" s="2" t="inlineStr">
        <is>
          <t>20260202001269</t>
        </is>
      </c>
      <c r="H672" s="8">
        <f>HYPERLINK("https://dart.fss.or.kr/dsaf001/main.do?rcpNo=20260202001269", "공시열람")</f>
        <v/>
      </c>
    </row>
    <row r="673">
      <c r="A673" s="2" t="inlineStr">
        <is>
          <t>2026-02-02</t>
        </is>
      </c>
      <c r="B673" s="3" t="inlineStr">
        <is>
          <t>신영증권</t>
        </is>
      </c>
      <c r="C673" s="2" t="inlineStr">
        <is>
          <t>코스피</t>
        </is>
      </c>
      <c r="D673" s="2" t="inlineStr">
        <is>
          <t>001720</t>
        </is>
      </c>
      <c r="E673" s="3" t="inlineStr">
        <is>
          <t>투자설명서(일괄신고)</t>
        </is>
      </c>
      <c r="F673" s="3" t="inlineStr">
        <is>
          <t>신영증권</t>
        </is>
      </c>
      <c r="G673" s="2" t="inlineStr">
        <is>
          <t>20260202001268</t>
        </is>
      </c>
      <c r="H673" s="8">
        <f>HYPERLINK("https://dart.fss.or.kr/dsaf001/main.do?rcpNo=20260202001268", "공시열람")</f>
        <v/>
      </c>
    </row>
    <row r="674">
      <c r="A674" s="2" t="inlineStr">
        <is>
          <t>2026-02-02</t>
        </is>
      </c>
      <c r="B674" s="3" t="inlineStr">
        <is>
          <t>삼성전자</t>
        </is>
      </c>
      <c r="C674" s="2" t="inlineStr">
        <is>
          <t>코스피</t>
        </is>
      </c>
      <c r="D674" s="2" t="inlineStr">
        <is>
          <t>005930</t>
        </is>
      </c>
      <c r="E674" s="3" t="inlineStr">
        <is>
          <t>임원ㆍ주요주주특정증권등소유상황보고서</t>
        </is>
      </c>
      <c r="F674" s="3" t="inlineStr">
        <is>
          <t>이재호</t>
        </is>
      </c>
      <c r="G674" s="2" t="inlineStr">
        <is>
          <t>20260202001266</t>
        </is>
      </c>
      <c r="H674" s="8">
        <f>HYPERLINK("https://dart.fss.or.kr/dsaf001/main.do?rcpNo=20260202001266", "공시열람")</f>
        <v/>
      </c>
    </row>
    <row r="675">
      <c r="A675" s="2" t="inlineStr">
        <is>
          <t>2026-02-02</t>
        </is>
      </c>
      <c r="B675" s="3" t="inlineStr">
        <is>
          <t>에코볼트</t>
        </is>
      </c>
      <c r="C675" s="2" t="inlineStr">
        <is>
          <t>코스닥</t>
        </is>
      </c>
      <c r="D675" s="2" t="inlineStr">
        <is>
          <t>097780</t>
        </is>
      </c>
      <c r="E675" s="3" t="inlineStr">
        <is>
          <t xml:space="preserve">주주명부폐쇄기간또는기준일설정              </t>
        </is>
      </c>
      <c r="F675" s="3" t="inlineStr">
        <is>
          <t>에코볼트</t>
        </is>
      </c>
      <c r="G675" s="2" t="inlineStr">
        <is>
          <t>20260202901864</t>
        </is>
      </c>
      <c r="H675" s="8">
        <f>HYPERLINK("https://dart.fss.or.kr/dsaf001/main.do?rcpNo=20260202901864", "공시열람")</f>
        <v/>
      </c>
    </row>
    <row r="676">
      <c r="A676" s="2" t="inlineStr">
        <is>
          <t>2026-02-02</t>
        </is>
      </c>
      <c r="B676" s="3" t="inlineStr">
        <is>
          <t>에코볼트</t>
        </is>
      </c>
      <c r="C676" s="2" t="inlineStr">
        <is>
          <t>코스닥</t>
        </is>
      </c>
      <c r="D676" s="2" t="inlineStr">
        <is>
          <t>097780</t>
        </is>
      </c>
      <c r="E676" s="3" t="inlineStr">
        <is>
          <t>주요사항보고서(감자결정)</t>
        </is>
      </c>
      <c r="F676" s="3" t="inlineStr">
        <is>
          <t>에코볼트</t>
        </is>
      </c>
      <c r="G676" s="2" t="inlineStr">
        <is>
          <t>20260202001222</t>
        </is>
      </c>
      <c r="H676" s="8">
        <f>HYPERLINK("https://dart.fss.or.kr/dsaf001/main.do?rcpNo=20260202001222", "공시열람")</f>
        <v/>
      </c>
    </row>
    <row r="677">
      <c r="A677" s="2" t="inlineStr">
        <is>
          <t>2026-02-02</t>
        </is>
      </c>
      <c r="B677" s="3" t="inlineStr">
        <is>
          <t>엘앤에프</t>
        </is>
      </c>
      <c r="C677" s="2" t="inlineStr">
        <is>
          <t>코스피</t>
        </is>
      </c>
      <c r="D677" s="2" t="inlineStr">
        <is>
          <t>066970</t>
        </is>
      </c>
      <c r="E677" s="3" t="inlineStr">
        <is>
          <t xml:space="preserve">연결재무제표기준영업(잠정)실적(공정공시)              </t>
        </is>
      </c>
      <c r="F677" s="3" t="inlineStr">
        <is>
          <t>엘앤에프</t>
        </is>
      </c>
      <c r="G677" s="2" t="inlineStr">
        <is>
          <t>20260202801934</t>
        </is>
      </c>
      <c r="H677" s="8">
        <f>HYPERLINK("https://dart.fss.or.kr/dsaf001/main.do?rcpNo=20260202801934", "공시열람")</f>
        <v/>
      </c>
    </row>
    <row r="678">
      <c r="A678" s="2" t="inlineStr">
        <is>
          <t>2026-02-02</t>
        </is>
      </c>
      <c r="B678" s="3" t="inlineStr">
        <is>
          <t>에코볼트</t>
        </is>
      </c>
      <c r="C678" s="2" t="inlineStr">
        <is>
          <t>코스닥</t>
        </is>
      </c>
      <c r="D678" s="2" t="inlineStr">
        <is>
          <t>097780</t>
        </is>
      </c>
      <c r="E678" s="3" t="inlineStr">
        <is>
          <t>주요사항보고서(감자결정)</t>
        </is>
      </c>
      <c r="F678" s="3" t="inlineStr">
        <is>
          <t>에코볼트</t>
        </is>
      </c>
      <c r="G678" s="2" t="inlineStr">
        <is>
          <t>20260202001216</t>
        </is>
      </c>
      <c r="H678" s="8">
        <f>HYPERLINK("https://dart.fss.or.kr/dsaf001/main.do?rcpNo=20260202001216", "공시열람")</f>
        <v/>
      </c>
    </row>
    <row r="679">
      <c r="A679" s="2" t="inlineStr">
        <is>
          <t>2026-02-02</t>
        </is>
      </c>
      <c r="B679" s="3" t="inlineStr">
        <is>
          <t>BNK금융지주</t>
        </is>
      </c>
      <c r="C679" s="2" t="inlineStr">
        <is>
          <t>코스피</t>
        </is>
      </c>
      <c r="D679" s="2" t="inlineStr">
        <is>
          <t>138930</t>
        </is>
      </c>
      <c r="E679" s="3" t="inlineStr">
        <is>
          <t xml:space="preserve">단기차입금증가결정(자회사의 주요경영사항)              </t>
        </is>
      </c>
      <c r="F679" s="3" t="inlineStr">
        <is>
          <t>BNK금융지주</t>
        </is>
      </c>
      <c r="G679" s="2" t="inlineStr">
        <is>
          <t>20260202801975</t>
        </is>
      </c>
      <c r="H679" s="8">
        <f>HYPERLINK("https://dart.fss.or.kr/dsaf001/main.do?rcpNo=20260202801975", "공시열람")</f>
        <v/>
      </c>
    </row>
    <row r="680">
      <c r="A680" s="2" t="inlineStr">
        <is>
          <t>2026-02-02</t>
        </is>
      </c>
      <c r="B680" s="3" t="inlineStr">
        <is>
          <t>삼성전자</t>
        </is>
      </c>
      <c r="C680" s="2" t="inlineStr">
        <is>
          <t>코스피</t>
        </is>
      </c>
      <c r="D680" s="2" t="inlineStr">
        <is>
          <t>005930</t>
        </is>
      </c>
      <c r="E680" s="3" t="inlineStr">
        <is>
          <t>임원ㆍ주요주주특정증권등소유상황보고서</t>
        </is>
      </c>
      <c r="F680" s="3" t="inlineStr">
        <is>
          <t>김지훈</t>
        </is>
      </c>
      <c r="G680" s="2" t="inlineStr">
        <is>
          <t>20260202001263</t>
        </is>
      </c>
      <c r="H680" s="8">
        <f>HYPERLINK("https://dart.fss.or.kr/dsaf001/main.do?rcpNo=20260202001263", "공시열람")</f>
        <v/>
      </c>
    </row>
    <row r="681">
      <c r="A681" s="2" t="inlineStr">
        <is>
          <t>2026-02-02</t>
        </is>
      </c>
      <c r="B681" s="3" t="inlineStr">
        <is>
          <t>에코볼트</t>
        </is>
      </c>
      <c r="C681" s="2" t="inlineStr">
        <is>
          <t>코스닥</t>
        </is>
      </c>
      <c r="D681" s="2" t="inlineStr">
        <is>
          <t>097780</t>
        </is>
      </c>
      <c r="E681" s="3" t="inlineStr">
        <is>
          <t>주권매매거래정지              (자본감소)</t>
        </is>
      </c>
      <c r="F681" s="3" t="inlineStr">
        <is>
          <t>코스닥시장본부</t>
        </is>
      </c>
      <c r="G681" s="2" t="inlineStr">
        <is>
          <t>20260202901960</t>
        </is>
      </c>
      <c r="H681" s="8">
        <f>HYPERLINK("https://dart.fss.or.kr/dsaf001/main.do?rcpNo=20260202901960", "공시열람")</f>
        <v/>
      </c>
    </row>
    <row r="682">
      <c r="A682" s="2" t="inlineStr">
        <is>
          <t>2026-02-02</t>
        </is>
      </c>
      <c r="B682" s="3" t="inlineStr">
        <is>
          <t>세아제강지주</t>
        </is>
      </c>
      <c r="C682" s="2" t="inlineStr">
        <is>
          <t>코스피</t>
        </is>
      </c>
      <c r="D682" s="2" t="inlineStr">
        <is>
          <t>003030</t>
        </is>
      </c>
      <c r="E682" s="3" t="inlineStr">
        <is>
          <t>증권신고서(채무증권)</t>
        </is>
      </c>
      <c r="F682" s="3" t="inlineStr">
        <is>
          <t>세아제강지주</t>
        </is>
      </c>
      <c r="G682" s="2" t="inlineStr">
        <is>
          <t>20260202001262</t>
        </is>
      </c>
      <c r="H682" s="8">
        <f>HYPERLINK("https://dart.fss.or.kr/dsaf001/main.do?rcpNo=20260202001262", "공시열람")</f>
        <v/>
      </c>
    </row>
    <row r="683">
      <c r="A683" s="2" t="inlineStr">
        <is>
          <t>2026-02-02</t>
        </is>
      </c>
      <c r="B683" s="3" t="inlineStr">
        <is>
          <t>한화투자증권</t>
        </is>
      </c>
      <c r="C683" s="2" t="inlineStr">
        <is>
          <t>코스피</t>
        </is>
      </c>
      <c r="D683" s="2" t="inlineStr">
        <is>
          <t>003530</t>
        </is>
      </c>
      <c r="E683" s="3" t="inlineStr">
        <is>
          <t>증권발행실적보고서</t>
        </is>
      </c>
      <c r="F683" s="3" t="inlineStr">
        <is>
          <t>한화투자증권</t>
        </is>
      </c>
      <c r="G683" s="2" t="inlineStr">
        <is>
          <t>20260202001260</t>
        </is>
      </c>
      <c r="H683" s="8">
        <f>HYPERLINK("https://dart.fss.or.kr/dsaf001/main.do?rcpNo=20260202001260", "공시열람")</f>
        <v/>
      </c>
    </row>
    <row r="684">
      <c r="A684" s="2" t="inlineStr">
        <is>
          <t>2026-02-02</t>
        </is>
      </c>
      <c r="B684" s="3" t="inlineStr">
        <is>
          <t>삼성전자</t>
        </is>
      </c>
      <c r="C684" s="2" t="inlineStr">
        <is>
          <t>코스피</t>
        </is>
      </c>
      <c r="D684" s="2" t="inlineStr">
        <is>
          <t>005930</t>
        </is>
      </c>
      <c r="E684" s="3" t="inlineStr">
        <is>
          <t>임원ㆍ주요주주특정증권등소유상황보고서</t>
        </is>
      </c>
      <c r="F684" s="3" t="inlineStr">
        <is>
          <t>장욱</t>
        </is>
      </c>
      <c r="G684" s="2" t="inlineStr">
        <is>
          <t>20260202001259</t>
        </is>
      </c>
      <c r="H684" s="8">
        <f>HYPERLINK("https://dart.fss.or.kr/dsaf001/main.do?rcpNo=20260202001259", "공시열람")</f>
        <v/>
      </c>
    </row>
    <row r="685">
      <c r="A685" s="2" t="inlineStr">
        <is>
          <t>2026-02-02</t>
        </is>
      </c>
      <c r="B685" s="3" t="inlineStr">
        <is>
          <t>지투지바이오</t>
        </is>
      </c>
      <c r="C685" s="2" t="inlineStr">
        <is>
          <t>코스닥</t>
        </is>
      </c>
      <c r="D685" s="2" t="inlineStr">
        <is>
          <t>456160</t>
        </is>
      </c>
      <c r="E685" s="3" t="inlineStr">
        <is>
          <t xml:space="preserve">매출액또는손익구조30%(대규모법인은15%)이상변동              </t>
        </is>
      </c>
      <c r="F685" s="3" t="inlineStr">
        <is>
          <t>지투지바이오</t>
        </is>
      </c>
      <c r="G685" s="2" t="inlineStr">
        <is>
          <t>20260202901914</t>
        </is>
      </c>
      <c r="H685" s="8">
        <f>HYPERLINK("https://dart.fss.or.kr/dsaf001/main.do?rcpNo=20260202901914", "공시열람")</f>
        <v/>
      </c>
    </row>
    <row r="686">
      <c r="A686" s="2" t="inlineStr">
        <is>
          <t>2026-02-02</t>
        </is>
      </c>
      <c r="B686" s="3" t="inlineStr">
        <is>
          <t>삼성전자</t>
        </is>
      </c>
      <c r="C686" s="2" t="inlineStr">
        <is>
          <t>코스피</t>
        </is>
      </c>
      <c r="D686" s="2" t="inlineStr">
        <is>
          <t>005930</t>
        </is>
      </c>
      <c r="E686" s="3" t="inlineStr">
        <is>
          <t>임원ㆍ주요주주특정증권등소유상황보고서</t>
        </is>
      </c>
      <c r="F686" s="3" t="inlineStr">
        <is>
          <t>최종민</t>
        </is>
      </c>
      <c r="G686" s="2" t="inlineStr">
        <is>
          <t>20260202001257</t>
        </is>
      </c>
      <c r="H686" s="8">
        <f>HYPERLINK("https://dart.fss.or.kr/dsaf001/main.do?rcpNo=20260202001257", "공시열람")</f>
        <v/>
      </c>
    </row>
    <row r="687">
      <c r="A687" s="2" t="inlineStr">
        <is>
          <t>2026-02-02</t>
        </is>
      </c>
      <c r="B687" s="3" t="inlineStr">
        <is>
          <t>JW중외제약</t>
        </is>
      </c>
      <c r="C687" s="2" t="inlineStr">
        <is>
          <t>코스피</t>
        </is>
      </c>
      <c r="D687" s="2" t="inlineStr">
        <is>
          <t>001060</t>
        </is>
      </c>
      <c r="E687" s="3" t="inlineStr">
        <is>
          <t xml:space="preserve">매출액또는손익구조30%(대규모법인15%)미만변경(자율공시)              </t>
        </is>
      </c>
      <c r="F687" s="3" t="inlineStr">
        <is>
          <t>JW중외제약</t>
        </is>
      </c>
      <c r="G687" s="2" t="inlineStr">
        <is>
          <t>20260202801905</t>
        </is>
      </c>
      <c r="H687" s="8">
        <f>HYPERLINK("https://dart.fss.or.kr/dsaf001/main.do?rcpNo=20260202801905", "공시열람")</f>
        <v/>
      </c>
    </row>
    <row r="688">
      <c r="A688" s="2" t="inlineStr">
        <is>
          <t>2026-02-02</t>
        </is>
      </c>
      <c r="B688" s="3" t="inlineStr">
        <is>
          <t>삼성전자</t>
        </is>
      </c>
      <c r="C688" s="2" t="inlineStr">
        <is>
          <t>코스피</t>
        </is>
      </c>
      <c r="D688" s="2" t="inlineStr">
        <is>
          <t>005930</t>
        </is>
      </c>
      <c r="E688" s="3" t="inlineStr">
        <is>
          <t>임원ㆍ주요주주특정증권등소유상황보고서</t>
        </is>
      </c>
      <c r="F688" s="3" t="inlineStr">
        <is>
          <t>남석우</t>
        </is>
      </c>
      <c r="G688" s="2" t="inlineStr">
        <is>
          <t>20260202001256</t>
        </is>
      </c>
      <c r="H688" s="8">
        <f>HYPERLINK("https://dart.fss.or.kr/dsaf001/main.do?rcpNo=20260202001256", "공시열람")</f>
        <v/>
      </c>
    </row>
    <row r="689">
      <c r="A689" s="2" t="inlineStr">
        <is>
          <t>2026-02-02</t>
        </is>
      </c>
      <c r="B689" s="3" t="inlineStr">
        <is>
          <t>삼성전자</t>
        </is>
      </c>
      <c r="C689" s="2" t="inlineStr">
        <is>
          <t>코스피</t>
        </is>
      </c>
      <c r="D689" s="2" t="inlineStr">
        <is>
          <t>005930</t>
        </is>
      </c>
      <c r="E689" s="3" t="inlineStr">
        <is>
          <t>임원ㆍ주요주주특정증권등소유상황보고서</t>
        </is>
      </c>
      <c r="F689" s="3" t="inlineStr">
        <is>
          <t>이두희</t>
        </is>
      </c>
      <c r="G689" s="2" t="inlineStr">
        <is>
          <t>20260202001255</t>
        </is>
      </c>
      <c r="H689" s="8">
        <f>HYPERLINK("https://dart.fss.or.kr/dsaf001/main.do?rcpNo=20260202001255", "공시열람")</f>
        <v/>
      </c>
    </row>
    <row r="690">
      <c r="A690" s="2" t="inlineStr">
        <is>
          <t>2026-02-02</t>
        </is>
      </c>
      <c r="B690" s="3" t="inlineStr">
        <is>
          <t>미원화학</t>
        </is>
      </c>
      <c r="C690" s="2" t="inlineStr">
        <is>
          <t>코스피</t>
        </is>
      </c>
      <c r="D690" s="2" t="inlineStr">
        <is>
          <t>134380</t>
        </is>
      </c>
      <c r="E690" s="3" t="inlineStr">
        <is>
          <t>임원ㆍ주요주주특정증권등소유상황보고서</t>
        </is>
      </c>
      <c r="F690" s="3" t="inlineStr">
        <is>
          <t>김정돈</t>
        </is>
      </c>
      <c r="G690" s="2" t="inlineStr">
        <is>
          <t>20260202001254</t>
        </is>
      </c>
      <c r="H690" s="8">
        <f>HYPERLINK("https://dart.fss.or.kr/dsaf001/main.do?rcpNo=20260202001254", "공시열람")</f>
        <v/>
      </c>
    </row>
    <row r="691">
      <c r="A691" s="2" t="inlineStr">
        <is>
          <t>2026-02-02</t>
        </is>
      </c>
      <c r="B691" s="3" t="inlineStr">
        <is>
          <t>신라에스지</t>
        </is>
      </c>
      <c r="C691" s="2" t="inlineStr">
        <is>
          <t>코스닥</t>
        </is>
      </c>
      <c r="D691" s="2" t="inlineStr">
        <is>
          <t>025870</t>
        </is>
      </c>
      <c r="E691" s="3" t="inlineStr">
        <is>
          <t xml:space="preserve">매출액또는손익구조30%(대규모법인은15%)이상변동              </t>
        </is>
      </c>
      <c r="F691" s="3" t="inlineStr">
        <is>
          <t>신라에스지</t>
        </is>
      </c>
      <c r="G691" s="2" t="inlineStr">
        <is>
          <t>20260202901907</t>
        </is>
      </c>
      <c r="H691" s="8">
        <f>HYPERLINK("https://dart.fss.or.kr/dsaf001/main.do?rcpNo=20260202901907", "공시열람")</f>
        <v/>
      </c>
    </row>
    <row r="692">
      <c r="A692" s="2" t="inlineStr">
        <is>
          <t>2026-02-02</t>
        </is>
      </c>
      <c r="B692" s="3" t="inlineStr">
        <is>
          <t>스튜디오미르</t>
        </is>
      </c>
      <c r="C692" s="2" t="inlineStr">
        <is>
          <t>코스닥</t>
        </is>
      </c>
      <c r="D692" s="2" t="inlineStr">
        <is>
          <t>408900</t>
        </is>
      </c>
      <c r="E692" s="3" t="inlineStr">
        <is>
          <t>임원ㆍ주요주주특정증권등소유상황보고서</t>
        </is>
      </c>
      <c r="F692" s="3" t="inlineStr">
        <is>
          <t>이승욱</t>
        </is>
      </c>
      <c r="G692" s="2" t="inlineStr">
        <is>
          <t>20260202001252</t>
        </is>
      </c>
      <c r="H692" s="8">
        <f>HYPERLINK("https://dart.fss.or.kr/dsaf001/main.do?rcpNo=20260202001252", "공시열람")</f>
        <v/>
      </c>
    </row>
    <row r="693">
      <c r="A693" s="2" t="inlineStr">
        <is>
          <t>2026-02-02</t>
        </is>
      </c>
      <c r="B693" s="3" t="inlineStr">
        <is>
          <t>삼성전자</t>
        </is>
      </c>
      <c r="C693" s="2" t="inlineStr">
        <is>
          <t>코스피</t>
        </is>
      </c>
      <c r="D693" s="2" t="inlineStr">
        <is>
          <t>005930</t>
        </is>
      </c>
      <c r="E693" s="3" t="inlineStr">
        <is>
          <t>임원ㆍ주요주주특정증권등소유상황보고서</t>
        </is>
      </c>
      <c r="F693" s="3" t="inlineStr">
        <is>
          <t>김경태</t>
        </is>
      </c>
      <c r="G693" s="2" t="inlineStr">
        <is>
          <t>20260202001251</t>
        </is>
      </c>
      <c r="H693" s="8">
        <f>HYPERLINK("https://dart.fss.or.kr/dsaf001/main.do?rcpNo=20260202001251", "공시열람")</f>
        <v/>
      </c>
    </row>
    <row r="694">
      <c r="A694" s="2" t="inlineStr">
        <is>
          <t>2026-02-02</t>
        </is>
      </c>
      <c r="B694" s="3" t="inlineStr">
        <is>
          <t>삼성전자</t>
        </is>
      </c>
      <c r="C694" s="2" t="inlineStr">
        <is>
          <t>코스피</t>
        </is>
      </c>
      <c r="D694" s="2" t="inlineStr">
        <is>
          <t>005930</t>
        </is>
      </c>
      <c r="E694" s="3" t="inlineStr">
        <is>
          <t>임원ㆍ주요주주특정증권등소유상황보고서</t>
        </is>
      </c>
      <c r="F694" s="3" t="inlineStr">
        <is>
          <t>현대은</t>
        </is>
      </c>
      <c r="G694" s="2" t="inlineStr">
        <is>
          <t>20260202001249</t>
        </is>
      </c>
      <c r="H694" s="8">
        <f>HYPERLINK("https://dart.fss.or.kr/dsaf001/main.do?rcpNo=20260202001249", "공시열람")</f>
        <v/>
      </c>
    </row>
    <row r="695">
      <c r="A695" s="2" t="inlineStr">
        <is>
          <t>2026-02-02</t>
        </is>
      </c>
      <c r="B695" s="3" t="inlineStr">
        <is>
          <t>삼성전자</t>
        </is>
      </c>
      <c r="C695" s="2" t="inlineStr">
        <is>
          <t>코스피</t>
        </is>
      </c>
      <c r="D695" s="2" t="inlineStr">
        <is>
          <t>005930</t>
        </is>
      </c>
      <c r="E695" s="3" t="inlineStr">
        <is>
          <t>임원ㆍ주요주주특정증권등소유상황보고서</t>
        </is>
      </c>
      <c r="F695" s="3" t="inlineStr">
        <is>
          <t>송재혁</t>
        </is>
      </c>
      <c r="G695" s="2" t="inlineStr">
        <is>
          <t>20260202001248</t>
        </is>
      </c>
      <c r="H695" s="8">
        <f>HYPERLINK("https://dart.fss.or.kr/dsaf001/main.do?rcpNo=20260202001248", "공시열람")</f>
        <v/>
      </c>
    </row>
    <row r="696">
      <c r="A696" s="2" t="inlineStr">
        <is>
          <t>2026-02-02</t>
        </is>
      </c>
      <c r="B696" s="3" t="inlineStr">
        <is>
          <t>삼성전자</t>
        </is>
      </c>
      <c r="C696" s="2" t="inlineStr">
        <is>
          <t>코스피</t>
        </is>
      </c>
      <c r="D696" s="2" t="inlineStr">
        <is>
          <t>005930</t>
        </is>
      </c>
      <c r="E696" s="3" t="inlineStr">
        <is>
          <t>임원ㆍ주요주주특정증권등소유상황보고서</t>
        </is>
      </c>
      <c r="F696" s="3" t="inlineStr">
        <is>
          <t>최원서</t>
        </is>
      </c>
      <c r="G696" s="2" t="inlineStr">
        <is>
          <t>20260202001246</t>
        </is>
      </c>
      <c r="H696" s="8">
        <f>HYPERLINK("https://dart.fss.or.kr/dsaf001/main.do?rcpNo=20260202001246", "공시열람")</f>
        <v/>
      </c>
    </row>
    <row r="697">
      <c r="A697" s="2" t="inlineStr">
        <is>
          <t>2026-02-02</t>
        </is>
      </c>
      <c r="B697" s="3" t="inlineStr">
        <is>
          <t>JW홀딩스</t>
        </is>
      </c>
      <c r="C697" s="2" t="inlineStr">
        <is>
          <t>코스피</t>
        </is>
      </c>
      <c r="D697" s="2" t="inlineStr">
        <is>
          <t>096760</t>
        </is>
      </c>
      <c r="E697" s="3" t="inlineStr">
        <is>
          <t xml:space="preserve">매출액또는손익구조30%(대규모법인은15%)이상변경(자회사의 주요경영사항)              </t>
        </is>
      </c>
      <c r="F697" s="3" t="inlineStr">
        <is>
          <t>JW홀딩스</t>
        </is>
      </c>
      <c r="G697" s="2" t="inlineStr">
        <is>
          <t>20260202801911</t>
        </is>
      </c>
      <c r="H697" s="8">
        <f>HYPERLINK("https://dart.fss.or.kr/dsaf001/main.do?rcpNo=20260202801911", "공시열람")</f>
        <v/>
      </c>
    </row>
    <row r="698">
      <c r="A698" s="2" t="inlineStr">
        <is>
          <t>2026-02-02 (정정: 2026-03-17)</t>
        </is>
      </c>
      <c r="B698" s="3" t="inlineStr">
        <is>
          <t>베셀</t>
        </is>
      </c>
      <c r="C698" s="2" t="inlineStr">
        <is>
          <t>코스닥</t>
        </is>
      </c>
      <c r="D698" s="2" t="inlineStr">
        <is>
          <t>177350</t>
        </is>
      </c>
      <c r="E698" s="3" t="inlineStr">
        <is>
          <t>매출액또는손익구조30%(대규모법인은15%)이상변동               (정정: 20260317)</t>
        </is>
      </c>
      <c r="F698" s="3" t="inlineStr">
        <is>
          <t>베셀</t>
        </is>
      </c>
      <c r="G698" s="2" t="inlineStr">
        <is>
          <t>20260317000266</t>
        </is>
      </c>
      <c r="H698" s="8">
        <f>HYPERLINK("https://dart.fss.or.kr/dsaf001/main.do?rcpNo=20260317000266", "공시열람")</f>
        <v/>
      </c>
    </row>
    <row r="699">
      <c r="A699" s="2" t="inlineStr">
        <is>
          <t>2026-02-02</t>
        </is>
      </c>
      <c r="B699" s="3" t="inlineStr">
        <is>
          <t>선진</t>
        </is>
      </c>
      <c r="C699" s="2" t="inlineStr">
        <is>
          <t>코스피</t>
        </is>
      </c>
      <c r="D699" s="2" t="inlineStr">
        <is>
          <t>136490</t>
        </is>
      </c>
      <c r="E699" s="3" t="inlineStr">
        <is>
          <t xml:space="preserve">매출액또는손익구조30%(대규모법인은15%)이상변경              </t>
        </is>
      </c>
      <c r="F699" s="3" t="inlineStr">
        <is>
          <t>선진</t>
        </is>
      </c>
      <c r="G699" s="2" t="inlineStr">
        <is>
          <t>20260202801891</t>
        </is>
      </c>
      <c r="H699" s="8">
        <f>HYPERLINK("https://dart.fss.or.kr/dsaf001/main.do?rcpNo=20260202801891", "공시열람")</f>
        <v/>
      </c>
    </row>
    <row r="700">
      <c r="A700" s="2" t="inlineStr">
        <is>
          <t>2026-02-02</t>
        </is>
      </c>
      <c r="B700" s="3" t="inlineStr">
        <is>
          <t>삼성전자</t>
        </is>
      </c>
      <c r="C700" s="2" t="inlineStr">
        <is>
          <t>코스피</t>
        </is>
      </c>
      <c r="D700" s="2" t="inlineStr">
        <is>
          <t>005930</t>
        </is>
      </c>
      <c r="E700" s="3" t="inlineStr">
        <is>
          <t>임원ㆍ주요주주특정증권등소유상황보고서</t>
        </is>
      </c>
      <c r="F700" s="3" t="inlineStr">
        <is>
          <t>이두희</t>
        </is>
      </c>
      <c r="G700" s="2" t="inlineStr">
        <is>
          <t>20260202001244</t>
        </is>
      </c>
      <c r="H700" s="8">
        <f>HYPERLINK("https://dart.fss.or.kr/dsaf001/main.do?rcpNo=20260202001244", "공시열람")</f>
        <v/>
      </c>
    </row>
    <row r="701">
      <c r="A701" s="2" t="inlineStr">
        <is>
          <t>2026-02-02</t>
        </is>
      </c>
      <c r="B701" s="3" t="inlineStr">
        <is>
          <t>삼성전자</t>
        </is>
      </c>
      <c r="C701" s="2" t="inlineStr">
        <is>
          <t>코스피</t>
        </is>
      </c>
      <c r="D701" s="2" t="inlineStr">
        <is>
          <t>005930</t>
        </is>
      </c>
      <c r="E701" s="3" t="inlineStr">
        <is>
          <t>임원ㆍ주요주주특정증권등소유상황보고서</t>
        </is>
      </c>
      <c r="F701" s="3" t="inlineStr">
        <is>
          <t>한상원</t>
        </is>
      </c>
      <c r="G701" s="2" t="inlineStr">
        <is>
          <t>20260202001243</t>
        </is>
      </c>
      <c r="H701" s="8">
        <f>HYPERLINK("https://dart.fss.or.kr/dsaf001/main.do?rcpNo=20260202001243", "공시열람")</f>
        <v/>
      </c>
    </row>
    <row r="702">
      <c r="A702" s="2" t="inlineStr">
        <is>
          <t>2026-02-02</t>
        </is>
      </c>
      <c r="B702" s="3" t="inlineStr">
        <is>
          <t>삼성전자</t>
        </is>
      </c>
      <c r="C702" s="2" t="inlineStr">
        <is>
          <t>코스피</t>
        </is>
      </c>
      <c r="D702" s="2" t="inlineStr">
        <is>
          <t>005930</t>
        </is>
      </c>
      <c r="E702" s="3" t="inlineStr">
        <is>
          <t>임원ㆍ주요주주특정증권등소유상황보고서</t>
        </is>
      </c>
      <c r="F702" s="3" t="inlineStr">
        <is>
          <t>최민기</t>
        </is>
      </c>
      <c r="G702" s="2" t="inlineStr">
        <is>
          <t>20260202001241</t>
        </is>
      </c>
      <c r="H702" s="8">
        <f>HYPERLINK("https://dart.fss.or.kr/dsaf001/main.do?rcpNo=20260202001241", "공시열람")</f>
        <v/>
      </c>
    </row>
    <row r="703">
      <c r="A703" s="2" t="inlineStr">
        <is>
          <t>2026-02-02</t>
        </is>
      </c>
      <c r="B703" s="3" t="inlineStr">
        <is>
          <t>삼성전자</t>
        </is>
      </c>
      <c r="C703" s="2" t="inlineStr">
        <is>
          <t>코스피</t>
        </is>
      </c>
      <c r="D703" s="2" t="inlineStr">
        <is>
          <t>005930</t>
        </is>
      </c>
      <c r="E703" s="3" t="inlineStr">
        <is>
          <t>임원ㆍ주요주주특정증권등소유상황보고서</t>
        </is>
      </c>
      <c r="F703" s="3" t="inlineStr">
        <is>
          <t>박용인</t>
        </is>
      </c>
      <c r="G703" s="2" t="inlineStr">
        <is>
          <t>20260202001240</t>
        </is>
      </c>
      <c r="H703" s="8">
        <f>HYPERLINK("https://dart.fss.or.kr/dsaf001/main.do?rcpNo=20260202001240", "공시열람")</f>
        <v/>
      </c>
    </row>
    <row r="704">
      <c r="A704" s="2" t="inlineStr">
        <is>
          <t>2026-02-02</t>
        </is>
      </c>
      <c r="B704" s="3" t="inlineStr">
        <is>
          <t>삼성전자</t>
        </is>
      </c>
      <c r="C704" s="2" t="inlineStr">
        <is>
          <t>코스피</t>
        </is>
      </c>
      <c r="D704" s="2" t="inlineStr">
        <is>
          <t>005930</t>
        </is>
      </c>
      <c r="E704" s="3" t="inlineStr">
        <is>
          <t>임원ㆍ주요주주특정증권등소유상황보고서</t>
        </is>
      </c>
      <c r="F704" s="3" t="inlineStr">
        <is>
          <t>김향희</t>
        </is>
      </c>
      <c r="G704" s="2" t="inlineStr">
        <is>
          <t>20260202001239</t>
        </is>
      </c>
      <c r="H704" s="8">
        <f>HYPERLINK("https://dart.fss.or.kr/dsaf001/main.do?rcpNo=20260202001239", "공시열람")</f>
        <v/>
      </c>
    </row>
    <row r="705">
      <c r="A705" s="2" t="inlineStr">
        <is>
          <t>2026-01-30 (정정: 2026-02-02)</t>
        </is>
      </c>
      <c r="B705" s="3" t="inlineStr">
        <is>
          <t>파라텍</t>
        </is>
      </c>
      <c r="C705" s="2" t="inlineStr">
        <is>
          <t>코스닥</t>
        </is>
      </c>
      <c r="D705" s="2" t="inlineStr">
        <is>
          <t>033540</t>
        </is>
      </c>
      <c r="E705" s="3" t="inlineStr">
        <is>
          <t>[기재정정]소액공모공시서류(지분증권)</t>
        </is>
      </c>
      <c r="F705" s="3" t="inlineStr">
        <is>
          <t>파라텍</t>
        </is>
      </c>
      <c r="G705" s="2" t="inlineStr">
        <is>
          <t>20260202001238</t>
        </is>
      </c>
      <c r="H705" s="8">
        <f>HYPERLINK("https://dart.fss.or.kr/dsaf001/main.do?rcpNo=20260202001238", "공시열람")</f>
        <v/>
      </c>
    </row>
    <row r="706">
      <c r="A706" s="2" t="inlineStr">
        <is>
          <t>2026-02-02</t>
        </is>
      </c>
      <c r="B706" s="3" t="inlineStr">
        <is>
          <t>롯데지주</t>
        </is>
      </c>
      <c r="C706" s="2" t="inlineStr">
        <is>
          <t>코스피</t>
        </is>
      </c>
      <c r="D706" s="2" t="inlineStr">
        <is>
          <t>004990</t>
        </is>
      </c>
      <c r="E706" s="3" t="inlineStr">
        <is>
          <t xml:space="preserve">매출액또는손익구조30%(대규모법인은15%)이상변경(자회사의 주요경영사항)              </t>
        </is>
      </c>
      <c r="F706" s="3" t="inlineStr">
        <is>
          <t>롯데지주</t>
        </is>
      </c>
      <c r="G706" s="2" t="inlineStr">
        <is>
          <t>20260202801883</t>
        </is>
      </c>
      <c r="H706" s="8">
        <f>HYPERLINK("https://dart.fss.or.kr/dsaf001/main.do?rcpNo=20260202801883", "공시열람")</f>
        <v/>
      </c>
    </row>
    <row r="707">
      <c r="A707" s="2" t="inlineStr">
        <is>
          <t>2026-02-02</t>
        </is>
      </c>
      <c r="B707" s="3" t="inlineStr">
        <is>
          <t>삼성전자</t>
        </is>
      </c>
      <c r="C707" s="2" t="inlineStr">
        <is>
          <t>코스피</t>
        </is>
      </c>
      <c r="D707" s="2" t="inlineStr">
        <is>
          <t>005930</t>
        </is>
      </c>
      <c r="E707" s="3" t="inlineStr">
        <is>
          <t>임원ㆍ주요주주특정증권등소유상황보고서</t>
        </is>
      </c>
      <c r="F707" s="3" t="inlineStr">
        <is>
          <t>박정일</t>
        </is>
      </c>
      <c r="G707" s="2" t="inlineStr">
        <is>
          <t>20260202001236</t>
        </is>
      </c>
      <c r="H707" s="8">
        <f>HYPERLINK("https://dart.fss.or.kr/dsaf001/main.do?rcpNo=20260202001236", "공시열람")</f>
        <v/>
      </c>
    </row>
    <row r="708">
      <c r="A708" s="2" t="inlineStr">
        <is>
          <t>2026-02-02</t>
        </is>
      </c>
      <c r="B708" s="3" t="inlineStr">
        <is>
          <t>JW생명과학</t>
        </is>
      </c>
      <c r="C708" s="2" t="inlineStr">
        <is>
          <t>코스피</t>
        </is>
      </c>
      <c r="D708" s="2" t="inlineStr">
        <is>
          <t>234080</t>
        </is>
      </c>
      <c r="E708" s="3" t="inlineStr">
        <is>
          <t xml:space="preserve">매출액또는손익구조30%(대규모법인은15%)이상변경              </t>
        </is>
      </c>
      <c r="F708" s="3" t="inlineStr">
        <is>
          <t>JW생명과학</t>
        </is>
      </c>
      <c r="G708" s="2" t="inlineStr">
        <is>
          <t>20260202801875</t>
        </is>
      </c>
      <c r="H708" s="8">
        <f>HYPERLINK("https://dart.fss.or.kr/dsaf001/main.do?rcpNo=20260202801875", "공시열람")</f>
        <v/>
      </c>
    </row>
    <row r="709">
      <c r="A709" s="2" t="inlineStr">
        <is>
          <t>2026-02-02</t>
        </is>
      </c>
      <c r="B709" s="3" t="inlineStr">
        <is>
          <t>삼성전자</t>
        </is>
      </c>
      <c r="C709" s="2" t="inlineStr">
        <is>
          <t>코스피</t>
        </is>
      </c>
      <c r="D709" s="2" t="inlineStr">
        <is>
          <t>005930</t>
        </is>
      </c>
      <c r="E709" s="3" t="inlineStr">
        <is>
          <t>임원ㆍ주요주주특정증권등소유상황보고서</t>
        </is>
      </c>
      <c r="F709" s="3" t="inlineStr">
        <is>
          <t>박정호</t>
        </is>
      </c>
      <c r="G709" s="2" t="inlineStr">
        <is>
          <t>20260202001233</t>
        </is>
      </c>
      <c r="H709" s="8">
        <f>HYPERLINK("https://dart.fss.or.kr/dsaf001/main.do?rcpNo=20260202001233", "공시열람")</f>
        <v/>
      </c>
    </row>
    <row r="710">
      <c r="A710" s="2" t="inlineStr">
        <is>
          <t>2026-02-02</t>
        </is>
      </c>
      <c r="B710" s="3" t="inlineStr">
        <is>
          <t>삼성전자</t>
        </is>
      </c>
      <c r="C710" s="2" t="inlineStr">
        <is>
          <t>코스피</t>
        </is>
      </c>
      <c r="D710" s="2" t="inlineStr">
        <is>
          <t>005930</t>
        </is>
      </c>
      <c r="E710" s="3" t="inlineStr">
        <is>
          <t>임원ㆍ주요주주특정증권등소유상황보고서</t>
        </is>
      </c>
      <c r="F710" s="3" t="inlineStr">
        <is>
          <t>한진만</t>
        </is>
      </c>
      <c r="G710" s="2" t="inlineStr">
        <is>
          <t>20260202001232</t>
        </is>
      </c>
      <c r="H710" s="8">
        <f>HYPERLINK("https://dart.fss.or.kr/dsaf001/main.do?rcpNo=20260202001232", "공시열람")</f>
        <v/>
      </c>
    </row>
    <row r="711">
      <c r="A711" s="2" t="inlineStr">
        <is>
          <t>2026-02-02</t>
        </is>
      </c>
      <c r="B711" s="3" t="inlineStr">
        <is>
          <t>삼성전자</t>
        </is>
      </c>
      <c r="C711" s="2" t="inlineStr">
        <is>
          <t>코스피</t>
        </is>
      </c>
      <c r="D711" s="2" t="inlineStr">
        <is>
          <t>005930</t>
        </is>
      </c>
      <c r="E711" s="3" t="inlineStr">
        <is>
          <t>임원ㆍ주요주주특정증권등소유상황보고서</t>
        </is>
      </c>
      <c r="F711" s="3" t="inlineStr">
        <is>
          <t>천홍문</t>
        </is>
      </c>
      <c r="G711" s="2" t="inlineStr">
        <is>
          <t>20260202001230</t>
        </is>
      </c>
      <c r="H711" s="8">
        <f>HYPERLINK("https://dart.fss.or.kr/dsaf001/main.do?rcpNo=20260202001230", "공시열람")</f>
        <v/>
      </c>
    </row>
    <row r="712">
      <c r="A712" s="2" t="inlineStr">
        <is>
          <t>2026-02-02</t>
        </is>
      </c>
      <c r="B712" s="3" t="inlineStr">
        <is>
          <t>삼성전자</t>
        </is>
      </c>
      <c r="C712" s="2" t="inlineStr">
        <is>
          <t>코스피</t>
        </is>
      </c>
      <c r="D712" s="2" t="inlineStr">
        <is>
          <t>005930</t>
        </is>
      </c>
      <c r="E712" s="3" t="inlineStr">
        <is>
          <t>임원ㆍ주요주주특정증권등소유상황보고서</t>
        </is>
      </c>
      <c r="F712" s="3" t="inlineStr">
        <is>
          <t>윤호용</t>
        </is>
      </c>
      <c r="G712" s="2" t="inlineStr">
        <is>
          <t>20260202001228</t>
        </is>
      </c>
      <c r="H712" s="8">
        <f>HYPERLINK("https://dart.fss.or.kr/dsaf001/main.do?rcpNo=20260202001228", "공시열람")</f>
        <v/>
      </c>
    </row>
    <row r="713">
      <c r="A713" s="2" t="inlineStr">
        <is>
          <t>2026-02-02 (정정: 2026-02-12)</t>
        </is>
      </c>
      <c r="B713" s="3" t="inlineStr">
        <is>
          <t>SNT에너지</t>
        </is>
      </c>
      <c r="C713" s="2" t="inlineStr">
        <is>
          <t>코스피</t>
        </is>
      </c>
      <c r="D713" s="2" t="inlineStr">
        <is>
          <t>100840</t>
        </is>
      </c>
      <c r="E713" s="3" t="inlineStr">
        <is>
          <t>임원ㆍ주요주주특정증권등소유상황보고서 (정정: 20260212)</t>
        </is>
      </c>
      <c r="F713" s="3" t="inlineStr">
        <is>
          <t>SNT홀딩스</t>
        </is>
      </c>
      <c r="G713" s="2" t="inlineStr">
        <is>
          <t>20260212001604</t>
        </is>
      </c>
      <c r="H713" s="8">
        <f>HYPERLINK("https://dart.fss.or.kr/dsaf001/main.do?rcpNo=20260212001604", "공시열람")</f>
        <v/>
      </c>
    </row>
    <row r="714">
      <c r="A714" s="2" t="inlineStr">
        <is>
          <t>2026-02-02</t>
        </is>
      </c>
      <c r="B714" s="3" t="inlineStr">
        <is>
          <t>삼성전자</t>
        </is>
      </c>
      <c r="C714" s="2" t="inlineStr">
        <is>
          <t>코스피</t>
        </is>
      </c>
      <c r="D714" s="2" t="inlineStr">
        <is>
          <t>005930</t>
        </is>
      </c>
      <c r="E714" s="3" t="inlineStr">
        <is>
          <t>임원ㆍ주요주주특정증권등소유상황보고서</t>
        </is>
      </c>
      <c r="F714" s="3" t="inlineStr">
        <is>
          <t>김덕헌</t>
        </is>
      </c>
      <c r="G714" s="2" t="inlineStr">
        <is>
          <t>20260202001223</t>
        </is>
      </c>
      <c r="H714" s="8">
        <f>HYPERLINK("https://dart.fss.or.kr/dsaf001/main.do?rcpNo=20260202001223", "공시열람")</f>
        <v/>
      </c>
    </row>
    <row r="715">
      <c r="A715" s="2" t="inlineStr">
        <is>
          <t>2026-02-02</t>
        </is>
      </c>
      <c r="B715" s="3" t="inlineStr">
        <is>
          <t>스튜디오미르</t>
        </is>
      </c>
      <c r="C715" s="2" t="inlineStr">
        <is>
          <t>코스닥</t>
        </is>
      </c>
      <c r="D715" s="2" t="inlineStr">
        <is>
          <t>408900</t>
        </is>
      </c>
      <c r="E715" s="3" t="inlineStr">
        <is>
          <t>임원ㆍ주요주주특정증권등소유상황보고서</t>
        </is>
      </c>
      <c r="F715" s="3" t="inlineStr">
        <is>
          <t>한영자</t>
        </is>
      </c>
      <c r="G715" s="2" t="inlineStr">
        <is>
          <t>20260202001221</t>
        </is>
      </c>
      <c r="H715" s="8">
        <f>HYPERLINK("https://dart.fss.or.kr/dsaf001/main.do?rcpNo=20260202001221", "공시열람")</f>
        <v/>
      </c>
    </row>
    <row r="716">
      <c r="A716" s="2" t="inlineStr">
        <is>
          <t>2026-02-02</t>
        </is>
      </c>
      <c r="B716" s="3" t="inlineStr">
        <is>
          <t>KD</t>
        </is>
      </c>
      <c r="C716" s="2" t="inlineStr">
        <is>
          <t>코스닥</t>
        </is>
      </c>
      <c r="D716" s="2" t="inlineStr">
        <is>
          <t>044180</t>
        </is>
      </c>
      <c r="E716" s="3" t="inlineStr">
        <is>
          <t xml:space="preserve">대출원리금연체사실발생(자율공시)              </t>
        </is>
      </c>
      <c r="F716" s="3" t="inlineStr">
        <is>
          <t>KD</t>
        </is>
      </c>
      <c r="G716" s="2" t="inlineStr">
        <is>
          <t>20260202901795</t>
        </is>
      </c>
      <c r="H716" s="8">
        <f>HYPERLINK("https://dart.fss.or.kr/dsaf001/main.do?rcpNo=20260202901795", "공시열람")</f>
        <v/>
      </c>
    </row>
    <row r="717">
      <c r="A717" s="2" t="inlineStr">
        <is>
          <t>2026-02-02</t>
        </is>
      </c>
      <c r="B717" s="3" t="inlineStr">
        <is>
          <t>삼성전자</t>
        </is>
      </c>
      <c r="C717" s="2" t="inlineStr">
        <is>
          <t>코스피</t>
        </is>
      </c>
      <c r="D717" s="2" t="inlineStr">
        <is>
          <t>005930</t>
        </is>
      </c>
      <c r="E717" s="3" t="inlineStr">
        <is>
          <t>임원ㆍ주요주주특정증권등소유상황보고서</t>
        </is>
      </c>
      <c r="F717" s="3" t="inlineStr">
        <is>
          <t>김원우</t>
        </is>
      </c>
      <c r="G717" s="2" t="inlineStr">
        <is>
          <t>20260202001219</t>
        </is>
      </c>
      <c r="H717" s="8">
        <f>HYPERLINK("https://dart.fss.or.kr/dsaf001/main.do?rcpNo=20260202001219", "공시열람")</f>
        <v/>
      </c>
    </row>
    <row r="718">
      <c r="A718" s="2" t="inlineStr">
        <is>
          <t>2026-02-02</t>
        </is>
      </c>
      <c r="B718" s="3" t="inlineStr">
        <is>
          <t>삼성전자</t>
        </is>
      </c>
      <c r="C718" s="2" t="inlineStr">
        <is>
          <t>코스피</t>
        </is>
      </c>
      <c r="D718" s="2" t="inlineStr">
        <is>
          <t>005930</t>
        </is>
      </c>
      <c r="E718" s="3" t="inlineStr">
        <is>
          <t>임원ㆍ주요주주특정증권등소유상황보고서</t>
        </is>
      </c>
      <c r="F718" s="3" t="inlineStr">
        <is>
          <t>정석희</t>
        </is>
      </c>
      <c r="G718" s="2" t="inlineStr">
        <is>
          <t>20260202001217</t>
        </is>
      </c>
      <c r="H718" s="8">
        <f>HYPERLINK("https://dart.fss.or.kr/dsaf001/main.do?rcpNo=20260202001217", "공시열람")</f>
        <v/>
      </c>
    </row>
    <row r="719">
      <c r="A719" s="2" t="inlineStr">
        <is>
          <t>2026-02-02</t>
        </is>
      </c>
      <c r="B719" s="3" t="inlineStr">
        <is>
          <t>알톤</t>
        </is>
      </c>
      <c r="C719" s="2" t="inlineStr">
        <is>
          <t>코스닥</t>
        </is>
      </c>
      <c r="D719" s="2" t="inlineStr">
        <is>
          <t>123750</t>
        </is>
      </c>
      <c r="E719" s="3" t="inlineStr">
        <is>
          <t>증권발행결과(자율공시)              (제3자배정 유상증자)</t>
        </is>
      </c>
      <c r="F719" s="3" t="inlineStr">
        <is>
          <t>알톤</t>
        </is>
      </c>
      <c r="G719" s="2" t="inlineStr">
        <is>
          <t>20260202901776</t>
        </is>
      </c>
      <c r="H719" s="8">
        <f>HYPERLINK("https://dart.fss.or.kr/dsaf001/main.do?rcpNo=20260202901776", "공시열람")</f>
        <v/>
      </c>
    </row>
    <row r="720">
      <c r="A720" s="2" t="inlineStr">
        <is>
          <t>2026-02-02</t>
        </is>
      </c>
      <c r="B720" s="3" t="inlineStr">
        <is>
          <t>SNT홀딩스</t>
        </is>
      </c>
      <c r="C720" s="2" t="inlineStr">
        <is>
          <t>코스피</t>
        </is>
      </c>
      <c r="D720" s="2" t="inlineStr">
        <is>
          <t>036530</t>
        </is>
      </c>
      <c r="E720" s="3" t="inlineStr">
        <is>
          <t xml:space="preserve">전환청구권ㆍ신주인수권ㆍ교환청구권행사              </t>
        </is>
      </c>
      <c r="F720" s="3" t="inlineStr">
        <is>
          <t>SNT홀딩스</t>
        </is>
      </c>
      <c r="G720" s="2" t="inlineStr">
        <is>
          <t>20260202801887</t>
        </is>
      </c>
      <c r="H720" s="8">
        <f>HYPERLINK("https://dart.fss.or.kr/dsaf001/main.do?rcpNo=20260202801887", "공시열람")</f>
        <v/>
      </c>
    </row>
    <row r="721">
      <c r="A721" s="2" t="inlineStr">
        <is>
          <t>2026-02-02</t>
        </is>
      </c>
      <c r="B721" s="3" t="inlineStr">
        <is>
          <t>삼성전자</t>
        </is>
      </c>
      <c r="C721" s="2" t="inlineStr">
        <is>
          <t>코스피</t>
        </is>
      </c>
      <c r="D721" s="2" t="inlineStr">
        <is>
          <t>005930</t>
        </is>
      </c>
      <c r="E721" s="3" t="inlineStr">
        <is>
          <t>임원ㆍ주요주주특정증권등소유상황보고서</t>
        </is>
      </c>
      <c r="F721" s="3" t="inlineStr">
        <is>
          <t>이성원</t>
        </is>
      </c>
      <c r="G721" s="2" t="inlineStr">
        <is>
          <t>20260202001215</t>
        </is>
      </c>
      <c r="H721" s="8">
        <f>HYPERLINK("https://dart.fss.or.kr/dsaf001/main.do?rcpNo=20260202001215", "공시열람")</f>
        <v/>
      </c>
    </row>
    <row r="722">
      <c r="A722" s="2" t="inlineStr">
        <is>
          <t>2026-02-02 (정정: 2026-03-09)</t>
        </is>
      </c>
      <c r="B722" s="3" t="inlineStr">
        <is>
          <t>동양</t>
        </is>
      </c>
      <c r="C722" s="2" t="inlineStr">
        <is>
          <t>코스피</t>
        </is>
      </c>
      <c r="D722" s="2" t="inlineStr">
        <is>
          <t>001520</t>
        </is>
      </c>
      <c r="E722" s="3" t="inlineStr">
        <is>
          <t>매출액또는손익구조30%(대규모법인은15%)이상변경               (정정: 20260309)</t>
        </is>
      </c>
      <c r="F722" s="3" t="inlineStr">
        <is>
          <t>동양</t>
        </is>
      </c>
      <c r="G722" s="2" t="inlineStr">
        <is>
          <t>20260309801491</t>
        </is>
      </c>
      <c r="H722" s="8">
        <f>HYPERLINK("https://dart.fss.or.kr/dsaf001/main.do?rcpNo=20260309801491", "공시열람")</f>
        <v/>
      </c>
    </row>
    <row r="723">
      <c r="A723" s="2" t="inlineStr">
        <is>
          <t>2026-02-02</t>
        </is>
      </c>
      <c r="B723" s="3" t="inlineStr">
        <is>
          <t>삼성전자</t>
        </is>
      </c>
      <c r="C723" s="2" t="inlineStr">
        <is>
          <t>코스피</t>
        </is>
      </c>
      <c r="D723" s="2" t="inlineStr">
        <is>
          <t>005930</t>
        </is>
      </c>
      <c r="E723" s="3" t="inlineStr">
        <is>
          <t>임원ㆍ주요주주특정증권등소유상황보고서</t>
        </is>
      </c>
      <c r="F723" s="3" t="inlineStr">
        <is>
          <t>전영현</t>
        </is>
      </c>
      <c r="G723" s="2" t="inlineStr">
        <is>
          <t>20260202001214</t>
        </is>
      </c>
      <c r="H723" s="8">
        <f>HYPERLINK("https://dart.fss.or.kr/dsaf001/main.do?rcpNo=20260202001214", "공시열람")</f>
        <v/>
      </c>
    </row>
    <row r="724">
      <c r="A724" s="2" t="inlineStr">
        <is>
          <t>2026-02-02</t>
        </is>
      </c>
      <c r="B724" s="3" t="inlineStr">
        <is>
          <t>롯데웰푸드</t>
        </is>
      </c>
      <c r="C724" s="2" t="inlineStr">
        <is>
          <t>코스피</t>
        </is>
      </c>
      <c r="D724" s="2" t="inlineStr">
        <is>
          <t>280360</t>
        </is>
      </c>
      <c r="E724" s="3" t="inlineStr">
        <is>
          <t xml:space="preserve">매출액또는손익구조30%(대규모법인은15%)이상변경              </t>
        </is>
      </c>
      <c r="F724" s="3" t="inlineStr">
        <is>
          <t>롯데웰푸드</t>
        </is>
      </c>
      <c r="G724" s="2" t="inlineStr">
        <is>
          <t>20260202801818</t>
        </is>
      </c>
      <c r="H724" s="8">
        <f>HYPERLINK("https://dart.fss.or.kr/dsaf001/main.do?rcpNo=20260202801818", "공시열람")</f>
        <v/>
      </c>
    </row>
    <row r="725">
      <c r="A725" s="2" t="inlineStr">
        <is>
          <t>2026-02-02</t>
        </is>
      </c>
      <c r="B725" s="3" t="inlineStr">
        <is>
          <t>엑스페릭스</t>
        </is>
      </c>
      <c r="C725" s="2" t="inlineStr">
        <is>
          <t>코스닥</t>
        </is>
      </c>
      <c r="D725" s="2" t="inlineStr">
        <is>
          <t>317770</t>
        </is>
      </c>
      <c r="E725" s="3" t="inlineStr">
        <is>
          <t xml:space="preserve">매출액또는손익구조30%(대규모법인은15%)이상변동              </t>
        </is>
      </c>
      <c r="F725" s="3" t="inlineStr">
        <is>
          <t>엑스페릭스</t>
        </is>
      </c>
      <c r="G725" s="2" t="inlineStr">
        <is>
          <t>20260202901739</t>
        </is>
      </c>
      <c r="H725" s="8">
        <f>HYPERLINK("https://dart.fss.or.kr/dsaf001/main.do?rcpNo=20260202901739", "공시열람")</f>
        <v/>
      </c>
    </row>
    <row r="726">
      <c r="A726" s="2" t="inlineStr">
        <is>
          <t>2026-02-02 (정정: 2026-03-04)</t>
        </is>
      </c>
      <c r="B726" s="3" t="inlineStr">
        <is>
          <t>지니너스</t>
        </is>
      </c>
      <c r="C726" s="2" t="inlineStr">
        <is>
          <t>코스닥</t>
        </is>
      </c>
      <c r="D726" s="2" t="inlineStr">
        <is>
          <t>389030</t>
        </is>
      </c>
      <c r="E726" s="3" t="inlineStr">
        <is>
          <t>파생상품거래손실발생               (정정: 20260304)</t>
        </is>
      </c>
      <c r="F726" s="3" t="inlineStr">
        <is>
          <t>지니너스</t>
        </is>
      </c>
      <c r="G726" s="2" t="inlineStr">
        <is>
          <t>20260304900215</t>
        </is>
      </c>
      <c r="H726" s="8">
        <f>HYPERLINK("https://dart.fss.or.kr/dsaf001/main.do?rcpNo=20260304900215", "공시열람")</f>
        <v/>
      </c>
    </row>
    <row r="727">
      <c r="A727" s="2" t="inlineStr">
        <is>
          <t>2026-02-02</t>
        </is>
      </c>
      <c r="B727" s="3" t="inlineStr">
        <is>
          <t>삼성전자</t>
        </is>
      </c>
      <c r="C727" s="2" t="inlineStr">
        <is>
          <t>코스피</t>
        </is>
      </c>
      <c r="D727" s="2" t="inlineStr">
        <is>
          <t>005930</t>
        </is>
      </c>
      <c r="E727" s="3" t="inlineStr">
        <is>
          <t>임원ㆍ주요주주특정증권등소유상황보고서</t>
        </is>
      </c>
      <c r="F727" s="3" t="inlineStr">
        <is>
          <t>이종포</t>
        </is>
      </c>
      <c r="G727" s="2" t="inlineStr">
        <is>
          <t>20260202001210</t>
        </is>
      </c>
      <c r="H727" s="8">
        <f>HYPERLINK("https://dart.fss.or.kr/dsaf001/main.do?rcpNo=20260202001210", "공시열람")</f>
        <v/>
      </c>
    </row>
    <row r="728">
      <c r="A728" s="2" t="inlineStr">
        <is>
          <t>2026-02-02</t>
        </is>
      </c>
      <c r="B728" s="3" t="inlineStr">
        <is>
          <t>삼성전자</t>
        </is>
      </c>
      <c r="C728" s="2" t="inlineStr">
        <is>
          <t>코스피</t>
        </is>
      </c>
      <c r="D728" s="2" t="inlineStr">
        <is>
          <t>005930</t>
        </is>
      </c>
      <c r="E728" s="3" t="inlineStr">
        <is>
          <t>임원ㆍ주요주주특정증권등소유상황보고서</t>
        </is>
      </c>
      <c r="F728" s="3" t="inlineStr">
        <is>
          <t>전상욱</t>
        </is>
      </c>
      <c r="G728" s="2" t="inlineStr">
        <is>
          <t>20260202001209</t>
        </is>
      </c>
      <c r="H728" s="8">
        <f>HYPERLINK("https://dart.fss.or.kr/dsaf001/main.do?rcpNo=20260202001209", "공시열람")</f>
        <v/>
      </c>
    </row>
    <row r="729">
      <c r="A729" s="2" t="inlineStr">
        <is>
          <t>2026-02-02</t>
        </is>
      </c>
      <c r="B729" s="3" t="inlineStr">
        <is>
          <t>삼성전자</t>
        </is>
      </c>
      <c r="C729" s="2" t="inlineStr">
        <is>
          <t>코스피</t>
        </is>
      </c>
      <c r="D729" s="2" t="inlineStr">
        <is>
          <t>005930</t>
        </is>
      </c>
      <c r="E729" s="3" t="inlineStr">
        <is>
          <t>임원ㆍ주요주주특정증권등소유상황보고서</t>
        </is>
      </c>
      <c r="F729" s="3" t="inlineStr">
        <is>
          <t>정성원</t>
        </is>
      </c>
      <c r="G729" s="2" t="inlineStr">
        <is>
          <t>20260202001207</t>
        </is>
      </c>
      <c r="H729" s="8">
        <f>HYPERLINK("https://dart.fss.or.kr/dsaf001/main.do?rcpNo=20260202001207", "공시열람")</f>
        <v/>
      </c>
    </row>
    <row r="730">
      <c r="A730" s="2" t="inlineStr">
        <is>
          <t>2026-02-02</t>
        </is>
      </c>
      <c r="B730" s="3" t="inlineStr">
        <is>
          <t>키움증권</t>
        </is>
      </c>
      <c r="C730" s="2" t="inlineStr">
        <is>
          <t>코스피</t>
        </is>
      </c>
      <c r="D730" s="2" t="inlineStr">
        <is>
          <t>039490</t>
        </is>
      </c>
      <c r="E730" s="3" t="inlineStr">
        <is>
          <t>증권발행실적보고서</t>
        </is>
      </c>
      <c r="F730" s="3" t="inlineStr">
        <is>
          <t>키움증권</t>
        </is>
      </c>
      <c r="G730" s="2" t="inlineStr">
        <is>
          <t>20260202001206</t>
        </is>
      </c>
      <c r="H730" s="8">
        <f>HYPERLINK("https://dart.fss.or.kr/dsaf001/main.do?rcpNo=20260202001206", "공시열람")</f>
        <v/>
      </c>
    </row>
    <row r="731">
      <c r="A731" s="2" t="inlineStr">
        <is>
          <t>2026-02-02</t>
        </is>
      </c>
      <c r="B731" s="3" t="inlineStr">
        <is>
          <t>한화투자증권</t>
        </is>
      </c>
      <c r="C731" s="2" t="inlineStr">
        <is>
          <t>코스피</t>
        </is>
      </c>
      <c r="D731" s="2" t="inlineStr">
        <is>
          <t>003530</t>
        </is>
      </c>
      <c r="E731" s="3" t="inlineStr">
        <is>
          <t>투자설명서(일괄신고)</t>
        </is>
      </c>
      <c r="F731" s="3" t="inlineStr">
        <is>
          <t>한화투자증권</t>
        </is>
      </c>
      <c r="G731" s="2" t="inlineStr">
        <is>
          <t>20260202001205</t>
        </is>
      </c>
      <c r="H731" s="8">
        <f>HYPERLINK("https://dart.fss.or.kr/dsaf001/main.do?rcpNo=20260202001205", "공시열람")</f>
        <v/>
      </c>
    </row>
    <row r="732">
      <c r="A732" s="2" t="inlineStr">
        <is>
          <t>2026-02-02</t>
        </is>
      </c>
      <c r="B732" s="3" t="inlineStr">
        <is>
          <t>미래에셋증권</t>
        </is>
      </c>
      <c r="C732" s="2" t="inlineStr">
        <is>
          <t>코스피</t>
        </is>
      </c>
      <c r="D732" s="2" t="inlineStr">
        <is>
          <t>006800</t>
        </is>
      </c>
      <c r="E732" s="3" t="inlineStr">
        <is>
          <t>증권신고서(채무증권)</t>
        </is>
      </c>
      <c r="F732" s="3" t="inlineStr">
        <is>
          <t>미래에셋증권</t>
        </is>
      </c>
      <c r="G732" s="2" t="inlineStr">
        <is>
          <t>20260202001203</t>
        </is>
      </c>
      <c r="H732" s="8">
        <f>HYPERLINK("https://dart.fss.or.kr/dsaf001/main.do?rcpNo=20260202001203", "공시열람")</f>
        <v/>
      </c>
    </row>
    <row r="733">
      <c r="A733" s="2" t="inlineStr">
        <is>
          <t>2026-02-02 (정정: 2026-03-12)</t>
        </is>
      </c>
      <c r="B733" s="3" t="inlineStr">
        <is>
          <t>동부건설</t>
        </is>
      </c>
      <c r="C733" s="2" t="inlineStr">
        <is>
          <t>코스피</t>
        </is>
      </c>
      <c r="D733" s="2" t="inlineStr">
        <is>
          <t>005960</t>
        </is>
      </c>
      <c r="E733" s="3" t="inlineStr">
        <is>
          <t>매출액또는손익구조30%(대규모법인은15%)이상변경               (정정: 20260312) (정정: 20260312)</t>
        </is>
      </c>
      <c r="F733" s="3" t="inlineStr">
        <is>
          <t>동부건설</t>
        </is>
      </c>
      <c r="G733" s="2" t="inlineStr">
        <is>
          <t>20260312000298</t>
        </is>
      </c>
      <c r="H733" s="8">
        <f>HYPERLINK("https://dart.fss.or.kr/dsaf001/main.do?rcpNo=20260312000298", "공시열람")</f>
        <v/>
      </c>
    </row>
    <row r="734">
      <c r="A734" s="2" t="inlineStr">
        <is>
          <t>2026-02-02</t>
        </is>
      </c>
      <c r="B734" s="3" t="inlineStr">
        <is>
          <t>삼성전자</t>
        </is>
      </c>
      <c r="C734" s="2" t="inlineStr">
        <is>
          <t>코스피</t>
        </is>
      </c>
      <c r="D734" s="2" t="inlineStr">
        <is>
          <t>005930</t>
        </is>
      </c>
      <c r="E734" s="3" t="inlineStr">
        <is>
          <t>임원ㆍ주요주주특정증권등소유상황보고서</t>
        </is>
      </c>
      <c r="F734" s="3" t="inlineStr">
        <is>
          <t>김홍경</t>
        </is>
      </c>
      <c r="G734" s="2" t="inlineStr">
        <is>
          <t>20260202001202</t>
        </is>
      </c>
      <c r="H734" s="8">
        <f>HYPERLINK("https://dart.fss.or.kr/dsaf001/main.do?rcpNo=20260202001202", "공시열람")</f>
        <v/>
      </c>
    </row>
    <row r="735">
      <c r="A735" s="2" t="inlineStr">
        <is>
          <t>2026-02-02</t>
        </is>
      </c>
      <c r="B735" s="3" t="inlineStr">
        <is>
          <t>피노</t>
        </is>
      </c>
      <c r="C735" s="2" t="inlineStr">
        <is>
          <t>코스닥</t>
        </is>
      </c>
      <c r="D735" s="2" t="inlineStr">
        <is>
          <t>033790</t>
        </is>
      </c>
      <c r="E735" s="3" t="inlineStr">
        <is>
          <t xml:space="preserve">매출액또는손익구조30%(대규모법인은15%)이상변동              </t>
        </is>
      </c>
      <c r="F735" s="3" t="inlineStr">
        <is>
          <t>피노</t>
        </is>
      </c>
      <c r="G735" s="2" t="inlineStr">
        <is>
          <t>20260202901735</t>
        </is>
      </c>
      <c r="H735" s="8">
        <f>HYPERLINK("https://dart.fss.or.kr/dsaf001/main.do?rcpNo=20260202901735", "공시열람")</f>
        <v/>
      </c>
    </row>
    <row r="736">
      <c r="A736" s="2" t="inlineStr">
        <is>
          <t>2026-02-02</t>
        </is>
      </c>
      <c r="B736" s="3" t="inlineStr">
        <is>
          <t>한주라이트메탈</t>
        </is>
      </c>
      <c r="C736" s="2" t="inlineStr">
        <is>
          <t>코스닥</t>
        </is>
      </c>
      <c r="D736" s="2" t="inlineStr">
        <is>
          <t>198940</t>
        </is>
      </c>
      <c r="E736" s="3" t="inlineStr">
        <is>
          <t xml:space="preserve">매출액또는손익구조30%(대규모법인은15%)이상변동              </t>
        </is>
      </c>
      <c r="F736" s="3" t="inlineStr">
        <is>
          <t>한주라이트메탈</t>
        </is>
      </c>
      <c r="G736" s="2" t="inlineStr">
        <is>
          <t>20260202901667</t>
        </is>
      </c>
      <c r="H736" s="8">
        <f>HYPERLINK("https://dart.fss.or.kr/dsaf001/main.do?rcpNo=20260202901667", "공시열람")</f>
        <v/>
      </c>
    </row>
    <row r="737">
      <c r="A737" s="2" t="inlineStr">
        <is>
          <t>2026-02-02</t>
        </is>
      </c>
      <c r="B737" s="3" t="inlineStr">
        <is>
          <t>삼성전자</t>
        </is>
      </c>
      <c r="C737" s="2" t="inlineStr">
        <is>
          <t>코스피</t>
        </is>
      </c>
      <c r="D737" s="2" t="inlineStr">
        <is>
          <t>005930</t>
        </is>
      </c>
      <c r="E737" s="3" t="inlineStr">
        <is>
          <t>임원ㆍ주요주주특정증권등소유상황보고서</t>
        </is>
      </c>
      <c r="F737" s="3" t="inlineStr">
        <is>
          <t>양시준</t>
        </is>
      </c>
      <c r="G737" s="2" t="inlineStr">
        <is>
          <t>20260202001200</t>
        </is>
      </c>
      <c r="H737" s="8">
        <f>HYPERLINK("https://dart.fss.or.kr/dsaf001/main.do?rcpNo=20260202001200", "공시열람")</f>
        <v/>
      </c>
    </row>
    <row r="738">
      <c r="A738" s="2" t="inlineStr">
        <is>
          <t>2026-02-02</t>
        </is>
      </c>
      <c r="B738" s="3" t="inlineStr">
        <is>
          <t>리메드</t>
        </is>
      </c>
      <c r="C738" s="2" t="inlineStr">
        <is>
          <t>코스닥</t>
        </is>
      </c>
      <c r="D738" s="2" t="inlineStr">
        <is>
          <t>302550</t>
        </is>
      </c>
      <c r="E738" s="3" t="inlineStr">
        <is>
          <t>임원ㆍ주요주주특정증권등소유상황보고서</t>
        </is>
      </c>
      <c r="F738" s="3" t="inlineStr">
        <is>
          <t>신대현</t>
        </is>
      </c>
      <c r="G738" s="2" t="inlineStr">
        <is>
          <t>20260202001199</t>
        </is>
      </c>
      <c r="H738" s="8">
        <f>HYPERLINK("https://dart.fss.or.kr/dsaf001/main.do?rcpNo=20260202001199", "공시열람")</f>
        <v/>
      </c>
    </row>
    <row r="739">
      <c r="A739" s="2" t="inlineStr">
        <is>
          <t>2026-02-02</t>
        </is>
      </c>
      <c r="B739" s="3" t="inlineStr">
        <is>
          <t>삼성전자</t>
        </is>
      </c>
      <c r="C739" s="2" t="inlineStr">
        <is>
          <t>코스피</t>
        </is>
      </c>
      <c r="D739" s="2" t="inlineStr">
        <is>
          <t>005930</t>
        </is>
      </c>
      <c r="E739" s="3" t="inlineStr">
        <is>
          <t>임원ㆍ주요주주특정증권등소유상황보고서</t>
        </is>
      </c>
      <c r="F739" s="3" t="inlineStr">
        <is>
          <t>왕지연</t>
        </is>
      </c>
      <c r="G739" s="2" t="inlineStr">
        <is>
          <t>20260202001197</t>
        </is>
      </c>
      <c r="H739" s="8">
        <f>HYPERLINK("https://dart.fss.or.kr/dsaf001/main.do?rcpNo=20260202001197", "공시열람")</f>
        <v/>
      </c>
    </row>
    <row r="740">
      <c r="A740" s="2" t="inlineStr">
        <is>
          <t>2026-02-02</t>
        </is>
      </c>
      <c r="B740" s="3" t="inlineStr">
        <is>
          <t>삼성전자</t>
        </is>
      </c>
      <c r="C740" s="2" t="inlineStr">
        <is>
          <t>코스피</t>
        </is>
      </c>
      <c r="D740" s="2" t="inlineStr">
        <is>
          <t>005930</t>
        </is>
      </c>
      <c r="E740" s="3" t="inlineStr">
        <is>
          <t>임원ㆍ주요주주특정증권등소유상황보고서</t>
        </is>
      </c>
      <c r="F740" s="3" t="inlineStr">
        <is>
          <t>김원희</t>
        </is>
      </c>
      <c r="G740" s="2" t="inlineStr">
        <is>
          <t>20260202001195</t>
        </is>
      </c>
      <c r="H740" s="8">
        <f>HYPERLINK("https://dart.fss.or.kr/dsaf001/main.do?rcpNo=20260202001195", "공시열람")</f>
        <v/>
      </c>
    </row>
    <row r="741">
      <c r="A741" s="2" t="inlineStr">
        <is>
          <t>2026-02-02</t>
        </is>
      </c>
      <c r="B741" s="3" t="inlineStr">
        <is>
          <t>키움증권</t>
        </is>
      </c>
      <c r="C741" s="2" t="inlineStr">
        <is>
          <t>코스피</t>
        </is>
      </c>
      <c r="D741" s="2" t="inlineStr">
        <is>
          <t>039490</t>
        </is>
      </c>
      <c r="E741" s="3" t="inlineStr">
        <is>
          <t>증권발행실적보고서</t>
        </is>
      </c>
      <c r="F741" s="3" t="inlineStr">
        <is>
          <t>키움증권</t>
        </is>
      </c>
      <c r="G741" s="2" t="inlineStr">
        <is>
          <t>20260202001194</t>
        </is>
      </c>
      <c r="H741" s="8">
        <f>HYPERLINK("https://dart.fss.or.kr/dsaf001/main.do?rcpNo=20260202001194", "공시열람")</f>
        <v/>
      </c>
    </row>
    <row r="742">
      <c r="A742" s="2" t="inlineStr">
        <is>
          <t>2026-02-02</t>
        </is>
      </c>
      <c r="B742" s="3" t="inlineStr">
        <is>
          <t>삼성전자</t>
        </is>
      </c>
      <c r="C742" s="2" t="inlineStr">
        <is>
          <t>코스피</t>
        </is>
      </c>
      <c r="D742" s="2" t="inlineStr">
        <is>
          <t>005930</t>
        </is>
      </c>
      <c r="E742" s="3" t="inlineStr">
        <is>
          <t>임원ㆍ주요주주특정증권등소유상황보고서</t>
        </is>
      </c>
      <c r="F742" s="3" t="inlineStr">
        <is>
          <t>김용관</t>
        </is>
      </c>
      <c r="G742" s="2" t="inlineStr">
        <is>
          <t>20260202001193</t>
        </is>
      </c>
      <c r="H742" s="8">
        <f>HYPERLINK("https://dart.fss.or.kr/dsaf001/main.do?rcpNo=20260202001193", "공시열람")</f>
        <v/>
      </c>
    </row>
    <row r="743">
      <c r="A743" s="2" t="inlineStr">
        <is>
          <t>2026-02-02</t>
        </is>
      </c>
      <c r="B743" s="3" t="inlineStr">
        <is>
          <t>삼성전자</t>
        </is>
      </c>
      <c r="C743" s="2" t="inlineStr">
        <is>
          <t>코스피</t>
        </is>
      </c>
      <c r="D743" s="2" t="inlineStr">
        <is>
          <t>005930</t>
        </is>
      </c>
      <c r="E743" s="3" t="inlineStr">
        <is>
          <t>임원ㆍ주요주주특정증권등소유상황보고서</t>
        </is>
      </c>
      <c r="F743" s="3" t="inlineStr">
        <is>
          <t>김우준</t>
        </is>
      </c>
      <c r="G743" s="2" t="inlineStr">
        <is>
          <t>20260202001191</t>
        </is>
      </c>
      <c r="H743" s="8">
        <f>HYPERLINK("https://dart.fss.or.kr/dsaf001/main.do?rcpNo=20260202001191", "공시열람")</f>
        <v/>
      </c>
    </row>
    <row r="744">
      <c r="A744" s="2" t="inlineStr">
        <is>
          <t>2026-02-02</t>
        </is>
      </c>
      <c r="B744" s="3" t="inlineStr">
        <is>
          <t>삼성전자</t>
        </is>
      </c>
      <c r="C744" s="2" t="inlineStr">
        <is>
          <t>코스피</t>
        </is>
      </c>
      <c r="D744" s="2" t="inlineStr">
        <is>
          <t>005930</t>
        </is>
      </c>
      <c r="E744" s="3" t="inlineStr">
        <is>
          <t>임원ㆍ주요주주특정증권등소유상황보고서</t>
        </is>
      </c>
      <c r="F744" s="3" t="inlineStr">
        <is>
          <t>김상현</t>
        </is>
      </c>
      <c r="G744" s="2" t="inlineStr">
        <is>
          <t>20260202001190</t>
        </is>
      </c>
      <c r="H744" s="8">
        <f>HYPERLINK("https://dart.fss.or.kr/dsaf001/main.do?rcpNo=20260202001190", "공시열람")</f>
        <v/>
      </c>
    </row>
    <row r="745">
      <c r="A745" s="2" t="inlineStr">
        <is>
          <t>2026-02-02</t>
        </is>
      </c>
      <c r="B745" s="3" t="inlineStr">
        <is>
          <t>삼성전자</t>
        </is>
      </c>
      <c r="C745" s="2" t="inlineStr">
        <is>
          <t>코스피</t>
        </is>
      </c>
      <c r="D745" s="2" t="inlineStr">
        <is>
          <t>005930</t>
        </is>
      </c>
      <c r="E745" s="3" t="inlineStr">
        <is>
          <t>임원ㆍ주요주주특정증권등소유상황보고서</t>
        </is>
      </c>
      <c r="F745" s="3" t="inlineStr">
        <is>
          <t>다니엘아라우조</t>
        </is>
      </c>
      <c r="G745" s="2" t="inlineStr">
        <is>
          <t>20260202001189</t>
        </is>
      </c>
      <c r="H745" s="8">
        <f>HYPERLINK("https://dart.fss.or.kr/dsaf001/main.do?rcpNo=20260202001189", "공시열람")</f>
        <v/>
      </c>
    </row>
    <row r="746">
      <c r="A746" s="2" t="inlineStr">
        <is>
          <t>2026-02-02</t>
        </is>
      </c>
      <c r="B746" s="3" t="inlineStr">
        <is>
          <t>키움증권</t>
        </is>
      </c>
      <c r="C746" s="2" t="inlineStr">
        <is>
          <t>코스피</t>
        </is>
      </c>
      <c r="D746" s="2" t="inlineStr">
        <is>
          <t>039490</t>
        </is>
      </c>
      <c r="E746" s="3" t="inlineStr">
        <is>
          <t>증권발행실적보고서</t>
        </is>
      </c>
      <c r="F746" s="3" t="inlineStr">
        <is>
          <t>키움증권</t>
        </is>
      </c>
      <c r="G746" s="2" t="inlineStr">
        <is>
          <t>20260202001188</t>
        </is>
      </c>
      <c r="H746" s="8">
        <f>HYPERLINK("https://dart.fss.or.kr/dsaf001/main.do?rcpNo=20260202001188", "공시열람")</f>
        <v/>
      </c>
    </row>
    <row r="747">
      <c r="A747" s="2" t="inlineStr">
        <is>
          <t>2026-02-02</t>
        </is>
      </c>
      <c r="B747" s="3" t="inlineStr">
        <is>
          <t>한화투자증권</t>
        </is>
      </c>
      <c r="C747" s="2" t="inlineStr">
        <is>
          <t>코스피</t>
        </is>
      </c>
      <c r="D747" s="2" t="inlineStr">
        <is>
          <t>003530</t>
        </is>
      </c>
      <c r="E747" s="3" t="inlineStr">
        <is>
          <t>일괄신고추가서류(파생결합사채-주가연계파생결합사채)</t>
        </is>
      </c>
      <c r="F747" s="3" t="inlineStr">
        <is>
          <t>한화투자증권</t>
        </is>
      </c>
      <c r="G747" s="2" t="inlineStr">
        <is>
          <t>20260202001187</t>
        </is>
      </c>
      <c r="H747" s="8">
        <f>HYPERLINK("https://dart.fss.or.kr/dsaf001/main.do?rcpNo=20260202001187", "공시열람")</f>
        <v/>
      </c>
    </row>
    <row r="748">
      <c r="A748" s="2" t="inlineStr">
        <is>
          <t>2026-02-02</t>
        </is>
      </c>
      <c r="B748" s="3" t="inlineStr">
        <is>
          <t>삼성전자</t>
        </is>
      </c>
      <c r="C748" s="2" t="inlineStr">
        <is>
          <t>코스피</t>
        </is>
      </c>
      <c r="D748" s="2" t="inlineStr">
        <is>
          <t>005930</t>
        </is>
      </c>
      <c r="E748" s="3" t="inlineStr">
        <is>
          <t>임원ㆍ주요주주특정증권등소유상황보고서</t>
        </is>
      </c>
      <c r="F748" s="3" t="inlineStr">
        <is>
          <t>김상윤</t>
        </is>
      </c>
      <c r="G748" s="2" t="inlineStr">
        <is>
          <t>20260202001186</t>
        </is>
      </c>
      <c r="H748" s="8">
        <f>HYPERLINK("https://dart.fss.or.kr/dsaf001/main.do?rcpNo=20260202001186", "공시열람")</f>
        <v/>
      </c>
    </row>
    <row r="749">
      <c r="A749" s="2" t="inlineStr">
        <is>
          <t>2026-02-02</t>
        </is>
      </c>
      <c r="B749" s="3" t="inlineStr">
        <is>
          <t>스튜디오미르</t>
        </is>
      </c>
      <c r="C749" s="2" t="inlineStr">
        <is>
          <t>코스닥</t>
        </is>
      </c>
      <c r="D749" s="2" t="inlineStr">
        <is>
          <t>408900</t>
        </is>
      </c>
      <c r="E749" s="3" t="inlineStr">
        <is>
          <t>임원ㆍ주요주주특정증권등소유상황보고서</t>
        </is>
      </c>
      <c r="F749" s="3" t="inlineStr">
        <is>
          <t>한광일</t>
        </is>
      </c>
      <c r="G749" s="2" t="inlineStr">
        <is>
          <t>20260202001185</t>
        </is>
      </c>
      <c r="H749" s="8">
        <f>HYPERLINK("https://dart.fss.or.kr/dsaf001/main.do?rcpNo=20260202001185", "공시열람")</f>
        <v/>
      </c>
    </row>
    <row r="750">
      <c r="A750" s="2" t="inlineStr">
        <is>
          <t>2026-02-02</t>
        </is>
      </c>
      <c r="B750" s="3" t="inlineStr">
        <is>
          <t>삼성전자</t>
        </is>
      </c>
      <c r="C750" s="2" t="inlineStr">
        <is>
          <t>코스피</t>
        </is>
      </c>
      <c r="D750" s="2" t="inlineStr">
        <is>
          <t>005930</t>
        </is>
      </c>
      <c r="E750" s="3" t="inlineStr">
        <is>
          <t>임원ㆍ주요주주특정증권등소유상황보고서</t>
        </is>
      </c>
      <c r="F750" s="3" t="inlineStr">
        <is>
          <t>홍창표</t>
        </is>
      </c>
      <c r="G750" s="2" t="inlineStr">
        <is>
          <t>20260202001184</t>
        </is>
      </c>
      <c r="H750" s="8">
        <f>HYPERLINK("https://dart.fss.or.kr/dsaf001/main.do?rcpNo=20260202001184", "공시열람")</f>
        <v/>
      </c>
    </row>
    <row r="751">
      <c r="A751" s="2" t="inlineStr">
        <is>
          <t>2026-02-02</t>
        </is>
      </c>
      <c r="B751" s="3" t="inlineStr">
        <is>
          <t>NH투자증권</t>
        </is>
      </c>
      <c r="C751" s="2" t="inlineStr">
        <is>
          <t>코스피</t>
        </is>
      </c>
      <c r="D751" s="2" t="inlineStr">
        <is>
          <t>005940</t>
        </is>
      </c>
      <c r="E751" s="3" t="inlineStr">
        <is>
          <t>일괄신고추가서류(파생결합증권-주가연계증권)</t>
        </is>
      </c>
      <c r="F751" s="3" t="inlineStr">
        <is>
          <t>NH투자증권</t>
        </is>
      </c>
      <c r="G751" s="2" t="inlineStr">
        <is>
          <t>20260202001183</t>
        </is>
      </c>
      <c r="H751" s="8">
        <f>HYPERLINK("https://dart.fss.or.kr/dsaf001/main.do?rcpNo=20260202001183", "공시열람")</f>
        <v/>
      </c>
    </row>
    <row r="752">
      <c r="A752" s="2" t="inlineStr">
        <is>
          <t>2026-02-02</t>
        </is>
      </c>
      <c r="B752" s="3" t="inlineStr">
        <is>
          <t>키움증권</t>
        </is>
      </c>
      <c r="C752" s="2" t="inlineStr">
        <is>
          <t>코스피</t>
        </is>
      </c>
      <c r="D752" s="2" t="inlineStr">
        <is>
          <t>039490</t>
        </is>
      </c>
      <c r="E752" s="3" t="inlineStr">
        <is>
          <t>증권발행실적보고서</t>
        </is>
      </c>
      <c r="F752" s="3" t="inlineStr">
        <is>
          <t>키움증권</t>
        </is>
      </c>
      <c r="G752" s="2" t="inlineStr">
        <is>
          <t>20260202001182</t>
        </is>
      </c>
      <c r="H752" s="8">
        <f>HYPERLINK("https://dart.fss.or.kr/dsaf001/main.do?rcpNo=20260202001182", "공시열람")</f>
        <v/>
      </c>
    </row>
    <row r="753">
      <c r="A753" s="2" t="inlineStr">
        <is>
          <t>2026-02-02</t>
        </is>
      </c>
      <c r="B753" s="3" t="inlineStr">
        <is>
          <t>삼성전자</t>
        </is>
      </c>
      <c r="C753" s="2" t="inlineStr">
        <is>
          <t>코스피</t>
        </is>
      </c>
      <c r="D753" s="2" t="inlineStr">
        <is>
          <t>005930</t>
        </is>
      </c>
      <c r="E753" s="3" t="inlineStr">
        <is>
          <t>임원ㆍ주요주주특정증권등소유상황보고서</t>
        </is>
      </c>
      <c r="F753" s="3" t="inlineStr">
        <is>
          <t>손왕익</t>
        </is>
      </c>
      <c r="G753" s="2" t="inlineStr">
        <is>
          <t>20260202001181</t>
        </is>
      </c>
      <c r="H753" s="8">
        <f>HYPERLINK("https://dart.fss.or.kr/dsaf001/main.do?rcpNo=20260202001181", "공시열람")</f>
        <v/>
      </c>
    </row>
    <row r="754">
      <c r="A754" s="2" t="inlineStr">
        <is>
          <t>2026-02-02</t>
        </is>
      </c>
      <c r="B754" s="3" t="inlineStr">
        <is>
          <t>삼성전자</t>
        </is>
      </c>
      <c r="C754" s="2" t="inlineStr">
        <is>
          <t>코스피</t>
        </is>
      </c>
      <c r="D754" s="2" t="inlineStr">
        <is>
          <t>005930</t>
        </is>
      </c>
      <c r="E754" s="3" t="inlineStr">
        <is>
          <t>임원ㆍ주요주주특정증권등소유상황보고서</t>
        </is>
      </c>
      <c r="F754" s="3" t="inlineStr">
        <is>
          <t>이재영</t>
        </is>
      </c>
      <c r="G754" s="2" t="inlineStr">
        <is>
          <t>20260202001180</t>
        </is>
      </c>
      <c r="H754" s="8">
        <f>HYPERLINK("https://dart.fss.or.kr/dsaf001/main.do?rcpNo=20260202001180", "공시열람")</f>
        <v/>
      </c>
    </row>
    <row r="755">
      <c r="A755" s="2" t="inlineStr">
        <is>
          <t>2026-02-02</t>
        </is>
      </c>
      <c r="B755" s="3" t="inlineStr">
        <is>
          <t>우리금융지주</t>
        </is>
      </c>
      <c r="C755" s="2" t="inlineStr">
        <is>
          <t>코스피</t>
        </is>
      </c>
      <c r="D755" s="2" t="inlineStr">
        <is>
          <t>316140</t>
        </is>
      </c>
      <c r="E755" s="3" t="inlineStr">
        <is>
          <t>기타경영사항(자율공시)              (2026년 연간 경영실적 발표 일정)</t>
        </is>
      </c>
      <c r="F755" s="3" t="inlineStr">
        <is>
          <t>우리금융지주</t>
        </is>
      </c>
      <c r="G755" s="2" t="inlineStr">
        <is>
          <t>20260202801794</t>
        </is>
      </c>
      <c r="H755" s="8">
        <f>HYPERLINK("https://dart.fss.or.kr/dsaf001/main.do?rcpNo=20260202801794", "공시열람")</f>
        <v/>
      </c>
    </row>
    <row r="756">
      <c r="A756" s="2" t="inlineStr">
        <is>
          <t>2026-02-02</t>
        </is>
      </c>
      <c r="B756" s="3" t="inlineStr">
        <is>
          <t>삼성전자</t>
        </is>
      </c>
      <c r="C756" s="2" t="inlineStr">
        <is>
          <t>코스피</t>
        </is>
      </c>
      <c r="D756" s="2" t="inlineStr">
        <is>
          <t>005930</t>
        </is>
      </c>
      <c r="E756" s="3" t="inlineStr">
        <is>
          <t>임원ㆍ주요주주특정증권등소유상황보고서</t>
        </is>
      </c>
      <c r="F756" s="3" t="inlineStr">
        <is>
          <t>최청호</t>
        </is>
      </c>
      <c r="G756" s="2" t="inlineStr">
        <is>
          <t>20260202001178</t>
        </is>
      </c>
      <c r="H756" s="8">
        <f>HYPERLINK("https://dart.fss.or.kr/dsaf001/main.do?rcpNo=20260202001178", "공시열람")</f>
        <v/>
      </c>
    </row>
    <row r="757">
      <c r="A757" s="2" t="inlineStr">
        <is>
          <t>2026-02-02</t>
        </is>
      </c>
      <c r="B757" s="3" t="inlineStr">
        <is>
          <t>삼성전자</t>
        </is>
      </c>
      <c r="C757" s="2" t="inlineStr">
        <is>
          <t>코스피</t>
        </is>
      </c>
      <c r="D757" s="2" t="inlineStr">
        <is>
          <t>005930</t>
        </is>
      </c>
      <c r="E757" s="3" t="inlineStr">
        <is>
          <t>임원ㆍ주요주주특정증권등소유상황보고서</t>
        </is>
      </c>
      <c r="F757" s="3" t="inlineStr">
        <is>
          <t>배범희</t>
        </is>
      </c>
      <c r="G757" s="2" t="inlineStr">
        <is>
          <t>20260202001177</t>
        </is>
      </c>
      <c r="H757" s="8">
        <f>HYPERLINK("https://dart.fss.or.kr/dsaf001/main.do?rcpNo=20260202001177", "공시열람")</f>
        <v/>
      </c>
    </row>
    <row r="758">
      <c r="A758" s="2" t="inlineStr">
        <is>
          <t>2026-02-02</t>
        </is>
      </c>
      <c r="B758" s="3" t="inlineStr">
        <is>
          <t>삼성전자</t>
        </is>
      </c>
      <c r="C758" s="2" t="inlineStr">
        <is>
          <t>코스피</t>
        </is>
      </c>
      <c r="D758" s="2" t="inlineStr">
        <is>
          <t>005930</t>
        </is>
      </c>
      <c r="E758" s="3" t="inlineStr">
        <is>
          <t>임원ㆍ주요주주특정증권등소유상황보고서</t>
        </is>
      </c>
      <c r="F758" s="3" t="inlineStr">
        <is>
          <t>장윤형</t>
        </is>
      </c>
      <c r="G758" s="2" t="inlineStr">
        <is>
          <t>20260202001176</t>
        </is>
      </c>
      <c r="H758" s="8">
        <f>HYPERLINK("https://dart.fss.or.kr/dsaf001/main.do?rcpNo=20260202001176", "공시열람")</f>
        <v/>
      </c>
    </row>
    <row r="759">
      <c r="A759" s="2" t="inlineStr">
        <is>
          <t>2026-02-02</t>
        </is>
      </c>
      <c r="B759" s="3" t="inlineStr">
        <is>
          <t>삼성전자</t>
        </is>
      </c>
      <c r="C759" s="2" t="inlineStr">
        <is>
          <t>코스피</t>
        </is>
      </c>
      <c r="D759" s="2" t="inlineStr">
        <is>
          <t>005930</t>
        </is>
      </c>
      <c r="E759" s="3" t="inlineStr">
        <is>
          <t>임원ㆍ주요주주특정증권등소유상황보고서</t>
        </is>
      </c>
      <c r="F759" s="3" t="inlineStr">
        <is>
          <t>정윤찬</t>
        </is>
      </c>
      <c r="G759" s="2" t="inlineStr">
        <is>
          <t>20260202001175</t>
        </is>
      </c>
      <c r="H759" s="8">
        <f>HYPERLINK("https://dart.fss.or.kr/dsaf001/main.do?rcpNo=20260202001175", "공시열람")</f>
        <v/>
      </c>
    </row>
    <row r="760">
      <c r="A760" s="2" t="inlineStr">
        <is>
          <t>2026-02-02</t>
        </is>
      </c>
      <c r="B760" s="3" t="inlineStr">
        <is>
          <t>삼성전자</t>
        </is>
      </c>
      <c r="C760" s="2" t="inlineStr">
        <is>
          <t>코스피</t>
        </is>
      </c>
      <c r="D760" s="2" t="inlineStr">
        <is>
          <t>005930</t>
        </is>
      </c>
      <c r="E760" s="3" t="inlineStr">
        <is>
          <t>임원ㆍ주요주주특정증권등소유상황보고서</t>
        </is>
      </c>
      <c r="F760" s="3" t="inlineStr">
        <is>
          <t>원찬식</t>
        </is>
      </c>
      <c r="G760" s="2" t="inlineStr">
        <is>
          <t>20260202001174</t>
        </is>
      </c>
      <c r="H760" s="8">
        <f>HYPERLINK("https://dart.fss.or.kr/dsaf001/main.do?rcpNo=20260202001174", "공시열람")</f>
        <v/>
      </c>
    </row>
    <row r="761">
      <c r="A761" s="2" t="inlineStr">
        <is>
          <t>2026-02-02</t>
        </is>
      </c>
      <c r="B761" s="3" t="inlineStr">
        <is>
          <t>주성엔지니어링</t>
        </is>
      </c>
      <c r="C761" s="2" t="inlineStr">
        <is>
          <t>코스닥</t>
        </is>
      </c>
      <c r="D761" s="2" t="inlineStr">
        <is>
          <t>036930</t>
        </is>
      </c>
      <c r="E761" s="3" t="inlineStr">
        <is>
          <t>임원ㆍ주요주주특정증권등거래계획보고서</t>
        </is>
      </c>
      <c r="F761" s="3" t="inlineStr">
        <is>
          <t>루미에스트라</t>
        </is>
      </c>
      <c r="G761" s="2" t="inlineStr">
        <is>
          <t>20260202001172</t>
        </is>
      </c>
      <c r="H761" s="8">
        <f>HYPERLINK("https://dart.fss.or.kr/dsaf001/main.do?rcpNo=20260202001172", "공시열람")</f>
        <v/>
      </c>
    </row>
    <row r="762">
      <c r="A762" s="2" t="inlineStr">
        <is>
          <t>2026-02-02</t>
        </is>
      </c>
      <c r="B762" s="3" t="inlineStr">
        <is>
          <t>우리금융지주</t>
        </is>
      </c>
      <c r="C762" s="2" t="inlineStr">
        <is>
          <t>코스피</t>
        </is>
      </c>
      <c r="D762" s="2" t="inlineStr">
        <is>
          <t>316140</t>
        </is>
      </c>
      <c r="E762" s="3" t="inlineStr">
        <is>
          <t xml:space="preserve">기업설명회(IR)개최(안내공시)              </t>
        </is>
      </c>
      <c r="F762" s="3" t="inlineStr">
        <is>
          <t>우리금융지주</t>
        </is>
      </c>
      <c r="G762" s="2" t="inlineStr">
        <is>
          <t>20260202801813</t>
        </is>
      </c>
      <c r="H762" s="8">
        <f>HYPERLINK("https://dart.fss.or.kr/dsaf001/main.do?rcpNo=20260202801813", "공시열람")</f>
        <v/>
      </c>
    </row>
    <row r="763">
      <c r="A763" s="2" t="inlineStr">
        <is>
          <t>2026-02-02</t>
        </is>
      </c>
      <c r="B763" s="3" t="inlineStr">
        <is>
          <t>삼성전자</t>
        </is>
      </c>
      <c r="C763" s="2" t="inlineStr">
        <is>
          <t>코스피</t>
        </is>
      </c>
      <c r="D763" s="2" t="inlineStr">
        <is>
          <t>005930</t>
        </is>
      </c>
      <c r="E763" s="3" t="inlineStr">
        <is>
          <t>임원ㆍ주요주주특정증권등소유상황보고서</t>
        </is>
      </c>
      <c r="F763" s="3" t="inlineStr">
        <is>
          <t>박승희</t>
        </is>
      </c>
      <c r="G763" s="2" t="inlineStr">
        <is>
          <t>20260202001171</t>
        </is>
      </c>
      <c r="H763" s="8">
        <f>HYPERLINK("https://dart.fss.or.kr/dsaf001/main.do?rcpNo=20260202001171", "공시열람")</f>
        <v/>
      </c>
    </row>
    <row r="764">
      <c r="A764" s="2" t="inlineStr">
        <is>
          <t>2026-02-02</t>
        </is>
      </c>
      <c r="B764" s="3" t="inlineStr">
        <is>
          <t>삼성전자</t>
        </is>
      </c>
      <c r="C764" s="2" t="inlineStr">
        <is>
          <t>코스피</t>
        </is>
      </c>
      <c r="D764" s="2" t="inlineStr">
        <is>
          <t>005930</t>
        </is>
      </c>
      <c r="E764" s="3" t="inlineStr">
        <is>
          <t>임원ㆍ주요주주특정증권등소유상황보고서</t>
        </is>
      </c>
      <c r="F764" s="3" t="inlineStr">
        <is>
          <t>박형신</t>
        </is>
      </c>
      <c r="G764" s="2" t="inlineStr">
        <is>
          <t>20260202001170</t>
        </is>
      </c>
      <c r="H764" s="8">
        <f>HYPERLINK("https://dart.fss.or.kr/dsaf001/main.do?rcpNo=20260202001170", "공시열람")</f>
        <v/>
      </c>
    </row>
    <row r="765">
      <c r="A765" s="2" t="inlineStr">
        <is>
          <t>2026-02-02</t>
        </is>
      </c>
      <c r="B765" s="3" t="inlineStr">
        <is>
          <t>이노에이엑스</t>
        </is>
      </c>
      <c r="C765" s="2" t="inlineStr">
        <is>
          <t>코스닥</t>
        </is>
      </c>
      <c r="D765" s="2" t="inlineStr">
        <is>
          <t>296640</t>
        </is>
      </c>
      <c r="E765" s="3" t="inlineStr">
        <is>
          <t xml:space="preserve">현금ㆍ현물배당결정              </t>
        </is>
      </c>
      <c r="F765" s="3" t="inlineStr">
        <is>
          <t>이노에이엑스</t>
        </is>
      </c>
      <c r="G765" s="2" t="inlineStr">
        <is>
          <t>20260202901720</t>
        </is>
      </c>
      <c r="H765" s="8">
        <f>HYPERLINK("https://dart.fss.or.kr/dsaf001/main.do?rcpNo=20260202901720", "공시열람")</f>
        <v/>
      </c>
    </row>
    <row r="766">
      <c r="A766" s="2" t="inlineStr">
        <is>
          <t>2026-02-02</t>
        </is>
      </c>
      <c r="B766" s="3" t="inlineStr">
        <is>
          <t>우리금융지주</t>
        </is>
      </c>
      <c r="C766" s="2" t="inlineStr">
        <is>
          <t>코스피</t>
        </is>
      </c>
      <c r="D766" s="2" t="inlineStr">
        <is>
          <t>316140</t>
        </is>
      </c>
      <c r="E766" s="3" t="inlineStr">
        <is>
          <t xml:space="preserve">결산실적공시예고(안내공시)              </t>
        </is>
      </c>
      <c r="F766" s="3" t="inlineStr">
        <is>
          <t>우리금융지주</t>
        </is>
      </c>
      <c r="G766" s="2" t="inlineStr">
        <is>
          <t>20260202801800</t>
        </is>
      </c>
      <c r="H766" s="8">
        <f>HYPERLINK("https://dart.fss.or.kr/dsaf001/main.do?rcpNo=20260202801800", "공시열람")</f>
        <v/>
      </c>
    </row>
    <row r="767">
      <c r="A767" s="2" t="inlineStr">
        <is>
          <t>2026-02-02</t>
        </is>
      </c>
      <c r="B767" s="3" t="inlineStr">
        <is>
          <t>파두</t>
        </is>
      </c>
      <c r="C767" s="2" t="inlineStr">
        <is>
          <t>코스닥</t>
        </is>
      </c>
      <c r="D767" s="2" t="inlineStr">
        <is>
          <t>440110</t>
        </is>
      </c>
      <c r="E767" s="3" t="inlineStr">
        <is>
          <t xml:space="preserve">대표이사변경              </t>
        </is>
      </c>
      <c r="F767" s="3" t="inlineStr">
        <is>
          <t>파두</t>
        </is>
      </c>
      <c r="G767" s="2" t="inlineStr">
        <is>
          <t>20260202901784</t>
        </is>
      </c>
      <c r="H767" s="8">
        <f>HYPERLINK("https://dart.fss.or.kr/dsaf001/main.do?rcpNo=20260202901784", "공시열람")</f>
        <v/>
      </c>
    </row>
    <row r="768">
      <c r="A768" s="2" t="inlineStr">
        <is>
          <t>2026-02-02</t>
        </is>
      </c>
      <c r="B768" s="3" t="inlineStr">
        <is>
          <t>삼성전자</t>
        </is>
      </c>
      <c r="C768" s="2" t="inlineStr">
        <is>
          <t>코스피</t>
        </is>
      </c>
      <c r="D768" s="2" t="inlineStr">
        <is>
          <t>005930</t>
        </is>
      </c>
      <c r="E768" s="3" t="inlineStr">
        <is>
          <t>임원ㆍ주요주주특정증권등소유상황보고서</t>
        </is>
      </c>
      <c r="F768" s="3" t="inlineStr">
        <is>
          <t>염부호</t>
        </is>
      </c>
      <c r="G768" s="2" t="inlineStr">
        <is>
          <t>20260202001169</t>
        </is>
      </c>
      <c r="H768" s="8">
        <f>HYPERLINK("https://dart.fss.or.kr/dsaf001/main.do?rcpNo=20260202001169", "공시열람")</f>
        <v/>
      </c>
    </row>
    <row r="769">
      <c r="A769" s="2" t="inlineStr">
        <is>
          <t>2026-02-02</t>
        </is>
      </c>
      <c r="B769" s="3" t="inlineStr">
        <is>
          <t>삼성전자</t>
        </is>
      </c>
      <c r="C769" s="2" t="inlineStr">
        <is>
          <t>코스피</t>
        </is>
      </c>
      <c r="D769" s="2" t="inlineStr">
        <is>
          <t>005930</t>
        </is>
      </c>
      <c r="E769" s="3" t="inlineStr">
        <is>
          <t>임원ㆍ주요주주특정증권등소유상황보고서</t>
        </is>
      </c>
      <c r="F769" s="3" t="inlineStr">
        <is>
          <t>최경수</t>
        </is>
      </c>
      <c r="G769" s="2" t="inlineStr">
        <is>
          <t>20260202001168</t>
        </is>
      </c>
      <c r="H769" s="8">
        <f>HYPERLINK("https://dart.fss.or.kr/dsaf001/main.do?rcpNo=20260202001168", "공시열람")</f>
        <v/>
      </c>
    </row>
    <row r="770">
      <c r="A770" s="2" t="inlineStr">
        <is>
          <t>2026-02-02</t>
        </is>
      </c>
      <c r="B770" s="3" t="inlineStr">
        <is>
          <t>스튜디오미르</t>
        </is>
      </c>
      <c r="C770" s="2" t="inlineStr">
        <is>
          <t>코스닥</t>
        </is>
      </c>
      <c r="D770" s="2" t="inlineStr">
        <is>
          <t>408900</t>
        </is>
      </c>
      <c r="E770" s="3" t="inlineStr">
        <is>
          <t>임원ㆍ주요주주특정증권등소유상황보고서</t>
        </is>
      </c>
      <c r="F770" s="3" t="inlineStr">
        <is>
          <t>이환</t>
        </is>
      </c>
      <c r="G770" s="2" t="inlineStr">
        <is>
          <t>20260202001167</t>
        </is>
      </c>
      <c r="H770" s="8">
        <f>HYPERLINK("https://dart.fss.or.kr/dsaf001/main.do?rcpNo=20260202001167", "공시열람")</f>
        <v/>
      </c>
    </row>
    <row r="771">
      <c r="A771" s="2" t="inlineStr">
        <is>
          <t>2026-02-02</t>
        </is>
      </c>
      <c r="B771" s="3" t="inlineStr">
        <is>
          <t>삼성전자</t>
        </is>
      </c>
      <c r="C771" s="2" t="inlineStr">
        <is>
          <t>코스피</t>
        </is>
      </c>
      <c r="D771" s="2" t="inlineStr">
        <is>
          <t>005930</t>
        </is>
      </c>
      <c r="E771" s="3" t="inlineStr">
        <is>
          <t>임원ㆍ주요주주특정증권등소유상황보고서</t>
        </is>
      </c>
      <c r="F771" s="3" t="inlineStr">
        <is>
          <t>오정석</t>
        </is>
      </c>
      <c r="G771" s="2" t="inlineStr">
        <is>
          <t>20260202001166</t>
        </is>
      </c>
      <c r="H771" s="8">
        <f>HYPERLINK("https://dart.fss.or.kr/dsaf001/main.do?rcpNo=20260202001166", "공시열람")</f>
        <v/>
      </c>
    </row>
    <row r="772">
      <c r="A772" s="2" t="inlineStr">
        <is>
          <t>2026-02-02</t>
        </is>
      </c>
      <c r="B772" s="3" t="inlineStr">
        <is>
          <t>삼성전자</t>
        </is>
      </c>
      <c r="C772" s="2" t="inlineStr">
        <is>
          <t>코스피</t>
        </is>
      </c>
      <c r="D772" s="2" t="inlineStr">
        <is>
          <t>005930</t>
        </is>
      </c>
      <c r="E772" s="3" t="inlineStr">
        <is>
          <t>임원ㆍ주요주주특정증권등소유상황보고서</t>
        </is>
      </c>
      <c r="F772" s="3" t="inlineStr">
        <is>
          <t>김수연</t>
        </is>
      </c>
      <c r="G772" s="2" t="inlineStr">
        <is>
          <t>20260202001164</t>
        </is>
      </c>
      <c r="H772" s="8">
        <f>HYPERLINK("https://dart.fss.or.kr/dsaf001/main.do?rcpNo=20260202001164", "공시열람")</f>
        <v/>
      </c>
    </row>
    <row r="773">
      <c r="A773" s="2" t="inlineStr">
        <is>
          <t>2026-02-02</t>
        </is>
      </c>
      <c r="B773" s="3" t="inlineStr">
        <is>
          <t>삼성전자</t>
        </is>
      </c>
      <c r="C773" s="2" t="inlineStr">
        <is>
          <t>코스피</t>
        </is>
      </c>
      <c r="D773" s="2" t="inlineStr">
        <is>
          <t>005930</t>
        </is>
      </c>
      <c r="E773" s="3" t="inlineStr">
        <is>
          <t>임원ㆍ주요주주특정증권등소유상황보고서</t>
        </is>
      </c>
      <c r="F773" s="3" t="inlineStr">
        <is>
          <t>김윤호</t>
        </is>
      </c>
      <c r="G773" s="2" t="inlineStr">
        <is>
          <t>20260202001162</t>
        </is>
      </c>
      <c r="H773" s="8">
        <f>HYPERLINK("https://dart.fss.or.kr/dsaf001/main.do?rcpNo=20260202001162", "공시열람")</f>
        <v/>
      </c>
    </row>
    <row r="774">
      <c r="A774" s="2" t="inlineStr">
        <is>
          <t>2026-02-02</t>
        </is>
      </c>
      <c r="B774" s="3" t="inlineStr">
        <is>
          <t>삼양바이오팜</t>
        </is>
      </c>
      <c r="C774" s="2" t="inlineStr">
        <is>
          <t>코스피</t>
        </is>
      </c>
      <c r="D774" s="2" t="inlineStr">
        <is>
          <t>0120G0</t>
        </is>
      </c>
      <c r="E774" s="3" t="inlineStr">
        <is>
          <t xml:space="preserve">기타경영사항(자율공시)              </t>
        </is>
      </c>
      <c r="F774" s="3" t="inlineStr">
        <is>
          <t>삼양바이오팜</t>
        </is>
      </c>
      <c r="G774" s="2" t="inlineStr">
        <is>
          <t>20260202801791</t>
        </is>
      </c>
      <c r="H774" s="8">
        <f>HYPERLINK("https://dart.fss.or.kr/dsaf001/main.do?rcpNo=20260202801791", "공시열람")</f>
        <v/>
      </c>
    </row>
    <row r="775">
      <c r="A775" s="2" t="inlineStr">
        <is>
          <t>2026-02-02</t>
        </is>
      </c>
      <c r="B775" s="3" t="inlineStr">
        <is>
          <t>보령</t>
        </is>
      </c>
      <c r="C775" s="2" t="inlineStr">
        <is>
          <t>코스피</t>
        </is>
      </c>
      <c r="D775" s="2" t="inlineStr">
        <is>
          <t>003850</t>
        </is>
      </c>
      <c r="E775" s="3" t="inlineStr">
        <is>
          <t xml:space="preserve">연결재무제표기준영업(잠정)실적(공정공시)              </t>
        </is>
      </c>
      <c r="F775" s="3" t="inlineStr">
        <is>
          <t>보령</t>
        </is>
      </c>
      <c r="G775" s="2" t="inlineStr">
        <is>
          <t>20260202801775</t>
        </is>
      </c>
      <c r="H775" s="8">
        <f>HYPERLINK("https://dart.fss.or.kr/dsaf001/main.do?rcpNo=20260202801775", "공시열람")</f>
        <v/>
      </c>
    </row>
    <row r="776">
      <c r="A776" s="2" t="inlineStr">
        <is>
          <t>2026-02-02</t>
        </is>
      </c>
      <c r="B776" s="3" t="inlineStr">
        <is>
          <t>삼성전자</t>
        </is>
      </c>
      <c r="C776" s="2" t="inlineStr">
        <is>
          <t>코스피</t>
        </is>
      </c>
      <c r="D776" s="2" t="inlineStr">
        <is>
          <t>005930</t>
        </is>
      </c>
      <c r="E776" s="3" t="inlineStr">
        <is>
          <t>임원ㆍ주요주주특정증권등소유상황보고서</t>
        </is>
      </c>
      <c r="F776" s="3" t="inlineStr">
        <is>
          <t>김형섭</t>
        </is>
      </c>
      <c r="G776" s="2" t="inlineStr">
        <is>
          <t>20260202001161</t>
        </is>
      </c>
      <c r="H776" s="8">
        <f>HYPERLINK("https://dart.fss.or.kr/dsaf001/main.do?rcpNo=20260202001161", "공시열람")</f>
        <v/>
      </c>
    </row>
    <row r="777">
      <c r="A777" s="2" t="inlineStr">
        <is>
          <t>2026-02-02</t>
        </is>
      </c>
      <c r="B777" s="3" t="inlineStr">
        <is>
          <t>삼성전자</t>
        </is>
      </c>
      <c r="C777" s="2" t="inlineStr">
        <is>
          <t>코스피</t>
        </is>
      </c>
      <c r="D777" s="2" t="inlineStr">
        <is>
          <t>005930</t>
        </is>
      </c>
      <c r="E777" s="3" t="inlineStr">
        <is>
          <t>임원ㆍ주요주주특정증권등소유상황보고서</t>
        </is>
      </c>
      <c r="F777" s="3" t="inlineStr">
        <is>
          <t>설훈</t>
        </is>
      </c>
      <c r="G777" s="2" t="inlineStr">
        <is>
          <t>20260202001160</t>
        </is>
      </c>
      <c r="H777" s="8">
        <f>HYPERLINK("https://dart.fss.or.kr/dsaf001/main.do?rcpNo=20260202001160", "공시열람")</f>
        <v/>
      </c>
    </row>
    <row r="778">
      <c r="A778" s="2" t="inlineStr">
        <is>
          <t>2026-02-02</t>
        </is>
      </c>
      <c r="B778" s="3" t="inlineStr">
        <is>
          <t>세종메디칼</t>
        </is>
      </c>
      <c r="C778" s="2" t="inlineStr">
        <is>
          <t>코스닥</t>
        </is>
      </c>
      <c r="D778" s="2" t="inlineStr">
        <is>
          <t>258830</t>
        </is>
      </c>
      <c r="E778" s="3" t="inlineStr">
        <is>
          <t>임원ㆍ주요주주특정증권등소유상황보고서</t>
        </is>
      </c>
      <c r="F778" s="3" t="inlineStr">
        <is>
          <t>비에스제이홀딩스</t>
        </is>
      </c>
      <c r="G778" s="2" t="inlineStr">
        <is>
          <t>20260202001159</t>
        </is>
      </c>
      <c r="H778" s="8">
        <f>HYPERLINK("https://dart.fss.or.kr/dsaf001/main.do?rcpNo=20260202001159", "공시열람")</f>
        <v/>
      </c>
    </row>
    <row r="779">
      <c r="A779" s="2" t="inlineStr">
        <is>
          <t>2026-02-02</t>
        </is>
      </c>
      <c r="B779" s="3" t="inlineStr">
        <is>
          <t>삼성전자</t>
        </is>
      </c>
      <c r="C779" s="2" t="inlineStr">
        <is>
          <t>코스피</t>
        </is>
      </c>
      <c r="D779" s="2" t="inlineStr">
        <is>
          <t>005930</t>
        </is>
      </c>
      <c r="E779" s="3" t="inlineStr">
        <is>
          <t>임원ㆍ주요주주특정증권등소유상황보고서</t>
        </is>
      </c>
      <c r="F779" s="3" t="inlineStr">
        <is>
          <t>김세진</t>
        </is>
      </c>
      <c r="G779" s="2" t="inlineStr">
        <is>
          <t>20260202001157</t>
        </is>
      </c>
      <c r="H779" s="8">
        <f>HYPERLINK("https://dart.fss.or.kr/dsaf001/main.do?rcpNo=20260202001157", "공시열람")</f>
        <v/>
      </c>
    </row>
    <row r="780">
      <c r="A780" s="2" t="inlineStr">
        <is>
          <t>2026-02-02</t>
        </is>
      </c>
      <c r="B780" s="3" t="inlineStr">
        <is>
          <t>SK디스커버리</t>
        </is>
      </c>
      <c r="C780" s="2" t="inlineStr">
        <is>
          <t>코스피</t>
        </is>
      </c>
      <c r="D780" s="2" t="inlineStr">
        <is>
          <t>006120</t>
        </is>
      </c>
      <c r="E780" s="3" t="inlineStr">
        <is>
          <t xml:space="preserve">단기차입금증가결정(자회사의 주요경영사항)              </t>
        </is>
      </c>
      <c r="F780" s="3" t="inlineStr">
        <is>
          <t>SK디스커버리</t>
        </is>
      </c>
      <c r="G780" s="2" t="inlineStr">
        <is>
          <t>20260202801732</t>
        </is>
      </c>
      <c r="H780" s="8">
        <f>HYPERLINK("https://dart.fss.or.kr/dsaf001/main.do?rcpNo=20260202801732", "공시열람")</f>
        <v/>
      </c>
    </row>
    <row r="781">
      <c r="A781" s="2" t="inlineStr">
        <is>
          <t>2026-02-02</t>
        </is>
      </c>
      <c r="B781" s="3" t="inlineStr">
        <is>
          <t>삼성전자</t>
        </is>
      </c>
      <c r="C781" s="2" t="inlineStr">
        <is>
          <t>코스피</t>
        </is>
      </c>
      <c r="D781" s="2" t="inlineStr">
        <is>
          <t>005930</t>
        </is>
      </c>
      <c r="E781" s="3" t="inlineStr">
        <is>
          <t>임원ㆍ주요주주특정증권등소유상황보고서</t>
        </is>
      </c>
      <c r="F781" s="3" t="inlineStr">
        <is>
          <t>양희철</t>
        </is>
      </c>
      <c r="G781" s="2" t="inlineStr">
        <is>
          <t>20260202001155</t>
        </is>
      </c>
      <c r="H781" s="8">
        <f>HYPERLINK("https://dart.fss.or.kr/dsaf001/main.do?rcpNo=20260202001155", "공시열람")</f>
        <v/>
      </c>
    </row>
    <row r="782">
      <c r="A782" s="2" t="inlineStr">
        <is>
          <t>2026-02-02</t>
        </is>
      </c>
      <c r="B782" s="3" t="inlineStr">
        <is>
          <t>삼성전자</t>
        </is>
      </c>
      <c r="C782" s="2" t="inlineStr">
        <is>
          <t>코스피</t>
        </is>
      </c>
      <c r="D782" s="2" t="inlineStr">
        <is>
          <t>005930</t>
        </is>
      </c>
      <c r="E782" s="3" t="inlineStr">
        <is>
          <t>임원ㆍ주요주주특정증권등소유상황보고서</t>
        </is>
      </c>
      <c r="F782" s="3" t="inlineStr">
        <is>
          <t>황용호</t>
        </is>
      </c>
      <c r="G782" s="2" t="inlineStr">
        <is>
          <t>20260202001154</t>
        </is>
      </c>
      <c r="H782" s="8">
        <f>HYPERLINK("https://dart.fss.or.kr/dsaf001/main.do?rcpNo=20260202001154", "공시열람")</f>
        <v/>
      </c>
    </row>
    <row r="783">
      <c r="A783" s="2" t="inlineStr">
        <is>
          <t>2026-02-02</t>
        </is>
      </c>
      <c r="B783" s="3" t="inlineStr">
        <is>
          <t>캐스텍코리아</t>
        </is>
      </c>
      <c r="C783" s="2" t="inlineStr">
        <is>
          <t>코스닥</t>
        </is>
      </c>
      <c r="D783" s="2" t="inlineStr">
        <is>
          <t>071850</t>
        </is>
      </c>
      <c r="E783" s="3" t="inlineStr">
        <is>
          <t>임원ㆍ주요주주특정증권등소유상황보고서</t>
        </is>
      </c>
      <c r="F783" s="3" t="inlineStr">
        <is>
          <t>윤호석</t>
        </is>
      </c>
      <c r="G783" s="2" t="inlineStr">
        <is>
          <t>20260202001153</t>
        </is>
      </c>
      <c r="H783" s="8">
        <f>HYPERLINK("https://dart.fss.or.kr/dsaf001/main.do?rcpNo=20260202001153", "공시열람")</f>
        <v/>
      </c>
    </row>
    <row r="784">
      <c r="A784" s="2" t="inlineStr">
        <is>
          <t>2026-02-02</t>
        </is>
      </c>
      <c r="B784" s="3" t="inlineStr">
        <is>
          <t>삼성전자</t>
        </is>
      </c>
      <c r="C784" s="2" t="inlineStr">
        <is>
          <t>코스피</t>
        </is>
      </c>
      <c r="D784" s="2" t="inlineStr">
        <is>
          <t>005930</t>
        </is>
      </c>
      <c r="E784" s="3" t="inlineStr">
        <is>
          <t>임원ㆍ주요주주특정증권등소유상황보고서</t>
        </is>
      </c>
      <c r="F784" s="3" t="inlineStr">
        <is>
          <t>최원준</t>
        </is>
      </c>
      <c r="G784" s="2" t="inlineStr">
        <is>
          <t>20260202001152</t>
        </is>
      </c>
      <c r="H784" s="8">
        <f>HYPERLINK("https://dart.fss.or.kr/dsaf001/main.do?rcpNo=20260202001152", "공시열람")</f>
        <v/>
      </c>
    </row>
    <row r="785">
      <c r="A785" s="2" t="inlineStr">
        <is>
          <t>2026-02-02</t>
        </is>
      </c>
      <c r="B785" s="3" t="inlineStr">
        <is>
          <t>삼성전자</t>
        </is>
      </c>
      <c r="C785" s="2" t="inlineStr">
        <is>
          <t>코스피</t>
        </is>
      </c>
      <c r="D785" s="2" t="inlineStr">
        <is>
          <t>005930</t>
        </is>
      </c>
      <c r="E785" s="3" t="inlineStr">
        <is>
          <t>임원ㆍ주요주주특정증권등소유상황보고서</t>
        </is>
      </c>
      <c r="F785" s="3" t="inlineStr">
        <is>
          <t>윤원재</t>
        </is>
      </c>
      <c r="G785" s="2" t="inlineStr">
        <is>
          <t>20260202001149</t>
        </is>
      </c>
      <c r="H785" s="8">
        <f>HYPERLINK("https://dart.fss.or.kr/dsaf001/main.do?rcpNo=20260202001149", "공시열람")</f>
        <v/>
      </c>
    </row>
    <row r="786">
      <c r="A786" s="2" t="inlineStr">
        <is>
          <t>2026-02-02</t>
        </is>
      </c>
      <c r="B786" s="3" t="inlineStr">
        <is>
          <t>삼성FN리츠</t>
        </is>
      </c>
      <c r="C786" s="2" t="inlineStr">
        <is>
          <t>코스피</t>
        </is>
      </c>
      <c r="D786" s="2" t="inlineStr">
        <is>
          <t>448730</t>
        </is>
      </c>
      <c r="E786" s="3" t="inlineStr">
        <is>
          <t>특수관계인에대한채권매도</t>
        </is>
      </c>
      <c r="F786" s="3" t="inlineStr">
        <is>
          <t>삼성FN리츠</t>
        </is>
      </c>
      <c r="G786" s="2" t="inlineStr">
        <is>
          <t>20260202001148</t>
        </is>
      </c>
      <c r="H786" s="8">
        <f>HYPERLINK("https://dart.fss.or.kr/dsaf001/main.do?rcpNo=20260202001148", "공시열람")</f>
        <v/>
      </c>
    </row>
    <row r="787">
      <c r="A787" s="2" t="inlineStr">
        <is>
          <t>2026-02-02</t>
        </is>
      </c>
      <c r="B787" s="3" t="inlineStr">
        <is>
          <t>삼성전자</t>
        </is>
      </c>
      <c r="C787" s="2" t="inlineStr">
        <is>
          <t>코스피</t>
        </is>
      </c>
      <c r="D787" s="2" t="inlineStr">
        <is>
          <t>005930</t>
        </is>
      </c>
      <c r="E787" s="3" t="inlineStr">
        <is>
          <t>임원ㆍ주요주주특정증권등소유상황보고서</t>
        </is>
      </c>
      <c r="F787" s="3" t="inlineStr">
        <is>
          <t>김경택</t>
        </is>
      </c>
      <c r="G787" s="2" t="inlineStr">
        <is>
          <t>20260202001147</t>
        </is>
      </c>
      <c r="H787" s="8">
        <f>HYPERLINK("https://dart.fss.or.kr/dsaf001/main.do?rcpNo=20260202001147", "공시열람")</f>
        <v/>
      </c>
    </row>
    <row r="788">
      <c r="A788" s="2" t="inlineStr">
        <is>
          <t>2026-02-02</t>
        </is>
      </c>
      <c r="B788" s="3" t="inlineStr">
        <is>
          <t>삼성전자</t>
        </is>
      </c>
      <c r="C788" s="2" t="inlineStr">
        <is>
          <t>코스피</t>
        </is>
      </c>
      <c r="D788" s="2" t="inlineStr">
        <is>
          <t>005930</t>
        </is>
      </c>
      <c r="E788" s="3" t="inlineStr">
        <is>
          <t>임원ㆍ주요주주특정증권등소유상황보고서</t>
        </is>
      </c>
      <c r="F788" s="3" t="inlineStr">
        <is>
          <t>이상우</t>
        </is>
      </c>
      <c r="G788" s="2" t="inlineStr">
        <is>
          <t>20260202001146</t>
        </is>
      </c>
      <c r="H788" s="8">
        <f>HYPERLINK("https://dart.fss.or.kr/dsaf001/main.do?rcpNo=20260202001146", "공시열람")</f>
        <v/>
      </c>
    </row>
    <row r="789">
      <c r="A789" s="2" t="inlineStr">
        <is>
          <t>2026-02-02</t>
        </is>
      </c>
      <c r="B789" s="3" t="inlineStr">
        <is>
          <t>스튜디오미르</t>
        </is>
      </c>
      <c r="C789" s="2" t="inlineStr">
        <is>
          <t>코스닥</t>
        </is>
      </c>
      <c r="D789" s="2" t="inlineStr">
        <is>
          <t>408900</t>
        </is>
      </c>
      <c r="E789" s="3" t="inlineStr">
        <is>
          <t>임원ㆍ주요주주특정증권등소유상황보고서</t>
        </is>
      </c>
      <c r="F789" s="3" t="inlineStr">
        <is>
          <t>한청일</t>
        </is>
      </c>
      <c r="G789" s="2" t="inlineStr">
        <is>
          <t>20260202001145</t>
        </is>
      </c>
      <c r="H789" s="8">
        <f>HYPERLINK("https://dart.fss.or.kr/dsaf001/main.do?rcpNo=20260202001145", "공시열람")</f>
        <v/>
      </c>
    </row>
    <row r="790">
      <c r="A790" s="2" t="inlineStr">
        <is>
          <t>2026-02-02</t>
        </is>
      </c>
      <c r="B790" s="3" t="inlineStr">
        <is>
          <t>삼성전자</t>
        </is>
      </c>
      <c r="C790" s="2" t="inlineStr">
        <is>
          <t>코스피</t>
        </is>
      </c>
      <c r="D790" s="2" t="inlineStr">
        <is>
          <t>005930</t>
        </is>
      </c>
      <c r="E790" s="3" t="inlineStr">
        <is>
          <t>임원ㆍ주요주주특정증권등소유상황보고서</t>
        </is>
      </c>
      <c r="F790" s="3" t="inlineStr">
        <is>
          <t>홍정우</t>
        </is>
      </c>
      <c r="G790" s="2" t="inlineStr">
        <is>
          <t>20260202001144</t>
        </is>
      </c>
      <c r="H790" s="8">
        <f>HYPERLINK("https://dart.fss.or.kr/dsaf001/main.do?rcpNo=20260202001144", "공시열람")</f>
        <v/>
      </c>
    </row>
    <row r="791">
      <c r="A791" s="2" t="inlineStr">
        <is>
          <t>2026-02-02 (정정: 2026-03-10)</t>
        </is>
      </c>
      <c r="B791" s="3" t="inlineStr">
        <is>
          <t>HLB제약</t>
        </is>
      </c>
      <c r="C791" s="2" t="inlineStr">
        <is>
          <t>코스닥</t>
        </is>
      </c>
      <c r="D791" s="2" t="inlineStr">
        <is>
          <t>047920</t>
        </is>
      </c>
      <c r="E791" s="3" t="inlineStr">
        <is>
          <t>주식매수선택권부여에관한신고 (정정: 20260310)</t>
        </is>
      </c>
      <c r="F791" s="3" t="inlineStr">
        <is>
          <t>HLB제약</t>
        </is>
      </c>
      <c r="G791" s="2" t="inlineStr">
        <is>
          <t>20260310901170</t>
        </is>
      </c>
      <c r="H791" s="8">
        <f>HYPERLINK("https://dart.fss.or.kr/dsaf001/main.do?rcpNo=20260310901170", "공시열람")</f>
        <v/>
      </c>
    </row>
    <row r="792">
      <c r="A792" s="2" t="inlineStr">
        <is>
          <t>2026-02-02</t>
        </is>
      </c>
      <c r="B792" s="3" t="inlineStr">
        <is>
          <t>삼성전자</t>
        </is>
      </c>
      <c r="C792" s="2" t="inlineStr">
        <is>
          <t>코스피</t>
        </is>
      </c>
      <c r="D792" s="2" t="inlineStr">
        <is>
          <t>005930</t>
        </is>
      </c>
      <c r="E792" s="3" t="inlineStr">
        <is>
          <t>임원ㆍ주요주주특정증권등소유상황보고서</t>
        </is>
      </c>
      <c r="F792" s="3" t="inlineStr">
        <is>
          <t>곽원근</t>
        </is>
      </c>
      <c r="G792" s="2" t="inlineStr">
        <is>
          <t>20260202001142</t>
        </is>
      </c>
      <c r="H792" s="8">
        <f>HYPERLINK("https://dart.fss.or.kr/dsaf001/main.do?rcpNo=20260202001142", "공시열람")</f>
        <v/>
      </c>
    </row>
    <row r="793">
      <c r="A793" s="2" t="inlineStr">
        <is>
          <t>2026-02-02</t>
        </is>
      </c>
      <c r="B793" s="3" t="inlineStr">
        <is>
          <t>삼성전자</t>
        </is>
      </c>
      <c r="C793" s="2" t="inlineStr">
        <is>
          <t>코스피</t>
        </is>
      </c>
      <c r="D793" s="2" t="inlineStr">
        <is>
          <t>005930</t>
        </is>
      </c>
      <c r="E793" s="3" t="inlineStr">
        <is>
          <t>임원ㆍ주요주주특정증권등소유상황보고서</t>
        </is>
      </c>
      <c r="F793" s="3" t="inlineStr">
        <is>
          <t>조유성</t>
        </is>
      </c>
      <c r="G793" s="2" t="inlineStr">
        <is>
          <t>20260202001141</t>
        </is>
      </c>
      <c r="H793" s="8">
        <f>HYPERLINK("https://dart.fss.or.kr/dsaf001/main.do?rcpNo=20260202001141", "공시열람")</f>
        <v/>
      </c>
    </row>
    <row r="794">
      <c r="A794" s="2" t="inlineStr">
        <is>
          <t>2026-02-02</t>
        </is>
      </c>
      <c r="B794" s="3" t="inlineStr">
        <is>
          <t>삼성전자</t>
        </is>
      </c>
      <c r="C794" s="2" t="inlineStr">
        <is>
          <t>코스피</t>
        </is>
      </c>
      <c r="D794" s="2" t="inlineStr">
        <is>
          <t>005930</t>
        </is>
      </c>
      <c r="E794" s="3" t="inlineStr">
        <is>
          <t>임원ㆍ주요주주특정증권등소유상황보고서</t>
        </is>
      </c>
      <c r="F794" s="3" t="inlineStr">
        <is>
          <t>박형민</t>
        </is>
      </c>
      <c r="G794" s="2" t="inlineStr">
        <is>
          <t>20260202001140</t>
        </is>
      </c>
      <c r="H794" s="8">
        <f>HYPERLINK("https://dart.fss.or.kr/dsaf001/main.do?rcpNo=20260202001140", "공시열람")</f>
        <v/>
      </c>
    </row>
    <row r="795">
      <c r="A795" s="2" t="inlineStr">
        <is>
          <t>2026-02-02</t>
        </is>
      </c>
      <c r="B795" s="3" t="inlineStr">
        <is>
          <t>삼성전자</t>
        </is>
      </c>
      <c r="C795" s="2" t="inlineStr">
        <is>
          <t>코스피</t>
        </is>
      </c>
      <c r="D795" s="2" t="inlineStr">
        <is>
          <t>005930</t>
        </is>
      </c>
      <c r="E795" s="3" t="inlineStr">
        <is>
          <t>임원ㆍ주요주주특정증권등소유상황보고서</t>
        </is>
      </c>
      <c r="F795" s="3" t="inlineStr">
        <is>
          <t>허지영</t>
        </is>
      </c>
      <c r="G795" s="2" t="inlineStr">
        <is>
          <t>20260202001139</t>
        </is>
      </c>
      <c r="H795" s="8">
        <f>HYPERLINK("https://dart.fss.or.kr/dsaf001/main.do?rcpNo=20260202001139", "공시열람")</f>
        <v/>
      </c>
    </row>
    <row r="796">
      <c r="A796" s="2" t="inlineStr">
        <is>
          <t>2026-02-02</t>
        </is>
      </c>
      <c r="B796" s="3" t="inlineStr">
        <is>
          <t>삼성FN리츠</t>
        </is>
      </c>
      <c r="C796" s="2" t="inlineStr">
        <is>
          <t>코스피</t>
        </is>
      </c>
      <c r="D796" s="2" t="inlineStr">
        <is>
          <t>448730</t>
        </is>
      </c>
      <c r="E796" s="3" t="inlineStr">
        <is>
          <t>특수관계인으로부터부동산매수</t>
        </is>
      </c>
      <c r="F796" s="3" t="inlineStr">
        <is>
          <t>삼성FN리츠</t>
        </is>
      </c>
      <c r="G796" s="2" t="inlineStr">
        <is>
          <t>20260202001137</t>
        </is>
      </c>
      <c r="H796" s="8">
        <f>HYPERLINK("https://dart.fss.or.kr/dsaf001/main.do?rcpNo=20260202001137", "공시열람")</f>
        <v/>
      </c>
    </row>
    <row r="797">
      <c r="A797" s="2" t="inlineStr">
        <is>
          <t>2026-02-02</t>
        </is>
      </c>
      <c r="B797" s="3" t="inlineStr">
        <is>
          <t>삼성전자</t>
        </is>
      </c>
      <c r="C797" s="2" t="inlineStr">
        <is>
          <t>코스피</t>
        </is>
      </c>
      <c r="D797" s="2" t="inlineStr">
        <is>
          <t>005930</t>
        </is>
      </c>
      <c r="E797" s="3" t="inlineStr">
        <is>
          <t>임원ㆍ주요주주특정증권등소유상황보고서</t>
        </is>
      </c>
      <c r="F797" s="3" t="inlineStr">
        <is>
          <t>유성호</t>
        </is>
      </c>
      <c r="G797" s="2" t="inlineStr">
        <is>
          <t>20260202001136</t>
        </is>
      </c>
      <c r="H797" s="8">
        <f>HYPERLINK("https://dart.fss.or.kr/dsaf001/main.do?rcpNo=20260202001136", "공시열람")</f>
        <v/>
      </c>
    </row>
    <row r="798">
      <c r="A798" s="2" t="inlineStr">
        <is>
          <t>2026-02-02</t>
        </is>
      </c>
      <c r="B798" s="3" t="inlineStr">
        <is>
          <t>삼성전자</t>
        </is>
      </c>
      <c r="C798" s="2" t="inlineStr">
        <is>
          <t>코스피</t>
        </is>
      </c>
      <c r="D798" s="2" t="inlineStr">
        <is>
          <t>005930</t>
        </is>
      </c>
      <c r="E798" s="3" t="inlineStr">
        <is>
          <t>임원ㆍ주요주주특정증권등소유상황보고서</t>
        </is>
      </c>
      <c r="F798" s="3" t="inlineStr">
        <is>
          <t>하헌재</t>
        </is>
      </c>
      <c r="G798" s="2" t="inlineStr">
        <is>
          <t>20260202001135</t>
        </is>
      </c>
      <c r="H798" s="8">
        <f>HYPERLINK("https://dart.fss.or.kr/dsaf001/main.do?rcpNo=20260202001135", "공시열람")</f>
        <v/>
      </c>
    </row>
    <row r="799">
      <c r="A799" s="2" t="inlineStr">
        <is>
          <t>2026-02-02</t>
        </is>
      </c>
      <c r="B799" s="3" t="inlineStr">
        <is>
          <t>삼성전자</t>
        </is>
      </c>
      <c r="C799" s="2" t="inlineStr">
        <is>
          <t>코스피</t>
        </is>
      </c>
      <c r="D799" s="2" t="inlineStr">
        <is>
          <t>005930</t>
        </is>
      </c>
      <c r="E799" s="3" t="inlineStr">
        <is>
          <t>임원ㆍ주요주주특정증권등소유상황보고서</t>
        </is>
      </c>
      <c r="F799" s="3" t="inlineStr">
        <is>
          <t>이형철</t>
        </is>
      </c>
      <c r="G799" s="2" t="inlineStr">
        <is>
          <t>20260202001134</t>
        </is>
      </c>
      <c r="H799" s="8">
        <f>HYPERLINK("https://dart.fss.or.kr/dsaf001/main.do?rcpNo=20260202001134", "공시열람")</f>
        <v/>
      </c>
    </row>
    <row r="800">
      <c r="A800" s="2" t="inlineStr">
        <is>
          <t>2026-02-02</t>
        </is>
      </c>
      <c r="B800" s="3" t="inlineStr">
        <is>
          <t>삼성전자</t>
        </is>
      </c>
      <c r="C800" s="2" t="inlineStr">
        <is>
          <t>코스피</t>
        </is>
      </c>
      <c r="D800" s="2" t="inlineStr">
        <is>
          <t>005930</t>
        </is>
      </c>
      <c r="E800" s="3" t="inlineStr">
        <is>
          <t>임원ㆍ주요주주특정증권등소유상황보고서</t>
        </is>
      </c>
      <c r="F800" s="3" t="inlineStr">
        <is>
          <t>정강일</t>
        </is>
      </c>
      <c r="G800" s="2" t="inlineStr">
        <is>
          <t>20260202001133</t>
        </is>
      </c>
      <c r="H800" s="8">
        <f>HYPERLINK("https://dart.fss.or.kr/dsaf001/main.do?rcpNo=20260202001133", "공시열람")</f>
        <v/>
      </c>
    </row>
    <row r="801">
      <c r="A801" s="2" t="inlineStr">
        <is>
          <t>2026-02-02</t>
        </is>
      </c>
      <c r="B801" s="3" t="inlineStr">
        <is>
          <t>삼성전자</t>
        </is>
      </c>
      <c r="C801" s="2" t="inlineStr">
        <is>
          <t>코스피</t>
        </is>
      </c>
      <c r="D801" s="2" t="inlineStr">
        <is>
          <t>005930</t>
        </is>
      </c>
      <c r="E801" s="3" t="inlineStr">
        <is>
          <t>임원ㆍ주요주주특정증권등소유상황보고서</t>
        </is>
      </c>
      <c r="F801" s="3" t="inlineStr">
        <is>
          <t>서정혁</t>
        </is>
      </c>
      <c r="G801" s="2" t="inlineStr">
        <is>
          <t>20260202001131</t>
        </is>
      </c>
      <c r="H801" s="8">
        <f>HYPERLINK("https://dart.fss.or.kr/dsaf001/main.do?rcpNo=20260202001131", "공시열람")</f>
        <v/>
      </c>
    </row>
    <row r="802">
      <c r="A802" s="2" t="inlineStr">
        <is>
          <t>2026-02-02</t>
        </is>
      </c>
      <c r="B802" s="3" t="inlineStr">
        <is>
          <t>쿼드메디슨</t>
        </is>
      </c>
      <c r="C802" s="2" t="inlineStr">
        <is>
          <t>코스닥</t>
        </is>
      </c>
      <c r="D802" s="2" t="inlineStr">
        <is>
          <t>464490</t>
        </is>
      </c>
      <c r="E802" s="3" t="inlineStr">
        <is>
          <t xml:space="preserve">주식매수선택권행사              </t>
        </is>
      </c>
      <c r="F802" s="3" t="inlineStr">
        <is>
          <t>쿼드메디슨</t>
        </is>
      </c>
      <c r="G802" s="2" t="inlineStr">
        <is>
          <t>20260202901670</t>
        </is>
      </c>
      <c r="H802" s="8">
        <f>HYPERLINK("https://dart.fss.or.kr/dsaf001/main.do?rcpNo=20260202901670", "공시열람")</f>
        <v/>
      </c>
    </row>
    <row r="803">
      <c r="A803" s="2" t="inlineStr">
        <is>
          <t>2026-02-02</t>
        </is>
      </c>
      <c r="B803" s="3" t="inlineStr">
        <is>
          <t>삼성전자</t>
        </is>
      </c>
      <c r="C803" s="2" t="inlineStr">
        <is>
          <t>코스피</t>
        </is>
      </c>
      <c r="D803" s="2" t="inlineStr">
        <is>
          <t>005930</t>
        </is>
      </c>
      <c r="E803" s="3" t="inlineStr">
        <is>
          <t>임원ㆍ주요주주특정증권등소유상황보고서</t>
        </is>
      </c>
      <c r="F803" s="3" t="inlineStr">
        <is>
          <t>최영</t>
        </is>
      </c>
      <c r="G803" s="2" t="inlineStr">
        <is>
          <t>20260202001129</t>
        </is>
      </c>
      <c r="H803" s="8">
        <f>HYPERLINK("https://dart.fss.or.kr/dsaf001/main.do?rcpNo=20260202001129", "공시열람")</f>
        <v/>
      </c>
    </row>
    <row r="804">
      <c r="A804" s="2" t="inlineStr">
        <is>
          <t>2026-02-02</t>
        </is>
      </c>
      <c r="B804" s="3" t="inlineStr">
        <is>
          <t>삼성전자</t>
        </is>
      </c>
      <c r="C804" s="2" t="inlineStr">
        <is>
          <t>코스피</t>
        </is>
      </c>
      <c r="D804" s="2" t="inlineStr">
        <is>
          <t>005930</t>
        </is>
      </c>
      <c r="E804" s="3" t="inlineStr">
        <is>
          <t>임원ㆍ주요주주특정증권등소유상황보고서</t>
        </is>
      </c>
      <c r="F804" s="3" t="inlineStr">
        <is>
          <t>김우준</t>
        </is>
      </c>
      <c r="G804" s="2" t="inlineStr">
        <is>
          <t>20260202001128</t>
        </is>
      </c>
      <c r="H804" s="8">
        <f>HYPERLINK("https://dart.fss.or.kr/dsaf001/main.do?rcpNo=20260202001128", "공시열람")</f>
        <v/>
      </c>
    </row>
    <row r="805">
      <c r="A805" s="2" t="inlineStr">
        <is>
          <t>2025-10-23 (정정: 2026-02-02)</t>
        </is>
      </c>
      <c r="B805" s="3" t="inlineStr">
        <is>
          <t>알파칩스</t>
        </is>
      </c>
      <c r="C805" s="2" t="inlineStr">
        <is>
          <t>코스닥</t>
        </is>
      </c>
      <c r="D805" s="2" t="inlineStr">
        <is>
          <t>117670</t>
        </is>
      </c>
      <c r="E805" s="3" t="inlineStr">
        <is>
          <t>[기재정정]주식매수선택권부여에관한신고</t>
        </is>
      </c>
      <c r="F805" s="3" t="inlineStr">
        <is>
          <t>알파칩스</t>
        </is>
      </c>
      <c r="G805" s="2" t="inlineStr">
        <is>
          <t>20260202001127</t>
        </is>
      </c>
      <c r="H805" s="8">
        <f>HYPERLINK("https://dart.fss.or.kr/dsaf001/main.do?rcpNo=20260202001127", "공시열람")</f>
        <v/>
      </c>
    </row>
    <row r="806">
      <c r="A806" s="2" t="inlineStr">
        <is>
          <t>2026-02-02</t>
        </is>
      </c>
      <c r="B806" s="3" t="inlineStr">
        <is>
          <t>삼성전자</t>
        </is>
      </c>
      <c r="C806" s="2" t="inlineStr">
        <is>
          <t>코스피</t>
        </is>
      </c>
      <c r="D806" s="2" t="inlineStr">
        <is>
          <t>005930</t>
        </is>
      </c>
      <c r="E806" s="3" t="inlineStr">
        <is>
          <t>임원ㆍ주요주주특정증권등소유상황보고서</t>
        </is>
      </c>
      <c r="F806" s="3" t="inlineStr">
        <is>
          <t>이동진</t>
        </is>
      </c>
      <c r="G806" s="2" t="inlineStr">
        <is>
          <t>20260202001126</t>
        </is>
      </c>
      <c r="H806" s="8">
        <f>HYPERLINK("https://dart.fss.or.kr/dsaf001/main.do?rcpNo=20260202001126", "공시열람")</f>
        <v/>
      </c>
    </row>
    <row r="807">
      <c r="A807" s="2" t="inlineStr">
        <is>
          <t>2026-02-02</t>
        </is>
      </c>
      <c r="B807" s="3" t="inlineStr">
        <is>
          <t>삼성전자</t>
        </is>
      </c>
      <c r="C807" s="2" t="inlineStr">
        <is>
          <t>코스피</t>
        </is>
      </c>
      <c r="D807" s="2" t="inlineStr">
        <is>
          <t>005930</t>
        </is>
      </c>
      <c r="E807" s="3" t="inlineStr">
        <is>
          <t>임원ㆍ주요주주특정증권등소유상황보고서</t>
        </is>
      </c>
      <c r="F807" s="3" t="inlineStr">
        <is>
          <t>윤남호</t>
        </is>
      </c>
      <c r="G807" s="2" t="inlineStr">
        <is>
          <t>20260202001125</t>
        </is>
      </c>
      <c r="H807" s="8">
        <f>HYPERLINK("https://dart.fss.or.kr/dsaf001/main.do?rcpNo=20260202001125", "공시열람")</f>
        <v/>
      </c>
    </row>
    <row r="808">
      <c r="A808" s="2" t="inlineStr">
        <is>
          <t>2026-02-02</t>
        </is>
      </c>
      <c r="B808" s="3" t="inlineStr">
        <is>
          <t>삼성전자</t>
        </is>
      </c>
      <c r="C808" s="2" t="inlineStr">
        <is>
          <t>코스피</t>
        </is>
      </c>
      <c r="D808" s="2" t="inlineStr">
        <is>
          <t>005930</t>
        </is>
      </c>
      <c r="E808" s="3" t="inlineStr">
        <is>
          <t>임원ㆍ주요주주특정증권등소유상황보고서</t>
        </is>
      </c>
      <c r="F808" s="3" t="inlineStr">
        <is>
          <t>김한조</t>
        </is>
      </c>
      <c r="G808" s="2" t="inlineStr">
        <is>
          <t>20260202001122</t>
        </is>
      </c>
      <c r="H808" s="8">
        <f>HYPERLINK("https://dart.fss.or.kr/dsaf001/main.do?rcpNo=20260202001122", "공시열람")</f>
        <v/>
      </c>
    </row>
    <row r="809">
      <c r="A809" s="2" t="inlineStr">
        <is>
          <t>2026-02-02</t>
        </is>
      </c>
      <c r="B809" s="3" t="inlineStr">
        <is>
          <t>SK가스</t>
        </is>
      </c>
      <c r="C809" s="2" t="inlineStr">
        <is>
          <t>코스피</t>
        </is>
      </c>
      <c r="D809" s="2" t="inlineStr">
        <is>
          <t>018670</t>
        </is>
      </c>
      <c r="E809" s="3" t="inlineStr">
        <is>
          <t xml:space="preserve">단기차입금증가결정              </t>
        </is>
      </c>
      <c r="F809" s="3" t="inlineStr">
        <is>
          <t>SK가스</t>
        </is>
      </c>
      <c r="G809" s="2" t="inlineStr">
        <is>
          <t>20260202801731</t>
        </is>
      </c>
      <c r="H809" s="8">
        <f>HYPERLINK("https://dart.fss.or.kr/dsaf001/main.do?rcpNo=20260202801731", "공시열람")</f>
        <v/>
      </c>
    </row>
    <row r="810">
      <c r="A810" s="2" t="inlineStr">
        <is>
          <t>2026-02-02</t>
        </is>
      </c>
      <c r="B810" s="3" t="inlineStr">
        <is>
          <t>대원강업</t>
        </is>
      </c>
      <c r="C810" s="2" t="inlineStr">
        <is>
          <t>코스피</t>
        </is>
      </c>
      <c r="D810" s="2" t="inlineStr">
        <is>
          <t>000430</t>
        </is>
      </c>
      <c r="E810" s="3" t="inlineStr">
        <is>
          <t>임원ㆍ주요주주특정증권등소유상황보고서</t>
        </is>
      </c>
      <c r="F810" s="3" t="inlineStr">
        <is>
          <t>현대지에프홀딩스</t>
        </is>
      </c>
      <c r="G810" s="2" t="inlineStr">
        <is>
          <t>20260202001118</t>
        </is>
      </c>
      <c r="H810" s="8">
        <f>HYPERLINK("https://dart.fss.or.kr/dsaf001/main.do?rcpNo=20260202001118", "공시열람")</f>
        <v/>
      </c>
    </row>
    <row r="811">
      <c r="A811" s="2" t="inlineStr">
        <is>
          <t>2026-02-02</t>
        </is>
      </c>
      <c r="B811" s="3" t="inlineStr">
        <is>
          <t>삼성전자</t>
        </is>
      </c>
      <c r="C811" s="2" t="inlineStr">
        <is>
          <t>코스피</t>
        </is>
      </c>
      <c r="D811" s="2" t="inlineStr">
        <is>
          <t>005930</t>
        </is>
      </c>
      <c r="E811" s="3" t="inlineStr">
        <is>
          <t>임원ㆍ주요주주특정증권등소유상황보고서</t>
        </is>
      </c>
      <c r="F811" s="3" t="inlineStr">
        <is>
          <t>권춘기</t>
        </is>
      </c>
      <c r="G811" s="2" t="inlineStr">
        <is>
          <t>20260202001117</t>
        </is>
      </c>
      <c r="H811" s="8">
        <f>HYPERLINK("https://dart.fss.or.kr/dsaf001/main.do?rcpNo=20260202001117", "공시열람")</f>
        <v/>
      </c>
    </row>
    <row r="812">
      <c r="A812" s="2" t="inlineStr">
        <is>
          <t>2026-02-02 (정정: 2026-03-11)</t>
        </is>
      </c>
      <c r="B812" s="3" t="inlineStr">
        <is>
          <t>HLB바이오스텝</t>
        </is>
      </c>
      <c r="C812" s="2" t="inlineStr">
        <is>
          <t>코스닥</t>
        </is>
      </c>
      <c r="D812" s="2" t="inlineStr">
        <is>
          <t>278650</t>
        </is>
      </c>
      <c r="E812" s="3" t="inlineStr">
        <is>
          <t>주요사항보고서(자기주식처분결정) (정정: 20260311)</t>
        </is>
      </c>
      <c r="F812" s="3" t="inlineStr">
        <is>
          <t>HLB바이오스텝</t>
        </is>
      </c>
      <c r="G812" s="2" t="inlineStr">
        <is>
          <t>20260311900680</t>
        </is>
      </c>
      <c r="H812" s="8">
        <f>HYPERLINK("https://dart.fss.or.kr/dsaf001/main.do?rcpNo=20260311900680", "공시열람")</f>
        <v/>
      </c>
    </row>
    <row r="813">
      <c r="A813" s="2" t="inlineStr">
        <is>
          <t>2025-12-26 (정정: 2026-02-02)</t>
        </is>
      </c>
      <c r="B813" s="3" t="inlineStr">
        <is>
          <t>삼천리</t>
        </is>
      </c>
      <c r="C813" s="2" t="inlineStr">
        <is>
          <t>코스피</t>
        </is>
      </c>
      <c r="D813" s="2" t="inlineStr">
        <is>
          <t>004690</t>
        </is>
      </c>
      <c r="E813" s="3" t="inlineStr">
        <is>
          <t xml:space="preserve">[기재정정]타법인주식및출자증권취득결정              </t>
        </is>
      </c>
      <c r="F813" s="3" t="inlineStr">
        <is>
          <t>삼천리</t>
        </is>
      </c>
      <c r="G813" s="2" t="inlineStr">
        <is>
          <t>20260202801623</t>
        </is>
      </c>
      <c r="H813" s="8">
        <f>HYPERLINK("https://dart.fss.or.kr/dsaf001/main.do?rcpNo=20260202801623", "공시열람")</f>
        <v/>
      </c>
    </row>
    <row r="814">
      <c r="A814" s="2" t="inlineStr">
        <is>
          <t>2026-02-02</t>
        </is>
      </c>
      <c r="B814" s="3" t="inlineStr">
        <is>
          <t>삼성전자</t>
        </is>
      </c>
      <c r="C814" s="2" t="inlineStr">
        <is>
          <t>코스피</t>
        </is>
      </c>
      <c r="D814" s="2" t="inlineStr">
        <is>
          <t>005930</t>
        </is>
      </c>
      <c r="E814" s="3" t="inlineStr">
        <is>
          <t>임원ㆍ주요주주특정증권등소유상황보고서</t>
        </is>
      </c>
      <c r="F814" s="3" t="inlineStr">
        <is>
          <t>홍영주</t>
        </is>
      </c>
      <c r="G814" s="2" t="inlineStr">
        <is>
          <t>20260202001116</t>
        </is>
      </c>
      <c r="H814" s="8">
        <f>HYPERLINK("https://dart.fss.or.kr/dsaf001/main.do?rcpNo=20260202001116", "공시열람")</f>
        <v/>
      </c>
    </row>
    <row r="815">
      <c r="A815" s="2" t="inlineStr">
        <is>
          <t>2026-02-02</t>
        </is>
      </c>
      <c r="B815" s="3" t="inlineStr">
        <is>
          <t>삼성전자</t>
        </is>
      </c>
      <c r="C815" s="2" t="inlineStr">
        <is>
          <t>코스피</t>
        </is>
      </c>
      <c r="D815" s="2" t="inlineStr">
        <is>
          <t>005930</t>
        </is>
      </c>
      <c r="E815" s="3" t="inlineStr">
        <is>
          <t>임원ㆍ주요주주특정증권등소유상황보고서</t>
        </is>
      </c>
      <c r="F815" s="3" t="inlineStr">
        <is>
          <t>이상수</t>
        </is>
      </c>
      <c r="G815" s="2" t="inlineStr">
        <is>
          <t>20260202001114</t>
        </is>
      </c>
      <c r="H815" s="8">
        <f>HYPERLINK("https://dart.fss.or.kr/dsaf001/main.do?rcpNo=20260202001114", "공시열람")</f>
        <v/>
      </c>
    </row>
    <row r="816">
      <c r="A816" s="2" t="inlineStr">
        <is>
          <t>2026-02-02</t>
        </is>
      </c>
      <c r="B816" s="3" t="inlineStr">
        <is>
          <t>삼성전자</t>
        </is>
      </c>
      <c r="C816" s="2" t="inlineStr">
        <is>
          <t>코스피</t>
        </is>
      </c>
      <c r="D816" s="2" t="inlineStr">
        <is>
          <t>005930</t>
        </is>
      </c>
      <c r="E816" s="3" t="inlineStr">
        <is>
          <t>임원ㆍ주요주주특정증권등소유상황보고서</t>
        </is>
      </c>
      <c r="F816" s="3" t="inlineStr">
        <is>
          <t>성종훈</t>
        </is>
      </c>
      <c r="G816" s="2" t="inlineStr">
        <is>
          <t>20260202001113</t>
        </is>
      </c>
      <c r="H816" s="8">
        <f>HYPERLINK("https://dart.fss.or.kr/dsaf001/main.do?rcpNo=20260202001113", "공시열람")</f>
        <v/>
      </c>
    </row>
    <row r="817">
      <c r="A817" s="2" t="inlineStr">
        <is>
          <t>2026-02-02</t>
        </is>
      </c>
      <c r="B817" s="3" t="inlineStr">
        <is>
          <t>스튜디오미르</t>
        </is>
      </c>
      <c r="C817" s="2" t="inlineStr">
        <is>
          <t>코스닥</t>
        </is>
      </c>
      <c r="D817" s="2" t="inlineStr">
        <is>
          <t>408900</t>
        </is>
      </c>
      <c r="E817" s="3" t="inlineStr">
        <is>
          <t>임원ㆍ주요주주특정증권등소유상황보고서</t>
        </is>
      </c>
      <c r="F817" s="3" t="inlineStr">
        <is>
          <t>박형근</t>
        </is>
      </c>
      <c r="G817" s="2" t="inlineStr">
        <is>
          <t>20260202001112</t>
        </is>
      </c>
      <c r="H817" s="8">
        <f>HYPERLINK("https://dart.fss.or.kr/dsaf001/main.do?rcpNo=20260202001112", "공시열람")</f>
        <v/>
      </c>
    </row>
    <row r="818">
      <c r="A818" s="2" t="inlineStr">
        <is>
          <t>2026-02-02</t>
        </is>
      </c>
      <c r="B818" s="3" t="inlineStr">
        <is>
          <t>삼성전자</t>
        </is>
      </c>
      <c r="C818" s="2" t="inlineStr">
        <is>
          <t>코스피</t>
        </is>
      </c>
      <c r="D818" s="2" t="inlineStr">
        <is>
          <t>005930</t>
        </is>
      </c>
      <c r="E818" s="3" t="inlineStr">
        <is>
          <t>임원ㆍ주요주주특정증권등소유상황보고서</t>
        </is>
      </c>
      <c r="F818" s="3" t="inlineStr">
        <is>
          <t>황영삼</t>
        </is>
      </c>
      <c r="G818" s="2" t="inlineStr">
        <is>
          <t>20260202001110</t>
        </is>
      </c>
      <c r="H818" s="8">
        <f>HYPERLINK("https://dart.fss.or.kr/dsaf001/main.do?rcpNo=20260202001110", "공시열람")</f>
        <v/>
      </c>
    </row>
    <row r="819">
      <c r="A819" s="2" t="inlineStr">
        <is>
          <t>2026-02-02</t>
        </is>
      </c>
      <c r="B819" s="3" t="inlineStr">
        <is>
          <t>한화투자증권</t>
        </is>
      </c>
      <c r="C819" s="2" t="inlineStr">
        <is>
          <t>코스피</t>
        </is>
      </c>
      <c r="D819" s="2" t="inlineStr">
        <is>
          <t>003530</t>
        </is>
      </c>
      <c r="E819" s="3" t="inlineStr">
        <is>
          <t>투자설명서(일괄신고)</t>
        </is>
      </c>
      <c r="F819" s="3" t="inlineStr">
        <is>
          <t>한화투자증권</t>
        </is>
      </c>
      <c r="G819" s="2" t="inlineStr">
        <is>
          <t>20260202001109</t>
        </is>
      </c>
      <c r="H819" s="8">
        <f>HYPERLINK("https://dart.fss.or.kr/dsaf001/main.do?rcpNo=20260202001109", "공시열람")</f>
        <v/>
      </c>
    </row>
    <row r="820">
      <c r="A820" s="2" t="inlineStr">
        <is>
          <t>2026-02-02</t>
        </is>
      </c>
      <c r="B820" s="3" t="inlineStr">
        <is>
          <t>SK디스커버리</t>
        </is>
      </c>
      <c r="C820" s="2" t="inlineStr">
        <is>
          <t>코스피</t>
        </is>
      </c>
      <c r="D820" s="2" t="inlineStr">
        <is>
          <t>006120</t>
        </is>
      </c>
      <c r="E820" s="3" t="inlineStr">
        <is>
          <t>증권발행실적보고서</t>
        </is>
      </c>
      <c r="F820" s="3" t="inlineStr">
        <is>
          <t>SK디스커버리</t>
        </is>
      </c>
      <c r="G820" s="2" t="inlineStr">
        <is>
          <t>20260202001108</t>
        </is>
      </c>
      <c r="H820" s="8">
        <f>HYPERLINK("https://dart.fss.or.kr/dsaf001/main.do?rcpNo=20260202001108", "공시열람")</f>
        <v/>
      </c>
    </row>
    <row r="821">
      <c r="A821" s="2" t="inlineStr">
        <is>
          <t>2026-02-02</t>
        </is>
      </c>
      <c r="B821" s="3" t="inlineStr">
        <is>
          <t>삼성전자</t>
        </is>
      </c>
      <c r="C821" s="2" t="inlineStr">
        <is>
          <t>코스피</t>
        </is>
      </c>
      <c r="D821" s="2" t="inlineStr">
        <is>
          <t>005930</t>
        </is>
      </c>
      <c r="E821" s="3" t="inlineStr">
        <is>
          <t>임원ㆍ주요주주특정증권등소유상황보고서</t>
        </is>
      </c>
      <c r="F821" s="3" t="inlineStr">
        <is>
          <t>최효석</t>
        </is>
      </c>
      <c r="G821" s="2" t="inlineStr">
        <is>
          <t>20260202001106</t>
        </is>
      </c>
      <c r="H821" s="8">
        <f>HYPERLINK("https://dart.fss.or.kr/dsaf001/main.do?rcpNo=20260202001106", "공시열람")</f>
        <v/>
      </c>
    </row>
    <row r="822">
      <c r="A822" s="2" t="inlineStr">
        <is>
          <t>2026-02-02</t>
        </is>
      </c>
      <c r="B822" s="3" t="inlineStr">
        <is>
          <t>삼성전자</t>
        </is>
      </c>
      <c r="C822" s="2" t="inlineStr">
        <is>
          <t>코스피</t>
        </is>
      </c>
      <c r="D822" s="2" t="inlineStr">
        <is>
          <t>005930</t>
        </is>
      </c>
      <c r="E822" s="3" t="inlineStr">
        <is>
          <t>임원ㆍ주요주주특정증권등소유상황보고서</t>
        </is>
      </c>
      <c r="F822" s="3" t="inlineStr">
        <is>
          <t>박문호</t>
        </is>
      </c>
      <c r="G822" s="2" t="inlineStr">
        <is>
          <t>20260202001104</t>
        </is>
      </c>
      <c r="H822" s="8">
        <f>HYPERLINK("https://dart.fss.or.kr/dsaf001/main.do?rcpNo=20260202001104", "공시열람")</f>
        <v/>
      </c>
    </row>
    <row r="823">
      <c r="A823" s="2" t="inlineStr">
        <is>
          <t>2026-02-02</t>
        </is>
      </c>
      <c r="B823" s="3" t="inlineStr">
        <is>
          <t>지아이텍</t>
        </is>
      </c>
      <c r="C823" s="2" t="inlineStr">
        <is>
          <t>코스닥</t>
        </is>
      </c>
      <c r="D823" s="2" t="inlineStr">
        <is>
          <t>382480</t>
        </is>
      </c>
      <c r="E823" s="3" t="inlineStr">
        <is>
          <t xml:space="preserve">현금ㆍ현물배당결정              </t>
        </is>
      </c>
      <c r="F823" s="3" t="inlineStr">
        <is>
          <t>지아이텍</t>
        </is>
      </c>
      <c r="G823" s="2" t="inlineStr">
        <is>
          <t>20260202901671</t>
        </is>
      </c>
      <c r="H823" s="8">
        <f>HYPERLINK("https://dart.fss.or.kr/dsaf001/main.do?rcpNo=20260202901671", "공시열람")</f>
        <v/>
      </c>
    </row>
    <row r="824">
      <c r="A824" s="2" t="inlineStr">
        <is>
          <t>2026-02-02</t>
        </is>
      </c>
      <c r="B824" s="3" t="inlineStr">
        <is>
          <t>삼성전자</t>
        </is>
      </c>
      <c r="C824" s="2" t="inlineStr">
        <is>
          <t>코스피</t>
        </is>
      </c>
      <c r="D824" s="2" t="inlineStr">
        <is>
          <t>005930</t>
        </is>
      </c>
      <c r="E824" s="3" t="inlineStr">
        <is>
          <t>임원ㆍ주요주주특정증권등소유상황보고서</t>
        </is>
      </c>
      <c r="F824" s="3" t="inlineStr">
        <is>
          <t>정혁준</t>
        </is>
      </c>
      <c r="G824" s="2" t="inlineStr">
        <is>
          <t>20260202001102</t>
        </is>
      </c>
      <c r="H824" s="8">
        <f>HYPERLINK("https://dart.fss.or.kr/dsaf001/main.do?rcpNo=20260202001102", "공시열람")</f>
        <v/>
      </c>
    </row>
    <row r="825">
      <c r="A825" s="2" t="inlineStr">
        <is>
          <t>2026-02-02</t>
        </is>
      </c>
      <c r="B825" s="3" t="inlineStr">
        <is>
          <t>삼성전자</t>
        </is>
      </c>
      <c r="C825" s="2" t="inlineStr">
        <is>
          <t>코스피</t>
        </is>
      </c>
      <c r="D825" s="2" t="inlineStr">
        <is>
          <t>005930</t>
        </is>
      </c>
      <c r="E825" s="3" t="inlineStr">
        <is>
          <t>임원ㆍ주요주주특정증권등소유상황보고서</t>
        </is>
      </c>
      <c r="F825" s="3" t="inlineStr">
        <is>
          <t>신상용</t>
        </is>
      </c>
      <c r="G825" s="2" t="inlineStr">
        <is>
          <t>20260202001101</t>
        </is>
      </c>
      <c r="H825" s="8">
        <f>HYPERLINK("https://dart.fss.or.kr/dsaf001/main.do?rcpNo=20260202001101", "공시열람")</f>
        <v/>
      </c>
    </row>
    <row r="826">
      <c r="A826" s="2" t="inlineStr">
        <is>
          <t>2026-02-02</t>
        </is>
      </c>
      <c r="B826" s="3" t="inlineStr">
        <is>
          <t>지아이텍</t>
        </is>
      </c>
      <c r="C826" s="2" t="inlineStr">
        <is>
          <t>코스닥</t>
        </is>
      </c>
      <c r="D826" s="2" t="inlineStr">
        <is>
          <t>382480</t>
        </is>
      </c>
      <c r="E826" s="3" t="inlineStr">
        <is>
          <t xml:space="preserve">매출액또는손익구조30%(대규모법인은15%)이상변동              </t>
        </is>
      </c>
      <c r="F826" s="3" t="inlineStr">
        <is>
          <t>지아이텍</t>
        </is>
      </c>
      <c r="G826" s="2" t="inlineStr">
        <is>
          <t>20260202901626</t>
        </is>
      </c>
      <c r="H826" s="8">
        <f>HYPERLINK("https://dart.fss.or.kr/dsaf001/main.do?rcpNo=20260202901626", "공시열람")</f>
        <v/>
      </c>
    </row>
    <row r="827">
      <c r="A827" s="2" t="inlineStr">
        <is>
          <t>2026-02-02</t>
        </is>
      </c>
      <c r="B827" s="3" t="inlineStr">
        <is>
          <t>삼성전자</t>
        </is>
      </c>
      <c r="C827" s="2" t="inlineStr">
        <is>
          <t>코스피</t>
        </is>
      </c>
      <c r="D827" s="2" t="inlineStr">
        <is>
          <t>005930</t>
        </is>
      </c>
      <c r="E827" s="3" t="inlineStr">
        <is>
          <t>임원ㆍ주요주주특정증권등소유상황보고서</t>
        </is>
      </c>
      <c r="F827" s="3" t="inlineStr">
        <is>
          <t>정진희</t>
        </is>
      </c>
      <c r="G827" s="2" t="inlineStr">
        <is>
          <t>20260202001100</t>
        </is>
      </c>
      <c r="H827" s="8">
        <f>HYPERLINK("https://dart.fss.or.kr/dsaf001/main.do?rcpNo=20260202001100", "공시열람")</f>
        <v/>
      </c>
    </row>
    <row r="828">
      <c r="A828" s="2" t="inlineStr">
        <is>
          <t>2026-02-02</t>
        </is>
      </c>
      <c r="B828" s="3" t="inlineStr">
        <is>
          <t>삼성전자</t>
        </is>
      </c>
      <c r="C828" s="2" t="inlineStr">
        <is>
          <t>코스피</t>
        </is>
      </c>
      <c r="D828" s="2" t="inlineStr">
        <is>
          <t>005930</t>
        </is>
      </c>
      <c r="E828" s="3" t="inlineStr">
        <is>
          <t>임원ㆍ주요주주특정증권등소유상황보고서</t>
        </is>
      </c>
      <c r="F828" s="3" t="inlineStr">
        <is>
          <t>조희권</t>
        </is>
      </c>
      <c r="G828" s="2" t="inlineStr">
        <is>
          <t>20260202001099</t>
        </is>
      </c>
      <c r="H828" s="8">
        <f>HYPERLINK("https://dart.fss.or.kr/dsaf001/main.do?rcpNo=20260202001099", "공시열람")</f>
        <v/>
      </c>
    </row>
    <row r="829">
      <c r="A829" s="2" t="inlineStr">
        <is>
          <t>2026-02-02</t>
        </is>
      </c>
      <c r="B829" s="3" t="inlineStr">
        <is>
          <t>삼성전자</t>
        </is>
      </c>
      <c r="C829" s="2" t="inlineStr">
        <is>
          <t>코스피</t>
        </is>
      </c>
      <c r="D829" s="2" t="inlineStr">
        <is>
          <t>005930</t>
        </is>
      </c>
      <c r="E829" s="3" t="inlineStr">
        <is>
          <t>임원ㆍ주요주주특정증권등소유상황보고서</t>
        </is>
      </c>
      <c r="F829" s="3" t="inlineStr">
        <is>
          <t>이학민</t>
        </is>
      </c>
      <c r="G829" s="2" t="inlineStr">
        <is>
          <t>20260202001098</t>
        </is>
      </c>
      <c r="H829" s="8">
        <f>HYPERLINK("https://dart.fss.or.kr/dsaf001/main.do?rcpNo=20260202001098", "공시열람")</f>
        <v/>
      </c>
    </row>
    <row r="830">
      <c r="A830" s="2" t="inlineStr">
        <is>
          <t>2026-02-02</t>
        </is>
      </c>
      <c r="B830" s="3" t="inlineStr">
        <is>
          <t>HDC현대EP</t>
        </is>
      </c>
      <c r="C830" s="2" t="inlineStr">
        <is>
          <t>코스피</t>
        </is>
      </c>
      <c r="D830" s="2" t="inlineStr">
        <is>
          <t>089470</t>
        </is>
      </c>
      <c r="E830" s="3" t="inlineStr">
        <is>
          <t xml:space="preserve">매출액또는손익구조30%(대규모법인은15%)이상변경              </t>
        </is>
      </c>
      <c r="F830" s="3" t="inlineStr">
        <is>
          <t>HDC현대EP</t>
        </is>
      </c>
      <c r="G830" s="2" t="inlineStr">
        <is>
          <t>20260202801637</t>
        </is>
      </c>
      <c r="H830" s="8">
        <f>HYPERLINK("https://dart.fss.or.kr/dsaf001/main.do?rcpNo=20260202801637", "공시열람")</f>
        <v/>
      </c>
    </row>
    <row r="831">
      <c r="A831" s="2" t="inlineStr">
        <is>
          <t>2026-02-02</t>
        </is>
      </c>
      <c r="B831" s="3" t="inlineStr">
        <is>
          <t>삼성전자</t>
        </is>
      </c>
      <c r="C831" s="2" t="inlineStr">
        <is>
          <t>코스피</t>
        </is>
      </c>
      <c r="D831" s="2" t="inlineStr">
        <is>
          <t>005930</t>
        </is>
      </c>
      <c r="E831" s="3" t="inlineStr">
        <is>
          <t>임원ㆍ주요주주특정증권등소유상황보고서</t>
        </is>
      </c>
      <c r="F831" s="3" t="inlineStr">
        <is>
          <t>김용한</t>
        </is>
      </c>
      <c r="G831" s="2" t="inlineStr">
        <is>
          <t>20260202001097</t>
        </is>
      </c>
      <c r="H831" s="8">
        <f>HYPERLINK("https://dart.fss.or.kr/dsaf001/main.do?rcpNo=20260202001097", "공시열람")</f>
        <v/>
      </c>
    </row>
    <row r="832">
      <c r="A832" s="2" t="inlineStr">
        <is>
          <t>2026-02-02</t>
        </is>
      </c>
      <c r="B832" s="3" t="inlineStr">
        <is>
          <t>삼성전자</t>
        </is>
      </c>
      <c r="C832" s="2" t="inlineStr">
        <is>
          <t>코스피</t>
        </is>
      </c>
      <c r="D832" s="2" t="inlineStr">
        <is>
          <t>005930</t>
        </is>
      </c>
      <c r="E832" s="3" t="inlineStr">
        <is>
          <t>임원ㆍ주요주주특정증권등소유상황보고서</t>
        </is>
      </c>
      <c r="F832" s="3" t="inlineStr">
        <is>
          <t>최철환</t>
        </is>
      </c>
      <c r="G832" s="2" t="inlineStr">
        <is>
          <t>20260202001096</t>
        </is>
      </c>
      <c r="H832" s="8">
        <f>HYPERLINK("https://dart.fss.or.kr/dsaf001/main.do?rcpNo=20260202001096", "공시열람")</f>
        <v/>
      </c>
    </row>
    <row r="833">
      <c r="A833" s="2" t="inlineStr">
        <is>
          <t>2026-02-02</t>
        </is>
      </c>
      <c r="B833" s="3" t="inlineStr">
        <is>
          <t>삼성전자</t>
        </is>
      </c>
      <c r="C833" s="2" t="inlineStr">
        <is>
          <t>코스피</t>
        </is>
      </c>
      <c r="D833" s="2" t="inlineStr">
        <is>
          <t>005930</t>
        </is>
      </c>
      <c r="E833" s="3" t="inlineStr">
        <is>
          <t>임원ㆍ주요주주특정증권등소유상황보고서</t>
        </is>
      </c>
      <c r="F833" s="3" t="inlineStr">
        <is>
          <t>류일곤</t>
        </is>
      </c>
      <c r="G833" s="2" t="inlineStr">
        <is>
          <t>20260202001095</t>
        </is>
      </c>
      <c r="H833" s="8">
        <f>HYPERLINK("https://dart.fss.or.kr/dsaf001/main.do?rcpNo=20260202001095", "공시열람")</f>
        <v/>
      </c>
    </row>
    <row r="834">
      <c r="A834" s="2" t="inlineStr">
        <is>
          <t>2026-02-02</t>
        </is>
      </c>
      <c r="B834" s="3" t="inlineStr">
        <is>
          <t>코리아써키트</t>
        </is>
      </c>
      <c r="C834" s="2" t="inlineStr">
        <is>
          <t>코스피</t>
        </is>
      </c>
      <c r="D834" s="2" t="inlineStr">
        <is>
          <t>007810</t>
        </is>
      </c>
      <c r="E834" s="3" t="inlineStr">
        <is>
          <t xml:space="preserve">매출액또는손익구조30%(대규모법인은15%)이상변경              </t>
        </is>
      </c>
      <c r="F834" s="3" t="inlineStr">
        <is>
          <t>코리아써키트</t>
        </is>
      </c>
      <c r="G834" s="2" t="inlineStr">
        <is>
          <t>20260202801580</t>
        </is>
      </c>
      <c r="H834" s="8">
        <f>HYPERLINK("https://dart.fss.or.kr/dsaf001/main.do?rcpNo=20260202801580", "공시열람")</f>
        <v/>
      </c>
    </row>
    <row r="835">
      <c r="A835" s="2" t="inlineStr">
        <is>
          <t>2026-02-02</t>
        </is>
      </c>
      <c r="B835" s="3" t="inlineStr">
        <is>
          <t>삼성전자</t>
        </is>
      </c>
      <c r="C835" s="2" t="inlineStr">
        <is>
          <t>코스피</t>
        </is>
      </c>
      <c r="D835" s="2" t="inlineStr">
        <is>
          <t>005930</t>
        </is>
      </c>
      <c r="E835" s="3" t="inlineStr">
        <is>
          <t>임원ㆍ주요주주특정증권등소유상황보고서</t>
        </is>
      </c>
      <c r="F835" s="3" t="inlineStr">
        <is>
          <t>채교석</t>
        </is>
      </c>
      <c r="G835" s="2" t="inlineStr">
        <is>
          <t>20260202001089</t>
        </is>
      </c>
      <c r="H835" s="8">
        <f>HYPERLINK("https://dart.fss.or.kr/dsaf001/main.do?rcpNo=20260202001089", "공시열람")</f>
        <v/>
      </c>
    </row>
    <row r="836">
      <c r="A836" s="2" t="inlineStr">
        <is>
          <t>2026-02-02</t>
        </is>
      </c>
      <c r="B836" s="3" t="inlineStr">
        <is>
          <t>에이스침대</t>
        </is>
      </c>
      <c r="C836" s="2" t="inlineStr">
        <is>
          <t>코스닥</t>
        </is>
      </c>
      <c r="D836" s="2" t="inlineStr">
        <is>
          <t>003800</t>
        </is>
      </c>
      <c r="E836" s="3" t="inlineStr">
        <is>
          <t xml:space="preserve">현금ㆍ현물배당결정              </t>
        </is>
      </c>
      <c r="F836" s="3" t="inlineStr">
        <is>
          <t>에이스침대</t>
        </is>
      </c>
      <c r="G836" s="2" t="inlineStr">
        <is>
          <t>20260202901605</t>
        </is>
      </c>
      <c r="H836" s="8">
        <f>HYPERLINK("https://dart.fss.or.kr/dsaf001/main.do?rcpNo=20260202901605", "공시열람")</f>
        <v/>
      </c>
    </row>
    <row r="837">
      <c r="A837" s="2" t="inlineStr">
        <is>
          <t>2026-02-02</t>
        </is>
      </c>
      <c r="B837" s="3" t="inlineStr">
        <is>
          <t>삼성전자</t>
        </is>
      </c>
      <c r="C837" s="2" t="inlineStr">
        <is>
          <t>코스피</t>
        </is>
      </c>
      <c r="D837" s="2" t="inlineStr">
        <is>
          <t>005930</t>
        </is>
      </c>
      <c r="E837" s="3" t="inlineStr">
        <is>
          <t>임원ㆍ주요주주특정증권등소유상황보고서</t>
        </is>
      </c>
      <c r="F837" s="3" t="inlineStr">
        <is>
          <t>신상용</t>
        </is>
      </c>
      <c r="G837" s="2" t="inlineStr">
        <is>
          <t>20260202001088</t>
        </is>
      </c>
      <c r="H837" s="8">
        <f>HYPERLINK("https://dart.fss.or.kr/dsaf001/main.do?rcpNo=20260202001088", "공시열람")</f>
        <v/>
      </c>
    </row>
    <row r="838">
      <c r="A838" s="2" t="inlineStr">
        <is>
          <t>2026-02-02</t>
        </is>
      </c>
      <c r="B838" s="3" t="inlineStr">
        <is>
          <t>삼성전자</t>
        </is>
      </c>
      <c r="C838" s="2" t="inlineStr">
        <is>
          <t>코스피</t>
        </is>
      </c>
      <c r="D838" s="2" t="inlineStr">
        <is>
          <t>005930</t>
        </is>
      </c>
      <c r="E838" s="3" t="inlineStr">
        <is>
          <t>임원ㆍ주요주주특정증권등소유상황보고서</t>
        </is>
      </c>
      <c r="F838" s="3" t="inlineStr">
        <is>
          <t>서창우</t>
        </is>
      </c>
      <c r="G838" s="2" t="inlineStr">
        <is>
          <t>20260202001087</t>
        </is>
      </c>
      <c r="H838" s="8">
        <f>HYPERLINK("https://dart.fss.or.kr/dsaf001/main.do?rcpNo=20260202001087", "공시열람")</f>
        <v/>
      </c>
    </row>
    <row r="839">
      <c r="A839" s="2" t="inlineStr">
        <is>
          <t>2026-02-02</t>
        </is>
      </c>
      <c r="B839" s="3" t="inlineStr">
        <is>
          <t>에쎈테크</t>
        </is>
      </c>
      <c r="C839" s="2" t="inlineStr">
        <is>
          <t>코스닥</t>
        </is>
      </c>
      <c r="D839" s="2" t="inlineStr">
        <is>
          <t>043340</t>
        </is>
      </c>
      <c r="E839" s="3" t="inlineStr">
        <is>
          <t>임원ㆍ주요주주특정증권등소유상황보고서</t>
        </is>
      </c>
      <c r="F839" s="3" t="inlineStr">
        <is>
          <t>김성범</t>
        </is>
      </c>
      <c r="G839" s="2" t="inlineStr">
        <is>
          <t>20260202001083</t>
        </is>
      </c>
      <c r="H839" s="8">
        <f>HYPERLINK("https://dart.fss.or.kr/dsaf001/main.do?rcpNo=20260202001083", "공시열람")</f>
        <v/>
      </c>
    </row>
    <row r="840">
      <c r="A840" s="2" t="inlineStr">
        <is>
          <t>2026-02-02</t>
        </is>
      </c>
      <c r="B840" s="3" t="inlineStr">
        <is>
          <t>삼성전자</t>
        </is>
      </c>
      <c r="C840" s="2" t="inlineStr">
        <is>
          <t>코스피</t>
        </is>
      </c>
      <c r="D840" s="2" t="inlineStr">
        <is>
          <t>005930</t>
        </is>
      </c>
      <c r="E840" s="3" t="inlineStr">
        <is>
          <t>임원ㆍ주요주주특정증권등소유상황보고서</t>
        </is>
      </c>
      <c r="F840" s="3" t="inlineStr">
        <is>
          <t>설지윤</t>
        </is>
      </c>
      <c r="G840" s="2" t="inlineStr">
        <is>
          <t>20260202001082</t>
        </is>
      </c>
      <c r="H840" s="8">
        <f>HYPERLINK("https://dart.fss.or.kr/dsaf001/main.do?rcpNo=20260202001082", "공시열람")</f>
        <v/>
      </c>
    </row>
    <row r="841">
      <c r="A841" s="2" t="inlineStr">
        <is>
          <t>2026-02-02</t>
        </is>
      </c>
      <c r="B841" s="3" t="inlineStr">
        <is>
          <t>테스</t>
        </is>
      </c>
      <c r="C841" s="2" t="inlineStr">
        <is>
          <t>코스닥</t>
        </is>
      </c>
      <c r="D841" s="2" t="inlineStr">
        <is>
          <t>095610</t>
        </is>
      </c>
      <c r="E841" s="3" t="inlineStr">
        <is>
          <t>임원ㆍ주요주주특정증권등소유상황보고서</t>
        </is>
      </c>
      <c r="F841" s="3" t="inlineStr">
        <is>
          <t>국민연금공단</t>
        </is>
      </c>
      <c r="G841" s="2" t="inlineStr">
        <is>
          <t>20260202001081</t>
        </is>
      </c>
      <c r="H841" s="8">
        <f>HYPERLINK("https://dart.fss.or.kr/dsaf001/main.do?rcpNo=20260202001081", "공시열람")</f>
        <v/>
      </c>
    </row>
    <row r="842">
      <c r="A842" s="2" t="inlineStr">
        <is>
          <t>2026-02-02</t>
        </is>
      </c>
      <c r="B842" s="3" t="inlineStr">
        <is>
          <t>삼성전자</t>
        </is>
      </c>
      <c r="C842" s="2" t="inlineStr">
        <is>
          <t>코스피</t>
        </is>
      </c>
      <c r="D842" s="2" t="inlineStr">
        <is>
          <t>005930</t>
        </is>
      </c>
      <c r="E842" s="3" t="inlineStr">
        <is>
          <t>임원ㆍ주요주주특정증권등소유상황보고서</t>
        </is>
      </c>
      <c r="F842" s="3" t="inlineStr">
        <is>
          <t>조원희</t>
        </is>
      </c>
      <c r="G842" s="2" t="inlineStr">
        <is>
          <t>20260202001080</t>
        </is>
      </c>
      <c r="H842" s="8">
        <f>HYPERLINK("https://dart.fss.or.kr/dsaf001/main.do?rcpNo=20260202001080", "공시열람")</f>
        <v/>
      </c>
    </row>
    <row r="843">
      <c r="A843" s="2" t="inlineStr">
        <is>
          <t>2026-02-02</t>
        </is>
      </c>
      <c r="B843" s="3" t="inlineStr">
        <is>
          <t>삼성전자</t>
        </is>
      </c>
      <c r="C843" s="2" t="inlineStr">
        <is>
          <t>코스피</t>
        </is>
      </c>
      <c r="D843" s="2" t="inlineStr">
        <is>
          <t>005930</t>
        </is>
      </c>
      <c r="E843" s="3" t="inlineStr">
        <is>
          <t>임원ㆍ주요주주특정증권등소유상황보고서</t>
        </is>
      </c>
      <c r="F843" s="3" t="inlineStr">
        <is>
          <t>이문근</t>
        </is>
      </c>
      <c r="G843" s="2" t="inlineStr">
        <is>
          <t>20260202001079</t>
        </is>
      </c>
      <c r="H843" s="8">
        <f>HYPERLINK("https://dart.fss.or.kr/dsaf001/main.do?rcpNo=20260202001079", "공시열람")</f>
        <v/>
      </c>
    </row>
    <row r="844">
      <c r="A844" s="2" t="inlineStr">
        <is>
          <t>2026-02-02</t>
        </is>
      </c>
      <c r="B844" s="3" t="inlineStr">
        <is>
          <t>삼성전자</t>
        </is>
      </c>
      <c r="C844" s="2" t="inlineStr">
        <is>
          <t>코스피</t>
        </is>
      </c>
      <c r="D844" s="2" t="inlineStr">
        <is>
          <t>005930</t>
        </is>
      </c>
      <c r="E844" s="3" t="inlineStr">
        <is>
          <t>임원ㆍ주요주주특정증권등소유상황보고서</t>
        </is>
      </c>
      <c r="F844" s="3" t="inlineStr">
        <is>
          <t>오창호</t>
        </is>
      </c>
      <c r="G844" s="2" t="inlineStr">
        <is>
          <t>20260202001078</t>
        </is>
      </c>
      <c r="H844" s="8">
        <f>HYPERLINK("https://dart.fss.or.kr/dsaf001/main.do?rcpNo=20260202001078", "공시열람")</f>
        <v/>
      </c>
    </row>
    <row r="845">
      <c r="A845" s="2" t="inlineStr">
        <is>
          <t>2026-02-02</t>
        </is>
      </c>
      <c r="B845" s="3" t="inlineStr">
        <is>
          <t>삼성전자</t>
        </is>
      </c>
      <c r="C845" s="2" t="inlineStr">
        <is>
          <t>코스피</t>
        </is>
      </c>
      <c r="D845" s="2" t="inlineStr">
        <is>
          <t>005930</t>
        </is>
      </c>
      <c r="E845" s="3" t="inlineStr">
        <is>
          <t>임원ㆍ주요주주특정증권등소유상황보고서</t>
        </is>
      </c>
      <c r="F845" s="3" t="inlineStr">
        <is>
          <t>최종성</t>
        </is>
      </c>
      <c r="G845" s="2" t="inlineStr">
        <is>
          <t>20260202001077</t>
        </is>
      </c>
      <c r="H845" s="8">
        <f>HYPERLINK("https://dart.fss.or.kr/dsaf001/main.do?rcpNo=20260202001077", "공시열람")</f>
        <v/>
      </c>
    </row>
    <row r="846">
      <c r="A846" s="2" t="inlineStr">
        <is>
          <t>2026-02-02</t>
        </is>
      </c>
      <c r="B846" s="3" t="inlineStr">
        <is>
          <t>삼성전자</t>
        </is>
      </c>
      <c r="C846" s="2" t="inlineStr">
        <is>
          <t>코스피</t>
        </is>
      </c>
      <c r="D846" s="2" t="inlineStr">
        <is>
          <t>005930</t>
        </is>
      </c>
      <c r="E846" s="3" t="inlineStr">
        <is>
          <t>임원ㆍ주요주주특정증권등소유상황보고서</t>
        </is>
      </c>
      <c r="F846" s="3" t="inlineStr">
        <is>
          <t>김인식</t>
        </is>
      </c>
      <c r="G846" s="2" t="inlineStr">
        <is>
          <t>20260202001075</t>
        </is>
      </c>
      <c r="H846" s="8">
        <f>HYPERLINK("https://dart.fss.or.kr/dsaf001/main.do?rcpNo=20260202001075", "공시열람")</f>
        <v/>
      </c>
    </row>
    <row r="847">
      <c r="A847" s="2" t="inlineStr">
        <is>
          <t>2026-02-02</t>
        </is>
      </c>
      <c r="B847" s="3" t="inlineStr">
        <is>
          <t>태경비케이</t>
        </is>
      </c>
      <c r="C847" s="2" t="inlineStr">
        <is>
          <t>코스피</t>
        </is>
      </c>
      <c r="D847" s="2" t="inlineStr">
        <is>
          <t>014580</t>
        </is>
      </c>
      <c r="E847" s="3" t="inlineStr">
        <is>
          <t xml:space="preserve">현금ㆍ현물배당결정              </t>
        </is>
      </c>
      <c r="F847" s="3" t="inlineStr">
        <is>
          <t>태경비케이</t>
        </is>
      </c>
      <c r="G847" s="2" t="inlineStr">
        <is>
          <t>20260202801669</t>
        </is>
      </c>
      <c r="H847" s="8">
        <f>HYPERLINK("https://dart.fss.or.kr/dsaf001/main.do?rcpNo=20260202801669", "공시열람")</f>
        <v/>
      </c>
    </row>
    <row r="848">
      <c r="A848" s="2" t="inlineStr">
        <is>
          <t>2026-02-02</t>
        </is>
      </c>
      <c r="B848" s="3" t="inlineStr">
        <is>
          <t>삼성전자</t>
        </is>
      </c>
      <c r="C848" s="2" t="inlineStr">
        <is>
          <t>코스피</t>
        </is>
      </c>
      <c r="D848" s="2" t="inlineStr">
        <is>
          <t>005930</t>
        </is>
      </c>
      <c r="E848" s="3" t="inlineStr">
        <is>
          <t>임원ㆍ주요주주특정증권등소유상황보고서</t>
        </is>
      </c>
      <c r="F848" s="3" t="inlineStr">
        <is>
          <t>윤기영</t>
        </is>
      </c>
      <c r="G848" s="2" t="inlineStr">
        <is>
          <t>20260202001074</t>
        </is>
      </c>
      <c r="H848" s="8">
        <f>HYPERLINK("https://dart.fss.or.kr/dsaf001/main.do?rcpNo=20260202001074", "공시열람")</f>
        <v/>
      </c>
    </row>
    <row r="849">
      <c r="A849" s="2" t="inlineStr">
        <is>
          <t>2026-02-02</t>
        </is>
      </c>
      <c r="B849" s="3" t="inlineStr">
        <is>
          <t>삼성전자</t>
        </is>
      </c>
      <c r="C849" s="2" t="inlineStr">
        <is>
          <t>코스피</t>
        </is>
      </c>
      <c r="D849" s="2" t="inlineStr">
        <is>
          <t>005930</t>
        </is>
      </c>
      <c r="E849" s="3" t="inlineStr">
        <is>
          <t>임원ㆍ주요주주특정증권등소유상황보고서</t>
        </is>
      </c>
      <c r="F849" s="3" t="inlineStr">
        <is>
          <t>이상빈</t>
        </is>
      </c>
      <c r="G849" s="2" t="inlineStr">
        <is>
          <t>20260202001073</t>
        </is>
      </c>
      <c r="H849" s="8">
        <f>HYPERLINK("https://dart.fss.or.kr/dsaf001/main.do?rcpNo=20260202001073", "공시열람")</f>
        <v/>
      </c>
    </row>
    <row r="850">
      <c r="A850" s="2" t="inlineStr">
        <is>
          <t>2026-02-02</t>
        </is>
      </c>
      <c r="B850" s="3" t="inlineStr">
        <is>
          <t>삼성전자</t>
        </is>
      </c>
      <c r="C850" s="2" t="inlineStr">
        <is>
          <t>코스피</t>
        </is>
      </c>
      <c r="D850" s="2" t="inlineStr">
        <is>
          <t>005930</t>
        </is>
      </c>
      <c r="E850" s="3" t="inlineStr">
        <is>
          <t>임원ㆍ주요주주특정증권등소유상황보고서</t>
        </is>
      </c>
      <c r="F850" s="3" t="inlineStr">
        <is>
          <t>강민석</t>
        </is>
      </c>
      <c r="G850" s="2" t="inlineStr">
        <is>
          <t>20260202001072</t>
        </is>
      </c>
      <c r="H850" s="8">
        <f>HYPERLINK("https://dart.fss.or.kr/dsaf001/main.do?rcpNo=20260202001072", "공시열람")</f>
        <v/>
      </c>
    </row>
    <row r="851">
      <c r="A851" s="2" t="inlineStr">
        <is>
          <t>2026-02-02</t>
        </is>
      </c>
      <c r="B851" s="3" t="inlineStr">
        <is>
          <t>한미약품</t>
        </is>
      </c>
      <c r="C851" s="2" t="inlineStr">
        <is>
          <t>코스피</t>
        </is>
      </c>
      <c r="D851" s="2" t="inlineStr">
        <is>
          <t>128940</t>
        </is>
      </c>
      <c r="E851" s="3" t="inlineStr">
        <is>
          <t>임원ㆍ주요주주특정증권등소유상황보고서</t>
        </is>
      </c>
      <c r="F851" s="3" t="inlineStr">
        <is>
          <t>국민연금공단</t>
        </is>
      </c>
      <c r="G851" s="2" t="inlineStr">
        <is>
          <t>20260202001071</t>
        </is>
      </c>
      <c r="H851" s="8">
        <f>HYPERLINK("https://dart.fss.or.kr/dsaf001/main.do?rcpNo=20260202001071", "공시열람")</f>
        <v/>
      </c>
    </row>
    <row r="852">
      <c r="A852" s="2" t="inlineStr">
        <is>
          <t>2026-02-02</t>
        </is>
      </c>
      <c r="B852" s="3" t="inlineStr">
        <is>
          <t>한화투자증권</t>
        </is>
      </c>
      <c r="C852" s="2" t="inlineStr">
        <is>
          <t>코스피</t>
        </is>
      </c>
      <c r="D852" s="2" t="inlineStr">
        <is>
          <t>003530</t>
        </is>
      </c>
      <c r="E852" s="3" t="inlineStr">
        <is>
          <t>일괄신고추가서류(파생결합증권-주가연계증권)</t>
        </is>
      </c>
      <c r="F852" s="3" t="inlineStr">
        <is>
          <t>한화투자증권</t>
        </is>
      </c>
      <c r="G852" s="2" t="inlineStr">
        <is>
          <t>20260202001069</t>
        </is>
      </c>
      <c r="H852" s="8">
        <f>HYPERLINK("https://dart.fss.or.kr/dsaf001/main.do?rcpNo=20260202001069", "공시열람")</f>
        <v/>
      </c>
    </row>
    <row r="853">
      <c r="A853" s="2" t="inlineStr">
        <is>
          <t>2026-02-02</t>
        </is>
      </c>
      <c r="B853" s="3" t="inlineStr">
        <is>
          <t>삼성전자</t>
        </is>
      </c>
      <c r="C853" s="2" t="inlineStr">
        <is>
          <t>코스피</t>
        </is>
      </c>
      <c r="D853" s="2" t="inlineStr">
        <is>
          <t>005930</t>
        </is>
      </c>
      <c r="E853" s="3" t="inlineStr">
        <is>
          <t>임원ㆍ주요주주특정증권등소유상황보고서</t>
        </is>
      </c>
      <c r="F853" s="3" t="inlineStr">
        <is>
          <t>조영민</t>
        </is>
      </c>
      <c r="G853" s="2" t="inlineStr">
        <is>
          <t>20260202001068</t>
        </is>
      </c>
      <c r="H853" s="8">
        <f>HYPERLINK("https://dart.fss.or.kr/dsaf001/main.do?rcpNo=20260202001068", "공시열람")</f>
        <v/>
      </c>
    </row>
    <row r="854">
      <c r="A854" s="2" t="inlineStr">
        <is>
          <t>2026-02-02</t>
        </is>
      </c>
      <c r="B854" s="3" t="inlineStr">
        <is>
          <t>삼성전자</t>
        </is>
      </c>
      <c r="C854" s="2" t="inlineStr">
        <is>
          <t>코스피</t>
        </is>
      </c>
      <c r="D854" s="2" t="inlineStr">
        <is>
          <t>005930</t>
        </is>
      </c>
      <c r="E854" s="3" t="inlineStr">
        <is>
          <t>임원ㆍ주요주주특정증권등소유상황보고서</t>
        </is>
      </c>
      <c r="F854" s="3" t="inlineStr">
        <is>
          <t>문성우</t>
        </is>
      </c>
      <c r="G854" s="2" t="inlineStr">
        <is>
          <t>20260202001067</t>
        </is>
      </c>
      <c r="H854" s="8">
        <f>HYPERLINK("https://dart.fss.or.kr/dsaf001/main.do?rcpNo=20260202001067", "공시열람")</f>
        <v/>
      </c>
    </row>
    <row r="855">
      <c r="A855" s="2" t="inlineStr">
        <is>
          <t>2026-02-02</t>
        </is>
      </c>
      <c r="B855" s="3" t="inlineStr">
        <is>
          <t>유바이오로직스</t>
        </is>
      </c>
      <c r="C855" s="2" t="inlineStr">
        <is>
          <t>코스닥</t>
        </is>
      </c>
      <c r="D855" s="2" t="inlineStr">
        <is>
          <t>206650</t>
        </is>
      </c>
      <c r="E855" s="3" t="inlineStr">
        <is>
          <t xml:space="preserve">매출액또는손익구조30%(대규모법인은15%)이상변동              </t>
        </is>
      </c>
      <c r="F855" s="3" t="inlineStr">
        <is>
          <t>유바이오로직스</t>
        </is>
      </c>
      <c r="G855" s="2" t="inlineStr">
        <is>
          <t>20260202901622</t>
        </is>
      </c>
      <c r="H855" s="8">
        <f>HYPERLINK("https://dart.fss.or.kr/dsaf001/main.do?rcpNo=20260202901622", "공시열람")</f>
        <v/>
      </c>
    </row>
    <row r="856">
      <c r="A856" s="2" t="inlineStr">
        <is>
          <t>2026-02-02</t>
        </is>
      </c>
      <c r="B856" s="3" t="inlineStr">
        <is>
          <t>삼성전자</t>
        </is>
      </c>
      <c r="C856" s="2" t="inlineStr">
        <is>
          <t>코스피</t>
        </is>
      </c>
      <c r="D856" s="2" t="inlineStr">
        <is>
          <t>005930</t>
        </is>
      </c>
      <c r="E856" s="3" t="inlineStr">
        <is>
          <t>임원ㆍ주요주주특정증권등소유상황보고서</t>
        </is>
      </c>
      <c r="F856" s="3" t="inlineStr">
        <is>
          <t>황근철</t>
        </is>
      </c>
      <c r="G856" s="2" t="inlineStr">
        <is>
          <t>20260202001066</t>
        </is>
      </c>
      <c r="H856" s="8">
        <f>HYPERLINK("https://dart.fss.or.kr/dsaf001/main.do?rcpNo=20260202001066", "공시열람")</f>
        <v/>
      </c>
    </row>
    <row r="857">
      <c r="A857" s="2" t="inlineStr">
        <is>
          <t>2026-02-02</t>
        </is>
      </c>
      <c r="B857" s="3" t="inlineStr">
        <is>
          <t>삼성전자</t>
        </is>
      </c>
      <c r="C857" s="2" t="inlineStr">
        <is>
          <t>코스피</t>
        </is>
      </c>
      <c r="D857" s="2" t="inlineStr">
        <is>
          <t>005930</t>
        </is>
      </c>
      <c r="E857" s="3" t="inlineStr">
        <is>
          <t>임원ㆍ주요주주특정증권등소유상황보고서</t>
        </is>
      </c>
      <c r="F857" s="3" t="inlineStr">
        <is>
          <t>최종근</t>
        </is>
      </c>
      <c r="G857" s="2" t="inlineStr">
        <is>
          <t>20260202001063</t>
        </is>
      </c>
      <c r="H857" s="8">
        <f>HYPERLINK("https://dart.fss.or.kr/dsaf001/main.do?rcpNo=20260202001063", "공시열람")</f>
        <v/>
      </c>
    </row>
    <row r="858">
      <c r="A858" s="2" t="inlineStr">
        <is>
          <t>2026-02-02</t>
        </is>
      </c>
      <c r="B858" s="3" t="inlineStr">
        <is>
          <t>CJ대한통운</t>
        </is>
      </c>
      <c r="C858" s="2" t="inlineStr">
        <is>
          <t>코스피</t>
        </is>
      </c>
      <c r="D858" s="2" t="inlineStr">
        <is>
          <t>000120</t>
        </is>
      </c>
      <c r="E858" s="3" t="inlineStr">
        <is>
          <t>임원ㆍ주요주주특정증권등소유상황보고서</t>
        </is>
      </c>
      <c r="F858" s="3" t="inlineStr">
        <is>
          <t>국민연금공단</t>
        </is>
      </c>
      <c r="G858" s="2" t="inlineStr">
        <is>
          <t>20260202001062</t>
        </is>
      </c>
      <c r="H858" s="8">
        <f>HYPERLINK("https://dart.fss.or.kr/dsaf001/main.do?rcpNo=20260202001062", "공시열람")</f>
        <v/>
      </c>
    </row>
    <row r="859">
      <c r="A859" s="2" t="inlineStr">
        <is>
          <t>2026-02-02</t>
        </is>
      </c>
      <c r="B859" s="3" t="inlineStr">
        <is>
          <t>삼양케이씨아이</t>
        </is>
      </c>
      <c r="C859" s="2" t="inlineStr">
        <is>
          <t>코스닥</t>
        </is>
      </c>
      <c r="D859" s="2" t="inlineStr">
        <is>
          <t>036670</t>
        </is>
      </c>
      <c r="E859" s="3" t="inlineStr">
        <is>
          <t xml:space="preserve">현금ㆍ현물배당결정              </t>
        </is>
      </c>
      <c r="F859" s="3" t="inlineStr">
        <is>
          <t>삼양케이씨아이</t>
        </is>
      </c>
      <c r="G859" s="2" t="inlineStr">
        <is>
          <t>20260202901578</t>
        </is>
      </c>
      <c r="H859" s="8">
        <f>HYPERLINK("https://dart.fss.or.kr/dsaf001/main.do?rcpNo=20260202901578", "공시열람")</f>
        <v/>
      </c>
    </row>
    <row r="860">
      <c r="A860" s="2" t="inlineStr">
        <is>
          <t>2026-02-02</t>
        </is>
      </c>
      <c r="B860" s="3" t="inlineStr">
        <is>
          <t>삼성전자</t>
        </is>
      </c>
      <c r="C860" s="2" t="inlineStr">
        <is>
          <t>코스피</t>
        </is>
      </c>
      <c r="D860" s="2" t="inlineStr">
        <is>
          <t>005930</t>
        </is>
      </c>
      <c r="E860" s="3" t="inlineStr">
        <is>
          <t>임원ㆍ주요주주특정증권등소유상황보고서</t>
        </is>
      </c>
      <c r="F860" s="3" t="inlineStr">
        <is>
          <t>임수현</t>
        </is>
      </c>
      <c r="G860" s="2" t="inlineStr">
        <is>
          <t>20260202001061</t>
        </is>
      </c>
      <c r="H860" s="8">
        <f>HYPERLINK("https://dart.fss.or.kr/dsaf001/main.do?rcpNo=20260202001061", "공시열람")</f>
        <v/>
      </c>
    </row>
    <row r="861">
      <c r="A861" s="2" t="inlineStr">
        <is>
          <t>2026-02-02</t>
        </is>
      </c>
      <c r="B861" s="3" t="inlineStr">
        <is>
          <t>삼성전자</t>
        </is>
      </c>
      <c r="C861" s="2" t="inlineStr">
        <is>
          <t>코스피</t>
        </is>
      </c>
      <c r="D861" s="2" t="inlineStr">
        <is>
          <t>005930</t>
        </is>
      </c>
      <c r="E861" s="3" t="inlineStr">
        <is>
          <t>임원ㆍ주요주주특정증권등소유상황보고서</t>
        </is>
      </c>
      <c r="F861" s="3" t="inlineStr">
        <is>
          <t>박상영</t>
        </is>
      </c>
      <c r="G861" s="2" t="inlineStr">
        <is>
          <t>20260202001060</t>
        </is>
      </c>
      <c r="H861" s="8">
        <f>HYPERLINK("https://dart.fss.or.kr/dsaf001/main.do?rcpNo=20260202001060", "공시열람")</f>
        <v/>
      </c>
    </row>
    <row r="862">
      <c r="A862" s="2" t="inlineStr">
        <is>
          <t>2026-02-02</t>
        </is>
      </c>
      <c r="B862" s="3" t="inlineStr">
        <is>
          <t>신영증권</t>
        </is>
      </c>
      <c r="C862" s="2" t="inlineStr">
        <is>
          <t>코스피</t>
        </is>
      </c>
      <c r="D862" s="2" t="inlineStr">
        <is>
          <t>001720</t>
        </is>
      </c>
      <c r="E862" s="3" t="inlineStr">
        <is>
          <t>일괄신고추가서류(파생결합증권-주가연계증권)</t>
        </is>
      </c>
      <c r="F862" s="3" t="inlineStr">
        <is>
          <t>신영증권</t>
        </is>
      </c>
      <c r="G862" s="2" t="inlineStr">
        <is>
          <t>20260202001059</t>
        </is>
      </c>
      <c r="H862" s="8">
        <f>HYPERLINK("https://dart.fss.or.kr/dsaf001/main.do?rcpNo=20260202001059", "공시열람")</f>
        <v/>
      </c>
    </row>
    <row r="863">
      <c r="A863" s="2" t="inlineStr">
        <is>
          <t>2026-02-02</t>
        </is>
      </c>
      <c r="B863" s="3" t="inlineStr">
        <is>
          <t>케이씨씨</t>
        </is>
      </c>
      <c r="C863" s="2" t="inlineStr">
        <is>
          <t>코스피</t>
        </is>
      </c>
      <c r="D863" s="2" t="inlineStr">
        <is>
          <t>002380</t>
        </is>
      </c>
      <c r="E863" s="3" t="inlineStr">
        <is>
          <t>증권발행실적보고서</t>
        </is>
      </c>
      <c r="F863" s="3" t="inlineStr">
        <is>
          <t>케이씨씨</t>
        </is>
      </c>
      <c r="G863" s="2" t="inlineStr">
        <is>
          <t>20260202001058</t>
        </is>
      </c>
      <c r="H863" s="8">
        <f>HYPERLINK("https://dart.fss.or.kr/dsaf001/main.do?rcpNo=20260202001058", "공시열람")</f>
        <v/>
      </c>
    </row>
    <row r="864">
      <c r="A864" s="2" t="inlineStr">
        <is>
          <t>2026-02-02</t>
        </is>
      </c>
      <c r="B864" s="3" t="inlineStr">
        <is>
          <t>삼성전자</t>
        </is>
      </c>
      <c r="C864" s="2" t="inlineStr">
        <is>
          <t>코스피</t>
        </is>
      </c>
      <c r="D864" s="2" t="inlineStr">
        <is>
          <t>005930</t>
        </is>
      </c>
      <c r="E864" s="3" t="inlineStr">
        <is>
          <t>임원ㆍ주요주주특정증권등소유상황보고서</t>
        </is>
      </c>
      <c r="F864" s="3" t="inlineStr">
        <is>
          <t>조근휘</t>
        </is>
      </c>
      <c r="G864" s="2" t="inlineStr">
        <is>
          <t>20260202001056</t>
        </is>
      </c>
      <c r="H864" s="8">
        <f>HYPERLINK("https://dart.fss.or.kr/dsaf001/main.do?rcpNo=20260202001056", "공시열람")</f>
        <v/>
      </c>
    </row>
    <row r="865">
      <c r="A865" s="2" t="inlineStr">
        <is>
          <t>2026-02-02</t>
        </is>
      </c>
      <c r="B865" s="3" t="inlineStr">
        <is>
          <t>팸텍</t>
        </is>
      </c>
      <c r="C865" s="2" t="inlineStr">
        <is>
          <t>코스닥</t>
        </is>
      </c>
      <c r="D865" s="2" t="inlineStr">
        <is>
          <t>271830</t>
        </is>
      </c>
      <c r="E865" s="3" t="inlineStr">
        <is>
          <t xml:space="preserve">매출액또는손익구조30%(대규모법인은15%)이상변동              </t>
        </is>
      </c>
      <c r="F865" s="3" t="inlineStr">
        <is>
          <t>팸텍</t>
        </is>
      </c>
      <c r="G865" s="2" t="inlineStr">
        <is>
          <t>20260202901464</t>
        </is>
      </c>
      <c r="H865" s="8">
        <f>HYPERLINK("https://dart.fss.or.kr/dsaf001/main.do?rcpNo=20260202901464", "공시열람")</f>
        <v/>
      </c>
    </row>
    <row r="866">
      <c r="A866" s="2" t="inlineStr">
        <is>
          <t>2026-02-02</t>
        </is>
      </c>
      <c r="B866" s="3" t="inlineStr">
        <is>
          <t>삼성전자</t>
        </is>
      </c>
      <c r="C866" s="2" t="inlineStr">
        <is>
          <t>코스피</t>
        </is>
      </c>
      <c r="D866" s="2" t="inlineStr">
        <is>
          <t>005930</t>
        </is>
      </c>
      <c r="E866" s="3" t="inlineStr">
        <is>
          <t>임원ㆍ주요주주특정증권등소유상황보고서</t>
        </is>
      </c>
      <c r="F866" s="3" t="inlineStr">
        <is>
          <t>강상용</t>
        </is>
      </c>
      <c r="G866" s="2" t="inlineStr">
        <is>
          <t>20260202001055</t>
        </is>
      </c>
      <c r="H866" s="8">
        <f>HYPERLINK("https://dart.fss.or.kr/dsaf001/main.do?rcpNo=20260202001055", "공시열람")</f>
        <v/>
      </c>
    </row>
    <row r="867">
      <c r="A867" s="2" t="inlineStr">
        <is>
          <t>2026-02-02</t>
        </is>
      </c>
      <c r="B867" s="3" t="inlineStr">
        <is>
          <t>멤레이비티</t>
        </is>
      </c>
      <c r="C867" s="2" t="inlineStr">
        <is>
          <t>코스닥</t>
        </is>
      </c>
      <c r="D867" s="2" t="inlineStr">
        <is>
          <t>072770</t>
        </is>
      </c>
      <c r="E867" s="3" t="inlineStr">
        <is>
          <t>[기재정정]전환청구권행사              (제11회차)</t>
        </is>
      </c>
      <c r="F867" s="3" t="inlineStr">
        <is>
          <t>멤레이비티</t>
        </is>
      </c>
      <c r="G867" s="2" t="inlineStr">
        <is>
          <t>20260202901609</t>
        </is>
      </c>
      <c r="H867" s="8">
        <f>HYPERLINK("https://dart.fss.or.kr/dsaf001/main.do?rcpNo=20260202901609", "공시열람")</f>
        <v/>
      </c>
    </row>
    <row r="868">
      <c r="A868" s="2" t="inlineStr">
        <is>
          <t>2026-02-02</t>
        </is>
      </c>
      <c r="B868" s="3" t="inlineStr">
        <is>
          <t>삼성전자</t>
        </is>
      </c>
      <c r="C868" s="2" t="inlineStr">
        <is>
          <t>코스피</t>
        </is>
      </c>
      <c r="D868" s="2" t="inlineStr">
        <is>
          <t>005930</t>
        </is>
      </c>
      <c r="E868" s="3" t="inlineStr">
        <is>
          <t>임원ㆍ주요주주특정증권등소유상황보고서</t>
        </is>
      </c>
      <c r="F868" s="3" t="inlineStr">
        <is>
          <t>문준</t>
        </is>
      </c>
      <c r="G868" s="2" t="inlineStr">
        <is>
          <t>20260202001052</t>
        </is>
      </c>
      <c r="H868" s="8">
        <f>HYPERLINK("https://dart.fss.or.kr/dsaf001/main.do?rcpNo=20260202001052", "공시열람")</f>
        <v/>
      </c>
    </row>
    <row r="869">
      <c r="A869" s="2" t="inlineStr">
        <is>
          <t>2026-02-02</t>
        </is>
      </c>
      <c r="B869" s="3" t="inlineStr">
        <is>
          <t>한솔케미칼</t>
        </is>
      </c>
      <c r="C869" s="2" t="inlineStr">
        <is>
          <t>코스피</t>
        </is>
      </c>
      <c r="D869" s="2" t="inlineStr">
        <is>
          <t>014680</t>
        </is>
      </c>
      <c r="E869" s="3" t="inlineStr">
        <is>
          <t>임원ㆍ주요주주특정증권등소유상황보고서</t>
        </is>
      </c>
      <c r="F869" s="3" t="inlineStr">
        <is>
          <t>국민연금공단</t>
        </is>
      </c>
      <c r="G869" s="2" t="inlineStr">
        <is>
          <t>20260202001051</t>
        </is>
      </c>
      <c r="H869" s="8">
        <f>HYPERLINK("https://dart.fss.or.kr/dsaf001/main.do?rcpNo=20260202001051", "공시열람")</f>
        <v/>
      </c>
    </row>
    <row r="870">
      <c r="A870" s="2" t="inlineStr">
        <is>
          <t>2026-02-02</t>
        </is>
      </c>
      <c r="B870" s="3" t="inlineStr">
        <is>
          <t>멤레이비티</t>
        </is>
      </c>
      <c r="C870" s="2" t="inlineStr">
        <is>
          <t>코스닥</t>
        </is>
      </c>
      <c r="D870" s="2" t="inlineStr">
        <is>
          <t>072770</t>
        </is>
      </c>
      <c r="E870" s="3" t="inlineStr">
        <is>
          <t>[기재정정]전환청구권행사              (제10회차, 제11회차)</t>
        </is>
      </c>
      <c r="F870" s="3" t="inlineStr">
        <is>
          <t>멤레이비티</t>
        </is>
      </c>
      <c r="G870" s="2" t="inlineStr">
        <is>
          <t>20260202901603</t>
        </is>
      </c>
      <c r="H870" s="8">
        <f>HYPERLINK("https://dart.fss.or.kr/dsaf001/main.do?rcpNo=20260202901603", "공시열람")</f>
        <v/>
      </c>
    </row>
    <row r="871">
      <c r="A871" s="2" t="inlineStr">
        <is>
          <t>2026-02-02</t>
        </is>
      </c>
      <c r="B871" s="3" t="inlineStr">
        <is>
          <t>삼성전자</t>
        </is>
      </c>
      <c r="C871" s="2" t="inlineStr">
        <is>
          <t>코스피</t>
        </is>
      </c>
      <c r="D871" s="2" t="inlineStr">
        <is>
          <t>005930</t>
        </is>
      </c>
      <c r="E871" s="3" t="inlineStr">
        <is>
          <t>임원ㆍ주요주주특정증권등소유상황보고서</t>
        </is>
      </c>
      <c r="F871" s="3" t="inlineStr">
        <is>
          <t>전형민</t>
        </is>
      </c>
      <c r="G871" s="2" t="inlineStr">
        <is>
          <t>20260202001050</t>
        </is>
      </c>
      <c r="H871" s="8">
        <f>HYPERLINK("https://dart.fss.or.kr/dsaf001/main.do?rcpNo=20260202001050", "공시열람")</f>
        <v/>
      </c>
    </row>
    <row r="872">
      <c r="A872" s="2" t="inlineStr">
        <is>
          <t>2026-02-02</t>
        </is>
      </c>
      <c r="B872" s="3" t="inlineStr">
        <is>
          <t>삼성전자</t>
        </is>
      </c>
      <c r="C872" s="2" t="inlineStr">
        <is>
          <t>코스피</t>
        </is>
      </c>
      <c r="D872" s="2" t="inlineStr">
        <is>
          <t>005930</t>
        </is>
      </c>
      <c r="E872" s="3" t="inlineStr">
        <is>
          <t>임원ㆍ주요주주특정증권등소유상황보고서</t>
        </is>
      </c>
      <c r="F872" s="3" t="inlineStr">
        <is>
          <t>김철회</t>
        </is>
      </c>
      <c r="G872" s="2" t="inlineStr">
        <is>
          <t>20260202001049</t>
        </is>
      </c>
      <c r="H872" s="8">
        <f>HYPERLINK("https://dart.fss.or.kr/dsaf001/main.do?rcpNo=20260202001049", "공시열람")</f>
        <v/>
      </c>
    </row>
    <row r="873">
      <c r="A873" s="2" t="inlineStr">
        <is>
          <t>2026-02-02</t>
        </is>
      </c>
      <c r="B873" s="3" t="inlineStr">
        <is>
          <t>삼성전자</t>
        </is>
      </c>
      <c r="C873" s="2" t="inlineStr">
        <is>
          <t>코스피</t>
        </is>
      </c>
      <c r="D873" s="2" t="inlineStr">
        <is>
          <t>005930</t>
        </is>
      </c>
      <c r="E873" s="3" t="inlineStr">
        <is>
          <t>임원ㆍ주요주주특정증권등소유상황보고서</t>
        </is>
      </c>
      <c r="F873" s="3" t="inlineStr">
        <is>
          <t>제희원</t>
        </is>
      </c>
      <c r="G873" s="2" t="inlineStr">
        <is>
          <t>20260202001048</t>
        </is>
      </c>
      <c r="H873" s="8">
        <f>HYPERLINK("https://dart.fss.or.kr/dsaf001/main.do?rcpNo=20260202001048", "공시열람")</f>
        <v/>
      </c>
    </row>
    <row r="874">
      <c r="A874" s="2" t="inlineStr">
        <is>
          <t>2026-02-02</t>
        </is>
      </c>
      <c r="B874" s="3" t="inlineStr">
        <is>
          <t>삼성전자</t>
        </is>
      </c>
      <c r="C874" s="2" t="inlineStr">
        <is>
          <t>코스피</t>
        </is>
      </c>
      <c r="D874" s="2" t="inlineStr">
        <is>
          <t>005930</t>
        </is>
      </c>
      <c r="E874" s="3" t="inlineStr">
        <is>
          <t>임원ㆍ주요주주특정증권등소유상황보고서</t>
        </is>
      </c>
      <c r="F874" s="3" t="inlineStr">
        <is>
          <t>윤찬현</t>
        </is>
      </c>
      <c r="G874" s="2" t="inlineStr">
        <is>
          <t>20260202001047</t>
        </is>
      </c>
      <c r="H874" s="8">
        <f>HYPERLINK("https://dart.fss.or.kr/dsaf001/main.do?rcpNo=20260202001047", "공시열람")</f>
        <v/>
      </c>
    </row>
    <row r="875">
      <c r="A875" s="2" t="inlineStr">
        <is>
          <t>2026-02-02</t>
        </is>
      </c>
      <c r="B875" s="3" t="inlineStr">
        <is>
          <t>종근당홀딩스</t>
        </is>
      </c>
      <c r="C875" s="2" t="inlineStr">
        <is>
          <t>코스피</t>
        </is>
      </c>
      <c r="D875" s="2" t="inlineStr">
        <is>
          <t>001630</t>
        </is>
      </c>
      <c r="E875" s="3" t="inlineStr">
        <is>
          <t xml:space="preserve">매출액또는손익구조30%(대규모법인은15%)이상변경(자회사의 주요경영사항)              </t>
        </is>
      </c>
      <c r="F875" s="3" t="inlineStr">
        <is>
          <t>종근당홀딩스</t>
        </is>
      </c>
      <c r="G875" s="2" t="inlineStr">
        <is>
          <t>20260202801620</t>
        </is>
      </c>
      <c r="H875" s="8">
        <f>HYPERLINK("https://dart.fss.or.kr/dsaf001/main.do?rcpNo=20260202801620", "공시열람")</f>
        <v/>
      </c>
    </row>
    <row r="876">
      <c r="A876" s="2" t="inlineStr">
        <is>
          <t>2026-02-02</t>
        </is>
      </c>
      <c r="B876" s="3" t="inlineStr">
        <is>
          <t>삼성전자</t>
        </is>
      </c>
      <c r="C876" s="2" t="inlineStr">
        <is>
          <t>코스피</t>
        </is>
      </c>
      <c r="D876" s="2" t="inlineStr">
        <is>
          <t>005930</t>
        </is>
      </c>
      <c r="E876" s="3" t="inlineStr">
        <is>
          <t>임원ㆍ주요주주특정증권등소유상황보고서</t>
        </is>
      </c>
      <c r="F876" s="3" t="inlineStr">
        <is>
          <t>황인철</t>
        </is>
      </c>
      <c r="G876" s="2" t="inlineStr">
        <is>
          <t>20260202001044</t>
        </is>
      </c>
      <c r="H876" s="8">
        <f>HYPERLINK("https://dart.fss.or.kr/dsaf001/main.do?rcpNo=20260202001044", "공시열람")</f>
        <v/>
      </c>
    </row>
    <row r="877">
      <c r="A877" s="2" t="inlineStr">
        <is>
          <t>2026-02-02 (정정: 2026-03-10)</t>
        </is>
      </c>
      <c r="B877" s="3" t="inlineStr">
        <is>
          <t>빛과전자</t>
        </is>
      </c>
      <c r="C877" s="2" t="inlineStr">
        <is>
          <t>코스닥</t>
        </is>
      </c>
      <c r="D877" s="2" t="inlineStr">
        <is>
          <t>069540</t>
        </is>
      </c>
      <c r="E877" s="3" t="inlineStr">
        <is>
          <t>매출액또는손익구조30%(대규모법인은15%)이상변동               (정정: 20260310)</t>
        </is>
      </c>
      <c r="F877" s="3" t="inlineStr">
        <is>
          <t>빛과전자</t>
        </is>
      </c>
      <c r="G877" s="2" t="inlineStr">
        <is>
          <t>20260310901351</t>
        </is>
      </c>
      <c r="H877" s="8">
        <f>HYPERLINK("https://dart.fss.or.kr/dsaf001/main.do?rcpNo=20260310901351", "공시열람")</f>
        <v/>
      </c>
    </row>
    <row r="878">
      <c r="A878" s="2" t="inlineStr">
        <is>
          <t>2026-02-02</t>
        </is>
      </c>
      <c r="B878" s="3" t="inlineStr">
        <is>
          <t>경보제약</t>
        </is>
      </c>
      <c r="C878" s="2" t="inlineStr">
        <is>
          <t>코스피</t>
        </is>
      </c>
      <c r="D878" s="2" t="inlineStr">
        <is>
          <t>214390</t>
        </is>
      </c>
      <c r="E878" s="3" t="inlineStr">
        <is>
          <t xml:space="preserve">매출액또는손익구조30%(대규모법인은15%)이상변경              </t>
        </is>
      </c>
      <c r="F878" s="3" t="inlineStr">
        <is>
          <t>경보제약</t>
        </is>
      </c>
      <c r="G878" s="2" t="inlineStr">
        <is>
          <t>20260202801559</t>
        </is>
      </c>
      <c r="H878" s="8">
        <f>HYPERLINK("https://dart.fss.or.kr/dsaf001/main.do?rcpNo=20260202801559", "공시열람")</f>
        <v/>
      </c>
    </row>
    <row r="879">
      <c r="A879" s="2" t="inlineStr">
        <is>
          <t>2026-02-02</t>
        </is>
      </c>
      <c r="B879" s="3" t="inlineStr">
        <is>
          <t>삼성전자</t>
        </is>
      </c>
      <c r="C879" s="2" t="inlineStr">
        <is>
          <t>코스피</t>
        </is>
      </c>
      <c r="D879" s="2" t="inlineStr">
        <is>
          <t>005930</t>
        </is>
      </c>
      <c r="E879" s="3" t="inlineStr">
        <is>
          <t>임원ㆍ주요주주특정증권등소유상황보고서</t>
        </is>
      </c>
      <c r="F879" s="3" t="inlineStr">
        <is>
          <t>강동훈</t>
        </is>
      </c>
      <c r="G879" s="2" t="inlineStr">
        <is>
          <t>20260202001042</t>
        </is>
      </c>
      <c r="H879" s="8">
        <f>HYPERLINK("https://dart.fss.or.kr/dsaf001/main.do?rcpNo=20260202001042", "공시열람")</f>
        <v/>
      </c>
    </row>
    <row r="880">
      <c r="A880" s="2" t="inlineStr">
        <is>
          <t>2026-02-02</t>
        </is>
      </c>
      <c r="B880" s="3" t="inlineStr">
        <is>
          <t>삼성전자</t>
        </is>
      </c>
      <c r="C880" s="2" t="inlineStr">
        <is>
          <t>코스피</t>
        </is>
      </c>
      <c r="D880" s="2" t="inlineStr">
        <is>
          <t>005930</t>
        </is>
      </c>
      <c r="E880" s="3" t="inlineStr">
        <is>
          <t>임원ㆍ주요주주특정증권등소유상황보고서</t>
        </is>
      </c>
      <c r="F880" s="3" t="inlineStr">
        <is>
          <t>김원겸</t>
        </is>
      </c>
      <c r="G880" s="2" t="inlineStr">
        <is>
          <t>20260202001041</t>
        </is>
      </c>
      <c r="H880" s="8">
        <f>HYPERLINK("https://dart.fss.or.kr/dsaf001/main.do?rcpNo=20260202001041", "공시열람")</f>
        <v/>
      </c>
    </row>
    <row r="881">
      <c r="A881" s="2" t="inlineStr">
        <is>
          <t>2026-02-02</t>
        </is>
      </c>
      <c r="B881" s="3" t="inlineStr">
        <is>
          <t>삼성전자</t>
        </is>
      </c>
      <c r="C881" s="2" t="inlineStr">
        <is>
          <t>코스피</t>
        </is>
      </c>
      <c r="D881" s="2" t="inlineStr">
        <is>
          <t>005930</t>
        </is>
      </c>
      <c r="E881" s="3" t="inlineStr">
        <is>
          <t>임원ㆍ주요주주특정증권등소유상황보고서</t>
        </is>
      </c>
      <c r="F881" s="3" t="inlineStr">
        <is>
          <t>김범준</t>
        </is>
      </c>
      <c r="G881" s="2" t="inlineStr">
        <is>
          <t>20260202001040</t>
        </is>
      </c>
      <c r="H881" s="8">
        <f>HYPERLINK("https://dart.fss.or.kr/dsaf001/main.do?rcpNo=20260202001040", "공시열람")</f>
        <v/>
      </c>
    </row>
    <row r="882">
      <c r="A882" s="2" t="inlineStr">
        <is>
          <t>2026-02-02</t>
        </is>
      </c>
      <c r="B882" s="3" t="inlineStr">
        <is>
          <t>삼성전자</t>
        </is>
      </c>
      <c r="C882" s="2" t="inlineStr">
        <is>
          <t>코스피</t>
        </is>
      </c>
      <c r="D882" s="2" t="inlineStr">
        <is>
          <t>005930</t>
        </is>
      </c>
      <c r="E882" s="3" t="inlineStr">
        <is>
          <t>임원ㆍ주요주주특정증권등소유상황보고서</t>
        </is>
      </c>
      <c r="F882" s="3" t="inlineStr">
        <is>
          <t>최종무</t>
        </is>
      </c>
      <c r="G882" s="2" t="inlineStr">
        <is>
          <t>20260202001039</t>
        </is>
      </c>
      <c r="H882" s="8">
        <f>HYPERLINK("https://dart.fss.or.kr/dsaf001/main.do?rcpNo=20260202001039", "공시열람")</f>
        <v/>
      </c>
    </row>
    <row r="883">
      <c r="A883" s="2" t="inlineStr">
        <is>
          <t>2026-02-02</t>
        </is>
      </c>
      <c r="B883" s="3" t="inlineStr">
        <is>
          <t>삼성전자</t>
        </is>
      </c>
      <c r="C883" s="2" t="inlineStr">
        <is>
          <t>코스피</t>
        </is>
      </c>
      <c r="D883" s="2" t="inlineStr">
        <is>
          <t>005930</t>
        </is>
      </c>
      <c r="E883" s="3" t="inlineStr">
        <is>
          <t>임원ㆍ주요주주특정증권등소유상황보고서</t>
        </is>
      </c>
      <c r="F883" s="3" t="inlineStr">
        <is>
          <t>김학상</t>
        </is>
      </c>
      <c r="G883" s="2" t="inlineStr">
        <is>
          <t>20260202001038</t>
        </is>
      </c>
      <c r="H883" s="8">
        <f>HYPERLINK("https://dart.fss.or.kr/dsaf001/main.do?rcpNo=20260202001038", "공시열람")</f>
        <v/>
      </c>
    </row>
    <row r="884">
      <c r="A884" s="2" t="inlineStr">
        <is>
          <t>2026-02-02</t>
        </is>
      </c>
      <c r="B884" s="3" t="inlineStr">
        <is>
          <t>삼성전자</t>
        </is>
      </c>
      <c r="C884" s="2" t="inlineStr">
        <is>
          <t>코스피</t>
        </is>
      </c>
      <c r="D884" s="2" t="inlineStr">
        <is>
          <t>005930</t>
        </is>
      </c>
      <c r="E884" s="3" t="inlineStr">
        <is>
          <t>임원ㆍ주요주주특정증권등소유상황보고서</t>
        </is>
      </c>
      <c r="F884" s="3" t="inlineStr">
        <is>
          <t>정한기</t>
        </is>
      </c>
      <c r="G884" s="2" t="inlineStr">
        <is>
          <t>20260202001037</t>
        </is>
      </c>
      <c r="H884" s="8">
        <f>HYPERLINK("https://dart.fss.or.kr/dsaf001/main.do?rcpNo=20260202001037", "공시열람")</f>
        <v/>
      </c>
    </row>
    <row r="885">
      <c r="A885" s="2" t="inlineStr">
        <is>
          <t>2026-02-02</t>
        </is>
      </c>
      <c r="B885" s="3" t="inlineStr">
        <is>
          <t>대신증권</t>
        </is>
      </c>
      <c r="C885" s="2" t="inlineStr">
        <is>
          <t>코스피</t>
        </is>
      </c>
      <c r="D885" s="2" t="inlineStr">
        <is>
          <t>003540</t>
        </is>
      </c>
      <c r="E885" s="3" t="inlineStr">
        <is>
          <t>증권발행실적보고서</t>
        </is>
      </c>
      <c r="F885" s="3" t="inlineStr">
        <is>
          <t>대신증권</t>
        </is>
      </c>
      <c r="G885" s="2" t="inlineStr">
        <is>
          <t>20260202001034</t>
        </is>
      </c>
      <c r="H885" s="8">
        <f>HYPERLINK("https://dart.fss.or.kr/dsaf001/main.do?rcpNo=20260202001034", "공시열람")</f>
        <v/>
      </c>
    </row>
    <row r="886">
      <c r="A886" s="2" t="inlineStr">
        <is>
          <t>2026-02-02</t>
        </is>
      </c>
      <c r="B886" s="3" t="inlineStr">
        <is>
          <t>삼성증권</t>
        </is>
      </c>
      <c r="C886" s="2" t="inlineStr">
        <is>
          <t>코스피</t>
        </is>
      </c>
      <c r="D886" s="2" t="inlineStr">
        <is>
          <t>016360</t>
        </is>
      </c>
      <c r="E886" s="3" t="inlineStr">
        <is>
          <t>증권발행실적보고서</t>
        </is>
      </c>
      <c r="F886" s="3" t="inlineStr">
        <is>
          <t>삼성증권</t>
        </is>
      </c>
      <c r="G886" s="2" t="inlineStr">
        <is>
          <t>20260202001033</t>
        </is>
      </c>
      <c r="H886" s="8">
        <f>HYPERLINK("https://dart.fss.or.kr/dsaf001/main.do?rcpNo=20260202001033", "공시열람")</f>
        <v/>
      </c>
    </row>
    <row r="887">
      <c r="A887" s="2" t="inlineStr">
        <is>
          <t>2026-02-02</t>
        </is>
      </c>
      <c r="B887" s="3" t="inlineStr">
        <is>
          <t>삼성전자</t>
        </is>
      </c>
      <c r="C887" s="2" t="inlineStr">
        <is>
          <t>코스피</t>
        </is>
      </c>
      <c r="D887" s="2" t="inlineStr">
        <is>
          <t>005930</t>
        </is>
      </c>
      <c r="E887" s="3" t="inlineStr">
        <is>
          <t>임원ㆍ주요주주특정증권등소유상황보고서</t>
        </is>
      </c>
      <c r="F887" s="3" t="inlineStr">
        <is>
          <t>임병일</t>
        </is>
      </c>
      <c r="G887" s="2" t="inlineStr">
        <is>
          <t>20260202001032</t>
        </is>
      </c>
      <c r="H887" s="8">
        <f>HYPERLINK("https://dart.fss.or.kr/dsaf001/main.do?rcpNo=20260202001032", "공시열람")</f>
        <v/>
      </c>
    </row>
    <row r="888">
      <c r="A888" s="2" t="inlineStr">
        <is>
          <t>2026-02-02</t>
        </is>
      </c>
      <c r="B888" s="3" t="inlineStr">
        <is>
          <t>디와이에이</t>
        </is>
      </c>
      <c r="C888" s="2" t="inlineStr">
        <is>
          <t>코스피</t>
        </is>
      </c>
      <c r="D888" s="2" t="inlineStr">
        <is>
          <t>002880</t>
        </is>
      </c>
      <c r="E888" s="3" t="inlineStr">
        <is>
          <t xml:space="preserve">소송등의제기ㆍ신청(일정금액이상의청구)              </t>
        </is>
      </c>
      <c r="F888" s="3" t="inlineStr">
        <is>
          <t>디와이에이</t>
        </is>
      </c>
      <c r="G888" s="2" t="inlineStr">
        <is>
          <t>20260202801601</t>
        </is>
      </c>
      <c r="H888" s="8">
        <f>HYPERLINK("https://dart.fss.or.kr/dsaf001/main.do?rcpNo=20260202801601", "공시열람")</f>
        <v/>
      </c>
    </row>
    <row r="889">
      <c r="A889" s="2" t="inlineStr">
        <is>
          <t>2026-02-02</t>
        </is>
      </c>
      <c r="B889" s="3" t="inlineStr">
        <is>
          <t>삼성전자</t>
        </is>
      </c>
      <c r="C889" s="2" t="inlineStr">
        <is>
          <t>코스피</t>
        </is>
      </c>
      <c r="D889" s="2" t="inlineStr">
        <is>
          <t>005930</t>
        </is>
      </c>
      <c r="E889" s="3" t="inlineStr">
        <is>
          <t>임원ㆍ주요주주특정증권등소유상황보고서</t>
        </is>
      </c>
      <c r="F889" s="3" t="inlineStr">
        <is>
          <t>신재영</t>
        </is>
      </c>
      <c r="G889" s="2" t="inlineStr">
        <is>
          <t>20260202001031</t>
        </is>
      </c>
      <c r="H889" s="8">
        <f>HYPERLINK("https://dart.fss.or.kr/dsaf001/main.do?rcpNo=20260202001031", "공시열람")</f>
        <v/>
      </c>
    </row>
    <row r="890">
      <c r="A890" s="2" t="inlineStr">
        <is>
          <t>2026-02-02</t>
        </is>
      </c>
      <c r="B890" s="3" t="inlineStr">
        <is>
          <t>삼성전자</t>
        </is>
      </c>
      <c r="C890" s="2" t="inlineStr">
        <is>
          <t>코스피</t>
        </is>
      </c>
      <c r="D890" s="2" t="inlineStr">
        <is>
          <t>005930</t>
        </is>
      </c>
      <c r="E890" s="3" t="inlineStr">
        <is>
          <t>임원ㆍ주요주주특정증권등소유상황보고서</t>
        </is>
      </c>
      <c r="F890" s="3" t="inlineStr">
        <is>
          <t>이경준</t>
        </is>
      </c>
      <c r="G890" s="2" t="inlineStr">
        <is>
          <t>20260202001030</t>
        </is>
      </c>
      <c r="H890" s="8">
        <f>HYPERLINK("https://dart.fss.or.kr/dsaf001/main.do?rcpNo=20260202001030", "공시열람")</f>
        <v/>
      </c>
    </row>
    <row r="891">
      <c r="A891" s="2" t="inlineStr">
        <is>
          <t>2026-02-02</t>
        </is>
      </c>
      <c r="B891" s="3" t="inlineStr">
        <is>
          <t>삼성전자</t>
        </is>
      </c>
      <c r="C891" s="2" t="inlineStr">
        <is>
          <t>코스피</t>
        </is>
      </c>
      <c r="D891" s="2" t="inlineStr">
        <is>
          <t>005930</t>
        </is>
      </c>
      <c r="E891" s="3" t="inlineStr">
        <is>
          <t>임원ㆍ주요주주특정증권등소유상황보고서</t>
        </is>
      </c>
      <c r="F891" s="3" t="inlineStr">
        <is>
          <t>강태우</t>
        </is>
      </c>
      <c r="G891" s="2" t="inlineStr">
        <is>
          <t>20260202001029</t>
        </is>
      </c>
      <c r="H891" s="8">
        <f>HYPERLINK("https://dart.fss.or.kr/dsaf001/main.do?rcpNo=20260202001029", "공시열람")</f>
        <v/>
      </c>
    </row>
    <row r="892">
      <c r="A892" s="2" t="inlineStr">
        <is>
          <t>2026-02-02</t>
        </is>
      </c>
      <c r="B892" s="3" t="inlineStr">
        <is>
          <t>삼성전자</t>
        </is>
      </c>
      <c r="C892" s="2" t="inlineStr">
        <is>
          <t>코스피</t>
        </is>
      </c>
      <c r="D892" s="2" t="inlineStr">
        <is>
          <t>005930</t>
        </is>
      </c>
      <c r="E892" s="3" t="inlineStr">
        <is>
          <t>임원ㆍ주요주주특정증권등소유상황보고서</t>
        </is>
      </c>
      <c r="F892" s="3" t="inlineStr">
        <is>
          <t>박민규</t>
        </is>
      </c>
      <c r="G892" s="2" t="inlineStr">
        <is>
          <t>20260202001028</t>
        </is>
      </c>
      <c r="H892" s="8">
        <f>HYPERLINK("https://dart.fss.or.kr/dsaf001/main.do?rcpNo=20260202001028", "공시열람")</f>
        <v/>
      </c>
    </row>
    <row r="893">
      <c r="A893" s="2" t="inlineStr">
        <is>
          <t>2026-02-02</t>
        </is>
      </c>
      <c r="B893" s="3" t="inlineStr">
        <is>
          <t>진로발효</t>
        </is>
      </c>
      <c r="C893" s="2" t="inlineStr">
        <is>
          <t>코스닥</t>
        </is>
      </c>
      <c r="D893" s="2" t="inlineStr">
        <is>
          <t>018120</t>
        </is>
      </c>
      <c r="E893" s="3" t="inlineStr">
        <is>
          <t>임원ㆍ주요주주특정증권등소유상황보고서</t>
        </is>
      </c>
      <c r="F893" s="3" t="inlineStr">
        <is>
          <t>이동호</t>
        </is>
      </c>
      <c r="G893" s="2" t="inlineStr">
        <is>
          <t>20260202001027</t>
        </is>
      </c>
      <c r="H893" s="8">
        <f>HYPERLINK("https://dart.fss.or.kr/dsaf001/main.do?rcpNo=20260202001027", "공시열람")</f>
        <v/>
      </c>
    </row>
    <row r="894">
      <c r="A894" s="2" t="inlineStr">
        <is>
          <t>2026-02-02</t>
        </is>
      </c>
      <c r="B894" s="3" t="inlineStr">
        <is>
          <t>삼성전자</t>
        </is>
      </c>
      <c r="C894" s="2" t="inlineStr">
        <is>
          <t>코스피</t>
        </is>
      </c>
      <c r="D894" s="2" t="inlineStr">
        <is>
          <t>005930</t>
        </is>
      </c>
      <c r="E894" s="3" t="inlineStr">
        <is>
          <t>임원ㆍ주요주주특정증권등소유상황보고서</t>
        </is>
      </c>
      <c r="F894" s="3" t="inlineStr">
        <is>
          <t>인우성</t>
        </is>
      </c>
      <c r="G894" s="2" t="inlineStr">
        <is>
          <t>20260202001026</t>
        </is>
      </c>
      <c r="H894" s="8">
        <f>HYPERLINK("https://dart.fss.or.kr/dsaf001/main.do?rcpNo=20260202001026", "공시열람")</f>
        <v/>
      </c>
    </row>
    <row r="895">
      <c r="A895" s="2" t="inlineStr">
        <is>
          <t>2026-02-02</t>
        </is>
      </c>
      <c r="B895" s="3" t="inlineStr">
        <is>
          <t>대신증권</t>
        </is>
      </c>
      <c r="C895" s="2" t="inlineStr">
        <is>
          <t>코스피</t>
        </is>
      </c>
      <c r="D895" s="2" t="inlineStr">
        <is>
          <t>003540</t>
        </is>
      </c>
      <c r="E895" s="3" t="inlineStr">
        <is>
          <t>증권발행실적보고서</t>
        </is>
      </c>
      <c r="F895" s="3" t="inlineStr">
        <is>
          <t>대신증권</t>
        </is>
      </c>
      <c r="G895" s="2" t="inlineStr">
        <is>
          <t>20260202001025</t>
        </is>
      </c>
      <c r="H895" s="8">
        <f>HYPERLINK("https://dart.fss.or.kr/dsaf001/main.do?rcpNo=20260202001025", "공시열람")</f>
        <v/>
      </c>
    </row>
    <row r="896">
      <c r="A896" s="2" t="inlineStr">
        <is>
          <t>2026-02-02</t>
        </is>
      </c>
      <c r="B896" s="3" t="inlineStr">
        <is>
          <t>삼성전자</t>
        </is>
      </c>
      <c r="C896" s="2" t="inlineStr">
        <is>
          <t>코스피</t>
        </is>
      </c>
      <c r="D896" s="2" t="inlineStr">
        <is>
          <t>005930</t>
        </is>
      </c>
      <c r="E896" s="3" t="inlineStr">
        <is>
          <t>임원ㆍ주요주주특정증권등소유상황보고서</t>
        </is>
      </c>
      <c r="F896" s="3" t="inlineStr">
        <is>
          <t>문성훈</t>
        </is>
      </c>
      <c r="G896" s="2" t="inlineStr">
        <is>
          <t>20260202001024</t>
        </is>
      </c>
      <c r="H896" s="8">
        <f>HYPERLINK("https://dart.fss.or.kr/dsaf001/main.do?rcpNo=20260202001024", "공시열람")</f>
        <v/>
      </c>
    </row>
    <row r="897">
      <c r="A897" s="2" t="inlineStr">
        <is>
          <t>2026-02-02</t>
        </is>
      </c>
      <c r="B897" s="3" t="inlineStr">
        <is>
          <t>인콘</t>
        </is>
      </c>
      <c r="C897" s="2" t="inlineStr">
        <is>
          <t>코스닥</t>
        </is>
      </c>
      <c r="D897" s="2" t="inlineStr">
        <is>
          <t>083640</t>
        </is>
      </c>
      <c r="E897" s="3" t="inlineStr">
        <is>
          <t xml:space="preserve">매출액또는손익구조30%(대규모법인은15%)이상변동              </t>
        </is>
      </c>
      <c r="F897" s="3" t="inlineStr">
        <is>
          <t>인콘</t>
        </is>
      </c>
      <c r="G897" s="2" t="inlineStr">
        <is>
          <t>20260202901549</t>
        </is>
      </c>
      <c r="H897" s="8">
        <f>HYPERLINK("https://dart.fss.or.kr/dsaf001/main.do?rcpNo=20260202901549", "공시열람")</f>
        <v/>
      </c>
    </row>
    <row r="898">
      <c r="A898" s="2" t="inlineStr">
        <is>
          <t>2026-02-02</t>
        </is>
      </c>
      <c r="B898" s="3" t="inlineStr">
        <is>
          <t>삼성전자</t>
        </is>
      </c>
      <c r="C898" s="2" t="inlineStr">
        <is>
          <t>코스피</t>
        </is>
      </c>
      <c r="D898" s="2" t="inlineStr">
        <is>
          <t>005930</t>
        </is>
      </c>
      <c r="E898" s="3" t="inlineStr">
        <is>
          <t>임원ㆍ주요주주특정증권등소유상황보고서</t>
        </is>
      </c>
      <c r="F898" s="3" t="inlineStr">
        <is>
          <t>최장석</t>
        </is>
      </c>
      <c r="G898" s="2" t="inlineStr">
        <is>
          <t>20260202001021</t>
        </is>
      </c>
      <c r="H898" s="8">
        <f>HYPERLINK("https://dart.fss.or.kr/dsaf001/main.do?rcpNo=20260202001021", "공시열람")</f>
        <v/>
      </c>
    </row>
    <row r="899">
      <c r="A899" s="2" t="inlineStr">
        <is>
          <t>2026-02-02</t>
        </is>
      </c>
      <c r="B899" s="3" t="inlineStr">
        <is>
          <t>삼성전자</t>
        </is>
      </c>
      <c r="C899" s="2" t="inlineStr">
        <is>
          <t>코스피</t>
        </is>
      </c>
      <c r="D899" s="2" t="inlineStr">
        <is>
          <t>005930</t>
        </is>
      </c>
      <c r="E899" s="3" t="inlineStr">
        <is>
          <t>임원ㆍ주요주주특정증권등소유상황보고서</t>
        </is>
      </c>
      <c r="F899" s="3" t="inlineStr">
        <is>
          <t>정춘화</t>
        </is>
      </c>
      <c r="G899" s="2" t="inlineStr">
        <is>
          <t>20260202001020</t>
        </is>
      </c>
      <c r="H899" s="8">
        <f>HYPERLINK("https://dart.fss.or.kr/dsaf001/main.do?rcpNo=20260202001020", "공시열람")</f>
        <v/>
      </c>
    </row>
    <row r="900">
      <c r="A900" s="2" t="inlineStr">
        <is>
          <t>2026-02-02</t>
        </is>
      </c>
      <c r="B900" s="3" t="inlineStr">
        <is>
          <t>삼성전자</t>
        </is>
      </c>
      <c r="C900" s="2" t="inlineStr">
        <is>
          <t>코스피</t>
        </is>
      </c>
      <c r="D900" s="2" t="inlineStr">
        <is>
          <t>005930</t>
        </is>
      </c>
      <c r="E900" s="3" t="inlineStr">
        <is>
          <t>임원ㆍ주요주주특정증권등소유상황보고서</t>
        </is>
      </c>
      <c r="F900" s="3" t="inlineStr">
        <is>
          <t>조성욱</t>
        </is>
      </c>
      <c r="G900" s="2" t="inlineStr">
        <is>
          <t>20260202001019</t>
        </is>
      </c>
      <c r="H900" s="8">
        <f>HYPERLINK("https://dart.fss.or.kr/dsaf001/main.do?rcpNo=20260202001019", "공시열람")</f>
        <v/>
      </c>
    </row>
    <row r="901">
      <c r="A901" s="2" t="inlineStr">
        <is>
          <t>2026-02-02</t>
        </is>
      </c>
      <c r="B901" s="3" t="inlineStr">
        <is>
          <t>포스코엠텍</t>
        </is>
      </c>
      <c r="C901" s="2" t="inlineStr">
        <is>
          <t>코스닥</t>
        </is>
      </c>
      <c r="D901" s="2" t="inlineStr">
        <is>
          <t>009520</t>
        </is>
      </c>
      <c r="E901" s="3" t="inlineStr">
        <is>
          <t xml:space="preserve">현금ㆍ현물배당결정              </t>
        </is>
      </c>
      <c r="F901" s="3" t="inlineStr">
        <is>
          <t>포스코엠텍</t>
        </is>
      </c>
      <c r="G901" s="2" t="inlineStr">
        <is>
          <t>20260202901545</t>
        </is>
      </c>
      <c r="H901" s="8">
        <f>HYPERLINK("https://dart.fss.or.kr/dsaf001/main.do?rcpNo=20260202901545", "공시열람")</f>
        <v/>
      </c>
    </row>
    <row r="902">
      <c r="A902" s="2" t="inlineStr">
        <is>
          <t>2026-02-02</t>
        </is>
      </c>
      <c r="B902" s="3" t="inlineStr">
        <is>
          <t>삼성전자</t>
        </is>
      </c>
      <c r="C902" s="2" t="inlineStr">
        <is>
          <t>코스피</t>
        </is>
      </c>
      <c r="D902" s="2" t="inlineStr">
        <is>
          <t>005930</t>
        </is>
      </c>
      <c r="E902" s="3" t="inlineStr">
        <is>
          <t>임원ㆍ주요주주특정증권등소유상황보고서</t>
        </is>
      </c>
      <c r="F902" s="3" t="inlineStr">
        <is>
          <t>이석림</t>
        </is>
      </c>
      <c r="G902" s="2" t="inlineStr">
        <is>
          <t>20260202001017</t>
        </is>
      </c>
      <c r="H902" s="8">
        <f>HYPERLINK("https://dart.fss.or.kr/dsaf001/main.do?rcpNo=20260202001017", "공시열람")</f>
        <v/>
      </c>
    </row>
    <row r="903">
      <c r="A903" s="2" t="inlineStr">
        <is>
          <t>2026-02-02</t>
        </is>
      </c>
      <c r="B903" s="3" t="inlineStr">
        <is>
          <t>삼성전자</t>
        </is>
      </c>
      <c r="C903" s="2" t="inlineStr">
        <is>
          <t>코스피</t>
        </is>
      </c>
      <c r="D903" s="2" t="inlineStr">
        <is>
          <t>005930</t>
        </is>
      </c>
      <c r="E903" s="3" t="inlineStr">
        <is>
          <t>임원ㆍ주요주주특정증권등소유상황보고서</t>
        </is>
      </c>
      <c r="F903" s="3" t="inlineStr">
        <is>
          <t>진영두</t>
        </is>
      </c>
      <c r="G903" s="2" t="inlineStr">
        <is>
          <t>20260202001016</t>
        </is>
      </c>
      <c r="H903" s="8">
        <f>HYPERLINK("https://dart.fss.or.kr/dsaf001/main.do?rcpNo=20260202001016", "공시열람")</f>
        <v/>
      </c>
    </row>
    <row r="904">
      <c r="A904" s="2" t="inlineStr">
        <is>
          <t>2026-02-02</t>
        </is>
      </c>
      <c r="B904" s="3" t="inlineStr">
        <is>
          <t>삼성전자</t>
        </is>
      </c>
      <c r="C904" s="2" t="inlineStr">
        <is>
          <t>코스피</t>
        </is>
      </c>
      <c r="D904" s="2" t="inlineStr">
        <is>
          <t>005930</t>
        </is>
      </c>
      <c r="E904" s="3" t="inlineStr">
        <is>
          <t>임원ㆍ주요주주특정증권등소유상황보고서</t>
        </is>
      </c>
      <c r="F904" s="3" t="inlineStr">
        <is>
          <t>서재홍</t>
        </is>
      </c>
      <c r="G904" s="2" t="inlineStr">
        <is>
          <t>20260202001015</t>
        </is>
      </c>
      <c r="H904" s="8">
        <f>HYPERLINK("https://dart.fss.or.kr/dsaf001/main.do?rcpNo=20260202001015", "공시열람")</f>
        <v/>
      </c>
    </row>
    <row r="905">
      <c r="A905" s="2" t="inlineStr">
        <is>
          <t>2026-02-02</t>
        </is>
      </c>
      <c r="B905" s="3" t="inlineStr">
        <is>
          <t>삼성전자</t>
        </is>
      </c>
      <c r="C905" s="2" t="inlineStr">
        <is>
          <t>코스피</t>
        </is>
      </c>
      <c r="D905" s="2" t="inlineStr">
        <is>
          <t>005930</t>
        </is>
      </c>
      <c r="E905" s="3" t="inlineStr">
        <is>
          <t>임원ㆍ주요주주특정증권등소유상황보고서</t>
        </is>
      </c>
      <c r="F905" s="3" t="inlineStr">
        <is>
          <t>최진원</t>
        </is>
      </c>
      <c r="G905" s="2" t="inlineStr">
        <is>
          <t>20260202001014</t>
        </is>
      </c>
      <c r="H905" s="8">
        <f>HYPERLINK("https://dart.fss.or.kr/dsaf001/main.do?rcpNo=20260202001014", "공시열람")</f>
        <v/>
      </c>
    </row>
    <row r="906">
      <c r="A906" s="2" t="inlineStr">
        <is>
          <t>2026-02-02</t>
        </is>
      </c>
      <c r="B906" s="3" t="inlineStr">
        <is>
          <t>삼성전자</t>
        </is>
      </c>
      <c r="C906" s="2" t="inlineStr">
        <is>
          <t>코스피</t>
        </is>
      </c>
      <c r="D906" s="2" t="inlineStr">
        <is>
          <t>005930</t>
        </is>
      </c>
      <c r="E906" s="3" t="inlineStr">
        <is>
          <t>임원ㆍ주요주주특정증권등소유상황보고서</t>
        </is>
      </c>
      <c r="F906" s="3" t="inlineStr">
        <is>
          <t>이종규</t>
        </is>
      </c>
      <c r="G906" s="2" t="inlineStr">
        <is>
          <t>20260202001013</t>
        </is>
      </c>
      <c r="H906" s="8">
        <f>HYPERLINK("https://dart.fss.or.kr/dsaf001/main.do?rcpNo=20260202001013", "공시열람")</f>
        <v/>
      </c>
    </row>
    <row r="907">
      <c r="A907" s="2" t="inlineStr">
        <is>
          <t>2026-02-02</t>
        </is>
      </c>
      <c r="B907" s="3" t="inlineStr">
        <is>
          <t>삼성전자</t>
        </is>
      </c>
      <c r="C907" s="2" t="inlineStr">
        <is>
          <t>코스피</t>
        </is>
      </c>
      <c r="D907" s="2" t="inlineStr">
        <is>
          <t>005930</t>
        </is>
      </c>
      <c r="E907" s="3" t="inlineStr">
        <is>
          <t>임원ㆍ주요주주특정증권등소유상황보고서</t>
        </is>
      </c>
      <c r="F907" s="3" t="inlineStr">
        <is>
          <t>정성훈</t>
        </is>
      </c>
      <c r="G907" s="2" t="inlineStr">
        <is>
          <t>20260202001012</t>
        </is>
      </c>
      <c r="H907" s="8">
        <f>HYPERLINK("https://dart.fss.or.kr/dsaf001/main.do?rcpNo=20260202001012", "공시열람")</f>
        <v/>
      </c>
    </row>
    <row r="908">
      <c r="A908" s="2" t="inlineStr">
        <is>
          <t>2026-02-02</t>
        </is>
      </c>
      <c r="B908" s="3" t="inlineStr">
        <is>
          <t>삼성전자</t>
        </is>
      </c>
      <c r="C908" s="2" t="inlineStr">
        <is>
          <t>코스피</t>
        </is>
      </c>
      <c r="D908" s="2" t="inlineStr">
        <is>
          <t>005930</t>
        </is>
      </c>
      <c r="E908" s="3" t="inlineStr">
        <is>
          <t>임원ㆍ주요주주특정증권등소유상황보고서</t>
        </is>
      </c>
      <c r="F908" s="3" t="inlineStr">
        <is>
          <t>이종호</t>
        </is>
      </c>
      <c r="G908" s="2" t="inlineStr">
        <is>
          <t>20260202001011</t>
        </is>
      </c>
      <c r="H908" s="8">
        <f>HYPERLINK("https://dart.fss.or.kr/dsaf001/main.do?rcpNo=20260202001011", "공시열람")</f>
        <v/>
      </c>
    </row>
    <row r="909">
      <c r="A909" s="2" t="inlineStr">
        <is>
          <t>2026-02-02</t>
        </is>
      </c>
      <c r="B909" s="3" t="inlineStr">
        <is>
          <t>상아프론테크</t>
        </is>
      </c>
      <c r="C909" s="2" t="inlineStr">
        <is>
          <t>코스닥</t>
        </is>
      </c>
      <c r="D909" s="2" t="inlineStr">
        <is>
          <t>089980</t>
        </is>
      </c>
      <c r="E909" s="3" t="inlineStr">
        <is>
          <t>임원ㆍ주요주주특정증권등소유상황보고서</t>
        </is>
      </c>
      <c r="F909" s="3" t="inlineStr">
        <is>
          <t>이상식</t>
        </is>
      </c>
      <c r="G909" s="2" t="inlineStr">
        <is>
          <t>20260202001009</t>
        </is>
      </c>
      <c r="H909" s="8">
        <f>HYPERLINK("https://dart.fss.or.kr/dsaf001/main.do?rcpNo=20260202001009", "공시열람")</f>
        <v/>
      </c>
    </row>
    <row r="910">
      <c r="A910" s="2" t="inlineStr">
        <is>
          <t>2026-02-02</t>
        </is>
      </c>
      <c r="B910" s="3" t="inlineStr">
        <is>
          <t>삼성전자</t>
        </is>
      </c>
      <c r="C910" s="2" t="inlineStr">
        <is>
          <t>코스피</t>
        </is>
      </c>
      <c r="D910" s="2" t="inlineStr">
        <is>
          <t>005930</t>
        </is>
      </c>
      <c r="E910" s="3" t="inlineStr">
        <is>
          <t>임원ㆍ주요주주특정증권등소유상황보고서</t>
        </is>
      </c>
      <c r="F910" s="3" t="inlineStr">
        <is>
          <t>조강욱</t>
        </is>
      </c>
      <c r="G910" s="2" t="inlineStr">
        <is>
          <t>20260202001007</t>
        </is>
      </c>
      <c r="H910" s="8">
        <f>HYPERLINK("https://dart.fss.or.kr/dsaf001/main.do?rcpNo=20260202001007", "공시열람")</f>
        <v/>
      </c>
    </row>
    <row r="911">
      <c r="A911" s="2" t="inlineStr">
        <is>
          <t>2026-02-02</t>
        </is>
      </c>
      <c r="B911" s="3" t="inlineStr">
        <is>
          <t>삼성전자</t>
        </is>
      </c>
      <c r="C911" s="2" t="inlineStr">
        <is>
          <t>코스피</t>
        </is>
      </c>
      <c r="D911" s="2" t="inlineStr">
        <is>
          <t>005930</t>
        </is>
      </c>
      <c r="E911" s="3" t="inlineStr">
        <is>
          <t>임원ㆍ주요주주특정증권등소유상황보고서</t>
        </is>
      </c>
      <c r="F911" s="3" t="inlineStr">
        <is>
          <t>한글라라</t>
        </is>
      </c>
      <c r="G911" s="2" t="inlineStr">
        <is>
          <t>20260202001005</t>
        </is>
      </c>
      <c r="H911" s="8">
        <f>HYPERLINK("https://dart.fss.or.kr/dsaf001/main.do?rcpNo=20260202001005", "공시열람")</f>
        <v/>
      </c>
    </row>
    <row r="912">
      <c r="A912" s="2" t="inlineStr">
        <is>
          <t>2026-02-02</t>
        </is>
      </c>
      <c r="B912" s="3" t="inlineStr">
        <is>
          <t>삼성전자</t>
        </is>
      </c>
      <c r="C912" s="2" t="inlineStr">
        <is>
          <t>코스피</t>
        </is>
      </c>
      <c r="D912" s="2" t="inlineStr">
        <is>
          <t>005930</t>
        </is>
      </c>
      <c r="E912" s="3" t="inlineStr">
        <is>
          <t>임원ㆍ주요주주특정증권등소유상황보고서</t>
        </is>
      </c>
      <c r="F912" s="3" t="inlineStr">
        <is>
          <t>전진완</t>
        </is>
      </c>
      <c r="G912" s="2" t="inlineStr">
        <is>
          <t>20260202001004</t>
        </is>
      </c>
      <c r="H912" s="8">
        <f>HYPERLINK("https://dart.fss.or.kr/dsaf001/main.do?rcpNo=20260202001004", "공시열람")</f>
        <v/>
      </c>
    </row>
    <row r="913">
      <c r="A913" s="2" t="inlineStr">
        <is>
          <t>2026-02-02</t>
        </is>
      </c>
      <c r="B913" s="3" t="inlineStr">
        <is>
          <t>삼성전자</t>
        </is>
      </c>
      <c r="C913" s="2" t="inlineStr">
        <is>
          <t>코스피</t>
        </is>
      </c>
      <c r="D913" s="2" t="inlineStr">
        <is>
          <t>005930</t>
        </is>
      </c>
      <c r="E913" s="3" t="inlineStr">
        <is>
          <t>임원ㆍ주요주주특정증권등소유상황보고서</t>
        </is>
      </c>
      <c r="F913" s="3" t="inlineStr">
        <is>
          <t>BAIK ARON</t>
        </is>
      </c>
      <c r="G913" s="2" t="inlineStr">
        <is>
          <t>20260202001003</t>
        </is>
      </c>
      <c r="H913" s="8">
        <f>HYPERLINK("https://dart.fss.or.kr/dsaf001/main.do?rcpNo=20260202001003", "공시열람")</f>
        <v/>
      </c>
    </row>
    <row r="914">
      <c r="A914" s="2" t="inlineStr">
        <is>
          <t>2026-02-02</t>
        </is>
      </c>
      <c r="B914" s="3" t="inlineStr">
        <is>
          <t>고영</t>
        </is>
      </c>
      <c r="C914" s="2" t="inlineStr">
        <is>
          <t>코스닥</t>
        </is>
      </c>
      <c r="D914" s="2" t="inlineStr">
        <is>
          <t>098460</t>
        </is>
      </c>
      <c r="E914" s="3" t="inlineStr">
        <is>
          <t xml:space="preserve">매출액또는손익구조30%(대규모법인은15%)이상변동              </t>
        </is>
      </c>
      <c r="F914" s="3" t="inlineStr">
        <is>
          <t>고영</t>
        </is>
      </c>
      <c r="G914" s="2" t="inlineStr">
        <is>
          <t>20260202901535</t>
        </is>
      </c>
      <c r="H914" s="8">
        <f>HYPERLINK("https://dart.fss.or.kr/dsaf001/main.do?rcpNo=20260202901535", "공시열람")</f>
        <v/>
      </c>
    </row>
    <row r="915">
      <c r="A915" s="2" t="inlineStr">
        <is>
          <t>2026-02-02 (정정: 2026-03-04)</t>
        </is>
      </c>
      <c r="B915" s="3" t="inlineStr">
        <is>
          <t>고영</t>
        </is>
      </c>
      <c r="C915" s="2" t="inlineStr">
        <is>
          <t>코스닥</t>
        </is>
      </c>
      <c r="D915" s="2" t="inlineStr">
        <is>
          <t>098460</t>
        </is>
      </c>
      <c r="E915" s="3" t="inlineStr">
        <is>
          <t>연결재무제표기준영업(잠정)실적(공정공시)               (정정: 20260304) (정정: 20260304)</t>
        </is>
      </c>
      <c r="F915" s="3" t="inlineStr">
        <is>
          <t>고영</t>
        </is>
      </c>
      <c r="G915" s="2" t="inlineStr">
        <is>
          <t>20260304901609</t>
        </is>
      </c>
      <c r="H915" s="8">
        <f>HYPERLINK("https://dart.fss.or.kr/dsaf001/main.do?rcpNo=20260304901609", "공시열람")</f>
        <v/>
      </c>
    </row>
    <row r="916">
      <c r="A916" s="2" t="inlineStr">
        <is>
          <t>2026-02-02</t>
        </is>
      </c>
      <c r="B916" s="3" t="inlineStr">
        <is>
          <t>삼성전자</t>
        </is>
      </c>
      <c r="C916" s="2" t="inlineStr">
        <is>
          <t>코스피</t>
        </is>
      </c>
      <c r="D916" s="2" t="inlineStr">
        <is>
          <t>005930</t>
        </is>
      </c>
      <c r="E916" s="3" t="inlineStr">
        <is>
          <t>임원ㆍ주요주주특정증권등소유상황보고서</t>
        </is>
      </c>
      <c r="F916" s="3" t="inlineStr">
        <is>
          <t>홍순상</t>
        </is>
      </c>
      <c r="G916" s="2" t="inlineStr">
        <is>
          <t>20260202001002</t>
        </is>
      </c>
      <c r="H916" s="8">
        <f>HYPERLINK("https://dart.fss.or.kr/dsaf001/main.do?rcpNo=20260202001002", "공시열람")</f>
        <v/>
      </c>
    </row>
    <row r="917">
      <c r="A917" s="2" t="inlineStr">
        <is>
          <t>2026-02-02</t>
        </is>
      </c>
      <c r="B917" s="3" t="inlineStr">
        <is>
          <t>삼성전자</t>
        </is>
      </c>
      <c r="C917" s="2" t="inlineStr">
        <is>
          <t>코스피</t>
        </is>
      </c>
      <c r="D917" s="2" t="inlineStr">
        <is>
          <t>005930</t>
        </is>
      </c>
      <c r="E917" s="3" t="inlineStr">
        <is>
          <t>임원ㆍ주요주주특정증권등소유상황보고서</t>
        </is>
      </c>
      <c r="F917" s="3" t="inlineStr">
        <is>
          <t>송방영</t>
        </is>
      </c>
      <c r="G917" s="2" t="inlineStr">
        <is>
          <t>20260202001001</t>
        </is>
      </c>
      <c r="H917" s="8">
        <f>HYPERLINK("https://dart.fss.or.kr/dsaf001/main.do?rcpNo=20260202001001", "공시열람")</f>
        <v/>
      </c>
    </row>
    <row r="918">
      <c r="A918" s="2" t="inlineStr">
        <is>
          <t>2026-02-02</t>
        </is>
      </c>
      <c r="B918" s="3" t="inlineStr">
        <is>
          <t>삼성전자</t>
        </is>
      </c>
      <c r="C918" s="2" t="inlineStr">
        <is>
          <t>코스피</t>
        </is>
      </c>
      <c r="D918" s="2" t="inlineStr">
        <is>
          <t>005930</t>
        </is>
      </c>
      <c r="E918" s="3" t="inlineStr">
        <is>
          <t>임원ㆍ주요주주특정증권등소유상황보고서</t>
        </is>
      </c>
      <c r="F918" s="3" t="inlineStr">
        <is>
          <t>조기열</t>
        </is>
      </c>
      <c r="G918" s="2" t="inlineStr">
        <is>
          <t>20260202001000</t>
        </is>
      </c>
      <c r="H918" s="8">
        <f>HYPERLINK("https://dart.fss.or.kr/dsaf001/main.do?rcpNo=20260202001000", "공시열람")</f>
        <v/>
      </c>
    </row>
    <row r="919">
      <c r="A919" s="2" t="inlineStr">
        <is>
          <t>2026-02-02</t>
        </is>
      </c>
      <c r="B919" s="3" t="inlineStr">
        <is>
          <t>삼성전자</t>
        </is>
      </c>
      <c r="C919" s="2" t="inlineStr">
        <is>
          <t>코스피</t>
        </is>
      </c>
      <c r="D919" s="2" t="inlineStr">
        <is>
          <t>005930</t>
        </is>
      </c>
      <c r="E919" s="3" t="inlineStr">
        <is>
          <t>임원ㆍ주요주주특정증권등소유상황보고서</t>
        </is>
      </c>
      <c r="F919" s="3" t="inlineStr">
        <is>
          <t>이정환</t>
        </is>
      </c>
      <c r="G919" s="2" t="inlineStr">
        <is>
          <t>20260202000999</t>
        </is>
      </c>
      <c r="H919" s="8">
        <f>HYPERLINK("https://dart.fss.or.kr/dsaf001/main.do?rcpNo=20260202000999", "공시열람")</f>
        <v/>
      </c>
    </row>
    <row r="920">
      <c r="A920" s="2" t="inlineStr">
        <is>
          <t>2026-02-02</t>
        </is>
      </c>
      <c r="B920" s="3" t="inlineStr">
        <is>
          <t>삼성전자</t>
        </is>
      </c>
      <c r="C920" s="2" t="inlineStr">
        <is>
          <t>코스피</t>
        </is>
      </c>
      <c r="D920" s="2" t="inlineStr">
        <is>
          <t>005930</t>
        </is>
      </c>
      <c r="E920" s="3" t="inlineStr">
        <is>
          <t>임원ㆍ주요주주특정증권등소유상황보고서</t>
        </is>
      </c>
      <c r="F920" s="3" t="inlineStr">
        <is>
          <t>전중원</t>
        </is>
      </c>
      <c r="G920" s="2" t="inlineStr">
        <is>
          <t>20260202000997</t>
        </is>
      </c>
      <c r="H920" s="8">
        <f>HYPERLINK("https://dart.fss.or.kr/dsaf001/main.do?rcpNo=20260202000997", "공시열람")</f>
        <v/>
      </c>
    </row>
    <row r="921">
      <c r="A921" s="2" t="inlineStr">
        <is>
          <t>2026-02-02</t>
        </is>
      </c>
      <c r="B921" s="3" t="inlineStr">
        <is>
          <t>삼성전자</t>
        </is>
      </c>
      <c r="C921" s="2" t="inlineStr">
        <is>
          <t>코스피</t>
        </is>
      </c>
      <c r="D921" s="2" t="inlineStr">
        <is>
          <t>005930</t>
        </is>
      </c>
      <c r="E921" s="3" t="inlineStr">
        <is>
          <t>임원ㆍ주요주주특정증권등소유상황보고서</t>
        </is>
      </c>
      <c r="F921" s="3" t="inlineStr">
        <is>
          <t>이태관</t>
        </is>
      </c>
      <c r="G921" s="2" t="inlineStr">
        <is>
          <t>20260202000996</t>
        </is>
      </c>
      <c r="H921" s="8">
        <f>HYPERLINK("https://dart.fss.or.kr/dsaf001/main.do?rcpNo=20260202000996", "공시열람")</f>
        <v/>
      </c>
    </row>
    <row r="922">
      <c r="A922" s="2" t="inlineStr">
        <is>
          <t>2026-02-02</t>
        </is>
      </c>
      <c r="B922" s="3" t="inlineStr">
        <is>
          <t>삼성전자</t>
        </is>
      </c>
      <c r="C922" s="2" t="inlineStr">
        <is>
          <t>코스피</t>
        </is>
      </c>
      <c r="D922" s="2" t="inlineStr">
        <is>
          <t>005930</t>
        </is>
      </c>
      <c r="E922" s="3" t="inlineStr">
        <is>
          <t>임원ㆍ주요주주특정증권등소유상황보고서</t>
        </is>
      </c>
      <c r="F922" s="3" t="inlineStr">
        <is>
          <t>허욱</t>
        </is>
      </c>
      <c r="G922" s="2" t="inlineStr">
        <is>
          <t>20260202000993</t>
        </is>
      </c>
      <c r="H922" s="8">
        <f>HYPERLINK("https://dart.fss.or.kr/dsaf001/main.do?rcpNo=20260202000993", "공시열람")</f>
        <v/>
      </c>
    </row>
    <row r="923">
      <c r="A923" s="2" t="inlineStr">
        <is>
          <t>2026-02-02</t>
        </is>
      </c>
      <c r="B923" s="3" t="inlineStr">
        <is>
          <t>삼성전자</t>
        </is>
      </c>
      <c r="C923" s="2" t="inlineStr">
        <is>
          <t>코스피</t>
        </is>
      </c>
      <c r="D923" s="2" t="inlineStr">
        <is>
          <t>005930</t>
        </is>
      </c>
      <c r="E923" s="3" t="inlineStr">
        <is>
          <t>임원ㆍ주요주주특정증권등소유상황보고서</t>
        </is>
      </c>
      <c r="F923" s="3" t="inlineStr">
        <is>
          <t>이병현</t>
        </is>
      </c>
      <c r="G923" s="2" t="inlineStr">
        <is>
          <t>20260202000992</t>
        </is>
      </c>
      <c r="H923" s="8">
        <f>HYPERLINK("https://dart.fss.or.kr/dsaf001/main.do?rcpNo=20260202000992", "공시열람")</f>
        <v/>
      </c>
    </row>
    <row r="924">
      <c r="A924" s="2" t="inlineStr">
        <is>
          <t>2026-02-02</t>
        </is>
      </c>
      <c r="B924" s="3" t="inlineStr">
        <is>
          <t>삼성전자</t>
        </is>
      </c>
      <c r="C924" s="2" t="inlineStr">
        <is>
          <t>코스피</t>
        </is>
      </c>
      <c r="D924" s="2" t="inlineStr">
        <is>
          <t>005930</t>
        </is>
      </c>
      <c r="E924" s="3" t="inlineStr">
        <is>
          <t>임원ㆍ주요주주특정증권등소유상황보고서</t>
        </is>
      </c>
      <c r="F924" s="3" t="inlineStr">
        <is>
          <t>홍연석</t>
        </is>
      </c>
      <c r="G924" s="2" t="inlineStr">
        <is>
          <t>20260202000991</t>
        </is>
      </c>
      <c r="H924" s="8">
        <f>HYPERLINK("https://dart.fss.or.kr/dsaf001/main.do?rcpNo=20260202000991", "공시열람")</f>
        <v/>
      </c>
    </row>
    <row r="925">
      <c r="A925" s="2" t="inlineStr">
        <is>
          <t>2026-02-02</t>
        </is>
      </c>
      <c r="B925" s="3" t="inlineStr">
        <is>
          <t>삼성전자</t>
        </is>
      </c>
      <c r="C925" s="2" t="inlineStr">
        <is>
          <t>코스피</t>
        </is>
      </c>
      <c r="D925" s="2" t="inlineStr">
        <is>
          <t>005930</t>
        </is>
      </c>
      <c r="E925" s="3" t="inlineStr">
        <is>
          <t>임원ㆍ주요주주특정증권등소유상황보고서</t>
        </is>
      </c>
      <c r="F925" s="3" t="inlineStr">
        <is>
          <t>이현동</t>
        </is>
      </c>
      <c r="G925" s="2" t="inlineStr">
        <is>
          <t>20260202000989</t>
        </is>
      </c>
      <c r="H925" s="8">
        <f>HYPERLINK("https://dart.fss.or.kr/dsaf001/main.do?rcpNo=20260202000989", "공시열람")</f>
        <v/>
      </c>
    </row>
    <row r="926">
      <c r="A926" s="2" t="inlineStr">
        <is>
          <t>2026-02-02</t>
        </is>
      </c>
      <c r="B926" s="3" t="inlineStr">
        <is>
          <t>삼성전자</t>
        </is>
      </c>
      <c r="C926" s="2" t="inlineStr">
        <is>
          <t>코스피</t>
        </is>
      </c>
      <c r="D926" s="2" t="inlineStr">
        <is>
          <t>005930</t>
        </is>
      </c>
      <c r="E926" s="3" t="inlineStr">
        <is>
          <t>임원ㆍ주요주주특정증권등소유상황보고서</t>
        </is>
      </c>
      <c r="F926" s="3" t="inlineStr">
        <is>
          <t>문희동</t>
        </is>
      </c>
      <c r="G926" s="2" t="inlineStr">
        <is>
          <t>20260202000988</t>
        </is>
      </c>
      <c r="H926" s="8">
        <f>HYPERLINK("https://dart.fss.or.kr/dsaf001/main.do?rcpNo=20260202000988", "공시열람")</f>
        <v/>
      </c>
    </row>
    <row r="927">
      <c r="A927" s="2" t="inlineStr">
        <is>
          <t>2026-02-02</t>
        </is>
      </c>
      <c r="B927" s="3" t="inlineStr">
        <is>
          <t>삼성전자</t>
        </is>
      </c>
      <c r="C927" s="2" t="inlineStr">
        <is>
          <t>코스피</t>
        </is>
      </c>
      <c r="D927" s="2" t="inlineStr">
        <is>
          <t>005930</t>
        </is>
      </c>
      <c r="E927" s="3" t="inlineStr">
        <is>
          <t>임원ㆍ주요주주특정증권등소유상황보고서</t>
        </is>
      </c>
      <c r="F927" s="3" t="inlineStr">
        <is>
          <t>이경호</t>
        </is>
      </c>
      <c r="G927" s="2" t="inlineStr">
        <is>
          <t>20260202000987</t>
        </is>
      </c>
      <c r="H927" s="8">
        <f>HYPERLINK("https://dart.fss.or.kr/dsaf001/main.do?rcpNo=20260202000987", "공시열람")</f>
        <v/>
      </c>
    </row>
    <row r="928">
      <c r="A928" s="2" t="inlineStr">
        <is>
          <t>2026-02-02</t>
        </is>
      </c>
      <c r="B928" s="3" t="inlineStr">
        <is>
          <t>삼성전자</t>
        </is>
      </c>
      <c r="C928" s="2" t="inlineStr">
        <is>
          <t>코스피</t>
        </is>
      </c>
      <c r="D928" s="2" t="inlineStr">
        <is>
          <t>005930</t>
        </is>
      </c>
      <c r="E928" s="3" t="inlineStr">
        <is>
          <t>임원ㆍ주요주주특정증권등소유상황보고서</t>
        </is>
      </c>
      <c r="F928" s="3" t="inlineStr">
        <is>
          <t>임지운</t>
        </is>
      </c>
      <c r="G928" s="2" t="inlineStr">
        <is>
          <t>20260202000986</t>
        </is>
      </c>
      <c r="H928" s="8">
        <f>HYPERLINK("https://dart.fss.or.kr/dsaf001/main.do?rcpNo=20260202000986", "공시열람")</f>
        <v/>
      </c>
    </row>
    <row r="929">
      <c r="A929" s="2" t="inlineStr">
        <is>
          <t>2026-02-02</t>
        </is>
      </c>
      <c r="B929" s="3" t="inlineStr">
        <is>
          <t>삼성전자</t>
        </is>
      </c>
      <c r="C929" s="2" t="inlineStr">
        <is>
          <t>코스피</t>
        </is>
      </c>
      <c r="D929" s="2" t="inlineStr">
        <is>
          <t>005930</t>
        </is>
      </c>
      <c r="E929" s="3" t="inlineStr">
        <is>
          <t>임원ㆍ주요주주특정증권등소유상황보고서</t>
        </is>
      </c>
      <c r="F929" s="3" t="inlineStr">
        <is>
          <t>노태문</t>
        </is>
      </c>
      <c r="G929" s="2" t="inlineStr">
        <is>
          <t>20260202000985</t>
        </is>
      </c>
      <c r="H929" s="8">
        <f>HYPERLINK("https://dart.fss.or.kr/dsaf001/main.do?rcpNo=20260202000985", "공시열람")</f>
        <v/>
      </c>
    </row>
    <row r="930">
      <c r="A930" s="2" t="inlineStr">
        <is>
          <t>2026-02-02</t>
        </is>
      </c>
      <c r="B930" s="3" t="inlineStr">
        <is>
          <t>삼성전자</t>
        </is>
      </c>
      <c r="C930" s="2" t="inlineStr">
        <is>
          <t>코스피</t>
        </is>
      </c>
      <c r="D930" s="2" t="inlineStr">
        <is>
          <t>005930</t>
        </is>
      </c>
      <c r="E930" s="3" t="inlineStr">
        <is>
          <t>임원ㆍ주요주주특정증권등소유상황보고서</t>
        </is>
      </c>
      <c r="F930" s="3" t="inlineStr">
        <is>
          <t>김성한</t>
        </is>
      </c>
      <c r="G930" s="2" t="inlineStr">
        <is>
          <t>20260202000984</t>
        </is>
      </c>
      <c r="H930" s="8">
        <f>HYPERLINK("https://dart.fss.or.kr/dsaf001/main.do?rcpNo=20260202000984", "공시열람")</f>
        <v/>
      </c>
    </row>
    <row r="931">
      <c r="A931" s="2" t="inlineStr">
        <is>
          <t>2025-12-16 (정정: 2026-02-02)</t>
        </is>
      </c>
      <c r="B931" s="3" t="inlineStr">
        <is>
          <t>NAVER</t>
        </is>
      </c>
      <c r="C931" s="2" t="inlineStr">
        <is>
          <t>코스피</t>
        </is>
      </c>
      <c r="D931" s="2" t="inlineStr">
        <is>
          <t>035420</t>
        </is>
      </c>
      <c r="E931" s="3" t="inlineStr">
        <is>
          <t xml:space="preserve">[기재정정]타법인주식및출자증권취득결정              </t>
        </is>
      </c>
      <c r="F931" s="3" t="inlineStr">
        <is>
          <t>NAVER</t>
        </is>
      </c>
      <c r="G931" s="2" t="inlineStr">
        <is>
          <t>20260202801442</t>
        </is>
      </c>
      <c r="H931" s="8">
        <f>HYPERLINK("https://dart.fss.or.kr/dsaf001/main.do?rcpNo=20260202801442", "공시열람")</f>
        <v/>
      </c>
    </row>
    <row r="932">
      <c r="A932" s="2" t="inlineStr">
        <is>
          <t>2026-02-02</t>
        </is>
      </c>
      <c r="B932" s="3" t="inlineStr">
        <is>
          <t>삼성전자</t>
        </is>
      </c>
      <c r="C932" s="2" t="inlineStr">
        <is>
          <t>코스피</t>
        </is>
      </c>
      <c r="D932" s="2" t="inlineStr">
        <is>
          <t>005930</t>
        </is>
      </c>
      <c r="E932" s="3" t="inlineStr">
        <is>
          <t>임원ㆍ주요주주특정증권등소유상황보고서</t>
        </is>
      </c>
      <c r="F932" s="3" t="inlineStr">
        <is>
          <t>이현수</t>
        </is>
      </c>
      <c r="G932" s="2" t="inlineStr">
        <is>
          <t>20260202000983</t>
        </is>
      </c>
      <c r="H932" s="8">
        <f>HYPERLINK("https://dart.fss.or.kr/dsaf001/main.do?rcpNo=20260202000983", "공시열람")</f>
        <v/>
      </c>
    </row>
    <row r="933">
      <c r="A933" s="2" t="inlineStr">
        <is>
          <t>2026-02-02</t>
        </is>
      </c>
      <c r="B933" s="3" t="inlineStr">
        <is>
          <t>아이디피</t>
        </is>
      </c>
      <c r="C933" s="2" t="inlineStr">
        <is>
          <t>코스닥</t>
        </is>
      </c>
      <c r="D933" s="2" t="inlineStr">
        <is>
          <t>332370</t>
        </is>
      </c>
      <c r="E933" s="3" t="inlineStr">
        <is>
          <t>임원ㆍ주요주주특정증권등소유상황보고서</t>
        </is>
      </c>
      <c r="F933" s="3" t="inlineStr">
        <is>
          <t>아이디스홀딩스</t>
        </is>
      </c>
      <c r="G933" s="2" t="inlineStr">
        <is>
          <t>20260202000982</t>
        </is>
      </c>
      <c r="H933" s="8">
        <f>HYPERLINK("https://dart.fss.or.kr/dsaf001/main.do?rcpNo=20260202000982", "공시열람")</f>
        <v/>
      </c>
    </row>
    <row r="934">
      <c r="A934" s="2" t="inlineStr">
        <is>
          <t>2026-02-02</t>
        </is>
      </c>
      <c r="B934" s="3" t="inlineStr">
        <is>
          <t>빅솔론</t>
        </is>
      </c>
      <c r="C934" s="2" t="inlineStr">
        <is>
          <t>코스닥</t>
        </is>
      </c>
      <c r="D934" s="2" t="inlineStr">
        <is>
          <t>093190</t>
        </is>
      </c>
      <c r="E934" s="3" t="inlineStr">
        <is>
          <t>임원ㆍ주요주주특정증권등소유상황보고서</t>
        </is>
      </c>
      <c r="F934" s="3" t="inlineStr">
        <is>
          <t>아이디스홀딩스</t>
        </is>
      </c>
      <c r="G934" s="2" t="inlineStr">
        <is>
          <t>20260202000981</t>
        </is>
      </c>
      <c r="H934" s="8">
        <f>HYPERLINK("https://dart.fss.or.kr/dsaf001/main.do?rcpNo=20260202000981", "공시열람")</f>
        <v/>
      </c>
    </row>
    <row r="935">
      <c r="A935" s="2" t="inlineStr">
        <is>
          <t>2026-02-02</t>
        </is>
      </c>
      <c r="B935" s="3" t="inlineStr">
        <is>
          <t>삼성전자</t>
        </is>
      </c>
      <c r="C935" s="2" t="inlineStr">
        <is>
          <t>코스피</t>
        </is>
      </c>
      <c r="D935" s="2" t="inlineStr">
        <is>
          <t>005930</t>
        </is>
      </c>
      <c r="E935" s="3" t="inlineStr">
        <is>
          <t>임원ㆍ주요주주특정증권등소유상황보고서</t>
        </is>
      </c>
      <c r="F935" s="3" t="inlineStr">
        <is>
          <t>박장용</t>
        </is>
      </c>
      <c r="G935" s="2" t="inlineStr">
        <is>
          <t>20260202000980</t>
        </is>
      </c>
      <c r="H935" s="8">
        <f>HYPERLINK("https://dart.fss.or.kr/dsaf001/main.do?rcpNo=20260202000980", "공시열람")</f>
        <v/>
      </c>
    </row>
    <row r="936">
      <c r="A936" s="2" t="inlineStr">
        <is>
          <t>2026-02-02</t>
        </is>
      </c>
      <c r="B936" s="3" t="inlineStr">
        <is>
          <t>삼성전자</t>
        </is>
      </c>
      <c r="C936" s="2" t="inlineStr">
        <is>
          <t>코스피</t>
        </is>
      </c>
      <c r="D936" s="2" t="inlineStr">
        <is>
          <t>005930</t>
        </is>
      </c>
      <c r="E936" s="3" t="inlineStr">
        <is>
          <t>임원ㆍ주요주주특정증권등소유상황보고서</t>
        </is>
      </c>
      <c r="F936" s="3" t="inlineStr">
        <is>
          <t>고상도</t>
        </is>
      </c>
      <c r="G936" s="2" t="inlineStr">
        <is>
          <t>20260202000978</t>
        </is>
      </c>
      <c r="H936" s="8">
        <f>HYPERLINK("https://dart.fss.or.kr/dsaf001/main.do?rcpNo=20260202000978", "공시열람")</f>
        <v/>
      </c>
    </row>
    <row r="937">
      <c r="A937" s="2" t="inlineStr">
        <is>
          <t>2026-02-02</t>
        </is>
      </c>
      <c r="B937" s="3" t="inlineStr">
        <is>
          <t>삼성전자</t>
        </is>
      </c>
      <c r="C937" s="2" t="inlineStr">
        <is>
          <t>코스피</t>
        </is>
      </c>
      <c r="D937" s="2" t="inlineStr">
        <is>
          <t>005930</t>
        </is>
      </c>
      <c r="E937" s="3" t="inlineStr">
        <is>
          <t>임원ㆍ주요주주특정증권등소유상황보고서</t>
        </is>
      </c>
      <c r="F937" s="3" t="inlineStr">
        <is>
          <t>최일환</t>
        </is>
      </c>
      <c r="G937" s="2" t="inlineStr">
        <is>
          <t>20260202000975</t>
        </is>
      </c>
      <c r="H937" s="8">
        <f>HYPERLINK("https://dart.fss.or.kr/dsaf001/main.do?rcpNo=20260202000975", "공시열람")</f>
        <v/>
      </c>
    </row>
    <row r="938">
      <c r="A938" s="2" t="inlineStr">
        <is>
          <t>2026-02-02</t>
        </is>
      </c>
      <c r="B938" s="3" t="inlineStr">
        <is>
          <t>삼성전자</t>
        </is>
      </c>
      <c r="C938" s="2" t="inlineStr">
        <is>
          <t>코스피</t>
        </is>
      </c>
      <c r="D938" s="2" t="inlineStr">
        <is>
          <t>005930</t>
        </is>
      </c>
      <c r="E938" s="3" t="inlineStr">
        <is>
          <t>임원ㆍ주요주주특정증권등소유상황보고서</t>
        </is>
      </c>
      <c r="F938" s="3" t="inlineStr">
        <is>
          <t>박종우</t>
        </is>
      </c>
      <c r="G938" s="2" t="inlineStr">
        <is>
          <t>20260202000974</t>
        </is>
      </c>
      <c r="H938" s="8">
        <f>HYPERLINK("https://dart.fss.or.kr/dsaf001/main.do?rcpNo=20260202000974", "공시열람")</f>
        <v/>
      </c>
    </row>
    <row r="939">
      <c r="A939" s="2" t="inlineStr">
        <is>
          <t>2026-02-02 (정정: 2026-03-03)</t>
        </is>
      </c>
      <c r="B939" s="3" t="inlineStr">
        <is>
          <t>지아이이노베이션</t>
        </is>
      </c>
      <c r="C939" s="2" t="inlineStr">
        <is>
          <t>코스닥</t>
        </is>
      </c>
      <c r="D939" s="2" t="inlineStr">
        <is>
          <t>358570</t>
        </is>
      </c>
      <c r="E939" s="3" t="inlineStr">
        <is>
          <t>임원ㆍ주요주주특정증권등소유상황보고서 (정정: 20260303)</t>
        </is>
      </c>
      <c r="F939" s="3" t="inlineStr">
        <is>
          <t>윤나리</t>
        </is>
      </c>
      <c r="G939" s="2" t="inlineStr">
        <is>
          <t>20260303900564</t>
        </is>
      </c>
      <c r="H939" s="8">
        <f>HYPERLINK("https://dart.fss.or.kr/dsaf001/main.do?rcpNo=20260303900564", "공시열람")</f>
        <v/>
      </c>
    </row>
    <row r="940">
      <c r="A940" s="2" t="inlineStr">
        <is>
          <t>2026-02-02</t>
        </is>
      </c>
      <c r="B940" s="3" t="inlineStr">
        <is>
          <t>삼성전자</t>
        </is>
      </c>
      <c r="C940" s="2" t="inlineStr">
        <is>
          <t>코스피</t>
        </is>
      </c>
      <c r="D940" s="2" t="inlineStr">
        <is>
          <t>005930</t>
        </is>
      </c>
      <c r="E940" s="3" t="inlineStr">
        <is>
          <t>임원ㆍ주요주주특정증권등소유상황보고서</t>
        </is>
      </c>
      <c r="F940" s="3" t="inlineStr">
        <is>
          <t>권혁우</t>
        </is>
      </c>
      <c r="G940" s="2" t="inlineStr">
        <is>
          <t>20260202000972</t>
        </is>
      </c>
      <c r="H940" s="8">
        <f>HYPERLINK("https://dart.fss.or.kr/dsaf001/main.do?rcpNo=20260202000972", "공시열람")</f>
        <v/>
      </c>
    </row>
    <row r="941">
      <c r="A941" s="2" t="inlineStr">
        <is>
          <t>2026-02-02</t>
        </is>
      </c>
      <c r="B941" s="3" t="inlineStr">
        <is>
          <t>삼성전자</t>
        </is>
      </c>
      <c r="C941" s="2" t="inlineStr">
        <is>
          <t>코스피</t>
        </is>
      </c>
      <c r="D941" s="2" t="inlineStr">
        <is>
          <t>005930</t>
        </is>
      </c>
      <c r="E941" s="3" t="inlineStr">
        <is>
          <t>임원ㆍ주요주주특정증권등소유상황보고서</t>
        </is>
      </c>
      <c r="F941" s="3" t="inlineStr">
        <is>
          <t>임경욱</t>
        </is>
      </c>
      <c r="G941" s="2" t="inlineStr">
        <is>
          <t>20260202000971</t>
        </is>
      </c>
      <c r="H941" s="8">
        <f>HYPERLINK("https://dart.fss.or.kr/dsaf001/main.do?rcpNo=20260202000971", "공시열람")</f>
        <v/>
      </c>
    </row>
    <row r="942">
      <c r="A942" s="2" t="inlineStr">
        <is>
          <t>2026-02-02</t>
        </is>
      </c>
      <c r="B942" s="3" t="inlineStr">
        <is>
          <t>삼성전자</t>
        </is>
      </c>
      <c r="C942" s="2" t="inlineStr">
        <is>
          <t>코스피</t>
        </is>
      </c>
      <c r="D942" s="2" t="inlineStr">
        <is>
          <t>005930</t>
        </is>
      </c>
      <c r="E942" s="3" t="inlineStr">
        <is>
          <t>임원ㆍ주요주주특정증권등소유상황보고서</t>
        </is>
      </c>
      <c r="F942" s="3" t="inlineStr">
        <is>
          <t>송원철</t>
        </is>
      </c>
      <c r="G942" s="2" t="inlineStr">
        <is>
          <t>20260202000970</t>
        </is>
      </c>
      <c r="H942" s="8">
        <f>HYPERLINK("https://dart.fss.or.kr/dsaf001/main.do?rcpNo=20260202000970", "공시열람")</f>
        <v/>
      </c>
    </row>
    <row r="943">
      <c r="A943" s="2" t="inlineStr">
        <is>
          <t>2026-02-02</t>
        </is>
      </c>
      <c r="B943" s="3" t="inlineStr">
        <is>
          <t>삼성전자</t>
        </is>
      </c>
      <c r="C943" s="2" t="inlineStr">
        <is>
          <t>코스피</t>
        </is>
      </c>
      <c r="D943" s="2" t="inlineStr">
        <is>
          <t>005930</t>
        </is>
      </c>
      <c r="E943" s="3" t="inlineStr">
        <is>
          <t>임원ㆍ주요주주특정증권등소유상황보고서</t>
        </is>
      </c>
      <c r="F943" s="3" t="inlineStr">
        <is>
          <t>백수현</t>
        </is>
      </c>
      <c r="G943" s="2" t="inlineStr">
        <is>
          <t>20260202000969</t>
        </is>
      </c>
      <c r="H943" s="8">
        <f>HYPERLINK("https://dart.fss.or.kr/dsaf001/main.do?rcpNo=20260202000969", "공시열람")</f>
        <v/>
      </c>
    </row>
    <row r="944">
      <c r="A944" s="2" t="inlineStr">
        <is>
          <t>2026-02-02</t>
        </is>
      </c>
      <c r="B944" s="3" t="inlineStr">
        <is>
          <t>삼성전자</t>
        </is>
      </c>
      <c r="C944" s="2" t="inlineStr">
        <is>
          <t>코스피</t>
        </is>
      </c>
      <c r="D944" s="2" t="inlineStr">
        <is>
          <t>005930</t>
        </is>
      </c>
      <c r="E944" s="3" t="inlineStr">
        <is>
          <t>임원ㆍ주요주주특정증권등소유상황보고서</t>
        </is>
      </c>
      <c r="F944" s="3" t="inlineStr">
        <is>
          <t>강명진</t>
        </is>
      </c>
      <c r="G944" s="2" t="inlineStr">
        <is>
          <t>20260202000967</t>
        </is>
      </c>
      <c r="H944" s="8">
        <f>HYPERLINK("https://dart.fss.or.kr/dsaf001/main.do?rcpNo=20260202000967", "공시열람")</f>
        <v/>
      </c>
    </row>
    <row r="945">
      <c r="A945" s="2" t="inlineStr">
        <is>
          <t>2026-02-02</t>
        </is>
      </c>
      <c r="B945" s="3" t="inlineStr">
        <is>
          <t>삼성전자</t>
        </is>
      </c>
      <c r="C945" s="2" t="inlineStr">
        <is>
          <t>코스피</t>
        </is>
      </c>
      <c r="D945" s="2" t="inlineStr">
        <is>
          <t>005930</t>
        </is>
      </c>
      <c r="E945" s="3" t="inlineStr">
        <is>
          <t>임원ㆍ주요주주특정증권등소유상황보고서</t>
        </is>
      </c>
      <c r="F945" s="3" t="inlineStr">
        <is>
          <t>황경순</t>
        </is>
      </c>
      <c r="G945" s="2" t="inlineStr">
        <is>
          <t>20260202000965</t>
        </is>
      </c>
      <c r="H945" s="8">
        <f>HYPERLINK("https://dart.fss.or.kr/dsaf001/main.do?rcpNo=20260202000965", "공시열람")</f>
        <v/>
      </c>
    </row>
    <row r="946">
      <c r="A946" s="2" t="inlineStr">
        <is>
          <t>2026-02-02</t>
        </is>
      </c>
      <c r="B946" s="3" t="inlineStr">
        <is>
          <t>삼성전자</t>
        </is>
      </c>
      <c r="C946" s="2" t="inlineStr">
        <is>
          <t>코스피</t>
        </is>
      </c>
      <c r="D946" s="2" t="inlineStr">
        <is>
          <t>005930</t>
        </is>
      </c>
      <c r="E946" s="3" t="inlineStr">
        <is>
          <t>임원ㆍ주요주주특정증권등소유상황보고서</t>
        </is>
      </c>
      <c r="F946" s="3" t="inlineStr">
        <is>
          <t>김신</t>
        </is>
      </c>
      <c r="G946" s="2" t="inlineStr">
        <is>
          <t>20260202000964</t>
        </is>
      </c>
      <c r="H946" s="8">
        <f>HYPERLINK("https://dart.fss.or.kr/dsaf001/main.do?rcpNo=20260202000964", "공시열람")</f>
        <v/>
      </c>
    </row>
    <row r="947">
      <c r="A947" s="2" t="inlineStr">
        <is>
          <t>2026-02-02</t>
        </is>
      </c>
      <c r="B947" s="3" t="inlineStr">
        <is>
          <t>삼성전자</t>
        </is>
      </c>
      <c r="C947" s="2" t="inlineStr">
        <is>
          <t>코스피</t>
        </is>
      </c>
      <c r="D947" s="2" t="inlineStr">
        <is>
          <t>005930</t>
        </is>
      </c>
      <c r="E947" s="3" t="inlineStr">
        <is>
          <t>임원ㆍ주요주주특정증권등소유상황보고서</t>
        </is>
      </c>
      <c r="F947" s="3" t="inlineStr">
        <is>
          <t>허준영</t>
        </is>
      </c>
      <c r="G947" s="2" t="inlineStr">
        <is>
          <t>20260202000963</t>
        </is>
      </c>
      <c r="H947" s="8">
        <f>HYPERLINK("https://dart.fss.or.kr/dsaf001/main.do?rcpNo=20260202000963", "공시열람")</f>
        <v/>
      </c>
    </row>
    <row r="948">
      <c r="A948" s="2" t="inlineStr">
        <is>
          <t>2026-02-02</t>
        </is>
      </c>
      <c r="B948" s="3" t="inlineStr">
        <is>
          <t>삼성전자</t>
        </is>
      </c>
      <c r="C948" s="2" t="inlineStr">
        <is>
          <t>코스피</t>
        </is>
      </c>
      <c r="D948" s="2" t="inlineStr">
        <is>
          <t>005930</t>
        </is>
      </c>
      <c r="E948" s="3" t="inlineStr">
        <is>
          <t>임원ㆍ주요주주특정증권등소유상황보고서</t>
        </is>
      </c>
      <c r="F948" s="3" t="inlineStr">
        <is>
          <t>이치훈</t>
        </is>
      </c>
      <c r="G948" s="2" t="inlineStr">
        <is>
          <t>20260202000962</t>
        </is>
      </c>
      <c r="H948" s="8">
        <f>HYPERLINK("https://dart.fss.or.kr/dsaf001/main.do?rcpNo=20260202000962", "공시열람")</f>
        <v/>
      </c>
    </row>
    <row r="949">
      <c r="A949" s="2" t="inlineStr">
        <is>
          <t>2026-02-02</t>
        </is>
      </c>
      <c r="B949" s="3" t="inlineStr">
        <is>
          <t>삼성전자</t>
        </is>
      </c>
      <c r="C949" s="2" t="inlineStr">
        <is>
          <t>코스피</t>
        </is>
      </c>
      <c r="D949" s="2" t="inlineStr">
        <is>
          <t>005930</t>
        </is>
      </c>
      <c r="E949" s="3" t="inlineStr">
        <is>
          <t>임원ㆍ주요주주특정증권등소유상황보고서</t>
        </is>
      </c>
      <c r="F949" s="3" t="inlineStr">
        <is>
          <t>이선화</t>
        </is>
      </c>
      <c r="G949" s="2" t="inlineStr">
        <is>
          <t>20260202000961</t>
        </is>
      </c>
      <c r="H949" s="8">
        <f>HYPERLINK("https://dart.fss.or.kr/dsaf001/main.do?rcpNo=20260202000961", "공시열람")</f>
        <v/>
      </c>
    </row>
    <row r="950">
      <c r="A950" s="2" t="inlineStr">
        <is>
          <t>2026-02-02</t>
        </is>
      </c>
      <c r="B950" s="3" t="inlineStr">
        <is>
          <t>삼성전자</t>
        </is>
      </c>
      <c r="C950" s="2" t="inlineStr">
        <is>
          <t>코스피</t>
        </is>
      </c>
      <c r="D950" s="2" t="inlineStr">
        <is>
          <t>005930</t>
        </is>
      </c>
      <c r="E950" s="3" t="inlineStr">
        <is>
          <t>임원ㆍ주요주주특정증권등소유상황보고서</t>
        </is>
      </c>
      <c r="F950" s="3" t="inlineStr">
        <is>
          <t>허일정</t>
        </is>
      </c>
      <c r="G950" s="2" t="inlineStr">
        <is>
          <t>20260202000960</t>
        </is>
      </c>
      <c r="H950" s="8">
        <f>HYPERLINK("https://dart.fss.or.kr/dsaf001/main.do?rcpNo=20260202000960", "공시열람")</f>
        <v/>
      </c>
    </row>
    <row r="951">
      <c r="A951" s="2" t="inlineStr">
        <is>
          <t>2026-02-02</t>
        </is>
      </c>
      <c r="B951" s="3" t="inlineStr">
        <is>
          <t>삼성전자</t>
        </is>
      </c>
      <c r="C951" s="2" t="inlineStr">
        <is>
          <t>코스피</t>
        </is>
      </c>
      <c r="D951" s="2" t="inlineStr">
        <is>
          <t>005930</t>
        </is>
      </c>
      <c r="E951" s="3" t="inlineStr">
        <is>
          <t>임원ㆍ주요주주특정증권등소유상황보고서</t>
        </is>
      </c>
      <c r="F951" s="3" t="inlineStr">
        <is>
          <t>손현석</t>
        </is>
      </c>
      <c r="G951" s="2" t="inlineStr">
        <is>
          <t>20260202000959</t>
        </is>
      </c>
      <c r="H951" s="8">
        <f>HYPERLINK("https://dart.fss.or.kr/dsaf001/main.do?rcpNo=20260202000959", "공시열람")</f>
        <v/>
      </c>
    </row>
    <row r="952">
      <c r="A952" s="2" t="inlineStr">
        <is>
          <t>2026-02-02</t>
        </is>
      </c>
      <c r="B952" s="3" t="inlineStr">
        <is>
          <t>삼성전자</t>
        </is>
      </c>
      <c r="C952" s="2" t="inlineStr">
        <is>
          <t>코스피</t>
        </is>
      </c>
      <c r="D952" s="2" t="inlineStr">
        <is>
          <t>005930</t>
        </is>
      </c>
      <c r="E952" s="3" t="inlineStr">
        <is>
          <t>임원ㆍ주요주주특정증권등소유상황보고서</t>
        </is>
      </c>
      <c r="F952" s="3" t="inlineStr">
        <is>
          <t>홍석준</t>
        </is>
      </c>
      <c r="G952" s="2" t="inlineStr">
        <is>
          <t>20260202000958</t>
        </is>
      </c>
      <c r="H952" s="8">
        <f>HYPERLINK("https://dart.fss.or.kr/dsaf001/main.do?rcpNo=20260202000958", "공시열람")</f>
        <v/>
      </c>
    </row>
    <row r="953">
      <c r="A953" s="2" t="inlineStr">
        <is>
          <t>2026-02-02</t>
        </is>
      </c>
      <c r="B953" s="3" t="inlineStr">
        <is>
          <t>삼성전자</t>
        </is>
      </c>
      <c r="C953" s="2" t="inlineStr">
        <is>
          <t>코스피</t>
        </is>
      </c>
      <c r="D953" s="2" t="inlineStr">
        <is>
          <t>005930</t>
        </is>
      </c>
      <c r="E953" s="3" t="inlineStr">
        <is>
          <t>임원ㆍ주요주주특정증권등소유상황보고서</t>
        </is>
      </c>
      <c r="F953" s="3" t="inlineStr">
        <is>
          <t>정현호</t>
        </is>
      </c>
      <c r="G953" s="2" t="inlineStr">
        <is>
          <t>20260202000957</t>
        </is>
      </c>
      <c r="H953" s="8">
        <f>HYPERLINK("https://dart.fss.or.kr/dsaf001/main.do?rcpNo=20260202000957", "공시열람")</f>
        <v/>
      </c>
    </row>
    <row r="954">
      <c r="A954" s="2" t="inlineStr">
        <is>
          <t>2026-02-02</t>
        </is>
      </c>
      <c r="B954" s="3" t="inlineStr">
        <is>
          <t>미래에셋생명</t>
        </is>
      </c>
      <c r="C954" s="2" t="inlineStr">
        <is>
          <t>코스피</t>
        </is>
      </c>
      <c r="D954" s="2" t="inlineStr">
        <is>
          <t>085620</t>
        </is>
      </c>
      <c r="E954" s="3" t="inlineStr">
        <is>
          <t xml:space="preserve">기업설명회(IR)개최(안내공시)              </t>
        </is>
      </c>
      <c r="F954" s="3" t="inlineStr">
        <is>
          <t>미래에셋생명</t>
        </is>
      </c>
      <c r="G954" s="2" t="inlineStr">
        <is>
          <t>20260202801491</t>
        </is>
      </c>
      <c r="H954" s="8">
        <f>HYPERLINK("https://dart.fss.or.kr/dsaf001/main.do?rcpNo=20260202801491", "공시열람")</f>
        <v/>
      </c>
    </row>
    <row r="955">
      <c r="A955" s="2" t="inlineStr">
        <is>
          <t>2026-02-02</t>
        </is>
      </c>
      <c r="B955" s="3" t="inlineStr">
        <is>
          <t>삼성전자</t>
        </is>
      </c>
      <c r="C955" s="2" t="inlineStr">
        <is>
          <t>코스피</t>
        </is>
      </c>
      <c r="D955" s="2" t="inlineStr">
        <is>
          <t>005930</t>
        </is>
      </c>
      <c r="E955" s="3" t="inlineStr">
        <is>
          <t>임원ㆍ주요주주특정증권등소유상황보고서</t>
        </is>
      </c>
      <c r="F955" s="3" t="inlineStr">
        <is>
          <t>김성훈</t>
        </is>
      </c>
      <c r="G955" s="2" t="inlineStr">
        <is>
          <t>20260202000956</t>
        </is>
      </c>
      <c r="H955" s="8">
        <f>HYPERLINK("https://dart.fss.or.kr/dsaf001/main.do?rcpNo=20260202000956", "공시열람")</f>
        <v/>
      </c>
    </row>
    <row r="956">
      <c r="A956" s="2" t="inlineStr">
        <is>
          <t>2026-02-02</t>
        </is>
      </c>
      <c r="B956" s="3" t="inlineStr">
        <is>
          <t>삼성전자</t>
        </is>
      </c>
      <c r="C956" s="2" t="inlineStr">
        <is>
          <t>코스피</t>
        </is>
      </c>
      <c r="D956" s="2" t="inlineStr">
        <is>
          <t>005930</t>
        </is>
      </c>
      <c r="E956" s="3" t="inlineStr">
        <is>
          <t>임원ㆍ주요주주특정증권등소유상황보고서</t>
        </is>
      </c>
      <c r="F956" s="3" t="inlineStr">
        <is>
          <t>이계훈</t>
        </is>
      </c>
      <c r="G956" s="2" t="inlineStr">
        <is>
          <t>20260202000955</t>
        </is>
      </c>
      <c r="H956" s="8">
        <f>HYPERLINK("https://dart.fss.or.kr/dsaf001/main.do?rcpNo=20260202000955", "공시열람")</f>
        <v/>
      </c>
    </row>
    <row r="957">
      <c r="A957" s="2" t="inlineStr">
        <is>
          <t>2026-02-02</t>
        </is>
      </c>
      <c r="B957" s="3" t="inlineStr">
        <is>
          <t>삼성전자</t>
        </is>
      </c>
      <c r="C957" s="2" t="inlineStr">
        <is>
          <t>코스피</t>
        </is>
      </c>
      <c r="D957" s="2" t="inlineStr">
        <is>
          <t>005930</t>
        </is>
      </c>
      <c r="E957" s="3" t="inlineStr">
        <is>
          <t>임원ㆍ주요주주특정증권등소유상황보고서</t>
        </is>
      </c>
      <c r="F957" s="3" t="inlineStr">
        <is>
          <t>한진우</t>
        </is>
      </c>
      <c r="G957" s="2" t="inlineStr">
        <is>
          <t>20260202000954</t>
        </is>
      </c>
      <c r="H957" s="8">
        <f>HYPERLINK("https://dart.fss.or.kr/dsaf001/main.do?rcpNo=20260202000954", "공시열람")</f>
        <v/>
      </c>
    </row>
    <row r="958">
      <c r="A958" s="2" t="inlineStr">
        <is>
          <t>2026-02-02</t>
        </is>
      </c>
      <c r="B958" s="3" t="inlineStr">
        <is>
          <t>HLB제약</t>
        </is>
      </c>
      <c r="C958" s="2" t="inlineStr">
        <is>
          <t>코스닥</t>
        </is>
      </c>
      <c r="D958" s="2" t="inlineStr">
        <is>
          <t>047920</t>
        </is>
      </c>
      <c r="E958" s="3" t="inlineStr">
        <is>
          <t xml:space="preserve">매출액또는손익구조30%(대규모법인은15%)이상변동              </t>
        </is>
      </c>
      <c r="F958" s="3" t="inlineStr">
        <is>
          <t>HLB제약</t>
        </is>
      </c>
      <c r="G958" s="2" t="inlineStr">
        <is>
          <t>20260202901463</t>
        </is>
      </c>
      <c r="H958" s="8">
        <f>HYPERLINK("https://dart.fss.or.kr/dsaf001/main.do?rcpNo=20260202901463", "공시열람")</f>
        <v/>
      </c>
    </row>
    <row r="959">
      <c r="A959" s="2" t="inlineStr">
        <is>
          <t>2026-02-02</t>
        </is>
      </c>
      <c r="B959" s="3" t="inlineStr">
        <is>
          <t>삼성전자</t>
        </is>
      </c>
      <c r="C959" s="2" t="inlineStr">
        <is>
          <t>코스피</t>
        </is>
      </c>
      <c r="D959" s="2" t="inlineStr">
        <is>
          <t>005930</t>
        </is>
      </c>
      <c r="E959" s="3" t="inlineStr">
        <is>
          <t>임원ㆍ주요주주특정증권등소유상황보고서</t>
        </is>
      </c>
      <c r="F959" s="3" t="inlineStr">
        <is>
          <t>SONG SANG CHUL</t>
        </is>
      </c>
      <c r="G959" s="2" t="inlineStr">
        <is>
          <t>20260202000953</t>
        </is>
      </c>
      <c r="H959" s="8">
        <f>HYPERLINK("https://dart.fss.or.kr/dsaf001/main.do?rcpNo=20260202000953", "공시열람")</f>
        <v/>
      </c>
    </row>
    <row r="960">
      <c r="A960" s="2" t="inlineStr">
        <is>
          <t>2026-02-02</t>
        </is>
      </c>
      <c r="B960" s="3" t="inlineStr">
        <is>
          <t>삼성전자</t>
        </is>
      </c>
      <c r="C960" s="2" t="inlineStr">
        <is>
          <t>코스피</t>
        </is>
      </c>
      <c r="D960" s="2" t="inlineStr">
        <is>
          <t>005930</t>
        </is>
      </c>
      <c r="E960" s="3" t="inlineStr">
        <is>
          <t>임원ㆍ주요주주특정증권등소유상황보고서</t>
        </is>
      </c>
      <c r="F960" s="3" t="inlineStr">
        <is>
          <t>심황윤</t>
        </is>
      </c>
      <c r="G960" s="2" t="inlineStr">
        <is>
          <t>20260202000951</t>
        </is>
      </c>
      <c r="H960" s="8">
        <f>HYPERLINK("https://dart.fss.or.kr/dsaf001/main.do?rcpNo=20260202000951", "공시열람")</f>
        <v/>
      </c>
    </row>
    <row r="961">
      <c r="A961" s="2" t="inlineStr">
        <is>
          <t>2026-02-02</t>
        </is>
      </c>
      <c r="B961" s="3" t="inlineStr">
        <is>
          <t>삼성전자</t>
        </is>
      </c>
      <c r="C961" s="2" t="inlineStr">
        <is>
          <t>코스피</t>
        </is>
      </c>
      <c r="D961" s="2" t="inlineStr">
        <is>
          <t>005930</t>
        </is>
      </c>
      <c r="E961" s="3" t="inlineStr">
        <is>
          <t>임원ㆍ주요주주특정증권등소유상황보고서</t>
        </is>
      </c>
      <c r="F961" s="3" t="inlineStr">
        <is>
          <t>이창수</t>
        </is>
      </c>
      <c r="G961" s="2" t="inlineStr">
        <is>
          <t>20260202000950</t>
        </is>
      </c>
      <c r="H961" s="8">
        <f>HYPERLINK("https://dart.fss.or.kr/dsaf001/main.do?rcpNo=20260202000950", "공시열람")</f>
        <v/>
      </c>
    </row>
    <row r="962">
      <c r="A962" s="2" t="inlineStr">
        <is>
          <t>2026-02-02</t>
        </is>
      </c>
      <c r="B962" s="3" t="inlineStr">
        <is>
          <t>이노에이엑스</t>
        </is>
      </c>
      <c r="C962" s="2" t="inlineStr">
        <is>
          <t>코스닥</t>
        </is>
      </c>
      <c r="D962" s="2" t="inlineStr">
        <is>
          <t>296640</t>
        </is>
      </c>
      <c r="E962" s="3" t="inlineStr">
        <is>
          <t xml:space="preserve">매출액또는손익구조30%(대규모법인은15%)이상변동              </t>
        </is>
      </c>
      <c r="F962" s="3" t="inlineStr">
        <is>
          <t>이노에이엑스</t>
        </is>
      </c>
      <c r="G962" s="2" t="inlineStr">
        <is>
          <t>20260202901445</t>
        </is>
      </c>
      <c r="H962" s="8">
        <f>HYPERLINK("https://dart.fss.or.kr/dsaf001/main.do?rcpNo=20260202901445", "공시열람")</f>
        <v/>
      </c>
    </row>
    <row r="963">
      <c r="A963" s="2" t="inlineStr">
        <is>
          <t>2026-02-02 (정정: 2026-02-02)</t>
        </is>
      </c>
      <c r="B963" s="3" t="inlineStr">
        <is>
          <t>코오롱티슈진</t>
        </is>
      </c>
      <c r="C963" s="2" t="inlineStr">
        <is>
          <t>코스닥</t>
        </is>
      </c>
      <c r="D963" s="2" t="inlineStr">
        <is>
          <t>950160</t>
        </is>
      </c>
      <c r="E963" s="3" t="inlineStr">
        <is>
          <t xml:space="preserve">[기재정정]소송등의제기ㆍ신청(일정금액이상의청구)              </t>
        </is>
      </c>
      <c r="F963" s="3" t="inlineStr">
        <is>
          <t>코오롱티슈진</t>
        </is>
      </c>
      <c r="G963" s="2" t="inlineStr">
        <is>
          <t>20260202901409</t>
        </is>
      </c>
      <c r="H963" s="8">
        <f>HYPERLINK("https://dart.fss.or.kr/dsaf001/main.do?rcpNo=20260202901409", "공시열람")</f>
        <v/>
      </c>
    </row>
    <row r="964">
      <c r="A964" s="2" t="inlineStr">
        <is>
          <t>2026-02-02</t>
        </is>
      </c>
      <c r="B964" s="3" t="inlineStr">
        <is>
          <t>삼성전자</t>
        </is>
      </c>
      <c r="C964" s="2" t="inlineStr">
        <is>
          <t>코스피</t>
        </is>
      </c>
      <c r="D964" s="2" t="inlineStr">
        <is>
          <t>005930</t>
        </is>
      </c>
      <c r="E964" s="3" t="inlineStr">
        <is>
          <t>임원ㆍ주요주주특정증권등소유상황보고서</t>
        </is>
      </c>
      <c r="F964" s="3" t="inlineStr">
        <is>
          <t>LEE SANG HUN</t>
        </is>
      </c>
      <c r="G964" s="2" t="inlineStr">
        <is>
          <t>20260202000949</t>
        </is>
      </c>
      <c r="H964" s="8">
        <f>HYPERLINK("https://dart.fss.or.kr/dsaf001/main.do?rcpNo=20260202000949", "공시열람")</f>
        <v/>
      </c>
    </row>
    <row r="965">
      <c r="A965" s="2" t="inlineStr">
        <is>
          <t>2026-02-02</t>
        </is>
      </c>
      <c r="B965" s="3" t="inlineStr">
        <is>
          <t>플레이위드</t>
        </is>
      </c>
      <c r="C965" s="2" t="inlineStr">
        <is>
          <t>코스닥</t>
        </is>
      </c>
      <c r="D965" s="2" t="inlineStr">
        <is>
          <t>023770</t>
        </is>
      </c>
      <c r="E965" s="3" t="inlineStr">
        <is>
          <t xml:space="preserve">매출액또는손익구조30%(대규모법인은15%)이상변동              </t>
        </is>
      </c>
      <c r="F965" s="3" t="inlineStr">
        <is>
          <t>플레이위드</t>
        </is>
      </c>
      <c r="G965" s="2" t="inlineStr">
        <is>
          <t>20260202901331</t>
        </is>
      </c>
      <c r="H965" s="8">
        <f>HYPERLINK("https://dart.fss.or.kr/dsaf001/main.do?rcpNo=20260202901331", "공시열람")</f>
        <v/>
      </c>
    </row>
    <row r="966">
      <c r="A966" s="2" t="inlineStr">
        <is>
          <t>2026-02-02</t>
        </is>
      </c>
      <c r="B966" s="3" t="inlineStr">
        <is>
          <t>한화에어로스페이스</t>
        </is>
      </c>
      <c r="C966" s="2" t="inlineStr">
        <is>
          <t>코스피</t>
        </is>
      </c>
      <c r="D966" s="2" t="inlineStr">
        <is>
          <t>012450</t>
        </is>
      </c>
      <c r="E966" s="3" t="inlineStr">
        <is>
          <t>임원ㆍ주요주주특정증권등소유상황보고서</t>
        </is>
      </c>
      <c r="F966" s="3" t="inlineStr">
        <is>
          <t>정관희</t>
        </is>
      </c>
      <c r="G966" s="2" t="inlineStr">
        <is>
          <t>20260202000948</t>
        </is>
      </c>
      <c r="H966" s="8">
        <f>HYPERLINK("https://dart.fss.or.kr/dsaf001/main.do?rcpNo=20260202000948", "공시열람")</f>
        <v/>
      </c>
    </row>
    <row r="967">
      <c r="A967" s="2" t="inlineStr">
        <is>
          <t>2026-02-02</t>
        </is>
      </c>
      <c r="B967" s="3" t="inlineStr">
        <is>
          <t>삼성전자</t>
        </is>
      </c>
      <c r="C967" s="2" t="inlineStr">
        <is>
          <t>코스피</t>
        </is>
      </c>
      <c r="D967" s="2" t="inlineStr">
        <is>
          <t>005930</t>
        </is>
      </c>
      <c r="E967" s="3" t="inlineStr">
        <is>
          <t>임원ㆍ주요주주특정증권등소유상황보고서</t>
        </is>
      </c>
      <c r="F967" s="3" t="inlineStr">
        <is>
          <t>최원호</t>
        </is>
      </c>
      <c r="G967" s="2" t="inlineStr">
        <is>
          <t>20260202000947</t>
        </is>
      </c>
      <c r="H967" s="8">
        <f>HYPERLINK("https://dart.fss.or.kr/dsaf001/main.do?rcpNo=20260202000947", "공시열람")</f>
        <v/>
      </c>
    </row>
    <row r="968">
      <c r="A968" s="2" t="inlineStr">
        <is>
          <t>2026-02-02</t>
        </is>
      </c>
      <c r="B968" s="3" t="inlineStr">
        <is>
          <t>삼성전자</t>
        </is>
      </c>
      <c r="C968" s="2" t="inlineStr">
        <is>
          <t>코스피</t>
        </is>
      </c>
      <c r="D968" s="2" t="inlineStr">
        <is>
          <t>005930</t>
        </is>
      </c>
      <c r="E968" s="3" t="inlineStr">
        <is>
          <t>임원ㆍ주요주주특정증권등소유상황보고서</t>
        </is>
      </c>
      <c r="F968" s="3" t="inlineStr">
        <is>
          <t>김문수</t>
        </is>
      </c>
      <c r="G968" s="2" t="inlineStr">
        <is>
          <t>20260202000946</t>
        </is>
      </c>
      <c r="H968" s="8">
        <f>HYPERLINK("https://dart.fss.or.kr/dsaf001/main.do?rcpNo=20260202000946", "공시열람")</f>
        <v/>
      </c>
    </row>
    <row r="969">
      <c r="A969" s="2" t="inlineStr">
        <is>
          <t>2026-02-02</t>
        </is>
      </c>
      <c r="B969" s="3" t="inlineStr">
        <is>
          <t>위메이드플레이</t>
        </is>
      </c>
      <c r="C969" s="2" t="inlineStr">
        <is>
          <t>코스닥</t>
        </is>
      </c>
      <c r="D969" s="2" t="inlineStr">
        <is>
          <t>123420</t>
        </is>
      </c>
      <c r="E969" s="3" t="inlineStr">
        <is>
          <t xml:space="preserve">결산실적공시예고              </t>
        </is>
      </c>
      <c r="F969" s="3" t="inlineStr">
        <is>
          <t>위메이드플레이</t>
        </is>
      </c>
      <c r="G969" s="2" t="inlineStr">
        <is>
          <t>20260202901471</t>
        </is>
      </c>
      <c r="H969" s="8">
        <f>HYPERLINK("https://dart.fss.or.kr/dsaf001/main.do?rcpNo=20260202901471", "공시열람")</f>
        <v/>
      </c>
    </row>
    <row r="970">
      <c r="A970" s="2" t="inlineStr">
        <is>
          <t>2026-02-02</t>
        </is>
      </c>
      <c r="B970" s="3" t="inlineStr">
        <is>
          <t>삼성전자</t>
        </is>
      </c>
      <c r="C970" s="2" t="inlineStr">
        <is>
          <t>코스피</t>
        </is>
      </c>
      <c r="D970" s="2" t="inlineStr">
        <is>
          <t>005930</t>
        </is>
      </c>
      <c r="E970" s="3" t="inlineStr">
        <is>
          <t>임원ㆍ주요주주특정증권등소유상황보고서</t>
        </is>
      </c>
      <c r="F970" s="3" t="inlineStr">
        <is>
          <t>이영아</t>
        </is>
      </c>
      <c r="G970" s="2" t="inlineStr">
        <is>
          <t>20260202000945</t>
        </is>
      </c>
      <c r="H970" s="8">
        <f>HYPERLINK("https://dart.fss.or.kr/dsaf001/main.do?rcpNo=20260202000945", "공시열람")</f>
        <v/>
      </c>
    </row>
    <row r="971">
      <c r="A971" s="2" t="inlineStr">
        <is>
          <t>2026-02-02</t>
        </is>
      </c>
      <c r="B971" s="3" t="inlineStr">
        <is>
          <t>삼성전자</t>
        </is>
      </c>
      <c r="C971" s="2" t="inlineStr">
        <is>
          <t>코스피</t>
        </is>
      </c>
      <c r="D971" s="2" t="inlineStr">
        <is>
          <t>005930</t>
        </is>
      </c>
      <c r="E971" s="3" t="inlineStr">
        <is>
          <t>임원ㆍ주요주주특정증권등소유상황보고서</t>
        </is>
      </c>
      <c r="F971" s="3" t="inlineStr">
        <is>
          <t>임산</t>
        </is>
      </c>
      <c r="G971" s="2" t="inlineStr">
        <is>
          <t>20260202000944</t>
        </is>
      </c>
      <c r="H971" s="8">
        <f>HYPERLINK("https://dart.fss.or.kr/dsaf001/main.do?rcpNo=20260202000944", "공시열람")</f>
        <v/>
      </c>
    </row>
    <row r="972">
      <c r="A972" s="2" t="inlineStr">
        <is>
          <t>2026-02-02</t>
        </is>
      </c>
      <c r="B972" s="3" t="inlineStr">
        <is>
          <t>삼성전자</t>
        </is>
      </c>
      <c r="C972" s="2" t="inlineStr">
        <is>
          <t>코스피</t>
        </is>
      </c>
      <c r="D972" s="2" t="inlineStr">
        <is>
          <t>005930</t>
        </is>
      </c>
      <c r="E972" s="3" t="inlineStr">
        <is>
          <t>임원ㆍ주요주주특정증권등소유상황보고서</t>
        </is>
      </c>
      <c r="F972" s="3" t="inlineStr">
        <is>
          <t>이종필</t>
        </is>
      </c>
      <c r="G972" s="2" t="inlineStr">
        <is>
          <t>20260202000943</t>
        </is>
      </c>
      <c r="H972" s="8">
        <f>HYPERLINK("https://dart.fss.or.kr/dsaf001/main.do?rcpNo=20260202000943", "공시열람")</f>
        <v/>
      </c>
    </row>
    <row r="973">
      <c r="A973" s="2" t="inlineStr">
        <is>
          <t>2026-02-02</t>
        </is>
      </c>
      <c r="B973" s="3" t="inlineStr">
        <is>
          <t>하이비젼시스템</t>
        </is>
      </c>
      <c r="C973" s="2" t="inlineStr">
        <is>
          <t>코스닥</t>
        </is>
      </c>
      <c r="D973" s="2" t="inlineStr">
        <is>
          <t>126700</t>
        </is>
      </c>
      <c r="E973" s="3" t="inlineStr">
        <is>
          <t xml:space="preserve">현금ㆍ현물배당결정              </t>
        </is>
      </c>
      <c r="F973" s="3" t="inlineStr">
        <is>
          <t>하이비젼시스템</t>
        </is>
      </c>
      <c r="G973" s="2" t="inlineStr">
        <is>
          <t>20260202901271</t>
        </is>
      </c>
      <c r="H973" s="8">
        <f>HYPERLINK("https://dart.fss.or.kr/dsaf001/main.do?rcpNo=20260202901271", "공시열람")</f>
        <v/>
      </c>
    </row>
    <row r="974">
      <c r="A974" s="2" t="inlineStr">
        <is>
          <t>2026-02-02</t>
        </is>
      </c>
      <c r="B974" s="3" t="inlineStr">
        <is>
          <t>콜마홀딩스</t>
        </is>
      </c>
      <c r="C974" s="2" t="inlineStr">
        <is>
          <t>코스피</t>
        </is>
      </c>
      <c r="D974" s="2" t="inlineStr">
        <is>
          <t>024720</t>
        </is>
      </c>
      <c r="E974" s="3" t="inlineStr">
        <is>
          <t xml:space="preserve">지주회사의자회사편입(자회사의 주요경영사항)              </t>
        </is>
      </c>
      <c r="F974" s="3" t="inlineStr">
        <is>
          <t>콜마홀딩스</t>
        </is>
      </c>
      <c r="G974" s="2" t="inlineStr">
        <is>
          <t>20260202801309</t>
        </is>
      </c>
      <c r="H974" s="8">
        <f>HYPERLINK("https://dart.fss.or.kr/dsaf001/main.do?rcpNo=20260202801309", "공시열람")</f>
        <v/>
      </c>
    </row>
    <row r="975">
      <c r="A975" s="2" t="inlineStr">
        <is>
          <t>2026-02-02</t>
        </is>
      </c>
      <c r="B975" s="3" t="inlineStr">
        <is>
          <t>삼성전자</t>
        </is>
      </c>
      <c r="C975" s="2" t="inlineStr">
        <is>
          <t>코스피</t>
        </is>
      </c>
      <c r="D975" s="2" t="inlineStr">
        <is>
          <t>005930</t>
        </is>
      </c>
      <c r="E975" s="3" t="inlineStr">
        <is>
          <t>임원ㆍ주요주주특정증권등소유상황보고서</t>
        </is>
      </c>
      <c r="F975" s="3" t="inlineStr">
        <is>
          <t>최원경</t>
        </is>
      </c>
      <c r="G975" s="2" t="inlineStr">
        <is>
          <t>20260202000940</t>
        </is>
      </c>
      <c r="H975" s="8">
        <f>HYPERLINK("https://dart.fss.or.kr/dsaf001/main.do?rcpNo=20260202000940", "공시열람")</f>
        <v/>
      </c>
    </row>
    <row r="976">
      <c r="A976" s="2" t="inlineStr">
        <is>
          <t>2026-02-02</t>
        </is>
      </c>
      <c r="B976" s="3" t="inlineStr">
        <is>
          <t>삼성전자</t>
        </is>
      </c>
      <c r="C976" s="2" t="inlineStr">
        <is>
          <t>코스피</t>
        </is>
      </c>
      <c r="D976" s="2" t="inlineStr">
        <is>
          <t>005930</t>
        </is>
      </c>
      <c r="E976" s="3" t="inlineStr">
        <is>
          <t>임원ㆍ주요주주특정증권등소유상황보고서</t>
        </is>
      </c>
      <c r="F976" s="3" t="inlineStr">
        <is>
          <t>이윤경</t>
        </is>
      </c>
      <c r="G976" s="2" t="inlineStr">
        <is>
          <t>20260202000939</t>
        </is>
      </c>
      <c r="H976" s="8">
        <f>HYPERLINK("https://dart.fss.or.kr/dsaf001/main.do?rcpNo=20260202000939", "공시열람")</f>
        <v/>
      </c>
    </row>
    <row r="977">
      <c r="A977" s="2" t="inlineStr">
        <is>
          <t>2026-02-02</t>
        </is>
      </c>
      <c r="B977" s="3" t="inlineStr">
        <is>
          <t>삼성전자</t>
        </is>
      </c>
      <c r="C977" s="2" t="inlineStr">
        <is>
          <t>코스피</t>
        </is>
      </c>
      <c r="D977" s="2" t="inlineStr">
        <is>
          <t>005930</t>
        </is>
      </c>
      <c r="E977" s="3" t="inlineStr">
        <is>
          <t>임원ㆍ주요주주특정증권등소유상황보고서</t>
        </is>
      </c>
      <c r="F977" s="3" t="inlineStr">
        <is>
          <t>김은용</t>
        </is>
      </c>
      <c r="G977" s="2" t="inlineStr">
        <is>
          <t>20260202000938</t>
        </is>
      </c>
      <c r="H977" s="8">
        <f>HYPERLINK("https://dart.fss.or.kr/dsaf001/main.do?rcpNo=20260202000938", "공시열람")</f>
        <v/>
      </c>
    </row>
    <row r="978">
      <c r="A978" s="2" t="inlineStr">
        <is>
          <t>2026-02-02</t>
        </is>
      </c>
      <c r="B978" s="3" t="inlineStr">
        <is>
          <t>제넥신</t>
        </is>
      </c>
      <c r="C978" s="2" t="inlineStr">
        <is>
          <t>코스닥</t>
        </is>
      </c>
      <c r="D978" s="2" t="inlineStr">
        <is>
          <t>095700</t>
        </is>
      </c>
      <c r="E978" s="3" t="inlineStr">
        <is>
          <t xml:space="preserve">매출액또는손익구조30%(대규모법인은15%)이상변동              </t>
        </is>
      </c>
      <c r="F978" s="3" t="inlineStr">
        <is>
          <t>제넥신</t>
        </is>
      </c>
      <c r="G978" s="2" t="inlineStr">
        <is>
          <t>20260202901433</t>
        </is>
      </c>
      <c r="H978" s="8">
        <f>HYPERLINK("https://dart.fss.or.kr/dsaf001/main.do?rcpNo=20260202901433", "공시열람")</f>
        <v/>
      </c>
    </row>
    <row r="979">
      <c r="A979" s="2" t="inlineStr">
        <is>
          <t>2026-02-02</t>
        </is>
      </c>
      <c r="B979" s="3" t="inlineStr">
        <is>
          <t>삼성전자</t>
        </is>
      </c>
      <c r="C979" s="2" t="inlineStr">
        <is>
          <t>코스피</t>
        </is>
      </c>
      <c r="D979" s="2" t="inlineStr">
        <is>
          <t>005930</t>
        </is>
      </c>
      <c r="E979" s="3" t="inlineStr">
        <is>
          <t>임원ㆍ주요주주특정증권등소유상황보고서</t>
        </is>
      </c>
      <c r="F979" s="3" t="inlineStr">
        <is>
          <t>이인학</t>
        </is>
      </c>
      <c r="G979" s="2" t="inlineStr">
        <is>
          <t>20260202000934</t>
        </is>
      </c>
      <c r="H979" s="8">
        <f>HYPERLINK("https://dart.fss.or.kr/dsaf001/main.do?rcpNo=20260202000934", "공시열람")</f>
        <v/>
      </c>
    </row>
    <row r="980">
      <c r="A980" s="2" t="inlineStr">
        <is>
          <t>2026-02-02</t>
        </is>
      </c>
      <c r="B980" s="3" t="inlineStr">
        <is>
          <t>포스코스틸리온</t>
        </is>
      </c>
      <c r="C980" s="2" t="inlineStr">
        <is>
          <t>코스피</t>
        </is>
      </c>
      <c r="D980" s="2" t="inlineStr">
        <is>
          <t>058430</t>
        </is>
      </c>
      <c r="E980" s="3" t="inlineStr">
        <is>
          <t xml:space="preserve">현금ㆍ현물배당결정              </t>
        </is>
      </c>
      <c r="F980" s="3" t="inlineStr">
        <is>
          <t>포스코스틸리온</t>
        </is>
      </c>
      <c r="G980" s="2" t="inlineStr">
        <is>
          <t>20260202801455</t>
        </is>
      </c>
      <c r="H980" s="8">
        <f>HYPERLINK("https://dart.fss.or.kr/dsaf001/main.do?rcpNo=20260202801455", "공시열람")</f>
        <v/>
      </c>
    </row>
    <row r="981">
      <c r="A981" s="2" t="inlineStr">
        <is>
          <t>2026-02-02</t>
        </is>
      </c>
      <c r="B981" s="3" t="inlineStr">
        <is>
          <t>삼성전자</t>
        </is>
      </c>
      <c r="C981" s="2" t="inlineStr">
        <is>
          <t>코스피</t>
        </is>
      </c>
      <c r="D981" s="2" t="inlineStr">
        <is>
          <t>005930</t>
        </is>
      </c>
      <c r="E981" s="3" t="inlineStr">
        <is>
          <t>임원ㆍ주요주주특정증권등소유상황보고서</t>
        </is>
      </c>
      <c r="F981" s="3" t="inlineStr">
        <is>
          <t>권영재</t>
        </is>
      </c>
      <c r="G981" s="2" t="inlineStr">
        <is>
          <t>20260202000933</t>
        </is>
      </c>
      <c r="H981" s="8">
        <f>HYPERLINK("https://dart.fss.or.kr/dsaf001/main.do?rcpNo=20260202000933", "공시열람")</f>
        <v/>
      </c>
    </row>
    <row r="982">
      <c r="A982" s="2" t="inlineStr">
        <is>
          <t>2026-02-02</t>
        </is>
      </c>
      <c r="B982" s="3" t="inlineStr">
        <is>
          <t>삼성전자</t>
        </is>
      </c>
      <c r="C982" s="2" t="inlineStr">
        <is>
          <t>코스피</t>
        </is>
      </c>
      <c r="D982" s="2" t="inlineStr">
        <is>
          <t>005930</t>
        </is>
      </c>
      <c r="E982" s="3" t="inlineStr">
        <is>
          <t>임원ㆍ주요주주특정증권등소유상황보고서</t>
        </is>
      </c>
      <c r="F982" s="3" t="inlineStr">
        <is>
          <t>신정규</t>
        </is>
      </c>
      <c r="G982" s="2" t="inlineStr">
        <is>
          <t>20260202000932</t>
        </is>
      </c>
      <c r="H982" s="8">
        <f>HYPERLINK("https://dart.fss.or.kr/dsaf001/main.do?rcpNo=20260202000932", "공시열람")</f>
        <v/>
      </c>
    </row>
    <row r="983">
      <c r="A983" s="2" t="inlineStr">
        <is>
          <t>2026-02-02</t>
        </is>
      </c>
      <c r="B983" s="3" t="inlineStr">
        <is>
          <t>하이비젼시스템</t>
        </is>
      </c>
      <c r="C983" s="2" t="inlineStr">
        <is>
          <t>코스닥</t>
        </is>
      </c>
      <c r="D983" s="2" t="inlineStr">
        <is>
          <t>126700</t>
        </is>
      </c>
      <c r="E983" s="3" t="inlineStr">
        <is>
          <t xml:space="preserve">매출액또는손익구조30%(대규모법인은15%)이상변동              </t>
        </is>
      </c>
      <c r="F983" s="3" t="inlineStr">
        <is>
          <t>하이비젼시스템</t>
        </is>
      </c>
      <c r="G983" s="2" t="inlineStr">
        <is>
          <t>20260202901231</t>
        </is>
      </c>
      <c r="H983" s="8">
        <f>HYPERLINK("https://dart.fss.or.kr/dsaf001/main.do?rcpNo=20260202901231", "공시열람")</f>
        <v/>
      </c>
    </row>
    <row r="984">
      <c r="A984" s="2" t="inlineStr">
        <is>
          <t>2026-02-02</t>
        </is>
      </c>
      <c r="B984" s="3" t="inlineStr">
        <is>
          <t>기아</t>
        </is>
      </c>
      <c r="C984" s="2" t="inlineStr">
        <is>
          <t>코스피</t>
        </is>
      </c>
      <c r="D984" s="2" t="inlineStr">
        <is>
          <t>000270</t>
        </is>
      </c>
      <c r="E984" s="3" t="inlineStr">
        <is>
          <t xml:space="preserve">영업(잠정)실적(공정공시)              </t>
        </is>
      </c>
      <c r="F984" s="3" t="inlineStr">
        <is>
          <t>기아</t>
        </is>
      </c>
      <c r="G984" s="2" t="inlineStr">
        <is>
          <t>20260202801312</t>
        </is>
      </c>
      <c r="H984" s="8">
        <f>HYPERLINK("https://dart.fss.or.kr/dsaf001/main.do?rcpNo=20260202801312", "공시열람")</f>
        <v/>
      </c>
    </row>
    <row r="985">
      <c r="A985" s="2" t="inlineStr">
        <is>
          <t>2026-02-02</t>
        </is>
      </c>
      <c r="B985" s="3" t="inlineStr">
        <is>
          <t>삼성전자</t>
        </is>
      </c>
      <c r="C985" s="2" t="inlineStr">
        <is>
          <t>코스피</t>
        </is>
      </c>
      <c r="D985" s="2" t="inlineStr">
        <is>
          <t>005930</t>
        </is>
      </c>
      <c r="E985" s="3" t="inlineStr">
        <is>
          <t>임원ㆍ주요주주특정증권등소유상황보고서</t>
        </is>
      </c>
      <c r="F985" s="3" t="inlineStr">
        <is>
          <t>김인범</t>
        </is>
      </c>
      <c r="G985" s="2" t="inlineStr">
        <is>
          <t>20260202000930</t>
        </is>
      </c>
      <c r="H985" s="8">
        <f>HYPERLINK("https://dart.fss.or.kr/dsaf001/main.do?rcpNo=20260202000930", "공시열람")</f>
        <v/>
      </c>
    </row>
    <row r="986">
      <c r="A986" s="2" t="inlineStr">
        <is>
          <t>2026-02-02</t>
        </is>
      </c>
      <c r="B986" s="3" t="inlineStr">
        <is>
          <t>삼성전자</t>
        </is>
      </c>
      <c r="C986" s="2" t="inlineStr">
        <is>
          <t>코스피</t>
        </is>
      </c>
      <c r="D986" s="2" t="inlineStr">
        <is>
          <t>005930</t>
        </is>
      </c>
      <c r="E986" s="3" t="inlineStr">
        <is>
          <t>임원ㆍ주요주주특정증권등소유상황보고서</t>
        </is>
      </c>
      <c r="F986" s="3" t="inlineStr">
        <is>
          <t>최동규</t>
        </is>
      </c>
      <c r="G986" s="2" t="inlineStr">
        <is>
          <t>20260202000929</t>
        </is>
      </c>
      <c r="H986" s="8">
        <f>HYPERLINK("https://dart.fss.or.kr/dsaf001/main.do?rcpNo=20260202000929", "공시열람")</f>
        <v/>
      </c>
    </row>
    <row r="987">
      <c r="A987" s="2" t="inlineStr">
        <is>
          <t>2026-02-02</t>
        </is>
      </c>
      <c r="B987" s="3" t="inlineStr">
        <is>
          <t>삼성전자</t>
        </is>
      </c>
      <c r="C987" s="2" t="inlineStr">
        <is>
          <t>코스피</t>
        </is>
      </c>
      <c r="D987" s="2" t="inlineStr">
        <is>
          <t>005930</t>
        </is>
      </c>
      <c r="E987" s="3" t="inlineStr">
        <is>
          <t>임원ㆍ주요주주특정증권등소유상황보고서</t>
        </is>
      </c>
      <c r="F987" s="3" t="inlineStr">
        <is>
          <t>김영집</t>
        </is>
      </c>
      <c r="G987" s="2" t="inlineStr">
        <is>
          <t>20260202000927</t>
        </is>
      </c>
      <c r="H987" s="8">
        <f>HYPERLINK("https://dart.fss.or.kr/dsaf001/main.do?rcpNo=20260202000927", "공시열람")</f>
        <v/>
      </c>
    </row>
    <row r="988">
      <c r="A988" s="2" t="inlineStr">
        <is>
          <t>2026-02-02</t>
        </is>
      </c>
      <c r="B988" s="3" t="inlineStr">
        <is>
          <t>이녹스첨단소재</t>
        </is>
      </c>
      <c r="C988" s="2" t="inlineStr">
        <is>
          <t>코스닥</t>
        </is>
      </c>
      <c r="D988" s="2" t="inlineStr">
        <is>
          <t>272290</t>
        </is>
      </c>
      <c r="E988" s="3" t="inlineStr">
        <is>
          <t xml:space="preserve">매출액또는손익구조30%(대규모법인은15%)미만변동(자율공시)              </t>
        </is>
      </c>
      <c r="F988" s="3" t="inlineStr">
        <is>
          <t>이녹스첨단소재</t>
        </is>
      </c>
      <c r="G988" s="2" t="inlineStr">
        <is>
          <t>20260202901429</t>
        </is>
      </c>
      <c r="H988" s="8">
        <f>HYPERLINK("https://dart.fss.or.kr/dsaf001/main.do?rcpNo=20260202901429", "공시열람")</f>
        <v/>
      </c>
    </row>
    <row r="989">
      <c r="A989" s="2" t="inlineStr">
        <is>
          <t>2026-02-02</t>
        </is>
      </c>
      <c r="B989" s="3" t="inlineStr">
        <is>
          <t>서남</t>
        </is>
      </c>
      <c r="C989" s="2" t="inlineStr">
        <is>
          <t>코스닥</t>
        </is>
      </c>
      <c r="D989" s="2" t="inlineStr">
        <is>
          <t>294630</t>
        </is>
      </c>
      <c r="E989" s="3" t="inlineStr">
        <is>
          <t xml:space="preserve">매출액또는손익구조30%(대규모법인은15%)이상변동              </t>
        </is>
      </c>
      <c r="F989" s="3" t="inlineStr">
        <is>
          <t>서남</t>
        </is>
      </c>
      <c r="G989" s="2" t="inlineStr">
        <is>
          <t>20260202901191</t>
        </is>
      </c>
      <c r="H989" s="8">
        <f>HYPERLINK("https://dart.fss.or.kr/dsaf001/main.do?rcpNo=20260202901191", "공시열람")</f>
        <v/>
      </c>
    </row>
    <row r="990">
      <c r="A990" s="2" t="inlineStr">
        <is>
          <t>2026-02-02</t>
        </is>
      </c>
      <c r="B990" s="3" t="inlineStr">
        <is>
          <t>삼성전자</t>
        </is>
      </c>
      <c r="C990" s="2" t="inlineStr">
        <is>
          <t>코스피</t>
        </is>
      </c>
      <c r="D990" s="2" t="inlineStr">
        <is>
          <t>005930</t>
        </is>
      </c>
      <c r="E990" s="3" t="inlineStr">
        <is>
          <t>임원ㆍ주요주주특정증권등소유상황보고서</t>
        </is>
      </c>
      <c r="F990" s="3" t="inlineStr">
        <is>
          <t>이의형</t>
        </is>
      </c>
      <c r="G990" s="2" t="inlineStr">
        <is>
          <t>20260202000926</t>
        </is>
      </c>
      <c r="H990" s="8">
        <f>HYPERLINK("https://dart.fss.or.kr/dsaf001/main.do?rcpNo=20260202000926", "공시열람")</f>
        <v/>
      </c>
    </row>
    <row r="991">
      <c r="A991" s="2" t="inlineStr">
        <is>
          <t>2026-02-02</t>
        </is>
      </c>
      <c r="B991" s="3" t="inlineStr">
        <is>
          <t>삼성전자</t>
        </is>
      </c>
      <c r="C991" s="2" t="inlineStr">
        <is>
          <t>코스피</t>
        </is>
      </c>
      <c r="D991" s="2" t="inlineStr">
        <is>
          <t>005930</t>
        </is>
      </c>
      <c r="E991" s="3" t="inlineStr">
        <is>
          <t>임원ㆍ주요주주특정증권등소유상황보고서</t>
        </is>
      </c>
      <c r="F991" s="3" t="inlineStr">
        <is>
          <t>전소영</t>
        </is>
      </c>
      <c r="G991" s="2" t="inlineStr">
        <is>
          <t>20260202000925</t>
        </is>
      </c>
      <c r="H991" s="8">
        <f>HYPERLINK("https://dart.fss.or.kr/dsaf001/main.do?rcpNo=20260202000925", "공시열람")</f>
        <v/>
      </c>
    </row>
    <row r="992">
      <c r="A992" s="2" t="inlineStr">
        <is>
          <t>2026-02-02</t>
        </is>
      </c>
      <c r="B992" s="3" t="inlineStr">
        <is>
          <t>포스코스틸리온</t>
        </is>
      </c>
      <c r="C992" s="2" t="inlineStr">
        <is>
          <t>코스피</t>
        </is>
      </c>
      <c r="D992" s="2" t="inlineStr">
        <is>
          <t>058430</t>
        </is>
      </c>
      <c r="E992" s="3" t="inlineStr">
        <is>
          <t xml:space="preserve">현금ㆍ현물배당을위한주주명부폐쇄(기준일)결정              </t>
        </is>
      </c>
      <c r="F992" s="3" t="inlineStr">
        <is>
          <t>포스코스틸리온</t>
        </is>
      </c>
      <c r="G992" s="2" t="inlineStr">
        <is>
          <t>20260202801439</t>
        </is>
      </c>
      <c r="H992" s="8">
        <f>HYPERLINK("https://dart.fss.or.kr/dsaf001/main.do?rcpNo=20260202801439", "공시열람")</f>
        <v/>
      </c>
    </row>
    <row r="993">
      <c r="A993" s="2" t="inlineStr">
        <is>
          <t>2026-02-02</t>
        </is>
      </c>
      <c r="B993" s="3" t="inlineStr">
        <is>
          <t>삼성전자</t>
        </is>
      </c>
      <c r="C993" s="2" t="inlineStr">
        <is>
          <t>코스피</t>
        </is>
      </c>
      <c r="D993" s="2" t="inlineStr">
        <is>
          <t>005930</t>
        </is>
      </c>
      <c r="E993" s="3" t="inlineStr">
        <is>
          <t>임원ㆍ주요주주특정증권등소유상황보고서</t>
        </is>
      </c>
      <c r="F993" s="3" t="inlineStr">
        <is>
          <t>김용국</t>
        </is>
      </c>
      <c r="G993" s="2" t="inlineStr">
        <is>
          <t>20260202000924</t>
        </is>
      </c>
      <c r="H993" s="8">
        <f>HYPERLINK("https://dart.fss.or.kr/dsaf001/main.do?rcpNo=20260202000924", "공시열람")</f>
        <v/>
      </c>
    </row>
    <row r="994">
      <c r="A994" s="2" t="inlineStr">
        <is>
          <t>2026-02-02</t>
        </is>
      </c>
      <c r="B994" s="3" t="inlineStr">
        <is>
          <t>삼성전자</t>
        </is>
      </c>
      <c r="C994" s="2" t="inlineStr">
        <is>
          <t>코스피</t>
        </is>
      </c>
      <c r="D994" s="2" t="inlineStr">
        <is>
          <t>005930</t>
        </is>
      </c>
      <c r="E994" s="3" t="inlineStr">
        <is>
          <t>임원ㆍ주요주주특정증권등소유상황보고서</t>
        </is>
      </c>
      <c r="F994" s="3" t="inlineStr">
        <is>
          <t>노경윤</t>
        </is>
      </c>
      <c r="G994" s="2" t="inlineStr">
        <is>
          <t>20260202000923</t>
        </is>
      </c>
      <c r="H994" s="8">
        <f>HYPERLINK("https://dart.fss.or.kr/dsaf001/main.do?rcpNo=20260202000923", "공시열람")</f>
        <v/>
      </c>
    </row>
    <row r="995">
      <c r="A995" s="2" t="inlineStr">
        <is>
          <t>2026-02-02</t>
        </is>
      </c>
      <c r="B995" s="3" t="inlineStr">
        <is>
          <t>삼성전자</t>
        </is>
      </c>
      <c r="C995" s="2" t="inlineStr">
        <is>
          <t>코스피</t>
        </is>
      </c>
      <c r="D995" s="2" t="inlineStr">
        <is>
          <t>005930</t>
        </is>
      </c>
      <c r="E995" s="3" t="inlineStr">
        <is>
          <t>임원ㆍ주요주주특정증권등소유상황보고서</t>
        </is>
      </c>
      <c r="F995" s="3" t="inlineStr">
        <is>
          <t>채동혁</t>
        </is>
      </c>
      <c r="G995" s="2" t="inlineStr">
        <is>
          <t>20260202000922</t>
        </is>
      </c>
      <c r="H995" s="8">
        <f>HYPERLINK("https://dart.fss.or.kr/dsaf001/main.do?rcpNo=20260202000922", "공시열람")</f>
        <v/>
      </c>
    </row>
    <row r="996">
      <c r="A996" s="2" t="inlineStr">
        <is>
          <t>2026-02-02</t>
        </is>
      </c>
      <c r="B996" s="3" t="inlineStr">
        <is>
          <t>한화비전</t>
        </is>
      </c>
      <c r="C996" s="2" t="inlineStr">
        <is>
          <t>코스피</t>
        </is>
      </c>
      <c r="D996" s="2" t="inlineStr">
        <is>
          <t>489790</t>
        </is>
      </c>
      <c r="E996" s="3" t="inlineStr">
        <is>
          <t>증권신고서(채무증권)</t>
        </is>
      </c>
      <c r="F996" s="3" t="inlineStr">
        <is>
          <t>한화비전</t>
        </is>
      </c>
      <c r="G996" s="2" t="inlineStr">
        <is>
          <t>20260202000920</t>
        </is>
      </c>
      <c r="H996" s="8">
        <f>HYPERLINK("https://dart.fss.or.kr/dsaf001/main.do?rcpNo=20260202000920", "공시열람")</f>
        <v/>
      </c>
    </row>
    <row r="997">
      <c r="A997" s="2" t="inlineStr">
        <is>
          <t>2026-02-02</t>
        </is>
      </c>
      <c r="B997" s="3" t="inlineStr">
        <is>
          <t>삼성전자</t>
        </is>
      </c>
      <c r="C997" s="2" t="inlineStr">
        <is>
          <t>코스피</t>
        </is>
      </c>
      <c r="D997" s="2" t="inlineStr">
        <is>
          <t>005930</t>
        </is>
      </c>
      <c r="E997" s="3" t="inlineStr">
        <is>
          <t>임원ㆍ주요주주특정증권등소유상황보고서</t>
        </is>
      </c>
      <c r="F997" s="3" t="inlineStr">
        <is>
          <t>김희승</t>
        </is>
      </c>
      <c r="G997" s="2" t="inlineStr">
        <is>
          <t>20260202000919</t>
        </is>
      </c>
      <c r="H997" s="8">
        <f>HYPERLINK("https://dart.fss.or.kr/dsaf001/main.do?rcpNo=20260202000919", "공시열람")</f>
        <v/>
      </c>
    </row>
    <row r="998">
      <c r="A998" s="2" t="inlineStr">
        <is>
          <t>2026-02-02</t>
        </is>
      </c>
      <c r="B998" s="3" t="inlineStr">
        <is>
          <t>삼성전자</t>
        </is>
      </c>
      <c r="C998" s="2" t="inlineStr">
        <is>
          <t>코스피</t>
        </is>
      </c>
      <c r="D998" s="2" t="inlineStr">
        <is>
          <t>005930</t>
        </is>
      </c>
      <c r="E998" s="3" t="inlineStr">
        <is>
          <t>임원ㆍ주요주주특정증권등소유상황보고서</t>
        </is>
      </c>
      <c r="F998" s="3" t="inlineStr">
        <is>
          <t>오문욱</t>
        </is>
      </c>
      <c r="G998" s="2" t="inlineStr">
        <is>
          <t>20260202000918</t>
        </is>
      </c>
      <c r="H998" s="8">
        <f>HYPERLINK("https://dart.fss.or.kr/dsaf001/main.do?rcpNo=20260202000918", "공시열람")</f>
        <v/>
      </c>
    </row>
    <row r="999">
      <c r="A999" s="2" t="inlineStr">
        <is>
          <t>2026-02-02 (정정: 2026-03-04)</t>
        </is>
      </c>
      <c r="B999" s="3" t="inlineStr">
        <is>
          <t>GS</t>
        </is>
      </c>
      <c r="C999" s="2" t="inlineStr">
        <is>
          <t>코스피</t>
        </is>
      </c>
      <c r="D999" s="2" t="inlineStr">
        <is>
          <t>078930</t>
        </is>
      </c>
      <c r="E999" s="3" t="inlineStr">
        <is>
          <t>임원ㆍ주요주주특정증권등소유상황보고서 (정정: 20260304)</t>
        </is>
      </c>
      <c r="F999" s="3" t="inlineStr">
        <is>
          <t>허연수</t>
        </is>
      </c>
      <c r="G999" s="2" t="inlineStr">
        <is>
          <t>20260304801362</t>
        </is>
      </c>
      <c r="H999" s="8">
        <f>HYPERLINK("https://dart.fss.or.kr/dsaf001/main.do?rcpNo=20260304801362", "공시열람")</f>
        <v/>
      </c>
    </row>
    <row r="1000">
      <c r="A1000" s="2" t="inlineStr">
        <is>
          <t>2026-02-02</t>
        </is>
      </c>
      <c r="B1000" s="3" t="inlineStr">
        <is>
          <t>삼성전자</t>
        </is>
      </c>
      <c r="C1000" s="2" t="inlineStr">
        <is>
          <t>코스피</t>
        </is>
      </c>
      <c r="D1000" s="2" t="inlineStr">
        <is>
          <t>005930</t>
        </is>
      </c>
      <c r="E1000" s="3" t="inlineStr">
        <is>
          <t>임원ㆍ주요주주특정증권등소유상황보고서</t>
        </is>
      </c>
      <c r="F1000" s="3" t="inlineStr">
        <is>
          <t>이영학</t>
        </is>
      </c>
      <c r="G1000" s="2" t="inlineStr">
        <is>
          <t>20260202000916</t>
        </is>
      </c>
      <c r="H1000" s="8">
        <f>HYPERLINK("https://dart.fss.or.kr/dsaf001/main.do?rcpNo=20260202000916", "공시열람")</f>
        <v/>
      </c>
    </row>
    <row r="1001">
      <c r="A1001" s="2" t="inlineStr">
        <is>
          <t>2026-02-02</t>
        </is>
      </c>
      <c r="B1001" s="3" t="inlineStr">
        <is>
          <t>삼성전자</t>
        </is>
      </c>
      <c r="C1001" s="2" t="inlineStr">
        <is>
          <t>코스피</t>
        </is>
      </c>
      <c r="D1001" s="2" t="inlineStr">
        <is>
          <t>005930</t>
        </is>
      </c>
      <c r="E1001" s="3" t="inlineStr">
        <is>
          <t>임원ㆍ주요주주특정증권등소유상황보고서</t>
        </is>
      </c>
      <c r="F1001" s="3" t="inlineStr">
        <is>
          <t>이승환</t>
        </is>
      </c>
      <c r="G1001" s="2" t="inlineStr">
        <is>
          <t>20260202000915</t>
        </is>
      </c>
      <c r="H1001" s="8">
        <f>HYPERLINK("https://dart.fss.or.kr/dsaf001/main.do?rcpNo=20260202000915", "공시열람")</f>
        <v/>
      </c>
    </row>
    <row r="1002">
      <c r="A1002" s="2" t="inlineStr">
        <is>
          <t>2026-02-02</t>
        </is>
      </c>
      <c r="B1002" s="3" t="inlineStr">
        <is>
          <t>삼성전자</t>
        </is>
      </c>
      <c r="C1002" s="2" t="inlineStr">
        <is>
          <t>코스피</t>
        </is>
      </c>
      <c r="D1002" s="2" t="inlineStr">
        <is>
          <t>005930</t>
        </is>
      </c>
      <c r="E1002" s="3" t="inlineStr">
        <is>
          <t>임원ㆍ주요주주특정증권등소유상황보고서</t>
        </is>
      </c>
      <c r="F1002" s="3" t="inlineStr">
        <is>
          <t>김두현</t>
        </is>
      </c>
      <c r="G1002" s="2" t="inlineStr">
        <is>
          <t>20260202000914</t>
        </is>
      </c>
      <c r="H1002" s="8">
        <f>HYPERLINK("https://dart.fss.or.kr/dsaf001/main.do?rcpNo=20260202000914", "공시열람")</f>
        <v/>
      </c>
    </row>
    <row r="1003">
      <c r="A1003" s="2" t="inlineStr">
        <is>
          <t>2026-02-02</t>
        </is>
      </c>
      <c r="B1003" s="3" t="inlineStr">
        <is>
          <t>삼성전자</t>
        </is>
      </c>
      <c r="C1003" s="2" t="inlineStr">
        <is>
          <t>코스피</t>
        </is>
      </c>
      <c r="D1003" s="2" t="inlineStr">
        <is>
          <t>005930</t>
        </is>
      </c>
      <c r="E1003" s="3" t="inlineStr">
        <is>
          <t>임원ㆍ주요주주특정증권등소유상황보고서</t>
        </is>
      </c>
      <c r="F1003" s="3" t="inlineStr">
        <is>
          <t>이동하</t>
        </is>
      </c>
      <c r="G1003" s="2" t="inlineStr">
        <is>
          <t>20260202000913</t>
        </is>
      </c>
      <c r="H1003" s="8">
        <f>HYPERLINK("https://dart.fss.or.kr/dsaf001/main.do?rcpNo=20260202000913", "공시열람")</f>
        <v/>
      </c>
    </row>
    <row r="1004">
      <c r="A1004" s="2" t="inlineStr">
        <is>
          <t>2026-02-02</t>
        </is>
      </c>
      <c r="B1004" s="3" t="inlineStr">
        <is>
          <t>삼성전자</t>
        </is>
      </c>
      <c r="C1004" s="2" t="inlineStr">
        <is>
          <t>코스피</t>
        </is>
      </c>
      <c r="D1004" s="2" t="inlineStr">
        <is>
          <t>005930</t>
        </is>
      </c>
      <c r="E1004" s="3" t="inlineStr">
        <is>
          <t>임원ㆍ주요주주특정증권등소유상황보고서</t>
        </is>
      </c>
      <c r="F1004" s="3" t="inlineStr">
        <is>
          <t>배승준</t>
        </is>
      </c>
      <c r="G1004" s="2" t="inlineStr">
        <is>
          <t>20260202000912</t>
        </is>
      </c>
      <c r="H1004" s="8">
        <f>HYPERLINK("https://dart.fss.or.kr/dsaf001/main.do?rcpNo=20260202000912", "공시열람")</f>
        <v/>
      </c>
    </row>
    <row r="1005">
      <c r="A1005" s="2" t="inlineStr">
        <is>
          <t>2026-02-02</t>
        </is>
      </c>
      <c r="B1005" s="3" t="inlineStr">
        <is>
          <t>삼성전자</t>
        </is>
      </c>
      <c r="C1005" s="2" t="inlineStr">
        <is>
          <t>코스피</t>
        </is>
      </c>
      <c r="D1005" s="2" t="inlineStr">
        <is>
          <t>005930</t>
        </is>
      </c>
      <c r="E1005" s="3" t="inlineStr">
        <is>
          <t>임원ㆍ주요주주특정증권등소유상황보고서</t>
        </is>
      </c>
      <c r="F1005" s="3" t="inlineStr">
        <is>
          <t>구자천</t>
        </is>
      </c>
      <c r="G1005" s="2" t="inlineStr">
        <is>
          <t>20260202000910</t>
        </is>
      </c>
      <c r="H1005" s="8">
        <f>HYPERLINK("https://dart.fss.or.kr/dsaf001/main.do?rcpNo=20260202000910", "공시열람")</f>
        <v/>
      </c>
    </row>
    <row r="1006">
      <c r="A1006" s="2" t="inlineStr">
        <is>
          <t>2026-02-02</t>
        </is>
      </c>
      <c r="B1006" s="3" t="inlineStr">
        <is>
          <t>삼성전자</t>
        </is>
      </c>
      <c r="C1006" s="2" t="inlineStr">
        <is>
          <t>코스피</t>
        </is>
      </c>
      <c r="D1006" s="2" t="inlineStr">
        <is>
          <t>005930</t>
        </is>
      </c>
      <c r="E1006" s="3" t="inlineStr">
        <is>
          <t>임원ㆍ주요주주특정증권등소유상황보고서</t>
        </is>
      </c>
      <c r="F1006" s="3" t="inlineStr">
        <is>
          <t>이승훈</t>
        </is>
      </c>
      <c r="G1006" s="2" t="inlineStr">
        <is>
          <t>20260202000909</t>
        </is>
      </c>
      <c r="H1006" s="8">
        <f>HYPERLINK("https://dart.fss.or.kr/dsaf001/main.do?rcpNo=20260202000909", "공시열람")</f>
        <v/>
      </c>
    </row>
    <row r="1007">
      <c r="A1007" s="2" t="inlineStr">
        <is>
          <t>2026-02-02</t>
        </is>
      </c>
      <c r="B1007" s="3" t="inlineStr">
        <is>
          <t>삼성전자</t>
        </is>
      </c>
      <c r="C1007" s="2" t="inlineStr">
        <is>
          <t>코스피</t>
        </is>
      </c>
      <c r="D1007" s="2" t="inlineStr">
        <is>
          <t>005930</t>
        </is>
      </c>
      <c r="E1007" s="3" t="inlineStr">
        <is>
          <t>임원ㆍ주요주주특정증권등소유상황보고서</t>
        </is>
      </c>
      <c r="F1007" s="3" t="inlineStr">
        <is>
          <t>장경모</t>
        </is>
      </c>
      <c r="G1007" s="2" t="inlineStr">
        <is>
          <t>20260202000908</t>
        </is>
      </c>
      <c r="H1007" s="8">
        <f>HYPERLINK("https://dart.fss.or.kr/dsaf001/main.do?rcpNo=20260202000908", "공시열람")</f>
        <v/>
      </c>
    </row>
    <row r="1008">
      <c r="A1008" s="2" t="inlineStr">
        <is>
          <t>2026-02-02</t>
        </is>
      </c>
      <c r="B1008" s="3" t="inlineStr">
        <is>
          <t>삼성전자</t>
        </is>
      </c>
      <c r="C1008" s="2" t="inlineStr">
        <is>
          <t>코스피</t>
        </is>
      </c>
      <c r="D1008" s="2" t="inlineStr">
        <is>
          <t>005930</t>
        </is>
      </c>
      <c r="E1008" s="3" t="inlineStr">
        <is>
          <t>임원ㆍ주요주주특정증권등소유상황보고서</t>
        </is>
      </c>
      <c r="F1008" s="3" t="inlineStr">
        <is>
          <t>이남호</t>
        </is>
      </c>
      <c r="G1008" s="2" t="inlineStr">
        <is>
          <t>20260202000907</t>
        </is>
      </c>
      <c r="H1008" s="8">
        <f>HYPERLINK("https://dart.fss.or.kr/dsaf001/main.do?rcpNo=20260202000907", "공시열람")</f>
        <v/>
      </c>
    </row>
    <row r="1009">
      <c r="A1009" s="2" t="inlineStr">
        <is>
          <t>2026-02-02</t>
        </is>
      </c>
      <c r="B1009" s="3" t="inlineStr">
        <is>
          <t>삼성전자</t>
        </is>
      </c>
      <c r="C1009" s="2" t="inlineStr">
        <is>
          <t>코스피</t>
        </is>
      </c>
      <c r="D1009" s="2" t="inlineStr">
        <is>
          <t>005930</t>
        </is>
      </c>
      <c r="E1009" s="3" t="inlineStr">
        <is>
          <t>임원ㆍ주요주주특정증권등소유상황보고서</t>
        </is>
      </c>
      <c r="F1009" s="3" t="inlineStr">
        <is>
          <t>원순재</t>
        </is>
      </c>
      <c r="G1009" s="2" t="inlineStr">
        <is>
          <t>20260202000906</t>
        </is>
      </c>
      <c r="H1009" s="8">
        <f>HYPERLINK("https://dart.fss.or.kr/dsaf001/main.do?rcpNo=20260202000906", "공시열람")</f>
        <v/>
      </c>
    </row>
    <row r="1010">
      <c r="A1010" s="2" t="inlineStr">
        <is>
          <t>2026-02-02</t>
        </is>
      </c>
      <c r="B1010" s="3" t="inlineStr">
        <is>
          <t>삼성전자</t>
        </is>
      </c>
      <c r="C1010" s="2" t="inlineStr">
        <is>
          <t>코스피</t>
        </is>
      </c>
      <c r="D1010" s="2" t="inlineStr">
        <is>
          <t>005930</t>
        </is>
      </c>
      <c r="E1010" s="3" t="inlineStr">
        <is>
          <t>임원ㆍ주요주주특정증권등소유상황보고서</t>
        </is>
      </c>
      <c r="F1010" s="3" t="inlineStr">
        <is>
          <t>한석근</t>
        </is>
      </c>
      <c r="G1010" s="2" t="inlineStr">
        <is>
          <t>20260202000905</t>
        </is>
      </c>
      <c r="H1010" s="8">
        <f>HYPERLINK("https://dart.fss.or.kr/dsaf001/main.do?rcpNo=20260202000905", "공시열람")</f>
        <v/>
      </c>
    </row>
    <row r="1011">
      <c r="A1011" s="2" t="inlineStr">
        <is>
          <t>2026-02-02</t>
        </is>
      </c>
      <c r="B1011" s="3" t="inlineStr">
        <is>
          <t>HLB바이오스텝</t>
        </is>
      </c>
      <c r="C1011" s="2" t="inlineStr">
        <is>
          <t>코스닥</t>
        </is>
      </c>
      <c r="D1011" s="2" t="inlineStr">
        <is>
          <t>278650</t>
        </is>
      </c>
      <c r="E1011" s="3" t="inlineStr">
        <is>
          <t xml:space="preserve">매출액또는손익구조30%(대규모법인은15%)이상변동              </t>
        </is>
      </c>
      <c r="F1011" s="3" t="inlineStr">
        <is>
          <t>HLB바이오스텝</t>
        </is>
      </c>
      <c r="G1011" s="2" t="inlineStr">
        <is>
          <t>20260202901367</t>
        </is>
      </c>
      <c r="H1011" s="8">
        <f>HYPERLINK("https://dart.fss.or.kr/dsaf001/main.do?rcpNo=20260202901367", "공시열람")</f>
        <v/>
      </c>
    </row>
    <row r="1012">
      <c r="A1012" s="2" t="inlineStr">
        <is>
          <t>2026-02-02</t>
        </is>
      </c>
      <c r="B1012" s="3" t="inlineStr">
        <is>
          <t>KZ정밀</t>
        </is>
      </c>
      <c r="C1012" s="2" t="inlineStr">
        <is>
          <t>코스닥</t>
        </is>
      </c>
      <c r="D1012" s="2" t="inlineStr">
        <is>
          <t>036560</t>
        </is>
      </c>
      <c r="E1012" s="3" t="inlineStr">
        <is>
          <t xml:space="preserve">영업(잠정)실적(공정공시)              </t>
        </is>
      </c>
      <c r="F1012" s="3" t="inlineStr">
        <is>
          <t>KZ정밀</t>
        </is>
      </c>
      <c r="G1012" s="2" t="inlineStr">
        <is>
          <t>20260202901340</t>
        </is>
      </c>
      <c r="H1012" s="8">
        <f>HYPERLINK("https://dart.fss.or.kr/dsaf001/main.do?rcpNo=20260202901340", "공시열람")</f>
        <v/>
      </c>
    </row>
    <row r="1013">
      <c r="A1013" s="2" t="inlineStr">
        <is>
          <t>2026-02-02</t>
        </is>
      </c>
      <c r="B1013" s="3" t="inlineStr">
        <is>
          <t>KZ정밀</t>
        </is>
      </c>
      <c r="C1013" s="2" t="inlineStr">
        <is>
          <t>코스닥</t>
        </is>
      </c>
      <c r="D1013" s="2" t="inlineStr">
        <is>
          <t>036560</t>
        </is>
      </c>
      <c r="E1013" s="3" t="inlineStr">
        <is>
          <t xml:space="preserve">매출액또는손익구조30%(대규모법인은15%)이상변동              </t>
        </is>
      </c>
      <c r="F1013" s="3" t="inlineStr">
        <is>
          <t>KZ정밀</t>
        </is>
      </c>
      <c r="G1013" s="2" t="inlineStr">
        <is>
          <t>20260202901278</t>
        </is>
      </c>
      <c r="H1013" s="8">
        <f>HYPERLINK("https://dart.fss.or.kr/dsaf001/main.do?rcpNo=20260202901278", "공시열람")</f>
        <v/>
      </c>
    </row>
    <row r="1014">
      <c r="A1014" s="2" t="inlineStr">
        <is>
          <t>2026-02-02</t>
        </is>
      </c>
      <c r="B1014" s="3" t="inlineStr">
        <is>
          <t>삼성전자</t>
        </is>
      </c>
      <c r="C1014" s="2" t="inlineStr">
        <is>
          <t>코스피</t>
        </is>
      </c>
      <c r="D1014" s="2" t="inlineStr">
        <is>
          <t>005930</t>
        </is>
      </c>
      <c r="E1014" s="3" t="inlineStr">
        <is>
          <t>임원ㆍ주요주주특정증권등소유상황보고서</t>
        </is>
      </c>
      <c r="F1014" s="3" t="inlineStr">
        <is>
          <t>김재성</t>
        </is>
      </c>
      <c r="G1014" s="2" t="inlineStr">
        <is>
          <t>20260202000904</t>
        </is>
      </c>
      <c r="H1014" s="8">
        <f>HYPERLINK("https://dart.fss.or.kr/dsaf001/main.do?rcpNo=20260202000904", "공시열람")</f>
        <v/>
      </c>
    </row>
    <row r="1015">
      <c r="A1015" s="2" t="inlineStr">
        <is>
          <t>2026-02-02</t>
        </is>
      </c>
      <c r="B1015" s="3" t="inlineStr">
        <is>
          <t>모비릭스</t>
        </is>
      </c>
      <c r="C1015" s="2" t="inlineStr">
        <is>
          <t>코스닥</t>
        </is>
      </c>
      <c r="D1015" s="2" t="inlineStr">
        <is>
          <t>348030</t>
        </is>
      </c>
      <c r="E1015" s="3" t="inlineStr">
        <is>
          <t>임원ㆍ주요주주특정증권등소유상황보고서</t>
        </is>
      </c>
      <c r="F1015" s="3" t="inlineStr">
        <is>
          <t>이남일</t>
        </is>
      </c>
      <c r="G1015" s="2" t="inlineStr">
        <is>
          <t>20260202000903</t>
        </is>
      </c>
      <c r="H1015" s="8">
        <f>HYPERLINK("https://dart.fss.or.kr/dsaf001/main.do?rcpNo=20260202000903", "공시열람")</f>
        <v/>
      </c>
    </row>
    <row r="1016">
      <c r="A1016" s="2" t="inlineStr">
        <is>
          <t>2026-02-02</t>
        </is>
      </c>
      <c r="B1016" s="3" t="inlineStr">
        <is>
          <t>레드캡투어</t>
        </is>
      </c>
      <c r="C1016" s="2" t="inlineStr">
        <is>
          <t>코스닥</t>
        </is>
      </c>
      <c r="D1016" s="2" t="inlineStr">
        <is>
          <t>038390</t>
        </is>
      </c>
      <c r="E1016" s="3" t="inlineStr">
        <is>
          <t xml:space="preserve">결산실적공시예고              </t>
        </is>
      </c>
      <c r="F1016" s="3" t="inlineStr">
        <is>
          <t>레드캡투어</t>
        </is>
      </c>
      <c r="G1016" s="2" t="inlineStr">
        <is>
          <t>20260202901407</t>
        </is>
      </c>
      <c r="H1016" s="8">
        <f>HYPERLINK("https://dart.fss.or.kr/dsaf001/main.do?rcpNo=20260202901407", "공시열람")</f>
        <v/>
      </c>
    </row>
    <row r="1017">
      <c r="A1017" s="2" t="inlineStr">
        <is>
          <t>2026-02-02</t>
        </is>
      </c>
      <c r="B1017" s="3" t="inlineStr">
        <is>
          <t>삼성전자</t>
        </is>
      </c>
      <c r="C1017" s="2" t="inlineStr">
        <is>
          <t>코스피</t>
        </is>
      </c>
      <c r="D1017" s="2" t="inlineStr">
        <is>
          <t>005930</t>
        </is>
      </c>
      <c r="E1017" s="3" t="inlineStr">
        <is>
          <t>임원ㆍ주요주주특정증권등소유상황보고서</t>
        </is>
      </c>
      <c r="F1017" s="3" t="inlineStr">
        <is>
          <t>고정욱</t>
        </is>
      </c>
      <c r="G1017" s="2" t="inlineStr">
        <is>
          <t>20260202000900</t>
        </is>
      </c>
      <c r="H1017" s="8">
        <f>HYPERLINK("https://dart.fss.or.kr/dsaf001/main.do?rcpNo=20260202000900", "공시열람")</f>
        <v/>
      </c>
    </row>
    <row r="1018">
      <c r="A1018" s="2" t="inlineStr">
        <is>
          <t>2026-02-02</t>
        </is>
      </c>
      <c r="B1018" s="3" t="inlineStr">
        <is>
          <t>삼성전자</t>
        </is>
      </c>
      <c r="C1018" s="2" t="inlineStr">
        <is>
          <t>코스피</t>
        </is>
      </c>
      <c r="D1018" s="2" t="inlineStr">
        <is>
          <t>005930</t>
        </is>
      </c>
      <c r="E1018" s="3" t="inlineStr">
        <is>
          <t>임원ㆍ주요주주특정증권등소유상황보고서</t>
        </is>
      </c>
      <c r="F1018" s="3" t="inlineStr">
        <is>
          <t>이승준</t>
        </is>
      </c>
      <c r="G1018" s="2" t="inlineStr">
        <is>
          <t>20260202000899</t>
        </is>
      </c>
      <c r="H1018" s="8">
        <f>HYPERLINK("https://dart.fss.or.kr/dsaf001/main.do?rcpNo=20260202000899", "공시열람")</f>
        <v/>
      </c>
    </row>
    <row r="1019">
      <c r="A1019" s="2" t="inlineStr">
        <is>
          <t>2026-02-02</t>
        </is>
      </c>
      <c r="B1019" s="3" t="inlineStr">
        <is>
          <t>삼성전자</t>
        </is>
      </c>
      <c r="C1019" s="2" t="inlineStr">
        <is>
          <t>코스피</t>
        </is>
      </c>
      <c r="D1019" s="2" t="inlineStr">
        <is>
          <t>005930</t>
        </is>
      </c>
      <c r="E1019" s="3" t="inlineStr">
        <is>
          <t>임원ㆍ주요주주특정증권등소유상황보고서</t>
        </is>
      </c>
      <c r="F1019" s="3" t="inlineStr">
        <is>
          <t>권기덕</t>
        </is>
      </c>
      <c r="G1019" s="2" t="inlineStr">
        <is>
          <t>20260202000898</t>
        </is>
      </c>
      <c r="H1019" s="8">
        <f>HYPERLINK("https://dart.fss.or.kr/dsaf001/main.do?rcpNo=20260202000898", "공시열람")</f>
        <v/>
      </c>
    </row>
    <row r="1020">
      <c r="A1020" s="2" t="inlineStr">
        <is>
          <t>2026-02-02</t>
        </is>
      </c>
      <c r="B1020" s="3" t="inlineStr">
        <is>
          <t>삼성전자</t>
        </is>
      </c>
      <c r="C1020" s="2" t="inlineStr">
        <is>
          <t>코스피</t>
        </is>
      </c>
      <c r="D1020" s="2" t="inlineStr">
        <is>
          <t>005930</t>
        </is>
      </c>
      <c r="E1020" s="3" t="inlineStr">
        <is>
          <t>임원ㆍ주요주주특정증권등소유상황보고서</t>
        </is>
      </c>
      <c r="F1020" s="3" t="inlineStr">
        <is>
          <t>안수진</t>
        </is>
      </c>
      <c r="G1020" s="2" t="inlineStr">
        <is>
          <t>20260202000897</t>
        </is>
      </c>
      <c r="H1020" s="8">
        <f>HYPERLINK("https://dart.fss.or.kr/dsaf001/main.do?rcpNo=20260202000897", "공시열람")</f>
        <v/>
      </c>
    </row>
    <row r="1021">
      <c r="A1021" s="2" t="inlineStr">
        <is>
          <t>2026-02-02</t>
        </is>
      </c>
      <c r="B1021" s="3" t="inlineStr">
        <is>
          <t>삼성전자</t>
        </is>
      </c>
      <c r="C1021" s="2" t="inlineStr">
        <is>
          <t>코스피</t>
        </is>
      </c>
      <c r="D1021" s="2" t="inlineStr">
        <is>
          <t>005930</t>
        </is>
      </c>
      <c r="E1021" s="3" t="inlineStr">
        <is>
          <t>임원ㆍ주요주주특정증권등소유상황보고서</t>
        </is>
      </c>
      <c r="F1021" s="3" t="inlineStr">
        <is>
          <t>윤원주</t>
        </is>
      </c>
      <c r="G1021" s="2" t="inlineStr">
        <is>
          <t>20260202000896</t>
        </is>
      </c>
      <c r="H1021" s="8">
        <f>HYPERLINK("https://dart.fss.or.kr/dsaf001/main.do?rcpNo=20260202000896", "공시열람")</f>
        <v/>
      </c>
    </row>
    <row r="1022">
      <c r="A1022" s="2" t="inlineStr">
        <is>
          <t>2026-02-02</t>
        </is>
      </c>
      <c r="B1022" s="3" t="inlineStr">
        <is>
          <t>삼성전자</t>
        </is>
      </c>
      <c r="C1022" s="2" t="inlineStr">
        <is>
          <t>코스피</t>
        </is>
      </c>
      <c r="D1022" s="2" t="inlineStr">
        <is>
          <t>005930</t>
        </is>
      </c>
      <c r="E1022" s="3" t="inlineStr">
        <is>
          <t>임원ㆍ주요주주특정증권등소유상황보고서</t>
        </is>
      </c>
      <c r="F1022" s="3" t="inlineStr">
        <is>
          <t>김우년</t>
        </is>
      </c>
      <c r="G1022" s="2" t="inlineStr">
        <is>
          <t>20260202000895</t>
        </is>
      </c>
      <c r="H1022" s="8">
        <f>HYPERLINK("https://dart.fss.or.kr/dsaf001/main.do?rcpNo=20260202000895", "공시열람")</f>
        <v/>
      </c>
    </row>
    <row r="1023">
      <c r="A1023" s="2" t="inlineStr">
        <is>
          <t>2026-02-02</t>
        </is>
      </c>
      <c r="B1023" s="3" t="inlineStr">
        <is>
          <t>삼성전자</t>
        </is>
      </c>
      <c r="C1023" s="2" t="inlineStr">
        <is>
          <t>코스피</t>
        </is>
      </c>
      <c r="D1023" s="2" t="inlineStr">
        <is>
          <t>005930</t>
        </is>
      </c>
      <c r="E1023" s="3" t="inlineStr">
        <is>
          <t>임원ㆍ주요주주특정증권등소유상황보고서</t>
        </is>
      </c>
      <c r="F1023" s="3" t="inlineStr">
        <is>
          <t>허준</t>
        </is>
      </c>
      <c r="G1023" s="2" t="inlineStr">
        <is>
          <t>20260202000894</t>
        </is>
      </c>
      <c r="H1023" s="8">
        <f>HYPERLINK("https://dart.fss.or.kr/dsaf001/main.do?rcpNo=20260202000894", "공시열람")</f>
        <v/>
      </c>
    </row>
    <row r="1024">
      <c r="A1024" s="2" t="inlineStr">
        <is>
          <t>2026-02-02</t>
        </is>
      </c>
      <c r="B1024" s="3" t="inlineStr">
        <is>
          <t>삼성전자</t>
        </is>
      </c>
      <c r="C1024" s="2" t="inlineStr">
        <is>
          <t>코스피</t>
        </is>
      </c>
      <c r="D1024" s="2" t="inlineStr">
        <is>
          <t>005930</t>
        </is>
      </c>
      <c r="E1024" s="3" t="inlineStr">
        <is>
          <t>임원ㆍ주요주주특정증권등소유상황보고서</t>
        </is>
      </c>
      <c r="F1024" s="3" t="inlineStr">
        <is>
          <t>조철용</t>
        </is>
      </c>
      <c r="G1024" s="2" t="inlineStr">
        <is>
          <t>20260202000893</t>
        </is>
      </c>
      <c r="H1024" s="8">
        <f>HYPERLINK("https://dart.fss.or.kr/dsaf001/main.do?rcpNo=20260202000893", "공시열람")</f>
        <v/>
      </c>
    </row>
    <row r="1025">
      <c r="A1025" s="2" t="inlineStr">
        <is>
          <t>2026-02-02</t>
        </is>
      </c>
      <c r="B1025" s="3" t="inlineStr">
        <is>
          <t>삼성전자</t>
        </is>
      </c>
      <c r="C1025" s="2" t="inlineStr">
        <is>
          <t>코스피</t>
        </is>
      </c>
      <c r="D1025" s="2" t="inlineStr">
        <is>
          <t>005930</t>
        </is>
      </c>
      <c r="E1025" s="3" t="inlineStr">
        <is>
          <t>임원ㆍ주요주주특정증권등소유상황보고서</t>
        </is>
      </c>
      <c r="F1025" s="3" t="inlineStr">
        <is>
          <t>이성훈</t>
        </is>
      </c>
      <c r="G1025" s="2" t="inlineStr">
        <is>
          <t>20260202000891</t>
        </is>
      </c>
      <c r="H1025" s="8">
        <f>HYPERLINK("https://dart.fss.or.kr/dsaf001/main.do?rcpNo=20260202000891", "공시열람")</f>
        <v/>
      </c>
    </row>
    <row r="1026">
      <c r="A1026" s="2" t="inlineStr">
        <is>
          <t>2026-02-02</t>
        </is>
      </c>
      <c r="B1026" s="3" t="inlineStr">
        <is>
          <t>삼성전자</t>
        </is>
      </c>
      <c r="C1026" s="2" t="inlineStr">
        <is>
          <t>코스피</t>
        </is>
      </c>
      <c r="D1026" s="2" t="inlineStr">
        <is>
          <t>005930</t>
        </is>
      </c>
      <c r="E1026" s="3" t="inlineStr">
        <is>
          <t>임원ㆍ주요주주특정증권등소유상황보고서</t>
        </is>
      </c>
      <c r="F1026" s="3" t="inlineStr">
        <is>
          <t>임성수</t>
        </is>
      </c>
      <c r="G1026" s="2" t="inlineStr">
        <is>
          <t>20260202000890</t>
        </is>
      </c>
      <c r="H1026" s="8">
        <f>HYPERLINK("https://dart.fss.or.kr/dsaf001/main.do?rcpNo=20260202000890", "공시열람")</f>
        <v/>
      </c>
    </row>
    <row r="1027">
      <c r="A1027" s="2" t="inlineStr">
        <is>
          <t>2026-02-02</t>
        </is>
      </c>
      <c r="B1027" s="3" t="inlineStr">
        <is>
          <t>삼성전자</t>
        </is>
      </c>
      <c r="C1027" s="2" t="inlineStr">
        <is>
          <t>코스피</t>
        </is>
      </c>
      <c r="D1027" s="2" t="inlineStr">
        <is>
          <t>005930</t>
        </is>
      </c>
      <c r="E1027" s="3" t="inlineStr">
        <is>
          <t>임원ㆍ주요주주특정증권등소유상황보고서</t>
        </is>
      </c>
      <c r="F1027" s="3" t="inlineStr">
        <is>
          <t>OH KI SOO DANIEL</t>
        </is>
      </c>
      <c r="G1027" s="2" t="inlineStr">
        <is>
          <t>20260202000889</t>
        </is>
      </c>
      <c r="H1027" s="8">
        <f>HYPERLINK("https://dart.fss.or.kr/dsaf001/main.do?rcpNo=20260202000889", "공시열람")</f>
        <v/>
      </c>
    </row>
    <row r="1028">
      <c r="A1028" s="2" t="inlineStr">
        <is>
          <t>2026-02-02</t>
        </is>
      </c>
      <c r="B1028" s="3" t="inlineStr">
        <is>
          <t>아이스크림미디어</t>
        </is>
      </c>
      <c r="C1028" s="2" t="inlineStr">
        <is>
          <t>코스닥</t>
        </is>
      </c>
      <c r="D1028" s="2" t="inlineStr">
        <is>
          <t>461300</t>
        </is>
      </c>
      <c r="E1028" s="3" t="inlineStr">
        <is>
          <t>사외이사의선임ㆍ해임또는중도퇴임에관한신고</t>
        </is>
      </c>
      <c r="F1028" s="3" t="inlineStr">
        <is>
          <t>아이스크림미디어</t>
        </is>
      </c>
      <c r="G1028" s="2" t="inlineStr">
        <is>
          <t>20260202000888</t>
        </is>
      </c>
      <c r="H1028" s="8">
        <f>HYPERLINK("https://dart.fss.or.kr/dsaf001/main.do?rcpNo=20260202000888", "공시열람")</f>
        <v/>
      </c>
    </row>
    <row r="1029">
      <c r="A1029" s="2" t="inlineStr">
        <is>
          <t>2026-02-02</t>
        </is>
      </c>
      <c r="B1029" s="3" t="inlineStr">
        <is>
          <t>삼성전자</t>
        </is>
      </c>
      <c r="C1029" s="2" t="inlineStr">
        <is>
          <t>코스피</t>
        </is>
      </c>
      <c r="D1029" s="2" t="inlineStr">
        <is>
          <t>005930</t>
        </is>
      </c>
      <c r="E1029" s="3" t="inlineStr">
        <is>
          <t>임원ㆍ주요주주특정증권등소유상황보고서</t>
        </is>
      </c>
      <c r="F1029" s="3" t="inlineStr">
        <is>
          <t>윤석호</t>
        </is>
      </c>
      <c r="G1029" s="2" t="inlineStr">
        <is>
          <t>20260202000887</t>
        </is>
      </c>
      <c r="H1029" s="8">
        <f>HYPERLINK("https://dart.fss.or.kr/dsaf001/main.do?rcpNo=20260202000887", "공시열람")</f>
        <v/>
      </c>
    </row>
    <row r="1030">
      <c r="A1030" s="2" t="inlineStr">
        <is>
          <t>2026-02-02</t>
        </is>
      </c>
      <c r="B1030" s="3" t="inlineStr">
        <is>
          <t>포스코엠텍</t>
        </is>
      </c>
      <c r="C1030" s="2" t="inlineStr">
        <is>
          <t>코스닥</t>
        </is>
      </c>
      <c r="D1030" s="2" t="inlineStr">
        <is>
          <t>009520</t>
        </is>
      </c>
      <c r="E1030" s="3" t="inlineStr">
        <is>
          <t xml:space="preserve">매출액또는손익구조30%(대규모법인은15%)이상변동              </t>
        </is>
      </c>
      <c r="F1030" s="3" t="inlineStr">
        <is>
          <t>포스코엠텍</t>
        </is>
      </c>
      <c r="G1030" s="2" t="inlineStr">
        <is>
          <t>20260202901298</t>
        </is>
      </c>
      <c r="H1030" s="8">
        <f>HYPERLINK("https://dart.fss.or.kr/dsaf001/main.do?rcpNo=20260202901298", "공시열람")</f>
        <v/>
      </c>
    </row>
    <row r="1031">
      <c r="A1031" s="2" t="inlineStr">
        <is>
          <t>2026-02-02 (정정: 2026-03-10)</t>
        </is>
      </c>
      <c r="B1031" s="3" t="inlineStr">
        <is>
          <t>우진아이엔에스</t>
        </is>
      </c>
      <c r="C1031" s="2" t="inlineStr">
        <is>
          <t>코스피</t>
        </is>
      </c>
      <c r="D1031" s="2" t="inlineStr">
        <is>
          <t>010400</t>
        </is>
      </c>
      <c r="E1031" s="3" t="inlineStr">
        <is>
          <t>임원ㆍ주요주주특정증권등소유상황보고서 (정정: 20260310)</t>
        </is>
      </c>
      <c r="F1031" s="3" t="inlineStr">
        <is>
          <t>임세환</t>
        </is>
      </c>
      <c r="G1031" s="2" t="inlineStr">
        <is>
          <t>20260310801347</t>
        </is>
      </c>
      <c r="H1031" s="8">
        <f>HYPERLINK("https://dart.fss.or.kr/dsaf001/main.do?rcpNo=20260310801347", "공시열람")</f>
        <v/>
      </c>
    </row>
    <row r="1032">
      <c r="A1032" s="2" t="inlineStr">
        <is>
          <t>2026-02-02</t>
        </is>
      </c>
      <c r="B1032" s="3" t="inlineStr">
        <is>
          <t>엑시큐어하이트론</t>
        </is>
      </c>
      <c r="C1032" s="2" t="inlineStr">
        <is>
          <t>코스피</t>
        </is>
      </c>
      <c r="D1032" s="2" t="inlineStr">
        <is>
          <t>019490</t>
        </is>
      </c>
      <c r="E1032" s="3" t="inlineStr">
        <is>
          <t>임원ㆍ주요주주특정증권등거래계획철회보고서</t>
        </is>
      </c>
      <c r="F1032" s="3" t="inlineStr">
        <is>
          <t>손오공</t>
        </is>
      </c>
      <c r="G1032" s="2" t="inlineStr">
        <is>
          <t>20260202000885</t>
        </is>
      </c>
      <c r="H1032" s="8">
        <f>HYPERLINK("https://dart.fss.or.kr/dsaf001/main.do?rcpNo=20260202000885", "공시열람")</f>
        <v/>
      </c>
    </row>
    <row r="1033">
      <c r="A1033" s="2" t="inlineStr">
        <is>
          <t>2026-02-02</t>
        </is>
      </c>
      <c r="B1033" s="3" t="inlineStr">
        <is>
          <t>넥스트칩</t>
        </is>
      </c>
      <c r="C1033" s="2" t="inlineStr">
        <is>
          <t>코스닥</t>
        </is>
      </c>
      <c r="D1033" s="2" t="inlineStr">
        <is>
          <t>396270</t>
        </is>
      </c>
      <c r="E1033" s="3" t="inlineStr">
        <is>
          <t xml:space="preserve">매출액또는손익구조30%(대규모법인은15%)미만변동(자율공시)              </t>
        </is>
      </c>
      <c r="F1033" s="3" t="inlineStr">
        <is>
          <t>넥스트칩</t>
        </is>
      </c>
      <c r="G1033" s="2" t="inlineStr">
        <is>
          <t>20260202901287</t>
        </is>
      </c>
      <c r="H1033" s="8">
        <f>HYPERLINK("https://dart.fss.or.kr/dsaf001/main.do?rcpNo=20260202901287", "공시열람")</f>
        <v/>
      </c>
    </row>
    <row r="1034">
      <c r="A1034" s="2" t="inlineStr">
        <is>
          <t>2026-02-02</t>
        </is>
      </c>
      <c r="B1034" s="3" t="inlineStr">
        <is>
          <t>삼성전자</t>
        </is>
      </c>
      <c r="C1034" s="2" t="inlineStr">
        <is>
          <t>코스피</t>
        </is>
      </c>
      <c r="D1034" s="2" t="inlineStr">
        <is>
          <t>005930</t>
        </is>
      </c>
      <c r="E1034" s="3" t="inlineStr">
        <is>
          <t>임원ㆍ주요주주특정증권등소유상황보고서</t>
        </is>
      </c>
      <c r="F1034" s="3" t="inlineStr">
        <is>
          <t>박제임스</t>
        </is>
      </c>
      <c r="G1034" s="2" t="inlineStr">
        <is>
          <t>20260202000884</t>
        </is>
      </c>
      <c r="H1034" s="8">
        <f>HYPERLINK("https://dart.fss.or.kr/dsaf001/main.do?rcpNo=20260202000884", "공시열람")</f>
        <v/>
      </c>
    </row>
    <row r="1035">
      <c r="A1035" s="2" t="inlineStr">
        <is>
          <t>2026-02-02</t>
        </is>
      </c>
      <c r="B1035" s="3" t="inlineStr">
        <is>
          <t>삼성전자</t>
        </is>
      </c>
      <c r="C1035" s="2" t="inlineStr">
        <is>
          <t>코스피</t>
        </is>
      </c>
      <c r="D1035" s="2" t="inlineStr">
        <is>
          <t>005930</t>
        </is>
      </c>
      <c r="E1035" s="3" t="inlineStr">
        <is>
          <t>임원ㆍ주요주주특정증권등소유상황보고서</t>
        </is>
      </c>
      <c r="F1035" s="3" t="inlineStr">
        <is>
          <t>이병진</t>
        </is>
      </c>
      <c r="G1035" s="2" t="inlineStr">
        <is>
          <t>20260202000883</t>
        </is>
      </c>
      <c r="H1035" s="8">
        <f>HYPERLINK("https://dart.fss.or.kr/dsaf001/main.do?rcpNo=20260202000883", "공시열람")</f>
        <v/>
      </c>
    </row>
    <row r="1036">
      <c r="A1036" s="2" t="inlineStr">
        <is>
          <t>2026-02-02</t>
        </is>
      </c>
      <c r="B1036" s="3" t="inlineStr">
        <is>
          <t>삼성전자</t>
        </is>
      </c>
      <c r="C1036" s="2" t="inlineStr">
        <is>
          <t>코스피</t>
        </is>
      </c>
      <c r="D1036" s="2" t="inlineStr">
        <is>
          <t>005930</t>
        </is>
      </c>
      <c r="E1036" s="3" t="inlineStr">
        <is>
          <t>임원ㆍ주요주주특정증권등소유상황보고서</t>
        </is>
      </c>
      <c r="F1036" s="3" t="inlineStr">
        <is>
          <t>조웅</t>
        </is>
      </c>
      <c r="G1036" s="2" t="inlineStr">
        <is>
          <t>20260202000882</t>
        </is>
      </c>
      <c r="H1036" s="8">
        <f>HYPERLINK("https://dart.fss.or.kr/dsaf001/main.do?rcpNo=20260202000882", "공시열람")</f>
        <v/>
      </c>
    </row>
    <row r="1037">
      <c r="A1037" s="2" t="inlineStr">
        <is>
          <t>2026-02-02</t>
        </is>
      </c>
      <c r="B1037" s="3" t="inlineStr">
        <is>
          <t>삼성전자</t>
        </is>
      </c>
      <c r="C1037" s="2" t="inlineStr">
        <is>
          <t>코스피</t>
        </is>
      </c>
      <c r="D1037" s="2" t="inlineStr">
        <is>
          <t>005930</t>
        </is>
      </c>
      <c r="E1037" s="3" t="inlineStr">
        <is>
          <t>임원ㆍ주요주주특정증권등소유상황보고서</t>
        </is>
      </c>
      <c r="F1037" s="3" t="inlineStr">
        <is>
          <t>권혁준</t>
        </is>
      </c>
      <c r="G1037" s="2" t="inlineStr">
        <is>
          <t>20260202000881</t>
        </is>
      </c>
      <c r="H1037" s="8">
        <f>HYPERLINK("https://dart.fss.or.kr/dsaf001/main.do?rcpNo=20260202000881", "공시열람")</f>
        <v/>
      </c>
    </row>
    <row r="1038">
      <c r="A1038" s="2" t="inlineStr">
        <is>
          <t>2026-02-02</t>
        </is>
      </c>
      <c r="B1038" s="3" t="inlineStr">
        <is>
          <t>삼성전자</t>
        </is>
      </c>
      <c r="C1038" s="2" t="inlineStr">
        <is>
          <t>코스피</t>
        </is>
      </c>
      <c r="D1038" s="2" t="inlineStr">
        <is>
          <t>005930</t>
        </is>
      </c>
      <c r="E1038" s="3" t="inlineStr">
        <is>
          <t>임원ㆍ주요주주특정증권등소유상황보고서</t>
        </is>
      </c>
      <c r="F1038" s="3" t="inlineStr">
        <is>
          <t>이규철</t>
        </is>
      </c>
      <c r="G1038" s="2" t="inlineStr">
        <is>
          <t>20260202000880</t>
        </is>
      </c>
      <c r="H1038" s="8">
        <f>HYPERLINK("https://dart.fss.or.kr/dsaf001/main.do?rcpNo=20260202000880", "공시열람")</f>
        <v/>
      </c>
    </row>
    <row r="1039">
      <c r="A1039" s="2" t="inlineStr">
        <is>
          <t>2026-02-02</t>
        </is>
      </c>
      <c r="B1039" s="3" t="inlineStr">
        <is>
          <t>삼성전자</t>
        </is>
      </c>
      <c r="C1039" s="2" t="inlineStr">
        <is>
          <t>코스피</t>
        </is>
      </c>
      <c r="D1039" s="2" t="inlineStr">
        <is>
          <t>005930</t>
        </is>
      </c>
      <c r="E1039" s="3" t="inlineStr">
        <is>
          <t>임원ㆍ주요주주특정증권등소유상황보고서</t>
        </is>
      </c>
      <c r="F1039" s="3" t="inlineStr">
        <is>
          <t>이현우</t>
        </is>
      </c>
      <c r="G1039" s="2" t="inlineStr">
        <is>
          <t>20260202000879</t>
        </is>
      </c>
      <c r="H1039" s="8">
        <f>HYPERLINK("https://dart.fss.or.kr/dsaf001/main.do?rcpNo=20260202000879", "공시열람")</f>
        <v/>
      </c>
    </row>
    <row r="1040">
      <c r="A1040" s="2" t="inlineStr">
        <is>
          <t>2025-12-31 (정정: 2026-02-02)</t>
        </is>
      </c>
      <c r="B1040" s="3" t="inlineStr">
        <is>
          <t>에이펙스인텍</t>
        </is>
      </c>
      <c r="C1040" s="2" t="inlineStr">
        <is>
          <t>코넥스</t>
        </is>
      </c>
      <c r="D1040" s="2" t="inlineStr">
        <is>
          <t>207490</t>
        </is>
      </c>
      <c r="E1040" s="3" t="inlineStr">
        <is>
          <t xml:space="preserve">[기재정정]유형자산취득결정              </t>
        </is>
      </c>
      <c r="F1040" s="3" t="inlineStr">
        <is>
          <t>에이펙스인텍</t>
        </is>
      </c>
      <c r="G1040" s="2" t="inlineStr">
        <is>
          <t>20260202601274</t>
        </is>
      </c>
      <c r="H1040" s="8">
        <f>HYPERLINK("https://dart.fss.or.kr/dsaf001/main.do?rcpNo=20260202601274", "공시열람")</f>
        <v/>
      </c>
    </row>
    <row r="1041">
      <c r="A1041" s="2" t="inlineStr">
        <is>
          <t>2026-02-02</t>
        </is>
      </c>
      <c r="B1041" s="3" t="inlineStr">
        <is>
          <t>삼성전자</t>
        </is>
      </c>
      <c r="C1041" s="2" t="inlineStr">
        <is>
          <t>코스피</t>
        </is>
      </c>
      <c r="D1041" s="2" t="inlineStr">
        <is>
          <t>005930</t>
        </is>
      </c>
      <c r="E1041" s="3" t="inlineStr">
        <is>
          <t>임원ㆍ주요주주특정증권등소유상황보고서</t>
        </is>
      </c>
      <c r="F1041" s="3" t="inlineStr">
        <is>
          <t>심재혁</t>
        </is>
      </c>
      <c r="G1041" s="2" t="inlineStr">
        <is>
          <t>20260202000878</t>
        </is>
      </c>
      <c r="H1041" s="8">
        <f>HYPERLINK("https://dart.fss.or.kr/dsaf001/main.do?rcpNo=20260202000878", "공시열람")</f>
        <v/>
      </c>
    </row>
    <row r="1042">
      <c r="A1042" s="2" t="inlineStr">
        <is>
          <t>2026-02-02</t>
        </is>
      </c>
      <c r="B1042" s="3" t="inlineStr">
        <is>
          <t>삼성전자</t>
        </is>
      </c>
      <c r="C1042" s="2" t="inlineStr">
        <is>
          <t>코스피</t>
        </is>
      </c>
      <c r="D1042" s="2" t="inlineStr">
        <is>
          <t>005930</t>
        </is>
      </c>
      <c r="E1042" s="3" t="inlineStr">
        <is>
          <t>임원ㆍ주요주주특정증권등소유상황보고서</t>
        </is>
      </c>
      <c r="F1042" s="3" t="inlineStr">
        <is>
          <t>박학규</t>
        </is>
      </c>
      <c r="G1042" s="2" t="inlineStr">
        <is>
          <t>20260202000877</t>
        </is>
      </c>
      <c r="H1042" s="8">
        <f>HYPERLINK("https://dart.fss.or.kr/dsaf001/main.do?rcpNo=20260202000877", "공시열람")</f>
        <v/>
      </c>
    </row>
    <row r="1043">
      <c r="A1043" s="2" t="inlineStr">
        <is>
          <t>2026-02-02</t>
        </is>
      </c>
      <c r="B1043" s="3" t="inlineStr">
        <is>
          <t>삼성전자</t>
        </is>
      </c>
      <c r="C1043" s="2" t="inlineStr">
        <is>
          <t>코스피</t>
        </is>
      </c>
      <c r="D1043" s="2" t="inlineStr">
        <is>
          <t>005930</t>
        </is>
      </c>
      <c r="E1043" s="3" t="inlineStr">
        <is>
          <t>임원ㆍ주요주주특정증권등소유상황보고서</t>
        </is>
      </c>
      <c r="F1043" s="3" t="inlineStr">
        <is>
          <t>허준</t>
        </is>
      </c>
      <c r="G1043" s="2" t="inlineStr">
        <is>
          <t>20260202000876</t>
        </is>
      </c>
      <c r="H1043" s="8">
        <f>HYPERLINK("https://dart.fss.or.kr/dsaf001/main.do?rcpNo=20260202000876", "공시열람")</f>
        <v/>
      </c>
    </row>
    <row r="1044">
      <c r="A1044" s="2" t="inlineStr">
        <is>
          <t>2026-02-02 (정정: 2026-03-06)</t>
        </is>
      </c>
      <c r="B1044" s="3" t="inlineStr">
        <is>
          <t>GC메디아이</t>
        </is>
      </c>
      <c r="C1044" s="2" t="inlineStr">
        <is>
          <t>코스닥</t>
        </is>
      </c>
      <c r="D1044" s="2" t="inlineStr">
        <is>
          <t>032620</t>
        </is>
      </c>
      <c r="E1044" s="3" t="inlineStr">
        <is>
          <t>매출액또는손익구조30%(대규모법인은15%)이상변동               (정정: 20260306)</t>
        </is>
      </c>
      <c r="F1044" s="3" t="inlineStr">
        <is>
          <t>GC메디아이</t>
        </is>
      </c>
      <c r="G1044" s="2" t="inlineStr">
        <is>
          <t>20260306901473</t>
        </is>
      </c>
      <c r="H1044" s="8">
        <f>HYPERLINK("https://dart.fss.or.kr/dsaf001/main.do?rcpNo=20260306901473", "공시열람")</f>
        <v/>
      </c>
    </row>
    <row r="1045">
      <c r="A1045" s="2" t="inlineStr">
        <is>
          <t>2026-02-02</t>
        </is>
      </c>
      <c r="B1045" s="3" t="inlineStr">
        <is>
          <t>삼성전자</t>
        </is>
      </c>
      <c r="C1045" s="2" t="inlineStr">
        <is>
          <t>코스피</t>
        </is>
      </c>
      <c r="D1045" s="2" t="inlineStr">
        <is>
          <t>005930</t>
        </is>
      </c>
      <c r="E1045" s="3" t="inlineStr">
        <is>
          <t>임원ㆍ주요주주특정증권등소유상황보고서</t>
        </is>
      </c>
      <c r="F1045" s="3" t="inlineStr">
        <is>
          <t>하헌재</t>
        </is>
      </c>
      <c r="G1045" s="2" t="inlineStr">
        <is>
          <t>20260202000875</t>
        </is>
      </c>
      <c r="H1045" s="8">
        <f>HYPERLINK("https://dart.fss.or.kr/dsaf001/main.do?rcpNo=20260202000875", "공시열람")</f>
        <v/>
      </c>
    </row>
    <row r="1046">
      <c r="A1046" s="2" t="inlineStr">
        <is>
          <t>2026-02-02</t>
        </is>
      </c>
      <c r="B1046" s="3" t="inlineStr">
        <is>
          <t>삼성전자</t>
        </is>
      </c>
      <c r="C1046" s="2" t="inlineStr">
        <is>
          <t>코스피</t>
        </is>
      </c>
      <c r="D1046" s="2" t="inlineStr">
        <is>
          <t>005930</t>
        </is>
      </c>
      <c r="E1046" s="3" t="inlineStr">
        <is>
          <t>임원ㆍ주요주주특정증권등소유상황보고서</t>
        </is>
      </c>
      <c r="F1046" s="3" t="inlineStr">
        <is>
          <t>김광익</t>
        </is>
      </c>
      <c r="G1046" s="2" t="inlineStr">
        <is>
          <t>20260202000873</t>
        </is>
      </c>
      <c r="H1046" s="8">
        <f>HYPERLINK("https://dart.fss.or.kr/dsaf001/main.do?rcpNo=20260202000873", "공시열람")</f>
        <v/>
      </c>
    </row>
    <row r="1047">
      <c r="A1047" s="2" t="inlineStr">
        <is>
          <t>2026-02-02</t>
        </is>
      </c>
      <c r="B1047" s="3" t="inlineStr">
        <is>
          <t>삼성전자</t>
        </is>
      </c>
      <c r="C1047" s="2" t="inlineStr">
        <is>
          <t>코스피</t>
        </is>
      </c>
      <c r="D1047" s="2" t="inlineStr">
        <is>
          <t>005930</t>
        </is>
      </c>
      <c r="E1047" s="3" t="inlineStr">
        <is>
          <t>임원ㆍ주요주주특정증권등소유상황보고서</t>
        </is>
      </c>
      <c r="F1047" s="3" t="inlineStr">
        <is>
          <t>신영주</t>
        </is>
      </c>
      <c r="G1047" s="2" t="inlineStr">
        <is>
          <t>20260202000871</t>
        </is>
      </c>
      <c r="H1047" s="8">
        <f>HYPERLINK("https://dart.fss.or.kr/dsaf001/main.do?rcpNo=20260202000871", "공시열람")</f>
        <v/>
      </c>
    </row>
    <row r="1048">
      <c r="A1048" s="2" t="inlineStr">
        <is>
          <t>2026-02-02</t>
        </is>
      </c>
      <c r="B1048" s="3" t="inlineStr">
        <is>
          <t>포스코스틸리온</t>
        </is>
      </c>
      <c r="C1048" s="2" t="inlineStr">
        <is>
          <t>코스피</t>
        </is>
      </c>
      <c r="D1048" s="2" t="inlineStr">
        <is>
          <t>058430</t>
        </is>
      </c>
      <c r="E1048" s="3" t="inlineStr">
        <is>
          <t>임원ㆍ주요주주특정증권등소유상황보고서</t>
        </is>
      </c>
      <c r="F1048" s="3" t="inlineStr">
        <is>
          <t>이성욱</t>
        </is>
      </c>
      <c r="G1048" s="2" t="inlineStr">
        <is>
          <t>20260202000870</t>
        </is>
      </c>
      <c r="H1048" s="8">
        <f>HYPERLINK("https://dart.fss.or.kr/dsaf001/main.do?rcpNo=20260202000870", "공시열람")</f>
        <v/>
      </c>
    </row>
    <row r="1049">
      <c r="A1049" s="2" t="inlineStr">
        <is>
          <t>2026-02-02</t>
        </is>
      </c>
      <c r="B1049" s="3" t="inlineStr">
        <is>
          <t>현대자동차</t>
        </is>
      </c>
      <c r="C1049" s="2" t="inlineStr">
        <is>
          <t>코스피</t>
        </is>
      </c>
      <c r="D1049" s="2" t="inlineStr">
        <is>
          <t>005380</t>
        </is>
      </c>
      <c r="E1049" s="3" t="inlineStr">
        <is>
          <t>임원ㆍ주요주주특정증권등소유상황보고서</t>
        </is>
      </c>
      <c r="F1049" s="3" t="inlineStr">
        <is>
          <t>이수민</t>
        </is>
      </c>
      <c r="G1049" s="2" t="inlineStr">
        <is>
          <t>20260202000869</t>
        </is>
      </c>
      <c r="H1049" s="8">
        <f>HYPERLINK("https://dart.fss.or.kr/dsaf001/main.do?rcpNo=20260202000869", "공시열람")</f>
        <v/>
      </c>
    </row>
    <row r="1050">
      <c r="A1050" s="2" t="inlineStr">
        <is>
          <t>2026-02-02</t>
        </is>
      </c>
      <c r="B1050" s="3" t="inlineStr">
        <is>
          <t>삼성전자</t>
        </is>
      </c>
      <c r="C1050" s="2" t="inlineStr">
        <is>
          <t>코스피</t>
        </is>
      </c>
      <c r="D1050" s="2" t="inlineStr">
        <is>
          <t>005930</t>
        </is>
      </c>
      <c r="E1050" s="3" t="inlineStr">
        <is>
          <t>임원ㆍ주요주주특정증권등소유상황보고서</t>
        </is>
      </c>
      <c r="F1050" s="3" t="inlineStr">
        <is>
          <t>안희영</t>
        </is>
      </c>
      <c r="G1050" s="2" t="inlineStr">
        <is>
          <t>20260202000868</t>
        </is>
      </c>
      <c r="H1050" s="8">
        <f>HYPERLINK("https://dart.fss.or.kr/dsaf001/main.do?rcpNo=20260202000868", "공시열람")</f>
        <v/>
      </c>
    </row>
    <row r="1051">
      <c r="A1051" s="2" t="inlineStr">
        <is>
          <t>2026-02-02</t>
        </is>
      </c>
      <c r="B1051" s="3" t="inlineStr">
        <is>
          <t>삼성전자</t>
        </is>
      </c>
      <c r="C1051" s="2" t="inlineStr">
        <is>
          <t>코스피</t>
        </is>
      </c>
      <c r="D1051" s="2" t="inlineStr">
        <is>
          <t>005930</t>
        </is>
      </c>
      <c r="E1051" s="3" t="inlineStr">
        <is>
          <t>임원ㆍ주요주주특정증권등소유상황보고서</t>
        </is>
      </c>
      <c r="F1051" s="3" t="inlineStr">
        <is>
          <t>송영근</t>
        </is>
      </c>
      <c r="G1051" s="2" t="inlineStr">
        <is>
          <t>20260202000866</t>
        </is>
      </c>
      <c r="H1051" s="8">
        <f>HYPERLINK("https://dart.fss.or.kr/dsaf001/main.do?rcpNo=20260202000866", "공시열람")</f>
        <v/>
      </c>
    </row>
    <row r="1052">
      <c r="A1052" s="2" t="inlineStr">
        <is>
          <t>2026-02-02</t>
        </is>
      </c>
      <c r="B1052" s="3" t="inlineStr">
        <is>
          <t>에스엠벡셀</t>
        </is>
      </c>
      <c r="C1052" s="2" t="inlineStr">
        <is>
          <t>코스피</t>
        </is>
      </c>
      <c r="D1052" s="2" t="inlineStr">
        <is>
          <t>010580</t>
        </is>
      </c>
      <c r="E1052" s="3" t="inlineStr">
        <is>
          <t xml:space="preserve">매출액또는손익구조30%(대규모법인은15%)이상변경              </t>
        </is>
      </c>
      <c r="F1052" s="3" t="inlineStr">
        <is>
          <t>에스엠벡셀</t>
        </is>
      </c>
      <c r="G1052" s="2" t="inlineStr">
        <is>
          <t>20260202801220</t>
        </is>
      </c>
      <c r="H1052" s="8">
        <f>HYPERLINK("https://dart.fss.or.kr/dsaf001/main.do?rcpNo=20260202801220", "공시열람")</f>
        <v/>
      </c>
    </row>
    <row r="1053">
      <c r="A1053" s="2" t="inlineStr">
        <is>
          <t>2026-02-02</t>
        </is>
      </c>
      <c r="B1053" s="3" t="inlineStr">
        <is>
          <t>삼성전자</t>
        </is>
      </c>
      <c r="C1053" s="2" t="inlineStr">
        <is>
          <t>코스피</t>
        </is>
      </c>
      <c r="D1053" s="2" t="inlineStr">
        <is>
          <t>005930</t>
        </is>
      </c>
      <c r="E1053" s="3" t="inlineStr">
        <is>
          <t>임원ㆍ주요주주특정증권등소유상황보고서</t>
        </is>
      </c>
      <c r="F1053" s="3" t="inlineStr">
        <is>
          <t>전영우</t>
        </is>
      </c>
      <c r="G1053" s="2" t="inlineStr">
        <is>
          <t>20260202000865</t>
        </is>
      </c>
      <c r="H1053" s="8">
        <f>HYPERLINK("https://dart.fss.or.kr/dsaf001/main.do?rcpNo=20260202000865", "공시열람")</f>
        <v/>
      </c>
    </row>
    <row r="1054">
      <c r="A1054" s="2" t="inlineStr">
        <is>
          <t>2026-02-02</t>
        </is>
      </c>
      <c r="B1054" s="3" t="inlineStr">
        <is>
          <t>삼성전자</t>
        </is>
      </c>
      <c r="C1054" s="2" t="inlineStr">
        <is>
          <t>코스피</t>
        </is>
      </c>
      <c r="D1054" s="2" t="inlineStr">
        <is>
          <t>005930</t>
        </is>
      </c>
      <c r="E1054" s="3" t="inlineStr">
        <is>
          <t>임원ㆍ주요주주특정증권등소유상황보고서</t>
        </is>
      </c>
      <c r="F1054" s="3" t="inlineStr">
        <is>
          <t>홍희일</t>
        </is>
      </c>
      <c r="G1054" s="2" t="inlineStr">
        <is>
          <t>20260202000864</t>
        </is>
      </c>
      <c r="H1054" s="8">
        <f>HYPERLINK("https://dart.fss.or.kr/dsaf001/main.do?rcpNo=20260202000864", "공시열람")</f>
        <v/>
      </c>
    </row>
    <row r="1055">
      <c r="A1055" s="2" t="inlineStr">
        <is>
          <t>2026-02-02</t>
        </is>
      </c>
      <c r="B1055" s="3" t="inlineStr">
        <is>
          <t>삼성전자</t>
        </is>
      </c>
      <c r="C1055" s="2" t="inlineStr">
        <is>
          <t>코스피</t>
        </is>
      </c>
      <c r="D1055" s="2" t="inlineStr">
        <is>
          <t>005930</t>
        </is>
      </c>
      <c r="E1055" s="3" t="inlineStr">
        <is>
          <t>임원ㆍ주요주주특정증권등소유상황보고서</t>
        </is>
      </c>
      <c r="F1055" s="3" t="inlineStr">
        <is>
          <t>이지훈</t>
        </is>
      </c>
      <c r="G1055" s="2" t="inlineStr">
        <is>
          <t>20260202000863</t>
        </is>
      </c>
      <c r="H1055" s="8">
        <f>HYPERLINK("https://dart.fss.or.kr/dsaf001/main.do?rcpNo=20260202000863", "공시열람")</f>
        <v/>
      </c>
    </row>
    <row r="1056">
      <c r="A1056" s="2" t="inlineStr">
        <is>
          <t>2026-02-02</t>
        </is>
      </c>
      <c r="B1056" s="3" t="inlineStr">
        <is>
          <t>삼진제약</t>
        </is>
      </c>
      <c r="C1056" s="2" t="inlineStr">
        <is>
          <t>코스피</t>
        </is>
      </c>
      <c r="D1056" s="2" t="inlineStr">
        <is>
          <t>005500</t>
        </is>
      </c>
      <c r="E1056" s="3" t="inlineStr">
        <is>
          <t xml:space="preserve">매출액또는손익구조30%(대규모법인은15%)이상변경              </t>
        </is>
      </c>
      <c r="F1056" s="3" t="inlineStr">
        <is>
          <t>삼진제약</t>
        </is>
      </c>
      <c r="G1056" s="2" t="inlineStr">
        <is>
          <t>20260202801283</t>
        </is>
      </c>
      <c r="H1056" s="8">
        <f>HYPERLINK("https://dart.fss.or.kr/dsaf001/main.do?rcpNo=20260202801283", "공시열람")</f>
        <v/>
      </c>
    </row>
    <row r="1057">
      <c r="A1057" s="2" t="inlineStr">
        <is>
          <t>2026-02-02 (정정: 2026-03-06)</t>
        </is>
      </c>
      <c r="B1057" s="3" t="inlineStr">
        <is>
          <t>마니커에프앤지</t>
        </is>
      </c>
      <c r="C1057" s="2" t="inlineStr">
        <is>
          <t>코스닥</t>
        </is>
      </c>
      <c r="D1057" s="2" t="inlineStr">
        <is>
          <t>195500</t>
        </is>
      </c>
      <c r="E1057" s="3" t="inlineStr">
        <is>
          <t>매출액또는손익구조30%(대규모법인은15%)이상변동               (정정: 20260306)</t>
        </is>
      </c>
      <c r="F1057" s="3" t="inlineStr">
        <is>
          <t>마니커에프앤지</t>
        </is>
      </c>
      <c r="G1057" s="2" t="inlineStr">
        <is>
          <t>20260306901021</t>
        </is>
      </c>
      <c r="H1057" s="8">
        <f>HYPERLINK("https://dart.fss.or.kr/dsaf001/main.do?rcpNo=20260306901021", "공시열람")</f>
        <v/>
      </c>
    </row>
    <row r="1058">
      <c r="A1058" s="2" t="inlineStr">
        <is>
          <t>2026-02-02</t>
        </is>
      </c>
      <c r="B1058" s="3" t="inlineStr">
        <is>
          <t>삼성전자</t>
        </is>
      </c>
      <c r="C1058" s="2" t="inlineStr">
        <is>
          <t>코스피</t>
        </is>
      </c>
      <c r="D1058" s="2" t="inlineStr">
        <is>
          <t>005930</t>
        </is>
      </c>
      <c r="E1058" s="3" t="inlineStr">
        <is>
          <t>임원ㆍ주요주주특정증권등소유상황보고서</t>
        </is>
      </c>
      <c r="F1058" s="3" t="inlineStr">
        <is>
          <t>서형석</t>
        </is>
      </c>
      <c r="G1058" s="2" t="inlineStr">
        <is>
          <t>20260202000861</t>
        </is>
      </c>
      <c r="H1058" s="8">
        <f>HYPERLINK("https://dart.fss.or.kr/dsaf001/main.do?rcpNo=20260202000861", "공시열람")</f>
        <v/>
      </c>
    </row>
    <row r="1059">
      <c r="A1059" s="2" t="inlineStr">
        <is>
          <t>2026-02-02</t>
        </is>
      </c>
      <c r="B1059" s="3" t="inlineStr">
        <is>
          <t>삼성전자</t>
        </is>
      </c>
      <c r="C1059" s="2" t="inlineStr">
        <is>
          <t>코스피</t>
        </is>
      </c>
      <c r="D1059" s="2" t="inlineStr">
        <is>
          <t>005930</t>
        </is>
      </c>
      <c r="E1059" s="3" t="inlineStr">
        <is>
          <t>임원ㆍ주요주주특정증권등소유상황보고서</t>
        </is>
      </c>
      <c r="F1059" s="3" t="inlineStr">
        <is>
          <t>안중현</t>
        </is>
      </c>
      <c r="G1059" s="2" t="inlineStr">
        <is>
          <t>20260202000860</t>
        </is>
      </c>
      <c r="H1059" s="8">
        <f>HYPERLINK("https://dart.fss.or.kr/dsaf001/main.do?rcpNo=20260202000860", "공시열람")</f>
        <v/>
      </c>
    </row>
    <row r="1060">
      <c r="A1060" s="2" t="inlineStr">
        <is>
          <t>2026-02-02</t>
        </is>
      </c>
      <c r="B1060" s="3" t="inlineStr">
        <is>
          <t>삼성전자</t>
        </is>
      </c>
      <c r="C1060" s="2" t="inlineStr">
        <is>
          <t>코스피</t>
        </is>
      </c>
      <c r="D1060" s="2" t="inlineStr">
        <is>
          <t>005930</t>
        </is>
      </c>
      <c r="E1060" s="3" t="inlineStr">
        <is>
          <t>임원ㆍ주요주주특정증권등소유상황보고서</t>
        </is>
      </c>
      <c r="F1060" s="3" t="inlineStr">
        <is>
          <t>김종현</t>
        </is>
      </c>
      <c r="G1060" s="2" t="inlineStr">
        <is>
          <t>20260202000859</t>
        </is>
      </c>
      <c r="H1060" s="8">
        <f>HYPERLINK("https://dart.fss.or.kr/dsaf001/main.do?rcpNo=20260202000859", "공시열람")</f>
        <v/>
      </c>
    </row>
    <row r="1061">
      <c r="A1061" s="2" t="inlineStr">
        <is>
          <t>2026-02-02</t>
        </is>
      </c>
      <c r="B1061" s="3" t="inlineStr">
        <is>
          <t>삼성전자</t>
        </is>
      </c>
      <c r="C1061" s="2" t="inlineStr">
        <is>
          <t>코스피</t>
        </is>
      </c>
      <c r="D1061" s="2" t="inlineStr">
        <is>
          <t>005930</t>
        </is>
      </c>
      <c r="E1061" s="3" t="inlineStr">
        <is>
          <t>임원ㆍ주요주주특정증권등소유상황보고서</t>
        </is>
      </c>
      <c r="F1061" s="3" t="inlineStr">
        <is>
          <t>박창서</t>
        </is>
      </c>
      <c r="G1061" s="2" t="inlineStr">
        <is>
          <t>20260202000857</t>
        </is>
      </c>
      <c r="H1061" s="8">
        <f>HYPERLINK("https://dart.fss.or.kr/dsaf001/main.do?rcpNo=20260202000857", "공시열람")</f>
        <v/>
      </c>
    </row>
    <row r="1062">
      <c r="A1062" s="2" t="inlineStr">
        <is>
          <t>2026-02-02</t>
        </is>
      </c>
      <c r="B1062" s="3" t="inlineStr">
        <is>
          <t>삼성전자</t>
        </is>
      </c>
      <c r="C1062" s="2" t="inlineStr">
        <is>
          <t>코스피</t>
        </is>
      </c>
      <c r="D1062" s="2" t="inlineStr">
        <is>
          <t>005930</t>
        </is>
      </c>
      <c r="E1062" s="3" t="inlineStr">
        <is>
          <t>임원ㆍ주요주주특정증권등소유상황보고서</t>
        </is>
      </c>
      <c r="F1062" s="3" t="inlineStr">
        <is>
          <t>김영상</t>
        </is>
      </c>
      <c r="G1062" s="2" t="inlineStr">
        <is>
          <t>20260202000855</t>
        </is>
      </c>
      <c r="H1062" s="8">
        <f>HYPERLINK("https://dart.fss.or.kr/dsaf001/main.do?rcpNo=20260202000855", "공시열람")</f>
        <v/>
      </c>
    </row>
    <row r="1063">
      <c r="A1063" s="2" t="inlineStr">
        <is>
          <t>2026-02-02</t>
        </is>
      </c>
      <c r="B1063" s="3" t="inlineStr">
        <is>
          <t>삼성전자</t>
        </is>
      </c>
      <c r="C1063" s="2" t="inlineStr">
        <is>
          <t>코스피</t>
        </is>
      </c>
      <c r="D1063" s="2" t="inlineStr">
        <is>
          <t>005930</t>
        </is>
      </c>
      <c r="E1063" s="3" t="inlineStr">
        <is>
          <t>임원ㆍ주요주주특정증권등소유상황보고서</t>
        </is>
      </c>
      <c r="F1063" s="3" t="inlineStr">
        <is>
          <t>변준호</t>
        </is>
      </c>
      <c r="G1063" s="2" t="inlineStr">
        <is>
          <t>20260202000854</t>
        </is>
      </c>
      <c r="H1063" s="8">
        <f>HYPERLINK("https://dart.fss.or.kr/dsaf001/main.do?rcpNo=20260202000854", "공시열람")</f>
        <v/>
      </c>
    </row>
    <row r="1064">
      <c r="A1064" s="2" t="inlineStr">
        <is>
          <t>2026-02-02</t>
        </is>
      </c>
      <c r="B1064" s="3" t="inlineStr">
        <is>
          <t>삼성전자</t>
        </is>
      </c>
      <c r="C1064" s="2" t="inlineStr">
        <is>
          <t>코스피</t>
        </is>
      </c>
      <c r="D1064" s="2" t="inlineStr">
        <is>
          <t>005930</t>
        </is>
      </c>
      <c r="E1064" s="3" t="inlineStr">
        <is>
          <t>임원ㆍ주요주주특정증권등소유상황보고서</t>
        </is>
      </c>
      <c r="F1064" s="3" t="inlineStr">
        <is>
          <t>남태호</t>
        </is>
      </c>
      <c r="G1064" s="2" t="inlineStr">
        <is>
          <t>20260202000852</t>
        </is>
      </c>
      <c r="H1064" s="8">
        <f>HYPERLINK("https://dart.fss.or.kr/dsaf001/main.do?rcpNo=20260202000852", "공시열람")</f>
        <v/>
      </c>
    </row>
    <row r="1065">
      <c r="A1065" s="2" t="inlineStr">
        <is>
          <t>2026-02-02</t>
        </is>
      </c>
      <c r="B1065" s="3" t="inlineStr">
        <is>
          <t>삼성전자</t>
        </is>
      </c>
      <c r="C1065" s="2" t="inlineStr">
        <is>
          <t>코스피</t>
        </is>
      </c>
      <c r="D1065" s="2" t="inlineStr">
        <is>
          <t>005930</t>
        </is>
      </c>
      <c r="E1065" s="3" t="inlineStr">
        <is>
          <t>임원ㆍ주요주주특정증권등소유상황보고서</t>
        </is>
      </c>
      <c r="F1065" s="3" t="inlineStr">
        <is>
          <t>최인수</t>
        </is>
      </c>
      <c r="G1065" s="2" t="inlineStr">
        <is>
          <t>20260202000851</t>
        </is>
      </c>
      <c r="H1065" s="8">
        <f>HYPERLINK("https://dart.fss.or.kr/dsaf001/main.do?rcpNo=20260202000851", "공시열람")</f>
        <v/>
      </c>
    </row>
    <row r="1066">
      <c r="A1066" s="2" t="inlineStr">
        <is>
          <t>2026-02-02</t>
        </is>
      </c>
      <c r="B1066" s="3" t="inlineStr">
        <is>
          <t>삼성전자</t>
        </is>
      </c>
      <c r="C1066" s="2" t="inlineStr">
        <is>
          <t>코스피</t>
        </is>
      </c>
      <c r="D1066" s="2" t="inlineStr">
        <is>
          <t>005930</t>
        </is>
      </c>
      <c r="E1066" s="3" t="inlineStr">
        <is>
          <t>임원ㆍ주요주주특정증권등소유상황보고서</t>
        </is>
      </c>
      <c r="F1066" s="3" t="inlineStr">
        <is>
          <t>김중정</t>
        </is>
      </c>
      <c r="G1066" s="2" t="inlineStr">
        <is>
          <t>20260202000850</t>
        </is>
      </c>
      <c r="H1066" s="8">
        <f>HYPERLINK("https://dart.fss.or.kr/dsaf001/main.do?rcpNo=20260202000850", "공시열람")</f>
        <v/>
      </c>
    </row>
    <row r="1067">
      <c r="A1067" s="2" t="inlineStr">
        <is>
          <t>2026-02-02</t>
        </is>
      </c>
      <c r="B1067" s="3" t="inlineStr">
        <is>
          <t>삼성전자</t>
        </is>
      </c>
      <c r="C1067" s="2" t="inlineStr">
        <is>
          <t>코스피</t>
        </is>
      </c>
      <c r="D1067" s="2" t="inlineStr">
        <is>
          <t>005930</t>
        </is>
      </c>
      <c r="E1067" s="3" t="inlineStr">
        <is>
          <t>임원ㆍ주요주주특정증권등소유상황보고서</t>
        </is>
      </c>
      <c r="F1067" s="3" t="inlineStr">
        <is>
          <t>이귀호</t>
        </is>
      </c>
      <c r="G1067" s="2" t="inlineStr">
        <is>
          <t>20260202000849</t>
        </is>
      </c>
      <c r="H1067" s="8">
        <f>HYPERLINK("https://dart.fss.or.kr/dsaf001/main.do?rcpNo=20260202000849", "공시열람")</f>
        <v/>
      </c>
    </row>
    <row r="1068">
      <c r="A1068" s="2" t="inlineStr">
        <is>
          <t>2026-02-02</t>
        </is>
      </c>
      <c r="B1068" s="3" t="inlineStr">
        <is>
          <t>삼성전자</t>
        </is>
      </c>
      <c r="C1068" s="2" t="inlineStr">
        <is>
          <t>코스피</t>
        </is>
      </c>
      <c r="D1068" s="2" t="inlineStr">
        <is>
          <t>005930</t>
        </is>
      </c>
      <c r="E1068" s="3" t="inlineStr">
        <is>
          <t>임원ㆍ주요주주특정증권등소유상황보고서</t>
        </is>
      </c>
      <c r="F1068" s="3" t="inlineStr">
        <is>
          <t>김경륜</t>
        </is>
      </c>
      <c r="G1068" s="2" t="inlineStr">
        <is>
          <t>20260202000848</t>
        </is>
      </c>
      <c r="H1068" s="8">
        <f>HYPERLINK("https://dart.fss.or.kr/dsaf001/main.do?rcpNo=20260202000848", "공시열람")</f>
        <v/>
      </c>
    </row>
    <row r="1069">
      <c r="A1069" s="2" t="inlineStr">
        <is>
          <t>2026-02-02</t>
        </is>
      </c>
      <c r="B1069" s="3" t="inlineStr">
        <is>
          <t>삼성전자</t>
        </is>
      </c>
      <c r="C1069" s="2" t="inlineStr">
        <is>
          <t>코스피</t>
        </is>
      </c>
      <c r="D1069" s="2" t="inlineStr">
        <is>
          <t>005930</t>
        </is>
      </c>
      <c r="E1069" s="3" t="inlineStr">
        <is>
          <t>임원ㆍ주요주주특정증권등소유상황보고서</t>
        </is>
      </c>
      <c r="F1069" s="3" t="inlineStr">
        <is>
          <t>강정대</t>
        </is>
      </c>
      <c r="G1069" s="2" t="inlineStr">
        <is>
          <t>20260202000847</t>
        </is>
      </c>
      <c r="H1069" s="8">
        <f>HYPERLINK("https://dart.fss.or.kr/dsaf001/main.do?rcpNo=20260202000847", "공시열람")</f>
        <v/>
      </c>
    </row>
    <row r="1070">
      <c r="A1070" s="2" t="inlineStr">
        <is>
          <t>2026-02-02</t>
        </is>
      </c>
      <c r="B1070" s="3" t="inlineStr">
        <is>
          <t>삼성전자</t>
        </is>
      </c>
      <c r="C1070" s="2" t="inlineStr">
        <is>
          <t>코스피</t>
        </is>
      </c>
      <c r="D1070" s="2" t="inlineStr">
        <is>
          <t>005930</t>
        </is>
      </c>
      <c r="E1070" s="3" t="inlineStr">
        <is>
          <t>임원ㆍ주요주주특정증권등소유상황보고서</t>
        </is>
      </c>
      <c r="F1070" s="3" t="inlineStr">
        <is>
          <t>정희범</t>
        </is>
      </c>
      <c r="G1070" s="2" t="inlineStr">
        <is>
          <t>20260202000846</t>
        </is>
      </c>
      <c r="H1070" s="8">
        <f>HYPERLINK("https://dart.fss.or.kr/dsaf001/main.do?rcpNo=20260202000846", "공시열람")</f>
        <v/>
      </c>
    </row>
    <row r="1071">
      <c r="A1071" s="2" t="inlineStr">
        <is>
          <t>2026-02-02</t>
        </is>
      </c>
      <c r="B1071" s="3" t="inlineStr">
        <is>
          <t>삼성전자</t>
        </is>
      </c>
      <c r="C1071" s="2" t="inlineStr">
        <is>
          <t>코스피</t>
        </is>
      </c>
      <c r="D1071" s="2" t="inlineStr">
        <is>
          <t>005930</t>
        </is>
      </c>
      <c r="E1071" s="3" t="inlineStr">
        <is>
          <t>임원ㆍ주요주주특정증권등소유상황보고서</t>
        </is>
      </c>
      <c r="F1071" s="3" t="inlineStr">
        <is>
          <t>김상준</t>
        </is>
      </c>
      <c r="G1071" s="2" t="inlineStr">
        <is>
          <t>20260202000844</t>
        </is>
      </c>
      <c r="H1071" s="8">
        <f>HYPERLINK("https://dart.fss.or.kr/dsaf001/main.do?rcpNo=20260202000844", "공시열람")</f>
        <v/>
      </c>
    </row>
    <row r="1072">
      <c r="A1072" s="2" t="inlineStr">
        <is>
          <t>2026-02-02</t>
        </is>
      </c>
      <c r="B1072" s="3" t="inlineStr">
        <is>
          <t>삼성전자</t>
        </is>
      </c>
      <c r="C1072" s="2" t="inlineStr">
        <is>
          <t>코스피</t>
        </is>
      </c>
      <c r="D1072" s="2" t="inlineStr">
        <is>
          <t>005930</t>
        </is>
      </c>
      <c r="E1072" s="3" t="inlineStr">
        <is>
          <t>임원ㆍ주요주주특정증권등소유상황보고서</t>
        </is>
      </c>
      <c r="F1072" s="3" t="inlineStr">
        <is>
          <t>이종석</t>
        </is>
      </c>
      <c r="G1072" s="2" t="inlineStr">
        <is>
          <t>20260202000841</t>
        </is>
      </c>
      <c r="H1072" s="8">
        <f>HYPERLINK("https://dart.fss.or.kr/dsaf001/main.do?rcpNo=20260202000841", "공시열람")</f>
        <v/>
      </c>
    </row>
    <row r="1073">
      <c r="A1073" s="2" t="inlineStr">
        <is>
          <t>2026-02-02</t>
        </is>
      </c>
      <c r="B1073" s="3" t="inlineStr">
        <is>
          <t>삼성전자</t>
        </is>
      </c>
      <c r="C1073" s="2" t="inlineStr">
        <is>
          <t>코스피</t>
        </is>
      </c>
      <c r="D1073" s="2" t="inlineStr">
        <is>
          <t>005930</t>
        </is>
      </c>
      <c r="E1073" s="3" t="inlineStr">
        <is>
          <t>임원ㆍ주요주주특정증권등소유상황보고서</t>
        </is>
      </c>
      <c r="F1073" s="3" t="inlineStr">
        <is>
          <t>용석우</t>
        </is>
      </c>
      <c r="G1073" s="2" t="inlineStr">
        <is>
          <t>20260202000840</t>
        </is>
      </c>
      <c r="H1073" s="8">
        <f>HYPERLINK("https://dart.fss.or.kr/dsaf001/main.do?rcpNo=20260202000840", "공시열람")</f>
        <v/>
      </c>
    </row>
    <row r="1074">
      <c r="A1074" s="2" t="inlineStr">
        <is>
          <t>2026-02-02</t>
        </is>
      </c>
      <c r="B1074" s="3" t="inlineStr">
        <is>
          <t>한국콜마</t>
        </is>
      </c>
      <c r="C1074" s="2" t="inlineStr">
        <is>
          <t>코스피</t>
        </is>
      </c>
      <c r="D1074" s="2" t="inlineStr">
        <is>
          <t>161890</t>
        </is>
      </c>
      <c r="E1074" s="3" t="inlineStr">
        <is>
          <t xml:space="preserve">지주회사의자회사편입              </t>
        </is>
      </c>
      <c r="F1074" s="3" t="inlineStr">
        <is>
          <t>한국콜마</t>
        </is>
      </c>
      <c r="G1074" s="2" t="inlineStr">
        <is>
          <t>20260202801308</t>
        </is>
      </c>
      <c r="H1074" s="8">
        <f>HYPERLINK("https://dart.fss.or.kr/dsaf001/main.do?rcpNo=20260202801308", "공시열람")</f>
        <v/>
      </c>
    </row>
    <row r="1075">
      <c r="A1075" s="2" t="inlineStr">
        <is>
          <t>2026-02-02</t>
        </is>
      </c>
      <c r="B1075" s="3" t="inlineStr">
        <is>
          <t>삼성전자</t>
        </is>
      </c>
      <c r="C1075" s="2" t="inlineStr">
        <is>
          <t>코스피</t>
        </is>
      </c>
      <c r="D1075" s="2" t="inlineStr">
        <is>
          <t>005930</t>
        </is>
      </c>
      <c r="E1075" s="3" t="inlineStr">
        <is>
          <t>임원ㆍ주요주주특정증권등소유상황보고서</t>
        </is>
      </c>
      <c r="F1075" s="3" t="inlineStr">
        <is>
          <t>김현덕</t>
        </is>
      </c>
      <c r="G1075" s="2" t="inlineStr">
        <is>
          <t>20260202000838</t>
        </is>
      </c>
      <c r="H1075" s="8">
        <f>HYPERLINK("https://dart.fss.or.kr/dsaf001/main.do?rcpNo=20260202000838", "공시열람")</f>
        <v/>
      </c>
    </row>
    <row r="1076">
      <c r="A1076" s="2" t="inlineStr">
        <is>
          <t>2026-02-02</t>
        </is>
      </c>
      <c r="B1076" s="3" t="inlineStr">
        <is>
          <t>삼성전자</t>
        </is>
      </c>
      <c r="C1076" s="2" t="inlineStr">
        <is>
          <t>코스피</t>
        </is>
      </c>
      <c r="D1076" s="2" t="inlineStr">
        <is>
          <t>005930</t>
        </is>
      </c>
      <c r="E1076" s="3" t="inlineStr">
        <is>
          <t>임원ㆍ주요주주특정증권등소유상황보고서</t>
        </is>
      </c>
      <c r="F1076" s="3" t="inlineStr">
        <is>
          <t>이승구</t>
        </is>
      </c>
      <c r="G1076" s="2" t="inlineStr">
        <is>
          <t>20260202000837</t>
        </is>
      </c>
      <c r="H1076" s="8">
        <f>HYPERLINK("https://dart.fss.or.kr/dsaf001/main.do?rcpNo=20260202000837", "공시열람")</f>
        <v/>
      </c>
    </row>
    <row r="1077">
      <c r="A1077" s="2" t="inlineStr">
        <is>
          <t>2026-02-02</t>
        </is>
      </c>
      <c r="B1077" s="3" t="inlineStr">
        <is>
          <t>KB제29호스팩</t>
        </is>
      </c>
      <c r="C1077" s="2" t="inlineStr">
        <is>
          <t>코스닥</t>
        </is>
      </c>
      <c r="D1077" s="2" t="inlineStr">
        <is>
          <t>478390</t>
        </is>
      </c>
      <c r="E1077" s="3" t="inlineStr">
        <is>
          <t>임원ㆍ주요주주특정증권등소유상황보고서</t>
        </is>
      </c>
      <c r="F1077" s="3" t="inlineStr">
        <is>
          <t>케이비증권</t>
        </is>
      </c>
      <c r="G1077" s="2" t="inlineStr">
        <is>
          <t>20260202000835</t>
        </is>
      </c>
      <c r="H1077" s="8">
        <f>HYPERLINK("https://dart.fss.or.kr/dsaf001/main.do?rcpNo=20260202000835", "공시열람")</f>
        <v/>
      </c>
    </row>
    <row r="1078">
      <c r="A1078" s="2" t="inlineStr">
        <is>
          <t>2026-02-02</t>
        </is>
      </c>
      <c r="B1078" s="3" t="inlineStr">
        <is>
          <t>삼성전자</t>
        </is>
      </c>
      <c r="C1078" s="2" t="inlineStr">
        <is>
          <t>코스피</t>
        </is>
      </c>
      <c r="D1078" s="2" t="inlineStr">
        <is>
          <t>005930</t>
        </is>
      </c>
      <c r="E1078" s="3" t="inlineStr">
        <is>
          <t>임원ㆍ주요주주특정증권등소유상황보고서</t>
        </is>
      </c>
      <c r="F1078" s="3" t="inlineStr">
        <is>
          <t>김인형</t>
        </is>
      </c>
      <c r="G1078" s="2" t="inlineStr">
        <is>
          <t>20260202000834</t>
        </is>
      </c>
      <c r="H1078" s="8">
        <f>HYPERLINK("https://dart.fss.or.kr/dsaf001/main.do?rcpNo=20260202000834", "공시열람")</f>
        <v/>
      </c>
    </row>
    <row r="1079">
      <c r="A1079" s="2" t="inlineStr">
        <is>
          <t>2026-02-02</t>
        </is>
      </c>
      <c r="B1079" s="3" t="inlineStr">
        <is>
          <t>삼성전자</t>
        </is>
      </c>
      <c r="C1079" s="2" t="inlineStr">
        <is>
          <t>코스피</t>
        </is>
      </c>
      <c r="D1079" s="2" t="inlineStr">
        <is>
          <t>005930</t>
        </is>
      </c>
      <c r="E1079" s="3" t="inlineStr">
        <is>
          <t>임원ㆍ주요주주특정증권등소유상황보고서</t>
        </is>
      </c>
      <c r="F1079" s="3" t="inlineStr">
        <is>
          <t>김철기</t>
        </is>
      </c>
      <c r="G1079" s="2" t="inlineStr">
        <is>
          <t>20260202000832</t>
        </is>
      </c>
      <c r="H1079" s="8">
        <f>HYPERLINK("https://dart.fss.or.kr/dsaf001/main.do?rcpNo=20260202000832", "공시열람")</f>
        <v/>
      </c>
    </row>
    <row r="1080">
      <c r="A1080" s="2" t="inlineStr">
        <is>
          <t>2026-02-02</t>
        </is>
      </c>
      <c r="B1080" s="3" t="inlineStr">
        <is>
          <t>롯데렌탈</t>
        </is>
      </c>
      <c r="C1080" s="2" t="inlineStr">
        <is>
          <t>코스피</t>
        </is>
      </c>
      <c r="D1080" s="2" t="inlineStr">
        <is>
          <t>089860</t>
        </is>
      </c>
      <c r="E1080" s="3" t="inlineStr">
        <is>
          <t xml:space="preserve">결산실적공시예고(안내공시)              </t>
        </is>
      </c>
      <c r="F1080" s="3" t="inlineStr">
        <is>
          <t>롯데렌탈</t>
        </is>
      </c>
      <c r="G1080" s="2" t="inlineStr">
        <is>
          <t>20260202801236</t>
        </is>
      </c>
      <c r="H1080" s="8">
        <f>HYPERLINK("https://dart.fss.or.kr/dsaf001/main.do?rcpNo=20260202801236", "공시열람")</f>
        <v/>
      </c>
    </row>
    <row r="1081">
      <c r="A1081" s="2" t="inlineStr">
        <is>
          <t>2026-02-02</t>
        </is>
      </c>
      <c r="B1081" s="3" t="inlineStr">
        <is>
          <t>삼성전자</t>
        </is>
      </c>
      <c r="C1081" s="2" t="inlineStr">
        <is>
          <t>코스피</t>
        </is>
      </c>
      <c r="D1081" s="2" t="inlineStr">
        <is>
          <t>005930</t>
        </is>
      </c>
      <c r="E1081" s="3" t="inlineStr">
        <is>
          <t>임원ㆍ주요주주특정증권등소유상황보고서</t>
        </is>
      </c>
      <c r="F1081" s="3" t="inlineStr">
        <is>
          <t>여명구</t>
        </is>
      </c>
      <c r="G1081" s="2" t="inlineStr">
        <is>
          <t>20260202000831</t>
        </is>
      </c>
      <c r="H1081" s="8">
        <f>HYPERLINK("https://dart.fss.or.kr/dsaf001/main.do?rcpNo=20260202000831", "공시열람")</f>
        <v/>
      </c>
    </row>
    <row r="1082">
      <c r="A1082" s="2" t="inlineStr">
        <is>
          <t>2026-02-02</t>
        </is>
      </c>
      <c r="B1082" s="3" t="inlineStr">
        <is>
          <t>삼성전자</t>
        </is>
      </c>
      <c r="C1082" s="2" t="inlineStr">
        <is>
          <t>코스피</t>
        </is>
      </c>
      <c r="D1082" s="2" t="inlineStr">
        <is>
          <t>005930</t>
        </is>
      </c>
      <c r="E1082" s="3" t="inlineStr">
        <is>
          <t>임원ㆍ주요주주특정증권등소유상황보고서</t>
        </is>
      </c>
      <c r="F1082" s="3" t="inlineStr">
        <is>
          <t>김준연</t>
        </is>
      </c>
      <c r="G1082" s="2" t="inlineStr">
        <is>
          <t>20260202000830</t>
        </is>
      </c>
      <c r="H1082" s="8">
        <f>HYPERLINK("https://dart.fss.or.kr/dsaf001/main.do?rcpNo=20260202000830", "공시열람")</f>
        <v/>
      </c>
    </row>
    <row r="1083">
      <c r="A1083" s="2" t="inlineStr">
        <is>
          <t>2026-02-02</t>
        </is>
      </c>
      <c r="B1083" s="3" t="inlineStr">
        <is>
          <t>삼성전자</t>
        </is>
      </c>
      <c r="C1083" s="2" t="inlineStr">
        <is>
          <t>코스피</t>
        </is>
      </c>
      <c r="D1083" s="2" t="inlineStr">
        <is>
          <t>005930</t>
        </is>
      </c>
      <c r="E1083" s="3" t="inlineStr">
        <is>
          <t>임원ㆍ주요주주특정증권등소유상황보고서</t>
        </is>
      </c>
      <c r="F1083" s="3" t="inlineStr">
        <is>
          <t>차지호</t>
        </is>
      </c>
      <c r="G1083" s="2" t="inlineStr">
        <is>
          <t>20260202000829</t>
        </is>
      </c>
      <c r="H1083" s="8">
        <f>HYPERLINK("https://dart.fss.or.kr/dsaf001/main.do?rcpNo=20260202000829", "공시열람")</f>
        <v/>
      </c>
    </row>
    <row r="1084">
      <c r="A1084" s="2" t="inlineStr">
        <is>
          <t>2026-02-02</t>
        </is>
      </c>
      <c r="B1084" s="3" t="inlineStr">
        <is>
          <t>삼성전자</t>
        </is>
      </c>
      <c r="C1084" s="2" t="inlineStr">
        <is>
          <t>코스피</t>
        </is>
      </c>
      <c r="D1084" s="2" t="inlineStr">
        <is>
          <t>005930</t>
        </is>
      </c>
      <c r="E1084" s="3" t="inlineStr">
        <is>
          <t>임원ㆍ주요주주특정증권등소유상황보고서</t>
        </is>
      </c>
      <c r="F1084" s="3" t="inlineStr">
        <is>
          <t>이병일</t>
        </is>
      </c>
      <c r="G1084" s="2" t="inlineStr">
        <is>
          <t>20260202000828</t>
        </is>
      </c>
      <c r="H1084" s="8">
        <f>HYPERLINK("https://dart.fss.or.kr/dsaf001/main.do?rcpNo=20260202000828", "공시열람")</f>
        <v/>
      </c>
    </row>
    <row r="1085">
      <c r="A1085" s="2" t="inlineStr">
        <is>
          <t>2026-02-02</t>
        </is>
      </c>
      <c r="B1085" s="3" t="inlineStr">
        <is>
          <t>삼성전자</t>
        </is>
      </c>
      <c r="C1085" s="2" t="inlineStr">
        <is>
          <t>코스피</t>
        </is>
      </c>
      <c r="D1085" s="2" t="inlineStr">
        <is>
          <t>005930</t>
        </is>
      </c>
      <c r="E1085" s="3" t="inlineStr">
        <is>
          <t>임원ㆍ주요주주특정증권등소유상황보고서</t>
        </is>
      </c>
      <c r="F1085" s="3" t="inlineStr">
        <is>
          <t>박명훈</t>
        </is>
      </c>
      <c r="G1085" s="2" t="inlineStr">
        <is>
          <t>20260202000827</t>
        </is>
      </c>
      <c r="H1085" s="8">
        <f>HYPERLINK("https://dart.fss.or.kr/dsaf001/main.do?rcpNo=20260202000827", "공시열람")</f>
        <v/>
      </c>
    </row>
    <row r="1086">
      <c r="A1086" s="2" t="inlineStr">
        <is>
          <t>2026-02-02</t>
        </is>
      </c>
      <c r="B1086" s="3" t="inlineStr">
        <is>
          <t>삼성전자</t>
        </is>
      </c>
      <c r="C1086" s="2" t="inlineStr">
        <is>
          <t>코스피</t>
        </is>
      </c>
      <c r="D1086" s="2" t="inlineStr">
        <is>
          <t>005930</t>
        </is>
      </c>
      <c r="E1086" s="3" t="inlineStr">
        <is>
          <t>임원ㆍ주요주주특정증권등소유상황보고서</t>
        </is>
      </c>
      <c r="F1086" s="3" t="inlineStr">
        <is>
          <t>오용찬</t>
        </is>
      </c>
      <c r="G1086" s="2" t="inlineStr">
        <is>
          <t>20260202000826</t>
        </is>
      </c>
      <c r="H1086" s="8">
        <f>HYPERLINK("https://dart.fss.or.kr/dsaf001/main.do?rcpNo=20260202000826", "공시열람")</f>
        <v/>
      </c>
    </row>
    <row r="1087">
      <c r="A1087" s="2" t="inlineStr">
        <is>
          <t>2026-02-02</t>
        </is>
      </c>
      <c r="B1087" s="3" t="inlineStr">
        <is>
          <t>삼성전자</t>
        </is>
      </c>
      <c r="C1087" s="2" t="inlineStr">
        <is>
          <t>코스피</t>
        </is>
      </c>
      <c r="D1087" s="2" t="inlineStr">
        <is>
          <t>005930</t>
        </is>
      </c>
      <c r="E1087" s="3" t="inlineStr">
        <is>
          <t>임원ㆍ주요주주특정증권등소유상황보고서</t>
        </is>
      </c>
      <c r="F1087" s="3" t="inlineStr">
        <is>
          <t>김성은</t>
        </is>
      </c>
      <c r="G1087" s="2" t="inlineStr">
        <is>
          <t>20260202000824</t>
        </is>
      </c>
      <c r="H1087" s="8">
        <f>HYPERLINK("https://dart.fss.or.kr/dsaf001/main.do?rcpNo=20260202000824", "공시열람")</f>
        <v/>
      </c>
    </row>
    <row r="1088">
      <c r="A1088" s="2" t="inlineStr">
        <is>
          <t>2026-02-02</t>
        </is>
      </c>
      <c r="B1088" s="3" t="inlineStr">
        <is>
          <t>삼성전자</t>
        </is>
      </c>
      <c r="C1088" s="2" t="inlineStr">
        <is>
          <t>코스피</t>
        </is>
      </c>
      <c r="D1088" s="2" t="inlineStr">
        <is>
          <t>005930</t>
        </is>
      </c>
      <c r="E1088" s="3" t="inlineStr">
        <is>
          <t>임원ㆍ주요주주특정증권등소유상황보고서</t>
        </is>
      </c>
      <c r="F1088" s="3" t="inlineStr">
        <is>
          <t>이병원</t>
        </is>
      </c>
      <c r="G1088" s="2" t="inlineStr">
        <is>
          <t>20260202000823</t>
        </is>
      </c>
      <c r="H1088" s="8">
        <f>HYPERLINK("https://dart.fss.or.kr/dsaf001/main.do?rcpNo=20260202000823", "공시열람")</f>
        <v/>
      </c>
    </row>
    <row r="1089">
      <c r="A1089" s="2" t="inlineStr">
        <is>
          <t>2026-02-02</t>
        </is>
      </c>
      <c r="B1089" s="3" t="inlineStr">
        <is>
          <t>삼성전자</t>
        </is>
      </c>
      <c r="C1089" s="2" t="inlineStr">
        <is>
          <t>코스피</t>
        </is>
      </c>
      <c r="D1089" s="2" t="inlineStr">
        <is>
          <t>005930</t>
        </is>
      </c>
      <c r="E1089" s="3" t="inlineStr">
        <is>
          <t>임원ㆍ주요주주특정증권등소유상황보고서</t>
        </is>
      </c>
      <c r="F1089" s="3" t="inlineStr">
        <is>
          <t>나원만</t>
        </is>
      </c>
      <c r="G1089" s="2" t="inlineStr">
        <is>
          <t>20260202000822</t>
        </is>
      </c>
      <c r="H1089" s="8">
        <f>HYPERLINK("https://dart.fss.or.kr/dsaf001/main.do?rcpNo=20260202000822", "공시열람")</f>
        <v/>
      </c>
    </row>
    <row r="1090">
      <c r="A1090" s="2" t="inlineStr">
        <is>
          <t>2026-02-02</t>
        </is>
      </c>
      <c r="B1090" s="3" t="inlineStr">
        <is>
          <t>삼성전자</t>
        </is>
      </c>
      <c r="C1090" s="2" t="inlineStr">
        <is>
          <t>코스피</t>
        </is>
      </c>
      <c r="D1090" s="2" t="inlineStr">
        <is>
          <t>005930</t>
        </is>
      </c>
      <c r="E1090" s="3" t="inlineStr">
        <is>
          <t>임원ㆍ주요주주특정증권등소유상황보고서</t>
        </is>
      </c>
      <c r="F1090" s="3" t="inlineStr">
        <is>
          <t>박재성</t>
        </is>
      </c>
      <c r="G1090" s="2" t="inlineStr">
        <is>
          <t>20260202000821</t>
        </is>
      </c>
      <c r="H1090" s="8">
        <f>HYPERLINK("https://dart.fss.or.kr/dsaf001/main.do?rcpNo=20260202000821", "공시열람")</f>
        <v/>
      </c>
    </row>
    <row r="1091">
      <c r="A1091" s="2" t="inlineStr">
        <is>
          <t>2026-02-02</t>
        </is>
      </c>
      <c r="B1091" s="3" t="inlineStr">
        <is>
          <t>삼성전자</t>
        </is>
      </c>
      <c r="C1091" s="2" t="inlineStr">
        <is>
          <t>코스피</t>
        </is>
      </c>
      <c r="D1091" s="2" t="inlineStr">
        <is>
          <t>005930</t>
        </is>
      </c>
      <c r="E1091" s="3" t="inlineStr">
        <is>
          <t>임원ㆍ주요주주특정증권등소유상황보고서</t>
        </is>
      </c>
      <c r="F1091" s="3" t="inlineStr">
        <is>
          <t>강희성</t>
        </is>
      </c>
      <c r="G1091" s="2" t="inlineStr">
        <is>
          <t>20260202000820</t>
        </is>
      </c>
      <c r="H1091" s="8">
        <f>HYPERLINK("https://dart.fss.or.kr/dsaf001/main.do?rcpNo=20260202000820", "공시열람")</f>
        <v/>
      </c>
    </row>
    <row r="1092">
      <c r="A1092" s="2" t="inlineStr">
        <is>
          <t>2026-02-02</t>
        </is>
      </c>
      <c r="B1092" s="3" t="inlineStr">
        <is>
          <t>삼성전자</t>
        </is>
      </c>
      <c r="C1092" s="2" t="inlineStr">
        <is>
          <t>코스피</t>
        </is>
      </c>
      <c r="D1092" s="2" t="inlineStr">
        <is>
          <t>005930</t>
        </is>
      </c>
      <c r="E1092" s="3" t="inlineStr">
        <is>
          <t>임원ㆍ주요주주특정증권등소유상황보고서</t>
        </is>
      </c>
      <c r="F1092" s="3" t="inlineStr">
        <is>
          <t>김상하</t>
        </is>
      </c>
      <c r="G1092" s="2" t="inlineStr">
        <is>
          <t>20260202000819</t>
        </is>
      </c>
      <c r="H1092" s="8">
        <f>HYPERLINK("https://dart.fss.or.kr/dsaf001/main.do?rcpNo=20260202000819", "공시열람")</f>
        <v/>
      </c>
    </row>
    <row r="1093">
      <c r="A1093" s="2" t="inlineStr">
        <is>
          <t>2026-02-02</t>
        </is>
      </c>
      <c r="B1093" s="3" t="inlineStr">
        <is>
          <t>삼성전자</t>
        </is>
      </c>
      <c r="C1093" s="2" t="inlineStr">
        <is>
          <t>코스피</t>
        </is>
      </c>
      <c r="D1093" s="2" t="inlineStr">
        <is>
          <t>005930</t>
        </is>
      </c>
      <c r="E1093" s="3" t="inlineStr">
        <is>
          <t>임원ㆍ주요주주특정증권등소유상황보고서</t>
        </is>
      </c>
      <c r="F1093" s="3" t="inlineStr">
        <is>
          <t>이종호</t>
        </is>
      </c>
      <c r="G1093" s="2" t="inlineStr">
        <is>
          <t>20260202000818</t>
        </is>
      </c>
      <c r="H1093" s="8">
        <f>HYPERLINK("https://dart.fss.or.kr/dsaf001/main.do?rcpNo=20260202000818", "공시열람")</f>
        <v/>
      </c>
    </row>
    <row r="1094">
      <c r="A1094" s="2" t="inlineStr">
        <is>
          <t>2026-02-02</t>
        </is>
      </c>
      <c r="B1094" s="3" t="inlineStr">
        <is>
          <t>삼성전자</t>
        </is>
      </c>
      <c r="C1094" s="2" t="inlineStr">
        <is>
          <t>코스피</t>
        </is>
      </c>
      <c r="D1094" s="2" t="inlineStr">
        <is>
          <t>005930</t>
        </is>
      </c>
      <c r="E1094" s="3" t="inlineStr">
        <is>
          <t>임원ㆍ주요주주특정증권등소유상황보고서</t>
        </is>
      </c>
      <c r="F1094" s="3" t="inlineStr">
        <is>
          <t>안재용</t>
        </is>
      </c>
      <c r="G1094" s="2" t="inlineStr">
        <is>
          <t>20260202000817</t>
        </is>
      </c>
      <c r="H1094" s="8">
        <f>HYPERLINK("https://dart.fss.or.kr/dsaf001/main.do?rcpNo=20260202000817", "공시열람")</f>
        <v/>
      </c>
    </row>
    <row r="1095">
      <c r="A1095" s="2" t="inlineStr">
        <is>
          <t>2026-02-02</t>
        </is>
      </c>
      <c r="B1095" s="3" t="inlineStr">
        <is>
          <t>삼성전자</t>
        </is>
      </c>
      <c r="C1095" s="2" t="inlineStr">
        <is>
          <t>코스피</t>
        </is>
      </c>
      <c r="D1095" s="2" t="inlineStr">
        <is>
          <t>005930</t>
        </is>
      </c>
      <c r="E1095" s="3" t="inlineStr">
        <is>
          <t>임원ㆍ주요주주특정증권등소유상황보고서</t>
        </is>
      </c>
      <c r="F1095" s="3" t="inlineStr">
        <is>
          <t>이명준</t>
        </is>
      </c>
      <c r="G1095" s="2" t="inlineStr">
        <is>
          <t>20260202000815</t>
        </is>
      </c>
      <c r="H1095" s="8">
        <f>HYPERLINK("https://dart.fss.or.kr/dsaf001/main.do?rcpNo=20260202000815", "공시열람")</f>
        <v/>
      </c>
    </row>
    <row r="1096">
      <c r="A1096" s="2" t="inlineStr">
        <is>
          <t>2026-02-02</t>
        </is>
      </c>
      <c r="B1096" s="3" t="inlineStr">
        <is>
          <t>삼성전자</t>
        </is>
      </c>
      <c r="C1096" s="2" t="inlineStr">
        <is>
          <t>코스피</t>
        </is>
      </c>
      <c r="D1096" s="2" t="inlineStr">
        <is>
          <t>005930</t>
        </is>
      </c>
      <c r="E1096" s="3" t="inlineStr">
        <is>
          <t>임원ㆍ주요주주특정증권등소유상황보고서</t>
        </is>
      </c>
      <c r="F1096" s="3" t="inlineStr">
        <is>
          <t>송명주</t>
        </is>
      </c>
      <c r="G1096" s="2" t="inlineStr">
        <is>
          <t>20260202000814</t>
        </is>
      </c>
      <c r="H1096" s="8">
        <f>HYPERLINK("https://dart.fss.or.kr/dsaf001/main.do?rcpNo=20260202000814", "공시열람")</f>
        <v/>
      </c>
    </row>
    <row r="1097">
      <c r="A1097" s="2" t="inlineStr">
        <is>
          <t>2026-02-02</t>
        </is>
      </c>
      <c r="B1097" s="3" t="inlineStr">
        <is>
          <t>삼성전자</t>
        </is>
      </c>
      <c r="C1097" s="2" t="inlineStr">
        <is>
          <t>코스피</t>
        </is>
      </c>
      <c r="D1097" s="2" t="inlineStr">
        <is>
          <t>005930</t>
        </is>
      </c>
      <c r="E1097" s="3" t="inlineStr">
        <is>
          <t>임원ㆍ주요주주특정증권등소유상황보고서</t>
        </is>
      </c>
      <c r="F1097" s="3" t="inlineStr">
        <is>
          <t>조익현</t>
        </is>
      </c>
      <c r="G1097" s="2" t="inlineStr">
        <is>
          <t>20260202000813</t>
        </is>
      </c>
      <c r="H1097" s="8">
        <f>HYPERLINK("https://dart.fss.or.kr/dsaf001/main.do?rcpNo=20260202000813", "공시열람")</f>
        <v/>
      </c>
    </row>
    <row r="1098">
      <c r="A1098" s="2" t="inlineStr">
        <is>
          <t>2026-02-02</t>
        </is>
      </c>
      <c r="B1098" s="3" t="inlineStr">
        <is>
          <t>포스코스틸리온</t>
        </is>
      </c>
      <c r="C1098" s="2" t="inlineStr">
        <is>
          <t>코스피</t>
        </is>
      </c>
      <c r="D1098" s="2" t="inlineStr">
        <is>
          <t>058430</t>
        </is>
      </c>
      <c r="E1098" s="3" t="inlineStr">
        <is>
          <t xml:space="preserve">수시공시의무관련사항(공정공시)              </t>
        </is>
      </c>
      <c r="F1098" s="3" t="inlineStr">
        <is>
          <t>포스코스틸리온</t>
        </is>
      </c>
      <c r="G1098" s="2" t="inlineStr">
        <is>
          <t>20260202801255</t>
        </is>
      </c>
      <c r="H1098" s="8">
        <f>HYPERLINK("https://dart.fss.or.kr/dsaf001/main.do?rcpNo=20260202801255", "공시열람")</f>
        <v/>
      </c>
    </row>
    <row r="1099">
      <c r="A1099" s="2" t="inlineStr">
        <is>
          <t>2026-02-02</t>
        </is>
      </c>
      <c r="B1099" s="3" t="inlineStr">
        <is>
          <t>삼성전자</t>
        </is>
      </c>
      <c r="C1099" s="2" t="inlineStr">
        <is>
          <t>코스피</t>
        </is>
      </c>
      <c r="D1099" s="2" t="inlineStr">
        <is>
          <t>005930</t>
        </is>
      </c>
      <c r="E1099" s="3" t="inlineStr">
        <is>
          <t>임원ㆍ주요주주특정증권등소유상황보고서</t>
        </is>
      </c>
      <c r="F1099" s="3" t="inlineStr">
        <is>
          <t>오화석</t>
        </is>
      </c>
      <c r="G1099" s="2" t="inlineStr">
        <is>
          <t>20260202000812</t>
        </is>
      </c>
      <c r="H1099" s="8">
        <f>HYPERLINK("https://dart.fss.or.kr/dsaf001/main.do?rcpNo=20260202000812", "공시열람")</f>
        <v/>
      </c>
    </row>
    <row r="1100">
      <c r="A1100" s="2" t="inlineStr">
        <is>
          <t>2026-02-02</t>
        </is>
      </c>
      <c r="B1100" s="3" t="inlineStr">
        <is>
          <t>삼성전자</t>
        </is>
      </c>
      <c r="C1100" s="2" t="inlineStr">
        <is>
          <t>코스피</t>
        </is>
      </c>
      <c r="D1100" s="2" t="inlineStr">
        <is>
          <t>005930</t>
        </is>
      </c>
      <c r="E1100" s="3" t="inlineStr">
        <is>
          <t>임원ㆍ주요주주특정증권등소유상황보고서</t>
        </is>
      </c>
      <c r="F1100" s="3" t="inlineStr">
        <is>
          <t>최영일</t>
        </is>
      </c>
      <c r="G1100" s="2" t="inlineStr">
        <is>
          <t>20260202000811</t>
        </is>
      </c>
      <c r="H1100" s="8">
        <f>HYPERLINK("https://dart.fss.or.kr/dsaf001/main.do?rcpNo=20260202000811", "공시열람")</f>
        <v/>
      </c>
    </row>
    <row r="1101">
      <c r="A1101" s="2" t="inlineStr">
        <is>
          <t>2026-02-02</t>
        </is>
      </c>
      <c r="B1101" s="3" t="inlineStr">
        <is>
          <t>삼성전자</t>
        </is>
      </c>
      <c r="C1101" s="2" t="inlineStr">
        <is>
          <t>코스피</t>
        </is>
      </c>
      <c r="D1101" s="2" t="inlineStr">
        <is>
          <t>005930</t>
        </is>
      </c>
      <c r="E1101" s="3" t="inlineStr">
        <is>
          <t>임원ㆍ주요주주특정증권등소유상황보고서</t>
        </is>
      </c>
      <c r="F1101" s="3" t="inlineStr">
        <is>
          <t>박순철</t>
        </is>
      </c>
      <c r="G1101" s="2" t="inlineStr">
        <is>
          <t>20260202000810</t>
        </is>
      </c>
      <c r="H1101" s="8">
        <f>HYPERLINK("https://dart.fss.or.kr/dsaf001/main.do?rcpNo=20260202000810", "공시열람")</f>
        <v/>
      </c>
    </row>
    <row r="1102">
      <c r="A1102" s="2" t="inlineStr">
        <is>
          <t>2026-02-02</t>
        </is>
      </c>
      <c r="B1102" s="3" t="inlineStr">
        <is>
          <t>삼성전자</t>
        </is>
      </c>
      <c r="C1102" s="2" t="inlineStr">
        <is>
          <t>코스피</t>
        </is>
      </c>
      <c r="D1102" s="2" t="inlineStr">
        <is>
          <t>005930</t>
        </is>
      </c>
      <c r="E1102" s="3" t="inlineStr">
        <is>
          <t>임원ㆍ주요주주특정증권등소유상황보고서</t>
        </is>
      </c>
      <c r="F1102" s="3" t="inlineStr">
        <is>
          <t>김의송</t>
        </is>
      </c>
      <c r="G1102" s="2" t="inlineStr">
        <is>
          <t>20260202000809</t>
        </is>
      </c>
      <c r="H1102" s="8">
        <f>HYPERLINK("https://dart.fss.or.kr/dsaf001/main.do?rcpNo=20260202000809", "공시열람")</f>
        <v/>
      </c>
    </row>
    <row r="1103">
      <c r="A1103" s="2" t="inlineStr">
        <is>
          <t>2026-02-02</t>
        </is>
      </c>
      <c r="B1103" s="3" t="inlineStr">
        <is>
          <t>윈스테크넷</t>
        </is>
      </c>
      <c r="C1103" s="2" t="inlineStr">
        <is>
          <t>코스닥</t>
        </is>
      </c>
      <c r="D1103" s="2" t="inlineStr">
        <is>
          <t>136540</t>
        </is>
      </c>
      <c r="E1103" s="3" t="inlineStr">
        <is>
          <t xml:space="preserve">영업(잠정)실적(공정공시)              </t>
        </is>
      </c>
      <c r="F1103" s="3" t="inlineStr">
        <is>
          <t>윈스테크넷</t>
        </is>
      </c>
      <c r="G1103" s="2" t="inlineStr">
        <is>
          <t>20260202901181</t>
        </is>
      </c>
      <c r="H1103" s="8">
        <f>HYPERLINK("https://dart.fss.or.kr/dsaf001/main.do?rcpNo=20260202901181", "공시열람")</f>
        <v/>
      </c>
    </row>
    <row r="1104">
      <c r="A1104" s="2" t="inlineStr">
        <is>
          <t>2026-02-02</t>
        </is>
      </c>
      <c r="B1104" s="3" t="inlineStr">
        <is>
          <t>삼성전자</t>
        </is>
      </c>
      <c r="C1104" s="2" t="inlineStr">
        <is>
          <t>코스피</t>
        </is>
      </c>
      <c r="D1104" s="2" t="inlineStr">
        <is>
          <t>005930</t>
        </is>
      </c>
      <c r="E1104" s="3" t="inlineStr">
        <is>
          <t>임원ㆍ주요주주특정증권등소유상황보고서</t>
        </is>
      </c>
      <c r="F1104" s="3" t="inlineStr">
        <is>
          <t>권기덕</t>
        </is>
      </c>
      <c r="G1104" s="2" t="inlineStr">
        <is>
          <t>20260202000806</t>
        </is>
      </c>
      <c r="H1104" s="8">
        <f>HYPERLINK("https://dart.fss.or.kr/dsaf001/main.do?rcpNo=20260202000806", "공시열람")</f>
        <v/>
      </c>
    </row>
    <row r="1105">
      <c r="A1105" s="2" t="inlineStr">
        <is>
          <t>2026-02-02</t>
        </is>
      </c>
      <c r="B1105" s="3" t="inlineStr">
        <is>
          <t>삼성전자</t>
        </is>
      </c>
      <c r="C1105" s="2" t="inlineStr">
        <is>
          <t>코스피</t>
        </is>
      </c>
      <c r="D1105" s="2" t="inlineStr">
        <is>
          <t>005930</t>
        </is>
      </c>
      <c r="E1105" s="3" t="inlineStr">
        <is>
          <t>임원ㆍ주요주주특정증권등소유상황보고서</t>
        </is>
      </c>
      <c r="F1105" s="3" t="inlineStr">
        <is>
          <t>이경우</t>
        </is>
      </c>
      <c r="G1105" s="2" t="inlineStr">
        <is>
          <t>20260202000805</t>
        </is>
      </c>
      <c r="H1105" s="8">
        <f>HYPERLINK("https://dart.fss.or.kr/dsaf001/main.do?rcpNo=20260202000805", "공시열람")</f>
        <v/>
      </c>
    </row>
    <row r="1106">
      <c r="A1106" s="2" t="inlineStr">
        <is>
          <t>2026-02-02</t>
        </is>
      </c>
      <c r="B1106" s="3" t="inlineStr">
        <is>
          <t>삼성전자</t>
        </is>
      </c>
      <c r="C1106" s="2" t="inlineStr">
        <is>
          <t>코스피</t>
        </is>
      </c>
      <c r="D1106" s="2" t="inlineStr">
        <is>
          <t>005930</t>
        </is>
      </c>
      <c r="E1106" s="3" t="inlineStr">
        <is>
          <t>임원ㆍ주요주주특정증권등소유상황보고서</t>
        </is>
      </c>
      <c r="F1106" s="3" t="inlineStr">
        <is>
          <t>주창훈</t>
        </is>
      </c>
      <c r="G1106" s="2" t="inlineStr">
        <is>
          <t>20260202000803</t>
        </is>
      </c>
      <c r="H1106" s="8">
        <f>HYPERLINK("https://dart.fss.or.kr/dsaf001/main.do?rcpNo=20260202000803", "공시열람")</f>
        <v/>
      </c>
    </row>
    <row r="1107">
      <c r="A1107" s="2" t="inlineStr">
        <is>
          <t>2026-02-02</t>
        </is>
      </c>
      <c r="B1107" s="3" t="inlineStr">
        <is>
          <t>광무</t>
        </is>
      </c>
      <c r="C1107" s="2" t="inlineStr">
        <is>
          <t>코스닥</t>
        </is>
      </c>
      <c r="D1107" s="2" t="inlineStr">
        <is>
          <t>029480</t>
        </is>
      </c>
      <c r="E1107" s="3" t="inlineStr">
        <is>
          <t>자기주식취득결과보고서</t>
        </is>
      </c>
      <c r="F1107" s="3" t="inlineStr">
        <is>
          <t>광무</t>
        </is>
      </c>
      <c r="G1107" s="2" t="inlineStr">
        <is>
          <t>20260202000802</t>
        </is>
      </c>
      <c r="H1107" s="8">
        <f>HYPERLINK("https://dart.fss.or.kr/dsaf001/main.do?rcpNo=20260202000802", "공시열람")</f>
        <v/>
      </c>
    </row>
    <row r="1108">
      <c r="A1108" s="2" t="inlineStr">
        <is>
          <t>2026-02-02</t>
        </is>
      </c>
      <c r="B1108" s="3" t="inlineStr">
        <is>
          <t>삼성전자</t>
        </is>
      </c>
      <c r="C1108" s="2" t="inlineStr">
        <is>
          <t>코스피</t>
        </is>
      </c>
      <c r="D1108" s="2" t="inlineStr">
        <is>
          <t>005930</t>
        </is>
      </c>
      <c r="E1108" s="3" t="inlineStr">
        <is>
          <t>임원ㆍ주요주주특정증권등소유상황보고서</t>
        </is>
      </c>
      <c r="F1108" s="3" t="inlineStr">
        <is>
          <t>안영모</t>
        </is>
      </c>
      <c r="G1108" s="2" t="inlineStr">
        <is>
          <t>20260202000801</t>
        </is>
      </c>
      <c r="H1108" s="8">
        <f>HYPERLINK("https://dart.fss.or.kr/dsaf001/main.do?rcpNo=20260202000801", "공시열람")</f>
        <v/>
      </c>
    </row>
    <row r="1109">
      <c r="A1109" s="2" t="inlineStr">
        <is>
          <t>2026-02-02</t>
        </is>
      </c>
      <c r="B1109" s="3" t="inlineStr">
        <is>
          <t>삼성전자</t>
        </is>
      </c>
      <c r="C1109" s="2" t="inlineStr">
        <is>
          <t>코스피</t>
        </is>
      </c>
      <c r="D1109" s="2" t="inlineStr">
        <is>
          <t>005930</t>
        </is>
      </c>
      <c r="E1109" s="3" t="inlineStr">
        <is>
          <t>임원ㆍ주요주주특정증권등소유상황보고서</t>
        </is>
      </c>
      <c r="F1109" s="3" t="inlineStr">
        <is>
          <t>김경환</t>
        </is>
      </c>
      <c r="G1109" s="2" t="inlineStr">
        <is>
          <t>20260202000800</t>
        </is>
      </c>
      <c r="H1109" s="8">
        <f>HYPERLINK("https://dart.fss.or.kr/dsaf001/main.do?rcpNo=20260202000800", "공시열람")</f>
        <v/>
      </c>
    </row>
    <row r="1110">
      <c r="A1110" s="2" t="inlineStr">
        <is>
          <t>2026-02-02</t>
        </is>
      </c>
      <c r="B1110" s="3" t="inlineStr">
        <is>
          <t>윈스테크넷</t>
        </is>
      </c>
      <c r="C1110" s="2" t="inlineStr">
        <is>
          <t>코스닥</t>
        </is>
      </c>
      <c r="D1110" s="2" t="inlineStr">
        <is>
          <t>136540</t>
        </is>
      </c>
      <c r="E1110" s="3" t="inlineStr">
        <is>
          <t xml:space="preserve">연결재무제표기준영업(잠정)실적(공정공시)              </t>
        </is>
      </c>
      <c r="F1110" s="3" t="inlineStr">
        <is>
          <t>윈스테크넷</t>
        </is>
      </c>
      <c r="G1110" s="2" t="inlineStr">
        <is>
          <t>20260202901163</t>
        </is>
      </c>
      <c r="H1110" s="8">
        <f>HYPERLINK("https://dart.fss.or.kr/dsaf001/main.do?rcpNo=20260202901163", "공시열람")</f>
        <v/>
      </c>
    </row>
    <row r="1111">
      <c r="A1111" s="2" t="inlineStr">
        <is>
          <t>2026-02-02</t>
        </is>
      </c>
      <c r="B1111" s="3" t="inlineStr">
        <is>
          <t>삼성전자</t>
        </is>
      </c>
      <c r="C1111" s="2" t="inlineStr">
        <is>
          <t>코스피</t>
        </is>
      </c>
      <c r="D1111" s="2" t="inlineStr">
        <is>
          <t>005930</t>
        </is>
      </c>
      <c r="E1111" s="3" t="inlineStr">
        <is>
          <t>임원ㆍ주요주주특정증권등소유상황보고서</t>
        </is>
      </c>
      <c r="F1111" s="3" t="inlineStr">
        <is>
          <t>조철민</t>
        </is>
      </c>
      <c r="G1111" s="2" t="inlineStr">
        <is>
          <t>20260202000799</t>
        </is>
      </c>
      <c r="H1111" s="8">
        <f>HYPERLINK("https://dart.fss.or.kr/dsaf001/main.do?rcpNo=20260202000799", "공시열람")</f>
        <v/>
      </c>
    </row>
    <row r="1112">
      <c r="A1112" s="2" t="inlineStr">
        <is>
          <t>2026-02-02</t>
        </is>
      </c>
      <c r="B1112" s="3" t="inlineStr">
        <is>
          <t>삼성전자</t>
        </is>
      </c>
      <c r="C1112" s="2" t="inlineStr">
        <is>
          <t>코스피</t>
        </is>
      </c>
      <c r="D1112" s="2" t="inlineStr">
        <is>
          <t>005930</t>
        </is>
      </c>
      <c r="E1112" s="3" t="inlineStr">
        <is>
          <t>임원ㆍ주요주주특정증권등소유상황보고서</t>
        </is>
      </c>
      <c r="F1112" s="3" t="inlineStr">
        <is>
          <t>송문경</t>
        </is>
      </c>
      <c r="G1112" s="2" t="inlineStr">
        <is>
          <t>20260202000798</t>
        </is>
      </c>
      <c r="H1112" s="8">
        <f>HYPERLINK("https://dart.fss.or.kr/dsaf001/main.do?rcpNo=20260202000798", "공시열람")</f>
        <v/>
      </c>
    </row>
    <row r="1113">
      <c r="A1113" s="2" t="inlineStr">
        <is>
          <t>2026-02-02</t>
        </is>
      </c>
      <c r="B1113" s="3" t="inlineStr">
        <is>
          <t>삼성전자</t>
        </is>
      </c>
      <c r="C1113" s="2" t="inlineStr">
        <is>
          <t>코스피</t>
        </is>
      </c>
      <c r="D1113" s="2" t="inlineStr">
        <is>
          <t>005930</t>
        </is>
      </c>
      <c r="E1113" s="3" t="inlineStr">
        <is>
          <t>임원ㆍ주요주주특정증권등소유상황보고서</t>
        </is>
      </c>
      <c r="F1113" s="3" t="inlineStr">
        <is>
          <t>한정남</t>
        </is>
      </c>
      <c r="G1113" s="2" t="inlineStr">
        <is>
          <t>20260202000797</t>
        </is>
      </c>
      <c r="H1113" s="8">
        <f>HYPERLINK("https://dart.fss.or.kr/dsaf001/main.do?rcpNo=20260202000797", "공시열람")</f>
        <v/>
      </c>
    </row>
    <row r="1114">
      <c r="A1114" s="2" t="inlineStr">
        <is>
          <t>2026-02-02</t>
        </is>
      </c>
      <c r="B1114" s="3" t="inlineStr">
        <is>
          <t>삼성전자</t>
        </is>
      </c>
      <c r="C1114" s="2" t="inlineStr">
        <is>
          <t>코스피</t>
        </is>
      </c>
      <c r="D1114" s="2" t="inlineStr">
        <is>
          <t>005930</t>
        </is>
      </c>
      <c r="E1114" s="3" t="inlineStr">
        <is>
          <t>임원ㆍ주요주주특정증권등소유상황보고서</t>
        </is>
      </c>
      <c r="F1114" s="3" t="inlineStr">
        <is>
          <t>김원경</t>
        </is>
      </c>
      <c r="G1114" s="2" t="inlineStr">
        <is>
          <t>20260202000796</t>
        </is>
      </c>
      <c r="H1114" s="8">
        <f>HYPERLINK("https://dart.fss.or.kr/dsaf001/main.do?rcpNo=20260202000796", "공시열람")</f>
        <v/>
      </c>
    </row>
    <row r="1115">
      <c r="A1115" s="2" t="inlineStr">
        <is>
          <t>2026-02-02</t>
        </is>
      </c>
      <c r="B1115" s="3" t="inlineStr">
        <is>
          <t>삼성전자</t>
        </is>
      </c>
      <c r="C1115" s="2" t="inlineStr">
        <is>
          <t>코스피</t>
        </is>
      </c>
      <c r="D1115" s="2" t="inlineStr">
        <is>
          <t>005930</t>
        </is>
      </c>
      <c r="E1115" s="3" t="inlineStr">
        <is>
          <t>임원ㆍ주요주주특정증권등소유상황보고서</t>
        </is>
      </c>
      <c r="F1115" s="3" t="inlineStr">
        <is>
          <t>유종민</t>
        </is>
      </c>
      <c r="G1115" s="2" t="inlineStr">
        <is>
          <t>20260202000795</t>
        </is>
      </c>
      <c r="H1115" s="8">
        <f>HYPERLINK("https://dart.fss.or.kr/dsaf001/main.do?rcpNo=20260202000795", "공시열람")</f>
        <v/>
      </c>
    </row>
    <row r="1116">
      <c r="A1116" s="2" t="inlineStr">
        <is>
          <t>2026-02-02</t>
        </is>
      </c>
      <c r="B1116" s="3" t="inlineStr">
        <is>
          <t>삼성전자</t>
        </is>
      </c>
      <c r="C1116" s="2" t="inlineStr">
        <is>
          <t>코스피</t>
        </is>
      </c>
      <c r="D1116" s="2" t="inlineStr">
        <is>
          <t>005930</t>
        </is>
      </c>
      <c r="E1116" s="3" t="inlineStr">
        <is>
          <t>임원ㆍ주요주주특정증권등소유상황보고서</t>
        </is>
      </c>
      <c r="F1116" s="3" t="inlineStr">
        <is>
          <t>은형래</t>
        </is>
      </c>
      <c r="G1116" s="2" t="inlineStr">
        <is>
          <t>20260202000794</t>
        </is>
      </c>
      <c r="H1116" s="8">
        <f>HYPERLINK("https://dart.fss.or.kr/dsaf001/main.do?rcpNo=20260202000794", "공시열람")</f>
        <v/>
      </c>
    </row>
    <row r="1117">
      <c r="A1117" s="2" t="inlineStr">
        <is>
          <t>2026-02-02</t>
        </is>
      </c>
      <c r="B1117" s="3" t="inlineStr">
        <is>
          <t>삼성전자</t>
        </is>
      </c>
      <c r="C1117" s="2" t="inlineStr">
        <is>
          <t>코스피</t>
        </is>
      </c>
      <c r="D1117" s="2" t="inlineStr">
        <is>
          <t>005930</t>
        </is>
      </c>
      <c r="E1117" s="3" t="inlineStr">
        <is>
          <t>임원ㆍ주요주주특정증권등소유상황보고서</t>
        </is>
      </c>
      <c r="F1117" s="3" t="inlineStr">
        <is>
          <t>최창규</t>
        </is>
      </c>
      <c r="G1117" s="2" t="inlineStr">
        <is>
          <t>20260202000793</t>
        </is>
      </c>
      <c r="H1117" s="8">
        <f>HYPERLINK("https://dart.fss.or.kr/dsaf001/main.do?rcpNo=20260202000793", "공시열람")</f>
        <v/>
      </c>
    </row>
    <row r="1118">
      <c r="A1118" s="2" t="inlineStr">
        <is>
          <t>2026-02-02</t>
        </is>
      </c>
      <c r="B1118" s="3" t="inlineStr">
        <is>
          <t>삼성전자</t>
        </is>
      </c>
      <c r="C1118" s="2" t="inlineStr">
        <is>
          <t>코스피</t>
        </is>
      </c>
      <c r="D1118" s="2" t="inlineStr">
        <is>
          <t>005930</t>
        </is>
      </c>
      <c r="E1118" s="3" t="inlineStr">
        <is>
          <t>임원ㆍ주요주주특정증권등소유상황보고서</t>
        </is>
      </c>
      <c r="F1118" s="3" t="inlineStr">
        <is>
          <t>최명진</t>
        </is>
      </c>
      <c r="G1118" s="2" t="inlineStr">
        <is>
          <t>20260202000792</t>
        </is>
      </c>
      <c r="H1118" s="8">
        <f>HYPERLINK("https://dart.fss.or.kr/dsaf001/main.do?rcpNo=20260202000792", "공시열람")</f>
        <v/>
      </c>
    </row>
    <row r="1119">
      <c r="A1119" s="2" t="inlineStr">
        <is>
          <t>2026-02-02</t>
        </is>
      </c>
      <c r="B1119" s="3" t="inlineStr">
        <is>
          <t>신세계</t>
        </is>
      </c>
      <c r="C1119" s="2" t="inlineStr">
        <is>
          <t>코스피</t>
        </is>
      </c>
      <c r="D1119" s="2" t="inlineStr">
        <is>
          <t>004170</t>
        </is>
      </c>
      <c r="E1119" s="3" t="inlineStr">
        <is>
          <t xml:space="preserve">결산실적공시예고(안내공시)              </t>
        </is>
      </c>
      <c r="F1119" s="3" t="inlineStr">
        <is>
          <t>신세계</t>
        </is>
      </c>
      <c r="G1119" s="2" t="inlineStr">
        <is>
          <t>20260202801221</t>
        </is>
      </c>
      <c r="H1119" s="8">
        <f>HYPERLINK("https://dart.fss.or.kr/dsaf001/main.do?rcpNo=20260202801221", "공시열람")</f>
        <v/>
      </c>
    </row>
    <row r="1120">
      <c r="A1120" s="2" t="inlineStr">
        <is>
          <t>2026-02-02</t>
        </is>
      </c>
      <c r="B1120" s="3" t="inlineStr">
        <is>
          <t>삼성전자</t>
        </is>
      </c>
      <c r="C1120" s="2" t="inlineStr">
        <is>
          <t>코스피</t>
        </is>
      </c>
      <c r="D1120" s="2" t="inlineStr">
        <is>
          <t>005930</t>
        </is>
      </c>
      <c r="E1120" s="3" t="inlineStr">
        <is>
          <t>임원ㆍ주요주주특정증권등소유상황보고서</t>
        </is>
      </c>
      <c r="F1120" s="3" t="inlineStr">
        <is>
          <t>박혜린</t>
        </is>
      </c>
      <c r="G1120" s="2" t="inlineStr">
        <is>
          <t>20260202000790</t>
        </is>
      </c>
      <c r="H1120" s="8">
        <f>HYPERLINK("https://dart.fss.or.kr/dsaf001/main.do?rcpNo=20260202000790", "공시열람")</f>
        <v/>
      </c>
    </row>
    <row r="1121">
      <c r="A1121" s="2" t="inlineStr">
        <is>
          <t>2026-02-02</t>
        </is>
      </c>
      <c r="B1121" s="3" t="inlineStr">
        <is>
          <t>에스켐</t>
        </is>
      </c>
      <c r="C1121" s="2" t="inlineStr">
        <is>
          <t>코스닥</t>
        </is>
      </c>
      <c r="D1121" s="2" t="inlineStr">
        <is>
          <t>475660</t>
        </is>
      </c>
      <c r="E1121" s="3" t="inlineStr">
        <is>
          <t>임원ㆍ주요주주특정증권등소유상황보고서</t>
        </is>
      </c>
      <c r="F1121" s="3" t="inlineStr">
        <is>
          <t>이대원</t>
        </is>
      </c>
      <c r="G1121" s="2" t="inlineStr">
        <is>
          <t>20260202000789</t>
        </is>
      </c>
      <c r="H1121" s="8">
        <f>HYPERLINK("https://dart.fss.or.kr/dsaf001/main.do?rcpNo=20260202000789", "공시열람")</f>
        <v/>
      </c>
    </row>
    <row r="1122">
      <c r="A1122" s="2" t="inlineStr">
        <is>
          <t>2026-02-02</t>
        </is>
      </c>
      <c r="B1122" s="3" t="inlineStr">
        <is>
          <t>삼성전자</t>
        </is>
      </c>
      <c r="C1122" s="2" t="inlineStr">
        <is>
          <t>코스피</t>
        </is>
      </c>
      <c r="D1122" s="2" t="inlineStr">
        <is>
          <t>005930</t>
        </is>
      </c>
      <c r="E1122" s="3" t="inlineStr">
        <is>
          <t>임원ㆍ주요주주특정증권등소유상황보고서</t>
        </is>
      </c>
      <c r="F1122" s="3" t="inlineStr">
        <is>
          <t>주현태</t>
        </is>
      </c>
      <c r="G1122" s="2" t="inlineStr">
        <is>
          <t>20260202000788</t>
        </is>
      </c>
      <c r="H1122" s="8">
        <f>HYPERLINK("https://dart.fss.or.kr/dsaf001/main.do?rcpNo=20260202000788", "공시열람")</f>
        <v/>
      </c>
    </row>
    <row r="1123">
      <c r="A1123" s="2" t="inlineStr">
        <is>
          <t>2026-02-02</t>
        </is>
      </c>
      <c r="B1123" s="3" t="inlineStr">
        <is>
          <t>삼성전자</t>
        </is>
      </c>
      <c r="C1123" s="2" t="inlineStr">
        <is>
          <t>코스피</t>
        </is>
      </c>
      <c r="D1123" s="2" t="inlineStr">
        <is>
          <t>005930</t>
        </is>
      </c>
      <c r="E1123" s="3" t="inlineStr">
        <is>
          <t>임원ㆍ주요주주특정증권등소유상황보고서</t>
        </is>
      </c>
      <c r="F1123" s="3" t="inlineStr">
        <is>
          <t>은성민</t>
        </is>
      </c>
      <c r="G1123" s="2" t="inlineStr">
        <is>
          <t>20260202000787</t>
        </is>
      </c>
      <c r="H1123" s="8">
        <f>HYPERLINK("https://dart.fss.or.kr/dsaf001/main.do?rcpNo=20260202000787", "공시열람")</f>
        <v/>
      </c>
    </row>
    <row r="1124">
      <c r="A1124" s="2" t="inlineStr">
        <is>
          <t>2026-02-02</t>
        </is>
      </c>
      <c r="B1124" s="3" t="inlineStr">
        <is>
          <t>삼성전자</t>
        </is>
      </c>
      <c r="C1124" s="2" t="inlineStr">
        <is>
          <t>코스피</t>
        </is>
      </c>
      <c r="D1124" s="2" t="inlineStr">
        <is>
          <t>005930</t>
        </is>
      </c>
      <c r="E1124" s="3" t="inlineStr">
        <is>
          <t>임원ㆍ주요주주특정증권등소유상황보고서</t>
        </is>
      </c>
      <c r="F1124" s="3" t="inlineStr">
        <is>
          <t>권오겸</t>
        </is>
      </c>
      <c r="G1124" s="2" t="inlineStr">
        <is>
          <t>20260202000786</t>
        </is>
      </c>
      <c r="H1124" s="8">
        <f>HYPERLINK("https://dart.fss.or.kr/dsaf001/main.do?rcpNo=20260202000786", "공시열람")</f>
        <v/>
      </c>
    </row>
    <row r="1125">
      <c r="A1125" s="2" t="inlineStr">
        <is>
          <t>2026-02-02</t>
        </is>
      </c>
      <c r="B1125" s="3" t="inlineStr">
        <is>
          <t>삼성전자</t>
        </is>
      </c>
      <c r="C1125" s="2" t="inlineStr">
        <is>
          <t>코스피</t>
        </is>
      </c>
      <c r="D1125" s="2" t="inlineStr">
        <is>
          <t>005930</t>
        </is>
      </c>
      <c r="E1125" s="3" t="inlineStr">
        <is>
          <t>임원ㆍ주요주주특정증권등소유상황보고서</t>
        </is>
      </c>
      <c r="F1125" s="3" t="inlineStr">
        <is>
          <t>최정연</t>
        </is>
      </c>
      <c r="G1125" s="2" t="inlineStr">
        <is>
          <t>20260202000785</t>
        </is>
      </c>
      <c r="H1125" s="8">
        <f>HYPERLINK("https://dart.fss.or.kr/dsaf001/main.do?rcpNo=20260202000785", "공시열람")</f>
        <v/>
      </c>
    </row>
    <row r="1126">
      <c r="A1126" s="2" t="inlineStr">
        <is>
          <t>2026-02-02</t>
        </is>
      </c>
      <c r="B1126" s="3" t="inlineStr">
        <is>
          <t>삼성전자</t>
        </is>
      </c>
      <c r="C1126" s="2" t="inlineStr">
        <is>
          <t>코스피</t>
        </is>
      </c>
      <c r="D1126" s="2" t="inlineStr">
        <is>
          <t>005930</t>
        </is>
      </c>
      <c r="E1126" s="3" t="inlineStr">
        <is>
          <t>임원ㆍ주요주주특정증권등소유상황보고서</t>
        </is>
      </c>
      <c r="F1126" s="3" t="inlineStr">
        <is>
          <t>조영석</t>
        </is>
      </c>
      <c r="G1126" s="2" t="inlineStr">
        <is>
          <t>20260202000784</t>
        </is>
      </c>
      <c r="H1126" s="8">
        <f>HYPERLINK("https://dart.fss.or.kr/dsaf001/main.do?rcpNo=20260202000784", "공시열람")</f>
        <v/>
      </c>
    </row>
    <row r="1127">
      <c r="A1127" s="2" t="inlineStr">
        <is>
          <t>2026-02-02</t>
        </is>
      </c>
      <c r="B1127" s="3" t="inlineStr">
        <is>
          <t>삼성전자</t>
        </is>
      </c>
      <c r="C1127" s="2" t="inlineStr">
        <is>
          <t>코스피</t>
        </is>
      </c>
      <c r="D1127" s="2" t="inlineStr">
        <is>
          <t>005930</t>
        </is>
      </c>
      <c r="E1127" s="3" t="inlineStr">
        <is>
          <t>임원ㆍ주요주주특정증권등소유상황보고서</t>
        </is>
      </c>
      <c r="F1127" s="3" t="inlineStr">
        <is>
          <t>오태영</t>
        </is>
      </c>
      <c r="G1127" s="2" t="inlineStr">
        <is>
          <t>20260202000783</t>
        </is>
      </c>
      <c r="H1127" s="8">
        <f>HYPERLINK("https://dart.fss.or.kr/dsaf001/main.do?rcpNo=20260202000783", "공시열람")</f>
        <v/>
      </c>
    </row>
    <row r="1128">
      <c r="A1128" s="2" t="inlineStr">
        <is>
          <t>2026-02-02</t>
        </is>
      </c>
      <c r="B1128" s="3" t="inlineStr">
        <is>
          <t>삼성전자</t>
        </is>
      </c>
      <c r="C1128" s="2" t="inlineStr">
        <is>
          <t>코스피</t>
        </is>
      </c>
      <c r="D1128" s="2" t="inlineStr">
        <is>
          <t>005930</t>
        </is>
      </c>
      <c r="E1128" s="3" t="inlineStr">
        <is>
          <t>임원ㆍ주요주주특정증권등소유상황보고서</t>
        </is>
      </c>
      <c r="F1128" s="3" t="inlineStr">
        <is>
          <t>이왕익</t>
        </is>
      </c>
      <c r="G1128" s="2" t="inlineStr">
        <is>
          <t>20260202000782</t>
        </is>
      </c>
      <c r="H1128" s="8">
        <f>HYPERLINK("https://dart.fss.or.kr/dsaf001/main.do?rcpNo=20260202000782", "공시열람")</f>
        <v/>
      </c>
    </row>
    <row r="1129">
      <c r="A1129" s="2" t="inlineStr">
        <is>
          <t>2026-02-02</t>
        </is>
      </c>
      <c r="B1129" s="3" t="inlineStr">
        <is>
          <t>삼성전자</t>
        </is>
      </c>
      <c r="C1129" s="2" t="inlineStr">
        <is>
          <t>코스피</t>
        </is>
      </c>
      <c r="D1129" s="2" t="inlineStr">
        <is>
          <t>005930</t>
        </is>
      </c>
      <c r="E1129" s="3" t="inlineStr">
        <is>
          <t>임원ㆍ주요주주특정증권등소유상황보고서</t>
        </is>
      </c>
      <c r="F1129" s="3" t="inlineStr">
        <is>
          <t>김수목</t>
        </is>
      </c>
      <c r="G1129" s="2" t="inlineStr">
        <is>
          <t>20260202000781</t>
        </is>
      </c>
      <c r="H1129" s="8">
        <f>HYPERLINK("https://dart.fss.or.kr/dsaf001/main.do?rcpNo=20260202000781", "공시열람")</f>
        <v/>
      </c>
    </row>
    <row r="1130">
      <c r="A1130" s="2" t="inlineStr">
        <is>
          <t>2026-02-02</t>
        </is>
      </c>
      <c r="B1130" s="3" t="inlineStr">
        <is>
          <t>삼성전자</t>
        </is>
      </c>
      <c r="C1130" s="2" t="inlineStr">
        <is>
          <t>코스피</t>
        </is>
      </c>
      <c r="D1130" s="2" t="inlineStr">
        <is>
          <t>005930</t>
        </is>
      </c>
      <c r="E1130" s="3" t="inlineStr">
        <is>
          <t>임원ㆍ주요주주특정증권등소유상황보고서</t>
        </is>
      </c>
      <c r="F1130" s="3" t="inlineStr">
        <is>
          <t>최준일</t>
        </is>
      </c>
      <c r="G1130" s="2" t="inlineStr">
        <is>
          <t>20260202000780</t>
        </is>
      </c>
      <c r="H1130" s="8">
        <f>HYPERLINK("https://dart.fss.or.kr/dsaf001/main.do?rcpNo=20260202000780", "공시열람")</f>
        <v/>
      </c>
    </row>
    <row r="1131">
      <c r="A1131" s="2" t="inlineStr">
        <is>
          <t>2026-02-02</t>
        </is>
      </c>
      <c r="B1131" s="3" t="inlineStr">
        <is>
          <t>삼성전자</t>
        </is>
      </c>
      <c r="C1131" s="2" t="inlineStr">
        <is>
          <t>코스피</t>
        </is>
      </c>
      <c r="D1131" s="2" t="inlineStr">
        <is>
          <t>005930</t>
        </is>
      </c>
      <c r="E1131" s="3" t="inlineStr">
        <is>
          <t>임원ㆍ주요주주특정증권등소유상황보고서</t>
        </is>
      </c>
      <c r="F1131" s="3" t="inlineStr">
        <is>
          <t>박충신</t>
        </is>
      </c>
      <c r="G1131" s="2" t="inlineStr">
        <is>
          <t>20260202000779</t>
        </is>
      </c>
      <c r="H1131" s="8">
        <f>HYPERLINK("https://dart.fss.or.kr/dsaf001/main.do?rcpNo=20260202000779", "공시열람")</f>
        <v/>
      </c>
    </row>
    <row r="1132">
      <c r="A1132" s="2" t="inlineStr">
        <is>
          <t>2026-02-02</t>
        </is>
      </c>
      <c r="B1132" s="3" t="inlineStr">
        <is>
          <t>삼성전자</t>
        </is>
      </c>
      <c r="C1132" s="2" t="inlineStr">
        <is>
          <t>코스피</t>
        </is>
      </c>
      <c r="D1132" s="2" t="inlineStr">
        <is>
          <t>005930</t>
        </is>
      </c>
      <c r="E1132" s="3" t="inlineStr">
        <is>
          <t>임원ㆍ주요주주특정증권등소유상황보고서</t>
        </is>
      </c>
      <c r="F1132" s="3" t="inlineStr">
        <is>
          <t>김보현</t>
        </is>
      </c>
      <c r="G1132" s="2" t="inlineStr">
        <is>
          <t>20260202000778</t>
        </is>
      </c>
      <c r="H1132" s="8">
        <f>HYPERLINK("https://dart.fss.or.kr/dsaf001/main.do?rcpNo=20260202000778", "공시열람")</f>
        <v/>
      </c>
    </row>
    <row r="1133">
      <c r="A1133" s="2" t="inlineStr">
        <is>
          <t>2026-02-02</t>
        </is>
      </c>
      <c r="B1133" s="3" t="inlineStr">
        <is>
          <t>삼성전자</t>
        </is>
      </c>
      <c r="C1133" s="2" t="inlineStr">
        <is>
          <t>코스피</t>
        </is>
      </c>
      <c r="D1133" s="2" t="inlineStr">
        <is>
          <t>005930</t>
        </is>
      </c>
      <c r="E1133" s="3" t="inlineStr">
        <is>
          <t>임원ㆍ주요주주특정증권등소유상황보고서</t>
        </is>
      </c>
      <c r="F1133" s="3" t="inlineStr">
        <is>
          <t>정승진</t>
        </is>
      </c>
      <c r="G1133" s="2" t="inlineStr">
        <is>
          <t>20260202000776</t>
        </is>
      </c>
      <c r="H1133" s="8">
        <f>HYPERLINK("https://dart.fss.or.kr/dsaf001/main.do?rcpNo=20260202000776", "공시열람")</f>
        <v/>
      </c>
    </row>
    <row r="1134">
      <c r="A1134" s="2" t="inlineStr">
        <is>
          <t>2026-02-02</t>
        </is>
      </c>
      <c r="B1134" s="3" t="inlineStr">
        <is>
          <t>삼성전자</t>
        </is>
      </c>
      <c r="C1134" s="2" t="inlineStr">
        <is>
          <t>코스피</t>
        </is>
      </c>
      <c r="D1134" s="2" t="inlineStr">
        <is>
          <t>005930</t>
        </is>
      </c>
      <c r="E1134" s="3" t="inlineStr">
        <is>
          <t>임원ㆍ주요주주특정증권등소유상황보고서</t>
        </is>
      </c>
      <c r="F1134" s="3" t="inlineStr">
        <is>
          <t>이승환</t>
        </is>
      </c>
      <c r="G1134" s="2" t="inlineStr">
        <is>
          <t>20260202000775</t>
        </is>
      </c>
      <c r="H1134" s="8">
        <f>HYPERLINK("https://dart.fss.or.kr/dsaf001/main.do?rcpNo=20260202000775", "공시열람")</f>
        <v/>
      </c>
    </row>
    <row r="1135">
      <c r="A1135" s="2" t="inlineStr">
        <is>
          <t>2026-02-02</t>
        </is>
      </c>
      <c r="B1135" s="3" t="inlineStr">
        <is>
          <t>엑시큐어하이트론</t>
        </is>
      </c>
      <c r="C1135" s="2" t="inlineStr">
        <is>
          <t>코스피</t>
        </is>
      </c>
      <c r="D1135" s="2" t="inlineStr">
        <is>
          <t>019490</t>
        </is>
      </c>
      <c r="E1135" s="3" t="inlineStr">
        <is>
          <t>임원ㆍ주요주주특정증권등거래계획철회보고서</t>
        </is>
      </c>
      <c r="F1135" s="3" t="inlineStr">
        <is>
          <t>더테크놀로지</t>
        </is>
      </c>
      <c r="G1135" s="2" t="inlineStr">
        <is>
          <t>20260202000774</t>
        </is>
      </c>
      <c r="H1135" s="8">
        <f>HYPERLINK("https://dart.fss.or.kr/dsaf001/main.do?rcpNo=20260202000774", "공시열람")</f>
        <v/>
      </c>
    </row>
    <row r="1136">
      <c r="A1136" s="2" t="inlineStr">
        <is>
          <t>2026-02-02</t>
        </is>
      </c>
      <c r="B1136" s="3" t="inlineStr">
        <is>
          <t>삼성전자</t>
        </is>
      </c>
      <c r="C1136" s="2" t="inlineStr">
        <is>
          <t>코스피</t>
        </is>
      </c>
      <c r="D1136" s="2" t="inlineStr">
        <is>
          <t>005930</t>
        </is>
      </c>
      <c r="E1136" s="3" t="inlineStr">
        <is>
          <t>임원ㆍ주요주주특정증권등소유상황보고서</t>
        </is>
      </c>
      <c r="F1136" s="3" t="inlineStr">
        <is>
          <t>윤창빈</t>
        </is>
      </c>
      <c r="G1136" s="2" t="inlineStr">
        <is>
          <t>20260202000773</t>
        </is>
      </c>
      <c r="H1136" s="8">
        <f>HYPERLINK("https://dart.fss.or.kr/dsaf001/main.do?rcpNo=20260202000773", "공시열람")</f>
        <v/>
      </c>
    </row>
    <row r="1137">
      <c r="A1137" s="2" t="inlineStr">
        <is>
          <t>2026-02-02</t>
        </is>
      </c>
      <c r="B1137" s="3" t="inlineStr">
        <is>
          <t>삼성전자</t>
        </is>
      </c>
      <c r="C1137" s="2" t="inlineStr">
        <is>
          <t>코스피</t>
        </is>
      </c>
      <c r="D1137" s="2" t="inlineStr">
        <is>
          <t>005930</t>
        </is>
      </c>
      <c r="E1137" s="3" t="inlineStr">
        <is>
          <t>임원ㆍ주요주주특정증권등소유상황보고서</t>
        </is>
      </c>
      <c r="F1137" s="3" t="inlineStr">
        <is>
          <t>이태호</t>
        </is>
      </c>
      <c r="G1137" s="2" t="inlineStr">
        <is>
          <t>20260202000772</t>
        </is>
      </c>
      <c r="H1137" s="8">
        <f>HYPERLINK("https://dart.fss.or.kr/dsaf001/main.do?rcpNo=20260202000772", "공시열람")</f>
        <v/>
      </c>
    </row>
    <row r="1138">
      <c r="A1138" s="2" t="inlineStr">
        <is>
          <t>2026-02-02</t>
        </is>
      </c>
      <c r="B1138" s="3" t="inlineStr">
        <is>
          <t>삼성전자</t>
        </is>
      </c>
      <c r="C1138" s="2" t="inlineStr">
        <is>
          <t>코스피</t>
        </is>
      </c>
      <c r="D1138" s="2" t="inlineStr">
        <is>
          <t>005930</t>
        </is>
      </c>
      <c r="E1138" s="3" t="inlineStr">
        <is>
          <t>임원ㆍ주요주주특정증권등소유상황보고서</t>
        </is>
      </c>
      <c r="F1138" s="3" t="inlineStr">
        <is>
          <t>박환홍</t>
        </is>
      </c>
      <c r="G1138" s="2" t="inlineStr">
        <is>
          <t>20260202000770</t>
        </is>
      </c>
      <c r="H1138" s="8">
        <f>HYPERLINK("https://dart.fss.or.kr/dsaf001/main.do?rcpNo=20260202000770", "공시열람")</f>
        <v/>
      </c>
    </row>
    <row r="1139">
      <c r="A1139" s="2" t="inlineStr">
        <is>
          <t>2026-02-02</t>
        </is>
      </c>
      <c r="B1139" s="3" t="inlineStr">
        <is>
          <t>포스코엠텍</t>
        </is>
      </c>
      <c r="C1139" s="2" t="inlineStr">
        <is>
          <t>코스닥</t>
        </is>
      </c>
      <c r="D1139" s="2" t="inlineStr">
        <is>
          <t>009520</t>
        </is>
      </c>
      <c r="E1139" s="3" t="inlineStr">
        <is>
          <t xml:space="preserve">현금ㆍ현물배당을위한주주명부폐쇄(기준일)결정              </t>
        </is>
      </c>
      <c r="F1139" s="3" t="inlineStr">
        <is>
          <t>포스코엠텍</t>
        </is>
      </c>
      <c r="G1139" s="2" t="inlineStr">
        <is>
          <t>20260202901188</t>
        </is>
      </c>
      <c r="H1139" s="8">
        <f>HYPERLINK("https://dart.fss.or.kr/dsaf001/main.do?rcpNo=20260202901188", "공시열람")</f>
        <v/>
      </c>
    </row>
    <row r="1140">
      <c r="A1140" s="2" t="inlineStr">
        <is>
          <t>2026-02-02</t>
        </is>
      </c>
      <c r="B1140" s="3" t="inlineStr">
        <is>
          <t>삼성전자</t>
        </is>
      </c>
      <c r="C1140" s="2" t="inlineStr">
        <is>
          <t>코스피</t>
        </is>
      </c>
      <c r="D1140" s="2" t="inlineStr">
        <is>
          <t>005930</t>
        </is>
      </c>
      <c r="E1140" s="3" t="inlineStr">
        <is>
          <t>임원ㆍ주요주주특정증권등소유상황보고서</t>
        </is>
      </c>
      <c r="F1140" s="3" t="inlineStr">
        <is>
          <t>송승호</t>
        </is>
      </c>
      <c r="G1140" s="2" t="inlineStr">
        <is>
          <t>20260202000768</t>
        </is>
      </c>
      <c r="H1140" s="8">
        <f>HYPERLINK("https://dart.fss.or.kr/dsaf001/main.do?rcpNo=20260202000768", "공시열람")</f>
        <v/>
      </c>
    </row>
    <row r="1141">
      <c r="A1141" s="2" t="inlineStr">
        <is>
          <t>2026-02-02</t>
        </is>
      </c>
      <c r="B1141" s="3" t="inlineStr">
        <is>
          <t>삼성전자</t>
        </is>
      </c>
      <c r="C1141" s="2" t="inlineStr">
        <is>
          <t>코스피</t>
        </is>
      </c>
      <c r="D1141" s="2" t="inlineStr">
        <is>
          <t>005930</t>
        </is>
      </c>
      <c r="E1141" s="3" t="inlineStr">
        <is>
          <t>임원ㆍ주요주주특정증권등소유상황보고서</t>
        </is>
      </c>
      <c r="F1141" s="3" t="inlineStr">
        <is>
          <t>서한석</t>
        </is>
      </c>
      <c r="G1141" s="2" t="inlineStr">
        <is>
          <t>20260202000767</t>
        </is>
      </c>
      <c r="H1141" s="8">
        <f>HYPERLINK("https://dart.fss.or.kr/dsaf001/main.do?rcpNo=20260202000767", "공시열람")</f>
        <v/>
      </c>
    </row>
    <row r="1142">
      <c r="A1142" s="2" t="inlineStr">
        <is>
          <t>2026-02-02</t>
        </is>
      </c>
      <c r="B1142" s="3" t="inlineStr">
        <is>
          <t>삼성전자</t>
        </is>
      </c>
      <c r="C1142" s="2" t="inlineStr">
        <is>
          <t>코스피</t>
        </is>
      </c>
      <c r="D1142" s="2" t="inlineStr">
        <is>
          <t>005930</t>
        </is>
      </c>
      <c r="E1142" s="3" t="inlineStr">
        <is>
          <t>임원ㆍ주요주주특정증권등소유상황보고서</t>
        </is>
      </c>
      <c r="F1142" s="3" t="inlineStr">
        <is>
          <t>이민철</t>
        </is>
      </c>
      <c r="G1142" s="2" t="inlineStr">
        <is>
          <t>20260202000766</t>
        </is>
      </c>
      <c r="H1142" s="8">
        <f>HYPERLINK("https://dart.fss.or.kr/dsaf001/main.do?rcpNo=20260202000766", "공시열람")</f>
        <v/>
      </c>
    </row>
    <row r="1143">
      <c r="A1143" s="2" t="inlineStr">
        <is>
          <t>2026-02-02</t>
        </is>
      </c>
      <c r="B1143" s="3" t="inlineStr">
        <is>
          <t>삼성전자</t>
        </is>
      </c>
      <c r="C1143" s="2" t="inlineStr">
        <is>
          <t>코스피</t>
        </is>
      </c>
      <c r="D1143" s="2" t="inlineStr">
        <is>
          <t>005930</t>
        </is>
      </c>
      <c r="E1143" s="3" t="inlineStr">
        <is>
          <t>임원ㆍ주요주주특정증권등소유상황보고서</t>
        </is>
      </c>
      <c r="F1143" s="3" t="inlineStr">
        <is>
          <t>장세정</t>
        </is>
      </c>
      <c r="G1143" s="2" t="inlineStr">
        <is>
          <t>20260202000765</t>
        </is>
      </c>
      <c r="H1143" s="8">
        <f>HYPERLINK("https://dart.fss.or.kr/dsaf001/main.do?rcpNo=20260202000765", "공시열람")</f>
        <v/>
      </c>
    </row>
    <row r="1144">
      <c r="A1144" s="2" t="inlineStr">
        <is>
          <t>2026-02-02</t>
        </is>
      </c>
      <c r="B1144" s="3" t="inlineStr">
        <is>
          <t>삼성전자</t>
        </is>
      </c>
      <c r="C1144" s="2" t="inlineStr">
        <is>
          <t>코스피</t>
        </is>
      </c>
      <c r="D1144" s="2" t="inlineStr">
        <is>
          <t>005930</t>
        </is>
      </c>
      <c r="E1144" s="3" t="inlineStr">
        <is>
          <t>임원ㆍ주요주주특정증권등소유상황보고서</t>
        </is>
      </c>
      <c r="F1144" s="3" t="inlineStr">
        <is>
          <t>최삼종</t>
        </is>
      </c>
      <c r="G1144" s="2" t="inlineStr">
        <is>
          <t>20260202000763</t>
        </is>
      </c>
      <c r="H1144" s="8">
        <f>HYPERLINK("https://dart.fss.or.kr/dsaf001/main.do?rcpNo=20260202000763", "공시열람")</f>
        <v/>
      </c>
    </row>
    <row r="1145">
      <c r="A1145" s="2" t="inlineStr">
        <is>
          <t>2026-02-02</t>
        </is>
      </c>
      <c r="B1145" s="3" t="inlineStr">
        <is>
          <t>삼성전자</t>
        </is>
      </c>
      <c r="C1145" s="2" t="inlineStr">
        <is>
          <t>코스피</t>
        </is>
      </c>
      <c r="D1145" s="2" t="inlineStr">
        <is>
          <t>005930</t>
        </is>
      </c>
      <c r="E1145" s="3" t="inlineStr">
        <is>
          <t>임원ㆍ주요주주특정증권등소유상황보고서</t>
        </is>
      </c>
      <c r="F1145" s="3" t="inlineStr">
        <is>
          <t>윤상용</t>
        </is>
      </c>
      <c r="G1145" s="2" t="inlineStr">
        <is>
          <t>20260202000762</t>
        </is>
      </c>
      <c r="H1145" s="8">
        <f>HYPERLINK("https://dart.fss.or.kr/dsaf001/main.do?rcpNo=20260202000762", "공시열람")</f>
        <v/>
      </c>
    </row>
    <row r="1146">
      <c r="A1146" s="2" t="inlineStr">
        <is>
          <t>2026-02-02</t>
        </is>
      </c>
      <c r="B1146" s="3" t="inlineStr">
        <is>
          <t>스톤브릿지벤처스</t>
        </is>
      </c>
      <c r="C1146" s="2" t="inlineStr">
        <is>
          <t>코스닥</t>
        </is>
      </c>
      <c r="D1146" s="2" t="inlineStr">
        <is>
          <t>330730</t>
        </is>
      </c>
      <c r="E1146" s="3" t="inlineStr">
        <is>
          <t xml:space="preserve">현금ㆍ현물배당결정              </t>
        </is>
      </c>
      <c r="F1146" s="3" t="inlineStr">
        <is>
          <t>스톤브릿지벤처스</t>
        </is>
      </c>
      <c r="G1146" s="2" t="inlineStr">
        <is>
          <t>20260202901091</t>
        </is>
      </c>
      <c r="H1146" s="8">
        <f>HYPERLINK("https://dart.fss.or.kr/dsaf001/main.do?rcpNo=20260202901091", "공시열람")</f>
        <v/>
      </c>
    </row>
    <row r="1147">
      <c r="A1147" s="2" t="inlineStr">
        <is>
          <t>2026-02-02</t>
        </is>
      </c>
      <c r="B1147" s="3" t="inlineStr">
        <is>
          <t>삼성전자</t>
        </is>
      </c>
      <c r="C1147" s="2" t="inlineStr">
        <is>
          <t>코스피</t>
        </is>
      </c>
      <c r="D1147" s="2" t="inlineStr">
        <is>
          <t>005930</t>
        </is>
      </c>
      <c r="E1147" s="3" t="inlineStr">
        <is>
          <t>임원ㆍ주요주주특정증권등소유상황보고서</t>
        </is>
      </c>
      <c r="F1147" s="3" t="inlineStr">
        <is>
          <t>옥신우</t>
        </is>
      </c>
      <c r="G1147" s="2" t="inlineStr">
        <is>
          <t>20260202000761</t>
        </is>
      </c>
      <c r="H1147" s="8">
        <f>HYPERLINK("https://dart.fss.or.kr/dsaf001/main.do?rcpNo=20260202000761", "공시열람")</f>
        <v/>
      </c>
    </row>
    <row r="1148">
      <c r="A1148" s="2" t="inlineStr">
        <is>
          <t>2026-02-02</t>
        </is>
      </c>
      <c r="B1148" s="3" t="inlineStr">
        <is>
          <t>빌리언스</t>
        </is>
      </c>
      <c r="C1148" s="2" t="inlineStr">
        <is>
          <t>코스닥</t>
        </is>
      </c>
      <c r="D1148" s="2" t="inlineStr">
        <is>
          <t>044480</t>
        </is>
      </c>
      <c r="E1148" s="3" t="inlineStr">
        <is>
          <t xml:space="preserve">전환가액의조정              </t>
        </is>
      </c>
      <c r="F1148" s="3" t="inlineStr">
        <is>
          <t>빌리언스</t>
        </is>
      </c>
      <c r="G1148" s="2" t="inlineStr">
        <is>
          <t>20260202901176</t>
        </is>
      </c>
      <c r="H1148" s="8">
        <f>HYPERLINK("https://dart.fss.or.kr/dsaf001/main.do?rcpNo=20260202901176", "공시열람")</f>
        <v/>
      </c>
    </row>
    <row r="1149">
      <c r="A1149" s="2" t="inlineStr">
        <is>
          <t>2026-02-02</t>
        </is>
      </c>
      <c r="B1149" s="3" t="inlineStr">
        <is>
          <t>스톤브릿지벤처스</t>
        </is>
      </c>
      <c r="C1149" s="2" t="inlineStr">
        <is>
          <t>코스닥</t>
        </is>
      </c>
      <c r="D1149" s="2" t="inlineStr">
        <is>
          <t>330730</t>
        </is>
      </c>
      <c r="E1149" s="3" t="inlineStr">
        <is>
          <t xml:space="preserve">매출액또는손익구조30%(대규모법인은15%)이상변동              </t>
        </is>
      </c>
      <c r="F1149" s="3" t="inlineStr">
        <is>
          <t>스톤브릿지벤처스</t>
        </is>
      </c>
      <c r="G1149" s="2" t="inlineStr">
        <is>
          <t>20260202901082</t>
        </is>
      </c>
      <c r="H1149" s="8">
        <f>HYPERLINK("https://dart.fss.or.kr/dsaf001/main.do?rcpNo=20260202901082", "공시열람")</f>
        <v/>
      </c>
    </row>
    <row r="1150">
      <c r="A1150" s="2" t="inlineStr">
        <is>
          <t>2026-02-02</t>
        </is>
      </c>
      <c r="B1150" s="3" t="inlineStr">
        <is>
          <t>두산밥캣</t>
        </is>
      </c>
      <c r="C1150" s="2" t="inlineStr">
        <is>
          <t>코스피</t>
        </is>
      </c>
      <c r="D1150" s="2" t="inlineStr">
        <is>
          <t>241560</t>
        </is>
      </c>
      <c r="E1150" s="3" t="inlineStr">
        <is>
          <t xml:space="preserve">지주회사의자회사탈퇴              </t>
        </is>
      </c>
      <c r="F1150" s="3" t="inlineStr">
        <is>
          <t>두산밥캣</t>
        </is>
      </c>
      <c r="G1150" s="2" t="inlineStr">
        <is>
          <t>20260202801175</t>
        </is>
      </c>
      <c r="H1150" s="8">
        <f>HYPERLINK("https://dart.fss.or.kr/dsaf001/main.do?rcpNo=20260202801175", "공시열람")</f>
        <v/>
      </c>
    </row>
    <row r="1151">
      <c r="A1151" s="2" t="inlineStr">
        <is>
          <t>2026-02-02</t>
        </is>
      </c>
      <c r="B1151" s="3" t="inlineStr">
        <is>
          <t>삼성전자</t>
        </is>
      </c>
      <c r="C1151" s="2" t="inlineStr">
        <is>
          <t>코스피</t>
        </is>
      </c>
      <c r="D1151" s="2" t="inlineStr">
        <is>
          <t>005930</t>
        </is>
      </c>
      <c r="E1151" s="3" t="inlineStr">
        <is>
          <t>임원ㆍ주요주주특정증권등소유상황보고서</t>
        </is>
      </c>
      <c r="F1151" s="3" t="inlineStr">
        <is>
          <t>이제현</t>
        </is>
      </c>
      <c r="G1151" s="2" t="inlineStr">
        <is>
          <t>20260202000758</t>
        </is>
      </c>
      <c r="H1151" s="8">
        <f>HYPERLINK("https://dart.fss.or.kr/dsaf001/main.do?rcpNo=20260202000758", "공시열람")</f>
        <v/>
      </c>
    </row>
    <row r="1152">
      <c r="A1152" s="2" t="inlineStr">
        <is>
          <t>2026-02-02</t>
        </is>
      </c>
      <c r="B1152" s="3" t="inlineStr">
        <is>
          <t>삼성전자</t>
        </is>
      </c>
      <c r="C1152" s="2" t="inlineStr">
        <is>
          <t>코스피</t>
        </is>
      </c>
      <c r="D1152" s="2" t="inlineStr">
        <is>
          <t>005930</t>
        </is>
      </c>
      <c r="E1152" s="3" t="inlineStr">
        <is>
          <t>임원ㆍ주요주주특정증권등소유상황보고서</t>
        </is>
      </c>
      <c r="F1152" s="3" t="inlineStr">
        <is>
          <t>박세근</t>
        </is>
      </c>
      <c r="G1152" s="2" t="inlineStr">
        <is>
          <t>20260202000756</t>
        </is>
      </c>
      <c r="H1152" s="8">
        <f>HYPERLINK("https://dart.fss.or.kr/dsaf001/main.do?rcpNo=20260202000756", "공시열람")</f>
        <v/>
      </c>
    </row>
    <row r="1153">
      <c r="A1153" s="2" t="inlineStr">
        <is>
          <t>2026-02-02</t>
        </is>
      </c>
      <c r="B1153" s="3" t="inlineStr">
        <is>
          <t>삼성전자</t>
        </is>
      </c>
      <c r="C1153" s="2" t="inlineStr">
        <is>
          <t>코스피</t>
        </is>
      </c>
      <c r="D1153" s="2" t="inlineStr">
        <is>
          <t>005930</t>
        </is>
      </c>
      <c r="E1153" s="3" t="inlineStr">
        <is>
          <t>임원ㆍ주요주주특정증권등소유상황보고서</t>
        </is>
      </c>
      <c r="F1153" s="3" t="inlineStr">
        <is>
          <t>이금주</t>
        </is>
      </c>
      <c r="G1153" s="2" t="inlineStr">
        <is>
          <t>20260202000755</t>
        </is>
      </c>
      <c r="H1153" s="8">
        <f>HYPERLINK("https://dart.fss.or.kr/dsaf001/main.do?rcpNo=20260202000755", "공시열람")</f>
        <v/>
      </c>
    </row>
    <row r="1154">
      <c r="A1154" s="2" t="inlineStr">
        <is>
          <t>2026-02-02</t>
        </is>
      </c>
      <c r="B1154" s="3" t="inlineStr">
        <is>
          <t>삼성전자</t>
        </is>
      </c>
      <c r="C1154" s="2" t="inlineStr">
        <is>
          <t>코스피</t>
        </is>
      </c>
      <c r="D1154" s="2" t="inlineStr">
        <is>
          <t>005930</t>
        </is>
      </c>
      <c r="E1154" s="3" t="inlineStr">
        <is>
          <t>임원ㆍ주요주주특정증권등소유상황보고서</t>
        </is>
      </c>
      <c r="F1154" s="3" t="inlineStr">
        <is>
          <t>장준희</t>
        </is>
      </c>
      <c r="G1154" s="2" t="inlineStr">
        <is>
          <t>20260202000754</t>
        </is>
      </c>
      <c r="H1154" s="8">
        <f>HYPERLINK("https://dart.fss.or.kr/dsaf001/main.do?rcpNo=20260202000754", "공시열람")</f>
        <v/>
      </c>
    </row>
    <row r="1155">
      <c r="A1155" s="2" t="inlineStr">
        <is>
          <t>2026-02-02</t>
        </is>
      </c>
      <c r="B1155" s="3" t="inlineStr">
        <is>
          <t>삼성전자</t>
        </is>
      </c>
      <c r="C1155" s="2" t="inlineStr">
        <is>
          <t>코스피</t>
        </is>
      </c>
      <c r="D1155" s="2" t="inlineStr">
        <is>
          <t>005930</t>
        </is>
      </c>
      <c r="E1155" s="3" t="inlineStr">
        <is>
          <t>임원ㆍ주요주주특정증권등소유상황보고서</t>
        </is>
      </c>
      <c r="F1155" s="3" t="inlineStr">
        <is>
          <t>김영주</t>
        </is>
      </c>
      <c r="G1155" s="2" t="inlineStr">
        <is>
          <t>20260202000753</t>
        </is>
      </c>
      <c r="H1155" s="8">
        <f>HYPERLINK("https://dart.fss.or.kr/dsaf001/main.do?rcpNo=20260202000753", "공시열람")</f>
        <v/>
      </c>
    </row>
    <row r="1156">
      <c r="A1156" s="2" t="inlineStr">
        <is>
          <t>2026-02-02</t>
        </is>
      </c>
      <c r="B1156" s="3" t="inlineStr">
        <is>
          <t>삼성전자</t>
        </is>
      </c>
      <c r="C1156" s="2" t="inlineStr">
        <is>
          <t>코스피</t>
        </is>
      </c>
      <c r="D1156" s="2" t="inlineStr">
        <is>
          <t>005930</t>
        </is>
      </c>
      <c r="E1156" s="3" t="inlineStr">
        <is>
          <t>임원ㆍ주요주주특정증권등소유상황보고서</t>
        </is>
      </c>
      <c r="F1156" s="3" t="inlineStr">
        <is>
          <t>정인희</t>
        </is>
      </c>
      <c r="G1156" s="2" t="inlineStr">
        <is>
          <t>20260202000752</t>
        </is>
      </c>
      <c r="H1156" s="8">
        <f>HYPERLINK("https://dart.fss.or.kr/dsaf001/main.do?rcpNo=20260202000752", "공시열람")</f>
        <v/>
      </c>
    </row>
    <row r="1157">
      <c r="A1157" s="2" t="inlineStr">
        <is>
          <t>2026-02-02</t>
        </is>
      </c>
      <c r="B1157" s="3" t="inlineStr">
        <is>
          <t>삼성전자</t>
        </is>
      </c>
      <c r="C1157" s="2" t="inlineStr">
        <is>
          <t>코스피</t>
        </is>
      </c>
      <c r="D1157" s="2" t="inlineStr">
        <is>
          <t>005930</t>
        </is>
      </c>
      <c r="E1157" s="3" t="inlineStr">
        <is>
          <t>임원ㆍ주요주주특정증권등소유상황보고서</t>
        </is>
      </c>
      <c r="F1157" s="3" t="inlineStr">
        <is>
          <t>유성종</t>
        </is>
      </c>
      <c r="G1157" s="2" t="inlineStr">
        <is>
          <t>20260202000751</t>
        </is>
      </c>
      <c r="H1157" s="8">
        <f>HYPERLINK("https://dart.fss.or.kr/dsaf001/main.do?rcpNo=20260202000751", "공시열람")</f>
        <v/>
      </c>
    </row>
    <row r="1158">
      <c r="A1158" s="2" t="inlineStr">
        <is>
          <t>2026-02-02</t>
        </is>
      </c>
      <c r="B1158" s="3" t="inlineStr">
        <is>
          <t>삼성전자</t>
        </is>
      </c>
      <c r="C1158" s="2" t="inlineStr">
        <is>
          <t>코스피</t>
        </is>
      </c>
      <c r="D1158" s="2" t="inlineStr">
        <is>
          <t>005930</t>
        </is>
      </c>
      <c r="E1158" s="3" t="inlineStr">
        <is>
          <t>임원ㆍ주요주주특정증권등소유상황보고서</t>
        </is>
      </c>
      <c r="F1158" s="3" t="inlineStr">
        <is>
          <t>최종구</t>
        </is>
      </c>
      <c r="G1158" s="2" t="inlineStr">
        <is>
          <t>20260202000750</t>
        </is>
      </c>
      <c r="H1158" s="8">
        <f>HYPERLINK("https://dart.fss.or.kr/dsaf001/main.do?rcpNo=20260202000750", "공시열람")</f>
        <v/>
      </c>
    </row>
    <row r="1159">
      <c r="A1159" s="2" t="inlineStr">
        <is>
          <t>2026-02-02</t>
        </is>
      </c>
      <c r="B1159" s="3" t="inlineStr">
        <is>
          <t>MH에탄올</t>
        </is>
      </c>
      <c r="C1159" s="2" t="inlineStr">
        <is>
          <t>코스피</t>
        </is>
      </c>
      <c r="D1159" s="2" t="inlineStr">
        <is>
          <t>023150</t>
        </is>
      </c>
      <c r="E1159" s="3" t="inlineStr">
        <is>
          <t>임원ㆍ주요주주특정증권등소유상황보고서</t>
        </is>
      </c>
      <c r="F1159" s="3" t="inlineStr">
        <is>
          <t>권경록</t>
        </is>
      </c>
      <c r="G1159" s="2" t="inlineStr">
        <is>
          <t>20260202000748</t>
        </is>
      </c>
      <c r="H1159" s="8">
        <f>HYPERLINK("https://dart.fss.or.kr/dsaf001/main.do?rcpNo=20260202000748", "공시열람")</f>
        <v/>
      </c>
    </row>
    <row r="1160">
      <c r="A1160" s="2" t="inlineStr">
        <is>
          <t>2026-02-02</t>
        </is>
      </c>
      <c r="B1160" s="3" t="inlineStr">
        <is>
          <t>삼성전자</t>
        </is>
      </c>
      <c r="C1160" s="2" t="inlineStr">
        <is>
          <t>코스피</t>
        </is>
      </c>
      <c r="D1160" s="2" t="inlineStr">
        <is>
          <t>005930</t>
        </is>
      </c>
      <c r="E1160" s="3" t="inlineStr">
        <is>
          <t>임원ㆍ주요주주특정증권등소유상황보고서</t>
        </is>
      </c>
      <c r="F1160" s="3" t="inlineStr">
        <is>
          <t>김용성</t>
        </is>
      </c>
      <c r="G1160" s="2" t="inlineStr">
        <is>
          <t>20260202000747</t>
        </is>
      </c>
      <c r="H1160" s="8">
        <f>HYPERLINK("https://dart.fss.or.kr/dsaf001/main.do?rcpNo=20260202000747", "공시열람")</f>
        <v/>
      </c>
    </row>
    <row r="1161">
      <c r="A1161" s="2" t="inlineStr">
        <is>
          <t>2026-02-02</t>
        </is>
      </c>
      <c r="B1161" s="3" t="inlineStr">
        <is>
          <t>현대자동차</t>
        </is>
      </c>
      <c r="C1161" s="2" t="inlineStr">
        <is>
          <t>코스피</t>
        </is>
      </c>
      <c r="D1161" s="2" t="inlineStr">
        <is>
          <t>005380</t>
        </is>
      </c>
      <c r="E1161" s="3" t="inlineStr">
        <is>
          <t xml:space="preserve">영업(잠정)실적(공정공시)              </t>
        </is>
      </c>
      <c r="F1161" s="3" t="inlineStr">
        <is>
          <t>현대자동차</t>
        </is>
      </c>
      <c r="G1161" s="2" t="inlineStr">
        <is>
          <t>20260202801081</t>
        </is>
      </c>
      <c r="H1161" s="8">
        <f>HYPERLINK("https://dart.fss.or.kr/dsaf001/main.do?rcpNo=20260202801081", "공시열람")</f>
        <v/>
      </c>
    </row>
    <row r="1162">
      <c r="A1162" s="2" t="inlineStr">
        <is>
          <t>2026-02-02</t>
        </is>
      </c>
      <c r="B1162" s="3" t="inlineStr">
        <is>
          <t>삼성전자</t>
        </is>
      </c>
      <c r="C1162" s="2" t="inlineStr">
        <is>
          <t>코스피</t>
        </is>
      </c>
      <c r="D1162" s="2" t="inlineStr">
        <is>
          <t>005930</t>
        </is>
      </c>
      <c r="E1162" s="3" t="inlineStr">
        <is>
          <t>임원ㆍ주요주주특정증권등소유상황보고서</t>
        </is>
      </c>
      <c r="F1162" s="3" t="inlineStr">
        <is>
          <t>장재훈</t>
        </is>
      </c>
      <c r="G1162" s="2" t="inlineStr">
        <is>
          <t>20260202000745</t>
        </is>
      </c>
      <c r="H1162" s="8">
        <f>HYPERLINK("https://dart.fss.or.kr/dsaf001/main.do?rcpNo=20260202000745", "공시열람")</f>
        <v/>
      </c>
    </row>
    <row r="1163">
      <c r="A1163" s="2" t="inlineStr">
        <is>
          <t>2026-02-02</t>
        </is>
      </c>
      <c r="B1163" s="3" t="inlineStr">
        <is>
          <t>삼성전자</t>
        </is>
      </c>
      <c r="C1163" s="2" t="inlineStr">
        <is>
          <t>코스피</t>
        </is>
      </c>
      <c r="D1163" s="2" t="inlineStr">
        <is>
          <t>005930</t>
        </is>
      </c>
      <c r="E1163" s="3" t="inlineStr">
        <is>
          <t>임원ㆍ주요주주특정증권등소유상황보고서</t>
        </is>
      </c>
      <c r="F1163" s="3" t="inlineStr">
        <is>
          <t>김용찬</t>
        </is>
      </c>
      <c r="G1163" s="2" t="inlineStr">
        <is>
          <t>20260202000744</t>
        </is>
      </c>
      <c r="H1163" s="8">
        <f>HYPERLINK("https://dart.fss.or.kr/dsaf001/main.do?rcpNo=20260202000744", "공시열람")</f>
        <v/>
      </c>
    </row>
    <row r="1164">
      <c r="A1164" s="2" t="inlineStr">
        <is>
          <t>2026-02-02</t>
        </is>
      </c>
      <c r="B1164" s="3" t="inlineStr">
        <is>
          <t>엘오티베큠</t>
        </is>
      </c>
      <c r="C1164" s="2" t="inlineStr">
        <is>
          <t>코스닥</t>
        </is>
      </c>
      <c r="D1164" s="2" t="inlineStr">
        <is>
          <t>083310</t>
        </is>
      </c>
      <c r="E1164" s="3" t="inlineStr">
        <is>
          <t>신탁계약해지결과보고서</t>
        </is>
      </c>
      <c r="F1164" s="3" t="inlineStr">
        <is>
          <t>엘오티베큠</t>
        </is>
      </c>
      <c r="G1164" s="2" t="inlineStr">
        <is>
          <t>20260202000743</t>
        </is>
      </c>
      <c r="H1164" s="8">
        <f>HYPERLINK("https://dart.fss.or.kr/dsaf001/main.do?rcpNo=20260202000743", "공시열람")</f>
        <v/>
      </c>
    </row>
    <row r="1165">
      <c r="A1165" s="2" t="inlineStr">
        <is>
          <t>2026-02-02</t>
        </is>
      </c>
      <c r="B1165" s="3" t="inlineStr">
        <is>
          <t>삼성전자</t>
        </is>
      </c>
      <c r="C1165" s="2" t="inlineStr">
        <is>
          <t>코스피</t>
        </is>
      </c>
      <c r="D1165" s="2" t="inlineStr">
        <is>
          <t>005930</t>
        </is>
      </c>
      <c r="E1165" s="3" t="inlineStr">
        <is>
          <t>임원ㆍ주요주주특정증권등소유상황보고서</t>
        </is>
      </c>
      <c r="F1165" s="3" t="inlineStr">
        <is>
          <t>김장경</t>
        </is>
      </c>
      <c r="G1165" s="2" t="inlineStr">
        <is>
          <t>20260202000742</t>
        </is>
      </c>
      <c r="H1165" s="8">
        <f>HYPERLINK("https://dart.fss.or.kr/dsaf001/main.do?rcpNo=20260202000742", "공시열람")</f>
        <v/>
      </c>
    </row>
    <row r="1166">
      <c r="A1166" s="2" t="inlineStr">
        <is>
          <t>2026-02-02</t>
        </is>
      </c>
      <c r="B1166" s="3" t="inlineStr">
        <is>
          <t>삼성전자</t>
        </is>
      </c>
      <c r="C1166" s="2" t="inlineStr">
        <is>
          <t>코스피</t>
        </is>
      </c>
      <c r="D1166" s="2" t="inlineStr">
        <is>
          <t>005930</t>
        </is>
      </c>
      <c r="E1166" s="3" t="inlineStr">
        <is>
          <t>임원ㆍ주요주주특정증권등소유상황보고서</t>
        </is>
      </c>
      <c r="F1166" s="3" t="inlineStr">
        <is>
          <t>원석준</t>
        </is>
      </c>
      <c r="G1166" s="2" t="inlineStr">
        <is>
          <t>20260202000740</t>
        </is>
      </c>
      <c r="H1166" s="8">
        <f>HYPERLINK("https://dart.fss.or.kr/dsaf001/main.do?rcpNo=20260202000740", "공시열람")</f>
        <v/>
      </c>
    </row>
    <row r="1167">
      <c r="A1167" s="2" t="inlineStr">
        <is>
          <t>2026-02-02</t>
        </is>
      </c>
      <c r="B1167" s="3" t="inlineStr">
        <is>
          <t>포스코엠텍</t>
        </is>
      </c>
      <c r="C1167" s="2" t="inlineStr">
        <is>
          <t>코스닥</t>
        </is>
      </c>
      <c r="D1167" s="2" t="inlineStr">
        <is>
          <t>009520</t>
        </is>
      </c>
      <c r="E1167" s="3" t="inlineStr">
        <is>
          <t xml:space="preserve">공정거래자율준수프로그램운영현황              </t>
        </is>
      </c>
      <c r="F1167" s="3" t="inlineStr">
        <is>
          <t>포스코엠텍</t>
        </is>
      </c>
      <c r="G1167" s="2" t="inlineStr">
        <is>
          <t>20260202901149</t>
        </is>
      </c>
      <c r="H1167" s="8">
        <f>HYPERLINK("https://dart.fss.or.kr/dsaf001/main.do?rcpNo=20260202901149", "공시열람")</f>
        <v/>
      </c>
    </row>
    <row r="1168">
      <c r="A1168" s="2" t="inlineStr">
        <is>
          <t>2026-02-02</t>
        </is>
      </c>
      <c r="B1168" s="3" t="inlineStr">
        <is>
          <t>삼성전자</t>
        </is>
      </c>
      <c r="C1168" s="2" t="inlineStr">
        <is>
          <t>코스피</t>
        </is>
      </c>
      <c r="D1168" s="2" t="inlineStr">
        <is>
          <t>005930</t>
        </is>
      </c>
      <c r="E1168" s="3" t="inlineStr">
        <is>
          <t>임원ㆍ주요주주특정증권등소유상황보고서</t>
        </is>
      </c>
      <c r="F1168" s="3" t="inlineStr">
        <is>
          <t>이한관</t>
        </is>
      </c>
      <c r="G1168" s="2" t="inlineStr">
        <is>
          <t>20260202000739</t>
        </is>
      </c>
      <c r="H1168" s="8">
        <f>HYPERLINK("https://dart.fss.or.kr/dsaf001/main.do?rcpNo=20260202000739", "공시열람")</f>
        <v/>
      </c>
    </row>
    <row r="1169">
      <c r="A1169" s="2" t="inlineStr">
        <is>
          <t>2026-02-02</t>
        </is>
      </c>
      <c r="B1169" s="3" t="inlineStr">
        <is>
          <t>삼성전자</t>
        </is>
      </c>
      <c r="C1169" s="2" t="inlineStr">
        <is>
          <t>코스피</t>
        </is>
      </c>
      <c r="D1169" s="2" t="inlineStr">
        <is>
          <t>005930</t>
        </is>
      </c>
      <c r="E1169" s="3" t="inlineStr">
        <is>
          <t>임원ㆍ주요주주특정증권등소유상황보고서</t>
        </is>
      </c>
      <c r="F1169" s="3" t="inlineStr">
        <is>
          <t>김동욱</t>
        </is>
      </c>
      <c r="G1169" s="2" t="inlineStr">
        <is>
          <t>20260202000738</t>
        </is>
      </c>
      <c r="H1169" s="8">
        <f>HYPERLINK("https://dart.fss.or.kr/dsaf001/main.do?rcpNo=20260202000738", "공시열람")</f>
        <v/>
      </c>
    </row>
    <row r="1170">
      <c r="A1170" s="2" t="inlineStr">
        <is>
          <t>2026-02-02</t>
        </is>
      </c>
      <c r="B1170" s="3" t="inlineStr">
        <is>
          <t>삼성전자</t>
        </is>
      </c>
      <c r="C1170" s="2" t="inlineStr">
        <is>
          <t>코스피</t>
        </is>
      </c>
      <c r="D1170" s="2" t="inlineStr">
        <is>
          <t>005930</t>
        </is>
      </c>
      <c r="E1170" s="3" t="inlineStr">
        <is>
          <t>임원ㆍ주요주주특정증권등소유상황보고서</t>
        </is>
      </c>
      <c r="F1170" s="3" t="inlineStr">
        <is>
          <t>구자흠</t>
        </is>
      </c>
      <c r="G1170" s="2" t="inlineStr">
        <is>
          <t>20260202000737</t>
        </is>
      </c>
      <c r="H1170" s="8">
        <f>HYPERLINK("https://dart.fss.or.kr/dsaf001/main.do?rcpNo=20260202000737", "공시열람")</f>
        <v/>
      </c>
    </row>
    <row r="1171">
      <c r="A1171" s="2" t="inlineStr">
        <is>
          <t>2026-02-02</t>
        </is>
      </c>
      <c r="B1171" s="3" t="inlineStr">
        <is>
          <t>삼성전자</t>
        </is>
      </c>
      <c r="C1171" s="2" t="inlineStr">
        <is>
          <t>코스피</t>
        </is>
      </c>
      <c r="D1171" s="2" t="inlineStr">
        <is>
          <t>005930</t>
        </is>
      </c>
      <c r="E1171" s="3" t="inlineStr">
        <is>
          <t>임원ㆍ주요주주특정증권등소유상황보고서</t>
        </is>
      </c>
      <c r="F1171" s="3" t="inlineStr">
        <is>
          <t>박태상</t>
        </is>
      </c>
      <c r="G1171" s="2" t="inlineStr">
        <is>
          <t>20260202000736</t>
        </is>
      </c>
      <c r="H1171" s="8">
        <f>HYPERLINK("https://dart.fss.or.kr/dsaf001/main.do?rcpNo=20260202000736", "공시열람")</f>
        <v/>
      </c>
    </row>
    <row r="1172">
      <c r="A1172" s="2" t="inlineStr">
        <is>
          <t>2026-02-02</t>
        </is>
      </c>
      <c r="B1172" s="3" t="inlineStr">
        <is>
          <t>삼성전자</t>
        </is>
      </c>
      <c r="C1172" s="2" t="inlineStr">
        <is>
          <t>코스피</t>
        </is>
      </c>
      <c r="D1172" s="2" t="inlineStr">
        <is>
          <t>005930</t>
        </is>
      </c>
      <c r="E1172" s="3" t="inlineStr">
        <is>
          <t>임원ㆍ주요주주특정증권등소유상황보고서</t>
        </is>
      </c>
      <c r="F1172" s="3" t="inlineStr">
        <is>
          <t>김영대</t>
        </is>
      </c>
      <c r="G1172" s="2" t="inlineStr">
        <is>
          <t>20260202000735</t>
        </is>
      </c>
      <c r="H1172" s="8">
        <f>HYPERLINK("https://dart.fss.or.kr/dsaf001/main.do?rcpNo=20260202000735", "공시열람")</f>
        <v/>
      </c>
    </row>
    <row r="1173">
      <c r="A1173" s="2" t="inlineStr">
        <is>
          <t>2026-02-02</t>
        </is>
      </c>
      <c r="B1173" s="3" t="inlineStr">
        <is>
          <t>삼성전자</t>
        </is>
      </c>
      <c r="C1173" s="2" t="inlineStr">
        <is>
          <t>코스피</t>
        </is>
      </c>
      <c r="D1173" s="2" t="inlineStr">
        <is>
          <t>005930</t>
        </is>
      </c>
      <c r="E1173" s="3" t="inlineStr">
        <is>
          <t>임원ㆍ주요주주특정증권등소유상황보고서</t>
        </is>
      </c>
      <c r="F1173" s="3" t="inlineStr">
        <is>
          <t>전성훈</t>
        </is>
      </c>
      <c r="G1173" s="2" t="inlineStr">
        <is>
          <t>20260202000734</t>
        </is>
      </c>
      <c r="H1173" s="8">
        <f>HYPERLINK("https://dart.fss.or.kr/dsaf001/main.do?rcpNo=20260202000734", "공시열람")</f>
        <v/>
      </c>
    </row>
    <row r="1174">
      <c r="A1174" s="2" t="inlineStr">
        <is>
          <t>2026-02-02</t>
        </is>
      </c>
      <c r="B1174" s="3" t="inlineStr">
        <is>
          <t>삼성전자</t>
        </is>
      </c>
      <c r="C1174" s="2" t="inlineStr">
        <is>
          <t>코스피</t>
        </is>
      </c>
      <c r="D1174" s="2" t="inlineStr">
        <is>
          <t>005930</t>
        </is>
      </c>
      <c r="E1174" s="3" t="inlineStr">
        <is>
          <t>임원ㆍ주요주주특정증권등소유상황보고서</t>
        </is>
      </c>
      <c r="F1174" s="3" t="inlineStr">
        <is>
          <t>장윤희</t>
        </is>
      </c>
      <c r="G1174" s="2" t="inlineStr">
        <is>
          <t>20260202000733</t>
        </is>
      </c>
      <c r="H1174" s="8">
        <f>HYPERLINK("https://dart.fss.or.kr/dsaf001/main.do?rcpNo=20260202000733", "공시열람")</f>
        <v/>
      </c>
    </row>
    <row r="1175">
      <c r="A1175" s="2" t="inlineStr">
        <is>
          <t>2026-02-02</t>
        </is>
      </c>
      <c r="B1175" s="3" t="inlineStr">
        <is>
          <t>삼성전자</t>
        </is>
      </c>
      <c r="C1175" s="2" t="inlineStr">
        <is>
          <t>코스피</t>
        </is>
      </c>
      <c r="D1175" s="2" t="inlineStr">
        <is>
          <t>005930</t>
        </is>
      </c>
      <c r="E1175" s="3" t="inlineStr">
        <is>
          <t>임원ㆍ주요주주특정증권등소유상황보고서</t>
        </is>
      </c>
      <c r="F1175" s="3" t="inlineStr">
        <is>
          <t>박재식</t>
        </is>
      </c>
      <c r="G1175" s="2" t="inlineStr">
        <is>
          <t>20260202000732</t>
        </is>
      </c>
      <c r="H1175" s="8">
        <f>HYPERLINK("https://dart.fss.or.kr/dsaf001/main.do?rcpNo=20260202000732", "공시열람")</f>
        <v/>
      </c>
    </row>
    <row r="1176">
      <c r="A1176" s="2" t="inlineStr">
        <is>
          <t>2026-02-02</t>
        </is>
      </c>
      <c r="B1176" s="3" t="inlineStr">
        <is>
          <t>삼성전자</t>
        </is>
      </c>
      <c r="C1176" s="2" t="inlineStr">
        <is>
          <t>코스피</t>
        </is>
      </c>
      <c r="D1176" s="2" t="inlineStr">
        <is>
          <t>005930</t>
        </is>
      </c>
      <c r="E1176" s="3" t="inlineStr">
        <is>
          <t>임원ㆍ주요주주특정증권등소유상황보고서</t>
        </is>
      </c>
      <c r="F1176" s="3" t="inlineStr">
        <is>
          <t>우현수</t>
        </is>
      </c>
      <c r="G1176" s="2" t="inlineStr">
        <is>
          <t>20260202000731</t>
        </is>
      </c>
      <c r="H1176" s="8">
        <f>HYPERLINK("https://dart.fss.or.kr/dsaf001/main.do?rcpNo=20260202000731", "공시열람")</f>
        <v/>
      </c>
    </row>
    <row r="1177">
      <c r="A1177" s="2" t="inlineStr">
        <is>
          <t>2026-02-02</t>
        </is>
      </c>
      <c r="B1177" s="3" t="inlineStr">
        <is>
          <t>삼성전자</t>
        </is>
      </c>
      <c r="C1177" s="2" t="inlineStr">
        <is>
          <t>코스피</t>
        </is>
      </c>
      <c r="D1177" s="2" t="inlineStr">
        <is>
          <t>005930</t>
        </is>
      </c>
      <c r="E1177" s="3" t="inlineStr">
        <is>
          <t>임원ㆍ주요주주특정증권등소유상황보고서</t>
        </is>
      </c>
      <c r="F1177" s="3" t="inlineStr">
        <is>
          <t>이병국</t>
        </is>
      </c>
      <c r="G1177" s="2" t="inlineStr">
        <is>
          <t>20260202000730</t>
        </is>
      </c>
      <c r="H1177" s="8">
        <f>HYPERLINK("https://dart.fss.or.kr/dsaf001/main.do?rcpNo=20260202000730", "공시열람")</f>
        <v/>
      </c>
    </row>
    <row r="1178">
      <c r="A1178" s="2" t="inlineStr">
        <is>
          <t>2026-02-02</t>
        </is>
      </c>
      <c r="B1178" s="3" t="inlineStr">
        <is>
          <t>삼성전자</t>
        </is>
      </c>
      <c r="C1178" s="2" t="inlineStr">
        <is>
          <t>코스피</t>
        </is>
      </c>
      <c r="D1178" s="2" t="inlineStr">
        <is>
          <t>005930</t>
        </is>
      </c>
      <c r="E1178" s="3" t="inlineStr">
        <is>
          <t>임원ㆍ주요주주특정증권등소유상황보고서</t>
        </is>
      </c>
      <c r="F1178" s="3" t="inlineStr">
        <is>
          <t>편정우</t>
        </is>
      </c>
      <c r="G1178" s="2" t="inlineStr">
        <is>
          <t>20260202000729</t>
        </is>
      </c>
      <c r="H1178" s="8">
        <f>HYPERLINK("https://dart.fss.or.kr/dsaf001/main.do?rcpNo=20260202000729", "공시열람")</f>
        <v/>
      </c>
    </row>
    <row r="1179">
      <c r="A1179" s="2" t="inlineStr">
        <is>
          <t>2026-02-02</t>
        </is>
      </c>
      <c r="B1179" s="3" t="inlineStr">
        <is>
          <t>삼성전자</t>
        </is>
      </c>
      <c r="C1179" s="2" t="inlineStr">
        <is>
          <t>코스피</t>
        </is>
      </c>
      <c r="D1179" s="2" t="inlineStr">
        <is>
          <t>005930</t>
        </is>
      </c>
      <c r="E1179" s="3" t="inlineStr">
        <is>
          <t>임원ㆍ주요주주특정증권등소유상황보고서</t>
        </is>
      </c>
      <c r="F1179" s="3" t="inlineStr">
        <is>
          <t>김동수</t>
        </is>
      </c>
      <c r="G1179" s="2" t="inlineStr">
        <is>
          <t>20260202000727</t>
        </is>
      </c>
      <c r="H1179" s="8">
        <f>HYPERLINK("https://dart.fss.or.kr/dsaf001/main.do?rcpNo=20260202000727", "공시열람")</f>
        <v/>
      </c>
    </row>
    <row r="1180">
      <c r="A1180" s="2" t="inlineStr">
        <is>
          <t>2026-02-02</t>
        </is>
      </c>
      <c r="B1180" s="3" t="inlineStr">
        <is>
          <t>삼성전자</t>
        </is>
      </c>
      <c r="C1180" s="2" t="inlineStr">
        <is>
          <t>코스피</t>
        </is>
      </c>
      <c r="D1180" s="2" t="inlineStr">
        <is>
          <t>005930</t>
        </is>
      </c>
      <c r="E1180" s="3" t="inlineStr">
        <is>
          <t>임원ㆍ주요주주특정증권등소유상황보고서</t>
        </is>
      </c>
      <c r="F1180" s="3" t="inlineStr">
        <is>
          <t>이근호</t>
        </is>
      </c>
      <c r="G1180" s="2" t="inlineStr">
        <is>
          <t>20260202000725</t>
        </is>
      </c>
      <c r="H1180" s="8">
        <f>HYPERLINK("https://dart.fss.or.kr/dsaf001/main.do?rcpNo=20260202000725", "공시열람")</f>
        <v/>
      </c>
    </row>
    <row r="1181">
      <c r="A1181" s="2" t="inlineStr">
        <is>
          <t>2026-02-02</t>
        </is>
      </c>
      <c r="B1181" s="3" t="inlineStr">
        <is>
          <t>삼성전자</t>
        </is>
      </c>
      <c r="C1181" s="2" t="inlineStr">
        <is>
          <t>코스피</t>
        </is>
      </c>
      <c r="D1181" s="2" t="inlineStr">
        <is>
          <t>005930</t>
        </is>
      </c>
      <c r="E1181" s="3" t="inlineStr">
        <is>
          <t>임원ㆍ주요주주특정증권등소유상황보고서</t>
        </is>
      </c>
      <c r="F1181" s="3" t="inlineStr">
        <is>
          <t>양걸</t>
        </is>
      </c>
      <c r="G1181" s="2" t="inlineStr">
        <is>
          <t>20260202000724</t>
        </is>
      </c>
      <c r="H1181" s="8">
        <f>HYPERLINK("https://dart.fss.or.kr/dsaf001/main.do?rcpNo=20260202000724", "공시열람")</f>
        <v/>
      </c>
    </row>
    <row r="1182">
      <c r="A1182" s="2" t="inlineStr">
        <is>
          <t>2026-02-02</t>
        </is>
      </c>
      <c r="B1182" s="3" t="inlineStr">
        <is>
          <t>삼성전자</t>
        </is>
      </c>
      <c r="C1182" s="2" t="inlineStr">
        <is>
          <t>코스피</t>
        </is>
      </c>
      <c r="D1182" s="2" t="inlineStr">
        <is>
          <t>005930</t>
        </is>
      </c>
      <c r="E1182" s="3" t="inlineStr">
        <is>
          <t>임원ㆍ주요주주특정증권등소유상황보고서</t>
        </is>
      </c>
      <c r="F1182" s="3" t="inlineStr">
        <is>
          <t>이상직</t>
        </is>
      </c>
      <c r="G1182" s="2" t="inlineStr">
        <is>
          <t>20260202000723</t>
        </is>
      </c>
      <c r="H1182" s="8">
        <f>HYPERLINK("https://dart.fss.or.kr/dsaf001/main.do?rcpNo=20260202000723", "공시열람")</f>
        <v/>
      </c>
    </row>
    <row r="1183">
      <c r="A1183" s="2" t="inlineStr">
        <is>
          <t>2026-02-02</t>
        </is>
      </c>
      <c r="B1183" s="3" t="inlineStr">
        <is>
          <t>삼성전자</t>
        </is>
      </c>
      <c r="C1183" s="2" t="inlineStr">
        <is>
          <t>코스피</t>
        </is>
      </c>
      <c r="D1183" s="2" t="inlineStr">
        <is>
          <t>005930</t>
        </is>
      </c>
      <c r="E1183" s="3" t="inlineStr">
        <is>
          <t>임원ㆍ주요주주특정증권등소유상황보고서</t>
        </is>
      </c>
      <c r="F1183" s="3" t="inlineStr">
        <is>
          <t>이우용</t>
        </is>
      </c>
      <c r="G1183" s="2" t="inlineStr">
        <is>
          <t>20260202000722</t>
        </is>
      </c>
      <c r="H1183" s="8">
        <f>HYPERLINK("https://dart.fss.or.kr/dsaf001/main.do?rcpNo=20260202000722", "공시열람")</f>
        <v/>
      </c>
    </row>
    <row r="1184">
      <c r="A1184" s="2" t="inlineStr">
        <is>
          <t>2026-02-02</t>
        </is>
      </c>
      <c r="B1184" s="3" t="inlineStr">
        <is>
          <t>삼성전자</t>
        </is>
      </c>
      <c r="C1184" s="2" t="inlineStr">
        <is>
          <t>코스피</t>
        </is>
      </c>
      <c r="D1184" s="2" t="inlineStr">
        <is>
          <t>005930</t>
        </is>
      </c>
      <c r="E1184" s="3" t="inlineStr">
        <is>
          <t>임원ㆍ주요주주특정증권등소유상황보고서</t>
        </is>
      </c>
      <c r="F1184" s="3" t="inlineStr">
        <is>
          <t>우준명</t>
        </is>
      </c>
      <c r="G1184" s="2" t="inlineStr">
        <is>
          <t>20260202000721</t>
        </is>
      </c>
      <c r="H1184" s="8">
        <f>HYPERLINK("https://dart.fss.or.kr/dsaf001/main.do?rcpNo=20260202000721", "공시열람")</f>
        <v/>
      </c>
    </row>
    <row r="1185">
      <c r="A1185" s="2" t="inlineStr">
        <is>
          <t>2026-02-02</t>
        </is>
      </c>
      <c r="B1185" s="3" t="inlineStr">
        <is>
          <t>삼성전자</t>
        </is>
      </c>
      <c r="C1185" s="2" t="inlineStr">
        <is>
          <t>코스피</t>
        </is>
      </c>
      <c r="D1185" s="2" t="inlineStr">
        <is>
          <t>005930</t>
        </is>
      </c>
      <c r="E1185" s="3" t="inlineStr">
        <is>
          <t>임원ㆍ주요주주특정증권등소유상황보고서</t>
        </is>
      </c>
      <c r="F1185" s="3" t="inlineStr">
        <is>
          <t>최광보</t>
        </is>
      </c>
      <c r="G1185" s="2" t="inlineStr">
        <is>
          <t>20260202000720</t>
        </is>
      </c>
      <c r="H1185" s="8">
        <f>HYPERLINK("https://dart.fss.or.kr/dsaf001/main.do?rcpNo=20260202000720", "공시열람")</f>
        <v/>
      </c>
    </row>
    <row r="1186">
      <c r="A1186" s="2" t="inlineStr">
        <is>
          <t>2026-02-02</t>
        </is>
      </c>
      <c r="B1186" s="3" t="inlineStr">
        <is>
          <t>삼성전자</t>
        </is>
      </c>
      <c r="C1186" s="2" t="inlineStr">
        <is>
          <t>코스피</t>
        </is>
      </c>
      <c r="D1186" s="2" t="inlineStr">
        <is>
          <t>005930</t>
        </is>
      </c>
      <c r="E1186" s="3" t="inlineStr">
        <is>
          <t>임원ㆍ주요주주특정증권등소유상황보고서</t>
        </is>
      </c>
      <c r="F1186" s="3" t="inlineStr">
        <is>
          <t>김진철</t>
        </is>
      </c>
      <c r="G1186" s="2" t="inlineStr">
        <is>
          <t>20260202000718</t>
        </is>
      </c>
      <c r="H1186" s="8">
        <f>HYPERLINK("https://dart.fss.or.kr/dsaf001/main.do?rcpNo=20260202000718", "공시열람")</f>
        <v/>
      </c>
    </row>
    <row r="1187">
      <c r="A1187" s="2" t="inlineStr">
        <is>
          <t>2026-02-02</t>
        </is>
      </c>
      <c r="B1187" s="3" t="inlineStr">
        <is>
          <t>링네트</t>
        </is>
      </c>
      <c r="C1187" s="2" t="inlineStr">
        <is>
          <t>코스닥</t>
        </is>
      </c>
      <c r="D1187" s="2" t="inlineStr">
        <is>
          <t>042500</t>
        </is>
      </c>
      <c r="E1187" s="3" t="inlineStr">
        <is>
          <t>임원ㆍ주요주주특정증권등소유상황보고서</t>
        </is>
      </c>
      <c r="F1187" s="3" t="inlineStr">
        <is>
          <t>강동수</t>
        </is>
      </c>
      <c r="G1187" s="2" t="inlineStr">
        <is>
          <t>20260202000717</t>
        </is>
      </c>
      <c r="H1187" s="8">
        <f>HYPERLINK("https://dart.fss.or.kr/dsaf001/main.do?rcpNo=20260202000717", "공시열람")</f>
        <v/>
      </c>
    </row>
    <row r="1188">
      <c r="A1188" s="2" t="inlineStr">
        <is>
          <t>2026-02-02</t>
        </is>
      </c>
      <c r="B1188" s="3" t="inlineStr">
        <is>
          <t>삼성전자</t>
        </is>
      </c>
      <c r="C1188" s="2" t="inlineStr">
        <is>
          <t>코스피</t>
        </is>
      </c>
      <c r="D1188" s="2" t="inlineStr">
        <is>
          <t>005930</t>
        </is>
      </c>
      <c r="E1188" s="3" t="inlineStr">
        <is>
          <t>임원ㆍ주요주주특정증권등소유상황보고서</t>
        </is>
      </c>
      <c r="F1188" s="3" t="inlineStr">
        <is>
          <t>이규원</t>
        </is>
      </c>
      <c r="G1188" s="2" t="inlineStr">
        <is>
          <t>20260202000716</t>
        </is>
      </c>
      <c r="H1188" s="8">
        <f>HYPERLINK("https://dart.fss.or.kr/dsaf001/main.do?rcpNo=20260202000716", "공시열람")</f>
        <v/>
      </c>
    </row>
    <row r="1189">
      <c r="A1189" s="2" t="inlineStr">
        <is>
          <t>2026-02-02</t>
        </is>
      </c>
      <c r="B1189" s="3" t="inlineStr">
        <is>
          <t>삼성전자</t>
        </is>
      </c>
      <c r="C1189" s="2" t="inlineStr">
        <is>
          <t>코스피</t>
        </is>
      </c>
      <c r="D1189" s="2" t="inlineStr">
        <is>
          <t>005930</t>
        </is>
      </c>
      <c r="E1189" s="3" t="inlineStr">
        <is>
          <t>임원ㆍ주요주주특정증권등소유상황보고서</t>
        </is>
      </c>
      <c r="F1189" s="3" t="inlineStr">
        <is>
          <t>안성준</t>
        </is>
      </c>
      <c r="G1189" s="2" t="inlineStr">
        <is>
          <t>20260202000715</t>
        </is>
      </c>
      <c r="H1189" s="8">
        <f>HYPERLINK("https://dart.fss.or.kr/dsaf001/main.do?rcpNo=20260202000715", "공시열람")</f>
        <v/>
      </c>
    </row>
    <row r="1190">
      <c r="A1190" s="2" t="inlineStr">
        <is>
          <t>2026-02-02</t>
        </is>
      </c>
      <c r="B1190" s="3" t="inlineStr">
        <is>
          <t>삼성전자</t>
        </is>
      </c>
      <c r="C1190" s="2" t="inlineStr">
        <is>
          <t>코스피</t>
        </is>
      </c>
      <c r="D1190" s="2" t="inlineStr">
        <is>
          <t>005930</t>
        </is>
      </c>
      <c r="E1190" s="3" t="inlineStr">
        <is>
          <t>임원ㆍ주요주주특정증권등소유상황보고서</t>
        </is>
      </c>
      <c r="F1190" s="3" t="inlineStr">
        <is>
          <t>조시정</t>
        </is>
      </c>
      <c r="G1190" s="2" t="inlineStr">
        <is>
          <t>20260202000712</t>
        </is>
      </c>
      <c r="H1190" s="8">
        <f>HYPERLINK("https://dart.fss.or.kr/dsaf001/main.do?rcpNo=20260202000712", "공시열람")</f>
        <v/>
      </c>
    </row>
    <row r="1191">
      <c r="A1191" s="2" t="inlineStr">
        <is>
          <t>2026-02-02</t>
        </is>
      </c>
      <c r="B1191" s="3" t="inlineStr">
        <is>
          <t>삼성전자</t>
        </is>
      </c>
      <c r="C1191" s="2" t="inlineStr">
        <is>
          <t>코스피</t>
        </is>
      </c>
      <c r="D1191" s="2" t="inlineStr">
        <is>
          <t>005930</t>
        </is>
      </c>
      <c r="E1191" s="3" t="inlineStr">
        <is>
          <t>임원ㆍ주요주주특정증권등소유상황보고서</t>
        </is>
      </c>
      <c r="F1191" s="3" t="inlineStr">
        <is>
          <t>오정환</t>
        </is>
      </c>
      <c r="G1191" s="2" t="inlineStr">
        <is>
          <t>20260202000711</t>
        </is>
      </c>
      <c r="H1191" s="8">
        <f>HYPERLINK("https://dart.fss.or.kr/dsaf001/main.do?rcpNo=20260202000711", "공시열람")</f>
        <v/>
      </c>
    </row>
    <row r="1192">
      <c r="A1192" s="2" t="inlineStr">
        <is>
          <t>2026-02-02</t>
        </is>
      </c>
      <c r="B1192" s="3" t="inlineStr">
        <is>
          <t>삼성전자</t>
        </is>
      </c>
      <c r="C1192" s="2" t="inlineStr">
        <is>
          <t>코스피</t>
        </is>
      </c>
      <c r="D1192" s="2" t="inlineStr">
        <is>
          <t>005930</t>
        </is>
      </c>
      <c r="E1192" s="3" t="inlineStr">
        <is>
          <t>임원ㆍ주요주주특정증권등소유상황보고서</t>
        </is>
      </c>
      <c r="F1192" s="3" t="inlineStr">
        <is>
          <t>천기철</t>
        </is>
      </c>
      <c r="G1192" s="2" t="inlineStr">
        <is>
          <t>20260202000710</t>
        </is>
      </c>
      <c r="H1192" s="8">
        <f>HYPERLINK("https://dart.fss.or.kr/dsaf001/main.do?rcpNo=20260202000710", "공시열람")</f>
        <v/>
      </c>
    </row>
    <row r="1193">
      <c r="A1193" s="2" t="inlineStr">
        <is>
          <t>2026-02-02</t>
        </is>
      </c>
      <c r="B1193" s="3" t="inlineStr">
        <is>
          <t>케이사인</t>
        </is>
      </c>
      <c r="C1193" s="2" t="inlineStr">
        <is>
          <t>코스닥</t>
        </is>
      </c>
      <c r="D1193" s="2" t="inlineStr">
        <is>
          <t>192250</t>
        </is>
      </c>
      <c r="E1193" s="3" t="inlineStr">
        <is>
          <t xml:space="preserve">매출액또는손익구조30%(대규모법인은15%)이상변동              </t>
        </is>
      </c>
      <c r="F1193" s="3" t="inlineStr">
        <is>
          <t>케이사인</t>
        </is>
      </c>
      <c r="G1193" s="2" t="inlineStr">
        <is>
          <t>20260202901052</t>
        </is>
      </c>
      <c r="H1193" s="8">
        <f>HYPERLINK("https://dart.fss.or.kr/dsaf001/main.do?rcpNo=20260202901052", "공시열람")</f>
        <v/>
      </c>
    </row>
    <row r="1194">
      <c r="A1194" s="2" t="inlineStr">
        <is>
          <t>2026-02-02</t>
        </is>
      </c>
      <c r="B1194" s="3" t="inlineStr">
        <is>
          <t>삼성전자</t>
        </is>
      </c>
      <c r="C1194" s="2" t="inlineStr">
        <is>
          <t>코스피</t>
        </is>
      </c>
      <c r="D1194" s="2" t="inlineStr">
        <is>
          <t>005930</t>
        </is>
      </c>
      <c r="E1194" s="3" t="inlineStr">
        <is>
          <t>임원ㆍ주요주주특정증권등소유상황보고서</t>
        </is>
      </c>
      <c r="F1194" s="3" t="inlineStr">
        <is>
          <t>엄대현</t>
        </is>
      </c>
      <c r="G1194" s="2" t="inlineStr">
        <is>
          <t>20260202000709</t>
        </is>
      </c>
      <c r="H1194" s="8">
        <f>HYPERLINK("https://dart.fss.or.kr/dsaf001/main.do?rcpNo=20260202000709", "공시열람")</f>
        <v/>
      </c>
    </row>
    <row r="1195">
      <c r="A1195" s="2" t="inlineStr">
        <is>
          <t>2026-02-02</t>
        </is>
      </c>
      <c r="B1195" s="3" t="inlineStr">
        <is>
          <t>삼성전자</t>
        </is>
      </c>
      <c r="C1195" s="2" t="inlineStr">
        <is>
          <t>코스피</t>
        </is>
      </c>
      <c r="D1195" s="2" t="inlineStr">
        <is>
          <t>005930</t>
        </is>
      </c>
      <c r="E1195" s="3" t="inlineStr">
        <is>
          <t>임원ㆍ주요주주특정증권등소유상황보고서</t>
        </is>
      </c>
      <c r="F1195" s="3" t="inlineStr">
        <is>
          <t>조근수</t>
        </is>
      </c>
      <c r="G1195" s="2" t="inlineStr">
        <is>
          <t>20260202000708</t>
        </is>
      </c>
      <c r="H1195" s="8">
        <f>HYPERLINK("https://dart.fss.or.kr/dsaf001/main.do?rcpNo=20260202000708", "공시열람")</f>
        <v/>
      </c>
    </row>
    <row r="1196">
      <c r="A1196" s="2" t="inlineStr">
        <is>
          <t>2026-02-02</t>
        </is>
      </c>
      <c r="B1196" s="3" t="inlineStr">
        <is>
          <t>삼성전자</t>
        </is>
      </c>
      <c r="C1196" s="2" t="inlineStr">
        <is>
          <t>코스피</t>
        </is>
      </c>
      <c r="D1196" s="2" t="inlineStr">
        <is>
          <t>005930</t>
        </is>
      </c>
      <c r="E1196" s="3" t="inlineStr">
        <is>
          <t>임원ㆍ주요주주특정증권등소유상황보고서</t>
        </is>
      </c>
      <c r="F1196" s="3" t="inlineStr">
        <is>
          <t>홍승완</t>
        </is>
      </c>
      <c r="G1196" s="2" t="inlineStr">
        <is>
          <t>20260202000707</t>
        </is>
      </c>
      <c r="H1196" s="8">
        <f>HYPERLINK("https://dart.fss.or.kr/dsaf001/main.do?rcpNo=20260202000707", "공시열람")</f>
        <v/>
      </c>
    </row>
    <row r="1197">
      <c r="A1197" s="2" t="inlineStr">
        <is>
          <t>2026-02-02</t>
        </is>
      </c>
      <c r="B1197" s="3" t="inlineStr">
        <is>
          <t>삼성전자</t>
        </is>
      </c>
      <c r="C1197" s="2" t="inlineStr">
        <is>
          <t>코스피</t>
        </is>
      </c>
      <c r="D1197" s="2" t="inlineStr">
        <is>
          <t>005930</t>
        </is>
      </c>
      <c r="E1197" s="3" t="inlineStr">
        <is>
          <t>임원ㆍ주요주주특정증권등소유상황보고서</t>
        </is>
      </c>
      <c r="F1197" s="3" t="inlineStr">
        <is>
          <t>임윤모</t>
        </is>
      </c>
      <c r="G1197" s="2" t="inlineStr">
        <is>
          <t>20260202000706</t>
        </is>
      </c>
      <c r="H1197" s="8">
        <f>HYPERLINK("https://dart.fss.or.kr/dsaf001/main.do?rcpNo=20260202000706", "공시열람")</f>
        <v/>
      </c>
    </row>
    <row r="1198">
      <c r="A1198" s="2" t="inlineStr">
        <is>
          <t>2026-02-02</t>
        </is>
      </c>
      <c r="B1198" s="3" t="inlineStr">
        <is>
          <t>삼성전자</t>
        </is>
      </c>
      <c r="C1198" s="2" t="inlineStr">
        <is>
          <t>코스피</t>
        </is>
      </c>
      <c r="D1198" s="2" t="inlineStr">
        <is>
          <t>005930</t>
        </is>
      </c>
      <c r="E1198" s="3" t="inlineStr">
        <is>
          <t>임원ㆍ주요주주특정증권등소유상황보고서</t>
        </is>
      </c>
      <c r="F1198" s="3" t="inlineStr">
        <is>
          <t>양익준</t>
        </is>
      </c>
      <c r="G1198" s="2" t="inlineStr">
        <is>
          <t>20260202000705</t>
        </is>
      </c>
      <c r="H1198" s="8">
        <f>HYPERLINK("https://dart.fss.or.kr/dsaf001/main.do?rcpNo=20260202000705", "공시열람")</f>
        <v/>
      </c>
    </row>
    <row r="1199">
      <c r="A1199" s="2" t="inlineStr">
        <is>
          <t>2026-02-02</t>
        </is>
      </c>
      <c r="B1199" s="3" t="inlineStr">
        <is>
          <t>삼성전자</t>
        </is>
      </c>
      <c r="C1199" s="2" t="inlineStr">
        <is>
          <t>코스피</t>
        </is>
      </c>
      <c r="D1199" s="2" t="inlineStr">
        <is>
          <t>005930</t>
        </is>
      </c>
      <c r="E1199" s="3" t="inlineStr">
        <is>
          <t>임원ㆍ주요주주특정증권등소유상황보고서</t>
        </is>
      </c>
      <c r="F1199" s="3" t="inlineStr">
        <is>
          <t>신용우</t>
        </is>
      </c>
      <c r="G1199" s="2" t="inlineStr">
        <is>
          <t>20260202000704</t>
        </is>
      </c>
      <c r="H1199" s="8">
        <f>HYPERLINK("https://dart.fss.or.kr/dsaf001/main.do?rcpNo=20260202000704", "공시열람")</f>
        <v/>
      </c>
    </row>
    <row r="1200">
      <c r="A1200" s="2" t="inlineStr">
        <is>
          <t>2026-02-02</t>
        </is>
      </c>
      <c r="B1200" s="3" t="inlineStr">
        <is>
          <t>삼성전자</t>
        </is>
      </c>
      <c r="C1200" s="2" t="inlineStr">
        <is>
          <t>코스피</t>
        </is>
      </c>
      <c r="D1200" s="2" t="inlineStr">
        <is>
          <t>005930</t>
        </is>
      </c>
      <c r="E1200" s="3" t="inlineStr">
        <is>
          <t>임원ㆍ주요주주특정증권등소유상황보고서</t>
        </is>
      </c>
      <c r="F1200" s="3" t="inlineStr">
        <is>
          <t>염종범</t>
        </is>
      </c>
      <c r="G1200" s="2" t="inlineStr">
        <is>
          <t>20260202000703</t>
        </is>
      </c>
      <c r="H1200" s="8">
        <f>HYPERLINK("https://dart.fss.or.kr/dsaf001/main.do?rcpNo=20260202000703", "공시열람")</f>
        <v/>
      </c>
    </row>
    <row r="1201">
      <c r="A1201" s="2" t="inlineStr">
        <is>
          <t>2026-02-02</t>
        </is>
      </c>
      <c r="B1201" s="3" t="inlineStr">
        <is>
          <t>삼성전자</t>
        </is>
      </c>
      <c r="C1201" s="2" t="inlineStr">
        <is>
          <t>코스피</t>
        </is>
      </c>
      <c r="D1201" s="2" t="inlineStr">
        <is>
          <t>005930</t>
        </is>
      </c>
      <c r="E1201" s="3" t="inlineStr">
        <is>
          <t>임원ㆍ주요주주특정증권등소유상황보고서</t>
        </is>
      </c>
      <c r="F1201" s="3" t="inlineStr">
        <is>
          <t>엄훈섭</t>
        </is>
      </c>
      <c r="G1201" s="2" t="inlineStr">
        <is>
          <t>20260202000702</t>
        </is>
      </c>
      <c r="H1201" s="8">
        <f>HYPERLINK("https://dart.fss.or.kr/dsaf001/main.do?rcpNo=20260202000702", "공시열람")</f>
        <v/>
      </c>
    </row>
    <row r="1202">
      <c r="A1202" s="2" t="inlineStr">
        <is>
          <t>2026-02-02</t>
        </is>
      </c>
      <c r="B1202" s="3" t="inlineStr">
        <is>
          <t>삼성전자</t>
        </is>
      </c>
      <c r="C1202" s="2" t="inlineStr">
        <is>
          <t>코스피</t>
        </is>
      </c>
      <c r="D1202" s="2" t="inlineStr">
        <is>
          <t>005930</t>
        </is>
      </c>
      <c r="E1202" s="3" t="inlineStr">
        <is>
          <t>임원ㆍ주요주주특정증권등소유상황보고서</t>
        </is>
      </c>
      <c r="F1202" s="3" t="inlineStr">
        <is>
          <t>김정현</t>
        </is>
      </c>
      <c r="G1202" s="2" t="inlineStr">
        <is>
          <t>20260202000701</t>
        </is>
      </c>
      <c r="H1202" s="8">
        <f>HYPERLINK("https://dart.fss.or.kr/dsaf001/main.do?rcpNo=20260202000701", "공시열람")</f>
        <v/>
      </c>
    </row>
    <row r="1203">
      <c r="A1203" s="2" t="inlineStr">
        <is>
          <t>2026-02-02</t>
        </is>
      </c>
      <c r="B1203" s="3" t="inlineStr">
        <is>
          <t>삼성전자</t>
        </is>
      </c>
      <c r="C1203" s="2" t="inlineStr">
        <is>
          <t>코스피</t>
        </is>
      </c>
      <c r="D1203" s="2" t="inlineStr">
        <is>
          <t>005930</t>
        </is>
      </c>
      <c r="E1203" s="3" t="inlineStr">
        <is>
          <t>임원ㆍ주요주주특정증권등소유상황보고서</t>
        </is>
      </c>
      <c r="F1203" s="3" t="inlineStr">
        <is>
          <t>신문선</t>
        </is>
      </c>
      <c r="G1203" s="2" t="inlineStr">
        <is>
          <t>20260202000700</t>
        </is>
      </c>
      <c r="H1203" s="8">
        <f>HYPERLINK("https://dart.fss.or.kr/dsaf001/main.do?rcpNo=20260202000700", "공시열람")</f>
        <v/>
      </c>
    </row>
    <row r="1204">
      <c r="A1204" s="2" t="inlineStr">
        <is>
          <t>2026-02-02</t>
        </is>
      </c>
      <c r="B1204" s="3" t="inlineStr">
        <is>
          <t>삼성전자</t>
        </is>
      </c>
      <c r="C1204" s="2" t="inlineStr">
        <is>
          <t>코스피</t>
        </is>
      </c>
      <c r="D1204" s="2" t="inlineStr">
        <is>
          <t>005930</t>
        </is>
      </c>
      <c r="E1204" s="3" t="inlineStr">
        <is>
          <t>임원ㆍ주요주주특정증권등소유상황보고서</t>
        </is>
      </c>
      <c r="F1204" s="3" t="inlineStr">
        <is>
          <t>안재용</t>
        </is>
      </c>
      <c r="G1204" s="2" t="inlineStr">
        <is>
          <t>20260202000699</t>
        </is>
      </c>
      <c r="H1204" s="8">
        <f>HYPERLINK("https://dart.fss.or.kr/dsaf001/main.do?rcpNo=20260202000699", "공시열람")</f>
        <v/>
      </c>
    </row>
    <row r="1205">
      <c r="A1205" s="2" t="inlineStr">
        <is>
          <t>2026-02-02</t>
        </is>
      </c>
      <c r="B1205" s="3" t="inlineStr">
        <is>
          <t>삼성전자</t>
        </is>
      </c>
      <c r="C1205" s="2" t="inlineStr">
        <is>
          <t>코스피</t>
        </is>
      </c>
      <c r="D1205" s="2" t="inlineStr">
        <is>
          <t>005930</t>
        </is>
      </c>
      <c r="E1205" s="3" t="inlineStr">
        <is>
          <t>임원ㆍ주요주주특정증권등소유상황보고서</t>
        </is>
      </c>
      <c r="F1205" s="3" t="inlineStr">
        <is>
          <t>박성범</t>
        </is>
      </c>
      <c r="G1205" s="2" t="inlineStr">
        <is>
          <t>20260202000698</t>
        </is>
      </c>
      <c r="H1205" s="8">
        <f>HYPERLINK("https://dart.fss.or.kr/dsaf001/main.do?rcpNo=20260202000698", "공시열람")</f>
        <v/>
      </c>
    </row>
    <row r="1206">
      <c r="A1206" s="2" t="inlineStr">
        <is>
          <t>2026-02-02</t>
        </is>
      </c>
      <c r="B1206" s="3" t="inlineStr">
        <is>
          <t>삼성전자</t>
        </is>
      </c>
      <c r="C1206" s="2" t="inlineStr">
        <is>
          <t>코스피</t>
        </is>
      </c>
      <c r="D1206" s="2" t="inlineStr">
        <is>
          <t>005930</t>
        </is>
      </c>
      <c r="E1206" s="3" t="inlineStr">
        <is>
          <t>임원ㆍ주요주주특정증권등소유상황보고서</t>
        </is>
      </c>
      <c r="F1206" s="3" t="inlineStr">
        <is>
          <t>이종명</t>
        </is>
      </c>
      <c r="G1206" s="2" t="inlineStr">
        <is>
          <t>20260202000697</t>
        </is>
      </c>
      <c r="H1206" s="8">
        <f>HYPERLINK("https://dart.fss.or.kr/dsaf001/main.do?rcpNo=20260202000697", "공시열람")</f>
        <v/>
      </c>
    </row>
    <row r="1207">
      <c r="A1207" s="2" t="inlineStr">
        <is>
          <t>2026-02-02</t>
        </is>
      </c>
      <c r="B1207" s="3" t="inlineStr">
        <is>
          <t>삼성전자</t>
        </is>
      </c>
      <c r="C1207" s="2" t="inlineStr">
        <is>
          <t>코스피</t>
        </is>
      </c>
      <c r="D1207" s="2" t="inlineStr">
        <is>
          <t>005930</t>
        </is>
      </c>
      <c r="E1207" s="3" t="inlineStr">
        <is>
          <t>임원ㆍ주요주주특정증권등소유상황보고서</t>
        </is>
      </c>
      <c r="F1207" s="3" t="inlineStr">
        <is>
          <t>양종훈</t>
        </is>
      </c>
      <c r="G1207" s="2" t="inlineStr">
        <is>
          <t>20260202000696</t>
        </is>
      </c>
      <c r="H1207" s="8">
        <f>HYPERLINK("https://dart.fss.or.kr/dsaf001/main.do?rcpNo=20260202000696", "공시열람")</f>
        <v/>
      </c>
    </row>
    <row r="1208">
      <c r="A1208" s="2" t="inlineStr">
        <is>
          <t>2026-02-02</t>
        </is>
      </c>
      <c r="B1208" s="3" t="inlineStr">
        <is>
          <t>삼성전자</t>
        </is>
      </c>
      <c r="C1208" s="2" t="inlineStr">
        <is>
          <t>코스피</t>
        </is>
      </c>
      <c r="D1208" s="2" t="inlineStr">
        <is>
          <t>005930</t>
        </is>
      </c>
      <c r="E1208" s="3" t="inlineStr">
        <is>
          <t>임원ㆍ주요주주특정증권등소유상황보고서</t>
        </is>
      </c>
      <c r="F1208" s="3" t="inlineStr">
        <is>
          <t>권정현</t>
        </is>
      </c>
      <c r="G1208" s="2" t="inlineStr">
        <is>
          <t>20260202000695</t>
        </is>
      </c>
      <c r="H1208" s="8">
        <f>HYPERLINK("https://dart.fss.or.kr/dsaf001/main.do?rcpNo=20260202000695", "공시열람")</f>
        <v/>
      </c>
    </row>
    <row r="1209">
      <c r="A1209" s="2" t="inlineStr">
        <is>
          <t>2026-02-02</t>
        </is>
      </c>
      <c r="B1209" s="3" t="inlineStr">
        <is>
          <t>삼성전자</t>
        </is>
      </c>
      <c r="C1209" s="2" t="inlineStr">
        <is>
          <t>코스피</t>
        </is>
      </c>
      <c r="D1209" s="2" t="inlineStr">
        <is>
          <t>005930</t>
        </is>
      </c>
      <c r="E1209" s="3" t="inlineStr">
        <is>
          <t>임원ㆍ주요주주특정증권등소유상황보고서</t>
        </is>
      </c>
      <c r="F1209" s="3" t="inlineStr">
        <is>
          <t>신무섭</t>
        </is>
      </c>
      <c r="G1209" s="2" t="inlineStr">
        <is>
          <t>20260202000694</t>
        </is>
      </c>
      <c r="H1209" s="8">
        <f>HYPERLINK("https://dart.fss.or.kr/dsaf001/main.do?rcpNo=20260202000694", "공시열람")</f>
        <v/>
      </c>
    </row>
    <row r="1210">
      <c r="A1210" s="2" t="inlineStr">
        <is>
          <t>2026-02-02</t>
        </is>
      </c>
      <c r="B1210" s="3" t="inlineStr">
        <is>
          <t>삼성전자</t>
        </is>
      </c>
      <c r="C1210" s="2" t="inlineStr">
        <is>
          <t>코스피</t>
        </is>
      </c>
      <c r="D1210" s="2" t="inlineStr">
        <is>
          <t>005930</t>
        </is>
      </c>
      <c r="E1210" s="3" t="inlineStr">
        <is>
          <t>임원ㆍ주요주주특정증권등소유상황보고서</t>
        </is>
      </c>
      <c r="F1210" s="3" t="inlineStr">
        <is>
          <t>하경수</t>
        </is>
      </c>
      <c r="G1210" s="2" t="inlineStr">
        <is>
          <t>20260202000691</t>
        </is>
      </c>
      <c r="H1210" s="8">
        <f>HYPERLINK("https://dart.fss.or.kr/dsaf001/main.do?rcpNo=20260202000691", "공시열람")</f>
        <v/>
      </c>
    </row>
    <row r="1211">
      <c r="A1211" s="2" t="inlineStr">
        <is>
          <t>2026-02-02</t>
        </is>
      </c>
      <c r="B1211" s="3" t="inlineStr">
        <is>
          <t>삼성전자</t>
        </is>
      </c>
      <c r="C1211" s="2" t="inlineStr">
        <is>
          <t>코스피</t>
        </is>
      </c>
      <c r="D1211" s="2" t="inlineStr">
        <is>
          <t>005930</t>
        </is>
      </c>
      <c r="E1211" s="3" t="inlineStr">
        <is>
          <t>임원ㆍ주요주주특정증권등소유상황보고서</t>
        </is>
      </c>
      <c r="F1211" s="3" t="inlineStr">
        <is>
          <t>이재열</t>
        </is>
      </c>
      <c r="G1211" s="2" t="inlineStr">
        <is>
          <t>20260202000690</t>
        </is>
      </c>
      <c r="H1211" s="8">
        <f>HYPERLINK("https://dart.fss.or.kr/dsaf001/main.do?rcpNo=20260202000690", "공시열람")</f>
        <v/>
      </c>
    </row>
    <row r="1212">
      <c r="A1212" s="2" t="inlineStr">
        <is>
          <t>2026-02-02</t>
        </is>
      </c>
      <c r="B1212" s="3" t="inlineStr">
        <is>
          <t>삼성전자</t>
        </is>
      </c>
      <c r="C1212" s="2" t="inlineStr">
        <is>
          <t>코스피</t>
        </is>
      </c>
      <c r="D1212" s="2" t="inlineStr">
        <is>
          <t>005930</t>
        </is>
      </c>
      <c r="E1212" s="3" t="inlineStr">
        <is>
          <t>임원ㆍ주요주주특정증권등소유상황보고서</t>
        </is>
      </c>
      <c r="F1212" s="3" t="inlineStr">
        <is>
          <t>이대성</t>
        </is>
      </c>
      <c r="G1212" s="2" t="inlineStr">
        <is>
          <t>20260202000689</t>
        </is>
      </c>
      <c r="H1212" s="8">
        <f>HYPERLINK("https://dart.fss.or.kr/dsaf001/main.do?rcpNo=20260202000689", "공시열람")</f>
        <v/>
      </c>
    </row>
    <row r="1213">
      <c r="A1213" s="2" t="inlineStr">
        <is>
          <t>2026-02-02</t>
        </is>
      </c>
      <c r="B1213" s="3" t="inlineStr">
        <is>
          <t>삼성전자</t>
        </is>
      </c>
      <c r="C1213" s="2" t="inlineStr">
        <is>
          <t>코스피</t>
        </is>
      </c>
      <c r="D1213" s="2" t="inlineStr">
        <is>
          <t>005930</t>
        </is>
      </c>
      <c r="E1213" s="3" t="inlineStr">
        <is>
          <t>임원ㆍ주요주주특정증권등소유상황보고서</t>
        </is>
      </c>
      <c r="F1213" s="3" t="inlineStr">
        <is>
          <t>배윤수</t>
        </is>
      </c>
      <c r="G1213" s="2" t="inlineStr">
        <is>
          <t>20260202000688</t>
        </is>
      </c>
      <c r="H1213" s="8">
        <f>HYPERLINK("https://dart.fss.or.kr/dsaf001/main.do?rcpNo=20260202000688", "공시열람")</f>
        <v/>
      </c>
    </row>
    <row r="1214">
      <c r="A1214" s="2" t="inlineStr">
        <is>
          <t>2026-02-02</t>
        </is>
      </c>
      <c r="B1214" s="3" t="inlineStr">
        <is>
          <t>삼성전자</t>
        </is>
      </c>
      <c r="C1214" s="2" t="inlineStr">
        <is>
          <t>코스피</t>
        </is>
      </c>
      <c r="D1214" s="2" t="inlineStr">
        <is>
          <t>005930</t>
        </is>
      </c>
      <c r="E1214" s="3" t="inlineStr">
        <is>
          <t>임원ㆍ주요주주특정증권등소유상황보고서</t>
        </is>
      </c>
      <c r="F1214" s="3" t="inlineStr">
        <is>
          <t>백혜성</t>
        </is>
      </c>
      <c r="G1214" s="2" t="inlineStr">
        <is>
          <t>20260202000687</t>
        </is>
      </c>
      <c r="H1214" s="8">
        <f>HYPERLINK("https://dart.fss.or.kr/dsaf001/main.do?rcpNo=20260202000687", "공시열람")</f>
        <v/>
      </c>
    </row>
    <row r="1215">
      <c r="A1215" s="2" t="inlineStr">
        <is>
          <t>2026-02-02</t>
        </is>
      </c>
      <c r="B1215" s="3" t="inlineStr">
        <is>
          <t>삼성전자</t>
        </is>
      </c>
      <c r="C1215" s="2" t="inlineStr">
        <is>
          <t>코스피</t>
        </is>
      </c>
      <c r="D1215" s="2" t="inlineStr">
        <is>
          <t>005930</t>
        </is>
      </c>
      <c r="E1215" s="3" t="inlineStr">
        <is>
          <t>임원ㆍ주요주주특정증권등소유상황보고서</t>
        </is>
      </c>
      <c r="F1215" s="3" t="inlineStr">
        <is>
          <t>이무형</t>
        </is>
      </c>
      <c r="G1215" s="2" t="inlineStr">
        <is>
          <t>20260202000686</t>
        </is>
      </c>
      <c r="H1215" s="8">
        <f>HYPERLINK("https://dart.fss.or.kr/dsaf001/main.do?rcpNo=20260202000686", "공시열람")</f>
        <v/>
      </c>
    </row>
    <row r="1216">
      <c r="A1216" s="2" t="inlineStr">
        <is>
          <t>2026-02-02</t>
        </is>
      </c>
      <c r="B1216" s="3" t="inlineStr">
        <is>
          <t>삼성전자</t>
        </is>
      </c>
      <c r="C1216" s="2" t="inlineStr">
        <is>
          <t>코스피</t>
        </is>
      </c>
      <c r="D1216" s="2" t="inlineStr">
        <is>
          <t>005930</t>
        </is>
      </c>
      <c r="E1216" s="3" t="inlineStr">
        <is>
          <t>임원ㆍ주요주주특정증권등소유상황보고서</t>
        </is>
      </c>
      <c r="F1216" s="3" t="inlineStr">
        <is>
          <t>석지원</t>
        </is>
      </c>
      <c r="G1216" s="2" t="inlineStr">
        <is>
          <t>20260202000684</t>
        </is>
      </c>
      <c r="H1216" s="8">
        <f>HYPERLINK("https://dart.fss.or.kr/dsaf001/main.do?rcpNo=20260202000684", "공시열람")</f>
        <v/>
      </c>
    </row>
    <row r="1217">
      <c r="A1217" s="2" t="inlineStr">
        <is>
          <t>2026-02-02</t>
        </is>
      </c>
      <c r="B1217" s="3" t="inlineStr">
        <is>
          <t>삼성전자</t>
        </is>
      </c>
      <c r="C1217" s="2" t="inlineStr">
        <is>
          <t>코스피</t>
        </is>
      </c>
      <c r="D1217" s="2" t="inlineStr">
        <is>
          <t>005930</t>
        </is>
      </c>
      <c r="E1217" s="3" t="inlineStr">
        <is>
          <t>임원ㆍ주요주주특정증권등소유상황보고서</t>
        </is>
      </c>
      <c r="F1217" s="3" t="inlineStr">
        <is>
          <t>안치용</t>
        </is>
      </c>
      <c r="G1217" s="2" t="inlineStr">
        <is>
          <t>20260202000683</t>
        </is>
      </c>
      <c r="H1217" s="8">
        <f>HYPERLINK("https://dart.fss.or.kr/dsaf001/main.do?rcpNo=20260202000683", "공시열람")</f>
        <v/>
      </c>
    </row>
    <row r="1218">
      <c r="A1218" s="2" t="inlineStr">
        <is>
          <t>2026-02-02</t>
        </is>
      </c>
      <c r="B1218" s="3" t="inlineStr">
        <is>
          <t>삼성전자</t>
        </is>
      </c>
      <c r="C1218" s="2" t="inlineStr">
        <is>
          <t>코스피</t>
        </is>
      </c>
      <c r="D1218" s="2" t="inlineStr">
        <is>
          <t>005930</t>
        </is>
      </c>
      <c r="E1218" s="3" t="inlineStr">
        <is>
          <t>임원ㆍ주요주주특정증권등소유상황보고서</t>
        </is>
      </c>
      <c r="F1218" s="3" t="inlineStr">
        <is>
          <t>강동구</t>
        </is>
      </c>
      <c r="G1218" s="2" t="inlineStr">
        <is>
          <t>20260202000681</t>
        </is>
      </c>
      <c r="H1218" s="8">
        <f>HYPERLINK("https://dart.fss.or.kr/dsaf001/main.do?rcpNo=20260202000681", "공시열람")</f>
        <v/>
      </c>
    </row>
    <row r="1219">
      <c r="A1219" s="2" t="inlineStr">
        <is>
          <t>2026-02-02</t>
        </is>
      </c>
      <c r="B1219" s="3" t="inlineStr">
        <is>
          <t>삼성전자</t>
        </is>
      </c>
      <c r="C1219" s="2" t="inlineStr">
        <is>
          <t>코스피</t>
        </is>
      </c>
      <c r="D1219" s="2" t="inlineStr">
        <is>
          <t>005930</t>
        </is>
      </c>
      <c r="E1219" s="3" t="inlineStr">
        <is>
          <t>임원ㆍ주요주주특정증권등소유상황보고서</t>
        </is>
      </c>
      <c r="F1219" s="3" t="inlineStr">
        <is>
          <t>김경태</t>
        </is>
      </c>
      <c r="G1219" s="2" t="inlineStr">
        <is>
          <t>20260202000680</t>
        </is>
      </c>
      <c r="H1219" s="8">
        <f>HYPERLINK("https://dart.fss.or.kr/dsaf001/main.do?rcpNo=20260202000680", "공시열람")</f>
        <v/>
      </c>
    </row>
    <row r="1220">
      <c r="A1220" s="2" t="inlineStr">
        <is>
          <t>2026-02-02</t>
        </is>
      </c>
      <c r="B1220" s="3" t="inlineStr">
        <is>
          <t>삼성전자</t>
        </is>
      </c>
      <c r="C1220" s="2" t="inlineStr">
        <is>
          <t>코스피</t>
        </is>
      </c>
      <c r="D1220" s="2" t="inlineStr">
        <is>
          <t>005930</t>
        </is>
      </c>
      <c r="E1220" s="3" t="inlineStr">
        <is>
          <t>임원ㆍ주요주주특정증권등소유상황보고서</t>
        </is>
      </c>
      <c r="F1220" s="3" t="inlineStr">
        <is>
          <t>차경환</t>
        </is>
      </c>
      <c r="G1220" s="2" t="inlineStr">
        <is>
          <t>20260202000679</t>
        </is>
      </c>
      <c r="H1220" s="8">
        <f>HYPERLINK("https://dart.fss.or.kr/dsaf001/main.do?rcpNo=20260202000679", "공시열람")</f>
        <v/>
      </c>
    </row>
    <row r="1221">
      <c r="A1221" s="2" t="inlineStr">
        <is>
          <t>2026-02-02</t>
        </is>
      </c>
      <c r="B1221" s="3" t="inlineStr">
        <is>
          <t>삼성전자</t>
        </is>
      </c>
      <c r="C1221" s="2" t="inlineStr">
        <is>
          <t>코스피</t>
        </is>
      </c>
      <c r="D1221" s="2" t="inlineStr">
        <is>
          <t>005930</t>
        </is>
      </c>
      <c r="E1221" s="3" t="inlineStr">
        <is>
          <t>임원ㆍ주요주주특정증권등소유상황보고서</t>
        </is>
      </c>
      <c r="F1221" s="3" t="inlineStr">
        <is>
          <t>이병한</t>
        </is>
      </c>
      <c r="G1221" s="2" t="inlineStr">
        <is>
          <t>20260202000678</t>
        </is>
      </c>
      <c r="H1221" s="8">
        <f>HYPERLINK("https://dart.fss.or.kr/dsaf001/main.do?rcpNo=20260202000678", "공시열람")</f>
        <v/>
      </c>
    </row>
    <row r="1222">
      <c r="A1222" s="2" t="inlineStr">
        <is>
          <t>2026-02-02</t>
        </is>
      </c>
      <c r="B1222" s="3" t="inlineStr">
        <is>
          <t>삼성전자</t>
        </is>
      </c>
      <c r="C1222" s="2" t="inlineStr">
        <is>
          <t>코스피</t>
        </is>
      </c>
      <c r="D1222" s="2" t="inlineStr">
        <is>
          <t>005930</t>
        </is>
      </c>
      <c r="E1222" s="3" t="inlineStr">
        <is>
          <t>임원ㆍ주요주주특정증권등소유상황보고서</t>
        </is>
      </c>
      <c r="F1222" s="3" t="inlineStr">
        <is>
          <t>홍재석</t>
        </is>
      </c>
      <c r="G1222" s="2" t="inlineStr">
        <is>
          <t>20260202000677</t>
        </is>
      </c>
      <c r="H1222" s="8">
        <f>HYPERLINK("https://dart.fss.or.kr/dsaf001/main.do?rcpNo=20260202000677", "공시열람")</f>
        <v/>
      </c>
    </row>
    <row r="1223">
      <c r="A1223" s="2" t="inlineStr">
        <is>
          <t>2026-02-02</t>
        </is>
      </c>
      <c r="B1223" s="3" t="inlineStr">
        <is>
          <t>삼성전자</t>
        </is>
      </c>
      <c r="C1223" s="2" t="inlineStr">
        <is>
          <t>코스피</t>
        </is>
      </c>
      <c r="D1223" s="2" t="inlineStr">
        <is>
          <t>005930</t>
        </is>
      </c>
      <c r="E1223" s="3" t="inlineStr">
        <is>
          <t>임원ㆍ주요주주특정증권등소유상황보고서</t>
        </is>
      </c>
      <c r="F1223" s="3" t="inlineStr">
        <is>
          <t>문태화</t>
        </is>
      </c>
      <c r="G1223" s="2" t="inlineStr">
        <is>
          <t>20260202000676</t>
        </is>
      </c>
      <c r="H1223" s="8">
        <f>HYPERLINK("https://dart.fss.or.kr/dsaf001/main.do?rcpNo=20260202000676", "공시열람")</f>
        <v/>
      </c>
    </row>
    <row r="1224">
      <c r="A1224" s="2" t="inlineStr">
        <is>
          <t>2026-02-02</t>
        </is>
      </c>
      <c r="B1224" s="3" t="inlineStr">
        <is>
          <t>삼성전자</t>
        </is>
      </c>
      <c r="C1224" s="2" t="inlineStr">
        <is>
          <t>코스피</t>
        </is>
      </c>
      <c r="D1224" s="2" t="inlineStr">
        <is>
          <t>005930</t>
        </is>
      </c>
      <c r="E1224" s="3" t="inlineStr">
        <is>
          <t>임원ㆍ주요주주특정증권등소유상황보고서</t>
        </is>
      </c>
      <c r="F1224" s="3" t="inlineStr">
        <is>
          <t>안용석</t>
        </is>
      </c>
      <c r="G1224" s="2" t="inlineStr">
        <is>
          <t>20260202000675</t>
        </is>
      </c>
      <c r="H1224" s="8">
        <f>HYPERLINK("https://dart.fss.or.kr/dsaf001/main.do?rcpNo=20260202000675", "공시열람")</f>
        <v/>
      </c>
    </row>
    <row r="1225">
      <c r="A1225" s="2" t="inlineStr">
        <is>
          <t>2026-02-02</t>
        </is>
      </c>
      <c r="B1225" s="3" t="inlineStr">
        <is>
          <t>삼성전자</t>
        </is>
      </c>
      <c r="C1225" s="2" t="inlineStr">
        <is>
          <t>코스피</t>
        </is>
      </c>
      <c r="D1225" s="2" t="inlineStr">
        <is>
          <t>005930</t>
        </is>
      </c>
      <c r="E1225" s="3" t="inlineStr">
        <is>
          <t>임원ㆍ주요주주특정증권등소유상황보고서</t>
        </is>
      </c>
      <c r="F1225" s="3" t="inlineStr">
        <is>
          <t>김태훈</t>
        </is>
      </c>
      <c r="G1225" s="2" t="inlineStr">
        <is>
          <t>20260202000673</t>
        </is>
      </c>
      <c r="H1225" s="8">
        <f>HYPERLINK("https://dart.fss.or.kr/dsaf001/main.do?rcpNo=20260202000673", "공시열람")</f>
        <v/>
      </c>
    </row>
    <row r="1226">
      <c r="A1226" s="2" t="inlineStr">
        <is>
          <t>2026-02-02</t>
        </is>
      </c>
      <c r="B1226" s="3" t="inlineStr">
        <is>
          <t>삼성전자</t>
        </is>
      </c>
      <c r="C1226" s="2" t="inlineStr">
        <is>
          <t>코스피</t>
        </is>
      </c>
      <c r="D1226" s="2" t="inlineStr">
        <is>
          <t>005930</t>
        </is>
      </c>
      <c r="E1226" s="3" t="inlineStr">
        <is>
          <t>임원ㆍ주요주주특정증권등소유상황보고서</t>
        </is>
      </c>
      <c r="F1226" s="3" t="inlineStr">
        <is>
          <t>이강승</t>
        </is>
      </c>
      <c r="G1226" s="2" t="inlineStr">
        <is>
          <t>20260202000672</t>
        </is>
      </c>
      <c r="H1226" s="8">
        <f>HYPERLINK("https://dart.fss.or.kr/dsaf001/main.do?rcpNo=20260202000672", "공시열람")</f>
        <v/>
      </c>
    </row>
    <row r="1227">
      <c r="A1227" s="2" t="inlineStr">
        <is>
          <t>2026-02-02</t>
        </is>
      </c>
      <c r="B1227" s="3" t="inlineStr">
        <is>
          <t>삼성전자</t>
        </is>
      </c>
      <c r="C1227" s="2" t="inlineStr">
        <is>
          <t>코스피</t>
        </is>
      </c>
      <c r="D1227" s="2" t="inlineStr">
        <is>
          <t>005930</t>
        </is>
      </c>
      <c r="E1227" s="3" t="inlineStr">
        <is>
          <t>임원ㆍ주요주주특정증권등소유상황보고서</t>
        </is>
      </c>
      <c r="F1227" s="3" t="inlineStr">
        <is>
          <t>오치오</t>
        </is>
      </c>
      <c r="G1227" s="2" t="inlineStr">
        <is>
          <t>20260202000671</t>
        </is>
      </c>
      <c r="H1227" s="8">
        <f>HYPERLINK("https://dart.fss.or.kr/dsaf001/main.do?rcpNo=20260202000671", "공시열람")</f>
        <v/>
      </c>
    </row>
    <row r="1228">
      <c r="A1228" s="2" t="inlineStr">
        <is>
          <t>2026-02-02</t>
        </is>
      </c>
      <c r="B1228" s="3" t="inlineStr">
        <is>
          <t>삼성전자</t>
        </is>
      </c>
      <c r="C1228" s="2" t="inlineStr">
        <is>
          <t>코스피</t>
        </is>
      </c>
      <c r="D1228" s="2" t="inlineStr">
        <is>
          <t>005930</t>
        </is>
      </c>
      <c r="E1228" s="3" t="inlineStr">
        <is>
          <t>임원ㆍ주요주주특정증권등소유상황보고서</t>
        </is>
      </c>
      <c r="F1228" s="3" t="inlineStr">
        <is>
          <t>권기덕</t>
        </is>
      </c>
      <c r="G1228" s="2" t="inlineStr">
        <is>
          <t>20260202000670</t>
        </is>
      </c>
      <c r="H1228" s="8">
        <f>HYPERLINK("https://dart.fss.or.kr/dsaf001/main.do?rcpNo=20260202000670", "공시열람")</f>
        <v/>
      </c>
    </row>
    <row r="1229">
      <c r="A1229" s="2" t="inlineStr">
        <is>
          <t>2026-02-02</t>
        </is>
      </c>
      <c r="B1229" s="3" t="inlineStr">
        <is>
          <t>삼성전자</t>
        </is>
      </c>
      <c r="C1229" s="2" t="inlineStr">
        <is>
          <t>코스피</t>
        </is>
      </c>
      <c r="D1229" s="2" t="inlineStr">
        <is>
          <t>005930</t>
        </is>
      </c>
      <c r="E1229" s="3" t="inlineStr">
        <is>
          <t>임원ㆍ주요주주특정증권등소유상황보고서</t>
        </is>
      </c>
      <c r="F1229" s="3" t="inlineStr">
        <is>
          <t>강연호</t>
        </is>
      </c>
      <c r="G1229" s="2" t="inlineStr">
        <is>
          <t>20260202000669</t>
        </is>
      </c>
      <c r="H1229" s="8">
        <f>HYPERLINK("https://dart.fss.or.kr/dsaf001/main.do?rcpNo=20260202000669", "공시열람")</f>
        <v/>
      </c>
    </row>
    <row r="1230">
      <c r="A1230" s="2" t="inlineStr">
        <is>
          <t>2026-02-02</t>
        </is>
      </c>
      <c r="B1230" s="3" t="inlineStr">
        <is>
          <t>삼성전자</t>
        </is>
      </c>
      <c r="C1230" s="2" t="inlineStr">
        <is>
          <t>코스피</t>
        </is>
      </c>
      <c r="D1230" s="2" t="inlineStr">
        <is>
          <t>005930</t>
        </is>
      </c>
      <c r="E1230" s="3" t="inlineStr">
        <is>
          <t>임원ㆍ주요주주특정증권등소유상황보고서</t>
        </is>
      </c>
      <c r="F1230" s="3" t="inlineStr">
        <is>
          <t>노경래</t>
        </is>
      </c>
      <c r="G1230" s="2" t="inlineStr">
        <is>
          <t>20260202000667</t>
        </is>
      </c>
      <c r="H1230" s="8">
        <f>HYPERLINK("https://dart.fss.or.kr/dsaf001/main.do?rcpNo=20260202000667", "공시열람")</f>
        <v/>
      </c>
    </row>
    <row r="1231">
      <c r="A1231" s="2" t="inlineStr">
        <is>
          <t>2026-02-02</t>
        </is>
      </c>
      <c r="B1231" s="3" t="inlineStr">
        <is>
          <t>삼성전자</t>
        </is>
      </c>
      <c r="C1231" s="2" t="inlineStr">
        <is>
          <t>코스피</t>
        </is>
      </c>
      <c r="D1231" s="2" t="inlineStr">
        <is>
          <t>005930</t>
        </is>
      </c>
      <c r="E1231" s="3" t="inlineStr">
        <is>
          <t>임원ㆍ주요주주특정증권등소유상황보고서</t>
        </is>
      </c>
      <c r="F1231" s="3" t="inlineStr">
        <is>
          <t>김진만</t>
        </is>
      </c>
      <c r="G1231" s="2" t="inlineStr">
        <is>
          <t>20260202000666</t>
        </is>
      </c>
      <c r="H1231" s="8">
        <f>HYPERLINK("https://dart.fss.or.kr/dsaf001/main.do?rcpNo=20260202000666", "공시열람")</f>
        <v/>
      </c>
    </row>
    <row r="1232">
      <c r="A1232" s="2" t="inlineStr">
        <is>
          <t>2026-02-02</t>
        </is>
      </c>
      <c r="B1232" s="3" t="inlineStr">
        <is>
          <t>삼성전자</t>
        </is>
      </c>
      <c r="C1232" s="2" t="inlineStr">
        <is>
          <t>코스피</t>
        </is>
      </c>
      <c r="D1232" s="2" t="inlineStr">
        <is>
          <t>005930</t>
        </is>
      </c>
      <c r="E1232" s="3" t="inlineStr">
        <is>
          <t>임원ㆍ주요주주특정증권등소유상황보고서</t>
        </is>
      </c>
      <c r="F1232" s="3" t="inlineStr">
        <is>
          <t>노원일</t>
        </is>
      </c>
      <c r="G1232" s="2" t="inlineStr">
        <is>
          <t>20260202000665</t>
        </is>
      </c>
      <c r="H1232" s="8">
        <f>HYPERLINK("https://dart.fss.or.kr/dsaf001/main.do?rcpNo=20260202000665", "공시열람")</f>
        <v/>
      </c>
    </row>
    <row r="1233">
      <c r="A1233" s="2" t="inlineStr">
        <is>
          <t>2026-02-02</t>
        </is>
      </c>
      <c r="B1233" s="3" t="inlineStr">
        <is>
          <t>삼성전자</t>
        </is>
      </c>
      <c r="C1233" s="2" t="inlineStr">
        <is>
          <t>코스피</t>
        </is>
      </c>
      <c r="D1233" s="2" t="inlineStr">
        <is>
          <t>005930</t>
        </is>
      </c>
      <c r="E1233" s="3" t="inlineStr">
        <is>
          <t>임원ㆍ주요주주특정증권등소유상황보고서</t>
        </is>
      </c>
      <c r="F1233" s="3" t="inlineStr">
        <is>
          <t>황상준</t>
        </is>
      </c>
      <c r="G1233" s="2" t="inlineStr">
        <is>
          <t>20260202000664</t>
        </is>
      </c>
      <c r="H1233" s="8">
        <f>HYPERLINK("https://dart.fss.or.kr/dsaf001/main.do?rcpNo=20260202000664", "공시열람")</f>
        <v/>
      </c>
    </row>
    <row r="1234">
      <c r="A1234" s="2" t="inlineStr">
        <is>
          <t>2026-02-02</t>
        </is>
      </c>
      <c r="B1234" s="3" t="inlineStr">
        <is>
          <t>삼성전자</t>
        </is>
      </c>
      <c r="C1234" s="2" t="inlineStr">
        <is>
          <t>코스피</t>
        </is>
      </c>
      <c r="D1234" s="2" t="inlineStr">
        <is>
          <t>005930</t>
        </is>
      </c>
      <c r="E1234" s="3" t="inlineStr">
        <is>
          <t>임원ㆍ주요주주특정증권등소유상황보고서</t>
        </is>
      </c>
      <c r="F1234" s="3" t="inlineStr">
        <is>
          <t>조성훈</t>
        </is>
      </c>
      <c r="G1234" s="2" t="inlineStr">
        <is>
          <t>20260202000663</t>
        </is>
      </c>
      <c r="H1234" s="8">
        <f>HYPERLINK("https://dart.fss.or.kr/dsaf001/main.do?rcpNo=20260202000663", "공시열람")</f>
        <v/>
      </c>
    </row>
    <row r="1235">
      <c r="A1235" s="2" t="inlineStr">
        <is>
          <t>2026-02-02</t>
        </is>
      </c>
      <c r="B1235" s="3" t="inlineStr">
        <is>
          <t>삼성전자</t>
        </is>
      </c>
      <c r="C1235" s="2" t="inlineStr">
        <is>
          <t>코스피</t>
        </is>
      </c>
      <c r="D1235" s="2" t="inlineStr">
        <is>
          <t>005930</t>
        </is>
      </c>
      <c r="E1235" s="3" t="inlineStr">
        <is>
          <t>임원ㆍ주요주주특정증권등소유상황보고서</t>
        </is>
      </c>
      <c r="F1235" s="3" t="inlineStr">
        <is>
          <t>장실완</t>
        </is>
      </c>
      <c r="G1235" s="2" t="inlineStr">
        <is>
          <t>20260202000662</t>
        </is>
      </c>
      <c r="H1235" s="8">
        <f>HYPERLINK("https://dart.fss.or.kr/dsaf001/main.do?rcpNo=20260202000662", "공시열람")</f>
        <v/>
      </c>
    </row>
    <row r="1236">
      <c r="A1236" s="2" t="inlineStr">
        <is>
          <t>2026-02-02</t>
        </is>
      </c>
      <c r="B1236" s="3" t="inlineStr">
        <is>
          <t>삼성전자</t>
        </is>
      </c>
      <c r="C1236" s="2" t="inlineStr">
        <is>
          <t>코스피</t>
        </is>
      </c>
      <c r="D1236" s="2" t="inlineStr">
        <is>
          <t>005930</t>
        </is>
      </c>
      <c r="E1236" s="3" t="inlineStr">
        <is>
          <t>임원ㆍ주요주주특정증권등소유상황보고서</t>
        </is>
      </c>
      <c r="F1236" s="3" t="inlineStr">
        <is>
          <t>안덕민</t>
        </is>
      </c>
      <c r="G1236" s="2" t="inlineStr">
        <is>
          <t>20260202000661</t>
        </is>
      </c>
      <c r="H1236" s="8">
        <f>HYPERLINK("https://dart.fss.or.kr/dsaf001/main.do?rcpNo=20260202000661", "공시열람")</f>
        <v/>
      </c>
    </row>
    <row r="1237">
      <c r="A1237" s="2" t="inlineStr">
        <is>
          <t>2026-02-02</t>
        </is>
      </c>
      <c r="B1237" s="3" t="inlineStr">
        <is>
          <t>삼성전자</t>
        </is>
      </c>
      <c r="C1237" s="2" t="inlineStr">
        <is>
          <t>코스피</t>
        </is>
      </c>
      <c r="D1237" s="2" t="inlineStr">
        <is>
          <t>005930</t>
        </is>
      </c>
      <c r="E1237" s="3" t="inlineStr">
        <is>
          <t>임원ㆍ주요주주특정증권등소유상황보고서</t>
        </is>
      </c>
      <c r="F1237" s="3" t="inlineStr">
        <is>
          <t>한기욱</t>
        </is>
      </c>
      <c r="G1237" s="2" t="inlineStr">
        <is>
          <t>20260202000660</t>
        </is>
      </c>
      <c r="H1237" s="8">
        <f>HYPERLINK("https://dart.fss.or.kr/dsaf001/main.do?rcpNo=20260202000660", "공시열람")</f>
        <v/>
      </c>
    </row>
    <row r="1238">
      <c r="A1238" s="2" t="inlineStr">
        <is>
          <t>2026-02-02</t>
        </is>
      </c>
      <c r="B1238" s="3" t="inlineStr">
        <is>
          <t>삼성전자</t>
        </is>
      </c>
      <c r="C1238" s="2" t="inlineStr">
        <is>
          <t>코스피</t>
        </is>
      </c>
      <c r="D1238" s="2" t="inlineStr">
        <is>
          <t>005930</t>
        </is>
      </c>
      <c r="E1238" s="3" t="inlineStr">
        <is>
          <t>임원ㆍ주요주주특정증권등소유상황보고서</t>
        </is>
      </c>
      <c r="F1238" s="3" t="inlineStr">
        <is>
          <t>정진국</t>
        </is>
      </c>
      <c r="G1238" s="2" t="inlineStr">
        <is>
          <t>20260202000659</t>
        </is>
      </c>
      <c r="H1238" s="8">
        <f>HYPERLINK("https://dart.fss.or.kr/dsaf001/main.do?rcpNo=20260202000659", "공시열람")</f>
        <v/>
      </c>
    </row>
    <row r="1239">
      <c r="A1239" s="2" t="inlineStr">
        <is>
          <t>2026-02-02</t>
        </is>
      </c>
      <c r="B1239" s="3" t="inlineStr">
        <is>
          <t>삼성전자</t>
        </is>
      </c>
      <c r="C1239" s="2" t="inlineStr">
        <is>
          <t>코스피</t>
        </is>
      </c>
      <c r="D1239" s="2" t="inlineStr">
        <is>
          <t>005930</t>
        </is>
      </c>
      <c r="E1239" s="3" t="inlineStr">
        <is>
          <t>임원ㆍ주요주주특정증권등소유상황보고서</t>
        </is>
      </c>
      <c r="F1239" s="3" t="inlineStr">
        <is>
          <t>명호석</t>
        </is>
      </c>
      <c r="G1239" s="2" t="inlineStr">
        <is>
          <t>20260202000658</t>
        </is>
      </c>
      <c r="H1239" s="8">
        <f>HYPERLINK("https://dart.fss.or.kr/dsaf001/main.do?rcpNo=20260202000658", "공시열람")</f>
        <v/>
      </c>
    </row>
    <row r="1240">
      <c r="A1240" s="2" t="inlineStr">
        <is>
          <t>2026-02-02</t>
        </is>
      </c>
      <c r="B1240" s="3" t="inlineStr">
        <is>
          <t>삼성전자</t>
        </is>
      </c>
      <c r="C1240" s="2" t="inlineStr">
        <is>
          <t>코스피</t>
        </is>
      </c>
      <c r="D1240" s="2" t="inlineStr">
        <is>
          <t>005930</t>
        </is>
      </c>
      <c r="E1240" s="3" t="inlineStr">
        <is>
          <t>임원ㆍ주요주주특정증권등소유상황보고서</t>
        </is>
      </c>
      <c r="F1240" s="3" t="inlineStr">
        <is>
          <t>황희돈</t>
        </is>
      </c>
      <c r="G1240" s="2" t="inlineStr">
        <is>
          <t>20260202000657</t>
        </is>
      </c>
      <c r="H1240" s="8">
        <f>HYPERLINK("https://dart.fss.or.kr/dsaf001/main.do?rcpNo=20260202000657", "공시열람")</f>
        <v/>
      </c>
    </row>
    <row r="1241">
      <c r="A1241" s="2" t="inlineStr">
        <is>
          <t>2026-02-02</t>
        </is>
      </c>
      <c r="B1241" s="3" t="inlineStr">
        <is>
          <t>삼성전자</t>
        </is>
      </c>
      <c r="C1241" s="2" t="inlineStr">
        <is>
          <t>코스피</t>
        </is>
      </c>
      <c r="D1241" s="2" t="inlineStr">
        <is>
          <t>005930</t>
        </is>
      </c>
      <c r="E1241" s="3" t="inlineStr">
        <is>
          <t>임원ㆍ주요주주특정증권등소유상황보고서</t>
        </is>
      </c>
      <c r="F1241" s="3" t="inlineStr">
        <is>
          <t>김성현</t>
        </is>
      </c>
      <c r="G1241" s="2" t="inlineStr">
        <is>
          <t>20260202000656</t>
        </is>
      </c>
      <c r="H1241" s="8">
        <f>HYPERLINK("https://dart.fss.or.kr/dsaf001/main.do?rcpNo=20260202000656", "공시열람")</f>
        <v/>
      </c>
    </row>
    <row r="1242">
      <c r="A1242" s="2" t="inlineStr">
        <is>
          <t>2026-02-02</t>
        </is>
      </c>
      <c r="B1242" s="3" t="inlineStr">
        <is>
          <t>삼성전자</t>
        </is>
      </c>
      <c r="C1242" s="2" t="inlineStr">
        <is>
          <t>코스피</t>
        </is>
      </c>
      <c r="D1242" s="2" t="inlineStr">
        <is>
          <t>005930</t>
        </is>
      </c>
      <c r="E1242" s="3" t="inlineStr">
        <is>
          <t>임원ㆍ주요주주특정증권등소유상황보고서</t>
        </is>
      </c>
      <c r="F1242" s="3" t="inlineStr">
        <is>
          <t>김세윤</t>
        </is>
      </c>
      <c r="G1242" s="2" t="inlineStr">
        <is>
          <t>20260202000655</t>
        </is>
      </c>
      <c r="H1242" s="8">
        <f>HYPERLINK("https://dart.fss.or.kr/dsaf001/main.do?rcpNo=20260202000655", "공시열람")</f>
        <v/>
      </c>
    </row>
    <row r="1243">
      <c r="A1243" s="2" t="inlineStr">
        <is>
          <t>2026-02-02</t>
        </is>
      </c>
      <c r="B1243" s="3" t="inlineStr">
        <is>
          <t>삼성전자</t>
        </is>
      </c>
      <c r="C1243" s="2" t="inlineStr">
        <is>
          <t>코스피</t>
        </is>
      </c>
      <c r="D1243" s="2" t="inlineStr">
        <is>
          <t>005930</t>
        </is>
      </c>
      <c r="E1243" s="3" t="inlineStr">
        <is>
          <t>임원ㆍ주요주주특정증권등소유상황보고서</t>
        </is>
      </c>
      <c r="F1243" s="3" t="inlineStr">
        <is>
          <t>함민기</t>
        </is>
      </c>
      <c r="G1243" s="2" t="inlineStr">
        <is>
          <t>20260202000654</t>
        </is>
      </c>
      <c r="H1243" s="8">
        <f>HYPERLINK("https://dart.fss.or.kr/dsaf001/main.do?rcpNo=20260202000654", "공시열람")</f>
        <v/>
      </c>
    </row>
    <row r="1244">
      <c r="A1244" s="2" t="inlineStr">
        <is>
          <t>2026-02-02</t>
        </is>
      </c>
      <c r="B1244" s="3" t="inlineStr">
        <is>
          <t>삼성전자</t>
        </is>
      </c>
      <c r="C1244" s="2" t="inlineStr">
        <is>
          <t>코스피</t>
        </is>
      </c>
      <c r="D1244" s="2" t="inlineStr">
        <is>
          <t>005930</t>
        </is>
      </c>
      <c r="E1244" s="3" t="inlineStr">
        <is>
          <t>임원ㆍ주요주주특정증권등소유상황보고서</t>
        </is>
      </c>
      <c r="F1244" s="3" t="inlineStr">
        <is>
          <t>신인철</t>
        </is>
      </c>
      <c r="G1244" s="2" t="inlineStr">
        <is>
          <t>20260202000653</t>
        </is>
      </c>
      <c r="H1244" s="8">
        <f>HYPERLINK("https://dart.fss.or.kr/dsaf001/main.do?rcpNo=20260202000653", "공시열람")</f>
        <v/>
      </c>
    </row>
    <row r="1245">
      <c r="A1245" s="2" t="inlineStr">
        <is>
          <t>2026-02-02</t>
        </is>
      </c>
      <c r="B1245" s="3" t="inlineStr">
        <is>
          <t>삼성전자</t>
        </is>
      </c>
      <c r="C1245" s="2" t="inlineStr">
        <is>
          <t>코스피</t>
        </is>
      </c>
      <c r="D1245" s="2" t="inlineStr">
        <is>
          <t>005930</t>
        </is>
      </c>
      <c r="E1245" s="3" t="inlineStr">
        <is>
          <t>임원ㆍ주요주주특정증권등소유상황보고서</t>
        </is>
      </c>
      <c r="F1245" s="3" t="inlineStr">
        <is>
          <t>심호준</t>
        </is>
      </c>
      <c r="G1245" s="2" t="inlineStr">
        <is>
          <t>20260202000652</t>
        </is>
      </c>
      <c r="H1245" s="8">
        <f>HYPERLINK("https://dart.fss.or.kr/dsaf001/main.do?rcpNo=20260202000652", "공시열람")</f>
        <v/>
      </c>
    </row>
    <row r="1246">
      <c r="A1246" s="2" t="inlineStr">
        <is>
          <t>2026-02-02</t>
        </is>
      </c>
      <c r="B1246" s="3" t="inlineStr">
        <is>
          <t>삼성전자</t>
        </is>
      </c>
      <c r="C1246" s="2" t="inlineStr">
        <is>
          <t>코스피</t>
        </is>
      </c>
      <c r="D1246" s="2" t="inlineStr">
        <is>
          <t>005930</t>
        </is>
      </c>
      <c r="E1246" s="3" t="inlineStr">
        <is>
          <t>임원ㆍ주요주주특정증권등소유상황보고서</t>
        </is>
      </c>
      <c r="F1246" s="3" t="inlineStr">
        <is>
          <t>심재황</t>
        </is>
      </c>
      <c r="G1246" s="2" t="inlineStr">
        <is>
          <t>20260202000651</t>
        </is>
      </c>
      <c r="H1246" s="8">
        <f>HYPERLINK("https://dart.fss.or.kr/dsaf001/main.do?rcpNo=20260202000651", "공시열람")</f>
        <v/>
      </c>
    </row>
    <row r="1247">
      <c r="A1247" s="2" t="inlineStr">
        <is>
          <t>2026-02-02</t>
        </is>
      </c>
      <c r="B1247" s="3" t="inlineStr">
        <is>
          <t>삼성전자</t>
        </is>
      </c>
      <c r="C1247" s="2" t="inlineStr">
        <is>
          <t>코스피</t>
        </is>
      </c>
      <c r="D1247" s="2" t="inlineStr">
        <is>
          <t>005930</t>
        </is>
      </c>
      <c r="E1247" s="3" t="inlineStr">
        <is>
          <t>임원ㆍ주요주주특정증권등소유상황보고서</t>
        </is>
      </c>
      <c r="F1247" s="3" t="inlineStr">
        <is>
          <t>정호진</t>
        </is>
      </c>
      <c r="G1247" s="2" t="inlineStr">
        <is>
          <t>20260202000650</t>
        </is>
      </c>
      <c r="H1247" s="8">
        <f>HYPERLINK("https://dart.fss.or.kr/dsaf001/main.do?rcpNo=20260202000650", "공시열람")</f>
        <v/>
      </c>
    </row>
    <row r="1248">
      <c r="A1248" s="2" t="inlineStr">
        <is>
          <t>2026-02-02</t>
        </is>
      </c>
      <c r="B1248" s="3" t="inlineStr">
        <is>
          <t>아이씨티케이</t>
        </is>
      </c>
      <c r="C1248" s="2" t="inlineStr">
        <is>
          <t>코스닥</t>
        </is>
      </c>
      <c r="D1248" s="2" t="inlineStr">
        <is>
          <t>456010</t>
        </is>
      </c>
      <c r="E1248" s="3" t="inlineStr">
        <is>
          <t xml:space="preserve">기업설명회(IR)개최              </t>
        </is>
      </c>
      <c r="F1248" s="3" t="inlineStr">
        <is>
          <t>아이씨티케이</t>
        </is>
      </c>
      <c r="G1248" s="2" t="inlineStr">
        <is>
          <t>20260202900997</t>
        </is>
      </c>
      <c r="H1248" s="8">
        <f>HYPERLINK("https://dart.fss.or.kr/dsaf001/main.do?rcpNo=20260202900997", "공시열람")</f>
        <v/>
      </c>
    </row>
    <row r="1249">
      <c r="A1249" s="2" t="inlineStr">
        <is>
          <t>2026-02-02</t>
        </is>
      </c>
      <c r="B1249" s="3" t="inlineStr">
        <is>
          <t>삼성전자</t>
        </is>
      </c>
      <c r="C1249" s="2" t="inlineStr">
        <is>
          <t>코스피</t>
        </is>
      </c>
      <c r="D1249" s="2" t="inlineStr">
        <is>
          <t>005930</t>
        </is>
      </c>
      <c r="E1249" s="3" t="inlineStr">
        <is>
          <t>임원ㆍ주요주주특정증권등소유상황보고서</t>
        </is>
      </c>
      <c r="F1249" s="3" t="inlineStr">
        <is>
          <t>이승엽</t>
        </is>
      </c>
      <c r="G1249" s="2" t="inlineStr">
        <is>
          <t>20260202000649</t>
        </is>
      </c>
      <c r="H1249" s="8">
        <f>HYPERLINK("https://dart.fss.or.kr/dsaf001/main.do?rcpNo=20260202000649", "공시열람")</f>
        <v/>
      </c>
    </row>
    <row r="1250">
      <c r="A1250" s="2" t="inlineStr">
        <is>
          <t>2026-02-02</t>
        </is>
      </c>
      <c r="B1250" s="3" t="inlineStr">
        <is>
          <t>삼성전자</t>
        </is>
      </c>
      <c r="C1250" s="2" t="inlineStr">
        <is>
          <t>코스피</t>
        </is>
      </c>
      <c r="D1250" s="2" t="inlineStr">
        <is>
          <t>005930</t>
        </is>
      </c>
      <c r="E1250" s="3" t="inlineStr">
        <is>
          <t>임원ㆍ주요주주특정증권등소유상황보고서</t>
        </is>
      </c>
      <c r="F1250" s="3" t="inlineStr">
        <is>
          <t>신종신</t>
        </is>
      </c>
      <c r="G1250" s="2" t="inlineStr">
        <is>
          <t>20260202000648</t>
        </is>
      </c>
      <c r="H1250" s="8">
        <f>HYPERLINK("https://dart.fss.or.kr/dsaf001/main.do?rcpNo=20260202000648", "공시열람")</f>
        <v/>
      </c>
    </row>
    <row r="1251">
      <c r="A1251" s="2" t="inlineStr">
        <is>
          <t>2026-02-02</t>
        </is>
      </c>
      <c r="B1251" s="3" t="inlineStr">
        <is>
          <t>삼성전자</t>
        </is>
      </c>
      <c r="C1251" s="2" t="inlineStr">
        <is>
          <t>코스피</t>
        </is>
      </c>
      <c r="D1251" s="2" t="inlineStr">
        <is>
          <t>005930</t>
        </is>
      </c>
      <c r="E1251" s="3" t="inlineStr">
        <is>
          <t>임원ㆍ주요주주특정증권등소유상황보고서</t>
        </is>
      </c>
      <c r="F1251" s="3" t="inlineStr">
        <is>
          <t>박태훈</t>
        </is>
      </c>
      <c r="G1251" s="2" t="inlineStr">
        <is>
          <t>20260202000646</t>
        </is>
      </c>
      <c r="H1251" s="8">
        <f>HYPERLINK("https://dart.fss.or.kr/dsaf001/main.do?rcpNo=20260202000646", "공시열람")</f>
        <v/>
      </c>
    </row>
    <row r="1252">
      <c r="A1252" s="2" t="inlineStr">
        <is>
          <t>2026-02-02</t>
        </is>
      </c>
      <c r="B1252" s="3" t="inlineStr">
        <is>
          <t>삼성전자</t>
        </is>
      </c>
      <c r="C1252" s="2" t="inlineStr">
        <is>
          <t>코스피</t>
        </is>
      </c>
      <c r="D1252" s="2" t="inlineStr">
        <is>
          <t>005930</t>
        </is>
      </c>
      <c r="E1252" s="3" t="inlineStr">
        <is>
          <t>임원ㆍ주요주주특정증권등소유상황보고서</t>
        </is>
      </c>
      <c r="F1252" s="3" t="inlineStr">
        <is>
          <t>박준호</t>
        </is>
      </c>
      <c r="G1252" s="2" t="inlineStr">
        <is>
          <t>20260202000645</t>
        </is>
      </c>
      <c r="H1252" s="8">
        <f>HYPERLINK("https://dart.fss.or.kr/dsaf001/main.do?rcpNo=20260202000645", "공시열람")</f>
        <v/>
      </c>
    </row>
    <row r="1253">
      <c r="A1253" s="2" t="inlineStr">
        <is>
          <t>2026-02-02</t>
        </is>
      </c>
      <c r="B1253" s="3" t="inlineStr">
        <is>
          <t>삼성전자</t>
        </is>
      </c>
      <c r="C1253" s="2" t="inlineStr">
        <is>
          <t>코스피</t>
        </is>
      </c>
      <c r="D1253" s="2" t="inlineStr">
        <is>
          <t>005930</t>
        </is>
      </c>
      <c r="E1253" s="3" t="inlineStr">
        <is>
          <t>임원ㆍ주요주주특정증권등소유상황보고서</t>
        </is>
      </c>
      <c r="F1253" s="3" t="inlineStr">
        <is>
          <t>김준석</t>
        </is>
      </c>
      <c r="G1253" s="2" t="inlineStr">
        <is>
          <t>20260202000644</t>
        </is>
      </c>
      <c r="H1253" s="8">
        <f>HYPERLINK("https://dart.fss.or.kr/dsaf001/main.do?rcpNo=20260202000644", "공시열람")</f>
        <v/>
      </c>
    </row>
    <row r="1254">
      <c r="A1254" s="2" t="inlineStr">
        <is>
          <t>2026-02-02</t>
        </is>
      </c>
      <c r="B1254" s="3" t="inlineStr">
        <is>
          <t>삼성전자</t>
        </is>
      </c>
      <c r="C1254" s="2" t="inlineStr">
        <is>
          <t>코스피</t>
        </is>
      </c>
      <c r="D1254" s="2" t="inlineStr">
        <is>
          <t>005930</t>
        </is>
      </c>
      <c r="E1254" s="3" t="inlineStr">
        <is>
          <t>임원ㆍ주요주주특정증권등소유상황보고서</t>
        </is>
      </c>
      <c r="F1254" s="3" t="inlineStr">
        <is>
          <t>고재필</t>
        </is>
      </c>
      <c r="G1254" s="2" t="inlineStr">
        <is>
          <t>20260202000643</t>
        </is>
      </c>
      <c r="H1254" s="8">
        <f>HYPERLINK("https://dart.fss.or.kr/dsaf001/main.do?rcpNo=20260202000643", "공시열람")</f>
        <v/>
      </c>
    </row>
    <row r="1255">
      <c r="A1255" s="2" t="inlineStr">
        <is>
          <t>2026-02-02</t>
        </is>
      </c>
      <c r="B1255" s="3" t="inlineStr">
        <is>
          <t>삼성전자</t>
        </is>
      </c>
      <c r="C1255" s="2" t="inlineStr">
        <is>
          <t>코스피</t>
        </is>
      </c>
      <c r="D1255" s="2" t="inlineStr">
        <is>
          <t>005930</t>
        </is>
      </c>
      <c r="E1255" s="3" t="inlineStr">
        <is>
          <t>임원ㆍ주요주주특정증권등소유상황보고서</t>
        </is>
      </c>
      <c r="F1255" s="3" t="inlineStr">
        <is>
          <t>정성엽</t>
        </is>
      </c>
      <c r="G1255" s="2" t="inlineStr">
        <is>
          <t>20260202000642</t>
        </is>
      </c>
      <c r="H1255" s="8">
        <f>HYPERLINK("https://dart.fss.or.kr/dsaf001/main.do?rcpNo=20260202000642", "공시열람")</f>
        <v/>
      </c>
    </row>
    <row r="1256">
      <c r="A1256" s="2" t="inlineStr">
        <is>
          <t>2026-02-02</t>
        </is>
      </c>
      <c r="B1256" s="3" t="inlineStr">
        <is>
          <t>삼성전자</t>
        </is>
      </c>
      <c r="C1256" s="2" t="inlineStr">
        <is>
          <t>코스피</t>
        </is>
      </c>
      <c r="D1256" s="2" t="inlineStr">
        <is>
          <t>005930</t>
        </is>
      </c>
      <c r="E1256" s="3" t="inlineStr">
        <is>
          <t>임원ㆍ주요주주특정증권등소유상황보고서</t>
        </is>
      </c>
      <c r="F1256" s="3" t="inlineStr">
        <is>
          <t>김유석</t>
        </is>
      </c>
      <c r="G1256" s="2" t="inlineStr">
        <is>
          <t>20260202000641</t>
        </is>
      </c>
      <c r="H1256" s="8">
        <f>HYPERLINK("https://dart.fss.or.kr/dsaf001/main.do?rcpNo=20260202000641", "공시열람")</f>
        <v/>
      </c>
    </row>
    <row r="1257">
      <c r="A1257" s="2" t="inlineStr">
        <is>
          <t>2026-02-02</t>
        </is>
      </c>
      <c r="B1257" s="3" t="inlineStr">
        <is>
          <t>딥커머스</t>
        </is>
      </c>
      <c r="C1257" s="2" t="inlineStr">
        <is>
          <t>코스닥</t>
        </is>
      </c>
      <c r="D1257" s="2" t="inlineStr">
        <is>
          <t>900110</t>
        </is>
      </c>
      <c r="E1257" s="3" t="inlineStr">
        <is>
          <t>증권발행결과(자율공시)              (제3자배정-현물출자)</t>
        </is>
      </c>
      <c r="F1257" s="3" t="inlineStr">
        <is>
          <t>딥커머스</t>
        </is>
      </c>
      <c r="G1257" s="2" t="inlineStr">
        <is>
          <t>20260202900978</t>
        </is>
      </c>
      <c r="H1257" s="8">
        <f>HYPERLINK("https://dart.fss.or.kr/dsaf001/main.do?rcpNo=20260202900978", "공시열람")</f>
        <v/>
      </c>
    </row>
    <row r="1258">
      <c r="A1258" s="2" t="inlineStr">
        <is>
          <t>2026-02-02</t>
        </is>
      </c>
      <c r="B1258" s="3" t="inlineStr">
        <is>
          <t>삼성전자</t>
        </is>
      </c>
      <c r="C1258" s="2" t="inlineStr">
        <is>
          <t>코스피</t>
        </is>
      </c>
      <c r="D1258" s="2" t="inlineStr">
        <is>
          <t>005930</t>
        </is>
      </c>
      <c r="E1258" s="3" t="inlineStr">
        <is>
          <t>임원ㆍ주요주주특정증권등소유상황보고서</t>
        </is>
      </c>
      <c r="F1258" s="3" t="inlineStr">
        <is>
          <t>조성대</t>
        </is>
      </c>
      <c r="G1258" s="2" t="inlineStr">
        <is>
          <t>20260202000640</t>
        </is>
      </c>
      <c r="H1258" s="8">
        <f>HYPERLINK("https://dart.fss.or.kr/dsaf001/main.do?rcpNo=20260202000640", "공시열람")</f>
        <v/>
      </c>
    </row>
    <row r="1259">
      <c r="A1259" s="2" t="inlineStr">
        <is>
          <t>2026-02-02</t>
        </is>
      </c>
      <c r="B1259" s="3" t="inlineStr">
        <is>
          <t>삼성전자</t>
        </is>
      </c>
      <c r="C1259" s="2" t="inlineStr">
        <is>
          <t>코스피</t>
        </is>
      </c>
      <c r="D1259" s="2" t="inlineStr">
        <is>
          <t>005930</t>
        </is>
      </c>
      <c r="E1259" s="3" t="inlineStr">
        <is>
          <t>임원ㆍ주요주주특정증권등소유상황보고서</t>
        </is>
      </c>
      <c r="F1259" s="3" t="inlineStr">
        <is>
          <t>양병덕</t>
        </is>
      </c>
      <c r="G1259" s="2" t="inlineStr">
        <is>
          <t>20260202000639</t>
        </is>
      </c>
      <c r="H1259" s="8">
        <f>HYPERLINK("https://dart.fss.or.kr/dsaf001/main.do?rcpNo=20260202000639", "공시열람")</f>
        <v/>
      </c>
    </row>
    <row r="1260">
      <c r="A1260" s="2" t="inlineStr">
        <is>
          <t>2026-02-02</t>
        </is>
      </c>
      <c r="B1260" s="3" t="inlineStr">
        <is>
          <t>LS</t>
        </is>
      </c>
      <c r="C1260" s="2" t="inlineStr">
        <is>
          <t>코스피</t>
        </is>
      </c>
      <c r="D1260" s="2" t="inlineStr">
        <is>
          <t>006260</t>
        </is>
      </c>
      <c r="E1260" s="3" t="inlineStr">
        <is>
          <t xml:space="preserve">매출액또는손익구조30%(대규모법인은15%)이상변경              </t>
        </is>
      </c>
      <c r="F1260" s="3" t="inlineStr">
        <is>
          <t>LS</t>
        </is>
      </c>
      <c r="G1260" s="2" t="inlineStr">
        <is>
          <t>20260202801007</t>
        </is>
      </c>
      <c r="H1260" s="8">
        <f>HYPERLINK("https://dart.fss.or.kr/dsaf001/main.do?rcpNo=20260202801007", "공시열람")</f>
        <v/>
      </c>
    </row>
    <row r="1261">
      <c r="A1261" s="2" t="inlineStr">
        <is>
          <t>2026-02-02</t>
        </is>
      </c>
      <c r="B1261" s="3" t="inlineStr">
        <is>
          <t>삼성전자</t>
        </is>
      </c>
      <c r="C1261" s="2" t="inlineStr">
        <is>
          <t>코스피</t>
        </is>
      </c>
      <c r="D1261" s="2" t="inlineStr">
        <is>
          <t>005930</t>
        </is>
      </c>
      <c r="E1261" s="3" t="inlineStr">
        <is>
          <t>임원ㆍ주요주주특정증권등소유상황보고서</t>
        </is>
      </c>
      <c r="F1261" s="3" t="inlineStr">
        <is>
          <t>이승재</t>
        </is>
      </c>
      <c r="G1261" s="2" t="inlineStr">
        <is>
          <t>20260202000638</t>
        </is>
      </c>
      <c r="H1261" s="8">
        <f>HYPERLINK("https://dart.fss.or.kr/dsaf001/main.do?rcpNo=20260202000638", "공시열람")</f>
        <v/>
      </c>
    </row>
    <row r="1262">
      <c r="A1262" s="2" t="inlineStr">
        <is>
          <t>2026-02-02</t>
        </is>
      </c>
      <c r="B1262" s="3" t="inlineStr">
        <is>
          <t>삼성전자</t>
        </is>
      </c>
      <c r="C1262" s="2" t="inlineStr">
        <is>
          <t>코스피</t>
        </is>
      </c>
      <c r="D1262" s="2" t="inlineStr">
        <is>
          <t>005930</t>
        </is>
      </c>
      <c r="E1262" s="3" t="inlineStr">
        <is>
          <t>임원ㆍ주요주주특정증권등소유상황보고서</t>
        </is>
      </c>
      <c r="F1262" s="3" t="inlineStr">
        <is>
          <t>최상선</t>
        </is>
      </c>
      <c r="G1262" s="2" t="inlineStr">
        <is>
          <t>20260202000637</t>
        </is>
      </c>
      <c r="H1262" s="8">
        <f>HYPERLINK("https://dart.fss.or.kr/dsaf001/main.do?rcpNo=20260202000637", "공시열람")</f>
        <v/>
      </c>
    </row>
    <row r="1263">
      <c r="A1263" s="2" t="inlineStr">
        <is>
          <t>2026-02-02</t>
        </is>
      </c>
      <c r="B1263" s="3" t="inlineStr">
        <is>
          <t>삼성전자</t>
        </is>
      </c>
      <c r="C1263" s="2" t="inlineStr">
        <is>
          <t>코스피</t>
        </is>
      </c>
      <c r="D1263" s="2" t="inlineStr">
        <is>
          <t>005930</t>
        </is>
      </c>
      <c r="E1263" s="3" t="inlineStr">
        <is>
          <t>임원ㆍ주요주주특정증권등소유상황보고서</t>
        </is>
      </c>
      <c r="F1263" s="3" t="inlineStr">
        <is>
          <t>박현정</t>
        </is>
      </c>
      <c r="G1263" s="2" t="inlineStr">
        <is>
          <t>20260202000635</t>
        </is>
      </c>
      <c r="H1263" s="8">
        <f>HYPERLINK("https://dart.fss.or.kr/dsaf001/main.do?rcpNo=20260202000635", "공시열람")</f>
        <v/>
      </c>
    </row>
    <row r="1264">
      <c r="A1264" s="2" t="inlineStr">
        <is>
          <t>2026-02-02 (정정: 2026-02-02)</t>
        </is>
      </c>
      <c r="B1264" s="3" t="inlineStr">
        <is>
          <t>세니젠</t>
        </is>
      </c>
      <c r="C1264" s="2" t="inlineStr">
        <is>
          <t>코스닥</t>
        </is>
      </c>
      <c r="D1264" s="2" t="inlineStr">
        <is>
          <t>188260</t>
        </is>
      </c>
      <c r="E1264" s="3" t="inlineStr">
        <is>
          <t>[기재정정]감사보고서제출              (2024사업연도) (정정: 20260202)</t>
        </is>
      </c>
      <c r="F1264" s="3" t="inlineStr">
        <is>
          <t>세니젠</t>
        </is>
      </c>
      <c r="G1264" s="2" t="inlineStr">
        <is>
          <t>20260202900972</t>
        </is>
      </c>
      <c r="H1264" s="8">
        <f>HYPERLINK("https://dart.fss.or.kr/dsaf001/main.do?rcpNo=20260202900972", "공시열람")</f>
        <v/>
      </c>
    </row>
    <row r="1265">
      <c r="A1265" s="2" t="inlineStr">
        <is>
          <t>2026-02-02</t>
        </is>
      </c>
      <c r="B1265" s="3" t="inlineStr">
        <is>
          <t>삼성전자</t>
        </is>
      </c>
      <c r="C1265" s="2" t="inlineStr">
        <is>
          <t>코스피</t>
        </is>
      </c>
      <c r="D1265" s="2" t="inlineStr">
        <is>
          <t>005930</t>
        </is>
      </c>
      <c r="E1265" s="3" t="inlineStr">
        <is>
          <t>임원ㆍ주요주주특정증권등소유상황보고서</t>
        </is>
      </c>
      <c r="F1265" s="3" t="inlineStr">
        <is>
          <t>박성우</t>
        </is>
      </c>
      <c r="G1265" s="2" t="inlineStr">
        <is>
          <t>20260202000634</t>
        </is>
      </c>
      <c r="H1265" s="8">
        <f>HYPERLINK("https://dart.fss.or.kr/dsaf001/main.do?rcpNo=20260202000634", "공시열람")</f>
        <v/>
      </c>
    </row>
    <row r="1266">
      <c r="A1266" s="2" t="inlineStr">
        <is>
          <t>2026-02-02</t>
        </is>
      </c>
      <c r="B1266" s="3" t="inlineStr">
        <is>
          <t>삼성전자</t>
        </is>
      </c>
      <c r="C1266" s="2" t="inlineStr">
        <is>
          <t>코스피</t>
        </is>
      </c>
      <c r="D1266" s="2" t="inlineStr">
        <is>
          <t>005930</t>
        </is>
      </c>
      <c r="E1266" s="3" t="inlineStr">
        <is>
          <t>임원ㆍ주요주주특정증권등소유상황보고서</t>
        </is>
      </c>
      <c r="F1266" s="3" t="inlineStr">
        <is>
          <t>박정훈</t>
        </is>
      </c>
      <c r="G1266" s="2" t="inlineStr">
        <is>
          <t>20260202000633</t>
        </is>
      </c>
      <c r="H1266" s="8">
        <f>HYPERLINK("https://dart.fss.or.kr/dsaf001/main.do?rcpNo=20260202000633", "공시열람")</f>
        <v/>
      </c>
    </row>
    <row r="1267">
      <c r="A1267" s="2" t="inlineStr">
        <is>
          <t>2026-02-02</t>
        </is>
      </c>
      <c r="B1267" s="3" t="inlineStr">
        <is>
          <t>삼성전자</t>
        </is>
      </c>
      <c r="C1267" s="2" t="inlineStr">
        <is>
          <t>코스피</t>
        </is>
      </c>
      <c r="D1267" s="2" t="inlineStr">
        <is>
          <t>005930</t>
        </is>
      </c>
      <c r="E1267" s="3" t="inlineStr">
        <is>
          <t>임원ㆍ주요주주특정증권등소유상황보고서</t>
        </is>
      </c>
      <c r="F1267" s="3" t="inlineStr">
        <is>
          <t>윤송호</t>
        </is>
      </c>
      <c r="G1267" s="2" t="inlineStr">
        <is>
          <t>20260202000632</t>
        </is>
      </c>
      <c r="H1267" s="8">
        <f>HYPERLINK("https://dart.fss.or.kr/dsaf001/main.do?rcpNo=20260202000632", "공시열람")</f>
        <v/>
      </c>
    </row>
    <row r="1268">
      <c r="A1268" s="2" t="inlineStr">
        <is>
          <t>2026-02-02</t>
        </is>
      </c>
      <c r="B1268" s="3" t="inlineStr">
        <is>
          <t>삼성전자</t>
        </is>
      </c>
      <c r="C1268" s="2" t="inlineStr">
        <is>
          <t>코스피</t>
        </is>
      </c>
      <c r="D1268" s="2" t="inlineStr">
        <is>
          <t>005930</t>
        </is>
      </c>
      <c r="E1268" s="3" t="inlineStr">
        <is>
          <t>임원ㆍ주요주주특정증권등소유상황보고서</t>
        </is>
      </c>
      <c r="F1268" s="3" t="inlineStr">
        <is>
          <t>문종승</t>
        </is>
      </c>
      <c r="G1268" s="2" t="inlineStr">
        <is>
          <t>20260202000630</t>
        </is>
      </c>
      <c r="H1268" s="8">
        <f>HYPERLINK("https://dart.fss.or.kr/dsaf001/main.do?rcpNo=20260202000630", "공시열람")</f>
        <v/>
      </c>
    </row>
    <row r="1269">
      <c r="A1269" s="2" t="inlineStr">
        <is>
          <t>2026-02-02</t>
        </is>
      </c>
      <c r="B1269" s="3" t="inlineStr">
        <is>
          <t>삼성전자</t>
        </is>
      </c>
      <c r="C1269" s="2" t="inlineStr">
        <is>
          <t>코스피</t>
        </is>
      </c>
      <c r="D1269" s="2" t="inlineStr">
        <is>
          <t>005930</t>
        </is>
      </c>
      <c r="E1269" s="3" t="inlineStr">
        <is>
          <t>임원ㆍ주요주주특정증권등소유상황보고서</t>
        </is>
      </c>
      <c r="F1269" s="3" t="inlineStr">
        <is>
          <t>김형로</t>
        </is>
      </c>
      <c r="G1269" s="2" t="inlineStr">
        <is>
          <t>20260202000629</t>
        </is>
      </c>
      <c r="H1269" s="8">
        <f>HYPERLINK("https://dart.fss.or.kr/dsaf001/main.do?rcpNo=20260202000629", "공시열람")</f>
        <v/>
      </c>
    </row>
    <row r="1270">
      <c r="A1270" s="2" t="inlineStr">
        <is>
          <t>2026-02-02</t>
        </is>
      </c>
      <c r="B1270" s="3" t="inlineStr">
        <is>
          <t>삼성전자</t>
        </is>
      </c>
      <c r="C1270" s="2" t="inlineStr">
        <is>
          <t>코스피</t>
        </is>
      </c>
      <c r="D1270" s="2" t="inlineStr">
        <is>
          <t>005930</t>
        </is>
      </c>
      <c r="E1270" s="3" t="inlineStr">
        <is>
          <t>임원ㆍ주요주주특정증권등소유상황보고서</t>
        </is>
      </c>
      <c r="F1270" s="3" t="inlineStr">
        <is>
          <t>송인강</t>
        </is>
      </c>
      <c r="G1270" s="2" t="inlineStr">
        <is>
          <t>20260202000628</t>
        </is>
      </c>
      <c r="H1270" s="8">
        <f>HYPERLINK("https://dart.fss.or.kr/dsaf001/main.do?rcpNo=20260202000628", "공시열람")</f>
        <v/>
      </c>
    </row>
    <row r="1271">
      <c r="A1271" s="2" t="inlineStr">
        <is>
          <t>2026-02-02</t>
        </is>
      </c>
      <c r="B1271" s="3" t="inlineStr">
        <is>
          <t>삼성전자</t>
        </is>
      </c>
      <c r="C1271" s="2" t="inlineStr">
        <is>
          <t>코스피</t>
        </is>
      </c>
      <c r="D1271" s="2" t="inlineStr">
        <is>
          <t>005930</t>
        </is>
      </c>
      <c r="E1271" s="3" t="inlineStr">
        <is>
          <t>임원ㆍ주요주주특정증권등소유상황보고서</t>
        </is>
      </c>
      <c r="F1271" s="3" t="inlineStr">
        <is>
          <t>김동관</t>
        </is>
      </c>
      <c r="G1271" s="2" t="inlineStr">
        <is>
          <t>20260202000626</t>
        </is>
      </c>
      <c r="H1271" s="8">
        <f>HYPERLINK("https://dart.fss.or.kr/dsaf001/main.do?rcpNo=20260202000626", "공시열람")</f>
        <v/>
      </c>
    </row>
    <row r="1272">
      <c r="A1272" s="2" t="inlineStr">
        <is>
          <t>2026-02-02</t>
        </is>
      </c>
      <c r="B1272" s="3" t="inlineStr">
        <is>
          <t>삼성전자</t>
        </is>
      </c>
      <c r="C1272" s="2" t="inlineStr">
        <is>
          <t>코스피</t>
        </is>
      </c>
      <c r="D1272" s="2" t="inlineStr">
        <is>
          <t>005930</t>
        </is>
      </c>
      <c r="E1272" s="3" t="inlineStr">
        <is>
          <t>임원ㆍ주요주주특정증권등소유상황보고서</t>
        </is>
      </c>
      <c r="F1272" s="3" t="inlineStr">
        <is>
          <t>정혜순</t>
        </is>
      </c>
      <c r="G1272" s="2" t="inlineStr">
        <is>
          <t>20260202000625</t>
        </is>
      </c>
      <c r="H1272" s="8">
        <f>HYPERLINK("https://dart.fss.or.kr/dsaf001/main.do?rcpNo=20260202000625", "공시열람")</f>
        <v/>
      </c>
    </row>
    <row r="1273">
      <c r="A1273" s="2" t="inlineStr">
        <is>
          <t>2026-02-02</t>
        </is>
      </c>
      <c r="B1273" s="3" t="inlineStr">
        <is>
          <t>삼성전자</t>
        </is>
      </c>
      <c r="C1273" s="2" t="inlineStr">
        <is>
          <t>코스피</t>
        </is>
      </c>
      <c r="D1273" s="2" t="inlineStr">
        <is>
          <t>005930</t>
        </is>
      </c>
      <c r="E1273" s="3" t="inlineStr">
        <is>
          <t>임원ㆍ주요주주특정증권등소유상황보고서</t>
        </is>
      </c>
      <c r="F1273" s="3" t="inlineStr">
        <is>
          <t>정홍욱</t>
        </is>
      </c>
      <c r="G1273" s="2" t="inlineStr">
        <is>
          <t>20260202000624</t>
        </is>
      </c>
      <c r="H1273" s="8">
        <f>HYPERLINK("https://dart.fss.or.kr/dsaf001/main.do?rcpNo=20260202000624", "공시열람")</f>
        <v/>
      </c>
    </row>
    <row r="1274">
      <c r="A1274" s="2" t="inlineStr">
        <is>
          <t>2026-02-02</t>
        </is>
      </c>
      <c r="B1274" s="3" t="inlineStr">
        <is>
          <t>삼성전자</t>
        </is>
      </c>
      <c r="C1274" s="2" t="inlineStr">
        <is>
          <t>코스피</t>
        </is>
      </c>
      <c r="D1274" s="2" t="inlineStr">
        <is>
          <t>005930</t>
        </is>
      </c>
      <c r="E1274" s="3" t="inlineStr">
        <is>
          <t>임원ㆍ주요주주특정증권등소유상황보고서</t>
        </is>
      </c>
      <c r="F1274" s="3" t="inlineStr">
        <is>
          <t>조훈영</t>
        </is>
      </c>
      <c r="G1274" s="2" t="inlineStr">
        <is>
          <t>20260202000623</t>
        </is>
      </c>
      <c r="H1274" s="8">
        <f>HYPERLINK("https://dart.fss.or.kr/dsaf001/main.do?rcpNo=20260202000623", "공시열람")</f>
        <v/>
      </c>
    </row>
    <row r="1275">
      <c r="A1275" s="2" t="inlineStr">
        <is>
          <t>2026-02-02</t>
        </is>
      </c>
      <c r="B1275" s="3" t="inlineStr">
        <is>
          <t>KG모빌리티</t>
        </is>
      </c>
      <c r="C1275" s="2" t="inlineStr">
        <is>
          <t>코스피</t>
        </is>
      </c>
      <c r="D1275" s="2" t="inlineStr">
        <is>
          <t>003620</t>
        </is>
      </c>
      <c r="E1275" s="3" t="inlineStr">
        <is>
          <t xml:space="preserve">영업(잠정)실적(공정공시)              </t>
        </is>
      </c>
      <c r="F1275" s="3" t="inlineStr">
        <is>
          <t>KG모빌리티</t>
        </is>
      </c>
      <c r="G1275" s="2" t="inlineStr">
        <is>
          <t>20260202800923</t>
        </is>
      </c>
      <c r="H1275" s="8">
        <f>HYPERLINK("https://dart.fss.or.kr/dsaf001/main.do?rcpNo=20260202800923", "공시열람")</f>
        <v/>
      </c>
    </row>
    <row r="1276">
      <c r="A1276" s="2" t="inlineStr">
        <is>
          <t>2026-02-02</t>
        </is>
      </c>
      <c r="B1276" s="3" t="inlineStr">
        <is>
          <t>삼성전자</t>
        </is>
      </c>
      <c r="C1276" s="2" t="inlineStr">
        <is>
          <t>코스피</t>
        </is>
      </c>
      <c r="D1276" s="2" t="inlineStr">
        <is>
          <t>005930</t>
        </is>
      </c>
      <c r="E1276" s="3" t="inlineStr">
        <is>
          <t>임원ㆍ주요주주특정증권등소유상황보고서</t>
        </is>
      </c>
      <c r="F1276" s="3" t="inlineStr">
        <is>
          <t>노승남</t>
        </is>
      </c>
      <c r="G1276" s="2" t="inlineStr">
        <is>
          <t>20260202000622</t>
        </is>
      </c>
      <c r="H1276" s="8">
        <f>HYPERLINK("https://dart.fss.or.kr/dsaf001/main.do?rcpNo=20260202000622", "공시열람")</f>
        <v/>
      </c>
    </row>
    <row r="1277">
      <c r="A1277" s="2" t="inlineStr">
        <is>
          <t>2026-02-02</t>
        </is>
      </c>
      <c r="B1277" s="3" t="inlineStr">
        <is>
          <t>종근당홀딩스</t>
        </is>
      </c>
      <c r="C1277" s="2" t="inlineStr">
        <is>
          <t>코스피</t>
        </is>
      </c>
      <c r="D1277" s="2" t="inlineStr">
        <is>
          <t>001630</t>
        </is>
      </c>
      <c r="E1277" s="3" t="inlineStr">
        <is>
          <t xml:space="preserve">매출액또는손익구조30%(대규모법인은15%)이상변경(자회사의 주요경영사항)              </t>
        </is>
      </c>
      <c r="F1277" s="3" t="inlineStr">
        <is>
          <t>종근당홀딩스</t>
        </is>
      </c>
      <c r="G1277" s="2" t="inlineStr">
        <is>
          <t>20260202800992</t>
        </is>
      </c>
      <c r="H1277" s="8">
        <f>HYPERLINK("https://dart.fss.or.kr/dsaf001/main.do?rcpNo=20260202800992", "공시열람")</f>
        <v/>
      </c>
    </row>
    <row r="1278">
      <c r="A1278" s="2" t="inlineStr">
        <is>
          <t>2026-02-02</t>
        </is>
      </c>
      <c r="B1278" s="3" t="inlineStr">
        <is>
          <t>삼성전자</t>
        </is>
      </c>
      <c r="C1278" s="2" t="inlineStr">
        <is>
          <t>코스피</t>
        </is>
      </c>
      <c r="D1278" s="2" t="inlineStr">
        <is>
          <t>005930</t>
        </is>
      </c>
      <c r="E1278" s="3" t="inlineStr">
        <is>
          <t>임원ㆍ주요주주특정증권등소유상황보고서</t>
        </is>
      </c>
      <c r="F1278" s="3" t="inlineStr">
        <is>
          <t>양세영</t>
        </is>
      </c>
      <c r="G1278" s="2" t="inlineStr">
        <is>
          <t>20260202000619</t>
        </is>
      </c>
      <c r="H1278" s="8">
        <f>HYPERLINK("https://dart.fss.or.kr/dsaf001/main.do?rcpNo=20260202000619", "공시열람")</f>
        <v/>
      </c>
    </row>
    <row r="1279">
      <c r="A1279" s="2" t="inlineStr">
        <is>
          <t>2026-02-02</t>
        </is>
      </c>
      <c r="B1279" s="3" t="inlineStr">
        <is>
          <t>삼성전자</t>
        </is>
      </c>
      <c r="C1279" s="2" t="inlineStr">
        <is>
          <t>코스피</t>
        </is>
      </c>
      <c r="D1279" s="2" t="inlineStr">
        <is>
          <t>005930</t>
        </is>
      </c>
      <c r="E1279" s="3" t="inlineStr">
        <is>
          <t>임원ㆍ주요주주특정증권등소유상황보고서</t>
        </is>
      </c>
      <c r="F1279" s="3" t="inlineStr">
        <is>
          <t>손성원</t>
        </is>
      </c>
      <c r="G1279" s="2" t="inlineStr">
        <is>
          <t>20260202000618</t>
        </is>
      </c>
      <c r="H1279" s="8">
        <f>HYPERLINK("https://dart.fss.or.kr/dsaf001/main.do?rcpNo=20260202000618", "공시열람")</f>
        <v/>
      </c>
    </row>
    <row r="1280">
      <c r="A1280" s="2" t="inlineStr">
        <is>
          <t>2026-02-02</t>
        </is>
      </c>
      <c r="B1280" s="3" t="inlineStr">
        <is>
          <t>삼성전자</t>
        </is>
      </c>
      <c r="C1280" s="2" t="inlineStr">
        <is>
          <t>코스피</t>
        </is>
      </c>
      <c r="D1280" s="2" t="inlineStr">
        <is>
          <t>005930</t>
        </is>
      </c>
      <c r="E1280" s="3" t="inlineStr">
        <is>
          <t>임원ㆍ주요주주특정증권등소유상황보고서</t>
        </is>
      </c>
      <c r="F1280" s="3" t="inlineStr">
        <is>
          <t>최진혁</t>
        </is>
      </c>
      <c r="G1280" s="2" t="inlineStr">
        <is>
          <t>20260202000617</t>
        </is>
      </c>
      <c r="H1280" s="8">
        <f>HYPERLINK("https://dart.fss.or.kr/dsaf001/main.do?rcpNo=20260202000617", "공시열람")</f>
        <v/>
      </c>
    </row>
    <row r="1281">
      <c r="A1281" s="2" t="inlineStr">
        <is>
          <t>2026-02-02</t>
        </is>
      </c>
      <c r="B1281" s="3" t="inlineStr">
        <is>
          <t>삼성전자</t>
        </is>
      </c>
      <c r="C1281" s="2" t="inlineStr">
        <is>
          <t>코스피</t>
        </is>
      </c>
      <c r="D1281" s="2" t="inlineStr">
        <is>
          <t>005930</t>
        </is>
      </c>
      <c r="E1281" s="3" t="inlineStr">
        <is>
          <t>임원ㆍ주요주주특정증권등소유상황보고서</t>
        </is>
      </c>
      <c r="F1281" s="3" t="inlineStr">
        <is>
          <t>채수연</t>
        </is>
      </c>
      <c r="G1281" s="2" t="inlineStr">
        <is>
          <t>20260202000616</t>
        </is>
      </c>
      <c r="H1281" s="8">
        <f>HYPERLINK("https://dart.fss.or.kr/dsaf001/main.do?rcpNo=20260202000616", "공시열람")</f>
        <v/>
      </c>
    </row>
    <row r="1282">
      <c r="A1282" s="2" t="inlineStr">
        <is>
          <t>2026-02-02</t>
        </is>
      </c>
      <c r="B1282" s="3" t="inlineStr">
        <is>
          <t>삼성전자</t>
        </is>
      </c>
      <c r="C1282" s="2" t="inlineStr">
        <is>
          <t>코스피</t>
        </is>
      </c>
      <c r="D1282" s="2" t="inlineStr">
        <is>
          <t>005930</t>
        </is>
      </c>
      <c r="E1282" s="3" t="inlineStr">
        <is>
          <t>임원ㆍ주요주주특정증권등소유상황보고서</t>
        </is>
      </c>
      <c r="F1282" s="3" t="inlineStr">
        <is>
          <t>아포테커마띠유</t>
        </is>
      </c>
      <c r="G1282" s="2" t="inlineStr">
        <is>
          <t>20260202000614</t>
        </is>
      </c>
      <c r="H1282" s="8">
        <f>HYPERLINK("https://dart.fss.or.kr/dsaf001/main.do?rcpNo=20260202000614", "공시열람")</f>
        <v/>
      </c>
    </row>
    <row r="1283">
      <c r="A1283" s="2" t="inlineStr">
        <is>
          <t>2026-02-02</t>
        </is>
      </c>
      <c r="B1283" s="3" t="inlineStr">
        <is>
          <t>종근당</t>
        </is>
      </c>
      <c r="C1283" s="2" t="inlineStr">
        <is>
          <t>코스피</t>
        </is>
      </c>
      <c r="D1283" s="2" t="inlineStr">
        <is>
          <t>185750</t>
        </is>
      </c>
      <c r="E1283" s="3" t="inlineStr">
        <is>
          <t xml:space="preserve">매출액또는손익구조30%(대규모법인은15%)이상변경              </t>
        </is>
      </c>
      <c r="F1283" s="3" t="inlineStr">
        <is>
          <t>종근당</t>
        </is>
      </c>
      <c r="G1283" s="2" t="inlineStr">
        <is>
          <t>20260202800941</t>
        </is>
      </c>
      <c r="H1283" s="8">
        <f>HYPERLINK("https://dart.fss.or.kr/dsaf001/main.do?rcpNo=20260202800941", "공시열람")</f>
        <v/>
      </c>
    </row>
    <row r="1284">
      <c r="A1284" s="2" t="inlineStr">
        <is>
          <t>2026-02-02</t>
        </is>
      </c>
      <c r="B1284" s="3" t="inlineStr">
        <is>
          <t>삼성전자</t>
        </is>
      </c>
      <c r="C1284" s="2" t="inlineStr">
        <is>
          <t>코스피</t>
        </is>
      </c>
      <c r="D1284" s="2" t="inlineStr">
        <is>
          <t>005930</t>
        </is>
      </c>
      <c r="E1284" s="3" t="inlineStr">
        <is>
          <t>임원ㆍ주요주주특정증권등소유상황보고서</t>
        </is>
      </c>
      <c r="F1284" s="3" t="inlineStr">
        <is>
          <t>송윤종</t>
        </is>
      </c>
      <c r="G1284" s="2" t="inlineStr">
        <is>
          <t>20260202000611</t>
        </is>
      </c>
      <c r="H1284" s="8">
        <f>HYPERLINK("https://dart.fss.or.kr/dsaf001/main.do?rcpNo=20260202000611", "공시열람")</f>
        <v/>
      </c>
    </row>
    <row r="1285">
      <c r="A1285" s="2" t="inlineStr">
        <is>
          <t>2026-02-02</t>
        </is>
      </c>
      <c r="B1285" s="3" t="inlineStr">
        <is>
          <t>삼성전자</t>
        </is>
      </c>
      <c r="C1285" s="2" t="inlineStr">
        <is>
          <t>코스피</t>
        </is>
      </c>
      <c r="D1285" s="2" t="inlineStr">
        <is>
          <t>005930</t>
        </is>
      </c>
      <c r="E1285" s="3" t="inlineStr">
        <is>
          <t>임원ㆍ주요주주특정증권등소유상황보고서</t>
        </is>
      </c>
      <c r="F1285" s="3" t="inlineStr">
        <is>
          <t>정승목</t>
        </is>
      </c>
      <c r="G1285" s="2" t="inlineStr">
        <is>
          <t>20260202000610</t>
        </is>
      </c>
      <c r="H1285" s="8">
        <f>HYPERLINK("https://dart.fss.or.kr/dsaf001/main.do?rcpNo=20260202000610", "공시열람")</f>
        <v/>
      </c>
    </row>
    <row r="1286">
      <c r="A1286" s="2" t="inlineStr">
        <is>
          <t>2026-02-02</t>
        </is>
      </c>
      <c r="B1286" s="3" t="inlineStr">
        <is>
          <t>삼성전자</t>
        </is>
      </c>
      <c r="C1286" s="2" t="inlineStr">
        <is>
          <t>코스피</t>
        </is>
      </c>
      <c r="D1286" s="2" t="inlineStr">
        <is>
          <t>005930</t>
        </is>
      </c>
      <c r="E1286" s="3" t="inlineStr">
        <is>
          <t>임원ㆍ주요주주특정증권등소유상황보고서</t>
        </is>
      </c>
      <c r="F1286" s="3" t="inlineStr">
        <is>
          <t>박상훈</t>
        </is>
      </c>
      <c r="G1286" s="2" t="inlineStr">
        <is>
          <t>20260202000609</t>
        </is>
      </c>
      <c r="H1286" s="8">
        <f>HYPERLINK("https://dart.fss.or.kr/dsaf001/main.do?rcpNo=20260202000609", "공시열람")</f>
        <v/>
      </c>
    </row>
    <row r="1287">
      <c r="A1287" s="2" t="inlineStr">
        <is>
          <t>2026-02-02</t>
        </is>
      </c>
      <c r="B1287" s="3" t="inlineStr">
        <is>
          <t>삼성전자</t>
        </is>
      </c>
      <c r="C1287" s="2" t="inlineStr">
        <is>
          <t>코스피</t>
        </is>
      </c>
      <c r="D1287" s="2" t="inlineStr">
        <is>
          <t>005930</t>
        </is>
      </c>
      <c r="E1287" s="3" t="inlineStr">
        <is>
          <t>임원ㆍ주요주주특정증권등소유상황보고서</t>
        </is>
      </c>
      <c r="F1287" s="3" t="inlineStr">
        <is>
          <t>양준철</t>
        </is>
      </c>
      <c r="G1287" s="2" t="inlineStr">
        <is>
          <t>20260202000608</t>
        </is>
      </c>
      <c r="H1287" s="8">
        <f>HYPERLINK("https://dart.fss.or.kr/dsaf001/main.do?rcpNo=20260202000608", "공시열람")</f>
        <v/>
      </c>
    </row>
    <row r="1288">
      <c r="A1288" s="2" t="inlineStr">
        <is>
          <t>2026-02-02</t>
        </is>
      </c>
      <c r="B1288" s="3" t="inlineStr">
        <is>
          <t>한패스</t>
        </is>
      </c>
      <c r="C1288" s="2" t="inlineStr">
        <is>
          <t>코스닥</t>
        </is>
      </c>
      <c r="D1288" s="2" t="inlineStr">
        <is>
          <t>408470</t>
        </is>
      </c>
      <c r="E1288" s="3" t="inlineStr">
        <is>
          <t>증권신고서(지분증권)</t>
        </is>
      </c>
      <c r="F1288" s="3" t="inlineStr">
        <is>
          <t>한패스</t>
        </is>
      </c>
      <c r="G1288" s="2" t="inlineStr">
        <is>
          <t>20260202000606</t>
        </is>
      </c>
      <c r="H1288" s="8">
        <f>HYPERLINK("https://dart.fss.or.kr/dsaf001/main.do?rcpNo=20260202000606", "공시열람")</f>
        <v/>
      </c>
    </row>
    <row r="1289">
      <c r="A1289" s="2" t="inlineStr">
        <is>
          <t>2026-02-02</t>
        </is>
      </c>
      <c r="B1289" s="3" t="inlineStr">
        <is>
          <t>삼성전자</t>
        </is>
      </c>
      <c r="C1289" s="2" t="inlineStr">
        <is>
          <t>코스피</t>
        </is>
      </c>
      <c r="D1289" s="2" t="inlineStr">
        <is>
          <t>005930</t>
        </is>
      </c>
      <c r="E1289" s="3" t="inlineStr">
        <is>
          <t>임원ㆍ주요주주특정증권등소유상황보고서</t>
        </is>
      </c>
      <c r="F1289" s="3" t="inlineStr">
        <is>
          <t>신승혁</t>
        </is>
      </c>
      <c r="G1289" s="2" t="inlineStr">
        <is>
          <t>20260202000605</t>
        </is>
      </c>
      <c r="H1289" s="8">
        <f>HYPERLINK("https://dart.fss.or.kr/dsaf001/main.do?rcpNo=20260202000605", "공시열람")</f>
        <v/>
      </c>
    </row>
    <row r="1290">
      <c r="A1290" s="2" t="inlineStr">
        <is>
          <t>2026-02-02</t>
        </is>
      </c>
      <c r="B1290" s="3" t="inlineStr">
        <is>
          <t>삼성전자</t>
        </is>
      </c>
      <c r="C1290" s="2" t="inlineStr">
        <is>
          <t>코스피</t>
        </is>
      </c>
      <c r="D1290" s="2" t="inlineStr">
        <is>
          <t>005930</t>
        </is>
      </c>
      <c r="E1290" s="3" t="inlineStr">
        <is>
          <t>임원ㆍ주요주주특정증권등소유상황보고서</t>
        </is>
      </c>
      <c r="F1290" s="3" t="inlineStr">
        <is>
          <t>최중훈</t>
        </is>
      </c>
      <c r="G1290" s="2" t="inlineStr">
        <is>
          <t>20260202000604</t>
        </is>
      </c>
      <c r="H1290" s="8">
        <f>HYPERLINK("https://dart.fss.or.kr/dsaf001/main.do?rcpNo=20260202000604", "공시열람")</f>
        <v/>
      </c>
    </row>
    <row r="1291">
      <c r="A1291" s="2" t="inlineStr">
        <is>
          <t>2026-02-02</t>
        </is>
      </c>
      <c r="B1291" s="3" t="inlineStr">
        <is>
          <t>삼성전자</t>
        </is>
      </c>
      <c r="C1291" s="2" t="inlineStr">
        <is>
          <t>코스피</t>
        </is>
      </c>
      <c r="D1291" s="2" t="inlineStr">
        <is>
          <t>005930</t>
        </is>
      </c>
      <c r="E1291" s="3" t="inlineStr">
        <is>
          <t>임원ㆍ주요주주특정증권등소유상황보고서</t>
        </is>
      </c>
      <c r="F1291" s="3" t="inlineStr">
        <is>
          <t>송보영</t>
        </is>
      </c>
      <c r="G1291" s="2" t="inlineStr">
        <is>
          <t>20260202000602</t>
        </is>
      </c>
      <c r="H1291" s="8">
        <f>HYPERLINK("https://dart.fss.or.kr/dsaf001/main.do?rcpNo=20260202000602", "공시열람")</f>
        <v/>
      </c>
    </row>
    <row r="1292">
      <c r="A1292" s="2" t="inlineStr">
        <is>
          <t>2026-02-02</t>
        </is>
      </c>
      <c r="B1292" s="3" t="inlineStr">
        <is>
          <t>삼성전자</t>
        </is>
      </c>
      <c r="C1292" s="2" t="inlineStr">
        <is>
          <t>코스피</t>
        </is>
      </c>
      <c r="D1292" s="2" t="inlineStr">
        <is>
          <t>005930</t>
        </is>
      </c>
      <c r="E1292" s="3" t="inlineStr">
        <is>
          <t>임원ㆍ주요주주특정증권등소유상황보고서</t>
        </is>
      </c>
      <c r="F1292" s="3" t="inlineStr">
        <is>
          <t>강석채</t>
        </is>
      </c>
      <c r="G1292" s="2" t="inlineStr">
        <is>
          <t>20260202000601</t>
        </is>
      </c>
      <c r="H1292" s="8">
        <f>HYPERLINK("https://dart.fss.or.kr/dsaf001/main.do?rcpNo=20260202000601", "공시열람")</f>
        <v/>
      </c>
    </row>
    <row r="1293">
      <c r="A1293" s="2" t="inlineStr">
        <is>
          <t>2026-02-02</t>
        </is>
      </c>
      <c r="B1293" s="3" t="inlineStr">
        <is>
          <t>삼성전자</t>
        </is>
      </c>
      <c r="C1293" s="2" t="inlineStr">
        <is>
          <t>코스피</t>
        </is>
      </c>
      <c r="D1293" s="2" t="inlineStr">
        <is>
          <t>005930</t>
        </is>
      </c>
      <c r="E1293" s="3" t="inlineStr">
        <is>
          <t>임원ㆍ주요주주특정증권등소유상황보고서</t>
        </is>
      </c>
      <c r="F1293" s="3" t="inlineStr">
        <is>
          <t>배광진</t>
        </is>
      </c>
      <c r="G1293" s="2" t="inlineStr">
        <is>
          <t>20260202000600</t>
        </is>
      </c>
      <c r="H1293" s="8">
        <f>HYPERLINK("https://dart.fss.or.kr/dsaf001/main.do?rcpNo=20260202000600", "공시열람")</f>
        <v/>
      </c>
    </row>
    <row r="1294">
      <c r="A1294" s="2" t="inlineStr">
        <is>
          <t>2026-02-02</t>
        </is>
      </c>
      <c r="B1294" s="3" t="inlineStr">
        <is>
          <t>삼성전자</t>
        </is>
      </c>
      <c r="C1294" s="2" t="inlineStr">
        <is>
          <t>코스피</t>
        </is>
      </c>
      <c r="D1294" s="2" t="inlineStr">
        <is>
          <t>005930</t>
        </is>
      </c>
      <c r="E1294" s="3" t="inlineStr">
        <is>
          <t>임원ㆍ주요주주특정증권등소유상황보고서</t>
        </is>
      </c>
      <c r="F1294" s="3" t="inlineStr">
        <is>
          <t>박정호</t>
        </is>
      </c>
      <c r="G1294" s="2" t="inlineStr">
        <is>
          <t>20260202000599</t>
        </is>
      </c>
      <c r="H1294" s="8">
        <f>HYPERLINK("https://dart.fss.or.kr/dsaf001/main.do?rcpNo=20260202000599", "공시열람")</f>
        <v/>
      </c>
    </row>
    <row r="1295">
      <c r="A1295" s="2" t="inlineStr">
        <is>
          <t>2026-02-02</t>
        </is>
      </c>
      <c r="B1295" s="3" t="inlineStr">
        <is>
          <t>삼성전자</t>
        </is>
      </c>
      <c r="C1295" s="2" t="inlineStr">
        <is>
          <t>코스피</t>
        </is>
      </c>
      <c r="D1295" s="2" t="inlineStr">
        <is>
          <t>005930</t>
        </is>
      </c>
      <c r="E1295" s="3" t="inlineStr">
        <is>
          <t>임원ㆍ주요주주특정증권등소유상황보고서</t>
        </is>
      </c>
      <c r="F1295" s="3" t="inlineStr">
        <is>
          <t>서경헌</t>
        </is>
      </c>
      <c r="G1295" s="2" t="inlineStr">
        <is>
          <t>20260202000598</t>
        </is>
      </c>
      <c r="H1295" s="8">
        <f>HYPERLINK("https://dart.fss.or.kr/dsaf001/main.do?rcpNo=20260202000598", "공시열람")</f>
        <v/>
      </c>
    </row>
    <row r="1296">
      <c r="A1296" s="2" t="inlineStr">
        <is>
          <t>2026-02-02</t>
        </is>
      </c>
      <c r="B1296" s="3" t="inlineStr">
        <is>
          <t>삼성전자</t>
        </is>
      </c>
      <c r="C1296" s="2" t="inlineStr">
        <is>
          <t>코스피</t>
        </is>
      </c>
      <c r="D1296" s="2" t="inlineStr">
        <is>
          <t>005930</t>
        </is>
      </c>
      <c r="E1296" s="3" t="inlineStr">
        <is>
          <t>임원ㆍ주요주주특정증권등소유상황보고서</t>
        </is>
      </c>
      <c r="F1296" s="3" t="inlineStr">
        <is>
          <t>성백민</t>
        </is>
      </c>
      <c r="G1296" s="2" t="inlineStr">
        <is>
          <t>20260202000597</t>
        </is>
      </c>
      <c r="H1296" s="8">
        <f>HYPERLINK("https://dart.fss.or.kr/dsaf001/main.do?rcpNo=20260202000597", "공시열람")</f>
        <v/>
      </c>
    </row>
    <row r="1297">
      <c r="A1297" s="2" t="inlineStr">
        <is>
          <t>2026-02-02</t>
        </is>
      </c>
      <c r="B1297" s="3" t="inlineStr">
        <is>
          <t>삼성전자</t>
        </is>
      </c>
      <c r="C1297" s="2" t="inlineStr">
        <is>
          <t>코스피</t>
        </is>
      </c>
      <c r="D1297" s="2" t="inlineStr">
        <is>
          <t>005930</t>
        </is>
      </c>
      <c r="E1297" s="3" t="inlineStr">
        <is>
          <t>임원ㆍ주요주주특정증권등소유상황보고서</t>
        </is>
      </c>
      <c r="F1297" s="3" t="inlineStr">
        <is>
          <t>조상연</t>
        </is>
      </c>
      <c r="G1297" s="2" t="inlineStr">
        <is>
          <t>20260202000596</t>
        </is>
      </c>
      <c r="H1297" s="8">
        <f>HYPERLINK("https://dart.fss.or.kr/dsaf001/main.do?rcpNo=20260202000596", "공시열람")</f>
        <v/>
      </c>
    </row>
    <row r="1298">
      <c r="A1298" s="2" t="inlineStr">
        <is>
          <t>2026-02-02</t>
        </is>
      </c>
      <c r="B1298" s="3" t="inlineStr">
        <is>
          <t>삼성전자</t>
        </is>
      </c>
      <c r="C1298" s="2" t="inlineStr">
        <is>
          <t>코스피</t>
        </is>
      </c>
      <c r="D1298" s="2" t="inlineStr">
        <is>
          <t>005930</t>
        </is>
      </c>
      <c r="E1298" s="3" t="inlineStr">
        <is>
          <t>임원ㆍ주요주주특정증권등소유상황보고서</t>
        </is>
      </c>
      <c r="F1298" s="3" t="inlineStr">
        <is>
          <t>이병국</t>
        </is>
      </c>
      <c r="G1298" s="2" t="inlineStr">
        <is>
          <t>20260202000595</t>
        </is>
      </c>
      <c r="H1298" s="8">
        <f>HYPERLINK("https://dart.fss.or.kr/dsaf001/main.do?rcpNo=20260202000595", "공시열람")</f>
        <v/>
      </c>
    </row>
    <row r="1299">
      <c r="A1299" s="2" t="inlineStr">
        <is>
          <t>2026-02-02</t>
        </is>
      </c>
      <c r="B1299" s="3" t="inlineStr">
        <is>
          <t>삼성전자</t>
        </is>
      </c>
      <c r="C1299" s="2" t="inlineStr">
        <is>
          <t>코스피</t>
        </is>
      </c>
      <c r="D1299" s="2" t="inlineStr">
        <is>
          <t>005930</t>
        </is>
      </c>
      <c r="E1299" s="3" t="inlineStr">
        <is>
          <t>임원ㆍ주요주주특정증권등소유상황보고서</t>
        </is>
      </c>
      <c r="F1299" s="3" t="inlineStr">
        <is>
          <t>이태선</t>
        </is>
      </c>
      <c r="G1299" s="2" t="inlineStr">
        <is>
          <t>20260202000594</t>
        </is>
      </c>
      <c r="H1299" s="8">
        <f>HYPERLINK("https://dart.fss.or.kr/dsaf001/main.do?rcpNo=20260202000594", "공시열람")</f>
        <v/>
      </c>
    </row>
    <row r="1300">
      <c r="A1300" s="2" t="inlineStr">
        <is>
          <t>2026-02-02</t>
        </is>
      </c>
      <c r="B1300" s="3" t="inlineStr">
        <is>
          <t>삼성전자</t>
        </is>
      </c>
      <c r="C1300" s="2" t="inlineStr">
        <is>
          <t>코스피</t>
        </is>
      </c>
      <c r="D1300" s="2" t="inlineStr">
        <is>
          <t>005930</t>
        </is>
      </c>
      <c r="E1300" s="3" t="inlineStr">
        <is>
          <t>임원ㆍ주요주주특정증권등소유상황보고서</t>
        </is>
      </c>
      <c r="F1300" s="3" t="inlineStr">
        <is>
          <t>김재진</t>
        </is>
      </c>
      <c r="G1300" s="2" t="inlineStr">
        <is>
          <t>20260202000593</t>
        </is>
      </c>
      <c r="H1300" s="8">
        <f>HYPERLINK("https://dart.fss.or.kr/dsaf001/main.do?rcpNo=20260202000593", "공시열람")</f>
        <v/>
      </c>
    </row>
    <row r="1301">
      <c r="A1301" s="2" t="inlineStr">
        <is>
          <t>2026-02-02</t>
        </is>
      </c>
      <c r="B1301" s="3" t="inlineStr">
        <is>
          <t>삼성전자</t>
        </is>
      </c>
      <c r="C1301" s="2" t="inlineStr">
        <is>
          <t>코스피</t>
        </is>
      </c>
      <c r="D1301" s="2" t="inlineStr">
        <is>
          <t>005930</t>
        </is>
      </c>
      <c r="E1301" s="3" t="inlineStr">
        <is>
          <t>임원ㆍ주요주주특정증권등소유상황보고서</t>
        </is>
      </c>
      <c r="F1301" s="3" t="inlineStr">
        <is>
          <t>김현우</t>
        </is>
      </c>
      <c r="G1301" s="2" t="inlineStr">
        <is>
          <t>20260202000592</t>
        </is>
      </c>
      <c r="H1301" s="8">
        <f>HYPERLINK("https://dart.fss.or.kr/dsaf001/main.do?rcpNo=20260202000592", "공시열람")</f>
        <v/>
      </c>
    </row>
    <row r="1302">
      <c r="A1302" s="2" t="inlineStr">
        <is>
          <t>2026-02-02</t>
        </is>
      </c>
      <c r="B1302" s="3" t="inlineStr">
        <is>
          <t>삼성전자</t>
        </is>
      </c>
      <c r="C1302" s="2" t="inlineStr">
        <is>
          <t>코스피</t>
        </is>
      </c>
      <c r="D1302" s="2" t="inlineStr">
        <is>
          <t>005930</t>
        </is>
      </c>
      <c r="E1302" s="3" t="inlineStr">
        <is>
          <t>임원ㆍ주요주주특정증권등소유상황보고서</t>
        </is>
      </c>
      <c r="F1302" s="3" t="inlineStr">
        <is>
          <t>선종우</t>
        </is>
      </c>
      <c r="G1302" s="2" t="inlineStr">
        <is>
          <t>20260202000591</t>
        </is>
      </c>
      <c r="H1302" s="8">
        <f>HYPERLINK("https://dart.fss.or.kr/dsaf001/main.do?rcpNo=20260202000591", "공시열람")</f>
        <v/>
      </c>
    </row>
    <row r="1303">
      <c r="A1303" s="2" t="inlineStr">
        <is>
          <t>2026-02-02</t>
        </is>
      </c>
      <c r="B1303" s="3" t="inlineStr">
        <is>
          <t>삼성전자</t>
        </is>
      </c>
      <c r="C1303" s="2" t="inlineStr">
        <is>
          <t>코스피</t>
        </is>
      </c>
      <c r="D1303" s="2" t="inlineStr">
        <is>
          <t>005930</t>
        </is>
      </c>
      <c r="E1303" s="3" t="inlineStr">
        <is>
          <t>임원ㆍ주요주주특정증권등소유상황보고서</t>
        </is>
      </c>
      <c r="F1303" s="3" t="inlineStr">
        <is>
          <t>오석민</t>
        </is>
      </c>
      <c r="G1303" s="2" t="inlineStr">
        <is>
          <t>20260202000590</t>
        </is>
      </c>
      <c r="H1303" s="8">
        <f>HYPERLINK("https://dart.fss.or.kr/dsaf001/main.do?rcpNo=20260202000590", "공시열람")</f>
        <v/>
      </c>
    </row>
    <row r="1304">
      <c r="A1304" s="2" t="inlineStr">
        <is>
          <t>2026-02-02</t>
        </is>
      </c>
      <c r="B1304" s="3" t="inlineStr">
        <is>
          <t>삼성전자</t>
        </is>
      </c>
      <c r="C1304" s="2" t="inlineStr">
        <is>
          <t>코스피</t>
        </is>
      </c>
      <c r="D1304" s="2" t="inlineStr">
        <is>
          <t>005930</t>
        </is>
      </c>
      <c r="E1304" s="3" t="inlineStr">
        <is>
          <t>임원ㆍ주요주주특정증권등소유상황보고서</t>
        </is>
      </c>
      <c r="F1304" s="3" t="inlineStr">
        <is>
          <t>윤준오</t>
        </is>
      </c>
      <c r="G1304" s="2" t="inlineStr">
        <is>
          <t>20260202000589</t>
        </is>
      </c>
      <c r="H1304" s="8">
        <f>HYPERLINK("https://dart.fss.or.kr/dsaf001/main.do?rcpNo=20260202000589", "공시열람")</f>
        <v/>
      </c>
    </row>
    <row r="1305">
      <c r="A1305" s="2" t="inlineStr">
        <is>
          <t>2026-02-02</t>
        </is>
      </c>
      <c r="B1305" s="3" t="inlineStr">
        <is>
          <t>삼성전자</t>
        </is>
      </c>
      <c r="C1305" s="2" t="inlineStr">
        <is>
          <t>코스피</t>
        </is>
      </c>
      <c r="D1305" s="2" t="inlineStr">
        <is>
          <t>005930</t>
        </is>
      </c>
      <c r="E1305" s="3" t="inlineStr">
        <is>
          <t>임원ㆍ주요주주특정증권등소유상황보고서</t>
        </is>
      </c>
      <c r="F1305" s="3" t="inlineStr">
        <is>
          <t>김주년</t>
        </is>
      </c>
      <c r="G1305" s="2" t="inlineStr">
        <is>
          <t>20260202000587</t>
        </is>
      </c>
      <c r="H1305" s="8">
        <f>HYPERLINK("https://dart.fss.or.kr/dsaf001/main.do?rcpNo=20260202000587", "공시열람")</f>
        <v/>
      </c>
    </row>
    <row r="1306">
      <c r="A1306" s="2" t="inlineStr">
        <is>
          <t>2026-02-02</t>
        </is>
      </c>
      <c r="B1306" s="3" t="inlineStr">
        <is>
          <t>삼성전자</t>
        </is>
      </c>
      <c r="C1306" s="2" t="inlineStr">
        <is>
          <t>코스피</t>
        </is>
      </c>
      <c r="D1306" s="2" t="inlineStr">
        <is>
          <t>005930</t>
        </is>
      </c>
      <c r="E1306" s="3" t="inlineStr">
        <is>
          <t>임원ㆍ주요주주특정증권등소유상황보고서</t>
        </is>
      </c>
      <c r="F1306" s="3" t="inlineStr">
        <is>
          <t>박현준</t>
        </is>
      </c>
      <c r="G1306" s="2" t="inlineStr">
        <is>
          <t>20260202000586</t>
        </is>
      </c>
      <c r="H1306" s="8">
        <f>HYPERLINK("https://dart.fss.or.kr/dsaf001/main.do?rcpNo=20260202000586", "공시열람")</f>
        <v/>
      </c>
    </row>
    <row r="1307">
      <c r="A1307" s="2" t="inlineStr">
        <is>
          <t>2026-02-02</t>
        </is>
      </c>
      <c r="B1307" s="3" t="inlineStr">
        <is>
          <t>삼성전자</t>
        </is>
      </c>
      <c r="C1307" s="2" t="inlineStr">
        <is>
          <t>코스피</t>
        </is>
      </c>
      <c r="D1307" s="2" t="inlineStr">
        <is>
          <t>005930</t>
        </is>
      </c>
      <c r="E1307" s="3" t="inlineStr">
        <is>
          <t>임원ㆍ주요주주특정증권등소유상황보고서</t>
        </is>
      </c>
      <c r="F1307" s="3" t="inlineStr">
        <is>
          <t>류호열</t>
        </is>
      </c>
      <c r="G1307" s="2" t="inlineStr">
        <is>
          <t>20260202000585</t>
        </is>
      </c>
      <c r="H1307" s="8">
        <f>HYPERLINK("https://dart.fss.or.kr/dsaf001/main.do?rcpNo=20260202000585", "공시열람")</f>
        <v/>
      </c>
    </row>
    <row r="1308">
      <c r="A1308" s="2" t="inlineStr">
        <is>
          <t>2026-02-02</t>
        </is>
      </c>
      <c r="B1308" s="3" t="inlineStr">
        <is>
          <t>삼성전자</t>
        </is>
      </c>
      <c r="C1308" s="2" t="inlineStr">
        <is>
          <t>코스피</t>
        </is>
      </c>
      <c r="D1308" s="2" t="inlineStr">
        <is>
          <t>005930</t>
        </is>
      </c>
      <c r="E1308" s="3" t="inlineStr">
        <is>
          <t>임원ㆍ주요주주특정증권등소유상황보고서</t>
        </is>
      </c>
      <c r="F1308" s="3" t="inlineStr">
        <is>
          <t>조명호</t>
        </is>
      </c>
      <c r="G1308" s="2" t="inlineStr">
        <is>
          <t>20260202000583</t>
        </is>
      </c>
      <c r="H1308" s="8">
        <f>HYPERLINK("https://dart.fss.or.kr/dsaf001/main.do?rcpNo=20260202000583", "공시열람")</f>
        <v/>
      </c>
    </row>
    <row r="1309">
      <c r="A1309" s="2" t="inlineStr">
        <is>
          <t>2026-02-02</t>
        </is>
      </c>
      <c r="B1309" s="3" t="inlineStr">
        <is>
          <t>삼성전자</t>
        </is>
      </c>
      <c r="C1309" s="2" t="inlineStr">
        <is>
          <t>코스피</t>
        </is>
      </c>
      <c r="D1309" s="2" t="inlineStr">
        <is>
          <t>005930</t>
        </is>
      </c>
      <c r="E1309" s="3" t="inlineStr">
        <is>
          <t>임원ㆍ주요주주특정증권등소유상황보고서</t>
        </is>
      </c>
      <c r="F1309" s="3" t="inlineStr">
        <is>
          <t>최유진</t>
        </is>
      </c>
      <c r="G1309" s="2" t="inlineStr">
        <is>
          <t>20260202000581</t>
        </is>
      </c>
      <c r="H1309" s="8">
        <f>HYPERLINK("https://dart.fss.or.kr/dsaf001/main.do?rcpNo=20260202000581", "공시열람")</f>
        <v/>
      </c>
    </row>
    <row r="1310">
      <c r="A1310" s="2" t="inlineStr">
        <is>
          <t>2026-02-02</t>
        </is>
      </c>
      <c r="B1310" s="3" t="inlineStr">
        <is>
          <t>삼성전자</t>
        </is>
      </c>
      <c r="C1310" s="2" t="inlineStr">
        <is>
          <t>코스피</t>
        </is>
      </c>
      <c r="D1310" s="2" t="inlineStr">
        <is>
          <t>005930</t>
        </is>
      </c>
      <c r="E1310" s="3" t="inlineStr">
        <is>
          <t>임원ㆍ주요주주특정증권등소유상황보고서</t>
        </is>
      </c>
      <c r="F1310" s="3" t="inlineStr">
        <is>
          <t>백상훈</t>
        </is>
      </c>
      <c r="G1310" s="2" t="inlineStr">
        <is>
          <t>20260202000579</t>
        </is>
      </c>
      <c r="H1310" s="8">
        <f>HYPERLINK("https://dart.fss.or.kr/dsaf001/main.do?rcpNo=20260202000579", "공시열람")</f>
        <v/>
      </c>
    </row>
    <row r="1311">
      <c r="A1311" s="2" t="inlineStr">
        <is>
          <t>2026-02-02</t>
        </is>
      </c>
      <c r="B1311" s="3" t="inlineStr">
        <is>
          <t>삼성전자</t>
        </is>
      </c>
      <c r="C1311" s="2" t="inlineStr">
        <is>
          <t>코스피</t>
        </is>
      </c>
      <c r="D1311" s="2" t="inlineStr">
        <is>
          <t>005930</t>
        </is>
      </c>
      <c r="E1311" s="3" t="inlineStr">
        <is>
          <t>임원ㆍ주요주주특정증권등소유상황보고서</t>
        </is>
      </c>
      <c r="F1311" s="3" t="inlineStr">
        <is>
          <t>지현기</t>
        </is>
      </c>
      <c r="G1311" s="2" t="inlineStr">
        <is>
          <t>20260202000578</t>
        </is>
      </c>
      <c r="H1311" s="8">
        <f>HYPERLINK("https://dart.fss.or.kr/dsaf001/main.do?rcpNo=20260202000578", "공시열람")</f>
        <v/>
      </c>
    </row>
    <row r="1312">
      <c r="A1312" s="2" t="inlineStr">
        <is>
          <t>2026-02-02</t>
        </is>
      </c>
      <c r="B1312" s="3" t="inlineStr">
        <is>
          <t>삼성전자</t>
        </is>
      </c>
      <c r="C1312" s="2" t="inlineStr">
        <is>
          <t>코스피</t>
        </is>
      </c>
      <c r="D1312" s="2" t="inlineStr">
        <is>
          <t>005930</t>
        </is>
      </c>
      <c r="E1312" s="3" t="inlineStr">
        <is>
          <t>임원ㆍ주요주주특정증권등소유상황보고서</t>
        </is>
      </c>
      <c r="F1312" s="3" t="inlineStr">
        <is>
          <t>박상도</t>
        </is>
      </c>
      <c r="G1312" s="2" t="inlineStr">
        <is>
          <t>20260202000577</t>
        </is>
      </c>
      <c r="H1312" s="8">
        <f>HYPERLINK("https://dart.fss.or.kr/dsaf001/main.do?rcpNo=20260202000577", "공시열람")</f>
        <v/>
      </c>
    </row>
    <row r="1313">
      <c r="A1313" s="2" t="inlineStr">
        <is>
          <t>2026-02-02</t>
        </is>
      </c>
      <c r="B1313" s="3" t="inlineStr">
        <is>
          <t>삼성전자</t>
        </is>
      </c>
      <c r="C1313" s="2" t="inlineStr">
        <is>
          <t>코스피</t>
        </is>
      </c>
      <c r="D1313" s="2" t="inlineStr">
        <is>
          <t>005930</t>
        </is>
      </c>
      <c r="E1313" s="3" t="inlineStr">
        <is>
          <t>임원ㆍ주요주주특정증권등소유상황보고서</t>
        </is>
      </c>
      <c r="F1313" s="3" t="inlineStr">
        <is>
          <t>송정은</t>
        </is>
      </c>
      <c r="G1313" s="2" t="inlineStr">
        <is>
          <t>20260202000576</t>
        </is>
      </c>
      <c r="H1313" s="8">
        <f>HYPERLINK("https://dart.fss.or.kr/dsaf001/main.do?rcpNo=20260202000576", "공시열람")</f>
        <v/>
      </c>
    </row>
    <row r="1314">
      <c r="A1314" s="2" t="inlineStr">
        <is>
          <t>2026-02-02</t>
        </is>
      </c>
      <c r="B1314" s="3" t="inlineStr">
        <is>
          <t>삼성전자</t>
        </is>
      </c>
      <c r="C1314" s="2" t="inlineStr">
        <is>
          <t>코스피</t>
        </is>
      </c>
      <c r="D1314" s="2" t="inlineStr">
        <is>
          <t>005930</t>
        </is>
      </c>
      <c r="E1314" s="3" t="inlineStr">
        <is>
          <t>임원ㆍ주요주주특정증권등소유상황보고서</t>
        </is>
      </c>
      <c r="F1314" s="3" t="inlineStr">
        <is>
          <t>정기호</t>
        </is>
      </c>
      <c r="G1314" s="2" t="inlineStr">
        <is>
          <t>20260202000575</t>
        </is>
      </c>
      <c r="H1314" s="8">
        <f>HYPERLINK("https://dart.fss.or.kr/dsaf001/main.do?rcpNo=20260202000575", "공시열람")</f>
        <v/>
      </c>
    </row>
    <row r="1315">
      <c r="A1315" s="2" t="inlineStr">
        <is>
          <t>2026-02-02</t>
        </is>
      </c>
      <c r="B1315" s="3" t="inlineStr">
        <is>
          <t>삼성전자</t>
        </is>
      </c>
      <c r="C1315" s="2" t="inlineStr">
        <is>
          <t>코스피</t>
        </is>
      </c>
      <c r="D1315" s="2" t="inlineStr">
        <is>
          <t>005930</t>
        </is>
      </c>
      <c r="E1315" s="3" t="inlineStr">
        <is>
          <t>임원ㆍ주요주주특정증권등소유상황보고서</t>
        </is>
      </c>
      <c r="F1315" s="3" t="inlineStr">
        <is>
          <t>채원철</t>
        </is>
      </c>
      <c r="G1315" s="2" t="inlineStr">
        <is>
          <t>20260202000574</t>
        </is>
      </c>
      <c r="H1315" s="8">
        <f>HYPERLINK("https://dart.fss.or.kr/dsaf001/main.do?rcpNo=20260202000574", "공시열람")</f>
        <v/>
      </c>
    </row>
    <row r="1316">
      <c r="A1316" s="2" t="inlineStr">
        <is>
          <t>2026-02-02</t>
        </is>
      </c>
      <c r="B1316" s="3" t="inlineStr">
        <is>
          <t>삼성전자</t>
        </is>
      </c>
      <c r="C1316" s="2" t="inlineStr">
        <is>
          <t>코스피</t>
        </is>
      </c>
      <c r="D1316" s="2" t="inlineStr">
        <is>
          <t>005930</t>
        </is>
      </c>
      <c r="E1316" s="3" t="inlineStr">
        <is>
          <t>임원ㆍ주요주주특정증권등소유상황보고서</t>
        </is>
      </c>
      <c r="F1316" s="3" t="inlineStr">
        <is>
          <t>윤주한</t>
        </is>
      </c>
      <c r="G1316" s="2" t="inlineStr">
        <is>
          <t>20260202000573</t>
        </is>
      </c>
      <c r="H1316" s="8">
        <f>HYPERLINK("https://dart.fss.or.kr/dsaf001/main.do?rcpNo=20260202000573", "공시열람")</f>
        <v/>
      </c>
    </row>
    <row r="1317">
      <c r="A1317" s="2" t="inlineStr">
        <is>
          <t>2026-02-02</t>
        </is>
      </c>
      <c r="B1317" s="3" t="inlineStr">
        <is>
          <t>삼성전자</t>
        </is>
      </c>
      <c r="C1317" s="2" t="inlineStr">
        <is>
          <t>코스피</t>
        </is>
      </c>
      <c r="D1317" s="2" t="inlineStr">
        <is>
          <t>005930</t>
        </is>
      </c>
      <c r="E1317" s="3" t="inlineStr">
        <is>
          <t>임원ㆍ주요주주특정증권등소유상황보고서</t>
        </is>
      </c>
      <c r="F1317" s="3" t="inlineStr">
        <is>
          <t>박정대</t>
        </is>
      </c>
      <c r="G1317" s="2" t="inlineStr">
        <is>
          <t>20260202000572</t>
        </is>
      </c>
      <c r="H1317" s="8">
        <f>HYPERLINK("https://dart.fss.or.kr/dsaf001/main.do?rcpNo=20260202000572", "공시열람")</f>
        <v/>
      </c>
    </row>
    <row r="1318">
      <c r="A1318" s="2" t="inlineStr">
        <is>
          <t>2026-02-02</t>
        </is>
      </c>
      <c r="B1318" s="3" t="inlineStr">
        <is>
          <t>삼성전자</t>
        </is>
      </c>
      <c r="C1318" s="2" t="inlineStr">
        <is>
          <t>코스피</t>
        </is>
      </c>
      <c r="D1318" s="2" t="inlineStr">
        <is>
          <t>005930</t>
        </is>
      </c>
      <c r="E1318" s="3" t="inlineStr">
        <is>
          <t>임원ㆍ주요주주특정증권등소유상황보고서</t>
        </is>
      </c>
      <c r="F1318" s="3" t="inlineStr">
        <is>
          <t>조성제</t>
        </is>
      </c>
      <c r="G1318" s="2" t="inlineStr">
        <is>
          <t>20260202000571</t>
        </is>
      </c>
      <c r="H1318" s="8">
        <f>HYPERLINK("https://dart.fss.or.kr/dsaf001/main.do?rcpNo=20260202000571", "공시열람")</f>
        <v/>
      </c>
    </row>
    <row r="1319">
      <c r="A1319" s="2" t="inlineStr">
        <is>
          <t>2026-02-02</t>
        </is>
      </c>
      <c r="B1319" s="3" t="inlineStr">
        <is>
          <t>삼성전자</t>
        </is>
      </c>
      <c r="C1319" s="2" t="inlineStr">
        <is>
          <t>코스피</t>
        </is>
      </c>
      <c r="D1319" s="2" t="inlineStr">
        <is>
          <t>005930</t>
        </is>
      </c>
      <c r="E1319" s="3" t="inlineStr">
        <is>
          <t>임원ㆍ주요주주특정증권등소유상황보고서</t>
        </is>
      </c>
      <c r="F1319" s="3" t="inlineStr">
        <is>
          <t>전진규</t>
        </is>
      </c>
      <c r="G1319" s="2" t="inlineStr">
        <is>
          <t>20260202000570</t>
        </is>
      </c>
      <c r="H1319" s="8">
        <f>HYPERLINK("https://dart.fss.or.kr/dsaf001/main.do?rcpNo=20260202000570", "공시열람")</f>
        <v/>
      </c>
    </row>
    <row r="1320">
      <c r="A1320" s="2" t="inlineStr">
        <is>
          <t>2026-02-02</t>
        </is>
      </c>
      <c r="B1320" s="3" t="inlineStr">
        <is>
          <t>삼성전자</t>
        </is>
      </c>
      <c r="C1320" s="2" t="inlineStr">
        <is>
          <t>코스피</t>
        </is>
      </c>
      <c r="D1320" s="2" t="inlineStr">
        <is>
          <t>005930</t>
        </is>
      </c>
      <c r="E1320" s="3" t="inlineStr">
        <is>
          <t>임원ㆍ주요주주특정증권등소유상황보고서</t>
        </is>
      </c>
      <c r="F1320" s="3" t="inlineStr">
        <is>
          <t>이영수</t>
        </is>
      </c>
      <c r="G1320" s="2" t="inlineStr">
        <is>
          <t>20260202000568</t>
        </is>
      </c>
      <c r="H1320" s="8">
        <f>HYPERLINK("https://dart.fss.or.kr/dsaf001/main.do?rcpNo=20260202000568", "공시열람")</f>
        <v/>
      </c>
    </row>
    <row r="1321">
      <c r="A1321" s="2" t="inlineStr">
        <is>
          <t>2026-02-02</t>
        </is>
      </c>
      <c r="B1321" s="3" t="inlineStr">
        <is>
          <t>지투파워</t>
        </is>
      </c>
      <c r="C1321" s="2" t="inlineStr">
        <is>
          <t>코스닥</t>
        </is>
      </c>
      <c r="D1321" s="2" t="inlineStr">
        <is>
          <t>388050</t>
        </is>
      </c>
      <c r="E1321" s="3" t="inlineStr">
        <is>
          <t>임원ㆍ주요주주특정증권등소유상황보고서</t>
        </is>
      </c>
      <c r="F1321" s="3" t="inlineStr">
        <is>
          <t>이길주</t>
        </is>
      </c>
      <c r="G1321" s="2" t="inlineStr">
        <is>
          <t>20260202000567</t>
        </is>
      </c>
      <c r="H1321" s="8">
        <f>HYPERLINK("https://dart.fss.or.kr/dsaf001/main.do?rcpNo=20260202000567", "공시열람")</f>
        <v/>
      </c>
    </row>
    <row r="1322">
      <c r="A1322" s="2" t="inlineStr">
        <is>
          <t>2026-02-02</t>
        </is>
      </c>
      <c r="B1322" s="3" t="inlineStr">
        <is>
          <t>삼성전자</t>
        </is>
      </c>
      <c r="C1322" s="2" t="inlineStr">
        <is>
          <t>코스피</t>
        </is>
      </c>
      <c r="D1322" s="2" t="inlineStr">
        <is>
          <t>005930</t>
        </is>
      </c>
      <c r="E1322" s="3" t="inlineStr">
        <is>
          <t>임원ㆍ주요주주특정증권등소유상황보고서</t>
        </is>
      </c>
      <c r="F1322" s="3" t="inlineStr">
        <is>
          <t>이원용</t>
        </is>
      </c>
      <c r="G1322" s="2" t="inlineStr">
        <is>
          <t>20260202000565</t>
        </is>
      </c>
      <c r="H1322" s="8">
        <f>HYPERLINK("https://dart.fss.or.kr/dsaf001/main.do?rcpNo=20260202000565", "공시열람")</f>
        <v/>
      </c>
    </row>
    <row r="1323">
      <c r="A1323" s="2" t="inlineStr">
        <is>
          <t>2026-02-02</t>
        </is>
      </c>
      <c r="B1323" s="3" t="inlineStr">
        <is>
          <t>삼성전자</t>
        </is>
      </c>
      <c r="C1323" s="2" t="inlineStr">
        <is>
          <t>코스피</t>
        </is>
      </c>
      <c r="D1323" s="2" t="inlineStr">
        <is>
          <t>005930</t>
        </is>
      </c>
      <c r="E1323" s="3" t="inlineStr">
        <is>
          <t>임원ㆍ주요주주특정증권등소유상황보고서</t>
        </is>
      </c>
      <c r="F1323" s="3" t="inlineStr">
        <is>
          <t>전상욱</t>
        </is>
      </c>
      <c r="G1323" s="2" t="inlineStr">
        <is>
          <t>20260202000563</t>
        </is>
      </c>
      <c r="H1323" s="8">
        <f>HYPERLINK("https://dart.fss.or.kr/dsaf001/main.do?rcpNo=20260202000563", "공시열람")</f>
        <v/>
      </c>
    </row>
    <row r="1324">
      <c r="A1324" s="2" t="inlineStr">
        <is>
          <t>2026-02-02</t>
        </is>
      </c>
      <c r="B1324" s="3" t="inlineStr">
        <is>
          <t>삼성전자</t>
        </is>
      </c>
      <c r="C1324" s="2" t="inlineStr">
        <is>
          <t>코스피</t>
        </is>
      </c>
      <c r="D1324" s="2" t="inlineStr">
        <is>
          <t>005930</t>
        </is>
      </c>
      <c r="E1324" s="3" t="inlineStr">
        <is>
          <t>임원ㆍ주요주주특정증권등소유상황보고서</t>
        </is>
      </c>
      <c r="F1324" s="3" t="inlineStr">
        <is>
          <t>박은중</t>
        </is>
      </c>
      <c r="G1324" s="2" t="inlineStr">
        <is>
          <t>20260202000562</t>
        </is>
      </c>
      <c r="H1324" s="8">
        <f>HYPERLINK("https://dart.fss.or.kr/dsaf001/main.do?rcpNo=20260202000562", "공시열람")</f>
        <v/>
      </c>
    </row>
    <row r="1325">
      <c r="A1325" s="2" t="inlineStr">
        <is>
          <t>2026-02-02</t>
        </is>
      </c>
      <c r="B1325" s="3" t="inlineStr">
        <is>
          <t>삼성전자</t>
        </is>
      </c>
      <c r="C1325" s="2" t="inlineStr">
        <is>
          <t>코스피</t>
        </is>
      </c>
      <c r="D1325" s="2" t="inlineStr">
        <is>
          <t>005930</t>
        </is>
      </c>
      <c r="E1325" s="3" t="inlineStr">
        <is>
          <t>임원ㆍ주요주주특정증권등소유상황보고서</t>
        </is>
      </c>
      <c r="F1325" s="3" t="inlineStr">
        <is>
          <t>박재헌</t>
        </is>
      </c>
      <c r="G1325" s="2" t="inlineStr">
        <is>
          <t>20260202000561</t>
        </is>
      </c>
      <c r="H1325" s="8">
        <f>HYPERLINK("https://dart.fss.or.kr/dsaf001/main.do?rcpNo=20260202000561", "공시열람")</f>
        <v/>
      </c>
    </row>
    <row r="1326">
      <c r="A1326" s="2" t="inlineStr">
        <is>
          <t>2026-02-02</t>
        </is>
      </c>
      <c r="B1326" s="3" t="inlineStr">
        <is>
          <t>삼성전자</t>
        </is>
      </c>
      <c r="C1326" s="2" t="inlineStr">
        <is>
          <t>코스피</t>
        </is>
      </c>
      <c r="D1326" s="2" t="inlineStr">
        <is>
          <t>005930</t>
        </is>
      </c>
      <c r="E1326" s="3" t="inlineStr">
        <is>
          <t>임원ㆍ주요주주특정증권등소유상황보고서</t>
        </is>
      </c>
      <c r="F1326" s="3" t="inlineStr">
        <is>
          <t>김승연</t>
        </is>
      </c>
      <c r="G1326" s="2" t="inlineStr">
        <is>
          <t>20260202000560</t>
        </is>
      </c>
      <c r="H1326" s="8">
        <f>HYPERLINK("https://dart.fss.or.kr/dsaf001/main.do?rcpNo=20260202000560", "공시열람")</f>
        <v/>
      </c>
    </row>
    <row r="1327">
      <c r="A1327" s="2" t="inlineStr">
        <is>
          <t>2026-02-02</t>
        </is>
      </c>
      <c r="B1327" s="3" t="inlineStr">
        <is>
          <t>삼성전자</t>
        </is>
      </c>
      <c r="C1327" s="2" t="inlineStr">
        <is>
          <t>코스피</t>
        </is>
      </c>
      <c r="D1327" s="2" t="inlineStr">
        <is>
          <t>005930</t>
        </is>
      </c>
      <c r="E1327" s="3" t="inlineStr">
        <is>
          <t>임원ㆍ주요주주특정증권등소유상황보고서</t>
        </is>
      </c>
      <c r="F1327" s="3" t="inlineStr">
        <is>
          <t>송기재</t>
        </is>
      </c>
      <c r="G1327" s="2" t="inlineStr">
        <is>
          <t>20260202000559</t>
        </is>
      </c>
      <c r="H1327" s="8">
        <f>HYPERLINK("https://dart.fss.or.kr/dsaf001/main.do?rcpNo=20260202000559", "공시열람")</f>
        <v/>
      </c>
    </row>
    <row r="1328">
      <c r="A1328" s="2" t="inlineStr">
        <is>
          <t>2026-02-02</t>
        </is>
      </c>
      <c r="B1328" s="3" t="inlineStr">
        <is>
          <t>삼성전자</t>
        </is>
      </c>
      <c r="C1328" s="2" t="inlineStr">
        <is>
          <t>코스피</t>
        </is>
      </c>
      <c r="D1328" s="2" t="inlineStr">
        <is>
          <t>005930</t>
        </is>
      </c>
      <c r="E1328" s="3" t="inlineStr">
        <is>
          <t>임원ㆍ주요주주특정증권등소유상황보고서</t>
        </is>
      </c>
      <c r="F1328" s="3" t="inlineStr">
        <is>
          <t>안주원</t>
        </is>
      </c>
      <c r="G1328" s="2" t="inlineStr">
        <is>
          <t>20260202000558</t>
        </is>
      </c>
      <c r="H1328" s="8">
        <f>HYPERLINK("https://dart.fss.or.kr/dsaf001/main.do?rcpNo=20260202000558", "공시열람")</f>
        <v/>
      </c>
    </row>
    <row r="1329">
      <c r="A1329" s="2" t="inlineStr">
        <is>
          <t>2026-02-02</t>
        </is>
      </c>
      <c r="B1329" s="3" t="inlineStr">
        <is>
          <t>삼성전자</t>
        </is>
      </c>
      <c r="C1329" s="2" t="inlineStr">
        <is>
          <t>코스피</t>
        </is>
      </c>
      <c r="D1329" s="2" t="inlineStr">
        <is>
          <t>005930</t>
        </is>
      </c>
      <c r="E1329" s="3" t="inlineStr">
        <is>
          <t>임원ㆍ주요주주특정증권등소유상황보고서</t>
        </is>
      </c>
      <c r="F1329" s="3" t="inlineStr">
        <is>
          <t>박일한</t>
        </is>
      </c>
      <c r="G1329" s="2" t="inlineStr">
        <is>
          <t>20260202000557</t>
        </is>
      </c>
      <c r="H1329" s="8">
        <f>HYPERLINK("https://dart.fss.or.kr/dsaf001/main.do?rcpNo=20260202000557", "공시열람")</f>
        <v/>
      </c>
    </row>
    <row r="1330">
      <c r="A1330" s="2" t="inlineStr">
        <is>
          <t>2026-02-02 (정정: 2026-02-26)</t>
        </is>
      </c>
      <c r="B1330" s="3" t="inlineStr">
        <is>
          <t>제닉스로보틱스</t>
        </is>
      </c>
      <c r="C1330" s="2" t="inlineStr">
        <is>
          <t>코스닥</t>
        </is>
      </c>
      <c r="D1330" s="2" t="inlineStr">
        <is>
          <t>381620</t>
        </is>
      </c>
      <c r="E1330" s="3" t="inlineStr">
        <is>
          <t>결산실적공시예고               (정정: 20260226)</t>
        </is>
      </c>
      <c r="F1330" s="3" t="inlineStr">
        <is>
          <t>제닉스로보틱스</t>
        </is>
      </c>
      <c r="G1330" s="2" t="inlineStr">
        <is>
          <t>20260226001383</t>
        </is>
      </c>
      <c r="H1330" s="8">
        <f>HYPERLINK("https://dart.fss.or.kr/dsaf001/main.do?rcpNo=20260226001383", "공시열람")</f>
        <v/>
      </c>
    </row>
    <row r="1331">
      <c r="A1331" s="2" t="inlineStr">
        <is>
          <t>2026-02-02</t>
        </is>
      </c>
      <c r="B1331" s="3" t="inlineStr">
        <is>
          <t>삼성전자</t>
        </is>
      </c>
      <c r="C1331" s="2" t="inlineStr">
        <is>
          <t>코스피</t>
        </is>
      </c>
      <c r="D1331" s="2" t="inlineStr">
        <is>
          <t>005930</t>
        </is>
      </c>
      <c r="E1331" s="3" t="inlineStr">
        <is>
          <t>임원ㆍ주요주주특정증권등소유상황보고서</t>
        </is>
      </c>
      <c r="F1331" s="3" t="inlineStr">
        <is>
          <t>김대현</t>
        </is>
      </c>
      <c r="G1331" s="2" t="inlineStr">
        <is>
          <t>20260202000556</t>
        </is>
      </c>
      <c r="H1331" s="8">
        <f>HYPERLINK("https://dart.fss.or.kr/dsaf001/main.do?rcpNo=20260202000556", "공시열람")</f>
        <v/>
      </c>
    </row>
    <row r="1332">
      <c r="A1332" s="2" t="inlineStr">
        <is>
          <t>2026-02-02</t>
        </is>
      </c>
      <c r="B1332" s="3" t="inlineStr">
        <is>
          <t>삼성전자</t>
        </is>
      </c>
      <c r="C1332" s="2" t="inlineStr">
        <is>
          <t>코스피</t>
        </is>
      </c>
      <c r="D1332" s="2" t="inlineStr">
        <is>
          <t>005930</t>
        </is>
      </c>
      <c r="E1332" s="3" t="inlineStr">
        <is>
          <t>임원ㆍ주요주주특정증권등소유상황보고서</t>
        </is>
      </c>
      <c r="F1332" s="3" t="inlineStr">
        <is>
          <t>신의창</t>
        </is>
      </c>
      <c r="G1332" s="2" t="inlineStr">
        <is>
          <t>20260202000555</t>
        </is>
      </c>
      <c r="H1332" s="8">
        <f>HYPERLINK("https://dart.fss.or.kr/dsaf001/main.do?rcpNo=20260202000555", "공시열람")</f>
        <v/>
      </c>
    </row>
    <row r="1333">
      <c r="A1333" s="2" t="inlineStr">
        <is>
          <t>2026-02-02</t>
        </is>
      </c>
      <c r="B1333" s="3" t="inlineStr">
        <is>
          <t>삼성전자</t>
        </is>
      </c>
      <c r="C1333" s="2" t="inlineStr">
        <is>
          <t>코스피</t>
        </is>
      </c>
      <c r="D1333" s="2" t="inlineStr">
        <is>
          <t>005930</t>
        </is>
      </c>
      <c r="E1333" s="3" t="inlineStr">
        <is>
          <t>임원ㆍ주요주주특정증권등소유상황보고서</t>
        </is>
      </c>
      <c r="F1333" s="3" t="inlineStr">
        <is>
          <t>유규태</t>
        </is>
      </c>
      <c r="G1333" s="2" t="inlineStr">
        <is>
          <t>20260202000554</t>
        </is>
      </c>
      <c r="H1333" s="8">
        <f>HYPERLINK("https://dart.fss.or.kr/dsaf001/main.do?rcpNo=20260202000554", "공시열람")</f>
        <v/>
      </c>
    </row>
    <row r="1334">
      <c r="A1334" s="2" t="inlineStr">
        <is>
          <t>2026-02-02</t>
        </is>
      </c>
      <c r="B1334" s="3" t="inlineStr">
        <is>
          <t>GS글로벌</t>
        </is>
      </c>
      <c r="C1334" s="2" t="inlineStr">
        <is>
          <t>코스피</t>
        </is>
      </c>
      <c r="D1334" s="2" t="inlineStr">
        <is>
          <t>001250</t>
        </is>
      </c>
      <c r="E1334" s="3" t="inlineStr">
        <is>
          <t>지급수단별ㆍ지급기간별지급금액및분쟁조정기구에관한사항</t>
        </is>
      </c>
      <c r="F1334" s="3" t="inlineStr">
        <is>
          <t>GS글로벌</t>
        </is>
      </c>
      <c r="G1334" s="2" t="inlineStr">
        <is>
          <t>20260202000553</t>
        </is>
      </c>
      <c r="H1334" s="8">
        <f>HYPERLINK("https://dart.fss.or.kr/dsaf001/main.do?rcpNo=20260202000553", "공시열람")</f>
        <v/>
      </c>
    </row>
    <row r="1335">
      <c r="A1335" s="2" t="inlineStr">
        <is>
          <t>2026-02-02</t>
        </is>
      </c>
      <c r="B1335" s="3" t="inlineStr">
        <is>
          <t>삼성전자</t>
        </is>
      </c>
      <c r="C1335" s="2" t="inlineStr">
        <is>
          <t>코스피</t>
        </is>
      </c>
      <c r="D1335" s="2" t="inlineStr">
        <is>
          <t>005930</t>
        </is>
      </c>
      <c r="E1335" s="3" t="inlineStr">
        <is>
          <t>임원ㆍ주요주주특정증권등소유상황보고서</t>
        </is>
      </c>
      <c r="F1335" s="3" t="inlineStr">
        <is>
          <t>김강태</t>
        </is>
      </c>
      <c r="G1335" s="2" t="inlineStr">
        <is>
          <t>20260202000552</t>
        </is>
      </c>
      <c r="H1335" s="8">
        <f>HYPERLINK("https://dart.fss.or.kr/dsaf001/main.do?rcpNo=20260202000552", "공시열람")</f>
        <v/>
      </c>
    </row>
    <row r="1336">
      <c r="A1336" s="2" t="inlineStr">
        <is>
          <t>2026-02-02</t>
        </is>
      </c>
      <c r="B1336" s="3" t="inlineStr">
        <is>
          <t>삼성전자</t>
        </is>
      </c>
      <c r="C1336" s="2" t="inlineStr">
        <is>
          <t>코스피</t>
        </is>
      </c>
      <c r="D1336" s="2" t="inlineStr">
        <is>
          <t>005930</t>
        </is>
      </c>
      <c r="E1336" s="3" t="inlineStr">
        <is>
          <t>임원ㆍ주요주주특정증권등소유상황보고서</t>
        </is>
      </c>
      <c r="F1336" s="3" t="inlineStr">
        <is>
          <t>조호근</t>
        </is>
      </c>
      <c r="G1336" s="2" t="inlineStr">
        <is>
          <t>20260202000550</t>
        </is>
      </c>
      <c r="H1336" s="8">
        <f>HYPERLINK("https://dart.fss.or.kr/dsaf001/main.do?rcpNo=20260202000550", "공시열람")</f>
        <v/>
      </c>
    </row>
    <row r="1337">
      <c r="A1337" s="2" t="inlineStr">
        <is>
          <t>2026-02-02</t>
        </is>
      </c>
      <c r="B1337" s="3" t="inlineStr">
        <is>
          <t>삼성전자</t>
        </is>
      </c>
      <c r="C1337" s="2" t="inlineStr">
        <is>
          <t>코스피</t>
        </is>
      </c>
      <c r="D1337" s="2" t="inlineStr">
        <is>
          <t>005930</t>
        </is>
      </c>
      <c r="E1337" s="3" t="inlineStr">
        <is>
          <t>임원ㆍ주요주주특정증권등소유상황보고서</t>
        </is>
      </c>
      <c r="F1337" s="3" t="inlineStr">
        <is>
          <t>김민우</t>
        </is>
      </c>
      <c r="G1337" s="2" t="inlineStr">
        <is>
          <t>20260202000549</t>
        </is>
      </c>
      <c r="H1337" s="8">
        <f>HYPERLINK("https://dart.fss.or.kr/dsaf001/main.do?rcpNo=20260202000549", "공시열람")</f>
        <v/>
      </c>
    </row>
    <row r="1338">
      <c r="A1338" s="2" t="inlineStr">
        <is>
          <t>2026-02-02</t>
        </is>
      </c>
      <c r="B1338" s="3" t="inlineStr">
        <is>
          <t>삼성전자</t>
        </is>
      </c>
      <c r="C1338" s="2" t="inlineStr">
        <is>
          <t>코스피</t>
        </is>
      </c>
      <c r="D1338" s="2" t="inlineStr">
        <is>
          <t>005930</t>
        </is>
      </c>
      <c r="E1338" s="3" t="inlineStr">
        <is>
          <t>임원ㆍ주요주주특정증권등소유상황보고서</t>
        </is>
      </c>
      <c r="F1338" s="3" t="inlineStr">
        <is>
          <t>박상욱</t>
        </is>
      </c>
      <c r="G1338" s="2" t="inlineStr">
        <is>
          <t>20260202000548</t>
        </is>
      </c>
      <c r="H1338" s="8">
        <f>HYPERLINK("https://dart.fss.or.kr/dsaf001/main.do?rcpNo=20260202000548", "공시열람")</f>
        <v/>
      </c>
    </row>
    <row r="1339">
      <c r="A1339" s="2" t="inlineStr">
        <is>
          <t>2026-02-02</t>
        </is>
      </c>
      <c r="B1339" s="3" t="inlineStr">
        <is>
          <t>지투파워</t>
        </is>
      </c>
      <c r="C1339" s="2" t="inlineStr">
        <is>
          <t>코스닥</t>
        </is>
      </c>
      <c r="D1339" s="2" t="inlineStr">
        <is>
          <t>388050</t>
        </is>
      </c>
      <c r="E1339" s="3" t="inlineStr">
        <is>
          <t>임원ㆍ주요주주특정증권등소유상황보고서</t>
        </is>
      </c>
      <c r="F1339" s="3" t="inlineStr">
        <is>
          <t>이광진</t>
        </is>
      </c>
      <c r="G1339" s="2" t="inlineStr">
        <is>
          <t>20260202000546</t>
        </is>
      </c>
      <c r="H1339" s="8">
        <f>HYPERLINK("https://dart.fss.or.kr/dsaf001/main.do?rcpNo=20260202000546", "공시열람")</f>
        <v/>
      </c>
    </row>
    <row r="1340">
      <c r="A1340" s="2" t="inlineStr">
        <is>
          <t>2026-02-02</t>
        </is>
      </c>
      <c r="B1340" s="3" t="inlineStr">
        <is>
          <t>삼성전자</t>
        </is>
      </c>
      <c r="C1340" s="2" t="inlineStr">
        <is>
          <t>코스피</t>
        </is>
      </c>
      <c r="D1340" s="2" t="inlineStr">
        <is>
          <t>005930</t>
        </is>
      </c>
      <c r="E1340" s="3" t="inlineStr">
        <is>
          <t>임원ㆍ주요주주특정증권등소유상황보고서</t>
        </is>
      </c>
      <c r="F1340" s="3" t="inlineStr">
        <is>
          <t>홍준화</t>
        </is>
      </c>
      <c r="G1340" s="2" t="inlineStr">
        <is>
          <t>20260202000545</t>
        </is>
      </c>
      <c r="H1340" s="8">
        <f>HYPERLINK("https://dart.fss.or.kr/dsaf001/main.do?rcpNo=20260202000545", "공시열람")</f>
        <v/>
      </c>
    </row>
    <row r="1341">
      <c r="A1341" s="2" t="inlineStr">
        <is>
          <t>2026-02-02</t>
        </is>
      </c>
      <c r="B1341" s="3" t="inlineStr">
        <is>
          <t>삼성전자</t>
        </is>
      </c>
      <c r="C1341" s="2" t="inlineStr">
        <is>
          <t>코스피</t>
        </is>
      </c>
      <c r="D1341" s="2" t="inlineStr">
        <is>
          <t>005930</t>
        </is>
      </c>
      <c r="E1341" s="3" t="inlineStr">
        <is>
          <t>임원ㆍ주요주주특정증권등소유상황보고서</t>
        </is>
      </c>
      <c r="F1341" s="3" t="inlineStr">
        <is>
          <t>최항석</t>
        </is>
      </c>
      <c r="G1341" s="2" t="inlineStr">
        <is>
          <t>20260202000544</t>
        </is>
      </c>
      <c r="H1341" s="8">
        <f>HYPERLINK("https://dart.fss.or.kr/dsaf001/main.do?rcpNo=20260202000544", "공시열람")</f>
        <v/>
      </c>
    </row>
    <row r="1342">
      <c r="A1342" s="2" t="inlineStr">
        <is>
          <t>2026-02-02</t>
        </is>
      </c>
      <c r="B1342" s="3" t="inlineStr">
        <is>
          <t>삼성전자</t>
        </is>
      </c>
      <c r="C1342" s="2" t="inlineStr">
        <is>
          <t>코스피</t>
        </is>
      </c>
      <c r="D1342" s="2" t="inlineStr">
        <is>
          <t>005930</t>
        </is>
      </c>
      <c r="E1342" s="3" t="inlineStr">
        <is>
          <t>임원ㆍ주요주주특정증권등소유상황보고서</t>
        </is>
      </c>
      <c r="F1342" s="3" t="inlineStr">
        <is>
          <t>권호범</t>
        </is>
      </c>
      <c r="G1342" s="2" t="inlineStr">
        <is>
          <t>20260202000542</t>
        </is>
      </c>
      <c r="H1342" s="8">
        <f>HYPERLINK("https://dart.fss.or.kr/dsaf001/main.do?rcpNo=20260202000542", "공시열람")</f>
        <v/>
      </c>
    </row>
    <row r="1343">
      <c r="A1343" s="2" t="inlineStr">
        <is>
          <t>2026-02-02</t>
        </is>
      </c>
      <c r="B1343" s="3" t="inlineStr">
        <is>
          <t>삼성전자</t>
        </is>
      </c>
      <c r="C1343" s="2" t="inlineStr">
        <is>
          <t>코스피</t>
        </is>
      </c>
      <c r="D1343" s="2" t="inlineStr">
        <is>
          <t>005930</t>
        </is>
      </c>
      <c r="E1343" s="3" t="inlineStr">
        <is>
          <t>임원ㆍ주요주주특정증권등소유상황보고서</t>
        </is>
      </c>
      <c r="F1343" s="3" t="inlineStr">
        <is>
          <t>문태호</t>
        </is>
      </c>
      <c r="G1343" s="2" t="inlineStr">
        <is>
          <t>20260202000541</t>
        </is>
      </c>
      <c r="H1343" s="8">
        <f>HYPERLINK("https://dart.fss.or.kr/dsaf001/main.do?rcpNo=20260202000541", "공시열람")</f>
        <v/>
      </c>
    </row>
    <row r="1344">
      <c r="A1344" s="2" t="inlineStr">
        <is>
          <t>2026-02-02</t>
        </is>
      </c>
      <c r="B1344" s="3" t="inlineStr">
        <is>
          <t>삼성전자</t>
        </is>
      </c>
      <c r="C1344" s="2" t="inlineStr">
        <is>
          <t>코스피</t>
        </is>
      </c>
      <c r="D1344" s="2" t="inlineStr">
        <is>
          <t>005930</t>
        </is>
      </c>
      <c r="E1344" s="3" t="inlineStr">
        <is>
          <t>임원ㆍ주요주주특정증권등소유상황보고서</t>
        </is>
      </c>
      <c r="F1344" s="3" t="inlineStr">
        <is>
          <t>김현종</t>
        </is>
      </c>
      <c r="G1344" s="2" t="inlineStr">
        <is>
          <t>20260202000540</t>
        </is>
      </c>
      <c r="H1344" s="8">
        <f>HYPERLINK("https://dart.fss.or.kr/dsaf001/main.do?rcpNo=20260202000540", "공시열람")</f>
        <v/>
      </c>
    </row>
    <row r="1345">
      <c r="A1345" s="2" t="inlineStr">
        <is>
          <t>2026-02-02</t>
        </is>
      </c>
      <c r="B1345" s="3" t="inlineStr">
        <is>
          <t>삼성전자</t>
        </is>
      </c>
      <c r="C1345" s="2" t="inlineStr">
        <is>
          <t>코스피</t>
        </is>
      </c>
      <c r="D1345" s="2" t="inlineStr">
        <is>
          <t>005930</t>
        </is>
      </c>
      <c r="E1345" s="3" t="inlineStr">
        <is>
          <t>임원ㆍ주요주주특정증권등소유상황보고서</t>
        </is>
      </c>
      <c r="F1345" s="3" t="inlineStr">
        <is>
          <t>문준기</t>
        </is>
      </c>
      <c r="G1345" s="2" t="inlineStr">
        <is>
          <t>20260202000538</t>
        </is>
      </c>
      <c r="H1345" s="8">
        <f>HYPERLINK("https://dart.fss.or.kr/dsaf001/main.do?rcpNo=20260202000538", "공시열람")</f>
        <v/>
      </c>
    </row>
    <row r="1346">
      <c r="A1346" s="2" t="inlineStr">
        <is>
          <t>2026-02-02</t>
        </is>
      </c>
      <c r="B1346" s="3" t="inlineStr">
        <is>
          <t>삼성전자</t>
        </is>
      </c>
      <c r="C1346" s="2" t="inlineStr">
        <is>
          <t>코스피</t>
        </is>
      </c>
      <c r="D1346" s="2" t="inlineStr">
        <is>
          <t>005930</t>
        </is>
      </c>
      <c r="E1346" s="3" t="inlineStr">
        <is>
          <t>임원ㆍ주요주주특정증권등소유상황보고서</t>
        </is>
      </c>
      <c r="F1346" s="3" t="inlineStr">
        <is>
          <t>이형우</t>
        </is>
      </c>
      <c r="G1346" s="2" t="inlineStr">
        <is>
          <t>20260202000537</t>
        </is>
      </c>
      <c r="H1346" s="8">
        <f>HYPERLINK("https://dart.fss.or.kr/dsaf001/main.do?rcpNo=20260202000537", "공시열람")</f>
        <v/>
      </c>
    </row>
    <row r="1347">
      <c r="A1347" s="2" t="inlineStr">
        <is>
          <t>2026-02-02</t>
        </is>
      </c>
      <c r="B1347" s="3" t="inlineStr">
        <is>
          <t>삼성전자</t>
        </is>
      </c>
      <c r="C1347" s="2" t="inlineStr">
        <is>
          <t>코스피</t>
        </is>
      </c>
      <c r="D1347" s="2" t="inlineStr">
        <is>
          <t>005930</t>
        </is>
      </c>
      <c r="E1347" s="3" t="inlineStr">
        <is>
          <t>임원ㆍ주요주주특정증권등소유상황보고서</t>
        </is>
      </c>
      <c r="F1347" s="3" t="inlineStr">
        <is>
          <t>문석진</t>
        </is>
      </c>
      <c r="G1347" s="2" t="inlineStr">
        <is>
          <t>20260202000534</t>
        </is>
      </c>
      <c r="H1347" s="8">
        <f>HYPERLINK("https://dart.fss.or.kr/dsaf001/main.do?rcpNo=20260202000534", "공시열람")</f>
        <v/>
      </c>
    </row>
    <row r="1348">
      <c r="A1348" s="2" t="inlineStr">
        <is>
          <t>2026-02-02</t>
        </is>
      </c>
      <c r="B1348" s="3" t="inlineStr">
        <is>
          <t>삼성전자</t>
        </is>
      </c>
      <c r="C1348" s="2" t="inlineStr">
        <is>
          <t>코스피</t>
        </is>
      </c>
      <c r="D1348" s="2" t="inlineStr">
        <is>
          <t>005930</t>
        </is>
      </c>
      <c r="E1348" s="3" t="inlineStr">
        <is>
          <t>임원ㆍ주요주주특정증권등소유상황보고서</t>
        </is>
      </c>
      <c r="F1348" s="3" t="inlineStr">
        <is>
          <t>이명재</t>
        </is>
      </c>
      <c r="G1348" s="2" t="inlineStr">
        <is>
          <t>20260202000533</t>
        </is>
      </c>
      <c r="H1348" s="8">
        <f>HYPERLINK("https://dart.fss.or.kr/dsaf001/main.do?rcpNo=20260202000533", "공시열람")</f>
        <v/>
      </c>
    </row>
    <row r="1349">
      <c r="A1349" s="2" t="inlineStr">
        <is>
          <t>2026-02-02</t>
        </is>
      </c>
      <c r="B1349" s="3" t="inlineStr">
        <is>
          <t>삼성전자</t>
        </is>
      </c>
      <c r="C1349" s="2" t="inlineStr">
        <is>
          <t>코스피</t>
        </is>
      </c>
      <c r="D1349" s="2" t="inlineStr">
        <is>
          <t>005930</t>
        </is>
      </c>
      <c r="E1349" s="3" t="inlineStr">
        <is>
          <t>임원ㆍ주요주주특정증권등소유상황보고서</t>
        </is>
      </c>
      <c r="F1349" s="3" t="inlineStr">
        <is>
          <t>염강수</t>
        </is>
      </c>
      <c r="G1349" s="2" t="inlineStr">
        <is>
          <t>20260202000532</t>
        </is>
      </c>
      <c r="H1349" s="8">
        <f>HYPERLINK("https://dart.fss.or.kr/dsaf001/main.do?rcpNo=20260202000532", "공시열람")</f>
        <v/>
      </c>
    </row>
    <row r="1350">
      <c r="A1350" s="2" t="inlineStr">
        <is>
          <t>2026-02-02</t>
        </is>
      </c>
      <c r="B1350" s="3" t="inlineStr">
        <is>
          <t>삼성전자</t>
        </is>
      </c>
      <c r="C1350" s="2" t="inlineStr">
        <is>
          <t>코스피</t>
        </is>
      </c>
      <c r="D1350" s="2" t="inlineStr">
        <is>
          <t>005930</t>
        </is>
      </c>
      <c r="E1350" s="3" t="inlineStr">
        <is>
          <t>임원ㆍ주요주주특정증권등소유상황보고서</t>
        </is>
      </c>
      <c r="F1350" s="3" t="inlineStr">
        <is>
          <t>지혜령</t>
        </is>
      </c>
      <c r="G1350" s="2" t="inlineStr">
        <is>
          <t>20260202000531</t>
        </is>
      </c>
      <c r="H1350" s="8">
        <f>HYPERLINK("https://dart.fss.or.kr/dsaf001/main.do?rcpNo=20260202000531", "공시열람")</f>
        <v/>
      </c>
    </row>
    <row r="1351">
      <c r="A1351" s="2" t="inlineStr">
        <is>
          <t>2026-02-02</t>
        </is>
      </c>
      <c r="B1351" s="3" t="inlineStr">
        <is>
          <t>삼성전자</t>
        </is>
      </c>
      <c r="C1351" s="2" t="inlineStr">
        <is>
          <t>코스피</t>
        </is>
      </c>
      <c r="D1351" s="2" t="inlineStr">
        <is>
          <t>005930</t>
        </is>
      </c>
      <c r="E1351" s="3" t="inlineStr">
        <is>
          <t>임원ㆍ주요주주특정증권등소유상황보고서</t>
        </is>
      </c>
      <c r="F1351" s="3" t="inlineStr">
        <is>
          <t>양혜순</t>
        </is>
      </c>
      <c r="G1351" s="2" t="inlineStr">
        <is>
          <t>20260202000530</t>
        </is>
      </c>
      <c r="H1351" s="8">
        <f>HYPERLINK("https://dart.fss.or.kr/dsaf001/main.do?rcpNo=20260202000530", "공시열람")</f>
        <v/>
      </c>
    </row>
    <row r="1352">
      <c r="A1352" s="2" t="inlineStr">
        <is>
          <t>2026-02-02</t>
        </is>
      </c>
      <c r="B1352" s="3" t="inlineStr">
        <is>
          <t>삼성전자</t>
        </is>
      </c>
      <c r="C1352" s="2" t="inlineStr">
        <is>
          <t>코스피</t>
        </is>
      </c>
      <c r="D1352" s="2" t="inlineStr">
        <is>
          <t>005930</t>
        </is>
      </c>
      <c r="E1352" s="3" t="inlineStr">
        <is>
          <t>임원ㆍ주요주주특정증권등소유상황보고서</t>
        </is>
      </c>
      <c r="F1352" s="3" t="inlineStr">
        <is>
          <t>허정철</t>
        </is>
      </c>
      <c r="G1352" s="2" t="inlineStr">
        <is>
          <t>20260202000529</t>
        </is>
      </c>
      <c r="H1352" s="8">
        <f>HYPERLINK("https://dart.fss.or.kr/dsaf001/main.do?rcpNo=20260202000529", "공시열람")</f>
        <v/>
      </c>
    </row>
    <row r="1353">
      <c r="A1353" s="2" t="inlineStr">
        <is>
          <t>2026-02-02</t>
        </is>
      </c>
      <c r="B1353" s="3" t="inlineStr">
        <is>
          <t>SP삼화</t>
        </is>
      </c>
      <c r="C1353" s="2" t="inlineStr">
        <is>
          <t>코스피</t>
        </is>
      </c>
      <c r="D1353" s="2" t="inlineStr">
        <is>
          <t>000390</t>
        </is>
      </c>
      <c r="E1353" s="3" t="inlineStr">
        <is>
          <t xml:space="preserve">현금ㆍ현물배당결정              </t>
        </is>
      </c>
      <c r="F1353" s="3" t="inlineStr">
        <is>
          <t>SP삼화</t>
        </is>
      </c>
      <c r="G1353" s="2" t="inlineStr">
        <is>
          <t>20260202800886</t>
        </is>
      </c>
      <c r="H1353" s="8">
        <f>HYPERLINK("https://dart.fss.or.kr/dsaf001/main.do?rcpNo=20260202800886", "공시열람")</f>
        <v/>
      </c>
    </row>
    <row r="1354">
      <c r="A1354" s="2" t="inlineStr">
        <is>
          <t>2026-02-02</t>
        </is>
      </c>
      <c r="B1354" s="3" t="inlineStr">
        <is>
          <t>삼성전자</t>
        </is>
      </c>
      <c r="C1354" s="2" t="inlineStr">
        <is>
          <t>코스피</t>
        </is>
      </c>
      <c r="D1354" s="2" t="inlineStr">
        <is>
          <t>005930</t>
        </is>
      </c>
      <c r="E1354" s="3" t="inlineStr">
        <is>
          <t>임원ㆍ주요주주특정증권등소유상황보고서</t>
        </is>
      </c>
      <c r="F1354" s="3" t="inlineStr">
        <is>
          <t>엄재훈</t>
        </is>
      </c>
      <c r="G1354" s="2" t="inlineStr">
        <is>
          <t>20260202000527</t>
        </is>
      </c>
      <c r="H1354" s="8">
        <f>HYPERLINK("https://dart.fss.or.kr/dsaf001/main.do?rcpNo=20260202000527", "공시열람")</f>
        <v/>
      </c>
    </row>
    <row r="1355">
      <c r="A1355" s="2" t="inlineStr">
        <is>
          <t>2026-02-02</t>
        </is>
      </c>
      <c r="B1355" s="3" t="inlineStr">
        <is>
          <t>삼성전자</t>
        </is>
      </c>
      <c r="C1355" s="2" t="inlineStr">
        <is>
          <t>코스피</t>
        </is>
      </c>
      <c r="D1355" s="2" t="inlineStr">
        <is>
          <t>005930</t>
        </is>
      </c>
      <c r="E1355" s="3" t="inlineStr">
        <is>
          <t>임원ㆍ주요주주특정증권등소유상황보고서</t>
        </is>
      </c>
      <c r="F1355" s="3" t="inlineStr">
        <is>
          <t>박준영</t>
        </is>
      </c>
      <c r="G1355" s="2" t="inlineStr">
        <is>
          <t>20260202000525</t>
        </is>
      </c>
      <c r="H1355" s="8">
        <f>HYPERLINK("https://dart.fss.or.kr/dsaf001/main.do?rcpNo=20260202000525", "공시열람")</f>
        <v/>
      </c>
    </row>
    <row r="1356">
      <c r="A1356" s="2" t="inlineStr">
        <is>
          <t>2026-02-02</t>
        </is>
      </c>
      <c r="B1356" s="3" t="inlineStr">
        <is>
          <t>삼성전자</t>
        </is>
      </c>
      <c r="C1356" s="2" t="inlineStr">
        <is>
          <t>코스피</t>
        </is>
      </c>
      <c r="D1356" s="2" t="inlineStr">
        <is>
          <t>005930</t>
        </is>
      </c>
      <c r="E1356" s="3" t="inlineStr">
        <is>
          <t>임원ㆍ주요주주특정증권등소유상황보고서</t>
        </is>
      </c>
      <c r="F1356" s="3" t="inlineStr">
        <is>
          <t>윤성환</t>
        </is>
      </c>
      <c r="G1356" s="2" t="inlineStr">
        <is>
          <t>20260202000524</t>
        </is>
      </c>
      <c r="H1356" s="8">
        <f>HYPERLINK("https://dart.fss.or.kr/dsaf001/main.do?rcpNo=20260202000524", "공시열람")</f>
        <v/>
      </c>
    </row>
    <row r="1357">
      <c r="A1357" s="2" t="inlineStr">
        <is>
          <t>2026-02-02</t>
        </is>
      </c>
      <c r="B1357" s="3" t="inlineStr">
        <is>
          <t>삼성전자</t>
        </is>
      </c>
      <c r="C1357" s="2" t="inlineStr">
        <is>
          <t>코스피</t>
        </is>
      </c>
      <c r="D1357" s="2" t="inlineStr">
        <is>
          <t>005930</t>
        </is>
      </c>
      <c r="E1357" s="3" t="inlineStr">
        <is>
          <t>임원ㆍ주요주주특정증권등소유상황보고서</t>
        </is>
      </c>
      <c r="F1357" s="3" t="inlineStr">
        <is>
          <t>문광진</t>
        </is>
      </c>
      <c r="G1357" s="2" t="inlineStr">
        <is>
          <t>20260202000523</t>
        </is>
      </c>
      <c r="H1357" s="8">
        <f>HYPERLINK("https://dart.fss.or.kr/dsaf001/main.do?rcpNo=20260202000523", "공시열람")</f>
        <v/>
      </c>
    </row>
    <row r="1358">
      <c r="A1358" s="2" t="inlineStr">
        <is>
          <t>2026-02-02</t>
        </is>
      </c>
      <c r="B1358" s="3" t="inlineStr">
        <is>
          <t>삼성전자</t>
        </is>
      </c>
      <c r="C1358" s="2" t="inlineStr">
        <is>
          <t>코스피</t>
        </is>
      </c>
      <c r="D1358" s="2" t="inlineStr">
        <is>
          <t>005930</t>
        </is>
      </c>
      <c r="E1358" s="3" t="inlineStr">
        <is>
          <t>임원ㆍ주요주주특정증권등소유상황보고서</t>
        </is>
      </c>
      <c r="F1358" s="3" t="inlineStr">
        <is>
          <t>김태영</t>
        </is>
      </c>
      <c r="G1358" s="2" t="inlineStr">
        <is>
          <t>20260202000522</t>
        </is>
      </c>
      <c r="H1358" s="8">
        <f>HYPERLINK("https://dart.fss.or.kr/dsaf001/main.do?rcpNo=20260202000522", "공시열람")</f>
        <v/>
      </c>
    </row>
    <row r="1359">
      <c r="A1359" s="2" t="inlineStr">
        <is>
          <t>2026-02-02</t>
        </is>
      </c>
      <c r="B1359" s="3" t="inlineStr">
        <is>
          <t>삼성전자</t>
        </is>
      </c>
      <c r="C1359" s="2" t="inlineStr">
        <is>
          <t>코스피</t>
        </is>
      </c>
      <c r="D1359" s="2" t="inlineStr">
        <is>
          <t>005930</t>
        </is>
      </c>
      <c r="E1359" s="3" t="inlineStr">
        <is>
          <t>임원ㆍ주요주주특정증권등소유상황보고서</t>
        </is>
      </c>
      <c r="F1359" s="3" t="inlineStr">
        <is>
          <t>한상욱</t>
        </is>
      </c>
      <c r="G1359" s="2" t="inlineStr">
        <is>
          <t>20260202000520</t>
        </is>
      </c>
      <c r="H1359" s="8">
        <f>HYPERLINK("https://dart.fss.or.kr/dsaf001/main.do?rcpNo=20260202000520", "공시열람")</f>
        <v/>
      </c>
    </row>
    <row r="1360">
      <c r="A1360" s="2" t="inlineStr">
        <is>
          <t>2026-02-02</t>
        </is>
      </c>
      <c r="B1360" s="3" t="inlineStr">
        <is>
          <t>삼성전자</t>
        </is>
      </c>
      <c r="C1360" s="2" t="inlineStr">
        <is>
          <t>코스피</t>
        </is>
      </c>
      <c r="D1360" s="2" t="inlineStr">
        <is>
          <t>005930</t>
        </is>
      </c>
      <c r="E1360" s="3" t="inlineStr">
        <is>
          <t>임원ㆍ주요주주특정증권등소유상황보고서</t>
        </is>
      </c>
      <c r="F1360" s="3" t="inlineStr">
        <is>
          <t>김용재</t>
        </is>
      </c>
      <c r="G1360" s="2" t="inlineStr">
        <is>
          <t>20260202000519</t>
        </is>
      </c>
      <c r="H1360" s="8">
        <f>HYPERLINK("https://dart.fss.or.kr/dsaf001/main.do?rcpNo=20260202000519", "공시열람")</f>
        <v/>
      </c>
    </row>
    <row r="1361">
      <c r="A1361" s="2" t="inlineStr">
        <is>
          <t>2026-02-02</t>
        </is>
      </c>
      <c r="B1361" s="3" t="inlineStr">
        <is>
          <t>삼성전자</t>
        </is>
      </c>
      <c r="C1361" s="2" t="inlineStr">
        <is>
          <t>코스피</t>
        </is>
      </c>
      <c r="D1361" s="2" t="inlineStr">
        <is>
          <t>005930</t>
        </is>
      </c>
      <c r="E1361" s="3" t="inlineStr">
        <is>
          <t>임원ㆍ주요주주특정증권등소유상황보고서</t>
        </is>
      </c>
      <c r="F1361" s="3" t="inlineStr">
        <is>
          <t>조성혁</t>
        </is>
      </c>
      <c r="G1361" s="2" t="inlineStr">
        <is>
          <t>20260202000518</t>
        </is>
      </c>
      <c r="H1361" s="8">
        <f>HYPERLINK("https://dart.fss.or.kr/dsaf001/main.do?rcpNo=20260202000518", "공시열람")</f>
        <v/>
      </c>
    </row>
    <row r="1362">
      <c r="A1362" s="2" t="inlineStr">
        <is>
          <t>2026-02-02</t>
        </is>
      </c>
      <c r="B1362" s="3" t="inlineStr">
        <is>
          <t>삼성전자</t>
        </is>
      </c>
      <c r="C1362" s="2" t="inlineStr">
        <is>
          <t>코스피</t>
        </is>
      </c>
      <c r="D1362" s="2" t="inlineStr">
        <is>
          <t>005930</t>
        </is>
      </c>
      <c r="E1362" s="3" t="inlineStr">
        <is>
          <t>임원ㆍ주요주주특정증권등소유상황보고서</t>
        </is>
      </c>
      <c r="F1362" s="3" t="inlineStr">
        <is>
          <t>홍주선</t>
        </is>
      </c>
      <c r="G1362" s="2" t="inlineStr">
        <is>
          <t>20260202000516</t>
        </is>
      </c>
      <c r="H1362" s="8">
        <f>HYPERLINK("https://dart.fss.or.kr/dsaf001/main.do?rcpNo=20260202000516", "공시열람")</f>
        <v/>
      </c>
    </row>
    <row r="1363">
      <c r="A1363" s="2" t="inlineStr">
        <is>
          <t>2026-02-02</t>
        </is>
      </c>
      <c r="B1363" s="3" t="inlineStr">
        <is>
          <t>삼성전자</t>
        </is>
      </c>
      <c r="C1363" s="2" t="inlineStr">
        <is>
          <t>코스피</t>
        </is>
      </c>
      <c r="D1363" s="2" t="inlineStr">
        <is>
          <t>005930</t>
        </is>
      </c>
      <c r="E1363" s="3" t="inlineStr">
        <is>
          <t>임원ㆍ주요주주특정증권등소유상황보고서</t>
        </is>
      </c>
      <c r="F1363" s="3" t="inlineStr">
        <is>
          <t>박철범</t>
        </is>
      </c>
      <c r="G1363" s="2" t="inlineStr">
        <is>
          <t>20260202000515</t>
        </is>
      </c>
      <c r="H1363" s="8">
        <f>HYPERLINK("https://dart.fss.or.kr/dsaf001/main.do?rcpNo=20260202000515", "공시열람")</f>
        <v/>
      </c>
    </row>
    <row r="1364">
      <c r="A1364" s="2" t="inlineStr">
        <is>
          <t>2026-02-02</t>
        </is>
      </c>
      <c r="B1364" s="3" t="inlineStr">
        <is>
          <t>삼성전자</t>
        </is>
      </c>
      <c r="C1364" s="2" t="inlineStr">
        <is>
          <t>코스피</t>
        </is>
      </c>
      <c r="D1364" s="2" t="inlineStr">
        <is>
          <t>005930</t>
        </is>
      </c>
      <c r="E1364" s="3" t="inlineStr">
        <is>
          <t>임원ㆍ주요주주특정증권등소유상황보고서</t>
        </is>
      </c>
      <c r="F1364" s="3" t="inlineStr">
        <is>
          <t>김진호</t>
        </is>
      </c>
      <c r="G1364" s="2" t="inlineStr">
        <is>
          <t>20260202000514</t>
        </is>
      </c>
      <c r="H1364" s="8">
        <f>HYPERLINK("https://dart.fss.or.kr/dsaf001/main.do?rcpNo=20260202000514", "공시열람")</f>
        <v/>
      </c>
    </row>
    <row r="1365">
      <c r="A1365" s="2" t="inlineStr">
        <is>
          <t>2026-02-02</t>
        </is>
      </c>
      <c r="B1365" s="3" t="inlineStr">
        <is>
          <t>SP삼화</t>
        </is>
      </c>
      <c r="C1365" s="2" t="inlineStr">
        <is>
          <t>코스피</t>
        </is>
      </c>
      <c r="D1365" s="2" t="inlineStr">
        <is>
          <t>000390</t>
        </is>
      </c>
      <c r="E1365" s="3" t="inlineStr">
        <is>
          <t xml:space="preserve">현금ㆍ현물배당을위한주주명부폐쇄(기준일)결정              </t>
        </is>
      </c>
      <c r="F1365" s="3" t="inlineStr">
        <is>
          <t>SP삼화</t>
        </is>
      </c>
      <c r="G1365" s="2" t="inlineStr">
        <is>
          <t>20260202800869</t>
        </is>
      </c>
      <c r="H1365" s="8">
        <f>HYPERLINK("https://dart.fss.or.kr/dsaf001/main.do?rcpNo=20260202800869", "공시열람")</f>
        <v/>
      </c>
    </row>
    <row r="1366">
      <c r="A1366" s="2" t="inlineStr">
        <is>
          <t>2026-02-02</t>
        </is>
      </c>
      <c r="B1366" s="3" t="inlineStr">
        <is>
          <t>삼성전자</t>
        </is>
      </c>
      <c r="C1366" s="2" t="inlineStr">
        <is>
          <t>코스피</t>
        </is>
      </c>
      <c r="D1366" s="2" t="inlineStr">
        <is>
          <t>005930</t>
        </is>
      </c>
      <c r="E1366" s="3" t="inlineStr">
        <is>
          <t>임원ㆍ주요주주특정증권등소유상황보고서</t>
        </is>
      </c>
      <c r="F1366" s="3" t="inlineStr">
        <is>
          <t>김수진</t>
        </is>
      </c>
      <c r="G1366" s="2" t="inlineStr">
        <is>
          <t>20260202000512</t>
        </is>
      </c>
      <c r="H1366" s="8">
        <f>HYPERLINK("https://dart.fss.or.kr/dsaf001/main.do?rcpNo=20260202000512", "공시열람")</f>
        <v/>
      </c>
    </row>
    <row r="1367">
      <c r="A1367" s="2" t="inlineStr">
        <is>
          <t>2026-02-02</t>
        </is>
      </c>
      <c r="B1367" s="3" t="inlineStr">
        <is>
          <t>삼성전자</t>
        </is>
      </c>
      <c r="C1367" s="2" t="inlineStr">
        <is>
          <t>코스피</t>
        </is>
      </c>
      <c r="D1367" s="2" t="inlineStr">
        <is>
          <t>005930</t>
        </is>
      </c>
      <c r="E1367" s="3" t="inlineStr">
        <is>
          <t>임원ㆍ주요주주특정증권등소유상황보고서</t>
        </is>
      </c>
      <c r="F1367" s="3" t="inlineStr">
        <is>
          <t>최혁승</t>
        </is>
      </c>
      <c r="G1367" s="2" t="inlineStr">
        <is>
          <t>20260202000511</t>
        </is>
      </c>
      <c r="H1367" s="8">
        <f>HYPERLINK("https://dart.fss.or.kr/dsaf001/main.do?rcpNo=20260202000511", "공시열람")</f>
        <v/>
      </c>
    </row>
    <row r="1368">
      <c r="A1368" s="2" t="inlineStr">
        <is>
          <t>2026-02-02</t>
        </is>
      </c>
      <c r="B1368" s="3" t="inlineStr">
        <is>
          <t>삼성전자</t>
        </is>
      </c>
      <c r="C1368" s="2" t="inlineStr">
        <is>
          <t>코스피</t>
        </is>
      </c>
      <c r="D1368" s="2" t="inlineStr">
        <is>
          <t>005930</t>
        </is>
      </c>
      <c r="E1368" s="3" t="inlineStr">
        <is>
          <t>임원ㆍ주요주주특정증권등소유상황보고서</t>
        </is>
      </c>
      <c r="F1368" s="3" t="inlineStr">
        <is>
          <t>이지훈</t>
        </is>
      </c>
      <c r="G1368" s="2" t="inlineStr">
        <is>
          <t>20260202000510</t>
        </is>
      </c>
      <c r="H1368" s="8">
        <f>HYPERLINK("https://dart.fss.or.kr/dsaf001/main.do?rcpNo=20260202000510", "공시열람")</f>
        <v/>
      </c>
    </row>
    <row r="1369">
      <c r="A1369" s="2" t="inlineStr">
        <is>
          <t>2026-02-02</t>
        </is>
      </c>
      <c r="B1369" s="3" t="inlineStr">
        <is>
          <t>삼성전자</t>
        </is>
      </c>
      <c r="C1369" s="2" t="inlineStr">
        <is>
          <t>코스피</t>
        </is>
      </c>
      <c r="D1369" s="2" t="inlineStr">
        <is>
          <t>005930</t>
        </is>
      </c>
      <c r="E1369" s="3" t="inlineStr">
        <is>
          <t>임원ㆍ주요주주특정증권등소유상황보고서</t>
        </is>
      </c>
      <c r="F1369" s="3" t="inlineStr">
        <is>
          <t>김준성</t>
        </is>
      </c>
      <c r="G1369" s="2" t="inlineStr">
        <is>
          <t>20260202000509</t>
        </is>
      </c>
      <c r="H1369" s="8">
        <f>HYPERLINK("https://dart.fss.or.kr/dsaf001/main.do?rcpNo=20260202000509", "공시열람")</f>
        <v/>
      </c>
    </row>
    <row r="1370">
      <c r="A1370" s="2" t="inlineStr">
        <is>
          <t>2026-02-02</t>
        </is>
      </c>
      <c r="B1370" s="3" t="inlineStr">
        <is>
          <t>삼성전자</t>
        </is>
      </c>
      <c r="C1370" s="2" t="inlineStr">
        <is>
          <t>코스피</t>
        </is>
      </c>
      <c r="D1370" s="2" t="inlineStr">
        <is>
          <t>005930</t>
        </is>
      </c>
      <c r="E1370" s="3" t="inlineStr">
        <is>
          <t>임원ㆍ주요주주특정증권등소유상황보고서</t>
        </is>
      </c>
      <c r="F1370" s="3" t="inlineStr">
        <is>
          <t>김대주</t>
        </is>
      </c>
      <c r="G1370" s="2" t="inlineStr">
        <is>
          <t>20260202000508</t>
        </is>
      </c>
      <c r="H1370" s="8">
        <f>HYPERLINK("https://dart.fss.or.kr/dsaf001/main.do?rcpNo=20260202000508", "공시열람")</f>
        <v/>
      </c>
    </row>
    <row r="1371">
      <c r="A1371" s="2" t="inlineStr">
        <is>
          <t>2026-02-02</t>
        </is>
      </c>
      <c r="B1371" s="3" t="inlineStr">
        <is>
          <t>삼성전자</t>
        </is>
      </c>
      <c r="C1371" s="2" t="inlineStr">
        <is>
          <t>코스피</t>
        </is>
      </c>
      <c r="D1371" s="2" t="inlineStr">
        <is>
          <t>005930</t>
        </is>
      </c>
      <c r="E1371" s="3" t="inlineStr">
        <is>
          <t>임원ㆍ주요주주특정증권등소유상황보고서</t>
        </is>
      </c>
      <c r="F1371" s="3" t="inlineStr">
        <is>
          <t>손영아</t>
        </is>
      </c>
      <c r="G1371" s="2" t="inlineStr">
        <is>
          <t>20260202000507</t>
        </is>
      </c>
      <c r="H1371" s="8">
        <f>HYPERLINK("https://dart.fss.or.kr/dsaf001/main.do?rcpNo=20260202000507", "공시열람")</f>
        <v/>
      </c>
    </row>
    <row r="1372">
      <c r="A1372" s="2" t="inlineStr">
        <is>
          <t>2026-02-02</t>
        </is>
      </c>
      <c r="B1372" s="3" t="inlineStr">
        <is>
          <t>삼성전자</t>
        </is>
      </c>
      <c r="C1372" s="2" t="inlineStr">
        <is>
          <t>코스피</t>
        </is>
      </c>
      <c r="D1372" s="2" t="inlineStr">
        <is>
          <t>005930</t>
        </is>
      </c>
      <c r="E1372" s="3" t="inlineStr">
        <is>
          <t>임원ㆍ주요주주특정증권등소유상황보고서</t>
        </is>
      </c>
      <c r="F1372" s="3" t="inlineStr">
        <is>
          <t>김주연</t>
        </is>
      </c>
      <c r="G1372" s="2" t="inlineStr">
        <is>
          <t>20260202000505</t>
        </is>
      </c>
      <c r="H1372" s="8">
        <f>HYPERLINK("https://dart.fss.or.kr/dsaf001/main.do?rcpNo=20260202000505", "공시열람")</f>
        <v/>
      </c>
    </row>
    <row r="1373">
      <c r="A1373" s="2" t="inlineStr">
        <is>
          <t>2026-02-02</t>
        </is>
      </c>
      <c r="B1373" s="3" t="inlineStr">
        <is>
          <t>삼성전자</t>
        </is>
      </c>
      <c r="C1373" s="2" t="inlineStr">
        <is>
          <t>코스피</t>
        </is>
      </c>
      <c r="D1373" s="2" t="inlineStr">
        <is>
          <t>005930</t>
        </is>
      </c>
      <c r="E1373" s="3" t="inlineStr">
        <is>
          <t>임원ㆍ주요주주특정증권등소유상황보고서</t>
        </is>
      </c>
      <c r="F1373" s="3" t="inlineStr">
        <is>
          <t>김영무</t>
        </is>
      </c>
      <c r="G1373" s="2" t="inlineStr">
        <is>
          <t>20260202000504</t>
        </is>
      </c>
      <c r="H1373" s="8">
        <f>HYPERLINK("https://dart.fss.or.kr/dsaf001/main.do?rcpNo=20260202000504", "공시열람")</f>
        <v/>
      </c>
    </row>
    <row r="1374">
      <c r="A1374" s="2" t="inlineStr">
        <is>
          <t>2026-02-02</t>
        </is>
      </c>
      <c r="B1374" s="3" t="inlineStr">
        <is>
          <t>삼성전자</t>
        </is>
      </c>
      <c r="C1374" s="2" t="inlineStr">
        <is>
          <t>코스피</t>
        </is>
      </c>
      <c r="D1374" s="2" t="inlineStr">
        <is>
          <t>005930</t>
        </is>
      </c>
      <c r="E1374" s="3" t="inlineStr">
        <is>
          <t>임원ㆍ주요주주특정증권등소유상황보고서</t>
        </is>
      </c>
      <c r="F1374" s="3" t="inlineStr">
        <is>
          <t>부민혁</t>
        </is>
      </c>
      <c r="G1374" s="2" t="inlineStr">
        <is>
          <t>20260202000503</t>
        </is>
      </c>
      <c r="H1374" s="8">
        <f>HYPERLINK("https://dart.fss.or.kr/dsaf001/main.do?rcpNo=20260202000503", "공시열람")</f>
        <v/>
      </c>
    </row>
    <row r="1375">
      <c r="A1375" s="2" t="inlineStr">
        <is>
          <t>2026-02-02</t>
        </is>
      </c>
      <c r="B1375" s="3" t="inlineStr">
        <is>
          <t>삼성전자</t>
        </is>
      </c>
      <c r="C1375" s="2" t="inlineStr">
        <is>
          <t>코스피</t>
        </is>
      </c>
      <c r="D1375" s="2" t="inlineStr">
        <is>
          <t>005930</t>
        </is>
      </c>
      <c r="E1375" s="3" t="inlineStr">
        <is>
          <t>임원ㆍ주요주주특정증권등소유상황보고서</t>
        </is>
      </c>
      <c r="F1375" s="3" t="inlineStr">
        <is>
          <t>박건태</t>
        </is>
      </c>
      <c r="G1375" s="2" t="inlineStr">
        <is>
          <t>20260202000502</t>
        </is>
      </c>
      <c r="H1375" s="8">
        <f>HYPERLINK("https://dart.fss.or.kr/dsaf001/main.do?rcpNo=20260202000502", "공시열람")</f>
        <v/>
      </c>
    </row>
    <row r="1376">
      <c r="A1376" s="2" t="inlineStr">
        <is>
          <t>2026-02-02</t>
        </is>
      </c>
      <c r="B1376" s="3" t="inlineStr">
        <is>
          <t>삼성전자</t>
        </is>
      </c>
      <c r="C1376" s="2" t="inlineStr">
        <is>
          <t>코스피</t>
        </is>
      </c>
      <c r="D1376" s="2" t="inlineStr">
        <is>
          <t>005930</t>
        </is>
      </c>
      <c r="E1376" s="3" t="inlineStr">
        <is>
          <t>임원ㆍ주요주주특정증권등소유상황보고서</t>
        </is>
      </c>
      <c r="F1376" s="3" t="inlineStr">
        <is>
          <t>김기훈</t>
        </is>
      </c>
      <c r="G1376" s="2" t="inlineStr">
        <is>
          <t>20260202000501</t>
        </is>
      </c>
      <c r="H1376" s="8">
        <f>HYPERLINK("https://dart.fss.or.kr/dsaf001/main.do?rcpNo=20260202000501", "공시열람")</f>
        <v/>
      </c>
    </row>
    <row r="1377">
      <c r="A1377" s="2" t="inlineStr">
        <is>
          <t>2026-02-02</t>
        </is>
      </c>
      <c r="B1377" s="3" t="inlineStr">
        <is>
          <t>삼성전자</t>
        </is>
      </c>
      <c r="C1377" s="2" t="inlineStr">
        <is>
          <t>코스피</t>
        </is>
      </c>
      <c r="D1377" s="2" t="inlineStr">
        <is>
          <t>005930</t>
        </is>
      </c>
      <c r="E1377" s="3" t="inlineStr">
        <is>
          <t>임원ㆍ주요주주특정증권등소유상황보고서</t>
        </is>
      </c>
      <c r="F1377" s="3" t="inlineStr">
        <is>
          <t>김재현</t>
        </is>
      </c>
      <c r="G1377" s="2" t="inlineStr">
        <is>
          <t>20260202000500</t>
        </is>
      </c>
      <c r="H1377" s="8">
        <f>HYPERLINK("https://dart.fss.or.kr/dsaf001/main.do?rcpNo=20260202000500", "공시열람")</f>
        <v/>
      </c>
    </row>
    <row r="1378">
      <c r="A1378" s="2" t="inlineStr">
        <is>
          <t>2026-02-02</t>
        </is>
      </c>
      <c r="B1378" s="3" t="inlineStr">
        <is>
          <t>삼성전자</t>
        </is>
      </c>
      <c r="C1378" s="2" t="inlineStr">
        <is>
          <t>코스피</t>
        </is>
      </c>
      <c r="D1378" s="2" t="inlineStr">
        <is>
          <t>005930</t>
        </is>
      </c>
      <c r="E1378" s="3" t="inlineStr">
        <is>
          <t>임원ㆍ주요주주특정증권등소유상황보고서</t>
        </is>
      </c>
      <c r="F1378" s="3" t="inlineStr">
        <is>
          <t>노대용</t>
        </is>
      </c>
      <c r="G1378" s="2" t="inlineStr">
        <is>
          <t>20260202000499</t>
        </is>
      </c>
      <c r="H1378" s="8">
        <f>HYPERLINK("https://dart.fss.or.kr/dsaf001/main.do?rcpNo=20260202000499", "공시열람")</f>
        <v/>
      </c>
    </row>
    <row r="1379">
      <c r="A1379" s="2" t="inlineStr">
        <is>
          <t>2026-02-02</t>
        </is>
      </c>
      <c r="B1379" s="3" t="inlineStr">
        <is>
          <t>삼성전자</t>
        </is>
      </c>
      <c r="C1379" s="2" t="inlineStr">
        <is>
          <t>코스피</t>
        </is>
      </c>
      <c r="D1379" s="2" t="inlineStr">
        <is>
          <t>005930</t>
        </is>
      </c>
      <c r="E1379" s="3" t="inlineStr">
        <is>
          <t>임원ㆍ주요주주특정증권등소유상황보고서</t>
        </is>
      </c>
      <c r="F1379" s="3" t="inlineStr">
        <is>
          <t>김평진</t>
        </is>
      </c>
      <c r="G1379" s="2" t="inlineStr">
        <is>
          <t>20260202000498</t>
        </is>
      </c>
      <c r="H1379" s="8">
        <f>HYPERLINK("https://dart.fss.or.kr/dsaf001/main.do?rcpNo=20260202000498", "공시열람")</f>
        <v/>
      </c>
    </row>
    <row r="1380">
      <c r="A1380" s="2" t="inlineStr">
        <is>
          <t>2026-02-02</t>
        </is>
      </c>
      <c r="B1380" s="3" t="inlineStr">
        <is>
          <t>삼성전자</t>
        </is>
      </c>
      <c r="C1380" s="2" t="inlineStr">
        <is>
          <t>코스피</t>
        </is>
      </c>
      <c r="D1380" s="2" t="inlineStr">
        <is>
          <t>005930</t>
        </is>
      </c>
      <c r="E1380" s="3" t="inlineStr">
        <is>
          <t>임원ㆍ주요주주특정증권등소유상황보고서</t>
        </is>
      </c>
      <c r="F1380" s="3" t="inlineStr">
        <is>
          <t>김성민</t>
        </is>
      </c>
      <c r="G1380" s="2" t="inlineStr">
        <is>
          <t>20260202000496</t>
        </is>
      </c>
      <c r="H1380" s="8">
        <f>HYPERLINK("https://dart.fss.or.kr/dsaf001/main.do?rcpNo=20260202000496", "공시열람")</f>
        <v/>
      </c>
    </row>
    <row r="1381">
      <c r="A1381" s="2" t="inlineStr">
        <is>
          <t>2026-02-02</t>
        </is>
      </c>
      <c r="B1381" s="3" t="inlineStr">
        <is>
          <t>삼성전자</t>
        </is>
      </c>
      <c r="C1381" s="2" t="inlineStr">
        <is>
          <t>코스피</t>
        </is>
      </c>
      <c r="D1381" s="2" t="inlineStr">
        <is>
          <t>005930</t>
        </is>
      </c>
      <c r="E1381" s="3" t="inlineStr">
        <is>
          <t>임원ㆍ주요주주특정증권등소유상황보고서</t>
        </is>
      </c>
      <c r="F1381" s="3" t="inlineStr">
        <is>
          <t>이재범</t>
        </is>
      </c>
      <c r="G1381" s="2" t="inlineStr">
        <is>
          <t>20260202000495</t>
        </is>
      </c>
      <c r="H1381" s="8">
        <f>HYPERLINK("https://dart.fss.or.kr/dsaf001/main.do?rcpNo=20260202000495", "공시열람")</f>
        <v/>
      </c>
    </row>
    <row r="1382">
      <c r="A1382" s="2" t="inlineStr">
        <is>
          <t>2026-02-02</t>
        </is>
      </c>
      <c r="B1382" s="3" t="inlineStr">
        <is>
          <t>삼성전자</t>
        </is>
      </c>
      <c r="C1382" s="2" t="inlineStr">
        <is>
          <t>코스피</t>
        </is>
      </c>
      <c r="D1382" s="2" t="inlineStr">
        <is>
          <t>005930</t>
        </is>
      </c>
      <c r="E1382" s="3" t="inlineStr">
        <is>
          <t>임원ㆍ주요주주특정증권등소유상황보고서</t>
        </is>
      </c>
      <c r="F1382" s="3" t="inlineStr">
        <is>
          <t>고재윤</t>
        </is>
      </c>
      <c r="G1382" s="2" t="inlineStr">
        <is>
          <t>20260202000493</t>
        </is>
      </c>
      <c r="H1382" s="8">
        <f>HYPERLINK("https://dart.fss.or.kr/dsaf001/main.do?rcpNo=20260202000493", "공시열람")</f>
        <v/>
      </c>
    </row>
    <row r="1383">
      <c r="A1383" s="2" t="inlineStr">
        <is>
          <t>2026-02-02</t>
        </is>
      </c>
      <c r="B1383" s="3" t="inlineStr">
        <is>
          <t>유안타증권</t>
        </is>
      </c>
      <c r="C1383" s="2" t="inlineStr">
        <is>
          <t>코스피</t>
        </is>
      </c>
      <c r="D1383" s="2" t="inlineStr">
        <is>
          <t>003470</t>
        </is>
      </c>
      <c r="E1383" s="3" t="inlineStr">
        <is>
          <t>증권발행실적보고서</t>
        </is>
      </c>
      <c r="F1383" s="3" t="inlineStr">
        <is>
          <t>유안타증권</t>
        </is>
      </c>
      <c r="G1383" s="2" t="inlineStr">
        <is>
          <t>20260202000492</t>
        </is>
      </c>
      <c r="H1383" s="8">
        <f>HYPERLINK("https://dart.fss.or.kr/dsaf001/main.do?rcpNo=20260202000492", "공시열람")</f>
        <v/>
      </c>
    </row>
    <row r="1384">
      <c r="A1384" s="2" t="inlineStr">
        <is>
          <t>2026-02-02</t>
        </is>
      </c>
      <c r="B1384" s="3" t="inlineStr">
        <is>
          <t>삼성전자</t>
        </is>
      </c>
      <c r="C1384" s="2" t="inlineStr">
        <is>
          <t>코스피</t>
        </is>
      </c>
      <c r="D1384" s="2" t="inlineStr">
        <is>
          <t>005930</t>
        </is>
      </c>
      <c r="E1384" s="3" t="inlineStr">
        <is>
          <t>임원ㆍ주요주주특정증권등소유상황보고서</t>
        </is>
      </c>
      <c r="F1384" s="3" t="inlineStr">
        <is>
          <t>김인철</t>
        </is>
      </c>
      <c r="G1384" s="2" t="inlineStr">
        <is>
          <t>20260202000491</t>
        </is>
      </c>
      <c r="H1384" s="8">
        <f>HYPERLINK("https://dart.fss.or.kr/dsaf001/main.do?rcpNo=20260202000491", "공시열람")</f>
        <v/>
      </c>
    </row>
    <row r="1385">
      <c r="A1385" s="2" t="inlineStr">
        <is>
          <t>2026-02-02</t>
        </is>
      </c>
      <c r="B1385" s="3" t="inlineStr">
        <is>
          <t>삼성전자</t>
        </is>
      </c>
      <c r="C1385" s="2" t="inlineStr">
        <is>
          <t>코스피</t>
        </is>
      </c>
      <c r="D1385" s="2" t="inlineStr">
        <is>
          <t>005930</t>
        </is>
      </c>
      <c r="E1385" s="3" t="inlineStr">
        <is>
          <t>임원ㆍ주요주주특정증권등소유상황보고서</t>
        </is>
      </c>
      <c r="F1385" s="3" t="inlineStr">
        <is>
          <t>송용호</t>
        </is>
      </c>
      <c r="G1385" s="2" t="inlineStr">
        <is>
          <t>20260202000490</t>
        </is>
      </c>
      <c r="H1385" s="8">
        <f>HYPERLINK("https://dart.fss.or.kr/dsaf001/main.do?rcpNo=20260202000490", "공시열람")</f>
        <v/>
      </c>
    </row>
    <row r="1386">
      <c r="A1386" s="2" t="inlineStr">
        <is>
          <t>2026-02-02</t>
        </is>
      </c>
      <c r="B1386" s="3" t="inlineStr">
        <is>
          <t>삼성전자</t>
        </is>
      </c>
      <c r="C1386" s="2" t="inlineStr">
        <is>
          <t>코스피</t>
        </is>
      </c>
      <c r="D1386" s="2" t="inlineStr">
        <is>
          <t>005930</t>
        </is>
      </c>
      <c r="E1386" s="3" t="inlineStr">
        <is>
          <t>임원ㆍ주요주주특정증권등소유상황보고서</t>
        </is>
      </c>
      <c r="F1386" s="3" t="inlineStr">
        <is>
          <t>조인하</t>
        </is>
      </c>
      <c r="G1386" s="2" t="inlineStr">
        <is>
          <t>20260202000489</t>
        </is>
      </c>
      <c r="H1386" s="8">
        <f>HYPERLINK("https://dart.fss.or.kr/dsaf001/main.do?rcpNo=20260202000489", "공시열람")</f>
        <v/>
      </c>
    </row>
    <row r="1387">
      <c r="A1387" s="2" t="inlineStr">
        <is>
          <t>2026-02-02</t>
        </is>
      </c>
      <c r="B1387" s="3" t="inlineStr">
        <is>
          <t>삼성전자</t>
        </is>
      </c>
      <c r="C1387" s="2" t="inlineStr">
        <is>
          <t>코스피</t>
        </is>
      </c>
      <c r="D1387" s="2" t="inlineStr">
        <is>
          <t>005930</t>
        </is>
      </c>
      <c r="E1387" s="3" t="inlineStr">
        <is>
          <t>임원ㆍ주요주주특정증권등소유상황보고서</t>
        </is>
      </c>
      <c r="F1387" s="3" t="inlineStr">
        <is>
          <t>임성택</t>
        </is>
      </c>
      <c r="G1387" s="2" t="inlineStr">
        <is>
          <t>20260202000488</t>
        </is>
      </c>
      <c r="H1387" s="8">
        <f>HYPERLINK("https://dart.fss.or.kr/dsaf001/main.do?rcpNo=20260202000488", "공시열람")</f>
        <v/>
      </c>
    </row>
    <row r="1388">
      <c r="A1388" s="2" t="inlineStr">
        <is>
          <t>2026-02-02</t>
        </is>
      </c>
      <c r="B1388" s="3" t="inlineStr">
        <is>
          <t>삼성전자</t>
        </is>
      </c>
      <c r="C1388" s="2" t="inlineStr">
        <is>
          <t>코스피</t>
        </is>
      </c>
      <c r="D1388" s="2" t="inlineStr">
        <is>
          <t>005930</t>
        </is>
      </c>
      <c r="E1388" s="3" t="inlineStr">
        <is>
          <t>임원ㆍ주요주주특정증권등소유상황보고서</t>
        </is>
      </c>
      <c r="F1388" s="3" t="inlineStr">
        <is>
          <t>김우일</t>
        </is>
      </c>
      <c r="G1388" s="2" t="inlineStr">
        <is>
          <t>20260202000485</t>
        </is>
      </c>
      <c r="H1388" s="8">
        <f>HYPERLINK("https://dart.fss.or.kr/dsaf001/main.do?rcpNo=20260202000485", "공시열람")</f>
        <v/>
      </c>
    </row>
    <row r="1389">
      <c r="A1389" s="2" t="inlineStr">
        <is>
          <t>2026-02-02</t>
        </is>
      </c>
      <c r="B1389" s="3" t="inlineStr">
        <is>
          <t>삼성전자</t>
        </is>
      </c>
      <c r="C1389" s="2" t="inlineStr">
        <is>
          <t>코스피</t>
        </is>
      </c>
      <c r="D1389" s="2" t="inlineStr">
        <is>
          <t>005930</t>
        </is>
      </c>
      <c r="E1389" s="3" t="inlineStr">
        <is>
          <t>임원ㆍ주요주주특정증권등소유상황보고서</t>
        </is>
      </c>
      <c r="F1389" s="3" t="inlineStr">
        <is>
          <t>김형재</t>
        </is>
      </c>
      <c r="G1389" s="2" t="inlineStr">
        <is>
          <t>20260202000484</t>
        </is>
      </c>
      <c r="H1389" s="8">
        <f>HYPERLINK("https://dart.fss.or.kr/dsaf001/main.do?rcpNo=20260202000484", "공시열람")</f>
        <v/>
      </c>
    </row>
    <row r="1390">
      <c r="A1390" s="2" t="inlineStr">
        <is>
          <t>2026-02-02</t>
        </is>
      </c>
      <c r="B1390" s="3" t="inlineStr">
        <is>
          <t>삼성전자</t>
        </is>
      </c>
      <c r="C1390" s="2" t="inlineStr">
        <is>
          <t>코스피</t>
        </is>
      </c>
      <c r="D1390" s="2" t="inlineStr">
        <is>
          <t>005930</t>
        </is>
      </c>
      <c r="E1390" s="3" t="inlineStr">
        <is>
          <t>임원ㆍ주요주주특정증권등소유상황보고서</t>
        </is>
      </c>
      <c r="F1390" s="3" t="inlineStr">
        <is>
          <t>윤보영</t>
        </is>
      </c>
      <c r="G1390" s="2" t="inlineStr">
        <is>
          <t>20260202000483</t>
        </is>
      </c>
      <c r="H1390" s="8">
        <f>HYPERLINK("https://dart.fss.or.kr/dsaf001/main.do?rcpNo=20260202000483", "공시열람")</f>
        <v/>
      </c>
    </row>
    <row r="1391">
      <c r="A1391" s="2" t="inlineStr">
        <is>
          <t>2026-02-02</t>
        </is>
      </c>
      <c r="B1391" s="3" t="inlineStr">
        <is>
          <t>누보</t>
        </is>
      </c>
      <c r="C1391" s="2" t="inlineStr">
        <is>
          <t>코스닥</t>
        </is>
      </c>
      <c r="D1391" s="2" t="inlineStr">
        <is>
          <t>332290</t>
        </is>
      </c>
      <c r="E1391" s="3" t="inlineStr">
        <is>
          <t>주요사항보고서(자기주식처분결정)</t>
        </is>
      </c>
      <c r="F1391" s="3" t="inlineStr">
        <is>
          <t>누보</t>
        </is>
      </c>
      <c r="G1391" s="2" t="inlineStr">
        <is>
          <t>20260202000433</t>
        </is>
      </c>
      <c r="H1391" s="8">
        <f>HYPERLINK("https://dart.fss.or.kr/dsaf001/main.do?rcpNo=20260202000433", "공시열람")</f>
        <v/>
      </c>
    </row>
    <row r="1392">
      <c r="A1392" s="2" t="inlineStr">
        <is>
          <t>2026-02-02</t>
        </is>
      </c>
      <c r="B1392" s="3" t="inlineStr">
        <is>
          <t>삼성전자</t>
        </is>
      </c>
      <c r="C1392" s="2" t="inlineStr">
        <is>
          <t>코스피</t>
        </is>
      </c>
      <c r="D1392" s="2" t="inlineStr">
        <is>
          <t>005930</t>
        </is>
      </c>
      <c r="E1392" s="3" t="inlineStr">
        <is>
          <t>임원ㆍ주요주주특정증권등소유상황보고서</t>
        </is>
      </c>
      <c r="F1392" s="3" t="inlineStr">
        <is>
          <t>김영일</t>
        </is>
      </c>
      <c r="G1392" s="2" t="inlineStr">
        <is>
          <t>20260202000481</t>
        </is>
      </c>
      <c r="H1392" s="8">
        <f>HYPERLINK("https://dart.fss.or.kr/dsaf001/main.do?rcpNo=20260202000481", "공시열람")</f>
        <v/>
      </c>
    </row>
    <row r="1393">
      <c r="A1393" s="2" t="inlineStr">
        <is>
          <t>2026-02-02</t>
        </is>
      </c>
      <c r="B1393" s="3" t="inlineStr">
        <is>
          <t>삼성전자</t>
        </is>
      </c>
      <c r="C1393" s="2" t="inlineStr">
        <is>
          <t>코스피</t>
        </is>
      </c>
      <c r="D1393" s="2" t="inlineStr">
        <is>
          <t>005930</t>
        </is>
      </c>
      <c r="E1393" s="3" t="inlineStr">
        <is>
          <t>임원ㆍ주요주주특정증권등소유상황보고서</t>
        </is>
      </c>
      <c r="F1393" s="3" t="inlineStr">
        <is>
          <t>박성욱</t>
        </is>
      </c>
      <c r="G1393" s="2" t="inlineStr">
        <is>
          <t>20260202000480</t>
        </is>
      </c>
      <c r="H1393" s="8">
        <f>HYPERLINK("https://dart.fss.or.kr/dsaf001/main.do?rcpNo=20260202000480", "공시열람")</f>
        <v/>
      </c>
    </row>
    <row r="1394">
      <c r="A1394" s="2" t="inlineStr">
        <is>
          <t>2026-02-02</t>
        </is>
      </c>
      <c r="B1394" s="3" t="inlineStr">
        <is>
          <t>삼성전자</t>
        </is>
      </c>
      <c r="C1394" s="2" t="inlineStr">
        <is>
          <t>코스피</t>
        </is>
      </c>
      <c r="D1394" s="2" t="inlineStr">
        <is>
          <t>005930</t>
        </is>
      </c>
      <c r="E1394" s="3" t="inlineStr">
        <is>
          <t>임원ㆍ주요주주특정증권등소유상황보고서</t>
        </is>
      </c>
      <c r="F1394" s="3" t="inlineStr">
        <is>
          <t>심재현</t>
        </is>
      </c>
      <c r="G1394" s="2" t="inlineStr">
        <is>
          <t>20260202000478</t>
        </is>
      </c>
      <c r="H1394" s="8">
        <f>HYPERLINK("https://dart.fss.or.kr/dsaf001/main.do?rcpNo=20260202000478", "공시열람")</f>
        <v/>
      </c>
    </row>
    <row r="1395">
      <c r="A1395" s="2" t="inlineStr">
        <is>
          <t>2026-02-02</t>
        </is>
      </c>
      <c r="B1395" s="3" t="inlineStr">
        <is>
          <t>삼성전자</t>
        </is>
      </c>
      <c r="C1395" s="2" t="inlineStr">
        <is>
          <t>코스피</t>
        </is>
      </c>
      <c r="D1395" s="2" t="inlineStr">
        <is>
          <t>005930</t>
        </is>
      </c>
      <c r="E1395" s="3" t="inlineStr">
        <is>
          <t>임원ㆍ주요주주특정증권등소유상황보고서</t>
        </is>
      </c>
      <c r="F1395" s="3" t="inlineStr">
        <is>
          <t>CHANGSONIASOYEON</t>
        </is>
      </c>
      <c r="G1395" s="2" t="inlineStr">
        <is>
          <t>20260202000477</t>
        </is>
      </c>
      <c r="H1395" s="8">
        <f>HYPERLINK("https://dart.fss.or.kr/dsaf001/main.do?rcpNo=20260202000477", "공시열람")</f>
        <v/>
      </c>
    </row>
    <row r="1396">
      <c r="A1396" s="2" t="inlineStr">
        <is>
          <t>2026-02-02</t>
        </is>
      </c>
      <c r="B1396" s="3" t="inlineStr">
        <is>
          <t>삼성전자</t>
        </is>
      </c>
      <c r="C1396" s="2" t="inlineStr">
        <is>
          <t>코스피</t>
        </is>
      </c>
      <c r="D1396" s="2" t="inlineStr">
        <is>
          <t>005930</t>
        </is>
      </c>
      <c r="E1396" s="3" t="inlineStr">
        <is>
          <t>임원ㆍ주요주주특정증권등소유상황보고서</t>
        </is>
      </c>
      <c r="F1396" s="3" t="inlineStr">
        <is>
          <t>반일승</t>
        </is>
      </c>
      <c r="G1396" s="2" t="inlineStr">
        <is>
          <t>20260202000476</t>
        </is>
      </c>
      <c r="H1396" s="8">
        <f>HYPERLINK("https://dart.fss.or.kr/dsaf001/main.do?rcpNo=20260202000476", "공시열람")</f>
        <v/>
      </c>
    </row>
    <row r="1397">
      <c r="A1397" s="2" t="inlineStr">
        <is>
          <t>2026-02-02</t>
        </is>
      </c>
      <c r="B1397" s="3" t="inlineStr">
        <is>
          <t>삼성전자</t>
        </is>
      </c>
      <c r="C1397" s="2" t="inlineStr">
        <is>
          <t>코스피</t>
        </is>
      </c>
      <c r="D1397" s="2" t="inlineStr">
        <is>
          <t>005930</t>
        </is>
      </c>
      <c r="E1397" s="3" t="inlineStr">
        <is>
          <t>임원ㆍ주요주주특정증권등소유상황보고서</t>
        </is>
      </c>
      <c r="F1397" s="3" t="inlineStr">
        <is>
          <t>김태훈</t>
        </is>
      </c>
      <c r="G1397" s="2" t="inlineStr">
        <is>
          <t>20260202000474</t>
        </is>
      </c>
      <c r="H1397" s="8">
        <f>HYPERLINK("https://dart.fss.or.kr/dsaf001/main.do?rcpNo=20260202000474", "공시열람")</f>
        <v/>
      </c>
    </row>
    <row r="1398">
      <c r="A1398" s="2" t="inlineStr">
        <is>
          <t>2026-02-02</t>
        </is>
      </c>
      <c r="B1398" s="3" t="inlineStr">
        <is>
          <t>삼성전자</t>
        </is>
      </c>
      <c r="C1398" s="2" t="inlineStr">
        <is>
          <t>코스피</t>
        </is>
      </c>
      <c r="D1398" s="2" t="inlineStr">
        <is>
          <t>005930</t>
        </is>
      </c>
      <c r="E1398" s="3" t="inlineStr">
        <is>
          <t>임원ㆍ주요주주특정증권등소유상황보고서</t>
        </is>
      </c>
      <c r="F1398" s="3" t="inlineStr">
        <is>
          <t>김석영</t>
        </is>
      </c>
      <c r="G1398" s="2" t="inlineStr">
        <is>
          <t>20260202000473</t>
        </is>
      </c>
      <c r="H1398" s="8">
        <f>HYPERLINK("https://dart.fss.or.kr/dsaf001/main.do?rcpNo=20260202000473", "공시열람")</f>
        <v/>
      </c>
    </row>
    <row r="1399">
      <c r="A1399" s="2" t="inlineStr">
        <is>
          <t>2026-02-02</t>
        </is>
      </c>
      <c r="B1399" s="3" t="inlineStr">
        <is>
          <t>삼성전자</t>
        </is>
      </c>
      <c r="C1399" s="2" t="inlineStr">
        <is>
          <t>코스피</t>
        </is>
      </c>
      <c r="D1399" s="2" t="inlineStr">
        <is>
          <t>005930</t>
        </is>
      </c>
      <c r="E1399" s="3" t="inlineStr">
        <is>
          <t>임원ㆍ주요주주특정증권등소유상황보고서</t>
        </is>
      </c>
      <c r="F1399" s="3" t="inlineStr">
        <is>
          <t>황태환</t>
        </is>
      </c>
      <c r="G1399" s="2" t="inlineStr">
        <is>
          <t>20260202000472</t>
        </is>
      </c>
      <c r="H1399" s="8">
        <f>HYPERLINK("https://dart.fss.or.kr/dsaf001/main.do?rcpNo=20260202000472", "공시열람")</f>
        <v/>
      </c>
    </row>
    <row r="1400">
      <c r="A1400" s="2" t="inlineStr">
        <is>
          <t>2026-02-02</t>
        </is>
      </c>
      <c r="B1400" s="3" t="inlineStr">
        <is>
          <t>삼성전자</t>
        </is>
      </c>
      <c r="C1400" s="2" t="inlineStr">
        <is>
          <t>코스피</t>
        </is>
      </c>
      <c r="D1400" s="2" t="inlineStr">
        <is>
          <t>005930</t>
        </is>
      </c>
      <c r="E1400" s="3" t="inlineStr">
        <is>
          <t>임원ㆍ주요주주특정증권등소유상황보고서</t>
        </is>
      </c>
      <c r="F1400" s="3" t="inlineStr">
        <is>
          <t>남인호</t>
        </is>
      </c>
      <c r="G1400" s="2" t="inlineStr">
        <is>
          <t>20260202000471</t>
        </is>
      </c>
      <c r="H1400" s="8">
        <f>HYPERLINK("https://dart.fss.or.kr/dsaf001/main.do?rcpNo=20260202000471", "공시열람")</f>
        <v/>
      </c>
    </row>
    <row r="1401">
      <c r="A1401" s="2" t="inlineStr">
        <is>
          <t>2026-02-02</t>
        </is>
      </c>
      <c r="B1401" s="3" t="inlineStr">
        <is>
          <t>삼성전자</t>
        </is>
      </c>
      <c r="C1401" s="2" t="inlineStr">
        <is>
          <t>코스피</t>
        </is>
      </c>
      <c r="D1401" s="2" t="inlineStr">
        <is>
          <t>005930</t>
        </is>
      </c>
      <c r="E1401" s="3" t="inlineStr">
        <is>
          <t>임원ㆍ주요주주특정증권등소유상황보고서</t>
        </is>
      </c>
      <c r="F1401" s="3" t="inlineStr">
        <is>
          <t>김일룡</t>
        </is>
      </c>
      <c r="G1401" s="2" t="inlineStr">
        <is>
          <t>20260202000470</t>
        </is>
      </c>
      <c r="H1401" s="8">
        <f>HYPERLINK("https://dart.fss.or.kr/dsaf001/main.do?rcpNo=20260202000470", "공시열람")</f>
        <v/>
      </c>
    </row>
    <row r="1402">
      <c r="A1402" s="2" t="inlineStr">
        <is>
          <t>2026-02-02</t>
        </is>
      </c>
      <c r="B1402" s="3" t="inlineStr">
        <is>
          <t>동아지질</t>
        </is>
      </c>
      <c r="C1402" s="2" t="inlineStr">
        <is>
          <t>코스피</t>
        </is>
      </c>
      <c r="D1402" s="2" t="inlineStr">
        <is>
          <t>028100</t>
        </is>
      </c>
      <c r="E1402" s="3" t="inlineStr">
        <is>
          <t xml:space="preserve">매출액또는손익구조30%(대규모법인은15%)이상변경              </t>
        </is>
      </c>
      <c r="F1402" s="3" t="inlineStr">
        <is>
          <t>동아지질</t>
        </is>
      </c>
      <c r="G1402" s="2" t="inlineStr">
        <is>
          <t>20260202800747</t>
        </is>
      </c>
      <c r="H1402" s="8">
        <f>HYPERLINK("https://dart.fss.or.kr/dsaf001/main.do?rcpNo=20260202800747", "공시열람")</f>
        <v/>
      </c>
    </row>
    <row r="1403">
      <c r="A1403" s="2" t="inlineStr">
        <is>
          <t>2026-02-02</t>
        </is>
      </c>
      <c r="B1403" s="3" t="inlineStr">
        <is>
          <t>삼성전자</t>
        </is>
      </c>
      <c r="C1403" s="2" t="inlineStr">
        <is>
          <t>코스피</t>
        </is>
      </c>
      <c r="D1403" s="2" t="inlineStr">
        <is>
          <t>005930</t>
        </is>
      </c>
      <c r="E1403" s="3" t="inlineStr">
        <is>
          <t>임원ㆍ주요주주특정증권등소유상황보고서</t>
        </is>
      </c>
      <c r="F1403" s="3" t="inlineStr">
        <is>
          <t>이윤수</t>
        </is>
      </c>
      <c r="G1403" s="2" t="inlineStr">
        <is>
          <t>20260202000469</t>
        </is>
      </c>
      <c r="H1403" s="8">
        <f>HYPERLINK("https://dart.fss.or.kr/dsaf001/main.do?rcpNo=20260202000469", "공시열람")</f>
        <v/>
      </c>
    </row>
    <row r="1404">
      <c r="A1404" s="2" t="inlineStr">
        <is>
          <t>2026-02-02</t>
        </is>
      </c>
      <c r="B1404" s="3" t="inlineStr">
        <is>
          <t>삼성전자</t>
        </is>
      </c>
      <c r="C1404" s="2" t="inlineStr">
        <is>
          <t>코스피</t>
        </is>
      </c>
      <c r="D1404" s="2" t="inlineStr">
        <is>
          <t>005930</t>
        </is>
      </c>
      <c r="E1404" s="3" t="inlineStr">
        <is>
          <t>임원ㆍ주요주주특정증권등소유상황보고서</t>
        </is>
      </c>
      <c r="F1404" s="3" t="inlineStr">
        <is>
          <t>유병길</t>
        </is>
      </c>
      <c r="G1404" s="2" t="inlineStr">
        <is>
          <t>20260202000468</t>
        </is>
      </c>
      <c r="H1404" s="8">
        <f>HYPERLINK("https://dart.fss.or.kr/dsaf001/main.do?rcpNo=20260202000468", "공시열람")</f>
        <v/>
      </c>
    </row>
    <row r="1405">
      <c r="A1405" s="2" t="inlineStr">
        <is>
          <t>2026-02-02</t>
        </is>
      </c>
      <c r="B1405" s="3" t="inlineStr">
        <is>
          <t>삼성전자</t>
        </is>
      </c>
      <c r="C1405" s="2" t="inlineStr">
        <is>
          <t>코스피</t>
        </is>
      </c>
      <c r="D1405" s="2" t="inlineStr">
        <is>
          <t>005930</t>
        </is>
      </c>
      <c r="E1405" s="3" t="inlineStr">
        <is>
          <t>임원ㆍ주요주주특정증권등소유상황보고서</t>
        </is>
      </c>
      <c r="F1405" s="3" t="inlineStr">
        <is>
          <t>이동근</t>
        </is>
      </c>
      <c r="G1405" s="2" t="inlineStr">
        <is>
          <t>20260202000466</t>
        </is>
      </c>
      <c r="H1405" s="8">
        <f>HYPERLINK("https://dart.fss.or.kr/dsaf001/main.do?rcpNo=20260202000466", "공시열람")</f>
        <v/>
      </c>
    </row>
    <row r="1406">
      <c r="A1406" s="2" t="inlineStr">
        <is>
          <t>2026-02-02</t>
        </is>
      </c>
      <c r="B1406" s="3" t="inlineStr">
        <is>
          <t>SP삼화</t>
        </is>
      </c>
      <c r="C1406" s="2" t="inlineStr">
        <is>
          <t>코스피</t>
        </is>
      </c>
      <c r="D1406" s="2" t="inlineStr">
        <is>
          <t>000390</t>
        </is>
      </c>
      <c r="E1406" s="3" t="inlineStr">
        <is>
          <t xml:space="preserve">매출액또는손익구조30%(대규모법인은15%)이상변경              </t>
        </is>
      </c>
      <c r="F1406" s="3" t="inlineStr">
        <is>
          <t>SP삼화</t>
        </is>
      </c>
      <c r="G1406" s="2" t="inlineStr">
        <is>
          <t>20260202800744</t>
        </is>
      </c>
      <c r="H1406" s="8">
        <f>HYPERLINK("https://dart.fss.or.kr/dsaf001/main.do?rcpNo=20260202800744", "공시열람")</f>
        <v/>
      </c>
    </row>
    <row r="1407">
      <c r="A1407" s="2" t="inlineStr">
        <is>
          <t>2026-02-02</t>
        </is>
      </c>
      <c r="B1407" s="3" t="inlineStr">
        <is>
          <t>삼성전자</t>
        </is>
      </c>
      <c r="C1407" s="2" t="inlineStr">
        <is>
          <t>코스피</t>
        </is>
      </c>
      <c r="D1407" s="2" t="inlineStr">
        <is>
          <t>005930</t>
        </is>
      </c>
      <c r="E1407" s="3" t="inlineStr">
        <is>
          <t>임원ㆍ주요주주특정증권등소유상황보고서</t>
        </is>
      </c>
      <c r="F1407" s="3" t="inlineStr">
        <is>
          <t>김보창</t>
        </is>
      </c>
      <c r="G1407" s="2" t="inlineStr">
        <is>
          <t>20260202000465</t>
        </is>
      </c>
      <c r="H1407" s="8">
        <f>HYPERLINK("https://dart.fss.or.kr/dsaf001/main.do?rcpNo=20260202000465", "공시열람")</f>
        <v/>
      </c>
    </row>
    <row r="1408">
      <c r="A1408" s="2" t="inlineStr">
        <is>
          <t>2026-02-02</t>
        </is>
      </c>
      <c r="B1408" s="3" t="inlineStr">
        <is>
          <t>삼성전자</t>
        </is>
      </c>
      <c r="C1408" s="2" t="inlineStr">
        <is>
          <t>코스피</t>
        </is>
      </c>
      <c r="D1408" s="2" t="inlineStr">
        <is>
          <t>005930</t>
        </is>
      </c>
      <c r="E1408" s="3" t="inlineStr">
        <is>
          <t>임원ㆍ주요주주특정증권등소유상황보고서</t>
        </is>
      </c>
      <c r="F1408" s="3" t="inlineStr">
        <is>
          <t>손영수</t>
        </is>
      </c>
      <c r="G1408" s="2" t="inlineStr">
        <is>
          <t>20260202000462</t>
        </is>
      </c>
      <c r="H1408" s="8">
        <f>HYPERLINK("https://dart.fss.or.kr/dsaf001/main.do?rcpNo=20260202000462", "공시열람")</f>
        <v/>
      </c>
    </row>
    <row r="1409">
      <c r="A1409" s="2" t="inlineStr">
        <is>
          <t>2026-02-02</t>
        </is>
      </c>
      <c r="B1409" s="3" t="inlineStr">
        <is>
          <t>삼성전자</t>
        </is>
      </c>
      <c r="C1409" s="2" t="inlineStr">
        <is>
          <t>코스피</t>
        </is>
      </c>
      <c r="D1409" s="2" t="inlineStr">
        <is>
          <t>005930</t>
        </is>
      </c>
      <c r="E1409" s="3" t="inlineStr">
        <is>
          <t>임원ㆍ주요주주특정증권등소유상황보고서</t>
        </is>
      </c>
      <c r="F1409" s="3" t="inlineStr">
        <is>
          <t>백종수</t>
        </is>
      </c>
      <c r="G1409" s="2" t="inlineStr">
        <is>
          <t>20260202000461</t>
        </is>
      </c>
      <c r="H1409" s="8">
        <f>HYPERLINK("https://dart.fss.or.kr/dsaf001/main.do?rcpNo=20260202000461", "공시열람")</f>
        <v/>
      </c>
    </row>
    <row r="1410">
      <c r="A1410" s="2" t="inlineStr">
        <is>
          <t>2026-02-02</t>
        </is>
      </c>
      <c r="B1410" s="3" t="inlineStr">
        <is>
          <t>삼성전자</t>
        </is>
      </c>
      <c r="C1410" s="2" t="inlineStr">
        <is>
          <t>코스피</t>
        </is>
      </c>
      <c r="D1410" s="2" t="inlineStr">
        <is>
          <t>005930</t>
        </is>
      </c>
      <c r="E1410" s="3" t="inlineStr">
        <is>
          <t>임원ㆍ주요주주특정증권등소유상황보고서</t>
        </is>
      </c>
      <c r="F1410" s="3" t="inlineStr">
        <is>
          <t>김병승</t>
        </is>
      </c>
      <c r="G1410" s="2" t="inlineStr">
        <is>
          <t>20260202000460</t>
        </is>
      </c>
      <c r="H1410" s="8">
        <f>HYPERLINK("https://dart.fss.or.kr/dsaf001/main.do?rcpNo=20260202000460", "공시열람")</f>
        <v/>
      </c>
    </row>
    <row r="1411">
      <c r="A1411" s="2" t="inlineStr">
        <is>
          <t>2026-02-02</t>
        </is>
      </c>
      <c r="B1411" s="3" t="inlineStr">
        <is>
          <t>비보존 제약</t>
        </is>
      </c>
      <c r="C1411" s="2" t="inlineStr">
        <is>
          <t>코스닥</t>
        </is>
      </c>
      <c r="D1411" s="2" t="inlineStr">
        <is>
          <t>082800</t>
        </is>
      </c>
      <c r="E1411" s="3" t="inlineStr">
        <is>
          <t>임원ㆍ주요주주특정증권등소유상황보고서</t>
        </is>
      </c>
      <c r="F1411" s="3" t="inlineStr">
        <is>
          <t>장부환</t>
        </is>
      </c>
      <c r="G1411" s="2" t="inlineStr">
        <is>
          <t>20260202000458</t>
        </is>
      </c>
      <c r="H1411" s="8">
        <f>HYPERLINK("https://dart.fss.or.kr/dsaf001/main.do?rcpNo=20260202000458", "공시열람")</f>
        <v/>
      </c>
    </row>
    <row r="1412">
      <c r="A1412" s="2" t="inlineStr">
        <is>
          <t>2026-02-02</t>
        </is>
      </c>
      <c r="B1412" s="3" t="inlineStr">
        <is>
          <t>삼성전자</t>
        </is>
      </c>
      <c r="C1412" s="2" t="inlineStr">
        <is>
          <t>코스피</t>
        </is>
      </c>
      <c r="D1412" s="2" t="inlineStr">
        <is>
          <t>005930</t>
        </is>
      </c>
      <c r="E1412" s="3" t="inlineStr">
        <is>
          <t>임원ㆍ주요주주특정증권등소유상황보고서</t>
        </is>
      </c>
      <c r="F1412" s="3" t="inlineStr">
        <is>
          <t>박상권</t>
        </is>
      </c>
      <c r="G1412" s="2" t="inlineStr">
        <is>
          <t>20260202000457</t>
        </is>
      </c>
      <c r="H1412" s="8">
        <f>HYPERLINK("https://dart.fss.or.kr/dsaf001/main.do?rcpNo=20260202000457", "공시열람")</f>
        <v/>
      </c>
    </row>
    <row r="1413">
      <c r="A1413" s="2" t="inlineStr">
        <is>
          <t>2026-02-02</t>
        </is>
      </c>
      <c r="B1413" s="3" t="inlineStr">
        <is>
          <t>삼성전자</t>
        </is>
      </c>
      <c r="C1413" s="2" t="inlineStr">
        <is>
          <t>코스피</t>
        </is>
      </c>
      <c r="D1413" s="2" t="inlineStr">
        <is>
          <t>005930</t>
        </is>
      </c>
      <c r="E1413" s="3" t="inlineStr">
        <is>
          <t>임원ㆍ주요주주특정증권등소유상황보고서</t>
        </is>
      </c>
      <c r="F1413" s="3" t="inlineStr">
        <is>
          <t>김정식</t>
        </is>
      </c>
      <c r="G1413" s="2" t="inlineStr">
        <is>
          <t>20260202000456</t>
        </is>
      </c>
      <c r="H1413" s="8">
        <f>HYPERLINK("https://dart.fss.or.kr/dsaf001/main.do?rcpNo=20260202000456", "공시열람")</f>
        <v/>
      </c>
    </row>
    <row r="1414">
      <c r="A1414" s="2" t="inlineStr">
        <is>
          <t>2026-02-02</t>
        </is>
      </c>
      <c r="B1414" s="3" t="inlineStr">
        <is>
          <t>삼성전자</t>
        </is>
      </c>
      <c r="C1414" s="2" t="inlineStr">
        <is>
          <t>코스피</t>
        </is>
      </c>
      <c r="D1414" s="2" t="inlineStr">
        <is>
          <t>005930</t>
        </is>
      </c>
      <c r="E1414" s="3" t="inlineStr">
        <is>
          <t>임원ㆍ주요주주특정증권등소유상황보고서</t>
        </is>
      </c>
      <c r="F1414" s="3" t="inlineStr">
        <is>
          <t>정윤</t>
        </is>
      </c>
      <c r="G1414" s="2" t="inlineStr">
        <is>
          <t>20260202000455</t>
        </is>
      </c>
      <c r="H1414" s="8">
        <f>HYPERLINK("https://dart.fss.or.kr/dsaf001/main.do?rcpNo=20260202000455", "공시열람")</f>
        <v/>
      </c>
    </row>
    <row r="1415">
      <c r="A1415" s="2" t="inlineStr">
        <is>
          <t>2026-02-02</t>
        </is>
      </c>
      <c r="B1415" s="3" t="inlineStr">
        <is>
          <t>삼성전자</t>
        </is>
      </c>
      <c r="C1415" s="2" t="inlineStr">
        <is>
          <t>코스피</t>
        </is>
      </c>
      <c r="D1415" s="2" t="inlineStr">
        <is>
          <t>005930</t>
        </is>
      </c>
      <c r="E1415" s="3" t="inlineStr">
        <is>
          <t>임원ㆍ주요주주특정증권등소유상황보고서</t>
        </is>
      </c>
      <c r="F1415" s="3" t="inlineStr">
        <is>
          <t>남덕우</t>
        </is>
      </c>
      <c r="G1415" s="2" t="inlineStr">
        <is>
          <t>20260202000454</t>
        </is>
      </c>
      <c r="H1415" s="8">
        <f>HYPERLINK("https://dart.fss.or.kr/dsaf001/main.do?rcpNo=20260202000454", "공시열람")</f>
        <v/>
      </c>
    </row>
    <row r="1416">
      <c r="A1416" s="2" t="inlineStr">
        <is>
          <t>2026-02-02</t>
        </is>
      </c>
      <c r="B1416" s="3" t="inlineStr">
        <is>
          <t>삼성전자</t>
        </is>
      </c>
      <c r="C1416" s="2" t="inlineStr">
        <is>
          <t>코스피</t>
        </is>
      </c>
      <c r="D1416" s="2" t="inlineStr">
        <is>
          <t>005930</t>
        </is>
      </c>
      <c r="E1416" s="3" t="inlineStr">
        <is>
          <t>임원ㆍ주요주주특정증권등소유상황보고서</t>
        </is>
      </c>
      <c r="F1416" s="3" t="inlineStr">
        <is>
          <t>김무성</t>
        </is>
      </c>
      <c r="G1416" s="2" t="inlineStr">
        <is>
          <t>20260202000450</t>
        </is>
      </c>
      <c r="H1416" s="8">
        <f>HYPERLINK("https://dart.fss.or.kr/dsaf001/main.do?rcpNo=20260202000450", "공시열람")</f>
        <v/>
      </c>
    </row>
    <row r="1417">
      <c r="A1417" s="2" t="inlineStr">
        <is>
          <t>2026-02-02</t>
        </is>
      </c>
      <c r="B1417" s="3" t="inlineStr">
        <is>
          <t>삼성전자</t>
        </is>
      </c>
      <c r="C1417" s="2" t="inlineStr">
        <is>
          <t>코스피</t>
        </is>
      </c>
      <c r="D1417" s="2" t="inlineStr">
        <is>
          <t>005930</t>
        </is>
      </c>
      <c r="E1417" s="3" t="inlineStr">
        <is>
          <t>임원ㆍ주요주주특정증권등소유상황보고서</t>
        </is>
      </c>
      <c r="F1417" s="3" t="inlineStr">
        <is>
          <t>조성훈</t>
        </is>
      </c>
      <c r="G1417" s="2" t="inlineStr">
        <is>
          <t>20260202000448</t>
        </is>
      </c>
      <c r="H1417" s="8">
        <f>HYPERLINK("https://dart.fss.or.kr/dsaf001/main.do?rcpNo=20260202000448", "공시열람")</f>
        <v/>
      </c>
    </row>
    <row r="1418">
      <c r="A1418" s="2" t="inlineStr">
        <is>
          <t>2026-02-02</t>
        </is>
      </c>
      <c r="B1418" s="3" t="inlineStr">
        <is>
          <t>삼성전자</t>
        </is>
      </c>
      <c r="C1418" s="2" t="inlineStr">
        <is>
          <t>코스피</t>
        </is>
      </c>
      <c r="D1418" s="2" t="inlineStr">
        <is>
          <t>005930</t>
        </is>
      </c>
      <c r="E1418" s="3" t="inlineStr">
        <is>
          <t>임원ㆍ주요주주특정증권등소유상황보고서</t>
        </is>
      </c>
      <c r="F1418" s="3" t="inlineStr">
        <is>
          <t>김찬호</t>
        </is>
      </c>
      <c r="G1418" s="2" t="inlineStr">
        <is>
          <t>20260202000446</t>
        </is>
      </c>
      <c r="H1418" s="8">
        <f>HYPERLINK("https://dart.fss.or.kr/dsaf001/main.do?rcpNo=20260202000446", "공시열람")</f>
        <v/>
      </c>
    </row>
    <row r="1419">
      <c r="A1419" s="2" t="inlineStr">
        <is>
          <t>2026-02-02</t>
        </is>
      </c>
      <c r="B1419" s="3" t="inlineStr">
        <is>
          <t>삼성전자</t>
        </is>
      </c>
      <c r="C1419" s="2" t="inlineStr">
        <is>
          <t>코스피</t>
        </is>
      </c>
      <c r="D1419" s="2" t="inlineStr">
        <is>
          <t>005930</t>
        </is>
      </c>
      <c r="E1419" s="3" t="inlineStr">
        <is>
          <t>임원ㆍ주요주주특정증권등소유상황보고서</t>
        </is>
      </c>
      <c r="F1419" s="3" t="inlineStr">
        <is>
          <t>김도형</t>
        </is>
      </c>
      <c r="G1419" s="2" t="inlineStr">
        <is>
          <t>20260202000445</t>
        </is>
      </c>
      <c r="H1419" s="8">
        <f>HYPERLINK("https://dart.fss.or.kr/dsaf001/main.do?rcpNo=20260202000445", "공시열람")</f>
        <v/>
      </c>
    </row>
    <row r="1420">
      <c r="A1420" s="2" t="inlineStr">
        <is>
          <t>2026-02-02</t>
        </is>
      </c>
      <c r="B1420" s="3" t="inlineStr">
        <is>
          <t>삼성전자</t>
        </is>
      </c>
      <c r="C1420" s="2" t="inlineStr">
        <is>
          <t>코스피</t>
        </is>
      </c>
      <c r="D1420" s="2" t="inlineStr">
        <is>
          <t>005930</t>
        </is>
      </c>
      <c r="E1420" s="3" t="inlineStr">
        <is>
          <t>임원ㆍ주요주주특정증권등소유상황보고서</t>
        </is>
      </c>
      <c r="F1420" s="3" t="inlineStr">
        <is>
          <t>이헌</t>
        </is>
      </c>
      <c r="G1420" s="2" t="inlineStr">
        <is>
          <t>20260202000444</t>
        </is>
      </c>
      <c r="H1420" s="8">
        <f>HYPERLINK("https://dart.fss.or.kr/dsaf001/main.do?rcpNo=20260202000444", "공시열람")</f>
        <v/>
      </c>
    </row>
    <row r="1421">
      <c r="A1421" s="2" t="inlineStr">
        <is>
          <t>2026-02-02</t>
        </is>
      </c>
      <c r="B1421" s="3" t="inlineStr">
        <is>
          <t>삼성전자</t>
        </is>
      </c>
      <c r="C1421" s="2" t="inlineStr">
        <is>
          <t>코스피</t>
        </is>
      </c>
      <c r="D1421" s="2" t="inlineStr">
        <is>
          <t>005930</t>
        </is>
      </c>
      <c r="E1421" s="3" t="inlineStr">
        <is>
          <t>임원ㆍ주요주주특정증권등소유상황보고서</t>
        </is>
      </c>
      <c r="F1421" s="3" t="inlineStr">
        <is>
          <t>김두일</t>
        </is>
      </c>
      <c r="G1421" s="2" t="inlineStr">
        <is>
          <t>20260202000443</t>
        </is>
      </c>
      <c r="H1421" s="8">
        <f>HYPERLINK("https://dart.fss.or.kr/dsaf001/main.do?rcpNo=20260202000443", "공시열람")</f>
        <v/>
      </c>
    </row>
    <row r="1422">
      <c r="A1422" s="2" t="inlineStr">
        <is>
          <t>2026-02-02</t>
        </is>
      </c>
      <c r="B1422" s="3" t="inlineStr">
        <is>
          <t>삼성전자</t>
        </is>
      </c>
      <c r="C1422" s="2" t="inlineStr">
        <is>
          <t>코스피</t>
        </is>
      </c>
      <c r="D1422" s="2" t="inlineStr">
        <is>
          <t>005930</t>
        </is>
      </c>
      <c r="E1422" s="3" t="inlineStr">
        <is>
          <t>임원ㆍ주요주주특정증권등소유상황보고서</t>
        </is>
      </c>
      <c r="F1422" s="3" t="inlineStr">
        <is>
          <t>차도헌</t>
        </is>
      </c>
      <c r="G1422" s="2" t="inlineStr">
        <is>
          <t>20260202000441</t>
        </is>
      </c>
      <c r="H1422" s="8">
        <f>HYPERLINK("https://dart.fss.or.kr/dsaf001/main.do?rcpNo=20260202000441", "공시열람")</f>
        <v/>
      </c>
    </row>
    <row r="1423">
      <c r="A1423" s="2" t="inlineStr">
        <is>
          <t>2026-02-02</t>
        </is>
      </c>
      <c r="B1423" s="3" t="inlineStr">
        <is>
          <t>코메론</t>
        </is>
      </c>
      <c r="C1423" s="2" t="inlineStr">
        <is>
          <t>코스닥</t>
        </is>
      </c>
      <c r="D1423" s="2" t="inlineStr">
        <is>
          <t>049430</t>
        </is>
      </c>
      <c r="E1423" s="3" t="inlineStr">
        <is>
          <t>임원ㆍ주요주주특정증권등소유상황보고서</t>
        </is>
      </c>
      <c r="F1423" s="3" t="inlineStr">
        <is>
          <t>소정</t>
        </is>
      </c>
      <c r="G1423" s="2" t="inlineStr">
        <is>
          <t>20260202000440</t>
        </is>
      </c>
      <c r="H1423" s="8">
        <f>HYPERLINK("https://dart.fss.or.kr/dsaf001/main.do?rcpNo=20260202000440", "공시열람")</f>
        <v/>
      </c>
    </row>
    <row r="1424">
      <c r="A1424" s="2" t="inlineStr">
        <is>
          <t>2026-02-02</t>
        </is>
      </c>
      <c r="B1424" s="3" t="inlineStr">
        <is>
          <t>교보증권</t>
        </is>
      </c>
      <c r="C1424" s="2" t="inlineStr">
        <is>
          <t>코스피</t>
        </is>
      </c>
      <c r="D1424" s="2" t="inlineStr">
        <is>
          <t>030610</t>
        </is>
      </c>
      <c r="E1424" s="3" t="inlineStr">
        <is>
          <t>증권발행실적보고서</t>
        </is>
      </c>
      <c r="F1424" s="3" t="inlineStr">
        <is>
          <t>교보증권</t>
        </is>
      </c>
      <c r="G1424" s="2" t="inlineStr">
        <is>
          <t>20260202000438</t>
        </is>
      </c>
      <c r="H1424" s="8">
        <f>HYPERLINK("https://dart.fss.or.kr/dsaf001/main.do?rcpNo=20260202000438", "공시열람")</f>
        <v/>
      </c>
    </row>
    <row r="1425">
      <c r="A1425" s="2" t="inlineStr">
        <is>
          <t>2026-02-02</t>
        </is>
      </c>
      <c r="B1425" s="3" t="inlineStr">
        <is>
          <t>삼성전자</t>
        </is>
      </c>
      <c r="C1425" s="2" t="inlineStr">
        <is>
          <t>코스피</t>
        </is>
      </c>
      <c r="D1425" s="2" t="inlineStr">
        <is>
          <t>005930</t>
        </is>
      </c>
      <c r="E1425" s="3" t="inlineStr">
        <is>
          <t>임원ㆍ주요주주특정증권등소유상황보고서</t>
        </is>
      </c>
      <c r="F1425" s="3" t="inlineStr">
        <is>
          <t>이화성</t>
        </is>
      </c>
      <c r="G1425" s="2" t="inlineStr">
        <is>
          <t>20260202000437</t>
        </is>
      </c>
      <c r="H1425" s="8">
        <f>HYPERLINK("https://dart.fss.or.kr/dsaf001/main.do?rcpNo=20260202000437", "공시열람")</f>
        <v/>
      </c>
    </row>
    <row r="1426">
      <c r="A1426" s="2" t="inlineStr">
        <is>
          <t>2026-02-02</t>
        </is>
      </c>
      <c r="B1426" s="3" t="inlineStr">
        <is>
          <t>삼성전자</t>
        </is>
      </c>
      <c r="C1426" s="2" t="inlineStr">
        <is>
          <t>코스피</t>
        </is>
      </c>
      <c r="D1426" s="2" t="inlineStr">
        <is>
          <t>005930</t>
        </is>
      </c>
      <c r="E1426" s="3" t="inlineStr">
        <is>
          <t>임원ㆍ주요주주특정증권등소유상황보고서</t>
        </is>
      </c>
      <c r="F1426" s="3" t="inlineStr">
        <is>
          <t>김길섭</t>
        </is>
      </c>
      <c r="G1426" s="2" t="inlineStr">
        <is>
          <t>20260202000436</t>
        </is>
      </c>
      <c r="H1426" s="8">
        <f>HYPERLINK("https://dart.fss.or.kr/dsaf001/main.do?rcpNo=20260202000436", "공시열람")</f>
        <v/>
      </c>
    </row>
    <row r="1427">
      <c r="A1427" s="2" t="inlineStr">
        <is>
          <t>2026-02-02</t>
        </is>
      </c>
      <c r="B1427" s="3" t="inlineStr">
        <is>
          <t>미래에셋증권</t>
        </is>
      </c>
      <c r="C1427" s="2" t="inlineStr">
        <is>
          <t>코스피</t>
        </is>
      </c>
      <c r="D1427" s="2" t="inlineStr">
        <is>
          <t>006800</t>
        </is>
      </c>
      <c r="E1427" s="3" t="inlineStr">
        <is>
          <t>증권발행실적보고서</t>
        </is>
      </c>
      <c r="F1427" s="3" t="inlineStr">
        <is>
          <t>미래에셋증권</t>
        </is>
      </c>
      <c r="G1427" s="2" t="inlineStr">
        <is>
          <t>20260202000434</t>
        </is>
      </c>
      <c r="H1427" s="8">
        <f>HYPERLINK("https://dart.fss.or.kr/dsaf001/main.do?rcpNo=20260202000434", "공시열람")</f>
        <v/>
      </c>
    </row>
    <row r="1428">
      <c r="A1428" s="2" t="inlineStr">
        <is>
          <t>2026-02-02</t>
        </is>
      </c>
      <c r="B1428" s="3" t="inlineStr">
        <is>
          <t>서부T&amp;D</t>
        </is>
      </c>
      <c r="C1428" s="2" t="inlineStr">
        <is>
          <t>코스닥</t>
        </is>
      </c>
      <c r="D1428" s="2" t="inlineStr">
        <is>
          <t>006730</t>
        </is>
      </c>
      <c r="E1428" s="3" t="inlineStr">
        <is>
          <t xml:space="preserve">기업설명회(IR)개최              </t>
        </is>
      </c>
      <c r="F1428" s="3" t="inlineStr">
        <is>
          <t>서부T&amp;D</t>
        </is>
      </c>
      <c r="G1428" s="2" t="inlineStr">
        <is>
          <t>20260202900788</t>
        </is>
      </c>
      <c r="H1428" s="8">
        <f>HYPERLINK("https://dart.fss.or.kr/dsaf001/main.do?rcpNo=20260202900788", "공시열람")</f>
        <v/>
      </c>
    </row>
    <row r="1429">
      <c r="A1429" s="2" t="inlineStr">
        <is>
          <t>2026-02-02</t>
        </is>
      </c>
      <c r="B1429" s="3" t="inlineStr">
        <is>
          <t>삼성전자</t>
        </is>
      </c>
      <c r="C1429" s="2" t="inlineStr">
        <is>
          <t>코스피</t>
        </is>
      </c>
      <c r="D1429" s="2" t="inlineStr">
        <is>
          <t>005930</t>
        </is>
      </c>
      <c r="E1429" s="3" t="inlineStr">
        <is>
          <t>임원ㆍ주요주주특정증권등소유상황보고서</t>
        </is>
      </c>
      <c r="F1429" s="3" t="inlineStr">
        <is>
          <t>함선규</t>
        </is>
      </c>
      <c r="G1429" s="2" t="inlineStr">
        <is>
          <t>20260202000432</t>
        </is>
      </c>
      <c r="H1429" s="8">
        <f>HYPERLINK("https://dart.fss.or.kr/dsaf001/main.do?rcpNo=20260202000432", "공시열람")</f>
        <v/>
      </c>
    </row>
    <row r="1430">
      <c r="A1430" s="2" t="inlineStr">
        <is>
          <t>2026-02-02</t>
        </is>
      </c>
      <c r="B1430" s="3" t="inlineStr">
        <is>
          <t>삼성전자</t>
        </is>
      </c>
      <c r="C1430" s="2" t="inlineStr">
        <is>
          <t>코스피</t>
        </is>
      </c>
      <c r="D1430" s="2" t="inlineStr">
        <is>
          <t>005930</t>
        </is>
      </c>
      <c r="E1430" s="3" t="inlineStr">
        <is>
          <t>임원ㆍ주요주주특정증권등소유상황보고서</t>
        </is>
      </c>
      <c r="F1430" s="3" t="inlineStr">
        <is>
          <t>김기언</t>
        </is>
      </c>
      <c r="G1430" s="2" t="inlineStr">
        <is>
          <t>20260202000431</t>
        </is>
      </c>
      <c r="H1430" s="8">
        <f>HYPERLINK("https://dart.fss.or.kr/dsaf001/main.do?rcpNo=20260202000431", "공시열람")</f>
        <v/>
      </c>
    </row>
    <row r="1431">
      <c r="A1431" s="2" t="inlineStr">
        <is>
          <t>2026-02-02</t>
        </is>
      </c>
      <c r="B1431" s="3" t="inlineStr">
        <is>
          <t>삼성전자</t>
        </is>
      </c>
      <c r="C1431" s="2" t="inlineStr">
        <is>
          <t>코스피</t>
        </is>
      </c>
      <c r="D1431" s="2" t="inlineStr">
        <is>
          <t>005930</t>
        </is>
      </c>
      <c r="E1431" s="3" t="inlineStr">
        <is>
          <t>임원ㆍ주요주주특정증권등소유상황보고서</t>
        </is>
      </c>
      <c r="F1431" s="3" t="inlineStr">
        <is>
          <t>신원화</t>
        </is>
      </c>
      <c r="G1431" s="2" t="inlineStr">
        <is>
          <t>20260202000430</t>
        </is>
      </c>
      <c r="H1431" s="8">
        <f>HYPERLINK("https://dart.fss.or.kr/dsaf001/main.do?rcpNo=20260202000430", "공시열람")</f>
        <v/>
      </c>
    </row>
    <row r="1432">
      <c r="A1432" s="2" t="inlineStr">
        <is>
          <t>2026-02-02</t>
        </is>
      </c>
      <c r="B1432" s="3" t="inlineStr">
        <is>
          <t>삼성전자</t>
        </is>
      </c>
      <c r="C1432" s="2" t="inlineStr">
        <is>
          <t>코스피</t>
        </is>
      </c>
      <c r="D1432" s="2" t="inlineStr">
        <is>
          <t>005930</t>
        </is>
      </c>
      <c r="E1432" s="3" t="inlineStr">
        <is>
          <t>임원ㆍ주요주주특정증권등소유상황보고서</t>
        </is>
      </c>
      <c r="F1432" s="3" t="inlineStr">
        <is>
          <t>김홍식</t>
        </is>
      </c>
      <c r="G1432" s="2" t="inlineStr">
        <is>
          <t>20260202000429</t>
        </is>
      </c>
      <c r="H1432" s="8">
        <f>HYPERLINK("https://dart.fss.or.kr/dsaf001/main.do?rcpNo=20260202000429", "공시열람")</f>
        <v/>
      </c>
    </row>
    <row r="1433">
      <c r="A1433" s="2" t="inlineStr">
        <is>
          <t>2026-02-02 (정정: 2026-03-11)</t>
        </is>
      </c>
      <c r="B1433" s="3" t="inlineStr">
        <is>
          <t>SHD</t>
        </is>
      </c>
      <c r="C1433" s="2" t="inlineStr">
        <is>
          <t>코스피</t>
        </is>
      </c>
      <c r="D1433" s="2" t="inlineStr">
        <is>
          <t>001770</t>
        </is>
      </c>
      <c r="E1433" s="3" t="inlineStr">
        <is>
          <t>매출액또는손익구조30%(대규모법인은15%)이상변경               (정정: 20260310) (정정: 20260311)</t>
        </is>
      </c>
      <c r="F1433" s="3" t="inlineStr">
        <is>
          <t>SHD</t>
        </is>
      </c>
      <c r="G1433" s="2" t="inlineStr">
        <is>
          <t>20260311801647</t>
        </is>
      </c>
      <c r="H1433" s="8">
        <f>HYPERLINK("https://dart.fss.or.kr/dsaf001/main.do?rcpNo=20260311801647", "공시열람")</f>
        <v/>
      </c>
    </row>
    <row r="1434">
      <c r="A1434" s="2" t="inlineStr">
        <is>
          <t>2026-02-02</t>
        </is>
      </c>
      <c r="B1434" s="3" t="inlineStr">
        <is>
          <t>삼성전자</t>
        </is>
      </c>
      <c r="C1434" s="2" t="inlineStr">
        <is>
          <t>코스피</t>
        </is>
      </c>
      <c r="D1434" s="2" t="inlineStr">
        <is>
          <t>005930</t>
        </is>
      </c>
      <c r="E1434" s="3" t="inlineStr">
        <is>
          <t>임원ㆍ주요주주특정증권등소유상황보고서</t>
        </is>
      </c>
      <c r="F1434" s="3" t="inlineStr">
        <is>
          <t>장우영</t>
        </is>
      </c>
      <c r="G1434" s="2" t="inlineStr">
        <is>
          <t>20260202000428</t>
        </is>
      </c>
      <c r="H1434" s="8">
        <f>HYPERLINK("https://dart.fss.or.kr/dsaf001/main.do?rcpNo=20260202000428", "공시열람")</f>
        <v/>
      </c>
    </row>
    <row r="1435">
      <c r="A1435" s="2" t="inlineStr">
        <is>
          <t>2026-02-02</t>
        </is>
      </c>
      <c r="B1435" s="3" t="inlineStr">
        <is>
          <t>삼성전자</t>
        </is>
      </c>
      <c r="C1435" s="2" t="inlineStr">
        <is>
          <t>코스피</t>
        </is>
      </c>
      <c r="D1435" s="2" t="inlineStr">
        <is>
          <t>005930</t>
        </is>
      </c>
      <c r="E1435" s="3" t="inlineStr">
        <is>
          <t>임원ㆍ주요주주특정증권등소유상황보고서</t>
        </is>
      </c>
      <c r="F1435" s="3" t="inlineStr">
        <is>
          <t>김연정</t>
        </is>
      </c>
      <c r="G1435" s="2" t="inlineStr">
        <is>
          <t>20260202000427</t>
        </is>
      </c>
      <c r="H1435" s="8">
        <f>HYPERLINK("https://dart.fss.or.kr/dsaf001/main.do?rcpNo=20260202000427", "공시열람")</f>
        <v/>
      </c>
    </row>
    <row r="1436">
      <c r="A1436" s="2" t="inlineStr">
        <is>
          <t>2026-02-02</t>
        </is>
      </c>
      <c r="B1436" s="3" t="inlineStr">
        <is>
          <t>삼성전자</t>
        </is>
      </c>
      <c r="C1436" s="2" t="inlineStr">
        <is>
          <t>코스피</t>
        </is>
      </c>
      <c r="D1436" s="2" t="inlineStr">
        <is>
          <t>005930</t>
        </is>
      </c>
      <c r="E1436" s="3" t="inlineStr">
        <is>
          <t>임원ㆍ주요주주특정증권등소유상황보고서</t>
        </is>
      </c>
      <c r="F1436" s="3" t="inlineStr">
        <is>
          <t>김기수</t>
        </is>
      </c>
      <c r="G1436" s="2" t="inlineStr">
        <is>
          <t>20260202000425</t>
        </is>
      </c>
      <c r="H1436" s="8">
        <f>HYPERLINK("https://dart.fss.or.kr/dsaf001/main.do?rcpNo=20260202000425", "공시열람")</f>
        <v/>
      </c>
    </row>
    <row r="1437">
      <c r="A1437" s="2" t="inlineStr">
        <is>
          <t>2026-02-02</t>
        </is>
      </c>
      <c r="B1437" s="3" t="inlineStr">
        <is>
          <t>삼성전자</t>
        </is>
      </c>
      <c r="C1437" s="2" t="inlineStr">
        <is>
          <t>코스피</t>
        </is>
      </c>
      <c r="D1437" s="2" t="inlineStr">
        <is>
          <t>005930</t>
        </is>
      </c>
      <c r="E1437" s="3" t="inlineStr">
        <is>
          <t>임원ㆍ주요주주특정증권등소유상황보고서</t>
        </is>
      </c>
      <c r="F1437" s="3" t="inlineStr">
        <is>
          <t>김희열</t>
        </is>
      </c>
      <c r="G1437" s="2" t="inlineStr">
        <is>
          <t>20260202000424</t>
        </is>
      </c>
      <c r="H1437" s="8">
        <f>HYPERLINK("https://dart.fss.or.kr/dsaf001/main.do?rcpNo=20260202000424", "공시열람")</f>
        <v/>
      </c>
    </row>
    <row r="1438">
      <c r="A1438" s="2" t="inlineStr">
        <is>
          <t>2026-02-02</t>
        </is>
      </c>
      <c r="B1438" s="3" t="inlineStr">
        <is>
          <t>삼성전자</t>
        </is>
      </c>
      <c r="C1438" s="2" t="inlineStr">
        <is>
          <t>코스피</t>
        </is>
      </c>
      <c r="D1438" s="2" t="inlineStr">
        <is>
          <t>005930</t>
        </is>
      </c>
      <c r="E1438" s="3" t="inlineStr">
        <is>
          <t>임원ㆍ주요주주특정증권등소유상황보고서</t>
        </is>
      </c>
      <c r="F1438" s="3" t="inlineStr">
        <is>
          <t>한종호</t>
        </is>
      </c>
      <c r="G1438" s="2" t="inlineStr">
        <is>
          <t>20260202000422</t>
        </is>
      </c>
      <c r="H1438" s="8">
        <f>HYPERLINK("https://dart.fss.or.kr/dsaf001/main.do?rcpNo=20260202000422", "공시열람")</f>
        <v/>
      </c>
    </row>
    <row r="1439">
      <c r="A1439" s="2" t="inlineStr">
        <is>
          <t>2026-02-02</t>
        </is>
      </c>
      <c r="B1439" s="3" t="inlineStr">
        <is>
          <t>삼성전자</t>
        </is>
      </c>
      <c r="C1439" s="2" t="inlineStr">
        <is>
          <t>코스피</t>
        </is>
      </c>
      <c r="D1439" s="2" t="inlineStr">
        <is>
          <t>005930</t>
        </is>
      </c>
      <c r="E1439" s="3" t="inlineStr">
        <is>
          <t>임원ㆍ주요주주특정증권등소유상황보고서</t>
        </is>
      </c>
      <c r="F1439" s="3" t="inlineStr">
        <is>
          <t>이준화</t>
        </is>
      </c>
      <c r="G1439" s="2" t="inlineStr">
        <is>
          <t>20260202000421</t>
        </is>
      </c>
      <c r="H1439" s="8">
        <f>HYPERLINK("https://dart.fss.or.kr/dsaf001/main.do?rcpNo=20260202000421", "공시열람")</f>
        <v/>
      </c>
    </row>
    <row r="1440">
      <c r="A1440" s="2" t="inlineStr">
        <is>
          <t>2026-02-02</t>
        </is>
      </c>
      <c r="B1440" s="3" t="inlineStr">
        <is>
          <t>SK오션플랜트</t>
        </is>
      </c>
      <c r="C1440" s="2" t="inlineStr">
        <is>
          <t>코스피</t>
        </is>
      </c>
      <c r="D1440" s="2" t="inlineStr">
        <is>
          <t>100090</t>
        </is>
      </c>
      <c r="E1440" s="3" t="inlineStr">
        <is>
          <t xml:space="preserve">매출액또는손익구조30%(대규모법인은15%)이상변경              </t>
        </is>
      </c>
      <c r="F1440" s="3" t="inlineStr">
        <is>
          <t>SK오션플랜트</t>
        </is>
      </c>
      <c r="G1440" s="2" t="inlineStr">
        <is>
          <t>20260202800731</t>
        </is>
      </c>
      <c r="H1440" s="8">
        <f>HYPERLINK("https://dart.fss.or.kr/dsaf001/main.do?rcpNo=20260202800731", "공시열람")</f>
        <v/>
      </c>
    </row>
    <row r="1441">
      <c r="A1441" s="2" t="inlineStr">
        <is>
          <t>2026-02-02</t>
        </is>
      </c>
      <c r="B1441" s="3" t="inlineStr">
        <is>
          <t>삼성전자</t>
        </is>
      </c>
      <c r="C1441" s="2" t="inlineStr">
        <is>
          <t>코스피</t>
        </is>
      </c>
      <c r="D1441" s="2" t="inlineStr">
        <is>
          <t>005930</t>
        </is>
      </c>
      <c r="E1441" s="3" t="inlineStr">
        <is>
          <t>임원ㆍ주요주주특정증권등소유상황보고서</t>
        </is>
      </c>
      <c r="F1441" s="3" t="inlineStr">
        <is>
          <t>송정우</t>
        </is>
      </c>
      <c r="G1441" s="2" t="inlineStr">
        <is>
          <t>20260202000419</t>
        </is>
      </c>
      <c r="H1441" s="8">
        <f>HYPERLINK("https://dart.fss.or.kr/dsaf001/main.do?rcpNo=20260202000419", "공시열람")</f>
        <v/>
      </c>
    </row>
    <row r="1442">
      <c r="A1442" s="2" t="inlineStr">
        <is>
          <t>2026-02-02</t>
        </is>
      </c>
      <c r="B1442" s="3" t="inlineStr">
        <is>
          <t>삼성전자</t>
        </is>
      </c>
      <c r="C1442" s="2" t="inlineStr">
        <is>
          <t>코스피</t>
        </is>
      </c>
      <c r="D1442" s="2" t="inlineStr">
        <is>
          <t>005930</t>
        </is>
      </c>
      <c r="E1442" s="3" t="inlineStr">
        <is>
          <t>임원ㆍ주요주주특정증권등소유상황보고서</t>
        </is>
      </c>
      <c r="F1442" s="3" t="inlineStr">
        <is>
          <t>권영호</t>
        </is>
      </c>
      <c r="G1442" s="2" t="inlineStr">
        <is>
          <t>20260202000416</t>
        </is>
      </c>
      <c r="H1442" s="8">
        <f>HYPERLINK("https://dart.fss.or.kr/dsaf001/main.do?rcpNo=20260202000416", "공시열람")</f>
        <v/>
      </c>
    </row>
    <row r="1443">
      <c r="A1443" s="2" t="inlineStr">
        <is>
          <t>2026-02-02</t>
        </is>
      </c>
      <c r="B1443" s="3" t="inlineStr">
        <is>
          <t>현대로템</t>
        </is>
      </c>
      <c r="C1443" s="2" t="inlineStr">
        <is>
          <t>코스피</t>
        </is>
      </c>
      <c r="D1443" s="2" t="inlineStr">
        <is>
          <t>064350</t>
        </is>
      </c>
      <c r="E1443" s="3" t="inlineStr">
        <is>
          <t xml:space="preserve">기업설명회(IR)개최(안내공시)              </t>
        </is>
      </c>
      <c r="F1443" s="3" t="inlineStr">
        <is>
          <t>현대로템</t>
        </is>
      </c>
      <c r="G1443" s="2" t="inlineStr">
        <is>
          <t>20260202800769</t>
        </is>
      </c>
      <c r="H1443" s="8">
        <f>HYPERLINK("https://dart.fss.or.kr/dsaf001/main.do?rcpNo=20260202800769", "공시열람")</f>
        <v/>
      </c>
    </row>
    <row r="1444">
      <c r="A1444" s="2" t="inlineStr">
        <is>
          <t>2026-02-02</t>
        </is>
      </c>
      <c r="B1444" s="3" t="inlineStr">
        <is>
          <t>삼성전자</t>
        </is>
      </c>
      <c r="C1444" s="2" t="inlineStr">
        <is>
          <t>코스피</t>
        </is>
      </c>
      <c r="D1444" s="2" t="inlineStr">
        <is>
          <t>005930</t>
        </is>
      </c>
      <c r="E1444" s="3" t="inlineStr">
        <is>
          <t>임원ㆍ주요주주특정증권등소유상황보고서</t>
        </is>
      </c>
      <c r="F1444" s="3" t="inlineStr">
        <is>
          <t>김진수</t>
        </is>
      </c>
      <c r="G1444" s="2" t="inlineStr">
        <is>
          <t>20260202000415</t>
        </is>
      </c>
      <c r="H1444" s="8">
        <f>HYPERLINK("https://dart.fss.or.kr/dsaf001/main.do?rcpNo=20260202000415", "공시열람")</f>
        <v/>
      </c>
    </row>
    <row r="1445">
      <c r="A1445" s="2" t="inlineStr">
        <is>
          <t>2026-02-02</t>
        </is>
      </c>
      <c r="B1445" s="3" t="inlineStr">
        <is>
          <t>삼성전자</t>
        </is>
      </c>
      <c r="C1445" s="2" t="inlineStr">
        <is>
          <t>코스피</t>
        </is>
      </c>
      <c r="D1445" s="2" t="inlineStr">
        <is>
          <t>005930</t>
        </is>
      </c>
      <c r="E1445" s="3" t="inlineStr">
        <is>
          <t>임원ㆍ주요주주특정증권등소유상황보고서</t>
        </is>
      </c>
      <c r="F1445" s="3" t="inlineStr">
        <is>
          <t>원성근</t>
        </is>
      </c>
      <c r="G1445" s="2" t="inlineStr">
        <is>
          <t>20260202000414</t>
        </is>
      </c>
      <c r="H1445" s="8">
        <f>HYPERLINK("https://dart.fss.or.kr/dsaf001/main.do?rcpNo=20260202000414", "공시열람")</f>
        <v/>
      </c>
    </row>
    <row r="1446">
      <c r="A1446" s="2" t="inlineStr">
        <is>
          <t>2026-02-02</t>
        </is>
      </c>
      <c r="B1446" s="3" t="inlineStr">
        <is>
          <t>삼성전자</t>
        </is>
      </c>
      <c r="C1446" s="2" t="inlineStr">
        <is>
          <t>코스피</t>
        </is>
      </c>
      <c r="D1446" s="2" t="inlineStr">
        <is>
          <t>005930</t>
        </is>
      </c>
      <c r="E1446" s="3" t="inlineStr">
        <is>
          <t>임원ㆍ주요주주특정증권등소유상황보고서</t>
        </is>
      </c>
      <c r="F1446" s="3" t="inlineStr">
        <is>
          <t>이경우</t>
        </is>
      </c>
      <c r="G1446" s="2" t="inlineStr">
        <is>
          <t>20260202000412</t>
        </is>
      </c>
      <c r="H1446" s="8">
        <f>HYPERLINK("https://dart.fss.or.kr/dsaf001/main.do?rcpNo=20260202000412", "공시열람")</f>
        <v/>
      </c>
    </row>
    <row r="1447">
      <c r="A1447" s="2" t="inlineStr">
        <is>
          <t>2026-02-02</t>
        </is>
      </c>
      <c r="B1447" s="3" t="inlineStr">
        <is>
          <t>삼성전자</t>
        </is>
      </c>
      <c r="C1447" s="2" t="inlineStr">
        <is>
          <t>코스피</t>
        </is>
      </c>
      <c r="D1447" s="2" t="inlineStr">
        <is>
          <t>005930</t>
        </is>
      </c>
      <c r="E1447" s="3" t="inlineStr">
        <is>
          <t>임원ㆍ주요주주특정증권등소유상황보고서</t>
        </is>
      </c>
      <c r="F1447" s="3" t="inlineStr">
        <is>
          <t>김후성</t>
        </is>
      </c>
      <c r="G1447" s="2" t="inlineStr">
        <is>
          <t>20260202000411</t>
        </is>
      </c>
      <c r="H1447" s="8">
        <f>HYPERLINK("https://dart.fss.or.kr/dsaf001/main.do?rcpNo=20260202000411", "공시열람")</f>
        <v/>
      </c>
    </row>
    <row r="1448">
      <c r="A1448" s="2" t="inlineStr">
        <is>
          <t>2026-02-02</t>
        </is>
      </c>
      <c r="B1448" s="3" t="inlineStr">
        <is>
          <t>삼성전자</t>
        </is>
      </c>
      <c r="C1448" s="2" t="inlineStr">
        <is>
          <t>코스피</t>
        </is>
      </c>
      <c r="D1448" s="2" t="inlineStr">
        <is>
          <t>005930</t>
        </is>
      </c>
      <c r="E1448" s="3" t="inlineStr">
        <is>
          <t>임원ㆍ주요주주특정증권등소유상황보고서</t>
        </is>
      </c>
      <c r="F1448" s="3" t="inlineStr">
        <is>
          <t>권민호</t>
        </is>
      </c>
      <c r="G1448" s="2" t="inlineStr">
        <is>
          <t>20260202000410</t>
        </is>
      </c>
      <c r="H1448" s="8">
        <f>HYPERLINK("https://dart.fss.or.kr/dsaf001/main.do?rcpNo=20260202000410", "공시열람")</f>
        <v/>
      </c>
    </row>
    <row r="1449">
      <c r="A1449" s="2" t="inlineStr">
        <is>
          <t>2026-02-02</t>
        </is>
      </c>
      <c r="B1449" s="3" t="inlineStr">
        <is>
          <t>삼성전자</t>
        </is>
      </c>
      <c r="C1449" s="2" t="inlineStr">
        <is>
          <t>코스피</t>
        </is>
      </c>
      <c r="D1449" s="2" t="inlineStr">
        <is>
          <t>005930</t>
        </is>
      </c>
      <c r="E1449" s="3" t="inlineStr">
        <is>
          <t>임원ㆍ주요주주특정증권등소유상황보고서</t>
        </is>
      </c>
      <c r="F1449" s="3" t="inlineStr">
        <is>
          <t>고의중</t>
        </is>
      </c>
      <c r="G1449" s="2" t="inlineStr">
        <is>
          <t>20260202000409</t>
        </is>
      </c>
      <c r="H1449" s="8">
        <f>HYPERLINK("https://dart.fss.or.kr/dsaf001/main.do?rcpNo=20260202000409", "공시열람")</f>
        <v/>
      </c>
    </row>
    <row r="1450">
      <c r="A1450" s="2" t="inlineStr">
        <is>
          <t>2026-02-02</t>
        </is>
      </c>
      <c r="B1450" s="3" t="inlineStr">
        <is>
          <t>유안타제17호스팩</t>
        </is>
      </c>
      <c r="C1450" s="2" t="inlineStr">
        <is>
          <t>코스닥</t>
        </is>
      </c>
      <c r="D1450" s="2" t="inlineStr">
        <is>
          <t>493790</t>
        </is>
      </c>
      <c r="E1450" s="3" t="inlineStr">
        <is>
          <t xml:space="preserve">매출액또는손익구조30%(대규모법인은15%)이상변동              </t>
        </is>
      </c>
      <c r="F1450" s="3" t="inlineStr">
        <is>
          <t>유안타제17호스팩</t>
        </is>
      </c>
      <c r="G1450" s="2" t="inlineStr">
        <is>
          <t>20260202900729</t>
        </is>
      </c>
      <c r="H1450" s="8">
        <f>HYPERLINK("https://dart.fss.or.kr/dsaf001/main.do?rcpNo=20260202900729", "공시열람")</f>
        <v/>
      </c>
    </row>
    <row r="1451">
      <c r="A1451" s="2" t="inlineStr">
        <is>
          <t>2026-02-02</t>
        </is>
      </c>
      <c r="B1451" s="3" t="inlineStr">
        <is>
          <t>삼성전자</t>
        </is>
      </c>
      <c r="C1451" s="2" t="inlineStr">
        <is>
          <t>코스피</t>
        </is>
      </c>
      <c r="D1451" s="2" t="inlineStr">
        <is>
          <t>005930</t>
        </is>
      </c>
      <c r="E1451" s="3" t="inlineStr">
        <is>
          <t>임원ㆍ주요주주특정증권등소유상황보고서</t>
        </is>
      </c>
      <c r="F1451" s="3" t="inlineStr">
        <is>
          <t>김창태</t>
        </is>
      </c>
      <c r="G1451" s="2" t="inlineStr">
        <is>
          <t>20260202000408</t>
        </is>
      </c>
      <c r="H1451" s="8">
        <f>HYPERLINK("https://dart.fss.or.kr/dsaf001/main.do?rcpNo=20260202000408", "공시열람")</f>
        <v/>
      </c>
    </row>
    <row r="1452">
      <c r="A1452" s="2" t="inlineStr">
        <is>
          <t>2026-02-02</t>
        </is>
      </c>
      <c r="B1452" s="3" t="inlineStr">
        <is>
          <t>삼성전자</t>
        </is>
      </c>
      <c r="C1452" s="2" t="inlineStr">
        <is>
          <t>코스피</t>
        </is>
      </c>
      <c r="D1452" s="2" t="inlineStr">
        <is>
          <t>005930</t>
        </is>
      </c>
      <c r="E1452" s="3" t="inlineStr">
        <is>
          <t>임원ㆍ주요주주특정증권등소유상황보고서</t>
        </is>
      </c>
      <c r="F1452" s="3" t="inlineStr">
        <is>
          <t>권기성</t>
        </is>
      </c>
      <c r="G1452" s="2" t="inlineStr">
        <is>
          <t>20260202000407</t>
        </is>
      </c>
      <c r="H1452" s="8">
        <f>HYPERLINK("https://dart.fss.or.kr/dsaf001/main.do?rcpNo=20260202000407", "공시열람")</f>
        <v/>
      </c>
    </row>
    <row r="1453">
      <c r="A1453" s="2" t="inlineStr">
        <is>
          <t>2026-02-02</t>
        </is>
      </c>
      <c r="B1453" s="3" t="inlineStr">
        <is>
          <t>삼성전자</t>
        </is>
      </c>
      <c r="C1453" s="2" t="inlineStr">
        <is>
          <t>코스피</t>
        </is>
      </c>
      <c r="D1453" s="2" t="inlineStr">
        <is>
          <t>005930</t>
        </is>
      </c>
      <c r="E1453" s="3" t="inlineStr">
        <is>
          <t>임원ㆍ주요주주특정증권등소유상황보고서</t>
        </is>
      </c>
      <c r="F1453" s="3" t="inlineStr">
        <is>
          <t>윤인수</t>
        </is>
      </c>
      <c r="G1453" s="2" t="inlineStr">
        <is>
          <t>20260202000406</t>
        </is>
      </c>
      <c r="H1453" s="8">
        <f>HYPERLINK("https://dart.fss.or.kr/dsaf001/main.do?rcpNo=20260202000406", "공시열람")</f>
        <v/>
      </c>
    </row>
    <row r="1454">
      <c r="A1454" s="2" t="inlineStr">
        <is>
          <t>2026-02-02</t>
        </is>
      </c>
      <c r="B1454" s="3" t="inlineStr">
        <is>
          <t>삼성전자</t>
        </is>
      </c>
      <c r="C1454" s="2" t="inlineStr">
        <is>
          <t>코스피</t>
        </is>
      </c>
      <c r="D1454" s="2" t="inlineStr">
        <is>
          <t>005930</t>
        </is>
      </c>
      <c r="E1454" s="3" t="inlineStr">
        <is>
          <t>임원ㆍ주요주주특정증권등소유상황보고서</t>
        </is>
      </c>
      <c r="F1454" s="3" t="inlineStr">
        <is>
          <t>김형옥</t>
        </is>
      </c>
      <c r="G1454" s="2" t="inlineStr">
        <is>
          <t>20260202000405</t>
        </is>
      </c>
      <c r="H1454" s="8">
        <f>HYPERLINK("https://dart.fss.or.kr/dsaf001/main.do?rcpNo=20260202000405", "공시열람")</f>
        <v/>
      </c>
    </row>
    <row r="1455">
      <c r="A1455" s="2" t="inlineStr">
        <is>
          <t>2026-02-02</t>
        </is>
      </c>
      <c r="B1455" s="3" t="inlineStr">
        <is>
          <t>삼성전자</t>
        </is>
      </c>
      <c r="C1455" s="2" t="inlineStr">
        <is>
          <t>코스피</t>
        </is>
      </c>
      <c r="D1455" s="2" t="inlineStr">
        <is>
          <t>005930</t>
        </is>
      </c>
      <c r="E1455" s="3" t="inlineStr">
        <is>
          <t>임원ㆍ주요주주특정증권등소유상황보고서</t>
        </is>
      </c>
      <c r="F1455" s="3" t="inlineStr">
        <is>
          <t>정광희</t>
        </is>
      </c>
      <c r="G1455" s="2" t="inlineStr">
        <is>
          <t>20260202000402</t>
        </is>
      </c>
      <c r="H1455" s="8">
        <f>HYPERLINK("https://dart.fss.or.kr/dsaf001/main.do?rcpNo=20260202000402", "공시열람")</f>
        <v/>
      </c>
    </row>
    <row r="1456">
      <c r="A1456" s="2" t="inlineStr">
        <is>
          <t>2026-02-02</t>
        </is>
      </c>
      <c r="B1456" s="3" t="inlineStr">
        <is>
          <t>삼성전자</t>
        </is>
      </c>
      <c r="C1456" s="2" t="inlineStr">
        <is>
          <t>코스피</t>
        </is>
      </c>
      <c r="D1456" s="2" t="inlineStr">
        <is>
          <t>005930</t>
        </is>
      </c>
      <c r="E1456" s="3" t="inlineStr">
        <is>
          <t>임원ㆍ주요주주특정증권등소유상황보고서</t>
        </is>
      </c>
      <c r="F1456" s="3" t="inlineStr">
        <is>
          <t>이지영</t>
        </is>
      </c>
      <c r="G1456" s="2" t="inlineStr">
        <is>
          <t>20260202000401</t>
        </is>
      </c>
      <c r="H1456" s="8">
        <f>HYPERLINK("https://dart.fss.or.kr/dsaf001/main.do?rcpNo=20260202000401", "공시열람")</f>
        <v/>
      </c>
    </row>
    <row r="1457">
      <c r="A1457" s="2" t="inlineStr">
        <is>
          <t>2026-02-02</t>
        </is>
      </c>
      <c r="B1457" s="3" t="inlineStr">
        <is>
          <t>삼성전자</t>
        </is>
      </c>
      <c r="C1457" s="2" t="inlineStr">
        <is>
          <t>코스피</t>
        </is>
      </c>
      <c r="D1457" s="2" t="inlineStr">
        <is>
          <t>005930</t>
        </is>
      </c>
      <c r="E1457" s="3" t="inlineStr">
        <is>
          <t>임원ㆍ주요주주특정증권등소유상황보고서</t>
        </is>
      </c>
      <c r="F1457" s="3" t="inlineStr">
        <is>
          <t>현상진</t>
        </is>
      </c>
      <c r="G1457" s="2" t="inlineStr">
        <is>
          <t>20260202000400</t>
        </is>
      </c>
      <c r="H1457" s="8">
        <f>HYPERLINK("https://dart.fss.or.kr/dsaf001/main.do?rcpNo=20260202000400", "공시열람")</f>
        <v/>
      </c>
    </row>
    <row r="1458">
      <c r="A1458" s="2" t="inlineStr">
        <is>
          <t>2026-02-02</t>
        </is>
      </c>
      <c r="B1458" s="3" t="inlineStr">
        <is>
          <t>삼성전자</t>
        </is>
      </c>
      <c r="C1458" s="2" t="inlineStr">
        <is>
          <t>코스피</t>
        </is>
      </c>
      <c r="D1458" s="2" t="inlineStr">
        <is>
          <t>005930</t>
        </is>
      </c>
      <c r="E1458" s="3" t="inlineStr">
        <is>
          <t>임원ㆍ주요주주특정증권등소유상황보고서</t>
        </is>
      </c>
      <c r="F1458" s="3" t="inlineStr">
        <is>
          <t>권기록</t>
        </is>
      </c>
      <c r="G1458" s="2" t="inlineStr">
        <is>
          <t>20260202000399</t>
        </is>
      </c>
      <c r="H1458" s="8">
        <f>HYPERLINK("https://dart.fss.or.kr/dsaf001/main.do?rcpNo=20260202000399", "공시열람")</f>
        <v/>
      </c>
    </row>
    <row r="1459">
      <c r="A1459" s="2" t="inlineStr">
        <is>
          <t>2026-02-02</t>
        </is>
      </c>
      <c r="B1459" s="3" t="inlineStr">
        <is>
          <t>DKME</t>
        </is>
      </c>
      <c r="C1459" s="2" t="inlineStr">
        <is>
          <t>코스피</t>
        </is>
      </c>
      <c r="D1459" s="2" t="inlineStr">
        <is>
          <t>015590</t>
        </is>
      </c>
      <c r="E1459" s="3" t="inlineStr">
        <is>
          <t xml:space="preserve">매출액또는손익구조30%(대규모법인은15%)이상변경              </t>
        </is>
      </c>
      <c r="F1459" s="3" t="inlineStr">
        <is>
          <t>DKME</t>
        </is>
      </c>
      <c r="G1459" s="2" t="inlineStr">
        <is>
          <t>20260202800710</t>
        </is>
      </c>
      <c r="H1459" s="8">
        <f>HYPERLINK("https://dart.fss.or.kr/dsaf001/main.do?rcpNo=20260202800710", "공시열람")</f>
        <v/>
      </c>
    </row>
    <row r="1460">
      <c r="A1460" s="2" t="inlineStr">
        <is>
          <t>2026-02-02</t>
        </is>
      </c>
      <c r="B1460" s="3" t="inlineStr">
        <is>
          <t>삼성전자</t>
        </is>
      </c>
      <c r="C1460" s="2" t="inlineStr">
        <is>
          <t>코스피</t>
        </is>
      </c>
      <c r="D1460" s="2" t="inlineStr">
        <is>
          <t>005930</t>
        </is>
      </c>
      <c r="E1460" s="3" t="inlineStr">
        <is>
          <t>임원ㆍ주요주주특정증권등소유상황보고서</t>
        </is>
      </c>
      <c r="F1460" s="3" t="inlineStr">
        <is>
          <t>유미영</t>
        </is>
      </c>
      <c r="G1460" s="2" t="inlineStr">
        <is>
          <t>20260202000398</t>
        </is>
      </c>
      <c r="H1460" s="8">
        <f>HYPERLINK("https://dart.fss.or.kr/dsaf001/main.do?rcpNo=20260202000398", "공시열람")</f>
        <v/>
      </c>
    </row>
    <row r="1461">
      <c r="A1461" s="2" t="inlineStr">
        <is>
          <t>2026-02-02</t>
        </is>
      </c>
      <c r="B1461" s="3" t="inlineStr">
        <is>
          <t>삼성전자</t>
        </is>
      </c>
      <c r="C1461" s="2" t="inlineStr">
        <is>
          <t>코스피</t>
        </is>
      </c>
      <c r="D1461" s="2" t="inlineStr">
        <is>
          <t>005930</t>
        </is>
      </c>
      <c r="E1461" s="3" t="inlineStr">
        <is>
          <t>임원ㆍ주요주주특정증권등소유상황보고서</t>
        </is>
      </c>
      <c r="F1461" s="3" t="inlineStr">
        <is>
          <t>김형수</t>
        </is>
      </c>
      <c r="G1461" s="2" t="inlineStr">
        <is>
          <t>20260202000396</t>
        </is>
      </c>
      <c r="H1461" s="8">
        <f>HYPERLINK("https://dart.fss.or.kr/dsaf001/main.do?rcpNo=20260202000396", "공시열람")</f>
        <v/>
      </c>
    </row>
    <row r="1462">
      <c r="A1462" s="2" t="inlineStr">
        <is>
          <t>2026-02-02</t>
        </is>
      </c>
      <c r="B1462" s="3" t="inlineStr">
        <is>
          <t>아이엠</t>
        </is>
      </c>
      <c r="C1462" s="2" t="inlineStr">
        <is>
          <t>코스닥</t>
        </is>
      </c>
      <c r="D1462" s="2" t="inlineStr">
        <is>
          <t>101390</t>
        </is>
      </c>
      <c r="E1462" s="3" t="inlineStr">
        <is>
          <t xml:space="preserve">[기재정정]주주명부폐쇄기간또는기준일설정              </t>
        </is>
      </c>
      <c r="F1462" s="3" t="inlineStr">
        <is>
          <t>아이엠</t>
        </is>
      </c>
      <c r="G1462" s="2" t="inlineStr">
        <is>
          <t>20260202900662</t>
        </is>
      </c>
      <c r="H1462" s="8">
        <f>HYPERLINK("https://dart.fss.or.kr/dsaf001/main.do?rcpNo=20260202900662", "공시열람")</f>
        <v/>
      </c>
    </row>
    <row r="1463">
      <c r="A1463" s="2" t="inlineStr">
        <is>
          <t>2026-02-02</t>
        </is>
      </c>
      <c r="B1463" s="3" t="inlineStr">
        <is>
          <t>삼성전자</t>
        </is>
      </c>
      <c r="C1463" s="2" t="inlineStr">
        <is>
          <t>코스피</t>
        </is>
      </c>
      <c r="D1463" s="2" t="inlineStr">
        <is>
          <t>005930</t>
        </is>
      </c>
      <c r="E1463" s="3" t="inlineStr">
        <is>
          <t>임원ㆍ주요주주특정증권등소유상황보고서</t>
        </is>
      </c>
      <c r="F1463" s="3" t="inlineStr">
        <is>
          <t>조욱래</t>
        </is>
      </c>
      <c r="G1463" s="2" t="inlineStr">
        <is>
          <t>20260202000394</t>
        </is>
      </c>
      <c r="H1463" s="8">
        <f>HYPERLINK("https://dart.fss.or.kr/dsaf001/main.do?rcpNo=20260202000394", "공시열람")</f>
        <v/>
      </c>
    </row>
    <row r="1464">
      <c r="A1464" s="2" t="inlineStr">
        <is>
          <t>2026-02-02</t>
        </is>
      </c>
      <c r="B1464" s="3" t="inlineStr">
        <is>
          <t>삼성전자</t>
        </is>
      </c>
      <c r="C1464" s="2" t="inlineStr">
        <is>
          <t>코스피</t>
        </is>
      </c>
      <c r="D1464" s="2" t="inlineStr">
        <is>
          <t>005930</t>
        </is>
      </c>
      <c r="E1464" s="3" t="inlineStr">
        <is>
          <t>임원ㆍ주요주주특정증권등소유상황보고서</t>
        </is>
      </c>
      <c r="F1464" s="3" t="inlineStr">
        <is>
          <t>고종현</t>
        </is>
      </c>
      <c r="G1464" s="2" t="inlineStr">
        <is>
          <t>20260202000393</t>
        </is>
      </c>
      <c r="H1464" s="8">
        <f>HYPERLINK("https://dart.fss.or.kr/dsaf001/main.do?rcpNo=20260202000393", "공시열람")</f>
        <v/>
      </c>
    </row>
    <row r="1465">
      <c r="A1465" s="2" t="inlineStr">
        <is>
          <t>2026-02-02</t>
        </is>
      </c>
      <c r="B1465" s="3" t="inlineStr">
        <is>
          <t>삼성전자</t>
        </is>
      </c>
      <c r="C1465" s="2" t="inlineStr">
        <is>
          <t>코스피</t>
        </is>
      </c>
      <c r="D1465" s="2" t="inlineStr">
        <is>
          <t>005930</t>
        </is>
      </c>
      <c r="E1465" s="3" t="inlineStr">
        <is>
          <t>임원ㆍ주요주주특정증권등소유상황보고서</t>
        </is>
      </c>
      <c r="F1465" s="3" t="inlineStr">
        <is>
          <t>박정재</t>
        </is>
      </c>
      <c r="G1465" s="2" t="inlineStr">
        <is>
          <t>20260202000392</t>
        </is>
      </c>
      <c r="H1465" s="8">
        <f>HYPERLINK("https://dart.fss.or.kr/dsaf001/main.do?rcpNo=20260202000392", "공시열람")</f>
        <v/>
      </c>
    </row>
    <row r="1466">
      <c r="A1466" s="2" t="inlineStr">
        <is>
          <t>2026-02-02</t>
        </is>
      </c>
      <c r="B1466" s="3" t="inlineStr">
        <is>
          <t>삼성전자</t>
        </is>
      </c>
      <c r="C1466" s="2" t="inlineStr">
        <is>
          <t>코스피</t>
        </is>
      </c>
      <c r="D1466" s="2" t="inlineStr">
        <is>
          <t>005930</t>
        </is>
      </c>
      <c r="E1466" s="3" t="inlineStr">
        <is>
          <t>임원ㆍ주요주주특정증권등소유상황보고서</t>
        </is>
      </c>
      <c r="F1466" s="3" t="inlineStr">
        <is>
          <t>김현수</t>
        </is>
      </c>
      <c r="G1466" s="2" t="inlineStr">
        <is>
          <t>20260202000391</t>
        </is>
      </c>
      <c r="H1466" s="8">
        <f>HYPERLINK("https://dart.fss.or.kr/dsaf001/main.do?rcpNo=20260202000391", "공시열람")</f>
        <v/>
      </c>
    </row>
    <row r="1467">
      <c r="A1467" s="2" t="inlineStr">
        <is>
          <t>2026-02-02</t>
        </is>
      </c>
      <c r="B1467" s="3" t="inlineStr">
        <is>
          <t>삼성전자</t>
        </is>
      </c>
      <c r="C1467" s="2" t="inlineStr">
        <is>
          <t>코스피</t>
        </is>
      </c>
      <c r="D1467" s="2" t="inlineStr">
        <is>
          <t>005930</t>
        </is>
      </c>
      <c r="E1467" s="3" t="inlineStr">
        <is>
          <t>임원ㆍ주요주주특정증권등소유상황보고서</t>
        </is>
      </c>
      <c r="F1467" s="3" t="inlineStr">
        <is>
          <t>이진엽</t>
        </is>
      </c>
      <c r="G1467" s="2" t="inlineStr">
        <is>
          <t>20260202000390</t>
        </is>
      </c>
      <c r="H1467" s="8">
        <f>HYPERLINK("https://dart.fss.or.kr/dsaf001/main.do?rcpNo=20260202000390", "공시열람")</f>
        <v/>
      </c>
    </row>
    <row r="1468">
      <c r="A1468" s="2" t="inlineStr">
        <is>
          <t>2026-02-02</t>
        </is>
      </c>
      <c r="B1468" s="3" t="inlineStr">
        <is>
          <t>삼성전자</t>
        </is>
      </c>
      <c r="C1468" s="2" t="inlineStr">
        <is>
          <t>코스피</t>
        </is>
      </c>
      <c r="D1468" s="2" t="inlineStr">
        <is>
          <t>005930</t>
        </is>
      </c>
      <c r="E1468" s="3" t="inlineStr">
        <is>
          <t>임원ㆍ주요주주특정증권등소유상황보고서</t>
        </is>
      </c>
      <c r="F1468" s="3" t="inlineStr">
        <is>
          <t>권형석</t>
        </is>
      </c>
      <c r="G1468" s="2" t="inlineStr">
        <is>
          <t>20260202000387</t>
        </is>
      </c>
      <c r="H1468" s="8">
        <f>HYPERLINK("https://dart.fss.or.kr/dsaf001/main.do?rcpNo=20260202000387", "공시열람")</f>
        <v/>
      </c>
    </row>
    <row r="1469">
      <c r="A1469" s="2" t="inlineStr">
        <is>
          <t>2026-02-02</t>
        </is>
      </c>
      <c r="B1469" s="3" t="inlineStr">
        <is>
          <t>삼성전자</t>
        </is>
      </c>
      <c r="C1469" s="2" t="inlineStr">
        <is>
          <t>코스피</t>
        </is>
      </c>
      <c r="D1469" s="2" t="inlineStr">
        <is>
          <t>005930</t>
        </is>
      </c>
      <c r="E1469" s="3" t="inlineStr">
        <is>
          <t>임원ㆍ주요주주특정증권등소유상황보고서</t>
        </is>
      </c>
      <c r="F1469" s="3" t="inlineStr">
        <is>
          <t>조지호</t>
        </is>
      </c>
      <c r="G1469" s="2" t="inlineStr">
        <is>
          <t>20260202000386</t>
        </is>
      </c>
      <c r="H1469" s="8">
        <f>HYPERLINK("https://dart.fss.or.kr/dsaf001/main.do?rcpNo=20260202000386", "공시열람")</f>
        <v/>
      </c>
    </row>
    <row r="1470">
      <c r="A1470" s="2" t="inlineStr">
        <is>
          <t>2026-02-02</t>
        </is>
      </c>
      <c r="B1470" s="3" t="inlineStr">
        <is>
          <t>삼성전자</t>
        </is>
      </c>
      <c r="C1470" s="2" t="inlineStr">
        <is>
          <t>코스피</t>
        </is>
      </c>
      <c r="D1470" s="2" t="inlineStr">
        <is>
          <t>005930</t>
        </is>
      </c>
      <c r="E1470" s="3" t="inlineStr">
        <is>
          <t>임원ㆍ주요주주특정증권등소유상황보고서</t>
        </is>
      </c>
      <c r="F1470" s="3" t="inlineStr">
        <is>
          <t>김현기</t>
        </is>
      </c>
      <c r="G1470" s="2" t="inlineStr">
        <is>
          <t>20260202000385</t>
        </is>
      </c>
      <c r="H1470" s="8">
        <f>HYPERLINK("https://dart.fss.or.kr/dsaf001/main.do?rcpNo=20260202000385", "공시열람")</f>
        <v/>
      </c>
    </row>
    <row r="1471">
      <c r="A1471" s="2" t="inlineStr">
        <is>
          <t>2026-02-02</t>
        </is>
      </c>
      <c r="B1471" s="3" t="inlineStr">
        <is>
          <t>삼성전자</t>
        </is>
      </c>
      <c r="C1471" s="2" t="inlineStr">
        <is>
          <t>코스피</t>
        </is>
      </c>
      <c r="D1471" s="2" t="inlineStr">
        <is>
          <t>005930</t>
        </is>
      </c>
      <c r="E1471" s="3" t="inlineStr">
        <is>
          <t>임원ㆍ주요주주특정증권등소유상황보고서</t>
        </is>
      </c>
      <c r="F1471" s="3" t="inlineStr">
        <is>
          <t>lee kyu sung</t>
        </is>
      </c>
      <c r="G1471" s="2" t="inlineStr">
        <is>
          <t>20260202000383</t>
        </is>
      </c>
      <c r="H1471" s="8">
        <f>HYPERLINK("https://dart.fss.or.kr/dsaf001/main.do?rcpNo=20260202000383", "공시열람")</f>
        <v/>
      </c>
    </row>
    <row r="1472">
      <c r="A1472" s="2" t="inlineStr">
        <is>
          <t>2026-02-02</t>
        </is>
      </c>
      <c r="B1472" s="3" t="inlineStr">
        <is>
          <t>삼성전자</t>
        </is>
      </c>
      <c r="C1472" s="2" t="inlineStr">
        <is>
          <t>코스피</t>
        </is>
      </c>
      <c r="D1472" s="2" t="inlineStr">
        <is>
          <t>005930</t>
        </is>
      </c>
      <c r="E1472" s="3" t="inlineStr">
        <is>
          <t>임원ㆍ주요주주특정증권등소유상황보고서</t>
        </is>
      </c>
      <c r="F1472" s="3" t="inlineStr">
        <is>
          <t>이시영</t>
        </is>
      </c>
      <c r="G1472" s="2" t="inlineStr">
        <is>
          <t>20260202000382</t>
        </is>
      </c>
      <c r="H1472" s="8">
        <f>HYPERLINK("https://dart.fss.or.kr/dsaf001/main.do?rcpNo=20260202000382", "공시열람")</f>
        <v/>
      </c>
    </row>
    <row r="1473">
      <c r="A1473" s="2" t="inlineStr">
        <is>
          <t>2026-02-02</t>
        </is>
      </c>
      <c r="B1473" s="3" t="inlineStr">
        <is>
          <t>삼성전자</t>
        </is>
      </c>
      <c r="C1473" s="2" t="inlineStr">
        <is>
          <t>코스피</t>
        </is>
      </c>
      <c r="D1473" s="2" t="inlineStr">
        <is>
          <t>005930</t>
        </is>
      </c>
      <c r="E1473" s="3" t="inlineStr">
        <is>
          <t>임원ㆍ주요주주특정증권등소유상황보고서</t>
        </is>
      </c>
      <c r="F1473" s="3" t="inlineStr">
        <is>
          <t>신승철</t>
        </is>
      </c>
      <c r="G1473" s="2" t="inlineStr">
        <is>
          <t>20260202000381</t>
        </is>
      </c>
      <c r="H1473" s="8">
        <f>HYPERLINK("https://dart.fss.or.kr/dsaf001/main.do?rcpNo=20260202000381", "공시열람")</f>
        <v/>
      </c>
    </row>
    <row r="1474">
      <c r="A1474" s="2" t="inlineStr">
        <is>
          <t>2026-02-02</t>
        </is>
      </c>
      <c r="B1474" s="3" t="inlineStr">
        <is>
          <t>삼성전자</t>
        </is>
      </c>
      <c r="C1474" s="2" t="inlineStr">
        <is>
          <t>코스피</t>
        </is>
      </c>
      <c r="D1474" s="2" t="inlineStr">
        <is>
          <t>005930</t>
        </is>
      </c>
      <c r="E1474" s="3" t="inlineStr">
        <is>
          <t>임원ㆍ주요주주특정증권등소유상황보고서</t>
        </is>
      </c>
      <c r="F1474" s="3" t="inlineStr">
        <is>
          <t>이재훈</t>
        </is>
      </c>
      <c r="G1474" s="2" t="inlineStr">
        <is>
          <t>20260202000378</t>
        </is>
      </c>
      <c r="H1474" s="8">
        <f>HYPERLINK("https://dart.fss.or.kr/dsaf001/main.do?rcpNo=20260202000378", "공시열람")</f>
        <v/>
      </c>
    </row>
    <row r="1475">
      <c r="A1475" s="2" t="inlineStr">
        <is>
          <t>2026-02-02</t>
        </is>
      </c>
      <c r="B1475" s="3" t="inlineStr">
        <is>
          <t>삼성전자</t>
        </is>
      </c>
      <c r="C1475" s="2" t="inlineStr">
        <is>
          <t>코스피</t>
        </is>
      </c>
      <c r="D1475" s="2" t="inlineStr">
        <is>
          <t>005930</t>
        </is>
      </c>
      <c r="E1475" s="3" t="inlineStr">
        <is>
          <t>임원ㆍ주요주주특정증권등소유상황보고서</t>
        </is>
      </c>
      <c r="F1475" s="3" t="inlineStr">
        <is>
          <t>이호</t>
        </is>
      </c>
      <c r="G1475" s="2" t="inlineStr">
        <is>
          <t>20260202000377</t>
        </is>
      </c>
      <c r="H1475" s="8">
        <f>HYPERLINK("https://dart.fss.or.kr/dsaf001/main.do?rcpNo=20260202000377", "공시열람")</f>
        <v/>
      </c>
    </row>
    <row r="1476">
      <c r="A1476" s="2" t="inlineStr">
        <is>
          <t>2026-02-02</t>
        </is>
      </c>
      <c r="B1476" s="3" t="inlineStr">
        <is>
          <t>GKL</t>
        </is>
      </c>
      <c r="C1476" s="2" t="inlineStr">
        <is>
          <t>코스피</t>
        </is>
      </c>
      <c r="D1476" s="2" t="inlineStr">
        <is>
          <t>114090</t>
        </is>
      </c>
      <c r="E1476" s="3" t="inlineStr">
        <is>
          <t xml:space="preserve">풍문또는보도에대한해명              </t>
        </is>
      </c>
      <c r="F1476" s="3" t="inlineStr">
        <is>
          <t>GKL</t>
        </is>
      </c>
      <c r="G1476" s="2" t="inlineStr">
        <is>
          <t>20260202800620</t>
        </is>
      </c>
      <c r="H1476" s="8">
        <f>HYPERLINK("https://dart.fss.or.kr/dsaf001/main.do?rcpNo=20260202800620", "공시열람")</f>
        <v/>
      </c>
    </row>
    <row r="1477">
      <c r="A1477" s="2" t="inlineStr">
        <is>
          <t>2026-02-02</t>
        </is>
      </c>
      <c r="B1477" s="3" t="inlineStr">
        <is>
          <t>삼성전자</t>
        </is>
      </c>
      <c r="C1477" s="2" t="inlineStr">
        <is>
          <t>코스피</t>
        </is>
      </c>
      <c r="D1477" s="2" t="inlineStr">
        <is>
          <t>005930</t>
        </is>
      </c>
      <c r="E1477" s="3" t="inlineStr">
        <is>
          <t>임원ㆍ주요주주특정증권등소유상황보고서</t>
        </is>
      </c>
      <c r="F1477" s="3" t="inlineStr">
        <is>
          <t>문진옥</t>
        </is>
      </c>
      <c r="G1477" s="2" t="inlineStr">
        <is>
          <t>20260202000376</t>
        </is>
      </c>
      <c r="H1477" s="8">
        <f>HYPERLINK("https://dart.fss.or.kr/dsaf001/main.do?rcpNo=20260202000376", "공시열람")</f>
        <v/>
      </c>
    </row>
    <row r="1478">
      <c r="A1478" s="2" t="inlineStr">
        <is>
          <t>2026-02-02</t>
        </is>
      </c>
      <c r="B1478" s="3" t="inlineStr">
        <is>
          <t>삼성전자</t>
        </is>
      </c>
      <c r="C1478" s="2" t="inlineStr">
        <is>
          <t>코스피</t>
        </is>
      </c>
      <c r="D1478" s="2" t="inlineStr">
        <is>
          <t>005930</t>
        </is>
      </c>
      <c r="E1478" s="3" t="inlineStr">
        <is>
          <t>임원ㆍ주요주주특정증권등소유상황보고서</t>
        </is>
      </c>
      <c r="F1478" s="3" t="inlineStr">
        <is>
          <t>정성원</t>
        </is>
      </c>
      <c r="G1478" s="2" t="inlineStr">
        <is>
          <t>20260202000375</t>
        </is>
      </c>
      <c r="H1478" s="8">
        <f>HYPERLINK("https://dart.fss.or.kr/dsaf001/main.do?rcpNo=20260202000375", "공시열람")</f>
        <v/>
      </c>
    </row>
    <row r="1479">
      <c r="A1479" s="2" t="inlineStr">
        <is>
          <t>2026-02-02</t>
        </is>
      </c>
      <c r="B1479" s="3" t="inlineStr">
        <is>
          <t>선익시스템</t>
        </is>
      </c>
      <c r="C1479" s="2" t="inlineStr">
        <is>
          <t>코스닥</t>
        </is>
      </c>
      <c r="D1479" s="2" t="inlineStr">
        <is>
          <t>171090</t>
        </is>
      </c>
      <c r="E1479" s="3" t="inlineStr">
        <is>
          <t xml:space="preserve">매출액또는손익구조30%(대규모법인은15%)이상변동              </t>
        </is>
      </c>
      <c r="F1479" s="3" t="inlineStr">
        <is>
          <t>선익시스템</t>
        </is>
      </c>
      <c r="G1479" s="2" t="inlineStr">
        <is>
          <t>20260202900674</t>
        </is>
      </c>
      <c r="H1479" s="8">
        <f>HYPERLINK("https://dart.fss.or.kr/dsaf001/main.do?rcpNo=20260202900674", "공시열람")</f>
        <v/>
      </c>
    </row>
    <row r="1480">
      <c r="A1480" s="2" t="inlineStr">
        <is>
          <t>2026-02-02</t>
        </is>
      </c>
      <c r="B1480" s="3" t="inlineStr">
        <is>
          <t>삼성전자</t>
        </is>
      </c>
      <c r="C1480" s="2" t="inlineStr">
        <is>
          <t>코스피</t>
        </is>
      </c>
      <c r="D1480" s="2" t="inlineStr">
        <is>
          <t>005930</t>
        </is>
      </c>
      <c r="E1480" s="3" t="inlineStr">
        <is>
          <t>임원ㆍ주요주주특정증권등소유상황보고서</t>
        </is>
      </c>
      <c r="F1480" s="3" t="inlineStr">
        <is>
          <t>장순복</t>
        </is>
      </c>
      <c r="G1480" s="2" t="inlineStr">
        <is>
          <t>20260202000373</t>
        </is>
      </c>
      <c r="H1480" s="8">
        <f>HYPERLINK("https://dart.fss.or.kr/dsaf001/main.do?rcpNo=20260202000373", "공시열람")</f>
        <v/>
      </c>
    </row>
    <row r="1481">
      <c r="A1481" s="2" t="inlineStr">
        <is>
          <t>2026-02-02</t>
        </is>
      </c>
      <c r="B1481" s="3" t="inlineStr">
        <is>
          <t>삼성전자</t>
        </is>
      </c>
      <c r="C1481" s="2" t="inlineStr">
        <is>
          <t>코스피</t>
        </is>
      </c>
      <c r="D1481" s="2" t="inlineStr">
        <is>
          <t>005930</t>
        </is>
      </c>
      <c r="E1481" s="3" t="inlineStr">
        <is>
          <t>임원ㆍ주요주주특정증권등소유상황보고서</t>
        </is>
      </c>
      <c r="F1481" s="3" t="inlineStr">
        <is>
          <t>유한종</t>
        </is>
      </c>
      <c r="G1481" s="2" t="inlineStr">
        <is>
          <t>20260202000372</t>
        </is>
      </c>
      <c r="H1481" s="8">
        <f>HYPERLINK("https://dart.fss.or.kr/dsaf001/main.do?rcpNo=20260202000372", "공시열람")</f>
        <v/>
      </c>
    </row>
    <row r="1482">
      <c r="A1482" s="2" t="inlineStr">
        <is>
          <t>2026-02-02</t>
        </is>
      </c>
      <c r="B1482" s="3" t="inlineStr">
        <is>
          <t>삼성전자</t>
        </is>
      </c>
      <c r="C1482" s="2" t="inlineStr">
        <is>
          <t>코스피</t>
        </is>
      </c>
      <c r="D1482" s="2" t="inlineStr">
        <is>
          <t>005930</t>
        </is>
      </c>
      <c r="E1482" s="3" t="inlineStr">
        <is>
          <t>임원ㆍ주요주주특정증권등소유상황보고서</t>
        </is>
      </c>
      <c r="F1482" s="3" t="inlineStr">
        <is>
          <t>여태정</t>
        </is>
      </c>
      <c r="G1482" s="2" t="inlineStr">
        <is>
          <t>20260202000371</t>
        </is>
      </c>
      <c r="H1482" s="8">
        <f>HYPERLINK("https://dart.fss.or.kr/dsaf001/main.do?rcpNo=20260202000371", "공시열람")</f>
        <v/>
      </c>
    </row>
    <row r="1483">
      <c r="A1483" s="2" t="inlineStr">
        <is>
          <t>2026-02-02</t>
        </is>
      </c>
      <c r="B1483" s="3" t="inlineStr">
        <is>
          <t>삼성전자</t>
        </is>
      </c>
      <c r="C1483" s="2" t="inlineStr">
        <is>
          <t>코스피</t>
        </is>
      </c>
      <c r="D1483" s="2" t="inlineStr">
        <is>
          <t>005930</t>
        </is>
      </c>
      <c r="E1483" s="3" t="inlineStr">
        <is>
          <t>임원ㆍ주요주주특정증권등소유상황보고서</t>
        </is>
      </c>
      <c r="F1483" s="3" t="inlineStr">
        <is>
          <t>송두근</t>
        </is>
      </c>
      <c r="G1483" s="2" t="inlineStr">
        <is>
          <t>20260202000370</t>
        </is>
      </c>
      <c r="H1483" s="8">
        <f>HYPERLINK("https://dart.fss.or.kr/dsaf001/main.do?rcpNo=20260202000370", "공시열람")</f>
        <v/>
      </c>
    </row>
    <row r="1484">
      <c r="A1484" s="2" t="inlineStr">
        <is>
          <t>2026-02-02</t>
        </is>
      </c>
      <c r="B1484" s="3" t="inlineStr">
        <is>
          <t>삼성전자</t>
        </is>
      </c>
      <c r="C1484" s="2" t="inlineStr">
        <is>
          <t>코스피</t>
        </is>
      </c>
      <c r="D1484" s="2" t="inlineStr">
        <is>
          <t>005930</t>
        </is>
      </c>
      <c r="E1484" s="3" t="inlineStr">
        <is>
          <t>임원ㆍ주요주주특정증권등소유상황보고서</t>
        </is>
      </c>
      <c r="F1484" s="3" t="inlineStr">
        <is>
          <t>박봉태</t>
        </is>
      </c>
      <c r="G1484" s="2" t="inlineStr">
        <is>
          <t>20260202000369</t>
        </is>
      </c>
      <c r="H1484" s="8">
        <f>HYPERLINK("https://dart.fss.or.kr/dsaf001/main.do?rcpNo=20260202000369", "공시열람")</f>
        <v/>
      </c>
    </row>
    <row r="1485">
      <c r="A1485" s="2" t="inlineStr">
        <is>
          <t>2026-02-02</t>
        </is>
      </c>
      <c r="B1485" s="3" t="inlineStr">
        <is>
          <t>부광약품</t>
        </is>
      </c>
      <c r="C1485" s="2" t="inlineStr">
        <is>
          <t>코스피</t>
        </is>
      </c>
      <c r="D1485" s="2" t="inlineStr">
        <is>
          <t>003000</t>
        </is>
      </c>
      <c r="E1485" s="3" t="inlineStr">
        <is>
          <t xml:space="preserve">기업설명회(IR)개최(안내공시)              </t>
        </is>
      </c>
      <c r="F1485" s="3" t="inlineStr">
        <is>
          <t>부광약품</t>
        </is>
      </c>
      <c r="G1485" s="2" t="inlineStr">
        <is>
          <t>20260202800683</t>
        </is>
      </c>
      <c r="H1485" s="8">
        <f>HYPERLINK("https://dart.fss.or.kr/dsaf001/main.do?rcpNo=20260202800683", "공시열람")</f>
        <v/>
      </c>
    </row>
    <row r="1486">
      <c r="A1486" s="2" t="inlineStr">
        <is>
          <t>2026-02-02</t>
        </is>
      </c>
      <c r="B1486" s="3" t="inlineStr">
        <is>
          <t>삼성전자</t>
        </is>
      </c>
      <c r="C1486" s="2" t="inlineStr">
        <is>
          <t>코스피</t>
        </is>
      </c>
      <c r="D1486" s="2" t="inlineStr">
        <is>
          <t>005930</t>
        </is>
      </c>
      <c r="E1486" s="3" t="inlineStr">
        <is>
          <t>임원ㆍ주요주주특정증권등소유상황보고서</t>
        </is>
      </c>
      <c r="F1486" s="3" t="inlineStr">
        <is>
          <t>이진원</t>
        </is>
      </c>
      <c r="G1486" s="2" t="inlineStr">
        <is>
          <t>20260202000368</t>
        </is>
      </c>
      <c r="H1486" s="8">
        <f>HYPERLINK("https://dart.fss.or.kr/dsaf001/main.do?rcpNo=20260202000368", "공시열람")</f>
        <v/>
      </c>
    </row>
    <row r="1487">
      <c r="A1487" s="2" t="inlineStr">
        <is>
          <t>2026-02-02</t>
        </is>
      </c>
      <c r="B1487" s="3" t="inlineStr">
        <is>
          <t>삼성전자</t>
        </is>
      </c>
      <c r="C1487" s="2" t="inlineStr">
        <is>
          <t>코스피</t>
        </is>
      </c>
      <c r="D1487" s="2" t="inlineStr">
        <is>
          <t>005930</t>
        </is>
      </c>
      <c r="E1487" s="3" t="inlineStr">
        <is>
          <t>임원ㆍ주요주주특정증권등소유상황보고서</t>
        </is>
      </c>
      <c r="F1487" s="3" t="inlineStr">
        <is>
          <t>유화열</t>
        </is>
      </c>
      <c r="G1487" s="2" t="inlineStr">
        <is>
          <t>20260202000367</t>
        </is>
      </c>
      <c r="H1487" s="8">
        <f>HYPERLINK("https://dart.fss.or.kr/dsaf001/main.do?rcpNo=20260202000367", "공시열람")</f>
        <v/>
      </c>
    </row>
    <row r="1488">
      <c r="A1488" s="2" t="inlineStr">
        <is>
          <t>2026-02-02</t>
        </is>
      </c>
      <c r="B1488" s="3" t="inlineStr">
        <is>
          <t>삼성전자</t>
        </is>
      </c>
      <c r="C1488" s="2" t="inlineStr">
        <is>
          <t>코스피</t>
        </is>
      </c>
      <c r="D1488" s="2" t="inlineStr">
        <is>
          <t>005930</t>
        </is>
      </c>
      <c r="E1488" s="3" t="inlineStr">
        <is>
          <t>임원ㆍ주요주주특정증권등소유상황보고서</t>
        </is>
      </c>
      <c r="F1488" s="3" t="inlineStr">
        <is>
          <t>최서림</t>
        </is>
      </c>
      <c r="G1488" s="2" t="inlineStr">
        <is>
          <t>20260202000366</t>
        </is>
      </c>
      <c r="H1488" s="8">
        <f>HYPERLINK("https://dart.fss.or.kr/dsaf001/main.do?rcpNo=20260202000366", "공시열람")</f>
        <v/>
      </c>
    </row>
    <row r="1489">
      <c r="A1489" s="2" t="inlineStr">
        <is>
          <t>2026-02-02</t>
        </is>
      </c>
      <c r="B1489" s="3" t="inlineStr">
        <is>
          <t>지란지교시큐리티</t>
        </is>
      </c>
      <c r="C1489" s="2" t="inlineStr">
        <is>
          <t>코스닥</t>
        </is>
      </c>
      <c r="D1489" s="2" t="inlineStr">
        <is>
          <t>208350</t>
        </is>
      </c>
      <c r="E1489" s="3" t="inlineStr">
        <is>
          <t xml:space="preserve">매출액또는손익구조30%(대규모법인은15%)이상변동              </t>
        </is>
      </c>
      <c r="F1489" s="3" t="inlineStr">
        <is>
          <t>지란지교시큐리티</t>
        </is>
      </c>
      <c r="G1489" s="2" t="inlineStr">
        <is>
          <t>20260202900661</t>
        </is>
      </c>
      <c r="H1489" s="8">
        <f>HYPERLINK("https://dart.fss.or.kr/dsaf001/main.do?rcpNo=20260202900661", "공시열람")</f>
        <v/>
      </c>
    </row>
    <row r="1490">
      <c r="A1490" s="2" t="inlineStr">
        <is>
          <t>2026-02-02</t>
        </is>
      </c>
      <c r="B1490" s="3" t="inlineStr">
        <is>
          <t>신영스팩10호</t>
        </is>
      </c>
      <c r="C1490" s="2" t="inlineStr">
        <is>
          <t>코스닥</t>
        </is>
      </c>
      <c r="D1490" s="2" t="inlineStr">
        <is>
          <t>472220</t>
        </is>
      </c>
      <c r="E1490" s="3" t="inlineStr">
        <is>
          <t xml:space="preserve">기업인수목적회사의예치ㆍ신탁계약내용변경              </t>
        </is>
      </c>
      <c r="F1490" s="3" t="inlineStr">
        <is>
          <t>신영스팩10호</t>
        </is>
      </c>
      <c r="G1490" s="2" t="inlineStr">
        <is>
          <t>20260202900680</t>
        </is>
      </c>
      <c r="H1490" s="8">
        <f>HYPERLINK("https://dart.fss.or.kr/dsaf001/main.do?rcpNo=20260202900680", "공시열람")</f>
        <v/>
      </c>
    </row>
    <row r="1491">
      <c r="A1491" s="2" t="inlineStr">
        <is>
          <t>2026-02-02</t>
        </is>
      </c>
      <c r="B1491" s="3" t="inlineStr">
        <is>
          <t>삼성전자</t>
        </is>
      </c>
      <c r="C1491" s="2" t="inlineStr">
        <is>
          <t>코스피</t>
        </is>
      </c>
      <c r="D1491" s="2" t="inlineStr">
        <is>
          <t>005930</t>
        </is>
      </c>
      <c r="E1491" s="3" t="inlineStr">
        <is>
          <t>임원ㆍ주요주주특정증권등소유상황보고서</t>
        </is>
      </c>
      <c r="F1491" s="3" t="inlineStr">
        <is>
          <t>김창업</t>
        </is>
      </c>
      <c r="G1491" s="2" t="inlineStr">
        <is>
          <t>20260202000365</t>
        </is>
      </c>
      <c r="H1491" s="8">
        <f>HYPERLINK("https://dart.fss.or.kr/dsaf001/main.do?rcpNo=20260202000365", "공시열람")</f>
        <v/>
      </c>
    </row>
    <row r="1492">
      <c r="A1492" s="2" t="inlineStr">
        <is>
          <t>2026-02-02</t>
        </is>
      </c>
      <c r="B1492" s="3" t="inlineStr">
        <is>
          <t>삼성전자</t>
        </is>
      </c>
      <c r="C1492" s="2" t="inlineStr">
        <is>
          <t>코스피</t>
        </is>
      </c>
      <c r="D1492" s="2" t="inlineStr">
        <is>
          <t>005930</t>
        </is>
      </c>
      <c r="E1492" s="3" t="inlineStr">
        <is>
          <t>임원ㆍ주요주주특정증권등소유상황보고서</t>
        </is>
      </c>
      <c r="F1492" s="3" t="inlineStr">
        <is>
          <t>김태우</t>
        </is>
      </c>
      <c r="G1492" s="2" t="inlineStr">
        <is>
          <t>20260202000362</t>
        </is>
      </c>
      <c r="H1492" s="8">
        <f>HYPERLINK("https://dart.fss.or.kr/dsaf001/main.do?rcpNo=20260202000362", "공시열람")</f>
        <v/>
      </c>
    </row>
    <row r="1493">
      <c r="A1493" s="2" t="inlineStr">
        <is>
          <t>2026-02-02</t>
        </is>
      </c>
      <c r="B1493" s="3" t="inlineStr">
        <is>
          <t>삼성전자</t>
        </is>
      </c>
      <c r="C1493" s="2" t="inlineStr">
        <is>
          <t>코스피</t>
        </is>
      </c>
      <c r="D1493" s="2" t="inlineStr">
        <is>
          <t>005930</t>
        </is>
      </c>
      <c r="E1493" s="3" t="inlineStr">
        <is>
          <t>임원ㆍ주요주주특정증권등소유상황보고서</t>
        </is>
      </c>
      <c r="F1493" s="3" t="inlineStr">
        <is>
          <t>김은하</t>
        </is>
      </c>
      <c r="G1493" s="2" t="inlineStr">
        <is>
          <t>20260202000361</t>
        </is>
      </c>
      <c r="H1493" s="8">
        <f>HYPERLINK("https://dart.fss.or.kr/dsaf001/main.do?rcpNo=20260202000361", "공시열람")</f>
        <v/>
      </c>
    </row>
    <row r="1494">
      <c r="A1494" s="2" t="inlineStr">
        <is>
          <t>2026-02-02</t>
        </is>
      </c>
      <c r="B1494" s="3" t="inlineStr">
        <is>
          <t>삼성전자</t>
        </is>
      </c>
      <c r="C1494" s="2" t="inlineStr">
        <is>
          <t>코스피</t>
        </is>
      </c>
      <c r="D1494" s="2" t="inlineStr">
        <is>
          <t>005930</t>
        </is>
      </c>
      <c r="E1494" s="3" t="inlineStr">
        <is>
          <t>임원ㆍ주요주주특정증권등소유상황보고서</t>
        </is>
      </c>
      <c r="F1494" s="3" t="inlineStr">
        <is>
          <t>연지현</t>
        </is>
      </c>
      <c r="G1494" s="2" t="inlineStr">
        <is>
          <t>20260202000360</t>
        </is>
      </c>
      <c r="H1494" s="8">
        <f>HYPERLINK("https://dart.fss.or.kr/dsaf001/main.do?rcpNo=20260202000360", "공시열람")</f>
        <v/>
      </c>
    </row>
    <row r="1495">
      <c r="A1495" s="2" t="inlineStr">
        <is>
          <t>2026-02-02</t>
        </is>
      </c>
      <c r="B1495" s="3" t="inlineStr">
        <is>
          <t>삼성전자</t>
        </is>
      </c>
      <c r="C1495" s="2" t="inlineStr">
        <is>
          <t>코스피</t>
        </is>
      </c>
      <c r="D1495" s="2" t="inlineStr">
        <is>
          <t>005930</t>
        </is>
      </c>
      <c r="E1495" s="3" t="inlineStr">
        <is>
          <t>임원ㆍ주요주주특정증권등소유상황보고서</t>
        </is>
      </c>
      <c r="F1495" s="3" t="inlineStr">
        <is>
          <t>박진영</t>
        </is>
      </c>
      <c r="G1495" s="2" t="inlineStr">
        <is>
          <t>20260202000359</t>
        </is>
      </c>
      <c r="H1495" s="8">
        <f>HYPERLINK("https://dart.fss.or.kr/dsaf001/main.do?rcpNo=20260202000359", "공시열람")</f>
        <v/>
      </c>
    </row>
    <row r="1496">
      <c r="A1496" s="2" t="inlineStr">
        <is>
          <t>2026-02-02</t>
        </is>
      </c>
      <c r="B1496" s="3" t="inlineStr">
        <is>
          <t>삼성전자</t>
        </is>
      </c>
      <c r="C1496" s="2" t="inlineStr">
        <is>
          <t>코스피</t>
        </is>
      </c>
      <c r="D1496" s="2" t="inlineStr">
        <is>
          <t>005930</t>
        </is>
      </c>
      <c r="E1496" s="3" t="inlineStr">
        <is>
          <t>임원ㆍ주요주주특정증권등소유상황보고서</t>
        </is>
      </c>
      <c r="F1496" s="3" t="inlineStr">
        <is>
          <t>임성택</t>
        </is>
      </c>
      <c r="G1496" s="2" t="inlineStr">
        <is>
          <t>20260202000358</t>
        </is>
      </c>
      <c r="H1496" s="8">
        <f>HYPERLINK("https://dart.fss.or.kr/dsaf001/main.do?rcpNo=20260202000358", "공시열람")</f>
        <v/>
      </c>
    </row>
    <row r="1497">
      <c r="A1497" s="2" t="inlineStr">
        <is>
          <t>2026-02-02</t>
        </is>
      </c>
      <c r="B1497" s="3" t="inlineStr">
        <is>
          <t>삼성전자</t>
        </is>
      </c>
      <c r="C1497" s="2" t="inlineStr">
        <is>
          <t>코스피</t>
        </is>
      </c>
      <c r="D1497" s="2" t="inlineStr">
        <is>
          <t>005930</t>
        </is>
      </c>
      <c r="E1497" s="3" t="inlineStr">
        <is>
          <t>임원ㆍ주요주주특정증권등소유상황보고서</t>
        </is>
      </c>
      <c r="F1497" s="3" t="inlineStr">
        <is>
          <t>안신헌</t>
        </is>
      </c>
      <c r="G1497" s="2" t="inlineStr">
        <is>
          <t>20260202000357</t>
        </is>
      </c>
      <c r="H1497" s="8">
        <f>HYPERLINK("https://dart.fss.or.kr/dsaf001/main.do?rcpNo=20260202000357", "공시열람")</f>
        <v/>
      </c>
    </row>
    <row r="1498">
      <c r="A1498" s="2" t="inlineStr">
        <is>
          <t>2026-02-02</t>
        </is>
      </c>
      <c r="B1498" s="3" t="inlineStr">
        <is>
          <t>삼성전자</t>
        </is>
      </c>
      <c r="C1498" s="2" t="inlineStr">
        <is>
          <t>코스피</t>
        </is>
      </c>
      <c r="D1498" s="2" t="inlineStr">
        <is>
          <t>005930</t>
        </is>
      </c>
      <c r="E1498" s="3" t="inlineStr">
        <is>
          <t>임원ㆍ주요주주특정증권등소유상황보고서</t>
        </is>
      </c>
      <c r="F1498" s="3" t="inlineStr">
        <is>
          <t>고택균</t>
        </is>
      </c>
      <c r="G1498" s="2" t="inlineStr">
        <is>
          <t>20260202000356</t>
        </is>
      </c>
      <c r="H1498" s="8">
        <f>HYPERLINK("https://dart.fss.or.kr/dsaf001/main.do?rcpNo=20260202000356", "공시열람")</f>
        <v/>
      </c>
    </row>
    <row r="1499">
      <c r="A1499" s="2" t="inlineStr">
        <is>
          <t>2026-02-02</t>
        </is>
      </c>
      <c r="B1499" s="3" t="inlineStr">
        <is>
          <t>삼성전자</t>
        </is>
      </c>
      <c r="C1499" s="2" t="inlineStr">
        <is>
          <t>코스피</t>
        </is>
      </c>
      <c r="D1499" s="2" t="inlineStr">
        <is>
          <t>005930</t>
        </is>
      </c>
      <c r="E1499" s="3" t="inlineStr">
        <is>
          <t>임원ㆍ주요주주특정증권등소유상황보고서</t>
        </is>
      </c>
      <c r="F1499" s="3" t="inlineStr">
        <is>
          <t>신규범</t>
        </is>
      </c>
      <c r="G1499" s="2" t="inlineStr">
        <is>
          <t>20260202000355</t>
        </is>
      </c>
      <c r="H1499" s="8">
        <f>HYPERLINK("https://dart.fss.or.kr/dsaf001/main.do?rcpNo=20260202000355", "공시열람")</f>
        <v/>
      </c>
    </row>
    <row r="1500">
      <c r="A1500" s="2" t="inlineStr">
        <is>
          <t>2026-02-02</t>
        </is>
      </c>
      <c r="B1500" s="3" t="inlineStr">
        <is>
          <t>삼성전자</t>
        </is>
      </c>
      <c r="C1500" s="2" t="inlineStr">
        <is>
          <t>코스피</t>
        </is>
      </c>
      <c r="D1500" s="2" t="inlineStr">
        <is>
          <t>005930</t>
        </is>
      </c>
      <c r="E1500" s="3" t="inlineStr">
        <is>
          <t>임원ㆍ주요주주특정증권등소유상황보고서</t>
        </is>
      </c>
      <c r="F1500" s="3" t="inlineStr">
        <is>
          <t>이종민</t>
        </is>
      </c>
      <c r="G1500" s="2" t="inlineStr">
        <is>
          <t>20260202000354</t>
        </is>
      </c>
      <c r="H1500" s="8">
        <f>HYPERLINK("https://dart.fss.or.kr/dsaf001/main.do?rcpNo=20260202000354", "공시열람")</f>
        <v/>
      </c>
    </row>
    <row r="1501">
      <c r="A1501" s="2" t="inlineStr">
        <is>
          <t>2026-02-02</t>
        </is>
      </c>
      <c r="B1501" s="3" t="inlineStr">
        <is>
          <t>삼성전자</t>
        </is>
      </c>
      <c r="C1501" s="2" t="inlineStr">
        <is>
          <t>코스피</t>
        </is>
      </c>
      <c r="D1501" s="2" t="inlineStr">
        <is>
          <t>005930</t>
        </is>
      </c>
      <c r="E1501" s="3" t="inlineStr">
        <is>
          <t>임원ㆍ주요주주특정증권등소유상황보고서</t>
        </is>
      </c>
      <c r="F1501" s="3" t="inlineStr">
        <is>
          <t>김형준</t>
        </is>
      </c>
      <c r="G1501" s="2" t="inlineStr">
        <is>
          <t>20260202000353</t>
        </is>
      </c>
      <c r="H1501" s="8">
        <f>HYPERLINK("https://dart.fss.or.kr/dsaf001/main.do?rcpNo=20260202000353", "공시열람")</f>
        <v/>
      </c>
    </row>
    <row r="1502">
      <c r="A1502" s="2" t="inlineStr">
        <is>
          <t>2026-02-02</t>
        </is>
      </c>
      <c r="B1502" s="3" t="inlineStr">
        <is>
          <t>삼성전자</t>
        </is>
      </c>
      <c r="C1502" s="2" t="inlineStr">
        <is>
          <t>코스피</t>
        </is>
      </c>
      <c r="D1502" s="2" t="inlineStr">
        <is>
          <t>005930</t>
        </is>
      </c>
      <c r="E1502" s="3" t="inlineStr">
        <is>
          <t>임원ㆍ주요주주특정증권등소유상황보고서</t>
        </is>
      </c>
      <c r="F1502" s="3" t="inlineStr">
        <is>
          <t>한의택</t>
        </is>
      </c>
      <c r="G1502" s="2" t="inlineStr">
        <is>
          <t>20260202000352</t>
        </is>
      </c>
      <c r="H1502" s="8">
        <f>HYPERLINK("https://dart.fss.or.kr/dsaf001/main.do?rcpNo=20260202000352", "공시열람")</f>
        <v/>
      </c>
    </row>
    <row r="1503">
      <c r="A1503" s="2" t="inlineStr">
        <is>
          <t>2026-02-02</t>
        </is>
      </c>
      <c r="B1503" s="3" t="inlineStr">
        <is>
          <t>삼성전자</t>
        </is>
      </c>
      <c r="C1503" s="2" t="inlineStr">
        <is>
          <t>코스피</t>
        </is>
      </c>
      <c r="D1503" s="2" t="inlineStr">
        <is>
          <t>005930</t>
        </is>
      </c>
      <c r="E1503" s="3" t="inlineStr">
        <is>
          <t>임원ㆍ주요주주특정증권등소유상황보고서</t>
        </is>
      </c>
      <c r="F1503" s="3" t="inlineStr">
        <is>
          <t>오상진</t>
        </is>
      </c>
      <c r="G1503" s="2" t="inlineStr">
        <is>
          <t>20260202000351</t>
        </is>
      </c>
      <c r="H1503" s="8">
        <f>HYPERLINK("https://dart.fss.or.kr/dsaf001/main.do?rcpNo=20260202000351", "공시열람")</f>
        <v/>
      </c>
    </row>
    <row r="1504">
      <c r="A1504" s="2" t="inlineStr">
        <is>
          <t>2026-02-02</t>
        </is>
      </c>
      <c r="B1504" s="3" t="inlineStr">
        <is>
          <t>삼성전자</t>
        </is>
      </c>
      <c r="C1504" s="2" t="inlineStr">
        <is>
          <t>코스피</t>
        </is>
      </c>
      <c r="D1504" s="2" t="inlineStr">
        <is>
          <t>005930</t>
        </is>
      </c>
      <c r="E1504" s="3" t="inlineStr">
        <is>
          <t>임원ㆍ주요주주특정증권등소유상황보고서</t>
        </is>
      </c>
      <c r="F1504" s="3" t="inlineStr">
        <is>
          <t>이정삼</t>
        </is>
      </c>
      <c r="G1504" s="2" t="inlineStr">
        <is>
          <t>20260202000350</t>
        </is>
      </c>
      <c r="H1504" s="8">
        <f>HYPERLINK("https://dart.fss.or.kr/dsaf001/main.do?rcpNo=20260202000350", "공시열람")</f>
        <v/>
      </c>
    </row>
    <row r="1505">
      <c r="A1505" s="2" t="inlineStr">
        <is>
          <t>2026-02-02</t>
        </is>
      </c>
      <c r="B1505" s="3" t="inlineStr">
        <is>
          <t>삼성전자</t>
        </is>
      </c>
      <c r="C1505" s="2" t="inlineStr">
        <is>
          <t>코스피</t>
        </is>
      </c>
      <c r="D1505" s="2" t="inlineStr">
        <is>
          <t>005930</t>
        </is>
      </c>
      <c r="E1505" s="3" t="inlineStr">
        <is>
          <t>임원ㆍ주요주주특정증권등소유상황보고서</t>
        </is>
      </c>
      <c r="F1505" s="3" t="inlineStr">
        <is>
          <t>송태중</t>
        </is>
      </c>
      <c r="G1505" s="2" t="inlineStr">
        <is>
          <t>20260202000349</t>
        </is>
      </c>
      <c r="H1505" s="8">
        <f>HYPERLINK("https://dart.fss.or.kr/dsaf001/main.do?rcpNo=20260202000349", "공시열람")</f>
        <v/>
      </c>
    </row>
    <row r="1506">
      <c r="A1506" s="2" t="inlineStr">
        <is>
          <t>2026-02-02</t>
        </is>
      </c>
      <c r="B1506" s="3" t="inlineStr">
        <is>
          <t>삼성전자</t>
        </is>
      </c>
      <c r="C1506" s="2" t="inlineStr">
        <is>
          <t>코스피</t>
        </is>
      </c>
      <c r="D1506" s="2" t="inlineStr">
        <is>
          <t>005930</t>
        </is>
      </c>
      <c r="E1506" s="3" t="inlineStr">
        <is>
          <t>임원ㆍ주요주주특정증권등소유상황보고서</t>
        </is>
      </c>
      <c r="F1506" s="3" t="inlineStr">
        <is>
          <t>강도희</t>
        </is>
      </c>
      <c r="G1506" s="2" t="inlineStr">
        <is>
          <t>20260202000348</t>
        </is>
      </c>
      <c r="H1506" s="8">
        <f>HYPERLINK("https://dart.fss.or.kr/dsaf001/main.do?rcpNo=20260202000348", "공시열람")</f>
        <v/>
      </c>
    </row>
    <row r="1507">
      <c r="A1507" s="2" t="inlineStr">
        <is>
          <t>2026-02-02</t>
        </is>
      </c>
      <c r="B1507" s="3" t="inlineStr">
        <is>
          <t>삼성전자</t>
        </is>
      </c>
      <c r="C1507" s="2" t="inlineStr">
        <is>
          <t>코스피</t>
        </is>
      </c>
      <c r="D1507" s="2" t="inlineStr">
        <is>
          <t>005930</t>
        </is>
      </c>
      <c r="E1507" s="3" t="inlineStr">
        <is>
          <t>임원ㆍ주요주주특정증권등소유상황보고서</t>
        </is>
      </c>
      <c r="F1507" s="3" t="inlineStr">
        <is>
          <t>서정현</t>
        </is>
      </c>
      <c r="G1507" s="2" t="inlineStr">
        <is>
          <t>20260202000347</t>
        </is>
      </c>
      <c r="H1507" s="8">
        <f>HYPERLINK("https://dart.fss.or.kr/dsaf001/main.do?rcpNo=20260202000347", "공시열람")</f>
        <v/>
      </c>
    </row>
    <row r="1508">
      <c r="A1508" s="2" t="inlineStr">
        <is>
          <t>2026-02-02</t>
        </is>
      </c>
      <c r="B1508" s="3" t="inlineStr">
        <is>
          <t>삼성전자</t>
        </is>
      </c>
      <c r="C1508" s="2" t="inlineStr">
        <is>
          <t>코스피</t>
        </is>
      </c>
      <c r="D1508" s="2" t="inlineStr">
        <is>
          <t>005930</t>
        </is>
      </c>
      <c r="E1508" s="3" t="inlineStr">
        <is>
          <t>임원ㆍ주요주주특정증권등소유상황보고서</t>
        </is>
      </c>
      <c r="F1508" s="3" t="inlineStr">
        <is>
          <t>김창용</t>
        </is>
      </c>
      <c r="G1508" s="2" t="inlineStr">
        <is>
          <t>20260202000346</t>
        </is>
      </c>
      <c r="H1508" s="8">
        <f>HYPERLINK("https://dart.fss.or.kr/dsaf001/main.do?rcpNo=20260202000346", "공시열람")</f>
        <v/>
      </c>
    </row>
    <row r="1509">
      <c r="A1509" s="2" t="inlineStr">
        <is>
          <t>2026-02-02</t>
        </is>
      </c>
      <c r="B1509" s="3" t="inlineStr">
        <is>
          <t>삼성전자</t>
        </is>
      </c>
      <c r="C1509" s="2" t="inlineStr">
        <is>
          <t>코스피</t>
        </is>
      </c>
      <c r="D1509" s="2" t="inlineStr">
        <is>
          <t>005930</t>
        </is>
      </c>
      <c r="E1509" s="3" t="inlineStr">
        <is>
          <t>임원ㆍ주요주주특정증권등소유상황보고서</t>
        </is>
      </c>
      <c r="F1509" s="3" t="inlineStr">
        <is>
          <t>정진민</t>
        </is>
      </c>
      <c r="G1509" s="2" t="inlineStr">
        <is>
          <t>20260202000344</t>
        </is>
      </c>
      <c r="H1509" s="8">
        <f>HYPERLINK("https://dart.fss.or.kr/dsaf001/main.do?rcpNo=20260202000344", "공시열람")</f>
        <v/>
      </c>
    </row>
    <row r="1510">
      <c r="A1510" s="2" t="inlineStr">
        <is>
          <t>2026-02-02</t>
        </is>
      </c>
      <c r="B1510" s="3" t="inlineStr">
        <is>
          <t>삼성전자</t>
        </is>
      </c>
      <c r="C1510" s="2" t="inlineStr">
        <is>
          <t>코스피</t>
        </is>
      </c>
      <c r="D1510" s="2" t="inlineStr">
        <is>
          <t>005930</t>
        </is>
      </c>
      <c r="E1510" s="3" t="inlineStr">
        <is>
          <t>임원ㆍ주요주주특정증권등소유상황보고서</t>
        </is>
      </c>
      <c r="F1510" s="3" t="inlineStr">
        <is>
          <t>조철호</t>
        </is>
      </c>
      <c r="G1510" s="2" t="inlineStr">
        <is>
          <t>20260202000343</t>
        </is>
      </c>
      <c r="H1510" s="8">
        <f>HYPERLINK("https://dart.fss.or.kr/dsaf001/main.do?rcpNo=20260202000343", "공시열람")</f>
        <v/>
      </c>
    </row>
    <row r="1511">
      <c r="A1511" s="2" t="inlineStr">
        <is>
          <t>2026-02-02</t>
        </is>
      </c>
      <c r="B1511" s="3" t="inlineStr">
        <is>
          <t>삼성전자</t>
        </is>
      </c>
      <c r="C1511" s="2" t="inlineStr">
        <is>
          <t>코스피</t>
        </is>
      </c>
      <c r="D1511" s="2" t="inlineStr">
        <is>
          <t>005930</t>
        </is>
      </c>
      <c r="E1511" s="3" t="inlineStr">
        <is>
          <t>임원ㆍ주요주주특정증권등소유상황보고서</t>
        </is>
      </c>
      <c r="F1511" s="3" t="inlineStr">
        <is>
          <t>김태중</t>
        </is>
      </c>
      <c r="G1511" s="2" t="inlineStr">
        <is>
          <t>20260202000342</t>
        </is>
      </c>
      <c r="H1511" s="8">
        <f>HYPERLINK("https://dart.fss.or.kr/dsaf001/main.do?rcpNo=20260202000342", "공시열람")</f>
        <v/>
      </c>
    </row>
    <row r="1512">
      <c r="A1512" s="2" t="inlineStr">
        <is>
          <t>2026-02-02</t>
        </is>
      </c>
      <c r="B1512" s="3" t="inlineStr">
        <is>
          <t>삼성전자</t>
        </is>
      </c>
      <c r="C1512" s="2" t="inlineStr">
        <is>
          <t>코스피</t>
        </is>
      </c>
      <c r="D1512" s="2" t="inlineStr">
        <is>
          <t>005930</t>
        </is>
      </c>
      <c r="E1512" s="3" t="inlineStr">
        <is>
          <t>임원ㆍ주요주주특정증권등소유상황보고서</t>
        </is>
      </c>
      <c r="F1512" s="3" t="inlineStr">
        <is>
          <t>정신영</t>
        </is>
      </c>
      <c r="G1512" s="2" t="inlineStr">
        <is>
          <t>20260202000341</t>
        </is>
      </c>
      <c r="H1512" s="8">
        <f>HYPERLINK("https://dart.fss.or.kr/dsaf001/main.do?rcpNo=20260202000341", "공시열람")</f>
        <v/>
      </c>
    </row>
    <row r="1513">
      <c r="A1513" s="2" t="inlineStr">
        <is>
          <t>2026-02-02</t>
        </is>
      </c>
      <c r="B1513" s="3" t="inlineStr">
        <is>
          <t>삼성전자</t>
        </is>
      </c>
      <c r="C1513" s="2" t="inlineStr">
        <is>
          <t>코스피</t>
        </is>
      </c>
      <c r="D1513" s="2" t="inlineStr">
        <is>
          <t>005930</t>
        </is>
      </c>
      <c r="E1513" s="3" t="inlineStr">
        <is>
          <t>임원ㆍ주요주주특정증권등소유상황보고서</t>
        </is>
      </c>
      <c r="F1513" s="3" t="inlineStr">
        <is>
          <t>추민수</t>
        </is>
      </c>
      <c r="G1513" s="2" t="inlineStr">
        <is>
          <t>20260202000340</t>
        </is>
      </c>
      <c r="H1513" s="8">
        <f>HYPERLINK("https://dart.fss.or.kr/dsaf001/main.do?rcpNo=20260202000340", "공시열람")</f>
        <v/>
      </c>
    </row>
    <row r="1514">
      <c r="A1514" s="2" t="inlineStr">
        <is>
          <t>2026-02-02</t>
        </is>
      </c>
      <c r="B1514" s="3" t="inlineStr">
        <is>
          <t>삼성전자</t>
        </is>
      </c>
      <c r="C1514" s="2" t="inlineStr">
        <is>
          <t>코스피</t>
        </is>
      </c>
      <c r="D1514" s="2" t="inlineStr">
        <is>
          <t>005930</t>
        </is>
      </c>
      <c r="E1514" s="3" t="inlineStr">
        <is>
          <t>임원ㆍ주요주주특정증권등소유상황보고서</t>
        </is>
      </c>
      <c r="F1514" s="3" t="inlineStr">
        <is>
          <t>이진욱</t>
        </is>
      </c>
      <c r="G1514" s="2" t="inlineStr">
        <is>
          <t>20260202000339</t>
        </is>
      </c>
      <c r="H1514" s="8">
        <f>HYPERLINK("https://dart.fss.or.kr/dsaf001/main.do?rcpNo=20260202000339", "공시열람")</f>
        <v/>
      </c>
    </row>
    <row r="1515">
      <c r="A1515" s="2" t="inlineStr">
        <is>
          <t>2026-02-02</t>
        </is>
      </c>
      <c r="B1515" s="3" t="inlineStr">
        <is>
          <t>삼성전자</t>
        </is>
      </c>
      <c r="C1515" s="2" t="inlineStr">
        <is>
          <t>코스피</t>
        </is>
      </c>
      <c r="D1515" s="2" t="inlineStr">
        <is>
          <t>005930</t>
        </is>
      </c>
      <c r="E1515" s="3" t="inlineStr">
        <is>
          <t>임원ㆍ주요주주특정증권등소유상황보고서</t>
        </is>
      </c>
      <c r="F1515" s="3" t="inlineStr">
        <is>
          <t>곽연봉</t>
        </is>
      </c>
      <c r="G1515" s="2" t="inlineStr">
        <is>
          <t>20260202000338</t>
        </is>
      </c>
      <c r="H1515" s="8">
        <f>HYPERLINK("https://dart.fss.or.kr/dsaf001/main.do?rcpNo=20260202000338", "공시열람")</f>
        <v/>
      </c>
    </row>
    <row r="1516">
      <c r="A1516" s="2" t="inlineStr">
        <is>
          <t>2026-02-02</t>
        </is>
      </c>
      <c r="B1516" s="3" t="inlineStr">
        <is>
          <t>LG유플러스</t>
        </is>
      </c>
      <c r="C1516" s="2" t="inlineStr">
        <is>
          <t>코스피</t>
        </is>
      </c>
      <c r="D1516" s="2" t="inlineStr">
        <is>
          <t>032640</t>
        </is>
      </c>
      <c r="E1516" s="3" t="inlineStr">
        <is>
          <t xml:space="preserve">기업설명회(IR)개최(안내공시)              </t>
        </is>
      </c>
      <c r="F1516" s="3" t="inlineStr">
        <is>
          <t>LG유플러스</t>
        </is>
      </c>
      <c r="G1516" s="2" t="inlineStr">
        <is>
          <t>20260202800663</t>
        </is>
      </c>
      <c r="H1516" s="8">
        <f>HYPERLINK("https://dart.fss.or.kr/dsaf001/main.do?rcpNo=20260202800663", "공시열람")</f>
        <v/>
      </c>
    </row>
    <row r="1517">
      <c r="A1517" s="2" t="inlineStr">
        <is>
          <t>2026-02-02</t>
        </is>
      </c>
      <c r="B1517" s="3" t="inlineStr">
        <is>
          <t>삼성전자</t>
        </is>
      </c>
      <c r="C1517" s="2" t="inlineStr">
        <is>
          <t>코스피</t>
        </is>
      </c>
      <c r="D1517" s="2" t="inlineStr">
        <is>
          <t>005930</t>
        </is>
      </c>
      <c r="E1517" s="3" t="inlineStr">
        <is>
          <t>임원ㆍ주요주주특정증권등소유상황보고서</t>
        </is>
      </c>
      <c r="F1517" s="3" t="inlineStr">
        <is>
          <t>박성호</t>
        </is>
      </c>
      <c r="G1517" s="2" t="inlineStr">
        <is>
          <t>20260202000337</t>
        </is>
      </c>
      <c r="H1517" s="8">
        <f>HYPERLINK("https://dart.fss.or.kr/dsaf001/main.do?rcpNo=20260202000337", "공시열람")</f>
        <v/>
      </c>
    </row>
    <row r="1518">
      <c r="A1518" s="2" t="inlineStr">
        <is>
          <t>2026-02-02</t>
        </is>
      </c>
      <c r="B1518" s="3" t="inlineStr">
        <is>
          <t>삼성전자</t>
        </is>
      </c>
      <c r="C1518" s="2" t="inlineStr">
        <is>
          <t>코스피</t>
        </is>
      </c>
      <c r="D1518" s="2" t="inlineStr">
        <is>
          <t>005930</t>
        </is>
      </c>
      <c r="E1518" s="3" t="inlineStr">
        <is>
          <t>임원ㆍ주요주주특정증권등소유상황보고서</t>
        </is>
      </c>
      <c r="F1518" s="3" t="inlineStr">
        <is>
          <t>윤석호</t>
        </is>
      </c>
      <c r="G1518" s="2" t="inlineStr">
        <is>
          <t>20260202000336</t>
        </is>
      </c>
      <c r="H1518" s="8">
        <f>HYPERLINK("https://dart.fss.or.kr/dsaf001/main.do?rcpNo=20260202000336", "공시열람")</f>
        <v/>
      </c>
    </row>
    <row r="1519">
      <c r="A1519" s="2" t="inlineStr">
        <is>
          <t>2026-02-02</t>
        </is>
      </c>
      <c r="B1519" s="3" t="inlineStr">
        <is>
          <t>삼성전자</t>
        </is>
      </c>
      <c r="C1519" s="2" t="inlineStr">
        <is>
          <t>코스피</t>
        </is>
      </c>
      <c r="D1519" s="2" t="inlineStr">
        <is>
          <t>005930</t>
        </is>
      </c>
      <c r="E1519" s="3" t="inlineStr">
        <is>
          <t>임원ㆍ주요주주특정증권등소유상황보고서</t>
        </is>
      </c>
      <c r="F1519" s="3" t="inlineStr">
        <is>
          <t>윤영조</t>
        </is>
      </c>
      <c r="G1519" s="2" t="inlineStr">
        <is>
          <t>20260202000335</t>
        </is>
      </c>
      <c r="H1519" s="8">
        <f>HYPERLINK("https://dart.fss.or.kr/dsaf001/main.do?rcpNo=20260202000335", "공시열람")</f>
        <v/>
      </c>
    </row>
    <row r="1520">
      <c r="A1520" s="2" t="inlineStr">
        <is>
          <t>2026-02-02</t>
        </is>
      </c>
      <c r="B1520" s="3" t="inlineStr">
        <is>
          <t>삼성전자</t>
        </is>
      </c>
      <c r="C1520" s="2" t="inlineStr">
        <is>
          <t>코스피</t>
        </is>
      </c>
      <c r="D1520" s="2" t="inlineStr">
        <is>
          <t>005930</t>
        </is>
      </c>
      <c r="E1520" s="3" t="inlineStr">
        <is>
          <t>임원ㆍ주요주주특정증권등소유상황보고서</t>
        </is>
      </c>
      <c r="F1520" s="3" t="inlineStr">
        <is>
          <t>박재현</t>
        </is>
      </c>
      <c r="G1520" s="2" t="inlineStr">
        <is>
          <t>20260202000334</t>
        </is>
      </c>
      <c r="H1520" s="8">
        <f>HYPERLINK("https://dart.fss.or.kr/dsaf001/main.do?rcpNo=20260202000334", "공시열람")</f>
        <v/>
      </c>
    </row>
    <row r="1521">
      <c r="A1521" s="2" t="inlineStr">
        <is>
          <t>2026-02-02</t>
        </is>
      </c>
      <c r="B1521" s="3" t="inlineStr">
        <is>
          <t>삼성전자</t>
        </is>
      </c>
      <c r="C1521" s="2" t="inlineStr">
        <is>
          <t>코스피</t>
        </is>
      </c>
      <c r="D1521" s="2" t="inlineStr">
        <is>
          <t>005930</t>
        </is>
      </c>
      <c r="E1521" s="3" t="inlineStr">
        <is>
          <t>임원ㆍ주요주주특정증권등소유상황보고서</t>
        </is>
      </c>
      <c r="F1521" s="3" t="inlineStr">
        <is>
          <t>윤성욱</t>
        </is>
      </c>
      <c r="G1521" s="2" t="inlineStr">
        <is>
          <t>20260202000333</t>
        </is>
      </c>
      <c r="H1521" s="8">
        <f>HYPERLINK("https://dart.fss.or.kr/dsaf001/main.do?rcpNo=20260202000333", "공시열람")</f>
        <v/>
      </c>
    </row>
    <row r="1522">
      <c r="A1522" s="2" t="inlineStr">
        <is>
          <t>2026-02-02</t>
        </is>
      </c>
      <c r="B1522" s="3" t="inlineStr">
        <is>
          <t>삼성전자</t>
        </is>
      </c>
      <c r="C1522" s="2" t="inlineStr">
        <is>
          <t>코스피</t>
        </is>
      </c>
      <c r="D1522" s="2" t="inlineStr">
        <is>
          <t>005930</t>
        </is>
      </c>
      <c r="E1522" s="3" t="inlineStr">
        <is>
          <t>임원ㆍ주요주주특정증권등소유상황보고서</t>
        </is>
      </c>
      <c r="F1522" s="3" t="inlineStr">
        <is>
          <t>김명오</t>
        </is>
      </c>
      <c r="G1522" s="2" t="inlineStr">
        <is>
          <t>20260202000332</t>
        </is>
      </c>
      <c r="H1522" s="8">
        <f>HYPERLINK("https://dart.fss.or.kr/dsaf001/main.do?rcpNo=20260202000332", "공시열람")</f>
        <v/>
      </c>
    </row>
    <row r="1523">
      <c r="A1523" s="2" t="inlineStr">
        <is>
          <t>2026-02-02</t>
        </is>
      </c>
      <c r="B1523" s="3" t="inlineStr">
        <is>
          <t>삼성전자</t>
        </is>
      </c>
      <c r="C1523" s="2" t="inlineStr">
        <is>
          <t>코스피</t>
        </is>
      </c>
      <c r="D1523" s="2" t="inlineStr">
        <is>
          <t>005930</t>
        </is>
      </c>
      <c r="E1523" s="3" t="inlineStr">
        <is>
          <t>임원ㆍ주요주주특정증권등소유상황보고서</t>
        </is>
      </c>
      <c r="F1523" s="3" t="inlineStr">
        <is>
          <t>박지선</t>
        </is>
      </c>
      <c r="G1523" s="2" t="inlineStr">
        <is>
          <t>20260202000331</t>
        </is>
      </c>
      <c r="H1523" s="8">
        <f>HYPERLINK("https://dart.fss.or.kr/dsaf001/main.do?rcpNo=20260202000331", "공시열람")</f>
        <v/>
      </c>
    </row>
    <row r="1524">
      <c r="A1524" s="2" t="inlineStr">
        <is>
          <t>2026-02-02</t>
        </is>
      </c>
      <c r="B1524" s="3" t="inlineStr">
        <is>
          <t>삼성전자</t>
        </is>
      </c>
      <c r="C1524" s="2" t="inlineStr">
        <is>
          <t>코스피</t>
        </is>
      </c>
      <c r="D1524" s="2" t="inlineStr">
        <is>
          <t>005930</t>
        </is>
      </c>
      <c r="E1524" s="3" t="inlineStr">
        <is>
          <t>임원ㆍ주요주주특정증권등소유상황보고서</t>
        </is>
      </c>
      <c r="F1524" s="3" t="inlineStr">
        <is>
          <t>구본영</t>
        </is>
      </c>
      <c r="G1524" s="2" t="inlineStr">
        <is>
          <t>20260202000330</t>
        </is>
      </c>
      <c r="H1524" s="8">
        <f>HYPERLINK("https://dart.fss.or.kr/dsaf001/main.do?rcpNo=20260202000330", "공시열람")</f>
        <v/>
      </c>
    </row>
    <row r="1525">
      <c r="A1525" s="2" t="inlineStr">
        <is>
          <t>2026-02-02</t>
        </is>
      </c>
      <c r="B1525" s="3" t="inlineStr">
        <is>
          <t>삼성전자</t>
        </is>
      </c>
      <c r="C1525" s="2" t="inlineStr">
        <is>
          <t>코스피</t>
        </is>
      </c>
      <c r="D1525" s="2" t="inlineStr">
        <is>
          <t>005930</t>
        </is>
      </c>
      <c r="E1525" s="3" t="inlineStr">
        <is>
          <t>임원ㆍ주요주주특정증권등소유상황보고서</t>
        </is>
      </c>
      <c r="F1525" s="3" t="inlineStr">
        <is>
          <t>노미정</t>
        </is>
      </c>
      <c r="G1525" s="2" t="inlineStr">
        <is>
          <t>20260202000325</t>
        </is>
      </c>
      <c r="H1525" s="8">
        <f>HYPERLINK("https://dart.fss.or.kr/dsaf001/main.do?rcpNo=20260202000325", "공시열람")</f>
        <v/>
      </c>
    </row>
    <row r="1526">
      <c r="A1526" s="2" t="inlineStr">
        <is>
          <t>2026-02-02</t>
        </is>
      </c>
      <c r="B1526" s="3" t="inlineStr">
        <is>
          <t>삼성전자</t>
        </is>
      </c>
      <c r="C1526" s="2" t="inlineStr">
        <is>
          <t>코스피</t>
        </is>
      </c>
      <c r="D1526" s="2" t="inlineStr">
        <is>
          <t>005930</t>
        </is>
      </c>
      <c r="E1526" s="3" t="inlineStr">
        <is>
          <t>임원ㆍ주요주주특정증권등소유상황보고서</t>
        </is>
      </c>
      <c r="F1526" s="3" t="inlineStr">
        <is>
          <t>이중원</t>
        </is>
      </c>
      <c r="G1526" s="2" t="inlineStr">
        <is>
          <t>20260202000323</t>
        </is>
      </c>
      <c r="H1526" s="8">
        <f>HYPERLINK("https://dart.fss.or.kr/dsaf001/main.do?rcpNo=20260202000323", "공시열람")</f>
        <v/>
      </c>
    </row>
    <row r="1527">
      <c r="A1527" s="2" t="inlineStr">
        <is>
          <t>2026-02-02</t>
        </is>
      </c>
      <c r="B1527" s="3" t="inlineStr">
        <is>
          <t>삼성전자</t>
        </is>
      </c>
      <c r="C1527" s="2" t="inlineStr">
        <is>
          <t>코스피</t>
        </is>
      </c>
      <c r="D1527" s="2" t="inlineStr">
        <is>
          <t>005930</t>
        </is>
      </c>
      <c r="E1527" s="3" t="inlineStr">
        <is>
          <t>임원ㆍ주요주주특정증권등소유상황보고서</t>
        </is>
      </c>
      <c r="F1527" s="3" t="inlineStr">
        <is>
          <t>안대현</t>
        </is>
      </c>
      <c r="G1527" s="2" t="inlineStr">
        <is>
          <t>20260202000322</t>
        </is>
      </c>
      <c r="H1527" s="8">
        <f>HYPERLINK("https://dart.fss.or.kr/dsaf001/main.do?rcpNo=20260202000322", "공시열람")</f>
        <v/>
      </c>
    </row>
    <row r="1528">
      <c r="A1528" s="2" t="inlineStr">
        <is>
          <t>2026-02-02</t>
        </is>
      </c>
      <c r="B1528" s="3" t="inlineStr">
        <is>
          <t>삼성전자</t>
        </is>
      </c>
      <c r="C1528" s="2" t="inlineStr">
        <is>
          <t>코스피</t>
        </is>
      </c>
      <c r="D1528" s="2" t="inlineStr">
        <is>
          <t>005930</t>
        </is>
      </c>
      <c r="E1528" s="3" t="inlineStr">
        <is>
          <t>임원ㆍ주요주주특정증권등소유상황보고서</t>
        </is>
      </c>
      <c r="F1528" s="3" t="inlineStr">
        <is>
          <t>김원국</t>
        </is>
      </c>
      <c r="G1528" s="2" t="inlineStr">
        <is>
          <t>20260202000321</t>
        </is>
      </c>
      <c r="H1528" s="8">
        <f>HYPERLINK("https://dart.fss.or.kr/dsaf001/main.do?rcpNo=20260202000321", "공시열람")</f>
        <v/>
      </c>
    </row>
    <row r="1529">
      <c r="A1529" s="2" t="inlineStr">
        <is>
          <t>2026-02-02</t>
        </is>
      </c>
      <c r="B1529" s="3" t="inlineStr">
        <is>
          <t>삼성전자</t>
        </is>
      </c>
      <c r="C1529" s="2" t="inlineStr">
        <is>
          <t>코스피</t>
        </is>
      </c>
      <c r="D1529" s="2" t="inlineStr">
        <is>
          <t>005930</t>
        </is>
      </c>
      <c r="E1529" s="3" t="inlineStr">
        <is>
          <t>임원ㆍ주요주주특정증권등소유상황보고서</t>
        </is>
      </c>
      <c r="F1529" s="3" t="inlineStr">
        <is>
          <t>윤종덕</t>
        </is>
      </c>
      <c r="G1529" s="2" t="inlineStr">
        <is>
          <t>20260202000320</t>
        </is>
      </c>
      <c r="H1529" s="8">
        <f>HYPERLINK("https://dart.fss.or.kr/dsaf001/main.do?rcpNo=20260202000320", "공시열람")</f>
        <v/>
      </c>
    </row>
    <row r="1530">
      <c r="A1530" s="2" t="inlineStr">
        <is>
          <t>2026-02-02</t>
        </is>
      </c>
      <c r="B1530" s="3" t="inlineStr">
        <is>
          <t>삼성전자</t>
        </is>
      </c>
      <c r="C1530" s="2" t="inlineStr">
        <is>
          <t>코스피</t>
        </is>
      </c>
      <c r="D1530" s="2" t="inlineStr">
        <is>
          <t>005930</t>
        </is>
      </c>
      <c r="E1530" s="3" t="inlineStr">
        <is>
          <t>임원ㆍ주요주주특정증권등소유상황보고서</t>
        </is>
      </c>
      <c r="F1530" s="3" t="inlineStr">
        <is>
          <t>김동준</t>
        </is>
      </c>
      <c r="G1530" s="2" t="inlineStr">
        <is>
          <t>20260202000319</t>
        </is>
      </c>
      <c r="H1530" s="8">
        <f>HYPERLINK("https://dart.fss.or.kr/dsaf001/main.do?rcpNo=20260202000319", "공시열람")</f>
        <v/>
      </c>
    </row>
    <row r="1531">
      <c r="A1531" s="2" t="inlineStr">
        <is>
          <t>2026-02-02</t>
        </is>
      </c>
      <c r="B1531" s="3" t="inlineStr">
        <is>
          <t>삼성전자</t>
        </is>
      </c>
      <c r="C1531" s="2" t="inlineStr">
        <is>
          <t>코스피</t>
        </is>
      </c>
      <c r="D1531" s="2" t="inlineStr">
        <is>
          <t>005930</t>
        </is>
      </c>
      <c r="E1531" s="3" t="inlineStr">
        <is>
          <t>임원ㆍ주요주주특정증권등소유상황보고서</t>
        </is>
      </c>
      <c r="F1531" s="3" t="inlineStr">
        <is>
          <t>박정미</t>
        </is>
      </c>
      <c r="G1531" s="2" t="inlineStr">
        <is>
          <t>20260202000317</t>
        </is>
      </c>
      <c r="H1531" s="8">
        <f>HYPERLINK("https://dart.fss.or.kr/dsaf001/main.do?rcpNo=20260202000317", "공시열람")</f>
        <v/>
      </c>
    </row>
    <row r="1532">
      <c r="A1532" s="2" t="inlineStr">
        <is>
          <t>2026-02-02</t>
        </is>
      </c>
      <c r="B1532" s="3" t="inlineStr">
        <is>
          <t>삼성전자</t>
        </is>
      </c>
      <c r="C1532" s="2" t="inlineStr">
        <is>
          <t>코스피</t>
        </is>
      </c>
      <c r="D1532" s="2" t="inlineStr">
        <is>
          <t>005930</t>
        </is>
      </c>
      <c r="E1532" s="3" t="inlineStr">
        <is>
          <t>임원ㆍ주요주주특정증권등소유상황보고서</t>
        </is>
      </c>
      <c r="F1532" s="3" t="inlineStr">
        <is>
          <t>김태훈</t>
        </is>
      </c>
      <c r="G1532" s="2" t="inlineStr">
        <is>
          <t>20260202000316</t>
        </is>
      </c>
      <c r="H1532" s="8">
        <f>HYPERLINK("https://dart.fss.or.kr/dsaf001/main.do?rcpNo=20260202000316", "공시열람")</f>
        <v/>
      </c>
    </row>
    <row r="1533">
      <c r="A1533" s="2" t="inlineStr">
        <is>
          <t>2026-02-02</t>
        </is>
      </c>
      <c r="B1533" s="3" t="inlineStr">
        <is>
          <t>삼성전자</t>
        </is>
      </c>
      <c r="C1533" s="2" t="inlineStr">
        <is>
          <t>코스피</t>
        </is>
      </c>
      <c r="D1533" s="2" t="inlineStr">
        <is>
          <t>005930</t>
        </is>
      </c>
      <c r="E1533" s="3" t="inlineStr">
        <is>
          <t>임원ㆍ주요주주특정증권등소유상황보고서</t>
        </is>
      </c>
      <c r="F1533" s="3" t="inlineStr">
        <is>
          <t>배상기</t>
        </is>
      </c>
      <c r="G1533" s="2" t="inlineStr">
        <is>
          <t>20260202000315</t>
        </is>
      </c>
      <c r="H1533" s="8">
        <f>HYPERLINK("https://dart.fss.or.kr/dsaf001/main.do?rcpNo=20260202000315", "공시열람")</f>
        <v/>
      </c>
    </row>
    <row r="1534">
      <c r="A1534" s="2" t="inlineStr">
        <is>
          <t>2026-02-02</t>
        </is>
      </c>
      <c r="B1534" s="3" t="inlineStr">
        <is>
          <t>삼성전자</t>
        </is>
      </c>
      <c r="C1534" s="2" t="inlineStr">
        <is>
          <t>코스피</t>
        </is>
      </c>
      <c r="D1534" s="2" t="inlineStr">
        <is>
          <t>005930</t>
        </is>
      </c>
      <c r="E1534" s="3" t="inlineStr">
        <is>
          <t>임원ㆍ주요주주특정증권등소유상황보고서</t>
        </is>
      </c>
      <c r="F1534" s="3" t="inlineStr">
        <is>
          <t>김현석</t>
        </is>
      </c>
      <c r="G1534" s="2" t="inlineStr">
        <is>
          <t>20260202000314</t>
        </is>
      </c>
      <c r="H1534" s="8">
        <f>HYPERLINK("https://dart.fss.or.kr/dsaf001/main.do?rcpNo=20260202000314", "공시열람")</f>
        <v/>
      </c>
    </row>
    <row r="1535">
      <c r="A1535" s="2" t="inlineStr">
        <is>
          <t>2026-02-02</t>
        </is>
      </c>
      <c r="B1535" s="3" t="inlineStr">
        <is>
          <t>삼성전자</t>
        </is>
      </c>
      <c r="C1535" s="2" t="inlineStr">
        <is>
          <t>코스피</t>
        </is>
      </c>
      <c r="D1535" s="2" t="inlineStr">
        <is>
          <t>005930</t>
        </is>
      </c>
      <c r="E1535" s="3" t="inlineStr">
        <is>
          <t>임원ㆍ주요주주특정증권등소유상황보고서</t>
        </is>
      </c>
      <c r="F1535" s="3" t="inlineStr">
        <is>
          <t>조성일</t>
        </is>
      </c>
      <c r="G1535" s="2" t="inlineStr">
        <is>
          <t>20260202000313</t>
        </is>
      </c>
      <c r="H1535" s="8">
        <f>HYPERLINK("https://dart.fss.or.kr/dsaf001/main.do?rcpNo=20260202000313", "공시열람")</f>
        <v/>
      </c>
    </row>
    <row r="1536">
      <c r="A1536" s="2" t="inlineStr">
        <is>
          <t>2026-02-02</t>
        </is>
      </c>
      <c r="B1536" s="3" t="inlineStr">
        <is>
          <t>삼성전자</t>
        </is>
      </c>
      <c r="C1536" s="2" t="inlineStr">
        <is>
          <t>코스피</t>
        </is>
      </c>
      <c r="D1536" s="2" t="inlineStr">
        <is>
          <t>005930</t>
        </is>
      </c>
      <c r="E1536" s="3" t="inlineStr">
        <is>
          <t>임원ㆍ주요주주특정증권등소유상황보고서</t>
        </is>
      </c>
      <c r="F1536" s="3" t="inlineStr">
        <is>
          <t>나기홍</t>
        </is>
      </c>
      <c r="G1536" s="2" t="inlineStr">
        <is>
          <t>20260202000312</t>
        </is>
      </c>
      <c r="H1536" s="8">
        <f>HYPERLINK("https://dart.fss.or.kr/dsaf001/main.do?rcpNo=20260202000312", "공시열람")</f>
        <v/>
      </c>
    </row>
    <row r="1537">
      <c r="A1537" s="2" t="inlineStr">
        <is>
          <t>2026-02-02</t>
        </is>
      </c>
      <c r="B1537" s="3" t="inlineStr">
        <is>
          <t>삼성전자</t>
        </is>
      </c>
      <c r="C1537" s="2" t="inlineStr">
        <is>
          <t>코스피</t>
        </is>
      </c>
      <c r="D1537" s="2" t="inlineStr">
        <is>
          <t>005930</t>
        </is>
      </c>
      <c r="E1537" s="3" t="inlineStr">
        <is>
          <t>임원ㆍ주요주주특정증권등소유상황보고서</t>
        </is>
      </c>
      <c r="F1537" s="3" t="inlineStr">
        <is>
          <t>박현근</t>
        </is>
      </c>
      <c r="G1537" s="2" t="inlineStr">
        <is>
          <t>20260202000311</t>
        </is>
      </c>
      <c r="H1537" s="8">
        <f>HYPERLINK("https://dart.fss.or.kr/dsaf001/main.do?rcpNo=20260202000311", "공시열람")</f>
        <v/>
      </c>
    </row>
    <row r="1538">
      <c r="A1538" s="2" t="inlineStr">
        <is>
          <t>2026-02-02</t>
        </is>
      </c>
      <c r="B1538" s="3" t="inlineStr">
        <is>
          <t>시공테크</t>
        </is>
      </c>
      <c r="C1538" s="2" t="inlineStr">
        <is>
          <t>코스닥</t>
        </is>
      </c>
      <c r="D1538" s="2" t="inlineStr">
        <is>
          <t>020710</t>
        </is>
      </c>
      <c r="E1538" s="3" t="inlineStr">
        <is>
          <t>신탁계약해지결과보고서</t>
        </is>
      </c>
      <c r="F1538" s="3" t="inlineStr">
        <is>
          <t>시공테크</t>
        </is>
      </c>
      <c r="G1538" s="2" t="inlineStr">
        <is>
          <t>20260202000310</t>
        </is>
      </c>
      <c r="H1538" s="8">
        <f>HYPERLINK("https://dart.fss.or.kr/dsaf001/main.do?rcpNo=20260202000310", "공시열람")</f>
        <v/>
      </c>
    </row>
    <row r="1539">
      <c r="A1539" s="2" t="inlineStr">
        <is>
          <t>2026-02-02</t>
        </is>
      </c>
      <c r="B1539" s="3" t="inlineStr">
        <is>
          <t>삼성전자</t>
        </is>
      </c>
      <c r="C1539" s="2" t="inlineStr">
        <is>
          <t>코스피</t>
        </is>
      </c>
      <c r="D1539" s="2" t="inlineStr">
        <is>
          <t>005930</t>
        </is>
      </c>
      <c r="E1539" s="3" t="inlineStr">
        <is>
          <t>임원ㆍ주요주주특정증권등소유상황보고서</t>
        </is>
      </c>
      <c r="F1539" s="3" t="inlineStr">
        <is>
          <t>위훈</t>
        </is>
      </c>
      <c r="G1539" s="2" t="inlineStr">
        <is>
          <t>20260202000309</t>
        </is>
      </c>
      <c r="H1539" s="8">
        <f>HYPERLINK("https://dart.fss.or.kr/dsaf001/main.do?rcpNo=20260202000309", "공시열람")</f>
        <v/>
      </c>
    </row>
    <row r="1540">
      <c r="A1540" s="2" t="inlineStr">
        <is>
          <t>2026-02-02</t>
        </is>
      </c>
      <c r="B1540" s="3" t="inlineStr">
        <is>
          <t>삼성전자</t>
        </is>
      </c>
      <c r="C1540" s="2" t="inlineStr">
        <is>
          <t>코스피</t>
        </is>
      </c>
      <c r="D1540" s="2" t="inlineStr">
        <is>
          <t>005930</t>
        </is>
      </c>
      <c r="E1540" s="3" t="inlineStr">
        <is>
          <t>임원ㆍ주요주주특정증권등소유상황보고서</t>
        </is>
      </c>
      <c r="F1540" s="3" t="inlineStr">
        <is>
          <t>이광열</t>
        </is>
      </c>
      <c r="G1540" s="2" t="inlineStr">
        <is>
          <t>20260202000308</t>
        </is>
      </c>
      <c r="H1540" s="8">
        <f>HYPERLINK("https://dart.fss.or.kr/dsaf001/main.do?rcpNo=20260202000308", "공시열람")</f>
        <v/>
      </c>
    </row>
    <row r="1541">
      <c r="A1541" s="2" t="inlineStr">
        <is>
          <t>2026-02-02</t>
        </is>
      </c>
      <c r="B1541" s="3" t="inlineStr">
        <is>
          <t>삼성전자</t>
        </is>
      </c>
      <c r="C1541" s="2" t="inlineStr">
        <is>
          <t>코스피</t>
        </is>
      </c>
      <c r="D1541" s="2" t="inlineStr">
        <is>
          <t>005930</t>
        </is>
      </c>
      <c r="E1541" s="3" t="inlineStr">
        <is>
          <t>임원ㆍ주요주주특정증권등소유상황보고서</t>
        </is>
      </c>
      <c r="F1541" s="3" t="inlineStr">
        <is>
          <t>최병철</t>
        </is>
      </c>
      <c r="G1541" s="2" t="inlineStr">
        <is>
          <t>20260202000307</t>
        </is>
      </c>
      <c r="H1541" s="8">
        <f>HYPERLINK("https://dart.fss.or.kr/dsaf001/main.do?rcpNo=20260202000307", "공시열람")</f>
        <v/>
      </c>
    </row>
    <row r="1542">
      <c r="A1542" s="2" t="inlineStr">
        <is>
          <t>2026-02-02</t>
        </is>
      </c>
      <c r="B1542" s="3" t="inlineStr">
        <is>
          <t>삼성전자</t>
        </is>
      </c>
      <c r="C1542" s="2" t="inlineStr">
        <is>
          <t>코스피</t>
        </is>
      </c>
      <c r="D1542" s="2" t="inlineStr">
        <is>
          <t>005930</t>
        </is>
      </c>
      <c r="E1542" s="3" t="inlineStr">
        <is>
          <t>임원ㆍ주요주주특정증권등소유상황보고서</t>
        </is>
      </c>
      <c r="F1542" s="3" t="inlineStr">
        <is>
          <t>홍영기</t>
        </is>
      </c>
      <c r="G1542" s="2" t="inlineStr">
        <is>
          <t>20260202000306</t>
        </is>
      </c>
      <c r="H1542" s="8">
        <f>HYPERLINK("https://dart.fss.or.kr/dsaf001/main.do?rcpNo=20260202000306", "공시열람")</f>
        <v/>
      </c>
    </row>
    <row r="1543">
      <c r="A1543" s="2" t="inlineStr">
        <is>
          <t>2026-02-02</t>
        </is>
      </c>
      <c r="B1543" s="3" t="inlineStr">
        <is>
          <t>삼성전자</t>
        </is>
      </c>
      <c r="C1543" s="2" t="inlineStr">
        <is>
          <t>코스피</t>
        </is>
      </c>
      <c r="D1543" s="2" t="inlineStr">
        <is>
          <t>005930</t>
        </is>
      </c>
      <c r="E1543" s="3" t="inlineStr">
        <is>
          <t>임원ㆍ주요주주특정증권등소유상황보고서</t>
        </is>
      </c>
      <c r="F1543" s="3" t="inlineStr">
        <is>
          <t>우형동</t>
        </is>
      </c>
      <c r="G1543" s="2" t="inlineStr">
        <is>
          <t>20260202000305</t>
        </is>
      </c>
      <c r="H1543" s="8">
        <f>HYPERLINK("https://dart.fss.or.kr/dsaf001/main.do?rcpNo=20260202000305", "공시열람")</f>
        <v/>
      </c>
    </row>
    <row r="1544">
      <c r="A1544" s="2" t="inlineStr">
        <is>
          <t>2026-02-02</t>
        </is>
      </c>
      <c r="B1544" s="3" t="inlineStr">
        <is>
          <t>삼성전자</t>
        </is>
      </c>
      <c r="C1544" s="2" t="inlineStr">
        <is>
          <t>코스피</t>
        </is>
      </c>
      <c r="D1544" s="2" t="inlineStr">
        <is>
          <t>005930</t>
        </is>
      </c>
      <c r="E1544" s="3" t="inlineStr">
        <is>
          <t>임원ㆍ주요주주특정증권등소유상황보고서</t>
        </is>
      </c>
      <c r="F1544" s="3" t="inlineStr">
        <is>
          <t>이병헌</t>
        </is>
      </c>
      <c r="G1544" s="2" t="inlineStr">
        <is>
          <t>20260202000304</t>
        </is>
      </c>
      <c r="H1544" s="8">
        <f>HYPERLINK("https://dart.fss.or.kr/dsaf001/main.do?rcpNo=20260202000304", "공시열람")</f>
        <v/>
      </c>
    </row>
    <row r="1545">
      <c r="A1545" s="2" t="inlineStr">
        <is>
          <t>2026-02-02</t>
        </is>
      </c>
      <c r="B1545" s="3" t="inlineStr">
        <is>
          <t>삼성전자</t>
        </is>
      </c>
      <c r="C1545" s="2" t="inlineStr">
        <is>
          <t>코스피</t>
        </is>
      </c>
      <c r="D1545" s="2" t="inlineStr">
        <is>
          <t>005930</t>
        </is>
      </c>
      <c r="E1545" s="3" t="inlineStr">
        <is>
          <t>임원ㆍ주요주주특정증권등소유상황보고서</t>
        </is>
      </c>
      <c r="F1545" s="3" t="inlineStr">
        <is>
          <t>김이태</t>
        </is>
      </c>
      <c r="G1545" s="2" t="inlineStr">
        <is>
          <t>20260202000303</t>
        </is>
      </c>
      <c r="H1545" s="8">
        <f>HYPERLINK("https://dart.fss.or.kr/dsaf001/main.do?rcpNo=20260202000303", "공시열람")</f>
        <v/>
      </c>
    </row>
    <row r="1546">
      <c r="A1546" s="2" t="inlineStr">
        <is>
          <t>2026-02-02</t>
        </is>
      </c>
      <c r="B1546" s="3" t="inlineStr">
        <is>
          <t>삼성전자</t>
        </is>
      </c>
      <c r="C1546" s="2" t="inlineStr">
        <is>
          <t>코스피</t>
        </is>
      </c>
      <c r="D1546" s="2" t="inlineStr">
        <is>
          <t>005930</t>
        </is>
      </c>
      <c r="E1546" s="3" t="inlineStr">
        <is>
          <t>임원ㆍ주요주주특정증권등소유상황보고서</t>
        </is>
      </c>
      <c r="F1546" s="3" t="inlineStr">
        <is>
          <t>차병석</t>
        </is>
      </c>
      <c r="G1546" s="2" t="inlineStr">
        <is>
          <t>20260202000302</t>
        </is>
      </c>
      <c r="H1546" s="8">
        <f>HYPERLINK("https://dart.fss.or.kr/dsaf001/main.do?rcpNo=20260202000302", "공시열람")</f>
        <v/>
      </c>
    </row>
    <row r="1547">
      <c r="A1547" s="2" t="inlineStr">
        <is>
          <t>2026-02-02</t>
        </is>
      </c>
      <c r="B1547" s="3" t="inlineStr">
        <is>
          <t>큐라클</t>
        </is>
      </c>
      <c r="C1547" s="2" t="inlineStr">
        <is>
          <t>코스닥</t>
        </is>
      </c>
      <c r="D1547" s="2" t="inlineStr">
        <is>
          <t>365270</t>
        </is>
      </c>
      <c r="E1547" s="3" t="inlineStr">
        <is>
          <t>합병등종료보고서(합병)</t>
        </is>
      </c>
      <c r="F1547" s="3" t="inlineStr">
        <is>
          <t>큐라클</t>
        </is>
      </c>
      <c r="G1547" s="2" t="inlineStr">
        <is>
          <t>20260202000301</t>
        </is>
      </c>
      <c r="H1547" s="8">
        <f>HYPERLINK("https://dart.fss.or.kr/dsaf001/main.do?rcpNo=20260202000301", "공시열람")</f>
        <v/>
      </c>
    </row>
    <row r="1548">
      <c r="A1548" s="2" t="inlineStr">
        <is>
          <t>2026-02-02</t>
        </is>
      </c>
      <c r="B1548" s="3" t="inlineStr">
        <is>
          <t>삼성전자</t>
        </is>
      </c>
      <c r="C1548" s="2" t="inlineStr">
        <is>
          <t>코스피</t>
        </is>
      </c>
      <c r="D1548" s="2" t="inlineStr">
        <is>
          <t>005930</t>
        </is>
      </c>
      <c r="E1548" s="3" t="inlineStr">
        <is>
          <t>임원ㆍ주요주주특정증권등소유상황보고서</t>
        </is>
      </c>
      <c r="F1548" s="3" t="inlineStr">
        <is>
          <t>김태균</t>
        </is>
      </c>
      <c r="G1548" s="2" t="inlineStr">
        <is>
          <t>20260202000300</t>
        </is>
      </c>
      <c r="H1548" s="8">
        <f>HYPERLINK("https://dart.fss.or.kr/dsaf001/main.do?rcpNo=20260202000300", "공시열람")</f>
        <v/>
      </c>
    </row>
    <row r="1549">
      <c r="A1549" s="2" t="inlineStr">
        <is>
          <t>2026-02-02</t>
        </is>
      </c>
      <c r="B1549" s="3" t="inlineStr">
        <is>
          <t>삼성전자</t>
        </is>
      </c>
      <c r="C1549" s="2" t="inlineStr">
        <is>
          <t>코스피</t>
        </is>
      </c>
      <c r="D1549" s="2" t="inlineStr">
        <is>
          <t>005930</t>
        </is>
      </c>
      <c r="E1549" s="3" t="inlineStr">
        <is>
          <t>임원ㆍ주요주주특정증권등소유상황보고서</t>
        </is>
      </c>
      <c r="F1549" s="3" t="inlineStr">
        <is>
          <t>이헌</t>
        </is>
      </c>
      <c r="G1549" s="2" t="inlineStr">
        <is>
          <t>20260202000299</t>
        </is>
      </c>
      <c r="H1549" s="8">
        <f>HYPERLINK("https://dart.fss.or.kr/dsaf001/main.do?rcpNo=20260202000299", "공시열람")</f>
        <v/>
      </c>
    </row>
    <row r="1550">
      <c r="A1550" s="2" t="inlineStr">
        <is>
          <t>2026-02-02</t>
        </is>
      </c>
      <c r="B1550" s="3" t="inlineStr">
        <is>
          <t>삼성전자</t>
        </is>
      </c>
      <c r="C1550" s="2" t="inlineStr">
        <is>
          <t>코스피</t>
        </is>
      </c>
      <c r="D1550" s="2" t="inlineStr">
        <is>
          <t>005930</t>
        </is>
      </c>
      <c r="E1550" s="3" t="inlineStr">
        <is>
          <t>임원ㆍ주요주주특정증권등소유상황보고서</t>
        </is>
      </c>
      <c r="F1550" s="3" t="inlineStr">
        <is>
          <t>김은경</t>
        </is>
      </c>
      <c r="G1550" s="2" t="inlineStr">
        <is>
          <t>20260202000298</t>
        </is>
      </c>
      <c r="H1550" s="8">
        <f>HYPERLINK("https://dart.fss.or.kr/dsaf001/main.do?rcpNo=20260202000298", "공시열람")</f>
        <v/>
      </c>
    </row>
    <row r="1551">
      <c r="A1551" s="2" t="inlineStr">
        <is>
          <t>2026-02-02</t>
        </is>
      </c>
      <c r="B1551" s="3" t="inlineStr">
        <is>
          <t>삼성전자</t>
        </is>
      </c>
      <c r="C1551" s="2" t="inlineStr">
        <is>
          <t>코스피</t>
        </is>
      </c>
      <c r="D1551" s="2" t="inlineStr">
        <is>
          <t>005930</t>
        </is>
      </c>
      <c r="E1551" s="3" t="inlineStr">
        <is>
          <t>임원ㆍ주요주주특정증권등소유상황보고서</t>
        </is>
      </c>
      <c r="F1551" s="3" t="inlineStr">
        <is>
          <t>김종훈</t>
        </is>
      </c>
      <c r="G1551" s="2" t="inlineStr">
        <is>
          <t>20260202000297</t>
        </is>
      </c>
      <c r="H1551" s="8">
        <f>HYPERLINK("https://dart.fss.or.kr/dsaf001/main.do?rcpNo=20260202000297", "공시열람")</f>
        <v/>
      </c>
    </row>
    <row r="1552">
      <c r="A1552" s="2" t="inlineStr">
        <is>
          <t>2026-02-02</t>
        </is>
      </c>
      <c r="B1552" s="3" t="inlineStr">
        <is>
          <t>자이글</t>
        </is>
      </c>
      <c r="C1552" s="2" t="inlineStr">
        <is>
          <t>코스닥</t>
        </is>
      </c>
      <c r="D1552" s="2" t="inlineStr">
        <is>
          <t>234920</t>
        </is>
      </c>
      <c r="E1552" s="3" t="inlineStr">
        <is>
          <t xml:space="preserve">상장적격성실질심사관련주요개선계획(자율공시)              </t>
        </is>
      </c>
      <c r="F1552" s="3" t="inlineStr">
        <is>
          <t>자이글</t>
        </is>
      </c>
      <c r="G1552" s="2" t="inlineStr">
        <is>
          <t>20260202900605</t>
        </is>
      </c>
      <c r="H1552" s="8">
        <f>HYPERLINK("https://dart.fss.or.kr/dsaf001/main.do?rcpNo=20260202900605", "공시열람")</f>
        <v/>
      </c>
    </row>
    <row r="1553">
      <c r="A1553" s="2" t="inlineStr">
        <is>
          <t>2026-02-02</t>
        </is>
      </c>
      <c r="B1553" s="3" t="inlineStr">
        <is>
          <t>삼성전자</t>
        </is>
      </c>
      <c r="C1553" s="2" t="inlineStr">
        <is>
          <t>코스피</t>
        </is>
      </c>
      <c r="D1553" s="2" t="inlineStr">
        <is>
          <t>005930</t>
        </is>
      </c>
      <c r="E1553" s="3" t="inlineStr">
        <is>
          <t>임원ㆍ주요주주특정증권등소유상황보고서</t>
        </is>
      </c>
      <c r="F1553" s="3" t="inlineStr">
        <is>
          <t>최승림</t>
        </is>
      </c>
      <c r="G1553" s="2" t="inlineStr">
        <is>
          <t>20260202000296</t>
        </is>
      </c>
      <c r="H1553" s="8">
        <f>HYPERLINK("https://dart.fss.or.kr/dsaf001/main.do?rcpNo=20260202000296", "공시열람")</f>
        <v/>
      </c>
    </row>
    <row r="1554">
      <c r="A1554" s="2" t="inlineStr">
        <is>
          <t>2026-02-02</t>
        </is>
      </c>
      <c r="B1554" s="3" t="inlineStr">
        <is>
          <t>삼성전자</t>
        </is>
      </c>
      <c r="C1554" s="2" t="inlineStr">
        <is>
          <t>코스피</t>
        </is>
      </c>
      <c r="D1554" s="2" t="inlineStr">
        <is>
          <t>005930</t>
        </is>
      </c>
      <c r="E1554" s="3" t="inlineStr">
        <is>
          <t>임원ㆍ주요주주특정증권등소유상황보고서</t>
        </is>
      </c>
      <c r="F1554" s="3" t="inlineStr">
        <is>
          <t>송호영</t>
        </is>
      </c>
      <c r="G1554" s="2" t="inlineStr">
        <is>
          <t>20260202000295</t>
        </is>
      </c>
      <c r="H1554" s="8">
        <f>HYPERLINK("https://dart.fss.or.kr/dsaf001/main.do?rcpNo=20260202000295", "공시열람")</f>
        <v/>
      </c>
    </row>
    <row r="1555">
      <c r="A1555" s="2" t="inlineStr">
        <is>
          <t>2026-02-02</t>
        </is>
      </c>
      <c r="B1555" s="3" t="inlineStr">
        <is>
          <t>삼성전자</t>
        </is>
      </c>
      <c r="C1555" s="2" t="inlineStr">
        <is>
          <t>코스피</t>
        </is>
      </c>
      <c r="D1555" s="2" t="inlineStr">
        <is>
          <t>005930</t>
        </is>
      </c>
      <c r="E1555" s="3" t="inlineStr">
        <is>
          <t>임원ㆍ주요주주특정증권등소유상황보고서</t>
        </is>
      </c>
      <c r="F1555" s="3" t="inlineStr">
        <is>
          <t>박종만</t>
        </is>
      </c>
      <c r="G1555" s="2" t="inlineStr">
        <is>
          <t>20260202000294</t>
        </is>
      </c>
      <c r="H1555" s="8">
        <f>HYPERLINK("https://dart.fss.or.kr/dsaf001/main.do?rcpNo=20260202000294", "공시열람")</f>
        <v/>
      </c>
    </row>
    <row r="1556">
      <c r="A1556" s="2" t="inlineStr">
        <is>
          <t>2026-02-02</t>
        </is>
      </c>
      <c r="B1556" s="3" t="inlineStr">
        <is>
          <t>삼성전자</t>
        </is>
      </c>
      <c r="C1556" s="2" t="inlineStr">
        <is>
          <t>코스피</t>
        </is>
      </c>
      <c r="D1556" s="2" t="inlineStr">
        <is>
          <t>005930</t>
        </is>
      </c>
      <c r="E1556" s="3" t="inlineStr">
        <is>
          <t>임원ㆍ주요주주특정증권등소유상황보고서</t>
        </is>
      </c>
      <c r="F1556" s="3" t="inlineStr">
        <is>
          <t>오형석</t>
        </is>
      </c>
      <c r="G1556" s="2" t="inlineStr">
        <is>
          <t>20260202000293</t>
        </is>
      </c>
      <c r="H1556" s="8">
        <f>HYPERLINK("https://dart.fss.or.kr/dsaf001/main.do?rcpNo=20260202000293", "공시열람")</f>
        <v/>
      </c>
    </row>
    <row r="1557">
      <c r="A1557" s="2" t="inlineStr">
        <is>
          <t>2026-02-02</t>
        </is>
      </c>
      <c r="B1557" s="3" t="inlineStr">
        <is>
          <t>에스앤에스텍</t>
        </is>
      </c>
      <c r="C1557" s="2" t="inlineStr">
        <is>
          <t>코스닥</t>
        </is>
      </c>
      <c r="D1557" s="2" t="inlineStr">
        <is>
          <t>101490</t>
        </is>
      </c>
      <c r="E1557" s="3" t="inlineStr">
        <is>
          <t xml:space="preserve">기업설명회(IR)개최              </t>
        </is>
      </c>
      <c r="F1557" s="3" t="inlineStr">
        <is>
          <t>에스앤에스텍</t>
        </is>
      </c>
      <c r="G1557" s="2" t="inlineStr">
        <is>
          <t>20260202900610</t>
        </is>
      </c>
      <c r="H1557" s="8">
        <f>HYPERLINK("https://dart.fss.or.kr/dsaf001/main.do?rcpNo=20260202900610", "공시열람")</f>
        <v/>
      </c>
    </row>
    <row r="1558">
      <c r="A1558" s="2" t="inlineStr">
        <is>
          <t>2026-02-02</t>
        </is>
      </c>
      <c r="B1558" s="3" t="inlineStr">
        <is>
          <t>삼성전자</t>
        </is>
      </c>
      <c r="C1558" s="2" t="inlineStr">
        <is>
          <t>코스피</t>
        </is>
      </c>
      <c r="D1558" s="2" t="inlineStr">
        <is>
          <t>005930</t>
        </is>
      </c>
      <c r="E1558" s="3" t="inlineStr">
        <is>
          <t>임원ㆍ주요주주특정증권등소유상황보고서</t>
        </is>
      </c>
      <c r="F1558" s="3" t="inlineStr">
        <is>
          <t>김건우</t>
        </is>
      </c>
      <c r="G1558" s="2" t="inlineStr">
        <is>
          <t>20260202000292</t>
        </is>
      </c>
      <c r="H1558" s="8">
        <f>HYPERLINK("https://dart.fss.or.kr/dsaf001/main.do?rcpNo=20260202000292", "공시열람")</f>
        <v/>
      </c>
    </row>
    <row r="1559">
      <c r="A1559" s="2" t="inlineStr">
        <is>
          <t>2026-02-02</t>
        </is>
      </c>
      <c r="B1559" s="3" t="inlineStr">
        <is>
          <t>삼성전자</t>
        </is>
      </c>
      <c r="C1559" s="2" t="inlineStr">
        <is>
          <t>코스피</t>
        </is>
      </c>
      <c r="D1559" s="2" t="inlineStr">
        <is>
          <t>005930</t>
        </is>
      </c>
      <c r="E1559" s="3" t="inlineStr">
        <is>
          <t>임원ㆍ주요주주특정증권등소유상황보고서</t>
        </is>
      </c>
      <c r="F1559" s="3" t="inlineStr">
        <is>
          <t>우영돈</t>
        </is>
      </c>
      <c r="G1559" s="2" t="inlineStr">
        <is>
          <t>20260202000290</t>
        </is>
      </c>
      <c r="H1559" s="8">
        <f>HYPERLINK("https://dart.fss.or.kr/dsaf001/main.do?rcpNo=20260202000290", "공시열람")</f>
        <v/>
      </c>
    </row>
    <row r="1560">
      <c r="A1560" s="2" t="inlineStr">
        <is>
          <t>2026-02-02</t>
        </is>
      </c>
      <c r="B1560" s="3" t="inlineStr">
        <is>
          <t>삼성전자</t>
        </is>
      </c>
      <c r="C1560" s="2" t="inlineStr">
        <is>
          <t>코스피</t>
        </is>
      </c>
      <c r="D1560" s="2" t="inlineStr">
        <is>
          <t>005930</t>
        </is>
      </c>
      <c r="E1560" s="3" t="inlineStr">
        <is>
          <t>임원ㆍ주요주주특정증권등소유상황보고서</t>
        </is>
      </c>
      <c r="F1560" s="3" t="inlineStr">
        <is>
          <t>선동석</t>
        </is>
      </c>
      <c r="G1560" s="2" t="inlineStr">
        <is>
          <t>20260202000289</t>
        </is>
      </c>
      <c r="H1560" s="8">
        <f>HYPERLINK("https://dart.fss.or.kr/dsaf001/main.do?rcpNo=20260202000289", "공시열람")</f>
        <v/>
      </c>
    </row>
    <row r="1561">
      <c r="A1561" s="2" t="inlineStr">
        <is>
          <t>2026-02-02</t>
        </is>
      </c>
      <c r="B1561" s="3" t="inlineStr">
        <is>
          <t>삼성전자</t>
        </is>
      </c>
      <c r="C1561" s="2" t="inlineStr">
        <is>
          <t>코스피</t>
        </is>
      </c>
      <c r="D1561" s="2" t="inlineStr">
        <is>
          <t>005930</t>
        </is>
      </c>
      <c r="E1561" s="3" t="inlineStr">
        <is>
          <t>임원ㆍ주요주주특정증권등소유상황보고서</t>
        </is>
      </c>
      <c r="F1561" s="3" t="inlineStr">
        <is>
          <t>이종민</t>
        </is>
      </c>
      <c r="G1561" s="2" t="inlineStr">
        <is>
          <t>20260202000288</t>
        </is>
      </c>
      <c r="H1561" s="8">
        <f>HYPERLINK("https://dart.fss.or.kr/dsaf001/main.do?rcpNo=20260202000288", "공시열람")</f>
        <v/>
      </c>
    </row>
    <row r="1562">
      <c r="A1562" s="2" t="inlineStr">
        <is>
          <t>2026-02-02</t>
        </is>
      </c>
      <c r="B1562" s="3" t="inlineStr">
        <is>
          <t>삼성SDI</t>
        </is>
      </c>
      <c r="C1562" s="2" t="inlineStr">
        <is>
          <t>코스피</t>
        </is>
      </c>
      <c r="D1562" s="2" t="inlineStr">
        <is>
          <t>006400</t>
        </is>
      </c>
      <c r="E1562" s="3" t="inlineStr">
        <is>
          <t>동일인등출자계열회사와의상품ㆍ용역거래</t>
        </is>
      </c>
      <c r="F1562" s="3" t="inlineStr">
        <is>
          <t>삼성SDI</t>
        </is>
      </c>
      <c r="G1562" s="2" t="inlineStr">
        <is>
          <t>20260202000286</t>
        </is>
      </c>
      <c r="H1562" s="8">
        <f>HYPERLINK("https://dart.fss.or.kr/dsaf001/main.do?rcpNo=20260202000286", "공시열람")</f>
        <v/>
      </c>
    </row>
    <row r="1563">
      <c r="A1563" s="2" t="inlineStr">
        <is>
          <t>2026-02-02</t>
        </is>
      </c>
      <c r="B1563" s="3" t="inlineStr">
        <is>
          <t>삼성전자</t>
        </is>
      </c>
      <c r="C1563" s="2" t="inlineStr">
        <is>
          <t>코스피</t>
        </is>
      </c>
      <c r="D1563" s="2" t="inlineStr">
        <is>
          <t>005930</t>
        </is>
      </c>
      <c r="E1563" s="3" t="inlineStr">
        <is>
          <t>임원ㆍ주요주주특정증권등소유상황보고서</t>
        </is>
      </c>
      <c r="F1563" s="3" t="inlineStr">
        <is>
          <t>서성기</t>
        </is>
      </c>
      <c r="G1563" s="2" t="inlineStr">
        <is>
          <t>20260202000285</t>
        </is>
      </c>
      <c r="H1563" s="8">
        <f>HYPERLINK("https://dart.fss.or.kr/dsaf001/main.do?rcpNo=20260202000285", "공시열람")</f>
        <v/>
      </c>
    </row>
    <row r="1564">
      <c r="A1564" s="2" t="inlineStr">
        <is>
          <t>2026-02-02</t>
        </is>
      </c>
      <c r="B1564" s="3" t="inlineStr">
        <is>
          <t>삼성전자</t>
        </is>
      </c>
      <c r="C1564" s="2" t="inlineStr">
        <is>
          <t>코스피</t>
        </is>
      </c>
      <c r="D1564" s="2" t="inlineStr">
        <is>
          <t>005930</t>
        </is>
      </c>
      <c r="E1564" s="3" t="inlineStr">
        <is>
          <t>임원ㆍ주요주주특정증권등소유상황보고서</t>
        </is>
      </c>
      <c r="F1564" s="3" t="inlineStr">
        <is>
          <t>주형빈</t>
        </is>
      </c>
      <c r="G1564" s="2" t="inlineStr">
        <is>
          <t>20260202000284</t>
        </is>
      </c>
      <c r="H1564" s="8">
        <f>HYPERLINK("https://dart.fss.or.kr/dsaf001/main.do?rcpNo=20260202000284", "공시열람")</f>
        <v/>
      </c>
    </row>
    <row r="1565">
      <c r="A1565" s="2" t="inlineStr">
        <is>
          <t>2026-02-02</t>
        </is>
      </c>
      <c r="B1565" s="3" t="inlineStr">
        <is>
          <t>삼성전자</t>
        </is>
      </c>
      <c r="C1565" s="2" t="inlineStr">
        <is>
          <t>코스피</t>
        </is>
      </c>
      <c r="D1565" s="2" t="inlineStr">
        <is>
          <t>005930</t>
        </is>
      </c>
      <c r="E1565" s="3" t="inlineStr">
        <is>
          <t>임원ㆍ주요주주특정증권등소유상황보고서</t>
        </is>
      </c>
      <c r="F1565" s="3" t="inlineStr">
        <is>
          <t>윤하룡</t>
        </is>
      </c>
      <c r="G1565" s="2" t="inlineStr">
        <is>
          <t>20260202000283</t>
        </is>
      </c>
      <c r="H1565" s="8">
        <f>HYPERLINK("https://dart.fss.or.kr/dsaf001/main.do?rcpNo=20260202000283", "공시열람")</f>
        <v/>
      </c>
    </row>
    <row r="1566">
      <c r="A1566" s="2" t="inlineStr">
        <is>
          <t>2026-02-02</t>
        </is>
      </c>
      <c r="B1566" s="3" t="inlineStr">
        <is>
          <t>삼성전자</t>
        </is>
      </c>
      <c r="C1566" s="2" t="inlineStr">
        <is>
          <t>코스피</t>
        </is>
      </c>
      <c r="D1566" s="2" t="inlineStr">
        <is>
          <t>005930</t>
        </is>
      </c>
      <c r="E1566" s="3" t="inlineStr">
        <is>
          <t>임원ㆍ주요주주특정증권등소유상황보고서</t>
        </is>
      </c>
      <c r="F1566" s="3" t="inlineStr">
        <is>
          <t>김재홍</t>
        </is>
      </c>
      <c r="G1566" s="2" t="inlineStr">
        <is>
          <t>20260202000281</t>
        </is>
      </c>
      <c r="H1566" s="8">
        <f>HYPERLINK("https://dart.fss.or.kr/dsaf001/main.do?rcpNo=20260202000281", "공시열람")</f>
        <v/>
      </c>
    </row>
    <row r="1567">
      <c r="A1567" s="2" t="inlineStr">
        <is>
          <t>2026-02-02</t>
        </is>
      </c>
      <c r="B1567" s="3" t="inlineStr">
        <is>
          <t>삼성전자</t>
        </is>
      </c>
      <c r="C1567" s="2" t="inlineStr">
        <is>
          <t>코스피</t>
        </is>
      </c>
      <c r="D1567" s="2" t="inlineStr">
        <is>
          <t>005930</t>
        </is>
      </c>
      <c r="E1567" s="3" t="inlineStr">
        <is>
          <t>임원ㆍ주요주주특정증권등소유상황보고서</t>
        </is>
      </c>
      <c r="F1567" s="3" t="inlineStr">
        <is>
          <t>정인호</t>
        </is>
      </c>
      <c r="G1567" s="2" t="inlineStr">
        <is>
          <t>20260202000279</t>
        </is>
      </c>
      <c r="H1567" s="8">
        <f>HYPERLINK("https://dart.fss.or.kr/dsaf001/main.do?rcpNo=20260202000279", "공시열람")</f>
        <v/>
      </c>
    </row>
    <row r="1568">
      <c r="A1568" s="2" t="inlineStr">
        <is>
          <t>2026-02-02</t>
        </is>
      </c>
      <c r="B1568" s="3" t="inlineStr">
        <is>
          <t>삼성전자</t>
        </is>
      </c>
      <c r="C1568" s="2" t="inlineStr">
        <is>
          <t>코스피</t>
        </is>
      </c>
      <c r="D1568" s="2" t="inlineStr">
        <is>
          <t>005930</t>
        </is>
      </c>
      <c r="E1568" s="3" t="inlineStr">
        <is>
          <t>임원ㆍ주요주주특정증권등소유상황보고서</t>
        </is>
      </c>
      <c r="F1568" s="3" t="inlineStr">
        <is>
          <t>박철웅</t>
        </is>
      </c>
      <c r="G1568" s="2" t="inlineStr">
        <is>
          <t>20260202000277</t>
        </is>
      </c>
      <c r="H1568" s="8">
        <f>HYPERLINK("https://dart.fss.or.kr/dsaf001/main.do?rcpNo=20260202000277", "공시열람")</f>
        <v/>
      </c>
    </row>
    <row r="1569">
      <c r="A1569" s="2" t="inlineStr">
        <is>
          <t>2026-02-02</t>
        </is>
      </c>
      <c r="B1569" s="3" t="inlineStr">
        <is>
          <t>삼성전자</t>
        </is>
      </c>
      <c r="C1569" s="2" t="inlineStr">
        <is>
          <t>코스피</t>
        </is>
      </c>
      <c r="D1569" s="2" t="inlineStr">
        <is>
          <t>005930</t>
        </is>
      </c>
      <c r="E1569" s="3" t="inlineStr">
        <is>
          <t>임원ㆍ주요주주특정증권등소유상황보고서</t>
        </is>
      </c>
      <c r="F1569" s="3" t="inlineStr">
        <is>
          <t>김현근</t>
        </is>
      </c>
      <c r="G1569" s="2" t="inlineStr">
        <is>
          <t>20260202000276</t>
        </is>
      </c>
      <c r="H1569" s="8">
        <f>HYPERLINK("https://dart.fss.or.kr/dsaf001/main.do?rcpNo=20260202000276", "공시열람")</f>
        <v/>
      </c>
    </row>
    <row r="1570">
      <c r="A1570" s="2" t="inlineStr">
        <is>
          <t>2026-02-02</t>
        </is>
      </c>
      <c r="B1570" s="3" t="inlineStr">
        <is>
          <t>삼성전자</t>
        </is>
      </c>
      <c r="C1570" s="2" t="inlineStr">
        <is>
          <t>코스피</t>
        </is>
      </c>
      <c r="D1570" s="2" t="inlineStr">
        <is>
          <t>005930</t>
        </is>
      </c>
      <c r="E1570" s="3" t="inlineStr">
        <is>
          <t>임원ㆍ주요주주특정증권등소유상황보고서</t>
        </is>
      </c>
      <c r="F1570" s="3" t="inlineStr">
        <is>
          <t>이근수</t>
        </is>
      </c>
      <c r="G1570" s="2" t="inlineStr">
        <is>
          <t>20260202000274</t>
        </is>
      </c>
      <c r="H1570" s="8">
        <f>HYPERLINK("https://dart.fss.or.kr/dsaf001/main.do?rcpNo=20260202000274", "공시열람")</f>
        <v/>
      </c>
    </row>
    <row r="1571">
      <c r="A1571" s="2" t="inlineStr">
        <is>
          <t>2026-02-02</t>
        </is>
      </c>
      <c r="B1571" s="3" t="inlineStr">
        <is>
          <t>삼성전자</t>
        </is>
      </c>
      <c r="C1571" s="2" t="inlineStr">
        <is>
          <t>코스피</t>
        </is>
      </c>
      <c r="D1571" s="2" t="inlineStr">
        <is>
          <t>005930</t>
        </is>
      </c>
      <c r="E1571" s="3" t="inlineStr">
        <is>
          <t>임원ㆍ주요주주특정증권등소유상황보고서</t>
        </is>
      </c>
      <c r="F1571" s="3" t="inlineStr">
        <is>
          <t>손태용</t>
        </is>
      </c>
      <c r="G1571" s="2" t="inlineStr">
        <is>
          <t>20260202000272</t>
        </is>
      </c>
      <c r="H1571" s="8">
        <f>HYPERLINK("https://dart.fss.or.kr/dsaf001/main.do?rcpNo=20260202000272", "공시열람")</f>
        <v/>
      </c>
    </row>
    <row r="1572">
      <c r="A1572" s="2" t="inlineStr">
        <is>
          <t>2026-02-02</t>
        </is>
      </c>
      <c r="B1572" s="3" t="inlineStr">
        <is>
          <t>삼성전자</t>
        </is>
      </c>
      <c r="C1572" s="2" t="inlineStr">
        <is>
          <t>코스피</t>
        </is>
      </c>
      <c r="D1572" s="2" t="inlineStr">
        <is>
          <t>005930</t>
        </is>
      </c>
      <c r="E1572" s="3" t="inlineStr">
        <is>
          <t>임원ㆍ주요주주특정증권등소유상황보고서</t>
        </is>
      </c>
      <c r="F1572" s="3" t="inlineStr">
        <is>
          <t>신경섭</t>
        </is>
      </c>
      <c r="G1572" s="2" t="inlineStr">
        <is>
          <t>20260202000270</t>
        </is>
      </c>
      <c r="H1572" s="8">
        <f>HYPERLINK("https://dart.fss.or.kr/dsaf001/main.do?rcpNo=20260202000270", "공시열람")</f>
        <v/>
      </c>
    </row>
    <row r="1573">
      <c r="A1573" s="2" t="inlineStr">
        <is>
          <t>2026-02-02</t>
        </is>
      </c>
      <c r="B1573" s="3" t="inlineStr">
        <is>
          <t>삼성전자</t>
        </is>
      </c>
      <c r="C1573" s="2" t="inlineStr">
        <is>
          <t>코스피</t>
        </is>
      </c>
      <c r="D1573" s="2" t="inlineStr">
        <is>
          <t>005930</t>
        </is>
      </c>
      <c r="E1573" s="3" t="inlineStr">
        <is>
          <t>임원ㆍ주요주주특정증권등소유상황보고서</t>
        </is>
      </c>
      <c r="F1573" s="3" t="inlineStr">
        <is>
          <t>강동우</t>
        </is>
      </c>
      <c r="G1573" s="2" t="inlineStr">
        <is>
          <t>20260202000269</t>
        </is>
      </c>
      <c r="H1573" s="8">
        <f>HYPERLINK("https://dart.fss.or.kr/dsaf001/main.do?rcpNo=20260202000269", "공시열람")</f>
        <v/>
      </c>
    </row>
    <row r="1574">
      <c r="A1574" s="2" t="inlineStr">
        <is>
          <t>2026-02-02</t>
        </is>
      </c>
      <c r="B1574" s="3" t="inlineStr">
        <is>
          <t>삼성전자</t>
        </is>
      </c>
      <c r="C1574" s="2" t="inlineStr">
        <is>
          <t>코스피</t>
        </is>
      </c>
      <c r="D1574" s="2" t="inlineStr">
        <is>
          <t>005930</t>
        </is>
      </c>
      <c r="E1574" s="3" t="inlineStr">
        <is>
          <t>임원ㆍ주요주주특정증권등소유상황보고서</t>
        </is>
      </c>
      <c r="F1574" s="3" t="inlineStr">
        <is>
          <t>손석준</t>
        </is>
      </c>
      <c r="G1574" s="2" t="inlineStr">
        <is>
          <t>20260202000267</t>
        </is>
      </c>
      <c r="H1574" s="8">
        <f>HYPERLINK("https://dart.fss.or.kr/dsaf001/main.do?rcpNo=20260202000267", "공시열람")</f>
        <v/>
      </c>
    </row>
    <row r="1575">
      <c r="A1575" s="2" t="inlineStr">
        <is>
          <t>2026-02-02</t>
        </is>
      </c>
      <c r="B1575" s="3" t="inlineStr">
        <is>
          <t>삼성전자</t>
        </is>
      </c>
      <c r="C1575" s="2" t="inlineStr">
        <is>
          <t>코스피</t>
        </is>
      </c>
      <c r="D1575" s="2" t="inlineStr">
        <is>
          <t>005930</t>
        </is>
      </c>
      <c r="E1575" s="3" t="inlineStr">
        <is>
          <t>임원ㆍ주요주주특정증권등소유상황보고서</t>
        </is>
      </c>
      <c r="F1575" s="3" t="inlineStr">
        <is>
          <t>전대호</t>
        </is>
      </c>
      <c r="G1575" s="2" t="inlineStr">
        <is>
          <t>20260202000265</t>
        </is>
      </c>
      <c r="H1575" s="8">
        <f>HYPERLINK("https://dart.fss.or.kr/dsaf001/main.do?rcpNo=20260202000265", "공시열람")</f>
        <v/>
      </c>
    </row>
    <row r="1576">
      <c r="A1576" s="2" t="inlineStr">
        <is>
          <t>2026-02-02</t>
        </is>
      </c>
      <c r="B1576" s="3" t="inlineStr">
        <is>
          <t>삼성전자</t>
        </is>
      </c>
      <c r="C1576" s="2" t="inlineStr">
        <is>
          <t>코스피</t>
        </is>
      </c>
      <c r="D1576" s="2" t="inlineStr">
        <is>
          <t>005930</t>
        </is>
      </c>
      <c r="E1576" s="3" t="inlineStr">
        <is>
          <t>임원ㆍ주요주주특정증권등소유상황보고서</t>
        </is>
      </c>
      <c r="F1576" s="3" t="inlineStr">
        <is>
          <t>이병철</t>
        </is>
      </c>
      <c r="G1576" s="2" t="inlineStr">
        <is>
          <t>20260202000264</t>
        </is>
      </c>
      <c r="H1576" s="8">
        <f>HYPERLINK("https://dart.fss.or.kr/dsaf001/main.do?rcpNo=20260202000264", "공시열람")</f>
        <v/>
      </c>
    </row>
    <row r="1577">
      <c r="A1577" s="2" t="inlineStr">
        <is>
          <t>2026-02-02</t>
        </is>
      </c>
      <c r="B1577" s="3" t="inlineStr">
        <is>
          <t>삼성전자</t>
        </is>
      </c>
      <c r="C1577" s="2" t="inlineStr">
        <is>
          <t>코스피</t>
        </is>
      </c>
      <c r="D1577" s="2" t="inlineStr">
        <is>
          <t>005930</t>
        </is>
      </c>
      <c r="E1577" s="3" t="inlineStr">
        <is>
          <t>임원ㆍ주요주주특정증권등소유상황보고서</t>
        </is>
      </c>
      <c r="F1577" s="3" t="inlineStr">
        <is>
          <t>최창훈</t>
        </is>
      </c>
      <c r="G1577" s="2" t="inlineStr">
        <is>
          <t>20260202000263</t>
        </is>
      </c>
      <c r="H1577" s="8">
        <f>HYPERLINK("https://dart.fss.or.kr/dsaf001/main.do?rcpNo=20260202000263", "공시열람")</f>
        <v/>
      </c>
    </row>
    <row r="1578">
      <c r="A1578" s="2" t="inlineStr">
        <is>
          <t>2026-02-02</t>
        </is>
      </c>
      <c r="B1578" s="3" t="inlineStr">
        <is>
          <t>삼성전자</t>
        </is>
      </c>
      <c r="C1578" s="2" t="inlineStr">
        <is>
          <t>코스피</t>
        </is>
      </c>
      <c r="D1578" s="2" t="inlineStr">
        <is>
          <t>005930</t>
        </is>
      </c>
      <c r="E1578" s="3" t="inlineStr">
        <is>
          <t>임원ㆍ주요주주특정증권등소유상황보고서</t>
        </is>
      </c>
      <c r="F1578" s="3" t="inlineStr">
        <is>
          <t>오준영</t>
        </is>
      </c>
      <c r="G1578" s="2" t="inlineStr">
        <is>
          <t>20260202000262</t>
        </is>
      </c>
      <c r="H1578" s="8">
        <f>HYPERLINK("https://dart.fss.or.kr/dsaf001/main.do?rcpNo=20260202000262", "공시열람")</f>
        <v/>
      </c>
    </row>
    <row r="1579">
      <c r="A1579" s="2" t="inlineStr">
        <is>
          <t>2026-02-02</t>
        </is>
      </c>
      <c r="B1579" s="3" t="inlineStr">
        <is>
          <t>삼성전자</t>
        </is>
      </c>
      <c r="C1579" s="2" t="inlineStr">
        <is>
          <t>코스피</t>
        </is>
      </c>
      <c r="D1579" s="2" t="inlineStr">
        <is>
          <t>005930</t>
        </is>
      </c>
      <c r="E1579" s="3" t="inlineStr">
        <is>
          <t>임원ㆍ주요주주특정증권등소유상황보고서</t>
        </is>
      </c>
      <c r="F1579" s="3" t="inlineStr">
        <is>
          <t>KIMJIYOON</t>
        </is>
      </c>
      <c r="G1579" s="2" t="inlineStr">
        <is>
          <t>20260202000261</t>
        </is>
      </c>
      <c r="H1579" s="8">
        <f>HYPERLINK("https://dart.fss.or.kr/dsaf001/main.do?rcpNo=20260202000261", "공시열람")</f>
        <v/>
      </c>
    </row>
    <row r="1580">
      <c r="A1580" s="2" t="inlineStr">
        <is>
          <t>2026-02-02</t>
        </is>
      </c>
      <c r="B1580" s="3" t="inlineStr">
        <is>
          <t>삼성전자</t>
        </is>
      </c>
      <c r="C1580" s="2" t="inlineStr">
        <is>
          <t>코스피</t>
        </is>
      </c>
      <c r="D1580" s="2" t="inlineStr">
        <is>
          <t>005930</t>
        </is>
      </c>
      <c r="E1580" s="3" t="inlineStr">
        <is>
          <t>임원ㆍ주요주주특정증권등소유상황보고서</t>
        </is>
      </c>
      <c r="F1580" s="3" t="inlineStr">
        <is>
          <t>최진필</t>
        </is>
      </c>
      <c r="G1580" s="2" t="inlineStr">
        <is>
          <t>20260202000260</t>
        </is>
      </c>
      <c r="H1580" s="8">
        <f>HYPERLINK("https://dart.fss.or.kr/dsaf001/main.do?rcpNo=20260202000260", "공시열람")</f>
        <v/>
      </c>
    </row>
    <row r="1581">
      <c r="A1581" s="2" t="inlineStr">
        <is>
          <t>2026-02-02</t>
        </is>
      </c>
      <c r="B1581" s="3" t="inlineStr">
        <is>
          <t>삼성전자</t>
        </is>
      </c>
      <c r="C1581" s="2" t="inlineStr">
        <is>
          <t>코스피</t>
        </is>
      </c>
      <c r="D1581" s="2" t="inlineStr">
        <is>
          <t>005930</t>
        </is>
      </c>
      <c r="E1581" s="3" t="inlineStr">
        <is>
          <t>임원ㆍ주요주주특정증권등소유상황보고서</t>
        </is>
      </c>
      <c r="F1581" s="3" t="inlineStr">
        <is>
          <t>이석원</t>
        </is>
      </c>
      <c r="G1581" s="2" t="inlineStr">
        <is>
          <t>20260202000259</t>
        </is>
      </c>
      <c r="H1581" s="8">
        <f>HYPERLINK("https://dart.fss.or.kr/dsaf001/main.do?rcpNo=20260202000259", "공시열람")</f>
        <v/>
      </c>
    </row>
    <row r="1582">
      <c r="A1582" s="2" t="inlineStr">
        <is>
          <t>2026-02-02</t>
        </is>
      </c>
      <c r="B1582" s="3" t="inlineStr">
        <is>
          <t>삼성전자</t>
        </is>
      </c>
      <c r="C1582" s="2" t="inlineStr">
        <is>
          <t>코스피</t>
        </is>
      </c>
      <c r="D1582" s="2" t="inlineStr">
        <is>
          <t>005930</t>
        </is>
      </c>
      <c r="E1582" s="3" t="inlineStr">
        <is>
          <t>임원ㆍ주요주주특정증권등소유상황보고서</t>
        </is>
      </c>
      <c r="F1582" s="3" t="inlineStr">
        <is>
          <t>손호민</t>
        </is>
      </c>
      <c r="G1582" s="2" t="inlineStr">
        <is>
          <t>20260202000258</t>
        </is>
      </c>
      <c r="H1582" s="8">
        <f>HYPERLINK("https://dart.fss.or.kr/dsaf001/main.do?rcpNo=20260202000258", "공시열람")</f>
        <v/>
      </c>
    </row>
    <row r="1583">
      <c r="A1583" s="2" t="inlineStr">
        <is>
          <t>2026-02-02</t>
        </is>
      </c>
      <c r="B1583" s="3" t="inlineStr">
        <is>
          <t>삼성전자</t>
        </is>
      </c>
      <c r="C1583" s="2" t="inlineStr">
        <is>
          <t>코스피</t>
        </is>
      </c>
      <c r="D1583" s="2" t="inlineStr">
        <is>
          <t>005930</t>
        </is>
      </c>
      <c r="E1583" s="3" t="inlineStr">
        <is>
          <t>임원ㆍ주요주주특정증권등소유상황보고서</t>
        </is>
      </c>
      <c r="F1583" s="3" t="inlineStr">
        <is>
          <t>이정호</t>
        </is>
      </c>
      <c r="G1583" s="2" t="inlineStr">
        <is>
          <t>20260202000257</t>
        </is>
      </c>
      <c r="H1583" s="8">
        <f>HYPERLINK("https://dart.fss.or.kr/dsaf001/main.do?rcpNo=20260202000257", "공시열람")</f>
        <v/>
      </c>
    </row>
    <row r="1584">
      <c r="A1584" s="2" t="inlineStr">
        <is>
          <t>2026-02-02</t>
        </is>
      </c>
      <c r="B1584" s="3" t="inlineStr">
        <is>
          <t>삼성전자</t>
        </is>
      </c>
      <c r="C1584" s="2" t="inlineStr">
        <is>
          <t>코스피</t>
        </is>
      </c>
      <c r="D1584" s="2" t="inlineStr">
        <is>
          <t>005930</t>
        </is>
      </c>
      <c r="E1584" s="3" t="inlineStr">
        <is>
          <t>임원ㆍ주요주주특정증권등소유상황보고서</t>
        </is>
      </c>
      <c r="F1584" s="3" t="inlineStr">
        <is>
          <t>신승주</t>
        </is>
      </c>
      <c r="G1584" s="2" t="inlineStr">
        <is>
          <t>20260202000256</t>
        </is>
      </c>
      <c r="H1584" s="8">
        <f>HYPERLINK("https://dart.fss.or.kr/dsaf001/main.do?rcpNo=20260202000256", "공시열람")</f>
        <v/>
      </c>
    </row>
    <row r="1585">
      <c r="A1585" s="2" t="inlineStr">
        <is>
          <t>2026-02-02</t>
        </is>
      </c>
      <c r="B1585" s="3" t="inlineStr">
        <is>
          <t>삼성전자</t>
        </is>
      </c>
      <c r="C1585" s="2" t="inlineStr">
        <is>
          <t>코스피</t>
        </is>
      </c>
      <c r="D1585" s="2" t="inlineStr">
        <is>
          <t>005930</t>
        </is>
      </c>
      <c r="E1585" s="3" t="inlineStr">
        <is>
          <t>임원ㆍ주요주주특정증권등소유상황보고서</t>
        </is>
      </c>
      <c r="F1585" s="3" t="inlineStr">
        <is>
          <t>김진교</t>
        </is>
      </c>
      <c r="G1585" s="2" t="inlineStr">
        <is>
          <t>20260202000255</t>
        </is>
      </c>
      <c r="H1585" s="8">
        <f>HYPERLINK("https://dart.fss.or.kr/dsaf001/main.do?rcpNo=20260202000255", "공시열람")</f>
        <v/>
      </c>
    </row>
    <row r="1586">
      <c r="A1586" s="2" t="inlineStr">
        <is>
          <t>2026-02-02</t>
        </is>
      </c>
      <c r="B1586" s="3" t="inlineStr">
        <is>
          <t>삼성전자</t>
        </is>
      </c>
      <c r="C1586" s="2" t="inlineStr">
        <is>
          <t>코스피</t>
        </is>
      </c>
      <c r="D1586" s="2" t="inlineStr">
        <is>
          <t>005930</t>
        </is>
      </c>
      <c r="E1586" s="3" t="inlineStr">
        <is>
          <t>임원ㆍ주요주주특정증권등소유상황보고서</t>
        </is>
      </c>
      <c r="F1586" s="3" t="inlineStr">
        <is>
          <t>최재혁</t>
        </is>
      </c>
      <c r="G1586" s="2" t="inlineStr">
        <is>
          <t>20260202000254</t>
        </is>
      </c>
      <c r="H1586" s="8">
        <f>HYPERLINK("https://dart.fss.or.kr/dsaf001/main.do?rcpNo=20260202000254", "공시열람")</f>
        <v/>
      </c>
    </row>
    <row r="1587">
      <c r="A1587" s="2" t="inlineStr">
        <is>
          <t>2026-02-02</t>
        </is>
      </c>
      <c r="B1587" s="3" t="inlineStr">
        <is>
          <t>삼성전자</t>
        </is>
      </c>
      <c r="C1587" s="2" t="inlineStr">
        <is>
          <t>코스피</t>
        </is>
      </c>
      <c r="D1587" s="2" t="inlineStr">
        <is>
          <t>005930</t>
        </is>
      </c>
      <c r="E1587" s="3" t="inlineStr">
        <is>
          <t>임원ㆍ주요주주특정증권등소유상황보고서</t>
        </is>
      </c>
      <c r="F1587" s="3" t="inlineStr">
        <is>
          <t>이정자</t>
        </is>
      </c>
      <c r="G1587" s="2" t="inlineStr">
        <is>
          <t>20260202000253</t>
        </is>
      </c>
      <c r="H1587" s="8">
        <f>HYPERLINK("https://dart.fss.or.kr/dsaf001/main.do?rcpNo=20260202000253", "공시열람")</f>
        <v/>
      </c>
    </row>
    <row r="1588">
      <c r="A1588" s="2" t="inlineStr">
        <is>
          <t>2026-02-02</t>
        </is>
      </c>
      <c r="B1588" s="3" t="inlineStr">
        <is>
          <t>한화투자증권</t>
        </is>
      </c>
      <c r="C1588" s="2" t="inlineStr">
        <is>
          <t>코스피</t>
        </is>
      </c>
      <c r="D1588" s="2" t="inlineStr">
        <is>
          <t>003530</t>
        </is>
      </c>
      <c r="E1588" s="3" t="inlineStr">
        <is>
          <t>증권발행실적보고서</t>
        </is>
      </c>
      <c r="F1588" s="3" t="inlineStr">
        <is>
          <t>한화투자증권</t>
        </is>
      </c>
      <c r="G1588" s="2" t="inlineStr">
        <is>
          <t>20260202000252</t>
        </is>
      </c>
      <c r="H1588" s="8">
        <f>HYPERLINK("https://dart.fss.or.kr/dsaf001/main.do?rcpNo=20260202000252", "공시열람")</f>
        <v/>
      </c>
    </row>
    <row r="1589">
      <c r="A1589" s="2" t="inlineStr">
        <is>
          <t>2026-02-02</t>
        </is>
      </c>
      <c r="B1589" s="3" t="inlineStr">
        <is>
          <t>삼성전자</t>
        </is>
      </c>
      <c r="C1589" s="2" t="inlineStr">
        <is>
          <t>코스피</t>
        </is>
      </c>
      <c r="D1589" s="2" t="inlineStr">
        <is>
          <t>005930</t>
        </is>
      </c>
      <c r="E1589" s="3" t="inlineStr">
        <is>
          <t>임원ㆍ주요주주특정증권등소유상황보고서</t>
        </is>
      </c>
      <c r="F1589" s="3" t="inlineStr">
        <is>
          <t>조영준</t>
        </is>
      </c>
      <c r="G1589" s="2" t="inlineStr">
        <is>
          <t>20260202000251</t>
        </is>
      </c>
      <c r="H1589" s="8">
        <f>HYPERLINK("https://dart.fss.or.kr/dsaf001/main.do?rcpNo=20260202000251", "공시열람")</f>
        <v/>
      </c>
    </row>
    <row r="1590">
      <c r="A1590" s="2" t="inlineStr">
        <is>
          <t>2026-02-02</t>
        </is>
      </c>
      <c r="B1590" s="3" t="inlineStr">
        <is>
          <t>삼성전자</t>
        </is>
      </c>
      <c r="C1590" s="2" t="inlineStr">
        <is>
          <t>코스피</t>
        </is>
      </c>
      <c r="D1590" s="2" t="inlineStr">
        <is>
          <t>005930</t>
        </is>
      </c>
      <c r="E1590" s="3" t="inlineStr">
        <is>
          <t>임원ㆍ주요주주특정증권등소유상황보고서</t>
        </is>
      </c>
      <c r="F1590" s="3" t="inlineStr">
        <is>
          <t>이상희</t>
        </is>
      </c>
      <c r="G1590" s="2" t="inlineStr">
        <is>
          <t>20260202000250</t>
        </is>
      </c>
      <c r="H1590" s="8">
        <f>HYPERLINK("https://dart.fss.or.kr/dsaf001/main.do?rcpNo=20260202000250", "공시열람")</f>
        <v/>
      </c>
    </row>
    <row r="1591">
      <c r="A1591" s="2" t="inlineStr">
        <is>
          <t>2026-02-02</t>
        </is>
      </c>
      <c r="B1591" s="3" t="inlineStr">
        <is>
          <t>한화</t>
        </is>
      </c>
      <c r="C1591" s="2" t="inlineStr">
        <is>
          <t>코스피</t>
        </is>
      </c>
      <c r="D1591" s="2" t="inlineStr">
        <is>
          <t>000880</t>
        </is>
      </c>
      <c r="E1591" s="3" t="inlineStr">
        <is>
          <t xml:space="preserve">기업설명회(IR)개최(안내공시)              </t>
        </is>
      </c>
      <c r="F1591" s="3" t="inlineStr">
        <is>
          <t>한화</t>
        </is>
      </c>
      <c r="G1591" s="2" t="inlineStr">
        <is>
          <t>20260202800538</t>
        </is>
      </c>
      <c r="H1591" s="8">
        <f>HYPERLINK("https://dart.fss.or.kr/dsaf001/main.do?rcpNo=20260202800538", "공시열람")</f>
        <v/>
      </c>
    </row>
    <row r="1592">
      <c r="A1592" s="2" t="inlineStr">
        <is>
          <t>2026-02-02</t>
        </is>
      </c>
      <c r="B1592" s="3" t="inlineStr">
        <is>
          <t>삼성전자</t>
        </is>
      </c>
      <c r="C1592" s="2" t="inlineStr">
        <is>
          <t>코스피</t>
        </is>
      </c>
      <c r="D1592" s="2" t="inlineStr">
        <is>
          <t>005930</t>
        </is>
      </c>
      <c r="E1592" s="3" t="inlineStr">
        <is>
          <t>임원ㆍ주요주주특정증권등소유상황보고서</t>
        </is>
      </c>
      <c r="F1592" s="3" t="inlineStr">
        <is>
          <t>김재준</t>
        </is>
      </c>
      <c r="G1592" s="2" t="inlineStr">
        <is>
          <t>20260202000249</t>
        </is>
      </c>
      <c r="H1592" s="8">
        <f>HYPERLINK("https://dart.fss.or.kr/dsaf001/main.do?rcpNo=20260202000249", "공시열람")</f>
        <v/>
      </c>
    </row>
    <row r="1593">
      <c r="A1593" s="2" t="inlineStr">
        <is>
          <t>2026-02-02</t>
        </is>
      </c>
      <c r="B1593" s="3" t="inlineStr">
        <is>
          <t>한화</t>
        </is>
      </c>
      <c r="C1593" s="2" t="inlineStr">
        <is>
          <t>코스피</t>
        </is>
      </c>
      <c r="D1593" s="2" t="inlineStr">
        <is>
          <t>000880</t>
        </is>
      </c>
      <c r="E1593" s="3" t="inlineStr">
        <is>
          <t xml:space="preserve">기업설명회(IR)개최(안내공시)              </t>
        </is>
      </c>
      <c r="F1593" s="3" t="inlineStr">
        <is>
          <t>한화</t>
        </is>
      </c>
      <c r="G1593" s="2" t="inlineStr">
        <is>
          <t>20260202800547</t>
        </is>
      </c>
      <c r="H1593" s="8">
        <f>HYPERLINK("https://dart.fss.or.kr/dsaf001/main.do?rcpNo=20260202800547", "공시열람")</f>
        <v/>
      </c>
    </row>
    <row r="1594">
      <c r="A1594" s="2" t="inlineStr">
        <is>
          <t>2026-02-02</t>
        </is>
      </c>
      <c r="B1594" s="3" t="inlineStr">
        <is>
          <t>삼성전자</t>
        </is>
      </c>
      <c r="C1594" s="2" t="inlineStr">
        <is>
          <t>코스피</t>
        </is>
      </c>
      <c r="D1594" s="2" t="inlineStr">
        <is>
          <t>005930</t>
        </is>
      </c>
      <c r="E1594" s="3" t="inlineStr">
        <is>
          <t>임원ㆍ주요주주특정증권등소유상황보고서</t>
        </is>
      </c>
      <c r="F1594" s="3" t="inlineStr">
        <is>
          <t>박호우</t>
        </is>
      </c>
      <c r="G1594" s="2" t="inlineStr">
        <is>
          <t>20260202000247</t>
        </is>
      </c>
      <c r="H1594" s="8">
        <f>HYPERLINK("https://dart.fss.or.kr/dsaf001/main.do?rcpNo=20260202000247", "공시열람")</f>
        <v/>
      </c>
    </row>
    <row r="1595">
      <c r="A1595" s="2" t="inlineStr">
        <is>
          <t>2026-02-02</t>
        </is>
      </c>
      <c r="B1595" s="3" t="inlineStr">
        <is>
          <t>데이원컴퍼니</t>
        </is>
      </c>
      <c r="C1595" s="2" t="inlineStr">
        <is>
          <t>코스닥</t>
        </is>
      </c>
      <c r="D1595" s="2" t="inlineStr">
        <is>
          <t>373160</t>
        </is>
      </c>
      <c r="E1595" s="3" t="inlineStr">
        <is>
          <t xml:space="preserve">매출액또는손익구조30%(대규모법인은15%)이상변동              </t>
        </is>
      </c>
      <c r="F1595" s="3" t="inlineStr">
        <is>
          <t>데이원컴퍼니</t>
        </is>
      </c>
      <c r="G1595" s="2" t="inlineStr">
        <is>
          <t>20260202900518</t>
        </is>
      </c>
      <c r="H1595" s="8">
        <f>HYPERLINK("https://dart.fss.or.kr/dsaf001/main.do?rcpNo=20260202900518", "공시열람")</f>
        <v/>
      </c>
    </row>
    <row r="1596">
      <c r="A1596" s="2" t="inlineStr">
        <is>
          <t>2026-02-02</t>
        </is>
      </c>
      <c r="B1596" s="3" t="inlineStr">
        <is>
          <t>삼성전자</t>
        </is>
      </c>
      <c r="C1596" s="2" t="inlineStr">
        <is>
          <t>코스피</t>
        </is>
      </c>
      <c r="D1596" s="2" t="inlineStr">
        <is>
          <t>005930</t>
        </is>
      </c>
      <c r="E1596" s="3" t="inlineStr">
        <is>
          <t>임원ㆍ주요주주특정증권등소유상황보고서</t>
        </is>
      </c>
      <c r="F1596" s="3" t="inlineStr">
        <is>
          <t>손성민</t>
        </is>
      </c>
      <c r="G1596" s="2" t="inlineStr">
        <is>
          <t>20260202000246</t>
        </is>
      </c>
      <c r="H1596" s="8">
        <f>HYPERLINK("https://dart.fss.or.kr/dsaf001/main.do?rcpNo=20260202000246", "공시열람")</f>
        <v/>
      </c>
    </row>
    <row r="1597">
      <c r="A1597" s="2" t="inlineStr">
        <is>
          <t>2026-02-02</t>
        </is>
      </c>
      <c r="B1597" s="3" t="inlineStr">
        <is>
          <t>삼성전자</t>
        </is>
      </c>
      <c r="C1597" s="2" t="inlineStr">
        <is>
          <t>코스피</t>
        </is>
      </c>
      <c r="D1597" s="2" t="inlineStr">
        <is>
          <t>005930</t>
        </is>
      </c>
      <c r="E1597" s="3" t="inlineStr">
        <is>
          <t>임원ㆍ주요주주특정증권등소유상황보고서</t>
        </is>
      </c>
      <c r="F1597" s="3" t="inlineStr">
        <is>
          <t>정광섭</t>
        </is>
      </c>
      <c r="G1597" s="2" t="inlineStr">
        <is>
          <t>20260202000245</t>
        </is>
      </c>
      <c r="H1597" s="8">
        <f>HYPERLINK("https://dart.fss.or.kr/dsaf001/main.do?rcpNo=20260202000245", "공시열람")</f>
        <v/>
      </c>
    </row>
    <row r="1598">
      <c r="A1598" s="2" t="inlineStr">
        <is>
          <t>2026-02-02</t>
        </is>
      </c>
      <c r="B1598" s="3" t="inlineStr">
        <is>
          <t>삼성전자</t>
        </is>
      </c>
      <c r="C1598" s="2" t="inlineStr">
        <is>
          <t>코스피</t>
        </is>
      </c>
      <c r="D1598" s="2" t="inlineStr">
        <is>
          <t>005930</t>
        </is>
      </c>
      <c r="E1598" s="3" t="inlineStr">
        <is>
          <t>임원ㆍ주요주주특정증권등소유상황보고서</t>
        </is>
      </c>
      <c r="F1598" s="3" t="inlineStr">
        <is>
          <t>김재훈</t>
        </is>
      </c>
      <c r="G1598" s="2" t="inlineStr">
        <is>
          <t>20260202000244</t>
        </is>
      </c>
      <c r="H1598" s="8">
        <f>HYPERLINK("https://dart.fss.or.kr/dsaf001/main.do?rcpNo=20260202000244", "공시열람")</f>
        <v/>
      </c>
    </row>
    <row r="1599">
      <c r="A1599" s="2" t="inlineStr">
        <is>
          <t>2026-02-02</t>
        </is>
      </c>
      <c r="B1599" s="3" t="inlineStr">
        <is>
          <t>삼성전자</t>
        </is>
      </c>
      <c r="C1599" s="2" t="inlineStr">
        <is>
          <t>코스피</t>
        </is>
      </c>
      <c r="D1599" s="2" t="inlineStr">
        <is>
          <t>005930</t>
        </is>
      </c>
      <c r="E1599" s="3" t="inlineStr">
        <is>
          <t>임원ㆍ주요주주특정증권등소유상황보고서</t>
        </is>
      </c>
      <c r="F1599" s="3" t="inlineStr">
        <is>
          <t>고주현</t>
        </is>
      </c>
      <c r="G1599" s="2" t="inlineStr">
        <is>
          <t>20260202000243</t>
        </is>
      </c>
      <c r="H1599" s="8">
        <f>HYPERLINK("https://dart.fss.or.kr/dsaf001/main.do?rcpNo=20260202000243", "공시열람")</f>
        <v/>
      </c>
    </row>
    <row r="1600">
      <c r="A1600" s="2" t="inlineStr">
        <is>
          <t>2026-02-02</t>
        </is>
      </c>
      <c r="B1600" s="3" t="inlineStr">
        <is>
          <t>삼성전자</t>
        </is>
      </c>
      <c r="C1600" s="2" t="inlineStr">
        <is>
          <t>코스피</t>
        </is>
      </c>
      <c r="D1600" s="2" t="inlineStr">
        <is>
          <t>005930</t>
        </is>
      </c>
      <c r="E1600" s="3" t="inlineStr">
        <is>
          <t>임원ㆍ주요주주특정증권등소유상황보고서</t>
        </is>
      </c>
      <c r="F1600" s="3" t="inlineStr">
        <is>
          <t>홍경선</t>
        </is>
      </c>
      <c r="G1600" s="2" t="inlineStr">
        <is>
          <t>20260202000242</t>
        </is>
      </c>
      <c r="H1600" s="8">
        <f>HYPERLINK("https://dart.fss.or.kr/dsaf001/main.do?rcpNo=20260202000242", "공시열람")</f>
        <v/>
      </c>
    </row>
    <row r="1601">
      <c r="A1601" s="2" t="inlineStr">
        <is>
          <t>2026-02-02</t>
        </is>
      </c>
      <c r="B1601" s="3" t="inlineStr">
        <is>
          <t>삼성전자</t>
        </is>
      </c>
      <c r="C1601" s="2" t="inlineStr">
        <is>
          <t>코스피</t>
        </is>
      </c>
      <c r="D1601" s="2" t="inlineStr">
        <is>
          <t>005930</t>
        </is>
      </c>
      <c r="E1601" s="3" t="inlineStr">
        <is>
          <t>임원ㆍ주요주주특정증권등소유상황보고서</t>
        </is>
      </c>
      <c r="F1601" s="3" t="inlineStr">
        <is>
          <t>한진규</t>
        </is>
      </c>
      <c r="G1601" s="2" t="inlineStr">
        <is>
          <t>20260202000240</t>
        </is>
      </c>
      <c r="H1601" s="8">
        <f>HYPERLINK("https://dart.fss.or.kr/dsaf001/main.do?rcpNo=20260202000240", "공시열람")</f>
        <v/>
      </c>
    </row>
    <row r="1602">
      <c r="A1602" s="2" t="inlineStr">
        <is>
          <t>2026-02-02</t>
        </is>
      </c>
      <c r="B1602" s="3" t="inlineStr">
        <is>
          <t>삼성전자</t>
        </is>
      </c>
      <c r="C1602" s="2" t="inlineStr">
        <is>
          <t>코스피</t>
        </is>
      </c>
      <c r="D1602" s="2" t="inlineStr">
        <is>
          <t>005930</t>
        </is>
      </c>
      <c r="E1602" s="3" t="inlineStr">
        <is>
          <t>임원ㆍ주요주주특정증권등소유상황보고서</t>
        </is>
      </c>
      <c r="F1602" s="3" t="inlineStr">
        <is>
          <t>조기재</t>
        </is>
      </c>
      <c r="G1602" s="2" t="inlineStr">
        <is>
          <t>20260202000239</t>
        </is>
      </c>
      <c r="H1602" s="8">
        <f>HYPERLINK("https://dart.fss.or.kr/dsaf001/main.do?rcpNo=20260202000239", "공시열람")</f>
        <v/>
      </c>
    </row>
    <row r="1603">
      <c r="A1603" s="2" t="inlineStr">
        <is>
          <t>2026-02-02</t>
        </is>
      </c>
      <c r="B1603" s="3" t="inlineStr">
        <is>
          <t>삼성전자</t>
        </is>
      </c>
      <c r="C1603" s="2" t="inlineStr">
        <is>
          <t>코스피</t>
        </is>
      </c>
      <c r="D1603" s="2" t="inlineStr">
        <is>
          <t>005930</t>
        </is>
      </c>
      <c r="E1603" s="3" t="inlineStr">
        <is>
          <t>임원ㆍ주요주주특정증권등소유상황보고서</t>
        </is>
      </c>
      <c r="F1603" s="3" t="inlineStr">
        <is>
          <t>홍기준</t>
        </is>
      </c>
      <c r="G1603" s="2" t="inlineStr">
        <is>
          <t>20260202000238</t>
        </is>
      </c>
      <c r="H1603" s="8">
        <f>HYPERLINK("https://dart.fss.or.kr/dsaf001/main.do?rcpNo=20260202000238", "공시열람")</f>
        <v/>
      </c>
    </row>
    <row r="1604">
      <c r="A1604" s="2" t="inlineStr">
        <is>
          <t>2026-02-02</t>
        </is>
      </c>
      <c r="B1604" s="3" t="inlineStr">
        <is>
          <t>삼성전자</t>
        </is>
      </c>
      <c r="C1604" s="2" t="inlineStr">
        <is>
          <t>코스피</t>
        </is>
      </c>
      <c r="D1604" s="2" t="inlineStr">
        <is>
          <t>005930</t>
        </is>
      </c>
      <c r="E1604" s="3" t="inlineStr">
        <is>
          <t>임원ㆍ주요주주특정증권등소유상황보고서</t>
        </is>
      </c>
      <c r="F1604" s="3" t="inlineStr">
        <is>
          <t>한상섭</t>
        </is>
      </c>
      <c r="G1604" s="2" t="inlineStr">
        <is>
          <t>20260202000237</t>
        </is>
      </c>
      <c r="H1604" s="8">
        <f>HYPERLINK("https://dart.fss.or.kr/dsaf001/main.do?rcpNo=20260202000237", "공시열람")</f>
        <v/>
      </c>
    </row>
    <row r="1605">
      <c r="A1605" s="2" t="inlineStr">
        <is>
          <t>2026-02-02</t>
        </is>
      </c>
      <c r="B1605" s="3" t="inlineStr">
        <is>
          <t>삼성전자</t>
        </is>
      </c>
      <c r="C1605" s="2" t="inlineStr">
        <is>
          <t>코스피</t>
        </is>
      </c>
      <c r="D1605" s="2" t="inlineStr">
        <is>
          <t>005930</t>
        </is>
      </c>
      <c r="E1605" s="3" t="inlineStr">
        <is>
          <t>임원ㆍ주요주주특정증권등소유상황보고서</t>
        </is>
      </c>
      <c r="F1605" s="3" t="inlineStr">
        <is>
          <t>김동근</t>
        </is>
      </c>
      <c r="G1605" s="2" t="inlineStr">
        <is>
          <t>20260202000236</t>
        </is>
      </c>
      <c r="H1605" s="8">
        <f>HYPERLINK("https://dart.fss.or.kr/dsaf001/main.do?rcpNo=20260202000236", "공시열람")</f>
        <v/>
      </c>
    </row>
    <row r="1606">
      <c r="A1606" s="2" t="inlineStr">
        <is>
          <t>2026-02-02</t>
        </is>
      </c>
      <c r="B1606" s="3" t="inlineStr">
        <is>
          <t>삼성SDI</t>
        </is>
      </c>
      <c r="C1606" s="2" t="inlineStr">
        <is>
          <t>코스피</t>
        </is>
      </c>
      <c r="D1606" s="2" t="inlineStr">
        <is>
          <t>006400</t>
        </is>
      </c>
      <c r="E1606" s="3" t="inlineStr">
        <is>
          <t xml:space="preserve">연결재무제표기준영업(잠정)실적(공정공시)              </t>
        </is>
      </c>
      <c r="F1606" s="3" t="inlineStr">
        <is>
          <t>삼성SDI</t>
        </is>
      </c>
      <c r="G1606" s="2" t="inlineStr">
        <is>
          <t>20260202800521</t>
        </is>
      </c>
      <c r="H1606" s="8">
        <f>HYPERLINK("https://dart.fss.or.kr/dsaf001/main.do?rcpNo=20260202800521", "공시열람")</f>
        <v/>
      </c>
    </row>
    <row r="1607">
      <c r="A1607" s="2" t="inlineStr">
        <is>
          <t>2026-02-02</t>
        </is>
      </c>
      <c r="B1607" s="3" t="inlineStr">
        <is>
          <t>삼성전자</t>
        </is>
      </c>
      <c r="C1607" s="2" t="inlineStr">
        <is>
          <t>코스피</t>
        </is>
      </c>
      <c r="D1607" s="2" t="inlineStr">
        <is>
          <t>005930</t>
        </is>
      </c>
      <c r="E1607" s="3" t="inlineStr">
        <is>
          <t>임원ㆍ주요주주특정증권등소유상황보고서</t>
        </is>
      </c>
      <c r="F1607" s="3" t="inlineStr">
        <is>
          <t>나현수</t>
        </is>
      </c>
      <c r="G1607" s="2" t="inlineStr">
        <is>
          <t>20260202000235</t>
        </is>
      </c>
      <c r="H1607" s="8">
        <f>HYPERLINK("https://dart.fss.or.kr/dsaf001/main.do?rcpNo=20260202000235", "공시열람")</f>
        <v/>
      </c>
    </row>
    <row r="1608">
      <c r="A1608" s="2" t="inlineStr">
        <is>
          <t>2026-02-02</t>
        </is>
      </c>
      <c r="B1608" s="3" t="inlineStr">
        <is>
          <t>삼성전자</t>
        </is>
      </c>
      <c r="C1608" s="2" t="inlineStr">
        <is>
          <t>코스피</t>
        </is>
      </c>
      <c r="D1608" s="2" t="inlineStr">
        <is>
          <t>005930</t>
        </is>
      </c>
      <c r="E1608" s="3" t="inlineStr">
        <is>
          <t>임원ㆍ주요주주특정증권등소유상황보고서</t>
        </is>
      </c>
      <c r="F1608" s="3" t="inlineStr">
        <is>
          <t>김봉수</t>
        </is>
      </c>
      <c r="G1608" s="2" t="inlineStr">
        <is>
          <t>20260202000233</t>
        </is>
      </c>
      <c r="H1608" s="8">
        <f>HYPERLINK("https://dart.fss.or.kr/dsaf001/main.do?rcpNo=20260202000233", "공시열람")</f>
        <v/>
      </c>
    </row>
    <row r="1609">
      <c r="A1609" s="2" t="inlineStr">
        <is>
          <t>2026-02-02</t>
        </is>
      </c>
      <c r="B1609" s="3" t="inlineStr">
        <is>
          <t>삼성SDI</t>
        </is>
      </c>
      <c r="C1609" s="2" t="inlineStr">
        <is>
          <t>코스피</t>
        </is>
      </c>
      <c r="D1609" s="2" t="inlineStr">
        <is>
          <t>006400</t>
        </is>
      </c>
      <c r="E1609" s="3" t="inlineStr">
        <is>
          <t xml:space="preserve">매출액또는손익구조30%(대규모법인은15%)이상변경              </t>
        </is>
      </c>
      <c r="F1609" s="3" t="inlineStr">
        <is>
          <t>삼성SDI</t>
        </is>
      </c>
      <c r="G1609" s="2" t="inlineStr">
        <is>
          <t>20260202800489</t>
        </is>
      </c>
      <c r="H1609" s="8">
        <f>HYPERLINK("https://dart.fss.or.kr/dsaf001/main.do?rcpNo=20260202800489", "공시열람")</f>
        <v/>
      </c>
    </row>
    <row r="1610">
      <c r="A1610" s="2" t="inlineStr">
        <is>
          <t>2026-02-02</t>
        </is>
      </c>
      <c r="B1610" s="3" t="inlineStr">
        <is>
          <t>삼성전자</t>
        </is>
      </c>
      <c r="C1610" s="2" t="inlineStr">
        <is>
          <t>코스피</t>
        </is>
      </c>
      <c r="D1610" s="2" t="inlineStr">
        <is>
          <t>005930</t>
        </is>
      </c>
      <c r="E1610" s="3" t="inlineStr">
        <is>
          <t>임원ㆍ주요주주특정증권등소유상황보고서</t>
        </is>
      </c>
      <c r="F1610" s="3" t="inlineStr">
        <is>
          <t>최윤석</t>
        </is>
      </c>
      <c r="G1610" s="2" t="inlineStr">
        <is>
          <t>20260202000232</t>
        </is>
      </c>
      <c r="H1610" s="8">
        <f>HYPERLINK("https://dart.fss.or.kr/dsaf001/main.do?rcpNo=20260202000232", "공시열람")</f>
        <v/>
      </c>
    </row>
    <row r="1611">
      <c r="A1611" s="2" t="inlineStr">
        <is>
          <t>2026-02-02</t>
        </is>
      </c>
      <c r="B1611" s="3" t="inlineStr">
        <is>
          <t>삼성전자</t>
        </is>
      </c>
      <c r="C1611" s="2" t="inlineStr">
        <is>
          <t>코스피</t>
        </is>
      </c>
      <c r="D1611" s="2" t="inlineStr">
        <is>
          <t>005930</t>
        </is>
      </c>
      <c r="E1611" s="3" t="inlineStr">
        <is>
          <t>임원ㆍ주요주주특정증권등소유상황보고서</t>
        </is>
      </c>
      <c r="F1611" s="3" t="inlineStr">
        <is>
          <t>김유나</t>
        </is>
      </c>
      <c r="G1611" s="2" t="inlineStr">
        <is>
          <t>20260202000231</t>
        </is>
      </c>
      <c r="H1611" s="8">
        <f>HYPERLINK("https://dart.fss.or.kr/dsaf001/main.do?rcpNo=20260202000231", "공시열람")</f>
        <v/>
      </c>
    </row>
    <row r="1612">
      <c r="A1612" s="2" t="inlineStr">
        <is>
          <t>2026-02-02</t>
        </is>
      </c>
      <c r="B1612" s="3" t="inlineStr">
        <is>
          <t>삼성전자</t>
        </is>
      </c>
      <c r="C1612" s="2" t="inlineStr">
        <is>
          <t>코스피</t>
        </is>
      </c>
      <c r="D1612" s="2" t="inlineStr">
        <is>
          <t>005930</t>
        </is>
      </c>
      <c r="E1612" s="3" t="inlineStr">
        <is>
          <t>임원ㆍ주요주주특정증권등소유상황보고서</t>
        </is>
      </c>
      <c r="F1612" s="3" t="inlineStr">
        <is>
          <t>윤태양</t>
        </is>
      </c>
      <c r="G1612" s="2" t="inlineStr">
        <is>
          <t>20260202000230</t>
        </is>
      </c>
      <c r="H1612" s="8">
        <f>HYPERLINK("https://dart.fss.or.kr/dsaf001/main.do?rcpNo=20260202000230", "공시열람")</f>
        <v/>
      </c>
    </row>
    <row r="1613">
      <c r="A1613" s="2" t="inlineStr">
        <is>
          <t>2026-02-02</t>
        </is>
      </c>
      <c r="B1613" s="3" t="inlineStr">
        <is>
          <t>삼성전자</t>
        </is>
      </c>
      <c r="C1613" s="2" t="inlineStr">
        <is>
          <t>코스피</t>
        </is>
      </c>
      <c r="D1613" s="2" t="inlineStr">
        <is>
          <t>005930</t>
        </is>
      </c>
      <c r="E1613" s="3" t="inlineStr">
        <is>
          <t>임원ㆍ주요주주특정증권등소유상황보고서</t>
        </is>
      </c>
      <c r="F1613" s="3" t="inlineStr">
        <is>
          <t>최병희</t>
        </is>
      </c>
      <c r="G1613" s="2" t="inlineStr">
        <is>
          <t>20260202000229</t>
        </is>
      </c>
      <c r="H1613" s="8">
        <f>HYPERLINK("https://dart.fss.or.kr/dsaf001/main.do?rcpNo=20260202000229", "공시열람")</f>
        <v/>
      </c>
    </row>
    <row r="1614">
      <c r="A1614" s="2" t="inlineStr">
        <is>
          <t>2026-02-02</t>
        </is>
      </c>
      <c r="B1614" s="3" t="inlineStr">
        <is>
          <t>삼성전자</t>
        </is>
      </c>
      <c r="C1614" s="2" t="inlineStr">
        <is>
          <t>코스피</t>
        </is>
      </c>
      <c r="D1614" s="2" t="inlineStr">
        <is>
          <t>005930</t>
        </is>
      </c>
      <c r="E1614" s="3" t="inlineStr">
        <is>
          <t>임원ㆍ주요주주특정증권등소유상황보고서</t>
        </is>
      </c>
      <c r="F1614" s="3" t="inlineStr">
        <is>
          <t>권혁만</t>
        </is>
      </c>
      <c r="G1614" s="2" t="inlineStr">
        <is>
          <t>20260202000227</t>
        </is>
      </c>
      <c r="H1614" s="8">
        <f>HYPERLINK("https://dart.fss.or.kr/dsaf001/main.do?rcpNo=20260202000227", "공시열람")</f>
        <v/>
      </c>
    </row>
    <row r="1615">
      <c r="A1615" s="2" t="inlineStr">
        <is>
          <t>2026-02-02</t>
        </is>
      </c>
      <c r="B1615" s="3" t="inlineStr">
        <is>
          <t>삼성전자</t>
        </is>
      </c>
      <c r="C1615" s="2" t="inlineStr">
        <is>
          <t>코스피</t>
        </is>
      </c>
      <c r="D1615" s="2" t="inlineStr">
        <is>
          <t>005930</t>
        </is>
      </c>
      <c r="E1615" s="3" t="inlineStr">
        <is>
          <t>임원ㆍ주요주주특정증권등소유상황보고서</t>
        </is>
      </c>
      <c r="F1615" s="3" t="inlineStr">
        <is>
          <t>성낙희</t>
        </is>
      </c>
      <c r="G1615" s="2" t="inlineStr">
        <is>
          <t>20260202000226</t>
        </is>
      </c>
      <c r="H1615" s="8">
        <f>HYPERLINK("https://dart.fss.or.kr/dsaf001/main.do?rcpNo=20260202000226", "공시열람")</f>
        <v/>
      </c>
    </row>
    <row r="1616">
      <c r="A1616" s="2" t="inlineStr">
        <is>
          <t>2026-02-02</t>
        </is>
      </c>
      <c r="B1616" s="3" t="inlineStr">
        <is>
          <t>한화투자증권</t>
        </is>
      </c>
      <c r="C1616" s="2" t="inlineStr">
        <is>
          <t>코스피</t>
        </is>
      </c>
      <c r="D1616" s="2" t="inlineStr">
        <is>
          <t>003530</t>
        </is>
      </c>
      <c r="E1616" s="3" t="inlineStr">
        <is>
          <t>증권발행실적보고서</t>
        </is>
      </c>
      <c r="F1616" s="3" t="inlineStr">
        <is>
          <t>한화투자증권</t>
        </is>
      </c>
      <c r="G1616" s="2" t="inlineStr">
        <is>
          <t>20260202000224</t>
        </is>
      </c>
      <c r="H1616" s="8">
        <f>HYPERLINK("https://dart.fss.or.kr/dsaf001/main.do?rcpNo=20260202000224", "공시열람")</f>
        <v/>
      </c>
    </row>
    <row r="1617">
      <c r="A1617" s="2" t="inlineStr">
        <is>
          <t>2026-02-02</t>
        </is>
      </c>
      <c r="B1617" s="3" t="inlineStr">
        <is>
          <t>삼성전자</t>
        </is>
      </c>
      <c r="C1617" s="2" t="inlineStr">
        <is>
          <t>코스피</t>
        </is>
      </c>
      <c r="D1617" s="2" t="inlineStr">
        <is>
          <t>005930</t>
        </is>
      </c>
      <c r="E1617" s="3" t="inlineStr">
        <is>
          <t>임원ㆍ주요주주특정증권등소유상황보고서</t>
        </is>
      </c>
      <c r="F1617" s="3" t="inlineStr">
        <is>
          <t>심우철</t>
        </is>
      </c>
      <c r="G1617" s="2" t="inlineStr">
        <is>
          <t>20260202000221</t>
        </is>
      </c>
      <c r="H1617" s="8">
        <f>HYPERLINK("https://dart.fss.or.kr/dsaf001/main.do?rcpNo=20260202000221", "공시열람")</f>
        <v/>
      </c>
    </row>
    <row r="1618">
      <c r="A1618" s="2" t="inlineStr">
        <is>
          <t>2026-02-02</t>
        </is>
      </c>
      <c r="B1618" s="3" t="inlineStr">
        <is>
          <t>삼성전자</t>
        </is>
      </c>
      <c r="C1618" s="2" t="inlineStr">
        <is>
          <t>코스피</t>
        </is>
      </c>
      <c r="D1618" s="2" t="inlineStr">
        <is>
          <t>005930</t>
        </is>
      </c>
      <c r="E1618" s="3" t="inlineStr">
        <is>
          <t>임원ㆍ주요주주특정증권등소유상황보고서</t>
        </is>
      </c>
      <c r="F1618" s="3" t="inlineStr">
        <is>
          <t>김시우</t>
        </is>
      </c>
      <c r="G1618" s="2" t="inlineStr">
        <is>
          <t>20260202000218</t>
        </is>
      </c>
      <c r="H1618" s="8">
        <f>HYPERLINK("https://dart.fss.or.kr/dsaf001/main.do?rcpNo=20260202000218", "공시열람")</f>
        <v/>
      </c>
    </row>
    <row r="1619">
      <c r="A1619" s="2" t="inlineStr">
        <is>
          <t>2026-02-02</t>
        </is>
      </c>
      <c r="B1619" s="3" t="inlineStr">
        <is>
          <t>삼성전자</t>
        </is>
      </c>
      <c r="C1619" s="2" t="inlineStr">
        <is>
          <t>코스피</t>
        </is>
      </c>
      <c r="D1619" s="2" t="inlineStr">
        <is>
          <t>005930</t>
        </is>
      </c>
      <c r="E1619" s="3" t="inlineStr">
        <is>
          <t>임원ㆍ주요주주특정증권등소유상황보고서</t>
        </is>
      </c>
      <c r="F1619" s="3" t="inlineStr">
        <is>
          <t>최승훈</t>
        </is>
      </c>
      <c r="G1619" s="2" t="inlineStr">
        <is>
          <t>20260202000217</t>
        </is>
      </c>
      <c r="H1619" s="8">
        <f>HYPERLINK("https://dart.fss.or.kr/dsaf001/main.do?rcpNo=20260202000217", "공시열람")</f>
        <v/>
      </c>
    </row>
    <row r="1620">
      <c r="A1620" s="2" t="inlineStr">
        <is>
          <t>2026-02-02</t>
        </is>
      </c>
      <c r="B1620" s="3" t="inlineStr">
        <is>
          <t>삼성전자</t>
        </is>
      </c>
      <c r="C1620" s="2" t="inlineStr">
        <is>
          <t>코스피</t>
        </is>
      </c>
      <c r="D1620" s="2" t="inlineStr">
        <is>
          <t>005930</t>
        </is>
      </c>
      <c r="E1620" s="3" t="inlineStr">
        <is>
          <t>임원ㆍ주요주주특정증권등소유상황보고서</t>
        </is>
      </c>
      <c r="F1620" s="3" t="inlineStr">
        <is>
          <t>이상원</t>
        </is>
      </c>
      <c r="G1620" s="2" t="inlineStr">
        <is>
          <t>20260202000216</t>
        </is>
      </c>
      <c r="H1620" s="8">
        <f>HYPERLINK("https://dart.fss.or.kr/dsaf001/main.do?rcpNo=20260202000216", "공시열람")</f>
        <v/>
      </c>
    </row>
    <row r="1621">
      <c r="A1621" s="2" t="inlineStr">
        <is>
          <t>2026-02-02</t>
        </is>
      </c>
      <c r="B1621" s="3" t="inlineStr">
        <is>
          <t>한화</t>
        </is>
      </c>
      <c r="C1621" s="2" t="inlineStr">
        <is>
          <t>코스피</t>
        </is>
      </c>
      <c r="D1621" s="2" t="inlineStr">
        <is>
          <t>000880</t>
        </is>
      </c>
      <c r="E1621" s="3" t="inlineStr">
        <is>
          <t xml:space="preserve">결산실적공시예고(안내공시)              </t>
        </is>
      </c>
      <c r="F1621" s="3" t="inlineStr">
        <is>
          <t>한화</t>
        </is>
      </c>
      <c r="G1621" s="2" t="inlineStr">
        <is>
          <t>20260202800519</t>
        </is>
      </c>
      <c r="H1621" s="8">
        <f>HYPERLINK("https://dart.fss.or.kr/dsaf001/main.do?rcpNo=20260202800519", "공시열람")</f>
        <v/>
      </c>
    </row>
    <row r="1622">
      <c r="A1622" s="2" t="inlineStr">
        <is>
          <t>2026-02-02</t>
        </is>
      </c>
      <c r="B1622" s="3" t="inlineStr">
        <is>
          <t>삼성전자</t>
        </is>
      </c>
      <c r="C1622" s="2" t="inlineStr">
        <is>
          <t>코스피</t>
        </is>
      </c>
      <c r="D1622" s="2" t="inlineStr">
        <is>
          <t>005930</t>
        </is>
      </c>
      <c r="E1622" s="3" t="inlineStr">
        <is>
          <t>임원ㆍ주요주주특정증권등소유상황보고서</t>
        </is>
      </c>
      <c r="F1622" s="3" t="inlineStr">
        <is>
          <t>양진기</t>
        </is>
      </c>
      <c r="G1622" s="2" t="inlineStr">
        <is>
          <t>20260202000214</t>
        </is>
      </c>
      <c r="H1622" s="8">
        <f>HYPERLINK("https://dart.fss.or.kr/dsaf001/main.do?rcpNo=20260202000214", "공시열람")</f>
        <v/>
      </c>
    </row>
    <row r="1623">
      <c r="A1623" s="2" t="inlineStr">
        <is>
          <t>2026-02-02</t>
        </is>
      </c>
      <c r="B1623" s="3" t="inlineStr">
        <is>
          <t>삼성전자</t>
        </is>
      </c>
      <c r="C1623" s="2" t="inlineStr">
        <is>
          <t>코스피</t>
        </is>
      </c>
      <c r="D1623" s="2" t="inlineStr">
        <is>
          <t>005930</t>
        </is>
      </c>
      <c r="E1623" s="3" t="inlineStr">
        <is>
          <t>임원ㆍ주요주주특정증권등소유상황보고서</t>
        </is>
      </c>
      <c r="F1623" s="3" t="inlineStr">
        <is>
          <t>윤철웅</t>
        </is>
      </c>
      <c r="G1623" s="2" t="inlineStr">
        <is>
          <t>20260202000212</t>
        </is>
      </c>
      <c r="H1623" s="8">
        <f>HYPERLINK("https://dart.fss.or.kr/dsaf001/main.do?rcpNo=20260202000212", "공시열람")</f>
        <v/>
      </c>
    </row>
    <row r="1624">
      <c r="A1624" s="2" t="inlineStr">
        <is>
          <t>2026-02-02</t>
        </is>
      </c>
      <c r="B1624" s="3" t="inlineStr">
        <is>
          <t>삼성전자</t>
        </is>
      </c>
      <c r="C1624" s="2" t="inlineStr">
        <is>
          <t>코스피</t>
        </is>
      </c>
      <c r="D1624" s="2" t="inlineStr">
        <is>
          <t>005930</t>
        </is>
      </c>
      <c r="E1624" s="3" t="inlineStr">
        <is>
          <t>임원ㆍ주요주주특정증권등소유상황보고서</t>
        </is>
      </c>
      <c r="F1624" s="3" t="inlineStr">
        <is>
          <t>김선정</t>
        </is>
      </c>
      <c r="G1624" s="2" t="inlineStr">
        <is>
          <t>20260202000210</t>
        </is>
      </c>
      <c r="H1624" s="8">
        <f>HYPERLINK("https://dart.fss.or.kr/dsaf001/main.do?rcpNo=20260202000210", "공시열람")</f>
        <v/>
      </c>
    </row>
    <row r="1625">
      <c r="A1625" s="2" t="inlineStr">
        <is>
          <t>2026-02-02</t>
        </is>
      </c>
      <c r="B1625" s="3" t="inlineStr">
        <is>
          <t>삼성전자</t>
        </is>
      </c>
      <c r="C1625" s="2" t="inlineStr">
        <is>
          <t>코스피</t>
        </is>
      </c>
      <c r="D1625" s="2" t="inlineStr">
        <is>
          <t>005930</t>
        </is>
      </c>
      <c r="E1625" s="3" t="inlineStr">
        <is>
          <t>임원ㆍ주요주주특정증권등소유상황보고서</t>
        </is>
      </c>
      <c r="F1625" s="3" t="inlineStr">
        <is>
          <t>조필주</t>
        </is>
      </c>
      <c r="G1625" s="2" t="inlineStr">
        <is>
          <t>20260202000209</t>
        </is>
      </c>
      <c r="H1625" s="8">
        <f>HYPERLINK("https://dart.fss.or.kr/dsaf001/main.do?rcpNo=20260202000209", "공시열람")</f>
        <v/>
      </c>
    </row>
    <row r="1626">
      <c r="A1626" s="2" t="inlineStr">
        <is>
          <t>2026-02-02</t>
        </is>
      </c>
      <c r="B1626" s="3" t="inlineStr">
        <is>
          <t>삼성전자</t>
        </is>
      </c>
      <c r="C1626" s="2" t="inlineStr">
        <is>
          <t>코스피</t>
        </is>
      </c>
      <c r="D1626" s="2" t="inlineStr">
        <is>
          <t>005930</t>
        </is>
      </c>
      <c r="E1626" s="3" t="inlineStr">
        <is>
          <t>임원ㆍ주요주주특정증권등소유상황보고서</t>
        </is>
      </c>
      <c r="F1626" s="3" t="inlineStr">
        <is>
          <t>정원철</t>
        </is>
      </c>
      <c r="G1626" s="2" t="inlineStr">
        <is>
          <t>20260202000206</t>
        </is>
      </c>
      <c r="H1626" s="8">
        <f>HYPERLINK("https://dart.fss.or.kr/dsaf001/main.do?rcpNo=20260202000206", "공시열람")</f>
        <v/>
      </c>
    </row>
    <row r="1627">
      <c r="A1627" s="2" t="inlineStr">
        <is>
          <t>2026-02-02</t>
        </is>
      </c>
      <c r="B1627" s="3" t="inlineStr">
        <is>
          <t>삼성전자</t>
        </is>
      </c>
      <c r="C1627" s="2" t="inlineStr">
        <is>
          <t>코스피</t>
        </is>
      </c>
      <c r="D1627" s="2" t="inlineStr">
        <is>
          <t>005930</t>
        </is>
      </c>
      <c r="E1627" s="3" t="inlineStr">
        <is>
          <t>임원ㆍ주요주주특정증권등소유상황보고서</t>
        </is>
      </c>
      <c r="F1627" s="3" t="inlineStr">
        <is>
          <t>소재민</t>
        </is>
      </c>
      <c r="G1627" s="2" t="inlineStr">
        <is>
          <t>20260202000205</t>
        </is>
      </c>
      <c r="H1627" s="8">
        <f>HYPERLINK("https://dart.fss.or.kr/dsaf001/main.do?rcpNo=20260202000205", "공시열람")</f>
        <v/>
      </c>
    </row>
    <row r="1628">
      <c r="A1628" s="2" t="inlineStr">
        <is>
          <t>2026-02-02</t>
        </is>
      </c>
      <c r="B1628" s="3" t="inlineStr">
        <is>
          <t>삼성전자</t>
        </is>
      </c>
      <c r="C1628" s="2" t="inlineStr">
        <is>
          <t>코스피</t>
        </is>
      </c>
      <c r="D1628" s="2" t="inlineStr">
        <is>
          <t>005930</t>
        </is>
      </c>
      <c r="E1628" s="3" t="inlineStr">
        <is>
          <t>임원ㆍ주요주주특정증권등소유상황보고서</t>
        </is>
      </c>
      <c r="F1628" s="3" t="inlineStr">
        <is>
          <t>박찬우</t>
        </is>
      </c>
      <c r="G1628" s="2" t="inlineStr">
        <is>
          <t>20260202000202</t>
        </is>
      </c>
      <c r="H1628" s="8">
        <f>HYPERLINK("https://dart.fss.or.kr/dsaf001/main.do?rcpNo=20260202000202", "공시열람")</f>
        <v/>
      </c>
    </row>
    <row r="1629">
      <c r="A1629" s="2" t="inlineStr">
        <is>
          <t>2026-02-02</t>
        </is>
      </c>
      <c r="B1629" s="3" t="inlineStr">
        <is>
          <t>삼성전자</t>
        </is>
      </c>
      <c r="C1629" s="2" t="inlineStr">
        <is>
          <t>코스피</t>
        </is>
      </c>
      <c r="D1629" s="2" t="inlineStr">
        <is>
          <t>005930</t>
        </is>
      </c>
      <c r="E1629" s="3" t="inlineStr">
        <is>
          <t>임원ㆍ주요주주특정증권등소유상황보고서</t>
        </is>
      </c>
      <c r="F1629" s="3" t="inlineStr">
        <is>
          <t>박재범</t>
        </is>
      </c>
      <c r="G1629" s="2" t="inlineStr">
        <is>
          <t>20260202000199</t>
        </is>
      </c>
      <c r="H1629" s="8">
        <f>HYPERLINK("https://dart.fss.or.kr/dsaf001/main.do?rcpNo=20260202000199", "공시열람")</f>
        <v/>
      </c>
    </row>
    <row r="1630">
      <c r="A1630" s="2" t="inlineStr">
        <is>
          <t>2026-02-02</t>
        </is>
      </c>
      <c r="B1630" s="3" t="inlineStr">
        <is>
          <t>삼성전자</t>
        </is>
      </c>
      <c r="C1630" s="2" t="inlineStr">
        <is>
          <t>코스피</t>
        </is>
      </c>
      <c r="D1630" s="2" t="inlineStr">
        <is>
          <t>005930</t>
        </is>
      </c>
      <c r="E1630" s="3" t="inlineStr">
        <is>
          <t>임원ㆍ주요주주특정증권등소유상황보고서</t>
        </is>
      </c>
      <c r="F1630" s="3" t="inlineStr">
        <is>
          <t>김범진</t>
        </is>
      </c>
      <c r="G1630" s="2" t="inlineStr">
        <is>
          <t>20260202000195</t>
        </is>
      </c>
      <c r="H1630" s="8">
        <f>HYPERLINK("https://dart.fss.or.kr/dsaf001/main.do?rcpNo=20260202000195", "공시열람")</f>
        <v/>
      </c>
    </row>
    <row r="1631">
      <c r="A1631" s="2" t="inlineStr">
        <is>
          <t>2026-02-02</t>
        </is>
      </c>
      <c r="B1631" s="3" t="inlineStr">
        <is>
          <t>삼성전자</t>
        </is>
      </c>
      <c r="C1631" s="2" t="inlineStr">
        <is>
          <t>코스피</t>
        </is>
      </c>
      <c r="D1631" s="2" t="inlineStr">
        <is>
          <t>005930</t>
        </is>
      </c>
      <c r="E1631" s="3" t="inlineStr">
        <is>
          <t>임원ㆍ주요주주특정증권등소유상황보고서</t>
        </is>
      </c>
      <c r="F1631" s="3" t="inlineStr">
        <is>
          <t>이상주</t>
        </is>
      </c>
      <c r="G1631" s="2" t="inlineStr">
        <is>
          <t>20260202000194</t>
        </is>
      </c>
      <c r="H1631" s="8">
        <f>HYPERLINK("https://dart.fss.or.kr/dsaf001/main.do?rcpNo=20260202000194", "공시열람")</f>
        <v/>
      </c>
    </row>
    <row r="1632">
      <c r="A1632" s="2" t="inlineStr">
        <is>
          <t>2026-02-02</t>
        </is>
      </c>
      <c r="B1632" s="3" t="inlineStr">
        <is>
          <t>삼성전자</t>
        </is>
      </c>
      <c r="C1632" s="2" t="inlineStr">
        <is>
          <t>코스피</t>
        </is>
      </c>
      <c r="D1632" s="2" t="inlineStr">
        <is>
          <t>005930</t>
        </is>
      </c>
      <c r="E1632" s="3" t="inlineStr">
        <is>
          <t>임원ㆍ주요주주특정증권등소유상황보고서</t>
        </is>
      </c>
      <c r="F1632" s="3" t="inlineStr">
        <is>
          <t>박봉일</t>
        </is>
      </c>
      <c r="G1632" s="2" t="inlineStr">
        <is>
          <t>20260202000193</t>
        </is>
      </c>
      <c r="H1632" s="8">
        <f>HYPERLINK("https://dart.fss.or.kr/dsaf001/main.do?rcpNo=20260202000193", "공시열람")</f>
        <v/>
      </c>
    </row>
    <row r="1633">
      <c r="A1633" s="2" t="inlineStr">
        <is>
          <t>2026-02-02</t>
        </is>
      </c>
      <c r="B1633" s="3" t="inlineStr">
        <is>
          <t>삼성전자</t>
        </is>
      </c>
      <c r="C1633" s="2" t="inlineStr">
        <is>
          <t>코스피</t>
        </is>
      </c>
      <c r="D1633" s="2" t="inlineStr">
        <is>
          <t>005930</t>
        </is>
      </c>
      <c r="E1633" s="3" t="inlineStr">
        <is>
          <t>임원ㆍ주요주주특정증권등소유상황보고서</t>
        </is>
      </c>
      <c r="F1633" s="3" t="inlineStr">
        <is>
          <t>김용훈</t>
        </is>
      </c>
      <c r="G1633" s="2" t="inlineStr">
        <is>
          <t>20260202000192</t>
        </is>
      </c>
      <c r="H1633" s="8">
        <f>HYPERLINK("https://dart.fss.or.kr/dsaf001/main.do?rcpNo=20260202000192", "공시열람")</f>
        <v/>
      </c>
    </row>
    <row r="1634">
      <c r="A1634" s="2" t="inlineStr">
        <is>
          <t>2026-02-02</t>
        </is>
      </c>
      <c r="B1634" s="3" t="inlineStr">
        <is>
          <t>삼성전자</t>
        </is>
      </c>
      <c r="C1634" s="2" t="inlineStr">
        <is>
          <t>코스피</t>
        </is>
      </c>
      <c r="D1634" s="2" t="inlineStr">
        <is>
          <t>005930</t>
        </is>
      </c>
      <c r="E1634" s="3" t="inlineStr">
        <is>
          <t>임원ㆍ주요주주특정증권등소유상황보고서</t>
        </is>
      </c>
      <c r="F1634" s="3" t="inlineStr">
        <is>
          <t>김영정</t>
        </is>
      </c>
      <c r="G1634" s="2" t="inlineStr">
        <is>
          <t>20260202000191</t>
        </is>
      </c>
      <c r="H1634" s="8">
        <f>HYPERLINK("https://dart.fss.or.kr/dsaf001/main.do?rcpNo=20260202000191", "공시열람")</f>
        <v/>
      </c>
    </row>
    <row r="1635">
      <c r="A1635" s="2" t="inlineStr">
        <is>
          <t>2026-02-02</t>
        </is>
      </c>
      <c r="B1635" s="3" t="inlineStr">
        <is>
          <t>삼성전자</t>
        </is>
      </c>
      <c r="C1635" s="2" t="inlineStr">
        <is>
          <t>코스피</t>
        </is>
      </c>
      <c r="D1635" s="2" t="inlineStr">
        <is>
          <t>005930</t>
        </is>
      </c>
      <c r="E1635" s="3" t="inlineStr">
        <is>
          <t>임원ㆍ주요주주특정증권등소유상황보고서</t>
        </is>
      </c>
      <c r="F1635" s="3" t="inlineStr">
        <is>
          <t>이상현</t>
        </is>
      </c>
      <c r="G1635" s="2" t="inlineStr">
        <is>
          <t>20260202000190</t>
        </is>
      </c>
      <c r="H1635" s="8">
        <f>HYPERLINK("https://dart.fss.or.kr/dsaf001/main.do?rcpNo=20260202000190", "공시열람")</f>
        <v/>
      </c>
    </row>
    <row r="1636">
      <c r="A1636" s="2" t="inlineStr">
        <is>
          <t>2026-02-02</t>
        </is>
      </c>
      <c r="B1636" s="3" t="inlineStr">
        <is>
          <t>삼성전자</t>
        </is>
      </c>
      <c r="C1636" s="2" t="inlineStr">
        <is>
          <t>코스피</t>
        </is>
      </c>
      <c r="D1636" s="2" t="inlineStr">
        <is>
          <t>005930</t>
        </is>
      </c>
      <c r="E1636" s="3" t="inlineStr">
        <is>
          <t>임원ㆍ주요주주특정증권등소유상황보고서</t>
        </is>
      </c>
      <c r="F1636" s="3" t="inlineStr">
        <is>
          <t>손용훈</t>
        </is>
      </c>
      <c r="G1636" s="2" t="inlineStr">
        <is>
          <t>20260202000187</t>
        </is>
      </c>
      <c r="H1636" s="8">
        <f>HYPERLINK("https://dart.fss.or.kr/dsaf001/main.do?rcpNo=20260202000187", "공시열람")</f>
        <v/>
      </c>
    </row>
    <row r="1637">
      <c r="A1637" s="2" t="inlineStr">
        <is>
          <t>2026-02-02</t>
        </is>
      </c>
      <c r="B1637" s="3" t="inlineStr">
        <is>
          <t>삼성전자</t>
        </is>
      </c>
      <c r="C1637" s="2" t="inlineStr">
        <is>
          <t>코스피</t>
        </is>
      </c>
      <c r="D1637" s="2" t="inlineStr">
        <is>
          <t>005930</t>
        </is>
      </c>
      <c r="E1637" s="3" t="inlineStr">
        <is>
          <t>임원ㆍ주요주주특정증권등소유상황보고서</t>
        </is>
      </c>
      <c r="F1637" s="3" t="inlineStr">
        <is>
          <t>이종우</t>
        </is>
      </c>
      <c r="G1637" s="2" t="inlineStr">
        <is>
          <t>20260202000186</t>
        </is>
      </c>
      <c r="H1637" s="8">
        <f>HYPERLINK("https://dart.fss.or.kr/dsaf001/main.do?rcpNo=20260202000186", "공시열람")</f>
        <v/>
      </c>
    </row>
    <row r="1638">
      <c r="A1638" s="2" t="inlineStr">
        <is>
          <t>2026-02-02</t>
        </is>
      </c>
      <c r="B1638" s="3" t="inlineStr">
        <is>
          <t>삼성전자</t>
        </is>
      </c>
      <c r="C1638" s="2" t="inlineStr">
        <is>
          <t>코스피</t>
        </is>
      </c>
      <c r="D1638" s="2" t="inlineStr">
        <is>
          <t>005930</t>
        </is>
      </c>
      <c r="E1638" s="3" t="inlineStr">
        <is>
          <t>임원ㆍ주요주주특정증권등소유상황보고서</t>
        </is>
      </c>
      <c r="F1638" s="3" t="inlineStr">
        <is>
          <t>김태정</t>
        </is>
      </c>
      <c r="G1638" s="2" t="inlineStr">
        <is>
          <t>20260202000185</t>
        </is>
      </c>
      <c r="H1638" s="8">
        <f>HYPERLINK("https://dart.fss.or.kr/dsaf001/main.do?rcpNo=20260202000185", "공시열람")</f>
        <v/>
      </c>
    </row>
    <row r="1639">
      <c r="A1639" s="2" t="inlineStr">
        <is>
          <t>2026-02-02</t>
        </is>
      </c>
      <c r="B1639" s="3" t="inlineStr">
        <is>
          <t>삼성전자</t>
        </is>
      </c>
      <c r="C1639" s="2" t="inlineStr">
        <is>
          <t>코스피</t>
        </is>
      </c>
      <c r="D1639" s="2" t="inlineStr">
        <is>
          <t>005930</t>
        </is>
      </c>
      <c r="E1639" s="3" t="inlineStr">
        <is>
          <t>임원ㆍ주요주주특정증권등소유상황보고서</t>
        </is>
      </c>
      <c r="F1639" s="3" t="inlineStr">
        <is>
          <t>홍준식</t>
        </is>
      </c>
      <c r="G1639" s="2" t="inlineStr">
        <is>
          <t>20260202000184</t>
        </is>
      </c>
      <c r="H1639" s="8">
        <f>HYPERLINK("https://dart.fss.or.kr/dsaf001/main.do?rcpNo=20260202000184", "공시열람")</f>
        <v/>
      </c>
    </row>
    <row r="1640">
      <c r="A1640" s="2" t="inlineStr">
        <is>
          <t>2026-02-02</t>
        </is>
      </c>
      <c r="B1640" s="3" t="inlineStr">
        <is>
          <t>삼성전자</t>
        </is>
      </c>
      <c r="C1640" s="2" t="inlineStr">
        <is>
          <t>코스피</t>
        </is>
      </c>
      <c r="D1640" s="2" t="inlineStr">
        <is>
          <t>005930</t>
        </is>
      </c>
      <c r="E1640" s="3" t="inlineStr">
        <is>
          <t>임원ㆍ주요주주특정증권등소유상황보고서</t>
        </is>
      </c>
      <c r="F1640" s="3" t="inlineStr">
        <is>
          <t>박진표</t>
        </is>
      </c>
      <c r="G1640" s="2" t="inlineStr">
        <is>
          <t>20260202000182</t>
        </is>
      </c>
      <c r="H1640" s="8">
        <f>HYPERLINK("https://dart.fss.or.kr/dsaf001/main.do?rcpNo=20260202000182", "공시열람")</f>
        <v/>
      </c>
    </row>
    <row r="1641">
      <c r="A1641" s="2" t="inlineStr">
        <is>
          <t>2026-02-02</t>
        </is>
      </c>
      <c r="B1641" s="3" t="inlineStr">
        <is>
          <t>삼성전자</t>
        </is>
      </c>
      <c r="C1641" s="2" t="inlineStr">
        <is>
          <t>코스피</t>
        </is>
      </c>
      <c r="D1641" s="2" t="inlineStr">
        <is>
          <t>005930</t>
        </is>
      </c>
      <c r="E1641" s="3" t="inlineStr">
        <is>
          <t>임원ㆍ주요주주특정증권등소유상황보고서</t>
        </is>
      </c>
      <c r="F1641" s="3" t="inlineStr">
        <is>
          <t>김윤재</t>
        </is>
      </c>
      <c r="G1641" s="2" t="inlineStr">
        <is>
          <t>20260202000181</t>
        </is>
      </c>
      <c r="H1641" s="8">
        <f>HYPERLINK("https://dart.fss.or.kr/dsaf001/main.do?rcpNo=20260202000181", "공시열람")</f>
        <v/>
      </c>
    </row>
    <row r="1642">
      <c r="A1642" s="2" t="inlineStr">
        <is>
          <t>2026-02-02</t>
        </is>
      </c>
      <c r="B1642" s="3" t="inlineStr">
        <is>
          <t>삼성전자</t>
        </is>
      </c>
      <c r="C1642" s="2" t="inlineStr">
        <is>
          <t>코스피</t>
        </is>
      </c>
      <c r="D1642" s="2" t="inlineStr">
        <is>
          <t>005930</t>
        </is>
      </c>
      <c r="E1642" s="3" t="inlineStr">
        <is>
          <t>임원ㆍ주요주주특정증권등소유상황보고서</t>
        </is>
      </c>
      <c r="F1642" s="3" t="inlineStr">
        <is>
          <t>김용완</t>
        </is>
      </c>
      <c r="G1642" s="2" t="inlineStr">
        <is>
          <t>20260202000180</t>
        </is>
      </c>
      <c r="H1642" s="8">
        <f>HYPERLINK("https://dart.fss.or.kr/dsaf001/main.do?rcpNo=20260202000180", "공시열람")</f>
        <v/>
      </c>
    </row>
    <row r="1643">
      <c r="A1643" s="2" t="inlineStr">
        <is>
          <t>2026-02-02</t>
        </is>
      </c>
      <c r="B1643" s="3" t="inlineStr">
        <is>
          <t>삼성전자</t>
        </is>
      </c>
      <c r="C1643" s="2" t="inlineStr">
        <is>
          <t>코스피</t>
        </is>
      </c>
      <c r="D1643" s="2" t="inlineStr">
        <is>
          <t>005930</t>
        </is>
      </c>
      <c r="E1643" s="3" t="inlineStr">
        <is>
          <t>임원ㆍ주요주주특정증권등소유상황보고서</t>
        </is>
      </c>
      <c r="F1643" s="3" t="inlineStr">
        <is>
          <t>김이수</t>
        </is>
      </c>
      <c r="G1643" s="2" t="inlineStr">
        <is>
          <t>20260202000176</t>
        </is>
      </c>
      <c r="H1643" s="8">
        <f>HYPERLINK("https://dart.fss.or.kr/dsaf001/main.do?rcpNo=20260202000176", "공시열람")</f>
        <v/>
      </c>
    </row>
    <row r="1644">
      <c r="A1644" s="2" t="inlineStr">
        <is>
          <t>2026-02-02</t>
        </is>
      </c>
      <c r="B1644" s="3" t="inlineStr">
        <is>
          <t>한화투자증권</t>
        </is>
      </c>
      <c r="C1644" s="2" t="inlineStr">
        <is>
          <t>코스피</t>
        </is>
      </c>
      <c r="D1644" s="2" t="inlineStr">
        <is>
          <t>003530</t>
        </is>
      </c>
      <c r="E1644" s="3" t="inlineStr">
        <is>
          <t>증권발행실적보고서</t>
        </is>
      </c>
      <c r="F1644" s="3" t="inlineStr">
        <is>
          <t>한화투자증권</t>
        </is>
      </c>
      <c r="G1644" s="2" t="inlineStr">
        <is>
          <t>20260202000175</t>
        </is>
      </c>
      <c r="H1644" s="8">
        <f>HYPERLINK("https://dart.fss.or.kr/dsaf001/main.do?rcpNo=20260202000175", "공시열람")</f>
        <v/>
      </c>
    </row>
    <row r="1645">
      <c r="A1645" s="2" t="inlineStr">
        <is>
          <t>2026-02-02</t>
        </is>
      </c>
      <c r="B1645" s="3" t="inlineStr">
        <is>
          <t>삼성전자</t>
        </is>
      </c>
      <c r="C1645" s="2" t="inlineStr">
        <is>
          <t>코스피</t>
        </is>
      </c>
      <c r="D1645" s="2" t="inlineStr">
        <is>
          <t>005930</t>
        </is>
      </c>
      <c r="E1645" s="3" t="inlineStr">
        <is>
          <t>임원ㆍ주요주주특정증권등소유상황보고서</t>
        </is>
      </c>
      <c r="F1645" s="3" t="inlineStr">
        <is>
          <t>정인호</t>
        </is>
      </c>
      <c r="G1645" s="2" t="inlineStr">
        <is>
          <t>20260202000173</t>
        </is>
      </c>
      <c r="H1645" s="8">
        <f>HYPERLINK("https://dart.fss.or.kr/dsaf001/main.do?rcpNo=20260202000173", "공시열람")</f>
        <v/>
      </c>
    </row>
    <row r="1646">
      <c r="A1646" s="2" t="inlineStr">
        <is>
          <t>2026-02-02</t>
        </is>
      </c>
      <c r="B1646" s="3" t="inlineStr">
        <is>
          <t>삼성전자</t>
        </is>
      </c>
      <c r="C1646" s="2" t="inlineStr">
        <is>
          <t>코스피</t>
        </is>
      </c>
      <c r="D1646" s="2" t="inlineStr">
        <is>
          <t>005930</t>
        </is>
      </c>
      <c r="E1646" s="3" t="inlineStr">
        <is>
          <t>임원ㆍ주요주주특정증권등소유상황보고서</t>
        </is>
      </c>
      <c r="F1646" s="3" t="inlineStr">
        <is>
          <t>허길영</t>
        </is>
      </c>
      <c r="G1646" s="2" t="inlineStr">
        <is>
          <t>20260202000172</t>
        </is>
      </c>
      <c r="H1646" s="8">
        <f>HYPERLINK("https://dart.fss.or.kr/dsaf001/main.do?rcpNo=20260202000172", "공시열람")</f>
        <v/>
      </c>
    </row>
    <row r="1647">
      <c r="A1647" s="2" t="inlineStr">
        <is>
          <t>2026-02-02</t>
        </is>
      </c>
      <c r="B1647" s="3" t="inlineStr">
        <is>
          <t>삼성전자</t>
        </is>
      </c>
      <c r="C1647" s="2" t="inlineStr">
        <is>
          <t>코스피</t>
        </is>
      </c>
      <c r="D1647" s="2" t="inlineStr">
        <is>
          <t>005930</t>
        </is>
      </c>
      <c r="E1647" s="3" t="inlineStr">
        <is>
          <t>임원ㆍ주요주주특정증권등소유상황보고서</t>
        </is>
      </c>
      <c r="F1647" s="3" t="inlineStr">
        <is>
          <t>정용덕</t>
        </is>
      </c>
      <c r="G1647" s="2" t="inlineStr">
        <is>
          <t>20260202000171</t>
        </is>
      </c>
      <c r="H1647" s="8">
        <f>HYPERLINK("https://dart.fss.or.kr/dsaf001/main.do?rcpNo=20260202000171", "공시열람")</f>
        <v/>
      </c>
    </row>
    <row r="1648">
      <c r="A1648" s="2" t="inlineStr">
        <is>
          <t>2026-02-02</t>
        </is>
      </c>
      <c r="B1648" s="3" t="inlineStr">
        <is>
          <t>삼성전자</t>
        </is>
      </c>
      <c r="C1648" s="2" t="inlineStr">
        <is>
          <t>코스피</t>
        </is>
      </c>
      <c r="D1648" s="2" t="inlineStr">
        <is>
          <t>005930</t>
        </is>
      </c>
      <c r="E1648" s="3" t="inlineStr">
        <is>
          <t>임원ㆍ주요주주특정증권등소유상황보고서</t>
        </is>
      </c>
      <c r="F1648" s="3" t="inlineStr">
        <is>
          <t>박상교</t>
        </is>
      </c>
      <c r="G1648" s="2" t="inlineStr">
        <is>
          <t>20260202000168</t>
        </is>
      </c>
      <c r="H1648" s="8">
        <f>HYPERLINK("https://dart.fss.or.kr/dsaf001/main.do?rcpNo=20260202000168", "공시열람")</f>
        <v/>
      </c>
    </row>
    <row r="1649">
      <c r="A1649" s="2" t="inlineStr">
        <is>
          <t>2026-02-02</t>
        </is>
      </c>
      <c r="B1649" s="3" t="inlineStr">
        <is>
          <t>삼성전자</t>
        </is>
      </c>
      <c r="C1649" s="2" t="inlineStr">
        <is>
          <t>코스피</t>
        </is>
      </c>
      <c r="D1649" s="2" t="inlineStr">
        <is>
          <t>005930</t>
        </is>
      </c>
      <c r="E1649" s="3" t="inlineStr">
        <is>
          <t>임원ㆍ주요주주특정증권등소유상황보고서</t>
        </is>
      </c>
      <c r="F1649" s="3" t="inlineStr">
        <is>
          <t>이창수</t>
        </is>
      </c>
      <c r="G1649" s="2" t="inlineStr">
        <is>
          <t>20260202000166</t>
        </is>
      </c>
      <c r="H1649" s="8">
        <f>HYPERLINK("https://dart.fss.or.kr/dsaf001/main.do?rcpNo=20260202000166", "공시열람")</f>
        <v/>
      </c>
    </row>
    <row r="1650">
      <c r="A1650" s="2" t="inlineStr">
        <is>
          <t>2026-02-02</t>
        </is>
      </c>
      <c r="B1650" s="3" t="inlineStr">
        <is>
          <t>모토닉</t>
        </is>
      </c>
      <c r="C1650" s="2" t="inlineStr">
        <is>
          <t>코스피</t>
        </is>
      </c>
      <c r="D1650" s="2" t="inlineStr">
        <is>
          <t>009680</t>
        </is>
      </c>
      <c r="E1650" s="3" t="inlineStr">
        <is>
          <t xml:space="preserve">현금ㆍ현물배당결정              </t>
        </is>
      </c>
      <c r="F1650" s="3" t="inlineStr">
        <is>
          <t>모토닉</t>
        </is>
      </c>
      <c r="G1650" s="2" t="inlineStr">
        <is>
          <t>20260202800455</t>
        </is>
      </c>
      <c r="H1650" s="8">
        <f>HYPERLINK("https://dart.fss.or.kr/dsaf001/main.do?rcpNo=20260202800455", "공시열람")</f>
        <v/>
      </c>
    </row>
    <row r="1651">
      <c r="A1651" s="2" t="inlineStr">
        <is>
          <t>2026-02-02</t>
        </is>
      </c>
      <c r="B1651" s="3" t="inlineStr">
        <is>
          <t>선진뷰티사이언스</t>
        </is>
      </c>
      <c r="C1651" s="2" t="inlineStr">
        <is>
          <t>코스닥</t>
        </is>
      </c>
      <c r="D1651" s="2" t="inlineStr">
        <is>
          <t>086710</t>
        </is>
      </c>
      <c r="E1651" s="3" t="inlineStr">
        <is>
          <t>임원ㆍ주요주주특정증권등소유상황보고서</t>
        </is>
      </c>
      <c r="F1651" s="3" t="inlineStr">
        <is>
          <t>이성호</t>
        </is>
      </c>
      <c r="G1651" s="2" t="inlineStr">
        <is>
          <t>20260202000163</t>
        </is>
      </c>
      <c r="H1651" s="8">
        <f>HYPERLINK("https://dart.fss.or.kr/dsaf001/main.do?rcpNo=20260202000163", "공시열람")</f>
        <v/>
      </c>
    </row>
    <row r="1652">
      <c r="A1652" s="2" t="inlineStr">
        <is>
          <t>2026-02-02</t>
        </is>
      </c>
      <c r="B1652" s="3" t="inlineStr">
        <is>
          <t>케이엠제약</t>
        </is>
      </c>
      <c r="C1652" s="2" t="inlineStr">
        <is>
          <t>코스닥</t>
        </is>
      </c>
      <c r="D1652" s="2" t="inlineStr">
        <is>
          <t>225430</t>
        </is>
      </c>
      <c r="E1652" s="3" t="inlineStr">
        <is>
          <t>임원ㆍ주요주주특정증권등소유상황보고서</t>
        </is>
      </c>
      <c r="F1652" s="3" t="inlineStr">
        <is>
          <t>임영애</t>
        </is>
      </c>
      <c r="G1652" s="2" t="inlineStr">
        <is>
          <t>20260202000162</t>
        </is>
      </c>
      <c r="H1652" s="8">
        <f>HYPERLINK("https://dart.fss.or.kr/dsaf001/main.do?rcpNo=20260202000162", "공시열람")</f>
        <v/>
      </c>
    </row>
    <row r="1653">
      <c r="A1653" s="2" t="inlineStr">
        <is>
          <t>2026-02-02</t>
        </is>
      </c>
      <c r="B1653" s="3" t="inlineStr">
        <is>
          <t>케이엠제약</t>
        </is>
      </c>
      <c r="C1653" s="2" t="inlineStr">
        <is>
          <t>코스닥</t>
        </is>
      </c>
      <c r="D1653" s="2" t="inlineStr">
        <is>
          <t>225430</t>
        </is>
      </c>
      <c r="E1653" s="3" t="inlineStr">
        <is>
          <t>임원ㆍ주요주주특정증권등소유상황보고서</t>
        </is>
      </c>
      <c r="F1653" s="3" t="inlineStr">
        <is>
          <t>황민영</t>
        </is>
      </c>
      <c r="G1653" s="2" t="inlineStr">
        <is>
          <t>20260202000161</t>
        </is>
      </c>
      <c r="H1653" s="8">
        <f>HYPERLINK("https://dart.fss.or.kr/dsaf001/main.do?rcpNo=20260202000161", "공시열람")</f>
        <v/>
      </c>
    </row>
    <row r="1654">
      <c r="A1654" s="2" t="inlineStr">
        <is>
          <t>2026-02-02</t>
        </is>
      </c>
      <c r="B1654" s="3" t="inlineStr">
        <is>
          <t>삼성전자</t>
        </is>
      </c>
      <c r="C1654" s="2" t="inlineStr">
        <is>
          <t>코스피</t>
        </is>
      </c>
      <c r="D1654" s="2" t="inlineStr">
        <is>
          <t>005930</t>
        </is>
      </c>
      <c r="E1654" s="3" t="inlineStr">
        <is>
          <t>임원ㆍ주요주주특정증권등소유상황보고서</t>
        </is>
      </c>
      <c r="F1654" s="3" t="inlineStr">
        <is>
          <t>최장석</t>
        </is>
      </c>
      <c r="G1654" s="2" t="inlineStr">
        <is>
          <t>20260202000160</t>
        </is>
      </c>
      <c r="H1654" s="8">
        <f>HYPERLINK("https://dart.fss.or.kr/dsaf001/main.do?rcpNo=20260202000160", "공시열람")</f>
        <v/>
      </c>
    </row>
    <row r="1655">
      <c r="A1655" s="2" t="inlineStr">
        <is>
          <t>2026-02-02</t>
        </is>
      </c>
      <c r="B1655" s="3" t="inlineStr">
        <is>
          <t>케이엠제약</t>
        </is>
      </c>
      <c r="C1655" s="2" t="inlineStr">
        <is>
          <t>코스닥</t>
        </is>
      </c>
      <c r="D1655" s="2" t="inlineStr">
        <is>
          <t>225430</t>
        </is>
      </c>
      <c r="E1655" s="3" t="inlineStr">
        <is>
          <t>임원ㆍ주요주주특정증권등소유상황보고서</t>
        </is>
      </c>
      <c r="F1655" s="3" t="inlineStr">
        <is>
          <t>김종기</t>
        </is>
      </c>
      <c r="G1655" s="2" t="inlineStr">
        <is>
          <t>20260202000159</t>
        </is>
      </c>
      <c r="H1655" s="8">
        <f>HYPERLINK("https://dart.fss.or.kr/dsaf001/main.do?rcpNo=20260202000159", "공시열람")</f>
        <v/>
      </c>
    </row>
    <row r="1656">
      <c r="A1656" s="2" t="inlineStr">
        <is>
          <t>2026-02-02</t>
        </is>
      </c>
      <c r="B1656" s="3" t="inlineStr">
        <is>
          <t>화신정공</t>
        </is>
      </c>
      <c r="C1656" s="2" t="inlineStr">
        <is>
          <t>코스닥</t>
        </is>
      </c>
      <c r="D1656" s="2" t="inlineStr">
        <is>
          <t>126640</t>
        </is>
      </c>
      <c r="E1656" s="3" t="inlineStr">
        <is>
          <t xml:space="preserve">매출액또는손익구조30%(대규모법인은15%)이상변동              </t>
        </is>
      </c>
      <c r="F1656" s="3" t="inlineStr">
        <is>
          <t>화신정공</t>
        </is>
      </c>
      <c r="G1656" s="2" t="inlineStr">
        <is>
          <t>20260202900428</t>
        </is>
      </c>
      <c r="H1656" s="8">
        <f>HYPERLINK("https://dart.fss.or.kr/dsaf001/main.do?rcpNo=20260202900428", "공시열람")</f>
        <v/>
      </c>
    </row>
    <row r="1657">
      <c r="A1657" s="2" t="inlineStr">
        <is>
          <t>2026-02-02</t>
        </is>
      </c>
      <c r="B1657" s="3" t="inlineStr">
        <is>
          <t>테크윙</t>
        </is>
      </c>
      <c r="C1657" s="2" t="inlineStr">
        <is>
          <t>코스닥</t>
        </is>
      </c>
      <c r="D1657" s="2" t="inlineStr">
        <is>
          <t>089030</t>
        </is>
      </c>
      <c r="E1657" s="3" t="inlineStr">
        <is>
          <t xml:space="preserve">[기재정정]매출액또는손익구조30%(대규모법인은15%)이상변동              </t>
        </is>
      </c>
      <c r="F1657" s="3" t="inlineStr">
        <is>
          <t>테크윙</t>
        </is>
      </c>
      <c r="G1657" s="2" t="inlineStr">
        <is>
          <t>20260202900427</t>
        </is>
      </c>
      <c r="H1657" s="8">
        <f>HYPERLINK("https://dart.fss.or.kr/dsaf001/main.do?rcpNo=20260202900427", "공시열람")</f>
        <v/>
      </c>
    </row>
    <row r="1658">
      <c r="A1658" s="2" t="inlineStr">
        <is>
          <t>2026-02-02</t>
        </is>
      </c>
      <c r="B1658" s="3" t="inlineStr">
        <is>
          <t>제일기획</t>
        </is>
      </c>
      <c r="C1658" s="2" t="inlineStr">
        <is>
          <t>코스피</t>
        </is>
      </c>
      <c r="D1658" s="2" t="inlineStr">
        <is>
          <t>030000</t>
        </is>
      </c>
      <c r="E1658" s="3" t="inlineStr">
        <is>
          <t xml:space="preserve">수시공시의무관련사항(공정공시)              </t>
        </is>
      </c>
      <c r="F1658" s="3" t="inlineStr">
        <is>
          <t>제일기획</t>
        </is>
      </c>
      <c r="G1658" s="2" t="inlineStr">
        <is>
          <t>20260202800430</t>
        </is>
      </c>
      <c r="H1658" s="8">
        <f>HYPERLINK("https://dart.fss.or.kr/dsaf001/main.do?rcpNo=20260202800430", "공시열람")</f>
        <v/>
      </c>
    </row>
    <row r="1659">
      <c r="A1659" s="2" t="inlineStr">
        <is>
          <t>2026-02-02</t>
        </is>
      </c>
      <c r="B1659" s="3" t="inlineStr">
        <is>
          <t>제일기획</t>
        </is>
      </c>
      <c r="C1659" s="2" t="inlineStr">
        <is>
          <t>코스피</t>
        </is>
      </c>
      <c r="D1659" s="2" t="inlineStr">
        <is>
          <t>030000</t>
        </is>
      </c>
      <c r="E1659" s="3" t="inlineStr">
        <is>
          <t xml:space="preserve">현금ㆍ현물배당결정              </t>
        </is>
      </c>
      <c r="F1659" s="3" t="inlineStr">
        <is>
          <t>제일기획</t>
        </is>
      </c>
      <c r="G1659" s="2" t="inlineStr">
        <is>
          <t>20260202800429</t>
        </is>
      </c>
      <c r="H1659" s="8">
        <f>HYPERLINK("https://dart.fss.or.kr/dsaf001/main.do?rcpNo=20260202800429", "공시열람")</f>
        <v/>
      </c>
    </row>
    <row r="1660">
      <c r="A1660" s="2" t="inlineStr">
        <is>
          <t>2026-02-02</t>
        </is>
      </c>
      <c r="B1660" s="3" t="inlineStr">
        <is>
          <t>제일기획</t>
        </is>
      </c>
      <c r="C1660" s="2" t="inlineStr">
        <is>
          <t>코스피</t>
        </is>
      </c>
      <c r="D1660" s="2" t="inlineStr">
        <is>
          <t>030000</t>
        </is>
      </c>
      <c r="E1660" s="3" t="inlineStr">
        <is>
          <t xml:space="preserve">연결재무제표기준영업(잠정)실적(공정공시)              </t>
        </is>
      </c>
      <c r="F1660" s="3" t="inlineStr">
        <is>
          <t>제일기획</t>
        </is>
      </c>
      <c r="G1660" s="2" t="inlineStr">
        <is>
          <t>20260202800424</t>
        </is>
      </c>
      <c r="H1660" s="8">
        <f>HYPERLINK("https://dart.fss.or.kr/dsaf001/main.do?rcpNo=20260202800424", "공시열람")</f>
        <v/>
      </c>
    </row>
    <row r="1661">
      <c r="A1661" s="2" t="inlineStr">
        <is>
          <t>2026-02-02</t>
        </is>
      </c>
      <c r="B1661" s="3" t="inlineStr">
        <is>
          <t>테크윙</t>
        </is>
      </c>
      <c r="C1661" s="2" t="inlineStr">
        <is>
          <t>코스닥</t>
        </is>
      </c>
      <c r="D1661" s="2" t="inlineStr">
        <is>
          <t>089030</t>
        </is>
      </c>
      <c r="E1661" s="3" t="inlineStr">
        <is>
          <t xml:space="preserve">매출액또는손익구조30%(대규모법인은15%)이상변동              </t>
        </is>
      </c>
      <c r="F1661" s="3" t="inlineStr">
        <is>
          <t>테크윙</t>
        </is>
      </c>
      <c r="G1661" s="2" t="inlineStr">
        <is>
          <t>20260202900416</t>
        </is>
      </c>
      <c r="H1661" s="8">
        <f>HYPERLINK("https://dart.fss.or.kr/dsaf001/main.do?rcpNo=20260202900416", "공시열람")</f>
        <v/>
      </c>
    </row>
    <row r="1662">
      <c r="A1662" s="2" t="inlineStr">
        <is>
          <t>2026-02-02</t>
        </is>
      </c>
      <c r="B1662" s="3" t="inlineStr">
        <is>
          <t>세경하이테크</t>
        </is>
      </c>
      <c r="C1662" s="2" t="inlineStr">
        <is>
          <t>코스닥</t>
        </is>
      </c>
      <c r="D1662" s="2" t="inlineStr">
        <is>
          <t>148150</t>
        </is>
      </c>
      <c r="E1662" s="3" t="inlineStr">
        <is>
          <t>임원ㆍ주요주주특정증권등소유상황보고서</t>
        </is>
      </c>
      <c r="F1662" s="3" t="inlineStr">
        <is>
          <t>박지훈</t>
        </is>
      </c>
      <c r="G1662" s="2" t="inlineStr">
        <is>
          <t>20260202000150</t>
        </is>
      </c>
      <c r="H1662" s="8">
        <f>HYPERLINK("https://dart.fss.or.kr/dsaf001/main.do?rcpNo=20260202000150", "공시열람")</f>
        <v/>
      </c>
    </row>
    <row r="1663">
      <c r="A1663" s="2" t="inlineStr">
        <is>
          <t>2026-02-02</t>
        </is>
      </c>
      <c r="B1663" s="3" t="inlineStr">
        <is>
          <t>에이엔피</t>
        </is>
      </c>
      <c r="C1663" s="2" t="inlineStr">
        <is>
          <t>코스피</t>
        </is>
      </c>
      <c r="D1663" s="2" t="inlineStr">
        <is>
          <t>015260</t>
        </is>
      </c>
      <c r="E1663" s="3" t="inlineStr">
        <is>
          <t>임원ㆍ주요주주특정증권등거래계획철회보고서</t>
        </is>
      </c>
      <c r="F1663" s="3" t="inlineStr">
        <is>
          <t>전운관</t>
        </is>
      </c>
      <c r="G1663" s="2" t="inlineStr">
        <is>
          <t>20260202000146</t>
        </is>
      </c>
      <c r="H1663" s="8">
        <f>HYPERLINK("https://dart.fss.or.kr/dsaf001/main.do?rcpNo=20260202000146", "공시열람")</f>
        <v/>
      </c>
    </row>
    <row r="1664">
      <c r="A1664" s="2" t="inlineStr">
        <is>
          <t>2026-02-02</t>
        </is>
      </c>
      <c r="B1664" s="3" t="inlineStr">
        <is>
          <t>알테오젠</t>
        </is>
      </c>
      <c r="C1664" s="2" t="inlineStr">
        <is>
          <t>코스닥</t>
        </is>
      </c>
      <c r="D1664" s="2" t="inlineStr">
        <is>
          <t>196170</t>
        </is>
      </c>
      <c r="E1664" s="3" t="inlineStr">
        <is>
          <t xml:space="preserve">영업(잠정)실적(공정공시)              </t>
        </is>
      </c>
      <c r="F1664" s="3" t="inlineStr">
        <is>
          <t>알테오젠</t>
        </is>
      </c>
      <c r="G1664" s="2" t="inlineStr">
        <is>
          <t>20260202900398</t>
        </is>
      </c>
      <c r="H1664" s="8">
        <f>HYPERLINK("https://dart.fss.or.kr/dsaf001/main.do?rcpNo=20260202900398", "공시열람")</f>
        <v/>
      </c>
    </row>
    <row r="1665">
      <c r="A1665" s="2" t="inlineStr">
        <is>
          <t>2026-02-02</t>
        </is>
      </c>
      <c r="B1665" s="3" t="inlineStr">
        <is>
          <t>쎄니트</t>
        </is>
      </c>
      <c r="C1665" s="2" t="inlineStr">
        <is>
          <t>코스닥</t>
        </is>
      </c>
      <c r="D1665" s="2" t="inlineStr">
        <is>
          <t>037760</t>
        </is>
      </c>
      <c r="E1665" s="3" t="inlineStr">
        <is>
          <t>임원ㆍ주요주주특정증권등소유상황보고서</t>
        </is>
      </c>
      <c r="F1665" s="3" t="inlineStr">
        <is>
          <t>최재진</t>
        </is>
      </c>
      <c r="G1665" s="2" t="inlineStr">
        <is>
          <t>20260202000141</t>
        </is>
      </c>
      <c r="H1665" s="8">
        <f>HYPERLINK("https://dart.fss.or.kr/dsaf001/main.do?rcpNo=20260202000141", "공시열람")</f>
        <v/>
      </c>
    </row>
    <row r="1666">
      <c r="A1666" s="2" t="inlineStr">
        <is>
          <t>2026-02-02</t>
        </is>
      </c>
      <c r="B1666" s="3" t="inlineStr">
        <is>
          <t>메디아나</t>
        </is>
      </c>
      <c r="C1666" s="2" t="inlineStr">
        <is>
          <t>코스닥</t>
        </is>
      </c>
      <c r="D1666" s="2" t="inlineStr">
        <is>
          <t>041920</t>
        </is>
      </c>
      <c r="E1666" s="3" t="inlineStr">
        <is>
          <t xml:space="preserve">매출액또는손익구조30%(대규모법인은15%)이상변동              </t>
        </is>
      </c>
      <c r="F1666" s="3" t="inlineStr">
        <is>
          <t>메디아나</t>
        </is>
      </c>
      <c r="G1666" s="2" t="inlineStr">
        <is>
          <t>20260202900388</t>
        </is>
      </c>
      <c r="H1666" s="8">
        <f>HYPERLINK("https://dart.fss.or.kr/dsaf001/main.do?rcpNo=20260202900388", "공시열람")</f>
        <v/>
      </c>
    </row>
    <row r="1667">
      <c r="A1667" s="2" t="inlineStr">
        <is>
          <t>2026-02-02</t>
        </is>
      </c>
      <c r="B1667" s="3" t="inlineStr">
        <is>
          <t>비씨월드제약</t>
        </is>
      </c>
      <c r="C1667" s="2" t="inlineStr">
        <is>
          <t>코스닥</t>
        </is>
      </c>
      <c r="D1667" s="2" t="inlineStr">
        <is>
          <t>200780</t>
        </is>
      </c>
      <c r="E1667" s="3" t="inlineStr">
        <is>
          <t xml:space="preserve">매출액또는손익구조30%(대규모법인은15%)이상변동              </t>
        </is>
      </c>
      <c r="F1667" s="3" t="inlineStr">
        <is>
          <t>비씨월드제약</t>
        </is>
      </c>
      <c r="G1667" s="2" t="inlineStr">
        <is>
          <t>20260202900352</t>
        </is>
      </c>
      <c r="H1667" s="8">
        <f>HYPERLINK("https://dart.fss.or.kr/dsaf001/main.do?rcpNo=20260202900352", "공시열람")</f>
        <v/>
      </c>
    </row>
    <row r="1668">
      <c r="A1668" s="2" t="inlineStr">
        <is>
          <t>2026-02-02</t>
        </is>
      </c>
      <c r="B1668" s="3" t="inlineStr">
        <is>
          <t>GS건설</t>
        </is>
      </c>
      <c r="C1668" s="2" t="inlineStr">
        <is>
          <t>코스피</t>
        </is>
      </c>
      <c r="D1668" s="2" t="inlineStr">
        <is>
          <t>006360</t>
        </is>
      </c>
      <c r="E1668" s="3" t="inlineStr">
        <is>
          <t xml:space="preserve">투자판단관련주요경영사항              </t>
        </is>
      </c>
      <c r="F1668" s="3" t="inlineStr">
        <is>
          <t>GS건설</t>
        </is>
      </c>
      <c r="G1668" s="2" t="inlineStr">
        <is>
          <t>20260202800375</t>
        </is>
      </c>
      <c r="H1668" s="8">
        <f>HYPERLINK("https://dart.fss.or.kr/dsaf001/main.do?rcpNo=20260202800375", "공시열람")</f>
        <v/>
      </c>
    </row>
    <row r="1669">
      <c r="A1669" s="2" t="inlineStr">
        <is>
          <t>2026-02-02</t>
        </is>
      </c>
      <c r="B1669" s="3" t="inlineStr">
        <is>
          <t>방림</t>
        </is>
      </c>
      <c r="C1669" s="2" t="inlineStr">
        <is>
          <t>코스피</t>
        </is>
      </c>
      <c r="D1669" s="2" t="inlineStr">
        <is>
          <t>003610</t>
        </is>
      </c>
      <c r="E1669" s="3" t="inlineStr">
        <is>
          <t>자기주식처분결과보고서</t>
        </is>
      </c>
      <c r="F1669" s="3" t="inlineStr">
        <is>
          <t>방림</t>
        </is>
      </c>
      <c r="G1669" s="2" t="inlineStr">
        <is>
          <t>20260202000130</t>
        </is>
      </c>
      <c r="H1669" s="8">
        <f>HYPERLINK("https://dart.fss.or.kr/dsaf001/main.do?rcpNo=20260202000130", "공시열람")</f>
        <v/>
      </c>
    </row>
    <row r="1670">
      <c r="A1670" s="2" t="inlineStr">
        <is>
          <t>2026-02-02</t>
        </is>
      </c>
      <c r="B1670" s="3" t="inlineStr">
        <is>
          <t>광진실업</t>
        </is>
      </c>
      <c r="C1670" s="2" t="inlineStr">
        <is>
          <t>코스닥</t>
        </is>
      </c>
      <c r="D1670" s="2" t="inlineStr">
        <is>
          <t>026910</t>
        </is>
      </c>
      <c r="E1670" s="3" t="inlineStr">
        <is>
          <t xml:space="preserve">매출액또는손익구조30%(대규모법인은15%)이상변동              </t>
        </is>
      </c>
      <c r="F1670" s="3" t="inlineStr">
        <is>
          <t>광진실업</t>
        </is>
      </c>
      <c r="G1670" s="2" t="inlineStr">
        <is>
          <t>20260202900355</t>
        </is>
      </c>
      <c r="H1670" s="8">
        <f>HYPERLINK("https://dart.fss.or.kr/dsaf001/main.do?rcpNo=20260202900355", "공시열람")</f>
        <v/>
      </c>
    </row>
    <row r="1671">
      <c r="A1671" s="2" t="inlineStr">
        <is>
          <t>2026-02-02</t>
        </is>
      </c>
      <c r="B1671" s="3" t="inlineStr">
        <is>
          <t>이녹스</t>
        </is>
      </c>
      <c r="C1671" s="2" t="inlineStr">
        <is>
          <t>코스닥</t>
        </is>
      </c>
      <c r="D1671" s="2" t="inlineStr">
        <is>
          <t>088390</t>
        </is>
      </c>
      <c r="E1671" s="3" t="inlineStr">
        <is>
          <t xml:space="preserve">매출액또는손익구조30%(대규모법인은15%)이상변동(자회사의 주요경영사항)              </t>
        </is>
      </c>
      <c r="F1671" s="3" t="inlineStr">
        <is>
          <t>이녹스</t>
        </is>
      </c>
      <c r="G1671" s="2" t="inlineStr">
        <is>
          <t>20260202900359</t>
        </is>
      </c>
      <c r="H1671" s="8">
        <f>HYPERLINK("https://dart.fss.or.kr/dsaf001/main.do?rcpNo=20260202900359", "공시열람")</f>
        <v/>
      </c>
    </row>
    <row r="1672">
      <c r="A1672" s="2" t="inlineStr">
        <is>
          <t>2026-02-02</t>
        </is>
      </c>
      <c r="B1672" s="3" t="inlineStr">
        <is>
          <t>케이씨에스</t>
        </is>
      </c>
      <c r="C1672" s="2" t="inlineStr">
        <is>
          <t>코스닥</t>
        </is>
      </c>
      <c r="D1672" s="2" t="inlineStr">
        <is>
          <t>115500</t>
        </is>
      </c>
      <c r="E1672" s="3" t="inlineStr">
        <is>
          <t xml:space="preserve">매출액또는손익구조30%(대규모법인은15%)이상변동              </t>
        </is>
      </c>
      <c r="F1672" s="3" t="inlineStr">
        <is>
          <t>케이씨에스</t>
        </is>
      </c>
      <c r="G1672" s="2" t="inlineStr">
        <is>
          <t>20260202900358</t>
        </is>
      </c>
      <c r="H1672" s="8">
        <f>HYPERLINK("https://dart.fss.or.kr/dsaf001/main.do?rcpNo=20260202900358", "공시열람")</f>
        <v/>
      </c>
    </row>
    <row r="1673">
      <c r="A1673" s="2" t="inlineStr">
        <is>
          <t>2026-02-02 (정정: 2026-03-06)</t>
        </is>
      </c>
      <c r="B1673" s="3" t="inlineStr">
        <is>
          <t>온코닉테라퓨틱스</t>
        </is>
      </c>
      <c r="C1673" s="2" t="inlineStr">
        <is>
          <t>코스닥</t>
        </is>
      </c>
      <c r="D1673" s="2" t="inlineStr">
        <is>
          <t>476060</t>
        </is>
      </c>
      <c r="E1673" s="3" t="inlineStr">
        <is>
          <t>매출액또는손익구조30%(대규모법인은15%)이상변동               (정정: 20260306)</t>
        </is>
      </c>
      <c r="F1673" s="3" t="inlineStr">
        <is>
          <t>온코닉테라퓨틱스</t>
        </is>
      </c>
      <c r="G1673" s="2" t="inlineStr">
        <is>
          <t>20260306900875</t>
        </is>
      </c>
      <c r="H1673" s="8">
        <f>HYPERLINK("https://dart.fss.or.kr/dsaf001/main.do?rcpNo=20260306900875", "공시열람")</f>
        <v/>
      </c>
    </row>
    <row r="1674">
      <c r="A1674" s="2" t="inlineStr">
        <is>
          <t>2026-02-02</t>
        </is>
      </c>
      <c r="B1674" s="3" t="inlineStr">
        <is>
          <t>신신제약</t>
        </is>
      </c>
      <c r="C1674" s="2" t="inlineStr">
        <is>
          <t>코스닥</t>
        </is>
      </c>
      <c r="D1674" s="2" t="inlineStr">
        <is>
          <t>002800</t>
        </is>
      </c>
      <c r="E1674" s="3" t="inlineStr">
        <is>
          <t xml:space="preserve">매출액또는손익구조30%(대규모법인은15%)이상변동              </t>
        </is>
      </c>
      <c r="F1674" s="3" t="inlineStr">
        <is>
          <t>신신제약</t>
        </is>
      </c>
      <c r="G1674" s="2" t="inlineStr">
        <is>
          <t>20260202900327</t>
        </is>
      </c>
      <c r="H1674" s="8">
        <f>HYPERLINK("https://dart.fss.or.kr/dsaf001/main.do?rcpNo=20260202900327", "공시열람")</f>
        <v/>
      </c>
    </row>
    <row r="1675">
      <c r="A1675" s="2" t="inlineStr">
        <is>
          <t>2026-02-02</t>
        </is>
      </c>
      <c r="B1675" s="3" t="inlineStr">
        <is>
          <t>알톤</t>
        </is>
      </c>
      <c r="C1675" s="2" t="inlineStr">
        <is>
          <t>코스닥</t>
        </is>
      </c>
      <c r="D1675" s="2" t="inlineStr">
        <is>
          <t>123750</t>
        </is>
      </c>
      <c r="E1675" s="3" t="inlineStr">
        <is>
          <t xml:space="preserve">매출액또는손익구조30%(대규모법인은15%)이상변동              </t>
        </is>
      </c>
      <c r="F1675" s="3" t="inlineStr">
        <is>
          <t>알톤</t>
        </is>
      </c>
      <c r="G1675" s="2" t="inlineStr">
        <is>
          <t>20260202900357</t>
        </is>
      </c>
      <c r="H1675" s="8">
        <f>HYPERLINK("https://dart.fss.or.kr/dsaf001/main.do?rcpNo=20260202900357", "공시열람")</f>
        <v/>
      </c>
    </row>
    <row r="1676">
      <c r="A1676" s="2" t="inlineStr">
        <is>
          <t>2026-02-02</t>
        </is>
      </c>
      <c r="B1676" s="3" t="inlineStr">
        <is>
          <t>삼성전자</t>
        </is>
      </c>
      <c r="C1676" s="2" t="inlineStr">
        <is>
          <t>코스피</t>
        </is>
      </c>
      <c r="D1676" s="2" t="inlineStr">
        <is>
          <t>005930</t>
        </is>
      </c>
      <c r="E1676" s="3" t="inlineStr">
        <is>
          <t>임원ㆍ주요주주특정증권등소유상황보고서</t>
        </is>
      </c>
      <c r="F1676" s="3" t="inlineStr">
        <is>
          <t>신현진</t>
        </is>
      </c>
      <c r="G1676" s="2" t="inlineStr">
        <is>
          <t>20260202000098</t>
        </is>
      </c>
      <c r="H1676" s="8">
        <f>HYPERLINK("https://dart.fss.or.kr/dsaf001/main.do?rcpNo=20260202000098", "공시열람")</f>
        <v/>
      </c>
    </row>
    <row r="1677">
      <c r="A1677" s="2" t="inlineStr">
        <is>
          <t>2026-02-02</t>
        </is>
      </c>
      <c r="B1677" s="3" t="inlineStr">
        <is>
          <t>판도라티비</t>
        </is>
      </c>
      <c r="C1677" s="2" t="inlineStr">
        <is>
          <t>코넥스</t>
        </is>
      </c>
      <c r="D1677" s="2" t="inlineStr">
        <is>
          <t>202960</t>
        </is>
      </c>
      <c r="E1677" s="3" t="inlineStr">
        <is>
          <t>임원ㆍ주요주주특정증권등소유상황보고서</t>
        </is>
      </c>
      <c r="F1677" s="3" t="inlineStr">
        <is>
          <t>김경익</t>
        </is>
      </c>
      <c r="G1677" s="2" t="inlineStr">
        <is>
          <t>20260202000096</t>
        </is>
      </c>
      <c r="H1677" s="8">
        <f>HYPERLINK("https://dart.fss.or.kr/dsaf001/main.do?rcpNo=20260202000096", "공시열람")</f>
        <v/>
      </c>
    </row>
    <row r="1678">
      <c r="A1678" s="2" t="inlineStr">
        <is>
          <t>2026-02-02</t>
        </is>
      </c>
      <c r="B1678" s="3" t="inlineStr">
        <is>
          <t>바이오다인</t>
        </is>
      </c>
      <c r="C1678" s="2" t="inlineStr">
        <is>
          <t>코스닥</t>
        </is>
      </c>
      <c r="D1678" s="2" t="inlineStr">
        <is>
          <t>314930</t>
        </is>
      </c>
      <c r="E1678" s="3" t="inlineStr">
        <is>
          <t xml:space="preserve">매출액또는손익구조30%(대규모법인은15%)이상변동              </t>
        </is>
      </c>
      <c r="F1678" s="3" t="inlineStr">
        <is>
          <t>바이오다인</t>
        </is>
      </c>
      <c r="G1678" s="2" t="inlineStr">
        <is>
          <t>20260202900302</t>
        </is>
      </c>
      <c r="H1678" s="8">
        <f>HYPERLINK("https://dart.fss.or.kr/dsaf001/main.do?rcpNo=20260202900302", "공시열람")</f>
        <v/>
      </c>
    </row>
    <row r="1679">
      <c r="A1679" s="2" t="inlineStr">
        <is>
          <t>2026-02-02</t>
        </is>
      </c>
      <c r="B1679" s="3" t="inlineStr">
        <is>
          <t>소노스퀘어</t>
        </is>
      </c>
      <c r="C1679" s="2" t="inlineStr">
        <is>
          <t>코스닥</t>
        </is>
      </c>
      <c r="D1679" s="2" t="inlineStr">
        <is>
          <t>007720</t>
        </is>
      </c>
      <c r="E1679" s="3" t="inlineStr">
        <is>
          <t xml:space="preserve">매출액또는손익구조30%(대규모법인은15%)이상변동              </t>
        </is>
      </c>
      <c r="F1679" s="3" t="inlineStr">
        <is>
          <t>소노스퀘어</t>
        </is>
      </c>
      <c r="G1679" s="2" t="inlineStr">
        <is>
          <t>20260202900301</t>
        </is>
      </c>
      <c r="H1679" s="8">
        <f>HYPERLINK("https://dart.fss.or.kr/dsaf001/main.do?rcpNo=20260202900301", "공시열람")</f>
        <v/>
      </c>
    </row>
    <row r="1680">
      <c r="A1680" s="2" t="inlineStr">
        <is>
          <t>2026-02-02</t>
        </is>
      </c>
      <c r="B1680" s="3" t="inlineStr">
        <is>
          <t>코람코더원리츠</t>
        </is>
      </c>
      <c r="C1680" s="2" t="inlineStr">
        <is>
          <t>코스피</t>
        </is>
      </c>
      <c r="D1680" s="2" t="inlineStr">
        <is>
          <t>417310</t>
        </is>
      </c>
      <c r="E1680" s="3" t="inlineStr">
        <is>
          <t xml:space="preserve">부동산투자회사금전배당결정              </t>
        </is>
      </c>
      <c r="F1680" s="3" t="inlineStr">
        <is>
          <t>코람코더원리츠</t>
        </is>
      </c>
      <c r="G1680" s="2" t="inlineStr">
        <is>
          <t>20260202800317</t>
        </is>
      </c>
      <c r="H1680" s="8">
        <f>HYPERLINK("https://dart.fss.or.kr/dsaf001/main.do?rcpNo=20260202800317", "공시열람")</f>
        <v/>
      </c>
    </row>
    <row r="1681">
      <c r="A1681" s="2" t="inlineStr">
        <is>
          <t>2026-02-02</t>
        </is>
      </c>
      <c r="B1681" s="3" t="inlineStr">
        <is>
          <t>로지시스</t>
        </is>
      </c>
      <c r="C1681" s="2" t="inlineStr">
        <is>
          <t>코스닥</t>
        </is>
      </c>
      <c r="D1681" s="2" t="inlineStr">
        <is>
          <t>067730</t>
        </is>
      </c>
      <c r="E1681" s="3" t="inlineStr">
        <is>
          <t xml:space="preserve">매출액또는손익구조30%(대규모법인은15%)이상변동              </t>
        </is>
      </c>
      <c r="F1681" s="3" t="inlineStr">
        <is>
          <t>로지시스</t>
        </is>
      </c>
      <c r="G1681" s="2" t="inlineStr">
        <is>
          <t>20260202900309</t>
        </is>
      </c>
      <c r="H1681" s="8">
        <f>HYPERLINK("https://dart.fss.or.kr/dsaf001/main.do?rcpNo=20260202900309", "공시열람")</f>
        <v/>
      </c>
    </row>
    <row r="1682">
      <c r="A1682" s="2" t="inlineStr">
        <is>
          <t>2026-02-02</t>
        </is>
      </c>
      <c r="B1682" s="3" t="inlineStr">
        <is>
          <t>비보존 제약</t>
        </is>
      </c>
      <c r="C1682" s="2" t="inlineStr">
        <is>
          <t>코스닥</t>
        </is>
      </c>
      <c r="D1682" s="2" t="inlineStr">
        <is>
          <t>082800</t>
        </is>
      </c>
      <c r="E1682" s="3" t="inlineStr">
        <is>
          <t>임원ㆍ주요주주특정증권등소유상황보고서</t>
        </is>
      </c>
      <c r="F1682" s="3" t="inlineStr">
        <is>
          <t>이학종</t>
        </is>
      </c>
      <c r="G1682" s="2" t="inlineStr">
        <is>
          <t>20260202000073</t>
        </is>
      </c>
      <c r="H1682" s="8">
        <f>HYPERLINK("https://dart.fss.or.kr/dsaf001/main.do?rcpNo=20260202000073", "공시열람")</f>
        <v/>
      </c>
    </row>
    <row r="1683">
      <c r="A1683" s="2" t="inlineStr">
        <is>
          <t>2026-02-02 (정정: 2026-03-17)</t>
        </is>
      </c>
      <c r="B1683" s="3" t="inlineStr">
        <is>
          <t>삼정펄프</t>
        </is>
      </c>
      <c r="C1683" s="2" t="inlineStr">
        <is>
          <t>코스피</t>
        </is>
      </c>
      <c r="D1683" s="2" t="inlineStr">
        <is>
          <t>009770</t>
        </is>
      </c>
      <c r="E1683" s="3" t="inlineStr">
        <is>
          <t>매출액또는손익구조30%(대규모법인은15%)이상변경               (정정: 20260317)</t>
        </is>
      </c>
      <c r="F1683" s="3" t="inlineStr">
        <is>
          <t>삼정펄프</t>
        </is>
      </c>
      <c r="G1683" s="2" t="inlineStr">
        <is>
          <t>20260317000535</t>
        </is>
      </c>
      <c r="H1683" s="8">
        <f>HYPERLINK("https://dart.fss.or.kr/dsaf001/main.do?rcpNo=20260317000535", "공시열람")</f>
        <v/>
      </c>
    </row>
    <row r="1684">
      <c r="A1684" s="2" t="inlineStr">
        <is>
          <t>2026-02-02 (정정: 2026-03-11)</t>
        </is>
      </c>
      <c r="B1684" s="3" t="inlineStr">
        <is>
          <t>아이티센엔텍</t>
        </is>
      </c>
      <c r="C1684" s="2" t="inlineStr">
        <is>
          <t>코스닥</t>
        </is>
      </c>
      <c r="D1684" s="2" t="inlineStr">
        <is>
          <t>010280</t>
        </is>
      </c>
      <c r="E1684" s="3" t="inlineStr">
        <is>
          <t>임원ㆍ주요주주특정증권등소유상황보고서 (정정: 20260304) (정정: 20260311)</t>
        </is>
      </c>
      <c r="F1684" s="3" t="inlineStr">
        <is>
          <t>신장호</t>
        </is>
      </c>
      <c r="G1684" s="2" t="inlineStr">
        <is>
          <t>20260311004603</t>
        </is>
      </c>
      <c r="H1684" s="8">
        <f>HYPERLINK("https://dart.fss.or.kr/dsaf001/main.do?rcpNo=20260311004603", "공시열람")</f>
        <v/>
      </c>
    </row>
    <row r="1685">
      <c r="A1685" s="2" t="inlineStr">
        <is>
          <t>2026-02-02</t>
        </is>
      </c>
      <c r="B1685" s="3" t="inlineStr">
        <is>
          <t>제이엘케이</t>
        </is>
      </c>
      <c r="C1685" s="2" t="inlineStr">
        <is>
          <t>코스닥</t>
        </is>
      </c>
      <c r="D1685" s="2" t="inlineStr">
        <is>
          <t>322510</t>
        </is>
      </c>
      <c r="E1685" s="3" t="inlineStr">
        <is>
          <t>임원ㆍ주요주주특정증권등소유상황보고서</t>
        </is>
      </c>
      <c r="F1685" s="3" t="inlineStr">
        <is>
          <t>김동민</t>
        </is>
      </c>
      <c r="G1685" s="2" t="inlineStr">
        <is>
          <t>20260202000051</t>
        </is>
      </c>
      <c r="H1685" s="8">
        <f>HYPERLINK("https://dart.fss.or.kr/dsaf001/main.do?rcpNo=20260202000051", "공시열람")</f>
        <v/>
      </c>
    </row>
    <row r="1686">
      <c r="A1686" s="2" t="inlineStr">
        <is>
          <t>2026-02-02</t>
        </is>
      </c>
      <c r="B1686" s="3" t="inlineStr">
        <is>
          <t>엠앤씨솔루션</t>
        </is>
      </c>
      <c r="C1686" s="2" t="inlineStr">
        <is>
          <t>코스피</t>
        </is>
      </c>
      <c r="D1686" s="2" t="inlineStr">
        <is>
          <t>484870</t>
        </is>
      </c>
      <c r="E1686" s="3" t="inlineStr">
        <is>
          <t xml:space="preserve">결산실적공시예고(안내공시)              </t>
        </is>
      </c>
      <c r="F1686" s="3" t="inlineStr">
        <is>
          <t>엠앤씨솔루션</t>
        </is>
      </c>
      <c r="G1686" s="2" t="inlineStr">
        <is>
          <t>20260202800241</t>
        </is>
      </c>
      <c r="H1686" s="8">
        <f>HYPERLINK("https://dart.fss.or.kr/dsaf001/main.do?rcpNo=20260202800241", "공시열람")</f>
        <v/>
      </c>
    </row>
    <row r="1687">
      <c r="A1687" s="2" t="inlineStr">
        <is>
          <t>2026-02-02</t>
        </is>
      </c>
      <c r="B1687" s="3" t="inlineStr">
        <is>
          <t>삼성전자</t>
        </is>
      </c>
      <c r="C1687" s="2" t="inlineStr">
        <is>
          <t>코스피</t>
        </is>
      </c>
      <c r="D1687" s="2" t="inlineStr">
        <is>
          <t>005930</t>
        </is>
      </c>
      <c r="E1687" s="3" t="inlineStr">
        <is>
          <t>임원ㆍ주요주주특정증권등소유상황보고서</t>
        </is>
      </c>
      <c r="F1687" s="3" t="inlineStr">
        <is>
          <t>김대현</t>
        </is>
      </c>
      <c r="G1687" s="2" t="inlineStr">
        <is>
          <t>20260202000038</t>
        </is>
      </c>
      <c r="H1687" s="8">
        <f>HYPERLINK("https://dart.fss.or.kr/dsaf001/main.do?rcpNo=20260202000038", "공시열람")</f>
        <v/>
      </c>
    </row>
    <row r="1688">
      <c r="A1688" s="2" t="inlineStr">
        <is>
          <t>2026-02-02</t>
        </is>
      </c>
      <c r="B1688" s="3" t="inlineStr">
        <is>
          <t>넥써쓰</t>
        </is>
      </c>
      <c r="C1688" s="2" t="inlineStr">
        <is>
          <t>코스닥</t>
        </is>
      </c>
      <c r="D1688" s="2" t="inlineStr">
        <is>
          <t>205500</t>
        </is>
      </c>
      <c r="E1688" s="3" t="inlineStr">
        <is>
          <t xml:space="preserve">매출액또는손익구조30%(대규모법인은15%)이상변동              </t>
        </is>
      </c>
      <c r="F1688" s="3" t="inlineStr">
        <is>
          <t>넥써쓰</t>
        </is>
      </c>
      <c r="G1688" s="2" t="inlineStr">
        <is>
          <t>20260202900222</t>
        </is>
      </c>
      <c r="H1688" s="8">
        <f>HYPERLINK("https://dart.fss.or.kr/dsaf001/main.do?rcpNo=20260202900222", "공시열람")</f>
        <v/>
      </c>
    </row>
    <row r="1689">
      <c r="A1689" s="2" t="inlineStr">
        <is>
          <t>2026-02-02</t>
        </is>
      </c>
      <c r="B1689" s="3" t="inlineStr">
        <is>
          <t>넥써쓰</t>
        </is>
      </c>
      <c r="C1689" s="2" t="inlineStr">
        <is>
          <t>코스닥</t>
        </is>
      </c>
      <c r="D1689" s="2" t="inlineStr">
        <is>
          <t>205500</t>
        </is>
      </c>
      <c r="E1689" s="3" t="inlineStr">
        <is>
          <t xml:space="preserve">연결재무제표기준영업(잠정)실적(공정공시)              </t>
        </is>
      </c>
      <c r="F1689" s="3" t="inlineStr">
        <is>
          <t>넥써쓰</t>
        </is>
      </c>
      <c r="G1689" s="2" t="inlineStr">
        <is>
          <t>20260202900212</t>
        </is>
      </c>
      <c r="H1689" s="8">
        <f>HYPERLINK("https://dart.fss.or.kr/dsaf001/main.do?rcpNo=20260202900212", "공시열람")</f>
        <v/>
      </c>
    </row>
    <row r="1690">
      <c r="A1690" s="2" t="inlineStr">
        <is>
          <t>2026-02-02</t>
        </is>
      </c>
      <c r="B1690" s="3" t="inlineStr">
        <is>
          <t>삼성전자</t>
        </is>
      </c>
      <c r="C1690" s="2" t="inlineStr">
        <is>
          <t>코스피</t>
        </is>
      </c>
      <c r="D1690" s="2" t="inlineStr">
        <is>
          <t>005930</t>
        </is>
      </c>
      <c r="E1690" s="3" t="inlineStr">
        <is>
          <t>임원ㆍ주요주주특정증권등소유상황보고서</t>
        </is>
      </c>
      <c r="F1690" s="3" t="inlineStr">
        <is>
          <t>위훈</t>
        </is>
      </c>
      <c r="G1690" s="2" t="inlineStr">
        <is>
          <t>20260202000035</t>
        </is>
      </c>
      <c r="H1690" s="8">
        <f>HYPERLINK("https://dart.fss.or.kr/dsaf001/main.do?rcpNo=20260202000035", "공시열람")</f>
        <v/>
      </c>
    </row>
    <row r="1691">
      <c r="A1691" s="2" t="inlineStr">
        <is>
          <t>2026-02-02</t>
        </is>
      </c>
      <c r="B1691" s="3" t="inlineStr">
        <is>
          <t>엔케이젠바이오텍코리아</t>
        </is>
      </c>
      <c r="C1691" s="2" t="inlineStr">
        <is>
          <t>코스닥</t>
        </is>
      </c>
      <c r="D1691" s="2" t="inlineStr">
        <is>
          <t>182400</t>
        </is>
      </c>
      <c r="E1691" s="3" t="inlineStr">
        <is>
          <t>증권발행결과(자율공시)              (제3자배정 유상증자)</t>
        </is>
      </c>
      <c r="F1691" s="3" t="inlineStr">
        <is>
          <t>엔케이젠바이오텍코리아</t>
        </is>
      </c>
      <c r="G1691" s="2" t="inlineStr">
        <is>
          <t>20260202900209</t>
        </is>
      </c>
      <c r="H1691" s="8">
        <f>HYPERLINK("https://dart.fss.or.kr/dsaf001/main.do?rcpNo=20260202900209", "공시열람")</f>
        <v/>
      </c>
    </row>
    <row r="1692">
      <c r="A1692" s="2" t="inlineStr">
        <is>
          <t>2026-02-02</t>
        </is>
      </c>
      <c r="B1692" s="3" t="inlineStr">
        <is>
          <t>미래에셋증권</t>
        </is>
      </c>
      <c r="C1692" s="2" t="inlineStr">
        <is>
          <t>코스피</t>
        </is>
      </c>
      <c r="D1692" s="2" t="inlineStr">
        <is>
          <t>006800</t>
        </is>
      </c>
      <c r="E1692" s="3" t="inlineStr">
        <is>
          <t>증권발행실적보고서</t>
        </is>
      </c>
      <c r="F1692" s="3" t="inlineStr">
        <is>
          <t>미래에셋증권</t>
        </is>
      </c>
      <c r="G1692" s="2" t="inlineStr">
        <is>
          <t>20260202000034</t>
        </is>
      </c>
      <c r="H1692" s="8">
        <f>HYPERLINK("https://dart.fss.or.kr/dsaf001/main.do?rcpNo=20260202000034", "공시열람")</f>
        <v/>
      </c>
    </row>
    <row r="1693">
      <c r="A1693" s="2" t="inlineStr">
        <is>
          <t>2026-02-02</t>
        </is>
      </c>
      <c r="B1693" s="3" t="inlineStr">
        <is>
          <t>이엠티</t>
        </is>
      </c>
      <c r="C1693" s="2" t="inlineStr">
        <is>
          <t>코넥스</t>
        </is>
      </c>
      <c r="D1693" s="2" t="inlineStr">
        <is>
          <t>232530</t>
        </is>
      </c>
      <c r="E1693" s="3" t="inlineStr">
        <is>
          <t>임원ㆍ주요주주특정증권등소유상황보고서</t>
        </is>
      </c>
      <c r="F1693" s="3" t="inlineStr">
        <is>
          <t>재세능원</t>
        </is>
      </c>
      <c r="G1693" s="2" t="inlineStr">
        <is>
          <t>20260202000033</t>
        </is>
      </c>
      <c r="H1693" s="8">
        <f>HYPERLINK("https://dart.fss.or.kr/dsaf001/main.do?rcpNo=20260202000033", "공시열람")</f>
        <v/>
      </c>
    </row>
    <row r="1694">
      <c r="A1694" s="2" t="inlineStr">
        <is>
          <t>2026-02-02</t>
        </is>
      </c>
      <c r="B1694" s="3" t="inlineStr">
        <is>
          <t>코아시아씨엠</t>
        </is>
      </c>
      <c r="C1694" s="2" t="inlineStr">
        <is>
          <t>코스닥</t>
        </is>
      </c>
      <c r="D1694" s="2" t="inlineStr">
        <is>
          <t>196450</t>
        </is>
      </c>
      <c r="E1694" s="3" t="inlineStr">
        <is>
          <t xml:space="preserve">매출액또는손익구조30%(대규모법인은15%)이상변동              </t>
        </is>
      </c>
      <c r="F1694" s="3" t="inlineStr">
        <is>
          <t>코아시아씨엠</t>
        </is>
      </c>
      <c r="G1694" s="2" t="inlineStr">
        <is>
          <t>20260202900184</t>
        </is>
      </c>
      <c r="H1694" s="8">
        <f>HYPERLINK("https://dart.fss.or.kr/dsaf001/main.do?rcpNo=20260202900184", "공시열람")</f>
        <v/>
      </c>
    </row>
    <row r="1695">
      <c r="A1695" s="2" t="inlineStr">
        <is>
          <t>2026-02-02</t>
        </is>
      </c>
      <c r="B1695" s="3" t="inlineStr">
        <is>
          <t>퍼스텍</t>
        </is>
      </c>
      <c r="C1695" s="2" t="inlineStr">
        <is>
          <t>코스피</t>
        </is>
      </c>
      <c r="D1695" s="2" t="inlineStr">
        <is>
          <t>010820</t>
        </is>
      </c>
      <c r="E1695" s="3" t="inlineStr">
        <is>
          <t xml:space="preserve">매출액또는손익구조30%(대규모법인은15%)이상변경              </t>
        </is>
      </c>
      <c r="F1695" s="3" t="inlineStr">
        <is>
          <t>퍼스텍</t>
        </is>
      </c>
      <c r="G1695" s="2" t="inlineStr">
        <is>
          <t>20260202800195</t>
        </is>
      </c>
      <c r="H1695" s="8">
        <f>HYPERLINK("https://dart.fss.or.kr/dsaf001/main.do?rcpNo=20260202800195", "공시열람")</f>
        <v/>
      </c>
    </row>
    <row r="1696">
      <c r="A1696" s="2" t="inlineStr">
        <is>
          <t>2026-02-02</t>
        </is>
      </c>
      <c r="B1696" s="3" t="inlineStr">
        <is>
          <t>SK이터닉스</t>
        </is>
      </c>
      <c r="C1696" s="2" t="inlineStr">
        <is>
          <t>코스피</t>
        </is>
      </c>
      <c r="D1696" s="2" t="inlineStr">
        <is>
          <t>475150</t>
        </is>
      </c>
      <c r="E1696" s="3" t="inlineStr">
        <is>
          <t>지급수단별ㆍ지급기간별지급금액및분쟁조정기구에관한사항</t>
        </is>
      </c>
      <c r="F1696" s="3" t="inlineStr">
        <is>
          <t>SK이터닉스</t>
        </is>
      </c>
      <c r="G1696" s="2" t="inlineStr">
        <is>
          <t>20260202000032</t>
        </is>
      </c>
      <c r="H1696" s="8">
        <f>HYPERLINK("https://dart.fss.or.kr/dsaf001/main.do?rcpNo=20260202000032", "공시열람")</f>
        <v/>
      </c>
    </row>
    <row r="1697">
      <c r="A1697" s="2" t="inlineStr">
        <is>
          <t>2026-02-02</t>
        </is>
      </c>
      <c r="B1697" s="3" t="inlineStr">
        <is>
          <t>스튜디오드래곤</t>
        </is>
      </c>
      <c r="C1697" s="2" t="inlineStr">
        <is>
          <t>코스닥</t>
        </is>
      </c>
      <c r="D1697" s="2" t="inlineStr">
        <is>
          <t>253450</t>
        </is>
      </c>
      <c r="E1697" s="3" t="inlineStr">
        <is>
          <t xml:space="preserve">기업설명회(IR)개최              </t>
        </is>
      </c>
      <c r="F1697" s="3" t="inlineStr">
        <is>
          <t>스튜디오드래곤</t>
        </is>
      </c>
      <c r="G1697" s="2" t="inlineStr">
        <is>
          <t>20260202900207</t>
        </is>
      </c>
      <c r="H1697" s="8">
        <f>HYPERLINK("https://dart.fss.or.kr/dsaf001/main.do?rcpNo=20260202900207", "공시열람")</f>
        <v/>
      </c>
    </row>
    <row r="1698">
      <c r="A1698" s="2" t="inlineStr">
        <is>
          <t>2026-02-02</t>
        </is>
      </c>
      <c r="B1698" s="3" t="inlineStr">
        <is>
          <t>디앤디파마텍</t>
        </is>
      </c>
      <c r="C1698" s="2" t="inlineStr">
        <is>
          <t>코스닥</t>
        </is>
      </c>
      <c r="D1698" s="2" t="inlineStr">
        <is>
          <t>347850</t>
        </is>
      </c>
      <c r="E1698" s="3" t="inlineStr">
        <is>
          <t xml:space="preserve">기업설명회(IR)개최              </t>
        </is>
      </c>
      <c r="F1698" s="3" t="inlineStr">
        <is>
          <t>디앤디파마텍</t>
        </is>
      </c>
      <c r="G1698" s="2" t="inlineStr">
        <is>
          <t>20260202900182</t>
        </is>
      </c>
      <c r="H1698" s="8">
        <f>HYPERLINK("https://dart.fss.or.kr/dsaf001/main.do?rcpNo=20260202900182", "공시열람")</f>
        <v/>
      </c>
    </row>
    <row r="1699">
      <c r="A1699" s="2" t="inlineStr">
        <is>
          <t>2026-02-02</t>
        </is>
      </c>
      <c r="B1699" s="3" t="inlineStr">
        <is>
          <t>토비스</t>
        </is>
      </c>
      <c r="C1699" s="2" t="inlineStr">
        <is>
          <t>코스닥</t>
        </is>
      </c>
      <c r="D1699" s="2" t="inlineStr">
        <is>
          <t>051360</t>
        </is>
      </c>
      <c r="E1699" s="3" t="inlineStr">
        <is>
          <t>자기주식취득결과보고서</t>
        </is>
      </c>
      <c r="F1699" s="3" t="inlineStr">
        <is>
          <t>토비스</t>
        </is>
      </c>
      <c r="G1699" s="2" t="inlineStr">
        <is>
          <t>20260202000030</t>
        </is>
      </c>
      <c r="H1699" s="8">
        <f>HYPERLINK("https://dart.fss.or.kr/dsaf001/main.do?rcpNo=20260202000030", "공시열람")</f>
        <v/>
      </c>
    </row>
    <row r="1700">
      <c r="A1700" s="2" t="inlineStr">
        <is>
          <t>2026-02-02</t>
        </is>
      </c>
      <c r="B1700" s="3" t="inlineStr">
        <is>
          <t>남광토건</t>
        </is>
      </c>
      <c r="C1700" s="2" t="inlineStr">
        <is>
          <t>코스피</t>
        </is>
      </c>
      <c r="D1700" s="2" t="inlineStr">
        <is>
          <t>001260</t>
        </is>
      </c>
      <c r="E1700" s="3" t="inlineStr">
        <is>
          <t xml:space="preserve">매출액또는손익구조30%(대규모법인은15%)이상변경              </t>
        </is>
      </c>
      <c r="F1700" s="3" t="inlineStr">
        <is>
          <t>남광토건</t>
        </is>
      </c>
      <c r="G1700" s="2" t="inlineStr">
        <is>
          <t>20260202800146</t>
        </is>
      </c>
      <c r="H1700" s="8">
        <f>HYPERLINK("https://dart.fss.or.kr/dsaf001/main.do?rcpNo=20260202800146", "공시열람")</f>
        <v/>
      </c>
    </row>
    <row r="1701">
      <c r="A1701" s="2" t="inlineStr">
        <is>
          <t>2026-02-02</t>
        </is>
      </c>
      <c r="B1701" s="3" t="inlineStr">
        <is>
          <t>교보증권</t>
        </is>
      </c>
      <c r="C1701" s="2" t="inlineStr">
        <is>
          <t>코스피</t>
        </is>
      </c>
      <c r="D1701" s="2" t="inlineStr">
        <is>
          <t>030610</t>
        </is>
      </c>
      <c r="E1701" s="3" t="inlineStr">
        <is>
          <t>증권발행실적보고서</t>
        </is>
      </c>
      <c r="F1701" s="3" t="inlineStr">
        <is>
          <t>교보증권</t>
        </is>
      </c>
      <c r="G1701" s="2" t="inlineStr">
        <is>
          <t>20260202000027</t>
        </is>
      </c>
      <c r="H1701" s="8">
        <f>HYPERLINK("https://dart.fss.or.kr/dsaf001/main.do?rcpNo=20260202000027", "공시열람")</f>
        <v/>
      </c>
    </row>
    <row r="1702">
      <c r="A1702" s="2" t="inlineStr">
        <is>
          <t>2026-02-02</t>
        </is>
      </c>
      <c r="B1702" s="3" t="inlineStr">
        <is>
          <t>삼성전자</t>
        </is>
      </c>
      <c r="C1702" s="2" t="inlineStr">
        <is>
          <t>코스피</t>
        </is>
      </c>
      <c r="D1702" s="2" t="inlineStr">
        <is>
          <t>005930</t>
        </is>
      </c>
      <c r="E1702" s="3" t="inlineStr">
        <is>
          <t>임원ㆍ주요주주특정증권등소유상황보고서</t>
        </is>
      </c>
      <c r="F1702" s="3" t="inlineStr">
        <is>
          <t>홍정우</t>
        </is>
      </c>
      <c r="G1702" s="2" t="inlineStr">
        <is>
          <t>20260202000026</t>
        </is>
      </c>
      <c r="H1702" s="8">
        <f>HYPERLINK("https://dart.fss.or.kr/dsaf001/main.do?rcpNo=20260202000026", "공시열람")</f>
        <v/>
      </c>
    </row>
    <row r="1703">
      <c r="A1703" s="2" t="inlineStr">
        <is>
          <t>2026-02-02</t>
        </is>
      </c>
      <c r="B1703" s="3" t="inlineStr">
        <is>
          <t>디지털대성</t>
        </is>
      </c>
      <c r="C1703" s="2" t="inlineStr">
        <is>
          <t>코스닥</t>
        </is>
      </c>
      <c r="D1703" s="2" t="inlineStr">
        <is>
          <t>068930</t>
        </is>
      </c>
      <c r="E1703" s="3" t="inlineStr">
        <is>
          <t>수시공시의무관련사항(공정공시)              (2025년 사업연도(제26기) 현금배당 계획)</t>
        </is>
      </c>
      <c r="F1703" s="3" t="inlineStr">
        <is>
          <t>디지털대성</t>
        </is>
      </c>
      <c r="G1703" s="2" t="inlineStr">
        <is>
          <t>20260202900130</t>
        </is>
      </c>
      <c r="H1703" s="8">
        <f>HYPERLINK("https://dart.fss.or.kr/dsaf001/main.do?rcpNo=20260202900130", "공시열람")</f>
        <v/>
      </c>
    </row>
    <row r="1704">
      <c r="A1704" s="2" t="inlineStr">
        <is>
          <t>2026-02-02</t>
        </is>
      </c>
      <c r="B1704" s="3" t="inlineStr">
        <is>
          <t>에프에스티</t>
        </is>
      </c>
      <c r="C1704" s="2" t="inlineStr">
        <is>
          <t>코스닥</t>
        </is>
      </c>
      <c r="D1704" s="2" t="inlineStr">
        <is>
          <t>036810</t>
        </is>
      </c>
      <c r="E1704" s="3" t="inlineStr">
        <is>
          <t>자기주식처분결과보고서</t>
        </is>
      </c>
      <c r="F1704" s="3" t="inlineStr">
        <is>
          <t>에프에스티</t>
        </is>
      </c>
      <c r="G1704" s="2" t="inlineStr">
        <is>
          <t>20260202000021</t>
        </is>
      </c>
      <c r="H1704" s="8">
        <f>HYPERLINK("https://dart.fss.or.kr/dsaf001/main.do?rcpNo=20260202000021", "공시열람")</f>
        <v/>
      </c>
    </row>
    <row r="1705">
      <c r="A1705" s="2" t="inlineStr">
        <is>
          <t>2026-02-02</t>
        </is>
      </c>
      <c r="B1705" s="3" t="inlineStr">
        <is>
          <t>삼성전자</t>
        </is>
      </c>
      <c r="C1705" s="2" t="inlineStr">
        <is>
          <t>코스피</t>
        </is>
      </c>
      <c r="D1705" s="2" t="inlineStr">
        <is>
          <t>005930</t>
        </is>
      </c>
      <c r="E1705" s="3" t="inlineStr">
        <is>
          <t>임원ㆍ주요주주특정증권등소유상황보고서</t>
        </is>
      </c>
      <c r="F1705" s="3" t="inlineStr">
        <is>
          <t>김선정</t>
        </is>
      </c>
      <c r="G1705" s="2" t="inlineStr">
        <is>
          <t>20260202000020</t>
        </is>
      </c>
      <c r="H1705" s="8">
        <f>HYPERLINK("https://dart.fss.or.kr/dsaf001/main.do?rcpNo=20260202000020", "공시열람")</f>
        <v/>
      </c>
    </row>
    <row r="1706">
      <c r="A1706" s="2" t="inlineStr">
        <is>
          <t>2026-02-02</t>
        </is>
      </c>
      <c r="B1706" s="3" t="inlineStr">
        <is>
          <t>코스맥스엔비티</t>
        </is>
      </c>
      <c r="C1706" s="2" t="inlineStr">
        <is>
          <t>코스닥</t>
        </is>
      </c>
      <c r="D1706" s="2" t="inlineStr">
        <is>
          <t>222040</t>
        </is>
      </c>
      <c r="E1706" s="3" t="inlineStr">
        <is>
          <t>임원ㆍ주요주주특정증권등소유상황보고서</t>
        </is>
      </c>
      <c r="F1706" s="3" t="inlineStr">
        <is>
          <t>안재식</t>
        </is>
      </c>
      <c r="G1706" s="2" t="inlineStr">
        <is>
          <t>20260202000019</t>
        </is>
      </c>
      <c r="H1706" s="8">
        <f>HYPERLINK("https://dart.fss.or.kr/dsaf001/main.do?rcpNo=20260202000019", "공시열람")</f>
        <v/>
      </c>
    </row>
    <row r="1707">
      <c r="A1707" s="2" t="inlineStr">
        <is>
          <t>2026-02-02 (정정: 2026-02-02)</t>
        </is>
      </c>
      <c r="B1707" s="3" t="inlineStr">
        <is>
          <t>삼성전자</t>
        </is>
      </c>
      <c r="C1707" s="2" t="inlineStr">
        <is>
          <t>코스피</t>
        </is>
      </c>
      <c r="D1707" s="2" t="inlineStr">
        <is>
          <t>005930</t>
        </is>
      </c>
      <c r="E1707" s="3" t="inlineStr">
        <is>
          <t>임원ㆍ주요주주특정증권등소유상황보고서 (정정: 20260202)</t>
        </is>
      </c>
      <c r="F1707" s="3" t="inlineStr">
        <is>
          <t>김상현</t>
        </is>
      </c>
      <c r="G1707" s="2" t="inlineStr">
        <is>
          <t>20260202000014</t>
        </is>
      </c>
      <c r="H1707" s="8">
        <f>HYPERLINK("https://dart.fss.or.kr/dsaf001/main.do?rcpNo=20260202000014", "공시열람")</f>
        <v/>
      </c>
    </row>
    <row r="1708">
      <c r="A1708" s="2" t="inlineStr">
        <is>
          <t>2026-02-02</t>
        </is>
      </c>
      <c r="B1708" s="3" t="inlineStr">
        <is>
          <t>대우건설</t>
        </is>
      </c>
      <c r="C1708" s="2" t="inlineStr">
        <is>
          <t>코스피</t>
        </is>
      </c>
      <c r="D1708" s="2" t="inlineStr">
        <is>
          <t>047040</t>
        </is>
      </c>
      <c r="E1708" s="3" t="inlineStr">
        <is>
          <t xml:space="preserve">투자판단관련주요경영사항              </t>
        </is>
      </c>
      <c r="F1708" s="3" t="inlineStr">
        <is>
          <t>대우건설</t>
        </is>
      </c>
      <c r="G1708" s="2" t="inlineStr">
        <is>
          <t>20260202800101</t>
        </is>
      </c>
      <c r="H1708" s="8">
        <f>HYPERLINK("https://dart.fss.or.kr/dsaf001/main.do?rcpNo=20260202800101", "공시열람")</f>
        <v/>
      </c>
    </row>
    <row r="1709">
      <c r="A1709" s="2" t="inlineStr">
        <is>
          <t>2026-02-02</t>
        </is>
      </c>
      <c r="B1709" s="3" t="inlineStr">
        <is>
          <t>SK디스커버리</t>
        </is>
      </c>
      <c r="C1709" s="2" t="inlineStr">
        <is>
          <t>코스피</t>
        </is>
      </c>
      <c r="D1709" s="2" t="inlineStr">
        <is>
          <t>006120</t>
        </is>
      </c>
      <c r="E1709" s="3" t="inlineStr">
        <is>
          <t>투자설명서</t>
        </is>
      </c>
      <c r="F1709" s="3" t="inlineStr">
        <is>
          <t>SK디스커버리</t>
        </is>
      </c>
      <c r="G1709" s="2" t="inlineStr">
        <is>
          <t>20260202000013</t>
        </is>
      </c>
      <c r="H1709" s="8">
        <f>HYPERLINK("https://dart.fss.or.kr/dsaf001/main.do?rcpNo=20260202000013", "공시열람")</f>
        <v/>
      </c>
    </row>
    <row r="1710">
      <c r="A1710" s="2" t="inlineStr">
        <is>
          <t>2026-02-02</t>
        </is>
      </c>
      <c r="B1710" s="3" t="inlineStr">
        <is>
          <t>케이씨씨</t>
        </is>
      </c>
      <c r="C1710" s="2" t="inlineStr">
        <is>
          <t>코스피</t>
        </is>
      </c>
      <c r="D1710" s="2" t="inlineStr">
        <is>
          <t>002380</t>
        </is>
      </c>
      <c r="E1710" s="3" t="inlineStr">
        <is>
          <t>투자설명서</t>
        </is>
      </c>
      <c r="F1710" s="3" t="inlineStr">
        <is>
          <t>케이씨씨</t>
        </is>
      </c>
      <c r="G1710" s="2" t="inlineStr">
        <is>
          <t>20260202000012</t>
        </is>
      </c>
      <c r="H1710" s="8">
        <f>HYPERLINK("https://dart.fss.or.kr/dsaf001/main.do?rcpNo=20260202000012", "공시열람")</f>
        <v/>
      </c>
    </row>
    <row r="1711">
      <c r="A1711" s="2" t="inlineStr">
        <is>
          <t>2026-02-02</t>
        </is>
      </c>
      <c r="B1711" s="3" t="inlineStr">
        <is>
          <t>삼성증권</t>
        </is>
      </c>
      <c r="C1711" s="2" t="inlineStr">
        <is>
          <t>코스피</t>
        </is>
      </c>
      <c r="D1711" s="2" t="inlineStr">
        <is>
          <t>016360</t>
        </is>
      </c>
      <c r="E1711" s="3" t="inlineStr">
        <is>
          <t>투자설명서</t>
        </is>
      </c>
      <c r="F1711" s="3" t="inlineStr">
        <is>
          <t>삼성증권</t>
        </is>
      </c>
      <c r="G1711" s="2" t="inlineStr">
        <is>
          <t>20260202000010</t>
        </is>
      </c>
      <c r="H1711" s="8">
        <f>HYPERLINK("https://dart.fss.or.kr/dsaf001/main.do?rcpNo=20260202000010", "공시열람")</f>
        <v/>
      </c>
    </row>
    <row r="1712">
      <c r="A1712" s="2" t="inlineStr">
        <is>
          <t>2026-02-02</t>
        </is>
      </c>
      <c r="B1712" s="3" t="inlineStr">
        <is>
          <t>삼성증권</t>
        </is>
      </c>
      <c r="C1712" s="2" t="inlineStr">
        <is>
          <t>코스피</t>
        </is>
      </c>
      <c r="D1712" s="2" t="inlineStr">
        <is>
          <t>016360</t>
        </is>
      </c>
      <c r="E1712" s="3" t="inlineStr">
        <is>
          <t xml:space="preserve">기업설명회(IR)개최(안내공시)              </t>
        </is>
      </c>
      <c r="F1712" s="3" t="inlineStr">
        <is>
          <t>삼성증권</t>
        </is>
      </c>
      <c r="G1712" s="2" t="inlineStr">
        <is>
          <t>20260202800077</t>
        </is>
      </c>
      <c r="H1712" s="8">
        <f>HYPERLINK("https://dart.fss.or.kr/dsaf001/main.do?rcpNo=20260202800077", "공시열람")</f>
        <v/>
      </c>
    </row>
    <row r="1713">
      <c r="A1713" s="2" t="inlineStr">
        <is>
          <t>2026-02-02</t>
        </is>
      </c>
      <c r="B1713" s="3" t="inlineStr">
        <is>
          <t>푸드나무</t>
        </is>
      </c>
      <c r="C1713" s="2" t="inlineStr">
        <is>
          <t>코스닥</t>
        </is>
      </c>
      <c r="D1713" s="2" t="inlineStr">
        <is>
          <t>290720</t>
        </is>
      </c>
      <c r="E1713" s="3" t="inlineStr">
        <is>
          <t>임원ㆍ주요주주특정증권등소유상황보고서</t>
        </is>
      </c>
      <c r="F1713" s="3" t="inlineStr">
        <is>
          <t>온힐파트너스</t>
        </is>
      </c>
      <c r="G1713" s="2" t="inlineStr">
        <is>
          <t>20260202000003</t>
        </is>
      </c>
      <c r="H1713" s="8">
        <f>HYPERLINK("https://dart.fss.or.kr/dsaf001/main.do?rcpNo=20260202000003", "공시열람")</f>
        <v/>
      </c>
    </row>
    <row r="1714">
      <c r="A1714" s="2" t="inlineStr">
        <is>
          <t>2026-02-02</t>
        </is>
      </c>
      <c r="B1714" s="3" t="inlineStr">
        <is>
          <t>지아이텍</t>
        </is>
      </c>
      <c r="C1714" s="2" t="inlineStr">
        <is>
          <t>코스닥</t>
        </is>
      </c>
      <c r="D1714" s="2" t="inlineStr">
        <is>
          <t>382480</t>
        </is>
      </c>
      <c r="E1714" s="3" t="inlineStr">
        <is>
          <t>임원ㆍ주요주주특정증권등소유상황보고서</t>
        </is>
      </c>
      <c r="F1714" s="3" t="inlineStr">
        <is>
          <t>설대환</t>
        </is>
      </c>
      <c r="G1714" s="2" t="inlineStr">
        <is>
          <t>20260130000757</t>
        </is>
      </c>
      <c r="H1714" s="8">
        <f>HYPERLINK("https://dart.fss.or.kr/dsaf001/main.do?rcpNo=20260130000757", "공시열람")</f>
        <v/>
      </c>
    </row>
    <row r="1715">
      <c r="A1715" s="2" t="inlineStr">
        <is>
          <t>2026-02-27</t>
        </is>
      </c>
      <c r="B1715" s="3" t="inlineStr">
        <is>
          <t>에코마케팅</t>
        </is>
      </c>
      <c r="C1715" s="2" t="inlineStr">
        <is>
          <t>코스닥</t>
        </is>
      </c>
      <c r="D1715" s="2" t="inlineStr">
        <is>
          <t>230360</t>
        </is>
      </c>
      <c r="E1715" s="3" t="inlineStr">
        <is>
          <t>공개매수결과보고서</t>
        </is>
      </c>
      <c r="F1715" s="3" t="inlineStr">
        <is>
          <t>비씨피이이에이비드코원</t>
        </is>
      </c>
      <c r="G1715" s="2" t="inlineStr">
        <is>
          <t>20260227007586</t>
        </is>
      </c>
      <c r="H1715" s="8">
        <f>HYPERLINK("https://dart.fss.or.kr/dsaf001/main.do?rcpNo=20260227007586", "공시열람")</f>
        <v/>
      </c>
    </row>
    <row r="1716">
      <c r="A1716" s="2" t="inlineStr">
        <is>
          <t>2026-03-03 (정정: 2026-03-12)</t>
        </is>
      </c>
      <c r="B1716" s="3" t="inlineStr">
        <is>
          <t>세미티에스</t>
        </is>
      </c>
      <c r="C1716" s="2" t="inlineStr">
        <is>
          <t>코스닥</t>
        </is>
      </c>
      <c r="D1716" s="2" t="inlineStr">
        <is>
          <t>0017J0</t>
        </is>
      </c>
      <c r="E1716" s="3" t="inlineStr">
        <is>
          <t>[첨부추가]증권신고서(합병) (정정: 20260312)</t>
        </is>
      </c>
      <c r="F1716" s="3" t="inlineStr">
        <is>
          <t>세미티에스</t>
        </is>
      </c>
      <c r="G1716" s="2" t="inlineStr">
        <is>
          <t>20260312001034</t>
        </is>
      </c>
      <c r="H1716" s="8">
        <f>HYPERLINK("https://dart.fss.or.kr/dsaf001/main.do?rcpNo=20260312001034", "공시열람")</f>
        <v/>
      </c>
    </row>
    <row r="1717">
      <c r="A1717" s="2" t="inlineStr">
        <is>
          <t>2026-02-23 (정정: 2026-03-03)</t>
        </is>
      </c>
      <c r="B1717" s="3" t="inlineStr">
        <is>
          <t>KB스타리츠</t>
        </is>
      </c>
      <c r="C1717" s="2" t="inlineStr">
        <is>
          <t>코스피</t>
        </is>
      </c>
      <c r="D1717" s="2" t="inlineStr">
        <is>
          <t>432320</t>
        </is>
      </c>
      <c r="E1717" s="3" t="inlineStr">
        <is>
          <t>[기재정정]증권신고서(집합투자증권-회사형)(㈜케이비스타위탁관리부동산투자회사)</t>
        </is>
      </c>
      <c r="F1717" s="3" t="inlineStr">
        <is>
          <t>KB스타리츠</t>
        </is>
      </c>
      <c r="G1717" s="2" t="inlineStr">
        <is>
          <t>20260303002835</t>
        </is>
      </c>
      <c r="H1717" s="8">
        <f>HYPERLINK("https://dart.fss.or.kr/dsaf001/main.do?rcpNo=20260303002835", "공시열람")</f>
        <v/>
      </c>
    </row>
    <row r="1718">
      <c r="A1718" s="2" t="inlineStr">
        <is>
          <t>2026-03-03 (정정: 2026-03-03)</t>
        </is>
      </c>
      <c r="B1718" s="3" t="inlineStr">
        <is>
          <t>아이엠비디엑스</t>
        </is>
      </c>
      <c r="C1718" s="2" t="inlineStr">
        <is>
          <t>코스닥</t>
        </is>
      </c>
      <c r="D1718" s="2" t="inlineStr">
        <is>
          <t>461030</t>
        </is>
      </c>
      <c r="E1718" s="3" t="inlineStr">
        <is>
          <t xml:space="preserve">[기재정정]주식매수선택권행사              </t>
        </is>
      </c>
      <c r="F1718" s="3" t="inlineStr">
        <is>
          <t>아이엠비디엑스</t>
        </is>
      </c>
      <c r="G1718" s="2" t="inlineStr">
        <is>
          <t>20260303901455</t>
        </is>
      </c>
      <c r="H1718" s="8">
        <f>HYPERLINK("https://dart.fss.or.kr/dsaf001/main.do?rcpNo=20260303901455", "공시열람")</f>
        <v/>
      </c>
    </row>
    <row r="1719">
      <c r="A1719" s="2" t="inlineStr">
        <is>
          <t>2026-03-03 (정정: 2026-03-04)</t>
        </is>
      </c>
      <c r="B1719" s="3" t="inlineStr">
        <is>
          <t>코메론</t>
        </is>
      </c>
      <c r="C1719" s="2" t="inlineStr">
        <is>
          <t>코스닥</t>
        </is>
      </c>
      <c r="D1719" s="2" t="inlineStr">
        <is>
          <t>049430</t>
        </is>
      </c>
      <c r="E1719" s="3" t="inlineStr">
        <is>
          <t>기업가치제고계획(자율공시)               (정정: 20260304)</t>
        </is>
      </c>
      <c r="F1719" s="3" t="inlineStr">
        <is>
          <t>코메론</t>
        </is>
      </c>
      <c r="G1719" s="2" t="inlineStr">
        <is>
          <t>20260304901117</t>
        </is>
      </c>
      <c r="H1719" s="8">
        <f>HYPERLINK("https://dart.fss.or.kr/dsaf001/main.do?rcpNo=20260304901117", "공시열람")</f>
        <v/>
      </c>
    </row>
    <row r="1720">
      <c r="A1720" s="2" t="inlineStr">
        <is>
          <t>2026-03-03 (정정: 2026-06-18)</t>
        </is>
      </c>
      <c r="B1720" s="3" t="inlineStr">
        <is>
          <t>아이엠비디엑스</t>
        </is>
      </c>
      <c r="C1720" s="2" t="inlineStr">
        <is>
          <t>코스닥</t>
        </is>
      </c>
      <c r="D1720" s="2" t="inlineStr">
        <is>
          <t>461030</t>
        </is>
      </c>
      <c r="E1720" s="3" t="inlineStr">
        <is>
          <t>주식매수선택권행사               (정정: 20260312) (정정: 20260313) (정정: 20260618)</t>
        </is>
      </c>
      <c r="F1720" s="3" t="inlineStr">
        <is>
          <t>아이엠비디엑스</t>
        </is>
      </c>
      <c r="G1720" s="2" t="inlineStr">
        <is>
          <t>20260618000265</t>
        </is>
      </c>
      <c r="H1720" s="8">
        <f>HYPERLINK("https://dart.fss.or.kr/dsaf001/main.do?rcpNo=20260618000265", "공시열람")</f>
        <v/>
      </c>
    </row>
    <row r="1721">
      <c r="A1721" s="2" t="inlineStr">
        <is>
          <t>2026-03-03</t>
        </is>
      </c>
      <c r="B1721" s="3" t="inlineStr">
        <is>
          <t>범양건영</t>
        </is>
      </c>
      <c r="C1721" s="2" t="inlineStr">
        <is>
          <t>코스피</t>
        </is>
      </c>
      <c r="D1721" s="2" t="inlineStr">
        <is>
          <t>002410</t>
        </is>
      </c>
      <c r="E1721" s="3" t="inlineStr">
        <is>
          <t xml:space="preserve">투자유의안내              </t>
        </is>
      </c>
      <c r="F1721" s="3" t="inlineStr">
        <is>
          <t>유가증권시장본부</t>
        </is>
      </c>
      <c r="G1721" s="2" t="inlineStr">
        <is>
          <t>20260303801451</t>
        </is>
      </c>
      <c r="H1721" s="8">
        <f>HYPERLINK("https://dart.fss.or.kr/dsaf001/main.do?rcpNo=20260303801451", "공시열람")</f>
        <v/>
      </c>
    </row>
    <row r="1722">
      <c r="A1722" s="2" t="inlineStr">
        <is>
          <t>2026-03-03</t>
        </is>
      </c>
      <c r="B1722" s="3" t="inlineStr">
        <is>
          <t>삼부토건</t>
        </is>
      </c>
      <c r="C1722" s="2" t="inlineStr">
        <is>
          <t>코스피</t>
        </is>
      </c>
      <c r="D1722" s="2" t="inlineStr">
        <is>
          <t>001470</t>
        </is>
      </c>
      <c r="E1722" s="3" t="inlineStr">
        <is>
          <t xml:space="preserve">투자유의안내              </t>
        </is>
      </c>
      <c r="F1722" s="3" t="inlineStr">
        <is>
          <t>유가증권시장본부</t>
        </is>
      </c>
      <c r="G1722" s="2" t="inlineStr">
        <is>
          <t>20260303801447</t>
        </is>
      </c>
      <c r="H1722" s="8">
        <f>HYPERLINK("https://dart.fss.or.kr/dsaf001/main.do?rcpNo=20260303801447", "공시열람")</f>
        <v/>
      </c>
    </row>
    <row r="1723">
      <c r="A1723" s="2" t="inlineStr">
        <is>
          <t>2026-03-03 (정정: 2026-03-17)</t>
        </is>
      </c>
      <c r="B1723" s="3" t="inlineStr">
        <is>
          <t>인지디스플레</t>
        </is>
      </c>
      <c r="C1723" s="2" t="inlineStr">
        <is>
          <t>코스닥</t>
        </is>
      </c>
      <c r="D1723" s="2" t="inlineStr">
        <is>
          <t>037330</t>
        </is>
      </c>
      <c r="E1723" s="3" t="inlineStr">
        <is>
          <t>매출액또는손익구조30%(대규모법인은15%)이상변동               (정정: 20260317)</t>
        </is>
      </c>
      <c r="F1723" s="3" t="inlineStr">
        <is>
          <t>인지디스플레</t>
        </is>
      </c>
      <c r="G1723" s="2" t="inlineStr">
        <is>
          <t>20260317000139</t>
        </is>
      </c>
      <c r="H1723" s="8">
        <f>HYPERLINK("https://dart.fss.or.kr/dsaf001/main.do?rcpNo=20260317000139", "공시열람")</f>
        <v/>
      </c>
    </row>
    <row r="1724">
      <c r="A1724" s="2" t="inlineStr">
        <is>
          <t>2026-03-03</t>
        </is>
      </c>
      <c r="B1724" s="3" t="inlineStr">
        <is>
          <t>범양건영</t>
        </is>
      </c>
      <c r="C1724" s="2" t="inlineStr">
        <is>
          <t>코스피</t>
        </is>
      </c>
      <c r="D1724" s="2" t="inlineStr">
        <is>
          <t>002410</t>
        </is>
      </c>
      <c r="E1724" s="3" t="inlineStr">
        <is>
          <t xml:space="preserve">자본잠식50%이상또는매출액50억원미만사실발생              </t>
        </is>
      </c>
      <c r="F1724" s="3" t="inlineStr">
        <is>
          <t>범양건영</t>
        </is>
      </c>
      <c r="G1724" s="2" t="inlineStr">
        <is>
          <t>20260303801432</t>
        </is>
      </c>
      <c r="H1724" s="8">
        <f>HYPERLINK("https://dart.fss.or.kr/dsaf001/main.do?rcpNo=20260303801432", "공시열람")</f>
        <v/>
      </c>
    </row>
    <row r="1725">
      <c r="A1725" s="2" t="inlineStr">
        <is>
          <t>2026-03-03 (정정: 2026-03-11)</t>
        </is>
      </c>
      <c r="B1725" s="3" t="inlineStr">
        <is>
          <t>롯데리츠</t>
        </is>
      </c>
      <c r="C1725" s="2" t="inlineStr">
        <is>
          <t>코스피</t>
        </is>
      </c>
      <c r="D1725" s="2" t="inlineStr">
        <is>
          <t>330590</t>
        </is>
      </c>
      <c r="E1725" s="3" t="inlineStr">
        <is>
          <t>부동산투자회사부동산임대               (정정: 20260311)</t>
        </is>
      </c>
      <c r="F1725" s="3" t="inlineStr">
        <is>
          <t>롯데리츠</t>
        </is>
      </c>
      <c r="G1725" s="2" t="inlineStr">
        <is>
          <t>20260311801068</t>
        </is>
      </c>
      <c r="H1725" s="8">
        <f>HYPERLINK("https://dart.fss.or.kr/dsaf001/main.do?rcpNo=20260311801068", "공시열람")</f>
        <v/>
      </c>
    </row>
    <row r="1726">
      <c r="A1726" s="2" t="inlineStr">
        <is>
          <t>2026-03-03</t>
        </is>
      </c>
      <c r="B1726" s="3" t="inlineStr">
        <is>
          <t>케이엠더블유</t>
        </is>
      </c>
      <c r="C1726" s="2" t="inlineStr">
        <is>
          <t>코스닥</t>
        </is>
      </c>
      <c r="D1726" s="2" t="inlineStr">
        <is>
          <t>032500</t>
        </is>
      </c>
      <c r="E1726" s="3" t="inlineStr">
        <is>
          <t xml:space="preserve">매출액또는손익구조30%(대규모법인은15%)이상변동              </t>
        </is>
      </c>
      <c r="F1726" s="3" t="inlineStr">
        <is>
          <t>케이엠더블유</t>
        </is>
      </c>
      <c r="G1726" s="2" t="inlineStr">
        <is>
          <t>20260303901179</t>
        </is>
      </c>
      <c r="H1726" s="8">
        <f>HYPERLINK("https://dart.fss.or.kr/dsaf001/main.do?rcpNo=20260303901179", "공시열람")</f>
        <v/>
      </c>
    </row>
    <row r="1727">
      <c r="A1727" s="2" t="inlineStr">
        <is>
          <t>2026-03-03</t>
        </is>
      </c>
      <c r="B1727" s="3" t="inlineStr">
        <is>
          <t>신한지주</t>
        </is>
      </c>
      <c r="C1727" s="2" t="inlineStr">
        <is>
          <t>코스피</t>
        </is>
      </c>
      <c r="D1727" s="2" t="inlineStr">
        <is>
          <t>055550</t>
        </is>
      </c>
      <c r="E1727" s="3" t="inlineStr">
        <is>
          <t xml:space="preserve">감사보고서제출(자회사의 주요경영사항)              </t>
        </is>
      </c>
      <c r="F1727" s="3" t="inlineStr">
        <is>
          <t>신한지주</t>
        </is>
      </c>
      <c r="G1727" s="2" t="inlineStr">
        <is>
          <t>20260303801357</t>
        </is>
      </c>
      <c r="H1727" s="8">
        <f>HYPERLINK("https://dart.fss.or.kr/dsaf001/main.do?rcpNo=20260303801357", "공시열람")</f>
        <v/>
      </c>
    </row>
    <row r="1728">
      <c r="A1728" s="2" t="inlineStr">
        <is>
          <t>2026-03-03</t>
        </is>
      </c>
      <c r="B1728" s="3" t="inlineStr">
        <is>
          <t>아이티센씨티에스</t>
        </is>
      </c>
      <c r="C1728" s="2" t="inlineStr">
        <is>
          <t>코스피</t>
        </is>
      </c>
      <c r="D1728" s="2" t="inlineStr">
        <is>
          <t>031820</t>
        </is>
      </c>
      <c r="E1728" s="3" t="inlineStr">
        <is>
          <t xml:space="preserve">매출액또는손익구조30%(대규모법인은15%)이상변경              </t>
        </is>
      </c>
      <c r="F1728" s="3" t="inlineStr">
        <is>
          <t>아이티센씨티에스</t>
        </is>
      </c>
      <c r="G1728" s="2" t="inlineStr">
        <is>
          <t>20260303801338</t>
        </is>
      </c>
      <c r="H1728" s="8">
        <f>HYPERLINK("https://dart.fss.or.kr/dsaf001/main.do?rcpNo=20260303801338", "공시열람")</f>
        <v/>
      </c>
    </row>
    <row r="1729">
      <c r="A1729" s="2" t="inlineStr">
        <is>
          <t>2026-03-03</t>
        </is>
      </c>
      <c r="B1729" s="3" t="inlineStr">
        <is>
          <t>덴티움</t>
        </is>
      </c>
      <c r="C1729" s="2" t="inlineStr">
        <is>
          <t>코스피</t>
        </is>
      </c>
      <c r="D1729" s="2" t="inlineStr">
        <is>
          <t>145720</t>
        </is>
      </c>
      <c r="E1729" s="3" t="inlineStr">
        <is>
          <t xml:space="preserve">매출액또는손익구조30%(대규모법인은15%)이상변경              </t>
        </is>
      </c>
      <c r="F1729" s="3" t="inlineStr">
        <is>
          <t>덴티움</t>
        </is>
      </c>
      <c r="G1729" s="2" t="inlineStr">
        <is>
          <t>20260303801368</t>
        </is>
      </c>
      <c r="H1729" s="8">
        <f>HYPERLINK("https://dart.fss.or.kr/dsaf001/main.do?rcpNo=20260303801368", "공시열람")</f>
        <v/>
      </c>
    </row>
    <row r="1730">
      <c r="A1730" s="2" t="inlineStr">
        <is>
          <t>2026-01-28 (정정: 2026-03-03)</t>
        </is>
      </c>
      <c r="B1730" s="3" t="inlineStr">
        <is>
          <t>다올투자증권</t>
        </is>
      </c>
      <c r="C1730" s="2" t="inlineStr">
        <is>
          <t>코스피</t>
        </is>
      </c>
      <c r="D1730" s="2" t="inlineStr">
        <is>
          <t>030210</t>
        </is>
      </c>
      <c r="E1730" s="3" t="inlineStr">
        <is>
          <t xml:space="preserve">[기재정정]연결재무제표기준영업(잠정)실적(공정공시)              </t>
        </is>
      </c>
      <c r="F1730" s="3" t="inlineStr">
        <is>
          <t>다올투자증권</t>
        </is>
      </c>
      <c r="G1730" s="2" t="inlineStr">
        <is>
          <t>20260303801347</t>
        </is>
      </c>
      <c r="H1730" s="8">
        <f>HYPERLINK("https://dart.fss.or.kr/dsaf001/main.do?rcpNo=20260303801347", "공시열람")</f>
        <v/>
      </c>
    </row>
    <row r="1731">
      <c r="A1731" s="2" t="inlineStr">
        <is>
          <t>2026-03-03</t>
        </is>
      </c>
      <c r="B1731" s="3" t="inlineStr">
        <is>
          <t>리튬포어스</t>
        </is>
      </c>
      <c r="C1731" s="2" t="inlineStr">
        <is>
          <t>코스닥</t>
        </is>
      </c>
      <c r="D1731" s="2" t="inlineStr">
        <is>
          <t>073570</t>
        </is>
      </c>
      <c r="E1731" s="3" t="inlineStr">
        <is>
          <t>주요사항보고서(감자결정)</t>
        </is>
      </c>
      <c r="F1731" s="3" t="inlineStr">
        <is>
          <t>리튬포어스</t>
        </is>
      </c>
      <c r="G1731" s="2" t="inlineStr">
        <is>
          <t>20260303003131</t>
        </is>
      </c>
      <c r="H1731" s="8">
        <f>HYPERLINK("https://dart.fss.or.kr/dsaf001/main.do?rcpNo=20260303003131", "공시열람")</f>
        <v/>
      </c>
    </row>
    <row r="1732">
      <c r="A1732" s="2" t="inlineStr">
        <is>
          <t>2026-03-03 (정정: 2026-03-03)</t>
        </is>
      </c>
      <c r="B1732" s="3" t="inlineStr">
        <is>
          <t>다올투자증권</t>
        </is>
      </c>
      <c r="C1732" s="2" t="inlineStr">
        <is>
          <t>코스피</t>
        </is>
      </c>
      <c r="D1732" s="2" t="inlineStr">
        <is>
          <t>030210</t>
        </is>
      </c>
      <c r="E1732" s="3" t="inlineStr">
        <is>
          <t>현금ㆍ현물배당결정               (정정: 20260303)</t>
        </is>
      </c>
      <c r="F1732" s="3" t="inlineStr">
        <is>
          <t>다올투자증권</t>
        </is>
      </c>
      <c r="G1732" s="2" t="inlineStr">
        <is>
          <t>20260303801325</t>
        </is>
      </c>
      <c r="H1732" s="8">
        <f>HYPERLINK("https://dart.fss.or.kr/dsaf001/main.do?rcpNo=20260303801325", "공시열람")</f>
        <v/>
      </c>
    </row>
    <row r="1733">
      <c r="A1733" s="2" t="inlineStr">
        <is>
          <t>2026-03-03 (정정: 2026-03-04)</t>
        </is>
      </c>
      <c r="B1733" s="3" t="inlineStr">
        <is>
          <t>팅크웨어</t>
        </is>
      </c>
      <c r="C1733" s="2" t="inlineStr">
        <is>
          <t>코스닥</t>
        </is>
      </c>
      <c r="D1733" s="2" t="inlineStr">
        <is>
          <t>084730</t>
        </is>
      </c>
      <c r="E1733" s="3" t="inlineStr">
        <is>
          <t>현금ㆍ현물배당결정               (정정: 20260304)</t>
        </is>
      </c>
      <c r="F1733" s="3" t="inlineStr">
        <is>
          <t>팅크웨어</t>
        </is>
      </c>
      <c r="G1733" s="2" t="inlineStr">
        <is>
          <t>20260304900891</t>
        </is>
      </c>
      <c r="H1733" s="8">
        <f>HYPERLINK("https://dart.fss.or.kr/dsaf001/main.do?rcpNo=20260304900891", "공시열람")</f>
        <v/>
      </c>
    </row>
    <row r="1734">
      <c r="A1734" s="2" t="inlineStr">
        <is>
          <t>2026-03-03</t>
        </is>
      </c>
      <c r="B1734" s="3" t="inlineStr">
        <is>
          <t>팅크웨어</t>
        </is>
      </c>
      <c r="C1734" s="2" t="inlineStr">
        <is>
          <t>코스닥</t>
        </is>
      </c>
      <c r="D1734" s="2" t="inlineStr">
        <is>
          <t>084730</t>
        </is>
      </c>
      <c r="E1734" s="3" t="inlineStr">
        <is>
          <t>주요사항보고서(자기주식처분결정)</t>
        </is>
      </c>
      <c r="F1734" s="3" t="inlineStr">
        <is>
          <t>팅크웨어</t>
        </is>
      </c>
      <c r="G1734" s="2" t="inlineStr">
        <is>
          <t>20260303003095</t>
        </is>
      </c>
      <c r="H1734" s="8">
        <f>HYPERLINK("https://dart.fss.or.kr/dsaf001/main.do?rcpNo=20260303003095", "공시열람")</f>
        <v/>
      </c>
    </row>
    <row r="1735">
      <c r="A1735" s="2" t="inlineStr">
        <is>
          <t>2026-03-03</t>
        </is>
      </c>
      <c r="B1735" s="3" t="inlineStr">
        <is>
          <t>팅크웨어</t>
        </is>
      </c>
      <c r="C1735" s="2" t="inlineStr">
        <is>
          <t>코스닥</t>
        </is>
      </c>
      <c r="D1735" s="2" t="inlineStr">
        <is>
          <t>084730</t>
        </is>
      </c>
      <c r="E1735" s="3" t="inlineStr">
        <is>
          <t>주요사항보고서(자기주식처분결정)</t>
        </is>
      </c>
      <c r="F1735" s="3" t="inlineStr">
        <is>
          <t>팅크웨어</t>
        </is>
      </c>
      <c r="G1735" s="2" t="inlineStr">
        <is>
          <t>20260303003109</t>
        </is>
      </c>
      <c r="H1735" s="8">
        <f>HYPERLINK("https://dart.fss.or.kr/dsaf001/main.do?rcpNo=20260303003109", "공시열람")</f>
        <v/>
      </c>
    </row>
    <row r="1736">
      <c r="A1736" s="2" t="inlineStr">
        <is>
          <t>2026-03-03</t>
        </is>
      </c>
      <c r="B1736" s="3" t="inlineStr">
        <is>
          <t>팅크웨어</t>
        </is>
      </c>
      <c r="C1736" s="2" t="inlineStr">
        <is>
          <t>코스닥</t>
        </is>
      </c>
      <c r="D1736" s="2" t="inlineStr">
        <is>
          <t>084730</t>
        </is>
      </c>
      <c r="E1736" s="3" t="inlineStr">
        <is>
          <t>주요사항보고서(자기주식처분결정)</t>
        </is>
      </c>
      <c r="F1736" s="3" t="inlineStr">
        <is>
          <t>팅크웨어</t>
        </is>
      </c>
      <c r="G1736" s="2" t="inlineStr">
        <is>
          <t>20260303003101</t>
        </is>
      </c>
      <c r="H1736" s="8">
        <f>HYPERLINK("https://dart.fss.or.kr/dsaf001/main.do?rcpNo=20260303003101", "공시열람")</f>
        <v/>
      </c>
    </row>
    <row r="1737">
      <c r="A1737" s="2" t="inlineStr">
        <is>
          <t>2026-03-03</t>
        </is>
      </c>
      <c r="B1737" s="3" t="inlineStr">
        <is>
          <t>신한지주</t>
        </is>
      </c>
      <c r="C1737" s="2" t="inlineStr">
        <is>
          <t>코스피</t>
        </is>
      </c>
      <c r="D1737" s="2" t="inlineStr">
        <is>
          <t>055550</t>
        </is>
      </c>
      <c r="E1737" s="3" t="inlineStr">
        <is>
          <t xml:space="preserve">감사보고서제출(자회사의 주요경영사항)              </t>
        </is>
      </c>
      <c r="F1737" s="3" t="inlineStr">
        <is>
          <t>신한지주</t>
        </is>
      </c>
      <c r="G1737" s="2" t="inlineStr">
        <is>
          <t>20260303801317</t>
        </is>
      </c>
      <c r="H1737" s="8">
        <f>HYPERLINK("https://dart.fss.or.kr/dsaf001/main.do?rcpNo=20260303801317", "공시열람")</f>
        <v/>
      </c>
    </row>
    <row r="1738">
      <c r="A1738" s="2" t="inlineStr">
        <is>
          <t>2026-03-03</t>
        </is>
      </c>
      <c r="B1738" s="3" t="inlineStr">
        <is>
          <t>신한지주</t>
        </is>
      </c>
      <c r="C1738" s="2" t="inlineStr">
        <is>
          <t>코스피</t>
        </is>
      </c>
      <c r="D1738" s="2" t="inlineStr">
        <is>
          <t>055550</t>
        </is>
      </c>
      <c r="E1738" s="3" t="inlineStr">
        <is>
          <t xml:space="preserve">감사보고서제출(자회사의 주요경영사항)              </t>
        </is>
      </c>
      <c r="F1738" s="3" t="inlineStr">
        <is>
          <t>신한지주</t>
        </is>
      </c>
      <c r="G1738" s="2" t="inlineStr">
        <is>
          <t>20260303801305</t>
        </is>
      </c>
      <c r="H1738" s="8">
        <f>HYPERLINK("https://dart.fss.or.kr/dsaf001/main.do?rcpNo=20260303801305", "공시열람")</f>
        <v/>
      </c>
    </row>
    <row r="1739">
      <c r="A1739" s="2" t="inlineStr">
        <is>
          <t>2026-03-03</t>
        </is>
      </c>
      <c r="B1739" s="3" t="inlineStr">
        <is>
          <t>뉴보텍</t>
        </is>
      </c>
      <c r="C1739" s="2" t="inlineStr">
        <is>
          <t>코스닥</t>
        </is>
      </c>
      <c r="D1739" s="2" t="inlineStr">
        <is>
          <t>060260</t>
        </is>
      </c>
      <c r="E1739" s="3" t="inlineStr">
        <is>
          <t xml:space="preserve">현금ㆍ현물배당결정              </t>
        </is>
      </c>
      <c r="F1739" s="3" t="inlineStr">
        <is>
          <t>뉴보텍</t>
        </is>
      </c>
      <c r="G1739" s="2" t="inlineStr">
        <is>
          <t>20260303901407</t>
        </is>
      </c>
      <c r="H1739" s="8">
        <f>HYPERLINK("https://dart.fss.or.kr/dsaf001/main.do?rcpNo=20260303901407", "공시열람")</f>
        <v/>
      </c>
    </row>
    <row r="1740">
      <c r="A1740" s="2" t="inlineStr">
        <is>
          <t>2026-03-03</t>
        </is>
      </c>
      <c r="B1740" s="3" t="inlineStr">
        <is>
          <t>뉴보텍</t>
        </is>
      </c>
      <c r="C1740" s="2" t="inlineStr">
        <is>
          <t>코스닥</t>
        </is>
      </c>
      <c r="D1740" s="2" t="inlineStr">
        <is>
          <t>060260</t>
        </is>
      </c>
      <c r="E1740" s="3" t="inlineStr">
        <is>
          <t xml:space="preserve">매출액또는손익구조30%(대규모법인은15%)이상변동              </t>
        </is>
      </c>
      <c r="F1740" s="3" t="inlineStr">
        <is>
          <t>뉴보텍</t>
        </is>
      </c>
      <c r="G1740" s="2" t="inlineStr">
        <is>
          <t>20260303901387</t>
        </is>
      </c>
      <c r="H1740" s="8">
        <f>HYPERLINK("https://dart.fss.or.kr/dsaf001/main.do?rcpNo=20260303901387", "공시열람")</f>
        <v/>
      </c>
    </row>
    <row r="1741">
      <c r="A1741" s="2" t="inlineStr">
        <is>
          <t>2026-03-03</t>
        </is>
      </c>
      <c r="B1741" s="3" t="inlineStr">
        <is>
          <t>신한지주</t>
        </is>
      </c>
      <c r="C1741" s="2" t="inlineStr">
        <is>
          <t>코스피</t>
        </is>
      </c>
      <c r="D1741" s="2" t="inlineStr">
        <is>
          <t>055550</t>
        </is>
      </c>
      <c r="E1741" s="3" t="inlineStr">
        <is>
          <t xml:space="preserve">감사보고서제출              </t>
        </is>
      </c>
      <c r="F1741" s="3" t="inlineStr">
        <is>
          <t>신한지주</t>
        </is>
      </c>
      <c r="G1741" s="2" t="inlineStr">
        <is>
          <t>20260303801295</t>
        </is>
      </c>
      <c r="H1741" s="8">
        <f>HYPERLINK("https://dart.fss.or.kr/dsaf001/main.do?rcpNo=20260303801295", "공시열람")</f>
        <v/>
      </c>
    </row>
    <row r="1742">
      <c r="A1742" s="2" t="inlineStr">
        <is>
          <t>2026-03-03</t>
        </is>
      </c>
      <c r="B1742" s="3" t="inlineStr">
        <is>
          <t>빙그레</t>
        </is>
      </c>
      <c r="C1742" s="2" t="inlineStr">
        <is>
          <t>코스피</t>
        </is>
      </c>
      <c r="D1742" s="2" t="inlineStr">
        <is>
          <t>005180</t>
        </is>
      </c>
      <c r="E1742" s="3" t="inlineStr">
        <is>
          <t xml:space="preserve">감사보고서제출              </t>
        </is>
      </c>
      <c r="F1742" s="3" t="inlineStr">
        <is>
          <t>빙그레</t>
        </is>
      </c>
      <c r="G1742" s="2" t="inlineStr">
        <is>
          <t>20260303801360</t>
        </is>
      </c>
      <c r="H1742" s="8">
        <f>HYPERLINK("https://dart.fss.or.kr/dsaf001/main.do?rcpNo=20260303801360", "공시열람")</f>
        <v/>
      </c>
    </row>
    <row r="1743">
      <c r="A1743" s="2" t="inlineStr">
        <is>
          <t>2026-03-03</t>
        </is>
      </c>
      <c r="B1743" s="3" t="inlineStr">
        <is>
          <t>레이저쎌</t>
        </is>
      </c>
      <c r="C1743" s="2" t="inlineStr">
        <is>
          <t>코스닥</t>
        </is>
      </c>
      <c r="D1743" s="2" t="inlineStr">
        <is>
          <t>412350</t>
        </is>
      </c>
      <c r="E1743" s="3" t="inlineStr">
        <is>
          <t xml:space="preserve">매출액또는손익구조30%(대규모법인은15%)이상변동              </t>
        </is>
      </c>
      <c r="F1743" s="3" t="inlineStr">
        <is>
          <t>레이저쎌</t>
        </is>
      </c>
      <c r="G1743" s="2" t="inlineStr">
        <is>
          <t>20260303901378</t>
        </is>
      </c>
      <c r="H1743" s="8">
        <f>HYPERLINK("https://dart.fss.or.kr/dsaf001/main.do?rcpNo=20260303901378", "공시열람")</f>
        <v/>
      </c>
    </row>
    <row r="1744">
      <c r="A1744" s="2" t="inlineStr">
        <is>
          <t>2026-03-03</t>
        </is>
      </c>
      <c r="B1744" s="3" t="inlineStr">
        <is>
          <t>에코심플렉스</t>
        </is>
      </c>
      <c r="C1744" s="2" t="inlineStr">
        <is>
          <t>코스닥</t>
        </is>
      </c>
      <c r="D1744" s="2" t="inlineStr">
        <is>
          <t>038870</t>
        </is>
      </c>
      <c r="E1744" s="3" t="inlineStr">
        <is>
          <t xml:space="preserve">매출액또는손익구조30%(대규모법인은15%)이상변동              </t>
        </is>
      </c>
      <c r="F1744" s="3" t="inlineStr">
        <is>
          <t>에코심플렉스</t>
        </is>
      </c>
      <c r="G1744" s="2" t="inlineStr">
        <is>
          <t>20260303901355</t>
        </is>
      </c>
      <c r="H1744" s="8">
        <f>HYPERLINK("https://dart.fss.or.kr/dsaf001/main.do?rcpNo=20260303901355", "공시열람")</f>
        <v/>
      </c>
    </row>
    <row r="1745">
      <c r="A1745" s="2" t="inlineStr">
        <is>
          <t>2026-03-03</t>
        </is>
      </c>
      <c r="B1745" s="3" t="inlineStr">
        <is>
          <t>호텔신라</t>
        </is>
      </c>
      <c r="C1745" s="2" t="inlineStr">
        <is>
          <t>코스피</t>
        </is>
      </c>
      <c r="D1745" s="2" t="inlineStr">
        <is>
          <t>008770</t>
        </is>
      </c>
      <c r="E1745" s="3" t="inlineStr">
        <is>
          <t xml:space="preserve">감사보고서제출              </t>
        </is>
      </c>
      <c r="F1745" s="3" t="inlineStr">
        <is>
          <t>호텔신라</t>
        </is>
      </c>
      <c r="G1745" s="2" t="inlineStr">
        <is>
          <t>20260303801283</t>
        </is>
      </c>
      <c r="H1745" s="8">
        <f>HYPERLINK("https://dart.fss.or.kr/dsaf001/main.do?rcpNo=20260303801283", "공시열람")</f>
        <v/>
      </c>
    </row>
    <row r="1746">
      <c r="A1746" s="2" t="inlineStr">
        <is>
          <t>2026-03-03 (정정: 2026-03-04)</t>
        </is>
      </c>
      <c r="B1746" s="3" t="inlineStr">
        <is>
          <t>티이엠씨</t>
        </is>
      </c>
      <c r="C1746" s="2" t="inlineStr">
        <is>
          <t>코스닥</t>
        </is>
      </c>
      <c r="D1746" s="2" t="inlineStr">
        <is>
          <t>425040</t>
        </is>
      </c>
      <c r="E1746" s="3" t="inlineStr">
        <is>
          <t>임원ㆍ주요주주특정증권등소유상황보고서 (정정: 20260304)</t>
        </is>
      </c>
      <c r="F1746" s="3" t="inlineStr">
        <is>
          <t>김준규</t>
        </is>
      </c>
      <c r="G1746" s="2" t="inlineStr">
        <is>
          <t>20260304000637</t>
        </is>
      </c>
      <c r="H1746" s="8">
        <f>HYPERLINK("https://dart.fss.or.kr/dsaf001/main.do?rcpNo=20260304000637", "공시열람")</f>
        <v/>
      </c>
    </row>
    <row r="1747">
      <c r="A1747" s="2" t="inlineStr">
        <is>
          <t>2026-03-03</t>
        </is>
      </c>
      <c r="B1747" s="3" t="inlineStr">
        <is>
          <t>티이엠씨</t>
        </is>
      </c>
      <c r="C1747" s="2" t="inlineStr">
        <is>
          <t>코스닥</t>
        </is>
      </c>
      <c r="D1747" s="2" t="inlineStr">
        <is>
          <t>425040</t>
        </is>
      </c>
      <c r="E1747" s="3" t="inlineStr">
        <is>
          <t>임원ㆍ주요주주특정증권등소유상황보고서</t>
        </is>
      </c>
      <c r="F1747" s="3" t="inlineStr">
        <is>
          <t>김대현</t>
        </is>
      </c>
      <c r="G1747" s="2" t="inlineStr">
        <is>
          <t>20260303003284</t>
        </is>
      </c>
      <c r="H1747" s="8">
        <f>HYPERLINK("https://dart.fss.or.kr/dsaf001/main.do?rcpNo=20260303003284", "공시열람")</f>
        <v/>
      </c>
    </row>
    <row r="1748">
      <c r="A1748" s="2" t="inlineStr">
        <is>
          <t>2026-03-03</t>
        </is>
      </c>
      <c r="B1748" s="3" t="inlineStr">
        <is>
          <t>티이엠씨</t>
        </is>
      </c>
      <c r="C1748" s="2" t="inlineStr">
        <is>
          <t>코스닥</t>
        </is>
      </c>
      <c r="D1748" s="2" t="inlineStr">
        <is>
          <t>425040</t>
        </is>
      </c>
      <c r="E1748" s="3" t="inlineStr">
        <is>
          <t>임원ㆍ주요주주특정증권등소유상황보고서</t>
        </is>
      </c>
      <c r="F1748" s="3" t="inlineStr">
        <is>
          <t>최은광</t>
        </is>
      </c>
      <c r="G1748" s="2" t="inlineStr">
        <is>
          <t>20260303003279</t>
        </is>
      </c>
      <c r="H1748" s="8">
        <f>HYPERLINK("https://dart.fss.or.kr/dsaf001/main.do?rcpNo=20260303003279", "공시열람")</f>
        <v/>
      </c>
    </row>
    <row r="1749">
      <c r="A1749" s="2" t="inlineStr">
        <is>
          <t>2026-03-03</t>
        </is>
      </c>
      <c r="B1749" s="3" t="inlineStr">
        <is>
          <t>신한지주</t>
        </is>
      </c>
      <c r="C1749" s="2" t="inlineStr">
        <is>
          <t>코스피</t>
        </is>
      </c>
      <c r="D1749" s="2" t="inlineStr">
        <is>
          <t>055550</t>
        </is>
      </c>
      <c r="E1749" s="3" t="inlineStr">
        <is>
          <t>의결권대리행사권유참고서류</t>
        </is>
      </c>
      <c r="F1749" s="3" t="inlineStr">
        <is>
          <t>신한지주</t>
        </is>
      </c>
      <c r="G1749" s="2" t="inlineStr">
        <is>
          <t>20260303003275</t>
        </is>
      </c>
      <c r="H1749" s="8">
        <f>HYPERLINK("https://dart.fss.or.kr/dsaf001/main.do?rcpNo=20260303003275", "공시열람")</f>
        <v/>
      </c>
    </row>
    <row r="1750">
      <c r="A1750" s="2" t="inlineStr">
        <is>
          <t>2026-03-03</t>
        </is>
      </c>
      <c r="B1750" s="3" t="inlineStr">
        <is>
          <t>티이엠씨</t>
        </is>
      </c>
      <c r="C1750" s="2" t="inlineStr">
        <is>
          <t>코스닥</t>
        </is>
      </c>
      <c r="D1750" s="2" t="inlineStr">
        <is>
          <t>425040</t>
        </is>
      </c>
      <c r="E1750" s="3" t="inlineStr">
        <is>
          <t>임원ㆍ주요주주특정증권등소유상황보고서</t>
        </is>
      </c>
      <c r="F1750" s="3" t="inlineStr">
        <is>
          <t>여동일</t>
        </is>
      </c>
      <c r="G1750" s="2" t="inlineStr">
        <is>
          <t>20260303003274</t>
        </is>
      </c>
      <c r="H1750" s="8">
        <f>HYPERLINK("https://dart.fss.or.kr/dsaf001/main.do?rcpNo=20260303003274", "공시열람")</f>
        <v/>
      </c>
    </row>
    <row r="1751">
      <c r="A1751" s="2" t="inlineStr">
        <is>
          <t>2026-03-03</t>
        </is>
      </c>
      <c r="B1751" s="3" t="inlineStr">
        <is>
          <t>다올투자증권</t>
        </is>
      </c>
      <c r="C1751" s="2" t="inlineStr">
        <is>
          <t>코스피</t>
        </is>
      </c>
      <c r="D1751" s="2" t="inlineStr">
        <is>
          <t>030210</t>
        </is>
      </c>
      <c r="E1751" s="3" t="inlineStr">
        <is>
          <t>의결권대리행사권유참고서류</t>
        </is>
      </c>
      <c r="F1751" s="3" t="inlineStr">
        <is>
          <t>다올투자증권</t>
        </is>
      </c>
      <c r="G1751" s="2" t="inlineStr">
        <is>
          <t>20260303003273</t>
        </is>
      </c>
      <c r="H1751" s="8">
        <f>HYPERLINK("https://dart.fss.or.kr/dsaf001/main.do?rcpNo=20260303003273", "공시열람")</f>
        <v/>
      </c>
    </row>
    <row r="1752">
      <c r="A1752" s="2" t="inlineStr">
        <is>
          <t>2026-03-03</t>
        </is>
      </c>
      <c r="B1752" s="3" t="inlineStr">
        <is>
          <t>AP위성</t>
        </is>
      </c>
      <c r="C1752" s="2" t="inlineStr">
        <is>
          <t>코스닥</t>
        </is>
      </c>
      <c r="D1752" s="2" t="inlineStr">
        <is>
          <t>211270</t>
        </is>
      </c>
      <c r="E1752" s="3" t="inlineStr">
        <is>
          <t>주요사항보고서(자기주식처분결정)</t>
        </is>
      </c>
      <c r="F1752" s="3" t="inlineStr">
        <is>
          <t>AP위성</t>
        </is>
      </c>
      <c r="G1752" s="2" t="inlineStr">
        <is>
          <t>20260303003135</t>
        </is>
      </c>
      <c r="H1752" s="8">
        <f>HYPERLINK("https://dart.fss.or.kr/dsaf001/main.do?rcpNo=20260303003135", "공시열람")</f>
        <v/>
      </c>
    </row>
    <row r="1753">
      <c r="A1753" s="2" t="inlineStr">
        <is>
          <t>2026-03-03</t>
        </is>
      </c>
      <c r="B1753" s="3" t="inlineStr">
        <is>
          <t>티이엠씨</t>
        </is>
      </c>
      <c r="C1753" s="2" t="inlineStr">
        <is>
          <t>코스닥</t>
        </is>
      </c>
      <c r="D1753" s="2" t="inlineStr">
        <is>
          <t>425040</t>
        </is>
      </c>
      <c r="E1753" s="3" t="inlineStr">
        <is>
          <t>임원ㆍ주요주주특정증권등소유상황보고서</t>
        </is>
      </c>
      <c r="F1753" s="3" t="inlineStr">
        <is>
          <t>오승우</t>
        </is>
      </c>
      <c r="G1753" s="2" t="inlineStr">
        <is>
          <t>20260303003269</t>
        </is>
      </c>
      <c r="H1753" s="8">
        <f>HYPERLINK("https://dart.fss.or.kr/dsaf001/main.do?rcpNo=20260303003269", "공시열람")</f>
        <v/>
      </c>
    </row>
    <row r="1754">
      <c r="A1754" s="2" t="inlineStr">
        <is>
          <t>2026-03-03</t>
        </is>
      </c>
      <c r="B1754" s="3" t="inlineStr">
        <is>
          <t>한울반도체</t>
        </is>
      </c>
      <c r="C1754" s="2" t="inlineStr">
        <is>
          <t>코스닥</t>
        </is>
      </c>
      <c r="D1754" s="2" t="inlineStr">
        <is>
          <t>320000</t>
        </is>
      </c>
      <c r="E1754" s="3" t="inlineStr">
        <is>
          <t xml:space="preserve">신주인수권행사              </t>
        </is>
      </c>
      <c r="F1754" s="3" t="inlineStr">
        <is>
          <t>한울반도체</t>
        </is>
      </c>
      <c r="G1754" s="2" t="inlineStr">
        <is>
          <t>20260303901330</t>
        </is>
      </c>
      <c r="H1754" s="8">
        <f>HYPERLINK("https://dart.fss.or.kr/dsaf001/main.do?rcpNo=20260303901330", "공시열람")</f>
        <v/>
      </c>
    </row>
    <row r="1755">
      <c r="A1755" s="2" t="inlineStr">
        <is>
          <t>2026-03-03</t>
        </is>
      </c>
      <c r="B1755" s="3" t="inlineStr">
        <is>
          <t>아이티센씨티에스</t>
        </is>
      </c>
      <c r="C1755" s="2" t="inlineStr">
        <is>
          <t>코스피</t>
        </is>
      </c>
      <c r="D1755" s="2" t="inlineStr">
        <is>
          <t>031820</t>
        </is>
      </c>
      <c r="E1755" s="3" t="inlineStr">
        <is>
          <t xml:space="preserve">주식병합결정              </t>
        </is>
      </c>
      <c r="F1755" s="3" t="inlineStr">
        <is>
          <t>아이티센씨티에스</t>
        </is>
      </c>
      <c r="G1755" s="2" t="inlineStr">
        <is>
          <t>20260303801271</t>
        </is>
      </c>
      <c r="H1755" s="8">
        <f>HYPERLINK("https://dart.fss.or.kr/dsaf001/main.do?rcpNo=20260303801271", "공시열람")</f>
        <v/>
      </c>
    </row>
    <row r="1756">
      <c r="A1756" s="2" t="inlineStr">
        <is>
          <t>2026-03-03</t>
        </is>
      </c>
      <c r="B1756" s="3" t="inlineStr">
        <is>
          <t>에스투더블유</t>
        </is>
      </c>
      <c r="C1756" s="2" t="inlineStr">
        <is>
          <t>코스닥</t>
        </is>
      </c>
      <c r="D1756" s="2" t="inlineStr">
        <is>
          <t>488280</t>
        </is>
      </c>
      <c r="E1756" s="3" t="inlineStr">
        <is>
          <t>임원ㆍ주요주주특정증권등소유상황보고서</t>
        </is>
      </c>
      <c r="F1756" s="3" t="inlineStr">
        <is>
          <t>이유경</t>
        </is>
      </c>
      <c r="G1756" s="2" t="inlineStr">
        <is>
          <t>20260303003266</t>
        </is>
      </c>
      <c r="H1756" s="8">
        <f>HYPERLINK("https://dart.fss.or.kr/dsaf001/main.do?rcpNo=20260303003266", "공시열람")</f>
        <v/>
      </c>
    </row>
    <row r="1757">
      <c r="A1757" s="2" t="inlineStr">
        <is>
          <t>2026-03-03</t>
        </is>
      </c>
      <c r="B1757" s="3" t="inlineStr">
        <is>
          <t>노드메이슨</t>
        </is>
      </c>
      <c r="C1757" s="2" t="inlineStr">
        <is>
          <t>코넥스</t>
        </is>
      </c>
      <c r="D1757" s="2" t="inlineStr">
        <is>
          <t>317860</t>
        </is>
      </c>
      <c r="E1757" s="3" t="inlineStr">
        <is>
          <t>전환가액의조정              (제1회차)</t>
        </is>
      </c>
      <c r="F1757" s="3" t="inlineStr">
        <is>
          <t>노드메이슨</t>
        </is>
      </c>
      <c r="G1757" s="2" t="inlineStr">
        <is>
          <t>20260303601287</t>
        </is>
      </c>
      <c r="H1757" s="8">
        <f>HYPERLINK("https://dart.fss.or.kr/dsaf001/main.do?rcpNo=20260303601287", "공시열람")</f>
        <v/>
      </c>
    </row>
    <row r="1758">
      <c r="A1758" s="2" t="inlineStr">
        <is>
          <t>2026-03-03</t>
        </is>
      </c>
      <c r="B1758" s="3" t="inlineStr">
        <is>
          <t>티이엠씨</t>
        </is>
      </c>
      <c r="C1758" s="2" t="inlineStr">
        <is>
          <t>코스닥</t>
        </is>
      </c>
      <c r="D1758" s="2" t="inlineStr">
        <is>
          <t>425040</t>
        </is>
      </c>
      <c r="E1758" s="3" t="inlineStr">
        <is>
          <t>임원ㆍ주요주주특정증권등소유상황보고서</t>
        </is>
      </c>
      <c r="F1758" s="3" t="inlineStr">
        <is>
          <t>조익성</t>
        </is>
      </c>
      <c r="G1758" s="2" t="inlineStr">
        <is>
          <t>20260303003264</t>
        </is>
      </c>
      <c r="H1758" s="8">
        <f>HYPERLINK("https://dart.fss.or.kr/dsaf001/main.do?rcpNo=20260303003264", "공시열람")</f>
        <v/>
      </c>
    </row>
    <row r="1759">
      <c r="A1759" s="2" t="inlineStr">
        <is>
          <t>2026-03-03</t>
        </is>
      </c>
      <c r="B1759" s="3" t="inlineStr">
        <is>
          <t>NH프라임리츠</t>
        </is>
      </c>
      <c r="C1759" s="2" t="inlineStr">
        <is>
          <t>코스피</t>
        </is>
      </c>
      <c r="D1759" s="2" t="inlineStr">
        <is>
          <t>338100</t>
        </is>
      </c>
      <c r="E1759" s="3" t="inlineStr">
        <is>
          <t xml:space="preserve">부동산투자회사증권처분              </t>
        </is>
      </c>
      <c r="F1759" s="3" t="inlineStr">
        <is>
          <t>NH프라임리츠</t>
        </is>
      </c>
      <c r="G1759" s="2" t="inlineStr">
        <is>
          <t>20260303801238</t>
        </is>
      </c>
      <c r="H1759" s="8">
        <f>HYPERLINK("https://dart.fss.or.kr/dsaf001/main.do?rcpNo=20260303801238", "공시열람")</f>
        <v/>
      </c>
    </row>
    <row r="1760">
      <c r="A1760" s="2" t="inlineStr">
        <is>
          <t>2026-03-03</t>
        </is>
      </c>
      <c r="B1760" s="3" t="inlineStr">
        <is>
          <t>티이엠씨</t>
        </is>
      </c>
      <c r="C1760" s="2" t="inlineStr">
        <is>
          <t>코스닥</t>
        </is>
      </c>
      <c r="D1760" s="2" t="inlineStr">
        <is>
          <t>425040</t>
        </is>
      </c>
      <c r="E1760" s="3" t="inlineStr">
        <is>
          <t>임원ㆍ주요주주특정증권등소유상황보고서</t>
        </is>
      </c>
      <c r="F1760" s="3" t="inlineStr">
        <is>
          <t>송창근</t>
        </is>
      </c>
      <c r="G1760" s="2" t="inlineStr">
        <is>
          <t>20260303003261</t>
        </is>
      </c>
      <c r="H1760" s="8">
        <f>HYPERLINK("https://dart.fss.or.kr/dsaf001/main.do?rcpNo=20260303003261", "공시열람")</f>
        <v/>
      </c>
    </row>
    <row r="1761">
      <c r="A1761" s="2" t="inlineStr">
        <is>
          <t>2026-03-03</t>
        </is>
      </c>
      <c r="B1761" s="3" t="inlineStr">
        <is>
          <t>티이엠씨</t>
        </is>
      </c>
      <c r="C1761" s="2" t="inlineStr">
        <is>
          <t>코스닥</t>
        </is>
      </c>
      <c r="D1761" s="2" t="inlineStr">
        <is>
          <t>425040</t>
        </is>
      </c>
      <c r="E1761" s="3" t="inlineStr">
        <is>
          <t>임원ㆍ주요주주특정증권등소유상황보고서</t>
        </is>
      </c>
      <c r="F1761" s="3" t="inlineStr">
        <is>
          <t>최찬규</t>
        </is>
      </c>
      <c r="G1761" s="2" t="inlineStr">
        <is>
          <t>20260303003254</t>
        </is>
      </c>
      <c r="H1761" s="8">
        <f>HYPERLINK("https://dart.fss.or.kr/dsaf001/main.do?rcpNo=20260303003254", "공시열람")</f>
        <v/>
      </c>
    </row>
    <row r="1762">
      <c r="A1762" s="2" t="inlineStr">
        <is>
          <t>2026-03-03</t>
        </is>
      </c>
      <c r="B1762" s="3" t="inlineStr">
        <is>
          <t>에스투더블유</t>
        </is>
      </c>
      <c r="C1762" s="2" t="inlineStr">
        <is>
          <t>코스닥</t>
        </is>
      </c>
      <c r="D1762" s="2" t="inlineStr">
        <is>
          <t>488280</t>
        </is>
      </c>
      <c r="E1762" s="3" t="inlineStr">
        <is>
          <t>임원ㆍ주요주주특정증권등소유상황보고서</t>
        </is>
      </c>
      <c r="F1762" s="3" t="inlineStr">
        <is>
          <t>황인욱</t>
        </is>
      </c>
      <c r="G1762" s="2" t="inlineStr">
        <is>
          <t>20260303003251</t>
        </is>
      </c>
      <c r="H1762" s="8">
        <f>HYPERLINK("https://dart.fss.or.kr/dsaf001/main.do?rcpNo=20260303003251", "공시열람")</f>
        <v/>
      </c>
    </row>
    <row r="1763">
      <c r="A1763" s="2" t="inlineStr">
        <is>
          <t>2026-03-03</t>
        </is>
      </c>
      <c r="B1763" s="3" t="inlineStr">
        <is>
          <t>티이엠씨</t>
        </is>
      </c>
      <c r="C1763" s="2" t="inlineStr">
        <is>
          <t>코스닥</t>
        </is>
      </c>
      <c r="D1763" s="2" t="inlineStr">
        <is>
          <t>425040</t>
        </is>
      </c>
      <c r="E1763" s="3" t="inlineStr">
        <is>
          <t>임원ㆍ주요주주특정증권등소유상황보고서</t>
        </is>
      </c>
      <c r="F1763" s="3" t="inlineStr">
        <is>
          <t>전상훈</t>
        </is>
      </c>
      <c r="G1763" s="2" t="inlineStr">
        <is>
          <t>20260303003250</t>
        </is>
      </c>
      <c r="H1763" s="8">
        <f>HYPERLINK("https://dart.fss.or.kr/dsaf001/main.do?rcpNo=20260303003250", "공시열람")</f>
        <v/>
      </c>
    </row>
    <row r="1764">
      <c r="A1764" s="2" t="inlineStr">
        <is>
          <t>2026-03-03</t>
        </is>
      </c>
      <c r="B1764" s="3" t="inlineStr">
        <is>
          <t>티이엠씨</t>
        </is>
      </c>
      <c r="C1764" s="2" t="inlineStr">
        <is>
          <t>코스닥</t>
        </is>
      </c>
      <c r="D1764" s="2" t="inlineStr">
        <is>
          <t>425040</t>
        </is>
      </c>
      <c r="E1764" s="3" t="inlineStr">
        <is>
          <t>임원ㆍ주요주주특정증권등소유상황보고서</t>
        </is>
      </c>
      <c r="F1764" s="3" t="inlineStr">
        <is>
          <t>김성곤</t>
        </is>
      </c>
      <c r="G1764" s="2" t="inlineStr">
        <is>
          <t>20260303003245</t>
        </is>
      </c>
      <c r="H1764" s="8">
        <f>HYPERLINK("https://dart.fss.or.kr/dsaf001/main.do?rcpNo=20260303003245", "공시열람")</f>
        <v/>
      </c>
    </row>
    <row r="1765">
      <c r="A1765" s="2" t="inlineStr">
        <is>
          <t>2026-03-03</t>
        </is>
      </c>
      <c r="B1765" s="3" t="inlineStr">
        <is>
          <t>이노인스트루먼트</t>
        </is>
      </c>
      <c r="C1765" s="2" t="inlineStr">
        <is>
          <t>코스닥</t>
        </is>
      </c>
      <c r="D1765" s="2" t="inlineStr">
        <is>
          <t>215790</t>
        </is>
      </c>
      <c r="E1765" s="3" t="inlineStr">
        <is>
          <t xml:space="preserve">매출액또는손익구조30%(대규모법인은15%)이상변동              </t>
        </is>
      </c>
      <c r="F1765" s="3" t="inlineStr">
        <is>
          <t>이노인스트루먼트</t>
        </is>
      </c>
      <c r="G1765" s="2" t="inlineStr">
        <is>
          <t>20260303901356</t>
        </is>
      </c>
      <c r="H1765" s="8">
        <f>HYPERLINK("https://dart.fss.or.kr/dsaf001/main.do?rcpNo=20260303901356", "공시열람")</f>
        <v/>
      </c>
    </row>
    <row r="1766">
      <c r="A1766" s="2" t="inlineStr">
        <is>
          <t>2026-03-03 (정정: 2026-03-04)</t>
        </is>
      </c>
      <c r="B1766" s="3" t="inlineStr">
        <is>
          <t>그린생명과학</t>
        </is>
      </c>
      <c r="C1766" s="2" t="inlineStr">
        <is>
          <t>코스닥</t>
        </is>
      </c>
      <c r="D1766" s="2" t="inlineStr">
        <is>
          <t>114450</t>
        </is>
      </c>
      <c r="E1766" s="3" t="inlineStr">
        <is>
          <t>주요사항보고서(자기주식처분결정) (정정: 20260304)</t>
        </is>
      </c>
      <c r="F1766" s="3" t="inlineStr">
        <is>
          <t>그린생명과학</t>
        </is>
      </c>
      <c r="G1766" s="2" t="inlineStr">
        <is>
          <t>20260304000513</t>
        </is>
      </c>
      <c r="H1766" s="8">
        <f>HYPERLINK("https://dart.fss.or.kr/dsaf001/main.do?rcpNo=20260304000513", "공시열람")</f>
        <v/>
      </c>
    </row>
    <row r="1767">
      <c r="A1767" s="2" t="inlineStr">
        <is>
          <t>2026-03-03</t>
        </is>
      </c>
      <c r="B1767" s="3" t="inlineStr">
        <is>
          <t>티이엠씨</t>
        </is>
      </c>
      <c r="C1767" s="2" t="inlineStr">
        <is>
          <t>코스닥</t>
        </is>
      </c>
      <c r="D1767" s="2" t="inlineStr">
        <is>
          <t>425040</t>
        </is>
      </c>
      <c r="E1767" s="3" t="inlineStr">
        <is>
          <t>임원ㆍ주요주주특정증권등소유상황보고서</t>
        </is>
      </c>
      <c r="F1767" s="3" t="inlineStr">
        <is>
          <t>유원양</t>
        </is>
      </c>
      <c r="G1767" s="2" t="inlineStr">
        <is>
          <t>20260303003238</t>
        </is>
      </c>
      <c r="H1767" s="8">
        <f>HYPERLINK("https://dart.fss.or.kr/dsaf001/main.do?rcpNo=20260303003238", "공시열람")</f>
        <v/>
      </c>
    </row>
    <row r="1768">
      <c r="A1768" s="2" t="inlineStr">
        <is>
          <t>2026-03-03</t>
        </is>
      </c>
      <c r="B1768" s="3" t="inlineStr">
        <is>
          <t>에스투더블유</t>
        </is>
      </c>
      <c r="C1768" s="2" t="inlineStr">
        <is>
          <t>코스닥</t>
        </is>
      </c>
      <c r="D1768" s="2" t="inlineStr">
        <is>
          <t>488280</t>
        </is>
      </c>
      <c r="E1768" s="3" t="inlineStr">
        <is>
          <t>임원ㆍ주요주주특정증권등소유상황보고서</t>
        </is>
      </c>
      <c r="F1768" s="3" t="inlineStr">
        <is>
          <t>이기욱</t>
        </is>
      </c>
      <c r="G1768" s="2" t="inlineStr">
        <is>
          <t>20260303003237</t>
        </is>
      </c>
      <c r="H1768" s="8">
        <f>HYPERLINK("https://dart.fss.or.kr/dsaf001/main.do?rcpNo=20260303003237", "공시열람")</f>
        <v/>
      </c>
    </row>
    <row r="1769">
      <c r="A1769" s="2" t="inlineStr">
        <is>
          <t>2026-03-03</t>
        </is>
      </c>
      <c r="B1769" s="3" t="inlineStr">
        <is>
          <t>노드메이슨</t>
        </is>
      </c>
      <c r="C1769" s="2" t="inlineStr">
        <is>
          <t>코넥스</t>
        </is>
      </c>
      <c r="D1769" s="2" t="inlineStr">
        <is>
          <t>317860</t>
        </is>
      </c>
      <c r="E1769" s="3" t="inlineStr">
        <is>
          <t>임원ㆍ주요주주특정증권등소유상황보고서</t>
        </is>
      </c>
      <c r="F1769" s="3" t="inlineStr">
        <is>
          <t>인트론바이오</t>
        </is>
      </c>
      <c r="G1769" s="2" t="inlineStr">
        <is>
          <t>20260303003233</t>
        </is>
      </c>
      <c r="H1769" s="8">
        <f>HYPERLINK("https://dart.fss.or.kr/dsaf001/main.do?rcpNo=20260303003233", "공시열람")</f>
        <v/>
      </c>
    </row>
    <row r="1770">
      <c r="A1770" s="2" t="inlineStr">
        <is>
          <t>2026-03-03</t>
        </is>
      </c>
      <c r="B1770" s="3" t="inlineStr">
        <is>
          <t>SGC E&amp;C</t>
        </is>
      </c>
      <c r="C1770" s="2" t="inlineStr">
        <is>
          <t>코스닥</t>
        </is>
      </c>
      <c r="D1770" s="2" t="inlineStr">
        <is>
          <t>016250</t>
        </is>
      </c>
      <c r="E1770" s="3" t="inlineStr">
        <is>
          <t>의결권대리행사권유참고서류</t>
        </is>
      </c>
      <c r="F1770" s="3" t="inlineStr">
        <is>
          <t>SGC E&amp;C</t>
        </is>
      </c>
      <c r="G1770" s="2" t="inlineStr">
        <is>
          <t>20260303003224</t>
        </is>
      </c>
      <c r="H1770" s="8">
        <f>HYPERLINK("https://dart.fss.or.kr/dsaf001/main.do?rcpNo=20260303003224", "공시열람")</f>
        <v/>
      </c>
    </row>
    <row r="1771">
      <c r="A1771" s="2" t="inlineStr">
        <is>
          <t>2026-03-03</t>
        </is>
      </c>
      <c r="B1771" s="3" t="inlineStr">
        <is>
          <t>에스투더블유</t>
        </is>
      </c>
      <c r="C1771" s="2" t="inlineStr">
        <is>
          <t>코스닥</t>
        </is>
      </c>
      <c r="D1771" s="2" t="inlineStr">
        <is>
          <t>488280</t>
        </is>
      </c>
      <c r="E1771" s="3" t="inlineStr">
        <is>
          <t>임원ㆍ주요주주특정증권등소유상황보고서</t>
        </is>
      </c>
      <c r="F1771" s="3" t="inlineStr">
        <is>
          <t>오다인</t>
        </is>
      </c>
      <c r="G1771" s="2" t="inlineStr">
        <is>
          <t>20260303003216</t>
        </is>
      </c>
      <c r="H1771" s="8">
        <f>HYPERLINK("https://dart.fss.or.kr/dsaf001/main.do?rcpNo=20260303003216", "공시열람")</f>
        <v/>
      </c>
    </row>
    <row r="1772">
      <c r="A1772" s="2" t="inlineStr">
        <is>
          <t>2026-03-03 (정정: 2026-03-03)</t>
        </is>
      </c>
      <c r="B1772" s="3" t="inlineStr">
        <is>
          <t>휴마시스</t>
        </is>
      </c>
      <c r="C1772" s="2" t="inlineStr">
        <is>
          <t>코스닥</t>
        </is>
      </c>
      <c r="D1772" s="2" t="inlineStr">
        <is>
          <t>205470</t>
        </is>
      </c>
      <c r="E1772" s="3" t="inlineStr">
        <is>
          <t>[기재정정]소송등의판결ㆍ결정(일정금액이상의청구)               (정정: 20260303)</t>
        </is>
      </c>
      <c r="F1772" s="3" t="inlineStr">
        <is>
          <t>휴마시스</t>
        </is>
      </c>
      <c r="G1772" s="2" t="inlineStr">
        <is>
          <t>20260303901249</t>
        </is>
      </c>
      <c r="H1772" s="8">
        <f>HYPERLINK("https://dart.fss.or.kr/dsaf001/main.do?rcpNo=20260303901249", "공시열람")</f>
        <v/>
      </c>
    </row>
    <row r="1773">
      <c r="A1773" s="2" t="inlineStr">
        <is>
          <t>2026-03-03</t>
        </is>
      </c>
      <c r="B1773" s="3" t="inlineStr">
        <is>
          <t>푸드나무</t>
        </is>
      </c>
      <c r="C1773" s="2" t="inlineStr">
        <is>
          <t>코스닥</t>
        </is>
      </c>
      <c r="D1773" s="2" t="inlineStr">
        <is>
          <t>290720</t>
        </is>
      </c>
      <c r="E1773" s="3" t="inlineStr">
        <is>
          <t>임원ㆍ주요주주특정증권등거래계획보고서</t>
        </is>
      </c>
      <c r="F1773" s="3" t="inlineStr">
        <is>
          <t>온힐파트너스</t>
        </is>
      </c>
      <c r="G1773" s="2" t="inlineStr">
        <is>
          <t>20260303003200</t>
        </is>
      </c>
      <c r="H1773" s="8">
        <f>HYPERLINK("https://dart.fss.or.kr/dsaf001/main.do?rcpNo=20260303003200", "공시열람")</f>
        <v/>
      </c>
    </row>
    <row r="1774">
      <c r="A1774" s="2" t="inlineStr">
        <is>
          <t>2026-03-03</t>
        </is>
      </c>
      <c r="B1774" s="3" t="inlineStr">
        <is>
          <t>에스투더블유</t>
        </is>
      </c>
      <c r="C1774" s="2" t="inlineStr">
        <is>
          <t>코스닥</t>
        </is>
      </c>
      <c r="D1774" s="2" t="inlineStr">
        <is>
          <t>488280</t>
        </is>
      </c>
      <c r="E1774" s="3" t="inlineStr">
        <is>
          <t>임원ㆍ주요주주특정증권등소유상황보고서</t>
        </is>
      </c>
      <c r="F1774" s="3" t="inlineStr">
        <is>
          <t>박근태</t>
        </is>
      </c>
      <c r="G1774" s="2" t="inlineStr">
        <is>
          <t>20260303003193</t>
        </is>
      </c>
      <c r="H1774" s="8">
        <f>HYPERLINK("https://dart.fss.or.kr/dsaf001/main.do?rcpNo=20260303003193", "공시열람")</f>
        <v/>
      </c>
    </row>
    <row r="1775">
      <c r="A1775" s="2" t="inlineStr">
        <is>
          <t>2026-03-03 (정정: 2026-03-06)</t>
        </is>
      </c>
      <c r="B1775" s="3" t="inlineStr">
        <is>
          <t>삼부토건</t>
        </is>
      </c>
      <c r="C1775" s="2" t="inlineStr">
        <is>
          <t>코스피</t>
        </is>
      </c>
      <c r="D1775" s="2" t="inlineStr">
        <is>
          <t>001470</t>
        </is>
      </c>
      <c r="E1775" s="3" t="inlineStr">
        <is>
          <t>자본잠식50%이상또는매출액50억원미만사실발생               (정정: 20260306)</t>
        </is>
      </c>
      <c r="F1775" s="3" t="inlineStr">
        <is>
          <t>삼부토건</t>
        </is>
      </c>
      <c r="G1775" s="2" t="inlineStr">
        <is>
          <t>20260306801408</t>
        </is>
      </c>
      <c r="H1775" s="8">
        <f>HYPERLINK("https://dart.fss.or.kr/dsaf001/main.do?rcpNo=20260306801408", "공시열람")</f>
        <v/>
      </c>
    </row>
    <row r="1776">
      <c r="A1776" s="2" t="inlineStr">
        <is>
          <t>2026-03-03</t>
        </is>
      </c>
      <c r="B1776" s="3" t="inlineStr">
        <is>
          <t>오이솔루션</t>
        </is>
      </c>
      <c r="C1776" s="2" t="inlineStr">
        <is>
          <t>코스닥</t>
        </is>
      </c>
      <c r="D1776" s="2" t="inlineStr">
        <is>
          <t>138080</t>
        </is>
      </c>
      <c r="E1776" s="3" t="inlineStr">
        <is>
          <t xml:space="preserve">전환청구권행사              </t>
        </is>
      </c>
      <c r="F1776" s="3" t="inlineStr">
        <is>
          <t>오이솔루션</t>
        </is>
      </c>
      <c r="G1776" s="2" t="inlineStr">
        <is>
          <t>20260303901342</t>
        </is>
      </c>
      <c r="H1776" s="8">
        <f>HYPERLINK("https://dart.fss.or.kr/dsaf001/main.do?rcpNo=20260303901342", "공시열람")</f>
        <v/>
      </c>
    </row>
    <row r="1777">
      <c r="A1777" s="2" t="inlineStr">
        <is>
          <t>2026-03-03</t>
        </is>
      </c>
      <c r="B1777" s="3" t="inlineStr">
        <is>
          <t>롯데관광개발</t>
        </is>
      </c>
      <c r="C1777" s="2" t="inlineStr">
        <is>
          <t>코스피</t>
        </is>
      </c>
      <c r="D1777" s="2" t="inlineStr">
        <is>
          <t>032350</t>
        </is>
      </c>
      <c r="E1777" s="3" t="inlineStr">
        <is>
          <t xml:space="preserve">연결재무제표기준영업(잠정)실적(공정공시)              </t>
        </is>
      </c>
      <c r="F1777" s="3" t="inlineStr">
        <is>
          <t>롯데관광개발</t>
        </is>
      </c>
      <c r="G1777" s="2" t="inlineStr">
        <is>
          <t>20260303801308</t>
        </is>
      </c>
      <c r="H1777" s="8">
        <f>HYPERLINK("https://dart.fss.or.kr/dsaf001/main.do?rcpNo=20260303801308", "공시열람")</f>
        <v/>
      </c>
    </row>
    <row r="1778">
      <c r="A1778" s="2" t="inlineStr">
        <is>
          <t>2026-03-03 (정정: 2026-03-25)</t>
        </is>
      </c>
      <c r="B1778" s="3" t="inlineStr">
        <is>
          <t>백금T&amp;A</t>
        </is>
      </c>
      <c r="C1778" s="2" t="inlineStr">
        <is>
          <t>코스닥</t>
        </is>
      </c>
      <c r="D1778" s="2" t="inlineStr">
        <is>
          <t>046310</t>
        </is>
      </c>
      <c r="E1778" s="3" t="inlineStr">
        <is>
          <t>의결권대리행사권유참고서류 (정정: 20260325)</t>
        </is>
      </c>
      <c r="F1778" s="3" t="inlineStr">
        <is>
          <t>백금T&amp;A</t>
        </is>
      </c>
      <c r="G1778" s="2" t="inlineStr">
        <is>
          <t>20260325000217</t>
        </is>
      </c>
      <c r="H1778" s="8">
        <f>HYPERLINK("https://dart.fss.or.kr/dsaf001/main.do?rcpNo=20260325000217", "공시열람")</f>
        <v/>
      </c>
    </row>
    <row r="1779">
      <c r="A1779" s="2" t="inlineStr">
        <is>
          <t>2026-03-03</t>
        </is>
      </c>
      <c r="B1779" s="3" t="inlineStr">
        <is>
          <t>대산F&amp;B</t>
        </is>
      </c>
      <c r="C1779" s="2" t="inlineStr">
        <is>
          <t>코스닥</t>
        </is>
      </c>
      <c r="D1779" s="2" t="inlineStr">
        <is>
          <t>065150</t>
        </is>
      </c>
      <c r="E1779" s="3" t="inlineStr">
        <is>
          <t>주요사항보고서(유형자산양도결정)</t>
        </is>
      </c>
      <c r="F1779" s="3" t="inlineStr">
        <is>
          <t>대산F&amp;B</t>
        </is>
      </c>
      <c r="G1779" s="2" t="inlineStr">
        <is>
          <t>20260303003033</t>
        </is>
      </c>
      <c r="H1779" s="8">
        <f>HYPERLINK("https://dart.fss.or.kr/dsaf001/main.do?rcpNo=20260303003033", "공시열람")</f>
        <v/>
      </c>
    </row>
    <row r="1780">
      <c r="A1780" s="2" t="inlineStr">
        <is>
          <t>2026-03-03</t>
        </is>
      </c>
      <c r="B1780" s="3" t="inlineStr">
        <is>
          <t>에스투더블유</t>
        </is>
      </c>
      <c r="C1780" s="2" t="inlineStr">
        <is>
          <t>코스닥</t>
        </is>
      </c>
      <c r="D1780" s="2" t="inlineStr">
        <is>
          <t>488280</t>
        </is>
      </c>
      <c r="E1780" s="3" t="inlineStr">
        <is>
          <t>임원ㆍ주요주주특정증권등소유상황보고서</t>
        </is>
      </c>
      <c r="F1780" s="3" t="inlineStr">
        <is>
          <t>김재기</t>
        </is>
      </c>
      <c r="G1780" s="2" t="inlineStr">
        <is>
          <t>20260303003157</t>
        </is>
      </c>
      <c r="H1780" s="8">
        <f>HYPERLINK("https://dart.fss.or.kr/dsaf001/main.do?rcpNo=20260303003157", "공시열람")</f>
        <v/>
      </c>
    </row>
    <row r="1781">
      <c r="A1781" s="2" t="inlineStr">
        <is>
          <t>2026-03-03</t>
        </is>
      </c>
      <c r="B1781" s="3" t="inlineStr">
        <is>
          <t>덴티움</t>
        </is>
      </c>
      <c r="C1781" s="2" t="inlineStr">
        <is>
          <t>코스피</t>
        </is>
      </c>
      <c r="D1781" s="2" t="inlineStr">
        <is>
          <t>145720</t>
        </is>
      </c>
      <c r="E1781" s="3" t="inlineStr">
        <is>
          <t xml:space="preserve">현금ㆍ현물배당을위한주주명부폐쇄(기준일)결정              </t>
        </is>
      </c>
      <c r="F1781" s="3" t="inlineStr">
        <is>
          <t>덴티움</t>
        </is>
      </c>
      <c r="G1781" s="2" t="inlineStr">
        <is>
          <t>20260303801335</t>
        </is>
      </c>
      <c r="H1781" s="8">
        <f>HYPERLINK("https://dart.fss.or.kr/dsaf001/main.do?rcpNo=20260303801335", "공시열람")</f>
        <v/>
      </c>
    </row>
    <row r="1782">
      <c r="A1782" s="2" t="inlineStr">
        <is>
          <t>2026-03-03</t>
        </is>
      </c>
      <c r="B1782" s="3" t="inlineStr">
        <is>
          <t>덴티움</t>
        </is>
      </c>
      <c r="C1782" s="2" t="inlineStr">
        <is>
          <t>코스피</t>
        </is>
      </c>
      <c r="D1782" s="2" t="inlineStr">
        <is>
          <t>145720</t>
        </is>
      </c>
      <c r="E1782" s="3" t="inlineStr">
        <is>
          <t xml:space="preserve">현금ㆍ현물배당결정              </t>
        </is>
      </c>
      <c r="F1782" s="3" t="inlineStr">
        <is>
          <t>덴티움</t>
        </is>
      </c>
      <c r="G1782" s="2" t="inlineStr">
        <is>
          <t>20260303801334</t>
        </is>
      </c>
      <c r="H1782" s="8">
        <f>HYPERLINK("https://dart.fss.or.kr/dsaf001/main.do?rcpNo=20260303801334", "공시열람")</f>
        <v/>
      </c>
    </row>
    <row r="1783">
      <c r="A1783" s="2" t="inlineStr">
        <is>
          <t>2026-03-03</t>
        </is>
      </c>
      <c r="B1783" s="3" t="inlineStr">
        <is>
          <t>케이티</t>
        </is>
      </c>
      <c r="C1783" s="2" t="inlineStr">
        <is>
          <t>코스피</t>
        </is>
      </c>
      <c r="D1783" s="2" t="inlineStr">
        <is>
          <t>030200</t>
        </is>
      </c>
      <c r="E1783" s="3" t="inlineStr">
        <is>
          <t>[발행조건확정]증권신고서(채무증권)</t>
        </is>
      </c>
      <c r="F1783" s="3" t="inlineStr">
        <is>
          <t>케이티</t>
        </is>
      </c>
      <c r="G1783" s="2" t="inlineStr">
        <is>
          <t>20260303003153</t>
        </is>
      </c>
      <c r="H1783" s="8">
        <f>HYPERLINK("https://dart.fss.or.kr/dsaf001/main.do?rcpNo=20260303003153", "공시열람")</f>
        <v/>
      </c>
    </row>
    <row r="1784">
      <c r="A1784" s="2" t="inlineStr">
        <is>
          <t>2026-03-03</t>
        </is>
      </c>
      <c r="B1784" s="3" t="inlineStr">
        <is>
          <t>스모트로닉</t>
        </is>
      </c>
      <c r="C1784" s="2" t="inlineStr">
        <is>
          <t>코스닥</t>
        </is>
      </c>
      <c r="D1784" s="2" t="inlineStr">
        <is>
          <t>066590</t>
        </is>
      </c>
      <c r="E1784" s="3" t="inlineStr">
        <is>
          <t xml:space="preserve">매출액또는손익구조30%(대규모법인은15%)이상변동              </t>
        </is>
      </c>
      <c r="F1784" s="3" t="inlineStr">
        <is>
          <t>스모트로닉</t>
        </is>
      </c>
      <c r="G1784" s="2" t="inlineStr">
        <is>
          <t>20260303901297</t>
        </is>
      </c>
      <c r="H1784" s="8">
        <f>HYPERLINK("https://dart.fss.or.kr/dsaf001/main.do?rcpNo=20260303901297", "공시열람")</f>
        <v/>
      </c>
    </row>
    <row r="1785">
      <c r="A1785" s="2" t="inlineStr">
        <is>
          <t>2026-03-03</t>
        </is>
      </c>
      <c r="B1785" s="3" t="inlineStr">
        <is>
          <t>하나투어</t>
        </is>
      </c>
      <c r="C1785" s="2" t="inlineStr">
        <is>
          <t>코스피</t>
        </is>
      </c>
      <c r="D1785" s="2" t="inlineStr">
        <is>
          <t>039130</t>
        </is>
      </c>
      <c r="E1785" s="3" t="inlineStr">
        <is>
          <t>자기주식취득결과보고서</t>
        </is>
      </c>
      <c r="F1785" s="3" t="inlineStr">
        <is>
          <t>하나투어</t>
        </is>
      </c>
      <c r="G1785" s="2" t="inlineStr">
        <is>
          <t>20260303003129</t>
        </is>
      </c>
      <c r="H1785" s="8">
        <f>HYPERLINK("https://dart.fss.or.kr/dsaf001/main.do?rcpNo=20260303003129", "공시열람")</f>
        <v/>
      </c>
    </row>
    <row r="1786">
      <c r="A1786" s="2" t="inlineStr">
        <is>
          <t>2026-03-03</t>
        </is>
      </c>
      <c r="B1786" s="3" t="inlineStr">
        <is>
          <t>한울반도체</t>
        </is>
      </c>
      <c r="C1786" s="2" t="inlineStr">
        <is>
          <t>코스닥</t>
        </is>
      </c>
      <c r="D1786" s="2" t="inlineStr">
        <is>
          <t>320000</t>
        </is>
      </c>
      <c r="E1786" s="3" t="inlineStr">
        <is>
          <t>전환가액의조정              (제3회차, 제4회차)</t>
        </is>
      </c>
      <c r="F1786" s="3" t="inlineStr">
        <is>
          <t>한울반도체</t>
        </is>
      </c>
      <c r="G1786" s="2" t="inlineStr">
        <is>
          <t>20260303901267</t>
        </is>
      </c>
      <c r="H1786" s="8">
        <f>HYPERLINK("https://dart.fss.or.kr/dsaf001/main.do?rcpNo=20260303901267", "공시열람")</f>
        <v/>
      </c>
    </row>
    <row r="1787">
      <c r="A1787" s="2" t="inlineStr">
        <is>
          <t>2026-03-03 (정정: 2026-03-03)</t>
        </is>
      </c>
      <c r="B1787" s="3" t="inlineStr">
        <is>
          <t>덕신이피씨</t>
        </is>
      </c>
      <c r="C1787" s="2" t="inlineStr">
        <is>
          <t>코스닥</t>
        </is>
      </c>
      <c r="D1787" s="2" t="inlineStr">
        <is>
          <t>090410</t>
        </is>
      </c>
      <c r="E1787" s="3" t="inlineStr">
        <is>
          <t xml:space="preserve">[기재정정]매출액또는손익구조30%(대규모법인은15%)이상변동              </t>
        </is>
      </c>
      <c r="F1787" s="3" t="inlineStr">
        <is>
          <t>덕신이피씨</t>
        </is>
      </c>
      <c r="G1787" s="2" t="inlineStr">
        <is>
          <t>20260303901251</t>
        </is>
      </c>
      <c r="H1787" s="8">
        <f>HYPERLINK("https://dart.fss.or.kr/dsaf001/main.do?rcpNo=20260303901251", "공시열람")</f>
        <v/>
      </c>
    </row>
    <row r="1788">
      <c r="A1788" s="2" t="inlineStr">
        <is>
          <t>2026-03-03 (정정: 2026-03-03)</t>
        </is>
      </c>
      <c r="B1788" s="3" t="inlineStr">
        <is>
          <t>HL홀딩스</t>
        </is>
      </c>
      <c r="C1788" s="2" t="inlineStr">
        <is>
          <t>코스피</t>
        </is>
      </c>
      <c r="D1788" s="2" t="inlineStr">
        <is>
          <t>060980</t>
        </is>
      </c>
      <c r="E1788" s="3" t="inlineStr">
        <is>
          <t>[발행조건확정]증권신고서(채무증권) (정정: 20260303)</t>
        </is>
      </c>
      <c r="F1788" s="3" t="inlineStr">
        <is>
          <t>HL홀딩스</t>
        </is>
      </c>
      <c r="G1788" s="2" t="inlineStr">
        <is>
          <t>20260303002675</t>
        </is>
      </c>
      <c r="H1788" s="8">
        <f>HYPERLINK("https://dart.fss.or.kr/dsaf001/main.do?rcpNo=20260303002675", "공시열람")</f>
        <v/>
      </c>
    </row>
    <row r="1789">
      <c r="A1789" s="2" t="inlineStr">
        <is>
          <t>2026-03-03</t>
        </is>
      </c>
      <c r="B1789" s="3" t="inlineStr">
        <is>
          <t>리메드</t>
        </is>
      </c>
      <c r="C1789" s="2" t="inlineStr">
        <is>
          <t>코스닥</t>
        </is>
      </c>
      <c r="D1789" s="2" t="inlineStr">
        <is>
          <t>302550</t>
        </is>
      </c>
      <c r="E1789" s="3" t="inlineStr">
        <is>
          <t>임원ㆍ주요주주특정증권등소유상황보고서</t>
        </is>
      </c>
      <c r="F1789" s="3" t="inlineStr">
        <is>
          <t>신대현</t>
        </is>
      </c>
      <c r="G1789" s="2" t="inlineStr">
        <is>
          <t>20260303003108</t>
        </is>
      </c>
      <c r="H1789" s="8">
        <f>HYPERLINK("https://dart.fss.or.kr/dsaf001/main.do?rcpNo=20260303003108", "공시열람")</f>
        <v/>
      </c>
    </row>
    <row r="1790">
      <c r="A1790" s="2" t="inlineStr">
        <is>
          <t>2026-03-03 (정정: 2026-03-04)</t>
        </is>
      </c>
      <c r="B1790" s="3" t="inlineStr">
        <is>
          <t>롯데지주</t>
        </is>
      </c>
      <c r="C1790" s="2" t="inlineStr">
        <is>
          <t>코스피</t>
        </is>
      </c>
      <c r="D1790" s="2" t="inlineStr">
        <is>
          <t>004990</t>
        </is>
      </c>
      <c r="E1790" s="3" t="inlineStr">
        <is>
          <t>[기재정정]대규모기업집단현황공시[분기별공시(대표회사용)] (정정: 20260304)</t>
        </is>
      </c>
      <c r="F1790" s="3" t="inlineStr">
        <is>
          <t>롯데지주</t>
        </is>
      </c>
      <c r="G1790" s="2" t="inlineStr">
        <is>
          <t>20260304801659</t>
        </is>
      </c>
      <c r="H1790" s="8">
        <f>HYPERLINK("https://dart.fss.or.kr/dsaf001/main.do?rcpNo=20260304801659", "공시열람")</f>
        <v/>
      </c>
    </row>
    <row r="1791">
      <c r="A1791" s="2" t="inlineStr">
        <is>
          <t>2026-03-03 (정정: 2026-03-09)</t>
        </is>
      </c>
      <c r="B1791" s="3" t="inlineStr">
        <is>
          <t>알엔투테크놀로지</t>
        </is>
      </c>
      <c r="C1791" s="2" t="inlineStr">
        <is>
          <t>코스닥</t>
        </is>
      </c>
      <c r="D1791" s="2" t="inlineStr">
        <is>
          <t>148250</t>
        </is>
      </c>
      <c r="E1791" s="3" t="inlineStr">
        <is>
          <t>전환가액의조정               (정정: 20260309)</t>
        </is>
      </c>
      <c r="F1791" s="3" t="inlineStr">
        <is>
          <t>알엔투테크놀로지</t>
        </is>
      </c>
      <c r="G1791" s="2" t="inlineStr">
        <is>
          <t>20260309901586</t>
        </is>
      </c>
      <c r="H1791" s="8">
        <f>HYPERLINK("https://dart.fss.or.kr/dsaf001/main.do?rcpNo=20260309901586", "공시열람")</f>
        <v/>
      </c>
    </row>
    <row r="1792">
      <c r="A1792" s="2" t="inlineStr">
        <is>
          <t>2026-03-03</t>
        </is>
      </c>
      <c r="B1792" s="3" t="inlineStr">
        <is>
          <t>젝시믹스</t>
        </is>
      </c>
      <c r="C1792" s="2" t="inlineStr">
        <is>
          <t>코스닥</t>
        </is>
      </c>
      <c r="D1792" s="2" t="inlineStr">
        <is>
          <t>337930</t>
        </is>
      </c>
      <c r="E1792" s="3" t="inlineStr">
        <is>
          <t xml:space="preserve">매출액또는손익구조30%(대규모법인은15%)이상변동              </t>
        </is>
      </c>
      <c r="F1792" s="3" t="inlineStr">
        <is>
          <t>젝시믹스</t>
        </is>
      </c>
      <c r="G1792" s="2" t="inlineStr">
        <is>
          <t>20260303901228</t>
        </is>
      </c>
      <c r="H1792" s="8">
        <f>HYPERLINK("https://dart.fss.or.kr/dsaf001/main.do?rcpNo=20260303901228", "공시열람")</f>
        <v/>
      </c>
    </row>
    <row r="1793">
      <c r="A1793" s="2" t="inlineStr">
        <is>
          <t>2026-03-03</t>
        </is>
      </c>
      <c r="B1793" s="3" t="inlineStr">
        <is>
          <t>엣지파운드리</t>
        </is>
      </c>
      <c r="C1793" s="2" t="inlineStr">
        <is>
          <t>코스닥</t>
        </is>
      </c>
      <c r="D1793" s="2" t="inlineStr">
        <is>
          <t>105550</t>
        </is>
      </c>
      <c r="E1793" s="3" t="inlineStr">
        <is>
          <t>자기전환사채매도결정              (제16회차)</t>
        </is>
      </c>
      <c r="F1793" s="3" t="inlineStr">
        <is>
          <t>엣지파운드리</t>
        </is>
      </c>
      <c r="G1793" s="2" t="inlineStr">
        <is>
          <t>20260303901237</t>
        </is>
      </c>
      <c r="H1793" s="8">
        <f>HYPERLINK("https://dart.fss.or.kr/dsaf001/main.do?rcpNo=20260303901237", "공시열람")</f>
        <v/>
      </c>
    </row>
    <row r="1794">
      <c r="A1794" s="2" t="inlineStr">
        <is>
          <t>2026-02-05 (정정: 2026-03-03)</t>
        </is>
      </c>
      <c r="B1794" s="3" t="inlineStr">
        <is>
          <t>CJ</t>
        </is>
      </c>
      <c r="C1794" s="2" t="inlineStr">
        <is>
          <t>코스피</t>
        </is>
      </c>
      <c r="D1794" s="2" t="inlineStr">
        <is>
          <t>001040</t>
        </is>
      </c>
      <c r="E1794" s="3" t="inlineStr">
        <is>
          <t xml:space="preserve">[기재정정]주요사항보고서(자기주식처분결정)(자회사의 주요경영사항)              </t>
        </is>
      </c>
      <c r="F1794" s="3" t="inlineStr">
        <is>
          <t>CJ</t>
        </is>
      </c>
      <c r="G1794" s="2" t="inlineStr">
        <is>
          <t>20260303801282</t>
        </is>
      </c>
      <c r="H1794" s="8">
        <f>HYPERLINK("https://dart.fss.or.kr/dsaf001/main.do?rcpNo=20260303801282", "공시열람")</f>
        <v/>
      </c>
    </row>
    <row r="1795">
      <c r="A1795" s="2" t="inlineStr">
        <is>
          <t>2026-03-03</t>
        </is>
      </c>
      <c r="B1795" s="3" t="inlineStr">
        <is>
          <t>기업은행</t>
        </is>
      </c>
      <c r="C1795" s="2" t="inlineStr">
        <is>
          <t>코스피</t>
        </is>
      </c>
      <c r="D1795" s="2" t="inlineStr">
        <is>
          <t>024110</t>
        </is>
      </c>
      <c r="E1795" s="3" t="inlineStr">
        <is>
          <t xml:space="preserve">[첨부정정]기업지배구조보고서공시(연차보고서)              </t>
        </is>
      </c>
      <c r="F1795" s="3" t="inlineStr">
        <is>
          <t>기업은행</t>
        </is>
      </c>
      <c r="G1795" s="2" t="inlineStr">
        <is>
          <t>20260303801294</t>
        </is>
      </c>
      <c r="H1795" s="8">
        <f>HYPERLINK("https://dart.fss.or.kr/dsaf001/main.do?rcpNo=20260303801294", "공시열람")</f>
        <v/>
      </c>
    </row>
    <row r="1796">
      <c r="A1796" s="2" t="inlineStr">
        <is>
          <t>2026-03-03</t>
        </is>
      </c>
      <c r="B1796" s="3" t="inlineStr">
        <is>
          <t>덕신이피씨</t>
        </is>
      </c>
      <c r="C1796" s="2" t="inlineStr">
        <is>
          <t>코스닥</t>
        </is>
      </c>
      <c r="D1796" s="2" t="inlineStr">
        <is>
          <t>090410</t>
        </is>
      </c>
      <c r="E1796" s="3" t="inlineStr">
        <is>
          <t>의결권대리행사권유참고서류</t>
        </is>
      </c>
      <c r="F1796" s="3" t="inlineStr">
        <is>
          <t>덕신이피씨</t>
        </is>
      </c>
      <c r="G1796" s="2" t="inlineStr">
        <is>
          <t>20260303003093</t>
        </is>
      </c>
      <c r="H1796" s="8">
        <f>HYPERLINK("https://dart.fss.or.kr/dsaf001/main.do?rcpNo=20260303003093", "공시열람")</f>
        <v/>
      </c>
    </row>
    <row r="1797">
      <c r="A1797" s="2" t="inlineStr">
        <is>
          <t>2026-03-03</t>
        </is>
      </c>
      <c r="B1797" s="3" t="inlineStr">
        <is>
          <t>티이엠씨</t>
        </is>
      </c>
      <c r="C1797" s="2" t="inlineStr">
        <is>
          <t>코스닥</t>
        </is>
      </c>
      <c r="D1797" s="2" t="inlineStr">
        <is>
          <t>425040</t>
        </is>
      </c>
      <c r="E1797" s="3" t="inlineStr">
        <is>
          <t>자기주식처분결과보고서</t>
        </is>
      </c>
      <c r="F1797" s="3" t="inlineStr">
        <is>
          <t>티이엠씨</t>
        </is>
      </c>
      <c r="G1797" s="2" t="inlineStr">
        <is>
          <t>20260303003091</t>
        </is>
      </c>
      <c r="H1797" s="8">
        <f>HYPERLINK("https://dart.fss.or.kr/dsaf001/main.do?rcpNo=20260303003091", "공시열람")</f>
        <v/>
      </c>
    </row>
    <row r="1798">
      <c r="A1798" s="2" t="inlineStr">
        <is>
          <t>2026-02-05 (정정: 2026-03-03)</t>
        </is>
      </c>
      <c r="B1798" s="3" t="inlineStr">
        <is>
          <t>CJ ENM</t>
        </is>
      </c>
      <c r="C1798" s="2" t="inlineStr">
        <is>
          <t>코스닥</t>
        </is>
      </c>
      <c r="D1798" s="2" t="inlineStr">
        <is>
          <t>035760</t>
        </is>
      </c>
      <c r="E1798" s="3" t="inlineStr">
        <is>
          <t>[기재정정]주요사항보고서(자기주식처분결정)</t>
        </is>
      </c>
      <c r="F1798" s="3" t="inlineStr">
        <is>
          <t>CJ ENM</t>
        </is>
      </c>
      <c r="G1798" s="2" t="inlineStr">
        <is>
          <t>20260303002800</t>
        </is>
      </c>
      <c r="H1798" s="8">
        <f>HYPERLINK("https://dart.fss.or.kr/dsaf001/main.do?rcpNo=20260303002800", "공시열람")</f>
        <v/>
      </c>
    </row>
    <row r="1799">
      <c r="A1799" s="2" t="inlineStr">
        <is>
          <t>2026-03-03</t>
        </is>
      </c>
      <c r="B1799" s="3" t="inlineStr">
        <is>
          <t>NAVER</t>
        </is>
      </c>
      <c r="C1799" s="2" t="inlineStr">
        <is>
          <t>코스피</t>
        </is>
      </c>
      <c r="D1799" s="2" t="inlineStr">
        <is>
          <t>035420</t>
        </is>
      </c>
      <c r="E1799" s="3" t="inlineStr">
        <is>
          <t xml:space="preserve">기업설명회(IR)개최(안내공시)              </t>
        </is>
      </c>
      <c r="F1799" s="3" t="inlineStr">
        <is>
          <t>NAVER</t>
        </is>
      </c>
      <c r="G1799" s="2" t="inlineStr">
        <is>
          <t>20260303801274</t>
        </is>
      </c>
      <c r="H1799" s="8">
        <f>HYPERLINK("https://dart.fss.or.kr/dsaf001/main.do?rcpNo=20260303801274", "공시열람")</f>
        <v/>
      </c>
    </row>
    <row r="1800">
      <c r="A1800" s="2" t="inlineStr">
        <is>
          <t>2026-03-03 (정정: 2026-03-10)</t>
        </is>
      </c>
      <c r="B1800" s="3" t="inlineStr">
        <is>
          <t>한울소재과학</t>
        </is>
      </c>
      <c r="C1800" s="2" t="inlineStr">
        <is>
          <t>코스닥</t>
        </is>
      </c>
      <c r="D1800" s="2" t="inlineStr">
        <is>
          <t>091440</t>
        </is>
      </c>
      <c r="E1800" s="3" t="inlineStr">
        <is>
          <t>전환청구권행사               (정정: 20260310)</t>
        </is>
      </c>
      <c r="F1800" s="3" t="inlineStr">
        <is>
          <t>한울소재과학</t>
        </is>
      </c>
      <c r="G1800" s="2" t="inlineStr">
        <is>
          <t>20260310901853</t>
        </is>
      </c>
      <c r="H1800" s="8">
        <f>HYPERLINK("https://dart.fss.or.kr/dsaf001/main.do?rcpNo=20260310901853", "공시열람")</f>
        <v/>
      </c>
    </row>
    <row r="1801">
      <c r="A1801" s="2" t="inlineStr">
        <is>
          <t>2026-03-03 (정정: 2026-03-03)</t>
        </is>
      </c>
      <c r="B1801" s="3" t="inlineStr">
        <is>
          <t>롯데리츠</t>
        </is>
      </c>
      <c r="C1801" s="2" t="inlineStr">
        <is>
          <t>코스피</t>
        </is>
      </c>
      <c r="D1801" s="2" t="inlineStr">
        <is>
          <t>330590</t>
        </is>
      </c>
      <c r="E1801" s="3" t="inlineStr">
        <is>
          <t>부동산투자회사자금차입               (정정: 20260303)</t>
        </is>
      </c>
      <c r="F1801" s="3" t="inlineStr">
        <is>
          <t>롯데리츠</t>
        </is>
      </c>
      <c r="G1801" s="2" t="inlineStr">
        <is>
          <t>20260303801187</t>
        </is>
      </c>
      <c r="H1801" s="8">
        <f>HYPERLINK("https://dart.fss.or.kr/dsaf001/main.do?rcpNo=20260303801187", "공시열람")</f>
        <v/>
      </c>
    </row>
    <row r="1802">
      <c r="A1802" s="2" t="inlineStr">
        <is>
          <t>2026-03-03</t>
        </is>
      </c>
      <c r="B1802" s="3" t="inlineStr">
        <is>
          <t>롯데에너지머티리얼즈</t>
        </is>
      </c>
      <c r="C1802" s="2" t="inlineStr">
        <is>
          <t>코스피</t>
        </is>
      </c>
      <c r="D1802" s="2" t="inlineStr">
        <is>
          <t>020150</t>
        </is>
      </c>
      <c r="E1802" s="3" t="inlineStr">
        <is>
          <t>의결권대리행사권유참고서류</t>
        </is>
      </c>
      <c r="F1802" s="3" t="inlineStr">
        <is>
          <t>롯데에너지머티리얼즈</t>
        </is>
      </c>
      <c r="G1802" s="2" t="inlineStr">
        <is>
          <t>20260303003030</t>
        </is>
      </c>
      <c r="H1802" s="8">
        <f>HYPERLINK("https://dart.fss.or.kr/dsaf001/main.do?rcpNo=20260303003030", "공시열람")</f>
        <v/>
      </c>
    </row>
    <row r="1803">
      <c r="A1803" s="2" t="inlineStr">
        <is>
          <t>2026-03-03</t>
        </is>
      </c>
      <c r="B1803" s="3" t="inlineStr">
        <is>
          <t>두산테스나</t>
        </is>
      </c>
      <c r="C1803" s="2" t="inlineStr">
        <is>
          <t>코스닥</t>
        </is>
      </c>
      <c r="D1803" s="2" t="inlineStr">
        <is>
          <t>131970</t>
        </is>
      </c>
      <c r="E1803" s="3" t="inlineStr">
        <is>
          <t>자기주식처분결과보고서</t>
        </is>
      </c>
      <c r="F1803" s="3" t="inlineStr">
        <is>
          <t>두산테스나</t>
        </is>
      </c>
      <c r="G1803" s="2" t="inlineStr">
        <is>
          <t>20260303003027</t>
        </is>
      </c>
      <c r="H1803" s="8">
        <f>HYPERLINK("https://dart.fss.or.kr/dsaf001/main.do?rcpNo=20260303003027", "공시열람")</f>
        <v/>
      </c>
    </row>
    <row r="1804">
      <c r="A1804" s="2" t="inlineStr">
        <is>
          <t>2026-03-03</t>
        </is>
      </c>
      <c r="B1804" s="3" t="inlineStr">
        <is>
          <t>특수건설</t>
        </is>
      </c>
      <c r="C1804" s="2" t="inlineStr">
        <is>
          <t>코스닥</t>
        </is>
      </c>
      <c r="D1804" s="2" t="inlineStr">
        <is>
          <t>026150</t>
        </is>
      </c>
      <c r="E1804" s="3" t="inlineStr">
        <is>
          <t xml:space="preserve">전환가액의조정              </t>
        </is>
      </c>
      <c r="F1804" s="3" t="inlineStr">
        <is>
          <t>특수건설</t>
        </is>
      </c>
      <c r="G1804" s="2" t="inlineStr">
        <is>
          <t>20260303901255</t>
        </is>
      </c>
      <c r="H1804" s="8">
        <f>HYPERLINK("https://dart.fss.or.kr/dsaf001/main.do?rcpNo=20260303901255", "공시열람")</f>
        <v/>
      </c>
    </row>
    <row r="1805">
      <c r="A1805" s="2" t="inlineStr">
        <is>
          <t>2026-03-03</t>
        </is>
      </c>
      <c r="B1805" s="3" t="inlineStr">
        <is>
          <t>탑런토탈솔루션</t>
        </is>
      </c>
      <c r="C1805" s="2" t="inlineStr">
        <is>
          <t>코스닥</t>
        </is>
      </c>
      <c r="D1805" s="2" t="inlineStr">
        <is>
          <t>336680</t>
        </is>
      </c>
      <c r="E1805" s="3" t="inlineStr">
        <is>
          <t xml:space="preserve">증권발행결과(자율공시)              </t>
        </is>
      </c>
      <c r="F1805" s="3" t="inlineStr">
        <is>
          <t>탑런토탈솔루션</t>
        </is>
      </c>
      <c r="G1805" s="2" t="inlineStr">
        <is>
          <t>20260303901186</t>
        </is>
      </c>
      <c r="H1805" s="8">
        <f>HYPERLINK("https://dart.fss.or.kr/dsaf001/main.do?rcpNo=20260303901186", "공시열람")</f>
        <v/>
      </c>
    </row>
    <row r="1806">
      <c r="A1806" s="2" t="inlineStr">
        <is>
          <t>2026-03-03</t>
        </is>
      </c>
      <c r="B1806" s="3" t="inlineStr">
        <is>
          <t>탑런토탈솔루션</t>
        </is>
      </c>
      <c r="C1806" s="2" t="inlineStr">
        <is>
          <t>코스닥</t>
        </is>
      </c>
      <c r="D1806" s="2" t="inlineStr">
        <is>
          <t>336680</t>
        </is>
      </c>
      <c r="E1806" s="3" t="inlineStr">
        <is>
          <t xml:space="preserve">증권발행결과(자율공시)              </t>
        </is>
      </c>
      <c r="F1806" s="3" t="inlineStr">
        <is>
          <t>탑런토탈솔루션</t>
        </is>
      </c>
      <c r="G1806" s="2" t="inlineStr">
        <is>
          <t>20260303901178</t>
        </is>
      </c>
      <c r="H1806" s="8">
        <f>HYPERLINK("https://dart.fss.or.kr/dsaf001/main.do?rcpNo=20260303901178", "공시열람")</f>
        <v/>
      </c>
    </row>
    <row r="1807">
      <c r="A1807" s="2" t="inlineStr">
        <is>
          <t>2026-03-03</t>
        </is>
      </c>
      <c r="B1807" s="3" t="inlineStr">
        <is>
          <t>다올투자증권</t>
        </is>
      </c>
      <c r="C1807" s="2" t="inlineStr">
        <is>
          <t>코스피</t>
        </is>
      </c>
      <c r="D1807" s="2" t="inlineStr">
        <is>
          <t>030210</t>
        </is>
      </c>
      <c r="E1807" s="3" t="inlineStr">
        <is>
          <t xml:space="preserve">현금ㆍ현물배당을위한주주명부폐쇄(기준일)결정              </t>
        </is>
      </c>
      <c r="F1807" s="3" t="inlineStr">
        <is>
          <t>다올투자증권</t>
        </is>
      </c>
      <c r="G1807" s="2" t="inlineStr">
        <is>
          <t>20260303801177</t>
        </is>
      </c>
      <c r="H1807" s="8">
        <f>HYPERLINK("https://dart.fss.or.kr/dsaf001/main.do?rcpNo=20260303801177", "공시열람")</f>
        <v/>
      </c>
    </row>
    <row r="1808">
      <c r="A1808" s="2" t="inlineStr">
        <is>
          <t>2026-03-03</t>
        </is>
      </c>
      <c r="B1808" s="3" t="inlineStr">
        <is>
          <t>탑런토탈솔루션</t>
        </is>
      </c>
      <c r="C1808" s="2" t="inlineStr">
        <is>
          <t>코스닥</t>
        </is>
      </c>
      <c r="D1808" s="2" t="inlineStr">
        <is>
          <t>336680</t>
        </is>
      </c>
      <c r="E1808" s="3" t="inlineStr">
        <is>
          <t xml:space="preserve">증권발행결과(자율공시)              </t>
        </is>
      </c>
      <c r="F1808" s="3" t="inlineStr">
        <is>
          <t>탑런토탈솔루션</t>
        </is>
      </c>
      <c r="G1808" s="2" t="inlineStr">
        <is>
          <t>20260303901170</t>
        </is>
      </c>
      <c r="H1808" s="8">
        <f>HYPERLINK("https://dart.fss.or.kr/dsaf001/main.do?rcpNo=20260303901170", "공시열람")</f>
        <v/>
      </c>
    </row>
    <row r="1809">
      <c r="A1809" s="2" t="inlineStr">
        <is>
          <t>2026-03-03</t>
        </is>
      </c>
      <c r="B1809" s="3" t="inlineStr">
        <is>
          <t>SGC에너지</t>
        </is>
      </c>
      <c r="C1809" s="2" t="inlineStr">
        <is>
          <t>코스피</t>
        </is>
      </c>
      <c r="D1809" s="2" t="inlineStr">
        <is>
          <t>005090</t>
        </is>
      </c>
      <c r="E1809" s="3" t="inlineStr">
        <is>
          <t>의결권대리행사권유참고서류</t>
        </is>
      </c>
      <c r="F1809" s="3" t="inlineStr">
        <is>
          <t>SGC에너지</t>
        </is>
      </c>
      <c r="G1809" s="2" t="inlineStr">
        <is>
          <t>20260303003010</t>
        </is>
      </c>
      <c r="H1809" s="8">
        <f>HYPERLINK("https://dart.fss.or.kr/dsaf001/main.do?rcpNo=20260303003010", "공시열람")</f>
        <v/>
      </c>
    </row>
    <row r="1810">
      <c r="A1810" s="2" t="inlineStr">
        <is>
          <t>2026-03-03</t>
        </is>
      </c>
      <c r="B1810" s="3" t="inlineStr">
        <is>
          <t>SNT모티브</t>
        </is>
      </c>
      <c r="C1810" s="2" t="inlineStr">
        <is>
          <t>코스피</t>
        </is>
      </c>
      <c r="D1810" s="2" t="inlineStr">
        <is>
          <t>064960</t>
        </is>
      </c>
      <c r="E1810" s="3" t="inlineStr">
        <is>
          <t xml:space="preserve">기업가치제고계획(자율공시)              </t>
        </is>
      </c>
      <c r="F1810" s="3" t="inlineStr">
        <is>
          <t>SNT모티브</t>
        </is>
      </c>
      <c r="G1810" s="2" t="inlineStr">
        <is>
          <t>20260303801172</t>
        </is>
      </c>
      <c r="H1810" s="8">
        <f>HYPERLINK("https://dart.fss.or.kr/dsaf001/main.do?rcpNo=20260303801172", "공시열람")</f>
        <v/>
      </c>
    </row>
    <row r="1811">
      <c r="A1811" s="2" t="inlineStr">
        <is>
          <t>2026-03-03</t>
        </is>
      </c>
      <c r="B1811" s="3" t="inlineStr">
        <is>
          <t>모티브링크</t>
        </is>
      </c>
      <c r="C1811" s="2" t="inlineStr">
        <is>
          <t>코스닥</t>
        </is>
      </c>
      <c r="D1811" s="2" t="inlineStr">
        <is>
          <t>463480</t>
        </is>
      </c>
      <c r="E1811" s="3" t="inlineStr">
        <is>
          <t xml:space="preserve">매출액또는손익구조30%(대규모법인은15%)이상변동              </t>
        </is>
      </c>
      <c r="F1811" s="3" t="inlineStr">
        <is>
          <t>모티브링크</t>
        </is>
      </c>
      <c r="G1811" s="2" t="inlineStr">
        <is>
          <t>20260303901163</t>
        </is>
      </c>
      <c r="H1811" s="8">
        <f>HYPERLINK("https://dart.fss.or.kr/dsaf001/main.do?rcpNo=20260303901163", "공시열람")</f>
        <v/>
      </c>
    </row>
    <row r="1812">
      <c r="A1812" s="2" t="inlineStr">
        <is>
          <t>2026-03-03</t>
        </is>
      </c>
      <c r="B1812" s="3" t="inlineStr">
        <is>
          <t>아스트</t>
        </is>
      </c>
      <c r="C1812" s="2" t="inlineStr">
        <is>
          <t>코스닥</t>
        </is>
      </c>
      <c r="D1812" s="2" t="inlineStr">
        <is>
          <t>067390</t>
        </is>
      </c>
      <c r="E1812" s="3" t="inlineStr">
        <is>
          <t>전환청구권행사              (제10회차)</t>
        </is>
      </c>
      <c r="F1812" s="3" t="inlineStr">
        <is>
          <t>아스트</t>
        </is>
      </c>
      <c r="G1812" s="2" t="inlineStr">
        <is>
          <t>20260303901142</t>
        </is>
      </c>
      <c r="H1812" s="8">
        <f>HYPERLINK("https://dart.fss.or.kr/dsaf001/main.do?rcpNo=20260303901142", "공시열람")</f>
        <v/>
      </c>
    </row>
    <row r="1813">
      <c r="A1813" s="2" t="inlineStr">
        <is>
          <t>2026-03-03</t>
        </is>
      </c>
      <c r="B1813" s="3" t="inlineStr">
        <is>
          <t>한주라이트메탈</t>
        </is>
      </c>
      <c r="C1813" s="2" t="inlineStr">
        <is>
          <t>코스닥</t>
        </is>
      </c>
      <c r="D1813" s="2" t="inlineStr">
        <is>
          <t>198940</t>
        </is>
      </c>
      <c r="E1813" s="3" t="inlineStr">
        <is>
          <t xml:space="preserve">주식병합결정              </t>
        </is>
      </c>
      <c r="F1813" s="3" t="inlineStr">
        <is>
          <t>한주라이트메탈</t>
        </is>
      </c>
      <c r="G1813" s="2" t="inlineStr">
        <is>
          <t>20260303901219</t>
        </is>
      </c>
      <c r="H1813" s="8">
        <f>HYPERLINK("https://dart.fss.or.kr/dsaf001/main.do?rcpNo=20260303901219", "공시열람")</f>
        <v/>
      </c>
    </row>
    <row r="1814">
      <c r="A1814" s="2" t="inlineStr">
        <is>
          <t>2026-03-03</t>
        </is>
      </c>
      <c r="B1814" s="3" t="inlineStr">
        <is>
          <t>진양화학</t>
        </is>
      </c>
      <c r="C1814" s="2" t="inlineStr">
        <is>
          <t>코스피</t>
        </is>
      </c>
      <c r="D1814" s="2" t="inlineStr">
        <is>
          <t>051630</t>
        </is>
      </c>
      <c r="E1814" s="3" t="inlineStr">
        <is>
          <t xml:space="preserve">감사보고서제출              </t>
        </is>
      </c>
      <c r="F1814" s="3" t="inlineStr">
        <is>
          <t>진양화학</t>
        </is>
      </c>
      <c r="G1814" s="2" t="inlineStr">
        <is>
          <t>20260303801157</t>
        </is>
      </c>
      <c r="H1814" s="8">
        <f>HYPERLINK("https://dart.fss.or.kr/dsaf001/main.do?rcpNo=20260303801157", "공시열람")</f>
        <v/>
      </c>
    </row>
    <row r="1815">
      <c r="A1815" s="2" t="inlineStr">
        <is>
          <t>2026-03-03</t>
        </is>
      </c>
      <c r="B1815" s="3" t="inlineStr">
        <is>
          <t>현대해상</t>
        </is>
      </c>
      <c r="C1815" s="2" t="inlineStr">
        <is>
          <t>코스피</t>
        </is>
      </c>
      <c r="D1815" s="2" t="inlineStr">
        <is>
          <t>001450</t>
        </is>
      </c>
      <c r="E1815" s="3" t="inlineStr">
        <is>
          <t>의결권대리행사권유참고서류</t>
        </is>
      </c>
      <c r="F1815" s="3" t="inlineStr">
        <is>
          <t>현대해상</t>
        </is>
      </c>
      <c r="G1815" s="2" t="inlineStr">
        <is>
          <t>20260303002993</t>
        </is>
      </c>
      <c r="H1815" s="8">
        <f>HYPERLINK("https://dart.fss.or.kr/dsaf001/main.do?rcpNo=20260303002993", "공시열람")</f>
        <v/>
      </c>
    </row>
    <row r="1816">
      <c r="A1816" s="2" t="inlineStr">
        <is>
          <t>2026-02-27 (정정: 2026-03-03)</t>
        </is>
      </c>
      <c r="B1816" s="3" t="inlineStr">
        <is>
          <t>아이텍</t>
        </is>
      </c>
      <c r="C1816" s="2" t="inlineStr">
        <is>
          <t>코스닥</t>
        </is>
      </c>
      <c r="D1816" s="2" t="inlineStr">
        <is>
          <t>119830</t>
        </is>
      </c>
      <c r="E1816" s="3" t="inlineStr">
        <is>
          <t>[기재정정]주요사항보고서(전환사채매수선택권행사자지정)</t>
        </is>
      </c>
      <c r="F1816" s="3" t="inlineStr">
        <is>
          <t>아이텍</t>
        </is>
      </c>
      <c r="G1816" s="2" t="inlineStr">
        <is>
          <t>20260303002984</t>
        </is>
      </c>
      <c r="H1816" s="8">
        <f>HYPERLINK("https://dart.fss.or.kr/dsaf001/main.do?rcpNo=20260303002984", "공시열람")</f>
        <v/>
      </c>
    </row>
    <row r="1817">
      <c r="A1817" s="2" t="inlineStr">
        <is>
          <t>2026-03-03</t>
        </is>
      </c>
      <c r="B1817" s="3" t="inlineStr">
        <is>
          <t>금양</t>
        </is>
      </c>
      <c r="C1817" s="2" t="inlineStr">
        <is>
          <t>코스피</t>
        </is>
      </c>
      <c r="D1817" s="2" t="inlineStr">
        <is>
          <t>001570</t>
        </is>
      </c>
      <c r="E1817" s="3" t="inlineStr">
        <is>
          <t xml:space="preserve">매출액또는손익구조30%(대규모법인은15%)이상변경              </t>
        </is>
      </c>
      <c r="F1817" s="3" t="inlineStr">
        <is>
          <t>금양</t>
        </is>
      </c>
      <c r="G1817" s="2" t="inlineStr">
        <is>
          <t>20260303801146</t>
        </is>
      </c>
      <c r="H1817" s="8">
        <f>HYPERLINK("https://dart.fss.or.kr/dsaf001/main.do?rcpNo=20260303801146", "공시열람")</f>
        <v/>
      </c>
    </row>
    <row r="1818">
      <c r="A1818" s="2" t="inlineStr">
        <is>
          <t>2026-03-03</t>
        </is>
      </c>
      <c r="B1818" s="3" t="inlineStr">
        <is>
          <t>삼영에스앤씨</t>
        </is>
      </c>
      <c r="C1818" s="2" t="inlineStr">
        <is>
          <t>코스닥</t>
        </is>
      </c>
      <c r="D1818" s="2" t="inlineStr">
        <is>
          <t>361670</t>
        </is>
      </c>
      <c r="E1818" s="3" t="inlineStr">
        <is>
          <t xml:space="preserve">매출액또는손익구조30%(대규모법인은15%)이상변동              </t>
        </is>
      </c>
      <c r="F1818" s="3" t="inlineStr">
        <is>
          <t>삼영에스앤씨</t>
        </is>
      </c>
      <c r="G1818" s="2" t="inlineStr">
        <is>
          <t>20260303901162</t>
        </is>
      </c>
      <c r="H1818" s="8">
        <f>HYPERLINK("https://dart.fss.or.kr/dsaf001/main.do?rcpNo=20260303901162", "공시열람")</f>
        <v/>
      </c>
    </row>
    <row r="1819">
      <c r="A1819" s="2" t="inlineStr">
        <is>
          <t>2026-03-03</t>
        </is>
      </c>
      <c r="B1819" s="3" t="inlineStr">
        <is>
          <t>제이엔케이글로벌</t>
        </is>
      </c>
      <c r="C1819" s="2" t="inlineStr">
        <is>
          <t>코스닥</t>
        </is>
      </c>
      <c r="D1819" s="2" t="inlineStr">
        <is>
          <t>126880</t>
        </is>
      </c>
      <c r="E1819" s="3" t="inlineStr">
        <is>
          <t xml:space="preserve">소송등의판결ㆍ결정              </t>
        </is>
      </c>
      <c r="F1819" s="3" t="inlineStr">
        <is>
          <t>제이엔케이글로벌</t>
        </is>
      </c>
      <c r="G1819" s="2" t="inlineStr">
        <is>
          <t>20260303901209</t>
        </is>
      </c>
      <c r="H1819" s="8">
        <f>HYPERLINK("https://dart.fss.or.kr/dsaf001/main.do?rcpNo=20260303901209", "공시열람")</f>
        <v/>
      </c>
    </row>
    <row r="1820">
      <c r="A1820" s="2" t="inlineStr">
        <is>
          <t>2026-03-03</t>
        </is>
      </c>
      <c r="B1820" s="3" t="inlineStr">
        <is>
          <t>새빗켐</t>
        </is>
      </c>
      <c r="C1820" s="2" t="inlineStr">
        <is>
          <t>코스닥</t>
        </is>
      </c>
      <c r="D1820" s="2" t="inlineStr">
        <is>
          <t>107600</t>
        </is>
      </c>
      <c r="E1820" s="3" t="inlineStr">
        <is>
          <t xml:space="preserve">매출액또는손익구조30%(대규모법인은15%)이상변동              </t>
        </is>
      </c>
      <c r="F1820" s="3" t="inlineStr">
        <is>
          <t>새빗켐</t>
        </is>
      </c>
      <c r="G1820" s="2" t="inlineStr">
        <is>
          <t>20260303901031</t>
        </is>
      </c>
      <c r="H1820" s="8">
        <f>HYPERLINK("https://dart.fss.or.kr/dsaf001/main.do?rcpNo=20260303901031", "공시열람")</f>
        <v/>
      </c>
    </row>
    <row r="1821">
      <c r="A1821" s="2" t="inlineStr">
        <is>
          <t>2026-03-03</t>
        </is>
      </c>
      <c r="B1821" s="3" t="inlineStr">
        <is>
          <t>에스프리즘</t>
        </is>
      </c>
      <c r="C1821" s="2" t="inlineStr">
        <is>
          <t>코스닥</t>
        </is>
      </c>
      <c r="D1821" s="2" t="inlineStr">
        <is>
          <t>288620</t>
        </is>
      </c>
      <c r="E1821" s="3" t="inlineStr">
        <is>
          <t>임원ㆍ주요주주특정증권등소유상황보고서</t>
        </is>
      </c>
      <c r="F1821" s="3" t="inlineStr">
        <is>
          <t>홍성민</t>
        </is>
      </c>
      <c r="G1821" s="2" t="inlineStr">
        <is>
          <t>20260303002959</t>
        </is>
      </c>
      <c r="H1821" s="8">
        <f>HYPERLINK("https://dart.fss.or.kr/dsaf001/main.do?rcpNo=20260303002959", "공시열람")</f>
        <v/>
      </c>
    </row>
    <row r="1822">
      <c r="A1822" s="2" t="inlineStr">
        <is>
          <t>2025-12-23 (정정: 2026-03-03)</t>
        </is>
      </c>
      <c r="B1822" s="3" t="inlineStr">
        <is>
          <t>아이윈</t>
        </is>
      </c>
      <c r="C1822" s="2" t="inlineStr">
        <is>
          <t>코스닥</t>
        </is>
      </c>
      <c r="D1822" s="2" t="inlineStr">
        <is>
          <t>090150</t>
        </is>
      </c>
      <c r="E1822" s="3" t="inlineStr">
        <is>
          <t>[기재정정]주요사항보고서(유형자산양도결정)</t>
        </is>
      </c>
      <c r="F1822" s="3" t="inlineStr">
        <is>
          <t>아이윈</t>
        </is>
      </c>
      <c r="G1822" s="2" t="inlineStr">
        <is>
          <t>20260303002910</t>
        </is>
      </c>
      <c r="H1822" s="8">
        <f>HYPERLINK("https://dart.fss.or.kr/dsaf001/main.do?rcpNo=20260303002910", "공시열람")</f>
        <v/>
      </c>
    </row>
    <row r="1823">
      <c r="A1823" s="2" t="inlineStr">
        <is>
          <t>2026-03-03</t>
        </is>
      </c>
      <c r="B1823" s="3" t="inlineStr">
        <is>
          <t>에이치브이엠</t>
        </is>
      </c>
      <c r="C1823" s="2" t="inlineStr">
        <is>
          <t>코스닥</t>
        </is>
      </c>
      <c r="D1823" s="2" t="inlineStr">
        <is>
          <t>295310</t>
        </is>
      </c>
      <c r="E1823" s="3" t="inlineStr">
        <is>
          <t xml:space="preserve">주식매수선택권행사              </t>
        </is>
      </c>
      <c r="F1823" s="3" t="inlineStr">
        <is>
          <t>에이치브이엠</t>
        </is>
      </c>
      <c r="G1823" s="2" t="inlineStr">
        <is>
          <t>20260303901156</t>
        </is>
      </c>
      <c r="H1823" s="8">
        <f>HYPERLINK("https://dart.fss.or.kr/dsaf001/main.do?rcpNo=20260303901156", "공시열람")</f>
        <v/>
      </c>
    </row>
    <row r="1824">
      <c r="A1824" s="2" t="inlineStr">
        <is>
          <t>2026-03-03 (정정: 2026-03-05)</t>
        </is>
      </c>
      <c r="B1824" s="3" t="inlineStr">
        <is>
          <t>모아데이타</t>
        </is>
      </c>
      <c r="C1824" s="2" t="inlineStr">
        <is>
          <t>코스닥</t>
        </is>
      </c>
      <c r="D1824" s="2" t="inlineStr">
        <is>
          <t>288980</t>
        </is>
      </c>
      <c r="E1824" s="3" t="inlineStr">
        <is>
          <t>[기재정정]소액공모공시서류(지분증권) (정정: 20260305) (정정: 20260305)</t>
        </is>
      </c>
      <c r="F1824" s="3" t="inlineStr">
        <is>
          <t>모아데이타</t>
        </is>
      </c>
      <c r="G1824" s="2" t="inlineStr">
        <is>
          <t>20260305001376</t>
        </is>
      </c>
      <c r="H1824" s="8">
        <f>HYPERLINK("https://dart.fss.or.kr/dsaf001/main.do?rcpNo=20260305001376", "공시열람")</f>
        <v/>
      </c>
    </row>
    <row r="1825">
      <c r="A1825" s="2" t="inlineStr">
        <is>
          <t>2026-03-03</t>
        </is>
      </c>
      <c r="B1825" s="3" t="inlineStr">
        <is>
          <t>나래나노텍</t>
        </is>
      </c>
      <c r="C1825" s="2" t="inlineStr">
        <is>
          <t>코스닥</t>
        </is>
      </c>
      <c r="D1825" s="2" t="inlineStr">
        <is>
          <t>137080</t>
        </is>
      </c>
      <c r="E1825" s="3" t="inlineStr">
        <is>
          <t>임원ㆍ주요주주특정증권등소유상황보고서</t>
        </is>
      </c>
      <c r="F1825" s="3" t="inlineStr">
        <is>
          <t>김추호</t>
        </is>
      </c>
      <c r="G1825" s="2" t="inlineStr">
        <is>
          <t>20260303002938</t>
        </is>
      </c>
      <c r="H1825" s="8">
        <f>HYPERLINK("https://dart.fss.or.kr/dsaf001/main.do?rcpNo=20260303002938", "공시열람")</f>
        <v/>
      </c>
    </row>
    <row r="1826">
      <c r="A1826" s="2" t="inlineStr">
        <is>
          <t>2026-03-03</t>
        </is>
      </c>
      <c r="B1826" s="3" t="inlineStr">
        <is>
          <t>코스텍시스</t>
        </is>
      </c>
      <c r="C1826" s="2" t="inlineStr">
        <is>
          <t>코스닥</t>
        </is>
      </c>
      <c r="D1826" s="2" t="inlineStr">
        <is>
          <t>355150</t>
        </is>
      </c>
      <c r="E1826" s="3" t="inlineStr">
        <is>
          <t>의결권대리행사권유참고서류</t>
        </is>
      </c>
      <c r="F1826" s="3" t="inlineStr">
        <is>
          <t>코스텍시스</t>
        </is>
      </c>
      <c r="G1826" s="2" t="inlineStr">
        <is>
          <t>20260303002937</t>
        </is>
      </c>
      <c r="H1826" s="8">
        <f>HYPERLINK("https://dart.fss.or.kr/dsaf001/main.do?rcpNo=20260303002937", "공시열람")</f>
        <v/>
      </c>
    </row>
    <row r="1827">
      <c r="A1827" s="2" t="inlineStr">
        <is>
          <t>2026-03-03</t>
        </is>
      </c>
      <c r="B1827" s="3" t="inlineStr">
        <is>
          <t>현대사료</t>
        </is>
      </c>
      <c r="C1827" s="2" t="inlineStr">
        <is>
          <t>코스닥</t>
        </is>
      </c>
      <c r="D1827" s="2" t="inlineStr">
        <is>
          <t>016790</t>
        </is>
      </c>
      <c r="E1827" s="3" t="inlineStr">
        <is>
          <t xml:space="preserve">매출액또는손익구조30%(대규모법인은15%)이상변동              </t>
        </is>
      </c>
      <c r="F1827" s="3" t="inlineStr">
        <is>
          <t>현대사료</t>
        </is>
      </c>
      <c r="G1827" s="2" t="inlineStr">
        <is>
          <t>20260303900991</t>
        </is>
      </c>
      <c r="H1827" s="8">
        <f>HYPERLINK("https://dart.fss.or.kr/dsaf001/main.do?rcpNo=20260303900991", "공시열람")</f>
        <v/>
      </c>
    </row>
    <row r="1828">
      <c r="A1828" s="2" t="inlineStr">
        <is>
          <t>2026-03-03</t>
        </is>
      </c>
      <c r="B1828" s="3" t="inlineStr">
        <is>
          <t>대한조선</t>
        </is>
      </c>
      <c r="C1828" s="2" t="inlineStr">
        <is>
          <t>코스피</t>
        </is>
      </c>
      <c r="D1828" s="2" t="inlineStr">
        <is>
          <t>439260</t>
        </is>
      </c>
      <c r="E1828" s="3" t="inlineStr">
        <is>
          <t>임원ㆍ주요주주특정증권등소유상황보고서</t>
        </is>
      </c>
      <c r="F1828" s="3" t="inlineStr">
        <is>
          <t>김승간</t>
        </is>
      </c>
      <c r="G1828" s="2" t="inlineStr">
        <is>
          <t>20260303002922</t>
        </is>
      </c>
      <c r="H1828" s="8">
        <f>HYPERLINK("https://dart.fss.or.kr/dsaf001/main.do?rcpNo=20260303002922", "공시열람")</f>
        <v/>
      </c>
    </row>
    <row r="1829">
      <c r="A1829" s="2" t="inlineStr">
        <is>
          <t>2026-03-03</t>
        </is>
      </c>
      <c r="B1829" s="3" t="inlineStr">
        <is>
          <t>EMB</t>
        </is>
      </c>
      <c r="C1829" s="2" t="inlineStr">
        <is>
          <t>코넥스</t>
        </is>
      </c>
      <c r="D1829" s="2" t="inlineStr">
        <is>
          <t>278990</t>
        </is>
      </c>
      <c r="E1829" s="3" t="inlineStr">
        <is>
          <t>불성실공시법인지정예고              (공시불이행)</t>
        </is>
      </c>
      <c r="F1829" s="3" t="inlineStr">
        <is>
          <t>코넥스시장</t>
        </is>
      </c>
      <c r="G1829" s="2" t="inlineStr">
        <is>
          <t>20260303601128</t>
        </is>
      </c>
      <c r="H1829" s="8">
        <f>HYPERLINK("https://dart.fss.or.kr/dsaf001/main.do?rcpNo=20260303601128", "공시열람")</f>
        <v/>
      </c>
    </row>
    <row r="1830">
      <c r="A1830" s="2" t="inlineStr">
        <is>
          <t>2026-03-03 (정정: 2026-03-10)</t>
        </is>
      </c>
      <c r="B1830" s="3" t="inlineStr">
        <is>
          <t>지엠비코리아</t>
        </is>
      </c>
      <c r="C1830" s="2" t="inlineStr">
        <is>
          <t>코스피</t>
        </is>
      </c>
      <c r="D1830" s="2" t="inlineStr">
        <is>
          <t>013870</t>
        </is>
      </c>
      <c r="E1830" s="3" t="inlineStr">
        <is>
          <t>[기재정정]타법인주식및출자증권취득결정(자율공시)               (정정: 20260306) (정정: 20260310)</t>
        </is>
      </c>
      <c r="F1830" s="3" t="inlineStr">
        <is>
          <t>지엠비코리아</t>
        </is>
      </c>
      <c r="G1830" s="2" t="inlineStr">
        <is>
          <t>20260310002725</t>
        </is>
      </c>
      <c r="H1830" s="8">
        <f>HYPERLINK("https://dart.fss.or.kr/dsaf001/main.do?rcpNo=20260310002725", "공시열람")</f>
        <v/>
      </c>
    </row>
    <row r="1831">
      <c r="A1831" s="2" t="inlineStr">
        <is>
          <t>2026-03-03</t>
        </is>
      </c>
      <c r="B1831" s="3" t="inlineStr">
        <is>
          <t>대동고려삼</t>
        </is>
      </c>
      <c r="C1831" s="2" t="inlineStr">
        <is>
          <t>코넥스</t>
        </is>
      </c>
      <c r="D1831" s="2" t="inlineStr">
        <is>
          <t>178600</t>
        </is>
      </c>
      <c r="E1831" s="3" t="inlineStr">
        <is>
          <t>자기주식처분결과보고서</t>
        </is>
      </c>
      <c r="F1831" s="3" t="inlineStr">
        <is>
          <t>대동고려삼</t>
        </is>
      </c>
      <c r="G1831" s="2" t="inlineStr">
        <is>
          <t>20260303002903</t>
        </is>
      </c>
      <c r="H1831" s="8">
        <f>HYPERLINK("https://dart.fss.or.kr/dsaf001/main.do?rcpNo=20260303002903", "공시열람")</f>
        <v/>
      </c>
    </row>
    <row r="1832">
      <c r="A1832" s="2" t="inlineStr">
        <is>
          <t>2026-03-03</t>
        </is>
      </c>
      <c r="B1832" s="3" t="inlineStr">
        <is>
          <t>제주은행</t>
        </is>
      </c>
      <c r="C1832" s="2" t="inlineStr">
        <is>
          <t>코스피</t>
        </is>
      </c>
      <c r="D1832" s="2" t="inlineStr">
        <is>
          <t>006220</t>
        </is>
      </c>
      <c r="E1832" s="3" t="inlineStr">
        <is>
          <t xml:space="preserve">감사보고서제출              </t>
        </is>
      </c>
      <c r="F1832" s="3" t="inlineStr">
        <is>
          <t>제주은행</t>
        </is>
      </c>
      <c r="G1832" s="2" t="inlineStr">
        <is>
          <t>20260303801072</t>
        </is>
      </c>
      <c r="H1832" s="8">
        <f>HYPERLINK("https://dart.fss.or.kr/dsaf001/main.do?rcpNo=20260303801072", "공시열람")</f>
        <v/>
      </c>
    </row>
    <row r="1833">
      <c r="A1833" s="2" t="inlineStr">
        <is>
          <t>2026-03-03</t>
        </is>
      </c>
      <c r="B1833" s="3" t="inlineStr">
        <is>
          <t>이노벡스</t>
        </is>
      </c>
      <c r="C1833" s="2" t="inlineStr">
        <is>
          <t>코넥스</t>
        </is>
      </c>
      <c r="D1833" s="2" t="inlineStr">
        <is>
          <t>279060</t>
        </is>
      </c>
      <c r="E1833" s="3" t="inlineStr">
        <is>
          <t>불성실공시법인지정예고              (공시불이행)</t>
        </is>
      </c>
      <c r="F1833" s="3" t="inlineStr">
        <is>
          <t>코넥스시장</t>
        </is>
      </c>
      <c r="G1833" s="2" t="inlineStr">
        <is>
          <t>20260303601119</t>
        </is>
      </c>
      <c r="H1833" s="8">
        <f>HYPERLINK("https://dart.fss.or.kr/dsaf001/main.do?rcpNo=20260303601119", "공시열람")</f>
        <v/>
      </c>
    </row>
    <row r="1834">
      <c r="A1834" s="2" t="inlineStr">
        <is>
          <t>2026-03-03</t>
        </is>
      </c>
      <c r="B1834" s="3" t="inlineStr">
        <is>
          <t>대한조선</t>
        </is>
      </c>
      <c r="C1834" s="2" t="inlineStr">
        <is>
          <t>코스피</t>
        </is>
      </c>
      <c r="D1834" s="2" t="inlineStr">
        <is>
          <t>439260</t>
        </is>
      </c>
      <c r="E1834" s="3" t="inlineStr">
        <is>
          <t>임원ㆍ주요주주특정증권등소유상황보고서</t>
        </is>
      </c>
      <c r="F1834" s="3" t="inlineStr">
        <is>
          <t>송기명</t>
        </is>
      </c>
      <c r="G1834" s="2" t="inlineStr">
        <is>
          <t>20260303002899</t>
        </is>
      </c>
      <c r="H1834" s="8">
        <f>HYPERLINK("https://dart.fss.or.kr/dsaf001/main.do?rcpNo=20260303002899", "공시열람")</f>
        <v/>
      </c>
    </row>
    <row r="1835">
      <c r="A1835" s="2" t="inlineStr">
        <is>
          <t>2026-03-03 (정정: 2026-03-10)</t>
        </is>
      </c>
      <c r="B1835" s="3" t="inlineStr">
        <is>
          <t>진바이오텍</t>
        </is>
      </c>
      <c r="C1835" s="2" t="inlineStr">
        <is>
          <t>코스닥</t>
        </is>
      </c>
      <c r="D1835" s="2" t="inlineStr">
        <is>
          <t>086060</t>
        </is>
      </c>
      <c r="E1835" s="3" t="inlineStr">
        <is>
          <t>의결권대리행사권유참고서류 (정정: 20260310)</t>
        </is>
      </c>
      <c r="F1835" s="3" t="inlineStr">
        <is>
          <t>진바이오텍</t>
        </is>
      </c>
      <c r="G1835" s="2" t="inlineStr">
        <is>
          <t>20260310900703</t>
        </is>
      </c>
      <c r="H1835" s="8">
        <f>HYPERLINK("https://dart.fss.or.kr/dsaf001/main.do?rcpNo=20260310900703", "공시열람")</f>
        <v/>
      </c>
    </row>
    <row r="1836">
      <c r="A1836" s="2" t="inlineStr">
        <is>
          <t>2026-02-27 (정정: 2026-03-03)</t>
        </is>
      </c>
      <c r="B1836" s="3" t="inlineStr">
        <is>
          <t>롯데케미칼</t>
        </is>
      </c>
      <c r="C1836" s="2" t="inlineStr">
        <is>
          <t>코스피</t>
        </is>
      </c>
      <c r="D1836" s="2" t="inlineStr">
        <is>
          <t>011170</t>
        </is>
      </c>
      <c r="E1836" s="3" t="inlineStr">
        <is>
          <t>[기재정정]대규모기업집단현황공시[분기별공시(개별회사용)]</t>
        </is>
      </c>
      <c r="F1836" s="3" t="inlineStr">
        <is>
          <t>롯데케미칼</t>
        </is>
      </c>
      <c r="G1836" s="2" t="inlineStr">
        <is>
          <t>20260303002887</t>
        </is>
      </c>
      <c r="H1836" s="8">
        <f>HYPERLINK("https://dart.fss.or.kr/dsaf001/main.do?rcpNo=20260303002887", "공시열람")</f>
        <v/>
      </c>
    </row>
    <row r="1837">
      <c r="A1837" s="2" t="inlineStr">
        <is>
          <t>2026-03-03</t>
        </is>
      </c>
      <c r="B1837" s="3" t="inlineStr">
        <is>
          <t>대한조선</t>
        </is>
      </c>
      <c r="C1837" s="2" t="inlineStr">
        <is>
          <t>코스피</t>
        </is>
      </c>
      <c r="D1837" s="2" t="inlineStr">
        <is>
          <t>439260</t>
        </is>
      </c>
      <c r="E1837" s="3" t="inlineStr">
        <is>
          <t>임원ㆍ주요주주특정증권등소유상황보고서</t>
        </is>
      </c>
      <c r="F1837" s="3" t="inlineStr">
        <is>
          <t>도승필</t>
        </is>
      </c>
      <c r="G1837" s="2" t="inlineStr">
        <is>
          <t>20260303002877</t>
        </is>
      </c>
      <c r="H1837" s="8">
        <f>HYPERLINK("https://dart.fss.or.kr/dsaf001/main.do?rcpNo=20260303002877", "공시열람")</f>
        <v/>
      </c>
    </row>
    <row r="1838">
      <c r="A1838" s="2" t="inlineStr">
        <is>
          <t>2026-03-03 (정정: 2026-03-11)</t>
        </is>
      </c>
      <c r="B1838" s="3" t="inlineStr">
        <is>
          <t>올릭스</t>
        </is>
      </c>
      <c r="C1838" s="2" t="inlineStr">
        <is>
          <t>코스닥</t>
        </is>
      </c>
      <c r="D1838" s="2" t="inlineStr">
        <is>
          <t>226950</t>
        </is>
      </c>
      <c r="E1838" s="3" t="inlineStr">
        <is>
          <t>[기재정정]주식매수선택권부여에관한신고 (정정: 20260311)</t>
        </is>
      </c>
      <c r="F1838" s="3" t="inlineStr">
        <is>
          <t>올릭스</t>
        </is>
      </c>
      <c r="G1838" s="2" t="inlineStr">
        <is>
          <t>20260311004457</t>
        </is>
      </c>
      <c r="H1838" s="8">
        <f>HYPERLINK("https://dart.fss.or.kr/dsaf001/main.do?rcpNo=20260311004457", "공시열람")</f>
        <v/>
      </c>
    </row>
    <row r="1839">
      <c r="A1839" s="2" t="inlineStr">
        <is>
          <t>2026-03-03 (정정: 2026-03-10)</t>
        </is>
      </c>
      <c r="B1839" s="3" t="inlineStr">
        <is>
          <t>한전기술</t>
        </is>
      </c>
      <c r="C1839" s="2" t="inlineStr">
        <is>
          <t>코스피</t>
        </is>
      </c>
      <c r="D1839" s="2" t="inlineStr">
        <is>
          <t>052690</t>
        </is>
      </c>
      <c r="E1839" s="3" t="inlineStr">
        <is>
          <t>주주명부폐쇄기간또는기준일설정               (정정: 20260303) (정정: 20260310)</t>
        </is>
      </c>
      <c r="F1839" s="3" t="inlineStr">
        <is>
          <t>한전기술</t>
        </is>
      </c>
      <c r="G1839" s="2" t="inlineStr">
        <is>
          <t>20260310801317</t>
        </is>
      </c>
      <c r="H1839" s="8">
        <f>HYPERLINK("https://dart.fss.or.kr/dsaf001/main.do?rcpNo=20260310801317", "공시열람")</f>
        <v/>
      </c>
    </row>
    <row r="1840">
      <c r="A1840" s="2" t="inlineStr">
        <is>
          <t>2026-03-03</t>
        </is>
      </c>
      <c r="B1840" s="3" t="inlineStr">
        <is>
          <t>이스트소프트</t>
        </is>
      </c>
      <c r="C1840" s="2" t="inlineStr">
        <is>
          <t>코스닥</t>
        </is>
      </c>
      <c r="D1840" s="2" t="inlineStr">
        <is>
          <t>047560</t>
        </is>
      </c>
      <c r="E1840" s="3" t="inlineStr">
        <is>
          <t>의결권대리행사권유참고서류</t>
        </is>
      </c>
      <c r="F1840" s="3" t="inlineStr">
        <is>
          <t>이스트소프트</t>
        </is>
      </c>
      <c r="G1840" s="2" t="inlineStr">
        <is>
          <t>20260303002864</t>
        </is>
      </c>
      <c r="H1840" s="8">
        <f>HYPERLINK("https://dart.fss.or.kr/dsaf001/main.do?rcpNo=20260303002864", "공시열람")</f>
        <v/>
      </c>
    </row>
    <row r="1841">
      <c r="A1841" s="2" t="inlineStr">
        <is>
          <t>2026-03-03</t>
        </is>
      </c>
      <c r="B1841" s="3" t="inlineStr">
        <is>
          <t>한국정보통신</t>
        </is>
      </c>
      <c r="C1841" s="2" t="inlineStr">
        <is>
          <t>코스닥</t>
        </is>
      </c>
      <c r="D1841" s="2" t="inlineStr">
        <is>
          <t>025770</t>
        </is>
      </c>
      <c r="E1841" s="3" t="inlineStr">
        <is>
          <t xml:space="preserve">현금ㆍ현물배당결정              </t>
        </is>
      </c>
      <c r="F1841" s="3" t="inlineStr">
        <is>
          <t>한국정보통신</t>
        </is>
      </c>
      <c r="G1841" s="2" t="inlineStr">
        <is>
          <t>20260303901085</t>
        </is>
      </c>
      <c r="H1841" s="8">
        <f>HYPERLINK("https://dart.fss.or.kr/dsaf001/main.do?rcpNo=20260303901085", "공시열람")</f>
        <v/>
      </c>
    </row>
    <row r="1842">
      <c r="A1842" s="2" t="inlineStr">
        <is>
          <t>2026-03-03</t>
        </is>
      </c>
      <c r="B1842" s="3" t="inlineStr">
        <is>
          <t>롯데리츠</t>
        </is>
      </c>
      <c r="C1842" s="2" t="inlineStr">
        <is>
          <t>코스피</t>
        </is>
      </c>
      <c r="D1842" s="2" t="inlineStr">
        <is>
          <t>330590</t>
        </is>
      </c>
      <c r="E1842" s="3" t="inlineStr">
        <is>
          <t>의결권대리행사권유참고서류</t>
        </is>
      </c>
      <c r="F1842" s="3" t="inlineStr">
        <is>
          <t>롯데리츠</t>
        </is>
      </c>
      <c r="G1842" s="2" t="inlineStr">
        <is>
          <t>20260303002863</t>
        </is>
      </c>
      <c r="H1842" s="8">
        <f>HYPERLINK("https://dart.fss.or.kr/dsaf001/main.do?rcpNo=20260303002863", "공시열람")</f>
        <v/>
      </c>
    </row>
    <row r="1843">
      <c r="A1843" s="2" t="inlineStr">
        <is>
          <t>2026-03-03</t>
        </is>
      </c>
      <c r="B1843" s="3" t="inlineStr">
        <is>
          <t>벽산</t>
        </is>
      </c>
      <c r="C1843" s="2" t="inlineStr">
        <is>
          <t>코스피</t>
        </is>
      </c>
      <c r="D1843" s="2" t="inlineStr">
        <is>
          <t>007210</t>
        </is>
      </c>
      <c r="E1843" s="3" t="inlineStr">
        <is>
          <t xml:space="preserve">현금ㆍ현물배당결정              </t>
        </is>
      </c>
      <c r="F1843" s="3" t="inlineStr">
        <is>
          <t>벽산</t>
        </is>
      </c>
      <c r="G1843" s="2" t="inlineStr">
        <is>
          <t>20260303801117</t>
        </is>
      </c>
      <c r="H1843" s="8">
        <f>HYPERLINK("https://dart.fss.or.kr/dsaf001/main.do?rcpNo=20260303801117", "공시열람")</f>
        <v/>
      </c>
    </row>
    <row r="1844">
      <c r="A1844" s="2" t="inlineStr">
        <is>
          <t>2026-03-03</t>
        </is>
      </c>
      <c r="B1844" s="3" t="inlineStr">
        <is>
          <t>대한조선</t>
        </is>
      </c>
      <c r="C1844" s="2" t="inlineStr">
        <is>
          <t>코스피</t>
        </is>
      </c>
      <c r="D1844" s="2" t="inlineStr">
        <is>
          <t>439260</t>
        </is>
      </c>
      <c r="E1844" s="3" t="inlineStr">
        <is>
          <t>임원ㆍ주요주주특정증권등소유상황보고서</t>
        </is>
      </c>
      <c r="F1844" s="3" t="inlineStr">
        <is>
          <t>이상철</t>
        </is>
      </c>
      <c r="G1844" s="2" t="inlineStr">
        <is>
          <t>20260303002859</t>
        </is>
      </c>
      <c r="H1844" s="8">
        <f>HYPERLINK("https://dart.fss.or.kr/dsaf001/main.do?rcpNo=20260303002859", "공시열람")</f>
        <v/>
      </c>
    </row>
    <row r="1845">
      <c r="A1845" s="2" t="inlineStr">
        <is>
          <t>2026-03-03</t>
        </is>
      </c>
      <c r="B1845" s="3" t="inlineStr">
        <is>
          <t>아이로보틱스</t>
        </is>
      </c>
      <c r="C1845" s="2" t="inlineStr">
        <is>
          <t>코스닥</t>
        </is>
      </c>
      <c r="D1845" s="2" t="inlineStr">
        <is>
          <t>066430</t>
        </is>
      </c>
      <c r="E1845" s="3" t="inlineStr">
        <is>
          <t xml:space="preserve">소송등의제기ㆍ신청(일정금액이상의청구)              </t>
        </is>
      </c>
      <c r="F1845" s="3" t="inlineStr">
        <is>
          <t>아이로보틱스</t>
        </is>
      </c>
      <c r="G1845" s="2" t="inlineStr">
        <is>
          <t>20260303900733</t>
        </is>
      </c>
      <c r="H1845" s="8">
        <f>HYPERLINK("https://dart.fss.or.kr/dsaf001/main.do?rcpNo=20260303900733", "공시열람")</f>
        <v/>
      </c>
    </row>
    <row r="1846">
      <c r="A1846" s="2" t="inlineStr">
        <is>
          <t>2026-03-03</t>
        </is>
      </c>
      <c r="B1846" s="3" t="inlineStr">
        <is>
          <t>케스피온</t>
        </is>
      </c>
      <c r="C1846" s="2" t="inlineStr">
        <is>
          <t>코스닥</t>
        </is>
      </c>
      <c r="D1846" s="2" t="inlineStr">
        <is>
          <t>079190</t>
        </is>
      </c>
      <c r="E1846" s="3" t="inlineStr">
        <is>
          <t>임원ㆍ주요주주특정증권등소유상황보고서</t>
        </is>
      </c>
      <c r="F1846" s="3" t="inlineStr">
        <is>
          <t>이앤에스인베스트먼트</t>
        </is>
      </c>
      <c r="G1846" s="2" t="inlineStr">
        <is>
          <t>20260303002852</t>
        </is>
      </c>
      <c r="H1846" s="8">
        <f>HYPERLINK("https://dart.fss.or.kr/dsaf001/main.do?rcpNo=20260303002852", "공시열람")</f>
        <v/>
      </c>
    </row>
    <row r="1847">
      <c r="A1847" s="2" t="inlineStr">
        <is>
          <t>2026-03-03</t>
        </is>
      </c>
      <c r="B1847" s="3" t="inlineStr">
        <is>
          <t>엔케이</t>
        </is>
      </c>
      <c r="C1847" s="2" t="inlineStr">
        <is>
          <t>코스피</t>
        </is>
      </c>
      <c r="D1847" s="2" t="inlineStr">
        <is>
          <t>085310</t>
        </is>
      </c>
      <c r="E1847" s="3" t="inlineStr">
        <is>
          <t xml:space="preserve">매출액또는손익구조30%(대규모법인은15%)이상변경              </t>
        </is>
      </c>
      <c r="F1847" s="3" t="inlineStr">
        <is>
          <t>엔케이</t>
        </is>
      </c>
      <c r="G1847" s="2" t="inlineStr">
        <is>
          <t>20260303801096</t>
        </is>
      </c>
      <c r="H1847" s="8">
        <f>HYPERLINK("https://dart.fss.or.kr/dsaf001/main.do?rcpNo=20260303801096", "공시열람")</f>
        <v/>
      </c>
    </row>
    <row r="1848">
      <c r="A1848" s="2" t="inlineStr">
        <is>
          <t>2026-03-03</t>
        </is>
      </c>
      <c r="B1848" s="3" t="inlineStr">
        <is>
          <t>한솔홈데코</t>
        </is>
      </c>
      <c r="C1848" s="2" t="inlineStr">
        <is>
          <t>코스피</t>
        </is>
      </c>
      <c r="D1848" s="2" t="inlineStr">
        <is>
          <t>025750</t>
        </is>
      </c>
      <c r="E1848" s="3" t="inlineStr">
        <is>
          <t>의결권대리행사권유참고서류</t>
        </is>
      </c>
      <c r="F1848" s="3" t="inlineStr">
        <is>
          <t>한솔홈데코</t>
        </is>
      </c>
      <c r="G1848" s="2" t="inlineStr">
        <is>
          <t>20260303002840</t>
        </is>
      </c>
      <c r="H1848" s="8">
        <f>HYPERLINK("https://dart.fss.or.kr/dsaf001/main.do?rcpNo=20260303002840", "공시열람")</f>
        <v/>
      </c>
    </row>
    <row r="1849">
      <c r="A1849" s="2" t="inlineStr">
        <is>
          <t>2026-03-03</t>
        </is>
      </c>
      <c r="B1849" s="3" t="inlineStr">
        <is>
          <t>우리기술</t>
        </is>
      </c>
      <c r="C1849" s="2" t="inlineStr">
        <is>
          <t>코스닥</t>
        </is>
      </c>
      <c r="D1849" s="2" t="inlineStr">
        <is>
          <t>032820</t>
        </is>
      </c>
      <c r="E1849" s="3" t="inlineStr">
        <is>
          <t>의결권대리행사권유참고서류</t>
        </is>
      </c>
      <c r="F1849" s="3" t="inlineStr">
        <is>
          <t>우리기술</t>
        </is>
      </c>
      <c r="G1849" s="2" t="inlineStr">
        <is>
          <t>20260303002834</t>
        </is>
      </c>
      <c r="H1849" s="8">
        <f>HYPERLINK("https://dart.fss.or.kr/dsaf001/main.do?rcpNo=20260303002834", "공시열람")</f>
        <v/>
      </c>
    </row>
    <row r="1850">
      <c r="A1850" s="2" t="inlineStr">
        <is>
          <t>2026-03-03</t>
        </is>
      </c>
      <c r="B1850" s="3" t="inlineStr">
        <is>
          <t>젠큐릭스</t>
        </is>
      </c>
      <c r="C1850" s="2" t="inlineStr">
        <is>
          <t>코스닥</t>
        </is>
      </c>
      <c r="D1850" s="2" t="inlineStr">
        <is>
          <t>229000</t>
        </is>
      </c>
      <c r="E1850" s="3" t="inlineStr">
        <is>
          <t xml:space="preserve">조회공시요구(현저한시황변동)에대한답변(중요정보없음)              </t>
        </is>
      </c>
      <c r="F1850" s="3" t="inlineStr">
        <is>
          <t>젠큐릭스</t>
        </is>
      </c>
      <c r="G1850" s="2" t="inlineStr">
        <is>
          <t>20260303901074</t>
        </is>
      </c>
      <c r="H1850" s="8">
        <f>HYPERLINK("https://dart.fss.or.kr/dsaf001/main.do?rcpNo=20260303901074", "공시열람")</f>
        <v/>
      </c>
    </row>
    <row r="1851">
      <c r="A1851" s="2" t="inlineStr">
        <is>
          <t>2026-03-03</t>
        </is>
      </c>
      <c r="B1851" s="3" t="inlineStr">
        <is>
          <t>대한조선</t>
        </is>
      </c>
      <c r="C1851" s="2" t="inlineStr">
        <is>
          <t>코스피</t>
        </is>
      </c>
      <c r="D1851" s="2" t="inlineStr">
        <is>
          <t>439260</t>
        </is>
      </c>
      <c r="E1851" s="3" t="inlineStr">
        <is>
          <t>임원ㆍ주요주주특정증권등소유상황보고서</t>
        </is>
      </c>
      <c r="F1851" s="3" t="inlineStr">
        <is>
          <t>노병억</t>
        </is>
      </c>
      <c r="G1851" s="2" t="inlineStr">
        <is>
          <t>20260303002830</t>
        </is>
      </c>
      <c r="H1851" s="8">
        <f>HYPERLINK("https://dart.fss.or.kr/dsaf001/main.do?rcpNo=20260303002830", "공시열람")</f>
        <v/>
      </c>
    </row>
    <row r="1852">
      <c r="A1852" s="2" t="inlineStr">
        <is>
          <t>2026-03-03</t>
        </is>
      </c>
      <c r="B1852" s="3" t="inlineStr">
        <is>
          <t>미래에셋증권</t>
        </is>
      </c>
      <c r="C1852" s="2" t="inlineStr">
        <is>
          <t>코스피</t>
        </is>
      </c>
      <c r="D1852" s="2" t="inlineStr">
        <is>
          <t>006800</t>
        </is>
      </c>
      <c r="E1852" s="3" t="inlineStr">
        <is>
          <t xml:space="preserve">기업지배구조보고서공시(연차보고서)              </t>
        </is>
      </c>
      <c r="F1852" s="3" t="inlineStr">
        <is>
          <t>미래에셋증권</t>
        </is>
      </c>
      <c r="G1852" s="2" t="inlineStr">
        <is>
          <t>20260303801095</t>
        </is>
      </c>
      <c r="H1852" s="8">
        <f>HYPERLINK("https://dart.fss.or.kr/dsaf001/main.do?rcpNo=20260303801095", "공시열람")</f>
        <v/>
      </c>
    </row>
    <row r="1853">
      <c r="A1853" s="2" t="inlineStr">
        <is>
          <t>2026-03-03</t>
        </is>
      </c>
      <c r="B1853" s="3" t="inlineStr">
        <is>
          <t>나우로보틱스</t>
        </is>
      </c>
      <c r="C1853" s="2" t="inlineStr">
        <is>
          <t>코스닥</t>
        </is>
      </c>
      <c r="D1853" s="2" t="inlineStr">
        <is>
          <t>459510</t>
        </is>
      </c>
      <c r="E1853" s="3" t="inlineStr">
        <is>
          <t>임원ㆍ주요주주특정증권등소유상황보고서</t>
        </is>
      </c>
      <c r="F1853" s="3" t="inlineStr">
        <is>
          <t>오세훈</t>
        </is>
      </c>
      <c r="G1853" s="2" t="inlineStr">
        <is>
          <t>20260303002815</t>
        </is>
      </c>
      <c r="H1853" s="8">
        <f>HYPERLINK("https://dart.fss.or.kr/dsaf001/main.do?rcpNo=20260303002815", "공시열람")</f>
        <v/>
      </c>
    </row>
    <row r="1854">
      <c r="A1854" s="2" t="inlineStr">
        <is>
          <t>2026-03-03</t>
        </is>
      </c>
      <c r="B1854" s="3" t="inlineStr">
        <is>
          <t>SNT홀딩스</t>
        </is>
      </c>
      <c r="C1854" s="2" t="inlineStr">
        <is>
          <t>코스피</t>
        </is>
      </c>
      <c r="D1854" s="2" t="inlineStr">
        <is>
          <t>036530</t>
        </is>
      </c>
      <c r="E1854" s="3" t="inlineStr">
        <is>
          <t>기업가치제고계획(자율공시)              (기업가치 제고 계획(자율공시)(2026년))</t>
        </is>
      </c>
      <c r="F1854" s="3" t="inlineStr">
        <is>
          <t>SNT홀딩스</t>
        </is>
      </c>
      <c r="G1854" s="2" t="inlineStr">
        <is>
          <t>20260303800985</t>
        </is>
      </c>
      <c r="H1854" s="8">
        <f>HYPERLINK("https://dart.fss.or.kr/dsaf001/main.do?rcpNo=20260303800985", "공시열람")</f>
        <v/>
      </c>
    </row>
    <row r="1855">
      <c r="A1855" s="2" t="inlineStr">
        <is>
          <t>2026-03-03</t>
        </is>
      </c>
      <c r="B1855" s="3" t="inlineStr">
        <is>
          <t>대한조선</t>
        </is>
      </c>
      <c r="C1855" s="2" t="inlineStr">
        <is>
          <t>코스피</t>
        </is>
      </c>
      <c r="D1855" s="2" t="inlineStr">
        <is>
          <t>439260</t>
        </is>
      </c>
      <c r="E1855" s="3" t="inlineStr">
        <is>
          <t>임원ㆍ주요주주특정증권등소유상황보고서</t>
        </is>
      </c>
      <c r="F1855" s="3" t="inlineStr">
        <is>
          <t>왕삼동</t>
        </is>
      </c>
      <c r="G1855" s="2" t="inlineStr">
        <is>
          <t>20260303002802</t>
        </is>
      </c>
      <c r="H1855" s="8">
        <f>HYPERLINK("https://dart.fss.or.kr/dsaf001/main.do?rcpNo=20260303002802", "공시열람")</f>
        <v/>
      </c>
    </row>
    <row r="1856">
      <c r="A1856" s="2" t="inlineStr">
        <is>
          <t>2026-03-03</t>
        </is>
      </c>
      <c r="B1856" s="3" t="inlineStr">
        <is>
          <t>나우로보틱스</t>
        </is>
      </c>
      <c r="C1856" s="2" t="inlineStr">
        <is>
          <t>코스닥</t>
        </is>
      </c>
      <c r="D1856" s="2" t="inlineStr">
        <is>
          <t>459510</t>
        </is>
      </c>
      <c r="E1856" s="3" t="inlineStr">
        <is>
          <t>임원ㆍ주요주주특정증권등소유상황보고서</t>
        </is>
      </c>
      <c r="F1856" s="3" t="inlineStr">
        <is>
          <t>김범길</t>
        </is>
      </c>
      <c r="G1856" s="2" t="inlineStr">
        <is>
          <t>20260303002797</t>
        </is>
      </c>
      <c r="H1856" s="8">
        <f>HYPERLINK("https://dart.fss.or.kr/dsaf001/main.do?rcpNo=20260303002797", "공시열람")</f>
        <v/>
      </c>
    </row>
    <row r="1857">
      <c r="A1857" s="2" t="inlineStr">
        <is>
          <t>2026-03-03</t>
        </is>
      </c>
      <c r="B1857" s="3" t="inlineStr">
        <is>
          <t>벽산</t>
        </is>
      </c>
      <c r="C1857" s="2" t="inlineStr">
        <is>
          <t>코스피</t>
        </is>
      </c>
      <c r="D1857" s="2" t="inlineStr">
        <is>
          <t>007210</t>
        </is>
      </c>
      <c r="E1857" s="3" t="inlineStr">
        <is>
          <t xml:space="preserve">현금ㆍ현물배당을위한주주명부폐쇄(기준일)결정              </t>
        </is>
      </c>
      <c r="F1857" s="3" t="inlineStr">
        <is>
          <t>벽산</t>
        </is>
      </c>
      <c r="G1857" s="2" t="inlineStr">
        <is>
          <t>20260303801081</t>
        </is>
      </c>
      <c r="H1857" s="8">
        <f>HYPERLINK("https://dart.fss.or.kr/dsaf001/main.do?rcpNo=20260303801081", "공시열람")</f>
        <v/>
      </c>
    </row>
    <row r="1858">
      <c r="A1858" s="2" t="inlineStr">
        <is>
          <t>2026-03-03 (정정: 2026-03-03)</t>
        </is>
      </c>
      <c r="B1858" s="3" t="inlineStr">
        <is>
          <t>엠로</t>
        </is>
      </c>
      <c r="C1858" s="2" t="inlineStr">
        <is>
          <t>코스닥</t>
        </is>
      </c>
      <c r="D1858" s="2" t="inlineStr">
        <is>
          <t>058970</t>
        </is>
      </c>
      <c r="E1858" s="3" t="inlineStr">
        <is>
          <t>[기재정정]의결권대리행사권유참고서류</t>
        </is>
      </c>
      <c r="F1858" s="3" t="inlineStr">
        <is>
          <t>엠로</t>
        </is>
      </c>
      <c r="G1858" s="2" t="inlineStr">
        <is>
          <t>20260303002788</t>
        </is>
      </c>
      <c r="H1858" s="8">
        <f>HYPERLINK("https://dart.fss.or.kr/dsaf001/main.do?rcpNo=20260303002788", "공시열람")</f>
        <v/>
      </c>
    </row>
    <row r="1859">
      <c r="A1859" s="2" t="inlineStr">
        <is>
          <t>2026-03-03</t>
        </is>
      </c>
      <c r="B1859" s="3" t="inlineStr">
        <is>
          <t>우리기술</t>
        </is>
      </c>
      <c r="C1859" s="2" t="inlineStr">
        <is>
          <t>코스닥</t>
        </is>
      </c>
      <c r="D1859" s="2" t="inlineStr">
        <is>
          <t>032820</t>
        </is>
      </c>
      <c r="E1859" s="3" t="inlineStr">
        <is>
          <t xml:space="preserve">전환청구권행사              </t>
        </is>
      </c>
      <c r="F1859" s="3" t="inlineStr">
        <is>
          <t>우리기술</t>
        </is>
      </c>
      <c r="G1859" s="2" t="inlineStr">
        <is>
          <t>20260303901075</t>
        </is>
      </c>
      <c r="H1859" s="8">
        <f>HYPERLINK("https://dart.fss.or.kr/dsaf001/main.do?rcpNo=20260303901075", "공시열람")</f>
        <v/>
      </c>
    </row>
    <row r="1860">
      <c r="A1860" s="2" t="inlineStr">
        <is>
          <t>2026-03-03</t>
        </is>
      </c>
      <c r="B1860" s="3" t="inlineStr">
        <is>
          <t>엔케이</t>
        </is>
      </c>
      <c r="C1860" s="2" t="inlineStr">
        <is>
          <t>코스피</t>
        </is>
      </c>
      <c r="D1860" s="2" t="inlineStr">
        <is>
          <t>085310</t>
        </is>
      </c>
      <c r="E1860" s="3" t="inlineStr">
        <is>
          <t xml:space="preserve">현금ㆍ현물배당결정              </t>
        </is>
      </c>
      <c r="F1860" s="3" t="inlineStr">
        <is>
          <t>엔케이</t>
        </is>
      </c>
      <c r="G1860" s="2" t="inlineStr">
        <is>
          <t>20260303800946</t>
        </is>
      </c>
      <c r="H1860" s="8">
        <f>HYPERLINK("https://dart.fss.or.kr/dsaf001/main.do?rcpNo=20260303800946", "공시열람")</f>
        <v/>
      </c>
    </row>
    <row r="1861">
      <c r="A1861" s="2" t="inlineStr">
        <is>
          <t>2026-03-03</t>
        </is>
      </c>
      <c r="B1861" s="3" t="inlineStr">
        <is>
          <t>동아쏘시오홀딩스</t>
        </is>
      </c>
      <c r="C1861" s="2" t="inlineStr">
        <is>
          <t>코스피</t>
        </is>
      </c>
      <c r="D1861" s="2" t="inlineStr">
        <is>
          <t>000640</t>
        </is>
      </c>
      <c r="E1861" s="3" t="inlineStr">
        <is>
          <t>사외이사의선임ㆍ해임또는중도퇴임에관한신고</t>
        </is>
      </c>
      <c r="F1861" s="3" t="inlineStr">
        <is>
          <t>동아쏘시오홀딩스</t>
        </is>
      </c>
      <c r="G1861" s="2" t="inlineStr">
        <is>
          <t>20260303002768</t>
        </is>
      </c>
      <c r="H1861" s="8">
        <f>HYPERLINK("https://dart.fss.or.kr/dsaf001/main.do?rcpNo=20260303002768", "공시열람")</f>
        <v/>
      </c>
    </row>
    <row r="1862">
      <c r="A1862" s="2" t="inlineStr">
        <is>
          <t>2026-03-03</t>
        </is>
      </c>
      <c r="B1862" s="3" t="inlineStr">
        <is>
          <t>이루온</t>
        </is>
      </c>
      <c r="C1862" s="2" t="inlineStr">
        <is>
          <t>코스닥</t>
        </is>
      </c>
      <c r="D1862" s="2" t="inlineStr">
        <is>
          <t>065440</t>
        </is>
      </c>
      <c r="E1862" s="3" t="inlineStr">
        <is>
          <t>의결권대리행사권유참고서류</t>
        </is>
      </c>
      <c r="F1862" s="3" t="inlineStr">
        <is>
          <t>이루온</t>
        </is>
      </c>
      <c r="G1862" s="2" t="inlineStr">
        <is>
          <t>20260303002763</t>
        </is>
      </c>
      <c r="H1862" s="8">
        <f>HYPERLINK("https://dart.fss.or.kr/dsaf001/main.do?rcpNo=20260303002763", "공시열람")</f>
        <v/>
      </c>
    </row>
    <row r="1863">
      <c r="A1863" s="2" t="inlineStr">
        <is>
          <t>2026-03-03</t>
        </is>
      </c>
      <c r="B1863" s="3" t="inlineStr">
        <is>
          <t>두산밥캣</t>
        </is>
      </c>
      <c r="C1863" s="2" t="inlineStr">
        <is>
          <t>코스피</t>
        </is>
      </c>
      <c r="D1863" s="2" t="inlineStr">
        <is>
          <t>241560</t>
        </is>
      </c>
      <c r="E1863" s="3" t="inlineStr">
        <is>
          <t>자기주식처분결과보고서</t>
        </is>
      </c>
      <c r="F1863" s="3" t="inlineStr">
        <is>
          <t>두산밥캣</t>
        </is>
      </c>
      <c r="G1863" s="2" t="inlineStr">
        <is>
          <t>20260303002761</t>
        </is>
      </c>
      <c r="H1863" s="8">
        <f>HYPERLINK("https://dart.fss.or.kr/dsaf001/main.do?rcpNo=20260303002761", "공시열람")</f>
        <v/>
      </c>
    </row>
    <row r="1864">
      <c r="A1864" s="2" t="inlineStr">
        <is>
          <t>2026-03-03</t>
        </is>
      </c>
      <c r="B1864" s="3" t="inlineStr">
        <is>
          <t>아미코젠</t>
        </is>
      </c>
      <c r="C1864" s="2" t="inlineStr">
        <is>
          <t>코스닥</t>
        </is>
      </c>
      <c r="D1864" s="2" t="inlineStr">
        <is>
          <t>092040</t>
        </is>
      </c>
      <c r="E1864" s="3" t="inlineStr">
        <is>
          <t>임원ㆍ주요주주특정증권등소유상황보고서</t>
        </is>
      </c>
      <c r="F1864" s="3" t="inlineStr">
        <is>
          <t>윤영철</t>
        </is>
      </c>
      <c r="G1864" s="2" t="inlineStr">
        <is>
          <t>20260303002760</t>
        </is>
      </c>
      <c r="H1864" s="8">
        <f>HYPERLINK("https://dart.fss.or.kr/dsaf001/main.do?rcpNo=20260303002760", "공시열람")</f>
        <v/>
      </c>
    </row>
    <row r="1865">
      <c r="A1865" s="2" t="inlineStr">
        <is>
          <t>2026-03-03</t>
        </is>
      </c>
      <c r="B1865" s="3" t="inlineStr">
        <is>
          <t>엠에스오토텍</t>
        </is>
      </c>
      <c r="C1865" s="2" t="inlineStr">
        <is>
          <t>코스닥</t>
        </is>
      </c>
      <c r="D1865" s="2" t="inlineStr">
        <is>
          <t>123040</t>
        </is>
      </c>
      <c r="E1865" s="3" t="inlineStr">
        <is>
          <t xml:space="preserve">매출액또는손익구조30%(대규모법인은15%)이상변동              </t>
        </is>
      </c>
      <c r="F1865" s="3" t="inlineStr">
        <is>
          <t>엠에스오토텍</t>
        </is>
      </c>
      <c r="G1865" s="2" t="inlineStr">
        <is>
          <t>20260303901004</t>
        </is>
      </c>
      <c r="H1865" s="8">
        <f>HYPERLINK("https://dart.fss.or.kr/dsaf001/main.do?rcpNo=20260303901004", "공시열람")</f>
        <v/>
      </c>
    </row>
    <row r="1866">
      <c r="A1866" s="2" t="inlineStr">
        <is>
          <t>2026-03-03 (정정: 2026-03-20)</t>
        </is>
      </c>
      <c r="B1866" s="3" t="inlineStr">
        <is>
          <t>사조씨푸드</t>
        </is>
      </c>
      <c r="C1866" s="2" t="inlineStr">
        <is>
          <t>코스피</t>
        </is>
      </c>
      <c r="D1866" s="2" t="inlineStr">
        <is>
          <t>014710</t>
        </is>
      </c>
      <c r="E1866" s="3" t="inlineStr">
        <is>
          <t>의결권대리행사권유참고서류 (정정: 20260306) (정정: 20260306) (정정: 20260320)</t>
        </is>
      </c>
      <c r="F1866" s="3" t="inlineStr">
        <is>
          <t>사조씨푸드</t>
        </is>
      </c>
      <c r="G1866" s="2" t="inlineStr">
        <is>
          <t>20260320000878</t>
        </is>
      </c>
      <c r="H1866" s="8">
        <f>HYPERLINK("https://dart.fss.or.kr/dsaf001/main.do?rcpNo=20260320000878", "공시열람")</f>
        <v/>
      </c>
    </row>
    <row r="1867">
      <c r="A1867" s="2" t="inlineStr">
        <is>
          <t>2026-03-03</t>
        </is>
      </c>
      <c r="B1867" s="3" t="inlineStr">
        <is>
          <t>대한조선</t>
        </is>
      </c>
      <c r="C1867" s="2" t="inlineStr">
        <is>
          <t>코스피</t>
        </is>
      </c>
      <c r="D1867" s="2" t="inlineStr">
        <is>
          <t>439260</t>
        </is>
      </c>
      <c r="E1867" s="3" t="inlineStr">
        <is>
          <t>임원ㆍ주요주주특정증권등소유상황보고서</t>
        </is>
      </c>
      <c r="F1867" s="3" t="inlineStr">
        <is>
          <t>이석문</t>
        </is>
      </c>
      <c r="G1867" s="2" t="inlineStr">
        <is>
          <t>20260303002747</t>
        </is>
      </c>
      <c r="H1867" s="8">
        <f>HYPERLINK("https://dart.fss.or.kr/dsaf001/main.do?rcpNo=20260303002747", "공시열람")</f>
        <v/>
      </c>
    </row>
    <row r="1868">
      <c r="A1868" s="2" t="inlineStr">
        <is>
          <t>2026-03-03</t>
        </is>
      </c>
      <c r="B1868" s="3" t="inlineStr">
        <is>
          <t>펨트론</t>
        </is>
      </c>
      <c r="C1868" s="2" t="inlineStr">
        <is>
          <t>코스닥</t>
        </is>
      </c>
      <c r="D1868" s="2" t="inlineStr">
        <is>
          <t>168360</t>
        </is>
      </c>
      <c r="E1868" s="3" t="inlineStr">
        <is>
          <t>주요사항보고서(자기주식처분결정)</t>
        </is>
      </c>
      <c r="F1868" s="3" t="inlineStr">
        <is>
          <t>펨트론</t>
        </is>
      </c>
      <c r="G1868" s="2" t="inlineStr">
        <is>
          <t>20260303002543</t>
        </is>
      </c>
      <c r="H1868" s="8">
        <f>HYPERLINK("https://dart.fss.or.kr/dsaf001/main.do?rcpNo=20260303002543", "공시열람")</f>
        <v/>
      </c>
    </row>
    <row r="1869">
      <c r="A1869" s="2" t="inlineStr">
        <is>
          <t>2026-03-03</t>
        </is>
      </c>
      <c r="B1869" s="3" t="inlineStr">
        <is>
          <t>크라우드웍스</t>
        </is>
      </c>
      <c r="C1869" s="2" t="inlineStr">
        <is>
          <t>코스닥</t>
        </is>
      </c>
      <c r="D1869" s="2" t="inlineStr">
        <is>
          <t>355390</t>
        </is>
      </c>
      <c r="E1869" s="3" t="inlineStr">
        <is>
          <t xml:space="preserve">기타시장안내(최대주주의의무보유관련)              </t>
        </is>
      </c>
      <c r="F1869" s="3" t="inlineStr">
        <is>
          <t>코스닥시장본부</t>
        </is>
      </c>
      <c r="G1869" s="2" t="inlineStr">
        <is>
          <t>20260303900956</t>
        </is>
      </c>
      <c r="H1869" s="8">
        <f>HYPERLINK("https://dart.fss.or.kr/dsaf001/main.do?rcpNo=20260303900956", "공시열람")</f>
        <v/>
      </c>
    </row>
    <row r="1870">
      <c r="A1870" s="2" t="inlineStr">
        <is>
          <t>2026-03-03</t>
        </is>
      </c>
      <c r="B1870" s="3" t="inlineStr">
        <is>
          <t>삼천리자전거</t>
        </is>
      </c>
      <c r="C1870" s="2" t="inlineStr">
        <is>
          <t>코스닥</t>
        </is>
      </c>
      <c r="D1870" s="2" t="inlineStr">
        <is>
          <t>024950</t>
        </is>
      </c>
      <c r="E1870" s="3" t="inlineStr">
        <is>
          <t>자기주식취득결과보고서</t>
        </is>
      </c>
      <c r="F1870" s="3" t="inlineStr">
        <is>
          <t>삼천리자전거</t>
        </is>
      </c>
      <c r="G1870" s="2" t="inlineStr">
        <is>
          <t>20260303002735</t>
        </is>
      </c>
      <c r="H1870" s="8">
        <f>HYPERLINK("https://dart.fss.or.kr/dsaf001/main.do?rcpNo=20260303002735", "공시열람")</f>
        <v/>
      </c>
    </row>
    <row r="1871">
      <c r="A1871" s="2" t="inlineStr">
        <is>
          <t>2026-03-03</t>
        </is>
      </c>
      <c r="B1871" s="3" t="inlineStr">
        <is>
          <t>두산로보틱스</t>
        </is>
      </c>
      <c r="C1871" s="2" t="inlineStr">
        <is>
          <t>코스피</t>
        </is>
      </c>
      <c r="D1871" s="2" t="inlineStr">
        <is>
          <t>454910</t>
        </is>
      </c>
      <c r="E1871" s="3" t="inlineStr">
        <is>
          <t>임원ㆍ주요주주특정증권등거래계획보고서</t>
        </is>
      </c>
      <c r="F1871" s="3" t="inlineStr">
        <is>
          <t>두산</t>
        </is>
      </c>
      <c r="G1871" s="2" t="inlineStr">
        <is>
          <t>20260303002734</t>
        </is>
      </c>
      <c r="H1871" s="8">
        <f>HYPERLINK("https://dart.fss.or.kr/dsaf001/main.do?rcpNo=20260303002734", "공시열람")</f>
        <v/>
      </c>
    </row>
    <row r="1872">
      <c r="A1872" s="2" t="inlineStr">
        <is>
          <t>2026-03-03</t>
        </is>
      </c>
      <c r="B1872" s="3" t="inlineStr">
        <is>
          <t>노랑풍선</t>
        </is>
      </c>
      <c r="C1872" s="2" t="inlineStr">
        <is>
          <t>코스닥</t>
        </is>
      </c>
      <c r="D1872" s="2" t="inlineStr">
        <is>
          <t>104620</t>
        </is>
      </c>
      <c r="E1872" s="3" t="inlineStr">
        <is>
          <t>전환가액의조정              (제3회차)</t>
        </is>
      </c>
      <c r="F1872" s="3" t="inlineStr">
        <is>
          <t>노랑풍선</t>
        </is>
      </c>
      <c r="G1872" s="2" t="inlineStr">
        <is>
          <t>20260303900875</t>
        </is>
      </c>
      <c r="H1872" s="8">
        <f>HYPERLINK("https://dart.fss.or.kr/dsaf001/main.do?rcpNo=20260303900875", "공시열람")</f>
        <v/>
      </c>
    </row>
    <row r="1873">
      <c r="A1873" s="2" t="inlineStr">
        <is>
          <t>2026-03-03</t>
        </is>
      </c>
      <c r="B1873" s="3" t="inlineStr">
        <is>
          <t>파인디앤씨</t>
        </is>
      </c>
      <c r="C1873" s="2" t="inlineStr">
        <is>
          <t>코스닥</t>
        </is>
      </c>
      <c r="D1873" s="2" t="inlineStr">
        <is>
          <t>049120</t>
        </is>
      </c>
      <c r="E1873" s="3" t="inlineStr">
        <is>
          <t xml:space="preserve">전환가액의조정              </t>
        </is>
      </c>
      <c r="F1873" s="3" t="inlineStr">
        <is>
          <t>파인디앤씨</t>
        </is>
      </c>
      <c r="G1873" s="2" t="inlineStr">
        <is>
          <t>20260303901034</t>
        </is>
      </c>
      <c r="H1873" s="8">
        <f>HYPERLINK("https://dart.fss.or.kr/dsaf001/main.do?rcpNo=20260303901034", "공시열람")</f>
        <v/>
      </c>
    </row>
    <row r="1874">
      <c r="A1874" s="2" t="inlineStr">
        <is>
          <t>2026-03-03</t>
        </is>
      </c>
      <c r="B1874" s="3" t="inlineStr">
        <is>
          <t>비나텍</t>
        </is>
      </c>
      <c r="C1874" s="2" t="inlineStr">
        <is>
          <t>코스닥</t>
        </is>
      </c>
      <c r="D1874" s="2" t="inlineStr">
        <is>
          <t>126340</t>
        </is>
      </c>
      <c r="E1874" s="3" t="inlineStr">
        <is>
          <t xml:space="preserve">전환청구권행사              </t>
        </is>
      </c>
      <c r="F1874" s="3" t="inlineStr">
        <is>
          <t>비나텍</t>
        </is>
      </c>
      <c r="G1874" s="2" t="inlineStr">
        <is>
          <t>20260303901030</t>
        </is>
      </c>
      <c r="H1874" s="8">
        <f>HYPERLINK("https://dart.fss.or.kr/dsaf001/main.do?rcpNo=20260303901030", "공시열람")</f>
        <v/>
      </c>
    </row>
    <row r="1875">
      <c r="A1875" s="2" t="inlineStr">
        <is>
          <t>2026-03-03</t>
        </is>
      </c>
      <c r="B1875" s="3" t="inlineStr">
        <is>
          <t>엑스큐어</t>
        </is>
      </c>
      <c r="C1875" s="2" t="inlineStr">
        <is>
          <t>코스닥</t>
        </is>
      </c>
      <c r="D1875" s="2" t="inlineStr">
        <is>
          <t>070300</t>
        </is>
      </c>
      <c r="E1875" s="3" t="inlineStr">
        <is>
          <t>임원ㆍ주요주주특정증권등소유상황보고서</t>
        </is>
      </c>
      <c r="F1875" s="3" t="inlineStr">
        <is>
          <t>브이에스티디(VSTD)투자조합</t>
        </is>
      </c>
      <c r="G1875" s="2" t="inlineStr">
        <is>
          <t>20260303002722</t>
        </is>
      </c>
      <c r="H1875" s="8">
        <f>HYPERLINK("https://dart.fss.or.kr/dsaf001/main.do?rcpNo=20260303002722", "공시열람")</f>
        <v/>
      </c>
    </row>
    <row r="1876">
      <c r="A1876" s="2" t="inlineStr">
        <is>
          <t>2026-03-03</t>
        </is>
      </c>
      <c r="B1876" s="3" t="inlineStr">
        <is>
          <t>고려아연</t>
        </is>
      </c>
      <c r="C1876" s="2" t="inlineStr">
        <is>
          <t>코스피</t>
        </is>
      </c>
      <c r="D1876" s="2" t="inlineStr">
        <is>
          <t>010130</t>
        </is>
      </c>
      <c r="E1876" s="3" t="inlineStr">
        <is>
          <t>[첨부정정]의결권대리행사권유참고서류</t>
        </is>
      </c>
      <c r="F1876" s="3" t="inlineStr">
        <is>
          <t>영풍</t>
        </is>
      </c>
      <c r="G1876" s="2" t="inlineStr">
        <is>
          <t>20260303002712</t>
        </is>
      </c>
      <c r="H1876" s="8">
        <f>HYPERLINK("https://dart.fss.or.kr/dsaf001/main.do?rcpNo=20260303002712", "공시열람")</f>
        <v/>
      </c>
    </row>
    <row r="1877">
      <c r="A1877" s="2" t="inlineStr">
        <is>
          <t>2026-03-03</t>
        </is>
      </c>
      <c r="B1877" s="3" t="inlineStr">
        <is>
          <t>루멘스</t>
        </is>
      </c>
      <c r="C1877" s="2" t="inlineStr">
        <is>
          <t>코스닥</t>
        </is>
      </c>
      <c r="D1877" s="2" t="inlineStr">
        <is>
          <t>038060</t>
        </is>
      </c>
      <c r="E1877" s="3" t="inlineStr">
        <is>
          <t>의결권대리행사권유참고서류</t>
        </is>
      </c>
      <c r="F1877" s="3" t="inlineStr">
        <is>
          <t>루멘스</t>
        </is>
      </c>
      <c r="G1877" s="2" t="inlineStr">
        <is>
          <t>20260303002711</t>
        </is>
      </c>
      <c r="H1877" s="8">
        <f>HYPERLINK("https://dart.fss.or.kr/dsaf001/main.do?rcpNo=20260303002711", "공시열람")</f>
        <v/>
      </c>
    </row>
    <row r="1878">
      <c r="A1878" s="2" t="inlineStr">
        <is>
          <t>2026-03-03 (정정: 2026-03-03)</t>
        </is>
      </c>
      <c r="B1878" s="3" t="inlineStr">
        <is>
          <t>남성</t>
        </is>
      </c>
      <c r="C1878" s="2" t="inlineStr">
        <is>
          <t>코스피</t>
        </is>
      </c>
      <c r="D1878" s="2" t="inlineStr">
        <is>
          <t>004270</t>
        </is>
      </c>
      <c r="E1878" s="3" t="inlineStr">
        <is>
          <t xml:space="preserve">[기재정정]현금ㆍ현물배당결정              </t>
        </is>
      </c>
      <c r="F1878" s="3" t="inlineStr">
        <is>
          <t>남성</t>
        </is>
      </c>
      <c r="G1878" s="2" t="inlineStr">
        <is>
          <t>20260303801012</t>
        </is>
      </c>
      <c r="H1878" s="8">
        <f>HYPERLINK("https://dart.fss.or.kr/dsaf001/main.do?rcpNo=20260303801012", "공시열람")</f>
        <v/>
      </c>
    </row>
    <row r="1879">
      <c r="A1879" s="2" t="inlineStr">
        <is>
          <t>2026-03-03</t>
        </is>
      </c>
      <c r="B1879" s="3" t="inlineStr">
        <is>
          <t>국전</t>
        </is>
      </c>
      <c r="C1879" s="2" t="inlineStr">
        <is>
          <t>코스닥</t>
        </is>
      </c>
      <c r="D1879" s="2" t="inlineStr">
        <is>
          <t>307750</t>
        </is>
      </c>
      <c r="E1879" s="3" t="inlineStr">
        <is>
          <t xml:space="preserve">신주인수권행사              </t>
        </is>
      </c>
      <c r="F1879" s="3" t="inlineStr">
        <is>
          <t>국전</t>
        </is>
      </c>
      <c r="G1879" s="2" t="inlineStr">
        <is>
          <t>20260303901011</t>
        </is>
      </c>
      <c r="H1879" s="8">
        <f>HYPERLINK("https://dart.fss.or.kr/dsaf001/main.do?rcpNo=20260303901011", "공시열람")</f>
        <v/>
      </c>
    </row>
    <row r="1880">
      <c r="A1880" s="2" t="inlineStr">
        <is>
          <t>2026-03-03</t>
        </is>
      </c>
      <c r="B1880" s="3" t="inlineStr">
        <is>
          <t>영화테크</t>
        </is>
      </c>
      <c r="C1880" s="2" t="inlineStr">
        <is>
          <t>코스닥</t>
        </is>
      </c>
      <c r="D1880" s="2" t="inlineStr">
        <is>
          <t>265560</t>
        </is>
      </c>
      <c r="E1880" s="3" t="inlineStr">
        <is>
          <t>자기주식처분결과보고서</t>
        </is>
      </c>
      <c r="F1880" s="3" t="inlineStr">
        <is>
          <t>영화테크</t>
        </is>
      </c>
      <c r="G1880" s="2" t="inlineStr">
        <is>
          <t>20260303002690</t>
        </is>
      </c>
      <c r="H1880" s="8">
        <f>HYPERLINK("https://dart.fss.or.kr/dsaf001/main.do?rcpNo=20260303002690", "공시열람")</f>
        <v/>
      </c>
    </row>
    <row r="1881">
      <c r="A1881" s="2" t="inlineStr">
        <is>
          <t>2026-03-03 (정정: 2026-03-10)</t>
        </is>
      </c>
      <c r="B1881" s="3" t="inlineStr">
        <is>
          <t>하이스틸</t>
        </is>
      </c>
      <c r="C1881" s="2" t="inlineStr">
        <is>
          <t>코스피</t>
        </is>
      </c>
      <c r="D1881" s="2" t="inlineStr">
        <is>
          <t>071090</t>
        </is>
      </c>
      <c r="E1881" s="3" t="inlineStr">
        <is>
          <t>의결권대리행사권유참고서류 (정정: 20260310) (정정: 20260310)</t>
        </is>
      </c>
      <c r="F1881" s="3" t="inlineStr">
        <is>
          <t>하이스틸</t>
        </is>
      </c>
      <c r="G1881" s="2" t="inlineStr">
        <is>
          <t>20260310002892</t>
        </is>
      </c>
      <c r="H1881" s="8">
        <f>HYPERLINK("https://dart.fss.or.kr/dsaf001/main.do?rcpNo=20260310002892", "공시열람")</f>
        <v/>
      </c>
    </row>
    <row r="1882">
      <c r="A1882" s="2" t="inlineStr">
        <is>
          <t>2026-03-03</t>
        </is>
      </c>
      <c r="B1882" s="3" t="inlineStr">
        <is>
          <t>드림씨아이에스</t>
        </is>
      </c>
      <c r="C1882" s="2" t="inlineStr">
        <is>
          <t>코스닥</t>
        </is>
      </c>
      <c r="D1882" s="2" t="inlineStr">
        <is>
          <t>223250</t>
        </is>
      </c>
      <c r="E1882" s="3" t="inlineStr">
        <is>
          <t xml:space="preserve">기업설명회(IR)개최              </t>
        </is>
      </c>
      <c r="F1882" s="3" t="inlineStr">
        <is>
          <t>드림씨아이에스</t>
        </is>
      </c>
      <c r="G1882" s="2" t="inlineStr">
        <is>
          <t>20260303900999</t>
        </is>
      </c>
      <c r="H1882" s="8">
        <f>HYPERLINK("https://dart.fss.or.kr/dsaf001/main.do?rcpNo=20260303900999", "공시열람")</f>
        <v/>
      </c>
    </row>
    <row r="1883">
      <c r="A1883" s="2" t="inlineStr">
        <is>
          <t>2026-03-03 (정정: 2026-03-05)</t>
        </is>
      </c>
      <c r="B1883" s="3" t="inlineStr">
        <is>
          <t>디와이디</t>
        </is>
      </c>
      <c r="C1883" s="2" t="inlineStr">
        <is>
          <t>코스닥</t>
        </is>
      </c>
      <c r="D1883" s="2" t="inlineStr">
        <is>
          <t>219550</t>
        </is>
      </c>
      <c r="E1883" s="3" t="inlineStr">
        <is>
          <t>전환가액의조정              (제7회차) (정정: 20260305)</t>
        </is>
      </c>
      <c r="F1883" s="3" t="inlineStr">
        <is>
          <t>디와이디</t>
        </is>
      </c>
      <c r="G1883" s="2" t="inlineStr">
        <is>
          <t>20260305901571</t>
        </is>
      </c>
      <c r="H1883" s="8">
        <f>HYPERLINK("https://dart.fss.or.kr/dsaf001/main.do?rcpNo=20260305901571", "공시열람")</f>
        <v/>
      </c>
    </row>
    <row r="1884">
      <c r="A1884" s="2" t="inlineStr">
        <is>
          <t>2026-03-03</t>
        </is>
      </c>
      <c r="B1884" s="3" t="inlineStr">
        <is>
          <t>APS이노베이션</t>
        </is>
      </c>
      <c r="C1884" s="2" t="inlineStr">
        <is>
          <t>코스닥</t>
        </is>
      </c>
      <c r="D1884" s="2" t="inlineStr">
        <is>
          <t>079810</t>
        </is>
      </c>
      <c r="E1884" s="3" t="inlineStr">
        <is>
          <t xml:space="preserve">매출액또는손익구조30%(대규모법인은15%)이상변동              </t>
        </is>
      </c>
      <c r="F1884" s="3" t="inlineStr">
        <is>
          <t>APS이노베이션</t>
        </is>
      </c>
      <c r="G1884" s="2" t="inlineStr">
        <is>
          <t>20260303900881</t>
        </is>
      </c>
      <c r="H1884" s="8">
        <f>HYPERLINK("https://dart.fss.or.kr/dsaf001/main.do?rcpNo=20260303900881", "공시열람")</f>
        <v/>
      </c>
    </row>
    <row r="1885">
      <c r="A1885" s="2" t="inlineStr">
        <is>
          <t>2026-03-03</t>
        </is>
      </c>
      <c r="B1885" s="3" t="inlineStr">
        <is>
          <t>빌리언스</t>
        </is>
      </c>
      <c r="C1885" s="2" t="inlineStr">
        <is>
          <t>코스닥</t>
        </is>
      </c>
      <c r="D1885" s="2" t="inlineStr">
        <is>
          <t>044480</t>
        </is>
      </c>
      <c r="E1885" s="3" t="inlineStr">
        <is>
          <t xml:space="preserve">전환가액의조정              </t>
        </is>
      </c>
      <c r="F1885" s="3" t="inlineStr">
        <is>
          <t>빌리언스</t>
        </is>
      </c>
      <c r="G1885" s="2" t="inlineStr">
        <is>
          <t>20260303900981</t>
        </is>
      </c>
      <c r="H1885" s="8">
        <f>HYPERLINK("https://dart.fss.or.kr/dsaf001/main.do?rcpNo=20260303900981", "공시열람")</f>
        <v/>
      </c>
    </row>
    <row r="1886">
      <c r="A1886" s="2" t="inlineStr">
        <is>
          <t>2026-03-03</t>
        </is>
      </c>
      <c r="B1886" s="3" t="inlineStr">
        <is>
          <t>미래에셋벤처투자</t>
        </is>
      </c>
      <c r="C1886" s="2" t="inlineStr">
        <is>
          <t>코스닥</t>
        </is>
      </c>
      <c r="D1886" s="2" t="inlineStr">
        <is>
          <t>100790</t>
        </is>
      </c>
      <c r="E1886" s="3" t="inlineStr">
        <is>
          <t>대규모기업집단현황공시[분기별공시(개별회사용)]</t>
        </is>
      </c>
      <c r="F1886" s="3" t="inlineStr">
        <is>
          <t>미래에셋벤처투자</t>
        </is>
      </c>
      <c r="G1886" s="2" t="inlineStr">
        <is>
          <t>20260303002653</t>
        </is>
      </c>
      <c r="H1886" s="8">
        <f>HYPERLINK("https://dart.fss.or.kr/dsaf001/main.do?rcpNo=20260303002653", "공시열람")</f>
        <v/>
      </c>
    </row>
    <row r="1887">
      <c r="A1887" s="2" t="inlineStr">
        <is>
          <t>2026-03-03</t>
        </is>
      </c>
      <c r="B1887" s="3" t="inlineStr">
        <is>
          <t>에스원</t>
        </is>
      </c>
      <c r="C1887" s="2" t="inlineStr">
        <is>
          <t>코스피</t>
        </is>
      </c>
      <c r="D1887" s="2" t="inlineStr">
        <is>
          <t>012750</t>
        </is>
      </c>
      <c r="E1887" s="3" t="inlineStr">
        <is>
          <t>대규모기업집단현황공시[분기별공시(개별회사용)]</t>
        </is>
      </c>
      <c r="F1887" s="3" t="inlineStr">
        <is>
          <t>에스원</t>
        </is>
      </c>
      <c r="G1887" s="2" t="inlineStr">
        <is>
          <t>20260303002652</t>
        </is>
      </c>
      <c r="H1887" s="8">
        <f>HYPERLINK("https://dart.fss.or.kr/dsaf001/main.do?rcpNo=20260303002652", "공시열람")</f>
        <v/>
      </c>
    </row>
    <row r="1888">
      <c r="A1888" s="2" t="inlineStr">
        <is>
          <t>2026-03-03</t>
        </is>
      </c>
      <c r="B1888" s="3" t="inlineStr">
        <is>
          <t>코나아이</t>
        </is>
      </c>
      <c r="C1888" s="2" t="inlineStr">
        <is>
          <t>코스닥</t>
        </is>
      </c>
      <c r="D1888" s="2" t="inlineStr">
        <is>
          <t>052400</t>
        </is>
      </c>
      <c r="E1888" s="3" t="inlineStr">
        <is>
          <t>수시공시의무관련사항(공정공시)              (주주가치 제고를 위한 주주환원 정책 안내)</t>
        </is>
      </c>
      <c r="F1888" s="3" t="inlineStr">
        <is>
          <t>코나아이</t>
        </is>
      </c>
      <c r="G1888" s="2" t="inlineStr">
        <is>
          <t>20260303900848</t>
        </is>
      </c>
      <c r="H1888" s="8">
        <f>HYPERLINK("https://dart.fss.or.kr/dsaf001/main.do?rcpNo=20260303900848", "공시열람")</f>
        <v/>
      </c>
    </row>
    <row r="1889">
      <c r="A1889" s="2" t="inlineStr">
        <is>
          <t>2026-03-03</t>
        </is>
      </c>
      <c r="B1889" s="3" t="inlineStr">
        <is>
          <t>NH투자증권</t>
        </is>
      </c>
      <c r="C1889" s="2" t="inlineStr">
        <is>
          <t>코스피</t>
        </is>
      </c>
      <c r="D1889" s="2" t="inlineStr">
        <is>
          <t>005940</t>
        </is>
      </c>
      <c r="E1889" s="3" t="inlineStr">
        <is>
          <t>증권발행실적보고서</t>
        </is>
      </c>
      <c r="F1889" s="3" t="inlineStr">
        <is>
          <t>NH투자증권</t>
        </is>
      </c>
      <c r="G1889" s="2" t="inlineStr">
        <is>
          <t>20260303002615</t>
        </is>
      </c>
      <c r="H1889" s="8">
        <f>HYPERLINK("https://dart.fss.or.kr/dsaf001/main.do?rcpNo=20260303002615", "공시열람")</f>
        <v/>
      </c>
    </row>
    <row r="1890">
      <c r="A1890" s="2" t="inlineStr">
        <is>
          <t>2026-03-03</t>
        </is>
      </c>
      <c r="B1890" s="3" t="inlineStr">
        <is>
          <t>삼성증권</t>
        </is>
      </c>
      <c r="C1890" s="2" t="inlineStr">
        <is>
          <t>코스피</t>
        </is>
      </c>
      <c r="D1890" s="2" t="inlineStr">
        <is>
          <t>016360</t>
        </is>
      </c>
      <c r="E1890" s="3" t="inlineStr">
        <is>
          <t>증권발행실적보고서</t>
        </is>
      </c>
      <c r="F1890" s="3" t="inlineStr">
        <is>
          <t>삼성증권</t>
        </is>
      </c>
      <c r="G1890" s="2" t="inlineStr">
        <is>
          <t>20260303002611</t>
        </is>
      </c>
      <c r="H1890" s="8">
        <f>HYPERLINK("https://dart.fss.or.kr/dsaf001/main.do?rcpNo=20260303002611", "공시열람")</f>
        <v/>
      </c>
    </row>
    <row r="1891">
      <c r="A1891" s="2" t="inlineStr">
        <is>
          <t>2026-03-03</t>
        </is>
      </c>
      <c r="B1891" s="3" t="inlineStr">
        <is>
          <t>아이티센글로벌</t>
        </is>
      </c>
      <c r="C1891" s="2" t="inlineStr">
        <is>
          <t>코스닥</t>
        </is>
      </c>
      <c r="D1891" s="2" t="inlineStr">
        <is>
          <t>124500</t>
        </is>
      </c>
      <c r="E1891" s="3" t="inlineStr">
        <is>
          <t xml:space="preserve">매출액또는손익구조30%(대규모법인은15%)이상변동              </t>
        </is>
      </c>
      <c r="F1891" s="3" t="inlineStr">
        <is>
          <t>아이티센글로벌</t>
        </is>
      </c>
      <c r="G1891" s="2" t="inlineStr">
        <is>
          <t>20260303900868</t>
        </is>
      </c>
      <c r="H1891" s="8">
        <f>HYPERLINK("https://dart.fss.or.kr/dsaf001/main.do?rcpNo=20260303900868", "공시열람")</f>
        <v/>
      </c>
    </row>
    <row r="1892">
      <c r="A1892" s="2" t="inlineStr">
        <is>
          <t>2026-03-03</t>
        </is>
      </c>
      <c r="B1892" s="3" t="inlineStr">
        <is>
          <t>기아</t>
        </is>
      </c>
      <c r="C1892" s="2" t="inlineStr">
        <is>
          <t>코스피</t>
        </is>
      </c>
      <c r="D1892" s="2" t="inlineStr">
        <is>
          <t>000270</t>
        </is>
      </c>
      <c r="E1892" s="3" t="inlineStr">
        <is>
          <t xml:space="preserve">영업(잠정)실적(공정공시)              </t>
        </is>
      </c>
      <c r="F1892" s="3" t="inlineStr">
        <is>
          <t>기아</t>
        </is>
      </c>
      <c r="G1892" s="2" t="inlineStr">
        <is>
          <t>20260303800922</t>
        </is>
      </c>
      <c r="H1892" s="8">
        <f>HYPERLINK("https://dart.fss.or.kr/dsaf001/main.do?rcpNo=20260303800922", "공시열람")</f>
        <v/>
      </c>
    </row>
    <row r="1893">
      <c r="A1893" s="2" t="inlineStr">
        <is>
          <t>2026-03-03</t>
        </is>
      </c>
      <c r="B1893" s="3" t="inlineStr">
        <is>
          <t>삼성전자</t>
        </is>
      </c>
      <c r="C1893" s="2" t="inlineStr">
        <is>
          <t>코스피</t>
        </is>
      </c>
      <c r="D1893" s="2" t="inlineStr">
        <is>
          <t>005930</t>
        </is>
      </c>
      <c r="E1893" s="3" t="inlineStr">
        <is>
          <t>임원ㆍ주요주주특정증권등소유상황보고서</t>
        </is>
      </c>
      <c r="F1893" s="3" t="inlineStr">
        <is>
          <t>정성원</t>
        </is>
      </c>
      <c r="G1893" s="2" t="inlineStr">
        <is>
          <t>20260303002585</t>
        </is>
      </c>
      <c r="H1893" s="8">
        <f>HYPERLINK("https://dart.fss.or.kr/dsaf001/main.do?rcpNo=20260303002585", "공시열람")</f>
        <v/>
      </c>
    </row>
    <row r="1894">
      <c r="A1894" s="2" t="inlineStr">
        <is>
          <t>2026-03-03 (정정: 2026-03-10)</t>
        </is>
      </c>
      <c r="B1894" s="3" t="inlineStr">
        <is>
          <t>한국토지신탁</t>
        </is>
      </c>
      <c r="C1894" s="2" t="inlineStr">
        <is>
          <t>코스피</t>
        </is>
      </c>
      <c r="D1894" s="2" t="inlineStr">
        <is>
          <t>034830</t>
        </is>
      </c>
      <c r="E1894" s="3" t="inlineStr">
        <is>
          <t>기업설명회(IR)개최(안내공시)               (정정: 20260310)</t>
        </is>
      </c>
      <c r="F1894" s="3" t="inlineStr">
        <is>
          <t>한국토지신탁</t>
        </is>
      </c>
      <c r="G1894" s="2" t="inlineStr">
        <is>
          <t>20260310801911</t>
        </is>
      </c>
      <c r="H1894" s="8">
        <f>HYPERLINK("https://dart.fss.or.kr/dsaf001/main.do?rcpNo=20260310801911", "공시열람")</f>
        <v/>
      </c>
    </row>
    <row r="1895">
      <c r="A1895" s="2" t="inlineStr">
        <is>
          <t>2026-03-03</t>
        </is>
      </c>
      <c r="B1895" s="3" t="inlineStr">
        <is>
          <t>SGC에너지</t>
        </is>
      </c>
      <c r="C1895" s="2" t="inlineStr">
        <is>
          <t>코스피</t>
        </is>
      </c>
      <c r="D1895" s="2" t="inlineStr">
        <is>
          <t>005090</t>
        </is>
      </c>
      <c r="E1895" s="3" t="inlineStr">
        <is>
          <t xml:space="preserve">현금ㆍ현물배당결정              </t>
        </is>
      </c>
      <c r="F1895" s="3" t="inlineStr">
        <is>
          <t>SGC에너지</t>
        </is>
      </c>
      <c r="G1895" s="2" t="inlineStr">
        <is>
          <t>20260303800873</t>
        </is>
      </c>
      <c r="H1895" s="8">
        <f>HYPERLINK("https://dart.fss.or.kr/dsaf001/main.do?rcpNo=20260303800873", "공시열람")</f>
        <v/>
      </c>
    </row>
    <row r="1896">
      <c r="A1896" s="2" t="inlineStr">
        <is>
          <t>2026-03-03</t>
        </is>
      </c>
      <c r="B1896" s="3" t="inlineStr">
        <is>
          <t>하이트진로</t>
        </is>
      </c>
      <c r="C1896" s="2" t="inlineStr">
        <is>
          <t>코스피</t>
        </is>
      </c>
      <c r="D1896" s="2" t="inlineStr">
        <is>
          <t>000080</t>
        </is>
      </c>
      <c r="E1896" s="3" t="inlineStr">
        <is>
          <t>증권발행실적보고서</t>
        </is>
      </c>
      <c r="F1896" s="3" t="inlineStr">
        <is>
          <t>하이트진로</t>
        </is>
      </c>
      <c r="G1896" s="2" t="inlineStr">
        <is>
          <t>20260303002574</t>
        </is>
      </c>
      <c r="H1896" s="8">
        <f>HYPERLINK("https://dart.fss.or.kr/dsaf001/main.do?rcpNo=20260303002574", "공시열람")</f>
        <v/>
      </c>
    </row>
    <row r="1897">
      <c r="A1897" s="2" t="inlineStr">
        <is>
          <t>2026-03-03</t>
        </is>
      </c>
      <c r="B1897" s="3" t="inlineStr">
        <is>
          <t>비나텍</t>
        </is>
      </c>
      <c r="C1897" s="2" t="inlineStr">
        <is>
          <t>코스닥</t>
        </is>
      </c>
      <c r="D1897" s="2" t="inlineStr">
        <is>
          <t>126340</t>
        </is>
      </c>
      <c r="E1897" s="3" t="inlineStr">
        <is>
          <t>임원ㆍ주요주주특정증권등소유상황보고서</t>
        </is>
      </c>
      <c r="F1897" s="3" t="inlineStr">
        <is>
          <t>국민연금공단</t>
        </is>
      </c>
      <c r="G1897" s="2" t="inlineStr">
        <is>
          <t>20260303002567</t>
        </is>
      </c>
      <c r="H1897" s="8">
        <f>HYPERLINK("https://dart.fss.or.kr/dsaf001/main.do?rcpNo=20260303002567", "공시열람")</f>
        <v/>
      </c>
    </row>
    <row r="1898">
      <c r="A1898" s="2" t="inlineStr">
        <is>
          <t>2026-03-03</t>
        </is>
      </c>
      <c r="B1898" s="3" t="inlineStr">
        <is>
          <t>비나텍</t>
        </is>
      </c>
      <c r="C1898" s="2" t="inlineStr">
        <is>
          <t>코스닥</t>
        </is>
      </c>
      <c r="D1898" s="2" t="inlineStr">
        <is>
          <t>126340</t>
        </is>
      </c>
      <c r="E1898" s="3" t="inlineStr">
        <is>
          <t>임원ㆍ주요주주특정증권등소유상황보고서</t>
        </is>
      </c>
      <c r="F1898" s="3" t="inlineStr">
        <is>
          <t>국민연금공단</t>
        </is>
      </c>
      <c r="G1898" s="2" t="inlineStr">
        <is>
          <t>20260303002559</t>
        </is>
      </c>
      <c r="H1898" s="8">
        <f>HYPERLINK("https://dart.fss.or.kr/dsaf001/main.do?rcpNo=20260303002559", "공시열람")</f>
        <v/>
      </c>
    </row>
    <row r="1899">
      <c r="A1899" s="2" t="inlineStr">
        <is>
          <t>2026-03-03</t>
        </is>
      </c>
      <c r="B1899" s="3" t="inlineStr">
        <is>
          <t>삼성화재해상보험</t>
        </is>
      </c>
      <c r="C1899" s="2" t="inlineStr">
        <is>
          <t>코스피</t>
        </is>
      </c>
      <c r="D1899" s="2" t="inlineStr">
        <is>
          <t>000810</t>
        </is>
      </c>
      <c r="E1899" s="3" t="inlineStr">
        <is>
          <t>대규모기업집단현황공시[분기별공시(개별회사용)]</t>
        </is>
      </c>
      <c r="F1899" s="3" t="inlineStr">
        <is>
          <t>삼성화재해상보험</t>
        </is>
      </c>
      <c r="G1899" s="2" t="inlineStr">
        <is>
          <t>20260303002551</t>
        </is>
      </c>
      <c r="H1899" s="8">
        <f>HYPERLINK("https://dart.fss.or.kr/dsaf001/main.do?rcpNo=20260303002551", "공시열람")</f>
        <v/>
      </c>
    </row>
    <row r="1900">
      <c r="A1900" s="2" t="inlineStr">
        <is>
          <t>2026-03-03</t>
        </is>
      </c>
      <c r="B1900" s="3" t="inlineStr">
        <is>
          <t>한미약품</t>
        </is>
      </c>
      <c r="C1900" s="2" t="inlineStr">
        <is>
          <t>코스피</t>
        </is>
      </c>
      <c r="D1900" s="2" t="inlineStr">
        <is>
          <t>128940</t>
        </is>
      </c>
      <c r="E1900" s="3" t="inlineStr">
        <is>
          <t>임원ㆍ주요주주특정증권등소유상황보고서</t>
        </is>
      </c>
      <c r="F1900" s="3" t="inlineStr">
        <is>
          <t>국민연금공단</t>
        </is>
      </c>
      <c r="G1900" s="2" t="inlineStr">
        <is>
          <t>20260303002547</t>
        </is>
      </c>
      <c r="H1900" s="8">
        <f>HYPERLINK("https://dart.fss.or.kr/dsaf001/main.do?rcpNo=20260303002547", "공시열람")</f>
        <v/>
      </c>
    </row>
    <row r="1901">
      <c r="A1901" s="2" t="inlineStr">
        <is>
          <t>2026-03-03</t>
        </is>
      </c>
      <c r="B1901" s="3" t="inlineStr">
        <is>
          <t>NH투자증권</t>
        </is>
      </c>
      <c r="C1901" s="2" t="inlineStr">
        <is>
          <t>코스피</t>
        </is>
      </c>
      <c r="D1901" s="2" t="inlineStr">
        <is>
          <t>005940</t>
        </is>
      </c>
      <c r="E1901" s="3" t="inlineStr">
        <is>
          <t>투자설명서(일괄신고)</t>
        </is>
      </c>
      <c r="F1901" s="3" t="inlineStr">
        <is>
          <t>NH투자증권</t>
        </is>
      </c>
      <c r="G1901" s="2" t="inlineStr">
        <is>
          <t>20260303002544</t>
        </is>
      </c>
      <c r="H1901" s="8">
        <f>HYPERLINK("https://dart.fss.or.kr/dsaf001/main.do?rcpNo=20260303002544", "공시열람")</f>
        <v/>
      </c>
    </row>
    <row r="1902">
      <c r="A1902" s="2" t="inlineStr">
        <is>
          <t>2026-03-03</t>
        </is>
      </c>
      <c r="B1902" s="3" t="inlineStr">
        <is>
          <t>씨앤지하이테크</t>
        </is>
      </c>
      <c r="C1902" s="2" t="inlineStr">
        <is>
          <t>코스닥</t>
        </is>
      </c>
      <c r="D1902" s="2" t="inlineStr">
        <is>
          <t>264660</t>
        </is>
      </c>
      <c r="E1902" s="3" t="inlineStr">
        <is>
          <t>임원ㆍ주요주주특정증권등소유상황보고서</t>
        </is>
      </c>
      <c r="F1902" s="3" t="inlineStr">
        <is>
          <t>고석근</t>
        </is>
      </c>
      <c r="G1902" s="2" t="inlineStr">
        <is>
          <t>20260303002542</t>
        </is>
      </c>
      <c r="H1902" s="8">
        <f>HYPERLINK("https://dart.fss.or.kr/dsaf001/main.do?rcpNo=20260303002542", "공시열람")</f>
        <v/>
      </c>
    </row>
    <row r="1903">
      <c r="A1903" s="2" t="inlineStr">
        <is>
          <t>2026-03-03</t>
        </is>
      </c>
      <c r="B1903" s="3" t="inlineStr">
        <is>
          <t>진원생명과학</t>
        </is>
      </c>
      <c r="C1903" s="2" t="inlineStr">
        <is>
          <t>코스피</t>
        </is>
      </c>
      <c r="D1903" s="2" t="inlineStr">
        <is>
          <t>011000</t>
        </is>
      </c>
      <c r="E1903" s="3" t="inlineStr">
        <is>
          <t xml:space="preserve">매출액또는손익구조30%(대규모법인은15%)이상변경              </t>
        </is>
      </c>
      <c r="F1903" s="3" t="inlineStr">
        <is>
          <t>진원생명과학</t>
        </is>
      </c>
      <c r="G1903" s="2" t="inlineStr">
        <is>
          <t>20260303800847</t>
        </is>
      </c>
      <c r="H1903" s="8">
        <f>HYPERLINK("https://dart.fss.or.kr/dsaf001/main.do?rcpNo=20260303800847", "공시열람")</f>
        <v/>
      </c>
    </row>
    <row r="1904">
      <c r="A1904" s="2" t="inlineStr">
        <is>
          <t>2026-03-03</t>
        </is>
      </c>
      <c r="B1904" s="3" t="inlineStr">
        <is>
          <t>한솔케미칼</t>
        </is>
      </c>
      <c r="C1904" s="2" t="inlineStr">
        <is>
          <t>코스피</t>
        </is>
      </c>
      <c r="D1904" s="2" t="inlineStr">
        <is>
          <t>014680</t>
        </is>
      </c>
      <c r="E1904" s="3" t="inlineStr">
        <is>
          <t>임원ㆍ주요주주특정증권등소유상황보고서</t>
        </is>
      </c>
      <c r="F1904" s="3" t="inlineStr">
        <is>
          <t>국민연금공단</t>
        </is>
      </c>
      <c r="G1904" s="2" t="inlineStr">
        <is>
          <t>20260303002539</t>
        </is>
      </c>
      <c r="H1904" s="8">
        <f>HYPERLINK("https://dart.fss.or.kr/dsaf001/main.do?rcpNo=20260303002539", "공시열람")</f>
        <v/>
      </c>
    </row>
    <row r="1905">
      <c r="A1905" s="2" t="inlineStr">
        <is>
          <t>2026-03-03</t>
        </is>
      </c>
      <c r="B1905" s="3" t="inlineStr">
        <is>
          <t>미래에셋생명</t>
        </is>
      </c>
      <c r="C1905" s="2" t="inlineStr">
        <is>
          <t>코스피</t>
        </is>
      </c>
      <c r="D1905" s="2" t="inlineStr">
        <is>
          <t>085620</t>
        </is>
      </c>
      <c r="E1905" s="3" t="inlineStr">
        <is>
          <t>대규모기업집단현황공시[분기별공시(개별회사용)]</t>
        </is>
      </c>
      <c r="F1905" s="3" t="inlineStr">
        <is>
          <t>미래에셋생명</t>
        </is>
      </c>
      <c r="G1905" s="2" t="inlineStr">
        <is>
          <t>20260303002535</t>
        </is>
      </c>
      <c r="H1905" s="8">
        <f>HYPERLINK("https://dart.fss.or.kr/dsaf001/main.do?rcpNo=20260303002535", "공시열람")</f>
        <v/>
      </c>
    </row>
    <row r="1906">
      <c r="A1906" s="2" t="inlineStr">
        <is>
          <t>2026-03-03 (정정: 2026-03-04)</t>
        </is>
      </c>
      <c r="B1906" s="3" t="inlineStr">
        <is>
          <t>뷰노</t>
        </is>
      </c>
      <c r="C1906" s="2" t="inlineStr">
        <is>
          <t>코스닥</t>
        </is>
      </c>
      <c r="D1906" s="2" t="inlineStr">
        <is>
          <t>338220</t>
        </is>
      </c>
      <c r="E1906" s="3" t="inlineStr">
        <is>
          <t>의결권대리행사권유참고서류 (정정: 20260304)</t>
        </is>
      </c>
      <c r="F1906" s="3" t="inlineStr">
        <is>
          <t>뷰노</t>
        </is>
      </c>
      <c r="G1906" s="2" t="inlineStr">
        <is>
          <t>20260304001630</t>
        </is>
      </c>
      <c r="H1906" s="8">
        <f>HYPERLINK("https://dart.fss.or.kr/dsaf001/main.do?rcpNo=20260304001630", "공시열람")</f>
        <v/>
      </c>
    </row>
    <row r="1907">
      <c r="A1907" s="2" t="inlineStr">
        <is>
          <t>2026-03-03</t>
        </is>
      </c>
      <c r="B1907" s="3" t="inlineStr">
        <is>
          <t>CJ대한통운</t>
        </is>
      </c>
      <c r="C1907" s="2" t="inlineStr">
        <is>
          <t>코스피</t>
        </is>
      </c>
      <c r="D1907" s="2" t="inlineStr">
        <is>
          <t>000120</t>
        </is>
      </c>
      <c r="E1907" s="3" t="inlineStr">
        <is>
          <t>임원ㆍ주요주주특정증권등소유상황보고서</t>
        </is>
      </c>
      <c r="F1907" s="3" t="inlineStr">
        <is>
          <t>국민연금공단</t>
        </is>
      </c>
      <c r="G1907" s="2" t="inlineStr">
        <is>
          <t>20260303002529</t>
        </is>
      </c>
      <c r="H1907" s="8">
        <f>HYPERLINK("https://dart.fss.or.kr/dsaf001/main.do?rcpNo=20260303002529", "공시열람")</f>
        <v/>
      </c>
    </row>
    <row r="1908">
      <c r="A1908" s="2" t="inlineStr">
        <is>
          <t>2026-03-03</t>
        </is>
      </c>
      <c r="B1908" s="3" t="inlineStr">
        <is>
          <t>키움증권</t>
        </is>
      </c>
      <c r="C1908" s="2" t="inlineStr">
        <is>
          <t>코스피</t>
        </is>
      </c>
      <c r="D1908" s="2" t="inlineStr">
        <is>
          <t>039490</t>
        </is>
      </c>
      <c r="E1908" s="3" t="inlineStr">
        <is>
          <t>증권발행실적보고서</t>
        </is>
      </c>
      <c r="F1908" s="3" t="inlineStr">
        <is>
          <t>키움증권</t>
        </is>
      </c>
      <c r="G1908" s="2" t="inlineStr">
        <is>
          <t>20260303002524</t>
        </is>
      </c>
      <c r="H1908" s="8">
        <f>HYPERLINK("https://dart.fss.or.kr/dsaf001/main.do?rcpNo=20260303002524", "공시열람")</f>
        <v/>
      </c>
    </row>
    <row r="1909">
      <c r="A1909" s="2" t="inlineStr">
        <is>
          <t>2026-03-03</t>
        </is>
      </c>
      <c r="B1909" s="3" t="inlineStr">
        <is>
          <t>삼성화재해상보험</t>
        </is>
      </c>
      <c r="C1909" s="2" t="inlineStr">
        <is>
          <t>코스피</t>
        </is>
      </c>
      <c r="D1909" s="2" t="inlineStr">
        <is>
          <t>000810</t>
        </is>
      </c>
      <c r="E1909" s="3" t="inlineStr">
        <is>
          <t>[기재정정]의결권대리행사권유참고서류</t>
        </is>
      </c>
      <c r="F1909" s="3" t="inlineStr">
        <is>
          <t>삼성화재해상보험</t>
        </is>
      </c>
      <c r="G1909" s="2" t="inlineStr">
        <is>
          <t>20260303002520</t>
        </is>
      </c>
      <c r="H1909" s="8">
        <f>HYPERLINK("https://dart.fss.or.kr/dsaf001/main.do?rcpNo=20260303002520", "공시열람")</f>
        <v/>
      </c>
    </row>
    <row r="1910">
      <c r="A1910" s="2" t="inlineStr">
        <is>
          <t>2026-03-03 (정정: 2026-03-03)</t>
        </is>
      </c>
      <c r="B1910" s="3" t="inlineStr">
        <is>
          <t>대화제약</t>
        </is>
      </c>
      <c r="C1910" s="2" t="inlineStr">
        <is>
          <t>코스닥</t>
        </is>
      </c>
      <c r="D1910" s="2" t="inlineStr">
        <is>
          <t>067080</t>
        </is>
      </c>
      <c r="E1910" s="3" t="inlineStr">
        <is>
          <t>자기주식처분결과보고서 (정정: 20260303)</t>
        </is>
      </c>
      <c r="F1910" s="3" t="inlineStr">
        <is>
          <t>대화제약</t>
        </is>
      </c>
      <c r="G1910" s="2" t="inlineStr">
        <is>
          <t>20260303900823</t>
        </is>
      </c>
      <c r="H1910" s="8">
        <f>HYPERLINK("https://dart.fss.or.kr/dsaf001/main.do?rcpNo=20260303900823", "공시열람")</f>
        <v/>
      </c>
    </row>
    <row r="1911">
      <c r="A1911" s="2" t="inlineStr">
        <is>
          <t>2026-03-03</t>
        </is>
      </c>
      <c r="B1911" s="3" t="inlineStr">
        <is>
          <t>SNT다이내믹스</t>
        </is>
      </c>
      <c r="C1911" s="2" t="inlineStr">
        <is>
          <t>코스피</t>
        </is>
      </c>
      <c r="D1911" s="2" t="inlineStr">
        <is>
          <t>003570</t>
        </is>
      </c>
      <c r="E1911" s="3" t="inlineStr">
        <is>
          <t xml:space="preserve">기업가치제고계획(자율공시)              </t>
        </is>
      </c>
      <c r="F1911" s="3" t="inlineStr">
        <is>
          <t>SNT다이내믹스</t>
        </is>
      </c>
      <c r="G1911" s="2" t="inlineStr">
        <is>
          <t>20260303800845</t>
        </is>
      </c>
      <c r="H1911" s="8">
        <f>HYPERLINK("https://dart.fss.or.kr/dsaf001/main.do?rcpNo=20260303800845", "공시열람")</f>
        <v/>
      </c>
    </row>
    <row r="1912">
      <c r="A1912" s="2" t="inlineStr">
        <is>
          <t>2026-03-03</t>
        </is>
      </c>
      <c r="B1912" s="3" t="inlineStr">
        <is>
          <t>웹젠</t>
        </is>
      </c>
      <c r="C1912" s="2" t="inlineStr">
        <is>
          <t>코스닥</t>
        </is>
      </c>
      <c r="D1912" s="2" t="inlineStr">
        <is>
          <t>069080</t>
        </is>
      </c>
      <c r="E1912" s="3" t="inlineStr">
        <is>
          <t>의결권대리행사권유참고서류</t>
        </is>
      </c>
      <c r="F1912" s="3" t="inlineStr">
        <is>
          <t>웹젠</t>
        </is>
      </c>
      <c r="G1912" s="2" t="inlineStr">
        <is>
          <t>20260303002507</t>
        </is>
      </c>
      <c r="H1912" s="8">
        <f>HYPERLINK("https://dart.fss.or.kr/dsaf001/main.do?rcpNo=20260303002507", "공시열람")</f>
        <v/>
      </c>
    </row>
    <row r="1913">
      <c r="A1913" s="2" t="inlineStr">
        <is>
          <t>2026-03-03</t>
        </is>
      </c>
      <c r="B1913" s="3" t="inlineStr">
        <is>
          <t>키움증권</t>
        </is>
      </c>
      <c r="C1913" s="2" t="inlineStr">
        <is>
          <t>코스피</t>
        </is>
      </c>
      <c r="D1913" s="2" t="inlineStr">
        <is>
          <t>039490</t>
        </is>
      </c>
      <c r="E1913" s="3" t="inlineStr">
        <is>
          <t>증권발행실적보고서</t>
        </is>
      </c>
      <c r="F1913" s="3" t="inlineStr">
        <is>
          <t>키움증권</t>
        </is>
      </c>
      <c r="G1913" s="2" t="inlineStr">
        <is>
          <t>20260303002506</t>
        </is>
      </c>
      <c r="H1913" s="8">
        <f>HYPERLINK("https://dart.fss.or.kr/dsaf001/main.do?rcpNo=20260303002506", "공시열람")</f>
        <v/>
      </c>
    </row>
    <row r="1914">
      <c r="A1914" s="2" t="inlineStr">
        <is>
          <t>2026-03-03</t>
        </is>
      </c>
      <c r="B1914" s="3" t="inlineStr">
        <is>
          <t>우리금융지주</t>
        </is>
      </c>
      <c r="C1914" s="2" t="inlineStr">
        <is>
          <t>코스피</t>
        </is>
      </c>
      <c r="D1914" s="2" t="inlineStr">
        <is>
          <t>316140</t>
        </is>
      </c>
      <c r="E1914" s="3" t="inlineStr">
        <is>
          <t xml:space="preserve">기업설명회(IR)개최(안내공시)              </t>
        </is>
      </c>
      <c r="F1914" s="3" t="inlineStr">
        <is>
          <t>우리금융지주</t>
        </is>
      </c>
      <c r="G1914" s="2" t="inlineStr">
        <is>
          <t>20260303800836</t>
        </is>
      </c>
      <c r="H1914" s="8">
        <f>HYPERLINK("https://dart.fss.or.kr/dsaf001/main.do?rcpNo=20260303800836", "공시열람")</f>
        <v/>
      </c>
    </row>
    <row r="1915">
      <c r="A1915" s="2" t="inlineStr">
        <is>
          <t>2026-03-03</t>
        </is>
      </c>
      <c r="B1915" s="3" t="inlineStr">
        <is>
          <t>오리콤</t>
        </is>
      </c>
      <c r="C1915" s="2" t="inlineStr">
        <is>
          <t>코스닥</t>
        </is>
      </c>
      <c r="D1915" s="2" t="inlineStr">
        <is>
          <t>010470</t>
        </is>
      </c>
      <c r="E1915" s="3" t="inlineStr">
        <is>
          <t>자기주식처분결과보고서</t>
        </is>
      </c>
      <c r="F1915" s="3" t="inlineStr">
        <is>
          <t>오리콤</t>
        </is>
      </c>
      <c r="G1915" s="2" t="inlineStr">
        <is>
          <t>20260303002504</t>
        </is>
      </c>
      <c r="H1915" s="8">
        <f>HYPERLINK("https://dart.fss.or.kr/dsaf001/main.do?rcpNo=20260303002504", "공시열람")</f>
        <v/>
      </c>
    </row>
    <row r="1916">
      <c r="A1916" s="2" t="inlineStr">
        <is>
          <t>2026-03-03</t>
        </is>
      </c>
      <c r="B1916" s="3" t="inlineStr">
        <is>
          <t>효성</t>
        </is>
      </c>
      <c r="C1916" s="2" t="inlineStr">
        <is>
          <t>코스피</t>
        </is>
      </c>
      <c r="D1916" s="2" t="inlineStr">
        <is>
          <t>004800</t>
        </is>
      </c>
      <c r="E1916" s="3" t="inlineStr">
        <is>
          <t>[기재정정]대규모기업집단현황공시[분기별공시(대표회사용)]</t>
        </is>
      </c>
      <c r="F1916" s="3" t="inlineStr">
        <is>
          <t>효성</t>
        </is>
      </c>
      <c r="G1916" s="2" t="inlineStr">
        <is>
          <t>20260303002503</t>
        </is>
      </c>
      <c r="H1916" s="8">
        <f>HYPERLINK("https://dart.fss.or.kr/dsaf001/main.do?rcpNo=20260303002503", "공시열람")</f>
        <v/>
      </c>
    </row>
    <row r="1917">
      <c r="A1917" s="2" t="inlineStr">
        <is>
          <t>2026-03-03</t>
        </is>
      </c>
      <c r="B1917" s="3" t="inlineStr">
        <is>
          <t>NH투자증권</t>
        </is>
      </c>
      <c r="C1917" s="2" t="inlineStr">
        <is>
          <t>코스피</t>
        </is>
      </c>
      <c r="D1917" s="2" t="inlineStr">
        <is>
          <t>005940</t>
        </is>
      </c>
      <c r="E1917" s="3" t="inlineStr">
        <is>
          <t>투자설명서(일괄신고)</t>
        </is>
      </c>
      <c r="F1917" s="3" t="inlineStr">
        <is>
          <t>NH투자증권</t>
        </is>
      </c>
      <c r="G1917" s="2" t="inlineStr">
        <is>
          <t>20260303002499</t>
        </is>
      </c>
      <c r="H1917" s="8">
        <f>HYPERLINK("https://dart.fss.or.kr/dsaf001/main.do?rcpNo=20260303002499", "공시열람")</f>
        <v/>
      </c>
    </row>
    <row r="1918">
      <c r="A1918" s="2" t="inlineStr">
        <is>
          <t>2026-03-03</t>
        </is>
      </c>
      <c r="B1918" s="3" t="inlineStr">
        <is>
          <t>키움증권</t>
        </is>
      </c>
      <c r="C1918" s="2" t="inlineStr">
        <is>
          <t>코스피</t>
        </is>
      </c>
      <c r="D1918" s="2" t="inlineStr">
        <is>
          <t>039490</t>
        </is>
      </c>
      <c r="E1918" s="3" t="inlineStr">
        <is>
          <t>증권발행실적보고서</t>
        </is>
      </c>
      <c r="F1918" s="3" t="inlineStr">
        <is>
          <t>키움증권</t>
        </is>
      </c>
      <c r="G1918" s="2" t="inlineStr">
        <is>
          <t>20260303002497</t>
        </is>
      </c>
      <c r="H1918" s="8">
        <f>HYPERLINK("https://dart.fss.or.kr/dsaf001/main.do?rcpNo=20260303002497", "공시열람")</f>
        <v/>
      </c>
    </row>
    <row r="1919">
      <c r="A1919" s="2" t="inlineStr">
        <is>
          <t>2026-03-03 (정정: 2026-03-12)</t>
        </is>
      </c>
      <c r="B1919" s="3" t="inlineStr">
        <is>
          <t>씨씨에스</t>
        </is>
      </c>
      <c r="C1919" s="2" t="inlineStr">
        <is>
          <t>코스닥</t>
        </is>
      </c>
      <c r="D1919" s="2" t="inlineStr">
        <is>
          <t>066790</t>
        </is>
      </c>
      <c r="E1919" s="3" t="inlineStr">
        <is>
          <t>투자판단관련주요경영사항              (소액주주들에 의한 일시 이사의 직무를 행할자의 선임에 관한 재판요청서 신청의 건) (정정: 20260312)</t>
        </is>
      </c>
      <c r="F1919" s="3" t="inlineStr">
        <is>
          <t>씨씨에스</t>
        </is>
      </c>
      <c r="G1919" s="2" t="inlineStr">
        <is>
          <t>20260312900747</t>
        </is>
      </c>
      <c r="H1919" s="8">
        <f>HYPERLINK("https://dart.fss.or.kr/dsaf001/main.do?rcpNo=20260312900747", "공시열람")</f>
        <v/>
      </c>
    </row>
    <row r="1920">
      <c r="A1920" s="2" t="inlineStr">
        <is>
          <t>2026-03-03</t>
        </is>
      </c>
      <c r="B1920" s="3" t="inlineStr">
        <is>
          <t>씨씨에스</t>
        </is>
      </c>
      <c r="C1920" s="2" t="inlineStr">
        <is>
          <t>코스닥</t>
        </is>
      </c>
      <c r="D1920" s="2" t="inlineStr">
        <is>
          <t>066790</t>
        </is>
      </c>
      <c r="E1920" s="3" t="inlineStr">
        <is>
          <t>소송등의판결ㆍ결정              (임시지위 확인 가처분)</t>
        </is>
      </c>
      <c r="F1920" s="3" t="inlineStr">
        <is>
          <t>씨씨에스</t>
        </is>
      </c>
      <c r="G1920" s="2" t="inlineStr">
        <is>
          <t>20260303900788</t>
        </is>
      </c>
      <c r="H1920" s="8">
        <f>HYPERLINK("https://dart.fss.or.kr/dsaf001/main.do?rcpNo=20260303900788", "공시열람")</f>
        <v/>
      </c>
    </row>
    <row r="1921">
      <c r="A1921" s="2" t="inlineStr">
        <is>
          <t>2026-03-03</t>
        </is>
      </c>
      <c r="B1921" s="3" t="inlineStr">
        <is>
          <t>폰드그룹</t>
        </is>
      </c>
      <c r="C1921" s="2" t="inlineStr">
        <is>
          <t>코스닥</t>
        </is>
      </c>
      <c r="D1921" s="2" t="inlineStr">
        <is>
          <t>472850</t>
        </is>
      </c>
      <c r="E1921" s="3" t="inlineStr">
        <is>
          <t>합병등종료보고서(합병)</t>
        </is>
      </c>
      <c r="F1921" s="3" t="inlineStr">
        <is>
          <t>폰드그룹</t>
        </is>
      </c>
      <c r="G1921" s="2" t="inlineStr">
        <is>
          <t>20260303002489</t>
        </is>
      </c>
      <c r="H1921" s="8">
        <f>HYPERLINK("https://dart.fss.or.kr/dsaf001/main.do?rcpNo=20260303002489", "공시열람")</f>
        <v/>
      </c>
    </row>
    <row r="1922">
      <c r="A1922" s="2" t="inlineStr">
        <is>
          <t>2026-03-03</t>
        </is>
      </c>
      <c r="B1922" s="3" t="inlineStr">
        <is>
          <t>남성</t>
        </is>
      </c>
      <c r="C1922" s="2" t="inlineStr">
        <is>
          <t>코스피</t>
        </is>
      </c>
      <c r="D1922" s="2" t="inlineStr">
        <is>
          <t>004270</t>
        </is>
      </c>
      <c r="E1922" s="3" t="inlineStr">
        <is>
          <t xml:space="preserve">주식병합결정              </t>
        </is>
      </c>
      <c r="F1922" s="3" t="inlineStr">
        <is>
          <t>남성</t>
        </is>
      </c>
      <c r="G1922" s="2" t="inlineStr">
        <is>
          <t>20260303800838</t>
        </is>
      </c>
      <c r="H1922" s="8">
        <f>HYPERLINK("https://dart.fss.or.kr/dsaf001/main.do?rcpNo=20260303800838", "공시열람")</f>
        <v/>
      </c>
    </row>
    <row r="1923">
      <c r="A1923" s="2" t="inlineStr">
        <is>
          <t>2026-03-03</t>
        </is>
      </c>
      <c r="B1923" s="3" t="inlineStr">
        <is>
          <t>닷밀</t>
        </is>
      </c>
      <c r="C1923" s="2" t="inlineStr">
        <is>
          <t>코스닥</t>
        </is>
      </c>
      <c r="D1923" s="2" t="inlineStr">
        <is>
          <t>464580</t>
        </is>
      </c>
      <c r="E1923" s="3" t="inlineStr">
        <is>
          <t xml:space="preserve">기업설명회(IR)개최              </t>
        </is>
      </c>
      <c r="F1923" s="3" t="inlineStr">
        <is>
          <t>닷밀</t>
        </is>
      </c>
      <c r="G1923" s="2" t="inlineStr">
        <is>
          <t>20260303900682</t>
        </is>
      </c>
      <c r="H1923" s="8">
        <f>HYPERLINK("https://dart.fss.or.kr/dsaf001/main.do?rcpNo=20260303900682", "공시열람")</f>
        <v/>
      </c>
    </row>
    <row r="1924">
      <c r="A1924" s="2" t="inlineStr">
        <is>
          <t>2026-03-03</t>
        </is>
      </c>
      <c r="B1924" s="3" t="inlineStr">
        <is>
          <t>KC그린홀딩스</t>
        </is>
      </c>
      <c r="C1924" s="2" t="inlineStr">
        <is>
          <t>코스피</t>
        </is>
      </c>
      <c r="D1924" s="2" t="inlineStr">
        <is>
          <t>009440</t>
        </is>
      </c>
      <c r="E1924" s="3" t="inlineStr">
        <is>
          <t xml:space="preserve">매출액또는손익구조30%(대규모법인은15%)이상변경              </t>
        </is>
      </c>
      <c r="F1924" s="3" t="inlineStr">
        <is>
          <t>KC그린홀딩스</t>
        </is>
      </c>
      <c r="G1924" s="2" t="inlineStr">
        <is>
          <t>20260303800785</t>
        </is>
      </c>
      <c r="H1924" s="8">
        <f>HYPERLINK("https://dart.fss.or.kr/dsaf001/main.do?rcpNo=20260303800785", "공시열람")</f>
        <v/>
      </c>
    </row>
    <row r="1925">
      <c r="A1925" s="2" t="inlineStr">
        <is>
          <t>2026-03-03 (정정: 2026-03-06)</t>
        </is>
      </c>
      <c r="B1925" s="3" t="inlineStr">
        <is>
          <t>카카오게임즈</t>
        </is>
      </c>
      <c r="C1925" s="2" t="inlineStr">
        <is>
          <t>코스닥</t>
        </is>
      </c>
      <c r="D1925" s="2" t="inlineStr">
        <is>
          <t>293490</t>
        </is>
      </c>
      <c r="E1925" s="3" t="inlineStr">
        <is>
          <t>대규모기업집단현황공시[분기별공시(개별회사용)] (정정: 20260306)</t>
        </is>
      </c>
      <c r="F1925" s="3" t="inlineStr">
        <is>
          <t>카카오게임즈</t>
        </is>
      </c>
      <c r="G1925" s="2" t="inlineStr">
        <is>
          <t>20260306901612</t>
        </is>
      </c>
      <c r="H1925" s="8">
        <f>HYPERLINK("https://dart.fss.or.kr/dsaf001/main.do?rcpNo=20260306901612", "공시열람")</f>
        <v/>
      </c>
    </row>
    <row r="1926">
      <c r="A1926" s="2" t="inlineStr">
        <is>
          <t>2026-03-03</t>
        </is>
      </c>
      <c r="B1926" s="3" t="inlineStr">
        <is>
          <t>아미코젠</t>
        </is>
      </c>
      <c r="C1926" s="2" t="inlineStr">
        <is>
          <t>코스닥</t>
        </is>
      </c>
      <c r="D1926" s="2" t="inlineStr">
        <is>
          <t>092040</t>
        </is>
      </c>
      <c r="E1926" s="3" t="inlineStr">
        <is>
          <t>임원ㆍ주요주주특정증권등소유상황보고서</t>
        </is>
      </c>
      <c r="F1926" s="3" t="inlineStr">
        <is>
          <t>소지성</t>
        </is>
      </c>
      <c r="G1926" s="2" t="inlineStr">
        <is>
          <t>20260303002477</t>
        </is>
      </c>
      <c r="H1926" s="8">
        <f>HYPERLINK("https://dart.fss.or.kr/dsaf001/main.do?rcpNo=20260303002477", "공시열람")</f>
        <v/>
      </c>
    </row>
    <row r="1927">
      <c r="A1927" s="2" t="inlineStr">
        <is>
          <t>2026-03-03</t>
        </is>
      </c>
      <c r="B1927" s="3" t="inlineStr">
        <is>
          <t>남성</t>
        </is>
      </c>
      <c r="C1927" s="2" t="inlineStr">
        <is>
          <t>코스피</t>
        </is>
      </c>
      <c r="D1927" s="2" t="inlineStr">
        <is>
          <t>004270</t>
        </is>
      </c>
      <c r="E1927" s="3" t="inlineStr">
        <is>
          <t xml:space="preserve">현금ㆍ현물배당결정              </t>
        </is>
      </c>
      <c r="F1927" s="3" t="inlineStr">
        <is>
          <t>남성</t>
        </is>
      </c>
      <c r="G1927" s="2" t="inlineStr">
        <is>
          <t>20260303800846</t>
        </is>
      </c>
      <c r="H1927" s="8">
        <f>HYPERLINK("https://dart.fss.or.kr/dsaf001/main.do?rcpNo=20260303800846", "공시열람")</f>
        <v/>
      </c>
    </row>
    <row r="1928">
      <c r="A1928" s="2" t="inlineStr">
        <is>
          <t>2026-03-03</t>
        </is>
      </c>
      <c r="B1928" s="3" t="inlineStr">
        <is>
          <t>엔비알모션</t>
        </is>
      </c>
      <c r="C1928" s="2" t="inlineStr">
        <is>
          <t>코스닥</t>
        </is>
      </c>
      <c r="D1928" s="2" t="inlineStr">
        <is>
          <t>0004V0</t>
        </is>
      </c>
      <c r="E1928" s="3" t="inlineStr">
        <is>
          <t>임원ㆍ주요주주특정증권등소유상황보고서</t>
        </is>
      </c>
      <c r="F1928" s="3" t="inlineStr">
        <is>
          <t>에스비아이 성장전략 M&amp;A 펀드</t>
        </is>
      </c>
      <c r="G1928" s="2" t="inlineStr">
        <is>
          <t>20260303002472</t>
        </is>
      </c>
      <c r="H1928" s="8">
        <f>HYPERLINK("https://dart.fss.or.kr/dsaf001/main.do?rcpNo=20260303002472", "공시열람")</f>
        <v/>
      </c>
    </row>
    <row r="1929">
      <c r="A1929" s="2" t="inlineStr">
        <is>
          <t>2026-03-03 (정정: 2026-03-04)</t>
        </is>
      </c>
      <c r="B1929" s="3" t="inlineStr">
        <is>
          <t>라닉스</t>
        </is>
      </c>
      <c r="C1929" s="2" t="inlineStr">
        <is>
          <t>코스닥</t>
        </is>
      </c>
      <c r="D1929" s="2" t="inlineStr">
        <is>
          <t>317120</t>
        </is>
      </c>
      <c r="E1929" s="3" t="inlineStr">
        <is>
          <t>주요사항보고서(자기주식처분결정) (정정: 20260304)</t>
        </is>
      </c>
      <c r="F1929" s="3" t="inlineStr">
        <is>
          <t>라닉스</t>
        </is>
      </c>
      <c r="G1929" s="2" t="inlineStr">
        <is>
          <t>20260304001615</t>
        </is>
      </c>
      <c r="H1929" s="8">
        <f>HYPERLINK("https://dart.fss.or.kr/dsaf001/main.do?rcpNo=20260304001615", "공시열람")</f>
        <v/>
      </c>
    </row>
    <row r="1930">
      <c r="A1930" s="2" t="inlineStr">
        <is>
          <t>2026-03-03</t>
        </is>
      </c>
      <c r="B1930" s="3" t="inlineStr">
        <is>
          <t>엠로</t>
        </is>
      </c>
      <c r="C1930" s="2" t="inlineStr">
        <is>
          <t>코스닥</t>
        </is>
      </c>
      <c r="D1930" s="2" t="inlineStr">
        <is>
          <t>058970</t>
        </is>
      </c>
      <c r="E1930" s="3" t="inlineStr">
        <is>
          <t>의결권대리행사권유참고서류</t>
        </is>
      </c>
      <c r="F1930" s="3" t="inlineStr">
        <is>
          <t>엠로</t>
        </is>
      </c>
      <c r="G1930" s="2" t="inlineStr">
        <is>
          <t>20260303002469</t>
        </is>
      </c>
      <c r="H1930" s="8">
        <f>HYPERLINK("https://dart.fss.or.kr/dsaf001/main.do?rcpNo=20260303002469", "공시열람")</f>
        <v/>
      </c>
    </row>
    <row r="1931">
      <c r="A1931" s="2" t="inlineStr">
        <is>
          <t>2026-03-03</t>
        </is>
      </c>
      <c r="B1931" s="3" t="inlineStr">
        <is>
          <t>아모레퍼시픽</t>
        </is>
      </c>
      <c r="C1931" s="2" t="inlineStr">
        <is>
          <t>코스피</t>
        </is>
      </c>
      <c r="D1931" s="2" t="inlineStr">
        <is>
          <t>090430</t>
        </is>
      </c>
      <c r="E1931" s="3" t="inlineStr">
        <is>
          <t xml:space="preserve">기업설명회(IR)개최(안내공시)              </t>
        </is>
      </c>
      <c r="F1931" s="3" t="inlineStr">
        <is>
          <t>아모레퍼시픽</t>
        </is>
      </c>
      <c r="G1931" s="2" t="inlineStr">
        <is>
          <t>20260303800840</t>
        </is>
      </c>
      <c r="H1931" s="8">
        <f>HYPERLINK("https://dart.fss.or.kr/dsaf001/main.do?rcpNo=20260303800840", "공시열람")</f>
        <v/>
      </c>
    </row>
    <row r="1932">
      <c r="A1932" s="2" t="inlineStr">
        <is>
          <t>2026-03-03</t>
        </is>
      </c>
      <c r="B1932" s="3" t="inlineStr">
        <is>
          <t>아시아경제</t>
        </is>
      </c>
      <c r="C1932" s="2" t="inlineStr">
        <is>
          <t>코스닥</t>
        </is>
      </c>
      <c r="D1932" s="2" t="inlineStr">
        <is>
          <t>127710</t>
        </is>
      </c>
      <c r="E1932" s="3" t="inlineStr">
        <is>
          <t xml:space="preserve">전환청구권행사              </t>
        </is>
      </c>
      <c r="F1932" s="3" t="inlineStr">
        <is>
          <t>아시아경제</t>
        </is>
      </c>
      <c r="G1932" s="2" t="inlineStr">
        <is>
          <t>20260303900826</t>
        </is>
      </c>
      <c r="H1932" s="8">
        <f>HYPERLINK("https://dart.fss.or.kr/dsaf001/main.do?rcpNo=20260303900826", "공시열람")</f>
        <v/>
      </c>
    </row>
    <row r="1933">
      <c r="A1933" s="2" t="inlineStr">
        <is>
          <t>2026-03-03</t>
        </is>
      </c>
      <c r="B1933" s="3" t="inlineStr">
        <is>
          <t>카카오뱅크</t>
        </is>
      </c>
      <c r="C1933" s="2" t="inlineStr">
        <is>
          <t>코스피</t>
        </is>
      </c>
      <c r="D1933" s="2" t="inlineStr">
        <is>
          <t>323410</t>
        </is>
      </c>
      <c r="E1933" s="3" t="inlineStr">
        <is>
          <t>임원ㆍ주요주주특정증권등소유상황보고서</t>
        </is>
      </c>
      <c r="F1933" s="3" t="inlineStr">
        <is>
          <t>유지영</t>
        </is>
      </c>
      <c r="G1933" s="2" t="inlineStr">
        <is>
          <t>20260303002440</t>
        </is>
      </c>
      <c r="H1933" s="8">
        <f>HYPERLINK("https://dart.fss.or.kr/dsaf001/main.do?rcpNo=20260303002440", "공시열람")</f>
        <v/>
      </c>
    </row>
    <row r="1934">
      <c r="A1934" s="2" t="inlineStr">
        <is>
          <t>2026-03-03</t>
        </is>
      </c>
      <c r="B1934" s="3" t="inlineStr">
        <is>
          <t>DRB동일</t>
        </is>
      </c>
      <c r="C1934" s="2" t="inlineStr">
        <is>
          <t>코스피</t>
        </is>
      </c>
      <c r="D1934" s="2" t="inlineStr">
        <is>
          <t>004840</t>
        </is>
      </c>
      <c r="E1934" s="3" t="inlineStr">
        <is>
          <t>의결권대리행사권유참고서류</t>
        </is>
      </c>
      <c r="F1934" s="3" t="inlineStr">
        <is>
          <t>DRB동일</t>
        </is>
      </c>
      <c r="G1934" s="2" t="inlineStr">
        <is>
          <t>20260303002435</t>
        </is>
      </c>
      <c r="H1934" s="8">
        <f>HYPERLINK("https://dart.fss.or.kr/dsaf001/main.do?rcpNo=20260303002435", "공시열람")</f>
        <v/>
      </c>
    </row>
    <row r="1935">
      <c r="A1935" s="2" t="inlineStr">
        <is>
          <t>2026-03-03</t>
        </is>
      </c>
      <c r="B1935" s="3" t="inlineStr">
        <is>
          <t>HD현대중공업</t>
        </is>
      </c>
      <c r="C1935" s="2" t="inlineStr">
        <is>
          <t>코스피</t>
        </is>
      </c>
      <c r="D1935" s="2" t="inlineStr">
        <is>
          <t>329180</t>
        </is>
      </c>
      <c r="E1935" s="3" t="inlineStr">
        <is>
          <t>의결권대리행사권유참고서류</t>
        </is>
      </c>
      <c r="F1935" s="3" t="inlineStr">
        <is>
          <t>HD현대중공업</t>
        </is>
      </c>
      <c r="G1935" s="2" t="inlineStr">
        <is>
          <t>20260303002422</t>
        </is>
      </c>
      <c r="H1935" s="8">
        <f>HYPERLINK("https://dart.fss.or.kr/dsaf001/main.do?rcpNo=20260303002422", "공시열람")</f>
        <v/>
      </c>
    </row>
    <row r="1936">
      <c r="A1936" s="2" t="inlineStr">
        <is>
          <t>2026-03-03</t>
        </is>
      </c>
      <c r="B1936" s="3" t="inlineStr">
        <is>
          <t>삼성전자</t>
        </is>
      </c>
      <c r="C1936" s="2" t="inlineStr">
        <is>
          <t>코스피</t>
        </is>
      </c>
      <c r="D1936" s="2" t="inlineStr">
        <is>
          <t>005930</t>
        </is>
      </c>
      <c r="E1936" s="3" t="inlineStr">
        <is>
          <t>임원ㆍ주요주주특정증권등소유상황보고서</t>
        </is>
      </c>
      <c r="F1936" s="3" t="inlineStr">
        <is>
          <t>Lee Dae Jun</t>
        </is>
      </c>
      <c r="G1936" s="2" t="inlineStr">
        <is>
          <t>20260303002415</t>
        </is>
      </c>
      <c r="H1936" s="8">
        <f>HYPERLINK("https://dart.fss.or.kr/dsaf001/main.do?rcpNo=20260303002415", "공시열람")</f>
        <v/>
      </c>
    </row>
    <row r="1937">
      <c r="A1937" s="2" t="inlineStr">
        <is>
          <t>2026-03-03</t>
        </is>
      </c>
      <c r="B1937" s="3" t="inlineStr">
        <is>
          <t>스코넥</t>
        </is>
      </c>
      <c r="C1937" s="2" t="inlineStr">
        <is>
          <t>코스닥</t>
        </is>
      </c>
      <c r="D1937" s="2" t="inlineStr">
        <is>
          <t>276040</t>
        </is>
      </c>
      <c r="E1937" s="3" t="inlineStr">
        <is>
          <t xml:space="preserve">전환가액의조정              </t>
        </is>
      </c>
      <c r="F1937" s="3" t="inlineStr">
        <is>
          <t>스코넥</t>
        </is>
      </c>
      <c r="G1937" s="2" t="inlineStr">
        <is>
          <t>20260303900784</t>
        </is>
      </c>
      <c r="H1937" s="8">
        <f>HYPERLINK("https://dart.fss.or.kr/dsaf001/main.do?rcpNo=20260303900784", "공시열람")</f>
        <v/>
      </c>
    </row>
    <row r="1938">
      <c r="A1938" s="2" t="inlineStr">
        <is>
          <t>2026-03-03</t>
        </is>
      </c>
      <c r="B1938" s="3" t="inlineStr">
        <is>
          <t>한올바이오파마</t>
        </is>
      </c>
      <c r="C1938" s="2" t="inlineStr">
        <is>
          <t>코스피</t>
        </is>
      </c>
      <c r="D1938" s="2" t="inlineStr">
        <is>
          <t>009420</t>
        </is>
      </c>
      <c r="E1938" s="3" t="inlineStr">
        <is>
          <t>자기주식처분결과보고서</t>
        </is>
      </c>
      <c r="F1938" s="3" t="inlineStr">
        <is>
          <t>한올바이오파마</t>
        </is>
      </c>
      <c r="G1938" s="2" t="inlineStr">
        <is>
          <t>20260303002411</t>
        </is>
      </c>
      <c r="H1938" s="8">
        <f>HYPERLINK("https://dart.fss.or.kr/dsaf001/main.do?rcpNo=20260303002411", "공시열람")</f>
        <v/>
      </c>
    </row>
    <row r="1939">
      <c r="A1939" s="2" t="inlineStr">
        <is>
          <t>2026-03-03</t>
        </is>
      </c>
      <c r="B1939" s="3" t="inlineStr">
        <is>
          <t>디앤디파마텍</t>
        </is>
      </c>
      <c r="C1939" s="2" t="inlineStr">
        <is>
          <t>코스닥</t>
        </is>
      </c>
      <c r="D1939" s="2" t="inlineStr">
        <is>
          <t>347850</t>
        </is>
      </c>
      <c r="E1939" s="3" t="inlineStr">
        <is>
          <t>의결권대리행사권유참고서류</t>
        </is>
      </c>
      <c r="F1939" s="3" t="inlineStr">
        <is>
          <t>디앤디파마텍</t>
        </is>
      </c>
      <c r="G1939" s="2" t="inlineStr">
        <is>
          <t>20260303002391</t>
        </is>
      </c>
      <c r="H1939" s="8">
        <f>HYPERLINK("https://dart.fss.or.kr/dsaf001/main.do?rcpNo=20260303002391", "공시열람")</f>
        <v/>
      </c>
    </row>
    <row r="1940">
      <c r="A1940" s="2" t="inlineStr">
        <is>
          <t>2026-03-03</t>
        </is>
      </c>
      <c r="B1940" s="3" t="inlineStr">
        <is>
          <t>유진증권</t>
        </is>
      </c>
      <c r="C1940" s="2" t="inlineStr">
        <is>
          <t>코스피</t>
        </is>
      </c>
      <c r="D1940" s="2" t="inlineStr">
        <is>
          <t>001200</t>
        </is>
      </c>
      <c r="E1940" s="3" t="inlineStr">
        <is>
          <t>투자설명서(일괄신고)</t>
        </is>
      </c>
      <c r="F1940" s="3" t="inlineStr">
        <is>
          <t>유진증권</t>
        </is>
      </c>
      <c r="G1940" s="2" t="inlineStr">
        <is>
          <t>20260303002389</t>
        </is>
      </c>
      <c r="H1940" s="8">
        <f>HYPERLINK("https://dart.fss.or.kr/dsaf001/main.do?rcpNo=20260303002389", "공시열람")</f>
        <v/>
      </c>
    </row>
    <row r="1941">
      <c r="A1941" s="2" t="inlineStr">
        <is>
          <t>2026-03-03</t>
        </is>
      </c>
      <c r="B1941" s="3" t="inlineStr">
        <is>
          <t>한솔홈데코</t>
        </is>
      </c>
      <c r="C1941" s="2" t="inlineStr">
        <is>
          <t>코스피</t>
        </is>
      </c>
      <c r="D1941" s="2" t="inlineStr">
        <is>
          <t>025750</t>
        </is>
      </c>
      <c r="E1941" s="3" t="inlineStr">
        <is>
          <t xml:space="preserve">주식병합결정              </t>
        </is>
      </c>
      <c r="F1941" s="3" t="inlineStr">
        <is>
          <t>한솔홈데코</t>
        </is>
      </c>
      <c r="G1941" s="2" t="inlineStr">
        <is>
          <t>20260303800657</t>
        </is>
      </c>
      <c r="H1941" s="8">
        <f>HYPERLINK("https://dart.fss.or.kr/dsaf001/main.do?rcpNo=20260303800657", "공시열람")</f>
        <v/>
      </c>
    </row>
    <row r="1942">
      <c r="A1942" s="2" t="inlineStr">
        <is>
          <t>2026-03-03 (정정: 2026-03-12)</t>
        </is>
      </c>
      <c r="B1942" s="3" t="inlineStr">
        <is>
          <t>이수페타시스</t>
        </is>
      </c>
      <c r="C1942" s="2" t="inlineStr">
        <is>
          <t>코스피</t>
        </is>
      </c>
      <c r="D1942" s="2" t="inlineStr">
        <is>
          <t>007660</t>
        </is>
      </c>
      <c r="E1942" s="3" t="inlineStr">
        <is>
          <t>의결권대리행사권유참고서류 (정정: 20260312)</t>
        </is>
      </c>
      <c r="F1942" s="3" t="inlineStr">
        <is>
          <t>이수페타시스</t>
        </is>
      </c>
      <c r="G1942" s="2" t="inlineStr">
        <is>
          <t>20260312000781</t>
        </is>
      </c>
      <c r="H1942" s="8">
        <f>HYPERLINK("https://dart.fss.or.kr/dsaf001/main.do?rcpNo=20260312000781", "공시열람")</f>
        <v/>
      </c>
    </row>
    <row r="1943">
      <c r="A1943" s="2" t="inlineStr">
        <is>
          <t>2026-03-03</t>
        </is>
      </c>
      <c r="B1943" s="3" t="inlineStr">
        <is>
          <t>한국콜마</t>
        </is>
      </c>
      <c r="C1943" s="2" t="inlineStr">
        <is>
          <t>코스피</t>
        </is>
      </c>
      <c r="D1943" s="2" t="inlineStr">
        <is>
          <t>161890</t>
        </is>
      </c>
      <c r="E1943" s="3" t="inlineStr">
        <is>
          <t xml:space="preserve">기업설명회(IR)개최(안내공시)              </t>
        </is>
      </c>
      <c r="F1943" s="3" t="inlineStr">
        <is>
          <t>한국콜마</t>
        </is>
      </c>
      <c r="G1943" s="2" t="inlineStr">
        <is>
          <t>20260303800756</t>
        </is>
      </c>
      <c r="H1943" s="8">
        <f>HYPERLINK("https://dart.fss.or.kr/dsaf001/main.do?rcpNo=20260303800756", "공시열람")</f>
        <v/>
      </c>
    </row>
    <row r="1944">
      <c r="A1944" s="2" t="inlineStr">
        <is>
          <t>2026-03-03</t>
        </is>
      </c>
      <c r="B1944" s="3" t="inlineStr">
        <is>
          <t>에이비프로바이오</t>
        </is>
      </c>
      <c r="C1944" s="2" t="inlineStr">
        <is>
          <t>코스닥</t>
        </is>
      </c>
      <c r="D1944" s="2" t="inlineStr">
        <is>
          <t>195990</t>
        </is>
      </c>
      <c r="E1944" s="3" t="inlineStr">
        <is>
          <t xml:space="preserve">감자완료              </t>
        </is>
      </c>
      <c r="F1944" s="3" t="inlineStr">
        <is>
          <t>에이비프로바이오</t>
        </is>
      </c>
      <c r="G1944" s="2" t="inlineStr">
        <is>
          <t>20260303900719</t>
        </is>
      </c>
      <c r="H1944" s="8">
        <f>HYPERLINK("https://dart.fss.or.kr/dsaf001/main.do?rcpNo=20260303900719", "공시열람")</f>
        <v/>
      </c>
    </row>
    <row r="1945">
      <c r="A1945" s="2" t="inlineStr">
        <is>
          <t>2026-03-03</t>
        </is>
      </c>
      <c r="B1945" s="3" t="inlineStr">
        <is>
          <t>동일고무벨트</t>
        </is>
      </c>
      <c r="C1945" s="2" t="inlineStr">
        <is>
          <t>코스피</t>
        </is>
      </c>
      <c r="D1945" s="2" t="inlineStr">
        <is>
          <t>163560</t>
        </is>
      </c>
      <c r="E1945" s="3" t="inlineStr">
        <is>
          <t>의결권대리행사권유참고서류</t>
        </is>
      </c>
      <c r="F1945" s="3" t="inlineStr">
        <is>
          <t>동일고무벨트</t>
        </is>
      </c>
      <c r="G1945" s="2" t="inlineStr">
        <is>
          <t>20260303002371</t>
        </is>
      </c>
      <c r="H1945" s="8">
        <f>HYPERLINK("https://dart.fss.or.kr/dsaf001/main.do?rcpNo=20260303002371", "공시열람")</f>
        <v/>
      </c>
    </row>
    <row r="1946">
      <c r="A1946" s="2" t="inlineStr">
        <is>
          <t>2026-03-03</t>
        </is>
      </c>
      <c r="B1946" s="3" t="inlineStr">
        <is>
          <t>대신증권</t>
        </is>
      </c>
      <c r="C1946" s="2" t="inlineStr">
        <is>
          <t>코스피</t>
        </is>
      </c>
      <c r="D1946" s="2" t="inlineStr">
        <is>
          <t>003540</t>
        </is>
      </c>
      <c r="E1946" s="3" t="inlineStr">
        <is>
          <t>증권발행실적보고서</t>
        </is>
      </c>
      <c r="F1946" s="3" t="inlineStr">
        <is>
          <t>대신증권</t>
        </is>
      </c>
      <c r="G1946" s="2" t="inlineStr">
        <is>
          <t>20260303002362</t>
        </is>
      </c>
      <c r="H1946" s="8">
        <f>HYPERLINK("https://dart.fss.or.kr/dsaf001/main.do?rcpNo=20260303002362", "공시열람")</f>
        <v/>
      </c>
    </row>
    <row r="1947">
      <c r="A1947" s="2" t="inlineStr">
        <is>
          <t>2026-03-03</t>
        </is>
      </c>
      <c r="B1947" s="3" t="inlineStr">
        <is>
          <t>대신증권</t>
        </is>
      </c>
      <c r="C1947" s="2" t="inlineStr">
        <is>
          <t>코스피</t>
        </is>
      </c>
      <c r="D1947" s="2" t="inlineStr">
        <is>
          <t>003540</t>
        </is>
      </c>
      <c r="E1947" s="3" t="inlineStr">
        <is>
          <t>증권발행실적보고서</t>
        </is>
      </c>
      <c r="F1947" s="3" t="inlineStr">
        <is>
          <t>대신증권</t>
        </is>
      </c>
      <c r="G1947" s="2" t="inlineStr">
        <is>
          <t>20260303002355</t>
        </is>
      </c>
      <c r="H1947" s="8">
        <f>HYPERLINK("https://dart.fss.or.kr/dsaf001/main.do?rcpNo=20260303002355", "공시열람")</f>
        <v/>
      </c>
    </row>
    <row r="1948">
      <c r="A1948" s="2" t="inlineStr">
        <is>
          <t>2026-03-03</t>
        </is>
      </c>
      <c r="B1948" s="3" t="inlineStr">
        <is>
          <t>아이쓰리시스템</t>
        </is>
      </c>
      <c r="C1948" s="2" t="inlineStr">
        <is>
          <t>코스닥</t>
        </is>
      </c>
      <c r="D1948" s="2" t="inlineStr">
        <is>
          <t>214430</t>
        </is>
      </c>
      <c r="E1948" s="3" t="inlineStr">
        <is>
          <t xml:space="preserve">영업(잠정)실적(공정공시)              </t>
        </is>
      </c>
      <c r="F1948" s="3" t="inlineStr">
        <is>
          <t>아이쓰리시스템</t>
        </is>
      </c>
      <c r="G1948" s="2" t="inlineStr">
        <is>
          <t>20260303900538</t>
        </is>
      </c>
      <c r="H1948" s="8">
        <f>HYPERLINK("https://dart.fss.or.kr/dsaf001/main.do?rcpNo=20260303900538", "공시열람")</f>
        <v/>
      </c>
    </row>
    <row r="1949">
      <c r="A1949" s="2" t="inlineStr">
        <is>
          <t>2026-03-03</t>
        </is>
      </c>
      <c r="B1949" s="3" t="inlineStr">
        <is>
          <t>HLB이노베이션</t>
        </is>
      </c>
      <c r="C1949" s="2" t="inlineStr">
        <is>
          <t>코스닥</t>
        </is>
      </c>
      <c r="D1949" s="2" t="inlineStr">
        <is>
          <t>024850</t>
        </is>
      </c>
      <c r="E1949" s="3" t="inlineStr">
        <is>
          <t xml:space="preserve">기업설명회(IR)개최              </t>
        </is>
      </c>
      <c r="F1949" s="3" t="inlineStr">
        <is>
          <t>HLB이노베이션</t>
        </is>
      </c>
      <c r="G1949" s="2" t="inlineStr">
        <is>
          <t>20260303900732</t>
        </is>
      </c>
      <c r="H1949" s="8">
        <f>HYPERLINK("https://dart.fss.or.kr/dsaf001/main.do?rcpNo=20260303900732", "공시열람")</f>
        <v/>
      </c>
    </row>
    <row r="1950">
      <c r="A1950" s="2" t="inlineStr">
        <is>
          <t>2026-03-03</t>
        </is>
      </c>
      <c r="B1950" s="3" t="inlineStr">
        <is>
          <t>네오팜</t>
        </is>
      </c>
      <c r="C1950" s="2" t="inlineStr">
        <is>
          <t>코스닥</t>
        </is>
      </c>
      <c r="D1950" s="2" t="inlineStr">
        <is>
          <t>092730</t>
        </is>
      </c>
      <c r="E1950" s="3" t="inlineStr">
        <is>
          <t xml:space="preserve">기업설명회(IR)개최              </t>
        </is>
      </c>
      <c r="F1950" s="3" t="inlineStr">
        <is>
          <t>네오팜</t>
        </is>
      </c>
      <c r="G1950" s="2" t="inlineStr">
        <is>
          <t>20260303900730</t>
        </is>
      </c>
      <c r="H1950" s="8">
        <f>HYPERLINK("https://dart.fss.or.kr/dsaf001/main.do?rcpNo=20260303900730", "공시열람")</f>
        <v/>
      </c>
    </row>
    <row r="1951">
      <c r="A1951" s="2" t="inlineStr">
        <is>
          <t>2026-03-03</t>
        </is>
      </c>
      <c r="B1951" s="3" t="inlineStr">
        <is>
          <t>덴티움</t>
        </is>
      </c>
      <c r="C1951" s="2" t="inlineStr">
        <is>
          <t>코스피</t>
        </is>
      </c>
      <c r="D1951" s="2" t="inlineStr">
        <is>
          <t>145720</t>
        </is>
      </c>
      <c r="E1951" s="3" t="inlineStr">
        <is>
          <t xml:space="preserve">연결재무제표기준영업(잠정)실적(공정공시)              </t>
        </is>
      </c>
      <c r="F1951" s="3" t="inlineStr">
        <is>
          <t>덴티움</t>
        </is>
      </c>
      <c r="G1951" s="2" t="inlineStr">
        <is>
          <t>20260303800672</t>
        </is>
      </c>
      <c r="H1951" s="8">
        <f>HYPERLINK("https://dart.fss.or.kr/dsaf001/main.do?rcpNo=20260303800672", "공시열람")</f>
        <v/>
      </c>
    </row>
    <row r="1952">
      <c r="A1952" s="2" t="inlineStr">
        <is>
          <t>2026-03-03</t>
        </is>
      </c>
      <c r="B1952" s="3" t="inlineStr">
        <is>
          <t>루닛</t>
        </is>
      </c>
      <c r="C1952" s="2" t="inlineStr">
        <is>
          <t>코스닥</t>
        </is>
      </c>
      <c r="D1952" s="2" t="inlineStr">
        <is>
          <t>328130</t>
        </is>
      </c>
      <c r="E1952" s="3" t="inlineStr">
        <is>
          <t>전환가액의조정              (제2회차)</t>
        </is>
      </c>
      <c r="F1952" s="3" t="inlineStr">
        <is>
          <t>루닛</t>
        </is>
      </c>
      <c r="G1952" s="2" t="inlineStr">
        <is>
          <t>20260303900685</t>
        </is>
      </c>
      <c r="H1952" s="8">
        <f>HYPERLINK("https://dart.fss.or.kr/dsaf001/main.do?rcpNo=20260303900685", "공시열람")</f>
        <v/>
      </c>
    </row>
    <row r="1953">
      <c r="A1953" s="2" t="inlineStr">
        <is>
          <t>2026-03-03</t>
        </is>
      </c>
      <c r="B1953" s="3" t="inlineStr">
        <is>
          <t>대신증권</t>
        </is>
      </c>
      <c r="C1953" s="2" t="inlineStr">
        <is>
          <t>코스피</t>
        </is>
      </c>
      <c r="D1953" s="2" t="inlineStr">
        <is>
          <t>003540</t>
        </is>
      </c>
      <c r="E1953" s="3" t="inlineStr">
        <is>
          <t>투자설명서(일괄신고)</t>
        </is>
      </c>
      <c r="F1953" s="3" t="inlineStr">
        <is>
          <t>대신증권</t>
        </is>
      </c>
      <c r="G1953" s="2" t="inlineStr">
        <is>
          <t>20260303002347</t>
        </is>
      </c>
      <c r="H1953" s="8">
        <f>HYPERLINK("https://dart.fss.or.kr/dsaf001/main.do?rcpNo=20260303002347", "공시열람")</f>
        <v/>
      </c>
    </row>
    <row r="1954">
      <c r="A1954" s="2" t="inlineStr">
        <is>
          <t>2026-03-03</t>
        </is>
      </c>
      <c r="B1954" s="3" t="inlineStr">
        <is>
          <t>SNT에너지</t>
        </is>
      </c>
      <c r="C1954" s="2" t="inlineStr">
        <is>
          <t>코스피</t>
        </is>
      </c>
      <c r="D1954" s="2" t="inlineStr">
        <is>
          <t>100840</t>
        </is>
      </c>
      <c r="E1954" s="3" t="inlineStr">
        <is>
          <t xml:space="preserve">기업가치제고계획(자율공시)              </t>
        </is>
      </c>
      <c r="F1954" s="3" t="inlineStr">
        <is>
          <t>SNT에너지</t>
        </is>
      </c>
      <c r="G1954" s="2" t="inlineStr">
        <is>
          <t>20260303800640</t>
        </is>
      </c>
      <c r="H1954" s="8">
        <f>HYPERLINK("https://dart.fss.or.kr/dsaf001/main.do?rcpNo=20260303800640", "공시열람")</f>
        <v/>
      </c>
    </row>
    <row r="1955">
      <c r="A1955" s="2" t="inlineStr">
        <is>
          <t>2026-03-03 (정정: 2026-03-04)</t>
        </is>
      </c>
      <c r="B1955" s="3" t="inlineStr">
        <is>
          <t>키움히어로제1호스팩</t>
        </is>
      </c>
      <c r="C1955" s="2" t="inlineStr">
        <is>
          <t>코스닥</t>
        </is>
      </c>
      <c r="D1955" s="2" t="inlineStr">
        <is>
          <t>466690</t>
        </is>
      </c>
      <c r="E1955" s="3" t="inlineStr">
        <is>
          <t>[기재정정]기업인수목적회사의임원선임결정               (정정: 20260303) (정정: 20260304)</t>
        </is>
      </c>
      <c r="F1955" s="3" t="inlineStr">
        <is>
          <t>키움히어로제1호스팩</t>
        </is>
      </c>
      <c r="G1955" s="2" t="inlineStr">
        <is>
          <t>20260304000762</t>
        </is>
      </c>
      <c r="H1955" s="8">
        <f>HYPERLINK("https://dart.fss.or.kr/dsaf001/main.do?rcpNo=20260304000762", "공시열람")</f>
        <v/>
      </c>
    </row>
    <row r="1956">
      <c r="A1956" s="2" t="inlineStr">
        <is>
          <t>2026-03-03</t>
        </is>
      </c>
      <c r="B1956" s="3" t="inlineStr">
        <is>
          <t>세방전지</t>
        </is>
      </c>
      <c r="C1956" s="2" t="inlineStr">
        <is>
          <t>코스피</t>
        </is>
      </c>
      <c r="D1956" s="2" t="inlineStr">
        <is>
          <t>004490</t>
        </is>
      </c>
      <c r="E1956" s="3" t="inlineStr">
        <is>
          <t xml:space="preserve">기업설명회(IR)개최(안내공시)              </t>
        </is>
      </c>
      <c r="F1956" s="3" t="inlineStr">
        <is>
          <t>세방전지</t>
        </is>
      </c>
      <c r="G1956" s="2" t="inlineStr">
        <is>
          <t>20260303800715</t>
        </is>
      </c>
      <c r="H1956" s="8">
        <f>HYPERLINK("https://dart.fss.or.kr/dsaf001/main.do?rcpNo=20260303800715", "공시열람")</f>
        <v/>
      </c>
    </row>
    <row r="1957">
      <c r="A1957" s="2" t="inlineStr">
        <is>
          <t>2026-03-03</t>
        </is>
      </c>
      <c r="B1957" s="3" t="inlineStr">
        <is>
          <t>셀피글로벌</t>
        </is>
      </c>
      <c r="C1957" s="2" t="inlineStr">
        <is>
          <t>코스닥</t>
        </is>
      </c>
      <c r="D1957" s="2" t="inlineStr">
        <is>
          <t>068940</t>
        </is>
      </c>
      <c r="E1957" s="3" t="inlineStr">
        <is>
          <t>사외이사의선임ㆍ해임또는중도퇴임에관한신고</t>
        </is>
      </c>
      <c r="F1957" s="3" t="inlineStr">
        <is>
          <t>셀피글로벌</t>
        </is>
      </c>
      <c r="G1957" s="2" t="inlineStr">
        <is>
          <t>20260303002342</t>
        </is>
      </c>
      <c r="H1957" s="8">
        <f>HYPERLINK("https://dart.fss.or.kr/dsaf001/main.do?rcpNo=20260303002342", "공시열람")</f>
        <v/>
      </c>
    </row>
    <row r="1958">
      <c r="A1958" s="2" t="inlineStr">
        <is>
          <t>2026-03-03</t>
        </is>
      </c>
      <c r="B1958" s="3" t="inlineStr">
        <is>
          <t>유진증권</t>
        </is>
      </c>
      <c r="C1958" s="2" t="inlineStr">
        <is>
          <t>코스피</t>
        </is>
      </c>
      <c r="D1958" s="2" t="inlineStr">
        <is>
          <t>001200</t>
        </is>
      </c>
      <c r="E1958" s="3" t="inlineStr">
        <is>
          <t>일괄신고추가서류(파생결합사채-주가연계파생결합사채)</t>
        </is>
      </c>
      <c r="F1958" s="3" t="inlineStr">
        <is>
          <t>유진증권</t>
        </is>
      </c>
      <c r="G1958" s="2" t="inlineStr">
        <is>
          <t>20260303002338</t>
        </is>
      </c>
      <c r="H1958" s="8">
        <f>HYPERLINK("https://dart.fss.or.kr/dsaf001/main.do?rcpNo=20260303002338", "공시열람")</f>
        <v/>
      </c>
    </row>
    <row r="1959">
      <c r="A1959" s="2" t="inlineStr">
        <is>
          <t>2026-03-03</t>
        </is>
      </c>
      <c r="B1959" s="3" t="inlineStr">
        <is>
          <t>환인제약</t>
        </is>
      </c>
      <c r="C1959" s="2" t="inlineStr">
        <is>
          <t>코스피</t>
        </is>
      </c>
      <c r="D1959" s="2" t="inlineStr">
        <is>
          <t>016580</t>
        </is>
      </c>
      <c r="E1959" s="3" t="inlineStr">
        <is>
          <t xml:space="preserve">현금ㆍ현물배당결정              </t>
        </is>
      </c>
      <c r="F1959" s="3" t="inlineStr">
        <is>
          <t>환인제약</t>
        </is>
      </c>
      <c r="G1959" s="2" t="inlineStr">
        <is>
          <t>20260303800703</t>
        </is>
      </c>
      <c r="H1959" s="8">
        <f>HYPERLINK("https://dart.fss.or.kr/dsaf001/main.do?rcpNo=20260303800703", "공시열람")</f>
        <v/>
      </c>
    </row>
    <row r="1960">
      <c r="A1960" s="2" t="inlineStr">
        <is>
          <t>2026-03-03</t>
        </is>
      </c>
      <c r="B1960" s="3" t="inlineStr">
        <is>
          <t>한화투자증권</t>
        </is>
      </c>
      <c r="C1960" s="2" t="inlineStr">
        <is>
          <t>코스피</t>
        </is>
      </c>
      <c r="D1960" s="2" t="inlineStr">
        <is>
          <t>003530</t>
        </is>
      </c>
      <c r="E1960" s="3" t="inlineStr">
        <is>
          <t>증권발행실적보고서</t>
        </is>
      </c>
      <c r="F1960" s="3" t="inlineStr">
        <is>
          <t>한화투자증권</t>
        </is>
      </c>
      <c r="G1960" s="2" t="inlineStr">
        <is>
          <t>20260303002335</t>
        </is>
      </c>
      <c r="H1960" s="8">
        <f>HYPERLINK("https://dart.fss.or.kr/dsaf001/main.do?rcpNo=20260303002335", "공시열람")</f>
        <v/>
      </c>
    </row>
    <row r="1961">
      <c r="A1961" s="2" t="inlineStr">
        <is>
          <t>2026-03-03</t>
        </is>
      </c>
      <c r="B1961" s="3" t="inlineStr">
        <is>
          <t>영진약품</t>
        </is>
      </c>
      <c r="C1961" s="2" t="inlineStr">
        <is>
          <t>코스피</t>
        </is>
      </c>
      <c r="D1961" s="2" t="inlineStr">
        <is>
          <t>003520</t>
        </is>
      </c>
      <c r="E1961" s="3" t="inlineStr">
        <is>
          <t xml:space="preserve">감사보고서제출              </t>
        </is>
      </c>
      <c r="F1961" s="3" t="inlineStr">
        <is>
          <t>영진약품</t>
        </is>
      </c>
      <c r="G1961" s="2" t="inlineStr">
        <is>
          <t>20260303800615</t>
        </is>
      </c>
      <c r="H1961" s="8">
        <f>HYPERLINK("https://dart.fss.or.kr/dsaf001/main.do?rcpNo=20260303800615", "공시열람")</f>
        <v/>
      </c>
    </row>
    <row r="1962">
      <c r="A1962" s="2" t="inlineStr">
        <is>
          <t>2026-03-03</t>
        </is>
      </c>
      <c r="B1962" s="3" t="inlineStr">
        <is>
          <t>푸드나무</t>
        </is>
      </c>
      <c r="C1962" s="2" t="inlineStr">
        <is>
          <t>코스닥</t>
        </is>
      </c>
      <c r="D1962" s="2" t="inlineStr">
        <is>
          <t>290720</t>
        </is>
      </c>
      <c r="E1962" s="3" t="inlineStr">
        <is>
          <t>사외이사의선임ㆍ해임또는중도퇴임에관한신고</t>
        </is>
      </c>
      <c r="F1962" s="3" t="inlineStr">
        <is>
          <t>푸드나무</t>
        </is>
      </c>
      <c r="G1962" s="2" t="inlineStr">
        <is>
          <t>20260303002330</t>
        </is>
      </c>
      <c r="H1962" s="8">
        <f>HYPERLINK("https://dart.fss.or.kr/dsaf001/main.do?rcpNo=20260303002330", "공시열람")</f>
        <v/>
      </c>
    </row>
    <row r="1963">
      <c r="A1963" s="2" t="inlineStr">
        <is>
          <t>2026-03-03</t>
        </is>
      </c>
      <c r="B1963" s="3" t="inlineStr">
        <is>
          <t>유니온</t>
        </is>
      </c>
      <c r="C1963" s="2" t="inlineStr">
        <is>
          <t>코스피</t>
        </is>
      </c>
      <c r="D1963" s="2" t="inlineStr">
        <is>
          <t>000910</t>
        </is>
      </c>
      <c r="E1963" s="3" t="inlineStr">
        <is>
          <t>임원ㆍ주요주주특정증권등소유상황보고서</t>
        </is>
      </c>
      <c r="F1963" s="3" t="inlineStr">
        <is>
          <t>이우선</t>
        </is>
      </c>
      <c r="G1963" s="2" t="inlineStr">
        <is>
          <t>20260303002329</t>
        </is>
      </c>
      <c r="H1963" s="8">
        <f>HYPERLINK("https://dart.fss.or.kr/dsaf001/main.do?rcpNo=20260303002329", "공시열람")</f>
        <v/>
      </c>
    </row>
    <row r="1964">
      <c r="A1964" s="2" t="inlineStr">
        <is>
          <t>2026-03-03</t>
        </is>
      </c>
      <c r="B1964" s="3" t="inlineStr">
        <is>
          <t>녹십자웰빙</t>
        </is>
      </c>
      <c r="C1964" s="2" t="inlineStr">
        <is>
          <t>코스닥</t>
        </is>
      </c>
      <c r="D1964" s="2" t="inlineStr">
        <is>
          <t>234690</t>
        </is>
      </c>
      <c r="E1964" s="3" t="inlineStr">
        <is>
          <t xml:space="preserve">공정거래자율준수프로그램운영현황              </t>
        </is>
      </c>
      <c r="F1964" s="3" t="inlineStr">
        <is>
          <t>녹십자웰빙</t>
        </is>
      </c>
      <c r="G1964" s="2" t="inlineStr">
        <is>
          <t>20260303900686</t>
        </is>
      </c>
      <c r="H1964" s="8">
        <f>HYPERLINK("https://dart.fss.or.kr/dsaf001/main.do?rcpNo=20260303900686", "공시열람")</f>
        <v/>
      </c>
    </row>
    <row r="1965">
      <c r="A1965" s="2" t="inlineStr">
        <is>
          <t>2026-03-03</t>
        </is>
      </c>
      <c r="B1965" s="3" t="inlineStr">
        <is>
          <t>에스티팜</t>
        </is>
      </c>
      <c r="C1965" s="2" t="inlineStr">
        <is>
          <t>코스닥</t>
        </is>
      </c>
      <c r="D1965" s="2" t="inlineStr">
        <is>
          <t>237690</t>
        </is>
      </c>
      <c r="E1965" s="3" t="inlineStr">
        <is>
          <t>의결권대리행사권유참고서류</t>
        </is>
      </c>
      <c r="F1965" s="3" t="inlineStr">
        <is>
          <t>에스티팜</t>
        </is>
      </c>
      <c r="G1965" s="2" t="inlineStr">
        <is>
          <t>20260303002318</t>
        </is>
      </c>
      <c r="H1965" s="8">
        <f>HYPERLINK("https://dart.fss.or.kr/dsaf001/main.do?rcpNo=20260303002318", "공시열람")</f>
        <v/>
      </c>
    </row>
    <row r="1966">
      <c r="A1966" s="2" t="inlineStr">
        <is>
          <t>2026-03-03</t>
        </is>
      </c>
      <c r="B1966" s="3" t="inlineStr">
        <is>
          <t>남성</t>
        </is>
      </c>
      <c r="C1966" s="2" t="inlineStr">
        <is>
          <t>코스피</t>
        </is>
      </c>
      <c r="D1966" s="2" t="inlineStr">
        <is>
          <t>004270</t>
        </is>
      </c>
      <c r="E1966" s="3" t="inlineStr">
        <is>
          <t xml:space="preserve">매출액또는손익구조30%(대규모법인은15%)이상변경              </t>
        </is>
      </c>
      <c r="F1966" s="3" t="inlineStr">
        <is>
          <t>남성</t>
        </is>
      </c>
      <c r="G1966" s="2" t="inlineStr">
        <is>
          <t>20260303800641</t>
        </is>
      </c>
      <c r="H1966" s="8">
        <f>HYPERLINK("https://dart.fss.or.kr/dsaf001/main.do?rcpNo=20260303800641", "공시열람")</f>
        <v/>
      </c>
    </row>
    <row r="1967">
      <c r="A1967" s="2" t="inlineStr">
        <is>
          <t>2026-03-03</t>
        </is>
      </c>
      <c r="B1967" s="3" t="inlineStr">
        <is>
          <t>한라캐스트</t>
        </is>
      </c>
      <c r="C1967" s="2" t="inlineStr">
        <is>
          <t>코스닥</t>
        </is>
      </c>
      <c r="D1967" s="2" t="inlineStr">
        <is>
          <t>125490</t>
        </is>
      </c>
      <c r="E1967" s="3" t="inlineStr">
        <is>
          <t>의결권대리행사권유참고서류</t>
        </is>
      </c>
      <c r="F1967" s="3" t="inlineStr">
        <is>
          <t>한라캐스트</t>
        </is>
      </c>
      <c r="G1967" s="2" t="inlineStr">
        <is>
          <t>20260303002307</t>
        </is>
      </c>
      <c r="H1967" s="8">
        <f>HYPERLINK("https://dart.fss.or.kr/dsaf001/main.do?rcpNo=20260303002307", "공시열람")</f>
        <v/>
      </c>
    </row>
    <row r="1968">
      <c r="A1968" s="2" t="inlineStr">
        <is>
          <t>2026-03-03</t>
        </is>
      </c>
      <c r="B1968" s="3" t="inlineStr">
        <is>
          <t>유니온</t>
        </is>
      </c>
      <c r="C1968" s="2" t="inlineStr">
        <is>
          <t>코스피</t>
        </is>
      </c>
      <c r="D1968" s="2" t="inlineStr">
        <is>
          <t>000910</t>
        </is>
      </c>
      <c r="E1968" s="3" t="inlineStr">
        <is>
          <t>임원ㆍ주요주주특정증권등소유상황보고서</t>
        </is>
      </c>
      <c r="F1968" s="3" t="inlineStr">
        <is>
          <t>이건영</t>
        </is>
      </c>
      <c r="G1968" s="2" t="inlineStr">
        <is>
          <t>20260303002301</t>
        </is>
      </c>
      <c r="H1968" s="8">
        <f>HYPERLINK("https://dart.fss.or.kr/dsaf001/main.do?rcpNo=20260303002301", "공시열람")</f>
        <v/>
      </c>
    </row>
    <row r="1969">
      <c r="A1969" s="2" t="inlineStr">
        <is>
          <t>2026-03-03</t>
        </is>
      </c>
      <c r="B1969" s="3" t="inlineStr">
        <is>
          <t>미래에셋증권</t>
        </is>
      </c>
      <c r="C1969" s="2" t="inlineStr">
        <is>
          <t>코스피</t>
        </is>
      </c>
      <c r="D1969" s="2" t="inlineStr">
        <is>
          <t>006800</t>
        </is>
      </c>
      <c r="E1969" s="3" t="inlineStr">
        <is>
          <t>증권발행실적보고서</t>
        </is>
      </c>
      <c r="F1969" s="3" t="inlineStr">
        <is>
          <t>미래에셋증권</t>
        </is>
      </c>
      <c r="G1969" s="2" t="inlineStr">
        <is>
          <t>20260303002300</t>
        </is>
      </c>
      <c r="H1969" s="8">
        <f>HYPERLINK("https://dart.fss.or.kr/dsaf001/main.do?rcpNo=20260303002300", "공시열람")</f>
        <v/>
      </c>
    </row>
    <row r="1970">
      <c r="A1970" s="2" t="inlineStr">
        <is>
          <t>2026-03-03</t>
        </is>
      </c>
      <c r="B1970" s="3" t="inlineStr">
        <is>
          <t>교보증권</t>
        </is>
      </c>
      <c r="C1970" s="2" t="inlineStr">
        <is>
          <t>코스피</t>
        </is>
      </c>
      <c r="D1970" s="2" t="inlineStr">
        <is>
          <t>030610</t>
        </is>
      </c>
      <c r="E1970" s="3" t="inlineStr">
        <is>
          <t>증권발행실적보고서</t>
        </is>
      </c>
      <c r="F1970" s="3" t="inlineStr">
        <is>
          <t>교보증권</t>
        </is>
      </c>
      <c r="G1970" s="2" t="inlineStr">
        <is>
          <t>20260303002292</t>
        </is>
      </c>
      <c r="H1970" s="8">
        <f>HYPERLINK("https://dart.fss.or.kr/dsaf001/main.do?rcpNo=20260303002292", "공시열람")</f>
        <v/>
      </c>
    </row>
    <row r="1971">
      <c r="A1971" s="2" t="inlineStr">
        <is>
          <t>2026-03-03</t>
        </is>
      </c>
      <c r="B1971" s="3" t="inlineStr">
        <is>
          <t>싸이닉솔루션</t>
        </is>
      </c>
      <c r="C1971" s="2" t="inlineStr">
        <is>
          <t>코스닥</t>
        </is>
      </c>
      <c r="D1971" s="2" t="inlineStr">
        <is>
          <t>234030</t>
        </is>
      </c>
      <c r="E1971" s="3" t="inlineStr">
        <is>
          <t>사외이사의선임ㆍ해임또는중도퇴임에관한신고</t>
        </is>
      </c>
      <c r="F1971" s="3" t="inlineStr">
        <is>
          <t>싸이닉솔루션</t>
        </is>
      </c>
      <c r="G1971" s="2" t="inlineStr">
        <is>
          <t>20260303002291</t>
        </is>
      </c>
      <c r="H1971" s="8">
        <f>HYPERLINK("https://dart.fss.or.kr/dsaf001/main.do?rcpNo=20260303002291", "공시열람")</f>
        <v/>
      </c>
    </row>
    <row r="1972">
      <c r="A1972" s="2" t="inlineStr">
        <is>
          <t>2026-03-03</t>
        </is>
      </c>
      <c r="B1972" s="3" t="inlineStr">
        <is>
          <t>두산</t>
        </is>
      </c>
      <c r="C1972" s="2" t="inlineStr">
        <is>
          <t>코스피</t>
        </is>
      </c>
      <c r="D1972" s="2" t="inlineStr">
        <is>
          <t>000150</t>
        </is>
      </c>
      <c r="E1972" s="3" t="inlineStr">
        <is>
          <t>자기주식처분결과보고서</t>
        </is>
      </c>
      <c r="F1972" s="3" t="inlineStr">
        <is>
          <t>두산</t>
        </is>
      </c>
      <c r="G1972" s="2" t="inlineStr">
        <is>
          <t>20260303002286</t>
        </is>
      </c>
      <c r="H1972" s="8">
        <f>HYPERLINK("https://dart.fss.or.kr/dsaf001/main.do?rcpNo=20260303002286", "공시열람")</f>
        <v/>
      </c>
    </row>
    <row r="1973">
      <c r="A1973" s="2" t="inlineStr">
        <is>
          <t>2026-03-03</t>
        </is>
      </c>
      <c r="B1973" s="3" t="inlineStr">
        <is>
          <t>교보증권</t>
        </is>
      </c>
      <c r="C1973" s="2" t="inlineStr">
        <is>
          <t>코스피</t>
        </is>
      </c>
      <c r="D1973" s="2" t="inlineStr">
        <is>
          <t>030610</t>
        </is>
      </c>
      <c r="E1973" s="3" t="inlineStr">
        <is>
          <t>증권발행실적보고서</t>
        </is>
      </c>
      <c r="F1973" s="3" t="inlineStr">
        <is>
          <t>교보증권</t>
        </is>
      </c>
      <c r="G1973" s="2" t="inlineStr">
        <is>
          <t>20260303002279</t>
        </is>
      </c>
      <c r="H1973" s="8">
        <f>HYPERLINK("https://dart.fss.or.kr/dsaf001/main.do?rcpNo=20260303002279", "공시열람")</f>
        <v/>
      </c>
    </row>
    <row r="1974">
      <c r="A1974" s="2" t="inlineStr">
        <is>
          <t>2026-02-25 (정정: 2026-03-03)</t>
        </is>
      </c>
      <c r="B1974" s="3" t="inlineStr">
        <is>
          <t>우진</t>
        </is>
      </c>
      <c r="C1974" s="2" t="inlineStr">
        <is>
          <t>코스피</t>
        </is>
      </c>
      <c r="D1974" s="2" t="inlineStr">
        <is>
          <t>105840</t>
        </is>
      </c>
      <c r="E1974" s="3" t="inlineStr">
        <is>
          <t xml:space="preserve">[기재정정]현금ㆍ현물배당결정              </t>
        </is>
      </c>
      <c r="F1974" s="3" t="inlineStr">
        <is>
          <t>우진</t>
        </is>
      </c>
      <c r="G1974" s="2" t="inlineStr">
        <is>
          <t>20260303800591</t>
        </is>
      </c>
      <c r="H1974" s="8">
        <f>HYPERLINK("https://dart.fss.or.kr/dsaf001/main.do?rcpNo=20260303800591", "공시열람")</f>
        <v/>
      </c>
    </row>
    <row r="1975">
      <c r="A1975" s="2" t="inlineStr">
        <is>
          <t>2026-03-03</t>
        </is>
      </c>
      <c r="B1975" s="3" t="inlineStr">
        <is>
          <t>교보증권</t>
        </is>
      </c>
      <c r="C1975" s="2" t="inlineStr">
        <is>
          <t>코스피</t>
        </is>
      </c>
      <c r="D1975" s="2" t="inlineStr">
        <is>
          <t>030610</t>
        </is>
      </c>
      <c r="E1975" s="3" t="inlineStr">
        <is>
          <t>증권발행실적보고서</t>
        </is>
      </c>
      <c r="F1975" s="3" t="inlineStr">
        <is>
          <t>교보증권</t>
        </is>
      </c>
      <c r="G1975" s="2" t="inlineStr">
        <is>
          <t>20260303002262</t>
        </is>
      </c>
      <c r="H1975" s="8">
        <f>HYPERLINK("https://dart.fss.or.kr/dsaf001/main.do?rcpNo=20260303002262", "공시열람")</f>
        <v/>
      </c>
    </row>
    <row r="1976">
      <c r="A1976" s="2" t="inlineStr">
        <is>
          <t>2026-03-03</t>
        </is>
      </c>
      <c r="B1976" s="3" t="inlineStr">
        <is>
          <t>NH투자증권</t>
        </is>
      </c>
      <c r="C1976" s="2" t="inlineStr">
        <is>
          <t>코스피</t>
        </is>
      </c>
      <c r="D1976" s="2" t="inlineStr">
        <is>
          <t>005940</t>
        </is>
      </c>
      <c r="E1976" s="3" t="inlineStr">
        <is>
          <t>투자설명서(일괄신고)</t>
        </is>
      </c>
      <c r="F1976" s="3" t="inlineStr">
        <is>
          <t>NH투자증권</t>
        </is>
      </c>
      <c r="G1976" s="2" t="inlineStr">
        <is>
          <t>20260303002261</t>
        </is>
      </c>
      <c r="H1976" s="8">
        <f>HYPERLINK("https://dart.fss.or.kr/dsaf001/main.do?rcpNo=20260303002261", "공시열람")</f>
        <v/>
      </c>
    </row>
    <row r="1977">
      <c r="A1977" s="2" t="inlineStr">
        <is>
          <t>2026-03-03</t>
        </is>
      </c>
      <c r="B1977" s="3" t="inlineStr">
        <is>
          <t>현대자동차</t>
        </is>
      </c>
      <c r="C1977" s="2" t="inlineStr">
        <is>
          <t>코스피</t>
        </is>
      </c>
      <c r="D1977" s="2" t="inlineStr">
        <is>
          <t>005380</t>
        </is>
      </c>
      <c r="E1977" s="3" t="inlineStr">
        <is>
          <t xml:space="preserve">영업(잠정)실적(공정공시)              </t>
        </is>
      </c>
      <c r="F1977" s="3" t="inlineStr">
        <is>
          <t>현대자동차</t>
        </is>
      </c>
      <c r="G1977" s="2" t="inlineStr">
        <is>
          <t>20260303800605</t>
        </is>
      </c>
      <c r="H1977" s="8">
        <f>HYPERLINK("https://dart.fss.or.kr/dsaf001/main.do?rcpNo=20260303800605", "공시열람")</f>
        <v/>
      </c>
    </row>
    <row r="1978">
      <c r="A1978" s="2" t="inlineStr">
        <is>
          <t>2026-03-03</t>
        </is>
      </c>
      <c r="B1978" s="3" t="inlineStr">
        <is>
          <t>KG모빌리티</t>
        </is>
      </c>
      <c r="C1978" s="2" t="inlineStr">
        <is>
          <t>코스피</t>
        </is>
      </c>
      <c r="D1978" s="2" t="inlineStr">
        <is>
          <t>003620</t>
        </is>
      </c>
      <c r="E1978" s="3" t="inlineStr">
        <is>
          <t xml:space="preserve">영업(잠정)실적(공정공시)              </t>
        </is>
      </c>
      <c r="F1978" s="3" t="inlineStr">
        <is>
          <t>KG모빌리티</t>
        </is>
      </c>
      <c r="G1978" s="2" t="inlineStr">
        <is>
          <t>20260303800597</t>
        </is>
      </c>
      <c r="H1978" s="8">
        <f>HYPERLINK("https://dart.fss.or.kr/dsaf001/main.do?rcpNo=20260303800597", "공시열람")</f>
        <v/>
      </c>
    </row>
    <row r="1979">
      <c r="A1979" s="2" t="inlineStr">
        <is>
          <t>2026-03-03</t>
        </is>
      </c>
      <c r="B1979" s="3" t="inlineStr">
        <is>
          <t>유니온</t>
        </is>
      </c>
      <c r="C1979" s="2" t="inlineStr">
        <is>
          <t>코스피</t>
        </is>
      </c>
      <c r="D1979" s="2" t="inlineStr">
        <is>
          <t>000910</t>
        </is>
      </c>
      <c r="E1979" s="3" t="inlineStr">
        <is>
          <t xml:space="preserve">대표이사(대표집행임원)변경(안내공시)              </t>
        </is>
      </c>
      <c r="F1979" s="3" t="inlineStr">
        <is>
          <t>유니온</t>
        </is>
      </c>
      <c r="G1979" s="2" t="inlineStr">
        <is>
          <t>20260303800627</t>
        </is>
      </c>
      <c r="H1979" s="8">
        <f>HYPERLINK("https://dart.fss.or.kr/dsaf001/main.do?rcpNo=20260303800627", "공시열람")</f>
        <v/>
      </c>
    </row>
    <row r="1980">
      <c r="A1980" s="2" t="inlineStr">
        <is>
          <t>2026-03-03</t>
        </is>
      </c>
      <c r="B1980" s="3" t="inlineStr">
        <is>
          <t>삼화왕관</t>
        </is>
      </c>
      <c r="C1980" s="2" t="inlineStr">
        <is>
          <t>코스피</t>
        </is>
      </c>
      <c r="D1980" s="2" t="inlineStr">
        <is>
          <t>004450</t>
        </is>
      </c>
      <c r="E1980" s="3" t="inlineStr">
        <is>
          <t xml:space="preserve">현금ㆍ현물배당결정              </t>
        </is>
      </c>
      <c r="F1980" s="3" t="inlineStr">
        <is>
          <t>삼화왕관</t>
        </is>
      </c>
      <c r="G1980" s="2" t="inlineStr">
        <is>
          <t>20260303800624</t>
        </is>
      </c>
      <c r="H1980" s="8">
        <f>HYPERLINK("https://dart.fss.or.kr/dsaf001/main.do?rcpNo=20260303800624", "공시열람")</f>
        <v/>
      </c>
    </row>
    <row r="1981">
      <c r="A1981" s="2" t="inlineStr">
        <is>
          <t>2026-03-03</t>
        </is>
      </c>
      <c r="B1981" s="3" t="inlineStr">
        <is>
          <t>교보증권</t>
        </is>
      </c>
      <c r="C1981" s="2" t="inlineStr">
        <is>
          <t>코스피</t>
        </is>
      </c>
      <c r="D1981" s="2" t="inlineStr">
        <is>
          <t>030610</t>
        </is>
      </c>
      <c r="E1981" s="3" t="inlineStr">
        <is>
          <t>증권발행실적보고서</t>
        </is>
      </c>
      <c r="F1981" s="3" t="inlineStr">
        <is>
          <t>교보증권</t>
        </is>
      </c>
      <c r="G1981" s="2" t="inlineStr">
        <is>
          <t>20260303002245</t>
        </is>
      </c>
      <c r="H1981" s="8">
        <f>HYPERLINK("https://dart.fss.or.kr/dsaf001/main.do?rcpNo=20260303002245", "공시열람")</f>
        <v/>
      </c>
    </row>
    <row r="1982">
      <c r="A1982" s="2" t="inlineStr">
        <is>
          <t>2026-03-03</t>
        </is>
      </c>
      <c r="B1982" s="3" t="inlineStr">
        <is>
          <t>대양전기공업</t>
        </is>
      </c>
      <c r="C1982" s="2" t="inlineStr">
        <is>
          <t>코스닥</t>
        </is>
      </c>
      <c r="D1982" s="2" t="inlineStr">
        <is>
          <t>108380</t>
        </is>
      </c>
      <c r="E1982" s="3" t="inlineStr">
        <is>
          <t xml:space="preserve">현금ㆍ현물배당결정              </t>
        </is>
      </c>
      <c r="F1982" s="3" t="inlineStr">
        <is>
          <t>대양전기공업</t>
        </is>
      </c>
      <c r="G1982" s="2" t="inlineStr">
        <is>
          <t>20260303900594</t>
        </is>
      </c>
      <c r="H1982" s="8">
        <f>HYPERLINK("https://dart.fss.or.kr/dsaf001/main.do?rcpNo=20260303900594", "공시열람")</f>
        <v/>
      </c>
    </row>
    <row r="1983">
      <c r="A1983" s="2" t="inlineStr">
        <is>
          <t>2026-03-03</t>
        </is>
      </c>
      <c r="B1983" s="3" t="inlineStr">
        <is>
          <t>대신증권</t>
        </is>
      </c>
      <c r="C1983" s="2" t="inlineStr">
        <is>
          <t>코스피</t>
        </is>
      </c>
      <c r="D1983" s="2" t="inlineStr">
        <is>
          <t>003540</t>
        </is>
      </c>
      <c r="E1983" s="3" t="inlineStr">
        <is>
          <t>일괄신고추가서류(파생결합사채-주가연계파생결합사채)</t>
        </is>
      </c>
      <c r="F1983" s="3" t="inlineStr">
        <is>
          <t>대신증권</t>
        </is>
      </c>
      <c r="G1983" s="2" t="inlineStr">
        <is>
          <t>20260303002236</t>
        </is>
      </c>
      <c r="H1983" s="8">
        <f>HYPERLINK("https://dart.fss.or.kr/dsaf001/main.do?rcpNo=20260303002236", "공시열람")</f>
        <v/>
      </c>
    </row>
    <row r="1984">
      <c r="A1984" s="2" t="inlineStr">
        <is>
          <t>2026-03-03</t>
        </is>
      </c>
      <c r="B1984" s="3" t="inlineStr">
        <is>
          <t>SAMG엔터</t>
        </is>
      </c>
      <c r="C1984" s="2" t="inlineStr">
        <is>
          <t>코스닥</t>
        </is>
      </c>
      <c r="D1984" s="2" t="inlineStr">
        <is>
          <t>419530</t>
        </is>
      </c>
      <c r="E1984" s="3" t="inlineStr">
        <is>
          <t>기타경영사항(자율공시)              (자기사채(제2회 무기명식 이권부 무보증 사모 전환사채) 소각 결정의 건)</t>
        </is>
      </c>
      <c r="F1984" s="3" t="inlineStr">
        <is>
          <t>SAMG엔터</t>
        </is>
      </c>
      <c r="G1984" s="2" t="inlineStr">
        <is>
          <t>20260303900592</t>
        </is>
      </c>
      <c r="H1984" s="8">
        <f>HYPERLINK("https://dart.fss.or.kr/dsaf001/main.do?rcpNo=20260303900592", "공시열람")</f>
        <v/>
      </c>
    </row>
    <row r="1985">
      <c r="A1985" s="2" t="inlineStr">
        <is>
          <t>2026-03-03</t>
        </is>
      </c>
      <c r="B1985" s="3" t="inlineStr">
        <is>
          <t>에스엔시스</t>
        </is>
      </c>
      <c r="C1985" s="2" t="inlineStr">
        <is>
          <t>코스닥</t>
        </is>
      </c>
      <c r="D1985" s="2" t="inlineStr">
        <is>
          <t>0008Z0</t>
        </is>
      </c>
      <c r="E1985" s="3" t="inlineStr">
        <is>
          <t xml:space="preserve">기업설명회(IR)개최              </t>
        </is>
      </c>
      <c r="F1985" s="3" t="inlineStr">
        <is>
          <t>에스엔시스</t>
        </is>
      </c>
      <c r="G1985" s="2" t="inlineStr">
        <is>
          <t>20260303900596</t>
        </is>
      </c>
      <c r="H1985" s="8">
        <f>HYPERLINK("https://dart.fss.or.kr/dsaf001/main.do?rcpNo=20260303900596", "공시열람")</f>
        <v/>
      </c>
    </row>
    <row r="1986">
      <c r="A1986" s="2" t="inlineStr">
        <is>
          <t>2026-03-03</t>
        </is>
      </c>
      <c r="B1986" s="3" t="inlineStr">
        <is>
          <t>동양</t>
        </is>
      </c>
      <c r="C1986" s="2" t="inlineStr">
        <is>
          <t>코스피</t>
        </is>
      </c>
      <c r="D1986" s="2" t="inlineStr">
        <is>
          <t>001520</t>
        </is>
      </c>
      <c r="E1986" s="3" t="inlineStr">
        <is>
          <t>임원ㆍ주요주주특정증권등소유상황보고서</t>
        </is>
      </c>
      <c r="F1986" s="3" t="inlineStr">
        <is>
          <t>황이석</t>
        </is>
      </c>
      <c r="G1986" s="2" t="inlineStr">
        <is>
          <t>20260303002231</t>
        </is>
      </c>
      <c r="H1986" s="8">
        <f>HYPERLINK("https://dart.fss.or.kr/dsaf001/main.do?rcpNo=20260303002231", "공시열람")</f>
        <v/>
      </c>
    </row>
    <row r="1987">
      <c r="A1987" s="2" t="inlineStr">
        <is>
          <t>2026-03-03</t>
        </is>
      </c>
      <c r="B1987" s="3" t="inlineStr">
        <is>
          <t>킵스파마</t>
        </is>
      </c>
      <c r="C1987" s="2" t="inlineStr">
        <is>
          <t>코스닥</t>
        </is>
      </c>
      <c r="D1987" s="2" t="inlineStr">
        <is>
          <t>256940</t>
        </is>
      </c>
      <c r="E1987" s="3" t="inlineStr">
        <is>
          <t>임원ㆍ주요주주특정증권등소유상황보고서</t>
        </is>
      </c>
      <c r="F1987" s="3" t="inlineStr">
        <is>
          <t>김형규</t>
        </is>
      </c>
      <c r="G1987" s="2" t="inlineStr">
        <is>
          <t>20260303002222</t>
        </is>
      </c>
      <c r="H1987" s="8">
        <f>HYPERLINK("https://dart.fss.or.kr/dsaf001/main.do?rcpNo=20260303002222", "공시열람")</f>
        <v/>
      </c>
    </row>
    <row r="1988">
      <c r="A1988" s="2" t="inlineStr">
        <is>
          <t>2026-03-03</t>
        </is>
      </c>
      <c r="B1988" s="3" t="inlineStr">
        <is>
          <t>롯데리츠</t>
        </is>
      </c>
      <c r="C1988" s="2" t="inlineStr">
        <is>
          <t>코스피</t>
        </is>
      </c>
      <c r="D1988" s="2" t="inlineStr">
        <is>
          <t>330590</t>
        </is>
      </c>
      <c r="E1988" s="3" t="inlineStr">
        <is>
          <t xml:space="preserve">기업설명회(IR)개최(안내공시)              </t>
        </is>
      </c>
      <c r="F1988" s="3" t="inlineStr">
        <is>
          <t>롯데리츠</t>
        </is>
      </c>
      <c r="G1988" s="2" t="inlineStr">
        <is>
          <t>20260303800530</t>
        </is>
      </c>
      <c r="H1988" s="8">
        <f>HYPERLINK("https://dart.fss.or.kr/dsaf001/main.do?rcpNo=20260303800530", "공시열람")</f>
        <v/>
      </c>
    </row>
    <row r="1989">
      <c r="A1989" s="2" t="inlineStr">
        <is>
          <t>2026-03-03</t>
        </is>
      </c>
      <c r="B1989" s="3" t="inlineStr">
        <is>
          <t>롯데리츠</t>
        </is>
      </c>
      <c r="C1989" s="2" t="inlineStr">
        <is>
          <t>코스피</t>
        </is>
      </c>
      <c r="D1989" s="2" t="inlineStr">
        <is>
          <t>330590</t>
        </is>
      </c>
      <c r="E1989" s="3" t="inlineStr">
        <is>
          <t xml:space="preserve">기업설명회(IR)개최(안내공시)              </t>
        </is>
      </c>
      <c r="F1989" s="3" t="inlineStr">
        <is>
          <t>롯데리츠</t>
        </is>
      </c>
      <c r="G1989" s="2" t="inlineStr">
        <is>
          <t>20260303800524</t>
        </is>
      </c>
      <c r="H1989" s="8">
        <f>HYPERLINK("https://dart.fss.or.kr/dsaf001/main.do?rcpNo=20260303800524", "공시열람")</f>
        <v/>
      </c>
    </row>
    <row r="1990">
      <c r="A1990" s="2" t="inlineStr">
        <is>
          <t>2026-03-03</t>
        </is>
      </c>
      <c r="B1990" s="3" t="inlineStr">
        <is>
          <t>대신밸류리츠</t>
        </is>
      </c>
      <c r="C1990" s="2" t="inlineStr">
        <is>
          <t>코스피</t>
        </is>
      </c>
      <c r="D1990" s="2" t="inlineStr">
        <is>
          <t>0030R0</t>
        </is>
      </c>
      <c r="E1990" s="3" t="inlineStr">
        <is>
          <t xml:space="preserve">기타경영사항(자율공시)              </t>
        </is>
      </c>
      <c r="F1990" s="3" t="inlineStr">
        <is>
          <t>대신밸류리츠</t>
        </is>
      </c>
      <c r="G1990" s="2" t="inlineStr">
        <is>
          <t>20260303800523</t>
        </is>
      </c>
      <c r="H1990" s="8">
        <f>HYPERLINK("https://dart.fss.or.kr/dsaf001/main.do?rcpNo=20260303800523", "공시열람")</f>
        <v/>
      </c>
    </row>
    <row r="1991">
      <c r="A1991" s="2" t="inlineStr">
        <is>
          <t>2026-03-03</t>
        </is>
      </c>
      <c r="B1991" s="3" t="inlineStr">
        <is>
          <t>스튜디오드래곤</t>
        </is>
      </c>
      <c r="C1991" s="2" t="inlineStr">
        <is>
          <t>코스닥</t>
        </is>
      </c>
      <c r="D1991" s="2" t="inlineStr">
        <is>
          <t>253450</t>
        </is>
      </c>
      <c r="E1991" s="3" t="inlineStr">
        <is>
          <t>자기주식처분결과보고서</t>
        </is>
      </c>
      <c r="F1991" s="3" t="inlineStr">
        <is>
          <t>스튜디오드래곤</t>
        </is>
      </c>
      <c r="G1991" s="2" t="inlineStr">
        <is>
          <t>20260303002171</t>
        </is>
      </c>
      <c r="H1991" s="8">
        <f>HYPERLINK("https://dart.fss.or.kr/dsaf001/main.do?rcpNo=20260303002171", "공시열람")</f>
        <v/>
      </c>
    </row>
    <row r="1992">
      <c r="A1992" s="2" t="inlineStr">
        <is>
          <t>2026-03-03</t>
        </is>
      </c>
      <c r="B1992" s="3" t="inlineStr">
        <is>
          <t>NH투자증권</t>
        </is>
      </c>
      <c r="C1992" s="2" t="inlineStr">
        <is>
          <t>코스피</t>
        </is>
      </c>
      <c r="D1992" s="2" t="inlineStr">
        <is>
          <t>005940</t>
        </is>
      </c>
      <c r="E1992" s="3" t="inlineStr">
        <is>
          <t>일괄신고추가서류(파생결합증권-주가연계증권)</t>
        </is>
      </c>
      <c r="F1992" s="3" t="inlineStr">
        <is>
          <t>NH투자증권</t>
        </is>
      </c>
      <c r="G1992" s="2" t="inlineStr">
        <is>
          <t>20260303002163</t>
        </is>
      </c>
      <c r="H1992" s="8">
        <f>HYPERLINK("https://dart.fss.or.kr/dsaf001/main.do?rcpNo=20260303002163", "공시열람")</f>
        <v/>
      </c>
    </row>
    <row r="1993">
      <c r="A1993" s="2" t="inlineStr">
        <is>
          <t>2026-03-03</t>
        </is>
      </c>
      <c r="B1993" s="3" t="inlineStr">
        <is>
          <t>케이엠제약</t>
        </is>
      </c>
      <c r="C1993" s="2" t="inlineStr">
        <is>
          <t>코스닥</t>
        </is>
      </c>
      <c r="D1993" s="2" t="inlineStr">
        <is>
          <t>225430</t>
        </is>
      </c>
      <c r="E1993" s="3" t="inlineStr">
        <is>
          <t>임원ㆍ주요주주특정증권등소유상황보고서</t>
        </is>
      </c>
      <c r="F1993" s="3" t="inlineStr">
        <is>
          <t>BAIK BRIAN SEUNG WON(백승원)</t>
        </is>
      </c>
      <c r="G1993" s="2" t="inlineStr">
        <is>
          <t>20260303002152</t>
        </is>
      </c>
      <c r="H1993" s="8">
        <f>HYPERLINK("https://dart.fss.or.kr/dsaf001/main.do?rcpNo=20260303002152", "공시열람")</f>
        <v/>
      </c>
    </row>
    <row r="1994">
      <c r="A1994" s="2" t="inlineStr">
        <is>
          <t>2026-03-03</t>
        </is>
      </c>
      <c r="B1994" s="3" t="inlineStr">
        <is>
          <t>대양전기공업</t>
        </is>
      </c>
      <c r="C1994" s="2" t="inlineStr">
        <is>
          <t>코스닥</t>
        </is>
      </c>
      <c r="D1994" s="2" t="inlineStr">
        <is>
          <t>108380</t>
        </is>
      </c>
      <c r="E1994" s="3" t="inlineStr">
        <is>
          <t xml:space="preserve">매출액또는손익구조30%(대규모법인은15%)이상변동              </t>
        </is>
      </c>
      <c r="F1994" s="3" t="inlineStr">
        <is>
          <t>대양전기공업</t>
        </is>
      </c>
      <c r="G1994" s="2" t="inlineStr">
        <is>
          <t>20260303900545</t>
        </is>
      </c>
      <c r="H1994" s="8">
        <f>HYPERLINK("https://dart.fss.or.kr/dsaf001/main.do?rcpNo=20260303900545", "공시열람")</f>
        <v/>
      </c>
    </row>
    <row r="1995">
      <c r="A1995" s="2" t="inlineStr">
        <is>
          <t>2026-03-03</t>
        </is>
      </c>
      <c r="B1995" s="3" t="inlineStr">
        <is>
          <t>일진파워</t>
        </is>
      </c>
      <c r="C1995" s="2" t="inlineStr">
        <is>
          <t>코스닥</t>
        </is>
      </c>
      <c r="D1995" s="2" t="inlineStr">
        <is>
          <t>094820</t>
        </is>
      </c>
      <c r="E1995" s="3" t="inlineStr">
        <is>
          <t>의결권대리행사권유참고서류</t>
        </is>
      </c>
      <c r="F1995" s="3" t="inlineStr">
        <is>
          <t>일진파워</t>
        </is>
      </c>
      <c r="G1995" s="2" t="inlineStr">
        <is>
          <t>20260303002137</t>
        </is>
      </c>
      <c r="H1995" s="8">
        <f>HYPERLINK("https://dart.fss.or.kr/dsaf001/main.do?rcpNo=20260303002137", "공시열람")</f>
        <v/>
      </c>
    </row>
    <row r="1996">
      <c r="A1996" s="2" t="inlineStr">
        <is>
          <t>2026-03-03</t>
        </is>
      </c>
      <c r="B1996" s="3" t="inlineStr">
        <is>
          <t>한국콜마</t>
        </is>
      </c>
      <c r="C1996" s="2" t="inlineStr">
        <is>
          <t>코스피</t>
        </is>
      </c>
      <c r="D1996" s="2" t="inlineStr">
        <is>
          <t>161890</t>
        </is>
      </c>
      <c r="E1996" s="3" t="inlineStr">
        <is>
          <t xml:space="preserve">풍문또는보도에대한해명(미확정)              </t>
        </is>
      </c>
      <c r="F1996" s="3" t="inlineStr">
        <is>
          <t>한국콜마</t>
        </is>
      </c>
      <c r="G1996" s="2" t="inlineStr">
        <is>
          <t>20260303800484</t>
        </is>
      </c>
      <c r="H1996" s="8">
        <f>HYPERLINK("https://dart.fss.or.kr/dsaf001/main.do?rcpNo=20260303800484", "공시열람")</f>
        <v/>
      </c>
    </row>
    <row r="1997">
      <c r="A1997" s="2" t="inlineStr">
        <is>
          <t>2026-03-03</t>
        </is>
      </c>
      <c r="B1997" s="3" t="inlineStr">
        <is>
          <t>삼현철강</t>
        </is>
      </c>
      <c r="C1997" s="2" t="inlineStr">
        <is>
          <t>코스닥</t>
        </is>
      </c>
      <c r="D1997" s="2" t="inlineStr">
        <is>
          <t>017480</t>
        </is>
      </c>
      <c r="E1997" s="3" t="inlineStr">
        <is>
          <t xml:space="preserve">감사보고서제출              </t>
        </is>
      </c>
      <c r="F1997" s="3" t="inlineStr">
        <is>
          <t>삼현철강</t>
        </is>
      </c>
      <c r="G1997" s="2" t="inlineStr">
        <is>
          <t>20260303900497</t>
        </is>
      </c>
      <c r="H1997" s="8">
        <f>HYPERLINK("https://dart.fss.or.kr/dsaf001/main.do?rcpNo=20260303900497", "공시열람")</f>
        <v/>
      </c>
    </row>
    <row r="1998">
      <c r="A1998" s="2" t="inlineStr">
        <is>
          <t>2026-03-03 (정정: 2026-03-04)</t>
        </is>
      </c>
      <c r="B1998" s="3" t="inlineStr">
        <is>
          <t>동양이엔피</t>
        </is>
      </c>
      <c r="C1998" s="2" t="inlineStr">
        <is>
          <t>코스닥</t>
        </is>
      </c>
      <c r="D1998" s="2" t="inlineStr">
        <is>
          <t>079960</t>
        </is>
      </c>
      <c r="E1998" s="3" t="inlineStr">
        <is>
          <t>임원ㆍ주요주주특정증권등소유상황보고서 (정정: 20260304)</t>
        </is>
      </c>
      <c r="F1998" s="3" t="inlineStr">
        <is>
          <t>김태관</t>
        </is>
      </c>
      <c r="G1998" s="2" t="inlineStr">
        <is>
          <t>20260304000170</t>
        </is>
      </c>
      <c r="H1998" s="8">
        <f>HYPERLINK("https://dart.fss.or.kr/dsaf001/main.do?rcpNo=20260304000170", "공시열람")</f>
        <v/>
      </c>
    </row>
    <row r="1999">
      <c r="A1999" s="2" t="inlineStr">
        <is>
          <t>2026-03-03</t>
        </is>
      </c>
      <c r="B1999" s="3" t="inlineStr">
        <is>
          <t>한화투자증권</t>
        </is>
      </c>
      <c r="C1999" s="2" t="inlineStr">
        <is>
          <t>코스피</t>
        </is>
      </c>
      <c r="D1999" s="2" t="inlineStr">
        <is>
          <t>003530</t>
        </is>
      </c>
      <c r="E1999" s="3" t="inlineStr">
        <is>
          <t>증권발행실적보고서</t>
        </is>
      </c>
      <c r="F1999" s="3" t="inlineStr">
        <is>
          <t>한화투자증권</t>
        </is>
      </c>
      <c r="G1999" s="2" t="inlineStr">
        <is>
          <t>20260303002087</t>
        </is>
      </c>
      <c r="H1999" s="8">
        <f>HYPERLINK("https://dart.fss.or.kr/dsaf001/main.do?rcpNo=20260303002087", "공시열람")</f>
        <v/>
      </c>
    </row>
    <row r="2000">
      <c r="A2000" s="2" t="inlineStr">
        <is>
          <t>2026-03-03</t>
        </is>
      </c>
      <c r="B2000" s="3" t="inlineStr">
        <is>
          <t>한화투자증권</t>
        </is>
      </c>
      <c r="C2000" s="2" t="inlineStr">
        <is>
          <t>코스피</t>
        </is>
      </c>
      <c r="D2000" s="2" t="inlineStr">
        <is>
          <t>003530</t>
        </is>
      </c>
      <c r="E2000" s="3" t="inlineStr">
        <is>
          <t>증권발행실적보고서</t>
        </is>
      </c>
      <c r="F2000" s="3" t="inlineStr">
        <is>
          <t>한화투자증권</t>
        </is>
      </c>
      <c r="G2000" s="2" t="inlineStr">
        <is>
          <t>20260303002077</t>
        </is>
      </c>
      <c r="H2000" s="8">
        <f>HYPERLINK("https://dart.fss.or.kr/dsaf001/main.do?rcpNo=20260303002077", "공시열람")</f>
        <v/>
      </c>
    </row>
    <row r="2001">
      <c r="A2001" s="2" t="inlineStr">
        <is>
          <t>2026-03-03</t>
        </is>
      </c>
      <c r="B2001" s="3" t="inlineStr">
        <is>
          <t>티앤알바이오팹</t>
        </is>
      </c>
      <c r="C2001" s="2" t="inlineStr">
        <is>
          <t>코스닥</t>
        </is>
      </c>
      <c r="D2001" s="2" t="inlineStr">
        <is>
          <t>246710</t>
        </is>
      </c>
      <c r="E2001" s="3" t="inlineStr">
        <is>
          <t>의결권대리행사권유참고서류</t>
        </is>
      </c>
      <c r="F2001" s="3" t="inlineStr">
        <is>
          <t>티앤알바이오팹</t>
        </is>
      </c>
      <c r="G2001" s="2" t="inlineStr">
        <is>
          <t>20260303002072</t>
        </is>
      </c>
      <c r="H2001" s="8">
        <f>HYPERLINK("https://dart.fss.or.kr/dsaf001/main.do?rcpNo=20260303002072", "공시열람")</f>
        <v/>
      </c>
    </row>
    <row r="2002">
      <c r="A2002" s="2" t="inlineStr">
        <is>
          <t>2026-03-03</t>
        </is>
      </c>
      <c r="B2002" s="3" t="inlineStr">
        <is>
          <t>동방메디컬</t>
        </is>
      </c>
      <c r="C2002" s="2" t="inlineStr">
        <is>
          <t>코스닥</t>
        </is>
      </c>
      <c r="D2002" s="2" t="inlineStr">
        <is>
          <t>240550</t>
        </is>
      </c>
      <c r="E2002" s="3" t="inlineStr">
        <is>
          <t>기타경영사항(자율공시)              (Elasty HA Filler (G type), 아랍에미리트 식품의약국 (EMIRATES DRUG ESTABLISHMENT) 에서 품목허가)</t>
        </is>
      </c>
      <c r="F2002" s="3" t="inlineStr">
        <is>
          <t>동방메디컬</t>
        </is>
      </c>
      <c r="G2002" s="2" t="inlineStr">
        <is>
          <t>20260303900496</t>
        </is>
      </c>
      <c r="H2002" s="8">
        <f>HYPERLINK("https://dart.fss.or.kr/dsaf001/main.do?rcpNo=20260303900496", "공시열람")</f>
        <v/>
      </c>
    </row>
    <row r="2003">
      <c r="A2003" s="2" t="inlineStr">
        <is>
          <t>2026-03-03</t>
        </is>
      </c>
      <c r="B2003" s="3" t="inlineStr">
        <is>
          <t>동양이엔피</t>
        </is>
      </c>
      <c r="C2003" s="2" t="inlineStr">
        <is>
          <t>코스닥</t>
        </is>
      </c>
      <c r="D2003" s="2" t="inlineStr">
        <is>
          <t>079960</t>
        </is>
      </c>
      <c r="E2003" s="3" t="inlineStr">
        <is>
          <t>임원ㆍ주요주주특정증권등소유상황보고서</t>
        </is>
      </c>
      <c r="F2003" s="3" t="inlineStr">
        <is>
          <t>양관석</t>
        </is>
      </c>
      <c r="G2003" s="2" t="inlineStr">
        <is>
          <t>20260303002064</t>
        </is>
      </c>
      <c r="H2003" s="8">
        <f>HYPERLINK("https://dart.fss.or.kr/dsaf001/main.do?rcpNo=20260303002064", "공시열람")</f>
        <v/>
      </c>
    </row>
    <row r="2004">
      <c r="A2004" s="2" t="inlineStr">
        <is>
          <t>2026-03-03</t>
        </is>
      </c>
      <c r="B2004" s="3" t="inlineStr">
        <is>
          <t>NH투자증권</t>
        </is>
      </c>
      <c r="C2004" s="2" t="inlineStr">
        <is>
          <t>코스피</t>
        </is>
      </c>
      <c r="D2004" s="2" t="inlineStr">
        <is>
          <t>005940</t>
        </is>
      </c>
      <c r="E2004" s="3" t="inlineStr">
        <is>
          <t>일괄신고추가서류(파생결합증권-주가연계증권)</t>
        </is>
      </c>
      <c r="F2004" s="3" t="inlineStr">
        <is>
          <t>NH투자증권</t>
        </is>
      </c>
      <c r="G2004" s="2" t="inlineStr">
        <is>
          <t>20260303002058</t>
        </is>
      </c>
      <c r="H2004" s="8">
        <f>HYPERLINK("https://dart.fss.or.kr/dsaf001/main.do?rcpNo=20260303002058", "공시열람")</f>
        <v/>
      </c>
    </row>
    <row r="2005">
      <c r="A2005" s="2" t="inlineStr">
        <is>
          <t>2026-03-03</t>
        </is>
      </c>
      <c r="B2005" s="3" t="inlineStr">
        <is>
          <t>한화투자증권</t>
        </is>
      </c>
      <c r="C2005" s="2" t="inlineStr">
        <is>
          <t>코스피</t>
        </is>
      </c>
      <c r="D2005" s="2" t="inlineStr">
        <is>
          <t>003530</t>
        </is>
      </c>
      <c r="E2005" s="3" t="inlineStr">
        <is>
          <t>증권발행실적보고서</t>
        </is>
      </c>
      <c r="F2005" s="3" t="inlineStr">
        <is>
          <t>한화투자증권</t>
        </is>
      </c>
      <c r="G2005" s="2" t="inlineStr">
        <is>
          <t>20260303002054</t>
        </is>
      </c>
      <c r="H2005" s="8">
        <f>HYPERLINK("https://dart.fss.or.kr/dsaf001/main.do?rcpNo=20260303002054", "공시열람")</f>
        <v/>
      </c>
    </row>
    <row r="2006">
      <c r="A2006" s="2" t="inlineStr">
        <is>
          <t>2026-03-03</t>
        </is>
      </c>
      <c r="B2006" s="3" t="inlineStr">
        <is>
          <t>금호석유화학</t>
        </is>
      </c>
      <c r="C2006" s="2" t="inlineStr">
        <is>
          <t>코스피</t>
        </is>
      </c>
      <c r="D2006" s="2" t="inlineStr">
        <is>
          <t>011780</t>
        </is>
      </c>
      <c r="E2006" s="3" t="inlineStr">
        <is>
          <t>사외이사의선임ㆍ해임또는중도퇴임에관한신고</t>
        </is>
      </c>
      <c r="F2006" s="3" t="inlineStr">
        <is>
          <t>금호석유화학</t>
        </is>
      </c>
      <c r="G2006" s="2" t="inlineStr">
        <is>
          <t>20260303002047</t>
        </is>
      </c>
      <c r="H2006" s="8">
        <f>HYPERLINK("https://dart.fss.or.kr/dsaf001/main.do?rcpNo=20260303002047", "공시열람")</f>
        <v/>
      </c>
    </row>
    <row r="2007">
      <c r="A2007" s="2" t="inlineStr">
        <is>
          <t>2026-03-03</t>
        </is>
      </c>
      <c r="B2007" s="3" t="inlineStr">
        <is>
          <t>고려제약</t>
        </is>
      </c>
      <c r="C2007" s="2" t="inlineStr">
        <is>
          <t>코스닥</t>
        </is>
      </c>
      <c r="D2007" s="2" t="inlineStr">
        <is>
          <t>014570</t>
        </is>
      </c>
      <c r="E2007" s="3" t="inlineStr">
        <is>
          <t>주요사항보고서(자기주식처분결정)</t>
        </is>
      </c>
      <c r="F2007" s="3" t="inlineStr">
        <is>
          <t>고려제약</t>
        </is>
      </c>
      <c r="G2007" s="2" t="inlineStr">
        <is>
          <t>20260303001845</t>
        </is>
      </c>
      <c r="H2007" s="8">
        <f>HYPERLINK("https://dart.fss.or.kr/dsaf001/main.do?rcpNo=20260303001845", "공시열람")</f>
        <v/>
      </c>
    </row>
    <row r="2008">
      <c r="A2008" s="2" t="inlineStr">
        <is>
          <t>2026-03-03</t>
        </is>
      </c>
      <c r="B2008" s="3" t="inlineStr">
        <is>
          <t>동양이엔피</t>
        </is>
      </c>
      <c r="C2008" s="2" t="inlineStr">
        <is>
          <t>코스닥</t>
        </is>
      </c>
      <c r="D2008" s="2" t="inlineStr">
        <is>
          <t>079960</t>
        </is>
      </c>
      <c r="E2008" s="3" t="inlineStr">
        <is>
          <t>임원ㆍ주요주주특정증권등소유상황보고서</t>
        </is>
      </c>
      <c r="F2008" s="3" t="inlineStr">
        <is>
          <t>조인호</t>
        </is>
      </c>
      <c r="G2008" s="2" t="inlineStr">
        <is>
          <t>20260303002029</t>
        </is>
      </c>
      <c r="H2008" s="8">
        <f>HYPERLINK("https://dart.fss.or.kr/dsaf001/main.do?rcpNo=20260303002029", "공시열람")</f>
        <v/>
      </c>
    </row>
    <row r="2009">
      <c r="A2009" s="2" t="inlineStr">
        <is>
          <t>2026-03-03</t>
        </is>
      </c>
      <c r="B2009" s="3" t="inlineStr">
        <is>
          <t>경남스틸</t>
        </is>
      </c>
      <c r="C2009" s="2" t="inlineStr">
        <is>
          <t>코스닥</t>
        </is>
      </c>
      <c r="D2009" s="2" t="inlineStr">
        <is>
          <t>039240</t>
        </is>
      </c>
      <c r="E2009" s="3" t="inlineStr">
        <is>
          <t>기업가치제고계획(자율공시)              (2026년)</t>
        </is>
      </c>
      <c r="F2009" s="3" t="inlineStr">
        <is>
          <t>경남스틸</t>
        </is>
      </c>
      <c r="G2009" s="2" t="inlineStr">
        <is>
          <t>20260303900398</t>
        </is>
      </c>
      <c r="H2009" s="8">
        <f>HYPERLINK("https://dart.fss.or.kr/dsaf001/main.do?rcpNo=20260303900398", "공시열람")</f>
        <v/>
      </c>
    </row>
    <row r="2010">
      <c r="A2010" s="2" t="inlineStr">
        <is>
          <t>2026-03-03</t>
        </is>
      </c>
      <c r="B2010" s="3" t="inlineStr">
        <is>
          <t>앤씨앤</t>
        </is>
      </c>
      <c r="C2010" s="2" t="inlineStr">
        <is>
          <t>코스닥</t>
        </is>
      </c>
      <c r="D2010" s="2" t="inlineStr">
        <is>
          <t>092600</t>
        </is>
      </c>
      <c r="E2010" s="3" t="inlineStr">
        <is>
          <t xml:space="preserve">주식병합결정              </t>
        </is>
      </c>
      <c r="F2010" s="3" t="inlineStr">
        <is>
          <t>앤씨앤</t>
        </is>
      </c>
      <c r="G2010" s="2" t="inlineStr">
        <is>
          <t>20260303900446</t>
        </is>
      </c>
      <c r="H2010" s="8">
        <f>HYPERLINK("https://dart.fss.or.kr/dsaf001/main.do?rcpNo=20260303900446", "공시열람")</f>
        <v/>
      </c>
    </row>
    <row r="2011">
      <c r="A2011" s="2" t="inlineStr">
        <is>
          <t>2026-03-03</t>
        </is>
      </c>
      <c r="B2011" s="3" t="inlineStr">
        <is>
          <t>한국항공우주</t>
        </is>
      </c>
      <c r="C2011" s="2" t="inlineStr">
        <is>
          <t>코스피</t>
        </is>
      </c>
      <c r="D2011" s="2" t="inlineStr">
        <is>
          <t>047810</t>
        </is>
      </c>
      <c r="E2011" s="3" t="inlineStr">
        <is>
          <t>의결권대리행사권유참고서류</t>
        </is>
      </c>
      <c r="F2011" s="3" t="inlineStr">
        <is>
          <t>한국항공우주</t>
        </is>
      </c>
      <c r="G2011" s="2" t="inlineStr">
        <is>
          <t>20260303002006</t>
        </is>
      </c>
      <c r="H2011" s="8">
        <f>HYPERLINK("https://dart.fss.or.kr/dsaf001/main.do?rcpNo=20260303002006", "공시열람")</f>
        <v/>
      </c>
    </row>
    <row r="2012">
      <c r="A2012" s="2" t="inlineStr">
        <is>
          <t>2026-03-03</t>
        </is>
      </c>
      <c r="B2012" s="3" t="inlineStr">
        <is>
          <t>동양이엔피</t>
        </is>
      </c>
      <c r="C2012" s="2" t="inlineStr">
        <is>
          <t>코스닥</t>
        </is>
      </c>
      <c r="D2012" s="2" t="inlineStr">
        <is>
          <t>079960</t>
        </is>
      </c>
      <c r="E2012" s="3" t="inlineStr">
        <is>
          <t>임원ㆍ주요주주특정증권등소유상황보고서</t>
        </is>
      </c>
      <c r="F2012" s="3" t="inlineStr">
        <is>
          <t>김진수</t>
        </is>
      </c>
      <c r="G2012" s="2" t="inlineStr">
        <is>
          <t>20260303001998</t>
        </is>
      </c>
      <c r="H2012" s="8">
        <f>HYPERLINK("https://dart.fss.or.kr/dsaf001/main.do?rcpNo=20260303001998", "공시열람")</f>
        <v/>
      </c>
    </row>
    <row r="2013">
      <c r="A2013" s="2" t="inlineStr">
        <is>
          <t>2026-03-03</t>
        </is>
      </c>
      <c r="B2013" s="3" t="inlineStr">
        <is>
          <t>트리니티항공</t>
        </is>
      </c>
      <c r="C2013" s="2" t="inlineStr">
        <is>
          <t>코스피</t>
        </is>
      </c>
      <c r="D2013" s="2" t="inlineStr">
        <is>
          <t>091810</t>
        </is>
      </c>
      <c r="E2013" s="3" t="inlineStr">
        <is>
          <t>의결권대리행사권유참고서류</t>
        </is>
      </c>
      <c r="F2013" s="3" t="inlineStr">
        <is>
          <t>트리니티항공</t>
        </is>
      </c>
      <c r="G2013" s="2" t="inlineStr">
        <is>
          <t>20260303001941</t>
        </is>
      </c>
      <c r="H2013" s="8">
        <f>HYPERLINK("https://dart.fss.or.kr/dsaf001/main.do?rcpNo=20260303001941", "공시열람")</f>
        <v/>
      </c>
    </row>
    <row r="2014">
      <c r="A2014" s="2" t="inlineStr">
        <is>
          <t>2026-03-03</t>
        </is>
      </c>
      <c r="B2014" s="3" t="inlineStr">
        <is>
          <t>현대차증권</t>
        </is>
      </c>
      <c r="C2014" s="2" t="inlineStr">
        <is>
          <t>코스피</t>
        </is>
      </c>
      <c r="D2014" s="2" t="inlineStr">
        <is>
          <t>001500</t>
        </is>
      </c>
      <c r="E2014" s="3" t="inlineStr">
        <is>
          <t>증권발행실적보고서</t>
        </is>
      </c>
      <c r="F2014" s="3" t="inlineStr">
        <is>
          <t>현대차증권</t>
        </is>
      </c>
      <c r="G2014" s="2" t="inlineStr">
        <is>
          <t>20260303001937</t>
        </is>
      </c>
      <c r="H2014" s="8">
        <f>HYPERLINK("https://dart.fss.or.kr/dsaf001/main.do?rcpNo=20260303001937", "공시열람")</f>
        <v/>
      </c>
    </row>
    <row r="2015">
      <c r="A2015" s="2" t="inlineStr">
        <is>
          <t>2026-03-03</t>
        </is>
      </c>
      <c r="B2015" s="3" t="inlineStr">
        <is>
          <t>윈스테크넷</t>
        </is>
      </c>
      <c r="C2015" s="2" t="inlineStr">
        <is>
          <t>코스닥</t>
        </is>
      </c>
      <c r="D2015" s="2" t="inlineStr">
        <is>
          <t>136540</t>
        </is>
      </c>
      <c r="E2015" s="3" t="inlineStr">
        <is>
          <t xml:space="preserve">영업실적등에대한전망(공정공시)              </t>
        </is>
      </c>
      <c r="F2015" s="3" t="inlineStr">
        <is>
          <t>윈스테크넷</t>
        </is>
      </c>
      <c r="G2015" s="2" t="inlineStr">
        <is>
          <t>20260303900379</t>
        </is>
      </c>
      <c r="H2015" s="8">
        <f>HYPERLINK("https://dart.fss.or.kr/dsaf001/main.do?rcpNo=20260303900379", "공시열람")</f>
        <v/>
      </c>
    </row>
    <row r="2016">
      <c r="A2016" s="2" t="inlineStr">
        <is>
          <t>2026-03-03</t>
        </is>
      </c>
      <c r="B2016" s="3" t="inlineStr">
        <is>
          <t>한세예스24홀딩스</t>
        </is>
      </c>
      <c r="C2016" s="2" t="inlineStr">
        <is>
          <t>코스피</t>
        </is>
      </c>
      <c r="D2016" s="2" t="inlineStr">
        <is>
          <t>016450</t>
        </is>
      </c>
      <c r="E2016" s="3" t="inlineStr">
        <is>
          <t xml:space="preserve">매출액또는손익구조30%(대규모법인은15%)이상변경(자회사의 주요경영사항)              </t>
        </is>
      </c>
      <c r="F2016" s="3" t="inlineStr">
        <is>
          <t>한세예스24홀딩스</t>
        </is>
      </c>
      <c r="G2016" s="2" t="inlineStr">
        <is>
          <t>20260303800439</t>
        </is>
      </c>
      <c r="H2016" s="8">
        <f>HYPERLINK("https://dart.fss.or.kr/dsaf001/main.do?rcpNo=20260303800439", "공시열람")</f>
        <v/>
      </c>
    </row>
    <row r="2017">
      <c r="A2017" s="2" t="inlineStr">
        <is>
          <t>2026-03-03</t>
        </is>
      </c>
      <c r="B2017" s="3" t="inlineStr">
        <is>
          <t>한세예스24홀딩스</t>
        </is>
      </c>
      <c r="C2017" s="2" t="inlineStr">
        <is>
          <t>코스피</t>
        </is>
      </c>
      <c r="D2017" s="2" t="inlineStr">
        <is>
          <t>016450</t>
        </is>
      </c>
      <c r="E2017" s="3" t="inlineStr">
        <is>
          <t xml:space="preserve">현금ㆍ현물배당결정(자회사의 주요경영사항)              </t>
        </is>
      </c>
      <c r="F2017" s="3" t="inlineStr">
        <is>
          <t>한세예스24홀딩스</t>
        </is>
      </c>
      <c r="G2017" s="2" t="inlineStr">
        <is>
          <t>20260303800429</t>
        </is>
      </c>
      <c r="H2017" s="8">
        <f>HYPERLINK("https://dart.fss.or.kr/dsaf001/main.do?rcpNo=20260303800429", "공시열람")</f>
        <v/>
      </c>
    </row>
    <row r="2018">
      <c r="A2018" s="2" t="inlineStr">
        <is>
          <t>2026-03-03</t>
        </is>
      </c>
      <c r="B2018" s="3" t="inlineStr">
        <is>
          <t>윈스테크넷</t>
        </is>
      </c>
      <c r="C2018" s="2" t="inlineStr">
        <is>
          <t>코스닥</t>
        </is>
      </c>
      <c r="D2018" s="2" t="inlineStr">
        <is>
          <t>136540</t>
        </is>
      </c>
      <c r="E2018" s="3" t="inlineStr">
        <is>
          <t xml:space="preserve">연결재무제표기준영업실적등에대한전망(공정공시)              </t>
        </is>
      </c>
      <c r="F2018" s="3" t="inlineStr">
        <is>
          <t>윈스테크넷</t>
        </is>
      </c>
      <c r="G2018" s="2" t="inlineStr">
        <is>
          <t>20260303900377</t>
        </is>
      </c>
      <c r="H2018" s="8">
        <f>HYPERLINK("https://dart.fss.or.kr/dsaf001/main.do?rcpNo=20260303900377", "공시열람")</f>
        <v/>
      </c>
    </row>
    <row r="2019">
      <c r="A2019" s="2" t="inlineStr">
        <is>
          <t>2026-03-03</t>
        </is>
      </c>
      <c r="B2019" s="3" t="inlineStr">
        <is>
          <t>엑셀세라퓨틱스</t>
        </is>
      </c>
      <c r="C2019" s="2" t="inlineStr">
        <is>
          <t>코스닥</t>
        </is>
      </c>
      <c r="D2019" s="2" t="inlineStr">
        <is>
          <t>373110</t>
        </is>
      </c>
      <c r="E2019" s="3" t="inlineStr">
        <is>
          <t>주요사항보고서(타법인주식및출자증권양도결정)</t>
        </is>
      </c>
      <c r="F2019" s="3" t="inlineStr">
        <is>
          <t>엑셀세라퓨틱스</t>
        </is>
      </c>
      <c r="G2019" s="2" t="inlineStr">
        <is>
          <t>20260303001754</t>
        </is>
      </c>
      <c r="H2019" s="8">
        <f>HYPERLINK("https://dart.fss.or.kr/dsaf001/main.do?rcpNo=20260303001754", "공시열람")</f>
        <v/>
      </c>
    </row>
    <row r="2020">
      <c r="A2020" s="2" t="inlineStr">
        <is>
          <t>2026-03-03</t>
        </is>
      </c>
      <c r="B2020" s="3" t="inlineStr">
        <is>
          <t>브리지텍</t>
        </is>
      </c>
      <c r="C2020" s="2" t="inlineStr">
        <is>
          <t>코스닥</t>
        </is>
      </c>
      <c r="D2020" s="2" t="inlineStr">
        <is>
          <t>064480</t>
        </is>
      </c>
      <c r="E2020" s="3" t="inlineStr">
        <is>
          <t>자기주식처분결과보고서</t>
        </is>
      </c>
      <c r="F2020" s="3" t="inlineStr">
        <is>
          <t>브리지텍</t>
        </is>
      </c>
      <c r="G2020" s="2" t="inlineStr">
        <is>
          <t>20260303001854</t>
        </is>
      </c>
      <c r="H2020" s="8">
        <f>HYPERLINK("https://dart.fss.or.kr/dsaf001/main.do?rcpNo=20260303001854", "공시열람")</f>
        <v/>
      </c>
    </row>
    <row r="2021">
      <c r="A2021" s="2" t="inlineStr">
        <is>
          <t>2026-03-03</t>
        </is>
      </c>
      <c r="B2021" s="3" t="inlineStr">
        <is>
          <t>삼성FN리츠</t>
        </is>
      </c>
      <c r="C2021" s="2" t="inlineStr">
        <is>
          <t>코스피</t>
        </is>
      </c>
      <c r="D2021" s="2" t="inlineStr">
        <is>
          <t>448730</t>
        </is>
      </c>
      <c r="E2021" s="3" t="inlineStr">
        <is>
          <t xml:space="preserve">매출액또는손익구조30%(대규모법인은15%)이상변경              </t>
        </is>
      </c>
      <c r="F2021" s="3" t="inlineStr">
        <is>
          <t>삼성FN리츠</t>
        </is>
      </c>
      <c r="G2021" s="2" t="inlineStr">
        <is>
          <t>20260303800381</t>
        </is>
      </c>
      <c r="H2021" s="8">
        <f>HYPERLINK("https://dart.fss.or.kr/dsaf001/main.do?rcpNo=20260303800381", "공시열람")</f>
        <v/>
      </c>
    </row>
    <row r="2022">
      <c r="A2022" s="2" t="inlineStr">
        <is>
          <t>2026-03-03</t>
        </is>
      </c>
      <c r="B2022" s="3" t="inlineStr">
        <is>
          <t>영보화학</t>
        </is>
      </c>
      <c r="C2022" s="2" t="inlineStr">
        <is>
          <t>코스피</t>
        </is>
      </c>
      <c r="D2022" s="2" t="inlineStr">
        <is>
          <t>014440</t>
        </is>
      </c>
      <c r="E2022" s="3" t="inlineStr">
        <is>
          <t>의결권대리행사권유참고서류</t>
        </is>
      </c>
      <c r="F2022" s="3" t="inlineStr">
        <is>
          <t>영보화학</t>
        </is>
      </c>
      <c r="G2022" s="2" t="inlineStr">
        <is>
          <t>20260303001844</t>
        </is>
      </c>
      <c r="H2022" s="8">
        <f>HYPERLINK("https://dart.fss.or.kr/dsaf001/main.do?rcpNo=20260303001844", "공시열람")</f>
        <v/>
      </c>
    </row>
    <row r="2023">
      <c r="A2023" s="2" t="inlineStr">
        <is>
          <t>2026-03-03</t>
        </is>
      </c>
      <c r="B2023" s="3" t="inlineStr">
        <is>
          <t>파인텍</t>
        </is>
      </c>
      <c r="C2023" s="2" t="inlineStr">
        <is>
          <t>코스닥</t>
        </is>
      </c>
      <c r="D2023" s="2" t="inlineStr">
        <is>
          <t>131760</t>
        </is>
      </c>
      <c r="E2023" s="3" t="inlineStr">
        <is>
          <t>의결권대리행사권유참고서류</t>
        </is>
      </c>
      <c r="F2023" s="3" t="inlineStr">
        <is>
          <t>파인텍</t>
        </is>
      </c>
      <c r="G2023" s="2" t="inlineStr">
        <is>
          <t>20260303001840</t>
        </is>
      </c>
      <c r="H2023" s="8">
        <f>HYPERLINK("https://dart.fss.or.kr/dsaf001/main.do?rcpNo=20260303001840", "공시열람")</f>
        <v/>
      </c>
    </row>
    <row r="2024">
      <c r="A2024" s="2" t="inlineStr">
        <is>
          <t>2026-03-03</t>
        </is>
      </c>
      <c r="B2024" s="3" t="inlineStr">
        <is>
          <t>삼성물산</t>
        </is>
      </c>
      <c r="C2024" s="2" t="inlineStr">
        <is>
          <t>코스피</t>
        </is>
      </c>
      <c r="D2024" s="2" t="inlineStr">
        <is>
          <t>028260</t>
        </is>
      </c>
      <c r="E2024" s="3" t="inlineStr">
        <is>
          <t>대규모기업집단현황공시[분기별공시(개별회사용)]</t>
        </is>
      </c>
      <c r="F2024" s="3" t="inlineStr">
        <is>
          <t>삼성물산</t>
        </is>
      </c>
      <c r="G2024" s="2" t="inlineStr">
        <is>
          <t>20260303001827</t>
        </is>
      </c>
      <c r="H2024" s="8">
        <f>HYPERLINK("https://dart.fss.or.kr/dsaf001/main.do?rcpNo=20260303001827", "공시열람")</f>
        <v/>
      </c>
    </row>
    <row r="2025">
      <c r="A2025" s="2" t="inlineStr">
        <is>
          <t>2026-03-03 (정정: 2026-03-11)</t>
        </is>
      </c>
      <c r="B2025" s="3" t="inlineStr">
        <is>
          <t>삼성카드</t>
        </is>
      </c>
      <c r="C2025" s="2" t="inlineStr">
        <is>
          <t>코스피</t>
        </is>
      </c>
      <c r="D2025" s="2" t="inlineStr">
        <is>
          <t>029780</t>
        </is>
      </c>
      <c r="E2025" s="3" t="inlineStr">
        <is>
          <t>대규모기업집단현황공시[분기별공시(개별회사용)] (정정: 20260311)</t>
        </is>
      </c>
      <c r="F2025" s="3" t="inlineStr">
        <is>
          <t>삼성카드</t>
        </is>
      </c>
      <c r="G2025" s="2" t="inlineStr">
        <is>
          <t>20260311004138</t>
        </is>
      </c>
      <c r="H2025" s="8">
        <f>HYPERLINK("https://dart.fss.or.kr/dsaf001/main.do?rcpNo=20260311004138", "공시열람")</f>
        <v/>
      </c>
    </row>
    <row r="2026">
      <c r="A2026" s="2" t="inlineStr">
        <is>
          <t>2026-03-03</t>
        </is>
      </c>
      <c r="B2026" s="3" t="inlineStr">
        <is>
          <t>유안타증권</t>
        </is>
      </c>
      <c r="C2026" s="2" t="inlineStr">
        <is>
          <t>코스피</t>
        </is>
      </c>
      <c r="D2026" s="2" t="inlineStr">
        <is>
          <t>003470</t>
        </is>
      </c>
      <c r="E2026" s="3" t="inlineStr">
        <is>
          <t>투자설명서(일괄신고)</t>
        </is>
      </c>
      <c r="F2026" s="3" t="inlineStr">
        <is>
          <t>유안타증권</t>
        </is>
      </c>
      <c r="G2026" s="2" t="inlineStr">
        <is>
          <t>20260303001804</t>
        </is>
      </c>
      <c r="H2026" s="8">
        <f>HYPERLINK("https://dart.fss.or.kr/dsaf001/main.do?rcpNo=20260303001804", "공시열람")</f>
        <v/>
      </c>
    </row>
    <row r="2027">
      <c r="A2027" s="2" t="inlineStr">
        <is>
          <t>2026-03-03</t>
        </is>
      </c>
      <c r="B2027" s="3" t="inlineStr">
        <is>
          <t>모두투어</t>
        </is>
      </c>
      <c r="C2027" s="2" t="inlineStr">
        <is>
          <t>코스닥</t>
        </is>
      </c>
      <c r="D2027" s="2" t="inlineStr">
        <is>
          <t>080160</t>
        </is>
      </c>
      <c r="E2027" s="3" t="inlineStr">
        <is>
          <t>주요사항보고서(자기주식처분결정)</t>
        </is>
      </c>
      <c r="F2027" s="3" t="inlineStr">
        <is>
          <t>모두투어</t>
        </is>
      </c>
      <c r="G2027" s="2" t="inlineStr">
        <is>
          <t>20260303001723</t>
        </is>
      </c>
      <c r="H2027" s="8">
        <f>HYPERLINK("https://dart.fss.or.kr/dsaf001/main.do?rcpNo=20260303001723", "공시열람")</f>
        <v/>
      </c>
    </row>
    <row r="2028">
      <c r="A2028" s="2" t="inlineStr">
        <is>
          <t>2026-03-03</t>
        </is>
      </c>
      <c r="B2028" s="3" t="inlineStr">
        <is>
          <t>하이드로리튬</t>
        </is>
      </c>
      <c r="C2028" s="2" t="inlineStr">
        <is>
          <t>코스닥</t>
        </is>
      </c>
      <c r="D2028" s="2" t="inlineStr">
        <is>
          <t>101670</t>
        </is>
      </c>
      <c r="E2028" s="3" t="inlineStr">
        <is>
          <t xml:space="preserve">증권발행결과(자율공시)              </t>
        </is>
      </c>
      <c r="F2028" s="3" t="inlineStr">
        <is>
          <t>하이드로리튬</t>
        </is>
      </c>
      <c r="G2028" s="2" t="inlineStr">
        <is>
          <t>20260303900317</t>
        </is>
      </c>
      <c r="H2028" s="8">
        <f>HYPERLINK("https://dart.fss.or.kr/dsaf001/main.do?rcpNo=20260303900317", "공시열람")</f>
        <v/>
      </c>
    </row>
    <row r="2029">
      <c r="A2029" s="2" t="inlineStr">
        <is>
          <t>2026-03-03</t>
        </is>
      </c>
      <c r="B2029" s="3" t="inlineStr">
        <is>
          <t>유안타증권</t>
        </is>
      </c>
      <c r="C2029" s="2" t="inlineStr">
        <is>
          <t>코스피</t>
        </is>
      </c>
      <c r="D2029" s="2" t="inlineStr">
        <is>
          <t>003470</t>
        </is>
      </c>
      <c r="E2029" s="3" t="inlineStr">
        <is>
          <t>일괄신고추가서류(파생결합사채-주가연계파생결합사채)</t>
        </is>
      </c>
      <c r="F2029" s="3" t="inlineStr">
        <is>
          <t>유안타증권</t>
        </is>
      </c>
      <c r="G2029" s="2" t="inlineStr">
        <is>
          <t>20260303001777</t>
        </is>
      </c>
      <c r="H2029" s="8">
        <f>HYPERLINK("https://dart.fss.or.kr/dsaf001/main.do?rcpNo=20260303001777", "공시열람")</f>
        <v/>
      </c>
    </row>
    <row r="2030">
      <c r="A2030" s="2" t="inlineStr">
        <is>
          <t>2026-03-03</t>
        </is>
      </c>
      <c r="B2030" s="3" t="inlineStr">
        <is>
          <t>키움증권</t>
        </is>
      </c>
      <c r="C2030" s="2" t="inlineStr">
        <is>
          <t>코스피</t>
        </is>
      </c>
      <c r="D2030" s="2" t="inlineStr">
        <is>
          <t>039490</t>
        </is>
      </c>
      <c r="E2030" s="3" t="inlineStr">
        <is>
          <t>투자설명서(일괄신고)</t>
        </is>
      </c>
      <c r="F2030" s="3" t="inlineStr">
        <is>
          <t>키움증권</t>
        </is>
      </c>
      <c r="G2030" s="2" t="inlineStr">
        <is>
          <t>20260303001774</t>
        </is>
      </c>
      <c r="H2030" s="8">
        <f>HYPERLINK("https://dart.fss.or.kr/dsaf001/main.do?rcpNo=20260303001774", "공시열람")</f>
        <v/>
      </c>
    </row>
    <row r="2031">
      <c r="A2031" s="2" t="inlineStr">
        <is>
          <t>2026-03-03</t>
        </is>
      </c>
      <c r="B2031" s="3" t="inlineStr">
        <is>
          <t>파인텍</t>
        </is>
      </c>
      <c r="C2031" s="2" t="inlineStr">
        <is>
          <t>코스닥</t>
        </is>
      </c>
      <c r="D2031" s="2" t="inlineStr">
        <is>
          <t>131760</t>
        </is>
      </c>
      <c r="E2031" s="3" t="inlineStr">
        <is>
          <t xml:space="preserve">매출액또는손익구조30%(대규모법인은15%)이상변동              </t>
        </is>
      </c>
      <c r="F2031" s="3" t="inlineStr">
        <is>
          <t>파인텍</t>
        </is>
      </c>
      <c r="G2031" s="2" t="inlineStr">
        <is>
          <t>20260303900322</t>
        </is>
      </c>
      <c r="H2031" s="8">
        <f>HYPERLINK("https://dart.fss.or.kr/dsaf001/main.do?rcpNo=20260303900322", "공시열람")</f>
        <v/>
      </c>
    </row>
    <row r="2032">
      <c r="A2032" s="2" t="inlineStr">
        <is>
          <t>2026-03-03 (정정: 2026-03-16)</t>
        </is>
      </c>
      <c r="B2032" s="3" t="inlineStr">
        <is>
          <t>더코디</t>
        </is>
      </c>
      <c r="C2032" s="2" t="inlineStr">
        <is>
          <t>코스닥</t>
        </is>
      </c>
      <c r="D2032" s="2" t="inlineStr">
        <is>
          <t>224060</t>
        </is>
      </c>
      <c r="E2032" s="3" t="inlineStr">
        <is>
          <t>전환가액의조정              (제9회차) (정정: 20260316)</t>
        </is>
      </c>
      <c r="F2032" s="3" t="inlineStr">
        <is>
          <t>더코디</t>
        </is>
      </c>
      <c r="G2032" s="2" t="inlineStr">
        <is>
          <t>20260316001421</t>
        </is>
      </c>
      <c r="H2032" s="8">
        <f>HYPERLINK("https://dart.fss.or.kr/dsaf001/main.do?rcpNo=20260316001421", "공시열람")</f>
        <v/>
      </c>
    </row>
    <row r="2033">
      <c r="A2033" s="2" t="inlineStr">
        <is>
          <t>2026-03-03</t>
        </is>
      </c>
      <c r="B2033" s="3" t="inlineStr">
        <is>
          <t>씨케이솔루션</t>
        </is>
      </c>
      <c r="C2033" s="2" t="inlineStr">
        <is>
          <t>코스피</t>
        </is>
      </c>
      <c r="D2033" s="2" t="inlineStr">
        <is>
          <t>480370</t>
        </is>
      </c>
      <c r="E2033" s="3" t="inlineStr">
        <is>
          <t>자기주식처분결과보고서</t>
        </is>
      </c>
      <c r="F2033" s="3" t="inlineStr">
        <is>
          <t>씨케이솔루션</t>
        </is>
      </c>
      <c r="G2033" s="2" t="inlineStr">
        <is>
          <t>20260303001757</t>
        </is>
      </c>
      <c r="H2033" s="8">
        <f>HYPERLINK("https://dart.fss.or.kr/dsaf001/main.do?rcpNo=20260303001757", "공시열람")</f>
        <v/>
      </c>
    </row>
    <row r="2034">
      <c r="A2034" s="2" t="inlineStr">
        <is>
          <t>2026-03-03 (정정: 2026-03-03)</t>
        </is>
      </c>
      <c r="B2034" s="3" t="inlineStr">
        <is>
          <t>다원넥스뷰</t>
        </is>
      </c>
      <c r="C2034" s="2" t="inlineStr">
        <is>
          <t>코스닥</t>
        </is>
      </c>
      <c r="D2034" s="2" t="inlineStr">
        <is>
          <t>323350</t>
        </is>
      </c>
      <c r="E2034" s="3" t="inlineStr">
        <is>
          <t>[기재정정]임원ㆍ주요주주특정증권등소유상황보고서</t>
        </is>
      </c>
      <c r="F2034" s="3" t="inlineStr">
        <is>
          <t>이동건</t>
        </is>
      </c>
      <c r="G2034" s="2" t="inlineStr">
        <is>
          <t>20260303001750</t>
        </is>
      </c>
      <c r="H2034" s="8">
        <f>HYPERLINK("https://dart.fss.or.kr/dsaf001/main.do?rcpNo=20260303001750", "공시열람")</f>
        <v/>
      </c>
    </row>
    <row r="2035">
      <c r="A2035" s="2" t="inlineStr">
        <is>
          <t>2026-03-03</t>
        </is>
      </c>
      <c r="B2035" s="3" t="inlineStr">
        <is>
          <t>파인텍</t>
        </is>
      </c>
      <c r="C2035" s="2" t="inlineStr">
        <is>
          <t>코스닥</t>
        </is>
      </c>
      <c r="D2035" s="2" t="inlineStr">
        <is>
          <t>131760</t>
        </is>
      </c>
      <c r="E2035" s="3" t="inlineStr">
        <is>
          <t xml:space="preserve">주식병합결정              </t>
        </is>
      </c>
      <c r="F2035" s="3" t="inlineStr">
        <is>
          <t>파인텍</t>
        </is>
      </c>
      <c r="G2035" s="2" t="inlineStr">
        <is>
          <t>20260303900366</t>
        </is>
      </c>
      <c r="H2035" s="8">
        <f>HYPERLINK("https://dart.fss.or.kr/dsaf001/main.do?rcpNo=20260303900366", "공시열람")</f>
        <v/>
      </c>
    </row>
    <row r="2036">
      <c r="A2036" s="2" t="inlineStr">
        <is>
          <t>2026-03-03</t>
        </is>
      </c>
      <c r="B2036" s="3" t="inlineStr">
        <is>
          <t>교보증권</t>
        </is>
      </c>
      <c r="C2036" s="2" t="inlineStr">
        <is>
          <t>코스피</t>
        </is>
      </c>
      <c r="D2036" s="2" t="inlineStr">
        <is>
          <t>030610</t>
        </is>
      </c>
      <c r="E2036" s="3" t="inlineStr">
        <is>
          <t>투자설명서(일괄신고)</t>
        </is>
      </c>
      <c r="F2036" s="3" t="inlineStr">
        <is>
          <t>교보증권</t>
        </is>
      </c>
      <c r="G2036" s="2" t="inlineStr">
        <is>
          <t>20260303001738</t>
        </is>
      </c>
      <c r="H2036" s="8">
        <f>HYPERLINK("https://dart.fss.or.kr/dsaf001/main.do?rcpNo=20260303001738", "공시열람")</f>
        <v/>
      </c>
    </row>
    <row r="2037">
      <c r="A2037" s="2" t="inlineStr">
        <is>
          <t>2026-03-03</t>
        </is>
      </c>
      <c r="B2037" s="3" t="inlineStr">
        <is>
          <t>미래에셋증권</t>
        </is>
      </c>
      <c r="C2037" s="2" t="inlineStr">
        <is>
          <t>코스피</t>
        </is>
      </c>
      <c r="D2037" s="2" t="inlineStr">
        <is>
          <t>006800</t>
        </is>
      </c>
      <c r="E2037" s="3" t="inlineStr">
        <is>
          <t>투자설명서(일괄신고)</t>
        </is>
      </c>
      <c r="F2037" s="3" t="inlineStr">
        <is>
          <t>미래에셋증권</t>
        </is>
      </c>
      <c r="G2037" s="2" t="inlineStr">
        <is>
          <t>20260303001734</t>
        </is>
      </c>
      <c r="H2037" s="8">
        <f>HYPERLINK("https://dart.fss.or.kr/dsaf001/main.do?rcpNo=20260303001734", "공시열람")</f>
        <v/>
      </c>
    </row>
    <row r="2038">
      <c r="A2038" s="2" t="inlineStr">
        <is>
          <t>2026-03-03</t>
        </is>
      </c>
      <c r="B2038" s="3" t="inlineStr">
        <is>
          <t>키움증권</t>
        </is>
      </c>
      <c r="C2038" s="2" t="inlineStr">
        <is>
          <t>코스피</t>
        </is>
      </c>
      <c r="D2038" s="2" t="inlineStr">
        <is>
          <t>039490</t>
        </is>
      </c>
      <c r="E2038" s="3" t="inlineStr">
        <is>
          <t>일괄신고추가서류(파생결합사채-주가연계파생결합사채)</t>
        </is>
      </c>
      <c r="F2038" s="3" t="inlineStr">
        <is>
          <t>키움증권</t>
        </is>
      </c>
      <c r="G2038" s="2" t="inlineStr">
        <is>
          <t>20260303001733</t>
        </is>
      </c>
      <c r="H2038" s="8">
        <f>HYPERLINK("https://dart.fss.or.kr/dsaf001/main.do?rcpNo=20260303001733", "공시열람")</f>
        <v/>
      </c>
    </row>
    <row r="2039">
      <c r="A2039" s="2" t="inlineStr">
        <is>
          <t>2026-03-03</t>
        </is>
      </c>
      <c r="B2039" s="3" t="inlineStr">
        <is>
          <t>손오공</t>
        </is>
      </c>
      <c r="C2039" s="2" t="inlineStr">
        <is>
          <t>코스닥</t>
        </is>
      </c>
      <c r="D2039" s="2" t="inlineStr">
        <is>
          <t>066910</t>
        </is>
      </c>
      <c r="E2039" s="3" t="inlineStr">
        <is>
          <t xml:space="preserve">주식병합결정              </t>
        </is>
      </c>
      <c r="F2039" s="3" t="inlineStr">
        <is>
          <t>손오공</t>
        </is>
      </c>
      <c r="G2039" s="2" t="inlineStr">
        <is>
          <t>20260303900357</t>
        </is>
      </c>
      <c r="H2039" s="8">
        <f>HYPERLINK("https://dart.fss.or.kr/dsaf001/main.do?rcpNo=20260303900357", "공시열람")</f>
        <v/>
      </c>
    </row>
    <row r="2040">
      <c r="A2040" s="2" t="inlineStr">
        <is>
          <t>2026-03-03</t>
        </is>
      </c>
      <c r="B2040" s="3" t="inlineStr">
        <is>
          <t>교보증권</t>
        </is>
      </c>
      <c r="C2040" s="2" t="inlineStr">
        <is>
          <t>코스피</t>
        </is>
      </c>
      <c r="D2040" s="2" t="inlineStr">
        <is>
          <t>030610</t>
        </is>
      </c>
      <c r="E2040" s="3" t="inlineStr">
        <is>
          <t>일괄신고추가서류(파생결합사채-주가연계파생결합사채)</t>
        </is>
      </c>
      <c r="F2040" s="3" t="inlineStr">
        <is>
          <t>교보증권</t>
        </is>
      </c>
      <c r="G2040" s="2" t="inlineStr">
        <is>
          <t>20260303001729</t>
        </is>
      </c>
      <c r="H2040" s="8">
        <f>HYPERLINK("https://dart.fss.or.kr/dsaf001/main.do?rcpNo=20260303001729", "공시열람")</f>
        <v/>
      </c>
    </row>
    <row r="2041">
      <c r="A2041" s="2" t="inlineStr">
        <is>
          <t>2026-03-03</t>
        </is>
      </c>
      <c r="B2041" s="3" t="inlineStr">
        <is>
          <t>삼성바이오로직스</t>
        </is>
      </c>
      <c r="C2041" s="2" t="inlineStr">
        <is>
          <t>코스피</t>
        </is>
      </c>
      <c r="D2041" s="2" t="inlineStr">
        <is>
          <t>207940</t>
        </is>
      </c>
      <c r="E2041" s="3" t="inlineStr">
        <is>
          <t>대규모기업집단현황공시[분기별공시(개별회사용)]</t>
        </is>
      </c>
      <c r="F2041" s="3" t="inlineStr">
        <is>
          <t>삼성바이오로직스</t>
        </is>
      </c>
      <c r="G2041" s="2" t="inlineStr">
        <is>
          <t>20260303001724</t>
        </is>
      </c>
      <c r="H2041" s="8">
        <f>HYPERLINK("https://dart.fss.or.kr/dsaf001/main.do?rcpNo=20260303001724", "공시열람")</f>
        <v/>
      </c>
    </row>
    <row r="2042">
      <c r="A2042" s="2" t="inlineStr">
        <is>
          <t>2026-03-03</t>
        </is>
      </c>
      <c r="B2042" s="3" t="inlineStr">
        <is>
          <t>파인텍</t>
        </is>
      </c>
      <c r="C2042" s="2" t="inlineStr">
        <is>
          <t>코스닥</t>
        </is>
      </c>
      <c r="D2042" s="2" t="inlineStr">
        <is>
          <t>131760</t>
        </is>
      </c>
      <c r="E2042" s="3" t="inlineStr">
        <is>
          <t>임원ㆍ주요주주특정증권등소유상황보고서</t>
        </is>
      </c>
      <c r="F2042" s="3" t="inlineStr">
        <is>
          <t>송상호</t>
        </is>
      </c>
      <c r="G2042" s="2" t="inlineStr">
        <is>
          <t>20260303001715</t>
        </is>
      </c>
      <c r="H2042" s="8">
        <f>HYPERLINK("https://dart.fss.or.kr/dsaf001/main.do?rcpNo=20260303001715", "공시열람")</f>
        <v/>
      </c>
    </row>
    <row r="2043">
      <c r="A2043" s="2" t="inlineStr">
        <is>
          <t>2026-03-03</t>
        </is>
      </c>
      <c r="B2043" s="3" t="inlineStr">
        <is>
          <t>미래에셋증권</t>
        </is>
      </c>
      <c r="C2043" s="2" t="inlineStr">
        <is>
          <t>코스피</t>
        </is>
      </c>
      <c r="D2043" s="2" t="inlineStr">
        <is>
          <t>006800</t>
        </is>
      </c>
      <c r="E2043" s="3" t="inlineStr">
        <is>
          <t>일괄신고추가서류(파생결합사채-주가연계파생결합사채)</t>
        </is>
      </c>
      <c r="F2043" s="3" t="inlineStr">
        <is>
          <t>미래에셋증권</t>
        </is>
      </c>
      <c r="G2043" s="2" t="inlineStr">
        <is>
          <t>20260303001711</t>
        </is>
      </c>
      <c r="H2043" s="8">
        <f>HYPERLINK("https://dart.fss.or.kr/dsaf001/main.do?rcpNo=20260303001711", "공시열람")</f>
        <v/>
      </c>
    </row>
    <row r="2044">
      <c r="A2044" s="2" t="inlineStr">
        <is>
          <t>2026-03-03</t>
        </is>
      </c>
      <c r="B2044" s="3" t="inlineStr">
        <is>
          <t>파인텍</t>
        </is>
      </c>
      <c r="C2044" s="2" t="inlineStr">
        <is>
          <t>코스닥</t>
        </is>
      </c>
      <c r="D2044" s="2" t="inlineStr">
        <is>
          <t>131760</t>
        </is>
      </c>
      <c r="E2044" s="3" t="inlineStr">
        <is>
          <t>임원ㆍ주요주주특정증권등소유상황보고서</t>
        </is>
      </c>
      <c r="F2044" s="3" t="inlineStr">
        <is>
          <t>박창욱</t>
        </is>
      </c>
      <c r="G2044" s="2" t="inlineStr">
        <is>
          <t>20260303001692</t>
        </is>
      </c>
      <c r="H2044" s="8">
        <f>HYPERLINK("https://dart.fss.or.kr/dsaf001/main.do?rcpNo=20260303001692", "공시열람")</f>
        <v/>
      </c>
    </row>
    <row r="2045">
      <c r="A2045" s="2" t="inlineStr">
        <is>
          <t>2026-03-03</t>
        </is>
      </c>
      <c r="B2045" s="3" t="inlineStr">
        <is>
          <t>삼성에스디에스</t>
        </is>
      </c>
      <c r="C2045" s="2" t="inlineStr">
        <is>
          <t>코스피</t>
        </is>
      </c>
      <c r="D2045" s="2" t="inlineStr">
        <is>
          <t>018260</t>
        </is>
      </c>
      <c r="E2045" s="3" t="inlineStr">
        <is>
          <t>대규모기업집단현황공시[분기별공시(개별회사용)]</t>
        </is>
      </c>
      <c r="F2045" s="3" t="inlineStr">
        <is>
          <t>삼성에스디에스</t>
        </is>
      </c>
      <c r="G2045" s="2" t="inlineStr">
        <is>
          <t>20260303001685</t>
        </is>
      </c>
      <c r="H2045" s="8">
        <f>HYPERLINK("https://dart.fss.or.kr/dsaf001/main.do?rcpNo=20260303001685", "공시열람")</f>
        <v/>
      </c>
    </row>
    <row r="2046">
      <c r="A2046" s="2" t="inlineStr">
        <is>
          <t>2026-03-03</t>
        </is>
      </c>
      <c r="B2046" s="3" t="inlineStr">
        <is>
          <t>성일하이텍</t>
        </is>
      </c>
      <c r="C2046" s="2" t="inlineStr">
        <is>
          <t>코스닥</t>
        </is>
      </c>
      <c r="D2046" s="2" t="inlineStr">
        <is>
          <t>365340</t>
        </is>
      </c>
      <c r="E2046" s="3" t="inlineStr">
        <is>
          <t>임원ㆍ주요주주특정증권등소유상황보고서</t>
        </is>
      </c>
      <c r="F2046" s="3" t="inlineStr">
        <is>
          <t>손현태</t>
        </is>
      </c>
      <c r="G2046" s="2" t="inlineStr">
        <is>
          <t>20260303001684</t>
        </is>
      </c>
      <c r="H2046" s="8">
        <f>HYPERLINK("https://dart.fss.or.kr/dsaf001/main.do?rcpNo=20260303001684", "공시열람")</f>
        <v/>
      </c>
    </row>
    <row r="2047">
      <c r="A2047" s="2" t="inlineStr">
        <is>
          <t>2026-03-03 (정정: 2026-03-05)</t>
        </is>
      </c>
      <c r="B2047" s="3" t="inlineStr">
        <is>
          <t>푸른저축은행</t>
        </is>
      </c>
      <c r="C2047" s="2" t="inlineStr">
        <is>
          <t>코스닥</t>
        </is>
      </c>
      <c r="D2047" s="2" t="inlineStr">
        <is>
          <t>007330</t>
        </is>
      </c>
      <c r="E2047" s="3" t="inlineStr">
        <is>
          <t>기타시장안내              (상장적격성 실질심사 대상결정 기한 안내) (정정: 20260305)</t>
        </is>
      </c>
      <c r="F2047" s="3" t="inlineStr">
        <is>
          <t>코스닥시장본부</t>
        </is>
      </c>
      <c r="G2047" s="2" t="inlineStr">
        <is>
          <t>20260305901395</t>
        </is>
      </c>
      <c r="H2047" s="8">
        <f>HYPERLINK("https://dart.fss.or.kr/dsaf001/main.do?rcpNo=20260305901395", "공시열람")</f>
        <v/>
      </c>
    </row>
    <row r="2048">
      <c r="A2048" s="2" t="inlineStr">
        <is>
          <t>2026-03-03</t>
        </is>
      </c>
      <c r="B2048" s="3" t="inlineStr">
        <is>
          <t>에이티넘인베스트</t>
        </is>
      </c>
      <c r="C2048" s="2" t="inlineStr">
        <is>
          <t>코스닥</t>
        </is>
      </c>
      <c r="D2048" s="2" t="inlineStr">
        <is>
          <t>021080</t>
        </is>
      </c>
      <c r="E2048" s="3" t="inlineStr">
        <is>
          <t>의결권대리행사권유참고서류</t>
        </is>
      </c>
      <c r="F2048" s="3" t="inlineStr">
        <is>
          <t>에이티넘인베스트</t>
        </is>
      </c>
      <c r="G2048" s="2" t="inlineStr">
        <is>
          <t>20260303001668</t>
        </is>
      </c>
      <c r="H2048" s="8">
        <f>HYPERLINK("https://dart.fss.or.kr/dsaf001/main.do?rcpNo=20260303001668", "공시열람")</f>
        <v/>
      </c>
    </row>
    <row r="2049">
      <c r="A2049" s="2" t="inlineStr">
        <is>
          <t>2026-03-03</t>
        </is>
      </c>
      <c r="B2049" s="3" t="inlineStr">
        <is>
          <t>케이피에프</t>
        </is>
      </c>
      <c r="C2049" s="2" t="inlineStr">
        <is>
          <t>코스닥</t>
        </is>
      </c>
      <c r="D2049" s="2" t="inlineStr">
        <is>
          <t>024880</t>
        </is>
      </c>
      <c r="E2049" s="3" t="inlineStr">
        <is>
          <t xml:space="preserve">결산실적공시예고              </t>
        </is>
      </c>
      <c r="F2049" s="3" t="inlineStr">
        <is>
          <t>케이피에프</t>
        </is>
      </c>
      <c r="G2049" s="2" t="inlineStr">
        <is>
          <t>20260303900334</t>
        </is>
      </c>
      <c r="H2049" s="8">
        <f>HYPERLINK("https://dart.fss.or.kr/dsaf001/main.do?rcpNo=20260303900334", "공시열람")</f>
        <v/>
      </c>
    </row>
    <row r="2050">
      <c r="A2050" s="2" t="inlineStr">
        <is>
          <t>2026-03-03</t>
        </is>
      </c>
      <c r="B2050" s="3" t="inlineStr">
        <is>
          <t>AP위성</t>
        </is>
      </c>
      <c r="C2050" s="2" t="inlineStr">
        <is>
          <t>코스닥</t>
        </is>
      </c>
      <c r="D2050" s="2" t="inlineStr">
        <is>
          <t>211270</t>
        </is>
      </c>
      <c r="E2050" s="3" t="inlineStr">
        <is>
          <t>[기재정정]의결권대리행사권유참고서류</t>
        </is>
      </c>
      <c r="F2050" s="3" t="inlineStr">
        <is>
          <t>AP위성</t>
        </is>
      </c>
      <c r="G2050" s="2" t="inlineStr">
        <is>
          <t>20260303001637</t>
        </is>
      </c>
      <c r="H2050" s="8">
        <f>HYPERLINK("https://dart.fss.or.kr/dsaf001/main.do?rcpNo=20260303001637", "공시열람")</f>
        <v/>
      </c>
    </row>
    <row r="2051">
      <c r="A2051" s="2" t="inlineStr">
        <is>
          <t>2026-03-03</t>
        </is>
      </c>
      <c r="B2051" s="3" t="inlineStr">
        <is>
          <t>파인텍</t>
        </is>
      </c>
      <c r="C2051" s="2" t="inlineStr">
        <is>
          <t>코스닥</t>
        </is>
      </c>
      <c r="D2051" s="2" t="inlineStr">
        <is>
          <t>131760</t>
        </is>
      </c>
      <c r="E2051" s="3" t="inlineStr">
        <is>
          <t>임원ㆍ주요주주특정증권등소유상황보고서</t>
        </is>
      </c>
      <c r="F2051" s="3" t="inlineStr">
        <is>
          <t>박중철</t>
        </is>
      </c>
      <c r="G2051" s="2" t="inlineStr">
        <is>
          <t>20260303001634</t>
        </is>
      </c>
      <c r="H2051" s="8">
        <f>HYPERLINK("https://dart.fss.or.kr/dsaf001/main.do?rcpNo=20260303001634", "공시열람")</f>
        <v/>
      </c>
    </row>
    <row r="2052">
      <c r="A2052" s="2" t="inlineStr">
        <is>
          <t>2026-03-03</t>
        </is>
      </c>
      <c r="B2052" s="3" t="inlineStr">
        <is>
          <t>키움증권</t>
        </is>
      </c>
      <c r="C2052" s="2" t="inlineStr">
        <is>
          <t>코스피</t>
        </is>
      </c>
      <c r="D2052" s="2" t="inlineStr">
        <is>
          <t>039490</t>
        </is>
      </c>
      <c r="E2052" s="3" t="inlineStr">
        <is>
          <t>투자설명서(일괄신고)</t>
        </is>
      </c>
      <c r="F2052" s="3" t="inlineStr">
        <is>
          <t>키움증권</t>
        </is>
      </c>
      <c r="G2052" s="2" t="inlineStr">
        <is>
          <t>20260303001627</t>
        </is>
      </c>
      <c r="H2052" s="8">
        <f>HYPERLINK("https://dart.fss.or.kr/dsaf001/main.do?rcpNo=20260303001627", "공시열람")</f>
        <v/>
      </c>
    </row>
    <row r="2053">
      <c r="A2053" s="2" t="inlineStr">
        <is>
          <t>2026-03-03</t>
        </is>
      </c>
      <c r="B2053" s="3" t="inlineStr">
        <is>
          <t>성일하이텍</t>
        </is>
      </c>
      <c r="C2053" s="2" t="inlineStr">
        <is>
          <t>코스닥</t>
        </is>
      </c>
      <c r="D2053" s="2" t="inlineStr">
        <is>
          <t>365340</t>
        </is>
      </c>
      <c r="E2053" s="3" t="inlineStr">
        <is>
          <t>임원ㆍ주요주주특정증권등소유상황보고서</t>
        </is>
      </c>
      <c r="F2053" s="3" t="inlineStr">
        <is>
          <t>김성식</t>
        </is>
      </c>
      <c r="G2053" s="2" t="inlineStr">
        <is>
          <t>20260303001616</t>
        </is>
      </c>
      <c r="H2053" s="8">
        <f>HYPERLINK("https://dart.fss.or.kr/dsaf001/main.do?rcpNo=20260303001616", "공시열람")</f>
        <v/>
      </c>
    </row>
    <row r="2054">
      <c r="A2054" s="2" t="inlineStr">
        <is>
          <t>2026-03-03</t>
        </is>
      </c>
      <c r="B2054" s="3" t="inlineStr">
        <is>
          <t>케이엠제약</t>
        </is>
      </c>
      <c r="C2054" s="2" t="inlineStr">
        <is>
          <t>코스닥</t>
        </is>
      </c>
      <c r="D2054" s="2" t="inlineStr">
        <is>
          <t>225430</t>
        </is>
      </c>
      <c r="E2054" s="3" t="inlineStr">
        <is>
          <t>임원ㆍ주요주주특정증권등소유상황보고서</t>
        </is>
      </c>
      <c r="F2054" s="3" t="inlineStr">
        <is>
          <t>강일모</t>
        </is>
      </c>
      <c r="G2054" s="2" t="inlineStr">
        <is>
          <t>20260303001554</t>
        </is>
      </c>
      <c r="H2054" s="8">
        <f>HYPERLINK("https://dart.fss.or.kr/dsaf001/main.do?rcpNo=20260303001554", "공시열람")</f>
        <v/>
      </c>
    </row>
    <row r="2055">
      <c r="A2055" s="2" t="inlineStr">
        <is>
          <t>2026-03-03</t>
        </is>
      </c>
      <c r="B2055" s="3" t="inlineStr">
        <is>
          <t>파인텍</t>
        </is>
      </c>
      <c r="C2055" s="2" t="inlineStr">
        <is>
          <t>코스닥</t>
        </is>
      </c>
      <c r="D2055" s="2" t="inlineStr">
        <is>
          <t>131760</t>
        </is>
      </c>
      <c r="E2055" s="3" t="inlineStr">
        <is>
          <t>임원ㆍ주요주주특정증권등소유상황보고서</t>
        </is>
      </c>
      <c r="F2055" s="3" t="inlineStr">
        <is>
          <t>박광휘</t>
        </is>
      </c>
      <c r="G2055" s="2" t="inlineStr">
        <is>
          <t>20260303001546</t>
        </is>
      </c>
      <c r="H2055" s="8">
        <f>HYPERLINK("https://dart.fss.or.kr/dsaf001/main.do?rcpNo=20260303001546", "공시열람")</f>
        <v/>
      </c>
    </row>
    <row r="2056">
      <c r="A2056" s="2" t="inlineStr">
        <is>
          <t>2026-03-03</t>
        </is>
      </c>
      <c r="B2056" s="3" t="inlineStr">
        <is>
          <t>파인텍</t>
        </is>
      </c>
      <c r="C2056" s="2" t="inlineStr">
        <is>
          <t>코스닥</t>
        </is>
      </c>
      <c r="D2056" s="2" t="inlineStr">
        <is>
          <t>131760</t>
        </is>
      </c>
      <c r="E2056" s="3" t="inlineStr">
        <is>
          <t>임원ㆍ주요주주특정증권등소유상황보고서</t>
        </is>
      </c>
      <c r="F2056" s="3" t="inlineStr">
        <is>
          <t>김상태</t>
        </is>
      </c>
      <c r="G2056" s="2" t="inlineStr">
        <is>
          <t>20260303001515</t>
        </is>
      </c>
      <c r="H2056" s="8">
        <f>HYPERLINK("https://dart.fss.or.kr/dsaf001/main.do?rcpNo=20260303001515", "공시열람")</f>
        <v/>
      </c>
    </row>
    <row r="2057">
      <c r="A2057" s="2" t="inlineStr">
        <is>
          <t>2026-03-03</t>
        </is>
      </c>
      <c r="B2057" s="3" t="inlineStr">
        <is>
          <t>삼성생명</t>
        </is>
      </c>
      <c r="C2057" s="2" t="inlineStr">
        <is>
          <t>코스피</t>
        </is>
      </c>
      <c r="D2057" s="2" t="inlineStr">
        <is>
          <t>032830</t>
        </is>
      </c>
      <c r="E2057" s="3" t="inlineStr">
        <is>
          <t>대규모기업집단현황공시[분기별공시(개별회사용)]</t>
        </is>
      </c>
      <c r="F2057" s="3" t="inlineStr">
        <is>
          <t>삼성생명</t>
        </is>
      </c>
      <c r="G2057" s="2" t="inlineStr">
        <is>
          <t>20260303001507</t>
        </is>
      </c>
      <c r="H2057" s="8">
        <f>HYPERLINK("https://dart.fss.or.kr/dsaf001/main.do?rcpNo=20260303001507", "공시열람")</f>
        <v/>
      </c>
    </row>
    <row r="2058">
      <c r="A2058" s="2" t="inlineStr">
        <is>
          <t>2026-03-03 (정정: 2026-03-04)</t>
        </is>
      </c>
      <c r="B2058" s="3" t="inlineStr">
        <is>
          <t>미래에셋증권</t>
        </is>
      </c>
      <c r="C2058" s="2" t="inlineStr">
        <is>
          <t>코스피</t>
        </is>
      </c>
      <c r="D2058" s="2" t="inlineStr">
        <is>
          <t>006800</t>
        </is>
      </c>
      <c r="E2058" s="3" t="inlineStr">
        <is>
          <t>대규모기업집단현황공시[분기별공시(개별회사용)] (정정: 20260304)</t>
        </is>
      </c>
      <c r="F2058" s="3" t="inlineStr">
        <is>
          <t>미래에셋증권</t>
        </is>
      </c>
      <c r="G2058" s="2" t="inlineStr">
        <is>
          <t>20260304801572</t>
        </is>
      </c>
      <c r="H2058" s="8">
        <f>HYPERLINK("https://dart.fss.or.kr/dsaf001/main.do?rcpNo=20260304801572", "공시열람")</f>
        <v/>
      </c>
    </row>
    <row r="2059">
      <c r="A2059" s="2" t="inlineStr">
        <is>
          <t>2026-03-03</t>
        </is>
      </c>
      <c r="B2059" s="3" t="inlineStr">
        <is>
          <t>파인텍</t>
        </is>
      </c>
      <c r="C2059" s="2" t="inlineStr">
        <is>
          <t>코스닥</t>
        </is>
      </c>
      <c r="D2059" s="2" t="inlineStr">
        <is>
          <t>131760</t>
        </is>
      </c>
      <c r="E2059" s="3" t="inlineStr">
        <is>
          <t>임원ㆍ주요주주특정증권등소유상황보고서</t>
        </is>
      </c>
      <c r="F2059" s="3" t="inlineStr">
        <is>
          <t>김기호</t>
        </is>
      </c>
      <c r="G2059" s="2" t="inlineStr">
        <is>
          <t>20260303001489</t>
        </is>
      </c>
      <c r="H2059" s="8">
        <f>HYPERLINK("https://dart.fss.or.kr/dsaf001/main.do?rcpNo=20260303001489", "공시열람")</f>
        <v/>
      </c>
    </row>
    <row r="2060">
      <c r="A2060" s="2" t="inlineStr">
        <is>
          <t>2026-03-03</t>
        </is>
      </c>
      <c r="B2060" s="3" t="inlineStr">
        <is>
          <t>한국철강</t>
        </is>
      </c>
      <c r="C2060" s="2" t="inlineStr">
        <is>
          <t>코스피</t>
        </is>
      </c>
      <c r="D2060" s="2" t="inlineStr">
        <is>
          <t>104700</t>
        </is>
      </c>
      <c r="E2060" s="3" t="inlineStr">
        <is>
          <t xml:space="preserve">대표이사(대표집행임원)변경(안내공시)              </t>
        </is>
      </c>
      <c r="F2060" s="3" t="inlineStr">
        <is>
          <t>한국철강</t>
        </is>
      </c>
      <c r="G2060" s="2" t="inlineStr">
        <is>
          <t>20260303800287</t>
        </is>
      </c>
      <c r="H2060" s="8">
        <f>HYPERLINK("https://dart.fss.or.kr/dsaf001/main.do?rcpNo=20260303800287", "공시열람")</f>
        <v/>
      </c>
    </row>
    <row r="2061">
      <c r="A2061" s="2" t="inlineStr">
        <is>
          <t>2026-03-03</t>
        </is>
      </c>
      <c r="B2061" s="3" t="inlineStr">
        <is>
          <t>제일연마</t>
        </is>
      </c>
      <c r="C2061" s="2" t="inlineStr">
        <is>
          <t>코스피</t>
        </is>
      </c>
      <c r="D2061" s="2" t="inlineStr">
        <is>
          <t>001560</t>
        </is>
      </c>
      <c r="E2061" s="3" t="inlineStr">
        <is>
          <t xml:space="preserve">매매거래정지및정지해제(중요내용공시)              </t>
        </is>
      </c>
      <c r="F2061" s="3" t="inlineStr">
        <is>
          <t>유가증권시장본부</t>
        </is>
      </c>
      <c r="G2061" s="2" t="inlineStr">
        <is>
          <t>20260303800285</t>
        </is>
      </c>
      <c r="H2061" s="8">
        <f>HYPERLINK("https://dart.fss.or.kr/dsaf001/main.do?rcpNo=20260303800285", "공시열람")</f>
        <v/>
      </c>
    </row>
    <row r="2062">
      <c r="A2062" s="2" t="inlineStr">
        <is>
          <t>2026-03-03</t>
        </is>
      </c>
      <c r="B2062" s="3" t="inlineStr">
        <is>
          <t>삼성FN리츠</t>
        </is>
      </c>
      <c r="C2062" s="2" t="inlineStr">
        <is>
          <t>코스피</t>
        </is>
      </c>
      <c r="D2062" s="2" t="inlineStr">
        <is>
          <t>448730</t>
        </is>
      </c>
      <c r="E2062" s="3" t="inlineStr">
        <is>
          <t>대규모기업집단현황공시[분기별공시(개별회사용)]</t>
        </is>
      </c>
      <c r="F2062" s="3" t="inlineStr">
        <is>
          <t>삼성FN리츠</t>
        </is>
      </c>
      <c r="G2062" s="2" t="inlineStr">
        <is>
          <t>20260303001415</t>
        </is>
      </c>
      <c r="H2062" s="8">
        <f>HYPERLINK("https://dart.fss.or.kr/dsaf001/main.do?rcpNo=20260303001415", "공시열람")</f>
        <v/>
      </c>
    </row>
    <row r="2063">
      <c r="A2063" s="2" t="inlineStr">
        <is>
          <t>2026-03-03</t>
        </is>
      </c>
      <c r="B2063" s="3" t="inlineStr">
        <is>
          <t>삼성전기</t>
        </is>
      </c>
      <c r="C2063" s="2" t="inlineStr">
        <is>
          <t>코스피</t>
        </is>
      </c>
      <c r="D2063" s="2" t="inlineStr">
        <is>
          <t>009150</t>
        </is>
      </c>
      <c r="E2063" s="3" t="inlineStr">
        <is>
          <t>대규모기업집단현황공시[분기별공시(개별회사용)]</t>
        </is>
      </c>
      <c r="F2063" s="3" t="inlineStr">
        <is>
          <t>삼성전기</t>
        </is>
      </c>
      <c r="G2063" s="2" t="inlineStr">
        <is>
          <t>20260303001356</t>
        </is>
      </c>
      <c r="H2063" s="8">
        <f>HYPERLINK("https://dart.fss.or.kr/dsaf001/main.do?rcpNo=20260303001356", "공시열람")</f>
        <v/>
      </c>
    </row>
    <row r="2064">
      <c r="A2064" s="2" t="inlineStr">
        <is>
          <t>2026-03-03</t>
        </is>
      </c>
      <c r="B2064" s="3" t="inlineStr">
        <is>
          <t>에프알텍</t>
        </is>
      </c>
      <c r="C2064" s="2" t="inlineStr">
        <is>
          <t>코스닥</t>
        </is>
      </c>
      <c r="D2064" s="2" t="inlineStr">
        <is>
          <t>073540</t>
        </is>
      </c>
      <c r="E2064" s="3" t="inlineStr">
        <is>
          <t xml:space="preserve">현금ㆍ현물배당결정              </t>
        </is>
      </c>
      <c r="F2064" s="3" t="inlineStr">
        <is>
          <t>에프알텍</t>
        </is>
      </c>
      <c r="G2064" s="2" t="inlineStr">
        <is>
          <t>20260303900260</t>
        </is>
      </c>
      <c r="H2064" s="8">
        <f>HYPERLINK("https://dart.fss.or.kr/dsaf001/main.do?rcpNo=20260303900260", "공시열람")</f>
        <v/>
      </c>
    </row>
    <row r="2065">
      <c r="A2065" s="2" t="inlineStr">
        <is>
          <t>2026-03-03</t>
        </is>
      </c>
      <c r="B2065" s="3" t="inlineStr">
        <is>
          <t>이노에이엑스</t>
        </is>
      </c>
      <c r="C2065" s="2" t="inlineStr">
        <is>
          <t>코스닥</t>
        </is>
      </c>
      <c r="D2065" s="2" t="inlineStr">
        <is>
          <t>296640</t>
        </is>
      </c>
      <c r="E2065" s="3" t="inlineStr">
        <is>
          <t>주요사항보고서(자기주식처분결정)</t>
        </is>
      </c>
      <c r="F2065" s="3" t="inlineStr">
        <is>
          <t>이노에이엑스</t>
        </is>
      </c>
      <c r="G2065" s="2" t="inlineStr">
        <is>
          <t>20260303001149</t>
        </is>
      </c>
      <c r="H2065" s="8">
        <f>HYPERLINK("https://dart.fss.or.kr/dsaf001/main.do?rcpNo=20260303001149", "공시열람")</f>
        <v/>
      </c>
    </row>
    <row r="2066">
      <c r="A2066" s="2" t="inlineStr">
        <is>
          <t>2026-03-03</t>
        </is>
      </c>
      <c r="B2066" s="3" t="inlineStr">
        <is>
          <t>다원넥스뷰</t>
        </is>
      </c>
      <c r="C2066" s="2" t="inlineStr">
        <is>
          <t>코스닥</t>
        </is>
      </c>
      <c r="D2066" s="2" t="inlineStr">
        <is>
          <t>323350</t>
        </is>
      </c>
      <c r="E2066" s="3" t="inlineStr">
        <is>
          <t>임원ㆍ주요주주특정증권등소유상황보고서</t>
        </is>
      </c>
      <c r="F2066" s="3" t="inlineStr">
        <is>
          <t>이동건</t>
        </is>
      </c>
      <c r="G2066" s="2" t="inlineStr">
        <is>
          <t>20260303001220</t>
        </is>
      </c>
      <c r="H2066" s="8">
        <f>HYPERLINK("https://dart.fss.or.kr/dsaf001/main.do?rcpNo=20260303001220", "공시열람")</f>
        <v/>
      </c>
    </row>
    <row r="2067">
      <c r="A2067" s="2" t="inlineStr">
        <is>
          <t>2026-03-03</t>
        </is>
      </c>
      <c r="B2067" s="3" t="inlineStr">
        <is>
          <t>지역난방공사</t>
        </is>
      </c>
      <c r="C2067" s="2" t="inlineStr">
        <is>
          <t>코스피</t>
        </is>
      </c>
      <c r="D2067" s="2" t="inlineStr">
        <is>
          <t>071320</t>
        </is>
      </c>
      <c r="E2067" s="3" t="inlineStr">
        <is>
          <t>임원ㆍ주요주주특정증권등소유상황보고서</t>
        </is>
      </c>
      <c r="F2067" s="3" t="inlineStr">
        <is>
          <t>김부헌</t>
        </is>
      </c>
      <c r="G2067" s="2" t="inlineStr">
        <is>
          <t>20260303001219</t>
        </is>
      </c>
      <c r="H2067" s="8">
        <f>HYPERLINK("https://dart.fss.or.kr/dsaf001/main.do?rcpNo=20260303001219", "공시열람")</f>
        <v/>
      </c>
    </row>
    <row r="2068">
      <c r="A2068" s="2" t="inlineStr">
        <is>
          <t>2026-03-03</t>
        </is>
      </c>
      <c r="B2068" s="3" t="inlineStr">
        <is>
          <t>호텔신라</t>
        </is>
      </c>
      <c r="C2068" s="2" t="inlineStr">
        <is>
          <t>코스피</t>
        </is>
      </c>
      <c r="D2068" s="2" t="inlineStr">
        <is>
          <t>008770</t>
        </is>
      </c>
      <c r="E2068" s="3" t="inlineStr">
        <is>
          <t>대규모기업집단현황공시[분기별공시(개별회사용)]</t>
        </is>
      </c>
      <c r="F2068" s="3" t="inlineStr">
        <is>
          <t>호텔신라</t>
        </is>
      </c>
      <c r="G2068" s="2" t="inlineStr">
        <is>
          <t>20260303001199</t>
        </is>
      </c>
      <c r="H2068" s="8">
        <f>HYPERLINK("https://dart.fss.or.kr/dsaf001/main.do?rcpNo=20260303001199", "공시열람")</f>
        <v/>
      </c>
    </row>
    <row r="2069">
      <c r="A2069" s="2" t="inlineStr">
        <is>
          <t>2026-03-03</t>
        </is>
      </c>
      <c r="B2069" s="3" t="inlineStr">
        <is>
          <t>지역난방공사</t>
        </is>
      </c>
      <c r="C2069" s="2" t="inlineStr">
        <is>
          <t>코스피</t>
        </is>
      </c>
      <c r="D2069" s="2" t="inlineStr">
        <is>
          <t>071320</t>
        </is>
      </c>
      <c r="E2069" s="3" t="inlineStr">
        <is>
          <t>임원ㆍ주요주주특정증권등소유상황보고서</t>
        </is>
      </c>
      <c r="F2069" s="3" t="inlineStr">
        <is>
          <t>김부헌</t>
        </is>
      </c>
      <c r="G2069" s="2" t="inlineStr">
        <is>
          <t>20260303001198</t>
        </is>
      </c>
      <c r="H2069" s="8">
        <f>HYPERLINK("https://dart.fss.or.kr/dsaf001/main.do?rcpNo=20260303001198", "공시열람")</f>
        <v/>
      </c>
    </row>
    <row r="2070">
      <c r="A2070" s="2" t="inlineStr">
        <is>
          <t>2026-03-03</t>
        </is>
      </c>
      <c r="B2070" s="3" t="inlineStr">
        <is>
          <t>삼성중공업</t>
        </is>
      </c>
      <c r="C2070" s="2" t="inlineStr">
        <is>
          <t>코스피</t>
        </is>
      </c>
      <c r="D2070" s="2" t="inlineStr">
        <is>
          <t>010140</t>
        </is>
      </c>
      <c r="E2070" s="3" t="inlineStr">
        <is>
          <t>대규모기업집단현황공시[분기별공시(개별회사용)]</t>
        </is>
      </c>
      <c r="F2070" s="3" t="inlineStr">
        <is>
          <t>삼성중공업</t>
        </is>
      </c>
      <c r="G2070" s="2" t="inlineStr">
        <is>
          <t>20260303001142</t>
        </is>
      </c>
      <c r="H2070" s="8">
        <f>HYPERLINK("https://dart.fss.or.kr/dsaf001/main.do?rcpNo=20260303001142", "공시열람")</f>
        <v/>
      </c>
    </row>
    <row r="2071">
      <c r="A2071" s="2" t="inlineStr">
        <is>
          <t>2026-03-03</t>
        </is>
      </c>
      <c r="B2071" s="3" t="inlineStr">
        <is>
          <t>LIG아큐버</t>
        </is>
      </c>
      <c r="C2071" s="2" t="inlineStr">
        <is>
          <t>코스닥</t>
        </is>
      </c>
      <c r="D2071" s="2" t="inlineStr">
        <is>
          <t>073490</t>
        </is>
      </c>
      <c r="E2071" s="3" t="inlineStr">
        <is>
          <t>대규모기업집단현황공시[분기별공시(개별회사용)]</t>
        </is>
      </c>
      <c r="F2071" s="3" t="inlineStr">
        <is>
          <t>LIG아큐버</t>
        </is>
      </c>
      <c r="G2071" s="2" t="inlineStr">
        <is>
          <t>20260303001119</t>
        </is>
      </c>
      <c r="H2071" s="8">
        <f>HYPERLINK("https://dart.fss.or.kr/dsaf001/main.do?rcpNo=20260303001119", "공시열람")</f>
        <v/>
      </c>
    </row>
    <row r="2072">
      <c r="A2072" s="2" t="inlineStr">
        <is>
          <t>2026-03-03</t>
        </is>
      </c>
      <c r="B2072" s="3" t="inlineStr">
        <is>
          <t>NH투자증권</t>
        </is>
      </c>
      <c r="C2072" s="2" t="inlineStr">
        <is>
          <t>코스피</t>
        </is>
      </c>
      <c r="D2072" s="2" t="inlineStr">
        <is>
          <t>005940</t>
        </is>
      </c>
      <c r="E2072" s="3" t="inlineStr">
        <is>
          <t>일괄신고추가서류(파생결합증권-주가연계증권)</t>
        </is>
      </c>
      <c r="F2072" s="3" t="inlineStr">
        <is>
          <t>NH투자증권</t>
        </is>
      </c>
      <c r="G2072" s="2" t="inlineStr">
        <is>
          <t>20260303001109</t>
        </is>
      </c>
      <c r="H2072" s="8">
        <f>HYPERLINK("https://dart.fss.or.kr/dsaf001/main.do?rcpNo=20260303001109", "공시열람")</f>
        <v/>
      </c>
    </row>
    <row r="2073">
      <c r="A2073" s="2" t="inlineStr">
        <is>
          <t>2026-03-03</t>
        </is>
      </c>
      <c r="B2073" s="3" t="inlineStr">
        <is>
          <t>알로이스</t>
        </is>
      </c>
      <c r="C2073" s="2" t="inlineStr">
        <is>
          <t>코스닥</t>
        </is>
      </c>
      <c r="D2073" s="2" t="inlineStr">
        <is>
          <t>297570</t>
        </is>
      </c>
      <c r="E2073" s="3" t="inlineStr">
        <is>
          <t xml:space="preserve">소송등의판결ㆍ결정              </t>
        </is>
      </c>
      <c r="F2073" s="3" t="inlineStr">
        <is>
          <t>알로이스</t>
        </is>
      </c>
      <c r="G2073" s="2" t="inlineStr">
        <is>
          <t>20260303900234</t>
        </is>
      </c>
      <c r="H2073" s="8">
        <f>HYPERLINK("https://dart.fss.or.kr/dsaf001/main.do?rcpNo=20260303900234", "공시열람")</f>
        <v/>
      </c>
    </row>
    <row r="2074">
      <c r="A2074" s="2" t="inlineStr">
        <is>
          <t>2026-03-03</t>
        </is>
      </c>
      <c r="B2074" s="3" t="inlineStr">
        <is>
          <t>동원수산</t>
        </is>
      </c>
      <c r="C2074" s="2" t="inlineStr">
        <is>
          <t>코스피</t>
        </is>
      </c>
      <c r="D2074" s="2" t="inlineStr">
        <is>
          <t>030720</t>
        </is>
      </c>
      <c r="E2074" s="3" t="inlineStr">
        <is>
          <t>의결권대리행사권유참고서류</t>
        </is>
      </c>
      <c r="F2074" s="3" t="inlineStr">
        <is>
          <t>동원수산</t>
        </is>
      </c>
      <c r="G2074" s="2" t="inlineStr">
        <is>
          <t>20260303001060</t>
        </is>
      </c>
      <c r="H2074" s="8">
        <f>HYPERLINK("https://dart.fss.or.kr/dsaf001/main.do?rcpNo=20260303001060", "공시열람")</f>
        <v/>
      </c>
    </row>
    <row r="2075">
      <c r="A2075" s="2" t="inlineStr">
        <is>
          <t>2026-03-03</t>
        </is>
      </c>
      <c r="B2075" s="3" t="inlineStr">
        <is>
          <t>뉴로핏</t>
        </is>
      </c>
      <c r="C2075" s="2" t="inlineStr">
        <is>
          <t>코스닥</t>
        </is>
      </c>
      <c r="D2075" s="2" t="inlineStr">
        <is>
          <t>380550</t>
        </is>
      </c>
      <c r="E2075" s="3" t="inlineStr">
        <is>
          <t xml:space="preserve">기업설명회(IR)개최              </t>
        </is>
      </c>
      <c r="F2075" s="3" t="inlineStr">
        <is>
          <t>뉴로핏</t>
        </is>
      </c>
      <c r="G2075" s="2" t="inlineStr">
        <is>
          <t>20260303900214</t>
        </is>
      </c>
      <c r="H2075" s="8">
        <f>HYPERLINK("https://dart.fss.or.kr/dsaf001/main.do?rcpNo=20260303900214", "공시열람")</f>
        <v/>
      </c>
    </row>
    <row r="2076">
      <c r="A2076" s="2" t="inlineStr">
        <is>
          <t>2023-03-27 (정정: 2026-03-03)</t>
        </is>
      </c>
      <c r="B2076" s="3" t="inlineStr">
        <is>
          <t>SG세계물산</t>
        </is>
      </c>
      <c r="C2076" s="2" t="inlineStr">
        <is>
          <t>코스피</t>
        </is>
      </c>
      <c r="D2076" s="2" t="inlineStr">
        <is>
          <t>004060</t>
        </is>
      </c>
      <c r="E2076" s="3" t="inlineStr">
        <is>
          <t>[기재정정]주식매수선택권부여에관한신고</t>
        </is>
      </c>
      <c r="F2076" s="3" t="inlineStr">
        <is>
          <t>SG세계물산</t>
        </is>
      </c>
      <c r="G2076" s="2" t="inlineStr">
        <is>
          <t>20260303001007</t>
        </is>
      </c>
      <c r="H2076" s="8">
        <f>HYPERLINK("https://dart.fss.or.kr/dsaf001/main.do?rcpNo=20260303001007", "공시열람")</f>
        <v/>
      </c>
    </row>
    <row r="2077">
      <c r="A2077" s="2" t="inlineStr">
        <is>
          <t>2026-03-03</t>
        </is>
      </c>
      <c r="B2077" s="3" t="inlineStr">
        <is>
          <t>키움증권</t>
        </is>
      </c>
      <c r="C2077" s="2" t="inlineStr">
        <is>
          <t>코스피</t>
        </is>
      </c>
      <c r="D2077" s="2" t="inlineStr">
        <is>
          <t>039490</t>
        </is>
      </c>
      <c r="E2077" s="3" t="inlineStr">
        <is>
          <t>일괄신고추가서류(파생결합사채-주가연계파생결합사채)</t>
        </is>
      </c>
      <c r="F2077" s="3" t="inlineStr">
        <is>
          <t>키움증권</t>
        </is>
      </c>
      <c r="G2077" s="2" t="inlineStr">
        <is>
          <t>20260303000952</t>
        </is>
      </c>
      <c r="H2077" s="8">
        <f>HYPERLINK("https://dart.fss.or.kr/dsaf001/main.do?rcpNo=20260303000952", "공시열람")</f>
        <v/>
      </c>
    </row>
    <row r="2078">
      <c r="A2078" s="2" t="inlineStr">
        <is>
          <t>2026-03-03 (정정: 2026-03-10)</t>
        </is>
      </c>
      <c r="B2078" s="3" t="inlineStr">
        <is>
          <t>그린리소스</t>
        </is>
      </c>
      <c r="C2078" s="2" t="inlineStr">
        <is>
          <t>코스닥</t>
        </is>
      </c>
      <c r="D2078" s="2" t="inlineStr">
        <is>
          <t>402490</t>
        </is>
      </c>
      <c r="E2078" s="3" t="inlineStr">
        <is>
          <t>타법인주식및출자증권취득결정(자율공시)               (정정: 20260309) (정정: 20260310) (정정: 20260310)</t>
        </is>
      </c>
      <c r="F2078" s="3" t="inlineStr">
        <is>
          <t>그린리소스</t>
        </is>
      </c>
      <c r="G2078" s="2" t="inlineStr">
        <is>
          <t>20260310900526</t>
        </is>
      </c>
      <c r="H2078" s="8">
        <f>HYPERLINK("https://dart.fss.or.kr/dsaf001/main.do?rcpNo=20260310900526", "공시열람")</f>
        <v/>
      </c>
    </row>
    <row r="2079">
      <c r="A2079" s="2" t="inlineStr">
        <is>
          <t>2026-03-03</t>
        </is>
      </c>
      <c r="B2079" s="3" t="inlineStr">
        <is>
          <t>현대힘스</t>
        </is>
      </c>
      <c r="C2079" s="2" t="inlineStr">
        <is>
          <t>코스닥</t>
        </is>
      </c>
      <c r="D2079" s="2" t="inlineStr">
        <is>
          <t>460930</t>
        </is>
      </c>
      <c r="E2079" s="3" t="inlineStr">
        <is>
          <t xml:space="preserve">기업설명회(IR)개최              </t>
        </is>
      </c>
      <c r="F2079" s="3" t="inlineStr">
        <is>
          <t>현대힘스</t>
        </is>
      </c>
      <c r="G2079" s="2" t="inlineStr">
        <is>
          <t>20260303900195</t>
        </is>
      </c>
      <c r="H2079" s="8">
        <f>HYPERLINK("https://dart.fss.or.kr/dsaf001/main.do?rcpNo=20260303900195", "공시열람")</f>
        <v/>
      </c>
    </row>
    <row r="2080">
      <c r="A2080" s="2" t="inlineStr">
        <is>
          <t>2026-03-03</t>
        </is>
      </c>
      <c r="B2080" s="3" t="inlineStr">
        <is>
          <t>현대차증권</t>
        </is>
      </c>
      <c r="C2080" s="2" t="inlineStr">
        <is>
          <t>코스피</t>
        </is>
      </c>
      <c r="D2080" s="2" t="inlineStr">
        <is>
          <t>001500</t>
        </is>
      </c>
      <c r="E2080" s="3" t="inlineStr">
        <is>
          <t>증권발행실적보고서</t>
        </is>
      </c>
      <c r="F2080" s="3" t="inlineStr">
        <is>
          <t>현대차증권</t>
        </is>
      </c>
      <c r="G2080" s="2" t="inlineStr">
        <is>
          <t>20260303000877</t>
        </is>
      </c>
      <c r="H2080" s="8">
        <f>HYPERLINK("https://dart.fss.or.kr/dsaf001/main.do?rcpNo=20260303000877", "공시열람")</f>
        <v/>
      </c>
    </row>
    <row r="2081">
      <c r="A2081" s="2" t="inlineStr">
        <is>
          <t>2026-03-03</t>
        </is>
      </c>
      <c r="B2081" s="3" t="inlineStr">
        <is>
          <t>삼성에피스홀딩스</t>
        </is>
      </c>
      <c r="C2081" s="2" t="inlineStr">
        <is>
          <t>코스피</t>
        </is>
      </c>
      <c r="D2081" s="2" t="inlineStr">
        <is>
          <t>0126Z0</t>
        </is>
      </c>
      <c r="E2081" s="3" t="inlineStr">
        <is>
          <t>대규모기업집단현황공시[분기별공시(개별회사용)]</t>
        </is>
      </c>
      <c r="F2081" s="3" t="inlineStr">
        <is>
          <t>삼성에피스홀딩스</t>
        </is>
      </c>
      <c r="G2081" s="2" t="inlineStr">
        <is>
          <t>20260303000873</t>
        </is>
      </c>
      <c r="H2081" s="8">
        <f>HYPERLINK("https://dart.fss.or.kr/dsaf001/main.do?rcpNo=20260303000873", "공시열람")</f>
        <v/>
      </c>
    </row>
    <row r="2082">
      <c r="A2082" s="2" t="inlineStr">
        <is>
          <t>2026-03-03</t>
        </is>
      </c>
      <c r="B2082" s="3" t="inlineStr">
        <is>
          <t>유니온바이오메트릭스</t>
        </is>
      </c>
      <c r="C2082" s="2" t="inlineStr">
        <is>
          <t>코스닥</t>
        </is>
      </c>
      <c r="D2082" s="2" t="inlineStr">
        <is>
          <t>203450</t>
        </is>
      </c>
      <c r="E2082" s="3" t="inlineStr">
        <is>
          <t xml:space="preserve">수시공시의무관련사항(공정공시)              </t>
        </is>
      </c>
      <c r="F2082" s="3" t="inlineStr">
        <is>
          <t>유니온바이오메트릭스</t>
        </is>
      </c>
      <c r="G2082" s="2" t="inlineStr">
        <is>
          <t>20260303900200</t>
        </is>
      </c>
      <c r="H2082" s="8">
        <f>HYPERLINK("https://dart.fss.or.kr/dsaf001/main.do?rcpNo=20260303900200", "공시열람")</f>
        <v/>
      </c>
    </row>
    <row r="2083">
      <c r="A2083" s="2" t="inlineStr">
        <is>
          <t>2026-03-03</t>
        </is>
      </c>
      <c r="B2083" s="3" t="inlineStr">
        <is>
          <t>삼성E&amp;A</t>
        </is>
      </c>
      <c r="C2083" s="2" t="inlineStr">
        <is>
          <t>코스피</t>
        </is>
      </c>
      <c r="D2083" s="2" t="inlineStr">
        <is>
          <t>028050</t>
        </is>
      </c>
      <c r="E2083" s="3" t="inlineStr">
        <is>
          <t>대규모기업집단현황공시[분기별공시(개별회사용)]</t>
        </is>
      </c>
      <c r="F2083" s="3" t="inlineStr">
        <is>
          <t>삼성E&amp;A</t>
        </is>
      </c>
      <c r="G2083" s="2" t="inlineStr">
        <is>
          <t>20260303000648</t>
        </is>
      </c>
      <c r="H2083" s="8">
        <f>HYPERLINK("https://dart.fss.or.kr/dsaf001/main.do?rcpNo=20260303000648", "공시열람")</f>
        <v/>
      </c>
    </row>
    <row r="2084">
      <c r="A2084" s="2" t="inlineStr">
        <is>
          <t>2026-03-03</t>
        </is>
      </c>
      <c r="B2084" s="3" t="inlineStr">
        <is>
          <t>제일기획</t>
        </is>
      </c>
      <c r="C2084" s="2" t="inlineStr">
        <is>
          <t>코스피</t>
        </is>
      </c>
      <c r="D2084" s="2" t="inlineStr">
        <is>
          <t>030000</t>
        </is>
      </c>
      <c r="E2084" s="3" t="inlineStr">
        <is>
          <t>대규모기업집단현황공시[분기별공시(개별회사용)]</t>
        </is>
      </c>
      <c r="F2084" s="3" t="inlineStr">
        <is>
          <t>제일기획</t>
        </is>
      </c>
      <c r="G2084" s="2" t="inlineStr">
        <is>
          <t>20260303000625</t>
        </is>
      </c>
      <c r="H2084" s="8">
        <f>HYPERLINK("https://dart.fss.or.kr/dsaf001/main.do?rcpNo=20260303000625", "공시열람")</f>
        <v/>
      </c>
    </row>
    <row r="2085">
      <c r="A2085" s="2" t="inlineStr">
        <is>
          <t>2026-03-03</t>
        </is>
      </c>
      <c r="B2085" s="3" t="inlineStr">
        <is>
          <t>삼성SDI</t>
        </is>
      </c>
      <c r="C2085" s="2" t="inlineStr">
        <is>
          <t>코스피</t>
        </is>
      </c>
      <c r="D2085" s="2" t="inlineStr">
        <is>
          <t>006400</t>
        </is>
      </c>
      <c r="E2085" s="3" t="inlineStr">
        <is>
          <t>대규모기업집단현황공시[분기별공시(개별회사용)]</t>
        </is>
      </c>
      <c r="F2085" s="3" t="inlineStr">
        <is>
          <t>삼성SDI</t>
        </is>
      </c>
      <c r="G2085" s="2" t="inlineStr">
        <is>
          <t>20260303000598</t>
        </is>
      </c>
      <c r="H2085" s="8">
        <f>HYPERLINK("https://dart.fss.or.kr/dsaf001/main.do?rcpNo=20260303000598", "공시열람")</f>
        <v/>
      </c>
    </row>
    <row r="2086">
      <c r="A2086" s="2" t="inlineStr">
        <is>
          <t>2026-03-03</t>
        </is>
      </c>
      <c r="B2086" s="3" t="inlineStr">
        <is>
          <t>삼성증권</t>
        </is>
      </c>
      <c r="C2086" s="2" t="inlineStr">
        <is>
          <t>코스피</t>
        </is>
      </c>
      <c r="D2086" s="2" t="inlineStr">
        <is>
          <t>016360</t>
        </is>
      </c>
      <c r="E2086" s="3" t="inlineStr">
        <is>
          <t>대규모기업집단현황공시[분기별공시(개별회사용)]</t>
        </is>
      </c>
      <c r="F2086" s="3" t="inlineStr">
        <is>
          <t>삼성증권</t>
        </is>
      </c>
      <c r="G2086" s="2" t="inlineStr">
        <is>
          <t>20260303000572</t>
        </is>
      </c>
      <c r="H2086" s="8">
        <f>HYPERLINK("https://dart.fss.or.kr/dsaf001/main.do?rcpNo=20260303000572", "공시열람")</f>
        <v/>
      </c>
    </row>
    <row r="2087">
      <c r="A2087" s="2" t="inlineStr">
        <is>
          <t>2026-03-03</t>
        </is>
      </c>
      <c r="B2087" s="3" t="inlineStr">
        <is>
          <t>스튜디오드래곤</t>
        </is>
      </c>
      <c r="C2087" s="2" t="inlineStr">
        <is>
          <t>코스닥</t>
        </is>
      </c>
      <c r="D2087" s="2" t="inlineStr">
        <is>
          <t>253450</t>
        </is>
      </c>
      <c r="E2087" s="3" t="inlineStr">
        <is>
          <t xml:space="preserve">기업설명회(IR)개최              </t>
        </is>
      </c>
      <c r="F2087" s="3" t="inlineStr">
        <is>
          <t>스튜디오드래곤</t>
        </is>
      </c>
      <c r="G2087" s="2" t="inlineStr">
        <is>
          <t>20260303900169</t>
        </is>
      </c>
      <c r="H2087" s="8">
        <f>HYPERLINK("https://dart.fss.or.kr/dsaf001/main.do?rcpNo=20260303900169", "공시열람")</f>
        <v/>
      </c>
    </row>
    <row r="2088">
      <c r="A2088" s="2" t="inlineStr">
        <is>
          <t>2026-03-03</t>
        </is>
      </c>
      <c r="B2088" s="3" t="inlineStr">
        <is>
          <t>멀티캠퍼스</t>
        </is>
      </c>
      <c r="C2088" s="2" t="inlineStr">
        <is>
          <t>코스닥</t>
        </is>
      </c>
      <c r="D2088" s="2" t="inlineStr">
        <is>
          <t>067280</t>
        </is>
      </c>
      <c r="E2088" s="3" t="inlineStr">
        <is>
          <t>대규모기업집단현황공시[분기별공시(개별회사용)]</t>
        </is>
      </c>
      <c r="F2088" s="3" t="inlineStr">
        <is>
          <t>멀티캠퍼스</t>
        </is>
      </c>
      <c r="G2088" s="2" t="inlineStr">
        <is>
          <t>20260303000526</t>
        </is>
      </c>
      <c r="H2088" s="8">
        <f>HYPERLINK("https://dart.fss.or.kr/dsaf001/main.do?rcpNo=20260303000526", "공시열람")</f>
        <v/>
      </c>
    </row>
    <row r="2089">
      <c r="A2089" s="2" t="inlineStr">
        <is>
          <t>2026-03-03</t>
        </is>
      </c>
      <c r="B2089" s="3" t="inlineStr">
        <is>
          <t>나우IB</t>
        </is>
      </c>
      <c r="C2089" s="2" t="inlineStr">
        <is>
          <t>코스닥</t>
        </is>
      </c>
      <c r="D2089" s="2" t="inlineStr">
        <is>
          <t>293580</t>
        </is>
      </c>
      <c r="E2089" s="3" t="inlineStr">
        <is>
          <t>사외이사의선임ㆍ해임또는중도퇴임에관한신고</t>
        </is>
      </c>
      <c r="F2089" s="3" t="inlineStr">
        <is>
          <t>나우IB</t>
        </is>
      </c>
      <c r="G2089" s="2" t="inlineStr">
        <is>
          <t>20260303000492</t>
        </is>
      </c>
      <c r="H2089" s="8">
        <f>HYPERLINK("https://dart.fss.or.kr/dsaf001/main.do?rcpNo=20260303000492", "공시열람")</f>
        <v/>
      </c>
    </row>
    <row r="2090">
      <c r="A2090" s="2" t="inlineStr">
        <is>
          <t>2026-03-03</t>
        </is>
      </c>
      <c r="B2090" s="3" t="inlineStr">
        <is>
          <t>부스타</t>
        </is>
      </c>
      <c r="C2090" s="2" t="inlineStr">
        <is>
          <t>코스닥</t>
        </is>
      </c>
      <c r="D2090" s="2" t="inlineStr">
        <is>
          <t>008470</t>
        </is>
      </c>
      <c r="E2090" s="3" t="inlineStr">
        <is>
          <t>의결권대리행사권유참고서류</t>
        </is>
      </c>
      <c r="F2090" s="3" t="inlineStr">
        <is>
          <t>부스타</t>
        </is>
      </c>
      <c r="G2090" s="2" t="inlineStr">
        <is>
          <t>20260303000469</t>
        </is>
      </c>
      <c r="H2090" s="8">
        <f>HYPERLINK("https://dart.fss.or.kr/dsaf001/main.do?rcpNo=20260303000469", "공시열람")</f>
        <v/>
      </c>
    </row>
    <row r="2091">
      <c r="A2091" s="2" t="inlineStr">
        <is>
          <t>2026-03-03</t>
        </is>
      </c>
      <c r="B2091" s="3" t="inlineStr">
        <is>
          <t>교보증권</t>
        </is>
      </c>
      <c r="C2091" s="2" t="inlineStr">
        <is>
          <t>코스피</t>
        </is>
      </c>
      <c r="D2091" s="2" t="inlineStr">
        <is>
          <t>030610</t>
        </is>
      </c>
      <c r="E2091" s="3" t="inlineStr">
        <is>
          <t>투자설명서(일괄신고)</t>
        </is>
      </c>
      <c r="F2091" s="3" t="inlineStr">
        <is>
          <t>교보증권</t>
        </is>
      </c>
      <c r="G2091" s="2" t="inlineStr">
        <is>
          <t>20260303000452</t>
        </is>
      </c>
      <c r="H2091" s="8">
        <f>HYPERLINK("https://dart.fss.or.kr/dsaf001/main.do?rcpNo=20260303000452", "공시열람")</f>
        <v/>
      </c>
    </row>
    <row r="2092">
      <c r="A2092" s="2" t="inlineStr">
        <is>
          <t>2026-03-03</t>
        </is>
      </c>
      <c r="B2092" s="3" t="inlineStr">
        <is>
          <t>삼성전자</t>
        </is>
      </c>
      <c r="C2092" s="2" t="inlineStr">
        <is>
          <t>코스피</t>
        </is>
      </c>
      <c r="D2092" s="2" t="inlineStr">
        <is>
          <t>005930</t>
        </is>
      </c>
      <c r="E2092" s="3" t="inlineStr">
        <is>
          <t>대규모기업집단현황공시[분기별공시(대표회사용)]</t>
        </is>
      </c>
      <c r="F2092" s="3" t="inlineStr">
        <is>
          <t>삼성전자</t>
        </is>
      </c>
      <c r="G2092" s="2" t="inlineStr">
        <is>
          <t>20260303000409</t>
        </is>
      </c>
      <c r="H2092" s="8">
        <f>HYPERLINK("https://dart.fss.or.kr/dsaf001/main.do?rcpNo=20260303000409", "공시열람")</f>
        <v/>
      </c>
    </row>
    <row r="2093">
      <c r="A2093" s="2" t="inlineStr">
        <is>
          <t>2026-03-03</t>
        </is>
      </c>
      <c r="B2093" s="3" t="inlineStr">
        <is>
          <t>교보증권</t>
        </is>
      </c>
      <c r="C2093" s="2" t="inlineStr">
        <is>
          <t>코스피</t>
        </is>
      </c>
      <c r="D2093" s="2" t="inlineStr">
        <is>
          <t>030610</t>
        </is>
      </c>
      <c r="E2093" s="3" t="inlineStr">
        <is>
          <t>일괄신고추가서류(파생결합사채-주가연계파생결합사채)</t>
        </is>
      </c>
      <c r="F2093" s="3" t="inlineStr">
        <is>
          <t>교보증권</t>
        </is>
      </c>
      <c r="G2093" s="2" t="inlineStr">
        <is>
          <t>20260303000379</t>
        </is>
      </c>
      <c r="H2093" s="8">
        <f>HYPERLINK("https://dart.fss.or.kr/dsaf001/main.do?rcpNo=20260303000379", "공시열람")</f>
        <v/>
      </c>
    </row>
    <row r="2094">
      <c r="A2094" s="2" t="inlineStr">
        <is>
          <t>2026-03-03</t>
        </is>
      </c>
      <c r="B2094" s="3" t="inlineStr">
        <is>
          <t>한미반도체</t>
        </is>
      </c>
      <c r="C2094" s="2" t="inlineStr">
        <is>
          <t>코스피</t>
        </is>
      </c>
      <c r="D2094" s="2" t="inlineStr">
        <is>
          <t>042700</t>
        </is>
      </c>
      <c r="E2094" s="3" t="inlineStr">
        <is>
          <t xml:space="preserve">기업설명회(IR)개최(안내공시)              </t>
        </is>
      </c>
      <c r="F2094" s="3" t="inlineStr">
        <is>
          <t>한미반도체</t>
        </is>
      </c>
      <c r="G2094" s="2" t="inlineStr">
        <is>
          <t>20260303800141</t>
        </is>
      </c>
      <c r="H2094" s="8">
        <f>HYPERLINK("https://dart.fss.or.kr/dsaf001/main.do?rcpNo=20260303800141", "공시열람")</f>
        <v/>
      </c>
    </row>
    <row r="2095">
      <c r="A2095" s="2" t="inlineStr">
        <is>
          <t>2026-03-03</t>
        </is>
      </c>
      <c r="B2095" s="3" t="inlineStr">
        <is>
          <t>한미반도체</t>
        </is>
      </c>
      <c r="C2095" s="2" t="inlineStr">
        <is>
          <t>코스피</t>
        </is>
      </c>
      <c r="D2095" s="2" t="inlineStr">
        <is>
          <t>042700</t>
        </is>
      </c>
      <c r="E2095" s="3" t="inlineStr">
        <is>
          <t xml:space="preserve">기업설명회(IR)개최(안내공시)              </t>
        </is>
      </c>
      <c r="F2095" s="3" t="inlineStr">
        <is>
          <t>한미반도체</t>
        </is>
      </c>
      <c r="G2095" s="2" t="inlineStr">
        <is>
          <t>20260303800140</t>
        </is>
      </c>
      <c r="H2095" s="8">
        <f>HYPERLINK("https://dart.fss.or.kr/dsaf001/main.do?rcpNo=20260303800140", "공시열람")</f>
        <v/>
      </c>
    </row>
    <row r="2096">
      <c r="A2096" s="2" t="inlineStr">
        <is>
          <t>2026-03-03</t>
        </is>
      </c>
      <c r="B2096" s="3" t="inlineStr">
        <is>
          <t>비트컴퓨터</t>
        </is>
      </c>
      <c r="C2096" s="2" t="inlineStr">
        <is>
          <t>코스닥</t>
        </is>
      </c>
      <c r="D2096" s="2" t="inlineStr">
        <is>
          <t>032850</t>
        </is>
      </c>
      <c r="E2096" s="3" t="inlineStr">
        <is>
          <t>의결권대리행사권유참고서류</t>
        </is>
      </c>
      <c r="F2096" s="3" t="inlineStr">
        <is>
          <t>비트컴퓨터</t>
        </is>
      </c>
      <c r="G2096" s="2" t="inlineStr">
        <is>
          <t>20260303000324</t>
        </is>
      </c>
      <c r="H2096" s="8">
        <f>HYPERLINK("https://dart.fss.or.kr/dsaf001/main.do?rcpNo=20260303000324", "공시열람")</f>
        <v/>
      </c>
    </row>
    <row r="2097">
      <c r="A2097" s="2" t="inlineStr">
        <is>
          <t>2026-03-03</t>
        </is>
      </c>
      <c r="B2097" s="3" t="inlineStr">
        <is>
          <t>동서</t>
        </is>
      </c>
      <c r="C2097" s="2" t="inlineStr">
        <is>
          <t>코스피</t>
        </is>
      </c>
      <c r="D2097" s="2" t="inlineStr">
        <is>
          <t>026960</t>
        </is>
      </c>
      <c r="E2097" s="3" t="inlineStr">
        <is>
          <t>기업가치제고계획(자율공시)              (2026년)</t>
        </is>
      </c>
      <c r="F2097" s="3" t="inlineStr">
        <is>
          <t>동서</t>
        </is>
      </c>
      <c r="G2097" s="2" t="inlineStr">
        <is>
          <t>20260303800136</t>
        </is>
      </c>
      <c r="H2097" s="8">
        <f>HYPERLINK("https://dart.fss.or.kr/dsaf001/main.do?rcpNo=20260303800136", "공시열람")</f>
        <v/>
      </c>
    </row>
    <row r="2098">
      <c r="A2098" s="2" t="inlineStr">
        <is>
          <t>2026-03-03</t>
        </is>
      </c>
      <c r="B2098" s="3" t="inlineStr">
        <is>
          <t>스튜디오드래곤</t>
        </is>
      </c>
      <c r="C2098" s="2" t="inlineStr">
        <is>
          <t>코스닥</t>
        </is>
      </c>
      <c r="D2098" s="2" t="inlineStr">
        <is>
          <t>253450</t>
        </is>
      </c>
      <c r="E2098" s="3" t="inlineStr">
        <is>
          <t>자기주식취득결과보고서</t>
        </is>
      </c>
      <c r="F2098" s="3" t="inlineStr">
        <is>
          <t>스튜디오드래곤</t>
        </is>
      </c>
      <c r="G2098" s="2" t="inlineStr">
        <is>
          <t>20260303000183</t>
        </is>
      </c>
      <c r="H2098" s="8">
        <f>HYPERLINK("https://dart.fss.or.kr/dsaf001/main.do?rcpNo=20260303000183", "공시열람")</f>
        <v/>
      </c>
    </row>
    <row r="2099">
      <c r="A2099" s="2" t="inlineStr">
        <is>
          <t>2026-03-03</t>
        </is>
      </c>
      <c r="B2099" s="3" t="inlineStr">
        <is>
          <t>포커스에이아이</t>
        </is>
      </c>
      <c r="C2099" s="2" t="inlineStr">
        <is>
          <t>코스닥</t>
        </is>
      </c>
      <c r="D2099" s="2" t="inlineStr">
        <is>
          <t>331380</t>
        </is>
      </c>
      <c r="E2099" s="3" t="inlineStr">
        <is>
          <t>사외이사의선임ㆍ해임또는중도퇴임에관한신고</t>
        </is>
      </c>
      <c r="F2099" s="3" t="inlineStr">
        <is>
          <t>포커스에이아이</t>
        </is>
      </c>
      <c r="G2099" s="2" t="inlineStr">
        <is>
          <t>20260303000165</t>
        </is>
      </c>
      <c r="H2099" s="8">
        <f>HYPERLINK("https://dart.fss.or.kr/dsaf001/main.do?rcpNo=20260303000165", "공시열람")</f>
        <v/>
      </c>
    </row>
    <row r="2100">
      <c r="A2100" s="2" t="inlineStr">
        <is>
          <t>2026-03-03</t>
        </is>
      </c>
      <c r="B2100" s="3" t="inlineStr">
        <is>
          <t>LG이노텍</t>
        </is>
      </c>
      <c r="C2100" s="2" t="inlineStr">
        <is>
          <t>코스피</t>
        </is>
      </c>
      <c r="D2100" s="2" t="inlineStr">
        <is>
          <t>011070</t>
        </is>
      </c>
      <c r="E2100" s="3" t="inlineStr">
        <is>
          <t>대규모기업집단현황공시[분기별공시(개별회사용)]</t>
        </is>
      </c>
      <c r="F2100" s="3" t="inlineStr">
        <is>
          <t>LG이노텍</t>
        </is>
      </c>
      <c r="G2100" s="2" t="inlineStr">
        <is>
          <t>20260303000141</t>
        </is>
      </c>
      <c r="H2100" s="8">
        <f>HYPERLINK("https://dart.fss.or.kr/dsaf001/main.do?rcpNo=20260303000141", "공시열람")</f>
        <v/>
      </c>
    </row>
    <row r="2101">
      <c r="A2101" s="2" t="inlineStr">
        <is>
          <t>2026-03-03</t>
        </is>
      </c>
      <c r="B2101" s="3" t="inlineStr">
        <is>
          <t>하이트진로</t>
        </is>
      </c>
      <c r="C2101" s="2" t="inlineStr">
        <is>
          <t>코스피</t>
        </is>
      </c>
      <c r="D2101" s="2" t="inlineStr">
        <is>
          <t>000080</t>
        </is>
      </c>
      <c r="E2101" s="3" t="inlineStr">
        <is>
          <t>투자설명서</t>
        </is>
      </c>
      <c r="F2101" s="3" t="inlineStr">
        <is>
          <t>하이트진로</t>
        </is>
      </c>
      <c r="G2101" s="2" t="inlineStr">
        <is>
          <t>20260303000107</t>
        </is>
      </c>
      <c r="H2101" s="8">
        <f>HYPERLINK("https://dart.fss.or.kr/dsaf001/main.do?rcpNo=20260303000107", "공시열람")</f>
        <v/>
      </c>
    </row>
    <row r="2102">
      <c r="A2102" s="2" t="inlineStr">
        <is>
          <t>2026-03-03</t>
        </is>
      </c>
      <c r="B2102" s="3" t="inlineStr">
        <is>
          <t>잉글우드랩</t>
        </is>
      </c>
      <c r="C2102" s="2" t="inlineStr">
        <is>
          <t>코스닥</t>
        </is>
      </c>
      <c r="D2102" s="2" t="inlineStr">
        <is>
          <t>950140</t>
        </is>
      </c>
      <c r="E2102" s="3" t="inlineStr">
        <is>
          <t>공개매수설명서</t>
        </is>
      </c>
      <c r="F2102" s="3" t="inlineStr">
        <is>
          <t>코스메카코리아</t>
        </is>
      </c>
      <c r="G2102" s="2" t="inlineStr">
        <is>
          <t>20260303000100</t>
        </is>
      </c>
      <c r="H2102" s="8">
        <f>HYPERLINK("https://dart.fss.or.kr/dsaf001/main.do?rcpNo=20260303000100", "공시열람")</f>
        <v/>
      </c>
    </row>
    <row r="2103">
      <c r="A2103" s="2" t="inlineStr">
        <is>
          <t>2026-03-03</t>
        </is>
      </c>
      <c r="B2103" s="3" t="inlineStr">
        <is>
          <t>잉글우드랩</t>
        </is>
      </c>
      <c r="C2103" s="2" t="inlineStr">
        <is>
          <t>코스닥</t>
        </is>
      </c>
      <c r="D2103" s="2" t="inlineStr">
        <is>
          <t>950140</t>
        </is>
      </c>
      <c r="E2103" s="3" t="inlineStr">
        <is>
          <t>공개매수신고서</t>
        </is>
      </c>
      <c r="F2103" s="3" t="inlineStr">
        <is>
          <t>코스메카코리아</t>
        </is>
      </c>
      <c r="G2103" s="2" t="inlineStr">
        <is>
          <t>20260303000095</t>
        </is>
      </c>
      <c r="H2103" s="8">
        <f>HYPERLINK("https://dart.fss.or.kr/dsaf001/main.do?rcpNo=20260303000095", "공시열람")</f>
        <v/>
      </c>
    </row>
    <row r="2104">
      <c r="A2104" s="2" t="inlineStr">
        <is>
          <t>2026-03-03</t>
        </is>
      </c>
      <c r="B2104" s="3" t="inlineStr">
        <is>
          <t>대한조선</t>
        </is>
      </c>
      <c r="C2104" s="2" t="inlineStr">
        <is>
          <t>코스피</t>
        </is>
      </c>
      <c r="D2104" s="2" t="inlineStr">
        <is>
          <t>439260</t>
        </is>
      </c>
      <c r="E2104" s="3" t="inlineStr">
        <is>
          <t xml:space="preserve">생산중단              </t>
        </is>
      </c>
      <c r="F2104" s="3" t="inlineStr">
        <is>
          <t>대한조선</t>
        </is>
      </c>
      <c r="G2104" s="2" t="inlineStr">
        <is>
          <t>20260303800023</t>
        </is>
      </c>
      <c r="H2104" s="8">
        <f>HYPERLINK("https://dart.fss.or.kr/dsaf001/main.do?rcpNo=20260303800023", "공시열람")</f>
        <v/>
      </c>
    </row>
    <row r="2105">
      <c r="A2105" s="2" t="inlineStr">
        <is>
          <t>2026-03-03</t>
        </is>
      </c>
      <c r="B2105" s="3" t="inlineStr">
        <is>
          <t>에코마케팅</t>
        </is>
      </c>
      <c r="C2105" s="2" t="inlineStr">
        <is>
          <t>코스닥</t>
        </is>
      </c>
      <c r="D2105" s="2" t="inlineStr">
        <is>
          <t>230360</t>
        </is>
      </c>
      <c r="E2105" s="3" t="inlineStr">
        <is>
          <t>공개매수설명서</t>
        </is>
      </c>
      <c r="F2105" s="3" t="inlineStr">
        <is>
          <t>비씨피이이에이비드코원</t>
        </is>
      </c>
      <c r="G2105" s="2" t="inlineStr">
        <is>
          <t>20260303000015</t>
        </is>
      </c>
      <c r="H2105" s="8">
        <f>HYPERLINK("https://dart.fss.or.kr/dsaf001/main.do?rcpNo=20260303000015", "공시열람")</f>
        <v/>
      </c>
    </row>
    <row r="2106">
      <c r="A2106" s="2" t="inlineStr">
        <is>
          <t>2026-03-03 (정정: 2026-03-03)</t>
        </is>
      </c>
      <c r="B2106" s="3" t="inlineStr">
        <is>
          <t>DH오토넥스</t>
        </is>
      </c>
      <c r="C2106" s="2" t="inlineStr">
        <is>
          <t>코스피</t>
        </is>
      </c>
      <c r="D2106" s="2" t="inlineStr">
        <is>
          <t>000300</t>
        </is>
      </c>
      <c r="E2106" s="3" t="inlineStr">
        <is>
          <t>주요사항보고서(타법인주식및출자증권양도결정) (정정: 20260303)</t>
        </is>
      </c>
      <c r="F2106" s="3" t="inlineStr">
        <is>
          <t>DH오토넥스</t>
        </is>
      </c>
      <c r="G2106" s="2" t="inlineStr">
        <is>
          <t>20260227009006</t>
        </is>
      </c>
      <c r="H2106" s="8">
        <f>HYPERLINK("https://dart.fss.or.kr/dsaf001/main.do?rcpNo=20260227009006", "공시열람")</f>
        <v/>
      </c>
    </row>
    <row r="2107">
      <c r="A2107" s="2" t="inlineStr">
        <is>
          <t>2026-03-03</t>
        </is>
      </c>
      <c r="B2107" s="3" t="inlineStr">
        <is>
          <t>에코마케팅</t>
        </is>
      </c>
      <c r="C2107" s="2" t="inlineStr">
        <is>
          <t>코스닥</t>
        </is>
      </c>
      <c r="D2107" s="2" t="inlineStr">
        <is>
          <t>230360</t>
        </is>
      </c>
      <c r="E2107" s="3" t="inlineStr">
        <is>
          <t>공개매수신고서</t>
        </is>
      </c>
      <c r="F2107" s="3" t="inlineStr">
        <is>
          <t>비씨피이이에이비드코원</t>
        </is>
      </c>
      <c r="G2107" s="2" t="inlineStr">
        <is>
          <t>20260303000013</t>
        </is>
      </c>
      <c r="H2107" s="8">
        <f>HYPERLINK("https://dart.fss.or.kr/dsaf001/main.do?rcpNo=20260303000013", "공시열람")</f>
        <v/>
      </c>
    </row>
    <row r="2108">
      <c r="A2108" s="2" t="inlineStr">
        <is>
          <t>2026-03-03</t>
        </is>
      </c>
      <c r="B2108" s="3" t="inlineStr">
        <is>
          <t>송원산업</t>
        </is>
      </c>
      <c r="C2108" s="2" t="inlineStr">
        <is>
          <t>코스피</t>
        </is>
      </c>
      <c r="D2108" s="2" t="inlineStr">
        <is>
          <t>004430</t>
        </is>
      </c>
      <c r="E2108" s="3" t="inlineStr">
        <is>
          <t xml:space="preserve">감사보고서제출              </t>
        </is>
      </c>
      <c r="F2108" s="3" t="inlineStr">
        <is>
          <t>송원산업</t>
        </is>
      </c>
      <c r="G2108" s="2" t="inlineStr">
        <is>
          <t>20260303800005</t>
        </is>
      </c>
      <c r="H2108" s="8">
        <f>HYPERLINK("https://dart.fss.or.kr/dsaf001/main.do?rcpNo=20260303800005", "공시열람")</f>
        <v/>
      </c>
    </row>
    <row r="2109">
      <c r="A2109" s="2" t="inlineStr">
        <is>
          <t>2026-03-03</t>
        </is>
      </c>
      <c r="B2109" s="3" t="inlineStr">
        <is>
          <t>셀루메드</t>
        </is>
      </c>
      <c r="C2109" s="2" t="inlineStr">
        <is>
          <t>코스닥</t>
        </is>
      </c>
      <c r="D2109" s="2" t="inlineStr">
        <is>
          <t>049180</t>
        </is>
      </c>
      <c r="E2109" s="3" t="inlineStr">
        <is>
          <t>[기재정정]투자판단관련주요경영사항              (집행판결 청구소송 합의 변경의 건)</t>
        </is>
      </c>
      <c r="F2109" s="3" t="inlineStr">
        <is>
          <t>셀루메드</t>
        </is>
      </c>
      <c r="G2109" s="2" t="inlineStr">
        <is>
          <t>20260303900007</t>
        </is>
      </c>
      <c r="H2109" s="8">
        <f>HYPERLINK("https://dart.fss.or.kr/dsaf001/main.do?rcpNo=20260303900007", "공시열람")</f>
        <v/>
      </c>
    </row>
    <row r="2110">
      <c r="A2110" s="2" t="inlineStr">
        <is>
          <t>2026-03-03</t>
        </is>
      </c>
      <c r="B2110" s="3" t="inlineStr">
        <is>
          <t>대한조선</t>
        </is>
      </c>
      <c r="C2110" s="2" t="inlineStr">
        <is>
          <t>코스피</t>
        </is>
      </c>
      <c r="D2110" s="2" t="inlineStr">
        <is>
          <t>439260</t>
        </is>
      </c>
      <c r="E2110" s="3" t="inlineStr">
        <is>
          <t xml:space="preserve">중대재해발생              </t>
        </is>
      </c>
      <c r="F2110" s="3" t="inlineStr">
        <is>
          <t>대한조선</t>
        </is>
      </c>
      <c r="G2110" s="2" t="inlineStr">
        <is>
          <t>20260303800003</t>
        </is>
      </c>
      <c r="H2110" s="8">
        <f>HYPERLINK("https://dart.fss.or.kr/dsaf001/main.do?rcpNo=20260303800003", "공시열람")</f>
        <v/>
      </c>
    </row>
    <row r="2111">
      <c r="A2111" s="2" t="inlineStr">
        <is>
          <t>2026-03-03</t>
        </is>
      </c>
      <c r="B2111" s="3" t="inlineStr">
        <is>
          <t>HD건설기계</t>
        </is>
      </c>
      <c r="C2111" s="2" t="inlineStr">
        <is>
          <t>코스피</t>
        </is>
      </c>
      <c r="D2111" s="2" t="inlineStr">
        <is>
          <t>267270</t>
        </is>
      </c>
      <c r="E2111" s="3" t="inlineStr">
        <is>
          <t>대규모기업집단현황공시[분기별공시(개별회사용)]</t>
        </is>
      </c>
      <c r="F2111" s="3" t="inlineStr">
        <is>
          <t>HD건설기계</t>
        </is>
      </c>
      <c r="G2111" s="2" t="inlineStr">
        <is>
          <t>20260303000010</t>
        </is>
      </c>
      <c r="H2111" s="8">
        <f>HYPERLINK("https://dart.fss.or.kr/dsaf001/main.do?rcpNo=20260303000010", "공시열람")</f>
        <v/>
      </c>
    </row>
    <row r="2112">
      <c r="A2112" s="2" t="inlineStr">
        <is>
          <t>2026-03-03</t>
        </is>
      </c>
      <c r="B2112" s="3" t="inlineStr">
        <is>
          <t>DH오토리드</t>
        </is>
      </c>
      <c r="C2112" s="2" t="inlineStr">
        <is>
          <t>코스닥</t>
        </is>
      </c>
      <c r="D2112" s="2" t="inlineStr">
        <is>
          <t>290120</t>
        </is>
      </c>
      <c r="E2112" s="3" t="inlineStr">
        <is>
          <t>임원ㆍ주요주주특정증권등거래계획보고서</t>
        </is>
      </c>
      <c r="F2112" s="3" t="inlineStr">
        <is>
          <t>DH오토넥스</t>
        </is>
      </c>
      <c r="G2112" s="2" t="inlineStr">
        <is>
          <t>20260227009002</t>
        </is>
      </c>
      <c r="H2112" s="8">
        <f>HYPERLINK("https://dart.fss.or.kr/dsaf001/main.do?rcpNo=20260227009002", "공시열람")</f>
        <v/>
      </c>
    </row>
    <row r="2113">
      <c r="A2113" s="2" t="inlineStr">
        <is>
          <t>2026-03-03</t>
        </is>
      </c>
      <c r="B2113" s="3" t="inlineStr">
        <is>
          <t>나인테크</t>
        </is>
      </c>
      <c r="C2113" s="2" t="inlineStr">
        <is>
          <t>코스닥</t>
        </is>
      </c>
      <c r="D2113" s="2" t="inlineStr">
        <is>
          <t>267320</t>
        </is>
      </c>
      <c r="E2113" s="3" t="inlineStr">
        <is>
          <t>[기재정정]의결권대리행사권유참고서류</t>
        </is>
      </c>
      <c r="F2113" s="3" t="inlineStr">
        <is>
          <t>나인테크</t>
        </is>
      </c>
      <c r="G2113" s="2" t="inlineStr">
        <is>
          <t>20260227008992</t>
        </is>
      </c>
      <c r="H2113" s="8">
        <f>HYPERLINK("https://dart.fss.or.kr/dsaf001/main.do?rcpNo=20260227008992", "공시열람")</f>
        <v/>
      </c>
    </row>
    <row r="2114">
      <c r="A2114" s="2" t="inlineStr">
        <is>
          <t>2026-03-03 (정정: 2026-03-04)</t>
        </is>
      </c>
      <c r="B2114" s="3" t="inlineStr">
        <is>
          <t>형지I&amp;C</t>
        </is>
      </c>
      <c r="C2114" s="2" t="inlineStr">
        <is>
          <t>코스닥</t>
        </is>
      </c>
      <c r="D2114" s="2" t="inlineStr">
        <is>
          <t>011080</t>
        </is>
      </c>
      <c r="E2114" s="3" t="inlineStr">
        <is>
          <t>주요사항보고서(감자결정) (정정: 20260304)</t>
        </is>
      </c>
      <c r="F2114" s="3" t="inlineStr">
        <is>
          <t>형지I&amp;C</t>
        </is>
      </c>
      <c r="G2114" s="2" t="inlineStr">
        <is>
          <t>20260304001433</t>
        </is>
      </c>
      <c r="H2114" s="8">
        <f>HYPERLINK("https://dart.fss.or.kr/dsaf001/main.do?rcpNo=20260304001433", "공시열람")</f>
        <v/>
      </c>
    </row>
    <row r="2115">
      <c r="A2115" s="2" t="inlineStr">
        <is>
          <t>2026-03-04</t>
        </is>
      </c>
      <c r="B2115" s="3" t="inlineStr">
        <is>
          <t>삼익THK</t>
        </is>
      </c>
      <c r="C2115" s="2" t="inlineStr">
        <is>
          <t>코스피</t>
        </is>
      </c>
      <c r="D2115" s="2" t="inlineStr">
        <is>
          <t>004380</t>
        </is>
      </c>
      <c r="E2115" s="3" t="inlineStr">
        <is>
          <t>기타시장안내              (개선기간 종료 및 향후 절차 안내)</t>
        </is>
      </c>
      <c r="F2115" s="3" t="inlineStr">
        <is>
          <t>유가증권시장본부</t>
        </is>
      </c>
      <c r="G2115" s="2" t="inlineStr">
        <is>
          <t>20260304801739</t>
        </is>
      </c>
      <c r="H2115" s="8">
        <f>HYPERLINK("https://dart.fss.or.kr/dsaf001/main.do?rcpNo=20260304801739", "공시열람")</f>
        <v/>
      </c>
    </row>
    <row r="2116">
      <c r="A2116" s="2" t="inlineStr">
        <is>
          <t>2026-03-04</t>
        </is>
      </c>
      <c r="B2116" s="3" t="inlineStr">
        <is>
          <t>메디콕스</t>
        </is>
      </c>
      <c r="C2116" s="2" t="inlineStr">
        <is>
          <t>코스닥</t>
        </is>
      </c>
      <c r="D2116" s="2" t="inlineStr">
        <is>
          <t>054180</t>
        </is>
      </c>
      <c r="E2116" s="3" t="inlineStr">
        <is>
          <t xml:space="preserve">횡령ㆍ배임혐의진행사항              </t>
        </is>
      </c>
      <c r="F2116" s="3" t="inlineStr">
        <is>
          <t>메디콕스</t>
        </is>
      </c>
      <c r="G2116" s="2" t="inlineStr">
        <is>
          <t>20260304901732</t>
        </is>
      </c>
      <c r="H2116" s="8">
        <f>HYPERLINK("https://dart.fss.or.kr/dsaf001/main.do?rcpNo=20260304901732", "공시열람")</f>
        <v/>
      </c>
    </row>
    <row r="2117">
      <c r="A2117" s="2" t="inlineStr">
        <is>
          <t>2026-03-04</t>
        </is>
      </c>
      <c r="B2117" s="3" t="inlineStr">
        <is>
          <t>NH투자증권</t>
        </is>
      </c>
      <c r="C2117" s="2" t="inlineStr">
        <is>
          <t>코스피</t>
        </is>
      </c>
      <c r="D2117" s="2" t="inlineStr">
        <is>
          <t>005940</t>
        </is>
      </c>
      <c r="E2117" s="3" t="inlineStr">
        <is>
          <t xml:space="preserve">감사보고서제출              </t>
        </is>
      </c>
      <c r="F2117" s="3" t="inlineStr">
        <is>
          <t>NH투자증권</t>
        </is>
      </c>
      <c r="G2117" s="2" t="inlineStr">
        <is>
          <t>20260304801717</t>
        </is>
      </c>
      <c r="H2117" s="8">
        <f>HYPERLINK("https://dart.fss.or.kr/dsaf001/main.do?rcpNo=20260304801717", "공시열람")</f>
        <v/>
      </c>
    </row>
    <row r="2118">
      <c r="A2118" s="2" t="inlineStr">
        <is>
          <t>2026-03-04 (정정: 2026-03-10)</t>
        </is>
      </c>
      <c r="B2118" s="3" t="inlineStr">
        <is>
          <t>메디콕스</t>
        </is>
      </c>
      <c r="C2118" s="2" t="inlineStr">
        <is>
          <t>코스닥</t>
        </is>
      </c>
      <c r="D2118" s="2" t="inlineStr">
        <is>
          <t>054180</t>
        </is>
      </c>
      <c r="E2118" s="3" t="inlineStr">
        <is>
          <t>횡령ㆍ배임혐의진행사항               (정정: 20260310) (정정: 20260310) (정정: 20260310)</t>
        </is>
      </c>
      <c r="F2118" s="3" t="inlineStr">
        <is>
          <t>메디콕스</t>
        </is>
      </c>
      <c r="G2118" s="2" t="inlineStr">
        <is>
          <t>20260310901357</t>
        </is>
      </c>
      <c r="H2118" s="8">
        <f>HYPERLINK("https://dart.fss.or.kr/dsaf001/main.do?rcpNo=20260310901357", "공시열람")</f>
        <v/>
      </c>
    </row>
    <row r="2119">
      <c r="A2119" s="2" t="inlineStr">
        <is>
          <t>2026-03-04 (정정: 2026-03-12)</t>
        </is>
      </c>
      <c r="B2119" s="3" t="inlineStr">
        <is>
          <t>진양산업</t>
        </is>
      </c>
      <c r="C2119" s="2" t="inlineStr">
        <is>
          <t>코스피</t>
        </is>
      </c>
      <c r="D2119" s="2" t="inlineStr">
        <is>
          <t>003780</t>
        </is>
      </c>
      <c r="E2119" s="3" t="inlineStr">
        <is>
          <t>감사보고서제출               (정정: 20260312)</t>
        </is>
      </c>
      <c r="F2119" s="3" t="inlineStr">
        <is>
          <t>진양산업</t>
        </is>
      </c>
      <c r="G2119" s="2" t="inlineStr">
        <is>
          <t>20260312802037</t>
        </is>
      </c>
      <c r="H2119" s="8">
        <f>HYPERLINK("https://dart.fss.or.kr/dsaf001/main.do?rcpNo=20260312802037", "공시열람")</f>
        <v/>
      </c>
    </row>
    <row r="2120">
      <c r="A2120" s="2" t="inlineStr">
        <is>
          <t>2026-03-04</t>
        </is>
      </c>
      <c r="B2120" s="3" t="inlineStr">
        <is>
          <t>삼성에피스홀딩스</t>
        </is>
      </c>
      <c r="C2120" s="2" t="inlineStr">
        <is>
          <t>코스피</t>
        </is>
      </c>
      <c r="D2120" s="2" t="inlineStr">
        <is>
          <t>0126Z0</t>
        </is>
      </c>
      <c r="E2120" s="3" t="inlineStr">
        <is>
          <t xml:space="preserve">감사보고서제출              </t>
        </is>
      </c>
      <c r="F2120" s="3" t="inlineStr">
        <is>
          <t>삼성에피스홀딩스</t>
        </is>
      </c>
      <c r="G2120" s="2" t="inlineStr">
        <is>
          <t>20260304801660</t>
        </is>
      </c>
      <c r="H2120" s="8">
        <f>HYPERLINK("https://dart.fss.or.kr/dsaf001/main.do?rcpNo=20260304801660", "공시열람")</f>
        <v/>
      </c>
    </row>
    <row r="2121">
      <c r="A2121" s="2" t="inlineStr">
        <is>
          <t>2026-03-04</t>
        </is>
      </c>
      <c r="B2121" s="3" t="inlineStr">
        <is>
          <t>iM금융지주</t>
        </is>
      </c>
      <c r="C2121" s="2" t="inlineStr">
        <is>
          <t>코스피</t>
        </is>
      </c>
      <c r="D2121" s="2" t="inlineStr">
        <is>
          <t>139130</t>
        </is>
      </c>
      <c r="E2121" s="3" t="inlineStr">
        <is>
          <t xml:space="preserve">[첨부정정]기업지배구조보고서공시(연차보고서)              </t>
        </is>
      </c>
      <c r="F2121" s="3" t="inlineStr">
        <is>
          <t>iM금융지주</t>
        </is>
      </c>
      <c r="G2121" s="2" t="inlineStr">
        <is>
          <t>20260304801721</t>
        </is>
      </c>
      <c r="H2121" s="8">
        <f>HYPERLINK("https://dart.fss.or.kr/dsaf001/main.do?rcpNo=20260304801721", "공시열람")</f>
        <v/>
      </c>
    </row>
    <row r="2122">
      <c r="A2122" s="2" t="inlineStr">
        <is>
          <t>2026-03-04 (정정: 2026-03-04)</t>
        </is>
      </c>
      <c r="B2122" s="3" t="inlineStr">
        <is>
          <t>한국전자홀딩스</t>
        </is>
      </c>
      <c r="C2122" s="2" t="inlineStr">
        <is>
          <t>코스피</t>
        </is>
      </c>
      <c r="D2122" s="2" t="inlineStr">
        <is>
          <t>006200</t>
        </is>
      </c>
      <c r="E2122" s="3" t="inlineStr">
        <is>
          <t>주식병합결정               (정정: 20260304)</t>
        </is>
      </c>
      <c r="F2122" s="3" t="inlineStr">
        <is>
          <t>한국전자홀딩스</t>
        </is>
      </c>
      <c r="G2122" s="2" t="inlineStr">
        <is>
          <t>20260304801627</t>
        </is>
      </c>
      <c r="H2122" s="8">
        <f>HYPERLINK("https://dart.fss.or.kr/dsaf001/main.do?rcpNo=20260304801627", "공시열람")</f>
        <v/>
      </c>
    </row>
    <row r="2123">
      <c r="A2123" s="2" t="inlineStr">
        <is>
          <t>2026-03-04</t>
        </is>
      </c>
      <c r="B2123" s="3" t="inlineStr">
        <is>
          <t>미코</t>
        </is>
      </c>
      <c r="C2123" s="2" t="inlineStr">
        <is>
          <t>코스닥</t>
        </is>
      </c>
      <c r="D2123" s="2" t="inlineStr">
        <is>
          <t>059090</t>
        </is>
      </c>
      <c r="E2123" s="3" t="inlineStr">
        <is>
          <t xml:space="preserve">매출액또는손익구조30%(대규모법인은15%)이상변동              </t>
        </is>
      </c>
      <c r="F2123" s="3" t="inlineStr">
        <is>
          <t>미코</t>
        </is>
      </c>
      <c r="G2123" s="2" t="inlineStr">
        <is>
          <t>20260304901708</t>
        </is>
      </c>
      <c r="H2123" s="8">
        <f>HYPERLINK("https://dart.fss.or.kr/dsaf001/main.do?rcpNo=20260304901708", "공시열람")</f>
        <v/>
      </c>
    </row>
    <row r="2124">
      <c r="A2124" s="2" t="inlineStr">
        <is>
          <t>2026-03-04 (정정: 2026-03-11)</t>
        </is>
      </c>
      <c r="B2124" s="3" t="inlineStr">
        <is>
          <t>켐트로스</t>
        </is>
      </c>
      <c r="C2124" s="2" t="inlineStr">
        <is>
          <t>코스닥</t>
        </is>
      </c>
      <c r="D2124" s="2" t="inlineStr">
        <is>
          <t>220260</t>
        </is>
      </c>
      <c r="E2124" s="3" t="inlineStr">
        <is>
          <t>불성실공시법인지정예고              (공시불이행) (정정: 20260311)</t>
        </is>
      </c>
      <c r="F2124" s="3" t="inlineStr">
        <is>
          <t>코스닥시장본부</t>
        </is>
      </c>
      <c r="G2124" s="2" t="inlineStr">
        <is>
          <t>20260311900925</t>
        </is>
      </c>
      <c r="H2124" s="8">
        <f>HYPERLINK("https://dart.fss.or.kr/dsaf001/main.do?rcpNo=20260311900925", "공시열람")</f>
        <v/>
      </c>
    </row>
    <row r="2125">
      <c r="A2125" s="2" t="inlineStr">
        <is>
          <t>2026-03-04</t>
        </is>
      </c>
      <c r="B2125" s="3" t="inlineStr">
        <is>
          <t>우리금융지주</t>
        </is>
      </c>
      <c r="C2125" s="2" t="inlineStr">
        <is>
          <t>코스피</t>
        </is>
      </c>
      <c r="D2125" s="2" t="inlineStr">
        <is>
          <t>316140</t>
        </is>
      </c>
      <c r="E2125" s="3" t="inlineStr">
        <is>
          <t xml:space="preserve">감사보고서제출              </t>
        </is>
      </c>
      <c r="F2125" s="3" t="inlineStr">
        <is>
          <t>우리금융지주</t>
        </is>
      </c>
      <c r="G2125" s="2" t="inlineStr">
        <is>
          <t>20260304801596</t>
        </is>
      </c>
      <c r="H2125" s="8">
        <f>HYPERLINK("https://dart.fss.or.kr/dsaf001/main.do?rcpNo=20260304801596", "공시열람")</f>
        <v/>
      </c>
    </row>
    <row r="2126">
      <c r="A2126" s="2" t="inlineStr">
        <is>
          <t>2026-03-04</t>
        </is>
      </c>
      <c r="B2126" s="3" t="inlineStr">
        <is>
          <t>다원시스</t>
        </is>
      </c>
      <c r="C2126" s="2" t="inlineStr">
        <is>
          <t>코스닥</t>
        </is>
      </c>
      <c r="D2126" s="2" t="inlineStr">
        <is>
          <t>068240</t>
        </is>
      </c>
      <c r="E2126" s="3" t="inlineStr">
        <is>
          <t>주권매매거래정지              (불성실공시법인 지정)</t>
        </is>
      </c>
      <c r="F2126" s="3" t="inlineStr">
        <is>
          <t>코스닥시장본부</t>
        </is>
      </c>
      <c r="G2126" s="2" t="inlineStr">
        <is>
          <t>20260304901684</t>
        </is>
      </c>
      <c r="H2126" s="8">
        <f>HYPERLINK("https://dart.fss.or.kr/dsaf001/main.do?rcpNo=20260304901684", "공시열람")</f>
        <v/>
      </c>
    </row>
    <row r="2127">
      <c r="A2127" s="2" t="inlineStr">
        <is>
          <t>2026-03-04</t>
        </is>
      </c>
      <c r="B2127" s="3" t="inlineStr">
        <is>
          <t>다원시스</t>
        </is>
      </c>
      <c r="C2127" s="2" t="inlineStr">
        <is>
          <t>코스닥</t>
        </is>
      </c>
      <c r="D2127" s="2" t="inlineStr">
        <is>
          <t>068240</t>
        </is>
      </c>
      <c r="E2127" s="3" t="inlineStr">
        <is>
          <t>불성실공시법인지정              (공시변경 1건, 공시불이행 2건)</t>
        </is>
      </c>
      <c r="F2127" s="3" t="inlineStr">
        <is>
          <t>코스닥시장본부</t>
        </is>
      </c>
      <c r="G2127" s="2" t="inlineStr">
        <is>
          <t>20260304901680</t>
        </is>
      </c>
      <c r="H2127" s="8">
        <f>HYPERLINK("https://dart.fss.or.kr/dsaf001/main.do?rcpNo=20260304901680", "공시열람")</f>
        <v/>
      </c>
    </row>
    <row r="2128">
      <c r="A2128" s="2" t="inlineStr">
        <is>
          <t>2026-03-04 (정정: 2026-03-04)</t>
        </is>
      </c>
      <c r="B2128" s="3" t="inlineStr">
        <is>
          <t>제이에스코퍼레이션</t>
        </is>
      </c>
      <c r="C2128" s="2" t="inlineStr">
        <is>
          <t>코스피</t>
        </is>
      </c>
      <c r="D2128" s="2" t="inlineStr">
        <is>
          <t>194370</t>
        </is>
      </c>
      <c r="E2128" s="3" t="inlineStr">
        <is>
          <t>타법인주식및출자증권취득결정(자율공시)(종속회사의주요경영사항)               (정정: 20260304) (정정: 20260304)</t>
        </is>
      </c>
      <c r="F2128" s="3" t="inlineStr">
        <is>
          <t>제이에스코퍼레이션</t>
        </is>
      </c>
      <c r="G2128" s="2" t="inlineStr">
        <is>
          <t>20260304001640</t>
        </is>
      </c>
      <c r="H2128" s="8">
        <f>HYPERLINK("https://dart.fss.or.kr/dsaf001/main.do?rcpNo=20260304001640", "공시열람")</f>
        <v/>
      </c>
    </row>
    <row r="2129">
      <c r="A2129" s="2" t="inlineStr">
        <is>
          <t>2026-03-04</t>
        </is>
      </c>
      <c r="B2129" s="3" t="inlineStr">
        <is>
          <t>한전산업</t>
        </is>
      </c>
      <c r="C2129" s="2" t="inlineStr">
        <is>
          <t>코스피</t>
        </is>
      </c>
      <c r="D2129" s="2" t="inlineStr">
        <is>
          <t>130660</t>
        </is>
      </c>
      <c r="E2129" s="3" t="inlineStr">
        <is>
          <t xml:space="preserve">매출액또는손익구조30%(대규모법인은15%)이상변경              </t>
        </is>
      </c>
      <c r="F2129" s="3" t="inlineStr">
        <is>
          <t>한전산업</t>
        </is>
      </c>
      <c r="G2129" s="2" t="inlineStr">
        <is>
          <t>20260304801652</t>
        </is>
      </c>
      <c r="H2129" s="8">
        <f>HYPERLINK("https://dart.fss.or.kr/dsaf001/main.do?rcpNo=20260304801652", "공시열람")</f>
        <v/>
      </c>
    </row>
    <row r="2130">
      <c r="A2130" s="2" t="inlineStr">
        <is>
          <t>2026-03-04</t>
        </is>
      </c>
      <c r="B2130" s="3" t="inlineStr">
        <is>
          <t>신일제약</t>
        </is>
      </c>
      <c r="C2130" s="2" t="inlineStr">
        <is>
          <t>코스닥</t>
        </is>
      </c>
      <c r="D2130" s="2" t="inlineStr">
        <is>
          <t>012790</t>
        </is>
      </c>
      <c r="E2130" s="3" t="inlineStr">
        <is>
          <t xml:space="preserve">현금ㆍ현물배당결정              </t>
        </is>
      </c>
      <c r="F2130" s="3" t="inlineStr">
        <is>
          <t>신일제약</t>
        </is>
      </c>
      <c r="G2130" s="2" t="inlineStr">
        <is>
          <t>20260304901598</t>
        </is>
      </c>
      <c r="H2130" s="8">
        <f>HYPERLINK("https://dart.fss.or.kr/dsaf001/main.do?rcpNo=20260304901598", "공시열람")</f>
        <v/>
      </c>
    </row>
    <row r="2131">
      <c r="A2131" s="2" t="inlineStr">
        <is>
          <t>2026-03-04</t>
        </is>
      </c>
      <c r="B2131" s="3" t="inlineStr">
        <is>
          <t>신일제약</t>
        </is>
      </c>
      <c r="C2131" s="2" t="inlineStr">
        <is>
          <t>코스닥</t>
        </is>
      </c>
      <c r="D2131" s="2" t="inlineStr">
        <is>
          <t>012790</t>
        </is>
      </c>
      <c r="E2131" s="3" t="inlineStr">
        <is>
          <t xml:space="preserve">매출액또는손익구조30%(대규모법인은15%)이상변동              </t>
        </is>
      </c>
      <c r="F2131" s="3" t="inlineStr">
        <is>
          <t>신일제약</t>
        </is>
      </c>
      <c r="G2131" s="2" t="inlineStr">
        <is>
          <t>20260304901645</t>
        </is>
      </c>
      <c r="H2131" s="8">
        <f>HYPERLINK("https://dart.fss.or.kr/dsaf001/main.do?rcpNo=20260304901645", "공시열람")</f>
        <v/>
      </c>
    </row>
    <row r="2132">
      <c r="A2132" s="2" t="inlineStr">
        <is>
          <t>2026-03-04</t>
        </is>
      </c>
      <c r="B2132" s="3" t="inlineStr">
        <is>
          <t>현대자동차</t>
        </is>
      </c>
      <c r="C2132" s="2" t="inlineStr">
        <is>
          <t>코스피</t>
        </is>
      </c>
      <c r="D2132" s="2" t="inlineStr">
        <is>
          <t>005380</t>
        </is>
      </c>
      <c r="E2132" s="3" t="inlineStr">
        <is>
          <t xml:space="preserve">감사보고서제출              </t>
        </is>
      </c>
      <c r="F2132" s="3" t="inlineStr">
        <is>
          <t>현대자동차</t>
        </is>
      </c>
      <c r="G2132" s="2" t="inlineStr">
        <is>
          <t>20260304801600</t>
        </is>
      </c>
      <c r="H2132" s="8">
        <f>HYPERLINK("https://dart.fss.or.kr/dsaf001/main.do?rcpNo=20260304801600", "공시열람")</f>
        <v/>
      </c>
    </row>
    <row r="2133">
      <c r="A2133" s="2" t="inlineStr">
        <is>
          <t>2026-03-04 (정정: 2026-03-09)</t>
        </is>
      </c>
      <c r="B2133" s="3" t="inlineStr">
        <is>
          <t>덴티움</t>
        </is>
      </c>
      <c r="C2133" s="2" t="inlineStr">
        <is>
          <t>코스피</t>
        </is>
      </c>
      <c r="D2133" s="2" t="inlineStr">
        <is>
          <t>145720</t>
        </is>
      </c>
      <c r="E2133" s="3" t="inlineStr">
        <is>
          <t>의결권대리행사권유참고서류 (정정: 20260306) (정정: 20260306) (정정: 20260306) (정정: 20260306) (정정: 20260309)</t>
        </is>
      </c>
      <c r="F2133" s="3" t="inlineStr">
        <is>
          <t>얼라인파트너스자산운용</t>
        </is>
      </c>
      <c r="G2133" s="2" t="inlineStr">
        <is>
          <t>20260309001865</t>
        </is>
      </c>
      <c r="H2133" s="8">
        <f>HYPERLINK("https://dart.fss.or.kr/dsaf001/main.do?rcpNo=20260309001865", "공시열람")</f>
        <v/>
      </c>
    </row>
    <row r="2134">
      <c r="A2134" s="2" t="inlineStr">
        <is>
          <t>2026-03-04</t>
        </is>
      </c>
      <c r="B2134" s="3" t="inlineStr">
        <is>
          <t>롯데칠성음료</t>
        </is>
      </c>
      <c r="C2134" s="2" t="inlineStr">
        <is>
          <t>코스피</t>
        </is>
      </c>
      <c r="D2134" s="2" t="inlineStr">
        <is>
          <t>005300</t>
        </is>
      </c>
      <c r="E2134" s="3" t="inlineStr">
        <is>
          <t>의결권대리행사권유참고서류</t>
        </is>
      </c>
      <c r="F2134" s="3" t="inlineStr">
        <is>
          <t>롯데칠성음료</t>
        </is>
      </c>
      <c r="G2134" s="2" t="inlineStr">
        <is>
          <t>20260304001705</t>
        </is>
      </c>
      <c r="H2134" s="8">
        <f>HYPERLINK("https://dart.fss.or.kr/dsaf001/main.do?rcpNo=20260304001705", "공시열람")</f>
        <v/>
      </c>
    </row>
    <row r="2135">
      <c r="A2135" s="2" t="inlineStr">
        <is>
          <t>2026-03-04</t>
        </is>
      </c>
      <c r="B2135" s="3" t="inlineStr">
        <is>
          <t>카카오뱅크</t>
        </is>
      </c>
      <c r="C2135" s="2" t="inlineStr">
        <is>
          <t>코스피</t>
        </is>
      </c>
      <c r="D2135" s="2" t="inlineStr">
        <is>
          <t>323410</t>
        </is>
      </c>
      <c r="E2135" s="3" t="inlineStr">
        <is>
          <t xml:space="preserve">[기재정정]감사보고서제출              </t>
        </is>
      </c>
      <c r="F2135" s="3" t="inlineStr">
        <is>
          <t>카카오뱅크</t>
        </is>
      </c>
      <c r="G2135" s="2" t="inlineStr">
        <is>
          <t>20260304801657</t>
        </is>
      </c>
      <c r="H2135" s="8">
        <f>HYPERLINK("https://dart.fss.or.kr/dsaf001/main.do?rcpNo=20260304801657", "공시열람")</f>
        <v/>
      </c>
    </row>
    <row r="2136">
      <c r="A2136" s="2" t="inlineStr">
        <is>
          <t>2026-03-04</t>
        </is>
      </c>
      <c r="B2136" s="3" t="inlineStr">
        <is>
          <t>휴림로봇</t>
        </is>
      </c>
      <c r="C2136" s="2" t="inlineStr">
        <is>
          <t>코스닥</t>
        </is>
      </c>
      <c r="D2136" s="2" t="inlineStr">
        <is>
          <t>090710</t>
        </is>
      </c>
      <c r="E2136" s="3" t="inlineStr">
        <is>
          <t>임원ㆍ주요주주특정증권등거래계획보고서</t>
        </is>
      </c>
      <c r="F2136" s="3" t="inlineStr">
        <is>
          <t>휴림홀딩스</t>
        </is>
      </c>
      <c r="G2136" s="2" t="inlineStr">
        <is>
          <t>20260304001703</t>
        </is>
      </c>
      <c r="H2136" s="8">
        <f>HYPERLINK("https://dart.fss.or.kr/dsaf001/main.do?rcpNo=20260304001703", "공시열람")</f>
        <v/>
      </c>
    </row>
    <row r="2137">
      <c r="A2137" s="2" t="inlineStr">
        <is>
          <t>2026-03-04 (정정: 2026-03-04)</t>
        </is>
      </c>
      <c r="B2137" s="3" t="inlineStr">
        <is>
          <t>일진다이아</t>
        </is>
      </c>
      <c r="C2137" s="2" t="inlineStr">
        <is>
          <t>코스피</t>
        </is>
      </c>
      <c r="D2137" s="2" t="inlineStr">
        <is>
          <t>081000</t>
        </is>
      </c>
      <c r="E2137" s="3" t="inlineStr">
        <is>
          <t>[기재정정]의결권대리행사권유참고서류</t>
        </is>
      </c>
      <c r="F2137" s="3" t="inlineStr">
        <is>
          <t>일진다이아</t>
        </is>
      </c>
      <c r="G2137" s="2" t="inlineStr">
        <is>
          <t>20260304001702</t>
        </is>
      </c>
      <c r="H2137" s="8">
        <f>HYPERLINK("https://dart.fss.or.kr/dsaf001/main.do?rcpNo=20260304001702", "공시열람")</f>
        <v/>
      </c>
    </row>
    <row r="2138">
      <c r="A2138" s="2" t="inlineStr">
        <is>
          <t>2026-03-04</t>
        </is>
      </c>
      <c r="B2138" s="3" t="inlineStr">
        <is>
          <t>미래에셋생명</t>
        </is>
      </c>
      <c r="C2138" s="2" t="inlineStr">
        <is>
          <t>코스피</t>
        </is>
      </c>
      <c r="D2138" s="2" t="inlineStr">
        <is>
          <t>085620</t>
        </is>
      </c>
      <c r="E2138" s="3" t="inlineStr">
        <is>
          <t>의결권대리행사권유참고서류</t>
        </is>
      </c>
      <c r="F2138" s="3" t="inlineStr">
        <is>
          <t>미래에셋생명</t>
        </is>
      </c>
      <c r="G2138" s="2" t="inlineStr">
        <is>
          <t>20260304001699</t>
        </is>
      </c>
      <c r="H2138" s="8">
        <f>HYPERLINK("https://dart.fss.or.kr/dsaf001/main.do?rcpNo=20260304001699", "공시열람")</f>
        <v/>
      </c>
    </row>
    <row r="2139">
      <c r="A2139" s="2" t="inlineStr">
        <is>
          <t>2026-03-04</t>
        </is>
      </c>
      <c r="B2139" s="3" t="inlineStr">
        <is>
          <t>미래에셋생명</t>
        </is>
      </c>
      <c r="C2139" s="2" t="inlineStr">
        <is>
          <t>코스피</t>
        </is>
      </c>
      <c r="D2139" s="2" t="inlineStr">
        <is>
          <t>085620</t>
        </is>
      </c>
      <c r="E2139" s="3" t="inlineStr">
        <is>
          <t>주요사항보고서(자기주식처분결정)</t>
        </is>
      </c>
      <c r="F2139" s="3" t="inlineStr">
        <is>
          <t>미래에셋생명</t>
        </is>
      </c>
      <c r="G2139" s="2" t="inlineStr">
        <is>
          <t>20260304001680</t>
        </is>
      </c>
      <c r="H2139" s="8">
        <f>HYPERLINK("https://dart.fss.or.kr/dsaf001/main.do?rcpNo=20260304001680", "공시열람")</f>
        <v/>
      </c>
    </row>
    <row r="2140">
      <c r="A2140" s="2" t="inlineStr">
        <is>
          <t>2026-03-04</t>
        </is>
      </c>
      <c r="B2140" s="3" t="inlineStr">
        <is>
          <t>미래에셋생명</t>
        </is>
      </c>
      <c r="C2140" s="2" t="inlineStr">
        <is>
          <t>코스피</t>
        </is>
      </c>
      <c r="D2140" s="2" t="inlineStr">
        <is>
          <t>085620</t>
        </is>
      </c>
      <c r="E2140" s="3" t="inlineStr">
        <is>
          <t>주요사항보고서(감자결정)</t>
        </is>
      </c>
      <c r="F2140" s="3" t="inlineStr">
        <is>
          <t>미래에셋생명</t>
        </is>
      </c>
      <c r="G2140" s="2" t="inlineStr">
        <is>
          <t>20260304001669</t>
        </is>
      </c>
      <c r="H2140" s="8">
        <f>HYPERLINK("https://dart.fss.or.kr/dsaf001/main.do?rcpNo=20260304001669", "공시열람")</f>
        <v/>
      </c>
    </row>
    <row r="2141">
      <c r="A2141" s="2" t="inlineStr">
        <is>
          <t>2026-03-04</t>
        </is>
      </c>
      <c r="B2141" s="3" t="inlineStr">
        <is>
          <t>한국전자홀딩스</t>
        </is>
      </c>
      <c r="C2141" s="2" t="inlineStr">
        <is>
          <t>코스피</t>
        </is>
      </c>
      <c r="D2141" s="2" t="inlineStr">
        <is>
          <t>006200</t>
        </is>
      </c>
      <c r="E2141" s="3" t="inlineStr">
        <is>
          <t xml:space="preserve">현금ㆍ현물배당결정              </t>
        </is>
      </c>
      <c r="F2141" s="3" t="inlineStr">
        <is>
          <t>한국전자홀딩스</t>
        </is>
      </c>
      <c r="G2141" s="2" t="inlineStr">
        <is>
          <t>20260304801658</t>
        </is>
      </c>
      <c r="H2141" s="8">
        <f>HYPERLINK("https://dart.fss.or.kr/dsaf001/main.do?rcpNo=20260304801658", "공시열람")</f>
        <v/>
      </c>
    </row>
    <row r="2142">
      <c r="A2142" s="2" t="inlineStr">
        <is>
          <t>2026-03-04</t>
        </is>
      </c>
      <c r="B2142" s="3" t="inlineStr">
        <is>
          <t>핸디소프트</t>
        </is>
      </c>
      <c r="C2142" s="2" t="inlineStr">
        <is>
          <t>코스닥</t>
        </is>
      </c>
      <c r="D2142" s="2" t="inlineStr">
        <is>
          <t>220180</t>
        </is>
      </c>
      <c r="E2142" s="3" t="inlineStr">
        <is>
          <t>주요사항보고서(타법인주식및출자증권양수결정)</t>
        </is>
      </c>
      <c r="F2142" s="3" t="inlineStr">
        <is>
          <t>핸디소프트</t>
        </is>
      </c>
      <c r="G2142" s="2" t="inlineStr">
        <is>
          <t>20260304001664</t>
        </is>
      </c>
      <c r="H2142" s="8">
        <f>HYPERLINK("https://dart.fss.or.kr/dsaf001/main.do?rcpNo=20260304001664", "공시열람")</f>
        <v/>
      </c>
    </row>
    <row r="2143">
      <c r="A2143" s="2" t="inlineStr">
        <is>
          <t>2026-03-04</t>
        </is>
      </c>
      <c r="B2143" s="3" t="inlineStr">
        <is>
          <t>신영증권</t>
        </is>
      </c>
      <c r="C2143" s="2" t="inlineStr">
        <is>
          <t>코스피</t>
        </is>
      </c>
      <c r="D2143" s="2" t="inlineStr">
        <is>
          <t>001720</t>
        </is>
      </c>
      <c r="E2143" s="3" t="inlineStr">
        <is>
          <t>투자설명서(일괄신고)</t>
        </is>
      </c>
      <c r="F2143" s="3" t="inlineStr">
        <is>
          <t>신영증권</t>
        </is>
      </c>
      <c r="G2143" s="2" t="inlineStr">
        <is>
          <t>20260304001693</t>
        </is>
      </c>
      <c r="H2143" s="8">
        <f>HYPERLINK("https://dart.fss.or.kr/dsaf001/main.do?rcpNo=20260304001693", "공시열람")</f>
        <v/>
      </c>
    </row>
    <row r="2144">
      <c r="A2144" s="2" t="inlineStr">
        <is>
          <t>2026-03-04 (정정: 2026-03-05)</t>
        </is>
      </c>
      <c r="B2144" s="3" t="inlineStr">
        <is>
          <t>대덕전자</t>
        </is>
      </c>
      <c r="C2144" s="2" t="inlineStr">
        <is>
          <t>코스피</t>
        </is>
      </c>
      <c r="D2144" s="2" t="inlineStr">
        <is>
          <t>353200</t>
        </is>
      </c>
      <c r="E2144" s="3" t="inlineStr">
        <is>
          <t>의결권대리행사권유참고서류 (정정: 20260305) (정정: 20260305)</t>
        </is>
      </c>
      <c r="F2144" s="3" t="inlineStr">
        <is>
          <t>대덕전자</t>
        </is>
      </c>
      <c r="G2144" s="2" t="inlineStr">
        <is>
          <t>20260305001617</t>
        </is>
      </c>
      <c r="H2144" s="8">
        <f>HYPERLINK("https://dart.fss.or.kr/dsaf001/main.do?rcpNo=20260305001617", "공시열람")</f>
        <v/>
      </c>
    </row>
    <row r="2145">
      <c r="A2145" s="2" t="inlineStr">
        <is>
          <t>2026-03-04</t>
        </is>
      </c>
      <c r="B2145" s="3" t="inlineStr">
        <is>
          <t>우리금융지주</t>
        </is>
      </c>
      <c r="C2145" s="2" t="inlineStr">
        <is>
          <t>코스피</t>
        </is>
      </c>
      <c r="D2145" s="2" t="inlineStr">
        <is>
          <t>316140</t>
        </is>
      </c>
      <c r="E2145" s="3" t="inlineStr">
        <is>
          <t xml:space="preserve">감사보고서제출(자회사의 주요경영사항)              </t>
        </is>
      </c>
      <c r="F2145" s="3" t="inlineStr">
        <is>
          <t>우리금융지주</t>
        </is>
      </c>
      <c r="G2145" s="2" t="inlineStr">
        <is>
          <t>20260304801499</t>
        </is>
      </c>
      <c r="H2145" s="8">
        <f>HYPERLINK("https://dart.fss.or.kr/dsaf001/main.do?rcpNo=20260304801499", "공시열람")</f>
        <v/>
      </c>
    </row>
    <row r="2146">
      <c r="A2146" s="2" t="inlineStr">
        <is>
          <t>2026-03-04</t>
        </is>
      </c>
      <c r="B2146" s="3" t="inlineStr">
        <is>
          <t>현대로템</t>
        </is>
      </c>
      <c r="C2146" s="2" t="inlineStr">
        <is>
          <t>코스피</t>
        </is>
      </c>
      <c r="D2146" s="2" t="inlineStr">
        <is>
          <t>064350</t>
        </is>
      </c>
      <c r="E2146" s="3" t="inlineStr">
        <is>
          <t xml:space="preserve">감사보고서제출              </t>
        </is>
      </c>
      <c r="F2146" s="3" t="inlineStr">
        <is>
          <t>현대로템</t>
        </is>
      </c>
      <c r="G2146" s="2" t="inlineStr">
        <is>
          <t>20260304801589</t>
        </is>
      </c>
      <c r="H2146" s="8">
        <f>HYPERLINK("https://dart.fss.or.kr/dsaf001/main.do?rcpNo=20260304801589", "공시열람")</f>
        <v/>
      </c>
    </row>
    <row r="2147">
      <c r="A2147" s="2" t="inlineStr">
        <is>
          <t>2026-03-04</t>
        </is>
      </c>
      <c r="B2147" s="3" t="inlineStr">
        <is>
          <t>신영증권</t>
        </is>
      </c>
      <c r="C2147" s="2" t="inlineStr">
        <is>
          <t>코스피</t>
        </is>
      </c>
      <c r="D2147" s="2" t="inlineStr">
        <is>
          <t>001720</t>
        </is>
      </c>
      <c r="E2147" s="3" t="inlineStr">
        <is>
          <t>투자설명서(일괄신고)</t>
        </is>
      </c>
      <c r="F2147" s="3" t="inlineStr">
        <is>
          <t>신영증권</t>
        </is>
      </c>
      <c r="G2147" s="2" t="inlineStr">
        <is>
          <t>20260304001685</t>
        </is>
      </c>
      <c r="H2147" s="8">
        <f>HYPERLINK("https://dart.fss.or.kr/dsaf001/main.do?rcpNo=20260304001685", "공시열람")</f>
        <v/>
      </c>
    </row>
    <row r="2148">
      <c r="A2148" s="2" t="inlineStr">
        <is>
          <t>2026-03-04</t>
        </is>
      </c>
      <c r="B2148" s="3" t="inlineStr">
        <is>
          <t>폴라리스우노</t>
        </is>
      </c>
      <c r="C2148" s="2" t="inlineStr">
        <is>
          <t>코스닥</t>
        </is>
      </c>
      <c r="D2148" s="2" t="inlineStr">
        <is>
          <t>114630</t>
        </is>
      </c>
      <c r="E2148" s="3" t="inlineStr">
        <is>
          <t xml:space="preserve">타법인주식및출자증권처분결정              </t>
        </is>
      </c>
      <c r="F2148" s="3" t="inlineStr">
        <is>
          <t>폴라리스우노</t>
        </is>
      </c>
      <c r="G2148" s="2" t="inlineStr">
        <is>
          <t>20260304901638</t>
        </is>
      </c>
      <c r="H2148" s="8">
        <f>HYPERLINK("https://dart.fss.or.kr/dsaf001/main.do?rcpNo=20260304901638", "공시열람")</f>
        <v/>
      </c>
    </row>
    <row r="2149">
      <c r="A2149" s="2" t="inlineStr">
        <is>
          <t>2026-03-04</t>
        </is>
      </c>
      <c r="B2149" s="3" t="inlineStr">
        <is>
          <t>신영증권</t>
        </is>
      </c>
      <c r="C2149" s="2" t="inlineStr">
        <is>
          <t>코스피</t>
        </is>
      </c>
      <c r="D2149" s="2" t="inlineStr">
        <is>
          <t>001720</t>
        </is>
      </c>
      <c r="E2149" s="3" t="inlineStr">
        <is>
          <t>일괄신고추가서류(파생결합사채-주가연계파생결합사채)</t>
        </is>
      </c>
      <c r="F2149" s="3" t="inlineStr">
        <is>
          <t>신영증권</t>
        </is>
      </c>
      <c r="G2149" s="2" t="inlineStr">
        <is>
          <t>20260304001677</t>
        </is>
      </c>
      <c r="H2149" s="8">
        <f>HYPERLINK("https://dart.fss.or.kr/dsaf001/main.do?rcpNo=20260304001677", "공시열람")</f>
        <v/>
      </c>
    </row>
    <row r="2150">
      <c r="A2150" s="2" t="inlineStr">
        <is>
          <t>2026-03-04 (정정: 2026-03-12)</t>
        </is>
      </c>
      <c r="B2150" s="3" t="inlineStr">
        <is>
          <t>국일제지</t>
        </is>
      </c>
      <c r="C2150" s="2" t="inlineStr">
        <is>
          <t>코스닥</t>
        </is>
      </c>
      <c r="D2150" s="2" t="inlineStr">
        <is>
          <t>078130</t>
        </is>
      </c>
      <c r="E2150" s="3" t="inlineStr">
        <is>
          <t>대표이사변경               (정정: 20260312)</t>
        </is>
      </c>
      <c r="F2150" s="3" t="inlineStr">
        <is>
          <t>국일제지</t>
        </is>
      </c>
      <c r="G2150" s="2" t="inlineStr">
        <is>
          <t>20260312900175</t>
        </is>
      </c>
      <c r="H2150" s="8">
        <f>HYPERLINK("https://dart.fss.or.kr/dsaf001/main.do?rcpNo=20260312900175", "공시열람")</f>
        <v/>
      </c>
    </row>
    <row r="2151">
      <c r="A2151" s="2" t="inlineStr">
        <is>
          <t>2026-03-04</t>
        </is>
      </c>
      <c r="B2151" s="3" t="inlineStr">
        <is>
          <t>미래에셋생명</t>
        </is>
      </c>
      <c r="C2151" s="2" t="inlineStr">
        <is>
          <t>코스피</t>
        </is>
      </c>
      <c r="D2151" s="2" t="inlineStr">
        <is>
          <t>085620</t>
        </is>
      </c>
      <c r="E2151" s="3" t="inlineStr">
        <is>
          <t>[기재정정]주요사항보고서(감자결정)</t>
        </is>
      </c>
      <c r="F2151" s="3" t="inlineStr">
        <is>
          <t>미래에셋생명</t>
        </is>
      </c>
      <c r="G2151" s="2" t="inlineStr">
        <is>
          <t>20260304001648</t>
        </is>
      </c>
      <c r="H2151" s="8">
        <f>HYPERLINK("https://dart.fss.or.kr/dsaf001/main.do?rcpNo=20260304001648", "공시열람")</f>
        <v/>
      </c>
    </row>
    <row r="2152">
      <c r="A2152" s="2" t="inlineStr">
        <is>
          <t>2026-03-04</t>
        </is>
      </c>
      <c r="B2152" s="3" t="inlineStr">
        <is>
          <t>신영증권</t>
        </is>
      </c>
      <c r="C2152" s="2" t="inlineStr">
        <is>
          <t>코스피</t>
        </is>
      </c>
      <c r="D2152" s="2" t="inlineStr">
        <is>
          <t>001720</t>
        </is>
      </c>
      <c r="E2152" s="3" t="inlineStr">
        <is>
          <t>투자설명서(일괄신고)</t>
        </is>
      </c>
      <c r="F2152" s="3" t="inlineStr">
        <is>
          <t>신영증권</t>
        </is>
      </c>
      <c r="G2152" s="2" t="inlineStr">
        <is>
          <t>20260304001668</t>
        </is>
      </c>
      <c r="H2152" s="8">
        <f>HYPERLINK("https://dart.fss.or.kr/dsaf001/main.do?rcpNo=20260304001668", "공시열람")</f>
        <v/>
      </c>
    </row>
    <row r="2153">
      <c r="A2153" s="2" t="inlineStr">
        <is>
          <t>2026-03-04</t>
        </is>
      </c>
      <c r="B2153" s="3" t="inlineStr">
        <is>
          <t>블루산업개발</t>
        </is>
      </c>
      <c r="C2153" s="2" t="inlineStr">
        <is>
          <t>코스피</t>
        </is>
      </c>
      <c r="D2153" s="2" t="inlineStr">
        <is>
          <t>006740</t>
        </is>
      </c>
      <c r="E2153" s="3" t="inlineStr">
        <is>
          <t>임원ㆍ주요주주특정증권등소유상황보고서</t>
        </is>
      </c>
      <c r="F2153" s="3" t="inlineStr">
        <is>
          <t>피엠에이조합</t>
        </is>
      </c>
      <c r="G2153" s="2" t="inlineStr">
        <is>
          <t>20260304001662</t>
        </is>
      </c>
      <c r="H2153" s="8">
        <f>HYPERLINK("https://dart.fss.or.kr/dsaf001/main.do?rcpNo=20260304001662", "공시열람")</f>
        <v/>
      </c>
    </row>
    <row r="2154">
      <c r="A2154" s="2" t="inlineStr">
        <is>
          <t>2026-03-04</t>
        </is>
      </c>
      <c r="B2154" s="3" t="inlineStr">
        <is>
          <t>롯데손해보험</t>
        </is>
      </c>
      <c r="C2154" s="2" t="inlineStr">
        <is>
          <t>코스피</t>
        </is>
      </c>
      <c r="D2154" s="2" t="inlineStr">
        <is>
          <t>000400</t>
        </is>
      </c>
      <c r="E2154" s="3" t="inlineStr">
        <is>
          <t xml:space="preserve">금융기관경영개선등조치(자율공시)              </t>
        </is>
      </c>
      <c r="F2154" s="3" t="inlineStr">
        <is>
          <t>롯데손해보험</t>
        </is>
      </c>
      <c r="G2154" s="2" t="inlineStr">
        <is>
          <t>20260304801625</t>
        </is>
      </c>
      <c r="H2154" s="8">
        <f>HYPERLINK("https://dart.fss.or.kr/dsaf001/main.do?rcpNo=20260304801625", "공시열람")</f>
        <v/>
      </c>
    </row>
    <row r="2155">
      <c r="A2155" s="2" t="inlineStr">
        <is>
          <t>2026-03-04 (정정: 2026-03-04)</t>
        </is>
      </c>
      <c r="B2155" s="3" t="inlineStr">
        <is>
          <t>롯데지주</t>
        </is>
      </c>
      <c r="C2155" s="2" t="inlineStr">
        <is>
          <t>코스피</t>
        </is>
      </c>
      <c r="D2155" s="2" t="inlineStr">
        <is>
          <t>004990</t>
        </is>
      </c>
      <c r="E2155" s="3" t="inlineStr">
        <is>
          <t>[발행조건확정]증권신고서(채무증권) (정정: 20260304)</t>
        </is>
      </c>
      <c r="F2155" s="3" t="inlineStr">
        <is>
          <t>롯데지주</t>
        </is>
      </c>
      <c r="G2155" s="2" t="inlineStr">
        <is>
          <t>20260304001505</t>
        </is>
      </c>
      <c r="H2155" s="8">
        <f>HYPERLINK("https://dart.fss.or.kr/dsaf001/main.do?rcpNo=20260304001505", "공시열람")</f>
        <v/>
      </c>
    </row>
    <row r="2156">
      <c r="A2156" s="2" t="inlineStr">
        <is>
          <t>2026-03-04</t>
        </is>
      </c>
      <c r="B2156" s="3" t="inlineStr">
        <is>
          <t>KB제33호스팩</t>
        </is>
      </c>
      <c r="C2156" s="2" t="inlineStr">
        <is>
          <t>코스닥</t>
        </is>
      </c>
      <c r="D2156" s="2" t="inlineStr">
        <is>
          <t>0072Z0</t>
        </is>
      </c>
      <c r="E2156" s="3" t="inlineStr">
        <is>
          <t>의결권대리행사권유참고서류</t>
        </is>
      </c>
      <c r="F2156" s="3" t="inlineStr">
        <is>
          <t>KB제33호스팩</t>
        </is>
      </c>
      <c r="G2156" s="2" t="inlineStr">
        <is>
          <t>20260304001658</t>
        </is>
      </c>
      <c r="H2156" s="8">
        <f>HYPERLINK("https://dart.fss.or.kr/dsaf001/main.do?rcpNo=20260304001658", "공시열람")</f>
        <v/>
      </c>
    </row>
    <row r="2157">
      <c r="A2157" s="2" t="inlineStr">
        <is>
          <t>2026-03-04</t>
        </is>
      </c>
      <c r="B2157" s="3" t="inlineStr">
        <is>
          <t>한화생명</t>
        </is>
      </c>
      <c r="C2157" s="2" t="inlineStr">
        <is>
          <t>코스피</t>
        </is>
      </c>
      <c r="D2157" s="2" t="inlineStr">
        <is>
          <t>088350</t>
        </is>
      </c>
      <c r="E2157" s="3" t="inlineStr">
        <is>
          <t>의결권대리행사권유참고서류</t>
        </is>
      </c>
      <c r="F2157" s="3" t="inlineStr">
        <is>
          <t>한화생명</t>
        </is>
      </c>
      <c r="G2157" s="2" t="inlineStr">
        <is>
          <t>20260304001657</t>
        </is>
      </c>
      <c r="H2157" s="8">
        <f>HYPERLINK("https://dart.fss.or.kr/dsaf001/main.do?rcpNo=20260304001657", "공시열람")</f>
        <v/>
      </c>
    </row>
    <row r="2158">
      <c r="A2158" s="2" t="inlineStr">
        <is>
          <t>2026-03-04 (정정: 2026-03-04)</t>
        </is>
      </c>
      <c r="B2158" s="3" t="inlineStr">
        <is>
          <t>동아쏘시오홀딩스</t>
        </is>
      </c>
      <c r="C2158" s="2" t="inlineStr">
        <is>
          <t>코스피</t>
        </is>
      </c>
      <c r="D2158" s="2" t="inlineStr">
        <is>
          <t>000640</t>
        </is>
      </c>
      <c r="E2158" s="3" t="inlineStr">
        <is>
          <t>[발행조건확정]증권신고서(채무증권) (정정: 20260304)</t>
        </is>
      </c>
      <c r="F2158" s="3" t="inlineStr">
        <is>
          <t>동아쏘시오홀딩스</t>
        </is>
      </c>
      <c r="G2158" s="2" t="inlineStr">
        <is>
          <t>20260304001590</t>
        </is>
      </c>
      <c r="H2158" s="8">
        <f>HYPERLINK("https://dart.fss.or.kr/dsaf001/main.do?rcpNo=20260304001590", "공시열람")</f>
        <v/>
      </c>
    </row>
    <row r="2159">
      <c r="A2159" s="2" t="inlineStr">
        <is>
          <t>2026-03-04</t>
        </is>
      </c>
      <c r="B2159" s="3" t="inlineStr">
        <is>
          <t>코오롱티슈진</t>
        </is>
      </c>
      <c r="C2159" s="2" t="inlineStr">
        <is>
          <t>코스닥</t>
        </is>
      </c>
      <c r="D2159" s="2" t="inlineStr">
        <is>
          <t>950160</t>
        </is>
      </c>
      <c r="E2159" s="3" t="inlineStr">
        <is>
          <t xml:space="preserve">전환청구권행사              </t>
        </is>
      </c>
      <c r="F2159" s="3" t="inlineStr">
        <is>
          <t>코오롱티슈진</t>
        </is>
      </c>
      <c r="G2159" s="2" t="inlineStr">
        <is>
          <t>20260304901560</t>
        </is>
      </c>
      <c r="H2159" s="8">
        <f>HYPERLINK("https://dart.fss.or.kr/dsaf001/main.do?rcpNo=20260304901560", "공시열람")</f>
        <v/>
      </c>
    </row>
    <row r="2160">
      <c r="A2160" s="2" t="inlineStr">
        <is>
          <t>2026-03-04</t>
        </is>
      </c>
      <c r="B2160" s="3" t="inlineStr">
        <is>
          <t>신영증권</t>
        </is>
      </c>
      <c r="C2160" s="2" t="inlineStr">
        <is>
          <t>코스피</t>
        </is>
      </c>
      <c r="D2160" s="2" t="inlineStr">
        <is>
          <t>001720</t>
        </is>
      </c>
      <c r="E2160" s="3" t="inlineStr">
        <is>
          <t>일괄신고추가서류(파생결합사채-주가연계파생결합사채)</t>
        </is>
      </c>
      <c r="F2160" s="3" t="inlineStr">
        <is>
          <t>신영증권</t>
        </is>
      </c>
      <c r="G2160" s="2" t="inlineStr">
        <is>
          <t>20260304001645</t>
        </is>
      </c>
      <c r="H2160" s="8">
        <f>HYPERLINK("https://dart.fss.or.kr/dsaf001/main.do?rcpNo=20260304001645", "공시열람")</f>
        <v/>
      </c>
    </row>
    <row r="2161">
      <c r="A2161" s="2" t="inlineStr">
        <is>
          <t>2026-03-04</t>
        </is>
      </c>
      <c r="B2161" s="3" t="inlineStr">
        <is>
          <t>KEC</t>
        </is>
      </c>
      <c r="C2161" s="2" t="inlineStr">
        <is>
          <t>코스피</t>
        </is>
      </c>
      <c r="D2161" s="2" t="inlineStr">
        <is>
          <t>092220</t>
        </is>
      </c>
      <c r="E2161" s="3" t="inlineStr">
        <is>
          <t xml:space="preserve">주식병합결정              </t>
        </is>
      </c>
      <c r="F2161" s="3" t="inlineStr">
        <is>
          <t>KEC</t>
        </is>
      </c>
      <c r="G2161" s="2" t="inlineStr">
        <is>
          <t>20260304801566</t>
        </is>
      </c>
      <c r="H2161" s="8">
        <f>HYPERLINK("https://dart.fss.or.kr/dsaf001/main.do?rcpNo=20260304801566", "공시열람")</f>
        <v/>
      </c>
    </row>
    <row r="2162">
      <c r="A2162" s="2" t="inlineStr">
        <is>
          <t>2026-03-04</t>
        </is>
      </c>
      <c r="B2162" s="3" t="inlineStr">
        <is>
          <t>한화오션</t>
        </is>
      </c>
      <c r="C2162" s="2" t="inlineStr">
        <is>
          <t>코스피</t>
        </is>
      </c>
      <c r="D2162" s="2" t="inlineStr">
        <is>
          <t>042660</t>
        </is>
      </c>
      <c r="E2162" s="3" t="inlineStr">
        <is>
          <t>[기재정정]의결권대리행사권유참고서류</t>
        </is>
      </c>
      <c r="F2162" s="3" t="inlineStr">
        <is>
          <t>한화오션</t>
        </is>
      </c>
      <c r="G2162" s="2" t="inlineStr">
        <is>
          <t>20260304001642</t>
        </is>
      </c>
      <c r="H2162" s="8">
        <f>HYPERLINK("https://dart.fss.or.kr/dsaf001/main.do?rcpNo=20260304001642", "공시열람")</f>
        <v/>
      </c>
    </row>
    <row r="2163">
      <c r="A2163" s="2" t="inlineStr">
        <is>
          <t>2026-02-09 (정정: 2026-03-04)</t>
        </is>
      </c>
      <c r="B2163" s="3" t="inlineStr">
        <is>
          <t>이뮨온시아</t>
        </is>
      </c>
      <c r="C2163" s="2" t="inlineStr">
        <is>
          <t>코스닥</t>
        </is>
      </c>
      <c r="D2163" s="2" t="inlineStr">
        <is>
          <t>424870</t>
        </is>
      </c>
      <c r="E2163" s="3" t="inlineStr">
        <is>
          <t>[기재정정]증권신고서(지분증권)</t>
        </is>
      </c>
      <c r="F2163" s="3" t="inlineStr">
        <is>
          <t>이뮨온시아</t>
        </is>
      </c>
      <c r="G2163" s="2" t="inlineStr">
        <is>
          <t>20260304001633</t>
        </is>
      </c>
      <c r="H2163" s="8">
        <f>HYPERLINK("https://dart.fss.or.kr/dsaf001/main.do?rcpNo=20260304001633", "공시열람")</f>
        <v/>
      </c>
    </row>
    <row r="2164">
      <c r="A2164" s="2" t="inlineStr">
        <is>
          <t>2026-03-04 (정정: 2026-03-05)</t>
        </is>
      </c>
      <c r="B2164" s="3" t="inlineStr">
        <is>
          <t>SK증권</t>
        </is>
      </c>
      <c r="C2164" s="2" t="inlineStr">
        <is>
          <t>코스피</t>
        </is>
      </c>
      <c r="D2164" s="2" t="inlineStr">
        <is>
          <t>001510</t>
        </is>
      </c>
      <c r="E2164" s="3" t="inlineStr">
        <is>
          <t>기업지배구조보고서공시(연차보고서)               (정정: 20260305) (정정: 20260305)</t>
        </is>
      </c>
      <c r="F2164" s="3" t="inlineStr">
        <is>
          <t>SK증권</t>
        </is>
      </c>
      <c r="G2164" s="2" t="inlineStr">
        <is>
          <t>20260305801459</t>
        </is>
      </c>
      <c r="H2164" s="8">
        <f>HYPERLINK("https://dart.fss.or.kr/dsaf001/main.do?rcpNo=20260305801459", "공시열람")</f>
        <v/>
      </c>
    </row>
    <row r="2165">
      <c r="A2165" s="2" t="inlineStr">
        <is>
          <t>2026-03-04 (정정: 2026-03-04)</t>
        </is>
      </c>
      <c r="B2165" s="3" t="inlineStr">
        <is>
          <t>한국전자홀딩스</t>
        </is>
      </c>
      <c r="C2165" s="2" t="inlineStr">
        <is>
          <t>코스피</t>
        </is>
      </c>
      <c r="D2165" s="2" t="inlineStr">
        <is>
          <t>006200</t>
        </is>
      </c>
      <c r="E2165" s="3" t="inlineStr">
        <is>
          <t>매출액또는손익구조30%(대규모법인은15%)이상변경(자회사의 주요경영사항)               (정정: 20260304)</t>
        </is>
      </c>
      <c r="F2165" s="3" t="inlineStr">
        <is>
          <t>한국전자홀딩스</t>
        </is>
      </c>
      <c r="G2165" s="2" t="inlineStr">
        <is>
          <t>20260304801178</t>
        </is>
      </c>
      <c r="H2165" s="8">
        <f>HYPERLINK("https://dart.fss.or.kr/dsaf001/main.do?rcpNo=20260304801178", "공시열람")</f>
        <v/>
      </c>
    </row>
    <row r="2166">
      <c r="A2166" s="2" t="inlineStr">
        <is>
          <t>2026-03-04</t>
        </is>
      </c>
      <c r="B2166" s="3" t="inlineStr">
        <is>
          <t>박셀바이오</t>
        </is>
      </c>
      <c r="C2166" s="2" t="inlineStr">
        <is>
          <t>코스닥</t>
        </is>
      </c>
      <c r="D2166" s="2" t="inlineStr">
        <is>
          <t>323990</t>
        </is>
      </c>
      <c r="E2166" s="3" t="inlineStr">
        <is>
          <t>의결권대리행사권유참고서류</t>
        </is>
      </c>
      <c r="F2166" s="3" t="inlineStr">
        <is>
          <t>박셀바이오</t>
        </is>
      </c>
      <c r="G2166" s="2" t="inlineStr">
        <is>
          <t>20260304001628</t>
        </is>
      </c>
      <c r="H2166" s="8">
        <f>HYPERLINK("https://dart.fss.or.kr/dsaf001/main.do?rcpNo=20260304001628", "공시열람")</f>
        <v/>
      </c>
    </row>
    <row r="2167">
      <c r="A2167" s="2" t="inlineStr">
        <is>
          <t>2026-03-04</t>
        </is>
      </c>
      <c r="B2167" s="3" t="inlineStr">
        <is>
          <t>KPX홀딩스</t>
        </is>
      </c>
      <c r="C2167" s="2" t="inlineStr">
        <is>
          <t>코스피</t>
        </is>
      </c>
      <c r="D2167" s="2" t="inlineStr">
        <is>
          <t>092230</t>
        </is>
      </c>
      <c r="E2167" s="3" t="inlineStr">
        <is>
          <t xml:space="preserve">감사보고서제출(자회사의 주요경영사항)              </t>
        </is>
      </c>
      <c r="F2167" s="3" t="inlineStr">
        <is>
          <t>KPX홀딩스</t>
        </is>
      </c>
      <c r="G2167" s="2" t="inlineStr">
        <is>
          <t>20260304801556</t>
        </is>
      </c>
      <c r="H2167" s="8">
        <f>HYPERLINK("https://dart.fss.or.kr/dsaf001/main.do?rcpNo=20260304801556", "공시열람")</f>
        <v/>
      </c>
    </row>
    <row r="2168">
      <c r="A2168" s="2" t="inlineStr">
        <is>
          <t>2026-03-04</t>
        </is>
      </c>
      <c r="B2168" s="3" t="inlineStr">
        <is>
          <t>한화</t>
        </is>
      </c>
      <c r="C2168" s="2" t="inlineStr">
        <is>
          <t>코스피</t>
        </is>
      </c>
      <c r="D2168" s="2" t="inlineStr">
        <is>
          <t>000880</t>
        </is>
      </c>
      <c r="E2168" s="3" t="inlineStr">
        <is>
          <t>[발행조건확정]증권신고서(채무증권)</t>
        </is>
      </c>
      <c r="F2168" s="3" t="inlineStr">
        <is>
          <t>한화</t>
        </is>
      </c>
      <c r="G2168" s="2" t="inlineStr">
        <is>
          <t>20260304001624</t>
        </is>
      </c>
      <c r="H2168" s="8">
        <f>HYPERLINK("https://dart.fss.or.kr/dsaf001/main.do?rcpNo=20260304001624", "공시열람")</f>
        <v/>
      </c>
    </row>
    <row r="2169">
      <c r="A2169" s="2" t="inlineStr">
        <is>
          <t>2026-03-04</t>
        </is>
      </c>
      <c r="B2169" s="3" t="inlineStr">
        <is>
          <t>SK증권</t>
        </is>
      </c>
      <c r="C2169" s="2" t="inlineStr">
        <is>
          <t>코스피</t>
        </is>
      </c>
      <c r="D2169" s="2" t="inlineStr">
        <is>
          <t>001510</t>
        </is>
      </c>
      <c r="E2169" s="3" t="inlineStr">
        <is>
          <t>의결권대리행사권유참고서류</t>
        </is>
      </c>
      <c r="F2169" s="3" t="inlineStr">
        <is>
          <t>SK증권</t>
        </is>
      </c>
      <c r="G2169" s="2" t="inlineStr">
        <is>
          <t>20260304001621</t>
        </is>
      </c>
      <c r="H2169" s="8">
        <f>HYPERLINK("https://dart.fss.or.kr/dsaf001/main.do?rcpNo=20260304001621", "공시열람")</f>
        <v/>
      </c>
    </row>
    <row r="2170">
      <c r="A2170" s="2" t="inlineStr">
        <is>
          <t>2026-03-04</t>
        </is>
      </c>
      <c r="B2170" s="3" t="inlineStr">
        <is>
          <t>케일럼</t>
        </is>
      </c>
      <c r="C2170" s="2" t="inlineStr">
        <is>
          <t>코스닥</t>
        </is>
      </c>
      <c r="D2170" s="2" t="inlineStr">
        <is>
          <t>258610</t>
        </is>
      </c>
      <c r="E2170" s="3" t="inlineStr">
        <is>
          <t xml:space="preserve">단기차입금증가결정              </t>
        </is>
      </c>
      <c r="F2170" s="3" t="inlineStr">
        <is>
          <t>케일럼</t>
        </is>
      </c>
      <c r="G2170" s="2" t="inlineStr">
        <is>
          <t>20260304901578</t>
        </is>
      </c>
      <c r="H2170" s="8">
        <f>HYPERLINK("https://dart.fss.or.kr/dsaf001/main.do?rcpNo=20260304901578", "공시열람")</f>
        <v/>
      </c>
    </row>
    <row r="2171">
      <c r="A2171" s="2" t="inlineStr">
        <is>
          <t>2026-03-04</t>
        </is>
      </c>
      <c r="B2171" s="3" t="inlineStr">
        <is>
          <t>LG에너지솔루션</t>
        </is>
      </c>
      <c r="C2171" s="2" t="inlineStr">
        <is>
          <t>코스피</t>
        </is>
      </c>
      <c r="D2171" s="2" t="inlineStr">
        <is>
          <t>373220</t>
        </is>
      </c>
      <c r="E2171" s="3" t="inlineStr">
        <is>
          <t>[발행조건확정]증권신고서(채무증권)</t>
        </is>
      </c>
      <c r="F2171" s="3" t="inlineStr">
        <is>
          <t>LG에너지솔루션</t>
        </is>
      </c>
      <c r="G2171" s="2" t="inlineStr">
        <is>
          <t>20260304001619</t>
        </is>
      </c>
      <c r="H2171" s="8">
        <f>HYPERLINK("https://dart.fss.or.kr/dsaf001/main.do?rcpNo=20260304001619", "공시열람")</f>
        <v/>
      </c>
    </row>
    <row r="2172">
      <c r="A2172" s="2" t="inlineStr">
        <is>
          <t>2026-03-04</t>
        </is>
      </c>
      <c r="B2172" s="3" t="inlineStr">
        <is>
          <t>코웨이</t>
        </is>
      </c>
      <c r="C2172" s="2" t="inlineStr">
        <is>
          <t>코스피</t>
        </is>
      </c>
      <c r="D2172" s="2" t="inlineStr">
        <is>
          <t>021240</t>
        </is>
      </c>
      <c r="E2172" s="3" t="inlineStr">
        <is>
          <t>[발행조건확정]증권신고서(채무증권)</t>
        </is>
      </c>
      <c r="F2172" s="3" t="inlineStr">
        <is>
          <t>코웨이</t>
        </is>
      </c>
      <c r="G2172" s="2" t="inlineStr">
        <is>
          <t>20260304001618</t>
        </is>
      </c>
      <c r="H2172" s="8">
        <f>HYPERLINK("https://dart.fss.or.kr/dsaf001/main.do?rcpNo=20260304001618", "공시열람")</f>
        <v/>
      </c>
    </row>
    <row r="2173">
      <c r="A2173" s="2" t="inlineStr">
        <is>
          <t>2026-03-04</t>
        </is>
      </c>
      <c r="B2173" s="3" t="inlineStr">
        <is>
          <t>대우건설</t>
        </is>
      </c>
      <c r="C2173" s="2" t="inlineStr">
        <is>
          <t>코스피</t>
        </is>
      </c>
      <c r="D2173" s="2" t="inlineStr">
        <is>
          <t>047040</t>
        </is>
      </c>
      <c r="E2173" s="3" t="inlineStr">
        <is>
          <t>의결권대리행사권유참고서류</t>
        </is>
      </c>
      <c r="F2173" s="3" t="inlineStr">
        <is>
          <t>대우건설</t>
        </is>
      </c>
      <c r="G2173" s="2" t="inlineStr">
        <is>
          <t>20260304001613</t>
        </is>
      </c>
      <c r="H2173" s="8">
        <f>HYPERLINK("https://dart.fss.or.kr/dsaf001/main.do?rcpNo=20260304001613", "공시열람")</f>
        <v/>
      </c>
    </row>
    <row r="2174">
      <c r="A2174" s="2" t="inlineStr">
        <is>
          <t>2026-03-04</t>
        </is>
      </c>
      <c r="B2174" s="3" t="inlineStr">
        <is>
          <t>신영증권</t>
        </is>
      </c>
      <c r="C2174" s="2" t="inlineStr">
        <is>
          <t>코스피</t>
        </is>
      </c>
      <c r="D2174" s="2" t="inlineStr">
        <is>
          <t>001720</t>
        </is>
      </c>
      <c r="E2174" s="3" t="inlineStr">
        <is>
          <t>일괄신고추가서류(파생결합사채-주가연계파생결합사채)</t>
        </is>
      </c>
      <c r="F2174" s="3" t="inlineStr">
        <is>
          <t>신영증권</t>
        </is>
      </c>
      <c r="G2174" s="2" t="inlineStr">
        <is>
          <t>20260304001606</t>
        </is>
      </c>
      <c r="H2174" s="8">
        <f>HYPERLINK("https://dart.fss.or.kr/dsaf001/main.do?rcpNo=20260304001606", "공시열람")</f>
        <v/>
      </c>
    </row>
    <row r="2175">
      <c r="A2175" s="2" t="inlineStr">
        <is>
          <t>2026-03-04</t>
        </is>
      </c>
      <c r="B2175" s="3" t="inlineStr">
        <is>
          <t>진양홀딩스</t>
        </is>
      </c>
      <c r="C2175" s="2" t="inlineStr">
        <is>
          <t>코스피</t>
        </is>
      </c>
      <c r="D2175" s="2" t="inlineStr">
        <is>
          <t>100250</t>
        </is>
      </c>
      <c r="E2175" s="3" t="inlineStr">
        <is>
          <t xml:space="preserve">감사보고서제출(자회사의 주요경영사항)              </t>
        </is>
      </c>
      <c r="F2175" s="3" t="inlineStr">
        <is>
          <t>진양홀딩스</t>
        </is>
      </c>
      <c r="G2175" s="2" t="inlineStr">
        <is>
          <t>20260304801502</t>
        </is>
      </c>
      <c r="H2175" s="8">
        <f>HYPERLINK("https://dart.fss.or.kr/dsaf001/main.do?rcpNo=20260304801502", "공시열람")</f>
        <v/>
      </c>
    </row>
    <row r="2176">
      <c r="A2176" s="2" t="inlineStr">
        <is>
          <t>2026-03-04</t>
        </is>
      </c>
      <c r="B2176" s="3" t="inlineStr">
        <is>
          <t>키움제10호스팩</t>
        </is>
      </c>
      <c r="C2176" s="2" t="inlineStr">
        <is>
          <t>코스닥</t>
        </is>
      </c>
      <c r="D2176" s="2" t="inlineStr">
        <is>
          <t>487720</t>
        </is>
      </c>
      <c r="E2176" s="3" t="inlineStr">
        <is>
          <t xml:space="preserve">감사보고서제출              </t>
        </is>
      </c>
      <c r="F2176" s="3" t="inlineStr">
        <is>
          <t>키움제10호스팩</t>
        </is>
      </c>
      <c r="G2176" s="2" t="inlineStr">
        <is>
          <t>20260304901489</t>
        </is>
      </c>
      <c r="H2176" s="8">
        <f>HYPERLINK("https://dart.fss.or.kr/dsaf001/main.do?rcpNo=20260304901489", "공시열람")</f>
        <v/>
      </c>
    </row>
    <row r="2177">
      <c r="A2177" s="2" t="inlineStr">
        <is>
          <t>2026-03-04</t>
        </is>
      </c>
      <c r="B2177" s="3" t="inlineStr">
        <is>
          <t>바이넥스</t>
        </is>
      </c>
      <c r="C2177" s="2" t="inlineStr">
        <is>
          <t>코스닥</t>
        </is>
      </c>
      <c r="D2177" s="2" t="inlineStr">
        <is>
          <t>053030</t>
        </is>
      </c>
      <c r="E2177" s="3" t="inlineStr">
        <is>
          <t>의결권대리행사권유참고서류</t>
        </is>
      </c>
      <c r="F2177" s="3" t="inlineStr">
        <is>
          <t>바이넥스</t>
        </is>
      </c>
      <c r="G2177" s="2" t="inlineStr">
        <is>
          <t>20260304001601</t>
        </is>
      </c>
      <c r="H2177" s="8">
        <f>HYPERLINK("https://dart.fss.or.kr/dsaf001/main.do?rcpNo=20260304001601", "공시열람")</f>
        <v/>
      </c>
    </row>
    <row r="2178">
      <c r="A2178" s="2" t="inlineStr">
        <is>
          <t>2026-03-04 (정정: 2026-03-12)</t>
        </is>
      </c>
      <c r="B2178" s="3" t="inlineStr">
        <is>
          <t>크리스에프앤씨</t>
        </is>
      </c>
      <c r="C2178" s="2" t="inlineStr">
        <is>
          <t>코스닥</t>
        </is>
      </c>
      <c r="D2178" s="2" t="inlineStr">
        <is>
          <t>110790</t>
        </is>
      </c>
      <c r="E2178" s="3" t="inlineStr">
        <is>
          <t>타법인주식및출자증권처분결정               (정정: 20260312)</t>
        </is>
      </c>
      <c r="F2178" s="3" t="inlineStr">
        <is>
          <t>크리스에프앤씨</t>
        </is>
      </c>
      <c r="G2178" s="2" t="inlineStr">
        <is>
          <t>20260312900455</t>
        </is>
      </c>
      <c r="H2178" s="8">
        <f>HYPERLINK("https://dart.fss.or.kr/dsaf001/main.do?rcpNo=20260312900455", "공시열람")</f>
        <v/>
      </c>
    </row>
    <row r="2179">
      <c r="A2179" s="2" t="inlineStr">
        <is>
          <t>2026-03-04</t>
        </is>
      </c>
      <c r="B2179" s="3" t="inlineStr">
        <is>
          <t>씨앤투스</t>
        </is>
      </c>
      <c r="C2179" s="2" t="inlineStr">
        <is>
          <t>코스닥</t>
        </is>
      </c>
      <c r="D2179" s="2" t="inlineStr">
        <is>
          <t>352700</t>
        </is>
      </c>
      <c r="E2179" s="3" t="inlineStr">
        <is>
          <t xml:space="preserve">매출액또는손익구조30%(대규모법인은15%)이상변동              </t>
        </is>
      </c>
      <c r="F2179" s="3" t="inlineStr">
        <is>
          <t>씨앤투스</t>
        </is>
      </c>
      <c r="G2179" s="2" t="inlineStr">
        <is>
          <t>20260304901504</t>
        </is>
      </c>
      <c r="H2179" s="8">
        <f>HYPERLINK("https://dart.fss.or.kr/dsaf001/main.do?rcpNo=20260304901504", "공시열람")</f>
        <v/>
      </c>
    </row>
    <row r="2180">
      <c r="A2180" s="2" t="inlineStr">
        <is>
          <t>2026-03-04 (정정: 2026-03-04)</t>
        </is>
      </c>
      <c r="B2180" s="3" t="inlineStr">
        <is>
          <t>대한항공</t>
        </is>
      </c>
      <c r="C2180" s="2" t="inlineStr">
        <is>
          <t>코스피</t>
        </is>
      </c>
      <c r="D2180" s="2" t="inlineStr">
        <is>
          <t>003490</t>
        </is>
      </c>
      <c r="E2180" s="3" t="inlineStr">
        <is>
          <t>[발행조건확정]증권신고서(채무증권) (정정: 20260304)</t>
        </is>
      </c>
      <c r="F2180" s="3" t="inlineStr">
        <is>
          <t>대한항공</t>
        </is>
      </c>
      <c r="G2180" s="2" t="inlineStr">
        <is>
          <t>20260304001571</t>
        </is>
      </c>
      <c r="H2180" s="8">
        <f>HYPERLINK("https://dart.fss.or.kr/dsaf001/main.do?rcpNo=20260304001571", "공시열람")</f>
        <v/>
      </c>
    </row>
    <row r="2181">
      <c r="A2181" s="2" t="inlineStr">
        <is>
          <t>2026-03-04</t>
        </is>
      </c>
      <c r="B2181" s="3" t="inlineStr">
        <is>
          <t>iM금융지주</t>
        </is>
      </c>
      <c r="C2181" s="2" t="inlineStr">
        <is>
          <t>코스피</t>
        </is>
      </c>
      <c r="D2181" s="2" t="inlineStr">
        <is>
          <t>139130</t>
        </is>
      </c>
      <c r="E2181" s="3" t="inlineStr">
        <is>
          <t xml:space="preserve">기업지배구조보고서공시(연차보고서)              </t>
        </is>
      </c>
      <c r="F2181" s="3" t="inlineStr">
        <is>
          <t>iM금융지주</t>
        </is>
      </c>
      <c r="G2181" s="2" t="inlineStr">
        <is>
          <t>20260304801536</t>
        </is>
      </c>
      <c r="H2181" s="8">
        <f>HYPERLINK("https://dart.fss.or.kr/dsaf001/main.do?rcpNo=20260304801536", "공시열람")</f>
        <v/>
      </c>
    </row>
    <row r="2182">
      <c r="A2182" s="2" t="inlineStr">
        <is>
          <t>2026-03-04</t>
        </is>
      </c>
      <c r="B2182" s="3" t="inlineStr">
        <is>
          <t>덴티움</t>
        </is>
      </c>
      <c r="C2182" s="2" t="inlineStr">
        <is>
          <t>코스피</t>
        </is>
      </c>
      <c r="D2182" s="2" t="inlineStr">
        <is>
          <t>145720</t>
        </is>
      </c>
      <c r="E2182" s="3" t="inlineStr">
        <is>
          <t>의결권대리행사권유참고서류</t>
        </is>
      </c>
      <c r="F2182" s="3" t="inlineStr">
        <is>
          <t>덴티움</t>
        </is>
      </c>
      <c r="G2182" s="2" t="inlineStr">
        <is>
          <t>20260304001581</t>
        </is>
      </c>
      <c r="H2182" s="8">
        <f>HYPERLINK("https://dart.fss.or.kr/dsaf001/main.do?rcpNo=20260304001581", "공시열람")</f>
        <v/>
      </c>
    </row>
    <row r="2183">
      <c r="A2183" s="2" t="inlineStr">
        <is>
          <t>2026-03-04</t>
        </is>
      </c>
      <c r="B2183" s="3" t="inlineStr">
        <is>
          <t>한미글로벌</t>
        </is>
      </c>
      <c r="C2183" s="2" t="inlineStr">
        <is>
          <t>코스피</t>
        </is>
      </c>
      <c r="D2183" s="2" t="inlineStr">
        <is>
          <t>053690</t>
        </is>
      </c>
      <c r="E2183" s="3" t="inlineStr">
        <is>
          <t>의결권대리행사권유참고서류</t>
        </is>
      </c>
      <c r="F2183" s="3" t="inlineStr">
        <is>
          <t>한미글로벌</t>
        </is>
      </c>
      <c r="G2183" s="2" t="inlineStr">
        <is>
          <t>20260304001575</t>
        </is>
      </c>
      <c r="H2183" s="8">
        <f>HYPERLINK("https://dart.fss.or.kr/dsaf001/main.do?rcpNo=20260304001575", "공시열람")</f>
        <v/>
      </c>
    </row>
    <row r="2184">
      <c r="A2184" s="2" t="inlineStr">
        <is>
          <t>2026-03-04</t>
        </is>
      </c>
      <c r="B2184" s="3" t="inlineStr">
        <is>
          <t>케이티앤지</t>
        </is>
      </c>
      <c r="C2184" s="2" t="inlineStr">
        <is>
          <t>코스피</t>
        </is>
      </c>
      <c r="D2184" s="2" t="inlineStr">
        <is>
          <t>033780</t>
        </is>
      </c>
      <c r="E2184" s="3" t="inlineStr">
        <is>
          <t xml:space="preserve">감사보고서제출              </t>
        </is>
      </c>
      <c r="F2184" s="3" t="inlineStr">
        <is>
          <t>케이티앤지</t>
        </is>
      </c>
      <c r="G2184" s="2" t="inlineStr">
        <is>
          <t>20260304801494</t>
        </is>
      </c>
      <c r="H2184" s="8">
        <f>HYPERLINK("https://dart.fss.or.kr/dsaf001/main.do?rcpNo=20260304801494", "공시열람")</f>
        <v/>
      </c>
    </row>
    <row r="2185">
      <c r="A2185" s="2" t="inlineStr">
        <is>
          <t>2026-03-04</t>
        </is>
      </c>
      <c r="B2185" s="3" t="inlineStr">
        <is>
          <t>KPX홀딩스</t>
        </is>
      </c>
      <c r="C2185" s="2" t="inlineStr">
        <is>
          <t>코스피</t>
        </is>
      </c>
      <c r="D2185" s="2" t="inlineStr">
        <is>
          <t>092230</t>
        </is>
      </c>
      <c r="E2185" s="3" t="inlineStr">
        <is>
          <t xml:space="preserve">감사보고서제출(자회사의 주요경영사항)              </t>
        </is>
      </c>
      <c r="F2185" s="3" t="inlineStr">
        <is>
          <t>KPX홀딩스</t>
        </is>
      </c>
      <c r="G2185" s="2" t="inlineStr">
        <is>
          <t>20260304801467</t>
        </is>
      </c>
      <c r="H2185" s="8">
        <f>HYPERLINK("https://dart.fss.or.kr/dsaf001/main.do?rcpNo=20260304801467", "공시열람")</f>
        <v/>
      </c>
    </row>
    <row r="2186">
      <c r="A2186" s="2" t="inlineStr">
        <is>
          <t>2026-03-04</t>
        </is>
      </c>
      <c r="B2186" s="3" t="inlineStr">
        <is>
          <t>웰크론</t>
        </is>
      </c>
      <c r="C2186" s="2" t="inlineStr">
        <is>
          <t>코스닥</t>
        </is>
      </c>
      <c r="D2186" s="2" t="inlineStr">
        <is>
          <t>065950</t>
        </is>
      </c>
      <c r="E2186" s="3" t="inlineStr">
        <is>
          <t>의결권대리행사권유참고서류</t>
        </is>
      </c>
      <c r="F2186" s="3" t="inlineStr">
        <is>
          <t>웰크론</t>
        </is>
      </c>
      <c r="G2186" s="2" t="inlineStr">
        <is>
          <t>20260304001574</t>
        </is>
      </c>
      <c r="H2186" s="8">
        <f>HYPERLINK("https://dart.fss.or.kr/dsaf001/main.do?rcpNo=20260304001574", "공시열람")</f>
        <v/>
      </c>
    </row>
    <row r="2187">
      <c r="A2187" s="2" t="inlineStr">
        <is>
          <t>2026-03-04</t>
        </is>
      </c>
      <c r="B2187" s="3" t="inlineStr">
        <is>
          <t>한국가스공사</t>
        </is>
      </c>
      <c r="C2187" s="2" t="inlineStr">
        <is>
          <t>코스피</t>
        </is>
      </c>
      <c r="D2187" s="2" t="inlineStr">
        <is>
          <t>036460</t>
        </is>
      </c>
      <c r="E2187" s="3" t="inlineStr">
        <is>
          <t xml:space="preserve">기업설명회(IR)개최(안내공시)              </t>
        </is>
      </c>
      <c r="F2187" s="3" t="inlineStr">
        <is>
          <t>한국가스공사</t>
        </is>
      </c>
      <c r="G2187" s="2" t="inlineStr">
        <is>
          <t>20260304801501</t>
        </is>
      </c>
      <c r="H2187" s="8">
        <f>HYPERLINK("https://dart.fss.or.kr/dsaf001/main.do?rcpNo=20260304801501", "공시열람")</f>
        <v/>
      </c>
    </row>
    <row r="2188">
      <c r="A2188" s="2" t="inlineStr">
        <is>
          <t>2026-03-04</t>
        </is>
      </c>
      <c r="B2188" s="3" t="inlineStr">
        <is>
          <t>오텍</t>
        </is>
      </c>
      <c r="C2188" s="2" t="inlineStr">
        <is>
          <t>코스닥</t>
        </is>
      </c>
      <c r="D2188" s="2" t="inlineStr">
        <is>
          <t>067170</t>
        </is>
      </c>
      <c r="E2188" s="3" t="inlineStr">
        <is>
          <t xml:space="preserve">타법인주식및출자증권취득결정              </t>
        </is>
      </c>
      <c r="F2188" s="3" t="inlineStr">
        <is>
          <t>오텍</t>
        </is>
      </c>
      <c r="G2188" s="2" t="inlineStr">
        <is>
          <t>20260304901464</t>
        </is>
      </c>
      <c r="H2188" s="8">
        <f>HYPERLINK("https://dart.fss.or.kr/dsaf001/main.do?rcpNo=20260304901464", "공시열람")</f>
        <v/>
      </c>
    </row>
    <row r="2189">
      <c r="A2189" s="2" t="inlineStr">
        <is>
          <t>2026-03-04</t>
        </is>
      </c>
      <c r="B2189" s="3" t="inlineStr">
        <is>
          <t>태영건설</t>
        </is>
      </c>
      <c r="C2189" s="2" t="inlineStr">
        <is>
          <t>코스피</t>
        </is>
      </c>
      <c r="D2189" s="2" t="inlineStr">
        <is>
          <t>009410</t>
        </is>
      </c>
      <c r="E2189" s="3" t="inlineStr">
        <is>
          <t xml:space="preserve">기타안내사항(안내공시)              </t>
        </is>
      </c>
      <c r="F2189" s="3" t="inlineStr">
        <is>
          <t>태영건설</t>
        </is>
      </c>
      <c r="G2189" s="2" t="inlineStr">
        <is>
          <t>20260304801418</t>
        </is>
      </c>
      <c r="H2189" s="8">
        <f>HYPERLINK("https://dart.fss.or.kr/dsaf001/main.do?rcpNo=20260304801418", "공시열람")</f>
        <v/>
      </c>
    </row>
    <row r="2190">
      <c r="A2190" s="2" t="inlineStr">
        <is>
          <t>2026-03-04</t>
        </is>
      </c>
      <c r="B2190" s="3" t="inlineStr">
        <is>
          <t>태영건설</t>
        </is>
      </c>
      <c r="C2190" s="2" t="inlineStr">
        <is>
          <t>코스피</t>
        </is>
      </c>
      <c r="D2190" s="2" t="inlineStr">
        <is>
          <t>009410</t>
        </is>
      </c>
      <c r="E2190" s="3" t="inlineStr">
        <is>
          <t xml:space="preserve">기타경영사항(자율공시)              </t>
        </is>
      </c>
      <c r="F2190" s="3" t="inlineStr">
        <is>
          <t>태영건설</t>
        </is>
      </c>
      <c r="G2190" s="2" t="inlineStr">
        <is>
          <t>20260304801407</t>
        </is>
      </c>
      <c r="H2190" s="8">
        <f>HYPERLINK("https://dart.fss.or.kr/dsaf001/main.do?rcpNo=20260304801407", "공시열람")</f>
        <v/>
      </c>
    </row>
    <row r="2191">
      <c r="A2191" s="2" t="inlineStr">
        <is>
          <t>2026-03-04</t>
        </is>
      </c>
      <c r="B2191" s="3" t="inlineStr">
        <is>
          <t>남광토건</t>
        </is>
      </c>
      <c r="C2191" s="2" t="inlineStr">
        <is>
          <t>코스피</t>
        </is>
      </c>
      <c r="D2191" s="2" t="inlineStr">
        <is>
          <t>001260</t>
        </is>
      </c>
      <c r="E2191" s="3" t="inlineStr">
        <is>
          <t xml:space="preserve">투자판단관련주요경영사항              </t>
        </is>
      </c>
      <c r="F2191" s="3" t="inlineStr">
        <is>
          <t>남광토건</t>
        </is>
      </c>
      <c r="G2191" s="2" t="inlineStr">
        <is>
          <t>20260304801351</t>
        </is>
      </c>
      <c r="H2191" s="8">
        <f>HYPERLINK("https://dart.fss.or.kr/dsaf001/main.do?rcpNo=20260304801351", "공시열람")</f>
        <v/>
      </c>
    </row>
    <row r="2192">
      <c r="A2192" s="2" t="inlineStr">
        <is>
          <t>2026-03-04</t>
        </is>
      </c>
      <c r="B2192" s="3" t="inlineStr">
        <is>
          <t>케이탑리츠</t>
        </is>
      </c>
      <c r="C2192" s="2" t="inlineStr">
        <is>
          <t>코스피</t>
        </is>
      </c>
      <c r="D2192" s="2" t="inlineStr">
        <is>
          <t>145270</t>
        </is>
      </c>
      <c r="E2192" s="3" t="inlineStr">
        <is>
          <t xml:space="preserve">부동산투자회사금전배당결정              </t>
        </is>
      </c>
      <c r="F2192" s="3" t="inlineStr">
        <is>
          <t>케이탑리츠</t>
        </is>
      </c>
      <c r="G2192" s="2" t="inlineStr">
        <is>
          <t>20260304801323</t>
        </is>
      </c>
      <c r="H2192" s="8">
        <f>HYPERLINK("https://dart.fss.or.kr/dsaf001/main.do?rcpNo=20260304801323", "공시열람")</f>
        <v/>
      </c>
    </row>
    <row r="2193">
      <c r="A2193" s="2" t="inlineStr">
        <is>
          <t>2026-03-04</t>
        </is>
      </c>
      <c r="B2193" s="3" t="inlineStr">
        <is>
          <t>SNT다이내믹스</t>
        </is>
      </c>
      <c r="C2193" s="2" t="inlineStr">
        <is>
          <t>코스피</t>
        </is>
      </c>
      <c r="D2193" s="2" t="inlineStr">
        <is>
          <t>003570</t>
        </is>
      </c>
      <c r="E2193" s="3" t="inlineStr">
        <is>
          <t xml:space="preserve">전환청구권ㆍ신주인수권ㆍ교환청구권행사              </t>
        </is>
      </c>
      <c r="F2193" s="3" t="inlineStr">
        <is>
          <t>SNT다이내믹스</t>
        </is>
      </c>
      <c r="G2193" s="2" t="inlineStr">
        <is>
          <t>20260304801510</t>
        </is>
      </c>
      <c r="H2193" s="8">
        <f>HYPERLINK("https://dart.fss.or.kr/dsaf001/main.do?rcpNo=20260304801510", "공시열람")</f>
        <v/>
      </c>
    </row>
    <row r="2194">
      <c r="A2194" s="2" t="inlineStr">
        <is>
          <t>2026-03-04 (정정: 2026-03-10)</t>
        </is>
      </c>
      <c r="B2194" s="3" t="inlineStr">
        <is>
          <t>삼성FN리츠</t>
        </is>
      </c>
      <c r="C2194" s="2" t="inlineStr">
        <is>
          <t>코스피</t>
        </is>
      </c>
      <c r="D2194" s="2" t="inlineStr">
        <is>
          <t>448730</t>
        </is>
      </c>
      <c r="E2194" s="3" t="inlineStr">
        <is>
          <t>증권신고서(채무증권) (정정: 20260310)</t>
        </is>
      </c>
      <c r="F2194" s="3" t="inlineStr">
        <is>
          <t>삼성FN리츠</t>
        </is>
      </c>
      <c r="G2194" s="2" t="inlineStr">
        <is>
          <t>20260310801729</t>
        </is>
      </c>
      <c r="H2194" s="8">
        <f>HYPERLINK("https://dart.fss.or.kr/dsaf001/main.do?rcpNo=20260310801729", "공시열람")</f>
        <v/>
      </c>
    </row>
    <row r="2195">
      <c r="A2195" s="2" t="inlineStr">
        <is>
          <t>2026-03-04</t>
        </is>
      </c>
      <c r="B2195" s="3" t="inlineStr">
        <is>
          <t>대신증권</t>
        </is>
      </c>
      <c r="C2195" s="2" t="inlineStr">
        <is>
          <t>코스피</t>
        </is>
      </c>
      <c r="D2195" s="2" t="inlineStr">
        <is>
          <t>003540</t>
        </is>
      </c>
      <c r="E2195" s="3" t="inlineStr">
        <is>
          <t>특수관계인과의내부거래</t>
        </is>
      </c>
      <c r="F2195" s="3" t="inlineStr">
        <is>
          <t>대신증권</t>
        </is>
      </c>
      <c r="G2195" s="2" t="inlineStr">
        <is>
          <t>20260304001555</t>
        </is>
      </c>
      <c r="H2195" s="8">
        <f>HYPERLINK("https://dart.fss.or.kr/dsaf001/main.do?rcpNo=20260304001555", "공시열람")</f>
        <v/>
      </c>
    </row>
    <row r="2196">
      <c r="A2196" s="2" t="inlineStr">
        <is>
          <t>2026-03-04</t>
        </is>
      </c>
      <c r="B2196" s="3" t="inlineStr">
        <is>
          <t>미래에셋비전스팩9호</t>
        </is>
      </c>
      <c r="C2196" s="2" t="inlineStr">
        <is>
          <t>코스닥</t>
        </is>
      </c>
      <c r="D2196" s="2" t="inlineStr">
        <is>
          <t>0096D0</t>
        </is>
      </c>
      <c r="E2196" s="3" t="inlineStr">
        <is>
          <t xml:space="preserve">감사보고서제출              </t>
        </is>
      </c>
      <c r="F2196" s="3" t="inlineStr">
        <is>
          <t>미래에셋비전스팩9호</t>
        </is>
      </c>
      <c r="G2196" s="2" t="inlineStr">
        <is>
          <t>20260304901367</t>
        </is>
      </c>
      <c r="H2196" s="8">
        <f>HYPERLINK("https://dart.fss.or.kr/dsaf001/main.do?rcpNo=20260304901367", "공시열람")</f>
        <v/>
      </c>
    </row>
    <row r="2197">
      <c r="A2197" s="2" t="inlineStr">
        <is>
          <t>2026-03-04</t>
        </is>
      </c>
      <c r="B2197" s="3" t="inlineStr">
        <is>
          <t>미래에셋생명</t>
        </is>
      </c>
      <c r="C2197" s="2" t="inlineStr">
        <is>
          <t>코스피</t>
        </is>
      </c>
      <c r="D2197" s="2" t="inlineStr">
        <is>
          <t>085620</t>
        </is>
      </c>
      <c r="E2197" s="3" t="inlineStr">
        <is>
          <t xml:space="preserve">매매거래정지및정지해제(중요내용공시)              </t>
        </is>
      </c>
      <c r="F2197" s="3" t="inlineStr">
        <is>
          <t>유가증권시장본부</t>
        </is>
      </c>
      <c r="G2197" s="2" t="inlineStr">
        <is>
          <t>20260304801444</t>
        </is>
      </c>
      <c r="H2197" s="8">
        <f>HYPERLINK("https://dart.fss.or.kr/dsaf001/main.do?rcpNo=20260304801444", "공시열람")</f>
        <v/>
      </c>
    </row>
    <row r="2198">
      <c r="A2198" s="2" t="inlineStr">
        <is>
          <t>2026-03-04</t>
        </is>
      </c>
      <c r="B2198" s="3" t="inlineStr">
        <is>
          <t>샘씨엔에스</t>
        </is>
      </c>
      <c r="C2198" s="2" t="inlineStr">
        <is>
          <t>코스닥</t>
        </is>
      </c>
      <c r="D2198" s="2" t="inlineStr">
        <is>
          <t>252990</t>
        </is>
      </c>
      <c r="E2198" s="3" t="inlineStr">
        <is>
          <t>자기주식처분결과보고서</t>
        </is>
      </c>
      <c r="F2198" s="3" t="inlineStr">
        <is>
          <t>샘씨엔에스</t>
        </is>
      </c>
      <c r="G2198" s="2" t="inlineStr">
        <is>
          <t>20260304001544</t>
        </is>
      </c>
      <c r="H2198" s="8">
        <f>HYPERLINK("https://dart.fss.or.kr/dsaf001/main.do?rcpNo=20260304001544", "공시열람")</f>
        <v/>
      </c>
    </row>
    <row r="2199">
      <c r="A2199" s="2" t="inlineStr">
        <is>
          <t>2026-03-04</t>
        </is>
      </c>
      <c r="B2199" s="3" t="inlineStr">
        <is>
          <t>옵투스제약</t>
        </is>
      </c>
      <c r="C2199" s="2" t="inlineStr">
        <is>
          <t>코스닥</t>
        </is>
      </c>
      <c r="D2199" s="2" t="inlineStr">
        <is>
          <t>131030</t>
        </is>
      </c>
      <c r="E2199" s="3" t="inlineStr">
        <is>
          <t>의결권대리행사권유참고서류</t>
        </is>
      </c>
      <c r="F2199" s="3" t="inlineStr">
        <is>
          <t>옵투스제약</t>
        </is>
      </c>
      <c r="G2199" s="2" t="inlineStr">
        <is>
          <t>20260304001542</t>
        </is>
      </c>
      <c r="H2199" s="8">
        <f>HYPERLINK("https://dart.fss.or.kr/dsaf001/main.do?rcpNo=20260304001542", "공시열람")</f>
        <v/>
      </c>
    </row>
    <row r="2200">
      <c r="A2200" s="2" t="inlineStr">
        <is>
          <t>2026-03-04 (정정: 2026-03-06)</t>
        </is>
      </c>
      <c r="B2200" s="3" t="inlineStr">
        <is>
          <t>신한서부티엔디리츠</t>
        </is>
      </c>
      <c r="C2200" s="2" t="inlineStr">
        <is>
          <t>코스피</t>
        </is>
      </c>
      <c r="D2200" s="2" t="inlineStr">
        <is>
          <t>404990</t>
        </is>
      </c>
      <c r="E2200" s="3" t="inlineStr">
        <is>
          <t>의결권대리행사권유참고서류 (정정: 20260306) (정정: 20260306)</t>
        </is>
      </c>
      <c r="F2200" s="3" t="inlineStr">
        <is>
          <t>신한서부티엔디리츠</t>
        </is>
      </c>
      <c r="G2200" s="2" t="inlineStr">
        <is>
          <t>20260306000634</t>
        </is>
      </c>
      <c r="H2200" s="8">
        <f>HYPERLINK("https://dart.fss.or.kr/dsaf001/main.do?rcpNo=20260306000634", "공시열람")</f>
        <v/>
      </c>
    </row>
    <row r="2201">
      <c r="A2201" s="2" t="inlineStr">
        <is>
          <t>2026-03-04</t>
        </is>
      </c>
      <c r="B2201" s="3" t="inlineStr">
        <is>
          <t>GS리테일</t>
        </is>
      </c>
      <c r="C2201" s="2" t="inlineStr">
        <is>
          <t>코스피</t>
        </is>
      </c>
      <c r="D2201" s="2" t="inlineStr">
        <is>
          <t>007070</t>
        </is>
      </c>
      <c r="E2201" s="3" t="inlineStr">
        <is>
          <t>의결권대리행사권유참고서류</t>
        </is>
      </c>
      <c r="F2201" s="3" t="inlineStr">
        <is>
          <t>GS리테일</t>
        </is>
      </c>
      <c r="G2201" s="2" t="inlineStr">
        <is>
          <t>20260304001533</t>
        </is>
      </c>
      <c r="H2201" s="8">
        <f>HYPERLINK("https://dart.fss.or.kr/dsaf001/main.do?rcpNo=20260304001533", "공시열람")</f>
        <v/>
      </c>
    </row>
    <row r="2202">
      <c r="A2202" s="2" t="inlineStr">
        <is>
          <t>2026-03-04</t>
        </is>
      </c>
      <c r="B2202" s="3" t="inlineStr">
        <is>
          <t>샘씨엔에스</t>
        </is>
      </c>
      <c r="C2202" s="2" t="inlineStr">
        <is>
          <t>코스닥</t>
        </is>
      </c>
      <c r="D2202" s="2" t="inlineStr">
        <is>
          <t>252990</t>
        </is>
      </c>
      <c r="E2202" s="3" t="inlineStr">
        <is>
          <t>주요사항보고서(자기주식처분결정)</t>
        </is>
      </c>
      <c r="F2202" s="3" t="inlineStr">
        <is>
          <t>샘씨엔에스</t>
        </is>
      </c>
      <c r="G2202" s="2" t="inlineStr">
        <is>
          <t>20260304001523</t>
        </is>
      </c>
      <c r="H2202" s="8">
        <f>HYPERLINK("https://dart.fss.or.kr/dsaf001/main.do?rcpNo=20260304001523", "공시열람")</f>
        <v/>
      </c>
    </row>
    <row r="2203">
      <c r="A2203" s="2" t="inlineStr">
        <is>
          <t>2026-03-04</t>
        </is>
      </c>
      <c r="B2203" s="3" t="inlineStr">
        <is>
          <t>바이넥스</t>
        </is>
      </c>
      <c r="C2203" s="2" t="inlineStr">
        <is>
          <t>코스닥</t>
        </is>
      </c>
      <c r="D2203" s="2" t="inlineStr">
        <is>
          <t>053030</t>
        </is>
      </c>
      <c r="E2203" s="3" t="inlineStr">
        <is>
          <t xml:space="preserve">매출액또는손익구조30%(대규모법인은15%)이상변동              </t>
        </is>
      </c>
      <c r="F2203" s="3" t="inlineStr">
        <is>
          <t>바이넥스</t>
        </is>
      </c>
      <c r="G2203" s="2" t="inlineStr">
        <is>
          <t>20260304901441</t>
        </is>
      </c>
      <c r="H2203" s="8">
        <f>HYPERLINK("https://dart.fss.or.kr/dsaf001/main.do?rcpNo=20260304901441", "공시열람")</f>
        <v/>
      </c>
    </row>
    <row r="2204">
      <c r="A2204" s="2" t="inlineStr">
        <is>
          <t>2026-03-04</t>
        </is>
      </c>
      <c r="B2204" s="3" t="inlineStr">
        <is>
          <t>삼성물산</t>
        </is>
      </c>
      <c r="C2204" s="2" t="inlineStr">
        <is>
          <t>코스피</t>
        </is>
      </c>
      <c r="D2204" s="2" t="inlineStr">
        <is>
          <t>028260</t>
        </is>
      </c>
      <c r="E2204" s="3" t="inlineStr">
        <is>
          <t xml:space="preserve">기업설명회(IR)개최(안내공시)              </t>
        </is>
      </c>
      <c r="F2204" s="3" t="inlineStr">
        <is>
          <t>삼성물산</t>
        </is>
      </c>
      <c r="G2204" s="2" t="inlineStr">
        <is>
          <t>20260304801469</t>
        </is>
      </c>
      <c r="H2204" s="8">
        <f>HYPERLINK("https://dart.fss.or.kr/dsaf001/main.do?rcpNo=20260304801469", "공시열람")</f>
        <v/>
      </c>
    </row>
    <row r="2205">
      <c r="A2205" s="2" t="inlineStr">
        <is>
          <t>2026-03-04</t>
        </is>
      </c>
      <c r="B2205" s="3" t="inlineStr">
        <is>
          <t>진양홀딩스</t>
        </is>
      </c>
      <c r="C2205" s="2" t="inlineStr">
        <is>
          <t>코스피</t>
        </is>
      </c>
      <c r="D2205" s="2" t="inlineStr">
        <is>
          <t>100250</t>
        </is>
      </c>
      <c r="E2205" s="3" t="inlineStr">
        <is>
          <t xml:space="preserve">감사보고서제출(자회사의 주요경영사항)              </t>
        </is>
      </c>
      <c r="F2205" s="3" t="inlineStr">
        <is>
          <t>진양홀딩스</t>
        </is>
      </c>
      <c r="G2205" s="2" t="inlineStr">
        <is>
          <t>20260304801419</t>
        </is>
      </c>
      <c r="H2205" s="8">
        <f>HYPERLINK("https://dart.fss.or.kr/dsaf001/main.do?rcpNo=20260304801419", "공시열람")</f>
        <v/>
      </c>
    </row>
    <row r="2206">
      <c r="A2206" s="2" t="inlineStr">
        <is>
          <t>2026-03-04</t>
        </is>
      </c>
      <c r="B2206" s="3" t="inlineStr">
        <is>
          <t>에이치엔에스하이텍</t>
        </is>
      </c>
      <c r="C2206" s="2" t="inlineStr">
        <is>
          <t>코스닥</t>
        </is>
      </c>
      <c r="D2206" s="2" t="inlineStr">
        <is>
          <t>044990</t>
        </is>
      </c>
      <c r="E2206" s="3" t="inlineStr">
        <is>
          <t xml:space="preserve">감사보고서제출              </t>
        </is>
      </c>
      <c r="F2206" s="3" t="inlineStr">
        <is>
          <t>에이치엔에스하이텍</t>
        </is>
      </c>
      <c r="G2206" s="2" t="inlineStr">
        <is>
          <t>20260304901394</t>
        </is>
      </c>
      <c r="H2206" s="8">
        <f>HYPERLINK("https://dart.fss.or.kr/dsaf001/main.do?rcpNo=20260304901394", "공시열람")</f>
        <v/>
      </c>
    </row>
    <row r="2207">
      <c r="A2207" s="2" t="inlineStr">
        <is>
          <t>2026-03-04</t>
        </is>
      </c>
      <c r="B2207" s="3" t="inlineStr">
        <is>
          <t>에르코스</t>
        </is>
      </c>
      <c r="C2207" s="2" t="inlineStr">
        <is>
          <t>코스닥</t>
        </is>
      </c>
      <c r="D2207" s="2" t="inlineStr">
        <is>
          <t>435570</t>
        </is>
      </c>
      <c r="E2207" s="3" t="inlineStr">
        <is>
          <t>임원ㆍ주요주주특정증권등소유상황보고서</t>
        </is>
      </c>
      <c r="F2207" s="3" t="inlineStr">
        <is>
          <t>박진우</t>
        </is>
      </c>
      <c r="G2207" s="2" t="inlineStr">
        <is>
          <t>20260304001525</t>
        </is>
      </c>
      <c r="H2207" s="8">
        <f>HYPERLINK("https://dart.fss.or.kr/dsaf001/main.do?rcpNo=20260304001525", "공시열람")</f>
        <v/>
      </c>
    </row>
    <row r="2208">
      <c r="A2208" s="2" t="inlineStr">
        <is>
          <t>2026-03-04 (정정: 2026-03-04)</t>
        </is>
      </c>
      <c r="B2208" s="3" t="inlineStr">
        <is>
          <t>원풍</t>
        </is>
      </c>
      <c r="C2208" s="2" t="inlineStr">
        <is>
          <t>코스닥</t>
        </is>
      </c>
      <c r="D2208" s="2" t="inlineStr">
        <is>
          <t>008370</t>
        </is>
      </c>
      <c r="E2208" s="3" t="inlineStr">
        <is>
          <t>[기재정정]의결권대리행사권유참고서류</t>
        </is>
      </c>
      <c r="F2208" s="3" t="inlineStr">
        <is>
          <t>원풍</t>
        </is>
      </c>
      <c r="G2208" s="2" t="inlineStr">
        <is>
          <t>20260304001522</t>
        </is>
      </c>
      <c r="H2208" s="8">
        <f>HYPERLINK("https://dart.fss.or.kr/dsaf001/main.do?rcpNo=20260304001522", "공시열람")</f>
        <v/>
      </c>
    </row>
    <row r="2209">
      <c r="A2209" s="2" t="inlineStr">
        <is>
          <t>2026-03-04</t>
        </is>
      </c>
      <c r="B2209" s="3" t="inlineStr">
        <is>
          <t>진원생명과학</t>
        </is>
      </c>
      <c r="C2209" s="2" t="inlineStr">
        <is>
          <t>코스피</t>
        </is>
      </c>
      <c r="D2209" s="2" t="inlineStr">
        <is>
          <t>011000</t>
        </is>
      </c>
      <c r="E2209" s="3" t="inlineStr">
        <is>
          <t xml:space="preserve">유상증자또는주식관련사채등의발행결과(자율공시)              </t>
        </is>
      </c>
      <c r="F2209" s="3" t="inlineStr">
        <is>
          <t>진원생명과학</t>
        </is>
      </c>
      <c r="G2209" s="2" t="inlineStr">
        <is>
          <t>20260304801352</t>
        </is>
      </c>
      <c r="H2209" s="8">
        <f>HYPERLINK("https://dart.fss.or.kr/dsaf001/main.do?rcpNo=20260304801352", "공시열람")</f>
        <v/>
      </c>
    </row>
    <row r="2210">
      <c r="A2210" s="2" t="inlineStr">
        <is>
          <t>2026-03-04</t>
        </is>
      </c>
      <c r="B2210" s="3" t="inlineStr">
        <is>
          <t>현대건설</t>
        </is>
      </c>
      <c r="C2210" s="2" t="inlineStr">
        <is>
          <t>코스피</t>
        </is>
      </c>
      <c r="D2210" s="2" t="inlineStr">
        <is>
          <t>000720</t>
        </is>
      </c>
      <c r="E2210" s="3" t="inlineStr">
        <is>
          <t>임원ㆍ주요주주특정증권등소유상황보고서</t>
        </is>
      </c>
      <c r="F2210" s="3" t="inlineStr">
        <is>
          <t>김성광</t>
        </is>
      </c>
      <c r="G2210" s="2" t="inlineStr">
        <is>
          <t>20260304001514</t>
        </is>
      </c>
      <c r="H2210" s="8">
        <f>HYPERLINK("https://dart.fss.or.kr/dsaf001/main.do?rcpNo=20260304001514", "공시열람")</f>
        <v/>
      </c>
    </row>
    <row r="2211">
      <c r="A2211" s="2" t="inlineStr">
        <is>
          <t>2026-03-04</t>
        </is>
      </c>
      <c r="B2211" s="3" t="inlineStr">
        <is>
          <t>에이플러스에셋</t>
        </is>
      </c>
      <c r="C2211" s="2" t="inlineStr">
        <is>
          <t>코스피</t>
        </is>
      </c>
      <c r="D2211" s="2" t="inlineStr">
        <is>
          <t>244920</t>
        </is>
      </c>
      <c r="E2211" s="3" t="inlineStr">
        <is>
          <t>임원ㆍ주요주주특정증권등소유상황보고서</t>
        </is>
      </c>
      <c r="F2211" s="3" t="inlineStr">
        <is>
          <t>김송희</t>
        </is>
      </c>
      <c r="G2211" s="2" t="inlineStr">
        <is>
          <t>20260304001511</t>
        </is>
      </c>
      <c r="H2211" s="8">
        <f>HYPERLINK("https://dart.fss.or.kr/dsaf001/main.do?rcpNo=20260304001511", "공시열람")</f>
        <v/>
      </c>
    </row>
    <row r="2212">
      <c r="A2212" s="2" t="inlineStr">
        <is>
          <t>2026-03-04</t>
        </is>
      </c>
      <c r="B2212" s="3" t="inlineStr">
        <is>
          <t>텔콘RF제약</t>
        </is>
      </c>
      <c r="C2212" s="2" t="inlineStr">
        <is>
          <t>코스닥</t>
        </is>
      </c>
      <c r="D2212" s="2" t="inlineStr">
        <is>
          <t>200230</t>
        </is>
      </c>
      <c r="E2212" s="3" t="inlineStr">
        <is>
          <t>의결권대리행사권유참고서류</t>
        </is>
      </c>
      <c r="F2212" s="3" t="inlineStr">
        <is>
          <t>텔콘RF제약</t>
        </is>
      </c>
      <c r="G2212" s="2" t="inlineStr">
        <is>
          <t>20260304001504</t>
        </is>
      </c>
      <c r="H2212" s="8">
        <f>HYPERLINK("https://dart.fss.or.kr/dsaf001/main.do?rcpNo=20260304001504", "공시열람")</f>
        <v/>
      </c>
    </row>
    <row r="2213">
      <c r="A2213" s="2" t="inlineStr">
        <is>
          <t>2026-03-04</t>
        </is>
      </c>
      <c r="B2213" s="3" t="inlineStr">
        <is>
          <t>케이탑리츠</t>
        </is>
      </c>
      <c r="C2213" s="2" t="inlineStr">
        <is>
          <t>코스피</t>
        </is>
      </c>
      <c r="D2213" s="2" t="inlineStr">
        <is>
          <t>145270</t>
        </is>
      </c>
      <c r="E2213" s="3" t="inlineStr">
        <is>
          <t xml:space="preserve">부동산투자회사자금차입              </t>
        </is>
      </c>
      <c r="F2213" s="3" t="inlineStr">
        <is>
          <t>케이탑리츠</t>
        </is>
      </c>
      <c r="G2213" s="2" t="inlineStr">
        <is>
          <t>20260304801309</t>
        </is>
      </c>
      <c r="H2213" s="8">
        <f>HYPERLINK("https://dart.fss.or.kr/dsaf001/main.do?rcpNo=20260304801309", "공시열람")</f>
        <v/>
      </c>
    </row>
    <row r="2214">
      <c r="A2214" s="2" t="inlineStr">
        <is>
          <t>2026-03-04 (정정: 2026-03-05)</t>
        </is>
      </c>
      <c r="B2214" s="3" t="inlineStr">
        <is>
          <t>한국카본</t>
        </is>
      </c>
      <c r="C2214" s="2" t="inlineStr">
        <is>
          <t>코스피</t>
        </is>
      </c>
      <c r="D2214" s="2" t="inlineStr">
        <is>
          <t>017960</t>
        </is>
      </c>
      <c r="E2214" s="3" t="inlineStr">
        <is>
          <t>의결권대리행사권유참고서류 (정정: 20260305) (정정: 20260305) (정정: 20260305)</t>
        </is>
      </c>
      <c r="F2214" s="3" t="inlineStr">
        <is>
          <t>한국카본</t>
        </is>
      </c>
      <c r="G2214" s="2" t="inlineStr">
        <is>
          <t>20260305801673</t>
        </is>
      </c>
      <c r="H2214" s="8">
        <f>HYPERLINK("https://dart.fss.or.kr/dsaf001/main.do?rcpNo=20260305801673", "공시열람")</f>
        <v/>
      </c>
    </row>
    <row r="2215">
      <c r="A2215" s="2" t="inlineStr">
        <is>
          <t>2026-03-04</t>
        </is>
      </c>
      <c r="B2215" s="3" t="inlineStr">
        <is>
          <t>제너셈</t>
        </is>
      </c>
      <c r="C2215" s="2" t="inlineStr">
        <is>
          <t>코스닥</t>
        </is>
      </c>
      <c r="D2215" s="2" t="inlineStr">
        <is>
          <t>217190</t>
        </is>
      </c>
      <c r="E2215" s="3" t="inlineStr">
        <is>
          <t>임원ㆍ주요주주특정증권등소유상황보고서</t>
        </is>
      </c>
      <c r="F2215" s="3" t="inlineStr">
        <is>
          <t>안영민</t>
        </is>
      </c>
      <c r="G2215" s="2" t="inlineStr">
        <is>
          <t>20260304001492</t>
        </is>
      </c>
      <c r="H2215" s="8">
        <f>HYPERLINK("https://dart.fss.or.kr/dsaf001/main.do?rcpNo=20260304001492", "공시열람")</f>
        <v/>
      </c>
    </row>
    <row r="2216">
      <c r="A2216" s="2" t="inlineStr">
        <is>
          <t>2026-03-04</t>
        </is>
      </c>
      <c r="B2216" s="3" t="inlineStr">
        <is>
          <t>현대건설</t>
        </is>
      </c>
      <c r="C2216" s="2" t="inlineStr">
        <is>
          <t>코스피</t>
        </is>
      </c>
      <c r="D2216" s="2" t="inlineStr">
        <is>
          <t>000720</t>
        </is>
      </c>
      <c r="E2216" s="3" t="inlineStr">
        <is>
          <t>임원ㆍ주요주주특정증권등소유상황보고서</t>
        </is>
      </c>
      <c r="F2216" s="3" t="inlineStr">
        <is>
          <t>권성준</t>
        </is>
      </c>
      <c r="G2216" s="2" t="inlineStr">
        <is>
          <t>20260304001491</t>
        </is>
      </c>
      <c r="H2216" s="8">
        <f>HYPERLINK("https://dart.fss.or.kr/dsaf001/main.do?rcpNo=20260304001491", "공시열람")</f>
        <v/>
      </c>
    </row>
    <row r="2217">
      <c r="A2217" s="2" t="inlineStr">
        <is>
          <t>2026-03-04 (정정: 2026-03-04)</t>
        </is>
      </c>
      <c r="B2217" s="3" t="inlineStr">
        <is>
          <t>신한서부티엔디리츠</t>
        </is>
      </c>
      <c r="C2217" s="2" t="inlineStr">
        <is>
          <t>코스피</t>
        </is>
      </c>
      <c r="D2217" s="2" t="inlineStr">
        <is>
          <t>404990</t>
        </is>
      </c>
      <c r="E2217" s="3" t="inlineStr">
        <is>
          <t>[기재정정]매출액또는손익구조30%(대규모법인은15%)이상변경               (정정: 20260304)</t>
        </is>
      </c>
      <c r="F2217" s="3" t="inlineStr">
        <is>
          <t>신한서부티엔디리츠</t>
        </is>
      </c>
      <c r="G2217" s="2" t="inlineStr">
        <is>
          <t>20260304801157</t>
        </is>
      </c>
      <c r="H2217" s="8">
        <f>HYPERLINK("https://dart.fss.or.kr/dsaf001/main.do?rcpNo=20260304801157", "공시열람")</f>
        <v/>
      </c>
    </row>
    <row r="2218">
      <c r="A2218" s="2" t="inlineStr">
        <is>
          <t>2026-03-04</t>
        </is>
      </c>
      <c r="B2218" s="3" t="inlineStr">
        <is>
          <t>CSA 코스믹</t>
        </is>
      </c>
      <c r="C2218" s="2" t="inlineStr">
        <is>
          <t>코스닥</t>
        </is>
      </c>
      <c r="D2218" s="2" t="inlineStr">
        <is>
          <t>083660</t>
        </is>
      </c>
      <c r="E2218" s="3" t="inlineStr">
        <is>
          <t xml:space="preserve">타법인주식및출자증권취득결정              </t>
        </is>
      </c>
      <c r="F2218" s="3" t="inlineStr">
        <is>
          <t>CSA 코스믹</t>
        </is>
      </c>
      <c r="G2218" s="2" t="inlineStr">
        <is>
          <t>20260304901399</t>
        </is>
      </c>
      <c r="H2218" s="8">
        <f>HYPERLINK("https://dart.fss.or.kr/dsaf001/main.do?rcpNo=20260304901399", "공시열람")</f>
        <v/>
      </c>
    </row>
    <row r="2219">
      <c r="A2219" s="2" t="inlineStr">
        <is>
          <t>2026-03-04</t>
        </is>
      </c>
      <c r="B2219" s="3" t="inlineStr">
        <is>
          <t>SK디스커버리</t>
        </is>
      </c>
      <c r="C2219" s="2" t="inlineStr">
        <is>
          <t>코스피</t>
        </is>
      </c>
      <c r="D2219" s="2" t="inlineStr">
        <is>
          <t>006120</t>
        </is>
      </c>
      <c r="E2219" s="3" t="inlineStr">
        <is>
          <t xml:space="preserve">투자판단관련주요경영사항(자회사의 주요경영사항)              </t>
        </is>
      </c>
      <c r="F2219" s="3" t="inlineStr">
        <is>
          <t>SK디스커버리</t>
        </is>
      </c>
      <c r="G2219" s="2" t="inlineStr">
        <is>
          <t>20260304801387</t>
        </is>
      </c>
      <c r="H2219" s="8">
        <f>HYPERLINK("https://dart.fss.or.kr/dsaf001/main.do?rcpNo=20260304801387", "공시열람")</f>
        <v/>
      </c>
    </row>
    <row r="2220">
      <c r="A2220" s="2" t="inlineStr">
        <is>
          <t>2026-03-04</t>
        </is>
      </c>
      <c r="B2220" s="3" t="inlineStr">
        <is>
          <t>케이티</t>
        </is>
      </c>
      <c r="C2220" s="2" t="inlineStr">
        <is>
          <t>코스피</t>
        </is>
      </c>
      <c r="D2220" s="2" t="inlineStr">
        <is>
          <t>030200</t>
        </is>
      </c>
      <c r="E2220" s="3" t="inlineStr">
        <is>
          <t>증권발행실적보고서</t>
        </is>
      </c>
      <c r="F2220" s="3" t="inlineStr">
        <is>
          <t>케이티</t>
        </is>
      </c>
      <c r="G2220" s="2" t="inlineStr">
        <is>
          <t>20260304001479</t>
        </is>
      </c>
      <c r="H2220" s="8">
        <f>HYPERLINK("https://dart.fss.or.kr/dsaf001/main.do?rcpNo=20260304001479", "공시열람")</f>
        <v/>
      </c>
    </row>
    <row r="2221">
      <c r="A2221" s="2" t="inlineStr">
        <is>
          <t>2026-03-04 (정정: 2026-03-06)</t>
        </is>
      </c>
      <c r="B2221" s="3" t="inlineStr">
        <is>
          <t>한국항공우주</t>
        </is>
      </c>
      <c r="C2221" s="2" t="inlineStr">
        <is>
          <t>코스피</t>
        </is>
      </c>
      <c r="D2221" s="2" t="inlineStr">
        <is>
          <t>047810</t>
        </is>
      </c>
      <c r="E2221" s="3" t="inlineStr">
        <is>
          <t>유상증자또는주식관련사채등의발행결과(자율공시)               (정정: 20260306)</t>
        </is>
      </c>
      <c r="F2221" s="3" t="inlineStr">
        <is>
          <t>한국항공우주</t>
        </is>
      </c>
      <c r="G2221" s="2" t="inlineStr">
        <is>
          <t>20260306000548</t>
        </is>
      </c>
      <c r="H2221" s="8">
        <f>HYPERLINK("https://dart.fss.or.kr/dsaf001/main.do?rcpNo=20260306000548", "공시열람")</f>
        <v/>
      </c>
    </row>
    <row r="2222">
      <c r="A2222" s="2" t="inlineStr">
        <is>
          <t>2026-03-04</t>
        </is>
      </c>
      <c r="B2222" s="3" t="inlineStr">
        <is>
          <t>리더스코스메틱</t>
        </is>
      </c>
      <c r="C2222" s="2" t="inlineStr">
        <is>
          <t>코스닥</t>
        </is>
      </c>
      <c r="D2222" s="2" t="inlineStr">
        <is>
          <t>016100</t>
        </is>
      </c>
      <c r="E2222" s="3" t="inlineStr">
        <is>
          <t>주요사항보고서(자기주식처분결정)</t>
        </is>
      </c>
      <c r="F2222" s="3" t="inlineStr">
        <is>
          <t>리더스코스메틱</t>
        </is>
      </c>
      <c r="G2222" s="2" t="inlineStr">
        <is>
          <t>20260304001350</t>
        </is>
      </c>
      <c r="H2222" s="8">
        <f>HYPERLINK("https://dart.fss.or.kr/dsaf001/main.do?rcpNo=20260304001350", "공시열람")</f>
        <v/>
      </c>
    </row>
    <row r="2223">
      <c r="A2223" s="2" t="inlineStr">
        <is>
          <t>2026-03-04</t>
        </is>
      </c>
      <c r="B2223" s="3" t="inlineStr">
        <is>
          <t>채비</t>
        </is>
      </c>
      <c r="C2223" s="2" t="inlineStr">
        <is>
          <t>코스닥</t>
        </is>
      </c>
      <c r="D2223" s="2" t="inlineStr">
        <is>
          <t>0011T0</t>
        </is>
      </c>
      <c r="E2223" s="3" t="inlineStr">
        <is>
          <t>증권신고서(지분증권)</t>
        </is>
      </c>
      <c r="F2223" s="3" t="inlineStr">
        <is>
          <t>채비</t>
        </is>
      </c>
      <c r="G2223" s="2" t="inlineStr">
        <is>
          <t>20260304001474</t>
        </is>
      </c>
      <c r="H2223" s="8">
        <f>HYPERLINK("https://dart.fss.or.kr/dsaf001/main.do?rcpNo=20260304001474", "공시열람")</f>
        <v/>
      </c>
    </row>
    <row r="2224">
      <c r="A2224" s="2" t="inlineStr">
        <is>
          <t>2026-03-04</t>
        </is>
      </c>
      <c r="B2224" s="3" t="inlineStr">
        <is>
          <t>현대모비스</t>
        </is>
      </c>
      <c r="C2224" s="2" t="inlineStr">
        <is>
          <t>코스피</t>
        </is>
      </c>
      <c r="D2224" s="2" t="inlineStr">
        <is>
          <t>012330</t>
        </is>
      </c>
      <c r="E2224" s="3" t="inlineStr">
        <is>
          <t xml:space="preserve">기업설명회(IR)개최(안내공시)              </t>
        </is>
      </c>
      <c r="F2224" s="3" t="inlineStr">
        <is>
          <t>현대모비스</t>
        </is>
      </c>
      <c r="G2224" s="2" t="inlineStr">
        <is>
          <t>20260304801406</t>
        </is>
      </c>
      <c r="H2224" s="8">
        <f>HYPERLINK("https://dart.fss.or.kr/dsaf001/main.do?rcpNo=20260304801406", "공시열람")</f>
        <v/>
      </c>
    </row>
    <row r="2225">
      <c r="A2225" s="2" t="inlineStr">
        <is>
          <t>2026-03-04</t>
        </is>
      </c>
      <c r="B2225" s="3" t="inlineStr">
        <is>
          <t>미래에셋증권</t>
        </is>
      </c>
      <c r="C2225" s="2" t="inlineStr">
        <is>
          <t>코스피</t>
        </is>
      </c>
      <c r="D2225" s="2" t="inlineStr">
        <is>
          <t>006800</t>
        </is>
      </c>
      <c r="E2225" s="3" t="inlineStr">
        <is>
          <t>의결권대리행사권유참고서류</t>
        </is>
      </c>
      <c r="F2225" s="3" t="inlineStr">
        <is>
          <t>미래에셋증권</t>
        </is>
      </c>
      <c r="G2225" s="2" t="inlineStr">
        <is>
          <t>20260304001469</t>
        </is>
      </c>
      <c r="H2225" s="8">
        <f>HYPERLINK("https://dart.fss.or.kr/dsaf001/main.do?rcpNo=20260304001469", "공시열람")</f>
        <v/>
      </c>
    </row>
    <row r="2226">
      <c r="A2226" s="2" t="inlineStr">
        <is>
          <t>2026-03-04 (정정: 2026-06-15)</t>
        </is>
      </c>
      <c r="B2226" s="3" t="inlineStr">
        <is>
          <t>현대사료</t>
        </is>
      </c>
      <c r="C2226" s="2" t="inlineStr">
        <is>
          <t>코스닥</t>
        </is>
      </c>
      <c r="D2226" s="2" t="inlineStr">
        <is>
          <t>016790</t>
        </is>
      </c>
      <c r="E2226" s="3" t="inlineStr">
        <is>
          <t>의결권대리행사권유참고서류 (정정: 20260312) (정정: 20260615)</t>
        </is>
      </c>
      <c r="F2226" s="3" t="inlineStr">
        <is>
          <t>현대사료</t>
        </is>
      </c>
      <c r="G2226" s="2" t="inlineStr">
        <is>
          <t>20260615000327</t>
        </is>
      </c>
      <c r="H2226" s="8">
        <f>HYPERLINK("https://dart.fss.or.kr/dsaf001/main.do?rcpNo=20260615000327", "공시열람")</f>
        <v/>
      </c>
    </row>
    <row r="2227">
      <c r="A2227" s="2" t="inlineStr">
        <is>
          <t>2026-03-04</t>
        </is>
      </c>
      <c r="B2227" s="3" t="inlineStr">
        <is>
          <t>NH투자증권</t>
        </is>
      </c>
      <c r="C2227" s="2" t="inlineStr">
        <is>
          <t>코스피</t>
        </is>
      </c>
      <c r="D2227" s="2" t="inlineStr">
        <is>
          <t>005940</t>
        </is>
      </c>
      <c r="E2227" s="3" t="inlineStr">
        <is>
          <t xml:space="preserve">기업지배구조보고서공시(연차보고서)              </t>
        </is>
      </c>
      <c r="F2227" s="3" t="inlineStr">
        <is>
          <t>NH투자증권</t>
        </is>
      </c>
      <c r="G2227" s="2" t="inlineStr">
        <is>
          <t>20260304801397</t>
        </is>
      </c>
      <c r="H2227" s="8">
        <f>HYPERLINK("https://dart.fss.or.kr/dsaf001/main.do?rcpNo=20260304801397", "공시열람")</f>
        <v/>
      </c>
    </row>
    <row r="2228">
      <c r="A2228" s="2" t="inlineStr">
        <is>
          <t>2026-03-04</t>
        </is>
      </c>
      <c r="B2228" s="3" t="inlineStr">
        <is>
          <t>SK스퀘어</t>
        </is>
      </c>
      <c r="C2228" s="2" t="inlineStr">
        <is>
          <t>코스피</t>
        </is>
      </c>
      <c r="D2228" s="2" t="inlineStr">
        <is>
          <t>402340</t>
        </is>
      </c>
      <c r="E2228" s="3" t="inlineStr">
        <is>
          <t xml:space="preserve">감사보고서제출(자회사의 주요경영사항)              </t>
        </is>
      </c>
      <c r="F2228" s="3" t="inlineStr">
        <is>
          <t>SK스퀘어</t>
        </is>
      </c>
      <c r="G2228" s="2" t="inlineStr">
        <is>
          <t>20260304801360</t>
        </is>
      </c>
      <c r="H2228" s="8">
        <f>HYPERLINK("https://dart.fss.or.kr/dsaf001/main.do?rcpNo=20260304801360", "공시열람")</f>
        <v/>
      </c>
    </row>
    <row r="2229">
      <c r="A2229" s="2" t="inlineStr">
        <is>
          <t>2026-03-04 (정정: 2026-03-10)</t>
        </is>
      </c>
      <c r="B2229" s="3" t="inlineStr">
        <is>
          <t>신한지주</t>
        </is>
      </c>
      <c r="C2229" s="2" t="inlineStr">
        <is>
          <t>코스피</t>
        </is>
      </c>
      <c r="D2229" s="2" t="inlineStr">
        <is>
          <t>055550</t>
        </is>
      </c>
      <c r="E2229" s="3" t="inlineStr">
        <is>
          <t>증권신고서(채무증권) (정정: 20260304) (정정: 20260310)</t>
        </is>
      </c>
      <c r="F2229" s="3" t="inlineStr">
        <is>
          <t>신한지주</t>
        </is>
      </c>
      <c r="G2229" s="2" t="inlineStr">
        <is>
          <t>20260310002885</t>
        </is>
      </c>
      <c r="H2229" s="8">
        <f>HYPERLINK("https://dart.fss.or.kr/dsaf001/main.do?rcpNo=20260310002885", "공시열람")</f>
        <v/>
      </c>
    </row>
    <row r="2230">
      <c r="A2230" s="2" t="inlineStr">
        <is>
          <t>2026-03-04</t>
        </is>
      </c>
      <c r="B2230" s="3" t="inlineStr">
        <is>
          <t>미래에셋생명</t>
        </is>
      </c>
      <c r="C2230" s="2" t="inlineStr">
        <is>
          <t>코스피</t>
        </is>
      </c>
      <c r="D2230" s="2" t="inlineStr">
        <is>
          <t>085620</t>
        </is>
      </c>
      <c r="E2230" s="3" t="inlineStr">
        <is>
          <t xml:space="preserve">기업지배구조보고서공시(연차보고서)              </t>
        </is>
      </c>
      <c r="F2230" s="3" t="inlineStr">
        <is>
          <t>미래에셋생명</t>
        </is>
      </c>
      <c r="G2230" s="2" t="inlineStr">
        <is>
          <t>20260304801381</t>
        </is>
      </c>
      <c r="H2230" s="8">
        <f>HYPERLINK("https://dart.fss.or.kr/dsaf001/main.do?rcpNo=20260304801381", "공시열람")</f>
        <v/>
      </c>
    </row>
    <row r="2231">
      <c r="A2231" s="2" t="inlineStr">
        <is>
          <t>2026-03-04</t>
        </is>
      </c>
      <c r="B2231" s="3" t="inlineStr">
        <is>
          <t>젝시믹스</t>
        </is>
      </c>
      <c r="C2231" s="2" t="inlineStr">
        <is>
          <t>코스닥</t>
        </is>
      </c>
      <c r="D2231" s="2" t="inlineStr">
        <is>
          <t>337930</t>
        </is>
      </c>
      <c r="E2231" s="3" t="inlineStr">
        <is>
          <t xml:space="preserve">배당락              </t>
        </is>
      </c>
      <c r="F2231" s="3" t="inlineStr">
        <is>
          <t>코스닥시장본부</t>
        </is>
      </c>
      <c r="G2231" s="2" t="inlineStr">
        <is>
          <t>20260304901371</t>
        </is>
      </c>
      <c r="H2231" s="8">
        <f>HYPERLINK("https://dart.fss.or.kr/dsaf001/main.do?rcpNo=20260304901371", "공시열람")</f>
        <v/>
      </c>
    </row>
    <row r="2232">
      <c r="A2232" s="2" t="inlineStr">
        <is>
          <t>2026-03-04</t>
        </is>
      </c>
      <c r="B2232" s="3" t="inlineStr">
        <is>
          <t>디아이티</t>
        </is>
      </c>
      <c r="C2232" s="2" t="inlineStr">
        <is>
          <t>코스닥</t>
        </is>
      </c>
      <c r="D2232" s="2" t="inlineStr">
        <is>
          <t>110990</t>
        </is>
      </c>
      <c r="E2232" s="3" t="inlineStr">
        <is>
          <t>임원ㆍ주요주주특정증권등소유상황보고서</t>
        </is>
      </c>
      <c r="F2232" s="3" t="inlineStr">
        <is>
          <t>양현모</t>
        </is>
      </c>
      <c r="G2232" s="2" t="inlineStr">
        <is>
          <t>20260304001444</t>
        </is>
      </c>
      <c r="H2232" s="8">
        <f>HYPERLINK("https://dart.fss.or.kr/dsaf001/main.do?rcpNo=20260304001444", "공시열람")</f>
        <v/>
      </c>
    </row>
    <row r="2233">
      <c r="A2233" s="2" t="inlineStr">
        <is>
          <t>2026-03-04</t>
        </is>
      </c>
      <c r="B2233" s="3" t="inlineStr">
        <is>
          <t>LG디스플레이</t>
        </is>
      </c>
      <c r="C2233" s="2" t="inlineStr">
        <is>
          <t>코스피</t>
        </is>
      </c>
      <c r="D2233" s="2" t="inlineStr">
        <is>
          <t>034220</t>
        </is>
      </c>
      <c r="E2233" s="3" t="inlineStr">
        <is>
          <t>임원ㆍ주요주주특정증권등소유상황보고서</t>
        </is>
      </c>
      <c r="F2233" s="3" t="inlineStr">
        <is>
          <t>이경형</t>
        </is>
      </c>
      <c r="G2233" s="2" t="inlineStr">
        <is>
          <t>20260304001443</t>
        </is>
      </c>
      <c r="H2233" s="8">
        <f>HYPERLINK("https://dart.fss.or.kr/dsaf001/main.do?rcpNo=20260304001443", "공시열람")</f>
        <v/>
      </c>
    </row>
    <row r="2234">
      <c r="A2234" s="2" t="inlineStr">
        <is>
          <t>2026-03-04</t>
        </is>
      </c>
      <c r="B2234" s="3" t="inlineStr">
        <is>
          <t>대신증권</t>
        </is>
      </c>
      <c r="C2234" s="2" t="inlineStr">
        <is>
          <t>코스피</t>
        </is>
      </c>
      <c r="D2234" s="2" t="inlineStr">
        <is>
          <t>003540</t>
        </is>
      </c>
      <c r="E2234" s="3" t="inlineStr">
        <is>
          <t>투자설명서(일괄신고)</t>
        </is>
      </c>
      <c r="F2234" s="3" t="inlineStr">
        <is>
          <t>대신증권</t>
        </is>
      </c>
      <c r="G2234" s="2" t="inlineStr">
        <is>
          <t>20260304001437</t>
        </is>
      </c>
      <c r="H2234" s="8">
        <f>HYPERLINK("https://dart.fss.or.kr/dsaf001/main.do?rcpNo=20260304001437", "공시열람")</f>
        <v/>
      </c>
    </row>
    <row r="2235">
      <c r="A2235" s="2" t="inlineStr">
        <is>
          <t>2026-03-04</t>
        </is>
      </c>
      <c r="B2235" s="3" t="inlineStr">
        <is>
          <t>TCC스틸</t>
        </is>
      </c>
      <c r="C2235" s="2" t="inlineStr">
        <is>
          <t>코스피</t>
        </is>
      </c>
      <c r="D2235" s="2" t="inlineStr">
        <is>
          <t>002710</t>
        </is>
      </c>
      <c r="E2235" s="3" t="inlineStr">
        <is>
          <t>의결권대리행사권유참고서류</t>
        </is>
      </c>
      <c r="F2235" s="3" t="inlineStr">
        <is>
          <t>TCC스틸</t>
        </is>
      </c>
      <c r="G2235" s="2" t="inlineStr">
        <is>
          <t>20260304001436</t>
        </is>
      </c>
      <c r="H2235" s="8">
        <f>HYPERLINK("https://dart.fss.or.kr/dsaf001/main.do?rcpNo=20260304001436", "공시열람")</f>
        <v/>
      </c>
    </row>
    <row r="2236">
      <c r="A2236" s="2" t="inlineStr">
        <is>
          <t>2026-03-04</t>
        </is>
      </c>
      <c r="B2236" s="3" t="inlineStr">
        <is>
          <t>HLB테라퓨틱스</t>
        </is>
      </c>
      <c r="C2236" s="2" t="inlineStr">
        <is>
          <t>코스닥</t>
        </is>
      </c>
      <c r="D2236" s="2" t="inlineStr">
        <is>
          <t>115450</t>
        </is>
      </c>
      <c r="E2236" s="3" t="inlineStr">
        <is>
          <t xml:space="preserve">전환가액의조정              </t>
        </is>
      </c>
      <c r="F2236" s="3" t="inlineStr">
        <is>
          <t>HLB테라퓨틱스</t>
        </is>
      </c>
      <c r="G2236" s="2" t="inlineStr">
        <is>
          <t>20260304901361</t>
        </is>
      </c>
      <c r="H2236" s="8">
        <f>HYPERLINK("https://dart.fss.or.kr/dsaf001/main.do?rcpNo=20260304901361", "공시열람")</f>
        <v/>
      </c>
    </row>
    <row r="2237">
      <c r="A2237" s="2" t="inlineStr">
        <is>
          <t>2026-03-04</t>
        </is>
      </c>
      <c r="B2237" s="3" t="inlineStr">
        <is>
          <t>SK하이닉스</t>
        </is>
      </c>
      <c r="C2237" s="2" t="inlineStr">
        <is>
          <t>코스피</t>
        </is>
      </c>
      <c r="D2237" s="2" t="inlineStr">
        <is>
          <t>000660</t>
        </is>
      </c>
      <c r="E2237" s="3" t="inlineStr">
        <is>
          <t xml:space="preserve">감사보고서제출              </t>
        </is>
      </c>
      <c r="F2237" s="3" t="inlineStr">
        <is>
          <t>SK하이닉스</t>
        </is>
      </c>
      <c r="G2237" s="2" t="inlineStr">
        <is>
          <t>20260304801318</t>
        </is>
      </c>
      <c r="H2237" s="8">
        <f>HYPERLINK("https://dart.fss.or.kr/dsaf001/main.do?rcpNo=20260304801318", "공시열람")</f>
        <v/>
      </c>
    </row>
    <row r="2238">
      <c r="A2238" s="2" t="inlineStr">
        <is>
          <t>2026-03-04</t>
        </is>
      </c>
      <c r="B2238" s="3" t="inlineStr">
        <is>
          <t>키움증권</t>
        </is>
      </c>
      <c r="C2238" s="2" t="inlineStr">
        <is>
          <t>코스피</t>
        </is>
      </c>
      <c r="D2238" s="2" t="inlineStr">
        <is>
          <t>039490</t>
        </is>
      </c>
      <c r="E2238" s="3" t="inlineStr">
        <is>
          <t>투자설명서(일괄신고)</t>
        </is>
      </c>
      <c r="F2238" s="3" t="inlineStr">
        <is>
          <t>키움증권</t>
        </is>
      </c>
      <c r="G2238" s="2" t="inlineStr">
        <is>
          <t>20260304001425</t>
        </is>
      </c>
      <c r="H2238" s="8">
        <f>HYPERLINK("https://dart.fss.or.kr/dsaf001/main.do?rcpNo=20260304001425", "공시열람")</f>
        <v/>
      </c>
    </row>
    <row r="2239">
      <c r="A2239" s="2" t="inlineStr">
        <is>
          <t>2026-03-04 (정정: 2026-03-04)</t>
        </is>
      </c>
      <c r="B2239" s="3" t="inlineStr">
        <is>
          <t>셀바이오휴먼텍</t>
        </is>
      </c>
      <c r="C2239" s="2" t="inlineStr">
        <is>
          <t>코스닥</t>
        </is>
      </c>
      <c r="D2239" s="2" t="inlineStr">
        <is>
          <t>318160</t>
        </is>
      </c>
      <c r="E2239" s="3" t="inlineStr">
        <is>
          <t>기타주요경영사항              (유형자산 양수결정 철회) (정정: 20260304)</t>
        </is>
      </c>
      <c r="F2239" s="3" t="inlineStr">
        <is>
          <t>셀바이오휴먼텍</t>
        </is>
      </c>
      <c r="G2239" s="2" t="inlineStr">
        <is>
          <t>20260304001248</t>
        </is>
      </c>
      <c r="H2239" s="8">
        <f>HYPERLINK("https://dart.fss.or.kr/dsaf001/main.do?rcpNo=20260304001248", "공시열람")</f>
        <v/>
      </c>
    </row>
    <row r="2240">
      <c r="A2240" s="2" t="inlineStr">
        <is>
          <t>2026-03-04</t>
        </is>
      </c>
      <c r="B2240" s="3" t="inlineStr">
        <is>
          <t>삼현</t>
        </is>
      </c>
      <c r="C2240" s="2" t="inlineStr">
        <is>
          <t>코스닥</t>
        </is>
      </c>
      <c r="D2240" s="2" t="inlineStr">
        <is>
          <t>437730</t>
        </is>
      </c>
      <c r="E2240" s="3" t="inlineStr">
        <is>
          <t>임원ㆍ주요주주특정증권등소유상황보고서</t>
        </is>
      </c>
      <c r="F2240" s="3" t="inlineStr">
        <is>
          <t>이일남</t>
        </is>
      </c>
      <c r="G2240" s="2" t="inlineStr">
        <is>
          <t>20260304001424</t>
        </is>
      </c>
      <c r="H2240" s="8">
        <f>HYPERLINK("https://dart.fss.or.kr/dsaf001/main.do?rcpNo=20260304001424", "공시열람")</f>
        <v/>
      </c>
    </row>
    <row r="2241">
      <c r="A2241" s="2" t="inlineStr">
        <is>
          <t>2026-03-04</t>
        </is>
      </c>
      <c r="B2241" s="3" t="inlineStr">
        <is>
          <t>효성</t>
        </is>
      </c>
      <c r="C2241" s="2" t="inlineStr">
        <is>
          <t>코스피</t>
        </is>
      </c>
      <c r="D2241" s="2" t="inlineStr">
        <is>
          <t>004800</t>
        </is>
      </c>
      <c r="E2241" s="3" t="inlineStr">
        <is>
          <t xml:space="preserve">현금ㆍ현물배당결정(자회사의 주요경영사항)              </t>
        </is>
      </c>
      <c r="F2241" s="3" t="inlineStr">
        <is>
          <t>효성</t>
        </is>
      </c>
      <c r="G2241" s="2" t="inlineStr">
        <is>
          <t>20260304801347</t>
        </is>
      </c>
      <c r="H2241" s="8">
        <f>HYPERLINK("https://dart.fss.or.kr/dsaf001/main.do?rcpNo=20260304801347", "공시열람")</f>
        <v/>
      </c>
    </row>
    <row r="2242">
      <c r="A2242" s="2" t="inlineStr">
        <is>
          <t>2026-03-04</t>
        </is>
      </c>
      <c r="B2242" s="3" t="inlineStr">
        <is>
          <t>교보15호스팩</t>
        </is>
      </c>
      <c r="C2242" s="2" t="inlineStr">
        <is>
          <t>코스닥</t>
        </is>
      </c>
      <c r="D2242" s="2" t="inlineStr">
        <is>
          <t>465320</t>
        </is>
      </c>
      <c r="E2242" s="3" t="inlineStr">
        <is>
          <t>의결권대리행사권유참고서류</t>
        </is>
      </c>
      <c r="F2242" s="3" t="inlineStr">
        <is>
          <t>교보15호스팩</t>
        </is>
      </c>
      <c r="G2242" s="2" t="inlineStr">
        <is>
          <t>20260304001416</t>
        </is>
      </c>
      <c r="H2242" s="8">
        <f>HYPERLINK("https://dart.fss.or.kr/dsaf001/main.do?rcpNo=20260304001416", "공시열람")</f>
        <v/>
      </c>
    </row>
    <row r="2243">
      <c r="A2243" s="2" t="inlineStr">
        <is>
          <t>2026-03-04</t>
        </is>
      </c>
      <c r="B2243" s="3" t="inlineStr">
        <is>
          <t>한신공영</t>
        </is>
      </c>
      <c r="C2243" s="2" t="inlineStr">
        <is>
          <t>코스피</t>
        </is>
      </c>
      <c r="D2243" s="2" t="inlineStr">
        <is>
          <t>004960</t>
        </is>
      </c>
      <c r="E2243" s="3" t="inlineStr">
        <is>
          <t xml:space="preserve">현금ㆍ현물배당결정              </t>
        </is>
      </c>
      <c r="F2243" s="3" t="inlineStr">
        <is>
          <t>한신공영</t>
        </is>
      </c>
      <c r="G2243" s="2" t="inlineStr">
        <is>
          <t>20260304801333</t>
        </is>
      </c>
      <c r="H2243" s="8">
        <f>HYPERLINK("https://dart.fss.or.kr/dsaf001/main.do?rcpNo=20260304801333", "공시열람")</f>
        <v/>
      </c>
    </row>
    <row r="2244">
      <c r="A2244" s="2" t="inlineStr">
        <is>
          <t>2026-03-04</t>
        </is>
      </c>
      <c r="B2244" s="3" t="inlineStr">
        <is>
          <t>카카오뱅크</t>
        </is>
      </c>
      <c r="C2244" s="2" t="inlineStr">
        <is>
          <t>코스피</t>
        </is>
      </c>
      <c r="D2244" s="2" t="inlineStr">
        <is>
          <t>323410</t>
        </is>
      </c>
      <c r="E2244" s="3" t="inlineStr">
        <is>
          <t xml:space="preserve">감사보고서제출              </t>
        </is>
      </c>
      <c r="F2244" s="3" t="inlineStr">
        <is>
          <t>카카오뱅크</t>
        </is>
      </c>
      <c r="G2244" s="2" t="inlineStr">
        <is>
          <t>20260304801314</t>
        </is>
      </c>
      <c r="H2244" s="8">
        <f>HYPERLINK("https://dart.fss.or.kr/dsaf001/main.do?rcpNo=20260304801314", "공시열람")</f>
        <v/>
      </c>
    </row>
    <row r="2245">
      <c r="A2245" s="2" t="inlineStr">
        <is>
          <t>2026-03-04</t>
        </is>
      </c>
      <c r="B2245" s="3" t="inlineStr">
        <is>
          <t>KZ정밀</t>
        </is>
      </c>
      <c r="C2245" s="2" t="inlineStr">
        <is>
          <t>코스닥</t>
        </is>
      </c>
      <c r="D2245" s="2" t="inlineStr">
        <is>
          <t>036560</t>
        </is>
      </c>
      <c r="E2245" s="3" t="inlineStr">
        <is>
          <t>의결권대리행사권유참고서류</t>
        </is>
      </c>
      <c r="F2245" s="3" t="inlineStr">
        <is>
          <t>KZ정밀</t>
        </is>
      </c>
      <c r="G2245" s="2" t="inlineStr">
        <is>
          <t>20260304001410</t>
        </is>
      </c>
      <c r="H2245" s="8">
        <f>HYPERLINK("https://dart.fss.or.kr/dsaf001/main.do?rcpNo=20260304001410", "공시열람")</f>
        <v/>
      </c>
    </row>
    <row r="2246">
      <c r="A2246" s="2" t="inlineStr">
        <is>
          <t>2026-03-04</t>
        </is>
      </c>
      <c r="B2246" s="3" t="inlineStr">
        <is>
          <t>세종텔레콤</t>
        </is>
      </c>
      <c r="C2246" s="2" t="inlineStr">
        <is>
          <t>코스닥</t>
        </is>
      </c>
      <c r="D2246" s="2" t="inlineStr">
        <is>
          <t>036630</t>
        </is>
      </c>
      <c r="E2246" s="3" t="inlineStr">
        <is>
          <t>주요사항보고서(자기주식처분결정)</t>
        </is>
      </c>
      <c r="F2246" s="3" t="inlineStr">
        <is>
          <t>세종텔레콤</t>
        </is>
      </c>
      <c r="G2246" s="2" t="inlineStr">
        <is>
          <t>20260304001313</t>
        </is>
      </c>
      <c r="H2246" s="8">
        <f>HYPERLINK("https://dart.fss.or.kr/dsaf001/main.do?rcpNo=20260304001313", "공시열람")</f>
        <v/>
      </c>
    </row>
    <row r="2247">
      <c r="A2247" s="2" t="inlineStr">
        <is>
          <t>2026-03-04</t>
        </is>
      </c>
      <c r="B2247" s="3" t="inlineStr">
        <is>
          <t>인트론바이오</t>
        </is>
      </c>
      <c r="C2247" s="2" t="inlineStr">
        <is>
          <t>코스닥</t>
        </is>
      </c>
      <c r="D2247" s="2" t="inlineStr">
        <is>
          <t>048530</t>
        </is>
      </c>
      <c r="E2247" s="3" t="inlineStr">
        <is>
          <t>의결권대리행사권유참고서류</t>
        </is>
      </c>
      <c r="F2247" s="3" t="inlineStr">
        <is>
          <t>인트론바이오</t>
        </is>
      </c>
      <c r="G2247" s="2" t="inlineStr">
        <is>
          <t>20260304001397</t>
        </is>
      </c>
      <c r="H2247" s="8">
        <f>HYPERLINK("https://dart.fss.or.kr/dsaf001/main.do?rcpNo=20260304001397", "공시열람")</f>
        <v/>
      </c>
    </row>
    <row r="2248">
      <c r="A2248" s="2" t="inlineStr">
        <is>
          <t>2026-03-04</t>
        </is>
      </c>
      <c r="B2248" s="3" t="inlineStr">
        <is>
          <t>에이스토리</t>
        </is>
      </c>
      <c r="C2248" s="2" t="inlineStr">
        <is>
          <t>코스닥</t>
        </is>
      </c>
      <c r="D2248" s="2" t="inlineStr">
        <is>
          <t>241840</t>
        </is>
      </c>
      <c r="E2248" s="3" t="inlineStr">
        <is>
          <t>의결권대리행사권유참고서류</t>
        </is>
      </c>
      <c r="F2248" s="3" t="inlineStr">
        <is>
          <t>에이스토리</t>
        </is>
      </c>
      <c r="G2248" s="2" t="inlineStr">
        <is>
          <t>20260304001395</t>
        </is>
      </c>
      <c r="H2248" s="8">
        <f>HYPERLINK("https://dart.fss.or.kr/dsaf001/main.do?rcpNo=20260304001395", "공시열람")</f>
        <v/>
      </c>
    </row>
    <row r="2249">
      <c r="A2249" s="2" t="inlineStr">
        <is>
          <t>2026-03-04</t>
        </is>
      </c>
      <c r="B2249" s="3" t="inlineStr">
        <is>
          <t>현대차증권</t>
        </is>
      </c>
      <c r="C2249" s="2" t="inlineStr">
        <is>
          <t>코스피</t>
        </is>
      </c>
      <c r="D2249" s="2" t="inlineStr">
        <is>
          <t>001500</t>
        </is>
      </c>
      <c r="E2249" s="3" t="inlineStr">
        <is>
          <t>투자설명서(일괄신고)</t>
        </is>
      </c>
      <c r="F2249" s="3" t="inlineStr">
        <is>
          <t>현대차증권</t>
        </is>
      </c>
      <c r="G2249" s="2" t="inlineStr">
        <is>
          <t>20260304001391</t>
        </is>
      </c>
      <c r="H2249" s="8">
        <f>HYPERLINK("https://dart.fss.or.kr/dsaf001/main.do?rcpNo=20260304001391", "공시열람")</f>
        <v/>
      </c>
    </row>
    <row r="2250">
      <c r="A2250" s="2" t="inlineStr">
        <is>
          <t>2026-03-04</t>
        </is>
      </c>
      <c r="B2250" s="3" t="inlineStr">
        <is>
          <t>SK리츠</t>
        </is>
      </c>
      <c r="C2250" s="2" t="inlineStr">
        <is>
          <t>코스피</t>
        </is>
      </c>
      <c r="D2250" s="2" t="inlineStr">
        <is>
          <t>395400</t>
        </is>
      </c>
      <c r="E2250" s="3" t="inlineStr">
        <is>
          <t>의결권대리행사권유참고서류</t>
        </is>
      </c>
      <c r="F2250" s="3" t="inlineStr">
        <is>
          <t>SK리츠</t>
        </is>
      </c>
      <c r="G2250" s="2" t="inlineStr">
        <is>
          <t>20260304001385</t>
        </is>
      </c>
      <c r="H2250" s="8">
        <f>HYPERLINK("https://dart.fss.or.kr/dsaf001/main.do?rcpNo=20260304001385", "공시열람")</f>
        <v/>
      </c>
    </row>
    <row r="2251">
      <c r="A2251" s="2" t="inlineStr">
        <is>
          <t>2026-03-04</t>
        </is>
      </c>
      <c r="B2251" s="3" t="inlineStr">
        <is>
          <t>원풍</t>
        </is>
      </c>
      <c r="C2251" s="2" t="inlineStr">
        <is>
          <t>코스닥</t>
        </is>
      </c>
      <c r="D2251" s="2" t="inlineStr">
        <is>
          <t>008370</t>
        </is>
      </c>
      <c r="E2251" s="3" t="inlineStr">
        <is>
          <t>의결권대리행사권유참고서류</t>
        </is>
      </c>
      <c r="F2251" s="3" t="inlineStr">
        <is>
          <t>원풍</t>
        </is>
      </c>
      <c r="G2251" s="2" t="inlineStr">
        <is>
          <t>20260304001373</t>
        </is>
      </c>
      <c r="H2251" s="8">
        <f>HYPERLINK("https://dart.fss.or.kr/dsaf001/main.do?rcpNo=20260304001373", "공시열람")</f>
        <v/>
      </c>
    </row>
    <row r="2252">
      <c r="A2252" s="2" t="inlineStr">
        <is>
          <t>2026-03-04</t>
        </is>
      </c>
      <c r="B2252" s="3" t="inlineStr">
        <is>
          <t>국제약품</t>
        </is>
      </c>
      <c r="C2252" s="2" t="inlineStr">
        <is>
          <t>코스피</t>
        </is>
      </c>
      <c r="D2252" s="2" t="inlineStr">
        <is>
          <t>002720</t>
        </is>
      </c>
      <c r="E2252" s="3" t="inlineStr">
        <is>
          <t>의결권대리행사권유참고서류</t>
        </is>
      </c>
      <c r="F2252" s="3" t="inlineStr">
        <is>
          <t>국제약품</t>
        </is>
      </c>
      <c r="G2252" s="2" t="inlineStr">
        <is>
          <t>20260304001368</t>
        </is>
      </c>
      <c r="H2252" s="8">
        <f>HYPERLINK("https://dart.fss.or.kr/dsaf001/main.do?rcpNo=20260304001368", "공시열람")</f>
        <v/>
      </c>
    </row>
    <row r="2253">
      <c r="A2253" s="2" t="inlineStr">
        <is>
          <t>2026-03-04</t>
        </is>
      </c>
      <c r="B2253" s="3" t="inlineStr">
        <is>
          <t>코람코라이프인프라리츠</t>
        </is>
      </c>
      <c r="C2253" s="2" t="inlineStr">
        <is>
          <t>코스피</t>
        </is>
      </c>
      <c r="D2253" s="2" t="inlineStr">
        <is>
          <t>357120</t>
        </is>
      </c>
      <c r="E2253" s="3" t="inlineStr">
        <is>
          <t>임원ㆍ주요주주특정증권등소유상황보고서</t>
        </is>
      </c>
      <c r="F2253" s="3" t="inlineStr">
        <is>
          <t>미래에셋자산운용</t>
        </is>
      </c>
      <c r="G2253" s="2" t="inlineStr">
        <is>
          <t>20260304001365</t>
        </is>
      </c>
      <c r="H2253" s="8">
        <f>HYPERLINK("https://dart.fss.or.kr/dsaf001/main.do?rcpNo=20260304001365", "공시열람")</f>
        <v/>
      </c>
    </row>
    <row r="2254">
      <c r="A2254" s="2" t="inlineStr">
        <is>
          <t>2026-03-04</t>
        </is>
      </c>
      <c r="B2254" s="3" t="inlineStr">
        <is>
          <t>이리츠코크렙</t>
        </is>
      </c>
      <c r="C2254" s="2" t="inlineStr">
        <is>
          <t>코스피</t>
        </is>
      </c>
      <c r="D2254" s="2" t="inlineStr">
        <is>
          <t>088260</t>
        </is>
      </c>
      <c r="E2254" s="3" t="inlineStr">
        <is>
          <t>임원ㆍ주요주주특정증권등소유상황보고서</t>
        </is>
      </c>
      <c r="F2254" s="3" t="inlineStr">
        <is>
          <t>미래에셋자산운용</t>
        </is>
      </c>
      <c r="G2254" s="2" t="inlineStr">
        <is>
          <t>20260304001364</t>
        </is>
      </c>
      <c r="H2254" s="8">
        <f>HYPERLINK("https://dart.fss.or.kr/dsaf001/main.do?rcpNo=20260304001364", "공시열람")</f>
        <v/>
      </c>
    </row>
    <row r="2255">
      <c r="A2255" s="2" t="inlineStr">
        <is>
          <t>2026-03-04</t>
        </is>
      </c>
      <c r="B2255" s="3" t="inlineStr">
        <is>
          <t>신한알파리츠</t>
        </is>
      </c>
      <c r="C2255" s="2" t="inlineStr">
        <is>
          <t>코스피</t>
        </is>
      </c>
      <c r="D2255" s="2" t="inlineStr">
        <is>
          <t>293940</t>
        </is>
      </c>
      <c r="E2255" s="3" t="inlineStr">
        <is>
          <t>임원ㆍ주요주주특정증권등소유상황보고서</t>
        </is>
      </c>
      <c r="F2255" s="3" t="inlineStr">
        <is>
          <t>미래에셋자산운용</t>
        </is>
      </c>
      <c r="G2255" s="2" t="inlineStr">
        <is>
          <t>20260304001361</t>
        </is>
      </c>
      <c r="H2255" s="8">
        <f>HYPERLINK("https://dart.fss.or.kr/dsaf001/main.do?rcpNo=20260304001361", "공시열람")</f>
        <v/>
      </c>
    </row>
    <row r="2256">
      <c r="A2256" s="2" t="inlineStr">
        <is>
          <t>2026-03-04</t>
        </is>
      </c>
      <c r="B2256" s="3" t="inlineStr">
        <is>
          <t>미래에셋맵스리츠</t>
        </is>
      </c>
      <c r="C2256" s="2" t="inlineStr">
        <is>
          <t>코스피</t>
        </is>
      </c>
      <c r="D2256" s="2" t="inlineStr">
        <is>
          <t>357250</t>
        </is>
      </c>
      <c r="E2256" s="3" t="inlineStr">
        <is>
          <t>임원ㆍ주요주주특정증권등소유상황보고서</t>
        </is>
      </c>
      <c r="F2256" s="3" t="inlineStr">
        <is>
          <t>미래에셋자산운용</t>
        </is>
      </c>
      <c r="G2256" s="2" t="inlineStr">
        <is>
          <t>20260304001360</t>
        </is>
      </c>
      <c r="H2256" s="8">
        <f>HYPERLINK("https://dart.fss.or.kr/dsaf001/main.do?rcpNo=20260304001360", "공시열람")</f>
        <v/>
      </c>
    </row>
    <row r="2257">
      <c r="A2257" s="2" t="inlineStr">
        <is>
          <t>2026-03-04</t>
        </is>
      </c>
      <c r="B2257" s="3" t="inlineStr">
        <is>
          <t>SK증권</t>
        </is>
      </c>
      <c r="C2257" s="2" t="inlineStr">
        <is>
          <t>코스피</t>
        </is>
      </c>
      <c r="D2257" s="2" t="inlineStr">
        <is>
          <t>001510</t>
        </is>
      </c>
      <c r="E2257" s="3" t="inlineStr">
        <is>
          <t xml:space="preserve">주식병합결정              </t>
        </is>
      </c>
      <c r="F2257" s="3" t="inlineStr">
        <is>
          <t>SK증권</t>
        </is>
      </c>
      <c r="G2257" s="2" t="inlineStr">
        <is>
          <t>20260304801142</t>
        </is>
      </c>
      <c r="H2257" s="8">
        <f>HYPERLINK("https://dart.fss.or.kr/dsaf001/main.do?rcpNo=20260304801142", "공시열람")</f>
        <v/>
      </c>
    </row>
    <row r="2258">
      <c r="A2258" s="2" t="inlineStr">
        <is>
          <t>2026-03-04</t>
        </is>
      </c>
      <c r="B2258" s="3" t="inlineStr">
        <is>
          <t>롯데리츠</t>
        </is>
      </c>
      <c r="C2258" s="2" t="inlineStr">
        <is>
          <t>코스피</t>
        </is>
      </c>
      <c r="D2258" s="2" t="inlineStr">
        <is>
          <t>330590</t>
        </is>
      </c>
      <c r="E2258" s="3" t="inlineStr">
        <is>
          <t>임원ㆍ주요주주특정증권등소유상황보고서</t>
        </is>
      </c>
      <c r="F2258" s="3" t="inlineStr">
        <is>
          <t>미래에셋자산운용</t>
        </is>
      </c>
      <c r="G2258" s="2" t="inlineStr">
        <is>
          <t>20260304001359</t>
        </is>
      </c>
      <c r="H2258" s="8">
        <f>HYPERLINK("https://dart.fss.or.kr/dsaf001/main.do?rcpNo=20260304001359", "공시열람")</f>
        <v/>
      </c>
    </row>
    <row r="2259">
      <c r="A2259" s="2" t="inlineStr">
        <is>
          <t>2026-03-04</t>
        </is>
      </c>
      <c r="B2259" s="3" t="inlineStr">
        <is>
          <t>모베이스</t>
        </is>
      </c>
      <c r="C2259" s="2" t="inlineStr">
        <is>
          <t>코스닥</t>
        </is>
      </c>
      <c r="D2259" s="2" t="inlineStr">
        <is>
          <t>101330</t>
        </is>
      </c>
      <c r="E2259" s="3" t="inlineStr">
        <is>
          <t>신탁계약해지결과보고서</t>
        </is>
      </c>
      <c r="F2259" s="3" t="inlineStr">
        <is>
          <t>모베이스</t>
        </is>
      </c>
      <c r="G2259" s="2" t="inlineStr">
        <is>
          <t>20260304001358</t>
        </is>
      </c>
      <c r="H2259" s="8">
        <f>HYPERLINK("https://dart.fss.or.kr/dsaf001/main.do?rcpNo=20260304001358", "공시열람")</f>
        <v/>
      </c>
    </row>
    <row r="2260">
      <c r="A2260" s="2" t="inlineStr">
        <is>
          <t>2026-03-04</t>
        </is>
      </c>
      <c r="B2260" s="3" t="inlineStr">
        <is>
          <t>ESR켄달스퀘어리츠</t>
        </is>
      </c>
      <c r="C2260" s="2" t="inlineStr">
        <is>
          <t>코스피</t>
        </is>
      </c>
      <c r="D2260" s="2" t="inlineStr">
        <is>
          <t>365550</t>
        </is>
      </c>
      <c r="E2260" s="3" t="inlineStr">
        <is>
          <t>임원ㆍ주요주주특정증권등소유상황보고서</t>
        </is>
      </c>
      <c r="F2260" s="3" t="inlineStr">
        <is>
          <t>미래에셋자산운용</t>
        </is>
      </c>
      <c r="G2260" s="2" t="inlineStr">
        <is>
          <t>20260304001356</t>
        </is>
      </c>
      <c r="H2260" s="8">
        <f>HYPERLINK("https://dart.fss.or.kr/dsaf001/main.do?rcpNo=20260304001356", "공시열람")</f>
        <v/>
      </c>
    </row>
    <row r="2261">
      <c r="A2261" s="2" t="inlineStr">
        <is>
          <t>2026-03-04</t>
        </is>
      </c>
      <c r="B2261" s="3" t="inlineStr">
        <is>
          <t>대덕</t>
        </is>
      </c>
      <c r="C2261" s="2" t="inlineStr">
        <is>
          <t>코스피</t>
        </is>
      </c>
      <c r="D2261" s="2" t="inlineStr">
        <is>
          <t>008060</t>
        </is>
      </c>
      <c r="E2261" s="3" t="inlineStr">
        <is>
          <t xml:space="preserve">현금ㆍ현물배당을위한주주명부폐쇄(기준일)결정(자회사의 주요경영사항)              </t>
        </is>
      </c>
      <c r="F2261" s="3" t="inlineStr">
        <is>
          <t>대덕</t>
        </is>
      </c>
      <c r="G2261" s="2" t="inlineStr">
        <is>
          <t>20260304801241</t>
        </is>
      </c>
      <c r="H2261" s="8">
        <f>HYPERLINK("https://dart.fss.or.kr/dsaf001/main.do?rcpNo=20260304801241", "공시열람")</f>
        <v/>
      </c>
    </row>
    <row r="2262">
      <c r="A2262" s="2" t="inlineStr">
        <is>
          <t>2026-03-04</t>
        </is>
      </c>
      <c r="B2262" s="3" t="inlineStr">
        <is>
          <t>코람코더원리츠</t>
        </is>
      </c>
      <c r="C2262" s="2" t="inlineStr">
        <is>
          <t>코스피</t>
        </is>
      </c>
      <c r="D2262" s="2" t="inlineStr">
        <is>
          <t>417310</t>
        </is>
      </c>
      <c r="E2262" s="3" t="inlineStr">
        <is>
          <t>임원ㆍ주요주주특정증권등소유상황보고서</t>
        </is>
      </c>
      <c r="F2262" s="3" t="inlineStr">
        <is>
          <t>미래에셋자산운용</t>
        </is>
      </c>
      <c r="G2262" s="2" t="inlineStr">
        <is>
          <t>20260304001355</t>
        </is>
      </c>
      <c r="H2262" s="8">
        <f>HYPERLINK("https://dart.fss.or.kr/dsaf001/main.do?rcpNo=20260304001355", "공시열람")</f>
        <v/>
      </c>
    </row>
    <row r="2263">
      <c r="A2263" s="2" t="inlineStr">
        <is>
          <t>2026-03-04 (정정: 2026-03-06)</t>
        </is>
      </c>
      <c r="B2263" s="3" t="inlineStr">
        <is>
          <t>대덕</t>
        </is>
      </c>
      <c r="C2263" s="2" t="inlineStr">
        <is>
          <t>코스피</t>
        </is>
      </c>
      <c r="D2263" s="2" t="inlineStr">
        <is>
          <t>008060</t>
        </is>
      </c>
      <c r="E2263" s="3" t="inlineStr">
        <is>
          <t>현금ㆍ현물배당결정(자회사의 주요경영사항)               (정정: 20260306)</t>
        </is>
      </c>
      <c r="F2263" s="3" t="inlineStr">
        <is>
          <t>대덕</t>
        </is>
      </c>
      <c r="G2263" s="2" t="inlineStr">
        <is>
          <t>20260306801204</t>
        </is>
      </c>
      <c r="H2263" s="8">
        <f>HYPERLINK("https://dart.fss.or.kr/dsaf001/main.do?rcpNo=20260306801204", "공시열람")</f>
        <v/>
      </c>
    </row>
    <row r="2264">
      <c r="A2264" s="2" t="inlineStr">
        <is>
          <t>2026-03-04</t>
        </is>
      </c>
      <c r="B2264" s="3" t="inlineStr">
        <is>
          <t>플리토</t>
        </is>
      </c>
      <c r="C2264" s="2" t="inlineStr">
        <is>
          <t>코스닥</t>
        </is>
      </c>
      <c r="D2264" s="2" t="inlineStr">
        <is>
          <t>300080</t>
        </is>
      </c>
      <c r="E2264" s="3" t="inlineStr">
        <is>
          <t>의결권대리행사권유참고서류</t>
        </is>
      </c>
      <c r="F2264" s="3" t="inlineStr">
        <is>
          <t>플리토</t>
        </is>
      </c>
      <c r="G2264" s="2" t="inlineStr">
        <is>
          <t>20260304001354</t>
        </is>
      </c>
      <c r="H2264" s="8">
        <f>HYPERLINK("https://dart.fss.or.kr/dsaf001/main.do?rcpNo=20260304001354", "공시열람")</f>
        <v/>
      </c>
    </row>
    <row r="2265">
      <c r="A2265" s="2" t="inlineStr">
        <is>
          <t>2026-03-04</t>
        </is>
      </c>
      <c r="B2265" s="3" t="inlineStr">
        <is>
          <t>한화리츠</t>
        </is>
      </c>
      <c r="C2265" s="2" t="inlineStr">
        <is>
          <t>코스피</t>
        </is>
      </c>
      <c r="D2265" s="2" t="inlineStr">
        <is>
          <t>451800</t>
        </is>
      </c>
      <c r="E2265" s="3" t="inlineStr">
        <is>
          <t>임원ㆍ주요주주특정증권등소유상황보고서</t>
        </is>
      </c>
      <c r="F2265" s="3" t="inlineStr">
        <is>
          <t>미래에셋자산운용</t>
        </is>
      </c>
      <c r="G2265" s="2" t="inlineStr">
        <is>
          <t>20260304001353</t>
        </is>
      </c>
      <c r="H2265" s="8">
        <f>HYPERLINK("https://dart.fss.or.kr/dsaf001/main.do?rcpNo=20260304001353", "공시열람")</f>
        <v/>
      </c>
    </row>
    <row r="2266">
      <c r="A2266" s="2" t="inlineStr">
        <is>
          <t>2026-03-04</t>
        </is>
      </c>
      <c r="B2266" s="3" t="inlineStr">
        <is>
          <t>신한서부티엔디리츠</t>
        </is>
      </c>
      <c r="C2266" s="2" t="inlineStr">
        <is>
          <t>코스피</t>
        </is>
      </c>
      <c r="D2266" s="2" t="inlineStr">
        <is>
          <t>404990</t>
        </is>
      </c>
      <c r="E2266" s="3" t="inlineStr">
        <is>
          <t>임원ㆍ주요주주특정증권등소유상황보고서</t>
        </is>
      </c>
      <c r="F2266" s="3" t="inlineStr">
        <is>
          <t>미래에셋자산운용</t>
        </is>
      </c>
      <c r="G2266" s="2" t="inlineStr">
        <is>
          <t>20260304001352</t>
        </is>
      </c>
      <c r="H2266" s="8">
        <f>HYPERLINK("https://dart.fss.or.kr/dsaf001/main.do?rcpNo=20260304001352", "공시열람")</f>
        <v/>
      </c>
    </row>
    <row r="2267">
      <c r="A2267" s="2" t="inlineStr">
        <is>
          <t>2026-03-04</t>
        </is>
      </c>
      <c r="B2267" s="3" t="inlineStr">
        <is>
          <t>미래에셋글로벌리츠</t>
        </is>
      </c>
      <c r="C2267" s="2" t="inlineStr">
        <is>
          <t>코스피</t>
        </is>
      </c>
      <c r="D2267" s="2" t="inlineStr">
        <is>
          <t>396690</t>
        </is>
      </c>
      <c r="E2267" s="3" t="inlineStr">
        <is>
          <t>임원ㆍ주요주주특정증권등소유상황보고서</t>
        </is>
      </c>
      <c r="F2267" s="3" t="inlineStr">
        <is>
          <t>미래에셋자산운용</t>
        </is>
      </c>
      <c r="G2267" s="2" t="inlineStr">
        <is>
          <t>20260304001351</t>
        </is>
      </c>
      <c r="H2267" s="8">
        <f>HYPERLINK("https://dart.fss.or.kr/dsaf001/main.do?rcpNo=20260304001351", "공시열람")</f>
        <v/>
      </c>
    </row>
    <row r="2268">
      <c r="A2268" s="2" t="inlineStr">
        <is>
          <t>2026-03-04</t>
        </is>
      </c>
      <c r="B2268" s="3" t="inlineStr">
        <is>
          <t>SK리츠</t>
        </is>
      </c>
      <c r="C2268" s="2" t="inlineStr">
        <is>
          <t>코스피</t>
        </is>
      </c>
      <c r="D2268" s="2" t="inlineStr">
        <is>
          <t>395400</t>
        </is>
      </c>
      <c r="E2268" s="3" t="inlineStr">
        <is>
          <t>임원ㆍ주요주주특정증권등소유상황보고서</t>
        </is>
      </c>
      <c r="F2268" s="3" t="inlineStr">
        <is>
          <t>미래에셋자산운용</t>
        </is>
      </c>
      <c r="G2268" s="2" t="inlineStr">
        <is>
          <t>20260304001346</t>
        </is>
      </c>
      <c r="H2268" s="8">
        <f>HYPERLINK("https://dart.fss.or.kr/dsaf001/main.do?rcpNo=20260304001346", "공시열람")</f>
        <v/>
      </c>
    </row>
    <row r="2269">
      <c r="A2269" s="2" t="inlineStr">
        <is>
          <t>2026-03-04</t>
        </is>
      </c>
      <c r="B2269" s="3" t="inlineStr">
        <is>
          <t>KG케미칼</t>
        </is>
      </c>
      <c r="C2269" s="2" t="inlineStr">
        <is>
          <t>코스피</t>
        </is>
      </c>
      <c r="D2269" s="2" t="inlineStr">
        <is>
          <t>001390</t>
        </is>
      </c>
      <c r="E2269" s="3" t="inlineStr">
        <is>
          <t xml:space="preserve">기업설명회(IR)개최(안내공시)              </t>
        </is>
      </c>
      <c r="F2269" s="3" t="inlineStr">
        <is>
          <t>KG케미칼</t>
        </is>
      </c>
      <c r="G2269" s="2" t="inlineStr">
        <is>
          <t>20260304801260</t>
        </is>
      </c>
      <c r="H2269" s="8">
        <f>HYPERLINK("https://dart.fss.or.kr/dsaf001/main.do?rcpNo=20260304801260", "공시열람")</f>
        <v/>
      </c>
    </row>
    <row r="2270">
      <c r="A2270" s="2" t="inlineStr">
        <is>
          <t>2026-03-04</t>
        </is>
      </c>
      <c r="B2270" s="3" t="inlineStr">
        <is>
          <t>디앤디플랫폼리츠</t>
        </is>
      </c>
      <c r="C2270" s="2" t="inlineStr">
        <is>
          <t>코스피</t>
        </is>
      </c>
      <c r="D2270" s="2" t="inlineStr">
        <is>
          <t>377190</t>
        </is>
      </c>
      <c r="E2270" s="3" t="inlineStr">
        <is>
          <t>임원ㆍ주요주주특정증권등소유상황보고서</t>
        </is>
      </c>
      <c r="F2270" s="3" t="inlineStr">
        <is>
          <t>미래에셋자산운용</t>
        </is>
      </c>
      <c r="G2270" s="2" t="inlineStr">
        <is>
          <t>20260304001345</t>
        </is>
      </c>
      <c r="H2270" s="8">
        <f>HYPERLINK("https://dart.fss.or.kr/dsaf001/main.do?rcpNo=20260304001345", "공시열람")</f>
        <v/>
      </c>
    </row>
    <row r="2271">
      <c r="A2271" s="2" t="inlineStr">
        <is>
          <t>2026-03-04</t>
        </is>
      </c>
      <c r="B2271" s="3" t="inlineStr">
        <is>
          <t>이글루</t>
        </is>
      </c>
      <c r="C2271" s="2" t="inlineStr">
        <is>
          <t>코스닥</t>
        </is>
      </c>
      <c r="D2271" s="2" t="inlineStr">
        <is>
          <t>067920</t>
        </is>
      </c>
      <c r="E2271" s="3" t="inlineStr">
        <is>
          <t>임원ㆍ주요주주특정증권등소유상황보고서</t>
        </is>
      </c>
      <c r="F2271" s="3" t="inlineStr">
        <is>
          <t>손보형</t>
        </is>
      </c>
      <c r="G2271" s="2" t="inlineStr">
        <is>
          <t>20260304001344</t>
        </is>
      </c>
      <c r="H2271" s="8">
        <f>HYPERLINK("https://dart.fss.or.kr/dsaf001/main.do?rcpNo=20260304001344", "공시열람")</f>
        <v/>
      </c>
    </row>
    <row r="2272">
      <c r="A2272" s="2" t="inlineStr">
        <is>
          <t>2026-03-04</t>
        </is>
      </c>
      <c r="B2272" s="3" t="inlineStr">
        <is>
          <t>현대차증권</t>
        </is>
      </c>
      <c r="C2272" s="2" t="inlineStr">
        <is>
          <t>코스피</t>
        </is>
      </c>
      <c r="D2272" s="2" t="inlineStr">
        <is>
          <t>001500</t>
        </is>
      </c>
      <c r="E2272" s="3" t="inlineStr">
        <is>
          <t>투자설명서(일괄신고)</t>
        </is>
      </c>
      <c r="F2272" s="3" t="inlineStr">
        <is>
          <t>현대차증권</t>
        </is>
      </c>
      <c r="G2272" s="2" t="inlineStr">
        <is>
          <t>20260304001343</t>
        </is>
      </c>
      <c r="H2272" s="8">
        <f>HYPERLINK("https://dart.fss.or.kr/dsaf001/main.do?rcpNo=20260304001343", "공시열람")</f>
        <v/>
      </c>
    </row>
    <row r="2273">
      <c r="A2273" s="2" t="inlineStr">
        <is>
          <t>2026-03-04</t>
        </is>
      </c>
      <c r="B2273" s="3" t="inlineStr">
        <is>
          <t>교보증권</t>
        </is>
      </c>
      <c r="C2273" s="2" t="inlineStr">
        <is>
          <t>코스피</t>
        </is>
      </c>
      <c r="D2273" s="2" t="inlineStr">
        <is>
          <t>030610</t>
        </is>
      </c>
      <c r="E2273" s="3" t="inlineStr">
        <is>
          <t>투자설명서(일괄신고)</t>
        </is>
      </c>
      <c r="F2273" s="3" t="inlineStr">
        <is>
          <t>교보증권</t>
        </is>
      </c>
      <c r="G2273" s="2" t="inlineStr">
        <is>
          <t>20260304001340</t>
        </is>
      </c>
      <c r="H2273" s="8">
        <f>HYPERLINK("https://dart.fss.or.kr/dsaf001/main.do?rcpNo=20260304001340", "공시열람")</f>
        <v/>
      </c>
    </row>
    <row r="2274">
      <c r="A2274" s="2" t="inlineStr">
        <is>
          <t>2026-03-04</t>
        </is>
      </c>
      <c r="B2274" s="3" t="inlineStr">
        <is>
          <t>대신증권</t>
        </is>
      </c>
      <c r="C2274" s="2" t="inlineStr">
        <is>
          <t>코스피</t>
        </is>
      </c>
      <c r="D2274" s="2" t="inlineStr">
        <is>
          <t>003540</t>
        </is>
      </c>
      <c r="E2274" s="3" t="inlineStr">
        <is>
          <t>일괄신고추가서류(파생결합사채-주가연계파생결합사채)</t>
        </is>
      </c>
      <c r="F2274" s="3" t="inlineStr">
        <is>
          <t>대신증권</t>
        </is>
      </c>
      <c r="G2274" s="2" t="inlineStr">
        <is>
          <t>20260304001333</t>
        </is>
      </c>
      <c r="H2274" s="8">
        <f>HYPERLINK("https://dart.fss.or.kr/dsaf001/main.do?rcpNo=20260304001333", "공시열람")</f>
        <v/>
      </c>
    </row>
    <row r="2275">
      <c r="A2275" s="2" t="inlineStr">
        <is>
          <t>2026-03-04</t>
        </is>
      </c>
      <c r="B2275" s="3" t="inlineStr">
        <is>
          <t>슈프리마</t>
        </is>
      </c>
      <c r="C2275" s="2" t="inlineStr">
        <is>
          <t>코스닥</t>
        </is>
      </c>
      <c r="D2275" s="2" t="inlineStr">
        <is>
          <t>236200</t>
        </is>
      </c>
      <c r="E2275" s="3" t="inlineStr">
        <is>
          <t>의결권대리행사권유참고서류</t>
        </is>
      </c>
      <c r="F2275" s="3" t="inlineStr">
        <is>
          <t>슈프리마</t>
        </is>
      </c>
      <c r="G2275" s="2" t="inlineStr">
        <is>
          <t>20260304001332</t>
        </is>
      </c>
      <c r="H2275" s="8">
        <f>HYPERLINK("https://dart.fss.or.kr/dsaf001/main.do?rcpNo=20260304001332", "공시열람")</f>
        <v/>
      </c>
    </row>
    <row r="2276">
      <c r="A2276" s="2" t="inlineStr">
        <is>
          <t>2026-03-04</t>
        </is>
      </c>
      <c r="B2276" s="3" t="inlineStr">
        <is>
          <t>대덕전자</t>
        </is>
      </c>
      <c r="C2276" s="2" t="inlineStr">
        <is>
          <t>코스피</t>
        </is>
      </c>
      <c r="D2276" s="2" t="inlineStr">
        <is>
          <t>353200</t>
        </is>
      </c>
      <c r="E2276" s="3" t="inlineStr">
        <is>
          <t xml:space="preserve">현금ㆍ현물배당을위한주주명부폐쇄(기준일)결정              </t>
        </is>
      </c>
      <c r="F2276" s="3" t="inlineStr">
        <is>
          <t>대덕전자</t>
        </is>
      </c>
      <c r="G2276" s="2" t="inlineStr">
        <is>
          <t>20260304801226</t>
        </is>
      </c>
      <c r="H2276" s="8">
        <f>HYPERLINK("https://dart.fss.or.kr/dsaf001/main.do?rcpNo=20260304801226", "공시열람")</f>
        <v/>
      </c>
    </row>
    <row r="2277">
      <c r="A2277" s="2" t="inlineStr">
        <is>
          <t>2026-03-04</t>
        </is>
      </c>
      <c r="B2277" s="3" t="inlineStr">
        <is>
          <t>대덕전자</t>
        </is>
      </c>
      <c r="C2277" s="2" t="inlineStr">
        <is>
          <t>코스피</t>
        </is>
      </c>
      <c r="D2277" s="2" t="inlineStr">
        <is>
          <t>353200</t>
        </is>
      </c>
      <c r="E2277" s="3" t="inlineStr">
        <is>
          <t xml:space="preserve">현금ㆍ현물배당결정              </t>
        </is>
      </c>
      <c r="F2277" s="3" t="inlineStr">
        <is>
          <t>대덕전자</t>
        </is>
      </c>
      <c r="G2277" s="2" t="inlineStr">
        <is>
          <t>20260304801214</t>
        </is>
      </c>
      <c r="H2277" s="8">
        <f>HYPERLINK("https://dart.fss.or.kr/dsaf001/main.do?rcpNo=20260304801214", "공시열람")</f>
        <v/>
      </c>
    </row>
    <row r="2278">
      <c r="A2278" s="2" t="inlineStr">
        <is>
          <t>2026-03-04</t>
        </is>
      </c>
      <c r="B2278" s="3" t="inlineStr">
        <is>
          <t>한화</t>
        </is>
      </c>
      <c r="C2278" s="2" t="inlineStr">
        <is>
          <t>코스피</t>
        </is>
      </c>
      <c r="D2278" s="2" t="inlineStr">
        <is>
          <t>000880</t>
        </is>
      </c>
      <c r="E2278" s="3" t="inlineStr">
        <is>
          <t>임원ㆍ주요주주특정증권등소유상황보고서</t>
        </is>
      </c>
      <c r="F2278" s="3" t="inlineStr">
        <is>
          <t>신가정</t>
        </is>
      </c>
      <c r="G2278" s="2" t="inlineStr">
        <is>
          <t>20260304001329</t>
        </is>
      </c>
      <c r="H2278" s="8">
        <f>HYPERLINK("https://dart.fss.or.kr/dsaf001/main.do?rcpNo=20260304001329", "공시열람")</f>
        <v/>
      </c>
    </row>
    <row r="2279">
      <c r="A2279" s="2" t="inlineStr">
        <is>
          <t>2026-03-04</t>
        </is>
      </c>
      <c r="B2279" s="3" t="inlineStr">
        <is>
          <t>큐리옥스바이오시스템즈</t>
        </is>
      </c>
      <c r="C2279" s="2" t="inlineStr">
        <is>
          <t>코스닥</t>
        </is>
      </c>
      <c r="D2279" s="2" t="inlineStr">
        <is>
          <t>445680</t>
        </is>
      </c>
      <c r="E2279" s="3" t="inlineStr">
        <is>
          <t>의결권대리행사권유참고서류</t>
        </is>
      </c>
      <c r="F2279" s="3" t="inlineStr">
        <is>
          <t>큐리옥스바이오시스템즈</t>
        </is>
      </c>
      <c r="G2279" s="2" t="inlineStr">
        <is>
          <t>20260304001326</t>
        </is>
      </c>
      <c r="H2279" s="8">
        <f>HYPERLINK("https://dart.fss.or.kr/dsaf001/main.do?rcpNo=20260304001326", "공시열람")</f>
        <v/>
      </c>
    </row>
    <row r="2280">
      <c r="A2280" s="2" t="inlineStr">
        <is>
          <t>2026-03-04</t>
        </is>
      </c>
      <c r="B2280" s="3" t="inlineStr">
        <is>
          <t>차바이오텍</t>
        </is>
      </c>
      <c r="C2280" s="2" t="inlineStr">
        <is>
          <t>코스닥</t>
        </is>
      </c>
      <c r="D2280" s="2" t="inlineStr">
        <is>
          <t>085660</t>
        </is>
      </c>
      <c r="E2280" s="3" t="inlineStr">
        <is>
          <t xml:space="preserve">대표이사변경              </t>
        </is>
      </c>
      <c r="F2280" s="3" t="inlineStr">
        <is>
          <t>차바이오텍</t>
        </is>
      </c>
      <c r="G2280" s="2" t="inlineStr">
        <is>
          <t>20260304901191</t>
        </is>
      </c>
      <c r="H2280" s="8">
        <f>HYPERLINK("https://dart.fss.or.kr/dsaf001/main.do?rcpNo=20260304901191", "공시열람")</f>
        <v/>
      </c>
    </row>
    <row r="2281">
      <c r="A2281" s="2" t="inlineStr">
        <is>
          <t>2026-03-04</t>
        </is>
      </c>
      <c r="B2281" s="3" t="inlineStr">
        <is>
          <t>이글루</t>
        </is>
      </c>
      <c r="C2281" s="2" t="inlineStr">
        <is>
          <t>코스닥</t>
        </is>
      </c>
      <c r="D2281" s="2" t="inlineStr">
        <is>
          <t>067920</t>
        </is>
      </c>
      <c r="E2281" s="3" t="inlineStr">
        <is>
          <t>임원ㆍ주요주주특정증권등소유상황보고서</t>
        </is>
      </c>
      <c r="F2281" s="3" t="inlineStr">
        <is>
          <t>최정아</t>
        </is>
      </c>
      <c r="G2281" s="2" t="inlineStr">
        <is>
          <t>20260304001323</t>
        </is>
      </c>
      <c r="H2281" s="8">
        <f>HYPERLINK("https://dart.fss.or.kr/dsaf001/main.do?rcpNo=20260304001323", "공시열람")</f>
        <v/>
      </c>
    </row>
    <row r="2282">
      <c r="A2282" s="2" t="inlineStr">
        <is>
          <t>2026-03-04</t>
        </is>
      </c>
      <c r="B2282" s="3" t="inlineStr">
        <is>
          <t>위즈코프</t>
        </is>
      </c>
      <c r="C2282" s="2" t="inlineStr">
        <is>
          <t>코스닥</t>
        </is>
      </c>
      <c r="D2282" s="2" t="inlineStr">
        <is>
          <t>038620</t>
        </is>
      </c>
      <c r="E2282" s="3" t="inlineStr">
        <is>
          <t xml:space="preserve">주식병합결정              </t>
        </is>
      </c>
      <c r="F2282" s="3" t="inlineStr">
        <is>
          <t>위즈코프</t>
        </is>
      </c>
      <c r="G2282" s="2" t="inlineStr">
        <is>
          <t>20260304901225</t>
        </is>
      </c>
      <c r="H2282" s="8">
        <f>HYPERLINK("https://dart.fss.or.kr/dsaf001/main.do?rcpNo=20260304901225", "공시열람")</f>
        <v/>
      </c>
    </row>
    <row r="2283">
      <c r="A2283" s="2" t="inlineStr">
        <is>
          <t>2026-03-04</t>
        </is>
      </c>
      <c r="B2283" s="3" t="inlineStr">
        <is>
          <t>플레이디</t>
        </is>
      </c>
      <c r="C2283" s="2" t="inlineStr">
        <is>
          <t>코스닥</t>
        </is>
      </c>
      <c r="D2283" s="2" t="inlineStr">
        <is>
          <t>237820</t>
        </is>
      </c>
      <c r="E2283" s="3" t="inlineStr">
        <is>
          <t>의결권대리행사권유참고서류</t>
        </is>
      </c>
      <c r="F2283" s="3" t="inlineStr">
        <is>
          <t>플레이디</t>
        </is>
      </c>
      <c r="G2283" s="2" t="inlineStr">
        <is>
          <t>20260304001318</t>
        </is>
      </c>
      <c r="H2283" s="8">
        <f>HYPERLINK("https://dart.fss.or.kr/dsaf001/main.do?rcpNo=20260304001318", "공시열람")</f>
        <v/>
      </c>
    </row>
    <row r="2284">
      <c r="A2284" s="2" t="inlineStr">
        <is>
          <t>2026-03-04</t>
        </is>
      </c>
      <c r="B2284" s="3" t="inlineStr">
        <is>
          <t>현대차증권</t>
        </is>
      </c>
      <c r="C2284" s="2" t="inlineStr">
        <is>
          <t>코스피</t>
        </is>
      </c>
      <c r="D2284" s="2" t="inlineStr">
        <is>
          <t>001500</t>
        </is>
      </c>
      <c r="E2284" s="3" t="inlineStr">
        <is>
          <t>일괄신고추가서류(파생결합사채-주가연계파생결합사채)</t>
        </is>
      </c>
      <c r="F2284" s="3" t="inlineStr">
        <is>
          <t>현대차증권</t>
        </is>
      </c>
      <c r="G2284" s="2" t="inlineStr">
        <is>
          <t>20260304001314</t>
        </is>
      </c>
      <c r="H2284" s="8">
        <f>HYPERLINK("https://dart.fss.or.kr/dsaf001/main.do?rcpNo=20260304001314", "공시열람")</f>
        <v/>
      </c>
    </row>
    <row r="2285">
      <c r="A2285" s="2" t="inlineStr">
        <is>
          <t>2026-03-04</t>
        </is>
      </c>
      <c r="B2285" s="3" t="inlineStr">
        <is>
          <t>와이엠씨</t>
        </is>
      </c>
      <c r="C2285" s="2" t="inlineStr">
        <is>
          <t>코스닥</t>
        </is>
      </c>
      <c r="D2285" s="2" t="inlineStr">
        <is>
          <t>155650</t>
        </is>
      </c>
      <c r="E2285" s="3" t="inlineStr">
        <is>
          <t>의결권대리행사권유참고서류</t>
        </is>
      </c>
      <c r="F2285" s="3" t="inlineStr">
        <is>
          <t>와이엠씨</t>
        </is>
      </c>
      <c r="G2285" s="2" t="inlineStr">
        <is>
          <t>20260304001311</t>
        </is>
      </c>
      <c r="H2285" s="8">
        <f>HYPERLINK("https://dart.fss.or.kr/dsaf001/main.do?rcpNo=20260304001311", "공시열람")</f>
        <v/>
      </c>
    </row>
    <row r="2286">
      <c r="A2286" s="2" t="inlineStr">
        <is>
          <t>2026-03-04</t>
        </is>
      </c>
      <c r="B2286" s="3" t="inlineStr">
        <is>
          <t>텔콘RF제약</t>
        </is>
      </c>
      <c r="C2286" s="2" t="inlineStr">
        <is>
          <t>코스닥</t>
        </is>
      </c>
      <c r="D2286" s="2" t="inlineStr">
        <is>
          <t>200230</t>
        </is>
      </c>
      <c r="E2286" s="3" t="inlineStr">
        <is>
          <t xml:space="preserve">매출액또는손익구조30%(대규모법인은15%)이상변동              </t>
        </is>
      </c>
      <c r="F2286" s="3" t="inlineStr">
        <is>
          <t>텔콘RF제약</t>
        </is>
      </c>
      <c r="G2286" s="2" t="inlineStr">
        <is>
          <t>20260304901140</t>
        </is>
      </c>
      <c r="H2286" s="8">
        <f>HYPERLINK("https://dart.fss.or.kr/dsaf001/main.do?rcpNo=20260304901140", "공시열람")</f>
        <v/>
      </c>
    </row>
    <row r="2287">
      <c r="A2287" s="2" t="inlineStr">
        <is>
          <t>2026-03-04</t>
        </is>
      </c>
      <c r="B2287" s="3" t="inlineStr">
        <is>
          <t>SK디스커버리</t>
        </is>
      </c>
      <c r="C2287" s="2" t="inlineStr">
        <is>
          <t>코스피</t>
        </is>
      </c>
      <c r="D2287" s="2" t="inlineStr">
        <is>
          <t>006120</t>
        </is>
      </c>
      <c r="E2287" s="3" t="inlineStr">
        <is>
          <t>의결권대리행사권유참고서류</t>
        </is>
      </c>
      <c r="F2287" s="3" t="inlineStr">
        <is>
          <t>SK디스커버리</t>
        </is>
      </c>
      <c r="G2287" s="2" t="inlineStr">
        <is>
          <t>20260304001310</t>
        </is>
      </c>
      <c r="H2287" s="8">
        <f>HYPERLINK("https://dart.fss.or.kr/dsaf001/main.do?rcpNo=20260304001310", "공시열람")</f>
        <v/>
      </c>
    </row>
    <row r="2288">
      <c r="A2288" s="2" t="inlineStr">
        <is>
          <t>2026-03-04</t>
        </is>
      </c>
      <c r="B2288" s="3" t="inlineStr">
        <is>
          <t>노루페인트</t>
        </is>
      </c>
      <c r="C2288" s="2" t="inlineStr">
        <is>
          <t>코스피</t>
        </is>
      </c>
      <c r="D2288" s="2" t="inlineStr">
        <is>
          <t>090350</t>
        </is>
      </c>
      <c r="E2288" s="3" t="inlineStr">
        <is>
          <t>의결권대리행사권유참고서류</t>
        </is>
      </c>
      <c r="F2288" s="3" t="inlineStr">
        <is>
          <t>노루페인트</t>
        </is>
      </c>
      <c r="G2288" s="2" t="inlineStr">
        <is>
          <t>20260304001307</t>
        </is>
      </c>
      <c r="H2288" s="8">
        <f>HYPERLINK("https://dart.fss.or.kr/dsaf001/main.do?rcpNo=20260304001307", "공시열람")</f>
        <v/>
      </c>
    </row>
    <row r="2289">
      <c r="A2289" s="2" t="inlineStr">
        <is>
          <t>2026-03-04</t>
        </is>
      </c>
      <c r="B2289" s="3" t="inlineStr">
        <is>
          <t>하이브</t>
        </is>
      </c>
      <c r="C2289" s="2" t="inlineStr">
        <is>
          <t>코스피</t>
        </is>
      </c>
      <c r="D2289" s="2" t="inlineStr">
        <is>
          <t>352820</t>
        </is>
      </c>
      <c r="E2289" s="3" t="inlineStr">
        <is>
          <t>자기주식처분결과보고서</t>
        </is>
      </c>
      <c r="F2289" s="3" t="inlineStr">
        <is>
          <t>하이브</t>
        </is>
      </c>
      <c r="G2289" s="2" t="inlineStr">
        <is>
          <t>20260304001306</t>
        </is>
      </c>
      <c r="H2289" s="8">
        <f>HYPERLINK("https://dart.fss.or.kr/dsaf001/main.do?rcpNo=20260304001306", "공시열람")</f>
        <v/>
      </c>
    </row>
    <row r="2290">
      <c r="A2290" s="2" t="inlineStr">
        <is>
          <t>2026-03-04</t>
        </is>
      </c>
      <c r="B2290" s="3" t="inlineStr">
        <is>
          <t>교보증권</t>
        </is>
      </c>
      <c r="C2290" s="2" t="inlineStr">
        <is>
          <t>코스피</t>
        </is>
      </c>
      <c r="D2290" s="2" t="inlineStr">
        <is>
          <t>030610</t>
        </is>
      </c>
      <c r="E2290" s="3" t="inlineStr">
        <is>
          <t>일괄신고추가서류(파생결합사채-주가연계파생결합사채)</t>
        </is>
      </c>
      <c r="F2290" s="3" t="inlineStr">
        <is>
          <t>교보증권</t>
        </is>
      </c>
      <c r="G2290" s="2" t="inlineStr">
        <is>
          <t>20260304001304</t>
        </is>
      </c>
      <c r="H2290" s="8">
        <f>HYPERLINK("https://dart.fss.or.kr/dsaf001/main.do?rcpNo=20260304001304", "공시열람")</f>
        <v/>
      </c>
    </row>
    <row r="2291">
      <c r="A2291" s="2" t="inlineStr">
        <is>
          <t>2026-03-04</t>
        </is>
      </c>
      <c r="B2291" s="3" t="inlineStr">
        <is>
          <t>현대차증권</t>
        </is>
      </c>
      <c r="C2291" s="2" t="inlineStr">
        <is>
          <t>코스피</t>
        </is>
      </c>
      <c r="D2291" s="2" t="inlineStr">
        <is>
          <t>001500</t>
        </is>
      </c>
      <c r="E2291" s="3" t="inlineStr">
        <is>
          <t>일괄신고추가서류(기타파생결합사채)</t>
        </is>
      </c>
      <c r="F2291" s="3" t="inlineStr">
        <is>
          <t>현대차증권</t>
        </is>
      </c>
      <c r="G2291" s="2" t="inlineStr">
        <is>
          <t>20260304001299</t>
        </is>
      </c>
      <c r="H2291" s="8">
        <f>HYPERLINK("https://dart.fss.or.kr/dsaf001/main.do?rcpNo=20260304001299", "공시열람")</f>
        <v/>
      </c>
    </row>
    <row r="2292">
      <c r="A2292" s="2" t="inlineStr">
        <is>
          <t>2026-03-04</t>
        </is>
      </c>
      <c r="B2292" s="3" t="inlineStr">
        <is>
          <t>이글루</t>
        </is>
      </c>
      <c r="C2292" s="2" t="inlineStr">
        <is>
          <t>코스닥</t>
        </is>
      </c>
      <c r="D2292" s="2" t="inlineStr">
        <is>
          <t>067920</t>
        </is>
      </c>
      <c r="E2292" s="3" t="inlineStr">
        <is>
          <t>임원ㆍ주요주주특정증권등소유상황보고서</t>
        </is>
      </c>
      <c r="F2292" s="3" t="inlineStr">
        <is>
          <t>전영주</t>
        </is>
      </c>
      <c r="G2292" s="2" t="inlineStr">
        <is>
          <t>20260304001296</t>
        </is>
      </c>
      <c r="H2292" s="8">
        <f>HYPERLINK("https://dart.fss.or.kr/dsaf001/main.do?rcpNo=20260304001296", "공시열람")</f>
        <v/>
      </c>
    </row>
    <row r="2293">
      <c r="A2293" s="2" t="inlineStr">
        <is>
          <t>2026-01-23 (정정: 2026-03-04)</t>
        </is>
      </c>
      <c r="B2293" s="3" t="inlineStr">
        <is>
          <t>에어부산</t>
        </is>
      </c>
      <c r="C2293" s="2" t="inlineStr">
        <is>
          <t>코스피</t>
        </is>
      </c>
      <c r="D2293" s="2" t="inlineStr">
        <is>
          <t>298690</t>
        </is>
      </c>
      <c r="E2293" s="3" t="inlineStr">
        <is>
          <t xml:space="preserve">[기재정정]매출액또는손익구조30%(대규모법인은15%)이상변경              </t>
        </is>
      </c>
      <c r="F2293" s="3" t="inlineStr">
        <is>
          <t>에어부산</t>
        </is>
      </c>
      <c r="G2293" s="2" t="inlineStr">
        <is>
          <t>20260304801169</t>
        </is>
      </c>
      <c r="H2293" s="8">
        <f>HYPERLINK("https://dart.fss.or.kr/dsaf001/main.do?rcpNo=20260304801169", "공시열람")</f>
        <v/>
      </c>
    </row>
    <row r="2294">
      <c r="A2294" s="2" t="inlineStr">
        <is>
          <t>2026-03-04</t>
        </is>
      </c>
      <c r="B2294" s="3" t="inlineStr">
        <is>
          <t>이글루</t>
        </is>
      </c>
      <c r="C2294" s="2" t="inlineStr">
        <is>
          <t>코스닥</t>
        </is>
      </c>
      <c r="D2294" s="2" t="inlineStr">
        <is>
          <t>067920</t>
        </is>
      </c>
      <c r="E2294" s="3" t="inlineStr">
        <is>
          <t>임원ㆍ주요주주특정증권등소유상황보고서</t>
        </is>
      </c>
      <c r="F2294" s="3" t="inlineStr">
        <is>
          <t>이시종</t>
        </is>
      </c>
      <c r="G2294" s="2" t="inlineStr">
        <is>
          <t>20260304001284</t>
        </is>
      </c>
      <c r="H2294" s="8">
        <f>HYPERLINK("https://dart.fss.or.kr/dsaf001/main.do?rcpNo=20260304001284", "공시열람")</f>
        <v/>
      </c>
    </row>
    <row r="2295">
      <c r="A2295" s="2" t="inlineStr">
        <is>
          <t>2026-03-04 (정정: 2026-03-05)</t>
        </is>
      </c>
      <c r="B2295" s="3" t="inlineStr">
        <is>
          <t>엔켐</t>
        </is>
      </c>
      <c r="C2295" s="2" t="inlineStr">
        <is>
          <t>코스닥</t>
        </is>
      </c>
      <c r="D2295" s="2" t="inlineStr">
        <is>
          <t>348370</t>
        </is>
      </c>
      <c r="E2295" s="3" t="inlineStr">
        <is>
          <t>임원ㆍ주요주주특정증권등소유상황보고서 (정정: 20260305)</t>
        </is>
      </c>
      <c r="F2295" s="3" t="inlineStr">
        <is>
          <t>오정강</t>
        </is>
      </c>
      <c r="G2295" s="2" t="inlineStr">
        <is>
          <t>20260305901951</t>
        </is>
      </c>
      <c r="H2295" s="8">
        <f>HYPERLINK("https://dart.fss.or.kr/dsaf001/main.do?rcpNo=20260305901951", "공시열람")</f>
        <v/>
      </c>
    </row>
    <row r="2296">
      <c r="A2296" s="2" t="inlineStr">
        <is>
          <t>2026-03-04</t>
        </is>
      </c>
      <c r="B2296" s="3" t="inlineStr">
        <is>
          <t>가이아코퍼레이션</t>
        </is>
      </c>
      <c r="C2296" s="2" t="inlineStr">
        <is>
          <t>코넥스</t>
        </is>
      </c>
      <c r="D2296" s="2" t="inlineStr">
        <is>
          <t>296520</t>
        </is>
      </c>
      <c r="E2296" s="3" t="inlineStr">
        <is>
          <t xml:space="preserve">대표이사변경              </t>
        </is>
      </c>
      <c r="F2296" s="3" t="inlineStr">
        <is>
          <t>가이아코퍼레이션</t>
        </is>
      </c>
      <c r="G2296" s="2" t="inlineStr">
        <is>
          <t>20260304601147</t>
        </is>
      </c>
      <c r="H2296" s="8">
        <f>HYPERLINK("https://dart.fss.or.kr/dsaf001/main.do?rcpNo=20260304601147", "공시열람")</f>
        <v/>
      </c>
    </row>
    <row r="2297">
      <c r="A2297" s="2" t="inlineStr">
        <is>
          <t>2026-03-04</t>
        </is>
      </c>
      <c r="B2297" s="3" t="inlineStr">
        <is>
          <t>미원상사</t>
        </is>
      </c>
      <c r="C2297" s="2" t="inlineStr">
        <is>
          <t>코스피</t>
        </is>
      </c>
      <c r="D2297" s="2" t="inlineStr">
        <is>
          <t>002840</t>
        </is>
      </c>
      <c r="E2297" s="3" t="inlineStr">
        <is>
          <t xml:space="preserve">현금ㆍ현물배당결정              </t>
        </is>
      </c>
      <c r="F2297" s="3" t="inlineStr">
        <is>
          <t>미원상사</t>
        </is>
      </c>
      <c r="G2297" s="2" t="inlineStr">
        <is>
          <t>20260304801183</t>
        </is>
      </c>
      <c r="H2297" s="8">
        <f>HYPERLINK("https://dart.fss.or.kr/dsaf001/main.do?rcpNo=20260304801183", "공시열람")</f>
        <v/>
      </c>
    </row>
    <row r="2298">
      <c r="A2298" s="2" t="inlineStr">
        <is>
          <t>2026-03-04</t>
        </is>
      </c>
      <c r="B2298" s="3" t="inlineStr">
        <is>
          <t>가온칩스</t>
        </is>
      </c>
      <c r="C2298" s="2" t="inlineStr">
        <is>
          <t>코스닥</t>
        </is>
      </c>
      <c r="D2298" s="2" t="inlineStr">
        <is>
          <t>399720</t>
        </is>
      </c>
      <c r="E2298" s="3" t="inlineStr">
        <is>
          <t>임원ㆍ주요주주특정증권등소유상황보고서</t>
        </is>
      </c>
      <c r="F2298" s="3" t="inlineStr">
        <is>
          <t>박대남</t>
        </is>
      </c>
      <c r="G2298" s="2" t="inlineStr">
        <is>
          <t>20260304001271</t>
        </is>
      </c>
      <c r="H2298" s="8">
        <f>HYPERLINK("https://dart.fss.or.kr/dsaf001/main.do?rcpNo=20260304001271", "공시열람")</f>
        <v/>
      </c>
    </row>
    <row r="2299">
      <c r="A2299" s="2" t="inlineStr">
        <is>
          <t>2026-03-04</t>
        </is>
      </c>
      <c r="B2299" s="3" t="inlineStr">
        <is>
          <t>KB제32호스팩</t>
        </is>
      </c>
      <c r="C2299" s="2" t="inlineStr">
        <is>
          <t>코스닥</t>
        </is>
      </c>
      <c r="D2299" s="2" t="inlineStr">
        <is>
          <t>0037T0</t>
        </is>
      </c>
      <c r="E2299" s="3" t="inlineStr">
        <is>
          <t>의결권대리행사권유참고서류</t>
        </is>
      </c>
      <c r="F2299" s="3" t="inlineStr">
        <is>
          <t>KB제32호스팩</t>
        </is>
      </c>
      <c r="G2299" s="2" t="inlineStr">
        <is>
          <t>20260304001267</t>
        </is>
      </c>
      <c r="H2299" s="8">
        <f>HYPERLINK("https://dart.fss.or.kr/dsaf001/main.do?rcpNo=20260304001267", "공시열람")</f>
        <v/>
      </c>
    </row>
    <row r="2300">
      <c r="A2300" s="2" t="inlineStr">
        <is>
          <t>2026-03-04</t>
        </is>
      </c>
      <c r="B2300" s="3" t="inlineStr">
        <is>
          <t>KZ정밀</t>
        </is>
      </c>
      <c r="C2300" s="2" t="inlineStr">
        <is>
          <t>코스닥</t>
        </is>
      </c>
      <c r="D2300" s="2" t="inlineStr">
        <is>
          <t>036560</t>
        </is>
      </c>
      <c r="E2300" s="3" t="inlineStr">
        <is>
          <t xml:space="preserve">현금ㆍ현물배당결정              </t>
        </is>
      </c>
      <c r="F2300" s="3" t="inlineStr">
        <is>
          <t>KZ정밀</t>
        </is>
      </c>
      <c r="G2300" s="2" t="inlineStr">
        <is>
          <t>20260304901083</t>
        </is>
      </c>
      <c r="H2300" s="8">
        <f>HYPERLINK("https://dart.fss.or.kr/dsaf001/main.do?rcpNo=20260304901083", "공시열람")</f>
        <v/>
      </c>
    </row>
    <row r="2301">
      <c r="A2301" s="2" t="inlineStr">
        <is>
          <t>2026-03-04</t>
        </is>
      </c>
      <c r="B2301" s="3" t="inlineStr">
        <is>
          <t>이글루</t>
        </is>
      </c>
      <c r="C2301" s="2" t="inlineStr">
        <is>
          <t>코스닥</t>
        </is>
      </c>
      <c r="D2301" s="2" t="inlineStr">
        <is>
          <t>067920</t>
        </is>
      </c>
      <c r="E2301" s="3" t="inlineStr">
        <is>
          <t>임원ㆍ주요주주특정증권등소유상황보고서</t>
        </is>
      </c>
      <c r="F2301" s="3" t="inlineStr">
        <is>
          <t>임근호</t>
        </is>
      </c>
      <c r="G2301" s="2" t="inlineStr">
        <is>
          <t>20260304001262</t>
        </is>
      </c>
      <c r="H2301" s="8">
        <f>HYPERLINK("https://dart.fss.or.kr/dsaf001/main.do?rcpNo=20260304001262", "공시열람")</f>
        <v/>
      </c>
    </row>
    <row r="2302">
      <c r="A2302" s="2" t="inlineStr">
        <is>
          <t>2026-03-04</t>
        </is>
      </c>
      <c r="B2302" s="3" t="inlineStr">
        <is>
          <t>DSR제강</t>
        </is>
      </c>
      <c r="C2302" s="2" t="inlineStr">
        <is>
          <t>코스피</t>
        </is>
      </c>
      <c r="D2302" s="2" t="inlineStr">
        <is>
          <t>069730</t>
        </is>
      </c>
      <c r="E2302" s="3" t="inlineStr">
        <is>
          <t>임원ㆍ주요주주특정증권등소유상황보고서</t>
        </is>
      </c>
      <c r="F2302" s="3" t="inlineStr">
        <is>
          <t>홍하종</t>
        </is>
      </c>
      <c r="G2302" s="2" t="inlineStr">
        <is>
          <t>20260304001257</t>
        </is>
      </c>
      <c r="H2302" s="8">
        <f>HYPERLINK("https://dart.fss.or.kr/dsaf001/main.do?rcpNo=20260304001257", "공시열람")</f>
        <v/>
      </c>
    </row>
    <row r="2303">
      <c r="A2303" s="2" t="inlineStr">
        <is>
          <t>2026-03-04</t>
        </is>
      </c>
      <c r="B2303" s="3" t="inlineStr">
        <is>
          <t>HL홀딩스</t>
        </is>
      </c>
      <c r="C2303" s="2" t="inlineStr">
        <is>
          <t>코스피</t>
        </is>
      </c>
      <c r="D2303" s="2" t="inlineStr">
        <is>
          <t>060980</t>
        </is>
      </c>
      <c r="E2303" s="3" t="inlineStr">
        <is>
          <t>증권발행실적보고서</t>
        </is>
      </c>
      <c r="F2303" s="3" t="inlineStr">
        <is>
          <t>HL홀딩스</t>
        </is>
      </c>
      <c r="G2303" s="2" t="inlineStr">
        <is>
          <t>20260304001256</t>
        </is>
      </c>
      <c r="H2303" s="8">
        <f>HYPERLINK("https://dart.fss.or.kr/dsaf001/main.do?rcpNo=20260304001256", "공시열람")</f>
        <v/>
      </c>
    </row>
    <row r="2304">
      <c r="A2304" s="2" t="inlineStr">
        <is>
          <t>2026-03-04</t>
        </is>
      </c>
      <c r="B2304" s="3" t="inlineStr">
        <is>
          <t>KISCO홀딩스</t>
        </is>
      </c>
      <c r="C2304" s="2" t="inlineStr">
        <is>
          <t>코스피</t>
        </is>
      </c>
      <c r="D2304" s="2" t="inlineStr">
        <is>
          <t>001940</t>
        </is>
      </c>
      <c r="E2304" s="3" t="inlineStr">
        <is>
          <t xml:space="preserve">현금ㆍ현물배당결정              </t>
        </is>
      </c>
      <c r="F2304" s="3" t="inlineStr">
        <is>
          <t>KISCO홀딩스</t>
        </is>
      </c>
      <c r="G2304" s="2" t="inlineStr">
        <is>
          <t>20260304801161</t>
        </is>
      </c>
      <c r="H2304" s="8">
        <f>HYPERLINK("https://dart.fss.or.kr/dsaf001/main.do?rcpNo=20260304801161", "공시열람")</f>
        <v/>
      </c>
    </row>
    <row r="2305">
      <c r="A2305" s="2" t="inlineStr">
        <is>
          <t>2026-03-04</t>
        </is>
      </c>
      <c r="B2305" s="3" t="inlineStr">
        <is>
          <t>바이오니아</t>
        </is>
      </c>
      <c r="C2305" s="2" t="inlineStr">
        <is>
          <t>코스닥</t>
        </is>
      </c>
      <c r="D2305" s="2" t="inlineStr">
        <is>
          <t>064550</t>
        </is>
      </c>
      <c r="E2305" s="3" t="inlineStr">
        <is>
          <t>의결권대리행사권유참고서류</t>
        </is>
      </c>
      <c r="F2305" s="3" t="inlineStr">
        <is>
          <t>바이오니아</t>
        </is>
      </c>
      <c r="G2305" s="2" t="inlineStr">
        <is>
          <t>20260304001254</t>
        </is>
      </c>
      <c r="H2305" s="8">
        <f>HYPERLINK("https://dart.fss.or.kr/dsaf001/main.do?rcpNo=20260304001254", "공시열람")</f>
        <v/>
      </c>
    </row>
    <row r="2306">
      <c r="A2306" s="2" t="inlineStr">
        <is>
          <t>2026-03-04</t>
        </is>
      </c>
      <c r="B2306" s="3" t="inlineStr">
        <is>
          <t>아세아제지</t>
        </is>
      </c>
      <c r="C2306" s="2" t="inlineStr">
        <is>
          <t>코스피</t>
        </is>
      </c>
      <c r="D2306" s="2" t="inlineStr">
        <is>
          <t>002310</t>
        </is>
      </c>
      <c r="E2306" s="3" t="inlineStr">
        <is>
          <t>의결권대리행사권유참고서류</t>
        </is>
      </c>
      <c r="F2306" s="3" t="inlineStr">
        <is>
          <t>아세아제지</t>
        </is>
      </c>
      <c r="G2306" s="2" t="inlineStr">
        <is>
          <t>20260304001253</t>
        </is>
      </c>
      <c r="H2306" s="8">
        <f>HYPERLINK("https://dart.fss.or.kr/dsaf001/main.do?rcpNo=20260304001253", "공시열람")</f>
        <v/>
      </c>
    </row>
    <row r="2307">
      <c r="A2307" s="2" t="inlineStr">
        <is>
          <t>2026-03-04</t>
        </is>
      </c>
      <c r="B2307" s="3" t="inlineStr">
        <is>
          <t>강원랜드</t>
        </is>
      </c>
      <c r="C2307" s="2" t="inlineStr">
        <is>
          <t>코스피</t>
        </is>
      </c>
      <c r="D2307" s="2" t="inlineStr">
        <is>
          <t>035250</t>
        </is>
      </c>
      <c r="E2307" s="3" t="inlineStr">
        <is>
          <t xml:space="preserve">대표이사(대표집행임원)변경(안내공시)              </t>
        </is>
      </c>
      <c r="F2307" s="3" t="inlineStr">
        <is>
          <t>강원랜드</t>
        </is>
      </c>
      <c r="G2307" s="2" t="inlineStr">
        <is>
          <t>20260304801154</t>
        </is>
      </c>
      <c r="H2307" s="8">
        <f>HYPERLINK("https://dart.fss.or.kr/dsaf001/main.do?rcpNo=20260304801154", "공시열람")</f>
        <v/>
      </c>
    </row>
    <row r="2308">
      <c r="A2308" s="2" t="inlineStr">
        <is>
          <t>2026-03-04</t>
        </is>
      </c>
      <c r="B2308" s="3" t="inlineStr">
        <is>
          <t>신라젠</t>
        </is>
      </c>
      <c r="C2308" s="2" t="inlineStr">
        <is>
          <t>코스닥</t>
        </is>
      </c>
      <c r="D2308" s="2" t="inlineStr">
        <is>
          <t>215600</t>
        </is>
      </c>
      <c r="E2308" s="3" t="inlineStr">
        <is>
          <t>주식매수선택권부여에관한신고</t>
        </is>
      </c>
      <c r="F2308" s="3" t="inlineStr">
        <is>
          <t>신라젠</t>
        </is>
      </c>
      <c r="G2308" s="2" t="inlineStr">
        <is>
          <t>20260304001251</t>
        </is>
      </c>
      <c r="H2308" s="8">
        <f>HYPERLINK("https://dart.fss.or.kr/dsaf001/main.do?rcpNo=20260304001251", "공시열람")</f>
        <v/>
      </c>
    </row>
    <row r="2309">
      <c r="A2309" s="2" t="inlineStr">
        <is>
          <t>2026-03-04</t>
        </is>
      </c>
      <c r="B2309" s="3" t="inlineStr">
        <is>
          <t>한국석유공업</t>
        </is>
      </c>
      <c r="C2309" s="2" t="inlineStr">
        <is>
          <t>코스피</t>
        </is>
      </c>
      <c r="D2309" s="2" t="inlineStr">
        <is>
          <t>004090</t>
        </is>
      </c>
      <c r="E2309" s="3" t="inlineStr">
        <is>
          <t xml:space="preserve">기업설명회(IR)개최(안내공시)              </t>
        </is>
      </c>
      <c r="F2309" s="3" t="inlineStr">
        <is>
          <t>한국석유공업</t>
        </is>
      </c>
      <c r="G2309" s="2" t="inlineStr">
        <is>
          <t>20260304801131</t>
        </is>
      </c>
      <c r="H2309" s="8">
        <f>HYPERLINK("https://dart.fss.or.kr/dsaf001/main.do?rcpNo=20260304801131", "공시열람")</f>
        <v/>
      </c>
    </row>
    <row r="2310">
      <c r="A2310" s="2" t="inlineStr">
        <is>
          <t>2026-03-04</t>
        </is>
      </c>
      <c r="B2310" s="3" t="inlineStr">
        <is>
          <t>이글루</t>
        </is>
      </c>
      <c r="C2310" s="2" t="inlineStr">
        <is>
          <t>코스닥</t>
        </is>
      </c>
      <c r="D2310" s="2" t="inlineStr">
        <is>
          <t>067920</t>
        </is>
      </c>
      <c r="E2310" s="3" t="inlineStr">
        <is>
          <t>임원ㆍ주요주주특정증권등소유상황보고서</t>
        </is>
      </c>
      <c r="F2310" s="3" t="inlineStr">
        <is>
          <t>이록석</t>
        </is>
      </c>
      <c r="G2310" s="2" t="inlineStr">
        <is>
          <t>20260304001250</t>
        </is>
      </c>
      <c r="H2310" s="8">
        <f>HYPERLINK("https://dart.fss.or.kr/dsaf001/main.do?rcpNo=20260304001250", "공시열람")</f>
        <v/>
      </c>
    </row>
    <row r="2311">
      <c r="A2311" s="2" t="inlineStr">
        <is>
          <t>2026-03-04</t>
        </is>
      </c>
      <c r="B2311" s="3" t="inlineStr">
        <is>
          <t>에어부산</t>
        </is>
      </c>
      <c r="C2311" s="2" t="inlineStr">
        <is>
          <t>코스피</t>
        </is>
      </c>
      <c r="D2311" s="2" t="inlineStr">
        <is>
          <t>298690</t>
        </is>
      </c>
      <c r="E2311" s="3" t="inlineStr">
        <is>
          <t>의결권대리행사권유참고서류</t>
        </is>
      </c>
      <c r="F2311" s="3" t="inlineStr">
        <is>
          <t>에어부산</t>
        </is>
      </c>
      <c r="G2311" s="2" t="inlineStr">
        <is>
          <t>20260304001247</t>
        </is>
      </c>
      <c r="H2311" s="8">
        <f>HYPERLINK("https://dart.fss.or.kr/dsaf001/main.do?rcpNo=20260304001247", "공시열람")</f>
        <v/>
      </c>
    </row>
    <row r="2312">
      <c r="A2312" s="2" t="inlineStr">
        <is>
          <t>2026-03-04</t>
        </is>
      </c>
      <c r="B2312" s="3" t="inlineStr">
        <is>
          <t>제이엠아이</t>
        </is>
      </c>
      <c r="C2312" s="2" t="inlineStr">
        <is>
          <t>코스닥</t>
        </is>
      </c>
      <c r="D2312" s="2" t="inlineStr">
        <is>
          <t>033050</t>
        </is>
      </c>
      <c r="E2312" s="3" t="inlineStr">
        <is>
          <t>임원ㆍ주요주주특정증권등소유상황보고서</t>
        </is>
      </c>
      <c r="F2312" s="3" t="inlineStr">
        <is>
          <t>정광훈</t>
        </is>
      </c>
      <c r="G2312" s="2" t="inlineStr">
        <is>
          <t>20260304001245</t>
        </is>
      </c>
      <c r="H2312" s="8">
        <f>HYPERLINK("https://dart.fss.or.kr/dsaf001/main.do?rcpNo=20260304001245", "공시열람")</f>
        <v/>
      </c>
    </row>
    <row r="2313">
      <c r="A2313" s="2" t="inlineStr">
        <is>
          <t>2026-03-04</t>
        </is>
      </c>
      <c r="B2313" s="3" t="inlineStr">
        <is>
          <t>HLB바이오스텝</t>
        </is>
      </c>
      <c r="C2313" s="2" t="inlineStr">
        <is>
          <t>코스닥</t>
        </is>
      </c>
      <c r="D2313" s="2" t="inlineStr">
        <is>
          <t>278650</t>
        </is>
      </c>
      <c r="E2313" s="3" t="inlineStr">
        <is>
          <t>자기주식처분결과보고서</t>
        </is>
      </c>
      <c r="F2313" s="3" t="inlineStr">
        <is>
          <t>HLB바이오스텝</t>
        </is>
      </c>
      <c r="G2313" s="2" t="inlineStr">
        <is>
          <t>20260304001239</t>
        </is>
      </c>
      <c r="H2313" s="8">
        <f>HYPERLINK("https://dart.fss.or.kr/dsaf001/main.do?rcpNo=20260304001239", "공시열람")</f>
        <v/>
      </c>
    </row>
    <row r="2314">
      <c r="A2314" s="2" t="inlineStr">
        <is>
          <t>2026-03-04</t>
        </is>
      </c>
      <c r="B2314" s="3" t="inlineStr">
        <is>
          <t>이글루</t>
        </is>
      </c>
      <c r="C2314" s="2" t="inlineStr">
        <is>
          <t>코스닥</t>
        </is>
      </c>
      <c r="D2314" s="2" t="inlineStr">
        <is>
          <t>067920</t>
        </is>
      </c>
      <c r="E2314" s="3" t="inlineStr">
        <is>
          <t>임원ㆍ주요주주특정증권등소유상황보고서</t>
        </is>
      </c>
      <c r="F2314" s="3" t="inlineStr">
        <is>
          <t>오상준</t>
        </is>
      </c>
      <c r="G2314" s="2" t="inlineStr">
        <is>
          <t>20260304001234</t>
        </is>
      </c>
      <c r="H2314" s="8">
        <f>HYPERLINK("https://dart.fss.or.kr/dsaf001/main.do?rcpNo=20260304001234", "공시열람")</f>
        <v/>
      </c>
    </row>
    <row r="2315">
      <c r="A2315" s="2" t="inlineStr">
        <is>
          <t>2026-03-04</t>
        </is>
      </c>
      <c r="B2315" s="3" t="inlineStr">
        <is>
          <t>아이로보틱스</t>
        </is>
      </c>
      <c r="C2315" s="2" t="inlineStr">
        <is>
          <t>코스닥</t>
        </is>
      </c>
      <c r="D2315" s="2" t="inlineStr">
        <is>
          <t>066430</t>
        </is>
      </c>
      <c r="E2315" s="3" t="inlineStr">
        <is>
          <t xml:space="preserve">소송등의판결ㆍ결정(일정금액이상의청구)              </t>
        </is>
      </c>
      <c r="F2315" s="3" t="inlineStr">
        <is>
          <t>아이로보틱스</t>
        </is>
      </c>
      <c r="G2315" s="2" t="inlineStr">
        <is>
          <t>20260304900962</t>
        </is>
      </c>
      <c r="H2315" s="8">
        <f>HYPERLINK("https://dart.fss.or.kr/dsaf001/main.do?rcpNo=20260304900962", "공시열람")</f>
        <v/>
      </c>
    </row>
    <row r="2316">
      <c r="A2316" s="2" t="inlineStr">
        <is>
          <t>2026-03-04</t>
        </is>
      </c>
      <c r="B2316" s="3" t="inlineStr">
        <is>
          <t>뉴인텍</t>
        </is>
      </c>
      <c r="C2316" s="2" t="inlineStr">
        <is>
          <t>코스닥</t>
        </is>
      </c>
      <c r="D2316" s="2" t="inlineStr">
        <is>
          <t>012340</t>
        </is>
      </c>
      <c r="E2316" s="3" t="inlineStr">
        <is>
          <t xml:space="preserve">전환가액의조정              </t>
        </is>
      </c>
      <c r="F2316" s="3" t="inlineStr">
        <is>
          <t>뉴인텍</t>
        </is>
      </c>
      <c r="G2316" s="2" t="inlineStr">
        <is>
          <t>20260304901122</t>
        </is>
      </c>
      <c r="H2316" s="8">
        <f>HYPERLINK("https://dart.fss.or.kr/dsaf001/main.do?rcpNo=20260304901122", "공시열람")</f>
        <v/>
      </c>
    </row>
    <row r="2317">
      <c r="A2317" s="2" t="inlineStr">
        <is>
          <t>2026-03-04</t>
        </is>
      </c>
      <c r="B2317" s="3" t="inlineStr">
        <is>
          <t>KISCO홀딩스</t>
        </is>
      </c>
      <c r="C2317" s="2" t="inlineStr">
        <is>
          <t>코스피</t>
        </is>
      </c>
      <c r="D2317" s="2" t="inlineStr">
        <is>
          <t>001940</t>
        </is>
      </c>
      <c r="E2317" s="3" t="inlineStr">
        <is>
          <t xml:space="preserve">현금ㆍ현물배당결정(자회사의 주요경영사항)              </t>
        </is>
      </c>
      <c r="F2317" s="3" t="inlineStr">
        <is>
          <t>KISCO홀딩스</t>
        </is>
      </c>
      <c r="G2317" s="2" t="inlineStr">
        <is>
          <t>20260304801115</t>
        </is>
      </c>
      <c r="H2317" s="8">
        <f>HYPERLINK("https://dart.fss.or.kr/dsaf001/main.do?rcpNo=20260304801115", "공시열람")</f>
        <v/>
      </c>
    </row>
    <row r="2318">
      <c r="A2318" s="2" t="inlineStr">
        <is>
          <t>2026-03-04</t>
        </is>
      </c>
      <c r="B2318" s="3" t="inlineStr">
        <is>
          <t>한농화성</t>
        </is>
      </c>
      <c r="C2318" s="2" t="inlineStr">
        <is>
          <t>코스피</t>
        </is>
      </c>
      <c r="D2318" s="2" t="inlineStr">
        <is>
          <t>011500</t>
        </is>
      </c>
      <c r="E2318" s="3" t="inlineStr">
        <is>
          <t xml:space="preserve">현금ㆍ현물배당결정              </t>
        </is>
      </c>
      <c r="F2318" s="3" t="inlineStr">
        <is>
          <t>한농화성</t>
        </is>
      </c>
      <c r="G2318" s="2" t="inlineStr">
        <is>
          <t>20260304801119</t>
        </is>
      </c>
      <c r="H2318" s="8">
        <f>HYPERLINK("https://dart.fss.or.kr/dsaf001/main.do?rcpNo=20260304801119", "공시열람")</f>
        <v/>
      </c>
    </row>
    <row r="2319">
      <c r="A2319" s="2" t="inlineStr">
        <is>
          <t>2026-03-04 (정정: 2026-03-11)</t>
        </is>
      </c>
      <c r="B2319" s="3" t="inlineStr">
        <is>
          <t>비아트론</t>
        </is>
      </c>
      <c r="C2319" s="2" t="inlineStr">
        <is>
          <t>코스닥</t>
        </is>
      </c>
      <c r="D2319" s="2" t="inlineStr">
        <is>
          <t>141000</t>
        </is>
      </c>
      <c r="E2319" s="3" t="inlineStr">
        <is>
          <t>의결권대리행사권유참고서류 (정정: 20260311)</t>
        </is>
      </c>
      <c r="F2319" s="3" t="inlineStr">
        <is>
          <t>비아트론</t>
        </is>
      </c>
      <c r="G2319" s="2" t="inlineStr">
        <is>
          <t>20260311003184</t>
        </is>
      </c>
      <c r="H2319" s="8">
        <f>HYPERLINK("https://dart.fss.or.kr/dsaf001/main.do?rcpNo=20260311003184", "공시열람")</f>
        <v/>
      </c>
    </row>
    <row r="2320">
      <c r="A2320" s="2" t="inlineStr">
        <is>
          <t>2026-03-04</t>
        </is>
      </c>
      <c r="B2320" s="3" t="inlineStr">
        <is>
          <t>두산에너빌리티</t>
        </is>
      </c>
      <c r="C2320" s="2" t="inlineStr">
        <is>
          <t>코스피</t>
        </is>
      </c>
      <c r="D2320" s="2" t="inlineStr">
        <is>
          <t>034020</t>
        </is>
      </c>
      <c r="E2320" s="3" t="inlineStr">
        <is>
          <t>임원ㆍ주요주주특정증권등소유상황보고서</t>
        </is>
      </c>
      <c r="F2320" s="3" t="inlineStr">
        <is>
          <t>류제욱</t>
        </is>
      </c>
      <c r="G2320" s="2" t="inlineStr">
        <is>
          <t>20260304001218</t>
        </is>
      </c>
      <c r="H2320" s="8">
        <f>HYPERLINK("https://dart.fss.or.kr/dsaf001/main.do?rcpNo=20260304001218", "공시열람")</f>
        <v/>
      </c>
    </row>
    <row r="2321">
      <c r="A2321" s="2" t="inlineStr">
        <is>
          <t>2026-03-04</t>
        </is>
      </c>
      <c r="B2321" s="3" t="inlineStr">
        <is>
          <t>한국철강</t>
        </is>
      </c>
      <c r="C2321" s="2" t="inlineStr">
        <is>
          <t>코스피</t>
        </is>
      </c>
      <c r="D2321" s="2" t="inlineStr">
        <is>
          <t>104700</t>
        </is>
      </c>
      <c r="E2321" s="3" t="inlineStr">
        <is>
          <t xml:space="preserve">현금ㆍ현물배당결정              </t>
        </is>
      </c>
      <c r="F2321" s="3" t="inlineStr">
        <is>
          <t>한국철강</t>
        </is>
      </c>
      <c r="G2321" s="2" t="inlineStr">
        <is>
          <t>20260304801114</t>
        </is>
      </c>
      <c r="H2321" s="8">
        <f>HYPERLINK("https://dart.fss.or.kr/dsaf001/main.do?rcpNo=20260304801114", "공시열람")</f>
        <v/>
      </c>
    </row>
    <row r="2322">
      <c r="A2322" s="2" t="inlineStr">
        <is>
          <t>2026-03-04</t>
        </is>
      </c>
      <c r="B2322" s="3" t="inlineStr">
        <is>
          <t>아세아</t>
        </is>
      </c>
      <c r="C2322" s="2" t="inlineStr">
        <is>
          <t>코스피</t>
        </is>
      </c>
      <c r="D2322" s="2" t="inlineStr">
        <is>
          <t>002030</t>
        </is>
      </c>
      <c r="E2322" s="3" t="inlineStr">
        <is>
          <t xml:space="preserve">현금ㆍ현물배당결정              </t>
        </is>
      </c>
      <c r="F2322" s="3" t="inlineStr">
        <is>
          <t>아세아</t>
        </is>
      </c>
      <c r="G2322" s="2" t="inlineStr">
        <is>
          <t>20260304801106</t>
        </is>
      </c>
      <c r="H2322" s="8">
        <f>HYPERLINK("https://dart.fss.or.kr/dsaf001/main.do?rcpNo=20260304801106", "공시열람")</f>
        <v/>
      </c>
    </row>
    <row r="2323">
      <c r="A2323" s="2" t="inlineStr">
        <is>
          <t>2026-03-04</t>
        </is>
      </c>
      <c r="B2323" s="3" t="inlineStr">
        <is>
          <t>일진다이아</t>
        </is>
      </c>
      <c r="C2323" s="2" t="inlineStr">
        <is>
          <t>코스피</t>
        </is>
      </c>
      <c r="D2323" s="2" t="inlineStr">
        <is>
          <t>081000</t>
        </is>
      </c>
      <c r="E2323" s="3" t="inlineStr">
        <is>
          <t>의결권대리행사권유참고서류</t>
        </is>
      </c>
      <c r="F2323" s="3" t="inlineStr">
        <is>
          <t>일진다이아</t>
        </is>
      </c>
      <c r="G2323" s="2" t="inlineStr">
        <is>
          <t>20260304001210</t>
        </is>
      </c>
      <c r="H2323" s="8">
        <f>HYPERLINK("https://dart.fss.or.kr/dsaf001/main.do?rcpNo=20260304001210", "공시열람")</f>
        <v/>
      </c>
    </row>
    <row r="2324">
      <c r="A2324" s="2" t="inlineStr">
        <is>
          <t>2026-03-04</t>
        </is>
      </c>
      <c r="B2324" s="3" t="inlineStr">
        <is>
          <t>링네트</t>
        </is>
      </c>
      <c r="C2324" s="2" t="inlineStr">
        <is>
          <t>코스닥</t>
        </is>
      </c>
      <c r="D2324" s="2" t="inlineStr">
        <is>
          <t>042500</t>
        </is>
      </c>
      <c r="E2324" s="3" t="inlineStr">
        <is>
          <t>임원ㆍ주요주주특정증권등소유상황보고서</t>
        </is>
      </c>
      <c r="F2324" s="3" t="inlineStr">
        <is>
          <t>오승철</t>
        </is>
      </c>
      <c r="G2324" s="2" t="inlineStr">
        <is>
          <t>20260304001209</t>
        </is>
      </c>
      <c r="H2324" s="8">
        <f>HYPERLINK("https://dart.fss.or.kr/dsaf001/main.do?rcpNo=20260304001209", "공시열람")</f>
        <v/>
      </c>
    </row>
    <row r="2325">
      <c r="A2325" s="2" t="inlineStr">
        <is>
          <t>2026-03-04</t>
        </is>
      </c>
      <c r="B2325" s="3" t="inlineStr">
        <is>
          <t>두산로보틱스</t>
        </is>
      </c>
      <c r="C2325" s="2" t="inlineStr">
        <is>
          <t>코스피</t>
        </is>
      </c>
      <c r="D2325" s="2" t="inlineStr">
        <is>
          <t>454910</t>
        </is>
      </c>
      <c r="E2325" s="3" t="inlineStr">
        <is>
          <t xml:space="preserve">기업설명회(IR)개최(안내공시)              </t>
        </is>
      </c>
      <c r="F2325" s="3" t="inlineStr">
        <is>
          <t>두산로보틱스</t>
        </is>
      </c>
      <c r="G2325" s="2" t="inlineStr">
        <is>
          <t>20260304801073</t>
        </is>
      </c>
      <c r="H2325" s="8">
        <f>HYPERLINK("https://dart.fss.or.kr/dsaf001/main.do?rcpNo=20260304801073", "공시열람")</f>
        <v/>
      </c>
    </row>
    <row r="2326">
      <c r="A2326" s="2" t="inlineStr">
        <is>
          <t>2026-03-04</t>
        </is>
      </c>
      <c r="B2326" s="3" t="inlineStr">
        <is>
          <t>아셈스</t>
        </is>
      </c>
      <c r="C2326" s="2" t="inlineStr">
        <is>
          <t>코스닥</t>
        </is>
      </c>
      <c r="D2326" s="2" t="inlineStr">
        <is>
          <t>136410</t>
        </is>
      </c>
      <c r="E2326" s="3" t="inlineStr">
        <is>
          <t>신탁계약에의한취득상황보고서</t>
        </is>
      </c>
      <c r="F2326" s="3" t="inlineStr">
        <is>
          <t>아셈스</t>
        </is>
      </c>
      <c r="G2326" s="2" t="inlineStr">
        <is>
          <t>20260304001205</t>
        </is>
      </c>
      <c r="H2326" s="8">
        <f>HYPERLINK("https://dart.fss.or.kr/dsaf001/main.do?rcpNo=20260304001205", "공시열람")</f>
        <v/>
      </c>
    </row>
    <row r="2327">
      <c r="A2327" s="2" t="inlineStr">
        <is>
          <t>2026-03-04</t>
        </is>
      </c>
      <c r="B2327" s="3" t="inlineStr">
        <is>
          <t>미래에셋비전스팩7호</t>
        </is>
      </c>
      <c r="C2327" s="2" t="inlineStr">
        <is>
          <t>코스닥</t>
        </is>
      </c>
      <c r="D2327" s="2" t="inlineStr">
        <is>
          <t>482680</t>
        </is>
      </c>
      <c r="E2327" s="3" t="inlineStr">
        <is>
          <t>의결권대리행사권유참고서류</t>
        </is>
      </c>
      <c r="F2327" s="3" t="inlineStr">
        <is>
          <t>미래에셋비전스팩7호</t>
        </is>
      </c>
      <c r="G2327" s="2" t="inlineStr">
        <is>
          <t>20260304001204</t>
        </is>
      </c>
      <c r="H2327" s="8">
        <f>HYPERLINK("https://dart.fss.or.kr/dsaf001/main.do?rcpNo=20260304001204", "공시열람")</f>
        <v/>
      </c>
    </row>
    <row r="2328">
      <c r="A2328" s="2" t="inlineStr">
        <is>
          <t>2026-03-04</t>
        </is>
      </c>
      <c r="B2328" s="3" t="inlineStr">
        <is>
          <t>이글루</t>
        </is>
      </c>
      <c r="C2328" s="2" t="inlineStr">
        <is>
          <t>코스닥</t>
        </is>
      </c>
      <c r="D2328" s="2" t="inlineStr">
        <is>
          <t>067920</t>
        </is>
      </c>
      <c r="E2328" s="3" t="inlineStr">
        <is>
          <t>임원ㆍ주요주주특정증권등소유상황보고서</t>
        </is>
      </c>
      <c r="F2328" s="3" t="inlineStr">
        <is>
          <t>임형준</t>
        </is>
      </c>
      <c r="G2328" s="2" t="inlineStr">
        <is>
          <t>20260304001203</t>
        </is>
      </c>
      <c r="H2328" s="8">
        <f>HYPERLINK("https://dart.fss.or.kr/dsaf001/main.do?rcpNo=20260304001203", "공시열람")</f>
        <v/>
      </c>
    </row>
    <row r="2329">
      <c r="A2329" s="2" t="inlineStr">
        <is>
          <t>2026-03-04</t>
        </is>
      </c>
      <c r="B2329" s="3" t="inlineStr">
        <is>
          <t>레뷰코퍼레이션</t>
        </is>
      </c>
      <c r="C2329" s="2" t="inlineStr">
        <is>
          <t>코스닥</t>
        </is>
      </c>
      <c r="D2329" s="2" t="inlineStr">
        <is>
          <t>443250</t>
        </is>
      </c>
      <c r="E2329" s="3" t="inlineStr">
        <is>
          <t>신탁계약에의한취득상황보고서</t>
        </is>
      </c>
      <c r="F2329" s="3" t="inlineStr">
        <is>
          <t>레뷰코퍼레이션</t>
        </is>
      </c>
      <c r="G2329" s="2" t="inlineStr">
        <is>
          <t>20260304001199</t>
        </is>
      </c>
      <c r="H2329" s="8">
        <f>HYPERLINK("https://dart.fss.or.kr/dsaf001/main.do?rcpNo=20260304001199", "공시열람")</f>
        <v/>
      </c>
    </row>
    <row r="2330">
      <c r="A2330" s="2" t="inlineStr">
        <is>
          <t>2026-03-04</t>
        </is>
      </c>
      <c r="B2330" s="3" t="inlineStr">
        <is>
          <t>아세아제지</t>
        </is>
      </c>
      <c r="C2330" s="2" t="inlineStr">
        <is>
          <t>코스피</t>
        </is>
      </c>
      <c r="D2330" s="2" t="inlineStr">
        <is>
          <t>002310</t>
        </is>
      </c>
      <c r="E2330" s="3" t="inlineStr">
        <is>
          <t xml:space="preserve">현금ㆍ현물배당결정              </t>
        </is>
      </c>
      <c r="F2330" s="3" t="inlineStr">
        <is>
          <t>아세아제지</t>
        </is>
      </c>
      <c r="G2330" s="2" t="inlineStr">
        <is>
          <t>20260304801049</t>
        </is>
      </c>
      <c r="H2330" s="8">
        <f>HYPERLINK("https://dart.fss.or.kr/dsaf001/main.do?rcpNo=20260304801049", "공시열람")</f>
        <v/>
      </c>
    </row>
    <row r="2331">
      <c r="A2331" s="2" t="inlineStr">
        <is>
          <t>2026-03-04</t>
        </is>
      </c>
      <c r="B2331" s="3" t="inlineStr">
        <is>
          <t>링네트</t>
        </is>
      </c>
      <c r="C2331" s="2" t="inlineStr">
        <is>
          <t>코스닥</t>
        </is>
      </c>
      <c r="D2331" s="2" t="inlineStr">
        <is>
          <t>042500</t>
        </is>
      </c>
      <c r="E2331" s="3" t="inlineStr">
        <is>
          <t>임원ㆍ주요주주특정증권등소유상황보고서</t>
        </is>
      </c>
      <c r="F2331" s="3" t="inlineStr">
        <is>
          <t>이지윤</t>
        </is>
      </c>
      <c r="G2331" s="2" t="inlineStr">
        <is>
          <t>20260304001190</t>
        </is>
      </c>
      <c r="H2331" s="8">
        <f>HYPERLINK("https://dart.fss.or.kr/dsaf001/main.do?rcpNo=20260304001190", "공시열람")</f>
        <v/>
      </c>
    </row>
    <row r="2332">
      <c r="A2332" s="2" t="inlineStr">
        <is>
          <t>2026-03-04</t>
        </is>
      </c>
      <c r="B2332" s="3" t="inlineStr">
        <is>
          <t>이글루</t>
        </is>
      </c>
      <c r="C2332" s="2" t="inlineStr">
        <is>
          <t>코스닥</t>
        </is>
      </c>
      <c r="D2332" s="2" t="inlineStr">
        <is>
          <t>067920</t>
        </is>
      </c>
      <c r="E2332" s="3" t="inlineStr">
        <is>
          <t>임원ㆍ주요주주특정증권등소유상황보고서</t>
        </is>
      </c>
      <c r="F2332" s="3" t="inlineStr">
        <is>
          <t>김한균</t>
        </is>
      </c>
      <c r="G2332" s="2" t="inlineStr">
        <is>
          <t>20260304001184</t>
        </is>
      </c>
      <c r="H2332" s="8">
        <f>HYPERLINK("https://dart.fss.or.kr/dsaf001/main.do?rcpNo=20260304001184", "공시열람")</f>
        <v/>
      </c>
    </row>
    <row r="2333">
      <c r="A2333" s="2" t="inlineStr">
        <is>
          <t>2026-03-04</t>
        </is>
      </c>
      <c r="B2333" s="3" t="inlineStr">
        <is>
          <t>알체라</t>
        </is>
      </c>
      <c r="C2333" s="2" t="inlineStr">
        <is>
          <t>코스닥</t>
        </is>
      </c>
      <c r="D2333" s="2" t="inlineStr">
        <is>
          <t>347860</t>
        </is>
      </c>
      <c r="E2333" s="3" t="inlineStr">
        <is>
          <t>의결권대리행사권유참고서류</t>
        </is>
      </c>
      <c r="F2333" s="3" t="inlineStr">
        <is>
          <t>알체라</t>
        </is>
      </c>
      <c r="G2333" s="2" t="inlineStr">
        <is>
          <t>20260304001183</t>
        </is>
      </c>
      <c r="H2333" s="8">
        <f>HYPERLINK("https://dart.fss.or.kr/dsaf001/main.do?rcpNo=20260304001183", "공시열람")</f>
        <v/>
      </c>
    </row>
    <row r="2334">
      <c r="A2334" s="2" t="inlineStr">
        <is>
          <t>2026-03-04</t>
        </is>
      </c>
      <c r="B2334" s="3" t="inlineStr">
        <is>
          <t>루닛</t>
        </is>
      </c>
      <c r="C2334" s="2" t="inlineStr">
        <is>
          <t>코스닥</t>
        </is>
      </c>
      <c r="D2334" s="2" t="inlineStr">
        <is>
          <t>328130</t>
        </is>
      </c>
      <c r="E2334" s="3" t="inlineStr">
        <is>
          <t>의결권대리행사권유참고서류</t>
        </is>
      </c>
      <c r="F2334" s="3" t="inlineStr">
        <is>
          <t>루닛</t>
        </is>
      </c>
      <c r="G2334" s="2" t="inlineStr">
        <is>
          <t>20260304001182</t>
        </is>
      </c>
      <c r="H2334" s="8">
        <f>HYPERLINK("https://dart.fss.or.kr/dsaf001/main.do?rcpNo=20260304001182", "공시열람")</f>
        <v/>
      </c>
    </row>
    <row r="2335">
      <c r="A2335" s="2" t="inlineStr">
        <is>
          <t>2026-03-04</t>
        </is>
      </c>
      <c r="B2335" s="3" t="inlineStr">
        <is>
          <t>제일기획</t>
        </is>
      </c>
      <c r="C2335" s="2" t="inlineStr">
        <is>
          <t>코스피</t>
        </is>
      </c>
      <c r="D2335" s="2" t="inlineStr">
        <is>
          <t>030000</t>
        </is>
      </c>
      <c r="E2335" s="3" t="inlineStr">
        <is>
          <t>임원ㆍ주요주주특정증권등소유상황보고서</t>
        </is>
      </c>
      <c r="F2335" s="3" t="inlineStr">
        <is>
          <t>정선우</t>
        </is>
      </c>
      <c r="G2335" s="2" t="inlineStr">
        <is>
          <t>20260304001181</t>
        </is>
      </c>
      <c r="H2335" s="8">
        <f>HYPERLINK("https://dart.fss.or.kr/dsaf001/main.do?rcpNo=20260304001181", "공시열람")</f>
        <v/>
      </c>
    </row>
    <row r="2336">
      <c r="A2336" s="2" t="inlineStr">
        <is>
          <t>2026-03-04</t>
        </is>
      </c>
      <c r="B2336" s="3" t="inlineStr">
        <is>
          <t>링네트</t>
        </is>
      </c>
      <c r="C2336" s="2" t="inlineStr">
        <is>
          <t>코스닥</t>
        </is>
      </c>
      <c r="D2336" s="2" t="inlineStr">
        <is>
          <t>042500</t>
        </is>
      </c>
      <c r="E2336" s="3" t="inlineStr">
        <is>
          <t>임원ㆍ주요주주특정증권등소유상황보고서</t>
        </is>
      </c>
      <c r="F2336" s="3" t="inlineStr">
        <is>
          <t>신동익</t>
        </is>
      </c>
      <c r="G2336" s="2" t="inlineStr">
        <is>
          <t>20260304001178</t>
        </is>
      </c>
      <c r="H2336" s="8">
        <f>HYPERLINK("https://dart.fss.or.kr/dsaf001/main.do?rcpNo=20260304001178", "공시열람")</f>
        <v/>
      </c>
    </row>
    <row r="2337">
      <c r="A2337" s="2" t="inlineStr">
        <is>
          <t>2026-03-04</t>
        </is>
      </c>
      <c r="B2337" s="3" t="inlineStr">
        <is>
          <t>로지스몬</t>
        </is>
      </c>
      <c r="C2337" s="2" t="inlineStr">
        <is>
          <t>코넥스</t>
        </is>
      </c>
      <c r="D2337" s="2" t="inlineStr">
        <is>
          <t>223220</t>
        </is>
      </c>
      <c r="E2337" s="3" t="inlineStr">
        <is>
          <t xml:space="preserve">증권발행결과(자율공시)              </t>
        </is>
      </c>
      <c r="F2337" s="3" t="inlineStr">
        <is>
          <t>로지스몬</t>
        </is>
      </c>
      <c r="G2337" s="2" t="inlineStr">
        <is>
          <t>20260304601038</t>
        </is>
      </c>
      <c r="H2337" s="8">
        <f>HYPERLINK("https://dart.fss.or.kr/dsaf001/main.do?rcpNo=20260304601038", "공시열람")</f>
        <v/>
      </c>
    </row>
    <row r="2338">
      <c r="A2338" s="2" t="inlineStr">
        <is>
          <t>2026-03-04</t>
        </is>
      </c>
      <c r="B2338" s="3" t="inlineStr">
        <is>
          <t>한국콜마</t>
        </is>
      </c>
      <c r="C2338" s="2" t="inlineStr">
        <is>
          <t>코스피</t>
        </is>
      </c>
      <c r="D2338" s="2" t="inlineStr">
        <is>
          <t>161890</t>
        </is>
      </c>
      <c r="E2338" s="3" t="inlineStr">
        <is>
          <t xml:space="preserve">기업설명회(IR)개최(안내공시)              </t>
        </is>
      </c>
      <c r="F2338" s="3" t="inlineStr">
        <is>
          <t>한국콜마</t>
        </is>
      </c>
      <c r="G2338" s="2" t="inlineStr">
        <is>
          <t>20260304801056</t>
        </is>
      </c>
      <c r="H2338" s="8">
        <f>HYPERLINK("https://dart.fss.or.kr/dsaf001/main.do?rcpNo=20260304801056", "공시열람")</f>
        <v/>
      </c>
    </row>
    <row r="2339">
      <c r="A2339" s="2" t="inlineStr">
        <is>
          <t>2026-03-04</t>
        </is>
      </c>
      <c r="B2339" s="3" t="inlineStr">
        <is>
          <t>JYP Ent.</t>
        </is>
      </c>
      <c r="C2339" s="2" t="inlineStr">
        <is>
          <t>코스닥</t>
        </is>
      </c>
      <c r="D2339" s="2" t="inlineStr">
        <is>
          <t>035900</t>
        </is>
      </c>
      <c r="E2339" s="3" t="inlineStr">
        <is>
          <t xml:space="preserve">기업설명회(IR)개최              </t>
        </is>
      </c>
      <c r="F2339" s="3" t="inlineStr">
        <is>
          <t>JYP Ent.</t>
        </is>
      </c>
      <c r="G2339" s="2" t="inlineStr">
        <is>
          <t>20260304901054</t>
        </is>
      </c>
      <c r="H2339" s="8">
        <f>HYPERLINK("https://dart.fss.or.kr/dsaf001/main.do?rcpNo=20260304901054", "공시열람")</f>
        <v/>
      </c>
    </row>
    <row r="2340">
      <c r="A2340" s="2" t="inlineStr">
        <is>
          <t>2026-03-04</t>
        </is>
      </c>
      <c r="B2340" s="3" t="inlineStr">
        <is>
          <t>미래에셋증권</t>
        </is>
      </c>
      <c r="C2340" s="2" t="inlineStr">
        <is>
          <t>코스피</t>
        </is>
      </c>
      <c r="D2340" s="2" t="inlineStr">
        <is>
          <t>006800</t>
        </is>
      </c>
      <c r="E2340" s="3" t="inlineStr">
        <is>
          <t>주식매수선택권부여에관한신고</t>
        </is>
      </c>
      <c r="F2340" s="3" t="inlineStr">
        <is>
          <t>미래에셋증권</t>
        </is>
      </c>
      <c r="G2340" s="2" t="inlineStr">
        <is>
          <t>20260304001171</t>
        </is>
      </c>
      <c r="H2340" s="8">
        <f>HYPERLINK("https://dart.fss.or.kr/dsaf001/main.do?rcpNo=20260304001171", "공시열람")</f>
        <v/>
      </c>
    </row>
    <row r="2341">
      <c r="A2341" s="2" t="inlineStr">
        <is>
          <t>2026-03-04</t>
        </is>
      </c>
      <c r="B2341" s="3" t="inlineStr">
        <is>
          <t>유진증권</t>
        </is>
      </c>
      <c r="C2341" s="2" t="inlineStr">
        <is>
          <t>코스피</t>
        </is>
      </c>
      <c r="D2341" s="2" t="inlineStr">
        <is>
          <t>001200</t>
        </is>
      </c>
      <c r="E2341" s="3" t="inlineStr">
        <is>
          <t xml:space="preserve">기업지배구조보고서공시(연차보고서)              </t>
        </is>
      </c>
      <c r="F2341" s="3" t="inlineStr">
        <is>
          <t>유진증권</t>
        </is>
      </c>
      <c r="G2341" s="2" t="inlineStr">
        <is>
          <t>20260304801045</t>
        </is>
      </c>
      <c r="H2341" s="8">
        <f>HYPERLINK("https://dart.fss.or.kr/dsaf001/main.do?rcpNo=20260304801045", "공시열람")</f>
        <v/>
      </c>
    </row>
    <row r="2342">
      <c r="A2342" s="2" t="inlineStr">
        <is>
          <t>2026-03-04</t>
        </is>
      </c>
      <c r="B2342" s="3" t="inlineStr">
        <is>
          <t>이글루</t>
        </is>
      </c>
      <c r="C2342" s="2" t="inlineStr">
        <is>
          <t>코스닥</t>
        </is>
      </c>
      <c r="D2342" s="2" t="inlineStr">
        <is>
          <t>067920</t>
        </is>
      </c>
      <c r="E2342" s="3" t="inlineStr">
        <is>
          <t>임원ㆍ주요주주특정증권등소유상황보고서</t>
        </is>
      </c>
      <c r="F2342" s="3" t="inlineStr">
        <is>
          <t>김동현</t>
        </is>
      </c>
      <c r="G2342" s="2" t="inlineStr">
        <is>
          <t>20260304001168</t>
        </is>
      </c>
      <c r="H2342" s="8">
        <f>HYPERLINK("https://dart.fss.or.kr/dsaf001/main.do?rcpNo=20260304001168", "공시열람")</f>
        <v/>
      </c>
    </row>
    <row r="2343">
      <c r="A2343" s="2" t="inlineStr">
        <is>
          <t>2026-03-04</t>
        </is>
      </c>
      <c r="B2343" s="3" t="inlineStr">
        <is>
          <t>포스코인터내셔널</t>
        </is>
      </c>
      <c r="C2343" s="2" t="inlineStr">
        <is>
          <t>코스피</t>
        </is>
      </c>
      <c r="D2343" s="2" t="inlineStr">
        <is>
          <t>047050</t>
        </is>
      </c>
      <c r="E2343" s="3" t="inlineStr">
        <is>
          <t xml:space="preserve">기업설명회(IR)개최(안내공시)              </t>
        </is>
      </c>
      <c r="F2343" s="3" t="inlineStr">
        <is>
          <t>포스코인터내셔널</t>
        </is>
      </c>
      <c r="G2343" s="2" t="inlineStr">
        <is>
          <t>20260304801040</t>
        </is>
      </c>
      <c r="H2343" s="8">
        <f>HYPERLINK("https://dart.fss.or.kr/dsaf001/main.do?rcpNo=20260304801040", "공시열람")</f>
        <v/>
      </c>
    </row>
    <row r="2344">
      <c r="A2344" s="2" t="inlineStr">
        <is>
          <t>2026-03-04</t>
        </is>
      </c>
      <c r="B2344" s="3" t="inlineStr">
        <is>
          <t>하나기술</t>
        </is>
      </c>
      <c r="C2344" s="2" t="inlineStr">
        <is>
          <t>코스닥</t>
        </is>
      </c>
      <c r="D2344" s="2" t="inlineStr">
        <is>
          <t>299030</t>
        </is>
      </c>
      <c r="E2344" s="3" t="inlineStr">
        <is>
          <t>의결권대리행사권유참고서류</t>
        </is>
      </c>
      <c r="F2344" s="3" t="inlineStr">
        <is>
          <t>하나기술</t>
        </is>
      </c>
      <c r="G2344" s="2" t="inlineStr">
        <is>
          <t>20260304001164</t>
        </is>
      </c>
      <c r="H2344" s="8">
        <f>HYPERLINK("https://dart.fss.or.kr/dsaf001/main.do?rcpNo=20260304001164", "공시열람")</f>
        <v/>
      </c>
    </row>
    <row r="2345">
      <c r="A2345" s="2" t="inlineStr">
        <is>
          <t>2026-03-04</t>
        </is>
      </c>
      <c r="B2345" s="3" t="inlineStr">
        <is>
          <t>아세아시멘트</t>
        </is>
      </c>
      <c r="C2345" s="2" t="inlineStr">
        <is>
          <t>코스피</t>
        </is>
      </c>
      <c r="D2345" s="2" t="inlineStr">
        <is>
          <t>183190</t>
        </is>
      </c>
      <c r="E2345" s="3" t="inlineStr">
        <is>
          <t xml:space="preserve">현금ㆍ현물배당결정              </t>
        </is>
      </c>
      <c r="F2345" s="3" t="inlineStr">
        <is>
          <t>아세아시멘트</t>
        </is>
      </c>
      <c r="G2345" s="2" t="inlineStr">
        <is>
          <t>20260304801039</t>
        </is>
      </c>
      <c r="H2345" s="8">
        <f>HYPERLINK("https://dart.fss.or.kr/dsaf001/main.do?rcpNo=20260304801039", "공시열람")</f>
        <v/>
      </c>
    </row>
    <row r="2346">
      <c r="A2346" s="2" t="inlineStr">
        <is>
          <t>2026-03-04</t>
        </is>
      </c>
      <c r="B2346" s="3" t="inlineStr">
        <is>
          <t>덴티움</t>
        </is>
      </c>
      <c r="C2346" s="2" t="inlineStr">
        <is>
          <t>코스피</t>
        </is>
      </c>
      <c r="D2346" s="2" t="inlineStr">
        <is>
          <t>145720</t>
        </is>
      </c>
      <c r="E2346" s="3" t="inlineStr">
        <is>
          <t xml:space="preserve">매매거래정지및정지해제(중요내용공시)              </t>
        </is>
      </c>
      <c r="F2346" s="3" t="inlineStr">
        <is>
          <t>유가증권시장본부</t>
        </is>
      </c>
      <c r="G2346" s="2" t="inlineStr">
        <is>
          <t>20260304801011</t>
        </is>
      </c>
      <c r="H2346" s="8">
        <f>HYPERLINK("https://dart.fss.or.kr/dsaf001/main.do?rcpNo=20260304801011", "공시열람")</f>
        <v/>
      </c>
    </row>
    <row r="2347">
      <c r="A2347" s="2" t="inlineStr">
        <is>
          <t>2026-03-04</t>
        </is>
      </c>
      <c r="B2347" s="3" t="inlineStr">
        <is>
          <t>케이티앤지</t>
        </is>
      </c>
      <c r="C2347" s="2" t="inlineStr">
        <is>
          <t>코스피</t>
        </is>
      </c>
      <c r="D2347" s="2" t="inlineStr">
        <is>
          <t>033780</t>
        </is>
      </c>
      <c r="E2347" s="3" t="inlineStr">
        <is>
          <t>임원ㆍ주요주주특정증권등소유상황보고서</t>
        </is>
      </c>
      <c r="F2347" s="3" t="inlineStr">
        <is>
          <t>GEORGE WILLIAM LULHAM</t>
        </is>
      </c>
      <c r="G2347" s="2" t="inlineStr">
        <is>
          <t>20260304001159</t>
        </is>
      </c>
      <c r="H2347" s="8">
        <f>HYPERLINK("https://dart.fss.or.kr/dsaf001/main.do?rcpNo=20260304001159", "공시열람")</f>
        <v/>
      </c>
    </row>
    <row r="2348">
      <c r="A2348" s="2" t="inlineStr">
        <is>
          <t>2026-03-04</t>
        </is>
      </c>
      <c r="B2348" s="3" t="inlineStr">
        <is>
          <t>원풍</t>
        </is>
      </c>
      <c r="C2348" s="2" t="inlineStr">
        <is>
          <t>코스닥</t>
        </is>
      </c>
      <c r="D2348" s="2" t="inlineStr">
        <is>
          <t>008370</t>
        </is>
      </c>
      <c r="E2348" s="3" t="inlineStr">
        <is>
          <t xml:space="preserve">매출액또는손익구조30%(대규모법인은15%)이상변동              </t>
        </is>
      </c>
      <c r="F2348" s="3" t="inlineStr">
        <is>
          <t>원풍</t>
        </is>
      </c>
      <c r="G2348" s="2" t="inlineStr">
        <is>
          <t>20260304901000</t>
        </is>
      </c>
      <c r="H2348" s="8">
        <f>HYPERLINK("https://dart.fss.or.kr/dsaf001/main.do?rcpNo=20260304901000", "공시열람")</f>
        <v/>
      </c>
    </row>
    <row r="2349">
      <c r="A2349" s="2" t="inlineStr">
        <is>
          <t>2026-03-04</t>
        </is>
      </c>
      <c r="B2349" s="3" t="inlineStr">
        <is>
          <t>알체라</t>
        </is>
      </c>
      <c r="C2349" s="2" t="inlineStr">
        <is>
          <t>코스닥</t>
        </is>
      </c>
      <c r="D2349" s="2" t="inlineStr">
        <is>
          <t>347860</t>
        </is>
      </c>
      <c r="E2349" s="3" t="inlineStr">
        <is>
          <t xml:space="preserve">본점소재지변경              </t>
        </is>
      </c>
      <c r="F2349" s="3" t="inlineStr">
        <is>
          <t>알체라</t>
        </is>
      </c>
      <c r="G2349" s="2" t="inlineStr">
        <is>
          <t>20260304900955</t>
        </is>
      </c>
      <c r="H2349" s="8">
        <f>HYPERLINK("https://dart.fss.or.kr/dsaf001/main.do?rcpNo=20260304900955", "공시열람")</f>
        <v/>
      </c>
    </row>
    <row r="2350">
      <c r="A2350" s="2" t="inlineStr">
        <is>
          <t>2026-03-04</t>
        </is>
      </c>
      <c r="B2350" s="3" t="inlineStr">
        <is>
          <t>KB제30호스팩</t>
        </is>
      </c>
      <c r="C2350" s="2" t="inlineStr">
        <is>
          <t>코스닥</t>
        </is>
      </c>
      <c r="D2350" s="2" t="inlineStr">
        <is>
          <t>486630</t>
        </is>
      </c>
      <c r="E2350" s="3" t="inlineStr">
        <is>
          <t>의결권대리행사권유참고서류</t>
        </is>
      </c>
      <c r="F2350" s="3" t="inlineStr">
        <is>
          <t>KB제30호스팩</t>
        </is>
      </c>
      <c r="G2350" s="2" t="inlineStr">
        <is>
          <t>20260304001156</t>
        </is>
      </c>
      <c r="H2350" s="8">
        <f>HYPERLINK("https://dart.fss.or.kr/dsaf001/main.do?rcpNo=20260304001156", "공시열람")</f>
        <v/>
      </c>
    </row>
    <row r="2351">
      <c r="A2351" s="2" t="inlineStr">
        <is>
          <t>2026-03-04</t>
        </is>
      </c>
      <c r="B2351" s="3" t="inlineStr">
        <is>
          <t>미래에셋증권</t>
        </is>
      </c>
      <c r="C2351" s="2" t="inlineStr">
        <is>
          <t>코스피</t>
        </is>
      </c>
      <c r="D2351" s="2" t="inlineStr">
        <is>
          <t>006800</t>
        </is>
      </c>
      <c r="E2351" s="3" t="inlineStr">
        <is>
          <t>특수관계인과의수익증권거래</t>
        </is>
      </c>
      <c r="F2351" s="3" t="inlineStr">
        <is>
          <t>미래에셋증권</t>
        </is>
      </c>
      <c r="G2351" s="2" t="inlineStr">
        <is>
          <t>20260304001155</t>
        </is>
      </c>
      <c r="H2351" s="8">
        <f>HYPERLINK("https://dart.fss.or.kr/dsaf001/main.do?rcpNo=20260304001155", "공시열람")</f>
        <v/>
      </c>
    </row>
    <row r="2352">
      <c r="A2352" s="2" t="inlineStr">
        <is>
          <t>2026-03-04</t>
        </is>
      </c>
      <c r="B2352" s="3" t="inlineStr">
        <is>
          <t>이글루</t>
        </is>
      </c>
      <c r="C2352" s="2" t="inlineStr">
        <is>
          <t>코스닥</t>
        </is>
      </c>
      <c r="D2352" s="2" t="inlineStr">
        <is>
          <t>067920</t>
        </is>
      </c>
      <c r="E2352" s="3" t="inlineStr">
        <is>
          <t>임원ㆍ주요주주특정증권등소유상황보고서</t>
        </is>
      </c>
      <c r="F2352" s="3" t="inlineStr">
        <is>
          <t>구창환</t>
        </is>
      </c>
      <c r="G2352" s="2" t="inlineStr">
        <is>
          <t>20260304001154</t>
        </is>
      </c>
      <c r="H2352" s="8">
        <f>HYPERLINK("https://dart.fss.or.kr/dsaf001/main.do?rcpNo=20260304001154", "공시열람")</f>
        <v/>
      </c>
    </row>
    <row r="2353">
      <c r="A2353" s="2" t="inlineStr">
        <is>
          <t>2026-03-04</t>
        </is>
      </c>
      <c r="B2353" s="3" t="inlineStr">
        <is>
          <t>KB제31호스팩</t>
        </is>
      </c>
      <c r="C2353" s="2" t="inlineStr">
        <is>
          <t>코스닥</t>
        </is>
      </c>
      <c r="D2353" s="2" t="inlineStr">
        <is>
          <t>492220</t>
        </is>
      </c>
      <c r="E2353" s="3" t="inlineStr">
        <is>
          <t>의결권대리행사권유참고서류</t>
        </is>
      </c>
      <c r="F2353" s="3" t="inlineStr">
        <is>
          <t>KB제31호스팩</t>
        </is>
      </c>
      <c r="G2353" s="2" t="inlineStr">
        <is>
          <t>20260304001153</t>
        </is>
      </c>
      <c r="H2353" s="8">
        <f>HYPERLINK("https://dart.fss.or.kr/dsaf001/main.do?rcpNo=20260304001153", "공시열람")</f>
        <v/>
      </c>
    </row>
    <row r="2354">
      <c r="A2354" s="2" t="inlineStr">
        <is>
          <t>2026-03-04</t>
        </is>
      </c>
      <c r="B2354" s="3" t="inlineStr">
        <is>
          <t>레이저쎌</t>
        </is>
      </c>
      <c r="C2354" s="2" t="inlineStr">
        <is>
          <t>코스닥</t>
        </is>
      </c>
      <c r="D2354" s="2" t="inlineStr">
        <is>
          <t>412350</t>
        </is>
      </c>
      <c r="E2354" s="3" t="inlineStr">
        <is>
          <t>의결권대리행사권유참고서류</t>
        </is>
      </c>
      <c r="F2354" s="3" t="inlineStr">
        <is>
          <t>레이저쎌</t>
        </is>
      </c>
      <c r="G2354" s="2" t="inlineStr">
        <is>
          <t>20260304001152</t>
        </is>
      </c>
      <c r="H2354" s="8">
        <f>HYPERLINK("https://dart.fss.or.kr/dsaf001/main.do?rcpNo=20260304001152", "공시열람")</f>
        <v/>
      </c>
    </row>
    <row r="2355">
      <c r="A2355" s="2" t="inlineStr">
        <is>
          <t>2026-03-04</t>
        </is>
      </c>
      <c r="B2355" s="3" t="inlineStr">
        <is>
          <t>교보17호스팩</t>
        </is>
      </c>
      <c r="C2355" s="2" t="inlineStr">
        <is>
          <t>코스닥</t>
        </is>
      </c>
      <c r="D2355" s="2" t="inlineStr">
        <is>
          <t>489210</t>
        </is>
      </c>
      <c r="E2355" s="3" t="inlineStr">
        <is>
          <t xml:space="preserve">감사보고서제출              </t>
        </is>
      </c>
      <c r="F2355" s="3" t="inlineStr">
        <is>
          <t>교보17호스팩</t>
        </is>
      </c>
      <c r="G2355" s="2" t="inlineStr">
        <is>
          <t>20260304900987</t>
        </is>
      </c>
      <c r="H2355" s="8">
        <f>HYPERLINK("https://dart.fss.or.kr/dsaf001/main.do?rcpNo=20260304900987", "공시열람")</f>
        <v/>
      </c>
    </row>
    <row r="2356">
      <c r="A2356" s="2" t="inlineStr">
        <is>
          <t>2026-03-04</t>
        </is>
      </c>
      <c r="B2356" s="3" t="inlineStr">
        <is>
          <t>현대차증권</t>
        </is>
      </c>
      <c r="C2356" s="2" t="inlineStr">
        <is>
          <t>코스피</t>
        </is>
      </c>
      <c r="D2356" s="2" t="inlineStr">
        <is>
          <t>001500</t>
        </is>
      </c>
      <c r="E2356" s="3" t="inlineStr">
        <is>
          <t>투자설명서(일괄신고)</t>
        </is>
      </c>
      <c r="F2356" s="3" t="inlineStr">
        <is>
          <t>현대차증권</t>
        </is>
      </c>
      <c r="G2356" s="2" t="inlineStr">
        <is>
          <t>20260304001145</t>
        </is>
      </c>
      <c r="H2356" s="8">
        <f>HYPERLINK("https://dart.fss.or.kr/dsaf001/main.do?rcpNo=20260304001145", "공시열람")</f>
        <v/>
      </c>
    </row>
    <row r="2357">
      <c r="A2357" s="2" t="inlineStr">
        <is>
          <t>2026-03-04</t>
        </is>
      </c>
      <c r="B2357" s="3" t="inlineStr">
        <is>
          <t>코아스템켐온</t>
        </is>
      </c>
      <c r="C2357" s="2" t="inlineStr">
        <is>
          <t>코스닥</t>
        </is>
      </c>
      <c r="D2357" s="2" t="inlineStr">
        <is>
          <t>166480</t>
        </is>
      </c>
      <c r="E2357" s="3" t="inlineStr">
        <is>
          <t>의결권대리행사권유참고서류</t>
        </is>
      </c>
      <c r="F2357" s="3" t="inlineStr">
        <is>
          <t>코아스템켐온</t>
        </is>
      </c>
      <c r="G2357" s="2" t="inlineStr">
        <is>
          <t>20260304001144</t>
        </is>
      </c>
      <c r="H2357" s="8">
        <f>HYPERLINK("https://dart.fss.or.kr/dsaf001/main.do?rcpNo=20260304001144", "공시열람")</f>
        <v/>
      </c>
    </row>
    <row r="2358">
      <c r="A2358" s="2" t="inlineStr">
        <is>
          <t>2026-03-04</t>
        </is>
      </c>
      <c r="B2358" s="3" t="inlineStr">
        <is>
          <t>이글루</t>
        </is>
      </c>
      <c r="C2358" s="2" t="inlineStr">
        <is>
          <t>코스닥</t>
        </is>
      </c>
      <c r="D2358" s="2" t="inlineStr">
        <is>
          <t>067920</t>
        </is>
      </c>
      <c r="E2358" s="3" t="inlineStr">
        <is>
          <t>임원ㆍ주요주주특정증권등소유상황보고서</t>
        </is>
      </c>
      <c r="F2358" s="3" t="inlineStr">
        <is>
          <t>김은중</t>
        </is>
      </c>
      <c r="G2358" s="2" t="inlineStr">
        <is>
          <t>20260304001143</t>
        </is>
      </c>
      <c r="H2358" s="8">
        <f>HYPERLINK("https://dart.fss.or.kr/dsaf001/main.do?rcpNo=20260304001143", "공시열람")</f>
        <v/>
      </c>
    </row>
    <row r="2359">
      <c r="A2359" s="2" t="inlineStr">
        <is>
          <t>2026-03-04</t>
        </is>
      </c>
      <c r="B2359" s="3" t="inlineStr">
        <is>
          <t>케이티앤지</t>
        </is>
      </c>
      <c r="C2359" s="2" t="inlineStr">
        <is>
          <t>코스피</t>
        </is>
      </c>
      <c r="D2359" s="2" t="inlineStr">
        <is>
          <t>033780</t>
        </is>
      </c>
      <c r="E2359" s="3" t="inlineStr">
        <is>
          <t>임원ㆍ주요주주특정증권등소유상황보고서</t>
        </is>
      </c>
      <c r="F2359" s="3" t="inlineStr">
        <is>
          <t>황성호</t>
        </is>
      </c>
      <c r="G2359" s="2" t="inlineStr">
        <is>
          <t>20260304001133</t>
        </is>
      </c>
      <c r="H2359" s="8">
        <f>HYPERLINK("https://dart.fss.or.kr/dsaf001/main.do?rcpNo=20260304001133", "공시열람")</f>
        <v/>
      </c>
    </row>
    <row r="2360">
      <c r="A2360" s="2" t="inlineStr">
        <is>
          <t>2026-03-04</t>
        </is>
      </c>
      <c r="B2360" s="3" t="inlineStr">
        <is>
          <t>교보15호스팩</t>
        </is>
      </c>
      <c r="C2360" s="2" t="inlineStr">
        <is>
          <t>코스닥</t>
        </is>
      </c>
      <c r="D2360" s="2" t="inlineStr">
        <is>
          <t>465320</t>
        </is>
      </c>
      <c r="E2360" s="3" t="inlineStr">
        <is>
          <t xml:space="preserve">감사보고서제출              </t>
        </is>
      </c>
      <c r="F2360" s="3" t="inlineStr">
        <is>
          <t>교보15호스팩</t>
        </is>
      </c>
      <c r="G2360" s="2" t="inlineStr">
        <is>
          <t>20260304900971</t>
        </is>
      </c>
      <c r="H2360" s="8">
        <f>HYPERLINK("https://dart.fss.or.kr/dsaf001/main.do?rcpNo=20260304900971", "공시열람")</f>
        <v/>
      </c>
    </row>
    <row r="2361">
      <c r="A2361" s="2" t="inlineStr">
        <is>
          <t>2026-03-04</t>
        </is>
      </c>
      <c r="B2361" s="3" t="inlineStr">
        <is>
          <t>이글루</t>
        </is>
      </c>
      <c r="C2361" s="2" t="inlineStr">
        <is>
          <t>코스닥</t>
        </is>
      </c>
      <c r="D2361" s="2" t="inlineStr">
        <is>
          <t>067920</t>
        </is>
      </c>
      <c r="E2361" s="3" t="inlineStr">
        <is>
          <t>임원ㆍ주요주주특정증권등소유상황보고서</t>
        </is>
      </c>
      <c r="F2361" s="3" t="inlineStr">
        <is>
          <t>이현서</t>
        </is>
      </c>
      <c r="G2361" s="2" t="inlineStr">
        <is>
          <t>20260304001128</t>
        </is>
      </c>
      <c r="H2361" s="8">
        <f>HYPERLINK("https://dart.fss.or.kr/dsaf001/main.do?rcpNo=20260304001128", "공시열람")</f>
        <v/>
      </c>
    </row>
    <row r="2362">
      <c r="A2362" s="2" t="inlineStr">
        <is>
          <t>2026-03-04</t>
        </is>
      </c>
      <c r="B2362" s="3" t="inlineStr">
        <is>
          <t>고영</t>
        </is>
      </c>
      <c r="C2362" s="2" t="inlineStr">
        <is>
          <t>코스닥</t>
        </is>
      </c>
      <c r="D2362" s="2" t="inlineStr">
        <is>
          <t>098460</t>
        </is>
      </c>
      <c r="E2362" s="3" t="inlineStr">
        <is>
          <t xml:space="preserve">기업설명회(IR)개최              </t>
        </is>
      </c>
      <c r="F2362" s="3" t="inlineStr">
        <is>
          <t>고영</t>
        </is>
      </c>
      <c r="G2362" s="2" t="inlineStr">
        <is>
          <t>20260304900999</t>
        </is>
      </c>
      <c r="H2362" s="8">
        <f>HYPERLINK("https://dart.fss.or.kr/dsaf001/main.do?rcpNo=20260304900999", "공시열람")</f>
        <v/>
      </c>
    </row>
    <row r="2363">
      <c r="A2363" s="2" t="inlineStr">
        <is>
          <t>2026-03-04</t>
        </is>
      </c>
      <c r="B2363" s="3" t="inlineStr">
        <is>
          <t>교보16호스팩</t>
        </is>
      </c>
      <c r="C2363" s="2" t="inlineStr">
        <is>
          <t>코스닥</t>
        </is>
      </c>
      <c r="D2363" s="2" t="inlineStr">
        <is>
          <t>482520</t>
        </is>
      </c>
      <c r="E2363" s="3" t="inlineStr">
        <is>
          <t>의결권대리행사권유참고서류</t>
        </is>
      </c>
      <c r="F2363" s="3" t="inlineStr">
        <is>
          <t>교보16호스팩</t>
        </is>
      </c>
      <c r="G2363" s="2" t="inlineStr">
        <is>
          <t>20260304001124</t>
        </is>
      </c>
      <c r="H2363" s="8">
        <f>HYPERLINK("https://dart.fss.or.kr/dsaf001/main.do?rcpNo=20260304001124", "공시열람")</f>
        <v/>
      </c>
    </row>
    <row r="2364">
      <c r="A2364" s="2" t="inlineStr">
        <is>
          <t>2026-03-04</t>
        </is>
      </c>
      <c r="B2364" s="3" t="inlineStr">
        <is>
          <t>케이티앤지</t>
        </is>
      </c>
      <c r="C2364" s="2" t="inlineStr">
        <is>
          <t>코스피</t>
        </is>
      </c>
      <c r="D2364" s="2" t="inlineStr">
        <is>
          <t>033780</t>
        </is>
      </c>
      <c r="E2364" s="3" t="inlineStr">
        <is>
          <t>임원ㆍ주요주주특정증권등소유상황보고서</t>
        </is>
      </c>
      <c r="F2364" s="3" t="inlineStr">
        <is>
          <t>황기현</t>
        </is>
      </c>
      <c r="G2364" s="2" t="inlineStr">
        <is>
          <t>20260304001120</t>
        </is>
      </c>
      <c r="H2364" s="8">
        <f>HYPERLINK("https://dart.fss.or.kr/dsaf001/main.do?rcpNo=20260304001120", "공시열람")</f>
        <v/>
      </c>
    </row>
    <row r="2365">
      <c r="A2365" s="2" t="inlineStr">
        <is>
          <t>2026-03-04</t>
        </is>
      </c>
      <c r="B2365" s="3" t="inlineStr">
        <is>
          <t>엘컴텍</t>
        </is>
      </c>
      <c r="C2365" s="2" t="inlineStr">
        <is>
          <t>코스닥</t>
        </is>
      </c>
      <c r="D2365" s="2" t="inlineStr">
        <is>
          <t>037950</t>
        </is>
      </c>
      <c r="E2365" s="3" t="inlineStr">
        <is>
          <t>의결권대리행사권유참고서류</t>
        </is>
      </c>
      <c r="F2365" s="3" t="inlineStr">
        <is>
          <t>엘컴텍</t>
        </is>
      </c>
      <c r="G2365" s="2" t="inlineStr">
        <is>
          <t>20260304001118</t>
        </is>
      </c>
      <c r="H2365" s="8">
        <f>HYPERLINK("https://dart.fss.or.kr/dsaf001/main.do?rcpNo=20260304001118", "공시열람")</f>
        <v/>
      </c>
    </row>
    <row r="2366">
      <c r="A2366" s="2" t="inlineStr">
        <is>
          <t>2026-03-04</t>
        </is>
      </c>
      <c r="B2366" s="3" t="inlineStr">
        <is>
          <t>카나프테라퓨틱스</t>
        </is>
      </c>
      <c r="C2366" s="2" t="inlineStr">
        <is>
          <t>코스닥</t>
        </is>
      </c>
      <c r="D2366" s="2" t="inlineStr">
        <is>
          <t>0082N0</t>
        </is>
      </c>
      <c r="E2366" s="3" t="inlineStr">
        <is>
          <t>[발행조건확정]증권신고서(지분증권)</t>
        </is>
      </c>
      <c r="F2366" s="3" t="inlineStr">
        <is>
          <t>카나프테라퓨틱스</t>
        </is>
      </c>
      <c r="G2366" s="2" t="inlineStr">
        <is>
          <t>20260304001111</t>
        </is>
      </c>
      <c r="H2366" s="8">
        <f>HYPERLINK("https://dart.fss.or.kr/dsaf001/main.do?rcpNo=20260304001111", "공시열람")</f>
        <v/>
      </c>
    </row>
    <row r="2367">
      <c r="A2367" s="2" t="inlineStr">
        <is>
          <t>2026-03-04</t>
        </is>
      </c>
      <c r="B2367" s="3" t="inlineStr">
        <is>
          <t>이리츠코크렙</t>
        </is>
      </c>
      <c r="C2367" s="2" t="inlineStr">
        <is>
          <t>코스피</t>
        </is>
      </c>
      <c r="D2367" s="2" t="inlineStr">
        <is>
          <t>088260</t>
        </is>
      </c>
      <c r="E2367" s="3" t="inlineStr">
        <is>
          <t>의결권대리행사권유참고서류</t>
        </is>
      </c>
      <c r="F2367" s="3" t="inlineStr">
        <is>
          <t>이리츠코크렙</t>
        </is>
      </c>
      <c r="G2367" s="2" t="inlineStr">
        <is>
          <t>20260304001110</t>
        </is>
      </c>
      <c r="H2367" s="8">
        <f>HYPERLINK("https://dart.fss.or.kr/dsaf001/main.do?rcpNo=20260304001110", "공시열람")</f>
        <v/>
      </c>
    </row>
    <row r="2368">
      <c r="A2368" s="2" t="inlineStr">
        <is>
          <t>2026-03-04</t>
        </is>
      </c>
      <c r="B2368" s="3" t="inlineStr">
        <is>
          <t>파라다이스</t>
        </is>
      </c>
      <c r="C2368" s="2" t="inlineStr">
        <is>
          <t>코스피</t>
        </is>
      </c>
      <c r="D2368" s="2" t="inlineStr">
        <is>
          <t>034230</t>
        </is>
      </c>
      <c r="E2368" s="3" t="inlineStr">
        <is>
          <t xml:space="preserve">연결재무제표기준영업(잠정)실적(공정공시)              </t>
        </is>
      </c>
      <c r="F2368" s="3" t="inlineStr">
        <is>
          <t>파라다이스</t>
        </is>
      </c>
      <c r="G2368" s="2" t="inlineStr">
        <is>
          <t>20260304800954</t>
        </is>
      </c>
      <c r="H2368" s="8">
        <f>HYPERLINK("https://dart.fss.or.kr/dsaf001/main.do?rcpNo=20260304800954", "공시열람")</f>
        <v/>
      </c>
    </row>
    <row r="2369">
      <c r="A2369" s="2" t="inlineStr">
        <is>
          <t>2026-03-04</t>
        </is>
      </c>
      <c r="B2369" s="3" t="inlineStr">
        <is>
          <t>삼성에피스홀딩스</t>
        </is>
      </c>
      <c r="C2369" s="2" t="inlineStr">
        <is>
          <t>코스피</t>
        </is>
      </c>
      <c r="D2369" s="2" t="inlineStr">
        <is>
          <t>0126Z0</t>
        </is>
      </c>
      <c r="E2369" s="3" t="inlineStr">
        <is>
          <t xml:space="preserve">감사보고서제출(자회사의 주요경영사항)              </t>
        </is>
      </c>
      <c r="F2369" s="3" t="inlineStr">
        <is>
          <t>삼성에피스홀딩스</t>
        </is>
      </c>
      <c r="G2369" s="2" t="inlineStr">
        <is>
          <t>20260304800932</t>
        </is>
      </c>
      <c r="H2369" s="8">
        <f>HYPERLINK("https://dart.fss.or.kr/dsaf001/main.do?rcpNo=20260304800932", "공시열람")</f>
        <v/>
      </c>
    </row>
    <row r="2370">
      <c r="A2370" s="2" t="inlineStr">
        <is>
          <t>2026-03-04</t>
        </is>
      </c>
      <c r="B2370" s="3" t="inlineStr">
        <is>
          <t>케이티앤지</t>
        </is>
      </c>
      <c r="C2370" s="2" t="inlineStr">
        <is>
          <t>코스피</t>
        </is>
      </c>
      <c r="D2370" s="2" t="inlineStr">
        <is>
          <t>033780</t>
        </is>
      </c>
      <c r="E2370" s="3" t="inlineStr">
        <is>
          <t>임원ㆍ주요주주특정증권등소유상황보고서</t>
        </is>
      </c>
      <c r="F2370" s="3" t="inlineStr">
        <is>
          <t>홍대화</t>
        </is>
      </c>
      <c r="G2370" s="2" t="inlineStr">
        <is>
          <t>20260304001105</t>
        </is>
      </c>
      <c r="H2370" s="8">
        <f>HYPERLINK("https://dart.fss.or.kr/dsaf001/main.do?rcpNo=20260304001105", "공시열람")</f>
        <v/>
      </c>
    </row>
    <row r="2371">
      <c r="A2371" s="2" t="inlineStr">
        <is>
          <t>2026-03-04</t>
        </is>
      </c>
      <c r="B2371" s="3" t="inlineStr">
        <is>
          <t>이글루</t>
        </is>
      </c>
      <c r="C2371" s="2" t="inlineStr">
        <is>
          <t>코스닥</t>
        </is>
      </c>
      <c r="D2371" s="2" t="inlineStr">
        <is>
          <t>067920</t>
        </is>
      </c>
      <c r="E2371" s="3" t="inlineStr">
        <is>
          <t>자기주식처분결과보고서</t>
        </is>
      </c>
      <c r="F2371" s="3" t="inlineStr">
        <is>
          <t>이글루</t>
        </is>
      </c>
      <c r="G2371" s="2" t="inlineStr">
        <is>
          <t>20260304001095</t>
        </is>
      </c>
      <c r="H2371" s="8">
        <f>HYPERLINK("https://dart.fss.or.kr/dsaf001/main.do?rcpNo=20260304001095", "공시열람")</f>
        <v/>
      </c>
    </row>
    <row r="2372">
      <c r="A2372" s="2" t="inlineStr">
        <is>
          <t>2026-03-04</t>
        </is>
      </c>
      <c r="B2372" s="3" t="inlineStr">
        <is>
          <t>형지I&amp;C</t>
        </is>
      </c>
      <c r="C2372" s="2" t="inlineStr">
        <is>
          <t>코스닥</t>
        </is>
      </c>
      <c r="D2372" s="2" t="inlineStr">
        <is>
          <t>011080</t>
        </is>
      </c>
      <c r="E2372" s="3" t="inlineStr">
        <is>
          <t>의결권대리행사권유참고서류</t>
        </is>
      </c>
      <c r="F2372" s="3" t="inlineStr">
        <is>
          <t>형지I&amp;C</t>
        </is>
      </c>
      <c r="G2372" s="2" t="inlineStr">
        <is>
          <t>20260304001093</t>
        </is>
      </c>
      <c r="H2372" s="8">
        <f>HYPERLINK("https://dart.fss.or.kr/dsaf001/main.do?rcpNo=20260304001093", "공시열람")</f>
        <v/>
      </c>
    </row>
    <row r="2373">
      <c r="A2373" s="2" t="inlineStr">
        <is>
          <t>2026-03-04</t>
        </is>
      </c>
      <c r="B2373" s="3" t="inlineStr">
        <is>
          <t>케이티앤지</t>
        </is>
      </c>
      <c r="C2373" s="2" t="inlineStr">
        <is>
          <t>코스피</t>
        </is>
      </c>
      <c r="D2373" s="2" t="inlineStr">
        <is>
          <t>033780</t>
        </is>
      </c>
      <c r="E2373" s="3" t="inlineStr">
        <is>
          <t>임원ㆍ주요주주특정증권등소유상황보고서</t>
        </is>
      </c>
      <c r="F2373" s="3" t="inlineStr">
        <is>
          <t>허창구</t>
        </is>
      </c>
      <c r="G2373" s="2" t="inlineStr">
        <is>
          <t>20260304001085</t>
        </is>
      </c>
      <c r="H2373" s="8">
        <f>HYPERLINK("https://dart.fss.or.kr/dsaf001/main.do?rcpNo=20260304001085", "공시열람")</f>
        <v/>
      </c>
    </row>
    <row r="2374">
      <c r="A2374" s="2" t="inlineStr">
        <is>
          <t>2026-03-04 (정정: 2026-03-06)</t>
        </is>
      </c>
      <c r="B2374" s="3" t="inlineStr">
        <is>
          <t>경동제약</t>
        </is>
      </c>
      <c r="C2374" s="2" t="inlineStr">
        <is>
          <t>코스닥</t>
        </is>
      </c>
      <c r="D2374" s="2" t="inlineStr">
        <is>
          <t>011040</t>
        </is>
      </c>
      <c r="E2374" s="3" t="inlineStr">
        <is>
          <t>임원ㆍ주요주주특정증권등소유상황보고서 (정정: 20260306)</t>
        </is>
      </c>
      <c r="F2374" s="3" t="inlineStr">
        <is>
          <t>류덕희</t>
        </is>
      </c>
      <c r="G2374" s="2" t="inlineStr">
        <is>
          <t>20260306901594</t>
        </is>
      </c>
      <c r="H2374" s="8">
        <f>HYPERLINK("https://dart.fss.or.kr/dsaf001/main.do?rcpNo=20260306901594", "공시열람")</f>
        <v/>
      </c>
    </row>
    <row r="2375">
      <c r="A2375" s="2" t="inlineStr">
        <is>
          <t>2026-03-04</t>
        </is>
      </c>
      <c r="B2375" s="3" t="inlineStr">
        <is>
          <t>노루페인트</t>
        </is>
      </c>
      <c r="C2375" s="2" t="inlineStr">
        <is>
          <t>코스피</t>
        </is>
      </c>
      <c r="D2375" s="2" t="inlineStr">
        <is>
          <t>090350</t>
        </is>
      </c>
      <c r="E2375" s="3" t="inlineStr">
        <is>
          <t xml:space="preserve">현금ㆍ현물배당결정              </t>
        </is>
      </c>
      <c r="F2375" s="3" t="inlineStr">
        <is>
          <t>노루페인트</t>
        </is>
      </c>
      <c r="G2375" s="2" t="inlineStr">
        <is>
          <t>20260304800963</t>
        </is>
      </c>
      <c r="H2375" s="8">
        <f>HYPERLINK("https://dart.fss.or.kr/dsaf001/main.do?rcpNo=20260304800963", "공시열람")</f>
        <v/>
      </c>
    </row>
    <row r="2376">
      <c r="A2376" s="2" t="inlineStr">
        <is>
          <t>2026-03-04</t>
        </is>
      </c>
      <c r="B2376" s="3" t="inlineStr">
        <is>
          <t>DSR제강</t>
        </is>
      </c>
      <c r="C2376" s="2" t="inlineStr">
        <is>
          <t>코스피</t>
        </is>
      </c>
      <c r="D2376" s="2" t="inlineStr">
        <is>
          <t>069730</t>
        </is>
      </c>
      <c r="E2376" s="3" t="inlineStr">
        <is>
          <t xml:space="preserve">현금ㆍ현물배당결정              </t>
        </is>
      </c>
      <c r="F2376" s="3" t="inlineStr">
        <is>
          <t>DSR제강</t>
        </is>
      </c>
      <c r="G2376" s="2" t="inlineStr">
        <is>
          <t>20260304800948</t>
        </is>
      </c>
      <c r="H2376" s="8">
        <f>HYPERLINK("https://dart.fss.or.kr/dsaf001/main.do?rcpNo=20260304800948", "공시열람")</f>
        <v/>
      </c>
    </row>
    <row r="2377">
      <c r="A2377" s="2" t="inlineStr">
        <is>
          <t>2026-03-04</t>
        </is>
      </c>
      <c r="B2377" s="3" t="inlineStr">
        <is>
          <t>현대차증권</t>
        </is>
      </c>
      <c r="C2377" s="2" t="inlineStr">
        <is>
          <t>코스피</t>
        </is>
      </c>
      <c r="D2377" s="2" t="inlineStr">
        <is>
          <t>001500</t>
        </is>
      </c>
      <c r="E2377" s="3" t="inlineStr">
        <is>
          <t>일괄신고추가서류(파생결합사채-주가연계파생결합사채)</t>
        </is>
      </c>
      <c r="F2377" s="3" t="inlineStr">
        <is>
          <t>현대차증권</t>
        </is>
      </c>
      <c r="G2377" s="2" t="inlineStr">
        <is>
          <t>20260304001073</t>
        </is>
      </c>
      <c r="H2377" s="8">
        <f>HYPERLINK("https://dart.fss.or.kr/dsaf001/main.do?rcpNo=20260304001073", "공시열람")</f>
        <v/>
      </c>
    </row>
    <row r="2378">
      <c r="A2378" s="2" t="inlineStr">
        <is>
          <t>2026-03-04</t>
        </is>
      </c>
      <c r="B2378" s="3" t="inlineStr">
        <is>
          <t>케이티앤지</t>
        </is>
      </c>
      <c r="C2378" s="2" t="inlineStr">
        <is>
          <t>코스피</t>
        </is>
      </c>
      <c r="D2378" s="2" t="inlineStr">
        <is>
          <t>033780</t>
        </is>
      </c>
      <c r="E2378" s="3" t="inlineStr">
        <is>
          <t>임원ㆍ주요주주특정증권등소유상황보고서</t>
        </is>
      </c>
      <c r="F2378" s="3" t="inlineStr">
        <is>
          <t>한인영</t>
        </is>
      </c>
      <c r="G2378" s="2" t="inlineStr">
        <is>
          <t>20260304001069</t>
        </is>
      </c>
      <c r="H2378" s="8">
        <f>HYPERLINK("https://dart.fss.or.kr/dsaf001/main.do?rcpNo=20260304001069", "공시열람")</f>
        <v/>
      </c>
    </row>
    <row r="2379">
      <c r="A2379" s="2" t="inlineStr">
        <is>
          <t>2026-03-04</t>
        </is>
      </c>
      <c r="B2379" s="3" t="inlineStr">
        <is>
          <t>한국카본</t>
        </is>
      </c>
      <c r="C2379" s="2" t="inlineStr">
        <is>
          <t>코스피</t>
        </is>
      </c>
      <c r="D2379" s="2" t="inlineStr">
        <is>
          <t>017960</t>
        </is>
      </c>
      <c r="E2379" s="3" t="inlineStr">
        <is>
          <t>주요사항보고서(감자결정)</t>
        </is>
      </c>
      <c r="F2379" s="3" t="inlineStr">
        <is>
          <t>한국카본</t>
        </is>
      </c>
      <c r="G2379" s="2" t="inlineStr">
        <is>
          <t>20260304001036</t>
        </is>
      </c>
      <c r="H2379" s="8">
        <f>HYPERLINK("https://dart.fss.or.kr/dsaf001/main.do?rcpNo=20260304001036", "공시열람")</f>
        <v/>
      </c>
    </row>
    <row r="2380">
      <c r="A2380" s="2" t="inlineStr">
        <is>
          <t>2026-03-04</t>
        </is>
      </c>
      <c r="B2380" s="3" t="inlineStr">
        <is>
          <t>에이치엠씨제7호스팩</t>
        </is>
      </c>
      <c r="C2380" s="2" t="inlineStr">
        <is>
          <t>코스닥</t>
        </is>
      </c>
      <c r="D2380" s="2" t="inlineStr">
        <is>
          <t>477340</t>
        </is>
      </c>
      <c r="E2380" s="3" t="inlineStr">
        <is>
          <t xml:space="preserve">감사보고서제출              </t>
        </is>
      </c>
      <c r="F2380" s="3" t="inlineStr">
        <is>
          <t>에이치엠씨제7호스팩</t>
        </is>
      </c>
      <c r="G2380" s="2" t="inlineStr">
        <is>
          <t>20260304900919</t>
        </is>
      </c>
      <c r="H2380" s="8">
        <f>HYPERLINK("https://dart.fss.or.kr/dsaf001/main.do?rcpNo=20260304900919", "공시열람")</f>
        <v/>
      </c>
    </row>
    <row r="2381">
      <c r="A2381" s="2" t="inlineStr">
        <is>
          <t>2026-03-04</t>
        </is>
      </c>
      <c r="B2381" s="3" t="inlineStr">
        <is>
          <t>원풍</t>
        </is>
      </c>
      <c r="C2381" s="2" t="inlineStr">
        <is>
          <t>코스닥</t>
        </is>
      </c>
      <c r="D2381" s="2" t="inlineStr">
        <is>
          <t>008370</t>
        </is>
      </c>
      <c r="E2381" s="3" t="inlineStr">
        <is>
          <t xml:space="preserve">현금ㆍ현물배당결정              </t>
        </is>
      </c>
      <c r="F2381" s="3" t="inlineStr">
        <is>
          <t>원풍</t>
        </is>
      </c>
      <c r="G2381" s="2" t="inlineStr">
        <is>
          <t>20260304900937</t>
        </is>
      </c>
      <c r="H2381" s="8">
        <f>HYPERLINK("https://dart.fss.or.kr/dsaf001/main.do?rcpNo=20260304900937", "공시열람")</f>
        <v/>
      </c>
    </row>
    <row r="2382">
      <c r="A2382" s="2" t="inlineStr">
        <is>
          <t>2026-03-04</t>
        </is>
      </c>
      <c r="B2382" s="3" t="inlineStr">
        <is>
          <t>노브랜드</t>
        </is>
      </c>
      <c r="C2382" s="2" t="inlineStr">
        <is>
          <t>코스닥</t>
        </is>
      </c>
      <c r="D2382" s="2" t="inlineStr">
        <is>
          <t>145170</t>
        </is>
      </c>
      <c r="E2382" s="3" t="inlineStr">
        <is>
          <t>임원ㆍ주요주주특정증권등소유상황보고서</t>
        </is>
      </c>
      <c r="F2382" s="3" t="inlineStr">
        <is>
          <t>김기홍</t>
        </is>
      </c>
      <c r="G2382" s="2" t="inlineStr">
        <is>
          <t>20260304001056</t>
        </is>
      </c>
      <c r="H2382" s="8">
        <f>HYPERLINK("https://dart.fss.or.kr/dsaf001/main.do?rcpNo=20260304001056", "공시열람")</f>
        <v/>
      </c>
    </row>
    <row r="2383">
      <c r="A2383" s="2" t="inlineStr">
        <is>
          <t>2026-03-04</t>
        </is>
      </c>
      <c r="B2383" s="3" t="inlineStr">
        <is>
          <t>RF시스템즈</t>
        </is>
      </c>
      <c r="C2383" s="2" t="inlineStr">
        <is>
          <t>코스닥</t>
        </is>
      </c>
      <c r="D2383" s="2" t="inlineStr">
        <is>
          <t>474610</t>
        </is>
      </c>
      <c r="E2383" s="3" t="inlineStr">
        <is>
          <t>임원ㆍ주요주주특정증권등소유상황보고서</t>
        </is>
      </c>
      <c r="F2383" s="3" t="inlineStr">
        <is>
          <t>강대룡</t>
        </is>
      </c>
      <c r="G2383" s="2" t="inlineStr">
        <is>
          <t>20260304001054</t>
        </is>
      </c>
      <c r="H2383" s="8">
        <f>HYPERLINK("https://dart.fss.or.kr/dsaf001/main.do?rcpNo=20260304001054", "공시열람")</f>
        <v/>
      </c>
    </row>
    <row r="2384">
      <c r="A2384" s="2" t="inlineStr">
        <is>
          <t>2026-03-04</t>
        </is>
      </c>
      <c r="B2384" s="3" t="inlineStr">
        <is>
          <t>케이티앤지</t>
        </is>
      </c>
      <c r="C2384" s="2" t="inlineStr">
        <is>
          <t>코스피</t>
        </is>
      </c>
      <c r="D2384" s="2" t="inlineStr">
        <is>
          <t>033780</t>
        </is>
      </c>
      <c r="E2384" s="3" t="inlineStr">
        <is>
          <t>임원ㆍ주요주주특정증권등소유상황보고서</t>
        </is>
      </c>
      <c r="F2384" s="3" t="inlineStr">
        <is>
          <t>한용환</t>
        </is>
      </c>
      <c r="G2384" s="2" t="inlineStr">
        <is>
          <t>20260304001053</t>
        </is>
      </c>
      <c r="H2384" s="8">
        <f>HYPERLINK("https://dart.fss.or.kr/dsaf001/main.do?rcpNo=20260304001053", "공시열람")</f>
        <v/>
      </c>
    </row>
    <row r="2385">
      <c r="A2385" s="2" t="inlineStr">
        <is>
          <t>2026-03-04</t>
        </is>
      </c>
      <c r="B2385" s="3" t="inlineStr">
        <is>
          <t>케이티앤지</t>
        </is>
      </c>
      <c r="C2385" s="2" t="inlineStr">
        <is>
          <t>코스피</t>
        </is>
      </c>
      <c r="D2385" s="2" t="inlineStr">
        <is>
          <t>033780</t>
        </is>
      </c>
      <c r="E2385" s="3" t="inlineStr">
        <is>
          <t>임원ㆍ주요주주특정증권등소유상황보고서</t>
        </is>
      </c>
      <c r="F2385" s="3" t="inlineStr">
        <is>
          <t>한동원</t>
        </is>
      </c>
      <c r="G2385" s="2" t="inlineStr">
        <is>
          <t>20260304001043</t>
        </is>
      </c>
      <c r="H2385" s="8">
        <f>HYPERLINK("https://dart.fss.or.kr/dsaf001/main.do?rcpNo=20260304001043", "공시열람")</f>
        <v/>
      </c>
    </row>
    <row r="2386">
      <c r="A2386" s="2" t="inlineStr">
        <is>
          <t>2026-03-04</t>
        </is>
      </c>
      <c r="B2386" s="3" t="inlineStr">
        <is>
          <t>엔텔스</t>
        </is>
      </c>
      <c r="C2386" s="2" t="inlineStr">
        <is>
          <t>코스닥</t>
        </is>
      </c>
      <c r="D2386" s="2" t="inlineStr">
        <is>
          <t>069410</t>
        </is>
      </c>
      <c r="E2386" s="3" t="inlineStr">
        <is>
          <t>의결권대리행사권유참고서류</t>
        </is>
      </c>
      <c r="F2386" s="3" t="inlineStr">
        <is>
          <t>엔텔스</t>
        </is>
      </c>
      <c r="G2386" s="2" t="inlineStr">
        <is>
          <t>20260304001035</t>
        </is>
      </c>
      <c r="H2386" s="8">
        <f>HYPERLINK("https://dart.fss.or.kr/dsaf001/main.do?rcpNo=20260304001035", "공시열람")</f>
        <v/>
      </c>
    </row>
    <row r="2387">
      <c r="A2387" s="2" t="inlineStr">
        <is>
          <t>2026-03-04</t>
        </is>
      </c>
      <c r="B2387" s="3" t="inlineStr">
        <is>
          <t>케이티앤지</t>
        </is>
      </c>
      <c r="C2387" s="2" t="inlineStr">
        <is>
          <t>코스피</t>
        </is>
      </c>
      <c r="D2387" s="2" t="inlineStr">
        <is>
          <t>033780</t>
        </is>
      </c>
      <c r="E2387" s="3" t="inlineStr">
        <is>
          <t>임원ㆍ주요주주특정증권등소유상황보고서</t>
        </is>
      </c>
      <c r="F2387" s="3" t="inlineStr">
        <is>
          <t>하소영</t>
        </is>
      </c>
      <c r="G2387" s="2" t="inlineStr">
        <is>
          <t>20260304001030</t>
        </is>
      </c>
      <c r="H2387" s="8">
        <f>HYPERLINK("https://dart.fss.or.kr/dsaf001/main.do?rcpNo=20260304001030", "공시열람")</f>
        <v/>
      </c>
    </row>
    <row r="2388">
      <c r="A2388" s="2" t="inlineStr">
        <is>
          <t>2026-03-04</t>
        </is>
      </c>
      <c r="B2388" s="3" t="inlineStr">
        <is>
          <t>한국종합기술</t>
        </is>
      </c>
      <c r="C2388" s="2" t="inlineStr">
        <is>
          <t>코스피</t>
        </is>
      </c>
      <c r="D2388" s="2" t="inlineStr">
        <is>
          <t>023350</t>
        </is>
      </c>
      <c r="E2388" s="3" t="inlineStr">
        <is>
          <t xml:space="preserve">현금ㆍ현물배당결정              </t>
        </is>
      </c>
      <c r="F2388" s="3" t="inlineStr">
        <is>
          <t>한국종합기술</t>
        </is>
      </c>
      <c r="G2388" s="2" t="inlineStr">
        <is>
          <t>20260304800922</t>
        </is>
      </c>
      <c r="H2388" s="8">
        <f>HYPERLINK("https://dart.fss.or.kr/dsaf001/main.do?rcpNo=20260304800922", "공시열람")</f>
        <v/>
      </c>
    </row>
    <row r="2389">
      <c r="A2389" s="2" t="inlineStr">
        <is>
          <t>2026-03-04</t>
        </is>
      </c>
      <c r="B2389" s="3" t="inlineStr">
        <is>
          <t>세명전기</t>
        </is>
      </c>
      <c r="C2389" s="2" t="inlineStr">
        <is>
          <t>코스닥</t>
        </is>
      </c>
      <c r="D2389" s="2" t="inlineStr">
        <is>
          <t>017510</t>
        </is>
      </c>
      <c r="E2389" s="3" t="inlineStr">
        <is>
          <t xml:space="preserve">감사보고서제출              </t>
        </is>
      </c>
      <c r="F2389" s="3" t="inlineStr">
        <is>
          <t>세명전기</t>
        </is>
      </c>
      <c r="G2389" s="2" t="inlineStr">
        <is>
          <t>20260304900870</t>
        </is>
      </c>
      <c r="H2389" s="8">
        <f>HYPERLINK("https://dart.fss.or.kr/dsaf001/main.do?rcpNo=20260304900870", "공시열람")</f>
        <v/>
      </c>
    </row>
    <row r="2390">
      <c r="A2390" s="2" t="inlineStr">
        <is>
          <t>2026-03-04</t>
        </is>
      </c>
      <c r="B2390" s="3" t="inlineStr">
        <is>
          <t>케이엔더블유</t>
        </is>
      </c>
      <c r="C2390" s="2" t="inlineStr">
        <is>
          <t>코스닥</t>
        </is>
      </c>
      <c r="D2390" s="2" t="inlineStr">
        <is>
          <t>105330</t>
        </is>
      </c>
      <c r="E2390" s="3" t="inlineStr">
        <is>
          <t>의결권대리행사권유참고서류</t>
        </is>
      </c>
      <c r="F2390" s="3" t="inlineStr">
        <is>
          <t>케이엔더블유</t>
        </is>
      </c>
      <c r="G2390" s="2" t="inlineStr">
        <is>
          <t>20260304001014</t>
        </is>
      </c>
      <c r="H2390" s="8">
        <f>HYPERLINK("https://dart.fss.or.kr/dsaf001/main.do?rcpNo=20260304001014", "공시열람")</f>
        <v/>
      </c>
    </row>
    <row r="2391">
      <c r="A2391" s="2" t="inlineStr">
        <is>
          <t>2026-03-04</t>
        </is>
      </c>
      <c r="B2391" s="3" t="inlineStr">
        <is>
          <t>케이티앤지</t>
        </is>
      </c>
      <c r="C2391" s="2" t="inlineStr">
        <is>
          <t>코스피</t>
        </is>
      </c>
      <c r="D2391" s="2" t="inlineStr">
        <is>
          <t>033780</t>
        </is>
      </c>
      <c r="E2391" s="3" t="inlineStr">
        <is>
          <t>임원ㆍ주요주주특정증권등소유상황보고서</t>
        </is>
      </c>
      <c r="F2391" s="3" t="inlineStr">
        <is>
          <t>최혁동</t>
        </is>
      </c>
      <c r="G2391" s="2" t="inlineStr">
        <is>
          <t>20260304001000</t>
        </is>
      </c>
      <c r="H2391" s="8">
        <f>HYPERLINK("https://dart.fss.or.kr/dsaf001/main.do?rcpNo=20260304001000", "공시열람")</f>
        <v/>
      </c>
    </row>
    <row r="2392">
      <c r="A2392" s="2" t="inlineStr">
        <is>
          <t>2026-03-04</t>
        </is>
      </c>
      <c r="B2392" s="3" t="inlineStr">
        <is>
          <t>교보증권</t>
        </is>
      </c>
      <c r="C2392" s="2" t="inlineStr">
        <is>
          <t>코스피</t>
        </is>
      </c>
      <c r="D2392" s="2" t="inlineStr">
        <is>
          <t>030610</t>
        </is>
      </c>
      <c r="E2392" s="3" t="inlineStr">
        <is>
          <t>투자설명서(일괄신고)</t>
        </is>
      </c>
      <c r="F2392" s="3" t="inlineStr">
        <is>
          <t>교보증권</t>
        </is>
      </c>
      <c r="G2392" s="2" t="inlineStr">
        <is>
          <t>20260304000994</t>
        </is>
      </c>
      <c r="H2392" s="8">
        <f>HYPERLINK("https://dart.fss.or.kr/dsaf001/main.do?rcpNo=20260304000994", "공시열람")</f>
        <v/>
      </c>
    </row>
    <row r="2393">
      <c r="A2393" s="2" t="inlineStr">
        <is>
          <t>2026-03-04</t>
        </is>
      </c>
      <c r="B2393" s="3" t="inlineStr">
        <is>
          <t>GKL</t>
        </is>
      </c>
      <c r="C2393" s="2" t="inlineStr">
        <is>
          <t>코스피</t>
        </is>
      </c>
      <c r="D2393" s="2" t="inlineStr">
        <is>
          <t>114090</t>
        </is>
      </c>
      <c r="E2393" s="3" t="inlineStr">
        <is>
          <t xml:space="preserve">영업(잠정)실적(공정공시)              </t>
        </is>
      </c>
      <c r="F2393" s="3" t="inlineStr">
        <is>
          <t>GKL</t>
        </is>
      </c>
      <c r="G2393" s="2" t="inlineStr">
        <is>
          <t>20260304800849</t>
        </is>
      </c>
      <c r="H2393" s="8">
        <f>HYPERLINK("https://dart.fss.or.kr/dsaf001/main.do?rcpNo=20260304800849", "공시열람")</f>
        <v/>
      </c>
    </row>
    <row r="2394">
      <c r="A2394" s="2" t="inlineStr">
        <is>
          <t>2026-03-04</t>
        </is>
      </c>
      <c r="B2394" s="3" t="inlineStr">
        <is>
          <t>케이티앤지</t>
        </is>
      </c>
      <c r="C2394" s="2" t="inlineStr">
        <is>
          <t>코스피</t>
        </is>
      </c>
      <c r="D2394" s="2" t="inlineStr">
        <is>
          <t>033780</t>
        </is>
      </c>
      <c r="E2394" s="3" t="inlineStr">
        <is>
          <t>임원ㆍ주요주주특정증권등소유상황보고서</t>
        </is>
      </c>
      <c r="F2394" s="3" t="inlineStr">
        <is>
          <t>최강희</t>
        </is>
      </c>
      <c r="G2394" s="2" t="inlineStr">
        <is>
          <t>20260304000985</t>
        </is>
      </c>
      <c r="H2394" s="8">
        <f>HYPERLINK("https://dart.fss.or.kr/dsaf001/main.do?rcpNo=20260304000985", "공시열람")</f>
        <v/>
      </c>
    </row>
    <row r="2395">
      <c r="A2395" s="2" t="inlineStr">
        <is>
          <t>2026-03-04 (정정: 2026-03-20)</t>
        </is>
      </c>
      <c r="B2395" s="3" t="inlineStr">
        <is>
          <t>APS이노베이션</t>
        </is>
      </c>
      <c r="C2395" s="2" t="inlineStr">
        <is>
          <t>코스닥</t>
        </is>
      </c>
      <c r="D2395" s="2" t="inlineStr">
        <is>
          <t>079810</t>
        </is>
      </c>
      <c r="E2395" s="3" t="inlineStr">
        <is>
          <t>의결권대리행사권유참고서류 (정정: 20260320)</t>
        </is>
      </c>
      <c r="F2395" s="3" t="inlineStr">
        <is>
          <t>APS이노베이션</t>
        </is>
      </c>
      <c r="G2395" s="2" t="inlineStr">
        <is>
          <t>20260320000922</t>
        </is>
      </c>
      <c r="H2395" s="8">
        <f>HYPERLINK("https://dart.fss.or.kr/dsaf001/main.do?rcpNo=20260320000922", "공시열람")</f>
        <v/>
      </c>
    </row>
    <row r="2396">
      <c r="A2396" s="2" t="inlineStr">
        <is>
          <t>2026-03-04</t>
        </is>
      </c>
      <c r="B2396" s="3" t="inlineStr">
        <is>
          <t>TJ미디어</t>
        </is>
      </c>
      <c r="C2396" s="2" t="inlineStr">
        <is>
          <t>코스닥</t>
        </is>
      </c>
      <c r="D2396" s="2" t="inlineStr">
        <is>
          <t>032540</t>
        </is>
      </c>
      <c r="E2396" s="3" t="inlineStr">
        <is>
          <t xml:space="preserve">주주명부폐쇄기간또는기준일설정              </t>
        </is>
      </c>
      <c r="F2396" s="3" t="inlineStr">
        <is>
          <t>TJ미디어</t>
        </is>
      </c>
      <c r="G2396" s="2" t="inlineStr">
        <is>
          <t>20260304900886</t>
        </is>
      </c>
      <c r="H2396" s="8">
        <f>HYPERLINK("https://dart.fss.or.kr/dsaf001/main.do?rcpNo=20260304900886", "공시열람")</f>
        <v/>
      </c>
    </row>
    <row r="2397">
      <c r="A2397" s="2" t="inlineStr">
        <is>
          <t>2026-03-04</t>
        </is>
      </c>
      <c r="B2397" s="3" t="inlineStr">
        <is>
          <t>교보증권</t>
        </is>
      </c>
      <c r="C2397" s="2" t="inlineStr">
        <is>
          <t>코스피</t>
        </is>
      </c>
      <c r="D2397" s="2" t="inlineStr">
        <is>
          <t>030610</t>
        </is>
      </c>
      <c r="E2397" s="3" t="inlineStr">
        <is>
          <t>일괄신고추가서류(파생결합사채-주가연계파생결합사채)</t>
        </is>
      </c>
      <c r="F2397" s="3" t="inlineStr">
        <is>
          <t>교보증권</t>
        </is>
      </c>
      <c r="G2397" s="2" t="inlineStr">
        <is>
          <t>20260304000980</t>
        </is>
      </c>
      <c r="H2397" s="8">
        <f>HYPERLINK("https://dart.fss.or.kr/dsaf001/main.do?rcpNo=20260304000980", "공시열람")</f>
        <v/>
      </c>
    </row>
    <row r="2398">
      <c r="A2398" s="2" t="inlineStr">
        <is>
          <t>2026-03-04</t>
        </is>
      </c>
      <c r="B2398" s="3" t="inlineStr">
        <is>
          <t>한화투자증권</t>
        </is>
      </c>
      <c r="C2398" s="2" t="inlineStr">
        <is>
          <t>코스피</t>
        </is>
      </c>
      <c r="D2398" s="2" t="inlineStr">
        <is>
          <t>003530</t>
        </is>
      </c>
      <c r="E2398" s="3" t="inlineStr">
        <is>
          <t>증권발행실적보고서</t>
        </is>
      </c>
      <c r="F2398" s="3" t="inlineStr">
        <is>
          <t>한화투자증권</t>
        </is>
      </c>
      <c r="G2398" s="2" t="inlineStr">
        <is>
          <t>20260304000977</t>
        </is>
      </c>
      <c r="H2398" s="8">
        <f>HYPERLINK("https://dart.fss.or.kr/dsaf001/main.do?rcpNo=20260304000977", "공시열람")</f>
        <v/>
      </c>
    </row>
    <row r="2399">
      <c r="A2399" s="2" t="inlineStr">
        <is>
          <t>2026-03-04</t>
        </is>
      </c>
      <c r="B2399" s="3" t="inlineStr">
        <is>
          <t>LS증권</t>
        </is>
      </c>
      <c r="C2399" s="2" t="inlineStr">
        <is>
          <t>코스닥</t>
        </is>
      </c>
      <c r="D2399" s="2" t="inlineStr">
        <is>
          <t>078020</t>
        </is>
      </c>
      <c r="E2399" s="3" t="inlineStr">
        <is>
          <t>의결권대리행사권유참고서류</t>
        </is>
      </c>
      <c r="F2399" s="3" t="inlineStr">
        <is>
          <t>LS증권</t>
        </is>
      </c>
      <c r="G2399" s="2" t="inlineStr">
        <is>
          <t>20260304000974</t>
        </is>
      </c>
      <c r="H2399" s="8">
        <f>HYPERLINK("https://dart.fss.or.kr/dsaf001/main.do?rcpNo=20260304000974", "공시열람")</f>
        <v/>
      </c>
    </row>
    <row r="2400">
      <c r="A2400" s="2" t="inlineStr">
        <is>
          <t>2026-03-04</t>
        </is>
      </c>
      <c r="B2400" s="3" t="inlineStr">
        <is>
          <t>키움증권</t>
        </is>
      </c>
      <c r="C2400" s="2" t="inlineStr">
        <is>
          <t>코스피</t>
        </is>
      </c>
      <c r="D2400" s="2" t="inlineStr">
        <is>
          <t>039490</t>
        </is>
      </c>
      <c r="E2400" s="3" t="inlineStr">
        <is>
          <t>일괄신고추가서류(파생결합증권-주가연계증권)</t>
        </is>
      </c>
      <c r="F2400" s="3" t="inlineStr">
        <is>
          <t>키움증권</t>
        </is>
      </c>
      <c r="G2400" s="2" t="inlineStr">
        <is>
          <t>20260304000969</t>
        </is>
      </c>
      <c r="H2400" s="8">
        <f>HYPERLINK("https://dart.fss.or.kr/dsaf001/main.do?rcpNo=20260304000969", "공시열람")</f>
        <v/>
      </c>
    </row>
    <row r="2401">
      <c r="A2401" s="2" t="inlineStr">
        <is>
          <t>2026-03-04</t>
        </is>
      </c>
      <c r="B2401" s="3" t="inlineStr">
        <is>
          <t>TJ미디어</t>
        </is>
      </c>
      <c r="C2401" s="2" t="inlineStr">
        <is>
          <t>코스닥</t>
        </is>
      </c>
      <c r="D2401" s="2" t="inlineStr">
        <is>
          <t>032540</t>
        </is>
      </c>
      <c r="E2401" s="3" t="inlineStr">
        <is>
          <t>주권매매거래정지              (무상증자)</t>
        </is>
      </c>
      <c r="F2401" s="3" t="inlineStr">
        <is>
          <t>코스닥시장본부</t>
        </is>
      </c>
      <c r="G2401" s="2" t="inlineStr">
        <is>
          <t>20260304900865</t>
        </is>
      </c>
      <c r="H2401" s="8">
        <f>HYPERLINK("https://dart.fss.or.kr/dsaf001/main.do?rcpNo=20260304900865", "공시열람")</f>
        <v/>
      </c>
    </row>
    <row r="2402">
      <c r="A2402" s="2" t="inlineStr">
        <is>
          <t>2026-03-04</t>
        </is>
      </c>
      <c r="B2402" s="3" t="inlineStr">
        <is>
          <t>롯데지주</t>
        </is>
      </c>
      <c r="C2402" s="2" t="inlineStr">
        <is>
          <t>코스피</t>
        </is>
      </c>
      <c r="D2402" s="2" t="inlineStr">
        <is>
          <t>004990</t>
        </is>
      </c>
      <c r="E2402" s="3" t="inlineStr">
        <is>
          <t xml:space="preserve">주요사항보고서(감자결정)(자회사의 주요경영사항)              </t>
        </is>
      </c>
      <c r="F2402" s="3" t="inlineStr">
        <is>
          <t>롯데지주</t>
        </is>
      </c>
      <c r="G2402" s="2" t="inlineStr">
        <is>
          <t>20260304800850</t>
        </is>
      </c>
      <c r="H2402" s="8">
        <f>HYPERLINK("https://dart.fss.or.kr/dsaf001/main.do?rcpNo=20260304800850", "공시열람")</f>
        <v/>
      </c>
    </row>
    <row r="2403">
      <c r="A2403" s="2" t="inlineStr">
        <is>
          <t>2026-03-04</t>
        </is>
      </c>
      <c r="B2403" s="3" t="inlineStr">
        <is>
          <t>라닉스</t>
        </is>
      </c>
      <c r="C2403" s="2" t="inlineStr">
        <is>
          <t>코스닥</t>
        </is>
      </c>
      <c r="D2403" s="2" t="inlineStr">
        <is>
          <t>317120</t>
        </is>
      </c>
      <c r="E2403" s="3" t="inlineStr">
        <is>
          <t>의결권대리행사권유참고서류</t>
        </is>
      </c>
      <c r="F2403" s="3" t="inlineStr">
        <is>
          <t>라닉스</t>
        </is>
      </c>
      <c r="G2403" s="2" t="inlineStr">
        <is>
          <t>20260304000965</t>
        </is>
      </c>
      <c r="H2403" s="8">
        <f>HYPERLINK("https://dart.fss.or.kr/dsaf001/main.do?rcpNo=20260304000965", "공시열람")</f>
        <v/>
      </c>
    </row>
    <row r="2404">
      <c r="A2404" s="2" t="inlineStr">
        <is>
          <t>2026-03-04</t>
        </is>
      </c>
      <c r="B2404" s="3" t="inlineStr">
        <is>
          <t>케이티앤지</t>
        </is>
      </c>
      <c r="C2404" s="2" t="inlineStr">
        <is>
          <t>코스피</t>
        </is>
      </c>
      <c r="D2404" s="2" t="inlineStr">
        <is>
          <t>033780</t>
        </is>
      </c>
      <c r="E2404" s="3" t="inlineStr">
        <is>
          <t>임원ㆍ주요주주특정증권등소유상황보고서</t>
        </is>
      </c>
      <c r="F2404" s="3" t="inlineStr">
        <is>
          <t>차형철</t>
        </is>
      </c>
      <c r="G2404" s="2" t="inlineStr">
        <is>
          <t>20260304000960</t>
        </is>
      </c>
      <c r="H2404" s="8">
        <f>HYPERLINK("https://dart.fss.or.kr/dsaf001/main.do?rcpNo=20260304000960", "공시열람")</f>
        <v/>
      </c>
    </row>
    <row r="2405">
      <c r="A2405" s="2" t="inlineStr">
        <is>
          <t>2026-03-04</t>
        </is>
      </c>
      <c r="B2405" s="3" t="inlineStr">
        <is>
          <t>비케이홀딩스</t>
        </is>
      </c>
      <c r="C2405" s="2" t="inlineStr">
        <is>
          <t>코스닥</t>
        </is>
      </c>
      <c r="D2405" s="2" t="inlineStr">
        <is>
          <t>050090</t>
        </is>
      </c>
      <c r="E2405" s="3" t="inlineStr">
        <is>
          <t>의결권대리행사권유참고서류</t>
        </is>
      </c>
      <c r="F2405" s="3" t="inlineStr">
        <is>
          <t>비케이홀딩스</t>
        </is>
      </c>
      <c r="G2405" s="2" t="inlineStr">
        <is>
          <t>20260304000958</t>
        </is>
      </c>
      <c r="H2405" s="8">
        <f>HYPERLINK("https://dart.fss.or.kr/dsaf001/main.do?rcpNo=20260304000958", "공시열람")</f>
        <v/>
      </c>
    </row>
    <row r="2406">
      <c r="A2406" s="2" t="inlineStr">
        <is>
          <t>2026-03-04</t>
        </is>
      </c>
      <c r="B2406" s="3" t="inlineStr">
        <is>
          <t>비아트론</t>
        </is>
      </c>
      <c r="C2406" s="2" t="inlineStr">
        <is>
          <t>코스닥</t>
        </is>
      </c>
      <c r="D2406" s="2" t="inlineStr">
        <is>
          <t>141000</t>
        </is>
      </c>
      <c r="E2406" s="3" t="inlineStr">
        <is>
          <t xml:space="preserve">현금ㆍ현물배당결정              </t>
        </is>
      </c>
      <c r="F2406" s="3" t="inlineStr">
        <is>
          <t>비아트론</t>
        </is>
      </c>
      <c r="G2406" s="2" t="inlineStr">
        <is>
          <t>20260304900852</t>
        </is>
      </c>
      <c r="H2406" s="8">
        <f>HYPERLINK("https://dart.fss.or.kr/dsaf001/main.do?rcpNo=20260304900852", "공시열람")</f>
        <v/>
      </c>
    </row>
    <row r="2407">
      <c r="A2407" s="2" t="inlineStr">
        <is>
          <t>2026-03-04</t>
        </is>
      </c>
      <c r="B2407" s="3" t="inlineStr">
        <is>
          <t>코스맥스</t>
        </is>
      </c>
      <c r="C2407" s="2" t="inlineStr">
        <is>
          <t>코스피</t>
        </is>
      </c>
      <c r="D2407" s="2" t="inlineStr">
        <is>
          <t>192820</t>
        </is>
      </c>
      <c r="E2407" s="3" t="inlineStr">
        <is>
          <t xml:space="preserve">기업설명회(IR)개최(안내공시)              </t>
        </is>
      </c>
      <c r="F2407" s="3" t="inlineStr">
        <is>
          <t>코스맥스</t>
        </is>
      </c>
      <c r="G2407" s="2" t="inlineStr">
        <is>
          <t>20260304800858</t>
        </is>
      </c>
      <c r="H2407" s="8">
        <f>HYPERLINK("https://dart.fss.or.kr/dsaf001/main.do?rcpNo=20260304800858", "공시열람")</f>
        <v/>
      </c>
    </row>
    <row r="2408">
      <c r="A2408" s="2" t="inlineStr">
        <is>
          <t>2026-03-04</t>
        </is>
      </c>
      <c r="B2408" s="3" t="inlineStr">
        <is>
          <t>안트로젠</t>
        </is>
      </c>
      <c r="C2408" s="2" t="inlineStr">
        <is>
          <t>코스닥</t>
        </is>
      </c>
      <c r="D2408" s="2" t="inlineStr">
        <is>
          <t>065660</t>
        </is>
      </c>
      <c r="E2408" s="3" t="inlineStr">
        <is>
          <t xml:space="preserve">기업설명회(IR)개최              </t>
        </is>
      </c>
      <c r="F2408" s="3" t="inlineStr">
        <is>
          <t>안트로젠</t>
        </is>
      </c>
      <c r="G2408" s="2" t="inlineStr">
        <is>
          <t>20260304900861</t>
        </is>
      </c>
      <c r="H2408" s="8">
        <f>HYPERLINK("https://dart.fss.or.kr/dsaf001/main.do?rcpNo=20260304900861", "공시열람")</f>
        <v/>
      </c>
    </row>
    <row r="2409">
      <c r="A2409" s="2" t="inlineStr">
        <is>
          <t>2026-03-04</t>
        </is>
      </c>
      <c r="B2409" s="3" t="inlineStr">
        <is>
          <t>케이티앤지</t>
        </is>
      </c>
      <c r="C2409" s="2" t="inlineStr">
        <is>
          <t>코스피</t>
        </is>
      </c>
      <c r="D2409" s="2" t="inlineStr">
        <is>
          <t>033780</t>
        </is>
      </c>
      <c r="E2409" s="3" t="inlineStr">
        <is>
          <t>임원ㆍ주요주주특정증권등소유상황보고서</t>
        </is>
      </c>
      <c r="F2409" s="3" t="inlineStr">
        <is>
          <t>주성호</t>
        </is>
      </c>
      <c r="G2409" s="2" t="inlineStr">
        <is>
          <t>20260304000952</t>
        </is>
      </c>
      <c r="H2409" s="8">
        <f>HYPERLINK("https://dart.fss.or.kr/dsaf001/main.do?rcpNo=20260304000952", "공시열람")</f>
        <v/>
      </c>
    </row>
    <row r="2410">
      <c r="A2410" s="2" t="inlineStr">
        <is>
          <t>2026-03-04</t>
        </is>
      </c>
      <c r="B2410" s="3" t="inlineStr">
        <is>
          <t>롯데웰푸드</t>
        </is>
      </c>
      <c r="C2410" s="2" t="inlineStr">
        <is>
          <t>코스피</t>
        </is>
      </c>
      <c r="D2410" s="2" t="inlineStr">
        <is>
          <t>280360</t>
        </is>
      </c>
      <c r="E2410" s="3" t="inlineStr">
        <is>
          <t>주요사항보고서(감자결정)</t>
        </is>
      </c>
      <c r="F2410" s="3" t="inlineStr">
        <is>
          <t>롯데웰푸드</t>
        </is>
      </c>
      <c r="G2410" s="2" t="inlineStr">
        <is>
          <t>20260304000890</t>
        </is>
      </c>
      <c r="H2410" s="8">
        <f>HYPERLINK("https://dart.fss.or.kr/dsaf001/main.do?rcpNo=20260304000890", "공시열람")</f>
        <v/>
      </c>
    </row>
    <row r="2411">
      <c r="A2411" s="2" t="inlineStr">
        <is>
          <t>2026-03-04</t>
        </is>
      </c>
      <c r="B2411" s="3" t="inlineStr">
        <is>
          <t>현대지에프홀딩스</t>
        </is>
      </c>
      <c r="C2411" s="2" t="inlineStr">
        <is>
          <t>코스피</t>
        </is>
      </c>
      <c r="D2411" s="2" t="inlineStr">
        <is>
          <t>005440</t>
        </is>
      </c>
      <c r="E2411" s="3" t="inlineStr">
        <is>
          <t xml:space="preserve">기업설명회(IR)개최(안내공시)              </t>
        </is>
      </c>
      <c r="F2411" s="3" t="inlineStr">
        <is>
          <t>현대지에프홀딩스</t>
        </is>
      </c>
      <c r="G2411" s="2" t="inlineStr">
        <is>
          <t>20260304800846</t>
        </is>
      </c>
      <c r="H2411" s="8">
        <f>HYPERLINK("https://dart.fss.or.kr/dsaf001/main.do?rcpNo=20260304800846", "공시열람")</f>
        <v/>
      </c>
    </row>
    <row r="2412">
      <c r="A2412" s="2" t="inlineStr">
        <is>
          <t>2026-03-04</t>
        </is>
      </c>
      <c r="B2412" s="3" t="inlineStr">
        <is>
          <t>삼영이엔씨</t>
        </is>
      </c>
      <c r="C2412" s="2" t="inlineStr">
        <is>
          <t>코스닥</t>
        </is>
      </c>
      <c r="D2412" s="2" t="inlineStr">
        <is>
          <t>065570</t>
        </is>
      </c>
      <c r="E2412" s="3" t="inlineStr">
        <is>
          <t>소송등의판결ㆍ결정              (주주명부 열람등사 가처분 신청)</t>
        </is>
      </c>
      <c r="F2412" s="3" t="inlineStr">
        <is>
          <t>삼영이엔씨</t>
        </is>
      </c>
      <c r="G2412" s="2" t="inlineStr">
        <is>
          <t>20260304900778</t>
        </is>
      </c>
      <c r="H2412" s="8">
        <f>HYPERLINK("https://dart.fss.or.kr/dsaf001/main.do?rcpNo=20260304900778", "공시열람")</f>
        <v/>
      </c>
    </row>
    <row r="2413">
      <c r="A2413" s="2" t="inlineStr">
        <is>
          <t>2026-03-04</t>
        </is>
      </c>
      <c r="B2413" s="3" t="inlineStr">
        <is>
          <t>스모트로닉</t>
        </is>
      </c>
      <c r="C2413" s="2" t="inlineStr">
        <is>
          <t>코스닥</t>
        </is>
      </c>
      <c r="D2413" s="2" t="inlineStr">
        <is>
          <t>066590</t>
        </is>
      </c>
      <c r="E2413" s="3" t="inlineStr">
        <is>
          <t>의결권대리행사권유참고서류</t>
        </is>
      </c>
      <c r="F2413" s="3" t="inlineStr">
        <is>
          <t>스모트로닉</t>
        </is>
      </c>
      <c r="G2413" s="2" t="inlineStr">
        <is>
          <t>20260304000928</t>
        </is>
      </c>
      <c r="H2413" s="8">
        <f>HYPERLINK("https://dart.fss.or.kr/dsaf001/main.do?rcpNo=20260304000928", "공시열람")</f>
        <v/>
      </c>
    </row>
    <row r="2414">
      <c r="A2414" s="2" t="inlineStr">
        <is>
          <t>2026-03-04</t>
        </is>
      </c>
      <c r="B2414" s="3" t="inlineStr">
        <is>
          <t>케이티앤지</t>
        </is>
      </c>
      <c r="C2414" s="2" t="inlineStr">
        <is>
          <t>코스피</t>
        </is>
      </c>
      <c r="D2414" s="2" t="inlineStr">
        <is>
          <t>033780</t>
        </is>
      </c>
      <c r="E2414" s="3" t="inlineStr">
        <is>
          <t>임원ㆍ주요주주특정증권등소유상황보고서</t>
        </is>
      </c>
      <c r="F2414" s="3" t="inlineStr">
        <is>
          <t>조재영</t>
        </is>
      </c>
      <c r="G2414" s="2" t="inlineStr">
        <is>
          <t>20260304000922</t>
        </is>
      </c>
      <c r="H2414" s="8">
        <f>HYPERLINK("https://dart.fss.or.kr/dsaf001/main.do?rcpNo=20260304000922", "공시열람")</f>
        <v/>
      </c>
    </row>
    <row r="2415">
      <c r="A2415" s="2" t="inlineStr">
        <is>
          <t>2026-03-04</t>
        </is>
      </c>
      <c r="B2415" s="3" t="inlineStr">
        <is>
          <t>비보존 제약</t>
        </is>
      </c>
      <c r="C2415" s="2" t="inlineStr">
        <is>
          <t>코스닥</t>
        </is>
      </c>
      <c r="D2415" s="2" t="inlineStr">
        <is>
          <t>082800</t>
        </is>
      </c>
      <c r="E2415" s="3" t="inlineStr">
        <is>
          <t>증권발행실적보고서</t>
        </is>
      </c>
      <c r="F2415" s="3" t="inlineStr">
        <is>
          <t>비보존 제약</t>
        </is>
      </c>
      <c r="G2415" s="2" t="inlineStr">
        <is>
          <t>20260304000919</t>
        </is>
      </c>
      <c r="H2415" s="8">
        <f>HYPERLINK("https://dart.fss.or.kr/dsaf001/main.do?rcpNo=20260304000919", "공시열람")</f>
        <v/>
      </c>
    </row>
    <row r="2416">
      <c r="A2416" s="2" t="inlineStr">
        <is>
          <t>2026-03-04 (정정: 2026-06-12)</t>
        </is>
      </c>
      <c r="B2416" s="3" t="inlineStr">
        <is>
          <t>비아트론</t>
        </is>
      </c>
      <c r="C2416" s="2" t="inlineStr">
        <is>
          <t>코스닥</t>
        </is>
      </c>
      <c r="D2416" s="2" t="inlineStr">
        <is>
          <t>141000</t>
        </is>
      </c>
      <c r="E2416" s="3" t="inlineStr">
        <is>
          <t>매출액또는손익구조30%(대규모법인은15%)이상변동               (정정: 20260612)</t>
        </is>
      </c>
      <c r="F2416" s="3" t="inlineStr">
        <is>
          <t>비아트론</t>
        </is>
      </c>
      <c r="G2416" s="2" t="inlineStr">
        <is>
          <t>20260612000582</t>
        </is>
      </c>
      <c r="H2416" s="8">
        <f>HYPERLINK("https://dart.fss.or.kr/dsaf001/main.do?rcpNo=20260612000582", "공시열람")</f>
        <v/>
      </c>
    </row>
    <row r="2417">
      <c r="A2417" s="2" t="inlineStr">
        <is>
          <t>2026-03-04</t>
        </is>
      </c>
      <c r="B2417" s="3" t="inlineStr">
        <is>
          <t>케이티앤지</t>
        </is>
      </c>
      <c r="C2417" s="2" t="inlineStr">
        <is>
          <t>코스피</t>
        </is>
      </c>
      <c r="D2417" s="2" t="inlineStr">
        <is>
          <t>033780</t>
        </is>
      </c>
      <c r="E2417" s="3" t="inlineStr">
        <is>
          <t>임원ㆍ주요주주특정증권등소유상황보고서</t>
        </is>
      </c>
      <c r="F2417" s="3" t="inlineStr">
        <is>
          <t>정훈</t>
        </is>
      </c>
      <c r="G2417" s="2" t="inlineStr">
        <is>
          <t>20260304000917</t>
        </is>
      </c>
      <c r="H2417" s="8">
        <f>HYPERLINK("https://dart.fss.or.kr/dsaf001/main.do?rcpNo=20260304000917", "공시열람")</f>
        <v/>
      </c>
    </row>
    <row r="2418">
      <c r="A2418" s="2" t="inlineStr">
        <is>
          <t>2026-03-04</t>
        </is>
      </c>
      <c r="B2418" s="3" t="inlineStr">
        <is>
          <t>케이엔더블유</t>
        </is>
      </c>
      <c r="C2418" s="2" t="inlineStr">
        <is>
          <t>코스닥</t>
        </is>
      </c>
      <c r="D2418" s="2" t="inlineStr">
        <is>
          <t>105330</t>
        </is>
      </c>
      <c r="E2418" s="3" t="inlineStr">
        <is>
          <t>주요사항보고서(감자결정)</t>
        </is>
      </c>
      <c r="F2418" s="3" t="inlineStr">
        <is>
          <t>케이엔더블유</t>
        </is>
      </c>
      <c r="G2418" s="2" t="inlineStr">
        <is>
          <t>20260304000906</t>
        </is>
      </c>
      <c r="H2418" s="8">
        <f>HYPERLINK("https://dart.fss.or.kr/dsaf001/main.do?rcpNo=20260304000906", "공시열람")</f>
        <v/>
      </c>
    </row>
    <row r="2419">
      <c r="A2419" s="2" t="inlineStr">
        <is>
          <t>2026-03-04</t>
        </is>
      </c>
      <c r="B2419" s="3" t="inlineStr">
        <is>
          <t>케이티앤지</t>
        </is>
      </c>
      <c r="C2419" s="2" t="inlineStr">
        <is>
          <t>코스피</t>
        </is>
      </c>
      <c r="D2419" s="2" t="inlineStr">
        <is>
          <t>033780</t>
        </is>
      </c>
      <c r="E2419" s="3" t="inlineStr">
        <is>
          <t>임원ㆍ주요주주특정증권등소유상황보고서</t>
        </is>
      </c>
      <c r="F2419" s="3" t="inlineStr">
        <is>
          <t>정윤식</t>
        </is>
      </c>
      <c r="G2419" s="2" t="inlineStr">
        <is>
          <t>20260304000911</t>
        </is>
      </c>
      <c r="H2419" s="8">
        <f>HYPERLINK("https://dart.fss.or.kr/dsaf001/main.do?rcpNo=20260304000911", "공시열람")</f>
        <v/>
      </c>
    </row>
    <row r="2420">
      <c r="A2420" s="2" t="inlineStr">
        <is>
          <t>2026-03-04</t>
        </is>
      </c>
      <c r="B2420" s="3" t="inlineStr">
        <is>
          <t>iM금융지주</t>
        </is>
      </c>
      <c r="C2420" s="2" t="inlineStr">
        <is>
          <t>코스피</t>
        </is>
      </c>
      <c r="D2420" s="2" t="inlineStr">
        <is>
          <t>139130</t>
        </is>
      </c>
      <c r="E2420" s="3" t="inlineStr">
        <is>
          <t>임원ㆍ주요주주특정증권등소유상황보고서</t>
        </is>
      </c>
      <c r="F2420" s="3" t="inlineStr">
        <is>
          <t>황병우</t>
        </is>
      </c>
      <c r="G2420" s="2" t="inlineStr">
        <is>
          <t>20260304000908</t>
        </is>
      </c>
      <c r="H2420" s="8">
        <f>HYPERLINK("https://dart.fss.or.kr/dsaf001/main.do?rcpNo=20260304000908", "공시열람")</f>
        <v/>
      </c>
    </row>
    <row r="2421">
      <c r="A2421" s="2" t="inlineStr">
        <is>
          <t>2026-03-04</t>
        </is>
      </c>
      <c r="B2421" s="3" t="inlineStr">
        <is>
          <t>비보존 제약</t>
        </is>
      </c>
      <c r="C2421" s="2" t="inlineStr">
        <is>
          <t>코스닥</t>
        </is>
      </c>
      <c r="D2421" s="2" t="inlineStr">
        <is>
          <t>082800</t>
        </is>
      </c>
      <c r="E2421" s="3" t="inlineStr">
        <is>
          <t>증권발행결과(자율공시)              (주주배정 후 실권주 일반공모)</t>
        </is>
      </c>
      <c r="F2421" s="3" t="inlineStr">
        <is>
          <t>비보존 제약</t>
        </is>
      </c>
      <c r="G2421" s="2" t="inlineStr">
        <is>
          <t>20260304900750</t>
        </is>
      </c>
      <c r="H2421" s="8">
        <f>HYPERLINK("https://dart.fss.or.kr/dsaf001/main.do?rcpNo=20260304900750", "공시열람")</f>
        <v/>
      </c>
    </row>
    <row r="2422">
      <c r="A2422" s="2" t="inlineStr">
        <is>
          <t>2026-03-04</t>
        </is>
      </c>
      <c r="B2422" s="3" t="inlineStr">
        <is>
          <t>케이티앤지</t>
        </is>
      </c>
      <c r="C2422" s="2" t="inlineStr">
        <is>
          <t>코스피</t>
        </is>
      </c>
      <c r="D2422" s="2" t="inlineStr">
        <is>
          <t>033780</t>
        </is>
      </c>
      <c r="E2422" s="3" t="inlineStr">
        <is>
          <t>임원ㆍ주요주주특정증권등소유상황보고서</t>
        </is>
      </c>
      <c r="F2422" s="3" t="inlineStr">
        <is>
          <t>정성헌</t>
        </is>
      </c>
      <c r="G2422" s="2" t="inlineStr">
        <is>
          <t>20260304000899</t>
        </is>
      </c>
      <c r="H2422" s="8">
        <f>HYPERLINK("https://dart.fss.or.kr/dsaf001/main.do?rcpNo=20260304000899", "공시열람")</f>
        <v/>
      </c>
    </row>
    <row r="2423">
      <c r="A2423" s="2" t="inlineStr">
        <is>
          <t>2026-03-04</t>
        </is>
      </c>
      <c r="B2423" s="3" t="inlineStr">
        <is>
          <t>심플랫폼</t>
        </is>
      </c>
      <c r="C2423" s="2" t="inlineStr">
        <is>
          <t>코스닥</t>
        </is>
      </c>
      <c r="D2423" s="2" t="inlineStr">
        <is>
          <t>444530</t>
        </is>
      </c>
      <c r="E2423" s="3" t="inlineStr">
        <is>
          <t xml:space="preserve">기업설명회(IR)개최              </t>
        </is>
      </c>
      <c r="F2423" s="3" t="inlineStr">
        <is>
          <t>심플랫폼</t>
        </is>
      </c>
      <c r="G2423" s="2" t="inlineStr">
        <is>
          <t>20260304900760</t>
        </is>
      </c>
      <c r="H2423" s="8">
        <f>HYPERLINK("https://dart.fss.or.kr/dsaf001/main.do?rcpNo=20260304900760", "공시열람")</f>
        <v/>
      </c>
    </row>
    <row r="2424">
      <c r="A2424" s="2" t="inlineStr">
        <is>
          <t>2026-03-04</t>
        </is>
      </c>
      <c r="B2424" s="3" t="inlineStr">
        <is>
          <t>빙그레</t>
        </is>
      </c>
      <c r="C2424" s="2" t="inlineStr">
        <is>
          <t>코스피</t>
        </is>
      </c>
      <c r="D2424" s="2" t="inlineStr">
        <is>
          <t>005180</t>
        </is>
      </c>
      <c r="E2424" s="3" t="inlineStr">
        <is>
          <t>기업가치제고계획(자율공시)              (2026년)</t>
        </is>
      </c>
      <c r="F2424" s="3" t="inlineStr">
        <is>
          <t>빙그레</t>
        </is>
      </c>
      <c r="G2424" s="2" t="inlineStr">
        <is>
          <t>20260304800802</t>
        </is>
      </c>
      <c r="H2424" s="8">
        <f>HYPERLINK("https://dart.fss.or.kr/dsaf001/main.do?rcpNo=20260304800802", "공시열람")</f>
        <v/>
      </c>
    </row>
    <row r="2425">
      <c r="A2425" s="2" t="inlineStr">
        <is>
          <t>2026-03-04</t>
        </is>
      </c>
      <c r="B2425" s="3" t="inlineStr">
        <is>
          <t>케이티앤지</t>
        </is>
      </c>
      <c r="C2425" s="2" t="inlineStr">
        <is>
          <t>코스피</t>
        </is>
      </c>
      <c r="D2425" s="2" t="inlineStr">
        <is>
          <t>033780</t>
        </is>
      </c>
      <c r="E2425" s="3" t="inlineStr">
        <is>
          <t>임원ㆍ주요주주특정증권등소유상황보고서</t>
        </is>
      </c>
      <c r="F2425" s="3" t="inlineStr">
        <is>
          <t>장재홍</t>
        </is>
      </c>
      <c r="G2425" s="2" t="inlineStr">
        <is>
          <t>20260304000883</t>
        </is>
      </c>
      <c r="H2425" s="8">
        <f>HYPERLINK("https://dart.fss.or.kr/dsaf001/main.do?rcpNo=20260304000883", "공시열람")</f>
        <v/>
      </c>
    </row>
    <row r="2426">
      <c r="A2426" s="2" t="inlineStr">
        <is>
          <t>2026-03-04</t>
        </is>
      </c>
      <c r="B2426" s="3" t="inlineStr">
        <is>
          <t>대원전선</t>
        </is>
      </c>
      <c r="C2426" s="2" t="inlineStr">
        <is>
          <t>코스피</t>
        </is>
      </c>
      <c r="D2426" s="2" t="inlineStr">
        <is>
          <t>006340</t>
        </is>
      </c>
      <c r="E2426" s="3" t="inlineStr">
        <is>
          <t>임원ㆍ주요주주특정증권등소유상황보고서</t>
        </is>
      </c>
      <c r="F2426" s="3" t="inlineStr">
        <is>
          <t>SUH ANNY</t>
        </is>
      </c>
      <c r="G2426" s="2" t="inlineStr">
        <is>
          <t>20260304000874</t>
        </is>
      </c>
      <c r="H2426" s="8">
        <f>HYPERLINK("https://dart.fss.or.kr/dsaf001/main.do?rcpNo=20260304000874", "공시열람")</f>
        <v/>
      </c>
    </row>
    <row r="2427">
      <c r="A2427" s="2" t="inlineStr">
        <is>
          <t>2026-03-04</t>
        </is>
      </c>
      <c r="B2427" s="3" t="inlineStr">
        <is>
          <t>이노뎁</t>
        </is>
      </c>
      <c r="C2427" s="2" t="inlineStr">
        <is>
          <t>코스닥</t>
        </is>
      </c>
      <c r="D2427" s="2" t="inlineStr">
        <is>
          <t>303530</t>
        </is>
      </c>
      <c r="E2427" s="3" t="inlineStr">
        <is>
          <t>임원ㆍ주요주주특정증권등소유상황보고서</t>
        </is>
      </c>
      <c r="F2427" s="3" t="inlineStr">
        <is>
          <t>김장환</t>
        </is>
      </c>
      <c r="G2427" s="2" t="inlineStr">
        <is>
          <t>20260304000864</t>
        </is>
      </c>
      <c r="H2427" s="8">
        <f>HYPERLINK("https://dart.fss.or.kr/dsaf001/main.do?rcpNo=20260304000864", "공시열람")</f>
        <v/>
      </c>
    </row>
    <row r="2428">
      <c r="A2428" s="2" t="inlineStr">
        <is>
          <t>2026-03-04</t>
        </is>
      </c>
      <c r="B2428" s="3" t="inlineStr">
        <is>
          <t>케이티앤지</t>
        </is>
      </c>
      <c r="C2428" s="2" t="inlineStr">
        <is>
          <t>코스피</t>
        </is>
      </c>
      <c r="D2428" s="2" t="inlineStr">
        <is>
          <t>033780</t>
        </is>
      </c>
      <c r="E2428" s="3" t="inlineStr">
        <is>
          <t>임원ㆍ주요주주특정증권등소유상황보고서</t>
        </is>
      </c>
      <c r="F2428" s="3" t="inlineStr">
        <is>
          <t>임준한</t>
        </is>
      </c>
      <c r="G2428" s="2" t="inlineStr">
        <is>
          <t>20260304000855</t>
        </is>
      </c>
      <c r="H2428" s="8">
        <f>HYPERLINK("https://dart.fss.or.kr/dsaf001/main.do?rcpNo=20260304000855", "공시열람")</f>
        <v/>
      </c>
    </row>
    <row r="2429">
      <c r="A2429" s="2" t="inlineStr">
        <is>
          <t>2026-03-04</t>
        </is>
      </c>
      <c r="B2429" s="3" t="inlineStr">
        <is>
          <t>케이티앤지</t>
        </is>
      </c>
      <c r="C2429" s="2" t="inlineStr">
        <is>
          <t>코스피</t>
        </is>
      </c>
      <c r="D2429" s="2" t="inlineStr">
        <is>
          <t>033780</t>
        </is>
      </c>
      <c r="E2429" s="3" t="inlineStr">
        <is>
          <t>임원ㆍ주요주주특정증권등소유상황보고서</t>
        </is>
      </c>
      <c r="F2429" s="3" t="inlineStr">
        <is>
          <t>이정진</t>
        </is>
      </c>
      <c r="G2429" s="2" t="inlineStr">
        <is>
          <t>20260304000837</t>
        </is>
      </c>
      <c r="H2429" s="8">
        <f>HYPERLINK("https://dart.fss.or.kr/dsaf001/main.do?rcpNo=20260304000837", "공시열람")</f>
        <v/>
      </c>
    </row>
    <row r="2430">
      <c r="A2430" s="2" t="inlineStr">
        <is>
          <t>2026-03-04</t>
        </is>
      </c>
      <c r="B2430" s="3" t="inlineStr">
        <is>
          <t>비케이홀딩스</t>
        </is>
      </c>
      <c r="C2430" s="2" t="inlineStr">
        <is>
          <t>코스닥</t>
        </is>
      </c>
      <c r="D2430" s="2" t="inlineStr">
        <is>
          <t>050090</t>
        </is>
      </c>
      <c r="E2430" s="3" t="inlineStr">
        <is>
          <t xml:space="preserve">매출액또는손익구조30%(대규모법인은15%)이상변동              </t>
        </is>
      </c>
      <c r="F2430" s="3" t="inlineStr">
        <is>
          <t>비케이홀딩스</t>
        </is>
      </c>
      <c r="G2430" s="2" t="inlineStr">
        <is>
          <t>20260304900752</t>
        </is>
      </c>
      <c r="H2430" s="8">
        <f>HYPERLINK("https://dart.fss.or.kr/dsaf001/main.do?rcpNo=20260304900752", "공시열람")</f>
        <v/>
      </c>
    </row>
    <row r="2431">
      <c r="A2431" s="2" t="inlineStr">
        <is>
          <t>2026-03-04</t>
        </is>
      </c>
      <c r="B2431" s="3" t="inlineStr">
        <is>
          <t>유안타증권</t>
        </is>
      </c>
      <c r="C2431" s="2" t="inlineStr">
        <is>
          <t>코스피</t>
        </is>
      </c>
      <c r="D2431" s="2" t="inlineStr">
        <is>
          <t>003470</t>
        </is>
      </c>
      <c r="E2431" s="3" t="inlineStr">
        <is>
          <t>증권발행실적보고서</t>
        </is>
      </c>
      <c r="F2431" s="3" t="inlineStr">
        <is>
          <t>유안타증권</t>
        </is>
      </c>
      <c r="G2431" s="2" t="inlineStr">
        <is>
          <t>20260304000827</t>
        </is>
      </c>
      <c r="H2431" s="8">
        <f>HYPERLINK("https://dart.fss.or.kr/dsaf001/main.do?rcpNo=20260304000827", "공시열람")</f>
        <v/>
      </c>
    </row>
    <row r="2432">
      <c r="A2432" s="2" t="inlineStr">
        <is>
          <t>2026-03-04</t>
        </is>
      </c>
      <c r="B2432" s="3" t="inlineStr">
        <is>
          <t>HB테크놀러지</t>
        </is>
      </c>
      <c r="C2432" s="2" t="inlineStr">
        <is>
          <t>코스닥</t>
        </is>
      </c>
      <c r="D2432" s="2" t="inlineStr">
        <is>
          <t>078150</t>
        </is>
      </c>
      <c r="E2432" s="3" t="inlineStr">
        <is>
          <t>의결권대리행사권유참고서류</t>
        </is>
      </c>
      <c r="F2432" s="3" t="inlineStr">
        <is>
          <t>HB테크놀러지</t>
        </is>
      </c>
      <c r="G2432" s="2" t="inlineStr">
        <is>
          <t>20260304000825</t>
        </is>
      </c>
      <c r="H2432" s="8">
        <f>HYPERLINK("https://dart.fss.or.kr/dsaf001/main.do?rcpNo=20260304000825", "공시열람")</f>
        <v/>
      </c>
    </row>
    <row r="2433">
      <c r="A2433" s="2" t="inlineStr">
        <is>
          <t>2026-03-04</t>
        </is>
      </c>
      <c r="B2433" s="3" t="inlineStr">
        <is>
          <t>라닉스</t>
        </is>
      </c>
      <c r="C2433" s="2" t="inlineStr">
        <is>
          <t>코스닥</t>
        </is>
      </c>
      <c r="D2433" s="2" t="inlineStr">
        <is>
          <t>317120</t>
        </is>
      </c>
      <c r="E2433" s="3" t="inlineStr">
        <is>
          <t>임원ㆍ주요주주특정증권등소유상황보고서</t>
        </is>
      </c>
      <c r="F2433" s="3" t="inlineStr">
        <is>
          <t>이노형</t>
        </is>
      </c>
      <c r="G2433" s="2" t="inlineStr">
        <is>
          <t>20260304000823</t>
        </is>
      </c>
      <c r="H2433" s="8">
        <f>HYPERLINK("https://dart.fss.or.kr/dsaf001/main.do?rcpNo=20260304000823", "공시열람")</f>
        <v/>
      </c>
    </row>
    <row r="2434">
      <c r="A2434" s="2" t="inlineStr">
        <is>
          <t>2026-03-04</t>
        </is>
      </c>
      <c r="B2434" s="3" t="inlineStr">
        <is>
          <t>케이티앤지</t>
        </is>
      </c>
      <c r="C2434" s="2" t="inlineStr">
        <is>
          <t>코스피</t>
        </is>
      </c>
      <c r="D2434" s="2" t="inlineStr">
        <is>
          <t>033780</t>
        </is>
      </c>
      <c r="E2434" s="3" t="inlineStr">
        <is>
          <t>임원ㆍ주요주주특정증권등소유상황보고서</t>
        </is>
      </c>
      <c r="F2434" s="3" t="inlineStr">
        <is>
          <t>이응출</t>
        </is>
      </c>
      <c r="G2434" s="2" t="inlineStr">
        <is>
          <t>20260304000818</t>
        </is>
      </c>
      <c r="H2434" s="8">
        <f>HYPERLINK("https://dart.fss.or.kr/dsaf001/main.do?rcpNo=20260304000818", "공시열람")</f>
        <v/>
      </c>
    </row>
    <row r="2435">
      <c r="A2435" s="2" t="inlineStr">
        <is>
          <t>2026-03-04</t>
        </is>
      </c>
      <c r="B2435" s="3" t="inlineStr">
        <is>
          <t>피엔티</t>
        </is>
      </c>
      <c r="C2435" s="2" t="inlineStr">
        <is>
          <t>코스닥</t>
        </is>
      </c>
      <c r="D2435" s="2" t="inlineStr">
        <is>
          <t>137400</t>
        </is>
      </c>
      <c r="E2435" s="3" t="inlineStr">
        <is>
          <t>의결권대리행사권유참고서류</t>
        </is>
      </c>
      <c r="F2435" s="3" t="inlineStr">
        <is>
          <t>피엔티</t>
        </is>
      </c>
      <c r="G2435" s="2" t="inlineStr">
        <is>
          <t>20260304000816</t>
        </is>
      </c>
      <c r="H2435" s="8">
        <f>HYPERLINK("https://dart.fss.or.kr/dsaf001/main.do?rcpNo=20260304000816", "공시열람")</f>
        <v/>
      </c>
    </row>
    <row r="2436">
      <c r="A2436" s="2" t="inlineStr">
        <is>
          <t>2026-03-04</t>
        </is>
      </c>
      <c r="B2436" s="3" t="inlineStr">
        <is>
          <t>라닉스</t>
        </is>
      </c>
      <c r="C2436" s="2" t="inlineStr">
        <is>
          <t>코스닥</t>
        </is>
      </c>
      <c r="D2436" s="2" t="inlineStr">
        <is>
          <t>317120</t>
        </is>
      </c>
      <c r="E2436" s="3" t="inlineStr">
        <is>
          <t>임원ㆍ주요주주특정증권등소유상황보고서</t>
        </is>
      </c>
      <c r="F2436" s="3" t="inlineStr">
        <is>
          <t>최승욱</t>
        </is>
      </c>
      <c r="G2436" s="2" t="inlineStr">
        <is>
          <t>20260304000813</t>
        </is>
      </c>
      <c r="H2436" s="8">
        <f>HYPERLINK("https://dart.fss.or.kr/dsaf001/main.do?rcpNo=20260304000813", "공시열람")</f>
        <v/>
      </c>
    </row>
    <row r="2437">
      <c r="A2437" s="2" t="inlineStr">
        <is>
          <t>2026-03-04</t>
        </is>
      </c>
      <c r="B2437" s="3" t="inlineStr">
        <is>
          <t>일진다이아</t>
        </is>
      </c>
      <c r="C2437" s="2" t="inlineStr">
        <is>
          <t>코스피</t>
        </is>
      </c>
      <c r="D2437" s="2" t="inlineStr">
        <is>
          <t>081000</t>
        </is>
      </c>
      <c r="E2437" s="3" t="inlineStr">
        <is>
          <t xml:space="preserve">현금ㆍ현물배당결정              </t>
        </is>
      </c>
      <c r="F2437" s="3" t="inlineStr">
        <is>
          <t>일진다이아</t>
        </is>
      </c>
      <c r="G2437" s="2" t="inlineStr">
        <is>
          <t>20260304800767</t>
        </is>
      </c>
      <c r="H2437" s="8">
        <f>HYPERLINK("https://dart.fss.or.kr/dsaf001/main.do?rcpNo=20260304800767", "공시열람")</f>
        <v/>
      </c>
    </row>
    <row r="2438">
      <c r="A2438" s="2" t="inlineStr">
        <is>
          <t>2026-03-04</t>
        </is>
      </c>
      <c r="B2438" s="3" t="inlineStr">
        <is>
          <t>교보16호스팩</t>
        </is>
      </c>
      <c r="C2438" s="2" t="inlineStr">
        <is>
          <t>코스닥</t>
        </is>
      </c>
      <c r="D2438" s="2" t="inlineStr">
        <is>
          <t>482520</t>
        </is>
      </c>
      <c r="E2438" s="3" t="inlineStr">
        <is>
          <t xml:space="preserve">[첨부정정]감사보고서제출              </t>
        </is>
      </c>
      <c r="F2438" s="3" t="inlineStr">
        <is>
          <t>교보16호스팩</t>
        </is>
      </c>
      <c r="G2438" s="2" t="inlineStr">
        <is>
          <t>20260304900741</t>
        </is>
      </c>
      <c r="H2438" s="8">
        <f>HYPERLINK("https://dart.fss.or.kr/dsaf001/main.do?rcpNo=20260304900741", "공시열람")</f>
        <v/>
      </c>
    </row>
    <row r="2439">
      <c r="A2439" s="2" t="inlineStr">
        <is>
          <t>2026-03-04</t>
        </is>
      </c>
      <c r="B2439" s="3" t="inlineStr">
        <is>
          <t>케이티앤지</t>
        </is>
      </c>
      <c r="C2439" s="2" t="inlineStr">
        <is>
          <t>코스피</t>
        </is>
      </c>
      <c r="D2439" s="2" t="inlineStr">
        <is>
          <t>033780</t>
        </is>
      </c>
      <c r="E2439" s="3" t="inlineStr">
        <is>
          <t>임원ㆍ주요주주특정증권등소유상황보고서</t>
        </is>
      </c>
      <c r="F2439" s="3" t="inlineStr">
        <is>
          <t>이승준</t>
        </is>
      </c>
      <c r="G2439" s="2" t="inlineStr">
        <is>
          <t>20260304000805</t>
        </is>
      </c>
      <c r="H2439" s="8">
        <f>HYPERLINK("https://dart.fss.or.kr/dsaf001/main.do?rcpNo=20260304000805", "공시열람")</f>
        <v/>
      </c>
    </row>
    <row r="2440">
      <c r="A2440" s="2" t="inlineStr">
        <is>
          <t>2026-03-04 (정정: 2026-03-04)</t>
        </is>
      </c>
      <c r="B2440" s="3" t="inlineStr">
        <is>
          <t>교보18호스팩</t>
        </is>
      </c>
      <c r="C2440" s="2" t="inlineStr">
        <is>
          <t>코스닥</t>
        </is>
      </c>
      <c r="D2440" s="2" t="inlineStr">
        <is>
          <t>0041B0</t>
        </is>
      </c>
      <c r="E2440" s="3" t="inlineStr">
        <is>
          <t>의결권대리행사권유참고서류 (정정: 20260304)</t>
        </is>
      </c>
      <c r="F2440" s="3" t="inlineStr">
        <is>
          <t>교보18호스팩</t>
        </is>
      </c>
      <c r="G2440" s="2" t="inlineStr">
        <is>
          <t>20260304000232</t>
        </is>
      </c>
      <c r="H2440" s="8">
        <f>HYPERLINK("https://dart.fss.or.kr/dsaf001/main.do?rcpNo=20260304000232", "공시열람")</f>
        <v/>
      </c>
    </row>
    <row r="2441">
      <c r="A2441" s="2" t="inlineStr">
        <is>
          <t>2026-03-04</t>
        </is>
      </c>
      <c r="B2441" s="3" t="inlineStr">
        <is>
          <t>빙그레</t>
        </is>
      </c>
      <c r="C2441" s="2" t="inlineStr">
        <is>
          <t>코스피</t>
        </is>
      </c>
      <c r="D2441" s="2" t="inlineStr">
        <is>
          <t>005180</t>
        </is>
      </c>
      <c r="E2441" s="3" t="inlineStr">
        <is>
          <t xml:space="preserve">현금ㆍ현물배당을위한주주명부폐쇄(기준일)결정              </t>
        </is>
      </c>
      <c r="F2441" s="3" t="inlineStr">
        <is>
          <t>빙그레</t>
        </is>
      </c>
      <c r="G2441" s="2" t="inlineStr">
        <is>
          <t>20260304800756</t>
        </is>
      </c>
      <c r="H2441" s="8">
        <f>HYPERLINK("https://dart.fss.or.kr/dsaf001/main.do?rcpNo=20260304800756", "공시열람")</f>
        <v/>
      </c>
    </row>
    <row r="2442">
      <c r="A2442" s="2" t="inlineStr">
        <is>
          <t>2026-03-04</t>
        </is>
      </c>
      <c r="B2442" s="3" t="inlineStr">
        <is>
          <t>스틱인베스트먼트</t>
        </is>
      </c>
      <c r="C2442" s="2" t="inlineStr">
        <is>
          <t>코스피</t>
        </is>
      </c>
      <c r="D2442" s="2" t="inlineStr">
        <is>
          <t>026890</t>
        </is>
      </c>
      <c r="E2442" s="3" t="inlineStr">
        <is>
          <t>의결권대리행사권유참고서류</t>
        </is>
      </c>
      <c r="F2442" s="3" t="inlineStr">
        <is>
          <t>스틱인베스트먼트</t>
        </is>
      </c>
      <c r="G2442" s="2" t="inlineStr">
        <is>
          <t>20260304000795</t>
        </is>
      </c>
      <c r="H2442" s="8">
        <f>HYPERLINK("https://dart.fss.or.kr/dsaf001/main.do?rcpNo=20260304000795", "공시열람")</f>
        <v/>
      </c>
    </row>
    <row r="2443">
      <c r="A2443" s="2" t="inlineStr">
        <is>
          <t>2026-02-20 (정정: 2026-03-04)</t>
        </is>
      </c>
      <c r="B2443" s="3" t="inlineStr">
        <is>
          <t>피코그램</t>
        </is>
      </c>
      <c r="C2443" s="2" t="inlineStr">
        <is>
          <t>코스닥</t>
        </is>
      </c>
      <c r="D2443" s="2" t="inlineStr">
        <is>
          <t>376180</t>
        </is>
      </c>
      <c r="E2443" s="3" t="inlineStr">
        <is>
          <t xml:space="preserve">[기재정정]현금ㆍ현물배당결정              </t>
        </is>
      </c>
      <c r="F2443" s="3" t="inlineStr">
        <is>
          <t>피코그램</t>
        </is>
      </c>
      <c r="G2443" s="2" t="inlineStr">
        <is>
          <t>20260304900672</t>
        </is>
      </c>
      <c r="H2443" s="8">
        <f>HYPERLINK("https://dart.fss.or.kr/dsaf001/main.do?rcpNo=20260304900672", "공시열람")</f>
        <v/>
      </c>
    </row>
    <row r="2444">
      <c r="A2444" s="2" t="inlineStr">
        <is>
          <t>2026-03-04</t>
        </is>
      </c>
      <c r="B2444" s="3" t="inlineStr">
        <is>
          <t>모두투어</t>
        </is>
      </c>
      <c r="C2444" s="2" t="inlineStr">
        <is>
          <t>코스닥</t>
        </is>
      </c>
      <c r="D2444" s="2" t="inlineStr">
        <is>
          <t>080160</t>
        </is>
      </c>
      <c r="E2444" s="3" t="inlineStr">
        <is>
          <t>자기주식처분결과보고서</t>
        </is>
      </c>
      <c r="F2444" s="3" t="inlineStr">
        <is>
          <t>모두투어</t>
        </is>
      </c>
      <c r="G2444" s="2" t="inlineStr">
        <is>
          <t>20260304000793</t>
        </is>
      </c>
      <c r="H2444" s="8">
        <f>HYPERLINK("https://dart.fss.or.kr/dsaf001/main.do?rcpNo=20260304000793", "공시열람")</f>
        <v/>
      </c>
    </row>
    <row r="2445">
      <c r="A2445" s="2" t="inlineStr">
        <is>
          <t>2026-03-04</t>
        </is>
      </c>
      <c r="B2445" s="3" t="inlineStr">
        <is>
          <t>빙그레</t>
        </is>
      </c>
      <c r="C2445" s="2" t="inlineStr">
        <is>
          <t>코스피</t>
        </is>
      </c>
      <c r="D2445" s="2" t="inlineStr">
        <is>
          <t>005180</t>
        </is>
      </c>
      <c r="E2445" s="3" t="inlineStr">
        <is>
          <t xml:space="preserve">현금ㆍ현물배당결정              </t>
        </is>
      </c>
      <c r="F2445" s="3" t="inlineStr">
        <is>
          <t>빙그레</t>
        </is>
      </c>
      <c r="G2445" s="2" t="inlineStr">
        <is>
          <t>20260304800751</t>
        </is>
      </c>
      <c r="H2445" s="8">
        <f>HYPERLINK("https://dart.fss.or.kr/dsaf001/main.do?rcpNo=20260304800751", "공시열람")</f>
        <v/>
      </c>
    </row>
    <row r="2446">
      <c r="A2446" s="2" t="inlineStr">
        <is>
          <t>2026-03-04</t>
        </is>
      </c>
      <c r="B2446" s="3" t="inlineStr">
        <is>
          <t>케이티앤지</t>
        </is>
      </c>
      <c r="C2446" s="2" t="inlineStr">
        <is>
          <t>코스피</t>
        </is>
      </c>
      <c r="D2446" s="2" t="inlineStr">
        <is>
          <t>033780</t>
        </is>
      </c>
      <c r="E2446" s="3" t="inlineStr">
        <is>
          <t>임원ㆍ주요주주특정증권등소유상황보고서</t>
        </is>
      </c>
      <c r="F2446" s="3" t="inlineStr">
        <is>
          <t>이상학</t>
        </is>
      </c>
      <c r="G2446" s="2" t="inlineStr">
        <is>
          <t>20260304000787</t>
        </is>
      </c>
      <c r="H2446" s="8">
        <f>HYPERLINK("https://dart.fss.or.kr/dsaf001/main.do?rcpNo=20260304000787", "공시열람")</f>
        <v/>
      </c>
    </row>
    <row r="2447">
      <c r="A2447" s="2" t="inlineStr">
        <is>
          <t>2026-03-04</t>
        </is>
      </c>
      <c r="B2447" s="3" t="inlineStr">
        <is>
          <t>트루엔</t>
        </is>
      </c>
      <c r="C2447" s="2" t="inlineStr">
        <is>
          <t>코스닥</t>
        </is>
      </c>
      <c r="D2447" s="2" t="inlineStr">
        <is>
          <t>417790</t>
        </is>
      </c>
      <c r="E2447" s="3" t="inlineStr">
        <is>
          <t xml:space="preserve">현금ㆍ현물배당결정              </t>
        </is>
      </c>
      <c r="F2447" s="3" t="inlineStr">
        <is>
          <t>트루엔</t>
        </is>
      </c>
      <c r="G2447" s="2" t="inlineStr">
        <is>
          <t>20260304900728</t>
        </is>
      </c>
      <c r="H2447" s="8">
        <f>HYPERLINK("https://dart.fss.or.kr/dsaf001/main.do?rcpNo=20260304900728", "공시열람")</f>
        <v/>
      </c>
    </row>
    <row r="2448">
      <c r="A2448" s="2" t="inlineStr">
        <is>
          <t>2026-03-04</t>
        </is>
      </c>
      <c r="B2448" s="3" t="inlineStr">
        <is>
          <t>코미코</t>
        </is>
      </c>
      <c r="C2448" s="2" t="inlineStr">
        <is>
          <t>코스닥</t>
        </is>
      </c>
      <c r="D2448" s="2" t="inlineStr">
        <is>
          <t>183300</t>
        </is>
      </c>
      <c r="E2448" s="3" t="inlineStr">
        <is>
          <t xml:space="preserve">현금ㆍ현물배당결정              </t>
        </is>
      </c>
      <c r="F2448" s="3" t="inlineStr">
        <is>
          <t>코미코</t>
        </is>
      </c>
      <c r="G2448" s="2" t="inlineStr">
        <is>
          <t>20260304900717</t>
        </is>
      </c>
      <c r="H2448" s="8">
        <f>HYPERLINK("https://dart.fss.or.kr/dsaf001/main.do?rcpNo=20260304900717", "공시열람")</f>
        <v/>
      </c>
    </row>
    <row r="2449">
      <c r="A2449" s="2" t="inlineStr">
        <is>
          <t>2026-03-04</t>
        </is>
      </c>
      <c r="B2449" s="3" t="inlineStr">
        <is>
          <t>동국산업</t>
        </is>
      </c>
      <c r="C2449" s="2" t="inlineStr">
        <is>
          <t>코스닥</t>
        </is>
      </c>
      <c r="D2449" s="2" t="inlineStr">
        <is>
          <t>005160</t>
        </is>
      </c>
      <c r="E2449" s="3" t="inlineStr">
        <is>
          <t>임원ㆍ주요주주특정증권등소유상황보고서</t>
        </is>
      </c>
      <c r="F2449" s="3" t="inlineStr">
        <is>
          <t>이원휘</t>
        </is>
      </c>
      <c r="G2449" s="2" t="inlineStr">
        <is>
          <t>20260304000778</t>
        </is>
      </c>
      <c r="H2449" s="8">
        <f>HYPERLINK("https://dart.fss.or.kr/dsaf001/main.do?rcpNo=20260304000778", "공시열람")</f>
        <v/>
      </c>
    </row>
    <row r="2450">
      <c r="A2450" s="2" t="inlineStr">
        <is>
          <t>2026-03-04</t>
        </is>
      </c>
      <c r="B2450" s="3" t="inlineStr">
        <is>
          <t>라닉스</t>
        </is>
      </c>
      <c r="C2450" s="2" t="inlineStr">
        <is>
          <t>코스닥</t>
        </is>
      </c>
      <c r="D2450" s="2" t="inlineStr">
        <is>
          <t>317120</t>
        </is>
      </c>
      <c r="E2450" s="3" t="inlineStr">
        <is>
          <t>자기주식처분결과보고서</t>
        </is>
      </c>
      <c r="F2450" s="3" t="inlineStr">
        <is>
          <t>라닉스</t>
        </is>
      </c>
      <c r="G2450" s="2" t="inlineStr">
        <is>
          <t>20260304000777</t>
        </is>
      </c>
      <c r="H2450" s="8">
        <f>HYPERLINK("https://dart.fss.or.kr/dsaf001/main.do?rcpNo=20260304000777", "공시열람")</f>
        <v/>
      </c>
    </row>
    <row r="2451">
      <c r="A2451" s="2" t="inlineStr">
        <is>
          <t>2026-03-04</t>
        </is>
      </c>
      <c r="B2451" s="3" t="inlineStr">
        <is>
          <t>동양생명</t>
        </is>
      </c>
      <c r="C2451" s="2" t="inlineStr">
        <is>
          <t>코스피</t>
        </is>
      </c>
      <c r="D2451" s="2" t="inlineStr">
        <is>
          <t>082640</t>
        </is>
      </c>
      <c r="E2451" s="3" t="inlineStr">
        <is>
          <t xml:space="preserve">감사보고서제출              </t>
        </is>
      </c>
      <c r="F2451" s="3" t="inlineStr">
        <is>
          <t>동양생명</t>
        </is>
      </c>
      <c r="G2451" s="2" t="inlineStr">
        <is>
          <t>20260304800690</t>
        </is>
      </c>
      <c r="H2451" s="8">
        <f>HYPERLINK("https://dart.fss.or.kr/dsaf001/main.do?rcpNo=20260304800690", "공시열람")</f>
        <v/>
      </c>
    </row>
    <row r="2452">
      <c r="A2452" s="2" t="inlineStr">
        <is>
          <t>2026-03-04</t>
        </is>
      </c>
      <c r="B2452" s="3" t="inlineStr">
        <is>
          <t>대원전선</t>
        </is>
      </c>
      <c r="C2452" s="2" t="inlineStr">
        <is>
          <t>코스피</t>
        </is>
      </c>
      <c r="D2452" s="2" t="inlineStr">
        <is>
          <t>006340</t>
        </is>
      </c>
      <c r="E2452" s="3" t="inlineStr">
        <is>
          <t>임원ㆍ주요주주특정증권등소유상황보고서</t>
        </is>
      </c>
      <c r="F2452" s="3" t="inlineStr">
        <is>
          <t>박군자</t>
        </is>
      </c>
      <c r="G2452" s="2" t="inlineStr">
        <is>
          <t>20260304000775</t>
        </is>
      </c>
      <c r="H2452" s="8">
        <f>HYPERLINK("https://dart.fss.or.kr/dsaf001/main.do?rcpNo=20260304000775", "공시열람")</f>
        <v/>
      </c>
    </row>
    <row r="2453">
      <c r="A2453" s="2" t="inlineStr">
        <is>
          <t>2026-03-04</t>
        </is>
      </c>
      <c r="B2453" s="3" t="inlineStr">
        <is>
          <t>케이티앤지</t>
        </is>
      </c>
      <c r="C2453" s="2" t="inlineStr">
        <is>
          <t>코스피</t>
        </is>
      </c>
      <c r="D2453" s="2" t="inlineStr">
        <is>
          <t>033780</t>
        </is>
      </c>
      <c r="E2453" s="3" t="inlineStr">
        <is>
          <t>임원ㆍ주요주주특정증권등소유상황보고서</t>
        </is>
      </c>
      <c r="F2453" s="3" t="inlineStr">
        <is>
          <t>이병태</t>
        </is>
      </c>
      <c r="G2453" s="2" t="inlineStr">
        <is>
          <t>20260304000773</t>
        </is>
      </c>
      <c r="H2453" s="8">
        <f>HYPERLINK("https://dart.fss.or.kr/dsaf001/main.do?rcpNo=20260304000773", "공시열람")</f>
        <v/>
      </c>
    </row>
    <row r="2454">
      <c r="A2454" s="2" t="inlineStr">
        <is>
          <t>2026-03-04</t>
        </is>
      </c>
      <c r="B2454" s="3" t="inlineStr">
        <is>
          <t>일진하이솔루스</t>
        </is>
      </c>
      <c r="C2454" s="2" t="inlineStr">
        <is>
          <t>코스피</t>
        </is>
      </c>
      <c r="D2454" s="2" t="inlineStr">
        <is>
          <t>271940</t>
        </is>
      </c>
      <c r="E2454" s="3" t="inlineStr">
        <is>
          <t>의결권대리행사권유참고서류</t>
        </is>
      </c>
      <c r="F2454" s="3" t="inlineStr">
        <is>
          <t>일진하이솔루스</t>
        </is>
      </c>
      <c r="G2454" s="2" t="inlineStr">
        <is>
          <t>20260304000771</t>
        </is>
      </c>
      <c r="H2454" s="8">
        <f>HYPERLINK("https://dart.fss.or.kr/dsaf001/main.do?rcpNo=20260304000771", "공시열람")</f>
        <v/>
      </c>
    </row>
    <row r="2455">
      <c r="A2455" s="2" t="inlineStr">
        <is>
          <t>2026-03-04</t>
        </is>
      </c>
      <c r="B2455" s="3" t="inlineStr">
        <is>
          <t>케이티앤지</t>
        </is>
      </c>
      <c r="C2455" s="2" t="inlineStr">
        <is>
          <t>코스피</t>
        </is>
      </c>
      <c r="D2455" s="2" t="inlineStr">
        <is>
          <t>033780</t>
        </is>
      </c>
      <c r="E2455" s="3" t="inlineStr">
        <is>
          <t>임원ㆍ주요주주특정증권등소유상황보고서</t>
        </is>
      </c>
      <c r="F2455" s="3" t="inlineStr">
        <is>
          <t>이동재</t>
        </is>
      </c>
      <c r="G2455" s="2" t="inlineStr">
        <is>
          <t>20260304000764</t>
        </is>
      </c>
      <c r="H2455" s="8">
        <f>HYPERLINK("https://dart.fss.or.kr/dsaf001/main.do?rcpNo=20260304000764", "공시열람")</f>
        <v/>
      </c>
    </row>
    <row r="2456">
      <c r="A2456" s="2" t="inlineStr">
        <is>
          <t>2026-03-04</t>
        </is>
      </c>
      <c r="B2456" s="3" t="inlineStr">
        <is>
          <t>현대차증권</t>
        </is>
      </c>
      <c r="C2456" s="2" t="inlineStr">
        <is>
          <t>코스피</t>
        </is>
      </c>
      <c r="D2456" s="2" t="inlineStr">
        <is>
          <t>001500</t>
        </is>
      </c>
      <c r="E2456" s="3" t="inlineStr">
        <is>
          <t>투자설명서(일괄신고)</t>
        </is>
      </c>
      <c r="F2456" s="3" t="inlineStr">
        <is>
          <t>현대차증권</t>
        </is>
      </c>
      <c r="G2456" s="2" t="inlineStr">
        <is>
          <t>20260304000752</t>
        </is>
      </c>
      <c r="H2456" s="8">
        <f>HYPERLINK("https://dart.fss.or.kr/dsaf001/main.do?rcpNo=20260304000752", "공시열람")</f>
        <v/>
      </c>
    </row>
    <row r="2457">
      <c r="A2457" s="2" t="inlineStr">
        <is>
          <t>2026-03-04</t>
        </is>
      </c>
      <c r="B2457" s="3" t="inlineStr">
        <is>
          <t>케이티앤지</t>
        </is>
      </c>
      <c r="C2457" s="2" t="inlineStr">
        <is>
          <t>코스피</t>
        </is>
      </c>
      <c r="D2457" s="2" t="inlineStr">
        <is>
          <t>033780</t>
        </is>
      </c>
      <c r="E2457" s="3" t="inlineStr">
        <is>
          <t>임원ㆍ주요주주특정증권등소유상황보고서</t>
        </is>
      </c>
      <c r="F2457" s="3" t="inlineStr">
        <is>
          <t>이경준</t>
        </is>
      </c>
      <c r="G2457" s="2" t="inlineStr">
        <is>
          <t>20260304000751</t>
        </is>
      </c>
      <c r="H2457" s="8">
        <f>HYPERLINK("https://dart.fss.or.kr/dsaf001/main.do?rcpNo=20260304000751", "공시열람")</f>
        <v/>
      </c>
    </row>
    <row r="2458">
      <c r="A2458" s="2" t="inlineStr">
        <is>
          <t>2026-03-04</t>
        </is>
      </c>
      <c r="B2458" s="3" t="inlineStr">
        <is>
          <t>한화투자증권</t>
        </is>
      </c>
      <c r="C2458" s="2" t="inlineStr">
        <is>
          <t>코스피</t>
        </is>
      </c>
      <c r="D2458" s="2" t="inlineStr">
        <is>
          <t>003530</t>
        </is>
      </c>
      <c r="E2458" s="3" t="inlineStr">
        <is>
          <t>투자설명서(일괄신고)</t>
        </is>
      </c>
      <c r="F2458" s="3" t="inlineStr">
        <is>
          <t>한화투자증권</t>
        </is>
      </c>
      <c r="G2458" s="2" t="inlineStr">
        <is>
          <t>20260304000748</t>
        </is>
      </c>
      <c r="H2458" s="8">
        <f>HYPERLINK("https://dart.fss.or.kr/dsaf001/main.do?rcpNo=20260304000748", "공시열람")</f>
        <v/>
      </c>
    </row>
    <row r="2459">
      <c r="A2459" s="2" t="inlineStr">
        <is>
          <t>2026-03-04</t>
        </is>
      </c>
      <c r="B2459" s="3" t="inlineStr">
        <is>
          <t>미스터블루</t>
        </is>
      </c>
      <c r="C2459" s="2" t="inlineStr">
        <is>
          <t>코스닥</t>
        </is>
      </c>
      <c r="D2459" s="2" t="inlineStr">
        <is>
          <t>207760</t>
        </is>
      </c>
      <c r="E2459" s="3" t="inlineStr">
        <is>
          <t>의결권대리행사권유참고서류</t>
        </is>
      </c>
      <c r="F2459" s="3" t="inlineStr">
        <is>
          <t>미스터블루</t>
        </is>
      </c>
      <c r="G2459" s="2" t="inlineStr">
        <is>
          <t>20260304000742</t>
        </is>
      </c>
      <c r="H2459" s="8">
        <f>HYPERLINK("https://dart.fss.or.kr/dsaf001/main.do?rcpNo=20260304000742", "공시열람")</f>
        <v/>
      </c>
    </row>
    <row r="2460">
      <c r="A2460" s="2" t="inlineStr">
        <is>
          <t>2026-03-04</t>
        </is>
      </c>
      <c r="B2460" s="3" t="inlineStr">
        <is>
          <t>케이티앤지</t>
        </is>
      </c>
      <c r="C2460" s="2" t="inlineStr">
        <is>
          <t>코스피</t>
        </is>
      </c>
      <c r="D2460" s="2" t="inlineStr">
        <is>
          <t>033780</t>
        </is>
      </c>
      <c r="E2460" s="3" t="inlineStr">
        <is>
          <t>임원ㆍ주요주주특정증권등소유상황보고서</t>
        </is>
      </c>
      <c r="F2460" s="3" t="inlineStr">
        <is>
          <t>윤영찬</t>
        </is>
      </c>
      <c r="G2460" s="2" t="inlineStr">
        <is>
          <t>20260304000738</t>
        </is>
      </c>
      <c r="H2460" s="8">
        <f>HYPERLINK("https://dart.fss.or.kr/dsaf001/main.do?rcpNo=20260304000738", "공시열람")</f>
        <v/>
      </c>
    </row>
    <row r="2461">
      <c r="A2461" s="2" t="inlineStr">
        <is>
          <t>2026-03-04</t>
        </is>
      </c>
      <c r="B2461" s="3" t="inlineStr">
        <is>
          <t>넥센타이어</t>
        </is>
      </c>
      <c r="C2461" s="2" t="inlineStr">
        <is>
          <t>코스피</t>
        </is>
      </c>
      <c r="D2461" s="2" t="inlineStr">
        <is>
          <t>002350</t>
        </is>
      </c>
      <c r="E2461" s="3" t="inlineStr">
        <is>
          <t>자기주식처분결과보고서</t>
        </is>
      </c>
      <c r="F2461" s="3" t="inlineStr">
        <is>
          <t>넥센타이어</t>
        </is>
      </c>
      <c r="G2461" s="2" t="inlineStr">
        <is>
          <t>20260304000732</t>
        </is>
      </c>
      <c r="H2461" s="8">
        <f>HYPERLINK("https://dart.fss.or.kr/dsaf001/main.do?rcpNo=20260304000732", "공시열람")</f>
        <v/>
      </c>
    </row>
    <row r="2462">
      <c r="A2462" s="2" t="inlineStr">
        <is>
          <t>2026-03-04</t>
        </is>
      </c>
      <c r="B2462" s="3" t="inlineStr">
        <is>
          <t>교보증권</t>
        </is>
      </c>
      <c r="C2462" s="2" t="inlineStr">
        <is>
          <t>코스피</t>
        </is>
      </c>
      <c r="D2462" s="2" t="inlineStr">
        <is>
          <t>030610</t>
        </is>
      </c>
      <c r="E2462" s="3" t="inlineStr">
        <is>
          <t>증권발행실적보고서</t>
        </is>
      </c>
      <c r="F2462" s="3" t="inlineStr">
        <is>
          <t>교보증권</t>
        </is>
      </c>
      <c r="G2462" s="2" t="inlineStr">
        <is>
          <t>20260304000730</t>
        </is>
      </c>
      <c r="H2462" s="8">
        <f>HYPERLINK("https://dart.fss.or.kr/dsaf001/main.do?rcpNo=20260304000730", "공시열람")</f>
        <v/>
      </c>
    </row>
    <row r="2463">
      <c r="A2463" s="2" t="inlineStr">
        <is>
          <t>2026-03-04</t>
        </is>
      </c>
      <c r="B2463" s="3" t="inlineStr">
        <is>
          <t>엑사이엔씨</t>
        </is>
      </c>
      <c r="C2463" s="2" t="inlineStr">
        <is>
          <t>코스닥</t>
        </is>
      </c>
      <c r="D2463" s="2" t="inlineStr">
        <is>
          <t>054940</t>
        </is>
      </c>
      <c r="E2463" s="3" t="inlineStr">
        <is>
          <t>임원ㆍ주요주주특정증권등소유상황보고서</t>
        </is>
      </c>
      <c r="F2463" s="3" t="inlineStr">
        <is>
          <t>진은정</t>
        </is>
      </c>
      <c r="G2463" s="2" t="inlineStr">
        <is>
          <t>20260304000724</t>
        </is>
      </c>
      <c r="H2463" s="8">
        <f>HYPERLINK("https://dart.fss.or.kr/dsaf001/main.do?rcpNo=20260304000724", "공시열람")</f>
        <v/>
      </c>
    </row>
    <row r="2464">
      <c r="A2464" s="2" t="inlineStr">
        <is>
          <t>2026-03-04</t>
        </is>
      </c>
      <c r="B2464" s="3" t="inlineStr">
        <is>
          <t>서원인텍</t>
        </is>
      </c>
      <c r="C2464" s="2" t="inlineStr">
        <is>
          <t>코스닥</t>
        </is>
      </c>
      <c r="D2464" s="2" t="inlineStr">
        <is>
          <t>093920</t>
        </is>
      </c>
      <c r="E2464" s="3" t="inlineStr">
        <is>
          <t>의결권대리행사권유참고서류</t>
        </is>
      </c>
      <c r="F2464" s="3" t="inlineStr">
        <is>
          <t>서원인텍</t>
        </is>
      </c>
      <c r="G2464" s="2" t="inlineStr">
        <is>
          <t>20260304000723</t>
        </is>
      </c>
      <c r="H2464" s="8">
        <f>HYPERLINK("https://dart.fss.or.kr/dsaf001/main.do?rcpNo=20260304000723", "공시열람")</f>
        <v/>
      </c>
    </row>
    <row r="2465">
      <c r="A2465" s="2" t="inlineStr">
        <is>
          <t>2026-03-04</t>
        </is>
      </c>
      <c r="B2465" s="3" t="inlineStr">
        <is>
          <t>케이티앤지</t>
        </is>
      </c>
      <c r="C2465" s="2" t="inlineStr">
        <is>
          <t>코스피</t>
        </is>
      </c>
      <c r="D2465" s="2" t="inlineStr">
        <is>
          <t>033780</t>
        </is>
      </c>
      <c r="E2465" s="3" t="inlineStr">
        <is>
          <t>임원ㆍ주요주주특정증권등소유상황보고서</t>
        </is>
      </c>
      <c r="F2465" s="3" t="inlineStr">
        <is>
          <t>윤광석</t>
        </is>
      </c>
      <c r="G2465" s="2" t="inlineStr">
        <is>
          <t>20260304000719</t>
        </is>
      </c>
      <c r="H2465" s="8">
        <f>HYPERLINK("https://dart.fss.or.kr/dsaf001/main.do?rcpNo=20260304000719", "공시열람")</f>
        <v/>
      </c>
    </row>
    <row r="2466">
      <c r="A2466" s="2" t="inlineStr">
        <is>
          <t>2026-03-04</t>
        </is>
      </c>
      <c r="B2466" s="3" t="inlineStr">
        <is>
          <t>일진홀딩스</t>
        </is>
      </c>
      <c r="C2466" s="2" t="inlineStr">
        <is>
          <t>코스피</t>
        </is>
      </c>
      <c r="D2466" s="2" t="inlineStr">
        <is>
          <t>015860</t>
        </is>
      </c>
      <c r="E2466" s="3" t="inlineStr">
        <is>
          <t>의결권대리행사권유참고서류</t>
        </is>
      </c>
      <c r="F2466" s="3" t="inlineStr">
        <is>
          <t>일진홀딩스</t>
        </is>
      </c>
      <c r="G2466" s="2" t="inlineStr">
        <is>
          <t>20260304000718</t>
        </is>
      </c>
      <c r="H2466" s="8">
        <f>HYPERLINK("https://dart.fss.or.kr/dsaf001/main.do?rcpNo=20260304000718", "공시열람")</f>
        <v/>
      </c>
    </row>
    <row r="2467">
      <c r="A2467" s="2" t="inlineStr">
        <is>
          <t>2026-03-04</t>
        </is>
      </c>
      <c r="B2467" s="3" t="inlineStr">
        <is>
          <t>이노에이엑스</t>
        </is>
      </c>
      <c r="C2467" s="2" t="inlineStr">
        <is>
          <t>코스닥</t>
        </is>
      </c>
      <c r="D2467" s="2" t="inlineStr">
        <is>
          <t>296640</t>
        </is>
      </c>
      <c r="E2467" s="3" t="inlineStr">
        <is>
          <t>자기주식처분결과보고서</t>
        </is>
      </c>
      <c r="F2467" s="3" t="inlineStr">
        <is>
          <t>이노에이엑스</t>
        </is>
      </c>
      <c r="G2467" s="2" t="inlineStr">
        <is>
          <t>20260304000710</t>
        </is>
      </c>
      <c r="H2467" s="8">
        <f>HYPERLINK("https://dart.fss.or.kr/dsaf001/main.do?rcpNo=20260304000710", "공시열람")</f>
        <v/>
      </c>
    </row>
    <row r="2468">
      <c r="A2468" s="2" t="inlineStr">
        <is>
          <t>2026-03-04</t>
        </is>
      </c>
      <c r="B2468" s="3" t="inlineStr">
        <is>
          <t>케이티앤지</t>
        </is>
      </c>
      <c r="C2468" s="2" t="inlineStr">
        <is>
          <t>코스피</t>
        </is>
      </c>
      <c r="D2468" s="2" t="inlineStr">
        <is>
          <t>033780</t>
        </is>
      </c>
      <c r="E2468" s="3" t="inlineStr">
        <is>
          <t>임원ㆍ주요주주특정증권등소유상황보고서</t>
        </is>
      </c>
      <c r="F2468" s="3" t="inlineStr">
        <is>
          <t>우상준</t>
        </is>
      </c>
      <c r="G2468" s="2" t="inlineStr">
        <is>
          <t>20260304000700</t>
        </is>
      </c>
      <c r="H2468" s="8">
        <f>HYPERLINK("https://dart.fss.or.kr/dsaf001/main.do?rcpNo=20260304000700", "공시열람")</f>
        <v/>
      </c>
    </row>
    <row r="2469">
      <c r="A2469" s="2" t="inlineStr">
        <is>
          <t>2026-03-04</t>
        </is>
      </c>
      <c r="B2469" s="3" t="inlineStr">
        <is>
          <t>한화투자증권</t>
        </is>
      </c>
      <c r="C2469" s="2" t="inlineStr">
        <is>
          <t>코스피</t>
        </is>
      </c>
      <c r="D2469" s="2" t="inlineStr">
        <is>
          <t>003530</t>
        </is>
      </c>
      <c r="E2469" s="3" t="inlineStr">
        <is>
          <t>일괄신고추가서류(파생결합사채-주가연계파생결합사채)</t>
        </is>
      </c>
      <c r="F2469" s="3" t="inlineStr">
        <is>
          <t>한화투자증권</t>
        </is>
      </c>
      <c r="G2469" s="2" t="inlineStr">
        <is>
          <t>20260304000699</t>
        </is>
      </c>
      <c r="H2469" s="8">
        <f>HYPERLINK("https://dart.fss.or.kr/dsaf001/main.do?rcpNo=20260304000699", "공시열람")</f>
        <v/>
      </c>
    </row>
    <row r="2470">
      <c r="A2470" s="2" t="inlineStr">
        <is>
          <t>2026-03-04</t>
        </is>
      </c>
      <c r="B2470" s="3" t="inlineStr">
        <is>
          <t>코미코</t>
        </is>
      </c>
      <c r="C2470" s="2" t="inlineStr">
        <is>
          <t>코스닥</t>
        </is>
      </c>
      <c r="D2470" s="2" t="inlineStr">
        <is>
          <t>183300</t>
        </is>
      </c>
      <c r="E2470" s="3" t="inlineStr">
        <is>
          <t xml:space="preserve">현금ㆍ현물배당을위한주주명부폐쇄(기준일)결정              </t>
        </is>
      </c>
      <c r="F2470" s="3" t="inlineStr">
        <is>
          <t>코미코</t>
        </is>
      </c>
      <c r="G2470" s="2" t="inlineStr">
        <is>
          <t>20260304900674</t>
        </is>
      </c>
      <c r="H2470" s="8">
        <f>HYPERLINK("https://dart.fss.or.kr/dsaf001/main.do?rcpNo=20260304900674", "공시열람")</f>
        <v/>
      </c>
    </row>
    <row r="2471">
      <c r="A2471" s="2" t="inlineStr">
        <is>
          <t>2026-03-04</t>
        </is>
      </c>
      <c r="B2471" s="3" t="inlineStr">
        <is>
          <t>피코그램</t>
        </is>
      </c>
      <c r="C2471" s="2" t="inlineStr">
        <is>
          <t>코스닥</t>
        </is>
      </c>
      <c r="D2471" s="2" t="inlineStr">
        <is>
          <t>376180</t>
        </is>
      </c>
      <c r="E2471" s="3" t="inlineStr">
        <is>
          <t xml:space="preserve">[기재정정]매출액또는손익구조30%(대규모법인은15%)이상변동              </t>
        </is>
      </c>
      <c r="F2471" s="3" t="inlineStr">
        <is>
          <t>피코그램</t>
        </is>
      </c>
      <c r="G2471" s="2" t="inlineStr">
        <is>
          <t>20260304900662</t>
        </is>
      </c>
      <c r="H2471" s="8">
        <f>HYPERLINK("https://dart.fss.or.kr/dsaf001/main.do?rcpNo=20260304900662", "공시열람")</f>
        <v/>
      </c>
    </row>
    <row r="2472">
      <c r="A2472" s="2" t="inlineStr">
        <is>
          <t>2026-03-04</t>
        </is>
      </c>
      <c r="B2472" s="3" t="inlineStr">
        <is>
          <t>케이티앤지</t>
        </is>
      </c>
      <c r="C2472" s="2" t="inlineStr">
        <is>
          <t>코스피</t>
        </is>
      </c>
      <c r="D2472" s="2" t="inlineStr">
        <is>
          <t>033780</t>
        </is>
      </c>
      <c r="E2472" s="3" t="inlineStr">
        <is>
          <t>임원ㆍ주요주주특정증권등소유상황보고서</t>
        </is>
      </c>
      <c r="F2472" s="3" t="inlineStr">
        <is>
          <t>오용선</t>
        </is>
      </c>
      <c r="G2472" s="2" t="inlineStr">
        <is>
          <t>20260304000694</t>
        </is>
      </c>
      <c r="H2472" s="8">
        <f>HYPERLINK("https://dart.fss.or.kr/dsaf001/main.do?rcpNo=20260304000694", "공시열람")</f>
        <v/>
      </c>
    </row>
    <row r="2473">
      <c r="A2473" s="2" t="inlineStr">
        <is>
          <t>2026-03-04</t>
        </is>
      </c>
      <c r="B2473" s="3" t="inlineStr">
        <is>
          <t>키움히어로제1호스팩</t>
        </is>
      </c>
      <c r="C2473" s="2" t="inlineStr">
        <is>
          <t>코스닥</t>
        </is>
      </c>
      <c r="D2473" s="2" t="inlineStr">
        <is>
          <t>466690</t>
        </is>
      </c>
      <c r="E2473" s="3" t="inlineStr">
        <is>
          <t>의결권대리행사권유참고서류</t>
        </is>
      </c>
      <c r="F2473" s="3" t="inlineStr">
        <is>
          <t>키움히어로제1호스팩</t>
        </is>
      </c>
      <c r="G2473" s="2" t="inlineStr">
        <is>
          <t>20260304000693</t>
        </is>
      </c>
      <c r="H2473" s="8">
        <f>HYPERLINK("https://dart.fss.or.kr/dsaf001/main.do?rcpNo=20260304000693", "공시열람")</f>
        <v/>
      </c>
    </row>
    <row r="2474">
      <c r="A2474" s="2" t="inlineStr">
        <is>
          <t>2026-03-04</t>
        </is>
      </c>
      <c r="B2474" s="3" t="inlineStr">
        <is>
          <t>디와이덕양</t>
        </is>
      </c>
      <c r="C2474" s="2" t="inlineStr">
        <is>
          <t>코스피</t>
        </is>
      </c>
      <c r="D2474" s="2" t="inlineStr">
        <is>
          <t>024900</t>
        </is>
      </c>
      <c r="E2474" s="3" t="inlineStr">
        <is>
          <t xml:space="preserve">현금ㆍ현물배당결정              </t>
        </is>
      </c>
      <c r="F2474" s="3" t="inlineStr">
        <is>
          <t>디와이덕양</t>
        </is>
      </c>
      <c r="G2474" s="2" t="inlineStr">
        <is>
          <t>20260304800667</t>
        </is>
      </c>
      <c r="H2474" s="8">
        <f>HYPERLINK("https://dart.fss.or.kr/dsaf001/main.do?rcpNo=20260304800667", "공시열람")</f>
        <v/>
      </c>
    </row>
    <row r="2475">
      <c r="A2475" s="2" t="inlineStr">
        <is>
          <t>2026-03-04</t>
        </is>
      </c>
      <c r="B2475" s="3" t="inlineStr">
        <is>
          <t>미래에셋증권</t>
        </is>
      </c>
      <c r="C2475" s="2" t="inlineStr">
        <is>
          <t>코스피</t>
        </is>
      </c>
      <c r="D2475" s="2" t="inlineStr">
        <is>
          <t>006800</t>
        </is>
      </c>
      <c r="E2475" s="3" t="inlineStr">
        <is>
          <t>투자설명서(일괄신고)</t>
        </is>
      </c>
      <c r="F2475" s="3" t="inlineStr">
        <is>
          <t>미래에셋증권</t>
        </is>
      </c>
      <c r="G2475" s="2" t="inlineStr">
        <is>
          <t>20260304000685</t>
        </is>
      </c>
      <c r="H2475" s="8">
        <f>HYPERLINK("https://dart.fss.or.kr/dsaf001/main.do?rcpNo=20260304000685", "공시열람")</f>
        <v/>
      </c>
    </row>
    <row r="2476">
      <c r="A2476" s="2" t="inlineStr">
        <is>
          <t>2026-03-04</t>
        </is>
      </c>
      <c r="B2476" s="3" t="inlineStr">
        <is>
          <t>일진홀딩스</t>
        </is>
      </c>
      <c r="C2476" s="2" t="inlineStr">
        <is>
          <t>코스피</t>
        </is>
      </c>
      <c r="D2476" s="2" t="inlineStr">
        <is>
          <t>015860</t>
        </is>
      </c>
      <c r="E2476" s="3" t="inlineStr">
        <is>
          <t xml:space="preserve">현금ㆍ현물배당결정              </t>
        </is>
      </c>
      <c r="F2476" s="3" t="inlineStr">
        <is>
          <t>일진홀딩스</t>
        </is>
      </c>
      <c r="G2476" s="2" t="inlineStr">
        <is>
          <t>20260304800665</t>
        </is>
      </c>
      <c r="H2476" s="8">
        <f>HYPERLINK("https://dart.fss.or.kr/dsaf001/main.do?rcpNo=20260304800665", "공시열람")</f>
        <v/>
      </c>
    </row>
    <row r="2477">
      <c r="A2477" s="2" t="inlineStr">
        <is>
          <t>2022-09-06 (정정: 2026-03-04)</t>
        </is>
      </c>
      <c r="B2477" s="3" t="inlineStr">
        <is>
          <t>네이블</t>
        </is>
      </c>
      <c r="C2477" s="2" t="inlineStr">
        <is>
          <t>코스닥</t>
        </is>
      </c>
      <c r="D2477" s="2" t="inlineStr">
        <is>
          <t>153460</t>
        </is>
      </c>
      <c r="E2477" s="3" t="inlineStr">
        <is>
          <t>[기재정정]주식매수선택권부여에관한신고</t>
        </is>
      </c>
      <c r="F2477" s="3" t="inlineStr">
        <is>
          <t>네이블</t>
        </is>
      </c>
      <c r="G2477" s="2" t="inlineStr">
        <is>
          <t>20260304000681</t>
        </is>
      </c>
      <c r="H2477" s="8">
        <f>HYPERLINK("https://dart.fss.or.kr/dsaf001/main.do?rcpNo=20260304000681", "공시열람")</f>
        <v/>
      </c>
    </row>
    <row r="2478">
      <c r="A2478" s="2" t="inlineStr">
        <is>
          <t>2026-03-04</t>
        </is>
      </c>
      <c r="B2478" s="3" t="inlineStr">
        <is>
          <t>케이티앤지</t>
        </is>
      </c>
      <c r="C2478" s="2" t="inlineStr">
        <is>
          <t>코스피</t>
        </is>
      </c>
      <c r="D2478" s="2" t="inlineStr">
        <is>
          <t>033780</t>
        </is>
      </c>
      <c r="E2478" s="3" t="inlineStr">
        <is>
          <t>임원ㆍ주요주주특정증권등소유상황보고서</t>
        </is>
      </c>
      <c r="F2478" s="3" t="inlineStr">
        <is>
          <t>심영아</t>
        </is>
      </c>
      <c r="G2478" s="2" t="inlineStr">
        <is>
          <t>20260304000668</t>
        </is>
      </c>
      <c r="H2478" s="8">
        <f>HYPERLINK("https://dart.fss.or.kr/dsaf001/main.do?rcpNo=20260304000668", "공시열람")</f>
        <v/>
      </c>
    </row>
    <row r="2479">
      <c r="A2479" s="2" t="inlineStr">
        <is>
          <t>2026-03-04</t>
        </is>
      </c>
      <c r="B2479" s="3" t="inlineStr">
        <is>
          <t>케이티앤지</t>
        </is>
      </c>
      <c r="C2479" s="2" t="inlineStr">
        <is>
          <t>코스피</t>
        </is>
      </c>
      <c r="D2479" s="2" t="inlineStr">
        <is>
          <t>033780</t>
        </is>
      </c>
      <c r="E2479" s="3" t="inlineStr">
        <is>
          <t>임원ㆍ주요주주특정증권등소유상황보고서</t>
        </is>
      </c>
      <c r="F2479" s="3" t="inlineStr">
        <is>
          <t>신태철</t>
        </is>
      </c>
      <c r="G2479" s="2" t="inlineStr">
        <is>
          <t>20260304000659</t>
        </is>
      </c>
      <c r="H2479" s="8">
        <f>HYPERLINK("https://dart.fss.or.kr/dsaf001/main.do?rcpNo=20260304000659", "공시열람")</f>
        <v/>
      </c>
    </row>
    <row r="2480">
      <c r="A2480" s="2" t="inlineStr">
        <is>
          <t>2026-03-04</t>
        </is>
      </c>
      <c r="B2480" s="3" t="inlineStr">
        <is>
          <t>기가레인</t>
        </is>
      </c>
      <c r="C2480" s="2" t="inlineStr">
        <is>
          <t>코스닥</t>
        </is>
      </c>
      <c r="D2480" s="2" t="inlineStr">
        <is>
          <t>049080</t>
        </is>
      </c>
      <c r="E2480" s="3" t="inlineStr">
        <is>
          <t>임원ㆍ주요주주특정증권등소유상황보고서</t>
        </is>
      </c>
      <c r="F2480" s="3" t="inlineStr">
        <is>
          <t>김현제</t>
        </is>
      </c>
      <c r="G2480" s="2" t="inlineStr">
        <is>
          <t>20260304000651</t>
        </is>
      </c>
      <c r="H2480" s="8">
        <f>HYPERLINK("https://dart.fss.or.kr/dsaf001/main.do?rcpNo=20260304000651", "공시열람")</f>
        <v/>
      </c>
    </row>
    <row r="2481">
      <c r="A2481" s="2" t="inlineStr">
        <is>
          <t>2026-03-04</t>
        </is>
      </c>
      <c r="B2481" s="3" t="inlineStr">
        <is>
          <t>케이티앤지</t>
        </is>
      </c>
      <c r="C2481" s="2" t="inlineStr">
        <is>
          <t>코스피</t>
        </is>
      </c>
      <c r="D2481" s="2" t="inlineStr">
        <is>
          <t>033780</t>
        </is>
      </c>
      <c r="E2481" s="3" t="inlineStr">
        <is>
          <t>임원ㆍ주요주주특정증권등소유상황보고서</t>
        </is>
      </c>
      <c r="F2481" s="3" t="inlineStr">
        <is>
          <t>신대경</t>
        </is>
      </c>
      <c r="G2481" s="2" t="inlineStr">
        <is>
          <t>20260304000648</t>
        </is>
      </c>
      <c r="H2481" s="8">
        <f>HYPERLINK("https://dart.fss.or.kr/dsaf001/main.do?rcpNo=20260304000648", "공시열람")</f>
        <v/>
      </c>
    </row>
    <row r="2482">
      <c r="A2482" s="2" t="inlineStr">
        <is>
          <t>2026-03-04</t>
        </is>
      </c>
      <c r="B2482" s="3" t="inlineStr">
        <is>
          <t>에스피소프트</t>
        </is>
      </c>
      <c r="C2482" s="2" t="inlineStr">
        <is>
          <t>코스닥</t>
        </is>
      </c>
      <c r="D2482" s="2" t="inlineStr">
        <is>
          <t>443670</t>
        </is>
      </c>
      <c r="E2482" s="3" t="inlineStr">
        <is>
          <t>신탁계약에의한취득상황보고서</t>
        </is>
      </c>
      <c r="F2482" s="3" t="inlineStr">
        <is>
          <t>에스피소프트</t>
        </is>
      </c>
      <c r="G2482" s="2" t="inlineStr">
        <is>
          <t>20260304000646</t>
        </is>
      </c>
      <c r="H2482" s="8">
        <f>HYPERLINK("https://dart.fss.or.kr/dsaf001/main.do?rcpNo=20260304000646", "공시열람")</f>
        <v/>
      </c>
    </row>
    <row r="2483">
      <c r="A2483" s="2" t="inlineStr">
        <is>
          <t>2026-03-04</t>
        </is>
      </c>
      <c r="B2483" s="3" t="inlineStr">
        <is>
          <t>케이티앤지</t>
        </is>
      </c>
      <c r="C2483" s="2" t="inlineStr">
        <is>
          <t>코스피</t>
        </is>
      </c>
      <c r="D2483" s="2" t="inlineStr">
        <is>
          <t>033780</t>
        </is>
      </c>
      <c r="E2483" s="3" t="inlineStr">
        <is>
          <t>임원ㆍ주요주주특정증권등소유상황보고서</t>
        </is>
      </c>
      <c r="F2483" s="3" t="inlineStr">
        <is>
          <t>송승만</t>
        </is>
      </c>
      <c r="G2483" s="2" t="inlineStr">
        <is>
          <t>20260304000641</t>
        </is>
      </c>
      <c r="H2483" s="8">
        <f>HYPERLINK("https://dart.fss.or.kr/dsaf001/main.do?rcpNo=20260304000641", "공시열람")</f>
        <v/>
      </c>
    </row>
    <row r="2484">
      <c r="A2484" s="2" t="inlineStr">
        <is>
          <t>2026-03-04</t>
        </is>
      </c>
      <c r="B2484" s="3" t="inlineStr">
        <is>
          <t>미래에셋증권</t>
        </is>
      </c>
      <c r="C2484" s="2" t="inlineStr">
        <is>
          <t>코스피</t>
        </is>
      </c>
      <c r="D2484" s="2" t="inlineStr">
        <is>
          <t>006800</t>
        </is>
      </c>
      <c r="E2484" s="3" t="inlineStr">
        <is>
          <t>일괄신고추가서류(파생결합사채-주가연계파생결합사채)</t>
        </is>
      </c>
      <c r="F2484" s="3" t="inlineStr">
        <is>
          <t>미래에셋증권</t>
        </is>
      </c>
      <c r="G2484" s="2" t="inlineStr">
        <is>
          <t>20260304000634</t>
        </is>
      </c>
      <c r="H2484" s="8">
        <f>HYPERLINK("https://dart.fss.or.kr/dsaf001/main.do?rcpNo=20260304000634", "공시열람")</f>
        <v/>
      </c>
    </row>
    <row r="2485">
      <c r="A2485" s="2" t="inlineStr">
        <is>
          <t>2026-03-04</t>
        </is>
      </c>
      <c r="B2485" s="3" t="inlineStr">
        <is>
          <t>현대차증권</t>
        </is>
      </c>
      <c r="C2485" s="2" t="inlineStr">
        <is>
          <t>코스피</t>
        </is>
      </c>
      <c r="D2485" s="2" t="inlineStr">
        <is>
          <t>001500</t>
        </is>
      </c>
      <c r="E2485" s="3" t="inlineStr">
        <is>
          <t>일괄신고추가서류(기타파생결합사채)</t>
        </is>
      </c>
      <c r="F2485" s="3" t="inlineStr">
        <is>
          <t>현대차증권</t>
        </is>
      </c>
      <c r="G2485" s="2" t="inlineStr">
        <is>
          <t>20260304000628</t>
        </is>
      </c>
      <c r="H2485" s="8">
        <f>HYPERLINK("https://dart.fss.or.kr/dsaf001/main.do?rcpNo=20260304000628", "공시열람")</f>
        <v/>
      </c>
    </row>
    <row r="2486">
      <c r="A2486" s="2" t="inlineStr">
        <is>
          <t>2026-03-04</t>
        </is>
      </c>
      <c r="B2486" s="3" t="inlineStr">
        <is>
          <t>삼성스팩11호</t>
        </is>
      </c>
      <c r="C2486" s="2" t="inlineStr">
        <is>
          <t>코스닥</t>
        </is>
      </c>
      <c r="D2486" s="2" t="inlineStr">
        <is>
          <t>0071M0</t>
        </is>
      </c>
      <c r="E2486" s="3" t="inlineStr">
        <is>
          <t>의결권대리행사권유참고서류</t>
        </is>
      </c>
      <c r="F2486" s="3" t="inlineStr">
        <is>
          <t>삼성스팩11호</t>
        </is>
      </c>
      <c r="G2486" s="2" t="inlineStr">
        <is>
          <t>20260304000626</t>
        </is>
      </c>
      <c r="H2486" s="8">
        <f>HYPERLINK("https://dart.fss.or.kr/dsaf001/main.do?rcpNo=20260304000626", "공시열람")</f>
        <v/>
      </c>
    </row>
    <row r="2487">
      <c r="A2487" s="2" t="inlineStr">
        <is>
          <t>2026-03-04</t>
        </is>
      </c>
      <c r="B2487" s="3" t="inlineStr">
        <is>
          <t>케이티앤지</t>
        </is>
      </c>
      <c r="C2487" s="2" t="inlineStr">
        <is>
          <t>코스피</t>
        </is>
      </c>
      <c r="D2487" s="2" t="inlineStr">
        <is>
          <t>033780</t>
        </is>
      </c>
      <c r="E2487" s="3" t="inlineStr">
        <is>
          <t>임원ㆍ주요주주특정증권등소유상황보고서</t>
        </is>
      </c>
      <c r="F2487" s="3" t="inlineStr">
        <is>
          <t>송석용</t>
        </is>
      </c>
      <c r="G2487" s="2" t="inlineStr">
        <is>
          <t>20260304000625</t>
        </is>
      </c>
      <c r="H2487" s="8">
        <f>HYPERLINK("https://dart.fss.or.kr/dsaf001/main.do?rcpNo=20260304000625", "공시열람")</f>
        <v/>
      </c>
    </row>
    <row r="2488">
      <c r="A2488" s="2" t="inlineStr">
        <is>
          <t>2026-03-04</t>
        </is>
      </c>
      <c r="B2488" s="3" t="inlineStr">
        <is>
          <t>SNT다이내믹스</t>
        </is>
      </c>
      <c r="C2488" s="2" t="inlineStr">
        <is>
          <t>코스피</t>
        </is>
      </c>
      <c r="D2488" s="2" t="inlineStr">
        <is>
          <t>003570</t>
        </is>
      </c>
      <c r="E2488" s="3" t="inlineStr">
        <is>
          <t xml:space="preserve">기업설명회(IR)개최(안내공시)              </t>
        </is>
      </c>
      <c r="F2488" s="3" t="inlineStr">
        <is>
          <t>SNT다이내믹스</t>
        </is>
      </c>
      <c r="G2488" s="2" t="inlineStr">
        <is>
          <t>20260304800625</t>
        </is>
      </c>
      <c r="H2488" s="8">
        <f>HYPERLINK("https://dart.fss.or.kr/dsaf001/main.do?rcpNo=20260304800625", "공시열람")</f>
        <v/>
      </c>
    </row>
    <row r="2489">
      <c r="A2489" s="2" t="inlineStr">
        <is>
          <t>2026-03-04</t>
        </is>
      </c>
      <c r="B2489" s="3" t="inlineStr">
        <is>
          <t>프리티</t>
        </is>
      </c>
      <c r="C2489" s="2" t="inlineStr">
        <is>
          <t>코스피</t>
        </is>
      </c>
      <c r="D2489" s="2" t="inlineStr">
        <is>
          <t>006490</t>
        </is>
      </c>
      <c r="E2489" s="3" t="inlineStr">
        <is>
          <t xml:space="preserve">소송등의판결ㆍ결정              </t>
        </is>
      </c>
      <c r="F2489" s="3" t="inlineStr">
        <is>
          <t>프리티</t>
        </is>
      </c>
      <c r="G2489" s="2" t="inlineStr">
        <is>
          <t>20260304800613</t>
        </is>
      </c>
      <c r="H2489" s="8">
        <f>HYPERLINK("https://dart.fss.or.kr/dsaf001/main.do?rcpNo=20260304800613", "공시열람")</f>
        <v/>
      </c>
    </row>
    <row r="2490">
      <c r="A2490" s="2" t="inlineStr">
        <is>
          <t>2026-03-04</t>
        </is>
      </c>
      <c r="B2490" s="3" t="inlineStr">
        <is>
          <t>케이티앤지</t>
        </is>
      </c>
      <c r="C2490" s="2" t="inlineStr">
        <is>
          <t>코스피</t>
        </is>
      </c>
      <c r="D2490" s="2" t="inlineStr">
        <is>
          <t>033780</t>
        </is>
      </c>
      <c r="E2490" s="3" t="inlineStr">
        <is>
          <t>임원ㆍ주요주주특정증권등소유상황보고서</t>
        </is>
      </c>
      <c r="F2490" s="3" t="inlineStr">
        <is>
          <t>송동옥</t>
        </is>
      </c>
      <c r="G2490" s="2" t="inlineStr">
        <is>
          <t>20260304000621</t>
        </is>
      </c>
      <c r="H2490" s="8">
        <f>HYPERLINK("https://dart.fss.or.kr/dsaf001/main.do?rcpNo=20260304000621", "공시열람")</f>
        <v/>
      </c>
    </row>
    <row r="2491">
      <c r="A2491" s="2" t="inlineStr">
        <is>
          <t>2026-03-04</t>
        </is>
      </c>
      <c r="B2491" s="3" t="inlineStr">
        <is>
          <t>케이사인</t>
        </is>
      </c>
      <c r="C2491" s="2" t="inlineStr">
        <is>
          <t>코스닥</t>
        </is>
      </c>
      <c r="D2491" s="2" t="inlineStr">
        <is>
          <t>192250</t>
        </is>
      </c>
      <c r="E2491" s="3" t="inlineStr">
        <is>
          <t>의결권대리행사권유참고서류</t>
        </is>
      </c>
      <c r="F2491" s="3" t="inlineStr">
        <is>
          <t>케이사인</t>
        </is>
      </c>
      <c r="G2491" s="2" t="inlineStr">
        <is>
          <t>20260304000617</t>
        </is>
      </c>
      <c r="H2491" s="8">
        <f>HYPERLINK("https://dart.fss.or.kr/dsaf001/main.do?rcpNo=20260304000617", "공시열람")</f>
        <v/>
      </c>
    </row>
    <row r="2492">
      <c r="A2492" s="2" t="inlineStr">
        <is>
          <t>2026-03-04</t>
        </is>
      </c>
      <c r="B2492" s="3" t="inlineStr">
        <is>
          <t>케이티앤지</t>
        </is>
      </c>
      <c r="C2492" s="2" t="inlineStr">
        <is>
          <t>코스피</t>
        </is>
      </c>
      <c r="D2492" s="2" t="inlineStr">
        <is>
          <t>033780</t>
        </is>
      </c>
      <c r="E2492" s="3" t="inlineStr">
        <is>
          <t>임원ㆍ주요주주특정증권등소유상황보고서</t>
        </is>
      </c>
      <c r="F2492" s="3" t="inlineStr">
        <is>
          <t>성종훈</t>
        </is>
      </c>
      <c r="G2492" s="2" t="inlineStr">
        <is>
          <t>20260304000612</t>
        </is>
      </c>
      <c r="H2492" s="8">
        <f>HYPERLINK("https://dart.fss.or.kr/dsaf001/main.do?rcpNo=20260304000612", "공시열람")</f>
        <v/>
      </c>
    </row>
    <row r="2493">
      <c r="A2493" s="2" t="inlineStr">
        <is>
          <t>2026-03-04</t>
        </is>
      </c>
      <c r="B2493" s="3" t="inlineStr">
        <is>
          <t>씨어스</t>
        </is>
      </c>
      <c r="C2493" s="2" t="inlineStr">
        <is>
          <t>코스닥</t>
        </is>
      </c>
      <c r="D2493" s="2" t="inlineStr">
        <is>
          <t>458870</t>
        </is>
      </c>
      <c r="E2493" s="3" t="inlineStr">
        <is>
          <t xml:space="preserve">기업설명회(IR)개최              </t>
        </is>
      </c>
      <c r="F2493" s="3" t="inlineStr">
        <is>
          <t>씨어스</t>
        </is>
      </c>
      <c r="G2493" s="2" t="inlineStr">
        <is>
          <t>20260304900599</t>
        </is>
      </c>
      <c r="H2493" s="8">
        <f>HYPERLINK("https://dart.fss.or.kr/dsaf001/main.do?rcpNo=20260304900599", "공시열람")</f>
        <v/>
      </c>
    </row>
    <row r="2494">
      <c r="A2494" s="2" t="inlineStr">
        <is>
          <t>2026-03-04</t>
        </is>
      </c>
      <c r="B2494" s="3" t="inlineStr">
        <is>
          <t>케이티앤지</t>
        </is>
      </c>
      <c r="C2494" s="2" t="inlineStr">
        <is>
          <t>코스피</t>
        </is>
      </c>
      <c r="D2494" s="2" t="inlineStr">
        <is>
          <t>033780</t>
        </is>
      </c>
      <c r="E2494" s="3" t="inlineStr">
        <is>
          <t>임원ㆍ주요주주특정증권등소유상황보고서</t>
        </is>
      </c>
      <c r="F2494" s="3" t="inlineStr">
        <is>
          <t>서지철</t>
        </is>
      </c>
      <c r="G2494" s="2" t="inlineStr">
        <is>
          <t>20260304000599</t>
        </is>
      </c>
      <c r="H2494" s="8">
        <f>HYPERLINK("https://dart.fss.or.kr/dsaf001/main.do?rcpNo=20260304000599", "공시열람")</f>
        <v/>
      </c>
    </row>
    <row r="2495">
      <c r="A2495" s="2" t="inlineStr">
        <is>
          <t>2026-03-04</t>
        </is>
      </c>
      <c r="B2495" s="3" t="inlineStr">
        <is>
          <t>케이티앤지</t>
        </is>
      </c>
      <c r="C2495" s="2" t="inlineStr">
        <is>
          <t>코스피</t>
        </is>
      </c>
      <c r="D2495" s="2" t="inlineStr">
        <is>
          <t>033780</t>
        </is>
      </c>
      <c r="E2495" s="3" t="inlineStr">
        <is>
          <t>임원ㆍ주요주주특정증권등소유상황보고서</t>
        </is>
      </c>
      <c r="F2495" s="3" t="inlineStr">
        <is>
          <t>서대철</t>
        </is>
      </c>
      <c r="G2495" s="2" t="inlineStr">
        <is>
          <t>20260304000584</t>
        </is>
      </c>
      <c r="H2495" s="8">
        <f>HYPERLINK("https://dart.fss.or.kr/dsaf001/main.do?rcpNo=20260304000584", "공시열람")</f>
        <v/>
      </c>
    </row>
    <row r="2496">
      <c r="A2496" s="2" t="inlineStr">
        <is>
          <t>2026-03-04</t>
        </is>
      </c>
      <c r="B2496" s="3" t="inlineStr">
        <is>
          <t>케이티앤지</t>
        </is>
      </c>
      <c r="C2496" s="2" t="inlineStr">
        <is>
          <t>코스피</t>
        </is>
      </c>
      <c r="D2496" s="2" t="inlineStr">
        <is>
          <t>033780</t>
        </is>
      </c>
      <c r="E2496" s="3" t="inlineStr">
        <is>
          <t>임원ㆍ주요주주특정증권등소유상황보고서</t>
        </is>
      </c>
      <c r="F2496" s="3" t="inlineStr">
        <is>
          <t>백승규</t>
        </is>
      </c>
      <c r="G2496" s="2" t="inlineStr">
        <is>
          <t>20260304000580</t>
        </is>
      </c>
      <c r="H2496" s="8">
        <f>HYPERLINK("https://dart.fss.or.kr/dsaf001/main.do?rcpNo=20260304000580", "공시열람")</f>
        <v/>
      </c>
    </row>
    <row r="2497">
      <c r="A2497" s="2" t="inlineStr">
        <is>
          <t>2026-03-04</t>
        </is>
      </c>
      <c r="B2497" s="3" t="inlineStr">
        <is>
          <t>케이티앤지</t>
        </is>
      </c>
      <c r="C2497" s="2" t="inlineStr">
        <is>
          <t>코스피</t>
        </is>
      </c>
      <c r="D2497" s="2" t="inlineStr">
        <is>
          <t>033780</t>
        </is>
      </c>
      <c r="E2497" s="3" t="inlineStr">
        <is>
          <t>임원ㆍ주요주주특정증권등소유상황보고서</t>
        </is>
      </c>
      <c r="F2497" s="3" t="inlineStr">
        <is>
          <t>배수민</t>
        </is>
      </c>
      <c r="G2497" s="2" t="inlineStr">
        <is>
          <t>20260304000578</t>
        </is>
      </c>
      <c r="H2497" s="8">
        <f>HYPERLINK("https://dart.fss.or.kr/dsaf001/main.do?rcpNo=20260304000578", "공시열람")</f>
        <v/>
      </c>
    </row>
    <row r="2498">
      <c r="A2498" s="2" t="inlineStr">
        <is>
          <t>2026-03-04</t>
        </is>
      </c>
      <c r="B2498" s="3" t="inlineStr">
        <is>
          <t>케이티앤지</t>
        </is>
      </c>
      <c r="C2498" s="2" t="inlineStr">
        <is>
          <t>코스피</t>
        </is>
      </c>
      <c r="D2498" s="2" t="inlineStr">
        <is>
          <t>033780</t>
        </is>
      </c>
      <c r="E2498" s="3" t="inlineStr">
        <is>
          <t>임원ㆍ주요주주특정증권등소유상황보고서</t>
        </is>
      </c>
      <c r="F2498" s="3" t="inlineStr">
        <is>
          <t>방경만</t>
        </is>
      </c>
      <c r="G2498" s="2" t="inlineStr">
        <is>
          <t>20260304000566</t>
        </is>
      </c>
      <c r="H2498" s="8">
        <f>HYPERLINK("https://dart.fss.or.kr/dsaf001/main.do?rcpNo=20260304000566", "공시열람")</f>
        <v/>
      </c>
    </row>
    <row r="2499">
      <c r="A2499" s="2" t="inlineStr">
        <is>
          <t>2026-03-04</t>
        </is>
      </c>
      <c r="B2499" s="3" t="inlineStr">
        <is>
          <t>케이티앤지</t>
        </is>
      </c>
      <c r="C2499" s="2" t="inlineStr">
        <is>
          <t>코스피</t>
        </is>
      </c>
      <c r="D2499" s="2" t="inlineStr">
        <is>
          <t>033780</t>
        </is>
      </c>
      <c r="E2499" s="3" t="inlineStr">
        <is>
          <t>임원ㆍ주요주주특정증권등소유상황보고서</t>
        </is>
      </c>
      <c r="F2499" s="3" t="inlineStr">
        <is>
          <t>박진원</t>
        </is>
      </c>
      <c r="G2499" s="2" t="inlineStr">
        <is>
          <t>20260304000562</t>
        </is>
      </c>
      <c r="H2499" s="8">
        <f>HYPERLINK("https://dart.fss.or.kr/dsaf001/main.do?rcpNo=20260304000562", "공시열람")</f>
        <v/>
      </c>
    </row>
    <row r="2500">
      <c r="A2500" s="2" t="inlineStr">
        <is>
          <t>2026-03-04</t>
        </is>
      </c>
      <c r="B2500" s="3" t="inlineStr">
        <is>
          <t>케이티앤지</t>
        </is>
      </c>
      <c r="C2500" s="2" t="inlineStr">
        <is>
          <t>코스피</t>
        </is>
      </c>
      <c r="D2500" s="2" t="inlineStr">
        <is>
          <t>033780</t>
        </is>
      </c>
      <c r="E2500" s="3" t="inlineStr">
        <is>
          <t>임원ㆍ주요주주특정증권등소유상황보고서</t>
        </is>
      </c>
      <c r="F2500" s="3" t="inlineStr">
        <is>
          <t>박경신</t>
        </is>
      </c>
      <c r="G2500" s="2" t="inlineStr">
        <is>
          <t>20260304000559</t>
        </is>
      </c>
      <c r="H2500" s="8">
        <f>HYPERLINK("https://dart.fss.or.kr/dsaf001/main.do?rcpNo=20260304000559", "공시열람")</f>
        <v/>
      </c>
    </row>
    <row r="2501">
      <c r="A2501" s="2" t="inlineStr">
        <is>
          <t>2026-03-04</t>
        </is>
      </c>
      <c r="B2501" s="3" t="inlineStr">
        <is>
          <t>케이티앤지</t>
        </is>
      </c>
      <c r="C2501" s="2" t="inlineStr">
        <is>
          <t>코스피</t>
        </is>
      </c>
      <c r="D2501" s="2" t="inlineStr">
        <is>
          <t>033780</t>
        </is>
      </c>
      <c r="E2501" s="3" t="inlineStr">
        <is>
          <t>임원ㆍ주요주주특정증권등소유상황보고서</t>
        </is>
      </c>
      <c r="F2501" s="3" t="inlineStr">
        <is>
          <t>민기철</t>
        </is>
      </c>
      <c r="G2501" s="2" t="inlineStr">
        <is>
          <t>20260304000557</t>
        </is>
      </c>
      <c r="H2501" s="8">
        <f>HYPERLINK("https://dart.fss.or.kr/dsaf001/main.do?rcpNo=20260304000557", "공시열람")</f>
        <v/>
      </c>
    </row>
    <row r="2502">
      <c r="A2502" s="2" t="inlineStr">
        <is>
          <t>2026-03-04</t>
        </is>
      </c>
      <c r="B2502" s="3" t="inlineStr">
        <is>
          <t>우진</t>
        </is>
      </c>
      <c r="C2502" s="2" t="inlineStr">
        <is>
          <t>코스피</t>
        </is>
      </c>
      <c r="D2502" s="2" t="inlineStr">
        <is>
          <t>105840</t>
        </is>
      </c>
      <c r="E2502" s="3" t="inlineStr">
        <is>
          <t>의결권대리행사권유참고서류</t>
        </is>
      </c>
      <c r="F2502" s="3" t="inlineStr">
        <is>
          <t>우진</t>
        </is>
      </c>
      <c r="G2502" s="2" t="inlineStr">
        <is>
          <t>20260304000556</t>
        </is>
      </c>
      <c r="H2502" s="8">
        <f>HYPERLINK("https://dart.fss.or.kr/dsaf001/main.do?rcpNo=20260304000556", "공시열람")</f>
        <v/>
      </c>
    </row>
    <row r="2503">
      <c r="A2503" s="2" t="inlineStr">
        <is>
          <t>2026-03-04</t>
        </is>
      </c>
      <c r="B2503" s="3" t="inlineStr">
        <is>
          <t>케이티앤지</t>
        </is>
      </c>
      <c r="C2503" s="2" t="inlineStr">
        <is>
          <t>코스피</t>
        </is>
      </c>
      <c r="D2503" s="2" t="inlineStr">
        <is>
          <t>033780</t>
        </is>
      </c>
      <c r="E2503" s="3" t="inlineStr">
        <is>
          <t>임원ㆍ주요주주특정증권등소유상황보고서</t>
        </is>
      </c>
      <c r="F2503" s="3" t="inlineStr">
        <is>
          <t>권오선</t>
        </is>
      </c>
      <c r="G2503" s="2" t="inlineStr">
        <is>
          <t>20260304000553</t>
        </is>
      </c>
      <c r="H2503" s="8">
        <f>HYPERLINK("https://dart.fss.or.kr/dsaf001/main.do?rcpNo=20260304000553", "공시열람")</f>
        <v/>
      </c>
    </row>
    <row r="2504">
      <c r="A2504" s="2" t="inlineStr">
        <is>
          <t>2026-03-04</t>
        </is>
      </c>
      <c r="B2504" s="3" t="inlineStr">
        <is>
          <t>케이티앤지</t>
        </is>
      </c>
      <c r="C2504" s="2" t="inlineStr">
        <is>
          <t>코스피</t>
        </is>
      </c>
      <c r="D2504" s="2" t="inlineStr">
        <is>
          <t>033780</t>
        </is>
      </c>
      <c r="E2504" s="3" t="inlineStr">
        <is>
          <t>임원ㆍ주요주주특정증권등소유상황보고서</t>
        </is>
      </c>
      <c r="F2504" s="3" t="inlineStr">
        <is>
          <t>권영석</t>
        </is>
      </c>
      <c r="G2504" s="2" t="inlineStr">
        <is>
          <t>20260304000552</t>
        </is>
      </c>
      <c r="H2504" s="8">
        <f>HYPERLINK("https://dart.fss.or.kr/dsaf001/main.do?rcpNo=20260304000552", "공시열람")</f>
        <v/>
      </c>
    </row>
    <row r="2505">
      <c r="A2505" s="2" t="inlineStr">
        <is>
          <t>2026-03-04</t>
        </is>
      </c>
      <c r="B2505" s="3" t="inlineStr">
        <is>
          <t>케이티앤지</t>
        </is>
      </c>
      <c r="C2505" s="2" t="inlineStr">
        <is>
          <t>코스피</t>
        </is>
      </c>
      <c r="D2505" s="2" t="inlineStr">
        <is>
          <t>033780</t>
        </is>
      </c>
      <c r="E2505" s="3" t="inlineStr">
        <is>
          <t>임원ㆍ주요주주특정증권등소유상황보고서</t>
        </is>
      </c>
      <c r="F2505" s="3" t="inlineStr">
        <is>
          <t>권민석</t>
        </is>
      </c>
      <c r="G2505" s="2" t="inlineStr">
        <is>
          <t>20260304000548</t>
        </is>
      </c>
      <c r="H2505" s="8">
        <f>HYPERLINK("https://dart.fss.or.kr/dsaf001/main.do?rcpNo=20260304000548", "공시열람")</f>
        <v/>
      </c>
    </row>
    <row r="2506">
      <c r="A2506" s="2" t="inlineStr">
        <is>
          <t>2026-03-04</t>
        </is>
      </c>
      <c r="B2506" s="3" t="inlineStr">
        <is>
          <t>케이티앤지</t>
        </is>
      </c>
      <c r="C2506" s="2" t="inlineStr">
        <is>
          <t>코스피</t>
        </is>
      </c>
      <c r="D2506" s="2" t="inlineStr">
        <is>
          <t>033780</t>
        </is>
      </c>
      <c r="E2506" s="3" t="inlineStr">
        <is>
          <t>임원ㆍ주요주주특정증권등소유상황보고서</t>
        </is>
      </c>
      <c r="F2506" s="3" t="inlineStr">
        <is>
          <t>구상훈</t>
        </is>
      </c>
      <c r="G2506" s="2" t="inlineStr">
        <is>
          <t>20260304000546</t>
        </is>
      </c>
      <c r="H2506" s="8">
        <f>HYPERLINK("https://dart.fss.or.kr/dsaf001/main.do?rcpNo=20260304000546", "공시열람")</f>
        <v/>
      </c>
    </row>
    <row r="2507">
      <c r="A2507" s="2" t="inlineStr">
        <is>
          <t>2026-03-04</t>
        </is>
      </c>
      <c r="B2507" s="3" t="inlineStr">
        <is>
          <t>케이티앤지</t>
        </is>
      </c>
      <c r="C2507" s="2" t="inlineStr">
        <is>
          <t>코스피</t>
        </is>
      </c>
      <c r="D2507" s="2" t="inlineStr">
        <is>
          <t>033780</t>
        </is>
      </c>
      <c r="E2507" s="3" t="inlineStr">
        <is>
          <t>임원ㆍ주요주주특정증권등소유상황보고서</t>
        </is>
      </c>
      <c r="F2507" s="3" t="inlineStr">
        <is>
          <t>김태성</t>
        </is>
      </c>
      <c r="G2507" s="2" t="inlineStr">
        <is>
          <t>20260304000541</t>
        </is>
      </c>
      <c r="H2507" s="8">
        <f>HYPERLINK("https://dart.fss.or.kr/dsaf001/main.do?rcpNo=20260304000541", "공시열람")</f>
        <v/>
      </c>
    </row>
    <row r="2508">
      <c r="A2508" s="2" t="inlineStr">
        <is>
          <t>2026-03-04</t>
        </is>
      </c>
      <c r="B2508" s="3" t="inlineStr">
        <is>
          <t>GS피앤엘</t>
        </is>
      </c>
      <c r="C2508" s="2" t="inlineStr">
        <is>
          <t>코스피</t>
        </is>
      </c>
      <c r="D2508" s="2" t="inlineStr">
        <is>
          <t>499790</t>
        </is>
      </c>
      <c r="E2508" s="3" t="inlineStr">
        <is>
          <t>의결권대리행사권유참고서류</t>
        </is>
      </c>
      <c r="F2508" s="3" t="inlineStr">
        <is>
          <t>GS피앤엘</t>
        </is>
      </c>
      <c r="G2508" s="2" t="inlineStr">
        <is>
          <t>20260304000538</t>
        </is>
      </c>
      <c r="H2508" s="8">
        <f>HYPERLINK("https://dart.fss.or.kr/dsaf001/main.do?rcpNo=20260304000538", "공시열람")</f>
        <v/>
      </c>
    </row>
    <row r="2509">
      <c r="A2509" s="2" t="inlineStr">
        <is>
          <t>2026-03-04</t>
        </is>
      </c>
      <c r="B2509" s="3" t="inlineStr">
        <is>
          <t>케이티앤지</t>
        </is>
      </c>
      <c r="C2509" s="2" t="inlineStr">
        <is>
          <t>코스피</t>
        </is>
      </c>
      <c r="D2509" s="2" t="inlineStr">
        <is>
          <t>033780</t>
        </is>
      </c>
      <c r="E2509" s="3" t="inlineStr">
        <is>
          <t>임원ㆍ주요주주특정증권등소유상황보고서</t>
        </is>
      </c>
      <c r="F2509" s="3" t="inlineStr">
        <is>
          <t>김종오</t>
        </is>
      </c>
      <c r="G2509" s="2" t="inlineStr">
        <is>
          <t>20260304000536</t>
        </is>
      </c>
      <c r="H2509" s="8">
        <f>HYPERLINK("https://dart.fss.or.kr/dsaf001/main.do?rcpNo=20260304000536", "공시열람")</f>
        <v/>
      </c>
    </row>
    <row r="2510">
      <c r="A2510" s="2" t="inlineStr">
        <is>
          <t>2026-03-04</t>
        </is>
      </c>
      <c r="B2510" s="3" t="inlineStr">
        <is>
          <t>알체라</t>
        </is>
      </c>
      <c r="C2510" s="2" t="inlineStr">
        <is>
          <t>코스닥</t>
        </is>
      </c>
      <c r="D2510" s="2" t="inlineStr">
        <is>
          <t>347860</t>
        </is>
      </c>
      <c r="E2510" s="3" t="inlineStr">
        <is>
          <t>임원ㆍ주요주주특정증권등소유상황보고서</t>
        </is>
      </c>
      <c r="F2510" s="3" t="inlineStr">
        <is>
          <t>김용호</t>
        </is>
      </c>
      <c r="G2510" s="2" t="inlineStr">
        <is>
          <t>20260304000534</t>
        </is>
      </c>
      <c r="H2510" s="8">
        <f>HYPERLINK("https://dart.fss.or.kr/dsaf001/main.do?rcpNo=20260304000534", "공시열람")</f>
        <v/>
      </c>
    </row>
    <row r="2511">
      <c r="A2511" s="2" t="inlineStr">
        <is>
          <t>2026-03-04</t>
        </is>
      </c>
      <c r="B2511" s="3" t="inlineStr">
        <is>
          <t>케이티앤지</t>
        </is>
      </c>
      <c r="C2511" s="2" t="inlineStr">
        <is>
          <t>코스피</t>
        </is>
      </c>
      <c r="D2511" s="2" t="inlineStr">
        <is>
          <t>033780</t>
        </is>
      </c>
      <c r="E2511" s="3" t="inlineStr">
        <is>
          <t>임원ㆍ주요주주특정증권등소유상황보고서</t>
        </is>
      </c>
      <c r="F2511" s="3" t="inlineStr">
        <is>
          <t>김윤호</t>
        </is>
      </c>
      <c r="G2511" s="2" t="inlineStr">
        <is>
          <t>20260304000532</t>
        </is>
      </c>
      <c r="H2511" s="8">
        <f>HYPERLINK("https://dart.fss.or.kr/dsaf001/main.do?rcpNo=20260304000532", "공시열람")</f>
        <v/>
      </c>
    </row>
    <row r="2512">
      <c r="A2512" s="2" t="inlineStr">
        <is>
          <t>2026-03-04</t>
        </is>
      </c>
      <c r="B2512" s="3" t="inlineStr">
        <is>
          <t>케이티앤지</t>
        </is>
      </c>
      <c r="C2512" s="2" t="inlineStr">
        <is>
          <t>코스피</t>
        </is>
      </c>
      <c r="D2512" s="2" t="inlineStr">
        <is>
          <t>033780</t>
        </is>
      </c>
      <c r="E2512" s="3" t="inlineStr">
        <is>
          <t>임원ㆍ주요주주특정증권등소유상황보고서</t>
        </is>
      </c>
      <c r="F2512" s="3" t="inlineStr">
        <is>
          <t>김용범</t>
        </is>
      </c>
      <c r="G2512" s="2" t="inlineStr">
        <is>
          <t>20260304000510</t>
        </is>
      </c>
      <c r="H2512" s="8">
        <f>HYPERLINK("https://dart.fss.or.kr/dsaf001/main.do?rcpNo=20260304000510", "공시열람")</f>
        <v/>
      </c>
    </row>
    <row r="2513">
      <c r="A2513" s="2" t="inlineStr">
        <is>
          <t>2026-03-04</t>
        </is>
      </c>
      <c r="B2513" s="3" t="inlineStr">
        <is>
          <t>아나패스</t>
        </is>
      </c>
      <c r="C2513" s="2" t="inlineStr">
        <is>
          <t>코스닥</t>
        </is>
      </c>
      <c r="D2513" s="2" t="inlineStr">
        <is>
          <t>123860</t>
        </is>
      </c>
      <c r="E2513" s="3" t="inlineStr">
        <is>
          <t>임원ㆍ주요주주특정증권등소유상황보고서</t>
        </is>
      </c>
      <c r="F2513" s="3" t="inlineStr">
        <is>
          <t>김미리</t>
        </is>
      </c>
      <c r="G2513" s="2" t="inlineStr">
        <is>
          <t>20260304000490</t>
        </is>
      </c>
      <c r="H2513" s="8">
        <f>HYPERLINK("https://dart.fss.or.kr/dsaf001/main.do?rcpNo=20260304000490", "공시열람")</f>
        <v/>
      </c>
    </row>
    <row r="2514">
      <c r="A2514" s="2" t="inlineStr">
        <is>
          <t>2026-03-04</t>
        </is>
      </c>
      <c r="B2514" s="3" t="inlineStr">
        <is>
          <t>케이티앤지</t>
        </is>
      </c>
      <c r="C2514" s="2" t="inlineStr">
        <is>
          <t>코스피</t>
        </is>
      </c>
      <c r="D2514" s="2" t="inlineStr">
        <is>
          <t>033780</t>
        </is>
      </c>
      <c r="E2514" s="3" t="inlineStr">
        <is>
          <t>임원ㆍ주요주주특정증권등소유상황보고서</t>
        </is>
      </c>
      <c r="F2514" s="3" t="inlineStr">
        <is>
          <t>김영주</t>
        </is>
      </c>
      <c r="G2514" s="2" t="inlineStr">
        <is>
          <t>20260304000486</t>
        </is>
      </c>
      <c r="H2514" s="8">
        <f>HYPERLINK("https://dart.fss.or.kr/dsaf001/main.do?rcpNo=20260304000486", "공시열람")</f>
        <v/>
      </c>
    </row>
    <row r="2515">
      <c r="A2515" s="2" t="inlineStr">
        <is>
          <t>2026-03-04</t>
        </is>
      </c>
      <c r="B2515" s="3" t="inlineStr">
        <is>
          <t>케이티앤지</t>
        </is>
      </c>
      <c r="C2515" s="2" t="inlineStr">
        <is>
          <t>코스피</t>
        </is>
      </c>
      <c r="D2515" s="2" t="inlineStr">
        <is>
          <t>033780</t>
        </is>
      </c>
      <c r="E2515" s="3" t="inlineStr">
        <is>
          <t>임원ㆍ주요주주특정증권등소유상황보고서</t>
        </is>
      </c>
      <c r="F2515" s="3" t="inlineStr">
        <is>
          <t>김승택</t>
        </is>
      </c>
      <c r="G2515" s="2" t="inlineStr">
        <is>
          <t>20260304000480</t>
        </is>
      </c>
      <c r="H2515" s="8">
        <f>HYPERLINK("https://dart.fss.or.kr/dsaf001/main.do?rcpNo=20260304000480", "공시열람")</f>
        <v/>
      </c>
    </row>
    <row r="2516">
      <c r="A2516" s="2" t="inlineStr">
        <is>
          <t>2026-03-04</t>
        </is>
      </c>
      <c r="B2516" s="3" t="inlineStr">
        <is>
          <t>케이티앤지</t>
        </is>
      </c>
      <c r="C2516" s="2" t="inlineStr">
        <is>
          <t>코스피</t>
        </is>
      </c>
      <c r="D2516" s="2" t="inlineStr">
        <is>
          <t>033780</t>
        </is>
      </c>
      <c r="E2516" s="3" t="inlineStr">
        <is>
          <t>임원ㆍ주요주주특정증권등소유상황보고서</t>
        </is>
      </c>
      <c r="F2516" s="3" t="inlineStr">
        <is>
          <t>김병기</t>
        </is>
      </c>
      <c r="G2516" s="2" t="inlineStr">
        <is>
          <t>20260304000470</t>
        </is>
      </c>
      <c r="H2516" s="8">
        <f>HYPERLINK("https://dart.fss.or.kr/dsaf001/main.do?rcpNo=20260304000470", "공시열람")</f>
        <v/>
      </c>
    </row>
    <row r="2517">
      <c r="A2517" s="2" t="inlineStr">
        <is>
          <t>2026-03-04</t>
        </is>
      </c>
      <c r="B2517" s="3" t="inlineStr">
        <is>
          <t>미래에셋비전스팩10호</t>
        </is>
      </c>
      <c r="C2517" s="2" t="inlineStr">
        <is>
          <t>코스닥</t>
        </is>
      </c>
      <c r="D2517" s="2" t="inlineStr">
        <is>
          <t>0097F0</t>
        </is>
      </c>
      <c r="E2517" s="3" t="inlineStr">
        <is>
          <t>의결권대리행사권유참고서류</t>
        </is>
      </c>
      <c r="F2517" s="3" t="inlineStr">
        <is>
          <t>미래에셋비전스팩10호</t>
        </is>
      </c>
      <c r="G2517" s="2" t="inlineStr">
        <is>
          <t>20260304000462</t>
        </is>
      </c>
      <c r="H2517" s="8">
        <f>HYPERLINK("https://dart.fss.or.kr/dsaf001/main.do?rcpNo=20260304000462", "공시열람")</f>
        <v/>
      </c>
    </row>
    <row r="2518">
      <c r="A2518" s="2" t="inlineStr">
        <is>
          <t>2026-03-04</t>
        </is>
      </c>
      <c r="B2518" s="3" t="inlineStr">
        <is>
          <t>케이티앤지</t>
        </is>
      </c>
      <c r="C2518" s="2" t="inlineStr">
        <is>
          <t>코스피</t>
        </is>
      </c>
      <c r="D2518" s="2" t="inlineStr">
        <is>
          <t>033780</t>
        </is>
      </c>
      <c r="E2518" s="3" t="inlineStr">
        <is>
          <t>임원ㆍ주요주주특정증권등소유상황보고서</t>
        </is>
      </c>
      <c r="F2518" s="3" t="inlineStr">
        <is>
          <t>김만수</t>
        </is>
      </c>
      <c r="G2518" s="2" t="inlineStr">
        <is>
          <t>20260304000457</t>
        </is>
      </c>
      <c r="H2518" s="8">
        <f>HYPERLINK("https://dart.fss.or.kr/dsaf001/main.do?rcpNo=20260304000457", "공시열람")</f>
        <v/>
      </c>
    </row>
    <row r="2519">
      <c r="A2519" s="2" t="inlineStr">
        <is>
          <t>2026-03-04</t>
        </is>
      </c>
      <c r="B2519" s="3" t="inlineStr">
        <is>
          <t>케이티앤지</t>
        </is>
      </c>
      <c r="C2519" s="2" t="inlineStr">
        <is>
          <t>코스피</t>
        </is>
      </c>
      <c r="D2519" s="2" t="inlineStr">
        <is>
          <t>033780</t>
        </is>
      </c>
      <c r="E2519" s="3" t="inlineStr">
        <is>
          <t>임원ㆍ주요주주특정증권등소유상황보고서</t>
        </is>
      </c>
      <c r="F2519" s="3" t="inlineStr">
        <is>
          <t>김동필</t>
        </is>
      </c>
      <c r="G2519" s="2" t="inlineStr">
        <is>
          <t>20260304000455</t>
        </is>
      </c>
      <c r="H2519" s="8">
        <f>HYPERLINK("https://dart.fss.or.kr/dsaf001/main.do?rcpNo=20260304000455", "공시열람")</f>
        <v/>
      </c>
    </row>
    <row r="2520">
      <c r="A2520" s="2" t="inlineStr">
        <is>
          <t>2026-03-04</t>
        </is>
      </c>
      <c r="B2520" s="3" t="inlineStr">
        <is>
          <t>케이티앤지</t>
        </is>
      </c>
      <c r="C2520" s="2" t="inlineStr">
        <is>
          <t>코스피</t>
        </is>
      </c>
      <c r="D2520" s="2" t="inlineStr">
        <is>
          <t>033780</t>
        </is>
      </c>
      <c r="E2520" s="3" t="inlineStr">
        <is>
          <t>임원ㆍ주요주주특정증권등소유상황보고서</t>
        </is>
      </c>
      <c r="F2520" s="3" t="inlineStr">
        <is>
          <t>김남권</t>
        </is>
      </c>
      <c r="G2520" s="2" t="inlineStr">
        <is>
          <t>20260304000448</t>
        </is>
      </c>
      <c r="H2520" s="8">
        <f>HYPERLINK("https://dart.fss.or.kr/dsaf001/main.do?rcpNo=20260304000448", "공시열람")</f>
        <v/>
      </c>
    </row>
    <row r="2521">
      <c r="A2521" s="2" t="inlineStr">
        <is>
          <t>2026-03-04</t>
        </is>
      </c>
      <c r="B2521" s="3" t="inlineStr">
        <is>
          <t>티비에이치글로벌</t>
        </is>
      </c>
      <c r="C2521" s="2" t="inlineStr">
        <is>
          <t>코스피</t>
        </is>
      </c>
      <c r="D2521" s="2" t="inlineStr">
        <is>
          <t>084870</t>
        </is>
      </c>
      <c r="E2521" s="3" t="inlineStr">
        <is>
          <t>임원ㆍ주요주주특정증권등소유상황보고서</t>
        </is>
      </c>
      <c r="F2521" s="3" t="inlineStr">
        <is>
          <t>장윤석</t>
        </is>
      </c>
      <c r="G2521" s="2" t="inlineStr">
        <is>
          <t>20260304000447</t>
        </is>
      </c>
      <c r="H2521" s="8">
        <f>HYPERLINK("https://dart.fss.or.kr/dsaf001/main.do?rcpNo=20260304000447", "공시열람")</f>
        <v/>
      </c>
    </row>
    <row r="2522">
      <c r="A2522" s="2" t="inlineStr">
        <is>
          <t>2026-03-04</t>
        </is>
      </c>
      <c r="B2522" s="3" t="inlineStr">
        <is>
          <t>케이티앤지</t>
        </is>
      </c>
      <c r="C2522" s="2" t="inlineStr">
        <is>
          <t>코스피</t>
        </is>
      </c>
      <c r="D2522" s="2" t="inlineStr">
        <is>
          <t>033780</t>
        </is>
      </c>
      <c r="E2522" s="3" t="inlineStr">
        <is>
          <t>임원ㆍ주요주주특정증권등소유상황보고서</t>
        </is>
      </c>
      <c r="F2522" s="3" t="inlineStr">
        <is>
          <t>김경동</t>
        </is>
      </c>
      <c r="G2522" s="2" t="inlineStr">
        <is>
          <t>20260304000433</t>
        </is>
      </c>
      <c r="H2522" s="8">
        <f>HYPERLINK("https://dart.fss.or.kr/dsaf001/main.do?rcpNo=20260304000433", "공시열람")</f>
        <v/>
      </c>
    </row>
    <row r="2523">
      <c r="A2523" s="2" t="inlineStr">
        <is>
          <t>2026-03-04</t>
        </is>
      </c>
      <c r="B2523" s="3" t="inlineStr">
        <is>
          <t>케이티앤지</t>
        </is>
      </c>
      <c r="C2523" s="2" t="inlineStr">
        <is>
          <t>코스피</t>
        </is>
      </c>
      <c r="D2523" s="2" t="inlineStr">
        <is>
          <t>033780</t>
        </is>
      </c>
      <c r="E2523" s="3" t="inlineStr">
        <is>
          <t>임원ㆍ주요주주특정증권등소유상황보고서</t>
        </is>
      </c>
      <c r="F2523" s="3" t="inlineStr">
        <is>
          <t>김건태</t>
        </is>
      </c>
      <c r="G2523" s="2" t="inlineStr">
        <is>
          <t>20260304000428</t>
        </is>
      </c>
      <c r="H2523" s="8">
        <f>HYPERLINK("https://dart.fss.or.kr/dsaf001/main.do?rcpNo=20260304000428", "공시열람")</f>
        <v/>
      </c>
    </row>
    <row r="2524">
      <c r="A2524" s="2" t="inlineStr">
        <is>
          <t>2026-03-04</t>
        </is>
      </c>
      <c r="B2524" s="3" t="inlineStr">
        <is>
          <t>모토닉</t>
        </is>
      </c>
      <c r="C2524" s="2" t="inlineStr">
        <is>
          <t>코스피</t>
        </is>
      </c>
      <c r="D2524" s="2" t="inlineStr">
        <is>
          <t>009680</t>
        </is>
      </c>
      <c r="E2524" s="3" t="inlineStr">
        <is>
          <t>임원ㆍ주요주주특정증권등소유상황보고서</t>
        </is>
      </c>
      <c r="F2524" s="3" t="inlineStr">
        <is>
          <t>허종규</t>
        </is>
      </c>
      <c r="G2524" s="2" t="inlineStr">
        <is>
          <t>20260304000423</t>
        </is>
      </c>
      <c r="H2524" s="8">
        <f>HYPERLINK("https://dart.fss.or.kr/dsaf001/main.do?rcpNo=20260304000423", "공시열람")</f>
        <v/>
      </c>
    </row>
    <row r="2525">
      <c r="A2525" s="2" t="inlineStr">
        <is>
          <t>2026-03-04</t>
        </is>
      </c>
      <c r="B2525" s="3" t="inlineStr">
        <is>
          <t>우진엔텍</t>
        </is>
      </c>
      <c r="C2525" s="2" t="inlineStr">
        <is>
          <t>코스닥</t>
        </is>
      </c>
      <c r="D2525" s="2" t="inlineStr">
        <is>
          <t>457550</t>
        </is>
      </c>
      <c r="E2525" s="3" t="inlineStr">
        <is>
          <t>의결권대리행사권유참고서류</t>
        </is>
      </c>
      <c r="F2525" s="3" t="inlineStr">
        <is>
          <t>우진엔텍</t>
        </is>
      </c>
      <c r="G2525" s="2" t="inlineStr">
        <is>
          <t>20260304000421</t>
        </is>
      </c>
      <c r="H2525" s="8">
        <f>HYPERLINK("https://dart.fss.or.kr/dsaf001/main.do?rcpNo=20260304000421", "공시열람")</f>
        <v/>
      </c>
    </row>
    <row r="2526">
      <c r="A2526" s="2" t="inlineStr">
        <is>
          <t>2026-03-04</t>
        </is>
      </c>
      <c r="B2526" s="3" t="inlineStr">
        <is>
          <t>케이티앤지</t>
        </is>
      </c>
      <c r="C2526" s="2" t="inlineStr">
        <is>
          <t>코스피</t>
        </is>
      </c>
      <c r="D2526" s="2" t="inlineStr">
        <is>
          <t>033780</t>
        </is>
      </c>
      <c r="E2526" s="3" t="inlineStr">
        <is>
          <t>임원ㆍ주요주주특정증권등소유상황보고서</t>
        </is>
      </c>
      <c r="F2526" s="3" t="inlineStr">
        <is>
          <t>강준환</t>
        </is>
      </c>
      <c r="G2526" s="2" t="inlineStr">
        <is>
          <t>20260304000420</t>
        </is>
      </c>
      <c r="H2526" s="8">
        <f>HYPERLINK("https://dart.fss.or.kr/dsaf001/main.do?rcpNo=20260304000420", "공시열람")</f>
        <v/>
      </c>
    </row>
    <row r="2527">
      <c r="A2527" s="2" t="inlineStr">
        <is>
          <t>2026-03-04</t>
        </is>
      </c>
      <c r="B2527" s="3" t="inlineStr">
        <is>
          <t>일진전기</t>
        </is>
      </c>
      <c r="C2527" s="2" t="inlineStr">
        <is>
          <t>코스피</t>
        </is>
      </c>
      <c r="D2527" s="2" t="inlineStr">
        <is>
          <t>103590</t>
        </is>
      </c>
      <c r="E2527" s="3" t="inlineStr">
        <is>
          <t>의결권대리행사권유참고서류</t>
        </is>
      </c>
      <c r="F2527" s="3" t="inlineStr">
        <is>
          <t>일진전기</t>
        </is>
      </c>
      <c r="G2527" s="2" t="inlineStr">
        <is>
          <t>20260304000380</t>
        </is>
      </c>
      <c r="H2527" s="8">
        <f>HYPERLINK("https://dart.fss.or.kr/dsaf001/main.do?rcpNo=20260304000380", "공시열람")</f>
        <v/>
      </c>
    </row>
    <row r="2528">
      <c r="A2528" s="2" t="inlineStr">
        <is>
          <t>2026-03-04</t>
        </is>
      </c>
      <c r="B2528" s="3" t="inlineStr">
        <is>
          <t>LG디스플레이</t>
        </is>
      </c>
      <c r="C2528" s="2" t="inlineStr">
        <is>
          <t>코스피</t>
        </is>
      </c>
      <c r="D2528" s="2" t="inlineStr">
        <is>
          <t>034220</t>
        </is>
      </c>
      <c r="E2528" s="3" t="inlineStr">
        <is>
          <t>임원ㆍ주요주주특정증권등소유상황보고서</t>
        </is>
      </c>
      <c r="F2528" s="3" t="inlineStr">
        <is>
          <t>양준영</t>
        </is>
      </c>
      <c r="G2528" s="2" t="inlineStr">
        <is>
          <t>20260304000378</t>
        </is>
      </c>
      <c r="H2528" s="8">
        <f>HYPERLINK("https://dart.fss.or.kr/dsaf001/main.do?rcpNo=20260304000378", "공시열람")</f>
        <v/>
      </c>
    </row>
    <row r="2529">
      <c r="A2529" s="2" t="inlineStr">
        <is>
          <t>2026-03-04</t>
        </is>
      </c>
      <c r="B2529" s="3" t="inlineStr">
        <is>
          <t>테크윙</t>
        </is>
      </c>
      <c r="C2529" s="2" t="inlineStr">
        <is>
          <t>코스닥</t>
        </is>
      </c>
      <c r="D2529" s="2" t="inlineStr">
        <is>
          <t>089030</t>
        </is>
      </c>
      <c r="E2529" s="3" t="inlineStr">
        <is>
          <t>의결권대리행사권유참고서류</t>
        </is>
      </c>
      <c r="F2529" s="3" t="inlineStr">
        <is>
          <t>테크윙</t>
        </is>
      </c>
      <c r="G2529" s="2" t="inlineStr">
        <is>
          <t>20260304000377</t>
        </is>
      </c>
      <c r="H2529" s="8">
        <f>HYPERLINK("https://dart.fss.or.kr/dsaf001/main.do?rcpNo=20260304000377", "공시열람")</f>
        <v/>
      </c>
    </row>
    <row r="2530">
      <c r="A2530" s="2" t="inlineStr">
        <is>
          <t>2026-03-04</t>
        </is>
      </c>
      <c r="B2530" s="3" t="inlineStr">
        <is>
          <t>KISCO홀딩스</t>
        </is>
      </c>
      <c r="C2530" s="2" t="inlineStr">
        <is>
          <t>코스피</t>
        </is>
      </c>
      <c r="D2530" s="2" t="inlineStr">
        <is>
          <t>001940</t>
        </is>
      </c>
      <c r="E2530" s="3" t="inlineStr">
        <is>
          <t>임원ㆍ주요주주특정증권등소유상황보고서</t>
        </is>
      </c>
      <c r="F2530" s="3" t="inlineStr">
        <is>
          <t>홍승식</t>
        </is>
      </c>
      <c r="G2530" s="2" t="inlineStr">
        <is>
          <t>20260304000376</t>
        </is>
      </c>
      <c r="H2530" s="8">
        <f>HYPERLINK("https://dart.fss.or.kr/dsaf001/main.do?rcpNo=20260304000376", "공시열람")</f>
        <v/>
      </c>
    </row>
    <row r="2531">
      <c r="A2531" s="2" t="inlineStr">
        <is>
          <t>2026-03-04 (정정: 2026-03-06)</t>
        </is>
      </c>
      <c r="B2531" s="3" t="inlineStr">
        <is>
          <t>유니테크노</t>
        </is>
      </c>
      <c r="C2531" s="2" t="inlineStr">
        <is>
          <t>코스닥</t>
        </is>
      </c>
      <c r="D2531" s="2" t="inlineStr">
        <is>
          <t>241690</t>
        </is>
      </c>
      <c r="E2531" s="3" t="inlineStr">
        <is>
          <t>현금ㆍ현물배당결정               (정정: 20260306)</t>
        </is>
      </c>
      <c r="F2531" s="3" t="inlineStr">
        <is>
          <t>유니테크노</t>
        </is>
      </c>
      <c r="G2531" s="2" t="inlineStr">
        <is>
          <t>20260306901166</t>
        </is>
      </c>
      <c r="H2531" s="8">
        <f>HYPERLINK("https://dart.fss.or.kr/dsaf001/main.do?rcpNo=20260306901166", "공시열람")</f>
        <v/>
      </c>
    </row>
    <row r="2532">
      <c r="A2532" s="2" t="inlineStr">
        <is>
          <t>2026-03-04</t>
        </is>
      </c>
      <c r="B2532" s="3" t="inlineStr">
        <is>
          <t>화신정공</t>
        </is>
      </c>
      <c r="C2532" s="2" t="inlineStr">
        <is>
          <t>코스닥</t>
        </is>
      </c>
      <c r="D2532" s="2" t="inlineStr">
        <is>
          <t>126640</t>
        </is>
      </c>
      <c r="E2532" s="3" t="inlineStr">
        <is>
          <t xml:space="preserve">현금ㆍ현물배당결정              </t>
        </is>
      </c>
      <c r="F2532" s="3" t="inlineStr">
        <is>
          <t>화신정공</t>
        </is>
      </c>
      <c r="G2532" s="2" t="inlineStr">
        <is>
          <t>20260304900355</t>
        </is>
      </c>
      <c r="H2532" s="8">
        <f>HYPERLINK("https://dart.fss.or.kr/dsaf001/main.do?rcpNo=20260304900355", "공시열람")</f>
        <v/>
      </c>
    </row>
    <row r="2533">
      <c r="A2533" s="2" t="inlineStr">
        <is>
          <t>2026-03-04</t>
        </is>
      </c>
      <c r="B2533" s="3" t="inlineStr">
        <is>
          <t>일진전기</t>
        </is>
      </c>
      <c r="C2533" s="2" t="inlineStr">
        <is>
          <t>코스피</t>
        </is>
      </c>
      <c r="D2533" s="2" t="inlineStr">
        <is>
          <t>103590</t>
        </is>
      </c>
      <c r="E2533" s="3" t="inlineStr">
        <is>
          <t xml:space="preserve">현금ㆍ현물배당결정              </t>
        </is>
      </c>
      <c r="F2533" s="3" t="inlineStr">
        <is>
          <t>일진전기</t>
        </is>
      </c>
      <c r="G2533" s="2" t="inlineStr">
        <is>
          <t>20260304800358</t>
        </is>
      </c>
      <c r="H2533" s="8">
        <f>HYPERLINK("https://dart.fss.or.kr/dsaf001/main.do?rcpNo=20260304800358", "공시열람")</f>
        <v/>
      </c>
    </row>
    <row r="2534">
      <c r="A2534" s="2" t="inlineStr">
        <is>
          <t>2026-03-04</t>
        </is>
      </c>
      <c r="B2534" s="3" t="inlineStr">
        <is>
          <t>유안타증권</t>
        </is>
      </c>
      <c r="C2534" s="2" t="inlineStr">
        <is>
          <t>코스피</t>
        </is>
      </c>
      <c r="D2534" s="2" t="inlineStr">
        <is>
          <t>003470</t>
        </is>
      </c>
      <c r="E2534" s="3" t="inlineStr">
        <is>
          <t>투자설명서(일괄신고)</t>
        </is>
      </c>
      <c r="F2534" s="3" t="inlineStr">
        <is>
          <t>유안타증권</t>
        </is>
      </c>
      <c r="G2534" s="2" t="inlineStr">
        <is>
          <t>20260304000332</t>
        </is>
      </c>
      <c r="H2534" s="8">
        <f>HYPERLINK("https://dart.fss.or.kr/dsaf001/main.do?rcpNo=20260304000332", "공시열람")</f>
        <v/>
      </c>
    </row>
    <row r="2535">
      <c r="A2535" s="2" t="inlineStr">
        <is>
          <t>2026-03-04</t>
        </is>
      </c>
      <c r="B2535" s="3" t="inlineStr">
        <is>
          <t>앱클론</t>
        </is>
      </c>
      <c r="C2535" s="2" t="inlineStr">
        <is>
          <t>코스닥</t>
        </is>
      </c>
      <c r="D2535" s="2" t="inlineStr">
        <is>
          <t>174900</t>
        </is>
      </c>
      <c r="E2535" s="3" t="inlineStr">
        <is>
          <t xml:space="preserve">기업설명회(IR)개최              </t>
        </is>
      </c>
      <c r="F2535" s="3" t="inlineStr">
        <is>
          <t>앱클론</t>
        </is>
      </c>
      <c r="G2535" s="2" t="inlineStr">
        <is>
          <t>20260304900339</t>
        </is>
      </c>
      <c r="H2535" s="8">
        <f>HYPERLINK("https://dart.fss.or.kr/dsaf001/main.do?rcpNo=20260304900339", "공시열람")</f>
        <v/>
      </c>
    </row>
    <row r="2536">
      <c r="A2536" s="2" t="inlineStr">
        <is>
          <t>2026-03-04</t>
        </is>
      </c>
      <c r="B2536" s="3" t="inlineStr">
        <is>
          <t>AP위성</t>
        </is>
      </c>
      <c r="C2536" s="2" t="inlineStr">
        <is>
          <t>코스닥</t>
        </is>
      </c>
      <c r="D2536" s="2" t="inlineStr">
        <is>
          <t>211270</t>
        </is>
      </c>
      <c r="E2536" s="3" t="inlineStr">
        <is>
          <t>[기재정정]의결권대리행사권유참고서류</t>
        </is>
      </c>
      <c r="F2536" s="3" t="inlineStr">
        <is>
          <t>AP위성</t>
        </is>
      </c>
      <c r="G2536" s="2" t="inlineStr">
        <is>
          <t>20260304000311</t>
        </is>
      </c>
      <c r="H2536" s="8">
        <f>HYPERLINK("https://dart.fss.or.kr/dsaf001/main.do?rcpNo=20260304000311", "공시열람")</f>
        <v/>
      </c>
    </row>
    <row r="2537">
      <c r="A2537" s="2" t="inlineStr">
        <is>
          <t>2026-03-04</t>
        </is>
      </c>
      <c r="B2537" s="3" t="inlineStr">
        <is>
          <t>SY동아</t>
        </is>
      </c>
      <c r="C2537" s="2" t="inlineStr">
        <is>
          <t>코스닥</t>
        </is>
      </c>
      <c r="D2537" s="2" t="inlineStr">
        <is>
          <t>041930</t>
        </is>
      </c>
      <c r="E2537" s="3" t="inlineStr">
        <is>
          <t xml:space="preserve">현금ㆍ현물배당결정              </t>
        </is>
      </c>
      <c r="F2537" s="3" t="inlineStr">
        <is>
          <t>SY동아</t>
        </is>
      </c>
      <c r="G2537" s="2" t="inlineStr">
        <is>
          <t>20260304900308</t>
        </is>
      </c>
      <c r="H2537" s="8">
        <f>HYPERLINK("https://dart.fss.or.kr/dsaf001/main.do?rcpNo=20260304900308", "공시열람")</f>
        <v/>
      </c>
    </row>
    <row r="2538">
      <c r="A2538" s="2" t="inlineStr">
        <is>
          <t>2026-03-04</t>
        </is>
      </c>
      <c r="B2538" s="3" t="inlineStr">
        <is>
          <t>신흥</t>
        </is>
      </c>
      <c r="C2538" s="2" t="inlineStr">
        <is>
          <t>코스피</t>
        </is>
      </c>
      <c r="D2538" s="2" t="inlineStr">
        <is>
          <t>004080</t>
        </is>
      </c>
      <c r="E2538" s="3" t="inlineStr">
        <is>
          <t>임원ㆍ주요주주특정증권등소유상황보고서</t>
        </is>
      </c>
      <c r="F2538" s="3" t="inlineStr">
        <is>
          <t>이용익</t>
        </is>
      </c>
      <c r="G2538" s="2" t="inlineStr">
        <is>
          <t>20260304000308</t>
        </is>
      </c>
      <c r="H2538" s="8">
        <f>HYPERLINK("https://dart.fss.or.kr/dsaf001/main.do?rcpNo=20260304000308", "공시열람")</f>
        <v/>
      </c>
    </row>
    <row r="2539">
      <c r="A2539" s="2" t="inlineStr">
        <is>
          <t>2026-03-04</t>
        </is>
      </c>
      <c r="B2539" s="3" t="inlineStr">
        <is>
          <t>iM금융지주</t>
        </is>
      </c>
      <c r="C2539" s="2" t="inlineStr">
        <is>
          <t>코스피</t>
        </is>
      </c>
      <c r="D2539" s="2" t="inlineStr">
        <is>
          <t>139130</t>
        </is>
      </c>
      <c r="E2539" s="3" t="inlineStr">
        <is>
          <t>임원ㆍ주요주주특정증권등소유상황보고서</t>
        </is>
      </c>
      <c r="F2539" s="3" t="inlineStr">
        <is>
          <t>이창영</t>
        </is>
      </c>
      <c r="G2539" s="2" t="inlineStr">
        <is>
          <t>20260304000299</t>
        </is>
      </c>
      <c r="H2539" s="8">
        <f>HYPERLINK("https://dart.fss.or.kr/dsaf001/main.do?rcpNo=20260304000299", "공시열람")</f>
        <v/>
      </c>
    </row>
    <row r="2540">
      <c r="A2540" s="2" t="inlineStr">
        <is>
          <t>2026-03-04</t>
        </is>
      </c>
      <c r="B2540" s="3" t="inlineStr">
        <is>
          <t>한국컴퓨터</t>
        </is>
      </c>
      <c r="C2540" s="2" t="inlineStr">
        <is>
          <t>코스닥</t>
        </is>
      </c>
      <c r="D2540" s="2" t="inlineStr">
        <is>
          <t>054040</t>
        </is>
      </c>
      <c r="E2540" s="3" t="inlineStr">
        <is>
          <t>의결권대리행사권유참고서류</t>
        </is>
      </c>
      <c r="F2540" s="3" t="inlineStr">
        <is>
          <t>한국컴퓨터</t>
        </is>
      </c>
      <c r="G2540" s="2" t="inlineStr">
        <is>
          <t>20260304000280</t>
        </is>
      </c>
      <c r="H2540" s="8">
        <f>HYPERLINK("https://dart.fss.or.kr/dsaf001/main.do?rcpNo=20260304000280", "공시열람")</f>
        <v/>
      </c>
    </row>
    <row r="2541">
      <c r="A2541" s="2" t="inlineStr">
        <is>
          <t>2026-03-04</t>
        </is>
      </c>
      <c r="B2541" s="3" t="inlineStr">
        <is>
          <t>한국철강</t>
        </is>
      </c>
      <c r="C2541" s="2" t="inlineStr">
        <is>
          <t>코스피</t>
        </is>
      </c>
      <c r="D2541" s="2" t="inlineStr">
        <is>
          <t>104700</t>
        </is>
      </c>
      <c r="E2541" s="3" t="inlineStr">
        <is>
          <t>임원ㆍ주요주주특정증권등소유상황보고서</t>
        </is>
      </c>
      <c r="F2541" s="3" t="inlineStr">
        <is>
          <t>안병중</t>
        </is>
      </c>
      <c r="G2541" s="2" t="inlineStr">
        <is>
          <t>20260304000270</t>
        </is>
      </c>
      <c r="H2541" s="8">
        <f>HYPERLINK("https://dart.fss.or.kr/dsaf001/main.do?rcpNo=20260304000270", "공시열람")</f>
        <v/>
      </c>
    </row>
    <row r="2542">
      <c r="A2542" s="2" t="inlineStr">
        <is>
          <t>2026-03-04</t>
        </is>
      </c>
      <c r="B2542" s="3" t="inlineStr">
        <is>
          <t>핑거스토리</t>
        </is>
      </c>
      <c r="C2542" s="2" t="inlineStr">
        <is>
          <t>코스닥</t>
        </is>
      </c>
      <c r="D2542" s="2" t="inlineStr">
        <is>
          <t>417180</t>
        </is>
      </c>
      <c r="E2542" s="3" t="inlineStr">
        <is>
          <t>임원ㆍ주요주주특정증권등소유상황보고서</t>
        </is>
      </c>
      <c r="F2542" s="3" t="inlineStr">
        <is>
          <t>문양근</t>
        </is>
      </c>
      <c r="G2542" s="2" t="inlineStr">
        <is>
          <t>20260304000266</t>
        </is>
      </c>
      <c r="H2542" s="8">
        <f>HYPERLINK("https://dart.fss.or.kr/dsaf001/main.do?rcpNo=20260304000266", "공시열람")</f>
        <v/>
      </c>
    </row>
    <row r="2543">
      <c r="A2543" s="2" t="inlineStr">
        <is>
          <t>2026-03-04</t>
        </is>
      </c>
      <c r="B2543" s="3" t="inlineStr">
        <is>
          <t>유안타증권</t>
        </is>
      </c>
      <c r="C2543" s="2" t="inlineStr">
        <is>
          <t>코스피</t>
        </is>
      </c>
      <c r="D2543" s="2" t="inlineStr">
        <is>
          <t>003470</t>
        </is>
      </c>
      <c r="E2543" s="3" t="inlineStr">
        <is>
          <t>일괄신고추가서류(파생결합사채-주가연계파생결합사채)</t>
        </is>
      </c>
      <c r="F2543" s="3" t="inlineStr">
        <is>
          <t>유안타증권</t>
        </is>
      </c>
      <c r="G2543" s="2" t="inlineStr">
        <is>
          <t>20260304000263</t>
        </is>
      </c>
      <c r="H2543" s="8">
        <f>HYPERLINK("https://dart.fss.or.kr/dsaf001/main.do?rcpNo=20260304000263", "공시열람")</f>
        <v/>
      </c>
    </row>
    <row r="2544">
      <c r="A2544" s="2" t="inlineStr">
        <is>
          <t>2026-03-04</t>
        </is>
      </c>
      <c r="B2544" s="3" t="inlineStr">
        <is>
          <t>세코닉스</t>
        </is>
      </c>
      <c r="C2544" s="2" t="inlineStr">
        <is>
          <t>코스닥</t>
        </is>
      </c>
      <c r="D2544" s="2" t="inlineStr">
        <is>
          <t>053450</t>
        </is>
      </c>
      <c r="E2544" s="3" t="inlineStr">
        <is>
          <t>의결권대리행사권유참고서류</t>
        </is>
      </c>
      <c r="F2544" s="3" t="inlineStr">
        <is>
          <t>세코닉스</t>
        </is>
      </c>
      <c r="G2544" s="2" t="inlineStr">
        <is>
          <t>20260304000252</t>
        </is>
      </c>
      <c r="H2544" s="8">
        <f>HYPERLINK("https://dart.fss.or.kr/dsaf001/main.do?rcpNo=20260304000252", "공시열람")</f>
        <v/>
      </c>
    </row>
    <row r="2545">
      <c r="A2545" s="2" t="inlineStr">
        <is>
          <t>2026-03-04</t>
        </is>
      </c>
      <c r="B2545" s="3" t="inlineStr">
        <is>
          <t>현대글로비스</t>
        </is>
      </c>
      <c r="C2545" s="2" t="inlineStr">
        <is>
          <t>코스피</t>
        </is>
      </c>
      <c r="D2545" s="2" t="inlineStr">
        <is>
          <t>086280</t>
        </is>
      </c>
      <c r="E2545" s="3" t="inlineStr">
        <is>
          <t xml:space="preserve">기업설명회(IR)개최(안내공시)              </t>
        </is>
      </c>
      <c r="F2545" s="3" t="inlineStr">
        <is>
          <t>현대글로비스</t>
        </is>
      </c>
      <c r="G2545" s="2" t="inlineStr">
        <is>
          <t>20260304800312</t>
        </is>
      </c>
      <c r="H2545" s="8">
        <f>HYPERLINK("https://dart.fss.or.kr/dsaf001/main.do?rcpNo=20260304800312", "공시열람")</f>
        <v/>
      </c>
    </row>
    <row r="2546">
      <c r="A2546" s="2" t="inlineStr">
        <is>
          <t>2026-03-04</t>
        </is>
      </c>
      <c r="B2546" s="3" t="inlineStr">
        <is>
          <t>현대글로비스</t>
        </is>
      </c>
      <c r="C2546" s="2" t="inlineStr">
        <is>
          <t>코스피</t>
        </is>
      </c>
      <c r="D2546" s="2" t="inlineStr">
        <is>
          <t>086280</t>
        </is>
      </c>
      <c r="E2546" s="3" t="inlineStr">
        <is>
          <t xml:space="preserve">기업설명회(IR)개최(안내공시)              </t>
        </is>
      </c>
      <c r="F2546" s="3" t="inlineStr">
        <is>
          <t>현대글로비스</t>
        </is>
      </c>
      <c r="G2546" s="2" t="inlineStr">
        <is>
          <t>20260304800303</t>
        </is>
      </c>
      <c r="H2546" s="8">
        <f>HYPERLINK("https://dart.fss.or.kr/dsaf001/main.do?rcpNo=20260304800303", "공시열람")</f>
        <v/>
      </c>
    </row>
    <row r="2547">
      <c r="A2547" s="2" t="inlineStr">
        <is>
          <t>2026-03-04</t>
        </is>
      </c>
      <c r="B2547" s="3" t="inlineStr">
        <is>
          <t>현대글로비스</t>
        </is>
      </c>
      <c r="C2547" s="2" t="inlineStr">
        <is>
          <t>코스피</t>
        </is>
      </c>
      <c r="D2547" s="2" t="inlineStr">
        <is>
          <t>086280</t>
        </is>
      </c>
      <c r="E2547" s="3" t="inlineStr">
        <is>
          <t>특수관계인으로부터기타유가증권매수</t>
        </is>
      </c>
      <c r="F2547" s="3" t="inlineStr">
        <is>
          <t>현대글로비스</t>
        </is>
      </c>
      <c r="G2547" s="2" t="inlineStr">
        <is>
          <t>20260304000234</t>
        </is>
      </c>
      <c r="H2547" s="8">
        <f>HYPERLINK("https://dart.fss.or.kr/dsaf001/main.do?rcpNo=20260304000234", "공시열람")</f>
        <v/>
      </c>
    </row>
    <row r="2548">
      <c r="A2548" s="2" t="inlineStr">
        <is>
          <t>2026-03-04</t>
        </is>
      </c>
      <c r="B2548" s="3" t="inlineStr">
        <is>
          <t>네이처셀</t>
        </is>
      </c>
      <c r="C2548" s="2" t="inlineStr">
        <is>
          <t>코스닥</t>
        </is>
      </c>
      <c r="D2548" s="2" t="inlineStr">
        <is>
          <t>007390</t>
        </is>
      </c>
      <c r="E2548" s="3" t="inlineStr">
        <is>
          <t xml:space="preserve">기업설명회(IR)개최              </t>
        </is>
      </c>
      <c r="F2548" s="3" t="inlineStr">
        <is>
          <t>네이처셀</t>
        </is>
      </c>
      <c r="G2548" s="2" t="inlineStr">
        <is>
          <t>20260304900296</t>
        </is>
      </c>
      <c r="H2548" s="8">
        <f>HYPERLINK("https://dart.fss.or.kr/dsaf001/main.do?rcpNo=20260304900296", "공시열람")</f>
        <v/>
      </c>
    </row>
    <row r="2549">
      <c r="A2549" s="2" t="inlineStr">
        <is>
          <t>2026-03-04</t>
        </is>
      </c>
      <c r="B2549" s="3" t="inlineStr">
        <is>
          <t>케이엠제약</t>
        </is>
      </c>
      <c r="C2549" s="2" t="inlineStr">
        <is>
          <t>코스닥</t>
        </is>
      </c>
      <c r="D2549" s="2" t="inlineStr">
        <is>
          <t>225430</t>
        </is>
      </c>
      <c r="E2549" s="3" t="inlineStr">
        <is>
          <t xml:space="preserve">주식병합결정              </t>
        </is>
      </c>
      <c r="F2549" s="3" t="inlineStr">
        <is>
          <t>케이엠제약</t>
        </is>
      </c>
      <c r="G2549" s="2" t="inlineStr">
        <is>
          <t>20260304900292</t>
        </is>
      </c>
      <c r="H2549" s="8">
        <f>HYPERLINK("https://dart.fss.or.kr/dsaf001/main.do?rcpNo=20260304900292", "공시열람")</f>
        <v/>
      </c>
    </row>
    <row r="2550">
      <c r="A2550" s="2" t="inlineStr">
        <is>
          <t>2026-03-04</t>
        </is>
      </c>
      <c r="B2550" s="3" t="inlineStr">
        <is>
          <t>미래나노텍</t>
        </is>
      </c>
      <c r="C2550" s="2" t="inlineStr">
        <is>
          <t>코스닥</t>
        </is>
      </c>
      <c r="D2550" s="2" t="inlineStr">
        <is>
          <t>095500</t>
        </is>
      </c>
      <c r="E2550" s="3" t="inlineStr">
        <is>
          <t>의결권대리행사권유참고서류</t>
        </is>
      </c>
      <c r="F2550" s="3" t="inlineStr">
        <is>
          <t>미래나노텍</t>
        </is>
      </c>
      <c r="G2550" s="2" t="inlineStr">
        <is>
          <t>20260304000217</t>
        </is>
      </c>
      <c r="H2550" s="8">
        <f>HYPERLINK("https://dart.fss.or.kr/dsaf001/main.do?rcpNo=20260304000217", "공시열람")</f>
        <v/>
      </c>
    </row>
    <row r="2551">
      <c r="A2551" s="2" t="inlineStr">
        <is>
          <t>2026-03-04</t>
        </is>
      </c>
      <c r="B2551" s="3" t="inlineStr">
        <is>
          <t>바이브컴퍼니</t>
        </is>
      </c>
      <c r="C2551" s="2" t="inlineStr">
        <is>
          <t>코스닥</t>
        </is>
      </c>
      <c r="D2551" s="2" t="inlineStr">
        <is>
          <t>301300</t>
        </is>
      </c>
      <c r="E2551" s="3" t="inlineStr">
        <is>
          <t>임원ㆍ주요주주특정증권등소유상황보고서</t>
        </is>
      </c>
      <c r="F2551" s="3" t="inlineStr">
        <is>
          <t>김경서</t>
        </is>
      </c>
      <c r="G2551" s="2" t="inlineStr">
        <is>
          <t>20260304000186</t>
        </is>
      </c>
      <c r="H2551" s="8">
        <f>HYPERLINK("https://dart.fss.or.kr/dsaf001/main.do?rcpNo=20260304000186", "공시열람")</f>
        <v/>
      </c>
    </row>
    <row r="2552">
      <c r="A2552" s="2" t="inlineStr">
        <is>
          <t>2026-03-04</t>
        </is>
      </c>
      <c r="B2552" s="3" t="inlineStr">
        <is>
          <t>디에스엠</t>
        </is>
      </c>
      <c r="C2552" s="2" t="inlineStr">
        <is>
          <t>코스닥</t>
        </is>
      </c>
      <c r="D2552" s="2" t="inlineStr">
        <is>
          <t>104040</t>
        </is>
      </c>
      <c r="E2552" s="3" t="inlineStr">
        <is>
          <t xml:space="preserve">[기재정정]주식병합결정              </t>
        </is>
      </c>
      <c r="F2552" s="3" t="inlineStr">
        <is>
          <t>디에스엠</t>
        </is>
      </c>
      <c r="G2552" s="2" t="inlineStr">
        <is>
          <t>20260304900276</t>
        </is>
      </c>
      <c r="H2552" s="8">
        <f>HYPERLINK("https://dart.fss.or.kr/dsaf001/main.do?rcpNo=20260304900276", "공시열람")</f>
        <v/>
      </c>
    </row>
    <row r="2553">
      <c r="A2553" s="2" t="inlineStr">
        <is>
          <t>2026-03-04</t>
        </is>
      </c>
      <c r="B2553" s="3" t="inlineStr">
        <is>
          <t>에이유브랜즈</t>
        </is>
      </c>
      <c r="C2553" s="2" t="inlineStr">
        <is>
          <t>코스닥</t>
        </is>
      </c>
      <c r="D2553" s="2" t="inlineStr">
        <is>
          <t>481070</t>
        </is>
      </c>
      <c r="E2553" s="3" t="inlineStr">
        <is>
          <t xml:space="preserve">기업설명회(IR)개최              </t>
        </is>
      </c>
      <c r="F2553" s="3" t="inlineStr">
        <is>
          <t>에이유브랜즈</t>
        </is>
      </c>
      <c r="G2553" s="2" t="inlineStr">
        <is>
          <t>20260304900269</t>
        </is>
      </c>
      <c r="H2553" s="8">
        <f>HYPERLINK("https://dart.fss.or.kr/dsaf001/main.do?rcpNo=20260304900269", "공시열람")</f>
        <v/>
      </c>
    </row>
    <row r="2554">
      <c r="A2554" s="2" t="inlineStr">
        <is>
          <t>2026-03-04</t>
        </is>
      </c>
      <c r="B2554" s="3" t="inlineStr">
        <is>
          <t>에이유브랜즈</t>
        </is>
      </c>
      <c r="C2554" s="2" t="inlineStr">
        <is>
          <t>코스닥</t>
        </is>
      </c>
      <c r="D2554" s="2" t="inlineStr">
        <is>
          <t>481070</t>
        </is>
      </c>
      <c r="E2554" s="3" t="inlineStr">
        <is>
          <t xml:space="preserve">기업설명회(IR)개최              </t>
        </is>
      </c>
      <c r="F2554" s="3" t="inlineStr">
        <is>
          <t>에이유브랜즈</t>
        </is>
      </c>
      <c r="G2554" s="2" t="inlineStr">
        <is>
          <t>20260304900267</t>
        </is>
      </c>
      <c r="H2554" s="8">
        <f>HYPERLINK("https://dart.fss.or.kr/dsaf001/main.do?rcpNo=20260304900267", "공시열람")</f>
        <v/>
      </c>
    </row>
    <row r="2555">
      <c r="A2555" s="2" t="inlineStr">
        <is>
          <t>2026-03-04</t>
        </is>
      </c>
      <c r="B2555" s="3" t="inlineStr">
        <is>
          <t>트리니티항공</t>
        </is>
      </c>
      <c r="C2555" s="2" t="inlineStr">
        <is>
          <t>코스피</t>
        </is>
      </c>
      <c r="D2555" s="2" t="inlineStr">
        <is>
          <t>091810</t>
        </is>
      </c>
      <c r="E2555" s="3" t="inlineStr">
        <is>
          <t>임원ㆍ주요주주특정증권등소유상황보고서</t>
        </is>
      </c>
      <c r="F2555" s="3" t="inlineStr">
        <is>
          <t>박인섭</t>
        </is>
      </c>
      <c r="G2555" s="2" t="inlineStr">
        <is>
          <t>20260304000164</t>
        </is>
      </c>
      <c r="H2555" s="8">
        <f>HYPERLINK("https://dart.fss.or.kr/dsaf001/main.do?rcpNo=20260304000164", "공시열람")</f>
        <v/>
      </c>
    </row>
    <row r="2556">
      <c r="A2556" s="2" t="inlineStr">
        <is>
          <t>2026-03-04</t>
        </is>
      </c>
      <c r="B2556" s="3" t="inlineStr">
        <is>
          <t>에스피지</t>
        </is>
      </c>
      <c r="C2556" s="2" t="inlineStr">
        <is>
          <t>코스닥</t>
        </is>
      </c>
      <c r="D2556" s="2" t="inlineStr">
        <is>
          <t>058610</t>
        </is>
      </c>
      <c r="E2556" s="3" t="inlineStr">
        <is>
          <t xml:space="preserve">매출액또는손익구조30%(대규모법인은15%)이상변동              </t>
        </is>
      </c>
      <c r="F2556" s="3" t="inlineStr">
        <is>
          <t>에스피지</t>
        </is>
      </c>
      <c r="G2556" s="2" t="inlineStr">
        <is>
          <t>20260304900235</t>
        </is>
      </c>
      <c r="H2556" s="8">
        <f>HYPERLINK("https://dart.fss.or.kr/dsaf001/main.do?rcpNo=20260304900235", "공시열람")</f>
        <v/>
      </c>
    </row>
    <row r="2557">
      <c r="A2557" s="2" t="inlineStr">
        <is>
          <t>2026-03-04</t>
        </is>
      </c>
      <c r="B2557" s="3" t="inlineStr">
        <is>
          <t>화신</t>
        </is>
      </c>
      <c r="C2557" s="2" t="inlineStr">
        <is>
          <t>코스피</t>
        </is>
      </c>
      <c r="D2557" s="2" t="inlineStr">
        <is>
          <t>010690</t>
        </is>
      </c>
      <c r="E2557" s="3" t="inlineStr">
        <is>
          <t xml:space="preserve">현금ㆍ현물배당결정              </t>
        </is>
      </c>
      <c r="F2557" s="3" t="inlineStr">
        <is>
          <t>화신</t>
        </is>
      </c>
      <c r="G2557" s="2" t="inlineStr">
        <is>
          <t>20260304800259</t>
        </is>
      </c>
      <c r="H2557" s="8">
        <f>HYPERLINK("https://dart.fss.or.kr/dsaf001/main.do?rcpNo=20260304800259", "공시열람")</f>
        <v/>
      </c>
    </row>
    <row r="2558">
      <c r="A2558" s="2" t="inlineStr">
        <is>
          <t>2026-03-04</t>
        </is>
      </c>
      <c r="B2558" s="3" t="inlineStr">
        <is>
          <t>삼양엔씨켐</t>
        </is>
      </c>
      <c r="C2558" s="2" t="inlineStr">
        <is>
          <t>코스닥</t>
        </is>
      </c>
      <c r="D2558" s="2" t="inlineStr">
        <is>
          <t>482630</t>
        </is>
      </c>
      <c r="E2558" s="3" t="inlineStr">
        <is>
          <t>임원ㆍ주요주주특정증권등소유상황보고서</t>
        </is>
      </c>
      <c r="F2558" s="3" t="inlineStr">
        <is>
          <t>이창호</t>
        </is>
      </c>
      <c r="G2558" s="2" t="inlineStr">
        <is>
          <t>20260304000136</t>
        </is>
      </c>
      <c r="H2558" s="8">
        <f>HYPERLINK("https://dart.fss.or.kr/dsaf001/main.do?rcpNo=20260304000136", "공시열람")</f>
        <v/>
      </c>
    </row>
    <row r="2559">
      <c r="A2559" s="2" t="inlineStr">
        <is>
          <t>2026-03-04</t>
        </is>
      </c>
      <c r="B2559" s="3" t="inlineStr">
        <is>
          <t>코스맥스엔비티</t>
        </is>
      </c>
      <c r="C2559" s="2" t="inlineStr">
        <is>
          <t>코스닥</t>
        </is>
      </c>
      <c r="D2559" s="2" t="inlineStr">
        <is>
          <t>222040</t>
        </is>
      </c>
      <c r="E2559" s="3" t="inlineStr">
        <is>
          <t>임원ㆍ주요주주특정증권등소유상황보고서</t>
        </is>
      </c>
      <c r="F2559" s="3" t="inlineStr">
        <is>
          <t>신봉철</t>
        </is>
      </c>
      <c r="G2559" s="2" t="inlineStr">
        <is>
          <t>20260304000114</t>
        </is>
      </c>
      <c r="H2559" s="8">
        <f>HYPERLINK("https://dart.fss.or.kr/dsaf001/main.do?rcpNo=20260304000114", "공시열람")</f>
        <v/>
      </c>
    </row>
    <row r="2560">
      <c r="A2560" s="2" t="inlineStr">
        <is>
          <t>2026-03-04</t>
        </is>
      </c>
      <c r="B2560" s="3" t="inlineStr">
        <is>
          <t>코웨이</t>
        </is>
      </c>
      <c r="C2560" s="2" t="inlineStr">
        <is>
          <t>코스피</t>
        </is>
      </c>
      <c r="D2560" s="2" t="inlineStr">
        <is>
          <t>021240</t>
        </is>
      </c>
      <c r="E2560" s="3" t="inlineStr">
        <is>
          <t xml:space="preserve">기업설명회(IR)개최(안내공시)              </t>
        </is>
      </c>
      <c r="F2560" s="3" t="inlineStr">
        <is>
          <t>코웨이</t>
        </is>
      </c>
      <c r="G2560" s="2" t="inlineStr">
        <is>
          <t>20260304800231</t>
        </is>
      </c>
      <c r="H2560" s="8">
        <f>HYPERLINK("https://dart.fss.or.kr/dsaf001/main.do?rcpNo=20260304800231", "공시열람")</f>
        <v/>
      </c>
    </row>
    <row r="2561">
      <c r="A2561" s="2" t="inlineStr">
        <is>
          <t>2026-03-04</t>
        </is>
      </c>
      <c r="B2561" s="3" t="inlineStr">
        <is>
          <t>켐트로닉스</t>
        </is>
      </c>
      <c r="C2561" s="2" t="inlineStr">
        <is>
          <t>코스닥</t>
        </is>
      </c>
      <c r="D2561" s="2" t="inlineStr">
        <is>
          <t>089010</t>
        </is>
      </c>
      <c r="E2561" s="3" t="inlineStr">
        <is>
          <t>의결권대리행사권유참고서류</t>
        </is>
      </c>
      <c r="F2561" s="3" t="inlineStr">
        <is>
          <t>켐트로닉스</t>
        </is>
      </c>
      <c r="G2561" s="2" t="inlineStr">
        <is>
          <t>20260304000089</t>
        </is>
      </c>
      <c r="H2561" s="8">
        <f>HYPERLINK("https://dart.fss.or.kr/dsaf001/main.do?rcpNo=20260304000089", "공시열람")</f>
        <v/>
      </c>
    </row>
    <row r="2562">
      <c r="A2562" s="2" t="inlineStr">
        <is>
          <t>2026-03-04</t>
        </is>
      </c>
      <c r="B2562" s="3" t="inlineStr">
        <is>
          <t>KB제29호스팩</t>
        </is>
      </c>
      <c r="C2562" s="2" t="inlineStr">
        <is>
          <t>코스닥</t>
        </is>
      </c>
      <c r="D2562" s="2" t="inlineStr">
        <is>
          <t>478390</t>
        </is>
      </c>
      <c r="E2562" s="3" t="inlineStr">
        <is>
          <t>의결권대리행사권유참고서류</t>
        </is>
      </c>
      <c r="F2562" s="3" t="inlineStr">
        <is>
          <t>KB제29호스팩</t>
        </is>
      </c>
      <c r="G2562" s="2" t="inlineStr">
        <is>
          <t>20260304000084</t>
        </is>
      </c>
      <c r="H2562" s="8">
        <f>HYPERLINK("https://dart.fss.or.kr/dsaf001/main.do?rcpNo=20260304000084", "공시열람")</f>
        <v/>
      </c>
    </row>
    <row r="2563">
      <c r="A2563" s="2" t="inlineStr">
        <is>
          <t>2026-03-04</t>
        </is>
      </c>
      <c r="B2563" s="3" t="inlineStr">
        <is>
          <t>고영</t>
        </is>
      </c>
      <c r="C2563" s="2" t="inlineStr">
        <is>
          <t>코스닥</t>
        </is>
      </c>
      <c r="D2563" s="2" t="inlineStr">
        <is>
          <t>098460</t>
        </is>
      </c>
      <c r="E2563" s="3" t="inlineStr">
        <is>
          <t xml:space="preserve">기업설명회(IR)개최              </t>
        </is>
      </c>
      <c r="F2563" s="3" t="inlineStr">
        <is>
          <t>고영</t>
        </is>
      </c>
      <c r="G2563" s="2" t="inlineStr">
        <is>
          <t>20260304900200</t>
        </is>
      </c>
      <c r="H2563" s="8">
        <f>HYPERLINK("https://dart.fss.or.kr/dsaf001/main.do?rcpNo=20260304900200", "공시열람")</f>
        <v/>
      </c>
    </row>
    <row r="2564">
      <c r="A2564" s="2" t="inlineStr">
        <is>
          <t>2026-03-04</t>
        </is>
      </c>
      <c r="B2564" s="3" t="inlineStr">
        <is>
          <t>에이치피오</t>
        </is>
      </c>
      <c r="C2564" s="2" t="inlineStr">
        <is>
          <t>코스닥</t>
        </is>
      </c>
      <c r="D2564" s="2" t="inlineStr">
        <is>
          <t>357230</t>
        </is>
      </c>
      <c r="E2564" s="3" t="inlineStr">
        <is>
          <t xml:space="preserve">연결재무제표기준영업(잠정)실적(공정공시)              </t>
        </is>
      </c>
      <c r="F2564" s="3" t="inlineStr">
        <is>
          <t>에이치피오</t>
        </is>
      </c>
      <c r="G2564" s="2" t="inlineStr">
        <is>
          <t>20260304900136</t>
        </is>
      </c>
      <c r="H2564" s="8">
        <f>HYPERLINK("https://dart.fss.or.kr/dsaf001/main.do?rcpNo=20260304900136", "공시열람")</f>
        <v/>
      </c>
    </row>
    <row r="2565">
      <c r="A2565" s="2" t="inlineStr">
        <is>
          <t>2026-03-04</t>
        </is>
      </c>
      <c r="B2565" s="3" t="inlineStr">
        <is>
          <t>HL홀딩스</t>
        </is>
      </c>
      <c r="C2565" s="2" t="inlineStr">
        <is>
          <t>코스피</t>
        </is>
      </c>
      <c r="D2565" s="2" t="inlineStr">
        <is>
          <t>060980</t>
        </is>
      </c>
      <c r="E2565" s="3" t="inlineStr">
        <is>
          <t>투자설명서</t>
        </is>
      </c>
      <c r="F2565" s="3" t="inlineStr">
        <is>
          <t>HL홀딩스</t>
        </is>
      </c>
      <c r="G2565" s="2" t="inlineStr">
        <is>
          <t>20260304000020</t>
        </is>
      </c>
      <c r="H2565" s="8">
        <f>HYPERLINK("https://dart.fss.or.kr/dsaf001/main.do?rcpNo=20260304000020", "공시열람")</f>
        <v/>
      </c>
    </row>
    <row r="2566">
      <c r="A2566" s="2" t="inlineStr">
        <is>
          <t>2026-03-04</t>
        </is>
      </c>
      <c r="B2566" s="3" t="inlineStr">
        <is>
          <t>PI첨단소재</t>
        </is>
      </c>
      <c r="C2566" s="2" t="inlineStr">
        <is>
          <t>코스피</t>
        </is>
      </c>
      <c r="D2566" s="2" t="inlineStr">
        <is>
          <t>178920</t>
        </is>
      </c>
      <c r="E2566" s="3" t="inlineStr">
        <is>
          <t>의결권대리행사권유참고서류</t>
        </is>
      </c>
      <c r="F2566" s="3" t="inlineStr">
        <is>
          <t>PI첨단소재</t>
        </is>
      </c>
      <c r="G2566" s="2" t="inlineStr">
        <is>
          <t>20260304000006</t>
        </is>
      </c>
      <c r="H2566" s="8">
        <f>HYPERLINK("https://dart.fss.or.kr/dsaf001/main.do?rcpNo=20260304000006", "공시열람")</f>
        <v/>
      </c>
    </row>
    <row r="2567">
      <c r="A2567" s="2" t="inlineStr">
        <is>
          <t>2026-03-04</t>
        </is>
      </c>
      <c r="B2567" s="3" t="inlineStr">
        <is>
          <t>PI첨단소재</t>
        </is>
      </c>
      <c r="C2567" s="2" t="inlineStr">
        <is>
          <t>코스피</t>
        </is>
      </c>
      <c r="D2567" s="2" t="inlineStr">
        <is>
          <t>178920</t>
        </is>
      </c>
      <c r="E2567" s="3" t="inlineStr">
        <is>
          <t xml:space="preserve">현금ㆍ현물배당결정              </t>
        </is>
      </c>
      <c r="F2567" s="3" t="inlineStr">
        <is>
          <t>PI첨단소재</t>
        </is>
      </c>
      <c r="G2567" s="2" t="inlineStr">
        <is>
          <t>20260304800011</t>
        </is>
      </c>
      <c r="H2567" s="8">
        <f>HYPERLINK("https://dart.fss.or.kr/dsaf001/main.do?rcpNo=20260304800011", "공시열람")</f>
        <v/>
      </c>
    </row>
    <row r="2568">
      <c r="A2568" s="2" t="inlineStr">
        <is>
          <t>2026-03-04</t>
        </is>
      </c>
      <c r="B2568" s="3" t="inlineStr">
        <is>
          <t>PI첨단소재</t>
        </is>
      </c>
      <c r="C2568" s="2" t="inlineStr">
        <is>
          <t>코스피</t>
        </is>
      </c>
      <c r="D2568" s="2" t="inlineStr">
        <is>
          <t>178920</t>
        </is>
      </c>
      <c r="E2568" s="3" t="inlineStr">
        <is>
          <t xml:space="preserve">현금ㆍ현물배당을위한주주명부폐쇄(기준일)결정              </t>
        </is>
      </c>
      <c r="F2568" s="3" t="inlineStr">
        <is>
          <t>PI첨단소재</t>
        </is>
      </c>
      <c r="G2568" s="2" t="inlineStr">
        <is>
          <t>20260304800010</t>
        </is>
      </c>
      <c r="H2568" s="8">
        <f>HYPERLINK("https://dart.fss.or.kr/dsaf001/main.do?rcpNo=20260304800010", "공시열람")</f>
        <v/>
      </c>
    </row>
    <row r="2569">
      <c r="A2569" s="2" t="inlineStr">
        <is>
          <t>2026-03-04</t>
        </is>
      </c>
      <c r="B2569" s="3" t="inlineStr">
        <is>
          <t>케이티</t>
        </is>
      </c>
      <c r="C2569" s="2" t="inlineStr">
        <is>
          <t>코스피</t>
        </is>
      </c>
      <c r="D2569" s="2" t="inlineStr">
        <is>
          <t>030200</t>
        </is>
      </c>
      <c r="E2569" s="3" t="inlineStr">
        <is>
          <t>투자설명서</t>
        </is>
      </c>
      <c r="F2569" s="3" t="inlineStr">
        <is>
          <t>케이티</t>
        </is>
      </c>
      <c r="G2569" s="2" t="inlineStr">
        <is>
          <t>20260304000001</t>
        </is>
      </c>
      <c r="H2569" s="8">
        <f>HYPERLINK("https://dart.fss.or.kr/dsaf001/main.do?rcpNo=20260304000001", "공시열람")</f>
        <v/>
      </c>
    </row>
    <row r="2570">
      <c r="A2570" s="2" t="inlineStr">
        <is>
          <t>2026-03-05 (정정: 2026-03-06)</t>
        </is>
      </c>
      <c r="B2570" s="3" t="inlineStr">
        <is>
          <t>서연탑메탈</t>
        </is>
      </c>
      <c r="C2570" s="2" t="inlineStr">
        <is>
          <t>코스닥</t>
        </is>
      </c>
      <c r="D2570" s="2" t="inlineStr">
        <is>
          <t>019770</t>
        </is>
      </c>
      <c r="E2570" s="3" t="inlineStr">
        <is>
          <t>[첨부추가]현금ㆍ현물배당결정               (정정: 20260306)</t>
        </is>
      </c>
      <c r="F2570" s="3" t="inlineStr">
        <is>
          <t>서연탑메탈</t>
        </is>
      </c>
      <c r="G2570" s="2" t="inlineStr">
        <is>
          <t>20260306900188</t>
        </is>
      </c>
      <c r="H2570" s="8">
        <f>HYPERLINK("https://dart.fss.or.kr/dsaf001/main.do?rcpNo=20260306900188", "공시열람")</f>
        <v/>
      </c>
    </row>
    <row r="2571">
      <c r="A2571" s="2" t="inlineStr">
        <is>
          <t>2026-03-05 (정정: 2026-03-06)</t>
        </is>
      </c>
      <c r="B2571" s="3" t="inlineStr">
        <is>
          <t>엔솔바이오사이언스</t>
        </is>
      </c>
      <c r="C2571" s="2" t="inlineStr">
        <is>
          <t>코넥스</t>
        </is>
      </c>
      <c r="D2571" s="2" t="inlineStr">
        <is>
          <t>140610</t>
        </is>
      </c>
      <c r="E2571" s="3" t="inlineStr">
        <is>
          <t>[첨부추가]주요사항보고서(타법인주식및출자증권양수결정) (정정: 20260306)</t>
        </is>
      </c>
      <c r="F2571" s="3" t="inlineStr">
        <is>
          <t>엔솔바이오사이언스</t>
        </is>
      </c>
      <c r="G2571" s="2" t="inlineStr">
        <is>
          <t>20260306000984</t>
        </is>
      </c>
      <c r="H2571" s="8">
        <f>HYPERLINK("https://dart.fss.or.kr/dsaf001/main.do?rcpNo=20260306000984", "공시열람")</f>
        <v/>
      </c>
    </row>
    <row r="2572">
      <c r="A2572" s="2" t="inlineStr">
        <is>
          <t>2026-03-05</t>
        </is>
      </c>
      <c r="B2572" s="3" t="inlineStr">
        <is>
          <t>아이엘</t>
        </is>
      </c>
      <c r="C2572" s="2" t="inlineStr">
        <is>
          <t>코스닥</t>
        </is>
      </c>
      <c r="D2572" s="2" t="inlineStr">
        <is>
          <t>307180</t>
        </is>
      </c>
      <c r="E2572" s="3" t="inlineStr">
        <is>
          <t xml:space="preserve">기타시장안내(관리종목지정우려종목)              </t>
        </is>
      </c>
      <c r="F2572" s="3" t="inlineStr">
        <is>
          <t>코스닥시장본부</t>
        </is>
      </c>
      <c r="G2572" s="2" t="inlineStr">
        <is>
          <t>20260305901974</t>
        </is>
      </c>
      <c r="H2572" s="8">
        <f>HYPERLINK("https://dart.fss.or.kr/dsaf001/main.do?rcpNo=20260305901974", "공시열람")</f>
        <v/>
      </c>
    </row>
    <row r="2573">
      <c r="A2573" s="2" t="inlineStr">
        <is>
          <t>2026-03-05</t>
        </is>
      </c>
      <c r="B2573" s="3" t="inlineStr">
        <is>
          <t>아이엘</t>
        </is>
      </c>
      <c r="C2573" s="2" t="inlineStr">
        <is>
          <t>코스닥</t>
        </is>
      </c>
      <c r="D2573" s="2" t="inlineStr">
        <is>
          <t>307180</t>
        </is>
      </c>
      <c r="E2573" s="3" t="inlineStr">
        <is>
          <t xml:space="preserve">내부결산시점관리종목지정ㆍ형식적상장폐지ㆍ상장적격성실질심사사유발생              </t>
        </is>
      </c>
      <c r="F2573" s="3" t="inlineStr">
        <is>
          <t>아이엘</t>
        </is>
      </c>
      <c r="G2573" s="2" t="inlineStr">
        <is>
          <t>20260305901973</t>
        </is>
      </c>
      <c r="H2573" s="8">
        <f>HYPERLINK("https://dart.fss.or.kr/dsaf001/main.do?rcpNo=20260305901973", "공시열람")</f>
        <v/>
      </c>
    </row>
    <row r="2574">
      <c r="A2574" s="2" t="inlineStr">
        <is>
          <t>2026-03-05</t>
        </is>
      </c>
      <c r="B2574" s="3" t="inlineStr">
        <is>
          <t>KD</t>
        </is>
      </c>
      <c r="C2574" s="2" t="inlineStr">
        <is>
          <t>코스닥</t>
        </is>
      </c>
      <c r="D2574" s="2" t="inlineStr">
        <is>
          <t>044180</t>
        </is>
      </c>
      <c r="E2574" s="3" t="inlineStr">
        <is>
          <t>기타시장안내              (관리종목 지정사유 추가 우려)(시가총액 150억원 미달)</t>
        </is>
      </c>
      <c r="F2574" s="3" t="inlineStr">
        <is>
          <t>코스닥시장본부</t>
        </is>
      </c>
      <c r="G2574" s="2" t="inlineStr">
        <is>
          <t>20260305901931</t>
        </is>
      </c>
      <c r="H2574" s="8">
        <f>HYPERLINK("https://dart.fss.or.kr/dsaf001/main.do?rcpNo=20260305901931", "공시열람")</f>
        <v/>
      </c>
    </row>
    <row r="2575">
      <c r="A2575" s="2" t="inlineStr">
        <is>
          <t>2026-03-05</t>
        </is>
      </c>
      <c r="B2575" s="3" t="inlineStr">
        <is>
          <t>SK증권제13호스팩</t>
        </is>
      </c>
      <c r="C2575" s="2" t="inlineStr">
        <is>
          <t>코스닥</t>
        </is>
      </c>
      <c r="D2575" s="2" t="inlineStr">
        <is>
          <t>473950</t>
        </is>
      </c>
      <c r="E2575" s="3" t="inlineStr">
        <is>
          <t xml:space="preserve">감사보고서제출              </t>
        </is>
      </c>
      <c r="F2575" s="3" t="inlineStr">
        <is>
          <t>SK증권제13호스팩</t>
        </is>
      </c>
      <c r="G2575" s="2" t="inlineStr">
        <is>
          <t>20260305901919</t>
        </is>
      </c>
      <c r="H2575" s="8">
        <f>HYPERLINK("https://dart.fss.or.kr/dsaf001/main.do?rcpNo=20260305901919", "공시열람")</f>
        <v/>
      </c>
    </row>
    <row r="2576">
      <c r="A2576" s="2" t="inlineStr">
        <is>
          <t>2026-03-05</t>
        </is>
      </c>
      <c r="B2576" s="3" t="inlineStr">
        <is>
          <t>SK증권제12호스팩</t>
        </is>
      </c>
      <c r="C2576" s="2" t="inlineStr">
        <is>
          <t>코스닥</t>
        </is>
      </c>
      <c r="D2576" s="2" t="inlineStr">
        <is>
          <t>473000</t>
        </is>
      </c>
      <c r="E2576" s="3" t="inlineStr">
        <is>
          <t xml:space="preserve">감사보고서제출              </t>
        </is>
      </c>
      <c r="F2576" s="3" t="inlineStr">
        <is>
          <t>SK증권제12호스팩</t>
        </is>
      </c>
      <c r="G2576" s="2" t="inlineStr">
        <is>
          <t>20260305901912</t>
        </is>
      </c>
      <c r="H2576" s="8">
        <f>HYPERLINK("https://dart.fss.or.kr/dsaf001/main.do?rcpNo=20260305901912", "공시열람")</f>
        <v/>
      </c>
    </row>
    <row r="2577">
      <c r="A2577" s="2" t="inlineStr">
        <is>
          <t>2026-03-05</t>
        </is>
      </c>
      <c r="B2577" s="3" t="inlineStr">
        <is>
          <t>KPX홀딩스</t>
        </is>
      </c>
      <c r="C2577" s="2" t="inlineStr">
        <is>
          <t>코스피</t>
        </is>
      </c>
      <c r="D2577" s="2" t="inlineStr">
        <is>
          <t>092230</t>
        </is>
      </c>
      <c r="E2577" s="3" t="inlineStr">
        <is>
          <t xml:space="preserve">감사보고서제출(자회사의 주요경영사항)              </t>
        </is>
      </c>
      <c r="F2577" s="3" t="inlineStr">
        <is>
          <t>KPX홀딩스</t>
        </is>
      </c>
      <c r="G2577" s="2" t="inlineStr">
        <is>
          <t>20260305801920</t>
        </is>
      </c>
      <c r="H2577" s="8">
        <f>HYPERLINK("https://dart.fss.or.kr/dsaf001/main.do?rcpNo=20260305801920", "공시열람")</f>
        <v/>
      </c>
    </row>
    <row r="2578">
      <c r="A2578" s="2" t="inlineStr">
        <is>
          <t>2026-03-05</t>
        </is>
      </c>
      <c r="B2578" s="3" t="inlineStr">
        <is>
          <t>진양홀딩스</t>
        </is>
      </c>
      <c r="C2578" s="2" t="inlineStr">
        <is>
          <t>코스피</t>
        </is>
      </c>
      <c r="D2578" s="2" t="inlineStr">
        <is>
          <t>100250</t>
        </is>
      </c>
      <c r="E2578" s="3" t="inlineStr">
        <is>
          <t xml:space="preserve">감사보고서제출              </t>
        </is>
      </c>
      <c r="F2578" s="3" t="inlineStr">
        <is>
          <t>진양홀딩스</t>
        </is>
      </c>
      <c r="G2578" s="2" t="inlineStr">
        <is>
          <t>20260305801917</t>
        </is>
      </c>
      <c r="H2578" s="8">
        <f>HYPERLINK("https://dart.fss.or.kr/dsaf001/main.do?rcpNo=20260305801917", "공시열람")</f>
        <v/>
      </c>
    </row>
    <row r="2579">
      <c r="A2579" s="2" t="inlineStr">
        <is>
          <t>2026-03-05</t>
        </is>
      </c>
      <c r="B2579" s="3" t="inlineStr">
        <is>
          <t>KD</t>
        </is>
      </c>
      <c r="C2579" s="2" t="inlineStr">
        <is>
          <t>코스닥</t>
        </is>
      </c>
      <c r="D2579" s="2" t="inlineStr">
        <is>
          <t>044180</t>
        </is>
      </c>
      <c r="E2579" s="3" t="inlineStr">
        <is>
          <t>주권매매거래정지              (회생절차개시신청)</t>
        </is>
      </c>
      <c r="F2579" s="3" t="inlineStr">
        <is>
          <t>코스닥시장본부</t>
        </is>
      </c>
      <c r="G2579" s="2" t="inlineStr">
        <is>
          <t>20260305901908</t>
        </is>
      </c>
      <c r="H2579" s="8">
        <f>HYPERLINK("https://dart.fss.or.kr/dsaf001/main.do?rcpNo=20260305901908", "공시열람")</f>
        <v/>
      </c>
    </row>
    <row r="2580">
      <c r="A2580" s="2" t="inlineStr">
        <is>
          <t>2026-03-05</t>
        </is>
      </c>
      <c r="B2580" s="3" t="inlineStr">
        <is>
          <t>SK증권제11호스팩</t>
        </is>
      </c>
      <c r="C2580" s="2" t="inlineStr">
        <is>
          <t>코스닥</t>
        </is>
      </c>
      <c r="D2580" s="2" t="inlineStr">
        <is>
          <t>472230</t>
        </is>
      </c>
      <c r="E2580" s="3" t="inlineStr">
        <is>
          <t xml:space="preserve">감사보고서제출              </t>
        </is>
      </c>
      <c r="F2580" s="3" t="inlineStr">
        <is>
          <t>SK증권제11호스팩</t>
        </is>
      </c>
      <c r="G2580" s="2" t="inlineStr">
        <is>
          <t>20260305901860</t>
        </is>
      </c>
      <c r="H2580" s="8">
        <f>HYPERLINK("https://dart.fss.or.kr/dsaf001/main.do?rcpNo=20260305901860", "공시열람")</f>
        <v/>
      </c>
    </row>
    <row r="2581">
      <c r="A2581" s="2" t="inlineStr">
        <is>
          <t>2026-03-05</t>
        </is>
      </c>
      <c r="B2581" s="3" t="inlineStr">
        <is>
          <t>국일제지</t>
        </is>
      </c>
      <c r="C2581" s="2" t="inlineStr">
        <is>
          <t>코스닥</t>
        </is>
      </c>
      <c r="D2581" s="2" t="inlineStr">
        <is>
          <t>078130</t>
        </is>
      </c>
      <c r="E2581" s="3" t="inlineStr">
        <is>
          <t xml:space="preserve">주식병합결정              </t>
        </is>
      </c>
      <c r="F2581" s="3" t="inlineStr">
        <is>
          <t>국일제지</t>
        </is>
      </c>
      <c r="G2581" s="2" t="inlineStr">
        <is>
          <t>20260305901837</t>
        </is>
      </c>
      <c r="H2581" s="8">
        <f>HYPERLINK("https://dart.fss.or.kr/dsaf001/main.do?rcpNo=20260305901837", "공시열람")</f>
        <v/>
      </c>
    </row>
    <row r="2582">
      <c r="A2582" s="2" t="inlineStr">
        <is>
          <t>2026-03-05</t>
        </is>
      </c>
      <c r="B2582" s="3" t="inlineStr">
        <is>
          <t>국일제지</t>
        </is>
      </c>
      <c r="C2582" s="2" t="inlineStr">
        <is>
          <t>코스닥</t>
        </is>
      </c>
      <c r="D2582" s="2" t="inlineStr">
        <is>
          <t>078130</t>
        </is>
      </c>
      <c r="E2582" s="3" t="inlineStr">
        <is>
          <t xml:space="preserve">매출액또는손익구조30%(대규모법인은15%)이상변동              </t>
        </is>
      </c>
      <c r="F2582" s="3" t="inlineStr">
        <is>
          <t>국일제지</t>
        </is>
      </c>
      <c r="G2582" s="2" t="inlineStr">
        <is>
          <t>20260305901803</t>
        </is>
      </c>
      <c r="H2582" s="8">
        <f>HYPERLINK("https://dart.fss.or.kr/dsaf001/main.do?rcpNo=20260305901803", "공시열람")</f>
        <v/>
      </c>
    </row>
    <row r="2583">
      <c r="A2583" s="2" t="inlineStr">
        <is>
          <t>2026-03-05</t>
        </is>
      </c>
      <c r="B2583" s="3" t="inlineStr">
        <is>
          <t>두산에너빌리티</t>
        </is>
      </c>
      <c r="C2583" s="2" t="inlineStr">
        <is>
          <t>코스피</t>
        </is>
      </c>
      <c r="D2583" s="2" t="inlineStr">
        <is>
          <t>034020</t>
        </is>
      </c>
      <c r="E2583" s="3" t="inlineStr">
        <is>
          <t>임원ㆍ주요주주특정증권등소유상황보고서</t>
        </is>
      </c>
      <c r="F2583" s="3" t="inlineStr">
        <is>
          <t>이성우</t>
        </is>
      </c>
      <c r="G2583" s="2" t="inlineStr">
        <is>
          <t>20260305001640</t>
        </is>
      </c>
      <c r="H2583" s="8">
        <f>HYPERLINK("https://dart.fss.or.kr/dsaf001/main.do?rcpNo=20260305001640", "공시열람")</f>
        <v/>
      </c>
    </row>
    <row r="2584">
      <c r="A2584" s="2" t="inlineStr">
        <is>
          <t>2026-03-05 (정정: 2026-03-06)</t>
        </is>
      </c>
      <c r="B2584" s="3" t="inlineStr">
        <is>
          <t>미래에셋증권</t>
        </is>
      </c>
      <c r="C2584" s="2" t="inlineStr">
        <is>
          <t>코스피</t>
        </is>
      </c>
      <c r="D2584" s="2" t="inlineStr">
        <is>
          <t>006800</t>
        </is>
      </c>
      <c r="E2584" s="3" t="inlineStr">
        <is>
          <t>임원ㆍ주요주주특정증권등소유상황보고서 (정정: 20260306)</t>
        </is>
      </c>
      <c r="F2584" s="3" t="inlineStr">
        <is>
          <t>배원준</t>
        </is>
      </c>
      <c r="G2584" s="2" t="inlineStr">
        <is>
          <t>20260306000258</t>
        </is>
      </c>
      <c r="H2584" s="8">
        <f>HYPERLINK("https://dart.fss.or.kr/dsaf001/main.do?rcpNo=20260306000258", "공시열람")</f>
        <v/>
      </c>
    </row>
    <row r="2585">
      <c r="A2585" s="2" t="inlineStr">
        <is>
          <t>2026-03-05 (정정: 2026-03-11)</t>
        </is>
      </c>
      <c r="B2585" s="3" t="inlineStr">
        <is>
          <t>삼천리자전거</t>
        </is>
      </c>
      <c r="C2585" s="2" t="inlineStr">
        <is>
          <t>코스닥</t>
        </is>
      </c>
      <c r="D2585" s="2" t="inlineStr">
        <is>
          <t>024950</t>
        </is>
      </c>
      <c r="E2585" s="3" t="inlineStr">
        <is>
          <t>의결권대리행사권유참고서류 (정정: 20260306) (정정: 20260311)</t>
        </is>
      </c>
      <c r="F2585" s="3" t="inlineStr">
        <is>
          <t>삼천리자전거</t>
        </is>
      </c>
      <c r="G2585" s="2" t="inlineStr">
        <is>
          <t>20260311003670</t>
        </is>
      </c>
      <c r="H2585" s="8">
        <f>HYPERLINK("https://dart.fss.or.kr/dsaf001/main.do?rcpNo=20260311003670", "공시열람")</f>
        <v/>
      </c>
    </row>
    <row r="2586">
      <c r="A2586" s="2" t="inlineStr">
        <is>
          <t>2026-03-05</t>
        </is>
      </c>
      <c r="B2586" s="3" t="inlineStr">
        <is>
          <t>하나34호스팩</t>
        </is>
      </c>
      <c r="C2586" s="2" t="inlineStr">
        <is>
          <t>코스닥</t>
        </is>
      </c>
      <c r="D2586" s="2" t="inlineStr">
        <is>
          <t>484130</t>
        </is>
      </c>
      <c r="E2586" s="3" t="inlineStr">
        <is>
          <t>의결권대리행사권유참고서류</t>
        </is>
      </c>
      <c r="F2586" s="3" t="inlineStr">
        <is>
          <t>하나34호스팩</t>
        </is>
      </c>
      <c r="G2586" s="2" t="inlineStr">
        <is>
          <t>20260305001636</t>
        </is>
      </c>
      <c r="H2586" s="8">
        <f>HYPERLINK("https://dart.fss.or.kr/dsaf001/main.do?rcpNo=20260305001636", "공시열람")</f>
        <v/>
      </c>
    </row>
    <row r="2587">
      <c r="A2587" s="2" t="inlineStr">
        <is>
          <t>2026-03-05</t>
        </is>
      </c>
      <c r="B2587" s="3" t="inlineStr">
        <is>
          <t>두산에너빌리티</t>
        </is>
      </c>
      <c r="C2587" s="2" t="inlineStr">
        <is>
          <t>코스피</t>
        </is>
      </c>
      <c r="D2587" s="2" t="inlineStr">
        <is>
          <t>034020</t>
        </is>
      </c>
      <c r="E2587" s="3" t="inlineStr">
        <is>
          <t>임원ㆍ주요주주특정증권등소유상황보고서</t>
        </is>
      </c>
      <c r="F2587" s="3" t="inlineStr">
        <is>
          <t>김건주</t>
        </is>
      </c>
      <c r="G2587" s="2" t="inlineStr">
        <is>
          <t>20260305001635</t>
        </is>
      </c>
      <c r="H2587" s="8">
        <f>HYPERLINK("https://dart.fss.or.kr/dsaf001/main.do?rcpNo=20260305001635", "공시열람")</f>
        <v/>
      </c>
    </row>
    <row r="2588">
      <c r="A2588" s="2" t="inlineStr">
        <is>
          <t>2026-03-05</t>
        </is>
      </c>
      <c r="B2588" s="3" t="inlineStr">
        <is>
          <t>동국홀딩스</t>
        </is>
      </c>
      <c r="C2588" s="2" t="inlineStr">
        <is>
          <t>코스피</t>
        </is>
      </c>
      <c r="D2588" s="2" t="inlineStr">
        <is>
          <t>001230</t>
        </is>
      </c>
      <c r="E2588" s="3" t="inlineStr">
        <is>
          <t>특수관계인으로부터주식의취득</t>
        </is>
      </c>
      <c r="F2588" s="3" t="inlineStr">
        <is>
          <t>동국홀딩스</t>
        </is>
      </c>
      <c r="G2588" s="2" t="inlineStr">
        <is>
          <t>20260305001634</t>
        </is>
      </c>
      <c r="H2588" s="8">
        <f>HYPERLINK("https://dart.fss.or.kr/dsaf001/main.do?rcpNo=20260305001634", "공시열람")</f>
        <v/>
      </c>
    </row>
    <row r="2589">
      <c r="A2589" s="2" t="inlineStr">
        <is>
          <t>2026-03-05</t>
        </is>
      </c>
      <c r="B2589" s="3" t="inlineStr">
        <is>
          <t>미래에셋증권</t>
        </is>
      </c>
      <c r="C2589" s="2" t="inlineStr">
        <is>
          <t>코스피</t>
        </is>
      </c>
      <c r="D2589" s="2" t="inlineStr">
        <is>
          <t>006800</t>
        </is>
      </c>
      <c r="E2589" s="3" t="inlineStr">
        <is>
          <t>임원ㆍ주요주주특정증권등소유상황보고서</t>
        </is>
      </c>
      <c r="F2589" s="3" t="inlineStr">
        <is>
          <t>오재환</t>
        </is>
      </c>
      <c r="G2589" s="2" t="inlineStr">
        <is>
          <t>20260305001632</t>
        </is>
      </c>
      <c r="H2589" s="8">
        <f>HYPERLINK("https://dart.fss.or.kr/dsaf001/main.do?rcpNo=20260305001632", "공시열람")</f>
        <v/>
      </c>
    </row>
    <row r="2590">
      <c r="A2590" s="2" t="inlineStr">
        <is>
          <t>2026-03-05</t>
        </is>
      </c>
      <c r="B2590" s="3" t="inlineStr">
        <is>
          <t>동국홀딩스</t>
        </is>
      </c>
      <c r="C2590" s="2" t="inlineStr">
        <is>
          <t>코스피</t>
        </is>
      </c>
      <c r="D2590" s="2" t="inlineStr">
        <is>
          <t>001230</t>
        </is>
      </c>
      <c r="E2590" s="3" t="inlineStr">
        <is>
          <t>특수관계인으로부터주식의취득</t>
        </is>
      </c>
      <c r="F2590" s="3" t="inlineStr">
        <is>
          <t>동국홀딩스</t>
        </is>
      </c>
      <c r="G2590" s="2" t="inlineStr">
        <is>
          <t>20260305001624</t>
        </is>
      </c>
      <c r="H2590" s="8">
        <f>HYPERLINK("https://dart.fss.or.kr/dsaf001/main.do?rcpNo=20260305001624", "공시열람")</f>
        <v/>
      </c>
    </row>
    <row r="2591">
      <c r="A2591" s="2" t="inlineStr">
        <is>
          <t>2026-03-05</t>
        </is>
      </c>
      <c r="B2591" s="3" t="inlineStr">
        <is>
          <t>유안타증권</t>
        </is>
      </c>
      <c r="C2591" s="2" t="inlineStr">
        <is>
          <t>코스피</t>
        </is>
      </c>
      <c r="D2591" s="2" t="inlineStr">
        <is>
          <t>003470</t>
        </is>
      </c>
      <c r="E2591" s="3" t="inlineStr">
        <is>
          <t xml:space="preserve">현금ㆍ현물배당결정              </t>
        </is>
      </c>
      <c r="F2591" s="3" t="inlineStr">
        <is>
          <t>유안타증권</t>
        </is>
      </c>
      <c r="G2591" s="2" t="inlineStr">
        <is>
          <t>20260305801790</t>
        </is>
      </c>
      <c r="H2591" s="8">
        <f>HYPERLINK("https://dart.fss.or.kr/dsaf001/main.do?rcpNo=20260305801790", "공시열람")</f>
        <v/>
      </c>
    </row>
    <row r="2592">
      <c r="A2592" s="2" t="inlineStr">
        <is>
          <t>2026-03-05</t>
        </is>
      </c>
      <c r="B2592" s="3" t="inlineStr">
        <is>
          <t>금호건설</t>
        </is>
      </c>
      <c r="C2592" s="2" t="inlineStr">
        <is>
          <t>코스피</t>
        </is>
      </c>
      <c r="D2592" s="2" t="inlineStr">
        <is>
          <t>002990</t>
        </is>
      </c>
      <c r="E2592" s="3" t="inlineStr">
        <is>
          <t>의결권대리행사권유참고서류</t>
        </is>
      </c>
      <c r="F2592" s="3" t="inlineStr">
        <is>
          <t>금호건설</t>
        </is>
      </c>
      <c r="G2592" s="2" t="inlineStr">
        <is>
          <t>20260305001621</t>
        </is>
      </c>
      <c r="H2592" s="8">
        <f>HYPERLINK("https://dart.fss.or.kr/dsaf001/main.do?rcpNo=20260305001621", "공시열람")</f>
        <v/>
      </c>
    </row>
    <row r="2593">
      <c r="A2593" s="2" t="inlineStr">
        <is>
          <t>2026-03-05</t>
        </is>
      </c>
      <c r="B2593" s="3" t="inlineStr">
        <is>
          <t>미래에셋증권</t>
        </is>
      </c>
      <c r="C2593" s="2" t="inlineStr">
        <is>
          <t>코스피</t>
        </is>
      </c>
      <c r="D2593" s="2" t="inlineStr">
        <is>
          <t>006800</t>
        </is>
      </c>
      <c r="E2593" s="3" t="inlineStr">
        <is>
          <t>임원ㆍ주요주주특정증권등소유상황보고서</t>
        </is>
      </c>
      <c r="F2593" s="3" t="inlineStr">
        <is>
          <t>김화중</t>
        </is>
      </c>
      <c r="G2593" s="2" t="inlineStr">
        <is>
          <t>20260305001620</t>
        </is>
      </c>
      <c r="H2593" s="8">
        <f>HYPERLINK("https://dart.fss.or.kr/dsaf001/main.do?rcpNo=20260305001620", "공시열람")</f>
        <v/>
      </c>
    </row>
    <row r="2594">
      <c r="A2594" s="2" t="inlineStr">
        <is>
          <t>2026-03-05</t>
        </is>
      </c>
      <c r="B2594" s="3" t="inlineStr">
        <is>
          <t>애경산업</t>
        </is>
      </c>
      <c r="C2594" s="2" t="inlineStr">
        <is>
          <t>코스피</t>
        </is>
      </c>
      <c r="D2594" s="2" t="inlineStr">
        <is>
          <t>018250</t>
        </is>
      </c>
      <c r="E2594" s="3" t="inlineStr">
        <is>
          <t xml:space="preserve">기타경영사항(자율공시)              </t>
        </is>
      </c>
      <c r="F2594" s="3" t="inlineStr">
        <is>
          <t>애경산업</t>
        </is>
      </c>
      <c r="G2594" s="2" t="inlineStr">
        <is>
          <t>20260305801765</t>
        </is>
      </c>
      <c r="H2594" s="8">
        <f>HYPERLINK("https://dart.fss.or.kr/dsaf001/main.do?rcpNo=20260305801765", "공시열람")</f>
        <v/>
      </c>
    </row>
    <row r="2595">
      <c r="A2595" s="2" t="inlineStr">
        <is>
          <t>2026-03-05</t>
        </is>
      </c>
      <c r="B2595" s="3" t="inlineStr">
        <is>
          <t>두산에너빌리티</t>
        </is>
      </c>
      <c r="C2595" s="2" t="inlineStr">
        <is>
          <t>코스피</t>
        </is>
      </c>
      <c r="D2595" s="2" t="inlineStr">
        <is>
          <t>034020</t>
        </is>
      </c>
      <c r="E2595" s="3" t="inlineStr">
        <is>
          <t>임원ㆍ주요주주특정증권등소유상황보고서</t>
        </is>
      </c>
      <c r="F2595" s="3" t="inlineStr">
        <is>
          <t>홍성명</t>
        </is>
      </c>
      <c r="G2595" s="2" t="inlineStr">
        <is>
          <t>20260305001619</t>
        </is>
      </c>
      <c r="H2595" s="8">
        <f>HYPERLINK("https://dart.fss.or.kr/dsaf001/main.do?rcpNo=20260305001619", "공시열람")</f>
        <v/>
      </c>
    </row>
    <row r="2596">
      <c r="A2596" s="2" t="inlineStr">
        <is>
          <t>2026-03-05</t>
        </is>
      </c>
      <c r="B2596" s="3" t="inlineStr">
        <is>
          <t>한국전자인증</t>
        </is>
      </c>
      <c r="C2596" s="2" t="inlineStr">
        <is>
          <t>코스닥</t>
        </is>
      </c>
      <c r="D2596" s="2" t="inlineStr">
        <is>
          <t>041460</t>
        </is>
      </c>
      <c r="E2596" s="3" t="inlineStr">
        <is>
          <t xml:space="preserve">현금ㆍ현물배당결정              </t>
        </is>
      </c>
      <c r="F2596" s="3" t="inlineStr">
        <is>
          <t>한국전자인증</t>
        </is>
      </c>
      <c r="G2596" s="2" t="inlineStr">
        <is>
          <t>20260305901833</t>
        </is>
      </c>
      <c r="H2596" s="8">
        <f>HYPERLINK("https://dart.fss.or.kr/dsaf001/main.do?rcpNo=20260305901833", "공시열람")</f>
        <v/>
      </c>
    </row>
    <row r="2597">
      <c r="A2597" s="2" t="inlineStr">
        <is>
          <t>2026-03-05</t>
        </is>
      </c>
      <c r="B2597" s="3" t="inlineStr">
        <is>
          <t>화승엔터프라이즈</t>
        </is>
      </c>
      <c r="C2597" s="2" t="inlineStr">
        <is>
          <t>코스피</t>
        </is>
      </c>
      <c r="D2597" s="2" t="inlineStr">
        <is>
          <t>241590</t>
        </is>
      </c>
      <c r="E2597" s="3" t="inlineStr">
        <is>
          <t xml:space="preserve">기업가치제고계획(자율공시)              </t>
        </is>
      </c>
      <c r="F2597" s="3" t="inlineStr">
        <is>
          <t>화승엔터프라이즈</t>
        </is>
      </c>
      <c r="G2597" s="2" t="inlineStr">
        <is>
          <t>20260305801766</t>
        </is>
      </c>
      <c r="H2597" s="8">
        <f>HYPERLINK("https://dart.fss.or.kr/dsaf001/main.do?rcpNo=20260305801766", "공시열람")</f>
        <v/>
      </c>
    </row>
    <row r="2598">
      <c r="A2598" s="2" t="inlineStr">
        <is>
          <t>2026-03-05</t>
        </is>
      </c>
      <c r="B2598" s="3" t="inlineStr">
        <is>
          <t>대웅</t>
        </is>
      </c>
      <c r="C2598" s="2" t="inlineStr">
        <is>
          <t>코스피</t>
        </is>
      </c>
      <c r="D2598" s="2" t="inlineStr">
        <is>
          <t>003090</t>
        </is>
      </c>
      <c r="E2598" s="3" t="inlineStr">
        <is>
          <t xml:space="preserve">투자판단관련주요경영사항(자회사의 주요경영사항)              </t>
        </is>
      </c>
      <c r="F2598" s="3" t="inlineStr">
        <is>
          <t>대웅</t>
        </is>
      </c>
      <c r="G2598" s="2" t="inlineStr">
        <is>
          <t>20260305801834</t>
        </is>
      </c>
      <c r="H2598" s="8">
        <f>HYPERLINK("https://dart.fss.or.kr/dsaf001/main.do?rcpNo=20260305801834", "공시열람")</f>
        <v/>
      </c>
    </row>
    <row r="2599">
      <c r="A2599" s="2" t="inlineStr">
        <is>
          <t>2026-03-05 (정정: 2026-03-09)</t>
        </is>
      </c>
      <c r="B2599" s="3" t="inlineStr">
        <is>
          <t>동국씨엠</t>
        </is>
      </c>
      <c r="C2599" s="2" t="inlineStr">
        <is>
          <t>코스피</t>
        </is>
      </c>
      <c r="D2599" s="2" t="inlineStr">
        <is>
          <t>460850</t>
        </is>
      </c>
      <c r="E2599" s="3" t="inlineStr">
        <is>
          <t>임원ㆍ주요주주특정증권등거래계획보고서 (정정: 20260309)</t>
        </is>
      </c>
      <c r="F2599" s="3" t="inlineStr">
        <is>
          <t>동국홀딩스</t>
        </is>
      </c>
      <c r="G2599" s="2" t="inlineStr">
        <is>
          <t>20260309801556</t>
        </is>
      </c>
      <c r="H2599" s="8">
        <f>HYPERLINK("https://dart.fss.or.kr/dsaf001/main.do?rcpNo=20260309801556", "공시열람")</f>
        <v/>
      </c>
    </row>
    <row r="2600">
      <c r="A2600" s="2" t="inlineStr">
        <is>
          <t>2026-03-05</t>
        </is>
      </c>
      <c r="B2600" s="3" t="inlineStr">
        <is>
          <t>미래에셋증권</t>
        </is>
      </c>
      <c r="C2600" s="2" t="inlineStr">
        <is>
          <t>코스피</t>
        </is>
      </c>
      <c r="D2600" s="2" t="inlineStr">
        <is>
          <t>006800</t>
        </is>
      </c>
      <c r="E2600" s="3" t="inlineStr">
        <is>
          <t>임원ㆍ주요주주특정증권등소유상황보고서</t>
        </is>
      </c>
      <c r="F2600" s="3" t="inlineStr">
        <is>
          <t>문치봉</t>
        </is>
      </c>
      <c r="G2600" s="2" t="inlineStr">
        <is>
          <t>20260305001614</t>
        </is>
      </c>
      <c r="H2600" s="8">
        <f>HYPERLINK("https://dart.fss.or.kr/dsaf001/main.do?rcpNo=20260305001614", "공시열람")</f>
        <v/>
      </c>
    </row>
    <row r="2601">
      <c r="A2601" s="2" t="inlineStr">
        <is>
          <t>2026-03-05</t>
        </is>
      </c>
      <c r="B2601" s="3" t="inlineStr">
        <is>
          <t>두산에너빌리티</t>
        </is>
      </c>
      <c r="C2601" s="2" t="inlineStr">
        <is>
          <t>코스피</t>
        </is>
      </c>
      <c r="D2601" s="2" t="inlineStr">
        <is>
          <t>034020</t>
        </is>
      </c>
      <c r="E2601" s="3" t="inlineStr">
        <is>
          <t>임원ㆍ주요주주특정증권등소유상황보고서</t>
        </is>
      </c>
      <c r="F2601" s="3" t="inlineStr">
        <is>
          <t>정영칠</t>
        </is>
      </c>
      <c r="G2601" s="2" t="inlineStr">
        <is>
          <t>20260305001613</t>
        </is>
      </c>
      <c r="H2601" s="8">
        <f>HYPERLINK("https://dart.fss.or.kr/dsaf001/main.do?rcpNo=20260305001613", "공시열람")</f>
        <v/>
      </c>
    </row>
    <row r="2602">
      <c r="A2602" s="2" t="inlineStr">
        <is>
          <t>2026-03-05</t>
        </is>
      </c>
      <c r="B2602" s="3" t="inlineStr">
        <is>
          <t>화승인더스트리</t>
        </is>
      </c>
      <c r="C2602" s="2" t="inlineStr">
        <is>
          <t>코스피</t>
        </is>
      </c>
      <c r="D2602" s="2" t="inlineStr">
        <is>
          <t>006060</t>
        </is>
      </c>
      <c r="E2602" s="3" t="inlineStr">
        <is>
          <t xml:space="preserve">기업가치제고계획(자율공시)              </t>
        </is>
      </c>
      <c r="F2602" s="3" t="inlineStr">
        <is>
          <t>화승인더스트리</t>
        </is>
      </c>
      <c r="G2602" s="2" t="inlineStr">
        <is>
          <t>20260305801749</t>
        </is>
      </c>
      <c r="H2602" s="8">
        <f>HYPERLINK("https://dart.fss.or.kr/dsaf001/main.do?rcpNo=20260305801749", "공시열람")</f>
        <v/>
      </c>
    </row>
    <row r="2603">
      <c r="A2603" s="2" t="inlineStr">
        <is>
          <t>2026-03-05</t>
        </is>
      </c>
      <c r="B2603" s="3" t="inlineStr">
        <is>
          <t>아바텍</t>
        </is>
      </c>
      <c r="C2603" s="2" t="inlineStr">
        <is>
          <t>코스닥</t>
        </is>
      </c>
      <c r="D2603" s="2" t="inlineStr">
        <is>
          <t>149950</t>
        </is>
      </c>
      <c r="E2603" s="3" t="inlineStr">
        <is>
          <t>의결권대리행사권유참고서류</t>
        </is>
      </c>
      <c r="F2603" s="3" t="inlineStr">
        <is>
          <t>아바텍</t>
        </is>
      </c>
      <c r="G2603" s="2" t="inlineStr">
        <is>
          <t>20260305001611</t>
        </is>
      </c>
      <c r="H2603" s="8">
        <f>HYPERLINK("https://dart.fss.or.kr/dsaf001/main.do?rcpNo=20260305001611", "공시열람")</f>
        <v/>
      </c>
    </row>
    <row r="2604">
      <c r="A2604" s="2" t="inlineStr">
        <is>
          <t>2026-03-05</t>
        </is>
      </c>
      <c r="B2604" s="3" t="inlineStr">
        <is>
          <t>AK홀딩스</t>
        </is>
      </c>
      <c r="C2604" s="2" t="inlineStr">
        <is>
          <t>코스피</t>
        </is>
      </c>
      <c r="D2604" s="2" t="inlineStr">
        <is>
          <t>006840</t>
        </is>
      </c>
      <c r="E2604" s="3" t="inlineStr">
        <is>
          <t xml:space="preserve">현금ㆍ현물배당결정(자회사의 주요경영사항)              </t>
        </is>
      </c>
      <c r="F2604" s="3" t="inlineStr">
        <is>
          <t>AK홀딩스</t>
        </is>
      </c>
      <c r="G2604" s="2" t="inlineStr">
        <is>
          <t>20260305801775</t>
        </is>
      </c>
      <c r="H2604" s="8">
        <f>HYPERLINK("https://dart.fss.or.kr/dsaf001/main.do?rcpNo=20260305801775", "공시열람")</f>
        <v/>
      </c>
    </row>
    <row r="2605">
      <c r="A2605" s="2" t="inlineStr">
        <is>
          <t>2026-03-05 (정정: 2026-05-20)</t>
        </is>
      </c>
      <c r="B2605" s="3" t="inlineStr">
        <is>
          <t>대웅제약</t>
        </is>
      </c>
      <c r="C2605" s="2" t="inlineStr">
        <is>
          <t>코스피</t>
        </is>
      </c>
      <c r="D2605" s="2" t="inlineStr">
        <is>
          <t>069620</t>
        </is>
      </c>
      <c r="E2605" s="3" t="inlineStr">
        <is>
          <t>투자판단관련주요경영사항               (정정: 20260520)</t>
        </is>
      </c>
      <c r="F2605" s="3" t="inlineStr">
        <is>
          <t>대웅제약</t>
        </is>
      </c>
      <c r="G2605" s="2" t="inlineStr">
        <is>
          <t>20260520800756</t>
        </is>
      </c>
      <c r="H2605" s="8">
        <f>HYPERLINK("https://dart.fss.or.kr/dsaf001/main.do?rcpNo=20260520800756", "공시열람")</f>
        <v/>
      </c>
    </row>
    <row r="2606">
      <c r="A2606" s="2" t="inlineStr">
        <is>
          <t>2026-03-05</t>
        </is>
      </c>
      <c r="B2606" s="3" t="inlineStr">
        <is>
          <t>동성화인텍</t>
        </is>
      </c>
      <c r="C2606" s="2" t="inlineStr">
        <is>
          <t>코스닥</t>
        </is>
      </c>
      <c r="D2606" s="2" t="inlineStr">
        <is>
          <t>033500</t>
        </is>
      </c>
      <c r="E2606" s="3" t="inlineStr">
        <is>
          <t>의결권대리행사권유참고서류</t>
        </is>
      </c>
      <c r="F2606" s="3" t="inlineStr">
        <is>
          <t>동성화인텍</t>
        </is>
      </c>
      <c r="G2606" s="2" t="inlineStr">
        <is>
          <t>20260305001608</t>
        </is>
      </c>
      <c r="H2606" s="8">
        <f>HYPERLINK("https://dart.fss.or.kr/dsaf001/main.do?rcpNo=20260305001608", "공시열람")</f>
        <v/>
      </c>
    </row>
    <row r="2607">
      <c r="A2607" s="2" t="inlineStr">
        <is>
          <t>2026-03-05</t>
        </is>
      </c>
      <c r="B2607" s="3" t="inlineStr">
        <is>
          <t>아이티켐</t>
        </is>
      </c>
      <c r="C2607" s="2" t="inlineStr">
        <is>
          <t>코스닥</t>
        </is>
      </c>
      <c r="D2607" s="2" t="inlineStr">
        <is>
          <t>309710</t>
        </is>
      </c>
      <c r="E2607" s="3" t="inlineStr">
        <is>
          <t xml:space="preserve">매출액또는손익구조30%(대규모법인은15%)이상변동              </t>
        </is>
      </c>
      <c r="F2607" s="3" t="inlineStr">
        <is>
          <t>아이티켐</t>
        </is>
      </c>
      <c r="G2607" s="2" t="inlineStr">
        <is>
          <t>20260305901643</t>
        </is>
      </c>
      <c r="H2607" s="8">
        <f>HYPERLINK("https://dart.fss.or.kr/dsaf001/main.do?rcpNo=20260305901643", "공시열람")</f>
        <v/>
      </c>
    </row>
    <row r="2608">
      <c r="A2608" s="2" t="inlineStr">
        <is>
          <t>2026-03-05</t>
        </is>
      </c>
      <c r="B2608" s="3" t="inlineStr">
        <is>
          <t>두산에너빌리티</t>
        </is>
      </c>
      <c r="C2608" s="2" t="inlineStr">
        <is>
          <t>코스피</t>
        </is>
      </c>
      <c r="D2608" s="2" t="inlineStr">
        <is>
          <t>034020</t>
        </is>
      </c>
      <c r="E2608" s="3" t="inlineStr">
        <is>
          <t>임원ㆍ주요주주특정증권등소유상황보고서</t>
        </is>
      </c>
      <c r="F2608" s="3" t="inlineStr">
        <is>
          <t>임광재</t>
        </is>
      </c>
      <c r="G2608" s="2" t="inlineStr">
        <is>
          <t>20260305001606</t>
        </is>
      </c>
      <c r="H2608" s="8">
        <f>HYPERLINK("https://dart.fss.or.kr/dsaf001/main.do?rcpNo=20260305001606", "공시열람")</f>
        <v/>
      </c>
    </row>
    <row r="2609">
      <c r="A2609" s="2" t="inlineStr">
        <is>
          <t>2026-03-05</t>
        </is>
      </c>
      <c r="B2609" s="3" t="inlineStr">
        <is>
          <t>셀리드</t>
        </is>
      </c>
      <c r="C2609" s="2" t="inlineStr">
        <is>
          <t>코스닥</t>
        </is>
      </c>
      <c r="D2609" s="2" t="inlineStr">
        <is>
          <t>299660</t>
        </is>
      </c>
      <c r="E2609" s="3" t="inlineStr">
        <is>
          <t xml:space="preserve">매출액또는손익구조30%(대규모법인은15%)이상변동              </t>
        </is>
      </c>
      <c r="F2609" s="3" t="inlineStr">
        <is>
          <t>셀리드</t>
        </is>
      </c>
      <c r="G2609" s="2" t="inlineStr">
        <is>
          <t>20260305901809</t>
        </is>
      </c>
      <c r="H2609" s="8">
        <f>HYPERLINK("https://dart.fss.or.kr/dsaf001/main.do?rcpNo=20260305901809", "공시열람")</f>
        <v/>
      </c>
    </row>
    <row r="2610">
      <c r="A2610" s="2" t="inlineStr">
        <is>
          <t>2026-03-05</t>
        </is>
      </c>
      <c r="B2610" s="3" t="inlineStr">
        <is>
          <t>AK홀딩스</t>
        </is>
      </c>
      <c r="C2610" s="2" t="inlineStr">
        <is>
          <t>코스피</t>
        </is>
      </c>
      <c r="D2610" s="2" t="inlineStr">
        <is>
          <t>006840</t>
        </is>
      </c>
      <c r="E2610" s="3" t="inlineStr">
        <is>
          <t xml:space="preserve">현금ㆍ현물배당을위한주주명부폐쇄(기준일)결정(자회사의 주요경영사항)              </t>
        </is>
      </c>
      <c r="F2610" s="3" t="inlineStr">
        <is>
          <t>AK홀딩스</t>
        </is>
      </c>
      <c r="G2610" s="2" t="inlineStr">
        <is>
          <t>20260305801772</t>
        </is>
      </c>
      <c r="H2610" s="8">
        <f>HYPERLINK("https://dart.fss.or.kr/dsaf001/main.do?rcpNo=20260305801772", "공시열람")</f>
        <v/>
      </c>
    </row>
    <row r="2611">
      <c r="A2611" s="2" t="inlineStr">
        <is>
          <t>2026-03-05</t>
        </is>
      </c>
      <c r="B2611" s="3" t="inlineStr">
        <is>
          <t>미래에셋증권</t>
        </is>
      </c>
      <c r="C2611" s="2" t="inlineStr">
        <is>
          <t>코스피</t>
        </is>
      </c>
      <c r="D2611" s="2" t="inlineStr">
        <is>
          <t>006800</t>
        </is>
      </c>
      <c r="E2611" s="3" t="inlineStr">
        <is>
          <t>임원ㆍ주요주주특정증권등소유상황보고서</t>
        </is>
      </c>
      <c r="F2611" s="3" t="inlineStr">
        <is>
          <t>여재동</t>
        </is>
      </c>
      <c r="G2611" s="2" t="inlineStr">
        <is>
          <t>20260305001602</t>
        </is>
      </c>
      <c r="H2611" s="8">
        <f>HYPERLINK("https://dart.fss.or.kr/dsaf001/main.do?rcpNo=20260305001602", "공시열람")</f>
        <v/>
      </c>
    </row>
    <row r="2612">
      <c r="A2612" s="2" t="inlineStr">
        <is>
          <t>2026-03-05</t>
        </is>
      </c>
      <c r="B2612" s="3" t="inlineStr">
        <is>
          <t>롯데쇼핑</t>
        </is>
      </c>
      <c r="C2612" s="2" t="inlineStr">
        <is>
          <t>코스피</t>
        </is>
      </c>
      <c r="D2612" s="2" t="inlineStr">
        <is>
          <t>023530</t>
        </is>
      </c>
      <c r="E2612" s="3" t="inlineStr">
        <is>
          <t>의결권대리행사권유참고서류</t>
        </is>
      </c>
      <c r="F2612" s="3" t="inlineStr">
        <is>
          <t>롯데쇼핑</t>
        </is>
      </c>
      <c r="G2612" s="2" t="inlineStr">
        <is>
          <t>20260305001600</t>
        </is>
      </c>
      <c r="H2612" s="8">
        <f>HYPERLINK("https://dart.fss.or.kr/dsaf001/main.do?rcpNo=20260305001600", "공시열람")</f>
        <v/>
      </c>
    </row>
    <row r="2613">
      <c r="A2613" s="2" t="inlineStr">
        <is>
          <t>2026-03-05</t>
        </is>
      </c>
      <c r="B2613" s="3" t="inlineStr">
        <is>
          <t>동국제강</t>
        </is>
      </c>
      <c r="C2613" s="2" t="inlineStr">
        <is>
          <t>코스피</t>
        </is>
      </c>
      <c r="D2613" s="2" t="inlineStr">
        <is>
          <t>460860</t>
        </is>
      </c>
      <c r="E2613" s="3" t="inlineStr">
        <is>
          <t>임원ㆍ주요주주특정증권등거래계획보고서</t>
        </is>
      </c>
      <c r="F2613" s="3" t="inlineStr">
        <is>
          <t>동국홀딩스</t>
        </is>
      </c>
      <c r="G2613" s="2" t="inlineStr">
        <is>
          <t>20260305001599</t>
        </is>
      </c>
      <c r="H2613" s="8">
        <f>HYPERLINK("https://dart.fss.or.kr/dsaf001/main.do?rcpNo=20260305001599", "공시열람")</f>
        <v/>
      </c>
    </row>
    <row r="2614">
      <c r="A2614" s="2" t="inlineStr">
        <is>
          <t>2026-03-05 (정정: 2026-03-10)</t>
        </is>
      </c>
      <c r="B2614" s="3" t="inlineStr">
        <is>
          <t>미투온</t>
        </is>
      </c>
      <c r="C2614" s="2" t="inlineStr">
        <is>
          <t>코스닥</t>
        </is>
      </c>
      <c r="D2614" s="2" t="inlineStr">
        <is>
          <t>201490</t>
        </is>
      </c>
      <c r="E2614" s="3" t="inlineStr">
        <is>
          <t>[기재정정]의결권대리행사권유참고서류 (정정: 20260310) (정정: 20260310) (정정: 20260310)</t>
        </is>
      </c>
      <c r="F2614" s="3" t="inlineStr">
        <is>
          <t>미투온</t>
        </is>
      </c>
      <c r="G2614" s="2" t="inlineStr">
        <is>
          <t>20260310002868</t>
        </is>
      </c>
      <c r="H2614" s="8">
        <f>HYPERLINK("https://dart.fss.or.kr/dsaf001/main.do?rcpNo=20260310002868", "공시열람")</f>
        <v/>
      </c>
    </row>
    <row r="2615">
      <c r="A2615" s="2" t="inlineStr">
        <is>
          <t>2026-03-05 (정정: 2026-03-05)</t>
        </is>
      </c>
      <c r="B2615" s="3" t="inlineStr">
        <is>
          <t>골프존홀딩스</t>
        </is>
      </c>
      <c r="C2615" s="2" t="inlineStr">
        <is>
          <t>코스닥</t>
        </is>
      </c>
      <c r="D2615" s="2" t="inlineStr">
        <is>
          <t>121440</t>
        </is>
      </c>
      <c r="E2615" s="3" t="inlineStr">
        <is>
          <t>[기재정정]매출액또는손익구조30%(대규모법인은15%)이상변동               (정정: 20260305)</t>
        </is>
      </c>
      <c r="F2615" s="3" t="inlineStr">
        <is>
          <t>골프존홀딩스</t>
        </is>
      </c>
      <c r="G2615" s="2" t="inlineStr">
        <is>
          <t>20260305901679</t>
        </is>
      </c>
      <c r="H2615" s="8">
        <f>HYPERLINK("https://dart.fss.or.kr/dsaf001/main.do?rcpNo=20260305901679", "공시열람")</f>
        <v/>
      </c>
    </row>
    <row r="2616">
      <c r="A2616" s="2" t="inlineStr">
        <is>
          <t>2026-03-05</t>
        </is>
      </c>
      <c r="B2616" s="3" t="inlineStr">
        <is>
          <t>HS효성첨단소재</t>
        </is>
      </c>
      <c r="C2616" s="2" t="inlineStr">
        <is>
          <t>코스피</t>
        </is>
      </c>
      <c r="D2616" s="2" t="inlineStr">
        <is>
          <t>298050</t>
        </is>
      </c>
      <c r="E2616" s="3" t="inlineStr">
        <is>
          <t>의결권대리행사권유참고서류</t>
        </is>
      </c>
      <c r="F2616" s="3" t="inlineStr">
        <is>
          <t>HS효성첨단소재</t>
        </is>
      </c>
      <c r="G2616" s="2" t="inlineStr">
        <is>
          <t>20260305001595</t>
        </is>
      </c>
      <c r="H2616" s="8">
        <f>HYPERLINK("https://dart.fss.or.kr/dsaf001/main.do?rcpNo=20260305001595", "공시열람")</f>
        <v/>
      </c>
    </row>
    <row r="2617">
      <c r="A2617" s="2" t="inlineStr">
        <is>
          <t>2026-03-05</t>
        </is>
      </c>
      <c r="B2617" s="3" t="inlineStr">
        <is>
          <t>삼성전자</t>
        </is>
      </c>
      <c r="C2617" s="2" t="inlineStr">
        <is>
          <t>코스피</t>
        </is>
      </c>
      <c r="D2617" s="2" t="inlineStr">
        <is>
          <t>005930</t>
        </is>
      </c>
      <c r="E2617" s="3" t="inlineStr">
        <is>
          <t>임원ㆍ주요주주특정증권등소유상황보고서</t>
        </is>
      </c>
      <c r="F2617" s="3" t="inlineStr">
        <is>
          <t>홍창표</t>
        </is>
      </c>
      <c r="G2617" s="2" t="inlineStr">
        <is>
          <t>20260305001594</t>
        </is>
      </c>
      <c r="H2617" s="8">
        <f>HYPERLINK("https://dart.fss.or.kr/dsaf001/main.do?rcpNo=20260305001594", "공시열람")</f>
        <v/>
      </c>
    </row>
    <row r="2618">
      <c r="A2618" s="2" t="inlineStr">
        <is>
          <t>2026-03-05</t>
        </is>
      </c>
      <c r="B2618" s="3" t="inlineStr">
        <is>
          <t>하나34호스팩</t>
        </is>
      </c>
      <c r="C2618" s="2" t="inlineStr">
        <is>
          <t>코스닥</t>
        </is>
      </c>
      <c r="D2618" s="2" t="inlineStr">
        <is>
          <t>484130</t>
        </is>
      </c>
      <c r="E2618" s="3" t="inlineStr">
        <is>
          <t xml:space="preserve">감사보고서제출              </t>
        </is>
      </c>
      <c r="F2618" s="3" t="inlineStr">
        <is>
          <t>하나34호스팩</t>
        </is>
      </c>
      <c r="G2618" s="2" t="inlineStr">
        <is>
          <t>20260305901752</t>
        </is>
      </c>
      <c r="H2618" s="8">
        <f>HYPERLINK("https://dart.fss.or.kr/dsaf001/main.do?rcpNo=20260305901752", "공시열람")</f>
        <v/>
      </c>
    </row>
    <row r="2619">
      <c r="A2619" s="2" t="inlineStr">
        <is>
          <t>2026-03-05</t>
        </is>
      </c>
      <c r="B2619" s="3" t="inlineStr">
        <is>
          <t>파이온엑스</t>
        </is>
      </c>
      <c r="C2619" s="2" t="inlineStr">
        <is>
          <t>코스닥</t>
        </is>
      </c>
      <c r="D2619" s="2" t="inlineStr">
        <is>
          <t>900100</t>
        </is>
      </c>
      <c r="E2619" s="3" t="inlineStr">
        <is>
          <t>소송등의판결ㆍ결정              (신주상장금지가처분)</t>
        </is>
      </c>
      <c r="F2619" s="3" t="inlineStr">
        <is>
          <t>파이온엑스</t>
        </is>
      </c>
      <c r="G2619" s="2" t="inlineStr">
        <is>
          <t>20260305901691</t>
        </is>
      </c>
      <c r="H2619" s="8">
        <f>HYPERLINK("https://dart.fss.or.kr/dsaf001/main.do?rcpNo=20260305901691", "공시열람")</f>
        <v/>
      </c>
    </row>
    <row r="2620">
      <c r="A2620" s="2" t="inlineStr">
        <is>
          <t>2026-03-05</t>
        </is>
      </c>
      <c r="B2620" s="3" t="inlineStr">
        <is>
          <t>미래에셋증권</t>
        </is>
      </c>
      <c r="C2620" s="2" t="inlineStr">
        <is>
          <t>코스피</t>
        </is>
      </c>
      <c r="D2620" s="2" t="inlineStr">
        <is>
          <t>006800</t>
        </is>
      </c>
      <c r="E2620" s="3" t="inlineStr">
        <is>
          <t>임원ㆍ주요주주특정증권등소유상황보고서</t>
        </is>
      </c>
      <c r="F2620" s="3" t="inlineStr">
        <is>
          <t>양주원</t>
        </is>
      </c>
      <c r="G2620" s="2" t="inlineStr">
        <is>
          <t>20260305001593</t>
        </is>
      </c>
      <c r="H2620" s="8">
        <f>HYPERLINK("https://dart.fss.or.kr/dsaf001/main.do?rcpNo=20260305001593", "공시열람")</f>
        <v/>
      </c>
    </row>
    <row r="2621">
      <c r="A2621" s="2" t="inlineStr">
        <is>
          <t>2026-03-05</t>
        </is>
      </c>
      <c r="B2621" s="3" t="inlineStr">
        <is>
          <t>참좋은여행</t>
        </is>
      </c>
      <c r="C2621" s="2" t="inlineStr">
        <is>
          <t>코스닥</t>
        </is>
      </c>
      <c r="D2621" s="2" t="inlineStr">
        <is>
          <t>094850</t>
        </is>
      </c>
      <c r="E2621" s="3" t="inlineStr">
        <is>
          <t>의결권대리행사권유참고서류</t>
        </is>
      </c>
      <c r="F2621" s="3" t="inlineStr">
        <is>
          <t>참좋은여행</t>
        </is>
      </c>
      <c r="G2621" s="2" t="inlineStr">
        <is>
          <t>20260305001592</t>
        </is>
      </c>
      <c r="H2621" s="8">
        <f>HYPERLINK("https://dart.fss.or.kr/dsaf001/main.do?rcpNo=20260305001592", "공시열람")</f>
        <v/>
      </c>
    </row>
    <row r="2622">
      <c r="A2622" s="2" t="inlineStr">
        <is>
          <t>2026-03-05</t>
        </is>
      </c>
      <c r="B2622" s="3" t="inlineStr">
        <is>
          <t>미래에셋증권</t>
        </is>
      </c>
      <c r="C2622" s="2" t="inlineStr">
        <is>
          <t>코스피</t>
        </is>
      </c>
      <c r="D2622" s="2" t="inlineStr">
        <is>
          <t>006800</t>
        </is>
      </c>
      <c r="E2622" s="3" t="inlineStr">
        <is>
          <t>임원ㆍ주요주주특정증권등소유상황보고서</t>
        </is>
      </c>
      <c r="F2622" s="3" t="inlineStr">
        <is>
          <t>류희석</t>
        </is>
      </c>
      <c r="G2622" s="2" t="inlineStr">
        <is>
          <t>20260305001591</t>
        </is>
      </c>
      <c r="H2622" s="8">
        <f>HYPERLINK("https://dart.fss.or.kr/dsaf001/main.do?rcpNo=20260305001591", "공시열람")</f>
        <v/>
      </c>
    </row>
    <row r="2623">
      <c r="A2623" s="2" t="inlineStr">
        <is>
          <t>2026-03-05</t>
        </is>
      </c>
      <c r="B2623" s="3" t="inlineStr">
        <is>
          <t>HLB이노베이션</t>
        </is>
      </c>
      <c r="C2623" s="2" t="inlineStr">
        <is>
          <t>코스닥</t>
        </is>
      </c>
      <c r="D2623" s="2" t="inlineStr">
        <is>
          <t>024850</t>
        </is>
      </c>
      <c r="E2623" s="3" t="inlineStr">
        <is>
          <t xml:space="preserve">주식병합결정              </t>
        </is>
      </c>
      <c r="F2623" s="3" t="inlineStr">
        <is>
          <t>HLB이노베이션</t>
        </is>
      </c>
      <c r="G2623" s="2" t="inlineStr">
        <is>
          <t>20260305901806</t>
        </is>
      </c>
      <c r="H2623" s="8">
        <f>HYPERLINK("https://dart.fss.or.kr/dsaf001/main.do?rcpNo=20260305901806", "공시열람")</f>
        <v/>
      </c>
    </row>
    <row r="2624">
      <c r="A2624" s="2" t="inlineStr">
        <is>
          <t>2026-03-05</t>
        </is>
      </c>
      <c r="B2624" s="3" t="inlineStr">
        <is>
          <t>유틸렉스</t>
        </is>
      </c>
      <c r="C2624" s="2" t="inlineStr">
        <is>
          <t>코스닥</t>
        </is>
      </c>
      <c r="D2624" s="2" t="inlineStr">
        <is>
          <t>263050</t>
        </is>
      </c>
      <c r="E2624" s="3" t="inlineStr">
        <is>
          <t>기타시장안내              (실질심사 대상여부 결정을 위한 조사기간 연장 안내)</t>
        </is>
      </c>
      <c r="F2624" s="3" t="inlineStr">
        <is>
          <t>코스닥시장본부</t>
        </is>
      </c>
      <c r="G2624" s="2" t="inlineStr">
        <is>
          <t>20260305901785</t>
        </is>
      </c>
      <c r="H2624" s="8">
        <f>HYPERLINK("https://dart.fss.or.kr/dsaf001/main.do?rcpNo=20260305901785", "공시열람")</f>
        <v/>
      </c>
    </row>
    <row r="2625">
      <c r="A2625" s="2" t="inlineStr">
        <is>
          <t>2026-03-05</t>
        </is>
      </c>
      <c r="B2625" s="3" t="inlineStr">
        <is>
          <t>세아홀딩스</t>
        </is>
      </c>
      <c r="C2625" s="2" t="inlineStr">
        <is>
          <t>코스피</t>
        </is>
      </c>
      <c r="D2625" s="2" t="inlineStr">
        <is>
          <t>058650</t>
        </is>
      </c>
      <c r="E2625" s="3" t="inlineStr">
        <is>
          <t>[발행조건확정]증권신고서(채무증권)</t>
        </is>
      </c>
      <c r="F2625" s="3" t="inlineStr">
        <is>
          <t>세아홀딩스</t>
        </is>
      </c>
      <c r="G2625" s="2" t="inlineStr">
        <is>
          <t>20260305001583</t>
        </is>
      </c>
      <c r="H2625" s="8">
        <f>HYPERLINK("https://dart.fss.or.kr/dsaf001/main.do?rcpNo=20260305001583", "공시열람")</f>
        <v/>
      </c>
    </row>
    <row r="2626">
      <c r="A2626" s="2" t="inlineStr">
        <is>
          <t>2026-03-05</t>
        </is>
      </c>
      <c r="B2626" s="3" t="inlineStr">
        <is>
          <t>인크레더블버즈</t>
        </is>
      </c>
      <c r="C2626" s="2" t="inlineStr">
        <is>
          <t>코스닥</t>
        </is>
      </c>
      <c r="D2626" s="2" t="inlineStr">
        <is>
          <t>064090</t>
        </is>
      </c>
      <c r="E2626" s="3" t="inlineStr">
        <is>
          <t>기타시장안내              (실질심사 대상여부 결정을 위한 조사기간 연장 안내)</t>
        </is>
      </c>
      <c r="F2626" s="3" t="inlineStr">
        <is>
          <t>코스닥시장본부</t>
        </is>
      </c>
      <c r="G2626" s="2" t="inlineStr">
        <is>
          <t>20260305901783</t>
        </is>
      </c>
      <c r="H2626" s="8">
        <f>HYPERLINK("https://dart.fss.or.kr/dsaf001/main.do?rcpNo=20260305901783", "공시열람")</f>
        <v/>
      </c>
    </row>
    <row r="2627">
      <c r="A2627" s="2" t="inlineStr">
        <is>
          <t>2026-03-05</t>
        </is>
      </c>
      <c r="B2627" s="3" t="inlineStr">
        <is>
          <t>인크로스</t>
        </is>
      </c>
      <c r="C2627" s="2" t="inlineStr">
        <is>
          <t>코스닥</t>
        </is>
      </c>
      <c r="D2627" s="2" t="inlineStr">
        <is>
          <t>216050</t>
        </is>
      </c>
      <c r="E2627" s="3" t="inlineStr">
        <is>
          <t>주식매수선택권부여에관한신고</t>
        </is>
      </c>
      <c r="F2627" s="3" t="inlineStr">
        <is>
          <t>인크로스</t>
        </is>
      </c>
      <c r="G2627" s="2" t="inlineStr">
        <is>
          <t>20260305001582</t>
        </is>
      </c>
      <c r="H2627" s="8">
        <f>HYPERLINK("https://dart.fss.or.kr/dsaf001/main.do?rcpNo=20260305001582", "공시열람")</f>
        <v/>
      </c>
    </row>
    <row r="2628">
      <c r="A2628" s="2" t="inlineStr">
        <is>
          <t>2026-03-05</t>
        </is>
      </c>
      <c r="B2628" s="3" t="inlineStr">
        <is>
          <t>유진증권</t>
        </is>
      </c>
      <c r="C2628" s="2" t="inlineStr">
        <is>
          <t>코스피</t>
        </is>
      </c>
      <c r="D2628" s="2" t="inlineStr">
        <is>
          <t>001200</t>
        </is>
      </c>
      <c r="E2628" s="3" t="inlineStr">
        <is>
          <t xml:space="preserve">현금ㆍ현물배당결정              </t>
        </is>
      </c>
      <c r="F2628" s="3" t="inlineStr">
        <is>
          <t>유진증권</t>
        </is>
      </c>
      <c r="G2628" s="2" t="inlineStr">
        <is>
          <t>20260305801715</t>
        </is>
      </c>
      <c r="H2628" s="8">
        <f>HYPERLINK("https://dart.fss.or.kr/dsaf001/main.do?rcpNo=20260305801715", "공시열람")</f>
        <v/>
      </c>
    </row>
    <row r="2629">
      <c r="A2629" s="2" t="inlineStr">
        <is>
          <t>2026-03-05</t>
        </is>
      </c>
      <c r="B2629" s="3" t="inlineStr">
        <is>
          <t>우리금융지주</t>
        </is>
      </c>
      <c r="C2629" s="2" t="inlineStr">
        <is>
          <t>코스피</t>
        </is>
      </c>
      <c r="D2629" s="2" t="inlineStr">
        <is>
          <t>316140</t>
        </is>
      </c>
      <c r="E2629" s="3" t="inlineStr">
        <is>
          <t>투자설명서(일괄신고)</t>
        </is>
      </c>
      <c r="F2629" s="3" t="inlineStr">
        <is>
          <t>우리금융지주</t>
        </is>
      </c>
      <c r="G2629" s="2" t="inlineStr">
        <is>
          <t>20260305001579</t>
        </is>
      </c>
      <c r="H2629" s="8">
        <f>HYPERLINK("https://dart.fss.or.kr/dsaf001/main.do?rcpNo=20260305001579", "공시열람")</f>
        <v/>
      </c>
    </row>
    <row r="2630">
      <c r="A2630" s="2" t="inlineStr">
        <is>
          <t>2026-03-05</t>
        </is>
      </c>
      <c r="B2630" s="3" t="inlineStr">
        <is>
          <t>애경산업</t>
        </is>
      </c>
      <c r="C2630" s="2" t="inlineStr">
        <is>
          <t>코스피</t>
        </is>
      </c>
      <c r="D2630" s="2" t="inlineStr">
        <is>
          <t>018250</t>
        </is>
      </c>
      <c r="E2630" s="3" t="inlineStr">
        <is>
          <t xml:space="preserve">현금ㆍ현물배당결정              </t>
        </is>
      </c>
      <c r="F2630" s="3" t="inlineStr">
        <is>
          <t>애경산업</t>
        </is>
      </c>
      <c r="G2630" s="2" t="inlineStr">
        <is>
          <t>20260305801718</t>
        </is>
      </c>
      <c r="H2630" s="8">
        <f>HYPERLINK("https://dart.fss.or.kr/dsaf001/main.do?rcpNo=20260305801718", "공시열람")</f>
        <v/>
      </c>
    </row>
    <row r="2631">
      <c r="A2631" s="2" t="inlineStr">
        <is>
          <t>2026-03-05 (정정: 2026-03-11)</t>
        </is>
      </c>
      <c r="B2631" s="3" t="inlineStr">
        <is>
          <t>현대코퍼레이션</t>
        </is>
      </c>
      <c r="C2631" s="2" t="inlineStr">
        <is>
          <t>코스피</t>
        </is>
      </c>
      <c r="D2631" s="2" t="inlineStr">
        <is>
          <t>011760</t>
        </is>
      </c>
      <c r="E2631" s="3" t="inlineStr">
        <is>
          <t>증권신고서(채무증권) (정정: 20260311)</t>
        </is>
      </c>
      <c r="F2631" s="3" t="inlineStr">
        <is>
          <t>현대코퍼레이션</t>
        </is>
      </c>
      <c r="G2631" s="2" t="inlineStr">
        <is>
          <t>20260311004412</t>
        </is>
      </c>
      <c r="H2631" s="8">
        <f>HYPERLINK("https://dart.fss.or.kr/dsaf001/main.do?rcpNo=20260311004412", "공시열람")</f>
        <v/>
      </c>
    </row>
    <row r="2632">
      <c r="A2632" s="2" t="inlineStr">
        <is>
          <t>2026-03-05</t>
        </is>
      </c>
      <c r="B2632" s="3" t="inlineStr">
        <is>
          <t>주성엔지니어링</t>
        </is>
      </c>
      <c r="C2632" s="2" t="inlineStr">
        <is>
          <t>코스닥</t>
        </is>
      </c>
      <c r="D2632" s="2" t="inlineStr">
        <is>
          <t>036930</t>
        </is>
      </c>
      <c r="E2632" s="3" t="inlineStr">
        <is>
          <t>의결권대리행사권유참고서류</t>
        </is>
      </c>
      <c r="F2632" s="3" t="inlineStr">
        <is>
          <t>주성엔지니어링</t>
        </is>
      </c>
      <c r="G2632" s="2" t="inlineStr">
        <is>
          <t>20260305001574</t>
        </is>
      </c>
      <c r="H2632" s="8">
        <f>HYPERLINK("https://dart.fss.or.kr/dsaf001/main.do?rcpNo=20260305001574", "공시열람")</f>
        <v/>
      </c>
    </row>
    <row r="2633">
      <c r="A2633" s="2" t="inlineStr">
        <is>
          <t>2026-03-05 (정정: 2026-03-05)</t>
        </is>
      </c>
      <c r="B2633" s="3" t="inlineStr">
        <is>
          <t>애경산업</t>
        </is>
      </c>
      <c r="C2633" s="2" t="inlineStr">
        <is>
          <t>코스피</t>
        </is>
      </c>
      <c r="D2633" s="2" t="inlineStr">
        <is>
          <t>018250</t>
        </is>
      </c>
      <c r="E2633" s="3" t="inlineStr">
        <is>
          <t>현금ㆍ현물배당을위한주주명부폐쇄(기준일)결정               (정정: 20260305) (정정: 20260305)</t>
        </is>
      </c>
      <c r="F2633" s="3" t="inlineStr">
        <is>
          <t>애경산업</t>
        </is>
      </c>
      <c r="G2633" s="2" t="inlineStr">
        <is>
          <t>20260305801614</t>
        </is>
      </c>
      <c r="H2633" s="8">
        <f>HYPERLINK("https://dart.fss.or.kr/dsaf001/main.do?rcpNo=20260305801614", "공시열람")</f>
        <v/>
      </c>
    </row>
    <row r="2634">
      <c r="A2634" s="2" t="inlineStr">
        <is>
          <t>2026-03-05</t>
        </is>
      </c>
      <c r="B2634" s="3" t="inlineStr">
        <is>
          <t>셀리드</t>
        </is>
      </c>
      <c r="C2634" s="2" t="inlineStr">
        <is>
          <t>코스닥</t>
        </is>
      </c>
      <c r="D2634" s="2" t="inlineStr">
        <is>
          <t>299660</t>
        </is>
      </c>
      <c r="E2634" s="3" t="inlineStr">
        <is>
          <t>주식매수선택권부여에관한신고</t>
        </is>
      </c>
      <c r="F2634" s="3" t="inlineStr">
        <is>
          <t>셀리드</t>
        </is>
      </c>
      <c r="G2634" s="2" t="inlineStr">
        <is>
          <t>20260305001571</t>
        </is>
      </c>
      <c r="H2634" s="8">
        <f>HYPERLINK("https://dart.fss.or.kr/dsaf001/main.do?rcpNo=20260305001571", "공시열람")</f>
        <v/>
      </c>
    </row>
    <row r="2635">
      <c r="A2635" s="2" t="inlineStr">
        <is>
          <t>2026-03-05</t>
        </is>
      </c>
      <c r="B2635" s="3" t="inlineStr">
        <is>
          <t>두산밥캣</t>
        </is>
      </c>
      <c r="C2635" s="2" t="inlineStr">
        <is>
          <t>코스피</t>
        </is>
      </c>
      <c r="D2635" s="2" t="inlineStr">
        <is>
          <t>241560</t>
        </is>
      </c>
      <c r="E2635" s="3" t="inlineStr">
        <is>
          <t>임원ㆍ주요주주특정증권등소유상황보고서</t>
        </is>
      </c>
      <c r="F2635" s="3" t="inlineStr">
        <is>
          <t>박병준</t>
        </is>
      </c>
      <c r="G2635" s="2" t="inlineStr">
        <is>
          <t>20260305001570</t>
        </is>
      </c>
      <c r="H2635" s="8">
        <f>HYPERLINK("https://dart.fss.or.kr/dsaf001/main.do?rcpNo=20260305001570", "공시열람")</f>
        <v/>
      </c>
    </row>
    <row r="2636">
      <c r="A2636" s="2" t="inlineStr">
        <is>
          <t>2026-03-05</t>
        </is>
      </c>
      <c r="B2636" s="3" t="inlineStr">
        <is>
          <t>금호건설</t>
        </is>
      </c>
      <c r="C2636" s="2" t="inlineStr">
        <is>
          <t>코스피</t>
        </is>
      </c>
      <c r="D2636" s="2" t="inlineStr">
        <is>
          <t>002990</t>
        </is>
      </c>
      <c r="E2636" s="3" t="inlineStr">
        <is>
          <t xml:space="preserve">현금ㆍ현물배당을위한주주명부폐쇄(기준일)결정              </t>
        </is>
      </c>
      <c r="F2636" s="3" t="inlineStr">
        <is>
          <t>금호건설</t>
        </is>
      </c>
      <c r="G2636" s="2" t="inlineStr">
        <is>
          <t>20260305801698</t>
        </is>
      </c>
      <c r="H2636" s="8">
        <f>HYPERLINK("https://dart.fss.or.kr/dsaf001/main.do?rcpNo=20260305801698", "공시열람")</f>
        <v/>
      </c>
    </row>
    <row r="2637">
      <c r="A2637" s="2" t="inlineStr">
        <is>
          <t>2026-03-05</t>
        </is>
      </c>
      <c r="B2637" s="3" t="inlineStr">
        <is>
          <t>두산에너빌리티</t>
        </is>
      </c>
      <c r="C2637" s="2" t="inlineStr">
        <is>
          <t>코스피</t>
        </is>
      </c>
      <c r="D2637" s="2" t="inlineStr">
        <is>
          <t>034020</t>
        </is>
      </c>
      <c r="E2637" s="3" t="inlineStr">
        <is>
          <t>임원ㆍ주요주주특정증권등소유상황보고서</t>
        </is>
      </c>
      <c r="F2637" s="3" t="inlineStr">
        <is>
          <t>이성열</t>
        </is>
      </c>
      <c r="G2637" s="2" t="inlineStr">
        <is>
          <t>20260305001568</t>
        </is>
      </c>
      <c r="H2637" s="8">
        <f>HYPERLINK("https://dart.fss.or.kr/dsaf001/main.do?rcpNo=20260305001568", "공시열람")</f>
        <v/>
      </c>
    </row>
    <row r="2638">
      <c r="A2638" s="2" t="inlineStr">
        <is>
          <t>2026-03-05</t>
        </is>
      </c>
      <c r="B2638" s="3" t="inlineStr">
        <is>
          <t>유안타증권</t>
        </is>
      </c>
      <c r="C2638" s="2" t="inlineStr">
        <is>
          <t>코스피</t>
        </is>
      </c>
      <c r="D2638" s="2" t="inlineStr">
        <is>
          <t>003470</t>
        </is>
      </c>
      <c r="E2638" s="3" t="inlineStr">
        <is>
          <t xml:space="preserve">현금ㆍ현물배당을위한주주명부폐쇄(기준일)결정              </t>
        </is>
      </c>
      <c r="F2638" s="3" t="inlineStr">
        <is>
          <t>유안타증권</t>
        </is>
      </c>
      <c r="G2638" s="2" t="inlineStr">
        <is>
          <t>20260305801695</t>
        </is>
      </c>
      <c r="H2638" s="8">
        <f>HYPERLINK("https://dart.fss.or.kr/dsaf001/main.do?rcpNo=20260305801695", "공시열람")</f>
        <v/>
      </c>
    </row>
    <row r="2639">
      <c r="A2639" s="2" t="inlineStr">
        <is>
          <t>2026-03-05</t>
        </is>
      </c>
      <c r="B2639" s="3" t="inlineStr">
        <is>
          <t>오름테라퓨틱</t>
        </is>
      </c>
      <c r="C2639" s="2" t="inlineStr">
        <is>
          <t>코스닥</t>
        </is>
      </c>
      <c r="D2639" s="2" t="inlineStr">
        <is>
          <t>475830</t>
        </is>
      </c>
      <c r="E2639" s="3" t="inlineStr">
        <is>
          <t xml:space="preserve">매출액또는손익구조30%(대규모법인은15%)이상변동              </t>
        </is>
      </c>
      <c r="F2639" s="3" t="inlineStr">
        <is>
          <t>오름테라퓨틱</t>
        </is>
      </c>
      <c r="G2639" s="2" t="inlineStr">
        <is>
          <t>20260305901642</t>
        </is>
      </c>
      <c r="H2639" s="8">
        <f>HYPERLINK("https://dart.fss.or.kr/dsaf001/main.do?rcpNo=20260305901642", "공시열람")</f>
        <v/>
      </c>
    </row>
    <row r="2640">
      <c r="A2640" s="2" t="inlineStr">
        <is>
          <t>2026-03-05</t>
        </is>
      </c>
      <c r="B2640" s="3" t="inlineStr">
        <is>
          <t>국도화학</t>
        </is>
      </c>
      <c r="C2640" s="2" t="inlineStr">
        <is>
          <t>코스피</t>
        </is>
      </c>
      <c r="D2640" s="2" t="inlineStr">
        <is>
          <t>007690</t>
        </is>
      </c>
      <c r="E2640" s="3" t="inlineStr">
        <is>
          <t xml:space="preserve">감사보고서제출              </t>
        </is>
      </c>
      <c r="F2640" s="3" t="inlineStr">
        <is>
          <t>국도화학</t>
        </is>
      </c>
      <c r="G2640" s="2" t="inlineStr">
        <is>
          <t>20260305801545</t>
        </is>
      </c>
      <c r="H2640" s="8">
        <f>HYPERLINK("https://dart.fss.or.kr/dsaf001/main.do?rcpNo=20260305801545", "공시열람")</f>
        <v/>
      </c>
    </row>
    <row r="2641">
      <c r="A2641" s="2" t="inlineStr">
        <is>
          <t>2026-03-05</t>
        </is>
      </c>
      <c r="B2641" s="3" t="inlineStr">
        <is>
          <t>하나35호스팩</t>
        </is>
      </c>
      <c r="C2641" s="2" t="inlineStr">
        <is>
          <t>코스닥</t>
        </is>
      </c>
      <c r="D2641" s="2" t="inlineStr">
        <is>
          <t>0041L0</t>
        </is>
      </c>
      <c r="E2641" s="3" t="inlineStr">
        <is>
          <t>의결권대리행사권유참고서류</t>
        </is>
      </c>
      <c r="F2641" s="3" t="inlineStr">
        <is>
          <t>하나35호스팩</t>
        </is>
      </c>
      <c r="G2641" s="2" t="inlineStr">
        <is>
          <t>20260305001567</t>
        </is>
      </c>
      <c r="H2641" s="8">
        <f>HYPERLINK("https://dart.fss.or.kr/dsaf001/main.do?rcpNo=20260305001567", "공시열람")</f>
        <v/>
      </c>
    </row>
    <row r="2642">
      <c r="A2642" s="2" t="inlineStr">
        <is>
          <t>2026-03-05</t>
        </is>
      </c>
      <c r="B2642" s="3" t="inlineStr">
        <is>
          <t>미래에셋증권</t>
        </is>
      </c>
      <c r="C2642" s="2" t="inlineStr">
        <is>
          <t>코스피</t>
        </is>
      </c>
      <c r="D2642" s="2" t="inlineStr">
        <is>
          <t>006800</t>
        </is>
      </c>
      <c r="E2642" s="3" t="inlineStr">
        <is>
          <t>임원ㆍ주요주주특정증권등소유상황보고서</t>
        </is>
      </c>
      <c r="F2642" s="3" t="inlineStr">
        <is>
          <t>양은석</t>
        </is>
      </c>
      <c r="G2642" s="2" t="inlineStr">
        <is>
          <t>20260305001565</t>
        </is>
      </c>
      <c r="H2642" s="8">
        <f>HYPERLINK("https://dart.fss.or.kr/dsaf001/main.do?rcpNo=20260305001565", "공시열람")</f>
        <v/>
      </c>
    </row>
    <row r="2643">
      <c r="A2643" s="2" t="inlineStr">
        <is>
          <t>2026-03-05</t>
        </is>
      </c>
      <c r="B2643" s="3" t="inlineStr">
        <is>
          <t>HS효성</t>
        </is>
      </c>
      <c r="C2643" s="2" t="inlineStr">
        <is>
          <t>코스피</t>
        </is>
      </c>
      <c r="D2643" s="2" t="inlineStr">
        <is>
          <t>487570</t>
        </is>
      </c>
      <c r="E2643" s="3" t="inlineStr">
        <is>
          <t>의결권대리행사권유참고서류</t>
        </is>
      </c>
      <c r="F2643" s="3" t="inlineStr">
        <is>
          <t>HS효성</t>
        </is>
      </c>
      <c r="G2643" s="2" t="inlineStr">
        <is>
          <t>20260305001563</t>
        </is>
      </c>
      <c r="H2643" s="8">
        <f>HYPERLINK("https://dart.fss.or.kr/dsaf001/main.do?rcpNo=20260305001563", "공시열람")</f>
        <v/>
      </c>
    </row>
    <row r="2644">
      <c r="A2644" s="2" t="inlineStr">
        <is>
          <t>2026-03-05</t>
        </is>
      </c>
      <c r="B2644" s="3" t="inlineStr">
        <is>
          <t>두산에너빌리티</t>
        </is>
      </c>
      <c r="C2644" s="2" t="inlineStr">
        <is>
          <t>코스피</t>
        </is>
      </c>
      <c r="D2644" s="2" t="inlineStr">
        <is>
          <t>034020</t>
        </is>
      </c>
      <c r="E2644" s="3" t="inlineStr">
        <is>
          <t>임원ㆍ주요주주특정증권등소유상황보고서</t>
        </is>
      </c>
      <c r="F2644" s="3" t="inlineStr">
        <is>
          <t>이광열</t>
        </is>
      </c>
      <c r="G2644" s="2" t="inlineStr">
        <is>
          <t>20260305001559</t>
        </is>
      </c>
      <c r="H2644" s="8">
        <f>HYPERLINK("https://dart.fss.or.kr/dsaf001/main.do?rcpNo=20260305001559", "공시열람")</f>
        <v/>
      </c>
    </row>
    <row r="2645">
      <c r="A2645" s="2" t="inlineStr">
        <is>
          <t>2026-03-05 (정정: 2026-03-11)</t>
        </is>
      </c>
      <c r="B2645" s="3" t="inlineStr">
        <is>
          <t>메리츠금융지주</t>
        </is>
      </c>
      <c r="C2645" s="2" t="inlineStr">
        <is>
          <t>코스피</t>
        </is>
      </c>
      <c r="D2645" s="2" t="inlineStr">
        <is>
          <t>138040</t>
        </is>
      </c>
      <c r="E2645" s="3" t="inlineStr">
        <is>
          <t>의결권대리행사권유참고서류 (정정: 20260311)</t>
        </is>
      </c>
      <c r="F2645" s="3" t="inlineStr">
        <is>
          <t>메리츠금융지주</t>
        </is>
      </c>
      <c r="G2645" s="2" t="inlineStr">
        <is>
          <t>20260311004433</t>
        </is>
      </c>
      <c r="H2645" s="8">
        <f>HYPERLINK("https://dart.fss.or.kr/dsaf001/main.do?rcpNo=20260311004433", "공시열람")</f>
        <v/>
      </c>
    </row>
    <row r="2646">
      <c r="A2646" s="2" t="inlineStr">
        <is>
          <t>2026-03-05</t>
        </is>
      </c>
      <c r="B2646" s="3" t="inlineStr">
        <is>
          <t>한국캐피탈</t>
        </is>
      </c>
      <c r="C2646" s="2" t="inlineStr">
        <is>
          <t>코스닥</t>
        </is>
      </c>
      <c r="D2646" s="2" t="inlineStr">
        <is>
          <t>023760</t>
        </is>
      </c>
      <c r="E2646" s="3" t="inlineStr">
        <is>
          <t xml:space="preserve">현금ㆍ현물배당결정              </t>
        </is>
      </c>
      <c r="F2646" s="3" t="inlineStr">
        <is>
          <t>한국캐피탈</t>
        </is>
      </c>
      <c r="G2646" s="2" t="inlineStr">
        <is>
          <t>20260305901632</t>
        </is>
      </c>
      <c r="H2646" s="8">
        <f>HYPERLINK("https://dart.fss.or.kr/dsaf001/main.do?rcpNo=20260305901632", "공시열람")</f>
        <v/>
      </c>
    </row>
    <row r="2647">
      <c r="A2647" s="2" t="inlineStr">
        <is>
          <t>2026-03-05</t>
        </is>
      </c>
      <c r="B2647" s="3" t="inlineStr">
        <is>
          <t>쎄크</t>
        </is>
      </c>
      <c r="C2647" s="2" t="inlineStr">
        <is>
          <t>코스닥</t>
        </is>
      </c>
      <c r="D2647" s="2" t="inlineStr">
        <is>
          <t>081180</t>
        </is>
      </c>
      <c r="E2647" s="3" t="inlineStr">
        <is>
          <t xml:space="preserve">매출액또는손익구조30%(대규모법인은15%)이상변동              </t>
        </is>
      </c>
      <c r="F2647" s="3" t="inlineStr">
        <is>
          <t>쎄크</t>
        </is>
      </c>
      <c r="G2647" s="2" t="inlineStr">
        <is>
          <t>20260305901625</t>
        </is>
      </c>
      <c r="H2647" s="8">
        <f>HYPERLINK("https://dart.fss.or.kr/dsaf001/main.do?rcpNo=20260305901625", "공시열람")</f>
        <v/>
      </c>
    </row>
    <row r="2648">
      <c r="A2648" s="2" t="inlineStr">
        <is>
          <t>2026-03-05</t>
        </is>
      </c>
      <c r="B2648" s="3" t="inlineStr">
        <is>
          <t>미래에셋증권</t>
        </is>
      </c>
      <c r="C2648" s="2" t="inlineStr">
        <is>
          <t>코스피</t>
        </is>
      </c>
      <c r="D2648" s="2" t="inlineStr">
        <is>
          <t>006800</t>
        </is>
      </c>
      <c r="E2648" s="3" t="inlineStr">
        <is>
          <t>임원ㆍ주요주주특정증권등소유상황보고서</t>
        </is>
      </c>
      <c r="F2648" s="3" t="inlineStr">
        <is>
          <t>조인직</t>
        </is>
      </c>
      <c r="G2648" s="2" t="inlineStr">
        <is>
          <t>20260305001554</t>
        </is>
      </c>
      <c r="H2648" s="8">
        <f>HYPERLINK("https://dart.fss.or.kr/dsaf001/main.do?rcpNo=20260305001554", "공시열람")</f>
        <v/>
      </c>
    </row>
    <row r="2649">
      <c r="A2649" s="2" t="inlineStr">
        <is>
          <t>2026-03-05</t>
        </is>
      </c>
      <c r="B2649" s="3" t="inlineStr">
        <is>
          <t>HS효성</t>
        </is>
      </c>
      <c r="C2649" s="2" t="inlineStr">
        <is>
          <t>코스피</t>
        </is>
      </c>
      <c r="D2649" s="2" t="inlineStr">
        <is>
          <t>487570</t>
        </is>
      </c>
      <c r="E2649" s="3" t="inlineStr">
        <is>
          <t xml:space="preserve">현금ㆍ현물배당결정(자회사의 주요경영사항)              </t>
        </is>
      </c>
      <c r="F2649" s="3" t="inlineStr">
        <is>
          <t>HS효성</t>
        </is>
      </c>
      <c r="G2649" s="2" t="inlineStr">
        <is>
          <t>20260305801719</t>
        </is>
      </c>
      <c r="H2649" s="8">
        <f>HYPERLINK("https://dart.fss.or.kr/dsaf001/main.do?rcpNo=20260305801719", "공시열람")</f>
        <v/>
      </c>
    </row>
    <row r="2650">
      <c r="A2650" s="2" t="inlineStr">
        <is>
          <t>2026-03-05</t>
        </is>
      </c>
      <c r="B2650" s="3" t="inlineStr">
        <is>
          <t>HS효성</t>
        </is>
      </c>
      <c r="C2650" s="2" t="inlineStr">
        <is>
          <t>코스피</t>
        </is>
      </c>
      <c r="D2650" s="2" t="inlineStr">
        <is>
          <t>487570</t>
        </is>
      </c>
      <c r="E2650" s="3" t="inlineStr">
        <is>
          <t xml:space="preserve">현금ㆍ현물배당결정              </t>
        </is>
      </c>
      <c r="F2650" s="3" t="inlineStr">
        <is>
          <t>HS효성</t>
        </is>
      </c>
      <c r="G2650" s="2" t="inlineStr">
        <is>
          <t>20260305801674</t>
        </is>
      </c>
      <c r="H2650" s="8">
        <f>HYPERLINK("https://dart.fss.or.kr/dsaf001/main.do?rcpNo=20260305801674", "공시열람")</f>
        <v/>
      </c>
    </row>
    <row r="2651">
      <c r="A2651" s="2" t="inlineStr">
        <is>
          <t>2026-03-05 (정정: 2026-03-09)</t>
        </is>
      </c>
      <c r="B2651" s="3" t="inlineStr">
        <is>
          <t>롯데지주</t>
        </is>
      </c>
      <c r="C2651" s="2" t="inlineStr">
        <is>
          <t>코스피</t>
        </is>
      </c>
      <c r="D2651" s="2" t="inlineStr">
        <is>
          <t>004990</t>
        </is>
      </c>
      <c r="E2651" s="3" t="inlineStr">
        <is>
          <t>증권발행실적보고서 (정정: 20260309)</t>
        </is>
      </c>
      <c r="F2651" s="3" t="inlineStr">
        <is>
          <t>롯데지주</t>
        </is>
      </c>
      <c r="G2651" s="2" t="inlineStr">
        <is>
          <t>20260309801660</t>
        </is>
      </c>
      <c r="H2651" s="8">
        <f>HYPERLINK("https://dart.fss.or.kr/dsaf001/main.do?rcpNo=20260309801660", "공시열람")</f>
        <v/>
      </c>
    </row>
    <row r="2652">
      <c r="A2652" s="2" t="inlineStr">
        <is>
          <t>2026-03-05</t>
        </is>
      </c>
      <c r="B2652" s="3" t="inlineStr">
        <is>
          <t>한솔케미칼</t>
        </is>
      </c>
      <c r="C2652" s="2" t="inlineStr">
        <is>
          <t>코스피</t>
        </is>
      </c>
      <c r="D2652" s="2" t="inlineStr">
        <is>
          <t>014680</t>
        </is>
      </c>
      <c r="E2652" s="3" t="inlineStr">
        <is>
          <t>[발행조건확정]증권신고서(채무증권)</t>
        </is>
      </c>
      <c r="F2652" s="3" t="inlineStr">
        <is>
          <t>한솔케미칼</t>
        </is>
      </c>
      <c r="G2652" s="2" t="inlineStr">
        <is>
          <t>20260305001548</t>
        </is>
      </c>
      <c r="H2652" s="8">
        <f>HYPERLINK("https://dart.fss.or.kr/dsaf001/main.do?rcpNo=20260305001548", "공시열람")</f>
        <v/>
      </c>
    </row>
    <row r="2653">
      <c r="A2653" s="2" t="inlineStr">
        <is>
          <t>2026-03-05</t>
        </is>
      </c>
      <c r="B2653" s="3" t="inlineStr">
        <is>
          <t>유진증권</t>
        </is>
      </c>
      <c r="C2653" s="2" t="inlineStr">
        <is>
          <t>코스피</t>
        </is>
      </c>
      <c r="D2653" s="2" t="inlineStr">
        <is>
          <t>001200</t>
        </is>
      </c>
      <c r="E2653" s="3" t="inlineStr">
        <is>
          <t>의결권대리행사권유참고서류</t>
        </is>
      </c>
      <c r="F2653" s="3" t="inlineStr">
        <is>
          <t>유진증권</t>
        </is>
      </c>
      <c r="G2653" s="2" t="inlineStr">
        <is>
          <t>20260305001547</t>
        </is>
      </c>
      <c r="H2653" s="8">
        <f>HYPERLINK("https://dart.fss.or.kr/dsaf001/main.do?rcpNo=20260305001547", "공시열람")</f>
        <v/>
      </c>
    </row>
    <row r="2654">
      <c r="A2654" s="2" t="inlineStr">
        <is>
          <t>2026-03-05</t>
        </is>
      </c>
      <c r="B2654" s="3" t="inlineStr">
        <is>
          <t>현대자동차</t>
        </is>
      </c>
      <c r="C2654" s="2" t="inlineStr">
        <is>
          <t>코스피</t>
        </is>
      </c>
      <c r="D2654" s="2" t="inlineStr">
        <is>
          <t>005380</t>
        </is>
      </c>
      <c r="E2654" s="3" t="inlineStr">
        <is>
          <t>[기재정정]의결권대리행사권유참고서류</t>
        </is>
      </c>
      <c r="F2654" s="3" t="inlineStr">
        <is>
          <t>현대자동차</t>
        </is>
      </c>
      <c r="G2654" s="2" t="inlineStr">
        <is>
          <t>20260305001545</t>
        </is>
      </c>
      <c r="H2654" s="8">
        <f>HYPERLINK("https://dart.fss.or.kr/dsaf001/main.do?rcpNo=20260305001545", "공시열람")</f>
        <v/>
      </c>
    </row>
    <row r="2655">
      <c r="A2655" s="2" t="inlineStr">
        <is>
          <t>2026-03-05</t>
        </is>
      </c>
      <c r="B2655" s="3" t="inlineStr">
        <is>
          <t>롯데쇼핑</t>
        </is>
      </c>
      <c r="C2655" s="2" t="inlineStr">
        <is>
          <t>코스피</t>
        </is>
      </c>
      <c r="D2655" s="2" t="inlineStr">
        <is>
          <t>023530</t>
        </is>
      </c>
      <c r="E2655" s="3" t="inlineStr">
        <is>
          <t>특수관계인에대한출자</t>
        </is>
      </c>
      <c r="F2655" s="3" t="inlineStr">
        <is>
          <t>롯데쇼핑</t>
        </is>
      </c>
      <c r="G2655" s="2" t="inlineStr">
        <is>
          <t>20260305001544</t>
        </is>
      </c>
      <c r="H2655" s="8">
        <f>HYPERLINK("https://dart.fss.or.kr/dsaf001/main.do?rcpNo=20260305001544", "공시열람")</f>
        <v/>
      </c>
    </row>
    <row r="2656">
      <c r="A2656" s="2" t="inlineStr">
        <is>
          <t>2026-03-05</t>
        </is>
      </c>
      <c r="B2656" s="3" t="inlineStr">
        <is>
          <t>한세예스24홀딩스</t>
        </is>
      </c>
      <c r="C2656" s="2" t="inlineStr">
        <is>
          <t>코스피</t>
        </is>
      </c>
      <c r="D2656" s="2" t="inlineStr">
        <is>
          <t>016450</t>
        </is>
      </c>
      <c r="E2656" s="3" t="inlineStr">
        <is>
          <t xml:space="preserve">매출액또는손익구조30%(대규모법인은15%)이상변경(자회사의 주요경영사항)              </t>
        </is>
      </c>
      <c r="F2656" s="3" t="inlineStr">
        <is>
          <t>한세예스24홀딩스</t>
        </is>
      </c>
      <c r="G2656" s="2" t="inlineStr">
        <is>
          <t>20260305801677</t>
        </is>
      </c>
      <c r="H2656" s="8">
        <f>HYPERLINK("https://dart.fss.or.kr/dsaf001/main.do?rcpNo=20260305801677", "공시열람")</f>
        <v/>
      </c>
    </row>
    <row r="2657">
      <c r="A2657" s="2" t="inlineStr">
        <is>
          <t>2026-03-05</t>
        </is>
      </c>
      <c r="B2657" s="3" t="inlineStr">
        <is>
          <t>두산에너빌리티</t>
        </is>
      </c>
      <c r="C2657" s="2" t="inlineStr">
        <is>
          <t>코스피</t>
        </is>
      </c>
      <c r="D2657" s="2" t="inlineStr">
        <is>
          <t>034020</t>
        </is>
      </c>
      <c r="E2657" s="3" t="inlineStr">
        <is>
          <t>임원ㆍ주요주주특정증권등소유상황보고서</t>
        </is>
      </c>
      <c r="F2657" s="3" t="inlineStr">
        <is>
          <t>육심균</t>
        </is>
      </c>
      <c r="G2657" s="2" t="inlineStr">
        <is>
          <t>20260305001541</t>
        </is>
      </c>
      <c r="H2657" s="8">
        <f>HYPERLINK("https://dart.fss.or.kr/dsaf001/main.do?rcpNo=20260305001541", "공시열람")</f>
        <v/>
      </c>
    </row>
    <row r="2658">
      <c r="A2658" s="2" t="inlineStr">
        <is>
          <t>2026-03-05</t>
        </is>
      </c>
      <c r="B2658" s="3" t="inlineStr">
        <is>
          <t>한국캐피탈</t>
        </is>
      </c>
      <c r="C2658" s="2" t="inlineStr">
        <is>
          <t>코스닥</t>
        </is>
      </c>
      <c r="D2658" s="2" t="inlineStr">
        <is>
          <t>023760</t>
        </is>
      </c>
      <c r="E2658" s="3" t="inlineStr">
        <is>
          <t xml:space="preserve">매출액또는손익구조30%(대규모법인은15%)이상변동              </t>
        </is>
      </c>
      <c r="F2658" s="3" t="inlineStr">
        <is>
          <t>한국캐피탈</t>
        </is>
      </c>
      <c r="G2658" s="2" t="inlineStr">
        <is>
          <t>20260305901616</t>
        </is>
      </c>
      <c r="H2658" s="8">
        <f>HYPERLINK("https://dart.fss.or.kr/dsaf001/main.do?rcpNo=20260305901616", "공시열람")</f>
        <v/>
      </c>
    </row>
    <row r="2659">
      <c r="A2659" s="2" t="inlineStr">
        <is>
          <t>2026-03-05</t>
        </is>
      </c>
      <c r="B2659" s="3" t="inlineStr">
        <is>
          <t>미래에셋증권</t>
        </is>
      </c>
      <c r="C2659" s="2" t="inlineStr">
        <is>
          <t>코스피</t>
        </is>
      </c>
      <c r="D2659" s="2" t="inlineStr">
        <is>
          <t>006800</t>
        </is>
      </c>
      <c r="E2659" s="3" t="inlineStr">
        <is>
          <t>임원ㆍ주요주주특정증권등소유상황보고서</t>
        </is>
      </c>
      <c r="F2659" s="3" t="inlineStr">
        <is>
          <t>류경식</t>
        </is>
      </c>
      <c r="G2659" s="2" t="inlineStr">
        <is>
          <t>20260305001533</t>
        </is>
      </c>
      <c r="H2659" s="8">
        <f>HYPERLINK("https://dart.fss.or.kr/dsaf001/main.do?rcpNo=20260305001533", "공시열람")</f>
        <v/>
      </c>
    </row>
    <row r="2660">
      <c r="A2660" s="2" t="inlineStr">
        <is>
          <t>2026-03-05</t>
        </is>
      </c>
      <c r="B2660" s="3" t="inlineStr">
        <is>
          <t>우리금융지주</t>
        </is>
      </c>
      <c r="C2660" s="2" t="inlineStr">
        <is>
          <t>코스피</t>
        </is>
      </c>
      <c r="D2660" s="2" t="inlineStr">
        <is>
          <t>316140</t>
        </is>
      </c>
      <c r="E2660" s="3" t="inlineStr">
        <is>
          <t>일괄신고추가서류</t>
        </is>
      </c>
      <c r="F2660" s="3" t="inlineStr">
        <is>
          <t>우리금융지주</t>
        </is>
      </c>
      <c r="G2660" s="2" t="inlineStr">
        <is>
          <t>20260305001532</t>
        </is>
      </c>
      <c r="H2660" s="8">
        <f>HYPERLINK("https://dart.fss.or.kr/dsaf001/main.do?rcpNo=20260305001532", "공시열람")</f>
        <v/>
      </c>
    </row>
    <row r="2661">
      <c r="A2661" s="2" t="inlineStr">
        <is>
          <t>2026-03-05</t>
        </is>
      </c>
      <c r="B2661" s="3" t="inlineStr">
        <is>
          <t>미래에셋증권</t>
        </is>
      </c>
      <c r="C2661" s="2" t="inlineStr">
        <is>
          <t>코스피</t>
        </is>
      </c>
      <c r="D2661" s="2" t="inlineStr">
        <is>
          <t>006800</t>
        </is>
      </c>
      <c r="E2661" s="3" t="inlineStr">
        <is>
          <t>임원ㆍ주요주주특정증권등소유상황보고서</t>
        </is>
      </c>
      <c r="F2661" s="3" t="inlineStr">
        <is>
          <t>양우석</t>
        </is>
      </c>
      <c r="G2661" s="2" t="inlineStr">
        <is>
          <t>20260305001531</t>
        </is>
      </c>
      <c r="H2661" s="8">
        <f>HYPERLINK("https://dart.fss.or.kr/dsaf001/main.do?rcpNo=20260305001531", "공시열람")</f>
        <v/>
      </c>
    </row>
    <row r="2662">
      <c r="A2662" s="2" t="inlineStr">
        <is>
          <t>2026-03-05</t>
        </is>
      </c>
      <c r="B2662" s="3" t="inlineStr">
        <is>
          <t>미래에셋증권</t>
        </is>
      </c>
      <c r="C2662" s="2" t="inlineStr">
        <is>
          <t>코스피</t>
        </is>
      </c>
      <c r="D2662" s="2" t="inlineStr">
        <is>
          <t>006800</t>
        </is>
      </c>
      <c r="E2662" s="3" t="inlineStr">
        <is>
          <t>임원ㆍ주요주주특정증권등소유상황보고서</t>
        </is>
      </c>
      <c r="F2662" s="3" t="inlineStr">
        <is>
          <t>김현구</t>
        </is>
      </c>
      <c r="G2662" s="2" t="inlineStr">
        <is>
          <t>20260305001529</t>
        </is>
      </c>
      <c r="H2662" s="8">
        <f>HYPERLINK("https://dart.fss.or.kr/dsaf001/main.do?rcpNo=20260305001529", "공시열람")</f>
        <v/>
      </c>
    </row>
    <row r="2663">
      <c r="A2663" s="2" t="inlineStr">
        <is>
          <t>2026-03-05</t>
        </is>
      </c>
      <c r="B2663" s="3" t="inlineStr">
        <is>
          <t>HS효성첨단소재</t>
        </is>
      </c>
      <c r="C2663" s="2" t="inlineStr">
        <is>
          <t>코스피</t>
        </is>
      </c>
      <c r="D2663" s="2" t="inlineStr">
        <is>
          <t>298050</t>
        </is>
      </c>
      <c r="E2663" s="3" t="inlineStr">
        <is>
          <t xml:space="preserve">현금ㆍ현물배당결정              </t>
        </is>
      </c>
      <c r="F2663" s="3" t="inlineStr">
        <is>
          <t>HS효성첨단소재</t>
        </is>
      </c>
      <c r="G2663" s="2" t="inlineStr">
        <is>
          <t>20260305801629</t>
        </is>
      </c>
      <c r="H2663" s="8">
        <f>HYPERLINK("https://dart.fss.or.kr/dsaf001/main.do?rcpNo=20260305801629", "공시열람")</f>
        <v/>
      </c>
    </row>
    <row r="2664">
      <c r="A2664" s="2" t="inlineStr">
        <is>
          <t>2026-03-05</t>
        </is>
      </c>
      <c r="B2664" s="3" t="inlineStr">
        <is>
          <t>두산에너빌리티</t>
        </is>
      </c>
      <c r="C2664" s="2" t="inlineStr">
        <is>
          <t>코스피</t>
        </is>
      </c>
      <c r="D2664" s="2" t="inlineStr">
        <is>
          <t>034020</t>
        </is>
      </c>
      <c r="E2664" s="3" t="inlineStr">
        <is>
          <t>임원ㆍ주요주주특정증권등소유상황보고서</t>
        </is>
      </c>
      <c r="F2664" s="3" t="inlineStr">
        <is>
          <t>박칠규</t>
        </is>
      </c>
      <c r="G2664" s="2" t="inlineStr">
        <is>
          <t>20260305001524</t>
        </is>
      </c>
      <c r="H2664" s="8">
        <f>HYPERLINK("https://dart.fss.or.kr/dsaf001/main.do?rcpNo=20260305001524", "공시열람")</f>
        <v/>
      </c>
    </row>
    <row r="2665">
      <c r="A2665" s="2" t="inlineStr">
        <is>
          <t>2026-03-05 (정정: 2026-03-18)</t>
        </is>
      </c>
      <c r="B2665" s="3" t="inlineStr">
        <is>
          <t>보해양조</t>
        </is>
      </c>
      <c r="C2665" s="2" t="inlineStr">
        <is>
          <t>코스피</t>
        </is>
      </c>
      <c r="D2665" s="2" t="inlineStr">
        <is>
          <t>000890</t>
        </is>
      </c>
      <c r="E2665" s="3" t="inlineStr">
        <is>
          <t>의결권대리행사권유참고서류 (정정: 20260305) (정정: 20260318)</t>
        </is>
      </c>
      <c r="F2665" s="3" t="inlineStr">
        <is>
          <t>보해양조</t>
        </is>
      </c>
      <c r="G2665" s="2" t="inlineStr">
        <is>
          <t>20260318000726</t>
        </is>
      </c>
      <c r="H2665" s="8">
        <f>HYPERLINK("https://dart.fss.or.kr/dsaf001/main.do?rcpNo=20260318000726", "공시열람")</f>
        <v/>
      </c>
    </row>
    <row r="2666">
      <c r="A2666" s="2" t="inlineStr">
        <is>
          <t>2026-03-05</t>
        </is>
      </c>
      <c r="B2666" s="3" t="inlineStr">
        <is>
          <t>두산밥캣</t>
        </is>
      </c>
      <c r="C2666" s="2" t="inlineStr">
        <is>
          <t>코스피</t>
        </is>
      </c>
      <c r="D2666" s="2" t="inlineStr">
        <is>
          <t>241560</t>
        </is>
      </c>
      <c r="E2666" s="3" t="inlineStr">
        <is>
          <t>임원ㆍ주요주주특정증권등소유상황보고서</t>
        </is>
      </c>
      <c r="F2666" s="3" t="inlineStr">
        <is>
          <t>현성덕</t>
        </is>
      </c>
      <c r="G2666" s="2" t="inlineStr">
        <is>
          <t>20260305001518</t>
        </is>
      </c>
      <c r="H2666" s="8">
        <f>HYPERLINK("https://dart.fss.or.kr/dsaf001/main.do?rcpNo=20260305001518", "공시열람")</f>
        <v/>
      </c>
    </row>
    <row r="2667">
      <c r="A2667" s="2" t="inlineStr">
        <is>
          <t>2026-03-05</t>
        </is>
      </c>
      <c r="B2667" s="3" t="inlineStr">
        <is>
          <t>탑코미디어</t>
        </is>
      </c>
      <c r="C2667" s="2" t="inlineStr">
        <is>
          <t>코스닥</t>
        </is>
      </c>
      <c r="D2667" s="2" t="inlineStr">
        <is>
          <t>134580</t>
        </is>
      </c>
      <c r="E2667" s="3" t="inlineStr">
        <is>
          <t>임원ㆍ주요주주특정증권등소유상황보고서</t>
        </is>
      </c>
      <c r="F2667" s="3" t="inlineStr">
        <is>
          <t>김기해</t>
        </is>
      </c>
      <c r="G2667" s="2" t="inlineStr">
        <is>
          <t>20260305001504</t>
        </is>
      </c>
      <c r="H2667" s="8">
        <f>HYPERLINK("https://dart.fss.or.kr/dsaf001/main.do?rcpNo=20260305001504", "공시열람")</f>
        <v/>
      </c>
    </row>
    <row r="2668">
      <c r="A2668" s="2" t="inlineStr">
        <is>
          <t>2026-03-05</t>
        </is>
      </c>
      <c r="B2668" s="3" t="inlineStr">
        <is>
          <t>동성화인텍</t>
        </is>
      </c>
      <c r="C2668" s="2" t="inlineStr">
        <is>
          <t>코스닥</t>
        </is>
      </c>
      <c r="D2668" s="2" t="inlineStr">
        <is>
          <t>033500</t>
        </is>
      </c>
      <c r="E2668" s="3" t="inlineStr">
        <is>
          <t>주요사항보고서(자기주식처분결정)</t>
        </is>
      </c>
      <c r="F2668" s="3" t="inlineStr">
        <is>
          <t>동성화인텍</t>
        </is>
      </c>
      <c r="G2668" s="2" t="inlineStr">
        <is>
          <t>20260305001443</t>
        </is>
      </c>
      <c r="H2668" s="8">
        <f>HYPERLINK("https://dart.fss.or.kr/dsaf001/main.do?rcpNo=20260305001443", "공시열람")</f>
        <v/>
      </c>
    </row>
    <row r="2669">
      <c r="A2669" s="2" t="inlineStr">
        <is>
          <t>2026-03-05</t>
        </is>
      </c>
      <c r="B2669" s="3" t="inlineStr">
        <is>
          <t>하나30호스팩</t>
        </is>
      </c>
      <c r="C2669" s="2" t="inlineStr">
        <is>
          <t>코스닥</t>
        </is>
      </c>
      <c r="D2669" s="2" t="inlineStr">
        <is>
          <t>469880</t>
        </is>
      </c>
      <c r="E2669" s="3" t="inlineStr">
        <is>
          <t>의결권대리행사권유참고서류</t>
        </is>
      </c>
      <c r="F2669" s="3" t="inlineStr">
        <is>
          <t>하나30호스팩</t>
        </is>
      </c>
      <c r="G2669" s="2" t="inlineStr">
        <is>
          <t>20260305001502</t>
        </is>
      </c>
      <c r="H2669" s="8">
        <f>HYPERLINK("https://dart.fss.or.kr/dsaf001/main.do?rcpNo=20260305001502", "공시열람")</f>
        <v/>
      </c>
    </row>
    <row r="2670">
      <c r="A2670" s="2" t="inlineStr">
        <is>
          <t>2026-03-05</t>
        </is>
      </c>
      <c r="B2670" s="3" t="inlineStr">
        <is>
          <t>SK아이이테크놀로지</t>
        </is>
      </c>
      <c r="C2670" s="2" t="inlineStr">
        <is>
          <t>코스피</t>
        </is>
      </c>
      <c r="D2670" s="2" t="inlineStr">
        <is>
          <t>361610</t>
        </is>
      </c>
      <c r="E2670" s="3" t="inlineStr">
        <is>
          <t>의결권대리행사권유참고서류</t>
        </is>
      </c>
      <c r="F2670" s="3" t="inlineStr">
        <is>
          <t>SK아이이테크놀로지</t>
        </is>
      </c>
      <c r="G2670" s="2" t="inlineStr">
        <is>
          <t>20260305001500</t>
        </is>
      </c>
      <c r="H2670" s="8">
        <f>HYPERLINK("https://dart.fss.or.kr/dsaf001/main.do?rcpNo=20260305001500", "공시열람")</f>
        <v/>
      </c>
    </row>
    <row r="2671">
      <c r="A2671" s="2" t="inlineStr">
        <is>
          <t>2026-03-05</t>
        </is>
      </c>
      <c r="B2671" s="3" t="inlineStr">
        <is>
          <t>두산에너빌리티</t>
        </is>
      </c>
      <c r="C2671" s="2" t="inlineStr">
        <is>
          <t>코스피</t>
        </is>
      </c>
      <c r="D2671" s="2" t="inlineStr">
        <is>
          <t>034020</t>
        </is>
      </c>
      <c r="E2671" s="3" t="inlineStr">
        <is>
          <t>임원ㆍ주요주주특정증권등소유상황보고서</t>
        </is>
      </c>
      <c r="F2671" s="3" t="inlineStr">
        <is>
          <t>박동범</t>
        </is>
      </c>
      <c r="G2671" s="2" t="inlineStr">
        <is>
          <t>20260305001499</t>
        </is>
      </c>
      <c r="H2671" s="8">
        <f>HYPERLINK("https://dart.fss.or.kr/dsaf001/main.do?rcpNo=20260305001499", "공시열람")</f>
        <v/>
      </c>
    </row>
    <row r="2672">
      <c r="A2672" s="2" t="inlineStr">
        <is>
          <t>2026-03-05</t>
        </is>
      </c>
      <c r="B2672" s="3" t="inlineStr">
        <is>
          <t>JW신약</t>
        </is>
      </c>
      <c r="C2672" s="2" t="inlineStr">
        <is>
          <t>코스닥</t>
        </is>
      </c>
      <c r="D2672" s="2" t="inlineStr">
        <is>
          <t>067290</t>
        </is>
      </c>
      <c r="E2672" s="3" t="inlineStr">
        <is>
          <t>의결권대리행사권유참고서류</t>
        </is>
      </c>
      <c r="F2672" s="3" t="inlineStr">
        <is>
          <t>JW신약</t>
        </is>
      </c>
      <c r="G2672" s="2" t="inlineStr">
        <is>
          <t>20260305001496</t>
        </is>
      </c>
      <c r="H2672" s="8">
        <f>HYPERLINK("https://dart.fss.or.kr/dsaf001/main.do?rcpNo=20260305001496", "공시열람")</f>
        <v/>
      </c>
    </row>
    <row r="2673">
      <c r="A2673" s="2" t="inlineStr">
        <is>
          <t>2026-03-05</t>
        </is>
      </c>
      <c r="B2673" s="3" t="inlineStr">
        <is>
          <t>현대이지웰</t>
        </is>
      </c>
      <c r="C2673" s="2" t="inlineStr">
        <is>
          <t>코스닥</t>
        </is>
      </c>
      <c r="D2673" s="2" t="inlineStr">
        <is>
          <t>090850</t>
        </is>
      </c>
      <c r="E2673" s="3" t="inlineStr">
        <is>
          <t xml:space="preserve">타법인주식및출자증권처분결정              </t>
        </is>
      </c>
      <c r="F2673" s="3" t="inlineStr">
        <is>
          <t>현대이지웰</t>
        </is>
      </c>
      <c r="G2673" s="2" t="inlineStr">
        <is>
          <t>20260305901696</t>
        </is>
      </c>
      <c r="H2673" s="8">
        <f>HYPERLINK("https://dart.fss.or.kr/dsaf001/main.do?rcpNo=20260305901696", "공시열람")</f>
        <v/>
      </c>
    </row>
    <row r="2674">
      <c r="A2674" s="2" t="inlineStr">
        <is>
          <t>2026-03-05</t>
        </is>
      </c>
      <c r="B2674" s="3" t="inlineStr">
        <is>
          <t>미래에셋증권</t>
        </is>
      </c>
      <c r="C2674" s="2" t="inlineStr">
        <is>
          <t>코스피</t>
        </is>
      </c>
      <c r="D2674" s="2" t="inlineStr">
        <is>
          <t>006800</t>
        </is>
      </c>
      <c r="E2674" s="3" t="inlineStr">
        <is>
          <t>임원ㆍ주요주주특정증권등소유상황보고서</t>
        </is>
      </c>
      <c r="F2674" s="3" t="inlineStr">
        <is>
          <t>주세민</t>
        </is>
      </c>
      <c r="G2674" s="2" t="inlineStr">
        <is>
          <t>20260305001494</t>
        </is>
      </c>
      <c r="H2674" s="8">
        <f>HYPERLINK("https://dart.fss.or.kr/dsaf001/main.do?rcpNo=20260305001494", "공시열람")</f>
        <v/>
      </c>
    </row>
    <row r="2675">
      <c r="A2675" s="2" t="inlineStr">
        <is>
          <t>2026-03-05 (정정: 2026-03-10)</t>
        </is>
      </c>
      <c r="B2675" s="3" t="inlineStr">
        <is>
          <t>한독</t>
        </is>
      </c>
      <c r="C2675" s="2" t="inlineStr">
        <is>
          <t>코스피</t>
        </is>
      </c>
      <c r="D2675" s="2" t="inlineStr">
        <is>
          <t>002390</t>
        </is>
      </c>
      <c r="E2675" s="3" t="inlineStr">
        <is>
          <t>공정거래자율준수프로그램운영현황(안내공시)               (정정: 20260310) (정정: 20260310)</t>
        </is>
      </c>
      <c r="F2675" s="3" t="inlineStr">
        <is>
          <t>한독</t>
        </is>
      </c>
      <c r="G2675" s="2" t="inlineStr">
        <is>
          <t>20260310801994</t>
        </is>
      </c>
      <c r="H2675" s="8">
        <f>HYPERLINK("https://dart.fss.or.kr/dsaf001/main.do?rcpNo=20260310801994", "공시열람")</f>
        <v/>
      </c>
    </row>
    <row r="2676">
      <c r="A2676" s="2" t="inlineStr">
        <is>
          <t>2026-03-05</t>
        </is>
      </c>
      <c r="B2676" s="3" t="inlineStr">
        <is>
          <t>두산밥캣</t>
        </is>
      </c>
      <c r="C2676" s="2" t="inlineStr">
        <is>
          <t>코스피</t>
        </is>
      </c>
      <c r="D2676" s="2" t="inlineStr">
        <is>
          <t>241560</t>
        </is>
      </c>
      <c r="E2676" s="3" t="inlineStr">
        <is>
          <t>임원ㆍ주요주주특정증권등소유상황보고서</t>
        </is>
      </c>
      <c r="F2676" s="3" t="inlineStr">
        <is>
          <t>김동혁</t>
        </is>
      </c>
      <c r="G2676" s="2" t="inlineStr">
        <is>
          <t>20260305001493</t>
        </is>
      </c>
      <c r="H2676" s="8">
        <f>HYPERLINK("https://dart.fss.or.kr/dsaf001/main.do?rcpNo=20260305001493", "공시열람")</f>
        <v/>
      </c>
    </row>
    <row r="2677">
      <c r="A2677" s="2" t="inlineStr">
        <is>
          <t>2026-03-05</t>
        </is>
      </c>
      <c r="B2677" s="3" t="inlineStr">
        <is>
          <t>유니셈</t>
        </is>
      </c>
      <c r="C2677" s="2" t="inlineStr">
        <is>
          <t>코스닥</t>
        </is>
      </c>
      <c r="D2677" s="2" t="inlineStr">
        <is>
          <t>036200</t>
        </is>
      </c>
      <c r="E2677" s="3" t="inlineStr">
        <is>
          <t>의결권대리행사권유참고서류</t>
        </is>
      </c>
      <c r="F2677" s="3" t="inlineStr">
        <is>
          <t>유니셈</t>
        </is>
      </c>
      <c r="G2677" s="2" t="inlineStr">
        <is>
          <t>20260305001490</t>
        </is>
      </c>
      <c r="H2677" s="8">
        <f>HYPERLINK("https://dart.fss.or.kr/dsaf001/main.do?rcpNo=20260305001490", "공시열람")</f>
        <v/>
      </c>
    </row>
    <row r="2678">
      <c r="A2678" s="2" t="inlineStr">
        <is>
          <t>2026-03-05</t>
        </is>
      </c>
      <c r="B2678" s="3" t="inlineStr">
        <is>
          <t>코리안리</t>
        </is>
      </c>
      <c r="C2678" s="2" t="inlineStr">
        <is>
          <t>코스피</t>
        </is>
      </c>
      <c r="D2678" s="2" t="inlineStr">
        <is>
          <t>003690</t>
        </is>
      </c>
      <c r="E2678" s="3" t="inlineStr">
        <is>
          <t xml:space="preserve">기업지배구조보고서공시(연차보고서)              </t>
        </is>
      </c>
      <c r="F2678" s="3" t="inlineStr">
        <is>
          <t>코리안리</t>
        </is>
      </c>
      <c r="G2678" s="2" t="inlineStr">
        <is>
          <t>20260305801684</t>
        </is>
      </c>
      <c r="H2678" s="8">
        <f>HYPERLINK("https://dart.fss.or.kr/dsaf001/main.do?rcpNo=20260305801684", "공시열람")</f>
        <v/>
      </c>
    </row>
    <row r="2679">
      <c r="A2679" s="2" t="inlineStr">
        <is>
          <t>2026-03-05</t>
        </is>
      </c>
      <c r="B2679" s="3" t="inlineStr">
        <is>
          <t>미투온</t>
        </is>
      </c>
      <c r="C2679" s="2" t="inlineStr">
        <is>
          <t>코스닥</t>
        </is>
      </c>
      <c r="D2679" s="2" t="inlineStr">
        <is>
          <t>201490</t>
        </is>
      </c>
      <c r="E2679" s="3" t="inlineStr">
        <is>
          <t>의결권대리행사권유참고서류</t>
        </is>
      </c>
      <c r="F2679" s="3" t="inlineStr">
        <is>
          <t>미투온</t>
        </is>
      </c>
      <c r="G2679" s="2" t="inlineStr">
        <is>
          <t>20260305001484</t>
        </is>
      </c>
      <c r="H2679" s="8">
        <f>HYPERLINK("https://dart.fss.or.kr/dsaf001/main.do?rcpNo=20260305001484", "공시열람")</f>
        <v/>
      </c>
    </row>
    <row r="2680">
      <c r="A2680" s="2" t="inlineStr">
        <is>
          <t>2026-03-05 (정정: 2026-03-11)</t>
        </is>
      </c>
      <c r="B2680" s="3" t="inlineStr">
        <is>
          <t>탑코미디어</t>
        </is>
      </c>
      <c r="C2680" s="2" t="inlineStr">
        <is>
          <t>코스닥</t>
        </is>
      </c>
      <c r="D2680" s="2" t="inlineStr">
        <is>
          <t>134580</t>
        </is>
      </c>
      <c r="E2680" s="3" t="inlineStr">
        <is>
          <t>자기주식처분결과보고서 (정정: 20260311)</t>
        </is>
      </c>
      <c r="F2680" s="3" t="inlineStr">
        <is>
          <t>탑코미디어</t>
        </is>
      </c>
      <c r="G2680" s="2" t="inlineStr">
        <is>
          <t>20260311902428</t>
        </is>
      </c>
      <c r="H2680" s="8">
        <f>HYPERLINK("https://dart.fss.or.kr/dsaf001/main.do?rcpNo=20260311902428", "공시열람")</f>
        <v/>
      </c>
    </row>
    <row r="2681">
      <c r="A2681" s="2" t="inlineStr">
        <is>
          <t>2026-02-26 (정정: 2026-03-05)</t>
        </is>
      </c>
      <c r="B2681" s="3" t="inlineStr">
        <is>
          <t>골프존</t>
        </is>
      </c>
      <c r="C2681" s="2" t="inlineStr">
        <is>
          <t>코스닥</t>
        </is>
      </c>
      <c r="D2681" s="2" t="inlineStr">
        <is>
          <t>215000</t>
        </is>
      </c>
      <c r="E2681" s="3" t="inlineStr">
        <is>
          <t xml:space="preserve">[기재정정]매출액또는손익구조30%(대규모법인은15%)이상변동              </t>
        </is>
      </c>
      <c r="F2681" s="3" t="inlineStr">
        <is>
          <t>골프존</t>
        </is>
      </c>
      <c r="G2681" s="2" t="inlineStr">
        <is>
          <t>20260305901636</t>
        </is>
      </c>
      <c r="H2681" s="8">
        <f>HYPERLINK("https://dart.fss.or.kr/dsaf001/main.do?rcpNo=20260305901636", "공시열람")</f>
        <v/>
      </c>
    </row>
    <row r="2682">
      <c r="A2682" s="2" t="inlineStr">
        <is>
          <t>2026-03-05</t>
        </is>
      </c>
      <c r="B2682" s="3" t="inlineStr">
        <is>
          <t>두산밥캣</t>
        </is>
      </c>
      <c r="C2682" s="2" t="inlineStr">
        <is>
          <t>코스피</t>
        </is>
      </c>
      <c r="D2682" s="2" t="inlineStr">
        <is>
          <t>241560</t>
        </is>
      </c>
      <c r="E2682" s="3" t="inlineStr">
        <is>
          <t>임원ㆍ주요주주특정증권등소유상황보고서</t>
        </is>
      </c>
      <c r="F2682" s="3" t="inlineStr">
        <is>
          <t>박성조</t>
        </is>
      </c>
      <c r="G2682" s="2" t="inlineStr">
        <is>
          <t>20260305001477</t>
        </is>
      </c>
      <c r="H2682" s="8">
        <f>HYPERLINK("https://dart.fss.or.kr/dsaf001/main.do?rcpNo=20260305001477", "공시열람")</f>
        <v/>
      </c>
    </row>
    <row r="2683">
      <c r="A2683" s="2" t="inlineStr">
        <is>
          <t>2026-03-05</t>
        </is>
      </c>
      <c r="B2683" s="3" t="inlineStr">
        <is>
          <t>금호건설</t>
        </is>
      </c>
      <c r="C2683" s="2" t="inlineStr">
        <is>
          <t>코스피</t>
        </is>
      </c>
      <c r="D2683" s="2" t="inlineStr">
        <is>
          <t>002990</t>
        </is>
      </c>
      <c r="E2683" s="3" t="inlineStr">
        <is>
          <t xml:space="preserve">현금ㆍ현물배당결정              </t>
        </is>
      </c>
      <c r="F2683" s="3" t="inlineStr">
        <is>
          <t>금호건설</t>
        </is>
      </c>
      <c r="G2683" s="2" t="inlineStr">
        <is>
          <t>20260305801566</t>
        </is>
      </c>
      <c r="H2683" s="8">
        <f>HYPERLINK("https://dart.fss.or.kr/dsaf001/main.do?rcpNo=20260305801566", "공시열람")</f>
        <v/>
      </c>
    </row>
    <row r="2684">
      <c r="A2684" s="2" t="inlineStr">
        <is>
          <t>2026-03-05</t>
        </is>
      </c>
      <c r="B2684" s="3" t="inlineStr">
        <is>
          <t>두산에너빌리티</t>
        </is>
      </c>
      <c r="C2684" s="2" t="inlineStr">
        <is>
          <t>코스피</t>
        </is>
      </c>
      <c r="D2684" s="2" t="inlineStr">
        <is>
          <t>034020</t>
        </is>
      </c>
      <c r="E2684" s="3" t="inlineStr">
        <is>
          <t>임원ㆍ주요주주특정증권등소유상황보고서</t>
        </is>
      </c>
      <c r="F2684" s="3" t="inlineStr">
        <is>
          <t>노학준</t>
        </is>
      </c>
      <c r="G2684" s="2" t="inlineStr">
        <is>
          <t>20260305001475</t>
        </is>
      </c>
      <c r="H2684" s="8">
        <f>HYPERLINK("https://dart.fss.or.kr/dsaf001/main.do?rcpNo=20260305001475", "공시열람")</f>
        <v/>
      </c>
    </row>
    <row r="2685">
      <c r="A2685" s="2" t="inlineStr">
        <is>
          <t>2026-03-05</t>
        </is>
      </c>
      <c r="B2685" s="3" t="inlineStr">
        <is>
          <t>세종텔레콤</t>
        </is>
      </c>
      <c r="C2685" s="2" t="inlineStr">
        <is>
          <t>코스닥</t>
        </is>
      </c>
      <c r="D2685" s="2" t="inlineStr">
        <is>
          <t>036630</t>
        </is>
      </c>
      <c r="E2685" s="3" t="inlineStr">
        <is>
          <t>임원ㆍ주요주주특정증권등거래계획보고서</t>
        </is>
      </c>
      <c r="F2685" s="3" t="inlineStr">
        <is>
          <t>세종</t>
        </is>
      </c>
      <c r="G2685" s="2" t="inlineStr">
        <is>
          <t>20260305001474</t>
        </is>
      </c>
      <c r="H2685" s="8">
        <f>HYPERLINK("https://dart.fss.or.kr/dsaf001/main.do?rcpNo=20260305001474", "공시열람")</f>
        <v/>
      </c>
    </row>
    <row r="2686">
      <c r="A2686" s="2" t="inlineStr">
        <is>
          <t>2026-03-05</t>
        </is>
      </c>
      <c r="B2686" s="3" t="inlineStr">
        <is>
          <t>미래에셋증권</t>
        </is>
      </c>
      <c r="C2686" s="2" t="inlineStr">
        <is>
          <t>코스피</t>
        </is>
      </c>
      <c r="D2686" s="2" t="inlineStr">
        <is>
          <t>006800</t>
        </is>
      </c>
      <c r="E2686" s="3" t="inlineStr">
        <is>
          <t>[기재정정]임원ㆍ주요주주특정증권등소유상황보고서</t>
        </is>
      </c>
      <c r="F2686" s="3" t="inlineStr">
        <is>
          <t>양상철</t>
        </is>
      </c>
      <c r="G2686" s="2" t="inlineStr">
        <is>
          <t>20260305001472</t>
        </is>
      </c>
      <c r="H2686" s="8">
        <f>HYPERLINK("https://dart.fss.or.kr/dsaf001/main.do?rcpNo=20260305001472", "공시열람")</f>
        <v/>
      </c>
    </row>
    <row r="2687">
      <c r="A2687" s="2" t="inlineStr">
        <is>
          <t>2026-03-05</t>
        </is>
      </c>
      <c r="B2687" s="3" t="inlineStr">
        <is>
          <t>미래에셋증권</t>
        </is>
      </c>
      <c r="C2687" s="2" t="inlineStr">
        <is>
          <t>코스피</t>
        </is>
      </c>
      <c r="D2687" s="2" t="inlineStr">
        <is>
          <t>006800</t>
        </is>
      </c>
      <c r="E2687" s="3" t="inlineStr">
        <is>
          <t>임원ㆍ주요주주특정증권등소유상황보고서</t>
        </is>
      </c>
      <c r="F2687" s="3" t="inlineStr">
        <is>
          <t>계경태</t>
        </is>
      </c>
      <c r="G2687" s="2" t="inlineStr">
        <is>
          <t>20260305001468</t>
        </is>
      </c>
      <c r="H2687" s="8">
        <f>HYPERLINK("https://dart.fss.or.kr/dsaf001/main.do?rcpNo=20260305001468", "공시열람")</f>
        <v/>
      </c>
    </row>
    <row r="2688">
      <c r="A2688" s="2" t="inlineStr">
        <is>
          <t>2026-03-05</t>
        </is>
      </c>
      <c r="B2688" s="3" t="inlineStr">
        <is>
          <t>미래에셋증권</t>
        </is>
      </c>
      <c r="C2688" s="2" t="inlineStr">
        <is>
          <t>코스피</t>
        </is>
      </c>
      <c r="D2688" s="2" t="inlineStr">
        <is>
          <t>006800</t>
        </is>
      </c>
      <c r="E2688" s="3" t="inlineStr">
        <is>
          <t>임원ㆍ주요주주특정증권등소유상황보고서</t>
        </is>
      </c>
      <c r="F2688" s="3" t="inlineStr">
        <is>
          <t>노용우</t>
        </is>
      </c>
      <c r="G2688" s="2" t="inlineStr">
        <is>
          <t>20260305001467</t>
        </is>
      </c>
      <c r="H2688" s="8">
        <f>HYPERLINK("https://dart.fss.or.kr/dsaf001/main.do?rcpNo=20260305001467", "공시열람")</f>
        <v/>
      </c>
    </row>
    <row r="2689">
      <c r="A2689" s="2" t="inlineStr">
        <is>
          <t>2026-03-05</t>
        </is>
      </c>
      <c r="B2689" s="3" t="inlineStr">
        <is>
          <t>코칩</t>
        </is>
      </c>
      <c r="C2689" s="2" t="inlineStr">
        <is>
          <t>코스닥</t>
        </is>
      </c>
      <c r="D2689" s="2" t="inlineStr">
        <is>
          <t>126730</t>
        </is>
      </c>
      <c r="E2689" s="3" t="inlineStr">
        <is>
          <t xml:space="preserve">현금ㆍ현물배당결정              </t>
        </is>
      </c>
      <c r="F2689" s="3" t="inlineStr">
        <is>
          <t>코칩</t>
        </is>
      </c>
      <c r="G2689" s="2" t="inlineStr">
        <is>
          <t>20260305901597</t>
        </is>
      </c>
      <c r="H2689" s="8">
        <f>HYPERLINK("https://dart.fss.or.kr/dsaf001/main.do?rcpNo=20260305901597", "공시열람")</f>
        <v/>
      </c>
    </row>
    <row r="2690">
      <c r="A2690" s="2" t="inlineStr">
        <is>
          <t>2026-03-05</t>
        </is>
      </c>
      <c r="B2690" s="3" t="inlineStr">
        <is>
          <t>하나35호스팩</t>
        </is>
      </c>
      <c r="C2690" s="2" t="inlineStr">
        <is>
          <t>코스닥</t>
        </is>
      </c>
      <c r="D2690" s="2" t="inlineStr">
        <is>
          <t>0041L0</t>
        </is>
      </c>
      <c r="E2690" s="3" t="inlineStr">
        <is>
          <t xml:space="preserve">감사보고서제출              </t>
        </is>
      </c>
      <c r="F2690" s="3" t="inlineStr">
        <is>
          <t>하나35호스팩</t>
        </is>
      </c>
      <c r="G2690" s="2" t="inlineStr">
        <is>
          <t>20260305901544</t>
        </is>
      </c>
      <c r="H2690" s="8">
        <f>HYPERLINK("https://dart.fss.or.kr/dsaf001/main.do?rcpNo=20260305901544", "공시열람")</f>
        <v/>
      </c>
    </row>
    <row r="2691">
      <c r="A2691" s="2" t="inlineStr">
        <is>
          <t>2026-03-05</t>
        </is>
      </c>
      <c r="B2691" s="3" t="inlineStr">
        <is>
          <t>신한알파리츠</t>
        </is>
      </c>
      <c r="C2691" s="2" t="inlineStr">
        <is>
          <t>코스피</t>
        </is>
      </c>
      <c r="D2691" s="2" t="inlineStr">
        <is>
          <t>293940</t>
        </is>
      </c>
      <c r="E2691" s="3" t="inlineStr">
        <is>
          <t xml:space="preserve">기업설명회(IR)개최(안내공시)              </t>
        </is>
      </c>
      <c r="F2691" s="3" t="inlineStr">
        <is>
          <t>신한알파리츠</t>
        </is>
      </c>
      <c r="G2691" s="2" t="inlineStr">
        <is>
          <t>20260305801609</t>
        </is>
      </c>
      <c r="H2691" s="8">
        <f>HYPERLINK("https://dart.fss.or.kr/dsaf001/main.do?rcpNo=20260305801609", "공시열람")</f>
        <v/>
      </c>
    </row>
    <row r="2692">
      <c r="A2692" s="2" t="inlineStr">
        <is>
          <t>2026-03-05</t>
        </is>
      </c>
      <c r="B2692" s="3" t="inlineStr">
        <is>
          <t>유진증권</t>
        </is>
      </c>
      <c r="C2692" s="2" t="inlineStr">
        <is>
          <t>코스피</t>
        </is>
      </c>
      <c r="D2692" s="2" t="inlineStr">
        <is>
          <t>001200</t>
        </is>
      </c>
      <c r="E2692" s="3" t="inlineStr">
        <is>
          <t xml:space="preserve">현금ㆍ현물배당을위한주주명부폐쇄(기준일)결정              </t>
        </is>
      </c>
      <c r="F2692" s="3" t="inlineStr">
        <is>
          <t>유진증권</t>
        </is>
      </c>
      <c r="G2692" s="2" t="inlineStr">
        <is>
          <t>20260305801540</t>
        </is>
      </c>
      <c r="H2692" s="8">
        <f>HYPERLINK("https://dart.fss.or.kr/dsaf001/main.do?rcpNo=20260305801540", "공시열람")</f>
        <v/>
      </c>
    </row>
    <row r="2693">
      <c r="A2693" s="2" t="inlineStr">
        <is>
          <t>2026-03-05</t>
        </is>
      </c>
      <c r="B2693" s="3" t="inlineStr">
        <is>
          <t>대원강업</t>
        </is>
      </c>
      <c r="C2693" s="2" t="inlineStr">
        <is>
          <t>코스피</t>
        </is>
      </c>
      <c r="D2693" s="2" t="inlineStr">
        <is>
          <t>000430</t>
        </is>
      </c>
      <c r="E2693" s="3" t="inlineStr">
        <is>
          <t>[첨부정정]의결권대리행사권유참고서류</t>
        </is>
      </c>
      <c r="F2693" s="3" t="inlineStr">
        <is>
          <t>대원강업</t>
        </is>
      </c>
      <c r="G2693" s="2" t="inlineStr">
        <is>
          <t>20260305001458</t>
        </is>
      </c>
      <c r="H2693" s="8">
        <f>HYPERLINK("https://dart.fss.or.kr/dsaf001/main.do?rcpNo=20260305001458", "공시열람")</f>
        <v/>
      </c>
    </row>
    <row r="2694">
      <c r="A2694" s="2" t="inlineStr">
        <is>
          <t>2026-03-05</t>
        </is>
      </c>
      <c r="B2694" s="3" t="inlineStr">
        <is>
          <t>두산밥캣</t>
        </is>
      </c>
      <c r="C2694" s="2" t="inlineStr">
        <is>
          <t>코스피</t>
        </is>
      </c>
      <c r="D2694" s="2" t="inlineStr">
        <is>
          <t>241560</t>
        </is>
      </c>
      <c r="E2694" s="3" t="inlineStr">
        <is>
          <t>임원ㆍ주요주주특정증권등소유상황보고서</t>
        </is>
      </c>
      <c r="F2694" s="3" t="inlineStr">
        <is>
          <t>양영모</t>
        </is>
      </c>
      <c r="G2694" s="2" t="inlineStr">
        <is>
          <t>20260305001457</t>
        </is>
      </c>
      <c r="H2694" s="8">
        <f>HYPERLINK("https://dart.fss.or.kr/dsaf001/main.do?rcpNo=20260305001457", "공시열람")</f>
        <v/>
      </c>
    </row>
    <row r="2695">
      <c r="A2695" s="2" t="inlineStr">
        <is>
          <t>2026-03-05</t>
        </is>
      </c>
      <c r="B2695" s="3" t="inlineStr">
        <is>
          <t>하나31호스팩</t>
        </is>
      </c>
      <c r="C2695" s="2" t="inlineStr">
        <is>
          <t>코스닥</t>
        </is>
      </c>
      <c r="D2695" s="2" t="inlineStr">
        <is>
          <t>469900</t>
        </is>
      </c>
      <c r="E2695" s="3" t="inlineStr">
        <is>
          <t>의결권대리행사권유참고서류</t>
        </is>
      </c>
      <c r="F2695" s="3" t="inlineStr">
        <is>
          <t>하나31호스팩</t>
        </is>
      </c>
      <c r="G2695" s="2" t="inlineStr">
        <is>
          <t>20260305001456</t>
        </is>
      </c>
      <c r="H2695" s="8">
        <f>HYPERLINK("https://dart.fss.or.kr/dsaf001/main.do?rcpNo=20260305001456", "공시열람")</f>
        <v/>
      </c>
    </row>
    <row r="2696">
      <c r="A2696" s="2" t="inlineStr">
        <is>
          <t>2026-03-05</t>
        </is>
      </c>
      <c r="B2696" s="3" t="inlineStr">
        <is>
          <t>신한서부티엔디리츠</t>
        </is>
      </c>
      <c r="C2696" s="2" t="inlineStr">
        <is>
          <t>코스피</t>
        </is>
      </c>
      <c r="D2696" s="2" t="inlineStr">
        <is>
          <t>404990</t>
        </is>
      </c>
      <c r="E2696" s="3" t="inlineStr">
        <is>
          <t xml:space="preserve">기업설명회(IR)개최(안내공시)              </t>
        </is>
      </c>
      <c r="F2696" s="3" t="inlineStr">
        <is>
          <t>신한서부티엔디리츠</t>
        </is>
      </c>
      <c r="G2696" s="2" t="inlineStr">
        <is>
          <t>20260305801584</t>
        </is>
      </c>
      <c r="H2696" s="8">
        <f>HYPERLINK("https://dart.fss.or.kr/dsaf001/main.do?rcpNo=20260305801584", "공시열람")</f>
        <v/>
      </c>
    </row>
    <row r="2697">
      <c r="A2697" s="2" t="inlineStr">
        <is>
          <t>2026-03-05</t>
        </is>
      </c>
      <c r="B2697" s="3" t="inlineStr">
        <is>
          <t>두산에너빌리티</t>
        </is>
      </c>
      <c r="C2697" s="2" t="inlineStr">
        <is>
          <t>코스피</t>
        </is>
      </c>
      <c r="D2697" s="2" t="inlineStr">
        <is>
          <t>034020</t>
        </is>
      </c>
      <c r="E2697" s="3" t="inlineStr">
        <is>
          <t>임원ㆍ주요주주특정증권등소유상황보고서</t>
        </is>
      </c>
      <c r="F2697" s="3" t="inlineStr">
        <is>
          <t>김종석</t>
        </is>
      </c>
      <c r="G2697" s="2" t="inlineStr">
        <is>
          <t>20260305001452</t>
        </is>
      </c>
      <c r="H2697" s="8">
        <f>HYPERLINK("https://dart.fss.or.kr/dsaf001/main.do?rcpNo=20260305001452", "공시열람")</f>
        <v/>
      </c>
    </row>
    <row r="2698">
      <c r="A2698" s="2" t="inlineStr">
        <is>
          <t>2026-03-05</t>
        </is>
      </c>
      <c r="B2698" s="3" t="inlineStr">
        <is>
          <t>젠큐릭스</t>
        </is>
      </c>
      <c r="C2698" s="2" t="inlineStr">
        <is>
          <t>코스닥</t>
        </is>
      </c>
      <c r="D2698" s="2" t="inlineStr">
        <is>
          <t>229000</t>
        </is>
      </c>
      <c r="E2698" s="3" t="inlineStr">
        <is>
          <t>임원ㆍ주요주주특정증권등소유상황보고서</t>
        </is>
      </c>
      <c r="F2698" s="3" t="inlineStr">
        <is>
          <t>문영호</t>
        </is>
      </c>
      <c r="G2698" s="2" t="inlineStr">
        <is>
          <t>20260305001449</t>
        </is>
      </c>
      <c r="H2698" s="8">
        <f>HYPERLINK("https://dart.fss.or.kr/dsaf001/main.do?rcpNo=20260305001449", "공시열람")</f>
        <v/>
      </c>
    </row>
    <row r="2699">
      <c r="A2699" s="2" t="inlineStr">
        <is>
          <t>2026-03-05</t>
        </is>
      </c>
      <c r="B2699" s="3" t="inlineStr">
        <is>
          <t>셀리드</t>
        </is>
      </c>
      <c r="C2699" s="2" t="inlineStr">
        <is>
          <t>코스닥</t>
        </is>
      </c>
      <c r="D2699" s="2" t="inlineStr">
        <is>
          <t>299660</t>
        </is>
      </c>
      <c r="E2699" s="3" t="inlineStr">
        <is>
          <t>기타경영사항(자율공시)              (전자투표제 도입 결정)</t>
        </is>
      </c>
      <c r="F2699" s="3" t="inlineStr">
        <is>
          <t>셀리드</t>
        </is>
      </c>
      <c r="G2699" s="2" t="inlineStr">
        <is>
          <t>20260305901567</t>
        </is>
      </c>
      <c r="H2699" s="8">
        <f>HYPERLINK("https://dart.fss.or.kr/dsaf001/main.do?rcpNo=20260305901567", "공시열람")</f>
        <v/>
      </c>
    </row>
    <row r="2700">
      <c r="A2700" s="2" t="inlineStr">
        <is>
          <t>2026-03-05</t>
        </is>
      </c>
      <c r="B2700" s="3" t="inlineStr">
        <is>
          <t>후성</t>
        </is>
      </c>
      <c r="C2700" s="2" t="inlineStr">
        <is>
          <t>코스피</t>
        </is>
      </c>
      <c r="D2700" s="2" t="inlineStr">
        <is>
          <t>093370</t>
        </is>
      </c>
      <c r="E2700" s="3" t="inlineStr">
        <is>
          <t>의결권대리행사권유참고서류</t>
        </is>
      </c>
      <c r="F2700" s="3" t="inlineStr">
        <is>
          <t>후성</t>
        </is>
      </c>
      <c r="G2700" s="2" t="inlineStr">
        <is>
          <t>20260305001448</t>
        </is>
      </c>
      <c r="H2700" s="8">
        <f>HYPERLINK("https://dart.fss.or.kr/dsaf001/main.do?rcpNo=20260305001448", "공시열람")</f>
        <v/>
      </c>
    </row>
    <row r="2701">
      <c r="A2701" s="2" t="inlineStr">
        <is>
          <t>2026-03-05</t>
        </is>
      </c>
      <c r="B2701" s="3" t="inlineStr">
        <is>
          <t>SK증권</t>
        </is>
      </c>
      <c r="C2701" s="2" t="inlineStr">
        <is>
          <t>코스피</t>
        </is>
      </c>
      <c r="D2701" s="2" t="inlineStr">
        <is>
          <t>001510</t>
        </is>
      </c>
      <c r="E2701" s="3" t="inlineStr">
        <is>
          <t>[첨부정정]의결권대리행사권유참고서류</t>
        </is>
      </c>
      <c r="F2701" s="3" t="inlineStr">
        <is>
          <t>SK증권</t>
        </is>
      </c>
      <c r="G2701" s="2" t="inlineStr">
        <is>
          <t>20260305001447</t>
        </is>
      </c>
      <c r="H2701" s="8">
        <f>HYPERLINK("https://dart.fss.or.kr/dsaf001/main.do?rcpNo=20260305001447", "공시열람")</f>
        <v/>
      </c>
    </row>
    <row r="2702">
      <c r="A2702" s="2" t="inlineStr">
        <is>
          <t>2026-03-05</t>
        </is>
      </c>
      <c r="B2702" s="3" t="inlineStr">
        <is>
          <t>두산밥캣</t>
        </is>
      </c>
      <c r="C2702" s="2" t="inlineStr">
        <is>
          <t>코스피</t>
        </is>
      </c>
      <c r="D2702" s="2" t="inlineStr">
        <is>
          <t>241560</t>
        </is>
      </c>
      <c r="E2702" s="3" t="inlineStr">
        <is>
          <t>임원ㆍ주요주주특정증권등소유상황보고서</t>
        </is>
      </c>
      <c r="F2702" s="3" t="inlineStr">
        <is>
          <t>조덕제</t>
        </is>
      </c>
      <c r="G2702" s="2" t="inlineStr">
        <is>
          <t>20260305001445</t>
        </is>
      </c>
      <c r="H2702" s="8">
        <f>HYPERLINK("https://dart.fss.or.kr/dsaf001/main.do?rcpNo=20260305001445", "공시열람")</f>
        <v/>
      </c>
    </row>
    <row r="2703">
      <c r="A2703" s="2" t="inlineStr">
        <is>
          <t>2026-03-05</t>
        </is>
      </c>
      <c r="B2703" s="3" t="inlineStr">
        <is>
          <t>SK텔레콤</t>
        </is>
      </c>
      <c r="C2703" s="2" t="inlineStr">
        <is>
          <t>코스피</t>
        </is>
      </c>
      <c r="D2703" s="2" t="inlineStr">
        <is>
          <t>017670</t>
        </is>
      </c>
      <c r="E2703" s="3" t="inlineStr">
        <is>
          <t>[기재정정]의결권대리행사권유참고서류</t>
        </is>
      </c>
      <c r="F2703" s="3" t="inlineStr">
        <is>
          <t>SK텔레콤</t>
        </is>
      </c>
      <c r="G2703" s="2" t="inlineStr">
        <is>
          <t>20260305001444</t>
        </is>
      </c>
      <c r="H2703" s="8">
        <f>HYPERLINK("https://dart.fss.or.kr/dsaf001/main.do?rcpNo=20260305001444", "공시열람")</f>
        <v/>
      </c>
    </row>
    <row r="2704">
      <c r="A2704" s="2" t="inlineStr">
        <is>
          <t>2026-03-05</t>
        </is>
      </c>
      <c r="B2704" s="3" t="inlineStr">
        <is>
          <t>유안타증권</t>
        </is>
      </c>
      <c r="C2704" s="2" t="inlineStr">
        <is>
          <t>코스피</t>
        </is>
      </c>
      <c r="D2704" s="2" t="inlineStr">
        <is>
          <t>003470</t>
        </is>
      </c>
      <c r="E2704" s="3" t="inlineStr">
        <is>
          <t xml:space="preserve">[기재정정]매출액또는손익구조30%(대규모법인은15%)이상변경              </t>
        </is>
      </c>
      <c r="F2704" s="3" t="inlineStr">
        <is>
          <t>유안타증권</t>
        </is>
      </c>
      <c r="G2704" s="2" t="inlineStr">
        <is>
          <t>20260305801481</t>
        </is>
      </c>
      <c r="H2704" s="8">
        <f>HYPERLINK("https://dart.fss.or.kr/dsaf001/main.do?rcpNo=20260305801481", "공시열람")</f>
        <v/>
      </c>
    </row>
    <row r="2705">
      <c r="A2705" s="2" t="inlineStr">
        <is>
          <t>2026-03-05</t>
        </is>
      </c>
      <c r="B2705" s="3" t="inlineStr">
        <is>
          <t>대신증권</t>
        </is>
      </c>
      <c r="C2705" s="2" t="inlineStr">
        <is>
          <t>코스피</t>
        </is>
      </c>
      <c r="D2705" s="2" t="inlineStr">
        <is>
          <t>003540</t>
        </is>
      </c>
      <c r="E2705" s="3" t="inlineStr">
        <is>
          <t>투자설명서(일괄신고)</t>
        </is>
      </c>
      <c r="F2705" s="3" t="inlineStr">
        <is>
          <t>대신증권</t>
        </is>
      </c>
      <c r="G2705" s="2" t="inlineStr">
        <is>
          <t>20260305001438</t>
        </is>
      </c>
      <c r="H2705" s="8">
        <f>HYPERLINK("https://dart.fss.or.kr/dsaf001/main.do?rcpNo=20260305001438", "공시열람")</f>
        <v/>
      </c>
    </row>
    <row r="2706">
      <c r="A2706" s="2" t="inlineStr">
        <is>
          <t>2026-03-05</t>
        </is>
      </c>
      <c r="B2706" s="3" t="inlineStr">
        <is>
          <t>SKAI</t>
        </is>
      </c>
      <c r="C2706" s="2" t="inlineStr">
        <is>
          <t>코스닥</t>
        </is>
      </c>
      <c r="D2706" s="2" t="inlineStr">
        <is>
          <t>357880</t>
        </is>
      </c>
      <c r="E2706" s="3" t="inlineStr">
        <is>
          <t>임원ㆍ주요주주특정증권등소유상황보고서</t>
        </is>
      </c>
      <c r="F2706" s="3" t="inlineStr">
        <is>
          <t>신재혁</t>
        </is>
      </c>
      <c r="G2706" s="2" t="inlineStr">
        <is>
          <t>20260305001437</t>
        </is>
      </c>
      <c r="H2706" s="8">
        <f>HYPERLINK("https://dart.fss.or.kr/dsaf001/main.do?rcpNo=20260305001437", "공시열람")</f>
        <v/>
      </c>
    </row>
    <row r="2707">
      <c r="A2707" s="2" t="inlineStr">
        <is>
          <t>2026-03-05</t>
        </is>
      </c>
      <c r="B2707" s="3" t="inlineStr">
        <is>
          <t>이수스페셜티케미컬</t>
        </is>
      </c>
      <c r="C2707" s="2" t="inlineStr">
        <is>
          <t>코스피</t>
        </is>
      </c>
      <c r="D2707" s="2" t="inlineStr">
        <is>
          <t>457190</t>
        </is>
      </c>
      <c r="E2707" s="3" t="inlineStr">
        <is>
          <t>임원ㆍ주요주주특정증권등소유상황보고서</t>
        </is>
      </c>
      <c r="F2707" s="3" t="inlineStr">
        <is>
          <t>이수</t>
        </is>
      </c>
      <c r="G2707" s="2" t="inlineStr">
        <is>
          <t>20260305001431</t>
        </is>
      </c>
      <c r="H2707" s="8">
        <f>HYPERLINK("https://dart.fss.or.kr/dsaf001/main.do?rcpNo=20260305001431", "공시열람")</f>
        <v/>
      </c>
    </row>
    <row r="2708">
      <c r="A2708" s="2" t="inlineStr">
        <is>
          <t>2026-03-05</t>
        </is>
      </c>
      <c r="B2708" s="3" t="inlineStr">
        <is>
          <t>두산에너빌리티</t>
        </is>
      </c>
      <c r="C2708" s="2" t="inlineStr">
        <is>
          <t>코스피</t>
        </is>
      </c>
      <c r="D2708" s="2" t="inlineStr">
        <is>
          <t>034020</t>
        </is>
      </c>
      <c r="E2708" s="3" t="inlineStr">
        <is>
          <t>임원ㆍ주요주주특정증권등소유상황보고서</t>
        </is>
      </c>
      <c r="F2708" s="3" t="inlineStr">
        <is>
          <t>김재갑</t>
        </is>
      </c>
      <c r="G2708" s="2" t="inlineStr">
        <is>
          <t>20260305001430</t>
        </is>
      </c>
      <c r="H2708" s="8">
        <f>HYPERLINK("https://dart.fss.or.kr/dsaf001/main.do?rcpNo=20260305001430", "공시열람")</f>
        <v/>
      </c>
    </row>
    <row r="2709">
      <c r="A2709" s="2" t="inlineStr">
        <is>
          <t>2026-03-05</t>
        </is>
      </c>
      <c r="B2709" s="3" t="inlineStr">
        <is>
          <t>디아이동일</t>
        </is>
      </c>
      <c r="C2709" s="2" t="inlineStr">
        <is>
          <t>코스피</t>
        </is>
      </c>
      <c r="D2709" s="2" t="inlineStr">
        <is>
          <t>001530</t>
        </is>
      </c>
      <c r="E2709" s="3" t="inlineStr">
        <is>
          <t xml:space="preserve">현금ㆍ현물배당결정              </t>
        </is>
      </c>
      <c r="F2709" s="3" t="inlineStr">
        <is>
          <t>디아이동일</t>
        </is>
      </c>
      <c r="G2709" s="2" t="inlineStr">
        <is>
          <t>20260305801475</t>
        </is>
      </c>
      <c r="H2709" s="8">
        <f>HYPERLINK("https://dart.fss.or.kr/dsaf001/main.do?rcpNo=20260305801475", "공시열람")</f>
        <v/>
      </c>
    </row>
    <row r="2710">
      <c r="A2710" s="2" t="inlineStr">
        <is>
          <t>2026-03-05 (정정: 2026-03-06)</t>
        </is>
      </c>
      <c r="B2710" s="3" t="inlineStr">
        <is>
          <t>녹십자</t>
        </is>
      </c>
      <c r="C2710" s="2" t="inlineStr">
        <is>
          <t>코스피</t>
        </is>
      </c>
      <c r="D2710" s="2" t="inlineStr">
        <is>
          <t>006280</t>
        </is>
      </c>
      <c r="E2710" s="3" t="inlineStr">
        <is>
          <t>[발행조건확정]증권신고서(채무증권) (정정: 20260305) (정정: 20260306)</t>
        </is>
      </c>
      <c r="F2710" s="3" t="inlineStr">
        <is>
          <t>녹십자</t>
        </is>
      </c>
      <c r="G2710" s="2" t="inlineStr">
        <is>
          <t>20260306801491</t>
        </is>
      </c>
      <c r="H2710" s="8">
        <f>HYPERLINK("https://dart.fss.or.kr/dsaf001/main.do?rcpNo=20260306801491", "공시열람")</f>
        <v/>
      </c>
    </row>
    <row r="2711">
      <c r="A2711" s="2" t="inlineStr">
        <is>
          <t>2026-03-05</t>
        </is>
      </c>
      <c r="B2711" s="3" t="inlineStr">
        <is>
          <t>하나33호스팩</t>
        </is>
      </c>
      <c r="C2711" s="2" t="inlineStr">
        <is>
          <t>코스닥</t>
        </is>
      </c>
      <c r="D2711" s="2" t="inlineStr">
        <is>
          <t>475250</t>
        </is>
      </c>
      <c r="E2711" s="3" t="inlineStr">
        <is>
          <t>의결권대리행사권유참고서류</t>
        </is>
      </c>
      <c r="F2711" s="3" t="inlineStr">
        <is>
          <t>하나33호스팩</t>
        </is>
      </c>
      <c r="G2711" s="2" t="inlineStr">
        <is>
          <t>20260305001427</t>
        </is>
      </c>
      <c r="H2711" s="8">
        <f>HYPERLINK("https://dart.fss.or.kr/dsaf001/main.do?rcpNo=20260305001427", "공시열람")</f>
        <v/>
      </c>
    </row>
    <row r="2712">
      <c r="A2712" s="2" t="inlineStr">
        <is>
          <t>2026-03-05</t>
        </is>
      </c>
      <c r="B2712" s="3" t="inlineStr">
        <is>
          <t>두산밥캣</t>
        </is>
      </c>
      <c r="C2712" s="2" t="inlineStr">
        <is>
          <t>코스피</t>
        </is>
      </c>
      <c r="D2712" s="2" t="inlineStr">
        <is>
          <t>241560</t>
        </is>
      </c>
      <c r="E2712" s="3" t="inlineStr">
        <is>
          <t>임원ㆍ주요주주특정증권등소유상황보고서</t>
        </is>
      </c>
      <c r="F2712" s="3" t="inlineStr">
        <is>
          <t>PARK SCOTT SUNGCHULL</t>
        </is>
      </c>
      <c r="G2712" s="2" t="inlineStr">
        <is>
          <t>20260305001425</t>
        </is>
      </c>
      <c r="H2712" s="8">
        <f>HYPERLINK("https://dart.fss.or.kr/dsaf001/main.do?rcpNo=20260305001425", "공시열람")</f>
        <v/>
      </c>
    </row>
    <row r="2713">
      <c r="A2713" s="2" t="inlineStr">
        <is>
          <t>2026-03-05</t>
        </is>
      </c>
      <c r="B2713" s="3" t="inlineStr">
        <is>
          <t>유성기업</t>
        </is>
      </c>
      <c r="C2713" s="2" t="inlineStr">
        <is>
          <t>코스피</t>
        </is>
      </c>
      <c r="D2713" s="2" t="inlineStr">
        <is>
          <t>002920</t>
        </is>
      </c>
      <c r="E2713" s="3" t="inlineStr">
        <is>
          <t xml:space="preserve">매출액또는손익구조30%(대규모법인은15%)이상변경              </t>
        </is>
      </c>
      <c r="F2713" s="3" t="inlineStr">
        <is>
          <t>유성기업</t>
        </is>
      </c>
      <c r="G2713" s="2" t="inlineStr">
        <is>
          <t>20260305801498</t>
        </is>
      </c>
      <c r="H2713" s="8">
        <f>HYPERLINK("https://dart.fss.or.kr/dsaf001/main.do?rcpNo=20260305801498", "공시열람")</f>
        <v/>
      </c>
    </row>
    <row r="2714">
      <c r="A2714" s="2" t="inlineStr">
        <is>
          <t>2026-03-05</t>
        </is>
      </c>
      <c r="B2714" s="3" t="inlineStr">
        <is>
          <t>코퍼스코리아</t>
        </is>
      </c>
      <c r="C2714" s="2" t="inlineStr">
        <is>
          <t>코스닥</t>
        </is>
      </c>
      <c r="D2714" s="2" t="inlineStr">
        <is>
          <t>322780</t>
        </is>
      </c>
      <c r="E2714" s="3" t="inlineStr">
        <is>
          <t xml:space="preserve">전환청구권행사              </t>
        </is>
      </c>
      <c r="F2714" s="3" t="inlineStr">
        <is>
          <t>코퍼스코리아</t>
        </is>
      </c>
      <c r="G2714" s="2" t="inlineStr">
        <is>
          <t>20260305901591</t>
        </is>
      </c>
      <c r="H2714" s="8">
        <f>HYPERLINK("https://dart.fss.or.kr/dsaf001/main.do?rcpNo=20260305901591", "공시열람")</f>
        <v/>
      </c>
    </row>
    <row r="2715">
      <c r="A2715" s="2" t="inlineStr">
        <is>
          <t>2026-03-05</t>
        </is>
      </c>
      <c r="B2715" s="3" t="inlineStr">
        <is>
          <t>서린바이오</t>
        </is>
      </c>
      <c r="C2715" s="2" t="inlineStr">
        <is>
          <t>코스닥</t>
        </is>
      </c>
      <c r="D2715" s="2" t="inlineStr">
        <is>
          <t>038070</t>
        </is>
      </c>
      <c r="E2715" s="3" t="inlineStr">
        <is>
          <t xml:space="preserve">현금ㆍ현물배당결정              </t>
        </is>
      </c>
      <c r="F2715" s="3" t="inlineStr">
        <is>
          <t>서린바이오</t>
        </is>
      </c>
      <c r="G2715" s="2" t="inlineStr">
        <is>
          <t>20260305901461</t>
        </is>
      </c>
      <c r="H2715" s="8">
        <f>HYPERLINK("https://dart.fss.or.kr/dsaf001/main.do?rcpNo=20260305901461", "공시열람")</f>
        <v/>
      </c>
    </row>
    <row r="2716">
      <c r="A2716" s="2" t="inlineStr">
        <is>
          <t>2026-03-05</t>
        </is>
      </c>
      <c r="B2716" s="3" t="inlineStr">
        <is>
          <t>알티캐스트</t>
        </is>
      </c>
      <c r="C2716" s="2" t="inlineStr">
        <is>
          <t>코스닥</t>
        </is>
      </c>
      <c r="D2716" s="2" t="inlineStr">
        <is>
          <t>085810</t>
        </is>
      </c>
      <c r="E2716" s="3" t="inlineStr">
        <is>
          <t>임원ㆍ주요주주특정증권등소유상황보고서</t>
        </is>
      </c>
      <c r="F2716" s="3" t="inlineStr">
        <is>
          <t>베노티앤알</t>
        </is>
      </c>
      <c r="G2716" s="2" t="inlineStr">
        <is>
          <t>20260305001422</t>
        </is>
      </c>
      <c r="H2716" s="8">
        <f>HYPERLINK("https://dart.fss.or.kr/dsaf001/main.do?rcpNo=20260305001422", "공시열람")</f>
        <v/>
      </c>
    </row>
    <row r="2717">
      <c r="A2717" s="2" t="inlineStr">
        <is>
          <t>2026-03-05</t>
        </is>
      </c>
      <c r="B2717" s="3" t="inlineStr">
        <is>
          <t>에이치엠씨제7호스팩</t>
        </is>
      </c>
      <c r="C2717" s="2" t="inlineStr">
        <is>
          <t>코스닥</t>
        </is>
      </c>
      <c r="D2717" s="2" t="inlineStr">
        <is>
          <t>477340</t>
        </is>
      </c>
      <c r="E2717" s="3" t="inlineStr">
        <is>
          <t>의결권대리행사권유참고서류</t>
        </is>
      </c>
      <c r="F2717" s="3" t="inlineStr">
        <is>
          <t>에이치엠씨제7호스팩</t>
        </is>
      </c>
      <c r="G2717" s="2" t="inlineStr">
        <is>
          <t>20260305001418</t>
        </is>
      </c>
      <c r="H2717" s="8">
        <f>HYPERLINK("https://dart.fss.or.kr/dsaf001/main.do?rcpNo=20260305001418", "공시열람")</f>
        <v/>
      </c>
    </row>
    <row r="2718">
      <c r="A2718" s="2" t="inlineStr">
        <is>
          <t>2026-03-05</t>
        </is>
      </c>
      <c r="B2718" s="3" t="inlineStr">
        <is>
          <t>유안타증권</t>
        </is>
      </c>
      <c r="C2718" s="2" t="inlineStr">
        <is>
          <t>코스피</t>
        </is>
      </c>
      <c r="D2718" s="2" t="inlineStr">
        <is>
          <t>003470</t>
        </is>
      </c>
      <c r="E2718" s="3" t="inlineStr">
        <is>
          <t>의결권대리행사권유참고서류</t>
        </is>
      </c>
      <c r="F2718" s="3" t="inlineStr">
        <is>
          <t>유안타증권</t>
        </is>
      </c>
      <c r="G2718" s="2" t="inlineStr">
        <is>
          <t>20260305001417</t>
        </is>
      </c>
      <c r="H2718" s="8">
        <f>HYPERLINK("https://dart.fss.or.kr/dsaf001/main.do?rcpNo=20260305001417", "공시열람")</f>
        <v/>
      </c>
    </row>
    <row r="2719">
      <c r="A2719" s="2" t="inlineStr">
        <is>
          <t>2026-03-05</t>
        </is>
      </c>
      <c r="B2719" s="3" t="inlineStr">
        <is>
          <t>OCI홀딩스</t>
        </is>
      </c>
      <c r="C2719" s="2" t="inlineStr">
        <is>
          <t>코스피</t>
        </is>
      </c>
      <c r="D2719" s="2" t="inlineStr">
        <is>
          <t>010060</t>
        </is>
      </c>
      <c r="E2719" s="3" t="inlineStr">
        <is>
          <t xml:space="preserve">감사보고서제출(자회사의 주요경영사항)              </t>
        </is>
      </c>
      <c r="F2719" s="3" t="inlineStr">
        <is>
          <t>OCI홀딩스</t>
        </is>
      </c>
      <c r="G2719" s="2" t="inlineStr">
        <is>
          <t>20260305801464</t>
        </is>
      </c>
      <c r="H2719" s="8">
        <f>HYPERLINK("https://dart.fss.or.kr/dsaf001/main.do?rcpNo=20260305801464", "공시열람")</f>
        <v/>
      </c>
    </row>
    <row r="2720">
      <c r="A2720" s="2" t="inlineStr">
        <is>
          <t>2026-03-05</t>
        </is>
      </c>
      <c r="B2720" s="3" t="inlineStr">
        <is>
          <t>사조대림</t>
        </is>
      </c>
      <c r="C2720" s="2" t="inlineStr">
        <is>
          <t>코스피</t>
        </is>
      </c>
      <c r="D2720" s="2" t="inlineStr">
        <is>
          <t>003960</t>
        </is>
      </c>
      <c r="E2720" s="3" t="inlineStr">
        <is>
          <t xml:space="preserve">현금ㆍ현물배당결정              </t>
        </is>
      </c>
      <c r="F2720" s="3" t="inlineStr">
        <is>
          <t>사조대림</t>
        </is>
      </c>
      <c r="G2720" s="2" t="inlineStr">
        <is>
          <t>20260305801578</t>
        </is>
      </c>
      <c r="H2720" s="8">
        <f>HYPERLINK("https://dart.fss.or.kr/dsaf001/main.do?rcpNo=20260305801578", "공시열람")</f>
        <v/>
      </c>
    </row>
    <row r="2721">
      <c r="A2721" s="2" t="inlineStr">
        <is>
          <t>2026-03-05</t>
        </is>
      </c>
      <c r="B2721" s="3" t="inlineStr">
        <is>
          <t>진양제약</t>
        </is>
      </c>
      <c r="C2721" s="2" t="inlineStr">
        <is>
          <t>코스닥</t>
        </is>
      </c>
      <c r="D2721" s="2" t="inlineStr">
        <is>
          <t>007370</t>
        </is>
      </c>
      <c r="E2721" s="3" t="inlineStr">
        <is>
          <t>의결권대리행사권유참고서류</t>
        </is>
      </c>
      <c r="F2721" s="3" t="inlineStr">
        <is>
          <t>진양제약</t>
        </is>
      </c>
      <c r="G2721" s="2" t="inlineStr">
        <is>
          <t>20260305001414</t>
        </is>
      </c>
      <c r="H2721" s="8">
        <f>HYPERLINK("https://dart.fss.or.kr/dsaf001/main.do?rcpNo=20260305001414", "공시열람")</f>
        <v/>
      </c>
    </row>
    <row r="2722">
      <c r="A2722" s="2" t="inlineStr">
        <is>
          <t>2026-03-05</t>
        </is>
      </c>
      <c r="B2722" s="3" t="inlineStr">
        <is>
          <t>서린바이오</t>
        </is>
      </c>
      <c r="C2722" s="2" t="inlineStr">
        <is>
          <t>코스닥</t>
        </is>
      </c>
      <c r="D2722" s="2" t="inlineStr">
        <is>
          <t>038070</t>
        </is>
      </c>
      <c r="E2722" s="3" t="inlineStr">
        <is>
          <t xml:space="preserve">매출액또는손익구조30%(대규모법인은15%)이상변동              </t>
        </is>
      </c>
      <c r="F2722" s="3" t="inlineStr">
        <is>
          <t>서린바이오</t>
        </is>
      </c>
      <c r="G2722" s="2" t="inlineStr">
        <is>
          <t>20260305901447</t>
        </is>
      </c>
      <c r="H2722" s="8">
        <f>HYPERLINK("https://dart.fss.or.kr/dsaf001/main.do?rcpNo=20260305901447", "공시열람")</f>
        <v/>
      </c>
    </row>
    <row r="2723">
      <c r="A2723" s="2" t="inlineStr">
        <is>
          <t>2026-03-05</t>
        </is>
      </c>
      <c r="B2723" s="3" t="inlineStr">
        <is>
          <t>원익QnC</t>
        </is>
      </c>
      <c r="C2723" s="2" t="inlineStr">
        <is>
          <t>코스닥</t>
        </is>
      </c>
      <c r="D2723" s="2" t="inlineStr">
        <is>
          <t>074600</t>
        </is>
      </c>
      <c r="E2723" s="3" t="inlineStr">
        <is>
          <t xml:space="preserve">연결재무제표기준영업(잠정)실적(공정공시)              </t>
        </is>
      </c>
      <c r="F2723" s="3" t="inlineStr">
        <is>
          <t>원익QnC</t>
        </is>
      </c>
      <c r="G2723" s="2" t="inlineStr">
        <is>
          <t>20260305901372</t>
        </is>
      </c>
      <c r="H2723" s="8">
        <f>HYPERLINK("https://dart.fss.or.kr/dsaf001/main.do?rcpNo=20260305901372", "공시열람")</f>
        <v/>
      </c>
    </row>
    <row r="2724">
      <c r="A2724" s="2" t="inlineStr">
        <is>
          <t>2026-03-05</t>
        </is>
      </c>
      <c r="B2724" s="3" t="inlineStr">
        <is>
          <t>하나31호스팩</t>
        </is>
      </c>
      <c r="C2724" s="2" t="inlineStr">
        <is>
          <t>코스닥</t>
        </is>
      </c>
      <c r="D2724" s="2" t="inlineStr">
        <is>
          <t>469900</t>
        </is>
      </c>
      <c r="E2724" s="3" t="inlineStr">
        <is>
          <t xml:space="preserve">감사보고서제출              </t>
        </is>
      </c>
      <c r="F2724" s="3" t="inlineStr">
        <is>
          <t>하나31호스팩</t>
        </is>
      </c>
      <c r="G2724" s="2" t="inlineStr">
        <is>
          <t>20260305901421</t>
        </is>
      </c>
      <c r="H2724" s="8">
        <f>HYPERLINK("https://dart.fss.or.kr/dsaf001/main.do?rcpNo=20260305901421", "공시열람")</f>
        <v/>
      </c>
    </row>
    <row r="2725">
      <c r="A2725" s="2" t="inlineStr">
        <is>
          <t>2026-03-05</t>
        </is>
      </c>
      <c r="B2725" s="3" t="inlineStr">
        <is>
          <t>토탈소프트</t>
        </is>
      </c>
      <c r="C2725" s="2" t="inlineStr">
        <is>
          <t>코스닥</t>
        </is>
      </c>
      <c r="D2725" s="2" t="inlineStr">
        <is>
          <t>045340</t>
        </is>
      </c>
      <c r="E2725" s="3" t="inlineStr">
        <is>
          <t xml:space="preserve">현금ㆍ현물배당결정              </t>
        </is>
      </c>
      <c r="F2725" s="3" t="inlineStr">
        <is>
          <t>토탈소프트</t>
        </is>
      </c>
      <c r="G2725" s="2" t="inlineStr">
        <is>
          <t>20260305901458</t>
        </is>
      </c>
      <c r="H2725" s="8">
        <f>HYPERLINK("https://dart.fss.or.kr/dsaf001/main.do?rcpNo=20260305901458", "공시열람")</f>
        <v/>
      </c>
    </row>
    <row r="2726">
      <c r="A2726" s="2" t="inlineStr">
        <is>
          <t>2026-03-05 (정정: 2026-03-18)</t>
        </is>
      </c>
      <c r="B2726" s="3" t="inlineStr">
        <is>
          <t>패션플랫폼</t>
        </is>
      </c>
      <c r="C2726" s="2" t="inlineStr">
        <is>
          <t>코스닥</t>
        </is>
      </c>
      <c r="D2726" s="2" t="inlineStr">
        <is>
          <t>225590</t>
        </is>
      </c>
      <c r="E2726" s="3" t="inlineStr">
        <is>
          <t>주식병합결정               (정정: 20260318)</t>
        </is>
      </c>
      <c r="F2726" s="3" t="inlineStr">
        <is>
          <t>패션플랫폼</t>
        </is>
      </c>
      <c r="G2726" s="2" t="inlineStr">
        <is>
          <t>20260318000766</t>
        </is>
      </c>
      <c r="H2726" s="8">
        <f>HYPERLINK("https://dart.fss.or.kr/dsaf001/main.do?rcpNo=20260318000766", "공시열람")</f>
        <v/>
      </c>
    </row>
    <row r="2727">
      <c r="A2727" s="2" t="inlineStr">
        <is>
          <t>2026-03-05</t>
        </is>
      </c>
      <c r="B2727" s="3" t="inlineStr">
        <is>
          <t>KB금융</t>
        </is>
      </c>
      <c r="C2727" s="2" t="inlineStr">
        <is>
          <t>코스피</t>
        </is>
      </c>
      <c r="D2727" s="2" t="inlineStr">
        <is>
          <t>105560</t>
        </is>
      </c>
      <c r="E2727" s="3" t="inlineStr">
        <is>
          <t xml:space="preserve">기업지배구조보고서공시(연차보고서)              </t>
        </is>
      </c>
      <c r="F2727" s="3" t="inlineStr">
        <is>
          <t>KB금융</t>
        </is>
      </c>
      <c r="G2727" s="2" t="inlineStr">
        <is>
          <t>20260305801565</t>
        </is>
      </c>
      <c r="H2727" s="8">
        <f>HYPERLINK("https://dart.fss.or.kr/dsaf001/main.do?rcpNo=20260305801565", "공시열람")</f>
        <v/>
      </c>
    </row>
    <row r="2728">
      <c r="A2728" s="2" t="inlineStr">
        <is>
          <t>2026-03-05</t>
        </is>
      </c>
      <c r="B2728" s="3" t="inlineStr">
        <is>
          <t>온코크로스</t>
        </is>
      </c>
      <c r="C2728" s="2" t="inlineStr">
        <is>
          <t>코스닥</t>
        </is>
      </c>
      <c r="D2728" s="2" t="inlineStr">
        <is>
          <t>382150</t>
        </is>
      </c>
      <c r="E2728" s="3" t="inlineStr">
        <is>
          <t>의결권대리행사권유참고서류</t>
        </is>
      </c>
      <c r="F2728" s="3" t="inlineStr">
        <is>
          <t>온코크로스</t>
        </is>
      </c>
      <c r="G2728" s="2" t="inlineStr">
        <is>
          <t>20260305001410</t>
        </is>
      </c>
      <c r="H2728" s="8">
        <f>HYPERLINK("https://dart.fss.or.kr/dsaf001/main.do?rcpNo=20260305001410", "공시열람")</f>
        <v/>
      </c>
    </row>
    <row r="2729">
      <c r="A2729" s="2" t="inlineStr">
        <is>
          <t>2026-03-05</t>
        </is>
      </c>
      <c r="B2729" s="3" t="inlineStr">
        <is>
          <t>알엔티엑스</t>
        </is>
      </c>
      <c r="C2729" s="2" t="inlineStr">
        <is>
          <t>코스닥</t>
        </is>
      </c>
      <c r="D2729" s="2" t="inlineStr">
        <is>
          <t>123010</t>
        </is>
      </c>
      <c r="E2729" s="3" t="inlineStr">
        <is>
          <t xml:space="preserve">전환가액의조정              </t>
        </is>
      </c>
      <c r="F2729" s="3" t="inlineStr">
        <is>
          <t>알엔티엑스</t>
        </is>
      </c>
      <c r="G2729" s="2" t="inlineStr">
        <is>
          <t>20260305901559</t>
        </is>
      </c>
      <c r="H2729" s="8">
        <f>HYPERLINK("https://dart.fss.or.kr/dsaf001/main.do?rcpNo=20260305901559", "공시열람")</f>
        <v/>
      </c>
    </row>
    <row r="2730">
      <c r="A2730" s="2" t="inlineStr">
        <is>
          <t>2026-03-05</t>
        </is>
      </c>
      <c r="B2730" s="3" t="inlineStr">
        <is>
          <t>동성화인텍</t>
        </is>
      </c>
      <c r="C2730" s="2" t="inlineStr">
        <is>
          <t>코스닥</t>
        </is>
      </c>
      <c r="D2730" s="2" t="inlineStr">
        <is>
          <t>033500</t>
        </is>
      </c>
      <c r="E2730" s="3" t="inlineStr">
        <is>
          <t xml:space="preserve">현금ㆍ현물배당결정              </t>
        </is>
      </c>
      <c r="F2730" s="3" t="inlineStr">
        <is>
          <t>동성화인텍</t>
        </is>
      </c>
      <c r="G2730" s="2" t="inlineStr">
        <is>
          <t>20260305901323</t>
        </is>
      </c>
      <c r="H2730" s="8">
        <f>HYPERLINK("https://dart.fss.or.kr/dsaf001/main.do?rcpNo=20260305901323", "공시열람")</f>
        <v/>
      </c>
    </row>
    <row r="2731">
      <c r="A2731" s="2" t="inlineStr">
        <is>
          <t>2026-03-05</t>
        </is>
      </c>
      <c r="B2731" s="3" t="inlineStr">
        <is>
          <t>원익QnC</t>
        </is>
      </c>
      <c r="C2731" s="2" t="inlineStr">
        <is>
          <t>코스닥</t>
        </is>
      </c>
      <c r="D2731" s="2" t="inlineStr">
        <is>
          <t>074600</t>
        </is>
      </c>
      <c r="E2731" s="3" t="inlineStr">
        <is>
          <t xml:space="preserve">매출액또는손익구조30%(대규모법인은15%)이상변동              </t>
        </is>
      </c>
      <c r="F2731" s="3" t="inlineStr">
        <is>
          <t>원익QnC</t>
        </is>
      </c>
      <c r="G2731" s="2" t="inlineStr">
        <is>
          <t>20260305901356</t>
        </is>
      </c>
      <c r="H2731" s="8">
        <f>HYPERLINK("https://dart.fss.or.kr/dsaf001/main.do?rcpNo=20260305901356", "공시열람")</f>
        <v/>
      </c>
    </row>
    <row r="2732">
      <c r="A2732" s="2" t="inlineStr">
        <is>
          <t>2026-03-05</t>
        </is>
      </c>
      <c r="B2732" s="3" t="inlineStr">
        <is>
          <t>미래에셋증권</t>
        </is>
      </c>
      <c r="C2732" s="2" t="inlineStr">
        <is>
          <t>코스피</t>
        </is>
      </c>
      <c r="D2732" s="2" t="inlineStr">
        <is>
          <t>006800</t>
        </is>
      </c>
      <c r="E2732" s="3" t="inlineStr">
        <is>
          <t>임원ㆍ주요주주특정증권등소유상황보고서</t>
        </is>
      </c>
      <c r="F2732" s="3" t="inlineStr">
        <is>
          <t>양상철</t>
        </is>
      </c>
      <c r="G2732" s="2" t="inlineStr">
        <is>
          <t>20260305001404</t>
        </is>
      </c>
      <c r="H2732" s="8">
        <f>HYPERLINK("https://dart.fss.or.kr/dsaf001/main.do?rcpNo=20260305001404", "공시열람")</f>
        <v/>
      </c>
    </row>
    <row r="2733">
      <c r="A2733" s="2" t="inlineStr">
        <is>
          <t>2026-03-05</t>
        </is>
      </c>
      <c r="B2733" s="3" t="inlineStr">
        <is>
          <t>대신증권</t>
        </is>
      </c>
      <c r="C2733" s="2" t="inlineStr">
        <is>
          <t>코스피</t>
        </is>
      </c>
      <c r="D2733" s="2" t="inlineStr">
        <is>
          <t>003540</t>
        </is>
      </c>
      <c r="E2733" s="3" t="inlineStr">
        <is>
          <t>일괄신고추가서류(파생결합사채-주가연계파생결합사채)</t>
        </is>
      </c>
      <c r="F2733" s="3" t="inlineStr">
        <is>
          <t>대신증권</t>
        </is>
      </c>
      <c r="G2733" s="2" t="inlineStr">
        <is>
          <t>20260305001402</t>
        </is>
      </c>
      <c r="H2733" s="8">
        <f>HYPERLINK("https://dart.fss.or.kr/dsaf001/main.do?rcpNo=20260305001402", "공시열람")</f>
        <v/>
      </c>
    </row>
    <row r="2734">
      <c r="A2734" s="2" t="inlineStr">
        <is>
          <t>2026-03-05</t>
        </is>
      </c>
      <c r="B2734" s="3" t="inlineStr">
        <is>
          <t>두산에너빌리티</t>
        </is>
      </c>
      <c r="C2734" s="2" t="inlineStr">
        <is>
          <t>코스피</t>
        </is>
      </c>
      <c r="D2734" s="2" t="inlineStr">
        <is>
          <t>034020</t>
        </is>
      </c>
      <c r="E2734" s="3" t="inlineStr">
        <is>
          <t>임원ㆍ주요주주특정증권등소유상황보고서</t>
        </is>
      </c>
      <c r="F2734" s="3" t="inlineStr">
        <is>
          <t>김봉준</t>
        </is>
      </c>
      <c r="G2734" s="2" t="inlineStr">
        <is>
          <t>20260305001401</t>
        </is>
      </c>
      <c r="H2734" s="8">
        <f>HYPERLINK("https://dart.fss.or.kr/dsaf001/main.do?rcpNo=20260305001401", "공시열람")</f>
        <v/>
      </c>
    </row>
    <row r="2735">
      <c r="A2735" s="2" t="inlineStr">
        <is>
          <t>2026-03-05</t>
        </is>
      </c>
      <c r="B2735" s="3" t="inlineStr">
        <is>
          <t>현대모비스</t>
        </is>
      </c>
      <c r="C2735" s="2" t="inlineStr">
        <is>
          <t>코스피</t>
        </is>
      </c>
      <c r="D2735" s="2" t="inlineStr">
        <is>
          <t>012330</t>
        </is>
      </c>
      <c r="E2735" s="3" t="inlineStr">
        <is>
          <t xml:space="preserve">감사보고서제출              </t>
        </is>
      </c>
      <c r="F2735" s="3" t="inlineStr">
        <is>
          <t>현대모비스</t>
        </is>
      </c>
      <c r="G2735" s="2" t="inlineStr">
        <is>
          <t>20260305801468</t>
        </is>
      </c>
      <c r="H2735" s="8">
        <f>HYPERLINK("https://dart.fss.or.kr/dsaf001/main.do?rcpNo=20260305801468", "공시열람")</f>
        <v/>
      </c>
    </row>
    <row r="2736">
      <c r="A2736" s="2" t="inlineStr">
        <is>
          <t>2026-03-05 (정정: 2026-03-06)</t>
        </is>
      </c>
      <c r="B2736" s="3" t="inlineStr">
        <is>
          <t>만호제강</t>
        </is>
      </c>
      <c r="C2736" s="2" t="inlineStr">
        <is>
          <t>코스피</t>
        </is>
      </c>
      <c r="D2736" s="2" t="inlineStr">
        <is>
          <t>001080</t>
        </is>
      </c>
      <c r="E2736" s="3" t="inlineStr">
        <is>
          <t>대표이사(대표집행임원)변경(안내공시)               (정정: 20260306)</t>
        </is>
      </c>
      <c r="F2736" s="3" t="inlineStr">
        <is>
          <t>만호제강</t>
        </is>
      </c>
      <c r="G2736" s="2" t="inlineStr">
        <is>
          <t>20260306800388</t>
        </is>
      </c>
      <c r="H2736" s="8">
        <f>HYPERLINK("https://dart.fss.or.kr/dsaf001/main.do?rcpNo=20260306800388", "공시열람")</f>
        <v/>
      </c>
    </row>
    <row r="2737">
      <c r="A2737" s="2" t="inlineStr">
        <is>
          <t>2026-03-05</t>
        </is>
      </c>
      <c r="B2737" s="3" t="inlineStr">
        <is>
          <t>OCI홀딩스</t>
        </is>
      </c>
      <c r="C2737" s="2" t="inlineStr">
        <is>
          <t>코스피</t>
        </is>
      </c>
      <c r="D2737" s="2" t="inlineStr">
        <is>
          <t>010060</t>
        </is>
      </c>
      <c r="E2737" s="3" t="inlineStr">
        <is>
          <t xml:space="preserve">감사보고서제출(자회사의 주요경영사항)              </t>
        </is>
      </c>
      <c r="F2737" s="3" t="inlineStr">
        <is>
          <t>OCI홀딩스</t>
        </is>
      </c>
      <c r="G2737" s="2" t="inlineStr">
        <is>
          <t>20260305801470</t>
        </is>
      </c>
      <c r="H2737" s="8">
        <f>HYPERLINK("https://dart.fss.or.kr/dsaf001/main.do?rcpNo=20260305801470", "공시열람")</f>
        <v/>
      </c>
    </row>
    <row r="2738">
      <c r="A2738" s="2" t="inlineStr">
        <is>
          <t>2026-03-05</t>
        </is>
      </c>
      <c r="B2738" s="3" t="inlineStr">
        <is>
          <t>삼성물산</t>
        </is>
      </c>
      <c r="C2738" s="2" t="inlineStr">
        <is>
          <t>코스피</t>
        </is>
      </c>
      <c r="D2738" s="2" t="inlineStr">
        <is>
          <t>028260</t>
        </is>
      </c>
      <c r="E2738" s="3" t="inlineStr">
        <is>
          <t xml:space="preserve">감사보고서제출              </t>
        </is>
      </c>
      <c r="F2738" s="3" t="inlineStr">
        <is>
          <t>삼성물산</t>
        </is>
      </c>
      <c r="G2738" s="2" t="inlineStr">
        <is>
          <t>20260305801456</t>
        </is>
      </c>
      <c r="H2738" s="8">
        <f>HYPERLINK("https://dart.fss.or.kr/dsaf001/main.do?rcpNo=20260305801456", "공시열람")</f>
        <v/>
      </c>
    </row>
    <row r="2739">
      <c r="A2739" s="2" t="inlineStr">
        <is>
          <t>2026-03-05</t>
        </is>
      </c>
      <c r="B2739" s="3" t="inlineStr">
        <is>
          <t>JB금융지주</t>
        </is>
      </c>
      <c r="C2739" s="2" t="inlineStr">
        <is>
          <t>코스피</t>
        </is>
      </c>
      <c r="D2739" s="2" t="inlineStr">
        <is>
          <t>175330</t>
        </is>
      </c>
      <c r="E2739" s="3" t="inlineStr">
        <is>
          <t xml:space="preserve">기업지배구조보고서공시(연차보고서)              </t>
        </is>
      </c>
      <c r="F2739" s="3" t="inlineStr">
        <is>
          <t>JB금융지주</t>
        </is>
      </c>
      <c r="G2739" s="2" t="inlineStr">
        <is>
          <t>20260305801535</t>
        </is>
      </c>
      <c r="H2739" s="8">
        <f>HYPERLINK("https://dart.fss.or.kr/dsaf001/main.do?rcpNo=20260305801535", "공시열람")</f>
        <v/>
      </c>
    </row>
    <row r="2740">
      <c r="A2740" s="2" t="inlineStr">
        <is>
          <t>2026-03-05</t>
        </is>
      </c>
      <c r="B2740" s="3" t="inlineStr">
        <is>
          <t>오리콤</t>
        </is>
      </c>
      <c r="C2740" s="2" t="inlineStr">
        <is>
          <t>코스닥</t>
        </is>
      </c>
      <c r="D2740" s="2" t="inlineStr">
        <is>
          <t>010470</t>
        </is>
      </c>
      <c r="E2740" s="3" t="inlineStr">
        <is>
          <t>임원ㆍ주요주주특정증권등소유상황보고서</t>
        </is>
      </c>
      <c r="F2740" s="3" t="inlineStr">
        <is>
          <t>박혜원</t>
        </is>
      </c>
      <c r="G2740" s="2" t="inlineStr">
        <is>
          <t>20260305001389</t>
        </is>
      </c>
      <c r="H2740" s="8">
        <f>HYPERLINK("https://dart.fss.or.kr/dsaf001/main.do?rcpNo=20260305001389", "공시열람")</f>
        <v/>
      </c>
    </row>
    <row r="2741">
      <c r="A2741" s="2" t="inlineStr">
        <is>
          <t>2026-03-05</t>
        </is>
      </c>
      <c r="B2741" s="3" t="inlineStr">
        <is>
          <t>우리로</t>
        </is>
      </c>
      <c r="C2741" s="2" t="inlineStr">
        <is>
          <t>코스닥</t>
        </is>
      </c>
      <c r="D2741" s="2" t="inlineStr">
        <is>
          <t>046970</t>
        </is>
      </c>
      <c r="E2741" s="3" t="inlineStr">
        <is>
          <t xml:space="preserve">매출액또는손익구조30%(대규모법인은15%)이상변동              </t>
        </is>
      </c>
      <c r="F2741" s="3" t="inlineStr">
        <is>
          <t>우리로</t>
        </is>
      </c>
      <c r="G2741" s="2" t="inlineStr">
        <is>
          <t>20260305901440</t>
        </is>
      </c>
      <c r="H2741" s="8">
        <f>HYPERLINK("https://dart.fss.or.kr/dsaf001/main.do?rcpNo=20260305901440", "공시열람")</f>
        <v/>
      </c>
    </row>
    <row r="2742">
      <c r="A2742" s="2" t="inlineStr">
        <is>
          <t>2026-03-05</t>
        </is>
      </c>
      <c r="B2742" s="3" t="inlineStr">
        <is>
          <t>두산</t>
        </is>
      </c>
      <c r="C2742" s="2" t="inlineStr">
        <is>
          <t>코스피</t>
        </is>
      </c>
      <c r="D2742" s="2" t="inlineStr">
        <is>
          <t>000150</t>
        </is>
      </c>
      <c r="E2742" s="3" t="inlineStr">
        <is>
          <t>임원ㆍ주요주주특정증권등소유상황보고서</t>
        </is>
      </c>
      <c r="F2742" s="3" t="inlineStr">
        <is>
          <t>금동근</t>
        </is>
      </c>
      <c r="G2742" s="2" t="inlineStr">
        <is>
          <t>20260305001387</t>
        </is>
      </c>
      <c r="H2742" s="8">
        <f>HYPERLINK("https://dart.fss.or.kr/dsaf001/main.do?rcpNo=20260305001387", "공시열람")</f>
        <v/>
      </c>
    </row>
    <row r="2743">
      <c r="A2743" s="2" t="inlineStr">
        <is>
          <t>2026-03-05</t>
        </is>
      </c>
      <c r="B2743" s="3" t="inlineStr">
        <is>
          <t>두산에너빌리티</t>
        </is>
      </c>
      <c r="C2743" s="2" t="inlineStr">
        <is>
          <t>코스피</t>
        </is>
      </c>
      <c r="D2743" s="2" t="inlineStr">
        <is>
          <t>034020</t>
        </is>
      </c>
      <c r="E2743" s="3" t="inlineStr">
        <is>
          <t>임원ㆍ주요주주특정증권등소유상황보고서</t>
        </is>
      </c>
      <c r="F2743" s="3" t="inlineStr">
        <is>
          <t>강석주</t>
        </is>
      </c>
      <c r="G2743" s="2" t="inlineStr">
        <is>
          <t>20260305001385</t>
        </is>
      </c>
      <c r="H2743" s="8">
        <f>HYPERLINK("https://dart.fss.or.kr/dsaf001/main.do?rcpNo=20260305001385", "공시열람")</f>
        <v/>
      </c>
    </row>
    <row r="2744">
      <c r="A2744" s="2" t="inlineStr">
        <is>
          <t>2026-03-05</t>
        </is>
      </c>
      <c r="B2744" s="3" t="inlineStr">
        <is>
          <t>라온피플</t>
        </is>
      </c>
      <c r="C2744" s="2" t="inlineStr">
        <is>
          <t>코스닥</t>
        </is>
      </c>
      <c r="D2744" s="2" t="inlineStr">
        <is>
          <t>300120</t>
        </is>
      </c>
      <c r="E2744" s="3" t="inlineStr">
        <is>
          <t>임원ㆍ주요주주특정증권등소유상황보고서</t>
        </is>
      </c>
      <c r="F2744" s="3" t="inlineStr">
        <is>
          <t>윤기욱</t>
        </is>
      </c>
      <c r="G2744" s="2" t="inlineStr">
        <is>
          <t>20260305001384</t>
        </is>
      </c>
      <c r="H2744" s="8">
        <f>HYPERLINK("https://dart.fss.or.kr/dsaf001/main.do?rcpNo=20260305001384", "공시열람")</f>
        <v/>
      </c>
    </row>
    <row r="2745">
      <c r="A2745" s="2" t="inlineStr">
        <is>
          <t>2026-03-05</t>
        </is>
      </c>
      <c r="B2745" s="3" t="inlineStr">
        <is>
          <t>차바이오텍</t>
        </is>
      </c>
      <c r="C2745" s="2" t="inlineStr">
        <is>
          <t>코스닥</t>
        </is>
      </c>
      <c r="D2745" s="2" t="inlineStr">
        <is>
          <t>085660</t>
        </is>
      </c>
      <c r="E2745" s="3" t="inlineStr">
        <is>
          <t>주요사항보고서(제3자의전환주식매수선택권행사)</t>
        </is>
      </c>
      <c r="F2745" s="3" t="inlineStr">
        <is>
          <t>차바이오텍</t>
        </is>
      </c>
      <c r="G2745" s="2" t="inlineStr">
        <is>
          <t>20260305001383</t>
        </is>
      </c>
      <c r="H2745" s="8">
        <f>HYPERLINK("https://dart.fss.or.kr/dsaf001/main.do?rcpNo=20260305001383", "공시열람")</f>
        <v/>
      </c>
    </row>
    <row r="2746">
      <c r="A2746" s="2" t="inlineStr">
        <is>
          <t>2026-03-05</t>
        </is>
      </c>
      <c r="B2746" s="3" t="inlineStr">
        <is>
          <t>LG에너지솔루션</t>
        </is>
      </c>
      <c r="C2746" s="2" t="inlineStr">
        <is>
          <t>코스피</t>
        </is>
      </c>
      <c r="D2746" s="2" t="inlineStr">
        <is>
          <t>373220</t>
        </is>
      </c>
      <c r="E2746" s="3" t="inlineStr">
        <is>
          <t xml:space="preserve">감사보고서제출              </t>
        </is>
      </c>
      <c r="F2746" s="3" t="inlineStr">
        <is>
          <t>LG에너지솔루션</t>
        </is>
      </c>
      <c r="G2746" s="2" t="inlineStr">
        <is>
          <t>20260305801416</t>
        </is>
      </c>
      <c r="H2746" s="8">
        <f>HYPERLINK("https://dart.fss.or.kr/dsaf001/main.do?rcpNo=20260305801416", "공시열람")</f>
        <v/>
      </c>
    </row>
    <row r="2747">
      <c r="A2747" s="2" t="inlineStr">
        <is>
          <t>2026-03-05</t>
        </is>
      </c>
      <c r="B2747" s="3" t="inlineStr">
        <is>
          <t>미래에셋증권</t>
        </is>
      </c>
      <c r="C2747" s="2" t="inlineStr">
        <is>
          <t>코스피</t>
        </is>
      </c>
      <c r="D2747" s="2" t="inlineStr">
        <is>
          <t>006800</t>
        </is>
      </c>
      <c r="E2747" s="3" t="inlineStr">
        <is>
          <t>임원ㆍ주요주주특정증권등소유상황보고서</t>
        </is>
      </c>
      <c r="F2747" s="3" t="inlineStr">
        <is>
          <t>김형래</t>
        </is>
      </c>
      <c r="G2747" s="2" t="inlineStr">
        <is>
          <t>20260305001380</t>
        </is>
      </c>
      <c r="H2747" s="8">
        <f>HYPERLINK("https://dart.fss.or.kr/dsaf001/main.do?rcpNo=20260305001380", "공시열람")</f>
        <v/>
      </c>
    </row>
    <row r="2748">
      <c r="A2748" s="2" t="inlineStr">
        <is>
          <t>2026-03-05</t>
        </is>
      </c>
      <c r="B2748" s="3" t="inlineStr">
        <is>
          <t>미래에셋증권</t>
        </is>
      </c>
      <c r="C2748" s="2" t="inlineStr">
        <is>
          <t>코스피</t>
        </is>
      </c>
      <c r="D2748" s="2" t="inlineStr">
        <is>
          <t>006800</t>
        </is>
      </c>
      <c r="E2748" s="3" t="inlineStr">
        <is>
          <t>임원ㆍ주요주주특정증권등소유상황보고서</t>
        </is>
      </c>
      <c r="F2748" s="3" t="inlineStr">
        <is>
          <t>노정숙</t>
        </is>
      </c>
      <c r="G2748" s="2" t="inlineStr">
        <is>
          <t>20260305001379</t>
        </is>
      </c>
      <c r="H2748" s="8">
        <f>HYPERLINK("https://dart.fss.or.kr/dsaf001/main.do?rcpNo=20260305001379", "공시열람")</f>
        <v/>
      </c>
    </row>
    <row r="2749">
      <c r="A2749" s="2" t="inlineStr">
        <is>
          <t>2026-03-05</t>
        </is>
      </c>
      <c r="B2749" s="3" t="inlineStr">
        <is>
          <t>코데즈컴바인</t>
        </is>
      </c>
      <c r="C2749" s="2" t="inlineStr">
        <is>
          <t>코스닥</t>
        </is>
      </c>
      <c r="D2749" s="2" t="inlineStr">
        <is>
          <t>047770</t>
        </is>
      </c>
      <c r="E2749" s="3" t="inlineStr">
        <is>
          <t xml:space="preserve">매출액또는손익구조30%(대규모법인은15%)이상변동              </t>
        </is>
      </c>
      <c r="F2749" s="3" t="inlineStr">
        <is>
          <t>코데즈컴바인</t>
        </is>
      </c>
      <c r="G2749" s="2" t="inlineStr">
        <is>
          <t>20260305901409</t>
        </is>
      </c>
      <c r="H2749" s="8">
        <f>HYPERLINK("https://dart.fss.or.kr/dsaf001/main.do?rcpNo=20260305901409", "공시열람")</f>
        <v/>
      </c>
    </row>
    <row r="2750">
      <c r="A2750" s="2" t="inlineStr">
        <is>
          <t>2026-03-05</t>
        </is>
      </c>
      <c r="B2750" s="3" t="inlineStr">
        <is>
          <t>모비스</t>
        </is>
      </c>
      <c r="C2750" s="2" t="inlineStr">
        <is>
          <t>코스닥</t>
        </is>
      </c>
      <c r="D2750" s="2" t="inlineStr">
        <is>
          <t>250060</t>
        </is>
      </c>
      <c r="E2750" s="3" t="inlineStr">
        <is>
          <t>투자판단관련주요경영사항              (최대주주 보유주식 가압류)</t>
        </is>
      </c>
      <c r="F2750" s="3" t="inlineStr">
        <is>
          <t>모비스</t>
        </is>
      </c>
      <c r="G2750" s="2" t="inlineStr">
        <is>
          <t>20260305901415</t>
        </is>
      </c>
      <c r="H2750" s="8">
        <f>HYPERLINK("https://dart.fss.or.kr/dsaf001/main.do?rcpNo=20260305901415", "공시열람")</f>
        <v/>
      </c>
    </row>
    <row r="2751">
      <c r="A2751" s="2" t="inlineStr">
        <is>
          <t>2026-03-05</t>
        </is>
      </c>
      <c r="B2751" s="3" t="inlineStr">
        <is>
          <t>차바이오텍</t>
        </is>
      </c>
      <c r="C2751" s="2" t="inlineStr">
        <is>
          <t>코스닥</t>
        </is>
      </c>
      <c r="D2751" s="2" t="inlineStr">
        <is>
          <t>085660</t>
        </is>
      </c>
      <c r="E2751" s="3" t="inlineStr">
        <is>
          <t>주요사항보고서(제3자의신주인수권부사채매수선택권행사)</t>
        </is>
      </c>
      <c r="F2751" s="3" t="inlineStr">
        <is>
          <t>차바이오텍</t>
        </is>
      </c>
      <c r="G2751" s="2" t="inlineStr">
        <is>
          <t>20260305001375</t>
        </is>
      </c>
      <c r="H2751" s="8">
        <f>HYPERLINK("https://dart.fss.or.kr/dsaf001/main.do?rcpNo=20260305001375", "공시열람")</f>
        <v/>
      </c>
    </row>
    <row r="2752">
      <c r="A2752" s="2" t="inlineStr">
        <is>
          <t>2026-03-05</t>
        </is>
      </c>
      <c r="B2752" s="3" t="inlineStr">
        <is>
          <t>깨끗한나라</t>
        </is>
      </c>
      <c r="C2752" s="2" t="inlineStr">
        <is>
          <t>코스피</t>
        </is>
      </c>
      <c r="D2752" s="2" t="inlineStr">
        <is>
          <t>004540</t>
        </is>
      </c>
      <c r="E2752" s="3" t="inlineStr">
        <is>
          <t xml:space="preserve">전환가액ㆍ신주인수권행사가액ㆍ교환가액의조정(안내공시)              </t>
        </is>
      </c>
      <c r="F2752" s="3" t="inlineStr">
        <is>
          <t>깨끗한나라</t>
        </is>
      </c>
      <c r="G2752" s="2" t="inlineStr">
        <is>
          <t>20260305801482</t>
        </is>
      </c>
      <c r="H2752" s="8">
        <f>HYPERLINK("https://dart.fss.or.kr/dsaf001/main.do?rcpNo=20260305801482", "공시열람")</f>
        <v/>
      </c>
    </row>
    <row r="2753">
      <c r="A2753" s="2" t="inlineStr">
        <is>
          <t>2026-03-05</t>
        </is>
      </c>
      <c r="B2753" s="3" t="inlineStr">
        <is>
          <t>두산</t>
        </is>
      </c>
      <c r="C2753" s="2" t="inlineStr">
        <is>
          <t>코스피</t>
        </is>
      </c>
      <c r="D2753" s="2" t="inlineStr">
        <is>
          <t>000150</t>
        </is>
      </c>
      <c r="E2753" s="3" t="inlineStr">
        <is>
          <t>임원ㆍ주요주주특정증권등소유상황보고서</t>
        </is>
      </c>
      <c r="F2753" s="3" t="inlineStr">
        <is>
          <t>송석기</t>
        </is>
      </c>
      <c r="G2753" s="2" t="inlineStr">
        <is>
          <t>20260305001372</t>
        </is>
      </c>
      <c r="H2753" s="8">
        <f>HYPERLINK("https://dart.fss.or.kr/dsaf001/main.do?rcpNo=20260305001372", "공시열람")</f>
        <v/>
      </c>
    </row>
    <row r="2754">
      <c r="A2754" s="2" t="inlineStr">
        <is>
          <t>2026-03-05</t>
        </is>
      </c>
      <c r="B2754" s="3" t="inlineStr">
        <is>
          <t>신영증권</t>
        </is>
      </c>
      <c r="C2754" s="2" t="inlineStr">
        <is>
          <t>코스피</t>
        </is>
      </c>
      <c r="D2754" s="2" t="inlineStr">
        <is>
          <t>001720</t>
        </is>
      </c>
      <c r="E2754" s="3" t="inlineStr">
        <is>
          <t>투자설명서(일괄신고)</t>
        </is>
      </c>
      <c r="F2754" s="3" t="inlineStr">
        <is>
          <t>신영증권</t>
        </is>
      </c>
      <c r="G2754" s="2" t="inlineStr">
        <is>
          <t>20260305001370</t>
        </is>
      </c>
      <c r="H2754" s="8">
        <f>HYPERLINK("https://dart.fss.or.kr/dsaf001/main.do?rcpNo=20260305001370", "공시열람")</f>
        <v/>
      </c>
    </row>
    <row r="2755">
      <c r="A2755" s="2" t="inlineStr">
        <is>
          <t>2026-03-05</t>
        </is>
      </c>
      <c r="B2755" s="3" t="inlineStr">
        <is>
          <t>러셀</t>
        </is>
      </c>
      <c r="C2755" s="2" t="inlineStr">
        <is>
          <t>코스닥</t>
        </is>
      </c>
      <c r="D2755" s="2" t="inlineStr">
        <is>
          <t>217500</t>
        </is>
      </c>
      <c r="E2755" s="3" t="inlineStr">
        <is>
          <t>주요사항보고서(자기주식처분결정)</t>
        </is>
      </c>
      <c r="F2755" s="3" t="inlineStr">
        <is>
          <t>러셀</t>
        </is>
      </c>
      <c r="G2755" s="2" t="inlineStr">
        <is>
          <t>20260305001347</t>
        </is>
      </c>
      <c r="H2755" s="8">
        <f>HYPERLINK("https://dart.fss.or.kr/dsaf001/main.do?rcpNo=20260305001347", "공시열람")</f>
        <v/>
      </c>
    </row>
    <row r="2756">
      <c r="A2756" s="2" t="inlineStr">
        <is>
          <t>2026-03-05</t>
        </is>
      </c>
      <c r="B2756" s="3" t="inlineStr">
        <is>
          <t>OCI</t>
        </is>
      </c>
      <c r="C2756" s="2" t="inlineStr">
        <is>
          <t>코스피</t>
        </is>
      </c>
      <c r="D2756" s="2" t="inlineStr">
        <is>
          <t>456040</t>
        </is>
      </c>
      <c r="E2756" s="3" t="inlineStr">
        <is>
          <t xml:space="preserve">감사보고서제출              </t>
        </is>
      </c>
      <c r="F2756" s="3" t="inlineStr">
        <is>
          <t>OCI</t>
        </is>
      </c>
      <c r="G2756" s="2" t="inlineStr">
        <is>
          <t>20260305801374</t>
        </is>
      </c>
      <c r="H2756" s="8">
        <f>HYPERLINK("https://dart.fss.or.kr/dsaf001/main.do?rcpNo=20260305801374", "공시열람")</f>
        <v/>
      </c>
    </row>
    <row r="2757">
      <c r="A2757" s="2" t="inlineStr">
        <is>
          <t>2026-03-05</t>
        </is>
      </c>
      <c r="B2757" s="3" t="inlineStr">
        <is>
          <t>오리콤</t>
        </is>
      </c>
      <c r="C2757" s="2" t="inlineStr">
        <is>
          <t>코스닥</t>
        </is>
      </c>
      <c r="D2757" s="2" t="inlineStr">
        <is>
          <t>010470</t>
        </is>
      </c>
      <c r="E2757" s="3" t="inlineStr">
        <is>
          <t>임원ㆍ주요주주특정증권등소유상황보고서</t>
        </is>
      </c>
      <c r="F2757" s="3" t="inlineStr">
        <is>
          <t>이혜주</t>
        </is>
      </c>
      <c r="G2757" s="2" t="inlineStr">
        <is>
          <t>20260305001368</t>
        </is>
      </c>
      <c r="H2757" s="8">
        <f>HYPERLINK("https://dart.fss.or.kr/dsaf001/main.do?rcpNo=20260305001368", "공시열람")</f>
        <v/>
      </c>
    </row>
    <row r="2758">
      <c r="A2758" s="2" t="inlineStr">
        <is>
          <t>2026-03-05</t>
        </is>
      </c>
      <c r="B2758" s="3" t="inlineStr">
        <is>
          <t>DKME</t>
        </is>
      </c>
      <c r="C2758" s="2" t="inlineStr">
        <is>
          <t>코스피</t>
        </is>
      </c>
      <c r="D2758" s="2" t="inlineStr">
        <is>
          <t>015590</t>
        </is>
      </c>
      <c r="E2758" s="3" t="inlineStr">
        <is>
          <t>임원ㆍ주요주주특정증권등소유상황보고서</t>
        </is>
      </c>
      <c r="F2758" s="3" t="inlineStr">
        <is>
          <t>김예리</t>
        </is>
      </c>
      <c r="G2758" s="2" t="inlineStr">
        <is>
          <t>20260305001367</t>
        </is>
      </c>
      <c r="H2758" s="8">
        <f>HYPERLINK("https://dart.fss.or.kr/dsaf001/main.do?rcpNo=20260305001367", "공시열람")</f>
        <v/>
      </c>
    </row>
    <row r="2759">
      <c r="A2759" s="2" t="inlineStr">
        <is>
          <t>2026-03-05</t>
        </is>
      </c>
      <c r="B2759" s="3" t="inlineStr">
        <is>
          <t>두산</t>
        </is>
      </c>
      <c r="C2759" s="2" t="inlineStr">
        <is>
          <t>코스피</t>
        </is>
      </c>
      <c r="D2759" s="2" t="inlineStr">
        <is>
          <t>000150</t>
        </is>
      </c>
      <c r="E2759" s="3" t="inlineStr">
        <is>
          <t>임원ㆍ주요주주특정증권등소유상황보고서</t>
        </is>
      </c>
      <c r="F2759" s="3" t="inlineStr">
        <is>
          <t>김상우</t>
        </is>
      </c>
      <c r="G2759" s="2" t="inlineStr">
        <is>
          <t>20260305001366</t>
        </is>
      </c>
      <c r="H2759" s="8">
        <f>HYPERLINK("https://dart.fss.or.kr/dsaf001/main.do?rcpNo=20260305001366", "공시열람")</f>
        <v/>
      </c>
    </row>
    <row r="2760">
      <c r="A2760" s="2" t="inlineStr">
        <is>
          <t>2026-03-05</t>
        </is>
      </c>
      <c r="B2760" s="3" t="inlineStr">
        <is>
          <t>차바이오텍</t>
        </is>
      </c>
      <c r="C2760" s="2" t="inlineStr">
        <is>
          <t>코스닥</t>
        </is>
      </c>
      <c r="D2760" s="2" t="inlineStr">
        <is>
          <t>085660</t>
        </is>
      </c>
      <c r="E2760" s="3" t="inlineStr">
        <is>
          <t>주요사항보고서(제3자의전환사채매수선택권행사)</t>
        </is>
      </c>
      <c r="F2760" s="3" t="inlineStr">
        <is>
          <t>차바이오텍</t>
        </is>
      </c>
      <c r="G2760" s="2" t="inlineStr">
        <is>
          <t>20260305001364</t>
        </is>
      </c>
      <c r="H2760" s="8">
        <f>HYPERLINK("https://dart.fss.or.kr/dsaf001/main.do?rcpNo=20260305001364", "공시열람")</f>
        <v/>
      </c>
    </row>
    <row r="2761">
      <c r="A2761" s="2" t="inlineStr">
        <is>
          <t>2026-03-05</t>
        </is>
      </c>
      <c r="B2761" s="3" t="inlineStr">
        <is>
          <t>엔솔바이오사이언스</t>
        </is>
      </c>
      <c r="C2761" s="2" t="inlineStr">
        <is>
          <t>코넥스</t>
        </is>
      </c>
      <c r="D2761" s="2" t="inlineStr">
        <is>
          <t>140610</t>
        </is>
      </c>
      <c r="E2761" s="3" t="inlineStr">
        <is>
          <t xml:space="preserve">기타주요경영사항(자율공시)              </t>
        </is>
      </c>
      <c r="F2761" s="3" t="inlineStr">
        <is>
          <t>엔솔바이오사이언스</t>
        </is>
      </c>
      <c r="G2761" s="2" t="inlineStr">
        <is>
          <t>20260305601364</t>
        </is>
      </c>
      <c r="H2761" s="8">
        <f>HYPERLINK("https://dart.fss.or.kr/dsaf001/main.do?rcpNo=20260305601364", "공시열람")</f>
        <v/>
      </c>
    </row>
    <row r="2762">
      <c r="A2762" s="2" t="inlineStr">
        <is>
          <t>2026-03-05</t>
        </is>
      </c>
      <c r="B2762" s="3" t="inlineStr">
        <is>
          <t>신영증권</t>
        </is>
      </c>
      <c r="C2762" s="2" t="inlineStr">
        <is>
          <t>코스피</t>
        </is>
      </c>
      <c r="D2762" s="2" t="inlineStr">
        <is>
          <t>001720</t>
        </is>
      </c>
      <c r="E2762" s="3" t="inlineStr">
        <is>
          <t>일괄신고추가서류(파생결합증권-주가연계증권)</t>
        </is>
      </c>
      <c r="F2762" s="3" t="inlineStr">
        <is>
          <t>신영증권</t>
        </is>
      </c>
      <c r="G2762" s="2" t="inlineStr">
        <is>
          <t>20260305001361</t>
        </is>
      </c>
      <c r="H2762" s="8">
        <f>HYPERLINK("https://dart.fss.or.kr/dsaf001/main.do?rcpNo=20260305001361", "공시열람")</f>
        <v/>
      </c>
    </row>
    <row r="2763">
      <c r="A2763" s="2" t="inlineStr">
        <is>
          <t>2026-03-05</t>
        </is>
      </c>
      <c r="B2763" s="3" t="inlineStr">
        <is>
          <t>삼성출판사</t>
        </is>
      </c>
      <c r="C2763" s="2" t="inlineStr">
        <is>
          <t>코스피</t>
        </is>
      </c>
      <c r="D2763" s="2" t="inlineStr">
        <is>
          <t>068290</t>
        </is>
      </c>
      <c r="E2763" s="3" t="inlineStr">
        <is>
          <t xml:space="preserve">현금ㆍ현물배당결정              </t>
        </is>
      </c>
      <c r="F2763" s="3" t="inlineStr">
        <is>
          <t>삼성출판사</t>
        </is>
      </c>
      <c r="G2763" s="2" t="inlineStr">
        <is>
          <t>20260305801453</t>
        </is>
      </c>
      <c r="H2763" s="8">
        <f>HYPERLINK("https://dart.fss.or.kr/dsaf001/main.do?rcpNo=20260305801453", "공시열람")</f>
        <v/>
      </c>
    </row>
    <row r="2764">
      <c r="A2764" s="2" t="inlineStr">
        <is>
          <t>2026-03-05</t>
        </is>
      </c>
      <c r="B2764" s="3" t="inlineStr">
        <is>
          <t>디오</t>
        </is>
      </c>
      <c r="C2764" s="2" t="inlineStr">
        <is>
          <t>코스닥</t>
        </is>
      </c>
      <c r="D2764" s="2" t="inlineStr">
        <is>
          <t>039840</t>
        </is>
      </c>
      <c r="E2764" s="3" t="inlineStr">
        <is>
          <t xml:space="preserve">감사보고서제출              </t>
        </is>
      </c>
      <c r="F2764" s="3" t="inlineStr">
        <is>
          <t>디오</t>
        </is>
      </c>
      <c r="G2764" s="2" t="inlineStr">
        <is>
          <t>20260305901324</t>
        </is>
      </c>
      <c r="H2764" s="8">
        <f>HYPERLINK("https://dart.fss.or.kr/dsaf001/main.do?rcpNo=20260305901324", "공시열람")</f>
        <v/>
      </c>
    </row>
    <row r="2765">
      <c r="A2765" s="2" t="inlineStr">
        <is>
          <t>2026-03-05</t>
        </is>
      </c>
      <c r="B2765" s="3" t="inlineStr">
        <is>
          <t>두산</t>
        </is>
      </c>
      <c r="C2765" s="2" t="inlineStr">
        <is>
          <t>코스피</t>
        </is>
      </c>
      <c r="D2765" s="2" t="inlineStr">
        <is>
          <t>000150</t>
        </is>
      </c>
      <c r="E2765" s="3" t="inlineStr">
        <is>
          <t>임원ㆍ주요주주특정증권등소유상황보고서</t>
        </is>
      </c>
      <c r="F2765" s="3" t="inlineStr">
        <is>
          <t>김홍일</t>
        </is>
      </c>
      <c r="G2765" s="2" t="inlineStr">
        <is>
          <t>20260305001359</t>
        </is>
      </c>
      <c r="H2765" s="8">
        <f>HYPERLINK("https://dart.fss.or.kr/dsaf001/main.do?rcpNo=20260305001359", "공시열람")</f>
        <v/>
      </c>
    </row>
    <row r="2766">
      <c r="A2766" s="2" t="inlineStr">
        <is>
          <t>2026-03-05</t>
        </is>
      </c>
      <c r="B2766" s="3" t="inlineStr">
        <is>
          <t>동아쏘시오홀딩스</t>
        </is>
      </c>
      <c r="C2766" s="2" t="inlineStr">
        <is>
          <t>코스피</t>
        </is>
      </c>
      <c r="D2766" s="2" t="inlineStr">
        <is>
          <t>000640</t>
        </is>
      </c>
      <c r="E2766" s="3" t="inlineStr">
        <is>
          <t>증권발행실적보고서</t>
        </is>
      </c>
      <c r="F2766" s="3" t="inlineStr">
        <is>
          <t>동아쏘시오홀딩스</t>
        </is>
      </c>
      <c r="G2766" s="2" t="inlineStr">
        <is>
          <t>20260305001356</t>
        </is>
      </c>
      <c r="H2766" s="8">
        <f>HYPERLINK("https://dart.fss.or.kr/dsaf001/main.do?rcpNo=20260305001356", "공시열람")</f>
        <v/>
      </c>
    </row>
    <row r="2767">
      <c r="A2767" s="2" t="inlineStr">
        <is>
          <t>2026-03-05</t>
        </is>
      </c>
      <c r="B2767" s="3" t="inlineStr">
        <is>
          <t>비투엔</t>
        </is>
      </c>
      <c r="C2767" s="2" t="inlineStr">
        <is>
          <t>코스닥</t>
        </is>
      </c>
      <c r="D2767" s="2" t="inlineStr">
        <is>
          <t>307870</t>
        </is>
      </c>
      <c r="E2767" s="3" t="inlineStr">
        <is>
          <t>임원ㆍ주요주주특정증권등소유상황보고서</t>
        </is>
      </c>
      <c r="F2767" s="3" t="inlineStr">
        <is>
          <t>마르스엘피1호</t>
        </is>
      </c>
      <c r="G2767" s="2" t="inlineStr">
        <is>
          <t>20260305001353</t>
        </is>
      </c>
      <c r="H2767" s="8">
        <f>HYPERLINK("https://dart.fss.or.kr/dsaf001/main.do?rcpNo=20260305001353", "공시열람")</f>
        <v/>
      </c>
    </row>
    <row r="2768">
      <c r="A2768" s="2" t="inlineStr">
        <is>
          <t>2026-03-05</t>
        </is>
      </c>
      <c r="B2768" s="3" t="inlineStr">
        <is>
          <t>두산에너빌리티</t>
        </is>
      </c>
      <c r="C2768" s="2" t="inlineStr">
        <is>
          <t>코스피</t>
        </is>
      </c>
      <c r="D2768" s="2" t="inlineStr">
        <is>
          <t>034020</t>
        </is>
      </c>
      <c r="E2768" s="3" t="inlineStr">
        <is>
          <t>임원ㆍ주요주주특정증권등소유상황보고서</t>
        </is>
      </c>
      <c r="F2768" s="3" t="inlineStr">
        <is>
          <t>이현호</t>
        </is>
      </c>
      <c r="G2768" s="2" t="inlineStr">
        <is>
          <t>20260305001351</t>
        </is>
      </c>
      <c r="H2768" s="8">
        <f>HYPERLINK("https://dart.fss.or.kr/dsaf001/main.do?rcpNo=20260305001351", "공시열람")</f>
        <v/>
      </c>
    </row>
    <row r="2769">
      <c r="A2769" s="2" t="inlineStr">
        <is>
          <t>2026-03-05</t>
        </is>
      </c>
      <c r="B2769" s="3" t="inlineStr">
        <is>
          <t>두산</t>
        </is>
      </c>
      <c r="C2769" s="2" t="inlineStr">
        <is>
          <t>코스피</t>
        </is>
      </c>
      <c r="D2769" s="2" t="inlineStr">
        <is>
          <t>000150</t>
        </is>
      </c>
      <c r="E2769" s="3" t="inlineStr">
        <is>
          <t>임원ㆍ주요주주특정증권등소유상황보고서</t>
        </is>
      </c>
      <c r="F2769" s="3" t="inlineStr">
        <is>
          <t>김정탁</t>
        </is>
      </c>
      <c r="G2769" s="2" t="inlineStr">
        <is>
          <t>20260305001349</t>
        </is>
      </c>
      <c r="H2769" s="8">
        <f>HYPERLINK("https://dart.fss.or.kr/dsaf001/main.do?rcpNo=20260305001349", "공시열람")</f>
        <v/>
      </c>
    </row>
    <row r="2770">
      <c r="A2770" s="2" t="inlineStr">
        <is>
          <t>2026-03-05</t>
        </is>
      </c>
      <c r="B2770" s="3" t="inlineStr">
        <is>
          <t>현대무벡스</t>
        </is>
      </c>
      <c r="C2770" s="2" t="inlineStr">
        <is>
          <t>코스닥</t>
        </is>
      </c>
      <c r="D2770" s="2" t="inlineStr">
        <is>
          <t>319400</t>
        </is>
      </c>
      <c r="E2770" s="3" t="inlineStr">
        <is>
          <t xml:space="preserve">현금ㆍ현물배당결정              </t>
        </is>
      </c>
      <c r="F2770" s="3" t="inlineStr">
        <is>
          <t>현대무벡스</t>
        </is>
      </c>
      <c r="G2770" s="2" t="inlineStr">
        <is>
          <t>20260305901330</t>
        </is>
      </c>
      <c r="H2770" s="8">
        <f>HYPERLINK("https://dart.fss.or.kr/dsaf001/main.do?rcpNo=20260305901330", "공시열람")</f>
        <v/>
      </c>
    </row>
    <row r="2771">
      <c r="A2771" s="2" t="inlineStr">
        <is>
          <t>2026-03-05</t>
        </is>
      </c>
      <c r="B2771" s="3" t="inlineStr">
        <is>
          <t>KT밀리의서재</t>
        </is>
      </c>
      <c r="C2771" s="2" t="inlineStr">
        <is>
          <t>코스닥</t>
        </is>
      </c>
      <c r="D2771" s="2" t="inlineStr">
        <is>
          <t>418470</t>
        </is>
      </c>
      <c r="E2771" s="3" t="inlineStr">
        <is>
          <t xml:space="preserve">감사보고서제출              </t>
        </is>
      </c>
      <c r="F2771" s="3" t="inlineStr">
        <is>
          <t>KT밀리의서재</t>
        </is>
      </c>
      <c r="G2771" s="2" t="inlineStr">
        <is>
          <t>20260305901397</t>
        </is>
      </c>
      <c r="H2771" s="8">
        <f>HYPERLINK("https://dart.fss.or.kr/dsaf001/main.do?rcpNo=20260305901397", "공시열람")</f>
        <v/>
      </c>
    </row>
    <row r="2772">
      <c r="A2772" s="2" t="inlineStr">
        <is>
          <t>2026-03-05</t>
        </is>
      </c>
      <c r="B2772" s="3" t="inlineStr">
        <is>
          <t>DB증권</t>
        </is>
      </c>
      <c r="C2772" s="2" t="inlineStr">
        <is>
          <t>코스피</t>
        </is>
      </c>
      <c r="D2772" s="2" t="inlineStr">
        <is>
          <t>016610</t>
        </is>
      </c>
      <c r="E2772" s="3" t="inlineStr">
        <is>
          <t>투자설명서(일괄신고)</t>
        </is>
      </c>
      <c r="F2772" s="3" t="inlineStr">
        <is>
          <t>DB증권</t>
        </is>
      </c>
      <c r="G2772" s="2" t="inlineStr">
        <is>
          <t>20260305001342</t>
        </is>
      </c>
      <c r="H2772" s="8">
        <f>HYPERLINK("https://dart.fss.or.kr/dsaf001/main.do?rcpNo=20260305001342", "공시열람")</f>
        <v/>
      </c>
    </row>
    <row r="2773">
      <c r="A2773" s="2" t="inlineStr">
        <is>
          <t>2026-03-05</t>
        </is>
      </c>
      <c r="B2773" s="3" t="inlineStr">
        <is>
          <t>파두</t>
        </is>
      </c>
      <c r="C2773" s="2" t="inlineStr">
        <is>
          <t>코스닥</t>
        </is>
      </c>
      <c r="D2773" s="2" t="inlineStr">
        <is>
          <t>440110</t>
        </is>
      </c>
      <c r="E2773" s="3" t="inlineStr">
        <is>
          <t xml:space="preserve">기업설명회(IR)개최              </t>
        </is>
      </c>
      <c r="F2773" s="3" t="inlineStr">
        <is>
          <t>파두</t>
        </is>
      </c>
      <c r="G2773" s="2" t="inlineStr">
        <is>
          <t>20260305901370</t>
        </is>
      </c>
      <c r="H2773" s="8">
        <f>HYPERLINK("https://dart.fss.or.kr/dsaf001/main.do?rcpNo=20260305901370", "공시열람")</f>
        <v/>
      </c>
    </row>
    <row r="2774">
      <c r="A2774" s="2" t="inlineStr">
        <is>
          <t>2026-03-05</t>
        </is>
      </c>
      <c r="B2774" s="3" t="inlineStr">
        <is>
          <t>파두</t>
        </is>
      </c>
      <c r="C2774" s="2" t="inlineStr">
        <is>
          <t>코스닥</t>
        </is>
      </c>
      <c r="D2774" s="2" t="inlineStr">
        <is>
          <t>440110</t>
        </is>
      </c>
      <c r="E2774" s="3" t="inlineStr">
        <is>
          <t xml:space="preserve">기업설명회(IR)개최              </t>
        </is>
      </c>
      <c r="F2774" s="3" t="inlineStr">
        <is>
          <t>파두</t>
        </is>
      </c>
      <c r="G2774" s="2" t="inlineStr">
        <is>
          <t>20260305901368</t>
        </is>
      </c>
      <c r="H2774" s="8">
        <f>HYPERLINK("https://dart.fss.or.kr/dsaf001/main.do?rcpNo=20260305901368", "공시열람")</f>
        <v/>
      </c>
    </row>
    <row r="2775">
      <c r="A2775" s="2" t="inlineStr">
        <is>
          <t>2026-03-05</t>
        </is>
      </c>
      <c r="B2775" s="3" t="inlineStr">
        <is>
          <t>두산</t>
        </is>
      </c>
      <c r="C2775" s="2" t="inlineStr">
        <is>
          <t>코스피</t>
        </is>
      </c>
      <c r="D2775" s="2" t="inlineStr">
        <is>
          <t>000150</t>
        </is>
      </c>
      <c r="E2775" s="3" t="inlineStr">
        <is>
          <t>임원ㆍ주요주주특정증권등소유상황보고서</t>
        </is>
      </c>
      <c r="F2775" s="3" t="inlineStr">
        <is>
          <t>이현규</t>
        </is>
      </c>
      <c r="G2775" s="2" t="inlineStr">
        <is>
          <t>20260305001338</t>
        </is>
      </c>
      <c r="H2775" s="8">
        <f>HYPERLINK("https://dart.fss.or.kr/dsaf001/main.do?rcpNo=20260305001338", "공시열람")</f>
        <v/>
      </c>
    </row>
    <row r="2776">
      <c r="A2776" s="2" t="inlineStr">
        <is>
          <t>2026-03-05</t>
        </is>
      </c>
      <c r="B2776" s="3" t="inlineStr">
        <is>
          <t>미래에셋증권</t>
        </is>
      </c>
      <c r="C2776" s="2" t="inlineStr">
        <is>
          <t>코스피</t>
        </is>
      </c>
      <c r="D2776" s="2" t="inlineStr">
        <is>
          <t>006800</t>
        </is>
      </c>
      <c r="E2776" s="3" t="inlineStr">
        <is>
          <t>임원ㆍ주요주주특정증권등소유상황보고서</t>
        </is>
      </c>
      <c r="F2776" s="3" t="inlineStr">
        <is>
          <t>김진호</t>
        </is>
      </c>
      <c r="G2776" s="2" t="inlineStr">
        <is>
          <t>20260305001337</t>
        </is>
      </c>
      <c r="H2776" s="8">
        <f>HYPERLINK("https://dart.fss.or.kr/dsaf001/main.do?rcpNo=20260305001337", "공시열람")</f>
        <v/>
      </c>
    </row>
    <row r="2777">
      <c r="A2777" s="2" t="inlineStr">
        <is>
          <t>2026-03-05</t>
        </is>
      </c>
      <c r="B2777" s="3" t="inlineStr">
        <is>
          <t>케이씨티시</t>
        </is>
      </c>
      <c r="C2777" s="2" t="inlineStr">
        <is>
          <t>코스피</t>
        </is>
      </c>
      <c r="D2777" s="2" t="inlineStr">
        <is>
          <t>009070</t>
        </is>
      </c>
      <c r="E2777" s="3" t="inlineStr">
        <is>
          <t xml:space="preserve">단기차입금증가결정              </t>
        </is>
      </c>
      <c r="F2777" s="3" t="inlineStr">
        <is>
          <t>케이씨티시</t>
        </is>
      </c>
      <c r="G2777" s="2" t="inlineStr">
        <is>
          <t>20260305801369</t>
        </is>
      </c>
      <c r="H2777" s="8">
        <f>HYPERLINK("https://dart.fss.or.kr/dsaf001/main.do?rcpNo=20260305801369", "공시열람")</f>
        <v/>
      </c>
    </row>
    <row r="2778">
      <c r="A2778" s="2" t="inlineStr">
        <is>
          <t>2026-03-05</t>
        </is>
      </c>
      <c r="B2778" s="3" t="inlineStr">
        <is>
          <t>두산에너빌리티</t>
        </is>
      </c>
      <c r="C2778" s="2" t="inlineStr">
        <is>
          <t>코스피</t>
        </is>
      </c>
      <c r="D2778" s="2" t="inlineStr">
        <is>
          <t>034020</t>
        </is>
      </c>
      <c r="E2778" s="3" t="inlineStr">
        <is>
          <t>임원ㆍ주요주주특정증권등소유상황보고서</t>
        </is>
      </c>
      <c r="F2778" s="3" t="inlineStr">
        <is>
          <t>이동수</t>
        </is>
      </c>
      <c r="G2778" s="2" t="inlineStr">
        <is>
          <t>20260305001335</t>
        </is>
      </c>
      <c r="H2778" s="8">
        <f>HYPERLINK("https://dart.fss.or.kr/dsaf001/main.do?rcpNo=20260305001335", "공시열람")</f>
        <v/>
      </c>
    </row>
    <row r="2779">
      <c r="A2779" s="2" t="inlineStr">
        <is>
          <t>2026-03-05 (정정: 2026-03-06)</t>
        </is>
      </c>
      <c r="B2779" s="3" t="inlineStr">
        <is>
          <t>미래에셋증권</t>
        </is>
      </c>
      <c r="C2779" s="2" t="inlineStr">
        <is>
          <t>코스피</t>
        </is>
      </c>
      <c r="D2779" s="2" t="inlineStr">
        <is>
          <t>006800</t>
        </is>
      </c>
      <c r="E2779" s="3" t="inlineStr">
        <is>
          <t>임원ㆍ주요주주특정증권등소유상황보고서 (정정: 20260306)</t>
        </is>
      </c>
      <c r="F2779" s="3" t="inlineStr">
        <is>
          <t>사재식</t>
        </is>
      </c>
      <c r="G2779" s="2" t="inlineStr">
        <is>
          <t>20260306000914</t>
        </is>
      </c>
      <c r="H2779" s="8">
        <f>HYPERLINK("https://dart.fss.or.kr/dsaf001/main.do?rcpNo=20260306000914", "공시열람")</f>
        <v/>
      </c>
    </row>
    <row r="2780">
      <c r="A2780" s="2" t="inlineStr">
        <is>
          <t>2026-03-05</t>
        </is>
      </c>
      <c r="B2780" s="3" t="inlineStr">
        <is>
          <t>화승엔터프라이즈</t>
        </is>
      </c>
      <c r="C2780" s="2" t="inlineStr">
        <is>
          <t>코스피</t>
        </is>
      </c>
      <c r="D2780" s="2" t="inlineStr">
        <is>
          <t>241590</t>
        </is>
      </c>
      <c r="E2780" s="3" t="inlineStr">
        <is>
          <t xml:space="preserve">감사보고서제출              </t>
        </is>
      </c>
      <c r="F2780" s="3" t="inlineStr">
        <is>
          <t>화승엔터프라이즈</t>
        </is>
      </c>
      <c r="G2780" s="2" t="inlineStr">
        <is>
          <t>20260305801318</t>
        </is>
      </c>
      <c r="H2780" s="8">
        <f>HYPERLINK("https://dart.fss.or.kr/dsaf001/main.do?rcpNo=20260305801318", "공시열람")</f>
        <v/>
      </c>
    </row>
    <row r="2781">
      <c r="A2781" s="2" t="inlineStr">
        <is>
          <t>2026-03-05</t>
        </is>
      </c>
      <c r="B2781" s="3" t="inlineStr">
        <is>
          <t>iM금융지주</t>
        </is>
      </c>
      <c r="C2781" s="2" t="inlineStr">
        <is>
          <t>코스피</t>
        </is>
      </c>
      <c r="D2781" s="2" t="inlineStr">
        <is>
          <t>139130</t>
        </is>
      </c>
      <c r="E2781" s="3" t="inlineStr">
        <is>
          <t>임원ㆍ주요주주특정증권등소유상황보고서</t>
        </is>
      </c>
      <c r="F2781" s="3" t="inlineStr">
        <is>
          <t>박은숙</t>
        </is>
      </c>
      <c r="G2781" s="2" t="inlineStr">
        <is>
          <t>20260305001326</t>
        </is>
      </c>
      <c r="H2781" s="8">
        <f>HYPERLINK("https://dart.fss.or.kr/dsaf001/main.do?rcpNo=20260305001326", "공시열람")</f>
        <v/>
      </c>
    </row>
    <row r="2782">
      <c r="A2782" s="2" t="inlineStr">
        <is>
          <t>2026-03-05</t>
        </is>
      </c>
      <c r="B2782" s="3" t="inlineStr">
        <is>
          <t>대신증권</t>
        </is>
      </c>
      <c r="C2782" s="2" t="inlineStr">
        <is>
          <t>코스피</t>
        </is>
      </c>
      <c r="D2782" s="2" t="inlineStr">
        <is>
          <t>003540</t>
        </is>
      </c>
      <c r="E2782" s="3" t="inlineStr">
        <is>
          <t>투자설명서(일괄신고)</t>
        </is>
      </c>
      <c r="F2782" s="3" t="inlineStr">
        <is>
          <t>대신증권</t>
        </is>
      </c>
      <c r="G2782" s="2" t="inlineStr">
        <is>
          <t>20260305001325</t>
        </is>
      </c>
      <c r="H2782" s="8">
        <f>HYPERLINK("https://dart.fss.or.kr/dsaf001/main.do?rcpNo=20260305001325", "공시열람")</f>
        <v/>
      </c>
    </row>
    <row r="2783">
      <c r="A2783" s="2" t="inlineStr">
        <is>
          <t>2026-03-05</t>
        </is>
      </c>
      <c r="B2783" s="3" t="inlineStr">
        <is>
          <t>프리티</t>
        </is>
      </c>
      <c r="C2783" s="2" t="inlineStr">
        <is>
          <t>코스피</t>
        </is>
      </c>
      <c r="D2783" s="2" t="inlineStr">
        <is>
          <t>006490</t>
        </is>
      </c>
      <c r="E2783" s="3" t="inlineStr">
        <is>
          <t>의결권대리행사권유참고서류</t>
        </is>
      </c>
      <c r="F2783" s="3" t="inlineStr">
        <is>
          <t>프리티</t>
        </is>
      </c>
      <c r="G2783" s="2" t="inlineStr">
        <is>
          <t>20260305001323</t>
        </is>
      </c>
      <c r="H2783" s="8">
        <f>HYPERLINK("https://dart.fss.or.kr/dsaf001/main.do?rcpNo=20260305001323", "공시열람")</f>
        <v/>
      </c>
    </row>
    <row r="2784">
      <c r="A2784" s="2" t="inlineStr">
        <is>
          <t>2026-03-05</t>
        </is>
      </c>
      <c r="B2784" s="3" t="inlineStr">
        <is>
          <t>종근당</t>
        </is>
      </c>
      <c r="C2784" s="2" t="inlineStr">
        <is>
          <t>코스피</t>
        </is>
      </c>
      <c r="D2784" s="2" t="inlineStr">
        <is>
          <t>185750</t>
        </is>
      </c>
      <c r="E2784" s="3" t="inlineStr">
        <is>
          <t>임원ㆍ주요주주특정증권등소유상황보고서</t>
        </is>
      </c>
      <c r="F2784" s="3" t="inlineStr">
        <is>
          <t>종근당홀딩스</t>
        </is>
      </c>
      <c r="G2784" s="2" t="inlineStr">
        <is>
          <t>20260305001322</t>
        </is>
      </c>
      <c r="H2784" s="8">
        <f>HYPERLINK("https://dart.fss.or.kr/dsaf001/main.do?rcpNo=20260305001322", "공시열람")</f>
        <v/>
      </c>
    </row>
    <row r="2785">
      <c r="A2785" s="2" t="inlineStr">
        <is>
          <t>2026-03-05</t>
        </is>
      </c>
      <c r="B2785" s="3" t="inlineStr">
        <is>
          <t>경인전자</t>
        </is>
      </c>
      <c r="C2785" s="2" t="inlineStr">
        <is>
          <t>코스피</t>
        </is>
      </c>
      <c r="D2785" s="2" t="inlineStr">
        <is>
          <t>009140</t>
        </is>
      </c>
      <c r="E2785" s="3" t="inlineStr">
        <is>
          <t>의결권대리행사권유참고서류</t>
        </is>
      </c>
      <c r="F2785" s="3" t="inlineStr">
        <is>
          <t>경인전자</t>
        </is>
      </c>
      <c r="G2785" s="2" t="inlineStr">
        <is>
          <t>20260305001320</t>
        </is>
      </c>
      <c r="H2785" s="8">
        <f>HYPERLINK("https://dart.fss.or.kr/dsaf001/main.do?rcpNo=20260305001320", "공시열람")</f>
        <v/>
      </c>
    </row>
    <row r="2786">
      <c r="A2786" s="2" t="inlineStr">
        <is>
          <t>2026-03-05</t>
        </is>
      </c>
      <c r="B2786" s="3" t="inlineStr">
        <is>
          <t>포톤</t>
        </is>
      </c>
      <c r="C2786" s="2" t="inlineStr">
        <is>
          <t>코스닥</t>
        </is>
      </c>
      <c r="D2786" s="2" t="inlineStr">
        <is>
          <t>208710</t>
        </is>
      </c>
      <c r="E2786" s="3" t="inlineStr">
        <is>
          <t xml:space="preserve">매출액또는손익구조30%(대규모법인은15%)이상변동              </t>
        </is>
      </c>
      <c r="F2786" s="3" t="inlineStr">
        <is>
          <t>포톤</t>
        </is>
      </c>
      <c r="G2786" s="2" t="inlineStr">
        <is>
          <t>20260305901354</t>
        </is>
      </c>
      <c r="H2786" s="8">
        <f>HYPERLINK("https://dart.fss.or.kr/dsaf001/main.do?rcpNo=20260305901354", "공시열람")</f>
        <v/>
      </c>
    </row>
    <row r="2787">
      <c r="A2787" s="2" t="inlineStr">
        <is>
          <t>2026-03-05</t>
        </is>
      </c>
      <c r="B2787" s="3" t="inlineStr">
        <is>
          <t>SK증권</t>
        </is>
      </c>
      <c r="C2787" s="2" t="inlineStr">
        <is>
          <t>코스피</t>
        </is>
      </c>
      <c r="D2787" s="2" t="inlineStr">
        <is>
          <t>001510</t>
        </is>
      </c>
      <c r="E2787" s="3" t="inlineStr">
        <is>
          <t>투자설명서(일괄신고)</t>
        </is>
      </c>
      <c r="F2787" s="3" t="inlineStr">
        <is>
          <t>SK증권</t>
        </is>
      </c>
      <c r="G2787" s="2" t="inlineStr">
        <is>
          <t>20260305001314</t>
        </is>
      </c>
      <c r="H2787" s="8">
        <f>HYPERLINK("https://dart.fss.or.kr/dsaf001/main.do?rcpNo=20260305001314", "공시열람")</f>
        <v/>
      </c>
    </row>
    <row r="2788">
      <c r="A2788" s="2" t="inlineStr">
        <is>
          <t>2026-03-05</t>
        </is>
      </c>
      <c r="B2788" s="3" t="inlineStr">
        <is>
          <t>라온로보틱스</t>
        </is>
      </c>
      <c r="C2788" s="2" t="inlineStr">
        <is>
          <t>코스닥</t>
        </is>
      </c>
      <c r="D2788" s="2" t="inlineStr">
        <is>
          <t>232680</t>
        </is>
      </c>
      <c r="E2788" s="3" t="inlineStr">
        <is>
          <t>임원ㆍ주요주주특정증권등소유상황보고서</t>
        </is>
      </c>
      <c r="F2788" s="3" t="inlineStr">
        <is>
          <t>이성직</t>
        </is>
      </c>
      <c r="G2788" s="2" t="inlineStr">
        <is>
          <t>20260305001313</t>
        </is>
      </c>
      <c r="H2788" s="8">
        <f>HYPERLINK("https://dart.fss.or.kr/dsaf001/main.do?rcpNo=20260305001313", "공시열람")</f>
        <v/>
      </c>
    </row>
    <row r="2789">
      <c r="A2789" s="2" t="inlineStr">
        <is>
          <t>2026-03-05</t>
        </is>
      </c>
      <c r="B2789" s="3" t="inlineStr">
        <is>
          <t>엑셀세라퓨틱스</t>
        </is>
      </c>
      <c r="C2789" s="2" t="inlineStr">
        <is>
          <t>코스닥</t>
        </is>
      </c>
      <c r="D2789" s="2" t="inlineStr">
        <is>
          <t>373110</t>
        </is>
      </c>
      <c r="E2789" s="3" t="inlineStr">
        <is>
          <t>합병등종료보고서(자산양수도)</t>
        </is>
      </c>
      <c r="F2789" s="3" t="inlineStr">
        <is>
          <t>엑셀세라퓨틱스</t>
        </is>
      </c>
      <c r="G2789" s="2" t="inlineStr">
        <is>
          <t>20260305001310</t>
        </is>
      </c>
      <c r="H2789" s="8">
        <f>HYPERLINK("https://dart.fss.or.kr/dsaf001/main.do?rcpNo=20260305001310", "공시열람")</f>
        <v/>
      </c>
    </row>
    <row r="2790">
      <c r="A2790" s="2" t="inlineStr">
        <is>
          <t>2026-03-05</t>
        </is>
      </c>
      <c r="B2790" s="3" t="inlineStr">
        <is>
          <t>유안타제17호스팩</t>
        </is>
      </c>
      <c r="C2790" s="2" t="inlineStr">
        <is>
          <t>코스닥</t>
        </is>
      </c>
      <c r="D2790" s="2" t="inlineStr">
        <is>
          <t>493790</t>
        </is>
      </c>
      <c r="E2790" s="3" t="inlineStr">
        <is>
          <t xml:space="preserve">감사보고서제출              </t>
        </is>
      </c>
      <c r="F2790" s="3" t="inlineStr">
        <is>
          <t>유안타제17호스팩</t>
        </is>
      </c>
      <c r="G2790" s="2" t="inlineStr">
        <is>
          <t>20260305901266</t>
        </is>
      </c>
      <c r="H2790" s="8">
        <f>HYPERLINK("https://dart.fss.or.kr/dsaf001/main.do?rcpNo=20260305901266", "공시열람")</f>
        <v/>
      </c>
    </row>
    <row r="2791">
      <c r="A2791" s="2" t="inlineStr">
        <is>
          <t>2026-03-05</t>
        </is>
      </c>
      <c r="B2791" s="3" t="inlineStr">
        <is>
          <t>디아이동일</t>
        </is>
      </c>
      <c r="C2791" s="2" t="inlineStr">
        <is>
          <t>코스피</t>
        </is>
      </c>
      <c r="D2791" s="2" t="inlineStr">
        <is>
          <t>001530</t>
        </is>
      </c>
      <c r="E2791" s="3" t="inlineStr">
        <is>
          <t>의결권대리행사권유참고서류</t>
        </is>
      </c>
      <c r="F2791" s="3" t="inlineStr">
        <is>
          <t>디아이동일</t>
        </is>
      </c>
      <c r="G2791" s="2" t="inlineStr">
        <is>
          <t>20260305001305</t>
        </is>
      </c>
      <c r="H2791" s="8">
        <f>HYPERLINK("https://dart.fss.or.kr/dsaf001/main.do?rcpNo=20260305001305", "공시열람")</f>
        <v/>
      </c>
    </row>
    <row r="2792">
      <c r="A2792" s="2" t="inlineStr">
        <is>
          <t>2026-03-05</t>
        </is>
      </c>
      <c r="B2792" s="3" t="inlineStr">
        <is>
          <t>ISC</t>
        </is>
      </c>
      <c r="C2792" s="2" t="inlineStr">
        <is>
          <t>코스닥</t>
        </is>
      </c>
      <c r="D2792" s="2" t="inlineStr">
        <is>
          <t>095340</t>
        </is>
      </c>
      <c r="E2792" s="3" t="inlineStr">
        <is>
          <t>임원ㆍ주요주주특정증권등소유상황보고서</t>
        </is>
      </c>
      <c r="F2792" s="3" t="inlineStr">
        <is>
          <t>SKC</t>
        </is>
      </c>
      <c r="G2792" s="2" t="inlineStr">
        <is>
          <t>20260305001304</t>
        </is>
      </c>
      <c r="H2792" s="8">
        <f>HYPERLINK("https://dart.fss.or.kr/dsaf001/main.do?rcpNo=20260305001304", "공시열람")</f>
        <v/>
      </c>
    </row>
    <row r="2793">
      <c r="A2793" s="2" t="inlineStr">
        <is>
          <t>2026-03-05</t>
        </is>
      </c>
      <c r="B2793" s="3" t="inlineStr">
        <is>
          <t>코웨이</t>
        </is>
      </c>
      <c r="C2793" s="2" t="inlineStr">
        <is>
          <t>코스피</t>
        </is>
      </c>
      <c r="D2793" s="2" t="inlineStr">
        <is>
          <t>021240</t>
        </is>
      </c>
      <c r="E2793" s="3" t="inlineStr">
        <is>
          <t>증권발행실적보고서</t>
        </is>
      </c>
      <c r="F2793" s="3" t="inlineStr">
        <is>
          <t>코웨이</t>
        </is>
      </c>
      <c r="G2793" s="2" t="inlineStr">
        <is>
          <t>20260305001302</t>
        </is>
      </c>
      <c r="H2793" s="8">
        <f>HYPERLINK("https://dart.fss.or.kr/dsaf001/main.do?rcpNo=20260305001302", "공시열람")</f>
        <v/>
      </c>
    </row>
    <row r="2794">
      <c r="A2794" s="2" t="inlineStr">
        <is>
          <t>2026-03-05</t>
        </is>
      </c>
      <c r="B2794" s="3" t="inlineStr">
        <is>
          <t>두산에너빌리티</t>
        </is>
      </c>
      <c r="C2794" s="2" t="inlineStr">
        <is>
          <t>코스피</t>
        </is>
      </c>
      <c r="D2794" s="2" t="inlineStr">
        <is>
          <t>034020</t>
        </is>
      </c>
      <c r="E2794" s="3" t="inlineStr">
        <is>
          <t>임원ㆍ주요주주특정증권등소유상황보고서</t>
        </is>
      </c>
      <c r="F2794" s="3" t="inlineStr">
        <is>
          <t>윤요한</t>
        </is>
      </c>
      <c r="G2794" s="2" t="inlineStr">
        <is>
          <t>20260305001299</t>
        </is>
      </c>
      <c r="H2794" s="8">
        <f>HYPERLINK("https://dart.fss.or.kr/dsaf001/main.do?rcpNo=20260305001299", "공시열람")</f>
        <v/>
      </c>
    </row>
    <row r="2795">
      <c r="A2795" s="2" t="inlineStr">
        <is>
          <t>2026-03-05</t>
        </is>
      </c>
      <c r="B2795" s="3" t="inlineStr">
        <is>
          <t>동양이엔피</t>
        </is>
      </c>
      <c r="C2795" s="2" t="inlineStr">
        <is>
          <t>코스닥</t>
        </is>
      </c>
      <c r="D2795" s="2" t="inlineStr">
        <is>
          <t>079960</t>
        </is>
      </c>
      <c r="E2795" s="3" t="inlineStr">
        <is>
          <t>임원ㆍ주요주주특정증권등소유상황보고서</t>
        </is>
      </c>
      <c r="F2795" s="3" t="inlineStr">
        <is>
          <t>조형준</t>
        </is>
      </c>
      <c r="G2795" s="2" t="inlineStr">
        <is>
          <t>20260305001296</t>
        </is>
      </c>
      <c r="H2795" s="8">
        <f>HYPERLINK("https://dart.fss.or.kr/dsaf001/main.do?rcpNo=20260305001296", "공시열람")</f>
        <v/>
      </c>
    </row>
    <row r="2796">
      <c r="A2796" s="2" t="inlineStr">
        <is>
          <t>2026-03-05 (정정: 2026-03-10)</t>
        </is>
      </c>
      <c r="B2796" s="3" t="inlineStr">
        <is>
          <t>더존비즈온</t>
        </is>
      </c>
      <c r="C2796" s="2" t="inlineStr">
        <is>
          <t>코스피</t>
        </is>
      </c>
      <c r="D2796" s="2" t="inlineStr">
        <is>
          <t>012510</t>
        </is>
      </c>
      <c r="E2796" s="3" t="inlineStr">
        <is>
          <t>임원ㆍ주요주주특정증권등소유상황보고서 (정정: 20260310) (정정: 20260310)</t>
        </is>
      </c>
      <c r="F2796" s="3" t="inlineStr">
        <is>
          <t>윤성태</t>
        </is>
      </c>
      <c r="G2796" s="2" t="inlineStr">
        <is>
          <t>20260310801595</t>
        </is>
      </c>
      <c r="H2796" s="8">
        <f>HYPERLINK("https://dart.fss.or.kr/dsaf001/main.do?rcpNo=20260310801595", "공시열람")</f>
        <v/>
      </c>
    </row>
    <row r="2797">
      <c r="A2797" s="2" t="inlineStr">
        <is>
          <t>2026-03-05</t>
        </is>
      </c>
      <c r="B2797" s="3" t="inlineStr">
        <is>
          <t>대신증권</t>
        </is>
      </c>
      <c r="C2797" s="2" t="inlineStr">
        <is>
          <t>코스피</t>
        </is>
      </c>
      <c r="D2797" s="2" t="inlineStr">
        <is>
          <t>003540</t>
        </is>
      </c>
      <c r="E2797" s="3" t="inlineStr">
        <is>
          <t>일괄신고추가서류(파생결합사채-주가연계파생결합사채)</t>
        </is>
      </c>
      <c r="F2797" s="3" t="inlineStr">
        <is>
          <t>대신증권</t>
        </is>
      </c>
      <c r="G2797" s="2" t="inlineStr">
        <is>
          <t>20260305001292</t>
        </is>
      </c>
      <c r="H2797" s="8">
        <f>HYPERLINK("https://dart.fss.or.kr/dsaf001/main.do?rcpNo=20260305001292", "공시열람")</f>
        <v/>
      </c>
    </row>
    <row r="2798">
      <c r="A2798" s="2" t="inlineStr">
        <is>
          <t>2026-03-05</t>
        </is>
      </c>
      <c r="B2798" s="3" t="inlineStr">
        <is>
          <t>두산</t>
        </is>
      </c>
      <c r="C2798" s="2" t="inlineStr">
        <is>
          <t>코스피</t>
        </is>
      </c>
      <c r="D2798" s="2" t="inlineStr">
        <is>
          <t>000150</t>
        </is>
      </c>
      <c r="E2798" s="3" t="inlineStr">
        <is>
          <t>임원ㆍ주요주주특정증권등소유상황보고서</t>
        </is>
      </c>
      <c r="F2798" s="3" t="inlineStr">
        <is>
          <t>신은지</t>
        </is>
      </c>
      <c r="G2798" s="2" t="inlineStr">
        <is>
          <t>20260305001291</t>
        </is>
      </c>
      <c r="H2798" s="8">
        <f>HYPERLINK("https://dart.fss.or.kr/dsaf001/main.do?rcpNo=20260305001291", "공시열람")</f>
        <v/>
      </c>
    </row>
    <row r="2799">
      <c r="A2799" s="2" t="inlineStr">
        <is>
          <t>2026-03-06</t>
        </is>
      </c>
      <c r="B2799" s="3" t="inlineStr">
        <is>
          <t>한화시스템</t>
        </is>
      </c>
      <c r="C2799" s="2" t="inlineStr">
        <is>
          <t>코스피</t>
        </is>
      </c>
      <c r="D2799" s="2" t="inlineStr">
        <is>
          <t>272210</t>
        </is>
      </c>
      <c r="E2799" s="3" t="inlineStr">
        <is>
          <t>[첨부추가]주요사항보고서(타법인주식및출자증권양도결정)</t>
        </is>
      </c>
      <c r="F2799" s="3" t="inlineStr">
        <is>
          <t>한화시스템</t>
        </is>
      </c>
      <c r="G2799" s="2" t="inlineStr">
        <is>
          <t>20260306000992</t>
        </is>
      </c>
      <c r="H2799" s="8">
        <f>HYPERLINK("https://dart.fss.or.kr/dsaf001/main.do?rcpNo=20260306000992", "공시열람")</f>
        <v/>
      </c>
    </row>
    <row r="2800">
      <c r="A2800" s="2" t="inlineStr">
        <is>
          <t>2026-03-06</t>
        </is>
      </c>
      <c r="B2800" s="3" t="inlineStr">
        <is>
          <t>KD</t>
        </is>
      </c>
      <c r="C2800" s="2" t="inlineStr">
        <is>
          <t>코스닥</t>
        </is>
      </c>
      <c r="D2800" s="2" t="inlineStr">
        <is>
          <t>044180</t>
        </is>
      </c>
      <c r="E2800" s="3" t="inlineStr">
        <is>
          <t xml:space="preserve">대출원리금연체사실발생              </t>
        </is>
      </c>
      <c r="F2800" s="3" t="inlineStr">
        <is>
          <t>KD</t>
        </is>
      </c>
      <c r="G2800" s="2" t="inlineStr">
        <is>
          <t>20260306901769</t>
        </is>
      </c>
      <c r="H2800" s="8">
        <f>HYPERLINK("https://dart.fss.or.kr/dsaf001/main.do?rcpNo=20260306901769", "공시열람")</f>
        <v/>
      </c>
    </row>
    <row r="2801">
      <c r="A2801" s="2" t="inlineStr">
        <is>
          <t>2026-03-06</t>
        </is>
      </c>
      <c r="B2801" s="3" t="inlineStr">
        <is>
          <t>퓨쳐켐</t>
        </is>
      </c>
      <c r="C2801" s="2" t="inlineStr">
        <is>
          <t>코스닥</t>
        </is>
      </c>
      <c r="D2801" s="2" t="inlineStr">
        <is>
          <t>220100</t>
        </is>
      </c>
      <c r="E2801" s="3" t="inlineStr">
        <is>
          <t xml:space="preserve">감사보고서제출              </t>
        </is>
      </c>
      <c r="F2801" s="3" t="inlineStr">
        <is>
          <t>퓨쳐켐</t>
        </is>
      </c>
      <c r="G2801" s="2" t="inlineStr">
        <is>
          <t>20260306901768</t>
        </is>
      </c>
      <c r="H2801" s="8">
        <f>HYPERLINK("https://dart.fss.or.kr/dsaf001/main.do?rcpNo=20260306901768", "공시열람")</f>
        <v/>
      </c>
    </row>
    <row r="2802">
      <c r="A2802" s="2" t="inlineStr">
        <is>
          <t>2026-03-06 (정정: 2026-03-10)</t>
        </is>
      </c>
      <c r="B2802" s="3" t="inlineStr">
        <is>
          <t>엠디바이스</t>
        </is>
      </c>
      <c r="C2802" s="2" t="inlineStr">
        <is>
          <t>코스닥</t>
        </is>
      </c>
      <c r="D2802" s="2" t="inlineStr">
        <is>
          <t>226590</t>
        </is>
      </c>
      <c r="E2802" s="3" t="inlineStr">
        <is>
          <t>[기재정정]매출액또는손익구조30%(대규모법인은15%)이상변동               (정정: 20260310)</t>
        </is>
      </c>
      <c r="F2802" s="3" t="inlineStr">
        <is>
          <t>엠디바이스</t>
        </is>
      </c>
      <c r="G2802" s="2" t="inlineStr">
        <is>
          <t>20260310002015</t>
        </is>
      </c>
      <c r="H2802" s="8">
        <f>HYPERLINK("https://dart.fss.or.kr/dsaf001/main.do?rcpNo=20260310002015", "공시열람")</f>
        <v/>
      </c>
    </row>
    <row r="2803">
      <c r="A2803" s="2" t="inlineStr">
        <is>
          <t>2026-03-06</t>
        </is>
      </c>
      <c r="B2803" s="3" t="inlineStr">
        <is>
          <t>대진첨단소재</t>
        </is>
      </c>
      <c r="C2803" s="2" t="inlineStr">
        <is>
          <t>코스닥</t>
        </is>
      </c>
      <c r="D2803" s="2" t="inlineStr">
        <is>
          <t>393970</t>
        </is>
      </c>
      <c r="E2803" s="3" t="inlineStr">
        <is>
          <t>주권매매거래정지              (상장적격성 실질심사 대상 (사유발생))</t>
        </is>
      </c>
      <c r="F2803" s="3" t="inlineStr">
        <is>
          <t>코스닥시장본부</t>
        </is>
      </c>
      <c r="G2803" s="2" t="inlineStr">
        <is>
          <t>20260306901767</t>
        </is>
      </c>
      <c r="H2803" s="8">
        <f>HYPERLINK("https://dart.fss.or.kr/dsaf001/main.do?rcpNo=20260306901767", "공시열람")</f>
        <v/>
      </c>
    </row>
    <row r="2804">
      <c r="A2804" s="2" t="inlineStr">
        <is>
          <t>2026-03-06</t>
        </is>
      </c>
      <c r="B2804" s="3" t="inlineStr">
        <is>
          <t>대진첨단소재</t>
        </is>
      </c>
      <c r="C2804" s="2" t="inlineStr">
        <is>
          <t>코스닥</t>
        </is>
      </c>
      <c r="D2804" s="2" t="inlineStr">
        <is>
          <t>393970</t>
        </is>
      </c>
      <c r="E2804" s="3" t="inlineStr">
        <is>
          <t>기타시장안내              (상장적격성 실질심사 관련 안내)</t>
        </is>
      </c>
      <c r="F2804" s="3" t="inlineStr">
        <is>
          <t>코스닥시장본부</t>
        </is>
      </c>
      <c r="G2804" s="2" t="inlineStr">
        <is>
          <t>20260306901760</t>
        </is>
      </c>
      <c r="H2804" s="8">
        <f>HYPERLINK("https://dart.fss.or.kr/dsaf001/main.do?rcpNo=20260306901760", "공시열람")</f>
        <v/>
      </c>
    </row>
    <row r="2805">
      <c r="A2805" s="2" t="inlineStr">
        <is>
          <t>2026-03-06</t>
        </is>
      </c>
      <c r="B2805" s="3" t="inlineStr">
        <is>
          <t>대진첨단소재</t>
        </is>
      </c>
      <c r="C2805" s="2" t="inlineStr">
        <is>
          <t>코스닥</t>
        </is>
      </c>
      <c r="D2805" s="2" t="inlineStr">
        <is>
          <t>393970</t>
        </is>
      </c>
      <c r="E2805" s="3" t="inlineStr">
        <is>
          <t xml:space="preserve">횡령ㆍ배임혐의발생              </t>
        </is>
      </c>
      <c r="F2805" s="3" t="inlineStr">
        <is>
          <t>대진첨단소재</t>
        </is>
      </c>
      <c r="G2805" s="2" t="inlineStr">
        <is>
          <t>20260306901758</t>
        </is>
      </c>
      <c r="H2805" s="8">
        <f>HYPERLINK("https://dart.fss.or.kr/dsaf001/main.do?rcpNo=20260306901758", "공시열람")</f>
        <v/>
      </c>
    </row>
    <row r="2806">
      <c r="A2806" s="2" t="inlineStr">
        <is>
          <t>2026-03-06</t>
        </is>
      </c>
      <c r="B2806" s="3" t="inlineStr">
        <is>
          <t>위츠</t>
        </is>
      </c>
      <c r="C2806" s="2" t="inlineStr">
        <is>
          <t>코스닥</t>
        </is>
      </c>
      <c r="D2806" s="2" t="inlineStr">
        <is>
          <t>459100</t>
        </is>
      </c>
      <c r="E2806" s="3" t="inlineStr">
        <is>
          <t>주요사항보고서(타법인주식및출자증권양수결정)</t>
        </is>
      </c>
      <c r="F2806" s="3" t="inlineStr">
        <is>
          <t>위츠</t>
        </is>
      </c>
      <c r="G2806" s="2" t="inlineStr">
        <is>
          <t>20260306001008</t>
        </is>
      </c>
      <c r="H2806" s="8">
        <f>HYPERLINK("https://dart.fss.or.kr/dsaf001/main.do?rcpNo=20260306001008", "공시열람")</f>
        <v/>
      </c>
    </row>
    <row r="2807">
      <c r="A2807" s="2" t="inlineStr">
        <is>
          <t>2026-03-06 (정정: 2026-05-22)</t>
        </is>
      </c>
      <c r="B2807" s="3" t="inlineStr">
        <is>
          <t>오아</t>
        </is>
      </c>
      <c r="C2807" s="2" t="inlineStr">
        <is>
          <t>코스닥</t>
        </is>
      </c>
      <c r="D2807" s="2" t="inlineStr">
        <is>
          <t>342870</t>
        </is>
      </c>
      <c r="E2807" s="3" t="inlineStr">
        <is>
          <t>타법인주식및출자증권취득결정               (정정: 20260522)</t>
        </is>
      </c>
      <c r="F2807" s="3" t="inlineStr">
        <is>
          <t>오아</t>
        </is>
      </c>
      <c r="G2807" s="2" t="inlineStr">
        <is>
          <t>20260522900749</t>
        </is>
      </c>
      <c r="H2807" s="8">
        <f>HYPERLINK("https://dart.fss.or.kr/dsaf001/main.do?rcpNo=20260522900749", "공시열람")</f>
        <v/>
      </c>
    </row>
    <row r="2808">
      <c r="A2808" s="2" t="inlineStr">
        <is>
          <t>2026-03-06</t>
        </is>
      </c>
      <c r="B2808" s="3" t="inlineStr">
        <is>
          <t>고려신용정보</t>
        </is>
      </c>
      <c r="C2808" s="2" t="inlineStr">
        <is>
          <t>코스닥</t>
        </is>
      </c>
      <c r="D2808" s="2" t="inlineStr">
        <is>
          <t>049720</t>
        </is>
      </c>
      <c r="E2808" s="3" t="inlineStr">
        <is>
          <t xml:space="preserve">감사보고서제출              </t>
        </is>
      </c>
      <c r="F2808" s="3" t="inlineStr">
        <is>
          <t>고려신용정보</t>
        </is>
      </c>
      <c r="G2808" s="2" t="inlineStr">
        <is>
          <t>20260306901682</t>
        </is>
      </c>
      <c r="H2808" s="8">
        <f>HYPERLINK("https://dart.fss.or.kr/dsaf001/main.do?rcpNo=20260306901682", "공시열람")</f>
        <v/>
      </c>
    </row>
    <row r="2809">
      <c r="A2809" s="2" t="inlineStr">
        <is>
          <t>2026-03-06</t>
        </is>
      </c>
      <c r="B2809" s="3" t="inlineStr">
        <is>
          <t>제이씨케미칼</t>
        </is>
      </c>
      <c r="C2809" s="2" t="inlineStr">
        <is>
          <t>코스닥</t>
        </is>
      </c>
      <c r="D2809" s="2" t="inlineStr">
        <is>
          <t>137950</t>
        </is>
      </c>
      <c r="E2809" s="3" t="inlineStr">
        <is>
          <t xml:space="preserve">현금ㆍ현물배당결정              </t>
        </is>
      </c>
      <c r="F2809" s="3" t="inlineStr">
        <is>
          <t>제이씨케미칼</t>
        </is>
      </c>
      <c r="G2809" s="2" t="inlineStr">
        <is>
          <t>20260306901672</t>
        </is>
      </c>
      <c r="H2809" s="8">
        <f>HYPERLINK("https://dart.fss.or.kr/dsaf001/main.do?rcpNo=20260306901672", "공시열람")</f>
        <v/>
      </c>
    </row>
    <row r="2810">
      <c r="A2810" s="2" t="inlineStr">
        <is>
          <t>2026-03-06</t>
        </is>
      </c>
      <c r="B2810" s="3" t="inlineStr">
        <is>
          <t>엑시온그룹</t>
        </is>
      </c>
      <c r="C2810" s="2" t="inlineStr">
        <is>
          <t>코스닥</t>
        </is>
      </c>
      <c r="D2810" s="2" t="inlineStr">
        <is>
          <t>069920</t>
        </is>
      </c>
      <c r="E2810" s="3" t="inlineStr">
        <is>
          <t>증권발행결과(자율공시)              (제13회차)</t>
        </is>
      </c>
      <c r="F2810" s="3" t="inlineStr">
        <is>
          <t>엑시온그룹</t>
        </is>
      </c>
      <c r="G2810" s="2" t="inlineStr">
        <is>
          <t>20260306901674</t>
        </is>
      </c>
      <c r="H2810" s="8">
        <f>HYPERLINK("https://dart.fss.or.kr/dsaf001/main.do?rcpNo=20260306901674", "공시열람")</f>
        <v/>
      </c>
    </row>
    <row r="2811">
      <c r="A2811" s="2" t="inlineStr">
        <is>
          <t>2026-03-06 (정정: 2026-03-11)</t>
        </is>
      </c>
      <c r="B2811" s="3" t="inlineStr">
        <is>
          <t>코오롱</t>
        </is>
      </c>
      <c r="C2811" s="2" t="inlineStr">
        <is>
          <t>코스피</t>
        </is>
      </c>
      <c r="D2811" s="2" t="inlineStr">
        <is>
          <t>002020</t>
        </is>
      </c>
      <c r="E2811" s="3" t="inlineStr">
        <is>
          <t>타법인주식및출자증권취득결정               (정정: 20260311)</t>
        </is>
      </c>
      <c r="F2811" s="3" t="inlineStr">
        <is>
          <t>코오롱</t>
        </is>
      </c>
      <c r="G2811" s="2" t="inlineStr">
        <is>
          <t>20260311801624</t>
        </is>
      </c>
      <c r="H2811" s="8">
        <f>HYPERLINK("https://dart.fss.or.kr/dsaf001/main.do?rcpNo=20260311801624", "공시열람")</f>
        <v/>
      </c>
    </row>
    <row r="2812">
      <c r="A2812" s="2" t="inlineStr">
        <is>
          <t>2026-03-06</t>
        </is>
      </c>
      <c r="B2812" s="3" t="inlineStr">
        <is>
          <t>현대바이오</t>
        </is>
      </c>
      <c r="C2812" s="2" t="inlineStr">
        <is>
          <t>코스닥</t>
        </is>
      </c>
      <c r="D2812" s="2" t="inlineStr">
        <is>
          <t>048410</t>
        </is>
      </c>
      <c r="E2812" s="3" t="inlineStr">
        <is>
          <t>투자판단관련주요경영사항(임상시험계획변경승인신청)              (전립선암 치료제 CPPCA07의 1상 임상시험계획 변경승인 신청)</t>
        </is>
      </c>
      <c r="F2812" s="3" t="inlineStr">
        <is>
          <t>현대바이오</t>
        </is>
      </c>
      <c r="G2812" s="2" t="inlineStr">
        <is>
          <t>20260306901665</t>
        </is>
      </c>
      <c r="H2812" s="8">
        <f>HYPERLINK("https://dart.fss.or.kr/dsaf001/main.do?rcpNo=20260306901665", "공시열람")</f>
        <v/>
      </c>
    </row>
    <row r="2813">
      <c r="A2813" s="2" t="inlineStr">
        <is>
          <t>2026-03-06</t>
        </is>
      </c>
      <c r="B2813" s="3" t="inlineStr">
        <is>
          <t>엑시온그룹</t>
        </is>
      </c>
      <c r="C2813" s="2" t="inlineStr">
        <is>
          <t>코스닥</t>
        </is>
      </c>
      <c r="D2813" s="2" t="inlineStr">
        <is>
          <t>069920</t>
        </is>
      </c>
      <c r="E2813" s="3" t="inlineStr">
        <is>
          <t>전환가액의조정              (제8회차)</t>
        </is>
      </c>
      <c r="F2813" s="3" t="inlineStr">
        <is>
          <t>엑시온그룹</t>
        </is>
      </c>
      <c r="G2813" s="2" t="inlineStr">
        <is>
          <t>20260306901648</t>
        </is>
      </c>
      <c r="H2813" s="8">
        <f>HYPERLINK("https://dart.fss.or.kr/dsaf001/main.do?rcpNo=20260306901648", "공시열람")</f>
        <v/>
      </c>
    </row>
    <row r="2814">
      <c r="A2814" s="2" t="inlineStr">
        <is>
          <t>2026-03-06</t>
        </is>
      </c>
      <c r="B2814" s="3" t="inlineStr">
        <is>
          <t>인벤티지랩</t>
        </is>
      </c>
      <c r="C2814" s="2" t="inlineStr">
        <is>
          <t>코스닥</t>
        </is>
      </c>
      <c r="D2814" s="2" t="inlineStr">
        <is>
          <t>389470</t>
        </is>
      </c>
      <c r="E2814" s="3" t="inlineStr">
        <is>
          <t xml:space="preserve">타법인주식및출자증권취득결정(자율공시)              </t>
        </is>
      </c>
      <c r="F2814" s="3" t="inlineStr">
        <is>
          <t>인벤티지랩</t>
        </is>
      </c>
      <c r="G2814" s="2" t="inlineStr">
        <is>
          <t>20260306901635</t>
        </is>
      </c>
      <c r="H2814" s="8">
        <f>HYPERLINK("https://dart.fss.or.kr/dsaf001/main.do?rcpNo=20260306901635", "공시열람")</f>
        <v/>
      </c>
    </row>
    <row r="2815">
      <c r="A2815" s="2" t="inlineStr">
        <is>
          <t>2026-03-06</t>
        </is>
      </c>
      <c r="B2815" s="3" t="inlineStr">
        <is>
          <t>큐라티스</t>
        </is>
      </c>
      <c r="C2815" s="2" t="inlineStr">
        <is>
          <t>코스닥</t>
        </is>
      </c>
      <c r="D2815" s="2" t="inlineStr">
        <is>
          <t>348080</t>
        </is>
      </c>
      <c r="E2815" s="3" t="inlineStr">
        <is>
          <t>임원ㆍ주요주주특정증권등소유상황보고서</t>
        </is>
      </c>
      <c r="F2815" s="3" t="inlineStr">
        <is>
          <t>피스투에스코리아</t>
        </is>
      </c>
      <c r="G2815" s="2" t="inlineStr">
        <is>
          <t>20260306001004</t>
        </is>
      </c>
      <c r="H2815" s="8">
        <f>HYPERLINK("https://dart.fss.or.kr/dsaf001/main.do?rcpNo=20260306001004", "공시열람")</f>
        <v/>
      </c>
    </row>
    <row r="2816">
      <c r="A2816" s="2" t="inlineStr">
        <is>
          <t>2026-03-06</t>
        </is>
      </c>
      <c r="B2816" s="3" t="inlineStr">
        <is>
          <t>천보</t>
        </is>
      </c>
      <c r="C2816" s="2" t="inlineStr">
        <is>
          <t>코스닥</t>
        </is>
      </c>
      <c r="D2816" s="2" t="inlineStr">
        <is>
          <t>278280</t>
        </is>
      </c>
      <c r="E2816" s="3" t="inlineStr">
        <is>
          <t xml:space="preserve">감사보고서제출              </t>
        </is>
      </c>
      <c r="F2816" s="3" t="inlineStr">
        <is>
          <t>천보</t>
        </is>
      </c>
      <c r="G2816" s="2" t="inlineStr">
        <is>
          <t>20260306901634</t>
        </is>
      </c>
      <c r="H2816" s="8">
        <f>HYPERLINK("https://dart.fss.or.kr/dsaf001/main.do?rcpNo=20260306901634", "공시열람")</f>
        <v/>
      </c>
    </row>
    <row r="2817">
      <c r="A2817" s="2" t="inlineStr">
        <is>
          <t>2026-03-06</t>
        </is>
      </c>
      <c r="B2817" s="3" t="inlineStr">
        <is>
          <t>제일기획</t>
        </is>
      </c>
      <c r="C2817" s="2" t="inlineStr">
        <is>
          <t>코스피</t>
        </is>
      </c>
      <c r="D2817" s="2" t="inlineStr">
        <is>
          <t>030000</t>
        </is>
      </c>
      <c r="E2817" s="3" t="inlineStr">
        <is>
          <t xml:space="preserve">감사보고서제출              </t>
        </is>
      </c>
      <c r="F2817" s="3" t="inlineStr">
        <is>
          <t>제일기획</t>
        </is>
      </c>
      <c r="G2817" s="2" t="inlineStr">
        <is>
          <t>20260306801636</t>
        </is>
      </c>
      <c r="H2817" s="8">
        <f>HYPERLINK("https://dart.fss.or.kr/dsaf001/main.do?rcpNo=20260306801636", "공시열람")</f>
        <v/>
      </c>
    </row>
    <row r="2818">
      <c r="A2818" s="2" t="inlineStr">
        <is>
          <t>2026-03-06</t>
        </is>
      </c>
      <c r="B2818" s="3" t="inlineStr">
        <is>
          <t>폴라리스오피스</t>
        </is>
      </c>
      <c r="C2818" s="2" t="inlineStr">
        <is>
          <t>코스닥</t>
        </is>
      </c>
      <c r="D2818" s="2" t="inlineStr">
        <is>
          <t>041020</t>
        </is>
      </c>
      <c r="E2818" s="3" t="inlineStr">
        <is>
          <t>임원ㆍ주요주주특정증권등소유상황보고서</t>
        </is>
      </c>
      <c r="F2818" s="3" t="inlineStr">
        <is>
          <t>핸디소프트</t>
        </is>
      </c>
      <c r="G2818" s="2" t="inlineStr">
        <is>
          <t>20260306001001</t>
        </is>
      </c>
      <c r="H2818" s="8">
        <f>HYPERLINK("https://dart.fss.or.kr/dsaf001/main.do?rcpNo=20260306001001", "공시열람")</f>
        <v/>
      </c>
    </row>
    <row r="2819">
      <c r="A2819" s="2" t="inlineStr">
        <is>
          <t>2026-03-06</t>
        </is>
      </c>
      <c r="B2819" s="3" t="inlineStr">
        <is>
          <t>핸디소프트</t>
        </is>
      </c>
      <c r="C2819" s="2" t="inlineStr">
        <is>
          <t>코스닥</t>
        </is>
      </c>
      <c r="D2819" s="2" t="inlineStr">
        <is>
          <t>220180</t>
        </is>
      </c>
      <c r="E2819" s="3" t="inlineStr">
        <is>
          <t>합병등종료보고서(자산양수도)</t>
        </is>
      </c>
      <c r="F2819" s="3" t="inlineStr">
        <is>
          <t>핸디소프트</t>
        </is>
      </c>
      <c r="G2819" s="2" t="inlineStr">
        <is>
          <t>20260306001000</t>
        </is>
      </c>
      <c r="H2819" s="8">
        <f>HYPERLINK("https://dart.fss.or.kr/dsaf001/main.do?rcpNo=20260306001000", "공시열람")</f>
        <v/>
      </c>
    </row>
    <row r="2820">
      <c r="A2820" s="2" t="inlineStr">
        <is>
          <t>2026-03-06</t>
        </is>
      </c>
      <c r="B2820" s="3" t="inlineStr">
        <is>
          <t>이수화학</t>
        </is>
      </c>
      <c r="C2820" s="2" t="inlineStr">
        <is>
          <t>코스피</t>
        </is>
      </c>
      <c r="D2820" s="2" t="inlineStr">
        <is>
          <t>005950</t>
        </is>
      </c>
      <c r="E2820" s="3" t="inlineStr">
        <is>
          <t xml:space="preserve">[기재정정]기타경영사항(종속회사의주요경영사항)              </t>
        </is>
      </c>
      <c r="F2820" s="3" t="inlineStr">
        <is>
          <t>이수화학</t>
        </is>
      </c>
      <c r="G2820" s="2" t="inlineStr">
        <is>
          <t>20260306801657</t>
        </is>
      </c>
      <c r="H2820" s="8">
        <f>HYPERLINK("https://dart.fss.or.kr/dsaf001/main.do?rcpNo=20260306801657", "공시열람")</f>
        <v/>
      </c>
    </row>
    <row r="2821">
      <c r="A2821" s="2" t="inlineStr">
        <is>
          <t>2026-03-06</t>
        </is>
      </c>
      <c r="B2821" s="3" t="inlineStr">
        <is>
          <t>HL홀딩스</t>
        </is>
      </c>
      <c r="C2821" s="2" t="inlineStr">
        <is>
          <t>코스피</t>
        </is>
      </c>
      <c r="D2821" s="2" t="inlineStr">
        <is>
          <t>060980</t>
        </is>
      </c>
      <c r="E2821" s="3" t="inlineStr">
        <is>
          <t xml:space="preserve">현금ㆍ현물배당을위한주주명부폐쇄(기준일)결정              </t>
        </is>
      </c>
      <c r="F2821" s="3" t="inlineStr">
        <is>
          <t>HL홀딩스</t>
        </is>
      </c>
      <c r="G2821" s="2" t="inlineStr">
        <is>
          <t>20260306801655</t>
        </is>
      </c>
      <c r="H2821" s="8">
        <f>HYPERLINK("https://dart.fss.or.kr/dsaf001/main.do?rcpNo=20260306801655", "공시열람")</f>
        <v/>
      </c>
    </row>
    <row r="2822">
      <c r="A2822" s="2" t="inlineStr">
        <is>
          <t>2026-03-06</t>
        </is>
      </c>
      <c r="B2822" s="3" t="inlineStr">
        <is>
          <t>핸디소프트</t>
        </is>
      </c>
      <c r="C2822" s="2" t="inlineStr">
        <is>
          <t>코스닥</t>
        </is>
      </c>
      <c r="D2822" s="2" t="inlineStr">
        <is>
          <t>220180</t>
        </is>
      </c>
      <c r="E2822" s="3" t="inlineStr">
        <is>
          <t xml:space="preserve">매출액또는손익구조30%(대규모법인은15%)이상변동              </t>
        </is>
      </c>
      <c r="F2822" s="3" t="inlineStr">
        <is>
          <t>핸디소프트</t>
        </is>
      </c>
      <c r="G2822" s="2" t="inlineStr">
        <is>
          <t>20260306901576</t>
        </is>
      </c>
      <c r="H2822" s="8">
        <f>HYPERLINK("https://dart.fss.or.kr/dsaf001/main.do?rcpNo=20260306901576", "공시열람")</f>
        <v/>
      </c>
    </row>
    <row r="2823">
      <c r="A2823" s="2" t="inlineStr">
        <is>
          <t>2026-03-06</t>
        </is>
      </c>
      <c r="B2823" s="3" t="inlineStr">
        <is>
          <t>코오롱티슈진</t>
        </is>
      </c>
      <c r="C2823" s="2" t="inlineStr">
        <is>
          <t>코스닥</t>
        </is>
      </c>
      <c r="D2823" s="2" t="inlineStr">
        <is>
          <t>950160</t>
        </is>
      </c>
      <c r="E2823" s="3" t="inlineStr">
        <is>
          <t>주식매수선택권부여에관한신고</t>
        </is>
      </c>
      <c r="F2823" s="3" t="inlineStr">
        <is>
          <t>코오롱티슈진</t>
        </is>
      </c>
      <c r="G2823" s="2" t="inlineStr">
        <is>
          <t>20260306000998</t>
        </is>
      </c>
      <c r="H2823" s="8">
        <f>HYPERLINK("https://dart.fss.or.kr/dsaf001/main.do?rcpNo=20260306000998", "공시열람")</f>
        <v/>
      </c>
    </row>
    <row r="2824">
      <c r="A2824" s="2" t="inlineStr">
        <is>
          <t>2026-03-06 (정정: 2026-03-11)</t>
        </is>
      </c>
      <c r="B2824" s="3" t="inlineStr">
        <is>
          <t>GST</t>
        </is>
      </c>
      <c r="C2824" s="2" t="inlineStr">
        <is>
          <t>코스닥</t>
        </is>
      </c>
      <c r="D2824" s="2" t="inlineStr">
        <is>
          <t>083450</t>
        </is>
      </c>
      <c r="E2824" s="3" t="inlineStr">
        <is>
          <t>의결권대리행사권유참고서류 (정정: 20260311)</t>
        </is>
      </c>
      <c r="F2824" s="3" t="inlineStr">
        <is>
          <t>GST</t>
        </is>
      </c>
      <c r="G2824" s="2" t="inlineStr">
        <is>
          <t>20260311003719</t>
        </is>
      </c>
      <c r="H2824" s="8">
        <f>HYPERLINK("https://dart.fss.or.kr/dsaf001/main.do?rcpNo=20260311003719", "공시열람")</f>
        <v/>
      </c>
    </row>
    <row r="2825">
      <c r="A2825" s="2" t="inlineStr">
        <is>
          <t>2026-03-06</t>
        </is>
      </c>
      <c r="B2825" s="3" t="inlineStr">
        <is>
          <t>코오롱티슈진</t>
        </is>
      </c>
      <c r="C2825" s="2" t="inlineStr">
        <is>
          <t>코스닥</t>
        </is>
      </c>
      <c r="D2825" s="2" t="inlineStr">
        <is>
          <t>950160</t>
        </is>
      </c>
      <c r="E2825" s="3" t="inlineStr">
        <is>
          <t>임원ㆍ주요주주특정증권등거래계획보고서</t>
        </is>
      </c>
      <c r="F2825" s="3" t="inlineStr">
        <is>
          <t>코오롱</t>
        </is>
      </c>
      <c r="G2825" s="2" t="inlineStr">
        <is>
          <t>20260306000996</t>
        </is>
      </c>
      <c r="H2825" s="8">
        <f>HYPERLINK("https://dart.fss.or.kr/dsaf001/main.do?rcpNo=20260306000996", "공시열람")</f>
        <v/>
      </c>
    </row>
    <row r="2826">
      <c r="A2826" s="2" t="inlineStr">
        <is>
          <t>2026-03-06</t>
        </is>
      </c>
      <c r="B2826" s="3" t="inlineStr">
        <is>
          <t>오스코텍</t>
        </is>
      </c>
      <c r="C2826" s="2" t="inlineStr">
        <is>
          <t>코스닥</t>
        </is>
      </c>
      <c r="D2826" s="2" t="inlineStr">
        <is>
          <t>039200</t>
        </is>
      </c>
      <c r="E2826" s="3" t="inlineStr">
        <is>
          <t xml:space="preserve">소송등의판결ㆍ결정              </t>
        </is>
      </c>
      <c r="F2826" s="3" t="inlineStr">
        <is>
          <t>오스코텍</t>
        </is>
      </c>
      <c r="G2826" s="2" t="inlineStr">
        <is>
          <t>20260306901644</t>
        </is>
      </c>
      <c r="H2826" s="8">
        <f>HYPERLINK("https://dart.fss.or.kr/dsaf001/main.do?rcpNo=20260306901644", "공시열람")</f>
        <v/>
      </c>
    </row>
    <row r="2827">
      <c r="A2827" s="2" t="inlineStr">
        <is>
          <t>2026-03-06</t>
        </is>
      </c>
      <c r="B2827" s="3" t="inlineStr">
        <is>
          <t>미원홀딩스</t>
        </is>
      </c>
      <c r="C2827" s="2" t="inlineStr">
        <is>
          <t>코스피</t>
        </is>
      </c>
      <c r="D2827" s="2" t="inlineStr">
        <is>
          <t>107590</t>
        </is>
      </c>
      <c r="E2827" s="3" t="inlineStr">
        <is>
          <t xml:space="preserve">감사보고서제출(자회사의 주요경영사항)              </t>
        </is>
      </c>
      <c r="F2827" s="3" t="inlineStr">
        <is>
          <t>미원홀딩스</t>
        </is>
      </c>
      <c r="G2827" s="2" t="inlineStr">
        <is>
          <t>20260306801597</t>
        </is>
      </c>
      <c r="H2827" s="8">
        <f>HYPERLINK("https://dart.fss.or.kr/dsaf001/main.do?rcpNo=20260306801597", "공시열람")</f>
        <v/>
      </c>
    </row>
    <row r="2828">
      <c r="A2828" s="2" t="inlineStr">
        <is>
          <t>2026-03-06</t>
        </is>
      </c>
      <c r="B2828" s="3" t="inlineStr">
        <is>
          <t>AP시스템</t>
        </is>
      </c>
      <c r="C2828" s="2" t="inlineStr">
        <is>
          <t>코스닥</t>
        </is>
      </c>
      <c r="D2828" s="2" t="inlineStr">
        <is>
          <t>265520</t>
        </is>
      </c>
      <c r="E2828" s="3" t="inlineStr">
        <is>
          <t xml:space="preserve">연결재무제표기준영업(잠정)실적(공정공시)              </t>
        </is>
      </c>
      <c r="F2828" s="3" t="inlineStr">
        <is>
          <t>AP시스템</t>
        </is>
      </c>
      <c r="G2828" s="2" t="inlineStr">
        <is>
          <t>20260306901559</t>
        </is>
      </c>
      <c r="H2828" s="8">
        <f>HYPERLINK("https://dart.fss.or.kr/dsaf001/main.do?rcpNo=20260306901559", "공시열람")</f>
        <v/>
      </c>
    </row>
    <row r="2829">
      <c r="A2829" s="2" t="inlineStr">
        <is>
          <t>2026-03-06</t>
        </is>
      </c>
      <c r="B2829" s="3" t="inlineStr">
        <is>
          <t>아시아나IDT</t>
        </is>
      </c>
      <c r="C2829" s="2" t="inlineStr">
        <is>
          <t>코스피</t>
        </is>
      </c>
      <c r="D2829" s="2" t="inlineStr">
        <is>
          <t>267850</t>
        </is>
      </c>
      <c r="E2829" s="3" t="inlineStr">
        <is>
          <t>의결권대리행사권유참고서류</t>
        </is>
      </c>
      <c r="F2829" s="3" t="inlineStr">
        <is>
          <t>아시아나IDT</t>
        </is>
      </c>
      <c r="G2829" s="2" t="inlineStr">
        <is>
          <t>20260306000986</t>
        </is>
      </c>
      <c r="H2829" s="8">
        <f>HYPERLINK("https://dart.fss.or.kr/dsaf001/main.do?rcpNo=20260306000986", "공시열람")</f>
        <v/>
      </c>
    </row>
    <row r="2830">
      <c r="A2830" s="2" t="inlineStr">
        <is>
          <t>2026-03-06</t>
        </is>
      </c>
      <c r="B2830" s="3" t="inlineStr">
        <is>
          <t>AP시스템</t>
        </is>
      </c>
      <c r="C2830" s="2" t="inlineStr">
        <is>
          <t>코스닥</t>
        </is>
      </c>
      <c r="D2830" s="2" t="inlineStr">
        <is>
          <t>265520</t>
        </is>
      </c>
      <c r="E2830" s="3" t="inlineStr">
        <is>
          <t xml:space="preserve">매출액또는손익구조30%(대규모법인은15%)이상변동              </t>
        </is>
      </c>
      <c r="F2830" s="3" t="inlineStr">
        <is>
          <t>AP시스템</t>
        </is>
      </c>
      <c r="G2830" s="2" t="inlineStr">
        <is>
          <t>20260306901554</t>
        </is>
      </c>
      <c r="H2830" s="8">
        <f>HYPERLINK("https://dart.fss.or.kr/dsaf001/main.do?rcpNo=20260306901554", "공시열람")</f>
        <v/>
      </c>
    </row>
    <row r="2831">
      <c r="A2831" s="2" t="inlineStr">
        <is>
          <t>2026-03-06 (정정: 2026-03-06)</t>
        </is>
      </c>
      <c r="B2831" s="3" t="inlineStr">
        <is>
          <t>라온텍</t>
        </is>
      </c>
      <c r="C2831" s="2" t="inlineStr">
        <is>
          <t>코스닥</t>
        </is>
      </c>
      <c r="D2831" s="2" t="inlineStr">
        <is>
          <t>418420</t>
        </is>
      </c>
      <c r="E2831" s="3" t="inlineStr">
        <is>
          <t>[기재정정]투자판단관련주요경영사항              ([국책과제 선정] 초소형 XR글래스용 480 프레임레이트 제어부 내장형 0.2인치 LCoS마이크로디스플레이 기술 개발)</t>
        </is>
      </c>
      <c r="F2831" s="3" t="inlineStr">
        <is>
          <t>라온텍</t>
        </is>
      </c>
      <c r="G2831" s="2" t="inlineStr">
        <is>
          <t>20260306901535</t>
        </is>
      </c>
      <c r="H2831" s="8">
        <f>HYPERLINK("https://dart.fss.or.kr/dsaf001/main.do?rcpNo=20260306901535", "공시열람")</f>
        <v/>
      </c>
    </row>
    <row r="2832">
      <c r="A2832" s="2" t="inlineStr">
        <is>
          <t>2026-03-06</t>
        </is>
      </c>
      <c r="B2832" s="3" t="inlineStr">
        <is>
          <t>NAVER</t>
        </is>
      </c>
      <c r="C2832" s="2" t="inlineStr">
        <is>
          <t>코스피</t>
        </is>
      </c>
      <c r="D2832" s="2" t="inlineStr">
        <is>
          <t>035420</t>
        </is>
      </c>
      <c r="E2832" s="3" t="inlineStr">
        <is>
          <t xml:space="preserve">감사보고서제출              </t>
        </is>
      </c>
      <c r="F2832" s="3" t="inlineStr">
        <is>
          <t>NAVER</t>
        </is>
      </c>
      <c r="G2832" s="2" t="inlineStr">
        <is>
          <t>20260306801516</t>
        </is>
      </c>
      <c r="H2832" s="8">
        <f>HYPERLINK("https://dart.fss.or.kr/dsaf001/main.do?rcpNo=20260306801516", "공시열람")</f>
        <v/>
      </c>
    </row>
    <row r="2833">
      <c r="A2833" s="2" t="inlineStr">
        <is>
          <t>2026-03-06 (정정: 2026-03-10)</t>
        </is>
      </c>
      <c r="B2833" s="3" t="inlineStr">
        <is>
          <t>오성첨단소재</t>
        </is>
      </c>
      <c r="C2833" s="2" t="inlineStr">
        <is>
          <t>코스닥</t>
        </is>
      </c>
      <c r="D2833" s="2" t="inlineStr">
        <is>
          <t>052420</t>
        </is>
      </c>
      <c r="E2833" s="3" t="inlineStr">
        <is>
          <t>주식병합결정               (정정: 20260310)</t>
        </is>
      </c>
      <c r="F2833" s="3" t="inlineStr">
        <is>
          <t>오성첨단소재</t>
        </is>
      </c>
      <c r="G2833" s="2" t="inlineStr">
        <is>
          <t>20260310002940</t>
        </is>
      </c>
      <c r="H2833" s="8">
        <f>HYPERLINK("https://dart.fss.or.kr/dsaf001/main.do?rcpNo=20260310002940", "공시열람")</f>
        <v/>
      </c>
    </row>
    <row r="2834">
      <c r="A2834" s="2" t="inlineStr">
        <is>
          <t>2026-03-06</t>
        </is>
      </c>
      <c r="B2834" s="3" t="inlineStr">
        <is>
          <t>GST</t>
        </is>
      </c>
      <c r="C2834" s="2" t="inlineStr">
        <is>
          <t>코스닥</t>
        </is>
      </c>
      <c r="D2834" s="2" t="inlineStr">
        <is>
          <t>083450</t>
        </is>
      </c>
      <c r="E2834" s="3" t="inlineStr">
        <is>
          <t>임원ㆍ주요주주특정증권등소유상황보고서</t>
        </is>
      </c>
      <c r="F2834" s="3" t="inlineStr">
        <is>
          <t>김덕준</t>
        </is>
      </c>
      <c r="G2834" s="2" t="inlineStr">
        <is>
          <t>20260306000982</t>
        </is>
      </c>
      <c r="H2834" s="8">
        <f>HYPERLINK("https://dart.fss.or.kr/dsaf001/main.do?rcpNo=20260306000982", "공시열람")</f>
        <v/>
      </c>
    </row>
    <row r="2835">
      <c r="A2835" s="2" t="inlineStr">
        <is>
          <t>2026-03-06</t>
        </is>
      </c>
      <c r="B2835" s="3" t="inlineStr">
        <is>
          <t>티사이언티픽</t>
        </is>
      </c>
      <c r="C2835" s="2" t="inlineStr">
        <is>
          <t>코스닥</t>
        </is>
      </c>
      <c r="D2835" s="2" t="inlineStr">
        <is>
          <t>057680</t>
        </is>
      </c>
      <c r="E2835" s="3" t="inlineStr">
        <is>
          <t>주권매매거래정지              (자본감소)</t>
        </is>
      </c>
      <c r="F2835" s="3" t="inlineStr">
        <is>
          <t>코스닥시장본부</t>
        </is>
      </c>
      <c r="G2835" s="2" t="inlineStr">
        <is>
          <t>20260306901598</t>
        </is>
      </c>
      <c r="H2835" s="8">
        <f>HYPERLINK("https://dart.fss.or.kr/dsaf001/main.do?rcpNo=20260306901598", "공시열람")</f>
        <v/>
      </c>
    </row>
    <row r="2836">
      <c r="A2836" s="2" t="inlineStr">
        <is>
          <t>2026-03-06</t>
        </is>
      </c>
      <c r="B2836" s="3" t="inlineStr">
        <is>
          <t>티사이언티픽</t>
        </is>
      </c>
      <c r="C2836" s="2" t="inlineStr">
        <is>
          <t>코스닥</t>
        </is>
      </c>
      <c r="D2836" s="2" t="inlineStr">
        <is>
          <t>057680</t>
        </is>
      </c>
      <c r="E2836" s="3" t="inlineStr">
        <is>
          <t>주요사항보고서(감자결정)</t>
        </is>
      </c>
      <c r="F2836" s="3" t="inlineStr">
        <is>
          <t>티사이언티픽</t>
        </is>
      </c>
      <c r="G2836" s="2" t="inlineStr">
        <is>
          <t>20260306000966</t>
        </is>
      </c>
      <c r="H2836" s="8">
        <f>HYPERLINK("https://dart.fss.or.kr/dsaf001/main.do?rcpNo=20260306000966", "공시열람")</f>
        <v/>
      </c>
    </row>
    <row r="2837">
      <c r="A2837" s="2" t="inlineStr">
        <is>
          <t>2026-03-06 (정정: 2026-03-09)</t>
        </is>
      </c>
      <c r="B2837" s="3" t="inlineStr">
        <is>
          <t>LG</t>
        </is>
      </c>
      <c r="C2837" s="2" t="inlineStr">
        <is>
          <t>코스피</t>
        </is>
      </c>
      <c r="D2837" s="2" t="inlineStr">
        <is>
          <t>003550</t>
        </is>
      </c>
      <c r="E2837" s="3" t="inlineStr">
        <is>
          <t>감사보고서제출(자회사의 주요경영사항)               (정정: 20260309)</t>
        </is>
      </c>
      <c r="F2837" s="3" t="inlineStr">
        <is>
          <t>LG</t>
        </is>
      </c>
      <c r="G2837" s="2" t="inlineStr">
        <is>
          <t>20260309801333</t>
        </is>
      </c>
      <c r="H2837" s="8">
        <f>HYPERLINK("https://dart.fss.or.kr/dsaf001/main.do?rcpNo=20260309801333", "공시열람")</f>
        <v/>
      </c>
    </row>
    <row r="2838">
      <c r="A2838" s="2" t="inlineStr">
        <is>
          <t>2026-03-06 (정정: 2026-03-17)</t>
        </is>
      </c>
      <c r="B2838" s="3" t="inlineStr">
        <is>
          <t>리드코프</t>
        </is>
      </c>
      <c r="C2838" s="2" t="inlineStr">
        <is>
          <t>코스닥</t>
        </is>
      </c>
      <c r="D2838" s="2" t="inlineStr">
        <is>
          <t>012700</t>
        </is>
      </c>
      <c r="E2838" s="3" t="inlineStr">
        <is>
          <t>의결권대리행사권유참고서류 (정정: 20260309) (정정: 20260309) (정정: 20260312) (정정: 20260312) (정정: 20260317)</t>
        </is>
      </c>
      <c r="F2838" s="3" t="inlineStr">
        <is>
          <t>리드코프</t>
        </is>
      </c>
      <c r="G2838" s="2" t="inlineStr">
        <is>
          <t>20260317000782</t>
        </is>
      </c>
      <c r="H2838" s="8">
        <f>HYPERLINK("https://dart.fss.or.kr/dsaf001/main.do?rcpNo=20260317000782", "공시열람")</f>
        <v/>
      </c>
    </row>
    <row r="2839">
      <c r="A2839" s="2" t="inlineStr">
        <is>
          <t>2026-03-06</t>
        </is>
      </c>
      <c r="B2839" s="3" t="inlineStr">
        <is>
          <t>하림지주</t>
        </is>
      </c>
      <c r="C2839" s="2" t="inlineStr">
        <is>
          <t>코스닥</t>
        </is>
      </c>
      <c r="D2839" s="2" t="inlineStr">
        <is>
          <t>003380</t>
        </is>
      </c>
      <c r="E2839" s="3" t="inlineStr">
        <is>
          <t>임원ㆍ주요주주특정증권등소유상황보고서</t>
        </is>
      </c>
      <c r="F2839" s="3" t="inlineStr">
        <is>
          <t>한국바이오텍</t>
        </is>
      </c>
      <c r="G2839" s="2" t="inlineStr">
        <is>
          <t>20260306000977</t>
        </is>
      </c>
      <c r="H2839" s="8">
        <f>HYPERLINK("https://dart.fss.or.kr/dsaf001/main.do?rcpNo=20260306000977", "공시열람")</f>
        <v/>
      </c>
    </row>
    <row r="2840">
      <c r="A2840" s="2" t="inlineStr">
        <is>
          <t>2026-03-06</t>
        </is>
      </c>
      <c r="B2840" s="3" t="inlineStr">
        <is>
          <t>제이씨케미칼</t>
        </is>
      </c>
      <c r="C2840" s="2" t="inlineStr">
        <is>
          <t>코스닥</t>
        </is>
      </c>
      <c r="D2840" s="2" t="inlineStr">
        <is>
          <t>137950</t>
        </is>
      </c>
      <c r="E2840" s="3" t="inlineStr">
        <is>
          <t xml:space="preserve">매출액또는손익구조30%(대규모법인은15%)이상변동              </t>
        </is>
      </c>
      <c r="F2840" s="3" t="inlineStr">
        <is>
          <t>제이씨케미칼</t>
        </is>
      </c>
      <c r="G2840" s="2" t="inlineStr">
        <is>
          <t>20260306901526</t>
        </is>
      </c>
      <c r="H2840" s="8">
        <f>HYPERLINK("https://dart.fss.or.kr/dsaf001/main.do?rcpNo=20260306901526", "공시열람")</f>
        <v/>
      </c>
    </row>
    <row r="2841">
      <c r="A2841" s="2" t="inlineStr">
        <is>
          <t>2026-03-06</t>
        </is>
      </c>
      <c r="B2841" s="3" t="inlineStr">
        <is>
          <t>코위버</t>
        </is>
      </c>
      <c r="C2841" s="2" t="inlineStr">
        <is>
          <t>코스닥</t>
        </is>
      </c>
      <c r="D2841" s="2" t="inlineStr">
        <is>
          <t>056360</t>
        </is>
      </c>
      <c r="E2841" s="3" t="inlineStr">
        <is>
          <t xml:space="preserve">감사보고서제출              </t>
        </is>
      </c>
      <c r="F2841" s="3" t="inlineStr">
        <is>
          <t>코위버</t>
        </is>
      </c>
      <c r="G2841" s="2" t="inlineStr">
        <is>
          <t>20260306901566</t>
        </is>
      </c>
      <c r="H2841" s="8">
        <f>HYPERLINK("https://dart.fss.or.kr/dsaf001/main.do?rcpNo=20260306901566", "공시열람")</f>
        <v/>
      </c>
    </row>
    <row r="2842">
      <c r="A2842" s="2" t="inlineStr">
        <is>
          <t>2026-03-06</t>
        </is>
      </c>
      <c r="B2842" s="3" t="inlineStr">
        <is>
          <t>잉크테크</t>
        </is>
      </c>
      <c r="C2842" s="2" t="inlineStr">
        <is>
          <t>코스닥</t>
        </is>
      </c>
      <c r="D2842" s="2" t="inlineStr">
        <is>
          <t>049550</t>
        </is>
      </c>
      <c r="E2842" s="3" t="inlineStr">
        <is>
          <t xml:space="preserve">감사보고서제출              </t>
        </is>
      </c>
      <c r="F2842" s="3" t="inlineStr">
        <is>
          <t>잉크테크</t>
        </is>
      </c>
      <c r="G2842" s="2" t="inlineStr">
        <is>
          <t>20260306901499</t>
        </is>
      </c>
      <c r="H2842" s="8">
        <f>HYPERLINK("https://dart.fss.or.kr/dsaf001/main.do?rcpNo=20260306901499", "공시열람")</f>
        <v/>
      </c>
    </row>
    <row r="2843">
      <c r="A2843" s="2" t="inlineStr">
        <is>
          <t>2026-03-06</t>
        </is>
      </c>
      <c r="B2843" s="3" t="inlineStr">
        <is>
          <t>마니커</t>
        </is>
      </c>
      <c r="C2843" s="2" t="inlineStr">
        <is>
          <t>코스피</t>
        </is>
      </c>
      <c r="D2843" s="2" t="inlineStr">
        <is>
          <t>027740</t>
        </is>
      </c>
      <c r="E2843" s="3" t="inlineStr">
        <is>
          <t>의결권대리행사권유참고서류</t>
        </is>
      </c>
      <c r="F2843" s="3" t="inlineStr">
        <is>
          <t>마니커</t>
        </is>
      </c>
      <c r="G2843" s="2" t="inlineStr">
        <is>
          <t>20260306000974</t>
        </is>
      </c>
      <c r="H2843" s="8">
        <f>HYPERLINK("https://dart.fss.or.kr/dsaf001/main.do?rcpNo=20260306000974", "공시열람")</f>
        <v/>
      </c>
    </row>
    <row r="2844">
      <c r="A2844" s="2" t="inlineStr">
        <is>
          <t>2026-03-06</t>
        </is>
      </c>
      <c r="B2844" s="3" t="inlineStr">
        <is>
          <t>삼성전자</t>
        </is>
      </c>
      <c r="C2844" s="2" t="inlineStr">
        <is>
          <t>코스피</t>
        </is>
      </c>
      <c r="D2844" s="2" t="inlineStr">
        <is>
          <t>005930</t>
        </is>
      </c>
      <c r="E2844" s="3" t="inlineStr">
        <is>
          <t>[기재정정]임원ㆍ주요주주특정증권등소유상황보고서</t>
        </is>
      </c>
      <c r="F2844" s="3" t="inlineStr">
        <is>
          <t>강상균</t>
        </is>
      </c>
      <c r="G2844" s="2" t="inlineStr">
        <is>
          <t>20260306000972</t>
        </is>
      </c>
      <c r="H2844" s="8">
        <f>HYPERLINK("https://dart.fss.or.kr/dsaf001/main.do?rcpNo=20260306000972", "공시열람")</f>
        <v/>
      </c>
    </row>
    <row r="2845">
      <c r="A2845" s="2" t="inlineStr">
        <is>
          <t>2026-03-06 (정정: 2026-03-06)</t>
        </is>
      </c>
      <c r="B2845" s="3" t="inlineStr">
        <is>
          <t>GST</t>
        </is>
      </c>
      <c r="C2845" s="2" t="inlineStr">
        <is>
          <t>코스닥</t>
        </is>
      </c>
      <c r="D2845" s="2" t="inlineStr">
        <is>
          <t>083450</t>
        </is>
      </c>
      <c r="E2845" s="3" t="inlineStr">
        <is>
          <t>임원ㆍ주요주주특정증권등소유상황보고서 (정정: 20260306)</t>
        </is>
      </c>
      <c r="F2845" s="3" t="inlineStr">
        <is>
          <t>석종욱</t>
        </is>
      </c>
      <c r="G2845" s="2" t="inlineStr">
        <is>
          <t>20260306000956</t>
        </is>
      </c>
      <c r="H2845" s="8">
        <f>HYPERLINK("https://dart.fss.or.kr/dsaf001/main.do?rcpNo=20260306000956", "공시열람")</f>
        <v/>
      </c>
    </row>
    <row r="2846">
      <c r="A2846" s="2" t="inlineStr">
        <is>
          <t>2026-03-06</t>
        </is>
      </c>
      <c r="B2846" s="3" t="inlineStr">
        <is>
          <t>코메론</t>
        </is>
      </c>
      <c r="C2846" s="2" t="inlineStr">
        <is>
          <t>코스닥</t>
        </is>
      </c>
      <c r="D2846" s="2" t="inlineStr">
        <is>
          <t>049430</t>
        </is>
      </c>
      <c r="E2846" s="3" t="inlineStr">
        <is>
          <t>의결권대리행사권유참고서류</t>
        </is>
      </c>
      <c r="F2846" s="3" t="inlineStr">
        <is>
          <t>피보나치자산운용</t>
        </is>
      </c>
      <c r="G2846" s="2" t="inlineStr">
        <is>
          <t>20260306000968</t>
        </is>
      </c>
      <c r="H2846" s="8">
        <f>HYPERLINK("https://dart.fss.or.kr/dsaf001/main.do?rcpNo=20260306000968", "공시열람")</f>
        <v/>
      </c>
    </row>
    <row r="2847">
      <c r="A2847" s="2" t="inlineStr">
        <is>
          <t>2026-03-06</t>
        </is>
      </c>
      <c r="B2847" s="3" t="inlineStr">
        <is>
          <t>코스맥스비티아이</t>
        </is>
      </c>
      <c r="C2847" s="2" t="inlineStr">
        <is>
          <t>코스피</t>
        </is>
      </c>
      <c r="D2847" s="2" t="inlineStr">
        <is>
          <t>044820</t>
        </is>
      </c>
      <c r="E2847" s="3" t="inlineStr">
        <is>
          <t xml:space="preserve">현금ㆍ현물배당결정              </t>
        </is>
      </c>
      <c r="F2847" s="3" t="inlineStr">
        <is>
          <t>코스맥스비티아이</t>
        </is>
      </c>
      <c r="G2847" s="2" t="inlineStr">
        <is>
          <t>20260306801540</t>
        </is>
      </c>
      <c r="H2847" s="8">
        <f>HYPERLINK("https://dart.fss.or.kr/dsaf001/main.do?rcpNo=20260306801540", "공시열람")</f>
        <v/>
      </c>
    </row>
    <row r="2848">
      <c r="A2848" s="2" t="inlineStr">
        <is>
          <t>2026-03-06 (정정: 2026-03-06)</t>
        </is>
      </c>
      <c r="B2848" s="3" t="inlineStr">
        <is>
          <t>네오리진</t>
        </is>
      </c>
      <c r="C2848" s="2" t="inlineStr">
        <is>
          <t>코스닥</t>
        </is>
      </c>
      <c r="D2848" s="2" t="inlineStr">
        <is>
          <t>094860</t>
        </is>
      </c>
      <c r="E2848" s="3" t="inlineStr">
        <is>
          <t>합병등종료보고서(자산양수도) (정정: 20260306) (정정: 20260306)</t>
        </is>
      </c>
      <c r="F2848" s="3" t="inlineStr">
        <is>
          <t>네오리진</t>
        </is>
      </c>
      <c r="G2848" s="2" t="inlineStr">
        <is>
          <t>20260306000894</t>
        </is>
      </c>
      <c r="H2848" s="8">
        <f>HYPERLINK("https://dart.fss.or.kr/dsaf001/main.do?rcpNo=20260306000894", "공시열람")</f>
        <v/>
      </c>
    </row>
    <row r="2849">
      <c r="A2849" s="2" t="inlineStr">
        <is>
          <t>2026-03-06</t>
        </is>
      </c>
      <c r="B2849" s="3" t="inlineStr">
        <is>
          <t>대현</t>
        </is>
      </c>
      <c r="C2849" s="2" t="inlineStr">
        <is>
          <t>코스피</t>
        </is>
      </c>
      <c r="D2849" s="2" t="inlineStr">
        <is>
          <t>016090</t>
        </is>
      </c>
      <c r="E2849" s="3" t="inlineStr">
        <is>
          <t xml:space="preserve">기타경영사항(자율공시)              </t>
        </is>
      </c>
      <c r="F2849" s="3" t="inlineStr">
        <is>
          <t>대현</t>
        </is>
      </c>
      <c r="G2849" s="2" t="inlineStr">
        <is>
          <t>20260306801568</t>
        </is>
      </c>
      <c r="H2849" s="8">
        <f>HYPERLINK("https://dart.fss.or.kr/dsaf001/main.do?rcpNo=20260306801568", "공시열람")</f>
        <v/>
      </c>
    </row>
    <row r="2850">
      <c r="A2850" s="2" t="inlineStr">
        <is>
          <t>2026-03-06</t>
        </is>
      </c>
      <c r="B2850" s="3" t="inlineStr">
        <is>
          <t>소프트센</t>
        </is>
      </c>
      <c r="C2850" s="2" t="inlineStr">
        <is>
          <t>코스닥</t>
        </is>
      </c>
      <c r="D2850" s="2" t="inlineStr">
        <is>
          <t>032680</t>
        </is>
      </c>
      <c r="E2850" s="3" t="inlineStr">
        <is>
          <t>의결권대리행사권유참고서류</t>
        </is>
      </c>
      <c r="F2850" s="3" t="inlineStr">
        <is>
          <t>소프트센</t>
        </is>
      </c>
      <c r="G2850" s="2" t="inlineStr">
        <is>
          <t>20260306000960</t>
        </is>
      </c>
      <c r="H2850" s="8">
        <f>HYPERLINK("https://dart.fss.or.kr/dsaf001/main.do?rcpNo=20260306000960", "공시열람")</f>
        <v/>
      </c>
    </row>
    <row r="2851">
      <c r="A2851" s="2" t="inlineStr">
        <is>
          <t>2026-03-06</t>
        </is>
      </c>
      <c r="B2851" s="3" t="inlineStr">
        <is>
          <t>이엔플러스</t>
        </is>
      </c>
      <c r="C2851" s="2" t="inlineStr">
        <is>
          <t>코스피</t>
        </is>
      </c>
      <c r="D2851" s="2" t="inlineStr">
        <is>
          <t>074610</t>
        </is>
      </c>
      <c r="E2851" s="3" t="inlineStr">
        <is>
          <t xml:space="preserve">불성실공시법인지정              </t>
        </is>
      </c>
      <c r="F2851" s="3" t="inlineStr">
        <is>
          <t>유가증권시장본부</t>
        </is>
      </c>
      <c r="G2851" s="2" t="inlineStr">
        <is>
          <t>20260306801536</t>
        </is>
      </c>
      <c r="H2851" s="8">
        <f>HYPERLINK("https://dart.fss.or.kr/dsaf001/main.do?rcpNo=20260306801536", "공시열람")</f>
        <v/>
      </c>
    </row>
    <row r="2852">
      <c r="A2852" s="2" t="inlineStr">
        <is>
          <t>2026-03-06 (정정: 2026-03-09)</t>
        </is>
      </c>
      <c r="B2852" s="3" t="inlineStr">
        <is>
          <t>한익스프레스</t>
        </is>
      </c>
      <c r="C2852" s="2" t="inlineStr">
        <is>
          <t>코스피</t>
        </is>
      </c>
      <c r="D2852" s="2" t="inlineStr">
        <is>
          <t>014130</t>
        </is>
      </c>
      <c r="E2852" s="3" t="inlineStr">
        <is>
          <t>불성실공시법인지정               (정정: 20260309)</t>
        </is>
      </c>
      <c r="F2852" s="3" t="inlineStr">
        <is>
          <t>유가증권시장본부</t>
        </is>
      </c>
      <c r="G2852" s="2" t="inlineStr">
        <is>
          <t>20260309801194</t>
        </is>
      </c>
      <c r="H2852" s="8">
        <f>HYPERLINK("https://dart.fss.or.kr/dsaf001/main.do?rcpNo=20260309801194", "공시열람")</f>
        <v/>
      </c>
    </row>
    <row r="2853">
      <c r="A2853" s="2" t="inlineStr">
        <is>
          <t>2026-03-06</t>
        </is>
      </c>
      <c r="B2853" s="3" t="inlineStr">
        <is>
          <t>제이알글로벌리츠</t>
        </is>
      </c>
      <c r="C2853" s="2" t="inlineStr">
        <is>
          <t>코스피</t>
        </is>
      </c>
      <c r="D2853" s="2" t="inlineStr">
        <is>
          <t>348950</t>
        </is>
      </c>
      <c r="E2853" s="3" t="inlineStr">
        <is>
          <t xml:space="preserve">불성실공시법인지정              </t>
        </is>
      </c>
      <c r="F2853" s="3" t="inlineStr">
        <is>
          <t>유가증권시장본부</t>
        </is>
      </c>
      <c r="G2853" s="2" t="inlineStr">
        <is>
          <t>20260306801529</t>
        </is>
      </c>
      <c r="H2853" s="8">
        <f>HYPERLINK("https://dart.fss.or.kr/dsaf001/main.do?rcpNo=20260306801529", "공시열람")</f>
        <v/>
      </c>
    </row>
    <row r="2854">
      <c r="A2854" s="2" t="inlineStr">
        <is>
          <t>2026-03-06 (정정: 2026-03-12)</t>
        </is>
      </c>
      <c r="B2854" s="3" t="inlineStr">
        <is>
          <t>리드코프</t>
        </is>
      </c>
      <c r="C2854" s="2" t="inlineStr">
        <is>
          <t>코스닥</t>
        </is>
      </c>
      <c r="D2854" s="2" t="inlineStr">
        <is>
          <t>012700</t>
        </is>
      </c>
      <c r="E2854" s="3" t="inlineStr">
        <is>
          <t>현금ㆍ현물배당결정               (정정: 20260312)</t>
        </is>
      </c>
      <c r="F2854" s="3" t="inlineStr">
        <is>
          <t>리드코프</t>
        </is>
      </c>
      <c r="G2854" s="2" t="inlineStr">
        <is>
          <t>20260312001286</t>
        </is>
      </c>
      <c r="H2854" s="8">
        <f>HYPERLINK("https://dart.fss.or.kr/dsaf001/main.do?rcpNo=20260312001286", "공시열람")</f>
        <v/>
      </c>
    </row>
    <row r="2855">
      <c r="A2855" s="2" t="inlineStr">
        <is>
          <t>2026-03-06</t>
        </is>
      </c>
      <c r="B2855" s="3" t="inlineStr">
        <is>
          <t>유니포인트</t>
        </is>
      </c>
      <c r="C2855" s="2" t="inlineStr">
        <is>
          <t>코넥스</t>
        </is>
      </c>
      <c r="D2855" s="2" t="inlineStr">
        <is>
          <t>121060</t>
        </is>
      </c>
      <c r="E2855" s="3" t="inlineStr">
        <is>
          <t>주요사항보고서(감자결정)</t>
        </is>
      </c>
      <c r="F2855" s="3" t="inlineStr">
        <is>
          <t>유니포인트</t>
        </is>
      </c>
      <c r="G2855" s="2" t="inlineStr">
        <is>
          <t>20260306000940</t>
        </is>
      </c>
      <c r="H2855" s="8">
        <f>HYPERLINK("https://dart.fss.or.kr/dsaf001/main.do?rcpNo=20260306000940", "공시열람")</f>
        <v/>
      </c>
    </row>
    <row r="2856">
      <c r="A2856" s="2" t="inlineStr">
        <is>
          <t>2026-03-06</t>
        </is>
      </c>
      <c r="B2856" s="3" t="inlineStr">
        <is>
          <t>유니포인트</t>
        </is>
      </c>
      <c r="C2856" s="2" t="inlineStr">
        <is>
          <t>코넥스</t>
        </is>
      </c>
      <c r="D2856" s="2" t="inlineStr">
        <is>
          <t>121060</t>
        </is>
      </c>
      <c r="E2856" s="3" t="inlineStr">
        <is>
          <t xml:space="preserve">현금ㆍ현물배당결정              </t>
        </is>
      </c>
      <c r="F2856" s="3" t="inlineStr">
        <is>
          <t>유니포인트</t>
        </is>
      </c>
      <c r="G2856" s="2" t="inlineStr">
        <is>
          <t>20260306601431</t>
        </is>
      </c>
      <c r="H2856" s="8">
        <f>HYPERLINK("https://dart.fss.or.kr/dsaf001/main.do?rcpNo=20260306601431", "공시열람")</f>
        <v/>
      </c>
    </row>
    <row r="2857">
      <c r="A2857" s="2" t="inlineStr">
        <is>
          <t>2026-03-06</t>
        </is>
      </c>
      <c r="B2857" s="3" t="inlineStr">
        <is>
          <t>시큐브</t>
        </is>
      </c>
      <c r="C2857" s="2" t="inlineStr">
        <is>
          <t>코스닥</t>
        </is>
      </c>
      <c r="D2857" s="2" t="inlineStr">
        <is>
          <t>131090</t>
        </is>
      </c>
      <c r="E2857" s="3" t="inlineStr">
        <is>
          <t>자기주식처분결과보고서</t>
        </is>
      </c>
      <c r="F2857" s="3" t="inlineStr">
        <is>
          <t>시큐브</t>
        </is>
      </c>
      <c r="G2857" s="2" t="inlineStr">
        <is>
          <t>20260306000953</t>
        </is>
      </c>
      <c r="H2857" s="8">
        <f>HYPERLINK("https://dart.fss.or.kr/dsaf001/main.do?rcpNo=20260306000953", "공시열람")</f>
        <v/>
      </c>
    </row>
    <row r="2858">
      <c r="A2858" s="2" t="inlineStr">
        <is>
          <t>2026-03-06</t>
        </is>
      </c>
      <c r="B2858" s="3" t="inlineStr">
        <is>
          <t>큐라티스</t>
        </is>
      </c>
      <c r="C2858" s="2" t="inlineStr">
        <is>
          <t>코스닥</t>
        </is>
      </c>
      <c r="D2858" s="2" t="inlineStr">
        <is>
          <t>348080</t>
        </is>
      </c>
      <c r="E2858" s="3" t="inlineStr">
        <is>
          <t>임원ㆍ주요주주특정증권등소유상황보고서</t>
        </is>
      </c>
      <c r="F2858" s="3" t="inlineStr">
        <is>
          <t>인벤티지랩</t>
        </is>
      </c>
      <c r="G2858" s="2" t="inlineStr">
        <is>
          <t>20260306000952</t>
        </is>
      </c>
      <c r="H2858" s="8">
        <f>HYPERLINK("https://dart.fss.or.kr/dsaf001/main.do?rcpNo=20260306000952", "공시열람")</f>
        <v/>
      </c>
    </row>
    <row r="2859">
      <c r="A2859" s="2" t="inlineStr">
        <is>
          <t>2026-03-06</t>
        </is>
      </c>
      <c r="B2859" s="3" t="inlineStr">
        <is>
          <t>코어라인소프트</t>
        </is>
      </c>
      <c r="C2859" s="2" t="inlineStr">
        <is>
          <t>코스닥</t>
        </is>
      </c>
      <c r="D2859" s="2" t="inlineStr">
        <is>
          <t>384470</t>
        </is>
      </c>
      <c r="E2859" s="3" t="inlineStr">
        <is>
          <t>임원ㆍ주요주주특정증권등소유상황보고서</t>
        </is>
      </c>
      <c r="F2859" s="3" t="inlineStr">
        <is>
          <t>정우석</t>
        </is>
      </c>
      <c r="G2859" s="2" t="inlineStr">
        <is>
          <t>20260306000950</t>
        </is>
      </c>
      <c r="H2859" s="8">
        <f>HYPERLINK("https://dart.fss.or.kr/dsaf001/main.do?rcpNo=20260306000950", "공시열람")</f>
        <v/>
      </c>
    </row>
    <row r="2860">
      <c r="A2860" s="2" t="inlineStr">
        <is>
          <t>2026-03-06</t>
        </is>
      </c>
      <c r="B2860" s="3" t="inlineStr">
        <is>
          <t>고려제강</t>
        </is>
      </c>
      <c r="C2860" s="2" t="inlineStr">
        <is>
          <t>코스피</t>
        </is>
      </c>
      <c r="D2860" s="2" t="inlineStr">
        <is>
          <t>002240</t>
        </is>
      </c>
      <c r="E2860" s="3" t="inlineStr">
        <is>
          <t xml:space="preserve">현금ㆍ현물배당결정              </t>
        </is>
      </c>
      <c r="F2860" s="3" t="inlineStr">
        <is>
          <t>고려제강</t>
        </is>
      </c>
      <c r="G2860" s="2" t="inlineStr">
        <is>
          <t>20260306801537</t>
        </is>
      </c>
      <c r="H2860" s="8">
        <f>HYPERLINK("https://dart.fss.or.kr/dsaf001/main.do?rcpNo=20260306801537", "공시열람")</f>
        <v/>
      </c>
    </row>
    <row r="2861">
      <c r="A2861" s="2" t="inlineStr">
        <is>
          <t>2026-03-06 (정정: 2026-03-09)</t>
        </is>
      </c>
      <c r="B2861" s="3" t="inlineStr">
        <is>
          <t>LG화학</t>
        </is>
      </c>
      <c r="C2861" s="2" t="inlineStr">
        <is>
          <t>코스피</t>
        </is>
      </c>
      <c r="D2861" s="2" t="inlineStr">
        <is>
          <t>051910</t>
        </is>
      </c>
      <c r="E2861" s="3" t="inlineStr">
        <is>
          <t>감사보고서제출               (정정: 20260309)</t>
        </is>
      </c>
      <c r="F2861" s="3" t="inlineStr">
        <is>
          <t>LG화학</t>
        </is>
      </c>
      <c r="G2861" s="2" t="inlineStr">
        <is>
          <t>20260309801135</t>
        </is>
      </c>
      <c r="H2861" s="8">
        <f>HYPERLINK("https://dart.fss.or.kr/dsaf001/main.do?rcpNo=20260309801135", "공시열람")</f>
        <v/>
      </c>
    </row>
    <row r="2862">
      <c r="A2862" s="2" t="inlineStr">
        <is>
          <t>2026-03-06</t>
        </is>
      </c>
      <c r="B2862" s="3" t="inlineStr">
        <is>
          <t>리더스코스메틱</t>
        </is>
      </c>
      <c r="C2862" s="2" t="inlineStr">
        <is>
          <t>코스닥</t>
        </is>
      </c>
      <c r="D2862" s="2" t="inlineStr">
        <is>
          <t>016100</t>
        </is>
      </c>
      <c r="E2862" s="3" t="inlineStr">
        <is>
          <t xml:space="preserve">매출액또는손익구조30%(대규모법인은15%)이상변동              </t>
        </is>
      </c>
      <c r="F2862" s="3" t="inlineStr">
        <is>
          <t>리더스코스메틱</t>
        </is>
      </c>
      <c r="G2862" s="2" t="inlineStr">
        <is>
          <t>20260306901440</t>
        </is>
      </c>
      <c r="H2862" s="8">
        <f>HYPERLINK("https://dart.fss.or.kr/dsaf001/main.do?rcpNo=20260306901440", "공시열람")</f>
        <v/>
      </c>
    </row>
    <row r="2863">
      <c r="A2863" s="2" t="inlineStr">
        <is>
          <t>2026-03-06</t>
        </is>
      </c>
      <c r="B2863" s="3" t="inlineStr">
        <is>
          <t>코이즈</t>
        </is>
      </c>
      <c r="C2863" s="2" t="inlineStr">
        <is>
          <t>코스닥</t>
        </is>
      </c>
      <c r="D2863" s="2" t="inlineStr">
        <is>
          <t>121850</t>
        </is>
      </c>
      <c r="E2863" s="3" t="inlineStr">
        <is>
          <t xml:space="preserve">매출액또는손익구조30%(대규모법인은15%)이상변동              </t>
        </is>
      </c>
      <c r="F2863" s="3" t="inlineStr">
        <is>
          <t>코이즈</t>
        </is>
      </c>
      <c r="G2863" s="2" t="inlineStr">
        <is>
          <t>20260306901505</t>
        </is>
      </c>
      <c r="H2863" s="8">
        <f>HYPERLINK("https://dart.fss.or.kr/dsaf001/main.do?rcpNo=20260306901505", "공시열람")</f>
        <v/>
      </c>
    </row>
    <row r="2864">
      <c r="A2864" s="2" t="inlineStr">
        <is>
          <t>2026-03-06</t>
        </is>
      </c>
      <c r="B2864" s="3" t="inlineStr">
        <is>
          <t>롯데손해보험</t>
        </is>
      </c>
      <c r="C2864" s="2" t="inlineStr">
        <is>
          <t>코스피</t>
        </is>
      </c>
      <c r="D2864" s="2" t="inlineStr">
        <is>
          <t>000400</t>
        </is>
      </c>
      <c r="E2864" s="3" t="inlineStr">
        <is>
          <t xml:space="preserve">기업지배구조보고서공시(연차보고서)              </t>
        </is>
      </c>
      <c r="F2864" s="3" t="inlineStr">
        <is>
          <t>롯데손해보험</t>
        </is>
      </c>
      <c r="G2864" s="2" t="inlineStr">
        <is>
          <t>20260306801548</t>
        </is>
      </c>
      <c r="H2864" s="8">
        <f>HYPERLINK("https://dart.fss.or.kr/dsaf001/main.do?rcpNo=20260306801548", "공시열람")</f>
        <v/>
      </c>
    </row>
    <row r="2865">
      <c r="A2865" s="2" t="inlineStr">
        <is>
          <t>2026-03-06</t>
        </is>
      </c>
      <c r="B2865" s="3" t="inlineStr">
        <is>
          <t>노을</t>
        </is>
      </c>
      <c r="C2865" s="2" t="inlineStr">
        <is>
          <t>코스닥</t>
        </is>
      </c>
      <c r="D2865" s="2" t="inlineStr">
        <is>
          <t>376930</t>
        </is>
      </c>
      <c r="E2865" s="3" t="inlineStr">
        <is>
          <t>임원ㆍ주요주주특정증권등소유상황보고서</t>
        </is>
      </c>
      <c r="F2865" s="3" t="inlineStr">
        <is>
          <t>MSEED,INC.</t>
        </is>
      </c>
      <c r="G2865" s="2" t="inlineStr">
        <is>
          <t>20260306000942</t>
        </is>
      </c>
      <c r="H2865" s="8">
        <f>HYPERLINK("https://dart.fss.or.kr/dsaf001/main.do?rcpNo=20260306000942", "공시열람")</f>
        <v/>
      </c>
    </row>
    <row r="2866">
      <c r="A2866" s="2" t="inlineStr">
        <is>
          <t>2026-03-06</t>
        </is>
      </c>
      <c r="B2866" s="3" t="inlineStr">
        <is>
          <t>신화인터텍</t>
        </is>
      </c>
      <c r="C2866" s="2" t="inlineStr">
        <is>
          <t>코스닥</t>
        </is>
      </c>
      <c r="D2866" s="2" t="inlineStr">
        <is>
          <t>056700</t>
        </is>
      </c>
      <c r="E2866" s="3" t="inlineStr">
        <is>
          <t>의결권대리행사권유참고서류</t>
        </is>
      </c>
      <c r="F2866" s="3" t="inlineStr">
        <is>
          <t>신화인터텍</t>
        </is>
      </c>
      <c r="G2866" s="2" t="inlineStr">
        <is>
          <t>20260306000941</t>
        </is>
      </c>
      <c r="H2866" s="8">
        <f>HYPERLINK("https://dart.fss.or.kr/dsaf001/main.do?rcpNo=20260306000941", "공시열람")</f>
        <v/>
      </c>
    </row>
    <row r="2867">
      <c r="A2867" s="2" t="inlineStr">
        <is>
          <t>2026-03-06</t>
        </is>
      </c>
      <c r="B2867" s="3" t="inlineStr">
        <is>
          <t>LS네트웍스</t>
        </is>
      </c>
      <c r="C2867" s="2" t="inlineStr">
        <is>
          <t>코스피</t>
        </is>
      </c>
      <c r="D2867" s="2" t="inlineStr">
        <is>
          <t>000680</t>
        </is>
      </c>
      <c r="E2867" s="3" t="inlineStr">
        <is>
          <t>의결권대리행사권유참고서류</t>
        </is>
      </c>
      <c r="F2867" s="3" t="inlineStr">
        <is>
          <t>LS네트웍스</t>
        </is>
      </c>
      <c r="G2867" s="2" t="inlineStr">
        <is>
          <t>20260306000939</t>
        </is>
      </c>
      <c r="H2867" s="8">
        <f>HYPERLINK("https://dart.fss.or.kr/dsaf001/main.do?rcpNo=20260306000939", "공시열람")</f>
        <v/>
      </c>
    </row>
    <row r="2868">
      <c r="A2868" s="2" t="inlineStr">
        <is>
          <t>2026-03-06</t>
        </is>
      </c>
      <c r="B2868" s="3" t="inlineStr">
        <is>
          <t>노을</t>
        </is>
      </c>
      <c r="C2868" s="2" t="inlineStr">
        <is>
          <t>코스닥</t>
        </is>
      </c>
      <c r="D2868" s="2" t="inlineStr">
        <is>
          <t>376930</t>
        </is>
      </c>
      <c r="E2868" s="3" t="inlineStr">
        <is>
          <t>임원ㆍ주요주주특정증권등소유상황보고서</t>
        </is>
      </c>
      <c r="F2868" s="3" t="inlineStr">
        <is>
          <t>임찬양</t>
        </is>
      </c>
      <c r="G2868" s="2" t="inlineStr">
        <is>
          <t>20260306000937</t>
        </is>
      </c>
      <c r="H2868" s="8">
        <f>HYPERLINK("https://dart.fss.or.kr/dsaf001/main.do?rcpNo=20260306000937", "공시열람")</f>
        <v/>
      </c>
    </row>
    <row r="2869">
      <c r="A2869" s="2" t="inlineStr">
        <is>
          <t>2026-03-06 (정정: 2026-03-06)</t>
        </is>
      </c>
      <c r="B2869" s="3" t="inlineStr">
        <is>
          <t>키움제11호스팩</t>
        </is>
      </c>
      <c r="C2869" s="2" t="inlineStr">
        <is>
          <t>코스닥</t>
        </is>
      </c>
      <c r="D2869" s="2" t="inlineStr">
        <is>
          <t>489480</t>
        </is>
      </c>
      <c r="E2869" s="3" t="inlineStr">
        <is>
          <t>감사보고서제출               (정정: 20260306)</t>
        </is>
      </c>
      <c r="F2869" s="3" t="inlineStr">
        <is>
          <t>키움제11호스팩</t>
        </is>
      </c>
      <c r="G2869" s="2" t="inlineStr">
        <is>
          <t>20260306901344</t>
        </is>
      </c>
      <c r="H2869" s="8">
        <f>HYPERLINK("https://dart.fss.or.kr/dsaf001/main.do?rcpNo=20260306901344", "공시열람")</f>
        <v/>
      </c>
    </row>
    <row r="2870">
      <c r="A2870" s="2" t="inlineStr">
        <is>
          <t>2026-03-06</t>
        </is>
      </c>
      <c r="B2870" s="3" t="inlineStr">
        <is>
          <t>신라섬유</t>
        </is>
      </c>
      <c r="C2870" s="2" t="inlineStr">
        <is>
          <t>코스닥</t>
        </is>
      </c>
      <c r="D2870" s="2" t="inlineStr">
        <is>
          <t>001000</t>
        </is>
      </c>
      <c r="E2870" s="3" t="inlineStr">
        <is>
          <t xml:space="preserve">감사보고서제출              </t>
        </is>
      </c>
      <c r="F2870" s="3" t="inlineStr">
        <is>
          <t>신라섬유</t>
        </is>
      </c>
      <c r="G2870" s="2" t="inlineStr">
        <is>
          <t>20260306901391</t>
        </is>
      </c>
      <c r="H2870" s="8">
        <f>HYPERLINK("https://dart.fss.or.kr/dsaf001/main.do?rcpNo=20260306901391", "공시열람")</f>
        <v/>
      </c>
    </row>
    <row r="2871">
      <c r="A2871" s="2" t="inlineStr">
        <is>
          <t>2026-03-06 (정정: 2026-03-06)</t>
        </is>
      </c>
      <c r="B2871" s="3" t="inlineStr">
        <is>
          <t>온코닉테라퓨틱스</t>
        </is>
      </c>
      <c r="C2871" s="2" t="inlineStr">
        <is>
          <t>코스닥</t>
        </is>
      </c>
      <c r="D2871" s="2" t="inlineStr">
        <is>
          <t>476060</t>
        </is>
      </c>
      <c r="E2871" s="3" t="inlineStr">
        <is>
          <t>의결권대리행사권유참고서류 (정정: 20260306)</t>
        </is>
      </c>
      <c r="F2871" s="3" t="inlineStr">
        <is>
          <t>온코닉테라퓨틱스</t>
        </is>
      </c>
      <c r="G2871" s="2" t="inlineStr">
        <is>
          <t>20260306901305</t>
        </is>
      </c>
      <c r="H2871" s="8">
        <f>HYPERLINK("https://dart.fss.or.kr/dsaf001/main.do?rcpNo=20260306901305", "공시열람")</f>
        <v/>
      </c>
    </row>
    <row r="2872">
      <c r="A2872" s="2" t="inlineStr">
        <is>
          <t>2026-03-06</t>
        </is>
      </c>
      <c r="B2872" s="3" t="inlineStr">
        <is>
          <t>노을</t>
        </is>
      </c>
      <c r="C2872" s="2" t="inlineStr">
        <is>
          <t>코스닥</t>
        </is>
      </c>
      <c r="D2872" s="2" t="inlineStr">
        <is>
          <t>376930</t>
        </is>
      </c>
      <c r="E2872" s="3" t="inlineStr">
        <is>
          <t>임원ㆍ주요주주특정증권등소유상황보고서</t>
        </is>
      </c>
      <c r="F2872" s="3" t="inlineStr">
        <is>
          <t>김경환</t>
        </is>
      </c>
      <c r="G2872" s="2" t="inlineStr">
        <is>
          <t>20260306000933</t>
        </is>
      </c>
      <c r="H2872" s="8">
        <f>HYPERLINK("https://dart.fss.or.kr/dsaf001/main.do?rcpNo=20260306000933", "공시열람")</f>
        <v/>
      </c>
    </row>
    <row r="2873">
      <c r="A2873" s="2" t="inlineStr">
        <is>
          <t>2026-03-06</t>
        </is>
      </c>
      <c r="B2873" s="3" t="inlineStr">
        <is>
          <t>한세실업</t>
        </is>
      </c>
      <c r="C2873" s="2" t="inlineStr">
        <is>
          <t>코스피</t>
        </is>
      </c>
      <c r="D2873" s="2" t="inlineStr">
        <is>
          <t>105630</t>
        </is>
      </c>
      <c r="E2873" s="3" t="inlineStr">
        <is>
          <t>의결권대리행사권유참고서류</t>
        </is>
      </c>
      <c r="F2873" s="3" t="inlineStr">
        <is>
          <t>한세실업</t>
        </is>
      </c>
      <c r="G2873" s="2" t="inlineStr">
        <is>
          <t>20260306000928</t>
        </is>
      </c>
      <c r="H2873" s="8">
        <f>HYPERLINK("https://dart.fss.or.kr/dsaf001/main.do?rcpNo=20260306000928", "공시열람")</f>
        <v/>
      </c>
    </row>
    <row r="2874">
      <c r="A2874" s="2" t="inlineStr">
        <is>
          <t>2026-03-06</t>
        </is>
      </c>
      <c r="B2874" s="3" t="inlineStr">
        <is>
          <t>케스피온</t>
        </is>
      </c>
      <c r="C2874" s="2" t="inlineStr">
        <is>
          <t>코스닥</t>
        </is>
      </c>
      <c r="D2874" s="2" t="inlineStr">
        <is>
          <t>079190</t>
        </is>
      </c>
      <c r="E2874" s="3" t="inlineStr">
        <is>
          <t xml:space="preserve">주주명부폐쇄기간또는기준일설정              </t>
        </is>
      </c>
      <c r="F2874" s="3" t="inlineStr">
        <is>
          <t>케스피온</t>
        </is>
      </c>
      <c r="G2874" s="2" t="inlineStr">
        <is>
          <t>20260306901267</t>
        </is>
      </c>
      <c r="H2874" s="8">
        <f>HYPERLINK("https://dart.fss.or.kr/dsaf001/main.do?rcpNo=20260306901267", "공시열람")</f>
        <v/>
      </c>
    </row>
    <row r="2875">
      <c r="A2875" s="2" t="inlineStr">
        <is>
          <t>2026-03-06</t>
        </is>
      </c>
      <c r="B2875" s="3" t="inlineStr">
        <is>
          <t>코퍼스코리아</t>
        </is>
      </c>
      <c r="C2875" s="2" t="inlineStr">
        <is>
          <t>코스닥</t>
        </is>
      </c>
      <c r="D2875" s="2" t="inlineStr">
        <is>
          <t>322780</t>
        </is>
      </c>
      <c r="E2875" s="3" t="inlineStr">
        <is>
          <t>주요사항보고서(전환사채매수선택권행사자지정)</t>
        </is>
      </c>
      <c r="F2875" s="3" t="inlineStr">
        <is>
          <t>코퍼스코리아</t>
        </is>
      </c>
      <c r="G2875" s="2" t="inlineStr">
        <is>
          <t>20260306000921</t>
        </is>
      </c>
      <c r="H2875" s="8">
        <f>HYPERLINK("https://dart.fss.or.kr/dsaf001/main.do?rcpNo=20260306000921", "공시열람")</f>
        <v/>
      </c>
    </row>
    <row r="2876">
      <c r="A2876" s="2" t="inlineStr">
        <is>
          <t>2026-03-06</t>
        </is>
      </c>
      <c r="B2876" s="3" t="inlineStr">
        <is>
          <t>지에프씨생명과학</t>
        </is>
      </c>
      <c r="C2876" s="2" t="inlineStr">
        <is>
          <t>코스닥</t>
        </is>
      </c>
      <c r="D2876" s="2" t="inlineStr">
        <is>
          <t>388610</t>
        </is>
      </c>
      <c r="E2876" s="3" t="inlineStr">
        <is>
          <t>의결권대리행사권유참고서류</t>
        </is>
      </c>
      <c r="F2876" s="3" t="inlineStr">
        <is>
          <t>지에프씨생명과학</t>
        </is>
      </c>
      <c r="G2876" s="2" t="inlineStr">
        <is>
          <t>20260306000919</t>
        </is>
      </c>
      <c r="H2876" s="8">
        <f>HYPERLINK("https://dart.fss.or.kr/dsaf001/main.do?rcpNo=20260306000919", "공시열람")</f>
        <v/>
      </c>
    </row>
    <row r="2877">
      <c r="A2877" s="2" t="inlineStr">
        <is>
          <t>2026-03-06</t>
        </is>
      </c>
      <c r="B2877" s="3" t="inlineStr">
        <is>
          <t>DB증권</t>
        </is>
      </c>
      <c r="C2877" s="2" t="inlineStr">
        <is>
          <t>코스피</t>
        </is>
      </c>
      <c r="D2877" s="2" t="inlineStr">
        <is>
          <t>016610</t>
        </is>
      </c>
      <c r="E2877" s="3" t="inlineStr">
        <is>
          <t>임원ㆍ주요주주특정증권등소유상황보고서</t>
        </is>
      </c>
      <c r="F2877" s="3" t="inlineStr">
        <is>
          <t>최성호</t>
        </is>
      </c>
      <c r="G2877" s="2" t="inlineStr">
        <is>
          <t>20260306000917</t>
        </is>
      </c>
      <c r="H2877" s="8">
        <f>HYPERLINK("https://dart.fss.or.kr/dsaf001/main.do?rcpNo=20260306000917", "공시열람")</f>
        <v/>
      </c>
    </row>
    <row r="2878">
      <c r="A2878" s="2" t="inlineStr">
        <is>
          <t>2026-03-06</t>
        </is>
      </c>
      <c r="B2878" s="3" t="inlineStr">
        <is>
          <t>알파칩스</t>
        </is>
      </c>
      <c r="C2878" s="2" t="inlineStr">
        <is>
          <t>코스닥</t>
        </is>
      </c>
      <c r="D2878" s="2" t="inlineStr">
        <is>
          <t>117670</t>
        </is>
      </c>
      <c r="E2878" s="3" t="inlineStr">
        <is>
          <t>주요사항보고서(자기주식처분결정)</t>
        </is>
      </c>
      <c r="F2878" s="3" t="inlineStr">
        <is>
          <t>알파칩스</t>
        </is>
      </c>
      <c r="G2878" s="2" t="inlineStr">
        <is>
          <t>20260306000848</t>
        </is>
      </c>
      <c r="H2878" s="8">
        <f>HYPERLINK("https://dart.fss.or.kr/dsaf001/main.do?rcpNo=20260306000848", "공시열람")</f>
        <v/>
      </c>
    </row>
    <row r="2879">
      <c r="A2879" s="2" t="inlineStr">
        <is>
          <t>2026-03-06</t>
        </is>
      </c>
      <c r="B2879" s="3" t="inlineStr">
        <is>
          <t>DB증권</t>
        </is>
      </c>
      <c r="C2879" s="2" t="inlineStr">
        <is>
          <t>코스피</t>
        </is>
      </c>
      <c r="D2879" s="2" t="inlineStr">
        <is>
          <t>016610</t>
        </is>
      </c>
      <c r="E2879" s="3" t="inlineStr">
        <is>
          <t>임원ㆍ주요주주특정증권등소유상황보고서</t>
        </is>
      </c>
      <c r="F2879" s="3" t="inlineStr">
        <is>
          <t>조학현</t>
        </is>
      </c>
      <c r="G2879" s="2" t="inlineStr">
        <is>
          <t>20260306000908</t>
        </is>
      </c>
      <c r="H2879" s="8">
        <f>HYPERLINK("https://dart.fss.or.kr/dsaf001/main.do?rcpNo=20260306000908", "공시열람")</f>
        <v/>
      </c>
    </row>
    <row r="2880">
      <c r="A2880" s="2" t="inlineStr">
        <is>
          <t>2026-03-06</t>
        </is>
      </c>
      <c r="B2880" s="3" t="inlineStr">
        <is>
          <t>폴라리스AI파마</t>
        </is>
      </c>
      <c r="C2880" s="2" t="inlineStr">
        <is>
          <t>코스닥</t>
        </is>
      </c>
      <c r="D2880" s="2" t="inlineStr">
        <is>
          <t>041910</t>
        </is>
      </c>
      <c r="E2880" s="3" t="inlineStr">
        <is>
          <t xml:space="preserve">매출액또는손익구조30%(대규모법인은15%)이상변동              </t>
        </is>
      </c>
      <c r="F2880" s="3" t="inlineStr">
        <is>
          <t>폴라리스AI파마</t>
        </is>
      </c>
      <c r="G2880" s="2" t="inlineStr">
        <is>
          <t>20260306901428</t>
        </is>
      </c>
      <c r="H2880" s="8">
        <f>HYPERLINK("https://dart.fss.or.kr/dsaf001/main.do?rcpNo=20260306901428", "공시열람")</f>
        <v/>
      </c>
    </row>
    <row r="2881">
      <c r="A2881" s="2" t="inlineStr">
        <is>
          <t>2026-03-06</t>
        </is>
      </c>
      <c r="B2881" s="3" t="inlineStr">
        <is>
          <t>DSR</t>
        </is>
      </c>
      <c r="C2881" s="2" t="inlineStr">
        <is>
          <t>코스피</t>
        </is>
      </c>
      <c r="D2881" s="2" t="inlineStr">
        <is>
          <t>155660</t>
        </is>
      </c>
      <c r="E2881" s="3" t="inlineStr">
        <is>
          <t xml:space="preserve">현금ㆍ현물배당결정              </t>
        </is>
      </c>
      <c r="F2881" s="3" t="inlineStr">
        <is>
          <t>DSR</t>
        </is>
      </c>
      <c r="G2881" s="2" t="inlineStr">
        <is>
          <t>20260306801457</t>
        </is>
      </c>
      <c r="H2881" s="8">
        <f>HYPERLINK("https://dart.fss.or.kr/dsaf001/main.do?rcpNo=20260306801457", "공시열람")</f>
        <v/>
      </c>
    </row>
    <row r="2882">
      <c r="A2882" s="2" t="inlineStr">
        <is>
          <t>2026-03-06</t>
        </is>
      </c>
      <c r="B2882" s="3" t="inlineStr">
        <is>
          <t>카카오게임즈</t>
        </is>
      </c>
      <c r="C2882" s="2" t="inlineStr">
        <is>
          <t>코스닥</t>
        </is>
      </c>
      <c r="D2882" s="2" t="inlineStr">
        <is>
          <t>293490</t>
        </is>
      </c>
      <c r="E2882" s="3" t="inlineStr">
        <is>
          <t>의결권대리행사권유참고서류</t>
        </is>
      </c>
      <c r="F2882" s="3" t="inlineStr">
        <is>
          <t>카카오게임즈</t>
        </is>
      </c>
      <c r="G2882" s="2" t="inlineStr">
        <is>
          <t>20260306000905</t>
        </is>
      </c>
      <c r="H2882" s="8">
        <f>HYPERLINK("https://dart.fss.or.kr/dsaf001/main.do?rcpNo=20260306000905", "공시열람")</f>
        <v/>
      </c>
    </row>
    <row r="2883">
      <c r="A2883" s="2" t="inlineStr">
        <is>
          <t>2026-03-06</t>
        </is>
      </c>
      <c r="B2883" s="3" t="inlineStr">
        <is>
          <t>에이치엘사이언스</t>
        </is>
      </c>
      <c r="C2883" s="2" t="inlineStr">
        <is>
          <t>코스닥</t>
        </is>
      </c>
      <c r="D2883" s="2" t="inlineStr">
        <is>
          <t>239610</t>
        </is>
      </c>
      <c r="E2883" s="3" t="inlineStr">
        <is>
          <t>임원ㆍ주요주주특정증권등소유상황보고서</t>
        </is>
      </c>
      <c r="F2883" s="3" t="inlineStr">
        <is>
          <t>이동현</t>
        </is>
      </c>
      <c r="G2883" s="2" t="inlineStr">
        <is>
          <t>20260306000903</t>
        </is>
      </c>
      <c r="H2883" s="8">
        <f>HYPERLINK("https://dart.fss.or.kr/dsaf001/main.do?rcpNo=20260306000903", "공시열람")</f>
        <v/>
      </c>
    </row>
    <row r="2884">
      <c r="A2884" s="2" t="inlineStr">
        <is>
          <t>2026-03-06</t>
        </is>
      </c>
      <c r="B2884" s="3" t="inlineStr">
        <is>
          <t>에스케이바이오팜</t>
        </is>
      </c>
      <c r="C2884" s="2" t="inlineStr">
        <is>
          <t>코스피</t>
        </is>
      </c>
      <c r="D2884" s="2" t="inlineStr">
        <is>
          <t>326030</t>
        </is>
      </c>
      <c r="E2884" s="3" t="inlineStr">
        <is>
          <t>의결권대리행사권유참고서류</t>
        </is>
      </c>
      <c r="F2884" s="3" t="inlineStr">
        <is>
          <t>에스케이바이오팜</t>
        </is>
      </c>
      <c r="G2884" s="2" t="inlineStr">
        <is>
          <t>20260306000902</t>
        </is>
      </c>
      <c r="H2884" s="8">
        <f>HYPERLINK("https://dart.fss.or.kr/dsaf001/main.do?rcpNo=20260306000902", "공시열람")</f>
        <v/>
      </c>
    </row>
    <row r="2885">
      <c r="A2885" s="2" t="inlineStr">
        <is>
          <t>2026-03-06 (정정: 2026-03-06)</t>
        </is>
      </c>
      <c r="B2885" s="3" t="inlineStr">
        <is>
          <t>한중엔시에스</t>
        </is>
      </c>
      <c r="C2885" s="2" t="inlineStr">
        <is>
          <t>코스닥</t>
        </is>
      </c>
      <c r="D2885" s="2" t="inlineStr">
        <is>
          <t>107640</t>
        </is>
      </c>
      <c r="E2885" s="3" t="inlineStr">
        <is>
          <t>임원ㆍ주요주주특정증권등소유상황보고서 (정정: 20260306)</t>
        </is>
      </c>
      <c r="F2885" s="3" t="inlineStr">
        <is>
          <t>신형균</t>
        </is>
      </c>
      <c r="G2885" s="2" t="inlineStr">
        <is>
          <t>20260306900763</t>
        </is>
      </c>
      <c r="H2885" s="8">
        <f>HYPERLINK("https://dart.fss.or.kr/dsaf001/main.do?rcpNo=20260306900763", "공시열람")</f>
        <v/>
      </c>
    </row>
    <row r="2886">
      <c r="A2886" s="2" t="inlineStr">
        <is>
          <t>2026-03-06</t>
        </is>
      </c>
      <c r="B2886" s="3" t="inlineStr">
        <is>
          <t>NH투자증권</t>
        </is>
      </c>
      <c r="C2886" s="2" t="inlineStr">
        <is>
          <t>코스피</t>
        </is>
      </c>
      <c r="D2886" s="2" t="inlineStr">
        <is>
          <t>005940</t>
        </is>
      </c>
      <c r="E2886" s="3" t="inlineStr">
        <is>
          <t>증권발행실적보고서</t>
        </is>
      </c>
      <c r="F2886" s="3" t="inlineStr">
        <is>
          <t>NH투자증권</t>
        </is>
      </c>
      <c r="G2886" s="2" t="inlineStr">
        <is>
          <t>20260306000897</t>
        </is>
      </c>
      <c r="H2886" s="8">
        <f>HYPERLINK("https://dart.fss.or.kr/dsaf001/main.do?rcpNo=20260306000897", "공시열람")</f>
        <v/>
      </c>
    </row>
    <row r="2887">
      <c r="A2887" s="2" t="inlineStr">
        <is>
          <t>2026-03-06</t>
        </is>
      </c>
      <c r="B2887" s="3" t="inlineStr">
        <is>
          <t>파라택시스이더리움</t>
        </is>
      </c>
      <c r="C2887" s="2" t="inlineStr">
        <is>
          <t>코스닥</t>
        </is>
      </c>
      <c r="D2887" s="2" t="inlineStr">
        <is>
          <t>290560</t>
        </is>
      </c>
      <c r="E2887" s="3" t="inlineStr">
        <is>
          <t>합병등종료보고서(자산양수도)</t>
        </is>
      </c>
      <c r="F2887" s="3" t="inlineStr">
        <is>
          <t>파라택시스이더리움</t>
        </is>
      </c>
      <c r="G2887" s="2" t="inlineStr">
        <is>
          <t>20260306000895</t>
        </is>
      </c>
      <c r="H2887" s="8">
        <f>HYPERLINK("https://dart.fss.or.kr/dsaf001/main.do?rcpNo=20260306000895", "공시열람")</f>
        <v/>
      </c>
    </row>
    <row r="2888">
      <c r="A2888" s="2" t="inlineStr">
        <is>
          <t>2026-03-06</t>
        </is>
      </c>
      <c r="B2888" s="3" t="inlineStr">
        <is>
          <t>한국캐피탈</t>
        </is>
      </c>
      <c r="C2888" s="2" t="inlineStr">
        <is>
          <t>코스닥</t>
        </is>
      </c>
      <c r="D2888" s="2" t="inlineStr">
        <is>
          <t>023760</t>
        </is>
      </c>
      <c r="E2888" s="3" t="inlineStr">
        <is>
          <t>의결권대리행사권유참고서류</t>
        </is>
      </c>
      <c r="F2888" s="3" t="inlineStr">
        <is>
          <t>한국캐피탈</t>
        </is>
      </c>
      <c r="G2888" s="2" t="inlineStr">
        <is>
          <t>20260306000893</t>
        </is>
      </c>
      <c r="H2888" s="8">
        <f>HYPERLINK("https://dart.fss.or.kr/dsaf001/main.do?rcpNo=20260306000893", "공시열람")</f>
        <v/>
      </c>
    </row>
    <row r="2889">
      <c r="A2889" s="2" t="inlineStr">
        <is>
          <t>2026-03-06</t>
        </is>
      </c>
      <c r="B2889" s="3" t="inlineStr">
        <is>
          <t>DB증권</t>
        </is>
      </c>
      <c r="C2889" s="2" t="inlineStr">
        <is>
          <t>코스피</t>
        </is>
      </c>
      <c r="D2889" s="2" t="inlineStr">
        <is>
          <t>016610</t>
        </is>
      </c>
      <c r="E2889" s="3" t="inlineStr">
        <is>
          <t>임원ㆍ주요주주특정증권등소유상황보고서</t>
        </is>
      </c>
      <c r="F2889" s="3" t="inlineStr">
        <is>
          <t>정동철</t>
        </is>
      </c>
      <c r="G2889" s="2" t="inlineStr">
        <is>
          <t>20260306000892</t>
        </is>
      </c>
      <c r="H2889" s="8">
        <f>HYPERLINK("https://dart.fss.or.kr/dsaf001/main.do?rcpNo=20260306000892", "공시열람")</f>
        <v/>
      </c>
    </row>
    <row r="2890">
      <c r="A2890" s="2" t="inlineStr">
        <is>
          <t>2026-03-06</t>
        </is>
      </c>
      <c r="B2890" s="3" t="inlineStr">
        <is>
          <t>아이크래프트</t>
        </is>
      </c>
      <c r="C2890" s="2" t="inlineStr">
        <is>
          <t>코스닥</t>
        </is>
      </c>
      <c r="D2890" s="2" t="inlineStr">
        <is>
          <t>052460</t>
        </is>
      </c>
      <c r="E2890" s="3" t="inlineStr">
        <is>
          <t>의결권대리행사권유참고서류</t>
        </is>
      </c>
      <c r="F2890" s="3" t="inlineStr">
        <is>
          <t>아이크래프트</t>
        </is>
      </c>
      <c r="G2890" s="2" t="inlineStr">
        <is>
          <t>20260306000887</t>
        </is>
      </c>
      <c r="H2890" s="8">
        <f>HYPERLINK("https://dart.fss.or.kr/dsaf001/main.do?rcpNo=20260306000887", "공시열람")</f>
        <v/>
      </c>
    </row>
    <row r="2891">
      <c r="A2891" s="2" t="inlineStr">
        <is>
          <t>2026-03-06</t>
        </is>
      </c>
      <c r="B2891" s="3" t="inlineStr">
        <is>
          <t>삼성전자</t>
        </is>
      </c>
      <c r="C2891" s="2" t="inlineStr">
        <is>
          <t>코스피</t>
        </is>
      </c>
      <c r="D2891" s="2" t="inlineStr">
        <is>
          <t>005930</t>
        </is>
      </c>
      <c r="E2891" s="3" t="inlineStr">
        <is>
          <t>임원ㆍ주요주주특정증권등소유상황보고서</t>
        </is>
      </c>
      <c r="F2891" s="3" t="inlineStr">
        <is>
          <t>장우영</t>
        </is>
      </c>
      <c r="G2891" s="2" t="inlineStr">
        <is>
          <t>20260306000885</t>
        </is>
      </c>
      <c r="H2891" s="8">
        <f>HYPERLINK("https://dart.fss.or.kr/dsaf001/main.do?rcpNo=20260306000885", "공시열람")</f>
        <v/>
      </c>
    </row>
    <row r="2892">
      <c r="A2892" s="2" t="inlineStr">
        <is>
          <t>2026-03-06</t>
        </is>
      </c>
      <c r="B2892" s="3" t="inlineStr">
        <is>
          <t>한울반도체</t>
        </is>
      </c>
      <c r="C2892" s="2" t="inlineStr">
        <is>
          <t>코스닥</t>
        </is>
      </c>
      <c r="D2892" s="2" t="inlineStr">
        <is>
          <t>320000</t>
        </is>
      </c>
      <c r="E2892" s="3" t="inlineStr">
        <is>
          <t>임원ㆍ주요주주특정증권등소유상황보고서</t>
        </is>
      </c>
      <c r="F2892" s="3" t="inlineStr">
        <is>
          <t>한울소재과학</t>
        </is>
      </c>
      <c r="G2892" s="2" t="inlineStr">
        <is>
          <t>20260306000884</t>
        </is>
      </c>
      <c r="H2892" s="8">
        <f>HYPERLINK("https://dart.fss.or.kr/dsaf001/main.do?rcpNo=20260306000884", "공시열람")</f>
        <v/>
      </c>
    </row>
    <row r="2893">
      <c r="A2893" s="2" t="inlineStr">
        <is>
          <t>2026-03-06</t>
        </is>
      </c>
      <c r="B2893" s="3" t="inlineStr">
        <is>
          <t>DB증권</t>
        </is>
      </c>
      <c r="C2893" s="2" t="inlineStr">
        <is>
          <t>코스피</t>
        </is>
      </c>
      <c r="D2893" s="2" t="inlineStr">
        <is>
          <t>016610</t>
        </is>
      </c>
      <c r="E2893" s="3" t="inlineStr">
        <is>
          <t>임원ㆍ주요주주특정증권등소유상황보고서</t>
        </is>
      </c>
      <c r="F2893" s="3" t="inlineStr">
        <is>
          <t>김태수</t>
        </is>
      </c>
      <c r="G2893" s="2" t="inlineStr">
        <is>
          <t>20260306000882</t>
        </is>
      </c>
      <c r="H2893" s="8">
        <f>HYPERLINK("https://dart.fss.or.kr/dsaf001/main.do?rcpNo=20260306000882", "공시열람")</f>
        <v/>
      </c>
    </row>
    <row r="2894">
      <c r="A2894" s="2" t="inlineStr">
        <is>
          <t>2026-03-06</t>
        </is>
      </c>
      <c r="B2894" s="3" t="inlineStr">
        <is>
          <t>파라택시스이더리움</t>
        </is>
      </c>
      <c r="C2894" s="2" t="inlineStr">
        <is>
          <t>코스닥</t>
        </is>
      </c>
      <c r="D2894" s="2" t="inlineStr">
        <is>
          <t>290560</t>
        </is>
      </c>
      <c r="E2894" s="3" t="inlineStr">
        <is>
          <t>주요사항보고서(중요한자산양수도결정(기타))</t>
        </is>
      </c>
      <c r="F2894" s="3" t="inlineStr">
        <is>
          <t>파라택시스이더리움</t>
        </is>
      </c>
      <c r="G2894" s="2" t="inlineStr">
        <is>
          <t>20260306000880</t>
        </is>
      </c>
      <c r="H2894" s="8">
        <f>HYPERLINK("https://dart.fss.or.kr/dsaf001/main.do?rcpNo=20260306000880", "공시열람")</f>
        <v/>
      </c>
    </row>
    <row r="2895">
      <c r="A2895" s="2" t="inlineStr">
        <is>
          <t>2026-03-06</t>
        </is>
      </c>
      <c r="B2895" s="3" t="inlineStr">
        <is>
          <t>NH투자증권</t>
        </is>
      </c>
      <c r="C2895" s="2" t="inlineStr">
        <is>
          <t>코스피</t>
        </is>
      </c>
      <c r="D2895" s="2" t="inlineStr">
        <is>
          <t>005940</t>
        </is>
      </c>
      <c r="E2895" s="3" t="inlineStr">
        <is>
          <t>증권발행실적보고서</t>
        </is>
      </c>
      <c r="F2895" s="3" t="inlineStr">
        <is>
          <t>NH투자증권</t>
        </is>
      </c>
      <c r="G2895" s="2" t="inlineStr">
        <is>
          <t>20260306000875</t>
        </is>
      </c>
      <c r="H2895" s="8">
        <f>HYPERLINK("https://dart.fss.or.kr/dsaf001/main.do?rcpNo=20260306000875", "공시열람")</f>
        <v/>
      </c>
    </row>
    <row r="2896">
      <c r="A2896" s="2" t="inlineStr">
        <is>
          <t>2026-03-06</t>
        </is>
      </c>
      <c r="B2896" s="3" t="inlineStr">
        <is>
          <t>이렘</t>
        </is>
      </c>
      <c r="C2896" s="2" t="inlineStr">
        <is>
          <t>코스닥</t>
        </is>
      </c>
      <c r="D2896" s="2" t="inlineStr">
        <is>
          <t>009730</t>
        </is>
      </c>
      <c r="E2896" s="3" t="inlineStr">
        <is>
          <t>증권발행결과(자율공시)              (제3자배정 유상증자)</t>
        </is>
      </c>
      <c r="F2896" s="3" t="inlineStr">
        <is>
          <t>이렘</t>
        </is>
      </c>
      <c r="G2896" s="2" t="inlineStr">
        <is>
          <t>20260306901359</t>
        </is>
      </c>
      <c r="H2896" s="8">
        <f>HYPERLINK("https://dart.fss.or.kr/dsaf001/main.do?rcpNo=20260306901359", "공시열람")</f>
        <v/>
      </c>
    </row>
    <row r="2897">
      <c r="A2897" s="2" t="inlineStr">
        <is>
          <t>2026-03-06</t>
        </is>
      </c>
      <c r="B2897" s="3" t="inlineStr">
        <is>
          <t>콜마비앤에이치</t>
        </is>
      </c>
      <c r="C2897" s="2" t="inlineStr">
        <is>
          <t>코스닥</t>
        </is>
      </c>
      <c r="D2897" s="2" t="inlineStr">
        <is>
          <t>200130</t>
        </is>
      </c>
      <c r="E2897" s="3" t="inlineStr">
        <is>
          <t>의결권대리행사권유참고서류</t>
        </is>
      </c>
      <c r="F2897" s="3" t="inlineStr">
        <is>
          <t>콜마비앤에이치</t>
        </is>
      </c>
      <c r="G2897" s="2" t="inlineStr">
        <is>
          <t>20260306000873</t>
        </is>
      </c>
      <c r="H2897" s="8">
        <f>HYPERLINK("https://dart.fss.or.kr/dsaf001/main.do?rcpNo=20260306000873", "공시열람")</f>
        <v/>
      </c>
    </row>
    <row r="2898">
      <c r="A2898" s="2" t="inlineStr">
        <is>
          <t>2026-03-06</t>
        </is>
      </c>
      <c r="B2898" s="3" t="inlineStr">
        <is>
          <t>소프트센</t>
        </is>
      </c>
      <c r="C2898" s="2" t="inlineStr">
        <is>
          <t>코스닥</t>
        </is>
      </c>
      <c r="D2898" s="2" t="inlineStr">
        <is>
          <t>032680</t>
        </is>
      </c>
      <c r="E2898" s="3" t="inlineStr">
        <is>
          <t xml:space="preserve">주식병합결정              </t>
        </is>
      </c>
      <c r="F2898" s="3" t="inlineStr">
        <is>
          <t>소프트센</t>
        </is>
      </c>
      <c r="G2898" s="2" t="inlineStr">
        <is>
          <t>20260306901118</t>
        </is>
      </c>
      <c r="H2898" s="8">
        <f>HYPERLINK("https://dart.fss.or.kr/dsaf001/main.do?rcpNo=20260306901118", "공시열람")</f>
        <v/>
      </c>
    </row>
    <row r="2899">
      <c r="A2899" s="2" t="inlineStr">
        <is>
          <t>2026-03-06</t>
        </is>
      </c>
      <c r="B2899" s="3" t="inlineStr">
        <is>
          <t>메드팩토</t>
        </is>
      </c>
      <c r="C2899" s="2" t="inlineStr">
        <is>
          <t>코스닥</t>
        </is>
      </c>
      <c r="D2899" s="2" t="inlineStr">
        <is>
          <t>235980</t>
        </is>
      </c>
      <c r="E2899" s="3" t="inlineStr">
        <is>
          <t>의결권대리행사권유참고서류</t>
        </is>
      </c>
      <c r="F2899" s="3" t="inlineStr">
        <is>
          <t>메드팩토</t>
        </is>
      </c>
      <c r="G2899" s="2" t="inlineStr">
        <is>
          <t>20260306000871</t>
        </is>
      </c>
      <c r="H2899" s="8">
        <f>HYPERLINK("https://dart.fss.or.kr/dsaf001/main.do?rcpNo=20260306000871", "공시열람")</f>
        <v/>
      </c>
    </row>
    <row r="2900">
      <c r="A2900" s="2" t="inlineStr">
        <is>
          <t>2026-03-06</t>
        </is>
      </c>
      <c r="B2900" s="3" t="inlineStr">
        <is>
          <t>이베스트스팩6호</t>
        </is>
      </c>
      <c r="C2900" s="2" t="inlineStr">
        <is>
          <t>코스닥</t>
        </is>
      </c>
      <c r="D2900" s="2" t="inlineStr">
        <is>
          <t>478110</t>
        </is>
      </c>
      <c r="E2900" s="3" t="inlineStr">
        <is>
          <t xml:space="preserve">감사보고서제출              </t>
        </is>
      </c>
      <c r="F2900" s="3" t="inlineStr">
        <is>
          <t>이베스트스팩6호</t>
        </is>
      </c>
      <c r="G2900" s="2" t="inlineStr">
        <is>
          <t>20260306901334</t>
        </is>
      </c>
      <c r="H2900" s="8">
        <f>HYPERLINK("https://dart.fss.or.kr/dsaf001/main.do?rcpNo=20260306901334", "공시열람")</f>
        <v/>
      </c>
    </row>
    <row r="2901">
      <c r="A2901" s="2" t="inlineStr">
        <is>
          <t>2026-03-06</t>
        </is>
      </c>
      <c r="B2901" s="3" t="inlineStr">
        <is>
          <t>나노캠텍</t>
        </is>
      </c>
      <c r="C2901" s="2" t="inlineStr">
        <is>
          <t>코스닥</t>
        </is>
      </c>
      <c r="D2901" s="2" t="inlineStr">
        <is>
          <t>091970</t>
        </is>
      </c>
      <c r="E2901" s="3" t="inlineStr">
        <is>
          <t xml:space="preserve">채무면제결정              </t>
        </is>
      </c>
      <c r="F2901" s="3" t="inlineStr">
        <is>
          <t>나노캠텍</t>
        </is>
      </c>
      <c r="G2901" s="2" t="inlineStr">
        <is>
          <t>20260306901324</t>
        </is>
      </c>
      <c r="H2901" s="8">
        <f>HYPERLINK("https://dart.fss.or.kr/dsaf001/main.do?rcpNo=20260306901324", "공시열람")</f>
        <v/>
      </c>
    </row>
    <row r="2902">
      <c r="A2902" s="2" t="inlineStr">
        <is>
          <t>2026-03-06</t>
        </is>
      </c>
      <c r="B2902" s="3" t="inlineStr">
        <is>
          <t>빌리언스</t>
        </is>
      </c>
      <c r="C2902" s="2" t="inlineStr">
        <is>
          <t>코스닥</t>
        </is>
      </c>
      <c r="D2902" s="2" t="inlineStr">
        <is>
          <t>044480</t>
        </is>
      </c>
      <c r="E2902" s="3" t="inlineStr">
        <is>
          <t>임원ㆍ주요주주특정증권등소유상황보고서</t>
        </is>
      </c>
      <c r="F2902" s="3" t="inlineStr">
        <is>
          <t>경남제약</t>
        </is>
      </c>
      <c r="G2902" s="2" t="inlineStr">
        <is>
          <t>20260306000868</t>
        </is>
      </c>
      <c r="H2902" s="8">
        <f>HYPERLINK("https://dart.fss.or.kr/dsaf001/main.do?rcpNo=20260306000868", "공시열람")</f>
        <v/>
      </c>
    </row>
    <row r="2903">
      <c r="A2903" s="2" t="inlineStr">
        <is>
          <t>2026-03-06</t>
        </is>
      </c>
      <c r="B2903" s="3" t="inlineStr">
        <is>
          <t>비스토스</t>
        </is>
      </c>
      <c r="C2903" s="2" t="inlineStr">
        <is>
          <t>코스닥</t>
        </is>
      </c>
      <c r="D2903" s="2" t="inlineStr">
        <is>
          <t>419540</t>
        </is>
      </c>
      <c r="E2903" s="3" t="inlineStr">
        <is>
          <t xml:space="preserve">매출액또는손익구조30%(대규모법인은15%)이상변동              </t>
        </is>
      </c>
      <c r="F2903" s="3" t="inlineStr">
        <is>
          <t>비스토스</t>
        </is>
      </c>
      <c r="G2903" s="2" t="inlineStr">
        <is>
          <t>20260306901039</t>
        </is>
      </c>
      <c r="H2903" s="8">
        <f>HYPERLINK("https://dart.fss.or.kr/dsaf001/main.do?rcpNo=20260306901039", "공시열람")</f>
        <v/>
      </c>
    </row>
    <row r="2904">
      <c r="A2904" s="2" t="inlineStr">
        <is>
          <t>2026-03-06</t>
        </is>
      </c>
      <c r="B2904" s="3" t="inlineStr">
        <is>
          <t>광명전기</t>
        </is>
      </c>
      <c r="C2904" s="2" t="inlineStr">
        <is>
          <t>코스피</t>
        </is>
      </c>
      <c r="D2904" s="2" t="inlineStr">
        <is>
          <t>017040</t>
        </is>
      </c>
      <c r="E2904" s="3" t="inlineStr">
        <is>
          <t xml:space="preserve">불성실공시법인지정              </t>
        </is>
      </c>
      <c r="F2904" s="3" t="inlineStr">
        <is>
          <t>유가증권시장본부</t>
        </is>
      </c>
      <c r="G2904" s="2" t="inlineStr">
        <is>
          <t>20260306801288</t>
        </is>
      </c>
      <c r="H2904" s="8">
        <f>HYPERLINK("https://dart.fss.or.kr/dsaf001/main.do?rcpNo=20260306801288", "공시열람")</f>
        <v/>
      </c>
    </row>
    <row r="2905">
      <c r="A2905" s="2" t="inlineStr">
        <is>
          <t>2026-03-06</t>
        </is>
      </c>
      <c r="B2905" s="3" t="inlineStr">
        <is>
          <t>나노씨엠에스</t>
        </is>
      </c>
      <c r="C2905" s="2" t="inlineStr">
        <is>
          <t>코스닥</t>
        </is>
      </c>
      <c r="D2905" s="2" t="inlineStr">
        <is>
          <t>247660</t>
        </is>
      </c>
      <c r="E2905" s="3" t="inlineStr">
        <is>
          <t>의결권대리행사권유참고서류</t>
        </is>
      </c>
      <c r="F2905" s="3" t="inlineStr">
        <is>
          <t>김시석</t>
        </is>
      </c>
      <c r="G2905" s="2" t="inlineStr">
        <is>
          <t>20260306000864</t>
        </is>
      </c>
      <c r="H2905" s="8">
        <f>HYPERLINK("https://dart.fss.or.kr/dsaf001/main.do?rcpNo=20260306000864", "공시열람")</f>
        <v/>
      </c>
    </row>
    <row r="2906">
      <c r="A2906" s="2" t="inlineStr">
        <is>
          <t>2026-03-06</t>
        </is>
      </c>
      <c r="B2906" s="3" t="inlineStr">
        <is>
          <t>SOOP</t>
        </is>
      </c>
      <c r="C2906" s="2" t="inlineStr">
        <is>
          <t>코스닥</t>
        </is>
      </c>
      <c r="D2906" s="2" t="inlineStr">
        <is>
          <t>067160</t>
        </is>
      </c>
      <c r="E2906" s="3" t="inlineStr">
        <is>
          <t>임원ㆍ주요주주특정증권등소유상황보고서</t>
        </is>
      </c>
      <c r="F2906" s="3" t="inlineStr">
        <is>
          <t>편원진</t>
        </is>
      </c>
      <c r="G2906" s="2" t="inlineStr">
        <is>
          <t>20260306000860</t>
        </is>
      </c>
      <c r="H2906" s="8">
        <f>HYPERLINK("https://dart.fss.or.kr/dsaf001/main.do?rcpNo=20260306000860", "공시열람")</f>
        <v/>
      </c>
    </row>
    <row r="2907">
      <c r="A2907" s="2" t="inlineStr">
        <is>
          <t>2026-02-09 (정정: 2026-03-06)</t>
        </is>
      </c>
      <c r="B2907" s="3" t="inlineStr">
        <is>
          <t>인텔리안테크</t>
        </is>
      </c>
      <c r="C2907" s="2" t="inlineStr">
        <is>
          <t>코스닥</t>
        </is>
      </c>
      <c r="D2907" s="2" t="inlineStr">
        <is>
          <t>189300</t>
        </is>
      </c>
      <c r="E2907" s="3" t="inlineStr">
        <is>
          <t xml:space="preserve">[기재정정]현금ㆍ현물배당결정              </t>
        </is>
      </c>
      <c r="F2907" s="3" t="inlineStr">
        <is>
          <t>인텔리안테크</t>
        </is>
      </c>
      <c r="G2907" s="2" t="inlineStr">
        <is>
          <t>20260306901412</t>
        </is>
      </c>
      <c r="H2907" s="8">
        <f>HYPERLINK("https://dart.fss.or.kr/dsaf001/main.do?rcpNo=20260306901412", "공시열람")</f>
        <v/>
      </c>
    </row>
    <row r="2908">
      <c r="A2908" s="2" t="inlineStr">
        <is>
          <t>2026-03-06</t>
        </is>
      </c>
      <c r="B2908" s="3" t="inlineStr">
        <is>
          <t>아이텍</t>
        </is>
      </c>
      <c r="C2908" s="2" t="inlineStr">
        <is>
          <t>코스닥</t>
        </is>
      </c>
      <c r="D2908" s="2" t="inlineStr">
        <is>
          <t>119830</t>
        </is>
      </c>
      <c r="E2908" s="3" t="inlineStr">
        <is>
          <t>의결권대리행사권유참고서류</t>
        </is>
      </c>
      <c r="F2908" s="3" t="inlineStr">
        <is>
          <t>아이텍</t>
        </is>
      </c>
      <c r="G2908" s="2" t="inlineStr">
        <is>
          <t>20260306000857</t>
        </is>
      </c>
      <c r="H2908" s="8">
        <f>HYPERLINK("https://dart.fss.or.kr/dsaf001/main.do?rcpNo=20260306000857", "공시열람")</f>
        <v/>
      </c>
    </row>
    <row r="2909">
      <c r="A2909" s="2" t="inlineStr">
        <is>
          <t>2026-03-06</t>
        </is>
      </c>
      <c r="B2909" s="3" t="inlineStr">
        <is>
          <t>KB금융</t>
        </is>
      </c>
      <c r="C2909" s="2" t="inlineStr">
        <is>
          <t>코스피</t>
        </is>
      </c>
      <c r="D2909" s="2" t="inlineStr">
        <is>
          <t>105560</t>
        </is>
      </c>
      <c r="E2909" s="3" t="inlineStr">
        <is>
          <t>의결권대리행사권유참고서류</t>
        </is>
      </c>
      <c r="F2909" s="3" t="inlineStr">
        <is>
          <t>KB금융</t>
        </is>
      </c>
      <c r="G2909" s="2" t="inlineStr">
        <is>
          <t>20260306000856</t>
        </is>
      </c>
      <c r="H2909" s="8">
        <f>HYPERLINK("https://dart.fss.or.kr/dsaf001/main.do?rcpNo=20260306000856", "공시열람")</f>
        <v/>
      </c>
    </row>
    <row r="2910">
      <c r="A2910" s="2" t="inlineStr">
        <is>
          <t>2026-03-06</t>
        </is>
      </c>
      <c r="B2910" s="3" t="inlineStr">
        <is>
          <t>한국파마</t>
        </is>
      </c>
      <c r="C2910" s="2" t="inlineStr">
        <is>
          <t>코스닥</t>
        </is>
      </c>
      <c r="D2910" s="2" t="inlineStr">
        <is>
          <t>032300</t>
        </is>
      </c>
      <c r="E2910" s="3" t="inlineStr">
        <is>
          <t xml:space="preserve">현금ㆍ현물배당결정              </t>
        </is>
      </c>
      <c r="F2910" s="3" t="inlineStr">
        <is>
          <t>한국파마</t>
        </is>
      </c>
      <c r="G2910" s="2" t="inlineStr">
        <is>
          <t>20260306901347</t>
        </is>
      </c>
      <c r="H2910" s="8">
        <f>HYPERLINK("https://dart.fss.or.kr/dsaf001/main.do?rcpNo=20260306901347", "공시열람")</f>
        <v/>
      </c>
    </row>
    <row r="2911">
      <c r="A2911" s="2" t="inlineStr">
        <is>
          <t>2026-03-06</t>
        </is>
      </c>
      <c r="B2911" s="3" t="inlineStr">
        <is>
          <t>씨씨에스</t>
        </is>
      </c>
      <c r="C2911" s="2" t="inlineStr">
        <is>
          <t>코스닥</t>
        </is>
      </c>
      <c r="D2911" s="2" t="inlineStr">
        <is>
          <t>066790</t>
        </is>
      </c>
      <c r="E2911" s="3" t="inlineStr">
        <is>
          <t>소송등의판결ㆍ결정              (주주명부 열람등사 가처분-취하)</t>
        </is>
      </c>
      <c r="F2911" s="3" t="inlineStr">
        <is>
          <t>씨씨에스</t>
        </is>
      </c>
      <c r="G2911" s="2" t="inlineStr">
        <is>
          <t>20260306901369</t>
        </is>
      </c>
      <c r="H2911" s="8">
        <f>HYPERLINK("https://dart.fss.or.kr/dsaf001/main.do?rcpNo=20260306901369", "공시열람")</f>
        <v/>
      </c>
    </row>
    <row r="2912">
      <c r="A2912" s="2" t="inlineStr">
        <is>
          <t>2026-03-06</t>
        </is>
      </c>
      <c r="B2912" s="3" t="inlineStr">
        <is>
          <t>빌리언스</t>
        </is>
      </c>
      <c r="C2912" s="2" t="inlineStr">
        <is>
          <t>코스닥</t>
        </is>
      </c>
      <c r="D2912" s="2" t="inlineStr">
        <is>
          <t>044480</t>
        </is>
      </c>
      <c r="E2912" s="3" t="inlineStr">
        <is>
          <t>임원ㆍ주요주주특정증권등소유상황보고서</t>
        </is>
      </c>
      <c r="F2912" s="3" t="inlineStr">
        <is>
          <t>휴마시스</t>
        </is>
      </c>
      <c r="G2912" s="2" t="inlineStr">
        <is>
          <t>20260306000855</t>
        </is>
      </c>
      <c r="H2912" s="8">
        <f>HYPERLINK("https://dart.fss.or.kr/dsaf001/main.do?rcpNo=20260306000855", "공시열람")</f>
        <v/>
      </c>
    </row>
    <row r="2913">
      <c r="A2913" s="2" t="inlineStr">
        <is>
          <t>2026-03-06</t>
        </is>
      </c>
      <c r="B2913" s="3" t="inlineStr">
        <is>
          <t>대신증권</t>
        </is>
      </c>
      <c r="C2913" s="2" t="inlineStr">
        <is>
          <t>코스피</t>
        </is>
      </c>
      <c r="D2913" s="2" t="inlineStr">
        <is>
          <t>003540</t>
        </is>
      </c>
      <c r="E2913" s="3" t="inlineStr">
        <is>
          <t>증권발행실적보고서</t>
        </is>
      </c>
      <c r="F2913" s="3" t="inlineStr">
        <is>
          <t>대신증권</t>
        </is>
      </c>
      <c r="G2913" s="2" t="inlineStr">
        <is>
          <t>20260306000854</t>
        </is>
      </c>
      <c r="H2913" s="8">
        <f>HYPERLINK("https://dart.fss.or.kr/dsaf001/main.do?rcpNo=20260306000854", "공시열람")</f>
        <v/>
      </c>
    </row>
    <row r="2914">
      <c r="A2914" s="2" t="inlineStr">
        <is>
          <t>2026-03-06</t>
        </is>
      </c>
      <c r="B2914" s="3" t="inlineStr">
        <is>
          <t>한국파마</t>
        </is>
      </c>
      <c r="C2914" s="2" t="inlineStr">
        <is>
          <t>코스닥</t>
        </is>
      </c>
      <c r="D2914" s="2" t="inlineStr">
        <is>
          <t>032300</t>
        </is>
      </c>
      <c r="E2914" s="3" t="inlineStr">
        <is>
          <t xml:space="preserve">매출액또는손익구조30%(대규모법인은15%)이상변동              </t>
        </is>
      </c>
      <c r="F2914" s="3" t="inlineStr">
        <is>
          <t>한국파마</t>
        </is>
      </c>
      <c r="G2914" s="2" t="inlineStr">
        <is>
          <t>20260306901335</t>
        </is>
      </c>
      <c r="H2914" s="8">
        <f>HYPERLINK("https://dart.fss.or.kr/dsaf001/main.do?rcpNo=20260306901335", "공시열람")</f>
        <v/>
      </c>
    </row>
    <row r="2915">
      <c r="A2915" s="2" t="inlineStr">
        <is>
          <t>2026-03-06</t>
        </is>
      </c>
      <c r="B2915" s="3" t="inlineStr">
        <is>
          <t>대신증권</t>
        </is>
      </c>
      <c r="C2915" s="2" t="inlineStr">
        <is>
          <t>코스피</t>
        </is>
      </c>
      <c r="D2915" s="2" t="inlineStr">
        <is>
          <t>003540</t>
        </is>
      </c>
      <c r="E2915" s="3" t="inlineStr">
        <is>
          <t>투자설명서(일괄신고)</t>
        </is>
      </c>
      <c r="F2915" s="3" t="inlineStr">
        <is>
          <t>대신증권</t>
        </is>
      </c>
      <c r="G2915" s="2" t="inlineStr">
        <is>
          <t>20260306000851</t>
        </is>
      </c>
      <c r="H2915" s="8">
        <f>HYPERLINK("https://dart.fss.or.kr/dsaf001/main.do?rcpNo=20260306000851", "공시열람")</f>
        <v/>
      </c>
    </row>
    <row r="2916">
      <c r="A2916" s="2" t="inlineStr">
        <is>
          <t>2026-03-06</t>
        </is>
      </c>
      <c r="B2916" s="3" t="inlineStr">
        <is>
          <t>SK하이닉스</t>
        </is>
      </c>
      <c r="C2916" s="2" t="inlineStr">
        <is>
          <t>코스피</t>
        </is>
      </c>
      <c r="D2916" s="2" t="inlineStr">
        <is>
          <t>000660</t>
        </is>
      </c>
      <c r="E2916" s="3" t="inlineStr">
        <is>
          <t>임원ㆍ주요주주특정증권등소유상황보고서</t>
        </is>
      </c>
      <c r="F2916" s="3" t="inlineStr">
        <is>
          <t>송창석</t>
        </is>
      </c>
      <c r="G2916" s="2" t="inlineStr">
        <is>
          <t>20260306000850</t>
        </is>
      </c>
      <c r="H2916" s="8">
        <f>HYPERLINK("https://dart.fss.or.kr/dsaf001/main.do?rcpNo=20260306000850", "공시열람")</f>
        <v/>
      </c>
    </row>
    <row r="2917">
      <c r="A2917" s="2" t="inlineStr">
        <is>
          <t>2026-03-06</t>
        </is>
      </c>
      <c r="B2917" s="3" t="inlineStr">
        <is>
          <t>LX하우시스</t>
        </is>
      </c>
      <c r="C2917" s="2" t="inlineStr">
        <is>
          <t>코스피</t>
        </is>
      </c>
      <c r="D2917" s="2" t="inlineStr">
        <is>
          <t>108670</t>
        </is>
      </c>
      <c r="E2917" s="3" t="inlineStr">
        <is>
          <t>의결권대리행사권유참고서류</t>
        </is>
      </c>
      <c r="F2917" s="3" t="inlineStr">
        <is>
          <t>LX하우시스</t>
        </is>
      </c>
      <c r="G2917" s="2" t="inlineStr">
        <is>
          <t>20260306000846</t>
        </is>
      </c>
      <c r="H2917" s="8">
        <f>HYPERLINK("https://dart.fss.or.kr/dsaf001/main.do?rcpNo=20260306000846", "공시열람")</f>
        <v/>
      </c>
    </row>
    <row r="2918">
      <c r="A2918" s="2" t="inlineStr">
        <is>
          <t>2026-03-06</t>
        </is>
      </c>
      <c r="B2918" s="3" t="inlineStr">
        <is>
          <t>콜마비앤에이치</t>
        </is>
      </c>
      <c r="C2918" s="2" t="inlineStr">
        <is>
          <t>코스닥</t>
        </is>
      </c>
      <c r="D2918" s="2" t="inlineStr">
        <is>
          <t>200130</t>
        </is>
      </c>
      <c r="E2918" s="3" t="inlineStr">
        <is>
          <t xml:space="preserve">타법인주식및출자증권취득결정              </t>
        </is>
      </c>
      <c r="F2918" s="3" t="inlineStr">
        <is>
          <t>콜마비앤에이치</t>
        </is>
      </c>
      <c r="G2918" s="2" t="inlineStr">
        <is>
          <t>20260306901271</t>
        </is>
      </c>
      <c r="H2918" s="8">
        <f>HYPERLINK("https://dart.fss.or.kr/dsaf001/main.do?rcpNo=20260306901271", "공시열람")</f>
        <v/>
      </c>
    </row>
    <row r="2919">
      <c r="A2919" s="2" t="inlineStr">
        <is>
          <t>2026-03-06</t>
        </is>
      </c>
      <c r="B2919" s="3" t="inlineStr">
        <is>
          <t>모베이스전자</t>
        </is>
      </c>
      <c r="C2919" s="2" t="inlineStr">
        <is>
          <t>코스닥</t>
        </is>
      </c>
      <c r="D2919" s="2" t="inlineStr">
        <is>
          <t>012860</t>
        </is>
      </c>
      <c r="E2919" s="3" t="inlineStr">
        <is>
          <t>임원ㆍ주요주주특정증권등소유상황보고서</t>
        </is>
      </c>
      <c r="F2919" s="3" t="inlineStr">
        <is>
          <t>류연택</t>
        </is>
      </c>
      <c r="G2919" s="2" t="inlineStr">
        <is>
          <t>20260306000839</t>
        </is>
      </c>
      <c r="H2919" s="8">
        <f>HYPERLINK("https://dart.fss.or.kr/dsaf001/main.do?rcpNo=20260306000839", "공시열람")</f>
        <v/>
      </c>
    </row>
    <row r="2920">
      <c r="A2920" s="2" t="inlineStr">
        <is>
          <t>2026-03-06</t>
        </is>
      </c>
      <c r="B2920" s="3" t="inlineStr">
        <is>
          <t>코츠테크놀로지</t>
        </is>
      </c>
      <c r="C2920" s="2" t="inlineStr">
        <is>
          <t>코스닥</t>
        </is>
      </c>
      <c r="D2920" s="2" t="inlineStr">
        <is>
          <t>448710</t>
        </is>
      </c>
      <c r="E2920" s="3" t="inlineStr">
        <is>
          <t xml:space="preserve">현금ㆍ현물배당결정              </t>
        </is>
      </c>
      <c r="F2920" s="3" t="inlineStr">
        <is>
          <t>코츠테크놀로지</t>
        </is>
      </c>
      <c r="G2920" s="2" t="inlineStr">
        <is>
          <t>20260306901117</t>
        </is>
      </c>
      <c r="H2920" s="8">
        <f>HYPERLINK("https://dart.fss.or.kr/dsaf001/main.do?rcpNo=20260306901117", "공시열람")</f>
        <v/>
      </c>
    </row>
    <row r="2921">
      <c r="A2921" s="2" t="inlineStr">
        <is>
          <t>2026-03-06</t>
        </is>
      </c>
      <c r="B2921" s="3" t="inlineStr">
        <is>
          <t>웰킵스하이텍</t>
        </is>
      </c>
      <c r="C2921" s="2" t="inlineStr">
        <is>
          <t>코스닥</t>
        </is>
      </c>
      <c r="D2921" s="2" t="inlineStr">
        <is>
          <t>043590</t>
        </is>
      </c>
      <c r="E2921" s="3" t="inlineStr">
        <is>
          <t xml:space="preserve">타법인주식및출자증권취득결정              </t>
        </is>
      </c>
      <c r="F2921" s="3" t="inlineStr">
        <is>
          <t>웰킵스하이텍</t>
        </is>
      </c>
      <c r="G2921" s="2" t="inlineStr">
        <is>
          <t>20260306901105</t>
        </is>
      </c>
      <c r="H2921" s="8">
        <f>HYPERLINK("https://dart.fss.or.kr/dsaf001/main.do?rcpNo=20260306901105", "공시열람")</f>
        <v/>
      </c>
    </row>
    <row r="2922">
      <c r="A2922" s="2" t="inlineStr">
        <is>
          <t>2026-03-06 (정정: 2026-05-29)</t>
        </is>
      </c>
      <c r="B2922" s="3" t="inlineStr">
        <is>
          <t>에어레인</t>
        </is>
      </c>
      <c r="C2922" s="2" t="inlineStr">
        <is>
          <t>코스닥</t>
        </is>
      </c>
      <c r="D2922" s="2" t="inlineStr">
        <is>
          <t>163280</t>
        </is>
      </c>
      <c r="E2922" s="3" t="inlineStr">
        <is>
          <t>권리락              (무상증자) (정정: 20260529)</t>
        </is>
      </c>
      <c r="F2922" s="3" t="inlineStr">
        <is>
          <t>코스닥시장본부</t>
        </is>
      </c>
      <c r="G2922" s="2" t="inlineStr">
        <is>
          <t>20260529000761</t>
        </is>
      </c>
      <c r="H2922" s="8">
        <f>HYPERLINK("https://dart.fss.or.kr/dsaf001/main.do?rcpNo=20260529000761", "공시열람")</f>
        <v/>
      </c>
    </row>
    <row r="2923">
      <c r="A2923" s="2" t="inlineStr">
        <is>
          <t>2026-03-06</t>
        </is>
      </c>
      <c r="B2923" s="3" t="inlineStr">
        <is>
          <t>KB금융</t>
        </is>
      </c>
      <c r="C2923" s="2" t="inlineStr">
        <is>
          <t>코스피</t>
        </is>
      </c>
      <c r="D2923" s="2" t="inlineStr">
        <is>
          <t>105560</t>
        </is>
      </c>
      <c r="E2923" s="3" t="inlineStr">
        <is>
          <t xml:space="preserve">감사보고서제출(자회사의 주요경영사항)              </t>
        </is>
      </c>
      <c r="F2923" s="3" t="inlineStr">
        <is>
          <t>KB금융</t>
        </is>
      </c>
      <c r="G2923" s="2" t="inlineStr">
        <is>
          <t>20260306801328</t>
        </is>
      </c>
      <c r="H2923" s="8">
        <f>HYPERLINK("https://dart.fss.or.kr/dsaf001/main.do?rcpNo=20260306801328", "공시열람")</f>
        <v/>
      </c>
    </row>
    <row r="2924">
      <c r="A2924" s="2" t="inlineStr">
        <is>
          <t>2026-03-06 (정정: 2026-06-04)</t>
        </is>
      </c>
      <c r="B2924" s="3" t="inlineStr">
        <is>
          <t>풍전약품</t>
        </is>
      </c>
      <c r="C2924" s="2" t="inlineStr">
        <is>
          <t>코스닥</t>
        </is>
      </c>
      <c r="D2924" s="2" t="inlineStr">
        <is>
          <t>298060</t>
        </is>
      </c>
      <c r="E2924" s="3" t="inlineStr">
        <is>
          <t>주식병합결정               (정정: 20260323) (정정: 20260604) (정정: 20260604)</t>
        </is>
      </c>
      <c r="F2924" s="3" t="inlineStr">
        <is>
          <t>풍전약품</t>
        </is>
      </c>
      <c r="G2924" s="2" t="inlineStr">
        <is>
          <t>20260604900508</t>
        </is>
      </c>
      <c r="H2924" s="8">
        <f>HYPERLINK("https://dart.fss.or.kr/dsaf001/main.do?rcpNo=20260604900508", "공시열람")</f>
        <v/>
      </c>
    </row>
    <row r="2925">
      <c r="A2925" s="2" t="inlineStr">
        <is>
          <t>2026-03-06</t>
        </is>
      </c>
      <c r="B2925" s="3" t="inlineStr">
        <is>
          <t>한솔케미칼</t>
        </is>
      </c>
      <c r="C2925" s="2" t="inlineStr">
        <is>
          <t>코스피</t>
        </is>
      </c>
      <c r="D2925" s="2" t="inlineStr">
        <is>
          <t>014680</t>
        </is>
      </c>
      <c r="E2925" s="3" t="inlineStr">
        <is>
          <t>증권발행실적보고서</t>
        </is>
      </c>
      <c r="F2925" s="3" t="inlineStr">
        <is>
          <t>한솔케미칼</t>
        </is>
      </c>
      <c r="G2925" s="2" t="inlineStr">
        <is>
          <t>20260306000832</t>
        </is>
      </c>
      <c r="H2925" s="8">
        <f>HYPERLINK("https://dart.fss.or.kr/dsaf001/main.do?rcpNo=20260306000832", "공시열람")</f>
        <v/>
      </c>
    </row>
    <row r="2926">
      <c r="A2926" s="2" t="inlineStr">
        <is>
          <t>2026-03-06</t>
        </is>
      </c>
      <c r="B2926" s="3" t="inlineStr">
        <is>
          <t>LX홀딩스</t>
        </is>
      </c>
      <c r="C2926" s="2" t="inlineStr">
        <is>
          <t>코스피</t>
        </is>
      </c>
      <c r="D2926" s="2" t="inlineStr">
        <is>
          <t>383800</t>
        </is>
      </c>
      <c r="E2926" s="3" t="inlineStr">
        <is>
          <t xml:space="preserve">감사보고서제출(자회사의 주요경영사항)              </t>
        </is>
      </c>
      <c r="F2926" s="3" t="inlineStr">
        <is>
          <t>LX홀딩스</t>
        </is>
      </c>
      <c r="G2926" s="2" t="inlineStr">
        <is>
          <t>20260306801240</t>
        </is>
      </c>
      <c r="H2926" s="8">
        <f>HYPERLINK("https://dart.fss.or.kr/dsaf001/main.do?rcpNo=20260306801240", "공시열람")</f>
        <v/>
      </c>
    </row>
    <row r="2927">
      <c r="A2927" s="2" t="inlineStr">
        <is>
          <t>2026-03-06</t>
        </is>
      </c>
      <c r="B2927" s="3" t="inlineStr">
        <is>
          <t>NH투자증권</t>
        </is>
      </c>
      <c r="C2927" s="2" t="inlineStr">
        <is>
          <t>코스피</t>
        </is>
      </c>
      <c r="D2927" s="2" t="inlineStr">
        <is>
          <t>005940</t>
        </is>
      </c>
      <c r="E2927" s="3" t="inlineStr">
        <is>
          <t>증권발행실적보고서</t>
        </is>
      </c>
      <c r="F2927" s="3" t="inlineStr">
        <is>
          <t>NH투자증권</t>
        </is>
      </c>
      <c r="G2927" s="2" t="inlineStr">
        <is>
          <t>20260306000830</t>
        </is>
      </c>
      <c r="H2927" s="8">
        <f>HYPERLINK("https://dart.fss.or.kr/dsaf001/main.do?rcpNo=20260306000830", "공시열람")</f>
        <v/>
      </c>
    </row>
    <row r="2928">
      <c r="A2928" s="2" t="inlineStr">
        <is>
          <t>2026-03-06</t>
        </is>
      </c>
      <c r="B2928" s="3" t="inlineStr">
        <is>
          <t>로보티즈</t>
        </is>
      </c>
      <c r="C2928" s="2" t="inlineStr">
        <is>
          <t>코스닥</t>
        </is>
      </c>
      <c r="D2928" s="2" t="inlineStr">
        <is>
          <t>108490</t>
        </is>
      </c>
      <c r="E2928" s="3" t="inlineStr">
        <is>
          <t>의결권대리행사권유참고서류</t>
        </is>
      </c>
      <c r="F2928" s="3" t="inlineStr">
        <is>
          <t>로보티즈</t>
        </is>
      </c>
      <c r="G2928" s="2" t="inlineStr">
        <is>
          <t>20260306000829</t>
        </is>
      </c>
      <c r="H2928" s="8">
        <f>HYPERLINK("https://dart.fss.or.kr/dsaf001/main.do?rcpNo=20260306000829", "공시열람")</f>
        <v/>
      </c>
    </row>
    <row r="2929">
      <c r="A2929" s="2" t="inlineStr">
        <is>
          <t>2026-03-06</t>
        </is>
      </c>
      <c r="B2929" s="3" t="inlineStr">
        <is>
          <t>흥구석유</t>
        </is>
      </c>
      <c r="C2929" s="2" t="inlineStr">
        <is>
          <t>코스닥</t>
        </is>
      </c>
      <c r="D2929" s="2" t="inlineStr">
        <is>
          <t>024060</t>
        </is>
      </c>
      <c r="E2929" s="3" t="inlineStr">
        <is>
          <t>임원ㆍ주요주주특정증권등소유상황보고서</t>
        </is>
      </c>
      <c r="F2929" s="3" t="inlineStr">
        <is>
          <t>김상우</t>
        </is>
      </c>
      <c r="G2929" s="2" t="inlineStr">
        <is>
          <t>20260306000827</t>
        </is>
      </c>
      <c r="H2929" s="8">
        <f>HYPERLINK("https://dart.fss.or.kr/dsaf001/main.do?rcpNo=20260306000827", "공시열람")</f>
        <v/>
      </c>
    </row>
    <row r="2930">
      <c r="A2930" s="2" t="inlineStr">
        <is>
          <t>2026-03-06 (정정: 2026-03-12)</t>
        </is>
      </c>
      <c r="B2930" s="3" t="inlineStr">
        <is>
          <t>현대차증권</t>
        </is>
      </c>
      <c r="C2930" s="2" t="inlineStr">
        <is>
          <t>코스피</t>
        </is>
      </c>
      <c r="D2930" s="2" t="inlineStr">
        <is>
          <t>001500</t>
        </is>
      </c>
      <c r="E2930" s="3" t="inlineStr">
        <is>
          <t>의결권대리행사권유참고서류 (정정: 20260312)</t>
        </is>
      </c>
      <c r="F2930" s="3" t="inlineStr">
        <is>
          <t>현대차증권</t>
        </is>
      </c>
      <c r="G2930" s="2" t="inlineStr">
        <is>
          <t>20260312000387</t>
        </is>
      </c>
      <c r="H2930" s="8">
        <f>HYPERLINK("https://dart.fss.or.kr/dsaf001/main.do?rcpNo=20260312000387", "공시열람")</f>
        <v/>
      </c>
    </row>
    <row r="2931">
      <c r="A2931" s="2" t="inlineStr">
        <is>
          <t>2026-03-06 (정정: 2026-06-22)</t>
        </is>
      </c>
      <c r="B2931" s="3" t="inlineStr">
        <is>
          <t>금호에이치티</t>
        </is>
      </c>
      <c r="C2931" s="2" t="inlineStr">
        <is>
          <t>코스피</t>
        </is>
      </c>
      <c r="D2931" s="2" t="inlineStr">
        <is>
          <t>214330</t>
        </is>
      </c>
      <c r="E2931" s="3" t="inlineStr">
        <is>
          <t>주요사항보고서(감자결정) (정정: 20260306) (정정: 20260622)</t>
        </is>
      </c>
      <c r="F2931" s="3" t="inlineStr">
        <is>
          <t>금호에이치티</t>
        </is>
      </c>
      <c r="G2931" s="2" t="inlineStr">
        <is>
          <t>20260622000383</t>
        </is>
      </c>
      <c r="H2931" s="8">
        <f>HYPERLINK("https://dart.fss.or.kr/dsaf001/main.do?rcpNo=20260622000383", "공시열람")</f>
        <v/>
      </c>
    </row>
    <row r="2932">
      <c r="A2932" s="2" t="inlineStr">
        <is>
          <t>2026-03-06</t>
        </is>
      </c>
      <c r="B2932" s="3" t="inlineStr">
        <is>
          <t>금호에이치티</t>
        </is>
      </c>
      <c r="C2932" s="2" t="inlineStr">
        <is>
          <t>코스피</t>
        </is>
      </c>
      <c r="D2932" s="2" t="inlineStr">
        <is>
          <t>214330</t>
        </is>
      </c>
      <c r="E2932" s="3" t="inlineStr">
        <is>
          <t xml:space="preserve">주식병합결정              </t>
        </is>
      </c>
      <c r="F2932" s="3" t="inlineStr">
        <is>
          <t>금호에이치티</t>
        </is>
      </c>
      <c r="G2932" s="2" t="inlineStr">
        <is>
          <t>20260306801215</t>
        </is>
      </c>
      <c r="H2932" s="8">
        <f>HYPERLINK("https://dart.fss.or.kr/dsaf001/main.do?rcpNo=20260306801215", "공시열람")</f>
        <v/>
      </c>
    </row>
    <row r="2933">
      <c r="A2933" s="2" t="inlineStr">
        <is>
          <t>2026-03-06</t>
        </is>
      </c>
      <c r="B2933" s="3" t="inlineStr">
        <is>
          <t>금호에이치티</t>
        </is>
      </c>
      <c r="C2933" s="2" t="inlineStr">
        <is>
          <t>코스피</t>
        </is>
      </c>
      <c r="D2933" s="2" t="inlineStr">
        <is>
          <t>214330</t>
        </is>
      </c>
      <c r="E2933" s="3" t="inlineStr">
        <is>
          <t xml:space="preserve">매매거래정지및정지해제(중요내용공시)              </t>
        </is>
      </c>
      <c r="F2933" s="3" t="inlineStr">
        <is>
          <t>유가증권시장본부</t>
        </is>
      </c>
      <c r="G2933" s="2" t="inlineStr">
        <is>
          <t>20260306801318</t>
        </is>
      </c>
      <c r="H2933" s="8">
        <f>HYPERLINK("https://dart.fss.or.kr/dsaf001/main.do?rcpNo=20260306801318", "공시열람")</f>
        <v/>
      </c>
    </row>
    <row r="2934">
      <c r="A2934" s="2" t="inlineStr">
        <is>
          <t>2026-03-06</t>
        </is>
      </c>
      <c r="B2934" s="3" t="inlineStr">
        <is>
          <t>LG이노텍</t>
        </is>
      </c>
      <c r="C2934" s="2" t="inlineStr">
        <is>
          <t>코스피</t>
        </is>
      </c>
      <c r="D2934" s="2" t="inlineStr">
        <is>
          <t>011070</t>
        </is>
      </c>
      <c r="E2934" s="3" t="inlineStr">
        <is>
          <t xml:space="preserve">감사보고서제출              </t>
        </is>
      </c>
      <c r="F2934" s="3" t="inlineStr">
        <is>
          <t>LG이노텍</t>
        </is>
      </c>
      <c r="G2934" s="2" t="inlineStr">
        <is>
          <t>20260306801268</t>
        </is>
      </c>
      <c r="H2934" s="8">
        <f>HYPERLINK("https://dart.fss.or.kr/dsaf001/main.do?rcpNo=20260306801268", "공시열람")</f>
        <v/>
      </c>
    </row>
    <row r="2935">
      <c r="A2935" s="2" t="inlineStr">
        <is>
          <t>2026-03-06</t>
        </is>
      </c>
      <c r="B2935" s="3" t="inlineStr">
        <is>
          <t>네오위즈</t>
        </is>
      </c>
      <c r="C2935" s="2" t="inlineStr">
        <is>
          <t>코스닥</t>
        </is>
      </c>
      <c r="D2935" s="2" t="inlineStr">
        <is>
          <t>095660</t>
        </is>
      </c>
      <c r="E2935" s="3" t="inlineStr">
        <is>
          <t>자기주식처분결과보고서</t>
        </is>
      </c>
      <c r="F2935" s="3" t="inlineStr">
        <is>
          <t>네오위즈</t>
        </is>
      </c>
      <c r="G2935" s="2" t="inlineStr">
        <is>
          <t>20260306000815</t>
        </is>
      </c>
      <c r="H2935" s="8">
        <f>HYPERLINK("https://dart.fss.or.kr/dsaf001/main.do?rcpNo=20260306000815", "공시열람")</f>
        <v/>
      </c>
    </row>
    <row r="2936">
      <c r="A2936" s="2" t="inlineStr">
        <is>
          <t>2026-03-06 (정정: 2026-03-11)</t>
        </is>
      </c>
      <c r="B2936" s="3" t="inlineStr">
        <is>
          <t>기가레인</t>
        </is>
      </c>
      <c r="C2936" s="2" t="inlineStr">
        <is>
          <t>코스닥</t>
        </is>
      </c>
      <c r="D2936" s="2" t="inlineStr">
        <is>
          <t>049080</t>
        </is>
      </c>
      <c r="E2936" s="3" t="inlineStr">
        <is>
          <t>의결권대리행사권유참고서류 (정정: 20260311)</t>
        </is>
      </c>
      <c r="F2936" s="3" t="inlineStr">
        <is>
          <t>기가레인</t>
        </is>
      </c>
      <c r="G2936" s="2" t="inlineStr">
        <is>
          <t>20260311004371</t>
        </is>
      </c>
      <c r="H2936" s="8">
        <f>HYPERLINK("https://dart.fss.or.kr/dsaf001/main.do?rcpNo=20260311004371", "공시열람")</f>
        <v/>
      </c>
    </row>
    <row r="2937">
      <c r="A2937" s="2" t="inlineStr">
        <is>
          <t>2026-03-06</t>
        </is>
      </c>
      <c r="B2937" s="3" t="inlineStr">
        <is>
          <t>샘표</t>
        </is>
      </c>
      <c r="C2937" s="2" t="inlineStr">
        <is>
          <t>코스피</t>
        </is>
      </c>
      <c r="D2937" s="2" t="inlineStr">
        <is>
          <t>007540</t>
        </is>
      </c>
      <c r="E2937" s="3" t="inlineStr">
        <is>
          <t>의결권대리행사권유참고서류</t>
        </is>
      </c>
      <c r="F2937" s="3" t="inlineStr">
        <is>
          <t>샘표</t>
        </is>
      </c>
      <c r="G2937" s="2" t="inlineStr">
        <is>
          <t>20260306000809</t>
        </is>
      </c>
      <c r="H2937" s="8">
        <f>HYPERLINK("https://dart.fss.or.kr/dsaf001/main.do?rcpNo=20260306000809", "공시열람")</f>
        <v/>
      </c>
    </row>
    <row r="2938">
      <c r="A2938" s="2" t="inlineStr">
        <is>
          <t>2026-03-06</t>
        </is>
      </c>
      <c r="B2938" s="3" t="inlineStr">
        <is>
          <t>일정실업</t>
        </is>
      </c>
      <c r="C2938" s="2" t="inlineStr">
        <is>
          <t>코스피</t>
        </is>
      </c>
      <c r="D2938" s="2" t="inlineStr">
        <is>
          <t>008500</t>
        </is>
      </c>
      <c r="E2938" s="3" t="inlineStr">
        <is>
          <t xml:space="preserve">투자유의안내              </t>
        </is>
      </c>
      <c r="F2938" s="3" t="inlineStr">
        <is>
          <t>유가증권시장본부</t>
        </is>
      </c>
      <c r="G2938" s="2" t="inlineStr">
        <is>
          <t>20260306801296</t>
        </is>
      </c>
      <c r="H2938" s="8">
        <f>HYPERLINK("https://dart.fss.or.kr/dsaf001/main.do?rcpNo=20260306801296", "공시열람")</f>
        <v/>
      </c>
    </row>
    <row r="2939">
      <c r="A2939" s="2" t="inlineStr">
        <is>
          <t>2026-03-06</t>
        </is>
      </c>
      <c r="B2939" s="3" t="inlineStr">
        <is>
          <t>와이투솔루션</t>
        </is>
      </c>
      <c r="C2939" s="2" t="inlineStr">
        <is>
          <t>코스피</t>
        </is>
      </c>
      <c r="D2939" s="2" t="inlineStr">
        <is>
          <t>011690</t>
        </is>
      </c>
      <c r="E2939" s="3" t="inlineStr">
        <is>
          <t>임원ㆍ주요주주특정증권등소유상황보고서</t>
        </is>
      </c>
      <c r="F2939" s="3" t="inlineStr">
        <is>
          <t>강석환</t>
        </is>
      </c>
      <c r="G2939" s="2" t="inlineStr">
        <is>
          <t>20260306000808</t>
        </is>
      </c>
      <c r="H2939" s="8">
        <f>HYPERLINK("https://dart.fss.or.kr/dsaf001/main.do?rcpNo=20260306000808", "공시열람")</f>
        <v/>
      </c>
    </row>
    <row r="2940">
      <c r="A2940" s="2" t="inlineStr">
        <is>
          <t>2026-03-06</t>
        </is>
      </c>
      <c r="B2940" s="3" t="inlineStr">
        <is>
          <t>세아제강지주</t>
        </is>
      </c>
      <c r="C2940" s="2" t="inlineStr">
        <is>
          <t>코스피</t>
        </is>
      </c>
      <c r="D2940" s="2" t="inlineStr">
        <is>
          <t>003030</t>
        </is>
      </c>
      <c r="E2940" s="3" t="inlineStr">
        <is>
          <t>의결권대리행사권유참고서류</t>
        </is>
      </c>
      <c r="F2940" s="3" t="inlineStr">
        <is>
          <t>세아제강지주</t>
        </is>
      </c>
      <c r="G2940" s="2" t="inlineStr">
        <is>
          <t>20260306000805</t>
        </is>
      </c>
      <c r="H2940" s="8">
        <f>HYPERLINK("https://dart.fss.or.kr/dsaf001/main.do?rcpNo=20260306000805", "공시열람")</f>
        <v/>
      </c>
    </row>
    <row r="2941">
      <c r="A2941" s="2" t="inlineStr">
        <is>
          <t>2026-03-06</t>
        </is>
      </c>
      <c r="B2941" s="3" t="inlineStr">
        <is>
          <t>동국산업</t>
        </is>
      </c>
      <c r="C2941" s="2" t="inlineStr">
        <is>
          <t>코스닥</t>
        </is>
      </c>
      <c r="D2941" s="2" t="inlineStr">
        <is>
          <t>005160</t>
        </is>
      </c>
      <c r="E2941" s="3" t="inlineStr">
        <is>
          <t xml:space="preserve">현금ㆍ현물배당결정              </t>
        </is>
      </c>
      <c r="F2941" s="3" t="inlineStr">
        <is>
          <t>동국산업</t>
        </is>
      </c>
      <c r="G2941" s="2" t="inlineStr">
        <is>
          <t>20260306901327</t>
        </is>
      </c>
      <c r="H2941" s="8">
        <f>HYPERLINK("https://dart.fss.or.kr/dsaf001/main.do?rcpNo=20260306901327", "공시열람")</f>
        <v/>
      </c>
    </row>
    <row r="2942">
      <c r="A2942" s="2" t="inlineStr">
        <is>
          <t>2026-03-06</t>
        </is>
      </c>
      <c r="B2942" s="3" t="inlineStr">
        <is>
          <t>한화투자증권</t>
        </is>
      </c>
      <c r="C2942" s="2" t="inlineStr">
        <is>
          <t>코스피</t>
        </is>
      </c>
      <c r="D2942" s="2" t="inlineStr">
        <is>
          <t>003530</t>
        </is>
      </c>
      <c r="E2942" s="3" t="inlineStr">
        <is>
          <t>증권발행실적보고서</t>
        </is>
      </c>
      <c r="F2942" s="3" t="inlineStr">
        <is>
          <t>한화투자증권</t>
        </is>
      </c>
      <c r="G2942" s="2" t="inlineStr">
        <is>
          <t>20260306000803</t>
        </is>
      </c>
      <c r="H2942" s="8">
        <f>HYPERLINK("https://dart.fss.or.kr/dsaf001/main.do?rcpNo=20260306000803", "공시열람")</f>
        <v/>
      </c>
    </row>
    <row r="2943">
      <c r="A2943" s="2" t="inlineStr">
        <is>
          <t>2026-03-06</t>
        </is>
      </c>
      <c r="B2943" s="3" t="inlineStr">
        <is>
          <t>에이치엘사이언스</t>
        </is>
      </c>
      <c r="C2943" s="2" t="inlineStr">
        <is>
          <t>코스닥</t>
        </is>
      </c>
      <c r="D2943" s="2" t="inlineStr">
        <is>
          <t>239610</t>
        </is>
      </c>
      <c r="E2943" s="3" t="inlineStr">
        <is>
          <t xml:space="preserve">매출액또는손익구조30%(대규모법인은15%)이상변동              </t>
        </is>
      </c>
      <c r="F2943" s="3" t="inlineStr">
        <is>
          <t>에이치엘사이언스</t>
        </is>
      </c>
      <c r="G2943" s="2" t="inlineStr">
        <is>
          <t>20260306901265</t>
        </is>
      </c>
      <c r="H2943" s="8">
        <f>HYPERLINK("https://dart.fss.or.kr/dsaf001/main.do?rcpNo=20260306901265", "공시열람")</f>
        <v/>
      </c>
    </row>
    <row r="2944">
      <c r="A2944" s="2" t="inlineStr">
        <is>
          <t>2026-03-06</t>
        </is>
      </c>
      <c r="B2944" s="3" t="inlineStr">
        <is>
          <t>유니슨</t>
        </is>
      </c>
      <c r="C2944" s="2" t="inlineStr">
        <is>
          <t>코스닥</t>
        </is>
      </c>
      <c r="D2944" s="2" t="inlineStr">
        <is>
          <t>018000</t>
        </is>
      </c>
      <c r="E2944" s="3" t="inlineStr">
        <is>
          <t>임원ㆍ주요주주특정증권등소유상황보고서</t>
        </is>
      </c>
      <c r="F2944" s="3" t="inlineStr">
        <is>
          <t>명운산업개발</t>
        </is>
      </c>
      <c r="G2944" s="2" t="inlineStr">
        <is>
          <t>20260306000801</t>
        </is>
      </c>
      <c r="H2944" s="8">
        <f>HYPERLINK("https://dart.fss.or.kr/dsaf001/main.do?rcpNo=20260306000801", "공시열람")</f>
        <v/>
      </c>
    </row>
    <row r="2945">
      <c r="A2945" s="2" t="inlineStr">
        <is>
          <t>2026-03-06</t>
        </is>
      </c>
      <c r="B2945" s="3" t="inlineStr">
        <is>
          <t>코스맥스비티아이</t>
        </is>
      </c>
      <c r="C2945" s="2" t="inlineStr">
        <is>
          <t>코스피</t>
        </is>
      </c>
      <c r="D2945" s="2" t="inlineStr">
        <is>
          <t>044820</t>
        </is>
      </c>
      <c r="E2945" s="3" t="inlineStr">
        <is>
          <t xml:space="preserve">현금ㆍ현물배당을위한주주명부폐쇄(기준일)결정              </t>
        </is>
      </c>
      <c r="F2945" s="3" t="inlineStr">
        <is>
          <t>코스맥스비티아이</t>
        </is>
      </c>
      <c r="G2945" s="2" t="inlineStr">
        <is>
          <t>20260306801184</t>
        </is>
      </c>
      <c r="H2945" s="8">
        <f>HYPERLINK("https://dart.fss.or.kr/dsaf001/main.do?rcpNo=20260306801184", "공시열람")</f>
        <v/>
      </c>
    </row>
    <row r="2946">
      <c r="A2946" s="2" t="inlineStr">
        <is>
          <t>2026-03-06</t>
        </is>
      </c>
      <c r="B2946" s="3" t="inlineStr">
        <is>
          <t>샘표식품</t>
        </is>
      </c>
      <c r="C2946" s="2" t="inlineStr">
        <is>
          <t>코스피</t>
        </is>
      </c>
      <c r="D2946" s="2" t="inlineStr">
        <is>
          <t>248170</t>
        </is>
      </c>
      <c r="E2946" s="3" t="inlineStr">
        <is>
          <t>의결권대리행사권유참고서류</t>
        </is>
      </c>
      <c r="F2946" s="3" t="inlineStr">
        <is>
          <t>샘표식품</t>
        </is>
      </c>
      <c r="G2946" s="2" t="inlineStr">
        <is>
          <t>20260306000799</t>
        </is>
      </c>
      <c r="H2946" s="8">
        <f>HYPERLINK("https://dart.fss.or.kr/dsaf001/main.do?rcpNo=20260306000799", "공시열람")</f>
        <v/>
      </c>
    </row>
    <row r="2947">
      <c r="A2947" s="2" t="inlineStr">
        <is>
          <t>2026-03-06</t>
        </is>
      </c>
      <c r="B2947" s="3" t="inlineStr">
        <is>
          <t>KB금융</t>
        </is>
      </c>
      <c r="C2947" s="2" t="inlineStr">
        <is>
          <t>코스피</t>
        </is>
      </c>
      <c r="D2947" s="2" t="inlineStr">
        <is>
          <t>105560</t>
        </is>
      </c>
      <c r="E2947" s="3" t="inlineStr">
        <is>
          <t xml:space="preserve">감사보고서제출              </t>
        </is>
      </c>
      <c r="F2947" s="3" t="inlineStr">
        <is>
          <t>KB금융</t>
        </is>
      </c>
      <c r="G2947" s="2" t="inlineStr">
        <is>
          <t>20260306801143</t>
        </is>
      </c>
      <c r="H2947" s="8">
        <f>HYPERLINK("https://dart.fss.or.kr/dsaf001/main.do?rcpNo=20260306801143", "공시열람")</f>
        <v/>
      </c>
    </row>
    <row r="2948">
      <c r="A2948" s="2" t="inlineStr">
        <is>
          <t>2026-03-06</t>
        </is>
      </c>
      <c r="B2948" s="3" t="inlineStr">
        <is>
          <t>KT지니뮤직</t>
        </is>
      </c>
      <c r="C2948" s="2" t="inlineStr">
        <is>
          <t>코스닥</t>
        </is>
      </c>
      <c r="D2948" s="2" t="inlineStr">
        <is>
          <t>043610</t>
        </is>
      </c>
      <c r="E2948" s="3" t="inlineStr">
        <is>
          <t>의결권대리행사권유참고서류</t>
        </is>
      </c>
      <c r="F2948" s="3" t="inlineStr">
        <is>
          <t>KT지니뮤직</t>
        </is>
      </c>
      <c r="G2948" s="2" t="inlineStr">
        <is>
          <t>20260306000797</t>
        </is>
      </c>
      <c r="H2948" s="8">
        <f>HYPERLINK("https://dart.fss.or.kr/dsaf001/main.do?rcpNo=20260306000797", "공시열람")</f>
        <v/>
      </c>
    </row>
    <row r="2949">
      <c r="A2949" s="2" t="inlineStr">
        <is>
          <t>2026-03-06</t>
        </is>
      </c>
      <c r="B2949" s="3" t="inlineStr">
        <is>
          <t>동국산업</t>
        </is>
      </c>
      <c r="C2949" s="2" t="inlineStr">
        <is>
          <t>코스닥</t>
        </is>
      </c>
      <c r="D2949" s="2" t="inlineStr">
        <is>
          <t>005160</t>
        </is>
      </c>
      <c r="E2949" s="3" t="inlineStr">
        <is>
          <t xml:space="preserve">매출액또는손익구조30%(대규모법인은15%)이상변동              </t>
        </is>
      </c>
      <c r="F2949" s="3" t="inlineStr">
        <is>
          <t>동국산업</t>
        </is>
      </c>
      <c r="G2949" s="2" t="inlineStr">
        <is>
          <t>20260306901239</t>
        </is>
      </c>
      <c r="H2949" s="8">
        <f>HYPERLINK("https://dart.fss.or.kr/dsaf001/main.do?rcpNo=20260306901239", "공시열람")</f>
        <v/>
      </c>
    </row>
    <row r="2950">
      <c r="A2950" s="2" t="inlineStr">
        <is>
          <t>2026-03-06</t>
        </is>
      </c>
      <c r="B2950" s="3" t="inlineStr">
        <is>
          <t>압타머사이언스</t>
        </is>
      </c>
      <c r="C2950" s="2" t="inlineStr">
        <is>
          <t>코스닥</t>
        </is>
      </c>
      <c r="D2950" s="2" t="inlineStr">
        <is>
          <t>291650</t>
        </is>
      </c>
      <c r="E2950" s="3" t="inlineStr">
        <is>
          <t xml:space="preserve">매출액또는손익구조30%(대규모법인은15%)이상변동              </t>
        </is>
      </c>
      <c r="F2950" s="3" t="inlineStr">
        <is>
          <t>압타머사이언스</t>
        </is>
      </c>
      <c r="G2950" s="2" t="inlineStr">
        <is>
          <t>20260306901123</t>
        </is>
      </c>
      <c r="H2950" s="8">
        <f>HYPERLINK("https://dart.fss.or.kr/dsaf001/main.do?rcpNo=20260306901123", "공시열람")</f>
        <v/>
      </c>
    </row>
    <row r="2951">
      <c r="A2951" s="2" t="inlineStr">
        <is>
          <t>2026-03-06</t>
        </is>
      </c>
      <c r="B2951" s="3" t="inlineStr">
        <is>
          <t>KB금융</t>
        </is>
      </c>
      <c r="C2951" s="2" t="inlineStr">
        <is>
          <t>코스피</t>
        </is>
      </c>
      <c r="D2951" s="2" t="inlineStr">
        <is>
          <t>105560</t>
        </is>
      </c>
      <c r="E2951" s="3" t="inlineStr">
        <is>
          <t xml:space="preserve">감사보고서제출(자회사의 주요경영사항)              </t>
        </is>
      </c>
      <c r="F2951" s="3" t="inlineStr">
        <is>
          <t>KB금융</t>
        </is>
      </c>
      <c r="G2951" s="2" t="inlineStr">
        <is>
          <t>20260306801136</t>
        </is>
      </c>
      <c r="H2951" s="8">
        <f>HYPERLINK("https://dart.fss.or.kr/dsaf001/main.do?rcpNo=20260306801136", "공시열람")</f>
        <v/>
      </c>
    </row>
    <row r="2952">
      <c r="A2952" s="2" t="inlineStr">
        <is>
          <t>2026-03-06</t>
        </is>
      </c>
      <c r="B2952" s="3" t="inlineStr">
        <is>
          <t>오가닉티코스메틱</t>
        </is>
      </c>
      <c r="C2952" s="2" t="inlineStr">
        <is>
          <t>코스닥</t>
        </is>
      </c>
      <c r="D2952" s="2" t="inlineStr">
        <is>
          <t>900300</t>
        </is>
      </c>
      <c r="E2952" s="3" t="inlineStr">
        <is>
          <t>임원ㆍ주요주주특정증권등소유상황보고서</t>
        </is>
      </c>
      <c r="F2952" s="3" t="inlineStr">
        <is>
          <t>임국강</t>
        </is>
      </c>
      <c r="G2952" s="2" t="inlineStr">
        <is>
          <t>20260306000793</t>
        </is>
      </c>
      <c r="H2952" s="8">
        <f>HYPERLINK("https://dart.fss.or.kr/dsaf001/main.do?rcpNo=20260306000793", "공시열람")</f>
        <v/>
      </c>
    </row>
    <row r="2953">
      <c r="A2953" s="2" t="inlineStr">
        <is>
          <t>2026-03-06</t>
        </is>
      </c>
      <c r="B2953" s="3" t="inlineStr">
        <is>
          <t>HS효성</t>
        </is>
      </c>
      <c r="C2953" s="2" t="inlineStr">
        <is>
          <t>코스피</t>
        </is>
      </c>
      <c r="D2953" s="2" t="inlineStr">
        <is>
          <t>487570</t>
        </is>
      </c>
      <c r="E2953" s="3" t="inlineStr">
        <is>
          <t>[첨부정정]의결권대리행사권유참고서류</t>
        </is>
      </c>
      <c r="F2953" s="3" t="inlineStr">
        <is>
          <t>HS효성</t>
        </is>
      </c>
      <c r="G2953" s="2" t="inlineStr">
        <is>
          <t>20260306000792</t>
        </is>
      </c>
      <c r="H2953" s="8">
        <f>HYPERLINK("https://dart.fss.or.kr/dsaf001/main.do?rcpNo=20260306000792", "공시열람")</f>
        <v/>
      </c>
    </row>
    <row r="2954">
      <c r="A2954" s="2" t="inlineStr">
        <is>
          <t>2026-03-06</t>
        </is>
      </c>
      <c r="B2954" s="3" t="inlineStr">
        <is>
          <t>CJ대한통운</t>
        </is>
      </c>
      <c r="C2954" s="2" t="inlineStr">
        <is>
          <t>코스피</t>
        </is>
      </c>
      <c r="D2954" s="2" t="inlineStr">
        <is>
          <t>000120</t>
        </is>
      </c>
      <c r="E2954" s="3" t="inlineStr">
        <is>
          <t xml:space="preserve">기업설명회(IR)개최(안내공시)              </t>
        </is>
      </c>
      <c r="F2954" s="3" t="inlineStr">
        <is>
          <t>CJ대한통운</t>
        </is>
      </c>
      <c r="G2954" s="2" t="inlineStr">
        <is>
          <t>20260306801289</t>
        </is>
      </c>
      <c r="H2954" s="8">
        <f>HYPERLINK("https://dart.fss.or.kr/dsaf001/main.do?rcpNo=20260306801289", "공시열람")</f>
        <v/>
      </c>
    </row>
    <row r="2955">
      <c r="A2955" s="2" t="inlineStr">
        <is>
          <t>2026-03-06</t>
        </is>
      </c>
      <c r="B2955" s="3" t="inlineStr">
        <is>
          <t>나노씨엠에스</t>
        </is>
      </c>
      <c r="C2955" s="2" t="inlineStr">
        <is>
          <t>코스닥</t>
        </is>
      </c>
      <c r="D2955" s="2" t="inlineStr">
        <is>
          <t>247660</t>
        </is>
      </c>
      <c r="E2955" s="3" t="inlineStr">
        <is>
          <t xml:space="preserve">소송등의판결ㆍ결정              </t>
        </is>
      </c>
      <c r="F2955" s="3" t="inlineStr">
        <is>
          <t>나노씨엠에스</t>
        </is>
      </c>
      <c r="G2955" s="2" t="inlineStr">
        <is>
          <t>20260306901293</t>
        </is>
      </c>
      <c r="H2955" s="8">
        <f>HYPERLINK("https://dart.fss.or.kr/dsaf001/main.do?rcpNo=20260306901293", "공시열람")</f>
        <v/>
      </c>
    </row>
    <row r="2956">
      <c r="A2956" s="2" t="inlineStr">
        <is>
          <t>2026-03-06</t>
        </is>
      </c>
      <c r="B2956" s="3" t="inlineStr">
        <is>
          <t>에코프로비엠</t>
        </is>
      </c>
      <c r="C2956" s="2" t="inlineStr">
        <is>
          <t>코스닥</t>
        </is>
      </c>
      <c r="D2956" s="2" t="inlineStr">
        <is>
          <t>247540</t>
        </is>
      </c>
      <c r="E2956" s="3" t="inlineStr">
        <is>
          <t>의결권대리행사권유참고서류</t>
        </is>
      </c>
      <c r="F2956" s="3" t="inlineStr">
        <is>
          <t>에코프로비엠</t>
        </is>
      </c>
      <c r="G2956" s="2" t="inlineStr">
        <is>
          <t>20260306000785</t>
        </is>
      </c>
      <c r="H2956" s="8">
        <f>HYPERLINK("https://dart.fss.or.kr/dsaf001/main.do?rcpNo=20260306000785", "공시열람")</f>
        <v/>
      </c>
    </row>
    <row r="2957">
      <c r="A2957" s="2" t="inlineStr">
        <is>
          <t>2026-03-06</t>
        </is>
      </c>
      <c r="B2957" s="3" t="inlineStr">
        <is>
          <t>페니트리움바이오</t>
        </is>
      </c>
      <c r="C2957" s="2" t="inlineStr">
        <is>
          <t>코스닥</t>
        </is>
      </c>
      <c r="D2957" s="2" t="inlineStr">
        <is>
          <t>187660</t>
        </is>
      </c>
      <c r="E2957" s="3" t="inlineStr">
        <is>
          <t>주식매수선택권부여에관한신고</t>
        </is>
      </c>
      <c r="F2957" s="3" t="inlineStr">
        <is>
          <t>페니트리움바이오</t>
        </is>
      </c>
      <c r="G2957" s="2" t="inlineStr">
        <is>
          <t>20260306000783</t>
        </is>
      </c>
      <c r="H2957" s="8">
        <f>HYPERLINK("https://dart.fss.or.kr/dsaf001/main.do?rcpNo=20260306000783", "공시열람")</f>
        <v/>
      </c>
    </row>
    <row r="2958">
      <c r="A2958" s="2" t="inlineStr">
        <is>
          <t>2026-03-06</t>
        </is>
      </c>
      <c r="B2958" s="3" t="inlineStr">
        <is>
          <t>삼성에스디에스</t>
        </is>
      </c>
      <c r="C2958" s="2" t="inlineStr">
        <is>
          <t>코스피</t>
        </is>
      </c>
      <c r="D2958" s="2" t="inlineStr">
        <is>
          <t>018260</t>
        </is>
      </c>
      <c r="E2958" s="3" t="inlineStr">
        <is>
          <t xml:space="preserve">감사보고서제출              </t>
        </is>
      </c>
      <c r="F2958" s="3" t="inlineStr">
        <is>
          <t>삼성에스디에스</t>
        </is>
      </c>
      <c r="G2958" s="2" t="inlineStr">
        <is>
          <t>20260306801238</t>
        </is>
      </c>
      <c r="H2958" s="8">
        <f>HYPERLINK("https://dart.fss.or.kr/dsaf001/main.do?rcpNo=20260306801238", "공시열람")</f>
        <v/>
      </c>
    </row>
    <row r="2959">
      <c r="A2959" s="2" t="inlineStr">
        <is>
          <t>2026-03-06 (정정: 2026-03-11)</t>
        </is>
      </c>
      <c r="B2959" s="3" t="inlineStr">
        <is>
          <t>대상</t>
        </is>
      </c>
      <c r="C2959" s="2" t="inlineStr">
        <is>
          <t>코스피</t>
        </is>
      </c>
      <c r="D2959" s="2" t="inlineStr">
        <is>
          <t>001680</t>
        </is>
      </c>
      <c r="E2959" s="3" t="inlineStr">
        <is>
          <t>[첨부정정]의결권대리행사권유참고서류 (정정: 20260311) (정정: 20260311) (정정: 20260311)</t>
        </is>
      </c>
      <c r="F2959" s="3" t="inlineStr">
        <is>
          <t>대상</t>
        </is>
      </c>
      <c r="G2959" s="2" t="inlineStr">
        <is>
          <t>20260311800470</t>
        </is>
      </c>
      <c r="H2959" s="8">
        <f>HYPERLINK("https://dart.fss.or.kr/dsaf001/main.do?rcpNo=20260311800470", "공시열람")</f>
        <v/>
      </c>
    </row>
    <row r="2960">
      <c r="A2960" s="2" t="inlineStr">
        <is>
          <t>2026-03-06</t>
        </is>
      </c>
      <c r="B2960" s="3" t="inlineStr">
        <is>
          <t>켐트로닉스</t>
        </is>
      </c>
      <c r="C2960" s="2" t="inlineStr">
        <is>
          <t>코스닥</t>
        </is>
      </c>
      <c r="D2960" s="2" t="inlineStr">
        <is>
          <t>089010</t>
        </is>
      </c>
      <c r="E2960" s="3" t="inlineStr">
        <is>
          <t>주요사항보고서(제3자의전환주식매수선택권행사)</t>
        </is>
      </c>
      <c r="F2960" s="3" t="inlineStr">
        <is>
          <t>켐트로닉스</t>
        </is>
      </c>
      <c r="G2960" s="2" t="inlineStr">
        <is>
          <t>20260306000779</t>
        </is>
      </c>
      <c r="H2960" s="8">
        <f>HYPERLINK("https://dart.fss.or.kr/dsaf001/main.do?rcpNo=20260306000779", "공시열람")</f>
        <v/>
      </c>
    </row>
    <row r="2961">
      <c r="A2961" s="2" t="inlineStr">
        <is>
          <t>2026-03-06</t>
        </is>
      </c>
      <c r="B2961" s="3" t="inlineStr">
        <is>
          <t>플랜티넷</t>
        </is>
      </c>
      <c r="C2961" s="2" t="inlineStr">
        <is>
          <t>코스닥</t>
        </is>
      </c>
      <c r="D2961" s="2" t="inlineStr">
        <is>
          <t>075130</t>
        </is>
      </c>
      <c r="E2961" s="3" t="inlineStr">
        <is>
          <t>의결권대리행사권유참고서류</t>
        </is>
      </c>
      <c r="F2961" s="3" t="inlineStr">
        <is>
          <t>플랜티넷</t>
        </is>
      </c>
      <c r="G2961" s="2" t="inlineStr">
        <is>
          <t>20260306000777</t>
        </is>
      </c>
      <c r="H2961" s="8">
        <f>HYPERLINK("https://dart.fss.or.kr/dsaf001/main.do?rcpNo=20260306000777", "공시열람")</f>
        <v/>
      </c>
    </row>
    <row r="2962">
      <c r="A2962" s="2" t="inlineStr">
        <is>
          <t>2026-03-06</t>
        </is>
      </c>
      <c r="B2962" s="3" t="inlineStr">
        <is>
          <t>페니트리움바이오</t>
        </is>
      </c>
      <c r="C2962" s="2" t="inlineStr">
        <is>
          <t>코스닥</t>
        </is>
      </c>
      <c r="D2962" s="2" t="inlineStr">
        <is>
          <t>187660</t>
        </is>
      </c>
      <c r="E2962" s="3" t="inlineStr">
        <is>
          <t xml:space="preserve">상호변경안내              </t>
        </is>
      </c>
      <c r="F2962" s="3" t="inlineStr">
        <is>
          <t>페니트리움바이오</t>
        </is>
      </c>
      <c r="G2962" s="2" t="inlineStr">
        <is>
          <t>20260306901272</t>
        </is>
      </c>
      <c r="H2962" s="8">
        <f>HYPERLINK("https://dart.fss.or.kr/dsaf001/main.do?rcpNo=20260306901272", "공시열람")</f>
        <v/>
      </c>
    </row>
    <row r="2963">
      <c r="A2963" s="2" t="inlineStr">
        <is>
          <t>2026-03-06</t>
        </is>
      </c>
      <c r="B2963" s="3" t="inlineStr">
        <is>
          <t>지어소프트</t>
        </is>
      </c>
      <c r="C2963" s="2" t="inlineStr">
        <is>
          <t>코스닥</t>
        </is>
      </c>
      <c r="D2963" s="2" t="inlineStr">
        <is>
          <t>051160</t>
        </is>
      </c>
      <c r="E2963" s="3" t="inlineStr">
        <is>
          <t xml:space="preserve">매출액또는손익구조30%(대규모법인은15%)이상변동              </t>
        </is>
      </c>
      <c r="F2963" s="3" t="inlineStr">
        <is>
          <t>지어소프트</t>
        </is>
      </c>
      <c r="G2963" s="2" t="inlineStr">
        <is>
          <t>20260306900967</t>
        </is>
      </c>
      <c r="H2963" s="8">
        <f>HYPERLINK("https://dart.fss.or.kr/dsaf001/main.do?rcpNo=20260306900967", "공시열람")</f>
        <v/>
      </c>
    </row>
    <row r="2964">
      <c r="A2964" s="2" t="inlineStr">
        <is>
          <t>2026-03-06</t>
        </is>
      </c>
      <c r="B2964" s="3" t="inlineStr">
        <is>
          <t>성신양회</t>
        </is>
      </c>
      <c r="C2964" s="2" t="inlineStr">
        <is>
          <t>코스피</t>
        </is>
      </c>
      <c r="D2964" s="2" t="inlineStr">
        <is>
          <t>004980</t>
        </is>
      </c>
      <c r="E2964" s="3" t="inlineStr">
        <is>
          <t>의결권대리행사권유참고서류</t>
        </is>
      </c>
      <c r="F2964" s="3" t="inlineStr">
        <is>
          <t>성신양회</t>
        </is>
      </c>
      <c r="G2964" s="2" t="inlineStr">
        <is>
          <t>20260306000775</t>
        </is>
      </c>
      <c r="H2964" s="8">
        <f>HYPERLINK("https://dart.fss.or.kr/dsaf001/main.do?rcpNo=20260306000775", "공시열람")</f>
        <v/>
      </c>
    </row>
    <row r="2965">
      <c r="A2965" s="2" t="inlineStr">
        <is>
          <t>2026-03-06</t>
        </is>
      </c>
      <c r="B2965" s="3" t="inlineStr">
        <is>
          <t>캔버스엔</t>
        </is>
      </c>
      <c r="C2965" s="2" t="inlineStr">
        <is>
          <t>코스닥</t>
        </is>
      </c>
      <c r="D2965" s="2" t="inlineStr">
        <is>
          <t>210120</t>
        </is>
      </c>
      <c r="E2965" s="3" t="inlineStr">
        <is>
          <t>투자판단관련주요경영사항              (경영지배인 해임의 건)</t>
        </is>
      </c>
      <c r="F2965" s="3" t="inlineStr">
        <is>
          <t>캔버스엔</t>
        </is>
      </c>
      <c r="G2965" s="2" t="inlineStr">
        <is>
          <t>20260306901086</t>
        </is>
      </c>
      <c r="H2965" s="8">
        <f>HYPERLINK("https://dart.fss.or.kr/dsaf001/main.do?rcpNo=20260306901086", "공시열람")</f>
        <v/>
      </c>
    </row>
    <row r="2966">
      <c r="A2966" s="2" t="inlineStr">
        <is>
          <t>2026-03-06</t>
        </is>
      </c>
      <c r="B2966" s="3" t="inlineStr">
        <is>
          <t>제노레이</t>
        </is>
      </c>
      <c r="C2966" s="2" t="inlineStr">
        <is>
          <t>코스닥</t>
        </is>
      </c>
      <c r="D2966" s="2" t="inlineStr">
        <is>
          <t>122310</t>
        </is>
      </c>
      <c r="E2966" s="3" t="inlineStr">
        <is>
          <t>의결권대리행사권유참고서류</t>
        </is>
      </c>
      <c r="F2966" s="3" t="inlineStr">
        <is>
          <t>제노레이</t>
        </is>
      </c>
      <c r="G2966" s="2" t="inlineStr">
        <is>
          <t>20260306000774</t>
        </is>
      </c>
      <c r="H2966" s="8">
        <f>HYPERLINK("https://dart.fss.or.kr/dsaf001/main.do?rcpNo=20260306000774", "공시열람")</f>
        <v/>
      </c>
    </row>
    <row r="2967">
      <c r="A2967" s="2" t="inlineStr">
        <is>
          <t>2026-03-06</t>
        </is>
      </c>
      <c r="B2967" s="3" t="inlineStr">
        <is>
          <t>에코글로우</t>
        </is>
      </c>
      <c r="C2967" s="2" t="inlineStr">
        <is>
          <t>코스닥</t>
        </is>
      </c>
      <c r="D2967" s="2" t="inlineStr">
        <is>
          <t>159910</t>
        </is>
      </c>
      <c r="E2967" s="3" t="inlineStr">
        <is>
          <t>임원ㆍ주요주주특정증권등소유상황보고서</t>
        </is>
      </c>
      <c r="F2967" s="3" t="inlineStr">
        <is>
          <t>조승용</t>
        </is>
      </c>
      <c r="G2967" s="2" t="inlineStr">
        <is>
          <t>20260306000772</t>
        </is>
      </c>
      <c r="H2967" s="8">
        <f>HYPERLINK("https://dart.fss.or.kr/dsaf001/main.do?rcpNo=20260306000772", "공시열람")</f>
        <v/>
      </c>
    </row>
    <row r="2968">
      <c r="A2968" s="2" t="inlineStr">
        <is>
          <t>2026-03-06</t>
        </is>
      </c>
      <c r="B2968" s="3" t="inlineStr">
        <is>
          <t>켐트로닉스</t>
        </is>
      </c>
      <c r="C2968" s="2" t="inlineStr">
        <is>
          <t>코스닥</t>
        </is>
      </c>
      <c r="D2968" s="2" t="inlineStr">
        <is>
          <t>089010</t>
        </is>
      </c>
      <c r="E2968" s="3" t="inlineStr">
        <is>
          <t>주요사항보고서(전환주식매수선택권행사자지정)</t>
        </is>
      </c>
      <c r="F2968" s="3" t="inlineStr">
        <is>
          <t>켐트로닉스</t>
        </is>
      </c>
      <c r="G2968" s="2" t="inlineStr">
        <is>
          <t>20260306000766</t>
        </is>
      </c>
      <c r="H2968" s="8">
        <f>HYPERLINK("https://dart.fss.or.kr/dsaf001/main.do?rcpNo=20260306000766", "공시열람")</f>
        <v/>
      </c>
    </row>
    <row r="2969">
      <c r="A2969" s="2" t="inlineStr">
        <is>
          <t>2026-03-06</t>
        </is>
      </c>
      <c r="B2969" s="3" t="inlineStr">
        <is>
          <t>SK증권</t>
        </is>
      </c>
      <c r="C2969" s="2" t="inlineStr">
        <is>
          <t>코스피</t>
        </is>
      </c>
      <c r="D2969" s="2" t="inlineStr">
        <is>
          <t>001510</t>
        </is>
      </c>
      <c r="E2969" s="3" t="inlineStr">
        <is>
          <t>증권발행실적보고서</t>
        </is>
      </c>
      <c r="F2969" s="3" t="inlineStr">
        <is>
          <t>SK증권</t>
        </is>
      </c>
      <c r="G2969" s="2" t="inlineStr">
        <is>
          <t>20260306000764</t>
        </is>
      </c>
      <c r="H2969" s="8">
        <f>HYPERLINK("https://dart.fss.or.kr/dsaf001/main.do?rcpNo=20260306000764", "공시열람")</f>
        <v/>
      </c>
    </row>
    <row r="2970">
      <c r="A2970" s="2" t="inlineStr">
        <is>
          <t>2026-03-06</t>
        </is>
      </c>
      <c r="B2970" s="3" t="inlineStr">
        <is>
          <t>SYTS</t>
        </is>
      </c>
      <c r="C2970" s="2" t="inlineStr">
        <is>
          <t>코스피</t>
        </is>
      </c>
      <c r="D2970" s="2" t="inlineStr">
        <is>
          <t>002170</t>
        </is>
      </c>
      <c r="E2970" s="3" t="inlineStr">
        <is>
          <t xml:space="preserve">현금ㆍ현물배당결정              </t>
        </is>
      </c>
      <c r="F2970" s="3" t="inlineStr">
        <is>
          <t>SYTS</t>
        </is>
      </c>
      <c r="G2970" s="2" t="inlineStr">
        <is>
          <t>20260306801242</t>
        </is>
      </c>
      <c r="H2970" s="8">
        <f>HYPERLINK("https://dart.fss.or.kr/dsaf001/main.do?rcpNo=20260306801242", "공시열람")</f>
        <v/>
      </c>
    </row>
    <row r="2971">
      <c r="A2971" s="2" t="inlineStr">
        <is>
          <t>2026-03-06</t>
        </is>
      </c>
      <c r="B2971" s="3" t="inlineStr">
        <is>
          <t>KT지니뮤직</t>
        </is>
      </c>
      <c r="C2971" s="2" t="inlineStr">
        <is>
          <t>코스닥</t>
        </is>
      </c>
      <c r="D2971" s="2" t="inlineStr">
        <is>
          <t>043610</t>
        </is>
      </c>
      <c r="E2971" s="3" t="inlineStr">
        <is>
          <t xml:space="preserve">감사보고서제출              </t>
        </is>
      </c>
      <c r="F2971" s="3" t="inlineStr">
        <is>
          <t>KT지니뮤직</t>
        </is>
      </c>
      <c r="G2971" s="2" t="inlineStr">
        <is>
          <t>20260306901183</t>
        </is>
      </c>
      <c r="H2971" s="8">
        <f>HYPERLINK("https://dart.fss.or.kr/dsaf001/main.do?rcpNo=20260306901183", "공시열람")</f>
        <v/>
      </c>
    </row>
    <row r="2972">
      <c r="A2972" s="2" t="inlineStr">
        <is>
          <t>2026-03-06</t>
        </is>
      </c>
      <c r="B2972" s="3" t="inlineStr">
        <is>
          <t>아미노로직스</t>
        </is>
      </c>
      <c r="C2972" s="2" t="inlineStr">
        <is>
          <t>코스닥</t>
        </is>
      </c>
      <c r="D2972" s="2" t="inlineStr">
        <is>
          <t>074430</t>
        </is>
      </c>
      <c r="E2972" s="3" t="inlineStr">
        <is>
          <t xml:space="preserve">[기재정정]매출액또는손익구조30%(대규모법인은15%)이상변동              </t>
        </is>
      </c>
      <c r="F2972" s="3" t="inlineStr">
        <is>
          <t>아미노로직스</t>
        </is>
      </c>
      <c r="G2972" s="2" t="inlineStr">
        <is>
          <t>20260306900906</t>
        </is>
      </c>
      <c r="H2972" s="8">
        <f>HYPERLINK("https://dart.fss.or.kr/dsaf001/main.do?rcpNo=20260306900906", "공시열람")</f>
        <v/>
      </c>
    </row>
    <row r="2973">
      <c r="A2973" s="2" t="inlineStr">
        <is>
          <t>2026-03-06</t>
        </is>
      </c>
      <c r="B2973" s="3" t="inlineStr">
        <is>
          <t>SG&amp;G</t>
        </is>
      </c>
      <c r="C2973" s="2" t="inlineStr">
        <is>
          <t>코스닥</t>
        </is>
      </c>
      <c r="D2973" s="2" t="inlineStr">
        <is>
          <t>040610</t>
        </is>
      </c>
      <c r="E2973" s="3" t="inlineStr">
        <is>
          <t xml:space="preserve">매출액또는손익구조30%(대규모법인은15%)이상변동              </t>
        </is>
      </c>
      <c r="F2973" s="3" t="inlineStr">
        <is>
          <t>SG&amp;G</t>
        </is>
      </c>
      <c r="G2973" s="2" t="inlineStr">
        <is>
          <t>20260306901193</t>
        </is>
      </c>
      <c r="H2973" s="8">
        <f>HYPERLINK("https://dart.fss.or.kr/dsaf001/main.do?rcpNo=20260306901193", "공시열람")</f>
        <v/>
      </c>
    </row>
    <row r="2974">
      <c r="A2974" s="2" t="inlineStr">
        <is>
          <t>2026-03-06</t>
        </is>
      </c>
      <c r="B2974" s="3" t="inlineStr">
        <is>
          <t>쎄트렉아이</t>
        </is>
      </c>
      <c r="C2974" s="2" t="inlineStr">
        <is>
          <t>코스닥</t>
        </is>
      </c>
      <c r="D2974" s="2" t="inlineStr">
        <is>
          <t>099320</t>
        </is>
      </c>
      <c r="E2974" s="3" t="inlineStr">
        <is>
          <t xml:space="preserve">감사보고서제출              </t>
        </is>
      </c>
      <c r="F2974" s="3" t="inlineStr">
        <is>
          <t>쎄트렉아이</t>
        </is>
      </c>
      <c r="G2974" s="2" t="inlineStr">
        <is>
          <t>20260306901006</t>
        </is>
      </c>
      <c r="H2974" s="8">
        <f>HYPERLINK("https://dart.fss.or.kr/dsaf001/main.do?rcpNo=20260306901006", "공시열람")</f>
        <v/>
      </c>
    </row>
    <row r="2975">
      <c r="A2975" s="2" t="inlineStr">
        <is>
          <t>2026-03-06</t>
        </is>
      </c>
      <c r="B2975" s="3" t="inlineStr">
        <is>
          <t>CJ대한통운</t>
        </is>
      </c>
      <c r="C2975" s="2" t="inlineStr">
        <is>
          <t>코스피</t>
        </is>
      </c>
      <c r="D2975" s="2" t="inlineStr">
        <is>
          <t>000120</t>
        </is>
      </c>
      <c r="E2975" s="3" t="inlineStr">
        <is>
          <t xml:space="preserve">기업설명회(IR)개최(안내공시)              </t>
        </is>
      </c>
      <c r="F2975" s="3" t="inlineStr">
        <is>
          <t>CJ대한통운</t>
        </is>
      </c>
      <c r="G2975" s="2" t="inlineStr">
        <is>
          <t>20260306801219</t>
        </is>
      </c>
      <c r="H2975" s="8">
        <f>HYPERLINK("https://dart.fss.or.kr/dsaf001/main.do?rcpNo=20260306801219", "공시열람")</f>
        <v/>
      </c>
    </row>
    <row r="2976">
      <c r="A2976" s="2" t="inlineStr">
        <is>
          <t>2026-03-06</t>
        </is>
      </c>
      <c r="B2976" s="3" t="inlineStr">
        <is>
          <t>미래에셋비전스팩4호</t>
        </is>
      </c>
      <c r="C2976" s="2" t="inlineStr">
        <is>
          <t>코스닥</t>
        </is>
      </c>
      <c r="D2976" s="2" t="inlineStr">
        <is>
          <t>477380</t>
        </is>
      </c>
      <c r="E2976" s="3" t="inlineStr">
        <is>
          <t xml:space="preserve">감사보고서제출              </t>
        </is>
      </c>
      <c r="F2976" s="3" t="inlineStr">
        <is>
          <t>미래에셋비전스팩4호</t>
        </is>
      </c>
      <c r="G2976" s="2" t="inlineStr">
        <is>
          <t>20260306900937</t>
        </is>
      </c>
      <c r="H2976" s="8">
        <f>HYPERLINK("https://dart.fss.or.kr/dsaf001/main.do?rcpNo=20260306900937", "공시열람")</f>
        <v/>
      </c>
    </row>
    <row r="2977">
      <c r="A2977" s="2" t="inlineStr">
        <is>
          <t>2026-03-06</t>
        </is>
      </c>
      <c r="B2977" s="3" t="inlineStr">
        <is>
          <t>코퍼스코리아</t>
        </is>
      </c>
      <c r="C2977" s="2" t="inlineStr">
        <is>
          <t>코스닥</t>
        </is>
      </c>
      <c r="D2977" s="2" t="inlineStr">
        <is>
          <t>322780</t>
        </is>
      </c>
      <c r="E2977" s="3" t="inlineStr">
        <is>
          <t xml:space="preserve">전환청구권행사              </t>
        </is>
      </c>
      <c r="F2977" s="3" t="inlineStr">
        <is>
          <t>코퍼스코리아</t>
        </is>
      </c>
      <c r="G2977" s="2" t="inlineStr">
        <is>
          <t>20260306901229</t>
        </is>
      </c>
      <c r="H2977" s="8">
        <f>HYPERLINK("https://dart.fss.or.kr/dsaf001/main.do?rcpNo=20260306901229", "공시열람")</f>
        <v/>
      </c>
    </row>
    <row r="2978">
      <c r="A2978" s="2" t="inlineStr">
        <is>
          <t>2026-03-06</t>
        </is>
      </c>
      <c r="B2978" s="3" t="inlineStr">
        <is>
          <t>SYTS</t>
        </is>
      </c>
      <c r="C2978" s="2" t="inlineStr">
        <is>
          <t>코스피</t>
        </is>
      </c>
      <c r="D2978" s="2" t="inlineStr">
        <is>
          <t>002170</t>
        </is>
      </c>
      <c r="E2978" s="3" t="inlineStr">
        <is>
          <t xml:space="preserve">현금ㆍ현물배당을위한주주명부폐쇄(기준일)결정              </t>
        </is>
      </c>
      <c r="F2978" s="3" t="inlineStr">
        <is>
          <t>SYTS</t>
        </is>
      </c>
      <c r="G2978" s="2" t="inlineStr">
        <is>
          <t>20260306801228</t>
        </is>
      </c>
      <c r="H2978" s="8">
        <f>HYPERLINK("https://dart.fss.or.kr/dsaf001/main.do?rcpNo=20260306801228", "공시열람")</f>
        <v/>
      </c>
    </row>
    <row r="2979">
      <c r="A2979" s="2" t="inlineStr">
        <is>
          <t>2026-03-06</t>
        </is>
      </c>
      <c r="B2979" s="3" t="inlineStr">
        <is>
          <t>OCI</t>
        </is>
      </c>
      <c r="C2979" s="2" t="inlineStr">
        <is>
          <t>코스피</t>
        </is>
      </c>
      <c r="D2979" s="2" t="inlineStr">
        <is>
          <t>456040</t>
        </is>
      </c>
      <c r="E2979" s="3" t="inlineStr">
        <is>
          <t>의결권대리행사권유참고서류</t>
        </is>
      </c>
      <c r="F2979" s="3" t="inlineStr">
        <is>
          <t>OCI</t>
        </is>
      </c>
      <c r="G2979" s="2" t="inlineStr">
        <is>
          <t>20260306000757</t>
        </is>
      </c>
      <c r="H2979" s="8">
        <f>HYPERLINK("https://dart.fss.or.kr/dsaf001/main.do?rcpNo=20260306000757", "공시열람")</f>
        <v/>
      </c>
    </row>
    <row r="2980">
      <c r="A2980" s="2" t="inlineStr">
        <is>
          <t>2026-03-06</t>
        </is>
      </c>
      <c r="B2980" s="3" t="inlineStr">
        <is>
          <t>제노레이</t>
        </is>
      </c>
      <c r="C2980" s="2" t="inlineStr">
        <is>
          <t>코스닥</t>
        </is>
      </c>
      <c r="D2980" s="2" t="inlineStr">
        <is>
          <t>122310</t>
        </is>
      </c>
      <c r="E2980" s="3" t="inlineStr">
        <is>
          <t xml:space="preserve">주주명부폐쇄기간또는기준일설정              </t>
        </is>
      </c>
      <c r="F2980" s="3" t="inlineStr">
        <is>
          <t>제노레이</t>
        </is>
      </c>
      <c r="G2980" s="2" t="inlineStr">
        <is>
          <t>20260306901218</t>
        </is>
      </c>
      <c r="H2980" s="8">
        <f>HYPERLINK("https://dart.fss.or.kr/dsaf001/main.do?rcpNo=20260306901218", "공시열람")</f>
        <v/>
      </c>
    </row>
    <row r="2981">
      <c r="A2981" s="2" t="inlineStr">
        <is>
          <t>2026-03-06</t>
        </is>
      </c>
      <c r="B2981" s="3" t="inlineStr">
        <is>
          <t>미래에셋벤처투자</t>
        </is>
      </c>
      <c r="C2981" s="2" t="inlineStr">
        <is>
          <t>코스닥</t>
        </is>
      </c>
      <c r="D2981" s="2" t="inlineStr">
        <is>
          <t>100790</t>
        </is>
      </c>
      <c r="E2981" s="3" t="inlineStr">
        <is>
          <t>의결권대리행사권유참고서류</t>
        </is>
      </c>
      <c r="F2981" s="3" t="inlineStr">
        <is>
          <t>미래에셋벤처투자</t>
        </is>
      </c>
      <c r="G2981" s="2" t="inlineStr">
        <is>
          <t>20260306000753</t>
        </is>
      </c>
      <c r="H2981" s="8">
        <f>HYPERLINK("https://dart.fss.or.kr/dsaf001/main.do?rcpNo=20260306000753", "공시열람")</f>
        <v/>
      </c>
    </row>
    <row r="2982">
      <c r="A2982" s="2" t="inlineStr">
        <is>
          <t>2026-03-06</t>
        </is>
      </c>
      <c r="B2982" s="3" t="inlineStr">
        <is>
          <t>대덕</t>
        </is>
      </c>
      <c r="C2982" s="2" t="inlineStr">
        <is>
          <t>코스피</t>
        </is>
      </c>
      <c r="D2982" s="2" t="inlineStr">
        <is>
          <t>008060</t>
        </is>
      </c>
      <c r="E2982" s="3" t="inlineStr">
        <is>
          <t>임원ㆍ주요주주특정증권등소유상황보고서</t>
        </is>
      </c>
      <c r="F2982" s="3" t="inlineStr">
        <is>
          <t>김영재</t>
        </is>
      </c>
      <c r="G2982" s="2" t="inlineStr">
        <is>
          <t>20260306000751</t>
        </is>
      </c>
      <c r="H2982" s="8">
        <f>HYPERLINK("https://dart.fss.or.kr/dsaf001/main.do?rcpNo=20260306000751", "공시열람")</f>
        <v/>
      </c>
    </row>
    <row r="2983">
      <c r="A2983" s="2" t="inlineStr">
        <is>
          <t>2026-02-03 (정정: 2026-03-06)</t>
        </is>
      </c>
      <c r="B2983" s="3" t="inlineStr">
        <is>
          <t>와이솔</t>
        </is>
      </c>
      <c r="C2983" s="2" t="inlineStr">
        <is>
          <t>코스닥</t>
        </is>
      </c>
      <c r="D2983" s="2" t="inlineStr">
        <is>
          <t>122990</t>
        </is>
      </c>
      <c r="E2983" s="3" t="inlineStr">
        <is>
          <t xml:space="preserve">[기재정정]매출액또는손익구조30%(대규모법인은15%)이상변동              </t>
        </is>
      </c>
      <c r="F2983" s="3" t="inlineStr">
        <is>
          <t>와이솔</t>
        </is>
      </c>
      <c r="G2983" s="2" t="inlineStr">
        <is>
          <t>20260306901083</t>
        </is>
      </c>
      <c r="H2983" s="8">
        <f>HYPERLINK("https://dart.fss.or.kr/dsaf001/main.do?rcpNo=20260306901083", "공시열람")</f>
        <v/>
      </c>
    </row>
    <row r="2984">
      <c r="A2984" s="2" t="inlineStr">
        <is>
          <t>2026-03-06</t>
        </is>
      </c>
      <c r="B2984" s="3" t="inlineStr">
        <is>
          <t>기업은행</t>
        </is>
      </c>
      <c r="C2984" s="2" t="inlineStr">
        <is>
          <t>코스피</t>
        </is>
      </c>
      <c r="D2984" s="2" t="inlineStr">
        <is>
          <t>024110</t>
        </is>
      </c>
      <c r="E2984" s="3" t="inlineStr">
        <is>
          <t xml:space="preserve">현금ㆍ현물배당결정              </t>
        </is>
      </c>
      <c r="F2984" s="3" t="inlineStr">
        <is>
          <t>기업은행</t>
        </is>
      </c>
      <c r="G2984" s="2" t="inlineStr">
        <is>
          <t>20260306801203</t>
        </is>
      </c>
      <c r="H2984" s="8">
        <f>HYPERLINK("https://dart.fss.or.kr/dsaf001/main.do?rcpNo=20260306801203", "공시열람")</f>
        <v/>
      </c>
    </row>
    <row r="2985">
      <c r="A2985" s="2" t="inlineStr">
        <is>
          <t>2026-03-06</t>
        </is>
      </c>
      <c r="B2985" s="3" t="inlineStr">
        <is>
          <t>우리손에프앤지</t>
        </is>
      </c>
      <c r="C2985" s="2" t="inlineStr">
        <is>
          <t>코스닥</t>
        </is>
      </c>
      <c r="D2985" s="2" t="inlineStr">
        <is>
          <t>073560</t>
        </is>
      </c>
      <c r="E2985" s="3" t="inlineStr">
        <is>
          <t xml:space="preserve">배당락              </t>
        </is>
      </c>
      <c r="F2985" s="3" t="inlineStr">
        <is>
          <t>코스닥시장본부</t>
        </is>
      </c>
      <c r="G2985" s="2" t="inlineStr">
        <is>
          <t>20260306901194</t>
        </is>
      </c>
      <c r="H2985" s="8">
        <f>HYPERLINK("https://dart.fss.or.kr/dsaf001/main.do?rcpNo=20260306901194", "공시열람")</f>
        <v/>
      </c>
    </row>
    <row r="2986">
      <c r="A2986" s="2" t="inlineStr">
        <is>
          <t>2026-03-06</t>
        </is>
      </c>
      <c r="B2986" s="3" t="inlineStr">
        <is>
          <t>무림SP</t>
        </is>
      </c>
      <c r="C2986" s="2" t="inlineStr">
        <is>
          <t>코스닥</t>
        </is>
      </c>
      <c r="D2986" s="2" t="inlineStr">
        <is>
          <t>001810</t>
        </is>
      </c>
      <c r="E2986" s="3" t="inlineStr">
        <is>
          <t xml:space="preserve">배당락              </t>
        </is>
      </c>
      <c r="F2986" s="3" t="inlineStr">
        <is>
          <t>코스닥시장본부</t>
        </is>
      </c>
      <c r="G2986" s="2" t="inlineStr">
        <is>
          <t>20260306901190</t>
        </is>
      </c>
      <c r="H2986" s="8">
        <f>HYPERLINK("https://dart.fss.or.kr/dsaf001/main.do?rcpNo=20260306901190", "공시열람")</f>
        <v/>
      </c>
    </row>
    <row r="2987">
      <c r="A2987" s="2" t="inlineStr">
        <is>
          <t>2026-03-06</t>
        </is>
      </c>
      <c r="B2987" s="3" t="inlineStr">
        <is>
          <t>이지바이오</t>
        </is>
      </c>
      <c r="C2987" s="2" t="inlineStr">
        <is>
          <t>코스닥</t>
        </is>
      </c>
      <c r="D2987" s="2" t="inlineStr">
        <is>
          <t>353810</t>
        </is>
      </c>
      <c r="E2987" s="3" t="inlineStr">
        <is>
          <t xml:space="preserve">배당락              </t>
        </is>
      </c>
      <c r="F2987" s="3" t="inlineStr">
        <is>
          <t>코스닥시장본부</t>
        </is>
      </c>
      <c r="G2987" s="2" t="inlineStr">
        <is>
          <t>20260306901186</t>
        </is>
      </c>
      <c r="H2987" s="8">
        <f>HYPERLINK("https://dart.fss.or.kr/dsaf001/main.do?rcpNo=20260306901186", "공시열람")</f>
        <v/>
      </c>
    </row>
    <row r="2988">
      <c r="A2988" s="2" t="inlineStr">
        <is>
          <t>2026-03-06</t>
        </is>
      </c>
      <c r="B2988" s="3" t="inlineStr">
        <is>
          <t>팜스토리</t>
        </is>
      </c>
      <c r="C2988" s="2" t="inlineStr">
        <is>
          <t>코스닥</t>
        </is>
      </c>
      <c r="D2988" s="2" t="inlineStr">
        <is>
          <t>027710</t>
        </is>
      </c>
      <c r="E2988" s="3" t="inlineStr">
        <is>
          <t xml:space="preserve">배당락              </t>
        </is>
      </c>
      <c r="F2988" s="3" t="inlineStr">
        <is>
          <t>코스닥시장본부</t>
        </is>
      </c>
      <c r="G2988" s="2" t="inlineStr">
        <is>
          <t>20260306901185</t>
        </is>
      </c>
      <c r="H2988" s="8">
        <f>HYPERLINK("https://dart.fss.or.kr/dsaf001/main.do?rcpNo=20260306901185", "공시열람")</f>
        <v/>
      </c>
    </row>
    <row r="2989">
      <c r="A2989" s="2" t="inlineStr">
        <is>
          <t>2026-03-06</t>
        </is>
      </c>
      <c r="B2989" s="3" t="inlineStr">
        <is>
          <t>정다운</t>
        </is>
      </c>
      <c r="C2989" s="2" t="inlineStr">
        <is>
          <t>코스닥</t>
        </is>
      </c>
      <c r="D2989" s="2" t="inlineStr">
        <is>
          <t>208140</t>
        </is>
      </c>
      <c r="E2989" s="3" t="inlineStr">
        <is>
          <t xml:space="preserve">배당락              </t>
        </is>
      </c>
      <c r="F2989" s="3" t="inlineStr">
        <is>
          <t>코스닥시장본부</t>
        </is>
      </c>
      <c r="G2989" s="2" t="inlineStr">
        <is>
          <t>20260306901181</t>
        </is>
      </c>
      <c r="H2989" s="8">
        <f>HYPERLINK("https://dart.fss.or.kr/dsaf001/main.do?rcpNo=20260306901181", "공시열람")</f>
        <v/>
      </c>
    </row>
    <row r="2990">
      <c r="A2990" s="2" t="inlineStr">
        <is>
          <t>2026-03-06</t>
        </is>
      </c>
      <c r="B2990" s="3" t="inlineStr">
        <is>
          <t>이지홀딩스</t>
        </is>
      </c>
      <c r="C2990" s="2" t="inlineStr">
        <is>
          <t>코스닥</t>
        </is>
      </c>
      <c r="D2990" s="2" t="inlineStr">
        <is>
          <t>035810</t>
        </is>
      </c>
      <c r="E2990" s="3" t="inlineStr">
        <is>
          <t xml:space="preserve">배당락              </t>
        </is>
      </c>
      <c r="F2990" s="3" t="inlineStr">
        <is>
          <t>코스닥시장본부</t>
        </is>
      </c>
      <c r="G2990" s="2" t="inlineStr">
        <is>
          <t>20260306901176</t>
        </is>
      </c>
      <c r="H2990" s="8">
        <f>HYPERLINK("https://dart.fss.or.kr/dsaf001/main.do?rcpNo=20260306901176", "공시열람")</f>
        <v/>
      </c>
    </row>
    <row r="2991">
      <c r="A2991" s="2" t="inlineStr">
        <is>
          <t>2026-03-06</t>
        </is>
      </c>
      <c r="B2991" s="3" t="inlineStr">
        <is>
          <t>기업은행</t>
        </is>
      </c>
      <c r="C2991" s="2" t="inlineStr">
        <is>
          <t>코스피</t>
        </is>
      </c>
      <c r="D2991" s="2" t="inlineStr">
        <is>
          <t>024110</t>
        </is>
      </c>
      <c r="E2991" s="3" t="inlineStr">
        <is>
          <t xml:space="preserve">현금ㆍ현물배당을위한주주명부폐쇄(기준일)결정              </t>
        </is>
      </c>
      <c r="F2991" s="3" t="inlineStr">
        <is>
          <t>기업은행</t>
        </is>
      </c>
      <c r="G2991" s="2" t="inlineStr">
        <is>
          <t>20260306801199</t>
        </is>
      </c>
      <c r="H2991" s="8">
        <f>HYPERLINK("https://dart.fss.or.kr/dsaf001/main.do?rcpNo=20260306801199", "공시열람")</f>
        <v/>
      </c>
    </row>
    <row r="2992">
      <c r="A2992" s="2" t="inlineStr">
        <is>
          <t>2026-03-06 (정정: 2026-03-13)</t>
        </is>
      </c>
      <c r="B2992" s="3" t="inlineStr">
        <is>
          <t>우리금융지주</t>
        </is>
      </c>
      <c r="C2992" s="2" t="inlineStr">
        <is>
          <t>코스피</t>
        </is>
      </c>
      <c r="D2992" s="2" t="inlineStr">
        <is>
          <t>316140</t>
        </is>
      </c>
      <c r="E2992" s="3" t="inlineStr">
        <is>
          <t>증권발행실적보고서 (정정: 20260313)</t>
        </is>
      </c>
      <c r="F2992" s="3" t="inlineStr">
        <is>
          <t>우리금융지주</t>
        </is>
      </c>
      <c r="G2992" s="2" t="inlineStr">
        <is>
          <t>20260313001256</t>
        </is>
      </c>
      <c r="H2992" s="8">
        <f>HYPERLINK("https://dart.fss.or.kr/dsaf001/main.do?rcpNo=20260313001256", "공시열람")</f>
        <v/>
      </c>
    </row>
    <row r="2993">
      <c r="A2993" s="2" t="inlineStr">
        <is>
          <t>2026-03-06 (정정: 2026-04-16)</t>
        </is>
      </c>
      <c r="B2993" s="3" t="inlineStr">
        <is>
          <t>동성제약</t>
        </is>
      </c>
      <c r="C2993" s="2" t="inlineStr">
        <is>
          <t>코스피</t>
        </is>
      </c>
      <c r="D2993" s="2" t="inlineStr">
        <is>
          <t>002210</t>
        </is>
      </c>
      <c r="E2993" s="3" t="inlineStr">
        <is>
          <t>[기재정정]투자판단관련주요경영사항               (정정: 20260416)</t>
        </is>
      </c>
      <c r="F2993" s="3" t="inlineStr">
        <is>
          <t>동성제약</t>
        </is>
      </c>
      <c r="G2993" s="2" t="inlineStr">
        <is>
          <t>20260415000699</t>
        </is>
      </c>
      <c r="H2993" s="8">
        <f>HYPERLINK("https://dart.fss.or.kr/dsaf001/main.do?rcpNo=20260415000699", "공시열람")</f>
        <v/>
      </c>
    </row>
    <row r="2994">
      <c r="A2994" s="2" t="inlineStr">
        <is>
          <t>2026-03-06</t>
        </is>
      </c>
      <c r="B2994" s="3" t="inlineStr">
        <is>
          <t>효성</t>
        </is>
      </c>
      <c r="C2994" s="2" t="inlineStr">
        <is>
          <t>코스피</t>
        </is>
      </c>
      <c r="D2994" s="2" t="inlineStr">
        <is>
          <t>004800</t>
        </is>
      </c>
      <c r="E2994" s="3" t="inlineStr">
        <is>
          <t>임원ㆍ주요주주특정증권등소유상황보고서</t>
        </is>
      </c>
      <c r="F2994" s="3" t="inlineStr">
        <is>
          <t>조현상</t>
        </is>
      </c>
      <c r="G2994" s="2" t="inlineStr">
        <is>
          <t>20260306000745</t>
        </is>
      </c>
      <c r="H2994" s="8">
        <f>HYPERLINK("https://dart.fss.or.kr/dsaf001/main.do?rcpNo=20260306000745", "공시열람")</f>
        <v/>
      </c>
    </row>
    <row r="2995">
      <c r="A2995" s="2" t="inlineStr">
        <is>
          <t>2026-03-06 (정정: 2026-03-12)</t>
        </is>
      </c>
      <c r="B2995" s="3" t="inlineStr">
        <is>
          <t>로지스몬</t>
        </is>
      </c>
      <c r="C2995" s="2" t="inlineStr">
        <is>
          <t>코넥스</t>
        </is>
      </c>
      <c r="D2995" s="2" t="inlineStr">
        <is>
          <t>223220</t>
        </is>
      </c>
      <c r="E2995" s="3" t="inlineStr">
        <is>
          <t>증권발행결과(자율공시)               (정정: 20260312)</t>
        </is>
      </c>
      <c r="F2995" s="3" t="inlineStr">
        <is>
          <t>로지스몬</t>
        </is>
      </c>
      <c r="G2995" s="2" t="inlineStr">
        <is>
          <t>20260312001321</t>
        </is>
      </c>
      <c r="H2995" s="8">
        <f>HYPERLINK("https://dart.fss.or.kr/dsaf001/main.do?rcpNo=20260312001321", "공시열람")</f>
        <v/>
      </c>
    </row>
    <row r="2996">
      <c r="A2996" s="2" t="inlineStr">
        <is>
          <t>2026-03-06</t>
        </is>
      </c>
      <c r="B2996" s="3" t="inlineStr">
        <is>
          <t>미래에셋증권</t>
        </is>
      </c>
      <c r="C2996" s="2" t="inlineStr">
        <is>
          <t>코스피</t>
        </is>
      </c>
      <c r="D2996" s="2" t="inlineStr">
        <is>
          <t>006800</t>
        </is>
      </c>
      <c r="E2996" s="3" t="inlineStr">
        <is>
          <t>임원ㆍ주요주주특정증권등소유상황보고서</t>
        </is>
      </c>
      <c r="F2996" s="3" t="inlineStr">
        <is>
          <t>박광주</t>
        </is>
      </c>
      <c r="G2996" s="2" t="inlineStr">
        <is>
          <t>20260306000743</t>
        </is>
      </c>
      <c r="H2996" s="8">
        <f>HYPERLINK("https://dart.fss.or.kr/dsaf001/main.do?rcpNo=20260306000743", "공시열람")</f>
        <v/>
      </c>
    </row>
    <row r="2997">
      <c r="A2997" s="2" t="inlineStr">
        <is>
          <t>2026-03-06</t>
        </is>
      </c>
      <c r="B2997" s="3" t="inlineStr">
        <is>
          <t>덕성</t>
        </is>
      </c>
      <c r="C2997" s="2" t="inlineStr">
        <is>
          <t>코스피</t>
        </is>
      </c>
      <c r="D2997" s="2" t="inlineStr">
        <is>
          <t>004830</t>
        </is>
      </c>
      <c r="E2997" s="3" t="inlineStr">
        <is>
          <t>의결권대리행사권유참고서류</t>
        </is>
      </c>
      <c r="F2997" s="3" t="inlineStr">
        <is>
          <t>덕성</t>
        </is>
      </c>
      <c r="G2997" s="2" t="inlineStr">
        <is>
          <t>20260306000742</t>
        </is>
      </c>
      <c r="H2997" s="8">
        <f>HYPERLINK("https://dart.fss.or.kr/dsaf001/main.do?rcpNo=20260306000742", "공시열람")</f>
        <v/>
      </c>
    </row>
    <row r="2998">
      <c r="A2998" s="2" t="inlineStr">
        <is>
          <t>2026-03-06</t>
        </is>
      </c>
      <c r="B2998" s="3" t="inlineStr">
        <is>
          <t>미래에셋증권</t>
        </is>
      </c>
      <c r="C2998" s="2" t="inlineStr">
        <is>
          <t>코스피</t>
        </is>
      </c>
      <c r="D2998" s="2" t="inlineStr">
        <is>
          <t>006800</t>
        </is>
      </c>
      <c r="E2998" s="3" t="inlineStr">
        <is>
          <t>임원ㆍ주요주주특정증권등소유상황보고서</t>
        </is>
      </c>
      <c r="F2998" s="3" t="inlineStr">
        <is>
          <t>강성범</t>
        </is>
      </c>
      <c r="G2998" s="2" t="inlineStr">
        <is>
          <t>20260306000741</t>
        </is>
      </c>
      <c r="H2998" s="8">
        <f>HYPERLINK("https://dart.fss.or.kr/dsaf001/main.do?rcpNo=20260306000741", "공시열람")</f>
        <v/>
      </c>
    </row>
    <row r="2999">
      <c r="A2999" s="2" t="inlineStr">
        <is>
          <t>2026-03-06</t>
        </is>
      </c>
      <c r="B2999" s="3" t="inlineStr">
        <is>
          <t>한국화장품제조</t>
        </is>
      </c>
      <c r="C2999" s="2" t="inlineStr">
        <is>
          <t>코스피</t>
        </is>
      </c>
      <c r="D2999" s="2" t="inlineStr">
        <is>
          <t>003350</t>
        </is>
      </c>
      <c r="E2999" s="3" t="inlineStr">
        <is>
          <t>의결권대리행사권유참고서류</t>
        </is>
      </c>
      <c r="F2999" s="3" t="inlineStr">
        <is>
          <t>한국화장품제조</t>
        </is>
      </c>
      <c r="G2999" s="2" t="inlineStr">
        <is>
          <t>20260306000738</t>
        </is>
      </c>
      <c r="H2999" s="8">
        <f>HYPERLINK("https://dart.fss.or.kr/dsaf001/main.do?rcpNo=20260306000738", "공시열람")</f>
        <v/>
      </c>
    </row>
    <row r="3000">
      <c r="A3000" s="2" t="inlineStr">
        <is>
          <t>2026-03-06</t>
        </is>
      </c>
      <c r="B3000" s="3" t="inlineStr">
        <is>
          <t>삼성공조</t>
        </is>
      </c>
      <c r="C3000" s="2" t="inlineStr">
        <is>
          <t>코스피</t>
        </is>
      </c>
      <c r="D3000" s="2" t="inlineStr">
        <is>
          <t>006660</t>
        </is>
      </c>
      <c r="E3000" s="3" t="inlineStr">
        <is>
          <t xml:space="preserve">현금ㆍ현물배당결정              </t>
        </is>
      </c>
      <c r="F3000" s="3" t="inlineStr">
        <is>
          <t>삼성공조</t>
        </is>
      </c>
      <c r="G3000" s="2" t="inlineStr">
        <is>
          <t>20260306801167</t>
        </is>
      </c>
      <c r="H3000" s="8">
        <f>HYPERLINK("https://dart.fss.or.kr/dsaf001/main.do?rcpNo=20260306801167", "공시열람")</f>
        <v/>
      </c>
    </row>
    <row r="3001">
      <c r="A3001" s="2" t="inlineStr">
        <is>
          <t>2026-03-06</t>
        </is>
      </c>
      <c r="B3001" s="3" t="inlineStr">
        <is>
          <t>대동기어</t>
        </is>
      </c>
      <c r="C3001" s="2" t="inlineStr">
        <is>
          <t>코스닥</t>
        </is>
      </c>
      <c r="D3001" s="2" t="inlineStr">
        <is>
          <t>008830</t>
        </is>
      </c>
      <c r="E3001" s="3" t="inlineStr">
        <is>
          <t xml:space="preserve">현금ㆍ현물배당결정              </t>
        </is>
      </c>
      <c r="F3001" s="3" t="inlineStr">
        <is>
          <t>대동기어</t>
        </is>
      </c>
      <c r="G3001" s="2" t="inlineStr">
        <is>
          <t>20260306901037</t>
        </is>
      </c>
      <c r="H3001" s="8">
        <f>HYPERLINK("https://dart.fss.or.kr/dsaf001/main.do?rcpNo=20260306901037", "공시열람")</f>
        <v/>
      </c>
    </row>
    <row r="3002">
      <c r="A3002" s="2" t="inlineStr">
        <is>
          <t>2026-03-06</t>
        </is>
      </c>
      <c r="B3002" s="3" t="inlineStr">
        <is>
          <t>한화에어로스페이스</t>
        </is>
      </c>
      <c r="C3002" s="2" t="inlineStr">
        <is>
          <t>코스피</t>
        </is>
      </c>
      <c r="D3002" s="2" t="inlineStr">
        <is>
          <t>012450</t>
        </is>
      </c>
      <c r="E3002" s="3" t="inlineStr">
        <is>
          <t>임원ㆍ주요주주특정증권등소유상황보고서</t>
        </is>
      </c>
      <c r="F3002" s="3" t="inlineStr">
        <is>
          <t>류광수</t>
        </is>
      </c>
      <c r="G3002" s="2" t="inlineStr">
        <is>
          <t>20260306000736</t>
        </is>
      </c>
      <c r="H3002" s="8">
        <f>HYPERLINK("https://dart.fss.or.kr/dsaf001/main.do?rcpNo=20260306000736", "공시열람")</f>
        <v/>
      </c>
    </row>
    <row r="3003">
      <c r="A3003" s="2" t="inlineStr">
        <is>
          <t>2026-03-06</t>
        </is>
      </c>
      <c r="B3003" s="3" t="inlineStr">
        <is>
          <t>KSS해운</t>
        </is>
      </c>
      <c r="C3003" s="2" t="inlineStr">
        <is>
          <t>코스피</t>
        </is>
      </c>
      <c r="D3003" s="2" t="inlineStr">
        <is>
          <t>044450</t>
        </is>
      </c>
      <c r="E3003" s="3" t="inlineStr">
        <is>
          <t>임원ㆍ주요주주특정증권등소유상황보고서</t>
        </is>
      </c>
      <c r="F3003" s="3" t="inlineStr">
        <is>
          <t>케이에스에스해운우리사주조합</t>
        </is>
      </c>
      <c r="G3003" s="2" t="inlineStr">
        <is>
          <t>20260306000733</t>
        </is>
      </c>
      <c r="H3003" s="8">
        <f>HYPERLINK("https://dart.fss.or.kr/dsaf001/main.do?rcpNo=20260306000733", "공시열람")</f>
        <v/>
      </c>
    </row>
    <row r="3004">
      <c r="A3004" s="2" t="inlineStr">
        <is>
          <t>2026-03-06</t>
        </is>
      </c>
      <c r="B3004" s="3" t="inlineStr">
        <is>
          <t>대동기어</t>
        </is>
      </c>
      <c r="C3004" s="2" t="inlineStr">
        <is>
          <t>코스닥</t>
        </is>
      </c>
      <c r="D3004" s="2" t="inlineStr">
        <is>
          <t>008830</t>
        </is>
      </c>
      <c r="E3004" s="3" t="inlineStr">
        <is>
          <t xml:space="preserve">매출액또는손익구조30%(대규모법인은15%)이상변동              </t>
        </is>
      </c>
      <c r="F3004" s="3" t="inlineStr">
        <is>
          <t>대동기어</t>
        </is>
      </c>
      <c r="G3004" s="2" t="inlineStr">
        <is>
          <t>20260306901029</t>
        </is>
      </c>
      <c r="H3004" s="8">
        <f>HYPERLINK("https://dart.fss.or.kr/dsaf001/main.do?rcpNo=20260306901029", "공시열람")</f>
        <v/>
      </c>
    </row>
    <row r="3005">
      <c r="A3005" s="2" t="inlineStr">
        <is>
          <t>2026-03-06</t>
        </is>
      </c>
      <c r="B3005" s="3" t="inlineStr">
        <is>
          <t>대신증권</t>
        </is>
      </c>
      <c r="C3005" s="2" t="inlineStr">
        <is>
          <t>코스피</t>
        </is>
      </c>
      <c r="D3005" s="2" t="inlineStr">
        <is>
          <t>003540</t>
        </is>
      </c>
      <c r="E3005" s="3" t="inlineStr">
        <is>
          <t>일괄신고추가서류(기타파생결합사채)</t>
        </is>
      </c>
      <c r="F3005" s="3" t="inlineStr">
        <is>
          <t>대신증권</t>
        </is>
      </c>
      <c r="G3005" s="2" t="inlineStr">
        <is>
          <t>20260306000732</t>
        </is>
      </c>
      <c r="H3005" s="8">
        <f>HYPERLINK("https://dart.fss.or.kr/dsaf001/main.do?rcpNo=20260306000732", "공시열람")</f>
        <v/>
      </c>
    </row>
    <row r="3006">
      <c r="A3006" s="2" t="inlineStr">
        <is>
          <t>2026-03-06</t>
        </is>
      </c>
      <c r="B3006" s="3" t="inlineStr">
        <is>
          <t>미래에셋증권</t>
        </is>
      </c>
      <c r="C3006" s="2" t="inlineStr">
        <is>
          <t>코스피</t>
        </is>
      </c>
      <c r="D3006" s="2" t="inlineStr">
        <is>
          <t>006800</t>
        </is>
      </c>
      <c r="E3006" s="3" t="inlineStr">
        <is>
          <t>[기재정정]임원ㆍ주요주주특정증권등소유상황보고서</t>
        </is>
      </c>
      <c r="F3006" s="3" t="inlineStr">
        <is>
          <t>양상철</t>
        </is>
      </c>
      <c r="G3006" s="2" t="inlineStr">
        <is>
          <t>20260306000731</t>
        </is>
      </c>
      <c r="H3006" s="8">
        <f>HYPERLINK("https://dart.fss.or.kr/dsaf001/main.do?rcpNo=20260306000731", "공시열람")</f>
        <v/>
      </c>
    </row>
    <row r="3007">
      <c r="A3007" s="2" t="inlineStr">
        <is>
          <t>2026-03-06 (정정: 2026-03-12)</t>
        </is>
      </c>
      <c r="B3007" s="3" t="inlineStr">
        <is>
          <t>키움증권</t>
        </is>
      </c>
      <c r="C3007" s="2" t="inlineStr">
        <is>
          <t>코스피</t>
        </is>
      </c>
      <c r="D3007" s="2" t="inlineStr">
        <is>
          <t>039490</t>
        </is>
      </c>
      <c r="E3007" s="3" t="inlineStr">
        <is>
          <t>증권발행실적보고서 (정정: 20260312) (정정: 20260312)</t>
        </is>
      </c>
      <c r="F3007" s="3" t="inlineStr">
        <is>
          <t>키움증권</t>
        </is>
      </c>
      <c r="G3007" s="2" t="inlineStr">
        <is>
          <t>20260312000627</t>
        </is>
      </c>
      <c r="H3007" s="8">
        <f>HYPERLINK("https://dart.fss.or.kr/dsaf001/main.do?rcpNo=20260312000627", "공시열람")</f>
        <v/>
      </c>
    </row>
    <row r="3008">
      <c r="A3008" s="2" t="inlineStr">
        <is>
          <t>2026-03-06</t>
        </is>
      </c>
      <c r="B3008" s="3" t="inlineStr">
        <is>
          <t>HLB바이오스텝</t>
        </is>
      </c>
      <c r="C3008" s="2" t="inlineStr">
        <is>
          <t>코스닥</t>
        </is>
      </c>
      <c r="D3008" s="2" t="inlineStr">
        <is>
          <t>278650</t>
        </is>
      </c>
      <c r="E3008" s="3" t="inlineStr">
        <is>
          <t>임원ㆍ주요주주특정증권등소유상황보고서</t>
        </is>
      </c>
      <c r="F3008" s="3" t="inlineStr">
        <is>
          <t>전수환</t>
        </is>
      </c>
      <c r="G3008" s="2" t="inlineStr">
        <is>
          <t>20260306000724</t>
        </is>
      </c>
      <c r="H3008" s="8">
        <f>HYPERLINK("https://dart.fss.or.kr/dsaf001/main.do?rcpNo=20260306000724", "공시열람")</f>
        <v/>
      </c>
    </row>
    <row r="3009">
      <c r="A3009" s="2" t="inlineStr">
        <is>
          <t>2026-03-06</t>
        </is>
      </c>
      <c r="B3009" s="3" t="inlineStr">
        <is>
          <t>코스맥스비티아이</t>
        </is>
      </c>
      <c r="C3009" s="2" t="inlineStr">
        <is>
          <t>코스피</t>
        </is>
      </c>
      <c r="D3009" s="2" t="inlineStr">
        <is>
          <t>044820</t>
        </is>
      </c>
      <c r="E3009" s="3" t="inlineStr">
        <is>
          <t xml:space="preserve">현금ㆍ현물배당결정(자회사의 주요경영사항)              </t>
        </is>
      </c>
      <c r="F3009" s="3" t="inlineStr">
        <is>
          <t>코스맥스비티아이</t>
        </is>
      </c>
      <c r="G3009" s="2" t="inlineStr">
        <is>
          <t>20260306801087</t>
        </is>
      </c>
      <c r="H3009" s="8">
        <f>HYPERLINK("https://dart.fss.or.kr/dsaf001/main.do?rcpNo=20260306801087", "공시열람")</f>
        <v/>
      </c>
    </row>
    <row r="3010">
      <c r="A3010" s="2" t="inlineStr">
        <is>
          <t>2026-03-06</t>
        </is>
      </c>
      <c r="B3010" s="3" t="inlineStr">
        <is>
          <t>마니커</t>
        </is>
      </c>
      <c r="C3010" s="2" t="inlineStr">
        <is>
          <t>코스피</t>
        </is>
      </c>
      <c r="D3010" s="2" t="inlineStr">
        <is>
          <t>027740</t>
        </is>
      </c>
      <c r="E3010" s="3" t="inlineStr">
        <is>
          <t xml:space="preserve">주식병합결정              </t>
        </is>
      </c>
      <c r="F3010" s="3" t="inlineStr">
        <is>
          <t>마니커</t>
        </is>
      </c>
      <c r="G3010" s="2" t="inlineStr">
        <is>
          <t>20260306801041</t>
        </is>
      </c>
      <c r="H3010" s="8">
        <f>HYPERLINK("https://dart.fss.or.kr/dsaf001/main.do?rcpNo=20260306801041", "공시열람")</f>
        <v/>
      </c>
    </row>
    <row r="3011">
      <c r="A3011" s="2" t="inlineStr">
        <is>
          <t>2026-03-06</t>
        </is>
      </c>
      <c r="B3011" s="3" t="inlineStr">
        <is>
          <t>랩지노믹스</t>
        </is>
      </c>
      <c r="C3011" s="2" t="inlineStr">
        <is>
          <t>코스닥</t>
        </is>
      </c>
      <c r="D3011" s="2" t="inlineStr">
        <is>
          <t>084650</t>
        </is>
      </c>
      <c r="E3011" s="3" t="inlineStr">
        <is>
          <t>의결권대리행사권유참고서류</t>
        </is>
      </c>
      <c r="F3011" s="3" t="inlineStr">
        <is>
          <t>랩지노믹스</t>
        </is>
      </c>
      <c r="G3011" s="2" t="inlineStr">
        <is>
          <t>20260306000723</t>
        </is>
      </c>
      <c r="H3011" s="8">
        <f>HYPERLINK("https://dart.fss.or.kr/dsaf001/main.do?rcpNo=20260306000723", "공시열람")</f>
        <v/>
      </c>
    </row>
    <row r="3012">
      <c r="A3012" s="2" t="inlineStr">
        <is>
          <t>2026-02-26 (정정: 2026-03-06)</t>
        </is>
      </c>
      <c r="B3012" s="3" t="inlineStr">
        <is>
          <t>한국전력공사</t>
        </is>
      </c>
      <c r="C3012" s="2" t="inlineStr">
        <is>
          <t>코스피</t>
        </is>
      </c>
      <c r="D3012" s="2" t="inlineStr">
        <is>
          <t>015760</t>
        </is>
      </c>
      <c r="E3012" s="3" t="inlineStr">
        <is>
          <t xml:space="preserve">[기재정정]현금ㆍ현물배당결정              </t>
        </is>
      </c>
      <c r="F3012" s="3" t="inlineStr">
        <is>
          <t>한국전력공사</t>
        </is>
      </c>
      <c r="G3012" s="2" t="inlineStr">
        <is>
          <t>20260306801134</t>
        </is>
      </c>
      <c r="H3012" s="8">
        <f>HYPERLINK("https://dart.fss.or.kr/dsaf001/main.do?rcpNo=20260306801134", "공시열람")</f>
        <v/>
      </c>
    </row>
    <row r="3013">
      <c r="A3013" s="2" t="inlineStr">
        <is>
          <t>2026-03-06</t>
        </is>
      </c>
      <c r="B3013" s="3" t="inlineStr">
        <is>
          <t>코스맥스비티아이</t>
        </is>
      </c>
      <c r="C3013" s="2" t="inlineStr">
        <is>
          <t>코스피</t>
        </is>
      </c>
      <c r="D3013" s="2" t="inlineStr">
        <is>
          <t>044820</t>
        </is>
      </c>
      <c r="E3013" s="3" t="inlineStr">
        <is>
          <t xml:space="preserve">현금ㆍ현물배당을위한주주명부폐쇄(기준일)결정(자회사의 주요경영사항)              </t>
        </is>
      </c>
      <c r="F3013" s="3" t="inlineStr">
        <is>
          <t>코스맥스비티아이</t>
        </is>
      </c>
      <c r="G3013" s="2" t="inlineStr">
        <is>
          <t>20260306801008</t>
        </is>
      </c>
      <c r="H3013" s="8">
        <f>HYPERLINK("https://dart.fss.or.kr/dsaf001/main.do?rcpNo=20260306801008", "공시열람")</f>
        <v/>
      </c>
    </row>
    <row r="3014">
      <c r="A3014" s="2" t="inlineStr">
        <is>
          <t>2026-03-06</t>
        </is>
      </c>
      <c r="B3014" s="3" t="inlineStr">
        <is>
          <t>OCI홀딩스</t>
        </is>
      </c>
      <c r="C3014" s="2" t="inlineStr">
        <is>
          <t>코스피</t>
        </is>
      </c>
      <c r="D3014" s="2" t="inlineStr">
        <is>
          <t>010060</t>
        </is>
      </c>
      <c r="E3014" s="3" t="inlineStr">
        <is>
          <t xml:space="preserve">감사보고서제출              </t>
        </is>
      </c>
      <c r="F3014" s="3" t="inlineStr">
        <is>
          <t>OCI홀딩스</t>
        </is>
      </c>
      <c r="G3014" s="2" t="inlineStr">
        <is>
          <t>20260306800988</t>
        </is>
      </c>
      <c r="H3014" s="8">
        <f>HYPERLINK("https://dart.fss.or.kr/dsaf001/main.do?rcpNo=20260306800988", "공시열람")</f>
        <v/>
      </c>
    </row>
    <row r="3015">
      <c r="A3015" s="2" t="inlineStr">
        <is>
          <t>2026-03-06</t>
        </is>
      </c>
      <c r="B3015" s="3" t="inlineStr">
        <is>
          <t>메타랩스</t>
        </is>
      </c>
      <c r="C3015" s="2" t="inlineStr">
        <is>
          <t>코스피</t>
        </is>
      </c>
      <c r="D3015" s="2" t="inlineStr">
        <is>
          <t>090370</t>
        </is>
      </c>
      <c r="E3015" s="3" t="inlineStr">
        <is>
          <t xml:space="preserve">감자결정(종속회사의주요경영사항)              </t>
        </is>
      </c>
      <c r="F3015" s="3" t="inlineStr">
        <is>
          <t>메타랩스</t>
        </is>
      </c>
      <c r="G3015" s="2" t="inlineStr">
        <is>
          <t>20260306801124</t>
        </is>
      </c>
      <c r="H3015" s="8">
        <f>HYPERLINK("https://dart.fss.or.kr/dsaf001/main.do?rcpNo=20260306801124", "공시열람")</f>
        <v/>
      </c>
    </row>
    <row r="3016">
      <c r="A3016" s="2" t="inlineStr">
        <is>
          <t>2026-03-06</t>
        </is>
      </c>
      <c r="B3016" s="3" t="inlineStr">
        <is>
          <t>오토앤</t>
        </is>
      </c>
      <c r="C3016" s="2" t="inlineStr">
        <is>
          <t>코스닥</t>
        </is>
      </c>
      <c r="D3016" s="2" t="inlineStr">
        <is>
          <t>353590</t>
        </is>
      </c>
      <c r="E3016" s="3" t="inlineStr">
        <is>
          <t>의결권대리행사권유참고서류</t>
        </is>
      </c>
      <c r="F3016" s="3" t="inlineStr">
        <is>
          <t>오토앤</t>
        </is>
      </c>
      <c r="G3016" s="2" t="inlineStr">
        <is>
          <t>20260306000717</t>
        </is>
      </c>
      <c r="H3016" s="8">
        <f>HYPERLINK("https://dart.fss.or.kr/dsaf001/main.do?rcpNo=20260306000717", "공시열람")</f>
        <v/>
      </c>
    </row>
    <row r="3017">
      <c r="A3017" s="2" t="inlineStr">
        <is>
          <t>2026-03-06</t>
        </is>
      </c>
      <c r="B3017" s="3" t="inlineStr">
        <is>
          <t>HLB바이오스텝</t>
        </is>
      </c>
      <c r="C3017" s="2" t="inlineStr">
        <is>
          <t>코스닥</t>
        </is>
      </c>
      <c r="D3017" s="2" t="inlineStr">
        <is>
          <t>278650</t>
        </is>
      </c>
      <c r="E3017" s="3" t="inlineStr">
        <is>
          <t>임원ㆍ주요주주특정증권등소유상황보고서</t>
        </is>
      </c>
      <c r="F3017" s="3" t="inlineStr">
        <is>
          <t>성준석</t>
        </is>
      </c>
      <c r="G3017" s="2" t="inlineStr">
        <is>
          <t>20260306000715</t>
        </is>
      </c>
      <c r="H3017" s="8">
        <f>HYPERLINK("https://dart.fss.or.kr/dsaf001/main.do?rcpNo=20260306000715", "공시열람")</f>
        <v/>
      </c>
    </row>
    <row r="3018">
      <c r="A3018" s="2" t="inlineStr">
        <is>
          <t>2026-03-06</t>
        </is>
      </c>
      <c r="B3018" s="3" t="inlineStr">
        <is>
          <t>캐스텍코리아</t>
        </is>
      </c>
      <c r="C3018" s="2" t="inlineStr">
        <is>
          <t>코스닥</t>
        </is>
      </c>
      <c r="D3018" s="2" t="inlineStr">
        <is>
          <t>071850</t>
        </is>
      </c>
      <c r="E3018" s="3" t="inlineStr">
        <is>
          <t>임원ㆍ주요주주특정증권등소유상황보고서</t>
        </is>
      </c>
      <c r="F3018" s="3" t="inlineStr">
        <is>
          <t>윤호성</t>
        </is>
      </c>
      <c r="G3018" s="2" t="inlineStr">
        <is>
          <t>20260306000712</t>
        </is>
      </c>
      <c r="H3018" s="8">
        <f>HYPERLINK("https://dart.fss.or.kr/dsaf001/main.do?rcpNo=20260306000712", "공시열람")</f>
        <v/>
      </c>
    </row>
    <row r="3019">
      <c r="A3019" s="2" t="inlineStr">
        <is>
          <t>2026-03-06</t>
        </is>
      </c>
      <c r="B3019" s="3" t="inlineStr">
        <is>
          <t>유진증권</t>
        </is>
      </c>
      <c r="C3019" s="2" t="inlineStr">
        <is>
          <t>코스피</t>
        </is>
      </c>
      <c r="D3019" s="2" t="inlineStr">
        <is>
          <t>001200</t>
        </is>
      </c>
      <c r="E3019" s="3" t="inlineStr">
        <is>
          <t>증권발행실적보고서</t>
        </is>
      </c>
      <c r="F3019" s="3" t="inlineStr">
        <is>
          <t>유진증권</t>
        </is>
      </c>
      <c r="G3019" s="2" t="inlineStr">
        <is>
          <t>20260306000711</t>
        </is>
      </c>
      <c r="H3019" s="8">
        <f>HYPERLINK("https://dart.fss.or.kr/dsaf001/main.do?rcpNo=20260306000711", "공시열람")</f>
        <v/>
      </c>
    </row>
    <row r="3020">
      <c r="A3020" s="2" t="inlineStr">
        <is>
          <t>2026-03-06</t>
        </is>
      </c>
      <c r="B3020" s="3" t="inlineStr">
        <is>
          <t>현대차증권</t>
        </is>
      </c>
      <c r="C3020" s="2" t="inlineStr">
        <is>
          <t>코스피</t>
        </is>
      </c>
      <c r="D3020" s="2" t="inlineStr">
        <is>
          <t>001500</t>
        </is>
      </c>
      <c r="E3020" s="3" t="inlineStr">
        <is>
          <t xml:space="preserve">기업설명회(IR)개최(안내공시)              </t>
        </is>
      </c>
      <c r="F3020" s="3" t="inlineStr">
        <is>
          <t>현대차증권</t>
        </is>
      </c>
      <c r="G3020" s="2" t="inlineStr">
        <is>
          <t>20260306801110</t>
        </is>
      </c>
      <c r="H3020" s="8">
        <f>HYPERLINK("https://dart.fss.or.kr/dsaf001/main.do?rcpNo=20260306801110", "공시열람")</f>
        <v/>
      </c>
    </row>
    <row r="3021">
      <c r="A3021" s="2" t="inlineStr">
        <is>
          <t>2026-03-06</t>
        </is>
      </c>
      <c r="B3021" s="3" t="inlineStr">
        <is>
          <t>한국화장품</t>
        </is>
      </c>
      <c r="C3021" s="2" t="inlineStr">
        <is>
          <t>코스피</t>
        </is>
      </c>
      <c r="D3021" s="2" t="inlineStr">
        <is>
          <t>123690</t>
        </is>
      </c>
      <c r="E3021" s="3" t="inlineStr">
        <is>
          <t>의결권대리행사권유참고서류</t>
        </is>
      </c>
      <c r="F3021" s="3" t="inlineStr">
        <is>
          <t>한국화장품</t>
        </is>
      </c>
      <c r="G3021" s="2" t="inlineStr">
        <is>
          <t>20260306000709</t>
        </is>
      </c>
      <c r="H3021" s="8">
        <f>HYPERLINK("https://dart.fss.or.kr/dsaf001/main.do?rcpNo=20260306000709", "공시열람")</f>
        <v/>
      </c>
    </row>
    <row r="3022">
      <c r="A3022" s="2" t="inlineStr">
        <is>
          <t>2026-03-06</t>
        </is>
      </c>
      <c r="B3022" s="3" t="inlineStr">
        <is>
          <t>이엠텍</t>
        </is>
      </c>
      <c r="C3022" s="2" t="inlineStr">
        <is>
          <t>코스닥</t>
        </is>
      </c>
      <c r="D3022" s="2" t="inlineStr">
        <is>
          <t>091120</t>
        </is>
      </c>
      <c r="E3022" s="3" t="inlineStr">
        <is>
          <t>의결권대리행사권유참고서류</t>
        </is>
      </c>
      <c r="F3022" s="3" t="inlineStr">
        <is>
          <t>이엠텍</t>
        </is>
      </c>
      <c r="G3022" s="2" t="inlineStr">
        <is>
          <t>20260306000706</t>
        </is>
      </c>
      <c r="H3022" s="8">
        <f>HYPERLINK("https://dart.fss.or.kr/dsaf001/main.do?rcpNo=20260306000706", "공시열람")</f>
        <v/>
      </c>
    </row>
    <row r="3023">
      <c r="A3023" s="2" t="inlineStr">
        <is>
          <t>2026-03-06</t>
        </is>
      </c>
      <c r="B3023" s="3" t="inlineStr">
        <is>
          <t>미래에셋증권</t>
        </is>
      </c>
      <c r="C3023" s="2" t="inlineStr">
        <is>
          <t>코스피</t>
        </is>
      </c>
      <c r="D3023" s="2" t="inlineStr">
        <is>
          <t>006800</t>
        </is>
      </c>
      <c r="E3023" s="3" t="inlineStr">
        <is>
          <t>임원ㆍ주요주주특정증권등소유상황보고서</t>
        </is>
      </c>
      <c r="F3023" s="3" t="inlineStr">
        <is>
          <t>임상혁</t>
        </is>
      </c>
      <c r="G3023" s="2" t="inlineStr">
        <is>
          <t>20260306000705</t>
        </is>
      </c>
      <c r="H3023" s="8">
        <f>HYPERLINK("https://dart.fss.or.kr/dsaf001/main.do?rcpNo=20260306000705", "공시열람")</f>
        <v/>
      </c>
    </row>
    <row r="3024">
      <c r="A3024" s="2" t="inlineStr">
        <is>
          <t>2026-03-06</t>
        </is>
      </c>
      <c r="B3024" s="3" t="inlineStr">
        <is>
          <t>화일약품</t>
        </is>
      </c>
      <c r="C3024" s="2" t="inlineStr">
        <is>
          <t>코스닥</t>
        </is>
      </c>
      <c r="D3024" s="2" t="inlineStr">
        <is>
          <t>061250</t>
        </is>
      </c>
      <c r="E3024" s="3" t="inlineStr">
        <is>
          <t xml:space="preserve">주식병합결정              </t>
        </is>
      </c>
      <c r="F3024" s="3" t="inlineStr">
        <is>
          <t>화일약품</t>
        </is>
      </c>
      <c r="G3024" s="2" t="inlineStr">
        <is>
          <t>20260306901100</t>
        </is>
      </c>
      <c r="H3024" s="8">
        <f>HYPERLINK("https://dart.fss.or.kr/dsaf001/main.do?rcpNo=20260306901100", "공시열람")</f>
        <v/>
      </c>
    </row>
    <row r="3025">
      <c r="A3025" s="2" t="inlineStr">
        <is>
          <t>2026-03-06</t>
        </is>
      </c>
      <c r="B3025" s="3" t="inlineStr">
        <is>
          <t>인카금융서비스</t>
        </is>
      </c>
      <c r="C3025" s="2" t="inlineStr">
        <is>
          <t>코스닥</t>
        </is>
      </c>
      <c r="D3025" s="2" t="inlineStr">
        <is>
          <t>211050</t>
        </is>
      </c>
      <c r="E3025" s="3" t="inlineStr">
        <is>
          <t xml:space="preserve">주주명부폐쇄기간또는기준일설정              </t>
        </is>
      </c>
      <c r="F3025" s="3" t="inlineStr">
        <is>
          <t>인카금융서비스</t>
        </is>
      </c>
      <c r="G3025" s="2" t="inlineStr">
        <is>
          <t>20260306901096</t>
        </is>
      </c>
      <c r="H3025" s="8">
        <f>HYPERLINK("https://dart.fss.or.kr/dsaf001/main.do?rcpNo=20260306901096", "공시열람")</f>
        <v/>
      </c>
    </row>
    <row r="3026">
      <c r="A3026" s="2" t="inlineStr">
        <is>
          <t>2026-03-06</t>
        </is>
      </c>
      <c r="B3026" s="3" t="inlineStr">
        <is>
          <t>캐스텍코리아</t>
        </is>
      </c>
      <c r="C3026" s="2" t="inlineStr">
        <is>
          <t>코스닥</t>
        </is>
      </c>
      <c r="D3026" s="2" t="inlineStr">
        <is>
          <t>071850</t>
        </is>
      </c>
      <c r="E3026" s="3" t="inlineStr">
        <is>
          <t>임원ㆍ주요주주특정증권등소유상황보고서</t>
        </is>
      </c>
      <c r="F3026" s="3" t="inlineStr">
        <is>
          <t>윤호석</t>
        </is>
      </c>
      <c r="G3026" s="2" t="inlineStr">
        <is>
          <t>20260306000702</t>
        </is>
      </c>
      <c r="H3026" s="8">
        <f>HYPERLINK("https://dart.fss.or.kr/dsaf001/main.do?rcpNo=20260306000702", "공시열람")</f>
        <v/>
      </c>
    </row>
    <row r="3027">
      <c r="A3027" s="2" t="inlineStr">
        <is>
          <t>2026-03-06</t>
        </is>
      </c>
      <c r="B3027" s="3" t="inlineStr">
        <is>
          <t>코스맥스</t>
        </is>
      </c>
      <c r="C3027" s="2" t="inlineStr">
        <is>
          <t>코스피</t>
        </is>
      </c>
      <c r="D3027" s="2" t="inlineStr">
        <is>
          <t>192820</t>
        </is>
      </c>
      <c r="E3027" s="3" t="inlineStr">
        <is>
          <t xml:space="preserve">현금ㆍ현물배당결정              </t>
        </is>
      </c>
      <c r="F3027" s="3" t="inlineStr">
        <is>
          <t>코스맥스</t>
        </is>
      </c>
      <c r="G3027" s="2" t="inlineStr">
        <is>
          <t>20260306800918</t>
        </is>
      </c>
      <c r="H3027" s="8">
        <f>HYPERLINK("https://dart.fss.or.kr/dsaf001/main.do?rcpNo=20260306800918", "공시열람")</f>
        <v/>
      </c>
    </row>
    <row r="3028">
      <c r="A3028" s="2" t="inlineStr">
        <is>
          <t>2026-03-06</t>
        </is>
      </c>
      <c r="B3028" s="3" t="inlineStr">
        <is>
          <t>인성정보</t>
        </is>
      </c>
      <c r="C3028" s="2" t="inlineStr">
        <is>
          <t>코스닥</t>
        </is>
      </c>
      <c r="D3028" s="2" t="inlineStr">
        <is>
          <t>033230</t>
        </is>
      </c>
      <c r="E3028" s="3" t="inlineStr">
        <is>
          <t>의결권대리행사권유참고서류</t>
        </is>
      </c>
      <c r="F3028" s="3" t="inlineStr">
        <is>
          <t>인성정보</t>
        </is>
      </c>
      <c r="G3028" s="2" t="inlineStr">
        <is>
          <t>20260306000694</t>
        </is>
      </c>
      <c r="H3028" s="8">
        <f>HYPERLINK("https://dart.fss.or.kr/dsaf001/main.do?rcpNo=20260306000694", "공시열람")</f>
        <v/>
      </c>
    </row>
    <row r="3029">
      <c r="A3029" s="2" t="inlineStr">
        <is>
          <t>2026-03-06</t>
        </is>
      </c>
      <c r="B3029" s="3" t="inlineStr">
        <is>
          <t>MDS테크</t>
        </is>
      </c>
      <c r="C3029" s="2" t="inlineStr">
        <is>
          <t>코스닥</t>
        </is>
      </c>
      <c r="D3029" s="2" t="inlineStr">
        <is>
          <t>086960</t>
        </is>
      </c>
      <c r="E3029" s="3" t="inlineStr">
        <is>
          <t>의결권대리행사권유참고서류</t>
        </is>
      </c>
      <c r="F3029" s="3" t="inlineStr">
        <is>
          <t>MDS테크</t>
        </is>
      </c>
      <c r="G3029" s="2" t="inlineStr">
        <is>
          <t>20260306000693</t>
        </is>
      </c>
      <c r="H3029" s="8">
        <f>HYPERLINK("https://dart.fss.or.kr/dsaf001/main.do?rcpNo=20260306000693", "공시열람")</f>
        <v/>
      </c>
    </row>
    <row r="3030">
      <c r="A3030" s="2" t="inlineStr">
        <is>
          <t>2026-03-06</t>
        </is>
      </c>
      <c r="B3030" s="3" t="inlineStr">
        <is>
          <t>NAVER</t>
        </is>
      </c>
      <c r="C3030" s="2" t="inlineStr">
        <is>
          <t>코스피</t>
        </is>
      </c>
      <c r="D3030" s="2" t="inlineStr">
        <is>
          <t>035420</t>
        </is>
      </c>
      <c r="E3030" s="3" t="inlineStr">
        <is>
          <t>임원ㆍ주요주주특정증권등소유상황보고서</t>
        </is>
      </c>
      <c r="F3030" s="3" t="inlineStr">
        <is>
          <t>김덕기</t>
        </is>
      </c>
      <c r="G3030" s="2" t="inlineStr">
        <is>
          <t>20260306000691</t>
        </is>
      </c>
      <c r="H3030" s="8">
        <f>HYPERLINK("https://dart.fss.or.kr/dsaf001/main.do?rcpNo=20260306000691", "공시열람")</f>
        <v/>
      </c>
    </row>
    <row r="3031">
      <c r="A3031" s="2" t="inlineStr">
        <is>
          <t>2026-03-06</t>
        </is>
      </c>
      <c r="B3031" s="3" t="inlineStr">
        <is>
          <t>SJG세종</t>
        </is>
      </c>
      <c r="C3031" s="2" t="inlineStr">
        <is>
          <t>코스피</t>
        </is>
      </c>
      <c r="D3031" s="2" t="inlineStr">
        <is>
          <t>033530</t>
        </is>
      </c>
      <c r="E3031" s="3" t="inlineStr">
        <is>
          <t xml:space="preserve">현금ㆍ현물배당결정              </t>
        </is>
      </c>
      <c r="F3031" s="3" t="inlineStr">
        <is>
          <t>SJG세종</t>
        </is>
      </c>
      <c r="G3031" s="2" t="inlineStr">
        <is>
          <t>20260306801073</t>
        </is>
      </c>
      <c r="H3031" s="8">
        <f>HYPERLINK("https://dart.fss.or.kr/dsaf001/main.do?rcpNo=20260306801073", "공시열람")</f>
        <v/>
      </c>
    </row>
    <row r="3032">
      <c r="A3032" s="2" t="inlineStr">
        <is>
          <t>2026-03-06</t>
        </is>
      </c>
      <c r="B3032" s="3" t="inlineStr">
        <is>
          <t>NH프라임리츠</t>
        </is>
      </c>
      <c r="C3032" s="2" t="inlineStr">
        <is>
          <t>코스피</t>
        </is>
      </c>
      <c r="D3032" s="2" t="inlineStr">
        <is>
          <t>338100</t>
        </is>
      </c>
      <c r="E3032" s="3" t="inlineStr">
        <is>
          <t xml:space="preserve">기타경영사항(자율공시)              </t>
        </is>
      </c>
      <c r="F3032" s="3" t="inlineStr">
        <is>
          <t>NH프라임리츠</t>
        </is>
      </c>
      <c r="G3032" s="2" t="inlineStr">
        <is>
          <t>20260306800969</t>
        </is>
      </c>
      <c r="H3032" s="8">
        <f>HYPERLINK("https://dart.fss.or.kr/dsaf001/main.do?rcpNo=20260306800969", "공시열람")</f>
        <v/>
      </c>
    </row>
    <row r="3033">
      <c r="A3033" s="2" t="inlineStr">
        <is>
          <t>2026-03-06</t>
        </is>
      </c>
      <c r="B3033" s="3" t="inlineStr">
        <is>
          <t>오픈엣지테크놀로지</t>
        </is>
      </c>
      <c r="C3033" s="2" t="inlineStr">
        <is>
          <t>코스닥</t>
        </is>
      </c>
      <c r="D3033" s="2" t="inlineStr">
        <is>
          <t>394280</t>
        </is>
      </c>
      <c r="E3033" s="3" t="inlineStr">
        <is>
          <t>임원ㆍ주요주주특정증권등소유상황보고서</t>
        </is>
      </c>
      <c r="F3033" s="3" t="inlineStr">
        <is>
          <t>문상훈</t>
        </is>
      </c>
      <c r="G3033" s="2" t="inlineStr">
        <is>
          <t>20260306000689</t>
        </is>
      </c>
      <c r="H3033" s="8">
        <f>HYPERLINK("https://dart.fss.or.kr/dsaf001/main.do?rcpNo=20260306000689", "공시열람")</f>
        <v/>
      </c>
    </row>
    <row r="3034">
      <c r="A3034" s="2" t="inlineStr">
        <is>
          <t>2026-03-06</t>
        </is>
      </c>
      <c r="B3034" s="3" t="inlineStr">
        <is>
          <t>NH올원리츠</t>
        </is>
      </c>
      <c r="C3034" s="2" t="inlineStr">
        <is>
          <t>코스피</t>
        </is>
      </c>
      <c r="D3034" s="2" t="inlineStr">
        <is>
          <t>400760</t>
        </is>
      </c>
      <c r="E3034" s="3" t="inlineStr">
        <is>
          <t xml:space="preserve">기타경영사항(자율공시)              </t>
        </is>
      </c>
      <c r="F3034" s="3" t="inlineStr">
        <is>
          <t>NH올원리츠</t>
        </is>
      </c>
      <c r="G3034" s="2" t="inlineStr">
        <is>
          <t>20260306800959</t>
        </is>
      </c>
      <c r="H3034" s="8">
        <f>HYPERLINK("https://dart.fss.or.kr/dsaf001/main.do?rcpNo=20260306800959", "공시열람")</f>
        <v/>
      </c>
    </row>
    <row r="3035">
      <c r="A3035" s="2" t="inlineStr">
        <is>
          <t>2026-03-06</t>
        </is>
      </c>
      <c r="B3035" s="3" t="inlineStr">
        <is>
          <t>미래에셋증권</t>
        </is>
      </c>
      <c r="C3035" s="2" t="inlineStr">
        <is>
          <t>코스피</t>
        </is>
      </c>
      <c r="D3035" s="2" t="inlineStr">
        <is>
          <t>006800</t>
        </is>
      </c>
      <c r="E3035" s="3" t="inlineStr">
        <is>
          <t>임원ㆍ주요주주특정증권등소유상황보고서</t>
        </is>
      </c>
      <c r="F3035" s="3" t="inlineStr">
        <is>
          <t>이환술</t>
        </is>
      </c>
      <c r="G3035" s="2" t="inlineStr">
        <is>
          <t>20260306000685</t>
        </is>
      </c>
      <c r="H3035" s="8">
        <f>HYPERLINK("https://dart.fss.or.kr/dsaf001/main.do?rcpNo=20260306000685", "공시열람")</f>
        <v/>
      </c>
    </row>
    <row r="3036">
      <c r="A3036" s="2" t="inlineStr">
        <is>
          <t>2026-03-06</t>
        </is>
      </c>
      <c r="B3036" s="3" t="inlineStr">
        <is>
          <t>NAVER</t>
        </is>
      </c>
      <c r="C3036" s="2" t="inlineStr">
        <is>
          <t>코스피</t>
        </is>
      </c>
      <c r="D3036" s="2" t="inlineStr">
        <is>
          <t>035420</t>
        </is>
      </c>
      <c r="E3036" s="3" t="inlineStr">
        <is>
          <t>임원ㆍ주요주주특정증권등소유상황보고서</t>
        </is>
      </c>
      <c r="F3036" s="3" t="inlineStr">
        <is>
          <t>김아영</t>
        </is>
      </c>
      <c r="G3036" s="2" t="inlineStr">
        <is>
          <t>20260306000680</t>
        </is>
      </c>
      <c r="H3036" s="8">
        <f>HYPERLINK("https://dart.fss.or.kr/dsaf001/main.do?rcpNo=20260306000680", "공시열람")</f>
        <v/>
      </c>
    </row>
    <row r="3037">
      <c r="A3037" s="2" t="inlineStr">
        <is>
          <t>2026-03-06</t>
        </is>
      </c>
      <c r="B3037" s="3" t="inlineStr">
        <is>
          <t>미래에셋증권</t>
        </is>
      </c>
      <c r="C3037" s="2" t="inlineStr">
        <is>
          <t>코스피</t>
        </is>
      </c>
      <c r="D3037" s="2" t="inlineStr">
        <is>
          <t>006800</t>
        </is>
      </c>
      <c r="E3037" s="3" t="inlineStr">
        <is>
          <t>임원ㆍ주요주주특정증권등소유상황보고서</t>
        </is>
      </c>
      <c r="F3037" s="3" t="inlineStr">
        <is>
          <t>김범석</t>
        </is>
      </c>
      <c r="G3037" s="2" t="inlineStr">
        <is>
          <t>20260306000679</t>
        </is>
      </c>
      <c r="H3037" s="8">
        <f>HYPERLINK("https://dart.fss.or.kr/dsaf001/main.do?rcpNo=20260306000679", "공시열람")</f>
        <v/>
      </c>
    </row>
    <row r="3038">
      <c r="A3038" s="2" t="inlineStr">
        <is>
          <t>2026-03-06</t>
        </is>
      </c>
      <c r="B3038" s="3" t="inlineStr">
        <is>
          <t>HPSP</t>
        </is>
      </c>
      <c r="C3038" s="2" t="inlineStr">
        <is>
          <t>코스닥</t>
        </is>
      </c>
      <c r="D3038" s="2" t="inlineStr">
        <is>
          <t>403870</t>
        </is>
      </c>
      <c r="E3038" s="3" t="inlineStr">
        <is>
          <t>임원ㆍ주요주주특정증권등소유상황보고서</t>
        </is>
      </c>
      <c r="F3038" s="3" t="inlineStr">
        <is>
          <t>이시형</t>
        </is>
      </c>
      <c r="G3038" s="2" t="inlineStr">
        <is>
          <t>20260306000678</t>
        </is>
      </c>
      <c r="H3038" s="8">
        <f>HYPERLINK("https://dart.fss.or.kr/dsaf001/main.do?rcpNo=20260306000678", "공시열람")</f>
        <v/>
      </c>
    </row>
    <row r="3039">
      <c r="A3039" s="2" t="inlineStr">
        <is>
          <t>2026-03-06</t>
        </is>
      </c>
      <c r="B3039" s="3" t="inlineStr">
        <is>
          <t>유니크</t>
        </is>
      </c>
      <c r="C3039" s="2" t="inlineStr">
        <is>
          <t>코스닥</t>
        </is>
      </c>
      <c r="D3039" s="2" t="inlineStr">
        <is>
          <t>011320</t>
        </is>
      </c>
      <c r="E3039" s="3" t="inlineStr">
        <is>
          <t>임원ㆍ주요주주특정증권등소유상황보고서</t>
        </is>
      </c>
      <c r="F3039" s="3" t="inlineStr">
        <is>
          <t>안정구</t>
        </is>
      </c>
      <c r="G3039" s="2" t="inlineStr">
        <is>
          <t>20260306000677</t>
        </is>
      </c>
      <c r="H3039" s="8">
        <f>HYPERLINK("https://dart.fss.or.kr/dsaf001/main.do?rcpNo=20260306000677", "공시열람")</f>
        <v/>
      </c>
    </row>
    <row r="3040">
      <c r="A3040" s="2" t="inlineStr">
        <is>
          <t>2026-03-06</t>
        </is>
      </c>
      <c r="B3040" s="3" t="inlineStr">
        <is>
          <t>NAVER</t>
        </is>
      </c>
      <c r="C3040" s="2" t="inlineStr">
        <is>
          <t>코스피</t>
        </is>
      </c>
      <c r="D3040" s="2" t="inlineStr">
        <is>
          <t>035420</t>
        </is>
      </c>
      <c r="E3040" s="3" t="inlineStr">
        <is>
          <t>임원ㆍ주요주주특정증권등소유상황보고서</t>
        </is>
      </c>
      <c r="F3040" s="3" t="inlineStr">
        <is>
          <t>공기중</t>
        </is>
      </c>
      <c r="G3040" s="2" t="inlineStr">
        <is>
          <t>20260306000676</t>
        </is>
      </c>
      <c r="H3040" s="8">
        <f>HYPERLINK("https://dart.fss.or.kr/dsaf001/main.do?rcpNo=20260306000676", "공시열람")</f>
        <v/>
      </c>
    </row>
    <row r="3041">
      <c r="A3041" s="2" t="inlineStr">
        <is>
          <t>2026-03-06</t>
        </is>
      </c>
      <c r="B3041" s="3" t="inlineStr">
        <is>
          <t>세아메카닉스</t>
        </is>
      </c>
      <c r="C3041" s="2" t="inlineStr">
        <is>
          <t>코스닥</t>
        </is>
      </c>
      <c r="D3041" s="2" t="inlineStr">
        <is>
          <t>396300</t>
        </is>
      </c>
      <c r="E3041" s="3" t="inlineStr">
        <is>
          <t xml:space="preserve">매출액또는손익구조30%(대규모법인은15%)이상변동              </t>
        </is>
      </c>
      <c r="F3041" s="3" t="inlineStr">
        <is>
          <t>세아메카닉스</t>
        </is>
      </c>
      <c r="G3041" s="2" t="inlineStr">
        <is>
          <t>20260306900979</t>
        </is>
      </c>
      <c r="H3041" s="8">
        <f>HYPERLINK("https://dart.fss.or.kr/dsaf001/main.do?rcpNo=20260306900979", "공시열람")</f>
        <v/>
      </c>
    </row>
    <row r="3042">
      <c r="A3042" s="2" t="inlineStr">
        <is>
          <t>2026-03-06</t>
        </is>
      </c>
      <c r="B3042" s="3" t="inlineStr">
        <is>
          <t>태경케미컬</t>
        </is>
      </c>
      <c r="C3042" s="2" t="inlineStr">
        <is>
          <t>코스피</t>
        </is>
      </c>
      <c r="D3042" s="2" t="inlineStr">
        <is>
          <t>006890</t>
        </is>
      </c>
      <c r="E3042" s="3" t="inlineStr">
        <is>
          <t>의결권대리행사권유참고서류</t>
        </is>
      </c>
      <c r="F3042" s="3" t="inlineStr">
        <is>
          <t>태경케미컬</t>
        </is>
      </c>
      <c r="G3042" s="2" t="inlineStr">
        <is>
          <t>20260306000674</t>
        </is>
      </c>
      <c r="H3042" s="8">
        <f>HYPERLINK("https://dart.fss.or.kr/dsaf001/main.do?rcpNo=20260306000674", "공시열람")</f>
        <v/>
      </c>
    </row>
    <row r="3043">
      <c r="A3043" s="2" t="inlineStr">
        <is>
          <t>2026-03-06</t>
        </is>
      </c>
      <c r="B3043" s="3" t="inlineStr">
        <is>
          <t>삼호개발</t>
        </is>
      </c>
      <c r="C3043" s="2" t="inlineStr">
        <is>
          <t>코스피</t>
        </is>
      </c>
      <c r="D3043" s="2" t="inlineStr">
        <is>
          <t>010960</t>
        </is>
      </c>
      <c r="E3043" s="3" t="inlineStr">
        <is>
          <t xml:space="preserve">감사보고서제출              </t>
        </is>
      </c>
      <c r="F3043" s="3" t="inlineStr">
        <is>
          <t>삼호개발</t>
        </is>
      </c>
      <c r="G3043" s="2" t="inlineStr">
        <is>
          <t>20260306800917</t>
        </is>
      </c>
      <c r="H3043" s="8">
        <f>HYPERLINK("https://dart.fss.or.kr/dsaf001/main.do?rcpNo=20260306800917", "공시열람")</f>
        <v/>
      </c>
    </row>
    <row r="3044">
      <c r="A3044" s="2" t="inlineStr">
        <is>
          <t>2026-03-06</t>
        </is>
      </c>
      <c r="B3044" s="3" t="inlineStr">
        <is>
          <t>네패스</t>
        </is>
      </c>
      <c r="C3044" s="2" t="inlineStr">
        <is>
          <t>코스닥</t>
        </is>
      </c>
      <c r="D3044" s="2" t="inlineStr">
        <is>
          <t>033640</t>
        </is>
      </c>
      <c r="E3044" s="3" t="inlineStr">
        <is>
          <t>임원ㆍ주요주주특정증권등소유상황보고서</t>
        </is>
      </c>
      <c r="F3044" s="3" t="inlineStr">
        <is>
          <t>김태훈</t>
        </is>
      </c>
      <c r="G3044" s="2" t="inlineStr">
        <is>
          <t>20260306000671</t>
        </is>
      </c>
      <c r="H3044" s="8">
        <f>HYPERLINK("https://dart.fss.or.kr/dsaf001/main.do?rcpNo=20260306000671", "공시열람")</f>
        <v/>
      </c>
    </row>
    <row r="3045">
      <c r="A3045" s="2" t="inlineStr">
        <is>
          <t>2026-03-06</t>
        </is>
      </c>
      <c r="B3045" s="3" t="inlineStr">
        <is>
          <t>NAVER</t>
        </is>
      </c>
      <c r="C3045" s="2" t="inlineStr">
        <is>
          <t>코스피</t>
        </is>
      </c>
      <c r="D3045" s="2" t="inlineStr">
        <is>
          <t>035420</t>
        </is>
      </c>
      <c r="E3045" s="3" t="inlineStr">
        <is>
          <t>임원ㆍ주요주주특정증권등소유상황보고서</t>
        </is>
      </c>
      <c r="F3045" s="3" t="inlineStr">
        <is>
          <t>김치현</t>
        </is>
      </c>
      <c r="G3045" s="2" t="inlineStr">
        <is>
          <t>20260306000666</t>
        </is>
      </c>
      <c r="H3045" s="8">
        <f>HYPERLINK("https://dart.fss.or.kr/dsaf001/main.do?rcpNo=20260306000666", "공시열람")</f>
        <v/>
      </c>
    </row>
    <row r="3046">
      <c r="A3046" s="2" t="inlineStr">
        <is>
          <t>2026-03-06</t>
        </is>
      </c>
      <c r="B3046" s="3" t="inlineStr">
        <is>
          <t>제이케이시냅스</t>
        </is>
      </c>
      <c r="C3046" s="2" t="inlineStr">
        <is>
          <t>코스닥</t>
        </is>
      </c>
      <c r="D3046" s="2" t="inlineStr">
        <is>
          <t>060230</t>
        </is>
      </c>
      <c r="E3046" s="3" t="inlineStr">
        <is>
          <t>임원ㆍ주요주주특정증권등소유상황보고서</t>
        </is>
      </c>
      <c r="F3046" s="3" t="inlineStr">
        <is>
          <t>엠에이치테크</t>
        </is>
      </c>
      <c r="G3046" s="2" t="inlineStr">
        <is>
          <t>20260306000664</t>
        </is>
      </c>
      <c r="H3046" s="8">
        <f>HYPERLINK("https://dart.fss.or.kr/dsaf001/main.do?rcpNo=20260306000664", "공시열람")</f>
        <v/>
      </c>
    </row>
    <row r="3047">
      <c r="A3047" s="2" t="inlineStr">
        <is>
          <t>2026-03-06</t>
        </is>
      </c>
      <c r="B3047" s="3" t="inlineStr">
        <is>
          <t>제이엘케이</t>
        </is>
      </c>
      <c r="C3047" s="2" t="inlineStr">
        <is>
          <t>코스닥</t>
        </is>
      </c>
      <c r="D3047" s="2" t="inlineStr">
        <is>
          <t>322510</t>
        </is>
      </c>
      <c r="E3047" s="3" t="inlineStr">
        <is>
          <t>주식매수선택권부여에관한신고</t>
        </is>
      </c>
      <c r="F3047" s="3" t="inlineStr">
        <is>
          <t>제이엘케이</t>
        </is>
      </c>
      <c r="G3047" s="2" t="inlineStr">
        <is>
          <t>20260306000663</t>
        </is>
      </c>
      <c r="H3047" s="8">
        <f>HYPERLINK("https://dart.fss.or.kr/dsaf001/main.do?rcpNo=20260306000663", "공시열람")</f>
        <v/>
      </c>
    </row>
    <row r="3048">
      <c r="A3048" s="2" t="inlineStr">
        <is>
          <t>2026-03-06</t>
        </is>
      </c>
      <c r="B3048" s="3" t="inlineStr">
        <is>
          <t>미래에셋증권</t>
        </is>
      </c>
      <c r="C3048" s="2" t="inlineStr">
        <is>
          <t>코스피</t>
        </is>
      </c>
      <c r="D3048" s="2" t="inlineStr">
        <is>
          <t>006800</t>
        </is>
      </c>
      <c r="E3048" s="3" t="inlineStr">
        <is>
          <t>임원ㆍ주요주주특정증권등소유상황보고서</t>
        </is>
      </c>
      <c r="F3048" s="3" t="inlineStr">
        <is>
          <t>박경수</t>
        </is>
      </c>
      <c r="G3048" s="2" t="inlineStr">
        <is>
          <t>20260306000661</t>
        </is>
      </c>
      <c r="H3048" s="8">
        <f>HYPERLINK("https://dart.fss.or.kr/dsaf001/main.do?rcpNo=20260306000661", "공시열람")</f>
        <v/>
      </c>
    </row>
    <row r="3049">
      <c r="A3049" s="2" t="inlineStr">
        <is>
          <t>2026-03-06</t>
        </is>
      </c>
      <c r="B3049" s="3" t="inlineStr">
        <is>
          <t>NAVER</t>
        </is>
      </c>
      <c r="C3049" s="2" t="inlineStr">
        <is>
          <t>코스피</t>
        </is>
      </c>
      <c r="D3049" s="2" t="inlineStr">
        <is>
          <t>035420</t>
        </is>
      </c>
      <c r="E3049" s="3" t="inlineStr">
        <is>
          <t>임원ㆍ주요주주특정증권등소유상황보고서</t>
        </is>
      </c>
      <c r="F3049" s="3" t="inlineStr">
        <is>
          <t>송대섭</t>
        </is>
      </c>
      <c r="G3049" s="2" t="inlineStr">
        <is>
          <t>20260306000658</t>
        </is>
      </c>
      <c r="H3049" s="8">
        <f>HYPERLINK("https://dart.fss.or.kr/dsaf001/main.do?rcpNo=20260306000658", "공시열람")</f>
        <v/>
      </c>
    </row>
    <row r="3050">
      <c r="A3050" s="2" t="inlineStr">
        <is>
          <t>2026-03-06</t>
        </is>
      </c>
      <c r="B3050" s="3" t="inlineStr">
        <is>
          <t>메타케어</t>
        </is>
      </c>
      <c r="C3050" s="2" t="inlineStr">
        <is>
          <t>코스피</t>
        </is>
      </c>
      <c r="D3050" s="2" t="inlineStr">
        <is>
          <t>118000</t>
        </is>
      </c>
      <c r="E3050" s="3" t="inlineStr">
        <is>
          <t>주요사항보고서(감자결정)</t>
        </is>
      </c>
      <c r="F3050" s="3" t="inlineStr">
        <is>
          <t>메타케어</t>
        </is>
      </c>
      <c r="G3050" s="2" t="inlineStr">
        <is>
          <t>20260306000577</t>
        </is>
      </c>
      <c r="H3050" s="8">
        <f>HYPERLINK("https://dart.fss.or.kr/dsaf001/main.do?rcpNo=20260306000577", "공시열람")</f>
        <v/>
      </c>
    </row>
    <row r="3051">
      <c r="A3051" s="2" t="inlineStr">
        <is>
          <t>2026-03-06</t>
        </is>
      </c>
      <c r="B3051" s="3" t="inlineStr">
        <is>
          <t>미래에셋증권</t>
        </is>
      </c>
      <c r="C3051" s="2" t="inlineStr">
        <is>
          <t>코스피</t>
        </is>
      </c>
      <c r="D3051" s="2" t="inlineStr">
        <is>
          <t>006800</t>
        </is>
      </c>
      <c r="E3051" s="3" t="inlineStr">
        <is>
          <t>임원ㆍ주요주주특정증권등소유상황보고서</t>
        </is>
      </c>
      <c r="F3051" s="3" t="inlineStr">
        <is>
          <t>김병천</t>
        </is>
      </c>
      <c r="G3051" s="2" t="inlineStr">
        <is>
          <t>20260306000655</t>
        </is>
      </c>
      <c r="H3051" s="8">
        <f>HYPERLINK("https://dart.fss.or.kr/dsaf001/main.do?rcpNo=20260306000655", "공시열람")</f>
        <v/>
      </c>
    </row>
    <row r="3052">
      <c r="A3052" s="2" t="inlineStr">
        <is>
          <t>2026-03-06</t>
        </is>
      </c>
      <c r="B3052" s="3" t="inlineStr">
        <is>
          <t>메타케어</t>
        </is>
      </c>
      <c r="C3052" s="2" t="inlineStr">
        <is>
          <t>코스피</t>
        </is>
      </c>
      <c r="D3052" s="2" t="inlineStr">
        <is>
          <t>118000</t>
        </is>
      </c>
      <c r="E3052" s="3" t="inlineStr">
        <is>
          <t xml:space="preserve">매매거래정지및정지해제(중요내용공시)              </t>
        </is>
      </c>
      <c r="F3052" s="3" t="inlineStr">
        <is>
          <t>유가증권시장본부</t>
        </is>
      </c>
      <c r="G3052" s="2" t="inlineStr">
        <is>
          <t>20260306800954</t>
        </is>
      </c>
      <c r="H3052" s="8">
        <f>HYPERLINK("https://dart.fss.or.kr/dsaf001/main.do?rcpNo=20260306800954", "공시열람")</f>
        <v/>
      </c>
    </row>
    <row r="3053">
      <c r="A3053" s="2" t="inlineStr">
        <is>
          <t>2026-03-06</t>
        </is>
      </c>
      <c r="B3053" s="3" t="inlineStr">
        <is>
          <t>엑스페릭스</t>
        </is>
      </c>
      <c r="C3053" s="2" t="inlineStr">
        <is>
          <t>코스닥</t>
        </is>
      </c>
      <c r="D3053" s="2" t="inlineStr">
        <is>
          <t>317770</t>
        </is>
      </c>
      <c r="E3053" s="3" t="inlineStr">
        <is>
          <t>의결권대리행사권유참고서류</t>
        </is>
      </c>
      <c r="F3053" s="3" t="inlineStr">
        <is>
          <t>엑스페릭스</t>
        </is>
      </c>
      <c r="G3053" s="2" t="inlineStr">
        <is>
          <t>20260306000652</t>
        </is>
      </c>
      <c r="H3053" s="8">
        <f>HYPERLINK("https://dart.fss.or.kr/dsaf001/main.do?rcpNo=20260306000652", "공시열람")</f>
        <v/>
      </c>
    </row>
    <row r="3054">
      <c r="A3054" s="2" t="inlineStr">
        <is>
          <t>2026-03-06</t>
        </is>
      </c>
      <c r="B3054" s="3" t="inlineStr">
        <is>
          <t>대한약품</t>
        </is>
      </c>
      <c r="C3054" s="2" t="inlineStr">
        <is>
          <t>코스닥</t>
        </is>
      </c>
      <c r="D3054" s="2" t="inlineStr">
        <is>
          <t>023910</t>
        </is>
      </c>
      <c r="E3054" s="3" t="inlineStr">
        <is>
          <t>의결권대리행사권유참고서류</t>
        </is>
      </c>
      <c r="F3054" s="3" t="inlineStr">
        <is>
          <t>대한약품</t>
        </is>
      </c>
      <c r="G3054" s="2" t="inlineStr">
        <is>
          <t>20260306000648</t>
        </is>
      </c>
      <c r="H3054" s="8">
        <f>HYPERLINK("https://dart.fss.or.kr/dsaf001/main.do?rcpNo=20260306000648", "공시열람")</f>
        <v/>
      </c>
    </row>
    <row r="3055">
      <c r="A3055" s="2" t="inlineStr">
        <is>
          <t>2026-03-06 (정정: 2026-03-10)</t>
        </is>
      </c>
      <c r="B3055" s="3" t="inlineStr">
        <is>
          <t>자이언트스텝</t>
        </is>
      </c>
      <c r="C3055" s="2" t="inlineStr">
        <is>
          <t>코스닥</t>
        </is>
      </c>
      <c r="D3055" s="2" t="inlineStr">
        <is>
          <t>289220</t>
        </is>
      </c>
      <c r="E3055" s="3" t="inlineStr">
        <is>
          <t>의결권대리행사권유참고서류 (정정: 20260310)</t>
        </is>
      </c>
      <c r="F3055" s="3" t="inlineStr">
        <is>
          <t>자이언트스텝</t>
        </is>
      </c>
      <c r="G3055" s="2" t="inlineStr">
        <is>
          <t>20260310002830</t>
        </is>
      </c>
      <c r="H3055" s="8">
        <f>HYPERLINK("https://dart.fss.or.kr/dsaf001/main.do?rcpNo=20260310002830", "공시열람")</f>
        <v/>
      </c>
    </row>
    <row r="3056">
      <c r="A3056" s="2" t="inlineStr">
        <is>
          <t>2026-03-06</t>
        </is>
      </c>
      <c r="B3056" s="3" t="inlineStr">
        <is>
          <t>제이엘케이</t>
        </is>
      </c>
      <c r="C3056" s="2" t="inlineStr">
        <is>
          <t>코스닥</t>
        </is>
      </c>
      <c r="D3056" s="2" t="inlineStr">
        <is>
          <t>322510</t>
        </is>
      </c>
      <c r="E3056" s="3" t="inlineStr">
        <is>
          <t>의결권대리행사권유참고서류</t>
        </is>
      </c>
      <c r="F3056" s="3" t="inlineStr">
        <is>
          <t>제이엘케이</t>
        </is>
      </c>
      <c r="G3056" s="2" t="inlineStr">
        <is>
          <t>20260306000645</t>
        </is>
      </c>
      <c r="H3056" s="8">
        <f>HYPERLINK("https://dart.fss.or.kr/dsaf001/main.do?rcpNo=20260306000645", "공시열람")</f>
        <v/>
      </c>
    </row>
    <row r="3057">
      <c r="A3057" s="2" t="inlineStr">
        <is>
          <t>2026-03-06</t>
        </is>
      </c>
      <c r="B3057" s="3" t="inlineStr">
        <is>
          <t>모트렉스</t>
        </is>
      </c>
      <c r="C3057" s="2" t="inlineStr">
        <is>
          <t>코스닥</t>
        </is>
      </c>
      <c r="D3057" s="2" t="inlineStr">
        <is>
          <t>118990</t>
        </is>
      </c>
      <c r="E3057" s="3" t="inlineStr">
        <is>
          <t>의결권대리행사권유참고서류</t>
        </is>
      </c>
      <c r="F3057" s="3" t="inlineStr">
        <is>
          <t>모트렉스</t>
        </is>
      </c>
      <c r="G3057" s="2" t="inlineStr">
        <is>
          <t>20260306000642</t>
        </is>
      </c>
      <c r="H3057" s="8">
        <f>HYPERLINK("https://dart.fss.or.kr/dsaf001/main.do?rcpNo=20260306000642", "공시열람")</f>
        <v/>
      </c>
    </row>
    <row r="3058">
      <c r="A3058" s="2" t="inlineStr">
        <is>
          <t>2026-03-06</t>
        </is>
      </c>
      <c r="B3058" s="3" t="inlineStr">
        <is>
          <t>MDS테크</t>
        </is>
      </c>
      <c r="C3058" s="2" t="inlineStr">
        <is>
          <t>코스닥</t>
        </is>
      </c>
      <c r="D3058" s="2" t="inlineStr">
        <is>
          <t>086960</t>
        </is>
      </c>
      <c r="E3058" s="3" t="inlineStr">
        <is>
          <t xml:space="preserve">주식병합결정              </t>
        </is>
      </c>
      <c r="F3058" s="3" t="inlineStr">
        <is>
          <t>MDS테크</t>
        </is>
      </c>
      <c r="G3058" s="2" t="inlineStr">
        <is>
          <t>20260306901009</t>
        </is>
      </c>
      <c r="H3058" s="8">
        <f>HYPERLINK("https://dart.fss.or.kr/dsaf001/main.do?rcpNo=20260306901009", "공시열람")</f>
        <v/>
      </c>
    </row>
    <row r="3059">
      <c r="A3059" s="2" t="inlineStr">
        <is>
          <t>2026-03-06</t>
        </is>
      </c>
      <c r="B3059" s="3" t="inlineStr">
        <is>
          <t>코스맥스</t>
        </is>
      </c>
      <c r="C3059" s="2" t="inlineStr">
        <is>
          <t>코스피</t>
        </is>
      </c>
      <c r="D3059" s="2" t="inlineStr">
        <is>
          <t>192820</t>
        </is>
      </c>
      <c r="E3059" s="3" t="inlineStr">
        <is>
          <t xml:space="preserve">현금ㆍ현물배당을위한주주명부폐쇄(기준일)결정              </t>
        </is>
      </c>
      <c r="F3059" s="3" t="inlineStr">
        <is>
          <t>코스맥스</t>
        </is>
      </c>
      <c r="G3059" s="2" t="inlineStr">
        <is>
          <t>20260306800911</t>
        </is>
      </c>
      <c r="H3059" s="8">
        <f>HYPERLINK("https://dart.fss.or.kr/dsaf001/main.do?rcpNo=20260306800911", "공시열람")</f>
        <v/>
      </c>
    </row>
    <row r="3060">
      <c r="A3060" s="2" t="inlineStr">
        <is>
          <t>2026-03-06</t>
        </is>
      </c>
      <c r="B3060" s="3" t="inlineStr">
        <is>
          <t>대신증권</t>
        </is>
      </c>
      <c r="C3060" s="2" t="inlineStr">
        <is>
          <t>코스피</t>
        </is>
      </c>
      <c r="D3060" s="2" t="inlineStr">
        <is>
          <t>003540</t>
        </is>
      </c>
      <c r="E3060" s="3" t="inlineStr">
        <is>
          <t>증권발행실적보고서</t>
        </is>
      </c>
      <c r="F3060" s="3" t="inlineStr">
        <is>
          <t>대신증권</t>
        </is>
      </c>
      <c r="G3060" s="2" t="inlineStr">
        <is>
          <t>20260306000641</t>
        </is>
      </c>
      <c r="H3060" s="8">
        <f>HYPERLINK("https://dart.fss.or.kr/dsaf001/main.do?rcpNo=20260306000641", "공시열람")</f>
        <v/>
      </c>
    </row>
    <row r="3061">
      <c r="A3061" s="2" t="inlineStr">
        <is>
          <t>2026-03-06</t>
        </is>
      </c>
      <c r="B3061" s="3" t="inlineStr">
        <is>
          <t>한화투자증권</t>
        </is>
      </c>
      <c r="C3061" s="2" t="inlineStr">
        <is>
          <t>코스피</t>
        </is>
      </c>
      <c r="D3061" s="2" t="inlineStr">
        <is>
          <t>003530</t>
        </is>
      </c>
      <c r="E3061" s="3" t="inlineStr">
        <is>
          <t>증권발행실적보고서</t>
        </is>
      </c>
      <c r="F3061" s="3" t="inlineStr">
        <is>
          <t>한화투자증권</t>
        </is>
      </c>
      <c r="G3061" s="2" t="inlineStr">
        <is>
          <t>20260306000638</t>
        </is>
      </c>
      <c r="H3061" s="8">
        <f>HYPERLINK("https://dart.fss.or.kr/dsaf001/main.do?rcpNo=20260306000638", "공시열람")</f>
        <v/>
      </c>
    </row>
    <row r="3062">
      <c r="A3062" s="2" t="inlineStr">
        <is>
          <t>2026-03-06</t>
        </is>
      </c>
      <c r="B3062" s="3" t="inlineStr">
        <is>
          <t>NAVER</t>
        </is>
      </c>
      <c r="C3062" s="2" t="inlineStr">
        <is>
          <t>코스피</t>
        </is>
      </c>
      <c r="D3062" s="2" t="inlineStr">
        <is>
          <t>035420</t>
        </is>
      </c>
      <c r="E3062" s="3" t="inlineStr">
        <is>
          <t>임원ㆍ주요주주특정증권등소유상황보고서</t>
        </is>
      </c>
      <c r="F3062" s="3" t="inlineStr">
        <is>
          <t>양상환</t>
        </is>
      </c>
      <c r="G3062" s="2" t="inlineStr">
        <is>
          <t>20260306000635</t>
        </is>
      </c>
      <c r="H3062" s="8">
        <f>HYPERLINK("https://dart.fss.or.kr/dsaf001/main.do?rcpNo=20260306000635", "공시열람")</f>
        <v/>
      </c>
    </row>
    <row r="3063">
      <c r="A3063" s="2" t="inlineStr">
        <is>
          <t>2026-03-06</t>
        </is>
      </c>
      <c r="B3063" s="3" t="inlineStr">
        <is>
          <t>심텍</t>
        </is>
      </c>
      <c r="C3063" s="2" t="inlineStr">
        <is>
          <t>코스닥</t>
        </is>
      </c>
      <c r="D3063" s="2" t="inlineStr">
        <is>
          <t>222800</t>
        </is>
      </c>
      <c r="E3063" s="3" t="inlineStr">
        <is>
          <t>임원ㆍ주요주주특정증권등소유상황보고서</t>
        </is>
      </c>
      <c r="F3063" s="3" t="inlineStr">
        <is>
          <t>송호건</t>
        </is>
      </c>
      <c r="G3063" s="2" t="inlineStr">
        <is>
          <t>20260306000633</t>
        </is>
      </c>
      <c r="H3063" s="8">
        <f>HYPERLINK("https://dart.fss.or.kr/dsaf001/main.do?rcpNo=20260306000633", "공시열람")</f>
        <v/>
      </c>
    </row>
    <row r="3064">
      <c r="A3064" s="2" t="inlineStr">
        <is>
          <t>2026-03-06</t>
        </is>
      </c>
      <c r="B3064" s="3" t="inlineStr">
        <is>
          <t>한국유니온제약</t>
        </is>
      </c>
      <c r="C3064" s="2" t="inlineStr">
        <is>
          <t>코스닥</t>
        </is>
      </c>
      <c r="D3064" s="2" t="inlineStr">
        <is>
          <t>080720</t>
        </is>
      </c>
      <c r="E3064" s="3" t="inlineStr">
        <is>
          <t>기타시장안내              (개선계획 이행내역서 제출)</t>
        </is>
      </c>
      <c r="F3064" s="3" t="inlineStr">
        <is>
          <t>코스닥시장본부</t>
        </is>
      </c>
      <c r="G3064" s="2" t="inlineStr">
        <is>
          <t>20260306900989</t>
        </is>
      </c>
      <c r="H3064" s="8">
        <f>HYPERLINK("https://dart.fss.or.kr/dsaf001/main.do?rcpNo=20260306900989", "공시열람")</f>
        <v/>
      </c>
    </row>
    <row r="3065">
      <c r="A3065" s="2" t="inlineStr">
        <is>
          <t>2026-03-06</t>
        </is>
      </c>
      <c r="B3065" s="3" t="inlineStr">
        <is>
          <t>씨아이테크</t>
        </is>
      </c>
      <c r="C3065" s="2" t="inlineStr">
        <is>
          <t>코스피</t>
        </is>
      </c>
      <c r="D3065" s="2" t="inlineStr">
        <is>
          <t>004920</t>
        </is>
      </c>
      <c r="E3065" s="3" t="inlineStr">
        <is>
          <t>의결권대리행사권유참고서류</t>
        </is>
      </c>
      <c r="F3065" s="3" t="inlineStr">
        <is>
          <t>씨아이테크</t>
        </is>
      </c>
      <c r="G3065" s="2" t="inlineStr">
        <is>
          <t>20260306000630</t>
        </is>
      </c>
      <c r="H3065" s="8">
        <f>HYPERLINK("https://dart.fss.or.kr/dsaf001/main.do?rcpNo=20260306000630", "공시열람")</f>
        <v/>
      </c>
    </row>
    <row r="3066">
      <c r="A3066" s="2" t="inlineStr">
        <is>
          <t>2026-03-06</t>
        </is>
      </c>
      <c r="B3066" s="3" t="inlineStr">
        <is>
          <t>엠씨넥스</t>
        </is>
      </c>
      <c r="C3066" s="2" t="inlineStr">
        <is>
          <t>코스피</t>
        </is>
      </c>
      <c r="D3066" s="2" t="inlineStr">
        <is>
          <t>097520</t>
        </is>
      </c>
      <c r="E3066" s="3" t="inlineStr">
        <is>
          <t>임원ㆍ주요주주특정증권등소유상황보고서</t>
        </is>
      </c>
      <c r="F3066" s="3" t="inlineStr">
        <is>
          <t>임장호</t>
        </is>
      </c>
      <c r="G3066" s="2" t="inlineStr">
        <is>
          <t>20260306000626</t>
        </is>
      </c>
      <c r="H3066" s="8">
        <f>HYPERLINK("https://dart.fss.or.kr/dsaf001/main.do?rcpNo=20260306000626", "공시열람")</f>
        <v/>
      </c>
    </row>
    <row r="3067">
      <c r="A3067" s="2" t="inlineStr">
        <is>
          <t>2026-03-06</t>
        </is>
      </c>
      <c r="B3067" s="3" t="inlineStr">
        <is>
          <t>한국콜마</t>
        </is>
      </c>
      <c r="C3067" s="2" t="inlineStr">
        <is>
          <t>코스피</t>
        </is>
      </c>
      <c r="D3067" s="2" t="inlineStr">
        <is>
          <t>161890</t>
        </is>
      </c>
      <c r="E3067" s="3" t="inlineStr">
        <is>
          <t xml:space="preserve">기업설명회(IR)개최(안내공시)              </t>
        </is>
      </c>
      <c r="F3067" s="3" t="inlineStr">
        <is>
          <t>한국콜마</t>
        </is>
      </c>
      <c r="G3067" s="2" t="inlineStr">
        <is>
          <t>20260306800984</t>
        </is>
      </c>
      <c r="H3067" s="8">
        <f>HYPERLINK("https://dart.fss.or.kr/dsaf001/main.do?rcpNo=20260306800984", "공시열람")</f>
        <v/>
      </c>
    </row>
    <row r="3068">
      <c r="A3068" s="2" t="inlineStr">
        <is>
          <t>2026-03-06</t>
        </is>
      </c>
      <c r="B3068" s="3" t="inlineStr">
        <is>
          <t>에이치시티</t>
        </is>
      </c>
      <c r="C3068" s="2" t="inlineStr">
        <is>
          <t>코스닥</t>
        </is>
      </c>
      <c r="D3068" s="2" t="inlineStr">
        <is>
          <t>072990</t>
        </is>
      </c>
      <c r="E3068" s="3" t="inlineStr">
        <is>
          <t xml:space="preserve">매출액또는손익구조30%(대규모법인은15%)미만변동(자율공시)              </t>
        </is>
      </c>
      <c r="F3068" s="3" t="inlineStr">
        <is>
          <t>에이치시티</t>
        </is>
      </c>
      <c r="G3068" s="2" t="inlineStr">
        <is>
          <t>20260306900864</t>
        </is>
      </c>
      <c r="H3068" s="8">
        <f>HYPERLINK("https://dart.fss.or.kr/dsaf001/main.do?rcpNo=20260306900864", "공시열람")</f>
        <v/>
      </c>
    </row>
    <row r="3069">
      <c r="A3069" s="2" t="inlineStr">
        <is>
          <t>2026-03-06</t>
        </is>
      </c>
      <c r="B3069" s="3" t="inlineStr">
        <is>
          <t>미래에셋증권</t>
        </is>
      </c>
      <c r="C3069" s="2" t="inlineStr">
        <is>
          <t>코스피</t>
        </is>
      </c>
      <c r="D3069" s="2" t="inlineStr">
        <is>
          <t>006800</t>
        </is>
      </c>
      <c r="E3069" s="3" t="inlineStr">
        <is>
          <t>임원ㆍ주요주주특정증권등소유상황보고서</t>
        </is>
      </c>
      <c r="F3069" s="3" t="inlineStr">
        <is>
          <t>안성덕</t>
        </is>
      </c>
      <c r="G3069" s="2" t="inlineStr">
        <is>
          <t>20260306000620</t>
        </is>
      </c>
      <c r="H3069" s="8">
        <f>HYPERLINK("https://dart.fss.or.kr/dsaf001/main.do?rcpNo=20260306000620", "공시열람")</f>
        <v/>
      </c>
    </row>
    <row r="3070">
      <c r="A3070" s="2" t="inlineStr">
        <is>
          <t>2026-03-06</t>
        </is>
      </c>
      <c r="B3070" s="3" t="inlineStr">
        <is>
          <t>미래에셋증권</t>
        </is>
      </c>
      <c r="C3070" s="2" t="inlineStr">
        <is>
          <t>코스피</t>
        </is>
      </c>
      <c r="D3070" s="2" t="inlineStr">
        <is>
          <t>006800</t>
        </is>
      </c>
      <c r="E3070" s="3" t="inlineStr">
        <is>
          <t>임원ㆍ주요주주특정증권등소유상황보고서</t>
        </is>
      </c>
      <c r="F3070" s="3" t="inlineStr">
        <is>
          <t>문지현</t>
        </is>
      </c>
      <c r="G3070" s="2" t="inlineStr">
        <is>
          <t>20260306000619</t>
        </is>
      </c>
      <c r="H3070" s="8">
        <f>HYPERLINK("https://dart.fss.or.kr/dsaf001/main.do?rcpNo=20260306000619", "공시열람")</f>
        <v/>
      </c>
    </row>
    <row r="3071">
      <c r="A3071" s="2" t="inlineStr">
        <is>
          <t>2026-03-06</t>
        </is>
      </c>
      <c r="B3071" s="3" t="inlineStr">
        <is>
          <t>씨큐브</t>
        </is>
      </c>
      <c r="C3071" s="2" t="inlineStr">
        <is>
          <t>코스닥</t>
        </is>
      </c>
      <c r="D3071" s="2" t="inlineStr">
        <is>
          <t>101240</t>
        </is>
      </c>
      <c r="E3071" s="3" t="inlineStr">
        <is>
          <t xml:space="preserve">감사보고서제출              </t>
        </is>
      </c>
      <c r="F3071" s="3" t="inlineStr">
        <is>
          <t>씨큐브</t>
        </is>
      </c>
      <c r="G3071" s="2" t="inlineStr">
        <is>
          <t>20260306900905</t>
        </is>
      </c>
      <c r="H3071" s="8">
        <f>HYPERLINK("https://dart.fss.or.kr/dsaf001/main.do?rcpNo=20260306900905", "공시열람")</f>
        <v/>
      </c>
    </row>
    <row r="3072">
      <c r="A3072" s="2" t="inlineStr">
        <is>
          <t>2026-03-06</t>
        </is>
      </c>
      <c r="B3072" s="3" t="inlineStr">
        <is>
          <t>엠씨넥스</t>
        </is>
      </c>
      <c r="C3072" s="2" t="inlineStr">
        <is>
          <t>코스피</t>
        </is>
      </c>
      <c r="D3072" s="2" t="inlineStr">
        <is>
          <t>097520</t>
        </is>
      </c>
      <c r="E3072" s="3" t="inlineStr">
        <is>
          <t>임원ㆍ주요주주특정증권등소유상황보고서</t>
        </is>
      </c>
      <c r="F3072" s="3" t="inlineStr">
        <is>
          <t>최수욱</t>
        </is>
      </c>
      <c r="G3072" s="2" t="inlineStr">
        <is>
          <t>20260306000618</t>
        </is>
      </c>
      <c r="H3072" s="8">
        <f>HYPERLINK("https://dart.fss.or.kr/dsaf001/main.do?rcpNo=20260306000618", "공시열람")</f>
        <v/>
      </c>
    </row>
    <row r="3073">
      <c r="A3073" s="2" t="inlineStr">
        <is>
          <t>2026-03-06</t>
        </is>
      </c>
      <c r="B3073" s="3" t="inlineStr">
        <is>
          <t>NAVER</t>
        </is>
      </c>
      <c r="C3073" s="2" t="inlineStr">
        <is>
          <t>코스피</t>
        </is>
      </c>
      <c r="D3073" s="2" t="inlineStr">
        <is>
          <t>035420</t>
        </is>
      </c>
      <c r="E3073" s="3" t="inlineStr">
        <is>
          <t>임원ㆍ주요주주특정증권등소유상황보고서</t>
        </is>
      </c>
      <c r="F3073" s="3" t="inlineStr">
        <is>
          <t>이승택</t>
        </is>
      </c>
      <c r="G3073" s="2" t="inlineStr">
        <is>
          <t>20260306000617</t>
        </is>
      </c>
      <c r="H3073" s="8">
        <f>HYPERLINK("https://dart.fss.or.kr/dsaf001/main.do?rcpNo=20260306000617", "공시열람")</f>
        <v/>
      </c>
    </row>
    <row r="3074">
      <c r="A3074" s="2" t="inlineStr">
        <is>
          <t>2026-03-06</t>
        </is>
      </c>
      <c r="B3074" s="3" t="inlineStr">
        <is>
          <t>심텍</t>
        </is>
      </c>
      <c r="C3074" s="2" t="inlineStr">
        <is>
          <t>코스닥</t>
        </is>
      </c>
      <c r="D3074" s="2" t="inlineStr">
        <is>
          <t>222800</t>
        </is>
      </c>
      <c r="E3074" s="3" t="inlineStr">
        <is>
          <t>임원ㆍ주요주주특정증권등소유상황보고서</t>
        </is>
      </c>
      <c r="F3074" s="3" t="inlineStr">
        <is>
          <t>김중회</t>
        </is>
      </c>
      <c r="G3074" s="2" t="inlineStr">
        <is>
          <t>20260306000615</t>
        </is>
      </c>
      <c r="H3074" s="8">
        <f>HYPERLINK("https://dart.fss.or.kr/dsaf001/main.do?rcpNo=20260306000615", "공시열람")</f>
        <v/>
      </c>
    </row>
    <row r="3075">
      <c r="A3075" s="2" t="inlineStr">
        <is>
          <t>2026-03-06</t>
        </is>
      </c>
      <c r="B3075" s="3" t="inlineStr">
        <is>
          <t>미래에셋증권</t>
        </is>
      </c>
      <c r="C3075" s="2" t="inlineStr">
        <is>
          <t>코스피</t>
        </is>
      </c>
      <c r="D3075" s="2" t="inlineStr">
        <is>
          <t>006800</t>
        </is>
      </c>
      <c r="E3075" s="3" t="inlineStr">
        <is>
          <t>임원ㆍ주요주주특정증권등소유상황보고서</t>
        </is>
      </c>
      <c r="F3075" s="3" t="inlineStr">
        <is>
          <t>형정숙</t>
        </is>
      </c>
      <c r="G3075" s="2" t="inlineStr">
        <is>
          <t>20260306000608</t>
        </is>
      </c>
      <c r="H3075" s="8">
        <f>HYPERLINK("https://dart.fss.or.kr/dsaf001/main.do?rcpNo=20260306000608", "공시열람")</f>
        <v/>
      </c>
    </row>
    <row r="3076">
      <c r="A3076" s="2" t="inlineStr">
        <is>
          <t>2026-03-06</t>
        </is>
      </c>
      <c r="B3076" s="3" t="inlineStr">
        <is>
          <t>이엘씨</t>
        </is>
      </c>
      <c r="C3076" s="2" t="inlineStr">
        <is>
          <t>코스닥</t>
        </is>
      </c>
      <c r="D3076" s="2" t="inlineStr">
        <is>
          <t>041520</t>
        </is>
      </c>
      <c r="E3076" s="3" t="inlineStr">
        <is>
          <t>의결권대리행사권유참고서류</t>
        </is>
      </c>
      <c r="F3076" s="3" t="inlineStr">
        <is>
          <t>이엘씨</t>
        </is>
      </c>
      <c r="G3076" s="2" t="inlineStr">
        <is>
          <t>20260306000607</t>
        </is>
      </c>
      <c r="H3076" s="8">
        <f>HYPERLINK("https://dart.fss.or.kr/dsaf001/main.do?rcpNo=20260306000607", "공시열람")</f>
        <v/>
      </c>
    </row>
    <row r="3077">
      <c r="A3077" s="2" t="inlineStr">
        <is>
          <t>2026-03-06</t>
        </is>
      </c>
      <c r="B3077" s="3" t="inlineStr">
        <is>
          <t>NAVER</t>
        </is>
      </c>
      <c r="C3077" s="2" t="inlineStr">
        <is>
          <t>코스피</t>
        </is>
      </c>
      <c r="D3077" s="2" t="inlineStr">
        <is>
          <t>035420</t>
        </is>
      </c>
      <c r="E3077" s="3" t="inlineStr">
        <is>
          <t>임원ㆍ주요주주특정증권등소유상황보고서</t>
        </is>
      </c>
      <c r="F3077" s="3" t="inlineStr">
        <is>
          <t>이은혜</t>
        </is>
      </c>
      <c r="G3077" s="2" t="inlineStr">
        <is>
          <t>20260306000605</t>
        </is>
      </c>
      <c r="H3077" s="8">
        <f>HYPERLINK("https://dart.fss.or.kr/dsaf001/main.do?rcpNo=20260306000605", "공시열람")</f>
        <v/>
      </c>
    </row>
    <row r="3078">
      <c r="A3078" s="2" t="inlineStr">
        <is>
          <t>2026-03-06</t>
        </is>
      </c>
      <c r="B3078" s="3" t="inlineStr">
        <is>
          <t>금호에이치티</t>
        </is>
      </c>
      <c r="C3078" s="2" t="inlineStr">
        <is>
          <t>코스피</t>
        </is>
      </c>
      <c r="D3078" s="2" t="inlineStr">
        <is>
          <t>214330</t>
        </is>
      </c>
      <c r="E3078" s="3" t="inlineStr">
        <is>
          <t>임원ㆍ주요주주특정증권등소유상황보고서</t>
        </is>
      </c>
      <c r="F3078" s="3" t="inlineStr">
        <is>
          <t>김두인</t>
        </is>
      </c>
      <c r="G3078" s="2" t="inlineStr">
        <is>
          <t>20260306000603</t>
        </is>
      </c>
      <c r="H3078" s="8">
        <f>HYPERLINK("https://dart.fss.or.kr/dsaf001/main.do?rcpNo=20260306000603", "공시열람")</f>
        <v/>
      </c>
    </row>
    <row r="3079">
      <c r="A3079" s="2" t="inlineStr">
        <is>
          <t>2026-03-06</t>
        </is>
      </c>
      <c r="B3079" s="3" t="inlineStr">
        <is>
          <t>대한광통신</t>
        </is>
      </c>
      <c r="C3079" s="2" t="inlineStr">
        <is>
          <t>코스닥</t>
        </is>
      </c>
      <c r="D3079" s="2" t="inlineStr">
        <is>
          <t>010170</t>
        </is>
      </c>
      <c r="E3079" s="3" t="inlineStr">
        <is>
          <t>증권발행실적보고서</t>
        </is>
      </c>
      <c r="F3079" s="3" t="inlineStr">
        <is>
          <t>대한광통신</t>
        </is>
      </c>
      <c r="G3079" s="2" t="inlineStr">
        <is>
          <t>20260306000600</t>
        </is>
      </c>
      <c r="H3079" s="8">
        <f>HYPERLINK("https://dart.fss.or.kr/dsaf001/main.do?rcpNo=20260306000600", "공시열람")</f>
        <v/>
      </c>
    </row>
    <row r="3080">
      <c r="A3080" s="2" t="inlineStr">
        <is>
          <t>2026-03-06</t>
        </is>
      </c>
      <c r="B3080" s="3" t="inlineStr">
        <is>
          <t>디아이동일</t>
        </is>
      </c>
      <c r="C3080" s="2" t="inlineStr">
        <is>
          <t>코스피</t>
        </is>
      </c>
      <c r="D3080" s="2" t="inlineStr">
        <is>
          <t>001530</t>
        </is>
      </c>
      <c r="E3080" s="3" t="inlineStr">
        <is>
          <t xml:space="preserve">기업설명회(IR)개최(안내공시)              </t>
        </is>
      </c>
      <c r="F3080" s="3" t="inlineStr">
        <is>
          <t>디아이동일</t>
        </is>
      </c>
      <c r="G3080" s="2" t="inlineStr">
        <is>
          <t>20260306800914</t>
        </is>
      </c>
      <c r="H3080" s="8">
        <f>HYPERLINK("https://dart.fss.or.kr/dsaf001/main.do?rcpNo=20260306800914", "공시열람")</f>
        <v/>
      </c>
    </row>
    <row r="3081">
      <c r="A3081" s="2" t="inlineStr">
        <is>
          <t>2026-03-06</t>
        </is>
      </c>
      <c r="B3081" s="3" t="inlineStr">
        <is>
          <t>NAVER</t>
        </is>
      </c>
      <c r="C3081" s="2" t="inlineStr">
        <is>
          <t>코스피</t>
        </is>
      </c>
      <c r="D3081" s="2" t="inlineStr">
        <is>
          <t>035420</t>
        </is>
      </c>
      <c r="E3081" s="3" t="inlineStr">
        <is>
          <t>임원ㆍ주요주주특정증권등소유상황보고서</t>
        </is>
      </c>
      <c r="F3081" s="3" t="inlineStr">
        <is>
          <t>임주열</t>
        </is>
      </c>
      <c r="G3081" s="2" t="inlineStr">
        <is>
          <t>20260306000597</t>
        </is>
      </c>
      <c r="H3081" s="8">
        <f>HYPERLINK("https://dart.fss.or.kr/dsaf001/main.do?rcpNo=20260306000597", "공시열람")</f>
        <v/>
      </c>
    </row>
    <row r="3082">
      <c r="A3082" s="2" t="inlineStr">
        <is>
          <t>2026-03-06</t>
        </is>
      </c>
      <c r="B3082" s="3" t="inlineStr">
        <is>
          <t>삼성E&amp;A</t>
        </is>
      </c>
      <c r="C3082" s="2" t="inlineStr">
        <is>
          <t>코스피</t>
        </is>
      </c>
      <c r="D3082" s="2" t="inlineStr">
        <is>
          <t>028050</t>
        </is>
      </c>
      <c r="E3082" s="3" t="inlineStr">
        <is>
          <t xml:space="preserve">감사보고서제출              </t>
        </is>
      </c>
      <c r="F3082" s="3" t="inlineStr">
        <is>
          <t>삼성E&amp;A</t>
        </is>
      </c>
      <c r="G3082" s="2" t="inlineStr">
        <is>
          <t>20260306800897</t>
        </is>
      </c>
      <c r="H3082" s="8">
        <f>HYPERLINK("https://dart.fss.or.kr/dsaf001/main.do?rcpNo=20260306800897", "공시열람")</f>
        <v/>
      </c>
    </row>
    <row r="3083">
      <c r="A3083" s="2" t="inlineStr">
        <is>
          <t>2026-03-06</t>
        </is>
      </c>
      <c r="B3083" s="3" t="inlineStr">
        <is>
          <t>미원홀딩스</t>
        </is>
      </c>
      <c r="C3083" s="2" t="inlineStr">
        <is>
          <t>코스피</t>
        </is>
      </c>
      <c r="D3083" s="2" t="inlineStr">
        <is>
          <t>107590</t>
        </is>
      </c>
      <c r="E3083" s="3" t="inlineStr">
        <is>
          <t>임원ㆍ주요주주특정증권등소유상황보고서</t>
        </is>
      </c>
      <c r="F3083" s="3" t="inlineStr">
        <is>
          <t>미화물류</t>
        </is>
      </c>
      <c r="G3083" s="2" t="inlineStr">
        <is>
          <t>20260306000588</t>
        </is>
      </c>
      <c r="H3083" s="8">
        <f>HYPERLINK("https://dart.fss.or.kr/dsaf001/main.do?rcpNo=20260306000588", "공시열람")</f>
        <v/>
      </c>
    </row>
    <row r="3084">
      <c r="A3084" s="2" t="inlineStr">
        <is>
          <t>2026-03-06</t>
        </is>
      </c>
      <c r="B3084" s="3" t="inlineStr">
        <is>
          <t>HLB글로벌</t>
        </is>
      </c>
      <c r="C3084" s="2" t="inlineStr">
        <is>
          <t>코스피</t>
        </is>
      </c>
      <c r="D3084" s="2" t="inlineStr">
        <is>
          <t>003580</t>
        </is>
      </c>
      <c r="E3084" s="3" t="inlineStr">
        <is>
          <t xml:space="preserve">기타경영사항(자율공시)              </t>
        </is>
      </c>
      <c r="F3084" s="3" t="inlineStr">
        <is>
          <t>HLB글로벌</t>
        </is>
      </c>
      <c r="G3084" s="2" t="inlineStr">
        <is>
          <t>20260306800887</t>
        </is>
      </c>
      <c r="H3084" s="8">
        <f>HYPERLINK("https://dart.fss.or.kr/dsaf001/main.do?rcpNo=20260306800887", "공시열람")</f>
        <v/>
      </c>
    </row>
    <row r="3085">
      <c r="A3085" s="2" t="inlineStr">
        <is>
          <t>2026-03-06</t>
        </is>
      </c>
      <c r="B3085" s="3" t="inlineStr">
        <is>
          <t>아나패스</t>
        </is>
      </c>
      <c r="C3085" s="2" t="inlineStr">
        <is>
          <t>코스닥</t>
        </is>
      </c>
      <c r="D3085" s="2" t="inlineStr">
        <is>
          <t>123860</t>
        </is>
      </c>
      <c r="E3085" s="3" t="inlineStr">
        <is>
          <t xml:space="preserve">현금ㆍ현물배당결정              </t>
        </is>
      </c>
      <c r="F3085" s="3" t="inlineStr">
        <is>
          <t>아나패스</t>
        </is>
      </c>
      <c r="G3085" s="2" t="inlineStr">
        <is>
          <t>20260306900877</t>
        </is>
      </c>
      <c r="H3085" s="8">
        <f>HYPERLINK("https://dart.fss.or.kr/dsaf001/main.do?rcpNo=20260306900877", "공시열람")</f>
        <v/>
      </c>
    </row>
    <row r="3086">
      <c r="A3086" s="2" t="inlineStr">
        <is>
          <t>2026-03-06</t>
        </is>
      </c>
      <c r="B3086" s="3" t="inlineStr">
        <is>
          <t>NAVER</t>
        </is>
      </c>
      <c r="C3086" s="2" t="inlineStr">
        <is>
          <t>코스피</t>
        </is>
      </c>
      <c r="D3086" s="2" t="inlineStr">
        <is>
          <t>035420</t>
        </is>
      </c>
      <c r="E3086" s="3" t="inlineStr">
        <is>
          <t>임원ㆍ주요주주특정증권등소유상황보고서</t>
        </is>
      </c>
      <c r="F3086" s="3" t="inlineStr">
        <is>
          <t>정영인</t>
        </is>
      </c>
      <c r="G3086" s="2" t="inlineStr">
        <is>
          <t>20260306000586</t>
        </is>
      </c>
      <c r="H3086" s="8">
        <f>HYPERLINK("https://dart.fss.or.kr/dsaf001/main.do?rcpNo=20260306000586", "공시열람")</f>
        <v/>
      </c>
    </row>
    <row r="3087">
      <c r="A3087" s="2" t="inlineStr">
        <is>
          <t>2026-03-06</t>
        </is>
      </c>
      <c r="B3087" s="3" t="inlineStr">
        <is>
          <t>금호에이치티</t>
        </is>
      </c>
      <c r="C3087" s="2" t="inlineStr">
        <is>
          <t>코스피</t>
        </is>
      </c>
      <c r="D3087" s="2" t="inlineStr">
        <is>
          <t>214330</t>
        </is>
      </c>
      <c r="E3087" s="3" t="inlineStr">
        <is>
          <t>임원ㆍ주요주주특정증권등소유상황보고서</t>
        </is>
      </c>
      <c r="F3087" s="3" t="inlineStr">
        <is>
          <t>김진곤</t>
        </is>
      </c>
      <c r="G3087" s="2" t="inlineStr">
        <is>
          <t>20260306000584</t>
        </is>
      </c>
      <c r="H3087" s="8">
        <f>HYPERLINK("https://dart.fss.or.kr/dsaf001/main.do?rcpNo=20260306000584", "공시열람")</f>
        <v/>
      </c>
    </row>
    <row r="3088">
      <c r="A3088" s="2" t="inlineStr">
        <is>
          <t>2026-03-06 (정정: 2026-03-12)</t>
        </is>
      </c>
      <c r="B3088" s="3" t="inlineStr">
        <is>
          <t>SK케미칼</t>
        </is>
      </c>
      <c r="C3088" s="2" t="inlineStr">
        <is>
          <t>코스피</t>
        </is>
      </c>
      <c r="D3088" s="2" t="inlineStr">
        <is>
          <t>285130</t>
        </is>
      </c>
      <c r="E3088" s="3" t="inlineStr">
        <is>
          <t>의결권대리행사권유참고서류 (정정: 20260312) (정정: 20260312)</t>
        </is>
      </c>
      <c r="F3088" s="3" t="inlineStr">
        <is>
          <t>SK케미칼</t>
        </is>
      </c>
      <c r="G3088" s="2" t="inlineStr">
        <is>
          <t>20260312000193</t>
        </is>
      </c>
      <c r="H3088" s="8">
        <f>HYPERLINK("https://dart.fss.or.kr/dsaf001/main.do?rcpNo=20260312000193", "공시열람")</f>
        <v/>
      </c>
    </row>
    <row r="3089">
      <c r="A3089" s="2" t="inlineStr">
        <is>
          <t>2026-03-06</t>
        </is>
      </c>
      <c r="B3089" s="3" t="inlineStr">
        <is>
          <t>NAVER</t>
        </is>
      </c>
      <c r="C3089" s="2" t="inlineStr">
        <is>
          <t>코스피</t>
        </is>
      </c>
      <c r="D3089" s="2" t="inlineStr">
        <is>
          <t>035420</t>
        </is>
      </c>
      <c r="E3089" s="3" t="inlineStr">
        <is>
          <t>임원ㆍ주요주주특정증권등소유상황보고서</t>
        </is>
      </c>
      <c r="F3089" s="3" t="inlineStr">
        <is>
          <t>조진영</t>
        </is>
      </c>
      <c r="G3089" s="2" t="inlineStr">
        <is>
          <t>20260306000574</t>
        </is>
      </c>
      <c r="H3089" s="8">
        <f>HYPERLINK("https://dart.fss.or.kr/dsaf001/main.do?rcpNo=20260306000574", "공시열람")</f>
        <v/>
      </c>
    </row>
    <row r="3090">
      <c r="A3090" s="2" t="inlineStr">
        <is>
          <t>2026-03-06</t>
        </is>
      </c>
      <c r="B3090" s="3" t="inlineStr">
        <is>
          <t>오토앤</t>
        </is>
      </c>
      <c r="C3090" s="2" t="inlineStr">
        <is>
          <t>코스닥</t>
        </is>
      </c>
      <c r="D3090" s="2" t="inlineStr">
        <is>
          <t>353590</t>
        </is>
      </c>
      <c r="E3090" s="3" t="inlineStr">
        <is>
          <t xml:space="preserve">매출액또는손익구조30%(대규모법인은15%)이상변동              </t>
        </is>
      </c>
      <c r="F3090" s="3" t="inlineStr">
        <is>
          <t>오토앤</t>
        </is>
      </c>
      <c r="G3090" s="2" t="inlineStr">
        <is>
          <t>20260306900866</t>
        </is>
      </c>
      <c r="H3090" s="8">
        <f>HYPERLINK("https://dart.fss.or.kr/dsaf001/main.do?rcpNo=20260306900866", "공시열람")</f>
        <v/>
      </c>
    </row>
    <row r="3091">
      <c r="A3091" s="2" t="inlineStr">
        <is>
          <t>2026-03-06</t>
        </is>
      </c>
      <c r="B3091" s="3" t="inlineStr">
        <is>
          <t>NAVER</t>
        </is>
      </c>
      <c r="C3091" s="2" t="inlineStr">
        <is>
          <t>코스피</t>
        </is>
      </c>
      <c r="D3091" s="2" t="inlineStr">
        <is>
          <t>035420</t>
        </is>
      </c>
      <c r="E3091" s="3" t="inlineStr">
        <is>
          <t>임원ㆍ주요주주특정증권등소유상황보고서</t>
        </is>
      </c>
      <c r="F3091" s="3" t="inlineStr">
        <is>
          <t>한승균</t>
        </is>
      </c>
      <c r="G3091" s="2" t="inlineStr">
        <is>
          <t>20260306000564</t>
        </is>
      </c>
      <c r="H3091" s="8">
        <f>HYPERLINK("https://dart.fss.or.kr/dsaf001/main.do?rcpNo=20260306000564", "공시열람")</f>
        <v/>
      </c>
    </row>
    <row r="3092">
      <c r="A3092" s="2" t="inlineStr">
        <is>
          <t>2026-03-06</t>
        </is>
      </c>
      <c r="B3092" s="3" t="inlineStr">
        <is>
          <t>HPSP</t>
        </is>
      </c>
      <c r="C3092" s="2" t="inlineStr">
        <is>
          <t>코스닥</t>
        </is>
      </c>
      <c r="D3092" s="2" t="inlineStr">
        <is>
          <t>403870</t>
        </is>
      </c>
      <c r="E3092" s="3" t="inlineStr">
        <is>
          <t>임원ㆍ주요주주특정증권등소유상황보고서</t>
        </is>
      </c>
      <c r="F3092" s="3" t="inlineStr">
        <is>
          <t>임도희</t>
        </is>
      </c>
      <c r="G3092" s="2" t="inlineStr">
        <is>
          <t>20260306000563</t>
        </is>
      </c>
      <c r="H3092" s="8">
        <f>HYPERLINK("https://dart.fss.or.kr/dsaf001/main.do?rcpNo=20260306000563", "공시열람")</f>
        <v/>
      </c>
    </row>
    <row r="3093">
      <c r="A3093" s="2" t="inlineStr">
        <is>
          <t>2026-03-06</t>
        </is>
      </c>
      <c r="B3093" s="3" t="inlineStr">
        <is>
          <t>미래에셋증권</t>
        </is>
      </c>
      <c r="C3093" s="2" t="inlineStr">
        <is>
          <t>코스피</t>
        </is>
      </c>
      <c r="D3093" s="2" t="inlineStr">
        <is>
          <t>006800</t>
        </is>
      </c>
      <c r="E3093" s="3" t="inlineStr">
        <is>
          <t>임원ㆍ주요주주특정증권등소유상황보고서</t>
        </is>
      </c>
      <c r="F3093" s="3" t="inlineStr">
        <is>
          <t>선종춘</t>
        </is>
      </c>
      <c r="G3093" s="2" t="inlineStr">
        <is>
          <t>20260306000560</t>
        </is>
      </c>
      <c r="H3093" s="8">
        <f>HYPERLINK("https://dart.fss.or.kr/dsaf001/main.do?rcpNo=20260306000560", "공시열람")</f>
        <v/>
      </c>
    </row>
    <row r="3094">
      <c r="A3094" s="2" t="inlineStr">
        <is>
          <t>2026-03-06</t>
        </is>
      </c>
      <c r="B3094" s="3" t="inlineStr">
        <is>
          <t>교촌에프앤비</t>
        </is>
      </c>
      <c r="C3094" s="2" t="inlineStr">
        <is>
          <t>코스피</t>
        </is>
      </c>
      <c r="D3094" s="2" t="inlineStr">
        <is>
          <t>339770</t>
        </is>
      </c>
      <c r="E3094" s="3" t="inlineStr">
        <is>
          <t xml:space="preserve">기업설명회(IR)개최(안내공시)              </t>
        </is>
      </c>
      <c r="F3094" s="3" t="inlineStr">
        <is>
          <t>교촌에프앤비</t>
        </is>
      </c>
      <c r="G3094" s="2" t="inlineStr">
        <is>
          <t>20260306800895</t>
        </is>
      </c>
      <c r="H3094" s="8">
        <f>HYPERLINK("https://dart.fss.or.kr/dsaf001/main.do?rcpNo=20260306800895", "공시열람")</f>
        <v/>
      </c>
    </row>
    <row r="3095">
      <c r="A3095" s="2" t="inlineStr">
        <is>
          <t>2026-03-06</t>
        </is>
      </c>
      <c r="B3095" s="3" t="inlineStr">
        <is>
          <t>대한광통신</t>
        </is>
      </c>
      <c r="C3095" s="2" t="inlineStr">
        <is>
          <t>코스닥</t>
        </is>
      </c>
      <c r="D3095" s="2" t="inlineStr">
        <is>
          <t>010170</t>
        </is>
      </c>
      <c r="E3095" s="3" t="inlineStr">
        <is>
          <t xml:space="preserve">증권발행결과(자율공시)              </t>
        </is>
      </c>
      <c r="F3095" s="3" t="inlineStr">
        <is>
          <t>대한광통신</t>
        </is>
      </c>
      <c r="G3095" s="2" t="inlineStr">
        <is>
          <t>20260306900886</t>
        </is>
      </c>
      <c r="H3095" s="8">
        <f>HYPERLINK("https://dart.fss.or.kr/dsaf001/main.do?rcpNo=20260306900886", "공시열람")</f>
        <v/>
      </c>
    </row>
    <row r="3096">
      <c r="A3096" s="2" t="inlineStr">
        <is>
          <t>2026-03-06</t>
        </is>
      </c>
      <c r="B3096" s="3" t="inlineStr">
        <is>
          <t>제이케이시냅스</t>
        </is>
      </c>
      <c r="C3096" s="2" t="inlineStr">
        <is>
          <t>코스닥</t>
        </is>
      </c>
      <c r="D3096" s="2" t="inlineStr">
        <is>
          <t>060230</t>
        </is>
      </c>
      <c r="E3096" s="3" t="inlineStr">
        <is>
          <t>전환가액의조정              (제30회차)</t>
        </is>
      </c>
      <c r="F3096" s="3" t="inlineStr">
        <is>
          <t>제이케이시냅스</t>
        </is>
      </c>
      <c r="G3096" s="2" t="inlineStr">
        <is>
          <t>20260306900818</t>
        </is>
      </c>
      <c r="H3096" s="8">
        <f>HYPERLINK("https://dart.fss.or.kr/dsaf001/main.do?rcpNo=20260306900818", "공시열람")</f>
        <v/>
      </c>
    </row>
    <row r="3097">
      <c r="A3097" s="2" t="inlineStr">
        <is>
          <t>2026-03-06</t>
        </is>
      </c>
      <c r="B3097" s="3" t="inlineStr">
        <is>
          <t>미래에셋증권</t>
        </is>
      </c>
      <c r="C3097" s="2" t="inlineStr">
        <is>
          <t>코스피</t>
        </is>
      </c>
      <c r="D3097" s="2" t="inlineStr">
        <is>
          <t>006800</t>
        </is>
      </c>
      <c r="E3097" s="3" t="inlineStr">
        <is>
          <t>임원ㆍ주요주주특정증권등소유상황보고서</t>
        </is>
      </c>
      <c r="F3097" s="3" t="inlineStr">
        <is>
          <t>김승욱</t>
        </is>
      </c>
      <c r="G3097" s="2" t="inlineStr">
        <is>
          <t>20260306000553</t>
        </is>
      </c>
      <c r="H3097" s="8">
        <f>HYPERLINK("https://dart.fss.or.kr/dsaf001/main.do?rcpNo=20260306000553", "공시열람")</f>
        <v/>
      </c>
    </row>
    <row r="3098">
      <c r="A3098" s="2" t="inlineStr">
        <is>
          <t>2026-03-06 (정정: 2026-03-11)</t>
        </is>
      </c>
      <c r="B3098" s="3" t="inlineStr">
        <is>
          <t>애경케미칼</t>
        </is>
      </c>
      <c r="C3098" s="2" t="inlineStr">
        <is>
          <t>코스피</t>
        </is>
      </c>
      <c r="D3098" s="2" t="inlineStr">
        <is>
          <t>161000</t>
        </is>
      </c>
      <c r="E3098" s="3" t="inlineStr">
        <is>
          <t>의결권대리행사권유참고서류 (정정: 20260311)</t>
        </is>
      </c>
      <c r="F3098" s="3" t="inlineStr">
        <is>
          <t>애경케미칼</t>
        </is>
      </c>
      <c r="G3098" s="2" t="inlineStr">
        <is>
          <t>20260311003343</t>
        </is>
      </c>
      <c r="H3098" s="8">
        <f>HYPERLINK("https://dart.fss.or.kr/dsaf001/main.do?rcpNo=20260311003343", "공시열람")</f>
        <v/>
      </c>
    </row>
    <row r="3099">
      <c r="A3099" s="2" t="inlineStr">
        <is>
          <t>2026-03-06</t>
        </is>
      </c>
      <c r="B3099" s="3" t="inlineStr">
        <is>
          <t>아나패스</t>
        </is>
      </c>
      <c r="C3099" s="2" t="inlineStr">
        <is>
          <t>코스닥</t>
        </is>
      </c>
      <c r="D3099" s="2" t="inlineStr">
        <is>
          <t>123860</t>
        </is>
      </c>
      <c r="E3099" s="3" t="inlineStr">
        <is>
          <t xml:space="preserve">매출액또는손익구조30%(대규모법인은15%)이상변동              </t>
        </is>
      </c>
      <c r="F3099" s="3" t="inlineStr">
        <is>
          <t>아나패스</t>
        </is>
      </c>
      <c r="G3099" s="2" t="inlineStr">
        <is>
          <t>20260306900824</t>
        </is>
      </c>
      <c r="H3099" s="8">
        <f>HYPERLINK("https://dart.fss.or.kr/dsaf001/main.do?rcpNo=20260306900824", "공시열람")</f>
        <v/>
      </c>
    </row>
    <row r="3100">
      <c r="A3100" s="2" t="inlineStr">
        <is>
          <t>2026-03-06</t>
        </is>
      </c>
      <c r="B3100" s="3" t="inlineStr">
        <is>
          <t>미래에셋증권</t>
        </is>
      </c>
      <c r="C3100" s="2" t="inlineStr">
        <is>
          <t>코스피</t>
        </is>
      </c>
      <c r="D3100" s="2" t="inlineStr">
        <is>
          <t>006800</t>
        </is>
      </c>
      <c r="E3100" s="3" t="inlineStr">
        <is>
          <t>임원ㆍ주요주주특정증권등소유상황보고서</t>
        </is>
      </c>
      <c r="F3100" s="3" t="inlineStr">
        <is>
          <t>이경일</t>
        </is>
      </c>
      <c r="G3100" s="2" t="inlineStr">
        <is>
          <t>20260306000546</t>
        </is>
      </c>
      <c r="H3100" s="8">
        <f>HYPERLINK("https://dart.fss.or.kr/dsaf001/main.do?rcpNo=20260306000546", "공시열람")</f>
        <v/>
      </c>
    </row>
    <row r="3101">
      <c r="A3101" s="2" t="inlineStr">
        <is>
          <t>2026-03-06</t>
        </is>
      </c>
      <c r="B3101" s="3" t="inlineStr">
        <is>
          <t>사이냅소프트</t>
        </is>
      </c>
      <c r="C3101" s="2" t="inlineStr">
        <is>
          <t>코스닥</t>
        </is>
      </c>
      <c r="D3101" s="2" t="inlineStr">
        <is>
          <t>466410</t>
        </is>
      </c>
      <c r="E3101" s="3" t="inlineStr">
        <is>
          <t>의결권대리행사권유참고서류</t>
        </is>
      </c>
      <c r="F3101" s="3" t="inlineStr">
        <is>
          <t>사이냅소프트</t>
        </is>
      </c>
      <c r="G3101" s="2" t="inlineStr">
        <is>
          <t>20260306000545</t>
        </is>
      </c>
      <c r="H3101" s="8">
        <f>HYPERLINK("https://dart.fss.or.kr/dsaf001/main.do?rcpNo=20260306000545", "공시열람")</f>
        <v/>
      </c>
    </row>
    <row r="3102">
      <c r="A3102" s="2" t="inlineStr">
        <is>
          <t>2026-03-06</t>
        </is>
      </c>
      <c r="B3102" s="3" t="inlineStr">
        <is>
          <t>에스케이바이오팜</t>
        </is>
      </c>
      <c r="C3102" s="2" t="inlineStr">
        <is>
          <t>코스피</t>
        </is>
      </c>
      <c r="D3102" s="2" t="inlineStr">
        <is>
          <t>326030</t>
        </is>
      </c>
      <c r="E3102" s="3" t="inlineStr">
        <is>
          <t xml:space="preserve">타법인주식및출자증권취득결정              </t>
        </is>
      </c>
      <c r="F3102" s="3" t="inlineStr">
        <is>
          <t>에스케이바이오팜</t>
        </is>
      </c>
      <c r="G3102" s="2" t="inlineStr">
        <is>
          <t>20260306800793</t>
        </is>
      </c>
      <c r="H3102" s="8">
        <f>HYPERLINK("https://dart.fss.or.kr/dsaf001/main.do?rcpNo=20260306800793", "공시열람")</f>
        <v/>
      </c>
    </row>
    <row r="3103">
      <c r="A3103" s="2" t="inlineStr">
        <is>
          <t>2026-03-06</t>
        </is>
      </c>
      <c r="B3103" s="3" t="inlineStr">
        <is>
          <t>미래에셋증권</t>
        </is>
      </c>
      <c r="C3103" s="2" t="inlineStr">
        <is>
          <t>코스피</t>
        </is>
      </c>
      <c r="D3103" s="2" t="inlineStr">
        <is>
          <t>006800</t>
        </is>
      </c>
      <c r="E3103" s="3" t="inlineStr">
        <is>
          <t>증권발행실적보고서</t>
        </is>
      </c>
      <c r="F3103" s="3" t="inlineStr">
        <is>
          <t>미래에셋증권</t>
        </is>
      </c>
      <c r="G3103" s="2" t="inlineStr">
        <is>
          <t>20260306000543</t>
        </is>
      </c>
      <c r="H3103" s="8">
        <f>HYPERLINK("https://dart.fss.or.kr/dsaf001/main.do?rcpNo=20260306000543", "공시열람")</f>
        <v/>
      </c>
    </row>
    <row r="3104">
      <c r="A3104" s="2" t="inlineStr">
        <is>
          <t>2026-03-06</t>
        </is>
      </c>
      <c r="B3104" s="3" t="inlineStr">
        <is>
          <t>BNK금융지주</t>
        </is>
      </c>
      <c r="C3104" s="2" t="inlineStr">
        <is>
          <t>코스피</t>
        </is>
      </c>
      <c r="D3104" s="2" t="inlineStr">
        <is>
          <t>138930</t>
        </is>
      </c>
      <c r="E3104" s="3" t="inlineStr">
        <is>
          <t xml:space="preserve">기업지배구조보고서공시(연차보고서)              </t>
        </is>
      </c>
      <c r="F3104" s="3" t="inlineStr">
        <is>
          <t>BNK금융지주</t>
        </is>
      </c>
      <c r="G3104" s="2" t="inlineStr">
        <is>
          <t>20260306800854</t>
        </is>
      </c>
      <c r="H3104" s="8">
        <f>HYPERLINK("https://dart.fss.or.kr/dsaf001/main.do?rcpNo=20260306800854", "공시열람")</f>
        <v/>
      </c>
    </row>
    <row r="3105">
      <c r="A3105" s="2" t="inlineStr">
        <is>
          <t>2026-02-11 (정정: 2026-03-06)</t>
        </is>
      </c>
      <c r="B3105" s="3" t="inlineStr">
        <is>
          <t>엔에이치스팩33호</t>
        </is>
      </c>
      <c r="C3105" s="2" t="inlineStr">
        <is>
          <t>코스닥</t>
        </is>
      </c>
      <c r="D3105" s="2" t="inlineStr">
        <is>
          <t>0130H0</t>
        </is>
      </c>
      <c r="E3105" s="3" t="inlineStr">
        <is>
          <t>[기재정정]증권신고서(지분증권)</t>
        </is>
      </c>
      <c r="F3105" s="3" t="inlineStr">
        <is>
          <t>엔에이치스팩33호</t>
        </is>
      </c>
      <c r="G3105" s="2" t="inlineStr">
        <is>
          <t>20260306000541</t>
        </is>
      </c>
      <c r="H3105" s="8">
        <f>HYPERLINK("https://dart.fss.or.kr/dsaf001/main.do?rcpNo=20260306000541", "공시열람")</f>
        <v/>
      </c>
    </row>
    <row r="3106">
      <c r="A3106" s="2" t="inlineStr">
        <is>
          <t>2026-03-06</t>
        </is>
      </c>
      <c r="B3106" s="3" t="inlineStr">
        <is>
          <t>코이즈</t>
        </is>
      </c>
      <c r="C3106" s="2" t="inlineStr">
        <is>
          <t>코스닥</t>
        </is>
      </c>
      <c r="D3106" s="2" t="inlineStr">
        <is>
          <t>121850</t>
        </is>
      </c>
      <c r="E3106" s="3" t="inlineStr">
        <is>
          <t>주요사항보고서(자기주식처분결정)</t>
        </is>
      </c>
      <c r="F3106" s="3" t="inlineStr">
        <is>
          <t>코이즈</t>
        </is>
      </c>
      <c r="G3106" s="2" t="inlineStr">
        <is>
          <t>20260306000520</t>
        </is>
      </c>
      <c r="H3106" s="8">
        <f>HYPERLINK("https://dart.fss.or.kr/dsaf001/main.do?rcpNo=20260306000520", "공시열람")</f>
        <v/>
      </c>
    </row>
    <row r="3107">
      <c r="A3107" s="2" t="inlineStr">
        <is>
          <t>2026-02-06 (정정: 2026-03-06)</t>
        </is>
      </c>
      <c r="B3107" s="3" t="inlineStr">
        <is>
          <t>우성머티리얼스</t>
        </is>
      </c>
      <c r="C3107" s="2" t="inlineStr">
        <is>
          <t>코스피</t>
        </is>
      </c>
      <c r="D3107" s="2" t="inlineStr">
        <is>
          <t>011300</t>
        </is>
      </c>
      <c r="E3107" s="3" t="inlineStr">
        <is>
          <t>[기재정정]주요사항보고서(타법인주식및출자증권양수결정)</t>
        </is>
      </c>
      <c r="F3107" s="3" t="inlineStr">
        <is>
          <t>우성머티리얼스</t>
        </is>
      </c>
      <c r="G3107" s="2" t="inlineStr">
        <is>
          <t>20260306000499</t>
        </is>
      </c>
      <c r="H3107" s="8">
        <f>HYPERLINK("https://dart.fss.or.kr/dsaf001/main.do?rcpNo=20260306000499", "공시열람")</f>
        <v/>
      </c>
    </row>
    <row r="3108">
      <c r="A3108" s="2" t="inlineStr">
        <is>
          <t>2026-03-06</t>
        </is>
      </c>
      <c r="B3108" s="3" t="inlineStr">
        <is>
          <t>이수화학</t>
        </is>
      </c>
      <c r="C3108" s="2" t="inlineStr">
        <is>
          <t>코스피</t>
        </is>
      </c>
      <c r="D3108" s="2" t="inlineStr">
        <is>
          <t>005950</t>
        </is>
      </c>
      <c r="E3108" s="3" t="inlineStr">
        <is>
          <t xml:space="preserve">기타경영사항(종속회사의주요경영사항)              </t>
        </is>
      </c>
      <c r="F3108" s="3" t="inlineStr">
        <is>
          <t>이수화학</t>
        </is>
      </c>
      <c r="G3108" s="2" t="inlineStr">
        <is>
          <t>20260306800845</t>
        </is>
      </c>
      <c r="H3108" s="8">
        <f>HYPERLINK("https://dart.fss.or.kr/dsaf001/main.do?rcpNo=20260306800845", "공시열람")</f>
        <v/>
      </c>
    </row>
    <row r="3109">
      <c r="A3109" s="2" t="inlineStr">
        <is>
          <t>2026-03-06</t>
        </is>
      </c>
      <c r="B3109" s="3" t="inlineStr">
        <is>
          <t>한화투자증권</t>
        </is>
      </c>
      <c r="C3109" s="2" t="inlineStr">
        <is>
          <t>코스피</t>
        </is>
      </c>
      <c r="D3109" s="2" t="inlineStr">
        <is>
          <t>003530</t>
        </is>
      </c>
      <c r="E3109" s="3" t="inlineStr">
        <is>
          <t>증권발행실적보고서</t>
        </is>
      </c>
      <c r="F3109" s="3" t="inlineStr">
        <is>
          <t>한화투자증권</t>
        </is>
      </c>
      <c r="G3109" s="2" t="inlineStr">
        <is>
          <t>20260306000535</t>
        </is>
      </c>
      <c r="H3109" s="8">
        <f>HYPERLINK("https://dart.fss.or.kr/dsaf001/main.do?rcpNo=20260306000535", "공시열람")</f>
        <v/>
      </c>
    </row>
    <row r="3110">
      <c r="A3110" s="2" t="inlineStr">
        <is>
          <t>2026-03-06</t>
        </is>
      </c>
      <c r="B3110" s="3" t="inlineStr">
        <is>
          <t>아이쓰리시스템</t>
        </is>
      </c>
      <c r="C3110" s="2" t="inlineStr">
        <is>
          <t>코스닥</t>
        </is>
      </c>
      <c r="D3110" s="2" t="inlineStr">
        <is>
          <t>214430</t>
        </is>
      </c>
      <c r="E3110" s="3" t="inlineStr">
        <is>
          <t xml:space="preserve">현금ㆍ현물배당결정              </t>
        </is>
      </c>
      <c r="F3110" s="3" t="inlineStr">
        <is>
          <t>아이쓰리시스템</t>
        </is>
      </c>
      <c r="G3110" s="2" t="inlineStr">
        <is>
          <t>20260306900684</t>
        </is>
      </c>
      <c r="H3110" s="8">
        <f>HYPERLINK("https://dart.fss.or.kr/dsaf001/main.do?rcpNo=20260306900684", "공시열람")</f>
        <v/>
      </c>
    </row>
    <row r="3111">
      <c r="A3111" s="2" t="inlineStr">
        <is>
          <t>2026-03-06</t>
        </is>
      </c>
      <c r="B3111" s="3" t="inlineStr">
        <is>
          <t>탑머티리얼</t>
        </is>
      </c>
      <c r="C3111" s="2" t="inlineStr">
        <is>
          <t>코스닥</t>
        </is>
      </c>
      <c r="D3111" s="2" t="inlineStr">
        <is>
          <t>360070</t>
        </is>
      </c>
      <c r="E3111" s="3" t="inlineStr">
        <is>
          <t>임원ㆍ주요주주특정증권등소유상황보고서</t>
        </is>
      </c>
      <c r="F3111" s="3" t="inlineStr">
        <is>
          <t>송철호</t>
        </is>
      </c>
      <c r="G3111" s="2" t="inlineStr">
        <is>
          <t>20260306000533</t>
        </is>
      </c>
      <c r="H3111" s="8">
        <f>HYPERLINK("https://dart.fss.or.kr/dsaf001/main.do?rcpNo=20260306000533", "공시열람")</f>
        <v/>
      </c>
    </row>
    <row r="3112">
      <c r="A3112" s="2" t="inlineStr">
        <is>
          <t>2026-03-06</t>
        </is>
      </c>
      <c r="B3112" s="3" t="inlineStr">
        <is>
          <t>코메론</t>
        </is>
      </c>
      <c r="C3112" s="2" t="inlineStr">
        <is>
          <t>코스닥</t>
        </is>
      </c>
      <c r="D3112" s="2" t="inlineStr">
        <is>
          <t>049430</t>
        </is>
      </c>
      <c r="E3112" s="3" t="inlineStr">
        <is>
          <t>임원ㆍ주요주주특정증권등소유상황보고서</t>
        </is>
      </c>
      <c r="F3112" s="3" t="inlineStr">
        <is>
          <t>소정</t>
        </is>
      </c>
      <c r="G3112" s="2" t="inlineStr">
        <is>
          <t>20260306000532</t>
        </is>
      </c>
      <c r="H3112" s="8">
        <f>HYPERLINK("https://dart.fss.or.kr/dsaf001/main.do?rcpNo=20260306000532", "공시열람")</f>
        <v/>
      </c>
    </row>
    <row r="3113">
      <c r="A3113" s="2" t="inlineStr">
        <is>
          <t>2026-03-06</t>
        </is>
      </c>
      <c r="B3113" s="3" t="inlineStr">
        <is>
          <t>이수화학</t>
        </is>
      </c>
      <c r="C3113" s="2" t="inlineStr">
        <is>
          <t>코스피</t>
        </is>
      </c>
      <c r="D3113" s="2" t="inlineStr">
        <is>
          <t>005950</t>
        </is>
      </c>
      <c r="E3113" s="3" t="inlineStr">
        <is>
          <t xml:space="preserve">기타경영사항(종속회사의주요경영사항)              </t>
        </is>
      </c>
      <c r="F3113" s="3" t="inlineStr">
        <is>
          <t>이수화학</t>
        </is>
      </c>
      <c r="G3113" s="2" t="inlineStr">
        <is>
          <t>20260306800836</t>
        </is>
      </c>
      <c r="H3113" s="8">
        <f>HYPERLINK("https://dart.fss.or.kr/dsaf001/main.do?rcpNo=20260306800836", "공시열람")</f>
        <v/>
      </c>
    </row>
    <row r="3114">
      <c r="A3114" s="2" t="inlineStr">
        <is>
          <t>2026-03-06</t>
        </is>
      </c>
      <c r="B3114" s="3" t="inlineStr">
        <is>
          <t>미래에셋증권</t>
        </is>
      </c>
      <c r="C3114" s="2" t="inlineStr">
        <is>
          <t>코스피</t>
        </is>
      </c>
      <c r="D3114" s="2" t="inlineStr">
        <is>
          <t>006800</t>
        </is>
      </c>
      <c r="E3114" s="3" t="inlineStr">
        <is>
          <t>임원ㆍ주요주주특정증권등소유상황보고서</t>
        </is>
      </c>
      <c r="F3114" s="3" t="inlineStr">
        <is>
          <t>홍진희</t>
        </is>
      </c>
      <c r="G3114" s="2" t="inlineStr">
        <is>
          <t>20260306000530</t>
        </is>
      </c>
      <c r="H3114" s="8">
        <f>HYPERLINK("https://dart.fss.or.kr/dsaf001/main.do?rcpNo=20260306000530", "공시열람")</f>
        <v/>
      </c>
    </row>
    <row r="3115">
      <c r="A3115" s="2" t="inlineStr">
        <is>
          <t>2026-03-06</t>
        </is>
      </c>
      <c r="B3115" s="3" t="inlineStr">
        <is>
          <t>코람코라이프인프라리츠</t>
        </is>
      </c>
      <c r="C3115" s="2" t="inlineStr">
        <is>
          <t>코스피</t>
        </is>
      </c>
      <c r="D3115" s="2" t="inlineStr">
        <is>
          <t>357120</t>
        </is>
      </c>
      <c r="E3115" s="3" t="inlineStr">
        <is>
          <t xml:space="preserve">유상증자또는주식관련사채등의발행결과(자율공시)              </t>
        </is>
      </c>
      <c r="F3115" s="3" t="inlineStr">
        <is>
          <t>코람코라이프인프라리츠</t>
        </is>
      </c>
      <c r="G3115" s="2" t="inlineStr">
        <is>
          <t>20260306800771</t>
        </is>
      </c>
      <c r="H3115" s="8">
        <f>HYPERLINK("https://dart.fss.or.kr/dsaf001/main.do?rcpNo=20260306800771", "공시열람")</f>
        <v/>
      </c>
    </row>
    <row r="3116">
      <c r="A3116" s="2" t="inlineStr">
        <is>
          <t>2026-03-06</t>
        </is>
      </c>
      <c r="B3116" s="3" t="inlineStr">
        <is>
          <t>한화투자증권</t>
        </is>
      </c>
      <c r="C3116" s="2" t="inlineStr">
        <is>
          <t>코스피</t>
        </is>
      </c>
      <c r="D3116" s="2" t="inlineStr">
        <is>
          <t>003530</t>
        </is>
      </c>
      <c r="E3116" s="3" t="inlineStr">
        <is>
          <t>증권발행실적보고서</t>
        </is>
      </c>
      <c r="F3116" s="3" t="inlineStr">
        <is>
          <t>한화투자증권</t>
        </is>
      </c>
      <c r="G3116" s="2" t="inlineStr">
        <is>
          <t>20260306000528</t>
        </is>
      </c>
      <c r="H3116" s="8">
        <f>HYPERLINK("https://dart.fss.or.kr/dsaf001/main.do?rcpNo=20260306000528", "공시열람")</f>
        <v/>
      </c>
    </row>
    <row r="3117">
      <c r="A3117" s="2" t="inlineStr">
        <is>
          <t>2026-03-06</t>
        </is>
      </c>
      <c r="B3117" s="3" t="inlineStr">
        <is>
          <t>미래에셋증권</t>
        </is>
      </c>
      <c r="C3117" s="2" t="inlineStr">
        <is>
          <t>코스피</t>
        </is>
      </c>
      <c r="D3117" s="2" t="inlineStr">
        <is>
          <t>006800</t>
        </is>
      </c>
      <c r="E3117" s="3" t="inlineStr">
        <is>
          <t>임원ㆍ주요주주특정증권등소유상황보고서</t>
        </is>
      </c>
      <c r="F3117" s="3" t="inlineStr">
        <is>
          <t>손임표</t>
        </is>
      </c>
      <c r="G3117" s="2" t="inlineStr">
        <is>
          <t>20260306000527</t>
        </is>
      </c>
      <c r="H3117" s="8">
        <f>HYPERLINK("https://dart.fss.or.kr/dsaf001/main.do?rcpNo=20260306000527", "공시열람")</f>
        <v/>
      </c>
    </row>
    <row r="3118">
      <c r="A3118" s="2" t="inlineStr">
        <is>
          <t>2026-03-06</t>
        </is>
      </c>
      <c r="B3118" s="3" t="inlineStr">
        <is>
          <t>코람코라이프인프라리츠</t>
        </is>
      </c>
      <c r="C3118" s="2" t="inlineStr">
        <is>
          <t>코스피</t>
        </is>
      </c>
      <c r="D3118" s="2" t="inlineStr">
        <is>
          <t>357120</t>
        </is>
      </c>
      <c r="E3118" s="3" t="inlineStr">
        <is>
          <t xml:space="preserve">유상증자또는주식관련사채등의발행결과(자율공시)              </t>
        </is>
      </c>
      <c r="F3118" s="3" t="inlineStr">
        <is>
          <t>코람코라이프인프라리츠</t>
        </is>
      </c>
      <c r="G3118" s="2" t="inlineStr">
        <is>
          <t>20260306800766</t>
        </is>
      </c>
      <c r="H3118" s="8">
        <f>HYPERLINK("https://dart.fss.or.kr/dsaf001/main.do?rcpNo=20260306800766", "공시열람")</f>
        <v/>
      </c>
    </row>
    <row r="3119">
      <c r="A3119" s="2" t="inlineStr">
        <is>
          <t>2026-03-06</t>
        </is>
      </c>
      <c r="B3119" s="3" t="inlineStr">
        <is>
          <t>iM금융지주</t>
        </is>
      </c>
      <c r="C3119" s="2" t="inlineStr">
        <is>
          <t>코스피</t>
        </is>
      </c>
      <c r="D3119" s="2" t="inlineStr">
        <is>
          <t>139130</t>
        </is>
      </c>
      <c r="E3119" s="3" t="inlineStr">
        <is>
          <t>임원ㆍ주요주주특정증권등소유상황보고서</t>
        </is>
      </c>
      <c r="F3119" s="3" t="inlineStr">
        <is>
          <t>김용</t>
        </is>
      </c>
      <c r="G3119" s="2" t="inlineStr">
        <is>
          <t>20260306000524</t>
        </is>
      </c>
      <c r="H3119" s="8">
        <f>HYPERLINK("https://dart.fss.or.kr/dsaf001/main.do?rcpNo=20260306000524", "공시열람")</f>
        <v/>
      </c>
    </row>
    <row r="3120">
      <c r="A3120" s="2" t="inlineStr">
        <is>
          <t>2026-03-06</t>
        </is>
      </c>
      <c r="B3120" s="3" t="inlineStr">
        <is>
          <t>미래에셋증권</t>
        </is>
      </c>
      <c r="C3120" s="2" t="inlineStr">
        <is>
          <t>코스피</t>
        </is>
      </c>
      <c r="D3120" s="2" t="inlineStr">
        <is>
          <t>006800</t>
        </is>
      </c>
      <c r="E3120" s="3" t="inlineStr">
        <is>
          <t>임원ㆍ주요주주특정증권등소유상황보고서</t>
        </is>
      </c>
      <c r="F3120" s="3" t="inlineStr">
        <is>
          <t>황병준</t>
        </is>
      </c>
      <c r="G3120" s="2" t="inlineStr">
        <is>
          <t>20260306000523</t>
        </is>
      </c>
      <c r="H3120" s="8">
        <f>HYPERLINK("https://dart.fss.or.kr/dsaf001/main.do?rcpNo=20260306000523", "공시열람")</f>
        <v/>
      </c>
    </row>
    <row r="3121">
      <c r="A3121" s="2" t="inlineStr">
        <is>
          <t>2026-03-06 (정정: 2026-03-10)</t>
        </is>
      </c>
      <c r="B3121" s="3" t="inlineStr">
        <is>
          <t>한화투자증권</t>
        </is>
      </c>
      <c r="C3121" s="2" t="inlineStr">
        <is>
          <t>코스피</t>
        </is>
      </c>
      <c r="D3121" s="2" t="inlineStr">
        <is>
          <t>003530</t>
        </is>
      </c>
      <c r="E3121" s="3" t="inlineStr">
        <is>
          <t>증권발행실적보고서 (정정: 20260310) (정정: 20260310) (정정: 20260310) (정정: 20260310)</t>
        </is>
      </c>
      <c r="F3121" s="3" t="inlineStr">
        <is>
          <t>한화투자증권</t>
        </is>
      </c>
      <c r="G3121" s="2" t="inlineStr">
        <is>
          <t>20260310002981</t>
        </is>
      </c>
      <c r="H3121" s="8">
        <f>HYPERLINK("https://dart.fss.or.kr/dsaf001/main.do?rcpNo=20260310002981", "공시열람")</f>
        <v/>
      </c>
    </row>
    <row r="3122">
      <c r="A3122" s="2" t="inlineStr">
        <is>
          <t>2026-03-06</t>
        </is>
      </c>
      <c r="B3122" s="3" t="inlineStr">
        <is>
          <t>TJ미디어</t>
        </is>
      </c>
      <c r="C3122" s="2" t="inlineStr">
        <is>
          <t>코스닥</t>
        </is>
      </c>
      <c r="D3122" s="2" t="inlineStr">
        <is>
          <t>032540</t>
        </is>
      </c>
      <c r="E3122" s="3" t="inlineStr">
        <is>
          <t>의결권대리행사권유참고서류</t>
        </is>
      </c>
      <c r="F3122" s="3" t="inlineStr">
        <is>
          <t>TJ미디어</t>
        </is>
      </c>
      <c r="G3122" s="2" t="inlineStr">
        <is>
          <t>20260306000519</t>
        </is>
      </c>
      <c r="H3122" s="8">
        <f>HYPERLINK("https://dart.fss.or.kr/dsaf001/main.do?rcpNo=20260306000519", "공시열람")</f>
        <v/>
      </c>
    </row>
    <row r="3123">
      <c r="A3123" s="2" t="inlineStr">
        <is>
          <t>2026-03-06</t>
        </is>
      </c>
      <c r="B3123" s="3" t="inlineStr">
        <is>
          <t>미래에셋증권</t>
        </is>
      </c>
      <c r="C3123" s="2" t="inlineStr">
        <is>
          <t>코스피</t>
        </is>
      </c>
      <c r="D3123" s="2" t="inlineStr">
        <is>
          <t>006800</t>
        </is>
      </c>
      <c r="E3123" s="3" t="inlineStr">
        <is>
          <t>임원ㆍ주요주주특정증권등소유상황보고서</t>
        </is>
      </c>
      <c r="F3123" s="3" t="inlineStr">
        <is>
          <t>최선민</t>
        </is>
      </c>
      <c r="G3123" s="2" t="inlineStr">
        <is>
          <t>20260306000518</t>
        </is>
      </c>
      <c r="H3123" s="8">
        <f>HYPERLINK("https://dart.fss.or.kr/dsaf001/main.do?rcpNo=20260306000518", "공시열람")</f>
        <v/>
      </c>
    </row>
    <row r="3124">
      <c r="A3124" s="2" t="inlineStr">
        <is>
          <t>2026-03-06</t>
        </is>
      </c>
      <c r="B3124" s="3" t="inlineStr">
        <is>
          <t>키움증권</t>
        </is>
      </c>
      <c r="C3124" s="2" t="inlineStr">
        <is>
          <t>코스피</t>
        </is>
      </c>
      <c r="D3124" s="2" t="inlineStr">
        <is>
          <t>039490</t>
        </is>
      </c>
      <c r="E3124" s="3" t="inlineStr">
        <is>
          <t>증권발행실적보고서</t>
        </is>
      </c>
      <c r="F3124" s="3" t="inlineStr">
        <is>
          <t>키움증권</t>
        </is>
      </c>
      <c r="G3124" s="2" t="inlineStr">
        <is>
          <t>20260306000517</t>
        </is>
      </c>
      <c r="H3124" s="8">
        <f>HYPERLINK("https://dart.fss.or.kr/dsaf001/main.do?rcpNo=20260306000517", "공시열람")</f>
        <v/>
      </c>
    </row>
    <row r="3125">
      <c r="A3125" s="2" t="inlineStr">
        <is>
          <t>2026-03-06</t>
        </is>
      </c>
      <c r="B3125" s="3" t="inlineStr">
        <is>
          <t>미래에셋증권</t>
        </is>
      </c>
      <c r="C3125" s="2" t="inlineStr">
        <is>
          <t>코스피</t>
        </is>
      </c>
      <c r="D3125" s="2" t="inlineStr">
        <is>
          <t>006800</t>
        </is>
      </c>
      <c r="E3125" s="3" t="inlineStr">
        <is>
          <t>임원ㆍ주요주주특정증권등소유상황보고서</t>
        </is>
      </c>
      <c r="F3125" s="3" t="inlineStr">
        <is>
          <t>임덕진</t>
        </is>
      </c>
      <c r="G3125" s="2" t="inlineStr">
        <is>
          <t>20260306000516</t>
        </is>
      </c>
      <c r="H3125" s="8">
        <f>HYPERLINK("https://dart.fss.or.kr/dsaf001/main.do?rcpNo=20260306000516", "공시열람")</f>
        <v/>
      </c>
    </row>
    <row r="3126">
      <c r="A3126" s="2" t="inlineStr">
        <is>
          <t>2026-03-06</t>
        </is>
      </c>
      <c r="B3126" s="3" t="inlineStr">
        <is>
          <t>이마트</t>
        </is>
      </c>
      <c r="C3126" s="2" t="inlineStr">
        <is>
          <t>코스피</t>
        </is>
      </c>
      <c r="D3126" s="2" t="inlineStr">
        <is>
          <t>139480</t>
        </is>
      </c>
      <c r="E3126" s="3" t="inlineStr">
        <is>
          <t>임원ㆍ주요주주특정증권등소유상황보고서</t>
        </is>
      </c>
      <c r="F3126" s="3" t="inlineStr">
        <is>
          <t>강인석</t>
        </is>
      </c>
      <c r="G3126" s="2" t="inlineStr">
        <is>
          <t>20260306000511</t>
        </is>
      </c>
      <c r="H3126" s="8">
        <f>HYPERLINK("https://dart.fss.or.kr/dsaf001/main.do?rcpNo=20260306000511", "공시열람")</f>
        <v/>
      </c>
    </row>
    <row r="3127">
      <c r="A3127" s="2" t="inlineStr">
        <is>
          <t>2026-03-06</t>
        </is>
      </c>
      <c r="B3127" s="3" t="inlineStr">
        <is>
          <t>교보증권</t>
        </is>
      </c>
      <c r="C3127" s="2" t="inlineStr">
        <is>
          <t>코스피</t>
        </is>
      </c>
      <c r="D3127" s="2" t="inlineStr">
        <is>
          <t>030610</t>
        </is>
      </c>
      <c r="E3127" s="3" t="inlineStr">
        <is>
          <t>증권발행실적보고서</t>
        </is>
      </c>
      <c r="F3127" s="3" t="inlineStr">
        <is>
          <t>교보증권</t>
        </is>
      </c>
      <c r="G3127" s="2" t="inlineStr">
        <is>
          <t>20260306000505</t>
        </is>
      </c>
      <c r="H3127" s="8">
        <f>HYPERLINK("https://dart.fss.or.kr/dsaf001/main.do?rcpNo=20260306000505", "공시열람")</f>
        <v/>
      </c>
    </row>
    <row r="3128">
      <c r="A3128" s="2" t="inlineStr">
        <is>
          <t>2026-03-06</t>
        </is>
      </c>
      <c r="B3128" s="3" t="inlineStr">
        <is>
          <t>미래에셋증권</t>
        </is>
      </c>
      <c r="C3128" s="2" t="inlineStr">
        <is>
          <t>코스피</t>
        </is>
      </c>
      <c r="D3128" s="2" t="inlineStr">
        <is>
          <t>006800</t>
        </is>
      </c>
      <c r="E3128" s="3" t="inlineStr">
        <is>
          <t>증권발행실적보고서</t>
        </is>
      </c>
      <c r="F3128" s="3" t="inlineStr">
        <is>
          <t>미래에셋증권</t>
        </is>
      </c>
      <c r="G3128" s="2" t="inlineStr">
        <is>
          <t>20260306000503</t>
        </is>
      </c>
      <c r="H3128" s="8">
        <f>HYPERLINK("https://dart.fss.or.kr/dsaf001/main.do?rcpNo=20260306000503", "공시열람")</f>
        <v/>
      </c>
    </row>
    <row r="3129">
      <c r="A3129" s="2" t="inlineStr">
        <is>
          <t>2026-03-06</t>
        </is>
      </c>
      <c r="B3129" s="3" t="inlineStr">
        <is>
          <t>미래에셋증권</t>
        </is>
      </c>
      <c r="C3129" s="2" t="inlineStr">
        <is>
          <t>코스피</t>
        </is>
      </c>
      <c r="D3129" s="2" t="inlineStr">
        <is>
          <t>006800</t>
        </is>
      </c>
      <c r="E3129" s="3" t="inlineStr">
        <is>
          <t>임원ㆍ주요주주특정증권등소유상황보고서</t>
        </is>
      </c>
      <c r="F3129" s="3" t="inlineStr">
        <is>
          <t>조영우</t>
        </is>
      </c>
      <c r="G3129" s="2" t="inlineStr">
        <is>
          <t>20260306000501</t>
        </is>
      </c>
      <c r="H3129" s="8">
        <f>HYPERLINK("https://dart.fss.or.kr/dsaf001/main.do?rcpNo=20260306000501", "공시열람")</f>
        <v/>
      </c>
    </row>
    <row r="3130">
      <c r="A3130" s="2" t="inlineStr">
        <is>
          <t>2026-03-06 (정정: 2026-03-10)</t>
        </is>
      </c>
      <c r="B3130" s="3" t="inlineStr">
        <is>
          <t>DKME</t>
        </is>
      </c>
      <c r="C3130" s="2" t="inlineStr">
        <is>
          <t>코스피</t>
        </is>
      </c>
      <c r="D3130" s="2" t="inlineStr">
        <is>
          <t>015590</t>
        </is>
      </c>
      <c r="E3130" s="3" t="inlineStr">
        <is>
          <t>임원ㆍ주요주주특정증권등소유상황보고서 (정정: 20260310)</t>
        </is>
      </c>
      <c r="F3130" s="3" t="inlineStr">
        <is>
          <t>정태기</t>
        </is>
      </c>
      <c r="G3130" s="2" t="inlineStr">
        <is>
          <t>20260310801344</t>
        </is>
      </c>
      <c r="H3130" s="8">
        <f>HYPERLINK("https://dart.fss.or.kr/dsaf001/main.do?rcpNo=20260310801344", "공시열람")</f>
        <v/>
      </c>
    </row>
    <row r="3131">
      <c r="A3131" s="2" t="inlineStr">
        <is>
          <t>2026-03-06</t>
        </is>
      </c>
      <c r="B3131" s="3" t="inlineStr">
        <is>
          <t>미래에셋증권</t>
        </is>
      </c>
      <c r="C3131" s="2" t="inlineStr">
        <is>
          <t>코스피</t>
        </is>
      </c>
      <c r="D3131" s="2" t="inlineStr">
        <is>
          <t>006800</t>
        </is>
      </c>
      <c r="E3131" s="3" t="inlineStr">
        <is>
          <t>임원ㆍ주요주주특정증권등소유상황보고서</t>
        </is>
      </c>
      <c r="F3131" s="3" t="inlineStr">
        <is>
          <t>Sweemer Jonathan Robert</t>
        </is>
      </c>
      <c r="G3131" s="2" t="inlineStr">
        <is>
          <t>20260306000488</t>
        </is>
      </c>
      <c r="H3131" s="8">
        <f>HYPERLINK("https://dart.fss.or.kr/dsaf001/main.do?rcpNo=20260306000488", "공시열람")</f>
        <v/>
      </c>
    </row>
    <row r="3132">
      <c r="A3132" s="2" t="inlineStr">
        <is>
          <t>2026-03-06 (정정: 2026-03-11)</t>
        </is>
      </c>
      <c r="B3132" s="3" t="inlineStr">
        <is>
          <t>인바디</t>
        </is>
      </c>
      <c r="C3132" s="2" t="inlineStr">
        <is>
          <t>코스닥</t>
        </is>
      </c>
      <c r="D3132" s="2" t="inlineStr">
        <is>
          <t>041830</t>
        </is>
      </c>
      <c r="E3132" s="3" t="inlineStr">
        <is>
          <t>자기주식처분결과보고서 (정정: 20260311) (정정: 20260311)</t>
        </is>
      </c>
      <c r="F3132" s="3" t="inlineStr">
        <is>
          <t>인바디</t>
        </is>
      </c>
      <c r="G3132" s="2" t="inlineStr">
        <is>
          <t>20260311902451</t>
        </is>
      </c>
      <c r="H3132" s="8">
        <f>HYPERLINK("https://dart.fss.or.kr/dsaf001/main.do?rcpNo=20260311902451", "공시열람")</f>
        <v/>
      </c>
    </row>
    <row r="3133">
      <c r="A3133" s="2" t="inlineStr">
        <is>
          <t>2026-03-06</t>
        </is>
      </c>
      <c r="B3133" s="3" t="inlineStr">
        <is>
          <t>미래에셋증권</t>
        </is>
      </c>
      <c r="C3133" s="2" t="inlineStr">
        <is>
          <t>코스피</t>
        </is>
      </c>
      <c r="D3133" s="2" t="inlineStr">
        <is>
          <t>006800</t>
        </is>
      </c>
      <c r="E3133" s="3" t="inlineStr">
        <is>
          <t>임원ㆍ주요주주특정증권등소유상황보고서</t>
        </is>
      </c>
      <c r="F3133" s="3" t="inlineStr">
        <is>
          <t>박종훈</t>
        </is>
      </c>
      <c r="G3133" s="2" t="inlineStr">
        <is>
          <t>20260306000483</t>
        </is>
      </c>
      <c r="H3133" s="8">
        <f>HYPERLINK("https://dart.fss.or.kr/dsaf001/main.do?rcpNo=20260306000483", "공시열람")</f>
        <v/>
      </c>
    </row>
    <row r="3134">
      <c r="A3134" s="2" t="inlineStr">
        <is>
          <t>2026-03-06</t>
        </is>
      </c>
      <c r="B3134" s="3" t="inlineStr">
        <is>
          <t>바이오포트</t>
        </is>
      </c>
      <c r="C3134" s="2" t="inlineStr">
        <is>
          <t>코스닥</t>
        </is>
      </c>
      <c r="D3134" s="2" t="inlineStr">
        <is>
          <t>188040</t>
        </is>
      </c>
      <c r="E3134" s="3" t="inlineStr">
        <is>
          <t>임원ㆍ주요주주특정증권등소유상황보고서</t>
        </is>
      </c>
      <c r="F3134" s="3" t="inlineStr">
        <is>
          <t>이권희</t>
        </is>
      </c>
      <c r="G3134" s="2" t="inlineStr">
        <is>
          <t>20260306000480</t>
        </is>
      </c>
      <c r="H3134" s="8">
        <f>HYPERLINK("https://dart.fss.or.kr/dsaf001/main.do?rcpNo=20260306000480", "공시열람")</f>
        <v/>
      </c>
    </row>
    <row r="3135">
      <c r="A3135" s="2" t="inlineStr">
        <is>
          <t>2026-03-06</t>
        </is>
      </c>
      <c r="B3135" s="3" t="inlineStr">
        <is>
          <t>깨끗한나라</t>
        </is>
      </c>
      <c r="C3135" s="2" t="inlineStr">
        <is>
          <t>코스피</t>
        </is>
      </c>
      <c r="D3135" s="2" t="inlineStr">
        <is>
          <t>004540</t>
        </is>
      </c>
      <c r="E3135" s="3" t="inlineStr">
        <is>
          <t>의결권대리행사권유참고서류</t>
        </is>
      </c>
      <c r="F3135" s="3" t="inlineStr">
        <is>
          <t>깨끗한나라</t>
        </is>
      </c>
      <c r="G3135" s="2" t="inlineStr">
        <is>
          <t>20260306000478</t>
        </is>
      </c>
      <c r="H3135" s="8">
        <f>HYPERLINK("https://dart.fss.or.kr/dsaf001/main.do?rcpNo=20260306000478", "공시열람")</f>
        <v/>
      </c>
    </row>
    <row r="3136">
      <c r="A3136" s="2" t="inlineStr">
        <is>
          <t>2026-03-06</t>
        </is>
      </c>
      <c r="B3136" s="3" t="inlineStr">
        <is>
          <t>미래에셋증권</t>
        </is>
      </c>
      <c r="C3136" s="2" t="inlineStr">
        <is>
          <t>코스피</t>
        </is>
      </c>
      <c r="D3136" s="2" t="inlineStr">
        <is>
          <t>006800</t>
        </is>
      </c>
      <c r="E3136" s="3" t="inlineStr">
        <is>
          <t>임원ㆍ주요주주특정증권등소유상황보고서</t>
        </is>
      </c>
      <c r="F3136" s="3" t="inlineStr">
        <is>
          <t>주원소</t>
        </is>
      </c>
      <c r="G3136" s="2" t="inlineStr">
        <is>
          <t>20260306000477</t>
        </is>
      </c>
      <c r="H3136" s="8">
        <f>HYPERLINK("https://dart.fss.or.kr/dsaf001/main.do?rcpNo=20260306000477", "공시열람")</f>
        <v/>
      </c>
    </row>
    <row r="3137">
      <c r="A3137" s="2" t="inlineStr">
        <is>
          <t>2026-03-06</t>
        </is>
      </c>
      <c r="B3137" s="3" t="inlineStr">
        <is>
          <t>미래에셋증권</t>
        </is>
      </c>
      <c r="C3137" s="2" t="inlineStr">
        <is>
          <t>코스피</t>
        </is>
      </c>
      <c r="D3137" s="2" t="inlineStr">
        <is>
          <t>006800</t>
        </is>
      </c>
      <c r="E3137" s="3" t="inlineStr">
        <is>
          <t>증권발행실적보고서</t>
        </is>
      </c>
      <c r="F3137" s="3" t="inlineStr">
        <is>
          <t>미래에셋증권</t>
        </is>
      </c>
      <c r="G3137" s="2" t="inlineStr">
        <is>
          <t>20260306000475</t>
        </is>
      </c>
      <c r="H3137" s="8">
        <f>HYPERLINK("https://dart.fss.or.kr/dsaf001/main.do?rcpNo=20260306000475", "공시열람")</f>
        <v/>
      </c>
    </row>
    <row r="3138">
      <c r="A3138" s="2" t="inlineStr">
        <is>
          <t>2026-03-06</t>
        </is>
      </c>
      <c r="B3138" s="3" t="inlineStr">
        <is>
          <t>미래에셋증권</t>
        </is>
      </c>
      <c r="C3138" s="2" t="inlineStr">
        <is>
          <t>코스피</t>
        </is>
      </c>
      <c r="D3138" s="2" t="inlineStr">
        <is>
          <t>006800</t>
        </is>
      </c>
      <c r="E3138" s="3" t="inlineStr">
        <is>
          <t>증권발행실적보고서</t>
        </is>
      </c>
      <c r="F3138" s="3" t="inlineStr">
        <is>
          <t>미래에셋증권</t>
        </is>
      </c>
      <c r="G3138" s="2" t="inlineStr">
        <is>
          <t>20260306000470</t>
        </is>
      </c>
      <c r="H3138" s="8">
        <f>HYPERLINK("https://dart.fss.or.kr/dsaf001/main.do?rcpNo=20260306000470", "공시열람")</f>
        <v/>
      </c>
    </row>
    <row r="3139">
      <c r="A3139" s="2" t="inlineStr">
        <is>
          <t>2026-03-06</t>
        </is>
      </c>
      <c r="B3139" s="3" t="inlineStr">
        <is>
          <t>미래에셋증권</t>
        </is>
      </c>
      <c r="C3139" s="2" t="inlineStr">
        <is>
          <t>코스피</t>
        </is>
      </c>
      <c r="D3139" s="2" t="inlineStr">
        <is>
          <t>006800</t>
        </is>
      </c>
      <c r="E3139" s="3" t="inlineStr">
        <is>
          <t>임원ㆍ주요주주특정증권등소유상황보고서</t>
        </is>
      </c>
      <c r="F3139" s="3" t="inlineStr">
        <is>
          <t>전윤호</t>
        </is>
      </c>
      <c r="G3139" s="2" t="inlineStr">
        <is>
          <t>20260306000464</t>
        </is>
      </c>
      <c r="H3139" s="8">
        <f>HYPERLINK("https://dart.fss.or.kr/dsaf001/main.do?rcpNo=20260306000464", "공시열람")</f>
        <v/>
      </c>
    </row>
    <row r="3140">
      <c r="A3140" s="2" t="inlineStr">
        <is>
          <t>2026-03-06</t>
        </is>
      </c>
      <c r="B3140" s="3" t="inlineStr">
        <is>
          <t>키움증권</t>
        </is>
      </c>
      <c r="C3140" s="2" t="inlineStr">
        <is>
          <t>코스피</t>
        </is>
      </c>
      <c r="D3140" s="2" t="inlineStr">
        <is>
          <t>039490</t>
        </is>
      </c>
      <c r="E3140" s="3" t="inlineStr">
        <is>
          <t>투자설명서(일괄신고)</t>
        </is>
      </c>
      <c r="F3140" s="3" t="inlineStr">
        <is>
          <t>키움증권</t>
        </is>
      </c>
      <c r="G3140" s="2" t="inlineStr">
        <is>
          <t>20260306000461</t>
        </is>
      </c>
      <c r="H3140" s="8">
        <f>HYPERLINK("https://dart.fss.or.kr/dsaf001/main.do?rcpNo=20260306000461", "공시열람")</f>
        <v/>
      </c>
    </row>
    <row r="3141">
      <c r="A3141" s="2" t="inlineStr">
        <is>
          <t>2026-03-06</t>
        </is>
      </c>
      <c r="B3141" s="3" t="inlineStr">
        <is>
          <t>세아홀딩스</t>
        </is>
      </c>
      <c r="C3141" s="2" t="inlineStr">
        <is>
          <t>코스피</t>
        </is>
      </c>
      <c r="D3141" s="2" t="inlineStr">
        <is>
          <t>058650</t>
        </is>
      </c>
      <c r="E3141" s="3" t="inlineStr">
        <is>
          <t>증권발행실적보고서</t>
        </is>
      </c>
      <c r="F3141" s="3" t="inlineStr">
        <is>
          <t>세아홀딩스</t>
        </is>
      </c>
      <c r="G3141" s="2" t="inlineStr">
        <is>
          <t>20260306000458</t>
        </is>
      </c>
      <c r="H3141" s="8">
        <f>HYPERLINK("https://dart.fss.or.kr/dsaf001/main.do?rcpNo=20260306000458", "공시열람")</f>
        <v/>
      </c>
    </row>
    <row r="3142">
      <c r="A3142" s="2" t="inlineStr">
        <is>
          <t>2026-03-06</t>
        </is>
      </c>
      <c r="B3142" s="3" t="inlineStr">
        <is>
          <t>미래에셋증권</t>
        </is>
      </c>
      <c r="C3142" s="2" t="inlineStr">
        <is>
          <t>코스피</t>
        </is>
      </c>
      <c r="D3142" s="2" t="inlineStr">
        <is>
          <t>006800</t>
        </is>
      </c>
      <c r="E3142" s="3" t="inlineStr">
        <is>
          <t>임원ㆍ주요주주특정증권등소유상황보고서</t>
        </is>
      </c>
      <c r="F3142" s="3" t="inlineStr">
        <is>
          <t>이훈</t>
        </is>
      </c>
      <c r="G3142" s="2" t="inlineStr">
        <is>
          <t>20260306000455</t>
        </is>
      </c>
      <c r="H3142" s="8">
        <f>HYPERLINK("https://dart.fss.or.kr/dsaf001/main.do?rcpNo=20260306000455", "공시열람")</f>
        <v/>
      </c>
    </row>
    <row r="3143">
      <c r="A3143" s="2" t="inlineStr">
        <is>
          <t>2026-03-06</t>
        </is>
      </c>
      <c r="B3143" s="3" t="inlineStr">
        <is>
          <t>티비씨</t>
        </is>
      </c>
      <c r="C3143" s="2" t="inlineStr">
        <is>
          <t>코스닥</t>
        </is>
      </c>
      <c r="D3143" s="2" t="inlineStr">
        <is>
          <t>033830</t>
        </is>
      </c>
      <c r="E3143" s="3" t="inlineStr">
        <is>
          <t xml:space="preserve">현금ㆍ현물배당결정              </t>
        </is>
      </c>
      <c r="F3143" s="3" t="inlineStr">
        <is>
          <t>티비씨</t>
        </is>
      </c>
      <c r="G3143" s="2" t="inlineStr">
        <is>
          <t>20260306900723</t>
        </is>
      </c>
      <c r="H3143" s="8">
        <f>HYPERLINK("https://dart.fss.or.kr/dsaf001/main.do?rcpNo=20260306900723", "공시열람")</f>
        <v/>
      </c>
    </row>
    <row r="3144">
      <c r="A3144" s="2" t="inlineStr">
        <is>
          <t>2026-03-06</t>
        </is>
      </c>
      <c r="B3144" s="3" t="inlineStr">
        <is>
          <t>미래에셋증권</t>
        </is>
      </c>
      <c r="C3144" s="2" t="inlineStr">
        <is>
          <t>코스피</t>
        </is>
      </c>
      <c r="D3144" s="2" t="inlineStr">
        <is>
          <t>006800</t>
        </is>
      </c>
      <c r="E3144" s="3" t="inlineStr">
        <is>
          <t>임원ㆍ주요주주특정증권등소유상황보고서</t>
        </is>
      </c>
      <c r="F3144" s="3" t="inlineStr">
        <is>
          <t>장윤영</t>
        </is>
      </c>
      <c r="G3144" s="2" t="inlineStr">
        <is>
          <t>20260306000451</t>
        </is>
      </c>
      <c r="H3144" s="8">
        <f>HYPERLINK("https://dart.fss.or.kr/dsaf001/main.do?rcpNo=20260306000451", "공시열람")</f>
        <v/>
      </c>
    </row>
    <row r="3145">
      <c r="A3145" s="2" t="inlineStr">
        <is>
          <t>2026-03-06</t>
        </is>
      </c>
      <c r="B3145" s="3" t="inlineStr">
        <is>
          <t>HC홈센타</t>
        </is>
      </c>
      <c r="C3145" s="2" t="inlineStr">
        <is>
          <t>코스닥</t>
        </is>
      </c>
      <c r="D3145" s="2" t="inlineStr">
        <is>
          <t>060560</t>
        </is>
      </c>
      <c r="E3145" s="3" t="inlineStr">
        <is>
          <t>임원ㆍ주요주주특정증권등소유상황보고서</t>
        </is>
      </c>
      <c r="F3145" s="3" t="inlineStr">
        <is>
          <t>에이치씨파트너스</t>
        </is>
      </c>
      <c r="G3145" s="2" t="inlineStr">
        <is>
          <t>20260306000447</t>
        </is>
      </c>
      <c r="H3145" s="8">
        <f>HYPERLINK("https://dart.fss.or.kr/dsaf001/main.do?rcpNo=20260306000447", "공시열람")</f>
        <v/>
      </c>
    </row>
    <row r="3146">
      <c r="A3146" s="2" t="inlineStr">
        <is>
          <t>2026-03-06</t>
        </is>
      </c>
      <c r="B3146" s="3" t="inlineStr">
        <is>
          <t>신스틸</t>
        </is>
      </c>
      <c r="C3146" s="2" t="inlineStr">
        <is>
          <t>코스닥</t>
        </is>
      </c>
      <c r="D3146" s="2" t="inlineStr">
        <is>
          <t>162300</t>
        </is>
      </c>
      <c r="E3146" s="3" t="inlineStr">
        <is>
          <t>임원ㆍ주요주주특정증권등소유상황보고서</t>
        </is>
      </c>
      <c r="F3146" s="3" t="inlineStr">
        <is>
          <t>서명환</t>
        </is>
      </c>
      <c r="G3146" s="2" t="inlineStr">
        <is>
          <t>20260306000446</t>
        </is>
      </c>
      <c r="H3146" s="8">
        <f>HYPERLINK("https://dart.fss.or.kr/dsaf001/main.do?rcpNo=20260306000446", "공시열람")</f>
        <v/>
      </c>
    </row>
    <row r="3147">
      <c r="A3147" s="2" t="inlineStr">
        <is>
          <t>2026-03-06</t>
        </is>
      </c>
      <c r="B3147" s="3" t="inlineStr">
        <is>
          <t>키움증권</t>
        </is>
      </c>
      <c r="C3147" s="2" t="inlineStr">
        <is>
          <t>코스피</t>
        </is>
      </c>
      <c r="D3147" s="2" t="inlineStr">
        <is>
          <t>039490</t>
        </is>
      </c>
      <c r="E3147" s="3" t="inlineStr">
        <is>
          <t>투자설명서(일괄신고)</t>
        </is>
      </c>
      <c r="F3147" s="3" t="inlineStr">
        <is>
          <t>키움증권</t>
        </is>
      </c>
      <c r="G3147" s="2" t="inlineStr">
        <is>
          <t>20260306000445</t>
        </is>
      </c>
      <c r="H3147" s="8">
        <f>HYPERLINK("https://dart.fss.or.kr/dsaf001/main.do?rcpNo=20260306000445", "공시열람")</f>
        <v/>
      </c>
    </row>
    <row r="3148">
      <c r="A3148" s="2" t="inlineStr">
        <is>
          <t>2026-03-06</t>
        </is>
      </c>
      <c r="B3148" s="3" t="inlineStr">
        <is>
          <t>한솔로지스틱스</t>
        </is>
      </c>
      <c r="C3148" s="2" t="inlineStr">
        <is>
          <t>코스피</t>
        </is>
      </c>
      <c r="D3148" s="2" t="inlineStr">
        <is>
          <t>009180</t>
        </is>
      </c>
      <c r="E3148" s="3" t="inlineStr">
        <is>
          <t>[첨부정정]의결권대리행사권유참고서류</t>
        </is>
      </c>
      <c r="F3148" s="3" t="inlineStr">
        <is>
          <t>한솔로지스틱스</t>
        </is>
      </c>
      <c r="G3148" s="2" t="inlineStr">
        <is>
          <t>20260306000440</t>
        </is>
      </c>
      <c r="H3148" s="8">
        <f>HYPERLINK("https://dart.fss.or.kr/dsaf001/main.do?rcpNo=20260306000440", "공시열람")</f>
        <v/>
      </c>
    </row>
    <row r="3149">
      <c r="A3149" s="2" t="inlineStr">
        <is>
          <t>2026-03-06</t>
        </is>
      </c>
      <c r="B3149" s="3" t="inlineStr">
        <is>
          <t>파인디앤씨</t>
        </is>
      </c>
      <c r="C3149" s="2" t="inlineStr">
        <is>
          <t>코스닥</t>
        </is>
      </c>
      <c r="D3149" s="2" t="inlineStr">
        <is>
          <t>049120</t>
        </is>
      </c>
      <c r="E3149" s="3" t="inlineStr">
        <is>
          <t xml:space="preserve">주식병합결정              </t>
        </is>
      </c>
      <c r="F3149" s="3" t="inlineStr">
        <is>
          <t>파인디앤씨</t>
        </is>
      </c>
      <c r="G3149" s="2" t="inlineStr">
        <is>
          <t>20260306900715</t>
        </is>
      </c>
      <c r="H3149" s="8">
        <f>HYPERLINK("https://dart.fss.or.kr/dsaf001/main.do?rcpNo=20260306900715", "공시열람")</f>
        <v/>
      </c>
    </row>
    <row r="3150">
      <c r="A3150" s="2" t="inlineStr">
        <is>
          <t>2026-03-06</t>
        </is>
      </c>
      <c r="B3150" s="3" t="inlineStr">
        <is>
          <t>한솔홈데코</t>
        </is>
      </c>
      <c r="C3150" s="2" t="inlineStr">
        <is>
          <t>코스피</t>
        </is>
      </c>
      <c r="D3150" s="2" t="inlineStr">
        <is>
          <t>025750</t>
        </is>
      </c>
      <c r="E3150" s="3" t="inlineStr">
        <is>
          <t>임원ㆍ주요주주특정증권등소유상황보고서</t>
        </is>
      </c>
      <c r="F3150" s="3" t="inlineStr">
        <is>
          <t>박병석</t>
        </is>
      </c>
      <c r="G3150" s="2" t="inlineStr">
        <is>
          <t>20260306000436</t>
        </is>
      </c>
      <c r="H3150" s="8">
        <f>HYPERLINK("https://dart.fss.or.kr/dsaf001/main.do?rcpNo=20260306000436", "공시열람")</f>
        <v/>
      </c>
    </row>
    <row r="3151">
      <c r="A3151" s="2" t="inlineStr">
        <is>
          <t>2026-03-06</t>
        </is>
      </c>
      <c r="B3151" s="3" t="inlineStr">
        <is>
          <t>키움증권</t>
        </is>
      </c>
      <c r="C3151" s="2" t="inlineStr">
        <is>
          <t>코스피</t>
        </is>
      </c>
      <c r="D3151" s="2" t="inlineStr">
        <is>
          <t>039490</t>
        </is>
      </c>
      <c r="E3151" s="3" t="inlineStr">
        <is>
          <t>투자설명서(일괄신고)</t>
        </is>
      </c>
      <c r="F3151" s="3" t="inlineStr">
        <is>
          <t>키움증권</t>
        </is>
      </c>
      <c r="G3151" s="2" t="inlineStr">
        <is>
          <t>20260306000435</t>
        </is>
      </c>
      <c r="H3151" s="8">
        <f>HYPERLINK("https://dart.fss.or.kr/dsaf001/main.do?rcpNo=20260306000435", "공시열람")</f>
        <v/>
      </c>
    </row>
    <row r="3152">
      <c r="A3152" s="2" t="inlineStr">
        <is>
          <t>2026-03-06</t>
        </is>
      </c>
      <c r="B3152" s="3" t="inlineStr">
        <is>
          <t>엠아이큐브솔루션</t>
        </is>
      </c>
      <c r="C3152" s="2" t="inlineStr">
        <is>
          <t>코스닥</t>
        </is>
      </c>
      <c r="D3152" s="2" t="inlineStr">
        <is>
          <t>373170</t>
        </is>
      </c>
      <c r="E3152" s="3" t="inlineStr">
        <is>
          <t>임원ㆍ주요주주특정증권등소유상황보고서</t>
        </is>
      </c>
      <c r="F3152" s="3" t="inlineStr">
        <is>
          <t>에스피시스템스</t>
        </is>
      </c>
      <c r="G3152" s="2" t="inlineStr">
        <is>
          <t>20260306000433</t>
        </is>
      </c>
      <c r="H3152" s="8">
        <f>HYPERLINK("https://dart.fss.or.kr/dsaf001/main.do?rcpNo=20260306000433", "공시열람")</f>
        <v/>
      </c>
    </row>
    <row r="3153">
      <c r="A3153" s="2" t="inlineStr">
        <is>
          <t>2026-03-06</t>
        </is>
      </c>
      <c r="B3153" s="3" t="inlineStr">
        <is>
          <t>미래에셋증권</t>
        </is>
      </c>
      <c r="C3153" s="2" t="inlineStr">
        <is>
          <t>코스피</t>
        </is>
      </c>
      <c r="D3153" s="2" t="inlineStr">
        <is>
          <t>006800</t>
        </is>
      </c>
      <c r="E3153" s="3" t="inlineStr">
        <is>
          <t>임원ㆍ주요주주특정증권등소유상황보고서</t>
        </is>
      </c>
      <c r="F3153" s="3" t="inlineStr">
        <is>
          <t>장성주</t>
        </is>
      </c>
      <c r="G3153" s="2" t="inlineStr">
        <is>
          <t>20260306000431</t>
        </is>
      </c>
      <c r="H3153" s="8">
        <f>HYPERLINK("https://dart.fss.or.kr/dsaf001/main.do?rcpNo=20260306000431", "공시열람")</f>
        <v/>
      </c>
    </row>
    <row r="3154">
      <c r="A3154" s="2" t="inlineStr">
        <is>
          <t>2026-03-06</t>
        </is>
      </c>
      <c r="B3154" s="3" t="inlineStr">
        <is>
          <t>링크드</t>
        </is>
      </c>
      <c r="C3154" s="2" t="inlineStr">
        <is>
          <t>코스닥</t>
        </is>
      </c>
      <c r="D3154" s="2" t="inlineStr">
        <is>
          <t>193250</t>
        </is>
      </c>
      <c r="E3154" s="3" t="inlineStr">
        <is>
          <t>임원ㆍ주요주주특정증권등소유상황보고서</t>
        </is>
      </c>
      <c r="F3154" s="3" t="inlineStr">
        <is>
          <t>민용재</t>
        </is>
      </c>
      <c r="G3154" s="2" t="inlineStr">
        <is>
          <t>20260306000428</t>
        </is>
      </c>
      <c r="H3154" s="8">
        <f>HYPERLINK("https://dart.fss.or.kr/dsaf001/main.do?rcpNo=20260306000428", "공시열람")</f>
        <v/>
      </c>
    </row>
    <row r="3155">
      <c r="A3155" s="2" t="inlineStr">
        <is>
          <t>2026-03-06</t>
        </is>
      </c>
      <c r="B3155" s="3" t="inlineStr">
        <is>
          <t>미래에셋증권</t>
        </is>
      </c>
      <c r="C3155" s="2" t="inlineStr">
        <is>
          <t>코스피</t>
        </is>
      </c>
      <c r="D3155" s="2" t="inlineStr">
        <is>
          <t>006800</t>
        </is>
      </c>
      <c r="E3155" s="3" t="inlineStr">
        <is>
          <t>임원ㆍ주요주주특정증권등소유상황보고서</t>
        </is>
      </c>
      <c r="F3155" s="3" t="inlineStr">
        <is>
          <t>오경택</t>
        </is>
      </c>
      <c r="G3155" s="2" t="inlineStr">
        <is>
          <t>20260306000427</t>
        </is>
      </c>
      <c r="H3155" s="8">
        <f>HYPERLINK("https://dart.fss.or.kr/dsaf001/main.do?rcpNo=20260306000427", "공시열람")</f>
        <v/>
      </c>
    </row>
    <row r="3156">
      <c r="A3156" s="2" t="inlineStr">
        <is>
          <t>2026-03-06</t>
        </is>
      </c>
      <c r="B3156" s="3" t="inlineStr">
        <is>
          <t>미래에셋증권</t>
        </is>
      </c>
      <c r="C3156" s="2" t="inlineStr">
        <is>
          <t>코스피</t>
        </is>
      </c>
      <c r="D3156" s="2" t="inlineStr">
        <is>
          <t>006800</t>
        </is>
      </c>
      <c r="E3156" s="3" t="inlineStr">
        <is>
          <t>임원ㆍ주요주주특정증권등소유상황보고서</t>
        </is>
      </c>
      <c r="F3156" s="3" t="inlineStr">
        <is>
          <t>장성섭</t>
        </is>
      </c>
      <c r="G3156" s="2" t="inlineStr">
        <is>
          <t>20260306000422</t>
        </is>
      </c>
      <c r="H3156" s="8">
        <f>HYPERLINK("https://dart.fss.or.kr/dsaf001/main.do?rcpNo=20260306000422", "공시열람")</f>
        <v/>
      </c>
    </row>
    <row r="3157">
      <c r="A3157" s="2" t="inlineStr">
        <is>
          <t>2026-03-06</t>
        </is>
      </c>
      <c r="B3157" s="3" t="inlineStr">
        <is>
          <t>미래에셋증권</t>
        </is>
      </c>
      <c r="C3157" s="2" t="inlineStr">
        <is>
          <t>코스피</t>
        </is>
      </c>
      <c r="D3157" s="2" t="inlineStr">
        <is>
          <t>006800</t>
        </is>
      </c>
      <c r="E3157" s="3" t="inlineStr">
        <is>
          <t>임원ㆍ주요주주특정증권등소유상황보고서</t>
        </is>
      </c>
      <c r="F3157" s="3" t="inlineStr">
        <is>
          <t>서대일</t>
        </is>
      </c>
      <c r="G3157" s="2" t="inlineStr">
        <is>
          <t>20260306000421</t>
        </is>
      </c>
      <c r="H3157" s="8">
        <f>HYPERLINK("https://dart.fss.or.kr/dsaf001/main.do?rcpNo=20260306000421", "공시열람")</f>
        <v/>
      </c>
    </row>
    <row r="3158">
      <c r="A3158" s="2" t="inlineStr">
        <is>
          <t>2026-03-06</t>
        </is>
      </c>
      <c r="B3158" s="3" t="inlineStr">
        <is>
          <t>미래에셋증권</t>
        </is>
      </c>
      <c r="C3158" s="2" t="inlineStr">
        <is>
          <t>코스피</t>
        </is>
      </c>
      <c r="D3158" s="2" t="inlineStr">
        <is>
          <t>006800</t>
        </is>
      </c>
      <c r="E3158" s="3" t="inlineStr">
        <is>
          <t>임원ㆍ주요주주특정증권등소유상황보고서</t>
        </is>
      </c>
      <c r="F3158" s="3" t="inlineStr">
        <is>
          <t>박인우</t>
        </is>
      </c>
      <c r="G3158" s="2" t="inlineStr">
        <is>
          <t>20260306000420</t>
        </is>
      </c>
      <c r="H3158" s="8">
        <f>HYPERLINK("https://dart.fss.or.kr/dsaf001/main.do?rcpNo=20260306000420", "공시열람")</f>
        <v/>
      </c>
    </row>
    <row r="3159">
      <c r="A3159" s="2" t="inlineStr">
        <is>
          <t>2026-03-06</t>
        </is>
      </c>
      <c r="B3159" s="3" t="inlineStr">
        <is>
          <t>와이엠</t>
        </is>
      </c>
      <c r="C3159" s="2" t="inlineStr">
        <is>
          <t>코스닥</t>
        </is>
      </c>
      <c r="D3159" s="2" t="inlineStr">
        <is>
          <t>007530</t>
        </is>
      </c>
      <c r="E3159" s="3" t="inlineStr">
        <is>
          <t xml:space="preserve">현금ㆍ현물배당결정              </t>
        </is>
      </c>
      <c r="F3159" s="3" t="inlineStr">
        <is>
          <t>와이엠</t>
        </is>
      </c>
      <c r="G3159" s="2" t="inlineStr">
        <is>
          <t>20260306900624</t>
        </is>
      </c>
      <c r="H3159" s="8">
        <f>HYPERLINK("https://dart.fss.or.kr/dsaf001/main.do?rcpNo=20260306900624", "공시열람")</f>
        <v/>
      </c>
    </row>
    <row r="3160">
      <c r="A3160" s="2" t="inlineStr">
        <is>
          <t>2026-03-06</t>
        </is>
      </c>
      <c r="B3160" s="3" t="inlineStr">
        <is>
          <t>한솔홈데코</t>
        </is>
      </c>
      <c r="C3160" s="2" t="inlineStr">
        <is>
          <t>코스피</t>
        </is>
      </c>
      <c r="D3160" s="2" t="inlineStr">
        <is>
          <t>025750</t>
        </is>
      </c>
      <c r="E3160" s="3" t="inlineStr">
        <is>
          <t>임원ㆍ주요주주특정증권등소유상황보고서</t>
        </is>
      </c>
      <c r="F3160" s="3" t="inlineStr">
        <is>
          <t>심경보</t>
        </is>
      </c>
      <c r="G3160" s="2" t="inlineStr">
        <is>
          <t>20260306000415</t>
        </is>
      </c>
      <c r="H3160" s="8">
        <f>HYPERLINK("https://dart.fss.or.kr/dsaf001/main.do?rcpNo=20260306000415", "공시열람")</f>
        <v/>
      </c>
    </row>
    <row r="3161">
      <c r="A3161" s="2" t="inlineStr">
        <is>
          <t>2026-03-06</t>
        </is>
      </c>
      <c r="B3161" s="3" t="inlineStr">
        <is>
          <t>미래에셋증권</t>
        </is>
      </c>
      <c r="C3161" s="2" t="inlineStr">
        <is>
          <t>코스피</t>
        </is>
      </c>
      <c r="D3161" s="2" t="inlineStr">
        <is>
          <t>006800</t>
        </is>
      </c>
      <c r="E3161" s="3" t="inlineStr">
        <is>
          <t>임원ㆍ주요주주특정증권등소유상황보고서</t>
        </is>
      </c>
      <c r="F3161" s="3" t="inlineStr">
        <is>
          <t>임용석</t>
        </is>
      </c>
      <c r="G3161" s="2" t="inlineStr">
        <is>
          <t>20260306000413</t>
        </is>
      </c>
      <c r="H3161" s="8">
        <f>HYPERLINK("https://dart.fss.or.kr/dsaf001/main.do?rcpNo=20260306000413", "공시열람")</f>
        <v/>
      </c>
    </row>
    <row r="3162">
      <c r="A3162" s="2" t="inlineStr">
        <is>
          <t>2026-03-06</t>
        </is>
      </c>
      <c r="B3162" s="3" t="inlineStr">
        <is>
          <t>미래에셋증권</t>
        </is>
      </c>
      <c r="C3162" s="2" t="inlineStr">
        <is>
          <t>코스피</t>
        </is>
      </c>
      <c r="D3162" s="2" t="inlineStr">
        <is>
          <t>006800</t>
        </is>
      </c>
      <c r="E3162" s="3" t="inlineStr">
        <is>
          <t>임원ㆍ주요주주특정증권등소유상황보고서</t>
        </is>
      </c>
      <c r="F3162" s="3" t="inlineStr">
        <is>
          <t>곽태환</t>
        </is>
      </c>
      <c r="G3162" s="2" t="inlineStr">
        <is>
          <t>20260306000412</t>
        </is>
      </c>
      <c r="H3162" s="8">
        <f>HYPERLINK("https://dart.fss.or.kr/dsaf001/main.do?rcpNo=20260306000412", "공시열람")</f>
        <v/>
      </c>
    </row>
    <row r="3163">
      <c r="A3163" s="2" t="inlineStr">
        <is>
          <t>2026-03-06</t>
        </is>
      </c>
      <c r="B3163" s="3" t="inlineStr">
        <is>
          <t>큐에스아이</t>
        </is>
      </c>
      <c r="C3163" s="2" t="inlineStr">
        <is>
          <t>코스닥</t>
        </is>
      </c>
      <c r="D3163" s="2" t="inlineStr">
        <is>
          <t>066310</t>
        </is>
      </c>
      <c r="E3163" s="3" t="inlineStr">
        <is>
          <t>의결권대리행사권유참고서류</t>
        </is>
      </c>
      <c r="F3163" s="3" t="inlineStr">
        <is>
          <t>큐에스아이</t>
        </is>
      </c>
      <c r="G3163" s="2" t="inlineStr">
        <is>
          <t>20260306000411</t>
        </is>
      </c>
      <c r="H3163" s="8">
        <f>HYPERLINK("https://dart.fss.or.kr/dsaf001/main.do?rcpNo=20260306000411", "공시열람")</f>
        <v/>
      </c>
    </row>
    <row r="3164">
      <c r="A3164" s="2" t="inlineStr">
        <is>
          <t>2026-03-06</t>
        </is>
      </c>
      <c r="B3164" s="3" t="inlineStr">
        <is>
          <t>DB증권</t>
        </is>
      </c>
      <c r="C3164" s="2" t="inlineStr">
        <is>
          <t>코스피</t>
        </is>
      </c>
      <c r="D3164" s="2" t="inlineStr">
        <is>
          <t>016610</t>
        </is>
      </c>
      <c r="E3164" s="3" t="inlineStr">
        <is>
          <t>증권발행실적보고서</t>
        </is>
      </c>
      <c r="F3164" s="3" t="inlineStr">
        <is>
          <t>DB증권</t>
        </is>
      </c>
      <c r="G3164" s="2" t="inlineStr">
        <is>
          <t>20260306000409</t>
        </is>
      </c>
      <c r="H3164" s="8">
        <f>HYPERLINK("https://dart.fss.or.kr/dsaf001/main.do?rcpNo=20260306000409", "공시열람")</f>
        <v/>
      </c>
    </row>
    <row r="3165">
      <c r="A3165" s="2" t="inlineStr">
        <is>
          <t>2026-03-06</t>
        </is>
      </c>
      <c r="B3165" s="3" t="inlineStr">
        <is>
          <t>한솔홈데코</t>
        </is>
      </c>
      <c r="C3165" s="2" t="inlineStr">
        <is>
          <t>코스피</t>
        </is>
      </c>
      <c r="D3165" s="2" t="inlineStr">
        <is>
          <t>025750</t>
        </is>
      </c>
      <c r="E3165" s="3" t="inlineStr">
        <is>
          <t>임원ㆍ주요주주특정증권등소유상황보고서</t>
        </is>
      </c>
      <c r="F3165" s="3" t="inlineStr">
        <is>
          <t>서범석</t>
        </is>
      </c>
      <c r="G3165" s="2" t="inlineStr">
        <is>
          <t>20260306000406</t>
        </is>
      </c>
      <c r="H3165" s="8">
        <f>HYPERLINK("https://dart.fss.or.kr/dsaf001/main.do?rcpNo=20260306000406", "공시열람")</f>
        <v/>
      </c>
    </row>
    <row r="3166">
      <c r="A3166" s="2" t="inlineStr">
        <is>
          <t>2026-03-06</t>
        </is>
      </c>
      <c r="B3166" s="3" t="inlineStr">
        <is>
          <t>미래에셋증권</t>
        </is>
      </c>
      <c r="C3166" s="2" t="inlineStr">
        <is>
          <t>코스피</t>
        </is>
      </c>
      <c r="D3166" s="2" t="inlineStr">
        <is>
          <t>006800</t>
        </is>
      </c>
      <c r="E3166" s="3" t="inlineStr">
        <is>
          <t>임원ㆍ주요주주특정증권등소유상황보고서</t>
        </is>
      </c>
      <c r="F3166" s="3" t="inlineStr">
        <is>
          <t>김수현</t>
        </is>
      </c>
      <c r="G3166" s="2" t="inlineStr">
        <is>
          <t>20260306000404</t>
        </is>
      </c>
      <c r="H3166" s="8">
        <f>HYPERLINK("https://dart.fss.or.kr/dsaf001/main.do?rcpNo=20260306000404", "공시열람")</f>
        <v/>
      </c>
    </row>
    <row r="3167">
      <c r="A3167" s="2" t="inlineStr">
        <is>
          <t>2026-03-06</t>
        </is>
      </c>
      <c r="B3167" s="3" t="inlineStr">
        <is>
          <t>현대차증권</t>
        </is>
      </c>
      <c r="C3167" s="2" t="inlineStr">
        <is>
          <t>코스피</t>
        </is>
      </c>
      <c r="D3167" s="2" t="inlineStr">
        <is>
          <t>001500</t>
        </is>
      </c>
      <c r="E3167" s="3" t="inlineStr">
        <is>
          <t>증권발행실적보고서</t>
        </is>
      </c>
      <c r="F3167" s="3" t="inlineStr">
        <is>
          <t>현대차증권</t>
        </is>
      </c>
      <c r="G3167" s="2" t="inlineStr">
        <is>
          <t>20260306000402</t>
        </is>
      </c>
      <c r="H3167" s="8">
        <f>HYPERLINK("https://dart.fss.or.kr/dsaf001/main.do?rcpNo=20260306000402", "공시열람")</f>
        <v/>
      </c>
    </row>
    <row r="3168">
      <c r="A3168" s="2" t="inlineStr">
        <is>
          <t>2026-03-06</t>
        </is>
      </c>
      <c r="B3168" s="3" t="inlineStr">
        <is>
          <t>미래에셋증권</t>
        </is>
      </c>
      <c r="C3168" s="2" t="inlineStr">
        <is>
          <t>코스피</t>
        </is>
      </c>
      <c r="D3168" s="2" t="inlineStr">
        <is>
          <t>006800</t>
        </is>
      </c>
      <c r="E3168" s="3" t="inlineStr">
        <is>
          <t>임원ㆍ주요주주특정증권등소유상황보고서</t>
        </is>
      </c>
      <c r="F3168" s="3" t="inlineStr">
        <is>
          <t>박신규</t>
        </is>
      </c>
      <c r="G3168" s="2" t="inlineStr">
        <is>
          <t>20260306000400</t>
        </is>
      </c>
      <c r="H3168" s="8">
        <f>HYPERLINK("https://dart.fss.or.kr/dsaf001/main.do?rcpNo=20260306000400", "공시열람")</f>
        <v/>
      </c>
    </row>
    <row r="3169">
      <c r="A3169" s="2" t="inlineStr">
        <is>
          <t>2026-03-06</t>
        </is>
      </c>
      <c r="B3169" s="3" t="inlineStr">
        <is>
          <t>미래에셋증권</t>
        </is>
      </c>
      <c r="C3169" s="2" t="inlineStr">
        <is>
          <t>코스피</t>
        </is>
      </c>
      <c r="D3169" s="2" t="inlineStr">
        <is>
          <t>006800</t>
        </is>
      </c>
      <c r="E3169" s="3" t="inlineStr">
        <is>
          <t>임원ㆍ주요주주특정증권등소유상황보고서</t>
        </is>
      </c>
      <c r="F3169" s="3" t="inlineStr">
        <is>
          <t>이종길</t>
        </is>
      </c>
      <c r="G3169" s="2" t="inlineStr">
        <is>
          <t>20260306000399</t>
        </is>
      </c>
      <c r="H3169" s="8">
        <f>HYPERLINK("https://dart.fss.or.kr/dsaf001/main.do?rcpNo=20260306000399", "공시열람")</f>
        <v/>
      </c>
    </row>
    <row r="3170">
      <c r="A3170" s="2" t="inlineStr">
        <is>
          <t>2026-03-06</t>
        </is>
      </c>
      <c r="B3170" s="3" t="inlineStr">
        <is>
          <t>딥노이드</t>
        </is>
      </c>
      <c r="C3170" s="2" t="inlineStr">
        <is>
          <t>코스닥</t>
        </is>
      </c>
      <c r="D3170" s="2" t="inlineStr">
        <is>
          <t>315640</t>
        </is>
      </c>
      <c r="E3170" s="3" t="inlineStr">
        <is>
          <t>의결권대리행사권유참고서류</t>
        </is>
      </c>
      <c r="F3170" s="3" t="inlineStr">
        <is>
          <t>딥노이드</t>
        </is>
      </c>
      <c r="G3170" s="2" t="inlineStr">
        <is>
          <t>20260306000397</t>
        </is>
      </c>
      <c r="H3170" s="8">
        <f>HYPERLINK("https://dart.fss.or.kr/dsaf001/main.do?rcpNo=20260306000397", "공시열람")</f>
        <v/>
      </c>
    </row>
    <row r="3171">
      <c r="A3171" s="2" t="inlineStr">
        <is>
          <t>2026-03-06</t>
        </is>
      </c>
      <c r="B3171" s="3" t="inlineStr">
        <is>
          <t>미래에셋증권</t>
        </is>
      </c>
      <c r="C3171" s="2" t="inlineStr">
        <is>
          <t>코스피</t>
        </is>
      </c>
      <c r="D3171" s="2" t="inlineStr">
        <is>
          <t>006800</t>
        </is>
      </c>
      <c r="E3171" s="3" t="inlineStr">
        <is>
          <t>임원ㆍ주요주주특정증권등소유상황보고서</t>
        </is>
      </c>
      <c r="F3171" s="3" t="inlineStr">
        <is>
          <t>김준환</t>
        </is>
      </c>
      <c r="G3171" s="2" t="inlineStr">
        <is>
          <t>20260306000395</t>
        </is>
      </c>
      <c r="H3171" s="8">
        <f>HYPERLINK("https://dart.fss.or.kr/dsaf001/main.do?rcpNo=20260306000395", "공시열람")</f>
        <v/>
      </c>
    </row>
    <row r="3172">
      <c r="A3172" s="2" t="inlineStr">
        <is>
          <t>2026-03-06</t>
        </is>
      </c>
      <c r="B3172" s="3" t="inlineStr">
        <is>
          <t>한솔홈데코</t>
        </is>
      </c>
      <c r="C3172" s="2" t="inlineStr">
        <is>
          <t>코스피</t>
        </is>
      </c>
      <c r="D3172" s="2" t="inlineStr">
        <is>
          <t>025750</t>
        </is>
      </c>
      <c r="E3172" s="3" t="inlineStr">
        <is>
          <t>임원ㆍ주요주주특정증권등소유상황보고서</t>
        </is>
      </c>
      <c r="F3172" s="3" t="inlineStr">
        <is>
          <t>양병갑</t>
        </is>
      </c>
      <c r="G3172" s="2" t="inlineStr">
        <is>
          <t>20260306000394</t>
        </is>
      </c>
      <c r="H3172" s="8">
        <f>HYPERLINK("https://dart.fss.or.kr/dsaf001/main.do?rcpNo=20260306000394", "공시열람")</f>
        <v/>
      </c>
    </row>
    <row r="3173">
      <c r="A3173" s="2" t="inlineStr">
        <is>
          <t>2026-03-06</t>
        </is>
      </c>
      <c r="B3173" s="3" t="inlineStr">
        <is>
          <t>엘에스스팩1호</t>
        </is>
      </c>
      <c r="C3173" s="2" t="inlineStr">
        <is>
          <t>코스닥</t>
        </is>
      </c>
      <c r="D3173" s="2" t="inlineStr">
        <is>
          <t>0041J0</t>
        </is>
      </c>
      <c r="E3173" s="3" t="inlineStr">
        <is>
          <t xml:space="preserve">감사보고서제출              </t>
        </is>
      </c>
      <c r="F3173" s="3" t="inlineStr">
        <is>
          <t>엘에스스팩1호</t>
        </is>
      </c>
      <c r="G3173" s="2" t="inlineStr">
        <is>
          <t>20260306900653</t>
        </is>
      </c>
      <c r="H3173" s="8">
        <f>HYPERLINK("https://dart.fss.or.kr/dsaf001/main.do?rcpNo=20260306900653", "공시열람")</f>
        <v/>
      </c>
    </row>
    <row r="3174">
      <c r="A3174" s="2" t="inlineStr">
        <is>
          <t>2026-03-06</t>
        </is>
      </c>
      <c r="B3174" s="3" t="inlineStr">
        <is>
          <t>미래에셋증권</t>
        </is>
      </c>
      <c r="C3174" s="2" t="inlineStr">
        <is>
          <t>코스피</t>
        </is>
      </c>
      <c r="D3174" s="2" t="inlineStr">
        <is>
          <t>006800</t>
        </is>
      </c>
      <c r="E3174" s="3" t="inlineStr">
        <is>
          <t>임원ㆍ주요주주특정증권등소유상황보고서</t>
        </is>
      </c>
      <c r="F3174" s="3" t="inlineStr">
        <is>
          <t>노승진</t>
        </is>
      </c>
      <c r="G3174" s="2" t="inlineStr">
        <is>
          <t>20260306000391</t>
        </is>
      </c>
      <c r="H3174" s="8">
        <f>HYPERLINK("https://dart.fss.or.kr/dsaf001/main.do?rcpNo=20260306000391", "공시열람")</f>
        <v/>
      </c>
    </row>
    <row r="3175">
      <c r="A3175" s="2" t="inlineStr">
        <is>
          <t>2026-03-06</t>
        </is>
      </c>
      <c r="B3175" s="3" t="inlineStr">
        <is>
          <t>동국알앤에스</t>
        </is>
      </c>
      <c r="C3175" s="2" t="inlineStr">
        <is>
          <t>코스닥</t>
        </is>
      </c>
      <c r="D3175" s="2" t="inlineStr">
        <is>
          <t>075970</t>
        </is>
      </c>
      <c r="E3175" s="3" t="inlineStr">
        <is>
          <t xml:space="preserve">현금ㆍ현물배당결정              </t>
        </is>
      </c>
      <c r="F3175" s="3" t="inlineStr">
        <is>
          <t>동국알앤에스</t>
        </is>
      </c>
      <c r="G3175" s="2" t="inlineStr">
        <is>
          <t>20260306900628</t>
        </is>
      </c>
      <c r="H3175" s="8">
        <f>HYPERLINK("https://dart.fss.or.kr/dsaf001/main.do?rcpNo=20260306900628", "공시열람")</f>
        <v/>
      </c>
    </row>
    <row r="3176">
      <c r="A3176" s="2" t="inlineStr">
        <is>
          <t>2026-03-06</t>
        </is>
      </c>
      <c r="B3176" s="3" t="inlineStr">
        <is>
          <t>동국알앤에스</t>
        </is>
      </c>
      <c r="C3176" s="2" t="inlineStr">
        <is>
          <t>코스닥</t>
        </is>
      </c>
      <c r="D3176" s="2" t="inlineStr">
        <is>
          <t>075970</t>
        </is>
      </c>
      <c r="E3176" s="3" t="inlineStr">
        <is>
          <t xml:space="preserve">매출액또는손익구조30%(대규모법인은15%)이상변동              </t>
        </is>
      </c>
      <c r="F3176" s="3" t="inlineStr">
        <is>
          <t>동국알앤에스</t>
        </is>
      </c>
      <c r="G3176" s="2" t="inlineStr">
        <is>
          <t>20260306900609</t>
        </is>
      </c>
      <c r="H3176" s="8">
        <f>HYPERLINK("https://dart.fss.or.kr/dsaf001/main.do?rcpNo=20260306900609", "공시열람")</f>
        <v/>
      </c>
    </row>
    <row r="3177">
      <c r="A3177" s="2" t="inlineStr">
        <is>
          <t>2026-03-06</t>
        </is>
      </c>
      <c r="B3177" s="3" t="inlineStr">
        <is>
          <t>미래에셋증권</t>
        </is>
      </c>
      <c r="C3177" s="2" t="inlineStr">
        <is>
          <t>코스피</t>
        </is>
      </c>
      <c r="D3177" s="2" t="inlineStr">
        <is>
          <t>006800</t>
        </is>
      </c>
      <c r="E3177" s="3" t="inlineStr">
        <is>
          <t>임원ㆍ주요주주특정증권등소유상황보고서</t>
        </is>
      </c>
      <c r="F3177" s="3" t="inlineStr">
        <is>
          <t>이제헌</t>
        </is>
      </c>
      <c r="G3177" s="2" t="inlineStr">
        <is>
          <t>20260306000389</t>
        </is>
      </c>
      <c r="H3177" s="8">
        <f>HYPERLINK("https://dart.fss.or.kr/dsaf001/main.do?rcpNo=20260306000389", "공시열람")</f>
        <v/>
      </c>
    </row>
    <row r="3178">
      <c r="A3178" s="2" t="inlineStr">
        <is>
          <t>2026-03-06</t>
        </is>
      </c>
      <c r="B3178" s="3" t="inlineStr">
        <is>
          <t>교보증권</t>
        </is>
      </c>
      <c r="C3178" s="2" t="inlineStr">
        <is>
          <t>코스피</t>
        </is>
      </c>
      <c r="D3178" s="2" t="inlineStr">
        <is>
          <t>030610</t>
        </is>
      </c>
      <c r="E3178" s="3" t="inlineStr">
        <is>
          <t>증권발행실적보고서</t>
        </is>
      </c>
      <c r="F3178" s="3" t="inlineStr">
        <is>
          <t>교보증권</t>
        </is>
      </c>
      <c r="G3178" s="2" t="inlineStr">
        <is>
          <t>20260306000387</t>
        </is>
      </c>
      <c r="H3178" s="8">
        <f>HYPERLINK("https://dart.fss.or.kr/dsaf001/main.do?rcpNo=20260306000387", "공시열람")</f>
        <v/>
      </c>
    </row>
    <row r="3179">
      <c r="A3179" s="2" t="inlineStr">
        <is>
          <t>2026-03-06</t>
        </is>
      </c>
      <c r="B3179" s="3" t="inlineStr">
        <is>
          <t>링크드</t>
        </is>
      </c>
      <c r="C3179" s="2" t="inlineStr">
        <is>
          <t>코스닥</t>
        </is>
      </c>
      <c r="D3179" s="2" t="inlineStr">
        <is>
          <t>193250</t>
        </is>
      </c>
      <c r="E3179" s="3" t="inlineStr">
        <is>
          <t>임원ㆍ주요주주특정증권등소유상황보고서</t>
        </is>
      </c>
      <c r="F3179" s="3" t="inlineStr">
        <is>
          <t>애자일스톤</t>
        </is>
      </c>
      <c r="G3179" s="2" t="inlineStr">
        <is>
          <t>20260306000385</t>
        </is>
      </c>
      <c r="H3179" s="8">
        <f>HYPERLINK("https://dart.fss.or.kr/dsaf001/main.do?rcpNo=20260306000385", "공시열람")</f>
        <v/>
      </c>
    </row>
    <row r="3180">
      <c r="A3180" s="2" t="inlineStr">
        <is>
          <t>2026-03-06</t>
        </is>
      </c>
      <c r="B3180" s="3" t="inlineStr">
        <is>
          <t>미래에셋증권</t>
        </is>
      </c>
      <c r="C3180" s="2" t="inlineStr">
        <is>
          <t>코스피</t>
        </is>
      </c>
      <c r="D3180" s="2" t="inlineStr">
        <is>
          <t>006800</t>
        </is>
      </c>
      <c r="E3180" s="3" t="inlineStr">
        <is>
          <t>임원ㆍ주요주주특정증권등소유상황보고서</t>
        </is>
      </c>
      <c r="F3180" s="3" t="inlineStr">
        <is>
          <t>이건명</t>
        </is>
      </c>
      <c r="G3180" s="2" t="inlineStr">
        <is>
          <t>20260306000383</t>
        </is>
      </c>
      <c r="H3180" s="8">
        <f>HYPERLINK("https://dart.fss.or.kr/dsaf001/main.do?rcpNo=20260306000383", "공시열람")</f>
        <v/>
      </c>
    </row>
    <row r="3181">
      <c r="A3181" s="2" t="inlineStr">
        <is>
          <t>2026-03-06</t>
        </is>
      </c>
      <c r="B3181" s="3" t="inlineStr">
        <is>
          <t>미래에셋증권</t>
        </is>
      </c>
      <c r="C3181" s="2" t="inlineStr">
        <is>
          <t>코스피</t>
        </is>
      </c>
      <c r="D3181" s="2" t="inlineStr">
        <is>
          <t>006800</t>
        </is>
      </c>
      <c r="E3181" s="3" t="inlineStr">
        <is>
          <t>임원ㆍ주요주주특정증권등소유상황보고서</t>
        </is>
      </c>
      <c r="F3181" s="3" t="inlineStr">
        <is>
          <t>이정훈</t>
        </is>
      </c>
      <c r="G3181" s="2" t="inlineStr">
        <is>
          <t>20260306000380</t>
        </is>
      </c>
      <c r="H3181" s="8">
        <f>HYPERLINK("https://dart.fss.or.kr/dsaf001/main.do?rcpNo=20260306000380", "공시열람")</f>
        <v/>
      </c>
    </row>
    <row r="3182">
      <c r="A3182" s="2" t="inlineStr">
        <is>
          <t>2026-03-06</t>
        </is>
      </c>
      <c r="B3182" s="3" t="inlineStr">
        <is>
          <t>교보증권</t>
        </is>
      </c>
      <c r="C3182" s="2" t="inlineStr">
        <is>
          <t>코스피</t>
        </is>
      </c>
      <c r="D3182" s="2" t="inlineStr">
        <is>
          <t>030610</t>
        </is>
      </c>
      <c r="E3182" s="3" t="inlineStr">
        <is>
          <t>증권발행실적보고서</t>
        </is>
      </c>
      <c r="F3182" s="3" t="inlineStr">
        <is>
          <t>교보증권</t>
        </is>
      </c>
      <c r="G3182" s="2" t="inlineStr">
        <is>
          <t>20260306000377</t>
        </is>
      </c>
      <c r="H3182" s="8">
        <f>HYPERLINK("https://dart.fss.or.kr/dsaf001/main.do?rcpNo=20260306000377", "공시열람")</f>
        <v/>
      </c>
    </row>
    <row r="3183">
      <c r="A3183" s="2" t="inlineStr">
        <is>
          <t>2026-03-06</t>
        </is>
      </c>
      <c r="B3183" s="3" t="inlineStr">
        <is>
          <t>한화</t>
        </is>
      </c>
      <c r="C3183" s="2" t="inlineStr">
        <is>
          <t>코스피</t>
        </is>
      </c>
      <c r="D3183" s="2" t="inlineStr">
        <is>
          <t>000880</t>
        </is>
      </c>
      <c r="E3183" s="3" t="inlineStr">
        <is>
          <t>의결권대리행사권유참고서류</t>
        </is>
      </c>
      <c r="F3183" s="3" t="inlineStr">
        <is>
          <t>한화</t>
        </is>
      </c>
      <c r="G3183" s="2" t="inlineStr">
        <is>
          <t>20260306000372</t>
        </is>
      </c>
      <c r="H3183" s="8">
        <f>HYPERLINK("https://dart.fss.or.kr/dsaf001/main.do?rcpNo=20260306000372", "공시열람")</f>
        <v/>
      </c>
    </row>
    <row r="3184">
      <c r="A3184" s="2" t="inlineStr">
        <is>
          <t>2026-03-06</t>
        </is>
      </c>
      <c r="B3184" s="3" t="inlineStr">
        <is>
          <t>한솔홈데코</t>
        </is>
      </c>
      <c r="C3184" s="2" t="inlineStr">
        <is>
          <t>코스피</t>
        </is>
      </c>
      <c r="D3184" s="2" t="inlineStr">
        <is>
          <t>025750</t>
        </is>
      </c>
      <c r="E3184" s="3" t="inlineStr">
        <is>
          <t>임원ㆍ주요주주특정증권등소유상황보고서</t>
        </is>
      </c>
      <c r="F3184" s="3" t="inlineStr">
        <is>
          <t>이동은</t>
        </is>
      </c>
      <c r="G3184" s="2" t="inlineStr">
        <is>
          <t>20260306000368</t>
        </is>
      </c>
      <c r="H3184" s="8">
        <f>HYPERLINK("https://dart.fss.or.kr/dsaf001/main.do?rcpNo=20260306000368", "공시열람")</f>
        <v/>
      </c>
    </row>
    <row r="3185">
      <c r="A3185" s="2" t="inlineStr">
        <is>
          <t>2026-03-06</t>
        </is>
      </c>
      <c r="B3185" s="3" t="inlineStr">
        <is>
          <t>미래에셋증권</t>
        </is>
      </c>
      <c r="C3185" s="2" t="inlineStr">
        <is>
          <t>코스피</t>
        </is>
      </c>
      <c r="D3185" s="2" t="inlineStr">
        <is>
          <t>006800</t>
        </is>
      </c>
      <c r="E3185" s="3" t="inlineStr">
        <is>
          <t>임원ㆍ주요주주특정증권등소유상황보고서</t>
        </is>
      </c>
      <c r="F3185" s="3" t="inlineStr">
        <is>
          <t>이정원</t>
        </is>
      </c>
      <c r="G3185" s="2" t="inlineStr">
        <is>
          <t>20260306000367</t>
        </is>
      </c>
      <c r="H3185" s="8">
        <f>HYPERLINK("https://dart.fss.or.kr/dsaf001/main.do?rcpNo=20260306000367", "공시열람")</f>
        <v/>
      </c>
    </row>
    <row r="3186">
      <c r="A3186" s="2" t="inlineStr">
        <is>
          <t>2026-03-06</t>
        </is>
      </c>
      <c r="B3186" s="3" t="inlineStr">
        <is>
          <t>삼현</t>
        </is>
      </c>
      <c r="C3186" s="2" t="inlineStr">
        <is>
          <t>코스닥</t>
        </is>
      </c>
      <c r="D3186" s="2" t="inlineStr">
        <is>
          <t>437730</t>
        </is>
      </c>
      <c r="E3186" s="3" t="inlineStr">
        <is>
          <t>임원ㆍ주요주주특정증권등소유상황보고서</t>
        </is>
      </c>
      <c r="F3186" s="3" t="inlineStr">
        <is>
          <t>한병철</t>
        </is>
      </c>
      <c r="G3186" s="2" t="inlineStr">
        <is>
          <t>20260306000365</t>
        </is>
      </c>
      <c r="H3186" s="8">
        <f>HYPERLINK("https://dart.fss.or.kr/dsaf001/main.do?rcpNo=20260306000365", "공시열람")</f>
        <v/>
      </c>
    </row>
    <row r="3187">
      <c r="A3187" s="2" t="inlineStr">
        <is>
          <t>2026-03-06</t>
        </is>
      </c>
      <c r="B3187" s="3" t="inlineStr">
        <is>
          <t>현대차증권</t>
        </is>
      </c>
      <c r="C3187" s="2" t="inlineStr">
        <is>
          <t>코스피</t>
        </is>
      </c>
      <c r="D3187" s="2" t="inlineStr">
        <is>
          <t>001500</t>
        </is>
      </c>
      <c r="E3187" s="3" t="inlineStr">
        <is>
          <t>증권발행실적보고서</t>
        </is>
      </c>
      <c r="F3187" s="3" t="inlineStr">
        <is>
          <t>현대차증권</t>
        </is>
      </c>
      <c r="G3187" s="2" t="inlineStr">
        <is>
          <t>20260306000362</t>
        </is>
      </c>
      <c r="H3187" s="8">
        <f>HYPERLINK("https://dart.fss.or.kr/dsaf001/main.do?rcpNo=20260306000362", "공시열람")</f>
        <v/>
      </c>
    </row>
    <row r="3188">
      <c r="A3188" s="2" t="inlineStr">
        <is>
          <t>2026-03-06</t>
        </is>
      </c>
      <c r="B3188" s="3" t="inlineStr">
        <is>
          <t>미래에셋증권</t>
        </is>
      </c>
      <c r="C3188" s="2" t="inlineStr">
        <is>
          <t>코스피</t>
        </is>
      </c>
      <c r="D3188" s="2" t="inlineStr">
        <is>
          <t>006800</t>
        </is>
      </c>
      <c r="E3188" s="3" t="inlineStr">
        <is>
          <t>임원ㆍ주요주주특정증권등소유상황보고서</t>
        </is>
      </c>
      <c r="F3188" s="3" t="inlineStr">
        <is>
          <t>박상준</t>
        </is>
      </c>
      <c r="G3188" s="2" t="inlineStr">
        <is>
          <t>20260306000360</t>
        </is>
      </c>
      <c r="H3188" s="8">
        <f>HYPERLINK("https://dart.fss.or.kr/dsaf001/main.do?rcpNo=20260306000360", "공시열람")</f>
        <v/>
      </c>
    </row>
    <row r="3189">
      <c r="A3189" s="2" t="inlineStr">
        <is>
          <t>2026-03-06</t>
        </is>
      </c>
      <c r="B3189" s="3" t="inlineStr">
        <is>
          <t>삼현</t>
        </is>
      </c>
      <c r="C3189" s="2" t="inlineStr">
        <is>
          <t>코스닥</t>
        </is>
      </c>
      <c r="D3189" s="2" t="inlineStr">
        <is>
          <t>437730</t>
        </is>
      </c>
      <c r="E3189" s="3" t="inlineStr">
        <is>
          <t>임원ㆍ주요주주특정증권등소유상황보고서</t>
        </is>
      </c>
      <c r="F3189" s="3" t="inlineStr">
        <is>
          <t>원준구</t>
        </is>
      </c>
      <c r="G3189" s="2" t="inlineStr">
        <is>
          <t>20260306000359</t>
        </is>
      </c>
      <c r="H3189" s="8">
        <f>HYPERLINK("https://dart.fss.or.kr/dsaf001/main.do?rcpNo=20260306000359", "공시열람")</f>
        <v/>
      </c>
    </row>
    <row r="3190">
      <c r="A3190" s="2" t="inlineStr">
        <is>
          <t>2026-03-06</t>
        </is>
      </c>
      <c r="B3190" s="3" t="inlineStr">
        <is>
          <t>한솔홈데코</t>
        </is>
      </c>
      <c r="C3190" s="2" t="inlineStr">
        <is>
          <t>코스피</t>
        </is>
      </c>
      <c r="D3190" s="2" t="inlineStr">
        <is>
          <t>025750</t>
        </is>
      </c>
      <c r="E3190" s="3" t="inlineStr">
        <is>
          <t>임원ㆍ주요주주특정증권등소유상황보고서</t>
        </is>
      </c>
      <c r="F3190" s="3" t="inlineStr">
        <is>
          <t>김경록</t>
        </is>
      </c>
      <c r="G3190" s="2" t="inlineStr">
        <is>
          <t>20260306000357</t>
        </is>
      </c>
      <c r="H3190" s="8">
        <f>HYPERLINK("https://dart.fss.or.kr/dsaf001/main.do?rcpNo=20260306000357", "공시열람")</f>
        <v/>
      </c>
    </row>
    <row r="3191">
      <c r="A3191" s="2" t="inlineStr">
        <is>
          <t>2026-03-06</t>
        </is>
      </c>
      <c r="B3191" s="3" t="inlineStr">
        <is>
          <t>세아제강지주</t>
        </is>
      </c>
      <c r="C3191" s="2" t="inlineStr">
        <is>
          <t>코스피</t>
        </is>
      </c>
      <c r="D3191" s="2" t="inlineStr">
        <is>
          <t>003030</t>
        </is>
      </c>
      <c r="E3191" s="3" t="inlineStr">
        <is>
          <t xml:space="preserve">매출액또는손익구조30%(대규모법인은15%)이상변경              </t>
        </is>
      </c>
      <c r="F3191" s="3" t="inlineStr">
        <is>
          <t>세아제강지주</t>
        </is>
      </c>
      <c r="G3191" s="2" t="inlineStr">
        <is>
          <t>20260306800591</t>
        </is>
      </c>
      <c r="H3191" s="8">
        <f>HYPERLINK("https://dart.fss.or.kr/dsaf001/main.do?rcpNo=20260306800591", "공시열람")</f>
        <v/>
      </c>
    </row>
    <row r="3192">
      <c r="A3192" s="2" t="inlineStr">
        <is>
          <t>2026-03-06</t>
        </is>
      </c>
      <c r="B3192" s="3" t="inlineStr">
        <is>
          <t>삼현</t>
        </is>
      </c>
      <c r="C3192" s="2" t="inlineStr">
        <is>
          <t>코스닥</t>
        </is>
      </c>
      <c r="D3192" s="2" t="inlineStr">
        <is>
          <t>437730</t>
        </is>
      </c>
      <c r="E3192" s="3" t="inlineStr">
        <is>
          <t>임원ㆍ주요주주특정증권등소유상황보고서</t>
        </is>
      </c>
      <c r="F3192" s="3" t="inlineStr">
        <is>
          <t>허만규</t>
        </is>
      </c>
      <c r="G3192" s="2" t="inlineStr">
        <is>
          <t>20260306000354</t>
        </is>
      </c>
      <c r="H3192" s="8">
        <f>HYPERLINK("https://dart.fss.or.kr/dsaf001/main.do?rcpNo=20260306000354", "공시열람")</f>
        <v/>
      </c>
    </row>
    <row r="3193">
      <c r="A3193" s="2" t="inlineStr">
        <is>
          <t>2026-02-26 (정정: 2026-03-06)</t>
        </is>
      </c>
      <c r="B3193" s="3" t="inlineStr">
        <is>
          <t>루트락</t>
        </is>
      </c>
      <c r="C3193" s="2" t="inlineStr">
        <is>
          <t>코넥스</t>
        </is>
      </c>
      <c r="D3193" s="2" t="inlineStr">
        <is>
          <t>253610</t>
        </is>
      </c>
      <c r="E3193" s="3" t="inlineStr">
        <is>
          <t>[기재정정]주요사항보고서(유형자산양도결정)</t>
        </is>
      </c>
      <c r="F3193" s="3" t="inlineStr">
        <is>
          <t>루트락</t>
        </is>
      </c>
      <c r="G3193" s="2" t="inlineStr">
        <is>
          <t>20260306000330</t>
        </is>
      </c>
      <c r="H3193" s="8">
        <f>HYPERLINK("https://dart.fss.or.kr/dsaf001/main.do?rcpNo=20260306000330", "공시열람")</f>
        <v/>
      </c>
    </row>
    <row r="3194">
      <c r="A3194" s="2" t="inlineStr">
        <is>
          <t>2026-03-06</t>
        </is>
      </c>
      <c r="B3194" s="3" t="inlineStr">
        <is>
          <t>유안타증권</t>
        </is>
      </c>
      <c r="C3194" s="2" t="inlineStr">
        <is>
          <t>코스피</t>
        </is>
      </c>
      <c r="D3194" s="2" t="inlineStr">
        <is>
          <t>003470</t>
        </is>
      </c>
      <c r="E3194" s="3" t="inlineStr">
        <is>
          <t>증권발행실적보고서</t>
        </is>
      </c>
      <c r="F3194" s="3" t="inlineStr">
        <is>
          <t>유안타증권</t>
        </is>
      </c>
      <c r="G3194" s="2" t="inlineStr">
        <is>
          <t>20260306000352</t>
        </is>
      </c>
      <c r="H3194" s="8">
        <f>HYPERLINK("https://dart.fss.or.kr/dsaf001/main.do?rcpNo=20260306000352", "공시열람")</f>
        <v/>
      </c>
    </row>
    <row r="3195">
      <c r="A3195" s="2" t="inlineStr">
        <is>
          <t>2026-03-06</t>
        </is>
      </c>
      <c r="B3195" s="3" t="inlineStr">
        <is>
          <t>삼현</t>
        </is>
      </c>
      <c r="C3195" s="2" t="inlineStr">
        <is>
          <t>코스닥</t>
        </is>
      </c>
      <c r="D3195" s="2" t="inlineStr">
        <is>
          <t>437730</t>
        </is>
      </c>
      <c r="E3195" s="3" t="inlineStr">
        <is>
          <t>임원ㆍ주요주주특정증권등소유상황보고서</t>
        </is>
      </c>
      <c r="F3195" s="3" t="inlineStr">
        <is>
          <t>서재복</t>
        </is>
      </c>
      <c r="G3195" s="2" t="inlineStr">
        <is>
          <t>20260306000350</t>
        </is>
      </c>
      <c r="H3195" s="8">
        <f>HYPERLINK("https://dart.fss.or.kr/dsaf001/main.do?rcpNo=20260306000350", "공시열람")</f>
        <v/>
      </c>
    </row>
    <row r="3196">
      <c r="A3196" s="2" t="inlineStr">
        <is>
          <t>2026-03-06</t>
        </is>
      </c>
      <c r="B3196" s="3" t="inlineStr">
        <is>
          <t>삼현</t>
        </is>
      </c>
      <c r="C3196" s="2" t="inlineStr">
        <is>
          <t>코스닥</t>
        </is>
      </c>
      <c r="D3196" s="2" t="inlineStr">
        <is>
          <t>437730</t>
        </is>
      </c>
      <c r="E3196" s="3" t="inlineStr">
        <is>
          <t>임원ㆍ주요주주특정증권등소유상황보고서</t>
        </is>
      </c>
      <c r="F3196" s="3" t="inlineStr">
        <is>
          <t>박기원</t>
        </is>
      </c>
      <c r="G3196" s="2" t="inlineStr">
        <is>
          <t>20260306000347</t>
        </is>
      </c>
      <c r="H3196" s="8">
        <f>HYPERLINK("https://dart.fss.or.kr/dsaf001/main.do?rcpNo=20260306000347", "공시열람")</f>
        <v/>
      </c>
    </row>
    <row r="3197">
      <c r="A3197" s="2" t="inlineStr">
        <is>
          <t>2026-03-06</t>
        </is>
      </c>
      <c r="B3197" s="3" t="inlineStr">
        <is>
          <t>제주은행</t>
        </is>
      </c>
      <c r="C3197" s="2" t="inlineStr">
        <is>
          <t>코스피</t>
        </is>
      </c>
      <c r="D3197" s="2" t="inlineStr">
        <is>
          <t>006220</t>
        </is>
      </c>
      <c r="E3197" s="3" t="inlineStr">
        <is>
          <t>임원ㆍ주요주주특정증권등소유상황보고서</t>
        </is>
      </c>
      <c r="F3197" s="3" t="inlineStr">
        <is>
          <t>정성훈</t>
        </is>
      </c>
      <c r="G3197" s="2" t="inlineStr">
        <is>
          <t>20260306000343</t>
        </is>
      </c>
      <c r="H3197" s="8">
        <f>HYPERLINK("https://dart.fss.or.kr/dsaf001/main.do?rcpNo=20260306000343", "공시열람")</f>
        <v/>
      </c>
    </row>
    <row r="3198">
      <c r="A3198" s="2" t="inlineStr">
        <is>
          <t>2026-03-06</t>
        </is>
      </c>
      <c r="B3198" s="3" t="inlineStr">
        <is>
          <t>디지틀조선</t>
        </is>
      </c>
      <c r="C3198" s="2" t="inlineStr">
        <is>
          <t>코스닥</t>
        </is>
      </c>
      <c r="D3198" s="2" t="inlineStr">
        <is>
          <t>033130</t>
        </is>
      </c>
      <c r="E3198" s="3" t="inlineStr">
        <is>
          <t>의결권대리행사권유참고서류</t>
        </is>
      </c>
      <c r="F3198" s="3" t="inlineStr">
        <is>
          <t>디지틀조선</t>
        </is>
      </c>
      <c r="G3198" s="2" t="inlineStr">
        <is>
          <t>20260306000342</t>
        </is>
      </c>
      <c r="H3198" s="8">
        <f>HYPERLINK("https://dart.fss.or.kr/dsaf001/main.do?rcpNo=20260306000342", "공시열람")</f>
        <v/>
      </c>
    </row>
    <row r="3199">
      <c r="A3199" s="2" t="inlineStr">
        <is>
          <t>2026-03-06</t>
        </is>
      </c>
      <c r="B3199" s="3" t="inlineStr">
        <is>
          <t>미래에셋증권</t>
        </is>
      </c>
      <c r="C3199" s="2" t="inlineStr">
        <is>
          <t>코스피</t>
        </is>
      </c>
      <c r="D3199" s="2" t="inlineStr">
        <is>
          <t>006800</t>
        </is>
      </c>
      <c r="E3199" s="3" t="inlineStr">
        <is>
          <t>임원ㆍ주요주주특정증권등소유상황보고서</t>
        </is>
      </c>
      <c r="F3199" s="3" t="inlineStr">
        <is>
          <t>이인구</t>
        </is>
      </c>
      <c r="G3199" s="2" t="inlineStr">
        <is>
          <t>20260306000340</t>
        </is>
      </c>
      <c r="H3199" s="8">
        <f>HYPERLINK("https://dart.fss.or.kr/dsaf001/main.do?rcpNo=20260306000340", "공시열람")</f>
        <v/>
      </c>
    </row>
    <row r="3200">
      <c r="A3200" s="2" t="inlineStr">
        <is>
          <t>2026-03-06</t>
        </is>
      </c>
      <c r="B3200" s="3" t="inlineStr">
        <is>
          <t>아시아나IDT</t>
        </is>
      </c>
      <c r="C3200" s="2" t="inlineStr">
        <is>
          <t>코스피</t>
        </is>
      </c>
      <c r="D3200" s="2" t="inlineStr">
        <is>
          <t>267850</t>
        </is>
      </c>
      <c r="E3200" s="3" t="inlineStr">
        <is>
          <t xml:space="preserve">현금ㆍ현물배당결정              </t>
        </is>
      </c>
      <c r="F3200" s="3" t="inlineStr">
        <is>
          <t>아시아나IDT</t>
        </is>
      </c>
      <c r="G3200" s="2" t="inlineStr">
        <is>
          <t>20260306800586</t>
        </is>
      </c>
      <c r="H3200" s="8">
        <f>HYPERLINK("https://dart.fss.or.kr/dsaf001/main.do?rcpNo=20260306800586", "공시열람")</f>
        <v/>
      </c>
    </row>
    <row r="3201">
      <c r="A3201" s="2" t="inlineStr">
        <is>
          <t>2026-03-06</t>
        </is>
      </c>
      <c r="B3201" s="3" t="inlineStr">
        <is>
          <t>도화엔지니어링</t>
        </is>
      </c>
      <c r="C3201" s="2" t="inlineStr">
        <is>
          <t>코스피</t>
        </is>
      </c>
      <c r="D3201" s="2" t="inlineStr">
        <is>
          <t>002150</t>
        </is>
      </c>
      <c r="E3201" s="3" t="inlineStr">
        <is>
          <t>임원ㆍ주요주주특정증권등소유상황보고서</t>
        </is>
      </c>
      <c r="F3201" s="3" t="inlineStr">
        <is>
          <t>김용구</t>
        </is>
      </c>
      <c r="G3201" s="2" t="inlineStr">
        <is>
          <t>20260306000339</t>
        </is>
      </c>
      <c r="H3201" s="8">
        <f>HYPERLINK("https://dart.fss.or.kr/dsaf001/main.do?rcpNo=20260306000339", "공시열람")</f>
        <v/>
      </c>
    </row>
    <row r="3202">
      <c r="A3202" s="2" t="inlineStr">
        <is>
          <t>2026-03-06</t>
        </is>
      </c>
      <c r="B3202" s="3" t="inlineStr">
        <is>
          <t>아시아나IDT</t>
        </is>
      </c>
      <c r="C3202" s="2" t="inlineStr">
        <is>
          <t>코스피</t>
        </is>
      </c>
      <c r="D3202" s="2" t="inlineStr">
        <is>
          <t>267850</t>
        </is>
      </c>
      <c r="E3202" s="3" t="inlineStr">
        <is>
          <t xml:space="preserve">매출액또는손익구조30%(대규모법인은15%)이상변경              </t>
        </is>
      </c>
      <c r="F3202" s="3" t="inlineStr">
        <is>
          <t>아시아나IDT</t>
        </is>
      </c>
      <c r="G3202" s="2" t="inlineStr">
        <is>
          <t>20260306800565</t>
        </is>
      </c>
      <c r="H3202" s="8">
        <f>HYPERLINK("https://dart.fss.or.kr/dsaf001/main.do?rcpNo=20260306800565", "공시열람")</f>
        <v/>
      </c>
    </row>
    <row r="3203">
      <c r="A3203" s="2" t="inlineStr">
        <is>
          <t>2026-03-06</t>
        </is>
      </c>
      <c r="B3203" s="3" t="inlineStr">
        <is>
          <t>씨아이테크</t>
        </is>
      </c>
      <c r="C3203" s="2" t="inlineStr">
        <is>
          <t>코스피</t>
        </is>
      </c>
      <c r="D3203" s="2" t="inlineStr">
        <is>
          <t>004920</t>
        </is>
      </c>
      <c r="E3203" s="3" t="inlineStr">
        <is>
          <t xml:space="preserve">매출액또는손익구조30%(대규모법인은15%)이상변경              </t>
        </is>
      </c>
      <c r="F3203" s="3" t="inlineStr">
        <is>
          <t>씨아이테크</t>
        </is>
      </c>
      <c r="G3203" s="2" t="inlineStr">
        <is>
          <t>20260306800562</t>
        </is>
      </c>
      <c r="H3203" s="8">
        <f>HYPERLINK("https://dart.fss.or.kr/dsaf001/main.do?rcpNo=20260306800562", "공시열람")</f>
        <v/>
      </c>
    </row>
    <row r="3204">
      <c r="A3204" s="2" t="inlineStr">
        <is>
          <t>2026-03-06</t>
        </is>
      </c>
      <c r="B3204" s="3" t="inlineStr">
        <is>
          <t>유안타증권</t>
        </is>
      </c>
      <c r="C3204" s="2" t="inlineStr">
        <is>
          <t>코스피</t>
        </is>
      </c>
      <c r="D3204" s="2" t="inlineStr">
        <is>
          <t>003470</t>
        </is>
      </c>
      <c r="E3204" s="3" t="inlineStr">
        <is>
          <t>증권발행실적보고서</t>
        </is>
      </c>
      <c r="F3204" s="3" t="inlineStr">
        <is>
          <t>유안타증권</t>
        </is>
      </c>
      <c r="G3204" s="2" t="inlineStr">
        <is>
          <t>20260306000336</t>
        </is>
      </c>
      <c r="H3204" s="8">
        <f>HYPERLINK("https://dart.fss.or.kr/dsaf001/main.do?rcpNo=20260306000336", "공시열람")</f>
        <v/>
      </c>
    </row>
    <row r="3205">
      <c r="A3205" s="2" t="inlineStr">
        <is>
          <t>2026-03-06</t>
        </is>
      </c>
      <c r="B3205" s="3" t="inlineStr">
        <is>
          <t>빙그레</t>
        </is>
      </c>
      <c r="C3205" s="2" t="inlineStr">
        <is>
          <t>코스피</t>
        </is>
      </c>
      <c r="D3205" s="2" t="inlineStr">
        <is>
          <t>005180</t>
        </is>
      </c>
      <c r="E3205" s="3" t="inlineStr">
        <is>
          <t xml:space="preserve">수시공시의무관련사항(공정공시)              </t>
        </is>
      </c>
      <c r="F3205" s="3" t="inlineStr">
        <is>
          <t>빙그레</t>
        </is>
      </c>
      <c r="G3205" s="2" t="inlineStr">
        <is>
          <t>20260306800585</t>
        </is>
      </c>
      <c r="H3205" s="8">
        <f>HYPERLINK("https://dart.fss.or.kr/dsaf001/main.do?rcpNo=20260306800585", "공시열람")</f>
        <v/>
      </c>
    </row>
    <row r="3206">
      <c r="A3206" s="2" t="inlineStr">
        <is>
          <t>2026-03-06</t>
        </is>
      </c>
      <c r="B3206" s="3" t="inlineStr">
        <is>
          <t>미래에셋증권</t>
        </is>
      </c>
      <c r="C3206" s="2" t="inlineStr">
        <is>
          <t>코스피</t>
        </is>
      </c>
      <c r="D3206" s="2" t="inlineStr">
        <is>
          <t>006800</t>
        </is>
      </c>
      <c r="E3206" s="3" t="inlineStr">
        <is>
          <t>임원ㆍ주요주주특정증권등소유상황보고서</t>
        </is>
      </c>
      <c r="F3206" s="3" t="inlineStr">
        <is>
          <t>이기상</t>
        </is>
      </c>
      <c r="G3206" s="2" t="inlineStr">
        <is>
          <t>20260306000332</t>
        </is>
      </c>
      <c r="H3206" s="8">
        <f>HYPERLINK("https://dart.fss.or.kr/dsaf001/main.do?rcpNo=20260306000332", "공시열람")</f>
        <v/>
      </c>
    </row>
    <row r="3207">
      <c r="A3207" s="2" t="inlineStr">
        <is>
          <t>2025-03-26 (정정: 2026-03-06)</t>
        </is>
      </c>
      <c r="B3207" s="3" t="inlineStr">
        <is>
          <t>아이빔테크놀로지</t>
        </is>
      </c>
      <c r="C3207" s="2" t="inlineStr">
        <is>
          <t>코스닥</t>
        </is>
      </c>
      <c r="D3207" s="2" t="inlineStr">
        <is>
          <t>460470</t>
        </is>
      </c>
      <c r="E3207" s="3" t="inlineStr">
        <is>
          <t>[기재정정]주식매수선택권부여에관한신고</t>
        </is>
      </c>
      <c r="F3207" s="3" t="inlineStr">
        <is>
          <t>아이빔테크놀로지</t>
        </is>
      </c>
      <c r="G3207" s="2" t="inlineStr">
        <is>
          <t>20260306000328</t>
        </is>
      </c>
      <c r="H3207" s="8">
        <f>HYPERLINK("https://dart.fss.or.kr/dsaf001/main.do?rcpNo=20260306000328", "공시열람")</f>
        <v/>
      </c>
    </row>
    <row r="3208">
      <c r="A3208" s="2" t="inlineStr">
        <is>
          <t>2026-03-06</t>
        </is>
      </c>
      <c r="B3208" s="3" t="inlineStr">
        <is>
          <t>대성미생물</t>
        </is>
      </c>
      <c r="C3208" s="2" t="inlineStr">
        <is>
          <t>코스닥</t>
        </is>
      </c>
      <c r="D3208" s="2" t="inlineStr">
        <is>
          <t>036480</t>
        </is>
      </c>
      <c r="E3208" s="3" t="inlineStr">
        <is>
          <t xml:space="preserve">[기재정정]매출액또는손익구조30%(대규모법인은15%)이상변동              </t>
        </is>
      </c>
      <c r="F3208" s="3" t="inlineStr">
        <is>
          <t>대성미생물</t>
        </is>
      </c>
      <c r="G3208" s="2" t="inlineStr">
        <is>
          <t>20260306900525</t>
        </is>
      </c>
      <c r="H3208" s="8">
        <f>HYPERLINK("https://dart.fss.or.kr/dsaf001/main.do?rcpNo=20260306900525", "공시열람")</f>
        <v/>
      </c>
    </row>
    <row r="3209">
      <c r="A3209" s="2" t="inlineStr">
        <is>
          <t>2026-03-06</t>
        </is>
      </c>
      <c r="B3209" s="3" t="inlineStr">
        <is>
          <t>현대공업</t>
        </is>
      </c>
      <c r="C3209" s="2" t="inlineStr">
        <is>
          <t>코스닥</t>
        </is>
      </c>
      <c r="D3209" s="2" t="inlineStr">
        <is>
          <t>170030</t>
        </is>
      </c>
      <c r="E3209" s="3" t="inlineStr">
        <is>
          <t xml:space="preserve">현금ㆍ현물배당결정              </t>
        </is>
      </c>
      <c r="F3209" s="3" t="inlineStr">
        <is>
          <t>현대공업</t>
        </is>
      </c>
      <c r="G3209" s="2" t="inlineStr">
        <is>
          <t>20260306900536</t>
        </is>
      </c>
      <c r="H3209" s="8">
        <f>HYPERLINK("https://dart.fss.or.kr/dsaf001/main.do?rcpNo=20260306900536", "공시열람")</f>
        <v/>
      </c>
    </row>
    <row r="3210">
      <c r="A3210" s="2" t="inlineStr">
        <is>
          <t>2026-03-06</t>
        </is>
      </c>
      <c r="B3210" s="3" t="inlineStr">
        <is>
          <t>솔트웨어</t>
        </is>
      </c>
      <c r="C3210" s="2" t="inlineStr">
        <is>
          <t>코스닥</t>
        </is>
      </c>
      <c r="D3210" s="2" t="inlineStr">
        <is>
          <t>328380</t>
        </is>
      </c>
      <c r="E3210" s="3" t="inlineStr">
        <is>
          <t>임원ㆍ주요주주특정증권등소유상황보고서</t>
        </is>
      </c>
      <c r="F3210" s="3" t="inlineStr">
        <is>
          <t>박창우</t>
        </is>
      </c>
      <c r="G3210" s="2" t="inlineStr">
        <is>
          <t>20260306000323</t>
        </is>
      </c>
      <c r="H3210" s="8">
        <f>HYPERLINK("https://dart.fss.or.kr/dsaf001/main.do?rcpNo=20260306000323", "공시열람")</f>
        <v/>
      </c>
    </row>
    <row r="3211">
      <c r="A3211" s="2" t="inlineStr">
        <is>
          <t>2026-03-06</t>
        </is>
      </c>
      <c r="B3211" s="3" t="inlineStr">
        <is>
          <t>기가레인</t>
        </is>
      </c>
      <c r="C3211" s="2" t="inlineStr">
        <is>
          <t>코스닥</t>
        </is>
      </c>
      <c r="D3211" s="2" t="inlineStr">
        <is>
          <t>049080</t>
        </is>
      </c>
      <c r="E3211" s="3" t="inlineStr">
        <is>
          <t>임원ㆍ주요주주특정증권등소유상황보고서</t>
        </is>
      </c>
      <c r="F3211" s="3" t="inlineStr">
        <is>
          <t>노경일</t>
        </is>
      </c>
      <c r="G3211" s="2" t="inlineStr">
        <is>
          <t>20260306000322</t>
        </is>
      </c>
      <c r="H3211" s="8">
        <f>HYPERLINK("https://dart.fss.or.kr/dsaf001/main.do?rcpNo=20260306000322", "공시열람")</f>
        <v/>
      </c>
    </row>
    <row r="3212">
      <c r="A3212" s="2" t="inlineStr">
        <is>
          <t>2026-03-06</t>
        </is>
      </c>
      <c r="B3212" s="3" t="inlineStr">
        <is>
          <t>교보증권</t>
        </is>
      </c>
      <c r="C3212" s="2" t="inlineStr">
        <is>
          <t>코스피</t>
        </is>
      </c>
      <c r="D3212" s="2" t="inlineStr">
        <is>
          <t>030610</t>
        </is>
      </c>
      <c r="E3212" s="3" t="inlineStr">
        <is>
          <t>증권발행실적보고서</t>
        </is>
      </c>
      <c r="F3212" s="3" t="inlineStr">
        <is>
          <t>교보증권</t>
        </is>
      </c>
      <c r="G3212" s="2" t="inlineStr">
        <is>
          <t>20260306000321</t>
        </is>
      </c>
      <c r="H3212" s="8">
        <f>HYPERLINK("https://dart.fss.or.kr/dsaf001/main.do?rcpNo=20260306000321", "공시열람")</f>
        <v/>
      </c>
    </row>
    <row r="3213">
      <c r="A3213" s="2" t="inlineStr">
        <is>
          <t>2026-03-06</t>
        </is>
      </c>
      <c r="B3213" s="3" t="inlineStr">
        <is>
          <t>DB증권</t>
        </is>
      </c>
      <c r="C3213" s="2" t="inlineStr">
        <is>
          <t>코스피</t>
        </is>
      </c>
      <c r="D3213" s="2" t="inlineStr">
        <is>
          <t>016610</t>
        </is>
      </c>
      <c r="E3213" s="3" t="inlineStr">
        <is>
          <t>투자설명서(일괄신고)</t>
        </is>
      </c>
      <c r="F3213" s="3" t="inlineStr">
        <is>
          <t>DB증권</t>
        </is>
      </c>
      <c r="G3213" s="2" t="inlineStr">
        <is>
          <t>20260306000319</t>
        </is>
      </c>
      <c r="H3213" s="8">
        <f>HYPERLINK("https://dart.fss.or.kr/dsaf001/main.do?rcpNo=20260306000319", "공시열람")</f>
        <v/>
      </c>
    </row>
    <row r="3214">
      <c r="A3214" s="2" t="inlineStr">
        <is>
          <t>2026-03-06</t>
        </is>
      </c>
      <c r="B3214" s="3" t="inlineStr">
        <is>
          <t>미래에셋증권</t>
        </is>
      </c>
      <c r="C3214" s="2" t="inlineStr">
        <is>
          <t>코스피</t>
        </is>
      </c>
      <c r="D3214" s="2" t="inlineStr">
        <is>
          <t>006800</t>
        </is>
      </c>
      <c r="E3214" s="3" t="inlineStr">
        <is>
          <t>임원ㆍ주요주주특정증권등소유상황보고서</t>
        </is>
      </c>
      <c r="F3214" s="3" t="inlineStr">
        <is>
          <t>유향수</t>
        </is>
      </c>
      <c r="G3214" s="2" t="inlineStr">
        <is>
          <t>20260306000318</t>
        </is>
      </c>
      <c r="H3214" s="8">
        <f>HYPERLINK("https://dart.fss.or.kr/dsaf001/main.do?rcpNo=20260306000318", "공시열람")</f>
        <v/>
      </c>
    </row>
    <row r="3215">
      <c r="A3215" s="2" t="inlineStr">
        <is>
          <t>2026-03-06</t>
        </is>
      </c>
      <c r="B3215" s="3" t="inlineStr">
        <is>
          <t>교보증권</t>
        </is>
      </c>
      <c r="C3215" s="2" t="inlineStr">
        <is>
          <t>코스피</t>
        </is>
      </c>
      <c r="D3215" s="2" t="inlineStr">
        <is>
          <t>030610</t>
        </is>
      </c>
      <c r="E3215" s="3" t="inlineStr">
        <is>
          <t>증권발행실적보고서</t>
        </is>
      </c>
      <c r="F3215" s="3" t="inlineStr">
        <is>
          <t>교보증권</t>
        </is>
      </c>
      <c r="G3215" s="2" t="inlineStr">
        <is>
          <t>20260306000316</t>
        </is>
      </c>
      <c r="H3215" s="8">
        <f>HYPERLINK("https://dart.fss.or.kr/dsaf001/main.do?rcpNo=20260306000316", "공시열람")</f>
        <v/>
      </c>
    </row>
    <row r="3216">
      <c r="A3216" s="2" t="inlineStr">
        <is>
          <t>2026-03-06 (정정: 2026-03-12)</t>
        </is>
      </c>
      <c r="B3216" s="3" t="inlineStr">
        <is>
          <t>알에스오토메이션</t>
        </is>
      </c>
      <c r="C3216" s="2" t="inlineStr">
        <is>
          <t>코스닥</t>
        </is>
      </c>
      <c r="D3216" s="2" t="inlineStr">
        <is>
          <t>140670</t>
        </is>
      </c>
      <c r="E3216" s="3" t="inlineStr">
        <is>
          <t>의결권대리행사권유참고서류 (정정: 20260312) (정정: 20260312)</t>
        </is>
      </c>
      <c r="F3216" s="3" t="inlineStr">
        <is>
          <t>알에스오토메이션</t>
        </is>
      </c>
      <c r="G3216" s="2" t="inlineStr">
        <is>
          <t>20260312000807</t>
        </is>
      </c>
      <c r="H3216" s="8">
        <f>HYPERLINK("https://dart.fss.or.kr/dsaf001/main.do?rcpNo=20260312000807", "공시열람")</f>
        <v/>
      </c>
    </row>
    <row r="3217">
      <c r="A3217" s="2" t="inlineStr">
        <is>
          <t>2026-03-06</t>
        </is>
      </c>
      <c r="B3217" s="3" t="inlineStr">
        <is>
          <t>멕아이씨에스</t>
        </is>
      </c>
      <c r="C3217" s="2" t="inlineStr">
        <is>
          <t>코스닥</t>
        </is>
      </c>
      <c r="D3217" s="2" t="inlineStr">
        <is>
          <t>058110</t>
        </is>
      </c>
      <c r="E3217" s="3" t="inlineStr">
        <is>
          <t>의결권대리행사권유참고서류</t>
        </is>
      </c>
      <c r="F3217" s="3" t="inlineStr">
        <is>
          <t>멕아이씨에스</t>
        </is>
      </c>
      <c r="G3217" s="2" t="inlineStr">
        <is>
          <t>20260306000307</t>
        </is>
      </c>
      <c r="H3217" s="8">
        <f>HYPERLINK("https://dart.fss.or.kr/dsaf001/main.do?rcpNo=20260306000307", "공시열람")</f>
        <v/>
      </c>
    </row>
    <row r="3218">
      <c r="A3218" s="2" t="inlineStr">
        <is>
          <t>2026-03-06</t>
        </is>
      </c>
      <c r="B3218" s="3" t="inlineStr">
        <is>
          <t>이건홀딩스</t>
        </is>
      </c>
      <c r="C3218" s="2" t="inlineStr">
        <is>
          <t>코스닥</t>
        </is>
      </c>
      <c r="D3218" s="2" t="inlineStr">
        <is>
          <t>039020</t>
        </is>
      </c>
      <c r="E3218" s="3" t="inlineStr">
        <is>
          <t xml:space="preserve">현금ㆍ현물배당결정              </t>
        </is>
      </c>
      <c r="F3218" s="3" t="inlineStr">
        <is>
          <t>이건홀딩스</t>
        </is>
      </c>
      <c r="G3218" s="2" t="inlineStr">
        <is>
          <t>20260306900531</t>
        </is>
      </c>
      <c r="H3218" s="8">
        <f>HYPERLINK("https://dart.fss.or.kr/dsaf001/main.do?rcpNo=20260306900531", "공시열람")</f>
        <v/>
      </c>
    </row>
    <row r="3219">
      <c r="A3219" s="2" t="inlineStr">
        <is>
          <t>2026-03-06</t>
        </is>
      </c>
      <c r="B3219" s="3" t="inlineStr">
        <is>
          <t>코메론</t>
        </is>
      </c>
      <c r="C3219" s="2" t="inlineStr">
        <is>
          <t>코스닥</t>
        </is>
      </c>
      <c r="D3219" s="2" t="inlineStr">
        <is>
          <t>049430</t>
        </is>
      </c>
      <c r="E3219" s="3" t="inlineStr">
        <is>
          <t>의결권대리행사권유참고서류</t>
        </is>
      </c>
      <c r="F3219" s="3" t="inlineStr">
        <is>
          <t>코메론</t>
        </is>
      </c>
      <c r="G3219" s="2" t="inlineStr">
        <is>
          <t>20260306000304</t>
        </is>
      </c>
      <c r="H3219" s="8">
        <f>HYPERLINK("https://dart.fss.or.kr/dsaf001/main.do?rcpNo=20260306000304", "공시열람")</f>
        <v/>
      </c>
    </row>
    <row r="3220">
      <c r="A3220" s="2" t="inlineStr">
        <is>
          <t>2026-03-06</t>
        </is>
      </c>
      <c r="B3220" s="3" t="inlineStr">
        <is>
          <t>미래에셋증권</t>
        </is>
      </c>
      <c r="C3220" s="2" t="inlineStr">
        <is>
          <t>코스피</t>
        </is>
      </c>
      <c r="D3220" s="2" t="inlineStr">
        <is>
          <t>006800</t>
        </is>
      </c>
      <c r="E3220" s="3" t="inlineStr">
        <is>
          <t>임원ㆍ주요주주특정증권등소유상황보고서</t>
        </is>
      </c>
      <c r="F3220" s="3" t="inlineStr">
        <is>
          <t>신성철</t>
        </is>
      </c>
      <c r="G3220" s="2" t="inlineStr">
        <is>
          <t>20260306000303</t>
        </is>
      </c>
      <c r="H3220" s="8">
        <f>HYPERLINK("https://dart.fss.or.kr/dsaf001/main.do?rcpNo=20260306000303", "공시열람")</f>
        <v/>
      </c>
    </row>
    <row r="3221">
      <c r="A3221" s="2" t="inlineStr">
        <is>
          <t>2026-03-06</t>
        </is>
      </c>
      <c r="B3221" s="3" t="inlineStr">
        <is>
          <t>유라클</t>
        </is>
      </c>
      <c r="C3221" s="2" t="inlineStr">
        <is>
          <t>코스닥</t>
        </is>
      </c>
      <c r="D3221" s="2" t="inlineStr">
        <is>
          <t>088340</t>
        </is>
      </c>
      <c r="E3221" s="3" t="inlineStr">
        <is>
          <t>임원ㆍ주요주주특정증권등소유상황보고서</t>
        </is>
      </c>
      <c r="F3221" s="3" t="inlineStr">
        <is>
          <t>조준희</t>
        </is>
      </c>
      <c r="G3221" s="2" t="inlineStr">
        <is>
          <t>20260306000297</t>
        </is>
      </c>
      <c r="H3221" s="8">
        <f>HYPERLINK("https://dart.fss.or.kr/dsaf001/main.do?rcpNo=20260306000297", "공시열람")</f>
        <v/>
      </c>
    </row>
    <row r="3222">
      <c r="A3222" s="2" t="inlineStr">
        <is>
          <t>2026-03-06 (정정: 2026-03-09)</t>
        </is>
      </c>
      <c r="B3222" s="3" t="inlineStr">
        <is>
          <t>흥국화재</t>
        </is>
      </c>
      <c r="C3222" s="2" t="inlineStr">
        <is>
          <t>코스피</t>
        </is>
      </c>
      <c r="D3222" s="2" t="inlineStr">
        <is>
          <t>000540</t>
        </is>
      </c>
      <c r="E3222" s="3" t="inlineStr">
        <is>
          <t>기업지배구조보고서공시(연차보고서)               (정정: 20260309)</t>
        </is>
      </c>
      <c r="F3222" s="3" t="inlineStr">
        <is>
          <t>흥국화재</t>
        </is>
      </c>
      <c r="G3222" s="2" t="inlineStr">
        <is>
          <t>20260309801375</t>
        </is>
      </c>
      <c r="H3222" s="8">
        <f>HYPERLINK("https://dart.fss.or.kr/dsaf001/main.do?rcpNo=20260309801375", "공시열람")</f>
        <v/>
      </c>
    </row>
    <row r="3223">
      <c r="A3223" s="2" t="inlineStr">
        <is>
          <t>2026-03-06</t>
        </is>
      </c>
      <c r="B3223" s="3" t="inlineStr">
        <is>
          <t>정상제이엘에스</t>
        </is>
      </c>
      <c r="C3223" s="2" t="inlineStr">
        <is>
          <t>코스닥</t>
        </is>
      </c>
      <c r="D3223" s="2" t="inlineStr">
        <is>
          <t>040420</t>
        </is>
      </c>
      <c r="E3223" s="3" t="inlineStr">
        <is>
          <t>의결권대리행사권유참고서류</t>
        </is>
      </c>
      <c r="F3223" s="3" t="inlineStr">
        <is>
          <t>정상제이엘에스</t>
        </is>
      </c>
      <c r="G3223" s="2" t="inlineStr">
        <is>
          <t>20260306000294</t>
        </is>
      </c>
      <c r="H3223" s="8">
        <f>HYPERLINK("https://dart.fss.or.kr/dsaf001/main.do?rcpNo=20260306000294", "공시열람")</f>
        <v/>
      </c>
    </row>
    <row r="3224">
      <c r="A3224" s="2" t="inlineStr">
        <is>
          <t>2026-03-06</t>
        </is>
      </c>
      <c r="B3224" s="3" t="inlineStr">
        <is>
          <t>이노테나</t>
        </is>
      </c>
      <c r="C3224" s="2" t="inlineStr">
        <is>
          <t>코스닥</t>
        </is>
      </c>
      <c r="D3224" s="2" t="inlineStr">
        <is>
          <t>333050</t>
        </is>
      </c>
      <c r="E3224" s="3" t="inlineStr">
        <is>
          <t xml:space="preserve">현금ㆍ현물배당결정              </t>
        </is>
      </c>
      <c r="F3224" s="3" t="inlineStr">
        <is>
          <t>이노테나</t>
        </is>
      </c>
      <c r="G3224" s="2" t="inlineStr">
        <is>
          <t>20260306900500</t>
        </is>
      </c>
      <c r="H3224" s="8">
        <f>HYPERLINK("https://dart.fss.or.kr/dsaf001/main.do?rcpNo=20260306900500", "공시열람")</f>
        <v/>
      </c>
    </row>
    <row r="3225">
      <c r="A3225" s="2" t="inlineStr">
        <is>
          <t>2026-03-06</t>
        </is>
      </c>
      <c r="B3225" s="3" t="inlineStr">
        <is>
          <t>이건홀딩스</t>
        </is>
      </c>
      <c r="C3225" s="2" t="inlineStr">
        <is>
          <t>코스닥</t>
        </is>
      </c>
      <c r="D3225" s="2" t="inlineStr">
        <is>
          <t>039020</t>
        </is>
      </c>
      <c r="E3225" s="3" t="inlineStr">
        <is>
          <t xml:space="preserve">현금ㆍ현물배당결정(자회사의 주요경영사항)              </t>
        </is>
      </c>
      <c r="F3225" s="3" t="inlineStr">
        <is>
          <t>이건홀딩스</t>
        </is>
      </c>
      <c r="G3225" s="2" t="inlineStr">
        <is>
          <t>20260306900497</t>
        </is>
      </c>
      <c r="H3225" s="8">
        <f>HYPERLINK("https://dart.fss.or.kr/dsaf001/main.do?rcpNo=20260306900497", "공시열람")</f>
        <v/>
      </c>
    </row>
    <row r="3226">
      <c r="A3226" s="2" t="inlineStr">
        <is>
          <t>2026-03-06</t>
        </is>
      </c>
      <c r="B3226" s="3" t="inlineStr">
        <is>
          <t>이노테나</t>
        </is>
      </c>
      <c r="C3226" s="2" t="inlineStr">
        <is>
          <t>코스닥</t>
        </is>
      </c>
      <c r="D3226" s="2" t="inlineStr">
        <is>
          <t>333050</t>
        </is>
      </c>
      <c r="E3226" s="3" t="inlineStr">
        <is>
          <t xml:space="preserve">주식병합결정              </t>
        </is>
      </c>
      <c r="F3226" s="3" t="inlineStr">
        <is>
          <t>이노테나</t>
        </is>
      </c>
      <c r="G3226" s="2" t="inlineStr">
        <is>
          <t>20260306900503</t>
        </is>
      </c>
      <c r="H3226" s="8">
        <f>HYPERLINK("https://dart.fss.or.kr/dsaf001/main.do?rcpNo=20260306900503", "공시열람")</f>
        <v/>
      </c>
    </row>
    <row r="3227">
      <c r="A3227" s="2" t="inlineStr">
        <is>
          <t>2026-03-06</t>
        </is>
      </c>
      <c r="B3227" s="3" t="inlineStr">
        <is>
          <t>이건산업</t>
        </is>
      </c>
      <c r="C3227" s="2" t="inlineStr">
        <is>
          <t>코스피</t>
        </is>
      </c>
      <c r="D3227" s="2" t="inlineStr">
        <is>
          <t>008250</t>
        </is>
      </c>
      <c r="E3227" s="3" t="inlineStr">
        <is>
          <t xml:space="preserve">기타경영사항(자율공시)              </t>
        </is>
      </c>
      <c r="F3227" s="3" t="inlineStr">
        <is>
          <t>이건산업</t>
        </is>
      </c>
      <c r="G3227" s="2" t="inlineStr">
        <is>
          <t>20260306800499</t>
        </is>
      </c>
      <c r="H3227" s="8">
        <f>HYPERLINK("https://dart.fss.or.kr/dsaf001/main.do?rcpNo=20260306800499", "공시열람")</f>
        <v/>
      </c>
    </row>
    <row r="3228">
      <c r="A3228" s="2" t="inlineStr">
        <is>
          <t>2026-03-06</t>
        </is>
      </c>
      <c r="B3228" s="3" t="inlineStr">
        <is>
          <t>미래에셋증권</t>
        </is>
      </c>
      <c r="C3228" s="2" t="inlineStr">
        <is>
          <t>코스피</t>
        </is>
      </c>
      <c r="D3228" s="2" t="inlineStr">
        <is>
          <t>006800</t>
        </is>
      </c>
      <c r="E3228" s="3" t="inlineStr">
        <is>
          <t>임원ㆍ주요주주특정증권등소유상황보고서</t>
        </is>
      </c>
      <c r="F3228" s="3" t="inlineStr">
        <is>
          <t>손병호</t>
        </is>
      </c>
      <c r="G3228" s="2" t="inlineStr">
        <is>
          <t>20260306000292</t>
        </is>
      </c>
      <c r="H3228" s="8">
        <f>HYPERLINK("https://dart.fss.or.kr/dsaf001/main.do?rcpNo=20260306000292", "공시열람")</f>
        <v/>
      </c>
    </row>
    <row r="3229">
      <c r="A3229" s="2" t="inlineStr">
        <is>
          <t>2026-03-06</t>
        </is>
      </c>
      <c r="B3229" s="3" t="inlineStr">
        <is>
          <t>디지틀조선</t>
        </is>
      </c>
      <c r="C3229" s="2" t="inlineStr">
        <is>
          <t>코스닥</t>
        </is>
      </c>
      <c r="D3229" s="2" t="inlineStr">
        <is>
          <t>033130</t>
        </is>
      </c>
      <c r="E3229" s="3" t="inlineStr">
        <is>
          <t xml:space="preserve">현금ㆍ현물배당결정              </t>
        </is>
      </c>
      <c r="F3229" s="3" t="inlineStr">
        <is>
          <t>디지틀조선</t>
        </is>
      </c>
      <c r="G3229" s="2" t="inlineStr">
        <is>
          <t>20260306900485</t>
        </is>
      </c>
      <c r="H3229" s="8">
        <f>HYPERLINK("https://dart.fss.or.kr/dsaf001/main.do?rcpNo=20260306900485", "공시열람")</f>
        <v/>
      </c>
    </row>
    <row r="3230">
      <c r="A3230" s="2" t="inlineStr">
        <is>
          <t>2026-03-06</t>
        </is>
      </c>
      <c r="B3230" s="3" t="inlineStr">
        <is>
          <t>현대차증권</t>
        </is>
      </c>
      <c r="C3230" s="2" t="inlineStr">
        <is>
          <t>코스피</t>
        </is>
      </c>
      <c r="D3230" s="2" t="inlineStr">
        <is>
          <t>001500</t>
        </is>
      </c>
      <c r="E3230" s="3" t="inlineStr">
        <is>
          <t>투자설명서(일괄신고)</t>
        </is>
      </c>
      <c r="F3230" s="3" t="inlineStr">
        <is>
          <t>현대차증권</t>
        </is>
      </c>
      <c r="G3230" s="2" t="inlineStr">
        <is>
          <t>20260306000288</t>
        </is>
      </c>
      <c r="H3230" s="8">
        <f>HYPERLINK("https://dart.fss.or.kr/dsaf001/main.do?rcpNo=20260306000288", "공시열람")</f>
        <v/>
      </c>
    </row>
    <row r="3231">
      <c r="A3231" s="2" t="inlineStr">
        <is>
          <t>2026-03-06</t>
        </is>
      </c>
      <c r="B3231" s="3" t="inlineStr">
        <is>
          <t>피씨디렉트</t>
        </is>
      </c>
      <c r="C3231" s="2" t="inlineStr">
        <is>
          <t>코스닥</t>
        </is>
      </c>
      <c r="D3231" s="2" t="inlineStr">
        <is>
          <t>051380</t>
        </is>
      </c>
      <c r="E3231" s="3" t="inlineStr">
        <is>
          <t xml:space="preserve">현금ㆍ현물배당결정              </t>
        </is>
      </c>
      <c r="F3231" s="3" t="inlineStr">
        <is>
          <t>피씨디렉트</t>
        </is>
      </c>
      <c r="G3231" s="2" t="inlineStr">
        <is>
          <t>20260306900486</t>
        </is>
      </c>
      <c r="H3231" s="8">
        <f>HYPERLINK("https://dart.fss.or.kr/dsaf001/main.do?rcpNo=20260306900486", "공시열람")</f>
        <v/>
      </c>
    </row>
    <row r="3232">
      <c r="A3232" s="2" t="inlineStr">
        <is>
          <t>2026-03-06</t>
        </is>
      </c>
      <c r="B3232" s="3" t="inlineStr">
        <is>
          <t>피씨디렉트</t>
        </is>
      </c>
      <c r="C3232" s="2" t="inlineStr">
        <is>
          <t>코스닥</t>
        </is>
      </c>
      <c r="D3232" s="2" t="inlineStr">
        <is>
          <t>051380</t>
        </is>
      </c>
      <c r="E3232" s="3" t="inlineStr">
        <is>
          <t xml:space="preserve">매출액또는손익구조30%(대규모법인은15%)이상변동              </t>
        </is>
      </c>
      <c r="F3232" s="3" t="inlineStr">
        <is>
          <t>피씨디렉트</t>
        </is>
      </c>
      <c r="G3232" s="2" t="inlineStr">
        <is>
          <t>20260306900471</t>
        </is>
      </c>
      <c r="H3232" s="8">
        <f>HYPERLINK("https://dart.fss.or.kr/dsaf001/main.do?rcpNo=20260306900471", "공시열람")</f>
        <v/>
      </c>
    </row>
    <row r="3233">
      <c r="A3233" s="2" t="inlineStr">
        <is>
          <t>2026-03-06</t>
        </is>
      </c>
      <c r="B3233" s="3" t="inlineStr">
        <is>
          <t>이건산업</t>
        </is>
      </c>
      <c r="C3233" s="2" t="inlineStr">
        <is>
          <t>코스피</t>
        </is>
      </c>
      <c r="D3233" s="2" t="inlineStr">
        <is>
          <t>008250</t>
        </is>
      </c>
      <c r="E3233" s="3" t="inlineStr">
        <is>
          <t xml:space="preserve">현금ㆍ현물배당결정              </t>
        </is>
      </c>
      <c r="F3233" s="3" t="inlineStr">
        <is>
          <t>이건산업</t>
        </is>
      </c>
      <c r="G3233" s="2" t="inlineStr">
        <is>
          <t>20260306800496</t>
        </is>
      </c>
      <c r="H3233" s="8">
        <f>HYPERLINK("https://dart.fss.or.kr/dsaf001/main.do?rcpNo=20260306800496", "공시열람")</f>
        <v/>
      </c>
    </row>
    <row r="3234">
      <c r="A3234" s="2" t="inlineStr">
        <is>
          <t>2026-03-06</t>
        </is>
      </c>
      <c r="B3234" s="3" t="inlineStr">
        <is>
          <t>DB증권</t>
        </is>
      </c>
      <c r="C3234" s="2" t="inlineStr">
        <is>
          <t>코스피</t>
        </is>
      </c>
      <c r="D3234" s="2" t="inlineStr">
        <is>
          <t>016610</t>
        </is>
      </c>
      <c r="E3234" s="3" t="inlineStr">
        <is>
          <t>일괄신고추가서류(파생결합사채-주가연계파생결합사채)</t>
        </is>
      </c>
      <c r="F3234" s="3" t="inlineStr">
        <is>
          <t>DB증권</t>
        </is>
      </c>
      <c r="G3234" s="2" t="inlineStr">
        <is>
          <t>20260306000282</t>
        </is>
      </c>
      <c r="H3234" s="8">
        <f>HYPERLINK("https://dart.fss.or.kr/dsaf001/main.do?rcpNo=20260306000282", "공시열람")</f>
        <v/>
      </c>
    </row>
    <row r="3235">
      <c r="A3235" s="2" t="inlineStr">
        <is>
          <t>2026-03-06</t>
        </is>
      </c>
      <c r="B3235" s="3" t="inlineStr">
        <is>
          <t>미래에셋증권</t>
        </is>
      </c>
      <c r="C3235" s="2" t="inlineStr">
        <is>
          <t>코스피</t>
        </is>
      </c>
      <c r="D3235" s="2" t="inlineStr">
        <is>
          <t>006800</t>
        </is>
      </c>
      <c r="E3235" s="3" t="inlineStr">
        <is>
          <t>임원ㆍ주요주주특정증권등소유상황보고서</t>
        </is>
      </c>
      <c r="F3235" s="3" t="inlineStr">
        <is>
          <t>양희철</t>
        </is>
      </c>
      <c r="G3235" s="2" t="inlineStr">
        <is>
          <t>20260306000280</t>
        </is>
      </c>
      <c r="H3235" s="8">
        <f>HYPERLINK("https://dart.fss.or.kr/dsaf001/main.do?rcpNo=20260306000280", "공시열람")</f>
        <v/>
      </c>
    </row>
    <row r="3236">
      <c r="A3236" s="2" t="inlineStr">
        <is>
          <t>2026-03-06</t>
        </is>
      </c>
      <c r="B3236" s="3" t="inlineStr">
        <is>
          <t>IBKS제25호스팩</t>
        </is>
      </c>
      <c r="C3236" s="2" t="inlineStr">
        <is>
          <t>코스닥</t>
        </is>
      </c>
      <c r="D3236" s="2" t="inlineStr">
        <is>
          <t>0099X0</t>
        </is>
      </c>
      <c r="E3236" s="3" t="inlineStr">
        <is>
          <t>의결권대리행사권유참고서류</t>
        </is>
      </c>
      <c r="F3236" s="3" t="inlineStr">
        <is>
          <t>IBKS제25호스팩</t>
        </is>
      </c>
      <c r="G3236" s="2" t="inlineStr">
        <is>
          <t>20260306000270</t>
        </is>
      </c>
      <c r="H3236" s="8">
        <f>HYPERLINK("https://dart.fss.or.kr/dsaf001/main.do?rcpNo=20260306000270", "공시열람")</f>
        <v/>
      </c>
    </row>
    <row r="3237">
      <c r="A3237" s="2" t="inlineStr">
        <is>
          <t>2026-03-06</t>
        </is>
      </c>
      <c r="B3237" s="3" t="inlineStr">
        <is>
          <t>현대차증권</t>
        </is>
      </c>
      <c r="C3237" s="2" t="inlineStr">
        <is>
          <t>코스피</t>
        </is>
      </c>
      <c r="D3237" s="2" t="inlineStr">
        <is>
          <t>001500</t>
        </is>
      </c>
      <c r="E3237" s="3" t="inlineStr">
        <is>
          <t>일괄신고추가서류(기타파생결합사채)</t>
        </is>
      </c>
      <c r="F3237" s="3" t="inlineStr">
        <is>
          <t>현대차증권</t>
        </is>
      </c>
      <c r="G3237" s="2" t="inlineStr">
        <is>
          <t>20260306000268</t>
        </is>
      </c>
      <c r="H3237" s="8">
        <f>HYPERLINK("https://dart.fss.or.kr/dsaf001/main.do?rcpNo=20260306000268", "공시열람")</f>
        <v/>
      </c>
    </row>
    <row r="3238">
      <c r="A3238" s="2" t="inlineStr">
        <is>
          <t>2026-03-06</t>
        </is>
      </c>
      <c r="B3238" s="3" t="inlineStr">
        <is>
          <t>LIG디펜스앤에어로스페이스</t>
        </is>
      </c>
      <c r="C3238" s="2" t="inlineStr">
        <is>
          <t>코스피</t>
        </is>
      </c>
      <c r="D3238" s="2" t="inlineStr">
        <is>
          <t>079550</t>
        </is>
      </c>
      <c r="E3238" s="3" t="inlineStr">
        <is>
          <t>임원ㆍ주요주주특정증권등소유상황보고서</t>
        </is>
      </c>
      <c r="F3238" s="3" t="inlineStr">
        <is>
          <t>김미정</t>
        </is>
      </c>
      <c r="G3238" s="2" t="inlineStr">
        <is>
          <t>20260306000266</t>
        </is>
      </c>
      <c r="H3238" s="8">
        <f>HYPERLINK("https://dart.fss.or.kr/dsaf001/main.do?rcpNo=20260306000266", "공시열람")</f>
        <v/>
      </c>
    </row>
    <row r="3239">
      <c r="A3239" s="2" t="inlineStr">
        <is>
          <t>2026-03-06</t>
        </is>
      </c>
      <c r="B3239" s="3" t="inlineStr">
        <is>
          <t>미래에셋증권</t>
        </is>
      </c>
      <c r="C3239" s="2" t="inlineStr">
        <is>
          <t>코스피</t>
        </is>
      </c>
      <c r="D3239" s="2" t="inlineStr">
        <is>
          <t>006800</t>
        </is>
      </c>
      <c r="E3239" s="3" t="inlineStr">
        <is>
          <t>임원ㆍ주요주주특정증권등소유상황보고서</t>
        </is>
      </c>
      <c r="F3239" s="3" t="inlineStr">
        <is>
          <t>반상우</t>
        </is>
      </c>
      <c r="G3239" s="2" t="inlineStr">
        <is>
          <t>20260306000260</t>
        </is>
      </c>
      <c r="H3239" s="8">
        <f>HYPERLINK("https://dart.fss.or.kr/dsaf001/main.do?rcpNo=20260306000260", "공시열람")</f>
        <v/>
      </c>
    </row>
    <row r="3240">
      <c r="A3240" s="2" t="inlineStr">
        <is>
          <t>2026-03-06</t>
        </is>
      </c>
      <c r="B3240" s="3" t="inlineStr">
        <is>
          <t>롯데웰푸드</t>
        </is>
      </c>
      <c r="C3240" s="2" t="inlineStr">
        <is>
          <t>코스피</t>
        </is>
      </c>
      <c r="D3240" s="2" t="inlineStr">
        <is>
          <t>280360</t>
        </is>
      </c>
      <c r="E3240" s="3" t="inlineStr">
        <is>
          <t xml:space="preserve">기업설명회(IR)개최(안내공시)              </t>
        </is>
      </c>
      <c r="F3240" s="3" t="inlineStr">
        <is>
          <t>롯데웰푸드</t>
        </is>
      </c>
      <c r="G3240" s="2" t="inlineStr">
        <is>
          <t>20260306800465</t>
        </is>
      </c>
      <c r="H3240" s="8">
        <f>HYPERLINK("https://dart.fss.or.kr/dsaf001/main.do?rcpNo=20260306800465", "공시열람")</f>
        <v/>
      </c>
    </row>
    <row r="3241">
      <c r="A3241" s="2" t="inlineStr">
        <is>
          <t>2026-03-06</t>
        </is>
      </c>
      <c r="B3241" s="3" t="inlineStr">
        <is>
          <t>미래에셋증권</t>
        </is>
      </c>
      <c r="C3241" s="2" t="inlineStr">
        <is>
          <t>코스피</t>
        </is>
      </c>
      <c r="D3241" s="2" t="inlineStr">
        <is>
          <t>006800</t>
        </is>
      </c>
      <c r="E3241" s="3" t="inlineStr">
        <is>
          <t>투자설명서(일괄신고)</t>
        </is>
      </c>
      <c r="F3241" s="3" t="inlineStr">
        <is>
          <t>미래에셋증권</t>
        </is>
      </c>
      <c r="G3241" s="2" t="inlineStr">
        <is>
          <t>20260306000254</t>
        </is>
      </c>
      <c r="H3241" s="8">
        <f>HYPERLINK("https://dart.fss.or.kr/dsaf001/main.do?rcpNo=20260306000254", "공시열람")</f>
        <v/>
      </c>
    </row>
    <row r="3242">
      <c r="A3242" s="2" t="inlineStr">
        <is>
          <t>2026-03-06</t>
        </is>
      </c>
      <c r="B3242" s="3" t="inlineStr">
        <is>
          <t>동국제강</t>
        </is>
      </c>
      <c r="C3242" s="2" t="inlineStr">
        <is>
          <t>코스피</t>
        </is>
      </c>
      <c r="D3242" s="2" t="inlineStr">
        <is>
          <t>460860</t>
        </is>
      </c>
      <c r="E3242" s="3" t="inlineStr">
        <is>
          <t>의결권대리행사권유참고서류</t>
        </is>
      </c>
      <c r="F3242" s="3" t="inlineStr">
        <is>
          <t>동국제강</t>
        </is>
      </c>
      <c r="G3242" s="2" t="inlineStr">
        <is>
          <t>20260306000253</t>
        </is>
      </c>
      <c r="H3242" s="8">
        <f>HYPERLINK("https://dart.fss.or.kr/dsaf001/main.do?rcpNo=20260306000253", "공시열람")</f>
        <v/>
      </c>
    </row>
    <row r="3243">
      <c r="A3243" s="2" t="inlineStr">
        <is>
          <t>2026-03-06</t>
        </is>
      </c>
      <c r="B3243" s="3" t="inlineStr">
        <is>
          <t>경동인베스트</t>
        </is>
      </c>
      <c r="C3243" s="2" t="inlineStr">
        <is>
          <t>코스피</t>
        </is>
      </c>
      <c r="D3243" s="2" t="inlineStr">
        <is>
          <t>012320</t>
        </is>
      </c>
      <c r="E3243" s="3" t="inlineStr">
        <is>
          <t xml:space="preserve">현금ㆍ현물배당결정(자회사의 주요경영사항)              </t>
        </is>
      </c>
      <c r="F3243" s="3" t="inlineStr">
        <is>
          <t>경동인베스트</t>
        </is>
      </c>
      <c r="G3243" s="2" t="inlineStr">
        <is>
          <t>20260306800444</t>
        </is>
      </c>
      <c r="H3243" s="8">
        <f>HYPERLINK("https://dart.fss.or.kr/dsaf001/main.do?rcpNo=20260306800444", "공시열람")</f>
        <v/>
      </c>
    </row>
    <row r="3244">
      <c r="A3244" s="2" t="inlineStr">
        <is>
          <t>2026-03-06</t>
        </is>
      </c>
      <c r="B3244" s="3" t="inlineStr">
        <is>
          <t>대호에이엘</t>
        </is>
      </c>
      <c r="C3244" s="2" t="inlineStr">
        <is>
          <t>코스피</t>
        </is>
      </c>
      <c r="D3244" s="2" t="inlineStr">
        <is>
          <t>069460</t>
        </is>
      </c>
      <c r="E3244" s="3" t="inlineStr">
        <is>
          <t>사외이사의선임ㆍ해임또는중도퇴임에관한신고</t>
        </is>
      </c>
      <c r="F3244" s="3" t="inlineStr">
        <is>
          <t>대호에이엘</t>
        </is>
      </c>
      <c r="G3244" s="2" t="inlineStr">
        <is>
          <t>20260306000252</t>
        </is>
      </c>
      <c r="H3244" s="8">
        <f>HYPERLINK("https://dart.fss.or.kr/dsaf001/main.do?rcpNo=20260306000252", "공시열람")</f>
        <v/>
      </c>
    </row>
    <row r="3245">
      <c r="A3245" s="2" t="inlineStr">
        <is>
          <t>2026-03-06</t>
        </is>
      </c>
      <c r="B3245" s="3" t="inlineStr">
        <is>
          <t>이노에이엑스</t>
        </is>
      </c>
      <c r="C3245" s="2" t="inlineStr">
        <is>
          <t>코스닥</t>
        </is>
      </c>
      <c r="D3245" s="2" t="inlineStr">
        <is>
          <t>296640</t>
        </is>
      </c>
      <c r="E3245" s="3" t="inlineStr">
        <is>
          <t>임원ㆍ주요주주특정증권등소유상황보고서</t>
        </is>
      </c>
      <c r="F3245" s="3" t="inlineStr">
        <is>
          <t>장인수</t>
        </is>
      </c>
      <c r="G3245" s="2" t="inlineStr">
        <is>
          <t>20260306000250</t>
        </is>
      </c>
      <c r="H3245" s="8">
        <f>HYPERLINK("https://dart.fss.or.kr/dsaf001/main.do?rcpNo=20260306000250", "공시열람")</f>
        <v/>
      </c>
    </row>
    <row r="3246">
      <c r="A3246" s="2" t="inlineStr">
        <is>
          <t>2026-03-06</t>
        </is>
      </c>
      <c r="B3246" s="3" t="inlineStr">
        <is>
          <t>한국금융지주</t>
        </is>
      </c>
      <c r="C3246" s="2" t="inlineStr">
        <is>
          <t>코스피</t>
        </is>
      </c>
      <c r="D3246" s="2" t="inlineStr">
        <is>
          <t>071050</t>
        </is>
      </c>
      <c r="E3246" s="3" t="inlineStr">
        <is>
          <t xml:space="preserve">기업지배구조보고서공시(연차보고서)              </t>
        </is>
      </c>
      <c r="F3246" s="3" t="inlineStr">
        <is>
          <t>한국금융지주</t>
        </is>
      </c>
      <c r="G3246" s="2" t="inlineStr">
        <is>
          <t>20260306800454</t>
        </is>
      </c>
      <c r="H3246" s="8">
        <f>HYPERLINK("https://dart.fss.or.kr/dsaf001/main.do?rcpNo=20260306800454", "공시열람")</f>
        <v/>
      </c>
    </row>
    <row r="3247">
      <c r="A3247" s="2" t="inlineStr">
        <is>
          <t>2026-03-06</t>
        </is>
      </c>
      <c r="B3247" s="3" t="inlineStr">
        <is>
          <t>미래에셋증권</t>
        </is>
      </c>
      <c r="C3247" s="2" t="inlineStr">
        <is>
          <t>코스피</t>
        </is>
      </c>
      <c r="D3247" s="2" t="inlineStr">
        <is>
          <t>006800</t>
        </is>
      </c>
      <c r="E3247" s="3" t="inlineStr">
        <is>
          <t>임원ㆍ주요주주특정증권등소유상황보고서</t>
        </is>
      </c>
      <c r="F3247" s="3" t="inlineStr">
        <is>
          <t>박응식</t>
        </is>
      </c>
      <c r="G3247" s="2" t="inlineStr">
        <is>
          <t>20260306000246</t>
        </is>
      </c>
      <c r="H3247" s="8">
        <f>HYPERLINK("https://dart.fss.or.kr/dsaf001/main.do?rcpNo=20260306000246", "공시열람")</f>
        <v/>
      </c>
    </row>
    <row r="3248">
      <c r="A3248" s="2" t="inlineStr">
        <is>
          <t>2026-03-06</t>
        </is>
      </c>
      <c r="B3248" s="3" t="inlineStr">
        <is>
          <t>IBKS제23호스팩</t>
        </is>
      </c>
      <c r="C3248" s="2" t="inlineStr">
        <is>
          <t>코스닥</t>
        </is>
      </c>
      <c r="D3248" s="2" t="inlineStr">
        <is>
          <t>467930</t>
        </is>
      </c>
      <c r="E3248" s="3" t="inlineStr">
        <is>
          <t>의결권대리행사권유참고서류</t>
        </is>
      </c>
      <c r="F3248" s="3" t="inlineStr">
        <is>
          <t>IBKS제23호스팩</t>
        </is>
      </c>
      <c r="G3248" s="2" t="inlineStr">
        <is>
          <t>20260306000245</t>
        </is>
      </c>
      <c r="H3248" s="8">
        <f>HYPERLINK("https://dart.fss.or.kr/dsaf001/main.do?rcpNo=20260306000245", "공시열람")</f>
        <v/>
      </c>
    </row>
    <row r="3249">
      <c r="A3249" s="2" t="inlineStr">
        <is>
          <t>2026-03-06</t>
        </is>
      </c>
      <c r="B3249" s="3" t="inlineStr">
        <is>
          <t>미래에셋증권</t>
        </is>
      </c>
      <c r="C3249" s="2" t="inlineStr">
        <is>
          <t>코스피</t>
        </is>
      </c>
      <c r="D3249" s="2" t="inlineStr">
        <is>
          <t>006800</t>
        </is>
      </c>
      <c r="E3249" s="3" t="inlineStr">
        <is>
          <t>임원ㆍ주요주주특정증권등소유상황보고서</t>
        </is>
      </c>
      <c r="F3249" s="3" t="inlineStr">
        <is>
          <t>박남영</t>
        </is>
      </c>
      <c r="G3249" s="2" t="inlineStr">
        <is>
          <t>20260306000239</t>
        </is>
      </c>
      <c r="H3249" s="8">
        <f>HYPERLINK("https://dart.fss.or.kr/dsaf001/main.do?rcpNo=20260306000239", "공시열람")</f>
        <v/>
      </c>
    </row>
    <row r="3250">
      <c r="A3250" s="2" t="inlineStr">
        <is>
          <t>2026-03-06 (정정: 2026-06-02)</t>
        </is>
      </c>
      <c r="B3250" s="3" t="inlineStr">
        <is>
          <t>에스티팜</t>
        </is>
      </c>
      <c r="C3250" s="2" t="inlineStr">
        <is>
          <t>코스닥</t>
        </is>
      </c>
      <c r="D3250" s="2" t="inlineStr">
        <is>
          <t>237690</t>
        </is>
      </c>
      <c r="E3250" s="3" t="inlineStr">
        <is>
          <t>기업설명회(IR)개최               (정정: 20260602)</t>
        </is>
      </c>
      <c r="F3250" s="3" t="inlineStr">
        <is>
          <t>에스티팜</t>
        </is>
      </c>
      <c r="G3250" s="2" t="inlineStr">
        <is>
          <t>20260602000343</t>
        </is>
      </c>
      <c r="H3250" s="8">
        <f>HYPERLINK("https://dart.fss.or.kr/dsaf001/main.do?rcpNo=20260602000343", "공시열람")</f>
        <v/>
      </c>
    </row>
    <row r="3251">
      <c r="A3251" s="2" t="inlineStr">
        <is>
          <t>2026-03-06</t>
        </is>
      </c>
      <c r="B3251" s="3" t="inlineStr">
        <is>
          <t>케이씨에스</t>
        </is>
      </c>
      <c r="C3251" s="2" t="inlineStr">
        <is>
          <t>코스닥</t>
        </is>
      </c>
      <c r="D3251" s="2" t="inlineStr">
        <is>
          <t>115500</t>
        </is>
      </c>
      <c r="E3251" s="3" t="inlineStr">
        <is>
          <t>의결권대리행사권유참고서류</t>
        </is>
      </c>
      <c r="F3251" s="3" t="inlineStr">
        <is>
          <t>케이씨에스</t>
        </is>
      </c>
      <c r="G3251" s="2" t="inlineStr">
        <is>
          <t>20260306000238</t>
        </is>
      </c>
      <c r="H3251" s="8">
        <f>HYPERLINK("https://dart.fss.or.kr/dsaf001/main.do?rcpNo=20260306000238", "공시열람")</f>
        <v/>
      </c>
    </row>
    <row r="3252">
      <c r="A3252" s="2" t="inlineStr">
        <is>
          <t>2026-03-06</t>
        </is>
      </c>
      <c r="B3252" s="3" t="inlineStr">
        <is>
          <t>미래에셋증권</t>
        </is>
      </c>
      <c r="C3252" s="2" t="inlineStr">
        <is>
          <t>코스피</t>
        </is>
      </c>
      <c r="D3252" s="2" t="inlineStr">
        <is>
          <t>006800</t>
        </is>
      </c>
      <c r="E3252" s="3" t="inlineStr">
        <is>
          <t>임원ㆍ주요주주특정증권등소유상황보고서</t>
        </is>
      </c>
      <c r="F3252" s="3" t="inlineStr">
        <is>
          <t>류원식</t>
        </is>
      </c>
      <c r="G3252" s="2" t="inlineStr">
        <is>
          <t>20260306000234</t>
        </is>
      </c>
      <c r="H3252" s="8">
        <f>HYPERLINK("https://dart.fss.or.kr/dsaf001/main.do?rcpNo=20260306000234", "공시열람")</f>
        <v/>
      </c>
    </row>
    <row r="3253">
      <c r="A3253" s="2" t="inlineStr">
        <is>
          <t>2026-03-06</t>
        </is>
      </c>
      <c r="B3253" s="3" t="inlineStr">
        <is>
          <t>HLB바이오스텝</t>
        </is>
      </c>
      <c r="C3253" s="2" t="inlineStr">
        <is>
          <t>코스닥</t>
        </is>
      </c>
      <c r="D3253" s="2" t="inlineStr">
        <is>
          <t>278650</t>
        </is>
      </c>
      <c r="E3253" s="3" t="inlineStr">
        <is>
          <t>임원ㆍ주요주주특정증권등소유상황보고서</t>
        </is>
      </c>
      <c r="F3253" s="3" t="inlineStr">
        <is>
          <t>황순석</t>
        </is>
      </c>
      <c r="G3253" s="2" t="inlineStr">
        <is>
          <t>20260306000233</t>
        </is>
      </c>
      <c r="H3253" s="8">
        <f>HYPERLINK("https://dart.fss.or.kr/dsaf001/main.do?rcpNo=20260306000233", "공시열람")</f>
        <v/>
      </c>
    </row>
    <row r="3254">
      <c r="A3254" s="2" t="inlineStr">
        <is>
          <t>2026-03-06</t>
        </is>
      </c>
      <c r="B3254" s="3" t="inlineStr">
        <is>
          <t>미래에셋증권</t>
        </is>
      </c>
      <c r="C3254" s="2" t="inlineStr">
        <is>
          <t>코스피</t>
        </is>
      </c>
      <c r="D3254" s="2" t="inlineStr">
        <is>
          <t>006800</t>
        </is>
      </c>
      <c r="E3254" s="3" t="inlineStr">
        <is>
          <t>임원ㆍ주요주주특정증권등소유상황보고서</t>
        </is>
      </c>
      <c r="F3254" s="3" t="inlineStr">
        <is>
          <t>도준형</t>
        </is>
      </c>
      <c r="G3254" s="2" t="inlineStr">
        <is>
          <t>20260306000232</t>
        </is>
      </c>
      <c r="H3254" s="8">
        <f>HYPERLINK("https://dart.fss.or.kr/dsaf001/main.do?rcpNo=20260306000232", "공시열람")</f>
        <v/>
      </c>
    </row>
    <row r="3255">
      <c r="A3255" s="2" t="inlineStr">
        <is>
          <t>2026-03-06</t>
        </is>
      </c>
      <c r="B3255" s="3" t="inlineStr">
        <is>
          <t>미래에셋증권</t>
        </is>
      </c>
      <c r="C3255" s="2" t="inlineStr">
        <is>
          <t>코스피</t>
        </is>
      </c>
      <c r="D3255" s="2" t="inlineStr">
        <is>
          <t>006800</t>
        </is>
      </c>
      <c r="E3255" s="3" t="inlineStr">
        <is>
          <t>임원ㆍ주요주주특정증권등소유상황보고서</t>
        </is>
      </c>
      <c r="F3255" s="3" t="inlineStr">
        <is>
          <t>김진태</t>
        </is>
      </c>
      <c r="G3255" s="2" t="inlineStr">
        <is>
          <t>20260306000231</t>
        </is>
      </c>
      <c r="H3255" s="8">
        <f>HYPERLINK("https://dart.fss.or.kr/dsaf001/main.do?rcpNo=20260306000231", "공시열람")</f>
        <v/>
      </c>
    </row>
    <row r="3256">
      <c r="A3256" s="2" t="inlineStr">
        <is>
          <t>2026-03-06</t>
        </is>
      </c>
      <c r="B3256" s="3" t="inlineStr">
        <is>
          <t>미래에셋증권</t>
        </is>
      </c>
      <c r="C3256" s="2" t="inlineStr">
        <is>
          <t>코스피</t>
        </is>
      </c>
      <c r="D3256" s="2" t="inlineStr">
        <is>
          <t>006800</t>
        </is>
      </c>
      <c r="E3256" s="3" t="inlineStr">
        <is>
          <t>임원ㆍ주요주주특정증권등소유상황보고서</t>
        </is>
      </c>
      <c r="F3256" s="3" t="inlineStr">
        <is>
          <t>전경남</t>
        </is>
      </c>
      <c r="G3256" s="2" t="inlineStr">
        <is>
          <t>20260306000228</t>
        </is>
      </c>
      <c r="H3256" s="8">
        <f>HYPERLINK("https://dart.fss.or.kr/dsaf001/main.do?rcpNo=20260306000228", "공시열람")</f>
        <v/>
      </c>
    </row>
    <row r="3257">
      <c r="A3257" s="2" t="inlineStr">
        <is>
          <t>2026-03-06</t>
        </is>
      </c>
      <c r="B3257" s="3" t="inlineStr">
        <is>
          <t>미래에셋증권</t>
        </is>
      </c>
      <c r="C3257" s="2" t="inlineStr">
        <is>
          <t>코스피</t>
        </is>
      </c>
      <c r="D3257" s="2" t="inlineStr">
        <is>
          <t>006800</t>
        </is>
      </c>
      <c r="E3257" s="3" t="inlineStr">
        <is>
          <t>임원ㆍ주요주주특정증권등소유상황보고서</t>
        </is>
      </c>
      <c r="F3257" s="3" t="inlineStr">
        <is>
          <t>김주섭</t>
        </is>
      </c>
      <c r="G3257" s="2" t="inlineStr">
        <is>
          <t>20260306000227</t>
        </is>
      </c>
      <c r="H3257" s="8">
        <f>HYPERLINK("https://dart.fss.or.kr/dsaf001/main.do?rcpNo=20260306000227", "공시열람")</f>
        <v/>
      </c>
    </row>
    <row r="3258">
      <c r="A3258" s="2" t="inlineStr">
        <is>
          <t>2026-03-06</t>
        </is>
      </c>
      <c r="B3258" s="3" t="inlineStr">
        <is>
          <t>미래에셋증권</t>
        </is>
      </c>
      <c r="C3258" s="2" t="inlineStr">
        <is>
          <t>코스피</t>
        </is>
      </c>
      <c r="D3258" s="2" t="inlineStr">
        <is>
          <t>006800</t>
        </is>
      </c>
      <c r="E3258" s="3" t="inlineStr">
        <is>
          <t>임원ㆍ주요주주특정증권등소유상황보고서</t>
        </is>
      </c>
      <c r="F3258" s="3" t="inlineStr">
        <is>
          <t>KIM WOO CHAN</t>
        </is>
      </c>
      <c r="G3258" s="2" t="inlineStr">
        <is>
          <t>20260306000226</t>
        </is>
      </c>
      <c r="H3258" s="8">
        <f>HYPERLINK("https://dart.fss.or.kr/dsaf001/main.do?rcpNo=20260306000226", "공시열람")</f>
        <v/>
      </c>
    </row>
    <row r="3259">
      <c r="A3259" s="2" t="inlineStr">
        <is>
          <t>2026-03-06</t>
        </is>
      </c>
      <c r="B3259" s="3" t="inlineStr">
        <is>
          <t>미래에셋증권</t>
        </is>
      </c>
      <c r="C3259" s="2" t="inlineStr">
        <is>
          <t>코스피</t>
        </is>
      </c>
      <c r="D3259" s="2" t="inlineStr">
        <is>
          <t>006800</t>
        </is>
      </c>
      <c r="E3259" s="3" t="inlineStr">
        <is>
          <t>임원ㆍ주요주주특정증권등소유상황보고서</t>
        </is>
      </c>
      <c r="F3259" s="3" t="inlineStr">
        <is>
          <t>이정훈</t>
        </is>
      </c>
      <c r="G3259" s="2" t="inlineStr">
        <is>
          <t>20260306000223</t>
        </is>
      </c>
      <c r="H3259" s="8">
        <f>HYPERLINK("https://dart.fss.or.kr/dsaf001/main.do?rcpNo=20260306000223", "공시열람")</f>
        <v/>
      </c>
    </row>
    <row r="3260">
      <c r="A3260" s="2" t="inlineStr">
        <is>
          <t>2026-03-06</t>
        </is>
      </c>
      <c r="B3260" s="3" t="inlineStr">
        <is>
          <t>미래에셋증권</t>
        </is>
      </c>
      <c r="C3260" s="2" t="inlineStr">
        <is>
          <t>코스피</t>
        </is>
      </c>
      <c r="D3260" s="2" t="inlineStr">
        <is>
          <t>006800</t>
        </is>
      </c>
      <c r="E3260" s="3" t="inlineStr">
        <is>
          <t>임원ㆍ주요주주특정증권등소유상황보고서</t>
        </is>
      </c>
      <c r="F3260" s="3" t="inlineStr">
        <is>
          <t>김점수</t>
        </is>
      </c>
      <c r="G3260" s="2" t="inlineStr">
        <is>
          <t>20260306000221</t>
        </is>
      </c>
      <c r="H3260" s="8">
        <f>HYPERLINK("https://dart.fss.or.kr/dsaf001/main.do?rcpNo=20260306000221", "공시열람")</f>
        <v/>
      </c>
    </row>
    <row r="3261">
      <c r="A3261" s="2" t="inlineStr">
        <is>
          <t>2026-03-06</t>
        </is>
      </c>
      <c r="B3261" s="3" t="inlineStr">
        <is>
          <t>보성파워텍</t>
        </is>
      </c>
      <c r="C3261" s="2" t="inlineStr">
        <is>
          <t>코스닥</t>
        </is>
      </c>
      <c r="D3261" s="2" t="inlineStr">
        <is>
          <t>006910</t>
        </is>
      </c>
      <c r="E3261" s="3" t="inlineStr">
        <is>
          <t>의결권대리행사권유참고서류</t>
        </is>
      </c>
      <c r="F3261" s="3" t="inlineStr">
        <is>
          <t>보성파워텍</t>
        </is>
      </c>
      <c r="G3261" s="2" t="inlineStr">
        <is>
          <t>20260306000220</t>
        </is>
      </c>
      <c r="H3261" s="8">
        <f>HYPERLINK("https://dart.fss.or.kr/dsaf001/main.do?rcpNo=20260306000220", "공시열람")</f>
        <v/>
      </c>
    </row>
    <row r="3262">
      <c r="A3262" s="2" t="inlineStr">
        <is>
          <t>2026-03-06</t>
        </is>
      </c>
      <c r="B3262" s="3" t="inlineStr">
        <is>
          <t>미래에셋증권</t>
        </is>
      </c>
      <c r="C3262" s="2" t="inlineStr">
        <is>
          <t>코스피</t>
        </is>
      </c>
      <c r="D3262" s="2" t="inlineStr">
        <is>
          <t>006800</t>
        </is>
      </c>
      <c r="E3262" s="3" t="inlineStr">
        <is>
          <t>임원ㆍ주요주주특정증권등소유상황보고서</t>
        </is>
      </c>
      <c r="F3262" s="3" t="inlineStr">
        <is>
          <t>김도현</t>
        </is>
      </c>
      <c r="G3262" s="2" t="inlineStr">
        <is>
          <t>20260306000219</t>
        </is>
      </c>
      <c r="H3262" s="8">
        <f>HYPERLINK("https://dart.fss.or.kr/dsaf001/main.do?rcpNo=20260306000219", "공시열람")</f>
        <v/>
      </c>
    </row>
    <row r="3263">
      <c r="A3263" s="2" t="inlineStr">
        <is>
          <t>2026-03-06</t>
        </is>
      </c>
      <c r="B3263" s="3" t="inlineStr">
        <is>
          <t>LG디스플레이</t>
        </is>
      </c>
      <c r="C3263" s="2" t="inlineStr">
        <is>
          <t>코스피</t>
        </is>
      </c>
      <c r="D3263" s="2" t="inlineStr">
        <is>
          <t>034220</t>
        </is>
      </c>
      <c r="E3263" s="3" t="inlineStr">
        <is>
          <t>임원ㆍ주요주주특정증권등소유상황보고서</t>
        </is>
      </c>
      <c r="F3263" s="3" t="inlineStr">
        <is>
          <t>장재원</t>
        </is>
      </c>
      <c r="G3263" s="2" t="inlineStr">
        <is>
          <t>20260306000214</t>
        </is>
      </c>
      <c r="H3263" s="8">
        <f>HYPERLINK("https://dart.fss.or.kr/dsaf001/main.do?rcpNo=20260306000214", "공시열람")</f>
        <v/>
      </c>
    </row>
    <row r="3264">
      <c r="A3264" s="2" t="inlineStr">
        <is>
          <t>2026-03-06 (정정: 2026-03-10)</t>
        </is>
      </c>
      <c r="B3264" s="3" t="inlineStr">
        <is>
          <t>티쓰리</t>
        </is>
      </c>
      <c r="C3264" s="2" t="inlineStr">
        <is>
          <t>코스닥</t>
        </is>
      </c>
      <c r="D3264" s="2" t="inlineStr">
        <is>
          <t>204610</t>
        </is>
      </c>
      <c r="E3264" s="3" t="inlineStr">
        <is>
          <t>기업설명회(IR)개최               (정정: 20260310)</t>
        </is>
      </c>
      <c r="F3264" s="3" t="inlineStr">
        <is>
          <t>티쓰리</t>
        </is>
      </c>
      <c r="G3264" s="2" t="inlineStr">
        <is>
          <t>20260310901276</t>
        </is>
      </c>
      <c r="H3264" s="8">
        <f>HYPERLINK("https://dart.fss.or.kr/dsaf001/main.do?rcpNo=20260310901276", "공시열람")</f>
        <v/>
      </c>
    </row>
    <row r="3265">
      <c r="A3265" s="2" t="inlineStr">
        <is>
          <t>2026-03-06 (정정: 2026-03-11)</t>
        </is>
      </c>
      <c r="B3265" s="3" t="inlineStr">
        <is>
          <t>태광</t>
        </is>
      </c>
      <c r="C3265" s="2" t="inlineStr">
        <is>
          <t>코스닥</t>
        </is>
      </c>
      <c r="D3265" s="2" t="inlineStr">
        <is>
          <t>023160</t>
        </is>
      </c>
      <c r="E3265" s="3" t="inlineStr">
        <is>
          <t>[기재정정]영업(잠정)실적(공정공시)               (정정: 20260306) (정정: 20260311)</t>
        </is>
      </c>
      <c r="F3265" s="3" t="inlineStr">
        <is>
          <t>태광</t>
        </is>
      </c>
      <c r="G3265" s="2" t="inlineStr">
        <is>
          <t>20260311902646</t>
        </is>
      </c>
      <c r="H3265" s="8">
        <f>HYPERLINK("https://dart.fss.or.kr/dsaf001/main.do?rcpNo=20260311902646", "공시열람")</f>
        <v/>
      </c>
    </row>
    <row r="3266">
      <c r="A3266" s="2" t="inlineStr">
        <is>
          <t>2026-03-06</t>
        </is>
      </c>
      <c r="B3266" s="3" t="inlineStr">
        <is>
          <t>유티아이</t>
        </is>
      </c>
      <c r="C3266" s="2" t="inlineStr">
        <is>
          <t>코스닥</t>
        </is>
      </c>
      <c r="D3266" s="2" t="inlineStr">
        <is>
          <t>179900</t>
        </is>
      </c>
      <c r="E3266" s="3" t="inlineStr">
        <is>
          <t>임원ㆍ주요주주특정증권등소유상황보고서</t>
        </is>
      </c>
      <c r="F3266" s="3" t="inlineStr">
        <is>
          <t>박덕영</t>
        </is>
      </c>
      <c r="G3266" s="2" t="inlineStr">
        <is>
          <t>20260306000206</t>
        </is>
      </c>
      <c r="H3266" s="8">
        <f>HYPERLINK("https://dart.fss.or.kr/dsaf001/main.do?rcpNo=20260306000206", "공시열람")</f>
        <v/>
      </c>
    </row>
    <row r="3267">
      <c r="A3267" s="2" t="inlineStr">
        <is>
          <t>2026-03-06</t>
        </is>
      </c>
      <c r="B3267" s="3" t="inlineStr">
        <is>
          <t>엘앤에프</t>
        </is>
      </c>
      <c r="C3267" s="2" t="inlineStr">
        <is>
          <t>코스피</t>
        </is>
      </c>
      <c r="D3267" s="2" t="inlineStr">
        <is>
          <t>066970</t>
        </is>
      </c>
      <c r="E3267" s="3" t="inlineStr">
        <is>
          <t>의결권대리행사권유참고서류</t>
        </is>
      </c>
      <c r="F3267" s="3" t="inlineStr">
        <is>
          <t>엘앤에프</t>
        </is>
      </c>
      <c r="G3267" s="2" t="inlineStr">
        <is>
          <t>20260306000205</t>
        </is>
      </c>
      <c r="H3267" s="8">
        <f>HYPERLINK("https://dart.fss.or.kr/dsaf001/main.do?rcpNo=20260306000205", "공시열람")</f>
        <v/>
      </c>
    </row>
    <row r="3268">
      <c r="A3268" s="2" t="inlineStr">
        <is>
          <t>2026-03-06 (정정: 2026-03-12)</t>
        </is>
      </c>
      <c r="B3268" s="3" t="inlineStr">
        <is>
          <t>진양홀딩스</t>
        </is>
      </c>
      <c r="C3268" s="2" t="inlineStr">
        <is>
          <t>코스피</t>
        </is>
      </c>
      <c r="D3268" s="2" t="inlineStr">
        <is>
          <t>100250</t>
        </is>
      </c>
      <c r="E3268" s="3" t="inlineStr">
        <is>
          <t>유상증자또는주식관련사채등의청약결과(자율공시)               (정정: 20260312)</t>
        </is>
      </c>
      <c r="F3268" s="3" t="inlineStr">
        <is>
          <t>진양홀딩스</t>
        </is>
      </c>
      <c r="G3268" s="2" t="inlineStr">
        <is>
          <t>20260312001025</t>
        </is>
      </c>
      <c r="H3268" s="8">
        <f>HYPERLINK("https://dart.fss.or.kr/dsaf001/main.do?rcpNo=20260312001025", "공시열람")</f>
        <v/>
      </c>
    </row>
    <row r="3269">
      <c r="A3269" s="2" t="inlineStr">
        <is>
          <t>2026-03-06</t>
        </is>
      </c>
      <c r="B3269" s="3" t="inlineStr">
        <is>
          <t>이엠앤아이</t>
        </is>
      </c>
      <c r="C3269" s="2" t="inlineStr">
        <is>
          <t>코스닥</t>
        </is>
      </c>
      <c r="D3269" s="2" t="inlineStr">
        <is>
          <t>083470</t>
        </is>
      </c>
      <c r="E3269" s="3" t="inlineStr">
        <is>
          <t xml:space="preserve">조회공시요구(현저한시황변동)에대한답변(미확정)              </t>
        </is>
      </c>
      <c r="F3269" s="3" t="inlineStr">
        <is>
          <t>이엠앤아이</t>
        </is>
      </c>
      <c r="G3269" s="2" t="inlineStr">
        <is>
          <t>20260306900349</t>
        </is>
      </c>
      <c r="H3269" s="8">
        <f>HYPERLINK("https://dart.fss.or.kr/dsaf001/main.do?rcpNo=20260306900349", "공시열람")</f>
        <v/>
      </c>
    </row>
    <row r="3270">
      <c r="A3270" s="2" t="inlineStr">
        <is>
          <t>2026-03-06</t>
        </is>
      </c>
      <c r="B3270" s="3" t="inlineStr">
        <is>
          <t>한진중공업홀딩스</t>
        </is>
      </c>
      <c r="C3270" s="2" t="inlineStr">
        <is>
          <t>코스피</t>
        </is>
      </c>
      <c r="D3270" s="2" t="inlineStr">
        <is>
          <t>003480</t>
        </is>
      </c>
      <c r="E3270" s="3" t="inlineStr">
        <is>
          <t>의결권대리행사권유참고서류</t>
        </is>
      </c>
      <c r="F3270" s="3" t="inlineStr">
        <is>
          <t>한진중공업홀딩스</t>
        </is>
      </c>
      <c r="G3270" s="2" t="inlineStr">
        <is>
          <t>20260306000200</t>
        </is>
      </c>
      <c r="H3270" s="8">
        <f>HYPERLINK("https://dart.fss.or.kr/dsaf001/main.do?rcpNo=20260306000200", "공시열람")</f>
        <v/>
      </c>
    </row>
    <row r="3271">
      <c r="A3271" s="2" t="inlineStr">
        <is>
          <t>2026-03-06</t>
        </is>
      </c>
      <c r="B3271" s="3" t="inlineStr">
        <is>
          <t>현대건설</t>
        </is>
      </c>
      <c r="C3271" s="2" t="inlineStr">
        <is>
          <t>코스피</t>
        </is>
      </c>
      <c r="D3271" s="2" t="inlineStr">
        <is>
          <t>000720</t>
        </is>
      </c>
      <c r="E3271" s="3" t="inlineStr">
        <is>
          <t xml:space="preserve">기업설명회(IR)개최(안내공시)              </t>
        </is>
      </c>
      <c r="F3271" s="3" t="inlineStr">
        <is>
          <t>현대건설</t>
        </is>
      </c>
      <c r="G3271" s="2" t="inlineStr">
        <is>
          <t>20260306800357</t>
        </is>
      </c>
      <c r="H3271" s="8">
        <f>HYPERLINK("https://dart.fss.or.kr/dsaf001/main.do?rcpNo=20260306800357", "공시열람")</f>
        <v/>
      </c>
    </row>
    <row r="3272">
      <c r="A3272" s="2" t="inlineStr">
        <is>
          <t>2026-03-06</t>
        </is>
      </c>
      <c r="B3272" s="3" t="inlineStr">
        <is>
          <t>미래에셋증권</t>
        </is>
      </c>
      <c r="C3272" s="2" t="inlineStr">
        <is>
          <t>코스피</t>
        </is>
      </c>
      <c r="D3272" s="2" t="inlineStr">
        <is>
          <t>006800</t>
        </is>
      </c>
      <c r="E3272" s="3" t="inlineStr">
        <is>
          <t>일괄신고추가서류(파생결합증권-주가연계증권)</t>
        </is>
      </c>
      <c r="F3272" s="3" t="inlineStr">
        <is>
          <t>미래에셋증권</t>
        </is>
      </c>
      <c r="G3272" s="2" t="inlineStr">
        <is>
          <t>20260306000186</t>
        </is>
      </c>
      <c r="H3272" s="8">
        <f>HYPERLINK("https://dart.fss.or.kr/dsaf001/main.do?rcpNo=20260306000186", "공시열람")</f>
        <v/>
      </c>
    </row>
    <row r="3273">
      <c r="A3273" s="2" t="inlineStr">
        <is>
          <t>2026-03-06</t>
        </is>
      </c>
      <c r="B3273" s="3" t="inlineStr">
        <is>
          <t>키움증권</t>
        </is>
      </c>
      <c r="C3273" s="2" t="inlineStr">
        <is>
          <t>코스피</t>
        </is>
      </c>
      <c r="D3273" s="2" t="inlineStr">
        <is>
          <t>039490</t>
        </is>
      </c>
      <c r="E3273" s="3" t="inlineStr">
        <is>
          <t>일괄신고추가서류(파생결합사채-주가연계파생결합사채)</t>
        </is>
      </c>
      <c r="F3273" s="3" t="inlineStr">
        <is>
          <t>키움증권</t>
        </is>
      </c>
      <c r="G3273" s="2" t="inlineStr">
        <is>
          <t>20260306000185</t>
        </is>
      </c>
      <c r="H3273" s="8">
        <f>HYPERLINK("https://dart.fss.or.kr/dsaf001/main.do?rcpNo=20260306000185", "공시열람")</f>
        <v/>
      </c>
    </row>
    <row r="3274">
      <c r="A3274" s="2" t="inlineStr">
        <is>
          <t>2026-03-06</t>
        </is>
      </c>
      <c r="B3274" s="3" t="inlineStr">
        <is>
          <t>동아지질</t>
        </is>
      </c>
      <c r="C3274" s="2" t="inlineStr">
        <is>
          <t>코스피</t>
        </is>
      </c>
      <c r="D3274" s="2" t="inlineStr">
        <is>
          <t>028100</t>
        </is>
      </c>
      <c r="E3274" s="3" t="inlineStr">
        <is>
          <t>의결권대리행사권유참고서류</t>
        </is>
      </c>
      <c r="F3274" s="3" t="inlineStr">
        <is>
          <t>동아지질</t>
        </is>
      </c>
      <c r="G3274" s="2" t="inlineStr">
        <is>
          <t>20260306000169</t>
        </is>
      </c>
      <c r="H3274" s="8">
        <f>HYPERLINK("https://dart.fss.or.kr/dsaf001/main.do?rcpNo=20260306000169", "공시열람")</f>
        <v/>
      </c>
    </row>
    <row r="3275">
      <c r="A3275" s="2" t="inlineStr">
        <is>
          <t>2026-03-06</t>
        </is>
      </c>
      <c r="B3275" s="3" t="inlineStr">
        <is>
          <t>미래에셋증권</t>
        </is>
      </c>
      <c r="C3275" s="2" t="inlineStr">
        <is>
          <t>코스피</t>
        </is>
      </c>
      <c r="D3275" s="2" t="inlineStr">
        <is>
          <t>006800</t>
        </is>
      </c>
      <c r="E3275" s="3" t="inlineStr">
        <is>
          <t>임원ㆍ주요주주특정증권등소유상황보고서</t>
        </is>
      </c>
      <c r="F3275" s="3" t="inlineStr">
        <is>
          <t>최준혁</t>
        </is>
      </c>
      <c r="G3275" s="2" t="inlineStr">
        <is>
          <t>20260306000167</t>
        </is>
      </c>
      <c r="H3275" s="8">
        <f>HYPERLINK("https://dart.fss.or.kr/dsaf001/main.do?rcpNo=20260306000167", "공시열람")</f>
        <v/>
      </c>
    </row>
    <row r="3276">
      <c r="A3276" s="2" t="inlineStr">
        <is>
          <t>2026-03-06</t>
        </is>
      </c>
      <c r="B3276" s="3" t="inlineStr">
        <is>
          <t>로지시스</t>
        </is>
      </c>
      <c r="C3276" s="2" t="inlineStr">
        <is>
          <t>코스닥</t>
        </is>
      </c>
      <c r="D3276" s="2" t="inlineStr">
        <is>
          <t>067730</t>
        </is>
      </c>
      <c r="E3276" s="3" t="inlineStr">
        <is>
          <t>의결권대리행사권유참고서류</t>
        </is>
      </c>
      <c r="F3276" s="3" t="inlineStr">
        <is>
          <t>로지시스</t>
        </is>
      </c>
      <c r="G3276" s="2" t="inlineStr">
        <is>
          <t>20260306000163</t>
        </is>
      </c>
      <c r="H3276" s="8">
        <f>HYPERLINK("https://dart.fss.or.kr/dsaf001/main.do?rcpNo=20260306000163", "공시열람")</f>
        <v/>
      </c>
    </row>
    <row r="3277">
      <c r="A3277" s="2" t="inlineStr">
        <is>
          <t>2026-03-06</t>
        </is>
      </c>
      <c r="B3277" s="3" t="inlineStr">
        <is>
          <t>키움히어로제2호스팩</t>
        </is>
      </c>
      <c r="C3277" s="2" t="inlineStr">
        <is>
          <t>코스닥</t>
        </is>
      </c>
      <c r="D3277" s="2" t="inlineStr">
        <is>
          <t>0131D0</t>
        </is>
      </c>
      <c r="E3277" s="3" t="inlineStr">
        <is>
          <t>감사보고서 (2025.12)</t>
        </is>
      </c>
      <c r="F3277" s="3" t="inlineStr">
        <is>
          <t>삼도회계법인</t>
        </is>
      </c>
      <c r="G3277" s="2" t="inlineStr">
        <is>
          <t>20260306000160</t>
        </is>
      </c>
      <c r="H3277" s="8">
        <f>HYPERLINK("https://dart.fss.or.kr/dsaf001/main.do?rcpNo=20260306000160", "공시열람")</f>
        <v/>
      </c>
    </row>
    <row r="3278">
      <c r="A3278" s="2" t="inlineStr">
        <is>
          <t>2026-03-06</t>
        </is>
      </c>
      <c r="B3278" s="3" t="inlineStr">
        <is>
          <t>미래에셋증권</t>
        </is>
      </c>
      <c r="C3278" s="2" t="inlineStr">
        <is>
          <t>코스피</t>
        </is>
      </c>
      <c r="D3278" s="2" t="inlineStr">
        <is>
          <t>006800</t>
        </is>
      </c>
      <c r="E3278" s="3" t="inlineStr">
        <is>
          <t>임원ㆍ주요주주특정증권등소유상황보고서</t>
        </is>
      </c>
      <c r="F3278" s="3" t="inlineStr">
        <is>
          <t>신승호</t>
        </is>
      </c>
      <c r="G3278" s="2" t="inlineStr">
        <is>
          <t>20260306000157</t>
        </is>
      </c>
      <c r="H3278" s="8">
        <f>HYPERLINK("https://dart.fss.or.kr/dsaf001/main.do?rcpNo=20260306000157", "공시열람")</f>
        <v/>
      </c>
    </row>
    <row r="3279">
      <c r="A3279" s="2" t="inlineStr">
        <is>
          <t>2026-03-06 (정정: 2026-03-10)</t>
        </is>
      </c>
      <c r="B3279" s="3" t="inlineStr">
        <is>
          <t>KB스타리츠</t>
        </is>
      </c>
      <c r="C3279" s="2" t="inlineStr">
        <is>
          <t>코스피</t>
        </is>
      </c>
      <c r="D3279" s="2" t="inlineStr">
        <is>
          <t>432320</t>
        </is>
      </c>
      <c r="E3279" s="3" t="inlineStr">
        <is>
          <t>투자설명서(집합투자증권)(㈜케이비스타위탁관리부동산투자회사) (정정: 20260310)</t>
        </is>
      </c>
      <c r="F3279" s="3" t="inlineStr">
        <is>
          <t>KB스타리츠</t>
        </is>
      </c>
      <c r="G3279" s="2" t="inlineStr">
        <is>
          <t>20260310002151</t>
        </is>
      </c>
      <c r="H3279" s="8">
        <f>HYPERLINK("https://dart.fss.or.kr/dsaf001/main.do?rcpNo=20260310002151", "공시열람")</f>
        <v/>
      </c>
    </row>
    <row r="3280">
      <c r="A3280" s="2" t="inlineStr">
        <is>
          <t>2026-03-06</t>
        </is>
      </c>
      <c r="B3280" s="3" t="inlineStr">
        <is>
          <t>미래에셋증권</t>
        </is>
      </c>
      <c r="C3280" s="2" t="inlineStr">
        <is>
          <t>코스피</t>
        </is>
      </c>
      <c r="D3280" s="2" t="inlineStr">
        <is>
          <t>006800</t>
        </is>
      </c>
      <c r="E3280" s="3" t="inlineStr">
        <is>
          <t>임원ㆍ주요주주특정증권등소유상황보고서</t>
        </is>
      </c>
      <c r="F3280" s="3" t="inlineStr">
        <is>
          <t>이소훈</t>
        </is>
      </c>
      <c r="G3280" s="2" t="inlineStr">
        <is>
          <t>20260306000153</t>
        </is>
      </c>
      <c r="H3280" s="8">
        <f>HYPERLINK("https://dart.fss.or.kr/dsaf001/main.do?rcpNo=20260306000153", "공시열람")</f>
        <v/>
      </c>
    </row>
    <row r="3281">
      <c r="A3281" s="2" t="inlineStr">
        <is>
          <t>2026-03-06</t>
        </is>
      </c>
      <c r="B3281" s="3" t="inlineStr">
        <is>
          <t>부산산업</t>
        </is>
      </c>
      <c r="C3281" s="2" t="inlineStr">
        <is>
          <t>코스피</t>
        </is>
      </c>
      <c r="D3281" s="2" t="inlineStr">
        <is>
          <t>011390</t>
        </is>
      </c>
      <c r="E3281" s="3" t="inlineStr">
        <is>
          <t>의결권대리행사권유참고서류</t>
        </is>
      </c>
      <c r="F3281" s="3" t="inlineStr">
        <is>
          <t>부산산업</t>
        </is>
      </c>
      <c r="G3281" s="2" t="inlineStr">
        <is>
          <t>20260306000151</t>
        </is>
      </c>
      <c r="H3281" s="8">
        <f>HYPERLINK("https://dart.fss.or.kr/dsaf001/main.do?rcpNo=20260306000151", "공시열람")</f>
        <v/>
      </c>
    </row>
    <row r="3282">
      <c r="A3282" s="2" t="inlineStr">
        <is>
          <t>2026-03-06</t>
        </is>
      </c>
      <c r="B3282" s="3" t="inlineStr">
        <is>
          <t>진성티이씨</t>
        </is>
      </c>
      <c r="C3282" s="2" t="inlineStr">
        <is>
          <t>코스닥</t>
        </is>
      </c>
      <c r="D3282" s="2" t="inlineStr">
        <is>
          <t>036890</t>
        </is>
      </c>
      <c r="E3282" s="3" t="inlineStr">
        <is>
          <t xml:space="preserve">현금ㆍ현물배당결정              </t>
        </is>
      </c>
      <c r="F3282" s="3" t="inlineStr">
        <is>
          <t>진성티이씨</t>
        </is>
      </c>
      <c r="G3282" s="2" t="inlineStr">
        <is>
          <t>20260306900304</t>
        </is>
      </c>
      <c r="H3282" s="8">
        <f>HYPERLINK("https://dart.fss.or.kr/dsaf001/main.do?rcpNo=20260306900304", "공시열람")</f>
        <v/>
      </c>
    </row>
    <row r="3283">
      <c r="A3283" s="2" t="inlineStr">
        <is>
          <t>2026-03-06</t>
        </is>
      </c>
      <c r="B3283" s="3" t="inlineStr">
        <is>
          <t>미래에셋증권</t>
        </is>
      </c>
      <c r="C3283" s="2" t="inlineStr">
        <is>
          <t>코스피</t>
        </is>
      </c>
      <c r="D3283" s="2" t="inlineStr">
        <is>
          <t>006800</t>
        </is>
      </c>
      <c r="E3283" s="3" t="inlineStr">
        <is>
          <t>임원ㆍ주요주주특정증권등소유상황보고서</t>
        </is>
      </c>
      <c r="F3283" s="3" t="inlineStr">
        <is>
          <t>성주완</t>
        </is>
      </c>
      <c r="G3283" s="2" t="inlineStr">
        <is>
          <t>20260306000138</t>
        </is>
      </c>
      <c r="H3283" s="8">
        <f>HYPERLINK("https://dart.fss.or.kr/dsaf001/main.do?rcpNo=20260306000138", "공시열람")</f>
        <v/>
      </c>
    </row>
    <row r="3284">
      <c r="A3284" s="2" t="inlineStr">
        <is>
          <t>2026-03-06</t>
        </is>
      </c>
      <c r="B3284" s="3" t="inlineStr">
        <is>
          <t>삼성증권</t>
        </is>
      </c>
      <c r="C3284" s="2" t="inlineStr">
        <is>
          <t>코스피</t>
        </is>
      </c>
      <c r="D3284" s="2" t="inlineStr">
        <is>
          <t>016360</t>
        </is>
      </c>
      <c r="E3284" s="3" t="inlineStr">
        <is>
          <t>투자설명서(일괄신고)</t>
        </is>
      </c>
      <c r="F3284" s="3" t="inlineStr">
        <is>
          <t>삼성증권</t>
        </is>
      </c>
      <c r="G3284" s="2" t="inlineStr">
        <is>
          <t>20260306000136</t>
        </is>
      </c>
      <c r="H3284" s="8">
        <f>HYPERLINK("https://dart.fss.or.kr/dsaf001/main.do?rcpNo=20260306000136", "공시열람")</f>
        <v/>
      </c>
    </row>
    <row r="3285">
      <c r="A3285" s="2" t="inlineStr">
        <is>
          <t>2026-03-06</t>
        </is>
      </c>
      <c r="B3285" s="3" t="inlineStr">
        <is>
          <t>미래에셋증권</t>
        </is>
      </c>
      <c r="C3285" s="2" t="inlineStr">
        <is>
          <t>코스피</t>
        </is>
      </c>
      <c r="D3285" s="2" t="inlineStr">
        <is>
          <t>006800</t>
        </is>
      </c>
      <c r="E3285" s="3" t="inlineStr">
        <is>
          <t>임원ㆍ주요주주특정증권등소유상황보고서</t>
        </is>
      </c>
      <c r="F3285" s="3" t="inlineStr">
        <is>
          <t>이재용</t>
        </is>
      </c>
      <c r="G3285" s="2" t="inlineStr">
        <is>
          <t>20260306000131</t>
        </is>
      </c>
      <c r="H3285" s="8">
        <f>HYPERLINK("https://dart.fss.or.kr/dsaf001/main.do?rcpNo=20260306000131", "공시열람")</f>
        <v/>
      </c>
    </row>
    <row r="3286">
      <c r="A3286" s="2" t="inlineStr">
        <is>
          <t>2026-03-06</t>
        </is>
      </c>
      <c r="B3286" s="3" t="inlineStr">
        <is>
          <t>두산에너빌리티</t>
        </is>
      </c>
      <c r="C3286" s="2" t="inlineStr">
        <is>
          <t>코스피</t>
        </is>
      </c>
      <c r="D3286" s="2" t="inlineStr">
        <is>
          <t>034020</t>
        </is>
      </c>
      <c r="E3286" s="3" t="inlineStr">
        <is>
          <t>임원ㆍ주요주주특정증권등소유상황보고서</t>
        </is>
      </c>
      <c r="F3286" s="3" t="inlineStr">
        <is>
          <t>홍종철</t>
        </is>
      </c>
      <c r="G3286" s="2" t="inlineStr">
        <is>
          <t>20260306000128</t>
        </is>
      </c>
      <c r="H3286" s="8">
        <f>HYPERLINK("https://dart.fss.or.kr/dsaf001/main.do?rcpNo=20260306000128", "공시열람")</f>
        <v/>
      </c>
    </row>
    <row r="3287">
      <c r="A3287" s="2" t="inlineStr">
        <is>
          <t>2026-03-06</t>
        </is>
      </c>
      <c r="B3287" s="3" t="inlineStr">
        <is>
          <t>삼현철강</t>
        </is>
      </c>
      <c r="C3287" s="2" t="inlineStr">
        <is>
          <t>코스닥</t>
        </is>
      </c>
      <c r="D3287" s="2" t="inlineStr">
        <is>
          <t>017480</t>
        </is>
      </c>
      <c r="E3287" s="3" t="inlineStr">
        <is>
          <t>기업가치제고계획(자율공시)              (2026년)</t>
        </is>
      </c>
      <c r="F3287" s="3" t="inlineStr">
        <is>
          <t>삼현철강</t>
        </is>
      </c>
      <c r="G3287" s="2" t="inlineStr">
        <is>
          <t>20260306900293</t>
        </is>
      </c>
      <c r="H3287" s="8">
        <f>HYPERLINK("https://dart.fss.or.kr/dsaf001/main.do?rcpNo=20260306900293", "공시열람")</f>
        <v/>
      </c>
    </row>
    <row r="3288">
      <c r="A3288" s="2" t="inlineStr">
        <is>
          <t>2026-03-06</t>
        </is>
      </c>
      <c r="B3288" s="3" t="inlineStr">
        <is>
          <t>성우테크론</t>
        </is>
      </c>
      <c r="C3288" s="2" t="inlineStr">
        <is>
          <t>코스닥</t>
        </is>
      </c>
      <c r="D3288" s="2" t="inlineStr">
        <is>
          <t>045300</t>
        </is>
      </c>
      <c r="E3288" s="3" t="inlineStr">
        <is>
          <t>사외이사의선임ㆍ해임또는중도퇴임에관한신고</t>
        </is>
      </c>
      <c r="F3288" s="3" t="inlineStr">
        <is>
          <t>성우테크론</t>
        </is>
      </c>
      <c r="G3288" s="2" t="inlineStr">
        <is>
          <t>20260306000127</t>
        </is>
      </c>
      <c r="H3288" s="8">
        <f>HYPERLINK("https://dart.fss.or.kr/dsaf001/main.do?rcpNo=20260306000127", "공시열람")</f>
        <v/>
      </c>
    </row>
    <row r="3289">
      <c r="A3289" s="2" t="inlineStr">
        <is>
          <t>2026-03-06</t>
        </is>
      </c>
      <c r="B3289" s="3" t="inlineStr">
        <is>
          <t>두산에너빌리티</t>
        </is>
      </c>
      <c r="C3289" s="2" t="inlineStr">
        <is>
          <t>코스피</t>
        </is>
      </c>
      <c r="D3289" s="2" t="inlineStr">
        <is>
          <t>034020</t>
        </is>
      </c>
      <c r="E3289" s="3" t="inlineStr">
        <is>
          <t>임원ㆍ주요주주특정증권등소유상황보고서</t>
        </is>
      </c>
      <c r="F3289" s="3" t="inlineStr">
        <is>
          <t>최경식</t>
        </is>
      </c>
      <c r="G3289" s="2" t="inlineStr">
        <is>
          <t>20260306000123</t>
        </is>
      </c>
      <c r="H3289" s="8">
        <f>HYPERLINK("https://dart.fss.or.kr/dsaf001/main.do?rcpNo=20260306000123", "공시열람")</f>
        <v/>
      </c>
    </row>
    <row r="3290">
      <c r="A3290" s="2" t="inlineStr">
        <is>
          <t>2026-03-06</t>
        </is>
      </c>
      <c r="B3290" s="3" t="inlineStr">
        <is>
          <t>키움증권</t>
        </is>
      </c>
      <c r="C3290" s="2" t="inlineStr">
        <is>
          <t>코스피</t>
        </is>
      </c>
      <c r="D3290" s="2" t="inlineStr">
        <is>
          <t>039490</t>
        </is>
      </c>
      <c r="E3290" s="3" t="inlineStr">
        <is>
          <t>일괄신고추가서류(파생결합사채-주가연계파생결합사채)</t>
        </is>
      </c>
      <c r="F3290" s="3" t="inlineStr">
        <is>
          <t>키움증권</t>
        </is>
      </c>
      <c r="G3290" s="2" t="inlineStr">
        <is>
          <t>20260306000122</t>
        </is>
      </c>
      <c r="H3290" s="8">
        <f>HYPERLINK("https://dart.fss.or.kr/dsaf001/main.do?rcpNo=20260306000122", "공시열람")</f>
        <v/>
      </c>
    </row>
    <row r="3291">
      <c r="A3291" s="2" t="inlineStr">
        <is>
          <t>2026-03-06</t>
        </is>
      </c>
      <c r="B3291" s="3" t="inlineStr">
        <is>
          <t>케이피항공산업</t>
        </is>
      </c>
      <c r="C3291" s="2" t="inlineStr">
        <is>
          <t>코스닥</t>
        </is>
      </c>
      <c r="D3291" s="2" t="inlineStr">
        <is>
          <t>288180</t>
        </is>
      </c>
      <c r="E3291" s="3" t="inlineStr">
        <is>
          <t>투자설명서</t>
        </is>
      </c>
      <c r="F3291" s="3" t="inlineStr">
        <is>
          <t>케이피항공산업</t>
        </is>
      </c>
      <c r="G3291" s="2" t="inlineStr">
        <is>
          <t>20260306000118</t>
        </is>
      </c>
      <c r="H3291" s="8">
        <f>HYPERLINK("https://dart.fss.or.kr/dsaf001/main.do?rcpNo=20260306000118", "공시열람")</f>
        <v/>
      </c>
    </row>
    <row r="3292">
      <c r="A3292" s="2" t="inlineStr">
        <is>
          <t>2026-03-06</t>
        </is>
      </c>
      <c r="B3292" s="3" t="inlineStr">
        <is>
          <t>두산에너빌리티</t>
        </is>
      </c>
      <c r="C3292" s="2" t="inlineStr">
        <is>
          <t>코스피</t>
        </is>
      </c>
      <c r="D3292" s="2" t="inlineStr">
        <is>
          <t>034020</t>
        </is>
      </c>
      <c r="E3292" s="3" t="inlineStr">
        <is>
          <t>임원ㆍ주요주주특정증권등소유상황보고서</t>
        </is>
      </c>
      <c r="F3292" s="3" t="inlineStr">
        <is>
          <t>최용길</t>
        </is>
      </c>
      <c r="G3292" s="2" t="inlineStr">
        <is>
          <t>20260306000116</t>
        </is>
      </c>
      <c r="H3292" s="8">
        <f>HYPERLINK("https://dart.fss.or.kr/dsaf001/main.do?rcpNo=20260306000116", "공시열람")</f>
        <v/>
      </c>
    </row>
    <row r="3293">
      <c r="A3293" s="2" t="inlineStr">
        <is>
          <t>2026-03-06</t>
        </is>
      </c>
      <c r="B3293" s="3" t="inlineStr">
        <is>
          <t>삼성증권</t>
        </is>
      </c>
      <c r="C3293" s="2" t="inlineStr">
        <is>
          <t>코스피</t>
        </is>
      </c>
      <c r="D3293" s="2" t="inlineStr">
        <is>
          <t>016360</t>
        </is>
      </c>
      <c r="E3293" s="3" t="inlineStr">
        <is>
          <t>일괄신고추가서류(파생결합사채-주가연계파생결합사채)</t>
        </is>
      </c>
      <c r="F3293" s="3" t="inlineStr">
        <is>
          <t>삼성증권</t>
        </is>
      </c>
      <c r="G3293" s="2" t="inlineStr">
        <is>
          <t>20260306000113</t>
        </is>
      </c>
      <c r="H3293" s="8">
        <f>HYPERLINK("https://dart.fss.or.kr/dsaf001/main.do?rcpNo=20260306000113", "공시열람")</f>
        <v/>
      </c>
    </row>
    <row r="3294">
      <c r="A3294" s="2" t="inlineStr">
        <is>
          <t>2026-03-06</t>
        </is>
      </c>
      <c r="B3294" s="3" t="inlineStr">
        <is>
          <t>두산에너빌리티</t>
        </is>
      </c>
      <c r="C3294" s="2" t="inlineStr">
        <is>
          <t>코스피</t>
        </is>
      </c>
      <c r="D3294" s="2" t="inlineStr">
        <is>
          <t>034020</t>
        </is>
      </c>
      <c r="E3294" s="3" t="inlineStr">
        <is>
          <t>임원ㆍ주요주주특정증권등소유상황보고서</t>
        </is>
      </c>
      <c r="F3294" s="3" t="inlineStr">
        <is>
          <t>최남수</t>
        </is>
      </c>
      <c r="G3294" s="2" t="inlineStr">
        <is>
          <t>20260306000112</t>
        </is>
      </c>
      <c r="H3294" s="8">
        <f>HYPERLINK("https://dart.fss.or.kr/dsaf001/main.do?rcpNo=20260306000112", "공시열람")</f>
        <v/>
      </c>
    </row>
    <row r="3295">
      <c r="A3295" s="2" t="inlineStr">
        <is>
          <t>2026-03-06</t>
        </is>
      </c>
      <c r="B3295" s="3" t="inlineStr">
        <is>
          <t>강남제비스코</t>
        </is>
      </c>
      <c r="C3295" s="2" t="inlineStr">
        <is>
          <t>코스피</t>
        </is>
      </c>
      <c r="D3295" s="2" t="inlineStr">
        <is>
          <t>000860</t>
        </is>
      </c>
      <c r="E3295" s="3" t="inlineStr">
        <is>
          <t>의결권대리행사권유참고서류</t>
        </is>
      </c>
      <c r="F3295" s="3" t="inlineStr">
        <is>
          <t>강남제비스코</t>
        </is>
      </c>
      <c r="G3295" s="2" t="inlineStr">
        <is>
          <t>20260306000110</t>
        </is>
      </c>
      <c r="H3295" s="8">
        <f>HYPERLINK("https://dart.fss.or.kr/dsaf001/main.do?rcpNo=20260306000110", "공시열람")</f>
        <v/>
      </c>
    </row>
    <row r="3296">
      <c r="A3296" s="2" t="inlineStr">
        <is>
          <t>2026-03-06</t>
        </is>
      </c>
      <c r="B3296" s="3" t="inlineStr">
        <is>
          <t>두산에너빌리티</t>
        </is>
      </c>
      <c r="C3296" s="2" t="inlineStr">
        <is>
          <t>코스피</t>
        </is>
      </c>
      <c r="D3296" s="2" t="inlineStr">
        <is>
          <t>034020</t>
        </is>
      </c>
      <c r="E3296" s="3" t="inlineStr">
        <is>
          <t>임원ㆍ주요주주특정증권등소유상황보고서</t>
        </is>
      </c>
      <c r="F3296" s="3" t="inlineStr">
        <is>
          <t>조창열</t>
        </is>
      </c>
      <c r="G3296" s="2" t="inlineStr">
        <is>
          <t>20260306000108</t>
        </is>
      </c>
      <c r="H3296" s="8">
        <f>HYPERLINK("https://dart.fss.or.kr/dsaf001/main.do?rcpNo=20260306000108", "공시열람")</f>
        <v/>
      </c>
    </row>
    <row r="3297">
      <c r="A3297" s="2" t="inlineStr">
        <is>
          <t>2026-03-06</t>
        </is>
      </c>
      <c r="B3297" s="3" t="inlineStr">
        <is>
          <t>두산에너빌리티</t>
        </is>
      </c>
      <c r="C3297" s="2" t="inlineStr">
        <is>
          <t>코스피</t>
        </is>
      </c>
      <c r="D3297" s="2" t="inlineStr">
        <is>
          <t>034020</t>
        </is>
      </c>
      <c r="E3297" s="3" t="inlineStr">
        <is>
          <t>임원ㆍ주요주주특정증권등소유상황보고서</t>
        </is>
      </c>
      <c r="F3297" s="3" t="inlineStr">
        <is>
          <t>정태진</t>
        </is>
      </c>
      <c r="G3297" s="2" t="inlineStr">
        <is>
          <t>20260306000106</t>
        </is>
      </c>
      <c r="H3297" s="8">
        <f>HYPERLINK("https://dart.fss.or.kr/dsaf001/main.do?rcpNo=20260306000106", "공시열람")</f>
        <v/>
      </c>
    </row>
    <row r="3298">
      <c r="A3298" s="2" t="inlineStr">
        <is>
          <t>2026-03-06</t>
        </is>
      </c>
      <c r="B3298" s="3" t="inlineStr">
        <is>
          <t>미래에셋증권</t>
        </is>
      </c>
      <c r="C3298" s="2" t="inlineStr">
        <is>
          <t>코스피</t>
        </is>
      </c>
      <c r="D3298" s="2" t="inlineStr">
        <is>
          <t>006800</t>
        </is>
      </c>
      <c r="E3298" s="3" t="inlineStr">
        <is>
          <t>임원ㆍ주요주주특정증권등소유상황보고서</t>
        </is>
      </c>
      <c r="F3298" s="3" t="inlineStr">
        <is>
          <t>유승선</t>
        </is>
      </c>
      <c r="G3298" s="2" t="inlineStr">
        <is>
          <t>20260306000103</t>
        </is>
      </c>
      <c r="H3298" s="8">
        <f>HYPERLINK("https://dart.fss.or.kr/dsaf001/main.do?rcpNo=20260306000103", "공시열람")</f>
        <v/>
      </c>
    </row>
    <row r="3299">
      <c r="A3299" s="2" t="inlineStr">
        <is>
          <t>2026-03-06</t>
        </is>
      </c>
      <c r="B3299" s="3" t="inlineStr">
        <is>
          <t>포스코퓨처엠</t>
        </is>
      </c>
      <c r="C3299" s="2" t="inlineStr">
        <is>
          <t>코스피</t>
        </is>
      </c>
      <c r="D3299" s="2" t="inlineStr">
        <is>
          <t>003670</t>
        </is>
      </c>
      <c r="E3299" s="3" t="inlineStr">
        <is>
          <t>임원ㆍ주요주주특정증권등소유상황보고서</t>
        </is>
      </c>
      <c r="F3299" s="3" t="inlineStr">
        <is>
          <t>윤태화</t>
        </is>
      </c>
      <c r="G3299" s="2" t="inlineStr">
        <is>
          <t>20260306000102</t>
        </is>
      </c>
      <c r="H3299" s="8">
        <f>HYPERLINK("https://dart.fss.or.kr/dsaf001/main.do?rcpNo=20260306000102", "공시열람")</f>
        <v/>
      </c>
    </row>
    <row r="3300">
      <c r="A3300" s="2" t="inlineStr">
        <is>
          <t>2026-03-06</t>
        </is>
      </c>
      <c r="B3300" s="3" t="inlineStr">
        <is>
          <t>두산에너빌리티</t>
        </is>
      </c>
      <c r="C3300" s="2" t="inlineStr">
        <is>
          <t>코스피</t>
        </is>
      </c>
      <c r="D3300" s="2" t="inlineStr">
        <is>
          <t>034020</t>
        </is>
      </c>
      <c r="E3300" s="3" t="inlineStr">
        <is>
          <t>임원ㆍ주요주주특정증권등소유상황보고서</t>
        </is>
      </c>
      <c r="F3300" s="3" t="inlineStr">
        <is>
          <t>전종민</t>
        </is>
      </c>
      <c r="G3300" s="2" t="inlineStr">
        <is>
          <t>20260306000101</t>
        </is>
      </c>
      <c r="H3300" s="8">
        <f>HYPERLINK("https://dart.fss.or.kr/dsaf001/main.do?rcpNo=20260306000101", "공시열람")</f>
        <v/>
      </c>
    </row>
    <row r="3301">
      <c r="A3301" s="2" t="inlineStr">
        <is>
          <t>2026-03-06 (정정: 2026-03-20)</t>
        </is>
      </c>
      <c r="B3301" s="3" t="inlineStr">
        <is>
          <t>NICE평가정보</t>
        </is>
      </c>
      <c r="C3301" s="2" t="inlineStr">
        <is>
          <t>코스피</t>
        </is>
      </c>
      <c r="D3301" s="2" t="inlineStr">
        <is>
          <t>030190</t>
        </is>
      </c>
      <c r="E3301" s="3" t="inlineStr">
        <is>
          <t>의결권대리행사권유참고서류 (정정: 20260320)</t>
        </is>
      </c>
      <c r="F3301" s="3" t="inlineStr">
        <is>
          <t>NICE평가정보</t>
        </is>
      </c>
      <c r="G3301" s="2" t="inlineStr">
        <is>
          <t>20260320000244</t>
        </is>
      </c>
      <c r="H3301" s="8">
        <f>HYPERLINK("https://dart.fss.or.kr/dsaf001/main.do?rcpNo=20260320000244", "공시열람")</f>
        <v/>
      </c>
    </row>
    <row r="3302">
      <c r="A3302" s="2" t="inlineStr">
        <is>
          <t>2026-03-06</t>
        </is>
      </c>
      <c r="B3302" s="3" t="inlineStr">
        <is>
          <t>두산에너빌리티</t>
        </is>
      </c>
      <c r="C3302" s="2" t="inlineStr">
        <is>
          <t>코스피</t>
        </is>
      </c>
      <c r="D3302" s="2" t="inlineStr">
        <is>
          <t>034020</t>
        </is>
      </c>
      <c r="E3302" s="3" t="inlineStr">
        <is>
          <t>임원ㆍ주요주주특정증권등소유상황보고서</t>
        </is>
      </c>
      <c r="F3302" s="3" t="inlineStr">
        <is>
          <t>장세영</t>
        </is>
      </c>
      <c r="G3302" s="2" t="inlineStr">
        <is>
          <t>20260306000096</t>
        </is>
      </c>
      <c r="H3302" s="8">
        <f>HYPERLINK("https://dart.fss.or.kr/dsaf001/main.do?rcpNo=20260306000096", "공시열람")</f>
        <v/>
      </c>
    </row>
    <row r="3303">
      <c r="A3303" s="2" t="inlineStr">
        <is>
          <t>2026-03-06</t>
        </is>
      </c>
      <c r="B3303" s="3" t="inlineStr">
        <is>
          <t>SBI인베스트먼트</t>
        </is>
      </c>
      <c r="C3303" s="2" t="inlineStr">
        <is>
          <t>코스닥</t>
        </is>
      </c>
      <c r="D3303" s="2" t="inlineStr">
        <is>
          <t>019550</t>
        </is>
      </c>
      <c r="E3303" s="3" t="inlineStr">
        <is>
          <t>의결권대리행사권유참고서류</t>
        </is>
      </c>
      <c r="F3303" s="3" t="inlineStr">
        <is>
          <t>SBI인베스트먼트</t>
        </is>
      </c>
      <c r="G3303" s="2" t="inlineStr">
        <is>
          <t>20260306000095</t>
        </is>
      </c>
      <c r="H3303" s="8">
        <f>HYPERLINK("https://dart.fss.or.kr/dsaf001/main.do?rcpNo=20260306000095", "공시열람")</f>
        <v/>
      </c>
    </row>
    <row r="3304">
      <c r="A3304" s="2" t="inlineStr">
        <is>
          <t>2026-03-06</t>
        </is>
      </c>
      <c r="B3304" s="3" t="inlineStr">
        <is>
          <t>두산에너빌리티</t>
        </is>
      </c>
      <c r="C3304" s="2" t="inlineStr">
        <is>
          <t>코스피</t>
        </is>
      </c>
      <c r="D3304" s="2" t="inlineStr">
        <is>
          <t>034020</t>
        </is>
      </c>
      <c r="E3304" s="3" t="inlineStr">
        <is>
          <t>임원ㆍ주요주주특정증권등소유상황보고서</t>
        </is>
      </c>
      <c r="F3304" s="3" t="inlineStr">
        <is>
          <t>장록재</t>
        </is>
      </c>
      <c r="G3304" s="2" t="inlineStr">
        <is>
          <t>20260306000094</t>
        </is>
      </c>
      <c r="H3304" s="8">
        <f>HYPERLINK("https://dart.fss.or.kr/dsaf001/main.do?rcpNo=20260306000094", "공시열람")</f>
        <v/>
      </c>
    </row>
    <row r="3305">
      <c r="A3305" s="2" t="inlineStr">
        <is>
          <t>2026-03-06</t>
        </is>
      </c>
      <c r="B3305" s="3" t="inlineStr">
        <is>
          <t>미래에셋증권</t>
        </is>
      </c>
      <c r="C3305" s="2" t="inlineStr">
        <is>
          <t>코스피</t>
        </is>
      </c>
      <c r="D3305" s="2" t="inlineStr">
        <is>
          <t>006800</t>
        </is>
      </c>
      <c r="E3305" s="3" t="inlineStr">
        <is>
          <t>임원ㆍ주요주주특정증권등소유상황보고서</t>
        </is>
      </c>
      <c r="F3305" s="3" t="inlineStr">
        <is>
          <t>이성우</t>
        </is>
      </c>
      <c r="G3305" s="2" t="inlineStr">
        <is>
          <t>20260306000093</t>
        </is>
      </c>
      <c r="H3305" s="8">
        <f>HYPERLINK("https://dart.fss.or.kr/dsaf001/main.do?rcpNo=20260306000093", "공시열람")</f>
        <v/>
      </c>
    </row>
    <row r="3306">
      <c r="A3306" s="2" t="inlineStr">
        <is>
          <t>2026-03-06</t>
        </is>
      </c>
      <c r="B3306" s="3" t="inlineStr">
        <is>
          <t>오로스테크놀로지</t>
        </is>
      </c>
      <c r="C3306" s="2" t="inlineStr">
        <is>
          <t>코스닥</t>
        </is>
      </c>
      <c r="D3306" s="2" t="inlineStr">
        <is>
          <t>322310</t>
        </is>
      </c>
      <c r="E3306" s="3" t="inlineStr">
        <is>
          <t>의결권대리행사권유참고서류</t>
        </is>
      </c>
      <c r="F3306" s="3" t="inlineStr">
        <is>
          <t>오로스테크놀로지</t>
        </is>
      </c>
      <c r="G3306" s="2" t="inlineStr">
        <is>
          <t>20260306000090</t>
        </is>
      </c>
      <c r="H3306" s="8">
        <f>HYPERLINK("https://dart.fss.or.kr/dsaf001/main.do?rcpNo=20260306000090", "공시열람")</f>
        <v/>
      </c>
    </row>
    <row r="3307">
      <c r="A3307" s="2" t="inlineStr">
        <is>
          <t>2026-03-06</t>
        </is>
      </c>
      <c r="B3307" s="3" t="inlineStr">
        <is>
          <t>두산에너빌리티</t>
        </is>
      </c>
      <c r="C3307" s="2" t="inlineStr">
        <is>
          <t>코스피</t>
        </is>
      </c>
      <c r="D3307" s="2" t="inlineStr">
        <is>
          <t>034020</t>
        </is>
      </c>
      <c r="E3307" s="3" t="inlineStr">
        <is>
          <t>임원ㆍ주요주주특정증권등소유상황보고서</t>
        </is>
      </c>
      <c r="F3307" s="3" t="inlineStr">
        <is>
          <t>임영기</t>
        </is>
      </c>
      <c r="G3307" s="2" t="inlineStr">
        <is>
          <t>20260306000087</t>
        </is>
      </c>
      <c r="H3307" s="8">
        <f>HYPERLINK("https://dart.fss.or.kr/dsaf001/main.do?rcpNo=20260306000087", "공시열람")</f>
        <v/>
      </c>
    </row>
    <row r="3308">
      <c r="A3308" s="2" t="inlineStr">
        <is>
          <t>2026-03-06</t>
        </is>
      </c>
      <c r="B3308" s="3" t="inlineStr">
        <is>
          <t>미래에셋증권</t>
        </is>
      </c>
      <c r="C3308" s="2" t="inlineStr">
        <is>
          <t>코스피</t>
        </is>
      </c>
      <c r="D3308" s="2" t="inlineStr">
        <is>
          <t>006800</t>
        </is>
      </c>
      <c r="E3308" s="3" t="inlineStr">
        <is>
          <t>임원ㆍ주요주주특정증권등소유상황보고서</t>
        </is>
      </c>
      <c r="F3308" s="3" t="inlineStr">
        <is>
          <t>이강혁</t>
        </is>
      </c>
      <c r="G3308" s="2" t="inlineStr">
        <is>
          <t>20260306000085</t>
        </is>
      </c>
      <c r="H3308" s="8">
        <f>HYPERLINK("https://dart.fss.or.kr/dsaf001/main.do?rcpNo=20260306000085", "공시열람")</f>
        <v/>
      </c>
    </row>
    <row r="3309">
      <c r="A3309" s="2" t="inlineStr">
        <is>
          <t>2026-03-06</t>
        </is>
      </c>
      <c r="B3309" s="3" t="inlineStr">
        <is>
          <t>iM금융지주</t>
        </is>
      </c>
      <c r="C3309" s="2" t="inlineStr">
        <is>
          <t>코스피</t>
        </is>
      </c>
      <c r="D3309" s="2" t="inlineStr">
        <is>
          <t>139130</t>
        </is>
      </c>
      <c r="E3309" s="3" t="inlineStr">
        <is>
          <t>임원ㆍ주요주주특정증권등소유상황보고서</t>
        </is>
      </c>
      <c r="F3309" s="3" t="inlineStr">
        <is>
          <t>천병규</t>
        </is>
      </c>
      <c r="G3309" s="2" t="inlineStr">
        <is>
          <t>20260306000083</t>
        </is>
      </c>
      <c r="H3309" s="8">
        <f>HYPERLINK("https://dart.fss.or.kr/dsaf001/main.do?rcpNo=20260306000083", "공시열람")</f>
        <v/>
      </c>
    </row>
    <row r="3310">
      <c r="A3310" s="2" t="inlineStr">
        <is>
          <t>2026-03-06</t>
        </is>
      </c>
      <c r="B3310" s="3" t="inlineStr">
        <is>
          <t>미래에셋증권</t>
        </is>
      </c>
      <c r="C3310" s="2" t="inlineStr">
        <is>
          <t>코스피</t>
        </is>
      </c>
      <c r="D3310" s="2" t="inlineStr">
        <is>
          <t>006800</t>
        </is>
      </c>
      <c r="E3310" s="3" t="inlineStr">
        <is>
          <t>임원ㆍ주요주주특정증권등소유상황보고서</t>
        </is>
      </c>
      <c r="F3310" s="3" t="inlineStr">
        <is>
          <t>서철수</t>
        </is>
      </c>
      <c r="G3310" s="2" t="inlineStr">
        <is>
          <t>20260306000073</t>
        </is>
      </c>
      <c r="H3310" s="8">
        <f>HYPERLINK("https://dart.fss.or.kr/dsaf001/main.do?rcpNo=20260306000073", "공시열람")</f>
        <v/>
      </c>
    </row>
    <row r="3311">
      <c r="A3311" s="2" t="inlineStr">
        <is>
          <t>2026-03-06</t>
        </is>
      </c>
      <c r="B3311" s="3" t="inlineStr">
        <is>
          <t>키움증권</t>
        </is>
      </c>
      <c r="C3311" s="2" t="inlineStr">
        <is>
          <t>코스피</t>
        </is>
      </c>
      <c r="D3311" s="2" t="inlineStr">
        <is>
          <t>039490</t>
        </is>
      </c>
      <c r="E3311" s="3" t="inlineStr">
        <is>
          <t>일괄신고추가서류(기타파생결합사채)</t>
        </is>
      </c>
      <c r="F3311" s="3" t="inlineStr">
        <is>
          <t>키움증권</t>
        </is>
      </c>
      <c r="G3311" s="2" t="inlineStr">
        <is>
          <t>20260306000070</t>
        </is>
      </c>
      <c r="H3311" s="8">
        <f>HYPERLINK("https://dart.fss.or.kr/dsaf001/main.do?rcpNo=20260306000070", "공시열람")</f>
        <v/>
      </c>
    </row>
    <row r="3312">
      <c r="A3312" s="2" t="inlineStr">
        <is>
          <t>2026-03-06</t>
        </is>
      </c>
      <c r="B3312" s="3" t="inlineStr">
        <is>
          <t>웨이버스</t>
        </is>
      </c>
      <c r="C3312" s="2" t="inlineStr">
        <is>
          <t>코스닥</t>
        </is>
      </c>
      <c r="D3312" s="2" t="inlineStr">
        <is>
          <t>336060</t>
        </is>
      </c>
      <c r="E3312" s="3" t="inlineStr">
        <is>
          <t>임원ㆍ주요주주특정증권등소유상황보고서</t>
        </is>
      </c>
      <c r="F3312" s="3" t="inlineStr">
        <is>
          <t>조문기</t>
        </is>
      </c>
      <c r="G3312" s="2" t="inlineStr">
        <is>
          <t>20260306000064</t>
        </is>
      </c>
      <c r="H3312" s="8">
        <f>HYPERLINK("https://dart.fss.or.kr/dsaf001/main.do?rcpNo=20260306000064", "공시열람")</f>
        <v/>
      </c>
    </row>
    <row r="3313">
      <c r="A3313" s="2" t="inlineStr">
        <is>
          <t>2026-03-06</t>
        </is>
      </c>
      <c r="B3313" s="3" t="inlineStr">
        <is>
          <t>두산에너빌리티</t>
        </is>
      </c>
      <c r="C3313" s="2" t="inlineStr">
        <is>
          <t>코스피</t>
        </is>
      </c>
      <c r="D3313" s="2" t="inlineStr">
        <is>
          <t>034020</t>
        </is>
      </c>
      <c r="E3313" s="3" t="inlineStr">
        <is>
          <t>임원ㆍ주요주주특정증권등소유상황보고서</t>
        </is>
      </c>
      <c r="F3313" s="3" t="inlineStr">
        <is>
          <t>이희범</t>
        </is>
      </c>
      <c r="G3313" s="2" t="inlineStr">
        <is>
          <t>20260306000061</t>
        </is>
      </c>
      <c r="H3313" s="8">
        <f>HYPERLINK("https://dart.fss.or.kr/dsaf001/main.do?rcpNo=20260306000061", "공시열람")</f>
        <v/>
      </c>
    </row>
    <row r="3314">
      <c r="A3314" s="2" t="inlineStr">
        <is>
          <t>2026-03-06</t>
        </is>
      </c>
      <c r="B3314" s="3" t="inlineStr">
        <is>
          <t>에스에너지</t>
        </is>
      </c>
      <c r="C3314" s="2" t="inlineStr">
        <is>
          <t>코스닥</t>
        </is>
      </c>
      <c r="D3314" s="2" t="inlineStr">
        <is>
          <t>095910</t>
        </is>
      </c>
      <c r="E3314" s="3" t="inlineStr">
        <is>
          <t xml:space="preserve">유상증자또는주식관련사채등의청약결과(자율공시)              </t>
        </is>
      </c>
      <c r="F3314" s="3" t="inlineStr">
        <is>
          <t>에스에너지</t>
        </is>
      </c>
      <c r="G3314" s="2" t="inlineStr">
        <is>
          <t>20260306900230</t>
        </is>
      </c>
      <c r="H3314" s="8">
        <f>HYPERLINK("https://dart.fss.or.kr/dsaf001/main.do?rcpNo=20260306900230", "공시열람")</f>
        <v/>
      </c>
    </row>
    <row r="3315">
      <c r="A3315" s="2" t="inlineStr">
        <is>
          <t>2026-03-06</t>
        </is>
      </c>
      <c r="B3315" s="3" t="inlineStr">
        <is>
          <t>두산에너빌리티</t>
        </is>
      </c>
      <c r="C3315" s="2" t="inlineStr">
        <is>
          <t>코스피</t>
        </is>
      </c>
      <c r="D3315" s="2" t="inlineStr">
        <is>
          <t>034020</t>
        </is>
      </c>
      <c r="E3315" s="3" t="inlineStr">
        <is>
          <t>임원ㆍ주요주주특정증권등소유상황보고서</t>
        </is>
      </c>
      <c r="F3315" s="3" t="inlineStr">
        <is>
          <t>이한희</t>
        </is>
      </c>
      <c r="G3315" s="2" t="inlineStr">
        <is>
          <t>20260306000056</t>
        </is>
      </c>
      <c r="H3315" s="8">
        <f>HYPERLINK("https://dart.fss.or.kr/dsaf001/main.do?rcpNo=20260306000056", "공시열람")</f>
        <v/>
      </c>
    </row>
    <row r="3316">
      <c r="A3316" s="2" t="inlineStr">
        <is>
          <t>2026-03-06</t>
        </is>
      </c>
      <c r="B3316" s="3" t="inlineStr">
        <is>
          <t>두산에너빌리티</t>
        </is>
      </c>
      <c r="C3316" s="2" t="inlineStr">
        <is>
          <t>코스피</t>
        </is>
      </c>
      <c r="D3316" s="2" t="inlineStr">
        <is>
          <t>034020</t>
        </is>
      </c>
      <c r="E3316" s="3" t="inlineStr">
        <is>
          <t>임원ㆍ주요주주특정증권등소유상황보고서</t>
        </is>
      </c>
      <c r="F3316" s="3" t="inlineStr">
        <is>
          <t>이정원</t>
        </is>
      </c>
      <c r="G3316" s="2" t="inlineStr">
        <is>
          <t>20260306000055</t>
        </is>
      </c>
      <c r="H3316" s="8">
        <f>HYPERLINK("https://dart.fss.or.kr/dsaf001/main.do?rcpNo=20260306000055", "공시열람")</f>
        <v/>
      </c>
    </row>
    <row r="3317">
      <c r="A3317" s="2" t="inlineStr">
        <is>
          <t>2026-03-06</t>
        </is>
      </c>
      <c r="B3317" s="3" t="inlineStr">
        <is>
          <t>인지소프트</t>
        </is>
      </c>
      <c r="C3317" s="2" t="inlineStr">
        <is>
          <t>코스닥</t>
        </is>
      </c>
      <c r="D3317" s="2" t="inlineStr">
        <is>
          <t>100030</t>
        </is>
      </c>
      <c r="E3317" s="3" t="inlineStr">
        <is>
          <t>임원ㆍ주요주주특정증권등소유상황보고서</t>
        </is>
      </c>
      <c r="F3317" s="3" t="inlineStr">
        <is>
          <t>정정기</t>
        </is>
      </c>
      <c r="G3317" s="2" t="inlineStr">
        <is>
          <t>20260306000054</t>
        </is>
      </c>
      <c r="H3317" s="8">
        <f>HYPERLINK("https://dart.fss.or.kr/dsaf001/main.do?rcpNo=20260306000054", "공시열람")</f>
        <v/>
      </c>
    </row>
    <row r="3318">
      <c r="A3318" s="2" t="inlineStr">
        <is>
          <t>2026-03-06</t>
        </is>
      </c>
      <c r="B3318" s="3" t="inlineStr">
        <is>
          <t>두산에너빌리티</t>
        </is>
      </c>
      <c r="C3318" s="2" t="inlineStr">
        <is>
          <t>코스피</t>
        </is>
      </c>
      <c r="D3318" s="2" t="inlineStr">
        <is>
          <t>034020</t>
        </is>
      </c>
      <c r="E3318" s="3" t="inlineStr">
        <is>
          <t>임원ㆍ주요주주특정증권등소유상황보고서</t>
        </is>
      </c>
      <c r="F3318" s="3" t="inlineStr">
        <is>
          <t>이상언</t>
        </is>
      </c>
      <c r="G3318" s="2" t="inlineStr">
        <is>
          <t>20260306000052</t>
        </is>
      </c>
      <c r="H3318" s="8">
        <f>HYPERLINK("https://dart.fss.or.kr/dsaf001/main.do?rcpNo=20260306000052", "공시열람")</f>
        <v/>
      </c>
    </row>
    <row r="3319">
      <c r="A3319" s="2" t="inlineStr">
        <is>
          <t>2026-03-06</t>
        </is>
      </c>
      <c r="B3319" s="3" t="inlineStr">
        <is>
          <t>두산에너빌리티</t>
        </is>
      </c>
      <c r="C3319" s="2" t="inlineStr">
        <is>
          <t>코스피</t>
        </is>
      </c>
      <c r="D3319" s="2" t="inlineStr">
        <is>
          <t>034020</t>
        </is>
      </c>
      <c r="E3319" s="3" t="inlineStr">
        <is>
          <t>임원ㆍ주요주주특정증권등소유상황보고서</t>
        </is>
      </c>
      <c r="F3319" s="3" t="inlineStr">
        <is>
          <t>신동규</t>
        </is>
      </c>
      <c r="G3319" s="2" t="inlineStr">
        <is>
          <t>20260306000048</t>
        </is>
      </c>
      <c r="H3319" s="8">
        <f>HYPERLINK("https://dart.fss.or.kr/dsaf001/main.do?rcpNo=20260306000048", "공시열람")</f>
        <v/>
      </c>
    </row>
    <row r="3320">
      <c r="A3320" s="2" t="inlineStr">
        <is>
          <t>2026-03-06</t>
        </is>
      </c>
      <c r="B3320" s="3" t="inlineStr">
        <is>
          <t>미래에셋증권</t>
        </is>
      </c>
      <c r="C3320" s="2" t="inlineStr">
        <is>
          <t>코스피</t>
        </is>
      </c>
      <c r="D3320" s="2" t="inlineStr">
        <is>
          <t>006800</t>
        </is>
      </c>
      <c r="E3320" s="3" t="inlineStr">
        <is>
          <t>임원ㆍ주요주주특정증권등소유상황보고서</t>
        </is>
      </c>
      <c r="F3320" s="3" t="inlineStr">
        <is>
          <t>박재현</t>
        </is>
      </c>
      <c r="G3320" s="2" t="inlineStr">
        <is>
          <t>20260306000045</t>
        </is>
      </c>
      <c r="H3320" s="8">
        <f>HYPERLINK("https://dart.fss.or.kr/dsaf001/main.do?rcpNo=20260306000045", "공시열람")</f>
        <v/>
      </c>
    </row>
    <row r="3321">
      <c r="A3321" s="2" t="inlineStr">
        <is>
          <t>2026-03-06</t>
        </is>
      </c>
      <c r="B3321" s="3" t="inlineStr">
        <is>
          <t>두산에너빌리티</t>
        </is>
      </c>
      <c r="C3321" s="2" t="inlineStr">
        <is>
          <t>코스피</t>
        </is>
      </c>
      <c r="D3321" s="2" t="inlineStr">
        <is>
          <t>034020</t>
        </is>
      </c>
      <c r="E3321" s="3" t="inlineStr">
        <is>
          <t>임원ㆍ주요주주특정증권등소유상황보고서</t>
        </is>
      </c>
      <c r="F3321" s="3" t="inlineStr">
        <is>
          <t>송치욱</t>
        </is>
      </c>
      <c r="G3321" s="2" t="inlineStr">
        <is>
          <t>20260306000044</t>
        </is>
      </c>
      <c r="H3321" s="8">
        <f>HYPERLINK("https://dart.fss.or.kr/dsaf001/main.do?rcpNo=20260306000044", "공시열람")</f>
        <v/>
      </c>
    </row>
    <row r="3322">
      <c r="A3322" s="2" t="inlineStr">
        <is>
          <t>2026-03-06</t>
        </is>
      </c>
      <c r="B3322" s="3" t="inlineStr">
        <is>
          <t>태웅로직스</t>
        </is>
      </c>
      <c r="C3322" s="2" t="inlineStr">
        <is>
          <t>코스닥</t>
        </is>
      </c>
      <c r="D3322" s="2" t="inlineStr">
        <is>
          <t>124560</t>
        </is>
      </c>
      <c r="E3322" s="3" t="inlineStr">
        <is>
          <t>임원ㆍ주요주주특정증권등소유상황보고서</t>
        </is>
      </c>
      <c r="F3322" s="3" t="inlineStr">
        <is>
          <t>한재동</t>
        </is>
      </c>
      <c r="G3322" s="2" t="inlineStr">
        <is>
          <t>20260306000043</t>
        </is>
      </c>
      <c r="H3322" s="8">
        <f>HYPERLINK("https://dart.fss.or.kr/dsaf001/main.do?rcpNo=20260306000043", "공시열람")</f>
        <v/>
      </c>
    </row>
    <row r="3323">
      <c r="A3323" s="2" t="inlineStr">
        <is>
          <t>2026-03-06 (정정: 2026-03-12)</t>
        </is>
      </c>
      <c r="B3323" s="3" t="inlineStr">
        <is>
          <t>더블유에스아이</t>
        </is>
      </c>
      <c r="C3323" s="2" t="inlineStr">
        <is>
          <t>코스닥</t>
        </is>
      </c>
      <c r="D3323" s="2" t="inlineStr">
        <is>
          <t>299170</t>
        </is>
      </c>
      <c r="E3323" s="3" t="inlineStr">
        <is>
          <t>임원ㆍ주요주주특정증권등소유상황보고서 (정정: 20260312)</t>
        </is>
      </c>
      <c r="F3323" s="3" t="inlineStr">
        <is>
          <t>안진수</t>
        </is>
      </c>
      <c r="G3323" s="2" t="inlineStr">
        <is>
          <t>20260312001237</t>
        </is>
      </c>
      <c r="H3323" s="8">
        <f>HYPERLINK("https://dart.fss.or.kr/dsaf001/main.do?rcpNo=20260312001237", "공시열람")</f>
        <v/>
      </c>
    </row>
    <row r="3324">
      <c r="A3324" s="2" t="inlineStr">
        <is>
          <t>2026-03-06</t>
        </is>
      </c>
      <c r="B3324" s="3" t="inlineStr">
        <is>
          <t>미래에셋증권</t>
        </is>
      </c>
      <c r="C3324" s="2" t="inlineStr">
        <is>
          <t>코스피</t>
        </is>
      </c>
      <c r="D3324" s="2" t="inlineStr">
        <is>
          <t>006800</t>
        </is>
      </c>
      <c r="E3324" s="3" t="inlineStr">
        <is>
          <t>증권발행실적보고서</t>
        </is>
      </c>
      <c r="F3324" s="3" t="inlineStr">
        <is>
          <t>미래에셋증권</t>
        </is>
      </c>
      <c r="G3324" s="2" t="inlineStr">
        <is>
          <t>20260306000037</t>
        </is>
      </c>
      <c r="H3324" s="8">
        <f>HYPERLINK("https://dart.fss.or.kr/dsaf001/main.do?rcpNo=20260306000037", "공시열람")</f>
        <v/>
      </c>
    </row>
    <row r="3325">
      <c r="A3325" s="2" t="inlineStr">
        <is>
          <t>2026-03-06</t>
        </is>
      </c>
      <c r="B3325" s="3" t="inlineStr">
        <is>
          <t>미래에셋증권</t>
        </is>
      </c>
      <c r="C3325" s="2" t="inlineStr">
        <is>
          <t>코스피</t>
        </is>
      </c>
      <c r="D3325" s="2" t="inlineStr">
        <is>
          <t>006800</t>
        </is>
      </c>
      <c r="E3325" s="3" t="inlineStr">
        <is>
          <t>임원ㆍ주요주주특정증권등소유상황보고서</t>
        </is>
      </c>
      <c r="F3325" s="3" t="inlineStr">
        <is>
          <t>박숙경</t>
        </is>
      </c>
      <c r="G3325" s="2" t="inlineStr">
        <is>
          <t>20260306000034</t>
        </is>
      </c>
      <c r="H3325" s="8">
        <f>HYPERLINK("https://dart.fss.or.kr/dsaf001/main.do?rcpNo=20260306000034", "공시열람")</f>
        <v/>
      </c>
    </row>
    <row r="3326">
      <c r="A3326" s="2" t="inlineStr">
        <is>
          <t>2026-03-06</t>
        </is>
      </c>
      <c r="B3326" s="3" t="inlineStr">
        <is>
          <t>두산에너빌리티</t>
        </is>
      </c>
      <c r="C3326" s="2" t="inlineStr">
        <is>
          <t>코스피</t>
        </is>
      </c>
      <c r="D3326" s="2" t="inlineStr">
        <is>
          <t>034020</t>
        </is>
      </c>
      <c r="E3326" s="3" t="inlineStr">
        <is>
          <t>임원ㆍ주요주주특정증권등소유상황보고서</t>
        </is>
      </c>
      <c r="F3326" s="3" t="inlineStr">
        <is>
          <t>박종연</t>
        </is>
      </c>
      <c r="G3326" s="2" t="inlineStr">
        <is>
          <t>20260306000026</t>
        </is>
      </c>
      <c r="H3326" s="8">
        <f>HYPERLINK("https://dart.fss.or.kr/dsaf001/main.do?rcpNo=20260306000026", "공시열람")</f>
        <v/>
      </c>
    </row>
    <row r="3327">
      <c r="A3327" s="2" t="inlineStr">
        <is>
          <t>2026-03-06</t>
        </is>
      </c>
      <c r="B3327" s="3" t="inlineStr">
        <is>
          <t>미래에셋증권</t>
        </is>
      </c>
      <c r="C3327" s="2" t="inlineStr">
        <is>
          <t>코스피</t>
        </is>
      </c>
      <c r="D3327" s="2" t="inlineStr">
        <is>
          <t>006800</t>
        </is>
      </c>
      <c r="E3327" s="3" t="inlineStr">
        <is>
          <t>임원ㆍ주요주주특정증권등소유상황보고서</t>
        </is>
      </c>
      <c r="F3327" s="3" t="inlineStr">
        <is>
          <t>박건엽</t>
        </is>
      </c>
      <c r="G3327" s="2" t="inlineStr">
        <is>
          <t>20260306000025</t>
        </is>
      </c>
      <c r="H3327" s="8">
        <f>HYPERLINK("https://dart.fss.or.kr/dsaf001/main.do?rcpNo=20260306000025", "공시열람")</f>
        <v/>
      </c>
    </row>
    <row r="3328">
      <c r="A3328" s="2" t="inlineStr">
        <is>
          <t>2026-03-06</t>
        </is>
      </c>
      <c r="B3328" s="3" t="inlineStr">
        <is>
          <t>키움제10호스팩</t>
        </is>
      </c>
      <c r="C3328" s="2" t="inlineStr">
        <is>
          <t>코스닥</t>
        </is>
      </c>
      <c r="D3328" s="2" t="inlineStr">
        <is>
          <t>487720</t>
        </is>
      </c>
      <c r="E3328" s="3" t="inlineStr">
        <is>
          <t>의결권대리행사권유참고서류</t>
        </is>
      </c>
      <c r="F3328" s="3" t="inlineStr">
        <is>
          <t>키움제10호스팩</t>
        </is>
      </c>
      <c r="G3328" s="2" t="inlineStr">
        <is>
          <t>20260306000024</t>
        </is>
      </c>
      <c r="H3328" s="8">
        <f>HYPERLINK("https://dart.fss.or.kr/dsaf001/main.do?rcpNo=20260306000024", "공시열람")</f>
        <v/>
      </c>
    </row>
    <row r="3329">
      <c r="A3329" s="2" t="inlineStr">
        <is>
          <t>2026-03-06</t>
        </is>
      </c>
      <c r="B3329" s="3" t="inlineStr">
        <is>
          <t>두산에너빌리티</t>
        </is>
      </c>
      <c r="C3329" s="2" t="inlineStr">
        <is>
          <t>코스피</t>
        </is>
      </c>
      <c r="D3329" s="2" t="inlineStr">
        <is>
          <t>034020</t>
        </is>
      </c>
      <c r="E3329" s="3" t="inlineStr">
        <is>
          <t>임원ㆍ주요주주특정증권등소유상황보고서</t>
        </is>
      </c>
      <c r="F3329" s="3" t="inlineStr">
        <is>
          <t>박영길</t>
        </is>
      </c>
      <c r="G3329" s="2" t="inlineStr">
        <is>
          <t>20260306000022</t>
        </is>
      </c>
      <c r="H3329" s="8">
        <f>HYPERLINK("https://dart.fss.or.kr/dsaf001/main.do?rcpNo=20260306000022", "공시열람")</f>
        <v/>
      </c>
    </row>
    <row r="3330">
      <c r="A3330" s="2" t="inlineStr">
        <is>
          <t>2026-03-06</t>
        </is>
      </c>
      <c r="B3330" s="3" t="inlineStr">
        <is>
          <t>메디아나</t>
        </is>
      </c>
      <c r="C3330" s="2" t="inlineStr">
        <is>
          <t>코스닥</t>
        </is>
      </c>
      <c r="D3330" s="2" t="inlineStr">
        <is>
          <t>041920</t>
        </is>
      </c>
      <c r="E3330" s="3" t="inlineStr">
        <is>
          <t xml:space="preserve">기업설명회(IR)개최              </t>
        </is>
      </c>
      <c r="F3330" s="3" t="inlineStr">
        <is>
          <t>메디아나</t>
        </is>
      </c>
      <c r="G3330" s="2" t="inlineStr">
        <is>
          <t>20260306900170</t>
        </is>
      </c>
      <c r="H3330" s="8">
        <f>HYPERLINK("https://dart.fss.or.kr/dsaf001/main.do?rcpNo=20260306900170", "공시열람")</f>
        <v/>
      </c>
    </row>
    <row r="3331">
      <c r="A3331" s="2" t="inlineStr">
        <is>
          <t>2026-03-06</t>
        </is>
      </c>
      <c r="B3331" s="3" t="inlineStr">
        <is>
          <t>두산에너빌리티</t>
        </is>
      </c>
      <c r="C3331" s="2" t="inlineStr">
        <is>
          <t>코스피</t>
        </is>
      </c>
      <c r="D3331" s="2" t="inlineStr">
        <is>
          <t>034020</t>
        </is>
      </c>
      <c r="E3331" s="3" t="inlineStr">
        <is>
          <t>임원ㆍ주요주주특정증권등소유상황보고서</t>
        </is>
      </c>
      <c r="F3331" s="3" t="inlineStr">
        <is>
          <t>류제욱</t>
        </is>
      </c>
      <c r="G3331" s="2" t="inlineStr">
        <is>
          <t>20260306000021</t>
        </is>
      </c>
      <c r="H3331" s="8">
        <f>HYPERLINK("https://dart.fss.or.kr/dsaf001/main.do?rcpNo=20260306000021", "공시열람")</f>
        <v/>
      </c>
    </row>
    <row r="3332">
      <c r="A3332" s="2" t="inlineStr">
        <is>
          <t>2026-03-06</t>
        </is>
      </c>
      <c r="B3332" s="3" t="inlineStr">
        <is>
          <t>미래에셋증권</t>
        </is>
      </c>
      <c r="C3332" s="2" t="inlineStr">
        <is>
          <t>코스피</t>
        </is>
      </c>
      <c r="D3332" s="2" t="inlineStr">
        <is>
          <t>006800</t>
        </is>
      </c>
      <c r="E3332" s="3" t="inlineStr">
        <is>
          <t>임원ㆍ주요주주특정증권등소유상황보고서</t>
        </is>
      </c>
      <c r="F3332" s="3" t="inlineStr">
        <is>
          <t>강길환</t>
        </is>
      </c>
      <c r="G3332" s="2" t="inlineStr">
        <is>
          <t>20260306000019</t>
        </is>
      </c>
      <c r="H3332" s="8">
        <f>HYPERLINK("https://dart.fss.or.kr/dsaf001/main.do?rcpNo=20260306000019", "공시열람")</f>
        <v/>
      </c>
    </row>
    <row r="3333">
      <c r="A3333" s="2" t="inlineStr">
        <is>
          <t>2026-03-06</t>
        </is>
      </c>
      <c r="B3333" s="3" t="inlineStr">
        <is>
          <t>키움증권</t>
        </is>
      </c>
      <c r="C3333" s="2" t="inlineStr">
        <is>
          <t>코스피</t>
        </is>
      </c>
      <c r="D3333" s="2" t="inlineStr">
        <is>
          <t>039490</t>
        </is>
      </c>
      <c r="E3333" s="3" t="inlineStr">
        <is>
          <t>증권발행실적보고서</t>
        </is>
      </c>
      <c r="F3333" s="3" t="inlineStr">
        <is>
          <t>키움증권</t>
        </is>
      </c>
      <c r="G3333" s="2" t="inlineStr">
        <is>
          <t>20260306000018</t>
        </is>
      </c>
      <c r="H3333" s="8">
        <f>HYPERLINK("https://dart.fss.or.kr/dsaf001/main.do?rcpNo=20260306000018", "공시열람")</f>
        <v/>
      </c>
    </row>
    <row r="3334">
      <c r="A3334" s="2" t="inlineStr">
        <is>
          <t>2026-03-06</t>
        </is>
      </c>
      <c r="B3334" s="3" t="inlineStr">
        <is>
          <t>미래에셋증권</t>
        </is>
      </c>
      <c r="C3334" s="2" t="inlineStr">
        <is>
          <t>코스피</t>
        </is>
      </c>
      <c r="D3334" s="2" t="inlineStr">
        <is>
          <t>006800</t>
        </is>
      </c>
      <c r="E3334" s="3" t="inlineStr">
        <is>
          <t>임원ㆍ주요주주특정증권등소유상황보고서</t>
        </is>
      </c>
      <c r="F3334" s="3" t="inlineStr">
        <is>
          <t>김현욱</t>
        </is>
      </c>
      <c r="G3334" s="2" t="inlineStr">
        <is>
          <t>20260306000015</t>
        </is>
      </c>
      <c r="H3334" s="8">
        <f>HYPERLINK("https://dart.fss.or.kr/dsaf001/main.do?rcpNo=20260306000015", "공시열람")</f>
        <v/>
      </c>
    </row>
    <row r="3335">
      <c r="A3335" s="2" t="inlineStr">
        <is>
          <t>2026-03-06</t>
        </is>
      </c>
      <c r="B3335" s="3" t="inlineStr">
        <is>
          <t>유안타증권</t>
        </is>
      </c>
      <c r="C3335" s="2" t="inlineStr">
        <is>
          <t>코스피</t>
        </is>
      </c>
      <c r="D3335" s="2" t="inlineStr">
        <is>
          <t>003470</t>
        </is>
      </c>
      <c r="E3335" s="3" t="inlineStr">
        <is>
          <t>증권발행실적보고서</t>
        </is>
      </c>
      <c r="F3335" s="3" t="inlineStr">
        <is>
          <t>유안타증권</t>
        </is>
      </c>
      <c r="G3335" s="2" t="inlineStr">
        <is>
          <t>20260306000014</t>
        </is>
      </c>
      <c r="H3335" s="8">
        <f>HYPERLINK("https://dart.fss.or.kr/dsaf001/main.do?rcpNo=20260306000014", "공시열람")</f>
        <v/>
      </c>
    </row>
    <row r="3336">
      <c r="A3336" s="2" t="inlineStr">
        <is>
          <t>2026-03-06</t>
        </is>
      </c>
      <c r="B3336" s="3" t="inlineStr">
        <is>
          <t>한화솔루션</t>
        </is>
      </c>
      <c r="C3336" s="2" t="inlineStr">
        <is>
          <t>코스피</t>
        </is>
      </c>
      <c r="D3336" s="2" t="inlineStr">
        <is>
          <t>009830</t>
        </is>
      </c>
      <c r="E3336" s="3" t="inlineStr">
        <is>
          <t>[기재정정]의결권대리행사권유참고서류</t>
        </is>
      </c>
      <c r="F3336" s="3" t="inlineStr">
        <is>
          <t>한화솔루션</t>
        </is>
      </c>
      <c r="G3336" s="2" t="inlineStr">
        <is>
          <t>20260306000013</t>
        </is>
      </c>
      <c r="H3336" s="8">
        <f>HYPERLINK("https://dart.fss.or.kr/dsaf001/main.do?rcpNo=20260306000013", "공시열람")</f>
        <v/>
      </c>
    </row>
    <row r="3337">
      <c r="A3337" s="2" t="inlineStr">
        <is>
          <t>2026-03-06</t>
        </is>
      </c>
      <c r="B3337" s="3" t="inlineStr">
        <is>
          <t>미래에셋증권</t>
        </is>
      </c>
      <c r="C3337" s="2" t="inlineStr">
        <is>
          <t>코스피</t>
        </is>
      </c>
      <c r="D3337" s="2" t="inlineStr">
        <is>
          <t>006800</t>
        </is>
      </c>
      <c r="E3337" s="3" t="inlineStr">
        <is>
          <t>임원ㆍ주요주주특정증권등소유상황보고서</t>
        </is>
      </c>
      <c r="F3337" s="3" t="inlineStr">
        <is>
          <t>김지혜</t>
        </is>
      </c>
      <c r="G3337" s="2" t="inlineStr">
        <is>
          <t>20260306000012</t>
        </is>
      </c>
      <c r="H3337" s="8">
        <f>HYPERLINK("https://dart.fss.or.kr/dsaf001/main.do?rcpNo=20260306000012", "공시열람")</f>
        <v/>
      </c>
    </row>
    <row r="3338">
      <c r="A3338" s="2" t="inlineStr">
        <is>
          <t>2026-03-06</t>
        </is>
      </c>
      <c r="B3338" s="3" t="inlineStr">
        <is>
          <t>SK텔레콤</t>
        </is>
      </c>
      <c r="C3338" s="2" t="inlineStr">
        <is>
          <t>코스피</t>
        </is>
      </c>
      <c r="D3338" s="2" t="inlineStr">
        <is>
          <t>017670</t>
        </is>
      </c>
      <c r="E3338" s="3" t="inlineStr">
        <is>
          <t>임원ㆍ주요주주특정증권등소유상황보고서</t>
        </is>
      </c>
      <c r="F3338" s="3" t="inlineStr">
        <is>
          <t>김창보</t>
        </is>
      </c>
      <c r="G3338" s="2" t="inlineStr">
        <is>
          <t>20260306000010</t>
        </is>
      </c>
      <c r="H3338" s="8">
        <f>HYPERLINK("https://dart.fss.or.kr/dsaf001/main.do?rcpNo=20260306000010", "공시열람")</f>
        <v/>
      </c>
    </row>
    <row r="3339">
      <c r="A3339" s="2" t="inlineStr">
        <is>
          <t>2026-03-06</t>
        </is>
      </c>
      <c r="B3339" s="3" t="inlineStr">
        <is>
          <t>세아홀딩스</t>
        </is>
      </c>
      <c r="C3339" s="2" t="inlineStr">
        <is>
          <t>코스피</t>
        </is>
      </c>
      <c r="D3339" s="2" t="inlineStr">
        <is>
          <t>058650</t>
        </is>
      </c>
      <c r="E3339" s="3" t="inlineStr">
        <is>
          <t>투자설명서</t>
        </is>
      </c>
      <c r="F3339" s="3" t="inlineStr">
        <is>
          <t>세아홀딩스</t>
        </is>
      </c>
      <c r="G3339" s="2" t="inlineStr">
        <is>
          <t>20260306000009</t>
        </is>
      </c>
      <c r="H3339" s="8">
        <f>HYPERLINK("https://dart.fss.or.kr/dsaf001/main.do?rcpNo=20260306000009", "공시열람")</f>
        <v/>
      </c>
    </row>
    <row r="3340">
      <c r="A3340" s="2" t="inlineStr">
        <is>
          <t>2026-03-06</t>
        </is>
      </c>
      <c r="B3340" s="3" t="inlineStr">
        <is>
          <t>한솔케미칼</t>
        </is>
      </c>
      <c r="C3340" s="2" t="inlineStr">
        <is>
          <t>코스피</t>
        </is>
      </c>
      <c r="D3340" s="2" t="inlineStr">
        <is>
          <t>014680</t>
        </is>
      </c>
      <c r="E3340" s="3" t="inlineStr">
        <is>
          <t>투자설명서</t>
        </is>
      </c>
      <c r="F3340" s="3" t="inlineStr">
        <is>
          <t>한솔케미칼</t>
        </is>
      </c>
      <c r="G3340" s="2" t="inlineStr">
        <is>
          <t>20260306000008</t>
        </is>
      </c>
      <c r="H3340" s="8">
        <f>HYPERLINK("https://dart.fss.or.kr/dsaf001/main.do?rcpNo=20260306000008", "공시열람")</f>
        <v/>
      </c>
    </row>
    <row r="3341">
      <c r="A3341" s="2" t="inlineStr">
        <is>
          <t>2026-03-06</t>
        </is>
      </c>
      <c r="B3341" s="3" t="inlineStr">
        <is>
          <t>에이디테크놀로지</t>
        </is>
      </c>
      <c r="C3341" s="2" t="inlineStr">
        <is>
          <t>코스닥</t>
        </is>
      </c>
      <c r="D3341" s="2" t="inlineStr">
        <is>
          <t>200710</t>
        </is>
      </c>
      <c r="E3341" s="3" t="inlineStr">
        <is>
          <t xml:space="preserve">[첨부정정]기업설명회(IR)개최              </t>
        </is>
      </c>
      <c r="F3341" s="3" t="inlineStr">
        <is>
          <t>에이디테크놀로지</t>
        </is>
      </c>
      <c r="G3341" s="2" t="inlineStr">
        <is>
          <t>20260306900101</t>
        </is>
      </c>
      <c r="H3341" s="8">
        <f>HYPERLINK("https://dart.fss.or.kr/dsaf001/main.do?rcpNo=20260306900101", "공시열람")</f>
        <v/>
      </c>
    </row>
    <row r="3342">
      <c r="A3342" s="2" t="inlineStr">
        <is>
          <t>2026-03-06</t>
        </is>
      </c>
      <c r="B3342" s="3" t="inlineStr">
        <is>
          <t>SK이터닉스</t>
        </is>
      </c>
      <c r="C3342" s="2" t="inlineStr">
        <is>
          <t>코스피</t>
        </is>
      </c>
      <c r="D3342" s="2" t="inlineStr">
        <is>
          <t>475150</t>
        </is>
      </c>
      <c r="E3342" s="3" t="inlineStr">
        <is>
          <t xml:space="preserve">투자판단관련주요경영사항              </t>
        </is>
      </c>
      <c r="F3342" s="3" t="inlineStr">
        <is>
          <t>SK이터닉스</t>
        </is>
      </c>
      <c r="G3342" s="2" t="inlineStr">
        <is>
          <t>20260306800025</t>
        </is>
      </c>
      <c r="H3342" s="8">
        <f>HYPERLINK("https://dart.fss.or.kr/dsaf001/main.do?rcpNo=20260306800025", "공시열람")</f>
        <v/>
      </c>
    </row>
    <row r="3343">
      <c r="A3343" s="2" t="inlineStr">
        <is>
          <t>2026-03-06</t>
        </is>
      </c>
      <c r="B3343" s="3" t="inlineStr">
        <is>
          <t>SK디스커버리</t>
        </is>
      </c>
      <c r="C3343" s="2" t="inlineStr">
        <is>
          <t>코스피</t>
        </is>
      </c>
      <c r="D3343" s="2" t="inlineStr">
        <is>
          <t>006120</t>
        </is>
      </c>
      <c r="E3343" s="3" t="inlineStr">
        <is>
          <t xml:space="preserve">수시공시의무관련사항(공정공시)              </t>
        </is>
      </c>
      <c r="F3343" s="3" t="inlineStr">
        <is>
          <t>SK디스커버리</t>
        </is>
      </c>
      <c r="G3343" s="2" t="inlineStr">
        <is>
          <t>20260306800024</t>
        </is>
      </c>
      <c r="H3343" s="8">
        <f>HYPERLINK("https://dart.fss.or.kr/dsaf001/main.do?rcpNo=20260306800024", "공시열람")</f>
        <v/>
      </c>
    </row>
    <row r="3344">
      <c r="A3344" s="2" t="inlineStr">
        <is>
          <t>2026-03-06</t>
        </is>
      </c>
      <c r="B3344" s="3" t="inlineStr">
        <is>
          <t>SK디스커버리</t>
        </is>
      </c>
      <c r="C3344" s="2" t="inlineStr">
        <is>
          <t>코스피</t>
        </is>
      </c>
      <c r="D3344" s="2" t="inlineStr">
        <is>
          <t>006120</t>
        </is>
      </c>
      <c r="E3344" s="3" t="inlineStr">
        <is>
          <t xml:space="preserve">타법인주식및출자증권처분결정              </t>
        </is>
      </c>
      <c r="F3344" s="3" t="inlineStr">
        <is>
          <t>SK디스커버리</t>
        </is>
      </c>
      <c r="G3344" s="2" t="inlineStr">
        <is>
          <t>20260306800013</t>
        </is>
      </c>
      <c r="H3344" s="8">
        <f>HYPERLINK("https://dart.fss.or.kr/dsaf001/main.do?rcpNo=20260306800013", "공시열람")</f>
        <v/>
      </c>
    </row>
    <row r="3345">
      <c r="A3345" s="2" t="inlineStr">
        <is>
          <t>2026-03-06</t>
        </is>
      </c>
      <c r="B3345" s="3" t="inlineStr">
        <is>
          <t>LG에너지솔루션</t>
        </is>
      </c>
      <c r="C3345" s="2" t="inlineStr">
        <is>
          <t>코스피</t>
        </is>
      </c>
      <c r="D3345" s="2" t="inlineStr">
        <is>
          <t>373220</t>
        </is>
      </c>
      <c r="E3345" s="3" t="inlineStr">
        <is>
          <t>임원ㆍ주요주주특정증권등소유상황보고서</t>
        </is>
      </c>
      <c r="F3345" s="3" t="inlineStr">
        <is>
          <t>김낙진</t>
        </is>
      </c>
      <c r="G3345" s="2" t="inlineStr">
        <is>
          <t>20260306000001</t>
        </is>
      </c>
      <c r="H3345" s="8">
        <f>HYPERLINK("https://dart.fss.or.kr/dsaf001/main.do?rcpNo=20260306000001", "공시열람")</f>
        <v/>
      </c>
    </row>
    <row r="3346">
      <c r="A3346" s="2" t="inlineStr">
        <is>
          <t>2026-03-06 (정정: 2026-03-09)</t>
        </is>
      </c>
      <c r="B3346" s="3" t="inlineStr">
        <is>
          <t>KB스타리츠</t>
        </is>
      </c>
      <c r="C3346" s="2" t="inlineStr">
        <is>
          <t>코스피</t>
        </is>
      </c>
      <c r="D3346" s="2" t="inlineStr">
        <is>
          <t>432320</t>
        </is>
      </c>
      <c r="E3346" s="3" t="inlineStr">
        <is>
          <t>효력발생안내( 2026.3.3. 제출 증권신고서(집합투자증권-회사형) ) (정정: 20260309)</t>
        </is>
      </c>
      <c r="F3346" s="3" t="inlineStr">
        <is>
          <t>금융감독원</t>
        </is>
      </c>
      <c r="G3346" s="2" t="inlineStr">
        <is>
          <t>20260309001555</t>
        </is>
      </c>
      <c r="H3346" s="8">
        <f>HYPERLINK("https://dart.fss.or.kr/dsaf001/main.do?rcpNo=20260309001555", "공시열람")</f>
        <v/>
      </c>
    </row>
    <row r="3347">
      <c r="A3347" s="2" t="inlineStr">
        <is>
          <t>2026-03-06</t>
        </is>
      </c>
      <c r="B3347" s="3" t="inlineStr">
        <is>
          <t>HLB이노베이션</t>
        </is>
      </c>
      <c r="C3347" s="2" t="inlineStr">
        <is>
          <t>코스닥</t>
        </is>
      </c>
      <c r="D3347" s="2" t="inlineStr">
        <is>
          <t>024850</t>
        </is>
      </c>
      <c r="E3347" s="3" t="inlineStr">
        <is>
          <t>의결권대리행사권유참고서류</t>
        </is>
      </c>
      <c r="F3347" s="3" t="inlineStr">
        <is>
          <t>HLB이노베이션</t>
        </is>
      </c>
      <c r="G3347" s="2" t="inlineStr">
        <is>
          <t>20260305001664</t>
        </is>
      </c>
      <c r="H3347" s="8">
        <f>HYPERLINK("https://dart.fss.or.kr/dsaf001/main.do?rcpNo=20260305001664", "공시열람")</f>
        <v/>
      </c>
    </row>
    <row r="3348">
      <c r="A3348" s="2" t="inlineStr">
        <is>
          <t>2026-03-06</t>
        </is>
      </c>
      <c r="B3348" s="3" t="inlineStr">
        <is>
          <t>두산에너빌리티</t>
        </is>
      </c>
      <c r="C3348" s="2" t="inlineStr">
        <is>
          <t>코스피</t>
        </is>
      </c>
      <c r="D3348" s="2" t="inlineStr">
        <is>
          <t>034020</t>
        </is>
      </c>
      <c r="E3348" s="3" t="inlineStr">
        <is>
          <t>임원ㆍ주요주주특정증권등소유상황보고서</t>
        </is>
      </c>
      <c r="F3348" s="3" t="inlineStr">
        <is>
          <t>박승민</t>
        </is>
      </c>
      <c r="G3348" s="2" t="inlineStr">
        <is>
          <t>20260305001674</t>
        </is>
      </c>
      <c r="H3348" s="8">
        <f>HYPERLINK("https://dart.fss.or.kr/dsaf001/main.do?rcpNo=20260305001674", "공시열람")</f>
        <v/>
      </c>
    </row>
    <row r="3349">
      <c r="A3349" s="2" t="inlineStr">
        <is>
          <t>2026-03-06</t>
        </is>
      </c>
      <c r="B3349" s="3" t="inlineStr">
        <is>
          <t>두산에너빌리티</t>
        </is>
      </c>
      <c r="C3349" s="2" t="inlineStr">
        <is>
          <t>코스피</t>
        </is>
      </c>
      <c r="D3349" s="2" t="inlineStr">
        <is>
          <t>034020</t>
        </is>
      </c>
      <c r="E3349" s="3" t="inlineStr">
        <is>
          <t>임원ㆍ주요주주특정증권등소유상황보고서</t>
        </is>
      </c>
      <c r="F3349" s="3" t="inlineStr">
        <is>
          <t>김종봉</t>
        </is>
      </c>
      <c r="G3349" s="2" t="inlineStr">
        <is>
          <t>20260305001651</t>
        </is>
      </c>
      <c r="H3349" s="8">
        <f>HYPERLINK("https://dart.fss.or.kr/dsaf001/main.do?rcpNo=20260305001651", "공시열람")</f>
        <v/>
      </c>
    </row>
    <row r="3350">
      <c r="A3350" s="2" t="inlineStr">
        <is>
          <t>2026-03-06</t>
        </is>
      </c>
      <c r="B3350" s="3" t="inlineStr">
        <is>
          <t>두산에너빌리티</t>
        </is>
      </c>
      <c r="C3350" s="2" t="inlineStr">
        <is>
          <t>코스피</t>
        </is>
      </c>
      <c r="D3350" s="2" t="inlineStr">
        <is>
          <t>034020</t>
        </is>
      </c>
      <c r="E3350" s="3" t="inlineStr">
        <is>
          <t>임원ㆍ주요주주특정증권등소유상황보고서</t>
        </is>
      </c>
      <c r="F3350" s="3" t="inlineStr">
        <is>
          <t>김동길</t>
        </is>
      </c>
      <c r="G3350" s="2" t="inlineStr">
        <is>
          <t>20260305001648</t>
        </is>
      </c>
      <c r="H3350" s="8">
        <f>HYPERLINK("https://dart.fss.or.kr/dsaf001/main.do?rcpNo=20260305001648", "공시열람")</f>
        <v/>
      </c>
    </row>
    <row r="3351">
      <c r="A3351" s="2" t="inlineStr">
        <is>
          <t>2026-03-06</t>
        </is>
      </c>
      <c r="B3351" s="3" t="inlineStr">
        <is>
          <t>두산에너빌리티</t>
        </is>
      </c>
      <c r="C3351" s="2" t="inlineStr">
        <is>
          <t>코스피</t>
        </is>
      </c>
      <c r="D3351" s="2" t="inlineStr">
        <is>
          <t>034020</t>
        </is>
      </c>
      <c r="E3351" s="3" t="inlineStr">
        <is>
          <t>임원ㆍ주요주주특정증권등소유상황보고서</t>
        </is>
      </c>
      <c r="F3351" s="3" t="inlineStr">
        <is>
          <t>김덕수</t>
        </is>
      </c>
      <c r="G3351" s="2" t="inlineStr">
        <is>
          <t>20260305001646</t>
        </is>
      </c>
      <c r="H3351" s="8">
        <f>HYPERLINK("https://dart.fss.or.kr/dsaf001/main.do?rcpNo=20260305001646", "공시열람")</f>
        <v/>
      </c>
    </row>
    <row r="3352">
      <c r="A3352" s="2" t="inlineStr">
        <is>
          <t>2026-03-06</t>
        </is>
      </c>
      <c r="B3352" s="3" t="inlineStr">
        <is>
          <t>미래에셋증권</t>
        </is>
      </c>
      <c r="C3352" s="2" t="inlineStr">
        <is>
          <t>코스피</t>
        </is>
      </c>
      <c r="D3352" s="2" t="inlineStr">
        <is>
          <t>006800</t>
        </is>
      </c>
      <c r="E3352" s="3" t="inlineStr">
        <is>
          <t>임원ㆍ주요주주특정증권등소유상황보고서</t>
        </is>
      </c>
      <c r="F3352" s="3" t="inlineStr">
        <is>
          <t>이승목</t>
        </is>
      </c>
      <c r="G3352" s="2" t="inlineStr">
        <is>
          <t>20260305001670</t>
        </is>
      </c>
      <c r="H3352" s="8">
        <f>HYPERLINK("https://dart.fss.or.kr/dsaf001/main.do?rcpNo=20260305001670", "공시열람")</f>
        <v/>
      </c>
    </row>
    <row r="3353">
      <c r="A3353" s="2" t="inlineStr">
        <is>
          <t>2026-03-06</t>
        </is>
      </c>
      <c r="B3353" s="3" t="inlineStr">
        <is>
          <t>미래에셋증권</t>
        </is>
      </c>
      <c r="C3353" s="2" t="inlineStr">
        <is>
          <t>코스피</t>
        </is>
      </c>
      <c r="D3353" s="2" t="inlineStr">
        <is>
          <t>006800</t>
        </is>
      </c>
      <c r="E3353" s="3" t="inlineStr">
        <is>
          <t>임원ㆍ주요주주특정증권등소유상황보고서</t>
        </is>
      </c>
      <c r="F3353" s="3" t="inlineStr">
        <is>
          <t>이상건</t>
        </is>
      </c>
      <c r="G3353" s="2" t="inlineStr">
        <is>
          <t>20260305001667</t>
        </is>
      </c>
      <c r="H3353" s="8">
        <f>HYPERLINK("https://dart.fss.or.kr/dsaf001/main.do?rcpNo=20260305001667", "공시열람")</f>
        <v/>
      </c>
    </row>
    <row r="3354">
      <c r="A3354" s="2" t="inlineStr">
        <is>
          <t>2026-03-06</t>
        </is>
      </c>
      <c r="B3354" s="3" t="inlineStr">
        <is>
          <t>미래에셋증권</t>
        </is>
      </c>
      <c r="C3354" s="2" t="inlineStr">
        <is>
          <t>코스피</t>
        </is>
      </c>
      <c r="D3354" s="2" t="inlineStr">
        <is>
          <t>006800</t>
        </is>
      </c>
      <c r="E3354" s="3" t="inlineStr">
        <is>
          <t>임원ㆍ주요주주특정증권등소유상황보고서</t>
        </is>
      </c>
      <c r="F3354" s="3" t="inlineStr">
        <is>
          <t>윤한근</t>
        </is>
      </c>
      <c r="G3354" s="2" t="inlineStr">
        <is>
          <t>20260305001663</t>
        </is>
      </c>
      <c r="H3354" s="8">
        <f>HYPERLINK("https://dart.fss.or.kr/dsaf001/main.do?rcpNo=20260305001663", "공시열람")</f>
        <v/>
      </c>
    </row>
    <row r="3355">
      <c r="A3355" s="2" t="inlineStr">
        <is>
          <t>2026-03-06</t>
        </is>
      </c>
      <c r="B3355" s="3" t="inlineStr">
        <is>
          <t>미래에셋증권</t>
        </is>
      </c>
      <c r="C3355" s="2" t="inlineStr">
        <is>
          <t>코스피</t>
        </is>
      </c>
      <c r="D3355" s="2" t="inlineStr">
        <is>
          <t>006800</t>
        </is>
      </c>
      <c r="E3355" s="3" t="inlineStr">
        <is>
          <t>임원ㆍ주요주주특정증권등소유상황보고서</t>
        </is>
      </c>
      <c r="F3355" s="3" t="inlineStr">
        <is>
          <t>박나현</t>
        </is>
      </c>
      <c r="G3355" s="2" t="inlineStr">
        <is>
          <t>20260305001661</t>
        </is>
      </c>
      <c r="H3355" s="8">
        <f>HYPERLINK("https://dart.fss.or.kr/dsaf001/main.do?rcpNo=20260305001661", "공시열람")</f>
        <v/>
      </c>
    </row>
    <row r="3356">
      <c r="A3356" s="2" t="inlineStr">
        <is>
          <t>2026-03-06</t>
        </is>
      </c>
      <c r="B3356" s="3" t="inlineStr">
        <is>
          <t>미래에셋증권</t>
        </is>
      </c>
      <c r="C3356" s="2" t="inlineStr">
        <is>
          <t>코스피</t>
        </is>
      </c>
      <c r="D3356" s="2" t="inlineStr">
        <is>
          <t>006800</t>
        </is>
      </c>
      <c r="E3356" s="3" t="inlineStr">
        <is>
          <t>임원ㆍ주요주주특정증권등소유상황보고서</t>
        </is>
      </c>
      <c r="F3356" s="3" t="inlineStr">
        <is>
          <t>유찬</t>
        </is>
      </c>
      <c r="G3356" s="2" t="inlineStr">
        <is>
          <t>20260305001652</t>
        </is>
      </c>
      <c r="H3356" s="8">
        <f>HYPERLINK("https://dart.fss.or.kr/dsaf001/main.do?rcpNo=20260305001652", "공시열람")</f>
        <v/>
      </c>
    </row>
    <row r="3357">
      <c r="A3357" s="2" t="inlineStr">
        <is>
          <t>2026-03-06</t>
        </is>
      </c>
      <c r="B3357" s="3" t="inlineStr">
        <is>
          <t>미래에셋증권</t>
        </is>
      </c>
      <c r="C3357" s="2" t="inlineStr">
        <is>
          <t>코스피</t>
        </is>
      </c>
      <c r="D3357" s="2" t="inlineStr">
        <is>
          <t>006800</t>
        </is>
      </c>
      <c r="E3357" s="3" t="inlineStr">
        <is>
          <t>임원ㆍ주요주주특정증권등소유상황보고서</t>
        </is>
      </c>
      <c r="F3357" s="3" t="inlineStr">
        <is>
          <t>박광청</t>
        </is>
      </c>
      <c r="G3357" s="2" t="inlineStr">
        <is>
          <t>20260305001644</t>
        </is>
      </c>
      <c r="H3357" s="8">
        <f>HYPERLINK("https://dart.fss.or.kr/dsaf001/main.do?rcpNo=20260305001644", "공시열람")</f>
        <v/>
      </c>
    </row>
    <row r="3358">
      <c r="A3358" s="2" t="inlineStr">
        <is>
          <t>2026-03-06</t>
        </is>
      </c>
      <c r="B3358" s="3" t="inlineStr">
        <is>
          <t>진원생명과학</t>
        </is>
      </c>
      <c r="C3358" s="2" t="inlineStr">
        <is>
          <t>코스피</t>
        </is>
      </c>
      <c r="D3358" s="2" t="inlineStr">
        <is>
          <t>011000</t>
        </is>
      </c>
      <c r="E3358" s="3" t="inlineStr">
        <is>
          <t>주요사항보고서(자기전환사채만기전취득결정)</t>
        </is>
      </c>
      <c r="F3358" s="3" t="inlineStr">
        <is>
          <t>진원생명과학</t>
        </is>
      </c>
      <c r="G3358" s="2" t="inlineStr">
        <is>
          <t>20260305001653</t>
        </is>
      </c>
      <c r="H3358" s="8">
        <f>HYPERLINK("https://dart.fss.or.kr/dsaf001/main.do?rcpNo=20260305001653", "공시열람")</f>
        <v/>
      </c>
    </row>
    <row r="3359">
      <c r="A3359" s="2" t="inlineStr">
        <is>
          <t>2026-03-06</t>
        </is>
      </c>
      <c r="B3359" s="3" t="inlineStr">
        <is>
          <t>크레버스</t>
        </is>
      </c>
      <c r="C3359" s="2" t="inlineStr">
        <is>
          <t>코스닥</t>
        </is>
      </c>
      <c r="D3359" s="2" t="inlineStr">
        <is>
          <t>096240</t>
        </is>
      </c>
      <c r="E3359" s="3" t="inlineStr">
        <is>
          <t>의결권대리행사권유참고서류</t>
        </is>
      </c>
      <c r="F3359" s="3" t="inlineStr">
        <is>
          <t>크레버스</t>
        </is>
      </c>
      <c r="G3359" s="2" t="inlineStr">
        <is>
          <t>20260305001654</t>
        </is>
      </c>
      <c r="H3359" s="8">
        <f>HYPERLINK("https://dart.fss.or.kr/dsaf001/main.do?rcpNo=20260305001654", "공시열람")</f>
        <v/>
      </c>
    </row>
    <row r="3360">
      <c r="A3360" s="2" t="inlineStr">
        <is>
          <t>2026-03-06</t>
        </is>
      </c>
      <c r="B3360" s="3" t="inlineStr">
        <is>
          <t>KD</t>
        </is>
      </c>
      <c r="C3360" s="2" t="inlineStr">
        <is>
          <t>코스닥</t>
        </is>
      </c>
      <c r="D3360" s="2" t="inlineStr">
        <is>
          <t>044180</t>
        </is>
      </c>
      <c r="E3360" s="3" t="inlineStr">
        <is>
          <t>주요사항보고서(회생절차개시신청)</t>
        </is>
      </c>
      <c r="F3360" s="3" t="inlineStr">
        <is>
          <t>KD</t>
        </is>
      </c>
      <c r="G3360" s="2" t="inlineStr">
        <is>
          <t>20260305001649</t>
        </is>
      </c>
      <c r="H3360" s="8">
        <f>HYPERLINK("https://dart.fss.or.kr/dsaf001/main.do?rcpNo=20260305001649", "공시열람")</f>
        <v/>
      </c>
    </row>
    <row r="3361">
      <c r="A3361" s="2" t="inlineStr">
        <is>
          <t>2026-03-09 (정정: 2026-03-09)</t>
        </is>
      </c>
      <c r="B3361" s="3" t="inlineStr">
        <is>
          <t>오아</t>
        </is>
      </c>
      <c r="C3361" s="2" t="inlineStr">
        <is>
          <t>코스닥</t>
        </is>
      </c>
      <c r="D3361" s="2" t="inlineStr">
        <is>
          <t>342870</t>
        </is>
      </c>
      <c r="E3361" s="3" t="inlineStr">
        <is>
          <t>[첨부추가]주요사항보고서(유형자산양수결정) (정정: 20260309)</t>
        </is>
      </c>
      <c r="F3361" s="3" t="inlineStr">
        <is>
          <t>오아</t>
        </is>
      </c>
      <c r="G3361" s="2" t="inlineStr">
        <is>
          <t>20260309001751</t>
        </is>
      </c>
      <c r="H3361" s="8">
        <f>HYPERLINK("https://dart.fss.or.kr/dsaf001/main.do?rcpNo=20260309001751", "공시열람")</f>
        <v/>
      </c>
    </row>
    <row r="3362">
      <c r="A3362" s="2" t="inlineStr">
        <is>
          <t>2026-03-09</t>
        </is>
      </c>
      <c r="B3362" s="3" t="inlineStr">
        <is>
          <t>유에스티</t>
        </is>
      </c>
      <c r="C3362" s="2" t="inlineStr">
        <is>
          <t>코스닥</t>
        </is>
      </c>
      <c r="D3362" s="2" t="inlineStr">
        <is>
          <t>263770</t>
        </is>
      </c>
      <c r="E3362" s="3" t="inlineStr">
        <is>
          <t xml:space="preserve">매출액또는손익구조30%(대규모법인은15%)이상변동              </t>
        </is>
      </c>
      <c r="F3362" s="3" t="inlineStr">
        <is>
          <t>유에스티</t>
        </is>
      </c>
      <c r="G3362" s="2" t="inlineStr">
        <is>
          <t>20260309901654</t>
        </is>
      </c>
      <c r="H3362" s="8">
        <f>HYPERLINK("https://dart.fss.or.kr/dsaf001/main.do?rcpNo=20260309901654", "공시열람")</f>
        <v/>
      </c>
    </row>
    <row r="3363">
      <c r="A3363" s="2" t="inlineStr">
        <is>
          <t>2026-03-09</t>
        </is>
      </c>
      <c r="B3363" s="3" t="inlineStr">
        <is>
          <t>조이시티</t>
        </is>
      </c>
      <c r="C3363" s="2" t="inlineStr">
        <is>
          <t>코스닥</t>
        </is>
      </c>
      <c r="D3363" s="2" t="inlineStr">
        <is>
          <t>067000</t>
        </is>
      </c>
      <c r="E3363" s="3" t="inlineStr">
        <is>
          <t xml:space="preserve">[기재정정]매출액또는손익구조30%(대규모법인은15%)이상변동              </t>
        </is>
      </c>
      <c r="F3363" s="3" t="inlineStr">
        <is>
          <t>조이시티</t>
        </is>
      </c>
      <c r="G3363" s="2" t="inlineStr">
        <is>
          <t>20260309901657</t>
        </is>
      </c>
      <c r="H3363" s="8">
        <f>HYPERLINK("https://dart.fss.or.kr/dsaf001/main.do?rcpNo=20260309901657", "공시열람")</f>
        <v/>
      </c>
    </row>
    <row r="3364">
      <c r="A3364" s="2" t="inlineStr">
        <is>
          <t>2026-03-09 (정정: 2026-03-10)</t>
        </is>
      </c>
      <c r="B3364" s="3" t="inlineStr">
        <is>
          <t>금양</t>
        </is>
      </c>
      <c r="C3364" s="2" t="inlineStr">
        <is>
          <t>코스피</t>
        </is>
      </c>
      <c r="D3364" s="2" t="inlineStr">
        <is>
          <t>001570</t>
        </is>
      </c>
      <c r="E3364" s="3" t="inlineStr">
        <is>
          <t>소송등의제기ㆍ신청(일정금액이상의청구)               (정정: 20260310)</t>
        </is>
      </c>
      <c r="F3364" s="3" t="inlineStr">
        <is>
          <t>금양</t>
        </is>
      </c>
      <c r="G3364" s="2" t="inlineStr">
        <is>
          <t>20260310002231</t>
        </is>
      </c>
      <c r="H3364" s="8">
        <f>HYPERLINK("https://dart.fss.or.kr/dsaf001/main.do?rcpNo=20260310002231", "공시열람")</f>
        <v/>
      </c>
    </row>
    <row r="3365">
      <c r="A3365" s="2" t="inlineStr">
        <is>
          <t>2026-03-09</t>
        </is>
      </c>
      <c r="B3365" s="3" t="inlineStr">
        <is>
          <t>에코마케팅</t>
        </is>
      </c>
      <c r="C3365" s="2" t="inlineStr">
        <is>
          <t>코스닥</t>
        </is>
      </c>
      <c r="D3365" s="2" t="inlineStr">
        <is>
          <t>230360</t>
        </is>
      </c>
      <c r="E3365" s="3" t="inlineStr">
        <is>
          <t xml:space="preserve">기타시장안내(최대주주의의무보유관련)              </t>
        </is>
      </c>
      <c r="F3365" s="3" t="inlineStr">
        <is>
          <t>코스닥시장본부</t>
        </is>
      </c>
      <c r="G3365" s="2" t="inlineStr">
        <is>
          <t>20260309901640</t>
        </is>
      </c>
      <c r="H3365" s="8">
        <f>HYPERLINK("https://dart.fss.or.kr/dsaf001/main.do?rcpNo=20260309901640", "공시열람")</f>
        <v/>
      </c>
    </row>
    <row r="3366">
      <c r="A3366" s="2" t="inlineStr">
        <is>
          <t>2026-03-09</t>
        </is>
      </c>
      <c r="B3366" s="3" t="inlineStr">
        <is>
          <t>대진첨단소재</t>
        </is>
      </c>
      <c r="C3366" s="2" t="inlineStr">
        <is>
          <t>코스닥</t>
        </is>
      </c>
      <c r="D3366" s="2" t="inlineStr">
        <is>
          <t>393970</t>
        </is>
      </c>
      <c r="E3366" s="3" t="inlineStr">
        <is>
          <t xml:space="preserve">횡령ㆍ배임혐의진행사항              </t>
        </is>
      </c>
      <c r="F3366" s="3" t="inlineStr">
        <is>
          <t>대진첨단소재</t>
        </is>
      </c>
      <c r="G3366" s="2" t="inlineStr">
        <is>
          <t>20260309901594</t>
        </is>
      </c>
      <c r="H3366" s="8">
        <f>HYPERLINK("https://dart.fss.or.kr/dsaf001/main.do?rcpNo=20260309901594", "공시열람")</f>
        <v/>
      </c>
    </row>
    <row r="3367">
      <c r="A3367" s="2" t="inlineStr">
        <is>
          <t>2026-03-09</t>
        </is>
      </c>
      <c r="B3367" s="3" t="inlineStr">
        <is>
          <t>SK</t>
        </is>
      </c>
      <c r="C3367" s="2" t="inlineStr">
        <is>
          <t>코스피</t>
        </is>
      </c>
      <c r="D3367" s="2" t="inlineStr">
        <is>
          <t>034730</t>
        </is>
      </c>
      <c r="E3367" s="3" t="inlineStr">
        <is>
          <t xml:space="preserve">감사보고서제출(자회사의 주요경영사항)              </t>
        </is>
      </c>
      <c r="F3367" s="3" t="inlineStr">
        <is>
          <t>SK</t>
        </is>
      </c>
      <c r="G3367" s="2" t="inlineStr">
        <is>
          <t>20260309801589</t>
        </is>
      </c>
      <c r="H3367" s="8">
        <f>HYPERLINK("https://dart.fss.or.kr/dsaf001/main.do?rcpNo=20260309801589", "공시열람")</f>
        <v/>
      </c>
    </row>
    <row r="3368">
      <c r="A3368" s="2" t="inlineStr">
        <is>
          <t>2026-03-09</t>
        </is>
      </c>
      <c r="B3368" s="3" t="inlineStr">
        <is>
          <t>SK</t>
        </is>
      </c>
      <c r="C3368" s="2" t="inlineStr">
        <is>
          <t>코스피</t>
        </is>
      </c>
      <c r="D3368" s="2" t="inlineStr">
        <is>
          <t>034730</t>
        </is>
      </c>
      <c r="E3368" s="3" t="inlineStr">
        <is>
          <t xml:space="preserve">감사보고서제출(자회사의 주요경영사항)              </t>
        </is>
      </c>
      <c r="F3368" s="3" t="inlineStr">
        <is>
          <t>SK</t>
        </is>
      </c>
      <c r="G3368" s="2" t="inlineStr">
        <is>
          <t>20260309801568</t>
        </is>
      </c>
      <c r="H3368" s="8">
        <f>HYPERLINK("https://dart.fss.or.kr/dsaf001/main.do?rcpNo=20260309801568", "공시열람")</f>
        <v/>
      </c>
    </row>
    <row r="3369">
      <c r="A3369" s="2" t="inlineStr">
        <is>
          <t>2026-03-09</t>
        </is>
      </c>
      <c r="B3369" s="3" t="inlineStr">
        <is>
          <t>SK</t>
        </is>
      </c>
      <c r="C3369" s="2" t="inlineStr">
        <is>
          <t>코스피</t>
        </is>
      </c>
      <c r="D3369" s="2" t="inlineStr">
        <is>
          <t>034730</t>
        </is>
      </c>
      <c r="E3369" s="3" t="inlineStr">
        <is>
          <t xml:space="preserve">감사보고서제출(자회사의 주요경영사항)              </t>
        </is>
      </c>
      <c r="F3369" s="3" t="inlineStr">
        <is>
          <t>SK</t>
        </is>
      </c>
      <c r="G3369" s="2" t="inlineStr">
        <is>
          <t>20260309801533</t>
        </is>
      </c>
      <c r="H3369" s="8">
        <f>HYPERLINK("https://dart.fss.or.kr/dsaf001/main.do?rcpNo=20260309801533", "공시열람")</f>
        <v/>
      </c>
    </row>
    <row r="3370">
      <c r="A3370" s="2" t="inlineStr">
        <is>
          <t>2026-03-09 (정정: 2026-03-09)</t>
        </is>
      </c>
      <c r="B3370" s="3" t="inlineStr">
        <is>
          <t>케이씨씨</t>
        </is>
      </c>
      <c r="C3370" s="2" t="inlineStr">
        <is>
          <t>코스피</t>
        </is>
      </c>
      <c r="D3370" s="2" t="inlineStr">
        <is>
          <t>002380</t>
        </is>
      </c>
      <c r="E3370" s="3" t="inlineStr">
        <is>
          <t>수시공시의무관련사항(공정공시)               (정정: 20260309)</t>
        </is>
      </c>
      <c r="F3370" s="3" t="inlineStr">
        <is>
          <t>케이씨씨</t>
        </is>
      </c>
      <c r="G3370" s="2" t="inlineStr">
        <is>
          <t>20260309801513</t>
        </is>
      </c>
      <c r="H3370" s="8">
        <f>HYPERLINK("https://dart.fss.or.kr/dsaf001/main.do?rcpNo=20260309801513", "공시열람")</f>
        <v/>
      </c>
    </row>
    <row r="3371">
      <c r="A3371" s="2" t="inlineStr">
        <is>
          <t>2026-03-09</t>
        </is>
      </c>
      <c r="B3371" s="3" t="inlineStr">
        <is>
          <t>엔에이치스팩32호</t>
        </is>
      </c>
      <c r="C3371" s="2" t="inlineStr">
        <is>
          <t>코스닥</t>
        </is>
      </c>
      <c r="D3371" s="2" t="inlineStr">
        <is>
          <t>0054V0</t>
        </is>
      </c>
      <c r="E3371" s="3" t="inlineStr">
        <is>
          <t xml:space="preserve">감사보고서제출              </t>
        </is>
      </c>
      <c r="F3371" s="3" t="inlineStr">
        <is>
          <t>엔에이치스팩32호</t>
        </is>
      </c>
      <c r="G3371" s="2" t="inlineStr">
        <is>
          <t>20260309901605</t>
        </is>
      </c>
      <c r="H3371" s="8">
        <f>HYPERLINK("https://dart.fss.or.kr/dsaf001/main.do?rcpNo=20260309901605", "공시열람")</f>
        <v/>
      </c>
    </row>
    <row r="3372">
      <c r="A3372" s="2" t="inlineStr">
        <is>
          <t>2026-03-09 (정정: 2026-06-26)</t>
        </is>
      </c>
      <c r="B3372" s="3" t="inlineStr">
        <is>
          <t>KD</t>
        </is>
      </c>
      <c r="C3372" s="2" t="inlineStr">
        <is>
          <t>코스닥</t>
        </is>
      </c>
      <c r="D3372" s="2" t="inlineStr">
        <is>
          <t>044180</t>
        </is>
      </c>
      <c r="E3372" s="3" t="inlineStr">
        <is>
          <t>기타경영사항(자율공시)              (보전처분 및 포괄적 금지명령 신청에 대한 결정) (정정: 20260601) (정정: 20260626)</t>
        </is>
      </c>
      <c r="F3372" s="3" t="inlineStr">
        <is>
          <t>KD</t>
        </is>
      </c>
      <c r="G3372" s="2" t="inlineStr">
        <is>
          <t>20260626900975</t>
        </is>
      </c>
      <c r="H3372" s="8">
        <f>HYPERLINK("https://dart.fss.or.kr/dsaf001/main.do?rcpNo=20260626900975", "공시열람")</f>
        <v/>
      </c>
    </row>
    <row r="3373">
      <c r="A3373" s="2" t="inlineStr">
        <is>
          <t>2026-03-09</t>
        </is>
      </c>
      <c r="B3373" s="3" t="inlineStr">
        <is>
          <t>강원랜드</t>
        </is>
      </c>
      <c r="C3373" s="2" t="inlineStr">
        <is>
          <t>코스피</t>
        </is>
      </c>
      <c r="D3373" s="2" t="inlineStr">
        <is>
          <t>035250</t>
        </is>
      </c>
      <c r="E3373" s="3" t="inlineStr">
        <is>
          <t xml:space="preserve">감사보고서제출              </t>
        </is>
      </c>
      <c r="F3373" s="3" t="inlineStr">
        <is>
          <t>강원랜드</t>
        </is>
      </c>
      <c r="G3373" s="2" t="inlineStr">
        <is>
          <t>20260309801587</t>
        </is>
      </c>
      <c r="H3373" s="8">
        <f>HYPERLINK("https://dart.fss.or.kr/dsaf001/main.do?rcpNo=20260309801587", "공시열람")</f>
        <v/>
      </c>
    </row>
    <row r="3374">
      <c r="A3374" s="2" t="inlineStr">
        <is>
          <t>2026-03-09</t>
        </is>
      </c>
      <c r="B3374" s="3" t="inlineStr">
        <is>
          <t>에이비프로바이오</t>
        </is>
      </c>
      <c r="C3374" s="2" t="inlineStr">
        <is>
          <t>코스닥</t>
        </is>
      </c>
      <c r="D3374" s="2" t="inlineStr">
        <is>
          <t>195990</t>
        </is>
      </c>
      <c r="E3374" s="3" t="inlineStr">
        <is>
          <t>주권매매거래정지해제              (감자 주권 변경상장)</t>
        </is>
      </c>
      <c r="F3374" s="3" t="inlineStr">
        <is>
          <t>코스닥시장본부</t>
        </is>
      </c>
      <c r="G3374" s="2" t="inlineStr">
        <is>
          <t>20260309901484</t>
        </is>
      </c>
      <c r="H3374" s="8">
        <f>HYPERLINK("https://dart.fss.or.kr/dsaf001/main.do?rcpNo=20260309901484", "공시열람")</f>
        <v/>
      </c>
    </row>
    <row r="3375">
      <c r="A3375" s="2" t="inlineStr">
        <is>
          <t>2026-03-09</t>
        </is>
      </c>
      <c r="B3375" s="3" t="inlineStr">
        <is>
          <t>SK이노베이션</t>
        </is>
      </c>
      <c r="C3375" s="2" t="inlineStr">
        <is>
          <t>코스피</t>
        </is>
      </c>
      <c r="D3375" s="2" t="inlineStr">
        <is>
          <t>096770</t>
        </is>
      </c>
      <c r="E3375" s="3" t="inlineStr">
        <is>
          <t xml:space="preserve">감사보고서제출(자회사의 주요경영사항)              </t>
        </is>
      </c>
      <c r="F3375" s="3" t="inlineStr">
        <is>
          <t>SK이노베이션</t>
        </is>
      </c>
      <c r="G3375" s="2" t="inlineStr">
        <is>
          <t>20260309801471</t>
        </is>
      </c>
      <c r="H3375" s="8">
        <f>HYPERLINK("https://dart.fss.or.kr/dsaf001/main.do?rcpNo=20260309801471", "공시열람")</f>
        <v/>
      </c>
    </row>
    <row r="3376">
      <c r="A3376" s="2" t="inlineStr">
        <is>
          <t>2026-02-27 (정정: 2026-03-09)</t>
        </is>
      </c>
      <c r="B3376" s="3" t="inlineStr">
        <is>
          <t>이엠넷</t>
        </is>
      </c>
      <c r="C3376" s="2" t="inlineStr">
        <is>
          <t>코스닥</t>
        </is>
      </c>
      <c r="D3376" s="2" t="inlineStr">
        <is>
          <t>123570</t>
        </is>
      </c>
      <c r="E3376" s="3" t="inlineStr">
        <is>
          <t xml:space="preserve">[기재정정]현금ㆍ현물배당결정              </t>
        </is>
      </c>
      <c r="F3376" s="3" t="inlineStr">
        <is>
          <t>이엠넷</t>
        </is>
      </c>
      <c r="G3376" s="2" t="inlineStr">
        <is>
          <t>20260309901454</t>
        </is>
      </c>
      <c r="H3376" s="8">
        <f>HYPERLINK("https://dart.fss.or.kr/dsaf001/main.do?rcpNo=20260309901454", "공시열람")</f>
        <v/>
      </c>
    </row>
    <row r="3377">
      <c r="A3377" s="2" t="inlineStr">
        <is>
          <t>2026-03-09 (정정: 2026-03-10)</t>
        </is>
      </c>
      <c r="B3377" s="3" t="inlineStr">
        <is>
          <t>티이엠씨씨엔에스</t>
        </is>
      </c>
      <c r="C3377" s="2" t="inlineStr">
        <is>
          <t>코스닥</t>
        </is>
      </c>
      <c r="D3377" s="2" t="inlineStr">
        <is>
          <t>241790</t>
        </is>
      </c>
      <c r="E3377" s="3" t="inlineStr">
        <is>
          <t>현금ㆍ현물배당결정               (정정: 20260310)</t>
        </is>
      </c>
      <c r="F3377" s="3" t="inlineStr">
        <is>
          <t>티이엠씨씨엔에스</t>
        </is>
      </c>
      <c r="G3377" s="2" t="inlineStr">
        <is>
          <t>20260310002806</t>
        </is>
      </c>
      <c r="H3377" s="8">
        <f>HYPERLINK("https://dart.fss.or.kr/dsaf001/main.do?rcpNo=20260310002806", "공시열람")</f>
        <v/>
      </c>
    </row>
    <row r="3378">
      <c r="A3378" s="2" t="inlineStr">
        <is>
          <t>2026-03-09</t>
        </is>
      </c>
      <c r="B3378" s="3" t="inlineStr">
        <is>
          <t>동국씨엠</t>
        </is>
      </c>
      <c r="C3378" s="2" t="inlineStr">
        <is>
          <t>코스피</t>
        </is>
      </c>
      <c r="D3378" s="2" t="inlineStr">
        <is>
          <t>460850</t>
        </is>
      </c>
      <c r="E3378" s="3" t="inlineStr">
        <is>
          <t>의결권대리행사권유참고서류</t>
        </is>
      </c>
      <c r="F3378" s="3" t="inlineStr">
        <is>
          <t>동국씨엠</t>
        </is>
      </c>
      <c r="G3378" s="2" t="inlineStr">
        <is>
          <t>20260309001923</t>
        </is>
      </c>
      <c r="H3378" s="8">
        <f>HYPERLINK("https://dart.fss.or.kr/dsaf001/main.do?rcpNo=20260309001923", "공시열람")</f>
        <v/>
      </c>
    </row>
    <row r="3379">
      <c r="A3379" s="2" t="inlineStr">
        <is>
          <t>2026-03-09</t>
        </is>
      </c>
      <c r="B3379" s="3" t="inlineStr">
        <is>
          <t>에코마케팅</t>
        </is>
      </c>
      <c r="C3379" s="2" t="inlineStr">
        <is>
          <t>코스닥</t>
        </is>
      </c>
      <c r="D3379" s="2" t="inlineStr">
        <is>
          <t>230360</t>
        </is>
      </c>
      <c r="E3379" s="3" t="inlineStr">
        <is>
          <t>임원ㆍ주요주주특정증권등소유상황보고서</t>
        </is>
      </c>
      <c r="F3379" s="3" t="inlineStr">
        <is>
          <t>비씨피이이에이비드코원</t>
        </is>
      </c>
      <c r="G3379" s="2" t="inlineStr">
        <is>
          <t>20260309001922</t>
        </is>
      </c>
      <c r="H3379" s="8">
        <f>HYPERLINK("https://dart.fss.or.kr/dsaf001/main.do?rcpNo=20260309001922", "공시열람")</f>
        <v/>
      </c>
    </row>
    <row r="3380">
      <c r="A3380" s="2" t="inlineStr">
        <is>
          <t>2026-03-09</t>
        </is>
      </c>
      <c r="B3380" s="3" t="inlineStr">
        <is>
          <t>광동제약</t>
        </is>
      </c>
      <c r="C3380" s="2" t="inlineStr">
        <is>
          <t>코스피</t>
        </is>
      </c>
      <c r="D3380" s="2" t="inlineStr">
        <is>
          <t>009290</t>
        </is>
      </c>
      <c r="E3380" s="3" t="inlineStr">
        <is>
          <t>임원ㆍ주요주주특정증권등소유상황보고서</t>
        </is>
      </c>
      <c r="F3380" s="3" t="inlineStr">
        <is>
          <t>배기룡</t>
        </is>
      </c>
      <c r="G3380" s="2" t="inlineStr">
        <is>
          <t>20260309001921</t>
        </is>
      </c>
      <c r="H3380" s="8">
        <f>HYPERLINK("https://dart.fss.or.kr/dsaf001/main.do?rcpNo=20260309001921", "공시열람")</f>
        <v/>
      </c>
    </row>
    <row r="3381">
      <c r="A3381" s="2" t="inlineStr">
        <is>
          <t>2026-03-09</t>
        </is>
      </c>
      <c r="B3381" s="3" t="inlineStr">
        <is>
          <t>SK이노베이션</t>
        </is>
      </c>
      <c r="C3381" s="2" t="inlineStr">
        <is>
          <t>코스피</t>
        </is>
      </c>
      <c r="D3381" s="2" t="inlineStr">
        <is>
          <t>096770</t>
        </is>
      </c>
      <c r="E3381" s="3" t="inlineStr">
        <is>
          <t xml:space="preserve">감사보고서제출(자회사의 주요경영사항)              </t>
        </is>
      </c>
      <c r="F3381" s="3" t="inlineStr">
        <is>
          <t>SK이노베이션</t>
        </is>
      </c>
      <c r="G3381" s="2" t="inlineStr">
        <is>
          <t>20260309801413</t>
        </is>
      </c>
      <c r="H3381" s="8">
        <f>HYPERLINK("https://dart.fss.or.kr/dsaf001/main.do?rcpNo=20260309801413", "공시열람")</f>
        <v/>
      </c>
    </row>
    <row r="3382">
      <c r="A3382" s="2" t="inlineStr">
        <is>
          <t>2026-03-09</t>
        </is>
      </c>
      <c r="B3382" s="3" t="inlineStr">
        <is>
          <t>나이스정보통신</t>
        </is>
      </c>
      <c r="C3382" s="2" t="inlineStr">
        <is>
          <t>코스닥</t>
        </is>
      </c>
      <c r="D3382" s="2" t="inlineStr">
        <is>
          <t>036800</t>
        </is>
      </c>
      <c r="E3382" s="3" t="inlineStr">
        <is>
          <t>의결권대리행사권유참고서류</t>
        </is>
      </c>
      <c r="F3382" s="3" t="inlineStr">
        <is>
          <t>나이스정보통신</t>
        </is>
      </c>
      <c r="G3382" s="2" t="inlineStr">
        <is>
          <t>20260309001918</t>
        </is>
      </c>
      <c r="H3382" s="8">
        <f>HYPERLINK("https://dart.fss.or.kr/dsaf001/main.do?rcpNo=20260309001918", "공시열람")</f>
        <v/>
      </c>
    </row>
    <row r="3383">
      <c r="A3383" s="2" t="inlineStr">
        <is>
          <t>2026-03-09</t>
        </is>
      </c>
      <c r="B3383" s="3" t="inlineStr">
        <is>
          <t>천보</t>
        </is>
      </c>
      <c r="C3383" s="2" t="inlineStr">
        <is>
          <t>코스닥</t>
        </is>
      </c>
      <c r="D3383" s="2" t="inlineStr">
        <is>
          <t>278280</t>
        </is>
      </c>
      <c r="E3383" s="3" t="inlineStr">
        <is>
          <t>의결권대리행사권유참고서류</t>
        </is>
      </c>
      <c r="F3383" s="3" t="inlineStr">
        <is>
          <t>천보</t>
        </is>
      </c>
      <c r="G3383" s="2" t="inlineStr">
        <is>
          <t>20260309001917</t>
        </is>
      </c>
      <c r="H3383" s="8">
        <f>HYPERLINK("https://dart.fss.or.kr/dsaf001/main.do?rcpNo=20260309001917", "공시열람")</f>
        <v/>
      </c>
    </row>
    <row r="3384">
      <c r="A3384" s="2" t="inlineStr">
        <is>
          <t>2026-03-09</t>
        </is>
      </c>
      <c r="B3384" s="3" t="inlineStr">
        <is>
          <t>세종텔레콤</t>
        </is>
      </c>
      <c r="C3384" s="2" t="inlineStr">
        <is>
          <t>코스닥</t>
        </is>
      </c>
      <c r="D3384" s="2" t="inlineStr">
        <is>
          <t>036630</t>
        </is>
      </c>
      <c r="E3384" s="3" t="inlineStr">
        <is>
          <t>의결권대리행사권유참고서류</t>
        </is>
      </c>
      <c r="F3384" s="3" t="inlineStr">
        <is>
          <t>세종텔레콤</t>
        </is>
      </c>
      <c r="G3384" s="2" t="inlineStr">
        <is>
          <t>20260309001916</t>
        </is>
      </c>
      <c r="H3384" s="8">
        <f>HYPERLINK("https://dart.fss.or.kr/dsaf001/main.do?rcpNo=20260309001916", "공시열람")</f>
        <v/>
      </c>
    </row>
    <row r="3385">
      <c r="A3385" s="2" t="inlineStr">
        <is>
          <t>2026-03-09</t>
        </is>
      </c>
      <c r="B3385" s="3" t="inlineStr">
        <is>
          <t>DSC인베스트먼트</t>
        </is>
      </c>
      <c r="C3385" s="2" t="inlineStr">
        <is>
          <t>코스닥</t>
        </is>
      </c>
      <c r="D3385" s="2" t="inlineStr">
        <is>
          <t>241520</t>
        </is>
      </c>
      <c r="E3385" s="3" t="inlineStr">
        <is>
          <t>의결권대리행사권유참고서류</t>
        </is>
      </c>
      <c r="F3385" s="3" t="inlineStr">
        <is>
          <t>DSC인베스트먼트</t>
        </is>
      </c>
      <c r="G3385" s="2" t="inlineStr">
        <is>
          <t>20260309001915</t>
        </is>
      </c>
      <c r="H3385" s="8">
        <f>HYPERLINK("https://dart.fss.or.kr/dsaf001/main.do?rcpNo=20260309001915", "공시열람")</f>
        <v/>
      </c>
    </row>
    <row r="3386">
      <c r="A3386" s="2" t="inlineStr">
        <is>
          <t>2026-03-09</t>
        </is>
      </c>
      <c r="B3386" s="3" t="inlineStr">
        <is>
          <t>광동제약</t>
        </is>
      </c>
      <c r="C3386" s="2" t="inlineStr">
        <is>
          <t>코스피</t>
        </is>
      </c>
      <c r="D3386" s="2" t="inlineStr">
        <is>
          <t>009290</t>
        </is>
      </c>
      <c r="E3386" s="3" t="inlineStr">
        <is>
          <t>임원ㆍ주요주주특정증권등소유상황보고서</t>
        </is>
      </c>
      <c r="F3386" s="3" t="inlineStr">
        <is>
          <t>이채주</t>
        </is>
      </c>
      <c r="G3386" s="2" t="inlineStr">
        <is>
          <t>20260309001913</t>
        </is>
      </c>
      <c r="H3386" s="8">
        <f>HYPERLINK("https://dart.fss.or.kr/dsaf001/main.do?rcpNo=20260309001913", "공시열람")</f>
        <v/>
      </c>
    </row>
    <row r="3387">
      <c r="A3387" s="2" t="inlineStr">
        <is>
          <t>2026-03-09</t>
        </is>
      </c>
      <c r="B3387" s="3" t="inlineStr">
        <is>
          <t>DSC인베스트먼트</t>
        </is>
      </c>
      <c r="C3387" s="2" t="inlineStr">
        <is>
          <t>코스닥</t>
        </is>
      </c>
      <c r="D3387" s="2" t="inlineStr">
        <is>
          <t>241520</t>
        </is>
      </c>
      <c r="E3387" s="3" t="inlineStr">
        <is>
          <t xml:space="preserve">현금ㆍ현물배당결정              </t>
        </is>
      </c>
      <c r="F3387" s="3" t="inlineStr">
        <is>
          <t>DSC인베스트먼트</t>
        </is>
      </c>
      <c r="G3387" s="2" t="inlineStr">
        <is>
          <t>20260309901531</t>
        </is>
      </c>
      <c r="H3387" s="8">
        <f>HYPERLINK("https://dart.fss.or.kr/dsaf001/main.do?rcpNo=20260309901531", "공시열람")</f>
        <v/>
      </c>
    </row>
    <row r="3388">
      <c r="A3388" s="2" t="inlineStr">
        <is>
          <t>2026-03-09</t>
        </is>
      </c>
      <c r="B3388" s="3" t="inlineStr">
        <is>
          <t>한진</t>
        </is>
      </c>
      <c r="C3388" s="2" t="inlineStr">
        <is>
          <t>코스피</t>
        </is>
      </c>
      <c r="D3388" s="2" t="inlineStr">
        <is>
          <t>002320</t>
        </is>
      </c>
      <c r="E3388" s="3" t="inlineStr">
        <is>
          <t>의결권대리행사권유참고서류</t>
        </is>
      </c>
      <c r="F3388" s="3" t="inlineStr">
        <is>
          <t>한진</t>
        </is>
      </c>
      <c r="G3388" s="2" t="inlineStr">
        <is>
          <t>20260309001909</t>
        </is>
      </c>
      <c r="H3388" s="8">
        <f>HYPERLINK("https://dart.fss.or.kr/dsaf001/main.do?rcpNo=20260309001909", "공시열람")</f>
        <v/>
      </c>
    </row>
    <row r="3389">
      <c r="A3389" s="2" t="inlineStr">
        <is>
          <t>2026-03-09</t>
        </is>
      </c>
      <c r="B3389" s="3" t="inlineStr">
        <is>
          <t>세종텔레콤</t>
        </is>
      </c>
      <c r="C3389" s="2" t="inlineStr">
        <is>
          <t>코스닥</t>
        </is>
      </c>
      <c r="D3389" s="2" t="inlineStr">
        <is>
          <t>036630</t>
        </is>
      </c>
      <c r="E3389" s="3" t="inlineStr">
        <is>
          <t xml:space="preserve">현금ㆍ현물배당결정              </t>
        </is>
      </c>
      <c r="F3389" s="3" t="inlineStr">
        <is>
          <t>세종텔레콤</t>
        </is>
      </c>
      <c r="G3389" s="2" t="inlineStr">
        <is>
          <t>20260309901524</t>
        </is>
      </c>
      <c r="H3389" s="8">
        <f>HYPERLINK("https://dart.fss.or.kr/dsaf001/main.do?rcpNo=20260309901524", "공시열람")</f>
        <v/>
      </c>
    </row>
    <row r="3390">
      <c r="A3390" s="2" t="inlineStr">
        <is>
          <t>2026-03-09</t>
        </is>
      </c>
      <c r="B3390" s="3" t="inlineStr">
        <is>
          <t>대한광통신</t>
        </is>
      </c>
      <c r="C3390" s="2" t="inlineStr">
        <is>
          <t>코스닥</t>
        </is>
      </c>
      <c r="D3390" s="2" t="inlineStr">
        <is>
          <t>010170</t>
        </is>
      </c>
      <c r="E3390" s="3" t="inlineStr">
        <is>
          <t>임원ㆍ주요주주특정증권등소유상황보고서</t>
        </is>
      </c>
      <c r="F3390" s="3" t="inlineStr">
        <is>
          <t>설윤석</t>
        </is>
      </c>
      <c r="G3390" s="2" t="inlineStr">
        <is>
          <t>20260309001908</t>
        </is>
      </c>
      <c r="H3390" s="8">
        <f>HYPERLINK("https://dart.fss.or.kr/dsaf001/main.do?rcpNo=20260309001908", "공시열람")</f>
        <v/>
      </c>
    </row>
    <row r="3391">
      <c r="A3391" s="2" t="inlineStr">
        <is>
          <t>2026-03-09</t>
        </is>
      </c>
      <c r="B3391" s="3" t="inlineStr">
        <is>
          <t>오스템</t>
        </is>
      </c>
      <c r="C3391" s="2" t="inlineStr">
        <is>
          <t>코스닥</t>
        </is>
      </c>
      <c r="D3391" s="2" t="inlineStr">
        <is>
          <t>031510</t>
        </is>
      </c>
      <c r="E3391" s="3" t="inlineStr">
        <is>
          <t>신탁계약해지결과보고서</t>
        </is>
      </c>
      <c r="F3391" s="3" t="inlineStr">
        <is>
          <t>오스템</t>
        </is>
      </c>
      <c r="G3391" s="2" t="inlineStr">
        <is>
          <t>20260309001907</t>
        </is>
      </c>
      <c r="H3391" s="8">
        <f>HYPERLINK("https://dart.fss.or.kr/dsaf001/main.do?rcpNo=20260309001907", "공시열람")</f>
        <v/>
      </c>
    </row>
    <row r="3392">
      <c r="A3392" s="2" t="inlineStr">
        <is>
          <t>2026-03-09</t>
        </is>
      </c>
      <c r="B3392" s="3" t="inlineStr">
        <is>
          <t>나이스정보통신</t>
        </is>
      </c>
      <c r="C3392" s="2" t="inlineStr">
        <is>
          <t>코스닥</t>
        </is>
      </c>
      <c r="D3392" s="2" t="inlineStr">
        <is>
          <t>036800</t>
        </is>
      </c>
      <c r="E3392" s="3" t="inlineStr">
        <is>
          <t xml:space="preserve">매출액또는손익구조30%(대규모법인은15%)이상변동              </t>
        </is>
      </c>
      <c r="F3392" s="3" t="inlineStr">
        <is>
          <t>나이스정보통신</t>
        </is>
      </c>
      <c r="G3392" s="2" t="inlineStr">
        <is>
          <t>20260309901514</t>
        </is>
      </c>
      <c r="H3392" s="8">
        <f>HYPERLINK("https://dart.fss.or.kr/dsaf001/main.do?rcpNo=20260309901514", "공시열람")</f>
        <v/>
      </c>
    </row>
    <row r="3393">
      <c r="A3393" s="2" t="inlineStr">
        <is>
          <t>2026-03-09</t>
        </is>
      </c>
      <c r="B3393" s="3" t="inlineStr">
        <is>
          <t>대한광통신</t>
        </is>
      </c>
      <c r="C3393" s="2" t="inlineStr">
        <is>
          <t>코스닥</t>
        </is>
      </c>
      <c r="D3393" s="2" t="inlineStr">
        <is>
          <t>010170</t>
        </is>
      </c>
      <c r="E3393" s="3" t="inlineStr">
        <is>
          <t>임원ㆍ주요주주특정증권등소유상황보고서</t>
        </is>
      </c>
      <c r="F3393" s="3" t="inlineStr">
        <is>
          <t>티에프오인더스트리</t>
        </is>
      </c>
      <c r="G3393" s="2" t="inlineStr">
        <is>
          <t>20260309001903</t>
        </is>
      </c>
      <c r="H3393" s="8">
        <f>HYPERLINK("https://dart.fss.or.kr/dsaf001/main.do?rcpNo=20260309001903", "공시열람")</f>
        <v/>
      </c>
    </row>
    <row r="3394">
      <c r="A3394" s="2" t="inlineStr">
        <is>
          <t>2026-03-09</t>
        </is>
      </c>
      <c r="B3394" s="3" t="inlineStr">
        <is>
          <t>CJ</t>
        </is>
      </c>
      <c r="C3394" s="2" t="inlineStr">
        <is>
          <t>코스피</t>
        </is>
      </c>
      <c r="D3394" s="2" t="inlineStr">
        <is>
          <t>001040</t>
        </is>
      </c>
      <c r="E3394" s="3" t="inlineStr">
        <is>
          <t>의결권대리행사권유참고서류</t>
        </is>
      </c>
      <c r="F3394" s="3" t="inlineStr">
        <is>
          <t>CJ</t>
        </is>
      </c>
      <c r="G3394" s="2" t="inlineStr">
        <is>
          <t>20260309001901</t>
        </is>
      </c>
      <c r="H3394" s="8">
        <f>HYPERLINK("https://dart.fss.or.kr/dsaf001/main.do?rcpNo=20260309001901", "공시열람")</f>
        <v/>
      </c>
    </row>
    <row r="3395">
      <c r="A3395" s="2" t="inlineStr">
        <is>
          <t>2026-03-09 (정정: 2026-03-16)</t>
        </is>
      </c>
      <c r="B3395" s="3" t="inlineStr">
        <is>
          <t>솔브레인</t>
        </is>
      </c>
      <c r="C3395" s="2" t="inlineStr">
        <is>
          <t>코스닥</t>
        </is>
      </c>
      <c r="D3395" s="2" t="inlineStr">
        <is>
          <t>357780</t>
        </is>
      </c>
      <c r="E3395" s="3" t="inlineStr">
        <is>
          <t>의결권대리행사권유참고서류 (정정: 20260316)</t>
        </is>
      </c>
      <c r="F3395" s="3" t="inlineStr">
        <is>
          <t>솔브레인</t>
        </is>
      </c>
      <c r="G3395" s="2" t="inlineStr">
        <is>
          <t>20260316001581</t>
        </is>
      </c>
      <c r="H3395" s="8">
        <f>HYPERLINK("https://dart.fss.or.kr/dsaf001/main.do?rcpNo=20260316001581", "공시열람")</f>
        <v/>
      </c>
    </row>
    <row r="3396">
      <c r="A3396" s="2" t="inlineStr">
        <is>
          <t>2026-03-09 (정정: 2026-03-11)</t>
        </is>
      </c>
      <c r="B3396" s="3" t="inlineStr">
        <is>
          <t>더테크놀로지</t>
        </is>
      </c>
      <c r="C3396" s="2" t="inlineStr">
        <is>
          <t>코스닥</t>
        </is>
      </c>
      <c r="D3396" s="2" t="inlineStr">
        <is>
          <t>043090</t>
        </is>
      </c>
      <c r="E3396" s="3" t="inlineStr">
        <is>
          <t>의결권대리행사권유참고서류 (정정: 20260311) (정정: 20260311)</t>
        </is>
      </c>
      <c r="F3396" s="3" t="inlineStr">
        <is>
          <t>더테크놀로지</t>
        </is>
      </c>
      <c r="G3396" s="2" t="inlineStr">
        <is>
          <t>20260311003204</t>
        </is>
      </c>
      <c r="H3396" s="8">
        <f>HYPERLINK("https://dart.fss.or.kr/dsaf001/main.do?rcpNo=20260311003204", "공시열람")</f>
        <v/>
      </c>
    </row>
    <row r="3397">
      <c r="A3397" s="2" t="inlineStr">
        <is>
          <t>2026-03-09</t>
        </is>
      </c>
      <c r="B3397" s="3" t="inlineStr">
        <is>
          <t>광동제약</t>
        </is>
      </c>
      <c r="C3397" s="2" t="inlineStr">
        <is>
          <t>코스피</t>
        </is>
      </c>
      <c r="D3397" s="2" t="inlineStr">
        <is>
          <t>009290</t>
        </is>
      </c>
      <c r="E3397" s="3" t="inlineStr">
        <is>
          <t>임원ㆍ주요주주특정증권등소유상황보고서</t>
        </is>
      </c>
      <c r="F3397" s="3" t="inlineStr">
        <is>
          <t>박상영</t>
        </is>
      </c>
      <c r="G3397" s="2" t="inlineStr">
        <is>
          <t>20260309001897</t>
        </is>
      </c>
      <c r="H3397" s="8">
        <f>HYPERLINK("https://dart.fss.or.kr/dsaf001/main.do?rcpNo=20260309001897", "공시열람")</f>
        <v/>
      </c>
    </row>
    <row r="3398">
      <c r="A3398" s="2" t="inlineStr">
        <is>
          <t>2026-03-09</t>
        </is>
      </c>
      <c r="B3398" s="3" t="inlineStr">
        <is>
          <t>SK이노베이션</t>
        </is>
      </c>
      <c r="C3398" s="2" t="inlineStr">
        <is>
          <t>코스피</t>
        </is>
      </c>
      <c r="D3398" s="2" t="inlineStr">
        <is>
          <t>096770</t>
        </is>
      </c>
      <c r="E3398" s="3" t="inlineStr">
        <is>
          <t xml:space="preserve">감사보고서제출              </t>
        </is>
      </c>
      <c r="F3398" s="3" t="inlineStr">
        <is>
          <t>SK이노베이션</t>
        </is>
      </c>
      <c r="G3398" s="2" t="inlineStr">
        <is>
          <t>20260309801406</t>
        </is>
      </c>
      <c r="H3398" s="8">
        <f>HYPERLINK("https://dart.fss.or.kr/dsaf001/main.do?rcpNo=20260309801406", "공시열람")</f>
        <v/>
      </c>
    </row>
    <row r="3399">
      <c r="A3399" s="2" t="inlineStr">
        <is>
          <t>2026-03-09</t>
        </is>
      </c>
      <c r="B3399" s="3" t="inlineStr">
        <is>
          <t>평화홀딩스</t>
        </is>
      </c>
      <c r="C3399" s="2" t="inlineStr">
        <is>
          <t>코스피</t>
        </is>
      </c>
      <c r="D3399" s="2" t="inlineStr">
        <is>
          <t>010770</t>
        </is>
      </c>
      <c r="E3399" s="3" t="inlineStr">
        <is>
          <t xml:space="preserve">감사보고서제출(자회사의 주요경영사항)              </t>
        </is>
      </c>
      <c r="F3399" s="3" t="inlineStr">
        <is>
          <t>평화홀딩스</t>
        </is>
      </c>
      <c r="G3399" s="2" t="inlineStr">
        <is>
          <t>20260309801434</t>
        </is>
      </c>
      <c r="H3399" s="8">
        <f>HYPERLINK("https://dart.fss.or.kr/dsaf001/main.do?rcpNo=20260309801434", "공시열람")</f>
        <v/>
      </c>
    </row>
    <row r="3400">
      <c r="A3400" s="2" t="inlineStr">
        <is>
          <t>2026-03-09</t>
        </is>
      </c>
      <c r="B3400" s="3" t="inlineStr">
        <is>
          <t>유에스티</t>
        </is>
      </c>
      <c r="C3400" s="2" t="inlineStr">
        <is>
          <t>코스닥</t>
        </is>
      </c>
      <c r="D3400" s="2" t="inlineStr">
        <is>
          <t>263770</t>
        </is>
      </c>
      <c r="E3400" s="3" t="inlineStr">
        <is>
          <t xml:space="preserve">현금ㆍ현물배당결정              </t>
        </is>
      </c>
      <c r="F3400" s="3" t="inlineStr">
        <is>
          <t>유에스티</t>
        </is>
      </c>
      <c r="G3400" s="2" t="inlineStr">
        <is>
          <t>20260309901265</t>
        </is>
      </c>
      <c r="H3400" s="8">
        <f>HYPERLINK("https://dart.fss.or.kr/dsaf001/main.do?rcpNo=20260309901265", "공시열람")</f>
        <v/>
      </c>
    </row>
    <row r="3401">
      <c r="A3401" s="2" t="inlineStr">
        <is>
          <t>2026-03-09</t>
        </is>
      </c>
      <c r="B3401" s="3" t="inlineStr">
        <is>
          <t>케이씨씨</t>
        </is>
      </c>
      <c r="C3401" s="2" t="inlineStr">
        <is>
          <t>코스피</t>
        </is>
      </c>
      <c r="D3401" s="2" t="inlineStr">
        <is>
          <t>002380</t>
        </is>
      </c>
      <c r="E3401" s="3" t="inlineStr">
        <is>
          <t xml:space="preserve">감사보고서제출              </t>
        </is>
      </c>
      <c r="F3401" s="3" t="inlineStr">
        <is>
          <t>케이씨씨</t>
        </is>
      </c>
      <c r="G3401" s="2" t="inlineStr">
        <is>
          <t>20260309801408</t>
        </is>
      </c>
      <c r="H3401" s="8">
        <f>HYPERLINK("https://dart.fss.or.kr/dsaf001/main.do?rcpNo=20260309801408", "공시열람")</f>
        <v/>
      </c>
    </row>
    <row r="3402">
      <c r="A3402" s="2" t="inlineStr">
        <is>
          <t>2026-03-09</t>
        </is>
      </c>
      <c r="B3402" s="3" t="inlineStr">
        <is>
          <t>노바텍</t>
        </is>
      </c>
      <c r="C3402" s="2" t="inlineStr">
        <is>
          <t>코스닥</t>
        </is>
      </c>
      <c r="D3402" s="2" t="inlineStr">
        <is>
          <t>285490</t>
        </is>
      </c>
      <c r="E3402" s="3" t="inlineStr">
        <is>
          <t xml:space="preserve">현금ㆍ현물배당결정              </t>
        </is>
      </c>
      <c r="F3402" s="3" t="inlineStr">
        <is>
          <t>노바텍</t>
        </is>
      </c>
      <c r="G3402" s="2" t="inlineStr">
        <is>
          <t>20260309901415</t>
        </is>
      </c>
      <c r="H3402" s="8">
        <f>HYPERLINK("https://dart.fss.or.kr/dsaf001/main.do?rcpNo=20260309901415", "공시열람")</f>
        <v/>
      </c>
    </row>
    <row r="3403">
      <c r="A3403" s="2" t="inlineStr">
        <is>
          <t>2026-03-09</t>
        </is>
      </c>
      <c r="B3403" s="3" t="inlineStr">
        <is>
          <t>케이씨씨</t>
        </is>
      </c>
      <c r="C3403" s="2" t="inlineStr">
        <is>
          <t>코스피</t>
        </is>
      </c>
      <c r="D3403" s="2" t="inlineStr">
        <is>
          <t>002380</t>
        </is>
      </c>
      <c r="E3403" s="3" t="inlineStr">
        <is>
          <t>[기재정정]의결권대리행사권유참고서류</t>
        </is>
      </c>
      <c r="F3403" s="3" t="inlineStr">
        <is>
          <t>케이씨씨</t>
        </is>
      </c>
      <c r="G3403" s="2" t="inlineStr">
        <is>
          <t>20260309001890</t>
        </is>
      </c>
      <c r="H3403" s="8">
        <f>HYPERLINK("https://dart.fss.or.kr/dsaf001/main.do?rcpNo=20260309001890", "공시열람")</f>
        <v/>
      </c>
    </row>
    <row r="3404">
      <c r="A3404" s="2" t="inlineStr">
        <is>
          <t>2026-03-09</t>
        </is>
      </c>
      <c r="B3404" s="3" t="inlineStr">
        <is>
          <t>평화홀딩스</t>
        </is>
      </c>
      <c r="C3404" s="2" t="inlineStr">
        <is>
          <t>코스피</t>
        </is>
      </c>
      <c r="D3404" s="2" t="inlineStr">
        <is>
          <t>010770</t>
        </is>
      </c>
      <c r="E3404" s="3" t="inlineStr">
        <is>
          <t xml:space="preserve">감사보고서제출(자회사의 주요경영사항)              </t>
        </is>
      </c>
      <c r="F3404" s="3" t="inlineStr">
        <is>
          <t>평화홀딩스</t>
        </is>
      </c>
      <c r="G3404" s="2" t="inlineStr">
        <is>
          <t>20260309801421</t>
        </is>
      </c>
      <c r="H3404" s="8">
        <f>HYPERLINK("https://dart.fss.or.kr/dsaf001/main.do?rcpNo=20260309801421", "공시열람")</f>
        <v/>
      </c>
    </row>
    <row r="3405">
      <c r="A3405" s="2" t="inlineStr">
        <is>
          <t>2026-03-09</t>
        </is>
      </c>
      <c r="B3405" s="3" t="inlineStr">
        <is>
          <t>알티캐스트</t>
        </is>
      </c>
      <c r="C3405" s="2" t="inlineStr">
        <is>
          <t>코스닥</t>
        </is>
      </c>
      <c r="D3405" s="2" t="inlineStr">
        <is>
          <t>085810</t>
        </is>
      </c>
      <c r="E3405" s="3" t="inlineStr">
        <is>
          <t xml:space="preserve">매출액또는손익구조30%(대규모법인은15%)이상변동              </t>
        </is>
      </c>
      <c r="F3405" s="3" t="inlineStr">
        <is>
          <t>알티캐스트</t>
        </is>
      </c>
      <c r="G3405" s="2" t="inlineStr">
        <is>
          <t>20260309901461</t>
        </is>
      </c>
      <c r="H3405" s="8">
        <f>HYPERLINK("https://dart.fss.or.kr/dsaf001/main.do?rcpNo=20260309901461", "공시열람")</f>
        <v/>
      </c>
    </row>
    <row r="3406">
      <c r="A3406" s="2" t="inlineStr">
        <is>
          <t>2026-03-09</t>
        </is>
      </c>
      <c r="B3406" s="3" t="inlineStr">
        <is>
          <t>한화에어로스페이스</t>
        </is>
      </c>
      <c r="C3406" s="2" t="inlineStr">
        <is>
          <t>코스피</t>
        </is>
      </c>
      <c r="D3406" s="2" t="inlineStr">
        <is>
          <t>012450</t>
        </is>
      </c>
      <c r="E3406" s="3" t="inlineStr">
        <is>
          <t xml:space="preserve">타법인주식및출자증권처분결정(종속회사의주요경영사항)              </t>
        </is>
      </c>
      <c r="F3406" s="3" t="inlineStr">
        <is>
          <t>한화에어로스페이스</t>
        </is>
      </c>
      <c r="G3406" s="2" t="inlineStr">
        <is>
          <t>20260309801510</t>
        </is>
      </c>
      <c r="H3406" s="8">
        <f>HYPERLINK("https://dart.fss.or.kr/dsaf001/main.do?rcpNo=20260309801510", "공시열람")</f>
        <v/>
      </c>
    </row>
    <row r="3407">
      <c r="A3407" s="2" t="inlineStr">
        <is>
          <t>2026-03-09 (정정: 2026-03-11)</t>
        </is>
      </c>
      <c r="B3407" s="3" t="inlineStr">
        <is>
          <t>CJ CGV</t>
        </is>
      </c>
      <c r="C3407" s="2" t="inlineStr">
        <is>
          <t>코스피</t>
        </is>
      </c>
      <c r="D3407" s="2" t="inlineStr">
        <is>
          <t>079160</t>
        </is>
      </c>
      <c r="E3407" s="3" t="inlineStr">
        <is>
          <t>동일인등출자계열회사와의상품ㆍ용역거래 (정정: 20260311) (정정: 20260311) (정정: 20260311)</t>
        </is>
      </c>
      <c r="F3407" s="3" t="inlineStr">
        <is>
          <t>CJ CGV</t>
        </is>
      </c>
      <c r="G3407" s="2" t="inlineStr">
        <is>
          <t>20260311801897</t>
        </is>
      </c>
      <c r="H3407" s="8">
        <f>HYPERLINK("https://dart.fss.or.kr/dsaf001/main.do?rcpNo=20260311801897", "공시열람")</f>
        <v/>
      </c>
    </row>
    <row r="3408">
      <c r="A3408" s="2" t="inlineStr">
        <is>
          <t>2026-03-09</t>
        </is>
      </c>
      <c r="B3408" s="3" t="inlineStr">
        <is>
          <t>CJ</t>
        </is>
      </c>
      <c r="C3408" s="2" t="inlineStr">
        <is>
          <t>코스피</t>
        </is>
      </c>
      <c r="D3408" s="2" t="inlineStr">
        <is>
          <t>001040</t>
        </is>
      </c>
      <c r="E3408" s="3" t="inlineStr">
        <is>
          <t xml:space="preserve">단기차입금증가결정(자회사의 주요경영사항)              </t>
        </is>
      </c>
      <c r="F3408" s="3" t="inlineStr">
        <is>
          <t>CJ</t>
        </is>
      </c>
      <c r="G3408" s="2" t="inlineStr">
        <is>
          <t>20260309801490</t>
        </is>
      </c>
      <c r="H3408" s="8">
        <f>HYPERLINK("https://dart.fss.or.kr/dsaf001/main.do?rcpNo=20260309801490", "공시열람")</f>
        <v/>
      </c>
    </row>
    <row r="3409">
      <c r="A3409" s="2" t="inlineStr">
        <is>
          <t>2026-03-09</t>
        </is>
      </c>
      <c r="B3409" s="3" t="inlineStr">
        <is>
          <t>케이이엠텍</t>
        </is>
      </c>
      <c r="C3409" s="2" t="inlineStr">
        <is>
          <t>코스닥</t>
        </is>
      </c>
      <c r="D3409" s="2" t="inlineStr">
        <is>
          <t>106080</t>
        </is>
      </c>
      <c r="E3409" s="3" t="inlineStr">
        <is>
          <t>임원ㆍ주요주주특정증권등소유상황보고서</t>
        </is>
      </c>
      <c r="F3409" s="3" t="inlineStr">
        <is>
          <t>이노웨이브</t>
        </is>
      </c>
      <c r="G3409" s="2" t="inlineStr">
        <is>
          <t>20260309001881</t>
        </is>
      </c>
      <c r="H3409" s="8">
        <f>HYPERLINK("https://dart.fss.or.kr/dsaf001/main.do?rcpNo=20260309001881", "공시열람")</f>
        <v/>
      </c>
    </row>
    <row r="3410">
      <c r="A3410" s="2" t="inlineStr">
        <is>
          <t>2026-03-09</t>
        </is>
      </c>
      <c r="B3410" s="3" t="inlineStr">
        <is>
          <t>에이엔피</t>
        </is>
      </c>
      <c r="C3410" s="2" t="inlineStr">
        <is>
          <t>코스피</t>
        </is>
      </c>
      <c r="D3410" s="2" t="inlineStr">
        <is>
          <t>015260</t>
        </is>
      </c>
      <c r="E3410" s="3" t="inlineStr">
        <is>
          <t>임원ㆍ주요주주특정증권등소유상황보고서</t>
        </is>
      </c>
      <c r="F3410" s="3" t="inlineStr">
        <is>
          <t>전운관</t>
        </is>
      </c>
      <c r="G3410" s="2" t="inlineStr">
        <is>
          <t>20260309001879</t>
        </is>
      </c>
      <c r="H3410" s="8">
        <f>HYPERLINK("https://dart.fss.or.kr/dsaf001/main.do?rcpNo=20260309001879", "공시열람")</f>
        <v/>
      </c>
    </row>
    <row r="3411">
      <c r="A3411" s="2" t="inlineStr">
        <is>
          <t>2026-03-09</t>
        </is>
      </c>
      <c r="B3411" s="3" t="inlineStr">
        <is>
          <t>아시아나IDT</t>
        </is>
      </c>
      <c r="C3411" s="2" t="inlineStr">
        <is>
          <t>코스피</t>
        </is>
      </c>
      <c r="D3411" s="2" t="inlineStr">
        <is>
          <t>267850</t>
        </is>
      </c>
      <c r="E3411" s="3" t="inlineStr">
        <is>
          <t xml:space="preserve">감사보고서제출              </t>
        </is>
      </c>
      <c r="F3411" s="3" t="inlineStr">
        <is>
          <t>아시아나IDT</t>
        </is>
      </c>
      <c r="G3411" s="2" t="inlineStr">
        <is>
          <t>20260309801480</t>
        </is>
      </c>
      <c r="H3411" s="8">
        <f>HYPERLINK("https://dart.fss.or.kr/dsaf001/main.do?rcpNo=20260309801480", "공시열람")</f>
        <v/>
      </c>
    </row>
    <row r="3412">
      <c r="A3412" s="2" t="inlineStr">
        <is>
          <t>2026-03-09</t>
        </is>
      </c>
      <c r="B3412" s="3" t="inlineStr">
        <is>
          <t>이노스페이스</t>
        </is>
      </c>
      <c r="C3412" s="2" t="inlineStr">
        <is>
          <t>코스닥</t>
        </is>
      </c>
      <c r="D3412" s="2" t="inlineStr">
        <is>
          <t>462350</t>
        </is>
      </c>
      <c r="E3412" s="3" t="inlineStr">
        <is>
          <t>의결권대리행사권유참고서류</t>
        </is>
      </c>
      <c r="F3412" s="3" t="inlineStr">
        <is>
          <t>이노스페이스</t>
        </is>
      </c>
      <c r="G3412" s="2" t="inlineStr">
        <is>
          <t>20260309001877</t>
        </is>
      </c>
      <c r="H3412" s="8">
        <f>HYPERLINK("https://dart.fss.or.kr/dsaf001/main.do?rcpNo=20260309001877", "공시열람")</f>
        <v/>
      </c>
    </row>
    <row r="3413">
      <c r="A3413" s="2" t="inlineStr">
        <is>
          <t>2026-03-09</t>
        </is>
      </c>
      <c r="B3413" s="3" t="inlineStr">
        <is>
          <t>케이이엠텍</t>
        </is>
      </c>
      <c r="C3413" s="2" t="inlineStr">
        <is>
          <t>코스닥</t>
        </is>
      </c>
      <c r="D3413" s="2" t="inlineStr">
        <is>
          <t>106080</t>
        </is>
      </c>
      <c r="E3413" s="3" t="inlineStr">
        <is>
          <t>임원ㆍ주요주주특정증권등소유상황보고서</t>
        </is>
      </c>
      <c r="F3413" s="3" t="inlineStr">
        <is>
          <t>에이치에스홀딩스</t>
        </is>
      </c>
      <c r="G3413" s="2" t="inlineStr">
        <is>
          <t>20260309001875</t>
        </is>
      </c>
      <c r="H3413" s="8">
        <f>HYPERLINK("https://dart.fss.or.kr/dsaf001/main.do?rcpNo=20260309001875", "공시열람")</f>
        <v/>
      </c>
    </row>
    <row r="3414">
      <c r="A3414" s="2" t="inlineStr">
        <is>
          <t>2026-03-09 (정정: 2026-03-10)</t>
        </is>
      </c>
      <c r="B3414" s="3" t="inlineStr">
        <is>
          <t>CJ제일제당</t>
        </is>
      </c>
      <c r="C3414" s="2" t="inlineStr">
        <is>
          <t>코스피</t>
        </is>
      </c>
      <c r="D3414" s="2" t="inlineStr">
        <is>
          <t>097950</t>
        </is>
      </c>
      <c r="E3414" s="3" t="inlineStr">
        <is>
          <t>특수관계인과의내부거래 (정정: 20260310)</t>
        </is>
      </c>
      <c r="F3414" s="3" t="inlineStr">
        <is>
          <t>CJ제일제당</t>
        </is>
      </c>
      <c r="G3414" s="2" t="inlineStr">
        <is>
          <t>20260310002991</t>
        </is>
      </c>
      <c r="H3414" s="8">
        <f>HYPERLINK("https://dart.fss.or.kr/dsaf001/main.do?rcpNo=20260310002991", "공시열람")</f>
        <v/>
      </c>
    </row>
    <row r="3415">
      <c r="A3415" s="2" t="inlineStr">
        <is>
          <t>2026-03-09</t>
        </is>
      </c>
      <c r="B3415" s="3" t="inlineStr">
        <is>
          <t>CJ CGV</t>
        </is>
      </c>
      <c r="C3415" s="2" t="inlineStr">
        <is>
          <t>코스피</t>
        </is>
      </c>
      <c r="D3415" s="2" t="inlineStr">
        <is>
          <t>079160</t>
        </is>
      </c>
      <c r="E3415" s="3" t="inlineStr">
        <is>
          <t xml:space="preserve">단기차입금증가결정              </t>
        </is>
      </c>
      <c r="F3415" s="3" t="inlineStr">
        <is>
          <t>CJ CGV</t>
        </is>
      </c>
      <c r="G3415" s="2" t="inlineStr">
        <is>
          <t>20260309801489</t>
        </is>
      </c>
      <c r="H3415" s="8">
        <f>HYPERLINK("https://dart.fss.or.kr/dsaf001/main.do?rcpNo=20260309801489", "공시열람")</f>
        <v/>
      </c>
    </row>
    <row r="3416">
      <c r="A3416" s="2" t="inlineStr">
        <is>
          <t>2026-03-09</t>
        </is>
      </c>
      <c r="B3416" s="3" t="inlineStr">
        <is>
          <t>CJ</t>
        </is>
      </c>
      <c r="C3416" s="2" t="inlineStr">
        <is>
          <t>코스피</t>
        </is>
      </c>
      <c r="D3416" s="2" t="inlineStr">
        <is>
          <t>001040</t>
        </is>
      </c>
      <c r="E3416" s="3" t="inlineStr">
        <is>
          <t xml:space="preserve">투자판단관련주요경영사항              </t>
        </is>
      </c>
      <c r="F3416" s="3" t="inlineStr">
        <is>
          <t>CJ</t>
        </is>
      </c>
      <c r="G3416" s="2" t="inlineStr">
        <is>
          <t>20260309801449</t>
        </is>
      </c>
      <c r="H3416" s="8">
        <f>HYPERLINK("https://dart.fss.or.kr/dsaf001/main.do?rcpNo=20260309801449", "공시열람")</f>
        <v/>
      </c>
    </row>
    <row r="3417">
      <c r="A3417" s="2" t="inlineStr">
        <is>
          <t>2026-03-09</t>
        </is>
      </c>
      <c r="B3417" s="3" t="inlineStr">
        <is>
          <t>한화생명</t>
        </is>
      </c>
      <c r="C3417" s="2" t="inlineStr">
        <is>
          <t>코스피</t>
        </is>
      </c>
      <c r="D3417" s="2" t="inlineStr">
        <is>
          <t>088350</t>
        </is>
      </c>
      <c r="E3417" s="3" t="inlineStr">
        <is>
          <t>임원ㆍ주요주주특정증권등소유상황보고서</t>
        </is>
      </c>
      <c r="F3417" s="3" t="inlineStr">
        <is>
          <t>김호두</t>
        </is>
      </c>
      <c r="G3417" s="2" t="inlineStr">
        <is>
          <t>20260309001868</t>
        </is>
      </c>
      <c r="H3417" s="8">
        <f>HYPERLINK("https://dart.fss.or.kr/dsaf001/main.do?rcpNo=20260309001868", "공시열람")</f>
        <v/>
      </c>
    </row>
    <row r="3418">
      <c r="A3418" s="2" t="inlineStr">
        <is>
          <t>2026-03-09 (정정: 2026-03-10)</t>
        </is>
      </c>
      <c r="B3418" s="3" t="inlineStr">
        <is>
          <t>동성케미컬</t>
        </is>
      </c>
      <c r="C3418" s="2" t="inlineStr">
        <is>
          <t>코스피</t>
        </is>
      </c>
      <c r="D3418" s="2" t="inlineStr">
        <is>
          <t>102260</t>
        </is>
      </c>
      <c r="E3418" s="3" t="inlineStr">
        <is>
          <t>의결권대리행사권유참고서류 (정정: 20260310)</t>
        </is>
      </c>
      <c r="F3418" s="3" t="inlineStr">
        <is>
          <t>동성케미컬</t>
        </is>
      </c>
      <c r="G3418" s="2" t="inlineStr">
        <is>
          <t>20260310800793</t>
        </is>
      </c>
      <c r="H3418" s="8">
        <f>HYPERLINK("https://dart.fss.or.kr/dsaf001/main.do?rcpNo=20260310800793", "공시열람")</f>
        <v/>
      </c>
    </row>
    <row r="3419">
      <c r="A3419" s="2" t="inlineStr">
        <is>
          <t>2026-03-09 (정정: 2026-03-10)</t>
        </is>
      </c>
      <c r="B3419" s="3" t="inlineStr">
        <is>
          <t>씨메스로보틱스</t>
        </is>
      </c>
      <c r="C3419" s="2" t="inlineStr">
        <is>
          <t>코스닥</t>
        </is>
      </c>
      <c r="D3419" s="2" t="inlineStr">
        <is>
          <t>475400</t>
        </is>
      </c>
      <c r="E3419" s="3" t="inlineStr">
        <is>
          <t>의결권대리행사권유참고서류 (정정: 20260310) (정정: 20260310) (정정: 20260310)</t>
        </is>
      </c>
      <c r="F3419" s="3" t="inlineStr">
        <is>
          <t>씨메스로보틱스</t>
        </is>
      </c>
      <c r="G3419" s="2" t="inlineStr">
        <is>
          <t>20260309001939</t>
        </is>
      </c>
      <c r="H3419" s="8">
        <f>HYPERLINK("https://dart.fss.or.kr/dsaf001/main.do?rcpNo=20260309001939", "공시열람")</f>
        <v/>
      </c>
    </row>
    <row r="3420">
      <c r="A3420" s="2" t="inlineStr">
        <is>
          <t>2026-03-09</t>
        </is>
      </c>
      <c r="B3420" s="3" t="inlineStr">
        <is>
          <t>녹십자웰빙</t>
        </is>
      </c>
      <c r="C3420" s="2" t="inlineStr">
        <is>
          <t>코스닥</t>
        </is>
      </c>
      <c r="D3420" s="2" t="inlineStr">
        <is>
          <t>234690</t>
        </is>
      </c>
      <c r="E3420" s="3" t="inlineStr">
        <is>
          <t>의결권대리행사권유참고서류</t>
        </is>
      </c>
      <c r="F3420" s="3" t="inlineStr">
        <is>
          <t>녹십자웰빙</t>
        </is>
      </c>
      <c r="G3420" s="2" t="inlineStr">
        <is>
          <t>20260309001864</t>
        </is>
      </c>
      <c r="H3420" s="8">
        <f>HYPERLINK("https://dart.fss.or.kr/dsaf001/main.do?rcpNo=20260309001864", "공시열람")</f>
        <v/>
      </c>
    </row>
    <row r="3421">
      <c r="A3421" s="2" t="inlineStr">
        <is>
          <t>2026-03-09</t>
        </is>
      </c>
      <c r="B3421" s="3" t="inlineStr">
        <is>
          <t>CJ제일제당</t>
        </is>
      </c>
      <c r="C3421" s="2" t="inlineStr">
        <is>
          <t>코스피</t>
        </is>
      </c>
      <c r="D3421" s="2" t="inlineStr">
        <is>
          <t>097950</t>
        </is>
      </c>
      <c r="E3421" s="3" t="inlineStr">
        <is>
          <t>동일인등출자계열회사와의상품ㆍ용역거래</t>
        </is>
      </c>
      <c r="F3421" s="3" t="inlineStr">
        <is>
          <t>CJ제일제당</t>
        </is>
      </c>
      <c r="G3421" s="2" t="inlineStr">
        <is>
          <t>20260309001863</t>
        </is>
      </c>
      <c r="H3421" s="8">
        <f>HYPERLINK("https://dart.fss.or.kr/dsaf001/main.do?rcpNo=20260309001863", "공시열람")</f>
        <v/>
      </c>
    </row>
    <row r="3422">
      <c r="A3422" s="2" t="inlineStr">
        <is>
          <t>2026-03-09</t>
        </is>
      </c>
      <c r="B3422" s="3" t="inlineStr">
        <is>
          <t>SK아이이테크놀로지</t>
        </is>
      </c>
      <c r="C3422" s="2" t="inlineStr">
        <is>
          <t>코스피</t>
        </is>
      </c>
      <c r="D3422" s="2" t="inlineStr">
        <is>
          <t>361610</t>
        </is>
      </c>
      <c r="E3422" s="3" t="inlineStr">
        <is>
          <t xml:space="preserve">감사보고서제출              </t>
        </is>
      </c>
      <c r="F3422" s="3" t="inlineStr">
        <is>
          <t>SK아이이테크놀로지</t>
        </is>
      </c>
      <c r="G3422" s="2" t="inlineStr">
        <is>
          <t>20260309801404</t>
        </is>
      </c>
      <c r="H3422" s="8">
        <f>HYPERLINK("https://dart.fss.or.kr/dsaf001/main.do?rcpNo=20260309801404", "공시열람")</f>
        <v/>
      </c>
    </row>
    <row r="3423">
      <c r="A3423" s="2" t="inlineStr">
        <is>
          <t>2026-03-09</t>
        </is>
      </c>
      <c r="B3423" s="3" t="inlineStr">
        <is>
          <t>인산가</t>
        </is>
      </c>
      <c r="C3423" s="2" t="inlineStr">
        <is>
          <t>코스닥</t>
        </is>
      </c>
      <c r="D3423" s="2" t="inlineStr">
        <is>
          <t>277410</t>
        </is>
      </c>
      <c r="E3423" s="3" t="inlineStr">
        <is>
          <t>의결권대리행사권유참고서류</t>
        </is>
      </c>
      <c r="F3423" s="3" t="inlineStr">
        <is>
          <t>인산가</t>
        </is>
      </c>
      <c r="G3423" s="2" t="inlineStr">
        <is>
          <t>20260309001862</t>
        </is>
      </c>
      <c r="H3423" s="8">
        <f>HYPERLINK("https://dart.fss.or.kr/dsaf001/main.do?rcpNo=20260309001862", "공시열람")</f>
        <v/>
      </c>
    </row>
    <row r="3424">
      <c r="A3424" s="2" t="inlineStr">
        <is>
          <t>2026-03-09</t>
        </is>
      </c>
      <c r="B3424" s="3" t="inlineStr">
        <is>
          <t>폴라리스AI</t>
        </is>
      </c>
      <c r="C3424" s="2" t="inlineStr">
        <is>
          <t>코스닥</t>
        </is>
      </c>
      <c r="D3424" s="2" t="inlineStr">
        <is>
          <t>039980</t>
        </is>
      </c>
      <c r="E3424" s="3" t="inlineStr">
        <is>
          <t xml:space="preserve">주식병합결정              </t>
        </is>
      </c>
      <c r="F3424" s="3" t="inlineStr">
        <is>
          <t>폴라리스AI</t>
        </is>
      </c>
      <c r="G3424" s="2" t="inlineStr">
        <is>
          <t>20260309901465</t>
        </is>
      </c>
      <c r="H3424" s="8">
        <f>HYPERLINK("https://dart.fss.or.kr/dsaf001/main.do?rcpNo=20260309901465", "공시열람")</f>
        <v/>
      </c>
    </row>
    <row r="3425">
      <c r="A3425" s="2" t="inlineStr">
        <is>
          <t>2026-03-09 (정정: 2026-03-11)</t>
        </is>
      </c>
      <c r="B3425" s="3" t="inlineStr">
        <is>
          <t>배럴</t>
        </is>
      </c>
      <c r="C3425" s="2" t="inlineStr">
        <is>
          <t>코스닥</t>
        </is>
      </c>
      <c r="D3425" s="2" t="inlineStr">
        <is>
          <t>267790</t>
        </is>
      </c>
      <c r="E3425" s="3" t="inlineStr">
        <is>
          <t>의결권대리행사권유참고서류 (정정: 20260311)</t>
        </is>
      </c>
      <c r="F3425" s="3" t="inlineStr">
        <is>
          <t>배럴</t>
        </is>
      </c>
      <c r="G3425" s="2" t="inlineStr">
        <is>
          <t>20260311901145</t>
        </is>
      </c>
      <c r="H3425" s="8">
        <f>HYPERLINK("https://dart.fss.or.kr/dsaf001/main.do?rcpNo=20260311901145", "공시열람")</f>
        <v/>
      </c>
    </row>
    <row r="3426">
      <c r="A3426" s="2" t="inlineStr">
        <is>
          <t>2026-03-09</t>
        </is>
      </c>
      <c r="B3426" s="3" t="inlineStr">
        <is>
          <t>넵튠</t>
        </is>
      </c>
      <c r="C3426" s="2" t="inlineStr">
        <is>
          <t>코스닥</t>
        </is>
      </c>
      <c r="D3426" s="2" t="inlineStr">
        <is>
          <t>217270</t>
        </is>
      </c>
      <c r="E3426" s="3" t="inlineStr">
        <is>
          <t xml:space="preserve">감사보고서제출              </t>
        </is>
      </c>
      <c r="F3426" s="3" t="inlineStr">
        <is>
          <t>넵튠</t>
        </is>
      </c>
      <c r="G3426" s="2" t="inlineStr">
        <is>
          <t>20260309901365</t>
        </is>
      </c>
      <c r="H3426" s="8">
        <f>HYPERLINK("https://dart.fss.or.kr/dsaf001/main.do?rcpNo=20260309901365", "공시열람")</f>
        <v/>
      </c>
    </row>
    <row r="3427">
      <c r="A3427" s="2" t="inlineStr">
        <is>
          <t>2026-03-09</t>
        </is>
      </c>
      <c r="B3427" s="3" t="inlineStr">
        <is>
          <t>CJ제일제당</t>
        </is>
      </c>
      <c r="C3427" s="2" t="inlineStr">
        <is>
          <t>코스피</t>
        </is>
      </c>
      <c r="D3427" s="2" t="inlineStr">
        <is>
          <t>097950</t>
        </is>
      </c>
      <c r="E3427" s="3" t="inlineStr">
        <is>
          <t>동일인등출자계열회사와의상품ㆍ용역거래</t>
        </is>
      </c>
      <c r="F3427" s="3" t="inlineStr">
        <is>
          <t>CJ제일제당</t>
        </is>
      </c>
      <c r="G3427" s="2" t="inlineStr">
        <is>
          <t>20260309001855</t>
        </is>
      </c>
      <c r="H3427" s="8">
        <f>HYPERLINK("https://dart.fss.or.kr/dsaf001/main.do?rcpNo=20260309001855", "공시열람")</f>
        <v/>
      </c>
    </row>
    <row r="3428">
      <c r="A3428" s="2" t="inlineStr">
        <is>
          <t>2026-03-09</t>
        </is>
      </c>
      <c r="B3428" s="3" t="inlineStr">
        <is>
          <t>폴라리스AI</t>
        </is>
      </c>
      <c r="C3428" s="2" t="inlineStr">
        <is>
          <t>코스닥</t>
        </is>
      </c>
      <c r="D3428" s="2" t="inlineStr">
        <is>
          <t>039980</t>
        </is>
      </c>
      <c r="E3428" s="3" t="inlineStr">
        <is>
          <t xml:space="preserve">매출액또는손익구조30%(대규모법인은15%)이상변동              </t>
        </is>
      </c>
      <c r="F3428" s="3" t="inlineStr">
        <is>
          <t>폴라리스AI</t>
        </is>
      </c>
      <c r="G3428" s="2" t="inlineStr">
        <is>
          <t>20260309901245</t>
        </is>
      </c>
      <c r="H3428" s="8">
        <f>HYPERLINK("https://dart.fss.or.kr/dsaf001/main.do?rcpNo=20260309901245", "공시열람")</f>
        <v/>
      </c>
    </row>
    <row r="3429">
      <c r="A3429" s="2" t="inlineStr">
        <is>
          <t>2026-03-09</t>
        </is>
      </c>
      <c r="B3429" s="3" t="inlineStr">
        <is>
          <t>CJ CGV</t>
        </is>
      </c>
      <c r="C3429" s="2" t="inlineStr">
        <is>
          <t>코스피</t>
        </is>
      </c>
      <c r="D3429" s="2" t="inlineStr">
        <is>
          <t>079160</t>
        </is>
      </c>
      <c r="E3429" s="3" t="inlineStr">
        <is>
          <t>의결권대리행사권유참고서류</t>
        </is>
      </c>
      <c r="F3429" s="3" t="inlineStr">
        <is>
          <t>CJ CGV</t>
        </is>
      </c>
      <c r="G3429" s="2" t="inlineStr">
        <is>
          <t>20260309001854</t>
        </is>
      </c>
      <c r="H3429" s="8">
        <f>HYPERLINK("https://dart.fss.or.kr/dsaf001/main.do?rcpNo=20260309001854", "공시열람")</f>
        <v/>
      </c>
    </row>
    <row r="3430">
      <c r="A3430" s="2" t="inlineStr">
        <is>
          <t>2026-03-09</t>
        </is>
      </c>
      <c r="B3430" s="3" t="inlineStr">
        <is>
          <t>나이스정보통신</t>
        </is>
      </c>
      <c r="C3430" s="2" t="inlineStr">
        <is>
          <t>코스닥</t>
        </is>
      </c>
      <c r="D3430" s="2" t="inlineStr">
        <is>
          <t>036800</t>
        </is>
      </c>
      <c r="E3430" s="3" t="inlineStr">
        <is>
          <t xml:space="preserve">현금ㆍ현물배당결정              </t>
        </is>
      </c>
      <c r="F3430" s="3" t="inlineStr">
        <is>
          <t>나이스정보통신</t>
        </is>
      </c>
      <c r="G3430" s="2" t="inlineStr">
        <is>
          <t>20260309901401</t>
        </is>
      </c>
      <c r="H3430" s="8">
        <f>HYPERLINK("https://dart.fss.or.kr/dsaf001/main.do?rcpNo=20260309901401", "공시열람")</f>
        <v/>
      </c>
    </row>
    <row r="3431">
      <c r="A3431" s="2" t="inlineStr">
        <is>
          <t>2026-03-09</t>
        </is>
      </c>
      <c r="B3431" s="3" t="inlineStr">
        <is>
          <t>케이피엠테크</t>
        </is>
      </c>
      <c r="C3431" s="2" t="inlineStr">
        <is>
          <t>코스닥</t>
        </is>
      </c>
      <c r="D3431" s="2" t="inlineStr">
        <is>
          <t>042040</t>
        </is>
      </c>
      <c r="E3431" s="3" t="inlineStr">
        <is>
          <t>의결권대리행사권유참고서류</t>
        </is>
      </c>
      <c r="F3431" s="3" t="inlineStr">
        <is>
          <t>케이피엠테크</t>
        </is>
      </c>
      <c r="G3431" s="2" t="inlineStr">
        <is>
          <t>20260309001852</t>
        </is>
      </c>
      <c r="H3431" s="8">
        <f>HYPERLINK("https://dart.fss.or.kr/dsaf001/main.do?rcpNo=20260309001852", "공시열람")</f>
        <v/>
      </c>
    </row>
    <row r="3432">
      <c r="A3432" s="2" t="inlineStr">
        <is>
          <t>2026-03-09</t>
        </is>
      </c>
      <c r="B3432" s="3" t="inlineStr">
        <is>
          <t>구영테크</t>
        </is>
      </c>
      <c r="C3432" s="2" t="inlineStr">
        <is>
          <t>코스닥</t>
        </is>
      </c>
      <c r="D3432" s="2" t="inlineStr">
        <is>
          <t>053270</t>
        </is>
      </c>
      <c r="E3432" s="3" t="inlineStr">
        <is>
          <t xml:space="preserve">현금ㆍ현물배당결정              </t>
        </is>
      </c>
      <c r="F3432" s="3" t="inlineStr">
        <is>
          <t>구영테크</t>
        </is>
      </c>
      <c r="G3432" s="2" t="inlineStr">
        <is>
          <t>20260309901206</t>
        </is>
      </c>
      <c r="H3432" s="8">
        <f>HYPERLINK("https://dart.fss.or.kr/dsaf001/main.do?rcpNo=20260309901206", "공시열람")</f>
        <v/>
      </c>
    </row>
    <row r="3433">
      <c r="A3433" s="2" t="inlineStr">
        <is>
          <t>2026-03-09</t>
        </is>
      </c>
      <c r="B3433" s="3" t="inlineStr">
        <is>
          <t>푸드나무</t>
        </is>
      </c>
      <c r="C3433" s="2" t="inlineStr">
        <is>
          <t>코스닥</t>
        </is>
      </c>
      <c r="D3433" s="2" t="inlineStr">
        <is>
          <t>290720</t>
        </is>
      </c>
      <c r="E3433" s="3" t="inlineStr">
        <is>
          <t xml:space="preserve">타법인주식및출자증권취득결정              </t>
        </is>
      </c>
      <c r="F3433" s="3" t="inlineStr">
        <is>
          <t>푸드나무</t>
        </is>
      </c>
      <c r="G3433" s="2" t="inlineStr">
        <is>
          <t>20260309901348</t>
        </is>
      </c>
      <c r="H3433" s="8">
        <f>HYPERLINK("https://dart.fss.or.kr/dsaf001/main.do?rcpNo=20260309901348", "공시열람")</f>
        <v/>
      </c>
    </row>
    <row r="3434">
      <c r="A3434" s="2" t="inlineStr">
        <is>
          <t>2026-03-09</t>
        </is>
      </c>
      <c r="B3434" s="3" t="inlineStr">
        <is>
          <t>씨메스로보틱스</t>
        </is>
      </c>
      <c r="C3434" s="2" t="inlineStr">
        <is>
          <t>코스닥</t>
        </is>
      </c>
      <c r="D3434" s="2" t="inlineStr">
        <is>
          <t>475400</t>
        </is>
      </c>
      <c r="E3434" s="3" t="inlineStr">
        <is>
          <t>주식매수선택권부여에관한신고</t>
        </is>
      </c>
      <c r="F3434" s="3" t="inlineStr">
        <is>
          <t>씨메스로보틱스</t>
        </is>
      </c>
      <c r="G3434" s="2" t="inlineStr">
        <is>
          <t>20260309001849</t>
        </is>
      </c>
      <c r="H3434" s="8">
        <f>HYPERLINK("https://dart.fss.or.kr/dsaf001/main.do?rcpNo=20260309001849", "공시열람")</f>
        <v/>
      </c>
    </row>
    <row r="3435">
      <c r="A3435" s="2" t="inlineStr">
        <is>
          <t>2026-03-09</t>
        </is>
      </c>
      <c r="B3435" s="3" t="inlineStr">
        <is>
          <t>비스토스</t>
        </is>
      </c>
      <c r="C3435" s="2" t="inlineStr">
        <is>
          <t>코스닥</t>
        </is>
      </c>
      <c r="D3435" s="2" t="inlineStr">
        <is>
          <t>419540</t>
        </is>
      </c>
      <c r="E3435" s="3" t="inlineStr">
        <is>
          <t xml:space="preserve">주식병합결정              </t>
        </is>
      </c>
      <c r="F3435" s="3" t="inlineStr">
        <is>
          <t>비스토스</t>
        </is>
      </c>
      <c r="G3435" s="2" t="inlineStr">
        <is>
          <t>20260309901359</t>
        </is>
      </c>
      <c r="H3435" s="8">
        <f>HYPERLINK("https://dart.fss.or.kr/dsaf001/main.do?rcpNo=20260309901359", "공시열람")</f>
        <v/>
      </c>
    </row>
    <row r="3436">
      <c r="A3436" s="2" t="inlineStr">
        <is>
          <t>2026-03-09</t>
        </is>
      </c>
      <c r="B3436" s="3" t="inlineStr">
        <is>
          <t>CJ제일제당</t>
        </is>
      </c>
      <c r="C3436" s="2" t="inlineStr">
        <is>
          <t>코스피</t>
        </is>
      </c>
      <c r="D3436" s="2" t="inlineStr">
        <is>
          <t>097950</t>
        </is>
      </c>
      <c r="E3436" s="3" t="inlineStr">
        <is>
          <t>의결권대리행사권유참고서류</t>
        </is>
      </c>
      <c r="F3436" s="3" t="inlineStr">
        <is>
          <t>CJ제일제당</t>
        </is>
      </c>
      <c r="G3436" s="2" t="inlineStr">
        <is>
          <t>20260309001844</t>
        </is>
      </c>
      <c r="H3436" s="8">
        <f>HYPERLINK("https://dart.fss.or.kr/dsaf001/main.do?rcpNo=20260309001844", "공시열람")</f>
        <v/>
      </c>
    </row>
    <row r="3437">
      <c r="A3437" s="2" t="inlineStr">
        <is>
          <t>2026-03-09</t>
        </is>
      </c>
      <c r="B3437" s="3" t="inlineStr">
        <is>
          <t>쿠쿠홀딩스</t>
        </is>
      </c>
      <c r="C3437" s="2" t="inlineStr">
        <is>
          <t>코스피</t>
        </is>
      </c>
      <c r="D3437" s="2" t="inlineStr">
        <is>
          <t>192400</t>
        </is>
      </c>
      <c r="E3437" s="3" t="inlineStr">
        <is>
          <t xml:space="preserve">현금ㆍ현물배당결정              </t>
        </is>
      </c>
      <c r="F3437" s="3" t="inlineStr">
        <is>
          <t>쿠쿠홀딩스</t>
        </is>
      </c>
      <c r="G3437" s="2" t="inlineStr">
        <is>
          <t>20260309801371</t>
        </is>
      </c>
      <c r="H3437" s="8">
        <f>HYPERLINK("https://dart.fss.or.kr/dsaf001/main.do?rcpNo=20260309801371", "공시열람")</f>
        <v/>
      </c>
    </row>
    <row r="3438">
      <c r="A3438" s="2" t="inlineStr">
        <is>
          <t>2026-03-09</t>
        </is>
      </c>
      <c r="B3438" s="3" t="inlineStr">
        <is>
          <t>흥구석유</t>
        </is>
      </c>
      <c r="C3438" s="2" t="inlineStr">
        <is>
          <t>코스닥</t>
        </is>
      </c>
      <c r="D3438" s="2" t="inlineStr">
        <is>
          <t>024060</t>
        </is>
      </c>
      <c r="E3438" s="3" t="inlineStr">
        <is>
          <t>임원ㆍ주요주주특정증권등소유상황보고서</t>
        </is>
      </c>
      <c r="F3438" s="3" t="inlineStr">
        <is>
          <t>서상덕</t>
        </is>
      </c>
      <c r="G3438" s="2" t="inlineStr">
        <is>
          <t>20260309001842</t>
        </is>
      </c>
      <c r="H3438" s="8">
        <f>HYPERLINK("https://dart.fss.or.kr/dsaf001/main.do?rcpNo=20260309001842", "공시열람")</f>
        <v/>
      </c>
    </row>
    <row r="3439">
      <c r="A3439" s="2" t="inlineStr">
        <is>
          <t>2026-03-09</t>
        </is>
      </c>
      <c r="B3439" s="3" t="inlineStr">
        <is>
          <t>케이피엠테크</t>
        </is>
      </c>
      <c r="C3439" s="2" t="inlineStr">
        <is>
          <t>코스닥</t>
        </is>
      </c>
      <c r="D3439" s="2" t="inlineStr">
        <is>
          <t>042040</t>
        </is>
      </c>
      <c r="E3439" s="3" t="inlineStr">
        <is>
          <t xml:space="preserve">주식병합결정              </t>
        </is>
      </c>
      <c r="F3439" s="3" t="inlineStr">
        <is>
          <t>케이피엠테크</t>
        </is>
      </c>
      <c r="G3439" s="2" t="inlineStr">
        <is>
          <t>20260309901427</t>
        </is>
      </c>
      <c r="H3439" s="8">
        <f>HYPERLINK("https://dart.fss.or.kr/dsaf001/main.do?rcpNo=20260309901427", "공시열람")</f>
        <v/>
      </c>
    </row>
    <row r="3440">
      <c r="A3440" s="2" t="inlineStr">
        <is>
          <t>2026-03-09</t>
        </is>
      </c>
      <c r="B3440" s="3" t="inlineStr">
        <is>
          <t>동성케미컬</t>
        </is>
      </c>
      <c r="C3440" s="2" t="inlineStr">
        <is>
          <t>코스피</t>
        </is>
      </c>
      <c r="D3440" s="2" t="inlineStr">
        <is>
          <t>102260</t>
        </is>
      </c>
      <c r="E3440" s="3" t="inlineStr">
        <is>
          <t xml:space="preserve">현금ㆍ현물배당결정              </t>
        </is>
      </c>
      <c r="F3440" s="3" t="inlineStr">
        <is>
          <t>동성케미컬</t>
        </is>
      </c>
      <c r="G3440" s="2" t="inlineStr">
        <is>
          <t>20260309801425</t>
        </is>
      </c>
      <c r="H3440" s="8">
        <f>HYPERLINK("https://dart.fss.or.kr/dsaf001/main.do?rcpNo=20260309801425", "공시열람")</f>
        <v/>
      </c>
    </row>
    <row r="3441">
      <c r="A3441" s="2" t="inlineStr">
        <is>
          <t>2026-03-09</t>
        </is>
      </c>
      <c r="B3441" s="3" t="inlineStr">
        <is>
          <t>케이이엠텍</t>
        </is>
      </c>
      <c r="C3441" s="2" t="inlineStr">
        <is>
          <t>코스닥</t>
        </is>
      </c>
      <c r="D3441" s="2" t="inlineStr">
        <is>
          <t>106080</t>
        </is>
      </c>
      <c r="E3441" s="3" t="inlineStr">
        <is>
          <t>주권매매거래정지              (주식의 병합, 분할 등 전자등록 변경, 말소)</t>
        </is>
      </c>
      <c r="F3441" s="3" t="inlineStr">
        <is>
          <t>코스닥시장본부</t>
        </is>
      </c>
      <c r="G3441" s="2" t="inlineStr">
        <is>
          <t>20260309901397</t>
        </is>
      </c>
      <c r="H3441" s="8">
        <f>HYPERLINK("https://dart.fss.or.kr/dsaf001/main.do?rcpNo=20260309901397", "공시열람")</f>
        <v/>
      </c>
    </row>
    <row r="3442">
      <c r="A3442" s="2" t="inlineStr">
        <is>
          <t>2026-03-09</t>
        </is>
      </c>
      <c r="B3442" s="3" t="inlineStr">
        <is>
          <t>이노벡스</t>
        </is>
      </c>
      <c r="C3442" s="2" t="inlineStr">
        <is>
          <t>코넥스</t>
        </is>
      </c>
      <c r="D3442" s="2" t="inlineStr">
        <is>
          <t>279060</t>
        </is>
      </c>
      <c r="E3442" s="3" t="inlineStr">
        <is>
          <t>주권매매거래정지기간변경              (회생절차 개시결정)</t>
        </is>
      </c>
      <c r="F3442" s="3" t="inlineStr">
        <is>
          <t>코넥스시장</t>
        </is>
      </c>
      <c r="G3442" s="2" t="inlineStr">
        <is>
          <t>20260309601342</t>
        </is>
      </c>
      <c r="H3442" s="8">
        <f>HYPERLINK("https://dart.fss.or.kr/dsaf001/main.do?rcpNo=20260309601342", "공시열람")</f>
        <v/>
      </c>
    </row>
    <row r="3443">
      <c r="A3443" s="2" t="inlineStr">
        <is>
          <t>2026-03-09</t>
        </is>
      </c>
      <c r="B3443" s="3" t="inlineStr">
        <is>
          <t>DB증권</t>
        </is>
      </c>
      <c r="C3443" s="2" t="inlineStr">
        <is>
          <t>코스피</t>
        </is>
      </c>
      <c r="D3443" s="2" t="inlineStr">
        <is>
          <t>016610</t>
        </is>
      </c>
      <c r="E3443" s="3" t="inlineStr">
        <is>
          <t>투자설명서(일괄신고)</t>
        </is>
      </c>
      <c r="F3443" s="3" t="inlineStr">
        <is>
          <t>DB증권</t>
        </is>
      </c>
      <c r="G3443" s="2" t="inlineStr">
        <is>
          <t>20260309001839</t>
        </is>
      </c>
      <c r="H3443" s="8">
        <f>HYPERLINK("https://dart.fss.or.kr/dsaf001/main.do?rcpNo=20260309001839", "공시열람")</f>
        <v/>
      </c>
    </row>
    <row r="3444">
      <c r="A3444" s="2" t="inlineStr">
        <is>
          <t>2026-03-09</t>
        </is>
      </c>
      <c r="B3444" s="3" t="inlineStr">
        <is>
          <t>대한항공</t>
        </is>
      </c>
      <c r="C3444" s="2" t="inlineStr">
        <is>
          <t>코스피</t>
        </is>
      </c>
      <c r="D3444" s="2" t="inlineStr">
        <is>
          <t>003490</t>
        </is>
      </c>
      <c r="E3444" s="3" t="inlineStr">
        <is>
          <t>[발행조건확정]증권신고서(채무증권)</t>
        </is>
      </c>
      <c r="F3444" s="3" t="inlineStr">
        <is>
          <t>대한항공</t>
        </is>
      </c>
      <c r="G3444" s="2" t="inlineStr">
        <is>
          <t>20260309001835</t>
        </is>
      </c>
      <c r="H3444" s="8">
        <f>HYPERLINK("https://dart.fss.or.kr/dsaf001/main.do?rcpNo=20260309001835", "공시열람")</f>
        <v/>
      </c>
    </row>
    <row r="3445">
      <c r="A3445" s="2" t="inlineStr">
        <is>
          <t>2026-03-09</t>
        </is>
      </c>
      <c r="B3445" s="3" t="inlineStr">
        <is>
          <t>DB증권</t>
        </is>
      </c>
      <c r="C3445" s="2" t="inlineStr">
        <is>
          <t>코스피</t>
        </is>
      </c>
      <c r="D3445" s="2" t="inlineStr">
        <is>
          <t>016610</t>
        </is>
      </c>
      <c r="E3445" s="3" t="inlineStr">
        <is>
          <t>일괄신고추가서류(기타파생결합사채)</t>
        </is>
      </c>
      <c r="F3445" s="3" t="inlineStr">
        <is>
          <t>DB증권</t>
        </is>
      </c>
      <c r="G3445" s="2" t="inlineStr">
        <is>
          <t>20260309001834</t>
        </is>
      </c>
      <c r="H3445" s="8">
        <f>HYPERLINK("https://dart.fss.or.kr/dsaf001/main.do?rcpNo=20260309001834", "공시열람")</f>
        <v/>
      </c>
    </row>
    <row r="3446">
      <c r="A3446" s="2" t="inlineStr">
        <is>
          <t>2026-03-09</t>
        </is>
      </c>
      <c r="B3446" s="3" t="inlineStr">
        <is>
          <t>롯데지주</t>
        </is>
      </c>
      <c r="C3446" s="2" t="inlineStr">
        <is>
          <t>코스피</t>
        </is>
      </c>
      <c r="D3446" s="2" t="inlineStr">
        <is>
          <t>004990</t>
        </is>
      </c>
      <c r="E3446" s="3" t="inlineStr">
        <is>
          <t>의결권대리행사권유참고서류</t>
        </is>
      </c>
      <c r="F3446" s="3" t="inlineStr">
        <is>
          <t>롯데지주</t>
        </is>
      </c>
      <c r="G3446" s="2" t="inlineStr">
        <is>
          <t>20260309001833</t>
        </is>
      </c>
      <c r="H3446" s="8">
        <f>HYPERLINK("https://dart.fss.or.kr/dsaf001/main.do?rcpNo=20260309001833", "공시열람")</f>
        <v/>
      </c>
    </row>
    <row r="3447">
      <c r="A3447" s="2" t="inlineStr">
        <is>
          <t>2026-03-09</t>
        </is>
      </c>
      <c r="B3447" s="3" t="inlineStr">
        <is>
          <t>미래에셋비전스팩5호</t>
        </is>
      </c>
      <c r="C3447" s="2" t="inlineStr">
        <is>
          <t>코스닥</t>
        </is>
      </c>
      <c r="D3447" s="2" t="inlineStr">
        <is>
          <t>477470</t>
        </is>
      </c>
      <c r="E3447" s="3" t="inlineStr">
        <is>
          <t xml:space="preserve">감사보고서제출              </t>
        </is>
      </c>
      <c r="F3447" s="3" t="inlineStr">
        <is>
          <t>미래에셋비전스팩5호</t>
        </is>
      </c>
      <c r="G3447" s="2" t="inlineStr">
        <is>
          <t>20260309901285</t>
        </is>
      </c>
      <c r="H3447" s="8">
        <f>HYPERLINK("https://dart.fss.or.kr/dsaf001/main.do?rcpNo=20260309901285", "공시열람")</f>
        <v/>
      </c>
    </row>
    <row r="3448">
      <c r="A3448" s="2" t="inlineStr">
        <is>
          <t>2026-03-09</t>
        </is>
      </c>
      <c r="B3448" s="3" t="inlineStr">
        <is>
          <t>배럴</t>
        </is>
      </c>
      <c r="C3448" s="2" t="inlineStr">
        <is>
          <t>코스닥</t>
        </is>
      </c>
      <c r="D3448" s="2" t="inlineStr">
        <is>
          <t>267790</t>
        </is>
      </c>
      <c r="E3448" s="3" t="inlineStr">
        <is>
          <t xml:space="preserve">현금ㆍ현물배당결정              </t>
        </is>
      </c>
      <c r="F3448" s="3" t="inlineStr">
        <is>
          <t>배럴</t>
        </is>
      </c>
      <c r="G3448" s="2" t="inlineStr">
        <is>
          <t>20260309901320</t>
        </is>
      </c>
      <c r="H3448" s="8">
        <f>HYPERLINK("https://dart.fss.or.kr/dsaf001/main.do?rcpNo=20260309901320", "공시열람")</f>
        <v/>
      </c>
    </row>
    <row r="3449">
      <c r="A3449" s="2" t="inlineStr">
        <is>
          <t>2026-03-09</t>
        </is>
      </c>
      <c r="B3449" s="3" t="inlineStr">
        <is>
          <t>한올바이오파마</t>
        </is>
      </c>
      <c r="C3449" s="2" t="inlineStr">
        <is>
          <t>코스피</t>
        </is>
      </c>
      <c r="D3449" s="2" t="inlineStr">
        <is>
          <t>009420</t>
        </is>
      </c>
      <c r="E3449" s="3" t="inlineStr">
        <is>
          <t>주요사항보고서(자기주식처분결정)</t>
        </is>
      </c>
      <c r="F3449" s="3" t="inlineStr">
        <is>
          <t>한올바이오파마</t>
        </is>
      </c>
      <c r="G3449" s="2" t="inlineStr">
        <is>
          <t>20260309001777</t>
        </is>
      </c>
      <c r="H3449" s="8">
        <f>HYPERLINK("https://dart.fss.or.kr/dsaf001/main.do?rcpNo=20260309001777", "공시열람")</f>
        <v/>
      </c>
    </row>
    <row r="3450">
      <c r="A3450" s="2" t="inlineStr">
        <is>
          <t>2026-03-09 (정정: 2026-03-09)</t>
        </is>
      </c>
      <c r="B3450" s="3" t="inlineStr">
        <is>
          <t>모아데이타</t>
        </is>
      </c>
      <c r="C3450" s="2" t="inlineStr">
        <is>
          <t>코스닥</t>
        </is>
      </c>
      <c r="D3450" s="2" t="inlineStr">
        <is>
          <t>288980</t>
        </is>
      </c>
      <c r="E3450" s="3" t="inlineStr">
        <is>
          <t>증권발행결과(자율공시)               (정정: 20260309)</t>
        </is>
      </c>
      <c r="F3450" s="3" t="inlineStr">
        <is>
          <t>모아데이타</t>
        </is>
      </c>
      <c r="G3450" s="2" t="inlineStr">
        <is>
          <t>20260309001817</t>
        </is>
      </c>
      <c r="H3450" s="8">
        <f>HYPERLINK("https://dart.fss.or.kr/dsaf001/main.do?rcpNo=20260309001817", "공시열람")</f>
        <v/>
      </c>
    </row>
    <row r="3451">
      <c r="A3451" s="2" t="inlineStr">
        <is>
          <t>2026-03-09</t>
        </is>
      </c>
      <c r="B3451" s="3" t="inlineStr">
        <is>
          <t>CJ CGV</t>
        </is>
      </c>
      <c r="C3451" s="2" t="inlineStr">
        <is>
          <t>코스피</t>
        </is>
      </c>
      <c r="D3451" s="2" t="inlineStr">
        <is>
          <t>079160</t>
        </is>
      </c>
      <c r="E3451" s="3" t="inlineStr">
        <is>
          <t>주요사항보고서(자본으로인정되는채무증권발행결정)</t>
        </is>
      </c>
      <c r="F3451" s="3" t="inlineStr">
        <is>
          <t>CJ CGV</t>
        </is>
      </c>
      <c r="G3451" s="2" t="inlineStr">
        <is>
          <t>20260309001829</t>
        </is>
      </c>
      <c r="H3451" s="8">
        <f>HYPERLINK("https://dart.fss.or.kr/dsaf001/main.do?rcpNo=20260309001829", "공시열람")</f>
        <v/>
      </c>
    </row>
    <row r="3452">
      <c r="A3452" s="2" t="inlineStr">
        <is>
          <t>2026-03-09</t>
        </is>
      </c>
      <c r="B3452" s="3" t="inlineStr">
        <is>
          <t>이노벡스</t>
        </is>
      </c>
      <c r="C3452" s="2" t="inlineStr">
        <is>
          <t>코넥스</t>
        </is>
      </c>
      <c r="D3452" s="2" t="inlineStr">
        <is>
          <t>279060</t>
        </is>
      </c>
      <c r="E3452" s="3" t="inlineStr">
        <is>
          <t xml:space="preserve">회생절차개시결정              </t>
        </is>
      </c>
      <c r="F3452" s="3" t="inlineStr">
        <is>
          <t>이노벡스</t>
        </is>
      </c>
      <c r="G3452" s="2" t="inlineStr">
        <is>
          <t>20260309601327</t>
        </is>
      </c>
      <c r="H3452" s="8">
        <f>HYPERLINK("https://dart.fss.or.kr/dsaf001/main.do?rcpNo=20260309601327", "공시열람")</f>
        <v/>
      </c>
    </row>
    <row r="3453">
      <c r="A3453" s="2" t="inlineStr">
        <is>
          <t>2026-03-09 (정정: 2026-03-09)</t>
        </is>
      </c>
      <c r="B3453" s="3" t="inlineStr">
        <is>
          <t>한컴라이프케어</t>
        </is>
      </c>
      <c r="C3453" s="2" t="inlineStr">
        <is>
          <t>코스피</t>
        </is>
      </c>
      <c r="D3453" s="2" t="inlineStr">
        <is>
          <t>372910</t>
        </is>
      </c>
      <c r="E3453" s="3" t="inlineStr">
        <is>
          <t xml:space="preserve">[기재정정]거래처와의거래중단              </t>
        </is>
      </c>
      <c r="F3453" s="3" t="inlineStr">
        <is>
          <t>한컴라이프케어</t>
        </is>
      </c>
      <c r="G3453" s="2" t="inlineStr">
        <is>
          <t>20260309801253</t>
        </is>
      </c>
      <c r="H3453" s="8">
        <f>HYPERLINK("https://dart.fss.or.kr/dsaf001/main.do?rcpNo=20260309801253", "공시열람")</f>
        <v/>
      </c>
    </row>
    <row r="3454">
      <c r="A3454" s="2" t="inlineStr">
        <is>
          <t>2026-03-09</t>
        </is>
      </c>
      <c r="B3454" s="3" t="inlineStr">
        <is>
          <t>광주신세계</t>
        </is>
      </c>
      <c r="C3454" s="2" t="inlineStr">
        <is>
          <t>코스피</t>
        </is>
      </c>
      <c r="D3454" s="2" t="inlineStr">
        <is>
          <t>037710</t>
        </is>
      </c>
      <c r="E3454" s="3" t="inlineStr">
        <is>
          <t xml:space="preserve">감사보고서제출              </t>
        </is>
      </c>
      <c r="F3454" s="3" t="inlineStr">
        <is>
          <t>광주신세계</t>
        </is>
      </c>
      <c r="G3454" s="2" t="inlineStr">
        <is>
          <t>20260309801344</t>
        </is>
      </c>
      <c r="H3454" s="8">
        <f>HYPERLINK("https://dart.fss.or.kr/dsaf001/main.do?rcpNo=20260309801344", "공시열람")</f>
        <v/>
      </c>
    </row>
    <row r="3455">
      <c r="A3455" s="2" t="inlineStr">
        <is>
          <t>2026-03-09</t>
        </is>
      </c>
      <c r="B3455" s="3" t="inlineStr">
        <is>
          <t>CJ CGV</t>
        </is>
      </c>
      <c r="C3455" s="2" t="inlineStr">
        <is>
          <t>코스피</t>
        </is>
      </c>
      <c r="D3455" s="2" t="inlineStr">
        <is>
          <t>079160</t>
        </is>
      </c>
      <c r="E3455" s="3" t="inlineStr">
        <is>
          <t>주요사항보고서(자본으로인정되는채무증권발행결정)</t>
        </is>
      </c>
      <c r="F3455" s="3" t="inlineStr">
        <is>
          <t>CJ CGV</t>
        </is>
      </c>
      <c r="G3455" s="2" t="inlineStr">
        <is>
          <t>20260309001826</t>
        </is>
      </c>
      <c r="H3455" s="8">
        <f>HYPERLINK("https://dart.fss.or.kr/dsaf001/main.do?rcpNo=20260309001826", "공시열람")</f>
        <v/>
      </c>
    </row>
    <row r="3456">
      <c r="A3456" s="2" t="inlineStr">
        <is>
          <t>2026-03-09</t>
        </is>
      </c>
      <c r="B3456" s="3" t="inlineStr">
        <is>
          <t>나이스정보통신</t>
        </is>
      </c>
      <c r="C3456" s="2" t="inlineStr">
        <is>
          <t>코스닥</t>
        </is>
      </c>
      <c r="D3456" s="2" t="inlineStr">
        <is>
          <t>036800</t>
        </is>
      </c>
      <c r="E3456" s="3" t="inlineStr">
        <is>
          <t xml:space="preserve">현금ㆍ현물배당을위한주주명부폐쇄(기준일)결정              </t>
        </is>
      </c>
      <c r="F3456" s="3" t="inlineStr">
        <is>
          <t>나이스정보통신</t>
        </is>
      </c>
      <c r="G3456" s="2" t="inlineStr">
        <is>
          <t>20260309901386</t>
        </is>
      </c>
      <c r="H3456" s="8">
        <f>HYPERLINK("https://dart.fss.or.kr/dsaf001/main.do?rcpNo=20260309901386", "공시열람")</f>
        <v/>
      </c>
    </row>
    <row r="3457">
      <c r="A3457" s="2" t="inlineStr">
        <is>
          <t>2026-03-09</t>
        </is>
      </c>
      <c r="B3457" s="3" t="inlineStr">
        <is>
          <t>로젠</t>
        </is>
      </c>
      <c r="C3457" s="2" t="inlineStr">
        <is>
          <t>코스닥</t>
        </is>
      </c>
      <c r="D3457" s="2" t="inlineStr">
        <is>
          <t>033290</t>
        </is>
      </c>
      <c r="E3457" s="3" t="inlineStr">
        <is>
          <t>주권매매거래정지              (합병)</t>
        </is>
      </c>
      <c r="F3457" s="3" t="inlineStr">
        <is>
          <t>코스닥시장본부</t>
        </is>
      </c>
      <c r="G3457" s="2" t="inlineStr">
        <is>
          <t>20260309901347</t>
        </is>
      </c>
      <c r="H3457" s="8">
        <f>HYPERLINK("https://dart.fss.or.kr/dsaf001/main.do?rcpNo=20260309901347", "공시열람")</f>
        <v/>
      </c>
    </row>
    <row r="3458">
      <c r="A3458" s="2" t="inlineStr">
        <is>
          <t>2026-03-09</t>
        </is>
      </c>
      <c r="B3458" s="3" t="inlineStr">
        <is>
          <t>한진</t>
        </is>
      </c>
      <c r="C3458" s="2" t="inlineStr">
        <is>
          <t>코스피</t>
        </is>
      </c>
      <c r="D3458" s="2" t="inlineStr">
        <is>
          <t>002320</t>
        </is>
      </c>
      <c r="E3458" s="3" t="inlineStr">
        <is>
          <t xml:space="preserve">현금ㆍ현물배당결정              </t>
        </is>
      </c>
      <c r="F3458" s="3" t="inlineStr">
        <is>
          <t>한진</t>
        </is>
      </c>
      <c r="G3458" s="2" t="inlineStr">
        <is>
          <t>20260309801255</t>
        </is>
      </c>
      <c r="H3458" s="8">
        <f>HYPERLINK("https://dart.fss.or.kr/dsaf001/main.do?rcpNo=20260309801255", "공시열람")</f>
        <v/>
      </c>
    </row>
    <row r="3459">
      <c r="A3459" s="2" t="inlineStr">
        <is>
          <t>2026-03-09</t>
        </is>
      </c>
      <c r="B3459" s="3" t="inlineStr">
        <is>
          <t>모다이노칩</t>
        </is>
      </c>
      <c r="C3459" s="2" t="inlineStr">
        <is>
          <t>코스닥</t>
        </is>
      </c>
      <c r="D3459" s="2" t="inlineStr">
        <is>
          <t>080420</t>
        </is>
      </c>
      <c r="E3459" s="3" t="inlineStr">
        <is>
          <t>주권매매거래정지              (합병)</t>
        </is>
      </c>
      <c r="F3459" s="3" t="inlineStr">
        <is>
          <t>코스닥시장본부</t>
        </is>
      </c>
      <c r="G3459" s="2" t="inlineStr">
        <is>
          <t>20260309901332</t>
        </is>
      </c>
      <c r="H3459" s="8">
        <f>HYPERLINK("https://dart.fss.or.kr/dsaf001/main.do?rcpNo=20260309901332", "공시열람")</f>
        <v/>
      </c>
    </row>
    <row r="3460">
      <c r="A3460" s="2" t="inlineStr">
        <is>
          <t>2026-03-09</t>
        </is>
      </c>
      <c r="B3460" s="3" t="inlineStr">
        <is>
          <t>폴라리스우노</t>
        </is>
      </c>
      <c r="C3460" s="2" t="inlineStr">
        <is>
          <t>코스닥</t>
        </is>
      </c>
      <c r="D3460" s="2" t="inlineStr">
        <is>
          <t>114630</t>
        </is>
      </c>
      <c r="E3460" s="3" t="inlineStr">
        <is>
          <t xml:space="preserve">주식병합결정              </t>
        </is>
      </c>
      <c r="F3460" s="3" t="inlineStr">
        <is>
          <t>폴라리스우노</t>
        </is>
      </c>
      <c r="G3460" s="2" t="inlineStr">
        <is>
          <t>20260309901381</t>
        </is>
      </c>
      <c r="H3460" s="8">
        <f>HYPERLINK("https://dart.fss.or.kr/dsaf001/main.do?rcpNo=20260309901381", "공시열람")</f>
        <v/>
      </c>
    </row>
    <row r="3461">
      <c r="A3461" s="2" t="inlineStr">
        <is>
          <t>2026-03-09</t>
        </is>
      </c>
      <c r="B3461" s="3" t="inlineStr">
        <is>
          <t>한국전자인증</t>
        </is>
      </c>
      <c r="C3461" s="2" t="inlineStr">
        <is>
          <t>코스닥</t>
        </is>
      </c>
      <c r="D3461" s="2" t="inlineStr">
        <is>
          <t>041460</t>
        </is>
      </c>
      <c r="E3461" s="3" t="inlineStr">
        <is>
          <t>의결권대리행사권유참고서류</t>
        </is>
      </c>
      <c r="F3461" s="3" t="inlineStr">
        <is>
          <t>한국전자인증</t>
        </is>
      </c>
      <c r="G3461" s="2" t="inlineStr">
        <is>
          <t>20260309001815</t>
        </is>
      </c>
      <c r="H3461" s="8">
        <f>HYPERLINK("https://dart.fss.or.kr/dsaf001/main.do?rcpNo=20260309001815", "공시열람")</f>
        <v/>
      </c>
    </row>
    <row r="3462">
      <c r="A3462" s="2" t="inlineStr">
        <is>
          <t>2026-03-09</t>
        </is>
      </c>
      <c r="B3462" s="3" t="inlineStr">
        <is>
          <t>세니젠</t>
        </is>
      </c>
      <c r="C3462" s="2" t="inlineStr">
        <is>
          <t>코스닥</t>
        </is>
      </c>
      <c r="D3462" s="2" t="inlineStr">
        <is>
          <t>188260</t>
        </is>
      </c>
      <c r="E3462" s="3" t="inlineStr">
        <is>
          <t xml:space="preserve">감사보고서제출              </t>
        </is>
      </c>
      <c r="F3462" s="3" t="inlineStr">
        <is>
          <t>세니젠</t>
        </is>
      </c>
      <c r="G3462" s="2" t="inlineStr">
        <is>
          <t>20260309901231</t>
        </is>
      </c>
      <c r="H3462" s="8">
        <f>HYPERLINK("https://dart.fss.or.kr/dsaf001/main.do?rcpNo=20260309901231", "공시열람")</f>
        <v/>
      </c>
    </row>
    <row r="3463">
      <c r="A3463" s="2" t="inlineStr">
        <is>
          <t>2026-03-09</t>
        </is>
      </c>
      <c r="B3463" s="3" t="inlineStr">
        <is>
          <t>폴라리스우노</t>
        </is>
      </c>
      <c r="C3463" s="2" t="inlineStr">
        <is>
          <t>코스닥</t>
        </is>
      </c>
      <c r="D3463" s="2" t="inlineStr">
        <is>
          <t>114630</t>
        </is>
      </c>
      <c r="E3463" s="3" t="inlineStr">
        <is>
          <t xml:space="preserve">매출액또는손익구조30%(대규모법인은15%)이상변동              </t>
        </is>
      </c>
      <c r="F3463" s="3" t="inlineStr">
        <is>
          <t>폴라리스우노</t>
        </is>
      </c>
      <c r="G3463" s="2" t="inlineStr">
        <is>
          <t>20260309901280</t>
        </is>
      </c>
      <c r="H3463" s="8">
        <f>HYPERLINK("https://dart.fss.or.kr/dsaf001/main.do?rcpNo=20260309901280", "공시열람")</f>
        <v/>
      </c>
    </row>
    <row r="3464">
      <c r="A3464" s="2" t="inlineStr">
        <is>
          <t>2026-03-09</t>
        </is>
      </c>
      <c r="B3464" s="3" t="inlineStr">
        <is>
          <t>에어부산</t>
        </is>
      </c>
      <c r="C3464" s="2" t="inlineStr">
        <is>
          <t>코스피</t>
        </is>
      </c>
      <c r="D3464" s="2" t="inlineStr">
        <is>
          <t>298690</t>
        </is>
      </c>
      <c r="E3464" s="3" t="inlineStr">
        <is>
          <t xml:space="preserve">감사보고서제출              </t>
        </is>
      </c>
      <c r="F3464" s="3" t="inlineStr">
        <is>
          <t>에어부산</t>
        </is>
      </c>
      <c r="G3464" s="2" t="inlineStr">
        <is>
          <t>20260309801295</t>
        </is>
      </c>
      <c r="H3464" s="8">
        <f>HYPERLINK("https://dart.fss.or.kr/dsaf001/main.do?rcpNo=20260309801295", "공시열람")</f>
        <v/>
      </c>
    </row>
    <row r="3465">
      <c r="A3465" s="2" t="inlineStr">
        <is>
          <t>2026-03-09</t>
        </is>
      </c>
      <c r="B3465" s="3" t="inlineStr">
        <is>
          <t>모토닉</t>
        </is>
      </c>
      <c r="C3465" s="2" t="inlineStr">
        <is>
          <t>코스피</t>
        </is>
      </c>
      <c r="D3465" s="2" t="inlineStr">
        <is>
          <t>009680</t>
        </is>
      </c>
      <c r="E3465" s="3" t="inlineStr">
        <is>
          <t xml:space="preserve">감사보고서제출              </t>
        </is>
      </c>
      <c r="F3465" s="3" t="inlineStr">
        <is>
          <t>모토닉</t>
        </is>
      </c>
      <c r="G3465" s="2" t="inlineStr">
        <is>
          <t>20260309801218</t>
        </is>
      </c>
      <c r="H3465" s="8">
        <f>HYPERLINK("https://dart.fss.or.kr/dsaf001/main.do?rcpNo=20260309801218", "공시열람")</f>
        <v/>
      </c>
    </row>
    <row r="3466">
      <c r="A3466" s="2" t="inlineStr">
        <is>
          <t>2026-03-09</t>
        </is>
      </c>
      <c r="B3466" s="3" t="inlineStr">
        <is>
          <t>대한해운</t>
        </is>
      </c>
      <c r="C3466" s="2" t="inlineStr">
        <is>
          <t>코스피</t>
        </is>
      </c>
      <c r="D3466" s="2" t="inlineStr">
        <is>
          <t>005880</t>
        </is>
      </c>
      <c r="E3466" s="3" t="inlineStr">
        <is>
          <t xml:space="preserve">기업설명회(IR)개최(안내공시)              </t>
        </is>
      </c>
      <c r="F3466" s="3" t="inlineStr">
        <is>
          <t>대한해운</t>
        </is>
      </c>
      <c r="G3466" s="2" t="inlineStr">
        <is>
          <t>20260309801301</t>
        </is>
      </c>
      <c r="H3466" s="8">
        <f>HYPERLINK("https://dart.fss.or.kr/dsaf001/main.do?rcpNo=20260309801301", "공시열람")</f>
        <v/>
      </c>
    </row>
    <row r="3467">
      <c r="A3467" s="2" t="inlineStr">
        <is>
          <t>2026-02-11 (정정: 2026-03-09)</t>
        </is>
      </c>
      <c r="B3467" s="3" t="inlineStr">
        <is>
          <t>세기상사</t>
        </is>
      </c>
      <c r="C3467" s="2" t="inlineStr">
        <is>
          <t>코스피</t>
        </is>
      </c>
      <c r="D3467" s="2" t="inlineStr">
        <is>
          <t>002420</t>
        </is>
      </c>
      <c r="E3467" s="3" t="inlineStr">
        <is>
          <t xml:space="preserve">[기재정정]매출액또는손익구조30%(대규모법인은15%)이상변경              </t>
        </is>
      </c>
      <c r="F3467" s="3" t="inlineStr">
        <is>
          <t>세기상사</t>
        </is>
      </c>
      <c r="G3467" s="2" t="inlineStr">
        <is>
          <t>20260309801258</t>
        </is>
      </c>
      <c r="H3467" s="8">
        <f>HYPERLINK("https://dart.fss.or.kr/dsaf001/main.do?rcpNo=20260309801258", "공시열람")</f>
        <v/>
      </c>
    </row>
    <row r="3468">
      <c r="A3468" s="2" t="inlineStr">
        <is>
          <t>2026-03-09</t>
        </is>
      </c>
      <c r="B3468" s="3" t="inlineStr">
        <is>
          <t>현대차증권</t>
        </is>
      </c>
      <c r="C3468" s="2" t="inlineStr">
        <is>
          <t>코스피</t>
        </is>
      </c>
      <c r="D3468" s="2" t="inlineStr">
        <is>
          <t>001500</t>
        </is>
      </c>
      <c r="E3468" s="3" t="inlineStr">
        <is>
          <t>투자설명서(일괄신고)</t>
        </is>
      </c>
      <c r="F3468" s="3" t="inlineStr">
        <is>
          <t>현대차증권</t>
        </is>
      </c>
      <c r="G3468" s="2" t="inlineStr">
        <is>
          <t>20260309001801</t>
        </is>
      </c>
      <c r="H3468" s="8">
        <f>HYPERLINK("https://dart.fss.or.kr/dsaf001/main.do?rcpNo=20260309001801", "공시열람")</f>
        <v/>
      </c>
    </row>
    <row r="3469">
      <c r="A3469" s="2" t="inlineStr">
        <is>
          <t>2026-03-09</t>
        </is>
      </c>
      <c r="B3469" s="3" t="inlineStr">
        <is>
          <t>오스테오닉</t>
        </is>
      </c>
      <c r="C3469" s="2" t="inlineStr">
        <is>
          <t>코스닥</t>
        </is>
      </c>
      <c r="D3469" s="2" t="inlineStr">
        <is>
          <t>226400</t>
        </is>
      </c>
      <c r="E3469" s="3" t="inlineStr">
        <is>
          <t>임원ㆍ주요주주특정증권등소유상황보고서</t>
        </is>
      </c>
      <c r="F3469" s="3" t="inlineStr">
        <is>
          <t>오동선</t>
        </is>
      </c>
      <c r="G3469" s="2" t="inlineStr">
        <is>
          <t>20260309001797</t>
        </is>
      </c>
      <c r="H3469" s="8">
        <f>HYPERLINK("https://dart.fss.or.kr/dsaf001/main.do?rcpNo=20260309001797", "공시열람")</f>
        <v/>
      </c>
    </row>
    <row r="3470">
      <c r="A3470" s="2" t="inlineStr">
        <is>
          <t>2026-03-09 (정정: 2026-03-10)</t>
        </is>
      </c>
      <c r="B3470" s="3" t="inlineStr">
        <is>
          <t>NH올원리츠</t>
        </is>
      </c>
      <c r="C3470" s="2" t="inlineStr">
        <is>
          <t>코스피</t>
        </is>
      </c>
      <c r="D3470" s="2" t="inlineStr">
        <is>
          <t>400760</t>
        </is>
      </c>
      <c r="E3470" s="3" t="inlineStr">
        <is>
          <t>의결권대리행사권유참고서류 (정정: 20260310)</t>
        </is>
      </c>
      <c r="F3470" s="3" t="inlineStr">
        <is>
          <t>NH올원리츠</t>
        </is>
      </c>
      <c r="G3470" s="2" t="inlineStr">
        <is>
          <t>20260310002025</t>
        </is>
      </c>
      <c r="H3470" s="8">
        <f>HYPERLINK("https://dart.fss.or.kr/dsaf001/main.do?rcpNo=20260310002025", "공시열람")</f>
        <v/>
      </c>
    </row>
    <row r="3471">
      <c r="A3471" s="2" t="inlineStr">
        <is>
          <t>2026-03-09</t>
        </is>
      </c>
      <c r="B3471" s="3" t="inlineStr">
        <is>
          <t>국순당</t>
        </is>
      </c>
      <c r="C3471" s="2" t="inlineStr">
        <is>
          <t>코스닥</t>
        </is>
      </c>
      <c r="D3471" s="2" t="inlineStr">
        <is>
          <t>043650</t>
        </is>
      </c>
      <c r="E3471" s="3" t="inlineStr">
        <is>
          <t xml:space="preserve">매출액또는손익구조30%(대규모법인은15%)이상변동              </t>
        </is>
      </c>
      <c r="F3471" s="3" t="inlineStr">
        <is>
          <t>국순당</t>
        </is>
      </c>
      <c r="G3471" s="2" t="inlineStr">
        <is>
          <t>20260309901268</t>
        </is>
      </c>
      <c r="H3471" s="8">
        <f>HYPERLINK("https://dart.fss.or.kr/dsaf001/main.do?rcpNo=20260309901268", "공시열람")</f>
        <v/>
      </c>
    </row>
    <row r="3472">
      <c r="A3472" s="2" t="inlineStr">
        <is>
          <t>2026-03-09</t>
        </is>
      </c>
      <c r="B3472" s="3" t="inlineStr">
        <is>
          <t>로젠</t>
        </is>
      </c>
      <c r="C3472" s="2" t="inlineStr">
        <is>
          <t>코스닥</t>
        </is>
      </c>
      <c r="D3472" s="2" t="inlineStr">
        <is>
          <t>033290</t>
        </is>
      </c>
      <c r="E3472" s="3" t="inlineStr">
        <is>
          <t xml:space="preserve">주주명부폐쇄기간또는기준일설정              </t>
        </is>
      </c>
      <c r="F3472" s="3" t="inlineStr">
        <is>
          <t>로젠</t>
        </is>
      </c>
      <c r="G3472" s="2" t="inlineStr">
        <is>
          <t>20260309901321</t>
        </is>
      </c>
      <c r="H3472" s="8">
        <f>HYPERLINK("https://dart.fss.or.kr/dsaf001/main.do?rcpNo=20260309901321", "공시열람")</f>
        <v/>
      </c>
    </row>
    <row r="3473">
      <c r="A3473" s="2" t="inlineStr">
        <is>
          <t>2026-03-09</t>
        </is>
      </c>
      <c r="B3473" s="3" t="inlineStr">
        <is>
          <t>모다이노칩</t>
        </is>
      </c>
      <c r="C3473" s="2" t="inlineStr">
        <is>
          <t>코스닥</t>
        </is>
      </c>
      <c r="D3473" s="2" t="inlineStr">
        <is>
          <t>080420</t>
        </is>
      </c>
      <c r="E3473" s="3" t="inlineStr">
        <is>
          <t xml:space="preserve">주주명부폐쇄기간또는기준일설정              </t>
        </is>
      </c>
      <c r="F3473" s="3" t="inlineStr">
        <is>
          <t>모다이노칩</t>
        </is>
      </c>
      <c r="G3473" s="2" t="inlineStr">
        <is>
          <t>20260309901318</t>
        </is>
      </c>
      <c r="H3473" s="8">
        <f>HYPERLINK("https://dart.fss.or.kr/dsaf001/main.do?rcpNo=20260309901318", "공시열람")</f>
        <v/>
      </c>
    </row>
    <row r="3474">
      <c r="A3474" s="2" t="inlineStr">
        <is>
          <t>2026-03-10</t>
        </is>
      </c>
      <c r="B3474" s="3" t="inlineStr">
        <is>
          <t>한미사이언스</t>
        </is>
      </c>
      <c r="C3474" s="2" t="inlineStr">
        <is>
          <t>코스피</t>
        </is>
      </c>
      <c r="D3474" s="2" t="inlineStr">
        <is>
          <t>008930</t>
        </is>
      </c>
      <c r="E3474" s="3" t="inlineStr">
        <is>
          <t xml:space="preserve">횡령ㆍ배임사실확인(자회사의 주요경영사항)              </t>
        </is>
      </c>
      <c r="F3474" s="3" t="inlineStr">
        <is>
          <t>한미사이언스</t>
        </is>
      </c>
      <c r="G3474" s="2" t="inlineStr">
        <is>
          <t>20260310802030</t>
        </is>
      </c>
      <c r="H3474" s="8">
        <f>HYPERLINK("https://dart.fss.or.kr/dsaf001/main.do?rcpNo=20260310802030", "공시열람")</f>
        <v/>
      </c>
    </row>
    <row r="3475">
      <c r="A3475" s="2" t="inlineStr">
        <is>
          <t>2026-03-10</t>
        </is>
      </c>
      <c r="B3475" s="3" t="inlineStr">
        <is>
          <t>알서포트</t>
        </is>
      </c>
      <c r="C3475" s="2" t="inlineStr">
        <is>
          <t>코스닥</t>
        </is>
      </c>
      <c r="D3475" s="2" t="inlineStr">
        <is>
          <t>131370</t>
        </is>
      </c>
      <c r="E3475" s="3" t="inlineStr">
        <is>
          <t xml:space="preserve">현금ㆍ현물배당결정              </t>
        </is>
      </c>
      <c r="F3475" s="3" t="inlineStr">
        <is>
          <t>알서포트</t>
        </is>
      </c>
      <c r="G3475" s="2" t="inlineStr">
        <is>
          <t>20260310901819</t>
        </is>
      </c>
      <c r="H3475" s="8">
        <f>HYPERLINK("https://dart.fss.or.kr/dsaf001/main.do?rcpNo=20260310901819", "공시열람")</f>
        <v/>
      </c>
    </row>
    <row r="3476">
      <c r="A3476" s="2" t="inlineStr">
        <is>
          <t>2026-03-10</t>
        </is>
      </c>
      <c r="B3476" s="3" t="inlineStr">
        <is>
          <t>한미약품</t>
        </is>
      </c>
      <c r="C3476" s="2" t="inlineStr">
        <is>
          <t>코스피</t>
        </is>
      </c>
      <c r="D3476" s="2" t="inlineStr">
        <is>
          <t>128940</t>
        </is>
      </c>
      <c r="E3476" s="3" t="inlineStr">
        <is>
          <t xml:space="preserve">횡령ㆍ배임사실확인              </t>
        </is>
      </c>
      <c r="F3476" s="3" t="inlineStr">
        <is>
          <t>한미약품</t>
        </is>
      </c>
      <c r="G3476" s="2" t="inlineStr">
        <is>
          <t>20260310802029</t>
        </is>
      </c>
      <c r="H3476" s="8">
        <f>HYPERLINK("https://dart.fss.or.kr/dsaf001/main.do?rcpNo=20260310802029", "공시열람")</f>
        <v/>
      </c>
    </row>
    <row r="3477">
      <c r="A3477" s="2" t="inlineStr">
        <is>
          <t>2026-03-10</t>
        </is>
      </c>
      <c r="B3477" s="3" t="inlineStr">
        <is>
          <t>인티큐브</t>
        </is>
      </c>
      <c r="C3477" s="2" t="inlineStr">
        <is>
          <t>코스닥</t>
        </is>
      </c>
      <c r="D3477" s="2" t="inlineStr">
        <is>
          <t>070590</t>
        </is>
      </c>
      <c r="E3477" s="3" t="inlineStr">
        <is>
          <t xml:space="preserve">기타시장안내(최대주주의의무보유관련)              </t>
        </is>
      </c>
      <c r="F3477" s="3" t="inlineStr">
        <is>
          <t>코스닥시장본부</t>
        </is>
      </c>
      <c r="G3477" s="2" t="inlineStr">
        <is>
          <t>20260310902025</t>
        </is>
      </c>
      <c r="H3477" s="8">
        <f>HYPERLINK("https://dart.fss.or.kr/dsaf001/main.do?rcpNo=20260310902025", "공시열람")</f>
        <v/>
      </c>
    </row>
    <row r="3478">
      <c r="A3478" s="2" t="inlineStr">
        <is>
          <t>2026-03-10</t>
        </is>
      </c>
      <c r="B3478" s="3" t="inlineStr">
        <is>
          <t>나이스디앤비</t>
        </is>
      </c>
      <c r="C3478" s="2" t="inlineStr">
        <is>
          <t>코스닥</t>
        </is>
      </c>
      <c r="D3478" s="2" t="inlineStr">
        <is>
          <t>130580</t>
        </is>
      </c>
      <c r="E3478" s="3" t="inlineStr">
        <is>
          <t xml:space="preserve">현금ㆍ현물배당결정              </t>
        </is>
      </c>
      <c r="F3478" s="3" t="inlineStr">
        <is>
          <t>나이스디앤비</t>
        </is>
      </c>
      <c r="G3478" s="2" t="inlineStr">
        <is>
          <t>20260310901996</t>
        </is>
      </c>
      <c r="H3478" s="8">
        <f>HYPERLINK("https://dart.fss.or.kr/dsaf001/main.do?rcpNo=20260310901996", "공시열람")</f>
        <v/>
      </c>
    </row>
    <row r="3479">
      <c r="A3479" s="2" t="inlineStr">
        <is>
          <t>2026-03-10</t>
        </is>
      </c>
      <c r="B3479" s="3" t="inlineStr">
        <is>
          <t>알서포트</t>
        </is>
      </c>
      <c r="C3479" s="2" t="inlineStr">
        <is>
          <t>코스닥</t>
        </is>
      </c>
      <c r="D3479" s="2" t="inlineStr">
        <is>
          <t>131370</t>
        </is>
      </c>
      <c r="E3479" s="3" t="inlineStr">
        <is>
          <t xml:space="preserve">매출액또는손익구조30%(대규모법인은15%)이상변동              </t>
        </is>
      </c>
      <c r="F3479" s="3" t="inlineStr">
        <is>
          <t>알서포트</t>
        </is>
      </c>
      <c r="G3479" s="2" t="inlineStr">
        <is>
          <t>20260310901810</t>
        </is>
      </c>
      <c r="H3479" s="8">
        <f>HYPERLINK("https://dart.fss.or.kr/dsaf001/main.do?rcpNo=20260310901810", "공시열람")</f>
        <v/>
      </c>
    </row>
    <row r="3480">
      <c r="A3480" s="2" t="inlineStr">
        <is>
          <t>2026-03-10</t>
        </is>
      </c>
      <c r="B3480" s="3" t="inlineStr">
        <is>
          <t>대신밸런스제19호스팩</t>
        </is>
      </c>
      <c r="C3480" s="2" t="inlineStr">
        <is>
          <t>코스닥</t>
        </is>
      </c>
      <c r="D3480" s="2" t="inlineStr">
        <is>
          <t>482690</t>
        </is>
      </c>
      <c r="E3480" s="3" t="inlineStr">
        <is>
          <t xml:space="preserve">감사보고서제출              </t>
        </is>
      </c>
      <c r="F3480" s="3" t="inlineStr">
        <is>
          <t>대신밸런스제19호스팩</t>
        </is>
      </c>
      <c r="G3480" s="2" t="inlineStr">
        <is>
          <t>20260310901975</t>
        </is>
      </c>
      <c r="H3480" s="8">
        <f>HYPERLINK("https://dart.fss.or.kr/dsaf001/main.do?rcpNo=20260310901975", "공시열람")</f>
        <v/>
      </c>
    </row>
    <row r="3481">
      <c r="A3481" s="2" t="inlineStr">
        <is>
          <t>2026-03-10</t>
        </is>
      </c>
      <c r="B3481" s="3" t="inlineStr">
        <is>
          <t>금강철강</t>
        </is>
      </c>
      <c r="C3481" s="2" t="inlineStr">
        <is>
          <t>코스닥</t>
        </is>
      </c>
      <c r="D3481" s="2" t="inlineStr">
        <is>
          <t>053260</t>
        </is>
      </c>
      <c r="E3481" s="3" t="inlineStr">
        <is>
          <t xml:space="preserve">소송등의판결ㆍ결정              </t>
        </is>
      </c>
      <c r="F3481" s="3" t="inlineStr">
        <is>
          <t>금강철강</t>
        </is>
      </c>
      <c r="G3481" s="2" t="inlineStr">
        <is>
          <t>20260310901998</t>
        </is>
      </c>
      <c r="H3481" s="8">
        <f>HYPERLINK("https://dart.fss.or.kr/dsaf001/main.do?rcpNo=20260310901998", "공시열람")</f>
        <v/>
      </c>
    </row>
    <row r="3482">
      <c r="A3482" s="2" t="inlineStr">
        <is>
          <t>2026-03-10 (정정: 2026-03-10)</t>
        </is>
      </c>
      <c r="B3482" s="3" t="inlineStr">
        <is>
          <t>코메론</t>
        </is>
      </c>
      <c r="C3482" s="2" t="inlineStr">
        <is>
          <t>코스닥</t>
        </is>
      </c>
      <c r="D3482" s="2" t="inlineStr">
        <is>
          <t>049430</t>
        </is>
      </c>
      <c r="E3482" s="3" t="inlineStr">
        <is>
          <t>감사보고서제출               (정정: 20260310)</t>
        </is>
      </c>
      <c r="F3482" s="3" t="inlineStr">
        <is>
          <t>코메론</t>
        </is>
      </c>
      <c r="G3482" s="2" t="inlineStr">
        <is>
          <t>20260310901600</t>
        </is>
      </c>
      <c r="H3482" s="8">
        <f>HYPERLINK("https://dart.fss.or.kr/dsaf001/main.do?rcpNo=20260310901600", "공시열람")</f>
        <v/>
      </c>
    </row>
    <row r="3483">
      <c r="A3483" s="2" t="inlineStr">
        <is>
          <t>2026-03-10</t>
        </is>
      </c>
      <c r="B3483" s="3" t="inlineStr">
        <is>
          <t>에스와이스틸텍</t>
        </is>
      </c>
      <c r="C3483" s="2" t="inlineStr">
        <is>
          <t>코스닥</t>
        </is>
      </c>
      <c r="D3483" s="2" t="inlineStr">
        <is>
          <t>365330</t>
        </is>
      </c>
      <c r="E3483" s="3" t="inlineStr">
        <is>
          <t xml:space="preserve">매출액또는손익구조30%(대규모법인은15%)이상변동              </t>
        </is>
      </c>
      <c r="F3483" s="3" t="inlineStr">
        <is>
          <t>에스와이스틸텍</t>
        </is>
      </c>
      <c r="G3483" s="2" t="inlineStr">
        <is>
          <t>20260310901979</t>
        </is>
      </c>
      <c r="H3483" s="8">
        <f>HYPERLINK("https://dart.fss.or.kr/dsaf001/main.do?rcpNo=20260310901979", "공시열람")</f>
        <v/>
      </c>
    </row>
    <row r="3484">
      <c r="A3484" s="2" t="inlineStr">
        <is>
          <t>2026-03-10</t>
        </is>
      </c>
      <c r="B3484" s="3" t="inlineStr">
        <is>
          <t>한독</t>
        </is>
      </c>
      <c r="C3484" s="2" t="inlineStr">
        <is>
          <t>코스피</t>
        </is>
      </c>
      <c r="D3484" s="2" t="inlineStr">
        <is>
          <t>002390</t>
        </is>
      </c>
      <c r="E3484" s="3" t="inlineStr">
        <is>
          <t xml:space="preserve">감사보고서제출              </t>
        </is>
      </c>
      <c r="F3484" s="3" t="inlineStr">
        <is>
          <t>한독</t>
        </is>
      </c>
      <c r="G3484" s="2" t="inlineStr">
        <is>
          <t>20260310801959</t>
        </is>
      </c>
      <c r="H3484" s="8">
        <f>HYPERLINK("https://dart.fss.or.kr/dsaf001/main.do?rcpNo=20260310801959", "공시열람")</f>
        <v/>
      </c>
    </row>
    <row r="3485">
      <c r="A3485" s="2" t="inlineStr">
        <is>
          <t>2026-03-10</t>
        </is>
      </c>
      <c r="B3485" s="3" t="inlineStr">
        <is>
          <t>콜마홀딩스</t>
        </is>
      </c>
      <c r="C3485" s="2" t="inlineStr">
        <is>
          <t>코스피</t>
        </is>
      </c>
      <c r="D3485" s="2" t="inlineStr">
        <is>
          <t>024720</t>
        </is>
      </c>
      <c r="E3485" s="3" t="inlineStr">
        <is>
          <t xml:space="preserve">현금ㆍ현물배당결정              </t>
        </is>
      </c>
      <c r="F3485" s="3" t="inlineStr">
        <is>
          <t>콜마홀딩스</t>
        </is>
      </c>
      <c r="G3485" s="2" t="inlineStr">
        <is>
          <t>20260310801995</t>
        </is>
      </c>
      <c r="H3485" s="8">
        <f>HYPERLINK("https://dart.fss.or.kr/dsaf001/main.do?rcpNo=20260310801995", "공시열람")</f>
        <v/>
      </c>
    </row>
    <row r="3486">
      <c r="A3486" s="2" t="inlineStr">
        <is>
          <t>2026-03-10</t>
        </is>
      </c>
      <c r="B3486" s="3" t="inlineStr">
        <is>
          <t>콜마홀딩스</t>
        </is>
      </c>
      <c r="C3486" s="2" t="inlineStr">
        <is>
          <t>코스피</t>
        </is>
      </c>
      <c r="D3486" s="2" t="inlineStr">
        <is>
          <t>024720</t>
        </is>
      </c>
      <c r="E3486" s="3" t="inlineStr">
        <is>
          <t xml:space="preserve">현금ㆍ현물배당을위한주주명부폐쇄(기준일)결정              </t>
        </is>
      </c>
      <c r="F3486" s="3" t="inlineStr">
        <is>
          <t>콜마홀딩스</t>
        </is>
      </c>
      <c r="G3486" s="2" t="inlineStr">
        <is>
          <t>20260310801993</t>
        </is>
      </c>
      <c r="H3486" s="8">
        <f>HYPERLINK("https://dart.fss.or.kr/dsaf001/main.do?rcpNo=20260310801993", "공시열람")</f>
        <v/>
      </c>
    </row>
    <row r="3487">
      <c r="A3487" s="2" t="inlineStr">
        <is>
          <t>2026-03-10</t>
        </is>
      </c>
      <c r="B3487" s="3" t="inlineStr">
        <is>
          <t>코나아이</t>
        </is>
      </c>
      <c r="C3487" s="2" t="inlineStr">
        <is>
          <t>코스닥</t>
        </is>
      </c>
      <c r="D3487" s="2" t="inlineStr">
        <is>
          <t>052400</t>
        </is>
      </c>
      <c r="E3487" s="3" t="inlineStr">
        <is>
          <t xml:space="preserve">감사보고서제출              </t>
        </is>
      </c>
      <c r="F3487" s="3" t="inlineStr">
        <is>
          <t>코나아이</t>
        </is>
      </c>
      <c r="G3487" s="2" t="inlineStr">
        <is>
          <t>20260310901924</t>
        </is>
      </c>
      <c r="H3487" s="8">
        <f>HYPERLINK("https://dart.fss.or.kr/dsaf001/main.do?rcpNo=20260310901924", "공시열람")</f>
        <v/>
      </c>
    </row>
    <row r="3488">
      <c r="A3488" s="2" t="inlineStr">
        <is>
          <t>2026-03-10</t>
        </is>
      </c>
      <c r="B3488" s="3" t="inlineStr">
        <is>
          <t>에이텍모빌리티</t>
        </is>
      </c>
      <c r="C3488" s="2" t="inlineStr">
        <is>
          <t>코스닥</t>
        </is>
      </c>
      <c r="D3488" s="2" t="inlineStr">
        <is>
          <t>224110</t>
        </is>
      </c>
      <c r="E3488" s="3" t="inlineStr">
        <is>
          <t xml:space="preserve">현금ㆍ현물배당결정              </t>
        </is>
      </c>
      <c r="F3488" s="3" t="inlineStr">
        <is>
          <t>에이텍모빌리티</t>
        </is>
      </c>
      <c r="G3488" s="2" t="inlineStr">
        <is>
          <t>20260310901912</t>
        </is>
      </c>
      <c r="H3488" s="8">
        <f>HYPERLINK("https://dart.fss.or.kr/dsaf001/main.do?rcpNo=20260310901912", "공시열람")</f>
        <v/>
      </c>
    </row>
    <row r="3489">
      <c r="A3489" s="2" t="inlineStr">
        <is>
          <t>2026-03-10</t>
        </is>
      </c>
      <c r="B3489" s="3" t="inlineStr">
        <is>
          <t>NPX</t>
        </is>
      </c>
      <c r="C3489" s="2" t="inlineStr">
        <is>
          <t>코스닥</t>
        </is>
      </c>
      <c r="D3489" s="2" t="inlineStr">
        <is>
          <t>222160</t>
        </is>
      </c>
      <c r="E3489" s="3" t="inlineStr">
        <is>
          <t>기타주요경영사항              (주요사항보고서(유상증자) 철회)</t>
        </is>
      </c>
      <c r="F3489" s="3" t="inlineStr">
        <is>
          <t>NPX</t>
        </is>
      </c>
      <c r="G3489" s="2" t="inlineStr">
        <is>
          <t>20260310901900</t>
        </is>
      </c>
      <c r="H3489" s="8">
        <f>HYPERLINK("https://dart.fss.or.kr/dsaf001/main.do?rcpNo=20260310901900", "공시열람")</f>
        <v/>
      </c>
    </row>
    <row r="3490">
      <c r="A3490" s="2" t="inlineStr">
        <is>
          <t>2026-03-10</t>
        </is>
      </c>
      <c r="B3490" s="3" t="inlineStr">
        <is>
          <t>에이텍모빌리티</t>
        </is>
      </c>
      <c r="C3490" s="2" t="inlineStr">
        <is>
          <t>코스닥</t>
        </is>
      </c>
      <c r="D3490" s="2" t="inlineStr">
        <is>
          <t>224110</t>
        </is>
      </c>
      <c r="E3490" s="3" t="inlineStr">
        <is>
          <t xml:space="preserve">매출액또는손익구조30%(대규모법인은15%)이상변동              </t>
        </is>
      </c>
      <c r="F3490" s="3" t="inlineStr">
        <is>
          <t>에이텍모빌리티</t>
        </is>
      </c>
      <c r="G3490" s="2" t="inlineStr">
        <is>
          <t>20260310901922</t>
        </is>
      </c>
      <c r="H3490" s="8">
        <f>HYPERLINK("https://dart.fss.or.kr/dsaf001/main.do?rcpNo=20260310901922", "공시열람")</f>
        <v/>
      </c>
    </row>
    <row r="3491">
      <c r="A3491" s="2" t="inlineStr">
        <is>
          <t>2026-03-10</t>
        </is>
      </c>
      <c r="B3491" s="3" t="inlineStr">
        <is>
          <t>미트박스</t>
        </is>
      </c>
      <c r="C3491" s="2" t="inlineStr">
        <is>
          <t>코스닥</t>
        </is>
      </c>
      <c r="D3491" s="2" t="inlineStr">
        <is>
          <t>475460</t>
        </is>
      </c>
      <c r="E3491" s="3" t="inlineStr">
        <is>
          <t>임원ㆍ주요주주특정증권등소유상황보고서</t>
        </is>
      </c>
      <c r="F3491" s="3" t="inlineStr">
        <is>
          <t>임경봉</t>
        </is>
      </c>
      <c r="G3491" s="2" t="inlineStr">
        <is>
          <t>20260310003099</t>
        </is>
      </c>
      <c r="H3491" s="8">
        <f>HYPERLINK("https://dart.fss.or.kr/dsaf001/main.do?rcpNo=20260310003099", "공시열람")</f>
        <v/>
      </c>
    </row>
    <row r="3492">
      <c r="A3492" s="2" t="inlineStr">
        <is>
          <t>2026-03-10</t>
        </is>
      </c>
      <c r="B3492" s="3" t="inlineStr">
        <is>
          <t>스코넥</t>
        </is>
      </c>
      <c r="C3492" s="2" t="inlineStr">
        <is>
          <t>코스닥</t>
        </is>
      </c>
      <c r="D3492" s="2" t="inlineStr">
        <is>
          <t>276040</t>
        </is>
      </c>
      <c r="E3492" s="3" t="inlineStr">
        <is>
          <t xml:space="preserve">증권발행결과(자율공시)              </t>
        </is>
      </c>
      <c r="F3492" s="3" t="inlineStr">
        <is>
          <t>스코넥</t>
        </is>
      </c>
      <c r="G3492" s="2" t="inlineStr">
        <is>
          <t>20260310901956</t>
        </is>
      </c>
      <c r="H3492" s="8">
        <f>HYPERLINK("https://dart.fss.or.kr/dsaf001/main.do?rcpNo=20260310901956", "공시열람")</f>
        <v/>
      </c>
    </row>
    <row r="3493">
      <c r="A3493" s="2" t="inlineStr">
        <is>
          <t>2026-03-10 (정정: 2026-03-26)</t>
        </is>
      </c>
      <c r="B3493" s="3" t="inlineStr">
        <is>
          <t>산일전기</t>
        </is>
      </c>
      <c r="C3493" s="2" t="inlineStr">
        <is>
          <t>코스피</t>
        </is>
      </c>
      <c r="D3493" s="2" t="inlineStr">
        <is>
          <t>062040</t>
        </is>
      </c>
      <c r="E3493" s="3" t="inlineStr">
        <is>
          <t>의결권대리행사권유참고서류 (정정: 20260318) (정정: 20260326)</t>
        </is>
      </c>
      <c r="F3493" s="3" t="inlineStr">
        <is>
          <t>산일전기</t>
        </is>
      </c>
      <c r="G3493" s="2" t="inlineStr">
        <is>
          <t>20260326000400</t>
        </is>
      </c>
      <c r="H3493" s="8">
        <f>HYPERLINK("https://dart.fss.or.kr/dsaf001/main.do?rcpNo=20260326000400", "공시열람")</f>
        <v/>
      </c>
    </row>
    <row r="3494">
      <c r="A3494" s="2" t="inlineStr">
        <is>
          <t>2026-03-10</t>
        </is>
      </c>
      <c r="B3494" s="3" t="inlineStr">
        <is>
          <t>나이스디앤비</t>
        </is>
      </c>
      <c r="C3494" s="2" t="inlineStr">
        <is>
          <t>코스닥</t>
        </is>
      </c>
      <c r="D3494" s="2" t="inlineStr">
        <is>
          <t>130580</t>
        </is>
      </c>
      <c r="E3494" s="3" t="inlineStr">
        <is>
          <t xml:space="preserve">현금ㆍ현물배당을위한주주명부폐쇄(기준일)결정              </t>
        </is>
      </c>
      <c r="F3494" s="3" t="inlineStr">
        <is>
          <t>나이스디앤비</t>
        </is>
      </c>
      <c r="G3494" s="2" t="inlineStr">
        <is>
          <t>20260310901950</t>
        </is>
      </c>
      <c r="H3494" s="8">
        <f>HYPERLINK("https://dart.fss.or.kr/dsaf001/main.do?rcpNo=20260310901950", "공시열람")</f>
        <v/>
      </c>
    </row>
    <row r="3495">
      <c r="A3495" s="2" t="inlineStr">
        <is>
          <t>2026-03-10</t>
        </is>
      </c>
      <c r="B3495" s="3" t="inlineStr">
        <is>
          <t>한국첨단소재</t>
        </is>
      </c>
      <c r="C3495" s="2" t="inlineStr">
        <is>
          <t>코스닥</t>
        </is>
      </c>
      <c r="D3495" s="2" t="inlineStr">
        <is>
          <t>062970</t>
        </is>
      </c>
      <c r="E3495" s="3" t="inlineStr">
        <is>
          <t xml:space="preserve">감사보고서제출              </t>
        </is>
      </c>
      <c r="F3495" s="3" t="inlineStr">
        <is>
          <t>한국첨단소재</t>
        </is>
      </c>
      <c r="G3495" s="2" t="inlineStr">
        <is>
          <t>20260310901848</t>
        </is>
      </c>
      <c r="H3495" s="8">
        <f>HYPERLINK("https://dart.fss.or.kr/dsaf001/main.do?rcpNo=20260310901848", "공시열람")</f>
        <v/>
      </c>
    </row>
    <row r="3496">
      <c r="A3496" s="2" t="inlineStr">
        <is>
          <t>2026-03-10</t>
        </is>
      </c>
      <c r="B3496" s="3" t="inlineStr">
        <is>
          <t>토탈소프트</t>
        </is>
      </c>
      <c r="C3496" s="2" t="inlineStr">
        <is>
          <t>코스닥</t>
        </is>
      </c>
      <c r="D3496" s="2" t="inlineStr">
        <is>
          <t>045340</t>
        </is>
      </c>
      <c r="E3496" s="3" t="inlineStr">
        <is>
          <t>의결권대리행사권유참고서류</t>
        </is>
      </c>
      <c r="F3496" s="3" t="inlineStr">
        <is>
          <t>토탈소프트</t>
        </is>
      </c>
      <c r="G3496" s="2" t="inlineStr">
        <is>
          <t>20260310003093</t>
        </is>
      </c>
      <c r="H3496" s="8">
        <f>HYPERLINK("https://dart.fss.or.kr/dsaf001/main.do?rcpNo=20260310003093", "공시열람")</f>
        <v/>
      </c>
    </row>
    <row r="3497">
      <c r="A3497" s="2" t="inlineStr">
        <is>
          <t>2026-03-10</t>
        </is>
      </c>
      <c r="B3497" s="3" t="inlineStr">
        <is>
          <t>케이티</t>
        </is>
      </c>
      <c r="C3497" s="2" t="inlineStr">
        <is>
          <t>코스피</t>
        </is>
      </c>
      <c r="D3497" s="2" t="inlineStr">
        <is>
          <t>030200</t>
        </is>
      </c>
      <c r="E3497" s="3" t="inlineStr">
        <is>
          <t>의결권대리행사권유참고서류</t>
        </is>
      </c>
      <c r="F3497" s="3" t="inlineStr">
        <is>
          <t>케이티</t>
        </is>
      </c>
      <c r="G3497" s="2" t="inlineStr">
        <is>
          <t>20260310003092</t>
        </is>
      </c>
      <c r="H3497" s="8">
        <f>HYPERLINK("https://dart.fss.or.kr/dsaf001/main.do?rcpNo=20260310003092", "공시열람")</f>
        <v/>
      </c>
    </row>
    <row r="3498">
      <c r="A3498" s="2" t="inlineStr">
        <is>
          <t>2026-03-10</t>
        </is>
      </c>
      <c r="B3498" s="3" t="inlineStr">
        <is>
          <t>영풍</t>
        </is>
      </c>
      <c r="C3498" s="2" t="inlineStr">
        <is>
          <t>코스피</t>
        </is>
      </c>
      <c r="D3498" s="2" t="inlineStr">
        <is>
          <t>000670</t>
        </is>
      </c>
      <c r="E3498" s="3" t="inlineStr">
        <is>
          <t>의결권대리행사권유참고서류</t>
        </is>
      </c>
      <c r="F3498" s="3" t="inlineStr">
        <is>
          <t>영풍</t>
        </is>
      </c>
      <c r="G3498" s="2" t="inlineStr">
        <is>
          <t>20260310003091</t>
        </is>
      </c>
      <c r="H3498" s="8">
        <f>HYPERLINK("https://dart.fss.or.kr/dsaf001/main.do?rcpNo=20260310003091", "공시열람")</f>
        <v/>
      </c>
    </row>
    <row r="3499">
      <c r="A3499" s="2" t="inlineStr">
        <is>
          <t>2026-03-10</t>
        </is>
      </c>
      <c r="B3499" s="3" t="inlineStr">
        <is>
          <t>하이브</t>
        </is>
      </c>
      <c r="C3499" s="2" t="inlineStr">
        <is>
          <t>코스피</t>
        </is>
      </c>
      <c r="D3499" s="2" t="inlineStr">
        <is>
          <t>352820</t>
        </is>
      </c>
      <c r="E3499" s="3" t="inlineStr">
        <is>
          <t>의결권대리행사권유참고서류</t>
        </is>
      </c>
      <c r="F3499" s="3" t="inlineStr">
        <is>
          <t>하이브</t>
        </is>
      </c>
      <c r="G3499" s="2" t="inlineStr">
        <is>
          <t>20260310003088</t>
        </is>
      </c>
      <c r="H3499" s="8">
        <f>HYPERLINK("https://dart.fss.or.kr/dsaf001/main.do?rcpNo=20260310003088", "공시열람")</f>
        <v/>
      </c>
    </row>
    <row r="3500">
      <c r="A3500" s="2" t="inlineStr">
        <is>
          <t>2026-03-10</t>
        </is>
      </c>
      <c r="B3500" s="3" t="inlineStr">
        <is>
          <t>미트박스</t>
        </is>
      </c>
      <c r="C3500" s="2" t="inlineStr">
        <is>
          <t>코스닥</t>
        </is>
      </c>
      <c r="D3500" s="2" t="inlineStr">
        <is>
          <t>475460</t>
        </is>
      </c>
      <c r="E3500" s="3" t="inlineStr">
        <is>
          <t>임원ㆍ주요주주특정증권등소유상황보고서</t>
        </is>
      </c>
      <c r="F3500" s="3" t="inlineStr">
        <is>
          <t>장준희</t>
        </is>
      </c>
      <c r="G3500" s="2" t="inlineStr">
        <is>
          <t>20260310003087</t>
        </is>
      </c>
      <c r="H3500" s="8">
        <f>HYPERLINK("https://dart.fss.or.kr/dsaf001/main.do?rcpNo=20260310003087", "공시열람")</f>
        <v/>
      </c>
    </row>
    <row r="3501">
      <c r="A3501" s="2" t="inlineStr">
        <is>
          <t>2026-03-10</t>
        </is>
      </c>
      <c r="B3501" s="3" t="inlineStr">
        <is>
          <t>가비아</t>
        </is>
      </c>
      <c r="C3501" s="2" t="inlineStr">
        <is>
          <t>코스닥</t>
        </is>
      </c>
      <c r="D3501" s="2" t="inlineStr">
        <is>
          <t>079940</t>
        </is>
      </c>
      <c r="E3501" s="3" t="inlineStr">
        <is>
          <t xml:space="preserve">현금ㆍ현물배당결정              </t>
        </is>
      </c>
      <c r="F3501" s="3" t="inlineStr">
        <is>
          <t>가비아</t>
        </is>
      </c>
      <c r="G3501" s="2" t="inlineStr">
        <is>
          <t>20260310901878</t>
        </is>
      </c>
      <c r="H3501" s="8">
        <f>HYPERLINK("https://dart.fss.or.kr/dsaf001/main.do?rcpNo=20260310901878", "공시열람")</f>
        <v/>
      </c>
    </row>
    <row r="3502">
      <c r="A3502" s="2" t="inlineStr">
        <is>
          <t>2026-03-10</t>
        </is>
      </c>
      <c r="B3502" s="3" t="inlineStr">
        <is>
          <t>덕신이피씨</t>
        </is>
      </c>
      <c r="C3502" s="2" t="inlineStr">
        <is>
          <t>코스닥</t>
        </is>
      </c>
      <c r="D3502" s="2" t="inlineStr">
        <is>
          <t>090410</t>
        </is>
      </c>
      <c r="E3502" s="3" t="inlineStr">
        <is>
          <t xml:space="preserve">감사보고서제출              </t>
        </is>
      </c>
      <c r="F3502" s="3" t="inlineStr">
        <is>
          <t>덕신이피씨</t>
        </is>
      </c>
      <c r="G3502" s="2" t="inlineStr">
        <is>
          <t>20260310901899</t>
        </is>
      </c>
      <c r="H3502" s="8">
        <f>HYPERLINK("https://dart.fss.or.kr/dsaf001/main.do?rcpNo=20260310901899", "공시열람")</f>
        <v/>
      </c>
    </row>
    <row r="3503">
      <c r="A3503" s="2" t="inlineStr">
        <is>
          <t>2026-03-10</t>
        </is>
      </c>
      <c r="B3503" s="3" t="inlineStr">
        <is>
          <t>디에이치엑스컴퍼니</t>
        </is>
      </c>
      <c r="C3503" s="2" t="inlineStr">
        <is>
          <t>코스닥</t>
        </is>
      </c>
      <c r="D3503" s="2" t="inlineStr">
        <is>
          <t>031860</t>
        </is>
      </c>
      <c r="E3503" s="3" t="inlineStr">
        <is>
          <t xml:space="preserve">조회공시요구(현저한시황변동)              </t>
        </is>
      </c>
      <c r="F3503" s="3" t="inlineStr">
        <is>
          <t>코스닥시장본부</t>
        </is>
      </c>
      <c r="G3503" s="2" t="inlineStr">
        <is>
          <t>20260310901910</t>
        </is>
      </c>
      <c r="H3503" s="8">
        <f>HYPERLINK("https://dart.fss.or.kr/dsaf001/main.do?rcpNo=20260310901910", "공시열람")</f>
        <v/>
      </c>
    </row>
    <row r="3504">
      <c r="A3504" s="2" t="inlineStr">
        <is>
          <t>2026-03-10</t>
        </is>
      </c>
      <c r="B3504" s="3" t="inlineStr">
        <is>
          <t>아리바이오LAB</t>
        </is>
      </c>
      <c r="C3504" s="2" t="inlineStr">
        <is>
          <t>코스닥</t>
        </is>
      </c>
      <c r="D3504" s="2" t="inlineStr">
        <is>
          <t>261780</t>
        </is>
      </c>
      <c r="E3504" s="3" t="inlineStr">
        <is>
          <t>의결권대리행사권유참고서류</t>
        </is>
      </c>
      <c r="F3504" s="3" t="inlineStr">
        <is>
          <t>아리바이오LAB</t>
        </is>
      </c>
      <c r="G3504" s="2" t="inlineStr">
        <is>
          <t>20260310003079</t>
        </is>
      </c>
      <c r="H3504" s="8">
        <f>HYPERLINK("https://dart.fss.or.kr/dsaf001/main.do?rcpNo=20260310003079", "공시열람")</f>
        <v/>
      </c>
    </row>
    <row r="3505">
      <c r="A3505" s="2" t="inlineStr">
        <is>
          <t>2026-03-10</t>
        </is>
      </c>
      <c r="B3505" s="3" t="inlineStr">
        <is>
          <t>한국정보통신</t>
        </is>
      </c>
      <c r="C3505" s="2" t="inlineStr">
        <is>
          <t>코스닥</t>
        </is>
      </c>
      <c r="D3505" s="2" t="inlineStr">
        <is>
          <t>025770</t>
        </is>
      </c>
      <c r="E3505" s="3" t="inlineStr">
        <is>
          <t xml:space="preserve">감사보고서제출              </t>
        </is>
      </c>
      <c r="F3505" s="3" t="inlineStr">
        <is>
          <t>한국정보통신</t>
        </is>
      </c>
      <c r="G3505" s="2" t="inlineStr">
        <is>
          <t>20260310901858</t>
        </is>
      </c>
      <c r="H3505" s="8">
        <f>HYPERLINK("https://dart.fss.or.kr/dsaf001/main.do?rcpNo=20260310901858", "공시열람")</f>
        <v/>
      </c>
    </row>
    <row r="3506">
      <c r="A3506" s="2" t="inlineStr">
        <is>
          <t>2026-03-10</t>
        </is>
      </c>
      <c r="B3506" s="3" t="inlineStr">
        <is>
          <t>케이티</t>
        </is>
      </c>
      <c r="C3506" s="2" t="inlineStr">
        <is>
          <t>코스피</t>
        </is>
      </c>
      <c r="D3506" s="2" t="inlineStr">
        <is>
          <t>030200</t>
        </is>
      </c>
      <c r="E3506" s="3" t="inlineStr">
        <is>
          <t>주요사항보고서(자기주식처분결정)</t>
        </is>
      </c>
      <c r="F3506" s="3" t="inlineStr">
        <is>
          <t>케이티</t>
        </is>
      </c>
      <c r="G3506" s="2" t="inlineStr">
        <is>
          <t>20260310003058</t>
        </is>
      </c>
      <c r="H3506" s="8">
        <f>HYPERLINK("https://dart.fss.or.kr/dsaf001/main.do?rcpNo=20260310003058", "공시열람")</f>
        <v/>
      </c>
    </row>
    <row r="3507">
      <c r="A3507" s="2" t="inlineStr">
        <is>
          <t>2026-03-10</t>
        </is>
      </c>
      <c r="B3507" s="3" t="inlineStr">
        <is>
          <t>씨케이솔루션</t>
        </is>
      </c>
      <c r="C3507" s="2" t="inlineStr">
        <is>
          <t>코스피</t>
        </is>
      </c>
      <c r="D3507" s="2" t="inlineStr">
        <is>
          <t>480370</t>
        </is>
      </c>
      <c r="E3507" s="3" t="inlineStr">
        <is>
          <t>임원ㆍ주요주주특정증권등소유상황보고서</t>
        </is>
      </c>
      <c r="F3507" s="3" t="inlineStr">
        <is>
          <t>장현주</t>
        </is>
      </c>
      <c r="G3507" s="2" t="inlineStr">
        <is>
          <t>20260310003077</t>
        </is>
      </c>
      <c r="H3507" s="8">
        <f>HYPERLINK("https://dart.fss.or.kr/dsaf001/main.do?rcpNo=20260310003077", "공시열람")</f>
        <v/>
      </c>
    </row>
    <row r="3508">
      <c r="A3508" s="2" t="inlineStr">
        <is>
          <t>2026-03-10 (정정: 2026-03-10)</t>
        </is>
      </c>
      <c r="B3508" s="3" t="inlineStr">
        <is>
          <t>더네이쳐홀딩스</t>
        </is>
      </c>
      <c r="C3508" s="2" t="inlineStr">
        <is>
          <t>코스닥</t>
        </is>
      </c>
      <c r="D3508" s="2" t="inlineStr">
        <is>
          <t>298540</t>
        </is>
      </c>
      <c r="E3508" s="3" t="inlineStr">
        <is>
          <t>임원ㆍ주요주주특정증권등소유상황보고서 (정정: 20260310)</t>
        </is>
      </c>
      <c r="F3508" s="3" t="inlineStr">
        <is>
          <t>안재우</t>
        </is>
      </c>
      <c r="G3508" s="2" t="inlineStr">
        <is>
          <t>20260310002437</t>
        </is>
      </c>
      <c r="H3508" s="8">
        <f>HYPERLINK("https://dart.fss.or.kr/dsaf001/main.do?rcpNo=20260310002437", "공시열람")</f>
        <v/>
      </c>
    </row>
    <row r="3509">
      <c r="A3509" s="2" t="inlineStr">
        <is>
          <t>2026-03-10</t>
        </is>
      </c>
      <c r="B3509" s="3" t="inlineStr">
        <is>
          <t>유니셈</t>
        </is>
      </c>
      <c r="C3509" s="2" t="inlineStr">
        <is>
          <t>코스닥</t>
        </is>
      </c>
      <c r="D3509" s="2" t="inlineStr">
        <is>
          <t>036200</t>
        </is>
      </c>
      <c r="E3509" s="3" t="inlineStr">
        <is>
          <t xml:space="preserve">감사보고서제출              </t>
        </is>
      </c>
      <c r="F3509" s="3" t="inlineStr">
        <is>
          <t>유니셈</t>
        </is>
      </c>
      <c r="G3509" s="2" t="inlineStr">
        <is>
          <t>20260310901875</t>
        </is>
      </c>
      <c r="H3509" s="8">
        <f>HYPERLINK("https://dart.fss.or.kr/dsaf001/main.do?rcpNo=20260310901875", "공시열람")</f>
        <v/>
      </c>
    </row>
    <row r="3510">
      <c r="A3510" s="2" t="inlineStr">
        <is>
          <t>2026-03-10</t>
        </is>
      </c>
      <c r="B3510" s="3" t="inlineStr">
        <is>
          <t>파라택시스이더리움</t>
        </is>
      </c>
      <c r="C3510" s="2" t="inlineStr">
        <is>
          <t>코스닥</t>
        </is>
      </c>
      <c r="D3510" s="2" t="inlineStr">
        <is>
          <t>290560</t>
        </is>
      </c>
      <c r="E3510" s="3" t="inlineStr">
        <is>
          <t>임원ㆍ주요주주특정증권등소유상황보고서</t>
        </is>
      </c>
      <c r="F3510" s="3" t="inlineStr">
        <is>
          <t>파라택시스코리아</t>
        </is>
      </c>
      <c r="G3510" s="2" t="inlineStr">
        <is>
          <t>20260310003068</t>
        </is>
      </c>
      <c r="H3510" s="8">
        <f>HYPERLINK("https://dart.fss.or.kr/dsaf001/main.do?rcpNo=20260310003068", "공시열람")</f>
        <v/>
      </c>
    </row>
    <row r="3511">
      <c r="A3511" s="2" t="inlineStr">
        <is>
          <t>2026-03-10</t>
        </is>
      </c>
      <c r="B3511" s="3" t="inlineStr">
        <is>
          <t>제이엔케이글로벌</t>
        </is>
      </c>
      <c r="C3511" s="2" t="inlineStr">
        <is>
          <t>코스닥</t>
        </is>
      </c>
      <c r="D3511" s="2" t="inlineStr">
        <is>
          <t>126880</t>
        </is>
      </c>
      <c r="E3511" s="3" t="inlineStr">
        <is>
          <t>의결권대리행사권유참고서류</t>
        </is>
      </c>
      <c r="F3511" s="3" t="inlineStr">
        <is>
          <t>제이엔케이글로벌</t>
        </is>
      </c>
      <c r="G3511" s="2" t="inlineStr">
        <is>
          <t>20260310003063</t>
        </is>
      </c>
      <c r="H3511" s="8">
        <f>HYPERLINK("https://dart.fss.or.kr/dsaf001/main.do?rcpNo=20260310003063", "공시열람")</f>
        <v/>
      </c>
    </row>
    <row r="3512">
      <c r="A3512" s="2" t="inlineStr">
        <is>
          <t>2026-03-10</t>
        </is>
      </c>
      <c r="B3512" s="3" t="inlineStr">
        <is>
          <t>제넥신</t>
        </is>
      </c>
      <c r="C3512" s="2" t="inlineStr">
        <is>
          <t>코스닥</t>
        </is>
      </c>
      <c r="D3512" s="2" t="inlineStr">
        <is>
          <t>095700</t>
        </is>
      </c>
      <c r="E3512" s="3" t="inlineStr">
        <is>
          <t xml:space="preserve">감사보고서제출              </t>
        </is>
      </c>
      <c r="F3512" s="3" t="inlineStr">
        <is>
          <t>제넥신</t>
        </is>
      </c>
      <c r="G3512" s="2" t="inlineStr">
        <is>
          <t>20260310901833</t>
        </is>
      </c>
      <c r="H3512" s="8">
        <f>HYPERLINK("https://dart.fss.or.kr/dsaf001/main.do?rcpNo=20260310901833", "공시열람")</f>
        <v/>
      </c>
    </row>
    <row r="3513">
      <c r="A3513" s="2" t="inlineStr">
        <is>
          <t>2026-03-10</t>
        </is>
      </c>
      <c r="B3513" s="3" t="inlineStr">
        <is>
          <t>씨케이솔루션</t>
        </is>
      </c>
      <c r="C3513" s="2" t="inlineStr">
        <is>
          <t>코스피</t>
        </is>
      </c>
      <c r="D3513" s="2" t="inlineStr">
        <is>
          <t>480370</t>
        </is>
      </c>
      <c r="E3513" s="3" t="inlineStr">
        <is>
          <t>임원ㆍ주요주주특정증권등소유상황보고서</t>
        </is>
      </c>
      <c r="F3513" s="3" t="inlineStr">
        <is>
          <t>오진석</t>
        </is>
      </c>
      <c r="G3513" s="2" t="inlineStr">
        <is>
          <t>20260310003062</t>
        </is>
      </c>
      <c r="H3513" s="8">
        <f>HYPERLINK("https://dart.fss.or.kr/dsaf001/main.do?rcpNo=20260310003062", "공시열람")</f>
        <v/>
      </c>
    </row>
    <row r="3514">
      <c r="A3514" s="2" t="inlineStr">
        <is>
          <t>2026-03-10</t>
        </is>
      </c>
      <c r="B3514" s="3" t="inlineStr">
        <is>
          <t>두산테스나</t>
        </is>
      </c>
      <c r="C3514" s="2" t="inlineStr">
        <is>
          <t>코스닥</t>
        </is>
      </c>
      <c r="D3514" s="2" t="inlineStr">
        <is>
          <t>131970</t>
        </is>
      </c>
      <c r="E3514" s="3" t="inlineStr">
        <is>
          <t>의결권대리행사권유참고서류</t>
        </is>
      </c>
      <c r="F3514" s="3" t="inlineStr">
        <is>
          <t>두산테스나</t>
        </is>
      </c>
      <c r="G3514" s="2" t="inlineStr">
        <is>
          <t>20260310003059</t>
        </is>
      </c>
      <c r="H3514" s="8">
        <f>HYPERLINK("https://dart.fss.or.kr/dsaf001/main.do?rcpNo=20260310003059", "공시열람")</f>
        <v/>
      </c>
    </row>
    <row r="3515">
      <c r="A3515" s="2" t="inlineStr">
        <is>
          <t>2026-03-10</t>
        </is>
      </c>
      <c r="B3515" s="3" t="inlineStr">
        <is>
          <t>HMM</t>
        </is>
      </c>
      <c r="C3515" s="2" t="inlineStr">
        <is>
          <t>코스피</t>
        </is>
      </c>
      <c r="D3515" s="2" t="inlineStr">
        <is>
          <t>011200</t>
        </is>
      </c>
      <c r="E3515" s="3" t="inlineStr">
        <is>
          <t xml:space="preserve">감사보고서제출              </t>
        </is>
      </c>
      <c r="F3515" s="3" t="inlineStr">
        <is>
          <t>HMM</t>
        </is>
      </c>
      <c r="G3515" s="2" t="inlineStr">
        <is>
          <t>20260310801813</t>
        </is>
      </c>
      <c r="H3515" s="8">
        <f>HYPERLINK("https://dart.fss.or.kr/dsaf001/main.do?rcpNo=20260310801813", "공시열람")</f>
        <v/>
      </c>
    </row>
    <row r="3516">
      <c r="A3516" s="2" t="inlineStr">
        <is>
          <t>2026-03-10</t>
        </is>
      </c>
      <c r="B3516" s="3" t="inlineStr">
        <is>
          <t>소프트캠프</t>
        </is>
      </c>
      <c r="C3516" s="2" t="inlineStr">
        <is>
          <t>코스닥</t>
        </is>
      </c>
      <c r="D3516" s="2" t="inlineStr">
        <is>
          <t>258790</t>
        </is>
      </c>
      <c r="E3516" s="3" t="inlineStr">
        <is>
          <t xml:space="preserve">주식병합결정              </t>
        </is>
      </c>
      <c r="F3516" s="3" t="inlineStr">
        <is>
          <t>소프트캠프</t>
        </is>
      </c>
      <c r="G3516" s="2" t="inlineStr">
        <is>
          <t>20260310901880</t>
        </is>
      </c>
      <c r="H3516" s="8">
        <f>HYPERLINK("https://dart.fss.or.kr/dsaf001/main.do?rcpNo=20260310901880", "공시열람")</f>
        <v/>
      </c>
    </row>
    <row r="3517">
      <c r="A3517" s="2" t="inlineStr">
        <is>
          <t>2026-03-10</t>
        </is>
      </c>
      <c r="B3517" s="3" t="inlineStr">
        <is>
          <t>유라테크</t>
        </is>
      </c>
      <c r="C3517" s="2" t="inlineStr">
        <is>
          <t>코스닥</t>
        </is>
      </c>
      <c r="D3517" s="2" t="inlineStr">
        <is>
          <t>048430</t>
        </is>
      </c>
      <c r="E3517" s="3" t="inlineStr">
        <is>
          <t>의결권대리행사권유참고서류</t>
        </is>
      </c>
      <c r="F3517" s="3" t="inlineStr">
        <is>
          <t>유라테크</t>
        </is>
      </c>
      <c r="G3517" s="2" t="inlineStr">
        <is>
          <t>20260310003052</t>
        </is>
      </c>
      <c r="H3517" s="8">
        <f>HYPERLINK("https://dart.fss.or.kr/dsaf001/main.do?rcpNo=20260310003052", "공시열람")</f>
        <v/>
      </c>
    </row>
    <row r="3518">
      <c r="A3518" s="2" t="inlineStr">
        <is>
          <t>2026-03-10</t>
        </is>
      </c>
      <c r="B3518" s="3" t="inlineStr">
        <is>
          <t>링네트</t>
        </is>
      </c>
      <c r="C3518" s="2" t="inlineStr">
        <is>
          <t>코스닥</t>
        </is>
      </c>
      <c r="D3518" s="2" t="inlineStr">
        <is>
          <t>042500</t>
        </is>
      </c>
      <c r="E3518" s="3" t="inlineStr">
        <is>
          <t xml:space="preserve">감사보고서제출              </t>
        </is>
      </c>
      <c r="F3518" s="3" t="inlineStr">
        <is>
          <t>링네트</t>
        </is>
      </c>
      <c r="G3518" s="2" t="inlineStr">
        <is>
          <t>20260310901807</t>
        </is>
      </c>
      <c r="H3518" s="8">
        <f>HYPERLINK("https://dart.fss.or.kr/dsaf001/main.do?rcpNo=20260310901807", "공시열람")</f>
        <v/>
      </c>
    </row>
    <row r="3519">
      <c r="A3519" s="2" t="inlineStr">
        <is>
          <t>2026-03-10</t>
        </is>
      </c>
      <c r="B3519" s="3" t="inlineStr">
        <is>
          <t>영풍</t>
        </is>
      </c>
      <c r="C3519" s="2" t="inlineStr">
        <is>
          <t>코스피</t>
        </is>
      </c>
      <c r="D3519" s="2" t="inlineStr">
        <is>
          <t>000670</t>
        </is>
      </c>
      <c r="E3519" s="3" t="inlineStr">
        <is>
          <t xml:space="preserve">현금ㆍ현물배당결정              </t>
        </is>
      </c>
      <c r="F3519" s="3" t="inlineStr">
        <is>
          <t>영풍</t>
        </is>
      </c>
      <c r="G3519" s="2" t="inlineStr">
        <is>
          <t>20260310801831</t>
        </is>
      </c>
      <c r="H3519" s="8">
        <f>HYPERLINK("https://dart.fss.or.kr/dsaf001/main.do?rcpNo=20260310801831", "공시열람")</f>
        <v/>
      </c>
    </row>
    <row r="3520">
      <c r="A3520" s="2" t="inlineStr">
        <is>
          <t>2026-03-10</t>
        </is>
      </c>
      <c r="B3520" s="3" t="inlineStr">
        <is>
          <t>와이즈넛</t>
        </is>
      </c>
      <c r="C3520" s="2" t="inlineStr">
        <is>
          <t>코스닥</t>
        </is>
      </c>
      <c r="D3520" s="2" t="inlineStr">
        <is>
          <t>096250</t>
        </is>
      </c>
      <c r="E3520" s="3" t="inlineStr">
        <is>
          <t xml:space="preserve">현금ㆍ현물배당결정              </t>
        </is>
      </c>
      <c r="F3520" s="3" t="inlineStr">
        <is>
          <t>와이즈넛</t>
        </is>
      </c>
      <c r="G3520" s="2" t="inlineStr">
        <is>
          <t>20260310901785</t>
        </is>
      </c>
      <c r="H3520" s="8">
        <f>HYPERLINK("https://dart.fss.or.kr/dsaf001/main.do?rcpNo=20260310901785", "공시열람")</f>
        <v/>
      </c>
    </row>
    <row r="3521">
      <c r="A3521" s="2" t="inlineStr">
        <is>
          <t>2026-03-10</t>
        </is>
      </c>
      <c r="B3521" s="3" t="inlineStr">
        <is>
          <t>한국정보공학</t>
        </is>
      </c>
      <c r="C3521" s="2" t="inlineStr">
        <is>
          <t>코스닥</t>
        </is>
      </c>
      <c r="D3521" s="2" t="inlineStr">
        <is>
          <t>039740</t>
        </is>
      </c>
      <c r="E3521" s="3" t="inlineStr">
        <is>
          <t>임원ㆍ주요주주특정증권등소유상황보고서</t>
        </is>
      </c>
      <c r="F3521" s="3" t="inlineStr">
        <is>
          <t>황봉남</t>
        </is>
      </c>
      <c r="G3521" s="2" t="inlineStr">
        <is>
          <t>20260310003042</t>
        </is>
      </c>
      <c r="H3521" s="8">
        <f>HYPERLINK("https://dart.fss.or.kr/dsaf001/main.do?rcpNo=20260310003042", "공시열람")</f>
        <v/>
      </c>
    </row>
    <row r="3522">
      <c r="A3522" s="2" t="inlineStr">
        <is>
          <t>2026-03-10</t>
        </is>
      </c>
      <c r="B3522" s="3" t="inlineStr">
        <is>
          <t>씨케이솔루션</t>
        </is>
      </c>
      <c r="C3522" s="2" t="inlineStr">
        <is>
          <t>코스피</t>
        </is>
      </c>
      <c r="D3522" s="2" t="inlineStr">
        <is>
          <t>480370</t>
        </is>
      </c>
      <c r="E3522" s="3" t="inlineStr">
        <is>
          <t>임원ㆍ주요주주특정증권등소유상황보고서</t>
        </is>
      </c>
      <c r="F3522" s="3" t="inlineStr">
        <is>
          <t>김유곤</t>
        </is>
      </c>
      <c r="G3522" s="2" t="inlineStr">
        <is>
          <t>20260310003041</t>
        </is>
      </c>
      <c r="H3522" s="8">
        <f>HYPERLINK("https://dart.fss.or.kr/dsaf001/main.do?rcpNo=20260310003041", "공시열람")</f>
        <v/>
      </c>
    </row>
    <row r="3523">
      <c r="A3523" s="2" t="inlineStr">
        <is>
          <t>2026-03-10 (정정: 2026-03-16)</t>
        </is>
      </c>
      <c r="B3523" s="3" t="inlineStr">
        <is>
          <t>아미코젠</t>
        </is>
      </c>
      <c r="C3523" s="2" t="inlineStr">
        <is>
          <t>코스닥</t>
        </is>
      </c>
      <c r="D3523" s="2" t="inlineStr">
        <is>
          <t>092040</t>
        </is>
      </c>
      <c r="E3523" s="3" t="inlineStr">
        <is>
          <t>기타경영사항(자율공시)               (정정: 20260316)</t>
        </is>
      </c>
      <c r="F3523" s="3" t="inlineStr">
        <is>
          <t>아미코젠</t>
        </is>
      </c>
      <c r="G3523" s="2" t="inlineStr">
        <is>
          <t>20260316001443</t>
        </is>
      </c>
      <c r="H3523" s="8">
        <f>HYPERLINK("https://dart.fss.or.kr/dsaf001/main.do?rcpNo=20260316001443", "공시열람")</f>
        <v/>
      </c>
    </row>
    <row r="3524">
      <c r="A3524" s="2" t="inlineStr">
        <is>
          <t>2026-03-10</t>
        </is>
      </c>
      <c r="B3524" s="3" t="inlineStr">
        <is>
          <t>하나마이크론</t>
        </is>
      </c>
      <c r="C3524" s="2" t="inlineStr">
        <is>
          <t>코스닥</t>
        </is>
      </c>
      <c r="D3524" s="2" t="inlineStr">
        <is>
          <t>067310</t>
        </is>
      </c>
      <c r="E3524" s="3" t="inlineStr">
        <is>
          <t xml:space="preserve">기업설명회(IR)개최              </t>
        </is>
      </c>
      <c r="F3524" s="3" t="inlineStr">
        <is>
          <t>하나마이크론</t>
        </is>
      </c>
      <c r="G3524" s="2" t="inlineStr">
        <is>
          <t>20260310901796</t>
        </is>
      </c>
      <c r="H3524" s="8">
        <f>HYPERLINK("https://dart.fss.or.kr/dsaf001/main.do?rcpNo=20260310901796", "공시열람")</f>
        <v/>
      </c>
    </row>
    <row r="3525">
      <c r="A3525" s="2" t="inlineStr">
        <is>
          <t>2026-03-10</t>
        </is>
      </c>
      <c r="B3525" s="3" t="inlineStr">
        <is>
          <t>성우전자</t>
        </is>
      </c>
      <c r="C3525" s="2" t="inlineStr">
        <is>
          <t>코스닥</t>
        </is>
      </c>
      <c r="D3525" s="2" t="inlineStr">
        <is>
          <t>081580</t>
        </is>
      </c>
      <c r="E3525" s="3" t="inlineStr">
        <is>
          <t xml:space="preserve">주권관련사채권의처분결정              </t>
        </is>
      </c>
      <c r="F3525" s="3" t="inlineStr">
        <is>
          <t>성우전자</t>
        </is>
      </c>
      <c r="G3525" s="2" t="inlineStr">
        <is>
          <t>20260310901553</t>
        </is>
      </c>
      <c r="H3525" s="8">
        <f>HYPERLINK("https://dart.fss.or.kr/dsaf001/main.do?rcpNo=20260310901553", "공시열람")</f>
        <v/>
      </c>
    </row>
    <row r="3526">
      <c r="A3526" s="2" t="inlineStr">
        <is>
          <t>2026-03-10 (정정: 2026-06-08)</t>
        </is>
      </c>
      <c r="B3526" s="3" t="inlineStr">
        <is>
          <t>이마트</t>
        </is>
      </c>
      <c r="C3526" s="2" t="inlineStr">
        <is>
          <t>코스피</t>
        </is>
      </c>
      <c r="D3526" s="2" t="inlineStr">
        <is>
          <t>139480</t>
        </is>
      </c>
      <c r="E3526" s="3" t="inlineStr">
        <is>
          <t>의결권대리행사권유참고서류 (정정: 20260416) (정정: 20260521) (정정: 20260608)</t>
        </is>
      </c>
      <c r="F3526" s="3" t="inlineStr">
        <is>
          <t>이마트</t>
        </is>
      </c>
      <c r="G3526" s="2" t="inlineStr">
        <is>
          <t>20260608000434</t>
        </is>
      </c>
      <c r="H3526" s="8">
        <f>HYPERLINK("https://dart.fss.or.kr/dsaf001/main.do?rcpNo=20260608000434", "공시열람")</f>
        <v/>
      </c>
    </row>
    <row r="3527">
      <c r="A3527" s="2" t="inlineStr">
        <is>
          <t>2026-03-10</t>
        </is>
      </c>
      <c r="B3527" s="3" t="inlineStr">
        <is>
          <t>엘컴텍</t>
        </is>
      </c>
      <c r="C3527" s="2" t="inlineStr">
        <is>
          <t>코스닥</t>
        </is>
      </c>
      <c r="D3527" s="2" t="inlineStr">
        <is>
          <t>037950</t>
        </is>
      </c>
      <c r="E3527" s="3" t="inlineStr">
        <is>
          <t xml:space="preserve">감사보고서제출              </t>
        </is>
      </c>
      <c r="F3527" s="3" t="inlineStr">
        <is>
          <t>엘컴텍</t>
        </is>
      </c>
      <c r="G3527" s="2" t="inlineStr">
        <is>
          <t>20260310901797</t>
        </is>
      </c>
      <c r="H3527" s="8">
        <f>HYPERLINK("https://dart.fss.or.kr/dsaf001/main.do?rcpNo=20260310901797", "공시열람")</f>
        <v/>
      </c>
    </row>
    <row r="3528">
      <c r="A3528" s="2" t="inlineStr">
        <is>
          <t>2026-03-10</t>
        </is>
      </c>
      <c r="B3528" s="3" t="inlineStr">
        <is>
          <t>인티큐브</t>
        </is>
      </c>
      <c r="C3528" s="2" t="inlineStr">
        <is>
          <t>코스닥</t>
        </is>
      </c>
      <c r="D3528" s="2" t="inlineStr">
        <is>
          <t>070590</t>
        </is>
      </c>
      <c r="E3528" s="3" t="inlineStr">
        <is>
          <t>임원ㆍ주요주주특정증권등소유상황보고서</t>
        </is>
      </c>
      <c r="F3528" s="3" t="inlineStr">
        <is>
          <t>플레이버스</t>
        </is>
      </c>
      <c r="G3528" s="2" t="inlineStr">
        <is>
          <t>20260310003031</t>
        </is>
      </c>
      <c r="H3528" s="8">
        <f>HYPERLINK("https://dart.fss.or.kr/dsaf001/main.do?rcpNo=20260310003031", "공시열람")</f>
        <v/>
      </c>
    </row>
    <row r="3529">
      <c r="A3529" s="2" t="inlineStr">
        <is>
          <t>2026-03-10 (정정: 2026-03-11)</t>
        </is>
      </c>
      <c r="B3529" s="3" t="inlineStr">
        <is>
          <t>DSR제강</t>
        </is>
      </c>
      <c r="C3529" s="2" t="inlineStr">
        <is>
          <t>코스피</t>
        </is>
      </c>
      <c r="D3529" s="2" t="inlineStr">
        <is>
          <t>069730</t>
        </is>
      </c>
      <c r="E3529" s="3" t="inlineStr">
        <is>
          <t>임원ㆍ주요주주특정증권등소유상황보고서 (정정: 20260311)</t>
        </is>
      </c>
      <c r="F3529" s="3" t="inlineStr">
        <is>
          <t>홍하종</t>
        </is>
      </c>
      <c r="G3529" s="2" t="inlineStr">
        <is>
          <t>20260311802420</t>
        </is>
      </c>
      <c r="H3529" s="8">
        <f>HYPERLINK("https://dart.fss.or.kr/dsaf001/main.do?rcpNo=20260311802420", "공시열람")</f>
        <v/>
      </c>
    </row>
    <row r="3530">
      <c r="A3530" s="2" t="inlineStr">
        <is>
          <t>2026-03-10</t>
        </is>
      </c>
      <c r="B3530" s="3" t="inlineStr">
        <is>
          <t>제이엔케이글로벌</t>
        </is>
      </c>
      <c r="C3530" s="2" t="inlineStr">
        <is>
          <t>코스닥</t>
        </is>
      </c>
      <c r="D3530" s="2" t="inlineStr">
        <is>
          <t>126880</t>
        </is>
      </c>
      <c r="E3530" s="3" t="inlineStr">
        <is>
          <t xml:space="preserve">현금ㆍ현물배당결정              </t>
        </is>
      </c>
      <c r="F3530" s="3" t="inlineStr">
        <is>
          <t>제이엔케이글로벌</t>
        </is>
      </c>
      <c r="G3530" s="2" t="inlineStr">
        <is>
          <t>20260310901787</t>
        </is>
      </c>
      <c r="H3530" s="8">
        <f>HYPERLINK("https://dart.fss.or.kr/dsaf001/main.do?rcpNo=20260310901787", "공시열람")</f>
        <v/>
      </c>
    </row>
    <row r="3531">
      <c r="A3531" s="2" t="inlineStr">
        <is>
          <t>2026-03-10</t>
        </is>
      </c>
      <c r="B3531" s="3" t="inlineStr">
        <is>
          <t>경동나비엔</t>
        </is>
      </c>
      <c r="C3531" s="2" t="inlineStr">
        <is>
          <t>코스피</t>
        </is>
      </c>
      <c r="D3531" s="2" t="inlineStr">
        <is>
          <t>009450</t>
        </is>
      </c>
      <c r="E3531" s="3" t="inlineStr">
        <is>
          <t>의결권대리행사권유참고서류</t>
        </is>
      </c>
      <c r="F3531" s="3" t="inlineStr">
        <is>
          <t>경동나비엔</t>
        </is>
      </c>
      <c r="G3531" s="2" t="inlineStr">
        <is>
          <t>20260310003029</t>
        </is>
      </c>
      <c r="H3531" s="8">
        <f>HYPERLINK("https://dart.fss.or.kr/dsaf001/main.do?rcpNo=20260310003029", "공시열람")</f>
        <v/>
      </c>
    </row>
    <row r="3532">
      <c r="A3532" s="2" t="inlineStr">
        <is>
          <t>2026-03-10</t>
        </is>
      </c>
      <c r="B3532" s="3" t="inlineStr">
        <is>
          <t>TP</t>
        </is>
      </c>
      <c r="C3532" s="2" t="inlineStr">
        <is>
          <t>코스피</t>
        </is>
      </c>
      <c r="D3532" s="2" t="inlineStr">
        <is>
          <t>007980</t>
        </is>
      </c>
      <c r="E3532" s="3" t="inlineStr">
        <is>
          <t>의결권대리행사권유참고서류</t>
        </is>
      </c>
      <c r="F3532" s="3" t="inlineStr">
        <is>
          <t>TP</t>
        </is>
      </c>
      <c r="G3532" s="2" t="inlineStr">
        <is>
          <t>20260310003027</t>
        </is>
      </c>
      <c r="H3532" s="8">
        <f>HYPERLINK("https://dart.fss.or.kr/dsaf001/main.do?rcpNo=20260310003027", "공시열람")</f>
        <v/>
      </c>
    </row>
    <row r="3533">
      <c r="A3533" s="2" t="inlineStr">
        <is>
          <t>2026-03-10</t>
        </is>
      </c>
      <c r="B3533" s="3" t="inlineStr">
        <is>
          <t>우리기술</t>
        </is>
      </c>
      <c r="C3533" s="2" t="inlineStr">
        <is>
          <t>코스닥</t>
        </is>
      </c>
      <c r="D3533" s="2" t="inlineStr">
        <is>
          <t>032820</t>
        </is>
      </c>
      <c r="E3533" s="3" t="inlineStr">
        <is>
          <t>주요사항보고서(자기전환사채매도결정)</t>
        </is>
      </c>
      <c r="F3533" s="3" t="inlineStr">
        <is>
          <t>우리기술</t>
        </is>
      </c>
      <c r="G3533" s="2" t="inlineStr">
        <is>
          <t>20260310002968</t>
        </is>
      </c>
      <c r="H3533" s="8">
        <f>HYPERLINK("https://dart.fss.or.kr/dsaf001/main.do?rcpNo=20260310002968", "공시열람")</f>
        <v/>
      </c>
    </row>
    <row r="3534">
      <c r="A3534" s="2" t="inlineStr">
        <is>
          <t>2026-02-05 (정정: 2026-03-10)</t>
        </is>
      </c>
      <c r="B3534" s="3" t="inlineStr">
        <is>
          <t>서연</t>
        </is>
      </c>
      <c r="C3534" s="2" t="inlineStr">
        <is>
          <t>코스피</t>
        </is>
      </c>
      <c r="D3534" s="2" t="inlineStr">
        <is>
          <t>007860</t>
        </is>
      </c>
      <c r="E3534" s="3" t="inlineStr">
        <is>
          <t xml:space="preserve">[기재정정]매출액또는손익구조30%(대규모법인은15%)이상변경(자회사의 주요경영사항)              </t>
        </is>
      </c>
      <c r="F3534" s="3" t="inlineStr">
        <is>
          <t>서연</t>
        </is>
      </c>
      <c r="G3534" s="2" t="inlineStr">
        <is>
          <t>20260310801823</t>
        </is>
      </c>
      <c r="H3534" s="8">
        <f>HYPERLINK("https://dart.fss.or.kr/dsaf001/main.do?rcpNo=20260310801823", "공시열람")</f>
        <v/>
      </c>
    </row>
    <row r="3535">
      <c r="A3535" s="2" t="inlineStr">
        <is>
          <t>2026-03-10</t>
        </is>
      </c>
      <c r="B3535" s="3" t="inlineStr">
        <is>
          <t>제이엔케이글로벌</t>
        </is>
      </c>
      <c r="C3535" s="2" t="inlineStr">
        <is>
          <t>코스닥</t>
        </is>
      </c>
      <c r="D3535" s="2" t="inlineStr">
        <is>
          <t>126880</t>
        </is>
      </c>
      <c r="E3535" s="3" t="inlineStr">
        <is>
          <t xml:space="preserve">매출액또는손익구조30%(대규모법인은15%)이상변동              </t>
        </is>
      </c>
      <c r="F3535" s="3" t="inlineStr">
        <is>
          <t>제이엔케이글로벌</t>
        </is>
      </c>
      <c r="G3535" s="2" t="inlineStr">
        <is>
          <t>20260310901761</t>
        </is>
      </c>
      <c r="H3535" s="8">
        <f>HYPERLINK("https://dart.fss.or.kr/dsaf001/main.do?rcpNo=20260310901761", "공시열람")</f>
        <v/>
      </c>
    </row>
    <row r="3536">
      <c r="A3536" s="2" t="inlineStr">
        <is>
          <t>2026-03-10 (정정: 2026-03-11)</t>
        </is>
      </c>
      <c r="B3536" s="3" t="inlineStr">
        <is>
          <t>유비벨록스</t>
        </is>
      </c>
      <c r="C3536" s="2" t="inlineStr">
        <is>
          <t>코스닥</t>
        </is>
      </c>
      <c r="D3536" s="2" t="inlineStr">
        <is>
          <t>089850</t>
        </is>
      </c>
      <c r="E3536" s="3" t="inlineStr">
        <is>
          <t>주요사항보고서(자기주식처분결정) (정정: 20260311)</t>
        </is>
      </c>
      <c r="F3536" s="3" t="inlineStr">
        <is>
          <t>유비벨록스</t>
        </is>
      </c>
      <c r="G3536" s="2" t="inlineStr">
        <is>
          <t>20260311900251</t>
        </is>
      </c>
      <c r="H3536" s="8">
        <f>HYPERLINK("https://dart.fss.or.kr/dsaf001/main.do?rcpNo=20260311900251", "공시열람")</f>
        <v/>
      </c>
    </row>
    <row r="3537">
      <c r="A3537" s="2" t="inlineStr">
        <is>
          <t>2026-03-10</t>
        </is>
      </c>
      <c r="B3537" s="3" t="inlineStr">
        <is>
          <t>녹십자</t>
        </is>
      </c>
      <c r="C3537" s="2" t="inlineStr">
        <is>
          <t>코스피</t>
        </is>
      </c>
      <c r="D3537" s="2" t="inlineStr">
        <is>
          <t>006280</t>
        </is>
      </c>
      <c r="E3537" s="3" t="inlineStr">
        <is>
          <t>[발행조건확정]증권신고서(채무증권)</t>
        </is>
      </c>
      <c r="F3537" s="3" t="inlineStr">
        <is>
          <t>녹십자</t>
        </is>
      </c>
      <c r="G3537" s="2" t="inlineStr">
        <is>
          <t>20260310003024</t>
        </is>
      </c>
      <c r="H3537" s="8">
        <f>HYPERLINK("https://dart.fss.or.kr/dsaf001/main.do?rcpNo=20260310003024", "공시열람")</f>
        <v/>
      </c>
    </row>
    <row r="3538">
      <c r="A3538" s="2" t="inlineStr">
        <is>
          <t>2026-03-10</t>
        </is>
      </c>
      <c r="B3538" s="3" t="inlineStr">
        <is>
          <t>서연이화</t>
        </is>
      </c>
      <c r="C3538" s="2" t="inlineStr">
        <is>
          <t>코스피</t>
        </is>
      </c>
      <c r="D3538" s="2" t="inlineStr">
        <is>
          <t>200880</t>
        </is>
      </c>
      <c r="E3538" s="3" t="inlineStr">
        <is>
          <t>의결권대리행사권유참고서류</t>
        </is>
      </c>
      <c r="F3538" s="3" t="inlineStr">
        <is>
          <t>서연이화</t>
        </is>
      </c>
      <c r="G3538" s="2" t="inlineStr">
        <is>
          <t>20260310003023</t>
        </is>
      </c>
      <c r="H3538" s="8">
        <f>HYPERLINK("https://dart.fss.or.kr/dsaf001/main.do?rcpNo=20260310003023", "공시열람")</f>
        <v/>
      </c>
    </row>
    <row r="3539">
      <c r="A3539" s="2" t="inlineStr">
        <is>
          <t>2026-03-10</t>
        </is>
      </c>
      <c r="B3539" s="3" t="inlineStr">
        <is>
          <t>이마트</t>
        </is>
      </c>
      <c r="C3539" s="2" t="inlineStr">
        <is>
          <t>코스피</t>
        </is>
      </c>
      <c r="D3539" s="2" t="inlineStr">
        <is>
          <t>139480</t>
        </is>
      </c>
      <c r="E3539" s="3" t="inlineStr">
        <is>
          <t>주요사항보고서(자기주식처분결정)</t>
        </is>
      </c>
      <c r="F3539" s="3" t="inlineStr">
        <is>
          <t>이마트</t>
        </is>
      </c>
      <c r="G3539" s="2" t="inlineStr">
        <is>
          <t>20260310002983</t>
        </is>
      </c>
      <c r="H3539" s="8">
        <f>HYPERLINK("https://dart.fss.or.kr/dsaf001/main.do?rcpNo=20260310002983", "공시열람")</f>
        <v/>
      </c>
    </row>
    <row r="3540">
      <c r="A3540" s="2" t="inlineStr">
        <is>
          <t>2026-03-10</t>
        </is>
      </c>
      <c r="B3540" s="3" t="inlineStr">
        <is>
          <t>컴투스</t>
        </is>
      </c>
      <c r="C3540" s="2" t="inlineStr">
        <is>
          <t>코스닥</t>
        </is>
      </c>
      <c r="D3540" s="2" t="inlineStr">
        <is>
          <t>078340</t>
        </is>
      </c>
      <c r="E3540" s="3" t="inlineStr">
        <is>
          <t>의결권대리행사권유참고서류</t>
        </is>
      </c>
      <c r="F3540" s="3" t="inlineStr">
        <is>
          <t>컴투스</t>
        </is>
      </c>
      <c r="G3540" s="2" t="inlineStr">
        <is>
          <t>20260310003019</t>
        </is>
      </c>
      <c r="H3540" s="8">
        <f>HYPERLINK("https://dart.fss.or.kr/dsaf001/main.do?rcpNo=20260310003019", "공시열람")</f>
        <v/>
      </c>
    </row>
    <row r="3541">
      <c r="A3541" s="2" t="inlineStr">
        <is>
          <t>2026-03-10</t>
        </is>
      </c>
      <c r="B3541" s="3" t="inlineStr">
        <is>
          <t>와이즈넛</t>
        </is>
      </c>
      <c r="C3541" s="2" t="inlineStr">
        <is>
          <t>코스닥</t>
        </is>
      </c>
      <c r="D3541" s="2" t="inlineStr">
        <is>
          <t>096250</t>
        </is>
      </c>
      <c r="E3541" s="3" t="inlineStr">
        <is>
          <t>임원ㆍ주요주주특정증권등소유상황보고서</t>
        </is>
      </c>
      <c r="F3541" s="3" t="inlineStr">
        <is>
          <t>김민수</t>
        </is>
      </c>
      <c r="G3541" s="2" t="inlineStr">
        <is>
          <t>20260310003016</t>
        </is>
      </c>
      <c r="H3541" s="8">
        <f>HYPERLINK("https://dart.fss.or.kr/dsaf001/main.do?rcpNo=20260310003016", "공시열람")</f>
        <v/>
      </c>
    </row>
    <row r="3542">
      <c r="A3542" s="2" t="inlineStr">
        <is>
          <t>2026-03-10</t>
        </is>
      </c>
      <c r="B3542" s="3" t="inlineStr">
        <is>
          <t>저스템</t>
        </is>
      </c>
      <c r="C3542" s="2" t="inlineStr">
        <is>
          <t>코스닥</t>
        </is>
      </c>
      <c r="D3542" s="2" t="inlineStr">
        <is>
          <t>417840</t>
        </is>
      </c>
      <c r="E3542" s="3" t="inlineStr">
        <is>
          <t>의결권대리행사권유참고서류</t>
        </is>
      </c>
      <c r="F3542" s="3" t="inlineStr">
        <is>
          <t>저스템</t>
        </is>
      </c>
      <c r="G3542" s="2" t="inlineStr">
        <is>
          <t>20260310003014</t>
        </is>
      </c>
      <c r="H3542" s="8">
        <f>HYPERLINK("https://dart.fss.or.kr/dsaf001/main.do?rcpNo=20260310003014", "공시열람")</f>
        <v/>
      </c>
    </row>
    <row r="3543">
      <c r="A3543" s="2" t="inlineStr">
        <is>
          <t>2026-03-10 (정정: 2026-05-21)</t>
        </is>
      </c>
      <c r="B3543" s="3" t="inlineStr">
        <is>
          <t>신세계푸드</t>
        </is>
      </c>
      <c r="C3543" s="2" t="inlineStr">
        <is>
          <t>코스피</t>
        </is>
      </c>
      <c r="D3543" s="2" t="inlineStr">
        <is>
          <t>031440</t>
        </is>
      </c>
      <c r="E3543" s="3" t="inlineStr">
        <is>
          <t>주주명부폐쇄기간또는기준일설정               (정정: 20260416) (정정: 20260521)</t>
        </is>
      </c>
      <c r="F3543" s="3" t="inlineStr">
        <is>
          <t>신세계푸드</t>
        </is>
      </c>
      <c r="G3543" s="2" t="inlineStr">
        <is>
          <t>20260521000714</t>
        </is>
      </c>
      <c r="H3543" s="8">
        <f>HYPERLINK("https://dart.fss.or.kr/dsaf001/main.do?rcpNo=20260521000714", "공시열람")</f>
        <v/>
      </c>
    </row>
    <row r="3544">
      <c r="A3544" s="2" t="inlineStr">
        <is>
          <t>2026-03-10</t>
        </is>
      </c>
      <c r="B3544" s="3" t="inlineStr">
        <is>
          <t>iM금융지주</t>
        </is>
      </c>
      <c r="C3544" s="2" t="inlineStr">
        <is>
          <t>코스피</t>
        </is>
      </c>
      <c r="D3544" s="2" t="inlineStr">
        <is>
          <t>139130</t>
        </is>
      </c>
      <c r="E3544" s="3" t="inlineStr">
        <is>
          <t>의결권대리행사권유참고서류</t>
        </is>
      </c>
      <c r="F3544" s="3" t="inlineStr">
        <is>
          <t>iM금융지주</t>
        </is>
      </c>
      <c r="G3544" s="2" t="inlineStr">
        <is>
          <t>20260310003011</t>
        </is>
      </c>
      <c r="H3544" s="8">
        <f>HYPERLINK("https://dart.fss.or.kr/dsaf001/main.do?rcpNo=20260310003011", "공시열람")</f>
        <v/>
      </c>
    </row>
    <row r="3545">
      <c r="A3545" s="2" t="inlineStr">
        <is>
          <t>2026-03-10</t>
        </is>
      </c>
      <c r="B3545" s="3" t="inlineStr">
        <is>
          <t>파크시스템스</t>
        </is>
      </c>
      <c r="C3545" s="2" t="inlineStr">
        <is>
          <t>코스닥</t>
        </is>
      </c>
      <c r="D3545" s="2" t="inlineStr">
        <is>
          <t>140860</t>
        </is>
      </c>
      <c r="E3545" s="3" t="inlineStr">
        <is>
          <t>의결권대리행사권유참고서류</t>
        </is>
      </c>
      <c r="F3545" s="3" t="inlineStr">
        <is>
          <t>파크시스템스</t>
        </is>
      </c>
      <c r="G3545" s="2" t="inlineStr">
        <is>
          <t>20260310003010</t>
        </is>
      </c>
      <c r="H3545" s="8">
        <f>HYPERLINK("https://dart.fss.or.kr/dsaf001/main.do?rcpNo=20260310003010", "공시열람")</f>
        <v/>
      </c>
    </row>
    <row r="3546">
      <c r="A3546" s="2" t="inlineStr">
        <is>
          <t>2026-03-10</t>
        </is>
      </c>
      <c r="B3546" s="3" t="inlineStr">
        <is>
          <t>서연</t>
        </is>
      </c>
      <c r="C3546" s="2" t="inlineStr">
        <is>
          <t>코스피</t>
        </is>
      </c>
      <c r="D3546" s="2" t="inlineStr">
        <is>
          <t>007860</t>
        </is>
      </c>
      <c r="E3546" s="3" t="inlineStr">
        <is>
          <t xml:space="preserve">현금ㆍ현물배당결정(자회사의 주요경영사항)              </t>
        </is>
      </c>
      <c r="F3546" s="3" t="inlineStr">
        <is>
          <t>서연</t>
        </is>
      </c>
      <c r="G3546" s="2" t="inlineStr">
        <is>
          <t>20260310801771</t>
        </is>
      </c>
      <c r="H3546" s="8">
        <f>HYPERLINK("https://dart.fss.or.kr/dsaf001/main.do?rcpNo=20260310801771", "공시열람")</f>
        <v/>
      </c>
    </row>
    <row r="3547">
      <c r="A3547" s="2" t="inlineStr">
        <is>
          <t>2026-03-10</t>
        </is>
      </c>
      <c r="B3547" s="3" t="inlineStr">
        <is>
          <t>테라젠이텍스</t>
        </is>
      </c>
      <c r="C3547" s="2" t="inlineStr">
        <is>
          <t>코스닥</t>
        </is>
      </c>
      <c r="D3547" s="2" t="inlineStr">
        <is>
          <t>066700</t>
        </is>
      </c>
      <c r="E3547" s="3" t="inlineStr">
        <is>
          <t>의결권대리행사권유참고서류</t>
        </is>
      </c>
      <c r="F3547" s="3" t="inlineStr">
        <is>
          <t>테라젠이텍스</t>
        </is>
      </c>
      <c r="G3547" s="2" t="inlineStr">
        <is>
          <t>20260310003006</t>
        </is>
      </c>
      <c r="H3547" s="8">
        <f>HYPERLINK("https://dart.fss.or.kr/dsaf001/main.do?rcpNo=20260310003006", "공시열람")</f>
        <v/>
      </c>
    </row>
    <row r="3548">
      <c r="A3548" s="2" t="inlineStr">
        <is>
          <t>2026-03-10</t>
        </is>
      </c>
      <c r="B3548" s="3" t="inlineStr">
        <is>
          <t>케이씨피드</t>
        </is>
      </c>
      <c r="C3548" s="2" t="inlineStr">
        <is>
          <t>코스닥</t>
        </is>
      </c>
      <c r="D3548" s="2" t="inlineStr">
        <is>
          <t>025880</t>
        </is>
      </c>
      <c r="E3548" s="3" t="inlineStr">
        <is>
          <t xml:space="preserve">감사보고서제출              </t>
        </is>
      </c>
      <c r="F3548" s="3" t="inlineStr">
        <is>
          <t>케이씨피드</t>
        </is>
      </c>
      <c r="G3548" s="2" t="inlineStr">
        <is>
          <t>20260310901739</t>
        </is>
      </c>
      <c r="H3548" s="8">
        <f>HYPERLINK("https://dart.fss.or.kr/dsaf001/main.do?rcpNo=20260310901739", "공시열람")</f>
        <v/>
      </c>
    </row>
    <row r="3549">
      <c r="A3549" s="2" t="inlineStr">
        <is>
          <t>2026-03-10</t>
        </is>
      </c>
      <c r="B3549" s="3" t="inlineStr">
        <is>
          <t>HLB펩</t>
        </is>
      </c>
      <c r="C3549" s="2" t="inlineStr">
        <is>
          <t>코스닥</t>
        </is>
      </c>
      <c r="D3549" s="2" t="inlineStr">
        <is>
          <t>196300</t>
        </is>
      </c>
      <c r="E3549" s="3" t="inlineStr">
        <is>
          <t xml:space="preserve">매출액또는손익구조30%(대규모법인은15%)이상변동              </t>
        </is>
      </c>
      <c r="F3549" s="3" t="inlineStr">
        <is>
          <t>HLB펩</t>
        </is>
      </c>
      <c r="G3549" s="2" t="inlineStr">
        <is>
          <t>20260310901672</t>
        </is>
      </c>
      <c r="H3549" s="8">
        <f>HYPERLINK("https://dart.fss.or.kr/dsaf001/main.do?rcpNo=20260310901672", "공시열람")</f>
        <v/>
      </c>
    </row>
    <row r="3550">
      <c r="A3550" s="2" t="inlineStr">
        <is>
          <t>2026-03-10</t>
        </is>
      </c>
      <c r="B3550" s="3" t="inlineStr">
        <is>
          <t>서연이화</t>
        </is>
      </c>
      <c r="C3550" s="2" t="inlineStr">
        <is>
          <t>코스피</t>
        </is>
      </c>
      <c r="D3550" s="2" t="inlineStr">
        <is>
          <t>200880</t>
        </is>
      </c>
      <c r="E3550" s="3" t="inlineStr">
        <is>
          <t xml:space="preserve">현금ㆍ현물배당결정              </t>
        </is>
      </c>
      <c r="F3550" s="3" t="inlineStr">
        <is>
          <t>서연이화</t>
        </is>
      </c>
      <c r="G3550" s="2" t="inlineStr">
        <is>
          <t>20260310801669</t>
        </is>
      </c>
      <c r="H3550" s="8">
        <f>HYPERLINK("https://dart.fss.or.kr/dsaf001/main.do?rcpNo=20260310801669", "공시열람")</f>
        <v/>
      </c>
    </row>
    <row r="3551">
      <c r="A3551" s="2" t="inlineStr">
        <is>
          <t>2026-03-10</t>
        </is>
      </c>
      <c r="B3551" s="3" t="inlineStr">
        <is>
          <t>LG</t>
        </is>
      </c>
      <c r="C3551" s="2" t="inlineStr">
        <is>
          <t>코스피</t>
        </is>
      </c>
      <c r="D3551" s="2" t="inlineStr">
        <is>
          <t>003550</t>
        </is>
      </c>
      <c r="E3551" s="3" t="inlineStr">
        <is>
          <t xml:space="preserve">감사보고서제출(자회사의 주요경영사항)              </t>
        </is>
      </c>
      <c r="F3551" s="3" t="inlineStr">
        <is>
          <t>LG</t>
        </is>
      </c>
      <c r="G3551" s="2" t="inlineStr">
        <is>
          <t>20260310801720</t>
        </is>
      </c>
      <c r="H3551" s="8">
        <f>HYPERLINK("https://dart.fss.or.kr/dsaf001/main.do?rcpNo=20260310801720", "공시열람")</f>
        <v/>
      </c>
    </row>
    <row r="3552">
      <c r="A3552" s="2" t="inlineStr">
        <is>
          <t>2026-03-10 (정정: 2026-04-16)</t>
        </is>
      </c>
      <c r="B3552" s="3" t="inlineStr">
        <is>
          <t>NC</t>
        </is>
      </c>
      <c r="C3552" s="2" t="inlineStr">
        <is>
          <t>코스피</t>
        </is>
      </c>
      <c r="D3552" s="2" t="inlineStr">
        <is>
          <t>036570</t>
        </is>
      </c>
      <c r="E3552" s="3" t="inlineStr">
        <is>
          <t>타법인주식및출자증권취득결정               (정정: 20260310) (정정: 20260416)</t>
        </is>
      </c>
      <c r="F3552" s="3" t="inlineStr">
        <is>
          <t>NC</t>
        </is>
      </c>
      <c r="G3552" s="2" t="inlineStr">
        <is>
          <t>20260416800120</t>
        </is>
      </c>
      <c r="H3552" s="8">
        <f>HYPERLINK("https://dart.fss.or.kr/dsaf001/main.do?rcpNo=20260416800120", "공시열람")</f>
        <v/>
      </c>
    </row>
    <row r="3553">
      <c r="A3553" s="2" t="inlineStr">
        <is>
          <t>2026-03-10</t>
        </is>
      </c>
      <c r="B3553" s="3" t="inlineStr">
        <is>
          <t>롯데리츠</t>
        </is>
      </c>
      <c r="C3553" s="2" t="inlineStr">
        <is>
          <t>코스피</t>
        </is>
      </c>
      <c r="D3553" s="2" t="inlineStr">
        <is>
          <t>330590</t>
        </is>
      </c>
      <c r="E3553" s="3" t="inlineStr">
        <is>
          <t xml:space="preserve">기타경영사항(자율공시)              </t>
        </is>
      </c>
      <c r="F3553" s="3" t="inlineStr">
        <is>
          <t>롯데리츠</t>
        </is>
      </c>
      <c r="G3553" s="2" t="inlineStr">
        <is>
          <t>20260310801713</t>
        </is>
      </c>
      <c r="H3553" s="8">
        <f>HYPERLINK("https://dart.fss.or.kr/dsaf001/main.do?rcpNo=20260310801713", "공시열람")</f>
        <v/>
      </c>
    </row>
    <row r="3554">
      <c r="A3554" s="2" t="inlineStr">
        <is>
          <t>2026-03-10</t>
        </is>
      </c>
      <c r="B3554" s="3" t="inlineStr">
        <is>
          <t>다날</t>
        </is>
      </c>
      <c r="C3554" s="2" t="inlineStr">
        <is>
          <t>코스닥</t>
        </is>
      </c>
      <c r="D3554" s="2" t="inlineStr">
        <is>
          <t>064260</t>
        </is>
      </c>
      <c r="E3554" s="3" t="inlineStr">
        <is>
          <t>의결권대리행사권유참고서류</t>
        </is>
      </c>
      <c r="F3554" s="3" t="inlineStr">
        <is>
          <t>다날</t>
        </is>
      </c>
      <c r="G3554" s="2" t="inlineStr">
        <is>
          <t>20260310002990</t>
        </is>
      </c>
      <c r="H3554" s="8">
        <f>HYPERLINK("https://dart.fss.or.kr/dsaf001/main.do?rcpNo=20260310002990", "공시열람")</f>
        <v/>
      </c>
    </row>
    <row r="3555">
      <c r="A3555" s="2" t="inlineStr">
        <is>
          <t>2026-03-10</t>
        </is>
      </c>
      <c r="B3555" s="3" t="inlineStr">
        <is>
          <t>유비벨록스</t>
        </is>
      </c>
      <c r="C3555" s="2" t="inlineStr">
        <is>
          <t>코스닥</t>
        </is>
      </c>
      <c r="D3555" s="2" t="inlineStr">
        <is>
          <t>089850</t>
        </is>
      </c>
      <c r="E3555" s="3" t="inlineStr">
        <is>
          <t xml:space="preserve">현금ㆍ현물배당결정              </t>
        </is>
      </c>
      <c r="F3555" s="3" t="inlineStr">
        <is>
          <t>유비벨록스</t>
        </is>
      </c>
      <c r="G3555" s="2" t="inlineStr">
        <is>
          <t>20260310901738</t>
        </is>
      </c>
      <c r="H3555" s="8">
        <f>HYPERLINK("https://dart.fss.or.kr/dsaf001/main.do?rcpNo=20260310901738", "공시열람")</f>
        <v/>
      </c>
    </row>
    <row r="3556">
      <c r="A3556" s="2" t="inlineStr">
        <is>
          <t>2026-03-10</t>
        </is>
      </c>
      <c r="B3556" s="3" t="inlineStr">
        <is>
          <t>CJ ENM</t>
        </is>
      </c>
      <c r="C3556" s="2" t="inlineStr">
        <is>
          <t>코스닥</t>
        </is>
      </c>
      <c r="D3556" s="2" t="inlineStr">
        <is>
          <t>035760</t>
        </is>
      </c>
      <c r="E3556" s="3" t="inlineStr">
        <is>
          <t>동일인등출자계열회사와의상품ㆍ용역거래</t>
        </is>
      </c>
      <c r="F3556" s="3" t="inlineStr">
        <is>
          <t>CJ ENM</t>
        </is>
      </c>
      <c r="G3556" s="2" t="inlineStr">
        <is>
          <t>20260310002987</t>
        </is>
      </c>
      <c r="H3556" s="8">
        <f>HYPERLINK("https://dart.fss.or.kr/dsaf001/main.do?rcpNo=20260310002987", "공시열람")</f>
        <v/>
      </c>
    </row>
    <row r="3557">
      <c r="A3557" s="2" t="inlineStr">
        <is>
          <t>2026-03-10</t>
        </is>
      </c>
      <c r="B3557" s="3" t="inlineStr">
        <is>
          <t>퓨런티어</t>
        </is>
      </c>
      <c r="C3557" s="2" t="inlineStr">
        <is>
          <t>코스닥</t>
        </is>
      </c>
      <c r="D3557" s="2" t="inlineStr">
        <is>
          <t>370090</t>
        </is>
      </c>
      <c r="E3557" s="3" t="inlineStr">
        <is>
          <t xml:space="preserve">감사보고서제출              </t>
        </is>
      </c>
      <c r="F3557" s="3" t="inlineStr">
        <is>
          <t>퓨런티어</t>
        </is>
      </c>
      <c r="G3557" s="2" t="inlineStr">
        <is>
          <t>20260310901647</t>
        </is>
      </c>
      <c r="H3557" s="8">
        <f>HYPERLINK("https://dart.fss.or.kr/dsaf001/main.do?rcpNo=20260310901647", "공시열람")</f>
        <v/>
      </c>
    </row>
    <row r="3558">
      <c r="A3558" s="2" t="inlineStr">
        <is>
          <t>2026-03-10</t>
        </is>
      </c>
      <c r="B3558" s="3" t="inlineStr">
        <is>
          <t>네오이뮨텍</t>
        </is>
      </c>
      <c r="C3558" s="2" t="inlineStr">
        <is>
          <t>코스닥</t>
        </is>
      </c>
      <c r="D3558" s="2" t="inlineStr">
        <is>
          <t>950220</t>
        </is>
      </c>
      <c r="E3558" s="3" t="inlineStr">
        <is>
          <t>의결권대리행사권유참고서류</t>
        </is>
      </c>
      <c r="F3558" s="3" t="inlineStr">
        <is>
          <t>네오이뮨텍</t>
        </is>
      </c>
      <c r="G3558" s="2" t="inlineStr">
        <is>
          <t>20260310002985</t>
        </is>
      </c>
      <c r="H3558" s="8">
        <f>HYPERLINK("https://dart.fss.or.kr/dsaf001/main.do?rcpNo=20260310002985", "공시열람")</f>
        <v/>
      </c>
    </row>
    <row r="3559">
      <c r="A3559" s="2" t="inlineStr">
        <is>
          <t>2026-03-10</t>
        </is>
      </c>
      <c r="B3559" s="3" t="inlineStr">
        <is>
          <t>하나마이크론</t>
        </is>
      </c>
      <c r="C3559" s="2" t="inlineStr">
        <is>
          <t>코스닥</t>
        </is>
      </c>
      <c r="D3559" s="2" t="inlineStr">
        <is>
          <t>067310</t>
        </is>
      </c>
      <c r="E3559" s="3" t="inlineStr">
        <is>
          <t xml:space="preserve">현금ㆍ현물배당결정              </t>
        </is>
      </c>
      <c r="F3559" s="3" t="inlineStr">
        <is>
          <t>하나마이크론</t>
        </is>
      </c>
      <c r="G3559" s="2" t="inlineStr">
        <is>
          <t>20260310901699</t>
        </is>
      </c>
      <c r="H3559" s="8">
        <f>HYPERLINK("https://dart.fss.or.kr/dsaf001/main.do?rcpNo=20260310901699", "공시열람")</f>
        <v/>
      </c>
    </row>
    <row r="3560">
      <c r="A3560" s="2" t="inlineStr">
        <is>
          <t>2026-03-10</t>
        </is>
      </c>
      <c r="B3560" s="3" t="inlineStr">
        <is>
          <t>이마트</t>
        </is>
      </c>
      <c r="C3560" s="2" t="inlineStr">
        <is>
          <t>코스피</t>
        </is>
      </c>
      <c r="D3560" s="2" t="inlineStr">
        <is>
          <t>139480</t>
        </is>
      </c>
      <c r="E3560" s="3" t="inlineStr">
        <is>
          <t xml:space="preserve">주주명부폐쇄기간또는기준일설정              </t>
        </is>
      </c>
      <c r="F3560" s="3" t="inlineStr">
        <is>
          <t>이마트</t>
        </is>
      </c>
      <c r="G3560" s="2" t="inlineStr">
        <is>
          <t>20260310801682</t>
        </is>
      </c>
      <c r="H3560" s="8">
        <f>HYPERLINK("https://dart.fss.or.kr/dsaf001/main.do?rcpNo=20260310801682", "공시열람")</f>
        <v/>
      </c>
    </row>
    <row r="3561">
      <c r="A3561" s="2" t="inlineStr">
        <is>
          <t>2026-03-10</t>
        </is>
      </c>
      <c r="B3561" s="3" t="inlineStr">
        <is>
          <t>CJ ENM</t>
        </is>
      </c>
      <c r="C3561" s="2" t="inlineStr">
        <is>
          <t>코스닥</t>
        </is>
      </c>
      <c r="D3561" s="2" t="inlineStr">
        <is>
          <t>035760</t>
        </is>
      </c>
      <c r="E3561" s="3" t="inlineStr">
        <is>
          <t>의결권대리행사권유참고서류</t>
        </is>
      </c>
      <c r="F3561" s="3" t="inlineStr">
        <is>
          <t>CJ ENM</t>
        </is>
      </c>
      <c r="G3561" s="2" t="inlineStr">
        <is>
          <t>20260310002978</t>
        </is>
      </c>
      <c r="H3561" s="8">
        <f>HYPERLINK("https://dart.fss.or.kr/dsaf001/main.do?rcpNo=20260310002978", "공시열람")</f>
        <v/>
      </c>
    </row>
    <row r="3562">
      <c r="A3562" s="2" t="inlineStr">
        <is>
          <t>2026-03-10</t>
        </is>
      </c>
      <c r="B3562" s="3" t="inlineStr">
        <is>
          <t>하나마이크론</t>
        </is>
      </c>
      <c r="C3562" s="2" t="inlineStr">
        <is>
          <t>코스닥</t>
        </is>
      </c>
      <c r="D3562" s="2" t="inlineStr">
        <is>
          <t>067310</t>
        </is>
      </c>
      <c r="E3562" s="3" t="inlineStr">
        <is>
          <t xml:space="preserve">매출액또는손익구조30%(대규모법인은15%)이상변동              </t>
        </is>
      </c>
      <c r="F3562" s="3" t="inlineStr">
        <is>
          <t>하나마이크론</t>
        </is>
      </c>
      <c r="G3562" s="2" t="inlineStr">
        <is>
          <t>20260310901691</t>
        </is>
      </c>
      <c r="H3562" s="8">
        <f>HYPERLINK("https://dart.fss.or.kr/dsaf001/main.do?rcpNo=20260310901691", "공시열람")</f>
        <v/>
      </c>
    </row>
    <row r="3563">
      <c r="A3563" s="2" t="inlineStr">
        <is>
          <t>2026-02-11 (정정: 2026-03-10)</t>
        </is>
      </c>
      <c r="B3563" s="3" t="inlineStr">
        <is>
          <t>코스모로보틱스</t>
        </is>
      </c>
      <c r="C3563" s="2" t="inlineStr">
        <is>
          <t>코스닥</t>
        </is>
      </c>
      <c r="D3563" s="2" t="inlineStr">
        <is>
          <t>439960</t>
        </is>
      </c>
      <c r="E3563" s="3" t="inlineStr">
        <is>
          <t>[기재정정]증권신고서(지분증권)</t>
        </is>
      </c>
      <c r="F3563" s="3" t="inlineStr">
        <is>
          <t>코스모로보틱스</t>
        </is>
      </c>
      <c r="G3563" s="2" t="inlineStr">
        <is>
          <t>20260310002977</t>
        </is>
      </c>
      <c r="H3563" s="8">
        <f>HYPERLINK("https://dart.fss.or.kr/dsaf001/main.do?rcpNo=20260310002977", "공시열람")</f>
        <v/>
      </c>
    </row>
    <row r="3564">
      <c r="A3564" s="2" t="inlineStr">
        <is>
          <t>2026-03-10</t>
        </is>
      </c>
      <c r="B3564" s="3" t="inlineStr">
        <is>
          <t>인크로스</t>
        </is>
      </c>
      <c r="C3564" s="2" t="inlineStr">
        <is>
          <t>코스닥</t>
        </is>
      </c>
      <c r="D3564" s="2" t="inlineStr">
        <is>
          <t>216050</t>
        </is>
      </c>
      <c r="E3564" s="3" t="inlineStr">
        <is>
          <t xml:space="preserve">감사보고서제출              </t>
        </is>
      </c>
      <c r="F3564" s="3" t="inlineStr">
        <is>
          <t>인크로스</t>
        </is>
      </c>
      <c r="G3564" s="2" t="inlineStr">
        <is>
          <t>20260310901670</t>
        </is>
      </c>
      <c r="H3564" s="8">
        <f>HYPERLINK("https://dart.fss.or.kr/dsaf001/main.do?rcpNo=20260310901670", "공시열람")</f>
        <v/>
      </c>
    </row>
    <row r="3565">
      <c r="A3565" s="2" t="inlineStr">
        <is>
          <t>2026-03-10 (정정: 2026-03-12)</t>
        </is>
      </c>
      <c r="B3565" s="3" t="inlineStr">
        <is>
          <t>에스아이리소스</t>
        </is>
      </c>
      <c r="C3565" s="2" t="inlineStr">
        <is>
          <t>코스닥</t>
        </is>
      </c>
      <c r="D3565" s="2" t="inlineStr">
        <is>
          <t>065420</t>
        </is>
      </c>
      <c r="E3565" s="3" t="inlineStr">
        <is>
          <t>소송등의판결ㆍ결정               (정정: 20260312)</t>
        </is>
      </c>
      <c r="F3565" s="3" t="inlineStr">
        <is>
          <t>에스아이리소스</t>
        </is>
      </c>
      <c r="G3565" s="2" t="inlineStr">
        <is>
          <t>20260312902308</t>
        </is>
      </c>
      <c r="H3565" s="8">
        <f>HYPERLINK("https://dart.fss.or.kr/dsaf001/main.do?rcpNo=20260312902308", "공시열람")</f>
        <v/>
      </c>
    </row>
    <row r="3566">
      <c r="A3566" s="2" t="inlineStr">
        <is>
          <t>2026-03-10</t>
        </is>
      </c>
      <c r="B3566" s="3" t="inlineStr">
        <is>
          <t>경남제약</t>
        </is>
      </c>
      <c r="C3566" s="2" t="inlineStr">
        <is>
          <t>코스닥</t>
        </is>
      </c>
      <c r="D3566" s="2" t="inlineStr">
        <is>
          <t>053950</t>
        </is>
      </c>
      <c r="E3566" s="3" t="inlineStr">
        <is>
          <t xml:space="preserve">전환가액의조정              </t>
        </is>
      </c>
      <c r="F3566" s="3" t="inlineStr">
        <is>
          <t>경남제약</t>
        </is>
      </c>
      <c r="G3566" s="2" t="inlineStr">
        <is>
          <t>20260310901723</t>
        </is>
      </c>
      <c r="H3566" s="8">
        <f>HYPERLINK("https://dart.fss.or.kr/dsaf001/main.do?rcpNo=20260310901723", "공시열람")</f>
        <v/>
      </c>
    </row>
    <row r="3567">
      <c r="A3567" s="2" t="inlineStr">
        <is>
          <t>2026-03-10</t>
        </is>
      </c>
      <c r="B3567" s="3" t="inlineStr">
        <is>
          <t>한국가구</t>
        </is>
      </c>
      <c r="C3567" s="2" t="inlineStr">
        <is>
          <t>코스닥</t>
        </is>
      </c>
      <c r="D3567" s="2" t="inlineStr">
        <is>
          <t>004590</t>
        </is>
      </c>
      <c r="E3567" s="3" t="inlineStr">
        <is>
          <t xml:space="preserve">감사보고서제출              </t>
        </is>
      </c>
      <c r="F3567" s="3" t="inlineStr">
        <is>
          <t>한국가구</t>
        </is>
      </c>
      <c r="G3567" s="2" t="inlineStr">
        <is>
          <t>20260310901706</t>
        </is>
      </c>
      <c r="H3567" s="8">
        <f>HYPERLINK("https://dart.fss.or.kr/dsaf001/main.do?rcpNo=20260310901706", "공시열람")</f>
        <v/>
      </c>
    </row>
    <row r="3568">
      <c r="A3568" s="2" t="inlineStr">
        <is>
          <t>2026-03-10</t>
        </is>
      </c>
      <c r="B3568" s="3" t="inlineStr">
        <is>
          <t>LG전자</t>
        </is>
      </c>
      <c r="C3568" s="2" t="inlineStr">
        <is>
          <t>코스피</t>
        </is>
      </c>
      <c r="D3568" s="2" t="inlineStr">
        <is>
          <t>066570</t>
        </is>
      </c>
      <c r="E3568" s="3" t="inlineStr">
        <is>
          <t xml:space="preserve">감사보고서제출              </t>
        </is>
      </c>
      <c r="F3568" s="3" t="inlineStr">
        <is>
          <t>LG전자</t>
        </is>
      </c>
      <c r="G3568" s="2" t="inlineStr">
        <is>
          <t>20260310801703</t>
        </is>
      </c>
      <c r="H3568" s="8">
        <f>HYPERLINK("https://dart.fss.or.kr/dsaf001/main.do?rcpNo=20260310801703", "공시열람")</f>
        <v/>
      </c>
    </row>
    <row r="3569">
      <c r="A3569" s="2" t="inlineStr">
        <is>
          <t>2026-03-10</t>
        </is>
      </c>
      <c r="B3569" s="3" t="inlineStr">
        <is>
          <t>워트</t>
        </is>
      </c>
      <c r="C3569" s="2" t="inlineStr">
        <is>
          <t>코스닥</t>
        </is>
      </c>
      <c r="D3569" s="2" t="inlineStr">
        <is>
          <t>396470</t>
        </is>
      </c>
      <c r="E3569" s="3" t="inlineStr">
        <is>
          <t xml:space="preserve">감사보고서제출              </t>
        </is>
      </c>
      <c r="F3569" s="3" t="inlineStr">
        <is>
          <t>워트</t>
        </is>
      </c>
      <c r="G3569" s="2" t="inlineStr">
        <is>
          <t>20260310901441</t>
        </is>
      </c>
      <c r="H3569" s="8">
        <f>HYPERLINK("https://dart.fss.or.kr/dsaf001/main.do?rcpNo=20260310901441", "공시열람")</f>
        <v/>
      </c>
    </row>
    <row r="3570">
      <c r="A3570" s="2" t="inlineStr">
        <is>
          <t>2026-03-10</t>
        </is>
      </c>
      <c r="B3570" s="3" t="inlineStr">
        <is>
          <t>DB손해보험</t>
        </is>
      </c>
      <c r="C3570" s="2" t="inlineStr">
        <is>
          <t>코스피</t>
        </is>
      </c>
      <c r="D3570" s="2" t="inlineStr">
        <is>
          <t>005830</t>
        </is>
      </c>
      <c r="E3570" s="3" t="inlineStr">
        <is>
          <t xml:space="preserve">기타경영사항(자율공시)              </t>
        </is>
      </c>
      <c r="F3570" s="3" t="inlineStr">
        <is>
          <t>DB손해보험</t>
        </is>
      </c>
      <c r="G3570" s="2" t="inlineStr">
        <is>
          <t>20260310801678</t>
        </is>
      </c>
      <c r="H3570" s="8">
        <f>HYPERLINK("https://dart.fss.or.kr/dsaf001/main.do?rcpNo=20260310801678", "공시열람")</f>
        <v/>
      </c>
    </row>
    <row r="3571">
      <c r="A3571" s="2" t="inlineStr">
        <is>
          <t>2026-03-10</t>
        </is>
      </c>
      <c r="B3571" s="3" t="inlineStr">
        <is>
          <t>롯데에너지머티리얼즈</t>
        </is>
      </c>
      <c r="C3571" s="2" t="inlineStr">
        <is>
          <t>코스피</t>
        </is>
      </c>
      <c r="D3571" s="2" t="inlineStr">
        <is>
          <t>020150</t>
        </is>
      </c>
      <c r="E3571" s="3" t="inlineStr">
        <is>
          <t xml:space="preserve">감사보고서제출              </t>
        </is>
      </c>
      <c r="F3571" s="3" t="inlineStr">
        <is>
          <t>롯데에너지머티리얼즈</t>
        </is>
      </c>
      <c r="G3571" s="2" t="inlineStr">
        <is>
          <t>20260310801650</t>
        </is>
      </c>
      <c r="H3571" s="8">
        <f>HYPERLINK("https://dart.fss.or.kr/dsaf001/main.do?rcpNo=20260310801650", "공시열람")</f>
        <v/>
      </c>
    </row>
    <row r="3572">
      <c r="A3572" s="2" t="inlineStr">
        <is>
          <t>2026-03-10</t>
        </is>
      </c>
      <c r="B3572" s="3" t="inlineStr">
        <is>
          <t>엔피</t>
        </is>
      </c>
      <c r="C3572" s="2" t="inlineStr">
        <is>
          <t>코스닥</t>
        </is>
      </c>
      <c r="D3572" s="2" t="inlineStr">
        <is>
          <t>291230</t>
        </is>
      </c>
      <c r="E3572" s="3" t="inlineStr">
        <is>
          <t>의결권대리행사권유참고서류</t>
        </is>
      </c>
      <c r="F3572" s="3" t="inlineStr">
        <is>
          <t>엔피</t>
        </is>
      </c>
      <c r="G3572" s="2" t="inlineStr">
        <is>
          <t>20260310002963</t>
        </is>
      </c>
      <c r="H3572" s="8">
        <f>HYPERLINK("https://dart.fss.or.kr/dsaf001/main.do?rcpNo=20260310002963", "공시열람")</f>
        <v/>
      </c>
    </row>
    <row r="3573">
      <c r="A3573" s="2" t="inlineStr">
        <is>
          <t>2026-03-10</t>
        </is>
      </c>
      <c r="B3573" s="3" t="inlineStr">
        <is>
          <t>아시아나항공</t>
        </is>
      </c>
      <c r="C3573" s="2" t="inlineStr">
        <is>
          <t>코스피</t>
        </is>
      </c>
      <c r="D3573" s="2" t="inlineStr">
        <is>
          <t>020560</t>
        </is>
      </c>
      <c r="E3573" s="3" t="inlineStr">
        <is>
          <t xml:space="preserve">감사보고서제출              </t>
        </is>
      </c>
      <c r="F3573" s="3" t="inlineStr">
        <is>
          <t>아시아나항공</t>
        </is>
      </c>
      <c r="G3573" s="2" t="inlineStr">
        <is>
          <t>20260310801617</t>
        </is>
      </c>
      <c r="H3573" s="8">
        <f>HYPERLINK("https://dart.fss.or.kr/dsaf001/main.do?rcpNo=20260310801617", "공시열람")</f>
        <v/>
      </c>
    </row>
    <row r="3574">
      <c r="A3574" s="2" t="inlineStr">
        <is>
          <t>2026-03-10</t>
        </is>
      </c>
      <c r="B3574" s="3" t="inlineStr">
        <is>
          <t>월덱스</t>
        </is>
      </c>
      <c r="C3574" s="2" t="inlineStr">
        <is>
          <t>코스닥</t>
        </is>
      </c>
      <c r="D3574" s="2" t="inlineStr">
        <is>
          <t>101160</t>
        </is>
      </c>
      <c r="E3574" s="3" t="inlineStr">
        <is>
          <t>의결권대리행사권유참고서류</t>
        </is>
      </c>
      <c r="F3574" s="3" t="inlineStr">
        <is>
          <t>월덱스</t>
        </is>
      </c>
      <c r="G3574" s="2" t="inlineStr">
        <is>
          <t>20260310002961</t>
        </is>
      </c>
      <c r="H3574" s="8">
        <f>HYPERLINK("https://dart.fss.or.kr/dsaf001/main.do?rcpNo=20260310002961", "공시열람")</f>
        <v/>
      </c>
    </row>
    <row r="3575">
      <c r="A3575" s="2" t="inlineStr">
        <is>
          <t>2026-03-10</t>
        </is>
      </c>
      <c r="B3575" s="3" t="inlineStr">
        <is>
          <t>효성</t>
        </is>
      </c>
      <c r="C3575" s="2" t="inlineStr">
        <is>
          <t>코스피</t>
        </is>
      </c>
      <c r="D3575" s="2" t="inlineStr">
        <is>
          <t>004800</t>
        </is>
      </c>
      <c r="E3575" s="3" t="inlineStr">
        <is>
          <t xml:space="preserve">감사보고서제출(자회사의 주요경영사항)              </t>
        </is>
      </c>
      <c r="F3575" s="3" t="inlineStr">
        <is>
          <t>효성</t>
        </is>
      </c>
      <c r="G3575" s="2" t="inlineStr">
        <is>
          <t>20260310801668</t>
        </is>
      </c>
      <c r="H3575" s="8">
        <f>HYPERLINK("https://dart.fss.or.kr/dsaf001/main.do?rcpNo=20260310801668", "공시열람")</f>
        <v/>
      </c>
    </row>
    <row r="3576">
      <c r="A3576" s="2" t="inlineStr">
        <is>
          <t>2026-03-10</t>
        </is>
      </c>
      <c r="B3576" s="3" t="inlineStr">
        <is>
          <t>CNT85</t>
        </is>
      </c>
      <c r="C3576" s="2" t="inlineStr">
        <is>
          <t>코스닥</t>
        </is>
      </c>
      <c r="D3576" s="2" t="inlineStr">
        <is>
          <t>056730</t>
        </is>
      </c>
      <c r="E3576" s="3" t="inlineStr">
        <is>
          <t xml:space="preserve">주식병합결정              </t>
        </is>
      </c>
      <c r="F3576" s="3" t="inlineStr">
        <is>
          <t>CNT85</t>
        </is>
      </c>
      <c r="G3576" s="2" t="inlineStr">
        <is>
          <t>20260310901603</t>
        </is>
      </c>
      <c r="H3576" s="8">
        <f>HYPERLINK("https://dart.fss.or.kr/dsaf001/main.do?rcpNo=20260310901603", "공시열람")</f>
        <v/>
      </c>
    </row>
    <row r="3577">
      <c r="A3577" s="2" t="inlineStr">
        <is>
          <t>2026-03-10</t>
        </is>
      </c>
      <c r="B3577" s="3" t="inlineStr">
        <is>
          <t>바이오노트</t>
        </is>
      </c>
      <c r="C3577" s="2" t="inlineStr">
        <is>
          <t>코스피</t>
        </is>
      </c>
      <c r="D3577" s="2" t="inlineStr">
        <is>
          <t>377740</t>
        </is>
      </c>
      <c r="E3577" s="3" t="inlineStr">
        <is>
          <t>임원ㆍ주요주주특정증권등소유상황보고서</t>
        </is>
      </c>
      <c r="F3577" s="3" t="inlineStr">
        <is>
          <t>박철세</t>
        </is>
      </c>
      <c r="G3577" s="2" t="inlineStr">
        <is>
          <t>20260310002960</t>
        </is>
      </c>
      <c r="H3577" s="8">
        <f>HYPERLINK("https://dart.fss.or.kr/dsaf001/main.do?rcpNo=20260310002960", "공시열람")</f>
        <v/>
      </c>
    </row>
    <row r="3578">
      <c r="A3578" s="2" t="inlineStr">
        <is>
          <t>2026-03-10</t>
        </is>
      </c>
      <c r="B3578" s="3" t="inlineStr">
        <is>
          <t>케이뱅크</t>
        </is>
      </c>
      <c r="C3578" s="2" t="inlineStr">
        <is>
          <t>코스피</t>
        </is>
      </c>
      <c r="D3578" s="2" t="inlineStr">
        <is>
          <t>279570</t>
        </is>
      </c>
      <c r="E3578" s="3" t="inlineStr">
        <is>
          <t xml:space="preserve">기업지배구조보고서공시(연차보고서)              </t>
        </is>
      </c>
      <c r="F3578" s="3" t="inlineStr">
        <is>
          <t>케이뱅크</t>
        </is>
      </c>
      <c r="G3578" s="2" t="inlineStr">
        <is>
          <t>20260310801684</t>
        </is>
      </c>
      <c r="H3578" s="8">
        <f>HYPERLINK("https://dart.fss.or.kr/dsaf001/main.do?rcpNo=20260310801684", "공시열람")</f>
        <v/>
      </c>
    </row>
    <row r="3579">
      <c r="A3579" s="2" t="inlineStr">
        <is>
          <t>2026-03-10 (정정: 2026-03-10)</t>
        </is>
      </c>
      <c r="B3579" s="3" t="inlineStr">
        <is>
          <t>라이콤</t>
        </is>
      </c>
      <c r="C3579" s="2" t="inlineStr">
        <is>
          <t>코스닥</t>
        </is>
      </c>
      <c r="D3579" s="2" t="inlineStr">
        <is>
          <t>388790</t>
        </is>
      </c>
      <c r="E3579" s="3" t="inlineStr">
        <is>
          <t xml:space="preserve">[기재정정]매출액또는손익구조30%(대규모법인은15%)이상변동              </t>
        </is>
      </c>
      <c r="F3579" s="3" t="inlineStr">
        <is>
          <t>라이콤</t>
        </is>
      </c>
      <c r="G3579" s="2" t="inlineStr">
        <is>
          <t>20260310901644</t>
        </is>
      </c>
      <c r="H3579" s="8">
        <f>HYPERLINK("https://dart.fss.or.kr/dsaf001/main.do?rcpNo=20260310901644", "공시열람")</f>
        <v/>
      </c>
    </row>
    <row r="3580">
      <c r="A3580" s="2" t="inlineStr">
        <is>
          <t>2026-03-10</t>
        </is>
      </c>
      <c r="B3580" s="3" t="inlineStr">
        <is>
          <t>네오이뮨텍</t>
        </is>
      </c>
      <c r="C3580" s="2" t="inlineStr">
        <is>
          <t>코스닥</t>
        </is>
      </c>
      <c r="D3580" s="2" t="inlineStr">
        <is>
          <t>950220</t>
        </is>
      </c>
      <c r="E3580" s="3" t="inlineStr">
        <is>
          <t xml:space="preserve">증권예탁증권(DR)병합결정              </t>
        </is>
      </c>
      <c r="F3580" s="3" t="inlineStr">
        <is>
          <t>네오이뮨텍</t>
        </is>
      </c>
      <c r="G3580" s="2" t="inlineStr">
        <is>
          <t>20260310901635</t>
        </is>
      </c>
      <c r="H3580" s="8">
        <f>HYPERLINK("https://dart.fss.or.kr/dsaf001/main.do?rcpNo=20260310901635", "공시열람")</f>
        <v/>
      </c>
    </row>
    <row r="3581">
      <c r="A3581" s="2" t="inlineStr">
        <is>
          <t>2026-03-10 (정정: 2026-03-10)</t>
        </is>
      </c>
      <c r="B3581" s="3" t="inlineStr">
        <is>
          <t>삼표시멘트</t>
        </is>
      </c>
      <c r="C3581" s="2" t="inlineStr">
        <is>
          <t>코스닥</t>
        </is>
      </c>
      <c r="D3581" s="2" t="inlineStr">
        <is>
          <t>038500</t>
        </is>
      </c>
      <c r="E3581" s="3" t="inlineStr">
        <is>
          <t>[기재정정]의결권대리행사권유참고서류 (정정: 20260310)</t>
        </is>
      </c>
      <c r="F3581" s="3" t="inlineStr">
        <is>
          <t>삼표시멘트</t>
        </is>
      </c>
      <c r="G3581" s="2" t="inlineStr">
        <is>
          <t>20260310002938</t>
        </is>
      </c>
      <c r="H3581" s="8">
        <f>HYPERLINK("https://dart.fss.or.kr/dsaf001/main.do?rcpNo=20260310002938", "공시열람")</f>
        <v/>
      </c>
    </row>
    <row r="3582">
      <c r="A3582" s="2" t="inlineStr">
        <is>
          <t>2026-03-10</t>
        </is>
      </c>
      <c r="B3582" s="3" t="inlineStr">
        <is>
          <t>엠로</t>
        </is>
      </c>
      <c r="C3582" s="2" t="inlineStr">
        <is>
          <t>코스닥</t>
        </is>
      </c>
      <c r="D3582" s="2" t="inlineStr">
        <is>
          <t>058970</t>
        </is>
      </c>
      <c r="E3582" s="3" t="inlineStr">
        <is>
          <t xml:space="preserve">감사보고서제출              </t>
        </is>
      </c>
      <c r="F3582" s="3" t="inlineStr">
        <is>
          <t>엠로</t>
        </is>
      </c>
      <c r="G3582" s="2" t="inlineStr">
        <is>
          <t>20260310901587</t>
        </is>
      </c>
      <c r="H3582" s="8">
        <f>HYPERLINK("https://dart.fss.or.kr/dsaf001/main.do?rcpNo=20260310901587", "공시열람")</f>
        <v/>
      </c>
    </row>
    <row r="3583">
      <c r="A3583" s="2" t="inlineStr">
        <is>
          <t>2026-03-10</t>
        </is>
      </c>
      <c r="B3583" s="3" t="inlineStr">
        <is>
          <t>효성티앤씨</t>
        </is>
      </c>
      <c r="C3583" s="2" t="inlineStr">
        <is>
          <t>코스피</t>
        </is>
      </c>
      <c r="D3583" s="2" t="inlineStr">
        <is>
          <t>298020</t>
        </is>
      </c>
      <c r="E3583" s="3" t="inlineStr">
        <is>
          <t xml:space="preserve">감사보고서제출              </t>
        </is>
      </c>
      <c r="F3583" s="3" t="inlineStr">
        <is>
          <t>효성티앤씨</t>
        </is>
      </c>
      <c r="G3583" s="2" t="inlineStr">
        <is>
          <t>20260310801640</t>
        </is>
      </c>
      <c r="H3583" s="8">
        <f>HYPERLINK("https://dart.fss.or.kr/dsaf001/main.do?rcpNo=20260310801640", "공시열람")</f>
        <v/>
      </c>
    </row>
    <row r="3584">
      <c r="A3584" s="2" t="inlineStr">
        <is>
          <t>2026-03-10</t>
        </is>
      </c>
      <c r="B3584" s="3" t="inlineStr">
        <is>
          <t>신세계푸드</t>
        </is>
      </c>
      <c r="C3584" s="2" t="inlineStr">
        <is>
          <t>코스피</t>
        </is>
      </c>
      <c r="D3584" s="2" t="inlineStr">
        <is>
          <t>031440</t>
        </is>
      </c>
      <c r="E3584" s="3" t="inlineStr">
        <is>
          <t xml:space="preserve">매매거래정지및정지해제(중요내용공시)              </t>
        </is>
      </c>
      <c r="F3584" s="3" t="inlineStr">
        <is>
          <t>유가증권시장본부</t>
        </is>
      </c>
      <c r="G3584" s="2" t="inlineStr">
        <is>
          <t>20260310801616</t>
        </is>
      </c>
      <c r="H3584" s="8">
        <f>HYPERLINK("https://dart.fss.or.kr/dsaf001/main.do?rcpNo=20260310801616", "공시열람")</f>
        <v/>
      </c>
    </row>
    <row r="3585">
      <c r="A3585" s="2" t="inlineStr">
        <is>
          <t>2026-03-10</t>
        </is>
      </c>
      <c r="B3585" s="3" t="inlineStr">
        <is>
          <t>삼성FN리츠</t>
        </is>
      </c>
      <c r="C3585" s="2" t="inlineStr">
        <is>
          <t>코스피</t>
        </is>
      </c>
      <c r="D3585" s="2" t="inlineStr">
        <is>
          <t>448730</t>
        </is>
      </c>
      <c r="E3585" s="3" t="inlineStr">
        <is>
          <t>[발행조건확정]증권신고서(채무증권)</t>
        </is>
      </c>
      <c r="F3585" s="3" t="inlineStr">
        <is>
          <t>삼성FN리츠</t>
        </is>
      </c>
      <c r="G3585" s="2" t="inlineStr">
        <is>
          <t>20260310002949</t>
        </is>
      </c>
      <c r="H3585" s="8">
        <f>HYPERLINK("https://dart.fss.or.kr/dsaf001/main.do?rcpNo=20260310002949", "공시열람")</f>
        <v/>
      </c>
    </row>
    <row r="3586">
      <c r="A3586" s="2" t="inlineStr">
        <is>
          <t>2026-03-10</t>
        </is>
      </c>
      <c r="B3586" s="3" t="inlineStr">
        <is>
          <t>신세계인터내셔날</t>
        </is>
      </c>
      <c r="C3586" s="2" t="inlineStr">
        <is>
          <t>코스피</t>
        </is>
      </c>
      <c r="D3586" s="2" t="inlineStr">
        <is>
          <t>031430</t>
        </is>
      </c>
      <c r="E3586" s="3" t="inlineStr">
        <is>
          <t xml:space="preserve">감사보고서제출              </t>
        </is>
      </c>
      <c r="F3586" s="3" t="inlineStr">
        <is>
          <t>신세계인터내셔날</t>
        </is>
      </c>
      <c r="G3586" s="2" t="inlineStr">
        <is>
          <t>20260310801557</t>
        </is>
      </c>
      <c r="H3586" s="8">
        <f>HYPERLINK("https://dart.fss.or.kr/dsaf001/main.do?rcpNo=20260310801557", "공시열람")</f>
        <v/>
      </c>
    </row>
    <row r="3587">
      <c r="A3587" s="2" t="inlineStr">
        <is>
          <t>2026-03-10</t>
        </is>
      </c>
      <c r="B3587" s="3" t="inlineStr">
        <is>
          <t>바이오노트</t>
        </is>
      </c>
      <c r="C3587" s="2" t="inlineStr">
        <is>
          <t>코스피</t>
        </is>
      </c>
      <c r="D3587" s="2" t="inlineStr">
        <is>
          <t>377740</t>
        </is>
      </c>
      <c r="E3587" s="3" t="inlineStr">
        <is>
          <t>임원ㆍ주요주주특정증권등소유상황보고서</t>
        </is>
      </c>
      <c r="F3587" s="3" t="inlineStr">
        <is>
          <t>조병기</t>
        </is>
      </c>
      <c r="G3587" s="2" t="inlineStr">
        <is>
          <t>20260310002946</t>
        </is>
      </c>
      <c r="H3587" s="8">
        <f>HYPERLINK("https://dart.fss.or.kr/dsaf001/main.do?rcpNo=20260310002946", "공시열람")</f>
        <v/>
      </c>
    </row>
    <row r="3588">
      <c r="A3588" s="2" t="inlineStr">
        <is>
          <t>2026-03-10</t>
        </is>
      </c>
      <c r="B3588" s="3" t="inlineStr">
        <is>
          <t>씨앤투스</t>
        </is>
      </c>
      <c r="C3588" s="2" t="inlineStr">
        <is>
          <t>코스닥</t>
        </is>
      </c>
      <c r="D3588" s="2" t="inlineStr">
        <is>
          <t>352700</t>
        </is>
      </c>
      <c r="E3588" s="3" t="inlineStr">
        <is>
          <t>의결권대리행사권유참고서류</t>
        </is>
      </c>
      <c r="F3588" s="3" t="inlineStr">
        <is>
          <t>씨앤투스</t>
        </is>
      </c>
      <c r="G3588" s="2" t="inlineStr">
        <is>
          <t>20260310002945</t>
        </is>
      </c>
      <c r="H3588" s="8">
        <f>HYPERLINK("https://dart.fss.or.kr/dsaf001/main.do?rcpNo=20260310002945", "공시열람")</f>
        <v/>
      </c>
    </row>
    <row r="3589">
      <c r="A3589" s="2" t="inlineStr">
        <is>
          <t>2026-03-10 (정정: 2026-03-20)</t>
        </is>
      </c>
      <c r="B3589" s="3" t="inlineStr">
        <is>
          <t>GS</t>
        </is>
      </c>
      <c r="C3589" s="2" t="inlineStr">
        <is>
          <t>코스피</t>
        </is>
      </c>
      <c r="D3589" s="2" t="inlineStr">
        <is>
          <t>078930</t>
        </is>
      </c>
      <c r="E3589" s="3" t="inlineStr">
        <is>
          <t>의결권대리행사권유참고서류 (정정: 20260320)</t>
        </is>
      </c>
      <c r="F3589" s="3" t="inlineStr">
        <is>
          <t>GS</t>
        </is>
      </c>
      <c r="G3589" s="2" t="inlineStr">
        <is>
          <t>20260319001404</t>
        </is>
      </c>
      <c r="H3589" s="8">
        <f>HYPERLINK("https://dart.fss.or.kr/dsaf001/main.do?rcpNo=20260319001404", "공시열람")</f>
        <v/>
      </c>
    </row>
    <row r="3590">
      <c r="A3590" s="2" t="inlineStr">
        <is>
          <t>2026-03-10</t>
        </is>
      </c>
      <c r="B3590" s="3" t="inlineStr">
        <is>
          <t>인티큐브</t>
        </is>
      </c>
      <c r="C3590" s="2" t="inlineStr">
        <is>
          <t>코스닥</t>
        </is>
      </c>
      <c r="D3590" s="2" t="inlineStr">
        <is>
          <t>070590</t>
        </is>
      </c>
      <c r="E3590" s="3" t="inlineStr">
        <is>
          <t>사외이사의선임ㆍ해임또는중도퇴임에관한신고</t>
        </is>
      </c>
      <c r="F3590" s="3" t="inlineStr">
        <is>
          <t>인티큐브</t>
        </is>
      </c>
      <c r="G3590" s="2" t="inlineStr">
        <is>
          <t>20260310002942</t>
        </is>
      </c>
      <c r="H3590" s="8">
        <f>HYPERLINK("https://dart.fss.or.kr/dsaf001/main.do?rcpNo=20260310002942", "공시열람")</f>
        <v/>
      </c>
    </row>
    <row r="3591">
      <c r="A3591" s="2" t="inlineStr">
        <is>
          <t>2026-03-10</t>
        </is>
      </c>
      <c r="B3591" s="3" t="inlineStr">
        <is>
          <t>현대자동차</t>
        </is>
      </c>
      <c r="C3591" s="2" t="inlineStr">
        <is>
          <t>코스피</t>
        </is>
      </c>
      <c r="D3591" s="2" t="inlineStr">
        <is>
          <t>005380</t>
        </is>
      </c>
      <c r="E3591" s="3" t="inlineStr">
        <is>
          <t>임원ㆍ주요주주특정증권등소유상황보고서</t>
        </is>
      </c>
      <c r="F3591" s="3" t="inlineStr">
        <is>
          <t>오강록</t>
        </is>
      </c>
      <c r="G3591" s="2" t="inlineStr">
        <is>
          <t>20260310002941</t>
        </is>
      </c>
      <c r="H3591" s="8">
        <f>HYPERLINK("https://dart.fss.or.kr/dsaf001/main.do?rcpNo=20260310002941", "공시열람")</f>
        <v/>
      </c>
    </row>
    <row r="3592">
      <c r="A3592" s="2" t="inlineStr">
        <is>
          <t>2026-03-10</t>
        </is>
      </c>
      <c r="B3592" s="3" t="inlineStr">
        <is>
          <t>한진칼</t>
        </is>
      </c>
      <c r="C3592" s="2" t="inlineStr">
        <is>
          <t>코스피</t>
        </is>
      </c>
      <c r="D3592" s="2" t="inlineStr">
        <is>
          <t>180640</t>
        </is>
      </c>
      <c r="E3592" s="3" t="inlineStr">
        <is>
          <t>사외이사의선임ㆍ해임또는중도퇴임에관한신고</t>
        </is>
      </c>
      <c r="F3592" s="3" t="inlineStr">
        <is>
          <t>한진칼</t>
        </is>
      </c>
      <c r="G3592" s="2" t="inlineStr">
        <is>
          <t>20260310002935</t>
        </is>
      </c>
      <c r="H3592" s="8">
        <f>HYPERLINK("https://dart.fss.or.kr/dsaf001/main.do?rcpNo=20260310002935", "공시열람")</f>
        <v/>
      </c>
    </row>
    <row r="3593">
      <c r="A3593" s="2" t="inlineStr">
        <is>
          <t>2026-03-10</t>
        </is>
      </c>
      <c r="B3593" s="3" t="inlineStr">
        <is>
          <t>네오이뮨텍</t>
        </is>
      </c>
      <c r="C3593" s="2" t="inlineStr">
        <is>
          <t>코스닥</t>
        </is>
      </c>
      <c r="D3593" s="2" t="inlineStr">
        <is>
          <t>950220</t>
        </is>
      </c>
      <c r="E3593" s="3" t="inlineStr">
        <is>
          <t xml:space="preserve">주식병합결정              </t>
        </is>
      </c>
      <c r="F3593" s="3" t="inlineStr">
        <is>
          <t>네오이뮨텍</t>
        </is>
      </c>
      <c r="G3593" s="2" t="inlineStr">
        <is>
          <t>20260310901588</t>
        </is>
      </c>
      <c r="H3593" s="8">
        <f>HYPERLINK("https://dart.fss.or.kr/dsaf001/main.do?rcpNo=20260310901588", "공시열람")</f>
        <v/>
      </c>
    </row>
    <row r="3594">
      <c r="A3594" s="2" t="inlineStr">
        <is>
          <t>2026-03-10</t>
        </is>
      </c>
      <c r="B3594" s="3" t="inlineStr">
        <is>
          <t>인티큐브</t>
        </is>
      </c>
      <c r="C3594" s="2" t="inlineStr">
        <is>
          <t>코스닥</t>
        </is>
      </c>
      <c r="D3594" s="2" t="inlineStr">
        <is>
          <t>070590</t>
        </is>
      </c>
      <c r="E3594" s="3" t="inlineStr">
        <is>
          <t xml:space="preserve">상호변경안내              </t>
        </is>
      </c>
      <c r="F3594" s="3" t="inlineStr">
        <is>
          <t>인티큐브</t>
        </is>
      </c>
      <c r="G3594" s="2" t="inlineStr">
        <is>
          <t>20260310901633</t>
        </is>
      </c>
      <c r="H3594" s="8">
        <f>HYPERLINK("https://dart.fss.or.kr/dsaf001/main.do?rcpNo=20260310901633", "공시열람")</f>
        <v/>
      </c>
    </row>
    <row r="3595">
      <c r="A3595" s="2" t="inlineStr">
        <is>
          <t>2026-03-10</t>
        </is>
      </c>
      <c r="B3595" s="3" t="inlineStr">
        <is>
          <t>아이비김영</t>
        </is>
      </c>
      <c r="C3595" s="2" t="inlineStr">
        <is>
          <t>코스닥</t>
        </is>
      </c>
      <c r="D3595" s="2" t="inlineStr">
        <is>
          <t>339950</t>
        </is>
      </c>
      <c r="E3595" s="3" t="inlineStr">
        <is>
          <t xml:space="preserve">감사보고서제출              </t>
        </is>
      </c>
      <c r="F3595" s="3" t="inlineStr">
        <is>
          <t>아이비김영</t>
        </is>
      </c>
      <c r="G3595" s="2" t="inlineStr">
        <is>
          <t>20260310901495</t>
        </is>
      </c>
      <c r="H3595" s="8">
        <f>HYPERLINK("https://dart.fss.or.kr/dsaf001/main.do?rcpNo=20260310901495", "공시열람")</f>
        <v/>
      </c>
    </row>
    <row r="3596">
      <c r="A3596" s="2" t="inlineStr">
        <is>
          <t>2026-03-10</t>
        </is>
      </c>
      <c r="B3596" s="3" t="inlineStr">
        <is>
          <t>케이뱅크</t>
        </is>
      </c>
      <c r="C3596" s="2" t="inlineStr">
        <is>
          <t>코스피</t>
        </is>
      </c>
      <c r="D3596" s="2" t="inlineStr">
        <is>
          <t>279570</t>
        </is>
      </c>
      <c r="E3596" s="3" t="inlineStr">
        <is>
          <t xml:space="preserve">감사보고서제출              </t>
        </is>
      </c>
      <c r="F3596" s="3" t="inlineStr">
        <is>
          <t>케이뱅크</t>
        </is>
      </c>
      <c r="G3596" s="2" t="inlineStr">
        <is>
          <t>20260310801571</t>
        </is>
      </c>
      <c r="H3596" s="8">
        <f>HYPERLINK("https://dart.fss.or.kr/dsaf001/main.do?rcpNo=20260310801571", "공시열람")</f>
        <v/>
      </c>
    </row>
    <row r="3597">
      <c r="A3597" s="2" t="inlineStr">
        <is>
          <t>2026-03-10</t>
        </is>
      </c>
      <c r="B3597" s="3" t="inlineStr">
        <is>
          <t>질경이</t>
        </is>
      </c>
      <c r="C3597" s="2" t="inlineStr">
        <is>
          <t>코넥스</t>
        </is>
      </c>
      <c r="D3597" s="2" t="inlineStr">
        <is>
          <t>233990</t>
        </is>
      </c>
      <c r="E3597" s="3" t="inlineStr">
        <is>
          <t>임원ㆍ주요주주특정증권등거래계획철회보고서</t>
        </is>
      </c>
      <c r="F3597" s="3" t="inlineStr">
        <is>
          <t>최원석</t>
        </is>
      </c>
      <c r="G3597" s="2" t="inlineStr">
        <is>
          <t>20260310002929</t>
        </is>
      </c>
      <c r="H3597" s="8">
        <f>HYPERLINK("https://dart.fss.or.kr/dsaf001/main.do?rcpNo=20260310002929", "공시열람")</f>
        <v/>
      </c>
    </row>
    <row r="3598">
      <c r="A3598" s="2" t="inlineStr">
        <is>
          <t>2026-03-10</t>
        </is>
      </c>
      <c r="B3598" s="3" t="inlineStr">
        <is>
          <t>KB제32호스팩</t>
        </is>
      </c>
      <c r="C3598" s="2" t="inlineStr">
        <is>
          <t>코스닥</t>
        </is>
      </c>
      <c r="D3598" s="2" t="inlineStr">
        <is>
          <t>0037T0</t>
        </is>
      </c>
      <c r="E3598" s="3" t="inlineStr">
        <is>
          <t xml:space="preserve">감사보고서제출              </t>
        </is>
      </c>
      <c r="F3598" s="3" t="inlineStr">
        <is>
          <t>KB제32호스팩</t>
        </is>
      </c>
      <c r="G3598" s="2" t="inlineStr">
        <is>
          <t>20260310901161</t>
        </is>
      </c>
      <c r="H3598" s="8">
        <f>HYPERLINK("https://dart.fss.or.kr/dsaf001/main.do?rcpNo=20260310901161", "공시열람")</f>
        <v/>
      </c>
    </row>
    <row r="3599">
      <c r="A3599" s="2" t="inlineStr">
        <is>
          <t>2026-03-10</t>
        </is>
      </c>
      <c r="B3599" s="3" t="inlineStr">
        <is>
          <t>인티큐브</t>
        </is>
      </c>
      <c r="C3599" s="2" t="inlineStr">
        <is>
          <t>코스닥</t>
        </is>
      </c>
      <c r="D3599" s="2" t="inlineStr">
        <is>
          <t>070590</t>
        </is>
      </c>
      <c r="E3599" s="3" t="inlineStr">
        <is>
          <t xml:space="preserve">대표이사변경              </t>
        </is>
      </c>
      <c r="F3599" s="3" t="inlineStr">
        <is>
          <t>인티큐브</t>
        </is>
      </c>
      <c r="G3599" s="2" t="inlineStr">
        <is>
          <t>20260310901520</t>
        </is>
      </c>
      <c r="H3599" s="8">
        <f>HYPERLINK("https://dart.fss.or.kr/dsaf001/main.do?rcpNo=20260310901520", "공시열람")</f>
        <v/>
      </c>
    </row>
    <row r="3600">
      <c r="A3600" s="2" t="inlineStr">
        <is>
          <t>2026-03-10</t>
        </is>
      </c>
      <c r="B3600" s="3" t="inlineStr">
        <is>
          <t>대동</t>
        </is>
      </c>
      <c r="C3600" s="2" t="inlineStr">
        <is>
          <t>코스피</t>
        </is>
      </c>
      <c r="D3600" s="2" t="inlineStr">
        <is>
          <t>000490</t>
        </is>
      </c>
      <c r="E3600" s="3" t="inlineStr">
        <is>
          <t>의결권대리행사권유참고서류</t>
        </is>
      </c>
      <c r="F3600" s="3" t="inlineStr">
        <is>
          <t>대동</t>
        </is>
      </c>
      <c r="G3600" s="2" t="inlineStr">
        <is>
          <t>20260310002926</t>
        </is>
      </c>
      <c r="H3600" s="8">
        <f>HYPERLINK("https://dart.fss.or.kr/dsaf001/main.do?rcpNo=20260310002926", "공시열람")</f>
        <v/>
      </c>
    </row>
    <row r="3601">
      <c r="A3601" s="2" t="inlineStr">
        <is>
          <t>2026-03-10</t>
        </is>
      </c>
      <c r="B3601" s="3" t="inlineStr">
        <is>
          <t>SK</t>
        </is>
      </c>
      <c r="C3601" s="2" t="inlineStr">
        <is>
          <t>코스피</t>
        </is>
      </c>
      <c r="D3601" s="2" t="inlineStr">
        <is>
          <t>034730</t>
        </is>
      </c>
      <c r="E3601" s="3" t="inlineStr">
        <is>
          <t xml:space="preserve">감사보고서제출(자회사의 주요경영사항)              </t>
        </is>
      </c>
      <c r="F3601" s="3" t="inlineStr">
        <is>
          <t>SK</t>
        </is>
      </c>
      <c r="G3601" s="2" t="inlineStr">
        <is>
          <t>20260310801471</t>
        </is>
      </c>
      <c r="H3601" s="8">
        <f>HYPERLINK("https://dart.fss.or.kr/dsaf001/main.do?rcpNo=20260310801471", "공시열람")</f>
        <v/>
      </c>
    </row>
    <row r="3602">
      <c r="A3602" s="2" t="inlineStr">
        <is>
          <t>2026-03-10</t>
        </is>
      </c>
      <c r="B3602" s="3" t="inlineStr">
        <is>
          <t>한솔홀딩스</t>
        </is>
      </c>
      <c r="C3602" s="2" t="inlineStr">
        <is>
          <t>코스피</t>
        </is>
      </c>
      <c r="D3602" s="2" t="inlineStr">
        <is>
          <t>004150</t>
        </is>
      </c>
      <c r="E3602" s="3" t="inlineStr">
        <is>
          <t xml:space="preserve">감사보고서제출(자회사의 주요경영사항)              </t>
        </is>
      </c>
      <c r="F3602" s="3" t="inlineStr">
        <is>
          <t>한솔홀딩스</t>
        </is>
      </c>
      <c r="G3602" s="2" t="inlineStr">
        <is>
          <t>20260310801452</t>
        </is>
      </c>
      <c r="H3602" s="8">
        <f>HYPERLINK("https://dart.fss.or.kr/dsaf001/main.do?rcpNo=20260310801452", "공시열람")</f>
        <v/>
      </c>
    </row>
    <row r="3603">
      <c r="A3603" s="2" t="inlineStr">
        <is>
          <t>2026-03-10</t>
        </is>
      </c>
      <c r="B3603" s="3" t="inlineStr">
        <is>
          <t>알에프텍</t>
        </is>
      </c>
      <c r="C3603" s="2" t="inlineStr">
        <is>
          <t>코스닥</t>
        </is>
      </c>
      <c r="D3603" s="2" t="inlineStr">
        <is>
          <t>061040</t>
        </is>
      </c>
      <c r="E3603" s="3" t="inlineStr">
        <is>
          <t>의결권대리행사권유참고서류</t>
        </is>
      </c>
      <c r="F3603" s="3" t="inlineStr">
        <is>
          <t>알에프텍</t>
        </is>
      </c>
      <c r="G3603" s="2" t="inlineStr">
        <is>
          <t>20260310002924</t>
        </is>
      </c>
      <c r="H3603" s="8">
        <f>HYPERLINK("https://dart.fss.or.kr/dsaf001/main.do?rcpNo=20260310002924", "공시열람")</f>
        <v/>
      </c>
    </row>
    <row r="3604">
      <c r="A3604" s="2" t="inlineStr">
        <is>
          <t>2026-03-10</t>
        </is>
      </c>
      <c r="B3604" s="3" t="inlineStr">
        <is>
          <t>농심홀딩스</t>
        </is>
      </c>
      <c r="C3604" s="2" t="inlineStr">
        <is>
          <t>코스피</t>
        </is>
      </c>
      <c r="D3604" s="2" t="inlineStr">
        <is>
          <t>072710</t>
        </is>
      </c>
      <c r="E3604" s="3" t="inlineStr">
        <is>
          <t xml:space="preserve">감사보고서제출(자회사의 주요경영사항)              </t>
        </is>
      </c>
      <c r="F3604" s="3" t="inlineStr">
        <is>
          <t>농심홀딩스</t>
        </is>
      </c>
      <c r="G3604" s="2" t="inlineStr">
        <is>
          <t>20260310801575</t>
        </is>
      </c>
      <c r="H3604" s="8">
        <f>HYPERLINK("https://dart.fss.or.kr/dsaf001/main.do?rcpNo=20260310801575", "공시열람")</f>
        <v/>
      </c>
    </row>
    <row r="3605">
      <c r="A3605" s="2" t="inlineStr">
        <is>
          <t>2026-03-10</t>
        </is>
      </c>
      <c r="B3605" s="3" t="inlineStr">
        <is>
          <t>파두</t>
        </is>
      </c>
      <c r="C3605" s="2" t="inlineStr">
        <is>
          <t>코스닥</t>
        </is>
      </c>
      <c r="D3605" s="2" t="inlineStr">
        <is>
          <t>440110</t>
        </is>
      </c>
      <c r="E3605" s="3" t="inlineStr">
        <is>
          <t>임원ㆍ주요주주특정증권등소유상황보고서</t>
        </is>
      </c>
      <c r="F3605" s="3" t="inlineStr">
        <is>
          <t>이성갑</t>
        </is>
      </c>
      <c r="G3605" s="2" t="inlineStr">
        <is>
          <t>20260310002921</t>
        </is>
      </c>
      <c r="H3605" s="8">
        <f>HYPERLINK("https://dart.fss.or.kr/dsaf001/main.do?rcpNo=20260310002921", "공시열람")</f>
        <v/>
      </c>
    </row>
    <row r="3606">
      <c r="A3606" s="2" t="inlineStr">
        <is>
          <t>2026-03-10</t>
        </is>
      </c>
      <c r="B3606" s="3" t="inlineStr">
        <is>
          <t>SK</t>
        </is>
      </c>
      <c r="C3606" s="2" t="inlineStr">
        <is>
          <t>코스피</t>
        </is>
      </c>
      <c r="D3606" s="2" t="inlineStr">
        <is>
          <t>034730</t>
        </is>
      </c>
      <c r="E3606" s="3" t="inlineStr">
        <is>
          <t xml:space="preserve">매매거래정지및정지해제(중요내용공시)              </t>
        </is>
      </c>
      <c r="F3606" s="3" t="inlineStr">
        <is>
          <t>유가증권시장본부</t>
        </is>
      </c>
      <c r="G3606" s="2" t="inlineStr">
        <is>
          <t>20260310801519</t>
        </is>
      </c>
      <c r="H3606" s="8">
        <f>HYPERLINK("https://dart.fss.or.kr/dsaf001/main.do?rcpNo=20260310801519", "공시열람")</f>
        <v/>
      </c>
    </row>
    <row r="3607">
      <c r="A3607" s="2" t="inlineStr">
        <is>
          <t>2026-03-10</t>
        </is>
      </c>
      <c r="B3607" s="3" t="inlineStr">
        <is>
          <t>현대자동차</t>
        </is>
      </c>
      <c r="C3607" s="2" t="inlineStr">
        <is>
          <t>코스피</t>
        </is>
      </c>
      <c r="D3607" s="2" t="inlineStr">
        <is>
          <t>005380</t>
        </is>
      </c>
      <c r="E3607" s="3" t="inlineStr">
        <is>
          <t>임원ㆍ주요주주특정증권등소유상황보고서</t>
        </is>
      </c>
      <c r="F3607" s="3" t="inlineStr">
        <is>
          <t>이우옥</t>
        </is>
      </c>
      <c r="G3607" s="2" t="inlineStr">
        <is>
          <t>20260310002917</t>
        </is>
      </c>
      <c r="H3607" s="8">
        <f>HYPERLINK("https://dart.fss.or.kr/dsaf001/main.do?rcpNo=20260310002917", "공시열람")</f>
        <v/>
      </c>
    </row>
    <row r="3608">
      <c r="A3608" s="2" t="inlineStr">
        <is>
          <t>2026-03-10</t>
        </is>
      </c>
      <c r="B3608" s="3" t="inlineStr">
        <is>
          <t>오토앤</t>
        </is>
      </c>
      <c r="C3608" s="2" t="inlineStr">
        <is>
          <t>코스닥</t>
        </is>
      </c>
      <c r="D3608" s="2" t="inlineStr">
        <is>
          <t>353590</t>
        </is>
      </c>
      <c r="E3608" s="3" t="inlineStr">
        <is>
          <t>임원ㆍ주요주주특정증권등소유상황보고서</t>
        </is>
      </c>
      <c r="F3608" s="3" t="inlineStr">
        <is>
          <t>최찬욱</t>
        </is>
      </c>
      <c r="G3608" s="2" t="inlineStr">
        <is>
          <t>20260310002916</t>
        </is>
      </c>
      <c r="H3608" s="8">
        <f>HYPERLINK("https://dart.fss.or.kr/dsaf001/main.do?rcpNo=20260310002916", "공시열람")</f>
        <v/>
      </c>
    </row>
    <row r="3609">
      <c r="A3609" s="2" t="inlineStr">
        <is>
          <t>2026-03-10</t>
        </is>
      </c>
      <c r="B3609" s="3" t="inlineStr">
        <is>
          <t>제이씨현시스템</t>
        </is>
      </c>
      <c r="C3609" s="2" t="inlineStr">
        <is>
          <t>코스닥</t>
        </is>
      </c>
      <c r="D3609" s="2" t="inlineStr">
        <is>
          <t>033320</t>
        </is>
      </c>
      <c r="E3609" s="3" t="inlineStr">
        <is>
          <t xml:space="preserve">현금ㆍ현물배당결정              </t>
        </is>
      </c>
      <c r="F3609" s="3" t="inlineStr">
        <is>
          <t>제이씨현시스템</t>
        </is>
      </c>
      <c r="G3609" s="2" t="inlineStr">
        <is>
          <t>20260310901436</t>
        </is>
      </c>
      <c r="H3609" s="8">
        <f>HYPERLINK("https://dart.fss.or.kr/dsaf001/main.do?rcpNo=20260310901436", "공시열람")</f>
        <v/>
      </c>
    </row>
    <row r="3610">
      <c r="A3610" s="2" t="inlineStr">
        <is>
          <t>2026-03-10 (정정: 2026-03-18)</t>
        </is>
      </c>
      <c r="B3610" s="3" t="inlineStr">
        <is>
          <t>동원시스템즈</t>
        </is>
      </c>
      <c r="C3610" s="2" t="inlineStr">
        <is>
          <t>코스피</t>
        </is>
      </c>
      <c r="D3610" s="2" t="inlineStr">
        <is>
          <t>014820</t>
        </is>
      </c>
      <c r="E3610" s="3" t="inlineStr">
        <is>
          <t>의결권대리행사권유참고서류 (정정: 20260318)</t>
        </is>
      </c>
      <c r="F3610" s="3" t="inlineStr">
        <is>
          <t>동원시스템즈</t>
        </is>
      </c>
      <c r="G3610" s="2" t="inlineStr">
        <is>
          <t>20260318001556</t>
        </is>
      </c>
      <c r="H3610" s="8">
        <f>HYPERLINK("https://dart.fss.or.kr/dsaf001/main.do?rcpNo=20260318001556", "공시열람")</f>
        <v/>
      </c>
    </row>
    <row r="3611">
      <c r="A3611" s="2" t="inlineStr">
        <is>
          <t>2026-03-10</t>
        </is>
      </c>
      <c r="B3611" s="3" t="inlineStr">
        <is>
          <t>BYC</t>
        </is>
      </c>
      <c r="C3611" s="2" t="inlineStr">
        <is>
          <t>코스피</t>
        </is>
      </c>
      <c r="D3611" s="2" t="inlineStr">
        <is>
          <t>001460</t>
        </is>
      </c>
      <c r="E3611" s="3" t="inlineStr">
        <is>
          <t xml:space="preserve">현금ㆍ현물배당결정              </t>
        </is>
      </c>
      <c r="F3611" s="3" t="inlineStr">
        <is>
          <t>BYC</t>
        </is>
      </c>
      <c r="G3611" s="2" t="inlineStr">
        <is>
          <t>20260310801586</t>
        </is>
      </c>
      <c r="H3611" s="8">
        <f>HYPERLINK("https://dart.fss.or.kr/dsaf001/main.do?rcpNo=20260310801586", "공시열람")</f>
        <v/>
      </c>
    </row>
    <row r="3612">
      <c r="A3612" s="2" t="inlineStr">
        <is>
          <t>2026-03-10</t>
        </is>
      </c>
      <c r="B3612" s="3" t="inlineStr">
        <is>
          <t>KPX홀딩스</t>
        </is>
      </c>
      <c r="C3612" s="2" t="inlineStr">
        <is>
          <t>코스피</t>
        </is>
      </c>
      <c r="D3612" s="2" t="inlineStr">
        <is>
          <t>092230</t>
        </is>
      </c>
      <c r="E3612" s="3" t="inlineStr">
        <is>
          <t xml:space="preserve">감사보고서제출(자회사의 주요경영사항)              </t>
        </is>
      </c>
      <c r="F3612" s="3" t="inlineStr">
        <is>
          <t>KPX홀딩스</t>
        </is>
      </c>
      <c r="G3612" s="2" t="inlineStr">
        <is>
          <t>20260310801428</t>
        </is>
      </c>
      <c r="H3612" s="8">
        <f>HYPERLINK("https://dart.fss.or.kr/dsaf001/main.do?rcpNo=20260310801428", "공시열람")</f>
        <v/>
      </c>
    </row>
    <row r="3613">
      <c r="A3613" s="2" t="inlineStr">
        <is>
          <t>2026-03-10</t>
        </is>
      </c>
      <c r="B3613" s="3" t="inlineStr">
        <is>
          <t>유니드</t>
        </is>
      </c>
      <c r="C3613" s="2" t="inlineStr">
        <is>
          <t>코스피</t>
        </is>
      </c>
      <c r="D3613" s="2" t="inlineStr">
        <is>
          <t>014830</t>
        </is>
      </c>
      <c r="E3613" s="3" t="inlineStr">
        <is>
          <t xml:space="preserve">감사보고서제출              </t>
        </is>
      </c>
      <c r="F3613" s="3" t="inlineStr">
        <is>
          <t>유니드</t>
        </is>
      </c>
      <c r="G3613" s="2" t="inlineStr">
        <is>
          <t>20260310801415</t>
        </is>
      </c>
      <c r="H3613" s="8">
        <f>HYPERLINK("https://dart.fss.or.kr/dsaf001/main.do?rcpNo=20260310801415", "공시열람")</f>
        <v/>
      </c>
    </row>
    <row r="3614">
      <c r="A3614" s="2" t="inlineStr">
        <is>
          <t>2026-03-10 (정정: 2026-03-10)</t>
        </is>
      </c>
      <c r="B3614" s="3" t="inlineStr">
        <is>
          <t>현대엘리베이터</t>
        </is>
      </c>
      <c r="C3614" s="2" t="inlineStr">
        <is>
          <t>코스피</t>
        </is>
      </c>
      <c r="D3614" s="2" t="inlineStr">
        <is>
          <t>017800</t>
        </is>
      </c>
      <c r="E3614" s="3" t="inlineStr">
        <is>
          <t>수시공시의무관련사항(공정공시)               (정정: 20260310)</t>
        </is>
      </c>
      <c r="F3614" s="3" t="inlineStr">
        <is>
          <t>현대엘리베이터</t>
        </is>
      </c>
      <c r="G3614" s="2" t="inlineStr">
        <is>
          <t>20260310801534</t>
        </is>
      </c>
      <c r="H3614" s="8">
        <f>HYPERLINK("https://dart.fss.or.kr/dsaf001/main.do?rcpNo=20260310801534", "공시열람")</f>
        <v/>
      </c>
    </row>
    <row r="3615">
      <c r="A3615" s="2" t="inlineStr">
        <is>
          <t>2026-03-10</t>
        </is>
      </c>
      <c r="B3615" s="3" t="inlineStr">
        <is>
          <t>원익피앤이</t>
        </is>
      </c>
      <c r="C3615" s="2" t="inlineStr">
        <is>
          <t>코스닥</t>
        </is>
      </c>
      <c r="D3615" s="2" t="inlineStr">
        <is>
          <t>217820</t>
        </is>
      </c>
      <c r="E3615" s="3" t="inlineStr">
        <is>
          <t>주요사항보고서(자기주식처분결정)</t>
        </is>
      </c>
      <c r="F3615" s="3" t="inlineStr">
        <is>
          <t>원익피앤이</t>
        </is>
      </c>
      <c r="G3615" s="2" t="inlineStr">
        <is>
          <t>20260310002896</t>
        </is>
      </c>
      <c r="H3615" s="8">
        <f>HYPERLINK("https://dart.fss.or.kr/dsaf001/main.do?rcpNo=20260310002896", "공시열람")</f>
        <v/>
      </c>
    </row>
    <row r="3616">
      <c r="A3616" s="2" t="inlineStr">
        <is>
          <t>2026-03-10 (정정: 2026-03-10)</t>
        </is>
      </c>
      <c r="B3616" s="3" t="inlineStr">
        <is>
          <t>농심</t>
        </is>
      </c>
      <c r="C3616" s="2" t="inlineStr">
        <is>
          <t>코스피</t>
        </is>
      </c>
      <c r="D3616" s="2" t="inlineStr">
        <is>
          <t>004370</t>
        </is>
      </c>
      <c r="E3616" s="3" t="inlineStr">
        <is>
          <t>감사보고서제출               (정정: 20260310)</t>
        </is>
      </c>
      <c r="F3616" s="3" t="inlineStr">
        <is>
          <t>농심</t>
        </is>
      </c>
      <c r="G3616" s="2" t="inlineStr">
        <is>
          <t>20260310801158</t>
        </is>
      </c>
      <c r="H3616" s="8">
        <f>HYPERLINK("https://dart.fss.or.kr/dsaf001/main.do?rcpNo=20260310801158", "공시열람")</f>
        <v/>
      </c>
    </row>
    <row r="3617">
      <c r="A3617" s="2" t="inlineStr">
        <is>
          <t>2026-03-10</t>
        </is>
      </c>
      <c r="B3617" s="3" t="inlineStr">
        <is>
          <t>바이오인프라</t>
        </is>
      </c>
      <c r="C3617" s="2" t="inlineStr">
        <is>
          <t>코스닥</t>
        </is>
      </c>
      <c r="D3617" s="2" t="inlineStr">
        <is>
          <t>199730</t>
        </is>
      </c>
      <c r="E3617" s="3" t="inlineStr">
        <is>
          <t xml:space="preserve">현금ㆍ현물배당결정              </t>
        </is>
      </c>
      <c r="F3617" s="3" t="inlineStr">
        <is>
          <t>바이오인프라</t>
        </is>
      </c>
      <c r="G3617" s="2" t="inlineStr">
        <is>
          <t>20260310901401</t>
        </is>
      </c>
      <c r="H3617" s="8">
        <f>HYPERLINK("https://dart.fss.or.kr/dsaf001/main.do?rcpNo=20260310901401", "공시열람")</f>
        <v/>
      </c>
    </row>
    <row r="3618">
      <c r="A3618" s="2" t="inlineStr">
        <is>
          <t>2026-03-10</t>
        </is>
      </c>
      <c r="B3618" s="3" t="inlineStr">
        <is>
          <t>한화투자증권</t>
        </is>
      </c>
      <c r="C3618" s="2" t="inlineStr">
        <is>
          <t>코스피</t>
        </is>
      </c>
      <c r="D3618" s="2" t="inlineStr">
        <is>
          <t>003530</t>
        </is>
      </c>
      <c r="E3618" s="3" t="inlineStr">
        <is>
          <t xml:space="preserve">감사보고서제출              </t>
        </is>
      </c>
      <c r="F3618" s="3" t="inlineStr">
        <is>
          <t>한화투자증권</t>
        </is>
      </c>
      <c r="G3618" s="2" t="inlineStr">
        <is>
          <t>20260310801358</t>
        </is>
      </c>
      <c r="H3618" s="8">
        <f>HYPERLINK("https://dart.fss.or.kr/dsaf001/main.do?rcpNo=20260310801358", "공시열람")</f>
        <v/>
      </c>
    </row>
    <row r="3619">
      <c r="A3619" s="2" t="inlineStr">
        <is>
          <t>2026-03-10</t>
        </is>
      </c>
      <c r="B3619" s="3" t="inlineStr">
        <is>
          <t>산일전기</t>
        </is>
      </c>
      <c r="C3619" s="2" t="inlineStr">
        <is>
          <t>코스피</t>
        </is>
      </c>
      <c r="D3619" s="2" t="inlineStr">
        <is>
          <t>062040</t>
        </is>
      </c>
      <c r="E3619" s="3" t="inlineStr">
        <is>
          <t xml:space="preserve">[기재정정]매출액또는손익구조30%(대규모법인은15%)이상변경              </t>
        </is>
      </c>
      <c r="F3619" s="3" t="inlineStr">
        <is>
          <t>산일전기</t>
        </is>
      </c>
      <c r="G3619" s="2" t="inlineStr">
        <is>
          <t>20260310801496</t>
        </is>
      </c>
      <c r="H3619" s="8">
        <f>HYPERLINK("https://dart.fss.or.kr/dsaf001/main.do?rcpNo=20260310801496", "공시열람")</f>
        <v/>
      </c>
    </row>
    <row r="3620">
      <c r="A3620" s="2" t="inlineStr">
        <is>
          <t>2026-03-10</t>
        </is>
      </c>
      <c r="B3620" s="3" t="inlineStr">
        <is>
          <t>이노션</t>
        </is>
      </c>
      <c r="C3620" s="2" t="inlineStr">
        <is>
          <t>코스피</t>
        </is>
      </c>
      <c r="D3620" s="2" t="inlineStr">
        <is>
          <t>214320</t>
        </is>
      </c>
      <c r="E3620" s="3" t="inlineStr">
        <is>
          <t xml:space="preserve">감사보고서제출              </t>
        </is>
      </c>
      <c r="F3620" s="3" t="inlineStr">
        <is>
          <t>이노션</t>
        </is>
      </c>
      <c r="G3620" s="2" t="inlineStr">
        <is>
          <t>20260310801456</t>
        </is>
      </c>
      <c r="H3620" s="8">
        <f>HYPERLINK("https://dart.fss.or.kr/dsaf001/main.do?rcpNo=20260310801456", "공시열람")</f>
        <v/>
      </c>
    </row>
    <row r="3621">
      <c r="A3621" s="2" t="inlineStr">
        <is>
          <t>2026-03-10</t>
        </is>
      </c>
      <c r="B3621" s="3" t="inlineStr">
        <is>
          <t>제테마</t>
        </is>
      </c>
      <c r="C3621" s="2" t="inlineStr">
        <is>
          <t>코스닥</t>
        </is>
      </c>
      <c r="D3621" s="2" t="inlineStr">
        <is>
          <t>216080</t>
        </is>
      </c>
      <c r="E3621" s="3" t="inlineStr">
        <is>
          <t xml:space="preserve">매출액또는손익구조30%(대규모법인은15%)이상변동              </t>
        </is>
      </c>
      <c r="F3621" s="3" t="inlineStr">
        <is>
          <t>제테마</t>
        </is>
      </c>
      <c r="G3621" s="2" t="inlineStr">
        <is>
          <t>20260310901500</t>
        </is>
      </c>
      <c r="H3621" s="8">
        <f>HYPERLINK("https://dart.fss.or.kr/dsaf001/main.do?rcpNo=20260310901500", "공시열람")</f>
        <v/>
      </c>
    </row>
    <row r="3622">
      <c r="A3622" s="2" t="inlineStr">
        <is>
          <t>2026-03-10</t>
        </is>
      </c>
      <c r="B3622" s="3" t="inlineStr">
        <is>
          <t>포스코인터내셔널</t>
        </is>
      </c>
      <c r="C3622" s="2" t="inlineStr">
        <is>
          <t>코스피</t>
        </is>
      </c>
      <c r="D3622" s="2" t="inlineStr">
        <is>
          <t>047050</t>
        </is>
      </c>
      <c r="E3622" s="3" t="inlineStr">
        <is>
          <t xml:space="preserve">감사보고서제출              </t>
        </is>
      </c>
      <c r="F3622" s="3" t="inlineStr">
        <is>
          <t>포스코인터내셔널</t>
        </is>
      </c>
      <c r="G3622" s="2" t="inlineStr">
        <is>
          <t>20260310801459</t>
        </is>
      </c>
      <c r="H3622" s="8">
        <f>HYPERLINK("https://dart.fss.or.kr/dsaf001/main.do?rcpNo=20260310801459", "공시열람")</f>
        <v/>
      </c>
    </row>
    <row r="3623">
      <c r="A3623" s="2" t="inlineStr">
        <is>
          <t>2026-03-10 (정정: 2026-03-10)</t>
        </is>
      </c>
      <c r="B3623" s="3" t="inlineStr">
        <is>
          <t>신한지주</t>
        </is>
      </c>
      <c r="C3623" s="2" t="inlineStr">
        <is>
          <t>코스피</t>
        </is>
      </c>
      <c r="D3623" s="2" t="inlineStr">
        <is>
          <t>055550</t>
        </is>
      </c>
      <c r="E3623" s="3" t="inlineStr">
        <is>
          <t>[발행조건확정]증권신고서(채무증권) (정정: 20260310)</t>
        </is>
      </c>
      <c r="F3623" s="3" t="inlineStr">
        <is>
          <t>신한지주</t>
        </is>
      </c>
      <c r="G3623" s="2" t="inlineStr">
        <is>
          <t>20260310002649</t>
        </is>
      </c>
      <c r="H3623" s="8">
        <f>HYPERLINK("https://dart.fss.or.kr/dsaf001/main.do?rcpNo=20260310002649", "공시열람")</f>
        <v/>
      </c>
    </row>
    <row r="3624">
      <c r="A3624" s="2" t="inlineStr">
        <is>
          <t>2026-03-10</t>
        </is>
      </c>
      <c r="B3624" s="3" t="inlineStr">
        <is>
          <t>스피어</t>
        </is>
      </c>
      <c r="C3624" s="2" t="inlineStr">
        <is>
          <t>코스닥</t>
        </is>
      </c>
      <c r="D3624" s="2" t="inlineStr">
        <is>
          <t>347700</t>
        </is>
      </c>
      <c r="E3624" s="3" t="inlineStr">
        <is>
          <t xml:space="preserve">전환청구권행사              </t>
        </is>
      </c>
      <c r="F3624" s="3" t="inlineStr">
        <is>
          <t>스피어</t>
        </is>
      </c>
      <c r="G3624" s="2" t="inlineStr">
        <is>
          <t>20260310901552</t>
        </is>
      </c>
      <c r="H3624" s="8">
        <f>HYPERLINK("https://dart.fss.or.kr/dsaf001/main.do?rcpNo=20260310901552", "공시열람")</f>
        <v/>
      </c>
    </row>
    <row r="3625">
      <c r="A3625" s="2" t="inlineStr">
        <is>
          <t>2026-03-10</t>
        </is>
      </c>
      <c r="B3625" s="3" t="inlineStr">
        <is>
          <t>유라테크</t>
        </is>
      </c>
      <c r="C3625" s="2" t="inlineStr">
        <is>
          <t>코스닥</t>
        </is>
      </c>
      <c r="D3625" s="2" t="inlineStr">
        <is>
          <t>048430</t>
        </is>
      </c>
      <c r="E3625" s="3" t="inlineStr">
        <is>
          <t xml:space="preserve">현금ㆍ현물배당결정              </t>
        </is>
      </c>
      <c r="F3625" s="3" t="inlineStr">
        <is>
          <t>유라테크</t>
        </is>
      </c>
      <c r="G3625" s="2" t="inlineStr">
        <is>
          <t>20260310901371</t>
        </is>
      </c>
      <c r="H3625" s="8">
        <f>HYPERLINK("https://dart.fss.or.kr/dsaf001/main.do?rcpNo=20260310901371", "공시열람")</f>
        <v/>
      </c>
    </row>
    <row r="3626">
      <c r="A3626" s="2" t="inlineStr">
        <is>
          <t>2026-03-10</t>
        </is>
      </c>
      <c r="B3626" s="3" t="inlineStr">
        <is>
          <t>엘앤씨바이오</t>
        </is>
      </c>
      <c r="C3626" s="2" t="inlineStr">
        <is>
          <t>코스닥</t>
        </is>
      </c>
      <c r="D3626" s="2" t="inlineStr">
        <is>
          <t>290650</t>
        </is>
      </c>
      <c r="E3626" s="3" t="inlineStr">
        <is>
          <t>의결권대리행사권유참고서류</t>
        </is>
      </c>
      <c r="F3626" s="3" t="inlineStr">
        <is>
          <t>엘앤씨바이오</t>
        </is>
      </c>
      <c r="G3626" s="2" t="inlineStr">
        <is>
          <t>20260310002894</t>
        </is>
      </c>
      <c r="H3626" s="8">
        <f>HYPERLINK("https://dart.fss.or.kr/dsaf001/main.do?rcpNo=20260310002894", "공시열람")</f>
        <v/>
      </c>
    </row>
    <row r="3627">
      <c r="A3627" s="2" t="inlineStr">
        <is>
          <t>2026-03-10</t>
        </is>
      </c>
      <c r="B3627" s="3" t="inlineStr">
        <is>
          <t>바이오노트</t>
        </is>
      </c>
      <c r="C3627" s="2" t="inlineStr">
        <is>
          <t>코스피</t>
        </is>
      </c>
      <c r="D3627" s="2" t="inlineStr">
        <is>
          <t>377740</t>
        </is>
      </c>
      <c r="E3627" s="3" t="inlineStr">
        <is>
          <t>의결권대리행사권유참고서류</t>
        </is>
      </c>
      <c r="F3627" s="3" t="inlineStr">
        <is>
          <t>바이오노트</t>
        </is>
      </c>
      <c r="G3627" s="2" t="inlineStr">
        <is>
          <t>20260310002890</t>
        </is>
      </c>
      <c r="H3627" s="8">
        <f>HYPERLINK("https://dart.fss.or.kr/dsaf001/main.do?rcpNo=20260310002890", "공시열람")</f>
        <v/>
      </c>
    </row>
    <row r="3628">
      <c r="A3628" s="2" t="inlineStr">
        <is>
          <t>2026-03-10</t>
        </is>
      </c>
      <c r="B3628" s="3" t="inlineStr">
        <is>
          <t>DB하이텍</t>
        </is>
      </c>
      <c r="C3628" s="2" t="inlineStr">
        <is>
          <t>코스피</t>
        </is>
      </c>
      <c r="D3628" s="2" t="inlineStr">
        <is>
          <t>000990</t>
        </is>
      </c>
      <c r="E3628" s="3" t="inlineStr">
        <is>
          <t>임원ㆍ주요주주특정증권등소유상황보고서</t>
        </is>
      </c>
      <c r="F3628" s="3" t="inlineStr">
        <is>
          <t>조기석</t>
        </is>
      </c>
      <c r="G3628" s="2" t="inlineStr">
        <is>
          <t>20260310002888</t>
        </is>
      </c>
      <c r="H3628" s="8">
        <f>HYPERLINK("https://dart.fss.or.kr/dsaf001/main.do?rcpNo=20260310002888", "공시열람")</f>
        <v/>
      </c>
    </row>
    <row r="3629">
      <c r="A3629" s="2" t="inlineStr">
        <is>
          <t>2026-03-10</t>
        </is>
      </c>
      <c r="B3629" s="3" t="inlineStr">
        <is>
          <t>대동</t>
        </is>
      </c>
      <c r="C3629" s="2" t="inlineStr">
        <is>
          <t>코스피</t>
        </is>
      </c>
      <c r="D3629" s="2" t="inlineStr">
        <is>
          <t>000490</t>
        </is>
      </c>
      <c r="E3629" s="3" t="inlineStr">
        <is>
          <t xml:space="preserve">현금ㆍ현물배당결정              </t>
        </is>
      </c>
      <c r="F3629" s="3" t="inlineStr">
        <is>
          <t>대동</t>
        </is>
      </c>
      <c r="G3629" s="2" t="inlineStr">
        <is>
          <t>20260310801518</t>
        </is>
      </c>
      <c r="H3629" s="8">
        <f>HYPERLINK("https://dart.fss.or.kr/dsaf001/main.do?rcpNo=20260310801518", "공시열람")</f>
        <v/>
      </c>
    </row>
    <row r="3630">
      <c r="A3630" s="2" t="inlineStr">
        <is>
          <t>2026-03-10</t>
        </is>
      </c>
      <c r="B3630" s="3" t="inlineStr">
        <is>
          <t>포스코엠텍</t>
        </is>
      </c>
      <c r="C3630" s="2" t="inlineStr">
        <is>
          <t>코스닥</t>
        </is>
      </c>
      <c r="D3630" s="2" t="inlineStr">
        <is>
          <t>009520</t>
        </is>
      </c>
      <c r="E3630" s="3" t="inlineStr">
        <is>
          <t xml:space="preserve">감사보고서제출              </t>
        </is>
      </c>
      <c r="F3630" s="3" t="inlineStr">
        <is>
          <t>포스코엠텍</t>
        </is>
      </c>
      <c r="G3630" s="2" t="inlineStr">
        <is>
          <t>20260310901484</t>
        </is>
      </c>
      <c r="H3630" s="8">
        <f>HYPERLINK("https://dart.fss.or.kr/dsaf001/main.do?rcpNo=20260310901484", "공시열람")</f>
        <v/>
      </c>
    </row>
    <row r="3631">
      <c r="A3631" s="2" t="inlineStr">
        <is>
          <t>2026-03-10 (정정: 2026-03-10)</t>
        </is>
      </c>
      <c r="B3631" s="3" t="inlineStr">
        <is>
          <t>그린케미칼</t>
        </is>
      </c>
      <c r="C3631" s="2" t="inlineStr">
        <is>
          <t>코스피</t>
        </is>
      </c>
      <c r="D3631" s="2" t="inlineStr">
        <is>
          <t>083420</t>
        </is>
      </c>
      <c r="E3631" s="3" t="inlineStr">
        <is>
          <t>[기재정정]의결권대리행사권유참고서류</t>
        </is>
      </c>
      <c r="F3631" s="3" t="inlineStr">
        <is>
          <t>그린케미칼</t>
        </is>
      </c>
      <c r="G3631" s="2" t="inlineStr">
        <is>
          <t>20260310002887</t>
        </is>
      </c>
      <c r="H3631" s="8">
        <f>HYPERLINK("https://dart.fss.or.kr/dsaf001/main.do?rcpNo=20260310002887", "공시열람")</f>
        <v/>
      </c>
    </row>
    <row r="3632">
      <c r="A3632" s="2" t="inlineStr">
        <is>
          <t>2026-03-10</t>
        </is>
      </c>
      <c r="B3632" s="3" t="inlineStr">
        <is>
          <t>서린바이오</t>
        </is>
      </c>
      <c r="C3632" s="2" t="inlineStr">
        <is>
          <t>코스닥</t>
        </is>
      </c>
      <c r="D3632" s="2" t="inlineStr">
        <is>
          <t>038070</t>
        </is>
      </c>
      <c r="E3632" s="3" t="inlineStr">
        <is>
          <t>의결권대리행사권유참고서류</t>
        </is>
      </c>
      <c r="F3632" s="3" t="inlineStr">
        <is>
          <t>서린바이오</t>
        </is>
      </c>
      <c r="G3632" s="2" t="inlineStr">
        <is>
          <t>20260310002883</t>
        </is>
      </c>
      <c r="H3632" s="8">
        <f>HYPERLINK("https://dart.fss.or.kr/dsaf001/main.do?rcpNo=20260310002883", "공시열람")</f>
        <v/>
      </c>
    </row>
    <row r="3633">
      <c r="A3633" s="2" t="inlineStr">
        <is>
          <t>2026-03-10</t>
        </is>
      </c>
      <c r="B3633" s="3" t="inlineStr">
        <is>
          <t>엘엠에스</t>
        </is>
      </c>
      <c r="C3633" s="2" t="inlineStr">
        <is>
          <t>코스닥</t>
        </is>
      </c>
      <c r="D3633" s="2" t="inlineStr">
        <is>
          <t>073110</t>
        </is>
      </c>
      <c r="E3633" s="3" t="inlineStr">
        <is>
          <t>의결권대리행사권유참고서류</t>
        </is>
      </c>
      <c r="F3633" s="3" t="inlineStr">
        <is>
          <t>엘엠에스</t>
        </is>
      </c>
      <c r="G3633" s="2" t="inlineStr">
        <is>
          <t>20260310002879</t>
        </is>
      </c>
      <c r="H3633" s="8">
        <f>HYPERLINK("https://dart.fss.or.kr/dsaf001/main.do?rcpNo=20260310002879", "공시열람")</f>
        <v/>
      </c>
    </row>
    <row r="3634">
      <c r="A3634" s="2" t="inlineStr">
        <is>
          <t>2026-03-10</t>
        </is>
      </c>
      <c r="B3634" s="3" t="inlineStr">
        <is>
          <t>대한항공</t>
        </is>
      </c>
      <c r="C3634" s="2" t="inlineStr">
        <is>
          <t>코스피</t>
        </is>
      </c>
      <c r="D3634" s="2" t="inlineStr">
        <is>
          <t>003490</t>
        </is>
      </c>
      <c r="E3634" s="3" t="inlineStr">
        <is>
          <t>증권발행실적보고서</t>
        </is>
      </c>
      <c r="F3634" s="3" t="inlineStr">
        <is>
          <t>대한항공</t>
        </is>
      </c>
      <c r="G3634" s="2" t="inlineStr">
        <is>
          <t>20260310002876</t>
        </is>
      </c>
      <c r="H3634" s="8">
        <f>HYPERLINK("https://dart.fss.or.kr/dsaf001/main.do?rcpNo=20260310002876", "공시열람")</f>
        <v/>
      </c>
    </row>
    <row r="3635">
      <c r="A3635" s="2" t="inlineStr">
        <is>
          <t>2026-03-10</t>
        </is>
      </c>
      <c r="B3635" s="3" t="inlineStr">
        <is>
          <t>하이스틸</t>
        </is>
      </c>
      <c r="C3635" s="2" t="inlineStr">
        <is>
          <t>코스피</t>
        </is>
      </c>
      <c r="D3635" s="2" t="inlineStr">
        <is>
          <t>071090</t>
        </is>
      </c>
      <c r="E3635" s="3" t="inlineStr">
        <is>
          <t xml:space="preserve">감사보고서제출              </t>
        </is>
      </c>
      <c r="F3635" s="3" t="inlineStr">
        <is>
          <t>하이스틸</t>
        </is>
      </c>
      <c r="G3635" s="2" t="inlineStr">
        <is>
          <t>20260310801439</t>
        </is>
      </c>
      <c r="H3635" s="8">
        <f>HYPERLINK("https://dart.fss.or.kr/dsaf001/main.do?rcpNo=20260310801439", "공시열람")</f>
        <v/>
      </c>
    </row>
    <row r="3636">
      <c r="A3636" s="2" t="inlineStr">
        <is>
          <t>2026-03-10</t>
        </is>
      </c>
      <c r="B3636" s="3" t="inlineStr">
        <is>
          <t>신성델타테크</t>
        </is>
      </c>
      <c r="C3636" s="2" t="inlineStr">
        <is>
          <t>코스닥</t>
        </is>
      </c>
      <c r="D3636" s="2" t="inlineStr">
        <is>
          <t>065350</t>
        </is>
      </c>
      <c r="E3636" s="3" t="inlineStr">
        <is>
          <t>의결권대리행사권유참고서류</t>
        </is>
      </c>
      <c r="F3636" s="3" t="inlineStr">
        <is>
          <t>신성델타테크</t>
        </is>
      </c>
      <c r="G3636" s="2" t="inlineStr">
        <is>
          <t>20260310002875</t>
        </is>
      </c>
      <c r="H3636" s="8">
        <f>HYPERLINK("https://dart.fss.or.kr/dsaf001/main.do?rcpNo=20260310002875", "공시열람")</f>
        <v/>
      </c>
    </row>
    <row r="3637">
      <c r="A3637" s="2" t="inlineStr">
        <is>
          <t>2026-03-10</t>
        </is>
      </c>
      <c r="B3637" s="3" t="inlineStr">
        <is>
          <t>넥센</t>
        </is>
      </c>
      <c r="C3637" s="2" t="inlineStr">
        <is>
          <t>코스피</t>
        </is>
      </c>
      <c r="D3637" s="2" t="inlineStr">
        <is>
          <t>005720</t>
        </is>
      </c>
      <c r="E3637" s="3" t="inlineStr">
        <is>
          <t xml:space="preserve">현금ㆍ현물배당결정(자회사의 주요경영사항)              </t>
        </is>
      </c>
      <c r="F3637" s="3" t="inlineStr">
        <is>
          <t>넥센</t>
        </is>
      </c>
      <c r="G3637" s="2" t="inlineStr">
        <is>
          <t>20260310801322</t>
        </is>
      </c>
      <c r="H3637" s="8">
        <f>HYPERLINK("https://dart.fss.or.kr/dsaf001/main.do?rcpNo=20260310801322", "공시열람")</f>
        <v/>
      </c>
    </row>
    <row r="3638">
      <c r="A3638" s="2" t="inlineStr">
        <is>
          <t>2026-03-10</t>
        </is>
      </c>
      <c r="B3638" s="3" t="inlineStr">
        <is>
          <t>엘앤에프</t>
        </is>
      </c>
      <c r="C3638" s="2" t="inlineStr">
        <is>
          <t>코스피</t>
        </is>
      </c>
      <c r="D3638" s="2" t="inlineStr">
        <is>
          <t>066970</t>
        </is>
      </c>
      <c r="E3638" s="3" t="inlineStr">
        <is>
          <t>임원ㆍ주요주주특정증권등소유상황보고서</t>
        </is>
      </c>
      <c r="F3638" s="3" t="inlineStr">
        <is>
          <t>김종완</t>
        </is>
      </c>
      <c r="G3638" s="2" t="inlineStr">
        <is>
          <t>20260310002867</t>
        </is>
      </c>
      <c r="H3638" s="8">
        <f>HYPERLINK("https://dart.fss.or.kr/dsaf001/main.do?rcpNo=20260310002867", "공시열람")</f>
        <v/>
      </c>
    </row>
    <row r="3639">
      <c r="A3639" s="2" t="inlineStr">
        <is>
          <t>2026-03-10</t>
        </is>
      </c>
      <c r="B3639" s="3" t="inlineStr">
        <is>
          <t>한솔홀딩스</t>
        </is>
      </c>
      <c r="C3639" s="2" t="inlineStr">
        <is>
          <t>코스피</t>
        </is>
      </c>
      <c r="D3639" s="2" t="inlineStr">
        <is>
          <t>004150</t>
        </is>
      </c>
      <c r="E3639" s="3" t="inlineStr">
        <is>
          <t xml:space="preserve">지주회사의자회사탈퇴              </t>
        </is>
      </c>
      <c r="F3639" s="3" t="inlineStr">
        <is>
          <t>한솔홀딩스</t>
        </is>
      </c>
      <c r="G3639" s="2" t="inlineStr">
        <is>
          <t>20260310801308</t>
        </is>
      </c>
      <c r="H3639" s="8">
        <f>HYPERLINK("https://dart.fss.or.kr/dsaf001/main.do?rcpNo=20260310801308", "공시열람")</f>
        <v/>
      </c>
    </row>
    <row r="3640">
      <c r="A3640" s="2" t="inlineStr">
        <is>
          <t>2026-03-10 (정정: 2026-03-10)</t>
        </is>
      </c>
      <c r="B3640" s="3" t="inlineStr">
        <is>
          <t>DB하이텍</t>
        </is>
      </c>
      <c r="C3640" s="2" t="inlineStr">
        <is>
          <t>코스피</t>
        </is>
      </c>
      <c r="D3640" s="2" t="inlineStr">
        <is>
          <t>000990</t>
        </is>
      </c>
      <c r="E3640" s="3" t="inlineStr">
        <is>
          <t>임원ㆍ주요주주특정증권등소유상황보고서 (정정: 20260310)</t>
        </is>
      </c>
      <c r="F3640" s="3" t="inlineStr">
        <is>
          <t>김호윤</t>
        </is>
      </c>
      <c r="G3640" s="2" t="inlineStr">
        <is>
          <t>20260310002845</t>
        </is>
      </c>
      <c r="H3640" s="8">
        <f>HYPERLINK("https://dart.fss.or.kr/dsaf001/main.do?rcpNo=20260310002845", "공시열람")</f>
        <v/>
      </c>
    </row>
    <row r="3641">
      <c r="A3641" s="2" t="inlineStr">
        <is>
          <t>2026-03-10</t>
        </is>
      </c>
      <c r="B3641" s="3" t="inlineStr">
        <is>
          <t>사람인</t>
        </is>
      </c>
      <c r="C3641" s="2" t="inlineStr">
        <is>
          <t>코스닥</t>
        </is>
      </c>
      <c r="D3641" s="2" t="inlineStr">
        <is>
          <t>143240</t>
        </is>
      </c>
      <c r="E3641" s="3" t="inlineStr">
        <is>
          <t>의결권대리행사권유참고서류</t>
        </is>
      </c>
      <c r="F3641" s="3" t="inlineStr">
        <is>
          <t>사람인</t>
        </is>
      </c>
      <c r="G3641" s="2" t="inlineStr">
        <is>
          <t>20260310002860</t>
        </is>
      </c>
      <c r="H3641" s="8">
        <f>HYPERLINK("https://dart.fss.or.kr/dsaf001/main.do?rcpNo=20260310002860", "공시열람")</f>
        <v/>
      </c>
    </row>
    <row r="3642">
      <c r="A3642" s="2" t="inlineStr">
        <is>
          <t>2026-03-10</t>
        </is>
      </c>
      <c r="B3642" s="3" t="inlineStr">
        <is>
          <t>SK텔레콤</t>
        </is>
      </c>
      <c r="C3642" s="2" t="inlineStr">
        <is>
          <t>코스피</t>
        </is>
      </c>
      <c r="D3642" s="2" t="inlineStr">
        <is>
          <t>017670</t>
        </is>
      </c>
      <c r="E3642" s="3" t="inlineStr">
        <is>
          <t xml:space="preserve">감사보고서제출              </t>
        </is>
      </c>
      <c r="F3642" s="3" t="inlineStr">
        <is>
          <t>SK텔레콤</t>
        </is>
      </c>
      <c r="G3642" s="2" t="inlineStr">
        <is>
          <t>20260310801352</t>
        </is>
      </c>
      <c r="H3642" s="8">
        <f>HYPERLINK("https://dart.fss.or.kr/dsaf001/main.do?rcpNo=20260310801352", "공시열람")</f>
        <v/>
      </c>
    </row>
    <row r="3643">
      <c r="A3643" s="2" t="inlineStr">
        <is>
          <t>2026-03-10</t>
        </is>
      </c>
      <c r="B3643" s="3" t="inlineStr">
        <is>
          <t>쎄니트</t>
        </is>
      </c>
      <c r="C3643" s="2" t="inlineStr">
        <is>
          <t>코스닥</t>
        </is>
      </c>
      <c r="D3643" s="2" t="inlineStr">
        <is>
          <t>037760</t>
        </is>
      </c>
      <c r="E3643" s="3" t="inlineStr">
        <is>
          <t>의결권대리행사권유참고서류</t>
        </is>
      </c>
      <c r="F3643" s="3" t="inlineStr">
        <is>
          <t>쎄니트</t>
        </is>
      </c>
      <c r="G3643" s="2" t="inlineStr">
        <is>
          <t>20260310002859</t>
        </is>
      </c>
      <c r="H3643" s="8">
        <f>HYPERLINK("https://dart.fss.or.kr/dsaf001/main.do?rcpNo=20260310002859", "공시열람")</f>
        <v/>
      </c>
    </row>
    <row r="3644">
      <c r="A3644" s="2" t="inlineStr">
        <is>
          <t>2026-03-10</t>
        </is>
      </c>
      <c r="B3644" s="3" t="inlineStr">
        <is>
          <t>신세계</t>
        </is>
      </c>
      <c r="C3644" s="2" t="inlineStr">
        <is>
          <t>코스피</t>
        </is>
      </c>
      <c r="D3644" s="2" t="inlineStr">
        <is>
          <t>004170</t>
        </is>
      </c>
      <c r="E3644" s="3" t="inlineStr">
        <is>
          <t xml:space="preserve">감사보고서제출              </t>
        </is>
      </c>
      <c r="F3644" s="3" t="inlineStr">
        <is>
          <t>신세계</t>
        </is>
      </c>
      <c r="G3644" s="2" t="inlineStr">
        <is>
          <t>20260310801315</t>
        </is>
      </c>
      <c r="H3644" s="8">
        <f>HYPERLINK("https://dart.fss.or.kr/dsaf001/main.do?rcpNo=20260310801315", "공시열람")</f>
        <v/>
      </c>
    </row>
    <row r="3645">
      <c r="A3645" s="2" t="inlineStr">
        <is>
          <t>2026-03-10</t>
        </is>
      </c>
      <c r="B3645" s="3" t="inlineStr">
        <is>
          <t>오상헬스케어</t>
        </is>
      </c>
      <c r="C3645" s="2" t="inlineStr">
        <is>
          <t>코스닥</t>
        </is>
      </c>
      <c r="D3645" s="2" t="inlineStr">
        <is>
          <t>036220</t>
        </is>
      </c>
      <c r="E3645" s="3" t="inlineStr">
        <is>
          <t xml:space="preserve">현금ㆍ현물배당결정              </t>
        </is>
      </c>
      <c r="F3645" s="3" t="inlineStr">
        <is>
          <t>오상헬스케어</t>
        </is>
      </c>
      <c r="G3645" s="2" t="inlineStr">
        <is>
          <t>20260310901403</t>
        </is>
      </c>
      <c r="H3645" s="8">
        <f>HYPERLINK("https://dart.fss.or.kr/dsaf001/main.do?rcpNo=20260310901403", "공시열람")</f>
        <v/>
      </c>
    </row>
    <row r="3646">
      <c r="A3646" s="2" t="inlineStr">
        <is>
          <t>2026-03-10</t>
        </is>
      </c>
      <c r="B3646" s="3" t="inlineStr">
        <is>
          <t>오상헬스케어</t>
        </is>
      </c>
      <c r="C3646" s="2" t="inlineStr">
        <is>
          <t>코스닥</t>
        </is>
      </c>
      <c r="D3646" s="2" t="inlineStr">
        <is>
          <t>036220</t>
        </is>
      </c>
      <c r="E3646" s="3" t="inlineStr">
        <is>
          <t xml:space="preserve">현금ㆍ현물배당을위한주주명부폐쇄(기준일)결정              </t>
        </is>
      </c>
      <c r="F3646" s="3" t="inlineStr">
        <is>
          <t>오상헬스케어</t>
        </is>
      </c>
      <c r="G3646" s="2" t="inlineStr">
        <is>
          <t>20260310901389</t>
        </is>
      </c>
      <c r="H3646" s="8">
        <f>HYPERLINK("https://dart.fss.or.kr/dsaf001/main.do?rcpNo=20260310901389", "공시열람")</f>
        <v/>
      </c>
    </row>
    <row r="3647">
      <c r="A3647" s="2" t="inlineStr">
        <is>
          <t>2026-03-10</t>
        </is>
      </c>
      <c r="B3647" s="3" t="inlineStr">
        <is>
          <t>영원무역홀딩스</t>
        </is>
      </c>
      <c r="C3647" s="2" t="inlineStr">
        <is>
          <t>코스피</t>
        </is>
      </c>
      <c r="D3647" s="2" t="inlineStr">
        <is>
          <t>009970</t>
        </is>
      </c>
      <c r="E3647" s="3" t="inlineStr">
        <is>
          <t xml:space="preserve">현금ㆍ현물배당결정(자회사의 주요경영사항)              </t>
        </is>
      </c>
      <c r="F3647" s="3" t="inlineStr">
        <is>
          <t>영원무역홀딩스</t>
        </is>
      </c>
      <c r="G3647" s="2" t="inlineStr">
        <is>
          <t>20260310801420</t>
        </is>
      </c>
      <c r="H3647" s="8">
        <f>HYPERLINK("https://dart.fss.or.kr/dsaf001/main.do?rcpNo=20260310801420", "공시열람")</f>
        <v/>
      </c>
    </row>
    <row r="3648">
      <c r="A3648" s="2" t="inlineStr">
        <is>
          <t>2026-03-10</t>
        </is>
      </c>
      <c r="B3648" s="3" t="inlineStr">
        <is>
          <t>오상헬스케어</t>
        </is>
      </c>
      <c r="C3648" s="2" t="inlineStr">
        <is>
          <t>코스닥</t>
        </is>
      </c>
      <c r="D3648" s="2" t="inlineStr">
        <is>
          <t>036220</t>
        </is>
      </c>
      <c r="E3648" s="3" t="inlineStr">
        <is>
          <t xml:space="preserve">매출액또는손익구조30%(대규모법인은15%)이상변동              </t>
        </is>
      </c>
      <c r="F3648" s="3" t="inlineStr">
        <is>
          <t>오상헬스케어</t>
        </is>
      </c>
      <c r="G3648" s="2" t="inlineStr">
        <is>
          <t>20260310901380</t>
        </is>
      </c>
      <c r="H3648" s="8">
        <f>HYPERLINK("https://dart.fss.or.kr/dsaf001/main.do?rcpNo=20260310901380", "공시열람")</f>
        <v/>
      </c>
    </row>
    <row r="3649">
      <c r="A3649" s="2" t="inlineStr">
        <is>
          <t>2026-03-10</t>
        </is>
      </c>
      <c r="B3649" s="3" t="inlineStr">
        <is>
          <t>엘앤에프</t>
        </is>
      </c>
      <c r="C3649" s="2" t="inlineStr">
        <is>
          <t>코스피</t>
        </is>
      </c>
      <c r="D3649" s="2" t="inlineStr">
        <is>
          <t>066970</t>
        </is>
      </c>
      <c r="E3649" s="3" t="inlineStr">
        <is>
          <t>임원ㆍ주요주주특정증권등소유상황보고서</t>
        </is>
      </c>
      <c r="F3649" s="3" t="inlineStr">
        <is>
          <t>정호준</t>
        </is>
      </c>
      <c r="G3649" s="2" t="inlineStr">
        <is>
          <t>20260310002856</t>
        </is>
      </c>
      <c r="H3649" s="8">
        <f>HYPERLINK("https://dart.fss.or.kr/dsaf001/main.do?rcpNo=20260310002856", "공시열람")</f>
        <v/>
      </c>
    </row>
    <row r="3650">
      <c r="A3650" s="2" t="inlineStr">
        <is>
          <t>2026-03-10</t>
        </is>
      </c>
      <c r="B3650" s="3" t="inlineStr">
        <is>
          <t>HLB제약</t>
        </is>
      </c>
      <c r="C3650" s="2" t="inlineStr">
        <is>
          <t>코스닥</t>
        </is>
      </c>
      <c r="D3650" s="2" t="inlineStr">
        <is>
          <t>047920</t>
        </is>
      </c>
      <c r="E3650" s="3" t="inlineStr">
        <is>
          <t>의결권대리행사권유참고서류</t>
        </is>
      </c>
      <c r="F3650" s="3" t="inlineStr">
        <is>
          <t>HLB제약</t>
        </is>
      </c>
      <c r="G3650" s="2" t="inlineStr">
        <is>
          <t>20260310002855</t>
        </is>
      </c>
      <c r="H3650" s="8">
        <f>HYPERLINK("https://dart.fss.or.kr/dsaf001/main.do?rcpNo=20260310002855", "공시열람")</f>
        <v/>
      </c>
    </row>
    <row r="3651">
      <c r="A3651" s="2" t="inlineStr">
        <is>
          <t>2026-03-10</t>
        </is>
      </c>
      <c r="B3651" s="3" t="inlineStr">
        <is>
          <t>영원무역홀딩스</t>
        </is>
      </c>
      <c r="C3651" s="2" t="inlineStr">
        <is>
          <t>코스피</t>
        </is>
      </c>
      <c r="D3651" s="2" t="inlineStr">
        <is>
          <t>009970</t>
        </is>
      </c>
      <c r="E3651" s="3" t="inlineStr">
        <is>
          <t xml:space="preserve">현금ㆍ현물배당결정              </t>
        </is>
      </c>
      <c r="F3651" s="3" t="inlineStr">
        <is>
          <t>영원무역홀딩스</t>
        </is>
      </c>
      <c r="G3651" s="2" t="inlineStr">
        <is>
          <t>20260310801391</t>
        </is>
      </c>
      <c r="H3651" s="8">
        <f>HYPERLINK("https://dart.fss.or.kr/dsaf001/main.do?rcpNo=20260310801391", "공시열람")</f>
        <v/>
      </c>
    </row>
    <row r="3652">
      <c r="A3652" s="2" t="inlineStr">
        <is>
          <t>2026-03-10</t>
        </is>
      </c>
      <c r="B3652" s="3" t="inlineStr">
        <is>
          <t>포니링크</t>
        </is>
      </c>
      <c r="C3652" s="2" t="inlineStr">
        <is>
          <t>코스닥</t>
        </is>
      </c>
      <c r="D3652" s="2" t="inlineStr">
        <is>
          <t>064800</t>
        </is>
      </c>
      <c r="E3652" s="3" t="inlineStr">
        <is>
          <t>의결권대리행사권유참고서류</t>
        </is>
      </c>
      <c r="F3652" s="3" t="inlineStr">
        <is>
          <t>포니링크</t>
        </is>
      </c>
      <c r="G3652" s="2" t="inlineStr">
        <is>
          <t>20260310002853</t>
        </is>
      </c>
      <c r="H3652" s="8">
        <f>HYPERLINK("https://dart.fss.or.kr/dsaf001/main.do?rcpNo=20260310002853", "공시열람")</f>
        <v/>
      </c>
    </row>
    <row r="3653">
      <c r="A3653" s="2" t="inlineStr">
        <is>
          <t>2026-03-10</t>
        </is>
      </c>
      <c r="B3653" s="3" t="inlineStr">
        <is>
          <t>한국공항</t>
        </is>
      </c>
      <c r="C3653" s="2" t="inlineStr">
        <is>
          <t>코스피</t>
        </is>
      </c>
      <c r="D3653" s="2" t="inlineStr">
        <is>
          <t>005430</t>
        </is>
      </c>
      <c r="E3653" s="3" t="inlineStr">
        <is>
          <t xml:space="preserve">감사보고서제출              </t>
        </is>
      </c>
      <c r="F3653" s="3" t="inlineStr">
        <is>
          <t>한국공항</t>
        </is>
      </c>
      <c r="G3653" s="2" t="inlineStr">
        <is>
          <t>20260310801388</t>
        </is>
      </c>
      <c r="H3653" s="8">
        <f>HYPERLINK("https://dart.fss.or.kr/dsaf001/main.do?rcpNo=20260310801388", "공시열람")</f>
        <v/>
      </c>
    </row>
    <row r="3654">
      <c r="A3654" s="2" t="inlineStr">
        <is>
          <t>2026-03-10</t>
        </is>
      </c>
      <c r="B3654" s="3" t="inlineStr">
        <is>
          <t>한주에이알티</t>
        </is>
      </c>
      <c r="C3654" s="2" t="inlineStr">
        <is>
          <t>코스닥</t>
        </is>
      </c>
      <c r="D3654" s="2" t="inlineStr">
        <is>
          <t>058450</t>
        </is>
      </c>
      <c r="E3654" s="3" t="inlineStr">
        <is>
          <t>주요사항보고서(감자결정)</t>
        </is>
      </c>
      <c r="F3654" s="3" t="inlineStr">
        <is>
          <t>한주에이알티</t>
        </is>
      </c>
      <c r="G3654" s="2" t="inlineStr">
        <is>
          <t>20260310002821</t>
        </is>
      </c>
      <c r="H3654" s="8">
        <f>HYPERLINK("https://dart.fss.or.kr/dsaf001/main.do?rcpNo=20260310002821", "공시열람")</f>
        <v/>
      </c>
    </row>
    <row r="3655">
      <c r="A3655" s="2" t="inlineStr">
        <is>
          <t>2026-03-10</t>
        </is>
      </c>
      <c r="B3655" s="3" t="inlineStr">
        <is>
          <t>삼성스팩10호</t>
        </is>
      </c>
      <c r="C3655" s="2" t="inlineStr">
        <is>
          <t>코스닥</t>
        </is>
      </c>
      <c r="D3655" s="2" t="inlineStr">
        <is>
          <t>0044K0</t>
        </is>
      </c>
      <c r="E3655" s="3" t="inlineStr">
        <is>
          <t xml:space="preserve">감사보고서제출              </t>
        </is>
      </c>
      <c r="F3655" s="3" t="inlineStr">
        <is>
          <t>삼성스팩10호</t>
        </is>
      </c>
      <c r="G3655" s="2" t="inlineStr">
        <is>
          <t>20260310901394</t>
        </is>
      </c>
      <c r="H3655" s="8">
        <f>HYPERLINK("https://dart.fss.or.kr/dsaf001/main.do?rcpNo=20260310901394", "공시열람")</f>
        <v/>
      </c>
    </row>
    <row r="3656">
      <c r="A3656" s="2" t="inlineStr">
        <is>
          <t>2026-03-10</t>
        </is>
      </c>
      <c r="B3656" s="3" t="inlineStr">
        <is>
          <t>에이치브이엠</t>
        </is>
      </c>
      <c r="C3656" s="2" t="inlineStr">
        <is>
          <t>코스닥</t>
        </is>
      </c>
      <c r="D3656" s="2" t="inlineStr">
        <is>
          <t>295310</t>
        </is>
      </c>
      <c r="E3656" s="3" t="inlineStr">
        <is>
          <t>임원ㆍ주요주주특정증권등소유상황보고서</t>
        </is>
      </c>
      <c r="F3656" s="3" t="inlineStr">
        <is>
          <t>김병환</t>
        </is>
      </c>
      <c r="G3656" s="2" t="inlineStr">
        <is>
          <t>20260310002851</t>
        </is>
      </c>
      <c r="H3656" s="8">
        <f>HYPERLINK("https://dart.fss.or.kr/dsaf001/main.do?rcpNo=20260310002851", "공시열람")</f>
        <v/>
      </c>
    </row>
    <row r="3657">
      <c r="A3657" s="2" t="inlineStr">
        <is>
          <t>2026-03-10</t>
        </is>
      </c>
      <c r="B3657" s="3" t="inlineStr">
        <is>
          <t>유화증권</t>
        </is>
      </c>
      <c r="C3657" s="2" t="inlineStr">
        <is>
          <t>코스피</t>
        </is>
      </c>
      <c r="D3657" s="2" t="inlineStr">
        <is>
          <t>003460</t>
        </is>
      </c>
      <c r="E3657" s="3" t="inlineStr">
        <is>
          <t xml:space="preserve">감사보고서제출              </t>
        </is>
      </c>
      <c r="F3657" s="3" t="inlineStr">
        <is>
          <t>유화증권</t>
        </is>
      </c>
      <c r="G3657" s="2" t="inlineStr">
        <is>
          <t>20260310801304</t>
        </is>
      </c>
      <c r="H3657" s="8">
        <f>HYPERLINK("https://dart.fss.or.kr/dsaf001/main.do?rcpNo=20260310801304", "공시열람")</f>
        <v/>
      </c>
    </row>
    <row r="3658">
      <c r="A3658" s="2" t="inlineStr">
        <is>
          <t>2026-03-10</t>
        </is>
      </c>
      <c r="B3658" s="3" t="inlineStr">
        <is>
          <t>한주에이알티</t>
        </is>
      </c>
      <c r="C3658" s="2" t="inlineStr">
        <is>
          <t>코스닥</t>
        </is>
      </c>
      <c r="D3658" s="2" t="inlineStr">
        <is>
          <t>058450</t>
        </is>
      </c>
      <c r="E3658" s="3" t="inlineStr">
        <is>
          <t>주권매매거래정지              (자본감소)</t>
        </is>
      </c>
      <c r="F3658" s="3" t="inlineStr">
        <is>
          <t>코스닥시장본부</t>
        </is>
      </c>
      <c r="G3658" s="2" t="inlineStr">
        <is>
          <t>20260310901432</t>
        </is>
      </c>
      <c r="H3658" s="8">
        <f>HYPERLINK("https://dart.fss.or.kr/dsaf001/main.do?rcpNo=20260310901432", "공시열람")</f>
        <v/>
      </c>
    </row>
    <row r="3659">
      <c r="A3659" s="2" t="inlineStr">
        <is>
          <t>2026-03-10</t>
        </is>
      </c>
      <c r="B3659" s="3" t="inlineStr">
        <is>
          <t>엠씨넥스</t>
        </is>
      </c>
      <c r="C3659" s="2" t="inlineStr">
        <is>
          <t>코스피</t>
        </is>
      </c>
      <c r="D3659" s="2" t="inlineStr">
        <is>
          <t>097520</t>
        </is>
      </c>
      <c r="E3659" s="3" t="inlineStr">
        <is>
          <t>의결권대리행사권유참고서류</t>
        </is>
      </c>
      <c r="F3659" s="3" t="inlineStr">
        <is>
          <t>엠씨넥스</t>
        </is>
      </c>
      <c r="G3659" s="2" t="inlineStr">
        <is>
          <t>20260310002850</t>
        </is>
      </c>
      <c r="H3659" s="8">
        <f>HYPERLINK("https://dart.fss.or.kr/dsaf001/main.do?rcpNo=20260310002850", "공시열람")</f>
        <v/>
      </c>
    </row>
    <row r="3660">
      <c r="A3660" s="2" t="inlineStr">
        <is>
          <t>2026-03-10</t>
        </is>
      </c>
      <c r="B3660" s="3" t="inlineStr">
        <is>
          <t>한솔테크닉스</t>
        </is>
      </c>
      <c r="C3660" s="2" t="inlineStr">
        <is>
          <t>코스피</t>
        </is>
      </c>
      <c r="D3660" s="2" t="inlineStr">
        <is>
          <t>004710</t>
        </is>
      </c>
      <c r="E3660" s="3" t="inlineStr">
        <is>
          <t xml:space="preserve">감사보고서제출              </t>
        </is>
      </c>
      <c r="F3660" s="3" t="inlineStr">
        <is>
          <t>한솔테크닉스</t>
        </is>
      </c>
      <c r="G3660" s="2" t="inlineStr">
        <is>
          <t>20260310801356</t>
        </is>
      </c>
      <c r="H3660" s="8">
        <f>HYPERLINK("https://dart.fss.or.kr/dsaf001/main.do?rcpNo=20260310801356", "공시열람")</f>
        <v/>
      </c>
    </row>
    <row r="3661">
      <c r="A3661" s="2" t="inlineStr">
        <is>
          <t>2026-03-10</t>
        </is>
      </c>
      <c r="B3661" s="3" t="inlineStr">
        <is>
          <t>넥슨게임즈</t>
        </is>
      </c>
      <c r="C3661" s="2" t="inlineStr">
        <is>
          <t>코스닥</t>
        </is>
      </c>
      <c r="D3661" s="2" t="inlineStr">
        <is>
          <t>225570</t>
        </is>
      </c>
      <c r="E3661" s="3" t="inlineStr">
        <is>
          <t>의결권대리행사권유참고서류</t>
        </is>
      </c>
      <c r="F3661" s="3" t="inlineStr">
        <is>
          <t>넥슨게임즈</t>
        </is>
      </c>
      <c r="G3661" s="2" t="inlineStr">
        <is>
          <t>20260310002849</t>
        </is>
      </c>
      <c r="H3661" s="8">
        <f>HYPERLINK("https://dart.fss.or.kr/dsaf001/main.do?rcpNo=20260310002849", "공시열람")</f>
        <v/>
      </c>
    </row>
    <row r="3662">
      <c r="A3662" s="2" t="inlineStr">
        <is>
          <t>2026-03-10</t>
        </is>
      </c>
      <c r="B3662" s="3" t="inlineStr">
        <is>
          <t>한솔아이원스</t>
        </is>
      </c>
      <c r="C3662" s="2" t="inlineStr">
        <is>
          <t>코스닥</t>
        </is>
      </c>
      <c r="D3662" s="2" t="inlineStr">
        <is>
          <t>114810</t>
        </is>
      </c>
      <c r="E3662" s="3" t="inlineStr">
        <is>
          <t xml:space="preserve">감사보고서제출              </t>
        </is>
      </c>
      <c r="F3662" s="3" t="inlineStr">
        <is>
          <t>한솔아이원스</t>
        </is>
      </c>
      <c r="G3662" s="2" t="inlineStr">
        <is>
          <t>20260310901280</t>
        </is>
      </c>
      <c r="H3662" s="8">
        <f>HYPERLINK("https://dart.fss.or.kr/dsaf001/main.do?rcpNo=20260310901280", "공시열람")</f>
        <v/>
      </c>
    </row>
    <row r="3663">
      <c r="A3663" s="2" t="inlineStr">
        <is>
          <t>2026-03-10</t>
        </is>
      </c>
      <c r="B3663" s="3" t="inlineStr">
        <is>
          <t>아난티</t>
        </is>
      </c>
      <c r="C3663" s="2" t="inlineStr">
        <is>
          <t>코스닥</t>
        </is>
      </c>
      <c r="D3663" s="2" t="inlineStr">
        <is>
          <t>025980</t>
        </is>
      </c>
      <c r="E3663" s="3" t="inlineStr">
        <is>
          <t xml:space="preserve">감사보고서제출              </t>
        </is>
      </c>
      <c r="F3663" s="3" t="inlineStr">
        <is>
          <t>아난티</t>
        </is>
      </c>
      <c r="G3663" s="2" t="inlineStr">
        <is>
          <t>20260310901316</t>
        </is>
      </c>
      <c r="H3663" s="8">
        <f>HYPERLINK("https://dart.fss.or.kr/dsaf001/main.do?rcpNo=20260310901316", "공시열람")</f>
        <v/>
      </c>
    </row>
    <row r="3664">
      <c r="A3664" s="2" t="inlineStr">
        <is>
          <t>2026-03-10</t>
        </is>
      </c>
      <c r="B3664" s="3" t="inlineStr">
        <is>
          <t>펌텍코리아</t>
        </is>
      </c>
      <c r="C3664" s="2" t="inlineStr">
        <is>
          <t>코스닥</t>
        </is>
      </c>
      <c r="D3664" s="2" t="inlineStr">
        <is>
          <t>251970</t>
        </is>
      </c>
      <c r="E3664" s="3" t="inlineStr">
        <is>
          <t xml:space="preserve">현금ㆍ현물배당결정              </t>
        </is>
      </c>
      <c r="F3664" s="3" t="inlineStr">
        <is>
          <t>펌텍코리아</t>
        </is>
      </c>
      <c r="G3664" s="2" t="inlineStr">
        <is>
          <t>20260310901393</t>
        </is>
      </c>
      <c r="H3664" s="8">
        <f>HYPERLINK("https://dart.fss.or.kr/dsaf001/main.do?rcpNo=20260310901393", "공시열람")</f>
        <v/>
      </c>
    </row>
    <row r="3665">
      <c r="A3665" s="2" t="inlineStr">
        <is>
          <t>2026-03-10</t>
        </is>
      </c>
      <c r="B3665" s="3" t="inlineStr">
        <is>
          <t>네이블</t>
        </is>
      </c>
      <c r="C3665" s="2" t="inlineStr">
        <is>
          <t>코스닥</t>
        </is>
      </c>
      <c r="D3665" s="2" t="inlineStr">
        <is>
          <t>153460</t>
        </is>
      </c>
      <c r="E3665" s="3" t="inlineStr">
        <is>
          <t xml:space="preserve">감사보고서제출              </t>
        </is>
      </c>
      <c r="F3665" s="3" t="inlineStr">
        <is>
          <t>네이블</t>
        </is>
      </c>
      <c r="G3665" s="2" t="inlineStr">
        <is>
          <t>20260310901343</t>
        </is>
      </c>
      <c r="H3665" s="8">
        <f>HYPERLINK("https://dart.fss.or.kr/dsaf001/main.do?rcpNo=20260310901343", "공시열람")</f>
        <v/>
      </c>
    </row>
    <row r="3666">
      <c r="A3666" s="2" t="inlineStr">
        <is>
          <t>2026-03-10 (정정: 2026-03-10)</t>
        </is>
      </c>
      <c r="B3666" s="3" t="inlineStr">
        <is>
          <t>오에스피</t>
        </is>
      </c>
      <c r="C3666" s="2" t="inlineStr">
        <is>
          <t>코스닥</t>
        </is>
      </c>
      <c r="D3666" s="2" t="inlineStr">
        <is>
          <t>368970</t>
        </is>
      </c>
      <c r="E3666" s="3" t="inlineStr">
        <is>
          <t xml:space="preserve">[기재정정]매출액또는손익구조30%(대규모법인은15%)이상변동              </t>
        </is>
      </c>
      <c r="F3666" s="3" t="inlineStr">
        <is>
          <t>오에스피</t>
        </is>
      </c>
      <c r="G3666" s="2" t="inlineStr">
        <is>
          <t>20260310901418</t>
        </is>
      </c>
      <c r="H3666" s="8">
        <f>HYPERLINK("https://dart.fss.or.kr/dsaf001/main.do?rcpNo=20260310901418", "공시열람")</f>
        <v/>
      </c>
    </row>
    <row r="3667">
      <c r="A3667" s="2" t="inlineStr">
        <is>
          <t>2026-03-10</t>
        </is>
      </c>
      <c r="B3667" s="3" t="inlineStr">
        <is>
          <t>포스코퓨처엠</t>
        </is>
      </c>
      <c r="C3667" s="2" t="inlineStr">
        <is>
          <t>코스피</t>
        </is>
      </c>
      <c r="D3667" s="2" t="inlineStr">
        <is>
          <t>003670</t>
        </is>
      </c>
      <c r="E3667" s="3" t="inlineStr">
        <is>
          <t xml:space="preserve">감사보고서제출              </t>
        </is>
      </c>
      <c r="F3667" s="3" t="inlineStr">
        <is>
          <t>포스코퓨처엠</t>
        </is>
      </c>
      <c r="G3667" s="2" t="inlineStr">
        <is>
          <t>20260310801332</t>
        </is>
      </c>
      <c r="H3667" s="8">
        <f>HYPERLINK("https://dart.fss.or.kr/dsaf001/main.do?rcpNo=20260310801332", "공시열람")</f>
        <v/>
      </c>
    </row>
    <row r="3668">
      <c r="A3668" s="2" t="inlineStr">
        <is>
          <t>2026-03-10</t>
        </is>
      </c>
      <c r="B3668" s="3" t="inlineStr">
        <is>
          <t>RF머트리얼즈</t>
        </is>
      </c>
      <c r="C3668" s="2" t="inlineStr">
        <is>
          <t>코스닥</t>
        </is>
      </c>
      <c r="D3668" s="2" t="inlineStr">
        <is>
          <t>327260</t>
        </is>
      </c>
      <c r="E3668" s="3" t="inlineStr">
        <is>
          <t>의결권대리행사권유참고서류</t>
        </is>
      </c>
      <c r="F3668" s="3" t="inlineStr">
        <is>
          <t>RF머트리얼즈</t>
        </is>
      </c>
      <c r="G3668" s="2" t="inlineStr">
        <is>
          <t>20260310002838</t>
        </is>
      </c>
      <c r="H3668" s="8">
        <f>HYPERLINK("https://dart.fss.or.kr/dsaf001/main.do?rcpNo=20260310002838", "공시열람")</f>
        <v/>
      </c>
    </row>
    <row r="3669">
      <c r="A3669" s="2" t="inlineStr">
        <is>
          <t>2026-03-10</t>
        </is>
      </c>
      <c r="B3669" s="3" t="inlineStr">
        <is>
          <t>온타이드</t>
        </is>
      </c>
      <c r="C3669" s="2" t="inlineStr">
        <is>
          <t>코스피</t>
        </is>
      </c>
      <c r="D3669" s="2" t="inlineStr">
        <is>
          <t>005320</t>
        </is>
      </c>
      <c r="E3669" s="3" t="inlineStr">
        <is>
          <t>임원ㆍ주요주주특정증권등소유상황보고서</t>
        </is>
      </c>
      <c r="F3669" s="3" t="inlineStr">
        <is>
          <t>크리스에프앤씨</t>
        </is>
      </c>
      <c r="G3669" s="2" t="inlineStr">
        <is>
          <t>20260310002834</t>
        </is>
      </c>
      <c r="H3669" s="8">
        <f>HYPERLINK("https://dart.fss.or.kr/dsaf001/main.do?rcpNo=20260310002834", "공시열람")</f>
        <v/>
      </c>
    </row>
    <row r="3670">
      <c r="A3670" s="2" t="inlineStr">
        <is>
          <t>2026-03-10</t>
        </is>
      </c>
      <c r="B3670" s="3" t="inlineStr">
        <is>
          <t>SK</t>
        </is>
      </c>
      <c r="C3670" s="2" t="inlineStr">
        <is>
          <t>코스피</t>
        </is>
      </c>
      <c r="D3670" s="2" t="inlineStr">
        <is>
          <t>034730</t>
        </is>
      </c>
      <c r="E3670" s="3" t="inlineStr">
        <is>
          <t>의결권대리행사권유참고서류</t>
        </is>
      </c>
      <c r="F3670" s="3" t="inlineStr">
        <is>
          <t>SK</t>
        </is>
      </c>
      <c r="G3670" s="2" t="inlineStr">
        <is>
          <t>20260310002833</t>
        </is>
      </c>
      <c r="H3670" s="8">
        <f>HYPERLINK("https://dart.fss.or.kr/dsaf001/main.do?rcpNo=20260310002833", "공시열람")</f>
        <v/>
      </c>
    </row>
    <row r="3671">
      <c r="A3671" s="2" t="inlineStr">
        <is>
          <t>2026-03-10</t>
        </is>
      </c>
      <c r="B3671" s="3" t="inlineStr">
        <is>
          <t>이노벡스</t>
        </is>
      </c>
      <c r="C3671" s="2" t="inlineStr">
        <is>
          <t>코넥스</t>
        </is>
      </c>
      <c r="D3671" s="2" t="inlineStr">
        <is>
          <t>279060</t>
        </is>
      </c>
      <c r="E3671" s="3" t="inlineStr">
        <is>
          <t xml:space="preserve">소송등의판결ㆍ결정(일정금액이상의청구)              </t>
        </is>
      </c>
      <c r="F3671" s="3" t="inlineStr">
        <is>
          <t>이노벡스</t>
        </is>
      </c>
      <c r="G3671" s="2" t="inlineStr">
        <is>
          <t>20260310601385</t>
        </is>
      </c>
      <c r="H3671" s="8">
        <f>HYPERLINK("https://dart.fss.or.kr/dsaf001/main.do?rcpNo=20260310601385", "공시열람")</f>
        <v/>
      </c>
    </row>
    <row r="3672">
      <c r="A3672" s="2" t="inlineStr">
        <is>
          <t>2026-03-10</t>
        </is>
      </c>
      <c r="B3672" s="3" t="inlineStr">
        <is>
          <t>AJ네트웍스</t>
        </is>
      </c>
      <c r="C3672" s="2" t="inlineStr">
        <is>
          <t>코스피</t>
        </is>
      </c>
      <c r="D3672" s="2" t="inlineStr">
        <is>
          <t>095570</t>
        </is>
      </c>
      <c r="E3672" s="3" t="inlineStr">
        <is>
          <t>의결권대리행사권유참고서류</t>
        </is>
      </c>
      <c r="F3672" s="3" t="inlineStr">
        <is>
          <t>AJ네트웍스</t>
        </is>
      </c>
      <c r="G3672" s="2" t="inlineStr">
        <is>
          <t>20260310002831</t>
        </is>
      </c>
      <c r="H3672" s="8">
        <f>HYPERLINK("https://dart.fss.or.kr/dsaf001/main.do?rcpNo=20260310002831", "공시열람")</f>
        <v/>
      </c>
    </row>
    <row r="3673">
      <c r="A3673" s="2" t="inlineStr">
        <is>
          <t>2026-03-10</t>
        </is>
      </c>
      <c r="B3673" s="3" t="inlineStr">
        <is>
          <t>영원무역</t>
        </is>
      </c>
      <c r="C3673" s="2" t="inlineStr">
        <is>
          <t>코스피</t>
        </is>
      </c>
      <c r="D3673" s="2" t="inlineStr">
        <is>
          <t>111770</t>
        </is>
      </c>
      <c r="E3673" s="3" t="inlineStr">
        <is>
          <t xml:space="preserve">현금ㆍ현물배당결정              </t>
        </is>
      </c>
      <c r="F3673" s="3" t="inlineStr">
        <is>
          <t>영원무역</t>
        </is>
      </c>
      <c r="G3673" s="2" t="inlineStr">
        <is>
          <t>20260310801419</t>
        </is>
      </c>
      <c r="H3673" s="8">
        <f>HYPERLINK("https://dart.fss.or.kr/dsaf001/main.do?rcpNo=20260310801419", "공시열람")</f>
        <v/>
      </c>
    </row>
    <row r="3674">
      <c r="A3674" s="2" t="inlineStr">
        <is>
          <t>2026-03-10</t>
        </is>
      </c>
      <c r="B3674" s="3" t="inlineStr">
        <is>
          <t>현대엘리베이터</t>
        </is>
      </c>
      <c r="C3674" s="2" t="inlineStr">
        <is>
          <t>코스피</t>
        </is>
      </c>
      <c r="D3674" s="2" t="inlineStr">
        <is>
          <t>017800</t>
        </is>
      </c>
      <c r="E3674" s="3" t="inlineStr">
        <is>
          <t>의결권대리행사권유참고서류</t>
        </is>
      </c>
      <c r="F3674" s="3" t="inlineStr">
        <is>
          <t>현대엘리베이터</t>
        </is>
      </c>
      <c r="G3674" s="2" t="inlineStr">
        <is>
          <t>20260310002825</t>
        </is>
      </c>
      <c r="H3674" s="8">
        <f>HYPERLINK("https://dart.fss.or.kr/dsaf001/main.do?rcpNo=20260310002825", "공시열람")</f>
        <v/>
      </c>
    </row>
    <row r="3675">
      <c r="A3675" s="2" t="inlineStr">
        <is>
          <t>2026-03-10</t>
        </is>
      </c>
      <c r="B3675" s="3" t="inlineStr">
        <is>
          <t>에이치브이엠</t>
        </is>
      </c>
      <c r="C3675" s="2" t="inlineStr">
        <is>
          <t>코스닥</t>
        </is>
      </c>
      <c r="D3675" s="2" t="inlineStr">
        <is>
          <t>295310</t>
        </is>
      </c>
      <c r="E3675" s="3" t="inlineStr">
        <is>
          <t>임원ㆍ주요주주특정증권등소유상황보고서</t>
        </is>
      </c>
      <c r="F3675" s="3" t="inlineStr">
        <is>
          <t>김진국</t>
        </is>
      </c>
      <c r="G3675" s="2" t="inlineStr">
        <is>
          <t>20260310002824</t>
        </is>
      </c>
      <c r="H3675" s="8">
        <f>HYPERLINK("https://dart.fss.or.kr/dsaf001/main.do?rcpNo=20260310002824", "공시열람")</f>
        <v/>
      </c>
    </row>
    <row r="3676">
      <c r="A3676" s="2" t="inlineStr">
        <is>
          <t>2026-03-10</t>
        </is>
      </c>
      <c r="B3676" s="3" t="inlineStr">
        <is>
          <t>빅텍</t>
        </is>
      </c>
      <c r="C3676" s="2" t="inlineStr">
        <is>
          <t>코스닥</t>
        </is>
      </c>
      <c r="D3676" s="2" t="inlineStr">
        <is>
          <t>065450</t>
        </is>
      </c>
      <c r="E3676" s="3" t="inlineStr">
        <is>
          <t>임원ㆍ주요주주특정증권등소유상황보고서</t>
        </is>
      </c>
      <c r="F3676" s="3" t="inlineStr">
        <is>
          <t>이남재</t>
        </is>
      </c>
      <c r="G3676" s="2" t="inlineStr">
        <is>
          <t>20260310002822</t>
        </is>
      </c>
      <c r="H3676" s="8">
        <f>HYPERLINK("https://dart.fss.or.kr/dsaf001/main.do?rcpNo=20260310002822", "공시열람")</f>
        <v/>
      </c>
    </row>
    <row r="3677">
      <c r="A3677" s="2" t="inlineStr">
        <is>
          <t>2026-03-10</t>
        </is>
      </c>
      <c r="B3677" s="3" t="inlineStr">
        <is>
          <t>원익피앤이</t>
        </is>
      </c>
      <c r="C3677" s="2" t="inlineStr">
        <is>
          <t>코스닥</t>
        </is>
      </c>
      <c r="D3677" s="2" t="inlineStr">
        <is>
          <t>217820</t>
        </is>
      </c>
      <c r="E3677" s="3" t="inlineStr">
        <is>
          <t xml:space="preserve">매출액또는손익구조30%(대규모법인은15%)이상변동              </t>
        </is>
      </c>
      <c r="F3677" s="3" t="inlineStr">
        <is>
          <t>원익피앤이</t>
        </is>
      </c>
      <c r="G3677" s="2" t="inlineStr">
        <is>
          <t>20260310901349</t>
        </is>
      </c>
      <c r="H3677" s="8">
        <f>HYPERLINK("https://dart.fss.or.kr/dsaf001/main.do?rcpNo=20260310901349", "공시열람")</f>
        <v/>
      </c>
    </row>
    <row r="3678">
      <c r="A3678" s="2" t="inlineStr">
        <is>
          <t>2026-03-10</t>
        </is>
      </c>
      <c r="B3678" s="3" t="inlineStr">
        <is>
          <t>한국수출포장공업</t>
        </is>
      </c>
      <c r="C3678" s="2" t="inlineStr">
        <is>
          <t>코스피</t>
        </is>
      </c>
      <c r="D3678" s="2" t="inlineStr">
        <is>
          <t>002200</t>
        </is>
      </c>
      <c r="E3678" s="3" t="inlineStr">
        <is>
          <t xml:space="preserve">감사보고서제출              </t>
        </is>
      </c>
      <c r="F3678" s="3" t="inlineStr">
        <is>
          <t>한국수출포장공업</t>
        </is>
      </c>
      <c r="G3678" s="2" t="inlineStr">
        <is>
          <t>20260310801392</t>
        </is>
      </c>
      <c r="H3678" s="8">
        <f>HYPERLINK("https://dart.fss.or.kr/dsaf001/main.do?rcpNo=20260310801392", "공시열람")</f>
        <v/>
      </c>
    </row>
    <row r="3679">
      <c r="A3679" s="2" t="inlineStr">
        <is>
          <t>2026-03-10</t>
        </is>
      </c>
      <c r="B3679" s="3" t="inlineStr">
        <is>
          <t>케이디켐</t>
        </is>
      </c>
      <c r="C3679" s="2" t="inlineStr">
        <is>
          <t>코스닥</t>
        </is>
      </c>
      <c r="D3679" s="2" t="inlineStr">
        <is>
          <t>221980</t>
        </is>
      </c>
      <c r="E3679" s="3" t="inlineStr">
        <is>
          <t xml:space="preserve">현금ㆍ현물배당결정              </t>
        </is>
      </c>
      <c r="F3679" s="3" t="inlineStr">
        <is>
          <t>케이디켐</t>
        </is>
      </c>
      <c r="G3679" s="2" t="inlineStr">
        <is>
          <t>20260310901286</t>
        </is>
      </c>
      <c r="H3679" s="8">
        <f>HYPERLINK("https://dart.fss.or.kr/dsaf001/main.do?rcpNo=20260310901286", "공시열람")</f>
        <v/>
      </c>
    </row>
    <row r="3680">
      <c r="A3680" s="2" t="inlineStr">
        <is>
          <t>2026-02-13 (정정: 2026-03-10)</t>
        </is>
      </c>
      <c r="B3680" s="3" t="inlineStr">
        <is>
          <t>신한제17호스팩</t>
        </is>
      </c>
      <c r="C3680" s="2" t="inlineStr">
        <is>
          <t>코스닥</t>
        </is>
      </c>
      <c r="D3680" s="2" t="inlineStr">
        <is>
          <t>0130D0</t>
        </is>
      </c>
      <c r="E3680" s="3" t="inlineStr">
        <is>
          <t>[기재정정]증권신고서(지분증권)</t>
        </is>
      </c>
      <c r="F3680" s="3" t="inlineStr">
        <is>
          <t>신한제17호스팩</t>
        </is>
      </c>
      <c r="G3680" s="2" t="inlineStr">
        <is>
          <t>20260310002814</t>
        </is>
      </c>
      <c r="H3680" s="8">
        <f>HYPERLINK("https://dart.fss.or.kr/dsaf001/main.do?rcpNo=20260310002814", "공시열람")</f>
        <v/>
      </c>
    </row>
    <row r="3681">
      <c r="A3681" s="2" t="inlineStr">
        <is>
          <t>2026-03-10</t>
        </is>
      </c>
      <c r="B3681" s="3" t="inlineStr">
        <is>
          <t>대동</t>
        </is>
      </c>
      <c r="C3681" s="2" t="inlineStr">
        <is>
          <t>코스피</t>
        </is>
      </c>
      <c r="D3681" s="2" t="inlineStr">
        <is>
          <t>000490</t>
        </is>
      </c>
      <c r="E3681" s="3" t="inlineStr">
        <is>
          <t xml:space="preserve">현금ㆍ현물배당을위한주주명부폐쇄(기준일)결정              </t>
        </is>
      </c>
      <c r="F3681" s="3" t="inlineStr">
        <is>
          <t>대동</t>
        </is>
      </c>
      <c r="G3681" s="2" t="inlineStr">
        <is>
          <t>20260310801375</t>
        </is>
      </c>
      <c r="H3681" s="8">
        <f>HYPERLINK("https://dart.fss.or.kr/dsaf001/main.do?rcpNo=20260310801375", "공시열람")</f>
        <v/>
      </c>
    </row>
    <row r="3682">
      <c r="A3682" s="2" t="inlineStr">
        <is>
          <t>2026-03-10</t>
        </is>
      </c>
      <c r="B3682" s="3" t="inlineStr">
        <is>
          <t>리더스코스메틱</t>
        </is>
      </c>
      <c r="C3682" s="2" t="inlineStr">
        <is>
          <t>코스닥</t>
        </is>
      </c>
      <c r="D3682" s="2" t="inlineStr">
        <is>
          <t>016100</t>
        </is>
      </c>
      <c r="E3682" s="3" t="inlineStr">
        <is>
          <t>주식매수선택권부여에관한신고</t>
        </is>
      </c>
      <c r="F3682" s="3" t="inlineStr">
        <is>
          <t>리더스코스메틱</t>
        </is>
      </c>
      <c r="G3682" s="2" t="inlineStr">
        <is>
          <t>20260310002809</t>
        </is>
      </c>
      <c r="H3682" s="8">
        <f>HYPERLINK("https://dart.fss.or.kr/dsaf001/main.do?rcpNo=20260310002809", "공시열람")</f>
        <v/>
      </c>
    </row>
    <row r="3683">
      <c r="A3683" s="2" t="inlineStr">
        <is>
          <t>2026-03-10</t>
        </is>
      </c>
      <c r="B3683" s="3" t="inlineStr">
        <is>
          <t>프로티아</t>
        </is>
      </c>
      <c r="C3683" s="2" t="inlineStr">
        <is>
          <t>코스닥</t>
        </is>
      </c>
      <c r="D3683" s="2" t="inlineStr">
        <is>
          <t>303360</t>
        </is>
      </c>
      <c r="E3683" s="3" t="inlineStr">
        <is>
          <t>임원ㆍ주요주주특정증권등소유상황보고서</t>
        </is>
      </c>
      <c r="F3683" s="3" t="inlineStr">
        <is>
          <t>손순진</t>
        </is>
      </c>
      <c r="G3683" s="2" t="inlineStr">
        <is>
          <t>20260310002807</t>
        </is>
      </c>
      <c r="H3683" s="8">
        <f>HYPERLINK("https://dart.fss.or.kr/dsaf001/main.do?rcpNo=20260310002807", "공시열람")</f>
        <v/>
      </c>
    </row>
    <row r="3684">
      <c r="A3684" s="2" t="inlineStr">
        <is>
          <t>2026-03-10</t>
        </is>
      </c>
      <c r="B3684" s="3" t="inlineStr">
        <is>
          <t>헝셩그룹</t>
        </is>
      </c>
      <c r="C3684" s="2" t="inlineStr">
        <is>
          <t>코스닥</t>
        </is>
      </c>
      <c r="D3684" s="2" t="inlineStr">
        <is>
          <t>900270</t>
        </is>
      </c>
      <c r="E3684" s="3" t="inlineStr">
        <is>
          <t>임원ㆍ주요주주특정증권등소유상황보고서</t>
        </is>
      </c>
      <c r="F3684" s="3" t="inlineStr">
        <is>
          <t>후이만킷</t>
        </is>
      </c>
      <c r="G3684" s="2" t="inlineStr">
        <is>
          <t>20260310002805</t>
        </is>
      </c>
      <c r="H3684" s="8">
        <f>HYPERLINK("https://dart.fss.or.kr/dsaf001/main.do?rcpNo=20260310002805", "공시열람")</f>
        <v/>
      </c>
    </row>
    <row r="3685">
      <c r="A3685" s="2" t="inlineStr">
        <is>
          <t>2026-03-10</t>
        </is>
      </c>
      <c r="B3685" s="3" t="inlineStr">
        <is>
          <t>필옵틱스</t>
        </is>
      </c>
      <c r="C3685" s="2" t="inlineStr">
        <is>
          <t>코스닥</t>
        </is>
      </c>
      <c r="D3685" s="2" t="inlineStr">
        <is>
          <t>161580</t>
        </is>
      </c>
      <c r="E3685" s="3" t="inlineStr">
        <is>
          <t>의결권대리행사권유참고서류</t>
        </is>
      </c>
      <c r="F3685" s="3" t="inlineStr">
        <is>
          <t>필옵틱스</t>
        </is>
      </c>
      <c r="G3685" s="2" t="inlineStr">
        <is>
          <t>20260310002804</t>
        </is>
      </c>
      <c r="H3685" s="8">
        <f>HYPERLINK("https://dart.fss.or.kr/dsaf001/main.do?rcpNo=20260310002804", "공시열람")</f>
        <v/>
      </c>
    </row>
    <row r="3686">
      <c r="A3686" s="2" t="inlineStr">
        <is>
          <t>2026-03-10</t>
        </is>
      </c>
      <c r="B3686" s="3" t="inlineStr">
        <is>
          <t>키움증권</t>
        </is>
      </c>
      <c r="C3686" s="2" t="inlineStr">
        <is>
          <t>코스피</t>
        </is>
      </c>
      <c r="D3686" s="2" t="inlineStr">
        <is>
          <t>039490</t>
        </is>
      </c>
      <c r="E3686" s="3" t="inlineStr">
        <is>
          <t>증권발행실적보고서</t>
        </is>
      </c>
      <c r="F3686" s="3" t="inlineStr">
        <is>
          <t>키움증권</t>
        </is>
      </c>
      <c r="G3686" s="2" t="inlineStr">
        <is>
          <t>20260310002802</t>
        </is>
      </c>
      <c r="H3686" s="8">
        <f>HYPERLINK("https://dart.fss.or.kr/dsaf001/main.do?rcpNo=20260310002802", "공시열람")</f>
        <v/>
      </c>
    </row>
    <row r="3687">
      <c r="A3687" s="2" t="inlineStr">
        <is>
          <t>2026-03-10</t>
        </is>
      </c>
      <c r="B3687" s="3" t="inlineStr">
        <is>
          <t>인카금융서비스</t>
        </is>
      </c>
      <c r="C3687" s="2" t="inlineStr">
        <is>
          <t>코스닥</t>
        </is>
      </c>
      <c r="D3687" s="2" t="inlineStr">
        <is>
          <t>211050</t>
        </is>
      </c>
      <c r="E3687" s="3" t="inlineStr">
        <is>
          <t xml:space="preserve">현금ㆍ현물배당결정              </t>
        </is>
      </c>
      <c r="F3687" s="3" t="inlineStr">
        <is>
          <t>인카금융서비스</t>
        </is>
      </c>
      <c r="G3687" s="2" t="inlineStr">
        <is>
          <t>20260310901283</t>
        </is>
      </c>
      <c r="H3687" s="8">
        <f>HYPERLINK("https://dart.fss.or.kr/dsaf001/main.do?rcpNo=20260310901283", "공시열람")</f>
        <v/>
      </c>
    </row>
    <row r="3688">
      <c r="A3688" s="2" t="inlineStr">
        <is>
          <t>2026-03-10</t>
        </is>
      </c>
      <c r="B3688" s="3" t="inlineStr">
        <is>
          <t>삼화콘덴서공업</t>
        </is>
      </c>
      <c r="C3688" s="2" t="inlineStr">
        <is>
          <t>코스피</t>
        </is>
      </c>
      <c r="D3688" s="2" t="inlineStr">
        <is>
          <t>001820</t>
        </is>
      </c>
      <c r="E3688" s="3" t="inlineStr">
        <is>
          <t>의결권대리행사권유참고서류</t>
        </is>
      </c>
      <c r="F3688" s="3" t="inlineStr">
        <is>
          <t>삼화콘덴서공업</t>
        </is>
      </c>
      <c r="G3688" s="2" t="inlineStr">
        <is>
          <t>20260310002799</t>
        </is>
      </c>
      <c r="H3688" s="8">
        <f>HYPERLINK("https://dart.fss.or.kr/dsaf001/main.do?rcpNo=20260310002799", "공시열람")</f>
        <v/>
      </c>
    </row>
    <row r="3689">
      <c r="A3689" s="2" t="inlineStr">
        <is>
          <t>2026-03-10</t>
        </is>
      </c>
      <c r="B3689" s="3" t="inlineStr">
        <is>
          <t>헝셩그룹</t>
        </is>
      </c>
      <c r="C3689" s="2" t="inlineStr">
        <is>
          <t>코스닥</t>
        </is>
      </c>
      <c r="D3689" s="2" t="inlineStr">
        <is>
          <t>900270</t>
        </is>
      </c>
      <c r="E3689" s="3" t="inlineStr">
        <is>
          <t>임원ㆍ주요주주특정증권등소유상황보고서</t>
        </is>
      </c>
      <c r="F3689" s="3" t="inlineStr">
        <is>
          <t>후이훙위엔</t>
        </is>
      </c>
      <c r="G3689" s="2" t="inlineStr">
        <is>
          <t>20260310002798</t>
        </is>
      </c>
      <c r="H3689" s="8">
        <f>HYPERLINK("https://dart.fss.or.kr/dsaf001/main.do?rcpNo=20260310002798", "공시열람")</f>
        <v/>
      </c>
    </row>
    <row r="3690">
      <c r="A3690" s="2" t="inlineStr">
        <is>
          <t>2026-03-10</t>
        </is>
      </c>
      <c r="B3690" s="3" t="inlineStr">
        <is>
          <t>대원화성</t>
        </is>
      </c>
      <c r="C3690" s="2" t="inlineStr">
        <is>
          <t>코스피</t>
        </is>
      </c>
      <c r="D3690" s="2" t="inlineStr">
        <is>
          <t>024890</t>
        </is>
      </c>
      <c r="E3690" s="3" t="inlineStr">
        <is>
          <t xml:space="preserve">주식병합결정              </t>
        </is>
      </c>
      <c r="F3690" s="3" t="inlineStr">
        <is>
          <t>대원화성</t>
        </is>
      </c>
      <c r="G3690" s="2" t="inlineStr">
        <is>
          <t>20260310801209</t>
        </is>
      </c>
      <c r="H3690" s="8">
        <f>HYPERLINK("https://dart.fss.or.kr/dsaf001/main.do?rcpNo=20260310801209", "공시열람")</f>
        <v/>
      </c>
    </row>
    <row r="3691">
      <c r="A3691" s="2" t="inlineStr">
        <is>
          <t>2026-03-10</t>
        </is>
      </c>
      <c r="B3691" s="3" t="inlineStr">
        <is>
          <t>알에프텍</t>
        </is>
      </c>
      <c r="C3691" s="2" t="inlineStr">
        <is>
          <t>코스닥</t>
        </is>
      </c>
      <c r="D3691" s="2" t="inlineStr">
        <is>
          <t>061040</t>
        </is>
      </c>
      <c r="E3691" s="3" t="inlineStr">
        <is>
          <t xml:space="preserve">주식병합결정              </t>
        </is>
      </c>
      <c r="F3691" s="3" t="inlineStr">
        <is>
          <t>알에프텍</t>
        </is>
      </c>
      <c r="G3691" s="2" t="inlineStr">
        <is>
          <t>20260310901348</t>
        </is>
      </c>
      <c r="H3691" s="8">
        <f>HYPERLINK("https://dart.fss.or.kr/dsaf001/main.do?rcpNo=20260310901348", "공시열람")</f>
        <v/>
      </c>
    </row>
    <row r="3692">
      <c r="A3692" s="2" t="inlineStr">
        <is>
          <t>2026-03-10</t>
        </is>
      </c>
      <c r="B3692" s="3" t="inlineStr">
        <is>
          <t>유라테크</t>
        </is>
      </c>
      <c r="C3692" s="2" t="inlineStr">
        <is>
          <t>코스닥</t>
        </is>
      </c>
      <c r="D3692" s="2" t="inlineStr">
        <is>
          <t>048430</t>
        </is>
      </c>
      <c r="E3692" s="3" t="inlineStr">
        <is>
          <t xml:space="preserve">매출액또는손익구조30%(대규모법인은15%)이상변동              </t>
        </is>
      </c>
      <c r="F3692" s="3" t="inlineStr">
        <is>
          <t>유라테크</t>
        </is>
      </c>
      <c r="G3692" s="2" t="inlineStr">
        <is>
          <t>20260310901204</t>
        </is>
      </c>
      <c r="H3692" s="8">
        <f>HYPERLINK("https://dart.fss.or.kr/dsaf001/main.do?rcpNo=20260310901204", "공시열람")</f>
        <v/>
      </c>
    </row>
    <row r="3693">
      <c r="A3693" s="2" t="inlineStr">
        <is>
          <t>2026-03-10</t>
        </is>
      </c>
      <c r="B3693" s="3" t="inlineStr">
        <is>
          <t>대원산업</t>
        </is>
      </c>
      <c r="C3693" s="2" t="inlineStr">
        <is>
          <t>코스닥</t>
        </is>
      </c>
      <c r="D3693" s="2" t="inlineStr">
        <is>
          <t>005710</t>
        </is>
      </c>
      <c r="E3693" s="3" t="inlineStr">
        <is>
          <t>의결권대리행사권유참고서류</t>
        </is>
      </c>
      <c r="F3693" s="3" t="inlineStr">
        <is>
          <t>브이아이피자산운용</t>
        </is>
      </c>
      <c r="G3693" s="2" t="inlineStr">
        <is>
          <t>20260310002794</t>
        </is>
      </c>
      <c r="H3693" s="8">
        <f>HYPERLINK("https://dart.fss.or.kr/dsaf001/main.do?rcpNo=20260310002794", "공시열람")</f>
        <v/>
      </c>
    </row>
    <row r="3694">
      <c r="A3694" s="2" t="inlineStr">
        <is>
          <t>2026-03-10</t>
        </is>
      </c>
      <c r="B3694" s="3" t="inlineStr">
        <is>
          <t>영원무역홀딩스</t>
        </is>
      </c>
      <c r="C3694" s="2" t="inlineStr">
        <is>
          <t>코스피</t>
        </is>
      </c>
      <c r="D3694" s="2" t="inlineStr">
        <is>
          <t>009970</t>
        </is>
      </c>
      <c r="E3694" s="3" t="inlineStr">
        <is>
          <t xml:space="preserve">현금ㆍ현물배당을위한주주명부폐쇄(기준일)결정              </t>
        </is>
      </c>
      <c r="F3694" s="3" t="inlineStr">
        <is>
          <t>영원무역홀딩스</t>
        </is>
      </c>
      <c r="G3694" s="2" t="inlineStr">
        <is>
          <t>20260310801307</t>
        </is>
      </c>
      <c r="H3694" s="8">
        <f>HYPERLINK("https://dart.fss.or.kr/dsaf001/main.do?rcpNo=20260310801307", "공시열람")</f>
        <v/>
      </c>
    </row>
    <row r="3695">
      <c r="A3695" s="2" t="inlineStr">
        <is>
          <t>2026-03-10</t>
        </is>
      </c>
      <c r="B3695" s="3" t="inlineStr">
        <is>
          <t>엘오티베큠</t>
        </is>
      </c>
      <c r="C3695" s="2" t="inlineStr">
        <is>
          <t>코스닥</t>
        </is>
      </c>
      <c r="D3695" s="2" t="inlineStr">
        <is>
          <t>083310</t>
        </is>
      </c>
      <c r="E3695" s="3" t="inlineStr">
        <is>
          <t>의결권대리행사권유참고서류</t>
        </is>
      </c>
      <c r="F3695" s="3" t="inlineStr">
        <is>
          <t>엘오티베큠</t>
        </is>
      </c>
      <c r="G3695" s="2" t="inlineStr">
        <is>
          <t>20260310002792</t>
        </is>
      </c>
      <c r="H3695" s="8">
        <f>HYPERLINK("https://dart.fss.or.kr/dsaf001/main.do?rcpNo=20260310002792", "공시열람")</f>
        <v/>
      </c>
    </row>
    <row r="3696">
      <c r="A3696" s="2" t="inlineStr">
        <is>
          <t>2026-03-10 (정정: 2026-03-10)</t>
        </is>
      </c>
      <c r="B3696" s="3" t="inlineStr">
        <is>
          <t>지역난방공사</t>
        </is>
      </c>
      <c r="C3696" s="2" t="inlineStr">
        <is>
          <t>코스피</t>
        </is>
      </c>
      <c r="D3696" s="2" t="inlineStr">
        <is>
          <t>071320</t>
        </is>
      </c>
      <c r="E3696" s="3" t="inlineStr">
        <is>
          <t>주주명부폐쇄기간또는기준일설정               (정정: 20260310)</t>
        </is>
      </c>
      <c r="F3696" s="3" t="inlineStr">
        <is>
          <t>지역난방공사</t>
        </is>
      </c>
      <c r="G3696" s="2" t="inlineStr">
        <is>
          <t>20260310801180</t>
        </is>
      </c>
      <c r="H3696" s="8">
        <f>HYPERLINK("https://dart.fss.or.kr/dsaf001/main.do?rcpNo=20260310801180", "공시열람")</f>
        <v/>
      </c>
    </row>
    <row r="3697">
      <c r="A3697" s="2" t="inlineStr">
        <is>
          <t>2026-03-10</t>
        </is>
      </c>
      <c r="B3697" s="3" t="inlineStr">
        <is>
          <t>더본코리아</t>
        </is>
      </c>
      <c r="C3697" s="2" t="inlineStr">
        <is>
          <t>코스피</t>
        </is>
      </c>
      <c r="D3697" s="2" t="inlineStr">
        <is>
          <t>475560</t>
        </is>
      </c>
      <c r="E3697" s="3" t="inlineStr">
        <is>
          <t xml:space="preserve">현금ㆍ현물배당결정              </t>
        </is>
      </c>
      <c r="F3697" s="3" t="inlineStr">
        <is>
          <t>더본코리아</t>
        </is>
      </c>
      <c r="G3697" s="2" t="inlineStr">
        <is>
          <t>20260310801326</t>
        </is>
      </c>
      <c r="H3697" s="8">
        <f>HYPERLINK("https://dart.fss.or.kr/dsaf001/main.do?rcpNo=20260310801326", "공시열람")</f>
        <v/>
      </c>
    </row>
    <row r="3698">
      <c r="A3698" s="2" t="inlineStr">
        <is>
          <t>2026-03-10</t>
        </is>
      </c>
      <c r="B3698" s="3" t="inlineStr">
        <is>
          <t>남성</t>
        </is>
      </c>
      <c r="C3698" s="2" t="inlineStr">
        <is>
          <t>코스피</t>
        </is>
      </c>
      <c r="D3698" s="2" t="inlineStr">
        <is>
          <t>004270</t>
        </is>
      </c>
      <c r="E3698" s="3" t="inlineStr">
        <is>
          <t>임원ㆍ주요주주특정증권등거래계획보고서</t>
        </is>
      </c>
      <c r="F3698" s="3" t="inlineStr">
        <is>
          <t>윤종호</t>
        </is>
      </c>
      <c r="G3698" s="2" t="inlineStr">
        <is>
          <t>20260310002786</t>
        </is>
      </c>
      <c r="H3698" s="8">
        <f>HYPERLINK("https://dart.fss.or.kr/dsaf001/main.do?rcpNo=20260310002786", "공시열람")</f>
        <v/>
      </c>
    </row>
    <row r="3699">
      <c r="A3699" s="2" t="inlineStr">
        <is>
          <t>2026-03-10</t>
        </is>
      </c>
      <c r="B3699" s="3" t="inlineStr">
        <is>
          <t>에이아이코리아</t>
        </is>
      </c>
      <c r="C3699" s="2" t="inlineStr">
        <is>
          <t>코스닥</t>
        </is>
      </c>
      <c r="D3699" s="2" t="inlineStr">
        <is>
          <t>364950</t>
        </is>
      </c>
      <c r="E3699" s="3" t="inlineStr">
        <is>
          <t>의결권대리행사권유참고서류</t>
        </is>
      </c>
      <c r="F3699" s="3" t="inlineStr">
        <is>
          <t>에이아이코리아</t>
        </is>
      </c>
      <c r="G3699" s="2" t="inlineStr">
        <is>
          <t>20260310002784</t>
        </is>
      </c>
      <c r="H3699" s="8">
        <f>HYPERLINK("https://dart.fss.or.kr/dsaf001/main.do?rcpNo=20260310002784", "공시열람")</f>
        <v/>
      </c>
    </row>
    <row r="3700">
      <c r="A3700" s="2" t="inlineStr">
        <is>
          <t>2026-03-10</t>
        </is>
      </c>
      <c r="B3700" s="3" t="inlineStr">
        <is>
          <t>SK텔레콤</t>
        </is>
      </c>
      <c r="C3700" s="2" t="inlineStr">
        <is>
          <t>코스피</t>
        </is>
      </c>
      <c r="D3700" s="2" t="inlineStr">
        <is>
          <t>017670</t>
        </is>
      </c>
      <c r="E3700" s="3" t="inlineStr">
        <is>
          <t>[기재정정]의결권대리행사권유참고서류</t>
        </is>
      </c>
      <c r="F3700" s="3" t="inlineStr">
        <is>
          <t>SK텔레콤</t>
        </is>
      </c>
      <c r="G3700" s="2" t="inlineStr">
        <is>
          <t>20260310002781</t>
        </is>
      </c>
      <c r="H3700" s="8">
        <f>HYPERLINK("https://dart.fss.or.kr/dsaf001/main.do?rcpNo=20260310002781", "공시열람")</f>
        <v/>
      </c>
    </row>
    <row r="3701">
      <c r="A3701" s="2" t="inlineStr">
        <is>
          <t>2026-03-10</t>
        </is>
      </c>
      <c r="B3701" s="3" t="inlineStr">
        <is>
          <t>프리시젼바이오</t>
        </is>
      </c>
      <c r="C3701" s="2" t="inlineStr">
        <is>
          <t>코스닥</t>
        </is>
      </c>
      <c r="D3701" s="2" t="inlineStr">
        <is>
          <t>335810</t>
        </is>
      </c>
      <c r="E3701" s="3" t="inlineStr">
        <is>
          <t xml:space="preserve">매출액또는손익구조30%(대규모법인은15%)이상변동              </t>
        </is>
      </c>
      <c r="F3701" s="3" t="inlineStr">
        <is>
          <t>프리시젼바이오</t>
        </is>
      </c>
      <c r="G3701" s="2" t="inlineStr">
        <is>
          <t>20260310901249</t>
        </is>
      </c>
      <c r="H3701" s="8">
        <f>HYPERLINK("https://dart.fss.or.kr/dsaf001/main.do?rcpNo=20260310901249", "공시열람")</f>
        <v/>
      </c>
    </row>
    <row r="3702">
      <c r="A3702" s="2" t="inlineStr">
        <is>
          <t>2026-03-10</t>
        </is>
      </c>
      <c r="B3702" s="3" t="inlineStr">
        <is>
          <t>넥센타이어</t>
        </is>
      </c>
      <c r="C3702" s="2" t="inlineStr">
        <is>
          <t>코스피</t>
        </is>
      </c>
      <c r="D3702" s="2" t="inlineStr">
        <is>
          <t>002350</t>
        </is>
      </c>
      <c r="E3702" s="3" t="inlineStr">
        <is>
          <t xml:space="preserve">현금ㆍ현물배당결정              </t>
        </is>
      </c>
      <c r="F3702" s="3" t="inlineStr">
        <is>
          <t>넥센타이어</t>
        </is>
      </c>
      <c r="G3702" s="2" t="inlineStr">
        <is>
          <t>20260310801321</t>
        </is>
      </c>
      <c r="H3702" s="8">
        <f>HYPERLINK("https://dart.fss.or.kr/dsaf001/main.do?rcpNo=20260310801321", "공시열람")</f>
        <v/>
      </c>
    </row>
    <row r="3703">
      <c r="A3703" s="2" t="inlineStr">
        <is>
          <t>2026-03-10</t>
        </is>
      </c>
      <c r="B3703" s="3" t="inlineStr">
        <is>
          <t>휴엠앤씨</t>
        </is>
      </c>
      <c r="C3703" s="2" t="inlineStr">
        <is>
          <t>코스닥</t>
        </is>
      </c>
      <c r="D3703" s="2" t="inlineStr">
        <is>
          <t>263920</t>
        </is>
      </c>
      <c r="E3703" s="3" t="inlineStr">
        <is>
          <t>임원ㆍ주요주주특정증권등소유상황보고서</t>
        </is>
      </c>
      <c r="F3703" s="3" t="inlineStr">
        <is>
          <t>휴온스글로벌</t>
        </is>
      </c>
      <c r="G3703" s="2" t="inlineStr">
        <is>
          <t>20260310002777</t>
        </is>
      </c>
      <c r="H3703" s="8">
        <f>HYPERLINK("https://dart.fss.or.kr/dsaf001/main.do?rcpNo=20260310002777", "공시열람")</f>
        <v/>
      </c>
    </row>
    <row r="3704">
      <c r="A3704" s="2" t="inlineStr">
        <is>
          <t>2026-03-10</t>
        </is>
      </c>
      <c r="B3704" s="3" t="inlineStr">
        <is>
          <t>남성</t>
        </is>
      </c>
      <c r="C3704" s="2" t="inlineStr">
        <is>
          <t>코스피</t>
        </is>
      </c>
      <c r="D3704" s="2" t="inlineStr">
        <is>
          <t>004270</t>
        </is>
      </c>
      <c r="E3704" s="3" t="inlineStr">
        <is>
          <t>임원ㆍ주요주주특정증권등거래계획보고서</t>
        </is>
      </c>
      <c r="F3704" s="3" t="inlineStr">
        <is>
          <t>윤성호</t>
        </is>
      </c>
      <c r="G3704" s="2" t="inlineStr">
        <is>
          <t>20260310002773</t>
        </is>
      </c>
      <c r="H3704" s="8">
        <f>HYPERLINK("https://dart.fss.or.kr/dsaf001/main.do?rcpNo=20260310002773", "공시열람")</f>
        <v/>
      </c>
    </row>
    <row r="3705">
      <c r="A3705" s="2" t="inlineStr">
        <is>
          <t>2026-03-10</t>
        </is>
      </c>
      <c r="B3705" s="3" t="inlineStr">
        <is>
          <t>광주신세계</t>
        </is>
      </c>
      <c r="C3705" s="2" t="inlineStr">
        <is>
          <t>코스피</t>
        </is>
      </c>
      <c r="D3705" s="2" t="inlineStr">
        <is>
          <t>037710</t>
        </is>
      </c>
      <c r="E3705" s="3" t="inlineStr">
        <is>
          <t xml:space="preserve">영업(잠정)실적(공정공시)              </t>
        </is>
      </c>
      <c r="F3705" s="3" t="inlineStr">
        <is>
          <t>광주신세계</t>
        </is>
      </c>
      <c r="G3705" s="2" t="inlineStr">
        <is>
          <t>20260310801233</t>
        </is>
      </c>
      <c r="H3705" s="8">
        <f>HYPERLINK("https://dart.fss.or.kr/dsaf001/main.do?rcpNo=20260310801233", "공시열람")</f>
        <v/>
      </c>
    </row>
    <row r="3706">
      <c r="A3706" s="2" t="inlineStr">
        <is>
          <t>2026-03-10</t>
        </is>
      </c>
      <c r="B3706" s="3" t="inlineStr">
        <is>
          <t>산일전기</t>
        </is>
      </c>
      <c r="C3706" s="2" t="inlineStr">
        <is>
          <t>코스피</t>
        </is>
      </c>
      <c r="D3706" s="2" t="inlineStr">
        <is>
          <t>062040</t>
        </is>
      </c>
      <c r="E3706" s="3" t="inlineStr">
        <is>
          <t xml:space="preserve">[기재정정]현금ㆍ현물배당결정              </t>
        </is>
      </c>
      <c r="F3706" s="3" t="inlineStr">
        <is>
          <t>산일전기</t>
        </is>
      </c>
      <c r="G3706" s="2" t="inlineStr">
        <is>
          <t>20260310801264</t>
        </is>
      </c>
      <c r="H3706" s="8">
        <f>HYPERLINK("https://dart.fss.or.kr/dsaf001/main.do?rcpNo=20260310801264", "공시열람")</f>
        <v/>
      </c>
    </row>
    <row r="3707">
      <c r="A3707" s="2" t="inlineStr">
        <is>
          <t>2026-03-10</t>
        </is>
      </c>
      <c r="B3707" s="3" t="inlineStr">
        <is>
          <t>RFHIC</t>
        </is>
      </c>
      <c r="C3707" s="2" t="inlineStr">
        <is>
          <t>코스닥</t>
        </is>
      </c>
      <c r="D3707" s="2" t="inlineStr">
        <is>
          <t>218410</t>
        </is>
      </c>
      <c r="E3707" s="3" t="inlineStr">
        <is>
          <t>의결권대리행사권유참고서류</t>
        </is>
      </c>
      <c r="F3707" s="3" t="inlineStr">
        <is>
          <t>RFHIC</t>
        </is>
      </c>
      <c r="G3707" s="2" t="inlineStr">
        <is>
          <t>20260310002772</t>
        </is>
      </c>
      <c r="H3707" s="8">
        <f>HYPERLINK("https://dart.fss.or.kr/dsaf001/main.do?rcpNo=20260310002772", "공시열람")</f>
        <v/>
      </c>
    </row>
    <row r="3708">
      <c r="A3708" s="2" t="inlineStr">
        <is>
          <t>2026-03-10</t>
        </is>
      </c>
      <c r="B3708" s="3" t="inlineStr">
        <is>
          <t>상상인증권</t>
        </is>
      </c>
      <c r="C3708" s="2" t="inlineStr">
        <is>
          <t>코스피</t>
        </is>
      </c>
      <c r="D3708" s="2" t="inlineStr">
        <is>
          <t>001290</t>
        </is>
      </c>
      <c r="E3708" s="3" t="inlineStr">
        <is>
          <t>의결권대리행사권유참고서류</t>
        </is>
      </c>
      <c r="F3708" s="3" t="inlineStr">
        <is>
          <t>상상인증권</t>
        </is>
      </c>
      <c r="G3708" s="2" t="inlineStr">
        <is>
          <t>20260310002767</t>
        </is>
      </c>
      <c r="H3708" s="8">
        <f>HYPERLINK("https://dart.fss.or.kr/dsaf001/main.do?rcpNo=20260310002767", "공시열람")</f>
        <v/>
      </c>
    </row>
    <row r="3709">
      <c r="A3709" s="2" t="inlineStr">
        <is>
          <t>2026-03-10</t>
        </is>
      </c>
      <c r="B3709" s="3" t="inlineStr">
        <is>
          <t>넥센</t>
        </is>
      </c>
      <c r="C3709" s="2" t="inlineStr">
        <is>
          <t>코스피</t>
        </is>
      </c>
      <c r="D3709" s="2" t="inlineStr">
        <is>
          <t>005720</t>
        </is>
      </c>
      <c r="E3709" s="3" t="inlineStr">
        <is>
          <t xml:space="preserve">현금ㆍ현물배당을위한주주명부폐쇄(기준일)결정(자회사의 주요경영사항)              </t>
        </is>
      </c>
      <c r="F3709" s="3" t="inlineStr">
        <is>
          <t>넥센</t>
        </is>
      </c>
      <c r="G3709" s="2" t="inlineStr">
        <is>
          <t>20260310801247</t>
        </is>
      </c>
      <c r="H3709" s="8">
        <f>HYPERLINK("https://dart.fss.or.kr/dsaf001/main.do?rcpNo=20260310801247", "공시열람")</f>
        <v/>
      </c>
    </row>
    <row r="3710">
      <c r="A3710" s="2" t="inlineStr">
        <is>
          <t>2026-03-10</t>
        </is>
      </c>
      <c r="B3710" s="3" t="inlineStr">
        <is>
          <t>엑스플러스</t>
        </is>
      </c>
      <c r="C3710" s="2" t="inlineStr">
        <is>
          <t>코스닥</t>
        </is>
      </c>
      <c r="D3710" s="2" t="inlineStr">
        <is>
          <t>373200</t>
        </is>
      </c>
      <c r="E3710" s="3" t="inlineStr">
        <is>
          <t>의결권대리행사권유참고서류</t>
        </is>
      </c>
      <c r="F3710" s="3" t="inlineStr">
        <is>
          <t>엑스플러스</t>
        </is>
      </c>
      <c r="G3710" s="2" t="inlineStr">
        <is>
          <t>20260310002766</t>
        </is>
      </c>
      <c r="H3710" s="8">
        <f>HYPERLINK("https://dart.fss.or.kr/dsaf001/main.do?rcpNo=20260310002766", "공시열람")</f>
        <v/>
      </c>
    </row>
    <row r="3711">
      <c r="A3711" s="2" t="inlineStr">
        <is>
          <t>2026-03-10</t>
        </is>
      </c>
      <c r="B3711" s="3" t="inlineStr">
        <is>
          <t>메타케어</t>
        </is>
      </c>
      <c r="C3711" s="2" t="inlineStr">
        <is>
          <t>코스피</t>
        </is>
      </c>
      <c r="D3711" s="2" t="inlineStr">
        <is>
          <t>118000</t>
        </is>
      </c>
      <c r="E3711" s="3" t="inlineStr">
        <is>
          <t>의결권대리행사권유참고서류</t>
        </is>
      </c>
      <c r="F3711" s="3" t="inlineStr">
        <is>
          <t>메타케어</t>
        </is>
      </c>
      <c r="G3711" s="2" t="inlineStr">
        <is>
          <t>20260310002764</t>
        </is>
      </c>
      <c r="H3711" s="8">
        <f>HYPERLINK("https://dart.fss.or.kr/dsaf001/main.do?rcpNo=20260310002764", "공시열람")</f>
        <v/>
      </c>
    </row>
    <row r="3712">
      <c r="A3712" s="2" t="inlineStr">
        <is>
          <t>2026-03-10</t>
        </is>
      </c>
      <c r="B3712" s="3" t="inlineStr">
        <is>
          <t>주연테크</t>
        </is>
      </c>
      <c r="C3712" s="2" t="inlineStr">
        <is>
          <t>코스피</t>
        </is>
      </c>
      <c r="D3712" s="2" t="inlineStr">
        <is>
          <t>044380</t>
        </is>
      </c>
      <c r="E3712" s="3" t="inlineStr">
        <is>
          <t>의결권대리행사권유참고서류</t>
        </is>
      </c>
      <c r="F3712" s="3" t="inlineStr">
        <is>
          <t>주연테크</t>
        </is>
      </c>
      <c r="G3712" s="2" t="inlineStr">
        <is>
          <t>20260310002758</t>
        </is>
      </c>
      <c r="H3712" s="8">
        <f>HYPERLINK("https://dart.fss.or.kr/dsaf001/main.do?rcpNo=20260310002758", "공시열람")</f>
        <v/>
      </c>
    </row>
    <row r="3713">
      <c r="A3713" s="2" t="inlineStr">
        <is>
          <t>2026-03-10</t>
        </is>
      </c>
      <c r="B3713" s="3" t="inlineStr">
        <is>
          <t>오에스피</t>
        </is>
      </c>
      <c r="C3713" s="2" t="inlineStr">
        <is>
          <t>코스닥</t>
        </is>
      </c>
      <c r="D3713" s="2" t="inlineStr">
        <is>
          <t>368970</t>
        </is>
      </c>
      <c r="E3713" s="3" t="inlineStr">
        <is>
          <t xml:space="preserve">매출액또는손익구조30%(대규모법인은15%)이상변동              </t>
        </is>
      </c>
      <c r="F3713" s="3" t="inlineStr">
        <is>
          <t>오에스피</t>
        </is>
      </c>
      <c r="G3713" s="2" t="inlineStr">
        <is>
          <t>20260310901201</t>
        </is>
      </c>
      <c r="H3713" s="8">
        <f>HYPERLINK("https://dart.fss.or.kr/dsaf001/main.do?rcpNo=20260310901201", "공시열람")</f>
        <v/>
      </c>
    </row>
    <row r="3714">
      <c r="A3714" s="2" t="inlineStr">
        <is>
          <t>2026-03-10</t>
        </is>
      </c>
      <c r="B3714" s="3" t="inlineStr">
        <is>
          <t>디씨엠</t>
        </is>
      </c>
      <c r="C3714" s="2" t="inlineStr">
        <is>
          <t>코스피</t>
        </is>
      </c>
      <c r="D3714" s="2" t="inlineStr">
        <is>
          <t>024090</t>
        </is>
      </c>
      <c r="E3714" s="3" t="inlineStr">
        <is>
          <t xml:space="preserve">감사보고서제출              </t>
        </is>
      </c>
      <c r="F3714" s="3" t="inlineStr">
        <is>
          <t>디씨엠</t>
        </is>
      </c>
      <c r="G3714" s="2" t="inlineStr">
        <is>
          <t>20260310801202</t>
        </is>
      </c>
      <c r="H3714" s="8">
        <f>HYPERLINK("https://dart.fss.or.kr/dsaf001/main.do?rcpNo=20260310801202", "공시열람")</f>
        <v/>
      </c>
    </row>
    <row r="3715">
      <c r="A3715" s="2" t="inlineStr">
        <is>
          <t>2026-03-10</t>
        </is>
      </c>
      <c r="B3715" s="3" t="inlineStr">
        <is>
          <t>프로티아</t>
        </is>
      </c>
      <c r="C3715" s="2" t="inlineStr">
        <is>
          <t>코스닥</t>
        </is>
      </c>
      <c r="D3715" s="2" t="inlineStr">
        <is>
          <t>303360</t>
        </is>
      </c>
      <c r="E3715" s="3" t="inlineStr">
        <is>
          <t>임원ㆍ주요주주특정증권등소유상황보고서</t>
        </is>
      </c>
      <c r="F3715" s="3" t="inlineStr">
        <is>
          <t>최동섭</t>
        </is>
      </c>
      <c r="G3715" s="2" t="inlineStr">
        <is>
          <t>20260310002755</t>
        </is>
      </c>
      <c r="H3715" s="8">
        <f>HYPERLINK("https://dart.fss.or.kr/dsaf001/main.do?rcpNo=20260310002755", "공시열람")</f>
        <v/>
      </c>
    </row>
    <row r="3716">
      <c r="A3716" s="2" t="inlineStr">
        <is>
          <t>2026-03-10</t>
        </is>
      </c>
      <c r="B3716" s="3" t="inlineStr">
        <is>
          <t>오가닉티코스메틱</t>
        </is>
      </c>
      <c r="C3716" s="2" t="inlineStr">
        <is>
          <t>코스닥</t>
        </is>
      </c>
      <c r="D3716" s="2" t="inlineStr">
        <is>
          <t>900300</t>
        </is>
      </c>
      <c r="E3716" s="3" t="inlineStr">
        <is>
          <t>임원ㆍ주요주주특정증권등소유상황보고서</t>
        </is>
      </c>
      <c r="F3716" s="3" t="inlineStr">
        <is>
          <t>임국강</t>
        </is>
      </c>
      <c r="G3716" s="2" t="inlineStr">
        <is>
          <t>20260310002754</t>
        </is>
      </c>
      <c r="H3716" s="8">
        <f>HYPERLINK("https://dart.fss.or.kr/dsaf001/main.do?rcpNo=20260310002754", "공시열람")</f>
        <v/>
      </c>
    </row>
    <row r="3717">
      <c r="A3717" s="2" t="inlineStr">
        <is>
          <t>2026-03-10</t>
        </is>
      </c>
      <c r="B3717" s="3" t="inlineStr">
        <is>
          <t>롯데리츠</t>
        </is>
      </c>
      <c r="C3717" s="2" t="inlineStr">
        <is>
          <t>코스피</t>
        </is>
      </c>
      <c r="D3717" s="2" t="inlineStr">
        <is>
          <t>330590</t>
        </is>
      </c>
      <c r="E3717" s="3" t="inlineStr">
        <is>
          <t xml:space="preserve">감사보고서제출              </t>
        </is>
      </c>
      <c r="F3717" s="3" t="inlineStr">
        <is>
          <t>롯데리츠</t>
        </is>
      </c>
      <c r="G3717" s="2" t="inlineStr">
        <is>
          <t>20260310801141</t>
        </is>
      </c>
      <c r="H3717" s="8">
        <f>HYPERLINK("https://dart.fss.or.kr/dsaf001/main.do?rcpNo=20260310801141", "공시열람")</f>
        <v/>
      </c>
    </row>
    <row r="3718">
      <c r="A3718" s="2" t="inlineStr">
        <is>
          <t>2026-03-10</t>
        </is>
      </c>
      <c r="B3718" s="3" t="inlineStr">
        <is>
          <t>포니링크</t>
        </is>
      </c>
      <c r="C3718" s="2" t="inlineStr">
        <is>
          <t>코스닥</t>
        </is>
      </c>
      <c r="D3718" s="2" t="inlineStr">
        <is>
          <t>064800</t>
        </is>
      </c>
      <c r="E3718" s="3" t="inlineStr">
        <is>
          <t xml:space="preserve">매출액또는손익구조30%(대규모법인은15%)이상변동              </t>
        </is>
      </c>
      <c r="F3718" s="3" t="inlineStr">
        <is>
          <t>포니링크</t>
        </is>
      </c>
      <c r="G3718" s="2" t="inlineStr">
        <is>
          <t>20260310901155</t>
        </is>
      </c>
      <c r="H3718" s="8">
        <f>HYPERLINK("https://dart.fss.or.kr/dsaf001/main.do?rcpNo=20260310901155", "공시열람")</f>
        <v/>
      </c>
    </row>
    <row r="3719">
      <c r="A3719" s="2" t="inlineStr">
        <is>
          <t>2026-03-10 (정정: 2026-04-16)</t>
        </is>
      </c>
      <c r="B3719" s="3" t="inlineStr">
        <is>
          <t>남성</t>
        </is>
      </c>
      <c r="C3719" s="2" t="inlineStr">
        <is>
          <t>코스피</t>
        </is>
      </c>
      <c r="D3719" s="2" t="inlineStr">
        <is>
          <t>004270</t>
        </is>
      </c>
      <c r="E3719" s="3" t="inlineStr">
        <is>
          <t>임원ㆍ주요주주특정증권등거래계획보고서 (정정: 20260320) (정정: 20260416)</t>
        </is>
      </c>
      <c r="F3719" s="3" t="inlineStr">
        <is>
          <t>윤남철</t>
        </is>
      </c>
      <c r="G3719" s="2" t="inlineStr">
        <is>
          <t>20260416000539</t>
        </is>
      </c>
      <c r="H3719" s="8">
        <f>HYPERLINK("https://dart.fss.or.kr/dsaf001/main.do?rcpNo=20260416000539", "공시열람")</f>
        <v/>
      </c>
    </row>
    <row r="3720">
      <c r="A3720" s="2" t="inlineStr">
        <is>
          <t>2026-03-10</t>
        </is>
      </c>
      <c r="B3720" s="3" t="inlineStr">
        <is>
          <t>고려신용정보</t>
        </is>
      </c>
      <c r="C3720" s="2" t="inlineStr">
        <is>
          <t>코스닥</t>
        </is>
      </c>
      <c r="D3720" s="2" t="inlineStr">
        <is>
          <t>049720</t>
        </is>
      </c>
      <c r="E3720" s="3" t="inlineStr">
        <is>
          <t>기업가치제고계획(자율공시)              (2026년)</t>
        </is>
      </c>
      <c r="F3720" s="3" t="inlineStr">
        <is>
          <t>고려신용정보</t>
        </is>
      </c>
      <c r="G3720" s="2" t="inlineStr">
        <is>
          <t>20260310901225</t>
        </is>
      </c>
      <c r="H3720" s="8">
        <f>HYPERLINK("https://dart.fss.or.kr/dsaf001/main.do?rcpNo=20260310901225", "공시열람")</f>
        <v/>
      </c>
    </row>
    <row r="3721">
      <c r="A3721" s="2" t="inlineStr">
        <is>
          <t>2026-03-10</t>
        </is>
      </c>
      <c r="B3721" s="3" t="inlineStr">
        <is>
          <t>메타케어</t>
        </is>
      </c>
      <c r="C3721" s="2" t="inlineStr">
        <is>
          <t>코스피</t>
        </is>
      </c>
      <c r="D3721" s="2" t="inlineStr">
        <is>
          <t>118000</t>
        </is>
      </c>
      <c r="E3721" s="3" t="inlineStr">
        <is>
          <t>[기재정정]주요사항보고서(감자결정)</t>
        </is>
      </c>
      <c r="F3721" s="3" t="inlineStr">
        <is>
          <t>메타케어</t>
        </is>
      </c>
      <c r="G3721" s="2" t="inlineStr">
        <is>
          <t>20260310002666</t>
        </is>
      </c>
      <c r="H3721" s="8">
        <f>HYPERLINK("https://dart.fss.or.kr/dsaf001/main.do?rcpNo=20260310002666", "공시열람")</f>
        <v/>
      </c>
    </row>
    <row r="3722">
      <c r="A3722" s="2" t="inlineStr">
        <is>
          <t>2026-03-10</t>
        </is>
      </c>
      <c r="B3722" s="3" t="inlineStr">
        <is>
          <t>한진중공업홀딩스</t>
        </is>
      </c>
      <c r="C3722" s="2" t="inlineStr">
        <is>
          <t>코스피</t>
        </is>
      </c>
      <c r="D3722" s="2" t="inlineStr">
        <is>
          <t>003480</t>
        </is>
      </c>
      <c r="E3722" s="3" t="inlineStr">
        <is>
          <t xml:space="preserve">현금ㆍ현물배당결정(자회사의 주요경영사항)              </t>
        </is>
      </c>
      <c r="F3722" s="3" t="inlineStr">
        <is>
          <t>한진중공업홀딩스</t>
        </is>
      </c>
      <c r="G3722" s="2" t="inlineStr">
        <is>
          <t>20260310801261</t>
        </is>
      </c>
      <c r="H3722" s="8">
        <f>HYPERLINK("https://dart.fss.or.kr/dsaf001/main.do?rcpNo=20260310801261", "공시열람")</f>
        <v/>
      </c>
    </row>
    <row r="3723">
      <c r="A3723" s="2" t="inlineStr">
        <is>
          <t>2026-03-10</t>
        </is>
      </c>
      <c r="B3723" s="3" t="inlineStr">
        <is>
          <t>포니링크</t>
        </is>
      </c>
      <c r="C3723" s="2" t="inlineStr">
        <is>
          <t>코스닥</t>
        </is>
      </c>
      <c r="D3723" s="2" t="inlineStr">
        <is>
          <t>064800</t>
        </is>
      </c>
      <c r="E3723" s="3" t="inlineStr">
        <is>
          <t xml:space="preserve">주식병합결정              </t>
        </is>
      </c>
      <c r="F3723" s="3" t="inlineStr">
        <is>
          <t>포니링크</t>
        </is>
      </c>
      <c r="G3723" s="2" t="inlineStr">
        <is>
          <t>20260310901256</t>
        </is>
      </c>
      <c r="H3723" s="8">
        <f>HYPERLINK("https://dart.fss.or.kr/dsaf001/main.do?rcpNo=20260310901256", "공시열람")</f>
        <v/>
      </c>
    </row>
    <row r="3724">
      <c r="A3724" s="2" t="inlineStr">
        <is>
          <t>2026-03-10</t>
        </is>
      </c>
      <c r="B3724" s="3" t="inlineStr">
        <is>
          <t>신한서부티엔디리츠</t>
        </is>
      </c>
      <c r="C3724" s="2" t="inlineStr">
        <is>
          <t>코스피</t>
        </is>
      </c>
      <c r="D3724" s="2" t="inlineStr">
        <is>
          <t>404990</t>
        </is>
      </c>
      <c r="E3724" s="3" t="inlineStr">
        <is>
          <t xml:space="preserve">감사보고서제출              </t>
        </is>
      </c>
      <c r="F3724" s="3" t="inlineStr">
        <is>
          <t>신한서부티엔디리츠</t>
        </is>
      </c>
      <c r="G3724" s="2" t="inlineStr">
        <is>
          <t>20260310801045</t>
        </is>
      </c>
      <c r="H3724" s="8">
        <f>HYPERLINK("https://dart.fss.or.kr/dsaf001/main.do?rcpNo=20260310801045", "공시열람")</f>
        <v/>
      </c>
    </row>
    <row r="3725">
      <c r="A3725" s="2" t="inlineStr">
        <is>
          <t>2026-03-10</t>
        </is>
      </c>
      <c r="B3725" s="3" t="inlineStr">
        <is>
          <t>한화손해보험</t>
        </is>
      </c>
      <c r="C3725" s="2" t="inlineStr">
        <is>
          <t>코스피</t>
        </is>
      </c>
      <c r="D3725" s="2" t="inlineStr">
        <is>
          <t>000370</t>
        </is>
      </c>
      <c r="E3725" s="3" t="inlineStr">
        <is>
          <t xml:space="preserve">감사보고서제출              </t>
        </is>
      </c>
      <c r="F3725" s="3" t="inlineStr">
        <is>
          <t>한화손해보험</t>
        </is>
      </c>
      <c r="G3725" s="2" t="inlineStr">
        <is>
          <t>20260310801152</t>
        </is>
      </c>
      <c r="H3725" s="8">
        <f>HYPERLINK("https://dart.fss.or.kr/dsaf001/main.do?rcpNo=20260310801152", "공시열람")</f>
        <v/>
      </c>
    </row>
    <row r="3726">
      <c r="A3726" s="2" t="inlineStr">
        <is>
          <t>2026-03-10</t>
        </is>
      </c>
      <c r="B3726" s="3" t="inlineStr">
        <is>
          <t>빌리언스</t>
        </is>
      </c>
      <c r="C3726" s="2" t="inlineStr">
        <is>
          <t>코스닥</t>
        </is>
      </c>
      <c r="D3726" s="2" t="inlineStr">
        <is>
          <t>044480</t>
        </is>
      </c>
      <c r="E3726" s="3" t="inlineStr">
        <is>
          <t xml:space="preserve">전환가액의조정              </t>
        </is>
      </c>
      <c r="F3726" s="3" t="inlineStr">
        <is>
          <t>빌리언스</t>
        </is>
      </c>
      <c r="G3726" s="2" t="inlineStr">
        <is>
          <t>20260310901248</t>
        </is>
      </c>
      <c r="H3726" s="8">
        <f>HYPERLINK("https://dart.fss.or.kr/dsaf001/main.do?rcpNo=20260310901248", "공시열람")</f>
        <v/>
      </c>
    </row>
    <row r="3727">
      <c r="A3727" s="2" t="inlineStr">
        <is>
          <t>2026-03-10</t>
        </is>
      </c>
      <c r="B3727" s="3" t="inlineStr">
        <is>
          <t>넥센타이어</t>
        </is>
      </c>
      <c r="C3727" s="2" t="inlineStr">
        <is>
          <t>코스피</t>
        </is>
      </c>
      <c r="D3727" s="2" t="inlineStr">
        <is>
          <t>002350</t>
        </is>
      </c>
      <c r="E3727" s="3" t="inlineStr">
        <is>
          <t xml:space="preserve">현금ㆍ현물배당을위한주주명부폐쇄(기준일)결정              </t>
        </is>
      </c>
      <c r="F3727" s="3" t="inlineStr">
        <is>
          <t>넥센타이어</t>
        </is>
      </c>
      <c r="G3727" s="2" t="inlineStr">
        <is>
          <t>20260310801246</t>
        </is>
      </c>
      <c r="H3727" s="8">
        <f>HYPERLINK("https://dart.fss.or.kr/dsaf001/main.do?rcpNo=20260310801246", "공시열람")</f>
        <v/>
      </c>
    </row>
    <row r="3728">
      <c r="A3728" s="2" t="inlineStr">
        <is>
          <t>2026-03-10</t>
        </is>
      </c>
      <c r="B3728" s="3" t="inlineStr">
        <is>
          <t>삼지전자</t>
        </is>
      </c>
      <c r="C3728" s="2" t="inlineStr">
        <is>
          <t>코스닥</t>
        </is>
      </c>
      <c r="D3728" s="2" t="inlineStr">
        <is>
          <t>037460</t>
        </is>
      </c>
      <c r="E3728" s="3" t="inlineStr">
        <is>
          <t>의결권대리행사권유참고서류</t>
        </is>
      </c>
      <c r="F3728" s="3" t="inlineStr">
        <is>
          <t>삼지전자</t>
        </is>
      </c>
      <c r="G3728" s="2" t="inlineStr">
        <is>
          <t>20260310002745</t>
        </is>
      </c>
      <c r="H3728" s="8">
        <f>HYPERLINK("https://dart.fss.or.kr/dsaf001/main.do?rcpNo=20260310002745", "공시열람")</f>
        <v/>
      </c>
    </row>
    <row r="3729">
      <c r="A3729" s="2" t="inlineStr">
        <is>
          <t>2026-03-10</t>
        </is>
      </c>
      <c r="B3729" s="3" t="inlineStr">
        <is>
          <t>웰크론</t>
        </is>
      </c>
      <c r="C3729" s="2" t="inlineStr">
        <is>
          <t>코스닥</t>
        </is>
      </c>
      <c r="D3729" s="2" t="inlineStr">
        <is>
          <t>065950</t>
        </is>
      </c>
      <c r="E3729" s="3" t="inlineStr">
        <is>
          <t>임원ㆍ주요주주특정증권등소유상황보고서</t>
        </is>
      </c>
      <c r="F3729" s="3" t="inlineStr">
        <is>
          <t>신정재</t>
        </is>
      </c>
      <c r="G3729" s="2" t="inlineStr">
        <is>
          <t>20260310002740</t>
        </is>
      </c>
      <c r="H3729" s="8">
        <f>HYPERLINK("https://dart.fss.or.kr/dsaf001/main.do?rcpNo=20260310002740", "공시열람")</f>
        <v/>
      </c>
    </row>
    <row r="3730">
      <c r="A3730" s="2" t="inlineStr">
        <is>
          <t>2026-03-10</t>
        </is>
      </c>
      <c r="B3730" s="3" t="inlineStr">
        <is>
          <t>사람인</t>
        </is>
      </c>
      <c r="C3730" s="2" t="inlineStr">
        <is>
          <t>코스닥</t>
        </is>
      </c>
      <c r="D3730" s="2" t="inlineStr">
        <is>
          <t>143240</t>
        </is>
      </c>
      <c r="E3730" s="3" t="inlineStr">
        <is>
          <t xml:space="preserve">현금ㆍ현물배당결정              </t>
        </is>
      </c>
      <c r="F3730" s="3" t="inlineStr">
        <is>
          <t>사람인</t>
        </is>
      </c>
      <c r="G3730" s="2" t="inlineStr">
        <is>
          <t>20260310901130</t>
        </is>
      </c>
      <c r="H3730" s="8">
        <f>HYPERLINK("https://dart.fss.or.kr/dsaf001/main.do?rcpNo=20260310901130", "공시열람")</f>
        <v/>
      </c>
    </row>
    <row r="3731">
      <c r="A3731" s="2" t="inlineStr">
        <is>
          <t>2026-03-10</t>
        </is>
      </c>
      <c r="B3731" s="3" t="inlineStr">
        <is>
          <t>한컴위드</t>
        </is>
      </c>
      <c r="C3731" s="2" t="inlineStr">
        <is>
          <t>코스닥</t>
        </is>
      </c>
      <c r="D3731" s="2" t="inlineStr">
        <is>
          <t>054920</t>
        </is>
      </c>
      <c r="E3731" s="3" t="inlineStr">
        <is>
          <t>의결권대리행사권유참고서류</t>
        </is>
      </c>
      <c r="F3731" s="3" t="inlineStr">
        <is>
          <t>한컴위드</t>
        </is>
      </c>
      <c r="G3731" s="2" t="inlineStr">
        <is>
          <t>20260310002736</t>
        </is>
      </c>
      <c r="H3731" s="8">
        <f>HYPERLINK("https://dart.fss.or.kr/dsaf001/main.do?rcpNo=20260310002736", "공시열람")</f>
        <v/>
      </c>
    </row>
    <row r="3732">
      <c r="A3732" s="2" t="inlineStr">
        <is>
          <t>2026-03-10</t>
        </is>
      </c>
      <c r="B3732" s="3" t="inlineStr">
        <is>
          <t>산일전기</t>
        </is>
      </c>
      <c r="C3732" s="2" t="inlineStr">
        <is>
          <t>코스피</t>
        </is>
      </c>
      <c r="D3732" s="2" t="inlineStr">
        <is>
          <t>062040</t>
        </is>
      </c>
      <c r="E3732" s="3" t="inlineStr">
        <is>
          <t xml:space="preserve">[기재정정]영업(잠정)실적(공정공시)              </t>
        </is>
      </c>
      <c r="F3732" s="3" t="inlineStr">
        <is>
          <t>산일전기</t>
        </is>
      </c>
      <c r="G3732" s="2" t="inlineStr">
        <is>
          <t>20260310801163</t>
        </is>
      </c>
      <c r="H3732" s="8">
        <f>HYPERLINK("https://dart.fss.or.kr/dsaf001/main.do?rcpNo=20260310801163", "공시열람")</f>
        <v/>
      </c>
    </row>
    <row r="3733">
      <c r="A3733" s="2" t="inlineStr">
        <is>
          <t>2026-03-10</t>
        </is>
      </c>
      <c r="B3733" s="3" t="inlineStr">
        <is>
          <t>세종텔레콤</t>
        </is>
      </c>
      <c r="C3733" s="2" t="inlineStr">
        <is>
          <t>코스닥</t>
        </is>
      </c>
      <c r="D3733" s="2" t="inlineStr">
        <is>
          <t>036630</t>
        </is>
      </c>
      <c r="E3733" s="3" t="inlineStr">
        <is>
          <t>자기주식처분결과보고서</t>
        </is>
      </c>
      <c r="F3733" s="3" t="inlineStr">
        <is>
          <t>세종텔레콤</t>
        </is>
      </c>
      <c r="G3733" s="2" t="inlineStr">
        <is>
          <t>20260310002735</t>
        </is>
      </c>
      <c r="H3733" s="8">
        <f>HYPERLINK("https://dart.fss.or.kr/dsaf001/main.do?rcpNo=20260310002735", "공시열람")</f>
        <v/>
      </c>
    </row>
    <row r="3734">
      <c r="A3734" s="2" t="inlineStr">
        <is>
          <t>2026-03-10</t>
        </is>
      </c>
      <c r="B3734" s="3" t="inlineStr">
        <is>
          <t>포톤</t>
        </is>
      </c>
      <c r="C3734" s="2" t="inlineStr">
        <is>
          <t>코스닥</t>
        </is>
      </c>
      <c r="D3734" s="2" t="inlineStr">
        <is>
          <t>208710</t>
        </is>
      </c>
      <c r="E3734" s="3" t="inlineStr">
        <is>
          <t>의결권대리행사권유참고서류</t>
        </is>
      </c>
      <c r="F3734" s="3" t="inlineStr">
        <is>
          <t>포톤</t>
        </is>
      </c>
      <c r="G3734" s="2" t="inlineStr">
        <is>
          <t>20260310002728</t>
        </is>
      </c>
      <c r="H3734" s="8">
        <f>HYPERLINK("https://dart.fss.or.kr/dsaf001/main.do?rcpNo=20260310002728", "공시열람")</f>
        <v/>
      </c>
    </row>
    <row r="3735">
      <c r="A3735" s="2" t="inlineStr">
        <is>
          <t>2026-03-10</t>
        </is>
      </c>
      <c r="B3735" s="3" t="inlineStr">
        <is>
          <t>미원홀딩스</t>
        </is>
      </c>
      <c r="C3735" s="2" t="inlineStr">
        <is>
          <t>코스피</t>
        </is>
      </c>
      <c r="D3735" s="2" t="inlineStr">
        <is>
          <t>107590</t>
        </is>
      </c>
      <c r="E3735" s="3" t="inlineStr">
        <is>
          <t xml:space="preserve">감사보고서제출(자회사의 주요경영사항)              </t>
        </is>
      </c>
      <c r="F3735" s="3" t="inlineStr">
        <is>
          <t>미원홀딩스</t>
        </is>
      </c>
      <c r="G3735" s="2" t="inlineStr">
        <is>
          <t>20260310801191</t>
        </is>
      </c>
      <c r="H3735" s="8">
        <f>HYPERLINK("https://dart.fss.or.kr/dsaf001/main.do?rcpNo=20260310801191", "공시열람")</f>
        <v/>
      </c>
    </row>
    <row r="3736">
      <c r="A3736" s="2" t="inlineStr">
        <is>
          <t>2026-03-10</t>
        </is>
      </c>
      <c r="B3736" s="3" t="inlineStr">
        <is>
          <t>희림</t>
        </is>
      </c>
      <c r="C3736" s="2" t="inlineStr">
        <is>
          <t>코스닥</t>
        </is>
      </c>
      <c r="D3736" s="2" t="inlineStr">
        <is>
          <t>037440</t>
        </is>
      </c>
      <c r="E3736" s="3" t="inlineStr">
        <is>
          <t>임원ㆍ주요주주특정증권등소유상황보고서</t>
        </is>
      </c>
      <c r="F3736" s="3" t="inlineStr">
        <is>
          <t>정영균</t>
        </is>
      </c>
      <c r="G3736" s="2" t="inlineStr">
        <is>
          <t>20260310002721</t>
        </is>
      </c>
      <c r="H3736" s="8">
        <f>HYPERLINK("https://dart.fss.or.kr/dsaf001/main.do?rcpNo=20260310002721", "공시열람")</f>
        <v/>
      </c>
    </row>
    <row r="3737">
      <c r="A3737" s="2" t="inlineStr">
        <is>
          <t>2026-03-10</t>
        </is>
      </c>
      <c r="B3737" s="3" t="inlineStr">
        <is>
          <t>인바이오</t>
        </is>
      </c>
      <c r="C3737" s="2" t="inlineStr">
        <is>
          <t>코스닥</t>
        </is>
      </c>
      <c r="D3737" s="2" t="inlineStr">
        <is>
          <t>352940</t>
        </is>
      </c>
      <c r="E3737" s="3" t="inlineStr">
        <is>
          <t>임원ㆍ주요주주특정증권등소유상황보고서</t>
        </is>
      </c>
      <c r="F3737" s="3" t="inlineStr">
        <is>
          <t>조인선</t>
        </is>
      </c>
      <c r="G3737" s="2" t="inlineStr">
        <is>
          <t>20260310002718</t>
        </is>
      </c>
      <c r="H3737" s="8">
        <f>HYPERLINK("https://dart.fss.or.kr/dsaf001/main.do?rcpNo=20260310002718", "공시열람")</f>
        <v/>
      </c>
    </row>
    <row r="3738">
      <c r="A3738" s="2" t="inlineStr">
        <is>
          <t>2026-03-10</t>
        </is>
      </c>
      <c r="B3738" s="3" t="inlineStr">
        <is>
          <t>KB제33호스팩</t>
        </is>
      </c>
      <c r="C3738" s="2" t="inlineStr">
        <is>
          <t>코스닥</t>
        </is>
      </c>
      <c r="D3738" s="2" t="inlineStr">
        <is>
          <t>0072Z0</t>
        </is>
      </c>
      <c r="E3738" s="3" t="inlineStr">
        <is>
          <t xml:space="preserve">감사보고서제출              </t>
        </is>
      </c>
      <c r="F3738" s="3" t="inlineStr">
        <is>
          <t>KB제33호스팩</t>
        </is>
      </c>
      <c r="G3738" s="2" t="inlineStr">
        <is>
          <t>20260310901132</t>
        </is>
      </c>
      <c r="H3738" s="8">
        <f>HYPERLINK("https://dart.fss.or.kr/dsaf001/main.do?rcpNo=20260310901132", "공시열람")</f>
        <v/>
      </c>
    </row>
    <row r="3739">
      <c r="A3739" s="2" t="inlineStr">
        <is>
          <t>2026-03-10</t>
        </is>
      </c>
      <c r="B3739" s="3" t="inlineStr">
        <is>
          <t>누리플렉스</t>
        </is>
      </c>
      <c r="C3739" s="2" t="inlineStr">
        <is>
          <t>코스닥</t>
        </is>
      </c>
      <c r="D3739" s="2" t="inlineStr">
        <is>
          <t>040160</t>
        </is>
      </c>
      <c r="E3739" s="3" t="inlineStr">
        <is>
          <t>의결권대리행사권유참고서류</t>
        </is>
      </c>
      <c r="F3739" s="3" t="inlineStr">
        <is>
          <t>누리플렉스</t>
        </is>
      </c>
      <c r="G3739" s="2" t="inlineStr">
        <is>
          <t>20260310002716</t>
        </is>
      </c>
      <c r="H3739" s="8">
        <f>HYPERLINK("https://dart.fss.or.kr/dsaf001/main.do?rcpNo=20260310002716", "공시열람")</f>
        <v/>
      </c>
    </row>
    <row r="3740">
      <c r="A3740" s="2" t="inlineStr">
        <is>
          <t>2026-03-10</t>
        </is>
      </c>
      <c r="B3740" s="3" t="inlineStr">
        <is>
          <t>미원에스씨</t>
        </is>
      </c>
      <c r="C3740" s="2" t="inlineStr">
        <is>
          <t>코스피</t>
        </is>
      </c>
      <c r="D3740" s="2" t="inlineStr">
        <is>
          <t>268280</t>
        </is>
      </c>
      <c r="E3740" s="3" t="inlineStr">
        <is>
          <t xml:space="preserve">감사보고서제출              </t>
        </is>
      </c>
      <c r="F3740" s="3" t="inlineStr">
        <is>
          <t>미원에스씨</t>
        </is>
      </c>
      <c r="G3740" s="2" t="inlineStr">
        <is>
          <t>20260310801033</t>
        </is>
      </c>
      <c r="H3740" s="8">
        <f>HYPERLINK("https://dart.fss.or.kr/dsaf001/main.do?rcpNo=20260310801033", "공시열람")</f>
        <v/>
      </c>
    </row>
    <row r="3741">
      <c r="A3741" s="2" t="inlineStr">
        <is>
          <t>2026-03-10</t>
        </is>
      </c>
      <c r="B3741" s="3" t="inlineStr">
        <is>
          <t>텔레칩스</t>
        </is>
      </c>
      <c r="C3741" s="2" t="inlineStr">
        <is>
          <t>코스닥</t>
        </is>
      </c>
      <c r="D3741" s="2" t="inlineStr">
        <is>
          <t>054450</t>
        </is>
      </c>
      <c r="E3741" s="3" t="inlineStr">
        <is>
          <t>의결권대리행사권유참고서류</t>
        </is>
      </c>
      <c r="F3741" s="3" t="inlineStr">
        <is>
          <t>텔레칩스</t>
        </is>
      </c>
      <c r="G3741" s="2" t="inlineStr">
        <is>
          <t>20260310002707</t>
        </is>
      </c>
      <c r="H3741" s="8">
        <f>HYPERLINK("https://dart.fss.or.kr/dsaf001/main.do?rcpNo=20260310002707", "공시열람")</f>
        <v/>
      </c>
    </row>
    <row r="3742">
      <c r="A3742" s="2" t="inlineStr">
        <is>
          <t>2026-03-10</t>
        </is>
      </c>
      <c r="B3742" s="3" t="inlineStr">
        <is>
          <t>한국전력공사</t>
        </is>
      </c>
      <c r="C3742" s="2" t="inlineStr">
        <is>
          <t>코스피</t>
        </is>
      </c>
      <c r="D3742" s="2" t="inlineStr">
        <is>
          <t>015760</t>
        </is>
      </c>
      <c r="E3742" s="3" t="inlineStr">
        <is>
          <t xml:space="preserve">감사보고서제출              </t>
        </is>
      </c>
      <c r="F3742" s="3" t="inlineStr">
        <is>
          <t>한국전력공사</t>
        </is>
      </c>
      <c r="G3742" s="2" t="inlineStr">
        <is>
          <t>20260310801077</t>
        </is>
      </c>
      <c r="H3742" s="8">
        <f>HYPERLINK("https://dart.fss.or.kr/dsaf001/main.do?rcpNo=20260310801077", "공시열람")</f>
        <v/>
      </c>
    </row>
    <row r="3743">
      <c r="A3743" s="2" t="inlineStr">
        <is>
          <t>2026-03-10</t>
        </is>
      </c>
      <c r="B3743" s="3" t="inlineStr">
        <is>
          <t>리메드</t>
        </is>
      </c>
      <c r="C3743" s="2" t="inlineStr">
        <is>
          <t>코스닥</t>
        </is>
      </c>
      <c r="D3743" s="2" t="inlineStr">
        <is>
          <t>302550</t>
        </is>
      </c>
      <c r="E3743" s="3" t="inlineStr">
        <is>
          <t>의결권대리행사권유참고서류</t>
        </is>
      </c>
      <c r="F3743" s="3" t="inlineStr">
        <is>
          <t>리메드</t>
        </is>
      </c>
      <c r="G3743" s="2" t="inlineStr">
        <is>
          <t>20260310002706</t>
        </is>
      </c>
      <c r="H3743" s="8">
        <f>HYPERLINK("https://dart.fss.or.kr/dsaf001/main.do?rcpNo=20260310002706", "공시열람")</f>
        <v/>
      </c>
    </row>
    <row r="3744">
      <c r="A3744" s="2" t="inlineStr">
        <is>
          <t>2026-03-10</t>
        </is>
      </c>
      <c r="B3744" s="3" t="inlineStr">
        <is>
          <t>승일</t>
        </is>
      </c>
      <c r="C3744" s="2" t="inlineStr">
        <is>
          <t>코스닥</t>
        </is>
      </c>
      <c r="D3744" s="2" t="inlineStr">
        <is>
          <t>049830</t>
        </is>
      </c>
      <c r="E3744" s="3" t="inlineStr">
        <is>
          <t>기업가치제고계획(자율공시)              (2026년 주식회사 승일 기업가치 제고 계획)</t>
        </is>
      </c>
      <c r="F3744" s="3" t="inlineStr">
        <is>
          <t>승일</t>
        </is>
      </c>
      <c r="G3744" s="2" t="inlineStr">
        <is>
          <t>20260310901028</t>
        </is>
      </c>
      <c r="H3744" s="8">
        <f>HYPERLINK("https://dart.fss.or.kr/dsaf001/main.do?rcpNo=20260310901028", "공시열람")</f>
        <v/>
      </c>
    </row>
    <row r="3745">
      <c r="A3745" s="2" t="inlineStr">
        <is>
          <t>2026-03-10</t>
        </is>
      </c>
      <c r="B3745" s="3" t="inlineStr">
        <is>
          <t>쏘카</t>
        </is>
      </c>
      <c r="C3745" s="2" t="inlineStr">
        <is>
          <t>코스피</t>
        </is>
      </c>
      <c r="D3745" s="2" t="inlineStr">
        <is>
          <t>403550</t>
        </is>
      </c>
      <c r="E3745" s="3" t="inlineStr">
        <is>
          <t>임원ㆍ주요주주특정증권등소유상황보고서</t>
        </is>
      </c>
      <c r="F3745" s="3" t="inlineStr">
        <is>
          <t>이재웅</t>
        </is>
      </c>
      <c r="G3745" s="2" t="inlineStr">
        <is>
          <t>20260310002705</t>
        </is>
      </c>
      <c r="H3745" s="8">
        <f>HYPERLINK("https://dart.fss.or.kr/dsaf001/main.do?rcpNo=20260310002705", "공시열람")</f>
        <v/>
      </c>
    </row>
    <row r="3746">
      <c r="A3746" s="2" t="inlineStr">
        <is>
          <t>2026-03-10</t>
        </is>
      </c>
      <c r="B3746" s="3" t="inlineStr">
        <is>
          <t>인티큐브</t>
        </is>
      </c>
      <c r="C3746" s="2" t="inlineStr">
        <is>
          <t>코스닥</t>
        </is>
      </c>
      <c r="D3746" s="2" t="inlineStr">
        <is>
          <t>070590</t>
        </is>
      </c>
      <c r="E3746" s="3" t="inlineStr">
        <is>
          <t>임원ㆍ주요주주특정증권등소유상황보고서</t>
        </is>
      </c>
      <c r="F3746" s="3" t="inlineStr">
        <is>
          <t>한솔홀딩스</t>
        </is>
      </c>
      <c r="G3746" s="2" t="inlineStr">
        <is>
          <t>20260310002701</t>
        </is>
      </c>
      <c r="H3746" s="8">
        <f>HYPERLINK("https://dart.fss.or.kr/dsaf001/main.do?rcpNo=20260310002701", "공시열람")</f>
        <v/>
      </c>
    </row>
    <row r="3747">
      <c r="A3747" s="2" t="inlineStr">
        <is>
          <t>2026-03-10</t>
        </is>
      </c>
      <c r="B3747" s="3" t="inlineStr">
        <is>
          <t>DKME</t>
        </is>
      </c>
      <c r="C3747" s="2" t="inlineStr">
        <is>
          <t>코스피</t>
        </is>
      </c>
      <c r="D3747" s="2" t="inlineStr">
        <is>
          <t>015590</t>
        </is>
      </c>
      <c r="E3747" s="3" t="inlineStr">
        <is>
          <t>기타시장안내              (개선기간 종료 및 향후 절차 안내)</t>
        </is>
      </c>
      <c r="F3747" s="3" t="inlineStr">
        <is>
          <t>유가증권시장본부</t>
        </is>
      </c>
      <c r="G3747" s="2" t="inlineStr">
        <is>
          <t>20260310801118</t>
        </is>
      </c>
      <c r="H3747" s="8">
        <f>HYPERLINK("https://dart.fss.or.kr/dsaf001/main.do?rcpNo=20260310801118", "공시열람")</f>
        <v/>
      </c>
    </row>
    <row r="3748">
      <c r="A3748" s="2" t="inlineStr">
        <is>
          <t>2026-03-10</t>
        </is>
      </c>
      <c r="B3748" s="3" t="inlineStr">
        <is>
          <t>심텍</t>
        </is>
      </c>
      <c r="C3748" s="2" t="inlineStr">
        <is>
          <t>코스닥</t>
        </is>
      </c>
      <c r="D3748" s="2" t="inlineStr">
        <is>
          <t>222800</t>
        </is>
      </c>
      <c r="E3748" s="3" t="inlineStr">
        <is>
          <t>의결권대리행사권유참고서류</t>
        </is>
      </c>
      <c r="F3748" s="3" t="inlineStr">
        <is>
          <t>심텍</t>
        </is>
      </c>
      <c r="G3748" s="2" t="inlineStr">
        <is>
          <t>20260310002694</t>
        </is>
      </c>
      <c r="H3748" s="8">
        <f>HYPERLINK("https://dart.fss.or.kr/dsaf001/main.do?rcpNo=20260310002694", "공시열람")</f>
        <v/>
      </c>
    </row>
    <row r="3749">
      <c r="A3749" s="2" t="inlineStr">
        <is>
          <t>2026-03-10</t>
        </is>
      </c>
      <c r="B3749" s="3" t="inlineStr">
        <is>
          <t>오션스바이오</t>
        </is>
      </c>
      <c r="C3749" s="2" t="inlineStr">
        <is>
          <t>코넥스</t>
        </is>
      </c>
      <c r="D3749" s="2" t="inlineStr">
        <is>
          <t>332190</t>
        </is>
      </c>
      <c r="E3749" s="3" t="inlineStr">
        <is>
          <t xml:space="preserve">감사보고서제출              </t>
        </is>
      </c>
      <c r="F3749" s="3" t="inlineStr">
        <is>
          <t>오션스바이오</t>
        </is>
      </c>
      <c r="G3749" s="2" t="inlineStr">
        <is>
          <t>20260310601060</t>
        </is>
      </c>
      <c r="H3749" s="8">
        <f>HYPERLINK("https://dart.fss.or.kr/dsaf001/main.do?rcpNo=20260310601060", "공시열람")</f>
        <v/>
      </c>
    </row>
    <row r="3750">
      <c r="A3750" s="2" t="inlineStr">
        <is>
          <t>2026-03-10</t>
        </is>
      </c>
      <c r="B3750" s="3" t="inlineStr">
        <is>
          <t>신세계</t>
        </is>
      </c>
      <c r="C3750" s="2" t="inlineStr">
        <is>
          <t>코스피</t>
        </is>
      </c>
      <c r="D3750" s="2" t="inlineStr">
        <is>
          <t>004170</t>
        </is>
      </c>
      <c r="E3750" s="3" t="inlineStr">
        <is>
          <t xml:space="preserve">영업(잠정)실적(공정공시)              </t>
        </is>
      </c>
      <c r="F3750" s="3" t="inlineStr">
        <is>
          <t>신세계</t>
        </is>
      </c>
      <c r="G3750" s="2" t="inlineStr">
        <is>
          <t>20260310801002</t>
        </is>
      </c>
      <c r="H3750" s="8">
        <f>HYPERLINK("https://dart.fss.or.kr/dsaf001/main.do?rcpNo=20260310801002", "공시열람")</f>
        <v/>
      </c>
    </row>
    <row r="3751">
      <c r="A3751" s="2" t="inlineStr">
        <is>
          <t>2026-03-10</t>
        </is>
      </c>
      <c r="B3751" s="3" t="inlineStr">
        <is>
          <t>이지트로닉스</t>
        </is>
      </c>
      <c r="C3751" s="2" t="inlineStr">
        <is>
          <t>코스닥</t>
        </is>
      </c>
      <c r="D3751" s="2" t="inlineStr">
        <is>
          <t>377330</t>
        </is>
      </c>
      <c r="E3751" s="3" t="inlineStr">
        <is>
          <t>임원ㆍ주요주주특정증권등소유상황보고서</t>
        </is>
      </c>
      <c r="F3751" s="3" t="inlineStr">
        <is>
          <t>강찬호</t>
        </is>
      </c>
      <c r="G3751" s="2" t="inlineStr">
        <is>
          <t>20260310002689</t>
        </is>
      </c>
      <c r="H3751" s="8">
        <f>HYPERLINK("https://dart.fss.or.kr/dsaf001/main.do?rcpNo=20260310002689", "공시열람")</f>
        <v/>
      </c>
    </row>
    <row r="3752">
      <c r="A3752" s="2" t="inlineStr">
        <is>
          <t>2026-03-10</t>
        </is>
      </c>
      <c r="B3752" s="3" t="inlineStr">
        <is>
          <t>삼성증권</t>
        </is>
      </c>
      <c r="C3752" s="2" t="inlineStr">
        <is>
          <t>코스피</t>
        </is>
      </c>
      <c r="D3752" s="2" t="inlineStr">
        <is>
          <t>016360</t>
        </is>
      </c>
      <c r="E3752" s="3" t="inlineStr">
        <is>
          <t>증권발행실적보고서</t>
        </is>
      </c>
      <c r="F3752" s="3" t="inlineStr">
        <is>
          <t>삼성증권</t>
        </is>
      </c>
      <c r="G3752" s="2" t="inlineStr">
        <is>
          <t>20260310002685</t>
        </is>
      </c>
      <c r="H3752" s="8">
        <f>HYPERLINK("https://dart.fss.or.kr/dsaf001/main.do?rcpNo=20260310002685", "공시열람")</f>
        <v/>
      </c>
    </row>
    <row r="3753">
      <c r="A3753" s="2" t="inlineStr">
        <is>
          <t>2026-03-10 (정정: 2026-03-10)</t>
        </is>
      </c>
      <c r="B3753" s="3" t="inlineStr">
        <is>
          <t>엑스플러스</t>
        </is>
      </c>
      <c r="C3753" s="2" t="inlineStr">
        <is>
          <t>코스닥</t>
        </is>
      </c>
      <c r="D3753" s="2" t="inlineStr">
        <is>
          <t>373200</t>
        </is>
      </c>
      <c r="E3753" s="3" t="inlineStr">
        <is>
          <t>주식병합결정               (정정: 20260310)</t>
        </is>
      </c>
      <c r="F3753" s="3" t="inlineStr">
        <is>
          <t>엑스플러스</t>
        </is>
      </c>
      <c r="G3753" s="2" t="inlineStr">
        <is>
          <t>20260310901051</t>
        </is>
      </c>
      <c r="H3753" s="8">
        <f>HYPERLINK("https://dart.fss.or.kr/dsaf001/main.do?rcpNo=20260310901051", "공시열람")</f>
        <v/>
      </c>
    </row>
    <row r="3754">
      <c r="A3754" s="2" t="inlineStr">
        <is>
          <t>2026-03-10</t>
        </is>
      </c>
      <c r="B3754" s="3" t="inlineStr">
        <is>
          <t>삼성증권</t>
        </is>
      </c>
      <c r="C3754" s="2" t="inlineStr">
        <is>
          <t>코스피</t>
        </is>
      </c>
      <c r="D3754" s="2" t="inlineStr">
        <is>
          <t>016360</t>
        </is>
      </c>
      <c r="E3754" s="3" t="inlineStr">
        <is>
          <t>증권발행실적보고서</t>
        </is>
      </c>
      <c r="F3754" s="3" t="inlineStr">
        <is>
          <t>삼성증권</t>
        </is>
      </c>
      <c r="G3754" s="2" t="inlineStr">
        <is>
          <t>20260310002677</t>
        </is>
      </c>
      <c r="H3754" s="8">
        <f>HYPERLINK("https://dart.fss.or.kr/dsaf001/main.do?rcpNo=20260310002677", "공시열람")</f>
        <v/>
      </c>
    </row>
    <row r="3755">
      <c r="A3755" s="2" t="inlineStr">
        <is>
          <t>2026-03-10</t>
        </is>
      </c>
      <c r="B3755" s="3" t="inlineStr">
        <is>
          <t>현대글로비스</t>
        </is>
      </c>
      <c r="C3755" s="2" t="inlineStr">
        <is>
          <t>코스피</t>
        </is>
      </c>
      <c r="D3755" s="2" t="inlineStr">
        <is>
          <t>086280</t>
        </is>
      </c>
      <c r="E3755" s="3" t="inlineStr">
        <is>
          <t xml:space="preserve">기업설명회(IR)개최(안내공시)              </t>
        </is>
      </c>
      <c r="F3755" s="3" t="inlineStr">
        <is>
          <t>현대글로비스</t>
        </is>
      </c>
      <c r="G3755" s="2" t="inlineStr">
        <is>
          <t>20260310801121</t>
        </is>
      </c>
      <c r="H3755" s="8">
        <f>HYPERLINK("https://dart.fss.or.kr/dsaf001/main.do?rcpNo=20260310801121", "공시열람")</f>
        <v/>
      </c>
    </row>
    <row r="3756">
      <c r="A3756" s="2" t="inlineStr">
        <is>
          <t>2026-02-12 (정정: 2026-03-10)</t>
        </is>
      </c>
      <c r="B3756" s="3" t="inlineStr">
        <is>
          <t>우리엔터프라이즈</t>
        </is>
      </c>
      <c r="C3756" s="2" t="inlineStr">
        <is>
          <t>코스닥</t>
        </is>
      </c>
      <c r="D3756" s="2" t="inlineStr">
        <is>
          <t>037400</t>
        </is>
      </c>
      <c r="E3756" s="3" t="inlineStr">
        <is>
          <t xml:space="preserve">[기재정정]매출액또는손익구조30%(대규모법인은15%)이상변동              </t>
        </is>
      </c>
      <c r="F3756" s="3" t="inlineStr">
        <is>
          <t>우리엔터프라이즈</t>
        </is>
      </c>
      <c r="G3756" s="2" t="inlineStr">
        <is>
          <t>20260310900996</t>
        </is>
      </c>
      <c r="H3756" s="8">
        <f>HYPERLINK("https://dart.fss.or.kr/dsaf001/main.do?rcpNo=20260310900996", "공시열람")</f>
        <v/>
      </c>
    </row>
    <row r="3757">
      <c r="A3757" s="2" t="inlineStr">
        <is>
          <t>2026-03-10</t>
        </is>
      </c>
      <c r="B3757" s="3" t="inlineStr">
        <is>
          <t>코닉오토메이션</t>
        </is>
      </c>
      <c r="C3757" s="2" t="inlineStr">
        <is>
          <t>코스닥</t>
        </is>
      </c>
      <c r="D3757" s="2" t="inlineStr">
        <is>
          <t>391710</t>
        </is>
      </c>
      <c r="E3757" s="3" t="inlineStr">
        <is>
          <t xml:space="preserve">매출액또는손익구조30%(대규모법인은15%)이상변동              </t>
        </is>
      </c>
      <c r="F3757" s="3" t="inlineStr">
        <is>
          <t>코닉오토메이션</t>
        </is>
      </c>
      <c r="G3757" s="2" t="inlineStr">
        <is>
          <t>20260310901017</t>
        </is>
      </c>
      <c r="H3757" s="8">
        <f>HYPERLINK("https://dart.fss.or.kr/dsaf001/main.do?rcpNo=20260310901017", "공시열람")</f>
        <v/>
      </c>
    </row>
    <row r="3758">
      <c r="A3758" s="2" t="inlineStr">
        <is>
          <t>2026-03-10</t>
        </is>
      </c>
      <c r="B3758" s="3" t="inlineStr">
        <is>
          <t>쎄니트</t>
        </is>
      </c>
      <c r="C3758" s="2" t="inlineStr">
        <is>
          <t>코스닥</t>
        </is>
      </c>
      <c r="D3758" s="2" t="inlineStr">
        <is>
          <t>037760</t>
        </is>
      </c>
      <c r="E3758" s="3" t="inlineStr">
        <is>
          <t xml:space="preserve">현금ㆍ현물배당결정              </t>
        </is>
      </c>
      <c r="F3758" s="3" t="inlineStr">
        <is>
          <t>쎄니트</t>
        </is>
      </c>
      <c r="G3758" s="2" t="inlineStr">
        <is>
          <t>20260310901036</t>
        </is>
      </c>
      <c r="H3758" s="8">
        <f>HYPERLINK("https://dart.fss.or.kr/dsaf001/main.do?rcpNo=20260310901036", "공시열람")</f>
        <v/>
      </c>
    </row>
    <row r="3759">
      <c r="A3759" s="2" t="inlineStr">
        <is>
          <t>2026-03-10</t>
        </is>
      </c>
      <c r="B3759" s="3" t="inlineStr">
        <is>
          <t>동방메디컬</t>
        </is>
      </c>
      <c r="C3759" s="2" t="inlineStr">
        <is>
          <t>코스닥</t>
        </is>
      </c>
      <c r="D3759" s="2" t="inlineStr">
        <is>
          <t>240550</t>
        </is>
      </c>
      <c r="E3759" s="3" t="inlineStr">
        <is>
          <t xml:space="preserve">대표이사변경              </t>
        </is>
      </c>
      <c r="F3759" s="3" t="inlineStr">
        <is>
          <t>동방메디컬</t>
        </is>
      </c>
      <c r="G3759" s="2" t="inlineStr">
        <is>
          <t>20260310901039</t>
        </is>
      </c>
      <c r="H3759" s="8">
        <f>HYPERLINK("https://dart.fss.or.kr/dsaf001/main.do?rcpNo=20260310901039", "공시열람")</f>
        <v/>
      </c>
    </row>
    <row r="3760">
      <c r="A3760" s="2" t="inlineStr">
        <is>
          <t>2026-03-10</t>
        </is>
      </c>
      <c r="B3760" s="3" t="inlineStr">
        <is>
          <t>사람인</t>
        </is>
      </c>
      <c r="C3760" s="2" t="inlineStr">
        <is>
          <t>코스닥</t>
        </is>
      </c>
      <c r="D3760" s="2" t="inlineStr">
        <is>
          <t>143240</t>
        </is>
      </c>
      <c r="E3760" s="3" t="inlineStr">
        <is>
          <t xml:space="preserve">현금ㆍ현물배당을위한주주명부폐쇄(기준일)결정              </t>
        </is>
      </c>
      <c r="F3760" s="3" t="inlineStr">
        <is>
          <t>사람인</t>
        </is>
      </c>
      <c r="G3760" s="2" t="inlineStr">
        <is>
          <t>20260310901101</t>
        </is>
      </c>
      <c r="H3760" s="8">
        <f>HYPERLINK("https://dart.fss.or.kr/dsaf001/main.do?rcpNo=20260310901101", "공시열람")</f>
        <v/>
      </c>
    </row>
    <row r="3761">
      <c r="A3761" s="2" t="inlineStr">
        <is>
          <t>2026-02-12 (정정: 2026-03-10)</t>
        </is>
      </c>
      <c r="B3761" s="3" t="inlineStr">
        <is>
          <t>우리바이오</t>
        </is>
      </c>
      <c r="C3761" s="2" t="inlineStr">
        <is>
          <t>코스닥</t>
        </is>
      </c>
      <c r="D3761" s="2" t="inlineStr">
        <is>
          <t>082850</t>
        </is>
      </c>
      <c r="E3761" s="3" t="inlineStr">
        <is>
          <t xml:space="preserve">[기재정정]매출액또는손익구조30%(대규모법인은15%)이상변동              </t>
        </is>
      </c>
      <c r="F3761" s="3" t="inlineStr">
        <is>
          <t>우리바이오</t>
        </is>
      </c>
      <c r="G3761" s="2" t="inlineStr">
        <is>
          <t>20260310901027</t>
        </is>
      </c>
      <c r="H3761" s="8">
        <f>HYPERLINK("https://dart.fss.or.kr/dsaf001/main.do?rcpNo=20260310901027", "공시열람")</f>
        <v/>
      </c>
    </row>
    <row r="3762">
      <c r="A3762" s="2" t="inlineStr">
        <is>
          <t>2026-03-10</t>
        </is>
      </c>
      <c r="B3762" s="3" t="inlineStr">
        <is>
          <t>HK이노엔</t>
        </is>
      </c>
      <c r="C3762" s="2" t="inlineStr">
        <is>
          <t>코스닥</t>
        </is>
      </c>
      <c r="D3762" s="2" t="inlineStr">
        <is>
          <t>195940</t>
        </is>
      </c>
      <c r="E3762" s="3" t="inlineStr">
        <is>
          <t>의결권대리행사권유참고서류</t>
        </is>
      </c>
      <c r="F3762" s="3" t="inlineStr">
        <is>
          <t>HK이노엔</t>
        </is>
      </c>
      <c r="G3762" s="2" t="inlineStr">
        <is>
          <t>20260310002657</t>
        </is>
      </c>
      <c r="H3762" s="8">
        <f>HYPERLINK("https://dart.fss.or.kr/dsaf001/main.do?rcpNo=20260310002657", "공시열람")</f>
        <v/>
      </c>
    </row>
    <row r="3763">
      <c r="A3763" s="2" t="inlineStr">
        <is>
          <t>2026-03-10</t>
        </is>
      </c>
      <c r="B3763" s="3" t="inlineStr">
        <is>
          <t>아이씨에이치</t>
        </is>
      </c>
      <c r="C3763" s="2" t="inlineStr">
        <is>
          <t>코스닥</t>
        </is>
      </c>
      <c r="D3763" s="2" t="inlineStr">
        <is>
          <t>368600</t>
        </is>
      </c>
      <c r="E3763" s="3" t="inlineStr">
        <is>
          <t>의결권대리행사권유참고서류</t>
        </is>
      </c>
      <c r="F3763" s="3" t="inlineStr">
        <is>
          <t>아이씨에이치</t>
        </is>
      </c>
      <c r="G3763" s="2" t="inlineStr">
        <is>
          <t>20260310002656</t>
        </is>
      </c>
      <c r="H3763" s="8">
        <f>HYPERLINK("https://dart.fss.or.kr/dsaf001/main.do?rcpNo=20260310002656", "공시열람")</f>
        <v/>
      </c>
    </row>
    <row r="3764">
      <c r="A3764" s="2" t="inlineStr">
        <is>
          <t>2026-03-10</t>
        </is>
      </c>
      <c r="B3764" s="3" t="inlineStr">
        <is>
          <t>와이즈버즈</t>
        </is>
      </c>
      <c r="C3764" s="2" t="inlineStr">
        <is>
          <t>코스닥</t>
        </is>
      </c>
      <c r="D3764" s="2" t="inlineStr">
        <is>
          <t>273060</t>
        </is>
      </c>
      <c r="E3764" s="3" t="inlineStr">
        <is>
          <t xml:space="preserve">기업설명회(IR)개최              </t>
        </is>
      </c>
      <c r="F3764" s="3" t="inlineStr">
        <is>
          <t>와이즈버즈</t>
        </is>
      </c>
      <c r="G3764" s="2" t="inlineStr">
        <is>
          <t>20260310901089</t>
        </is>
      </c>
      <c r="H3764" s="8">
        <f>HYPERLINK("https://dart.fss.or.kr/dsaf001/main.do?rcpNo=20260310901089", "공시열람")</f>
        <v/>
      </c>
    </row>
    <row r="3765">
      <c r="A3765" s="2" t="inlineStr">
        <is>
          <t>2026-03-10</t>
        </is>
      </c>
      <c r="B3765" s="3" t="inlineStr">
        <is>
          <t>에이프릴바이오</t>
        </is>
      </c>
      <c r="C3765" s="2" t="inlineStr">
        <is>
          <t>코스닥</t>
        </is>
      </c>
      <c r="D3765" s="2" t="inlineStr">
        <is>
          <t>397030</t>
        </is>
      </c>
      <c r="E3765" s="3" t="inlineStr">
        <is>
          <t>의결권대리행사권유참고서류</t>
        </is>
      </c>
      <c r="F3765" s="3" t="inlineStr">
        <is>
          <t>에이프릴바이오</t>
        </is>
      </c>
      <c r="G3765" s="2" t="inlineStr">
        <is>
          <t>20260310002653</t>
        </is>
      </c>
      <c r="H3765" s="8">
        <f>HYPERLINK("https://dart.fss.or.kr/dsaf001/main.do?rcpNo=20260310002653", "공시열람")</f>
        <v/>
      </c>
    </row>
    <row r="3766">
      <c r="A3766" s="2" t="inlineStr">
        <is>
          <t>2026-03-10</t>
        </is>
      </c>
      <c r="B3766" s="3" t="inlineStr">
        <is>
          <t>샤페론</t>
        </is>
      </c>
      <c r="C3766" s="2" t="inlineStr">
        <is>
          <t>코스닥</t>
        </is>
      </c>
      <c r="D3766" s="2" t="inlineStr">
        <is>
          <t>378800</t>
        </is>
      </c>
      <c r="E3766" s="3" t="inlineStr">
        <is>
          <t>의결권대리행사권유참고서류</t>
        </is>
      </c>
      <c r="F3766" s="3" t="inlineStr">
        <is>
          <t>샤페론</t>
        </is>
      </c>
      <c r="G3766" s="2" t="inlineStr">
        <is>
          <t>20260310002652</t>
        </is>
      </c>
      <c r="H3766" s="8">
        <f>HYPERLINK("https://dart.fss.or.kr/dsaf001/main.do?rcpNo=20260310002652", "공시열람")</f>
        <v/>
      </c>
    </row>
    <row r="3767">
      <c r="A3767" s="2" t="inlineStr">
        <is>
          <t>2026-03-10</t>
        </is>
      </c>
      <c r="B3767" s="3" t="inlineStr">
        <is>
          <t>아시아경제</t>
        </is>
      </c>
      <c r="C3767" s="2" t="inlineStr">
        <is>
          <t>코스닥</t>
        </is>
      </c>
      <c r="D3767" s="2" t="inlineStr">
        <is>
          <t>127710</t>
        </is>
      </c>
      <c r="E3767" s="3" t="inlineStr">
        <is>
          <t>임원ㆍ주요주주특정증권등소유상황보고서</t>
        </is>
      </c>
      <c r="F3767" s="3" t="inlineStr">
        <is>
          <t xml:space="preserve">에스티 41호 신기술투자조합 </t>
        </is>
      </c>
      <c r="G3767" s="2" t="inlineStr">
        <is>
          <t>20260310002651</t>
        </is>
      </c>
      <c r="H3767" s="8">
        <f>HYPERLINK("https://dart.fss.or.kr/dsaf001/main.do?rcpNo=20260310002651", "공시열람")</f>
        <v/>
      </c>
    </row>
    <row r="3768">
      <c r="A3768" s="2" t="inlineStr">
        <is>
          <t>2026-03-10</t>
        </is>
      </c>
      <c r="B3768" s="3" t="inlineStr">
        <is>
          <t>JYP Ent.</t>
        </is>
      </c>
      <c r="C3768" s="2" t="inlineStr">
        <is>
          <t>코스닥</t>
        </is>
      </c>
      <c r="D3768" s="2" t="inlineStr">
        <is>
          <t>035900</t>
        </is>
      </c>
      <c r="E3768" s="3" t="inlineStr">
        <is>
          <t xml:space="preserve">매출액또는손익구조30%(대규모법인은15%)이상변동              </t>
        </is>
      </c>
      <c r="F3768" s="3" t="inlineStr">
        <is>
          <t>JYP Ent.</t>
        </is>
      </c>
      <c r="G3768" s="2" t="inlineStr">
        <is>
          <t>20260310901000</t>
        </is>
      </c>
      <c r="H3768" s="8">
        <f>HYPERLINK("https://dart.fss.or.kr/dsaf001/main.do?rcpNo=20260310901000", "공시열람")</f>
        <v/>
      </c>
    </row>
    <row r="3769">
      <c r="A3769" s="2" t="inlineStr">
        <is>
          <t>2026-03-10</t>
        </is>
      </c>
      <c r="B3769" s="3" t="inlineStr">
        <is>
          <t>지엔씨에너지</t>
        </is>
      </c>
      <c r="C3769" s="2" t="inlineStr">
        <is>
          <t>코스닥</t>
        </is>
      </c>
      <c r="D3769" s="2" t="inlineStr">
        <is>
          <t>119850</t>
        </is>
      </c>
      <c r="E3769" s="3" t="inlineStr">
        <is>
          <t>의결권대리행사권유참고서류</t>
        </is>
      </c>
      <c r="F3769" s="3" t="inlineStr">
        <is>
          <t>지엔씨에너지</t>
        </is>
      </c>
      <c r="G3769" s="2" t="inlineStr">
        <is>
          <t>20260310002645</t>
        </is>
      </c>
      <c r="H3769" s="8">
        <f>HYPERLINK("https://dart.fss.or.kr/dsaf001/main.do?rcpNo=20260310002645", "공시열람")</f>
        <v/>
      </c>
    </row>
    <row r="3770">
      <c r="A3770" s="2" t="inlineStr">
        <is>
          <t>2026-03-10</t>
        </is>
      </c>
      <c r="B3770" s="3" t="inlineStr">
        <is>
          <t>뱅크웨어글로벌</t>
        </is>
      </c>
      <c r="C3770" s="2" t="inlineStr">
        <is>
          <t>코스닥</t>
        </is>
      </c>
      <c r="D3770" s="2" t="inlineStr">
        <is>
          <t>199480</t>
        </is>
      </c>
      <c r="E3770" s="3" t="inlineStr">
        <is>
          <t>임원ㆍ주요주주특정증권등소유상황보고서</t>
        </is>
      </c>
      <c r="F3770" s="3" t="inlineStr">
        <is>
          <t>이경조</t>
        </is>
      </c>
      <c r="G3770" s="2" t="inlineStr">
        <is>
          <t>20260310002644</t>
        </is>
      </c>
      <c r="H3770" s="8">
        <f>HYPERLINK("https://dart.fss.or.kr/dsaf001/main.do?rcpNo=20260310002644", "공시열람")</f>
        <v/>
      </c>
    </row>
    <row r="3771">
      <c r="A3771" s="2" t="inlineStr">
        <is>
          <t>2026-03-10</t>
        </is>
      </c>
      <c r="B3771" s="3" t="inlineStr">
        <is>
          <t>진에어</t>
        </is>
      </c>
      <c r="C3771" s="2" t="inlineStr">
        <is>
          <t>코스피</t>
        </is>
      </c>
      <c r="D3771" s="2" t="inlineStr">
        <is>
          <t>272450</t>
        </is>
      </c>
      <c r="E3771" s="3" t="inlineStr">
        <is>
          <t xml:space="preserve">감사보고서제출              </t>
        </is>
      </c>
      <c r="F3771" s="3" t="inlineStr">
        <is>
          <t>진에어</t>
        </is>
      </c>
      <c r="G3771" s="2" t="inlineStr">
        <is>
          <t>20260310801005</t>
        </is>
      </c>
      <c r="H3771" s="8">
        <f>HYPERLINK("https://dart.fss.or.kr/dsaf001/main.do?rcpNo=20260310801005", "공시열람")</f>
        <v/>
      </c>
    </row>
    <row r="3772">
      <c r="A3772" s="2" t="inlineStr">
        <is>
          <t>2026-03-10</t>
        </is>
      </c>
      <c r="B3772" s="3" t="inlineStr">
        <is>
          <t>유비쿼스</t>
        </is>
      </c>
      <c r="C3772" s="2" t="inlineStr">
        <is>
          <t>코스닥</t>
        </is>
      </c>
      <c r="D3772" s="2" t="inlineStr">
        <is>
          <t>264450</t>
        </is>
      </c>
      <c r="E3772" s="3" t="inlineStr">
        <is>
          <t xml:space="preserve">감사보고서제출              </t>
        </is>
      </c>
      <c r="F3772" s="3" t="inlineStr">
        <is>
          <t>유비쿼스</t>
        </is>
      </c>
      <c r="G3772" s="2" t="inlineStr">
        <is>
          <t>20260310901011</t>
        </is>
      </c>
      <c r="H3772" s="8">
        <f>HYPERLINK("https://dart.fss.or.kr/dsaf001/main.do?rcpNo=20260310901011", "공시열람")</f>
        <v/>
      </c>
    </row>
    <row r="3773">
      <c r="A3773" s="2" t="inlineStr">
        <is>
          <t>2026-03-10</t>
        </is>
      </c>
      <c r="B3773" s="3" t="inlineStr">
        <is>
          <t>LS티라유텍</t>
        </is>
      </c>
      <c r="C3773" s="2" t="inlineStr">
        <is>
          <t>코스닥</t>
        </is>
      </c>
      <c r="D3773" s="2" t="inlineStr">
        <is>
          <t>322180</t>
        </is>
      </c>
      <c r="E3773" s="3" t="inlineStr">
        <is>
          <t xml:space="preserve">감사보고서제출              </t>
        </is>
      </c>
      <c r="F3773" s="3" t="inlineStr">
        <is>
          <t>LS티라유텍</t>
        </is>
      </c>
      <c r="G3773" s="2" t="inlineStr">
        <is>
          <t>20260310900980</t>
        </is>
      </c>
      <c r="H3773" s="8">
        <f>HYPERLINK("https://dart.fss.or.kr/dsaf001/main.do?rcpNo=20260310900980", "공시열람")</f>
        <v/>
      </c>
    </row>
    <row r="3774">
      <c r="A3774" s="2" t="inlineStr">
        <is>
          <t>2026-03-10</t>
        </is>
      </c>
      <c r="B3774" s="3" t="inlineStr">
        <is>
          <t>넥스트칩</t>
        </is>
      </c>
      <c r="C3774" s="2" t="inlineStr">
        <is>
          <t>코스닥</t>
        </is>
      </c>
      <c r="D3774" s="2" t="inlineStr">
        <is>
          <t>396270</t>
        </is>
      </c>
      <c r="E3774" s="3" t="inlineStr">
        <is>
          <t>의결권대리행사권유참고서류</t>
        </is>
      </c>
      <c r="F3774" s="3" t="inlineStr">
        <is>
          <t>넥스트칩</t>
        </is>
      </c>
      <c r="G3774" s="2" t="inlineStr">
        <is>
          <t>20260310002632</t>
        </is>
      </c>
      <c r="H3774" s="8">
        <f>HYPERLINK("https://dart.fss.or.kr/dsaf001/main.do?rcpNo=20260310002632", "공시열람")</f>
        <v/>
      </c>
    </row>
    <row r="3775">
      <c r="A3775" s="2" t="inlineStr">
        <is>
          <t>2026-03-10</t>
        </is>
      </c>
      <c r="B3775" s="3" t="inlineStr">
        <is>
          <t>서울바이오시스</t>
        </is>
      </c>
      <c r="C3775" s="2" t="inlineStr">
        <is>
          <t>코스닥</t>
        </is>
      </c>
      <c r="D3775" s="2" t="inlineStr">
        <is>
          <t>092190</t>
        </is>
      </c>
      <c r="E3775" s="3" t="inlineStr">
        <is>
          <t>의결권대리행사권유참고서류</t>
        </is>
      </c>
      <c r="F3775" s="3" t="inlineStr">
        <is>
          <t>서울바이오시스</t>
        </is>
      </c>
      <c r="G3775" s="2" t="inlineStr">
        <is>
          <t>20260310002631</t>
        </is>
      </c>
      <c r="H3775" s="8">
        <f>HYPERLINK("https://dart.fss.or.kr/dsaf001/main.do?rcpNo=20260310002631", "공시열람")</f>
        <v/>
      </c>
    </row>
    <row r="3776">
      <c r="A3776" s="2" t="inlineStr">
        <is>
          <t>2026-03-10</t>
        </is>
      </c>
      <c r="B3776" s="3" t="inlineStr">
        <is>
          <t>POSCO홀딩스</t>
        </is>
      </c>
      <c r="C3776" s="2" t="inlineStr">
        <is>
          <t>코스피</t>
        </is>
      </c>
      <c r="D3776" s="2" t="inlineStr">
        <is>
          <t>005490</t>
        </is>
      </c>
      <c r="E3776" s="3" t="inlineStr">
        <is>
          <t>임원ㆍ주요주주특정증권등소유상황보고서</t>
        </is>
      </c>
      <c r="F3776" s="3" t="inlineStr">
        <is>
          <t>김준기</t>
        </is>
      </c>
      <c r="G3776" s="2" t="inlineStr">
        <is>
          <t>20260310002630</t>
        </is>
      </c>
      <c r="H3776" s="8">
        <f>HYPERLINK("https://dart.fss.or.kr/dsaf001/main.do?rcpNo=20260310002630", "공시열람")</f>
        <v/>
      </c>
    </row>
    <row r="3777">
      <c r="A3777" s="2" t="inlineStr">
        <is>
          <t>2026-03-10</t>
        </is>
      </c>
      <c r="B3777" s="3" t="inlineStr">
        <is>
          <t>사토시홀딩스</t>
        </is>
      </c>
      <c r="C3777" s="2" t="inlineStr">
        <is>
          <t>코스닥</t>
        </is>
      </c>
      <c r="D3777" s="2" t="inlineStr">
        <is>
          <t>223310</t>
        </is>
      </c>
      <c r="E3777" s="3" t="inlineStr">
        <is>
          <t>의결권대리행사권유참고서류</t>
        </is>
      </c>
      <c r="F3777" s="3" t="inlineStr">
        <is>
          <t>사토시홀딩스</t>
        </is>
      </c>
      <c r="G3777" s="2" t="inlineStr">
        <is>
          <t>20260310002628</t>
        </is>
      </c>
      <c r="H3777" s="8">
        <f>HYPERLINK("https://dart.fss.or.kr/dsaf001/main.do?rcpNo=20260310002628", "공시열람")</f>
        <v/>
      </c>
    </row>
    <row r="3778">
      <c r="A3778" s="2" t="inlineStr">
        <is>
          <t>2026-03-10</t>
        </is>
      </c>
      <c r="B3778" s="3" t="inlineStr">
        <is>
          <t>티피씨글로벌</t>
        </is>
      </c>
      <c r="C3778" s="2" t="inlineStr">
        <is>
          <t>코스닥</t>
        </is>
      </c>
      <c r="D3778" s="2" t="inlineStr">
        <is>
          <t>130740</t>
        </is>
      </c>
      <c r="E3778" s="3" t="inlineStr">
        <is>
          <t>의결권대리행사권유참고서류</t>
        </is>
      </c>
      <c r="F3778" s="3" t="inlineStr">
        <is>
          <t>티피씨글로벌</t>
        </is>
      </c>
      <c r="G3778" s="2" t="inlineStr">
        <is>
          <t>20260310002627</t>
        </is>
      </c>
      <c r="H3778" s="8">
        <f>HYPERLINK("https://dart.fss.or.kr/dsaf001/main.do?rcpNo=20260310002627", "공시열람")</f>
        <v/>
      </c>
    </row>
    <row r="3779">
      <c r="A3779" s="2" t="inlineStr">
        <is>
          <t>2026-03-10</t>
        </is>
      </c>
      <c r="B3779" s="3" t="inlineStr">
        <is>
          <t>삼양엔씨켐</t>
        </is>
      </c>
      <c r="C3779" s="2" t="inlineStr">
        <is>
          <t>코스닥</t>
        </is>
      </c>
      <c r="D3779" s="2" t="inlineStr">
        <is>
          <t>482630</t>
        </is>
      </c>
      <c r="E3779" s="3" t="inlineStr">
        <is>
          <t>임원ㆍ주요주주특정증권등소유상황보고서</t>
        </is>
      </c>
      <c r="F3779" s="3" t="inlineStr">
        <is>
          <t>삼양홀딩스</t>
        </is>
      </c>
      <c r="G3779" s="2" t="inlineStr">
        <is>
          <t>20260310002625</t>
        </is>
      </c>
      <c r="H3779" s="8">
        <f>HYPERLINK("https://dart.fss.or.kr/dsaf001/main.do?rcpNo=20260310002625", "공시열람")</f>
        <v/>
      </c>
    </row>
    <row r="3780">
      <c r="A3780" s="2" t="inlineStr">
        <is>
          <t>2026-03-10</t>
        </is>
      </c>
      <c r="B3780" s="3" t="inlineStr">
        <is>
          <t>대신증권</t>
        </is>
      </c>
      <c r="C3780" s="2" t="inlineStr">
        <is>
          <t>코스피</t>
        </is>
      </c>
      <c r="D3780" s="2" t="inlineStr">
        <is>
          <t>003540</t>
        </is>
      </c>
      <c r="E3780" s="3" t="inlineStr">
        <is>
          <t>증권발행실적보고서</t>
        </is>
      </c>
      <c r="F3780" s="3" t="inlineStr">
        <is>
          <t>대신증권</t>
        </is>
      </c>
      <c r="G3780" s="2" t="inlineStr">
        <is>
          <t>20260310002618</t>
        </is>
      </c>
      <c r="H3780" s="8">
        <f>HYPERLINK("https://dart.fss.or.kr/dsaf001/main.do?rcpNo=20260310002618", "공시열람")</f>
        <v/>
      </c>
    </row>
    <row r="3781">
      <c r="A3781" s="2" t="inlineStr">
        <is>
          <t>2026-03-10</t>
        </is>
      </c>
      <c r="B3781" s="3" t="inlineStr">
        <is>
          <t>KEC</t>
        </is>
      </c>
      <c r="C3781" s="2" t="inlineStr">
        <is>
          <t>코스피</t>
        </is>
      </c>
      <c r="D3781" s="2" t="inlineStr">
        <is>
          <t>092220</t>
        </is>
      </c>
      <c r="E3781" s="3" t="inlineStr">
        <is>
          <t>임원ㆍ주요주주특정증권등거래계획철회보고서</t>
        </is>
      </c>
      <c r="F3781" s="3" t="inlineStr">
        <is>
          <t>한국전자홀딩스</t>
        </is>
      </c>
      <c r="G3781" s="2" t="inlineStr">
        <is>
          <t>20260310002614</t>
        </is>
      </c>
      <c r="H3781" s="8">
        <f>HYPERLINK("https://dart.fss.or.kr/dsaf001/main.do?rcpNo=20260310002614", "공시열람")</f>
        <v/>
      </c>
    </row>
    <row r="3782">
      <c r="A3782" s="2" t="inlineStr">
        <is>
          <t>2026-03-10</t>
        </is>
      </c>
      <c r="B3782" s="3" t="inlineStr">
        <is>
          <t>유안타제15호스팩</t>
        </is>
      </c>
      <c r="C3782" s="2" t="inlineStr">
        <is>
          <t>코스닥</t>
        </is>
      </c>
      <c r="D3782" s="2" t="inlineStr">
        <is>
          <t>473050</t>
        </is>
      </c>
      <c r="E3782" s="3" t="inlineStr">
        <is>
          <t>의결권대리행사권유참고서류</t>
        </is>
      </c>
      <c r="F3782" s="3" t="inlineStr">
        <is>
          <t>유안타제15호스팩</t>
        </is>
      </c>
      <c r="G3782" s="2" t="inlineStr">
        <is>
          <t>20260310002611</t>
        </is>
      </c>
      <c r="H3782" s="8">
        <f>HYPERLINK("https://dart.fss.or.kr/dsaf001/main.do?rcpNo=20260310002611", "공시열람")</f>
        <v/>
      </c>
    </row>
    <row r="3783">
      <c r="A3783" s="2" t="inlineStr">
        <is>
          <t>2026-03-10</t>
        </is>
      </c>
      <c r="B3783" s="3" t="inlineStr">
        <is>
          <t>한국콜마</t>
        </is>
      </c>
      <c r="C3783" s="2" t="inlineStr">
        <is>
          <t>코스피</t>
        </is>
      </c>
      <c r="D3783" s="2" t="inlineStr">
        <is>
          <t>161890</t>
        </is>
      </c>
      <c r="E3783" s="3" t="inlineStr">
        <is>
          <t xml:space="preserve">현금ㆍ현물배당결정(자회사의 주요경영사항)              </t>
        </is>
      </c>
      <c r="F3783" s="3" t="inlineStr">
        <is>
          <t>한국콜마</t>
        </is>
      </c>
      <c r="G3783" s="2" t="inlineStr">
        <is>
          <t>20260310800952</t>
        </is>
      </c>
      <c r="H3783" s="8">
        <f>HYPERLINK("https://dart.fss.or.kr/dsaf001/main.do?rcpNo=20260310800952", "공시열람")</f>
        <v/>
      </c>
    </row>
    <row r="3784">
      <c r="A3784" s="2" t="inlineStr">
        <is>
          <t>2026-03-10</t>
        </is>
      </c>
      <c r="B3784" s="3" t="inlineStr">
        <is>
          <t>지니틱스</t>
        </is>
      </c>
      <c r="C3784" s="2" t="inlineStr">
        <is>
          <t>코스닥</t>
        </is>
      </c>
      <c r="D3784" s="2" t="inlineStr">
        <is>
          <t>303030</t>
        </is>
      </c>
      <c r="E3784" s="3" t="inlineStr">
        <is>
          <t xml:space="preserve">주식병합결정              </t>
        </is>
      </c>
      <c r="F3784" s="3" t="inlineStr">
        <is>
          <t>지니틱스</t>
        </is>
      </c>
      <c r="G3784" s="2" t="inlineStr">
        <is>
          <t>20260310900977</t>
        </is>
      </c>
      <c r="H3784" s="8">
        <f>HYPERLINK("https://dart.fss.or.kr/dsaf001/main.do?rcpNo=20260310900977", "공시열람")</f>
        <v/>
      </c>
    </row>
    <row r="3785">
      <c r="A3785" s="2" t="inlineStr">
        <is>
          <t>2026-03-10</t>
        </is>
      </c>
      <c r="B3785" s="3" t="inlineStr">
        <is>
          <t>나노팀</t>
        </is>
      </c>
      <c r="C3785" s="2" t="inlineStr">
        <is>
          <t>코스닥</t>
        </is>
      </c>
      <c r="D3785" s="2" t="inlineStr">
        <is>
          <t>417010</t>
        </is>
      </c>
      <c r="E3785" s="3" t="inlineStr">
        <is>
          <t>의결권대리행사권유참고서류</t>
        </is>
      </c>
      <c r="F3785" s="3" t="inlineStr">
        <is>
          <t>나노팀</t>
        </is>
      </c>
      <c r="G3785" s="2" t="inlineStr">
        <is>
          <t>20260310002605</t>
        </is>
      </c>
      <c r="H3785" s="8">
        <f>HYPERLINK("https://dart.fss.or.kr/dsaf001/main.do?rcpNo=20260310002605", "공시열람")</f>
        <v/>
      </c>
    </row>
    <row r="3786">
      <c r="A3786" s="2" t="inlineStr">
        <is>
          <t>2026-03-10</t>
        </is>
      </c>
      <c r="B3786" s="3" t="inlineStr">
        <is>
          <t>데이원컴퍼니</t>
        </is>
      </c>
      <c r="C3786" s="2" t="inlineStr">
        <is>
          <t>코스닥</t>
        </is>
      </c>
      <c r="D3786" s="2" t="inlineStr">
        <is>
          <t>373160</t>
        </is>
      </c>
      <c r="E3786" s="3" t="inlineStr">
        <is>
          <t xml:space="preserve">감사보고서제출              </t>
        </is>
      </c>
      <c r="F3786" s="3" t="inlineStr">
        <is>
          <t>데이원컴퍼니</t>
        </is>
      </c>
      <c r="G3786" s="2" t="inlineStr">
        <is>
          <t>20260310900974</t>
        </is>
      </c>
      <c r="H3786" s="8">
        <f>HYPERLINK("https://dart.fss.or.kr/dsaf001/main.do?rcpNo=20260310900974", "공시열람")</f>
        <v/>
      </c>
    </row>
    <row r="3787">
      <c r="A3787" s="2" t="inlineStr">
        <is>
          <t>2026-03-10</t>
        </is>
      </c>
      <c r="B3787" s="3" t="inlineStr">
        <is>
          <t>디아이씨</t>
        </is>
      </c>
      <c r="C3787" s="2" t="inlineStr">
        <is>
          <t>코스피</t>
        </is>
      </c>
      <c r="D3787" s="2" t="inlineStr">
        <is>
          <t>092200</t>
        </is>
      </c>
      <c r="E3787" s="3" t="inlineStr">
        <is>
          <t>자기주식처분결과보고서</t>
        </is>
      </c>
      <c r="F3787" s="3" t="inlineStr">
        <is>
          <t>디아이씨</t>
        </is>
      </c>
      <c r="G3787" s="2" t="inlineStr">
        <is>
          <t>20260310002594</t>
        </is>
      </c>
      <c r="H3787" s="8">
        <f>HYPERLINK("https://dart.fss.or.kr/dsaf001/main.do?rcpNo=20260310002594", "공시열람")</f>
        <v/>
      </c>
    </row>
    <row r="3788">
      <c r="A3788" s="2" t="inlineStr">
        <is>
          <t>2026-03-10</t>
        </is>
      </c>
      <c r="B3788" s="3" t="inlineStr">
        <is>
          <t>한독크린텍</t>
        </is>
      </c>
      <c r="C3788" s="2" t="inlineStr">
        <is>
          <t>코스닥</t>
        </is>
      </c>
      <c r="D3788" s="2" t="inlineStr">
        <is>
          <t>256150</t>
        </is>
      </c>
      <c r="E3788" s="3" t="inlineStr">
        <is>
          <t xml:space="preserve">감사보고서제출              </t>
        </is>
      </c>
      <c r="F3788" s="3" t="inlineStr">
        <is>
          <t>한독크린텍</t>
        </is>
      </c>
      <c r="G3788" s="2" t="inlineStr">
        <is>
          <t>20260310900954</t>
        </is>
      </c>
      <c r="H3788" s="8">
        <f>HYPERLINK("https://dart.fss.or.kr/dsaf001/main.do?rcpNo=20260310900954", "공시열람")</f>
        <v/>
      </c>
    </row>
    <row r="3789">
      <c r="A3789" s="2" t="inlineStr">
        <is>
          <t>2026-03-10 (정정: 2026-03-12)</t>
        </is>
      </c>
      <c r="B3789" s="3" t="inlineStr">
        <is>
          <t>에이치케이</t>
        </is>
      </c>
      <c r="C3789" s="2" t="inlineStr">
        <is>
          <t>코스닥</t>
        </is>
      </c>
      <c r="D3789" s="2" t="inlineStr">
        <is>
          <t>044780</t>
        </is>
      </c>
      <c r="E3789" s="3" t="inlineStr">
        <is>
          <t>[기재정정]의결권대리행사권유참고서류 (정정: 20260312)</t>
        </is>
      </c>
      <c r="F3789" s="3" t="inlineStr">
        <is>
          <t>네비스탁</t>
        </is>
      </c>
      <c r="G3789" s="2" t="inlineStr">
        <is>
          <t>20260312000149</t>
        </is>
      </c>
      <c r="H3789" s="8">
        <f>HYPERLINK("https://dart.fss.or.kr/dsaf001/main.do?rcpNo=20260312000149", "공시열람")</f>
        <v/>
      </c>
    </row>
    <row r="3790">
      <c r="A3790" s="2" t="inlineStr">
        <is>
          <t>2026-03-10</t>
        </is>
      </c>
      <c r="B3790" s="3" t="inlineStr">
        <is>
          <t>에쓰씨엔지니어링</t>
        </is>
      </c>
      <c r="C3790" s="2" t="inlineStr">
        <is>
          <t>코스피</t>
        </is>
      </c>
      <c r="D3790" s="2" t="inlineStr">
        <is>
          <t>023960</t>
        </is>
      </c>
      <c r="E3790" s="3" t="inlineStr">
        <is>
          <t>의결권대리행사권유참고서류</t>
        </is>
      </c>
      <c r="F3790" s="3" t="inlineStr">
        <is>
          <t>에쓰씨엔지니어링</t>
        </is>
      </c>
      <c r="G3790" s="2" t="inlineStr">
        <is>
          <t>20260310002582</t>
        </is>
      </c>
      <c r="H3790" s="8">
        <f>HYPERLINK("https://dart.fss.or.kr/dsaf001/main.do?rcpNo=20260310002582", "공시열람")</f>
        <v/>
      </c>
    </row>
    <row r="3791">
      <c r="A3791" s="2" t="inlineStr">
        <is>
          <t>2026-03-10</t>
        </is>
      </c>
      <c r="B3791" s="3" t="inlineStr">
        <is>
          <t>서울보증보험</t>
        </is>
      </c>
      <c r="C3791" s="2" t="inlineStr">
        <is>
          <t>코스피</t>
        </is>
      </c>
      <c r="D3791" s="2" t="inlineStr">
        <is>
          <t>031210</t>
        </is>
      </c>
      <c r="E3791" s="3" t="inlineStr">
        <is>
          <t xml:space="preserve">기업지배구조보고서공시(연차보고서)              </t>
        </is>
      </c>
      <c r="F3791" s="3" t="inlineStr">
        <is>
          <t>서울보증보험</t>
        </is>
      </c>
      <c r="G3791" s="2" t="inlineStr">
        <is>
          <t>20260310800975</t>
        </is>
      </c>
      <c r="H3791" s="8">
        <f>HYPERLINK("https://dart.fss.or.kr/dsaf001/main.do?rcpNo=20260310800975", "공시열람")</f>
        <v/>
      </c>
    </row>
    <row r="3792">
      <c r="A3792" s="2" t="inlineStr">
        <is>
          <t>2026-03-10</t>
        </is>
      </c>
      <c r="B3792" s="3" t="inlineStr">
        <is>
          <t>아모센스</t>
        </is>
      </c>
      <c r="C3792" s="2" t="inlineStr">
        <is>
          <t>코스닥</t>
        </is>
      </c>
      <c r="D3792" s="2" t="inlineStr">
        <is>
          <t>357580</t>
        </is>
      </c>
      <c r="E3792" s="3" t="inlineStr">
        <is>
          <t>[기재정정]의결권대리행사권유참고서류</t>
        </is>
      </c>
      <c r="F3792" s="3" t="inlineStr">
        <is>
          <t>아모센스</t>
        </is>
      </c>
      <c r="G3792" s="2" t="inlineStr">
        <is>
          <t>20260310002576</t>
        </is>
      </c>
      <c r="H3792" s="8">
        <f>HYPERLINK("https://dart.fss.or.kr/dsaf001/main.do?rcpNo=20260310002576", "공시열람")</f>
        <v/>
      </c>
    </row>
    <row r="3793">
      <c r="A3793" s="2" t="inlineStr">
        <is>
          <t>2026-03-10</t>
        </is>
      </c>
      <c r="B3793" s="3" t="inlineStr">
        <is>
          <t>JYP Ent.</t>
        </is>
      </c>
      <c r="C3793" s="2" t="inlineStr">
        <is>
          <t>코스닥</t>
        </is>
      </c>
      <c r="D3793" s="2" t="inlineStr">
        <is>
          <t>035900</t>
        </is>
      </c>
      <c r="E3793" s="3" t="inlineStr">
        <is>
          <t xml:space="preserve">현금ㆍ현물배당결정              </t>
        </is>
      </c>
      <c r="F3793" s="3" t="inlineStr">
        <is>
          <t>JYP Ent.</t>
        </is>
      </c>
      <c r="G3793" s="2" t="inlineStr">
        <is>
          <t>20260310900922</t>
        </is>
      </c>
      <c r="H3793" s="8">
        <f>HYPERLINK("https://dart.fss.or.kr/dsaf001/main.do?rcpNo=20260310900922", "공시열람")</f>
        <v/>
      </c>
    </row>
    <row r="3794">
      <c r="A3794" s="2" t="inlineStr">
        <is>
          <t>2026-03-10</t>
        </is>
      </c>
      <c r="B3794" s="3" t="inlineStr">
        <is>
          <t>한국콜마</t>
        </is>
      </c>
      <c r="C3794" s="2" t="inlineStr">
        <is>
          <t>코스피</t>
        </is>
      </c>
      <c r="D3794" s="2" t="inlineStr">
        <is>
          <t>161890</t>
        </is>
      </c>
      <c r="E3794" s="3" t="inlineStr">
        <is>
          <t xml:space="preserve">현금ㆍ현물배당을위한주주명부폐쇄(기준일)결정(자회사의 주요경영사항)              </t>
        </is>
      </c>
      <c r="F3794" s="3" t="inlineStr">
        <is>
          <t>한국콜마</t>
        </is>
      </c>
      <c r="G3794" s="2" t="inlineStr">
        <is>
          <t>20260310800906</t>
        </is>
      </c>
      <c r="H3794" s="8">
        <f>HYPERLINK("https://dart.fss.or.kr/dsaf001/main.do?rcpNo=20260310800906", "공시열람")</f>
        <v/>
      </c>
    </row>
    <row r="3795">
      <c r="A3795" s="2" t="inlineStr">
        <is>
          <t>2026-03-10</t>
        </is>
      </c>
      <c r="B3795" s="3" t="inlineStr">
        <is>
          <t>액스비스</t>
        </is>
      </c>
      <c r="C3795" s="2" t="inlineStr">
        <is>
          <t>코스닥</t>
        </is>
      </c>
      <c r="D3795" s="2" t="inlineStr">
        <is>
          <t>0011A0</t>
        </is>
      </c>
      <c r="E3795" s="3" t="inlineStr">
        <is>
          <t>임원ㆍ주요주주특정증권등소유상황보고서</t>
        </is>
      </c>
      <c r="F3795" s="3" t="inlineStr">
        <is>
          <t>김명진</t>
        </is>
      </c>
      <c r="G3795" s="2" t="inlineStr">
        <is>
          <t>20260310002571</t>
        </is>
      </c>
      <c r="H3795" s="8">
        <f>HYPERLINK("https://dart.fss.or.kr/dsaf001/main.do?rcpNo=20260310002571", "공시열람")</f>
        <v/>
      </c>
    </row>
    <row r="3796">
      <c r="A3796" s="2" t="inlineStr">
        <is>
          <t>2026-03-10</t>
        </is>
      </c>
      <c r="B3796" s="3" t="inlineStr">
        <is>
          <t>에르코스</t>
        </is>
      </c>
      <c r="C3796" s="2" t="inlineStr">
        <is>
          <t>코스닥</t>
        </is>
      </c>
      <c r="D3796" s="2" t="inlineStr">
        <is>
          <t>435570</t>
        </is>
      </c>
      <c r="E3796" s="3" t="inlineStr">
        <is>
          <t xml:space="preserve">현금ㆍ현물배당결정              </t>
        </is>
      </c>
      <c r="F3796" s="3" t="inlineStr">
        <is>
          <t>에르코스</t>
        </is>
      </c>
      <c r="G3796" s="2" t="inlineStr">
        <is>
          <t>20260310900927</t>
        </is>
      </c>
      <c r="H3796" s="8">
        <f>HYPERLINK("https://dart.fss.or.kr/dsaf001/main.do?rcpNo=20260310900927", "공시열람")</f>
        <v/>
      </c>
    </row>
    <row r="3797">
      <c r="A3797" s="2" t="inlineStr">
        <is>
          <t>2026-03-10 (정정: 2026-03-11)</t>
        </is>
      </c>
      <c r="B3797" s="3" t="inlineStr">
        <is>
          <t>메카로</t>
        </is>
      </c>
      <c r="C3797" s="2" t="inlineStr">
        <is>
          <t>코스닥</t>
        </is>
      </c>
      <c r="D3797" s="2" t="inlineStr">
        <is>
          <t>241770</t>
        </is>
      </c>
      <c r="E3797" s="3" t="inlineStr">
        <is>
          <t>임원ㆍ주요주주특정증권등소유상황보고서 (정정: 20260311)</t>
        </is>
      </c>
      <c r="F3797" s="3" t="inlineStr">
        <is>
          <t>장성춘</t>
        </is>
      </c>
      <c r="G3797" s="2" t="inlineStr">
        <is>
          <t>20260311004130</t>
        </is>
      </c>
      <c r="H3797" s="8">
        <f>HYPERLINK("https://dart.fss.or.kr/dsaf001/main.do?rcpNo=20260311004130", "공시열람")</f>
        <v/>
      </c>
    </row>
    <row r="3798">
      <c r="A3798" s="2" t="inlineStr">
        <is>
          <t>2026-03-10</t>
        </is>
      </c>
      <c r="B3798" s="3" t="inlineStr">
        <is>
          <t>HK이노엔</t>
        </is>
      </c>
      <c r="C3798" s="2" t="inlineStr">
        <is>
          <t>코스닥</t>
        </is>
      </c>
      <c r="D3798" s="2" t="inlineStr">
        <is>
          <t>195940</t>
        </is>
      </c>
      <c r="E3798" s="3" t="inlineStr">
        <is>
          <t xml:space="preserve">현금ㆍ현물배당결정              </t>
        </is>
      </c>
      <c r="F3798" s="3" t="inlineStr">
        <is>
          <t>HK이노엔</t>
        </is>
      </c>
      <c r="G3798" s="2" t="inlineStr">
        <is>
          <t>20260310900924</t>
        </is>
      </c>
      <c r="H3798" s="8">
        <f>HYPERLINK("https://dart.fss.or.kr/dsaf001/main.do?rcpNo=20260310900924", "공시열람")</f>
        <v/>
      </c>
    </row>
    <row r="3799">
      <c r="A3799" s="2" t="inlineStr">
        <is>
          <t>2026-03-10</t>
        </is>
      </c>
      <c r="B3799" s="3" t="inlineStr">
        <is>
          <t>정원엔시스</t>
        </is>
      </c>
      <c r="C3799" s="2" t="inlineStr">
        <is>
          <t>코스닥</t>
        </is>
      </c>
      <c r="D3799" s="2" t="inlineStr">
        <is>
          <t>045510</t>
        </is>
      </c>
      <c r="E3799" s="3" t="inlineStr">
        <is>
          <t>의결권대리행사권유참고서류</t>
        </is>
      </c>
      <c r="F3799" s="3" t="inlineStr">
        <is>
          <t>(주)정원엔시스 우리사주조합</t>
        </is>
      </c>
      <c r="G3799" s="2" t="inlineStr">
        <is>
          <t>20260310002565</t>
        </is>
      </c>
      <c r="H3799" s="8">
        <f>HYPERLINK("https://dart.fss.or.kr/dsaf001/main.do?rcpNo=20260310002565", "공시열람")</f>
        <v/>
      </c>
    </row>
    <row r="3800">
      <c r="A3800" s="2" t="inlineStr">
        <is>
          <t>2026-03-10</t>
        </is>
      </c>
      <c r="B3800" s="3" t="inlineStr">
        <is>
          <t>오이솔루션</t>
        </is>
      </c>
      <c r="C3800" s="2" t="inlineStr">
        <is>
          <t>코스닥</t>
        </is>
      </c>
      <c r="D3800" s="2" t="inlineStr">
        <is>
          <t>138080</t>
        </is>
      </c>
      <c r="E3800" s="3" t="inlineStr">
        <is>
          <t>의결권대리행사권유참고서류</t>
        </is>
      </c>
      <c r="F3800" s="3" t="inlineStr">
        <is>
          <t>오이솔루션</t>
        </is>
      </c>
      <c r="G3800" s="2" t="inlineStr">
        <is>
          <t>20260310002559</t>
        </is>
      </c>
      <c r="H3800" s="8">
        <f>HYPERLINK("https://dart.fss.or.kr/dsaf001/main.do?rcpNo=20260310002559", "공시열람")</f>
        <v/>
      </c>
    </row>
    <row r="3801">
      <c r="A3801" s="2" t="inlineStr">
        <is>
          <t>2026-03-10</t>
        </is>
      </c>
      <c r="B3801" s="3" t="inlineStr">
        <is>
          <t>지엠비코리아</t>
        </is>
      </c>
      <c r="C3801" s="2" t="inlineStr">
        <is>
          <t>코스피</t>
        </is>
      </c>
      <c r="D3801" s="2" t="inlineStr">
        <is>
          <t>013870</t>
        </is>
      </c>
      <c r="E3801" s="3" t="inlineStr">
        <is>
          <t>의결권대리행사권유참고서류</t>
        </is>
      </c>
      <c r="F3801" s="3" t="inlineStr">
        <is>
          <t>지엠비코리아</t>
        </is>
      </c>
      <c r="G3801" s="2" t="inlineStr">
        <is>
          <t>20260310002553</t>
        </is>
      </c>
      <c r="H3801" s="8">
        <f>HYPERLINK("https://dart.fss.or.kr/dsaf001/main.do?rcpNo=20260310002553", "공시열람")</f>
        <v/>
      </c>
    </row>
    <row r="3802">
      <c r="A3802" s="2" t="inlineStr">
        <is>
          <t>2026-03-10</t>
        </is>
      </c>
      <c r="B3802" s="3" t="inlineStr">
        <is>
          <t>대한화섬</t>
        </is>
      </c>
      <c r="C3802" s="2" t="inlineStr">
        <is>
          <t>코스피</t>
        </is>
      </c>
      <c r="D3802" s="2" t="inlineStr">
        <is>
          <t>003830</t>
        </is>
      </c>
      <c r="E3802" s="3" t="inlineStr">
        <is>
          <t xml:space="preserve">현금ㆍ현물배당결정              </t>
        </is>
      </c>
      <c r="F3802" s="3" t="inlineStr">
        <is>
          <t>대한화섬</t>
        </is>
      </c>
      <c r="G3802" s="2" t="inlineStr">
        <is>
          <t>20260310800926</t>
        </is>
      </c>
      <c r="H3802" s="8">
        <f>HYPERLINK("https://dart.fss.or.kr/dsaf001/main.do?rcpNo=20260310800926", "공시열람")</f>
        <v/>
      </c>
    </row>
    <row r="3803">
      <c r="A3803" s="2" t="inlineStr">
        <is>
          <t>2026-03-10</t>
        </is>
      </c>
      <c r="B3803" s="3" t="inlineStr">
        <is>
          <t>유비쿼스홀딩스</t>
        </is>
      </c>
      <c r="C3803" s="2" t="inlineStr">
        <is>
          <t>코스닥</t>
        </is>
      </c>
      <c r="D3803" s="2" t="inlineStr">
        <is>
          <t>078070</t>
        </is>
      </c>
      <c r="E3803" s="3" t="inlineStr">
        <is>
          <t xml:space="preserve">감사보고서제출              </t>
        </is>
      </c>
      <c r="F3803" s="3" t="inlineStr">
        <is>
          <t>유비쿼스홀딩스</t>
        </is>
      </c>
      <c r="G3803" s="2" t="inlineStr">
        <is>
          <t>20260310900899</t>
        </is>
      </c>
      <c r="H3803" s="8">
        <f>HYPERLINK("https://dart.fss.or.kr/dsaf001/main.do?rcpNo=20260310900899", "공시열람")</f>
        <v/>
      </c>
    </row>
    <row r="3804">
      <c r="A3804" s="2" t="inlineStr">
        <is>
          <t>2026-03-10</t>
        </is>
      </c>
      <c r="B3804" s="3" t="inlineStr">
        <is>
          <t>태양</t>
        </is>
      </c>
      <c r="C3804" s="2" t="inlineStr">
        <is>
          <t>코스닥</t>
        </is>
      </c>
      <c r="D3804" s="2" t="inlineStr">
        <is>
          <t>053620</t>
        </is>
      </c>
      <c r="E3804" s="3" t="inlineStr">
        <is>
          <t xml:space="preserve">기업가치제고계획(자율공시)              </t>
        </is>
      </c>
      <c r="F3804" s="3" t="inlineStr">
        <is>
          <t>태양</t>
        </is>
      </c>
      <c r="G3804" s="2" t="inlineStr">
        <is>
          <t>20260310900861</t>
        </is>
      </c>
      <c r="H3804" s="8">
        <f>HYPERLINK("https://dart.fss.or.kr/dsaf001/main.do?rcpNo=20260310900861", "공시열람")</f>
        <v/>
      </c>
    </row>
    <row r="3805">
      <c r="A3805" s="2" t="inlineStr">
        <is>
          <t>2026-03-09 (정정: 2026-03-10)</t>
        </is>
      </c>
      <c r="B3805" s="3" t="inlineStr">
        <is>
          <t>동아엘텍</t>
        </is>
      </c>
      <c r="C3805" s="2" t="inlineStr">
        <is>
          <t>코스닥</t>
        </is>
      </c>
      <c r="D3805" s="2" t="inlineStr">
        <is>
          <t>088130</t>
        </is>
      </c>
      <c r="E3805" s="3" t="inlineStr">
        <is>
          <t>[기재정정]의결권대리행사권유참고서류</t>
        </is>
      </c>
      <c r="F3805" s="3" t="inlineStr">
        <is>
          <t>동아엘텍</t>
        </is>
      </c>
      <c r="G3805" s="2" t="inlineStr">
        <is>
          <t>20260310002547</t>
        </is>
      </c>
      <c r="H3805" s="8">
        <f>HYPERLINK("https://dart.fss.or.kr/dsaf001/main.do?rcpNo=20260310002547", "공시열람")</f>
        <v/>
      </c>
    </row>
    <row r="3806">
      <c r="A3806" s="2" t="inlineStr">
        <is>
          <t>2026-03-10</t>
        </is>
      </c>
      <c r="B3806" s="3" t="inlineStr">
        <is>
          <t>유안타제17호스팩</t>
        </is>
      </c>
      <c r="C3806" s="2" t="inlineStr">
        <is>
          <t>코스닥</t>
        </is>
      </c>
      <c r="D3806" s="2" t="inlineStr">
        <is>
          <t>493790</t>
        </is>
      </c>
      <c r="E3806" s="3" t="inlineStr">
        <is>
          <t>의결권대리행사권유참고서류</t>
        </is>
      </c>
      <c r="F3806" s="3" t="inlineStr">
        <is>
          <t>유안타제17호스팩</t>
        </is>
      </c>
      <c r="G3806" s="2" t="inlineStr">
        <is>
          <t>20260310002545</t>
        </is>
      </c>
      <c r="H3806" s="8">
        <f>HYPERLINK("https://dart.fss.or.kr/dsaf001/main.do?rcpNo=20260310002545", "공시열람")</f>
        <v/>
      </c>
    </row>
    <row r="3807">
      <c r="A3807" s="2" t="inlineStr">
        <is>
          <t>2026-03-10</t>
        </is>
      </c>
      <c r="B3807" s="3" t="inlineStr">
        <is>
          <t>디지아이</t>
        </is>
      </c>
      <c r="C3807" s="2" t="inlineStr">
        <is>
          <t>코스닥</t>
        </is>
      </c>
      <c r="D3807" s="2" t="inlineStr">
        <is>
          <t>043360</t>
        </is>
      </c>
      <c r="E3807" s="3" t="inlineStr">
        <is>
          <t xml:space="preserve">감사보고서제출              </t>
        </is>
      </c>
      <c r="F3807" s="3" t="inlineStr">
        <is>
          <t>디지아이</t>
        </is>
      </c>
      <c r="G3807" s="2" t="inlineStr">
        <is>
          <t>20260310900891</t>
        </is>
      </c>
      <c r="H3807" s="8">
        <f>HYPERLINK("https://dart.fss.or.kr/dsaf001/main.do?rcpNo=20260310900891", "공시열람")</f>
        <v/>
      </c>
    </row>
    <row r="3808">
      <c r="A3808" s="2" t="inlineStr">
        <is>
          <t>2026-03-10</t>
        </is>
      </c>
      <c r="B3808" s="3" t="inlineStr">
        <is>
          <t>대한화섬</t>
        </is>
      </c>
      <c r="C3808" s="2" t="inlineStr">
        <is>
          <t>코스피</t>
        </is>
      </c>
      <c r="D3808" s="2" t="inlineStr">
        <is>
          <t>003830</t>
        </is>
      </c>
      <c r="E3808" s="3" t="inlineStr">
        <is>
          <t xml:space="preserve">현금ㆍ현물배당을위한주주명부폐쇄(기준일)결정              </t>
        </is>
      </c>
      <c r="F3808" s="3" t="inlineStr">
        <is>
          <t>대한화섬</t>
        </is>
      </c>
      <c r="G3808" s="2" t="inlineStr">
        <is>
          <t>20260310800916</t>
        </is>
      </c>
      <c r="H3808" s="8">
        <f>HYPERLINK("https://dart.fss.or.kr/dsaf001/main.do?rcpNo=20260310800916", "공시열람")</f>
        <v/>
      </c>
    </row>
    <row r="3809">
      <c r="A3809" s="2" t="inlineStr">
        <is>
          <t>2026-03-10</t>
        </is>
      </c>
      <c r="B3809" s="3" t="inlineStr">
        <is>
          <t>디와이씨</t>
        </is>
      </c>
      <c r="C3809" s="2" t="inlineStr">
        <is>
          <t>코스닥</t>
        </is>
      </c>
      <c r="D3809" s="2" t="inlineStr">
        <is>
          <t>310870</t>
        </is>
      </c>
      <c r="E3809" s="3" t="inlineStr">
        <is>
          <t>의결권대리행사권유참고서류</t>
        </is>
      </c>
      <c r="F3809" s="3" t="inlineStr">
        <is>
          <t>디와이씨</t>
        </is>
      </c>
      <c r="G3809" s="2" t="inlineStr">
        <is>
          <t>20260310002541</t>
        </is>
      </c>
      <c r="H3809" s="8">
        <f>HYPERLINK("https://dart.fss.or.kr/dsaf001/main.do?rcpNo=20260310002541", "공시열람")</f>
        <v/>
      </c>
    </row>
    <row r="3810">
      <c r="A3810" s="2" t="inlineStr">
        <is>
          <t>2026-03-10</t>
        </is>
      </c>
      <c r="B3810" s="3" t="inlineStr">
        <is>
          <t>LIG디펜스앤에어로스페이스</t>
        </is>
      </c>
      <c r="C3810" s="2" t="inlineStr">
        <is>
          <t>코스피</t>
        </is>
      </c>
      <c r="D3810" s="2" t="inlineStr">
        <is>
          <t>079550</t>
        </is>
      </c>
      <c r="E3810" s="3" t="inlineStr">
        <is>
          <t xml:space="preserve">선급금지급결정              </t>
        </is>
      </c>
      <c r="F3810" s="3" t="inlineStr">
        <is>
          <t>LIG디펜스앤에어로스페이스</t>
        </is>
      </c>
      <c r="G3810" s="2" t="inlineStr">
        <is>
          <t>20260310800913</t>
        </is>
      </c>
      <c r="H3810" s="8">
        <f>HYPERLINK("https://dart.fss.or.kr/dsaf001/main.do?rcpNo=20260310800913", "공시열람")</f>
        <v/>
      </c>
    </row>
    <row r="3811">
      <c r="A3811" s="2" t="inlineStr">
        <is>
          <t>2026-03-10 (정정: 2026-06-19)</t>
        </is>
      </c>
      <c r="B3811" s="3" t="inlineStr">
        <is>
          <t>JYP Ent.</t>
        </is>
      </c>
      <c r="C3811" s="2" t="inlineStr">
        <is>
          <t>코스닥</t>
        </is>
      </c>
      <c r="D3811" s="2" t="inlineStr">
        <is>
          <t>035900</t>
        </is>
      </c>
      <c r="E3811" s="3" t="inlineStr">
        <is>
          <t>현금ㆍ현물배당을위한주주명부폐쇄(기준일)결정               (정정: 20260619)</t>
        </is>
      </c>
      <c r="F3811" s="3" t="inlineStr">
        <is>
          <t>JYP Ent.</t>
        </is>
      </c>
      <c r="G3811" s="2" t="inlineStr">
        <is>
          <t>20260619000630</t>
        </is>
      </c>
      <c r="H3811" s="8">
        <f>HYPERLINK("https://dart.fss.or.kr/dsaf001/main.do?rcpNo=20260619000630", "공시열람")</f>
        <v/>
      </c>
    </row>
    <row r="3812">
      <c r="A3812" s="2" t="inlineStr">
        <is>
          <t>2026-03-10</t>
        </is>
      </c>
      <c r="B3812" s="3" t="inlineStr">
        <is>
          <t>프로이천</t>
        </is>
      </c>
      <c r="C3812" s="2" t="inlineStr">
        <is>
          <t>코스닥</t>
        </is>
      </c>
      <c r="D3812" s="2" t="inlineStr">
        <is>
          <t>321260</t>
        </is>
      </c>
      <c r="E3812" s="3" t="inlineStr">
        <is>
          <t xml:space="preserve">대표이사변경              </t>
        </is>
      </c>
      <c r="F3812" s="3" t="inlineStr">
        <is>
          <t>프로이천</t>
        </is>
      </c>
      <c r="G3812" s="2" t="inlineStr">
        <is>
          <t>20260310900886</t>
        </is>
      </c>
      <c r="H3812" s="8">
        <f>HYPERLINK("https://dart.fss.or.kr/dsaf001/main.do?rcpNo=20260310900886", "공시열람")</f>
        <v/>
      </c>
    </row>
    <row r="3813">
      <c r="A3813" s="2" t="inlineStr">
        <is>
          <t>2026-03-10</t>
        </is>
      </c>
      <c r="B3813" s="3" t="inlineStr">
        <is>
          <t>한컴라이프케어</t>
        </is>
      </c>
      <c r="C3813" s="2" t="inlineStr">
        <is>
          <t>코스피</t>
        </is>
      </c>
      <c r="D3813" s="2" t="inlineStr">
        <is>
          <t>372910</t>
        </is>
      </c>
      <c r="E3813" s="3" t="inlineStr">
        <is>
          <t xml:space="preserve">[기재정정]매출액또는손익구조30%(대규모법인은15%)이상변경              </t>
        </is>
      </c>
      <c r="F3813" s="3" t="inlineStr">
        <is>
          <t>한컴라이프케어</t>
        </is>
      </c>
      <c r="G3813" s="2" t="inlineStr">
        <is>
          <t>20260310800868</t>
        </is>
      </c>
      <c r="H3813" s="8">
        <f>HYPERLINK("https://dart.fss.or.kr/dsaf001/main.do?rcpNo=20260310800868", "공시열람")</f>
        <v/>
      </c>
    </row>
    <row r="3814">
      <c r="A3814" s="2" t="inlineStr">
        <is>
          <t>2026-03-10</t>
        </is>
      </c>
      <c r="B3814" s="3" t="inlineStr">
        <is>
          <t>HK이노엔</t>
        </is>
      </c>
      <c r="C3814" s="2" t="inlineStr">
        <is>
          <t>코스닥</t>
        </is>
      </c>
      <c r="D3814" s="2" t="inlineStr">
        <is>
          <t>195940</t>
        </is>
      </c>
      <c r="E3814" s="3" t="inlineStr">
        <is>
          <t xml:space="preserve">현금ㆍ현물배당을위한주주명부폐쇄(기준일)결정              </t>
        </is>
      </c>
      <c r="F3814" s="3" t="inlineStr">
        <is>
          <t>HK이노엔</t>
        </is>
      </c>
      <c r="G3814" s="2" t="inlineStr">
        <is>
          <t>20260310900905</t>
        </is>
      </c>
      <c r="H3814" s="8">
        <f>HYPERLINK("https://dart.fss.or.kr/dsaf001/main.do?rcpNo=20260310900905", "공시열람")</f>
        <v/>
      </c>
    </row>
    <row r="3815">
      <c r="A3815" s="2" t="inlineStr">
        <is>
          <t>2026-03-10</t>
        </is>
      </c>
      <c r="B3815" s="3" t="inlineStr">
        <is>
          <t>동일스틸럭스</t>
        </is>
      </c>
      <c r="C3815" s="2" t="inlineStr">
        <is>
          <t>코스닥</t>
        </is>
      </c>
      <c r="D3815" s="2" t="inlineStr">
        <is>
          <t>023790</t>
        </is>
      </c>
      <c r="E3815" s="3" t="inlineStr">
        <is>
          <t xml:space="preserve">주식병합결정              </t>
        </is>
      </c>
      <c r="F3815" s="3" t="inlineStr">
        <is>
          <t>동일스틸럭스</t>
        </is>
      </c>
      <c r="G3815" s="2" t="inlineStr">
        <is>
          <t>20260310900855</t>
        </is>
      </c>
      <c r="H3815" s="8">
        <f>HYPERLINK("https://dart.fss.or.kr/dsaf001/main.do?rcpNo=20260310900855", "공시열람")</f>
        <v/>
      </c>
    </row>
    <row r="3816">
      <c r="A3816" s="2" t="inlineStr">
        <is>
          <t>2026-03-10</t>
        </is>
      </c>
      <c r="B3816" s="3" t="inlineStr">
        <is>
          <t>기아</t>
        </is>
      </c>
      <c r="C3816" s="2" t="inlineStr">
        <is>
          <t>코스피</t>
        </is>
      </c>
      <c r="D3816" s="2" t="inlineStr">
        <is>
          <t>000270</t>
        </is>
      </c>
      <c r="E3816" s="3" t="inlineStr">
        <is>
          <t xml:space="preserve">기업설명회(IR)개최(안내공시)              </t>
        </is>
      </c>
      <c r="F3816" s="3" t="inlineStr">
        <is>
          <t>기아</t>
        </is>
      </c>
      <c r="G3816" s="2" t="inlineStr">
        <is>
          <t>20260310800897</t>
        </is>
      </c>
      <c r="H3816" s="8">
        <f>HYPERLINK("https://dart.fss.or.kr/dsaf001/main.do?rcpNo=20260310800897", "공시열람")</f>
        <v/>
      </c>
    </row>
    <row r="3817">
      <c r="A3817" s="2" t="inlineStr">
        <is>
          <t>2026-03-10</t>
        </is>
      </c>
      <c r="B3817" s="3" t="inlineStr">
        <is>
          <t>코스리거글로벌</t>
        </is>
      </c>
      <c r="C3817" s="2" t="inlineStr">
        <is>
          <t>코스닥</t>
        </is>
      </c>
      <c r="D3817" s="2" t="inlineStr">
        <is>
          <t>043710</t>
        </is>
      </c>
      <c r="E3817" s="3" t="inlineStr">
        <is>
          <t xml:space="preserve">주식병합결정              </t>
        </is>
      </c>
      <c r="F3817" s="3" t="inlineStr">
        <is>
          <t>코스리거글로벌</t>
        </is>
      </c>
      <c r="G3817" s="2" t="inlineStr">
        <is>
          <t>20260310900893</t>
        </is>
      </c>
      <c r="H3817" s="8">
        <f>HYPERLINK("https://dart.fss.or.kr/dsaf001/main.do?rcpNo=20260310900893", "공시열람")</f>
        <v/>
      </c>
    </row>
    <row r="3818">
      <c r="A3818" s="2" t="inlineStr">
        <is>
          <t>2026-03-10</t>
        </is>
      </c>
      <c r="B3818" s="3" t="inlineStr">
        <is>
          <t>지투파워</t>
        </is>
      </c>
      <c r="C3818" s="2" t="inlineStr">
        <is>
          <t>코스닥</t>
        </is>
      </c>
      <c r="D3818" s="2" t="inlineStr">
        <is>
          <t>388050</t>
        </is>
      </c>
      <c r="E3818" s="3" t="inlineStr">
        <is>
          <t>의결권대리행사권유참고서류</t>
        </is>
      </c>
      <c r="F3818" s="3" t="inlineStr">
        <is>
          <t>지투파워</t>
        </is>
      </c>
      <c r="G3818" s="2" t="inlineStr">
        <is>
          <t>20260310002533</t>
        </is>
      </c>
      <c r="H3818" s="8">
        <f>HYPERLINK("https://dart.fss.or.kr/dsaf001/main.do?rcpNo=20260310002533", "공시열람")</f>
        <v/>
      </c>
    </row>
    <row r="3819">
      <c r="A3819" s="2" t="inlineStr">
        <is>
          <t>2026-03-10</t>
        </is>
      </c>
      <c r="B3819" s="3" t="inlineStr">
        <is>
          <t>에이치케이</t>
        </is>
      </c>
      <c r="C3819" s="2" t="inlineStr">
        <is>
          <t>코스닥</t>
        </is>
      </c>
      <c r="D3819" s="2" t="inlineStr">
        <is>
          <t>044780</t>
        </is>
      </c>
      <c r="E3819" s="3" t="inlineStr">
        <is>
          <t>의결권대리행사권유참고서류</t>
        </is>
      </c>
      <c r="F3819" s="3" t="inlineStr">
        <is>
          <t>네비스탁</t>
        </is>
      </c>
      <c r="G3819" s="2" t="inlineStr">
        <is>
          <t>20260310002530</t>
        </is>
      </c>
      <c r="H3819" s="8">
        <f>HYPERLINK("https://dart.fss.or.kr/dsaf001/main.do?rcpNo=20260310002530", "공시열람")</f>
        <v/>
      </c>
    </row>
    <row r="3820">
      <c r="A3820" s="2" t="inlineStr">
        <is>
          <t>2026-03-10</t>
        </is>
      </c>
      <c r="B3820" s="3" t="inlineStr">
        <is>
          <t>코스리거글로벌</t>
        </is>
      </c>
      <c r="C3820" s="2" t="inlineStr">
        <is>
          <t>코스닥</t>
        </is>
      </c>
      <c r="D3820" s="2" t="inlineStr">
        <is>
          <t>043710</t>
        </is>
      </c>
      <c r="E3820" s="3" t="inlineStr">
        <is>
          <t xml:space="preserve">매출액또는손익구조30%(대규모법인은15%)이상변동              </t>
        </is>
      </c>
      <c r="F3820" s="3" t="inlineStr">
        <is>
          <t>코스리거글로벌</t>
        </is>
      </c>
      <c r="G3820" s="2" t="inlineStr">
        <is>
          <t>20260310900836</t>
        </is>
      </c>
      <c r="H3820" s="8">
        <f>HYPERLINK("https://dart.fss.or.kr/dsaf001/main.do?rcpNo=20260310900836", "공시열람")</f>
        <v/>
      </c>
    </row>
    <row r="3821">
      <c r="A3821" s="2" t="inlineStr">
        <is>
          <t>2026-03-10 (정정: 2026-03-13)</t>
        </is>
      </c>
      <c r="B3821" s="3" t="inlineStr">
        <is>
          <t>팅크웨어</t>
        </is>
      </c>
      <c r="C3821" s="2" t="inlineStr">
        <is>
          <t>코스닥</t>
        </is>
      </c>
      <c r="D3821" s="2" t="inlineStr">
        <is>
          <t>084730</t>
        </is>
      </c>
      <c r="E3821" s="3" t="inlineStr">
        <is>
          <t>의결권대리행사권유참고서류 (정정: 20260313) (정정: 20260313)</t>
        </is>
      </c>
      <c r="F3821" s="3" t="inlineStr">
        <is>
          <t>팅크웨어</t>
        </is>
      </c>
      <c r="G3821" s="2" t="inlineStr">
        <is>
          <t>20260313901927</t>
        </is>
      </c>
      <c r="H3821" s="8">
        <f>HYPERLINK("https://dart.fss.or.kr/dsaf001/main.do?rcpNo=20260313901927", "공시열람")</f>
        <v/>
      </c>
    </row>
    <row r="3822">
      <c r="A3822" s="2" t="inlineStr">
        <is>
          <t>2026-03-10 (정정: 2026-03-10)</t>
        </is>
      </c>
      <c r="B3822" s="3" t="inlineStr">
        <is>
          <t>엔알비</t>
        </is>
      </c>
      <c r="C3822" s="2" t="inlineStr">
        <is>
          <t>코스닥</t>
        </is>
      </c>
      <c r="D3822" s="2" t="inlineStr">
        <is>
          <t>475230</t>
        </is>
      </c>
      <c r="E3822" s="3" t="inlineStr">
        <is>
          <t>주식매수선택권부여에관한신고 (정정: 20260310)</t>
        </is>
      </c>
      <c r="F3822" s="3" t="inlineStr">
        <is>
          <t>엔알비</t>
        </is>
      </c>
      <c r="G3822" s="2" t="inlineStr">
        <is>
          <t>20260310900729</t>
        </is>
      </c>
      <c r="H3822" s="8">
        <f>HYPERLINK("https://dart.fss.or.kr/dsaf001/main.do?rcpNo=20260310900729", "공시열람")</f>
        <v/>
      </c>
    </row>
    <row r="3823">
      <c r="A3823" s="2" t="inlineStr">
        <is>
          <t>2026-03-10</t>
        </is>
      </c>
      <c r="B3823" s="3" t="inlineStr">
        <is>
          <t>케이비아이동국실업</t>
        </is>
      </c>
      <c r="C3823" s="2" t="inlineStr">
        <is>
          <t>코스피</t>
        </is>
      </c>
      <c r="D3823" s="2" t="inlineStr">
        <is>
          <t>001620</t>
        </is>
      </c>
      <c r="E3823" s="3" t="inlineStr">
        <is>
          <t>의결권대리행사권유참고서류</t>
        </is>
      </c>
      <c r="F3823" s="3" t="inlineStr">
        <is>
          <t>케이비아이동국실업</t>
        </is>
      </c>
      <c r="G3823" s="2" t="inlineStr">
        <is>
          <t>20260310002519</t>
        </is>
      </c>
      <c r="H3823" s="8">
        <f>HYPERLINK("https://dart.fss.or.kr/dsaf001/main.do?rcpNo=20260310002519", "공시열람")</f>
        <v/>
      </c>
    </row>
    <row r="3824">
      <c r="A3824" s="2" t="inlineStr">
        <is>
          <t>2026-03-10</t>
        </is>
      </c>
      <c r="B3824" s="3" t="inlineStr">
        <is>
          <t>카프로</t>
        </is>
      </c>
      <c r="C3824" s="2" t="inlineStr">
        <is>
          <t>코스피</t>
        </is>
      </c>
      <c r="D3824" s="2" t="inlineStr">
        <is>
          <t>006380</t>
        </is>
      </c>
      <c r="E3824" s="3" t="inlineStr">
        <is>
          <t>의결권대리행사권유참고서류</t>
        </is>
      </c>
      <c r="F3824" s="3" t="inlineStr">
        <is>
          <t>카프로</t>
        </is>
      </c>
      <c r="G3824" s="2" t="inlineStr">
        <is>
          <t>20260310002518</t>
        </is>
      </c>
      <c r="H3824" s="8">
        <f>HYPERLINK("https://dart.fss.or.kr/dsaf001/main.do?rcpNo=20260310002518", "공시열람")</f>
        <v/>
      </c>
    </row>
    <row r="3825">
      <c r="A3825" s="2" t="inlineStr">
        <is>
          <t>2026-03-10</t>
        </is>
      </c>
      <c r="B3825" s="3" t="inlineStr">
        <is>
          <t>삼성증권</t>
        </is>
      </c>
      <c r="C3825" s="2" t="inlineStr">
        <is>
          <t>코스피</t>
        </is>
      </c>
      <c r="D3825" s="2" t="inlineStr">
        <is>
          <t>016360</t>
        </is>
      </c>
      <c r="E3825" s="3" t="inlineStr">
        <is>
          <t>투자설명서(일괄신고)</t>
        </is>
      </c>
      <c r="F3825" s="3" t="inlineStr">
        <is>
          <t>삼성증권</t>
        </is>
      </c>
      <c r="G3825" s="2" t="inlineStr">
        <is>
          <t>20260310002505</t>
        </is>
      </c>
      <c r="H3825" s="8">
        <f>HYPERLINK("https://dart.fss.or.kr/dsaf001/main.do?rcpNo=20260310002505", "공시열람")</f>
        <v/>
      </c>
    </row>
    <row r="3826">
      <c r="A3826" s="2" t="inlineStr">
        <is>
          <t>2026-03-10 (정정: 2026-06-02)</t>
        </is>
      </c>
      <c r="B3826" s="3" t="inlineStr">
        <is>
          <t>한국피아이엠</t>
        </is>
      </c>
      <c r="C3826" s="2" t="inlineStr">
        <is>
          <t>코스닥</t>
        </is>
      </c>
      <c r="D3826" s="2" t="inlineStr">
        <is>
          <t>448900</t>
        </is>
      </c>
      <c r="E3826" s="3" t="inlineStr">
        <is>
          <t>매출액또는손익구조30%(대규모법인은15%)이상변동               (정정: 20260602)</t>
        </is>
      </c>
      <c r="F3826" s="3" t="inlineStr">
        <is>
          <t>한국피아이엠</t>
        </is>
      </c>
      <c r="G3826" s="2" t="inlineStr">
        <is>
          <t>20260602000385</t>
        </is>
      </c>
      <c r="H3826" s="8">
        <f>HYPERLINK("https://dart.fss.or.kr/dsaf001/main.do?rcpNo=20260602000385", "공시열람")</f>
        <v/>
      </c>
    </row>
    <row r="3827">
      <c r="A3827" s="2" t="inlineStr">
        <is>
          <t>2026-03-10</t>
        </is>
      </c>
      <c r="B3827" s="3" t="inlineStr">
        <is>
          <t>오리엔탈정공</t>
        </is>
      </c>
      <c r="C3827" s="2" t="inlineStr">
        <is>
          <t>코스닥</t>
        </is>
      </c>
      <c r="D3827" s="2" t="inlineStr">
        <is>
          <t>014940</t>
        </is>
      </c>
      <c r="E3827" s="3" t="inlineStr">
        <is>
          <t xml:space="preserve">감사보고서제출              </t>
        </is>
      </c>
      <c r="F3827" s="3" t="inlineStr">
        <is>
          <t>오리엔탈정공</t>
        </is>
      </c>
      <c r="G3827" s="2" t="inlineStr">
        <is>
          <t>20260310900801</t>
        </is>
      </c>
      <c r="H3827" s="8">
        <f>HYPERLINK("https://dart.fss.or.kr/dsaf001/main.do?rcpNo=20260310900801", "공시열람")</f>
        <v/>
      </c>
    </row>
    <row r="3828">
      <c r="A3828" s="2" t="inlineStr">
        <is>
          <t>2026-03-10</t>
        </is>
      </c>
      <c r="B3828" s="3" t="inlineStr">
        <is>
          <t>삼성증권</t>
        </is>
      </c>
      <c r="C3828" s="2" t="inlineStr">
        <is>
          <t>코스피</t>
        </is>
      </c>
      <c r="D3828" s="2" t="inlineStr">
        <is>
          <t>016360</t>
        </is>
      </c>
      <c r="E3828" s="3" t="inlineStr">
        <is>
          <t>투자설명서(일괄신고)</t>
        </is>
      </c>
      <c r="F3828" s="3" t="inlineStr">
        <is>
          <t>삼성증권</t>
        </is>
      </c>
      <c r="G3828" s="2" t="inlineStr">
        <is>
          <t>20260310002498</t>
        </is>
      </c>
      <c r="H3828" s="8">
        <f>HYPERLINK("https://dart.fss.or.kr/dsaf001/main.do?rcpNo=20260310002498", "공시열람")</f>
        <v/>
      </c>
    </row>
    <row r="3829">
      <c r="A3829" s="2" t="inlineStr">
        <is>
          <t>2026-03-10</t>
        </is>
      </c>
      <c r="B3829" s="3" t="inlineStr">
        <is>
          <t>알비더블유</t>
        </is>
      </c>
      <c r="C3829" s="2" t="inlineStr">
        <is>
          <t>코스닥</t>
        </is>
      </c>
      <c r="D3829" s="2" t="inlineStr">
        <is>
          <t>361570</t>
        </is>
      </c>
      <c r="E3829" s="3" t="inlineStr">
        <is>
          <t>임원ㆍ주요주주특정증권등소유상황보고서</t>
        </is>
      </c>
      <c r="F3829" s="3" t="inlineStr">
        <is>
          <t>김진우</t>
        </is>
      </c>
      <c r="G3829" s="2" t="inlineStr">
        <is>
          <t>20260310002495</t>
        </is>
      </c>
      <c r="H3829" s="8">
        <f>HYPERLINK("https://dart.fss.or.kr/dsaf001/main.do?rcpNo=20260310002495", "공시열람")</f>
        <v/>
      </c>
    </row>
    <row r="3830">
      <c r="A3830" s="2" t="inlineStr">
        <is>
          <t>2026-03-10 (정정: 2026-03-19)</t>
        </is>
      </c>
      <c r="B3830" s="3" t="inlineStr">
        <is>
          <t>성광벤드</t>
        </is>
      </c>
      <c r="C3830" s="2" t="inlineStr">
        <is>
          <t>코스닥</t>
        </is>
      </c>
      <c r="D3830" s="2" t="inlineStr">
        <is>
          <t>014620</t>
        </is>
      </c>
      <c r="E3830" s="3" t="inlineStr">
        <is>
          <t>의결권대리행사권유참고서류 (정정: 20260319)</t>
        </is>
      </c>
      <c r="F3830" s="3" t="inlineStr">
        <is>
          <t>성광벤드</t>
        </is>
      </c>
      <c r="G3830" s="2" t="inlineStr">
        <is>
          <t>20260319000223</t>
        </is>
      </c>
      <c r="H3830" s="8">
        <f>HYPERLINK("https://dart.fss.or.kr/dsaf001/main.do?rcpNo=20260319000223", "공시열람")</f>
        <v/>
      </c>
    </row>
    <row r="3831">
      <c r="A3831" s="2" t="inlineStr">
        <is>
          <t>2026-03-10</t>
        </is>
      </c>
      <c r="B3831" s="3" t="inlineStr">
        <is>
          <t>진양폴리우레탄</t>
        </is>
      </c>
      <c r="C3831" s="2" t="inlineStr">
        <is>
          <t>코스피</t>
        </is>
      </c>
      <c r="D3831" s="2" t="inlineStr">
        <is>
          <t>010640</t>
        </is>
      </c>
      <c r="E3831" s="3" t="inlineStr">
        <is>
          <t>사외이사의선임ㆍ해임또는중도퇴임에관한신고</t>
        </is>
      </c>
      <c r="F3831" s="3" t="inlineStr">
        <is>
          <t>진양폴리우레탄</t>
        </is>
      </c>
      <c r="G3831" s="2" t="inlineStr">
        <is>
          <t>20260310002485</t>
        </is>
      </c>
      <c r="H3831" s="8">
        <f>HYPERLINK("https://dart.fss.or.kr/dsaf001/main.do?rcpNo=20260310002485", "공시열람")</f>
        <v/>
      </c>
    </row>
    <row r="3832">
      <c r="A3832" s="2" t="inlineStr">
        <is>
          <t>2026-03-10</t>
        </is>
      </c>
      <c r="B3832" s="3" t="inlineStr">
        <is>
          <t>에이디테크놀로지</t>
        </is>
      </c>
      <c r="C3832" s="2" t="inlineStr">
        <is>
          <t>코스닥</t>
        </is>
      </c>
      <c r="D3832" s="2" t="inlineStr">
        <is>
          <t>200710</t>
        </is>
      </c>
      <c r="E3832" s="3" t="inlineStr">
        <is>
          <t xml:space="preserve">기업설명회(IR)개최              </t>
        </is>
      </c>
      <c r="F3832" s="3" t="inlineStr">
        <is>
          <t>에이디테크놀로지</t>
        </is>
      </c>
      <c r="G3832" s="2" t="inlineStr">
        <is>
          <t>20260310900826</t>
        </is>
      </c>
      <c r="H3832" s="8">
        <f>HYPERLINK("https://dart.fss.or.kr/dsaf001/main.do?rcpNo=20260310900826", "공시열람")</f>
        <v/>
      </c>
    </row>
    <row r="3833">
      <c r="A3833" s="2" t="inlineStr">
        <is>
          <t>2026-03-10</t>
        </is>
      </c>
      <c r="B3833" s="3" t="inlineStr">
        <is>
          <t>OCI홀딩스</t>
        </is>
      </c>
      <c r="C3833" s="2" t="inlineStr">
        <is>
          <t>코스피</t>
        </is>
      </c>
      <c r="D3833" s="2" t="inlineStr">
        <is>
          <t>010060</t>
        </is>
      </c>
      <c r="E3833" s="3" t="inlineStr">
        <is>
          <t>의결권대리행사권유참고서류</t>
        </is>
      </c>
      <c r="F3833" s="3" t="inlineStr">
        <is>
          <t>OCI홀딩스</t>
        </is>
      </c>
      <c r="G3833" s="2" t="inlineStr">
        <is>
          <t>20260310002480</t>
        </is>
      </c>
      <c r="H3833" s="8">
        <f>HYPERLINK("https://dart.fss.or.kr/dsaf001/main.do?rcpNo=20260310002480", "공시열람")</f>
        <v/>
      </c>
    </row>
    <row r="3834">
      <c r="A3834" s="2" t="inlineStr">
        <is>
          <t>2026-03-10</t>
        </is>
      </c>
      <c r="B3834" s="3" t="inlineStr">
        <is>
          <t>대림제지</t>
        </is>
      </c>
      <c r="C3834" s="2" t="inlineStr">
        <is>
          <t>코스닥</t>
        </is>
      </c>
      <c r="D3834" s="2" t="inlineStr">
        <is>
          <t>017650</t>
        </is>
      </c>
      <c r="E3834" s="3" t="inlineStr">
        <is>
          <t xml:space="preserve">현금ㆍ현물배당결정              </t>
        </is>
      </c>
      <c r="F3834" s="3" t="inlineStr">
        <is>
          <t>대림제지</t>
        </is>
      </c>
      <c r="G3834" s="2" t="inlineStr">
        <is>
          <t>20260310900737</t>
        </is>
      </c>
      <c r="H3834" s="8">
        <f>HYPERLINK("https://dart.fss.or.kr/dsaf001/main.do?rcpNo=20260310900737", "공시열람")</f>
        <v/>
      </c>
    </row>
    <row r="3835">
      <c r="A3835" s="2" t="inlineStr">
        <is>
          <t>2026-03-10</t>
        </is>
      </c>
      <c r="B3835" s="3" t="inlineStr">
        <is>
          <t>디와이씨</t>
        </is>
      </c>
      <c r="C3835" s="2" t="inlineStr">
        <is>
          <t>코스닥</t>
        </is>
      </c>
      <c r="D3835" s="2" t="inlineStr">
        <is>
          <t>310870</t>
        </is>
      </c>
      <c r="E3835" s="3" t="inlineStr">
        <is>
          <t xml:space="preserve">현금ㆍ현물배당결정              </t>
        </is>
      </c>
      <c r="F3835" s="3" t="inlineStr">
        <is>
          <t>디와이씨</t>
        </is>
      </c>
      <c r="G3835" s="2" t="inlineStr">
        <is>
          <t>20260310900710</t>
        </is>
      </c>
      <c r="H3835" s="8">
        <f>HYPERLINK("https://dart.fss.or.kr/dsaf001/main.do?rcpNo=20260310900710", "공시열람")</f>
        <v/>
      </c>
    </row>
    <row r="3836">
      <c r="A3836" s="2" t="inlineStr">
        <is>
          <t>2026-03-10 (정정: 2026-03-13)</t>
        </is>
      </c>
      <c r="B3836" s="3" t="inlineStr">
        <is>
          <t>DH오토리드</t>
        </is>
      </c>
      <c r="C3836" s="2" t="inlineStr">
        <is>
          <t>코스닥</t>
        </is>
      </c>
      <c r="D3836" s="2" t="inlineStr">
        <is>
          <t>290120</t>
        </is>
      </c>
      <c r="E3836" s="3" t="inlineStr">
        <is>
          <t>전환가액의조정               (정정: 20260313)</t>
        </is>
      </c>
      <c r="F3836" s="3" t="inlineStr">
        <is>
          <t>DH오토리드</t>
        </is>
      </c>
      <c r="G3836" s="2" t="inlineStr">
        <is>
          <t>20260313902324</t>
        </is>
      </c>
      <c r="H3836" s="8">
        <f>HYPERLINK("https://dart.fss.or.kr/dsaf001/main.do?rcpNo=20260313902324", "공시열람")</f>
        <v/>
      </c>
    </row>
    <row r="3837">
      <c r="A3837" s="2" t="inlineStr">
        <is>
          <t>2026-03-10</t>
        </is>
      </c>
      <c r="B3837" s="3" t="inlineStr">
        <is>
          <t>드림어스컴퍼니</t>
        </is>
      </c>
      <c r="C3837" s="2" t="inlineStr">
        <is>
          <t>코스닥</t>
        </is>
      </c>
      <c r="D3837" s="2" t="inlineStr">
        <is>
          <t>060570</t>
        </is>
      </c>
      <c r="E3837" s="3" t="inlineStr">
        <is>
          <t>의결권대리행사권유참고서류</t>
        </is>
      </c>
      <c r="F3837" s="3" t="inlineStr">
        <is>
          <t>드림어스컴퍼니</t>
        </is>
      </c>
      <c r="G3837" s="2" t="inlineStr">
        <is>
          <t>20260310002474</t>
        </is>
      </c>
      <c r="H3837" s="8">
        <f>HYPERLINK("https://dart.fss.or.kr/dsaf001/main.do?rcpNo=20260310002474", "공시열람")</f>
        <v/>
      </c>
    </row>
    <row r="3838">
      <c r="A3838" s="2" t="inlineStr">
        <is>
          <t>2026-03-10</t>
        </is>
      </c>
      <c r="B3838" s="3" t="inlineStr">
        <is>
          <t>솔트웨어</t>
        </is>
      </c>
      <c r="C3838" s="2" t="inlineStr">
        <is>
          <t>코스닥</t>
        </is>
      </c>
      <c r="D3838" s="2" t="inlineStr">
        <is>
          <t>328380</t>
        </is>
      </c>
      <c r="E3838" s="3" t="inlineStr">
        <is>
          <t xml:space="preserve">감사보고서제출              </t>
        </is>
      </c>
      <c r="F3838" s="3" t="inlineStr">
        <is>
          <t>솔트웨어</t>
        </is>
      </c>
      <c r="G3838" s="2" t="inlineStr">
        <is>
          <t>20260310900783</t>
        </is>
      </c>
      <c r="H3838" s="8">
        <f>HYPERLINK("https://dart.fss.or.kr/dsaf001/main.do?rcpNo=20260310900783", "공시열람")</f>
        <v/>
      </c>
    </row>
    <row r="3839">
      <c r="A3839" s="2" t="inlineStr">
        <is>
          <t>2026-03-10</t>
        </is>
      </c>
      <c r="B3839" s="3" t="inlineStr">
        <is>
          <t>씨티케이</t>
        </is>
      </c>
      <c r="C3839" s="2" t="inlineStr">
        <is>
          <t>코스닥</t>
        </is>
      </c>
      <c r="D3839" s="2" t="inlineStr">
        <is>
          <t>260930</t>
        </is>
      </c>
      <c r="E3839" s="3" t="inlineStr">
        <is>
          <t xml:space="preserve">기업설명회(IR)개최              </t>
        </is>
      </c>
      <c r="F3839" s="3" t="inlineStr">
        <is>
          <t>씨티케이</t>
        </is>
      </c>
      <c r="G3839" s="2" t="inlineStr">
        <is>
          <t>20260310900784</t>
        </is>
      </c>
      <c r="H3839" s="8">
        <f>HYPERLINK("https://dart.fss.or.kr/dsaf001/main.do?rcpNo=20260310900784", "공시열람")</f>
        <v/>
      </c>
    </row>
    <row r="3840">
      <c r="A3840" s="2" t="inlineStr">
        <is>
          <t>2026-03-10</t>
        </is>
      </c>
      <c r="B3840" s="3" t="inlineStr">
        <is>
          <t>KB제29호스팩</t>
        </is>
      </c>
      <c r="C3840" s="2" t="inlineStr">
        <is>
          <t>코스닥</t>
        </is>
      </c>
      <c r="D3840" s="2" t="inlineStr">
        <is>
          <t>478390</t>
        </is>
      </c>
      <c r="E3840" s="3" t="inlineStr">
        <is>
          <t xml:space="preserve">감사보고서제출              </t>
        </is>
      </c>
      <c r="F3840" s="3" t="inlineStr">
        <is>
          <t>KB제29호스팩</t>
        </is>
      </c>
      <c r="G3840" s="2" t="inlineStr">
        <is>
          <t>20260310900731</t>
        </is>
      </c>
      <c r="H3840" s="8">
        <f>HYPERLINK("https://dart.fss.or.kr/dsaf001/main.do?rcpNo=20260310900731", "공시열람")</f>
        <v/>
      </c>
    </row>
    <row r="3841">
      <c r="A3841" s="2" t="inlineStr">
        <is>
          <t>2026-03-10</t>
        </is>
      </c>
      <c r="B3841" s="3" t="inlineStr">
        <is>
          <t>키움히어로제2호스팩</t>
        </is>
      </c>
      <c r="C3841" s="2" t="inlineStr">
        <is>
          <t>코스닥</t>
        </is>
      </c>
      <c r="D3841" s="2" t="inlineStr">
        <is>
          <t>0131D0</t>
        </is>
      </c>
      <c r="E3841" s="3" t="inlineStr">
        <is>
          <t>증권신고서(지분증권)</t>
        </is>
      </c>
      <c r="F3841" s="3" t="inlineStr">
        <is>
          <t>키움히어로제2호스팩</t>
        </is>
      </c>
      <c r="G3841" s="2" t="inlineStr">
        <is>
          <t>20260310002454</t>
        </is>
      </c>
      <c r="H3841" s="8">
        <f>HYPERLINK("https://dart.fss.or.kr/dsaf001/main.do?rcpNo=20260310002454", "공시열람")</f>
        <v/>
      </c>
    </row>
    <row r="3842">
      <c r="A3842" s="2" t="inlineStr">
        <is>
          <t>2026-03-10</t>
        </is>
      </c>
      <c r="B3842" s="3" t="inlineStr">
        <is>
          <t>미래에셋증권</t>
        </is>
      </c>
      <c r="C3842" s="2" t="inlineStr">
        <is>
          <t>코스피</t>
        </is>
      </c>
      <c r="D3842" s="2" t="inlineStr">
        <is>
          <t>006800</t>
        </is>
      </c>
      <c r="E3842" s="3" t="inlineStr">
        <is>
          <t>투자설명서(일괄신고)</t>
        </is>
      </c>
      <c r="F3842" s="3" t="inlineStr">
        <is>
          <t>미래에셋증권</t>
        </is>
      </c>
      <c r="G3842" s="2" t="inlineStr">
        <is>
          <t>20260310002451</t>
        </is>
      </c>
      <c r="H3842" s="8">
        <f>HYPERLINK("https://dart.fss.or.kr/dsaf001/main.do?rcpNo=20260310002451", "공시열람")</f>
        <v/>
      </c>
    </row>
    <row r="3843">
      <c r="A3843" s="2" t="inlineStr">
        <is>
          <t>2026-03-10</t>
        </is>
      </c>
      <c r="B3843" s="3" t="inlineStr">
        <is>
          <t>씨어스</t>
        </is>
      </c>
      <c r="C3843" s="2" t="inlineStr">
        <is>
          <t>코스닥</t>
        </is>
      </c>
      <c r="D3843" s="2" t="inlineStr">
        <is>
          <t>458870</t>
        </is>
      </c>
      <c r="E3843" s="3" t="inlineStr">
        <is>
          <t xml:space="preserve">주주명부폐쇄기간또는기준일설정              </t>
        </is>
      </c>
      <c r="F3843" s="3" t="inlineStr">
        <is>
          <t>씨어스</t>
        </is>
      </c>
      <c r="G3843" s="2" t="inlineStr">
        <is>
          <t>20260310900680</t>
        </is>
      </c>
      <c r="H3843" s="8">
        <f>HYPERLINK("https://dart.fss.or.kr/dsaf001/main.do?rcpNo=20260310900680", "공시열람")</f>
        <v/>
      </c>
    </row>
    <row r="3844">
      <c r="A3844" s="2" t="inlineStr">
        <is>
          <t>2026-03-10</t>
        </is>
      </c>
      <c r="B3844" s="3" t="inlineStr">
        <is>
          <t>아이엠바이오로직스</t>
        </is>
      </c>
      <c r="C3844" s="2" t="inlineStr">
        <is>
          <t>코스닥</t>
        </is>
      </c>
      <c r="D3844" s="2" t="inlineStr">
        <is>
          <t>493280</t>
        </is>
      </c>
      <c r="E3844" s="3" t="inlineStr">
        <is>
          <t>[발행조건확정]증권신고서(지분증권)</t>
        </is>
      </c>
      <c r="F3844" s="3" t="inlineStr">
        <is>
          <t>아이엠바이오로직스</t>
        </is>
      </c>
      <c r="G3844" s="2" t="inlineStr">
        <is>
          <t>20260310002450</t>
        </is>
      </c>
      <c r="H3844" s="8">
        <f>HYPERLINK("https://dart.fss.or.kr/dsaf001/main.do?rcpNo=20260310002450", "공시열람")</f>
        <v/>
      </c>
    </row>
    <row r="3845">
      <c r="A3845" s="2" t="inlineStr">
        <is>
          <t>2026-03-10</t>
        </is>
      </c>
      <c r="B3845" s="3" t="inlineStr">
        <is>
          <t>코리안리</t>
        </is>
      </c>
      <c r="C3845" s="2" t="inlineStr">
        <is>
          <t>코스피</t>
        </is>
      </c>
      <c r="D3845" s="2" t="inlineStr">
        <is>
          <t>003690</t>
        </is>
      </c>
      <c r="E3845" s="3" t="inlineStr">
        <is>
          <t>임원ㆍ주요주주특정증권등소유상황보고서</t>
        </is>
      </c>
      <c r="F3845" s="3" t="inlineStr">
        <is>
          <t>이필규</t>
        </is>
      </c>
      <c r="G3845" s="2" t="inlineStr">
        <is>
          <t>20260310002446</t>
        </is>
      </c>
      <c r="H3845" s="8">
        <f>HYPERLINK("https://dart.fss.or.kr/dsaf001/main.do?rcpNo=20260310002446", "공시열람")</f>
        <v/>
      </c>
    </row>
    <row r="3846">
      <c r="A3846" s="2" t="inlineStr">
        <is>
          <t>2026-03-10</t>
        </is>
      </c>
      <c r="B3846" s="3" t="inlineStr">
        <is>
          <t>아모텍</t>
        </is>
      </c>
      <c r="C3846" s="2" t="inlineStr">
        <is>
          <t>코스닥</t>
        </is>
      </c>
      <c r="D3846" s="2" t="inlineStr">
        <is>
          <t>052710</t>
        </is>
      </c>
      <c r="E3846" s="3" t="inlineStr">
        <is>
          <t>의결권대리행사권유참고서류</t>
        </is>
      </c>
      <c r="F3846" s="3" t="inlineStr">
        <is>
          <t>아모텍</t>
        </is>
      </c>
      <c r="G3846" s="2" t="inlineStr">
        <is>
          <t>20260310002442</t>
        </is>
      </c>
      <c r="H3846" s="8">
        <f>HYPERLINK("https://dart.fss.or.kr/dsaf001/main.do?rcpNo=20260310002442", "공시열람")</f>
        <v/>
      </c>
    </row>
    <row r="3847">
      <c r="A3847" s="2" t="inlineStr">
        <is>
          <t>2026-03-10</t>
        </is>
      </c>
      <c r="B3847" s="3" t="inlineStr">
        <is>
          <t>옵투스제약</t>
        </is>
      </c>
      <c r="C3847" s="2" t="inlineStr">
        <is>
          <t>코스닥</t>
        </is>
      </c>
      <c r="D3847" s="2" t="inlineStr">
        <is>
          <t>131030</t>
        </is>
      </c>
      <c r="E3847" s="3" t="inlineStr">
        <is>
          <t xml:space="preserve">감사보고서제출              </t>
        </is>
      </c>
      <c r="F3847" s="3" t="inlineStr">
        <is>
          <t>옵투스제약</t>
        </is>
      </c>
      <c r="G3847" s="2" t="inlineStr">
        <is>
          <t>20260310900712</t>
        </is>
      </c>
      <c r="H3847" s="8">
        <f>HYPERLINK("https://dart.fss.or.kr/dsaf001/main.do?rcpNo=20260310900712", "공시열람")</f>
        <v/>
      </c>
    </row>
    <row r="3848">
      <c r="A3848" s="2" t="inlineStr">
        <is>
          <t>2026-03-10</t>
        </is>
      </c>
      <c r="B3848" s="3" t="inlineStr">
        <is>
          <t>미래에셋증권</t>
        </is>
      </c>
      <c r="C3848" s="2" t="inlineStr">
        <is>
          <t>코스피</t>
        </is>
      </c>
      <c r="D3848" s="2" t="inlineStr">
        <is>
          <t>006800</t>
        </is>
      </c>
      <c r="E3848" s="3" t="inlineStr">
        <is>
          <t>일괄신고추가서류(파생결합증권-주식워런트증권)</t>
        </is>
      </c>
      <c r="F3848" s="3" t="inlineStr">
        <is>
          <t>미래에셋증권</t>
        </is>
      </c>
      <c r="G3848" s="2" t="inlineStr">
        <is>
          <t>20260310002438</t>
        </is>
      </c>
      <c r="H3848" s="8">
        <f>HYPERLINK("https://dart.fss.or.kr/dsaf001/main.do?rcpNo=20260310002438", "공시열람")</f>
        <v/>
      </c>
    </row>
    <row r="3849">
      <c r="A3849" s="2" t="inlineStr">
        <is>
          <t>2026-03-10</t>
        </is>
      </c>
      <c r="B3849" s="3" t="inlineStr">
        <is>
          <t>케이비아이동국실업</t>
        </is>
      </c>
      <c r="C3849" s="2" t="inlineStr">
        <is>
          <t>코스피</t>
        </is>
      </c>
      <c r="D3849" s="2" t="inlineStr">
        <is>
          <t>001620</t>
        </is>
      </c>
      <c r="E3849" s="3" t="inlineStr">
        <is>
          <t xml:space="preserve">주식병합결정              </t>
        </is>
      </c>
      <c r="F3849" s="3" t="inlineStr">
        <is>
          <t>케이비아이동국실업</t>
        </is>
      </c>
      <c r="G3849" s="2" t="inlineStr">
        <is>
          <t>20260310800693</t>
        </is>
      </c>
      <c r="H3849" s="8">
        <f>HYPERLINK("https://dart.fss.or.kr/dsaf001/main.do?rcpNo=20260310800693", "공시열람")</f>
        <v/>
      </c>
    </row>
    <row r="3850">
      <c r="A3850" s="2" t="inlineStr">
        <is>
          <t>2026-03-10</t>
        </is>
      </c>
      <c r="B3850" s="3" t="inlineStr">
        <is>
          <t>비츠로셀</t>
        </is>
      </c>
      <c r="C3850" s="2" t="inlineStr">
        <is>
          <t>코스닥</t>
        </is>
      </c>
      <c r="D3850" s="2" t="inlineStr">
        <is>
          <t>082920</t>
        </is>
      </c>
      <c r="E3850" s="3" t="inlineStr">
        <is>
          <t>의결권대리행사권유참고서류</t>
        </is>
      </c>
      <c r="F3850" s="3" t="inlineStr">
        <is>
          <t>비츠로셀</t>
        </is>
      </c>
      <c r="G3850" s="2" t="inlineStr">
        <is>
          <t>20260310002433</t>
        </is>
      </c>
      <c r="H3850" s="8">
        <f>HYPERLINK("https://dart.fss.or.kr/dsaf001/main.do?rcpNo=20260310002433", "공시열람")</f>
        <v/>
      </c>
    </row>
    <row r="3851">
      <c r="A3851" s="2" t="inlineStr">
        <is>
          <t>2026-03-10</t>
        </is>
      </c>
      <c r="B3851" s="3" t="inlineStr">
        <is>
          <t>미래에셋증권</t>
        </is>
      </c>
      <c r="C3851" s="2" t="inlineStr">
        <is>
          <t>코스피</t>
        </is>
      </c>
      <c r="D3851" s="2" t="inlineStr">
        <is>
          <t>006800</t>
        </is>
      </c>
      <c r="E3851" s="3" t="inlineStr">
        <is>
          <t>증권발행실적보고서</t>
        </is>
      </c>
      <c r="F3851" s="3" t="inlineStr">
        <is>
          <t>미래에셋증권</t>
        </is>
      </c>
      <c r="G3851" s="2" t="inlineStr">
        <is>
          <t>20260310002432</t>
        </is>
      </c>
      <c r="H3851" s="8">
        <f>HYPERLINK("https://dart.fss.or.kr/dsaf001/main.do?rcpNo=20260310002432", "공시열람")</f>
        <v/>
      </c>
    </row>
    <row r="3852">
      <c r="A3852" s="2" t="inlineStr">
        <is>
          <t>2026-03-10</t>
        </is>
      </c>
      <c r="B3852" s="3" t="inlineStr">
        <is>
          <t>정원엔시스</t>
        </is>
      </c>
      <c r="C3852" s="2" t="inlineStr">
        <is>
          <t>코스닥</t>
        </is>
      </c>
      <c r="D3852" s="2" t="inlineStr">
        <is>
          <t>045510</t>
        </is>
      </c>
      <c r="E3852" s="3" t="inlineStr">
        <is>
          <t>의결권대리행사권유참고서류</t>
        </is>
      </c>
      <c r="F3852" s="3" t="inlineStr">
        <is>
          <t>정원엔시스</t>
        </is>
      </c>
      <c r="G3852" s="2" t="inlineStr">
        <is>
          <t>20260310002429</t>
        </is>
      </c>
      <c r="H3852" s="8">
        <f>HYPERLINK("https://dart.fss.or.kr/dsaf001/main.do?rcpNo=20260310002429", "공시열람")</f>
        <v/>
      </c>
    </row>
    <row r="3853">
      <c r="A3853" s="2" t="inlineStr">
        <is>
          <t>2026-03-10</t>
        </is>
      </c>
      <c r="B3853" s="3" t="inlineStr">
        <is>
          <t>제이씨현시스템</t>
        </is>
      </c>
      <c r="C3853" s="2" t="inlineStr">
        <is>
          <t>코스닥</t>
        </is>
      </c>
      <c r="D3853" s="2" t="inlineStr">
        <is>
          <t>033320</t>
        </is>
      </c>
      <c r="E3853" s="3" t="inlineStr">
        <is>
          <t xml:space="preserve">매출액또는손익구조30%(대규모법인은15%)이상변동              </t>
        </is>
      </c>
      <c r="F3853" s="3" t="inlineStr">
        <is>
          <t>제이씨현시스템</t>
        </is>
      </c>
      <c r="G3853" s="2" t="inlineStr">
        <is>
          <t>20260310900673</t>
        </is>
      </c>
      <c r="H3853" s="8">
        <f>HYPERLINK("https://dart.fss.or.kr/dsaf001/main.do?rcpNo=20260310900673", "공시열람")</f>
        <v/>
      </c>
    </row>
    <row r="3854">
      <c r="A3854" s="2" t="inlineStr">
        <is>
          <t>2026-03-10</t>
        </is>
      </c>
      <c r="B3854" s="3" t="inlineStr">
        <is>
          <t>코나아이</t>
        </is>
      </c>
      <c r="C3854" s="2" t="inlineStr">
        <is>
          <t>코스닥</t>
        </is>
      </c>
      <c r="D3854" s="2" t="inlineStr">
        <is>
          <t>052400</t>
        </is>
      </c>
      <c r="E3854" s="3" t="inlineStr">
        <is>
          <t>의결권대리행사권유참고서류</t>
        </is>
      </c>
      <c r="F3854" s="3" t="inlineStr">
        <is>
          <t>백승구</t>
        </is>
      </c>
      <c r="G3854" s="2" t="inlineStr">
        <is>
          <t>20260310002427</t>
        </is>
      </c>
      <c r="H3854" s="8">
        <f>HYPERLINK("https://dart.fss.or.kr/dsaf001/main.do?rcpNo=20260310002427", "공시열람")</f>
        <v/>
      </c>
    </row>
    <row r="3855">
      <c r="A3855" s="2" t="inlineStr">
        <is>
          <t>2026-03-10</t>
        </is>
      </c>
      <c r="B3855" s="3" t="inlineStr">
        <is>
          <t>대상홀딩스</t>
        </is>
      </c>
      <c r="C3855" s="2" t="inlineStr">
        <is>
          <t>코스피</t>
        </is>
      </c>
      <c r="D3855" s="2" t="inlineStr">
        <is>
          <t>084690</t>
        </is>
      </c>
      <c r="E3855" s="3" t="inlineStr">
        <is>
          <t xml:space="preserve">현금ㆍ현물배당을위한주주명부폐쇄(기준일)결정              </t>
        </is>
      </c>
      <c r="F3855" s="3" t="inlineStr">
        <is>
          <t>대상홀딩스</t>
        </is>
      </c>
      <c r="G3855" s="2" t="inlineStr">
        <is>
          <t>20260310800723</t>
        </is>
      </c>
      <c r="H3855" s="8">
        <f>HYPERLINK("https://dart.fss.or.kr/dsaf001/main.do?rcpNo=20260310800723", "공시열람")</f>
        <v/>
      </c>
    </row>
    <row r="3856">
      <c r="A3856" s="2" t="inlineStr">
        <is>
          <t>2026-03-10</t>
        </is>
      </c>
      <c r="B3856" s="3" t="inlineStr">
        <is>
          <t>삼성증권</t>
        </is>
      </c>
      <c r="C3856" s="2" t="inlineStr">
        <is>
          <t>코스피</t>
        </is>
      </c>
      <c r="D3856" s="2" t="inlineStr">
        <is>
          <t>016360</t>
        </is>
      </c>
      <c r="E3856" s="3" t="inlineStr">
        <is>
          <t>일괄신고추가서류(파생결합증권-상장지수증권)</t>
        </is>
      </c>
      <c r="F3856" s="3" t="inlineStr">
        <is>
          <t>삼성증권</t>
        </is>
      </c>
      <c r="G3856" s="2" t="inlineStr">
        <is>
          <t>20260310002423</t>
        </is>
      </c>
      <c r="H3856" s="8">
        <f>HYPERLINK("https://dart.fss.or.kr/dsaf001/main.do?rcpNo=20260310002423", "공시열람")</f>
        <v/>
      </c>
    </row>
    <row r="3857">
      <c r="A3857" s="2" t="inlineStr">
        <is>
          <t>2026-03-10</t>
        </is>
      </c>
      <c r="B3857" s="3" t="inlineStr">
        <is>
          <t>대상홀딩스</t>
        </is>
      </c>
      <c r="C3857" s="2" t="inlineStr">
        <is>
          <t>코스피</t>
        </is>
      </c>
      <c r="D3857" s="2" t="inlineStr">
        <is>
          <t>084690</t>
        </is>
      </c>
      <c r="E3857" s="3" t="inlineStr">
        <is>
          <t xml:space="preserve">현금ㆍ현물배당결정              </t>
        </is>
      </c>
      <c r="F3857" s="3" t="inlineStr">
        <is>
          <t>대상홀딩스</t>
        </is>
      </c>
      <c r="G3857" s="2" t="inlineStr">
        <is>
          <t>20260310800718</t>
        </is>
      </c>
      <c r="H3857" s="8">
        <f>HYPERLINK("https://dart.fss.or.kr/dsaf001/main.do?rcpNo=20260310800718", "공시열람")</f>
        <v/>
      </c>
    </row>
    <row r="3858">
      <c r="A3858" s="2" t="inlineStr">
        <is>
          <t>2026-03-10</t>
        </is>
      </c>
      <c r="B3858" s="3" t="inlineStr">
        <is>
          <t>제노코</t>
        </is>
      </c>
      <c r="C3858" s="2" t="inlineStr">
        <is>
          <t>코스닥</t>
        </is>
      </c>
      <c r="D3858" s="2" t="inlineStr">
        <is>
          <t>361390</t>
        </is>
      </c>
      <c r="E3858" s="3" t="inlineStr">
        <is>
          <t>의결권대리행사권유참고서류</t>
        </is>
      </c>
      <c r="F3858" s="3" t="inlineStr">
        <is>
          <t>제노코</t>
        </is>
      </c>
      <c r="G3858" s="2" t="inlineStr">
        <is>
          <t>20260310002417</t>
        </is>
      </c>
      <c r="H3858" s="8">
        <f>HYPERLINK("https://dart.fss.or.kr/dsaf001/main.do?rcpNo=20260310002417", "공시열람")</f>
        <v/>
      </c>
    </row>
    <row r="3859">
      <c r="A3859" s="2" t="inlineStr">
        <is>
          <t>2026-03-10</t>
        </is>
      </c>
      <c r="B3859" s="3" t="inlineStr">
        <is>
          <t>미래에셋증권</t>
        </is>
      </c>
      <c r="C3859" s="2" t="inlineStr">
        <is>
          <t>코스피</t>
        </is>
      </c>
      <c r="D3859" s="2" t="inlineStr">
        <is>
          <t>006800</t>
        </is>
      </c>
      <c r="E3859" s="3" t="inlineStr">
        <is>
          <t>투자설명서(일괄신고)</t>
        </is>
      </c>
      <c r="F3859" s="3" t="inlineStr">
        <is>
          <t>미래에셋증권</t>
        </is>
      </c>
      <c r="G3859" s="2" t="inlineStr">
        <is>
          <t>20260310002413</t>
        </is>
      </c>
      <c r="H3859" s="8">
        <f>HYPERLINK("https://dart.fss.or.kr/dsaf001/main.do?rcpNo=20260310002413", "공시열람")</f>
        <v/>
      </c>
    </row>
    <row r="3860">
      <c r="A3860" s="2" t="inlineStr">
        <is>
          <t>2026-03-10</t>
        </is>
      </c>
      <c r="B3860" s="3" t="inlineStr">
        <is>
          <t>더본코리아</t>
        </is>
      </c>
      <c r="C3860" s="2" t="inlineStr">
        <is>
          <t>코스피</t>
        </is>
      </c>
      <c r="D3860" s="2" t="inlineStr">
        <is>
          <t>475560</t>
        </is>
      </c>
      <c r="E3860" s="3" t="inlineStr">
        <is>
          <t xml:space="preserve">현금ㆍ현물배당을위한주주명부폐쇄(기준일)결정              </t>
        </is>
      </c>
      <c r="F3860" s="3" t="inlineStr">
        <is>
          <t>더본코리아</t>
        </is>
      </c>
      <c r="G3860" s="2" t="inlineStr">
        <is>
          <t>20260310800672</t>
        </is>
      </c>
      <c r="H3860" s="8">
        <f>HYPERLINK("https://dart.fss.or.kr/dsaf001/main.do?rcpNo=20260310800672", "공시열람")</f>
        <v/>
      </c>
    </row>
    <row r="3861">
      <c r="A3861" s="2" t="inlineStr">
        <is>
          <t>2026-03-10</t>
        </is>
      </c>
      <c r="B3861" s="3" t="inlineStr">
        <is>
          <t>다이나믹솔루션</t>
        </is>
      </c>
      <c r="C3861" s="2" t="inlineStr">
        <is>
          <t>코스닥</t>
        </is>
      </c>
      <c r="D3861" s="2" t="inlineStr">
        <is>
          <t>290660</t>
        </is>
      </c>
      <c r="E3861" s="3" t="inlineStr">
        <is>
          <t xml:space="preserve">주식병합결정              </t>
        </is>
      </c>
      <c r="F3861" s="3" t="inlineStr">
        <is>
          <t>다이나믹솔루션</t>
        </is>
      </c>
      <c r="G3861" s="2" t="inlineStr">
        <is>
          <t>20260310900704</t>
        </is>
      </c>
      <c r="H3861" s="8">
        <f>HYPERLINK("https://dart.fss.or.kr/dsaf001/main.do?rcpNo=20260310900704", "공시열람")</f>
        <v/>
      </c>
    </row>
    <row r="3862">
      <c r="A3862" s="2" t="inlineStr">
        <is>
          <t>2026-03-10 (정정: 2026-03-20)</t>
        </is>
      </c>
      <c r="B3862" s="3" t="inlineStr">
        <is>
          <t>라파스</t>
        </is>
      </c>
      <c r="C3862" s="2" t="inlineStr">
        <is>
          <t>코스닥</t>
        </is>
      </c>
      <c r="D3862" s="2" t="inlineStr">
        <is>
          <t>214260</t>
        </is>
      </c>
      <c r="E3862" s="3" t="inlineStr">
        <is>
          <t>의결권대리행사권유참고서류 (정정: 20260311) (정정: 20260320)</t>
        </is>
      </c>
      <c r="F3862" s="3" t="inlineStr">
        <is>
          <t>라파스</t>
        </is>
      </c>
      <c r="G3862" s="2" t="inlineStr">
        <is>
          <t>20260320001367</t>
        </is>
      </c>
      <c r="H3862" s="8">
        <f>HYPERLINK("https://dart.fss.or.kr/dsaf001/main.do?rcpNo=20260320001367", "공시열람")</f>
        <v/>
      </c>
    </row>
    <row r="3863">
      <c r="A3863" s="2" t="inlineStr">
        <is>
          <t>2026-03-10</t>
        </is>
      </c>
      <c r="B3863" s="3" t="inlineStr">
        <is>
          <t>엔케이</t>
        </is>
      </c>
      <c r="C3863" s="2" t="inlineStr">
        <is>
          <t>코스피</t>
        </is>
      </c>
      <c r="D3863" s="2" t="inlineStr">
        <is>
          <t>085310</t>
        </is>
      </c>
      <c r="E3863" s="3" t="inlineStr">
        <is>
          <t>임원ㆍ주요주주특정증권등소유상황보고서</t>
        </is>
      </c>
      <c r="F3863" s="3" t="inlineStr">
        <is>
          <t>박제완</t>
        </is>
      </c>
      <c r="G3863" s="2" t="inlineStr">
        <is>
          <t>20260310002400</t>
        </is>
      </c>
      <c r="H3863" s="8">
        <f>HYPERLINK("https://dart.fss.or.kr/dsaf001/main.do?rcpNo=20260310002400", "공시열람")</f>
        <v/>
      </c>
    </row>
    <row r="3864">
      <c r="A3864" s="2" t="inlineStr">
        <is>
          <t>2026-03-10</t>
        </is>
      </c>
      <c r="B3864" s="3" t="inlineStr">
        <is>
          <t>미래에셋증권</t>
        </is>
      </c>
      <c r="C3864" s="2" t="inlineStr">
        <is>
          <t>코스피</t>
        </is>
      </c>
      <c r="D3864" s="2" t="inlineStr">
        <is>
          <t>006800</t>
        </is>
      </c>
      <c r="E3864" s="3" t="inlineStr">
        <is>
          <t>투자설명서(일괄신고)</t>
        </is>
      </c>
      <c r="F3864" s="3" t="inlineStr">
        <is>
          <t>미래에셋증권</t>
        </is>
      </c>
      <c r="G3864" s="2" t="inlineStr">
        <is>
          <t>20260310002399</t>
        </is>
      </c>
      <c r="H3864" s="8">
        <f>HYPERLINK("https://dart.fss.or.kr/dsaf001/main.do?rcpNo=20260310002399", "공시열람")</f>
        <v/>
      </c>
    </row>
    <row r="3865">
      <c r="A3865" s="2" t="inlineStr">
        <is>
          <t>2026-03-10</t>
        </is>
      </c>
      <c r="B3865" s="3" t="inlineStr">
        <is>
          <t>샤페론</t>
        </is>
      </c>
      <c r="C3865" s="2" t="inlineStr">
        <is>
          <t>코스닥</t>
        </is>
      </c>
      <c r="D3865" s="2" t="inlineStr">
        <is>
          <t>378800</t>
        </is>
      </c>
      <c r="E3865" s="3" t="inlineStr">
        <is>
          <t>사외이사의선임ㆍ해임또는중도퇴임에관한신고</t>
        </is>
      </c>
      <c r="F3865" s="3" t="inlineStr">
        <is>
          <t>샤페론</t>
        </is>
      </c>
      <c r="G3865" s="2" t="inlineStr">
        <is>
          <t>20260310002395</t>
        </is>
      </c>
      <c r="H3865" s="8">
        <f>HYPERLINK("https://dart.fss.or.kr/dsaf001/main.do?rcpNo=20260310002395", "공시열람")</f>
        <v/>
      </c>
    </row>
    <row r="3866">
      <c r="A3866" s="2" t="inlineStr">
        <is>
          <t>2026-03-10</t>
        </is>
      </c>
      <c r="B3866" s="3" t="inlineStr">
        <is>
          <t>SDN</t>
        </is>
      </c>
      <c r="C3866" s="2" t="inlineStr">
        <is>
          <t>코스닥</t>
        </is>
      </c>
      <c r="D3866" s="2" t="inlineStr">
        <is>
          <t>099220</t>
        </is>
      </c>
      <c r="E3866" s="3" t="inlineStr">
        <is>
          <t>의결권대리행사권유참고서류</t>
        </is>
      </c>
      <c r="F3866" s="3" t="inlineStr">
        <is>
          <t>SDN</t>
        </is>
      </c>
      <c r="G3866" s="2" t="inlineStr">
        <is>
          <t>20260310002392</t>
        </is>
      </c>
      <c r="H3866" s="8">
        <f>HYPERLINK("https://dart.fss.or.kr/dsaf001/main.do?rcpNo=20260310002392", "공시열람")</f>
        <v/>
      </c>
    </row>
    <row r="3867">
      <c r="A3867" s="2" t="inlineStr">
        <is>
          <t>2026-03-10</t>
        </is>
      </c>
      <c r="B3867" s="3" t="inlineStr">
        <is>
          <t>삼성전자</t>
        </is>
      </c>
      <c r="C3867" s="2" t="inlineStr">
        <is>
          <t>코스피</t>
        </is>
      </c>
      <c r="D3867" s="2" t="inlineStr">
        <is>
          <t>005930</t>
        </is>
      </c>
      <c r="E3867" s="3" t="inlineStr">
        <is>
          <t>임원ㆍ주요주주특정증권등소유상황보고서</t>
        </is>
      </c>
      <c r="F3867" s="3" t="inlineStr">
        <is>
          <t>박기루</t>
        </is>
      </c>
      <c r="G3867" s="2" t="inlineStr">
        <is>
          <t>20260310002390</t>
        </is>
      </c>
      <c r="H3867" s="8">
        <f>HYPERLINK("https://dart.fss.or.kr/dsaf001/main.do?rcpNo=20260310002390", "공시열람")</f>
        <v/>
      </c>
    </row>
    <row r="3868">
      <c r="A3868" s="2" t="inlineStr">
        <is>
          <t>2026-03-10</t>
        </is>
      </c>
      <c r="B3868" s="3" t="inlineStr">
        <is>
          <t>카나프테라퓨틱스</t>
        </is>
      </c>
      <c r="C3868" s="2" t="inlineStr">
        <is>
          <t>코스닥</t>
        </is>
      </c>
      <c r="D3868" s="2" t="inlineStr">
        <is>
          <t>0082N0</t>
        </is>
      </c>
      <c r="E3868" s="3" t="inlineStr">
        <is>
          <t>증권발행실적보고서</t>
        </is>
      </c>
      <c r="F3868" s="3" t="inlineStr">
        <is>
          <t>카나프테라퓨틱스</t>
        </is>
      </c>
      <c r="G3868" s="2" t="inlineStr">
        <is>
          <t>20260310002388</t>
        </is>
      </c>
      <c r="H3868" s="8">
        <f>HYPERLINK("https://dart.fss.or.kr/dsaf001/main.do?rcpNo=20260310002388", "공시열람")</f>
        <v/>
      </c>
    </row>
    <row r="3869">
      <c r="A3869" s="2" t="inlineStr">
        <is>
          <t>2026-03-10</t>
        </is>
      </c>
      <c r="B3869" s="3" t="inlineStr">
        <is>
          <t>로체시스템즈</t>
        </is>
      </c>
      <c r="C3869" s="2" t="inlineStr">
        <is>
          <t>코스닥</t>
        </is>
      </c>
      <c r="D3869" s="2" t="inlineStr">
        <is>
          <t>071280</t>
        </is>
      </c>
      <c r="E3869" s="3" t="inlineStr">
        <is>
          <t>의결권대리행사권유참고서류</t>
        </is>
      </c>
      <c r="F3869" s="3" t="inlineStr">
        <is>
          <t>로체시스템즈</t>
        </is>
      </c>
      <c r="G3869" s="2" t="inlineStr">
        <is>
          <t>20260310002384</t>
        </is>
      </c>
      <c r="H3869" s="8">
        <f>HYPERLINK("https://dart.fss.or.kr/dsaf001/main.do?rcpNo=20260310002384", "공시열람")</f>
        <v/>
      </c>
    </row>
    <row r="3870">
      <c r="A3870" s="2" t="inlineStr">
        <is>
          <t>2026-03-10</t>
        </is>
      </c>
      <c r="B3870" s="3" t="inlineStr">
        <is>
          <t>브리지텍</t>
        </is>
      </c>
      <c r="C3870" s="2" t="inlineStr">
        <is>
          <t>코스닥</t>
        </is>
      </c>
      <c r="D3870" s="2" t="inlineStr">
        <is>
          <t>064480</t>
        </is>
      </c>
      <c r="E3870" s="3" t="inlineStr">
        <is>
          <t xml:space="preserve">감사보고서제출              </t>
        </is>
      </c>
      <c r="F3870" s="3" t="inlineStr">
        <is>
          <t>브리지텍</t>
        </is>
      </c>
      <c r="G3870" s="2" t="inlineStr">
        <is>
          <t>20260310900642</t>
        </is>
      </c>
      <c r="H3870" s="8">
        <f>HYPERLINK("https://dart.fss.or.kr/dsaf001/main.do?rcpNo=20260310900642", "공시열람")</f>
        <v/>
      </c>
    </row>
    <row r="3871">
      <c r="A3871" s="2" t="inlineStr">
        <is>
          <t>2026-03-10</t>
        </is>
      </c>
      <c r="B3871" s="3" t="inlineStr">
        <is>
          <t>티에스이</t>
        </is>
      </c>
      <c r="C3871" s="2" t="inlineStr">
        <is>
          <t>코스닥</t>
        </is>
      </c>
      <c r="D3871" s="2" t="inlineStr">
        <is>
          <t>131290</t>
        </is>
      </c>
      <c r="E3871" s="3" t="inlineStr">
        <is>
          <t>임원ㆍ주요주주특정증권등소유상황보고서</t>
        </is>
      </c>
      <c r="F3871" s="3" t="inlineStr">
        <is>
          <t>전영휴</t>
        </is>
      </c>
      <c r="G3871" s="2" t="inlineStr">
        <is>
          <t>20260310002379</t>
        </is>
      </c>
      <c r="H3871" s="8">
        <f>HYPERLINK("https://dart.fss.or.kr/dsaf001/main.do?rcpNo=20260310002379", "공시열람")</f>
        <v/>
      </c>
    </row>
    <row r="3872">
      <c r="A3872" s="2" t="inlineStr">
        <is>
          <t>2026-03-10</t>
        </is>
      </c>
      <c r="B3872" s="3" t="inlineStr">
        <is>
          <t>미래에셋증권</t>
        </is>
      </c>
      <c r="C3872" s="2" t="inlineStr">
        <is>
          <t>코스피</t>
        </is>
      </c>
      <c r="D3872" s="2" t="inlineStr">
        <is>
          <t>006800</t>
        </is>
      </c>
      <c r="E3872" s="3" t="inlineStr">
        <is>
          <t>일괄신고추가서류(파생결합증권-상장지수증권)</t>
        </is>
      </c>
      <c r="F3872" s="3" t="inlineStr">
        <is>
          <t>미래에셋증권</t>
        </is>
      </c>
      <c r="G3872" s="2" t="inlineStr">
        <is>
          <t>20260310002377</t>
        </is>
      </c>
      <c r="H3872" s="8">
        <f>HYPERLINK("https://dart.fss.or.kr/dsaf001/main.do?rcpNo=20260310002377", "공시열람")</f>
        <v/>
      </c>
    </row>
    <row r="3873">
      <c r="A3873" s="2" t="inlineStr">
        <is>
          <t>2026-03-10</t>
        </is>
      </c>
      <c r="B3873" s="3" t="inlineStr">
        <is>
          <t>알체라</t>
        </is>
      </c>
      <c r="C3873" s="2" t="inlineStr">
        <is>
          <t>코스닥</t>
        </is>
      </c>
      <c r="D3873" s="2" t="inlineStr">
        <is>
          <t>347860</t>
        </is>
      </c>
      <c r="E3873" s="3" t="inlineStr">
        <is>
          <t>임원ㆍ주요주주특정증권등소유상황보고서</t>
        </is>
      </c>
      <c r="F3873" s="3" t="inlineStr">
        <is>
          <t>황영규</t>
        </is>
      </c>
      <c r="G3873" s="2" t="inlineStr">
        <is>
          <t>20260310002376</t>
        </is>
      </c>
      <c r="H3873" s="8">
        <f>HYPERLINK("https://dart.fss.or.kr/dsaf001/main.do?rcpNo=20260310002376", "공시열람")</f>
        <v/>
      </c>
    </row>
    <row r="3874">
      <c r="A3874" s="2" t="inlineStr">
        <is>
          <t>2026-03-10</t>
        </is>
      </c>
      <c r="B3874" s="3" t="inlineStr">
        <is>
          <t>GS피앤엘</t>
        </is>
      </c>
      <c r="C3874" s="2" t="inlineStr">
        <is>
          <t>코스피</t>
        </is>
      </c>
      <c r="D3874" s="2" t="inlineStr">
        <is>
          <t>499790</t>
        </is>
      </c>
      <c r="E3874" s="3" t="inlineStr">
        <is>
          <t xml:space="preserve">감사보고서제출              </t>
        </is>
      </c>
      <c r="F3874" s="3" t="inlineStr">
        <is>
          <t>GS피앤엘</t>
        </is>
      </c>
      <c r="G3874" s="2" t="inlineStr">
        <is>
          <t>20260310800628</t>
        </is>
      </c>
      <c r="H3874" s="8">
        <f>HYPERLINK("https://dart.fss.or.kr/dsaf001/main.do?rcpNo=20260310800628", "공시열람")</f>
        <v/>
      </c>
    </row>
    <row r="3875">
      <c r="A3875" s="2" t="inlineStr">
        <is>
          <t>2026-03-10</t>
        </is>
      </c>
      <c r="B3875" s="3" t="inlineStr">
        <is>
          <t>아모그린텍</t>
        </is>
      </c>
      <c r="C3875" s="2" t="inlineStr">
        <is>
          <t>코스닥</t>
        </is>
      </c>
      <c r="D3875" s="2" t="inlineStr">
        <is>
          <t>125210</t>
        </is>
      </c>
      <c r="E3875" s="3" t="inlineStr">
        <is>
          <t>의결권대리행사권유참고서류</t>
        </is>
      </c>
      <c r="F3875" s="3" t="inlineStr">
        <is>
          <t>아모그린텍</t>
        </is>
      </c>
      <c r="G3875" s="2" t="inlineStr">
        <is>
          <t>20260310002363</t>
        </is>
      </c>
      <c r="H3875" s="8">
        <f>HYPERLINK("https://dart.fss.or.kr/dsaf001/main.do?rcpNo=20260310002363", "공시열람")</f>
        <v/>
      </c>
    </row>
    <row r="3876">
      <c r="A3876" s="2" t="inlineStr">
        <is>
          <t>2026-03-10</t>
        </is>
      </c>
      <c r="B3876" s="3" t="inlineStr">
        <is>
          <t>에이치케이</t>
        </is>
      </c>
      <c r="C3876" s="2" t="inlineStr">
        <is>
          <t>코스닥</t>
        </is>
      </c>
      <c r="D3876" s="2" t="inlineStr">
        <is>
          <t>044780</t>
        </is>
      </c>
      <c r="E3876" s="3" t="inlineStr">
        <is>
          <t>의결권대리행사권유참고서류</t>
        </is>
      </c>
      <c r="F3876" s="3" t="inlineStr">
        <is>
          <t>에이치케이</t>
        </is>
      </c>
      <c r="G3876" s="2" t="inlineStr">
        <is>
          <t>20260310002361</t>
        </is>
      </c>
      <c r="H3876" s="8">
        <f>HYPERLINK("https://dart.fss.or.kr/dsaf001/main.do?rcpNo=20260310002361", "공시열람")</f>
        <v/>
      </c>
    </row>
    <row r="3877">
      <c r="A3877" s="2" t="inlineStr">
        <is>
          <t>2026-03-10 (정정: 2026-05-22)</t>
        </is>
      </c>
      <c r="B3877" s="3" t="inlineStr">
        <is>
          <t>리센스메디컬</t>
        </is>
      </c>
      <c r="C3877" s="2" t="inlineStr">
        <is>
          <t>코스닥</t>
        </is>
      </c>
      <c r="D3877" s="2" t="inlineStr">
        <is>
          <t>394420</t>
        </is>
      </c>
      <c r="E3877" s="3" t="inlineStr">
        <is>
          <t>투자설명서 (정정: 20260310) (정정: 20260522)</t>
        </is>
      </c>
      <c r="F3877" s="3" t="inlineStr">
        <is>
          <t>리센스메디컬</t>
        </is>
      </c>
      <c r="G3877" s="2" t="inlineStr">
        <is>
          <t>20260522000099</t>
        </is>
      </c>
      <c r="H3877" s="8">
        <f>HYPERLINK("https://dart.fss.or.kr/dsaf001/main.do?rcpNo=20260522000099", "공시열람")</f>
        <v/>
      </c>
    </row>
    <row r="3878">
      <c r="A3878" s="2" t="inlineStr">
        <is>
          <t>2026-03-10</t>
        </is>
      </c>
      <c r="B3878" s="3" t="inlineStr">
        <is>
          <t>SDN</t>
        </is>
      </c>
      <c r="C3878" s="2" t="inlineStr">
        <is>
          <t>코스닥</t>
        </is>
      </c>
      <c r="D3878" s="2" t="inlineStr">
        <is>
          <t>099220</t>
        </is>
      </c>
      <c r="E3878" s="3" t="inlineStr">
        <is>
          <t xml:space="preserve">매출액또는손익구조30%(대규모법인은15%)이상변동              </t>
        </is>
      </c>
      <c r="F3878" s="3" t="inlineStr">
        <is>
          <t>SDN</t>
        </is>
      </c>
      <c r="G3878" s="2" t="inlineStr">
        <is>
          <t>20260310900613</t>
        </is>
      </c>
      <c r="H3878" s="8">
        <f>HYPERLINK("https://dart.fss.or.kr/dsaf001/main.do?rcpNo=20260310900613", "공시열람")</f>
        <v/>
      </c>
    </row>
    <row r="3879">
      <c r="A3879" s="2" t="inlineStr">
        <is>
          <t>2026-03-10</t>
        </is>
      </c>
      <c r="B3879" s="3" t="inlineStr">
        <is>
          <t>킵스파마</t>
        </is>
      </c>
      <c r="C3879" s="2" t="inlineStr">
        <is>
          <t>코스닥</t>
        </is>
      </c>
      <c r="D3879" s="2" t="inlineStr">
        <is>
          <t>256940</t>
        </is>
      </c>
      <c r="E3879" s="3" t="inlineStr">
        <is>
          <t>투자판단관련주요경영사항(임상시험계획승인신청)              (Idtrexed(CT900) 기반 항암 치료제의 제2상 임상시험계획 승인신청(IND))</t>
        </is>
      </c>
      <c r="F3879" s="3" t="inlineStr">
        <is>
          <t>킵스파마</t>
        </is>
      </c>
      <c r="G3879" s="2" t="inlineStr">
        <is>
          <t>20260310900572</t>
        </is>
      </c>
      <c r="H3879" s="8">
        <f>HYPERLINK("https://dart.fss.or.kr/dsaf001/main.do?rcpNo=20260310900572", "공시열람")</f>
        <v/>
      </c>
    </row>
    <row r="3880">
      <c r="A3880" s="2" t="inlineStr">
        <is>
          <t>2026-03-10</t>
        </is>
      </c>
      <c r="B3880" s="3" t="inlineStr">
        <is>
          <t>동국산업</t>
        </is>
      </c>
      <c r="C3880" s="2" t="inlineStr">
        <is>
          <t>코스닥</t>
        </is>
      </c>
      <c r="D3880" s="2" t="inlineStr">
        <is>
          <t>005160</t>
        </is>
      </c>
      <c r="E3880" s="3" t="inlineStr">
        <is>
          <t>임원ㆍ주요주주특정증권등소유상황보고서</t>
        </is>
      </c>
      <c r="F3880" s="3" t="inlineStr">
        <is>
          <t>장효근</t>
        </is>
      </c>
      <c r="G3880" s="2" t="inlineStr">
        <is>
          <t>20260310002352</t>
        </is>
      </c>
      <c r="H3880" s="8">
        <f>HYPERLINK("https://dart.fss.or.kr/dsaf001/main.do?rcpNo=20260310002352", "공시열람")</f>
        <v/>
      </c>
    </row>
    <row r="3881">
      <c r="A3881" s="2" t="inlineStr">
        <is>
          <t>2026-03-10</t>
        </is>
      </c>
      <c r="B3881" s="3" t="inlineStr">
        <is>
          <t>DKME</t>
        </is>
      </c>
      <c r="C3881" s="2" t="inlineStr">
        <is>
          <t>코스피</t>
        </is>
      </c>
      <c r="D3881" s="2" t="inlineStr">
        <is>
          <t>015590</t>
        </is>
      </c>
      <c r="E3881" s="3" t="inlineStr">
        <is>
          <t>임원ㆍ주요주주특정증권등소유상황보고서</t>
        </is>
      </c>
      <c r="F3881" s="3" t="inlineStr">
        <is>
          <t>김만근</t>
        </is>
      </c>
      <c r="G3881" s="2" t="inlineStr">
        <is>
          <t>20260310002351</t>
        </is>
      </c>
      <c r="H3881" s="8">
        <f>HYPERLINK("https://dart.fss.or.kr/dsaf001/main.do?rcpNo=20260310002351", "공시열람")</f>
        <v/>
      </c>
    </row>
    <row r="3882">
      <c r="A3882" s="2" t="inlineStr">
        <is>
          <t>2026-03-10</t>
        </is>
      </c>
      <c r="B3882" s="3" t="inlineStr">
        <is>
          <t>삼성증권</t>
        </is>
      </c>
      <c r="C3882" s="2" t="inlineStr">
        <is>
          <t>코스피</t>
        </is>
      </c>
      <c r="D3882" s="2" t="inlineStr">
        <is>
          <t>016360</t>
        </is>
      </c>
      <c r="E3882" s="3" t="inlineStr">
        <is>
          <t>일괄신고추가서류(파생결합증권-상장지수증권)</t>
        </is>
      </c>
      <c r="F3882" s="3" t="inlineStr">
        <is>
          <t>삼성증권</t>
        </is>
      </c>
      <c r="G3882" s="2" t="inlineStr">
        <is>
          <t>20260310002349</t>
        </is>
      </c>
      <c r="H3882" s="8">
        <f>HYPERLINK("https://dart.fss.or.kr/dsaf001/main.do?rcpNo=20260310002349", "공시열람")</f>
        <v/>
      </c>
    </row>
    <row r="3883">
      <c r="A3883" s="2" t="inlineStr">
        <is>
          <t>2026-03-10</t>
        </is>
      </c>
      <c r="B3883" s="3" t="inlineStr">
        <is>
          <t>미래에셋증권</t>
        </is>
      </c>
      <c r="C3883" s="2" t="inlineStr">
        <is>
          <t>코스피</t>
        </is>
      </c>
      <c r="D3883" s="2" t="inlineStr">
        <is>
          <t>006800</t>
        </is>
      </c>
      <c r="E3883" s="3" t="inlineStr">
        <is>
          <t>일괄신고추가서류(파생결합증권-주식워런트증권)</t>
        </is>
      </c>
      <c r="F3883" s="3" t="inlineStr">
        <is>
          <t>미래에셋증권</t>
        </is>
      </c>
      <c r="G3883" s="2" t="inlineStr">
        <is>
          <t>20260310002343</t>
        </is>
      </c>
      <c r="H3883" s="8">
        <f>HYPERLINK("https://dart.fss.or.kr/dsaf001/main.do?rcpNo=20260310002343", "공시열람")</f>
        <v/>
      </c>
    </row>
    <row r="3884">
      <c r="A3884" s="2" t="inlineStr">
        <is>
          <t>2026-03-10</t>
        </is>
      </c>
      <c r="B3884" s="3" t="inlineStr">
        <is>
          <t>기산텔레콤</t>
        </is>
      </c>
      <c r="C3884" s="2" t="inlineStr">
        <is>
          <t>코스닥</t>
        </is>
      </c>
      <c r="D3884" s="2" t="inlineStr">
        <is>
          <t>035460</t>
        </is>
      </c>
      <c r="E3884" s="3" t="inlineStr">
        <is>
          <t>의결권대리행사권유참고서류</t>
        </is>
      </c>
      <c r="F3884" s="3" t="inlineStr">
        <is>
          <t>기산텔레콤</t>
        </is>
      </c>
      <c r="G3884" s="2" t="inlineStr">
        <is>
          <t>20260310002342</t>
        </is>
      </c>
      <c r="H3884" s="8">
        <f>HYPERLINK("https://dart.fss.or.kr/dsaf001/main.do?rcpNo=20260310002342", "공시열람")</f>
        <v/>
      </c>
    </row>
    <row r="3885">
      <c r="A3885" s="2" t="inlineStr">
        <is>
          <t>2026-03-10</t>
        </is>
      </c>
      <c r="B3885" s="3" t="inlineStr">
        <is>
          <t>링크드</t>
        </is>
      </c>
      <c r="C3885" s="2" t="inlineStr">
        <is>
          <t>코스닥</t>
        </is>
      </c>
      <c r="D3885" s="2" t="inlineStr">
        <is>
          <t>193250</t>
        </is>
      </c>
      <c r="E3885" s="3" t="inlineStr">
        <is>
          <t xml:space="preserve">주식병합결정              </t>
        </is>
      </c>
      <c r="F3885" s="3" t="inlineStr">
        <is>
          <t>링크드</t>
        </is>
      </c>
      <c r="G3885" s="2" t="inlineStr">
        <is>
          <t>20260310900605</t>
        </is>
      </c>
      <c r="H3885" s="8">
        <f>HYPERLINK("https://dart.fss.or.kr/dsaf001/main.do?rcpNo=20260310900605", "공시열람")</f>
        <v/>
      </c>
    </row>
    <row r="3886">
      <c r="A3886" s="2" t="inlineStr">
        <is>
          <t>2026-03-10</t>
        </is>
      </c>
      <c r="B3886" s="3" t="inlineStr">
        <is>
          <t>동우팜투테이블</t>
        </is>
      </c>
      <c r="C3886" s="2" t="inlineStr">
        <is>
          <t>코스닥</t>
        </is>
      </c>
      <c r="D3886" s="2" t="inlineStr">
        <is>
          <t>088910</t>
        </is>
      </c>
      <c r="E3886" s="3" t="inlineStr">
        <is>
          <t xml:space="preserve">현금ㆍ현물배당결정              </t>
        </is>
      </c>
      <c r="F3886" s="3" t="inlineStr">
        <is>
          <t>동우팜투테이블</t>
        </is>
      </c>
      <c r="G3886" s="2" t="inlineStr">
        <is>
          <t>20260310900575</t>
        </is>
      </c>
      <c r="H3886" s="8">
        <f>HYPERLINK("https://dart.fss.or.kr/dsaf001/main.do?rcpNo=20260310900575", "공시열람")</f>
        <v/>
      </c>
    </row>
    <row r="3887">
      <c r="A3887" s="2" t="inlineStr">
        <is>
          <t>2026-03-10</t>
        </is>
      </c>
      <c r="B3887" s="3" t="inlineStr">
        <is>
          <t>모델솔루션</t>
        </is>
      </c>
      <c r="C3887" s="2" t="inlineStr">
        <is>
          <t>코스닥</t>
        </is>
      </c>
      <c r="D3887" s="2" t="inlineStr">
        <is>
          <t>417970</t>
        </is>
      </c>
      <c r="E3887" s="3" t="inlineStr">
        <is>
          <t xml:space="preserve">현금ㆍ현물배당결정              </t>
        </is>
      </c>
      <c r="F3887" s="3" t="inlineStr">
        <is>
          <t>모델솔루션</t>
        </is>
      </c>
      <c r="G3887" s="2" t="inlineStr">
        <is>
          <t>20260310900548</t>
        </is>
      </c>
      <c r="H3887" s="8">
        <f>HYPERLINK("https://dart.fss.or.kr/dsaf001/main.do?rcpNo=20260310900548", "공시열람")</f>
        <v/>
      </c>
    </row>
    <row r="3888">
      <c r="A3888" s="2" t="inlineStr">
        <is>
          <t>2026-03-10</t>
        </is>
      </c>
      <c r="B3888" s="3" t="inlineStr">
        <is>
          <t>모델솔루션</t>
        </is>
      </c>
      <c r="C3888" s="2" t="inlineStr">
        <is>
          <t>코스닥</t>
        </is>
      </c>
      <c r="D3888" s="2" t="inlineStr">
        <is>
          <t>417970</t>
        </is>
      </c>
      <c r="E3888" s="3" t="inlineStr">
        <is>
          <t xml:space="preserve">현금ㆍ현물배당을위한주주명부폐쇄(기준일)결정              </t>
        </is>
      </c>
      <c r="F3888" s="3" t="inlineStr">
        <is>
          <t>모델솔루션</t>
        </is>
      </c>
      <c r="G3888" s="2" t="inlineStr">
        <is>
          <t>20260310900546</t>
        </is>
      </c>
      <c r="H3888" s="8">
        <f>HYPERLINK("https://dart.fss.or.kr/dsaf001/main.do?rcpNo=20260310900546", "공시열람")</f>
        <v/>
      </c>
    </row>
    <row r="3889">
      <c r="A3889" s="2" t="inlineStr">
        <is>
          <t>2026-03-10</t>
        </is>
      </c>
      <c r="B3889" s="3" t="inlineStr">
        <is>
          <t>코메론</t>
        </is>
      </c>
      <c r="C3889" s="2" t="inlineStr">
        <is>
          <t>코스닥</t>
        </is>
      </c>
      <c r="D3889" s="2" t="inlineStr">
        <is>
          <t>049430</t>
        </is>
      </c>
      <c r="E3889" s="3" t="inlineStr">
        <is>
          <t xml:space="preserve">소송등의판결ㆍ결정              </t>
        </is>
      </c>
      <c r="F3889" s="3" t="inlineStr">
        <is>
          <t>코메론</t>
        </is>
      </c>
      <c r="G3889" s="2" t="inlineStr">
        <is>
          <t>20260310900593</t>
        </is>
      </c>
      <c r="H3889" s="8">
        <f>HYPERLINK("https://dart.fss.or.kr/dsaf001/main.do?rcpNo=20260310900593", "공시열람")</f>
        <v/>
      </c>
    </row>
    <row r="3890">
      <c r="A3890" s="2" t="inlineStr">
        <is>
          <t>2026-03-10</t>
        </is>
      </c>
      <c r="B3890" s="3" t="inlineStr">
        <is>
          <t>이루온</t>
        </is>
      </c>
      <c r="C3890" s="2" t="inlineStr">
        <is>
          <t>코스닥</t>
        </is>
      </c>
      <c r="D3890" s="2" t="inlineStr">
        <is>
          <t>065440</t>
        </is>
      </c>
      <c r="E3890" s="3" t="inlineStr">
        <is>
          <t>임원ㆍ주요주주특정증권등소유상황보고서</t>
        </is>
      </c>
      <c r="F3890" s="3" t="inlineStr">
        <is>
          <t>이정훈</t>
        </is>
      </c>
      <c r="G3890" s="2" t="inlineStr">
        <is>
          <t>20260310002318</t>
        </is>
      </c>
      <c r="H3890" s="8">
        <f>HYPERLINK("https://dart.fss.or.kr/dsaf001/main.do?rcpNo=20260310002318", "공시열람")</f>
        <v/>
      </c>
    </row>
    <row r="3891">
      <c r="A3891" s="2" t="inlineStr">
        <is>
          <t>2026-03-10</t>
        </is>
      </c>
      <c r="B3891" s="3" t="inlineStr">
        <is>
          <t>INVENI</t>
        </is>
      </c>
      <c r="C3891" s="2" t="inlineStr">
        <is>
          <t>코스피</t>
        </is>
      </c>
      <c r="D3891" s="2" t="inlineStr">
        <is>
          <t>015360</t>
        </is>
      </c>
      <c r="E3891" s="3" t="inlineStr">
        <is>
          <t xml:space="preserve">감사보고서제출              </t>
        </is>
      </c>
      <c r="F3891" s="3" t="inlineStr">
        <is>
          <t>INVENI</t>
        </is>
      </c>
      <c r="G3891" s="2" t="inlineStr">
        <is>
          <t>20260310800565</t>
        </is>
      </c>
      <c r="H3891" s="8">
        <f>HYPERLINK("https://dart.fss.or.kr/dsaf001/main.do?rcpNo=20260310800565", "공시열람")</f>
        <v/>
      </c>
    </row>
    <row r="3892">
      <c r="A3892" s="2" t="inlineStr">
        <is>
          <t>2026-03-10</t>
        </is>
      </c>
      <c r="B3892" s="3" t="inlineStr">
        <is>
          <t>제이엠멀티</t>
        </is>
      </c>
      <c r="C3892" s="2" t="inlineStr">
        <is>
          <t>코넥스</t>
        </is>
      </c>
      <c r="D3892" s="2" t="inlineStr">
        <is>
          <t>254160</t>
        </is>
      </c>
      <c r="E3892" s="3" t="inlineStr">
        <is>
          <t>임원ㆍ주요주주특정증권등소유상황보고서</t>
        </is>
      </c>
      <c r="F3892" s="3" t="inlineStr">
        <is>
          <t>고문정</t>
        </is>
      </c>
      <c r="G3892" s="2" t="inlineStr">
        <is>
          <t>20260310002317</t>
        </is>
      </c>
      <c r="H3892" s="8">
        <f>HYPERLINK("https://dart.fss.or.kr/dsaf001/main.do?rcpNo=20260310002317", "공시열람")</f>
        <v/>
      </c>
    </row>
    <row r="3893">
      <c r="A3893" s="2" t="inlineStr">
        <is>
          <t>2026-03-10</t>
        </is>
      </c>
      <c r="B3893" s="3" t="inlineStr">
        <is>
          <t>교보증권</t>
        </is>
      </c>
      <c r="C3893" s="2" t="inlineStr">
        <is>
          <t>코스피</t>
        </is>
      </c>
      <c r="D3893" s="2" t="inlineStr">
        <is>
          <t>030610</t>
        </is>
      </c>
      <c r="E3893" s="3" t="inlineStr">
        <is>
          <t>증권발행실적보고서</t>
        </is>
      </c>
      <c r="F3893" s="3" t="inlineStr">
        <is>
          <t>교보증권</t>
        </is>
      </c>
      <c r="G3893" s="2" t="inlineStr">
        <is>
          <t>20260310002316</t>
        </is>
      </c>
      <c r="H3893" s="8">
        <f>HYPERLINK("https://dart.fss.or.kr/dsaf001/main.do?rcpNo=20260310002316", "공시열람")</f>
        <v/>
      </c>
    </row>
    <row r="3894">
      <c r="A3894" s="2" t="inlineStr">
        <is>
          <t>2026-03-10</t>
        </is>
      </c>
      <c r="B3894" s="3" t="inlineStr">
        <is>
          <t>아이퀘스트</t>
        </is>
      </c>
      <c r="C3894" s="2" t="inlineStr">
        <is>
          <t>코스닥</t>
        </is>
      </c>
      <c r="D3894" s="2" t="inlineStr">
        <is>
          <t>262840</t>
        </is>
      </c>
      <c r="E3894" s="3" t="inlineStr">
        <is>
          <t xml:space="preserve">주식병합결정              </t>
        </is>
      </c>
      <c r="F3894" s="3" t="inlineStr">
        <is>
          <t>아이퀘스트</t>
        </is>
      </c>
      <c r="G3894" s="2" t="inlineStr">
        <is>
          <t>20260310900582</t>
        </is>
      </c>
      <c r="H3894" s="8">
        <f>HYPERLINK("https://dart.fss.or.kr/dsaf001/main.do?rcpNo=20260310900582", "공시열람")</f>
        <v/>
      </c>
    </row>
    <row r="3895">
      <c r="A3895" s="2" t="inlineStr">
        <is>
          <t>2026-03-10 (정정: 2026-03-18)</t>
        </is>
      </c>
      <c r="B3895" s="3" t="inlineStr">
        <is>
          <t>한글과컴퓨터</t>
        </is>
      </c>
      <c r="C3895" s="2" t="inlineStr">
        <is>
          <t>코스닥</t>
        </is>
      </c>
      <c r="D3895" s="2" t="inlineStr">
        <is>
          <t>030520</t>
        </is>
      </c>
      <c r="E3895" s="3" t="inlineStr">
        <is>
          <t>의결권대리행사권유참고서류 (정정: 20260318)</t>
        </is>
      </c>
      <c r="F3895" s="3" t="inlineStr">
        <is>
          <t>한글과컴퓨터</t>
        </is>
      </c>
      <c r="G3895" s="2" t="inlineStr">
        <is>
          <t>20260318001325</t>
        </is>
      </c>
      <c r="H3895" s="8">
        <f>HYPERLINK("https://dart.fss.or.kr/dsaf001/main.do?rcpNo=20260318001325", "공시열람")</f>
        <v/>
      </c>
    </row>
    <row r="3896">
      <c r="A3896" s="2" t="inlineStr">
        <is>
          <t>2026-03-10</t>
        </is>
      </c>
      <c r="B3896" s="3" t="inlineStr">
        <is>
          <t>에이티넘인베스트</t>
        </is>
      </c>
      <c r="C3896" s="2" t="inlineStr">
        <is>
          <t>코스닥</t>
        </is>
      </c>
      <c r="D3896" s="2" t="inlineStr">
        <is>
          <t>021080</t>
        </is>
      </c>
      <c r="E3896" s="3" t="inlineStr">
        <is>
          <t xml:space="preserve">감사보고서제출              </t>
        </is>
      </c>
      <c r="F3896" s="3" t="inlineStr">
        <is>
          <t>에이티넘인베스트</t>
        </is>
      </c>
      <c r="G3896" s="2" t="inlineStr">
        <is>
          <t>20260310900560</t>
        </is>
      </c>
      <c r="H3896" s="8">
        <f>HYPERLINK("https://dart.fss.or.kr/dsaf001/main.do?rcpNo=20260310900560", "공시열람")</f>
        <v/>
      </c>
    </row>
    <row r="3897">
      <c r="A3897" s="2" t="inlineStr">
        <is>
          <t>2026-03-10</t>
        </is>
      </c>
      <c r="B3897" s="3" t="inlineStr">
        <is>
          <t>SG글로벌</t>
        </is>
      </c>
      <c r="C3897" s="2" t="inlineStr">
        <is>
          <t>코스피</t>
        </is>
      </c>
      <c r="D3897" s="2" t="inlineStr">
        <is>
          <t>001380</t>
        </is>
      </c>
      <c r="E3897" s="3" t="inlineStr">
        <is>
          <t xml:space="preserve">주식병합결정              </t>
        </is>
      </c>
      <c r="F3897" s="3" t="inlineStr">
        <is>
          <t>SG글로벌</t>
        </is>
      </c>
      <c r="G3897" s="2" t="inlineStr">
        <is>
          <t>20260310800561</t>
        </is>
      </c>
      <c r="H3897" s="8">
        <f>HYPERLINK("https://dart.fss.or.kr/dsaf001/main.do?rcpNo=20260310800561", "공시열람")</f>
        <v/>
      </c>
    </row>
    <row r="3898">
      <c r="A3898" s="2" t="inlineStr">
        <is>
          <t>2026-03-10</t>
        </is>
      </c>
      <c r="B3898" s="3" t="inlineStr">
        <is>
          <t>성문전자</t>
        </is>
      </c>
      <c r="C3898" s="2" t="inlineStr">
        <is>
          <t>코스피</t>
        </is>
      </c>
      <c r="D3898" s="2" t="inlineStr">
        <is>
          <t>014910</t>
        </is>
      </c>
      <c r="E3898" s="3" t="inlineStr">
        <is>
          <t>의결권대리행사권유참고서류</t>
        </is>
      </c>
      <c r="F3898" s="3" t="inlineStr">
        <is>
          <t>성문전자</t>
        </is>
      </c>
      <c r="G3898" s="2" t="inlineStr">
        <is>
          <t>20260310002299</t>
        </is>
      </c>
      <c r="H3898" s="8">
        <f>HYPERLINK("https://dart.fss.or.kr/dsaf001/main.do?rcpNo=20260310002299", "공시열람")</f>
        <v/>
      </c>
    </row>
    <row r="3899">
      <c r="A3899" s="2" t="inlineStr">
        <is>
          <t>2026-03-10</t>
        </is>
      </c>
      <c r="B3899" s="3" t="inlineStr">
        <is>
          <t>에스넷</t>
        </is>
      </c>
      <c r="C3899" s="2" t="inlineStr">
        <is>
          <t>코스닥</t>
        </is>
      </c>
      <c r="D3899" s="2" t="inlineStr">
        <is>
          <t>038680</t>
        </is>
      </c>
      <c r="E3899" s="3" t="inlineStr">
        <is>
          <t>의결권대리행사권유참고서류</t>
        </is>
      </c>
      <c r="F3899" s="3" t="inlineStr">
        <is>
          <t>에스넷</t>
        </is>
      </c>
      <c r="G3899" s="2" t="inlineStr">
        <is>
          <t>20260310002297</t>
        </is>
      </c>
      <c r="H3899" s="8">
        <f>HYPERLINK("https://dart.fss.or.kr/dsaf001/main.do?rcpNo=20260310002297", "공시열람")</f>
        <v/>
      </c>
    </row>
    <row r="3900">
      <c r="A3900" s="2" t="inlineStr">
        <is>
          <t>2026-03-10</t>
        </is>
      </c>
      <c r="B3900" s="3" t="inlineStr">
        <is>
          <t>AP시스템</t>
        </is>
      </c>
      <c r="C3900" s="2" t="inlineStr">
        <is>
          <t>코스닥</t>
        </is>
      </c>
      <c r="D3900" s="2" t="inlineStr">
        <is>
          <t>265520</t>
        </is>
      </c>
      <c r="E3900" s="3" t="inlineStr">
        <is>
          <t xml:space="preserve">기업설명회(IR)개최              </t>
        </is>
      </c>
      <c r="F3900" s="3" t="inlineStr">
        <is>
          <t>AP시스템</t>
        </is>
      </c>
      <c r="G3900" s="2" t="inlineStr">
        <is>
          <t>20260310900549</t>
        </is>
      </c>
      <c r="H3900" s="8">
        <f>HYPERLINK("https://dart.fss.or.kr/dsaf001/main.do?rcpNo=20260310900549", "공시열람")</f>
        <v/>
      </c>
    </row>
    <row r="3901">
      <c r="A3901" s="2" t="inlineStr">
        <is>
          <t>2026-03-10</t>
        </is>
      </c>
      <c r="B3901" s="3" t="inlineStr">
        <is>
          <t>경인전자</t>
        </is>
      </c>
      <c r="C3901" s="2" t="inlineStr">
        <is>
          <t>코스피</t>
        </is>
      </c>
      <c r="D3901" s="2" t="inlineStr">
        <is>
          <t>009140</t>
        </is>
      </c>
      <c r="E3901" s="3" t="inlineStr">
        <is>
          <t xml:space="preserve">감사보고서제출              </t>
        </is>
      </c>
      <c r="F3901" s="3" t="inlineStr">
        <is>
          <t>경인전자</t>
        </is>
      </c>
      <c r="G3901" s="2" t="inlineStr">
        <is>
          <t>20260310800534</t>
        </is>
      </c>
      <c r="H3901" s="8">
        <f>HYPERLINK("https://dart.fss.or.kr/dsaf001/main.do?rcpNo=20260310800534", "공시열람")</f>
        <v/>
      </c>
    </row>
    <row r="3902">
      <c r="A3902" s="2" t="inlineStr">
        <is>
          <t>2026-03-10</t>
        </is>
      </c>
      <c r="B3902" s="3" t="inlineStr">
        <is>
          <t>지엠비코리아</t>
        </is>
      </c>
      <c r="C3902" s="2" t="inlineStr">
        <is>
          <t>코스피</t>
        </is>
      </c>
      <c r="D3902" s="2" t="inlineStr">
        <is>
          <t>013870</t>
        </is>
      </c>
      <c r="E3902" s="3" t="inlineStr">
        <is>
          <t xml:space="preserve">현금ㆍ현물배당을위한주주명부폐쇄(기준일)결정              </t>
        </is>
      </c>
      <c r="F3902" s="3" t="inlineStr">
        <is>
          <t>지엠비코리아</t>
        </is>
      </c>
      <c r="G3902" s="2" t="inlineStr">
        <is>
          <t>20260310800536</t>
        </is>
      </c>
      <c r="H3902" s="8">
        <f>HYPERLINK("https://dart.fss.or.kr/dsaf001/main.do?rcpNo=20260310800536", "공시열람")</f>
        <v/>
      </c>
    </row>
    <row r="3903">
      <c r="A3903" s="2" t="inlineStr">
        <is>
          <t>2026-03-10</t>
        </is>
      </c>
      <c r="B3903" s="3" t="inlineStr">
        <is>
          <t>지엠비코리아</t>
        </is>
      </c>
      <c r="C3903" s="2" t="inlineStr">
        <is>
          <t>코스피</t>
        </is>
      </c>
      <c r="D3903" s="2" t="inlineStr">
        <is>
          <t>013870</t>
        </is>
      </c>
      <c r="E3903" s="3" t="inlineStr">
        <is>
          <t xml:space="preserve">현금ㆍ현물배당결정              </t>
        </is>
      </c>
      <c r="F3903" s="3" t="inlineStr">
        <is>
          <t>지엠비코리아</t>
        </is>
      </c>
      <c r="G3903" s="2" t="inlineStr">
        <is>
          <t>20260310800535</t>
        </is>
      </c>
      <c r="H3903" s="8">
        <f>HYPERLINK("https://dart.fss.or.kr/dsaf001/main.do?rcpNo=20260310800535", "공시열람")</f>
        <v/>
      </c>
    </row>
    <row r="3904">
      <c r="A3904" s="2" t="inlineStr">
        <is>
          <t>2026-03-10</t>
        </is>
      </c>
      <c r="B3904" s="3" t="inlineStr">
        <is>
          <t>대한조선</t>
        </is>
      </c>
      <c r="C3904" s="2" t="inlineStr">
        <is>
          <t>코스피</t>
        </is>
      </c>
      <c r="D3904" s="2" t="inlineStr">
        <is>
          <t>439260</t>
        </is>
      </c>
      <c r="E3904" s="3" t="inlineStr">
        <is>
          <t xml:space="preserve">현금ㆍ현물배당결정              </t>
        </is>
      </c>
      <c r="F3904" s="3" t="inlineStr">
        <is>
          <t>대한조선</t>
        </is>
      </c>
      <c r="G3904" s="2" t="inlineStr">
        <is>
          <t>20260310800528</t>
        </is>
      </c>
      <c r="H3904" s="8">
        <f>HYPERLINK("https://dart.fss.or.kr/dsaf001/main.do?rcpNo=20260310800528", "공시열람")</f>
        <v/>
      </c>
    </row>
    <row r="3905">
      <c r="A3905" s="2" t="inlineStr">
        <is>
          <t>2026-03-10</t>
        </is>
      </c>
      <c r="B3905" s="3" t="inlineStr">
        <is>
          <t>셀리드</t>
        </is>
      </c>
      <c r="C3905" s="2" t="inlineStr">
        <is>
          <t>코스닥</t>
        </is>
      </c>
      <c r="D3905" s="2" t="inlineStr">
        <is>
          <t>299660</t>
        </is>
      </c>
      <c r="E3905" s="3" t="inlineStr">
        <is>
          <t>의결권대리행사권유참고서류</t>
        </is>
      </c>
      <c r="F3905" s="3" t="inlineStr">
        <is>
          <t>셀리드</t>
        </is>
      </c>
      <c r="G3905" s="2" t="inlineStr">
        <is>
          <t>20260310002287</t>
        </is>
      </c>
      <c r="H3905" s="8">
        <f>HYPERLINK("https://dart.fss.or.kr/dsaf001/main.do?rcpNo=20260310002287", "공시열람")</f>
        <v/>
      </c>
    </row>
    <row r="3906">
      <c r="A3906" s="2" t="inlineStr">
        <is>
          <t>2026-03-10</t>
        </is>
      </c>
      <c r="B3906" s="3" t="inlineStr">
        <is>
          <t>지오엘리먼트</t>
        </is>
      </c>
      <c r="C3906" s="2" t="inlineStr">
        <is>
          <t>코스닥</t>
        </is>
      </c>
      <c r="D3906" s="2" t="inlineStr">
        <is>
          <t>311320</t>
        </is>
      </c>
      <c r="E3906" s="3" t="inlineStr">
        <is>
          <t xml:space="preserve">현금ㆍ현물배당결정              </t>
        </is>
      </c>
      <c r="F3906" s="3" t="inlineStr">
        <is>
          <t>지오엘리먼트</t>
        </is>
      </c>
      <c r="G3906" s="2" t="inlineStr">
        <is>
          <t>20260310900501</t>
        </is>
      </c>
      <c r="H3906" s="8">
        <f>HYPERLINK("https://dart.fss.or.kr/dsaf001/main.do?rcpNo=20260310900501", "공시열람")</f>
        <v/>
      </c>
    </row>
    <row r="3907">
      <c r="A3907" s="2" t="inlineStr">
        <is>
          <t>2026-03-10</t>
        </is>
      </c>
      <c r="B3907" s="3" t="inlineStr">
        <is>
          <t>키다리스튜디오</t>
        </is>
      </c>
      <c r="C3907" s="2" t="inlineStr">
        <is>
          <t>코스피</t>
        </is>
      </c>
      <c r="D3907" s="2" t="inlineStr">
        <is>
          <t>020120</t>
        </is>
      </c>
      <c r="E3907" s="3" t="inlineStr">
        <is>
          <t>의결권대리행사권유참고서류</t>
        </is>
      </c>
      <c r="F3907" s="3" t="inlineStr">
        <is>
          <t>키다리스튜디오</t>
        </is>
      </c>
      <c r="G3907" s="2" t="inlineStr">
        <is>
          <t>20260310002283</t>
        </is>
      </c>
      <c r="H3907" s="8">
        <f>HYPERLINK("https://dart.fss.or.kr/dsaf001/main.do?rcpNo=20260310002283", "공시열람")</f>
        <v/>
      </c>
    </row>
    <row r="3908">
      <c r="A3908" s="2" t="inlineStr">
        <is>
          <t>2026-03-10</t>
        </is>
      </c>
      <c r="B3908" s="3" t="inlineStr">
        <is>
          <t>KG케미칼</t>
        </is>
      </c>
      <c r="C3908" s="2" t="inlineStr">
        <is>
          <t>코스피</t>
        </is>
      </c>
      <c r="D3908" s="2" t="inlineStr">
        <is>
          <t>001390</t>
        </is>
      </c>
      <c r="E3908" s="3" t="inlineStr">
        <is>
          <t>임원ㆍ주요주주특정증권등소유상황보고서</t>
        </is>
      </c>
      <c r="F3908" s="3" t="inlineStr">
        <is>
          <t>백민재</t>
        </is>
      </c>
      <c r="G3908" s="2" t="inlineStr">
        <is>
          <t>20260310002280</t>
        </is>
      </c>
      <c r="H3908" s="8">
        <f>HYPERLINK("https://dart.fss.or.kr/dsaf001/main.do?rcpNo=20260310002280", "공시열람")</f>
        <v/>
      </c>
    </row>
    <row r="3909">
      <c r="A3909" s="2" t="inlineStr">
        <is>
          <t>2026-03-10</t>
        </is>
      </c>
      <c r="B3909" s="3" t="inlineStr">
        <is>
          <t>위츠</t>
        </is>
      </c>
      <c r="C3909" s="2" t="inlineStr">
        <is>
          <t>코스닥</t>
        </is>
      </c>
      <c r="D3909" s="2" t="inlineStr">
        <is>
          <t>459100</t>
        </is>
      </c>
      <c r="E3909" s="3" t="inlineStr">
        <is>
          <t>의결권대리행사권유참고서류</t>
        </is>
      </c>
      <c r="F3909" s="3" t="inlineStr">
        <is>
          <t>위츠</t>
        </is>
      </c>
      <c r="G3909" s="2" t="inlineStr">
        <is>
          <t>20260310002265</t>
        </is>
      </c>
      <c r="H3909" s="8">
        <f>HYPERLINK("https://dart.fss.or.kr/dsaf001/main.do?rcpNo=20260310002265", "공시열람")</f>
        <v/>
      </c>
    </row>
    <row r="3910">
      <c r="A3910" s="2" t="inlineStr">
        <is>
          <t>2026-03-10</t>
        </is>
      </c>
      <c r="B3910" s="3" t="inlineStr">
        <is>
          <t>피에스텍</t>
        </is>
      </c>
      <c r="C3910" s="2" t="inlineStr">
        <is>
          <t>코스닥</t>
        </is>
      </c>
      <c r="D3910" s="2" t="inlineStr">
        <is>
          <t>002230</t>
        </is>
      </c>
      <c r="E3910" s="3" t="inlineStr">
        <is>
          <t>의결권대리행사권유참고서류</t>
        </is>
      </c>
      <c r="F3910" s="3" t="inlineStr">
        <is>
          <t>피에스텍</t>
        </is>
      </c>
      <c r="G3910" s="2" t="inlineStr">
        <is>
          <t>20260310002263</t>
        </is>
      </c>
      <c r="H3910" s="8">
        <f>HYPERLINK("https://dart.fss.or.kr/dsaf001/main.do?rcpNo=20260310002263", "공시열람")</f>
        <v/>
      </c>
    </row>
    <row r="3911">
      <c r="A3911" s="2" t="inlineStr">
        <is>
          <t>2026-03-10</t>
        </is>
      </c>
      <c r="B3911" s="3" t="inlineStr">
        <is>
          <t>제이스로보틱스</t>
        </is>
      </c>
      <c r="C3911" s="2" t="inlineStr">
        <is>
          <t>코스닥</t>
        </is>
      </c>
      <c r="D3911" s="2" t="inlineStr">
        <is>
          <t>090470</t>
        </is>
      </c>
      <c r="E3911" s="3" t="inlineStr">
        <is>
          <t xml:space="preserve">기업설명회(IR)개최              </t>
        </is>
      </c>
      <c r="F3911" s="3" t="inlineStr">
        <is>
          <t>제이스로보틱스</t>
        </is>
      </c>
      <c r="G3911" s="2" t="inlineStr">
        <is>
          <t>20260310900482</t>
        </is>
      </c>
      <c r="H3911" s="8">
        <f>HYPERLINK("https://dart.fss.or.kr/dsaf001/main.do?rcpNo=20260310900482", "공시열람")</f>
        <v/>
      </c>
    </row>
    <row r="3912">
      <c r="A3912" s="2" t="inlineStr">
        <is>
          <t>2026-03-10</t>
        </is>
      </c>
      <c r="B3912" s="3" t="inlineStr">
        <is>
          <t>이화공영</t>
        </is>
      </c>
      <c r="C3912" s="2" t="inlineStr">
        <is>
          <t>코스닥</t>
        </is>
      </c>
      <c r="D3912" s="2" t="inlineStr">
        <is>
          <t>001840</t>
        </is>
      </c>
      <c r="E3912" s="3" t="inlineStr">
        <is>
          <t>의결권대리행사권유참고서류</t>
        </is>
      </c>
      <c r="F3912" s="3" t="inlineStr">
        <is>
          <t>이화공영</t>
        </is>
      </c>
      <c r="G3912" s="2" t="inlineStr">
        <is>
          <t>20260310002258</t>
        </is>
      </c>
      <c r="H3912" s="8">
        <f>HYPERLINK("https://dart.fss.or.kr/dsaf001/main.do?rcpNo=20260310002258", "공시열람")</f>
        <v/>
      </c>
    </row>
    <row r="3913">
      <c r="A3913" s="2" t="inlineStr">
        <is>
          <t>2026-03-10 (정정: 2026-03-12)</t>
        </is>
      </c>
      <c r="B3913" s="3" t="inlineStr">
        <is>
          <t>지구홀딩스</t>
        </is>
      </c>
      <c r="C3913" s="2" t="inlineStr">
        <is>
          <t>코스닥</t>
        </is>
      </c>
      <c r="D3913" s="2" t="inlineStr">
        <is>
          <t>221800</t>
        </is>
      </c>
      <c r="E3913" s="3" t="inlineStr">
        <is>
          <t>감사보고서제출               (정정: 20260312)</t>
        </is>
      </c>
      <c r="F3913" s="3" t="inlineStr">
        <is>
          <t>지구홀딩스</t>
        </is>
      </c>
      <c r="G3913" s="2" t="inlineStr">
        <is>
          <t>20260312900215</t>
        </is>
      </c>
      <c r="H3913" s="8">
        <f>HYPERLINK("https://dart.fss.or.kr/dsaf001/main.do?rcpNo=20260312900215", "공시열람")</f>
        <v/>
      </c>
    </row>
    <row r="3914">
      <c r="A3914" s="2" t="inlineStr">
        <is>
          <t>2026-03-10</t>
        </is>
      </c>
      <c r="B3914" s="3" t="inlineStr">
        <is>
          <t>제이엠멀티</t>
        </is>
      </c>
      <c r="C3914" s="2" t="inlineStr">
        <is>
          <t>코넥스</t>
        </is>
      </c>
      <c r="D3914" s="2" t="inlineStr">
        <is>
          <t>254160</t>
        </is>
      </c>
      <c r="E3914" s="3" t="inlineStr">
        <is>
          <t>임원ㆍ주요주주특정증권등소유상황보고서</t>
        </is>
      </c>
      <c r="F3914" s="3" t="inlineStr">
        <is>
          <t>박훈웅</t>
        </is>
      </c>
      <c r="G3914" s="2" t="inlineStr">
        <is>
          <t>20260310002257</t>
        </is>
      </c>
      <c r="H3914" s="8">
        <f>HYPERLINK("https://dart.fss.or.kr/dsaf001/main.do?rcpNo=20260310002257", "공시열람")</f>
        <v/>
      </c>
    </row>
    <row r="3915">
      <c r="A3915" s="2" t="inlineStr">
        <is>
          <t>2026-03-10</t>
        </is>
      </c>
      <c r="B3915" s="3" t="inlineStr">
        <is>
          <t>녹십자</t>
        </is>
      </c>
      <c r="C3915" s="2" t="inlineStr">
        <is>
          <t>코스피</t>
        </is>
      </c>
      <c r="D3915" s="2" t="inlineStr">
        <is>
          <t>006280</t>
        </is>
      </c>
      <c r="E3915" s="3" t="inlineStr">
        <is>
          <t xml:space="preserve">기업설명회(IR)개최(안내공시)              </t>
        </is>
      </c>
      <c r="F3915" s="3" t="inlineStr">
        <is>
          <t>녹십자</t>
        </is>
      </c>
      <c r="G3915" s="2" t="inlineStr">
        <is>
          <t>20260310800466</t>
        </is>
      </c>
      <c r="H3915" s="8">
        <f>HYPERLINK("https://dart.fss.or.kr/dsaf001/main.do?rcpNo=20260310800466", "공시열람")</f>
        <v/>
      </c>
    </row>
    <row r="3916">
      <c r="A3916" s="2" t="inlineStr">
        <is>
          <t>2026-03-10</t>
        </is>
      </c>
      <c r="B3916" s="3" t="inlineStr">
        <is>
          <t>아나패스</t>
        </is>
      </c>
      <c r="C3916" s="2" t="inlineStr">
        <is>
          <t>코스닥</t>
        </is>
      </c>
      <c r="D3916" s="2" t="inlineStr">
        <is>
          <t>123860</t>
        </is>
      </c>
      <c r="E3916" s="3" t="inlineStr">
        <is>
          <t>임원ㆍ주요주주특정증권등소유상황보고서</t>
        </is>
      </c>
      <c r="F3916" s="3" t="inlineStr">
        <is>
          <t>변재훈</t>
        </is>
      </c>
      <c r="G3916" s="2" t="inlineStr">
        <is>
          <t>20260310002252</t>
        </is>
      </c>
      <c r="H3916" s="8">
        <f>HYPERLINK("https://dart.fss.or.kr/dsaf001/main.do?rcpNo=20260310002252", "공시열람")</f>
        <v/>
      </c>
    </row>
    <row r="3917">
      <c r="A3917" s="2" t="inlineStr">
        <is>
          <t>2026-03-10</t>
        </is>
      </c>
      <c r="B3917" s="3" t="inlineStr">
        <is>
          <t>아이비김영</t>
        </is>
      </c>
      <c r="C3917" s="2" t="inlineStr">
        <is>
          <t>코스닥</t>
        </is>
      </c>
      <c r="D3917" s="2" t="inlineStr">
        <is>
          <t>339950</t>
        </is>
      </c>
      <c r="E3917" s="3" t="inlineStr">
        <is>
          <t xml:space="preserve">현금ㆍ현물배당결정              </t>
        </is>
      </c>
      <c r="F3917" s="3" t="inlineStr">
        <is>
          <t>아이비김영</t>
        </is>
      </c>
      <c r="G3917" s="2" t="inlineStr">
        <is>
          <t>20260310900412</t>
        </is>
      </c>
      <c r="H3917" s="8">
        <f>HYPERLINK("https://dart.fss.or.kr/dsaf001/main.do?rcpNo=20260310900412", "공시열람")</f>
        <v/>
      </c>
    </row>
    <row r="3918">
      <c r="A3918" s="2" t="inlineStr">
        <is>
          <t>2026-03-10</t>
        </is>
      </c>
      <c r="B3918" s="3" t="inlineStr">
        <is>
          <t>iM금융지주</t>
        </is>
      </c>
      <c r="C3918" s="2" t="inlineStr">
        <is>
          <t>코스피</t>
        </is>
      </c>
      <c r="D3918" s="2" t="inlineStr">
        <is>
          <t>139130</t>
        </is>
      </c>
      <c r="E3918" s="3" t="inlineStr">
        <is>
          <t>임원ㆍ주요주주특정증권등소유상황보고서</t>
        </is>
      </c>
      <c r="F3918" s="3" t="inlineStr">
        <is>
          <t>이선모</t>
        </is>
      </c>
      <c r="G3918" s="2" t="inlineStr">
        <is>
          <t>20260310002240</t>
        </is>
      </c>
      <c r="H3918" s="8">
        <f>HYPERLINK("https://dart.fss.or.kr/dsaf001/main.do?rcpNo=20260310002240", "공시열람")</f>
        <v/>
      </c>
    </row>
    <row r="3919">
      <c r="A3919" s="2" t="inlineStr">
        <is>
          <t>2026-03-10</t>
        </is>
      </c>
      <c r="B3919" s="3" t="inlineStr">
        <is>
          <t>클래시스</t>
        </is>
      </c>
      <c r="C3919" s="2" t="inlineStr">
        <is>
          <t>코스닥</t>
        </is>
      </c>
      <c r="D3919" s="2" t="inlineStr">
        <is>
          <t>214150</t>
        </is>
      </c>
      <c r="E3919" s="3" t="inlineStr">
        <is>
          <t xml:space="preserve">[기재정정]타법인주식및출자증권취득결정(자율공시)(종속회사의주요경영사항)              </t>
        </is>
      </c>
      <c r="F3919" s="3" t="inlineStr">
        <is>
          <t>클래시스</t>
        </is>
      </c>
      <c r="G3919" s="2" t="inlineStr">
        <is>
          <t>20260310900454</t>
        </is>
      </c>
      <c r="H3919" s="8">
        <f>HYPERLINK("https://dart.fss.or.kr/dsaf001/main.do?rcpNo=20260310900454", "공시열람")</f>
        <v/>
      </c>
    </row>
    <row r="3920">
      <c r="A3920" s="2" t="inlineStr">
        <is>
          <t>2026-03-10</t>
        </is>
      </c>
      <c r="B3920" s="3" t="inlineStr">
        <is>
          <t>뉴키즈온</t>
        </is>
      </c>
      <c r="C3920" s="2" t="inlineStr">
        <is>
          <t>코스닥</t>
        </is>
      </c>
      <c r="D3920" s="2" t="inlineStr">
        <is>
          <t>462310</t>
        </is>
      </c>
      <c r="E3920" s="3" t="inlineStr">
        <is>
          <t>임원ㆍ주요주주특정증권등소유상황보고서</t>
        </is>
      </c>
      <c r="F3920" s="3" t="inlineStr">
        <is>
          <t>주춘섭</t>
        </is>
      </c>
      <c r="G3920" s="2" t="inlineStr">
        <is>
          <t>20260310002236</t>
        </is>
      </c>
      <c r="H3920" s="8">
        <f>HYPERLINK("https://dart.fss.or.kr/dsaf001/main.do?rcpNo=20260310002236", "공시열람")</f>
        <v/>
      </c>
    </row>
    <row r="3921">
      <c r="A3921" s="2" t="inlineStr">
        <is>
          <t>2026-03-10</t>
        </is>
      </c>
      <c r="B3921" s="3" t="inlineStr">
        <is>
          <t>더네이쳐홀딩스</t>
        </is>
      </c>
      <c r="C3921" s="2" t="inlineStr">
        <is>
          <t>코스닥</t>
        </is>
      </c>
      <c r="D3921" s="2" t="inlineStr">
        <is>
          <t>298540</t>
        </is>
      </c>
      <c r="E3921" s="3" t="inlineStr">
        <is>
          <t>의결권대리행사권유참고서류</t>
        </is>
      </c>
      <c r="F3921" s="3" t="inlineStr">
        <is>
          <t>더네이쳐홀딩스</t>
        </is>
      </c>
      <c r="G3921" s="2" t="inlineStr">
        <is>
          <t>20260310002233</t>
        </is>
      </c>
      <c r="H3921" s="8">
        <f>HYPERLINK("https://dart.fss.or.kr/dsaf001/main.do?rcpNo=20260310002233", "공시열람")</f>
        <v/>
      </c>
    </row>
    <row r="3922">
      <c r="A3922" s="2" t="inlineStr">
        <is>
          <t>2026-03-10</t>
        </is>
      </c>
      <c r="B3922" s="3" t="inlineStr">
        <is>
          <t>범양건영</t>
        </is>
      </c>
      <c r="C3922" s="2" t="inlineStr">
        <is>
          <t>코스피</t>
        </is>
      </c>
      <c r="D3922" s="2" t="inlineStr">
        <is>
          <t>002410</t>
        </is>
      </c>
      <c r="E3922" s="3" t="inlineStr">
        <is>
          <t>사외이사의선임ㆍ해임또는중도퇴임에관한신고</t>
        </is>
      </c>
      <c r="F3922" s="3" t="inlineStr">
        <is>
          <t>범양건영</t>
        </is>
      </c>
      <c r="G3922" s="2" t="inlineStr">
        <is>
          <t>20260310002209</t>
        </is>
      </c>
      <c r="H3922" s="8">
        <f>HYPERLINK("https://dart.fss.or.kr/dsaf001/main.do?rcpNo=20260310002209", "공시열람")</f>
        <v/>
      </c>
    </row>
    <row r="3923">
      <c r="A3923" s="2" t="inlineStr">
        <is>
          <t>2026-03-10</t>
        </is>
      </c>
      <c r="B3923" s="3" t="inlineStr">
        <is>
          <t>HLB파나진</t>
        </is>
      </c>
      <c r="C3923" s="2" t="inlineStr">
        <is>
          <t>코스닥</t>
        </is>
      </c>
      <c r="D3923" s="2" t="inlineStr">
        <is>
          <t>046210</t>
        </is>
      </c>
      <c r="E3923" s="3" t="inlineStr">
        <is>
          <t>임원ㆍ주요주주특정증권등소유상황보고서</t>
        </is>
      </c>
      <c r="F3923" s="3" t="inlineStr">
        <is>
          <t>HLB</t>
        </is>
      </c>
      <c r="G3923" s="2" t="inlineStr">
        <is>
          <t>20260310002197</t>
        </is>
      </c>
      <c r="H3923" s="8">
        <f>HYPERLINK("https://dart.fss.or.kr/dsaf001/main.do?rcpNo=20260310002197", "공시열람")</f>
        <v/>
      </c>
    </row>
    <row r="3924">
      <c r="A3924" s="2" t="inlineStr">
        <is>
          <t>2026-03-10</t>
        </is>
      </c>
      <c r="B3924" s="3" t="inlineStr">
        <is>
          <t>GS피앤엘</t>
        </is>
      </c>
      <c r="C3924" s="2" t="inlineStr">
        <is>
          <t>코스피</t>
        </is>
      </c>
      <c r="D3924" s="2" t="inlineStr">
        <is>
          <t>499790</t>
        </is>
      </c>
      <c r="E3924" s="3" t="inlineStr">
        <is>
          <t xml:space="preserve">감사보고서제출(자회사의 주요경영사항)              </t>
        </is>
      </c>
      <c r="F3924" s="3" t="inlineStr">
        <is>
          <t>GS피앤엘</t>
        </is>
      </c>
      <c r="G3924" s="2" t="inlineStr">
        <is>
          <t>20260310800398</t>
        </is>
      </c>
      <c r="H3924" s="8">
        <f>HYPERLINK("https://dart.fss.or.kr/dsaf001/main.do?rcpNo=20260310800398", "공시열람")</f>
        <v/>
      </c>
    </row>
    <row r="3925">
      <c r="A3925" s="2" t="inlineStr">
        <is>
          <t>2026-03-10</t>
        </is>
      </c>
      <c r="B3925" s="3" t="inlineStr">
        <is>
          <t>현대차증권</t>
        </is>
      </c>
      <c r="C3925" s="2" t="inlineStr">
        <is>
          <t>코스피</t>
        </is>
      </c>
      <c r="D3925" s="2" t="inlineStr">
        <is>
          <t>001500</t>
        </is>
      </c>
      <c r="E3925" s="3" t="inlineStr">
        <is>
          <t>증권발행실적보고서</t>
        </is>
      </c>
      <c r="F3925" s="3" t="inlineStr">
        <is>
          <t>현대차증권</t>
        </is>
      </c>
      <c r="G3925" s="2" t="inlineStr">
        <is>
          <t>20260310002180</t>
        </is>
      </c>
      <c r="H3925" s="8">
        <f>HYPERLINK("https://dart.fss.or.kr/dsaf001/main.do?rcpNo=20260310002180", "공시열람")</f>
        <v/>
      </c>
    </row>
    <row r="3926">
      <c r="A3926" s="2" t="inlineStr">
        <is>
          <t>2026-03-10 (정정: 2026-03-12)</t>
        </is>
      </c>
      <c r="B3926" s="3" t="inlineStr">
        <is>
          <t>자화전자</t>
        </is>
      </c>
      <c r="C3926" s="2" t="inlineStr">
        <is>
          <t>코스피</t>
        </is>
      </c>
      <c r="D3926" s="2" t="inlineStr">
        <is>
          <t>033240</t>
        </is>
      </c>
      <c r="E3926" s="3" t="inlineStr">
        <is>
          <t>의결권대리행사권유참고서류 (정정: 20260312) (정정: 20260312)</t>
        </is>
      </c>
      <c r="F3926" s="3" t="inlineStr">
        <is>
          <t>자화전자</t>
        </is>
      </c>
      <c r="G3926" s="2" t="inlineStr">
        <is>
          <t>20260312000230</t>
        </is>
      </c>
      <c r="H3926" s="8">
        <f>HYPERLINK("https://dart.fss.or.kr/dsaf001/main.do?rcpNo=20260312000230", "공시열람")</f>
        <v/>
      </c>
    </row>
    <row r="3927">
      <c r="A3927" s="2" t="inlineStr">
        <is>
          <t>2026-03-10</t>
        </is>
      </c>
      <c r="B3927" s="3" t="inlineStr">
        <is>
          <t>케이피에프</t>
        </is>
      </c>
      <c r="C3927" s="2" t="inlineStr">
        <is>
          <t>코스닥</t>
        </is>
      </c>
      <c r="D3927" s="2" t="inlineStr">
        <is>
          <t>024880</t>
        </is>
      </c>
      <c r="E3927" s="3" t="inlineStr">
        <is>
          <t xml:space="preserve">연결재무제표기준영업(잠정)실적(공정공시)              </t>
        </is>
      </c>
      <c r="F3927" s="3" t="inlineStr">
        <is>
          <t>케이피에프</t>
        </is>
      </c>
      <c r="G3927" s="2" t="inlineStr">
        <is>
          <t>20260310900384</t>
        </is>
      </c>
      <c r="H3927" s="8">
        <f>HYPERLINK("https://dart.fss.or.kr/dsaf001/main.do?rcpNo=20260310900384", "공시열람")</f>
        <v/>
      </c>
    </row>
    <row r="3928">
      <c r="A3928" s="2" t="inlineStr">
        <is>
          <t>2026-03-10</t>
        </is>
      </c>
      <c r="B3928" s="3" t="inlineStr">
        <is>
          <t>쎌바이오텍</t>
        </is>
      </c>
      <c r="C3928" s="2" t="inlineStr">
        <is>
          <t>코스닥</t>
        </is>
      </c>
      <c r="D3928" s="2" t="inlineStr">
        <is>
          <t>049960</t>
        </is>
      </c>
      <c r="E3928" s="3" t="inlineStr">
        <is>
          <t>의결권대리행사권유참고서류</t>
        </is>
      </c>
      <c r="F3928" s="3" t="inlineStr">
        <is>
          <t>쎌바이오텍</t>
        </is>
      </c>
      <c r="G3928" s="2" t="inlineStr">
        <is>
          <t>20260310002173</t>
        </is>
      </c>
      <c r="H3928" s="8">
        <f>HYPERLINK("https://dart.fss.or.kr/dsaf001/main.do?rcpNo=20260310002173", "공시열람")</f>
        <v/>
      </c>
    </row>
    <row r="3929">
      <c r="A3929" s="2" t="inlineStr">
        <is>
          <t>2026-03-10</t>
        </is>
      </c>
      <c r="B3929" s="3" t="inlineStr">
        <is>
          <t>파워로직스</t>
        </is>
      </c>
      <c r="C3929" s="2" t="inlineStr">
        <is>
          <t>코스닥</t>
        </is>
      </c>
      <c r="D3929" s="2" t="inlineStr">
        <is>
          <t>047310</t>
        </is>
      </c>
      <c r="E3929" s="3" t="inlineStr">
        <is>
          <t>의결권대리행사권유참고서류</t>
        </is>
      </c>
      <c r="F3929" s="3" t="inlineStr">
        <is>
          <t>파워로직스</t>
        </is>
      </c>
      <c r="G3929" s="2" t="inlineStr">
        <is>
          <t>20260310002170</t>
        </is>
      </c>
      <c r="H3929" s="8">
        <f>HYPERLINK("https://dart.fss.or.kr/dsaf001/main.do?rcpNo=20260310002170", "공시열람")</f>
        <v/>
      </c>
    </row>
    <row r="3930">
      <c r="A3930" s="2" t="inlineStr">
        <is>
          <t>2026-03-10</t>
        </is>
      </c>
      <c r="B3930" s="3" t="inlineStr">
        <is>
          <t>에스엘에스바이오</t>
        </is>
      </c>
      <c r="C3930" s="2" t="inlineStr">
        <is>
          <t>코스닥</t>
        </is>
      </c>
      <c r="D3930" s="2" t="inlineStr">
        <is>
          <t>246250</t>
        </is>
      </c>
      <c r="E3930" s="3" t="inlineStr">
        <is>
          <t>의결권대리행사권유참고서류</t>
        </is>
      </c>
      <c r="F3930" s="3" t="inlineStr">
        <is>
          <t>에스엘에스바이오</t>
        </is>
      </c>
      <c r="G3930" s="2" t="inlineStr">
        <is>
          <t>20260310002166</t>
        </is>
      </c>
      <c r="H3930" s="8">
        <f>HYPERLINK("https://dart.fss.or.kr/dsaf001/main.do?rcpNo=20260310002166", "공시열람")</f>
        <v/>
      </c>
    </row>
    <row r="3931">
      <c r="A3931" s="2" t="inlineStr">
        <is>
          <t>2026-03-10</t>
        </is>
      </c>
      <c r="B3931" s="3" t="inlineStr">
        <is>
          <t>유한양행</t>
        </is>
      </c>
      <c r="C3931" s="2" t="inlineStr">
        <is>
          <t>코스피</t>
        </is>
      </c>
      <c r="D3931" s="2" t="inlineStr">
        <is>
          <t>000100</t>
        </is>
      </c>
      <c r="E3931" s="3" t="inlineStr">
        <is>
          <t>임원ㆍ주요주주특정증권등소유상황보고서</t>
        </is>
      </c>
      <c r="F3931" s="3" t="inlineStr">
        <is>
          <t>유재천</t>
        </is>
      </c>
      <c r="G3931" s="2" t="inlineStr">
        <is>
          <t>20260310002161</t>
        </is>
      </c>
      <c r="H3931" s="8">
        <f>HYPERLINK("https://dart.fss.or.kr/dsaf001/main.do?rcpNo=20260310002161", "공시열람")</f>
        <v/>
      </c>
    </row>
    <row r="3932">
      <c r="A3932" s="2" t="inlineStr">
        <is>
          <t>2026-03-10</t>
        </is>
      </c>
      <c r="B3932" s="3" t="inlineStr">
        <is>
          <t>진도</t>
        </is>
      </c>
      <c r="C3932" s="2" t="inlineStr">
        <is>
          <t>코스피</t>
        </is>
      </c>
      <c r="D3932" s="2" t="inlineStr">
        <is>
          <t>088790</t>
        </is>
      </c>
      <c r="E3932" s="3" t="inlineStr">
        <is>
          <t>의결권대리행사권유참고서류</t>
        </is>
      </c>
      <c r="F3932" s="3" t="inlineStr">
        <is>
          <t>진도</t>
        </is>
      </c>
      <c r="G3932" s="2" t="inlineStr">
        <is>
          <t>20260310002153</t>
        </is>
      </c>
      <c r="H3932" s="8">
        <f>HYPERLINK("https://dart.fss.or.kr/dsaf001/main.do?rcpNo=20260310002153", "공시열람")</f>
        <v/>
      </c>
    </row>
    <row r="3933">
      <c r="A3933" s="2" t="inlineStr">
        <is>
          <t>2026-03-10</t>
        </is>
      </c>
      <c r="B3933" s="3" t="inlineStr">
        <is>
          <t>케스피온</t>
        </is>
      </c>
      <c r="C3933" s="2" t="inlineStr">
        <is>
          <t>코스닥</t>
        </is>
      </c>
      <c r="D3933" s="2" t="inlineStr">
        <is>
          <t>079190</t>
        </is>
      </c>
      <c r="E3933" s="3" t="inlineStr">
        <is>
          <t>의결권대리행사권유참고서류</t>
        </is>
      </c>
      <c r="F3933" s="3" t="inlineStr">
        <is>
          <t>케스피온</t>
        </is>
      </c>
      <c r="G3933" s="2" t="inlineStr">
        <is>
          <t>20260310002143</t>
        </is>
      </c>
      <c r="H3933" s="8">
        <f>HYPERLINK("https://dart.fss.or.kr/dsaf001/main.do?rcpNo=20260310002143", "공시열람")</f>
        <v/>
      </c>
    </row>
    <row r="3934">
      <c r="A3934" s="2" t="inlineStr">
        <is>
          <t>2026-03-10 (정정: 2026-05-29)</t>
        </is>
      </c>
      <c r="B3934" s="3" t="inlineStr">
        <is>
          <t>와이지-원</t>
        </is>
      </c>
      <c r="C3934" s="2" t="inlineStr">
        <is>
          <t>코스닥</t>
        </is>
      </c>
      <c r="D3934" s="2" t="inlineStr">
        <is>
          <t>019210</t>
        </is>
      </c>
      <c r="E3934" s="3" t="inlineStr">
        <is>
          <t>의결권대리행사권유참고서류 (정정: 20260529)</t>
        </is>
      </c>
      <c r="F3934" s="3" t="inlineStr">
        <is>
          <t>와이지-원</t>
        </is>
      </c>
      <c r="G3934" s="2" t="inlineStr">
        <is>
          <t>20260529901918</t>
        </is>
      </c>
      <c r="H3934" s="8">
        <f>HYPERLINK("https://dart.fss.or.kr/dsaf001/main.do?rcpNo=20260529901918", "공시열람")</f>
        <v/>
      </c>
    </row>
    <row r="3935">
      <c r="A3935" s="2" t="inlineStr">
        <is>
          <t>2026-03-10</t>
        </is>
      </c>
      <c r="B3935" s="3" t="inlineStr">
        <is>
          <t>파라택시스이더리움</t>
        </is>
      </c>
      <c r="C3935" s="2" t="inlineStr">
        <is>
          <t>코스닥</t>
        </is>
      </c>
      <c r="D3935" s="2" t="inlineStr">
        <is>
          <t>290560</t>
        </is>
      </c>
      <c r="E3935" s="3" t="inlineStr">
        <is>
          <t>임원ㆍ주요주주특정증권등소유상황보고서</t>
        </is>
      </c>
      <c r="F3935" s="3" t="inlineStr">
        <is>
          <t>파라택시스코리아펀드포엘엘씨</t>
        </is>
      </c>
      <c r="G3935" s="2" t="inlineStr">
        <is>
          <t>20260310002140</t>
        </is>
      </c>
      <c r="H3935" s="8">
        <f>HYPERLINK("https://dart.fss.or.kr/dsaf001/main.do?rcpNo=20260310002140", "공시열람")</f>
        <v/>
      </c>
    </row>
    <row r="3936">
      <c r="A3936" s="2" t="inlineStr">
        <is>
          <t>2026-03-10</t>
        </is>
      </c>
      <c r="B3936" s="3" t="inlineStr">
        <is>
          <t>파라택시스이더리움</t>
        </is>
      </c>
      <c r="C3936" s="2" t="inlineStr">
        <is>
          <t>코스닥</t>
        </is>
      </c>
      <c r="D3936" s="2" t="inlineStr">
        <is>
          <t>290560</t>
        </is>
      </c>
      <c r="E3936" s="3" t="inlineStr">
        <is>
          <t>임원ㆍ주요주주특정증권등소유상황보고서</t>
        </is>
      </c>
      <c r="F3936" s="3" t="inlineStr">
        <is>
          <t>파라택시스코리아펀드쓰리엘엘씨</t>
        </is>
      </c>
      <c r="G3936" s="2" t="inlineStr">
        <is>
          <t>20260310002135</t>
        </is>
      </c>
      <c r="H3936" s="8">
        <f>HYPERLINK("https://dart.fss.or.kr/dsaf001/main.do?rcpNo=20260310002135", "공시열람")</f>
        <v/>
      </c>
    </row>
    <row r="3937">
      <c r="A3937" s="2" t="inlineStr">
        <is>
          <t>2026-03-10</t>
        </is>
      </c>
      <c r="B3937" s="3" t="inlineStr">
        <is>
          <t>롯데렌탈</t>
        </is>
      </c>
      <c r="C3937" s="2" t="inlineStr">
        <is>
          <t>코스피</t>
        </is>
      </c>
      <c r="D3937" s="2" t="inlineStr">
        <is>
          <t>089860</t>
        </is>
      </c>
      <c r="E3937" s="3" t="inlineStr">
        <is>
          <t>의결권대리행사권유참고서류</t>
        </is>
      </c>
      <c r="F3937" s="3" t="inlineStr">
        <is>
          <t>롯데렌탈</t>
        </is>
      </c>
      <c r="G3937" s="2" t="inlineStr">
        <is>
          <t>20260310002134</t>
        </is>
      </c>
      <c r="H3937" s="8">
        <f>HYPERLINK("https://dart.fss.or.kr/dsaf001/main.do?rcpNo=20260310002134", "공시열람")</f>
        <v/>
      </c>
    </row>
    <row r="3938">
      <c r="A3938" s="2" t="inlineStr">
        <is>
          <t>2026-03-10</t>
        </is>
      </c>
      <c r="B3938" s="3" t="inlineStr">
        <is>
          <t>유한양행</t>
        </is>
      </c>
      <c r="C3938" s="2" t="inlineStr">
        <is>
          <t>코스피</t>
        </is>
      </c>
      <c r="D3938" s="2" t="inlineStr">
        <is>
          <t>000100</t>
        </is>
      </c>
      <c r="E3938" s="3" t="inlineStr">
        <is>
          <t>임원ㆍ주요주주특정증권등소유상황보고서</t>
        </is>
      </c>
      <c r="F3938" s="3" t="inlineStr">
        <is>
          <t>김열홍</t>
        </is>
      </c>
      <c r="G3938" s="2" t="inlineStr">
        <is>
          <t>20260310002130</t>
        </is>
      </c>
      <c r="H3938" s="8">
        <f>HYPERLINK("https://dart.fss.or.kr/dsaf001/main.do?rcpNo=20260310002130", "공시열람")</f>
        <v/>
      </c>
    </row>
    <row r="3939">
      <c r="A3939" s="2" t="inlineStr">
        <is>
          <t>2026-03-10</t>
        </is>
      </c>
      <c r="B3939" s="3" t="inlineStr">
        <is>
          <t>삼륭물산</t>
        </is>
      </c>
      <c r="C3939" s="2" t="inlineStr">
        <is>
          <t>코스닥</t>
        </is>
      </c>
      <c r="D3939" s="2" t="inlineStr">
        <is>
          <t>014970</t>
        </is>
      </c>
      <c r="E3939" s="3" t="inlineStr">
        <is>
          <t>의결권대리행사권유참고서류</t>
        </is>
      </c>
      <c r="F3939" s="3" t="inlineStr">
        <is>
          <t>삼륭물산</t>
        </is>
      </c>
      <c r="G3939" s="2" t="inlineStr">
        <is>
          <t>20260310002123</t>
        </is>
      </c>
      <c r="H3939" s="8">
        <f>HYPERLINK("https://dart.fss.or.kr/dsaf001/main.do?rcpNo=20260310002123", "공시열람")</f>
        <v/>
      </c>
    </row>
    <row r="3940">
      <c r="A3940" s="2" t="inlineStr">
        <is>
          <t>2026-03-10</t>
        </is>
      </c>
      <c r="B3940" s="3" t="inlineStr">
        <is>
          <t>코아스</t>
        </is>
      </c>
      <c r="C3940" s="2" t="inlineStr">
        <is>
          <t>코스피</t>
        </is>
      </c>
      <c r="D3940" s="2" t="inlineStr">
        <is>
          <t>071950</t>
        </is>
      </c>
      <c r="E3940" s="3" t="inlineStr">
        <is>
          <t>의결권대리행사권유참고서류</t>
        </is>
      </c>
      <c r="F3940" s="3" t="inlineStr">
        <is>
          <t>코아스</t>
        </is>
      </c>
      <c r="G3940" s="2" t="inlineStr">
        <is>
          <t>20260310002118</t>
        </is>
      </c>
      <c r="H3940" s="8">
        <f>HYPERLINK("https://dart.fss.or.kr/dsaf001/main.do?rcpNo=20260310002118", "공시열람")</f>
        <v/>
      </c>
    </row>
    <row r="3941">
      <c r="A3941" s="2" t="inlineStr">
        <is>
          <t>2026-03-10</t>
        </is>
      </c>
      <c r="B3941" s="3" t="inlineStr">
        <is>
          <t>대덕</t>
        </is>
      </c>
      <c r="C3941" s="2" t="inlineStr">
        <is>
          <t>코스피</t>
        </is>
      </c>
      <c r="D3941" s="2" t="inlineStr">
        <is>
          <t>008060</t>
        </is>
      </c>
      <c r="E3941" s="3" t="inlineStr">
        <is>
          <t>신탁계약해지결과보고서</t>
        </is>
      </c>
      <c r="F3941" s="3" t="inlineStr">
        <is>
          <t>대덕</t>
        </is>
      </c>
      <c r="G3941" s="2" t="inlineStr">
        <is>
          <t>20260310002112</t>
        </is>
      </c>
      <c r="H3941" s="8">
        <f>HYPERLINK("https://dart.fss.or.kr/dsaf001/main.do?rcpNo=20260310002112", "공시열람")</f>
        <v/>
      </c>
    </row>
    <row r="3942">
      <c r="A3942" s="2" t="inlineStr">
        <is>
          <t>2026-03-10</t>
        </is>
      </c>
      <c r="B3942" s="3" t="inlineStr">
        <is>
          <t>클래시스</t>
        </is>
      </c>
      <c r="C3942" s="2" t="inlineStr">
        <is>
          <t>코스닥</t>
        </is>
      </c>
      <c r="D3942" s="2" t="inlineStr">
        <is>
          <t>214150</t>
        </is>
      </c>
      <c r="E3942" s="3" t="inlineStr">
        <is>
          <t xml:space="preserve">기업설명회(IR)개최              </t>
        </is>
      </c>
      <c r="F3942" s="3" t="inlineStr">
        <is>
          <t>클래시스</t>
        </is>
      </c>
      <c r="G3942" s="2" t="inlineStr">
        <is>
          <t>20260310900356</t>
        </is>
      </c>
      <c r="H3942" s="8">
        <f>HYPERLINK("https://dart.fss.or.kr/dsaf001/main.do?rcpNo=20260310900356", "공시열람")</f>
        <v/>
      </c>
    </row>
    <row r="3943">
      <c r="A3943" s="2" t="inlineStr">
        <is>
          <t>2026-03-10</t>
        </is>
      </c>
      <c r="B3943" s="3" t="inlineStr">
        <is>
          <t>삼현</t>
        </is>
      </c>
      <c r="C3943" s="2" t="inlineStr">
        <is>
          <t>코스닥</t>
        </is>
      </c>
      <c r="D3943" s="2" t="inlineStr">
        <is>
          <t>437730</t>
        </is>
      </c>
      <c r="E3943" s="3" t="inlineStr">
        <is>
          <t>임원ㆍ주요주주특정증권등소유상황보고서</t>
        </is>
      </c>
      <c r="F3943" s="3" t="inlineStr">
        <is>
          <t>김태형</t>
        </is>
      </c>
      <c r="G3943" s="2" t="inlineStr">
        <is>
          <t>20260310002107</t>
        </is>
      </c>
      <c r="H3943" s="8">
        <f>HYPERLINK("https://dart.fss.or.kr/dsaf001/main.do?rcpNo=20260310002107", "공시열람")</f>
        <v/>
      </c>
    </row>
    <row r="3944">
      <c r="A3944" s="2" t="inlineStr">
        <is>
          <t>2026-03-10</t>
        </is>
      </c>
      <c r="B3944" s="3" t="inlineStr">
        <is>
          <t>NH투자증권</t>
        </is>
      </c>
      <c r="C3944" s="2" t="inlineStr">
        <is>
          <t>코스피</t>
        </is>
      </c>
      <c r="D3944" s="2" t="inlineStr">
        <is>
          <t>005940</t>
        </is>
      </c>
      <c r="E3944" s="3" t="inlineStr">
        <is>
          <t>증권발행실적보고서</t>
        </is>
      </c>
      <c r="F3944" s="3" t="inlineStr">
        <is>
          <t>NH투자증권</t>
        </is>
      </c>
      <c r="G3944" s="2" t="inlineStr">
        <is>
          <t>20260310002104</t>
        </is>
      </c>
      <c r="H3944" s="8">
        <f>HYPERLINK("https://dart.fss.or.kr/dsaf001/main.do?rcpNo=20260310002104", "공시열람")</f>
        <v/>
      </c>
    </row>
    <row r="3945">
      <c r="A3945" s="2" t="inlineStr">
        <is>
          <t>2026-03-10</t>
        </is>
      </c>
      <c r="B3945" s="3" t="inlineStr">
        <is>
          <t>삼현</t>
        </is>
      </c>
      <c r="C3945" s="2" t="inlineStr">
        <is>
          <t>코스닥</t>
        </is>
      </c>
      <c r="D3945" s="2" t="inlineStr">
        <is>
          <t>437730</t>
        </is>
      </c>
      <c r="E3945" s="3" t="inlineStr">
        <is>
          <t>임원ㆍ주요주주특정증권등소유상황보고서</t>
        </is>
      </c>
      <c r="F3945" s="3" t="inlineStr">
        <is>
          <t>강덕림</t>
        </is>
      </c>
      <c r="G3945" s="2" t="inlineStr">
        <is>
          <t>20260310002102</t>
        </is>
      </c>
      <c r="H3945" s="8">
        <f>HYPERLINK("https://dart.fss.or.kr/dsaf001/main.do?rcpNo=20260310002102", "공시열람")</f>
        <v/>
      </c>
    </row>
    <row r="3946">
      <c r="A3946" s="2" t="inlineStr">
        <is>
          <t>2026-03-10</t>
        </is>
      </c>
      <c r="B3946" s="3" t="inlineStr">
        <is>
          <t>삼현</t>
        </is>
      </c>
      <c r="C3946" s="2" t="inlineStr">
        <is>
          <t>코스닥</t>
        </is>
      </c>
      <c r="D3946" s="2" t="inlineStr">
        <is>
          <t>437730</t>
        </is>
      </c>
      <c r="E3946" s="3" t="inlineStr">
        <is>
          <t>임원ㆍ주요주주특정증권등소유상황보고서</t>
        </is>
      </c>
      <c r="F3946" s="3" t="inlineStr">
        <is>
          <t>이재국</t>
        </is>
      </c>
      <c r="G3946" s="2" t="inlineStr">
        <is>
          <t>20260310002098</t>
        </is>
      </c>
      <c r="H3946" s="8">
        <f>HYPERLINK("https://dart.fss.or.kr/dsaf001/main.do?rcpNo=20260310002098", "공시열람")</f>
        <v/>
      </c>
    </row>
    <row r="3947">
      <c r="A3947" s="2" t="inlineStr">
        <is>
          <t>2026-03-10</t>
        </is>
      </c>
      <c r="B3947" s="3" t="inlineStr">
        <is>
          <t>삼현</t>
        </is>
      </c>
      <c r="C3947" s="2" t="inlineStr">
        <is>
          <t>코스닥</t>
        </is>
      </c>
      <c r="D3947" s="2" t="inlineStr">
        <is>
          <t>437730</t>
        </is>
      </c>
      <c r="E3947" s="3" t="inlineStr">
        <is>
          <t>임원ㆍ주요주주특정증권등소유상황보고서</t>
        </is>
      </c>
      <c r="F3947" s="3" t="inlineStr">
        <is>
          <t>허진</t>
        </is>
      </c>
      <c r="G3947" s="2" t="inlineStr">
        <is>
          <t>20260310002095</t>
        </is>
      </c>
      <c r="H3947" s="8">
        <f>HYPERLINK("https://dart.fss.or.kr/dsaf001/main.do?rcpNo=20260310002095", "공시열람")</f>
        <v/>
      </c>
    </row>
    <row r="3948">
      <c r="A3948" s="2" t="inlineStr">
        <is>
          <t>2026-03-10</t>
        </is>
      </c>
      <c r="B3948" s="3" t="inlineStr">
        <is>
          <t>삼현</t>
        </is>
      </c>
      <c r="C3948" s="2" t="inlineStr">
        <is>
          <t>코스닥</t>
        </is>
      </c>
      <c r="D3948" s="2" t="inlineStr">
        <is>
          <t>437730</t>
        </is>
      </c>
      <c r="E3948" s="3" t="inlineStr">
        <is>
          <t>임원ㆍ주요주주특정증권등소유상황보고서</t>
        </is>
      </c>
      <c r="F3948" s="3" t="inlineStr">
        <is>
          <t>김창곤</t>
        </is>
      </c>
      <c r="G3948" s="2" t="inlineStr">
        <is>
          <t>20260310002089</t>
        </is>
      </c>
      <c r="H3948" s="8">
        <f>HYPERLINK("https://dart.fss.or.kr/dsaf001/main.do?rcpNo=20260310002089", "공시열람")</f>
        <v/>
      </c>
    </row>
    <row r="3949">
      <c r="A3949" s="2" t="inlineStr">
        <is>
          <t>2026-03-10 (정정: 2026-03-23)</t>
        </is>
      </c>
      <c r="B3949" s="3" t="inlineStr">
        <is>
          <t>유니테크노</t>
        </is>
      </c>
      <c r="C3949" s="2" t="inlineStr">
        <is>
          <t>코스닥</t>
        </is>
      </c>
      <c r="D3949" s="2" t="inlineStr">
        <is>
          <t>241690</t>
        </is>
      </c>
      <c r="E3949" s="3" t="inlineStr">
        <is>
          <t>의결권대리행사권유참고서류 (정정: 20260323)</t>
        </is>
      </c>
      <c r="F3949" s="3" t="inlineStr">
        <is>
          <t>유니테크노</t>
        </is>
      </c>
      <c r="G3949" s="2" t="inlineStr">
        <is>
          <t>20260323001439</t>
        </is>
      </c>
      <c r="H3949" s="8">
        <f>HYPERLINK("https://dart.fss.or.kr/dsaf001/main.do?rcpNo=20260323001439", "공시열람")</f>
        <v/>
      </c>
    </row>
    <row r="3950">
      <c r="A3950" s="2" t="inlineStr">
        <is>
          <t>2026-03-10</t>
        </is>
      </c>
      <c r="B3950" s="3" t="inlineStr">
        <is>
          <t>대원미디어</t>
        </is>
      </c>
      <c r="C3950" s="2" t="inlineStr">
        <is>
          <t>코스닥</t>
        </is>
      </c>
      <c r="D3950" s="2" t="inlineStr">
        <is>
          <t>048910</t>
        </is>
      </c>
      <c r="E3950" s="3" t="inlineStr">
        <is>
          <t>의결권대리행사권유참고서류</t>
        </is>
      </c>
      <c r="F3950" s="3" t="inlineStr">
        <is>
          <t>대원미디어</t>
        </is>
      </c>
      <c r="G3950" s="2" t="inlineStr">
        <is>
          <t>20260310002082</t>
        </is>
      </c>
      <c r="H3950" s="8">
        <f>HYPERLINK("https://dart.fss.or.kr/dsaf001/main.do?rcpNo=20260310002082", "공시열람")</f>
        <v/>
      </c>
    </row>
    <row r="3951">
      <c r="A3951" s="2" t="inlineStr">
        <is>
          <t>2026-03-10</t>
        </is>
      </c>
      <c r="B3951" s="3" t="inlineStr">
        <is>
          <t>비나텍</t>
        </is>
      </c>
      <c r="C3951" s="2" t="inlineStr">
        <is>
          <t>코스닥</t>
        </is>
      </c>
      <c r="D3951" s="2" t="inlineStr">
        <is>
          <t>126340</t>
        </is>
      </c>
      <c r="E3951" s="3" t="inlineStr">
        <is>
          <t>임원ㆍ주요주주특정증권등소유상황보고서</t>
        </is>
      </c>
      <c r="F3951" s="3" t="inlineStr">
        <is>
          <t>김경철</t>
        </is>
      </c>
      <c r="G3951" s="2" t="inlineStr">
        <is>
          <t>20260310002078</t>
        </is>
      </c>
      <c r="H3951" s="8">
        <f>HYPERLINK("https://dart.fss.or.kr/dsaf001/main.do?rcpNo=20260310002078", "공시열람")</f>
        <v/>
      </c>
    </row>
    <row r="3952">
      <c r="A3952" s="2" t="inlineStr">
        <is>
          <t>2026-03-10</t>
        </is>
      </c>
      <c r="B3952" s="3" t="inlineStr">
        <is>
          <t>에코마케팅</t>
        </is>
      </c>
      <c r="C3952" s="2" t="inlineStr">
        <is>
          <t>코스닥</t>
        </is>
      </c>
      <c r="D3952" s="2" t="inlineStr">
        <is>
          <t>230360</t>
        </is>
      </c>
      <c r="E3952" s="3" t="inlineStr">
        <is>
          <t>사외이사의선임ㆍ해임또는중도퇴임에관한신고</t>
        </is>
      </c>
      <c r="F3952" s="3" t="inlineStr">
        <is>
          <t>에코마케팅</t>
        </is>
      </c>
      <c r="G3952" s="2" t="inlineStr">
        <is>
          <t>20260310002077</t>
        </is>
      </c>
      <c r="H3952" s="8">
        <f>HYPERLINK("https://dart.fss.or.kr/dsaf001/main.do?rcpNo=20260310002077", "공시열람")</f>
        <v/>
      </c>
    </row>
    <row r="3953">
      <c r="A3953" s="2" t="inlineStr">
        <is>
          <t>2026-03-10</t>
        </is>
      </c>
      <c r="B3953" s="3" t="inlineStr">
        <is>
          <t>민테크</t>
        </is>
      </c>
      <c r="C3953" s="2" t="inlineStr">
        <is>
          <t>코스닥</t>
        </is>
      </c>
      <c r="D3953" s="2" t="inlineStr">
        <is>
          <t>452200</t>
        </is>
      </c>
      <c r="E3953" s="3" t="inlineStr">
        <is>
          <t>임원ㆍ주요주주특정증권등소유상황보고서</t>
        </is>
      </c>
      <c r="F3953" s="3" t="inlineStr">
        <is>
          <t>홍영진</t>
        </is>
      </c>
      <c r="G3953" s="2" t="inlineStr">
        <is>
          <t>20260310002066</t>
        </is>
      </c>
      <c r="H3953" s="8">
        <f>HYPERLINK("https://dart.fss.or.kr/dsaf001/main.do?rcpNo=20260310002066", "공시열람")</f>
        <v/>
      </c>
    </row>
    <row r="3954">
      <c r="A3954" s="2" t="inlineStr">
        <is>
          <t>2026-03-10</t>
        </is>
      </c>
      <c r="B3954" s="3" t="inlineStr">
        <is>
          <t>에프에스티</t>
        </is>
      </c>
      <c r="C3954" s="2" t="inlineStr">
        <is>
          <t>코스닥</t>
        </is>
      </c>
      <c r="D3954" s="2" t="inlineStr">
        <is>
          <t>036810</t>
        </is>
      </c>
      <c r="E3954" s="3" t="inlineStr">
        <is>
          <t>의결권대리행사권유참고서류</t>
        </is>
      </c>
      <c r="F3954" s="3" t="inlineStr">
        <is>
          <t>에프에스티</t>
        </is>
      </c>
      <c r="G3954" s="2" t="inlineStr">
        <is>
          <t>20260310002063</t>
        </is>
      </c>
      <c r="H3954" s="8">
        <f>HYPERLINK("https://dart.fss.or.kr/dsaf001/main.do?rcpNo=20260310002063", "공시열람")</f>
        <v/>
      </c>
    </row>
    <row r="3955">
      <c r="A3955" s="2" t="inlineStr">
        <is>
          <t>2026-03-10</t>
        </is>
      </c>
      <c r="B3955" s="3" t="inlineStr">
        <is>
          <t>지니너스</t>
        </is>
      </c>
      <c r="C3955" s="2" t="inlineStr">
        <is>
          <t>코스닥</t>
        </is>
      </c>
      <c r="D3955" s="2" t="inlineStr">
        <is>
          <t>389030</t>
        </is>
      </c>
      <c r="E3955" s="3" t="inlineStr">
        <is>
          <t>의결권대리행사권유참고서류</t>
        </is>
      </c>
      <c r="F3955" s="3" t="inlineStr">
        <is>
          <t>지니너스</t>
        </is>
      </c>
      <c r="G3955" s="2" t="inlineStr">
        <is>
          <t>20260310002057</t>
        </is>
      </c>
      <c r="H3955" s="8">
        <f>HYPERLINK("https://dart.fss.or.kr/dsaf001/main.do?rcpNo=20260310002057", "공시열람")</f>
        <v/>
      </c>
    </row>
    <row r="3956">
      <c r="A3956" s="2" t="inlineStr">
        <is>
          <t>2026-03-10</t>
        </is>
      </c>
      <c r="B3956" s="3" t="inlineStr">
        <is>
          <t>영원무역</t>
        </is>
      </c>
      <c r="C3956" s="2" t="inlineStr">
        <is>
          <t>코스피</t>
        </is>
      </c>
      <c r="D3956" s="2" t="inlineStr">
        <is>
          <t>111770</t>
        </is>
      </c>
      <c r="E3956" s="3" t="inlineStr">
        <is>
          <t>임원ㆍ주요주주특정증권등소유상황보고서</t>
        </is>
      </c>
      <c r="F3956" s="3" t="inlineStr">
        <is>
          <t>국민연금공단</t>
        </is>
      </c>
      <c r="G3956" s="2" t="inlineStr">
        <is>
          <t>20260310002036</t>
        </is>
      </c>
      <c r="H3956" s="8">
        <f>HYPERLINK("https://dart.fss.or.kr/dsaf001/main.do?rcpNo=20260310002036", "공시열람")</f>
        <v/>
      </c>
    </row>
    <row r="3957">
      <c r="A3957" s="2" t="inlineStr">
        <is>
          <t>2026-03-10</t>
        </is>
      </c>
      <c r="B3957" s="3" t="inlineStr">
        <is>
          <t>이수페타시스</t>
        </is>
      </c>
      <c r="C3957" s="2" t="inlineStr">
        <is>
          <t>코스피</t>
        </is>
      </c>
      <c r="D3957" s="2" t="inlineStr">
        <is>
          <t>007660</t>
        </is>
      </c>
      <c r="E3957" s="3" t="inlineStr">
        <is>
          <t>임원ㆍ주요주주특정증권등소유상황보고서</t>
        </is>
      </c>
      <c r="F3957" s="3" t="inlineStr">
        <is>
          <t>국민연금공단</t>
        </is>
      </c>
      <c r="G3957" s="2" t="inlineStr">
        <is>
          <t>20260310002030</t>
        </is>
      </c>
      <c r="H3957" s="8">
        <f>HYPERLINK("https://dart.fss.or.kr/dsaf001/main.do?rcpNo=20260310002030", "공시열람")</f>
        <v/>
      </c>
    </row>
    <row r="3958">
      <c r="A3958" s="2" t="inlineStr">
        <is>
          <t>2026-03-10</t>
        </is>
      </c>
      <c r="B3958" s="3" t="inlineStr">
        <is>
          <t>예스티</t>
        </is>
      </c>
      <c r="C3958" s="2" t="inlineStr">
        <is>
          <t>코스닥</t>
        </is>
      </c>
      <c r="D3958" s="2" t="inlineStr">
        <is>
          <t>122640</t>
        </is>
      </c>
      <c r="E3958" s="3" t="inlineStr">
        <is>
          <t>의결권대리행사권유참고서류</t>
        </is>
      </c>
      <c r="F3958" s="3" t="inlineStr">
        <is>
          <t>예스티</t>
        </is>
      </c>
      <c r="G3958" s="2" t="inlineStr">
        <is>
          <t>20260310002027</t>
        </is>
      </c>
      <c r="H3958" s="8">
        <f>HYPERLINK("https://dart.fss.or.kr/dsaf001/main.do?rcpNo=20260310002027", "공시열람")</f>
        <v/>
      </c>
    </row>
    <row r="3959">
      <c r="A3959" s="2" t="inlineStr">
        <is>
          <t>2026-03-10</t>
        </is>
      </c>
      <c r="B3959" s="3" t="inlineStr">
        <is>
          <t>신화인터텍</t>
        </is>
      </c>
      <c r="C3959" s="2" t="inlineStr">
        <is>
          <t>코스닥</t>
        </is>
      </c>
      <c r="D3959" s="2" t="inlineStr">
        <is>
          <t>056700</t>
        </is>
      </c>
      <c r="E3959" s="3" t="inlineStr">
        <is>
          <t>[첨부정정]의결권대리행사권유참고서류</t>
        </is>
      </c>
      <c r="F3959" s="3" t="inlineStr">
        <is>
          <t>신화인터텍</t>
        </is>
      </c>
      <c r="G3959" s="2" t="inlineStr">
        <is>
          <t>20260310002024</t>
        </is>
      </c>
      <c r="H3959" s="8">
        <f>HYPERLINK("https://dart.fss.or.kr/dsaf001/main.do?rcpNo=20260310002024", "공시열람")</f>
        <v/>
      </c>
    </row>
    <row r="3960">
      <c r="A3960" s="2" t="inlineStr">
        <is>
          <t>2026-03-10</t>
        </is>
      </c>
      <c r="B3960" s="3" t="inlineStr">
        <is>
          <t>그린케미칼</t>
        </is>
      </c>
      <c r="C3960" s="2" t="inlineStr">
        <is>
          <t>코스피</t>
        </is>
      </c>
      <c r="D3960" s="2" t="inlineStr">
        <is>
          <t>083420</t>
        </is>
      </c>
      <c r="E3960" s="3" t="inlineStr">
        <is>
          <t>의결권대리행사권유참고서류</t>
        </is>
      </c>
      <c r="F3960" s="3" t="inlineStr">
        <is>
          <t>그린케미칼</t>
        </is>
      </c>
      <c r="G3960" s="2" t="inlineStr">
        <is>
          <t>20260310002020</t>
        </is>
      </c>
      <c r="H3960" s="8">
        <f>HYPERLINK("https://dart.fss.or.kr/dsaf001/main.do?rcpNo=20260310002020", "공시열람")</f>
        <v/>
      </c>
    </row>
    <row r="3961">
      <c r="A3961" s="2" t="inlineStr">
        <is>
          <t>2026-03-10</t>
        </is>
      </c>
      <c r="B3961" s="3" t="inlineStr">
        <is>
          <t>삼양엔씨켐</t>
        </is>
      </c>
      <c r="C3961" s="2" t="inlineStr">
        <is>
          <t>코스닥</t>
        </is>
      </c>
      <c r="D3961" s="2" t="inlineStr">
        <is>
          <t>482630</t>
        </is>
      </c>
      <c r="E3961" s="3" t="inlineStr">
        <is>
          <t>임원ㆍ주요주주특정증권등소유상황보고서</t>
        </is>
      </c>
      <c r="F3961" s="3" t="inlineStr">
        <is>
          <t>전병완</t>
        </is>
      </c>
      <c r="G3961" s="2" t="inlineStr">
        <is>
          <t>20260310002018</t>
        </is>
      </c>
      <c r="H3961" s="8">
        <f>HYPERLINK("https://dart.fss.or.kr/dsaf001/main.do?rcpNo=20260310002018", "공시열람")</f>
        <v/>
      </c>
    </row>
    <row r="3962">
      <c r="A3962" s="2" t="inlineStr">
        <is>
          <t>2026-03-10</t>
        </is>
      </c>
      <c r="B3962" s="3" t="inlineStr">
        <is>
          <t>토모큐브</t>
        </is>
      </c>
      <c r="C3962" s="2" t="inlineStr">
        <is>
          <t>코스닥</t>
        </is>
      </c>
      <c r="D3962" s="2" t="inlineStr">
        <is>
          <t>475960</t>
        </is>
      </c>
      <c r="E3962" s="3" t="inlineStr">
        <is>
          <t>의결권대리행사권유참고서류</t>
        </is>
      </c>
      <c r="F3962" s="3" t="inlineStr">
        <is>
          <t>토모큐브</t>
        </is>
      </c>
      <c r="G3962" s="2" t="inlineStr">
        <is>
          <t>20260310002016</t>
        </is>
      </c>
      <c r="H3962" s="8">
        <f>HYPERLINK("https://dart.fss.or.kr/dsaf001/main.do?rcpNo=20260310002016", "공시열람")</f>
        <v/>
      </c>
    </row>
    <row r="3963">
      <c r="A3963" s="2" t="inlineStr">
        <is>
          <t>2026-03-10</t>
        </is>
      </c>
      <c r="B3963" s="3" t="inlineStr">
        <is>
          <t>플래티어</t>
        </is>
      </c>
      <c r="C3963" s="2" t="inlineStr">
        <is>
          <t>코스닥</t>
        </is>
      </c>
      <c r="D3963" s="2" t="inlineStr">
        <is>
          <t>367000</t>
        </is>
      </c>
      <c r="E3963" s="3" t="inlineStr">
        <is>
          <t>임원ㆍ주요주주특정증권등소유상황보고서</t>
        </is>
      </c>
      <c r="F3963" s="3" t="inlineStr">
        <is>
          <t>김진성</t>
        </is>
      </c>
      <c r="G3963" s="2" t="inlineStr">
        <is>
          <t>20260310002013</t>
        </is>
      </c>
      <c r="H3963" s="8">
        <f>HYPERLINK("https://dart.fss.or.kr/dsaf001/main.do?rcpNo=20260310002013", "공시열람")</f>
        <v/>
      </c>
    </row>
    <row r="3964">
      <c r="A3964" s="2" t="inlineStr">
        <is>
          <t>2026-03-10</t>
        </is>
      </c>
      <c r="B3964" s="3" t="inlineStr">
        <is>
          <t>문배철강</t>
        </is>
      </c>
      <c r="C3964" s="2" t="inlineStr">
        <is>
          <t>코스피</t>
        </is>
      </c>
      <c r="D3964" s="2" t="inlineStr">
        <is>
          <t>008420</t>
        </is>
      </c>
      <c r="E3964" s="3" t="inlineStr">
        <is>
          <t>임원ㆍ주요주주특정증권등소유상황보고서</t>
        </is>
      </c>
      <c r="F3964" s="3" t="inlineStr">
        <is>
          <t>이창환</t>
        </is>
      </c>
      <c r="G3964" s="2" t="inlineStr">
        <is>
          <t>20260310002001</t>
        </is>
      </c>
      <c r="H3964" s="8">
        <f>HYPERLINK("https://dart.fss.or.kr/dsaf001/main.do?rcpNo=20260310002001", "공시열람")</f>
        <v/>
      </c>
    </row>
    <row r="3965">
      <c r="A3965" s="2" t="inlineStr">
        <is>
          <t>2026-03-10</t>
        </is>
      </c>
      <c r="B3965" s="3" t="inlineStr">
        <is>
          <t>NI스틸</t>
        </is>
      </c>
      <c r="C3965" s="2" t="inlineStr">
        <is>
          <t>코스피</t>
        </is>
      </c>
      <c r="D3965" s="2" t="inlineStr">
        <is>
          <t>008260</t>
        </is>
      </c>
      <c r="E3965" s="3" t="inlineStr">
        <is>
          <t>임원ㆍ주요주주특정증권등소유상황보고서</t>
        </is>
      </c>
      <c r="F3965" s="3" t="inlineStr">
        <is>
          <t>이창환</t>
        </is>
      </c>
      <c r="G3965" s="2" t="inlineStr">
        <is>
          <t>20260310002000</t>
        </is>
      </c>
      <c r="H3965" s="8">
        <f>HYPERLINK("https://dart.fss.or.kr/dsaf001/main.do?rcpNo=20260310002000", "공시열람")</f>
        <v/>
      </c>
    </row>
    <row r="3966">
      <c r="A3966" s="2" t="inlineStr">
        <is>
          <t>2026-03-10</t>
        </is>
      </c>
      <c r="B3966" s="3" t="inlineStr">
        <is>
          <t>두산에너빌리티</t>
        </is>
      </c>
      <c r="C3966" s="2" t="inlineStr">
        <is>
          <t>코스피</t>
        </is>
      </c>
      <c r="D3966" s="2" t="inlineStr">
        <is>
          <t>034020</t>
        </is>
      </c>
      <c r="E3966" s="3" t="inlineStr">
        <is>
          <t xml:space="preserve">기업설명회(IR)개최(안내공시)              </t>
        </is>
      </c>
      <c r="F3966" s="3" t="inlineStr">
        <is>
          <t>두산에너빌리티</t>
        </is>
      </c>
      <c r="G3966" s="2" t="inlineStr">
        <is>
          <t>20260310800262</t>
        </is>
      </c>
      <c r="H3966" s="8">
        <f>HYPERLINK("https://dart.fss.or.kr/dsaf001/main.do?rcpNo=20260310800262", "공시열람")</f>
        <v/>
      </c>
    </row>
    <row r="3967">
      <c r="A3967" s="2" t="inlineStr">
        <is>
          <t>2026-03-10</t>
        </is>
      </c>
      <c r="B3967" s="3" t="inlineStr">
        <is>
          <t>스마트레이더시스템</t>
        </is>
      </c>
      <c r="C3967" s="2" t="inlineStr">
        <is>
          <t>코스닥</t>
        </is>
      </c>
      <c r="D3967" s="2" t="inlineStr">
        <is>
          <t>424960</t>
        </is>
      </c>
      <c r="E3967" s="3" t="inlineStr">
        <is>
          <t>임원ㆍ주요주주특정증권등소유상황보고서</t>
        </is>
      </c>
      <c r="F3967" s="3" t="inlineStr">
        <is>
          <t>김용환</t>
        </is>
      </c>
      <c r="G3967" s="2" t="inlineStr">
        <is>
          <t>20260310001988</t>
        </is>
      </c>
      <c r="H3967" s="8">
        <f>HYPERLINK("https://dart.fss.or.kr/dsaf001/main.do?rcpNo=20260310001988", "공시열람")</f>
        <v/>
      </c>
    </row>
    <row r="3968">
      <c r="A3968" s="2" t="inlineStr">
        <is>
          <t>2026-03-10</t>
        </is>
      </c>
      <c r="B3968" s="3" t="inlineStr">
        <is>
          <t>미래에셋증권</t>
        </is>
      </c>
      <c r="C3968" s="2" t="inlineStr">
        <is>
          <t>코스피</t>
        </is>
      </c>
      <c r="D3968" s="2" t="inlineStr">
        <is>
          <t>006800</t>
        </is>
      </c>
      <c r="E3968" s="3" t="inlineStr">
        <is>
          <t xml:space="preserve">기업설명회(IR)개최(안내공시)              </t>
        </is>
      </c>
      <c r="F3968" s="3" t="inlineStr">
        <is>
          <t>미래에셋증권</t>
        </is>
      </c>
      <c r="G3968" s="2" t="inlineStr">
        <is>
          <t>20260310800244</t>
        </is>
      </c>
      <c r="H3968" s="8">
        <f>HYPERLINK("https://dart.fss.or.kr/dsaf001/main.do?rcpNo=20260310800244", "공시열람")</f>
        <v/>
      </c>
    </row>
    <row r="3969">
      <c r="A3969" s="2" t="inlineStr">
        <is>
          <t>2026-03-10</t>
        </is>
      </c>
      <c r="B3969" s="3" t="inlineStr">
        <is>
          <t>삼양엔씨켐</t>
        </is>
      </c>
      <c r="C3969" s="2" t="inlineStr">
        <is>
          <t>코스닥</t>
        </is>
      </c>
      <c r="D3969" s="2" t="inlineStr">
        <is>
          <t>482630</t>
        </is>
      </c>
      <c r="E3969" s="3" t="inlineStr">
        <is>
          <t>임원ㆍ주요주주특정증권등소유상황보고서</t>
        </is>
      </c>
      <c r="F3969" s="3" t="inlineStr">
        <is>
          <t>신정현</t>
        </is>
      </c>
      <c r="G3969" s="2" t="inlineStr">
        <is>
          <t>20260310001970</t>
        </is>
      </c>
      <c r="H3969" s="8">
        <f>HYPERLINK("https://dart.fss.or.kr/dsaf001/main.do?rcpNo=20260310001970", "공시열람")</f>
        <v/>
      </c>
    </row>
    <row r="3970">
      <c r="A3970" s="2" t="inlineStr">
        <is>
          <t>2026-03-10</t>
        </is>
      </c>
      <c r="B3970" s="3" t="inlineStr">
        <is>
          <t>씨어스</t>
        </is>
      </c>
      <c r="C3970" s="2" t="inlineStr">
        <is>
          <t>코스닥</t>
        </is>
      </c>
      <c r="D3970" s="2" t="inlineStr">
        <is>
          <t>458870</t>
        </is>
      </c>
      <c r="E3970" s="3" t="inlineStr">
        <is>
          <t>주권매매거래정지              (무상증자)</t>
        </is>
      </c>
      <c r="F3970" s="3" t="inlineStr">
        <is>
          <t>코스닥시장본부</t>
        </is>
      </c>
      <c r="G3970" s="2" t="inlineStr">
        <is>
          <t>20260310900148</t>
        </is>
      </c>
      <c r="H3970" s="8">
        <f>HYPERLINK("https://dart.fss.or.kr/dsaf001/main.do?rcpNo=20260310900148", "공시열람")</f>
        <v/>
      </c>
    </row>
    <row r="3971">
      <c r="A3971" s="2" t="inlineStr">
        <is>
          <t>2026-03-10</t>
        </is>
      </c>
      <c r="B3971" s="3" t="inlineStr">
        <is>
          <t>대한항공</t>
        </is>
      </c>
      <c r="C3971" s="2" t="inlineStr">
        <is>
          <t>코스피</t>
        </is>
      </c>
      <c r="D3971" s="2" t="inlineStr">
        <is>
          <t>003490</t>
        </is>
      </c>
      <c r="E3971" s="3" t="inlineStr">
        <is>
          <t>투자설명서</t>
        </is>
      </c>
      <c r="F3971" s="3" t="inlineStr">
        <is>
          <t>대한항공</t>
        </is>
      </c>
      <c r="G3971" s="2" t="inlineStr">
        <is>
          <t>20260310001959</t>
        </is>
      </c>
      <c r="H3971" s="8">
        <f>HYPERLINK("https://dart.fss.or.kr/dsaf001/main.do?rcpNo=20260310001959", "공시열람")</f>
        <v/>
      </c>
    </row>
    <row r="3972">
      <c r="A3972" s="2" t="inlineStr">
        <is>
          <t>2026-03-10</t>
        </is>
      </c>
      <c r="B3972" s="3" t="inlineStr">
        <is>
          <t>한빛레이저</t>
        </is>
      </c>
      <c r="C3972" s="2" t="inlineStr">
        <is>
          <t>코스닥</t>
        </is>
      </c>
      <c r="D3972" s="2" t="inlineStr">
        <is>
          <t>452190</t>
        </is>
      </c>
      <c r="E3972" s="3" t="inlineStr">
        <is>
          <t xml:space="preserve">주식매수선택권행사              </t>
        </is>
      </c>
      <c r="F3972" s="3" t="inlineStr">
        <is>
          <t>한빛레이저</t>
        </is>
      </c>
      <c r="G3972" s="2" t="inlineStr">
        <is>
          <t>20260310900002</t>
        </is>
      </c>
      <c r="H3972" s="8">
        <f>HYPERLINK("https://dart.fss.or.kr/dsaf001/main.do?rcpNo=20260310900002", "공시열람")</f>
        <v/>
      </c>
    </row>
    <row r="3973">
      <c r="A3973" s="2" t="inlineStr">
        <is>
          <t>2026-03-10</t>
        </is>
      </c>
      <c r="B3973" s="3" t="inlineStr">
        <is>
          <t>두산밥캣</t>
        </is>
      </c>
      <c r="C3973" s="2" t="inlineStr">
        <is>
          <t>코스피</t>
        </is>
      </c>
      <c r="D3973" s="2" t="inlineStr">
        <is>
          <t>241560</t>
        </is>
      </c>
      <c r="E3973" s="3" t="inlineStr">
        <is>
          <t xml:space="preserve">지주회사의자회사편입              </t>
        </is>
      </c>
      <c r="F3973" s="3" t="inlineStr">
        <is>
          <t>두산밥캣</t>
        </is>
      </c>
      <c r="G3973" s="2" t="inlineStr">
        <is>
          <t>20260310800005</t>
        </is>
      </c>
      <c r="H3973" s="8">
        <f>HYPERLINK("https://dart.fss.or.kr/dsaf001/main.do?rcpNo=20260310800005", "공시열람")</f>
        <v/>
      </c>
    </row>
    <row r="3974">
      <c r="A3974" s="2" t="inlineStr">
        <is>
          <t>2026-03-10</t>
        </is>
      </c>
      <c r="B3974" s="3" t="inlineStr">
        <is>
          <t>에코마케팅</t>
        </is>
      </c>
      <c r="C3974" s="2" t="inlineStr">
        <is>
          <t>코스닥</t>
        </is>
      </c>
      <c r="D3974" s="2" t="inlineStr">
        <is>
          <t>230360</t>
        </is>
      </c>
      <c r="E3974" s="3" t="inlineStr">
        <is>
          <t xml:space="preserve">대표집행임원변경              </t>
        </is>
      </c>
      <c r="F3974" s="3" t="inlineStr">
        <is>
          <t>에코마케팅</t>
        </is>
      </c>
      <c r="G3974" s="2" t="inlineStr">
        <is>
          <t>20260310900004</t>
        </is>
      </c>
      <c r="H3974" s="8">
        <f>HYPERLINK("https://dart.fss.or.kr/dsaf001/main.do?rcpNo=20260310900004", "공시열람")</f>
        <v/>
      </c>
    </row>
    <row r="3975">
      <c r="A3975" s="2" t="inlineStr">
        <is>
          <t>2026-03-10</t>
        </is>
      </c>
      <c r="B3975" s="3" t="inlineStr">
        <is>
          <t>에코마케팅</t>
        </is>
      </c>
      <c r="C3975" s="2" t="inlineStr">
        <is>
          <t>코스닥</t>
        </is>
      </c>
      <c r="D3975" s="2" t="inlineStr">
        <is>
          <t>230360</t>
        </is>
      </c>
      <c r="E3975" s="3" t="inlineStr">
        <is>
          <t xml:space="preserve">대표이사변경              </t>
        </is>
      </c>
      <c r="F3975" s="3" t="inlineStr">
        <is>
          <t>에코마케팅</t>
        </is>
      </c>
      <c r="G3975" s="2" t="inlineStr">
        <is>
          <t>20260310900001</t>
        </is>
      </c>
      <c r="H3975" s="8">
        <f>HYPERLINK("https://dart.fss.or.kr/dsaf001/main.do?rcpNo=20260310900001", "공시열람")</f>
        <v/>
      </c>
    </row>
    <row r="3976">
      <c r="A3976" s="2" t="inlineStr">
        <is>
          <t>2026-03-10</t>
        </is>
      </c>
      <c r="B3976" s="3" t="inlineStr">
        <is>
          <t>LG전자</t>
        </is>
      </c>
      <c r="C3976" s="2" t="inlineStr">
        <is>
          <t>코스피</t>
        </is>
      </c>
      <c r="D3976" s="2" t="inlineStr">
        <is>
          <t>066570</t>
        </is>
      </c>
      <c r="E3976" s="3" t="inlineStr">
        <is>
          <t>임원ㆍ주요주주특정증권등소유상황보고서</t>
        </is>
      </c>
      <c r="F3976" s="3" t="inlineStr">
        <is>
          <t>나경호</t>
        </is>
      </c>
      <c r="G3976" s="2" t="inlineStr">
        <is>
          <t>20260310001943</t>
        </is>
      </c>
      <c r="H3976" s="8">
        <f>HYPERLINK("https://dart.fss.or.kr/dsaf001/main.do?rcpNo=20260310001943", "공시열람")</f>
        <v/>
      </c>
    </row>
    <row r="3977">
      <c r="A3977" s="2" t="inlineStr">
        <is>
          <t>2026-03-10</t>
        </is>
      </c>
      <c r="B3977" s="3" t="inlineStr">
        <is>
          <t>KB스타리츠</t>
        </is>
      </c>
      <c r="C3977" s="2" t="inlineStr">
        <is>
          <t>코스피</t>
        </is>
      </c>
      <c r="D3977" s="2" t="inlineStr">
        <is>
          <t>432320</t>
        </is>
      </c>
      <c r="E3977" s="3" t="inlineStr">
        <is>
          <t>효력발생안내( 2026.3.9. 제출 증권신고서(집합투자증권-회사형) )</t>
        </is>
      </c>
      <c r="F3977" s="3" t="inlineStr">
        <is>
          <t>금융감독원</t>
        </is>
      </c>
      <c r="G3977" s="2" t="inlineStr">
        <is>
          <t>20260309100038</t>
        </is>
      </c>
      <c r="H3977" s="8">
        <f>HYPERLINK("https://dart.fss.or.kr/dsaf001/main.do?rcpNo=20260309100038", "공시열람")</f>
        <v/>
      </c>
    </row>
    <row r="3978">
      <c r="A3978" s="2" t="inlineStr">
        <is>
          <t>2026-03-10</t>
        </is>
      </c>
      <c r="B3978" s="3" t="inlineStr">
        <is>
          <t>SK네트웍스</t>
        </is>
      </c>
      <c r="C3978" s="2" t="inlineStr">
        <is>
          <t>코스피</t>
        </is>
      </c>
      <c r="D3978" s="2" t="inlineStr">
        <is>
          <t>001740</t>
        </is>
      </c>
      <c r="E3978" s="3" t="inlineStr">
        <is>
          <t>의결권대리행사권유참고서류</t>
        </is>
      </c>
      <c r="F3978" s="3" t="inlineStr">
        <is>
          <t>SK네트웍스</t>
        </is>
      </c>
      <c r="G3978" s="2" t="inlineStr">
        <is>
          <t>20260309001925</t>
        </is>
      </c>
      <c r="H3978" s="8">
        <f>HYPERLINK("https://dart.fss.or.kr/dsaf001/main.do?rcpNo=20260309001925", "공시열람")</f>
        <v/>
      </c>
    </row>
    <row r="3979">
      <c r="A3979" s="2" t="inlineStr">
        <is>
          <t>2026-03-10</t>
        </is>
      </c>
      <c r="B3979" s="3" t="inlineStr">
        <is>
          <t>광동제약</t>
        </is>
      </c>
      <c r="C3979" s="2" t="inlineStr">
        <is>
          <t>코스피</t>
        </is>
      </c>
      <c r="D3979" s="2" t="inlineStr">
        <is>
          <t>009290</t>
        </is>
      </c>
      <c r="E3979" s="3" t="inlineStr">
        <is>
          <t>임원ㆍ주요주주특정증권등소유상황보고서</t>
        </is>
      </c>
      <c r="F3979" s="3" t="inlineStr">
        <is>
          <t>박원호</t>
        </is>
      </c>
      <c r="G3979" s="2" t="inlineStr">
        <is>
          <t>20260309001933</t>
        </is>
      </c>
      <c r="H3979" s="8">
        <f>HYPERLINK("https://dart.fss.or.kr/dsaf001/main.do?rcpNo=20260309001933", "공시열람")</f>
        <v/>
      </c>
    </row>
    <row r="3980">
      <c r="A3980" s="2" t="inlineStr">
        <is>
          <t>2026-03-10</t>
        </is>
      </c>
      <c r="B3980" s="3" t="inlineStr">
        <is>
          <t>광동제약</t>
        </is>
      </c>
      <c r="C3980" s="2" t="inlineStr">
        <is>
          <t>코스피</t>
        </is>
      </c>
      <c r="D3980" s="2" t="inlineStr">
        <is>
          <t>009290</t>
        </is>
      </c>
      <c r="E3980" s="3" t="inlineStr">
        <is>
          <t>임원ㆍ주요주주특정증권등소유상황보고서</t>
        </is>
      </c>
      <c r="F3980" s="3" t="inlineStr">
        <is>
          <t>이강주</t>
        </is>
      </c>
      <c r="G3980" s="2" t="inlineStr">
        <is>
          <t>20260309001932</t>
        </is>
      </c>
      <c r="H3980" s="8">
        <f>HYPERLINK("https://dart.fss.or.kr/dsaf001/main.do?rcpNo=20260309001932", "공시열람")</f>
        <v/>
      </c>
    </row>
    <row r="3981">
      <c r="A3981" s="2" t="inlineStr">
        <is>
          <t>2026-03-10</t>
        </is>
      </c>
      <c r="B3981" s="3" t="inlineStr">
        <is>
          <t>광동제약</t>
        </is>
      </c>
      <c r="C3981" s="2" t="inlineStr">
        <is>
          <t>코스피</t>
        </is>
      </c>
      <c r="D3981" s="2" t="inlineStr">
        <is>
          <t>009290</t>
        </is>
      </c>
      <c r="E3981" s="3" t="inlineStr">
        <is>
          <t>임원ㆍ주요주주특정증권등소유상황보고서</t>
        </is>
      </c>
      <c r="F3981" s="3" t="inlineStr">
        <is>
          <t>구준모</t>
        </is>
      </c>
      <c r="G3981" s="2" t="inlineStr">
        <is>
          <t>20260309001931</t>
        </is>
      </c>
      <c r="H3981" s="8">
        <f>HYPERLINK("https://dart.fss.or.kr/dsaf001/main.do?rcpNo=20260309001931", "공시열람")</f>
        <v/>
      </c>
    </row>
    <row r="3982">
      <c r="A3982" s="2" t="inlineStr">
        <is>
          <t>2026-03-10</t>
        </is>
      </c>
      <c r="B3982" s="3" t="inlineStr">
        <is>
          <t>광동제약</t>
        </is>
      </c>
      <c r="C3982" s="2" t="inlineStr">
        <is>
          <t>코스피</t>
        </is>
      </c>
      <c r="D3982" s="2" t="inlineStr">
        <is>
          <t>009290</t>
        </is>
      </c>
      <c r="E3982" s="3" t="inlineStr">
        <is>
          <t>임원ㆍ주요주주특정증권등소유상황보고서</t>
        </is>
      </c>
      <c r="F3982" s="3" t="inlineStr">
        <is>
          <t>설상현</t>
        </is>
      </c>
      <c r="G3982" s="2" t="inlineStr">
        <is>
          <t>20260309001928</t>
        </is>
      </c>
      <c r="H3982" s="8">
        <f>HYPERLINK("https://dart.fss.or.kr/dsaf001/main.do?rcpNo=20260309001928", "공시열람")</f>
        <v/>
      </c>
    </row>
    <row r="3983">
      <c r="A3983" s="2" t="inlineStr">
        <is>
          <t>2026-03-10</t>
        </is>
      </c>
      <c r="B3983" s="3" t="inlineStr">
        <is>
          <t>티이엠씨씨엔에스</t>
        </is>
      </c>
      <c r="C3983" s="2" t="inlineStr">
        <is>
          <t>코스닥</t>
        </is>
      </c>
      <c r="D3983" s="2" t="inlineStr">
        <is>
          <t>241790</t>
        </is>
      </c>
      <c r="E3983" s="3" t="inlineStr">
        <is>
          <t>의결권대리행사권유참고서류</t>
        </is>
      </c>
      <c r="F3983" s="3" t="inlineStr">
        <is>
          <t>티이엠씨씨엔에스</t>
        </is>
      </c>
      <c r="G3983" s="2" t="inlineStr">
        <is>
          <t>20260309001930</t>
        </is>
      </c>
      <c r="H3983" s="8">
        <f>HYPERLINK("https://dart.fss.or.kr/dsaf001/main.do?rcpNo=20260309001930", "공시열람")</f>
        <v/>
      </c>
    </row>
    <row r="3984">
      <c r="A3984" s="2" t="inlineStr">
        <is>
          <t>2026-03-10</t>
        </is>
      </c>
      <c r="B3984" s="3" t="inlineStr">
        <is>
          <t>알티캐스트</t>
        </is>
      </c>
      <c r="C3984" s="2" t="inlineStr">
        <is>
          <t>코스닥</t>
        </is>
      </c>
      <c r="D3984" s="2" t="inlineStr">
        <is>
          <t>085810</t>
        </is>
      </c>
      <c r="E3984" s="3" t="inlineStr">
        <is>
          <t>주요사항보고서(감자결정)</t>
        </is>
      </c>
      <c r="F3984" s="3" t="inlineStr">
        <is>
          <t>알티캐스트</t>
        </is>
      </c>
      <c r="G3984" s="2" t="inlineStr">
        <is>
          <t>20260309001935</t>
        </is>
      </c>
      <c r="H3984" s="8">
        <f>HYPERLINK("https://dart.fss.or.kr/dsaf001/main.do?rcpNo=20260309001935", "공시열람")</f>
        <v/>
      </c>
    </row>
    <row r="3985">
      <c r="A3985" s="2" t="inlineStr">
        <is>
          <t>2026-03-11</t>
        </is>
      </c>
      <c r="B3985" s="3" t="inlineStr">
        <is>
          <t>참엔지니어링</t>
        </is>
      </c>
      <c r="C3985" s="2" t="inlineStr">
        <is>
          <t>코스피</t>
        </is>
      </c>
      <c r="D3985" s="2" t="inlineStr">
        <is>
          <t>009310</t>
        </is>
      </c>
      <c r="E3985" s="3" t="inlineStr">
        <is>
          <t>투자유의안내              (상장적격성 실질심사 사유 발생 우려)</t>
        </is>
      </c>
      <c r="F3985" s="3" t="inlineStr">
        <is>
          <t>유가증권시장본부</t>
        </is>
      </c>
      <c r="G3985" s="2" t="inlineStr">
        <is>
          <t>20260311802721</t>
        </is>
      </c>
      <c r="H3985" s="8">
        <f>HYPERLINK("https://dart.fss.or.kr/dsaf001/main.do?rcpNo=20260311802721", "공시열람")</f>
        <v/>
      </c>
    </row>
    <row r="3986">
      <c r="A3986" s="2" t="inlineStr">
        <is>
          <t>2026-03-11</t>
        </is>
      </c>
      <c r="B3986" s="3" t="inlineStr">
        <is>
          <t>참엔지니어링</t>
        </is>
      </c>
      <c r="C3986" s="2" t="inlineStr">
        <is>
          <t>코스피</t>
        </is>
      </c>
      <c r="D3986" s="2" t="inlineStr">
        <is>
          <t>009310</t>
        </is>
      </c>
      <c r="E3986" s="3" t="inlineStr">
        <is>
          <t xml:space="preserve">[기재정정]매출액또는손익구조30%(대규모법인은15%)이상변경              </t>
        </is>
      </c>
      <c r="F3986" s="3" t="inlineStr">
        <is>
          <t>참엔지니어링</t>
        </is>
      </c>
      <c r="G3986" s="2" t="inlineStr">
        <is>
          <t>20260311802701</t>
        </is>
      </c>
      <c r="H3986" s="8">
        <f>HYPERLINK("https://dart.fss.or.kr/dsaf001/main.do?rcpNo=20260311802701", "공시열람")</f>
        <v/>
      </c>
    </row>
    <row r="3987">
      <c r="A3987" s="2" t="inlineStr">
        <is>
          <t>2026-02-11 (정정: 2026-03-11)</t>
        </is>
      </c>
      <c r="B3987" s="3" t="inlineStr">
        <is>
          <t>휴맥스홀딩스</t>
        </is>
      </c>
      <c r="C3987" s="2" t="inlineStr">
        <is>
          <t>코스닥</t>
        </is>
      </c>
      <c r="D3987" s="2" t="inlineStr">
        <is>
          <t>028080</t>
        </is>
      </c>
      <c r="E3987" s="3" t="inlineStr">
        <is>
          <t xml:space="preserve">[기재정정]파생상품거래손실발생              </t>
        </is>
      </c>
      <c r="F3987" s="3" t="inlineStr">
        <is>
          <t>휴맥스홀딩스</t>
        </is>
      </c>
      <c r="G3987" s="2" t="inlineStr">
        <is>
          <t>20260311902722</t>
        </is>
      </c>
      <c r="H3987" s="8">
        <f>HYPERLINK("https://dart.fss.or.kr/dsaf001/main.do?rcpNo=20260311902722", "공시열람")</f>
        <v/>
      </c>
    </row>
    <row r="3988">
      <c r="A3988" s="2" t="inlineStr">
        <is>
          <t>2026-02-11 (정정: 2026-03-11)</t>
        </is>
      </c>
      <c r="B3988" s="3" t="inlineStr">
        <is>
          <t>휴맥스</t>
        </is>
      </c>
      <c r="C3988" s="2" t="inlineStr">
        <is>
          <t>코스닥</t>
        </is>
      </c>
      <c r="D3988" s="2" t="inlineStr">
        <is>
          <t>115160</t>
        </is>
      </c>
      <c r="E3988" s="3" t="inlineStr">
        <is>
          <t xml:space="preserve">[기재정정]파생상품거래손실발생              </t>
        </is>
      </c>
      <c r="F3988" s="3" t="inlineStr">
        <is>
          <t>휴맥스</t>
        </is>
      </c>
      <c r="G3988" s="2" t="inlineStr">
        <is>
          <t>20260311902720</t>
        </is>
      </c>
      <c r="H3988" s="8">
        <f>HYPERLINK("https://dart.fss.or.kr/dsaf001/main.do?rcpNo=20260311902720", "공시열람")</f>
        <v/>
      </c>
    </row>
    <row r="3989">
      <c r="A3989" s="2" t="inlineStr">
        <is>
          <t>2026-03-11 (정정: 2026-03-13)</t>
        </is>
      </c>
      <c r="B3989" s="3" t="inlineStr">
        <is>
          <t>에이텍</t>
        </is>
      </c>
      <c r="C3989" s="2" t="inlineStr">
        <is>
          <t>코스닥</t>
        </is>
      </c>
      <c r="D3989" s="2" t="inlineStr">
        <is>
          <t>045660</t>
        </is>
      </c>
      <c r="E3989" s="3" t="inlineStr">
        <is>
          <t>매출액또는손익구조30%(대규모법인은15%)이상변동               (정정: 20260313) (정정: 20260313)</t>
        </is>
      </c>
      <c r="F3989" s="3" t="inlineStr">
        <is>
          <t>에이텍</t>
        </is>
      </c>
      <c r="G3989" s="2" t="inlineStr">
        <is>
          <t>20260313001158</t>
        </is>
      </c>
      <c r="H3989" s="8">
        <f>HYPERLINK("https://dart.fss.or.kr/dsaf001/main.do?rcpNo=20260313001158", "공시열람")</f>
        <v/>
      </c>
    </row>
    <row r="3990">
      <c r="A3990" s="2" t="inlineStr">
        <is>
          <t>2026-03-11</t>
        </is>
      </c>
      <c r="B3990" s="3" t="inlineStr">
        <is>
          <t>에이스테크</t>
        </is>
      </c>
      <c r="C3990" s="2" t="inlineStr">
        <is>
          <t>코스닥</t>
        </is>
      </c>
      <c r="D3990" s="2" t="inlineStr">
        <is>
          <t>088800</t>
        </is>
      </c>
      <c r="E3990" s="3" t="inlineStr">
        <is>
          <t xml:space="preserve">매출액또는손익구조30%(대규모법인은15%)이상변동              </t>
        </is>
      </c>
      <c r="F3990" s="3" t="inlineStr">
        <is>
          <t>에이스테크</t>
        </is>
      </c>
      <c r="G3990" s="2" t="inlineStr">
        <is>
          <t>20260311902706</t>
        </is>
      </c>
      <c r="H3990" s="8">
        <f>HYPERLINK("https://dart.fss.or.kr/dsaf001/main.do?rcpNo=20260311902706", "공시열람")</f>
        <v/>
      </c>
    </row>
    <row r="3991">
      <c r="A3991" s="2" t="inlineStr">
        <is>
          <t>2026-03-11</t>
        </is>
      </c>
      <c r="B3991" s="3" t="inlineStr">
        <is>
          <t>에이텍</t>
        </is>
      </c>
      <c r="C3991" s="2" t="inlineStr">
        <is>
          <t>코스닥</t>
        </is>
      </c>
      <c r="D3991" s="2" t="inlineStr">
        <is>
          <t>045660</t>
        </is>
      </c>
      <c r="E3991" s="3" t="inlineStr">
        <is>
          <t xml:space="preserve">현금ㆍ현물배당결정              </t>
        </is>
      </c>
      <c r="F3991" s="3" t="inlineStr">
        <is>
          <t>에이텍</t>
        </is>
      </c>
      <c r="G3991" s="2" t="inlineStr">
        <is>
          <t>20260311902703</t>
        </is>
      </c>
      <c r="H3991" s="8">
        <f>HYPERLINK("https://dart.fss.or.kr/dsaf001/main.do?rcpNo=20260311902703", "공시열람")</f>
        <v/>
      </c>
    </row>
    <row r="3992">
      <c r="A3992" s="2" t="inlineStr">
        <is>
          <t>2026-03-11</t>
        </is>
      </c>
      <c r="B3992" s="3" t="inlineStr">
        <is>
          <t>오스코텍</t>
        </is>
      </c>
      <c r="C3992" s="2" t="inlineStr">
        <is>
          <t>코스닥</t>
        </is>
      </c>
      <c r="D3992" s="2" t="inlineStr">
        <is>
          <t>039200</t>
        </is>
      </c>
      <c r="E3992" s="3" t="inlineStr">
        <is>
          <t xml:space="preserve">기업설명회(IR)개최              </t>
        </is>
      </c>
      <c r="F3992" s="3" t="inlineStr">
        <is>
          <t>오스코텍</t>
        </is>
      </c>
      <c r="G3992" s="2" t="inlineStr">
        <is>
          <t>20260311902707</t>
        </is>
      </c>
      <c r="H3992" s="8">
        <f>HYPERLINK("https://dart.fss.or.kr/dsaf001/main.do?rcpNo=20260311902707", "공시열람")</f>
        <v/>
      </c>
    </row>
    <row r="3993">
      <c r="A3993" s="2" t="inlineStr">
        <is>
          <t>2026-03-11</t>
        </is>
      </c>
      <c r="B3993" s="3" t="inlineStr">
        <is>
          <t>에이에프더블류</t>
        </is>
      </c>
      <c r="C3993" s="2" t="inlineStr">
        <is>
          <t>코스닥</t>
        </is>
      </c>
      <c r="D3993" s="2" t="inlineStr">
        <is>
          <t>312610</t>
        </is>
      </c>
      <c r="E3993" s="3" t="inlineStr">
        <is>
          <t xml:space="preserve">감사보고서제출              </t>
        </is>
      </c>
      <c r="F3993" s="3" t="inlineStr">
        <is>
          <t>에이에프더블류</t>
        </is>
      </c>
      <c r="G3993" s="2" t="inlineStr">
        <is>
          <t>20260311902693</t>
        </is>
      </c>
      <c r="H3993" s="8">
        <f>HYPERLINK("https://dart.fss.or.kr/dsaf001/main.do?rcpNo=20260311902693", "공시열람")</f>
        <v/>
      </c>
    </row>
    <row r="3994">
      <c r="A3994" s="2" t="inlineStr">
        <is>
          <t>2026-03-11</t>
        </is>
      </c>
      <c r="B3994" s="3" t="inlineStr">
        <is>
          <t>비츠로시스</t>
        </is>
      </c>
      <c r="C3994" s="2" t="inlineStr">
        <is>
          <t>코스닥</t>
        </is>
      </c>
      <c r="D3994" s="2" t="inlineStr">
        <is>
          <t>054220</t>
        </is>
      </c>
      <c r="E3994" s="3" t="inlineStr">
        <is>
          <t xml:space="preserve">주식병합결정              </t>
        </is>
      </c>
      <c r="F3994" s="3" t="inlineStr">
        <is>
          <t>비츠로시스</t>
        </is>
      </c>
      <c r="G3994" s="2" t="inlineStr">
        <is>
          <t>20260311902679</t>
        </is>
      </c>
      <c r="H3994" s="8">
        <f>HYPERLINK("https://dart.fss.or.kr/dsaf001/main.do?rcpNo=20260311902679", "공시열람")</f>
        <v/>
      </c>
    </row>
    <row r="3995">
      <c r="A3995" s="2" t="inlineStr">
        <is>
          <t>2026-03-11 (정정: 2026-03-11)</t>
        </is>
      </c>
      <c r="B3995" s="3" t="inlineStr">
        <is>
          <t>코셈</t>
        </is>
      </c>
      <c r="C3995" s="2" t="inlineStr">
        <is>
          <t>코스닥</t>
        </is>
      </c>
      <c r="D3995" s="2" t="inlineStr">
        <is>
          <t>360350</t>
        </is>
      </c>
      <c r="E3995" s="3" t="inlineStr">
        <is>
          <t xml:space="preserve">[기재정정]매출액또는손익구조30%(대규모법인은15%)이상변동              </t>
        </is>
      </c>
      <c r="F3995" s="3" t="inlineStr">
        <is>
          <t>코셈</t>
        </is>
      </c>
      <c r="G3995" s="2" t="inlineStr">
        <is>
          <t>20260311902667</t>
        </is>
      </c>
      <c r="H3995" s="8">
        <f>HYPERLINK("https://dart.fss.or.kr/dsaf001/main.do?rcpNo=20260311902667", "공시열람")</f>
        <v/>
      </c>
    </row>
    <row r="3996">
      <c r="A3996" s="2" t="inlineStr">
        <is>
          <t>2026-03-11</t>
        </is>
      </c>
      <c r="B3996" s="3" t="inlineStr">
        <is>
          <t>삼익THK</t>
        </is>
      </c>
      <c r="C3996" s="2" t="inlineStr">
        <is>
          <t>코스피</t>
        </is>
      </c>
      <c r="D3996" s="2" t="inlineStr">
        <is>
          <t>004380</t>
        </is>
      </c>
      <c r="E3996" s="3" t="inlineStr">
        <is>
          <t>기타시장안내              (개선계획 이행 여부 심의 요청)</t>
        </is>
      </c>
      <c r="F3996" s="3" t="inlineStr">
        <is>
          <t>유가증권시장본부</t>
        </is>
      </c>
      <c r="G3996" s="2" t="inlineStr">
        <is>
          <t>20260311802675</t>
        </is>
      </c>
      <c r="H3996" s="8">
        <f>HYPERLINK("https://dart.fss.or.kr/dsaf001/main.do?rcpNo=20260311802675", "공시열람")</f>
        <v/>
      </c>
    </row>
    <row r="3997">
      <c r="A3997" s="2" t="inlineStr">
        <is>
          <t>2026-03-11</t>
        </is>
      </c>
      <c r="B3997" s="3" t="inlineStr">
        <is>
          <t>세니젠</t>
        </is>
      </c>
      <c r="C3997" s="2" t="inlineStr">
        <is>
          <t>코스닥</t>
        </is>
      </c>
      <c r="D3997" s="2" t="inlineStr">
        <is>
          <t>188260</t>
        </is>
      </c>
      <c r="E3997" s="3" t="inlineStr">
        <is>
          <t>기타시장안내(관리종목지정우려종목)              (시가총액 150억원 미달)</t>
        </is>
      </c>
      <c r="F3997" s="3" t="inlineStr">
        <is>
          <t>코스닥시장본부</t>
        </is>
      </c>
      <c r="G3997" s="2" t="inlineStr">
        <is>
          <t>20260311902686</t>
        </is>
      </c>
      <c r="H3997" s="8">
        <f>HYPERLINK("https://dart.fss.or.kr/dsaf001/main.do?rcpNo=20260311902686", "공시열람")</f>
        <v/>
      </c>
    </row>
    <row r="3998">
      <c r="A3998" s="2" t="inlineStr">
        <is>
          <t>2026-03-11</t>
        </is>
      </c>
      <c r="B3998" s="3" t="inlineStr">
        <is>
          <t>아이로보틱스</t>
        </is>
      </c>
      <c r="C3998" s="2" t="inlineStr">
        <is>
          <t>코스닥</t>
        </is>
      </c>
      <c r="D3998" s="2" t="inlineStr">
        <is>
          <t>066430</t>
        </is>
      </c>
      <c r="E3998" s="3" t="inlineStr">
        <is>
          <t>소송등의판결ㆍ결정              (주주명부열람등사가처분신청)</t>
        </is>
      </c>
      <c r="F3998" s="3" t="inlineStr">
        <is>
          <t>아이로보틱스</t>
        </is>
      </c>
      <c r="G3998" s="2" t="inlineStr">
        <is>
          <t>20260311902465</t>
        </is>
      </c>
      <c r="H3998" s="8">
        <f>HYPERLINK("https://dart.fss.or.kr/dsaf001/main.do?rcpNo=20260311902465", "공시열람")</f>
        <v/>
      </c>
    </row>
    <row r="3999">
      <c r="A3999" s="2" t="inlineStr">
        <is>
          <t>2026-03-11</t>
        </is>
      </c>
      <c r="B3999" s="3" t="inlineStr">
        <is>
          <t>어보브반도체</t>
        </is>
      </c>
      <c r="C3999" s="2" t="inlineStr">
        <is>
          <t>코스닥</t>
        </is>
      </c>
      <c r="D3999" s="2" t="inlineStr">
        <is>
          <t>102120</t>
        </is>
      </c>
      <c r="E3999" s="3" t="inlineStr">
        <is>
          <t xml:space="preserve">현금ㆍ현물배당결정              </t>
        </is>
      </c>
      <c r="F3999" s="3" t="inlineStr">
        <is>
          <t>어보브반도체</t>
        </is>
      </c>
      <c r="G3999" s="2" t="inlineStr">
        <is>
          <t>20260311902669</t>
        </is>
      </c>
      <c r="H3999" s="8">
        <f>HYPERLINK("https://dart.fss.or.kr/dsaf001/main.do?rcpNo=20260311902669", "공시열람")</f>
        <v/>
      </c>
    </row>
    <row r="4000">
      <c r="A4000" s="2" t="inlineStr">
        <is>
          <t>2026-03-11</t>
        </is>
      </c>
      <c r="B4000" s="3" t="inlineStr">
        <is>
          <t>코나아이</t>
        </is>
      </c>
      <c r="C4000" s="2" t="inlineStr">
        <is>
          <t>코스닥</t>
        </is>
      </c>
      <c r="D4000" s="2" t="inlineStr">
        <is>
          <t>052400</t>
        </is>
      </c>
      <c r="E4000" s="3" t="inlineStr">
        <is>
          <t xml:space="preserve">기업설명회(IR)개최              </t>
        </is>
      </c>
      <c r="F4000" s="3" t="inlineStr">
        <is>
          <t>코나아이</t>
        </is>
      </c>
      <c r="G4000" s="2" t="inlineStr">
        <is>
          <t>20260311902680</t>
        </is>
      </c>
      <c r="H4000" s="8">
        <f>HYPERLINK("https://dart.fss.or.kr/dsaf001/main.do?rcpNo=20260311902680", "공시열람")</f>
        <v/>
      </c>
    </row>
    <row r="4001">
      <c r="A4001" s="2" t="inlineStr">
        <is>
          <t>2026-03-11</t>
        </is>
      </c>
      <c r="B4001" s="3" t="inlineStr">
        <is>
          <t>오텍</t>
        </is>
      </c>
      <c r="C4001" s="2" t="inlineStr">
        <is>
          <t>코스닥</t>
        </is>
      </c>
      <c r="D4001" s="2" t="inlineStr">
        <is>
          <t>067170</t>
        </is>
      </c>
      <c r="E4001" s="3" t="inlineStr">
        <is>
          <t xml:space="preserve">매출액또는손익구조30%(대규모법인은15%)이상변동              </t>
        </is>
      </c>
      <c r="F4001" s="3" t="inlineStr">
        <is>
          <t>오텍</t>
        </is>
      </c>
      <c r="G4001" s="2" t="inlineStr">
        <is>
          <t>20260311902638</t>
        </is>
      </c>
      <c r="H4001" s="8">
        <f>HYPERLINK("https://dart.fss.or.kr/dsaf001/main.do?rcpNo=20260311902638", "공시열람")</f>
        <v/>
      </c>
    </row>
    <row r="4002">
      <c r="A4002" s="2" t="inlineStr">
        <is>
          <t>2026-03-11</t>
        </is>
      </c>
      <c r="B4002" s="3" t="inlineStr">
        <is>
          <t>한세예스24홀딩스</t>
        </is>
      </c>
      <c r="C4002" s="2" t="inlineStr">
        <is>
          <t>코스피</t>
        </is>
      </c>
      <c r="D4002" s="2" t="inlineStr">
        <is>
          <t>016450</t>
        </is>
      </c>
      <c r="E4002" s="3" t="inlineStr">
        <is>
          <t xml:space="preserve">감사보고서제출(자회사의 주요경영사항)              </t>
        </is>
      </c>
      <c r="F4002" s="3" t="inlineStr">
        <is>
          <t>한세예스24홀딩스</t>
        </is>
      </c>
      <c r="G4002" s="2" t="inlineStr">
        <is>
          <t>20260311802644</t>
        </is>
      </c>
      <c r="H4002" s="8">
        <f>HYPERLINK("https://dart.fss.or.kr/dsaf001/main.do?rcpNo=20260311802644", "공시열람")</f>
        <v/>
      </c>
    </row>
    <row r="4003">
      <c r="A4003" s="2" t="inlineStr">
        <is>
          <t>2026-03-11 (정정: 2026-03-12)</t>
        </is>
      </c>
      <c r="B4003" s="3" t="inlineStr">
        <is>
          <t>케이티알파</t>
        </is>
      </c>
      <c r="C4003" s="2" t="inlineStr">
        <is>
          <t>코스닥</t>
        </is>
      </c>
      <c r="D4003" s="2" t="inlineStr">
        <is>
          <t>036030</t>
        </is>
      </c>
      <c r="E4003" s="3" t="inlineStr">
        <is>
          <t>감사보고서제출               (정정: 20260312) (정정: 20260312)</t>
        </is>
      </c>
      <c r="F4003" s="3" t="inlineStr">
        <is>
          <t>케이티알파</t>
        </is>
      </c>
      <c r="G4003" s="2" t="inlineStr">
        <is>
          <t>20260312001136</t>
        </is>
      </c>
      <c r="H4003" s="8">
        <f>HYPERLINK("https://dart.fss.or.kr/dsaf001/main.do?rcpNo=20260312001136", "공시열람")</f>
        <v/>
      </c>
    </row>
    <row r="4004">
      <c r="A4004" s="2" t="inlineStr">
        <is>
          <t>2026-03-11</t>
        </is>
      </c>
      <c r="B4004" s="3" t="inlineStr">
        <is>
          <t>아이톡시</t>
        </is>
      </c>
      <c r="C4004" s="2" t="inlineStr">
        <is>
          <t>코스닥</t>
        </is>
      </c>
      <c r="D4004" s="2" t="inlineStr">
        <is>
          <t>052770</t>
        </is>
      </c>
      <c r="E4004" s="3" t="inlineStr">
        <is>
          <t>기타시장안내              (관리종목 지정사유 추가 우려)(시가총액 150억원 미달)</t>
        </is>
      </c>
      <c r="F4004" s="3" t="inlineStr">
        <is>
          <t>코스닥시장본부</t>
        </is>
      </c>
      <c r="G4004" s="2" t="inlineStr">
        <is>
          <t>20260311902665</t>
        </is>
      </c>
      <c r="H4004" s="8">
        <f>HYPERLINK("https://dart.fss.or.kr/dsaf001/main.do?rcpNo=20260311902665", "공시열람")</f>
        <v/>
      </c>
    </row>
    <row r="4005">
      <c r="A4005" s="2" t="inlineStr">
        <is>
          <t>2026-03-11</t>
        </is>
      </c>
      <c r="B4005" s="3" t="inlineStr">
        <is>
          <t>베노티앤알</t>
        </is>
      </c>
      <c r="C4005" s="2" t="inlineStr">
        <is>
          <t>코스닥</t>
        </is>
      </c>
      <c r="D4005" s="2" t="inlineStr">
        <is>
          <t>206400</t>
        </is>
      </c>
      <c r="E4005" s="3" t="inlineStr">
        <is>
          <t xml:space="preserve">매출액또는손익구조30%(대규모법인은15%)이상변동              </t>
        </is>
      </c>
      <c r="F4005" s="3" t="inlineStr">
        <is>
          <t>베노티앤알</t>
        </is>
      </c>
      <c r="G4005" s="2" t="inlineStr">
        <is>
          <t>20260311902492</t>
        </is>
      </c>
      <c r="H4005" s="8">
        <f>HYPERLINK("https://dart.fss.or.kr/dsaf001/main.do?rcpNo=20260311902492", "공시열람")</f>
        <v/>
      </c>
    </row>
    <row r="4006">
      <c r="A4006" s="2" t="inlineStr">
        <is>
          <t>2026-03-11</t>
        </is>
      </c>
      <c r="B4006" s="3" t="inlineStr">
        <is>
          <t>티이엠씨</t>
        </is>
      </c>
      <c r="C4006" s="2" t="inlineStr">
        <is>
          <t>코스닥</t>
        </is>
      </c>
      <c r="D4006" s="2" t="inlineStr">
        <is>
          <t>425040</t>
        </is>
      </c>
      <c r="E4006" s="3" t="inlineStr">
        <is>
          <t xml:space="preserve">현금ㆍ현물배당결정              </t>
        </is>
      </c>
      <c r="F4006" s="3" t="inlineStr">
        <is>
          <t>티이엠씨</t>
        </is>
      </c>
      <c r="G4006" s="2" t="inlineStr">
        <is>
          <t>20260311902503</t>
        </is>
      </c>
      <c r="H4006" s="8">
        <f>HYPERLINK("https://dart.fss.or.kr/dsaf001/main.do?rcpNo=20260311902503", "공시열람")</f>
        <v/>
      </c>
    </row>
    <row r="4007">
      <c r="A4007" s="2" t="inlineStr">
        <is>
          <t>2026-03-11</t>
        </is>
      </c>
      <c r="B4007" s="3" t="inlineStr">
        <is>
          <t>에이비엘바이오</t>
        </is>
      </c>
      <c r="C4007" s="2" t="inlineStr">
        <is>
          <t>코스닥</t>
        </is>
      </c>
      <c r="D4007" s="2" t="inlineStr">
        <is>
          <t>298380</t>
        </is>
      </c>
      <c r="E4007" s="3" t="inlineStr">
        <is>
          <t xml:space="preserve">감사보고서제출              </t>
        </is>
      </c>
      <c r="F4007" s="3" t="inlineStr">
        <is>
          <t>에이비엘바이오</t>
        </is>
      </c>
      <c r="G4007" s="2" t="inlineStr">
        <is>
          <t>20260311902592</t>
        </is>
      </c>
      <c r="H4007" s="8">
        <f>HYPERLINK("https://dart.fss.or.kr/dsaf001/main.do?rcpNo=20260311902592", "공시열람")</f>
        <v/>
      </c>
    </row>
    <row r="4008">
      <c r="A4008" s="2" t="inlineStr">
        <is>
          <t>2026-03-11</t>
        </is>
      </c>
      <c r="B4008" s="3" t="inlineStr">
        <is>
          <t>한전기술</t>
        </is>
      </c>
      <c r="C4008" s="2" t="inlineStr">
        <is>
          <t>코스피</t>
        </is>
      </c>
      <c r="D4008" s="2" t="inlineStr">
        <is>
          <t>052690</t>
        </is>
      </c>
      <c r="E4008" s="3" t="inlineStr">
        <is>
          <t xml:space="preserve">감사보고서제출              </t>
        </is>
      </c>
      <c r="F4008" s="3" t="inlineStr">
        <is>
          <t>한전기술</t>
        </is>
      </c>
      <c r="G4008" s="2" t="inlineStr">
        <is>
          <t>20260311802608</t>
        </is>
      </c>
      <c r="H4008" s="8">
        <f>HYPERLINK("https://dart.fss.or.kr/dsaf001/main.do?rcpNo=20260311802608", "공시열람")</f>
        <v/>
      </c>
    </row>
    <row r="4009">
      <c r="A4009" s="2" t="inlineStr">
        <is>
          <t>2026-02-04 (정정: 2026-03-11)</t>
        </is>
      </c>
      <c r="B4009" s="3" t="inlineStr">
        <is>
          <t>유수홀딩스</t>
        </is>
      </c>
      <c r="C4009" s="2" t="inlineStr">
        <is>
          <t>코스피</t>
        </is>
      </c>
      <c r="D4009" s="2" t="inlineStr">
        <is>
          <t>000700</t>
        </is>
      </c>
      <c r="E4009" s="3" t="inlineStr">
        <is>
          <t xml:space="preserve">[기재정정]매출액또는손익구조30%(대규모법인은15%)이상변경              </t>
        </is>
      </c>
      <c r="F4009" s="3" t="inlineStr">
        <is>
          <t>유수홀딩스</t>
        </is>
      </c>
      <c r="G4009" s="2" t="inlineStr">
        <is>
          <t>20260311802610</t>
        </is>
      </c>
      <c r="H4009" s="8">
        <f>HYPERLINK("https://dart.fss.or.kr/dsaf001/main.do?rcpNo=20260311802610", "공시열람")</f>
        <v/>
      </c>
    </row>
    <row r="4010">
      <c r="A4010" s="2" t="inlineStr">
        <is>
          <t>2026-03-11</t>
        </is>
      </c>
      <c r="B4010" s="3" t="inlineStr">
        <is>
          <t>피플바이오</t>
        </is>
      </c>
      <c r="C4010" s="2" t="inlineStr">
        <is>
          <t>코스닥</t>
        </is>
      </c>
      <c r="D4010" s="2" t="inlineStr">
        <is>
          <t>304840</t>
        </is>
      </c>
      <c r="E4010" s="3" t="inlineStr">
        <is>
          <t>불성실공시법인지정              (공시번복 2건)</t>
        </is>
      </c>
      <c r="F4010" s="3" t="inlineStr">
        <is>
          <t>코스닥시장본부</t>
        </is>
      </c>
      <c r="G4010" s="2" t="inlineStr">
        <is>
          <t>20260311901987</t>
        </is>
      </c>
      <c r="H4010" s="8">
        <f>HYPERLINK("https://dart.fss.or.kr/dsaf001/main.do?rcpNo=20260311901987", "공시열람")</f>
        <v/>
      </c>
    </row>
    <row r="4011">
      <c r="A4011" s="2" t="inlineStr">
        <is>
          <t>2026-03-11</t>
        </is>
      </c>
      <c r="B4011" s="3" t="inlineStr">
        <is>
          <t>제이알글로벌리츠</t>
        </is>
      </c>
      <c r="C4011" s="2" t="inlineStr">
        <is>
          <t>코스피</t>
        </is>
      </c>
      <c r="D4011" s="2" t="inlineStr">
        <is>
          <t>348950</t>
        </is>
      </c>
      <c r="E4011" s="3" t="inlineStr">
        <is>
          <t xml:space="preserve">부동산투자회사자금차입              </t>
        </is>
      </c>
      <c r="F4011" s="3" t="inlineStr">
        <is>
          <t>제이알글로벌리츠</t>
        </is>
      </c>
      <c r="G4011" s="2" t="inlineStr">
        <is>
          <t>20260311802508</t>
        </is>
      </c>
      <c r="H4011" s="8">
        <f>HYPERLINK("https://dart.fss.or.kr/dsaf001/main.do?rcpNo=20260311802508", "공시열람")</f>
        <v/>
      </c>
    </row>
    <row r="4012">
      <c r="A4012" s="2" t="inlineStr">
        <is>
          <t>2026-03-11</t>
        </is>
      </c>
      <c r="B4012" s="3" t="inlineStr">
        <is>
          <t>큐캐피탈</t>
        </is>
      </c>
      <c r="C4012" s="2" t="inlineStr">
        <is>
          <t>코스닥</t>
        </is>
      </c>
      <c r="D4012" s="2" t="inlineStr">
        <is>
          <t>016600</t>
        </is>
      </c>
      <c r="E4012" s="3" t="inlineStr">
        <is>
          <t>주요사항보고서(감자결정)</t>
        </is>
      </c>
      <c r="F4012" s="3" t="inlineStr">
        <is>
          <t>큐캐피탈</t>
        </is>
      </c>
      <c r="G4012" s="2" t="inlineStr">
        <is>
          <t>20260311004594</t>
        </is>
      </c>
      <c r="H4012" s="8">
        <f>HYPERLINK("https://dart.fss.or.kr/dsaf001/main.do?rcpNo=20260311004594", "공시열람")</f>
        <v/>
      </c>
    </row>
    <row r="4013">
      <c r="A4013" s="2" t="inlineStr">
        <is>
          <t>2026-03-11</t>
        </is>
      </c>
      <c r="B4013" s="3" t="inlineStr">
        <is>
          <t>휴림에이텍</t>
        </is>
      </c>
      <c r="C4013" s="2" t="inlineStr">
        <is>
          <t>코스닥</t>
        </is>
      </c>
      <c r="D4013" s="2" t="inlineStr">
        <is>
          <t>078590</t>
        </is>
      </c>
      <c r="E4013" s="3" t="inlineStr">
        <is>
          <t>주요사항보고서(감자결정)</t>
        </is>
      </c>
      <c r="F4013" s="3" t="inlineStr">
        <is>
          <t>휴림에이텍</t>
        </is>
      </c>
      <c r="G4013" s="2" t="inlineStr">
        <is>
          <t>20260311004567</t>
        </is>
      </c>
      <c r="H4013" s="8">
        <f>HYPERLINK("https://dart.fss.or.kr/dsaf001/main.do?rcpNo=20260311004567", "공시열람")</f>
        <v/>
      </c>
    </row>
    <row r="4014">
      <c r="A4014" s="2" t="inlineStr">
        <is>
          <t>2026-03-11</t>
        </is>
      </c>
      <c r="B4014" s="3" t="inlineStr">
        <is>
          <t>웅진씽크빅</t>
        </is>
      </c>
      <c r="C4014" s="2" t="inlineStr">
        <is>
          <t>코스피</t>
        </is>
      </c>
      <c r="D4014" s="2" t="inlineStr">
        <is>
          <t>095720</t>
        </is>
      </c>
      <c r="E4014" s="3" t="inlineStr">
        <is>
          <t xml:space="preserve">주식병합결정              </t>
        </is>
      </c>
      <c r="F4014" s="3" t="inlineStr">
        <is>
          <t>웅진씽크빅</t>
        </is>
      </c>
      <c r="G4014" s="2" t="inlineStr">
        <is>
          <t>20260311802526</t>
        </is>
      </c>
      <c r="H4014" s="8">
        <f>HYPERLINK("https://dart.fss.or.kr/dsaf001/main.do?rcpNo=20260311802526", "공시열람")</f>
        <v/>
      </c>
    </row>
    <row r="4015">
      <c r="A4015" s="2" t="inlineStr">
        <is>
          <t>2026-03-11</t>
        </is>
      </c>
      <c r="B4015" s="3" t="inlineStr">
        <is>
          <t>스맥</t>
        </is>
      </c>
      <c r="C4015" s="2" t="inlineStr">
        <is>
          <t>코스닥</t>
        </is>
      </c>
      <c r="D4015" s="2" t="inlineStr">
        <is>
          <t>099440</t>
        </is>
      </c>
      <c r="E4015" s="3" t="inlineStr">
        <is>
          <t>의결권대리행사권유참고서류</t>
        </is>
      </c>
      <c r="F4015" s="3" t="inlineStr">
        <is>
          <t>스맥</t>
        </is>
      </c>
      <c r="G4015" s="2" t="inlineStr">
        <is>
          <t>20260311004646</t>
        </is>
      </c>
      <c r="H4015" s="8">
        <f>HYPERLINK("https://dart.fss.or.kr/dsaf001/main.do?rcpNo=20260311004646", "공시열람")</f>
        <v/>
      </c>
    </row>
    <row r="4016">
      <c r="A4016" s="2" t="inlineStr">
        <is>
          <t>2026-03-11</t>
        </is>
      </c>
      <c r="B4016" s="3" t="inlineStr">
        <is>
          <t>카카오</t>
        </is>
      </c>
      <c r="C4016" s="2" t="inlineStr">
        <is>
          <t>코스피</t>
        </is>
      </c>
      <c r="D4016" s="2" t="inlineStr">
        <is>
          <t>035720</t>
        </is>
      </c>
      <c r="E4016" s="3" t="inlineStr">
        <is>
          <t>특수관계인에대한영업양도</t>
        </is>
      </c>
      <c r="F4016" s="3" t="inlineStr">
        <is>
          <t>카카오</t>
        </is>
      </c>
      <c r="G4016" s="2" t="inlineStr">
        <is>
          <t>20260311004645</t>
        </is>
      </c>
      <c r="H4016" s="8">
        <f>HYPERLINK("https://dart.fss.or.kr/dsaf001/main.do?rcpNo=20260311004645", "공시열람")</f>
        <v/>
      </c>
    </row>
    <row r="4017">
      <c r="A4017" s="2" t="inlineStr">
        <is>
          <t>2026-03-11</t>
        </is>
      </c>
      <c r="B4017" s="3" t="inlineStr">
        <is>
          <t>한국정보인증</t>
        </is>
      </c>
      <c r="C4017" s="2" t="inlineStr">
        <is>
          <t>코스닥</t>
        </is>
      </c>
      <c r="D4017" s="2" t="inlineStr">
        <is>
          <t>053300</t>
        </is>
      </c>
      <c r="E4017" s="3" t="inlineStr">
        <is>
          <t xml:space="preserve">현금ㆍ현물배당결정              </t>
        </is>
      </c>
      <c r="F4017" s="3" t="inlineStr">
        <is>
          <t>한국정보인증</t>
        </is>
      </c>
      <c r="G4017" s="2" t="inlineStr">
        <is>
          <t>20260311902550</t>
        </is>
      </c>
      <c r="H4017" s="8">
        <f>HYPERLINK("https://dart.fss.or.kr/dsaf001/main.do?rcpNo=20260311902550", "공시열람")</f>
        <v/>
      </c>
    </row>
    <row r="4018">
      <c r="A4018" s="2" t="inlineStr">
        <is>
          <t>2026-03-11 (정정: 2026-03-11)</t>
        </is>
      </c>
      <c r="B4018" s="3" t="inlineStr">
        <is>
          <t>카카오</t>
        </is>
      </c>
      <c r="C4018" s="2" t="inlineStr">
        <is>
          <t>코스피</t>
        </is>
      </c>
      <c r="D4018" s="2" t="inlineStr">
        <is>
          <t>035720</t>
        </is>
      </c>
      <c r="E4018" s="3" t="inlineStr">
        <is>
          <t>특수관계인에대한출자 (정정: 20260311)</t>
        </is>
      </c>
      <c r="F4018" s="3" t="inlineStr">
        <is>
          <t>카카오</t>
        </is>
      </c>
      <c r="G4018" s="2" t="inlineStr">
        <is>
          <t>20260311801979</t>
        </is>
      </c>
      <c r="H4018" s="8">
        <f>HYPERLINK("https://dart.fss.or.kr/dsaf001/main.do?rcpNo=20260311801979", "공시열람")</f>
        <v/>
      </c>
    </row>
    <row r="4019">
      <c r="A4019" s="2" t="inlineStr">
        <is>
          <t>2026-03-11</t>
        </is>
      </c>
      <c r="B4019" s="3" t="inlineStr">
        <is>
          <t>바이오솔루션</t>
        </is>
      </c>
      <c r="C4019" s="2" t="inlineStr">
        <is>
          <t>코스닥</t>
        </is>
      </c>
      <c r="D4019" s="2" t="inlineStr">
        <is>
          <t>086820</t>
        </is>
      </c>
      <c r="E4019" s="3" t="inlineStr">
        <is>
          <t xml:space="preserve">전환청구권행사              </t>
        </is>
      </c>
      <c r="F4019" s="3" t="inlineStr">
        <is>
          <t>바이오솔루션</t>
        </is>
      </c>
      <c r="G4019" s="2" t="inlineStr">
        <is>
          <t>20260311902619</t>
        </is>
      </c>
      <c r="H4019" s="8">
        <f>HYPERLINK("https://dart.fss.or.kr/dsaf001/main.do?rcpNo=20260311902619", "공시열람")</f>
        <v/>
      </c>
    </row>
    <row r="4020">
      <c r="A4020" s="2" t="inlineStr">
        <is>
          <t>2026-03-11 (정정: 2026-03-12)</t>
        </is>
      </c>
      <c r="B4020" s="3" t="inlineStr">
        <is>
          <t>기아</t>
        </is>
      </c>
      <c r="C4020" s="2" t="inlineStr">
        <is>
          <t>코스피</t>
        </is>
      </c>
      <c r="D4020" s="2" t="inlineStr">
        <is>
          <t>000270</t>
        </is>
      </c>
      <c r="E4020" s="3" t="inlineStr">
        <is>
          <t>의결권대리행사권유참고서류 (정정: 20260312)</t>
        </is>
      </c>
      <c r="F4020" s="3" t="inlineStr">
        <is>
          <t>컨두잇</t>
        </is>
      </c>
      <c r="G4020" s="2" t="inlineStr">
        <is>
          <t>20260312001130</t>
        </is>
      </c>
      <c r="H4020" s="8">
        <f>HYPERLINK("https://dart.fss.or.kr/dsaf001/main.do?rcpNo=20260312001130", "공시열람")</f>
        <v/>
      </c>
    </row>
    <row r="4021">
      <c r="A4021" s="2" t="inlineStr">
        <is>
          <t>2026-02-12 (정정: 2026-03-11)</t>
        </is>
      </c>
      <c r="B4021" s="3" t="inlineStr">
        <is>
          <t>우리산업홀딩스</t>
        </is>
      </c>
      <c r="C4021" s="2" t="inlineStr">
        <is>
          <t>코스닥</t>
        </is>
      </c>
      <c r="D4021" s="2" t="inlineStr">
        <is>
          <t>072470</t>
        </is>
      </c>
      <c r="E4021" s="3" t="inlineStr">
        <is>
          <t xml:space="preserve">[기재정정]매출액또는손익구조30%(대규모법인은15%)이상변동              </t>
        </is>
      </c>
      <c r="F4021" s="3" t="inlineStr">
        <is>
          <t>우리산업홀딩스</t>
        </is>
      </c>
      <c r="G4021" s="2" t="inlineStr">
        <is>
          <t>20260311902558</t>
        </is>
      </c>
      <c r="H4021" s="8">
        <f>HYPERLINK("https://dart.fss.or.kr/dsaf001/main.do?rcpNo=20260311902558", "공시열람")</f>
        <v/>
      </c>
    </row>
    <row r="4022">
      <c r="A4022" s="2" t="inlineStr">
        <is>
          <t>2026-03-11 (정정: 2026-03-12)</t>
        </is>
      </c>
      <c r="B4022" s="3" t="inlineStr">
        <is>
          <t>웅진</t>
        </is>
      </c>
      <c r="C4022" s="2" t="inlineStr">
        <is>
          <t>코스피</t>
        </is>
      </c>
      <c r="D4022" s="2" t="inlineStr">
        <is>
          <t>016880</t>
        </is>
      </c>
      <c r="E4022" s="3" t="inlineStr">
        <is>
          <t>의결권대리행사권유참고서류 (정정: 20260312)</t>
        </is>
      </c>
      <c r="F4022" s="3" t="inlineStr">
        <is>
          <t>웅진</t>
        </is>
      </c>
      <c r="G4022" s="2" t="inlineStr">
        <is>
          <t>20260311004663</t>
        </is>
      </c>
      <c r="H4022" s="8">
        <f>HYPERLINK("https://dart.fss.or.kr/dsaf001/main.do?rcpNo=20260311004663", "공시열람")</f>
        <v/>
      </c>
    </row>
    <row r="4023">
      <c r="A4023" s="2" t="inlineStr">
        <is>
          <t>2026-03-11</t>
        </is>
      </c>
      <c r="B4023" s="3" t="inlineStr">
        <is>
          <t>DB손해보험</t>
        </is>
      </c>
      <c r="C4023" s="2" t="inlineStr">
        <is>
          <t>코스피</t>
        </is>
      </c>
      <c r="D4023" s="2" t="inlineStr">
        <is>
          <t>005830</t>
        </is>
      </c>
      <c r="E4023" s="3" t="inlineStr">
        <is>
          <t xml:space="preserve">감사보고서제출              </t>
        </is>
      </c>
      <c r="F4023" s="3" t="inlineStr">
        <is>
          <t>DB손해보험</t>
        </is>
      </c>
      <c r="G4023" s="2" t="inlineStr">
        <is>
          <t>20260311802491</t>
        </is>
      </c>
      <c r="H4023" s="8">
        <f>HYPERLINK("https://dart.fss.or.kr/dsaf001/main.do?rcpNo=20260311802491", "공시열람")</f>
        <v/>
      </c>
    </row>
    <row r="4024">
      <c r="A4024" s="2" t="inlineStr">
        <is>
          <t>2026-03-11</t>
        </is>
      </c>
      <c r="B4024" s="3" t="inlineStr">
        <is>
          <t>예스24</t>
        </is>
      </c>
      <c r="C4024" s="2" t="inlineStr">
        <is>
          <t>코스닥</t>
        </is>
      </c>
      <c r="D4024" s="2" t="inlineStr">
        <is>
          <t>053280</t>
        </is>
      </c>
      <c r="E4024" s="3" t="inlineStr">
        <is>
          <t>의결권대리행사권유참고서류</t>
        </is>
      </c>
      <c r="F4024" s="3" t="inlineStr">
        <is>
          <t>예스24</t>
        </is>
      </c>
      <c r="G4024" s="2" t="inlineStr">
        <is>
          <t>20260311004638</t>
        </is>
      </c>
      <c r="H4024" s="8">
        <f>HYPERLINK("https://dart.fss.or.kr/dsaf001/main.do?rcpNo=20260311004638", "공시열람")</f>
        <v/>
      </c>
    </row>
    <row r="4025">
      <c r="A4025" s="2" t="inlineStr">
        <is>
          <t>2026-03-11 (정정: 2026-03-19)</t>
        </is>
      </c>
      <c r="B4025" s="3" t="inlineStr">
        <is>
          <t>온타이드</t>
        </is>
      </c>
      <c r="C4025" s="2" t="inlineStr">
        <is>
          <t>코스피</t>
        </is>
      </c>
      <c r="D4025" s="2" t="inlineStr">
        <is>
          <t>005320</t>
        </is>
      </c>
      <c r="E4025" s="3" t="inlineStr">
        <is>
          <t>임원ㆍ주요주주특정증권등소유상황보고서 (정정: 20260319)</t>
        </is>
      </c>
      <c r="F4025" s="3" t="inlineStr">
        <is>
          <t>약진통상</t>
        </is>
      </c>
      <c r="G4025" s="2" t="inlineStr">
        <is>
          <t>20260319000204</t>
        </is>
      </c>
      <c r="H4025" s="8">
        <f>HYPERLINK("https://dart.fss.or.kr/dsaf001/main.do?rcpNo=20260319000204", "공시열람")</f>
        <v/>
      </c>
    </row>
    <row r="4026">
      <c r="A4026" s="2" t="inlineStr">
        <is>
          <t>2026-03-11</t>
        </is>
      </c>
      <c r="B4026" s="3" t="inlineStr">
        <is>
          <t>한국앤컴퍼니</t>
        </is>
      </c>
      <c r="C4026" s="2" t="inlineStr">
        <is>
          <t>코스피</t>
        </is>
      </c>
      <c r="D4026" s="2" t="inlineStr">
        <is>
          <t>000240</t>
        </is>
      </c>
      <c r="E4026" s="3" t="inlineStr">
        <is>
          <t>의결권대리행사권유참고서류</t>
        </is>
      </c>
      <c r="F4026" s="3" t="inlineStr">
        <is>
          <t>한국앤컴퍼니</t>
        </is>
      </c>
      <c r="G4026" s="2" t="inlineStr">
        <is>
          <t>20260311004636</t>
        </is>
      </c>
      <c r="H4026" s="8">
        <f>HYPERLINK("https://dart.fss.or.kr/dsaf001/main.do?rcpNo=20260311004636", "공시열람")</f>
        <v/>
      </c>
    </row>
    <row r="4027">
      <c r="A4027" s="2" t="inlineStr">
        <is>
          <t>2026-03-11</t>
        </is>
      </c>
      <c r="B4027" s="3" t="inlineStr">
        <is>
          <t>한국정보인증</t>
        </is>
      </c>
      <c r="C4027" s="2" t="inlineStr">
        <is>
          <t>코스닥</t>
        </is>
      </c>
      <c r="D4027" s="2" t="inlineStr">
        <is>
          <t>053300</t>
        </is>
      </c>
      <c r="E4027" s="3" t="inlineStr">
        <is>
          <t>주요사항보고서(감자결정)</t>
        </is>
      </c>
      <c r="F4027" s="3" t="inlineStr">
        <is>
          <t>한국정보인증</t>
        </is>
      </c>
      <c r="G4027" s="2" t="inlineStr">
        <is>
          <t>20260311004572</t>
        </is>
      </c>
      <c r="H4027" s="8">
        <f>HYPERLINK("https://dart.fss.or.kr/dsaf001/main.do?rcpNo=20260311004572", "공시열람")</f>
        <v/>
      </c>
    </row>
    <row r="4028">
      <c r="A4028" s="2" t="inlineStr">
        <is>
          <t>2026-03-11</t>
        </is>
      </c>
      <c r="B4028" s="3" t="inlineStr">
        <is>
          <t>케이뱅크</t>
        </is>
      </c>
      <c r="C4028" s="2" t="inlineStr">
        <is>
          <t>코스피</t>
        </is>
      </c>
      <c r="D4028" s="2" t="inlineStr">
        <is>
          <t>279570</t>
        </is>
      </c>
      <c r="E4028" s="3" t="inlineStr">
        <is>
          <t>의결권대리행사권유참고서류</t>
        </is>
      </c>
      <c r="F4028" s="3" t="inlineStr">
        <is>
          <t>케이뱅크</t>
        </is>
      </c>
      <c r="G4028" s="2" t="inlineStr">
        <is>
          <t>20260311004634</t>
        </is>
      </c>
      <c r="H4028" s="8">
        <f>HYPERLINK("https://dart.fss.or.kr/dsaf001/main.do?rcpNo=20260311004634", "공시열람")</f>
        <v/>
      </c>
    </row>
    <row r="4029">
      <c r="A4029" s="2" t="inlineStr">
        <is>
          <t>2026-03-11 (정정: 2026-03-12)</t>
        </is>
      </c>
      <c r="B4029" s="3" t="inlineStr">
        <is>
          <t>삼성바이오로직스</t>
        </is>
      </c>
      <c r="C4029" s="2" t="inlineStr">
        <is>
          <t>코스피</t>
        </is>
      </c>
      <c r="D4029" s="2" t="inlineStr">
        <is>
          <t>207940</t>
        </is>
      </c>
      <c r="E4029" s="3" t="inlineStr">
        <is>
          <t>의결권대리행사권유참고서류 (정정: 20260312)</t>
        </is>
      </c>
      <c r="F4029" s="3" t="inlineStr">
        <is>
          <t>컨두잇</t>
        </is>
      </c>
      <c r="G4029" s="2" t="inlineStr">
        <is>
          <t>20260312000726</t>
        </is>
      </c>
      <c r="H4029" s="8">
        <f>HYPERLINK("https://dart.fss.or.kr/dsaf001/main.do?rcpNo=20260312000726", "공시열람")</f>
        <v/>
      </c>
    </row>
    <row r="4030">
      <c r="A4030" s="2" t="inlineStr">
        <is>
          <t>2026-03-11 (정정: 2026-03-11)</t>
        </is>
      </c>
      <c r="B4030" s="3" t="inlineStr">
        <is>
          <t>대한뉴팜</t>
        </is>
      </c>
      <c r="C4030" s="2" t="inlineStr">
        <is>
          <t>코스닥</t>
        </is>
      </c>
      <c r="D4030" s="2" t="inlineStr">
        <is>
          <t>054670</t>
        </is>
      </c>
      <c r="E4030" s="3" t="inlineStr">
        <is>
          <t>[첨부정정]현금ㆍ현물배당결정               (정정: 20260311) (정정: 20260311)</t>
        </is>
      </c>
      <c r="F4030" s="3" t="inlineStr">
        <is>
          <t>대한뉴팜</t>
        </is>
      </c>
      <c r="G4030" s="2" t="inlineStr">
        <is>
          <t>20260311004578</t>
        </is>
      </c>
      <c r="H4030" s="8">
        <f>HYPERLINK("https://dart.fss.or.kr/dsaf001/main.do?rcpNo=20260311004578", "공시열람")</f>
        <v/>
      </c>
    </row>
    <row r="4031">
      <c r="A4031" s="2" t="inlineStr">
        <is>
          <t>2026-03-11</t>
        </is>
      </c>
      <c r="B4031" s="3" t="inlineStr">
        <is>
          <t>LS</t>
        </is>
      </c>
      <c r="C4031" s="2" t="inlineStr">
        <is>
          <t>코스피</t>
        </is>
      </c>
      <c r="D4031" s="2" t="inlineStr">
        <is>
          <t>006260</t>
        </is>
      </c>
      <c r="E4031" s="3" t="inlineStr">
        <is>
          <t>의결권대리행사권유참고서류</t>
        </is>
      </c>
      <c r="F4031" s="3" t="inlineStr">
        <is>
          <t>LS</t>
        </is>
      </c>
      <c r="G4031" s="2" t="inlineStr">
        <is>
          <t>20260311004632</t>
        </is>
      </c>
      <c r="H4031" s="8">
        <f>HYPERLINK("https://dart.fss.or.kr/dsaf001/main.do?rcpNo=20260311004632", "공시열람")</f>
        <v/>
      </c>
    </row>
    <row r="4032">
      <c r="A4032" s="2" t="inlineStr">
        <is>
          <t>2026-03-11</t>
        </is>
      </c>
      <c r="B4032" s="3" t="inlineStr">
        <is>
          <t>KB오토시스</t>
        </is>
      </c>
      <c r="C4032" s="2" t="inlineStr">
        <is>
          <t>코스닥</t>
        </is>
      </c>
      <c r="D4032" s="2" t="inlineStr">
        <is>
          <t>024120</t>
        </is>
      </c>
      <c r="E4032" s="3" t="inlineStr">
        <is>
          <t xml:space="preserve">매출액또는손익구조30%(대규모법인은15%)이상변동              </t>
        </is>
      </c>
      <c r="F4032" s="3" t="inlineStr">
        <is>
          <t>KB오토시스</t>
        </is>
      </c>
      <c r="G4032" s="2" t="inlineStr">
        <is>
          <t>20260311902493</t>
        </is>
      </c>
      <c r="H4032" s="8">
        <f>HYPERLINK("https://dart.fss.or.kr/dsaf001/main.do?rcpNo=20260311902493", "공시열람")</f>
        <v/>
      </c>
    </row>
    <row r="4033">
      <c r="A4033" s="2" t="inlineStr">
        <is>
          <t>2026-03-11</t>
        </is>
      </c>
      <c r="B4033" s="3" t="inlineStr">
        <is>
          <t>오로라</t>
        </is>
      </c>
      <c r="C4033" s="2" t="inlineStr">
        <is>
          <t>코스닥</t>
        </is>
      </c>
      <c r="D4033" s="2" t="inlineStr">
        <is>
          <t>039830</t>
        </is>
      </c>
      <c r="E4033" s="3" t="inlineStr">
        <is>
          <t xml:space="preserve">현금ㆍ현물배당결정              </t>
        </is>
      </c>
      <c r="F4033" s="3" t="inlineStr">
        <is>
          <t>오로라</t>
        </is>
      </c>
      <c r="G4033" s="2" t="inlineStr">
        <is>
          <t>20260311902426</t>
        </is>
      </c>
      <c r="H4033" s="8">
        <f>HYPERLINK("https://dart.fss.or.kr/dsaf001/main.do?rcpNo=20260311902426", "공시열람")</f>
        <v/>
      </c>
    </row>
    <row r="4034">
      <c r="A4034" s="2" t="inlineStr">
        <is>
          <t>2026-03-11</t>
        </is>
      </c>
      <c r="B4034" s="3" t="inlineStr">
        <is>
          <t>메리츠금융지주</t>
        </is>
      </c>
      <c r="C4034" s="2" t="inlineStr">
        <is>
          <t>코스피</t>
        </is>
      </c>
      <c r="D4034" s="2" t="inlineStr">
        <is>
          <t>138040</t>
        </is>
      </c>
      <c r="E4034" s="3" t="inlineStr">
        <is>
          <t xml:space="preserve">감사보고서제출              </t>
        </is>
      </c>
      <c r="F4034" s="3" t="inlineStr">
        <is>
          <t>메리츠금융지주</t>
        </is>
      </c>
      <c r="G4034" s="2" t="inlineStr">
        <is>
          <t>20260311802417</t>
        </is>
      </c>
      <c r="H4034" s="8">
        <f>HYPERLINK("https://dart.fss.or.kr/dsaf001/main.do?rcpNo=20260311802417", "공시열람")</f>
        <v/>
      </c>
    </row>
    <row r="4035">
      <c r="A4035" s="2" t="inlineStr">
        <is>
          <t>2026-03-11</t>
        </is>
      </c>
      <c r="B4035" s="3" t="inlineStr">
        <is>
          <t>코스맥스엔비티</t>
        </is>
      </c>
      <c r="C4035" s="2" t="inlineStr">
        <is>
          <t>코스닥</t>
        </is>
      </c>
      <c r="D4035" s="2" t="inlineStr">
        <is>
          <t>222040</t>
        </is>
      </c>
      <c r="E4035" s="3" t="inlineStr">
        <is>
          <t>의결권대리행사권유참고서류</t>
        </is>
      </c>
      <c r="F4035" s="3" t="inlineStr">
        <is>
          <t>코스맥스엔비티</t>
        </is>
      </c>
      <c r="G4035" s="2" t="inlineStr">
        <is>
          <t>20260311004630</t>
        </is>
      </c>
      <c r="H4035" s="8">
        <f>HYPERLINK("https://dart.fss.or.kr/dsaf001/main.do?rcpNo=20260311004630", "공시열람")</f>
        <v/>
      </c>
    </row>
    <row r="4036">
      <c r="A4036" s="2" t="inlineStr">
        <is>
          <t>2026-03-11</t>
        </is>
      </c>
      <c r="B4036" s="3" t="inlineStr">
        <is>
          <t>오로라</t>
        </is>
      </c>
      <c r="C4036" s="2" t="inlineStr">
        <is>
          <t>코스닥</t>
        </is>
      </c>
      <c r="D4036" s="2" t="inlineStr">
        <is>
          <t>039830</t>
        </is>
      </c>
      <c r="E4036" s="3" t="inlineStr">
        <is>
          <t xml:space="preserve">매출액또는손익구조30%(대규모법인은15%)이상변동              </t>
        </is>
      </c>
      <c r="F4036" s="3" t="inlineStr">
        <is>
          <t>오로라</t>
        </is>
      </c>
      <c r="G4036" s="2" t="inlineStr">
        <is>
          <t>20260311902411</t>
        </is>
      </c>
      <c r="H4036" s="8">
        <f>HYPERLINK("https://dart.fss.or.kr/dsaf001/main.do?rcpNo=20260311902411", "공시열람")</f>
        <v/>
      </c>
    </row>
    <row r="4037">
      <c r="A4037" s="2" t="inlineStr">
        <is>
          <t>2026-03-11</t>
        </is>
      </c>
      <c r="B4037" s="3" t="inlineStr">
        <is>
          <t>휴온스</t>
        </is>
      </c>
      <c r="C4037" s="2" t="inlineStr">
        <is>
          <t>코스닥</t>
        </is>
      </c>
      <c r="D4037" s="2" t="inlineStr">
        <is>
          <t>243070</t>
        </is>
      </c>
      <c r="E4037" s="3" t="inlineStr">
        <is>
          <t>투자판단관련주요경영사항(임상시험계획승인신청등결정)              (HUC1-394(NCP112)점안제 제 2상 임상시험의 한국 임상시험계획(IND) 승인)</t>
        </is>
      </c>
      <c r="F4037" s="3" t="inlineStr">
        <is>
          <t>휴온스</t>
        </is>
      </c>
      <c r="G4037" s="2" t="inlineStr">
        <is>
          <t>20260311902478</t>
        </is>
      </c>
      <c r="H4037" s="8">
        <f>HYPERLINK("https://dart.fss.or.kr/dsaf001/main.do?rcpNo=20260311902478", "공시열람")</f>
        <v/>
      </c>
    </row>
    <row r="4038">
      <c r="A4038" s="2" t="inlineStr">
        <is>
          <t>2026-03-11</t>
        </is>
      </c>
      <c r="B4038" s="3" t="inlineStr">
        <is>
          <t>에이플러스에셋</t>
        </is>
      </c>
      <c r="C4038" s="2" t="inlineStr">
        <is>
          <t>코스피</t>
        </is>
      </c>
      <c r="D4038" s="2" t="inlineStr">
        <is>
          <t>244920</t>
        </is>
      </c>
      <c r="E4038" s="3" t="inlineStr">
        <is>
          <t>의결권대리행사권유참고서류</t>
        </is>
      </c>
      <c r="F4038" s="3" t="inlineStr">
        <is>
          <t>에이플러스에셋</t>
        </is>
      </c>
      <c r="G4038" s="2" t="inlineStr">
        <is>
          <t>20260311004629</t>
        </is>
      </c>
      <c r="H4038" s="8">
        <f>HYPERLINK("https://dart.fss.or.kr/dsaf001/main.do?rcpNo=20260311004629", "공시열람")</f>
        <v/>
      </c>
    </row>
    <row r="4039">
      <c r="A4039" s="2" t="inlineStr">
        <is>
          <t>2026-03-11 (정정: 2026-03-12)</t>
        </is>
      </c>
      <c r="B4039" s="3" t="inlineStr">
        <is>
          <t>삼성물산</t>
        </is>
      </c>
      <c r="C4039" s="2" t="inlineStr">
        <is>
          <t>코스피</t>
        </is>
      </c>
      <c r="D4039" s="2" t="inlineStr">
        <is>
          <t>028260</t>
        </is>
      </c>
      <c r="E4039" s="3" t="inlineStr">
        <is>
          <t>의결권대리행사권유참고서류 (정정: 20260312)</t>
        </is>
      </c>
      <c r="F4039" s="3" t="inlineStr">
        <is>
          <t>컨두잇</t>
        </is>
      </c>
      <c r="G4039" s="2" t="inlineStr">
        <is>
          <t>20260312000693</t>
        </is>
      </c>
      <c r="H4039" s="8">
        <f>HYPERLINK("https://dart.fss.or.kr/dsaf001/main.do?rcpNo=20260312000693", "공시열람")</f>
        <v/>
      </c>
    </row>
    <row r="4040">
      <c r="A4040" s="2" t="inlineStr">
        <is>
          <t>2026-03-11</t>
        </is>
      </c>
      <c r="B4040" s="3" t="inlineStr">
        <is>
          <t>어보브반도체</t>
        </is>
      </c>
      <c r="C4040" s="2" t="inlineStr">
        <is>
          <t>코스닥</t>
        </is>
      </c>
      <c r="D4040" s="2" t="inlineStr">
        <is>
          <t>102120</t>
        </is>
      </c>
      <c r="E4040" s="3" t="inlineStr">
        <is>
          <t>의결권대리행사권유참고서류</t>
        </is>
      </c>
      <c r="F4040" s="3" t="inlineStr">
        <is>
          <t>어보브반도체</t>
        </is>
      </c>
      <c r="G4040" s="2" t="inlineStr">
        <is>
          <t>20260311004626</t>
        </is>
      </c>
      <c r="H4040" s="8">
        <f>HYPERLINK("https://dart.fss.or.kr/dsaf001/main.do?rcpNo=20260311004626", "공시열람")</f>
        <v/>
      </c>
    </row>
    <row r="4041">
      <c r="A4041" s="2" t="inlineStr">
        <is>
          <t>2026-03-11</t>
        </is>
      </c>
      <c r="B4041" s="3" t="inlineStr">
        <is>
          <t>JB금융지주</t>
        </is>
      </c>
      <c r="C4041" s="2" t="inlineStr">
        <is>
          <t>코스피</t>
        </is>
      </c>
      <c r="D4041" s="2" t="inlineStr">
        <is>
          <t>175330</t>
        </is>
      </c>
      <c r="E4041" s="3" t="inlineStr">
        <is>
          <t>임원ㆍ주요주주특정증권등소유상황보고서</t>
        </is>
      </c>
      <c r="F4041" s="3" t="inlineStr">
        <is>
          <t>이광호</t>
        </is>
      </c>
      <c r="G4041" s="2" t="inlineStr">
        <is>
          <t>20260311004625</t>
        </is>
      </c>
      <c r="H4041" s="8">
        <f>HYPERLINK("https://dart.fss.or.kr/dsaf001/main.do?rcpNo=20260311004625", "공시열람")</f>
        <v/>
      </c>
    </row>
    <row r="4042">
      <c r="A4042" s="2" t="inlineStr">
        <is>
          <t>2026-03-11</t>
        </is>
      </c>
      <c r="B4042" s="3" t="inlineStr">
        <is>
          <t>KB오토시스</t>
        </is>
      </c>
      <c r="C4042" s="2" t="inlineStr">
        <is>
          <t>코스닥</t>
        </is>
      </c>
      <c r="D4042" s="2" t="inlineStr">
        <is>
          <t>024120</t>
        </is>
      </c>
      <c r="E4042" s="3" t="inlineStr">
        <is>
          <t xml:space="preserve">현금ㆍ현물배당결정              </t>
        </is>
      </c>
      <c r="F4042" s="3" t="inlineStr">
        <is>
          <t>KB오토시스</t>
        </is>
      </c>
      <c r="G4042" s="2" t="inlineStr">
        <is>
          <t>20260311902466</t>
        </is>
      </c>
      <c r="H4042" s="8">
        <f>HYPERLINK("https://dart.fss.or.kr/dsaf001/main.do?rcpNo=20260311902466", "공시열람")</f>
        <v/>
      </c>
    </row>
    <row r="4043">
      <c r="A4043" s="2" t="inlineStr">
        <is>
          <t>2026-03-11</t>
        </is>
      </c>
      <c r="B4043" s="3" t="inlineStr">
        <is>
          <t>웅진씽크빅</t>
        </is>
      </c>
      <c r="C4043" s="2" t="inlineStr">
        <is>
          <t>코스피</t>
        </is>
      </c>
      <c r="D4043" s="2" t="inlineStr">
        <is>
          <t>095720</t>
        </is>
      </c>
      <c r="E4043" s="3" t="inlineStr">
        <is>
          <t>의결권대리행사권유참고서류</t>
        </is>
      </c>
      <c r="F4043" s="3" t="inlineStr">
        <is>
          <t>웅진씽크빅</t>
        </is>
      </c>
      <c r="G4043" s="2" t="inlineStr">
        <is>
          <t>20260311004619</t>
        </is>
      </c>
      <c r="H4043" s="8">
        <f>HYPERLINK("https://dart.fss.or.kr/dsaf001/main.do?rcpNo=20260311004619", "공시열람")</f>
        <v/>
      </c>
    </row>
    <row r="4044">
      <c r="A4044" s="2" t="inlineStr">
        <is>
          <t>2026-03-11</t>
        </is>
      </c>
      <c r="B4044" s="3" t="inlineStr">
        <is>
          <t>다이나믹디자인</t>
        </is>
      </c>
      <c r="C4044" s="2" t="inlineStr">
        <is>
          <t>코스피</t>
        </is>
      </c>
      <c r="D4044" s="2" t="inlineStr">
        <is>
          <t>145210</t>
        </is>
      </c>
      <c r="E4044" s="3" t="inlineStr">
        <is>
          <t xml:space="preserve">투자유의안내              </t>
        </is>
      </c>
      <c r="F4044" s="3" t="inlineStr">
        <is>
          <t>유가증권시장본부</t>
        </is>
      </c>
      <c r="G4044" s="2" t="inlineStr">
        <is>
          <t>20260311802572</t>
        </is>
      </c>
      <c r="H4044" s="8">
        <f>HYPERLINK("https://dart.fss.or.kr/dsaf001/main.do?rcpNo=20260311802572", "공시열람")</f>
        <v/>
      </c>
    </row>
    <row r="4045">
      <c r="A4045" s="2" t="inlineStr">
        <is>
          <t>2026-03-11</t>
        </is>
      </c>
      <c r="B4045" s="3" t="inlineStr">
        <is>
          <t>에이텍</t>
        </is>
      </c>
      <c r="C4045" s="2" t="inlineStr">
        <is>
          <t>코스닥</t>
        </is>
      </c>
      <c r="D4045" s="2" t="inlineStr">
        <is>
          <t>045660</t>
        </is>
      </c>
      <c r="E4045" s="3" t="inlineStr">
        <is>
          <t>임원ㆍ주요주주특정증권등소유상황보고서</t>
        </is>
      </c>
      <c r="F4045" s="3" t="inlineStr">
        <is>
          <t>신승영</t>
        </is>
      </c>
      <c r="G4045" s="2" t="inlineStr">
        <is>
          <t>20260311004618</t>
        </is>
      </c>
      <c r="H4045" s="8">
        <f>HYPERLINK("https://dart.fss.or.kr/dsaf001/main.do?rcpNo=20260311004618", "공시열람")</f>
        <v/>
      </c>
    </row>
    <row r="4046">
      <c r="A4046" s="2" t="inlineStr">
        <is>
          <t>2026-03-11</t>
        </is>
      </c>
      <c r="B4046" s="3" t="inlineStr">
        <is>
          <t>멤레이비티</t>
        </is>
      </c>
      <c r="C4046" s="2" t="inlineStr">
        <is>
          <t>코스닥</t>
        </is>
      </c>
      <c r="D4046" s="2" t="inlineStr">
        <is>
          <t>072770</t>
        </is>
      </c>
      <c r="E4046" s="3" t="inlineStr">
        <is>
          <t xml:space="preserve">주식병합결정              </t>
        </is>
      </c>
      <c r="F4046" s="3" t="inlineStr">
        <is>
          <t>멤레이비티</t>
        </is>
      </c>
      <c r="G4046" s="2" t="inlineStr">
        <is>
          <t>20260311902462</t>
        </is>
      </c>
      <c r="H4046" s="8">
        <f>HYPERLINK("https://dart.fss.or.kr/dsaf001/main.do?rcpNo=20260311902462", "공시열람")</f>
        <v/>
      </c>
    </row>
    <row r="4047">
      <c r="A4047" s="2" t="inlineStr">
        <is>
          <t>2026-03-11</t>
        </is>
      </c>
      <c r="B4047" s="3" t="inlineStr">
        <is>
          <t>동방아그로</t>
        </is>
      </c>
      <c r="C4047" s="2" t="inlineStr">
        <is>
          <t>코스피</t>
        </is>
      </c>
      <c r="D4047" s="2" t="inlineStr">
        <is>
          <t>007590</t>
        </is>
      </c>
      <c r="E4047" s="3" t="inlineStr">
        <is>
          <t xml:space="preserve">감사보고서제출              </t>
        </is>
      </c>
      <c r="F4047" s="3" t="inlineStr">
        <is>
          <t>동방아그로</t>
        </is>
      </c>
      <c r="G4047" s="2" t="inlineStr">
        <is>
          <t>20260311802418</t>
        </is>
      </c>
      <c r="H4047" s="8">
        <f>HYPERLINK("https://dart.fss.or.kr/dsaf001/main.do?rcpNo=20260311802418", "공시열람")</f>
        <v/>
      </c>
    </row>
    <row r="4048">
      <c r="A4048" s="2" t="inlineStr">
        <is>
          <t>2026-03-11 (정정: 2026-05-20)</t>
        </is>
      </c>
      <c r="B4048" s="3" t="inlineStr">
        <is>
          <t>대웅</t>
        </is>
      </c>
      <c r="C4048" s="2" t="inlineStr">
        <is>
          <t>코스피</t>
        </is>
      </c>
      <c r="D4048" s="2" t="inlineStr">
        <is>
          <t>003090</t>
        </is>
      </c>
      <c r="E4048" s="3" t="inlineStr">
        <is>
          <t>[첨부정정]감사보고서제출               (정정: 20260520)</t>
        </is>
      </c>
      <c r="F4048" s="3" t="inlineStr">
        <is>
          <t>대웅</t>
        </is>
      </c>
      <c r="G4048" s="2" t="inlineStr">
        <is>
          <t>20260520800786</t>
        </is>
      </c>
      <c r="H4048" s="8">
        <f>HYPERLINK("https://dart.fss.or.kr/dsaf001/main.do?rcpNo=20260520800786", "공시열람")</f>
        <v/>
      </c>
    </row>
    <row r="4049">
      <c r="A4049" s="2" t="inlineStr">
        <is>
          <t>2026-03-11</t>
        </is>
      </c>
      <c r="B4049" s="3" t="inlineStr">
        <is>
          <t>알로이스</t>
        </is>
      </c>
      <c r="C4049" s="2" t="inlineStr">
        <is>
          <t>코스닥</t>
        </is>
      </c>
      <c r="D4049" s="2" t="inlineStr">
        <is>
          <t>297570</t>
        </is>
      </c>
      <c r="E4049" s="3" t="inlineStr">
        <is>
          <t>의결권대리행사권유참고서류</t>
        </is>
      </c>
      <c r="F4049" s="3" t="inlineStr">
        <is>
          <t>알로이스</t>
        </is>
      </c>
      <c r="G4049" s="2" t="inlineStr">
        <is>
          <t>20260311004611</t>
        </is>
      </c>
      <c r="H4049" s="8">
        <f>HYPERLINK("https://dart.fss.or.kr/dsaf001/main.do?rcpNo=20260311004611", "공시열람")</f>
        <v/>
      </c>
    </row>
    <row r="4050">
      <c r="A4050" s="2" t="inlineStr">
        <is>
          <t>2026-02-13 (정정: 2026-03-11)</t>
        </is>
      </c>
      <c r="B4050" s="3" t="inlineStr">
        <is>
          <t>화인써키트</t>
        </is>
      </c>
      <c r="C4050" s="2" t="inlineStr">
        <is>
          <t>코스닥</t>
        </is>
      </c>
      <c r="D4050" s="2" t="inlineStr">
        <is>
          <t>127980</t>
        </is>
      </c>
      <c r="E4050" s="3" t="inlineStr">
        <is>
          <t xml:space="preserve">[기재정정]매출액또는손익구조30%(대규모법인은15%)이상변동              </t>
        </is>
      </c>
      <c r="F4050" s="3" t="inlineStr">
        <is>
          <t>화인써키트</t>
        </is>
      </c>
      <c r="G4050" s="2" t="inlineStr">
        <is>
          <t>20260311902409</t>
        </is>
      </c>
      <c r="H4050" s="8">
        <f>HYPERLINK("https://dart.fss.or.kr/dsaf001/main.do?rcpNo=20260311902409", "공시열람")</f>
        <v/>
      </c>
    </row>
    <row r="4051">
      <c r="A4051" s="2" t="inlineStr">
        <is>
          <t>2026-03-11</t>
        </is>
      </c>
      <c r="B4051" s="3" t="inlineStr">
        <is>
          <t>한세예스24홀딩스</t>
        </is>
      </c>
      <c r="C4051" s="2" t="inlineStr">
        <is>
          <t>코스피</t>
        </is>
      </c>
      <c r="D4051" s="2" t="inlineStr">
        <is>
          <t>016450</t>
        </is>
      </c>
      <c r="E4051" s="3" t="inlineStr">
        <is>
          <t>의결권대리행사권유참고서류</t>
        </is>
      </c>
      <c r="F4051" s="3" t="inlineStr">
        <is>
          <t>한세예스24홀딩스</t>
        </is>
      </c>
      <c r="G4051" s="2" t="inlineStr">
        <is>
          <t>20260311004610</t>
        </is>
      </c>
      <c r="H4051" s="8">
        <f>HYPERLINK("https://dart.fss.or.kr/dsaf001/main.do?rcpNo=20260311004610", "공시열람")</f>
        <v/>
      </c>
    </row>
    <row r="4052">
      <c r="A4052" s="2" t="inlineStr">
        <is>
          <t>2026-03-11</t>
        </is>
      </c>
      <c r="B4052" s="3" t="inlineStr">
        <is>
          <t>LB인베스트먼트</t>
        </is>
      </c>
      <c r="C4052" s="2" t="inlineStr">
        <is>
          <t>코스닥</t>
        </is>
      </c>
      <c r="D4052" s="2" t="inlineStr">
        <is>
          <t>309960</t>
        </is>
      </c>
      <c r="E4052" s="3" t="inlineStr">
        <is>
          <t>임원ㆍ주요주주특정증권등거래계획보고서</t>
        </is>
      </c>
      <c r="F4052" s="3" t="inlineStr">
        <is>
          <t>엘비</t>
        </is>
      </c>
      <c r="G4052" s="2" t="inlineStr">
        <is>
          <t>20260311004609</t>
        </is>
      </c>
      <c r="H4052" s="8">
        <f>HYPERLINK("https://dart.fss.or.kr/dsaf001/main.do?rcpNo=20260311004609", "공시열람")</f>
        <v/>
      </c>
    </row>
    <row r="4053">
      <c r="A4053" s="2" t="inlineStr">
        <is>
          <t>2026-03-11 (정정: 2026-03-12)</t>
        </is>
      </c>
      <c r="B4053" s="3" t="inlineStr">
        <is>
          <t>PS일렉트로닉스</t>
        </is>
      </c>
      <c r="C4053" s="2" t="inlineStr">
        <is>
          <t>코스닥</t>
        </is>
      </c>
      <c r="D4053" s="2" t="inlineStr">
        <is>
          <t>332570</t>
        </is>
      </c>
      <c r="E4053" s="3" t="inlineStr">
        <is>
          <t>의결권대리행사권유참고서류 (정정: 20260312) (정정: 20260312)</t>
        </is>
      </c>
      <c r="F4053" s="3" t="inlineStr">
        <is>
          <t>PS일렉트로닉스</t>
        </is>
      </c>
      <c r="G4053" s="2" t="inlineStr">
        <is>
          <t>20260312000725</t>
        </is>
      </c>
      <c r="H4053" s="8">
        <f>HYPERLINK("https://dart.fss.or.kr/dsaf001/main.do?rcpNo=20260312000725", "공시열람")</f>
        <v/>
      </c>
    </row>
    <row r="4054">
      <c r="A4054" s="2" t="inlineStr">
        <is>
          <t>2026-03-11</t>
        </is>
      </c>
      <c r="B4054" s="3" t="inlineStr">
        <is>
          <t>베노티앤알</t>
        </is>
      </c>
      <c r="C4054" s="2" t="inlineStr">
        <is>
          <t>코스닥</t>
        </is>
      </c>
      <c r="D4054" s="2" t="inlineStr">
        <is>
          <t>206400</t>
        </is>
      </c>
      <c r="E4054" s="3" t="inlineStr">
        <is>
          <t>의결권대리행사권유참고서류</t>
        </is>
      </c>
      <c r="F4054" s="3" t="inlineStr">
        <is>
          <t>베노티앤알</t>
        </is>
      </c>
      <c r="G4054" s="2" t="inlineStr">
        <is>
          <t>20260311004605</t>
        </is>
      </c>
      <c r="H4054" s="8">
        <f>HYPERLINK("https://dart.fss.or.kr/dsaf001/main.do?rcpNo=20260311004605", "공시열람")</f>
        <v/>
      </c>
    </row>
    <row r="4055">
      <c r="A4055" s="2" t="inlineStr">
        <is>
          <t>2026-03-11</t>
        </is>
      </c>
      <c r="B4055" s="3" t="inlineStr">
        <is>
          <t>에이텍</t>
        </is>
      </c>
      <c r="C4055" s="2" t="inlineStr">
        <is>
          <t>코스닥</t>
        </is>
      </c>
      <c r="D4055" s="2" t="inlineStr">
        <is>
          <t>045660</t>
        </is>
      </c>
      <c r="E4055" s="3" t="inlineStr">
        <is>
          <t>임원ㆍ주요주주특정증권등소유상황보고서</t>
        </is>
      </c>
      <c r="F4055" s="3" t="inlineStr">
        <is>
          <t>신종수</t>
        </is>
      </c>
      <c r="G4055" s="2" t="inlineStr">
        <is>
          <t>20260311004604</t>
        </is>
      </c>
      <c r="H4055" s="8">
        <f>HYPERLINK("https://dart.fss.or.kr/dsaf001/main.do?rcpNo=20260311004604", "공시열람")</f>
        <v/>
      </c>
    </row>
    <row r="4056">
      <c r="A4056" s="2" t="inlineStr">
        <is>
          <t>2026-03-11 (정정: 2026-03-12)</t>
        </is>
      </c>
      <c r="B4056" s="3" t="inlineStr">
        <is>
          <t>삼성전자</t>
        </is>
      </c>
      <c r="C4056" s="2" t="inlineStr">
        <is>
          <t>코스피</t>
        </is>
      </c>
      <c r="D4056" s="2" t="inlineStr">
        <is>
          <t>005930</t>
        </is>
      </c>
      <c r="E4056" s="3" t="inlineStr">
        <is>
          <t>의결권대리행사권유참고서류 (정정: 20260312) (정정: 20260312)</t>
        </is>
      </c>
      <c r="F4056" s="3" t="inlineStr">
        <is>
          <t>컨두잇</t>
        </is>
      </c>
      <c r="G4056" s="2" t="inlineStr">
        <is>
          <t>20260312000875</t>
        </is>
      </c>
      <c r="H4056" s="8">
        <f>HYPERLINK("https://dart.fss.or.kr/dsaf001/main.do?rcpNo=20260312000875", "공시열람")</f>
        <v/>
      </c>
    </row>
    <row r="4057">
      <c r="A4057" s="2" t="inlineStr">
        <is>
          <t>2026-03-11</t>
        </is>
      </c>
      <c r="B4057" s="3" t="inlineStr">
        <is>
          <t>진흥기업</t>
        </is>
      </c>
      <c r="C4057" s="2" t="inlineStr">
        <is>
          <t>코스피</t>
        </is>
      </c>
      <c r="D4057" s="2" t="inlineStr">
        <is>
          <t>002780</t>
        </is>
      </c>
      <c r="E4057" s="3" t="inlineStr">
        <is>
          <t xml:space="preserve">감사보고서제출              </t>
        </is>
      </c>
      <c r="F4057" s="3" t="inlineStr">
        <is>
          <t>진흥기업</t>
        </is>
      </c>
      <c r="G4057" s="2" t="inlineStr">
        <is>
          <t>20260311802363</t>
        </is>
      </c>
      <c r="H4057" s="8">
        <f>HYPERLINK("https://dart.fss.or.kr/dsaf001/main.do?rcpNo=20260311802363", "공시열람")</f>
        <v/>
      </c>
    </row>
    <row r="4058">
      <c r="A4058" s="2" t="inlineStr">
        <is>
          <t>2026-03-11</t>
        </is>
      </c>
      <c r="B4058" s="3" t="inlineStr">
        <is>
          <t>NH투자증권</t>
        </is>
      </c>
      <c r="C4058" s="2" t="inlineStr">
        <is>
          <t>코스피</t>
        </is>
      </c>
      <c r="D4058" s="2" t="inlineStr">
        <is>
          <t>005940</t>
        </is>
      </c>
      <c r="E4058" s="3" t="inlineStr">
        <is>
          <t>의결권대리행사권유참고서류</t>
        </is>
      </c>
      <c r="F4058" s="3" t="inlineStr">
        <is>
          <t>NH투자증권</t>
        </is>
      </c>
      <c r="G4058" s="2" t="inlineStr">
        <is>
          <t>20260311004600</t>
        </is>
      </c>
      <c r="H4058" s="8">
        <f>HYPERLINK("https://dart.fss.or.kr/dsaf001/main.do?rcpNo=20260311004600", "공시열람")</f>
        <v/>
      </c>
    </row>
    <row r="4059">
      <c r="A4059" s="2" t="inlineStr">
        <is>
          <t>2026-03-11</t>
        </is>
      </c>
      <c r="B4059" s="3" t="inlineStr">
        <is>
          <t>한국정보인증</t>
        </is>
      </c>
      <c r="C4059" s="2" t="inlineStr">
        <is>
          <t>코스닥</t>
        </is>
      </c>
      <c r="D4059" s="2" t="inlineStr">
        <is>
          <t>053300</t>
        </is>
      </c>
      <c r="E4059" s="3" t="inlineStr">
        <is>
          <t>의결권대리행사권유참고서류</t>
        </is>
      </c>
      <c r="F4059" s="3" t="inlineStr">
        <is>
          <t>한국정보인증</t>
        </is>
      </c>
      <c r="G4059" s="2" t="inlineStr">
        <is>
          <t>20260311004598</t>
        </is>
      </c>
      <c r="H4059" s="8">
        <f>HYPERLINK("https://dart.fss.or.kr/dsaf001/main.do?rcpNo=20260311004598", "공시열람")</f>
        <v/>
      </c>
    </row>
    <row r="4060">
      <c r="A4060" s="2" t="inlineStr">
        <is>
          <t>2026-03-11</t>
        </is>
      </c>
      <c r="B4060" s="3" t="inlineStr">
        <is>
          <t>벨로크</t>
        </is>
      </c>
      <c r="C4060" s="2" t="inlineStr">
        <is>
          <t>코스닥</t>
        </is>
      </c>
      <c r="D4060" s="2" t="inlineStr">
        <is>
          <t>424760</t>
        </is>
      </c>
      <c r="E4060" s="3" t="inlineStr">
        <is>
          <t>의결권대리행사권유참고서류</t>
        </is>
      </c>
      <c r="F4060" s="3" t="inlineStr">
        <is>
          <t>벨로크</t>
        </is>
      </c>
      <c r="G4060" s="2" t="inlineStr">
        <is>
          <t>20260311004597</t>
        </is>
      </c>
      <c r="H4060" s="8">
        <f>HYPERLINK("https://dart.fss.or.kr/dsaf001/main.do?rcpNo=20260311004597", "공시열람")</f>
        <v/>
      </c>
    </row>
    <row r="4061">
      <c r="A4061" s="2" t="inlineStr">
        <is>
          <t>2026-03-11</t>
        </is>
      </c>
      <c r="B4061" s="3" t="inlineStr">
        <is>
          <t>세니젠</t>
        </is>
      </c>
      <c r="C4061" s="2" t="inlineStr">
        <is>
          <t>코스닥</t>
        </is>
      </c>
      <c r="D4061" s="2" t="inlineStr">
        <is>
          <t>188260</t>
        </is>
      </c>
      <c r="E4061" s="3" t="inlineStr">
        <is>
          <t>기타경영사항(자율공시)              (투자유치 자문계약 체결)</t>
        </is>
      </c>
      <c r="F4061" s="3" t="inlineStr">
        <is>
          <t>세니젠</t>
        </is>
      </c>
      <c r="G4061" s="2" t="inlineStr">
        <is>
          <t>20260311902397</t>
        </is>
      </c>
      <c r="H4061" s="8">
        <f>HYPERLINK("https://dart.fss.or.kr/dsaf001/main.do?rcpNo=20260311902397", "공시열람")</f>
        <v/>
      </c>
    </row>
    <row r="4062">
      <c r="A4062" s="2" t="inlineStr">
        <is>
          <t>2026-03-11</t>
        </is>
      </c>
      <c r="B4062" s="3" t="inlineStr">
        <is>
          <t>큐캐피탈</t>
        </is>
      </c>
      <c r="C4062" s="2" t="inlineStr">
        <is>
          <t>코스닥</t>
        </is>
      </c>
      <c r="D4062" s="2" t="inlineStr">
        <is>
          <t>016600</t>
        </is>
      </c>
      <c r="E4062" s="3" t="inlineStr">
        <is>
          <t xml:space="preserve">주식병합결정              </t>
        </is>
      </c>
      <c r="F4062" s="3" t="inlineStr">
        <is>
          <t>큐캐피탈</t>
        </is>
      </c>
      <c r="G4062" s="2" t="inlineStr">
        <is>
          <t>20260311902553</t>
        </is>
      </c>
      <c r="H4062" s="8">
        <f>HYPERLINK("https://dart.fss.or.kr/dsaf001/main.do?rcpNo=20260311902553", "공시열람")</f>
        <v/>
      </c>
    </row>
    <row r="4063">
      <c r="A4063" s="2" t="inlineStr">
        <is>
          <t>2026-03-11</t>
        </is>
      </c>
      <c r="B4063" s="3" t="inlineStr">
        <is>
          <t>메리츠금융지주</t>
        </is>
      </c>
      <c r="C4063" s="2" t="inlineStr">
        <is>
          <t>코스피</t>
        </is>
      </c>
      <c r="D4063" s="2" t="inlineStr">
        <is>
          <t>138040</t>
        </is>
      </c>
      <c r="E4063" s="3" t="inlineStr">
        <is>
          <t xml:space="preserve">감사보고서제출(자회사의 주요경영사항)              </t>
        </is>
      </c>
      <c r="F4063" s="3" t="inlineStr">
        <is>
          <t>메리츠금융지주</t>
        </is>
      </c>
      <c r="G4063" s="2" t="inlineStr">
        <is>
          <t>20260311802380</t>
        </is>
      </c>
      <c r="H4063" s="8">
        <f>HYPERLINK("https://dart.fss.or.kr/dsaf001/main.do?rcpNo=20260311802380", "공시열람")</f>
        <v/>
      </c>
    </row>
    <row r="4064">
      <c r="A4064" s="2" t="inlineStr">
        <is>
          <t>2026-03-11 (정정: 2026-03-12)</t>
        </is>
      </c>
      <c r="B4064" s="3" t="inlineStr">
        <is>
          <t>한화오션</t>
        </is>
      </c>
      <c r="C4064" s="2" t="inlineStr">
        <is>
          <t>코스피</t>
        </is>
      </c>
      <c r="D4064" s="2" t="inlineStr">
        <is>
          <t>042660</t>
        </is>
      </c>
      <c r="E4064" s="3" t="inlineStr">
        <is>
          <t>의결권대리행사권유참고서류 (정정: 20260312)</t>
        </is>
      </c>
      <c r="F4064" s="3" t="inlineStr">
        <is>
          <t>컨두잇</t>
        </is>
      </c>
      <c r="G4064" s="2" t="inlineStr">
        <is>
          <t>20260312000920</t>
        </is>
      </c>
      <c r="H4064" s="8">
        <f>HYPERLINK("https://dart.fss.or.kr/dsaf001/main.do?rcpNo=20260312000920", "공시열람")</f>
        <v/>
      </c>
    </row>
    <row r="4065">
      <c r="A4065" s="2" t="inlineStr">
        <is>
          <t>2026-03-11</t>
        </is>
      </c>
      <c r="B4065" s="3" t="inlineStr">
        <is>
          <t>iM금융지주</t>
        </is>
      </c>
      <c r="C4065" s="2" t="inlineStr">
        <is>
          <t>코스피</t>
        </is>
      </c>
      <c r="D4065" s="2" t="inlineStr">
        <is>
          <t>139130</t>
        </is>
      </c>
      <c r="E4065" s="3" t="inlineStr">
        <is>
          <t xml:space="preserve">감사보고서제출(자회사의 주요경영사항)              </t>
        </is>
      </c>
      <c r="F4065" s="3" t="inlineStr">
        <is>
          <t>iM금융지주</t>
        </is>
      </c>
      <c r="G4065" s="2" t="inlineStr">
        <is>
          <t>20260311802348</t>
        </is>
      </c>
      <c r="H4065" s="8">
        <f>HYPERLINK("https://dart.fss.or.kr/dsaf001/main.do?rcpNo=20260311802348", "공시열람")</f>
        <v/>
      </c>
    </row>
    <row r="4066">
      <c r="A4066" s="2" t="inlineStr">
        <is>
          <t>2026-03-11 (정정: 2026-03-18)</t>
        </is>
      </c>
      <c r="B4066" s="3" t="inlineStr">
        <is>
          <t>에스오에스랩</t>
        </is>
      </c>
      <c r="C4066" s="2" t="inlineStr">
        <is>
          <t>코스닥</t>
        </is>
      </c>
      <c r="D4066" s="2" t="inlineStr">
        <is>
          <t>464080</t>
        </is>
      </c>
      <c r="E4066" s="3" t="inlineStr">
        <is>
          <t>의결권대리행사권유참고서류 (정정: 20260312) (정정: 20260318)</t>
        </is>
      </c>
      <c r="F4066" s="3" t="inlineStr">
        <is>
          <t>에스오에스랩</t>
        </is>
      </c>
      <c r="G4066" s="2" t="inlineStr">
        <is>
          <t>20260318000979</t>
        </is>
      </c>
      <c r="H4066" s="8">
        <f>HYPERLINK("https://dart.fss.or.kr/dsaf001/main.do?rcpNo=20260318000979", "공시열람")</f>
        <v/>
      </c>
    </row>
    <row r="4067">
      <c r="A4067" s="2" t="inlineStr">
        <is>
          <t>2026-03-11</t>
        </is>
      </c>
      <c r="B4067" s="3" t="inlineStr">
        <is>
          <t>에스와이</t>
        </is>
      </c>
      <c r="C4067" s="2" t="inlineStr">
        <is>
          <t>코스닥</t>
        </is>
      </c>
      <c r="D4067" s="2" t="inlineStr">
        <is>
          <t>109610</t>
        </is>
      </c>
      <c r="E4067" s="3" t="inlineStr">
        <is>
          <t xml:space="preserve">매출액또는손익구조30%(대규모법인은15%)이상변동              </t>
        </is>
      </c>
      <c r="F4067" s="3" t="inlineStr">
        <is>
          <t>에스와이</t>
        </is>
      </c>
      <c r="G4067" s="2" t="inlineStr">
        <is>
          <t>20260311902316</t>
        </is>
      </c>
      <c r="H4067" s="8">
        <f>HYPERLINK("https://dart.fss.or.kr/dsaf001/main.do?rcpNo=20260311902316", "공시열람")</f>
        <v/>
      </c>
    </row>
    <row r="4068">
      <c r="A4068" s="2" t="inlineStr">
        <is>
          <t>2026-03-11</t>
        </is>
      </c>
      <c r="B4068" s="3" t="inlineStr">
        <is>
          <t>메리츠금융지주</t>
        </is>
      </c>
      <c r="C4068" s="2" t="inlineStr">
        <is>
          <t>코스피</t>
        </is>
      </c>
      <c r="D4068" s="2" t="inlineStr">
        <is>
          <t>138040</t>
        </is>
      </c>
      <c r="E4068" s="3" t="inlineStr">
        <is>
          <t xml:space="preserve">감사보고서제출(자회사의 주요경영사항)              </t>
        </is>
      </c>
      <c r="F4068" s="3" t="inlineStr">
        <is>
          <t>메리츠금융지주</t>
        </is>
      </c>
      <c r="G4068" s="2" t="inlineStr">
        <is>
          <t>20260311802349</t>
        </is>
      </c>
      <c r="H4068" s="8">
        <f>HYPERLINK("https://dart.fss.or.kr/dsaf001/main.do?rcpNo=20260311802349", "공시열람")</f>
        <v/>
      </c>
    </row>
    <row r="4069">
      <c r="A4069" s="2" t="inlineStr">
        <is>
          <t>2026-03-11</t>
        </is>
      </c>
      <c r="B4069" s="3" t="inlineStr">
        <is>
          <t>에스오에스랩</t>
        </is>
      </c>
      <c r="C4069" s="2" t="inlineStr">
        <is>
          <t>코스닥</t>
        </is>
      </c>
      <c r="D4069" s="2" t="inlineStr">
        <is>
          <t>464080</t>
        </is>
      </c>
      <c r="E4069" s="3" t="inlineStr">
        <is>
          <t xml:space="preserve">매출액또는손익구조30%(대규모법인은15%)이상변동              </t>
        </is>
      </c>
      <c r="F4069" s="3" t="inlineStr">
        <is>
          <t>에스오에스랩</t>
        </is>
      </c>
      <c r="G4069" s="2" t="inlineStr">
        <is>
          <t>20260311902399</t>
        </is>
      </c>
      <c r="H4069" s="8">
        <f>HYPERLINK("https://dart.fss.or.kr/dsaf001/main.do?rcpNo=20260311902399", "공시열람")</f>
        <v/>
      </c>
    </row>
    <row r="4070">
      <c r="A4070" s="2" t="inlineStr">
        <is>
          <t>2026-03-11</t>
        </is>
      </c>
      <c r="B4070" s="3" t="inlineStr">
        <is>
          <t>JB금융지주</t>
        </is>
      </c>
      <c r="C4070" s="2" t="inlineStr">
        <is>
          <t>코스피</t>
        </is>
      </c>
      <c r="D4070" s="2" t="inlineStr">
        <is>
          <t>175330</t>
        </is>
      </c>
      <c r="E4070" s="3" t="inlineStr">
        <is>
          <t>임원ㆍ주요주주특정증권등소유상황보고서</t>
        </is>
      </c>
      <c r="F4070" s="3" t="inlineStr">
        <is>
          <t>방극봉</t>
        </is>
      </c>
      <c r="G4070" s="2" t="inlineStr">
        <is>
          <t>20260311004571</t>
        </is>
      </c>
      <c r="H4070" s="8">
        <f>HYPERLINK("https://dart.fss.or.kr/dsaf001/main.do?rcpNo=20260311004571", "공시열람")</f>
        <v/>
      </c>
    </row>
    <row r="4071">
      <c r="A4071" s="2" t="inlineStr">
        <is>
          <t>2026-03-11</t>
        </is>
      </c>
      <c r="B4071" s="3" t="inlineStr">
        <is>
          <t>케이티알파</t>
        </is>
      </c>
      <c r="C4071" s="2" t="inlineStr">
        <is>
          <t>코스닥</t>
        </is>
      </c>
      <c r="D4071" s="2" t="inlineStr">
        <is>
          <t>036030</t>
        </is>
      </c>
      <c r="E4071" s="3" t="inlineStr">
        <is>
          <t>의결권대리행사권유참고서류</t>
        </is>
      </c>
      <c r="F4071" s="3" t="inlineStr">
        <is>
          <t>케이티알파</t>
        </is>
      </c>
      <c r="G4071" s="2" t="inlineStr">
        <is>
          <t>20260311004570</t>
        </is>
      </c>
      <c r="H4071" s="8">
        <f>HYPERLINK("https://dart.fss.or.kr/dsaf001/main.do?rcpNo=20260311004570", "공시열람")</f>
        <v/>
      </c>
    </row>
    <row r="4072">
      <c r="A4072" s="2" t="inlineStr">
        <is>
          <t>2026-03-11</t>
        </is>
      </c>
      <c r="B4072" s="3" t="inlineStr">
        <is>
          <t>한국경제TV</t>
        </is>
      </c>
      <c r="C4072" s="2" t="inlineStr">
        <is>
          <t>코스닥</t>
        </is>
      </c>
      <c r="D4072" s="2" t="inlineStr">
        <is>
          <t>039340</t>
        </is>
      </c>
      <c r="E4072" s="3" t="inlineStr">
        <is>
          <t xml:space="preserve">감사보고서제출              </t>
        </is>
      </c>
      <c r="F4072" s="3" t="inlineStr">
        <is>
          <t>한국경제TV</t>
        </is>
      </c>
      <c r="G4072" s="2" t="inlineStr">
        <is>
          <t>20260311902496</t>
        </is>
      </c>
      <c r="H4072" s="8">
        <f>HYPERLINK("https://dart.fss.or.kr/dsaf001/main.do?rcpNo=20260311902496", "공시열람")</f>
        <v/>
      </c>
    </row>
    <row r="4073">
      <c r="A4073" s="2" t="inlineStr">
        <is>
          <t>2026-03-11</t>
        </is>
      </c>
      <c r="B4073" s="3" t="inlineStr">
        <is>
          <t>iM금융지주</t>
        </is>
      </c>
      <c r="C4073" s="2" t="inlineStr">
        <is>
          <t>코스피</t>
        </is>
      </c>
      <c r="D4073" s="2" t="inlineStr">
        <is>
          <t>139130</t>
        </is>
      </c>
      <c r="E4073" s="3" t="inlineStr">
        <is>
          <t xml:space="preserve">감사보고서제출(자회사의 주요경영사항)              </t>
        </is>
      </c>
      <c r="F4073" s="3" t="inlineStr">
        <is>
          <t>iM금융지주</t>
        </is>
      </c>
      <c r="G4073" s="2" t="inlineStr">
        <is>
          <t>20260311802318</t>
        </is>
      </c>
      <c r="H4073" s="8">
        <f>HYPERLINK("https://dart.fss.or.kr/dsaf001/main.do?rcpNo=20260311802318", "공시열람")</f>
        <v/>
      </c>
    </row>
    <row r="4074">
      <c r="A4074" s="2" t="inlineStr">
        <is>
          <t>2026-03-11</t>
        </is>
      </c>
      <c r="B4074" s="3" t="inlineStr">
        <is>
          <t>웅진씽크빅</t>
        </is>
      </c>
      <c r="C4074" s="2" t="inlineStr">
        <is>
          <t>코스피</t>
        </is>
      </c>
      <c r="D4074" s="2" t="inlineStr">
        <is>
          <t>095720</t>
        </is>
      </c>
      <c r="E4074" s="3" t="inlineStr">
        <is>
          <t xml:space="preserve">현금ㆍ현물배당결정              </t>
        </is>
      </c>
      <c r="F4074" s="3" t="inlineStr">
        <is>
          <t>웅진씽크빅</t>
        </is>
      </c>
      <c r="G4074" s="2" t="inlineStr">
        <is>
          <t>20260311802509</t>
        </is>
      </c>
      <c r="H4074" s="8">
        <f>HYPERLINK("https://dart.fss.or.kr/dsaf001/main.do?rcpNo=20260311802509", "공시열람")</f>
        <v/>
      </c>
    </row>
    <row r="4075">
      <c r="A4075" s="2" t="inlineStr">
        <is>
          <t>2026-03-11</t>
        </is>
      </c>
      <c r="B4075" s="3" t="inlineStr">
        <is>
          <t>서울반도체</t>
        </is>
      </c>
      <c r="C4075" s="2" t="inlineStr">
        <is>
          <t>코스닥</t>
        </is>
      </c>
      <c r="D4075" s="2" t="inlineStr">
        <is>
          <t>046890</t>
        </is>
      </c>
      <c r="E4075" s="3" t="inlineStr">
        <is>
          <t>의결권대리행사권유참고서류</t>
        </is>
      </c>
      <c r="F4075" s="3" t="inlineStr">
        <is>
          <t>서울반도체</t>
        </is>
      </c>
      <c r="G4075" s="2" t="inlineStr">
        <is>
          <t>20260311004565</t>
        </is>
      </c>
      <c r="H4075" s="8">
        <f>HYPERLINK("https://dart.fss.or.kr/dsaf001/main.do?rcpNo=20260311004565", "공시열람")</f>
        <v/>
      </c>
    </row>
    <row r="4076">
      <c r="A4076" s="2" t="inlineStr">
        <is>
          <t>2026-03-11 (정정: 2026-03-13)</t>
        </is>
      </c>
      <c r="B4076" s="3" t="inlineStr">
        <is>
          <t>우리넷</t>
        </is>
      </c>
      <c r="C4076" s="2" t="inlineStr">
        <is>
          <t>코스닥</t>
        </is>
      </c>
      <c r="D4076" s="2" t="inlineStr">
        <is>
          <t>115440</t>
        </is>
      </c>
      <c r="E4076" s="3" t="inlineStr">
        <is>
          <t>의결권대리행사권유참고서류 (정정: 20260313) (정정: 20260313)</t>
        </is>
      </c>
      <c r="F4076" s="3" t="inlineStr">
        <is>
          <t>우리넷</t>
        </is>
      </c>
      <c r="G4076" s="2" t="inlineStr">
        <is>
          <t>20260313001222</t>
        </is>
      </c>
      <c r="H4076" s="8">
        <f>HYPERLINK("https://dart.fss.or.kr/dsaf001/main.do?rcpNo=20260313001222", "공시열람")</f>
        <v/>
      </c>
    </row>
    <row r="4077">
      <c r="A4077" s="2" t="inlineStr">
        <is>
          <t>2026-03-11</t>
        </is>
      </c>
      <c r="B4077" s="3" t="inlineStr">
        <is>
          <t>원풍물산</t>
        </is>
      </c>
      <c r="C4077" s="2" t="inlineStr">
        <is>
          <t>코스닥</t>
        </is>
      </c>
      <c r="D4077" s="2" t="inlineStr">
        <is>
          <t>008290</t>
        </is>
      </c>
      <c r="E4077" s="3" t="inlineStr">
        <is>
          <t xml:space="preserve">주식병합결정              </t>
        </is>
      </c>
      <c r="F4077" s="3" t="inlineStr">
        <is>
          <t>원풍물산</t>
        </is>
      </c>
      <c r="G4077" s="2" t="inlineStr">
        <is>
          <t>20260311902406</t>
        </is>
      </c>
      <c r="H4077" s="8">
        <f>HYPERLINK("https://dart.fss.or.kr/dsaf001/main.do?rcpNo=20260311902406", "공시열람")</f>
        <v/>
      </c>
    </row>
    <row r="4078">
      <c r="A4078" s="2" t="inlineStr">
        <is>
          <t>2026-03-11</t>
        </is>
      </c>
      <c r="B4078" s="3" t="inlineStr">
        <is>
          <t>케이뱅크</t>
        </is>
      </c>
      <c r="C4078" s="2" t="inlineStr">
        <is>
          <t>코스피</t>
        </is>
      </c>
      <c r="D4078" s="2" t="inlineStr">
        <is>
          <t>279570</t>
        </is>
      </c>
      <c r="E4078" s="3" t="inlineStr">
        <is>
          <t>임원ㆍ주요주주특정증권등소유상황보고서</t>
        </is>
      </c>
      <c r="F4078" s="3" t="inlineStr">
        <is>
          <t>비씨카드</t>
        </is>
      </c>
      <c r="G4078" s="2" t="inlineStr">
        <is>
          <t>20260311004559</t>
        </is>
      </c>
      <c r="H4078" s="8">
        <f>HYPERLINK("https://dart.fss.or.kr/dsaf001/main.do?rcpNo=20260311004559", "공시열람")</f>
        <v/>
      </c>
    </row>
    <row r="4079">
      <c r="A4079" s="2" t="inlineStr">
        <is>
          <t>2026-03-11</t>
        </is>
      </c>
      <c r="B4079" s="3" t="inlineStr">
        <is>
          <t>크레버스</t>
        </is>
      </c>
      <c r="C4079" s="2" t="inlineStr">
        <is>
          <t>코스닥</t>
        </is>
      </c>
      <c r="D4079" s="2" t="inlineStr">
        <is>
          <t>096240</t>
        </is>
      </c>
      <c r="E4079" s="3" t="inlineStr">
        <is>
          <t xml:space="preserve">감사보고서제출              </t>
        </is>
      </c>
      <c r="F4079" s="3" t="inlineStr">
        <is>
          <t>크레버스</t>
        </is>
      </c>
      <c r="G4079" s="2" t="inlineStr">
        <is>
          <t>20260311902378</t>
        </is>
      </c>
      <c r="H4079" s="8">
        <f>HYPERLINK("https://dart.fss.or.kr/dsaf001/main.do?rcpNo=20260311902378", "공시열람")</f>
        <v/>
      </c>
    </row>
    <row r="4080">
      <c r="A4080" s="2" t="inlineStr">
        <is>
          <t>2026-03-11</t>
        </is>
      </c>
      <c r="B4080" s="3" t="inlineStr">
        <is>
          <t>iM금융지주</t>
        </is>
      </c>
      <c r="C4080" s="2" t="inlineStr">
        <is>
          <t>코스피</t>
        </is>
      </c>
      <c r="D4080" s="2" t="inlineStr">
        <is>
          <t>139130</t>
        </is>
      </c>
      <c r="E4080" s="3" t="inlineStr">
        <is>
          <t xml:space="preserve">감사보고서제출              </t>
        </is>
      </c>
      <c r="F4080" s="3" t="inlineStr">
        <is>
          <t>iM금융지주</t>
        </is>
      </c>
      <c r="G4080" s="2" t="inlineStr">
        <is>
          <t>20260311802272</t>
        </is>
      </c>
      <c r="H4080" s="8">
        <f>HYPERLINK("https://dart.fss.or.kr/dsaf001/main.do?rcpNo=20260311802272", "공시열람")</f>
        <v/>
      </c>
    </row>
    <row r="4081">
      <c r="A4081" s="2" t="inlineStr">
        <is>
          <t>2026-03-11</t>
        </is>
      </c>
      <c r="B4081" s="3" t="inlineStr">
        <is>
          <t>JB금융지주</t>
        </is>
      </c>
      <c r="C4081" s="2" t="inlineStr">
        <is>
          <t>코스피</t>
        </is>
      </c>
      <c r="D4081" s="2" t="inlineStr">
        <is>
          <t>175330</t>
        </is>
      </c>
      <c r="E4081" s="3" t="inlineStr">
        <is>
          <t>임원ㆍ주요주주특정증권등소유상황보고서</t>
        </is>
      </c>
      <c r="F4081" s="3" t="inlineStr">
        <is>
          <t>이승국</t>
        </is>
      </c>
      <c r="G4081" s="2" t="inlineStr">
        <is>
          <t>20260311004556</t>
        </is>
      </c>
      <c r="H4081" s="8">
        <f>HYPERLINK("https://dart.fss.or.kr/dsaf001/main.do?rcpNo=20260311004556", "공시열람")</f>
        <v/>
      </c>
    </row>
    <row r="4082">
      <c r="A4082" s="2" t="inlineStr">
        <is>
          <t>2026-03-11</t>
        </is>
      </c>
      <c r="B4082" s="3" t="inlineStr">
        <is>
          <t>오텍</t>
        </is>
      </c>
      <c r="C4082" s="2" t="inlineStr">
        <is>
          <t>코스닥</t>
        </is>
      </c>
      <c r="D4082" s="2" t="inlineStr">
        <is>
          <t>067170</t>
        </is>
      </c>
      <c r="E4082" s="3" t="inlineStr">
        <is>
          <t>의결권대리행사권유참고서류</t>
        </is>
      </c>
      <c r="F4082" s="3" t="inlineStr">
        <is>
          <t>오텍</t>
        </is>
      </c>
      <c r="G4082" s="2" t="inlineStr">
        <is>
          <t>20260311004555</t>
        </is>
      </c>
      <c r="H4082" s="8">
        <f>HYPERLINK("https://dart.fss.or.kr/dsaf001/main.do?rcpNo=20260311004555", "공시열람")</f>
        <v/>
      </c>
    </row>
    <row r="4083">
      <c r="A4083" s="2" t="inlineStr">
        <is>
          <t>2026-03-11 (정정: 2026-03-12)</t>
        </is>
      </c>
      <c r="B4083" s="3" t="inlineStr">
        <is>
          <t>LG에너지솔루션</t>
        </is>
      </c>
      <c r="C4083" s="2" t="inlineStr">
        <is>
          <t>코스피</t>
        </is>
      </c>
      <c r="D4083" s="2" t="inlineStr">
        <is>
          <t>373220</t>
        </is>
      </c>
      <c r="E4083" s="3" t="inlineStr">
        <is>
          <t>의결권대리행사권유참고서류 (정정: 20260312) (정정: 20260312)</t>
        </is>
      </c>
      <c r="F4083" s="3" t="inlineStr">
        <is>
          <t>컨두잇</t>
        </is>
      </c>
      <c r="G4083" s="2" t="inlineStr">
        <is>
          <t>20260312001124</t>
        </is>
      </c>
      <c r="H4083" s="8">
        <f>HYPERLINK("https://dart.fss.or.kr/dsaf001/main.do?rcpNo=20260312001124", "공시열람")</f>
        <v/>
      </c>
    </row>
    <row r="4084">
      <c r="A4084" s="2" t="inlineStr">
        <is>
          <t>2026-03-11</t>
        </is>
      </c>
      <c r="B4084" s="3" t="inlineStr">
        <is>
          <t>HEM파마</t>
        </is>
      </c>
      <c r="C4084" s="2" t="inlineStr">
        <is>
          <t>코스닥</t>
        </is>
      </c>
      <c r="D4084" s="2" t="inlineStr">
        <is>
          <t>376270</t>
        </is>
      </c>
      <c r="E4084" s="3" t="inlineStr">
        <is>
          <t>의결권대리행사권유참고서류</t>
        </is>
      </c>
      <c r="F4084" s="3" t="inlineStr">
        <is>
          <t>HEM파마</t>
        </is>
      </c>
      <c r="G4084" s="2" t="inlineStr">
        <is>
          <t>20260311004552</t>
        </is>
      </c>
      <c r="H4084" s="8">
        <f>HYPERLINK("https://dart.fss.or.kr/dsaf001/main.do?rcpNo=20260311004552", "공시열람")</f>
        <v/>
      </c>
    </row>
    <row r="4085">
      <c r="A4085" s="2" t="inlineStr">
        <is>
          <t>2026-03-11</t>
        </is>
      </c>
      <c r="B4085" s="3" t="inlineStr">
        <is>
          <t>골프존홀딩스</t>
        </is>
      </c>
      <c r="C4085" s="2" t="inlineStr">
        <is>
          <t>코스닥</t>
        </is>
      </c>
      <c r="D4085" s="2" t="inlineStr">
        <is>
          <t>121440</t>
        </is>
      </c>
      <c r="E4085" s="3" t="inlineStr">
        <is>
          <t xml:space="preserve">소송등의판결ㆍ결정(일정금액이상의청구)(자회사의 주요경영사항)              </t>
        </is>
      </c>
      <c r="F4085" s="3" t="inlineStr">
        <is>
          <t>골프존홀딩스</t>
        </is>
      </c>
      <c r="G4085" s="2" t="inlineStr">
        <is>
          <t>20260311902477</t>
        </is>
      </c>
      <c r="H4085" s="8">
        <f>HYPERLINK("https://dart.fss.or.kr/dsaf001/main.do?rcpNo=20260311902477", "공시열람")</f>
        <v/>
      </c>
    </row>
    <row r="4086">
      <c r="A4086" s="2" t="inlineStr">
        <is>
          <t>2026-03-11</t>
        </is>
      </c>
      <c r="B4086" s="3" t="inlineStr">
        <is>
          <t>광진실업</t>
        </is>
      </c>
      <c r="C4086" s="2" t="inlineStr">
        <is>
          <t>코스닥</t>
        </is>
      </c>
      <c r="D4086" s="2" t="inlineStr">
        <is>
          <t>026910</t>
        </is>
      </c>
      <c r="E4086" s="3" t="inlineStr">
        <is>
          <t>의결권대리행사권유참고서류</t>
        </is>
      </c>
      <c r="F4086" s="3" t="inlineStr">
        <is>
          <t>광진실업</t>
        </is>
      </c>
      <c r="G4086" s="2" t="inlineStr">
        <is>
          <t>20260311004550</t>
        </is>
      </c>
      <c r="H4086" s="8">
        <f>HYPERLINK("https://dart.fss.or.kr/dsaf001/main.do?rcpNo=20260311004550", "공시열람")</f>
        <v/>
      </c>
    </row>
    <row r="4087">
      <c r="A4087" s="2" t="inlineStr">
        <is>
          <t>2026-03-11</t>
        </is>
      </c>
      <c r="B4087" s="3" t="inlineStr">
        <is>
          <t>알파칩스</t>
        </is>
      </c>
      <c r="C4087" s="2" t="inlineStr">
        <is>
          <t>코스닥</t>
        </is>
      </c>
      <c r="D4087" s="2" t="inlineStr">
        <is>
          <t>117670</t>
        </is>
      </c>
      <c r="E4087" s="3" t="inlineStr">
        <is>
          <t>임원ㆍ주요주주특정증권등소유상황보고서</t>
        </is>
      </c>
      <c r="F4087" s="3" t="inlineStr">
        <is>
          <t>최일준</t>
        </is>
      </c>
      <c r="G4087" s="2" t="inlineStr">
        <is>
          <t>20260311004549</t>
        </is>
      </c>
      <c r="H4087" s="8">
        <f>HYPERLINK("https://dart.fss.or.kr/dsaf001/main.do?rcpNo=20260311004549", "공시열람")</f>
        <v/>
      </c>
    </row>
    <row r="4088">
      <c r="A4088" s="2" t="inlineStr">
        <is>
          <t>2026-03-11</t>
        </is>
      </c>
      <c r="B4088" s="3" t="inlineStr">
        <is>
          <t>유안타제16호스팩</t>
        </is>
      </c>
      <c r="C4088" s="2" t="inlineStr">
        <is>
          <t>코스닥</t>
        </is>
      </c>
      <c r="D4088" s="2" t="inlineStr">
        <is>
          <t>474490</t>
        </is>
      </c>
      <c r="E4088" s="3" t="inlineStr">
        <is>
          <t xml:space="preserve">감사보고서제출              </t>
        </is>
      </c>
      <c r="F4088" s="3" t="inlineStr">
        <is>
          <t>유안타제16호스팩</t>
        </is>
      </c>
      <c r="G4088" s="2" t="inlineStr">
        <is>
          <t>20260311902258</t>
        </is>
      </c>
      <c r="H4088" s="8">
        <f>HYPERLINK("https://dart.fss.or.kr/dsaf001/main.do?rcpNo=20260311902258", "공시열람")</f>
        <v/>
      </c>
    </row>
    <row r="4089">
      <c r="A4089" s="2" t="inlineStr">
        <is>
          <t>2026-03-11</t>
        </is>
      </c>
      <c r="B4089" s="3" t="inlineStr">
        <is>
          <t>금호석유화학</t>
        </is>
      </c>
      <c r="C4089" s="2" t="inlineStr">
        <is>
          <t>코스피</t>
        </is>
      </c>
      <c r="D4089" s="2" t="inlineStr">
        <is>
          <t>011780</t>
        </is>
      </c>
      <c r="E4089" s="3" t="inlineStr">
        <is>
          <t>기업가치제고계획(자율공시)              (2025 금호석유화학 기업가치제고계획 이행 현황)</t>
        </is>
      </c>
      <c r="F4089" s="3" t="inlineStr">
        <is>
          <t>금호석유화학</t>
        </is>
      </c>
      <c r="G4089" s="2" t="inlineStr">
        <is>
          <t>20260311802253</t>
        </is>
      </c>
      <c r="H4089" s="8">
        <f>HYPERLINK("https://dart.fss.or.kr/dsaf001/main.do?rcpNo=20260311802253", "공시열람")</f>
        <v/>
      </c>
    </row>
    <row r="4090">
      <c r="A4090" s="2" t="inlineStr">
        <is>
          <t>2026-03-11</t>
        </is>
      </c>
      <c r="B4090" s="3" t="inlineStr">
        <is>
          <t>경방</t>
        </is>
      </c>
      <c r="C4090" s="2" t="inlineStr">
        <is>
          <t>코스피</t>
        </is>
      </c>
      <c r="D4090" s="2" t="inlineStr">
        <is>
          <t>000050</t>
        </is>
      </c>
      <c r="E4090" s="3" t="inlineStr">
        <is>
          <t>의결권대리행사권유참고서류</t>
        </is>
      </c>
      <c r="F4090" s="3" t="inlineStr">
        <is>
          <t>경방</t>
        </is>
      </c>
      <c r="G4090" s="2" t="inlineStr">
        <is>
          <t>20260311004544</t>
        </is>
      </c>
      <c r="H4090" s="8">
        <f>HYPERLINK("https://dart.fss.or.kr/dsaf001/main.do?rcpNo=20260311004544", "공시열람")</f>
        <v/>
      </c>
    </row>
    <row r="4091">
      <c r="A4091" s="2" t="inlineStr">
        <is>
          <t>2026-03-11</t>
        </is>
      </c>
      <c r="B4091" s="3" t="inlineStr">
        <is>
          <t>인투셀</t>
        </is>
      </c>
      <c r="C4091" s="2" t="inlineStr">
        <is>
          <t>코스닥</t>
        </is>
      </c>
      <c r="D4091" s="2" t="inlineStr">
        <is>
          <t>287840</t>
        </is>
      </c>
      <c r="E4091" s="3" t="inlineStr">
        <is>
          <t>의결권대리행사권유참고서류</t>
        </is>
      </c>
      <c r="F4091" s="3" t="inlineStr">
        <is>
          <t>인투셀</t>
        </is>
      </c>
      <c r="G4091" s="2" t="inlineStr">
        <is>
          <t>20260311004543</t>
        </is>
      </c>
      <c r="H4091" s="8">
        <f>HYPERLINK("https://dart.fss.or.kr/dsaf001/main.do?rcpNo=20260311004543", "공시열람")</f>
        <v/>
      </c>
    </row>
    <row r="4092">
      <c r="A4092" s="2" t="inlineStr">
        <is>
          <t>2026-03-11</t>
        </is>
      </c>
      <c r="B4092" s="3" t="inlineStr">
        <is>
          <t>삼성제약</t>
        </is>
      </c>
      <c r="C4092" s="2" t="inlineStr">
        <is>
          <t>코스피</t>
        </is>
      </c>
      <c r="D4092" s="2" t="inlineStr">
        <is>
          <t>001360</t>
        </is>
      </c>
      <c r="E4092" s="3" t="inlineStr">
        <is>
          <t>의결권대리행사권유참고서류</t>
        </is>
      </c>
      <c r="F4092" s="3" t="inlineStr">
        <is>
          <t>삼성제약</t>
        </is>
      </c>
      <c r="G4092" s="2" t="inlineStr">
        <is>
          <t>20260311004542</t>
        </is>
      </c>
      <c r="H4092" s="8">
        <f>HYPERLINK("https://dart.fss.or.kr/dsaf001/main.do?rcpNo=20260311004542", "공시열람")</f>
        <v/>
      </c>
    </row>
    <row r="4093">
      <c r="A4093" s="2" t="inlineStr">
        <is>
          <t>2026-03-11</t>
        </is>
      </c>
      <c r="B4093" s="3" t="inlineStr">
        <is>
          <t>나우로보틱스</t>
        </is>
      </c>
      <c r="C4093" s="2" t="inlineStr">
        <is>
          <t>코스닥</t>
        </is>
      </c>
      <c r="D4093" s="2" t="inlineStr">
        <is>
          <t>459510</t>
        </is>
      </c>
      <c r="E4093" s="3" t="inlineStr">
        <is>
          <t>의결권대리행사권유참고서류</t>
        </is>
      </c>
      <c r="F4093" s="3" t="inlineStr">
        <is>
          <t>나우로보틱스</t>
        </is>
      </c>
      <c r="G4093" s="2" t="inlineStr">
        <is>
          <t>20260311004540</t>
        </is>
      </c>
      <c r="H4093" s="8">
        <f>HYPERLINK("https://dart.fss.or.kr/dsaf001/main.do?rcpNo=20260311004540", "공시열람")</f>
        <v/>
      </c>
    </row>
    <row r="4094">
      <c r="A4094" s="2" t="inlineStr">
        <is>
          <t>2026-03-11 (정정: 2026-03-11)</t>
        </is>
      </c>
      <c r="B4094" s="3" t="inlineStr">
        <is>
          <t>인티큐브</t>
        </is>
      </c>
      <c r="C4094" s="2" t="inlineStr">
        <is>
          <t>코스닥</t>
        </is>
      </c>
      <c r="D4094" s="2" t="inlineStr">
        <is>
          <t>070590</t>
        </is>
      </c>
      <c r="E4094" s="3" t="inlineStr">
        <is>
          <t>기타시장안내(최대주주의의무보유관련)               (정정: 20260311)</t>
        </is>
      </c>
      <c r="F4094" s="3" t="inlineStr">
        <is>
          <t>코스닥시장본부</t>
        </is>
      </c>
      <c r="G4094" s="2" t="inlineStr">
        <is>
          <t>20260311901202</t>
        </is>
      </c>
      <c r="H4094" s="8">
        <f>HYPERLINK("https://dart.fss.or.kr/dsaf001/main.do?rcpNo=20260311901202", "공시열람")</f>
        <v/>
      </c>
    </row>
    <row r="4095">
      <c r="A4095" s="2" t="inlineStr">
        <is>
          <t>2026-03-11</t>
        </is>
      </c>
      <c r="B4095" s="3" t="inlineStr">
        <is>
          <t>KT밀리의서재</t>
        </is>
      </c>
      <c r="C4095" s="2" t="inlineStr">
        <is>
          <t>코스닥</t>
        </is>
      </c>
      <c r="D4095" s="2" t="inlineStr">
        <is>
          <t>418470</t>
        </is>
      </c>
      <c r="E4095" s="3" t="inlineStr">
        <is>
          <t>의결권대리행사권유참고서류</t>
        </is>
      </c>
      <c r="F4095" s="3" t="inlineStr">
        <is>
          <t>KT밀리의서재</t>
        </is>
      </c>
      <c r="G4095" s="2" t="inlineStr">
        <is>
          <t>20260311004537</t>
        </is>
      </c>
      <c r="H4095" s="8">
        <f>HYPERLINK("https://dart.fss.or.kr/dsaf001/main.do?rcpNo=20260311004537", "공시열람")</f>
        <v/>
      </c>
    </row>
    <row r="4096">
      <c r="A4096" s="2" t="inlineStr">
        <is>
          <t>2026-03-11 (정정: 2026-03-12)</t>
        </is>
      </c>
      <c r="B4096" s="3" t="inlineStr">
        <is>
          <t>스피어</t>
        </is>
      </c>
      <c r="C4096" s="2" t="inlineStr">
        <is>
          <t>코스닥</t>
        </is>
      </c>
      <c r="D4096" s="2" t="inlineStr">
        <is>
          <t>347700</t>
        </is>
      </c>
      <c r="E4096" s="3" t="inlineStr">
        <is>
          <t>의결권대리행사권유참고서류 (정정: 20260312)</t>
        </is>
      </c>
      <c r="F4096" s="3" t="inlineStr">
        <is>
          <t>스피어</t>
        </is>
      </c>
      <c r="G4096" s="2" t="inlineStr">
        <is>
          <t>20260312901491</t>
        </is>
      </c>
      <c r="H4096" s="8">
        <f>HYPERLINK("https://dart.fss.or.kr/dsaf001/main.do?rcpNo=20260312901491", "공시열람")</f>
        <v/>
      </c>
    </row>
    <row r="4097">
      <c r="A4097" s="2" t="inlineStr">
        <is>
          <t>2026-03-11</t>
        </is>
      </c>
      <c r="B4097" s="3" t="inlineStr">
        <is>
          <t>에코플라스틱</t>
        </is>
      </c>
      <c r="C4097" s="2" t="inlineStr">
        <is>
          <t>코스닥</t>
        </is>
      </c>
      <c r="D4097" s="2" t="inlineStr">
        <is>
          <t>038110</t>
        </is>
      </c>
      <c r="E4097" s="3" t="inlineStr">
        <is>
          <t>의결권대리행사권유참고서류</t>
        </is>
      </c>
      <c r="F4097" s="3" t="inlineStr">
        <is>
          <t>에코플라스틱</t>
        </is>
      </c>
      <c r="G4097" s="2" t="inlineStr">
        <is>
          <t>20260311004534</t>
        </is>
      </c>
      <c r="H4097" s="8">
        <f>HYPERLINK("https://dart.fss.or.kr/dsaf001/main.do?rcpNo=20260311004534", "공시열람")</f>
        <v/>
      </c>
    </row>
    <row r="4098">
      <c r="A4098" s="2" t="inlineStr">
        <is>
          <t>2026-03-11</t>
        </is>
      </c>
      <c r="B4098" s="3" t="inlineStr">
        <is>
          <t>유수홀딩스</t>
        </is>
      </c>
      <c r="C4098" s="2" t="inlineStr">
        <is>
          <t>코스피</t>
        </is>
      </c>
      <c r="D4098" s="2" t="inlineStr">
        <is>
          <t>000700</t>
        </is>
      </c>
      <c r="E4098" s="3" t="inlineStr">
        <is>
          <t>의결권대리행사권유참고서류</t>
        </is>
      </c>
      <c r="F4098" s="3" t="inlineStr">
        <is>
          <t>유수홀딩스</t>
        </is>
      </c>
      <c r="G4098" s="2" t="inlineStr">
        <is>
          <t>20260311004531</t>
        </is>
      </c>
      <c r="H4098" s="8">
        <f>HYPERLINK("https://dart.fss.or.kr/dsaf001/main.do?rcpNo=20260311004531", "공시열람")</f>
        <v/>
      </c>
    </row>
    <row r="4099">
      <c r="A4099" s="2" t="inlineStr">
        <is>
          <t>2026-03-11</t>
        </is>
      </c>
      <c r="B4099" s="3" t="inlineStr">
        <is>
          <t>벨로크</t>
        </is>
      </c>
      <c r="C4099" s="2" t="inlineStr">
        <is>
          <t>코스닥</t>
        </is>
      </c>
      <c r="D4099" s="2" t="inlineStr">
        <is>
          <t>424760</t>
        </is>
      </c>
      <c r="E4099" s="3" t="inlineStr">
        <is>
          <t xml:space="preserve">주식병합결정              </t>
        </is>
      </c>
      <c r="F4099" s="3" t="inlineStr">
        <is>
          <t>벨로크</t>
        </is>
      </c>
      <c r="G4099" s="2" t="inlineStr">
        <is>
          <t>20260311902334</t>
        </is>
      </c>
      <c r="H4099" s="8">
        <f>HYPERLINK("https://dart.fss.or.kr/dsaf001/main.do?rcpNo=20260311902334", "공시열람")</f>
        <v/>
      </c>
    </row>
    <row r="4100">
      <c r="A4100" s="2" t="inlineStr">
        <is>
          <t>2026-03-11</t>
        </is>
      </c>
      <c r="B4100" s="3" t="inlineStr">
        <is>
          <t>산일전기</t>
        </is>
      </c>
      <c r="C4100" s="2" t="inlineStr">
        <is>
          <t>코스피</t>
        </is>
      </c>
      <c r="D4100" s="2" t="inlineStr">
        <is>
          <t>062040</t>
        </is>
      </c>
      <c r="E4100" s="3" t="inlineStr">
        <is>
          <t xml:space="preserve">[기재정정]매출액또는손익구조30%(대규모법인은15%)이상변경              </t>
        </is>
      </c>
      <c r="F4100" s="3" t="inlineStr">
        <is>
          <t>산일전기</t>
        </is>
      </c>
      <c r="G4100" s="2" t="inlineStr">
        <is>
          <t>20260311802400</t>
        </is>
      </c>
      <c r="H4100" s="8">
        <f>HYPERLINK("https://dart.fss.or.kr/dsaf001/main.do?rcpNo=20260311802400", "공시열람")</f>
        <v/>
      </c>
    </row>
    <row r="4101">
      <c r="A4101" s="2" t="inlineStr">
        <is>
          <t>2026-03-11</t>
        </is>
      </c>
      <c r="B4101" s="3" t="inlineStr">
        <is>
          <t>한진중공업홀딩스</t>
        </is>
      </c>
      <c r="C4101" s="2" t="inlineStr">
        <is>
          <t>코스피</t>
        </is>
      </c>
      <c r="D4101" s="2" t="inlineStr">
        <is>
          <t>003480</t>
        </is>
      </c>
      <c r="E4101" s="3" t="inlineStr">
        <is>
          <t xml:space="preserve">감사보고서제출(자회사의 주요경영사항)              </t>
        </is>
      </c>
      <c r="F4101" s="3" t="inlineStr">
        <is>
          <t>한진중공업홀딩스</t>
        </is>
      </c>
      <c r="G4101" s="2" t="inlineStr">
        <is>
          <t>20260311802382</t>
        </is>
      </c>
      <c r="H4101" s="8">
        <f>HYPERLINK("https://dart.fss.or.kr/dsaf001/main.do?rcpNo=20260311802382", "공시열람")</f>
        <v/>
      </c>
    </row>
    <row r="4102">
      <c r="A4102" s="2" t="inlineStr">
        <is>
          <t>2026-03-11</t>
        </is>
      </c>
      <c r="B4102" s="3" t="inlineStr">
        <is>
          <t>일양약품</t>
        </is>
      </c>
      <c r="C4102" s="2" t="inlineStr">
        <is>
          <t>코스피</t>
        </is>
      </c>
      <c r="D4102" s="2" t="inlineStr">
        <is>
          <t>007570</t>
        </is>
      </c>
      <c r="E4102" s="3" t="inlineStr">
        <is>
          <t xml:space="preserve">감사보고서제출              </t>
        </is>
      </c>
      <c r="F4102" s="3" t="inlineStr">
        <is>
          <t>일양약품</t>
        </is>
      </c>
      <c r="G4102" s="2" t="inlineStr">
        <is>
          <t>20260311802309</t>
        </is>
      </c>
      <c r="H4102" s="8">
        <f>HYPERLINK("https://dart.fss.or.kr/dsaf001/main.do?rcpNo=20260311802309", "공시열람")</f>
        <v/>
      </c>
    </row>
    <row r="4103">
      <c r="A4103" s="2" t="inlineStr">
        <is>
          <t>2026-03-11</t>
        </is>
      </c>
      <c r="B4103" s="3" t="inlineStr">
        <is>
          <t>옴니시스템</t>
        </is>
      </c>
      <c r="C4103" s="2" t="inlineStr">
        <is>
          <t>코스닥</t>
        </is>
      </c>
      <c r="D4103" s="2" t="inlineStr">
        <is>
          <t>057540</t>
        </is>
      </c>
      <c r="E4103" s="3" t="inlineStr">
        <is>
          <t>의결권대리행사권유참고서류</t>
        </is>
      </c>
      <c r="F4103" s="3" t="inlineStr">
        <is>
          <t>옴니시스템</t>
        </is>
      </c>
      <c r="G4103" s="2" t="inlineStr">
        <is>
          <t>20260311004515</t>
        </is>
      </c>
      <c r="H4103" s="8">
        <f>HYPERLINK("https://dart.fss.or.kr/dsaf001/main.do?rcpNo=20260311004515", "공시열람")</f>
        <v/>
      </c>
    </row>
    <row r="4104">
      <c r="A4104" s="2" t="inlineStr">
        <is>
          <t>2026-03-11 (정정: 2026-03-12)</t>
        </is>
      </c>
      <c r="B4104" s="3" t="inlineStr">
        <is>
          <t>네패스</t>
        </is>
      </c>
      <c r="C4104" s="2" t="inlineStr">
        <is>
          <t>코스닥</t>
        </is>
      </c>
      <c r="D4104" s="2" t="inlineStr">
        <is>
          <t>033640</t>
        </is>
      </c>
      <c r="E4104" s="3" t="inlineStr">
        <is>
          <t>의결권대리행사권유참고서류 (정정: 20260312)</t>
        </is>
      </c>
      <c r="F4104" s="3" t="inlineStr">
        <is>
          <t>네패스</t>
        </is>
      </c>
      <c r="G4104" s="2" t="inlineStr">
        <is>
          <t>20260312000668</t>
        </is>
      </c>
      <c r="H4104" s="8">
        <f>HYPERLINK("https://dart.fss.or.kr/dsaf001/main.do?rcpNo=20260312000668", "공시열람")</f>
        <v/>
      </c>
    </row>
    <row r="4105">
      <c r="A4105" s="2" t="inlineStr">
        <is>
          <t>2026-03-11</t>
        </is>
      </c>
      <c r="B4105" s="3" t="inlineStr">
        <is>
          <t>영풍</t>
        </is>
      </c>
      <c r="C4105" s="2" t="inlineStr">
        <is>
          <t>코스피</t>
        </is>
      </c>
      <c r="D4105" s="2" t="inlineStr">
        <is>
          <t>000670</t>
        </is>
      </c>
      <c r="E4105" s="3" t="inlineStr">
        <is>
          <t>의결권대리행사권유참고서류</t>
        </is>
      </c>
      <c r="F4105" s="3" t="inlineStr">
        <is>
          <t>KZ정밀</t>
        </is>
      </c>
      <c r="G4105" s="2" t="inlineStr">
        <is>
          <t>20260311004511</t>
        </is>
      </c>
      <c r="H4105" s="8">
        <f>HYPERLINK("https://dart.fss.or.kr/dsaf001/main.do?rcpNo=20260311004511", "공시열람")</f>
        <v/>
      </c>
    </row>
    <row r="4106">
      <c r="A4106" s="2" t="inlineStr">
        <is>
          <t>2026-03-11</t>
        </is>
      </c>
      <c r="B4106" s="3" t="inlineStr">
        <is>
          <t>가비아</t>
        </is>
      </c>
      <c r="C4106" s="2" t="inlineStr">
        <is>
          <t>코스닥</t>
        </is>
      </c>
      <c r="D4106" s="2" t="inlineStr">
        <is>
          <t>079940</t>
        </is>
      </c>
      <c r="E4106" s="3" t="inlineStr">
        <is>
          <t>의결권대리행사권유참고서류</t>
        </is>
      </c>
      <c r="F4106" s="3" t="inlineStr">
        <is>
          <t>얼라인파트너스자산운용</t>
        </is>
      </c>
      <c r="G4106" s="2" t="inlineStr">
        <is>
          <t>20260311004510</t>
        </is>
      </c>
      <c r="H4106" s="8">
        <f>HYPERLINK("https://dart.fss.or.kr/dsaf001/main.do?rcpNo=20260311004510", "공시열람")</f>
        <v/>
      </c>
    </row>
    <row r="4107">
      <c r="A4107" s="2" t="inlineStr">
        <is>
          <t>2026-03-11</t>
        </is>
      </c>
      <c r="B4107" s="3" t="inlineStr">
        <is>
          <t>신영증권</t>
        </is>
      </c>
      <c r="C4107" s="2" t="inlineStr">
        <is>
          <t>코스피</t>
        </is>
      </c>
      <c r="D4107" s="2" t="inlineStr">
        <is>
          <t>001720</t>
        </is>
      </c>
      <c r="E4107" s="3" t="inlineStr">
        <is>
          <t>투자설명서(일괄신고)</t>
        </is>
      </c>
      <c r="F4107" s="3" t="inlineStr">
        <is>
          <t>신영증권</t>
        </is>
      </c>
      <c r="G4107" s="2" t="inlineStr">
        <is>
          <t>20260311004509</t>
        </is>
      </c>
      <c r="H4107" s="8">
        <f>HYPERLINK("https://dart.fss.or.kr/dsaf001/main.do?rcpNo=20260311004509", "공시열람")</f>
        <v/>
      </c>
    </row>
    <row r="4108">
      <c r="A4108" s="2" t="inlineStr">
        <is>
          <t>2026-03-11</t>
        </is>
      </c>
      <c r="B4108" s="3" t="inlineStr">
        <is>
          <t>에코플라스틱</t>
        </is>
      </c>
      <c r="C4108" s="2" t="inlineStr">
        <is>
          <t>코스닥</t>
        </is>
      </c>
      <c r="D4108" s="2" t="inlineStr">
        <is>
          <t>038110</t>
        </is>
      </c>
      <c r="E4108" s="3" t="inlineStr">
        <is>
          <t xml:space="preserve">현금ㆍ현물배당결정              </t>
        </is>
      </c>
      <c r="F4108" s="3" t="inlineStr">
        <is>
          <t>에코플라스틱</t>
        </is>
      </c>
      <c r="G4108" s="2" t="inlineStr">
        <is>
          <t>20260311902255</t>
        </is>
      </c>
      <c r="H4108" s="8">
        <f>HYPERLINK("https://dart.fss.or.kr/dsaf001/main.do?rcpNo=20260311902255", "공시열람")</f>
        <v/>
      </c>
    </row>
    <row r="4109">
      <c r="A4109" s="2" t="inlineStr">
        <is>
          <t>2026-03-11</t>
        </is>
      </c>
      <c r="B4109" s="3" t="inlineStr">
        <is>
          <t>에코플라스틱</t>
        </is>
      </c>
      <c r="C4109" s="2" t="inlineStr">
        <is>
          <t>코스닥</t>
        </is>
      </c>
      <c r="D4109" s="2" t="inlineStr">
        <is>
          <t>038110</t>
        </is>
      </c>
      <c r="E4109" s="3" t="inlineStr">
        <is>
          <t xml:space="preserve">매출액또는손익구조30%(대규모법인은15%)이상변동              </t>
        </is>
      </c>
      <c r="F4109" s="3" t="inlineStr">
        <is>
          <t>에코플라스틱</t>
        </is>
      </c>
      <c r="G4109" s="2" t="inlineStr">
        <is>
          <t>20260311902240</t>
        </is>
      </c>
      <c r="H4109" s="8">
        <f>HYPERLINK("https://dart.fss.or.kr/dsaf001/main.do?rcpNo=20260311902240", "공시열람")</f>
        <v/>
      </c>
    </row>
    <row r="4110">
      <c r="A4110" s="2" t="inlineStr">
        <is>
          <t>2026-03-11</t>
        </is>
      </c>
      <c r="B4110" s="3" t="inlineStr">
        <is>
          <t>파워넷</t>
        </is>
      </c>
      <c r="C4110" s="2" t="inlineStr">
        <is>
          <t>코스닥</t>
        </is>
      </c>
      <c r="D4110" s="2" t="inlineStr">
        <is>
          <t>037030</t>
        </is>
      </c>
      <c r="E4110" s="3" t="inlineStr">
        <is>
          <t xml:space="preserve">매출액또는손익구조30%(대규모법인은15%)이상변동              </t>
        </is>
      </c>
      <c r="F4110" s="3" t="inlineStr">
        <is>
          <t>파워넷</t>
        </is>
      </c>
      <c r="G4110" s="2" t="inlineStr">
        <is>
          <t>20260311902183</t>
        </is>
      </c>
      <c r="H4110" s="8">
        <f>HYPERLINK("https://dart.fss.or.kr/dsaf001/main.do?rcpNo=20260311902183", "공시열람")</f>
        <v/>
      </c>
    </row>
    <row r="4111">
      <c r="A4111" s="2" t="inlineStr">
        <is>
          <t>2026-03-11</t>
        </is>
      </c>
      <c r="B4111" s="3" t="inlineStr">
        <is>
          <t>KZ정밀</t>
        </is>
      </c>
      <c r="C4111" s="2" t="inlineStr">
        <is>
          <t>코스닥</t>
        </is>
      </c>
      <c r="D4111" s="2" t="inlineStr">
        <is>
          <t>036560</t>
        </is>
      </c>
      <c r="E4111" s="3" t="inlineStr">
        <is>
          <t xml:space="preserve">감사보고서제출              </t>
        </is>
      </c>
      <c r="F4111" s="3" t="inlineStr">
        <is>
          <t>KZ정밀</t>
        </is>
      </c>
      <c r="G4111" s="2" t="inlineStr">
        <is>
          <t>20260311902220</t>
        </is>
      </c>
      <c r="H4111" s="8">
        <f>HYPERLINK("https://dart.fss.or.kr/dsaf001/main.do?rcpNo=20260311902220", "공시열람")</f>
        <v/>
      </c>
    </row>
    <row r="4112">
      <c r="A4112" s="2" t="inlineStr">
        <is>
          <t>2026-03-11</t>
        </is>
      </c>
      <c r="B4112" s="3" t="inlineStr">
        <is>
          <t>에피소드컴퍼니</t>
        </is>
      </c>
      <c r="C4112" s="2" t="inlineStr">
        <is>
          <t>코스닥</t>
        </is>
      </c>
      <c r="D4112" s="2" t="inlineStr">
        <is>
          <t>317530</t>
        </is>
      </c>
      <c r="E4112" s="3" t="inlineStr">
        <is>
          <t>임원ㆍ주요주주특정증권등소유상황보고서</t>
        </is>
      </c>
      <c r="F4112" s="3" t="inlineStr">
        <is>
          <t>박창신</t>
        </is>
      </c>
      <c r="G4112" s="2" t="inlineStr">
        <is>
          <t>20260311004495</t>
        </is>
      </c>
      <c r="H4112" s="8">
        <f>HYPERLINK("https://dart.fss.or.kr/dsaf001/main.do?rcpNo=20260311004495", "공시열람")</f>
        <v/>
      </c>
    </row>
    <row r="4113">
      <c r="A4113" s="2" t="inlineStr">
        <is>
          <t>2026-03-11</t>
        </is>
      </c>
      <c r="B4113" s="3" t="inlineStr">
        <is>
          <t>삼성생명</t>
        </is>
      </c>
      <c r="C4113" s="2" t="inlineStr">
        <is>
          <t>코스피</t>
        </is>
      </c>
      <c r="D4113" s="2" t="inlineStr">
        <is>
          <t>032830</t>
        </is>
      </c>
      <c r="E4113" s="3" t="inlineStr">
        <is>
          <t>의결권대리행사권유참고서류</t>
        </is>
      </c>
      <c r="F4113" s="3" t="inlineStr">
        <is>
          <t>컨두잇</t>
        </is>
      </c>
      <c r="G4113" s="2" t="inlineStr">
        <is>
          <t>20260311004494</t>
        </is>
      </c>
      <c r="H4113" s="8">
        <f>HYPERLINK("https://dart.fss.or.kr/dsaf001/main.do?rcpNo=20260311004494", "공시열람")</f>
        <v/>
      </c>
    </row>
    <row r="4114">
      <c r="A4114" s="2" t="inlineStr">
        <is>
          <t>2026-03-11</t>
        </is>
      </c>
      <c r="B4114" s="3" t="inlineStr">
        <is>
          <t>금호석유화학</t>
        </is>
      </c>
      <c r="C4114" s="2" t="inlineStr">
        <is>
          <t>코스피</t>
        </is>
      </c>
      <c r="D4114" s="2" t="inlineStr">
        <is>
          <t>011780</t>
        </is>
      </c>
      <c r="E4114" s="3" t="inlineStr">
        <is>
          <t xml:space="preserve">현금ㆍ현물배당결정              </t>
        </is>
      </c>
      <c r="F4114" s="3" t="inlineStr">
        <is>
          <t>금호석유화학</t>
        </is>
      </c>
      <c r="G4114" s="2" t="inlineStr">
        <is>
          <t>20260311802107</t>
        </is>
      </c>
      <c r="H4114" s="8">
        <f>HYPERLINK("https://dart.fss.or.kr/dsaf001/main.do?rcpNo=20260311802107", "공시열람")</f>
        <v/>
      </c>
    </row>
    <row r="4115">
      <c r="A4115" s="2" t="inlineStr">
        <is>
          <t>2026-03-11</t>
        </is>
      </c>
      <c r="B4115" s="3" t="inlineStr">
        <is>
          <t>메가스터디교육</t>
        </is>
      </c>
      <c r="C4115" s="2" t="inlineStr">
        <is>
          <t>코스닥</t>
        </is>
      </c>
      <c r="D4115" s="2" t="inlineStr">
        <is>
          <t>215200</t>
        </is>
      </c>
      <c r="E4115" s="3" t="inlineStr">
        <is>
          <t xml:space="preserve">기업가치제고계획(자율공시)              </t>
        </is>
      </c>
      <c r="F4115" s="3" t="inlineStr">
        <is>
          <t>메가스터디교육</t>
        </is>
      </c>
      <c r="G4115" s="2" t="inlineStr">
        <is>
          <t>20260311902353</t>
        </is>
      </c>
      <c r="H4115" s="8">
        <f>HYPERLINK("https://dart.fss.or.kr/dsaf001/main.do?rcpNo=20260311902353", "공시열람")</f>
        <v/>
      </c>
    </row>
    <row r="4116">
      <c r="A4116" s="2" t="inlineStr">
        <is>
          <t>2026-03-11</t>
        </is>
      </c>
      <c r="B4116" s="3" t="inlineStr">
        <is>
          <t>지투지바이오</t>
        </is>
      </c>
      <c r="C4116" s="2" t="inlineStr">
        <is>
          <t>코스닥</t>
        </is>
      </c>
      <c r="D4116" s="2" t="inlineStr">
        <is>
          <t>456160</t>
        </is>
      </c>
      <c r="E4116" s="3" t="inlineStr">
        <is>
          <t>의결권대리행사권유참고서류</t>
        </is>
      </c>
      <c r="F4116" s="3" t="inlineStr">
        <is>
          <t>지투지바이오</t>
        </is>
      </c>
      <c r="G4116" s="2" t="inlineStr">
        <is>
          <t>20260311004493</t>
        </is>
      </c>
      <c r="H4116" s="8">
        <f>HYPERLINK("https://dart.fss.or.kr/dsaf001/main.do?rcpNo=20260311004493", "공시열람")</f>
        <v/>
      </c>
    </row>
    <row r="4117">
      <c r="A4117" s="2" t="inlineStr">
        <is>
          <t>2026-03-11</t>
        </is>
      </c>
      <c r="B4117" s="3" t="inlineStr">
        <is>
          <t>메가스터디교육</t>
        </is>
      </c>
      <c r="C4117" s="2" t="inlineStr">
        <is>
          <t>코스닥</t>
        </is>
      </c>
      <c r="D4117" s="2" t="inlineStr">
        <is>
          <t>215200</t>
        </is>
      </c>
      <c r="E4117" s="3" t="inlineStr">
        <is>
          <t xml:space="preserve">현금ㆍ현물배당결정              </t>
        </is>
      </c>
      <c r="F4117" s="3" t="inlineStr">
        <is>
          <t>메가스터디교육</t>
        </is>
      </c>
      <c r="G4117" s="2" t="inlineStr">
        <is>
          <t>20260311902256</t>
        </is>
      </c>
      <c r="H4117" s="8">
        <f>HYPERLINK("https://dart.fss.or.kr/dsaf001/main.do?rcpNo=20260311902256", "공시열람")</f>
        <v/>
      </c>
    </row>
    <row r="4118">
      <c r="A4118" s="2" t="inlineStr">
        <is>
          <t>2026-03-11</t>
        </is>
      </c>
      <c r="B4118" s="3" t="inlineStr">
        <is>
          <t>신영증권</t>
        </is>
      </c>
      <c r="C4118" s="2" t="inlineStr">
        <is>
          <t>코스피</t>
        </is>
      </c>
      <c r="D4118" s="2" t="inlineStr">
        <is>
          <t>001720</t>
        </is>
      </c>
      <c r="E4118" s="3" t="inlineStr">
        <is>
          <t>투자설명서(일괄신고)</t>
        </is>
      </c>
      <c r="F4118" s="3" t="inlineStr">
        <is>
          <t>신영증권</t>
        </is>
      </c>
      <c r="G4118" s="2" t="inlineStr">
        <is>
          <t>20260311004492</t>
        </is>
      </c>
      <c r="H4118" s="8">
        <f>HYPERLINK("https://dart.fss.or.kr/dsaf001/main.do?rcpNo=20260311004492", "공시열람")</f>
        <v/>
      </c>
    </row>
    <row r="4119">
      <c r="A4119" s="2" t="inlineStr">
        <is>
          <t>2026-03-11</t>
        </is>
      </c>
      <c r="B4119" s="3" t="inlineStr">
        <is>
          <t>아이에스동서</t>
        </is>
      </c>
      <c r="C4119" s="2" t="inlineStr">
        <is>
          <t>코스피</t>
        </is>
      </c>
      <c r="D4119" s="2" t="inlineStr">
        <is>
          <t>010780</t>
        </is>
      </c>
      <c r="E4119" s="3" t="inlineStr">
        <is>
          <t xml:space="preserve">현금ㆍ현물배당결정              </t>
        </is>
      </c>
      <c r="F4119" s="3" t="inlineStr">
        <is>
          <t>아이에스동서</t>
        </is>
      </c>
      <c r="G4119" s="2" t="inlineStr">
        <is>
          <t>20260311802281</t>
        </is>
      </c>
      <c r="H4119" s="8">
        <f>HYPERLINK("https://dart.fss.or.kr/dsaf001/main.do?rcpNo=20260311802281", "공시열람")</f>
        <v/>
      </c>
    </row>
    <row r="4120">
      <c r="A4120" s="2" t="inlineStr">
        <is>
          <t>2026-03-11</t>
        </is>
      </c>
      <c r="B4120" s="3" t="inlineStr">
        <is>
          <t>엔비티</t>
        </is>
      </c>
      <c r="C4120" s="2" t="inlineStr">
        <is>
          <t>코스닥</t>
        </is>
      </c>
      <c r="D4120" s="2" t="inlineStr">
        <is>
          <t>236810</t>
        </is>
      </c>
      <c r="E4120" s="3" t="inlineStr">
        <is>
          <t>의결권대리행사권유참고서류</t>
        </is>
      </c>
      <c r="F4120" s="3" t="inlineStr">
        <is>
          <t>엔비티</t>
        </is>
      </c>
      <c r="G4120" s="2" t="inlineStr">
        <is>
          <t>20260311004489</t>
        </is>
      </c>
      <c r="H4120" s="8">
        <f>HYPERLINK("https://dart.fss.or.kr/dsaf001/main.do?rcpNo=20260311004489", "공시열람")</f>
        <v/>
      </c>
    </row>
    <row r="4121">
      <c r="A4121" s="2" t="inlineStr">
        <is>
          <t>2026-03-11</t>
        </is>
      </c>
      <c r="B4121" s="3" t="inlineStr">
        <is>
          <t>유안타증권</t>
        </is>
      </c>
      <c r="C4121" s="2" t="inlineStr">
        <is>
          <t>코스피</t>
        </is>
      </c>
      <c r="D4121" s="2" t="inlineStr">
        <is>
          <t>003470</t>
        </is>
      </c>
      <c r="E4121" s="3" t="inlineStr">
        <is>
          <t xml:space="preserve">감사보고서제출              </t>
        </is>
      </c>
      <c r="F4121" s="3" t="inlineStr">
        <is>
          <t>유안타증권</t>
        </is>
      </c>
      <c r="G4121" s="2" t="inlineStr">
        <is>
          <t>20260311801920</t>
        </is>
      </c>
      <c r="H4121" s="8">
        <f>HYPERLINK("https://dart.fss.or.kr/dsaf001/main.do?rcpNo=20260311801920", "공시열람")</f>
        <v/>
      </c>
    </row>
    <row r="4122">
      <c r="A4122" s="2" t="inlineStr">
        <is>
          <t>2026-03-11</t>
        </is>
      </c>
      <c r="B4122" s="3" t="inlineStr">
        <is>
          <t>금강철강</t>
        </is>
      </c>
      <c r="C4122" s="2" t="inlineStr">
        <is>
          <t>코스닥</t>
        </is>
      </c>
      <c r="D4122" s="2" t="inlineStr">
        <is>
          <t>053260</t>
        </is>
      </c>
      <c r="E4122" s="3" t="inlineStr">
        <is>
          <t>의결권대리행사권유참고서류</t>
        </is>
      </c>
      <c r="F4122" s="3" t="inlineStr">
        <is>
          <t>금강철강</t>
        </is>
      </c>
      <c r="G4122" s="2" t="inlineStr">
        <is>
          <t>20260311004485</t>
        </is>
      </c>
      <c r="H4122" s="8">
        <f>HYPERLINK("https://dart.fss.or.kr/dsaf001/main.do?rcpNo=20260311004485", "공시열람")</f>
        <v/>
      </c>
    </row>
    <row r="4123">
      <c r="A4123" s="2" t="inlineStr">
        <is>
          <t>2026-03-11</t>
        </is>
      </c>
      <c r="B4123" s="3" t="inlineStr">
        <is>
          <t>옴니시스템</t>
        </is>
      </c>
      <c r="C4123" s="2" t="inlineStr">
        <is>
          <t>코스닥</t>
        </is>
      </c>
      <c r="D4123" s="2" t="inlineStr">
        <is>
          <t>057540</t>
        </is>
      </c>
      <c r="E4123" s="3" t="inlineStr">
        <is>
          <t xml:space="preserve">매출액또는손익구조30%(대규모법인은15%)이상변동              </t>
        </is>
      </c>
      <c r="F4123" s="3" t="inlineStr">
        <is>
          <t>옴니시스템</t>
        </is>
      </c>
      <c r="G4123" s="2" t="inlineStr">
        <is>
          <t>20260311902141</t>
        </is>
      </c>
      <c r="H4123" s="8">
        <f>HYPERLINK("https://dart.fss.or.kr/dsaf001/main.do?rcpNo=20260311902141", "공시열람")</f>
        <v/>
      </c>
    </row>
    <row r="4124">
      <c r="A4124" s="2" t="inlineStr">
        <is>
          <t>2026-03-11</t>
        </is>
      </c>
      <c r="B4124" s="3" t="inlineStr">
        <is>
          <t>스튜디오드래곤</t>
        </is>
      </c>
      <c r="C4124" s="2" t="inlineStr">
        <is>
          <t>코스닥</t>
        </is>
      </c>
      <c r="D4124" s="2" t="inlineStr">
        <is>
          <t>253450</t>
        </is>
      </c>
      <c r="E4124" s="3" t="inlineStr">
        <is>
          <t>의결권대리행사권유참고서류</t>
        </is>
      </c>
      <c r="F4124" s="3" t="inlineStr">
        <is>
          <t>스튜디오드래곤</t>
        </is>
      </c>
      <c r="G4124" s="2" t="inlineStr">
        <is>
          <t>20260311004483</t>
        </is>
      </c>
      <c r="H4124" s="8">
        <f>HYPERLINK("https://dart.fss.or.kr/dsaf001/main.do?rcpNo=20260311004483", "공시열람")</f>
        <v/>
      </c>
    </row>
    <row r="4125">
      <c r="A4125" s="2" t="inlineStr">
        <is>
          <t>2026-03-11</t>
        </is>
      </c>
      <c r="B4125" s="3" t="inlineStr">
        <is>
          <t>한일철강</t>
        </is>
      </c>
      <c r="C4125" s="2" t="inlineStr">
        <is>
          <t>코스피</t>
        </is>
      </c>
      <c r="D4125" s="2" t="inlineStr">
        <is>
          <t>002220</t>
        </is>
      </c>
      <c r="E4125" s="3" t="inlineStr">
        <is>
          <t xml:space="preserve">감사보고서제출              </t>
        </is>
      </c>
      <c r="F4125" s="3" t="inlineStr">
        <is>
          <t>한일철강</t>
        </is>
      </c>
      <c r="G4125" s="2" t="inlineStr">
        <is>
          <t>20260311802300</t>
        </is>
      </c>
      <c r="H4125" s="8">
        <f>HYPERLINK("https://dart.fss.or.kr/dsaf001/main.do?rcpNo=20260311802300", "공시열람")</f>
        <v/>
      </c>
    </row>
    <row r="4126">
      <c r="A4126" s="2" t="inlineStr">
        <is>
          <t>2026-03-11</t>
        </is>
      </c>
      <c r="B4126" s="3" t="inlineStr">
        <is>
          <t>HS효성</t>
        </is>
      </c>
      <c r="C4126" s="2" t="inlineStr">
        <is>
          <t>코스피</t>
        </is>
      </c>
      <c r="D4126" s="2" t="inlineStr">
        <is>
          <t>487570</t>
        </is>
      </c>
      <c r="E4126" s="3" t="inlineStr">
        <is>
          <t xml:space="preserve">감사보고서제출(자회사의 주요경영사항)              </t>
        </is>
      </c>
      <c r="F4126" s="3" t="inlineStr">
        <is>
          <t>HS효성</t>
        </is>
      </c>
      <c r="G4126" s="2" t="inlineStr">
        <is>
          <t>20260311802325</t>
        </is>
      </c>
      <c r="H4126" s="8">
        <f>HYPERLINK("https://dart.fss.or.kr/dsaf001/main.do?rcpNo=20260311802325", "공시열람")</f>
        <v/>
      </c>
    </row>
    <row r="4127">
      <c r="A4127" s="2" t="inlineStr">
        <is>
          <t>2026-03-11</t>
        </is>
      </c>
      <c r="B4127" s="3" t="inlineStr">
        <is>
          <t>한전기술</t>
        </is>
      </c>
      <c r="C4127" s="2" t="inlineStr">
        <is>
          <t>코스피</t>
        </is>
      </c>
      <c r="D4127" s="2" t="inlineStr">
        <is>
          <t>052690</t>
        </is>
      </c>
      <c r="E4127" s="3" t="inlineStr">
        <is>
          <t xml:space="preserve">현금ㆍ현물배당결정              </t>
        </is>
      </c>
      <c r="F4127" s="3" t="inlineStr">
        <is>
          <t>한전기술</t>
        </is>
      </c>
      <c r="G4127" s="2" t="inlineStr">
        <is>
          <t>20260311802238</t>
        </is>
      </c>
      <c r="H4127" s="8">
        <f>HYPERLINK("https://dart.fss.or.kr/dsaf001/main.do?rcpNo=20260311802238", "공시열람")</f>
        <v/>
      </c>
    </row>
    <row r="4128">
      <c r="A4128" s="2" t="inlineStr">
        <is>
          <t>2026-03-11</t>
        </is>
      </c>
      <c r="B4128" s="3" t="inlineStr">
        <is>
          <t>LS</t>
        </is>
      </c>
      <c r="C4128" s="2" t="inlineStr">
        <is>
          <t>코스피</t>
        </is>
      </c>
      <c r="D4128" s="2" t="inlineStr">
        <is>
          <t>006260</t>
        </is>
      </c>
      <c r="E4128" s="3" t="inlineStr">
        <is>
          <t xml:space="preserve">타법인주식및출자증권취득결정              </t>
        </is>
      </c>
      <c r="F4128" s="3" t="inlineStr">
        <is>
          <t>LS</t>
        </is>
      </c>
      <c r="G4128" s="2" t="inlineStr">
        <is>
          <t>20260311802299</t>
        </is>
      </c>
      <c r="H4128" s="8">
        <f>HYPERLINK("https://dart.fss.or.kr/dsaf001/main.do?rcpNo=20260311802299", "공시열람")</f>
        <v/>
      </c>
    </row>
    <row r="4129">
      <c r="A4129" s="2" t="inlineStr">
        <is>
          <t>2026-03-11</t>
        </is>
      </c>
      <c r="B4129" s="3" t="inlineStr">
        <is>
          <t>신영증권</t>
        </is>
      </c>
      <c r="C4129" s="2" t="inlineStr">
        <is>
          <t>코스피</t>
        </is>
      </c>
      <c r="D4129" s="2" t="inlineStr">
        <is>
          <t>001720</t>
        </is>
      </c>
      <c r="E4129" s="3" t="inlineStr">
        <is>
          <t>투자설명서(일괄신고)</t>
        </is>
      </c>
      <c r="F4129" s="3" t="inlineStr">
        <is>
          <t>신영증권</t>
        </is>
      </c>
      <c r="G4129" s="2" t="inlineStr">
        <is>
          <t>20260311004480</t>
        </is>
      </c>
      <c r="H4129" s="8">
        <f>HYPERLINK("https://dart.fss.or.kr/dsaf001/main.do?rcpNo=20260311004480", "공시열람")</f>
        <v/>
      </c>
    </row>
    <row r="4130">
      <c r="A4130" s="2" t="inlineStr">
        <is>
          <t>2026-03-11</t>
        </is>
      </c>
      <c r="B4130" s="3" t="inlineStr">
        <is>
          <t>녹십자</t>
        </is>
      </c>
      <c r="C4130" s="2" t="inlineStr">
        <is>
          <t>코스피</t>
        </is>
      </c>
      <c r="D4130" s="2" t="inlineStr">
        <is>
          <t>006280</t>
        </is>
      </c>
      <c r="E4130" s="3" t="inlineStr">
        <is>
          <t>의결권대리행사권유참고서류</t>
        </is>
      </c>
      <c r="F4130" s="3" t="inlineStr">
        <is>
          <t>녹십자</t>
        </is>
      </c>
      <c r="G4130" s="2" t="inlineStr">
        <is>
          <t>20260311004479</t>
        </is>
      </c>
      <c r="H4130" s="8">
        <f>HYPERLINK("https://dart.fss.or.kr/dsaf001/main.do?rcpNo=20260311004479", "공시열람")</f>
        <v/>
      </c>
    </row>
    <row r="4131">
      <c r="A4131" s="2" t="inlineStr">
        <is>
          <t>2026-03-11 (정정: 2026-03-11)</t>
        </is>
      </c>
      <c r="B4131" s="3" t="inlineStr">
        <is>
          <t>푸른저축은행</t>
        </is>
      </c>
      <c r="C4131" s="2" t="inlineStr">
        <is>
          <t>코스닥</t>
        </is>
      </c>
      <c r="D4131" s="2" t="inlineStr">
        <is>
          <t>007330</t>
        </is>
      </c>
      <c r="E4131" s="3" t="inlineStr">
        <is>
          <t>의결권대리행사권유참고서류 (정정: 20260311)</t>
        </is>
      </c>
      <c r="F4131" s="3" t="inlineStr">
        <is>
          <t>푸른저축은행</t>
        </is>
      </c>
      <c r="G4131" s="2" t="inlineStr">
        <is>
          <t>20260311901848</t>
        </is>
      </c>
      <c r="H4131" s="8">
        <f>HYPERLINK("https://dart.fss.or.kr/dsaf001/main.do?rcpNo=20260311901848", "공시열람")</f>
        <v/>
      </c>
    </row>
    <row r="4132">
      <c r="A4132" s="2" t="inlineStr">
        <is>
          <t>2026-03-11</t>
        </is>
      </c>
      <c r="B4132" s="3" t="inlineStr">
        <is>
          <t>코미팜</t>
        </is>
      </c>
      <c r="C4132" s="2" t="inlineStr">
        <is>
          <t>코스닥</t>
        </is>
      </c>
      <c r="D4132" s="2" t="inlineStr">
        <is>
          <t>041960</t>
        </is>
      </c>
      <c r="E4132" s="3" t="inlineStr">
        <is>
          <t>의결권대리행사권유참고서류</t>
        </is>
      </c>
      <c r="F4132" s="3" t="inlineStr">
        <is>
          <t>코미팜</t>
        </is>
      </c>
      <c r="G4132" s="2" t="inlineStr">
        <is>
          <t>20260311004476</t>
        </is>
      </c>
      <c r="H4132" s="8">
        <f>HYPERLINK("https://dart.fss.or.kr/dsaf001/main.do?rcpNo=20260311004476", "공시열람")</f>
        <v/>
      </c>
    </row>
    <row r="4133">
      <c r="A4133" s="2" t="inlineStr">
        <is>
          <t>2026-03-11</t>
        </is>
      </c>
      <c r="B4133" s="3" t="inlineStr">
        <is>
          <t>에이플러스에셋</t>
        </is>
      </c>
      <c r="C4133" s="2" t="inlineStr">
        <is>
          <t>코스피</t>
        </is>
      </c>
      <c r="D4133" s="2" t="inlineStr">
        <is>
          <t>244920</t>
        </is>
      </c>
      <c r="E4133" s="3" t="inlineStr">
        <is>
          <t xml:space="preserve">현금ㆍ현물배당결정              </t>
        </is>
      </c>
      <c r="F4133" s="3" t="inlineStr">
        <is>
          <t>에이플러스에셋</t>
        </is>
      </c>
      <c r="G4133" s="2" t="inlineStr">
        <is>
          <t>20260311802089</t>
        </is>
      </c>
      <c r="H4133" s="8">
        <f>HYPERLINK("https://dart.fss.or.kr/dsaf001/main.do?rcpNo=20260311802089", "공시열람")</f>
        <v/>
      </c>
    </row>
    <row r="4134">
      <c r="A4134" s="2" t="inlineStr">
        <is>
          <t>2026-03-11</t>
        </is>
      </c>
      <c r="B4134" s="3" t="inlineStr">
        <is>
          <t>뉴인텍</t>
        </is>
      </c>
      <c r="C4134" s="2" t="inlineStr">
        <is>
          <t>코스닥</t>
        </is>
      </c>
      <c r="D4134" s="2" t="inlineStr">
        <is>
          <t>012340</t>
        </is>
      </c>
      <c r="E4134" s="3" t="inlineStr">
        <is>
          <t>의결권대리행사권유참고서류</t>
        </is>
      </c>
      <c r="F4134" s="3" t="inlineStr">
        <is>
          <t>뉴인텍</t>
        </is>
      </c>
      <c r="G4134" s="2" t="inlineStr">
        <is>
          <t>20260311004473</t>
        </is>
      </c>
      <c r="H4134" s="8">
        <f>HYPERLINK("https://dart.fss.or.kr/dsaf001/main.do?rcpNo=20260311004473", "공시열람")</f>
        <v/>
      </c>
    </row>
    <row r="4135">
      <c r="A4135" s="2" t="inlineStr">
        <is>
          <t>2026-03-11</t>
        </is>
      </c>
      <c r="B4135" s="3" t="inlineStr">
        <is>
          <t>KB금융</t>
        </is>
      </c>
      <c r="C4135" s="2" t="inlineStr">
        <is>
          <t>코스피</t>
        </is>
      </c>
      <c r="D4135" s="2" t="inlineStr">
        <is>
          <t>105560</t>
        </is>
      </c>
      <c r="E4135" s="3" t="inlineStr">
        <is>
          <t>임원ㆍ주요주주특정증권등소유상황보고서</t>
        </is>
      </c>
      <c r="F4135" s="3" t="inlineStr">
        <is>
          <t>이경종</t>
        </is>
      </c>
      <c r="G4135" s="2" t="inlineStr">
        <is>
          <t>20260311004467</t>
        </is>
      </c>
      <c r="H4135" s="8">
        <f>HYPERLINK("https://dart.fss.or.kr/dsaf001/main.do?rcpNo=20260311004467", "공시열람")</f>
        <v/>
      </c>
    </row>
    <row r="4136">
      <c r="A4136" s="2" t="inlineStr">
        <is>
          <t>2026-03-11</t>
        </is>
      </c>
      <c r="B4136" s="3" t="inlineStr">
        <is>
          <t>HS효성첨단소재</t>
        </is>
      </c>
      <c r="C4136" s="2" t="inlineStr">
        <is>
          <t>코스피</t>
        </is>
      </c>
      <c r="D4136" s="2" t="inlineStr">
        <is>
          <t>298050</t>
        </is>
      </c>
      <c r="E4136" s="3" t="inlineStr">
        <is>
          <t xml:space="preserve">감사보고서제출              </t>
        </is>
      </c>
      <c r="F4136" s="3" t="inlineStr">
        <is>
          <t>HS효성첨단소재</t>
        </is>
      </c>
      <c r="G4136" s="2" t="inlineStr">
        <is>
          <t>20260311802033</t>
        </is>
      </c>
      <c r="H4136" s="8">
        <f>HYPERLINK("https://dart.fss.or.kr/dsaf001/main.do?rcpNo=20260311802033", "공시열람")</f>
        <v/>
      </c>
    </row>
    <row r="4137">
      <c r="A4137" s="2" t="inlineStr">
        <is>
          <t>2026-03-11</t>
        </is>
      </c>
      <c r="B4137" s="3" t="inlineStr">
        <is>
          <t>엑셀세라퓨틱스</t>
        </is>
      </c>
      <c r="C4137" s="2" t="inlineStr">
        <is>
          <t>코스닥</t>
        </is>
      </c>
      <c r="D4137" s="2" t="inlineStr">
        <is>
          <t>373110</t>
        </is>
      </c>
      <c r="E4137" s="3" t="inlineStr">
        <is>
          <t>의결권대리행사권유참고서류</t>
        </is>
      </c>
      <c r="F4137" s="3" t="inlineStr">
        <is>
          <t>엑셀세라퓨틱스</t>
        </is>
      </c>
      <c r="G4137" s="2" t="inlineStr">
        <is>
          <t>20260311004465</t>
        </is>
      </c>
      <c r="H4137" s="8">
        <f>HYPERLINK("https://dart.fss.or.kr/dsaf001/main.do?rcpNo=20260311004465", "공시열람")</f>
        <v/>
      </c>
    </row>
    <row r="4138">
      <c r="A4138" s="2" t="inlineStr">
        <is>
          <t>2026-03-11</t>
        </is>
      </c>
      <c r="B4138" s="3" t="inlineStr">
        <is>
          <t>티움바이오</t>
        </is>
      </c>
      <c r="C4138" s="2" t="inlineStr">
        <is>
          <t>코스닥</t>
        </is>
      </c>
      <c r="D4138" s="2" t="inlineStr">
        <is>
          <t>321550</t>
        </is>
      </c>
      <c r="E4138" s="3" t="inlineStr">
        <is>
          <t>의결권대리행사권유참고서류</t>
        </is>
      </c>
      <c r="F4138" s="3" t="inlineStr">
        <is>
          <t>티움바이오</t>
        </is>
      </c>
      <c r="G4138" s="2" t="inlineStr">
        <is>
          <t>20260311004464</t>
        </is>
      </c>
      <c r="H4138" s="8">
        <f>HYPERLINK("https://dart.fss.or.kr/dsaf001/main.do?rcpNo=20260311004464", "공시열람")</f>
        <v/>
      </c>
    </row>
    <row r="4139">
      <c r="A4139" s="2" t="inlineStr">
        <is>
          <t>2026-03-11</t>
        </is>
      </c>
      <c r="B4139" s="3" t="inlineStr">
        <is>
          <t>롤링스톤</t>
        </is>
      </c>
      <c r="C4139" s="2" t="inlineStr">
        <is>
          <t>코스닥</t>
        </is>
      </c>
      <c r="D4139" s="2" t="inlineStr">
        <is>
          <t>214610</t>
        </is>
      </c>
      <c r="E4139" s="3" t="inlineStr">
        <is>
          <t>임원ㆍ주요주주특정증권등소유상황보고서</t>
        </is>
      </c>
      <c r="F4139" s="3" t="inlineStr">
        <is>
          <t>김우찬</t>
        </is>
      </c>
      <c r="G4139" s="2" t="inlineStr">
        <is>
          <t>20260311004462</t>
        </is>
      </c>
      <c r="H4139" s="8">
        <f>HYPERLINK("https://dart.fss.or.kr/dsaf001/main.do?rcpNo=20260311004462", "공시열람")</f>
        <v/>
      </c>
    </row>
    <row r="4140">
      <c r="A4140" s="2" t="inlineStr">
        <is>
          <t>2026-03-11</t>
        </is>
      </c>
      <c r="B4140" s="3" t="inlineStr">
        <is>
          <t>SK</t>
        </is>
      </c>
      <c r="C4140" s="2" t="inlineStr">
        <is>
          <t>코스피</t>
        </is>
      </c>
      <c r="D4140" s="2" t="inlineStr">
        <is>
          <t>034730</t>
        </is>
      </c>
      <c r="E4140" s="3" t="inlineStr">
        <is>
          <t xml:space="preserve">감사보고서제출              </t>
        </is>
      </c>
      <c r="F4140" s="3" t="inlineStr">
        <is>
          <t>SK</t>
        </is>
      </c>
      <c r="G4140" s="2" t="inlineStr">
        <is>
          <t>20260311801996</t>
        </is>
      </c>
      <c r="H4140" s="8">
        <f>HYPERLINK("https://dart.fss.or.kr/dsaf001/main.do?rcpNo=20260311801996", "공시열람")</f>
        <v/>
      </c>
    </row>
    <row r="4141">
      <c r="A4141" s="2" t="inlineStr">
        <is>
          <t>2026-03-11</t>
        </is>
      </c>
      <c r="B4141" s="3" t="inlineStr">
        <is>
          <t>신영증권</t>
        </is>
      </c>
      <c r="C4141" s="2" t="inlineStr">
        <is>
          <t>코스피</t>
        </is>
      </c>
      <c r="D4141" s="2" t="inlineStr">
        <is>
          <t>001720</t>
        </is>
      </c>
      <c r="E4141" s="3" t="inlineStr">
        <is>
          <t>투자설명서(일괄신고)</t>
        </is>
      </c>
      <c r="F4141" s="3" t="inlineStr">
        <is>
          <t>신영증권</t>
        </is>
      </c>
      <c r="G4141" s="2" t="inlineStr">
        <is>
          <t>20260311004459</t>
        </is>
      </c>
      <c r="H4141" s="8">
        <f>HYPERLINK("https://dart.fss.or.kr/dsaf001/main.do?rcpNo=20260311004459", "공시열람")</f>
        <v/>
      </c>
    </row>
    <row r="4142">
      <c r="A4142" s="2" t="inlineStr">
        <is>
          <t>2026-03-11</t>
        </is>
      </c>
      <c r="B4142" s="3" t="inlineStr">
        <is>
          <t>메가스터디교육</t>
        </is>
      </c>
      <c r="C4142" s="2" t="inlineStr">
        <is>
          <t>코스닥</t>
        </is>
      </c>
      <c r="D4142" s="2" t="inlineStr">
        <is>
          <t>215200</t>
        </is>
      </c>
      <c r="E4142" s="3" t="inlineStr">
        <is>
          <t xml:space="preserve">감사보고서제출              </t>
        </is>
      </c>
      <c r="F4142" s="3" t="inlineStr">
        <is>
          <t>메가스터디교육</t>
        </is>
      </c>
      <c r="G4142" s="2" t="inlineStr">
        <is>
          <t>20260311902149</t>
        </is>
      </c>
      <c r="H4142" s="8">
        <f>HYPERLINK("https://dart.fss.or.kr/dsaf001/main.do?rcpNo=20260311902149", "공시열람")</f>
        <v/>
      </c>
    </row>
    <row r="4143">
      <c r="A4143" s="2" t="inlineStr">
        <is>
          <t>2026-03-11 (정정: 2026-03-12)</t>
        </is>
      </c>
      <c r="B4143" s="3" t="inlineStr">
        <is>
          <t>비츠로시스</t>
        </is>
      </c>
      <c r="C4143" s="2" t="inlineStr">
        <is>
          <t>코스닥</t>
        </is>
      </c>
      <c r="D4143" s="2" t="inlineStr">
        <is>
          <t>054220</t>
        </is>
      </c>
      <c r="E4143" s="3" t="inlineStr">
        <is>
          <t>전환청구권행사              (제15회차) (정정: 20260312)</t>
        </is>
      </c>
      <c r="F4143" s="3" t="inlineStr">
        <is>
          <t>비츠로시스</t>
        </is>
      </c>
      <c r="G4143" s="2" t="inlineStr">
        <is>
          <t>20260312000905</t>
        </is>
      </c>
      <c r="H4143" s="8">
        <f>HYPERLINK("https://dart.fss.or.kr/dsaf001/main.do?rcpNo=20260312000905", "공시열람")</f>
        <v/>
      </c>
    </row>
    <row r="4144">
      <c r="A4144" s="2" t="inlineStr">
        <is>
          <t>2026-03-11</t>
        </is>
      </c>
      <c r="B4144" s="3" t="inlineStr">
        <is>
          <t>케이아이엔엑스</t>
        </is>
      </c>
      <c r="C4144" s="2" t="inlineStr">
        <is>
          <t>코스닥</t>
        </is>
      </c>
      <c r="D4144" s="2" t="inlineStr">
        <is>
          <t>093320</t>
        </is>
      </c>
      <c r="E4144" s="3" t="inlineStr">
        <is>
          <t>의결권대리행사권유참고서류</t>
        </is>
      </c>
      <c r="F4144" s="3" t="inlineStr">
        <is>
          <t>케이아이엔엑스</t>
        </is>
      </c>
      <c r="G4144" s="2" t="inlineStr">
        <is>
          <t>20260311004452</t>
        </is>
      </c>
      <c r="H4144" s="8">
        <f>HYPERLINK("https://dart.fss.or.kr/dsaf001/main.do?rcpNo=20260311004452", "공시열람")</f>
        <v/>
      </c>
    </row>
    <row r="4145">
      <c r="A4145" s="2" t="inlineStr">
        <is>
          <t>2026-03-11</t>
        </is>
      </c>
      <c r="B4145" s="3" t="inlineStr">
        <is>
          <t>유니트론텍</t>
        </is>
      </c>
      <c r="C4145" s="2" t="inlineStr">
        <is>
          <t>코스닥</t>
        </is>
      </c>
      <c r="D4145" s="2" t="inlineStr">
        <is>
          <t>142210</t>
        </is>
      </c>
      <c r="E4145" s="3" t="inlineStr">
        <is>
          <t>의결권대리행사권유참고서류</t>
        </is>
      </c>
      <c r="F4145" s="3" t="inlineStr">
        <is>
          <t>유니트론텍</t>
        </is>
      </c>
      <c r="G4145" s="2" t="inlineStr">
        <is>
          <t>20260311004449</t>
        </is>
      </c>
      <c r="H4145" s="8">
        <f>HYPERLINK("https://dart.fss.or.kr/dsaf001/main.do?rcpNo=20260311004449", "공시열람")</f>
        <v/>
      </c>
    </row>
    <row r="4146">
      <c r="A4146" s="2" t="inlineStr">
        <is>
          <t>2026-03-11</t>
        </is>
      </c>
      <c r="B4146" s="3" t="inlineStr">
        <is>
          <t>신영증권</t>
        </is>
      </c>
      <c r="C4146" s="2" t="inlineStr">
        <is>
          <t>코스피</t>
        </is>
      </c>
      <c r="D4146" s="2" t="inlineStr">
        <is>
          <t>001720</t>
        </is>
      </c>
      <c r="E4146" s="3" t="inlineStr">
        <is>
          <t>일괄신고추가서류(기타파생결합사채)</t>
        </is>
      </c>
      <c r="F4146" s="3" t="inlineStr">
        <is>
          <t>신영증권</t>
        </is>
      </c>
      <c r="G4146" s="2" t="inlineStr">
        <is>
          <t>20260311004448</t>
        </is>
      </c>
      <c r="H4146" s="8">
        <f>HYPERLINK("https://dart.fss.or.kr/dsaf001/main.do?rcpNo=20260311004448", "공시열람")</f>
        <v/>
      </c>
    </row>
    <row r="4147">
      <c r="A4147" s="2" t="inlineStr">
        <is>
          <t>2026-03-11</t>
        </is>
      </c>
      <c r="B4147" s="3" t="inlineStr">
        <is>
          <t>가비아</t>
        </is>
      </c>
      <c r="C4147" s="2" t="inlineStr">
        <is>
          <t>코스닥</t>
        </is>
      </c>
      <c r="D4147" s="2" t="inlineStr">
        <is>
          <t>079940</t>
        </is>
      </c>
      <c r="E4147" s="3" t="inlineStr">
        <is>
          <t>의결권대리행사권유참고서류</t>
        </is>
      </c>
      <c r="F4147" s="3" t="inlineStr">
        <is>
          <t>가비아</t>
        </is>
      </c>
      <c r="G4147" s="2" t="inlineStr">
        <is>
          <t>20260311004445</t>
        </is>
      </c>
      <c r="H4147" s="8">
        <f>HYPERLINK("https://dart.fss.or.kr/dsaf001/main.do?rcpNo=20260311004445", "공시열람")</f>
        <v/>
      </c>
    </row>
    <row r="4148">
      <c r="A4148" s="2" t="inlineStr">
        <is>
          <t>2026-03-11 (정정: 2026-03-12)</t>
        </is>
      </c>
      <c r="B4148" s="3" t="inlineStr">
        <is>
          <t>대창솔루션</t>
        </is>
      </c>
      <c r="C4148" s="2" t="inlineStr">
        <is>
          <t>코스닥</t>
        </is>
      </c>
      <c r="D4148" s="2" t="inlineStr">
        <is>
          <t>096350</t>
        </is>
      </c>
      <c r="E4148" s="3" t="inlineStr">
        <is>
          <t>매출액또는손익구조30%(대규모법인은15%)이상변동               (정정: 20260312)</t>
        </is>
      </c>
      <c r="F4148" s="3" t="inlineStr">
        <is>
          <t>대창솔루션</t>
        </is>
      </c>
      <c r="G4148" s="2" t="inlineStr">
        <is>
          <t>20260312000751</t>
        </is>
      </c>
      <c r="H4148" s="8">
        <f>HYPERLINK("https://dart.fss.or.kr/dsaf001/main.do?rcpNo=20260312000751", "공시열람")</f>
        <v/>
      </c>
    </row>
    <row r="4149">
      <c r="A4149" s="2" t="inlineStr">
        <is>
          <t>2026-03-11 (정정: 2026-03-12)</t>
        </is>
      </c>
      <c r="B4149" s="3" t="inlineStr">
        <is>
          <t>씨유메디칼</t>
        </is>
      </c>
      <c r="C4149" s="2" t="inlineStr">
        <is>
          <t>코스닥</t>
        </is>
      </c>
      <c r="D4149" s="2" t="inlineStr">
        <is>
          <t>115480</t>
        </is>
      </c>
      <c r="E4149" s="3" t="inlineStr">
        <is>
          <t>의결권대리행사권유참고서류 (정정: 20260312)</t>
        </is>
      </c>
      <c r="F4149" s="3" t="inlineStr">
        <is>
          <t>씨유메디칼</t>
        </is>
      </c>
      <c r="G4149" s="2" t="inlineStr">
        <is>
          <t>20260312000177</t>
        </is>
      </c>
      <c r="H4149" s="8">
        <f>HYPERLINK("https://dart.fss.or.kr/dsaf001/main.do?rcpNo=20260312000177", "공시열람")</f>
        <v/>
      </c>
    </row>
    <row r="4150">
      <c r="A4150" s="2" t="inlineStr">
        <is>
          <t>2026-03-11</t>
        </is>
      </c>
      <c r="B4150" s="3" t="inlineStr">
        <is>
          <t>쏘카</t>
        </is>
      </c>
      <c r="C4150" s="2" t="inlineStr">
        <is>
          <t>코스피</t>
        </is>
      </c>
      <c r="D4150" s="2" t="inlineStr">
        <is>
          <t>403550</t>
        </is>
      </c>
      <c r="E4150" s="3" t="inlineStr">
        <is>
          <t xml:space="preserve">감사보고서제출              </t>
        </is>
      </c>
      <c r="F4150" s="3" t="inlineStr">
        <is>
          <t>쏘카</t>
        </is>
      </c>
      <c r="G4150" s="2" t="inlineStr">
        <is>
          <t>20260311802097</t>
        </is>
      </c>
      <c r="H4150" s="8">
        <f>HYPERLINK("https://dart.fss.or.kr/dsaf001/main.do?rcpNo=20260311802097", "공시열람")</f>
        <v/>
      </c>
    </row>
    <row r="4151">
      <c r="A4151" s="2" t="inlineStr">
        <is>
          <t>2026-03-11</t>
        </is>
      </c>
      <c r="B4151" s="3" t="inlineStr">
        <is>
          <t>한양증권</t>
        </is>
      </c>
      <c r="C4151" s="2" t="inlineStr">
        <is>
          <t>코스피</t>
        </is>
      </c>
      <c r="D4151" s="2" t="inlineStr">
        <is>
          <t>001750</t>
        </is>
      </c>
      <c r="E4151" s="3" t="inlineStr">
        <is>
          <t xml:space="preserve">단기차입금증가결정              </t>
        </is>
      </c>
      <c r="F4151" s="3" t="inlineStr">
        <is>
          <t>한양증권</t>
        </is>
      </c>
      <c r="G4151" s="2" t="inlineStr">
        <is>
          <t>20260311802277</t>
        </is>
      </c>
      <c r="H4151" s="8">
        <f>HYPERLINK("https://dart.fss.or.kr/dsaf001/main.do?rcpNo=20260311802277", "공시열람")</f>
        <v/>
      </c>
    </row>
    <row r="4152">
      <c r="A4152" s="2" t="inlineStr">
        <is>
          <t>2026-03-11</t>
        </is>
      </c>
      <c r="B4152" s="3" t="inlineStr">
        <is>
          <t>신영증권</t>
        </is>
      </c>
      <c r="C4152" s="2" t="inlineStr">
        <is>
          <t>코스피</t>
        </is>
      </c>
      <c r="D4152" s="2" t="inlineStr">
        <is>
          <t>001720</t>
        </is>
      </c>
      <c r="E4152" s="3" t="inlineStr">
        <is>
          <t>일괄신고추가서류(파생결합증권-주가연계증권)</t>
        </is>
      </c>
      <c r="F4152" s="3" t="inlineStr">
        <is>
          <t>신영증권</t>
        </is>
      </c>
      <c r="G4152" s="2" t="inlineStr">
        <is>
          <t>20260311004441</t>
        </is>
      </c>
      <c r="H4152" s="8">
        <f>HYPERLINK("https://dart.fss.or.kr/dsaf001/main.do?rcpNo=20260311004441", "공시열람")</f>
        <v/>
      </c>
    </row>
    <row r="4153">
      <c r="A4153" s="2" t="inlineStr">
        <is>
          <t>2026-03-11 (정정: 2026-03-12)</t>
        </is>
      </c>
      <c r="B4153" s="3" t="inlineStr">
        <is>
          <t>PKC</t>
        </is>
      </c>
      <c r="C4153" s="2" t="inlineStr">
        <is>
          <t>코스피</t>
        </is>
      </c>
      <c r="D4153" s="2" t="inlineStr">
        <is>
          <t>001340</t>
        </is>
      </c>
      <c r="E4153" s="3" t="inlineStr">
        <is>
          <t>의결권대리행사권유참고서류 (정정: 20260312) (정정: 20260312)</t>
        </is>
      </c>
      <c r="F4153" s="3" t="inlineStr">
        <is>
          <t>PKC</t>
        </is>
      </c>
      <c r="G4153" s="2" t="inlineStr">
        <is>
          <t>20260312000678</t>
        </is>
      </c>
      <c r="H4153" s="8">
        <f>HYPERLINK("https://dart.fss.or.kr/dsaf001/main.do?rcpNo=20260312000678", "공시열람")</f>
        <v/>
      </c>
    </row>
    <row r="4154">
      <c r="A4154" s="2" t="inlineStr">
        <is>
          <t>2026-03-11</t>
        </is>
      </c>
      <c r="B4154" s="3" t="inlineStr">
        <is>
          <t>현대코퍼레이션</t>
        </is>
      </c>
      <c r="C4154" s="2" t="inlineStr">
        <is>
          <t>코스피</t>
        </is>
      </c>
      <c r="D4154" s="2" t="inlineStr">
        <is>
          <t>011760</t>
        </is>
      </c>
      <c r="E4154" s="3" t="inlineStr">
        <is>
          <t>[발행조건확정]증권신고서(채무증권)</t>
        </is>
      </c>
      <c r="F4154" s="3" t="inlineStr">
        <is>
          <t>현대코퍼레이션</t>
        </is>
      </c>
      <c r="G4154" s="2" t="inlineStr">
        <is>
          <t>20260311004434</t>
        </is>
      </c>
      <c r="H4154" s="8">
        <f>HYPERLINK("https://dart.fss.or.kr/dsaf001/main.do?rcpNo=20260311004434", "공시열람")</f>
        <v/>
      </c>
    </row>
    <row r="4155">
      <c r="A4155" s="2" t="inlineStr">
        <is>
          <t>2026-03-11</t>
        </is>
      </c>
      <c r="B4155" s="3" t="inlineStr">
        <is>
          <t>유성티엔에스</t>
        </is>
      </c>
      <c r="C4155" s="2" t="inlineStr">
        <is>
          <t>코스닥</t>
        </is>
      </c>
      <c r="D4155" s="2" t="inlineStr">
        <is>
          <t>024800</t>
        </is>
      </c>
      <c r="E4155" s="3" t="inlineStr">
        <is>
          <t xml:space="preserve">매출액또는손익구조30%(대규모법인은15%)이상변동              </t>
        </is>
      </c>
      <c r="F4155" s="3" t="inlineStr">
        <is>
          <t>유성티엔에스</t>
        </is>
      </c>
      <c r="G4155" s="2" t="inlineStr">
        <is>
          <t>20260311901940</t>
        </is>
      </c>
      <c r="H4155" s="8">
        <f>HYPERLINK("https://dart.fss.or.kr/dsaf001/main.do?rcpNo=20260311901940", "공시열람")</f>
        <v/>
      </c>
    </row>
    <row r="4156">
      <c r="A4156" s="2" t="inlineStr">
        <is>
          <t>2026-03-11 (정정: 2026-03-17)</t>
        </is>
      </c>
      <c r="B4156" s="3" t="inlineStr">
        <is>
          <t>영우디에스피</t>
        </is>
      </c>
      <c r="C4156" s="2" t="inlineStr">
        <is>
          <t>코스닥</t>
        </is>
      </c>
      <c r="D4156" s="2" t="inlineStr">
        <is>
          <t>143540</t>
        </is>
      </c>
      <c r="E4156" s="3" t="inlineStr">
        <is>
          <t>의결권대리행사권유참고서류 (정정: 20260317)</t>
        </is>
      </c>
      <c r="F4156" s="3" t="inlineStr">
        <is>
          <t>영우디에스피</t>
        </is>
      </c>
      <c r="G4156" s="2" t="inlineStr">
        <is>
          <t>20260317000351</t>
        </is>
      </c>
      <c r="H4156" s="8">
        <f>HYPERLINK("https://dart.fss.or.kr/dsaf001/main.do?rcpNo=20260317000351", "공시열람")</f>
        <v/>
      </c>
    </row>
    <row r="4157">
      <c r="A4157" s="2" t="inlineStr">
        <is>
          <t>2026-03-11</t>
        </is>
      </c>
      <c r="B4157" s="3" t="inlineStr">
        <is>
          <t>한양증권</t>
        </is>
      </c>
      <c r="C4157" s="2" t="inlineStr">
        <is>
          <t>코스피</t>
        </is>
      </c>
      <c r="D4157" s="2" t="inlineStr">
        <is>
          <t>001750</t>
        </is>
      </c>
      <c r="E4157" s="3" t="inlineStr">
        <is>
          <t>의결권대리행사권유참고서류</t>
        </is>
      </c>
      <c r="F4157" s="3" t="inlineStr">
        <is>
          <t>한양증권</t>
        </is>
      </c>
      <c r="G4157" s="2" t="inlineStr">
        <is>
          <t>20260311004428</t>
        </is>
      </c>
      <c r="H4157" s="8">
        <f>HYPERLINK("https://dart.fss.or.kr/dsaf001/main.do?rcpNo=20260311004428", "공시열람")</f>
        <v/>
      </c>
    </row>
    <row r="4158">
      <c r="A4158" s="2" t="inlineStr">
        <is>
          <t>2026-03-11</t>
        </is>
      </c>
      <c r="B4158" s="3" t="inlineStr">
        <is>
          <t>쿠쿠홀딩스</t>
        </is>
      </c>
      <c r="C4158" s="2" t="inlineStr">
        <is>
          <t>코스피</t>
        </is>
      </c>
      <c r="D4158" s="2" t="inlineStr">
        <is>
          <t>192400</t>
        </is>
      </c>
      <c r="E4158" s="3" t="inlineStr">
        <is>
          <t xml:space="preserve">현금ㆍ현물배당결정(자회사의 주요경영사항)              </t>
        </is>
      </c>
      <c r="F4158" s="3" t="inlineStr">
        <is>
          <t>쿠쿠홀딩스</t>
        </is>
      </c>
      <c r="G4158" s="2" t="inlineStr">
        <is>
          <t>20260311802230</t>
        </is>
      </c>
      <c r="H4158" s="8">
        <f>HYPERLINK("https://dart.fss.or.kr/dsaf001/main.do?rcpNo=20260311802230", "공시열람")</f>
        <v/>
      </c>
    </row>
    <row r="4159">
      <c r="A4159" s="2" t="inlineStr">
        <is>
          <t>2026-03-11</t>
        </is>
      </c>
      <c r="B4159" s="3" t="inlineStr">
        <is>
          <t>케이아이엔엑스</t>
        </is>
      </c>
      <c r="C4159" s="2" t="inlineStr">
        <is>
          <t>코스닥</t>
        </is>
      </c>
      <c r="D4159" s="2" t="inlineStr">
        <is>
          <t>093320</t>
        </is>
      </c>
      <c r="E4159" s="3" t="inlineStr">
        <is>
          <t xml:space="preserve">현금ㆍ현물배당결정              </t>
        </is>
      </c>
      <c r="F4159" s="3" t="inlineStr">
        <is>
          <t>케이아이엔엑스</t>
        </is>
      </c>
      <c r="G4159" s="2" t="inlineStr">
        <is>
          <t>20260311902025</t>
        </is>
      </c>
      <c r="H4159" s="8">
        <f>HYPERLINK("https://dart.fss.or.kr/dsaf001/main.do?rcpNo=20260311902025", "공시열람")</f>
        <v/>
      </c>
    </row>
    <row r="4160">
      <c r="A4160" s="2" t="inlineStr">
        <is>
          <t>2026-03-11</t>
        </is>
      </c>
      <c r="B4160" s="3" t="inlineStr">
        <is>
          <t>HD현대일렉트릭</t>
        </is>
      </c>
      <c r="C4160" s="2" t="inlineStr">
        <is>
          <t>코스피</t>
        </is>
      </c>
      <c r="D4160" s="2" t="inlineStr">
        <is>
          <t>267260</t>
        </is>
      </c>
      <c r="E4160" s="3" t="inlineStr">
        <is>
          <t>임원ㆍ주요주주특정증권등소유상황보고서</t>
        </is>
      </c>
      <c r="F4160" s="3" t="inlineStr">
        <is>
          <t>HD현대</t>
        </is>
      </c>
      <c r="G4160" s="2" t="inlineStr">
        <is>
          <t>20260311004424</t>
        </is>
      </c>
      <c r="H4160" s="8">
        <f>HYPERLINK("https://dart.fss.or.kr/dsaf001/main.do?rcpNo=20260311004424", "공시열람")</f>
        <v/>
      </c>
    </row>
    <row r="4161">
      <c r="A4161" s="2" t="inlineStr">
        <is>
          <t>2026-03-11</t>
        </is>
      </c>
      <c r="B4161" s="3" t="inlineStr">
        <is>
          <t>HLB테라퓨틱스</t>
        </is>
      </c>
      <c r="C4161" s="2" t="inlineStr">
        <is>
          <t>코스닥</t>
        </is>
      </c>
      <c r="D4161" s="2" t="inlineStr">
        <is>
          <t>115450</t>
        </is>
      </c>
      <c r="E4161" s="3" t="inlineStr">
        <is>
          <t>권리락              (무상증자)</t>
        </is>
      </c>
      <c r="F4161" s="3" t="inlineStr">
        <is>
          <t>코스닥시장본부</t>
        </is>
      </c>
      <c r="G4161" s="2" t="inlineStr">
        <is>
          <t>20260311902222</t>
        </is>
      </c>
      <c r="H4161" s="8">
        <f>HYPERLINK("https://dart.fss.or.kr/dsaf001/main.do?rcpNo=20260311902222", "공시열람")</f>
        <v/>
      </c>
    </row>
    <row r="4162">
      <c r="A4162" s="2" t="inlineStr">
        <is>
          <t>2026-03-11</t>
        </is>
      </c>
      <c r="B4162" s="3" t="inlineStr">
        <is>
          <t>쿠쿠홈시스</t>
        </is>
      </c>
      <c r="C4162" s="2" t="inlineStr">
        <is>
          <t>코스피</t>
        </is>
      </c>
      <c r="D4162" s="2" t="inlineStr">
        <is>
          <t>284740</t>
        </is>
      </c>
      <c r="E4162" s="3" t="inlineStr">
        <is>
          <t xml:space="preserve">현금ㆍ현물배당결정              </t>
        </is>
      </c>
      <c r="F4162" s="3" t="inlineStr">
        <is>
          <t>쿠쿠홈시스</t>
        </is>
      </c>
      <c r="G4162" s="2" t="inlineStr">
        <is>
          <t>20260311802030</t>
        </is>
      </c>
      <c r="H4162" s="8">
        <f>HYPERLINK("https://dart.fss.or.kr/dsaf001/main.do?rcpNo=20260311802030", "공시열람")</f>
        <v/>
      </c>
    </row>
    <row r="4163">
      <c r="A4163" s="2" t="inlineStr">
        <is>
          <t>2026-03-11</t>
        </is>
      </c>
      <c r="B4163" s="3" t="inlineStr">
        <is>
          <t>SK증권</t>
        </is>
      </c>
      <c r="C4163" s="2" t="inlineStr">
        <is>
          <t>코스피</t>
        </is>
      </c>
      <c r="D4163" s="2" t="inlineStr">
        <is>
          <t>001510</t>
        </is>
      </c>
      <c r="E4163" s="3" t="inlineStr">
        <is>
          <t>투자설명서(일괄신고)</t>
        </is>
      </c>
      <c r="F4163" s="3" t="inlineStr">
        <is>
          <t>SK증권</t>
        </is>
      </c>
      <c r="G4163" s="2" t="inlineStr">
        <is>
          <t>20260311004417</t>
        </is>
      </c>
      <c r="H4163" s="8">
        <f>HYPERLINK("https://dart.fss.or.kr/dsaf001/main.do?rcpNo=20260311004417", "공시열람")</f>
        <v/>
      </c>
    </row>
    <row r="4164">
      <c r="A4164" s="2" t="inlineStr">
        <is>
          <t>2026-03-11</t>
        </is>
      </c>
      <c r="B4164" s="3" t="inlineStr">
        <is>
          <t>삼성증권</t>
        </is>
      </c>
      <c r="C4164" s="2" t="inlineStr">
        <is>
          <t>코스피</t>
        </is>
      </c>
      <c r="D4164" s="2" t="inlineStr">
        <is>
          <t>016360</t>
        </is>
      </c>
      <c r="E4164" s="3" t="inlineStr">
        <is>
          <t xml:space="preserve">감사보고서제출              </t>
        </is>
      </c>
      <c r="F4164" s="3" t="inlineStr">
        <is>
          <t>삼성증권</t>
        </is>
      </c>
      <c r="G4164" s="2" t="inlineStr">
        <is>
          <t>20260311801902</t>
        </is>
      </c>
      <c r="H4164" s="8">
        <f>HYPERLINK("https://dart.fss.or.kr/dsaf001/main.do?rcpNo=20260311801902", "공시열람")</f>
        <v/>
      </c>
    </row>
    <row r="4165">
      <c r="A4165" s="2" t="inlineStr">
        <is>
          <t>2026-03-11</t>
        </is>
      </c>
      <c r="B4165" s="3" t="inlineStr">
        <is>
          <t>상보</t>
        </is>
      </c>
      <c r="C4165" s="2" t="inlineStr">
        <is>
          <t>코스닥</t>
        </is>
      </c>
      <c r="D4165" s="2" t="inlineStr">
        <is>
          <t>027580</t>
        </is>
      </c>
      <c r="E4165" s="3" t="inlineStr">
        <is>
          <t xml:space="preserve">감사보고서제출              </t>
        </is>
      </c>
      <c r="F4165" s="3" t="inlineStr">
        <is>
          <t>상보</t>
        </is>
      </c>
      <c r="G4165" s="2" t="inlineStr">
        <is>
          <t>20260311902103</t>
        </is>
      </c>
      <c r="H4165" s="8">
        <f>HYPERLINK("https://dart.fss.or.kr/dsaf001/main.do?rcpNo=20260311902103", "공시열람")</f>
        <v/>
      </c>
    </row>
    <row r="4166">
      <c r="A4166" s="2" t="inlineStr">
        <is>
          <t>2026-03-11</t>
        </is>
      </c>
      <c r="B4166" s="3" t="inlineStr">
        <is>
          <t>서연</t>
        </is>
      </c>
      <c r="C4166" s="2" t="inlineStr">
        <is>
          <t>코스피</t>
        </is>
      </c>
      <c r="D4166" s="2" t="inlineStr">
        <is>
          <t>007860</t>
        </is>
      </c>
      <c r="E4166" s="3" t="inlineStr">
        <is>
          <t>의결권대리행사권유참고서류</t>
        </is>
      </c>
      <c r="F4166" s="3" t="inlineStr">
        <is>
          <t>서연</t>
        </is>
      </c>
      <c r="G4166" s="2" t="inlineStr">
        <is>
          <t>20260311004410</t>
        </is>
      </c>
      <c r="H4166" s="8">
        <f>HYPERLINK("https://dart.fss.or.kr/dsaf001/main.do?rcpNo=20260311004410", "공시열람")</f>
        <v/>
      </c>
    </row>
    <row r="4167">
      <c r="A4167" s="2" t="inlineStr">
        <is>
          <t>2026-03-11</t>
        </is>
      </c>
      <c r="B4167" s="3" t="inlineStr">
        <is>
          <t>폴라리스세원</t>
        </is>
      </c>
      <c r="C4167" s="2" t="inlineStr">
        <is>
          <t>코스닥</t>
        </is>
      </c>
      <c r="D4167" s="2" t="inlineStr">
        <is>
          <t>234100</t>
        </is>
      </c>
      <c r="E4167" s="3" t="inlineStr">
        <is>
          <t xml:space="preserve">주식병합결정              </t>
        </is>
      </c>
      <c r="F4167" s="3" t="inlineStr">
        <is>
          <t>폴라리스세원</t>
        </is>
      </c>
      <c r="G4167" s="2" t="inlineStr">
        <is>
          <t>20260311902194</t>
        </is>
      </c>
      <c r="H4167" s="8">
        <f>HYPERLINK("https://dart.fss.or.kr/dsaf001/main.do?rcpNo=20260311902194", "공시열람")</f>
        <v/>
      </c>
    </row>
    <row r="4168">
      <c r="A4168" s="2" t="inlineStr">
        <is>
          <t>2026-03-11</t>
        </is>
      </c>
      <c r="B4168" s="3" t="inlineStr">
        <is>
          <t>에스피소프트</t>
        </is>
      </c>
      <c r="C4168" s="2" t="inlineStr">
        <is>
          <t>코스닥</t>
        </is>
      </c>
      <c r="D4168" s="2" t="inlineStr">
        <is>
          <t>443670</t>
        </is>
      </c>
      <c r="E4168" s="3" t="inlineStr">
        <is>
          <t>의결권대리행사권유참고서류</t>
        </is>
      </c>
      <c r="F4168" s="3" t="inlineStr">
        <is>
          <t>에스피소프트</t>
        </is>
      </c>
      <c r="G4168" s="2" t="inlineStr">
        <is>
          <t>20260311004408</t>
        </is>
      </c>
      <c r="H4168" s="8">
        <f>HYPERLINK("https://dart.fss.or.kr/dsaf001/main.do?rcpNo=20260311004408", "공시열람")</f>
        <v/>
      </c>
    </row>
    <row r="4169">
      <c r="A4169" s="2" t="inlineStr">
        <is>
          <t>2026-03-11 (정정: 2026-03-11)</t>
        </is>
      </c>
      <c r="B4169" s="3" t="inlineStr">
        <is>
          <t>해태제과식품</t>
        </is>
      </c>
      <c r="C4169" s="2" t="inlineStr">
        <is>
          <t>코스피</t>
        </is>
      </c>
      <c r="D4169" s="2" t="inlineStr">
        <is>
          <t>101530</t>
        </is>
      </c>
      <c r="E4169" s="3" t="inlineStr">
        <is>
          <t>[발행조건확정]증권신고서(채무증권) (정정: 20260311)</t>
        </is>
      </c>
      <c r="F4169" s="3" t="inlineStr">
        <is>
          <t>해태제과식품</t>
        </is>
      </c>
      <c r="G4169" s="2" t="inlineStr">
        <is>
          <t>20260311004378</t>
        </is>
      </c>
      <c r="H4169" s="8">
        <f>HYPERLINK("https://dart.fss.or.kr/dsaf001/main.do?rcpNo=20260311004378", "공시열람")</f>
        <v/>
      </c>
    </row>
    <row r="4170">
      <c r="A4170" s="2" t="inlineStr">
        <is>
          <t>2026-03-11</t>
        </is>
      </c>
      <c r="B4170" s="3" t="inlineStr">
        <is>
          <t>데브시스터즈</t>
        </is>
      </c>
      <c r="C4170" s="2" t="inlineStr">
        <is>
          <t>코스닥</t>
        </is>
      </c>
      <c r="D4170" s="2" t="inlineStr">
        <is>
          <t>194480</t>
        </is>
      </c>
      <c r="E4170" s="3" t="inlineStr">
        <is>
          <t xml:space="preserve">기업설명회(IR)개최              </t>
        </is>
      </c>
      <c r="F4170" s="3" t="inlineStr">
        <is>
          <t>데브시스터즈</t>
        </is>
      </c>
      <c r="G4170" s="2" t="inlineStr">
        <is>
          <t>20260311902191</t>
        </is>
      </c>
      <c r="H4170" s="8">
        <f>HYPERLINK("https://dart.fss.or.kr/dsaf001/main.do?rcpNo=20260311902191", "공시열람")</f>
        <v/>
      </c>
    </row>
    <row r="4171">
      <c r="A4171" s="2" t="inlineStr">
        <is>
          <t>2026-03-11 (정정: 2026-03-12)</t>
        </is>
      </c>
      <c r="B4171" s="3" t="inlineStr">
        <is>
          <t>현대모비스</t>
        </is>
      </c>
      <c r="C4171" s="2" t="inlineStr">
        <is>
          <t>코스피</t>
        </is>
      </c>
      <c r="D4171" s="2" t="inlineStr">
        <is>
          <t>012330</t>
        </is>
      </c>
      <c r="E4171" s="3" t="inlineStr">
        <is>
          <t>의결권대리행사권유참고서류 (정정: 20260312)</t>
        </is>
      </c>
      <c r="F4171" s="3" t="inlineStr">
        <is>
          <t>컨두잇</t>
        </is>
      </c>
      <c r="G4171" s="2" t="inlineStr">
        <is>
          <t>20260312000947</t>
        </is>
      </c>
      <c r="H4171" s="8">
        <f>HYPERLINK("https://dart.fss.or.kr/dsaf001/main.do?rcpNo=20260312000947", "공시열람")</f>
        <v/>
      </c>
    </row>
    <row r="4172">
      <c r="A4172" s="2" t="inlineStr">
        <is>
          <t>2026-03-11 (정정: 2026-03-11)</t>
        </is>
      </c>
      <c r="B4172" s="3" t="inlineStr">
        <is>
          <t>휴맥스홀딩스</t>
        </is>
      </c>
      <c r="C4172" s="2" t="inlineStr">
        <is>
          <t>코스닥</t>
        </is>
      </c>
      <c r="D4172" s="2" t="inlineStr">
        <is>
          <t>028080</t>
        </is>
      </c>
      <c r="E4172" s="3" t="inlineStr">
        <is>
          <t>의결권대리행사권유참고서류 (정정: 20260311)</t>
        </is>
      </c>
      <c r="F4172" s="3" t="inlineStr">
        <is>
          <t>휴맥스홀딩스</t>
        </is>
      </c>
      <c r="G4172" s="2" t="inlineStr">
        <is>
          <t>20260311902005</t>
        </is>
      </c>
      <c r="H4172" s="8">
        <f>HYPERLINK("https://dart.fss.or.kr/dsaf001/main.do?rcpNo=20260311902005", "공시열람")</f>
        <v/>
      </c>
    </row>
    <row r="4173">
      <c r="A4173" s="2" t="inlineStr">
        <is>
          <t>2026-03-11</t>
        </is>
      </c>
      <c r="B4173" s="3" t="inlineStr">
        <is>
          <t>미래컴퍼니</t>
        </is>
      </c>
      <c r="C4173" s="2" t="inlineStr">
        <is>
          <t>코스닥</t>
        </is>
      </c>
      <c r="D4173" s="2" t="inlineStr">
        <is>
          <t>049950</t>
        </is>
      </c>
      <c r="E4173" s="3" t="inlineStr">
        <is>
          <t>의결권대리행사권유참고서류</t>
        </is>
      </c>
      <c r="F4173" s="3" t="inlineStr">
        <is>
          <t>미래컴퍼니</t>
        </is>
      </c>
      <c r="G4173" s="2" t="inlineStr">
        <is>
          <t>20260311004397</t>
        </is>
      </c>
      <c r="H4173" s="8">
        <f>HYPERLINK("https://dart.fss.or.kr/dsaf001/main.do?rcpNo=20260311004397", "공시열람")</f>
        <v/>
      </c>
    </row>
    <row r="4174">
      <c r="A4174" s="2" t="inlineStr">
        <is>
          <t>2026-03-11</t>
        </is>
      </c>
      <c r="B4174" s="3" t="inlineStr">
        <is>
          <t>아이티센엔텍</t>
        </is>
      </c>
      <c r="C4174" s="2" t="inlineStr">
        <is>
          <t>코스닥</t>
        </is>
      </c>
      <c r="D4174" s="2" t="inlineStr">
        <is>
          <t>010280</t>
        </is>
      </c>
      <c r="E4174" s="3" t="inlineStr">
        <is>
          <t>의결권대리행사권유참고서류</t>
        </is>
      </c>
      <c r="F4174" s="3" t="inlineStr">
        <is>
          <t>아이티센엔텍</t>
        </is>
      </c>
      <c r="G4174" s="2" t="inlineStr">
        <is>
          <t>20260311004394</t>
        </is>
      </c>
      <c r="H4174" s="8">
        <f>HYPERLINK("https://dart.fss.or.kr/dsaf001/main.do?rcpNo=20260311004394", "공시열람")</f>
        <v/>
      </c>
    </row>
    <row r="4175">
      <c r="A4175" s="2" t="inlineStr">
        <is>
          <t>2026-03-11 (정정: 2026-03-23)</t>
        </is>
      </c>
      <c r="B4175" s="3" t="inlineStr">
        <is>
          <t>도이치모터스</t>
        </is>
      </c>
      <c r="C4175" s="2" t="inlineStr">
        <is>
          <t>코스닥</t>
        </is>
      </c>
      <c r="D4175" s="2" t="inlineStr">
        <is>
          <t>067990</t>
        </is>
      </c>
      <c r="E4175" s="3" t="inlineStr">
        <is>
          <t>의결권대리행사권유참고서류 (정정: 20260323)</t>
        </is>
      </c>
      <c r="F4175" s="3" t="inlineStr">
        <is>
          <t>도이치모터스</t>
        </is>
      </c>
      <c r="G4175" s="2" t="inlineStr">
        <is>
          <t>20260323000008</t>
        </is>
      </c>
      <c r="H4175" s="8">
        <f>HYPERLINK("https://dart.fss.or.kr/dsaf001/main.do?rcpNo=20260323000008", "공시열람")</f>
        <v/>
      </c>
    </row>
    <row r="4176">
      <c r="A4176" s="2" t="inlineStr">
        <is>
          <t>2026-03-11</t>
        </is>
      </c>
      <c r="B4176" s="3" t="inlineStr">
        <is>
          <t>서연</t>
        </is>
      </c>
      <c r="C4176" s="2" t="inlineStr">
        <is>
          <t>코스피</t>
        </is>
      </c>
      <c r="D4176" s="2" t="inlineStr">
        <is>
          <t>007860</t>
        </is>
      </c>
      <c r="E4176" s="3" t="inlineStr">
        <is>
          <t xml:space="preserve">현금ㆍ현물배당결정              </t>
        </is>
      </c>
      <c r="F4176" s="3" t="inlineStr">
        <is>
          <t>서연</t>
        </is>
      </c>
      <c r="G4176" s="2" t="inlineStr">
        <is>
          <t>20260311802173</t>
        </is>
      </c>
      <c r="H4176" s="8">
        <f>HYPERLINK("https://dart.fss.or.kr/dsaf001/main.do?rcpNo=20260311802173", "공시열람")</f>
        <v/>
      </c>
    </row>
    <row r="4177">
      <c r="A4177" s="2" t="inlineStr">
        <is>
          <t>2026-03-11</t>
        </is>
      </c>
      <c r="B4177" s="3" t="inlineStr">
        <is>
          <t>폴라리스세원</t>
        </is>
      </c>
      <c r="C4177" s="2" t="inlineStr">
        <is>
          <t>코스닥</t>
        </is>
      </c>
      <c r="D4177" s="2" t="inlineStr">
        <is>
          <t>234100</t>
        </is>
      </c>
      <c r="E4177" s="3" t="inlineStr">
        <is>
          <t xml:space="preserve">매출액또는손익구조30%(대규모법인은15%)이상변동              </t>
        </is>
      </c>
      <c r="F4177" s="3" t="inlineStr">
        <is>
          <t>폴라리스세원</t>
        </is>
      </c>
      <c r="G4177" s="2" t="inlineStr">
        <is>
          <t>20260311902014</t>
        </is>
      </c>
      <c r="H4177" s="8">
        <f>HYPERLINK("https://dart.fss.or.kr/dsaf001/main.do?rcpNo=20260311902014", "공시열람")</f>
        <v/>
      </c>
    </row>
    <row r="4178">
      <c r="A4178" s="2" t="inlineStr">
        <is>
          <t>2026-03-11</t>
        </is>
      </c>
      <c r="B4178" s="3" t="inlineStr">
        <is>
          <t>두산퓨얼셀</t>
        </is>
      </c>
      <c r="C4178" s="2" t="inlineStr">
        <is>
          <t>코스피</t>
        </is>
      </c>
      <c r="D4178" s="2" t="inlineStr">
        <is>
          <t>336260</t>
        </is>
      </c>
      <c r="E4178" s="3" t="inlineStr">
        <is>
          <t>의결권대리행사권유참고서류</t>
        </is>
      </c>
      <c r="F4178" s="3" t="inlineStr">
        <is>
          <t>두산퓨얼셀</t>
        </is>
      </c>
      <c r="G4178" s="2" t="inlineStr">
        <is>
          <t>20260311004390</t>
        </is>
      </c>
      <c r="H4178" s="8">
        <f>HYPERLINK("https://dart.fss.or.kr/dsaf001/main.do?rcpNo=20260311004390", "공시열람")</f>
        <v/>
      </c>
    </row>
    <row r="4179">
      <c r="A4179" s="2" t="inlineStr">
        <is>
          <t>2026-03-11</t>
        </is>
      </c>
      <c r="B4179" s="3" t="inlineStr">
        <is>
          <t>뉴인텍</t>
        </is>
      </c>
      <c r="C4179" s="2" t="inlineStr">
        <is>
          <t>코스닥</t>
        </is>
      </c>
      <c r="D4179" s="2" t="inlineStr">
        <is>
          <t>012340</t>
        </is>
      </c>
      <c r="E4179" s="3" t="inlineStr">
        <is>
          <t>주권매매거래정지              (자본감소)</t>
        </is>
      </c>
      <c r="F4179" s="3" t="inlineStr">
        <is>
          <t>코스닥시장본부</t>
        </is>
      </c>
      <c r="G4179" s="2" t="inlineStr">
        <is>
          <t>20260311902101</t>
        </is>
      </c>
      <c r="H4179" s="8">
        <f>HYPERLINK("https://dart.fss.or.kr/dsaf001/main.do?rcpNo=20260311902101", "공시열람")</f>
        <v/>
      </c>
    </row>
    <row r="4180">
      <c r="A4180" s="2" t="inlineStr">
        <is>
          <t>2026-03-11</t>
        </is>
      </c>
      <c r="B4180" s="3" t="inlineStr">
        <is>
          <t>미래에셋생명</t>
        </is>
      </c>
      <c r="C4180" s="2" t="inlineStr">
        <is>
          <t>코스피</t>
        </is>
      </c>
      <c r="D4180" s="2" t="inlineStr">
        <is>
          <t>085620</t>
        </is>
      </c>
      <c r="E4180" s="3" t="inlineStr">
        <is>
          <t>자기주식처분결과보고서</t>
        </is>
      </c>
      <c r="F4180" s="3" t="inlineStr">
        <is>
          <t>미래에셋생명</t>
        </is>
      </c>
      <c r="G4180" s="2" t="inlineStr">
        <is>
          <t>20260311004389</t>
        </is>
      </c>
      <c r="H4180" s="8">
        <f>HYPERLINK("https://dart.fss.or.kr/dsaf001/main.do?rcpNo=20260311004389", "공시열람")</f>
        <v/>
      </c>
    </row>
    <row r="4181">
      <c r="A4181" s="2" t="inlineStr">
        <is>
          <t>2026-03-11</t>
        </is>
      </c>
      <c r="B4181" s="3" t="inlineStr">
        <is>
          <t>태영건설</t>
        </is>
      </c>
      <c r="C4181" s="2" t="inlineStr">
        <is>
          <t>코스피</t>
        </is>
      </c>
      <c r="D4181" s="2" t="inlineStr">
        <is>
          <t>009410</t>
        </is>
      </c>
      <c r="E4181" s="3" t="inlineStr">
        <is>
          <t>의결권대리행사권유참고서류</t>
        </is>
      </c>
      <c r="F4181" s="3" t="inlineStr">
        <is>
          <t>태영건설</t>
        </is>
      </c>
      <c r="G4181" s="2" t="inlineStr">
        <is>
          <t>20260311004388</t>
        </is>
      </c>
      <c r="H4181" s="8">
        <f>HYPERLINK("https://dart.fss.or.kr/dsaf001/main.do?rcpNo=20260311004388", "공시열람")</f>
        <v/>
      </c>
    </row>
    <row r="4182">
      <c r="A4182" s="2" t="inlineStr">
        <is>
          <t>2026-03-11</t>
        </is>
      </c>
      <c r="B4182" s="3" t="inlineStr">
        <is>
          <t>뉴인텍</t>
        </is>
      </c>
      <c r="C4182" s="2" t="inlineStr">
        <is>
          <t>코스닥</t>
        </is>
      </c>
      <c r="D4182" s="2" t="inlineStr">
        <is>
          <t>012340</t>
        </is>
      </c>
      <c r="E4182" s="3" t="inlineStr">
        <is>
          <t>주요사항보고서(감자결정)</t>
        </is>
      </c>
      <c r="F4182" s="3" t="inlineStr">
        <is>
          <t>뉴인텍</t>
        </is>
      </c>
      <c r="G4182" s="2" t="inlineStr">
        <is>
          <t>20260311004354</t>
        </is>
      </c>
      <c r="H4182" s="8">
        <f>HYPERLINK("https://dart.fss.or.kr/dsaf001/main.do?rcpNo=20260311004354", "공시열람")</f>
        <v/>
      </c>
    </row>
    <row r="4183">
      <c r="A4183" s="2" t="inlineStr">
        <is>
          <t>2026-03-11</t>
        </is>
      </c>
      <c r="B4183" s="3" t="inlineStr">
        <is>
          <t>신한제16호스팩</t>
        </is>
      </c>
      <c r="C4183" s="2" t="inlineStr">
        <is>
          <t>코스닥</t>
        </is>
      </c>
      <c r="D4183" s="2" t="inlineStr">
        <is>
          <t>496070</t>
        </is>
      </c>
      <c r="E4183" s="3" t="inlineStr">
        <is>
          <t xml:space="preserve">감사보고서제출              </t>
        </is>
      </c>
      <c r="F4183" s="3" t="inlineStr">
        <is>
          <t>신한제16호스팩</t>
        </is>
      </c>
      <c r="G4183" s="2" t="inlineStr">
        <is>
          <t>20260311901910</t>
        </is>
      </c>
      <c r="H4183" s="8">
        <f>HYPERLINK("https://dart.fss.or.kr/dsaf001/main.do?rcpNo=20260311901910", "공시열람")</f>
        <v/>
      </c>
    </row>
    <row r="4184">
      <c r="A4184" s="2" t="inlineStr">
        <is>
          <t>2026-03-11</t>
        </is>
      </c>
      <c r="B4184" s="3" t="inlineStr">
        <is>
          <t>헥토이노베이션</t>
        </is>
      </c>
      <c r="C4184" s="2" t="inlineStr">
        <is>
          <t>코스닥</t>
        </is>
      </c>
      <c r="D4184" s="2" t="inlineStr">
        <is>
          <t>214180</t>
        </is>
      </c>
      <c r="E4184" s="3" t="inlineStr">
        <is>
          <t>[첨부정정]의결권대리행사권유참고서류</t>
        </is>
      </c>
      <c r="F4184" s="3" t="inlineStr">
        <is>
          <t>헥토이노베이션</t>
        </is>
      </c>
      <c r="G4184" s="2" t="inlineStr">
        <is>
          <t>20260311004385</t>
        </is>
      </c>
      <c r="H4184" s="8">
        <f>HYPERLINK("https://dart.fss.or.kr/dsaf001/main.do?rcpNo=20260311004385", "공시열람")</f>
        <v/>
      </c>
    </row>
    <row r="4185">
      <c r="A4185" s="2" t="inlineStr">
        <is>
          <t>2026-03-11</t>
        </is>
      </c>
      <c r="B4185" s="3" t="inlineStr">
        <is>
          <t>쇼박스</t>
        </is>
      </c>
      <c r="C4185" s="2" t="inlineStr">
        <is>
          <t>코스닥</t>
        </is>
      </c>
      <c r="D4185" s="2" t="inlineStr">
        <is>
          <t>086980</t>
        </is>
      </c>
      <c r="E4185" s="3" t="inlineStr">
        <is>
          <t>의결권대리행사권유참고서류</t>
        </is>
      </c>
      <c r="F4185" s="3" t="inlineStr">
        <is>
          <t>쇼박스</t>
        </is>
      </c>
      <c r="G4185" s="2" t="inlineStr">
        <is>
          <t>20260311004384</t>
        </is>
      </c>
      <c r="H4185" s="8">
        <f>HYPERLINK("https://dart.fss.or.kr/dsaf001/main.do?rcpNo=20260311004384", "공시열람")</f>
        <v/>
      </c>
    </row>
    <row r="4186">
      <c r="A4186" s="2" t="inlineStr">
        <is>
          <t>2026-03-11</t>
        </is>
      </c>
      <c r="B4186" s="3" t="inlineStr">
        <is>
          <t>부국증권</t>
        </is>
      </c>
      <c r="C4186" s="2" t="inlineStr">
        <is>
          <t>코스피</t>
        </is>
      </c>
      <c r="D4186" s="2" t="inlineStr">
        <is>
          <t>001270</t>
        </is>
      </c>
      <c r="E4186" s="3" t="inlineStr">
        <is>
          <t xml:space="preserve">현금ㆍ현물배당을위한주주명부폐쇄(기준일)결정              </t>
        </is>
      </c>
      <c r="F4186" s="3" t="inlineStr">
        <is>
          <t>부국증권</t>
        </is>
      </c>
      <c r="G4186" s="2" t="inlineStr">
        <is>
          <t>20260311802148</t>
        </is>
      </c>
      <c r="H4186" s="8">
        <f>HYPERLINK("https://dart.fss.or.kr/dsaf001/main.do?rcpNo=20260311802148", "공시열람")</f>
        <v/>
      </c>
    </row>
    <row r="4187">
      <c r="A4187" s="2" t="inlineStr">
        <is>
          <t>2026-03-11</t>
        </is>
      </c>
      <c r="B4187" s="3" t="inlineStr">
        <is>
          <t>누리플랜</t>
        </is>
      </c>
      <c r="C4187" s="2" t="inlineStr">
        <is>
          <t>코스닥</t>
        </is>
      </c>
      <c r="D4187" s="2" t="inlineStr">
        <is>
          <t>069140</t>
        </is>
      </c>
      <c r="E4187" s="3" t="inlineStr">
        <is>
          <t>의결권대리행사권유참고서류</t>
        </is>
      </c>
      <c r="F4187" s="3" t="inlineStr">
        <is>
          <t>누리플랜</t>
        </is>
      </c>
      <c r="G4187" s="2" t="inlineStr">
        <is>
          <t>20260311004382</t>
        </is>
      </c>
      <c r="H4187" s="8">
        <f>HYPERLINK("https://dart.fss.or.kr/dsaf001/main.do?rcpNo=20260311004382", "공시열람")</f>
        <v/>
      </c>
    </row>
    <row r="4188">
      <c r="A4188" s="2" t="inlineStr">
        <is>
          <t>2026-03-11</t>
        </is>
      </c>
      <c r="B4188" s="3" t="inlineStr">
        <is>
          <t>다우기술</t>
        </is>
      </c>
      <c r="C4188" s="2" t="inlineStr">
        <is>
          <t>코스피</t>
        </is>
      </c>
      <c r="D4188" s="2" t="inlineStr">
        <is>
          <t>023590</t>
        </is>
      </c>
      <c r="E4188" s="3" t="inlineStr">
        <is>
          <t>의결권대리행사권유참고서류</t>
        </is>
      </c>
      <c r="F4188" s="3" t="inlineStr">
        <is>
          <t>다우기술</t>
        </is>
      </c>
      <c r="G4188" s="2" t="inlineStr">
        <is>
          <t>20260311004379</t>
        </is>
      </c>
      <c r="H4188" s="8">
        <f>HYPERLINK("https://dart.fss.or.kr/dsaf001/main.do?rcpNo=20260311004379", "공시열람")</f>
        <v/>
      </c>
    </row>
    <row r="4189">
      <c r="A4189" s="2" t="inlineStr">
        <is>
          <t>2026-03-11</t>
        </is>
      </c>
      <c r="B4189" s="3" t="inlineStr">
        <is>
          <t>POSCO홀딩스</t>
        </is>
      </c>
      <c r="C4189" s="2" t="inlineStr">
        <is>
          <t>코스피</t>
        </is>
      </c>
      <c r="D4189" s="2" t="inlineStr">
        <is>
          <t>005490</t>
        </is>
      </c>
      <c r="E4189" s="3" t="inlineStr">
        <is>
          <t xml:space="preserve">감사보고서제출(자회사의 주요경영사항)              </t>
        </is>
      </c>
      <c r="F4189" s="3" t="inlineStr">
        <is>
          <t>POSCO홀딩스</t>
        </is>
      </c>
      <c r="G4189" s="2" t="inlineStr">
        <is>
          <t>20260311801993</t>
        </is>
      </c>
      <c r="H4189" s="8">
        <f>HYPERLINK("https://dart.fss.or.kr/dsaf001/main.do?rcpNo=20260311801993", "공시열람")</f>
        <v/>
      </c>
    </row>
    <row r="4190">
      <c r="A4190" s="2" t="inlineStr">
        <is>
          <t>2026-03-11</t>
        </is>
      </c>
      <c r="B4190" s="3" t="inlineStr">
        <is>
          <t>성창기업지주</t>
        </is>
      </c>
      <c r="C4190" s="2" t="inlineStr">
        <is>
          <t>코스피</t>
        </is>
      </c>
      <c r="D4190" s="2" t="inlineStr">
        <is>
          <t>000180</t>
        </is>
      </c>
      <c r="E4190" s="3" t="inlineStr">
        <is>
          <t>의결권대리행사권유참고서류</t>
        </is>
      </c>
      <c r="F4190" s="3" t="inlineStr">
        <is>
          <t>성창기업지주</t>
        </is>
      </c>
      <c r="G4190" s="2" t="inlineStr">
        <is>
          <t>20260311004375</t>
        </is>
      </c>
      <c r="H4190" s="8">
        <f>HYPERLINK("https://dart.fss.or.kr/dsaf001/main.do?rcpNo=20260311004375", "공시열람")</f>
        <v/>
      </c>
    </row>
    <row r="4191">
      <c r="A4191" s="2" t="inlineStr">
        <is>
          <t>2026-03-11</t>
        </is>
      </c>
      <c r="B4191" s="3" t="inlineStr">
        <is>
          <t>덕산네오룩스</t>
        </is>
      </c>
      <c r="C4191" s="2" t="inlineStr">
        <is>
          <t>코스닥</t>
        </is>
      </c>
      <c r="D4191" s="2" t="inlineStr">
        <is>
          <t>213420</t>
        </is>
      </c>
      <c r="E4191" s="3" t="inlineStr">
        <is>
          <t>의결권대리행사권유참고서류</t>
        </is>
      </c>
      <c r="F4191" s="3" t="inlineStr">
        <is>
          <t>덕산네오룩스</t>
        </is>
      </c>
      <c r="G4191" s="2" t="inlineStr">
        <is>
          <t>20260311004374</t>
        </is>
      </c>
      <c r="H4191" s="8">
        <f>HYPERLINK("https://dart.fss.or.kr/dsaf001/main.do?rcpNo=20260311004374", "공시열람")</f>
        <v/>
      </c>
    </row>
    <row r="4192">
      <c r="A4192" s="2" t="inlineStr">
        <is>
          <t>2026-03-11</t>
        </is>
      </c>
      <c r="B4192" s="3" t="inlineStr">
        <is>
          <t>캐스텍코리아</t>
        </is>
      </c>
      <c r="C4192" s="2" t="inlineStr">
        <is>
          <t>코스닥</t>
        </is>
      </c>
      <c r="D4192" s="2" t="inlineStr">
        <is>
          <t>071850</t>
        </is>
      </c>
      <c r="E4192" s="3" t="inlineStr">
        <is>
          <t xml:space="preserve">대표이사변경              </t>
        </is>
      </c>
      <c r="F4192" s="3" t="inlineStr">
        <is>
          <t>캐스텍코리아</t>
        </is>
      </c>
      <c r="G4192" s="2" t="inlineStr">
        <is>
          <t>20260311901989</t>
        </is>
      </c>
      <c r="H4192" s="8">
        <f>HYPERLINK("https://dart.fss.or.kr/dsaf001/main.do?rcpNo=20260311901989", "공시열람")</f>
        <v/>
      </c>
    </row>
    <row r="4193">
      <c r="A4193" s="2" t="inlineStr">
        <is>
          <t>2026-03-11</t>
        </is>
      </c>
      <c r="B4193" s="3" t="inlineStr">
        <is>
          <t>롯데이노베이트</t>
        </is>
      </c>
      <c r="C4193" s="2" t="inlineStr">
        <is>
          <t>코스피</t>
        </is>
      </c>
      <c r="D4193" s="2" t="inlineStr">
        <is>
          <t>286940</t>
        </is>
      </c>
      <c r="E4193" s="3" t="inlineStr">
        <is>
          <t xml:space="preserve">감사보고서제출              </t>
        </is>
      </c>
      <c r="F4193" s="3" t="inlineStr">
        <is>
          <t>롯데이노베이트</t>
        </is>
      </c>
      <c r="G4193" s="2" t="inlineStr">
        <is>
          <t>20260311801886</t>
        </is>
      </c>
      <c r="H4193" s="8">
        <f>HYPERLINK("https://dart.fss.or.kr/dsaf001/main.do?rcpNo=20260311801886", "공시열람")</f>
        <v/>
      </c>
    </row>
    <row r="4194">
      <c r="A4194" s="2" t="inlineStr">
        <is>
          <t>2026-03-11</t>
        </is>
      </c>
      <c r="B4194" s="3" t="inlineStr">
        <is>
          <t>네오크레마</t>
        </is>
      </c>
      <c r="C4194" s="2" t="inlineStr">
        <is>
          <t>코스닥</t>
        </is>
      </c>
      <c r="D4194" s="2" t="inlineStr">
        <is>
          <t>311390</t>
        </is>
      </c>
      <c r="E4194" s="3" t="inlineStr">
        <is>
          <t xml:space="preserve">현금ㆍ현물배당결정              </t>
        </is>
      </c>
      <c r="F4194" s="3" t="inlineStr">
        <is>
          <t>네오크레마</t>
        </is>
      </c>
      <c r="G4194" s="2" t="inlineStr">
        <is>
          <t>20260311901891</t>
        </is>
      </c>
      <c r="H4194" s="8">
        <f>HYPERLINK("https://dart.fss.or.kr/dsaf001/main.do?rcpNo=20260311901891", "공시열람")</f>
        <v/>
      </c>
    </row>
    <row r="4195">
      <c r="A4195" s="2" t="inlineStr">
        <is>
          <t>2026-03-11</t>
        </is>
      </c>
      <c r="B4195" s="3" t="inlineStr">
        <is>
          <t>TCC스틸</t>
        </is>
      </c>
      <c r="C4195" s="2" t="inlineStr">
        <is>
          <t>코스피</t>
        </is>
      </c>
      <c r="D4195" s="2" t="inlineStr">
        <is>
          <t>002710</t>
        </is>
      </c>
      <c r="E4195" s="3" t="inlineStr">
        <is>
          <t xml:space="preserve">감사보고서제출              </t>
        </is>
      </c>
      <c r="F4195" s="3" t="inlineStr">
        <is>
          <t>TCC스틸</t>
        </is>
      </c>
      <c r="G4195" s="2" t="inlineStr">
        <is>
          <t>20260311801963</t>
        </is>
      </c>
      <c r="H4195" s="8">
        <f>HYPERLINK("https://dart.fss.or.kr/dsaf001/main.do?rcpNo=20260311801963", "공시열람")</f>
        <v/>
      </c>
    </row>
    <row r="4196">
      <c r="A4196" s="2" t="inlineStr">
        <is>
          <t>2026-03-11</t>
        </is>
      </c>
      <c r="B4196" s="3" t="inlineStr">
        <is>
          <t>센서뷰</t>
        </is>
      </c>
      <c r="C4196" s="2" t="inlineStr">
        <is>
          <t>코스닥</t>
        </is>
      </c>
      <c r="D4196" s="2" t="inlineStr">
        <is>
          <t>321370</t>
        </is>
      </c>
      <c r="E4196" s="3" t="inlineStr">
        <is>
          <t xml:space="preserve">감사보고서제출              </t>
        </is>
      </c>
      <c r="F4196" s="3" t="inlineStr">
        <is>
          <t>센서뷰</t>
        </is>
      </c>
      <c r="G4196" s="2" t="inlineStr">
        <is>
          <t>20260311901895</t>
        </is>
      </c>
      <c r="H4196" s="8">
        <f>HYPERLINK("https://dart.fss.or.kr/dsaf001/main.do?rcpNo=20260311901895", "공시열람")</f>
        <v/>
      </c>
    </row>
    <row r="4197">
      <c r="A4197" s="2" t="inlineStr">
        <is>
          <t>2026-03-11</t>
        </is>
      </c>
      <c r="B4197" s="3" t="inlineStr">
        <is>
          <t>부국증권</t>
        </is>
      </c>
      <c r="C4197" s="2" t="inlineStr">
        <is>
          <t>코스피</t>
        </is>
      </c>
      <c r="D4197" s="2" t="inlineStr">
        <is>
          <t>001270</t>
        </is>
      </c>
      <c r="E4197" s="3" t="inlineStr">
        <is>
          <t xml:space="preserve">현금ㆍ현물배당결정              </t>
        </is>
      </c>
      <c r="F4197" s="3" t="inlineStr">
        <is>
          <t>부국증권</t>
        </is>
      </c>
      <c r="G4197" s="2" t="inlineStr">
        <is>
          <t>20260311802112</t>
        </is>
      </c>
      <c r="H4197" s="8">
        <f>HYPERLINK("https://dart.fss.or.kr/dsaf001/main.do?rcpNo=20260311802112", "공시열람")</f>
        <v/>
      </c>
    </row>
    <row r="4198">
      <c r="A4198" s="2" t="inlineStr">
        <is>
          <t>2026-03-11</t>
        </is>
      </c>
      <c r="B4198" s="3" t="inlineStr">
        <is>
          <t>에이텍모빌리티</t>
        </is>
      </c>
      <c r="C4198" s="2" t="inlineStr">
        <is>
          <t>코스닥</t>
        </is>
      </c>
      <c r="D4198" s="2" t="inlineStr">
        <is>
          <t>224110</t>
        </is>
      </c>
      <c r="E4198" s="3" t="inlineStr">
        <is>
          <t>의결권대리행사권유참고서류</t>
        </is>
      </c>
      <c r="F4198" s="3" t="inlineStr">
        <is>
          <t>에이텍모빌리티</t>
        </is>
      </c>
      <c r="G4198" s="2" t="inlineStr">
        <is>
          <t>20260311004370</t>
        </is>
      </c>
      <c r="H4198" s="8">
        <f>HYPERLINK("https://dart.fss.or.kr/dsaf001/main.do?rcpNo=20260311004370", "공시열람")</f>
        <v/>
      </c>
    </row>
    <row r="4199">
      <c r="A4199" s="2" t="inlineStr">
        <is>
          <t>2026-03-11</t>
        </is>
      </c>
      <c r="B4199" s="3" t="inlineStr">
        <is>
          <t>한화오션</t>
        </is>
      </c>
      <c r="C4199" s="2" t="inlineStr">
        <is>
          <t>코스피</t>
        </is>
      </c>
      <c r="D4199" s="2" t="inlineStr">
        <is>
          <t>042660</t>
        </is>
      </c>
      <c r="E4199" s="3" t="inlineStr">
        <is>
          <t xml:space="preserve">감사보고서제출              </t>
        </is>
      </c>
      <c r="F4199" s="3" t="inlineStr">
        <is>
          <t>한화오션</t>
        </is>
      </c>
      <c r="G4199" s="2" t="inlineStr">
        <is>
          <t>20260311801958</t>
        </is>
      </c>
      <c r="H4199" s="8">
        <f>HYPERLINK("https://dart.fss.or.kr/dsaf001/main.do?rcpNo=20260311801958", "공시열람")</f>
        <v/>
      </c>
    </row>
    <row r="4200">
      <c r="A4200" s="2" t="inlineStr">
        <is>
          <t>2026-03-11</t>
        </is>
      </c>
      <c r="B4200" s="3" t="inlineStr">
        <is>
          <t>효성화학</t>
        </is>
      </c>
      <c r="C4200" s="2" t="inlineStr">
        <is>
          <t>코스피</t>
        </is>
      </c>
      <c r="D4200" s="2" t="inlineStr">
        <is>
          <t>298000</t>
        </is>
      </c>
      <c r="E4200" s="3" t="inlineStr">
        <is>
          <t xml:space="preserve">감사보고서제출              </t>
        </is>
      </c>
      <c r="F4200" s="3" t="inlineStr">
        <is>
          <t>효성화학</t>
        </is>
      </c>
      <c r="G4200" s="2" t="inlineStr">
        <is>
          <t>20260311801874</t>
        </is>
      </c>
      <c r="H4200" s="8">
        <f>HYPERLINK("https://dart.fss.or.kr/dsaf001/main.do?rcpNo=20260311801874", "공시열람")</f>
        <v/>
      </c>
    </row>
    <row r="4201">
      <c r="A4201" s="2" t="inlineStr">
        <is>
          <t>2026-03-11</t>
        </is>
      </c>
      <c r="B4201" s="3" t="inlineStr">
        <is>
          <t>탑코미디어</t>
        </is>
      </c>
      <c r="C4201" s="2" t="inlineStr">
        <is>
          <t>코스닥</t>
        </is>
      </c>
      <c r="D4201" s="2" t="inlineStr">
        <is>
          <t>134580</t>
        </is>
      </c>
      <c r="E4201" s="3" t="inlineStr">
        <is>
          <t xml:space="preserve">매출액또는손익구조30%(대규모법인은15%)이상변동              </t>
        </is>
      </c>
      <c r="F4201" s="3" t="inlineStr">
        <is>
          <t>탑코미디어</t>
        </is>
      </c>
      <c r="G4201" s="2" t="inlineStr">
        <is>
          <t>20260311901718</t>
        </is>
      </c>
      <c r="H4201" s="8">
        <f>HYPERLINK("https://dart.fss.or.kr/dsaf001/main.do?rcpNo=20260311901718", "공시열람")</f>
        <v/>
      </c>
    </row>
    <row r="4202">
      <c r="A4202" s="2" t="inlineStr">
        <is>
          <t>2026-03-11</t>
        </is>
      </c>
      <c r="B4202" s="3" t="inlineStr">
        <is>
          <t>큐리언트</t>
        </is>
      </c>
      <c r="C4202" s="2" t="inlineStr">
        <is>
          <t>코스닥</t>
        </is>
      </c>
      <c r="D4202" s="2" t="inlineStr">
        <is>
          <t>115180</t>
        </is>
      </c>
      <c r="E4202" s="3" t="inlineStr">
        <is>
          <t>의결권대리행사권유참고서류</t>
        </is>
      </c>
      <c r="F4202" s="3" t="inlineStr">
        <is>
          <t>큐리언트</t>
        </is>
      </c>
      <c r="G4202" s="2" t="inlineStr">
        <is>
          <t>20260311004369</t>
        </is>
      </c>
      <c r="H4202" s="8">
        <f>HYPERLINK("https://dart.fss.or.kr/dsaf001/main.do?rcpNo=20260311004369", "공시열람")</f>
        <v/>
      </c>
    </row>
    <row r="4203">
      <c r="A4203" s="2" t="inlineStr">
        <is>
          <t>2026-03-11</t>
        </is>
      </c>
      <c r="B4203" s="3" t="inlineStr">
        <is>
          <t>코스맥스비티아이</t>
        </is>
      </c>
      <c r="C4203" s="2" t="inlineStr">
        <is>
          <t>코스피</t>
        </is>
      </c>
      <c r="D4203" s="2" t="inlineStr">
        <is>
          <t>044820</t>
        </is>
      </c>
      <c r="E4203" s="3" t="inlineStr">
        <is>
          <t>의결권대리행사권유참고서류</t>
        </is>
      </c>
      <c r="F4203" s="3" t="inlineStr">
        <is>
          <t>코스맥스비티아이</t>
        </is>
      </c>
      <c r="G4203" s="2" t="inlineStr">
        <is>
          <t>20260311004364</t>
        </is>
      </c>
      <c r="H4203" s="8">
        <f>HYPERLINK("https://dart.fss.or.kr/dsaf001/main.do?rcpNo=20260311004364", "공시열람")</f>
        <v/>
      </c>
    </row>
    <row r="4204">
      <c r="A4204" s="2" t="inlineStr">
        <is>
          <t>2026-03-11</t>
        </is>
      </c>
      <c r="B4204" s="3" t="inlineStr">
        <is>
          <t>NH투자증권</t>
        </is>
      </c>
      <c r="C4204" s="2" t="inlineStr">
        <is>
          <t>코스피</t>
        </is>
      </c>
      <c r="D4204" s="2" t="inlineStr">
        <is>
          <t>005940</t>
        </is>
      </c>
      <c r="E4204" s="3" t="inlineStr">
        <is>
          <t xml:space="preserve">현금ㆍ현물배당결정              </t>
        </is>
      </c>
      <c r="F4204" s="3" t="inlineStr">
        <is>
          <t>NH투자증권</t>
        </is>
      </c>
      <c r="G4204" s="2" t="inlineStr">
        <is>
          <t>20260311802079</t>
        </is>
      </c>
      <c r="H4204" s="8">
        <f>HYPERLINK("https://dart.fss.or.kr/dsaf001/main.do?rcpNo=20260311802079", "공시열람")</f>
        <v/>
      </c>
    </row>
    <row r="4205">
      <c r="A4205" s="2" t="inlineStr">
        <is>
          <t>2026-03-11 (정정: 2026-05-26)</t>
        </is>
      </c>
      <c r="B4205" s="3" t="inlineStr">
        <is>
          <t>POSCO홀딩스</t>
        </is>
      </c>
      <c r="C4205" s="2" t="inlineStr">
        <is>
          <t>코스피</t>
        </is>
      </c>
      <c r="D4205" s="2" t="inlineStr">
        <is>
          <t>005490</t>
        </is>
      </c>
      <c r="E4205" s="3" t="inlineStr">
        <is>
          <t>감사보고서제출               (정정: 20260526)</t>
        </is>
      </c>
      <c r="F4205" s="3" t="inlineStr">
        <is>
          <t>POSCO홀딩스</t>
        </is>
      </c>
      <c r="G4205" s="2" t="inlineStr">
        <is>
          <t>20260526000280</t>
        </is>
      </c>
      <c r="H4205" s="8">
        <f>HYPERLINK("https://dart.fss.or.kr/dsaf001/main.do?rcpNo=20260526000280", "공시열람")</f>
        <v/>
      </c>
    </row>
    <row r="4206">
      <c r="A4206" s="2" t="inlineStr">
        <is>
          <t>2026-03-11</t>
        </is>
      </c>
      <c r="B4206" s="3" t="inlineStr">
        <is>
          <t>칩스앤미디어</t>
        </is>
      </c>
      <c r="C4206" s="2" t="inlineStr">
        <is>
          <t>코스닥</t>
        </is>
      </c>
      <c r="D4206" s="2" t="inlineStr">
        <is>
          <t>094360</t>
        </is>
      </c>
      <c r="E4206" s="3" t="inlineStr">
        <is>
          <t xml:space="preserve">감사보고서제출              </t>
        </is>
      </c>
      <c r="F4206" s="3" t="inlineStr">
        <is>
          <t>칩스앤미디어</t>
        </is>
      </c>
      <c r="G4206" s="2" t="inlineStr">
        <is>
          <t>20260311901619</t>
        </is>
      </c>
      <c r="H4206" s="8">
        <f>HYPERLINK("https://dart.fss.or.kr/dsaf001/main.do?rcpNo=20260311901619", "공시열람")</f>
        <v/>
      </c>
    </row>
    <row r="4207">
      <c r="A4207" s="2" t="inlineStr">
        <is>
          <t>2026-03-11</t>
        </is>
      </c>
      <c r="B4207" s="3" t="inlineStr">
        <is>
          <t>현대자동차</t>
        </is>
      </c>
      <c r="C4207" s="2" t="inlineStr">
        <is>
          <t>코스피</t>
        </is>
      </c>
      <c r="D4207" s="2" t="inlineStr">
        <is>
          <t>005380</t>
        </is>
      </c>
      <c r="E4207" s="3" t="inlineStr">
        <is>
          <t>특수관계인으로부터기타유가증권매수</t>
        </is>
      </c>
      <c r="F4207" s="3" t="inlineStr">
        <is>
          <t>현대자동차</t>
        </is>
      </c>
      <c r="G4207" s="2" t="inlineStr">
        <is>
          <t>20260311004353</t>
        </is>
      </c>
      <c r="H4207" s="8">
        <f>HYPERLINK("https://dart.fss.or.kr/dsaf001/main.do?rcpNo=20260311004353", "공시열람")</f>
        <v/>
      </c>
    </row>
    <row r="4208">
      <c r="A4208" s="2" t="inlineStr">
        <is>
          <t>2026-03-11</t>
        </is>
      </c>
      <c r="B4208" s="3" t="inlineStr">
        <is>
          <t>플레이그램</t>
        </is>
      </c>
      <c r="C4208" s="2" t="inlineStr">
        <is>
          <t>코스피</t>
        </is>
      </c>
      <c r="D4208" s="2" t="inlineStr">
        <is>
          <t>009810</t>
        </is>
      </c>
      <c r="E4208" s="3" t="inlineStr">
        <is>
          <t xml:space="preserve">주식병합결정              </t>
        </is>
      </c>
      <c r="F4208" s="3" t="inlineStr">
        <is>
          <t>플레이그램</t>
        </is>
      </c>
      <c r="G4208" s="2" t="inlineStr">
        <is>
          <t>20260311801931</t>
        </is>
      </c>
      <c r="H4208" s="8">
        <f>HYPERLINK("https://dart.fss.or.kr/dsaf001/main.do?rcpNo=20260311801931", "공시열람")</f>
        <v/>
      </c>
    </row>
    <row r="4209">
      <c r="A4209" s="2" t="inlineStr">
        <is>
          <t>2026-03-11</t>
        </is>
      </c>
      <c r="B4209" s="3" t="inlineStr">
        <is>
          <t>캐프</t>
        </is>
      </c>
      <c r="C4209" s="2" t="inlineStr">
        <is>
          <t>코스닥</t>
        </is>
      </c>
      <c r="D4209" s="2" t="inlineStr">
        <is>
          <t>198080</t>
        </is>
      </c>
      <c r="E4209" s="3" t="inlineStr">
        <is>
          <t xml:space="preserve">감사보고서제출              </t>
        </is>
      </c>
      <c r="F4209" s="3" t="inlineStr">
        <is>
          <t>캐프</t>
        </is>
      </c>
      <c r="G4209" s="2" t="inlineStr">
        <is>
          <t>20260311901838</t>
        </is>
      </c>
      <c r="H4209" s="8">
        <f>HYPERLINK("https://dart.fss.or.kr/dsaf001/main.do?rcpNo=20260311901838", "공시열람")</f>
        <v/>
      </c>
    </row>
    <row r="4210">
      <c r="A4210" s="2" t="inlineStr">
        <is>
          <t>2026-03-11</t>
        </is>
      </c>
      <c r="B4210" s="3" t="inlineStr">
        <is>
          <t>동양이엔피</t>
        </is>
      </c>
      <c r="C4210" s="2" t="inlineStr">
        <is>
          <t>코스닥</t>
        </is>
      </c>
      <c r="D4210" s="2" t="inlineStr">
        <is>
          <t>079960</t>
        </is>
      </c>
      <c r="E4210" s="3" t="inlineStr">
        <is>
          <t>의결권대리행사권유참고서류</t>
        </is>
      </c>
      <c r="F4210" s="3" t="inlineStr">
        <is>
          <t>동양이엔피</t>
        </is>
      </c>
      <c r="G4210" s="2" t="inlineStr">
        <is>
          <t>20260311004349</t>
        </is>
      </c>
      <c r="H4210" s="8">
        <f>HYPERLINK("https://dart.fss.or.kr/dsaf001/main.do?rcpNo=20260311004349", "공시열람")</f>
        <v/>
      </c>
    </row>
    <row r="4211">
      <c r="A4211" s="2" t="inlineStr">
        <is>
          <t>2026-03-11 (정정: 2026-03-20)</t>
        </is>
      </c>
      <c r="B4211" s="3" t="inlineStr">
        <is>
          <t>KG이니시스</t>
        </is>
      </c>
      <c r="C4211" s="2" t="inlineStr">
        <is>
          <t>코스닥</t>
        </is>
      </c>
      <c r="D4211" s="2" t="inlineStr">
        <is>
          <t>035600</t>
        </is>
      </c>
      <c r="E4211" s="3" t="inlineStr">
        <is>
          <t>의결권대리행사권유참고서류 (정정: 20260320)</t>
        </is>
      </c>
      <c r="F4211" s="3" t="inlineStr">
        <is>
          <t>KG이니시스</t>
        </is>
      </c>
      <c r="G4211" s="2" t="inlineStr">
        <is>
          <t>20260319001390</t>
        </is>
      </c>
      <c r="H4211" s="8">
        <f>HYPERLINK("https://dart.fss.or.kr/dsaf001/main.do?rcpNo=20260319001390", "공시열람")</f>
        <v/>
      </c>
    </row>
    <row r="4212">
      <c r="A4212" s="2" t="inlineStr">
        <is>
          <t>2026-03-11</t>
        </is>
      </c>
      <c r="B4212" s="3" t="inlineStr">
        <is>
          <t>서희건설</t>
        </is>
      </c>
      <c r="C4212" s="2" t="inlineStr">
        <is>
          <t>코스닥</t>
        </is>
      </c>
      <c r="D4212" s="2" t="inlineStr">
        <is>
          <t>035890</t>
        </is>
      </c>
      <c r="E4212" s="3" t="inlineStr">
        <is>
          <t xml:space="preserve">매출액또는손익구조30%(대규모법인은15%)이상변동              </t>
        </is>
      </c>
      <c r="F4212" s="3" t="inlineStr">
        <is>
          <t>서희건설</t>
        </is>
      </c>
      <c r="G4212" s="2" t="inlineStr">
        <is>
          <t>20260311901618</t>
        </is>
      </c>
      <c r="H4212" s="8">
        <f>HYPERLINK("https://dart.fss.or.kr/dsaf001/main.do?rcpNo=20260311901618", "공시열람")</f>
        <v/>
      </c>
    </row>
    <row r="4213">
      <c r="A4213" s="2" t="inlineStr">
        <is>
          <t>2026-03-11</t>
        </is>
      </c>
      <c r="B4213" s="3" t="inlineStr">
        <is>
          <t>아이티센피엔에스</t>
        </is>
      </c>
      <c r="C4213" s="2" t="inlineStr">
        <is>
          <t>코스닥</t>
        </is>
      </c>
      <c r="D4213" s="2" t="inlineStr">
        <is>
          <t>232830</t>
        </is>
      </c>
      <c r="E4213" s="3" t="inlineStr">
        <is>
          <t>의결권대리행사권유참고서류</t>
        </is>
      </c>
      <c r="F4213" s="3" t="inlineStr">
        <is>
          <t>아이티센피엔에스</t>
        </is>
      </c>
      <c r="G4213" s="2" t="inlineStr">
        <is>
          <t>20260311004343</t>
        </is>
      </c>
      <c r="H4213" s="8">
        <f>HYPERLINK("https://dart.fss.or.kr/dsaf001/main.do?rcpNo=20260311004343", "공시열람")</f>
        <v/>
      </c>
    </row>
    <row r="4214">
      <c r="A4214" s="2" t="inlineStr">
        <is>
          <t>2026-03-11</t>
        </is>
      </c>
      <c r="B4214" s="3" t="inlineStr">
        <is>
          <t>네오위즈홀딩스</t>
        </is>
      </c>
      <c r="C4214" s="2" t="inlineStr">
        <is>
          <t>코스닥</t>
        </is>
      </c>
      <c r="D4214" s="2" t="inlineStr">
        <is>
          <t>042420</t>
        </is>
      </c>
      <c r="E4214" s="3" t="inlineStr">
        <is>
          <t>[첨부정정]의결권대리행사권유참고서류</t>
        </is>
      </c>
      <c r="F4214" s="3" t="inlineStr">
        <is>
          <t>네오위즈홀딩스</t>
        </is>
      </c>
      <c r="G4214" s="2" t="inlineStr">
        <is>
          <t>20260311004342</t>
        </is>
      </c>
      <c r="H4214" s="8">
        <f>HYPERLINK("https://dart.fss.or.kr/dsaf001/main.do?rcpNo=20260311004342", "공시열람")</f>
        <v/>
      </c>
    </row>
    <row r="4215">
      <c r="A4215" s="2" t="inlineStr">
        <is>
          <t>2026-03-11</t>
        </is>
      </c>
      <c r="B4215" s="3" t="inlineStr">
        <is>
          <t>JB금융지주</t>
        </is>
      </c>
      <c r="C4215" s="2" t="inlineStr">
        <is>
          <t>코스피</t>
        </is>
      </c>
      <c r="D4215" s="2" t="inlineStr">
        <is>
          <t>175330</t>
        </is>
      </c>
      <c r="E4215" s="3" t="inlineStr">
        <is>
          <t>투자설명서(일괄신고)</t>
        </is>
      </c>
      <c r="F4215" s="3" t="inlineStr">
        <is>
          <t>JB금융지주</t>
        </is>
      </c>
      <c r="G4215" s="2" t="inlineStr">
        <is>
          <t>20260311004335</t>
        </is>
      </c>
      <c r="H4215" s="8">
        <f>HYPERLINK("https://dart.fss.or.kr/dsaf001/main.do?rcpNo=20260311004335", "공시열람")</f>
        <v/>
      </c>
    </row>
    <row r="4216">
      <c r="A4216" s="2" t="inlineStr">
        <is>
          <t>2026-03-11</t>
        </is>
      </c>
      <c r="B4216" s="3" t="inlineStr">
        <is>
          <t>KCC건설</t>
        </is>
      </c>
      <c r="C4216" s="2" t="inlineStr">
        <is>
          <t>코스닥</t>
        </is>
      </c>
      <c r="D4216" s="2" t="inlineStr">
        <is>
          <t>021320</t>
        </is>
      </c>
      <c r="E4216" s="3" t="inlineStr">
        <is>
          <t xml:space="preserve">감사보고서제출              </t>
        </is>
      </c>
      <c r="F4216" s="3" t="inlineStr">
        <is>
          <t>KCC건설</t>
        </is>
      </c>
      <c r="G4216" s="2" t="inlineStr">
        <is>
          <t>20260311901904</t>
        </is>
      </c>
      <c r="H4216" s="8">
        <f>HYPERLINK("https://dart.fss.or.kr/dsaf001/main.do?rcpNo=20260311901904", "공시열람")</f>
        <v/>
      </c>
    </row>
    <row r="4217">
      <c r="A4217" s="2" t="inlineStr">
        <is>
          <t>2026-03-11</t>
        </is>
      </c>
      <c r="B4217" s="3" t="inlineStr">
        <is>
          <t>경방</t>
        </is>
      </c>
      <c r="C4217" s="2" t="inlineStr">
        <is>
          <t>코스피</t>
        </is>
      </c>
      <c r="D4217" s="2" t="inlineStr">
        <is>
          <t>000050</t>
        </is>
      </c>
      <c r="E4217" s="3" t="inlineStr">
        <is>
          <t xml:space="preserve">현금ㆍ현물배당결정              </t>
        </is>
      </c>
      <c r="F4217" s="3" t="inlineStr">
        <is>
          <t>경방</t>
        </is>
      </c>
      <c r="G4217" s="2" t="inlineStr">
        <is>
          <t>20260311801994</t>
        </is>
      </c>
      <c r="H4217" s="8">
        <f>HYPERLINK("https://dart.fss.or.kr/dsaf001/main.do?rcpNo=20260311801994", "공시열람")</f>
        <v/>
      </c>
    </row>
    <row r="4218">
      <c r="A4218" s="2" t="inlineStr">
        <is>
          <t>2026-03-11 (정정: 2026-05-20)</t>
        </is>
      </c>
      <c r="B4218" s="3" t="inlineStr">
        <is>
          <t>한올바이오파마</t>
        </is>
      </c>
      <c r="C4218" s="2" t="inlineStr">
        <is>
          <t>코스피</t>
        </is>
      </c>
      <c r="D4218" s="2" t="inlineStr">
        <is>
          <t>009420</t>
        </is>
      </c>
      <c r="E4218" s="3" t="inlineStr">
        <is>
          <t>자기주식처분결과보고서 (정정: 20260520)</t>
        </is>
      </c>
      <c r="F4218" s="3" t="inlineStr">
        <is>
          <t>한올바이오파마</t>
        </is>
      </c>
      <c r="G4218" s="2" t="inlineStr">
        <is>
          <t>20260520800768</t>
        </is>
      </c>
      <c r="H4218" s="8">
        <f>HYPERLINK("https://dart.fss.or.kr/dsaf001/main.do?rcpNo=20260520800768", "공시열람")</f>
        <v/>
      </c>
    </row>
    <row r="4219">
      <c r="A4219" s="2" t="inlineStr">
        <is>
          <t>2026-03-11</t>
        </is>
      </c>
      <c r="B4219" s="3" t="inlineStr">
        <is>
          <t>NH투자증권</t>
        </is>
      </c>
      <c r="C4219" s="2" t="inlineStr">
        <is>
          <t>코스피</t>
        </is>
      </c>
      <c r="D4219" s="2" t="inlineStr">
        <is>
          <t>005940</t>
        </is>
      </c>
      <c r="E4219" s="3" t="inlineStr">
        <is>
          <t xml:space="preserve">현금ㆍ현물배당을위한주주명부폐쇄(기준일)결정              </t>
        </is>
      </c>
      <c r="F4219" s="3" t="inlineStr">
        <is>
          <t>NH투자증권</t>
        </is>
      </c>
      <c r="G4219" s="2" t="inlineStr">
        <is>
          <t>20260311801984</t>
        </is>
      </c>
      <c r="H4219" s="8">
        <f>HYPERLINK("https://dart.fss.or.kr/dsaf001/main.do?rcpNo=20260311801984", "공시열람")</f>
        <v/>
      </c>
    </row>
    <row r="4220">
      <c r="A4220" s="2" t="inlineStr">
        <is>
          <t>2026-03-11</t>
        </is>
      </c>
      <c r="B4220" s="3" t="inlineStr">
        <is>
          <t>파트론</t>
        </is>
      </c>
      <c r="C4220" s="2" t="inlineStr">
        <is>
          <t>코스닥</t>
        </is>
      </c>
      <c r="D4220" s="2" t="inlineStr">
        <is>
          <t>091700</t>
        </is>
      </c>
      <c r="E4220" s="3" t="inlineStr">
        <is>
          <t xml:space="preserve">감사보고서제출              </t>
        </is>
      </c>
      <c r="F4220" s="3" t="inlineStr">
        <is>
          <t>파트론</t>
        </is>
      </c>
      <c r="G4220" s="2" t="inlineStr">
        <is>
          <t>20260311901559</t>
        </is>
      </c>
      <c r="H4220" s="8">
        <f>HYPERLINK("https://dart.fss.or.kr/dsaf001/main.do?rcpNo=20260311901559", "공시열람")</f>
        <v/>
      </c>
    </row>
    <row r="4221">
      <c r="A4221" s="2" t="inlineStr">
        <is>
          <t>2026-03-11</t>
        </is>
      </c>
      <c r="B4221" s="3" t="inlineStr">
        <is>
          <t>알파칩스</t>
        </is>
      </c>
      <c r="C4221" s="2" t="inlineStr">
        <is>
          <t>코스닥</t>
        </is>
      </c>
      <c r="D4221" s="2" t="inlineStr">
        <is>
          <t>117670</t>
        </is>
      </c>
      <c r="E4221" s="3" t="inlineStr">
        <is>
          <t>자기주식처분결과보고서</t>
        </is>
      </c>
      <c r="F4221" s="3" t="inlineStr">
        <is>
          <t>알파칩스</t>
        </is>
      </c>
      <c r="G4221" s="2" t="inlineStr">
        <is>
          <t>20260311004327</t>
        </is>
      </c>
      <c r="H4221" s="8">
        <f>HYPERLINK("https://dart.fss.or.kr/dsaf001/main.do?rcpNo=20260311004327", "공시열람")</f>
        <v/>
      </c>
    </row>
    <row r="4222">
      <c r="A4222" s="2" t="inlineStr">
        <is>
          <t>2026-03-11</t>
        </is>
      </c>
      <c r="B4222" s="3" t="inlineStr">
        <is>
          <t>자람테크놀로지</t>
        </is>
      </c>
      <c r="C4222" s="2" t="inlineStr">
        <is>
          <t>코스닥</t>
        </is>
      </c>
      <c r="D4222" s="2" t="inlineStr">
        <is>
          <t>389020</t>
        </is>
      </c>
      <c r="E4222" s="3" t="inlineStr">
        <is>
          <t>전환청구권행사              (제1회차)</t>
        </is>
      </c>
      <c r="F4222" s="3" t="inlineStr">
        <is>
          <t>자람테크놀로지</t>
        </is>
      </c>
      <c r="G4222" s="2" t="inlineStr">
        <is>
          <t>20260311901751</t>
        </is>
      </c>
      <c r="H4222" s="8">
        <f>HYPERLINK("https://dart.fss.or.kr/dsaf001/main.do?rcpNo=20260311901751", "공시열람")</f>
        <v/>
      </c>
    </row>
    <row r="4223">
      <c r="A4223" s="2" t="inlineStr">
        <is>
          <t>2026-03-11</t>
        </is>
      </c>
      <c r="B4223" s="3" t="inlineStr">
        <is>
          <t>대신증권</t>
        </is>
      </c>
      <c r="C4223" s="2" t="inlineStr">
        <is>
          <t>코스피</t>
        </is>
      </c>
      <c r="D4223" s="2" t="inlineStr">
        <is>
          <t>003540</t>
        </is>
      </c>
      <c r="E4223" s="3" t="inlineStr">
        <is>
          <t>투자설명서(일괄신고)</t>
        </is>
      </c>
      <c r="F4223" s="3" t="inlineStr">
        <is>
          <t>대신증권</t>
        </is>
      </c>
      <c r="G4223" s="2" t="inlineStr">
        <is>
          <t>20260311004322</t>
        </is>
      </c>
      <c r="H4223" s="8">
        <f>HYPERLINK("https://dart.fss.or.kr/dsaf001/main.do?rcpNo=20260311004322", "공시열람")</f>
        <v/>
      </c>
    </row>
    <row r="4224">
      <c r="A4224" s="2" t="inlineStr">
        <is>
          <t>2026-03-11 (정정: 2026-03-11)</t>
        </is>
      </c>
      <c r="B4224" s="3" t="inlineStr">
        <is>
          <t>우리넷</t>
        </is>
      </c>
      <c r="C4224" s="2" t="inlineStr">
        <is>
          <t>코스닥</t>
        </is>
      </c>
      <c r="D4224" s="2" t="inlineStr">
        <is>
          <t>115440</t>
        </is>
      </c>
      <c r="E4224" s="3" t="inlineStr">
        <is>
          <t>현금ㆍ현물배당결정               (정정: 20260311)</t>
        </is>
      </c>
      <c r="F4224" s="3" t="inlineStr">
        <is>
          <t>우리넷</t>
        </is>
      </c>
      <c r="G4224" s="2" t="inlineStr">
        <is>
          <t>20260311901721</t>
        </is>
      </c>
      <c r="H4224" s="8">
        <f>HYPERLINK("https://dart.fss.or.kr/dsaf001/main.do?rcpNo=20260311901721", "공시열람")</f>
        <v/>
      </c>
    </row>
    <row r="4225">
      <c r="A4225" s="2" t="inlineStr">
        <is>
          <t>2026-03-11</t>
        </is>
      </c>
      <c r="B4225" s="3" t="inlineStr">
        <is>
          <t>헥토이노베이션</t>
        </is>
      </c>
      <c r="C4225" s="2" t="inlineStr">
        <is>
          <t>코스닥</t>
        </is>
      </c>
      <c r="D4225" s="2" t="inlineStr">
        <is>
          <t>214180</t>
        </is>
      </c>
      <c r="E4225" s="3" t="inlineStr">
        <is>
          <t>의결권대리행사권유참고서류</t>
        </is>
      </c>
      <c r="F4225" s="3" t="inlineStr">
        <is>
          <t>헥토이노베이션</t>
        </is>
      </c>
      <c r="G4225" s="2" t="inlineStr">
        <is>
          <t>20260311004321</t>
        </is>
      </c>
      <c r="H4225" s="8">
        <f>HYPERLINK("https://dart.fss.or.kr/dsaf001/main.do?rcpNo=20260311004321", "공시열람")</f>
        <v/>
      </c>
    </row>
    <row r="4226">
      <c r="A4226" s="2" t="inlineStr">
        <is>
          <t>2026-03-11</t>
        </is>
      </c>
      <c r="B4226" s="3" t="inlineStr">
        <is>
          <t>트루엔</t>
        </is>
      </c>
      <c r="C4226" s="2" t="inlineStr">
        <is>
          <t>코스닥</t>
        </is>
      </c>
      <c r="D4226" s="2" t="inlineStr">
        <is>
          <t>417790</t>
        </is>
      </c>
      <c r="E4226" s="3" t="inlineStr">
        <is>
          <t xml:space="preserve">감사보고서제출              </t>
        </is>
      </c>
      <c r="F4226" s="3" t="inlineStr">
        <is>
          <t>트루엔</t>
        </is>
      </c>
      <c r="G4226" s="2" t="inlineStr">
        <is>
          <t>20260311901808</t>
        </is>
      </c>
      <c r="H4226" s="8">
        <f>HYPERLINK("https://dart.fss.or.kr/dsaf001/main.do?rcpNo=20260311901808", "공시열람")</f>
        <v/>
      </c>
    </row>
    <row r="4227">
      <c r="A4227" s="2" t="inlineStr">
        <is>
          <t>2026-03-11</t>
        </is>
      </c>
      <c r="B4227" s="3" t="inlineStr">
        <is>
          <t>JB금융지주</t>
        </is>
      </c>
      <c r="C4227" s="2" t="inlineStr">
        <is>
          <t>코스피</t>
        </is>
      </c>
      <c r="D4227" s="2" t="inlineStr">
        <is>
          <t>175330</t>
        </is>
      </c>
      <c r="E4227" s="3" t="inlineStr">
        <is>
          <t>일괄신고추가서류</t>
        </is>
      </c>
      <c r="F4227" s="3" t="inlineStr">
        <is>
          <t>JB금융지주</t>
        </is>
      </c>
      <c r="G4227" s="2" t="inlineStr">
        <is>
          <t>20260311004315</t>
        </is>
      </c>
      <c r="H4227" s="8">
        <f>HYPERLINK("https://dart.fss.or.kr/dsaf001/main.do?rcpNo=20260311004315", "공시열람")</f>
        <v/>
      </c>
    </row>
    <row r="4228">
      <c r="A4228" s="2" t="inlineStr">
        <is>
          <t>2026-03-11</t>
        </is>
      </c>
      <c r="B4228" s="3" t="inlineStr">
        <is>
          <t>SGC E&amp;C</t>
        </is>
      </c>
      <c r="C4228" s="2" t="inlineStr">
        <is>
          <t>코스닥</t>
        </is>
      </c>
      <c r="D4228" s="2" t="inlineStr">
        <is>
          <t>016250</t>
        </is>
      </c>
      <c r="E4228" s="3" t="inlineStr">
        <is>
          <t xml:space="preserve">감사보고서제출              </t>
        </is>
      </c>
      <c r="F4228" s="3" t="inlineStr">
        <is>
          <t>SGC E&amp;C</t>
        </is>
      </c>
      <c r="G4228" s="2" t="inlineStr">
        <is>
          <t>20260311901590</t>
        </is>
      </c>
      <c r="H4228" s="8">
        <f>HYPERLINK("https://dart.fss.or.kr/dsaf001/main.do?rcpNo=20260311901590", "공시열람")</f>
        <v/>
      </c>
    </row>
    <row r="4229">
      <c r="A4229" s="2" t="inlineStr">
        <is>
          <t>2026-03-11</t>
        </is>
      </c>
      <c r="B4229" s="3" t="inlineStr">
        <is>
          <t>태원물산</t>
        </is>
      </c>
      <c r="C4229" s="2" t="inlineStr">
        <is>
          <t>코스피</t>
        </is>
      </c>
      <c r="D4229" s="2" t="inlineStr">
        <is>
          <t>001420</t>
        </is>
      </c>
      <c r="E4229" s="3" t="inlineStr">
        <is>
          <t xml:space="preserve">현금ㆍ현물배당결정              </t>
        </is>
      </c>
      <c r="F4229" s="3" t="inlineStr">
        <is>
          <t>태원물산</t>
        </is>
      </c>
      <c r="G4229" s="2" t="inlineStr">
        <is>
          <t>20260311801951</t>
        </is>
      </c>
      <c r="H4229" s="8">
        <f>HYPERLINK("https://dart.fss.or.kr/dsaf001/main.do?rcpNo=20260311801951", "공시열람")</f>
        <v/>
      </c>
    </row>
    <row r="4230">
      <c r="A4230" s="2" t="inlineStr">
        <is>
          <t>2026-03-11 (정정: 2026-03-12)</t>
        </is>
      </c>
      <c r="B4230" s="3" t="inlineStr">
        <is>
          <t>한빛레이저</t>
        </is>
      </c>
      <c r="C4230" s="2" t="inlineStr">
        <is>
          <t>코스닥</t>
        </is>
      </c>
      <c r="D4230" s="2" t="inlineStr">
        <is>
          <t>452190</t>
        </is>
      </c>
      <c r="E4230" s="3" t="inlineStr">
        <is>
          <t>의결권대리행사권유참고서류 (정정: 20260312)</t>
        </is>
      </c>
      <c r="F4230" s="3" t="inlineStr">
        <is>
          <t>한빛레이저</t>
        </is>
      </c>
      <c r="G4230" s="2" t="inlineStr">
        <is>
          <t>20260312000637</t>
        </is>
      </c>
      <c r="H4230" s="8">
        <f>HYPERLINK("https://dart.fss.or.kr/dsaf001/main.do?rcpNo=20260312000637", "공시열람")</f>
        <v/>
      </c>
    </row>
    <row r="4231">
      <c r="A4231" s="2" t="inlineStr">
        <is>
          <t>2026-03-11</t>
        </is>
      </c>
      <c r="B4231" s="3" t="inlineStr">
        <is>
          <t>신영증권</t>
        </is>
      </c>
      <c r="C4231" s="2" t="inlineStr">
        <is>
          <t>코스피</t>
        </is>
      </c>
      <c r="D4231" s="2" t="inlineStr">
        <is>
          <t>001720</t>
        </is>
      </c>
      <c r="E4231" s="3" t="inlineStr">
        <is>
          <t>일괄신고추가서류(파생결합사채-주가연계파생결합사채)</t>
        </is>
      </c>
      <c r="F4231" s="3" t="inlineStr">
        <is>
          <t>신영증권</t>
        </is>
      </c>
      <c r="G4231" s="2" t="inlineStr">
        <is>
          <t>20260311004307</t>
        </is>
      </c>
      <c r="H4231" s="8">
        <f>HYPERLINK("https://dart.fss.or.kr/dsaf001/main.do?rcpNo=20260311004307", "공시열람")</f>
        <v/>
      </c>
    </row>
    <row r="4232">
      <c r="A4232" s="2" t="inlineStr">
        <is>
          <t>2026-03-11</t>
        </is>
      </c>
      <c r="B4232" s="3" t="inlineStr">
        <is>
          <t>이화공영</t>
        </is>
      </c>
      <c r="C4232" s="2" t="inlineStr">
        <is>
          <t>코스닥</t>
        </is>
      </c>
      <c r="D4232" s="2" t="inlineStr">
        <is>
          <t>001840</t>
        </is>
      </c>
      <c r="E4232" s="3" t="inlineStr">
        <is>
          <t>기타시장안내              (실질심사 대상여부 결정을 위한 조사기간 연장 안내)</t>
        </is>
      </c>
      <c r="F4232" s="3" t="inlineStr">
        <is>
          <t>코스닥시장본부</t>
        </is>
      </c>
      <c r="G4232" s="2" t="inlineStr">
        <is>
          <t>20260311901922</t>
        </is>
      </c>
      <c r="H4232" s="8">
        <f>HYPERLINK("https://dart.fss.or.kr/dsaf001/main.do?rcpNo=20260311901922", "공시열람")</f>
        <v/>
      </c>
    </row>
    <row r="4233">
      <c r="A4233" s="2" t="inlineStr">
        <is>
          <t>2026-03-11</t>
        </is>
      </c>
      <c r="B4233" s="3" t="inlineStr">
        <is>
          <t>CSA 코스믹</t>
        </is>
      </c>
      <c r="C4233" s="2" t="inlineStr">
        <is>
          <t>코스닥</t>
        </is>
      </c>
      <c r="D4233" s="2" t="inlineStr">
        <is>
          <t>083660</t>
        </is>
      </c>
      <c r="E4233" s="3" t="inlineStr">
        <is>
          <t xml:space="preserve">타법인주식및출자증권취득결정              </t>
        </is>
      </c>
      <c r="F4233" s="3" t="inlineStr">
        <is>
          <t>CSA 코스믹</t>
        </is>
      </c>
      <c r="G4233" s="2" t="inlineStr">
        <is>
          <t>20260311901924</t>
        </is>
      </c>
      <c r="H4233" s="8">
        <f>HYPERLINK("https://dart.fss.or.kr/dsaf001/main.do?rcpNo=20260311901924", "공시열람")</f>
        <v/>
      </c>
    </row>
    <row r="4234">
      <c r="A4234" s="2" t="inlineStr">
        <is>
          <t>2026-03-11</t>
        </is>
      </c>
      <c r="B4234" s="3" t="inlineStr">
        <is>
          <t>한울앤제주</t>
        </is>
      </c>
      <c r="C4234" s="2" t="inlineStr">
        <is>
          <t>코스닥</t>
        </is>
      </c>
      <c r="D4234" s="2" t="inlineStr">
        <is>
          <t>276730</t>
        </is>
      </c>
      <c r="E4234" s="3" t="inlineStr">
        <is>
          <t>주요사항보고서(감자결정)</t>
        </is>
      </c>
      <c r="F4234" s="3" t="inlineStr">
        <is>
          <t>한울앤제주</t>
        </is>
      </c>
      <c r="G4234" s="2" t="inlineStr">
        <is>
          <t>20260311004253</t>
        </is>
      </c>
      <c r="H4234" s="8">
        <f>HYPERLINK("https://dart.fss.or.kr/dsaf001/main.do?rcpNo=20260311004253", "공시열람")</f>
        <v/>
      </c>
    </row>
    <row r="4235">
      <c r="A4235" s="2" t="inlineStr">
        <is>
          <t>2026-03-11</t>
        </is>
      </c>
      <c r="B4235" s="3" t="inlineStr">
        <is>
          <t>헥토파이낸셜</t>
        </is>
      </c>
      <c r="C4235" s="2" t="inlineStr">
        <is>
          <t>코스닥</t>
        </is>
      </c>
      <c r="D4235" s="2" t="inlineStr">
        <is>
          <t>234340</t>
        </is>
      </c>
      <c r="E4235" s="3" t="inlineStr">
        <is>
          <t xml:space="preserve">현금ㆍ현물배당결정              </t>
        </is>
      </c>
      <c r="F4235" s="3" t="inlineStr">
        <is>
          <t>헥토파이낸셜</t>
        </is>
      </c>
      <c r="G4235" s="2" t="inlineStr">
        <is>
          <t>20260311901753</t>
        </is>
      </c>
      <c r="H4235" s="8">
        <f>HYPERLINK("https://dart.fss.or.kr/dsaf001/main.do?rcpNo=20260311901753", "공시열람")</f>
        <v/>
      </c>
    </row>
    <row r="4236">
      <c r="A4236" s="2" t="inlineStr">
        <is>
          <t>2026-03-11</t>
        </is>
      </c>
      <c r="B4236" s="3" t="inlineStr">
        <is>
          <t>한울앤제주</t>
        </is>
      </c>
      <c r="C4236" s="2" t="inlineStr">
        <is>
          <t>코스닥</t>
        </is>
      </c>
      <c r="D4236" s="2" t="inlineStr">
        <is>
          <t>276730</t>
        </is>
      </c>
      <c r="E4236" s="3" t="inlineStr">
        <is>
          <t>주권매매거래정지              (자본감소)</t>
        </is>
      </c>
      <c r="F4236" s="3" t="inlineStr">
        <is>
          <t>코스닥시장본부</t>
        </is>
      </c>
      <c r="G4236" s="2" t="inlineStr">
        <is>
          <t>20260311901888</t>
        </is>
      </c>
      <c r="H4236" s="8">
        <f>HYPERLINK("https://dart.fss.or.kr/dsaf001/main.do?rcpNo=20260311901888", "공시열람")</f>
        <v/>
      </c>
    </row>
    <row r="4237">
      <c r="A4237" s="2" t="inlineStr">
        <is>
          <t>2026-03-11</t>
        </is>
      </c>
      <c r="B4237" s="3" t="inlineStr">
        <is>
          <t>코콤</t>
        </is>
      </c>
      <c r="C4237" s="2" t="inlineStr">
        <is>
          <t>코스닥</t>
        </is>
      </c>
      <c r="D4237" s="2" t="inlineStr">
        <is>
          <t>015710</t>
        </is>
      </c>
      <c r="E4237" s="3" t="inlineStr">
        <is>
          <t>의결권대리행사권유참고서류</t>
        </is>
      </c>
      <c r="F4237" s="3" t="inlineStr">
        <is>
          <t>코콤</t>
        </is>
      </c>
      <c r="G4237" s="2" t="inlineStr">
        <is>
          <t>20260311004301</t>
        </is>
      </c>
      <c r="H4237" s="8">
        <f>HYPERLINK("https://dart.fss.or.kr/dsaf001/main.do?rcpNo=20260311004301", "공시열람")</f>
        <v/>
      </c>
    </row>
    <row r="4238">
      <c r="A4238" s="2" t="inlineStr">
        <is>
          <t>2026-03-11</t>
        </is>
      </c>
      <c r="B4238" s="3" t="inlineStr">
        <is>
          <t>영보화학</t>
        </is>
      </c>
      <c r="C4238" s="2" t="inlineStr">
        <is>
          <t>코스피</t>
        </is>
      </c>
      <c r="D4238" s="2" t="inlineStr">
        <is>
          <t>014440</t>
        </is>
      </c>
      <c r="E4238" s="3" t="inlineStr">
        <is>
          <t xml:space="preserve">감사보고서제출              </t>
        </is>
      </c>
      <c r="F4238" s="3" t="inlineStr">
        <is>
          <t>영보화학</t>
        </is>
      </c>
      <c r="G4238" s="2" t="inlineStr">
        <is>
          <t>20260311801742</t>
        </is>
      </c>
      <c r="H4238" s="8">
        <f>HYPERLINK("https://dart.fss.or.kr/dsaf001/main.do?rcpNo=20260311801742", "공시열람")</f>
        <v/>
      </c>
    </row>
    <row r="4239">
      <c r="A4239" s="2" t="inlineStr">
        <is>
          <t>2026-03-11 (정정: 2026-03-12)</t>
        </is>
      </c>
      <c r="B4239" s="3" t="inlineStr">
        <is>
          <t>인텍플러스</t>
        </is>
      </c>
      <c r="C4239" s="2" t="inlineStr">
        <is>
          <t>코스닥</t>
        </is>
      </c>
      <c r="D4239" s="2" t="inlineStr">
        <is>
          <t>064290</t>
        </is>
      </c>
      <c r="E4239" s="3" t="inlineStr">
        <is>
          <t>의결권대리행사권유참고서류 (정정: 20260312)</t>
        </is>
      </c>
      <c r="F4239" s="3" t="inlineStr">
        <is>
          <t>인텍플러스</t>
        </is>
      </c>
      <c r="G4239" s="2" t="inlineStr">
        <is>
          <t>20260312001091</t>
        </is>
      </c>
      <c r="H4239" s="8">
        <f>HYPERLINK("https://dart.fss.or.kr/dsaf001/main.do?rcpNo=20260312001091", "공시열람")</f>
        <v/>
      </c>
    </row>
    <row r="4240">
      <c r="A4240" s="2" t="inlineStr">
        <is>
          <t>2026-03-11</t>
        </is>
      </c>
      <c r="B4240" s="3" t="inlineStr">
        <is>
          <t>DB증권</t>
        </is>
      </c>
      <c r="C4240" s="2" t="inlineStr">
        <is>
          <t>코스피</t>
        </is>
      </c>
      <c r="D4240" s="2" t="inlineStr">
        <is>
          <t>016610</t>
        </is>
      </c>
      <c r="E4240" s="3" t="inlineStr">
        <is>
          <t>의결권대리행사권유참고서류</t>
        </is>
      </c>
      <c r="F4240" s="3" t="inlineStr">
        <is>
          <t>DB증권</t>
        </is>
      </c>
      <c r="G4240" s="2" t="inlineStr">
        <is>
          <t>20260311004297</t>
        </is>
      </c>
      <c r="H4240" s="8">
        <f>HYPERLINK("https://dart.fss.or.kr/dsaf001/main.do?rcpNo=20260311004297", "공시열람")</f>
        <v/>
      </c>
    </row>
    <row r="4241">
      <c r="A4241" s="2" t="inlineStr">
        <is>
          <t>2026-03-11</t>
        </is>
      </c>
      <c r="B4241" s="3" t="inlineStr">
        <is>
          <t>더존비즈온</t>
        </is>
      </c>
      <c r="C4241" s="2" t="inlineStr">
        <is>
          <t>코스피</t>
        </is>
      </c>
      <c r="D4241" s="2" t="inlineStr">
        <is>
          <t>012510</t>
        </is>
      </c>
      <c r="E4241" s="3" t="inlineStr">
        <is>
          <t>의결권대리행사권유참고서류</t>
        </is>
      </c>
      <c r="F4241" s="3" t="inlineStr">
        <is>
          <t>더존비즈온</t>
        </is>
      </c>
      <c r="G4241" s="2" t="inlineStr">
        <is>
          <t>20260311004291</t>
        </is>
      </c>
      <c r="H4241" s="8">
        <f>HYPERLINK("https://dart.fss.or.kr/dsaf001/main.do?rcpNo=20260311004291", "공시열람")</f>
        <v/>
      </c>
    </row>
    <row r="4242">
      <c r="A4242" s="2" t="inlineStr">
        <is>
          <t>2026-03-11</t>
        </is>
      </c>
      <c r="B4242" s="3" t="inlineStr">
        <is>
          <t>기업은행</t>
        </is>
      </c>
      <c r="C4242" s="2" t="inlineStr">
        <is>
          <t>코스피</t>
        </is>
      </c>
      <c r="D4242" s="2" t="inlineStr">
        <is>
          <t>024110</t>
        </is>
      </c>
      <c r="E4242" s="3" t="inlineStr">
        <is>
          <t xml:space="preserve">감사보고서제출              </t>
        </is>
      </c>
      <c r="F4242" s="3" t="inlineStr">
        <is>
          <t>기업은행</t>
        </is>
      </c>
      <c r="G4242" s="2" t="inlineStr">
        <is>
          <t>20260311801864</t>
        </is>
      </c>
      <c r="H4242" s="8">
        <f>HYPERLINK("https://dart.fss.or.kr/dsaf001/main.do?rcpNo=20260311801864", "공시열람")</f>
        <v/>
      </c>
    </row>
    <row r="4243">
      <c r="A4243" s="2" t="inlineStr">
        <is>
          <t>2026-03-11</t>
        </is>
      </c>
      <c r="B4243" s="3" t="inlineStr">
        <is>
          <t>풀무원</t>
        </is>
      </c>
      <c r="C4243" s="2" t="inlineStr">
        <is>
          <t>코스피</t>
        </is>
      </c>
      <c r="D4243" s="2" t="inlineStr">
        <is>
          <t>017810</t>
        </is>
      </c>
      <c r="E4243" s="3" t="inlineStr">
        <is>
          <t xml:space="preserve">현금ㆍ현물배당결정(자회사의 주요경영사항)              </t>
        </is>
      </c>
      <c r="F4243" s="3" t="inlineStr">
        <is>
          <t>풀무원</t>
        </is>
      </c>
      <c r="G4243" s="2" t="inlineStr">
        <is>
          <t>20260311801693</t>
        </is>
      </c>
      <c r="H4243" s="8">
        <f>HYPERLINK("https://dart.fss.or.kr/dsaf001/main.do?rcpNo=20260311801693", "공시열람")</f>
        <v/>
      </c>
    </row>
    <row r="4244">
      <c r="A4244" s="2" t="inlineStr">
        <is>
          <t>2026-03-11</t>
        </is>
      </c>
      <c r="B4244" s="3" t="inlineStr">
        <is>
          <t>참엔지니어링</t>
        </is>
      </c>
      <c r="C4244" s="2" t="inlineStr">
        <is>
          <t>코스피</t>
        </is>
      </c>
      <c r="D4244" s="2" t="inlineStr">
        <is>
          <t>009310</t>
        </is>
      </c>
      <c r="E4244" s="3" t="inlineStr">
        <is>
          <t>의결권대리행사권유참고서류</t>
        </is>
      </c>
      <c r="F4244" s="3" t="inlineStr">
        <is>
          <t>참엔지니어링</t>
        </is>
      </c>
      <c r="G4244" s="2" t="inlineStr">
        <is>
          <t>20260311004290</t>
        </is>
      </c>
      <c r="H4244" s="8">
        <f>HYPERLINK("https://dart.fss.or.kr/dsaf001/main.do?rcpNo=20260311004290", "공시열람")</f>
        <v/>
      </c>
    </row>
    <row r="4245">
      <c r="A4245" s="2" t="inlineStr">
        <is>
          <t>2026-03-11</t>
        </is>
      </c>
      <c r="B4245" s="3" t="inlineStr">
        <is>
          <t>HLB생명과학</t>
        </is>
      </c>
      <c r="C4245" s="2" t="inlineStr">
        <is>
          <t>코스닥</t>
        </is>
      </c>
      <c r="D4245" s="2" t="inlineStr">
        <is>
          <t>067630</t>
        </is>
      </c>
      <c r="E4245" s="3" t="inlineStr">
        <is>
          <t>의결권대리행사권유참고서류</t>
        </is>
      </c>
      <c r="F4245" s="3" t="inlineStr">
        <is>
          <t>HLB생명과학</t>
        </is>
      </c>
      <c r="G4245" s="2" t="inlineStr">
        <is>
          <t>20260311004288</t>
        </is>
      </c>
      <c r="H4245" s="8">
        <f>HYPERLINK("https://dart.fss.or.kr/dsaf001/main.do?rcpNo=20260311004288", "공시열람")</f>
        <v/>
      </c>
    </row>
    <row r="4246">
      <c r="A4246" s="2" t="inlineStr">
        <is>
          <t>2026-03-11</t>
        </is>
      </c>
      <c r="B4246" s="3" t="inlineStr">
        <is>
          <t>서연</t>
        </is>
      </c>
      <c r="C4246" s="2" t="inlineStr">
        <is>
          <t>코스피</t>
        </is>
      </c>
      <c r="D4246" s="2" t="inlineStr">
        <is>
          <t>007860</t>
        </is>
      </c>
      <c r="E4246" s="3" t="inlineStr">
        <is>
          <t xml:space="preserve">기타경영사항(자율공시)              </t>
        </is>
      </c>
      <c r="F4246" s="3" t="inlineStr">
        <is>
          <t>서연</t>
        </is>
      </c>
      <c r="G4246" s="2" t="inlineStr">
        <is>
          <t>20260311801777</t>
        </is>
      </c>
      <c r="H4246" s="8">
        <f>HYPERLINK("https://dart.fss.or.kr/dsaf001/main.do?rcpNo=20260311801777", "공시열람")</f>
        <v/>
      </c>
    </row>
    <row r="4247">
      <c r="A4247" s="2" t="inlineStr">
        <is>
          <t>2026-03-11</t>
        </is>
      </c>
      <c r="B4247" s="3" t="inlineStr">
        <is>
          <t>미래에셋생명</t>
        </is>
      </c>
      <c r="C4247" s="2" t="inlineStr">
        <is>
          <t>코스피</t>
        </is>
      </c>
      <c r="D4247" s="2" t="inlineStr">
        <is>
          <t>085620</t>
        </is>
      </c>
      <c r="E4247" s="3" t="inlineStr">
        <is>
          <t>임원ㆍ주요주주특정증권등소유상황보고서</t>
        </is>
      </c>
      <c r="F4247" s="3" t="inlineStr">
        <is>
          <t>황문규</t>
        </is>
      </c>
      <c r="G4247" s="2" t="inlineStr">
        <is>
          <t>20260311004284</t>
        </is>
      </c>
      <c r="H4247" s="8">
        <f>HYPERLINK("https://dart.fss.or.kr/dsaf001/main.do?rcpNo=20260311004284", "공시열람")</f>
        <v/>
      </c>
    </row>
    <row r="4248">
      <c r="A4248" s="2" t="inlineStr">
        <is>
          <t>2026-03-11</t>
        </is>
      </c>
      <c r="B4248" s="3" t="inlineStr">
        <is>
          <t>대신증권</t>
        </is>
      </c>
      <c r="C4248" s="2" t="inlineStr">
        <is>
          <t>코스피</t>
        </is>
      </c>
      <c r="D4248" s="2" t="inlineStr">
        <is>
          <t>003540</t>
        </is>
      </c>
      <c r="E4248" s="3" t="inlineStr">
        <is>
          <t>일괄신고추가서류(파생결합사채-주가연계파생결합사채)</t>
        </is>
      </c>
      <c r="F4248" s="3" t="inlineStr">
        <is>
          <t>대신증권</t>
        </is>
      </c>
      <c r="G4248" s="2" t="inlineStr">
        <is>
          <t>20260311004278</t>
        </is>
      </c>
      <c r="H4248" s="8">
        <f>HYPERLINK("https://dart.fss.or.kr/dsaf001/main.do?rcpNo=20260311004278", "공시열람")</f>
        <v/>
      </c>
    </row>
    <row r="4249">
      <c r="A4249" s="2" t="inlineStr">
        <is>
          <t>2026-03-11</t>
        </is>
      </c>
      <c r="B4249" s="3" t="inlineStr">
        <is>
          <t>사조동아원</t>
        </is>
      </c>
      <c r="C4249" s="2" t="inlineStr">
        <is>
          <t>코스피</t>
        </is>
      </c>
      <c r="D4249" s="2" t="inlineStr">
        <is>
          <t>008040</t>
        </is>
      </c>
      <c r="E4249" s="3" t="inlineStr">
        <is>
          <t>의결권대리행사권유참고서류</t>
        </is>
      </c>
      <c r="F4249" s="3" t="inlineStr">
        <is>
          <t>사조동아원</t>
        </is>
      </c>
      <c r="G4249" s="2" t="inlineStr">
        <is>
          <t>20260311004275</t>
        </is>
      </c>
      <c r="H4249" s="8">
        <f>HYPERLINK("https://dart.fss.or.kr/dsaf001/main.do?rcpNo=20260311004275", "공시열람")</f>
        <v/>
      </c>
    </row>
    <row r="4250">
      <c r="A4250" s="2" t="inlineStr">
        <is>
          <t>2026-03-11</t>
        </is>
      </c>
      <c r="B4250" s="3" t="inlineStr">
        <is>
          <t>SK리츠</t>
        </is>
      </c>
      <c r="C4250" s="2" t="inlineStr">
        <is>
          <t>코스피</t>
        </is>
      </c>
      <c r="D4250" s="2" t="inlineStr">
        <is>
          <t>395400</t>
        </is>
      </c>
      <c r="E4250" s="3" t="inlineStr">
        <is>
          <t xml:space="preserve">감사보고서제출              </t>
        </is>
      </c>
      <c r="F4250" s="3" t="inlineStr">
        <is>
          <t>SK리츠</t>
        </is>
      </c>
      <c r="G4250" s="2" t="inlineStr">
        <is>
          <t>20260311801664</t>
        </is>
      </c>
      <c r="H4250" s="8">
        <f>HYPERLINK("https://dart.fss.or.kr/dsaf001/main.do?rcpNo=20260311801664", "공시열람")</f>
        <v/>
      </c>
    </row>
    <row r="4251">
      <c r="A4251" s="2" t="inlineStr">
        <is>
          <t>2026-03-11 (정정: 2026-03-17)</t>
        </is>
      </c>
      <c r="B4251" s="3" t="inlineStr">
        <is>
          <t>제너셈</t>
        </is>
      </c>
      <c r="C4251" s="2" t="inlineStr">
        <is>
          <t>코스닥</t>
        </is>
      </c>
      <c r="D4251" s="2" t="inlineStr">
        <is>
          <t>217190</t>
        </is>
      </c>
      <c r="E4251" s="3" t="inlineStr">
        <is>
          <t>의결권대리행사권유참고서류 (정정: 20260317)</t>
        </is>
      </c>
      <c r="F4251" s="3" t="inlineStr">
        <is>
          <t>제너셈</t>
        </is>
      </c>
      <c r="G4251" s="2" t="inlineStr">
        <is>
          <t>20260317000300</t>
        </is>
      </c>
      <c r="H4251" s="8">
        <f>HYPERLINK("https://dart.fss.or.kr/dsaf001/main.do?rcpNo=20260317000300", "공시열람")</f>
        <v/>
      </c>
    </row>
    <row r="4252">
      <c r="A4252" s="2" t="inlineStr">
        <is>
          <t>2026-03-11</t>
        </is>
      </c>
      <c r="B4252" s="3" t="inlineStr">
        <is>
          <t>에코심플렉스</t>
        </is>
      </c>
      <c r="C4252" s="2" t="inlineStr">
        <is>
          <t>코스닥</t>
        </is>
      </c>
      <c r="D4252" s="2" t="inlineStr">
        <is>
          <t>038870</t>
        </is>
      </c>
      <c r="E4252" s="3" t="inlineStr">
        <is>
          <t>의결권대리행사권유참고서류</t>
        </is>
      </c>
      <c r="F4252" s="3" t="inlineStr">
        <is>
          <t>에코심플렉스</t>
        </is>
      </c>
      <c r="G4252" s="2" t="inlineStr">
        <is>
          <t>20260311004269</t>
        </is>
      </c>
      <c r="H4252" s="8">
        <f>HYPERLINK("https://dart.fss.or.kr/dsaf001/main.do?rcpNo=20260311004269", "공시열람")</f>
        <v/>
      </c>
    </row>
    <row r="4253">
      <c r="A4253" s="2" t="inlineStr">
        <is>
          <t>2026-03-11</t>
        </is>
      </c>
      <c r="B4253" s="3" t="inlineStr">
        <is>
          <t>이엔셀</t>
        </is>
      </c>
      <c r="C4253" s="2" t="inlineStr">
        <is>
          <t>코스닥</t>
        </is>
      </c>
      <c r="D4253" s="2" t="inlineStr">
        <is>
          <t>456070</t>
        </is>
      </c>
      <c r="E4253" s="3" t="inlineStr">
        <is>
          <t>임원ㆍ주요주주특정증권등소유상황보고서</t>
        </is>
      </c>
      <c r="F4253" s="3" t="inlineStr">
        <is>
          <t>전홍배</t>
        </is>
      </c>
      <c r="G4253" s="2" t="inlineStr">
        <is>
          <t>20260311004267</t>
        </is>
      </c>
      <c r="H4253" s="8">
        <f>HYPERLINK("https://dart.fss.or.kr/dsaf001/main.do?rcpNo=20260311004267", "공시열람")</f>
        <v/>
      </c>
    </row>
    <row r="4254">
      <c r="A4254" s="2" t="inlineStr">
        <is>
          <t>2026-03-11</t>
        </is>
      </c>
      <c r="B4254" s="3" t="inlineStr">
        <is>
          <t>감성코퍼레이션</t>
        </is>
      </c>
      <c r="C4254" s="2" t="inlineStr">
        <is>
          <t>코스닥</t>
        </is>
      </c>
      <c r="D4254" s="2" t="inlineStr">
        <is>
          <t>036620</t>
        </is>
      </c>
      <c r="E4254" s="3" t="inlineStr">
        <is>
          <t>의결권대리행사권유참고서류</t>
        </is>
      </c>
      <c r="F4254" s="3" t="inlineStr">
        <is>
          <t>감성코퍼레이션</t>
        </is>
      </c>
      <c r="G4254" s="2" t="inlineStr">
        <is>
          <t>20260311004265</t>
        </is>
      </c>
      <c r="H4254" s="8">
        <f>HYPERLINK("https://dart.fss.or.kr/dsaf001/main.do?rcpNo=20260311004265", "공시열람")</f>
        <v/>
      </c>
    </row>
    <row r="4255">
      <c r="A4255" s="2" t="inlineStr">
        <is>
          <t>2026-03-11</t>
        </is>
      </c>
      <c r="B4255" s="3" t="inlineStr">
        <is>
          <t>SB성보</t>
        </is>
      </c>
      <c r="C4255" s="2" t="inlineStr">
        <is>
          <t>코스피</t>
        </is>
      </c>
      <c r="D4255" s="2" t="inlineStr">
        <is>
          <t>003080</t>
        </is>
      </c>
      <c r="E4255" s="3" t="inlineStr">
        <is>
          <t>의결권대리행사권유참고서류</t>
        </is>
      </c>
      <c r="F4255" s="3" t="inlineStr">
        <is>
          <t>SB성보</t>
        </is>
      </c>
      <c r="G4255" s="2" t="inlineStr">
        <is>
          <t>20260311004264</t>
        </is>
      </c>
      <c r="H4255" s="8">
        <f>HYPERLINK("https://dart.fss.or.kr/dsaf001/main.do?rcpNo=20260311004264", "공시열람")</f>
        <v/>
      </c>
    </row>
    <row r="4256">
      <c r="A4256" s="2" t="inlineStr">
        <is>
          <t>2026-03-11</t>
        </is>
      </c>
      <c r="B4256" s="3" t="inlineStr">
        <is>
          <t>한온시스템</t>
        </is>
      </c>
      <c r="C4256" s="2" t="inlineStr">
        <is>
          <t>코스피</t>
        </is>
      </c>
      <c r="D4256" s="2" t="inlineStr">
        <is>
          <t>018880</t>
        </is>
      </c>
      <c r="E4256" s="3" t="inlineStr">
        <is>
          <t>의결권대리행사권유참고서류</t>
        </is>
      </c>
      <c r="F4256" s="3" t="inlineStr">
        <is>
          <t>한온시스템</t>
        </is>
      </c>
      <c r="G4256" s="2" t="inlineStr">
        <is>
          <t>20260311004262</t>
        </is>
      </c>
      <c r="H4256" s="8">
        <f>HYPERLINK("https://dart.fss.or.kr/dsaf001/main.do?rcpNo=20260311004262", "공시열람")</f>
        <v/>
      </c>
    </row>
    <row r="4257">
      <c r="A4257" s="2" t="inlineStr">
        <is>
          <t>2026-03-11 (정정: 2026-03-12)</t>
        </is>
      </c>
      <c r="B4257" s="3" t="inlineStr">
        <is>
          <t>KX하이텍</t>
        </is>
      </c>
      <c r="C4257" s="2" t="inlineStr">
        <is>
          <t>코스닥</t>
        </is>
      </c>
      <c r="D4257" s="2" t="inlineStr">
        <is>
          <t>052900</t>
        </is>
      </c>
      <c r="E4257" s="3" t="inlineStr">
        <is>
          <t>의결권대리행사권유참고서류 (정정: 20260312)</t>
        </is>
      </c>
      <c r="F4257" s="3" t="inlineStr">
        <is>
          <t>KX하이텍</t>
        </is>
      </c>
      <c r="G4257" s="2" t="inlineStr">
        <is>
          <t>20260312000783</t>
        </is>
      </c>
      <c r="H4257" s="8">
        <f>HYPERLINK("https://dart.fss.or.kr/dsaf001/main.do?rcpNo=20260312000783", "공시열람")</f>
        <v/>
      </c>
    </row>
    <row r="4258">
      <c r="A4258" s="2" t="inlineStr">
        <is>
          <t>2026-03-11</t>
        </is>
      </c>
      <c r="B4258" s="3" t="inlineStr">
        <is>
          <t>하이딥</t>
        </is>
      </c>
      <c r="C4258" s="2" t="inlineStr">
        <is>
          <t>코스닥</t>
        </is>
      </c>
      <c r="D4258" s="2" t="inlineStr">
        <is>
          <t>365590</t>
        </is>
      </c>
      <c r="E4258" s="3" t="inlineStr">
        <is>
          <t xml:space="preserve">단기차입금증가결정              </t>
        </is>
      </c>
      <c r="F4258" s="3" t="inlineStr">
        <is>
          <t>하이딥</t>
        </is>
      </c>
      <c r="G4258" s="2" t="inlineStr">
        <is>
          <t>20260311901855</t>
        </is>
      </c>
      <c r="H4258" s="8">
        <f>HYPERLINK("https://dart.fss.or.kr/dsaf001/main.do?rcpNo=20260311901855", "공시열람")</f>
        <v/>
      </c>
    </row>
    <row r="4259">
      <c r="A4259" s="2" t="inlineStr">
        <is>
          <t>2026-03-11</t>
        </is>
      </c>
      <c r="B4259" s="3" t="inlineStr">
        <is>
          <t>화인써키트</t>
        </is>
      </c>
      <c r="C4259" s="2" t="inlineStr">
        <is>
          <t>코스닥</t>
        </is>
      </c>
      <c r="D4259" s="2" t="inlineStr">
        <is>
          <t>127980</t>
        </is>
      </c>
      <c r="E4259" s="3" t="inlineStr">
        <is>
          <t xml:space="preserve">현금ㆍ현물배당결정              </t>
        </is>
      </c>
      <c r="F4259" s="3" t="inlineStr">
        <is>
          <t>화인써키트</t>
        </is>
      </c>
      <c r="G4259" s="2" t="inlineStr">
        <is>
          <t>20260311901694</t>
        </is>
      </c>
      <c r="H4259" s="8">
        <f>HYPERLINK("https://dart.fss.or.kr/dsaf001/main.do?rcpNo=20260311901694", "공시열람")</f>
        <v/>
      </c>
    </row>
    <row r="4260">
      <c r="A4260" s="2" t="inlineStr">
        <is>
          <t>2026-03-11 (정정: 2026-03-18)</t>
        </is>
      </c>
      <c r="B4260" s="3" t="inlineStr">
        <is>
          <t>동원산업</t>
        </is>
      </c>
      <c r="C4260" s="2" t="inlineStr">
        <is>
          <t>코스피</t>
        </is>
      </c>
      <c r="D4260" s="2" t="inlineStr">
        <is>
          <t>006040</t>
        </is>
      </c>
      <c r="E4260" s="3" t="inlineStr">
        <is>
          <t>[기재정정]주요사항보고서(감자결정) (정정: 20260318)</t>
        </is>
      </c>
      <c r="F4260" s="3" t="inlineStr">
        <is>
          <t>동원산업</t>
        </is>
      </c>
      <c r="G4260" s="2" t="inlineStr">
        <is>
          <t>20260318001141</t>
        </is>
      </c>
      <c r="H4260" s="8">
        <f>HYPERLINK("https://dart.fss.or.kr/dsaf001/main.do?rcpNo=20260318001141", "공시열람")</f>
        <v/>
      </c>
    </row>
    <row r="4261">
      <c r="A4261" s="2" t="inlineStr">
        <is>
          <t>2025-04-17 (정정: 2026-03-11)</t>
        </is>
      </c>
      <c r="B4261" s="3" t="inlineStr">
        <is>
          <t>THE CUBE&amp;</t>
        </is>
      </c>
      <c r="C4261" s="2" t="inlineStr">
        <is>
          <t>코스닥</t>
        </is>
      </c>
      <c r="D4261" s="2" t="inlineStr">
        <is>
          <t>013720</t>
        </is>
      </c>
      <c r="E4261" s="3" t="inlineStr">
        <is>
          <t>[기재정정]주요사항보고서(자기전환사채매도결정)</t>
        </is>
      </c>
      <c r="F4261" s="3" t="inlineStr">
        <is>
          <t>THE CUBE&amp;</t>
        </is>
      </c>
      <c r="G4261" s="2" t="inlineStr">
        <is>
          <t>20260311004182</t>
        </is>
      </c>
      <c r="H4261" s="8">
        <f>HYPERLINK("https://dart.fss.or.kr/dsaf001/main.do?rcpNo=20260311004182", "공시열람")</f>
        <v/>
      </c>
    </row>
    <row r="4262">
      <c r="A4262" s="2" t="inlineStr">
        <is>
          <t>2026-03-11</t>
        </is>
      </c>
      <c r="B4262" s="3" t="inlineStr">
        <is>
          <t>엔지켐생명과학</t>
        </is>
      </c>
      <c r="C4262" s="2" t="inlineStr">
        <is>
          <t>코스닥</t>
        </is>
      </c>
      <c r="D4262" s="2" t="inlineStr">
        <is>
          <t>183490</t>
        </is>
      </c>
      <c r="E4262" s="3" t="inlineStr">
        <is>
          <t>의결권대리행사권유참고서류</t>
        </is>
      </c>
      <c r="F4262" s="3" t="inlineStr">
        <is>
          <t>엔지켐생명과학</t>
        </is>
      </c>
      <c r="G4262" s="2" t="inlineStr">
        <is>
          <t>20260311004247</t>
        </is>
      </c>
      <c r="H4262" s="8">
        <f>HYPERLINK("https://dart.fss.or.kr/dsaf001/main.do?rcpNo=20260311004247", "공시열람")</f>
        <v/>
      </c>
    </row>
    <row r="4263">
      <c r="A4263" s="2" t="inlineStr">
        <is>
          <t>2026-03-11</t>
        </is>
      </c>
      <c r="B4263" s="3" t="inlineStr">
        <is>
          <t>서희건설</t>
        </is>
      </c>
      <c r="C4263" s="2" t="inlineStr">
        <is>
          <t>코스닥</t>
        </is>
      </c>
      <c r="D4263" s="2" t="inlineStr">
        <is>
          <t>035890</t>
        </is>
      </c>
      <c r="E4263" s="3" t="inlineStr">
        <is>
          <t xml:space="preserve">현금ㆍ현물배당결정              </t>
        </is>
      </c>
      <c r="F4263" s="3" t="inlineStr">
        <is>
          <t>서희건설</t>
        </is>
      </c>
      <c r="G4263" s="2" t="inlineStr">
        <is>
          <t>20260311901775</t>
        </is>
      </c>
      <c r="H4263" s="8">
        <f>HYPERLINK("https://dart.fss.or.kr/dsaf001/main.do?rcpNo=20260311901775", "공시열람")</f>
        <v/>
      </c>
    </row>
    <row r="4264">
      <c r="A4264" s="2" t="inlineStr">
        <is>
          <t>2026-03-11</t>
        </is>
      </c>
      <c r="B4264" s="3" t="inlineStr">
        <is>
          <t>코람코라이프인프라리츠</t>
        </is>
      </c>
      <c r="C4264" s="2" t="inlineStr">
        <is>
          <t>코스피</t>
        </is>
      </c>
      <c r="D4264" s="2" t="inlineStr">
        <is>
          <t>357120</t>
        </is>
      </c>
      <c r="E4264" s="3" t="inlineStr">
        <is>
          <t>임원ㆍ주요주주특정증권등소유상황보고서</t>
        </is>
      </c>
      <c r="F4264" s="3" t="inlineStr">
        <is>
          <t>미래에셋자산운용</t>
        </is>
      </c>
      <c r="G4264" s="2" t="inlineStr">
        <is>
          <t>20260311004244</t>
        </is>
      </c>
      <c r="H4264" s="8">
        <f>HYPERLINK("https://dart.fss.or.kr/dsaf001/main.do?rcpNo=20260311004244", "공시열람")</f>
        <v/>
      </c>
    </row>
    <row r="4265">
      <c r="A4265" s="2" t="inlineStr">
        <is>
          <t>2026-03-11</t>
        </is>
      </c>
      <c r="B4265" s="3" t="inlineStr">
        <is>
          <t>이지스밸류플러스리츠</t>
        </is>
      </c>
      <c r="C4265" s="2" t="inlineStr">
        <is>
          <t>코스피</t>
        </is>
      </c>
      <c r="D4265" s="2" t="inlineStr">
        <is>
          <t>334890</t>
        </is>
      </c>
      <c r="E4265" s="3" t="inlineStr">
        <is>
          <t>임원ㆍ주요주주특정증권등소유상황보고서</t>
        </is>
      </c>
      <c r="F4265" s="3" t="inlineStr">
        <is>
          <t>미래에셋자산운용</t>
        </is>
      </c>
      <c r="G4265" s="2" t="inlineStr">
        <is>
          <t>20260311004242</t>
        </is>
      </c>
      <c r="H4265" s="8">
        <f>HYPERLINK("https://dart.fss.or.kr/dsaf001/main.do?rcpNo=20260311004242", "공시열람")</f>
        <v/>
      </c>
    </row>
    <row r="4266">
      <c r="A4266" s="2" t="inlineStr">
        <is>
          <t>2026-03-11</t>
        </is>
      </c>
      <c r="B4266" s="3" t="inlineStr">
        <is>
          <t>SK네트웍스</t>
        </is>
      </c>
      <c r="C4266" s="2" t="inlineStr">
        <is>
          <t>코스피</t>
        </is>
      </c>
      <c r="D4266" s="2" t="inlineStr">
        <is>
          <t>001740</t>
        </is>
      </c>
      <c r="E4266" s="3" t="inlineStr">
        <is>
          <t xml:space="preserve">감사보고서제출              </t>
        </is>
      </c>
      <c r="F4266" s="3" t="inlineStr">
        <is>
          <t>SK네트웍스</t>
        </is>
      </c>
      <c r="G4266" s="2" t="inlineStr">
        <is>
          <t>20260311801750</t>
        </is>
      </c>
      <c r="H4266" s="8">
        <f>HYPERLINK("https://dart.fss.or.kr/dsaf001/main.do?rcpNo=20260311801750", "공시열람")</f>
        <v/>
      </c>
    </row>
    <row r="4267">
      <c r="A4267" s="2" t="inlineStr">
        <is>
          <t>2026-03-11</t>
        </is>
      </c>
      <c r="B4267" s="3" t="inlineStr">
        <is>
          <t>휴맥스홀딩스</t>
        </is>
      </c>
      <c r="C4267" s="2" t="inlineStr">
        <is>
          <t>코스닥</t>
        </is>
      </c>
      <c r="D4267" s="2" t="inlineStr">
        <is>
          <t>028080</t>
        </is>
      </c>
      <c r="E4267" s="3" t="inlineStr">
        <is>
          <t xml:space="preserve">주식병합결정              </t>
        </is>
      </c>
      <c r="F4267" s="3" t="inlineStr">
        <is>
          <t>휴맥스홀딩스</t>
        </is>
      </c>
      <c r="G4267" s="2" t="inlineStr">
        <is>
          <t>20260311901827</t>
        </is>
      </c>
      <c r="H4267" s="8">
        <f>HYPERLINK("https://dart.fss.or.kr/dsaf001/main.do?rcpNo=20260311901827", "공시열람")</f>
        <v/>
      </c>
    </row>
    <row r="4268">
      <c r="A4268" s="2" t="inlineStr">
        <is>
          <t>2026-03-11</t>
        </is>
      </c>
      <c r="B4268" s="3" t="inlineStr">
        <is>
          <t>이리츠코크렙</t>
        </is>
      </c>
      <c r="C4268" s="2" t="inlineStr">
        <is>
          <t>코스피</t>
        </is>
      </c>
      <c r="D4268" s="2" t="inlineStr">
        <is>
          <t>088260</t>
        </is>
      </c>
      <c r="E4268" s="3" t="inlineStr">
        <is>
          <t>임원ㆍ주요주주특정증권등소유상황보고서</t>
        </is>
      </c>
      <c r="F4268" s="3" t="inlineStr">
        <is>
          <t>미래에셋자산운용</t>
        </is>
      </c>
      <c r="G4268" s="2" t="inlineStr">
        <is>
          <t>20260311004239</t>
        </is>
      </c>
      <c r="H4268" s="8">
        <f>HYPERLINK("https://dart.fss.or.kr/dsaf001/main.do?rcpNo=20260311004239", "공시열람")</f>
        <v/>
      </c>
    </row>
    <row r="4269">
      <c r="A4269" s="2" t="inlineStr">
        <is>
          <t>2026-03-11</t>
        </is>
      </c>
      <c r="B4269" s="3" t="inlineStr">
        <is>
          <t>신한알파리츠</t>
        </is>
      </c>
      <c r="C4269" s="2" t="inlineStr">
        <is>
          <t>코스피</t>
        </is>
      </c>
      <c r="D4269" s="2" t="inlineStr">
        <is>
          <t>293940</t>
        </is>
      </c>
      <c r="E4269" s="3" t="inlineStr">
        <is>
          <t>임원ㆍ주요주주특정증권등소유상황보고서</t>
        </is>
      </c>
      <c r="F4269" s="3" t="inlineStr">
        <is>
          <t>미래에셋자산운용</t>
        </is>
      </c>
      <c r="G4269" s="2" t="inlineStr">
        <is>
          <t>20260311004238</t>
        </is>
      </c>
      <c r="H4269" s="8">
        <f>HYPERLINK("https://dart.fss.or.kr/dsaf001/main.do?rcpNo=20260311004238", "공시열람")</f>
        <v/>
      </c>
    </row>
    <row r="4270">
      <c r="A4270" s="2" t="inlineStr">
        <is>
          <t>2026-03-11</t>
        </is>
      </c>
      <c r="B4270" s="3" t="inlineStr">
        <is>
          <t>에스원</t>
        </is>
      </c>
      <c r="C4270" s="2" t="inlineStr">
        <is>
          <t>코스피</t>
        </is>
      </c>
      <c r="D4270" s="2" t="inlineStr">
        <is>
          <t>012750</t>
        </is>
      </c>
      <c r="E4270" s="3" t="inlineStr">
        <is>
          <t xml:space="preserve">감사보고서제출              </t>
        </is>
      </c>
      <c r="F4270" s="3" t="inlineStr">
        <is>
          <t>에스원</t>
        </is>
      </c>
      <c r="G4270" s="2" t="inlineStr">
        <is>
          <t>20260311801747</t>
        </is>
      </c>
      <c r="H4270" s="8">
        <f>HYPERLINK("https://dart.fss.or.kr/dsaf001/main.do?rcpNo=20260311801747", "공시열람")</f>
        <v/>
      </c>
    </row>
    <row r="4271">
      <c r="A4271" s="2" t="inlineStr">
        <is>
          <t>2026-03-11</t>
        </is>
      </c>
      <c r="B4271" s="3" t="inlineStr">
        <is>
          <t>미래에셋맵스리츠</t>
        </is>
      </c>
      <c r="C4271" s="2" t="inlineStr">
        <is>
          <t>코스피</t>
        </is>
      </c>
      <c r="D4271" s="2" t="inlineStr">
        <is>
          <t>357250</t>
        </is>
      </c>
      <c r="E4271" s="3" t="inlineStr">
        <is>
          <t>임원ㆍ주요주주특정증권등소유상황보고서</t>
        </is>
      </c>
      <c r="F4271" s="3" t="inlineStr">
        <is>
          <t>미래에셋자산운용</t>
        </is>
      </c>
      <c r="G4271" s="2" t="inlineStr">
        <is>
          <t>20260311004237</t>
        </is>
      </c>
      <c r="H4271" s="8">
        <f>HYPERLINK("https://dart.fss.or.kr/dsaf001/main.do?rcpNo=20260311004237", "공시열람")</f>
        <v/>
      </c>
    </row>
    <row r="4272">
      <c r="A4272" s="2" t="inlineStr">
        <is>
          <t>2026-03-11</t>
        </is>
      </c>
      <c r="B4272" s="3" t="inlineStr">
        <is>
          <t>롯데리츠</t>
        </is>
      </c>
      <c r="C4272" s="2" t="inlineStr">
        <is>
          <t>코스피</t>
        </is>
      </c>
      <c r="D4272" s="2" t="inlineStr">
        <is>
          <t>330590</t>
        </is>
      </c>
      <c r="E4272" s="3" t="inlineStr">
        <is>
          <t>임원ㆍ주요주주특정증권등소유상황보고서</t>
        </is>
      </c>
      <c r="F4272" s="3" t="inlineStr">
        <is>
          <t>미래에셋자산운용</t>
        </is>
      </c>
      <c r="G4272" s="2" t="inlineStr">
        <is>
          <t>20260311004236</t>
        </is>
      </c>
      <c r="H4272" s="8">
        <f>HYPERLINK("https://dart.fss.or.kr/dsaf001/main.do?rcpNo=20260311004236", "공시열람")</f>
        <v/>
      </c>
    </row>
    <row r="4273">
      <c r="A4273" s="2" t="inlineStr">
        <is>
          <t>2026-03-11</t>
        </is>
      </c>
      <c r="B4273" s="3" t="inlineStr">
        <is>
          <t>성창기업지주</t>
        </is>
      </c>
      <c r="C4273" s="2" t="inlineStr">
        <is>
          <t>코스피</t>
        </is>
      </c>
      <c r="D4273" s="2" t="inlineStr">
        <is>
          <t>000180</t>
        </is>
      </c>
      <c r="E4273" s="3" t="inlineStr">
        <is>
          <t xml:space="preserve">주식병합결정              </t>
        </is>
      </c>
      <c r="F4273" s="3" t="inlineStr">
        <is>
          <t>성창기업지주</t>
        </is>
      </c>
      <c r="G4273" s="2" t="inlineStr">
        <is>
          <t>20260311801627</t>
        </is>
      </c>
      <c r="H4273" s="8">
        <f>HYPERLINK("https://dart.fss.or.kr/dsaf001/main.do?rcpNo=20260311801627", "공시열람")</f>
        <v/>
      </c>
    </row>
    <row r="4274">
      <c r="A4274" s="2" t="inlineStr">
        <is>
          <t>2026-03-11</t>
        </is>
      </c>
      <c r="B4274" s="3" t="inlineStr">
        <is>
          <t>ESR켄달스퀘어리츠</t>
        </is>
      </c>
      <c r="C4274" s="2" t="inlineStr">
        <is>
          <t>코스피</t>
        </is>
      </c>
      <c r="D4274" s="2" t="inlineStr">
        <is>
          <t>365550</t>
        </is>
      </c>
      <c r="E4274" s="3" t="inlineStr">
        <is>
          <t>임원ㆍ주요주주특정증권등소유상황보고서</t>
        </is>
      </c>
      <c r="F4274" s="3" t="inlineStr">
        <is>
          <t>미래에셋자산운용</t>
        </is>
      </c>
      <c r="G4274" s="2" t="inlineStr">
        <is>
          <t>20260311004233</t>
        </is>
      </c>
      <c r="H4274" s="8">
        <f>HYPERLINK("https://dart.fss.or.kr/dsaf001/main.do?rcpNo=20260311004233", "공시열람")</f>
        <v/>
      </c>
    </row>
    <row r="4275">
      <c r="A4275" s="2" t="inlineStr">
        <is>
          <t>2026-03-11</t>
        </is>
      </c>
      <c r="B4275" s="3" t="inlineStr">
        <is>
          <t>롯데칠성음료</t>
        </is>
      </c>
      <c r="C4275" s="2" t="inlineStr">
        <is>
          <t>코스피</t>
        </is>
      </c>
      <c r="D4275" s="2" t="inlineStr">
        <is>
          <t>005300</t>
        </is>
      </c>
      <c r="E4275" s="3" t="inlineStr">
        <is>
          <t xml:space="preserve">감사보고서제출              </t>
        </is>
      </c>
      <c r="F4275" s="3" t="inlineStr">
        <is>
          <t>롯데칠성음료</t>
        </is>
      </c>
      <c r="G4275" s="2" t="inlineStr">
        <is>
          <t>20260311801734</t>
        </is>
      </c>
      <c r="H4275" s="8">
        <f>HYPERLINK("https://dart.fss.or.kr/dsaf001/main.do?rcpNo=20260311801734", "공시열람")</f>
        <v/>
      </c>
    </row>
    <row r="4276">
      <c r="A4276" s="2" t="inlineStr">
        <is>
          <t>2026-03-11</t>
        </is>
      </c>
      <c r="B4276" s="3" t="inlineStr">
        <is>
          <t>디앤디플랫폼리츠</t>
        </is>
      </c>
      <c r="C4276" s="2" t="inlineStr">
        <is>
          <t>코스피</t>
        </is>
      </c>
      <c r="D4276" s="2" t="inlineStr">
        <is>
          <t>377190</t>
        </is>
      </c>
      <c r="E4276" s="3" t="inlineStr">
        <is>
          <t>임원ㆍ주요주주특정증권등소유상황보고서</t>
        </is>
      </c>
      <c r="F4276" s="3" t="inlineStr">
        <is>
          <t>미래에셋자산운용</t>
        </is>
      </c>
      <c r="G4276" s="2" t="inlineStr">
        <is>
          <t>20260311004232</t>
        </is>
      </c>
      <c r="H4276" s="8">
        <f>HYPERLINK("https://dart.fss.or.kr/dsaf001/main.do?rcpNo=20260311004232", "공시열람")</f>
        <v/>
      </c>
    </row>
    <row r="4277">
      <c r="A4277" s="2" t="inlineStr">
        <is>
          <t>2026-03-11</t>
        </is>
      </c>
      <c r="B4277" s="3" t="inlineStr">
        <is>
          <t>SK리츠</t>
        </is>
      </c>
      <c r="C4277" s="2" t="inlineStr">
        <is>
          <t>코스피</t>
        </is>
      </c>
      <c r="D4277" s="2" t="inlineStr">
        <is>
          <t>395400</t>
        </is>
      </c>
      <c r="E4277" s="3" t="inlineStr">
        <is>
          <t>임원ㆍ주요주주특정증권등소유상황보고서</t>
        </is>
      </c>
      <c r="F4277" s="3" t="inlineStr">
        <is>
          <t>미래에셋자산운용</t>
        </is>
      </c>
      <c r="G4277" s="2" t="inlineStr">
        <is>
          <t>20260311004231</t>
        </is>
      </c>
      <c r="H4277" s="8">
        <f>HYPERLINK("https://dart.fss.or.kr/dsaf001/main.do?rcpNo=20260311004231", "공시열람")</f>
        <v/>
      </c>
    </row>
    <row r="4278">
      <c r="A4278" s="2" t="inlineStr">
        <is>
          <t>2026-03-11</t>
        </is>
      </c>
      <c r="B4278" s="3" t="inlineStr">
        <is>
          <t>신한서부티엔디리츠</t>
        </is>
      </c>
      <c r="C4278" s="2" t="inlineStr">
        <is>
          <t>코스피</t>
        </is>
      </c>
      <c r="D4278" s="2" t="inlineStr">
        <is>
          <t>404990</t>
        </is>
      </c>
      <c r="E4278" s="3" t="inlineStr">
        <is>
          <t>임원ㆍ주요주주특정증권등소유상황보고서</t>
        </is>
      </c>
      <c r="F4278" s="3" t="inlineStr">
        <is>
          <t>미래에셋자산운용</t>
        </is>
      </c>
      <c r="G4278" s="2" t="inlineStr">
        <is>
          <t>20260311004229</t>
        </is>
      </c>
      <c r="H4278" s="8">
        <f>HYPERLINK("https://dart.fss.or.kr/dsaf001/main.do?rcpNo=20260311004229", "공시열람")</f>
        <v/>
      </c>
    </row>
    <row r="4279">
      <c r="A4279" s="2" t="inlineStr">
        <is>
          <t>2026-03-11</t>
        </is>
      </c>
      <c r="B4279" s="3" t="inlineStr">
        <is>
          <t>코람코더원리츠</t>
        </is>
      </c>
      <c r="C4279" s="2" t="inlineStr">
        <is>
          <t>코스피</t>
        </is>
      </c>
      <c r="D4279" s="2" t="inlineStr">
        <is>
          <t>417310</t>
        </is>
      </c>
      <c r="E4279" s="3" t="inlineStr">
        <is>
          <t>임원ㆍ주요주주특정증권등소유상황보고서</t>
        </is>
      </c>
      <c r="F4279" s="3" t="inlineStr">
        <is>
          <t>미래에셋자산운용</t>
        </is>
      </c>
      <c r="G4279" s="2" t="inlineStr">
        <is>
          <t>20260311004227</t>
        </is>
      </c>
      <c r="H4279" s="8">
        <f>HYPERLINK("https://dart.fss.or.kr/dsaf001/main.do?rcpNo=20260311004227", "공시열람")</f>
        <v/>
      </c>
    </row>
    <row r="4280">
      <c r="A4280" s="2" t="inlineStr">
        <is>
          <t>2026-03-11</t>
        </is>
      </c>
      <c r="B4280" s="3" t="inlineStr">
        <is>
          <t>삼성FN리츠</t>
        </is>
      </c>
      <c r="C4280" s="2" t="inlineStr">
        <is>
          <t>코스피</t>
        </is>
      </c>
      <c r="D4280" s="2" t="inlineStr">
        <is>
          <t>448730</t>
        </is>
      </c>
      <c r="E4280" s="3" t="inlineStr">
        <is>
          <t>임원ㆍ주요주주특정증권등소유상황보고서</t>
        </is>
      </c>
      <c r="F4280" s="3" t="inlineStr">
        <is>
          <t>미래에셋자산운용</t>
        </is>
      </c>
      <c r="G4280" s="2" t="inlineStr">
        <is>
          <t>20260311004226</t>
        </is>
      </c>
      <c r="H4280" s="8">
        <f>HYPERLINK("https://dart.fss.or.kr/dsaf001/main.do?rcpNo=20260311004226", "공시열람")</f>
        <v/>
      </c>
    </row>
    <row r="4281">
      <c r="A4281" s="2" t="inlineStr">
        <is>
          <t>2026-03-11</t>
        </is>
      </c>
      <c r="B4281" s="3" t="inlineStr">
        <is>
          <t>한화리츠</t>
        </is>
      </c>
      <c r="C4281" s="2" t="inlineStr">
        <is>
          <t>코스피</t>
        </is>
      </c>
      <c r="D4281" s="2" t="inlineStr">
        <is>
          <t>451800</t>
        </is>
      </c>
      <c r="E4281" s="3" t="inlineStr">
        <is>
          <t>임원ㆍ주요주주특정증권등소유상황보고서</t>
        </is>
      </c>
      <c r="F4281" s="3" t="inlineStr">
        <is>
          <t>미래에셋자산운용</t>
        </is>
      </c>
      <c r="G4281" s="2" t="inlineStr">
        <is>
          <t>20260311004224</t>
        </is>
      </c>
      <c r="H4281" s="8">
        <f>HYPERLINK("https://dart.fss.or.kr/dsaf001/main.do?rcpNo=20260311004224", "공시열람")</f>
        <v/>
      </c>
    </row>
    <row r="4282">
      <c r="A4282" s="2" t="inlineStr">
        <is>
          <t>2026-03-11</t>
        </is>
      </c>
      <c r="B4282" s="3" t="inlineStr">
        <is>
          <t>동원산업</t>
        </is>
      </c>
      <c r="C4282" s="2" t="inlineStr">
        <is>
          <t>코스피</t>
        </is>
      </c>
      <c r="D4282" s="2" t="inlineStr">
        <is>
          <t>006040</t>
        </is>
      </c>
      <c r="E4282" s="3" t="inlineStr">
        <is>
          <t>특수관계인에대한출자</t>
        </is>
      </c>
      <c r="F4282" s="3" t="inlineStr">
        <is>
          <t>동원산업</t>
        </is>
      </c>
      <c r="G4282" s="2" t="inlineStr">
        <is>
          <t>20260311004223</t>
        </is>
      </c>
      <c r="H4282" s="8">
        <f>HYPERLINK("https://dart.fss.or.kr/dsaf001/main.do?rcpNo=20260311004223", "공시열람")</f>
        <v/>
      </c>
    </row>
    <row r="4283">
      <c r="A4283" s="2" t="inlineStr">
        <is>
          <t>2026-03-11</t>
        </is>
      </c>
      <c r="B4283" s="3" t="inlineStr">
        <is>
          <t>미래에셋생명</t>
        </is>
      </c>
      <c r="C4283" s="2" t="inlineStr">
        <is>
          <t>코스피</t>
        </is>
      </c>
      <c r="D4283" s="2" t="inlineStr">
        <is>
          <t>085620</t>
        </is>
      </c>
      <c r="E4283" s="3" t="inlineStr">
        <is>
          <t>임원ㆍ주요주주특정증권등소유상황보고서</t>
        </is>
      </c>
      <c r="F4283" s="3" t="inlineStr">
        <is>
          <t>정현영</t>
        </is>
      </c>
      <c r="G4283" s="2" t="inlineStr">
        <is>
          <t>20260311004221</t>
        </is>
      </c>
      <c r="H4283" s="8">
        <f>HYPERLINK("https://dart.fss.or.kr/dsaf001/main.do?rcpNo=20260311004221", "공시열람")</f>
        <v/>
      </c>
    </row>
    <row r="4284">
      <c r="A4284" s="2" t="inlineStr">
        <is>
          <t>2026-03-11</t>
        </is>
      </c>
      <c r="B4284" s="3" t="inlineStr">
        <is>
          <t>푸른로보틱스</t>
        </is>
      </c>
      <c r="C4284" s="2" t="inlineStr">
        <is>
          <t>코스닥</t>
        </is>
      </c>
      <c r="D4284" s="2" t="inlineStr">
        <is>
          <t>094940</t>
        </is>
      </c>
      <c r="E4284" s="3" t="inlineStr">
        <is>
          <t>의결권대리행사권유참고서류</t>
        </is>
      </c>
      <c r="F4284" s="3" t="inlineStr">
        <is>
          <t>푸른로보틱스</t>
        </is>
      </c>
      <c r="G4284" s="2" t="inlineStr">
        <is>
          <t>20260311004219</t>
        </is>
      </c>
      <c r="H4284" s="8">
        <f>HYPERLINK("https://dart.fss.or.kr/dsaf001/main.do?rcpNo=20260311004219", "공시열람")</f>
        <v/>
      </c>
    </row>
    <row r="4285">
      <c r="A4285" s="2" t="inlineStr">
        <is>
          <t>2026-03-11</t>
        </is>
      </c>
      <c r="B4285" s="3" t="inlineStr">
        <is>
          <t>에코글로우</t>
        </is>
      </c>
      <c r="C4285" s="2" t="inlineStr">
        <is>
          <t>코스닥</t>
        </is>
      </c>
      <c r="D4285" s="2" t="inlineStr">
        <is>
          <t>159910</t>
        </is>
      </c>
      <c r="E4285" s="3" t="inlineStr">
        <is>
          <t>증권발행결과(자율공시)              (제16회차 CB)</t>
        </is>
      </c>
      <c r="F4285" s="3" t="inlineStr">
        <is>
          <t>에코글로우</t>
        </is>
      </c>
      <c r="G4285" s="2" t="inlineStr">
        <is>
          <t>20260311901603</t>
        </is>
      </c>
      <c r="H4285" s="8">
        <f>HYPERLINK("https://dart.fss.or.kr/dsaf001/main.do?rcpNo=20260311901603", "공시열람")</f>
        <v/>
      </c>
    </row>
    <row r="4286">
      <c r="A4286" s="2" t="inlineStr">
        <is>
          <t>2026-03-11</t>
        </is>
      </c>
      <c r="B4286" s="3" t="inlineStr">
        <is>
          <t>케이지에이</t>
        </is>
      </c>
      <c r="C4286" s="2" t="inlineStr">
        <is>
          <t>코스닥</t>
        </is>
      </c>
      <c r="D4286" s="2" t="inlineStr">
        <is>
          <t>455180</t>
        </is>
      </c>
      <c r="E4286" s="3" t="inlineStr">
        <is>
          <t xml:space="preserve">감사보고서제출              </t>
        </is>
      </c>
      <c r="F4286" s="3" t="inlineStr">
        <is>
          <t>케이지에이</t>
        </is>
      </c>
      <c r="G4286" s="2" t="inlineStr">
        <is>
          <t>20260311901632</t>
        </is>
      </c>
      <c r="H4286" s="8">
        <f>HYPERLINK("https://dart.fss.or.kr/dsaf001/main.do?rcpNo=20260311901632", "공시열람")</f>
        <v/>
      </c>
    </row>
    <row r="4287">
      <c r="A4287" s="2" t="inlineStr">
        <is>
          <t>2026-03-11</t>
        </is>
      </c>
      <c r="B4287" s="3" t="inlineStr">
        <is>
          <t>동양</t>
        </is>
      </c>
      <c r="C4287" s="2" t="inlineStr">
        <is>
          <t>코스피</t>
        </is>
      </c>
      <c r="D4287" s="2" t="inlineStr">
        <is>
          <t>001520</t>
        </is>
      </c>
      <c r="E4287" s="3" t="inlineStr">
        <is>
          <t>의결권대리행사권유참고서류</t>
        </is>
      </c>
      <c r="F4287" s="3" t="inlineStr">
        <is>
          <t>동양</t>
        </is>
      </c>
      <c r="G4287" s="2" t="inlineStr">
        <is>
          <t>20260311004214</t>
        </is>
      </c>
      <c r="H4287" s="8">
        <f>HYPERLINK("https://dart.fss.or.kr/dsaf001/main.do?rcpNo=20260311004214", "공시열람")</f>
        <v/>
      </c>
    </row>
    <row r="4288">
      <c r="A4288" s="2" t="inlineStr">
        <is>
          <t>2026-03-11</t>
        </is>
      </c>
      <c r="B4288" s="3" t="inlineStr">
        <is>
          <t>DB증권</t>
        </is>
      </c>
      <c r="C4288" s="2" t="inlineStr">
        <is>
          <t>코스피</t>
        </is>
      </c>
      <c r="D4288" s="2" t="inlineStr">
        <is>
          <t>016610</t>
        </is>
      </c>
      <c r="E4288" s="3" t="inlineStr">
        <is>
          <t xml:space="preserve">현금ㆍ현물배당결정              </t>
        </is>
      </c>
      <c r="F4288" s="3" t="inlineStr">
        <is>
          <t>DB증권</t>
        </is>
      </c>
      <c r="G4288" s="2" t="inlineStr">
        <is>
          <t>20260311801790</t>
        </is>
      </c>
      <c r="H4288" s="8">
        <f>HYPERLINK("https://dart.fss.or.kr/dsaf001/main.do?rcpNo=20260311801790", "공시열람")</f>
        <v/>
      </c>
    </row>
    <row r="4289">
      <c r="A4289" s="2" t="inlineStr">
        <is>
          <t>2026-03-11</t>
        </is>
      </c>
      <c r="B4289" s="3" t="inlineStr">
        <is>
          <t>하림지주</t>
        </is>
      </c>
      <c r="C4289" s="2" t="inlineStr">
        <is>
          <t>코스닥</t>
        </is>
      </c>
      <c r="D4289" s="2" t="inlineStr">
        <is>
          <t>003380</t>
        </is>
      </c>
      <c r="E4289" s="3" t="inlineStr">
        <is>
          <t xml:space="preserve">감사보고서제출(자회사의 주요경영사항)              </t>
        </is>
      </c>
      <c r="F4289" s="3" t="inlineStr">
        <is>
          <t>하림지주</t>
        </is>
      </c>
      <c r="G4289" s="2" t="inlineStr">
        <is>
          <t>20260311901473</t>
        </is>
      </c>
      <c r="H4289" s="8">
        <f>HYPERLINK("https://dart.fss.or.kr/dsaf001/main.do?rcpNo=20260311901473", "공시열람")</f>
        <v/>
      </c>
    </row>
    <row r="4290">
      <c r="A4290" s="2" t="inlineStr">
        <is>
          <t>2026-03-11</t>
        </is>
      </c>
      <c r="B4290" s="3" t="inlineStr">
        <is>
          <t>풀무원</t>
        </is>
      </c>
      <c r="C4290" s="2" t="inlineStr">
        <is>
          <t>코스피</t>
        </is>
      </c>
      <c r="D4290" s="2" t="inlineStr">
        <is>
          <t>017810</t>
        </is>
      </c>
      <c r="E4290" s="3" t="inlineStr">
        <is>
          <t>현금ㆍ현물배당결정(자회사의 주요경영사항)              (자회사의 주요경영사항)</t>
        </is>
      </c>
      <c r="F4290" s="3" t="inlineStr">
        <is>
          <t>풀무원</t>
        </is>
      </c>
      <c r="G4290" s="2" t="inlineStr">
        <is>
          <t>20260311801616</t>
        </is>
      </c>
      <c r="H4290" s="8">
        <f>HYPERLINK("https://dart.fss.or.kr/dsaf001/main.do?rcpNo=20260311801616", "공시열람")</f>
        <v/>
      </c>
    </row>
    <row r="4291">
      <c r="A4291" s="2" t="inlineStr">
        <is>
          <t>2026-03-11 (정정: 2026-03-11)</t>
        </is>
      </c>
      <c r="B4291" s="3" t="inlineStr">
        <is>
          <t>PKC</t>
        </is>
      </c>
      <c r="C4291" s="2" t="inlineStr">
        <is>
          <t>코스피</t>
        </is>
      </c>
      <c r="D4291" s="2" t="inlineStr">
        <is>
          <t>001340</t>
        </is>
      </c>
      <c r="E4291" s="3" t="inlineStr">
        <is>
          <t>현금ㆍ현물배당결정               (정정: 20260311)</t>
        </is>
      </c>
      <c r="F4291" s="3" t="inlineStr">
        <is>
          <t>PKC</t>
        </is>
      </c>
      <c r="G4291" s="2" t="inlineStr">
        <is>
          <t>20260311801562</t>
        </is>
      </c>
      <c r="H4291" s="8">
        <f>HYPERLINK("https://dart.fss.or.kr/dsaf001/main.do?rcpNo=20260311801562", "공시열람")</f>
        <v/>
      </c>
    </row>
    <row r="4292">
      <c r="A4292" s="2" t="inlineStr">
        <is>
          <t>2026-03-11</t>
        </is>
      </c>
      <c r="B4292" s="3" t="inlineStr">
        <is>
          <t>메디아나</t>
        </is>
      </c>
      <c r="C4292" s="2" t="inlineStr">
        <is>
          <t>코스닥</t>
        </is>
      </c>
      <c r="D4292" s="2" t="inlineStr">
        <is>
          <t>041920</t>
        </is>
      </c>
      <c r="E4292" s="3" t="inlineStr">
        <is>
          <t xml:space="preserve">감사보고서제출              </t>
        </is>
      </c>
      <c r="F4292" s="3" t="inlineStr">
        <is>
          <t>메디아나</t>
        </is>
      </c>
      <c r="G4292" s="2" t="inlineStr">
        <is>
          <t>20260311901643</t>
        </is>
      </c>
      <c r="H4292" s="8">
        <f>HYPERLINK("https://dart.fss.or.kr/dsaf001/main.do?rcpNo=20260311901643", "공시열람")</f>
        <v/>
      </c>
    </row>
    <row r="4293">
      <c r="A4293" s="2" t="inlineStr">
        <is>
          <t>2026-03-11</t>
        </is>
      </c>
      <c r="B4293" s="3" t="inlineStr">
        <is>
          <t>미래에셋생명</t>
        </is>
      </c>
      <c r="C4293" s="2" t="inlineStr">
        <is>
          <t>코스피</t>
        </is>
      </c>
      <c r="D4293" s="2" t="inlineStr">
        <is>
          <t>085620</t>
        </is>
      </c>
      <c r="E4293" s="3" t="inlineStr">
        <is>
          <t>임원ㆍ주요주주특정증권등소유상황보고서</t>
        </is>
      </c>
      <c r="F4293" s="3" t="inlineStr">
        <is>
          <t>엄미리</t>
        </is>
      </c>
      <c r="G4293" s="2" t="inlineStr">
        <is>
          <t>20260311004200</t>
        </is>
      </c>
      <c r="H4293" s="8">
        <f>HYPERLINK("https://dart.fss.or.kr/dsaf001/main.do?rcpNo=20260311004200", "공시열람")</f>
        <v/>
      </c>
    </row>
    <row r="4294">
      <c r="A4294" s="2" t="inlineStr">
        <is>
          <t>2026-03-11</t>
        </is>
      </c>
      <c r="B4294" s="3" t="inlineStr">
        <is>
          <t>빅솔론</t>
        </is>
      </c>
      <c r="C4294" s="2" t="inlineStr">
        <is>
          <t>코스닥</t>
        </is>
      </c>
      <c r="D4294" s="2" t="inlineStr">
        <is>
          <t>093190</t>
        </is>
      </c>
      <c r="E4294" s="3" t="inlineStr">
        <is>
          <t xml:space="preserve">감사보고서제출              </t>
        </is>
      </c>
      <c r="F4294" s="3" t="inlineStr">
        <is>
          <t>빅솔론</t>
        </is>
      </c>
      <c r="G4294" s="2" t="inlineStr">
        <is>
          <t>20260311901555</t>
        </is>
      </c>
      <c r="H4294" s="8">
        <f>HYPERLINK("https://dart.fss.or.kr/dsaf001/main.do?rcpNo=20260311901555", "공시열람")</f>
        <v/>
      </c>
    </row>
    <row r="4295">
      <c r="A4295" s="2" t="inlineStr">
        <is>
          <t>2026-03-11</t>
        </is>
      </c>
      <c r="B4295" s="3" t="inlineStr">
        <is>
          <t>파인엠텍</t>
        </is>
      </c>
      <c r="C4295" s="2" t="inlineStr">
        <is>
          <t>코스닥</t>
        </is>
      </c>
      <c r="D4295" s="2" t="inlineStr">
        <is>
          <t>441270</t>
        </is>
      </c>
      <c r="E4295" s="3" t="inlineStr">
        <is>
          <t>[첨부정정]의결권대리행사권유참고서류</t>
        </is>
      </c>
      <c r="F4295" s="3" t="inlineStr">
        <is>
          <t>파인엠텍</t>
        </is>
      </c>
      <c r="G4295" s="2" t="inlineStr">
        <is>
          <t>20260311004194</t>
        </is>
      </c>
      <c r="H4295" s="8">
        <f>HYPERLINK("https://dart.fss.or.kr/dsaf001/main.do?rcpNo=20260311004194", "공시열람")</f>
        <v/>
      </c>
    </row>
    <row r="4296">
      <c r="A4296" s="2" t="inlineStr">
        <is>
          <t>2026-03-11</t>
        </is>
      </c>
      <c r="B4296" s="3" t="inlineStr">
        <is>
          <t>성도이엔지</t>
        </is>
      </c>
      <c r="C4296" s="2" t="inlineStr">
        <is>
          <t>코스닥</t>
        </is>
      </c>
      <c r="D4296" s="2" t="inlineStr">
        <is>
          <t>037350</t>
        </is>
      </c>
      <c r="E4296" s="3" t="inlineStr">
        <is>
          <t xml:space="preserve">[기재정정]매출액또는손익구조30%(대규모법인은15%)이상변동              </t>
        </is>
      </c>
      <c r="F4296" s="3" t="inlineStr">
        <is>
          <t>성도이엔지</t>
        </is>
      </c>
      <c r="G4296" s="2" t="inlineStr">
        <is>
          <t>20260311901390</t>
        </is>
      </c>
      <c r="H4296" s="8">
        <f>HYPERLINK("https://dart.fss.or.kr/dsaf001/main.do?rcpNo=20260311901390", "공시열람")</f>
        <v/>
      </c>
    </row>
    <row r="4297">
      <c r="A4297" s="2" t="inlineStr">
        <is>
          <t>2026-03-11 (정정: 2026-03-12)</t>
        </is>
      </c>
      <c r="B4297" s="3" t="inlineStr">
        <is>
          <t>사토시홀딩스</t>
        </is>
      </c>
      <c r="C4297" s="2" t="inlineStr">
        <is>
          <t>코스닥</t>
        </is>
      </c>
      <c r="D4297" s="2" t="inlineStr">
        <is>
          <t>223310</t>
        </is>
      </c>
      <c r="E4297" s="3" t="inlineStr">
        <is>
          <t>타법인주식및출자증권취득결정               (정정: 20260312)</t>
        </is>
      </c>
      <c r="F4297" s="3" t="inlineStr">
        <is>
          <t>사토시홀딩스</t>
        </is>
      </c>
      <c r="G4297" s="2" t="inlineStr">
        <is>
          <t>20260312901256</t>
        </is>
      </c>
      <c r="H4297" s="8">
        <f>HYPERLINK("https://dart.fss.or.kr/dsaf001/main.do?rcpNo=20260312901256", "공시열람")</f>
        <v/>
      </c>
    </row>
    <row r="4298">
      <c r="A4298" s="2" t="inlineStr">
        <is>
          <t>2026-03-11</t>
        </is>
      </c>
      <c r="B4298" s="3" t="inlineStr">
        <is>
          <t>디에이치엑스컴퍼니</t>
        </is>
      </c>
      <c r="C4298" s="2" t="inlineStr">
        <is>
          <t>코스닥</t>
        </is>
      </c>
      <c r="D4298" s="2" t="inlineStr">
        <is>
          <t>031860</t>
        </is>
      </c>
      <c r="E4298" s="3" t="inlineStr">
        <is>
          <t xml:space="preserve">조회공시요구(현저한시황변동)에대한답변(미확정)              </t>
        </is>
      </c>
      <c r="F4298" s="3" t="inlineStr">
        <is>
          <t>디에이치엑스컴퍼니</t>
        </is>
      </c>
      <c r="G4298" s="2" t="inlineStr">
        <is>
          <t>20260311901614</t>
        </is>
      </c>
      <c r="H4298" s="8">
        <f>HYPERLINK("https://dart.fss.or.kr/dsaf001/main.do?rcpNo=20260311901614", "공시열람")</f>
        <v/>
      </c>
    </row>
    <row r="4299">
      <c r="A4299" s="2" t="inlineStr">
        <is>
          <t>2026-03-11</t>
        </is>
      </c>
      <c r="B4299" s="3" t="inlineStr">
        <is>
          <t>아이비김영</t>
        </is>
      </c>
      <c r="C4299" s="2" t="inlineStr">
        <is>
          <t>코스닥</t>
        </is>
      </c>
      <c r="D4299" s="2" t="inlineStr">
        <is>
          <t>339950</t>
        </is>
      </c>
      <c r="E4299" s="3" t="inlineStr">
        <is>
          <t xml:space="preserve">기업가치제고계획(자율공시)              </t>
        </is>
      </c>
      <c r="F4299" s="3" t="inlineStr">
        <is>
          <t>아이비김영</t>
        </is>
      </c>
      <c r="G4299" s="2" t="inlineStr">
        <is>
          <t>20260311901362</t>
        </is>
      </c>
      <c r="H4299" s="8">
        <f>HYPERLINK("https://dart.fss.or.kr/dsaf001/main.do?rcpNo=20260311901362", "공시열람")</f>
        <v/>
      </c>
    </row>
    <row r="4300">
      <c r="A4300" s="2" t="inlineStr">
        <is>
          <t>2026-03-11 (정정: 2026-03-18)</t>
        </is>
      </c>
      <c r="B4300" s="3" t="inlineStr">
        <is>
          <t>코스맥스</t>
        </is>
      </c>
      <c r="C4300" s="2" t="inlineStr">
        <is>
          <t>코스피</t>
        </is>
      </c>
      <c r="D4300" s="2" t="inlineStr">
        <is>
          <t>192820</t>
        </is>
      </c>
      <c r="E4300" s="3" t="inlineStr">
        <is>
          <t>의결권대리행사권유참고서류 (정정: 20260318)</t>
        </is>
      </c>
      <c r="F4300" s="3" t="inlineStr">
        <is>
          <t>코스맥스</t>
        </is>
      </c>
      <c r="G4300" s="2" t="inlineStr">
        <is>
          <t>20260318000440</t>
        </is>
      </c>
      <c r="H4300" s="8">
        <f>HYPERLINK("https://dart.fss.or.kr/dsaf001/main.do?rcpNo=20260318000440", "공시열람")</f>
        <v/>
      </c>
    </row>
    <row r="4301">
      <c r="A4301" s="2" t="inlineStr">
        <is>
          <t>2026-03-11</t>
        </is>
      </c>
      <c r="B4301" s="3" t="inlineStr">
        <is>
          <t>일진전기</t>
        </is>
      </c>
      <c r="C4301" s="2" t="inlineStr">
        <is>
          <t>코스피</t>
        </is>
      </c>
      <c r="D4301" s="2" t="inlineStr">
        <is>
          <t>103590</t>
        </is>
      </c>
      <c r="E4301" s="3" t="inlineStr">
        <is>
          <t xml:space="preserve">감사보고서제출              </t>
        </is>
      </c>
      <c r="F4301" s="3" t="inlineStr">
        <is>
          <t>일진전기</t>
        </is>
      </c>
      <c r="G4301" s="2" t="inlineStr">
        <is>
          <t>20260311801690</t>
        </is>
      </c>
      <c r="H4301" s="8">
        <f>HYPERLINK("https://dart.fss.or.kr/dsaf001/main.do?rcpNo=20260311801690", "공시열람")</f>
        <v/>
      </c>
    </row>
    <row r="4302">
      <c r="A4302" s="2" t="inlineStr">
        <is>
          <t>2026-03-11</t>
        </is>
      </c>
      <c r="B4302" s="3" t="inlineStr">
        <is>
          <t>미래에셋생명</t>
        </is>
      </c>
      <c r="C4302" s="2" t="inlineStr">
        <is>
          <t>코스피</t>
        </is>
      </c>
      <c r="D4302" s="2" t="inlineStr">
        <is>
          <t>085620</t>
        </is>
      </c>
      <c r="E4302" s="3" t="inlineStr">
        <is>
          <t>임원ㆍ주요주주특정증권등소유상황보고서</t>
        </is>
      </c>
      <c r="F4302" s="3" t="inlineStr">
        <is>
          <t>윤성훈</t>
        </is>
      </c>
      <c r="G4302" s="2" t="inlineStr">
        <is>
          <t>20260311004180</t>
        </is>
      </c>
      <c r="H4302" s="8">
        <f>HYPERLINK("https://dart.fss.or.kr/dsaf001/main.do?rcpNo=20260311004180", "공시열람")</f>
        <v/>
      </c>
    </row>
    <row r="4303">
      <c r="A4303" s="2" t="inlineStr">
        <is>
          <t>2026-03-11</t>
        </is>
      </c>
      <c r="B4303" s="3" t="inlineStr">
        <is>
          <t>티로보틱스</t>
        </is>
      </c>
      <c r="C4303" s="2" t="inlineStr">
        <is>
          <t>코스닥</t>
        </is>
      </c>
      <c r="D4303" s="2" t="inlineStr">
        <is>
          <t>117730</t>
        </is>
      </c>
      <c r="E4303" s="3" t="inlineStr">
        <is>
          <t>의결권대리행사권유참고서류</t>
        </is>
      </c>
      <c r="F4303" s="3" t="inlineStr">
        <is>
          <t>티로보틱스</t>
        </is>
      </c>
      <c r="G4303" s="2" t="inlineStr">
        <is>
          <t>20260311004178</t>
        </is>
      </c>
      <c r="H4303" s="8">
        <f>HYPERLINK("https://dart.fss.or.kr/dsaf001/main.do?rcpNo=20260311004178", "공시열람")</f>
        <v/>
      </c>
    </row>
    <row r="4304">
      <c r="A4304" s="2" t="inlineStr">
        <is>
          <t>2026-03-11</t>
        </is>
      </c>
      <c r="B4304" s="3" t="inlineStr">
        <is>
          <t>동일산업</t>
        </is>
      </c>
      <c r="C4304" s="2" t="inlineStr">
        <is>
          <t>코스피</t>
        </is>
      </c>
      <c r="D4304" s="2" t="inlineStr">
        <is>
          <t>004890</t>
        </is>
      </c>
      <c r="E4304" s="3" t="inlineStr">
        <is>
          <t>의결권대리행사권유참고서류</t>
        </is>
      </c>
      <c r="F4304" s="3" t="inlineStr">
        <is>
          <t>동일산업</t>
        </is>
      </c>
      <c r="G4304" s="2" t="inlineStr">
        <is>
          <t>20260311004177</t>
        </is>
      </c>
      <c r="H4304" s="8">
        <f>HYPERLINK("https://dart.fss.or.kr/dsaf001/main.do?rcpNo=20260311004177", "공시열람")</f>
        <v/>
      </c>
    </row>
    <row r="4305">
      <c r="A4305" s="2" t="inlineStr">
        <is>
          <t>2026-03-11</t>
        </is>
      </c>
      <c r="B4305" s="3" t="inlineStr">
        <is>
          <t>흥국화재</t>
        </is>
      </c>
      <c r="C4305" s="2" t="inlineStr">
        <is>
          <t>코스피</t>
        </is>
      </c>
      <c r="D4305" s="2" t="inlineStr">
        <is>
          <t>000540</t>
        </is>
      </c>
      <c r="E4305" s="3" t="inlineStr">
        <is>
          <t>의결권대리행사권유참고서류</t>
        </is>
      </c>
      <c r="F4305" s="3" t="inlineStr">
        <is>
          <t>흥국화재</t>
        </is>
      </c>
      <c r="G4305" s="2" t="inlineStr">
        <is>
          <t>20260311004175</t>
        </is>
      </c>
      <c r="H4305" s="8">
        <f>HYPERLINK("https://dart.fss.or.kr/dsaf001/main.do?rcpNo=20260311004175", "공시열람")</f>
        <v/>
      </c>
    </row>
    <row r="4306">
      <c r="A4306" s="2" t="inlineStr">
        <is>
          <t>2026-03-11</t>
        </is>
      </c>
      <c r="B4306" s="3" t="inlineStr">
        <is>
          <t>티엑스알로보틱스</t>
        </is>
      </c>
      <c r="C4306" s="2" t="inlineStr">
        <is>
          <t>코스닥</t>
        </is>
      </c>
      <c r="D4306" s="2" t="inlineStr">
        <is>
          <t>484810</t>
        </is>
      </c>
      <c r="E4306" s="3" t="inlineStr">
        <is>
          <t>의결권대리행사권유참고서류</t>
        </is>
      </c>
      <c r="F4306" s="3" t="inlineStr">
        <is>
          <t>티엑스알로보틱스</t>
        </is>
      </c>
      <c r="G4306" s="2" t="inlineStr">
        <is>
          <t>20260311004174</t>
        </is>
      </c>
      <c r="H4306" s="8">
        <f>HYPERLINK("https://dart.fss.or.kr/dsaf001/main.do?rcpNo=20260311004174", "공시열람")</f>
        <v/>
      </c>
    </row>
    <row r="4307">
      <c r="A4307" s="2" t="inlineStr">
        <is>
          <t>2026-03-11</t>
        </is>
      </c>
      <c r="B4307" s="3" t="inlineStr">
        <is>
          <t>네오크레마</t>
        </is>
      </c>
      <c r="C4307" s="2" t="inlineStr">
        <is>
          <t>코스닥</t>
        </is>
      </c>
      <c r="D4307" s="2" t="inlineStr">
        <is>
          <t>311390</t>
        </is>
      </c>
      <c r="E4307" s="3" t="inlineStr">
        <is>
          <t xml:space="preserve">현금ㆍ현물배당을위한주주명부폐쇄(기준일)결정              </t>
        </is>
      </c>
      <c r="F4307" s="3" t="inlineStr">
        <is>
          <t>네오크레마</t>
        </is>
      </c>
      <c r="G4307" s="2" t="inlineStr">
        <is>
          <t>20260311901717</t>
        </is>
      </c>
      <c r="H4307" s="8">
        <f>HYPERLINK("https://dart.fss.or.kr/dsaf001/main.do?rcpNo=20260311901717", "공시열람")</f>
        <v/>
      </c>
    </row>
    <row r="4308">
      <c r="A4308" s="2" t="inlineStr">
        <is>
          <t>2026-03-11</t>
        </is>
      </c>
      <c r="B4308" s="3" t="inlineStr">
        <is>
          <t>KTis</t>
        </is>
      </c>
      <c r="C4308" s="2" t="inlineStr">
        <is>
          <t>코스피</t>
        </is>
      </c>
      <c r="D4308" s="2" t="inlineStr">
        <is>
          <t>058860</t>
        </is>
      </c>
      <c r="E4308" s="3" t="inlineStr">
        <is>
          <t>의결권대리행사권유참고서류</t>
        </is>
      </c>
      <c r="F4308" s="3" t="inlineStr">
        <is>
          <t>KTis</t>
        </is>
      </c>
      <c r="G4308" s="2" t="inlineStr">
        <is>
          <t>20260311004169</t>
        </is>
      </c>
      <c r="H4308" s="8">
        <f>HYPERLINK("https://dart.fss.or.kr/dsaf001/main.do?rcpNo=20260311004169", "공시열람")</f>
        <v/>
      </c>
    </row>
    <row r="4309">
      <c r="A4309" s="2" t="inlineStr">
        <is>
          <t>2026-03-11</t>
        </is>
      </c>
      <c r="B4309" s="3" t="inlineStr">
        <is>
          <t>현대무벡스</t>
        </is>
      </c>
      <c r="C4309" s="2" t="inlineStr">
        <is>
          <t>코스닥</t>
        </is>
      </c>
      <c r="D4309" s="2" t="inlineStr">
        <is>
          <t>319400</t>
        </is>
      </c>
      <c r="E4309" s="3" t="inlineStr">
        <is>
          <t>의결권대리행사권유참고서류</t>
        </is>
      </c>
      <c r="F4309" s="3" t="inlineStr">
        <is>
          <t>현대무벡스</t>
        </is>
      </c>
      <c r="G4309" s="2" t="inlineStr">
        <is>
          <t>20260311004168</t>
        </is>
      </c>
      <c r="H4309" s="8">
        <f>HYPERLINK("https://dart.fss.or.kr/dsaf001/main.do?rcpNo=20260311004168", "공시열람")</f>
        <v/>
      </c>
    </row>
    <row r="4310">
      <c r="A4310" s="2" t="inlineStr">
        <is>
          <t>2026-03-11</t>
        </is>
      </c>
      <c r="B4310" s="3" t="inlineStr">
        <is>
          <t>기업은행</t>
        </is>
      </c>
      <c r="C4310" s="2" t="inlineStr">
        <is>
          <t>코스피</t>
        </is>
      </c>
      <c r="D4310" s="2" t="inlineStr">
        <is>
          <t>024110</t>
        </is>
      </c>
      <c r="E4310" s="3" t="inlineStr">
        <is>
          <t>의결권대리행사권유참고서류</t>
        </is>
      </c>
      <c r="F4310" s="3" t="inlineStr">
        <is>
          <t>기업은행</t>
        </is>
      </c>
      <c r="G4310" s="2" t="inlineStr">
        <is>
          <t>20260311004166</t>
        </is>
      </c>
      <c r="H4310" s="8">
        <f>HYPERLINK("https://dart.fss.or.kr/dsaf001/main.do?rcpNo=20260311004166", "공시열람")</f>
        <v/>
      </c>
    </row>
    <row r="4311">
      <c r="A4311" s="2" t="inlineStr">
        <is>
          <t>2026-03-11 (정정: 2026-03-11)</t>
        </is>
      </c>
      <c r="B4311" s="3" t="inlineStr">
        <is>
          <t>신일전자</t>
        </is>
      </c>
      <c r="C4311" s="2" t="inlineStr">
        <is>
          <t>코스피</t>
        </is>
      </c>
      <c r="D4311" s="2" t="inlineStr">
        <is>
          <t>002700</t>
        </is>
      </c>
      <c r="E4311" s="3" t="inlineStr">
        <is>
          <t>의결권대리행사권유참고서류 (정정: 20260311)</t>
        </is>
      </c>
      <c r="F4311" s="3" t="inlineStr">
        <is>
          <t>신일전자</t>
        </is>
      </c>
      <c r="G4311" s="2" t="inlineStr">
        <is>
          <t>20260311801038</t>
        </is>
      </c>
      <c r="H4311" s="8">
        <f>HYPERLINK("https://dart.fss.or.kr/dsaf001/main.do?rcpNo=20260311801038", "공시열람")</f>
        <v/>
      </c>
    </row>
    <row r="4312">
      <c r="A4312" s="2" t="inlineStr">
        <is>
          <t>2026-03-11</t>
        </is>
      </c>
      <c r="B4312" s="3" t="inlineStr">
        <is>
          <t>유안타증권</t>
        </is>
      </c>
      <c r="C4312" s="2" t="inlineStr">
        <is>
          <t>코스피</t>
        </is>
      </c>
      <c r="D4312" s="2" t="inlineStr">
        <is>
          <t>003470</t>
        </is>
      </c>
      <c r="E4312" s="3" t="inlineStr">
        <is>
          <t>임원ㆍ주요주주특정증권등소유상황보고서</t>
        </is>
      </c>
      <c r="F4312" s="3" t="inlineStr">
        <is>
          <t>유안타씨큐리티즈아시아파이낸셜서비시스프라이빗리미티드</t>
        </is>
      </c>
      <c r="G4312" s="2" t="inlineStr">
        <is>
          <t>20260311004163</t>
        </is>
      </c>
      <c r="H4312" s="8">
        <f>HYPERLINK("https://dart.fss.or.kr/dsaf001/main.do?rcpNo=20260311004163", "공시열람")</f>
        <v/>
      </c>
    </row>
    <row r="4313">
      <c r="A4313" s="2" t="inlineStr">
        <is>
          <t>2026-03-11</t>
        </is>
      </c>
      <c r="B4313" s="3" t="inlineStr">
        <is>
          <t>미래에셋생명</t>
        </is>
      </c>
      <c r="C4313" s="2" t="inlineStr">
        <is>
          <t>코스피</t>
        </is>
      </c>
      <c r="D4313" s="2" t="inlineStr">
        <is>
          <t>085620</t>
        </is>
      </c>
      <c r="E4313" s="3" t="inlineStr">
        <is>
          <t>임원ㆍ주요주주특정증권등소유상황보고서</t>
        </is>
      </c>
      <c r="F4313" s="3" t="inlineStr">
        <is>
          <t>황재석</t>
        </is>
      </c>
      <c r="G4313" s="2" t="inlineStr">
        <is>
          <t>20260311004162</t>
        </is>
      </c>
      <c r="H4313" s="8">
        <f>HYPERLINK("https://dart.fss.or.kr/dsaf001/main.do?rcpNo=20260311004162", "공시열람")</f>
        <v/>
      </c>
    </row>
    <row r="4314">
      <c r="A4314" s="2" t="inlineStr">
        <is>
          <t>2026-03-11</t>
        </is>
      </c>
      <c r="B4314" s="3" t="inlineStr">
        <is>
          <t>일진홀딩스</t>
        </is>
      </c>
      <c r="C4314" s="2" t="inlineStr">
        <is>
          <t>코스피</t>
        </is>
      </c>
      <c r="D4314" s="2" t="inlineStr">
        <is>
          <t>015860</t>
        </is>
      </c>
      <c r="E4314" s="3" t="inlineStr">
        <is>
          <t xml:space="preserve">감사보고서제출              </t>
        </is>
      </c>
      <c r="F4314" s="3" t="inlineStr">
        <is>
          <t>일진홀딩스</t>
        </is>
      </c>
      <c r="G4314" s="2" t="inlineStr">
        <is>
          <t>20260311801563</t>
        </is>
      </c>
      <c r="H4314" s="8">
        <f>HYPERLINK("https://dart.fss.or.kr/dsaf001/main.do?rcpNo=20260311801563", "공시열람")</f>
        <v/>
      </c>
    </row>
    <row r="4315">
      <c r="A4315" s="2" t="inlineStr">
        <is>
          <t>2026-03-11</t>
        </is>
      </c>
      <c r="B4315" s="3" t="inlineStr">
        <is>
          <t>이오플로우</t>
        </is>
      </c>
      <c r="C4315" s="2" t="inlineStr">
        <is>
          <t>코스닥</t>
        </is>
      </c>
      <c r="D4315" s="2" t="inlineStr">
        <is>
          <t>294090</t>
        </is>
      </c>
      <c r="E4315" s="3" t="inlineStr">
        <is>
          <t>증권발행결과(자율공시)              (제3자배정 유상증자)</t>
        </is>
      </c>
      <c r="F4315" s="3" t="inlineStr">
        <is>
          <t>이오플로우</t>
        </is>
      </c>
      <c r="G4315" s="2" t="inlineStr">
        <is>
          <t>20260311901641</t>
        </is>
      </c>
      <c r="H4315" s="8">
        <f>HYPERLINK("https://dart.fss.or.kr/dsaf001/main.do?rcpNo=20260311901641", "공시열람")</f>
        <v/>
      </c>
    </row>
    <row r="4316">
      <c r="A4316" s="2" t="inlineStr">
        <is>
          <t>2026-03-11 (정정: 2026-03-12)</t>
        </is>
      </c>
      <c r="B4316" s="3" t="inlineStr">
        <is>
          <t>우진비앤지</t>
        </is>
      </c>
      <c r="C4316" s="2" t="inlineStr">
        <is>
          <t>코스닥</t>
        </is>
      </c>
      <c r="D4316" s="2" t="inlineStr">
        <is>
          <t>018620</t>
        </is>
      </c>
      <c r="E4316" s="3" t="inlineStr">
        <is>
          <t>의결권대리행사권유참고서류 (정정: 20260312)</t>
        </is>
      </c>
      <c r="F4316" s="3" t="inlineStr">
        <is>
          <t>우진비앤지</t>
        </is>
      </c>
      <c r="G4316" s="2" t="inlineStr">
        <is>
          <t>20260312000681</t>
        </is>
      </c>
      <c r="H4316" s="8">
        <f>HYPERLINK("https://dart.fss.or.kr/dsaf001/main.do?rcpNo=20260312000681", "공시열람")</f>
        <v/>
      </c>
    </row>
    <row r="4317">
      <c r="A4317" s="2" t="inlineStr">
        <is>
          <t>2026-03-11</t>
        </is>
      </c>
      <c r="B4317" s="3" t="inlineStr">
        <is>
          <t>코스메카코리아</t>
        </is>
      </c>
      <c r="C4317" s="2" t="inlineStr">
        <is>
          <t>코스닥</t>
        </is>
      </c>
      <c r="D4317" s="2" t="inlineStr">
        <is>
          <t>241710</t>
        </is>
      </c>
      <c r="E4317" s="3" t="inlineStr">
        <is>
          <t>의결권대리행사권유참고서류</t>
        </is>
      </c>
      <c r="F4317" s="3" t="inlineStr">
        <is>
          <t>코스메카코리아</t>
        </is>
      </c>
      <c r="G4317" s="2" t="inlineStr">
        <is>
          <t>20260311004159</t>
        </is>
      </c>
      <c r="H4317" s="8">
        <f>HYPERLINK("https://dart.fss.or.kr/dsaf001/main.do?rcpNo=20260311004159", "공시열람")</f>
        <v/>
      </c>
    </row>
    <row r="4318">
      <c r="A4318" s="2" t="inlineStr">
        <is>
          <t>2026-03-11</t>
        </is>
      </c>
      <c r="B4318" s="3" t="inlineStr">
        <is>
          <t>아이즈비전</t>
        </is>
      </c>
      <c r="C4318" s="2" t="inlineStr">
        <is>
          <t>코스닥</t>
        </is>
      </c>
      <c r="D4318" s="2" t="inlineStr">
        <is>
          <t>031310</t>
        </is>
      </c>
      <c r="E4318" s="3" t="inlineStr">
        <is>
          <t xml:space="preserve">매출액또는손익구조30%(대규모법인은15%)이상변동              </t>
        </is>
      </c>
      <c r="F4318" s="3" t="inlineStr">
        <is>
          <t>아이즈비전</t>
        </is>
      </c>
      <c r="G4318" s="2" t="inlineStr">
        <is>
          <t>20260311901278</t>
        </is>
      </c>
      <c r="H4318" s="8">
        <f>HYPERLINK("https://dart.fss.or.kr/dsaf001/main.do?rcpNo=20260311901278", "공시열람")</f>
        <v/>
      </c>
    </row>
    <row r="4319">
      <c r="A4319" s="2" t="inlineStr">
        <is>
          <t>2026-03-11</t>
        </is>
      </c>
      <c r="B4319" s="3" t="inlineStr">
        <is>
          <t>삼익THK</t>
        </is>
      </c>
      <c r="C4319" s="2" t="inlineStr">
        <is>
          <t>코스피</t>
        </is>
      </c>
      <c r="D4319" s="2" t="inlineStr">
        <is>
          <t>004380</t>
        </is>
      </c>
      <c r="E4319" s="3" t="inlineStr">
        <is>
          <t xml:space="preserve">기업설명회(IR)개최(안내공시)              </t>
        </is>
      </c>
      <c r="F4319" s="3" t="inlineStr">
        <is>
          <t>삼익THK</t>
        </is>
      </c>
      <c r="G4319" s="2" t="inlineStr">
        <is>
          <t>20260311801683</t>
        </is>
      </c>
      <c r="H4319" s="8">
        <f>HYPERLINK("https://dart.fss.or.kr/dsaf001/main.do?rcpNo=20260311801683", "공시열람")</f>
        <v/>
      </c>
    </row>
    <row r="4320">
      <c r="A4320" s="2" t="inlineStr">
        <is>
          <t>2026-03-11</t>
        </is>
      </c>
      <c r="B4320" s="3" t="inlineStr">
        <is>
          <t>CJ</t>
        </is>
      </c>
      <c r="C4320" s="2" t="inlineStr">
        <is>
          <t>코스피</t>
        </is>
      </c>
      <c r="D4320" s="2" t="inlineStr">
        <is>
          <t>001040</t>
        </is>
      </c>
      <c r="E4320" s="3" t="inlineStr">
        <is>
          <t>사외이사의선임ㆍ해임또는중도퇴임에관한신고</t>
        </is>
      </c>
      <c r="F4320" s="3" t="inlineStr">
        <is>
          <t>CJ</t>
        </is>
      </c>
      <c r="G4320" s="2" t="inlineStr">
        <is>
          <t>20260311004152</t>
        </is>
      </c>
      <c r="H4320" s="8">
        <f>HYPERLINK("https://dart.fss.or.kr/dsaf001/main.do?rcpNo=20260311004152", "공시열람")</f>
        <v/>
      </c>
    </row>
    <row r="4321">
      <c r="A4321" s="2" t="inlineStr">
        <is>
          <t>2026-03-11</t>
        </is>
      </c>
      <c r="B4321" s="3" t="inlineStr">
        <is>
          <t>씨젠</t>
        </is>
      </c>
      <c r="C4321" s="2" t="inlineStr">
        <is>
          <t>코스닥</t>
        </is>
      </c>
      <c r="D4321" s="2" t="inlineStr">
        <is>
          <t>096530</t>
        </is>
      </c>
      <c r="E4321" s="3" t="inlineStr">
        <is>
          <t>주요사항보고서(자기주식처분결정)</t>
        </is>
      </c>
      <c r="F4321" s="3" t="inlineStr">
        <is>
          <t>씨젠</t>
        </is>
      </c>
      <c r="G4321" s="2" t="inlineStr">
        <is>
          <t>20260311004042</t>
        </is>
      </c>
      <c r="H4321" s="8">
        <f>HYPERLINK("https://dart.fss.or.kr/dsaf001/main.do?rcpNo=20260311004042", "공시열람")</f>
        <v/>
      </c>
    </row>
    <row r="4322">
      <c r="A4322" s="2" t="inlineStr">
        <is>
          <t>2026-03-11</t>
        </is>
      </c>
      <c r="B4322" s="3" t="inlineStr">
        <is>
          <t>팬스타엔터프라이즈</t>
        </is>
      </c>
      <c r="C4322" s="2" t="inlineStr">
        <is>
          <t>코스닥</t>
        </is>
      </c>
      <c r="D4322" s="2" t="inlineStr">
        <is>
          <t>054300</t>
        </is>
      </c>
      <c r="E4322" s="3" t="inlineStr">
        <is>
          <t xml:space="preserve">주식병합결정              </t>
        </is>
      </c>
      <c r="F4322" s="3" t="inlineStr">
        <is>
          <t>팬스타엔터프라이즈</t>
        </is>
      </c>
      <c r="G4322" s="2" t="inlineStr">
        <is>
          <t>20260311901677</t>
        </is>
      </c>
      <c r="H4322" s="8">
        <f>HYPERLINK("https://dart.fss.or.kr/dsaf001/main.do?rcpNo=20260311901677", "공시열람")</f>
        <v/>
      </c>
    </row>
    <row r="4323">
      <c r="A4323" s="2" t="inlineStr">
        <is>
          <t>2026-03-11 (정정: 2026-03-23)</t>
        </is>
      </c>
      <c r="B4323" s="3" t="inlineStr">
        <is>
          <t>NICE인프라</t>
        </is>
      </c>
      <c r="C4323" s="2" t="inlineStr">
        <is>
          <t>코스닥</t>
        </is>
      </c>
      <c r="D4323" s="2" t="inlineStr">
        <is>
          <t>063570</t>
        </is>
      </c>
      <c r="E4323" s="3" t="inlineStr">
        <is>
          <t>의결권대리행사권유참고서류 (정정: 20260316) (정정: 20260323)</t>
        </is>
      </c>
      <c r="F4323" s="3" t="inlineStr">
        <is>
          <t>NICE인프라</t>
        </is>
      </c>
      <c r="G4323" s="2" t="inlineStr">
        <is>
          <t>20260323001587</t>
        </is>
      </c>
      <c r="H4323" s="8">
        <f>HYPERLINK("https://dart.fss.or.kr/dsaf001/main.do?rcpNo=20260323001587", "공시열람")</f>
        <v/>
      </c>
    </row>
    <row r="4324">
      <c r="A4324" s="2" t="inlineStr">
        <is>
          <t>2026-03-11</t>
        </is>
      </c>
      <c r="B4324" s="3" t="inlineStr">
        <is>
          <t>더블유게임즈</t>
        </is>
      </c>
      <c r="C4324" s="2" t="inlineStr">
        <is>
          <t>코스피</t>
        </is>
      </c>
      <c r="D4324" s="2" t="inlineStr">
        <is>
          <t>192080</t>
        </is>
      </c>
      <c r="E4324" s="3" t="inlineStr">
        <is>
          <t>사외이사의선임ㆍ해임또는중도퇴임에관한신고</t>
        </is>
      </c>
      <c r="F4324" s="3" t="inlineStr">
        <is>
          <t>더블유게임즈</t>
        </is>
      </c>
      <c r="G4324" s="2" t="inlineStr">
        <is>
          <t>20260311004146</t>
        </is>
      </c>
      <c r="H4324" s="8">
        <f>HYPERLINK("https://dart.fss.or.kr/dsaf001/main.do?rcpNo=20260311004146", "공시열람")</f>
        <v/>
      </c>
    </row>
    <row r="4325">
      <c r="A4325" s="2" t="inlineStr">
        <is>
          <t>2026-03-11</t>
        </is>
      </c>
      <c r="B4325" s="3" t="inlineStr">
        <is>
          <t>삼익THK</t>
        </is>
      </c>
      <c r="C4325" s="2" t="inlineStr">
        <is>
          <t>코스피</t>
        </is>
      </c>
      <c r="D4325" s="2" t="inlineStr">
        <is>
          <t>004380</t>
        </is>
      </c>
      <c r="E4325" s="3" t="inlineStr">
        <is>
          <t xml:space="preserve">기업설명회(IR)개최(안내공시)              </t>
        </is>
      </c>
      <c r="F4325" s="3" t="inlineStr">
        <is>
          <t>삼익THK</t>
        </is>
      </c>
      <c r="G4325" s="2" t="inlineStr">
        <is>
          <t>20260311801669</t>
        </is>
      </c>
      <c r="H4325" s="8">
        <f>HYPERLINK("https://dart.fss.or.kr/dsaf001/main.do?rcpNo=20260311801669", "공시열람")</f>
        <v/>
      </c>
    </row>
    <row r="4326">
      <c r="A4326" s="2" t="inlineStr">
        <is>
          <t>2026-03-11</t>
        </is>
      </c>
      <c r="B4326" s="3" t="inlineStr">
        <is>
          <t>디어유</t>
        </is>
      </c>
      <c r="C4326" s="2" t="inlineStr">
        <is>
          <t>코스닥</t>
        </is>
      </c>
      <c r="D4326" s="2" t="inlineStr">
        <is>
          <t>376300</t>
        </is>
      </c>
      <c r="E4326" s="3" t="inlineStr">
        <is>
          <t xml:space="preserve">배당락              </t>
        </is>
      </c>
      <c r="F4326" s="3" t="inlineStr">
        <is>
          <t>코스닥시장본부</t>
        </is>
      </c>
      <c r="G4326" s="2" t="inlineStr">
        <is>
          <t>20260311901653</t>
        </is>
      </c>
      <c r="H4326" s="8">
        <f>HYPERLINK("https://dart.fss.or.kr/dsaf001/main.do?rcpNo=20260311901653", "공시열람")</f>
        <v/>
      </c>
    </row>
    <row r="4327">
      <c r="A4327" s="2" t="inlineStr">
        <is>
          <t>2026-03-11</t>
        </is>
      </c>
      <c r="B4327" s="3" t="inlineStr">
        <is>
          <t>티사이언티픽</t>
        </is>
      </c>
      <c r="C4327" s="2" t="inlineStr">
        <is>
          <t>코스닥</t>
        </is>
      </c>
      <c r="D4327" s="2" t="inlineStr">
        <is>
          <t>057680</t>
        </is>
      </c>
      <c r="E4327" s="3" t="inlineStr">
        <is>
          <t xml:space="preserve">매출액또는손익구조30%(대규모법인은15%)이상변동              </t>
        </is>
      </c>
      <c r="F4327" s="3" t="inlineStr">
        <is>
          <t>티사이언티픽</t>
        </is>
      </c>
      <c r="G4327" s="2" t="inlineStr">
        <is>
          <t>20260311901526</t>
        </is>
      </c>
      <c r="H4327" s="8">
        <f>HYPERLINK("https://dart.fss.or.kr/dsaf001/main.do?rcpNo=20260311901526", "공시열람")</f>
        <v/>
      </c>
    </row>
    <row r="4328">
      <c r="A4328" s="2" t="inlineStr">
        <is>
          <t>2026-03-11</t>
        </is>
      </c>
      <c r="B4328" s="3" t="inlineStr">
        <is>
          <t>한양증권</t>
        </is>
      </c>
      <c r="C4328" s="2" t="inlineStr">
        <is>
          <t>코스피</t>
        </is>
      </c>
      <c r="D4328" s="2" t="inlineStr">
        <is>
          <t>001750</t>
        </is>
      </c>
      <c r="E4328" s="3" t="inlineStr">
        <is>
          <t xml:space="preserve">현금ㆍ현물배당을위한주주명부폐쇄(기준일)결정              </t>
        </is>
      </c>
      <c r="F4328" s="3" t="inlineStr">
        <is>
          <t>한양증권</t>
        </is>
      </c>
      <c r="G4328" s="2" t="inlineStr">
        <is>
          <t>20260311801655</t>
        </is>
      </c>
      <c r="H4328" s="8">
        <f>HYPERLINK("https://dart.fss.or.kr/dsaf001/main.do?rcpNo=20260311801655", "공시열람")</f>
        <v/>
      </c>
    </row>
    <row r="4329">
      <c r="A4329" s="2" t="inlineStr">
        <is>
          <t>2026-03-11</t>
        </is>
      </c>
      <c r="B4329" s="3" t="inlineStr">
        <is>
          <t>경동제약</t>
        </is>
      </c>
      <c r="C4329" s="2" t="inlineStr">
        <is>
          <t>코스닥</t>
        </is>
      </c>
      <c r="D4329" s="2" t="inlineStr">
        <is>
          <t>011040</t>
        </is>
      </c>
      <c r="E4329" s="3" t="inlineStr">
        <is>
          <t>자기주식처분결과보고서</t>
        </is>
      </c>
      <c r="F4329" s="3" t="inlineStr">
        <is>
          <t>경동제약</t>
        </is>
      </c>
      <c r="G4329" s="2" t="inlineStr">
        <is>
          <t>20260311004139</t>
        </is>
      </c>
      <c r="H4329" s="8">
        <f>HYPERLINK("https://dart.fss.or.kr/dsaf001/main.do?rcpNo=20260311004139", "공시열람")</f>
        <v/>
      </c>
    </row>
    <row r="4330">
      <c r="A4330" s="2" t="inlineStr">
        <is>
          <t>2026-03-11</t>
        </is>
      </c>
      <c r="B4330" s="3" t="inlineStr">
        <is>
          <t>골프존홀딩스</t>
        </is>
      </c>
      <c r="C4330" s="2" t="inlineStr">
        <is>
          <t>코스닥</t>
        </is>
      </c>
      <c r="D4330" s="2" t="inlineStr">
        <is>
          <t>121440</t>
        </is>
      </c>
      <c r="E4330" s="3" t="inlineStr">
        <is>
          <t xml:space="preserve">감사보고서제출(자회사의 주요경영사항)              </t>
        </is>
      </c>
      <c r="F4330" s="3" t="inlineStr">
        <is>
          <t>골프존홀딩스</t>
        </is>
      </c>
      <c r="G4330" s="2" t="inlineStr">
        <is>
          <t>20260311901564</t>
        </is>
      </c>
      <c r="H4330" s="8">
        <f>HYPERLINK("https://dart.fss.or.kr/dsaf001/main.do?rcpNo=20260311901564", "공시열람")</f>
        <v/>
      </c>
    </row>
    <row r="4331">
      <c r="A4331" s="2" t="inlineStr">
        <is>
          <t>2026-03-11 (정정: 2026-06-15)</t>
        </is>
      </c>
      <c r="B4331" s="3" t="inlineStr">
        <is>
          <t>한주에이알티</t>
        </is>
      </c>
      <c r="C4331" s="2" t="inlineStr">
        <is>
          <t>코스닥</t>
        </is>
      </c>
      <c r="D4331" s="2" t="inlineStr">
        <is>
          <t>058450</t>
        </is>
      </c>
      <c r="E4331" s="3" t="inlineStr">
        <is>
          <t>주요사항보고서(자본으로인정되는채무증권발행결정) (정정: 20260615)</t>
        </is>
      </c>
      <c r="F4331" s="3" t="inlineStr">
        <is>
          <t>한주에이알티</t>
        </is>
      </c>
      <c r="G4331" s="2" t="inlineStr">
        <is>
          <t>20260615900408</t>
        </is>
      </c>
      <c r="H4331" s="8">
        <f>HYPERLINK("https://dart.fss.or.kr/dsaf001/main.do?rcpNo=20260615900408", "공시열람")</f>
        <v/>
      </c>
    </row>
    <row r="4332">
      <c r="A4332" s="2" t="inlineStr">
        <is>
          <t>2026-03-11</t>
        </is>
      </c>
      <c r="B4332" s="3" t="inlineStr">
        <is>
          <t>더블유씨피</t>
        </is>
      </c>
      <c r="C4332" s="2" t="inlineStr">
        <is>
          <t>코스닥</t>
        </is>
      </c>
      <c r="D4332" s="2" t="inlineStr">
        <is>
          <t>393890</t>
        </is>
      </c>
      <c r="E4332" s="3" t="inlineStr">
        <is>
          <t>의결권대리행사권유참고서류</t>
        </is>
      </c>
      <c r="F4332" s="3" t="inlineStr">
        <is>
          <t>더블유씨피</t>
        </is>
      </c>
      <c r="G4332" s="2" t="inlineStr">
        <is>
          <t>20260311004132</t>
        </is>
      </c>
      <c r="H4332" s="8">
        <f>HYPERLINK("https://dart.fss.or.kr/dsaf001/main.do?rcpNo=20260311004132", "공시열람")</f>
        <v/>
      </c>
    </row>
    <row r="4333">
      <c r="A4333" s="2" t="inlineStr">
        <is>
          <t>2026-03-11 (정정: 2026-03-18)</t>
        </is>
      </c>
      <c r="B4333" s="3" t="inlineStr">
        <is>
          <t>솔브레인홀딩스</t>
        </is>
      </c>
      <c r="C4333" s="2" t="inlineStr">
        <is>
          <t>코스닥</t>
        </is>
      </c>
      <c r="D4333" s="2" t="inlineStr">
        <is>
          <t>036830</t>
        </is>
      </c>
      <c r="E4333" s="3" t="inlineStr">
        <is>
          <t>의결권대리행사권유참고서류 (정정: 20260318)</t>
        </is>
      </c>
      <c r="F4333" s="3" t="inlineStr">
        <is>
          <t>솔브레인홀딩스</t>
        </is>
      </c>
      <c r="G4333" s="2" t="inlineStr">
        <is>
          <t>20260318001259</t>
        </is>
      </c>
      <c r="H4333" s="8">
        <f>HYPERLINK("https://dart.fss.or.kr/dsaf001/main.do?rcpNo=20260318001259", "공시열람")</f>
        <v/>
      </c>
    </row>
    <row r="4334">
      <c r="A4334" s="2" t="inlineStr">
        <is>
          <t>2026-03-11</t>
        </is>
      </c>
      <c r="B4334" s="3" t="inlineStr">
        <is>
          <t>한양증권</t>
        </is>
      </c>
      <c r="C4334" s="2" t="inlineStr">
        <is>
          <t>코스피</t>
        </is>
      </c>
      <c r="D4334" s="2" t="inlineStr">
        <is>
          <t>001750</t>
        </is>
      </c>
      <c r="E4334" s="3" t="inlineStr">
        <is>
          <t xml:space="preserve">현금ㆍ현물배당결정              </t>
        </is>
      </c>
      <c r="F4334" s="3" t="inlineStr">
        <is>
          <t>한양증권</t>
        </is>
      </c>
      <c r="G4334" s="2" t="inlineStr">
        <is>
          <t>20260311801638</t>
        </is>
      </c>
      <c r="H4334" s="8">
        <f>HYPERLINK("https://dart.fss.or.kr/dsaf001/main.do?rcpNo=20260311801638", "공시열람")</f>
        <v/>
      </c>
    </row>
    <row r="4335">
      <c r="A4335" s="2" t="inlineStr">
        <is>
          <t>2026-03-11</t>
        </is>
      </c>
      <c r="B4335" s="3" t="inlineStr">
        <is>
          <t>일진다이아</t>
        </is>
      </c>
      <c r="C4335" s="2" t="inlineStr">
        <is>
          <t>코스피</t>
        </is>
      </c>
      <c r="D4335" s="2" t="inlineStr">
        <is>
          <t>081000</t>
        </is>
      </c>
      <c r="E4335" s="3" t="inlineStr">
        <is>
          <t xml:space="preserve">감사보고서제출              </t>
        </is>
      </c>
      <c r="F4335" s="3" t="inlineStr">
        <is>
          <t>일진다이아</t>
        </is>
      </c>
      <c r="G4335" s="2" t="inlineStr">
        <is>
          <t>20260311801472</t>
        </is>
      </c>
      <c r="H4335" s="8">
        <f>HYPERLINK("https://dart.fss.or.kr/dsaf001/main.do?rcpNo=20260311801472", "공시열람")</f>
        <v/>
      </c>
    </row>
    <row r="4336">
      <c r="A4336" s="2" t="inlineStr">
        <is>
          <t>2026-03-11</t>
        </is>
      </c>
      <c r="B4336" s="3" t="inlineStr">
        <is>
          <t>유진스팩10호</t>
        </is>
      </c>
      <c r="C4336" s="2" t="inlineStr">
        <is>
          <t>코스닥</t>
        </is>
      </c>
      <c r="D4336" s="2" t="inlineStr">
        <is>
          <t>468760</t>
        </is>
      </c>
      <c r="E4336" s="3" t="inlineStr">
        <is>
          <t xml:space="preserve">감사보고서제출              </t>
        </is>
      </c>
      <c r="F4336" s="3" t="inlineStr">
        <is>
          <t>유진스팩10호</t>
        </is>
      </c>
      <c r="G4336" s="2" t="inlineStr">
        <is>
          <t>20260311901206</t>
        </is>
      </c>
      <c r="H4336" s="8">
        <f>HYPERLINK("https://dart.fss.or.kr/dsaf001/main.do?rcpNo=20260311901206", "공시열람")</f>
        <v/>
      </c>
    </row>
    <row r="4337">
      <c r="A4337" s="2" t="inlineStr">
        <is>
          <t>2026-03-11 (정정: 2026-03-12)</t>
        </is>
      </c>
      <c r="B4337" s="3" t="inlineStr">
        <is>
          <t>아바코</t>
        </is>
      </c>
      <c r="C4337" s="2" t="inlineStr">
        <is>
          <t>코스닥</t>
        </is>
      </c>
      <c r="D4337" s="2" t="inlineStr">
        <is>
          <t>083930</t>
        </is>
      </c>
      <c r="E4337" s="3" t="inlineStr">
        <is>
          <t>의결권대리행사권유참고서류 (정정: 20260312)</t>
        </is>
      </c>
      <c r="F4337" s="3" t="inlineStr">
        <is>
          <t>아바코</t>
        </is>
      </c>
      <c r="G4337" s="2" t="inlineStr">
        <is>
          <t>20260312000082</t>
        </is>
      </c>
      <c r="H4337" s="8">
        <f>HYPERLINK("https://dart.fss.or.kr/dsaf001/main.do?rcpNo=20260312000082", "공시열람")</f>
        <v/>
      </c>
    </row>
    <row r="4338">
      <c r="A4338" s="2" t="inlineStr">
        <is>
          <t>2026-03-11</t>
        </is>
      </c>
      <c r="B4338" s="3" t="inlineStr">
        <is>
          <t>신영증권</t>
        </is>
      </c>
      <c r="C4338" s="2" t="inlineStr">
        <is>
          <t>코스피</t>
        </is>
      </c>
      <c r="D4338" s="2" t="inlineStr">
        <is>
          <t>001720</t>
        </is>
      </c>
      <c r="E4338" s="3" t="inlineStr">
        <is>
          <t>일괄신고추가서류(파생결합사채-주가연계파생결합사채)</t>
        </is>
      </c>
      <c r="F4338" s="3" t="inlineStr">
        <is>
          <t>신영증권</t>
        </is>
      </c>
      <c r="G4338" s="2" t="inlineStr">
        <is>
          <t>20260311004125</t>
        </is>
      </c>
      <c r="H4338" s="8">
        <f>HYPERLINK("https://dart.fss.or.kr/dsaf001/main.do?rcpNo=20260311004125", "공시열람")</f>
        <v/>
      </c>
    </row>
    <row r="4339">
      <c r="A4339" s="2" t="inlineStr">
        <is>
          <t>2026-03-11 (정정: 2026-04-16)</t>
        </is>
      </c>
      <c r="B4339" s="3" t="inlineStr">
        <is>
          <t>머큐리</t>
        </is>
      </c>
      <c r="C4339" s="2" t="inlineStr">
        <is>
          <t>코스닥</t>
        </is>
      </c>
      <c r="D4339" s="2" t="inlineStr">
        <is>
          <t>100590</t>
        </is>
      </c>
      <c r="E4339" s="3" t="inlineStr">
        <is>
          <t>매출액또는손익구조30%(대규모법인은15%)이상변동               (정정: 20260416)</t>
        </is>
      </c>
      <c r="F4339" s="3" t="inlineStr">
        <is>
          <t>머큐리</t>
        </is>
      </c>
      <c r="G4339" s="2" t="inlineStr">
        <is>
          <t>20260416900268</t>
        </is>
      </c>
      <c r="H4339" s="8">
        <f>HYPERLINK("https://dart.fss.or.kr/dsaf001/main.do?rcpNo=20260416900268", "공시열람")</f>
        <v/>
      </c>
    </row>
    <row r="4340">
      <c r="A4340" s="2" t="inlineStr">
        <is>
          <t>2026-03-11</t>
        </is>
      </c>
      <c r="B4340" s="3" t="inlineStr">
        <is>
          <t>성우</t>
        </is>
      </c>
      <c r="C4340" s="2" t="inlineStr">
        <is>
          <t>코스닥</t>
        </is>
      </c>
      <c r="D4340" s="2" t="inlineStr">
        <is>
          <t>458650</t>
        </is>
      </c>
      <c r="E4340" s="3" t="inlineStr">
        <is>
          <t>의결권대리행사권유참고서류</t>
        </is>
      </c>
      <c r="F4340" s="3" t="inlineStr">
        <is>
          <t>성우</t>
        </is>
      </c>
      <c r="G4340" s="2" t="inlineStr">
        <is>
          <t>20260311004122</t>
        </is>
      </c>
      <c r="H4340" s="8">
        <f>HYPERLINK("https://dart.fss.or.kr/dsaf001/main.do?rcpNo=20260311004122", "공시열람")</f>
        <v/>
      </c>
    </row>
    <row r="4341">
      <c r="A4341" s="2" t="inlineStr">
        <is>
          <t>2026-03-11</t>
        </is>
      </c>
      <c r="B4341" s="3" t="inlineStr">
        <is>
          <t>우성머티리얼스</t>
        </is>
      </c>
      <c r="C4341" s="2" t="inlineStr">
        <is>
          <t>코스피</t>
        </is>
      </c>
      <c r="D4341" s="2" t="inlineStr">
        <is>
          <t>011300</t>
        </is>
      </c>
      <c r="E4341" s="3" t="inlineStr">
        <is>
          <t xml:space="preserve">주식병합결정              </t>
        </is>
      </c>
      <c r="F4341" s="3" t="inlineStr">
        <is>
          <t>우성머티리얼스</t>
        </is>
      </c>
      <c r="G4341" s="2" t="inlineStr">
        <is>
          <t>20260311801539</t>
        </is>
      </c>
      <c r="H4341" s="8">
        <f>HYPERLINK("https://dart.fss.or.kr/dsaf001/main.do?rcpNo=20260311801539", "공시열람")</f>
        <v/>
      </c>
    </row>
    <row r="4342">
      <c r="A4342" s="2" t="inlineStr">
        <is>
          <t>2026-03-11</t>
        </is>
      </c>
      <c r="B4342" s="3" t="inlineStr">
        <is>
          <t>미래에셋생명</t>
        </is>
      </c>
      <c r="C4342" s="2" t="inlineStr">
        <is>
          <t>코스피</t>
        </is>
      </c>
      <c r="D4342" s="2" t="inlineStr">
        <is>
          <t>085620</t>
        </is>
      </c>
      <c r="E4342" s="3" t="inlineStr">
        <is>
          <t>임원ㆍ주요주주특정증권등소유상황보고서</t>
        </is>
      </c>
      <c r="F4342" s="3" t="inlineStr">
        <is>
          <t>정성원</t>
        </is>
      </c>
      <c r="G4342" s="2" t="inlineStr">
        <is>
          <t>20260311004119</t>
        </is>
      </c>
      <c r="H4342" s="8">
        <f>HYPERLINK("https://dart.fss.or.kr/dsaf001/main.do?rcpNo=20260311004119", "공시열람")</f>
        <v/>
      </c>
    </row>
    <row r="4343">
      <c r="A4343" s="2" t="inlineStr">
        <is>
          <t>2026-03-11 (정정: 2026-03-12)</t>
        </is>
      </c>
      <c r="B4343" s="3" t="inlineStr">
        <is>
          <t>율촌</t>
        </is>
      </c>
      <c r="C4343" s="2" t="inlineStr">
        <is>
          <t>코스닥</t>
        </is>
      </c>
      <c r="D4343" s="2" t="inlineStr">
        <is>
          <t>146060</t>
        </is>
      </c>
      <c r="E4343" s="3" t="inlineStr">
        <is>
          <t>의결권대리행사권유참고서류 (정정: 20260312) (정정: 20260312)</t>
        </is>
      </c>
      <c r="F4343" s="3" t="inlineStr">
        <is>
          <t>율촌</t>
        </is>
      </c>
      <c r="G4343" s="2" t="inlineStr">
        <is>
          <t>20260312000634</t>
        </is>
      </c>
      <c r="H4343" s="8">
        <f>HYPERLINK("https://dart.fss.or.kr/dsaf001/main.do?rcpNo=20260312000634", "공시열람")</f>
        <v/>
      </c>
    </row>
    <row r="4344">
      <c r="A4344" s="2" t="inlineStr">
        <is>
          <t>2026-03-11</t>
        </is>
      </c>
      <c r="B4344" s="3" t="inlineStr">
        <is>
          <t>이엔셀</t>
        </is>
      </c>
      <c r="C4344" s="2" t="inlineStr">
        <is>
          <t>코스닥</t>
        </is>
      </c>
      <c r="D4344" s="2" t="inlineStr">
        <is>
          <t>456070</t>
        </is>
      </c>
      <c r="E4344" s="3" t="inlineStr">
        <is>
          <t>임원ㆍ주요주주특정증권등소유상황보고서</t>
        </is>
      </c>
      <c r="F4344" s="3" t="inlineStr">
        <is>
          <t>박상언</t>
        </is>
      </c>
      <c r="G4344" s="2" t="inlineStr">
        <is>
          <t>20260311004117</t>
        </is>
      </c>
      <c r="H4344" s="8">
        <f>HYPERLINK("https://dart.fss.or.kr/dsaf001/main.do?rcpNo=20260311004117", "공시열람")</f>
        <v/>
      </c>
    </row>
    <row r="4345">
      <c r="A4345" s="2" t="inlineStr">
        <is>
          <t>2026-03-11</t>
        </is>
      </c>
      <c r="B4345" s="3" t="inlineStr">
        <is>
          <t>에이치엘사이언스</t>
        </is>
      </c>
      <c r="C4345" s="2" t="inlineStr">
        <is>
          <t>코스닥</t>
        </is>
      </c>
      <c r="D4345" s="2" t="inlineStr">
        <is>
          <t>239610</t>
        </is>
      </c>
      <c r="E4345" s="3" t="inlineStr">
        <is>
          <t>임원ㆍ주요주주특정증권등소유상황보고서</t>
        </is>
      </c>
      <c r="F4345" s="3" t="inlineStr">
        <is>
          <t>이동현</t>
        </is>
      </c>
      <c r="G4345" s="2" t="inlineStr">
        <is>
          <t>20260311004116</t>
        </is>
      </c>
      <c r="H4345" s="8">
        <f>HYPERLINK("https://dart.fss.or.kr/dsaf001/main.do?rcpNo=20260311004116", "공시열람")</f>
        <v/>
      </c>
    </row>
    <row r="4346">
      <c r="A4346" s="2" t="inlineStr">
        <is>
          <t>2026-03-11</t>
        </is>
      </c>
      <c r="B4346" s="3" t="inlineStr">
        <is>
          <t>삼양식품</t>
        </is>
      </c>
      <c r="C4346" s="2" t="inlineStr">
        <is>
          <t>코스피</t>
        </is>
      </c>
      <c r="D4346" s="2" t="inlineStr">
        <is>
          <t>003230</t>
        </is>
      </c>
      <c r="E4346" s="3" t="inlineStr">
        <is>
          <t>의결권대리행사권유참고서류</t>
        </is>
      </c>
      <c r="F4346" s="3" t="inlineStr">
        <is>
          <t>삼양식품</t>
        </is>
      </c>
      <c r="G4346" s="2" t="inlineStr">
        <is>
          <t>20260311004113</t>
        </is>
      </c>
      <c r="H4346" s="8">
        <f>HYPERLINK("https://dart.fss.or.kr/dsaf001/main.do?rcpNo=20260311004113", "공시열람")</f>
        <v/>
      </c>
    </row>
    <row r="4347">
      <c r="A4347" s="2" t="inlineStr">
        <is>
          <t>2026-03-11</t>
        </is>
      </c>
      <c r="B4347" s="3" t="inlineStr">
        <is>
          <t>바텍</t>
        </is>
      </c>
      <c r="C4347" s="2" t="inlineStr">
        <is>
          <t>코스닥</t>
        </is>
      </c>
      <c r="D4347" s="2" t="inlineStr">
        <is>
          <t>043150</t>
        </is>
      </c>
      <c r="E4347" s="3" t="inlineStr">
        <is>
          <t>의결권대리행사권유참고서류</t>
        </is>
      </c>
      <c r="F4347" s="3" t="inlineStr">
        <is>
          <t>바텍</t>
        </is>
      </c>
      <c r="G4347" s="2" t="inlineStr">
        <is>
          <t>20260311004110</t>
        </is>
      </c>
      <c r="H4347" s="8">
        <f>HYPERLINK("https://dart.fss.or.kr/dsaf001/main.do?rcpNo=20260311004110", "공시열람")</f>
        <v/>
      </c>
    </row>
    <row r="4348">
      <c r="A4348" s="2" t="inlineStr">
        <is>
          <t>2026-03-11 (정정: 2026-03-11)</t>
        </is>
      </c>
      <c r="B4348" s="3" t="inlineStr">
        <is>
          <t>포인트모바일</t>
        </is>
      </c>
      <c r="C4348" s="2" t="inlineStr">
        <is>
          <t>코스닥</t>
        </is>
      </c>
      <c r="D4348" s="2" t="inlineStr">
        <is>
          <t>318020</t>
        </is>
      </c>
      <c r="E4348" s="3" t="inlineStr">
        <is>
          <t>[기재정정]현금ㆍ현물배당결정               (정정: 20260311)</t>
        </is>
      </c>
      <c r="F4348" s="3" t="inlineStr">
        <is>
          <t>포인트모바일</t>
        </is>
      </c>
      <c r="G4348" s="2" t="inlineStr">
        <is>
          <t>20260311901345</t>
        </is>
      </c>
      <c r="H4348" s="8">
        <f>HYPERLINK("https://dart.fss.or.kr/dsaf001/main.do?rcpNo=20260311901345", "공시열람")</f>
        <v/>
      </c>
    </row>
    <row r="4349">
      <c r="A4349" s="2" t="inlineStr">
        <is>
          <t>2026-03-11 (정정: 2026-03-18)</t>
        </is>
      </c>
      <c r="B4349" s="3" t="inlineStr">
        <is>
          <t>지엔코</t>
        </is>
      </c>
      <c r="C4349" s="2" t="inlineStr">
        <is>
          <t>코스닥</t>
        </is>
      </c>
      <c r="D4349" s="2" t="inlineStr">
        <is>
          <t>065060</t>
        </is>
      </c>
      <c r="E4349" s="3" t="inlineStr">
        <is>
          <t>의결권대리행사권유참고서류 (정정: 20260318)</t>
        </is>
      </c>
      <c r="F4349" s="3" t="inlineStr">
        <is>
          <t>지엔코</t>
        </is>
      </c>
      <c r="G4349" s="2" t="inlineStr">
        <is>
          <t>20260318001534</t>
        </is>
      </c>
      <c r="H4349" s="8">
        <f>HYPERLINK("https://dart.fss.or.kr/dsaf001/main.do?rcpNo=20260318001534", "공시열람")</f>
        <v/>
      </c>
    </row>
    <row r="4350">
      <c r="A4350" s="2" t="inlineStr">
        <is>
          <t>2026-03-11</t>
        </is>
      </c>
      <c r="B4350" s="3" t="inlineStr">
        <is>
          <t>이녹스</t>
        </is>
      </c>
      <c r="C4350" s="2" t="inlineStr">
        <is>
          <t>코스닥</t>
        </is>
      </c>
      <c r="D4350" s="2" t="inlineStr">
        <is>
          <t>088390</t>
        </is>
      </c>
      <c r="E4350" s="3" t="inlineStr">
        <is>
          <t>의결권대리행사권유참고서류</t>
        </is>
      </c>
      <c r="F4350" s="3" t="inlineStr">
        <is>
          <t>이녹스</t>
        </is>
      </c>
      <c r="G4350" s="2" t="inlineStr">
        <is>
          <t>20260311004103</t>
        </is>
      </c>
      <c r="H4350" s="8">
        <f>HYPERLINK("https://dart.fss.or.kr/dsaf001/main.do?rcpNo=20260311004103", "공시열람")</f>
        <v/>
      </c>
    </row>
    <row r="4351">
      <c r="A4351" s="2" t="inlineStr">
        <is>
          <t>2026-03-11</t>
        </is>
      </c>
      <c r="B4351" s="3" t="inlineStr">
        <is>
          <t>금호에이치티</t>
        </is>
      </c>
      <c r="C4351" s="2" t="inlineStr">
        <is>
          <t>코스피</t>
        </is>
      </c>
      <c r="D4351" s="2" t="inlineStr">
        <is>
          <t>214330</t>
        </is>
      </c>
      <c r="E4351" s="3" t="inlineStr">
        <is>
          <t>의결권대리행사권유참고서류</t>
        </is>
      </c>
      <c r="F4351" s="3" t="inlineStr">
        <is>
          <t>금호에이치티</t>
        </is>
      </c>
      <c r="G4351" s="2" t="inlineStr">
        <is>
          <t>20260311004100</t>
        </is>
      </c>
      <c r="H4351" s="8">
        <f>HYPERLINK("https://dart.fss.or.kr/dsaf001/main.do?rcpNo=20260311004100", "공시열람")</f>
        <v/>
      </c>
    </row>
    <row r="4352">
      <c r="A4352" s="2" t="inlineStr">
        <is>
          <t>2026-03-11</t>
        </is>
      </c>
      <c r="B4352" s="3" t="inlineStr">
        <is>
          <t>초록뱀미디어</t>
        </is>
      </c>
      <c r="C4352" s="2" t="inlineStr">
        <is>
          <t>코스닥</t>
        </is>
      </c>
      <c r="D4352" s="2" t="inlineStr">
        <is>
          <t>047820</t>
        </is>
      </c>
      <c r="E4352" s="3" t="inlineStr">
        <is>
          <t>의결권대리행사권유참고서류</t>
        </is>
      </c>
      <c r="F4352" s="3" t="inlineStr">
        <is>
          <t>초록뱀미디어</t>
        </is>
      </c>
      <c r="G4352" s="2" t="inlineStr">
        <is>
          <t>20260311004096</t>
        </is>
      </c>
      <c r="H4352" s="8">
        <f>HYPERLINK("https://dart.fss.or.kr/dsaf001/main.do?rcpNo=20260311004096", "공시열람")</f>
        <v/>
      </c>
    </row>
    <row r="4353">
      <c r="A4353" s="2" t="inlineStr">
        <is>
          <t>2026-03-11 (정정: 2026-03-12)</t>
        </is>
      </c>
      <c r="B4353" s="3" t="inlineStr">
        <is>
          <t>대한방직</t>
        </is>
      </c>
      <c r="C4353" s="2" t="inlineStr">
        <is>
          <t>코스피</t>
        </is>
      </c>
      <c r="D4353" s="2" t="inlineStr">
        <is>
          <t>001070</t>
        </is>
      </c>
      <c r="E4353" s="3" t="inlineStr">
        <is>
          <t>의결권대리행사권유참고서류 (정정: 20260312)</t>
        </is>
      </c>
      <c r="F4353" s="3" t="inlineStr">
        <is>
          <t>대한방직</t>
        </is>
      </c>
      <c r="G4353" s="2" t="inlineStr">
        <is>
          <t>20260312802285</t>
        </is>
      </c>
      <c r="H4353" s="8">
        <f>HYPERLINK("https://dart.fss.or.kr/dsaf001/main.do?rcpNo=20260312802285", "공시열람")</f>
        <v/>
      </c>
    </row>
    <row r="4354">
      <c r="A4354" s="2" t="inlineStr">
        <is>
          <t>2026-03-11</t>
        </is>
      </c>
      <c r="B4354" s="3" t="inlineStr">
        <is>
          <t>원익피앤이</t>
        </is>
      </c>
      <c r="C4354" s="2" t="inlineStr">
        <is>
          <t>코스닥</t>
        </is>
      </c>
      <c r="D4354" s="2" t="inlineStr">
        <is>
          <t>217820</t>
        </is>
      </c>
      <c r="E4354" s="3" t="inlineStr">
        <is>
          <t>의결권대리행사권유참고서류</t>
        </is>
      </c>
      <c r="F4354" s="3" t="inlineStr">
        <is>
          <t>원익피앤이</t>
        </is>
      </c>
      <c r="G4354" s="2" t="inlineStr">
        <is>
          <t>20260311004093</t>
        </is>
      </c>
      <c r="H4354" s="8">
        <f>HYPERLINK("https://dart.fss.or.kr/dsaf001/main.do?rcpNo=20260311004093", "공시열람")</f>
        <v/>
      </c>
    </row>
    <row r="4355">
      <c r="A4355" s="2" t="inlineStr">
        <is>
          <t>2026-03-11</t>
        </is>
      </c>
      <c r="B4355" s="3" t="inlineStr">
        <is>
          <t>한성크린텍</t>
        </is>
      </c>
      <c r="C4355" s="2" t="inlineStr">
        <is>
          <t>코스닥</t>
        </is>
      </c>
      <c r="D4355" s="2" t="inlineStr">
        <is>
          <t>066980</t>
        </is>
      </c>
      <c r="E4355" s="3" t="inlineStr">
        <is>
          <t xml:space="preserve">매출액또는손익구조30%(대규모법인은15%)이상변동              </t>
        </is>
      </c>
      <c r="F4355" s="3" t="inlineStr">
        <is>
          <t>한성크린텍</t>
        </is>
      </c>
      <c r="G4355" s="2" t="inlineStr">
        <is>
          <t>20260311901396</t>
        </is>
      </c>
      <c r="H4355" s="8">
        <f>HYPERLINK("https://dart.fss.or.kr/dsaf001/main.do?rcpNo=20260311901396", "공시열람")</f>
        <v/>
      </c>
    </row>
    <row r="4356">
      <c r="A4356" s="2" t="inlineStr">
        <is>
          <t>2026-03-11</t>
        </is>
      </c>
      <c r="B4356" s="3" t="inlineStr">
        <is>
          <t>미래에셋생명</t>
        </is>
      </c>
      <c r="C4356" s="2" t="inlineStr">
        <is>
          <t>코스피</t>
        </is>
      </c>
      <c r="D4356" s="2" t="inlineStr">
        <is>
          <t>085620</t>
        </is>
      </c>
      <c r="E4356" s="3" t="inlineStr">
        <is>
          <t>임원ㆍ주요주주특정증권등소유상황보고서</t>
        </is>
      </c>
      <c r="F4356" s="3" t="inlineStr">
        <is>
          <t>조성호</t>
        </is>
      </c>
      <c r="G4356" s="2" t="inlineStr">
        <is>
          <t>20260311004092</t>
        </is>
      </c>
      <c r="H4356" s="8">
        <f>HYPERLINK("https://dart.fss.or.kr/dsaf001/main.do?rcpNo=20260311004092", "공시열람")</f>
        <v/>
      </c>
    </row>
    <row r="4357">
      <c r="A4357" s="2" t="inlineStr">
        <is>
          <t>2026-03-11</t>
        </is>
      </c>
      <c r="B4357" s="3" t="inlineStr">
        <is>
          <t>녹십자홀딩스</t>
        </is>
      </c>
      <c r="C4357" s="2" t="inlineStr">
        <is>
          <t>코스피</t>
        </is>
      </c>
      <c r="D4357" s="2" t="inlineStr">
        <is>
          <t>005250</t>
        </is>
      </c>
      <c r="E4357" s="3" t="inlineStr">
        <is>
          <t>의결권대리행사권유참고서류</t>
        </is>
      </c>
      <c r="F4357" s="3" t="inlineStr">
        <is>
          <t>녹십자홀딩스</t>
        </is>
      </c>
      <c r="G4357" s="2" t="inlineStr">
        <is>
          <t>20260311004090</t>
        </is>
      </c>
      <c r="H4357" s="8">
        <f>HYPERLINK("https://dart.fss.or.kr/dsaf001/main.do?rcpNo=20260311004090", "공시열람")</f>
        <v/>
      </c>
    </row>
    <row r="4358">
      <c r="A4358" s="2" t="inlineStr">
        <is>
          <t>2026-03-11</t>
        </is>
      </c>
      <c r="B4358" s="3" t="inlineStr">
        <is>
          <t>미래에셋생명</t>
        </is>
      </c>
      <c r="C4358" s="2" t="inlineStr">
        <is>
          <t>코스피</t>
        </is>
      </c>
      <c r="D4358" s="2" t="inlineStr">
        <is>
          <t>085620</t>
        </is>
      </c>
      <c r="E4358" s="3" t="inlineStr">
        <is>
          <t>임원ㆍ주요주주특정증권등소유상황보고서</t>
        </is>
      </c>
      <c r="F4358" s="3" t="inlineStr">
        <is>
          <t>이보형</t>
        </is>
      </c>
      <c r="G4358" s="2" t="inlineStr">
        <is>
          <t>20260311004087</t>
        </is>
      </c>
      <c r="H4358" s="8">
        <f>HYPERLINK("https://dart.fss.or.kr/dsaf001/main.do?rcpNo=20260311004087", "공시열람")</f>
        <v/>
      </c>
    </row>
    <row r="4359">
      <c r="A4359" s="2" t="inlineStr">
        <is>
          <t>2026-03-11</t>
        </is>
      </c>
      <c r="B4359" s="3" t="inlineStr">
        <is>
          <t>한진칼</t>
        </is>
      </c>
      <c r="C4359" s="2" t="inlineStr">
        <is>
          <t>코스피</t>
        </is>
      </c>
      <c r="D4359" s="2" t="inlineStr">
        <is>
          <t>180640</t>
        </is>
      </c>
      <c r="E4359" s="3" t="inlineStr">
        <is>
          <t xml:space="preserve">감사보고서제출(자회사의 주요경영사항)              </t>
        </is>
      </c>
      <c r="F4359" s="3" t="inlineStr">
        <is>
          <t>한진칼</t>
        </is>
      </c>
      <c r="G4359" s="2" t="inlineStr">
        <is>
          <t>20260311801479</t>
        </is>
      </c>
      <c r="H4359" s="8">
        <f>HYPERLINK("https://dart.fss.or.kr/dsaf001/main.do?rcpNo=20260311801479", "공시열람")</f>
        <v/>
      </c>
    </row>
    <row r="4360">
      <c r="A4360" s="2" t="inlineStr">
        <is>
          <t>2026-03-11</t>
        </is>
      </c>
      <c r="B4360" s="3" t="inlineStr">
        <is>
          <t>오이솔루션</t>
        </is>
      </c>
      <c r="C4360" s="2" t="inlineStr">
        <is>
          <t>코스닥</t>
        </is>
      </c>
      <c r="D4360" s="2" t="inlineStr">
        <is>
          <t>138080</t>
        </is>
      </c>
      <c r="E4360" s="3" t="inlineStr">
        <is>
          <t>임원ㆍ주요주주특정증권등소유상황보고서</t>
        </is>
      </c>
      <c r="F4360" s="3" t="inlineStr">
        <is>
          <t>박환</t>
        </is>
      </c>
      <c r="G4360" s="2" t="inlineStr">
        <is>
          <t>20260311004086</t>
        </is>
      </c>
      <c r="H4360" s="8">
        <f>HYPERLINK("https://dart.fss.or.kr/dsaf001/main.do?rcpNo=20260311004086", "공시열람")</f>
        <v/>
      </c>
    </row>
    <row r="4361">
      <c r="A4361" s="2" t="inlineStr">
        <is>
          <t>2026-03-11</t>
        </is>
      </c>
      <c r="B4361" s="3" t="inlineStr">
        <is>
          <t>미래에셋증권</t>
        </is>
      </c>
      <c r="C4361" s="2" t="inlineStr">
        <is>
          <t>코스피</t>
        </is>
      </c>
      <c r="D4361" s="2" t="inlineStr">
        <is>
          <t>006800</t>
        </is>
      </c>
      <c r="E4361" s="3" t="inlineStr">
        <is>
          <t>증권발행실적보고서</t>
        </is>
      </c>
      <c r="F4361" s="3" t="inlineStr">
        <is>
          <t>미래에셋증권</t>
        </is>
      </c>
      <c r="G4361" s="2" t="inlineStr">
        <is>
          <t>20260311004077</t>
        </is>
      </c>
      <c r="H4361" s="8">
        <f>HYPERLINK("https://dart.fss.or.kr/dsaf001/main.do?rcpNo=20260311004077", "공시열람")</f>
        <v/>
      </c>
    </row>
    <row r="4362">
      <c r="A4362" s="2" t="inlineStr">
        <is>
          <t>2026-03-11</t>
        </is>
      </c>
      <c r="B4362" s="3" t="inlineStr">
        <is>
          <t>지노믹트리</t>
        </is>
      </c>
      <c r="C4362" s="2" t="inlineStr">
        <is>
          <t>코스닥</t>
        </is>
      </c>
      <c r="D4362" s="2" t="inlineStr">
        <is>
          <t>228760</t>
        </is>
      </c>
      <c r="E4362" s="3" t="inlineStr">
        <is>
          <t>의결권대리행사권유참고서류</t>
        </is>
      </c>
      <c r="F4362" s="3" t="inlineStr">
        <is>
          <t>지노믹트리</t>
        </is>
      </c>
      <c r="G4362" s="2" t="inlineStr">
        <is>
          <t>20260311004075</t>
        </is>
      </c>
      <c r="H4362" s="8">
        <f>HYPERLINK("https://dart.fss.or.kr/dsaf001/main.do?rcpNo=20260311004075", "공시열람")</f>
        <v/>
      </c>
    </row>
    <row r="4363">
      <c r="A4363" s="2" t="inlineStr">
        <is>
          <t>2026-03-11</t>
        </is>
      </c>
      <c r="B4363" s="3" t="inlineStr">
        <is>
          <t>케이엔제이</t>
        </is>
      </c>
      <c r="C4363" s="2" t="inlineStr">
        <is>
          <t>코스닥</t>
        </is>
      </c>
      <c r="D4363" s="2" t="inlineStr">
        <is>
          <t>272110</t>
        </is>
      </c>
      <c r="E4363" s="3" t="inlineStr">
        <is>
          <t>의결권대리행사권유참고서류</t>
        </is>
      </c>
      <c r="F4363" s="3" t="inlineStr">
        <is>
          <t>케이엔제이</t>
        </is>
      </c>
      <c r="G4363" s="2" t="inlineStr">
        <is>
          <t>20260311004073</t>
        </is>
      </c>
      <c r="H4363" s="8">
        <f>HYPERLINK("https://dart.fss.or.kr/dsaf001/main.do?rcpNo=20260311004073", "공시열람")</f>
        <v/>
      </c>
    </row>
    <row r="4364">
      <c r="A4364" s="2" t="inlineStr">
        <is>
          <t>2026-03-11</t>
        </is>
      </c>
      <c r="B4364" s="3" t="inlineStr">
        <is>
          <t>SK증권</t>
        </is>
      </c>
      <c r="C4364" s="2" t="inlineStr">
        <is>
          <t>코스피</t>
        </is>
      </c>
      <c r="D4364" s="2" t="inlineStr">
        <is>
          <t>001510</t>
        </is>
      </c>
      <c r="E4364" s="3" t="inlineStr">
        <is>
          <t>일괄신고추가서류(파생결합사채-주가연계파생결합사채)</t>
        </is>
      </c>
      <c r="F4364" s="3" t="inlineStr">
        <is>
          <t>SK증권</t>
        </is>
      </c>
      <c r="G4364" s="2" t="inlineStr">
        <is>
          <t>20260311004071</t>
        </is>
      </c>
      <c r="H4364" s="8">
        <f>HYPERLINK("https://dart.fss.or.kr/dsaf001/main.do?rcpNo=20260311004071", "공시열람")</f>
        <v/>
      </c>
    </row>
    <row r="4365">
      <c r="A4365" s="2" t="inlineStr">
        <is>
          <t>2026-03-11</t>
        </is>
      </c>
      <c r="B4365" s="3" t="inlineStr">
        <is>
          <t>네패스</t>
        </is>
      </c>
      <c r="C4365" s="2" t="inlineStr">
        <is>
          <t>코스닥</t>
        </is>
      </c>
      <c r="D4365" s="2" t="inlineStr">
        <is>
          <t>033640</t>
        </is>
      </c>
      <c r="E4365" s="3" t="inlineStr">
        <is>
          <t xml:space="preserve">매출액또는손익구조30%(대규모법인은15%)이상변동              </t>
        </is>
      </c>
      <c r="F4365" s="3" t="inlineStr">
        <is>
          <t>네패스</t>
        </is>
      </c>
      <c r="G4365" s="2" t="inlineStr">
        <is>
          <t>20260311901387</t>
        </is>
      </c>
      <c r="H4365" s="8">
        <f>HYPERLINK("https://dart.fss.or.kr/dsaf001/main.do?rcpNo=20260311901387", "공시열람")</f>
        <v/>
      </c>
    </row>
    <row r="4366">
      <c r="A4366" s="2" t="inlineStr">
        <is>
          <t>2026-03-11</t>
        </is>
      </c>
      <c r="B4366" s="3" t="inlineStr">
        <is>
          <t>바텍</t>
        </is>
      </c>
      <c r="C4366" s="2" t="inlineStr">
        <is>
          <t>코스닥</t>
        </is>
      </c>
      <c r="D4366" s="2" t="inlineStr">
        <is>
          <t>043150</t>
        </is>
      </c>
      <c r="E4366" s="3" t="inlineStr">
        <is>
          <t xml:space="preserve">현금ㆍ현물배당결정              </t>
        </is>
      </c>
      <c r="F4366" s="3" t="inlineStr">
        <is>
          <t>바텍</t>
        </is>
      </c>
      <c r="G4366" s="2" t="inlineStr">
        <is>
          <t>20260311901377</t>
        </is>
      </c>
      <c r="H4366" s="8">
        <f>HYPERLINK("https://dart.fss.or.kr/dsaf001/main.do?rcpNo=20260311901377", "공시열람")</f>
        <v/>
      </c>
    </row>
    <row r="4367">
      <c r="A4367" s="2" t="inlineStr">
        <is>
          <t>2026-03-11</t>
        </is>
      </c>
      <c r="B4367" s="3" t="inlineStr">
        <is>
          <t>종근당</t>
        </is>
      </c>
      <c r="C4367" s="2" t="inlineStr">
        <is>
          <t>코스피</t>
        </is>
      </c>
      <c r="D4367" s="2" t="inlineStr">
        <is>
          <t>185750</t>
        </is>
      </c>
      <c r="E4367" s="3" t="inlineStr">
        <is>
          <t>의결권대리행사권유참고서류</t>
        </is>
      </c>
      <c r="F4367" s="3" t="inlineStr">
        <is>
          <t>종근당</t>
        </is>
      </c>
      <c r="G4367" s="2" t="inlineStr">
        <is>
          <t>20260311004068</t>
        </is>
      </c>
      <c r="H4367" s="8">
        <f>HYPERLINK("https://dart.fss.or.kr/dsaf001/main.do?rcpNo=20260311004068", "공시열람")</f>
        <v/>
      </c>
    </row>
    <row r="4368">
      <c r="A4368" s="2" t="inlineStr">
        <is>
          <t>2026-03-11</t>
        </is>
      </c>
      <c r="B4368" s="3" t="inlineStr">
        <is>
          <t>효성</t>
        </is>
      </c>
      <c r="C4368" s="2" t="inlineStr">
        <is>
          <t>코스피</t>
        </is>
      </c>
      <c r="D4368" s="2" t="inlineStr">
        <is>
          <t>004800</t>
        </is>
      </c>
      <c r="E4368" s="3" t="inlineStr">
        <is>
          <t xml:space="preserve">감사보고서제출(자회사의 주요경영사항)              </t>
        </is>
      </c>
      <c r="F4368" s="3" t="inlineStr">
        <is>
          <t>효성</t>
        </is>
      </c>
      <c r="G4368" s="2" t="inlineStr">
        <is>
          <t>20260311801517</t>
        </is>
      </c>
      <c r="H4368" s="8">
        <f>HYPERLINK("https://dart.fss.or.kr/dsaf001/main.do?rcpNo=20260311801517", "공시열람")</f>
        <v/>
      </c>
    </row>
    <row r="4369">
      <c r="A4369" s="2" t="inlineStr">
        <is>
          <t>2026-03-11</t>
        </is>
      </c>
      <c r="B4369" s="3" t="inlineStr">
        <is>
          <t>SKC</t>
        </is>
      </c>
      <c r="C4369" s="2" t="inlineStr">
        <is>
          <t>코스피</t>
        </is>
      </c>
      <c r="D4369" s="2" t="inlineStr">
        <is>
          <t>011790</t>
        </is>
      </c>
      <c r="E4369" s="3" t="inlineStr">
        <is>
          <t xml:space="preserve">기업설명회(IR)개최(안내공시)              </t>
        </is>
      </c>
      <c r="F4369" s="3" t="inlineStr">
        <is>
          <t>SKC</t>
        </is>
      </c>
      <c r="G4369" s="2" t="inlineStr">
        <is>
          <t>20260311801530</t>
        </is>
      </c>
      <c r="H4369" s="8">
        <f>HYPERLINK("https://dart.fss.or.kr/dsaf001/main.do?rcpNo=20260311801530", "공시열람")</f>
        <v/>
      </c>
    </row>
    <row r="4370">
      <c r="A4370" s="2" t="inlineStr">
        <is>
          <t>2026-03-11</t>
        </is>
      </c>
      <c r="B4370" s="3" t="inlineStr">
        <is>
          <t>미래에셋생명</t>
        </is>
      </c>
      <c r="C4370" s="2" t="inlineStr">
        <is>
          <t>코스피</t>
        </is>
      </c>
      <c r="D4370" s="2" t="inlineStr">
        <is>
          <t>085620</t>
        </is>
      </c>
      <c r="E4370" s="3" t="inlineStr">
        <is>
          <t>임원ㆍ주요주주특정증권등소유상황보고서</t>
        </is>
      </c>
      <c r="F4370" s="3" t="inlineStr">
        <is>
          <t>최선경</t>
        </is>
      </c>
      <c r="G4370" s="2" t="inlineStr">
        <is>
          <t>20260311004064</t>
        </is>
      </c>
      <c r="H4370" s="8">
        <f>HYPERLINK("https://dart.fss.or.kr/dsaf001/main.do?rcpNo=20260311004064", "공시열람")</f>
        <v/>
      </c>
    </row>
    <row r="4371">
      <c r="A4371" s="2" t="inlineStr">
        <is>
          <t>2026-03-11</t>
        </is>
      </c>
      <c r="B4371" s="3" t="inlineStr">
        <is>
          <t>미래에셋생명</t>
        </is>
      </c>
      <c r="C4371" s="2" t="inlineStr">
        <is>
          <t>코스피</t>
        </is>
      </c>
      <c r="D4371" s="2" t="inlineStr">
        <is>
          <t>085620</t>
        </is>
      </c>
      <c r="E4371" s="3" t="inlineStr">
        <is>
          <t>임원ㆍ주요주주특정증권등소유상황보고서</t>
        </is>
      </c>
      <c r="F4371" s="3" t="inlineStr">
        <is>
          <t>오상훈</t>
        </is>
      </c>
      <c r="G4371" s="2" t="inlineStr">
        <is>
          <t>20260311004062</t>
        </is>
      </c>
      <c r="H4371" s="8">
        <f>HYPERLINK("https://dart.fss.or.kr/dsaf001/main.do?rcpNo=20260311004062", "공시열람")</f>
        <v/>
      </c>
    </row>
    <row r="4372">
      <c r="A4372" s="2" t="inlineStr">
        <is>
          <t>2026-03-11</t>
        </is>
      </c>
      <c r="B4372" s="3" t="inlineStr">
        <is>
          <t>SKC</t>
        </is>
      </c>
      <c r="C4372" s="2" t="inlineStr">
        <is>
          <t>코스피</t>
        </is>
      </c>
      <c r="D4372" s="2" t="inlineStr">
        <is>
          <t>011790</t>
        </is>
      </c>
      <c r="E4372" s="3" t="inlineStr">
        <is>
          <t xml:space="preserve">기업설명회(IR)개최(안내공시)              </t>
        </is>
      </c>
      <c r="F4372" s="3" t="inlineStr">
        <is>
          <t>SKC</t>
        </is>
      </c>
      <c r="G4372" s="2" t="inlineStr">
        <is>
          <t>20260311801524</t>
        </is>
      </c>
      <c r="H4372" s="8">
        <f>HYPERLINK("https://dart.fss.or.kr/dsaf001/main.do?rcpNo=20260311801524", "공시열람")</f>
        <v/>
      </c>
    </row>
    <row r="4373">
      <c r="A4373" s="2" t="inlineStr">
        <is>
          <t>2026-03-11</t>
        </is>
      </c>
      <c r="B4373" s="3" t="inlineStr">
        <is>
          <t>미래에셋증권</t>
        </is>
      </c>
      <c r="C4373" s="2" t="inlineStr">
        <is>
          <t>코스피</t>
        </is>
      </c>
      <c r="D4373" s="2" t="inlineStr">
        <is>
          <t>006800</t>
        </is>
      </c>
      <c r="E4373" s="3" t="inlineStr">
        <is>
          <t>증권발행실적보고서</t>
        </is>
      </c>
      <c r="F4373" s="3" t="inlineStr">
        <is>
          <t>미래에셋증권</t>
        </is>
      </c>
      <c r="G4373" s="2" t="inlineStr">
        <is>
          <t>20260311004058</t>
        </is>
      </c>
      <c r="H4373" s="8">
        <f>HYPERLINK("https://dart.fss.or.kr/dsaf001/main.do?rcpNo=20260311004058", "공시열람")</f>
        <v/>
      </c>
    </row>
    <row r="4374">
      <c r="A4374" s="2" t="inlineStr">
        <is>
          <t>2026-03-11</t>
        </is>
      </c>
      <c r="B4374" s="3" t="inlineStr">
        <is>
          <t>툴젠</t>
        </is>
      </c>
      <c r="C4374" s="2" t="inlineStr">
        <is>
          <t>코스닥</t>
        </is>
      </c>
      <c r="D4374" s="2" t="inlineStr">
        <is>
          <t>199800</t>
        </is>
      </c>
      <c r="E4374" s="3" t="inlineStr">
        <is>
          <t>의결권대리행사권유참고서류</t>
        </is>
      </c>
      <c r="F4374" s="3" t="inlineStr">
        <is>
          <t>툴젠</t>
        </is>
      </c>
      <c r="G4374" s="2" t="inlineStr">
        <is>
          <t>20260311004057</t>
        </is>
      </c>
      <c r="H4374" s="8">
        <f>HYPERLINK("https://dart.fss.or.kr/dsaf001/main.do?rcpNo=20260311004057", "공시열람")</f>
        <v/>
      </c>
    </row>
    <row r="4375">
      <c r="A4375" s="2" t="inlineStr">
        <is>
          <t>2026-03-11</t>
        </is>
      </c>
      <c r="B4375" s="3" t="inlineStr">
        <is>
          <t>신영증권</t>
        </is>
      </c>
      <c r="C4375" s="2" t="inlineStr">
        <is>
          <t>코스피</t>
        </is>
      </c>
      <c r="D4375" s="2" t="inlineStr">
        <is>
          <t>001720</t>
        </is>
      </c>
      <c r="E4375" s="3" t="inlineStr">
        <is>
          <t>투자설명서(일괄신고)</t>
        </is>
      </c>
      <c r="F4375" s="3" t="inlineStr">
        <is>
          <t>신영증권</t>
        </is>
      </c>
      <c r="G4375" s="2" t="inlineStr">
        <is>
          <t>20260311004056</t>
        </is>
      </c>
      <c r="H4375" s="8">
        <f>HYPERLINK("https://dart.fss.or.kr/dsaf001/main.do?rcpNo=20260311004056", "공시열람")</f>
        <v/>
      </c>
    </row>
    <row r="4376">
      <c r="A4376" s="2" t="inlineStr">
        <is>
          <t>2026-03-11</t>
        </is>
      </c>
      <c r="B4376" s="3" t="inlineStr">
        <is>
          <t>효성중공업</t>
        </is>
      </c>
      <c r="C4376" s="2" t="inlineStr">
        <is>
          <t>코스피</t>
        </is>
      </c>
      <c r="D4376" s="2" t="inlineStr">
        <is>
          <t>298040</t>
        </is>
      </c>
      <c r="E4376" s="3" t="inlineStr">
        <is>
          <t xml:space="preserve">감사보고서제출              </t>
        </is>
      </c>
      <c r="F4376" s="3" t="inlineStr">
        <is>
          <t>효성중공업</t>
        </is>
      </c>
      <c r="G4376" s="2" t="inlineStr">
        <is>
          <t>20260311801453</t>
        </is>
      </c>
      <c r="H4376" s="8">
        <f>HYPERLINK("https://dart.fss.or.kr/dsaf001/main.do?rcpNo=20260311801453", "공시열람")</f>
        <v/>
      </c>
    </row>
    <row r="4377">
      <c r="A4377" s="2" t="inlineStr">
        <is>
          <t>2026-03-11</t>
        </is>
      </c>
      <c r="B4377" s="3" t="inlineStr">
        <is>
          <t>팜젠사이언스</t>
        </is>
      </c>
      <c r="C4377" s="2" t="inlineStr">
        <is>
          <t>코스피</t>
        </is>
      </c>
      <c r="D4377" s="2" t="inlineStr">
        <is>
          <t>004720</t>
        </is>
      </c>
      <c r="E4377" s="3" t="inlineStr">
        <is>
          <t xml:space="preserve">전환가액ㆍ신주인수권행사가액ㆍ교환가액의조정(안내공시)              </t>
        </is>
      </c>
      <c r="F4377" s="3" t="inlineStr">
        <is>
          <t>팜젠사이언스</t>
        </is>
      </c>
      <c r="G4377" s="2" t="inlineStr">
        <is>
          <t>20260311801516</t>
        </is>
      </c>
      <c r="H4377" s="8">
        <f>HYPERLINK("https://dart.fss.or.kr/dsaf001/main.do?rcpNo=20260311801516", "공시열람")</f>
        <v/>
      </c>
    </row>
    <row r="4378">
      <c r="A4378" s="2" t="inlineStr">
        <is>
          <t>2026-03-11</t>
        </is>
      </c>
      <c r="B4378" s="3" t="inlineStr">
        <is>
          <t>APS</t>
        </is>
      </c>
      <c r="C4378" s="2" t="inlineStr">
        <is>
          <t>코스닥</t>
        </is>
      </c>
      <c r="D4378" s="2" t="inlineStr">
        <is>
          <t>054620</t>
        </is>
      </c>
      <c r="E4378" s="3" t="inlineStr">
        <is>
          <t>의결권대리행사권유참고서류</t>
        </is>
      </c>
      <c r="F4378" s="3" t="inlineStr">
        <is>
          <t>APS</t>
        </is>
      </c>
      <c r="G4378" s="2" t="inlineStr">
        <is>
          <t>20260311004053</t>
        </is>
      </c>
      <c r="H4378" s="8">
        <f>HYPERLINK("https://dart.fss.or.kr/dsaf001/main.do?rcpNo=20260311004053", "공시열람")</f>
        <v/>
      </c>
    </row>
    <row r="4379">
      <c r="A4379" s="2" t="inlineStr">
        <is>
          <t>2026-03-11</t>
        </is>
      </c>
      <c r="B4379" s="3" t="inlineStr">
        <is>
          <t>아셈스</t>
        </is>
      </c>
      <c r="C4379" s="2" t="inlineStr">
        <is>
          <t>코스닥</t>
        </is>
      </c>
      <c r="D4379" s="2" t="inlineStr">
        <is>
          <t>136410</t>
        </is>
      </c>
      <c r="E4379" s="3" t="inlineStr">
        <is>
          <t>의결권대리행사권유참고서류</t>
        </is>
      </c>
      <c r="F4379" s="3" t="inlineStr">
        <is>
          <t>아셈스</t>
        </is>
      </c>
      <c r="G4379" s="2" t="inlineStr">
        <is>
          <t>20260311004052</t>
        </is>
      </c>
      <c r="H4379" s="8">
        <f>HYPERLINK("https://dart.fss.or.kr/dsaf001/main.do?rcpNo=20260311004052", "공시열람")</f>
        <v/>
      </c>
    </row>
    <row r="4380">
      <c r="A4380" s="2" t="inlineStr">
        <is>
          <t>2026-03-11</t>
        </is>
      </c>
      <c r="B4380" s="3" t="inlineStr">
        <is>
          <t>대한항공</t>
        </is>
      </c>
      <c r="C4380" s="2" t="inlineStr">
        <is>
          <t>코스피</t>
        </is>
      </c>
      <c r="D4380" s="2" t="inlineStr">
        <is>
          <t>003490</t>
        </is>
      </c>
      <c r="E4380" s="3" t="inlineStr">
        <is>
          <t>임원ㆍ주요주주특정증권등소유상황보고서</t>
        </is>
      </c>
      <c r="F4380" s="3" t="inlineStr">
        <is>
          <t>김동연</t>
        </is>
      </c>
      <c r="G4380" s="2" t="inlineStr">
        <is>
          <t>20260311004047</t>
        </is>
      </c>
      <c r="H4380" s="8">
        <f>HYPERLINK("https://dart.fss.or.kr/dsaf001/main.do?rcpNo=20260311004047", "공시열람")</f>
        <v/>
      </c>
    </row>
    <row r="4381">
      <c r="A4381" s="2" t="inlineStr">
        <is>
          <t>2026-03-11</t>
        </is>
      </c>
      <c r="B4381" s="3" t="inlineStr">
        <is>
          <t>이노벡스</t>
        </is>
      </c>
      <c r="C4381" s="2" t="inlineStr">
        <is>
          <t>코넥스</t>
        </is>
      </c>
      <c r="D4381" s="2" t="inlineStr">
        <is>
          <t>279060</t>
        </is>
      </c>
      <c r="E4381" s="3" t="inlineStr">
        <is>
          <t>주권매매거래정지기간변경              (상장적격성 실질심사 대상 결정)</t>
        </is>
      </c>
      <c r="F4381" s="3" t="inlineStr">
        <is>
          <t>코넥스시장</t>
        </is>
      </c>
      <c r="G4381" s="2" t="inlineStr">
        <is>
          <t>20260311601429</t>
        </is>
      </c>
      <c r="H4381" s="8">
        <f>HYPERLINK("https://dart.fss.or.kr/dsaf001/main.do?rcpNo=20260311601429", "공시열람")</f>
        <v/>
      </c>
    </row>
    <row r="4382">
      <c r="A4382" s="2" t="inlineStr">
        <is>
          <t>2026-03-11 (정정: 2026-03-13)</t>
        </is>
      </c>
      <c r="B4382" s="3" t="inlineStr">
        <is>
          <t>오에스피</t>
        </is>
      </c>
      <c r="C4382" s="2" t="inlineStr">
        <is>
          <t>코스닥</t>
        </is>
      </c>
      <c r="D4382" s="2" t="inlineStr">
        <is>
          <t>368970</t>
        </is>
      </c>
      <c r="E4382" s="3" t="inlineStr">
        <is>
          <t>의결권대리행사권유참고서류 (정정: 20260313) (정정: 20260313)</t>
        </is>
      </c>
      <c r="F4382" s="3" t="inlineStr">
        <is>
          <t>오에스피</t>
        </is>
      </c>
      <c r="G4382" s="2" t="inlineStr">
        <is>
          <t>20260313001150</t>
        </is>
      </c>
      <c r="H4382" s="8">
        <f>HYPERLINK("https://dart.fss.or.kr/dsaf001/main.do?rcpNo=20260313001150", "공시열람")</f>
        <v/>
      </c>
    </row>
    <row r="4383">
      <c r="A4383" s="2" t="inlineStr">
        <is>
          <t>2026-03-11</t>
        </is>
      </c>
      <c r="B4383" s="3" t="inlineStr">
        <is>
          <t>미래에셋생명</t>
        </is>
      </c>
      <c r="C4383" s="2" t="inlineStr">
        <is>
          <t>코스피</t>
        </is>
      </c>
      <c r="D4383" s="2" t="inlineStr">
        <is>
          <t>085620</t>
        </is>
      </c>
      <c r="E4383" s="3" t="inlineStr">
        <is>
          <t>임원ㆍ주요주주특정증권등소유상황보고서</t>
        </is>
      </c>
      <c r="F4383" s="3" t="inlineStr">
        <is>
          <t>홍혜진</t>
        </is>
      </c>
      <c r="G4383" s="2" t="inlineStr">
        <is>
          <t>20260311004044</t>
        </is>
      </c>
      <c r="H4383" s="8">
        <f>HYPERLINK("https://dart.fss.or.kr/dsaf001/main.do?rcpNo=20260311004044", "공시열람")</f>
        <v/>
      </c>
    </row>
    <row r="4384">
      <c r="A4384" s="2" t="inlineStr">
        <is>
          <t>2026-03-11</t>
        </is>
      </c>
      <c r="B4384" s="3" t="inlineStr">
        <is>
          <t>볼빅</t>
        </is>
      </c>
      <c r="C4384" s="2" t="inlineStr">
        <is>
          <t>코넥스</t>
        </is>
      </c>
      <c r="D4384" s="2" t="inlineStr">
        <is>
          <t>206950</t>
        </is>
      </c>
      <c r="E4384" s="3" t="inlineStr">
        <is>
          <t>주권매매거래정지기간변경              (상장적격성 실질심사 대상 결정)</t>
        </is>
      </c>
      <c r="F4384" s="3" t="inlineStr">
        <is>
          <t>코넥스시장</t>
        </is>
      </c>
      <c r="G4384" s="2" t="inlineStr">
        <is>
          <t>20260311601411</t>
        </is>
      </c>
      <c r="H4384" s="8">
        <f>HYPERLINK("https://dart.fss.or.kr/dsaf001/main.do?rcpNo=20260311601411", "공시열람")</f>
        <v/>
      </c>
    </row>
    <row r="4385">
      <c r="A4385" s="2" t="inlineStr">
        <is>
          <t>2026-03-11</t>
        </is>
      </c>
      <c r="B4385" s="3" t="inlineStr">
        <is>
          <t>신영증권</t>
        </is>
      </c>
      <c r="C4385" s="2" t="inlineStr">
        <is>
          <t>코스피</t>
        </is>
      </c>
      <c r="D4385" s="2" t="inlineStr">
        <is>
          <t>001720</t>
        </is>
      </c>
      <c r="E4385" s="3" t="inlineStr">
        <is>
          <t>일괄신고추가서류(파생결합사채-주가연계파생결합사채)</t>
        </is>
      </c>
      <c r="F4385" s="3" t="inlineStr">
        <is>
          <t>신영증권</t>
        </is>
      </c>
      <c r="G4385" s="2" t="inlineStr">
        <is>
          <t>20260311004039</t>
        </is>
      </c>
      <c r="H4385" s="8">
        <f>HYPERLINK("https://dart.fss.or.kr/dsaf001/main.do?rcpNo=20260311004039", "공시열람")</f>
        <v/>
      </c>
    </row>
    <row r="4386">
      <c r="A4386" s="2" t="inlineStr">
        <is>
          <t>2026-03-11</t>
        </is>
      </c>
      <c r="B4386" s="3" t="inlineStr">
        <is>
          <t>오상자이엘</t>
        </is>
      </c>
      <c r="C4386" s="2" t="inlineStr">
        <is>
          <t>코스닥</t>
        </is>
      </c>
      <c r="D4386" s="2" t="inlineStr">
        <is>
          <t>053980</t>
        </is>
      </c>
      <c r="E4386" s="3" t="inlineStr">
        <is>
          <t xml:space="preserve">현금ㆍ현물배당결정              </t>
        </is>
      </c>
      <c r="F4386" s="3" t="inlineStr">
        <is>
          <t>오상자이엘</t>
        </is>
      </c>
      <c r="G4386" s="2" t="inlineStr">
        <is>
          <t>20260311901325</t>
        </is>
      </c>
      <c r="H4386" s="8">
        <f>HYPERLINK("https://dart.fss.or.kr/dsaf001/main.do?rcpNo=20260311901325", "공시열람")</f>
        <v/>
      </c>
    </row>
    <row r="4387">
      <c r="A4387" s="2" t="inlineStr">
        <is>
          <t>2026-03-11</t>
        </is>
      </c>
      <c r="B4387" s="3" t="inlineStr">
        <is>
          <t>동양에스텍</t>
        </is>
      </c>
      <c r="C4387" s="2" t="inlineStr">
        <is>
          <t>코스닥</t>
        </is>
      </c>
      <c r="D4387" s="2" t="inlineStr">
        <is>
          <t>060380</t>
        </is>
      </c>
      <c r="E4387" s="3" t="inlineStr">
        <is>
          <t>의결권대리행사권유참고서류</t>
        </is>
      </c>
      <c r="F4387" s="3" t="inlineStr">
        <is>
          <t>동양에스텍</t>
        </is>
      </c>
      <c r="G4387" s="2" t="inlineStr">
        <is>
          <t>20260311004038</t>
        </is>
      </c>
      <c r="H4387" s="8">
        <f>HYPERLINK("https://dart.fss.or.kr/dsaf001/main.do?rcpNo=20260311004038", "공시열람")</f>
        <v/>
      </c>
    </row>
    <row r="4388">
      <c r="A4388" s="2" t="inlineStr">
        <is>
          <t>2026-03-11</t>
        </is>
      </c>
      <c r="B4388" s="3" t="inlineStr">
        <is>
          <t>CJ프레시웨이</t>
        </is>
      </c>
      <c r="C4388" s="2" t="inlineStr">
        <is>
          <t>코스닥</t>
        </is>
      </c>
      <c r="D4388" s="2" t="inlineStr">
        <is>
          <t>051500</t>
        </is>
      </c>
      <c r="E4388" s="3" t="inlineStr">
        <is>
          <t>의결권대리행사권유참고서류</t>
        </is>
      </c>
      <c r="F4388" s="3" t="inlineStr">
        <is>
          <t>CJ프레시웨이</t>
        </is>
      </c>
      <c r="G4388" s="2" t="inlineStr">
        <is>
          <t>20260311004037</t>
        </is>
      </c>
      <c r="H4388" s="8">
        <f>HYPERLINK("https://dart.fss.or.kr/dsaf001/main.do?rcpNo=20260311004037", "공시열람")</f>
        <v/>
      </c>
    </row>
    <row r="4389">
      <c r="A4389" s="2" t="inlineStr">
        <is>
          <t>2026-03-11</t>
        </is>
      </c>
      <c r="B4389" s="3" t="inlineStr">
        <is>
          <t>엠앤씨솔루션</t>
        </is>
      </c>
      <c r="C4389" s="2" t="inlineStr">
        <is>
          <t>코스피</t>
        </is>
      </c>
      <c r="D4389" s="2" t="inlineStr">
        <is>
          <t>484870</t>
        </is>
      </c>
      <c r="E4389" s="3" t="inlineStr">
        <is>
          <t>의결권대리행사권유참고서류</t>
        </is>
      </c>
      <c r="F4389" s="3" t="inlineStr">
        <is>
          <t>엠앤씨솔루션</t>
        </is>
      </c>
      <c r="G4389" s="2" t="inlineStr">
        <is>
          <t>20260311004033</t>
        </is>
      </c>
      <c r="H4389" s="8">
        <f>HYPERLINK("https://dart.fss.or.kr/dsaf001/main.do?rcpNo=20260311004033", "공시열람")</f>
        <v/>
      </c>
    </row>
    <row r="4390">
      <c r="A4390" s="2" t="inlineStr">
        <is>
          <t>2026-03-11</t>
        </is>
      </c>
      <c r="B4390" s="3" t="inlineStr">
        <is>
          <t>미래에셋생명</t>
        </is>
      </c>
      <c r="C4390" s="2" t="inlineStr">
        <is>
          <t>코스피</t>
        </is>
      </c>
      <c r="D4390" s="2" t="inlineStr">
        <is>
          <t>085620</t>
        </is>
      </c>
      <c r="E4390" s="3" t="inlineStr">
        <is>
          <t>임원ㆍ주요주주특정증권등소유상황보고서</t>
        </is>
      </c>
      <c r="F4390" s="3" t="inlineStr">
        <is>
          <t>박준우</t>
        </is>
      </c>
      <c r="G4390" s="2" t="inlineStr">
        <is>
          <t>20260311004032</t>
        </is>
      </c>
      <c r="H4390" s="8">
        <f>HYPERLINK("https://dart.fss.or.kr/dsaf001/main.do?rcpNo=20260311004032", "공시열람")</f>
        <v/>
      </c>
    </row>
    <row r="4391">
      <c r="A4391" s="2" t="inlineStr">
        <is>
          <t>2026-03-11</t>
        </is>
      </c>
      <c r="B4391" s="3" t="inlineStr">
        <is>
          <t>넷마블</t>
        </is>
      </c>
      <c r="C4391" s="2" t="inlineStr">
        <is>
          <t>코스피</t>
        </is>
      </c>
      <c r="D4391" s="2" t="inlineStr">
        <is>
          <t>251270</t>
        </is>
      </c>
      <c r="E4391" s="3" t="inlineStr">
        <is>
          <t>의결권대리행사권유참고서류</t>
        </is>
      </c>
      <c r="F4391" s="3" t="inlineStr">
        <is>
          <t>넷마블</t>
        </is>
      </c>
      <c r="G4391" s="2" t="inlineStr">
        <is>
          <t>20260311004031</t>
        </is>
      </c>
      <c r="H4391" s="8">
        <f>HYPERLINK("https://dart.fss.or.kr/dsaf001/main.do?rcpNo=20260311004031", "공시열람")</f>
        <v/>
      </c>
    </row>
    <row r="4392">
      <c r="A4392" s="2" t="inlineStr">
        <is>
          <t>2026-03-11</t>
        </is>
      </c>
      <c r="B4392" s="3" t="inlineStr">
        <is>
          <t>대한항공</t>
        </is>
      </c>
      <c r="C4392" s="2" t="inlineStr">
        <is>
          <t>코스피</t>
        </is>
      </c>
      <c r="D4392" s="2" t="inlineStr">
        <is>
          <t>003490</t>
        </is>
      </c>
      <c r="E4392" s="3" t="inlineStr">
        <is>
          <t xml:space="preserve">감사보고서제출              </t>
        </is>
      </c>
      <c r="F4392" s="3" t="inlineStr">
        <is>
          <t>대한항공</t>
        </is>
      </c>
      <c r="G4392" s="2" t="inlineStr">
        <is>
          <t>20260311801401</t>
        </is>
      </c>
      <c r="H4392" s="8">
        <f>HYPERLINK("https://dart.fss.or.kr/dsaf001/main.do?rcpNo=20260311801401", "공시열람")</f>
        <v/>
      </c>
    </row>
    <row r="4393">
      <c r="A4393" s="2" t="inlineStr">
        <is>
          <t>2026-03-11</t>
        </is>
      </c>
      <c r="B4393" s="3" t="inlineStr">
        <is>
          <t>롯데하이마트</t>
        </is>
      </c>
      <c r="C4393" s="2" t="inlineStr">
        <is>
          <t>코스피</t>
        </is>
      </c>
      <c r="D4393" s="2" t="inlineStr">
        <is>
          <t>071840</t>
        </is>
      </c>
      <c r="E4393" s="3" t="inlineStr">
        <is>
          <t xml:space="preserve">감사보고서제출              </t>
        </is>
      </c>
      <c r="F4393" s="3" t="inlineStr">
        <is>
          <t>롯데하이마트</t>
        </is>
      </c>
      <c r="G4393" s="2" t="inlineStr">
        <is>
          <t>20260311801438</t>
        </is>
      </c>
      <c r="H4393" s="8">
        <f>HYPERLINK("https://dart.fss.or.kr/dsaf001/main.do?rcpNo=20260311801438", "공시열람")</f>
        <v/>
      </c>
    </row>
    <row r="4394">
      <c r="A4394" s="2" t="inlineStr">
        <is>
          <t>2026-03-11</t>
        </is>
      </c>
      <c r="B4394" s="3" t="inlineStr">
        <is>
          <t>이노벡스</t>
        </is>
      </c>
      <c r="C4394" s="2" t="inlineStr">
        <is>
          <t>코넥스</t>
        </is>
      </c>
      <c r="D4394" s="2" t="inlineStr">
        <is>
          <t>279060</t>
        </is>
      </c>
      <c r="E4394" s="3" t="inlineStr">
        <is>
          <t>기타시장안내              (상장공시위원회 심의대상 결정 및 절차 안내)</t>
        </is>
      </c>
      <c r="F4394" s="3" t="inlineStr">
        <is>
          <t>코넥스시장</t>
        </is>
      </c>
      <c r="G4394" s="2" t="inlineStr">
        <is>
          <t>20260311601347</t>
        </is>
      </c>
      <c r="H4394" s="8">
        <f>HYPERLINK("https://dart.fss.or.kr/dsaf001/main.do?rcpNo=20260311601347", "공시열람")</f>
        <v/>
      </c>
    </row>
    <row r="4395">
      <c r="A4395" s="2" t="inlineStr">
        <is>
          <t>2026-03-11</t>
        </is>
      </c>
      <c r="B4395" s="3" t="inlineStr">
        <is>
          <t>에코볼트</t>
        </is>
      </c>
      <c r="C4395" s="2" t="inlineStr">
        <is>
          <t>코스닥</t>
        </is>
      </c>
      <c r="D4395" s="2" t="inlineStr">
        <is>
          <t>097780</t>
        </is>
      </c>
      <c r="E4395" s="3" t="inlineStr">
        <is>
          <t>의결권대리행사권유참고서류</t>
        </is>
      </c>
      <c r="F4395" s="3" t="inlineStr">
        <is>
          <t>에코볼트</t>
        </is>
      </c>
      <c r="G4395" s="2" t="inlineStr">
        <is>
          <t>20260311004026</t>
        </is>
      </c>
      <c r="H4395" s="8">
        <f>HYPERLINK("https://dart.fss.or.kr/dsaf001/main.do?rcpNo=20260311004026", "공시열람")</f>
        <v/>
      </c>
    </row>
    <row r="4396">
      <c r="A4396" s="2" t="inlineStr">
        <is>
          <t>2026-03-11</t>
        </is>
      </c>
      <c r="B4396" s="3" t="inlineStr">
        <is>
          <t>볼빅</t>
        </is>
      </c>
      <c r="C4396" s="2" t="inlineStr">
        <is>
          <t>코넥스</t>
        </is>
      </c>
      <c r="D4396" s="2" t="inlineStr">
        <is>
          <t>206950</t>
        </is>
      </c>
      <c r="E4396" s="3" t="inlineStr">
        <is>
          <t>기타시장안내              (상장공시위원회 심의대상 결정 및 절차 안내)</t>
        </is>
      </c>
      <c r="F4396" s="3" t="inlineStr">
        <is>
          <t>코넥스시장</t>
        </is>
      </c>
      <c r="G4396" s="2" t="inlineStr">
        <is>
          <t>20260311601369</t>
        </is>
      </c>
      <c r="H4396" s="8">
        <f>HYPERLINK("https://dart.fss.or.kr/dsaf001/main.do?rcpNo=20260311601369", "공시열람")</f>
        <v/>
      </c>
    </row>
    <row r="4397">
      <c r="A4397" s="2" t="inlineStr">
        <is>
          <t>2026-03-11</t>
        </is>
      </c>
      <c r="B4397" s="3" t="inlineStr">
        <is>
          <t>금호석유화학</t>
        </is>
      </c>
      <c r="C4397" s="2" t="inlineStr">
        <is>
          <t>코스피</t>
        </is>
      </c>
      <c r="D4397" s="2" t="inlineStr">
        <is>
          <t>011780</t>
        </is>
      </c>
      <c r="E4397" s="3" t="inlineStr">
        <is>
          <t xml:space="preserve">감사보고서제출              </t>
        </is>
      </c>
      <c r="F4397" s="3" t="inlineStr">
        <is>
          <t>금호석유화학</t>
        </is>
      </c>
      <c r="G4397" s="2" t="inlineStr">
        <is>
          <t>20260311801360</t>
        </is>
      </c>
      <c r="H4397" s="8">
        <f>HYPERLINK("https://dart.fss.or.kr/dsaf001/main.do?rcpNo=20260311801360", "공시열람")</f>
        <v/>
      </c>
    </row>
    <row r="4398">
      <c r="A4398" s="2" t="inlineStr">
        <is>
          <t>2026-03-11</t>
        </is>
      </c>
      <c r="B4398" s="3" t="inlineStr">
        <is>
          <t>신영증권</t>
        </is>
      </c>
      <c r="C4398" s="2" t="inlineStr">
        <is>
          <t>코스피</t>
        </is>
      </c>
      <c r="D4398" s="2" t="inlineStr">
        <is>
          <t>001720</t>
        </is>
      </c>
      <c r="E4398" s="3" t="inlineStr">
        <is>
          <t>투자설명서(일괄신고)</t>
        </is>
      </c>
      <c r="F4398" s="3" t="inlineStr">
        <is>
          <t>신영증권</t>
        </is>
      </c>
      <c r="G4398" s="2" t="inlineStr">
        <is>
          <t>20260311004025</t>
        </is>
      </c>
      <c r="H4398" s="8">
        <f>HYPERLINK("https://dart.fss.or.kr/dsaf001/main.do?rcpNo=20260311004025", "공시열람")</f>
        <v/>
      </c>
    </row>
    <row r="4399">
      <c r="A4399" s="2" t="inlineStr">
        <is>
          <t>2026-03-11</t>
        </is>
      </c>
      <c r="B4399" s="3" t="inlineStr">
        <is>
          <t>HMM</t>
        </is>
      </c>
      <c r="C4399" s="2" t="inlineStr">
        <is>
          <t>코스피</t>
        </is>
      </c>
      <c r="D4399" s="2" t="inlineStr">
        <is>
          <t>011200</t>
        </is>
      </c>
      <c r="E4399" s="3" t="inlineStr">
        <is>
          <t>의결권대리행사권유참고서류</t>
        </is>
      </c>
      <c r="F4399" s="3" t="inlineStr">
        <is>
          <t>HMM</t>
        </is>
      </c>
      <c r="G4399" s="2" t="inlineStr">
        <is>
          <t>20260311004021</t>
        </is>
      </c>
      <c r="H4399" s="8">
        <f>HYPERLINK("https://dart.fss.or.kr/dsaf001/main.do?rcpNo=20260311004021", "공시열람")</f>
        <v/>
      </c>
    </row>
    <row r="4400">
      <c r="A4400" s="2" t="inlineStr">
        <is>
          <t>2026-03-11</t>
        </is>
      </c>
      <c r="B4400" s="3" t="inlineStr">
        <is>
          <t>유한양행</t>
        </is>
      </c>
      <c r="C4400" s="2" t="inlineStr">
        <is>
          <t>코스피</t>
        </is>
      </c>
      <c r="D4400" s="2" t="inlineStr">
        <is>
          <t>000100</t>
        </is>
      </c>
      <c r="E4400" s="3" t="inlineStr">
        <is>
          <t xml:space="preserve">감사보고서제출              </t>
        </is>
      </c>
      <c r="F4400" s="3" t="inlineStr">
        <is>
          <t>유한양행</t>
        </is>
      </c>
      <c r="G4400" s="2" t="inlineStr">
        <is>
          <t>20260311801327</t>
        </is>
      </c>
      <c r="H4400" s="8">
        <f>HYPERLINK("https://dart.fss.or.kr/dsaf001/main.do?rcpNo=20260311801327", "공시열람")</f>
        <v/>
      </c>
    </row>
    <row r="4401">
      <c r="A4401" s="2" t="inlineStr">
        <is>
          <t>2026-03-11</t>
        </is>
      </c>
      <c r="B4401" s="3" t="inlineStr">
        <is>
          <t>휴맥스</t>
        </is>
      </c>
      <c r="C4401" s="2" t="inlineStr">
        <is>
          <t>코스닥</t>
        </is>
      </c>
      <c r="D4401" s="2" t="inlineStr">
        <is>
          <t>115160</t>
        </is>
      </c>
      <c r="E4401" s="3" t="inlineStr">
        <is>
          <t xml:space="preserve">주식병합결정              </t>
        </is>
      </c>
      <c r="F4401" s="3" t="inlineStr">
        <is>
          <t>휴맥스</t>
        </is>
      </c>
      <c r="G4401" s="2" t="inlineStr">
        <is>
          <t>20260311901461</t>
        </is>
      </c>
      <c r="H4401" s="8">
        <f>HYPERLINK("https://dart.fss.or.kr/dsaf001/main.do?rcpNo=20260311901461", "공시열람")</f>
        <v/>
      </c>
    </row>
    <row r="4402">
      <c r="A4402" s="2" t="inlineStr">
        <is>
          <t>2026-03-11</t>
        </is>
      </c>
      <c r="B4402" s="3" t="inlineStr">
        <is>
          <t>참엔지니어링</t>
        </is>
      </c>
      <c r="C4402" s="2" t="inlineStr">
        <is>
          <t>코스피</t>
        </is>
      </c>
      <c r="D4402" s="2" t="inlineStr">
        <is>
          <t>009310</t>
        </is>
      </c>
      <c r="E4402" s="3" t="inlineStr">
        <is>
          <t>주요사항보고서(감자결정)</t>
        </is>
      </c>
      <c r="F4402" s="3" t="inlineStr">
        <is>
          <t>참엔지니어링</t>
        </is>
      </c>
      <c r="G4402" s="2" t="inlineStr">
        <is>
          <t>20260311003950</t>
        </is>
      </c>
      <c r="H4402" s="8">
        <f>HYPERLINK("https://dart.fss.or.kr/dsaf001/main.do?rcpNo=20260311003950", "공시열람")</f>
        <v/>
      </c>
    </row>
    <row r="4403">
      <c r="A4403" s="2" t="inlineStr">
        <is>
          <t>2026-03-11</t>
        </is>
      </c>
      <c r="B4403" s="3" t="inlineStr">
        <is>
          <t>참엔지니어링</t>
        </is>
      </c>
      <c r="C4403" s="2" t="inlineStr">
        <is>
          <t>코스피</t>
        </is>
      </c>
      <c r="D4403" s="2" t="inlineStr">
        <is>
          <t>009310</t>
        </is>
      </c>
      <c r="E4403" s="3" t="inlineStr">
        <is>
          <t xml:space="preserve">매매거래정지및정지해제(중요내용공시)              </t>
        </is>
      </c>
      <c r="F4403" s="3" t="inlineStr">
        <is>
          <t>유가증권시장본부</t>
        </is>
      </c>
      <c r="G4403" s="2" t="inlineStr">
        <is>
          <t>20260311801380</t>
        </is>
      </c>
      <c r="H4403" s="8">
        <f>HYPERLINK("https://dart.fss.or.kr/dsaf001/main.do?rcpNo=20260311801380", "공시열람")</f>
        <v/>
      </c>
    </row>
    <row r="4404">
      <c r="A4404" s="2" t="inlineStr">
        <is>
          <t>2026-03-11</t>
        </is>
      </c>
      <c r="B4404" s="3" t="inlineStr">
        <is>
          <t>코윈테크</t>
        </is>
      </c>
      <c r="C4404" s="2" t="inlineStr">
        <is>
          <t>코스닥</t>
        </is>
      </c>
      <c r="D4404" s="2" t="inlineStr">
        <is>
          <t>282880</t>
        </is>
      </c>
      <c r="E4404" s="3" t="inlineStr">
        <is>
          <t xml:space="preserve">현금ㆍ현물배당결정              </t>
        </is>
      </c>
      <c r="F4404" s="3" t="inlineStr">
        <is>
          <t>코윈테크</t>
        </is>
      </c>
      <c r="G4404" s="2" t="inlineStr">
        <is>
          <t>20260311901287</t>
        </is>
      </c>
      <c r="H4404" s="8">
        <f>HYPERLINK("https://dart.fss.or.kr/dsaf001/main.do?rcpNo=20260311901287", "공시열람")</f>
        <v/>
      </c>
    </row>
    <row r="4405">
      <c r="A4405" s="2" t="inlineStr">
        <is>
          <t>2026-03-11</t>
        </is>
      </c>
      <c r="B4405" s="3" t="inlineStr">
        <is>
          <t>HLB바이오스텝</t>
        </is>
      </c>
      <c r="C4405" s="2" t="inlineStr">
        <is>
          <t>코스닥</t>
        </is>
      </c>
      <c r="D4405" s="2" t="inlineStr">
        <is>
          <t>278650</t>
        </is>
      </c>
      <c r="E4405" s="3" t="inlineStr">
        <is>
          <t>의결권대리행사권유참고서류</t>
        </is>
      </c>
      <c r="F4405" s="3" t="inlineStr">
        <is>
          <t>HLB바이오스텝</t>
        </is>
      </c>
      <c r="G4405" s="2" t="inlineStr">
        <is>
          <t>20260311004013</t>
        </is>
      </c>
      <c r="H4405" s="8">
        <f>HYPERLINK("https://dart.fss.or.kr/dsaf001/main.do?rcpNo=20260311004013", "공시열람")</f>
        <v/>
      </c>
    </row>
    <row r="4406">
      <c r="A4406" s="2" t="inlineStr">
        <is>
          <t>2026-03-11</t>
        </is>
      </c>
      <c r="B4406" s="3" t="inlineStr">
        <is>
          <t>미래에셋생명</t>
        </is>
      </c>
      <c r="C4406" s="2" t="inlineStr">
        <is>
          <t>코스피</t>
        </is>
      </c>
      <c r="D4406" s="2" t="inlineStr">
        <is>
          <t>085620</t>
        </is>
      </c>
      <c r="E4406" s="3" t="inlineStr">
        <is>
          <t>임원ㆍ주요주주특정증권등소유상황보고서</t>
        </is>
      </c>
      <c r="F4406" s="3" t="inlineStr">
        <is>
          <t>이미현</t>
        </is>
      </c>
      <c r="G4406" s="2" t="inlineStr">
        <is>
          <t>20260311004004</t>
        </is>
      </c>
      <c r="H4406" s="8">
        <f>HYPERLINK("https://dart.fss.or.kr/dsaf001/main.do?rcpNo=20260311004004", "공시열람")</f>
        <v/>
      </c>
    </row>
    <row r="4407">
      <c r="A4407" s="2" t="inlineStr">
        <is>
          <t>2026-03-11</t>
        </is>
      </c>
      <c r="B4407" s="3" t="inlineStr">
        <is>
          <t>아셈스</t>
        </is>
      </c>
      <c r="C4407" s="2" t="inlineStr">
        <is>
          <t>코스닥</t>
        </is>
      </c>
      <c r="D4407" s="2" t="inlineStr">
        <is>
          <t>136410</t>
        </is>
      </c>
      <c r="E4407" s="3" t="inlineStr">
        <is>
          <t xml:space="preserve">현금ㆍ현물배당결정              </t>
        </is>
      </c>
      <c r="F4407" s="3" t="inlineStr">
        <is>
          <t>아셈스</t>
        </is>
      </c>
      <c r="G4407" s="2" t="inlineStr">
        <is>
          <t>20260311901283</t>
        </is>
      </c>
      <c r="H4407" s="8">
        <f>HYPERLINK("https://dart.fss.or.kr/dsaf001/main.do?rcpNo=20260311901283", "공시열람")</f>
        <v/>
      </c>
    </row>
    <row r="4408">
      <c r="A4408" s="2" t="inlineStr">
        <is>
          <t>2026-03-11</t>
        </is>
      </c>
      <c r="B4408" s="3" t="inlineStr">
        <is>
          <t>휴맥스</t>
        </is>
      </c>
      <c r="C4408" s="2" t="inlineStr">
        <is>
          <t>코스닥</t>
        </is>
      </c>
      <c r="D4408" s="2" t="inlineStr">
        <is>
          <t>115160</t>
        </is>
      </c>
      <c r="E4408" s="3" t="inlineStr">
        <is>
          <t>의결권대리행사권유참고서류</t>
        </is>
      </c>
      <c r="F4408" s="3" t="inlineStr">
        <is>
          <t>휴맥스</t>
        </is>
      </c>
      <c r="G4408" s="2" t="inlineStr">
        <is>
          <t>20260311004003</t>
        </is>
      </c>
      <c r="H4408" s="8">
        <f>HYPERLINK("https://dart.fss.or.kr/dsaf001/main.do?rcpNo=20260311004003", "공시열람")</f>
        <v/>
      </c>
    </row>
    <row r="4409">
      <c r="A4409" s="2" t="inlineStr">
        <is>
          <t>2026-03-11</t>
        </is>
      </c>
      <c r="B4409" s="3" t="inlineStr">
        <is>
          <t>동국홀딩스</t>
        </is>
      </c>
      <c r="C4409" s="2" t="inlineStr">
        <is>
          <t>코스피</t>
        </is>
      </c>
      <c r="D4409" s="2" t="inlineStr">
        <is>
          <t>001230</t>
        </is>
      </c>
      <c r="E4409" s="3" t="inlineStr">
        <is>
          <t>의결권대리행사권유참고서류</t>
        </is>
      </c>
      <c r="F4409" s="3" t="inlineStr">
        <is>
          <t>동국홀딩스</t>
        </is>
      </c>
      <c r="G4409" s="2" t="inlineStr">
        <is>
          <t>20260311004001</t>
        </is>
      </c>
      <c r="H4409" s="8">
        <f>HYPERLINK("https://dart.fss.or.kr/dsaf001/main.do?rcpNo=20260311004001", "공시열람")</f>
        <v/>
      </c>
    </row>
    <row r="4410">
      <c r="A4410" s="2" t="inlineStr">
        <is>
          <t>2026-03-11 (정정: 2026-03-12)</t>
        </is>
      </c>
      <c r="B4410" s="3" t="inlineStr">
        <is>
          <t>KS인더스트리</t>
        </is>
      </c>
      <c r="C4410" s="2" t="inlineStr">
        <is>
          <t>코스닥</t>
        </is>
      </c>
      <c r="D4410" s="2" t="inlineStr">
        <is>
          <t>101000</t>
        </is>
      </c>
      <c r="E4410" s="3" t="inlineStr">
        <is>
          <t>의결권대리행사권유참고서류 (정정: 20260312)</t>
        </is>
      </c>
      <c r="F4410" s="3" t="inlineStr">
        <is>
          <t>KS인더스트리</t>
        </is>
      </c>
      <c r="G4410" s="2" t="inlineStr">
        <is>
          <t>20260312001201</t>
        </is>
      </c>
      <c r="H4410" s="8">
        <f>HYPERLINK("https://dart.fss.or.kr/dsaf001/main.do?rcpNo=20260312001201", "공시열람")</f>
        <v/>
      </c>
    </row>
    <row r="4411">
      <c r="A4411" s="2" t="inlineStr">
        <is>
          <t>2026-03-11</t>
        </is>
      </c>
      <c r="B4411" s="3" t="inlineStr">
        <is>
          <t>에이텍모빌리티</t>
        </is>
      </c>
      <c r="C4411" s="2" t="inlineStr">
        <is>
          <t>코스닥</t>
        </is>
      </c>
      <c r="D4411" s="2" t="inlineStr">
        <is>
          <t>224110</t>
        </is>
      </c>
      <c r="E4411" s="3" t="inlineStr">
        <is>
          <t>임원ㆍ주요주주특정증권등소유상황보고서</t>
        </is>
      </c>
      <c r="F4411" s="3" t="inlineStr">
        <is>
          <t>신종찬</t>
        </is>
      </c>
      <c r="G4411" s="2" t="inlineStr">
        <is>
          <t>20260311003999</t>
        </is>
      </c>
      <c r="H4411" s="8">
        <f>HYPERLINK("https://dart.fss.or.kr/dsaf001/main.do?rcpNo=20260311003999", "공시열람")</f>
        <v/>
      </c>
    </row>
    <row r="4412">
      <c r="A4412" s="2" t="inlineStr">
        <is>
          <t>2026-03-11</t>
        </is>
      </c>
      <c r="B4412" s="3" t="inlineStr">
        <is>
          <t>코츠테크놀로지</t>
        </is>
      </c>
      <c r="C4412" s="2" t="inlineStr">
        <is>
          <t>코스닥</t>
        </is>
      </c>
      <c r="D4412" s="2" t="inlineStr">
        <is>
          <t>448710</t>
        </is>
      </c>
      <c r="E4412" s="3" t="inlineStr">
        <is>
          <t>의결권대리행사권유참고서류</t>
        </is>
      </c>
      <c r="F4412" s="3" t="inlineStr">
        <is>
          <t>코츠테크놀로지</t>
        </is>
      </c>
      <c r="G4412" s="2" t="inlineStr">
        <is>
          <t>20260311003997</t>
        </is>
      </c>
      <c r="H4412" s="8">
        <f>HYPERLINK("https://dart.fss.or.kr/dsaf001/main.do?rcpNo=20260311003997", "공시열람")</f>
        <v/>
      </c>
    </row>
    <row r="4413">
      <c r="A4413" s="2" t="inlineStr">
        <is>
          <t>2026-03-11</t>
        </is>
      </c>
      <c r="B4413" s="3" t="inlineStr">
        <is>
          <t>인포바인</t>
        </is>
      </c>
      <c r="C4413" s="2" t="inlineStr">
        <is>
          <t>코스닥</t>
        </is>
      </c>
      <c r="D4413" s="2" t="inlineStr">
        <is>
          <t>115310</t>
        </is>
      </c>
      <c r="E4413" s="3" t="inlineStr">
        <is>
          <t xml:space="preserve">감사보고서제출              </t>
        </is>
      </c>
      <c r="F4413" s="3" t="inlineStr">
        <is>
          <t>인포바인</t>
        </is>
      </c>
      <c r="G4413" s="2" t="inlineStr">
        <is>
          <t>20260311901308</t>
        </is>
      </c>
      <c r="H4413" s="8">
        <f>HYPERLINK("https://dart.fss.or.kr/dsaf001/main.do?rcpNo=20260311901308", "공시열람")</f>
        <v/>
      </c>
    </row>
    <row r="4414">
      <c r="A4414" s="2" t="inlineStr">
        <is>
          <t>2026-03-11</t>
        </is>
      </c>
      <c r="B4414" s="3" t="inlineStr">
        <is>
          <t>미래에셋생명</t>
        </is>
      </c>
      <c r="C4414" s="2" t="inlineStr">
        <is>
          <t>코스피</t>
        </is>
      </c>
      <c r="D4414" s="2" t="inlineStr">
        <is>
          <t>085620</t>
        </is>
      </c>
      <c r="E4414" s="3" t="inlineStr">
        <is>
          <t>임원ㆍ주요주주특정증권등소유상황보고서</t>
        </is>
      </c>
      <c r="F4414" s="3" t="inlineStr">
        <is>
          <t>민유식</t>
        </is>
      </c>
      <c r="G4414" s="2" t="inlineStr">
        <is>
          <t>20260311003993</t>
        </is>
      </c>
      <c r="H4414" s="8">
        <f>HYPERLINK("https://dart.fss.or.kr/dsaf001/main.do?rcpNo=20260311003993", "공시열람")</f>
        <v/>
      </c>
    </row>
    <row r="4415">
      <c r="A4415" s="2" t="inlineStr">
        <is>
          <t>2026-03-11</t>
        </is>
      </c>
      <c r="B4415" s="3" t="inlineStr">
        <is>
          <t>TPC로보틱스</t>
        </is>
      </c>
      <c r="C4415" s="2" t="inlineStr">
        <is>
          <t>코스닥</t>
        </is>
      </c>
      <c r="D4415" s="2" t="inlineStr">
        <is>
          <t>048770</t>
        </is>
      </c>
      <c r="E4415" s="3" t="inlineStr">
        <is>
          <t>의결권대리행사권유참고서류</t>
        </is>
      </c>
      <c r="F4415" s="3" t="inlineStr">
        <is>
          <t>TPC로보틱스</t>
        </is>
      </c>
      <c r="G4415" s="2" t="inlineStr">
        <is>
          <t>20260311003991</t>
        </is>
      </c>
      <c r="H4415" s="8">
        <f>HYPERLINK("https://dart.fss.or.kr/dsaf001/main.do?rcpNo=20260311003991", "공시열람")</f>
        <v/>
      </c>
    </row>
    <row r="4416">
      <c r="A4416" s="2" t="inlineStr">
        <is>
          <t>2026-03-11</t>
        </is>
      </c>
      <c r="B4416" s="3" t="inlineStr">
        <is>
          <t>GS</t>
        </is>
      </c>
      <c r="C4416" s="2" t="inlineStr">
        <is>
          <t>코스피</t>
        </is>
      </c>
      <c r="D4416" s="2" t="inlineStr">
        <is>
          <t>078930</t>
        </is>
      </c>
      <c r="E4416" s="3" t="inlineStr">
        <is>
          <t xml:space="preserve">감사보고서제출(자회사의 주요경영사항)              </t>
        </is>
      </c>
      <c r="F4416" s="3" t="inlineStr">
        <is>
          <t>GS</t>
        </is>
      </c>
      <c r="G4416" s="2" t="inlineStr">
        <is>
          <t>20260311801339</t>
        </is>
      </c>
      <c r="H4416" s="8">
        <f>HYPERLINK("https://dart.fss.or.kr/dsaf001/main.do?rcpNo=20260311801339", "공시열람")</f>
        <v/>
      </c>
    </row>
    <row r="4417">
      <c r="A4417" s="2" t="inlineStr">
        <is>
          <t>2026-03-11</t>
        </is>
      </c>
      <c r="B4417" s="3" t="inlineStr">
        <is>
          <t>태광산업</t>
        </is>
      </c>
      <c r="C4417" s="2" t="inlineStr">
        <is>
          <t>코스피</t>
        </is>
      </c>
      <c r="D4417" s="2" t="inlineStr">
        <is>
          <t>003240</t>
        </is>
      </c>
      <c r="E4417" s="3" t="inlineStr">
        <is>
          <t xml:space="preserve">풍문또는보도에대한해명(미확정)              </t>
        </is>
      </c>
      <c r="F4417" s="3" t="inlineStr">
        <is>
          <t>태광산업</t>
        </is>
      </c>
      <c r="G4417" s="2" t="inlineStr">
        <is>
          <t>20260311801352</t>
        </is>
      </c>
      <c r="H4417" s="8">
        <f>HYPERLINK("https://dart.fss.or.kr/dsaf001/main.do?rcpNo=20260311801352", "공시열람")</f>
        <v/>
      </c>
    </row>
    <row r="4418">
      <c r="A4418" s="2" t="inlineStr">
        <is>
          <t>2026-03-11</t>
        </is>
      </c>
      <c r="B4418" s="3" t="inlineStr">
        <is>
          <t>넥스트아이</t>
        </is>
      </c>
      <c r="C4418" s="2" t="inlineStr">
        <is>
          <t>코스닥</t>
        </is>
      </c>
      <c r="D4418" s="2" t="inlineStr">
        <is>
          <t>137940</t>
        </is>
      </c>
      <c r="E4418" s="3" t="inlineStr">
        <is>
          <t xml:space="preserve">주식병합결정              </t>
        </is>
      </c>
      <c r="F4418" s="3" t="inlineStr">
        <is>
          <t>넥스트아이</t>
        </is>
      </c>
      <c r="G4418" s="2" t="inlineStr">
        <is>
          <t>20260311901212</t>
        </is>
      </c>
      <c r="H4418" s="8">
        <f>HYPERLINK("https://dart.fss.or.kr/dsaf001/main.do?rcpNo=20260311901212", "공시열람")</f>
        <v/>
      </c>
    </row>
    <row r="4419">
      <c r="A4419" s="2" t="inlineStr">
        <is>
          <t>2026-03-11</t>
        </is>
      </c>
      <c r="B4419" s="3" t="inlineStr">
        <is>
          <t>올릭스</t>
        </is>
      </c>
      <c r="C4419" s="2" t="inlineStr">
        <is>
          <t>코스닥</t>
        </is>
      </c>
      <c r="D4419" s="2" t="inlineStr">
        <is>
          <t>226950</t>
        </is>
      </c>
      <c r="E4419" s="3" t="inlineStr">
        <is>
          <t>의결권대리행사권유참고서류</t>
        </is>
      </c>
      <c r="F4419" s="3" t="inlineStr">
        <is>
          <t>올릭스</t>
        </is>
      </c>
      <c r="G4419" s="2" t="inlineStr">
        <is>
          <t>20260311003980</t>
        </is>
      </c>
      <c r="H4419" s="8">
        <f>HYPERLINK("https://dart.fss.or.kr/dsaf001/main.do?rcpNo=20260311003980", "공시열람")</f>
        <v/>
      </c>
    </row>
    <row r="4420">
      <c r="A4420" s="2" t="inlineStr">
        <is>
          <t>2026-03-11</t>
        </is>
      </c>
      <c r="B4420" s="3" t="inlineStr">
        <is>
          <t>신한제12호스팩</t>
        </is>
      </c>
      <c r="C4420" s="2" t="inlineStr">
        <is>
          <t>코스닥</t>
        </is>
      </c>
      <c r="D4420" s="2" t="inlineStr">
        <is>
          <t>474660</t>
        </is>
      </c>
      <c r="E4420" s="3" t="inlineStr">
        <is>
          <t xml:space="preserve">감사보고서제출              </t>
        </is>
      </c>
      <c r="F4420" s="3" t="inlineStr">
        <is>
          <t>신한제12호스팩</t>
        </is>
      </c>
      <c r="G4420" s="2" t="inlineStr">
        <is>
          <t>20260311901201</t>
        </is>
      </c>
      <c r="H4420" s="8">
        <f>HYPERLINK("https://dart.fss.or.kr/dsaf001/main.do?rcpNo=20260311901201", "공시열람")</f>
        <v/>
      </c>
    </row>
    <row r="4421">
      <c r="A4421" s="2" t="inlineStr">
        <is>
          <t>2026-03-11</t>
        </is>
      </c>
      <c r="B4421" s="3" t="inlineStr">
        <is>
          <t>한라캐스트</t>
        </is>
      </c>
      <c r="C4421" s="2" t="inlineStr">
        <is>
          <t>코스닥</t>
        </is>
      </c>
      <c r="D4421" s="2" t="inlineStr">
        <is>
          <t>125490</t>
        </is>
      </c>
      <c r="E4421" s="3" t="inlineStr">
        <is>
          <t>임원ㆍ주요주주특정증권등소유상황보고서</t>
        </is>
      </c>
      <c r="F4421" s="3" t="inlineStr">
        <is>
          <t>오택원</t>
        </is>
      </c>
      <c r="G4421" s="2" t="inlineStr">
        <is>
          <t>20260311003975</t>
        </is>
      </c>
      <c r="H4421" s="8">
        <f>HYPERLINK("https://dart.fss.or.kr/dsaf001/main.do?rcpNo=20260311003975", "공시열람")</f>
        <v/>
      </c>
    </row>
    <row r="4422">
      <c r="A4422" s="2" t="inlineStr">
        <is>
          <t>2026-03-11</t>
        </is>
      </c>
      <c r="B4422" s="3" t="inlineStr">
        <is>
          <t>디와이에이</t>
        </is>
      </c>
      <c r="C4422" s="2" t="inlineStr">
        <is>
          <t>코스피</t>
        </is>
      </c>
      <c r="D4422" s="2" t="inlineStr">
        <is>
          <t>002880</t>
        </is>
      </c>
      <c r="E4422" s="3" t="inlineStr">
        <is>
          <t>의결권대리행사권유참고서류</t>
        </is>
      </c>
      <c r="F4422" s="3" t="inlineStr">
        <is>
          <t>디와이에이</t>
        </is>
      </c>
      <c r="G4422" s="2" t="inlineStr">
        <is>
          <t>20260311003973</t>
        </is>
      </c>
      <c r="H4422" s="8">
        <f>HYPERLINK("https://dart.fss.or.kr/dsaf001/main.do?rcpNo=20260311003973", "공시열람")</f>
        <v/>
      </c>
    </row>
    <row r="4423">
      <c r="A4423" s="2" t="inlineStr">
        <is>
          <t>2026-03-11</t>
        </is>
      </c>
      <c r="B4423" s="3" t="inlineStr">
        <is>
          <t>미래에셋생명</t>
        </is>
      </c>
      <c r="C4423" s="2" t="inlineStr">
        <is>
          <t>코스피</t>
        </is>
      </c>
      <c r="D4423" s="2" t="inlineStr">
        <is>
          <t>085620</t>
        </is>
      </c>
      <c r="E4423" s="3" t="inlineStr">
        <is>
          <t>임원ㆍ주요주주특정증권등소유상황보고서</t>
        </is>
      </c>
      <c r="F4423" s="3" t="inlineStr">
        <is>
          <t>이정완</t>
        </is>
      </c>
      <c r="G4423" s="2" t="inlineStr">
        <is>
          <t>20260311003972</t>
        </is>
      </c>
      <c r="H4423" s="8">
        <f>HYPERLINK("https://dart.fss.or.kr/dsaf001/main.do?rcpNo=20260311003972", "공시열람")</f>
        <v/>
      </c>
    </row>
    <row r="4424">
      <c r="A4424" s="2" t="inlineStr">
        <is>
          <t>2026-03-11</t>
        </is>
      </c>
      <c r="B4424" s="3" t="inlineStr">
        <is>
          <t>미래에셋생명</t>
        </is>
      </c>
      <c r="C4424" s="2" t="inlineStr">
        <is>
          <t>코스피</t>
        </is>
      </c>
      <c r="D4424" s="2" t="inlineStr">
        <is>
          <t>085620</t>
        </is>
      </c>
      <c r="E4424" s="3" t="inlineStr">
        <is>
          <t>임원ㆍ주요주주특정증권등소유상황보고서</t>
        </is>
      </c>
      <c r="F4424" s="3" t="inlineStr">
        <is>
          <t>김승환</t>
        </is>
      </c>
      <c r="G4424" s="2" t="inlineStr">
        <is>
          <t>20260311003970</t>
        </is>
      </c>
      <c r="H4424" s="8">
        <f>HYPERLINK("https://dart.fss.or.kr/dsaf001/main.do?rcpNo=20260311003970", "공시열람")</f>
        <v/>
      </c>
    </row>
    <row r="4425">
      <c r="A4425" s="2" t="inlineStr">
        <is>
          <t>2026-03-11 (정정: 2026-05-21)</t>
        </is>
      </c>
      <c r="B4425" s="3" t="inlineStr">
        <is>
          <t>이마트</t>
        </is>
      </c>
      <c r="C4425" s="2" t="inlineStr">
        <is>
          <t>코스피</t>
        </is>
      </c>
      <c r="D4425" s="2" t="inlineStr">
        <is>
          <t>139480</t>
        </is>
      </c>
      <c r="E4425" s="3" t="inlineStr">
        <is>
          <t>증권신고서(주식의포괄적교환ㆍ이전) (정정: 20260521)</t>
        </is>
      </c>
      <c r="F4425" s="3" t="inlineStr">
        <is>
          <t>이마트</t>
        </is>
      </c>
      <c r="G4425" s="2" t="inlineStr">
        <is>
          <t>20260521000516</t>
        </is>
      </c>
      <c r="H4425" s="8">
        <f>HYPERLINK("https://dart.fss.or.kr/dsaf001/main.do?rcpNo=20260521000516", "공시열람")</f>
        <v/>
      </c>
    </row>
    <row r="4426">
      <c r="A4426" s="2" t="inlineStr">
        <is>
          <t>2026-03-11</t>
        </is>
      </c>
      <c r="B4426" s="3" t="inlineStr">
        <is>
          <t>GKL</t>
        </is>
      </c>
      <c r="C4426" s="2" t="inlineStr">
        <is>
          <t>코스피</t>
        </is>
      </c>
      <c r="D4426" s="2" t="inlineStr">
        <is>
          <t>114090</t>
        </is>
      </c>
      <c r="E4426" s="3" t="inlineStr">
        <is>
          <t xml:space="preserve">감사보고서제출              </t>
        </is>
      </c>
      <c r="F4426" s="3" t="inlineStr">
        <is>
          <t>GKL</t>
        </is>
      </c>
      <c r="G4426" s="2" t="inlineStr">
        <is>
          <t>20260311801273</t>
        </is>
      </c>
      <c r="H4426" s="8">
        <f>HYPERLINK("https://dart.fss.or.kr/dsaf001/main.do?rcpNo=20260311801273", "공시열람")</f>
        <v/>
      </c>
    </row>
    <row r="4427">
      <c r="A4427" s="2" t="inlineStr">
        <is>
          <t>2026-03-11</t>
        </is>
      </c>
      <c r="B4427" s="3" t="inlineStr">
        <is>
          <t>KTis</t>
        </is>
      </c>
      <c r="C4427" s="2" t="inlineStr">
        <is>
          <t>코스피</t>
        </is>
      </c>
      <c r="D4427" s="2" t="inlineStr">
        <is>
          <t>058860</t>
        </is>
      </c>
      <c r="E4427" s="3" t="inlineStr">
        <is>
          <t xml:space="preserve">감사보고서제출              </t>
        </is>
      </c>
      <c r="F4427" s="3" t="inlineStr">
        <is>
          <t>KTis</t>
        </is>
      </c>
      <c r="G4427" s="2" t="inlineStr">
        <is>
          <t>20260311801307</t>
        </is>
      </c>
      <c r="H4427" s="8">
        <f>HYPERLINK("https://dart.fss.or.kr/dsaf001/main.do?rcpNo=20260311801307", "공시열람")</f>
        <v/>
      </c>
    </row>
    <row r="4428">
      <c r="A4428" s="2" t="inlineStr">
        <is>
          <t>2026-03-11</t>
        </is>
      </c>
      <c r="B4428" s="3" t="inlineStr">
        <is>
          <t>LIG아큐버</t>
        </is>
      </c>
      <c r="C4428" s="2" t="inlineStr">
        <is>
          <t>코스닥</t>
        </is>
      </c>
      <c r="D4428" s="2" t="inlineStr">
        <is>
          <t>073490</t>
        </is>
      </c>
      <c r="E4428" s="3" t="inlineStr">
        <is>
          <t>의결권대리행사권유참고서류</t>
        </is>
      </c>
      <c r="F4428" s="3" t="inlineStr">
        <is>
          <t>LIG아큐버</t>
        </is>
      </c>
      <c r="G4428" s="2" t="inlineStr">
        <is>
          <t>20260311003963</t>
        </is>
      </c>
      <c r="H4428" s="8">
        <f>HYPERLINK("https://dart.fss.or.kr/dsaf001/main.do?rcpNo=20260311003963", "공시열람")</f>
        <v/>
      </c>
    </row>
    <row r="4429">
      <c r="A4429" s="2" t="inlineStr">
        <is>
          <t>2026-03-11</t>
        </is>
      </c>
      <c r="B4429" s="3" t="inlineStr">
        <is>
          <t>포스코DX</t>
        </is>
      </c>
      <c r="C4429" s="2" t="inlineStr">
        <is>
          <t>코스피</t>
        </is>
      </c>
      <c r="D4429" s="2" t="inlineStr">
        <is>
          <t>022100</t>
        </is>
      </c>
      <c r="E4429" s="3" t="inlineStr">
        <is>
          <t xml:space="preserve">감사보고서제출              </t>
        </is>
      </c>
      <c r="F4429" s="3" t="inlineStr">
        <is>
          <t>포스코DX</t>
        </is>
      </c>
      <c r="G4429" s="2" t="inlineStr">
        <is>
          <t>20260311801243</t>
        </is>
      </c>
      <c r="H4429" s="8">
        <f>HYPERLINK("https://dart.fss.or.kr/dsaf001/main.do?rcpNo=20260311801243", "공시열람")</f>
        <v/>
      </c>
    </row>
    <row r="4430">
      <c r="A4430" s="2" t="inlineStr">
        <is>
          <t>2026-03-11</t>
        </is>
      </c>
      <c r="B4430" s="3" t="inlineStr">
        <is>
          <t>씨젠</t>
        </is>
      </c>
      <c r="C4430" s="2" t="inlineStr">
        <is>
          <t>코스닥</t>
        </is>
      </c>
      <c r="D4430" s="2" t="inlineStr">
        <is>
          <t>096530</t>
        </is>
      </c>
      <c r="E4430" s="3" t="inlineStr">
        <is>
          <t>의결권대리행사권유참고서류</t>
        </is>
      </c>
      <c r="F4430" s="3" t="inlineStr">
        <is>
          <t>씨젠</t>
        </is>
      </c>
      <c r="G4430" s="2" t="inlineStr">
        <is>
          <t>20260311003960</t>
        </is>
      </c>
      <c r="H4430" s="8">
        <f>HYPERLINK("https://dart.fss.or.kr/dsaf001/main.do?rcpNo=20260311003960", "공시열람")</f>
        <v/>
      </c>
    </row>
    <row r="4431">
      <c r="A4431" s="2" t="inlineStr">
        <is>
          <t>2026-03-11</t>
        </is>
      </c>
      <c r="B4431" s="3" t="inlineStr">
        <is>
          <t>미원에스씨</t>
        </is>
      </c>
      <c r="C4431" s="2" t="inlineStr">
        <is>
          <t>코스피</t>
        </is>
      </c>
      <c r="D4431" s="2" t="inlineStr">
        <is>
          <t>268280</t>
        </is>
      </c>
      <c r="E4431" s="3" t="inlineStr">
        <is>
          <t>임원ㆍ주요주주특정증권등소유상황보고서</t>
        </is>
      </c>
      <c r="F4431" s="3" t="inlineStr">
        <is>
          <t>김정돈</t>
        </is>
      </c>
      <c r="G4431" s="2" t="inlineStr">
        <is>
          <t>20260311003958</t>
        </is>
      </c>
      <c r="H4431" s="8">
        <f>HYPERLINK("https://dart.fss.or.kr/dsaf001/main.do?rcpNo=20260311003958", "공시열람")</f>
        <v/>
      </c>
    </row>
    <row r="4432">
      <c r="A4432" s="2" t="inlineStr">
        <is>
          <t>2026-03-11</t>
        </is>
      </c>
      <c r="B4432" s="3" t="inlineStr">
        <is>
          <t>GS리테일</t>
        </is>
      </c>
      <c r="C4432" s="2" t="inlineStr">
        <is>
          <t>코스피</t>
        </is>
      </c>
      <c r="D4432" s="2" t="inlineStr">
        <is>
          <t>007070</t>
        </is>
      </c>
      <c r="E4432" s="3" t="inlineStr">
        <is>
          <t xml:space="preserve">감사보고서제출              </t>
        </is>
      </c>
      <c r="F4432" s="3" t="inlineStr">
        <is>
          <t>GS리테일</t>
        </is>
      </c>
      <c r="G4432" s="2" t="inlineStr">
        <is>
          <t>20260311801231</t>
        </is>
      </c>
      <c r="H4432" s="8">
        <f>HYPERLINK("https://dart.fss.or.kr/dsaf001/main.do?rcpNo=20260311801231", "공시열람")</f>
        <v/>
      </c>
    </row>
    <row r="4433">
      <c r="A4433" s="2" t="inlineStr">
        <is>
          <t>2026-03-11</t>
        </is>
      </c>
      <c r="B4433" s="3" t="inlineStr">
        <is>
          <t>BYC</t>
        </is>
      </c>
      <c r="C4433" s="2" t="inlineStr">
        <is>
          <t>코스피</t>
        </is>
      </c>
      <c r="D4433" s="2" t="inlineStr">
        <is>
          <t>001460</t>
        </is>
      </c>
      <c r="E4433" s="3" t="inlineStr">
        <is>
          <t>의결권대리행사권유참고서류</t>
        </is>
      </c>
      <c r="F4433" s="3" t="inlineStr">
        <is>
          <t>BYC</t>
        </is>
      </c>
      <c r="G4433" s="2" t="inlineStr">
        <is>
          <t>20260311003957</t>
        </is>
      </c>
      <c r="H4433" s="8">
        <f>HYPERLINK("https://dart.fss.or.kr/dsaf001/main.do?rcpNo=20260311003957", "공시열람")</f>
        <v/>
      </c>
    </row>
    <row r="4434">
      <c r="A4434" s="2" t="inlineStr">
        <is>
          <t>2026-03-11</t>
        </is>
      </c>
      <c r="B4434" s="3" t="inlineStr">
        <is>
          <t>NICE인프라</t>
        </is>
      </c>
      <c r="C4434" s="2" t="inlineStr">
        <is>
          <t>코스닥</t>
        </is>
      </c>
      <c r="D4434" s="2" t="inlineStr">
        <is>
          <t>063570</t>
        </is>
      </c>
      <c r="E4434" s="3" t="inlineStr">
        <is>
          <t xml:space="preserve">매출액또는손익구조30%(대규모법인은15%)이상변동              </t>
        </is>
      </c>
      <c r="F4434" s="3" t="inlineStr">
        <is>
          <t>NICE인프라</t>
        </is>
      </c>
      <c r="G4434" s="2" t="inlineStr">
        <is>
          <t>20260311901216</t>
        </is>
      </c>
      <c r="H4434" s="8">
        <f>HYPERLINK("https://dart.fss.or.kr/dsaf001/main.do?rcpNo=20260311901216", "공시열람")</f>
        <v/>
      </c>
    </row>
    <row r="4435">
      <c r="A4435" s="2" t="inlineStr">
        <is>
          <t>2026-03-11 (정정: 2026-03-12)</t>
        </is>
      </c>
      <c r="B4435" s="3" t="inlineStr">
        <is>
          <t>SIMPAC</t>
        </is>
      </c>
      <c r="C4435" s="2" t="inlineStr">
        <is>
          <t>코스피</t>
        </is>
      </c>
      <c r="D4435" s="2" t="inlineStr">
        <is>
          <t>009160</t>
        </is>
      </c>
      <c r="E4435" s="3" t="inlineStr">
        <is>
          <t>현금ㆍ현물배당결정               (정정: 20260312) (정정: 20260312)</t>
        </is>
      </c>
      <c r="F4435" s="3" t="inlineStr">
        <is>
          <t>SIMPAC</t>
        </is>
      </c>
      <c r="G4435" s="2" t="inlineStr">
        <is>
          <t>20260312000309</t>
        </is>
      </c>
      <c r="H4435" s="8">
        <f>HYPERLINK("https://dart.fss.or.kr/dsaf001/main.do?rcpNo=20260312000309", "공시열람")</f>
        <v/>
      </c>
    </row>
    <row r="4436">
      <c r="A4436" s="2" t="inlineStr">
        <is>
          <t>2026-03-11</t>
        </is>
      </c>
      <c r="B4436" s="3" t="inlineStr">
        <is>
          <t>지엔코</t>
        </is>
      </c>
      <c r="C4436" s="2" t="inlineStr">
        <is>
          <t>코스닥</t>
        </is>
      </c>
      <c r="D4436" s="2" t="inlineStr">
        <is>
          <t>065060</t>
        </is>
      </c>
      <c r="E4436" s="3" t="inlineStr">
        <is>
          <t xml:space="preserve">주식병합결정              </t>
        </is>
      </c>
      <c r="F4436" s="3" t="inlineStr">
        <is>
          <t>지엔코</t>
        </is>
      </c>
      <c r="G4436" s="2" t="inlineStr">
        <is>
          <t>20260311901330</t>
        </is>
      </c>
      <c r="H4436" s="8">
        <f>HYPERLINK("https://dart.fss.or.kr/dsaf001/main.do?rcpNo=20260311901330", "공시열람")</f>
        <v/>
      </c>
    </row>
    <row r="4437">
      <c r="A4437" s="2" t="inlineStr">
        <is>
          <t>2026-03-11</t>
        </is>
      </c>
      <c r="B4437" s="3" t="inlineStr">
        <is>
          <t>미래에셋생명</t>
        </is>
      </c>
      <c r="C4437" s="2" t="inlineStr">
        <is>
          <t>코스피</t>
        </is>
      </c>
      <c r="D4437" s="2" t="inlineStr">
        <is>
          <t>085620</t>
        </is>
      </c>
      <c r="E4437" s="3" t="inlineStr">
        <is>
          <t>임원ㆍ주요주주특정증권등소유상황보고서</t>
        </is>
      </c>
      <c r="F4437" s="3" t="inlineStr">
        <is>
          <t>유형창</t>
        </is>
      </c>
      <c r="G4437" s="2" t="inlineStr">
        <is>
          <t>20260311003949</t>
        </is>
      </c>
      <c r="H4437" s="8">
        <f>HYPERLINK("https://dart.fss.or.kr/dsaf001/main.do?rcpNo=20260311003949", "공시열람")</f>
        <v/>
      </c>
    </row>
    <row r="4438">
      <c r="A4438" s="2" t="inlineStr">
        <is>
          <t>2026-03-11</t>
        </is>
      </c>
      <c r="B4438" s="3" t="inlineStr">
        <is>
          <t>SKC</t>
        </is>
      </c>
      <c r="C4438" s="2" t="inlineStr">
        <is>
          <t>코스피</t>
        </is>
      </c>
      <c r="D4438" s="2" t="inlineStr">
        <is>
          <t>011790</t>
        </is>
      </c>
      <c r="E4438" s="3" t="inlineStr">
        <is>
          <t xml:space="preserve">감사보고서제출(자회사의 주요경영사항)              </t>
        </is>
      </c>
      <c r="F4438" s="3" t="inlineStr">
        <is>
          <t>SKC</t>
        </is>
      </c>
      <c r="G4438" s="2" t="inlineStr">
        <is>
          <t>20260311801213</t>
        </is>
      </c>
      <c r="H4438" s="8">
        <f>HYPERLINK("https://dart.fss.or.kr/dsaf001/main.do?rcpNo=20260311801213", "공시열람")</f>
        <v/>
      </c>
    </row>
    <row r="4439">
      <c r="A4439" s="2" t="inlineStr">
        <is>
          <t>2026-03-11</t>
        </is>
      </c>
      <c r="B4439" s="3" t="inlineStr">
        <is>
          <t>일지테크</t>
        </is>
      </c>
      <c r="C4439" s="2" t="inlineStr">
        <is>
          <t>코스닥</t>
        </is>
      </c>
      <c r="D4439" s="2" t="inlineStr">
        <is>
          <t>019540</t>
        </is>
      </c>
      <c r="E4439" s="3" t="inlineStr">
        <is>
          <t xml:space="preserve">매출액또는손익구조30%(대규모법인은15%)이상변동              </t>
        </is>
      </c>
      <c r="F4439" s="3" t="inlineStr">
        <is>
          <t>일지테크</t>
        </is>
      </c>
      <c r="G4439" s="2" t="inlineStr">
        <is>
          <t>20260311901187</t>
        </is>
      </c>
      <c r="H4439" s="8">
        <f>HYPERLINK("https://dart.fss.or.kr/dsaf001/main.do?rcpNo=20260311901187", "공시열람")</f>
        <v/>
      </c>
    </row>
    <row r="4440">
      <c r="A4440" s="2" t="inlineStr">
        <is>
          <t>2026-03-11</t>
        </is>
      </c>
      <c r="B4440" s="3" t="inlineStr">
        <is>
          <t>케일럼</t>
        </is>
      </c>
      <c r="C4440" s="2" t="inlineStr">
        <is>
          <t>코스닥</t>
        </is>
      </c>
      <c r="D4440" s="2" t="inlineStr">
        <is>
          <t>258610</t>
        </is>
      </c>
      <c r="E4440" s="3" t="inlineStr">
        <is>
          <t>의결권대리행사권유참고서류</t>
        </is>
      </c>
      <c r="F4440" s="3" t="inlineStr">
        <is>
          <t>케일럼</t>
        </is>
      </c>
      <c r="G4440" s="2" t="inlineStr">
        <is>
          <t>20260311003948</t>
        </is>
      </c>
      <c r="H4440" s="8">
        <f>HYPERLINK("https://dart.fss.or.kr/dsaf001/main.do?rcpNo=20260311003948", "공시열람")</f>
        <v/>
      </c>
    </row>
    <row r="4441">
      <c r="A4441" s="2" t="inlineStr">
        <is>
          <t>2026-03-11</t>
        </is>
      </c>
      <c r="B4441" s="3" t="inlineStr">
        <is>
          <t>피제이메탈</t>
        </is>
      </c>
      <c r="C4441" s="2" t="inlineStr">
        <is>
          <t>코스닥</t>
        </is>
      </c>
      <c r="D4441" s="2" t="inlineStr">
        <is>
          <t>128660</t>
        </is>
      </c>
      <c r="E4441" s="3" t="inlineStr">
        <is>
          <t>의결권대리행사권유참고서류</t>
        </is>
      </c>
      <c r="F4441" s="3" t="inlineStr">
        <is>
          <t>피제이메탈</t>
        </is>
      </c>
      <c r="G4441" s="2" t="inlineStr">
        <is>
          <t>20260311003947</t>
        </is>
      </c>
      <c r="H4441" s="8">
        <f>HYPERLINK("https://dart.fss.or.kr/dsaf001/main.do?rcpNo=20260311003947", "공시열람")</f>
        <v/>
      </c>
    </row>
    <row r="4442">
      <c r="A4442" s="2" t="inlineStr">
        <is>
          <t>2026-03-11</t>
        </is>
      </c>
      <c r="B4442" s="3" t="inlineStr">
        <is>
          <t>롯데관광개발</t>
        </is>
      </c>
      <c r="C4442" s="2" t="inlineStr">
        <is>
          <t>코스피</t>
        </is>
      </c>
      <c r="D4442" s="2" t="inlineStr">
        <is>
          <t>032350</t>
        </is>
      </c>
      <c r="E4442" s="3" t="inlineStr">
        <is>
          <t xml:space="preserve">기타경영사항(자율공시)              </t>
        </is>
      </c>
      <c r="F4442" s="3" t="inlineStr">
        <is>
          <t>롯데관광개발</t>
        </is>
      </c>
      <c r="G4442" s="2" t="inlineStr">
        <is>
          <t>20260311801289</t>
        </is>
      </c>
      <c r="H4442" s="8">
        <f>HYPERLINK("https://dart.fss.or.kr/dsaf001/main.do?rcpNo=20260311801289", "공시열람")</f>
        <v/>
      </c>
    </row>
    <row r="4443">
      <c r="A4443" s="2" t="inlineStr">
        <is>
          <t>2026-03-11</t>
        </is>
      </c>
      <c r="B4443" s="3" t="inlineStr">
        <is>
          <t>미래에셋생명</t>
        </is>
      </c>
      <c r="C4443" s="2" t="inlineStr">
        <is>
          <t>코스피</t>
        </is>
      </c>
      <c r="D4443" s="2" t="inlineStr">
        <is>
          <t>085620</t>
        </is>
      </c>
      <c r="E4443" s="3" t="inlineStr">
        <is>
          <t>임원ㆍ주요주주특정증권등소유상황보고서</t>
        </is>
      </c>
      <c r="F4443" s="3" t="inlineStr">
        <is>
          <t>최진혁</t>
        </is>
      </c>
      <c r="G4443" s="2" t="inlineStr">
        <is>
          <t>20260311003943</t>
        </is>
      </c>
      <c r="H4443" s="8">
        <f>HYPERLINK("https://dart.fss.or.kr/dsaf001/main.do?rcpNo=20260311003943", "공시열람")</f>
        <v/>
      </c>
    </row>
    <row r="4444">
      <c r="A4444" s="2" t="inlineStr">
        <is>
          <t>2026-03-11 (정정: 2026-03-12)</t>
        </is>
      </c>
      <c r="B4444" s="3" t="inlineStr">
        <is>
          <t>티에스아이</t>
        </is>
      </c>
      <c r="C4444" s="2" t="inlineStr">
        <is>
          <t>코스닥</t>
        </is>
      </c>
      <c r="D4444" s="2" t="inlineStr">
        <is>
          <t>277880</t>
        </is>
      </c>
      <c r="E4444" s="3" t="inlineStr">
        <is>
          <t>의결권대리행사권유참고서류 (정정: 20260312)</t>
        </is>
      </c>
      <c r="F4444" s="3" t="inlineStr">
        <is>
          <t>티에스아이</t>
        </is>
      </c>
      <c r="G4444" s="2" t="inlineStr">
        <is>
          <t>20260312000539</t>
        </is>
      </c>
      <c r="H4444" s="8">
        <f>HYPERLINK("https://dart.fss.or.kr/dsaf001/main.do?rcpNo=20260312000539", "공시열람")</f>
        <v/>
      </c>
    </row>
    <row r="4445">
      <c r="A4445" s="2" t="inlineStr">
        <is>
          <t>2026-03-11</t>
        </is>
      </c>
      <c r="B4445" s="3" t="inlineStr">
        <is>
          <t>국보디자인</t>
        </is>
      </c>
      <c r="C4445" s="2" t="inlineStr">
        <is>
          <t>코스닥</t>
        </is>
      </c>
      <c r="D4445" s="2" t="inlineStr">
        <is>
          <t>066620</t>
        </is>
      </c>
      <c r="E4445" s="3" t="inlineStr">
        <is>
          <t>의결권대리행사권유참고서류</t>
        </is>
      </c>
      <c r="F4445" s="3" t="inlineStr">
        <is>
          <t>국보디자인</t>
        </is>
      </c>
      <c r="G4445" s="2" t="inlineStr">
        <is>
          <t>20260311003938</t>
        </is>
      </c>
      <c r="H4445" s="8">
        <f>HYPERLINK("https://dart.fss.or.kr/dsaf001/main.do?rcpNo=20260311003938", "공시열람")</f>
        <v/>
      </c>
    </row>
    <row r="4446">
      <c r="A4446" s="2" t="inlineStr">
        <is>
          <t>2026-03-11</t>
        </is>
      </c>
      <c r="B4446" s="3" t="inlineStr">
        <is>
          <t>유진테크</t>
        </is>
      </c>
      <c r="C4446" s="2" t="inlineStr">
        <is>
          <t>코스닥</t>
        </is>
      </c>
      <c r="D4446" s="2" t="inlineStr">
        <is>
          <t>084370</t>
        </is>
      </c>
      <c r="E4446" s="3" t="inlineStr">
        <is>
          <t>의결권대리행사권유참고서류</t>
        </is>
      </c>
      <c r="F4446" s="3" t="inlineStr">
        <is>
          <t>유진테크</t>
        </is>
      </c>
      <c r="G4446" s="2" t="inlineStr">
        <is>
          <t>20260311003931</t>
        </is>
      </c>
      <c r="H4446" s="8">
        <f>HYPERLINK("https://dart.fss.or.kr/dsaf001/main.do?rcpNo=20260311003931", "공시열람")</f>
        <v/>
      </c>
    </row>
    <row r="4447">
      <c r="A4447" s="2" t="inlineStr">
        <is>
          <t>2026-03-11</t>
        </is>
      </c>
      <c r="B4447" s="3" t="inlineStr">
        <is>
          <t>일지테크</t>
        </is>
      </c>
      <c r="C4447" s="2" t="inlineStr">
        <is>
          <t>코스닥</t>
        </is>
      </c>
      <c r="D4447" s="2" t="inlineStr">
        <is>
          <t>019540</t>
        </is>
      </c>
      <c r="E4447" s="3" t="inlineStr">
        <is>
          <t xml:space="preserve">현금ㆍ현물배당결정              </t>
        </is>
      </c>
      <c r="F4447" s="3" t="inlineStr">
        <is>
          <t>일지테크</t>
        </is>
      </c>
      <c r="G4447" s="2" t="inlineStr">
        <is>
          <t>20260311901178</t>
        </is>
      </c>
      <c r="H4447" s="8">
        <f>HYPERLINK("https://dart.fss.or.kr/dsaf001/main.do?rcpNo=20260311901178", "공시열람")</f>
        <v/>
      </c>
    </row>
    <row r="4448">
      <c r="A4448" s="2" t="inlineStr">
        <is>
          <t>2026-03-11</t>
        </is>
      </c>
      <c r="B4448" s="3" t="inlineStr">
        <is>
          <t>제주항공</t>
        </is>
      </c>
      <c r="C4448" s="2" t="inlineStr">
        <is>
          <t>코스피</t>
        </is>
      </c>
      <c r="D4448" s="2" t="inlineStr">
        <is>
          <t>089590</t>
        </is>
      </c>
      <c r="E4448" s="3" t="inlineStr">
        <is>
          <t>의결권대리행사권유참고서류</t>
        </is>
      </c>
      <c r="F4448" s="3" t="inlineStr">
        <is>
          <t>제주항공</t>
        </is>
      </c>
      <c r="G4448" s="2" t="inlineStr">
        <is>
          <t>20260311003930</t>
        </is>
      </c>
      <c r="H4448" s="8">
        <f>HYPERLINK("https://dart.fss.or.kr/dsaf001/main.do?rcpNo=20260311003930", "공시열람")</f>
        <v/>
      </c>
    </row>
    <row r="4449">
      <c r="A4449" s="2" t="inlineStr">
        <is>
          <t>2026-03-11</t>
        </is>
      </c>
      <c r="B4449" s="3" t="inlineStr">
        <is>
          <t>씨젠</t>
        </is>
      </c>
      <c r="C4449" s="2" t="inlineStr">
        <is>
          <t>코스닥</t>
        </is>
      </c>
      <c r="D4449" s="2" t="inlineStr">
        <is>
          <t>096530</t>
        </is>
      </c>
      <c r="E4449" s="3" t="inlineStr">
        <is>
          <t xml:space="preserve">중간(분기)배당을위한주주명부폐쇄(기준일)결정              </t>
        </is>
      </c>
      <c r="F4449" s="3" t="inlineStr">
        <is>
          <t>씨젠</t>
        </is>
      </c>
      <c r="G4449" s="2" t="inlineStr">
        <is>
          <t>20260311901288</t>
        </is>
      </c>
      <c r="H4449" s="8">
        <f>HYPERLINK("https://dart.fss.or.kr/dsaf001/main.do?rcpNo=20260311901288", "공시열람")</f>
        <v/>
      </c>
    </row>
    <row r="4450">
      <c r="A4450" s="2" t="inlineStr">
        <is>
          <t>2026-03-11</t>
        </is>
      </c>
      <c r="B4450" s="3" t="inlineStr">
        <is>
          <t>롯데정밀화학</t>
        </is>
      </c>
      <c r="C4450" s="2" t="inlineStr">
        <is>
          <t>코스피</t>
        </is>
      </c>
      <c r="D4450" s="2" t="inlineStr">
        <is>
          <t>004000</t>
        </is>
      </c>
      <c r="E4450" s="3" t="inlineStr">
        <is>
          <t xml:space="preserve">감사보고서제출              </t>
        </is>
      </c>
      <c r="F4450" s="3" t="inlineStr">
        <is>
          <t>롯데정밀화학</t>
        </is>
      </c>
      <c r="G4450" s="2" t="inlineStr">
        <is>
          <t>20260311801135</t>
        </is>
      </c>
      <c r="H4450" s="8">
        <f>HYPERLINK("https://dart.fss.or.kr/dsaf001/main.do?rcpNo=20260311801135", "공시열람")</f>
        <v/>
      </c>
    </row>
    <row r="4451">
      <c r="A4451" s="2" t="inlineStr">
        <is>
          <t>2026-03-11</t>
        </is>
      </c>
      <c r="B4451" s="3" t="inlineStr">
        <is>
          <t>인트론바이오</t>
        </is>
      </c>
      <c r="C4451" s="2" t="inlineStr">
        <is>
          <t>코스닥</t>
        </is>
      </c>
      <c r="D4451" s="2" t="inlineStr">
        <is>
          <t>048530</t>
        </is>
      </c>
      <c r="E4451" s="3" t="inlineStr">
        <is>
          <t xml:space="preserve">감사보고서제출              </t>
        </is>
      </c>
      <c r="F4451" s="3" t="inlineStr">
        <is>
          <t>인트론바이오</t>
        </is>
      </c>
      <c r="G4451" s="2" t="inlineStr">
        <is>
          <t>20260311901174</t>
        </is>
      </c>
      <c r="H4451" s="8">
        <f>HYPERLINK("https://dart.fss.or.kr/dsaf001/main.do?rcpNo=20260311901174", "공시열람")</f>
        <v/>
      </c>
    </row>
    <row r="4452">
      <c r="A4452" s="2" t="inlineStr">
        <is>
          <t>2026-03-11</t>
        </is>
      </c>
      <c r="B4452" s="3" t="inlineStr">
        <is>
          <t>NICE인프라</t>
        </is>
      </c>
      <c r="C4452" s="2" t="inlineStr">
        <is>
          <t>코스닥</t>
        </is>
      </c>
      <c r="D4452" s="2" t="inlineStr">
        <is>
          <t>063570</t>
        </is>
      </c>
      <c r="E4452" s="3" t="inlineStr">
        <is>
          <t xml:space="preserve">현금ㆍ현물배당결정              </t>
        </is>
      </c>
      <c r="F4452" s="3" t="inlineStr">
        <is>
          <t>NICE인프라</t>
        </is>
      </c>
      <c r="G4452" s="2" t="inlineStr">
        <is>
          <t>20260311901182</t>
        </is>
      </c>
      <c r="H4452" s="8">
        <f>HYPERLINK("https://dart.fss.or.kr/dsaf001/main.do?rcpNo=20260311901182", "공시열람")</f>
        <v/>
      </c>
    </row>
    <row r="4453">
      <c r="A4453" s="2" t="inlineStr">
        <is>
          <t>2026-03-11</t>
        </is>
      </c>
      <c r="B4453" s="3" t="inlineStr">
        <is>
          <t>아이디피</t>
        </is>
      </c>
      <c r="C4453" s="2" t="inlineStr">
        <is>
          <t>코스닥</t>
        </is>
      </c>
      <c r="D4453" s="2" t="inlineStr">
        <is>
          <t>332370</t>
        </is>
      </c>
      <c r="E4453" s="3" t="inlineStr">
        <is>
          <t xml:space="preserve">감사보고서제출              </t>
        </is>
      </c>
      <c r="F4453" s="3" t="inlineStr">
        <is>
          <t>아이디피</t>
        </is>
      </c>
      <c r="G4453" s="2" t="inlineStr">
        <is>
          <t>20260311901168</t>
        </is>
      </c>
      <c r="H4453" s="8">
        <f>HYPERLINK("https://dart.fss.or.kr/dsaf001/main.do?rcpNo=20260311901168", "공시열람")</f>
        <v/>
      </c>
    </row>
    <row r="4454">
      <c r="A4454" s="2" t="inlineStr">
        <is>
          <t>2026-03-11</t>
        </is>
      </c>
      <c r="B4454" s="3" t="inlineStr">
        <is>
          <t>스마트레이더시스템</t>
        </is>
      </c>
      <c r="C4454" s="2" t="inlineStr">
        <is>
          <t>코스닥</t>
        </is>
      </c>
      <c r="D4454" s="2" t="inlineStr">
        <is>
          <t>424960</t>
        </is>
      </c>
      <c r="E4454" s="3" t="inlineStr">
        <is>
          <t>의결권대리행사권유참고서류</t>
        </is>
      </c>
      <c r="F4454" s="3" t="inlineStr">
        <is>
          <t>스마트레이더시스템</t>
        </is>
      </c>
      <c r="G4454" s="2" t="inlineStr">
        <is>
          <t>20260311003923</t>
        </is>
      </c>
      <c r="H4454" s="8">
        <f>HYPERLINK("https://dart.fss.or.kr/dsaf001/main.do?rcpNo=20260311003923", "공시열람")</f>
        <v/>
      </c>
    </row>
    <row r="4455">
      <c r="A4455" s="2" t="inlineStr">
        <is>
          <t>2026-03-11</t>
        </is>
      </c>
      <c r="B4455" s="3" t="inlineStr">
        <is>
          <t>이뮨온시아</t>
        </is>
      </c>
      <c r="C4455" s="2" t="inlineStr">
        <is>
          <t>코스닥</t>
        </is>
      </c>
      <c r="D4455" s="2" t="inlineStr">
        <is>
          <t>424870</t>
        </is>
      </c>
      <c r="E4455" s="3" t="inlineStr">
        <is>
          <t xml:space="preserve">감사보고서제출              </t>
        </is>
      </c>
      <c r="F4455" s="3" t="inlineStr">
        <is>
          <t>이뮨온시아</t>
        </is>
      </c>
      <c r="G4455" s="2" t="inlineStr">
        <is>
          <t>20260311901141</t>
        </is>
      </c>
      <c r="H4455" s="8">
        <f>HYPERLINK("https://dart.fss.or.kr/dsaf001/main.do?rcpNo=20260311901141", "공시열람")</f>
        <v/>
      </c>
    </row>
    <row r="4456">
      <c r="A4456" s="2" t="inlineStr">
        <is>
          <t>2026-03-11</t>
        </is>
      </c>
      <c r="B4456" s="3" t="inlineStr">
        <is>
          <t>코스맥스</t>
        </is>
      </c>
      <c r="C4456" s="2" t="inlineStr">
        <is>
          <t>코스피</t>
        </is>
      </c>
      <c r="D4456" s="2" t="inlineStr">
        <is>
          <t>192820</t>
        </is>
      </c>
      <c r="E4456" s="3" t="inlineStr">
        <is>
          <t xml:space="preserve">기업설명회(IR)개최(안내공시)              </t>
        </is>
      </c>
      <c r="F4456" s="3" t="inlineStr">
        <is>
          <t>코스맥스</t>
        </is>
      </c>
      <c r="G4456" s="2" t="inlineStr">
        <is>
          <t>20260311801125</t>
        </is>
      </c>
      <c r="H4456" s="8">
        <f>HYPERLINK("https://dart.fss.or.kr/dsaf001/main.do?rcpNo=20260311801125", "공시열람")</f>
        <v/>
      </c>
    </row>
    <row r="4457">
      <c r="A4457" s="2" t="inlineStr">
        <is>
          <t>2026-03-11</t>
        </is>
      </c>
      <c r="B4457" s="3" t="inlineStr">
        <is>
          <t>아주스틸</t>
        </is>
      </c>
      <c r="C4457" s="2" t="inlineStr">
        <is>
          <t>코스피</t>
        </is>
      </c>
      <c r="D4457" s="2" t="inlineStr">
        <is>
          <t>139990</t>
        </is>
      </c>
      <c r="E4457" s="3" t="inlineStr">
        <is>
          <t>의결권대리행사권유참고서류</t>
        </is>
      </c>
      <c r="F4457" s="3" t="inlineStr">
        <is>
          <t>아주스틸</t>
        </is>
      </c>
      <c r="G4457" s="2" t="inlineStr">
        <is>
          <t>20260311003918</t>
        </is>
      </c>
      <c r="H4457" s="8">
        <f>HYPERLINK("https://dart.fss.or.kr/dsaf001/main.do?rcpNo=20260311003918", "공시열람")</f>
        <v/>
      </c>
    </row>
    <row r="4458">
      <c r="A4458" s="2" t="inlineStr">
        <is>
          <t>2026-03-11</t>
        </is>
      </c>
      <c r="B4458" s="3" t="inlineStr">
        <is>
          <t>삼성증권</t>
        </is>
      </c>
      <c r="C4458" s="2" t="inlineStr">
        <is>
          <t>코스피</t>
        </is>
      </c>
      <c r="D4458" s="2" t="inlineStr">
        <is>
          <t>016360</t>
        </is>
      </c>
      <c r="E4458" s="3" t="inlineStr">
        <is>
          <t>증권발행실적보고서</t>
        </is>
      </c>
      <c r="F4458" s="3" t="inlineStr">
        <is>
          <t>삼성증권</t>
        </is>
      </c>
      <c r="G4458" s="2" t="inlineStr">
        <is>
          <t>20260311003917</t>
        </is>
      </c>
      <c r="H4458" s="8">
        <f>HYPERLINK("https://dart.fss.or.kr/dsaf001/main.do?rcpNo=20260311003917", "공시열람")</f>
        <v/>
      </c>
    </row>
    <row r="4459">
      <c r="A4459" s="2" t="inlineStr">
        <is>
          <t>2026-03-11</t>
        </is>
      </c>
      <c r="B4459" s="3" t="inlineStr">
        <is>
          <t>미래에셋생명</t>
        </is>
      </c>
      <c r="C4459" s="2" t="inlineStr">
        <is>
          <t>코스피</t>
        </is>
      </c>
      <c r="D4459" s="2" t="inlineStr">
        <is>
          <t>085620</t>
        </is>
      </c>
      <c r="E4459" s="3" t="inlineStr">
        <is>
          <t>임원ㆍ주요주주특정증권등소유상황보고서</t>
        </is>
      </c>
      <c r="F4459" s="3" t="inlineStr">
        <is>
          <t>전순표</t>
        </is>
      </c>
      <c r="G4459" s="2" t="inlineStr">
        <is>
          <t>20260311003915</t>
        </is>
      </c>
      <c r="H4459" s="8">
        <f>HYPERLINK("https://dart.fss.or.kr/dsaf001/main.do?rcpNo=20260311003915", "공시열람")</f>
        <v/>
      </c>
    </row>
    <row r="4460">
      <c r="A4460" s="2" t="inlineStr">
        <is>
          <t>2026-03-11</t>
        </is>
      </c>
      <c r="B4460" s="3" t="inlineStr">
        <is>
          <t>미래에셋생명</t>
        </is>
      </c>
      <c r="C4460" s="2" t="inlineStr">
        <is>
          <t>코스피</t>
        </is>
      </c>
      <c r="D4460" s="2" t="inlineStr">
        <is>
          <t>085620</t>
        </is>
      </c>
      <c r="E4460" s="3" t="inlineStr">
        <is>
          <t>임원ㆍ주요주주특정증권등소유상황보고서</t>
        </is>
      </c>
      <c r="F4460" s="3" t="inlineStr">
        <is>
          <t>하용</t>
        </is>
      </c>
      <c r="G4460" s="2" t="inlineStr">
        <is>
          <t>20260311003914</t>
        </is>
      </c>
      <c r="H4460" s="8">
        <f>HYPERLINK("https://dart.fss.or.kr/dsaf001/main.do?rcpNo=20260311003914", "공시열람")</f>
        <v/>
      </c>
    </row>
    <row r="4461">
      <c r="A4461" s="2" t="inlineStr">
        <is>
          <t>2026-03-11</t>
        </is>
      </c>
      <c r="B4461" s="3" t="inlineStr">
        <is>
          <t>한솔홈데코</t>
        </is>
      </c>
      <c r="C4461" s="2" t="inlineStr">
        <is>
          <t>코스피</t>
        </is>
      </c>
      <c r="D4461" s="2" t="inlineStr">
        <is>
          <t>025750</t>
        </is>
      </c>
      <c r="E4461" s="3" t="inlineStr">
        <is>
          <t xml:space="preserve">감사보고서제출              </t>
        </is>
      </c>
      <c r="F4461" s="3" t="inlineStr">
        <is>
          <t>한솔홈데코</t>
        </is>
      </c>
      <c r="G4461" s="2" t="inlineStr">
        <is>
          <t>20260311801226</t>
        </is>
      </c>
      <c r="H4461" s="8">
        <f>HYPERLINK("https://dart.fss.or.kr/dsaf001/main.do?rcpNo=20260311801226", "공시열람")</f>
        <v/>
      </c>
    </row>
    <row r="4462">
      <c r="A4462" s="2" t="inlineStr">
        <is>
          <t>2026-03-11</t>
        </is>
      </c>
      <c r="B4462" s="3" t="inlineStr">
        <is>
          <t>신한제13호스팩</t>
        </is>
      </c>
      <c r="C4462" s="2" t="inlineStr">
        <is>
          <t>코스닥</t>
        </is>
      </c>
      <c r="D4462" s="2" t="inlineStr">
        <is>
          <t>474930</t>
        </is>
      </c>
      <c r="E4462" s="3" t="inlineStr">
        <is>
          <t xml:space="preserve">감사보고서제출              </t>
        </is>
      </c>
      <c r="F4462" s="3" t="inlineStr">
        <is>
          <t>신한제13호스팩</t>
        </is>
      </c>
      <c r="G4462" s="2" t="inlineStr">
        <is>
          <t>20260311901185</t>
        </is>
      </c>
      <c r="H4462" s="8">
        <f>HYPERLINK("https://dart.fss.or.kr/dsaf001/main.do?rcpNo=20260311901185", "공시열람")</f>
        <v/>
      </c>
    </row>
    <row r="4463">
      <c r="A4463" s="2" t="inlineStr">
        <is>
          <t>2026-03-11</t>
        </is>
      </c>
      <c r="B4463" s="3" t="inlineStr">
        <is>
          <t>제룡전기</t>
        </is>
      </c>
      <c r="C4463" s="2" t="inlineStr">
        <is>
          <t>코스닥</t>
        </is>
      </c>
      <c r="D4463" s="2" t="inlineStr">
        <is>
          <t>033100</t>
        </is>
      </c>
      <c r="E4463" s="3" t="inlineStr">
        <is>
          <t xml:space="preserve">감사보고서제출              </t>
        </is>
      </c>
      <c r="F4463" s="3" t="inlineStr">
        <is>
          <t>제룡전기</t>
        </is>
      </c>
      <c r="G4463" s="2" t="inlineStr">
        <is>
          <t>20260311901144</t>
        </is>
      </c>
      <c r="H4463" s="8">
        <f>HYPERLINK("https://dart.fss.or.kr/dsaf001/main.do?rcpNo=20260311901144", "공시열람")</f>
        <v/>
      </c>
    </row>
    <row r="4464">
      <c r="A4464" s="2" t="inlineStr">
        <is>
          <t>2026-03-11</t>
        </is>
      </c>
      <c r="B4464" s="3" t="inlineStr">
        <is>
          <t>NHN벅스</t>
        </is>
      </c>
      <c r="C4464" s="2" t="inlineStr">
        <is>
          <t>코스닥</t>
        </is>
      </c>
      <c r="D4464" s="2" t="inlineStr">
        <is>
          <t>104200</t>
        </is>
      </c>
      <c r="E4464" s="3" t="inlineStr">
        <is>
          <t>의결권대리행사권유참고서류</t>
        </is>
      </c>
      <c r="F4464" s="3" t="inlineStr">
        <is>
          <t>NHN벅스</t>
        </is>
      </c>
      <c r="G4464" s="2" t="inlineStr">
        <is>
          <t>20260311003908</t>
        </is>
      </c>
      <c r="H4464" s="8">
        <f>HYPERLINK("https://dart.fss.or.kr/dsaf001/main.do?rcpNo=20260311003908", "공시열람")</f>
        <v/>
      </c>
    </row>
    <row r="4465">
      <c r="A4465" s="2" t="inlineStr">
        <is>
          <t>2026-03-11</t>
        </is>
      </c>
      <c r="B4465" s="3" t="inlineStr">
        <is>
          <t>씨젠</t>
        </is>
      </c>
      <c r="C4465" s="2" t="inlineStr">
        <is>
          <t>코스닥</t>
        </is>
      </c>
      <c r="D4465" s="2" t="inlineStr">
        <is>
          <t>096530</t>
        </is>
      </c>
      <c r="E4465" s="3" t="inlineStr">
        <is>
          <t xml:space="preserve">현금ㆍ현물배당결정              </t>
        </is>
      </c>
      <c r="F4465" s="3" t="inlineStr">
        <is>
          <t>씨젠</t>
        </is>
      </c>
      <c r="G4465" s="2" t="inlineStr">
        <is>
          <t>20260311901111</t>
        </is>
      </c>
      <c r="H4465" s="8">
        <f>HYPERLINK("https://dart.fss.or.kr/dsaf001/main.do?rcpNo=20260311901111", "공시열람")</f>
        <v/>
      </c>
    </row>
    <row r="4466">
      <c r="A4466" s="2" t="inlineStr">
        <is>
          <t>2026-03-11 (정정: 2026-03-12)</t>
        </is>
      </c>
      <c r="B4466" s="3" t="inlineStr">
        <is>
          <t>신신제약</t>
        </is>
      </c>
      <c r="C4466" s="2" t="inlineStr">
        <is>
          <t>코스닥</t>
        </is>
      </c>
      <c r="D4466" s="2" t="inlineStr">
        <is>
          <t>002800</t>
        </is>
      </c>
      <c r="E4466" s="3" t="inlineStr">
        <is>
          <t>의결권대리행사권유참고서류 (정정: 20260312)</t>
        </is>
      </c>
      <c r="F4466" s="3" t="inlineStr">
        <is>
          <t>신신제약</t>
        </is>
      </c>
      <c r="G4466" s="2" t="inlineStr">
        <is>
          <t>20260312000106</t>
        </is>
      </c>
      <c r="H4466" s="8">
        <f>HYPERLINK("https://dart.fss.or.kr/dsaf001/main.do?rcpNo=20260312000106", "공시열람")</f>
        <v/>
      </c>
    </row>
    <row r="4467">
      <c r="A4467" s="2" t="inlineStr">
        <is>
          <t>2026-03-11</t>
        </is>
      </c>
      <c r="B4467" s="3" t="inlineStr">
        <is>
          <t>APS</t>
        </is>
      </c>
      <c r="C4467" s="2" t="inlineStr">
        <is>
          <t>코스닥</t>
        </is>
      </c>
      <c r="D4467" s="2" t="inlineStr">
        <is>
          <t>054620</t>
        </is>
      </c>
      <c r="E4467" s="3" t="inlineStr">
        <is>
          <t xml:space="preserve">매출액또는손익구조30%(대규모법인은15%)이상변동              </t>
        </is>
      </c>
      <c r="F4467" s="3" t="inlineStr">
        <is>
          <t>APS</t>
        </is>
      </c>
      <c r="G4467" s="2" t="inlineStr">
        <is>
          <t>20260311901198</t>
        </is>
      </c>
      <c r="H4467" s="8">
        <f>HYPERLINK("https://dart.fss.or.kr/dsaf001/main.do?rcpNo=20260311901198", "공시열람")</f>
        <v/>
      </c>
    </row>
    <row r="4468">
      <c r="A4468" s="2" t="inlineStr">
        <is>
          <t>2026-03-11</t>
        </is>
      </c>
      <c r="B4468" s="3" t="inlineStr">
        <is>
          <t>제넥신</t>
        </is>
      </c>
      <c r="C4468" s="2" t="inlineStr">
        <is>
          <t>코스닥</t>
        </is>
      </c>
      <c r="D4468" s="2" t="inlineStr">
        <is>
          <t>095700</t>
        </is>
      </c>
      <c r="E4468" s="3" t="inlineStr">
        <is>
          <t>의결권대리행사권유참고서류</t>
        </is>
      </c>
      <c r="F4468" s="3" t="inlineStr">
        <is>
          <t>제넥신</t>
        </is>
      </c>
      <c r="G4468" s="2" t="inlineStr">
        <is>
          <t>20260311003903</t>
        </is>
      </c>
      <c r="H4468" s="8">
        <f>HYPERLINK("https://dart.fss.or.kr/dsaf001/main.do?rcpNo=20260311003903", "공시열람")</f>
        <v/>
      </c>
    </row>
    <row r="4469">
      <c r="A4469" s="2" t="inlineStr">
        <is>
          <t>2026-03-11</t>
        </is>
      </c>
      <c r="B4469" s="3" t="inlineStr">
        <is>
          <t>대주전자재료</t>
        </is>
      </c>
      <c r="C4469" s="2" t="inlineStr">
        <is>
          <t>코스닥</t>
        </is>
      </c>
      <c r="D4469" s="2" t="inlineStr">
        <is>
          <t>078600</t>
        </is>
      </c>
      <c r="E4469" s="3" t="inlineStr">
        <is>
          <t>의결권대리행사권유참고서류</t>
        </is>
      </c>
      <c r="F4469" s="3" t="inlineStr">
        <is>
          <t>대주전자재료</t>
        </is>
      </c>
      <c r="G4469" s="2" t="inlineStr">
        <is>
          <t>20260311003897</t>
        </is>
      </c>
      <c r="H4469" s="8">
        <f>HYPERLINK("https://dart.fss.or.kr/dsaf001/main.do?rcpNo=20260311003897", "공시열람")</f>
        <v/>
      </c>
    </row>
    <row r="4470">
      <c r="A4470" s="2" t="inlineStr">
        <is>
          <t>2026-03-11</t>
        </is>
      </c>
      <c r="B4470" s="3" t="inlineStr">
        <is>
          <t>케일럼</t>
        </is>
      </c>
      <c r="C4470" s="2" t="inlineStr">
        <is>
          <t>코스닥</t>
        </is>
      </c>
      <c r="D4470" s="2" t="inlineStr">
        <is>
          <t>258610</t>
        </is>
      </c>
      <c r="E4470" s="3" t="inlineStr">
        <is>
          <t xml:space="preserve">[기재정정]매출액또는손익구조30%(대규모법인은15%)이상변동              </t>
        </is>
      </c>
      <c r="F4470" s="3" t="inlineStr">
        <is>
          <t>케일럼</t>
        </is>
      </c>
      <c r="G4470" s="2" t="inlineStr">
        <is>
          <t>20260311901157</t>
        </is>
      </c>
      <c r="H4470" s="8">
        <f>HYPERLINK("https://dart.fss.or.kr/dsaf001/main.do?rcpNo=20260311901157", "공시열람")</f>
        <v/>
      </c>
    </row>
    <row r="4471">
      <c r="A4471" s="2" t="inlineStr">
        <is>
          <t>2026-03-11</t>
        </is>
      </c>
      <c r="B4471" s="3" t="inlineStr">
        <is>
          <t>머니무브</t>
        </is>
      </c>
      <c r="C4471" s="2" t="inlineStr">
        <is>
          <t>코넥스</t>
        </is>
      </c>
      <c r="D4471" s="2" t="inlineStr">
        <is>
          <t>179720</t>
        </is>
      </c>
      <c r="E4471" s="3" t="inlineStr">
        <is>
          <t>주권매매거래정지해제              (상장폐지 사유 해소)</t>
        </is>
      </c>
      <c r="F4471" s="3" t="inlineStr">
        <is>
          <t>코넥스시장</t>
        </is>
      </c>
      <c r="G4471" s="2" t="inlineStr">
        <is>
          <t>20260311601132</t>
        </is>
      </c>
      <c r="H4471" s="8">
        <f>HYPERLINK("https://dart.fss.or.kr/dsaf001/main.do?rcpNo=20260311601132", "공시열람")</f>
        <v/>
      </c>
    </row>
    <row r="4472">
      <c r="A4472" s="2" t="inlineStr">
        <is>
          <t>2026-03-11</t>
        </is>
      </c>
      <c r="B4472" s="3" t="inlineStr">
        <is>
          <t>프럼파스트</t>
        </is>
      </c>
      <c r="C4472" s="2" t="inlineStr">
        <is>
          <t>코스닥</t>
        </is>
      </c>
      <c r="D4472" s="2" t="inlineStr">
        <is>
          <t>035200</t>
        </is>
      </c>
      <c r="E4472" s="3" t="inlineStr">
        <is>
          <t xml:space="preserve">감사보고서제출              </t>
        </is>
      </c>
      <c r="F4472" s="3" t="inlineStr">
        <is>
          <t>프럼파스트</t>
        </is>
      </c>
      <c r="G4472" s="2" t="inlineStr">
        <is>
          <t>20260311901091</t>
        </is>
      </c>
      <c r="H4472" s="8">
        <f>HYPERLINK("https://dart.fss.or.kr/dsaf001/main.do?rcpNo=20260311901091", "공시열람")</f>
        <v/>
      </c>
    </row>
    <row r="4473">
      <c r="A4473" s="2" t="inlineStr">
        <is>
          <t>2026-03-11</t>
        </is>
      </c>
      <c r="B4473" s="3" t="inlineStr">
        <is>
          <t>머니무브</t>
        </is>
      </c>
      <c r="C4473" s="2" t="inlineStr">
        <is>
          <t>코넥스</t>
        </is>
      </c>
      <c r="D4473" s="2" t="inlineStr">
        <is>
          <t>179720</t>
        </is>
      </c>
      <c r="E4473" s="3" t="inlineStr">
        <is>
          <t>기타시장안내              (상장폐지 사유 발생 및 해소)</t>
        </is>
      </c>
      <c r="F4473" s="3" t="inlineStr">
        <is>
          <t>코넥스시장</t>
        </is>
      </c>
      <c r="G4473" s="2" t="inlineStr">
        <is>
          <t>20260311601205</t>
        </is>
      </c>
      <c r="H4473" s="8">
        <f>HYPERLINK("https://dart.fss.or.kr/dsaf001/main.do?rcpNo=20260311601205", "공시열람")</f>
        <v/>
      </c>
    </row>
    <row r="4474">
      <c r="A4474" s="2" t="inlineStr">
        <is>
          <t>2026-03-11</t>
        </is>
      </c>
      <c r="B4474" s="3" t="inlineStr">
        <is>
          <t>씨앤지하이테크</t>
        </is>
      </c>
      <c r="C4474" s="2" t="inlineStr">
        <is>
          <t>코스닥</t>
        </is>
      </c>
      <c r="D4474" s="2" t="inlineStr">
        <is>
          <t>264660</t>
        </is>
      </c>
      <c r="E4474" s="3" t="inlineStr">
        <is>
          <t>임원ㆍ주요주주특정증권등소유상황보고서</t>
        </is>
      </c>
      <c r="F4474" s="3" t="inlineStr">
        <is>
          <t>고석근</t>
        </is>
      </c>
      <c r="G4474" s="2" t="inlineStr">
        <is>
          <t>20260311003891</t>
        </is>
      </c>
      <c r="H4474" s="8">
        <f>HYPERLINK("https://dart.fss.or.kr/dsaf001/main.do?rcpNo=20260311003891", "공시열람")</f>
        <v/>
      </c>
    </row>
    <row r="4475">
      <c r="A4475" s="2" t="inlineStr">
        <is>
          <t>2026-03-11</t>
        </is>
      </c>
      <c r="B4475" s="3" t="inlineStr">
        <is>
          <t>성도이엔지</t>
        </is>
      </c>
      <c r="C4475" s="2" t="inlineStr">
        <is>
          <t>코스닥</t>
        </is>
      </c>
      <c r="D4475" s="2" t="inlineStr">
        <is>
          <t>037350</t>
        </is>
      </c>
      <c r="E4475" s="3" t="inlineStr">
        <is>
          <t xml:space="preserve">[기재정정]감사보고서제출              </t>
        </is>
      </c>
      <c r="F4475" s="3" t="inlineStr">
        <is>
          <t>성도이엔지</t>
        </is>
      </c>
      <c r="G4475" s="2" t="inlineStr">
        <is>
          <t>20260311900990</t>
        </is>
      </c>
      <c r="H4475" s="8">
        <f>HYPERLINK("https://dart.fss.or.kr/dsaf001/main.do?rcpNo=20260311900990", "공시열람")</f>
        <v/>
      </c>
    </row>
    <row r="4476">
      <c r="A4476" s="2" t="inlineStr">
        <is>
          <t>2026-03-11</t>
        </is>
      </c>
      <c r="B4476" s="3" t="inlineStr">
        <is>
          <t>미래에셋생명</t>
        </is>
      </c>
      <c r="C4476" s="2" t="inlineStr">
        <is>
          <t>코스피</t>
        </is>
      </c>
      <c r="D4476" s="2" t="inlineStr">
        <is>
          <t>085620</t>
        </is>
      </c>
      <c r="E4476" s="3" t="inlineStr">
        <is>
          <t>임원ㆍ주요주주특정증권등소유상황보고서</t>
        </is>
      </c>
      <c r="F4476" s="3" t="inlineStr">
        <is>
          <t>조성식</t>
        </is>
      </c>
      <c r="G4476" s="2" t="inlineStr">
        <is>
          <t>20260311003889</t>
        </is>
      </c>
      <c r="H4476" s="8">
        <f>HYPERLINK("https://dart.fss.or.kr/dsaf001/main.do?rcpNo=20260311003889", "공시열람")</f>
        <v/>
      </c>
    </row>
    <row r="4477">
      <c r="A4477" s="2" t="inlineStr">
        <is>
          <t>2026-03-11</t>
        </is>
      </c>
      <c r="B4477" s="3" t="inlineStr">
        <is>
          <t>미래에셋생명</t>
        </is>
      </c>
      <c r="C4477" s="2" t="inlineStr">
        <is>
          <t>코스피</t>
        </is>
      </c>
      <c r="D4477" s="2" t="inlineStr">
        <is>
          <t>085620</t>
        </is>
      </c>
      <c r="E4477" s="3" t="inlineStr">
        <is>
          <t>임원ㆍ주요주주특정증권등소유상황보고서</t>
        </is>
      </c>
      <c r="F4477" s="3" t="inlineStr">
        <is>
          <t>박성철</t>
        </is>
      </c>
      <c r="G4477" s="2" t="inlineStr">
        <is>
          <t>20260311003888</t>
        </is>
      </c>
      <c r="H4477" s="8">
        <f>HYPERLINK("https://dart.fss.or.kr/dsaf001/main.do?rcpNo=20260311003888", "공시열람")</f>
        <v/>
      </c>
    </row>
    <row r="4478">
      <c r="A4478" s="2" t="inlineStr">
        <is>
          <t>2026-03-11</t>
        </is>
      </c>
      <c r="B4478" s="3" t="inlineStr">
        <is>
          <t>동진쎄미켐</t>
        </is>
      </c>
      <c r="C4478" s="2" t="inlineStr">
        <is>
          <t>코스닥</t>
        </is>
      </c>
      <c r="D4478" s="2" t="inlineStr">
        <is>
          <t>005290</t>
        </is>
      </c>
      <c r="E4478" s="3" t="inlineStr">
        <is>
          <t xml:space="preserve">매출액또는손익구조30%(대규모법인은15%)이상변동              </t>
        </is>
      </c>
      <c r="F4478" s="3" t="inlineStr">
        <is>
          <t>동진쎄미켐</t>
        </is>
      </c>
      <c r="G4478" s="2" t="inlineStr">
        <is>
          <t>20260311901147</t>
        </is>
      </c>
      <c r="H4478" s="8">
        <f>HYPERLINK("https://dart.fss.or.kr/dsaf001/main.do?rcpNo=20260311901147", "공시열람")</f>
        <v/>
      </c>
    </row>
    <row r="4479">
      <c r="A4479" s="2" t="inlineStr">
        <is>
          <t>2026-03-11</t>
        </is>
      </c>
      <c r="B4479" s="3" t="inlineStr">
        <is>
          <t>제넥신</t>
        </is>
      </c>
      <c r="C4479" s="2" t="inlineStr">
        <is>
          <t>코스닥</t>
        </is>
      </c>
      <c r="D4479" s="2" t="inlineStr">
        <is>
          <t>095700</t>
        </is>
      </c>
      <c r="E4479" s="3" t="inlineStr">
        <is>
          <t>주식매수선택권부여에관한신고</t>
        </is>
      </c>
      <c r="F4479" s="3" t="inlineStr">
        <is>
          <t>제넥신</t>
        </is>
      </c>
      <c r="G4479" s="2" t="inlineStr">
        <is>
          <t>20260311003878</t>
        </is>
      </c>
      <c r="H4479" s="8">
        <f>HYPERLINK("https://dart.fss.or.kr/dsaf001/main.do?rcpNo=20260311003878", "공시열람")</f>
        <v/>
      </c>
    </row>
    <row r="4480">
      <c r="A4480" s="2" t="inlineStr">
        <is>
          <t>2026-03-11</t>
        </is>
      </c>
      <c r="B4480" s="3" t="inlineStr">
        <is>
          <t>팜스빌</t>
        </is>
      </c>
      <c r="C4480" s="2" t="inlineStr">
        <is>
          <t>코스닥</t>
        </is>
      </c>
      <c r="D4480" s="2" t="inlineStr">
        <is>
          <t>318010</t>
        </is>
      </c>
      <c r="E4480" s="3" t="inlineStr">
        <is>
          <t xml:space="preserve">현금ㆍ현물배당결정              </t>
        </is>
      </c>
      <c r="F4480" s="3" t="inlineStr">
        <is>
          <t>팜스빌</t>
        </is>
      </c>
      <c r="G4480" s="2" t="inlineStr">
        <is>
          <t>20260311901112</t>
        </is>
      </c>
      <c r="H4480" s="8">
        <f>HYPERLINK("https://dart.fss.or.kr/dsaf001/main.do?rcpNo=20260311901112", "공시열람")</f>
        <v/>
      </c>
    </row>
    <row r="4481">
      <c r="A4481" s="2" t="inlineStr">
        <is>
          <t>2026-03-11</t>
        </is>
      </c>
      <c r="B4481" s="3" t="inlineStr">
        <is>
          <t>미래에셋생명</t>
        </is>
      </c>
      <c r="C4481" s="2" t="inlineStr">
        <is>
          <t>코스피</t>
        </is>
      </c>
      <c r="D4481" s="2" t="inlineStr">
        <is>
          <t>085620</t>
        </is>
      </c>
      <c r="E4481" s="3" t="inlineStr">
        <is>
          <t>임원ㆍ주요주주특정증권등소유상황보고서</t>
        </is>
      </c>
      <c r="F4481" s="3" t="inlineStr">
        <is>
          <t>박세일</t>
        </is>
      </c>
      <c r="G4481" s="2" t="inlineStr">
        <is>
          <t>20260311003873</t>
        </is>
      </c>
      <c r="H4481" s="8">
        <f>HYPERLINK("https://dart.fss.or.kr/dsaf001/main.do?rcpNo=20260311003873", "공시열람")</f>
        <v/>
      </c>
    </row>
    <row r="4482">
      <c r="A4482" s="2" t="inlineStr">
        <is>
          <t>2026-03-11 (정정: 2026-06-26)</t>
        </is>
      </c>
      <c r="B4482" s="3" t="inlineStr">
        <is>
          <t>동일금속</t>
        </is>
      </c>
      <c r="C4482" s="2" t="inlineStr">
        <is>
          <t>코스닥</t>
        </is>
      </c>
      <c r="D4482" s="2" t="inlineStr">
        <is>
          <t>109860</t>
        </is>
      </c>
      <c r="E4482" s="3" t="inlineStr">
        <is>
          <t>현금ㆍ현물배당결정               (정정: 20260626)</t>
        </is>
      </c>
      <c r="F4482" s="3" t="inlineStr">
        <is>
          <t>동일금속</t>
        </is>
      </c>
      <c r="G4482" s="2" t="inlineStr">
        <is>
          <t>20260626000141</t>
        </is>
      </c>
      <c r="H4482" s="8">
        <f>HYPERLINK("https://dart.fss.or.kr/dsaf001/main.do?rcpNo=20260626000141", "공시열람")</f>
        <v/>
      </c>
    </row>
    <row r="4483">
      <c r="A4483" s="2" t="inlineStr">
        <is>
          <t>2026-03-11 (정정: 2026-03-18)</t>
        </is>
      </c>
      <c r="B4483" s="3" t="inlineStr">
        <is>
          <t>케이티스카이라이프</t>
        </is>
      </c>
      <c r="C4483" s="2" t="inlineStr">
        <is>
          <t>코스피</t>
        </is>
      </c>
      <c r="D4483" s="2" t="inlineStr">
        <is>
          <t>053210</t>
        </is>
      </c>
      <c r="E4483" s="3" t="inlineStr">
        <is>
          <t>의결권대리행사권유참고서류 (정정: 20260318)</t>
        </is>
      </c>
      <c r="F4483" s="3" t="inlineStr">
        <is>
          <t>케이티스카이라이프</t>
        </is>
      </c>
      <c r="G4483" s="2" t="inlineStr">
        <is>
          <t>20260318001515</t>
        </is>
      </c>
      <c r="H4483" s="8">
        <f>HYPERLINK("https://dart.fss.or.kr/dsaf001/main.do?rcpNo=20260318001515", "공시열람")</f>
        <v/>
      </c>
    </row>
    <row r="4484">
      <c r="A4484" s="2" t="inlineStr">
        <is>
          <t>2026-03-11 (정정: 2026-03-13)</t>
        </is>
      </c>
      <c r="B4484" s="3" t="inlineStr">
        <is>
          <t>엑스큐어</t>
        </is>
      </c>
      <c r="C4484" s="2" t="inlineStr">
        <is>
          <t>코스닥</t>
        </is>
      </c>
      <c r="D4484" s="2" t="inlineStr">
        <is>
          <t>070300</t>
        </is>
      </c>
      <c r="E4484" s="3" t="inlineStr">
        <is>
          <t>의결권대리행사권유참고서류 (정정: 20260313)</t>
        </is>
      </c>
      <c r="F4484" s="3" t="inlineStr">
        <is>
          <t>엑스큐어</t>
        </is>
      </c>
      <c r="G4484" s="2" t="inlineStr">
        <is>
          <t>20260313902263</t>
        </is>
      </c>
      <c r="H4484" s="8">
        <f>HYPERLINK("https://dart.fss.or.kr/dsaf001/main.do?rcpNo=20260313902263", "공시열람")</f>
        <v/>
      </c>
    </row>
    <row r="4485">
      <c r="A4485" s="2" t="inlineStr">
        <is>
          <t>2026-03-11</t>
        </is>
      </c>
      <c r="B4485" s="3" t="inlineStr">
        <is>
          <t>녹십자</t>
        </is>
      </c>
      <c r="C4485" s="2" t="inlineStr">
        <is>
          <t>코스피</t>
        </is>
      </c>
      <c r="D4485" s="2" t="inlineStr">
        <is>
          <t>006280</t>
        </is>
      </c>
      <c r="E4485" s="3" t="inlineStr">
        <is>
          <t>증권발행실적보고서</t>
        </is>
      </c>
      <c r="F4485" s="3" t="inlineStr">
        <is>
          <t>녹십자</t>
        </is>
      </c>
      <c r="G4485" s="2" t="inlineStr">
        <is>
          <t>20260311003867</t>
        </is>
      </c>
      <c r="H4485" s="8">
        <f>HYPERLINK("https://dart.fss.or.kr/dsaf001/main.do?rcpNo=20260311003867", "공시열람")</f>
        <v/>
      </c>
    </row>
    <row r="4486">
      <c r="A4486" s="2" t="inlineStr">
        <is>
          <t>2026-03-11</t>
        </is>
      </c>
      <c r="B4486" s="3" t="inlineStr">
        <is>
          <t>젠큐릭스</t>
        </is>
      </c>
      <c r="C4486" s="2" t="inlineStr">
        <is>
          <t>코스닥</t>
        </is>
      </c>
      <c r="D4486" s="2" t="inlineStr">
        <is>
          <t>229000</t>
        </is>
      </c>
      <c r="E4486" s="3" t="inlineStr">
        <is>
          <t xml:space="preserve">감사보고서제출              </t>
        </is>
      </c>
      <c r="F4486" s="3" t="inlineStr">
        <is>
          <t>젠큐릭스</t>
        </is>
      </c>
      <c r="G4486" s="2" t="inlineStr">
        <is>
          <t>20260311901081</t>
        </is>
      </c>
      <c r="H4486" s="8">
        <f>HYPERLINK("https://dart.fss.or.kr/dsaf001/main.do?rcpNo=20260311901081", "공시열람")</f>
        <v/>
      </c>
    </row>
    <row r="4487">
      <c r="A4487" s="2" t="inlineStr">
        <is>
          <t>2026-03-11</t>
        </is>
      </c>
      <c r="B4487" s="3" t="inlineStr">
        <is>
          <t>티피씨글로벌</t>
        </is>
      </c>
      <c r="C4487" s="2" t="inlineStr">
        <is>
          <t>코스닥</t>
        </is>
      </c>
      <c r="D4487" s="2" t="inlineStr">
        <is>
          <t>130740</t>
        </is>
      </c>
      <c r="E4487" s="3" t="inlineStr">
        <is>
          <t>임원ㆍ주요주주특정증권등소유상황보고서</t>
        </is>
      </c>
      <c r="F4487" s="3" t="inlineStr">
        <is>
          <t>이정훈</t>
        </is>
      </c>
      <c r="G4487" s="2" t="inlineStr">
        <is>
          <t>20260311003864</t>
        </is>
      </c>
      <c r="H4487" s="8">
        <f>HYPERLINK("https://dart.fss.or.kr/dsaf001/main.do?rcpNo=20260311003864", "공시열람")</f>
        <v/>
      </c>
    </row>
    <row r="4488">
      <c r="A4488" s="2" t="inlineStr">
        <is>
          <t>2026-03-11</t>
        </is>
      </c>
      <c r="B4488" s="3" t="inlineStr">
        <is>
          <t>링크솔루션</t>
        </is>
      </c>
      <c r="C4488" s="2" t="inlineStr">
        <is>
          <t>코스닥</t>
        </is>
      </c>
      <c r="D4488" s="2" t="inlineStr">
        <is>
          <t>474650</t>
        </is>
      </c>
      <c r="E4488" s="3" t="inlineStr">
        <is>
          <t>의결권대리행사권유참고서류</t>
        </is>
      </c>
      <c r="F4488" s="3" t="inlineStr">
        <is>
          <t>링크솔루션</t>
        </is>
      </c>
      <c r="G4488" s="2" t="inlineStr">
        <is>
          <t>20260311003863</t>
        </is>
      </c>
      <c r="H4488" s="8">
        <f>HYPERLINK("https://dart.fss.or.kr/dsaf001/main.do?rcpNo=20260311003863", "공시열람")</f>
        <v/>
      </c>
    </row>
    <row r="4489">
      <c r="A4489" s="2" t="inlineStr">
        <is>
          <t>2026-03-11</t>
        </is>
      </c>
      <c r="B4489" s="3" t="inlineStr">
        <is>
          <t>티에스아이</t>
        </is>
      </c>
      <c r="C4489" s="2" t="inlineStr">
        <is>
          <t>코스닥</t>
        </is>
      </c>
      <c r="D4489" s="2" t="inlineStr">
        <is>
          <t>277880</t>
        </is>
      </c>
      <c r="E4489" s="3" t="inlineStr">
        <is>
          <t xml:space="preserve">현금ㆍ현물배당결정              </t>
        </is>
      </c>
      <c r="F4489" s="3" t="inlineStr">
        <is>
          <t>티에스아이</t>
        </is>
      </c>
      <c r="G4489" s="2" t="inlineStr">
        <is>
          <t>20260311901136</t>
        </is>
      </c>
      <c r="H4489" s="8">
        <f>HYPERLINK("https://dart.fss.or.kr/dsaf001/main.do?rcpNo=20260311901136", "공시열람")</f>
        <v/>
      </c>
    </row>
    <row r="4490">
      <c r="A4490" s="2" t="inlineStr">
        <is>
          <t>2026-03-11</t>
        </is>
      </c>
      <c r="B4490" s="3" t="inlineStr">
        <is>
          <t>SB성보</t>
        </is>
      </c>
      <c r="C4490" s="2" t="inlineStr">
        <is>
          <t>코스피</t>
        </is>
      </c>
      <c r="D4490" s="2" t="inlineStr">
        <is>
          <t>003080</t>
        </is>
      </c>
      <c r="E4490" s="3" t="inlineStr">
        <is>
          <t xml:space="preserve">현금ㆍ현물배당결정              </t>
        </is>
      </c>
      <c r="F4490" s="3" t="inlineStr">
        <is>
          <t>SB성보</t>
        </is>
      </c>
      <c r="G4490" s="2" t="inlineStr">
        <is>
          <t>20260311801158</t>
        </is>
      </c>
      <c r="H4490" s="8">
        <f>HYPERLINK("https://dart.fss.or.kr/dsaf001/main.do?rcpNo=20260311801158", "공시열람")</f>
        <v/>
      </c>
    </row>
    <row r="4491">
      <c r="A4491" s="2" t="inlineStr">
        <is>
          <t>2026-03-11</t>
        </is>
      </c>
      <c r="B4491" s="3" t="inlineStr">
        <is>
          <t>HL만도</t>
        </is>
      </c>
      <c r="C4491" s="2" t="inlineStr">
        <is>
          <t>코스피</t>
        </is>
      </c>
      <c r="D4491" s="2" t="inlineStr">
        <is>
          <t>204320</t>
        </is>
      </c>
      <c r="E4491" s="3" t="inlineStr">
        <is>
          <t>의결권대리행사권유참고서류</t>
        </is>
      </c>
      <c r="F4491" s="3" t="inlineStr">
        <is>
          <t>HL만도</t>
        </is>
      </c>
      <c r="G4491" s="2" t="inlineStr">
        <is>
          <t>20260311003855</t>
        </is>
      </c>
      <c r="H4491" s="8">
        <f>HYPERLINK("https://dart.fss.or.kr/dsaf001/main.do?rcpNo=20260311003855", "공시열람")</f>
        <v/>
      </c>
    </row>
    <row r="4492">
      <c r="A4492" s="2" t="inlineStr">
        <is>
          <t>2026-03-11</t>
        </is>
      </c>
      <c r="B4492" s="3" t="inlineStr">
        <is>
          <t>E1</t>
        </is>
      </c>
      <c r="C4492" s="2" t="inlineStr">
        <is>
          <t>코스피</t>
        </is>
      </c>
      <c r="D4492" s="2" t="inlineStr">
        <is>
          <t>017940</t>
        </is>
      </c>
      <c r="E4492" s="3" t="inlineStr">
        <is>
          <t>약관에의한금융거래시계열금융회사의거래상대방의공시</t>
        </is>
      </c>
      <c r="F4492" s="3" t="inlineStr">
        <is>
          <t>E1</t>
        </is>
      </c>
      <c r="G4492" s="2" t="inlineStr">
        <is>
          <t>20260311003853</t>
        </is>
      </c>
      <c r="H4492" s="8">
        <f>HYPERLINK("https://dart.fss.or.kr/dsaf001/main.do?rcpNo=20260311003853", "공시열람")</f>
        <v/>
      </c>
    </row>
    <row r="4493">
      <c r="A4493" s="2" t="inlineStr">
        <is>
          <t>2026-03-11 (정정: 2026-03-17)</t>
        </is>
      </c>
      <c r="B4493" s="3" t="inlineStr">
        <is>
          <t>HL홀딩스</t>
        </is>
      </c>
      <c r="C4493" s="2" t="inlineStr">
        <is>
          <t>코스피</t>
        </is>
      </c>
      <c r="D4493" s="2" t="inlineStr">
        <is>
          <t>060980</t>
        </is>
      </c>
      <c r="E4493" s="3" t="inlineStr">
        <is>
          <t>의결권대리행사권유참고서류 (정정: 20260317)</t>
        </is>
      </c>
      <c r="F4493" s="3" t="inlineStr">
        <is>
          <t>HL홀딩스</t>
        </is>
      </c>
      <c r="G4493" s="2" t="inlineStr">
        <is>
          <t>20260317000618</t>
        </is>
      </c>
      <c r="H4493" s="8">
        <f>HYPERLINK("https://dart.fss.or.kr/dsaf001/main.do?rcpNo=20260317000618", "공시열람")</f>
        <v/>
      </c>
    </row>
    <row r="4494">
      <c r="A4494" s="2" t="inlineStr">
        <is>
          <t>2026-03-11</t>
        </is>
      </c>
      <c r="B4494" s="3" t="inlineStr">
        <is>
          <t>신한제15호스팩</t>
        </is>
      </c>
      <c r="C4494" s="2" t="inlineStr">
        <is>
          <t>코스닥</t>
        </is>
      </c>
      <c r="D4494" s="2" t="inlineStr">
        <is>
          <t>487830</t>
        </is>
      </c>
      <c r="E4494" s="3" t="inlineStr">
        <is>
          <t xml:space="preserve">감사보고서제출              </t>
        </is>
      </c>
      <c r="F4494" s="3" t="inlineStr">
        <is>
          <t>신한제15호스팩</t>
        </is>
      </c>
      <c r="G4494" s="2" t="inlineStr">
        <is>
          <t>20260311901084</t>
        </is>
      </c>
      <c r="H4494" s="8">
        <f>HYPERLINK("https://dart.fss.or.kr/dsaf001/main.do?rcpNo=20260311901084", "공시열람")</f>
        <v/>
      </c>
    </row>
    <row r="4495">
      <c r="A4495" s="2" t="inlineStr">
        <is>
          <t>2026-03-11</t>
        </is>
      </c>
      <c r="B4495" s="3" t="inlineStr">
        <is>
          <t>미래에셋생명</t>
        </is>
      </c>
      <c r="C4495" s="2" t="inlineStr">
        <is>
          <t>코스피</t>
        </is>
      </c>
      <c r="D4495" s="2" t="inlineStr">
        <is>
          <t>085620</t>
        </is>
      </c>
      <c r="E4495" s="3" t="inlineStr">
        <is>
          <t>임원ㆍ주요주주특정증권등소유상황보고서</t>
        </is>
      </c>
      <c r="F4495" s="3" t="inlineStr">
        <is>
          <t>황병욱</t>
        </is>
      </c>
      <c r="G4495" s="2" t="inlineStr">
        <is>
          <t>20260311003848</t>
        </is>
      </c>
      <c r="H4495" s="8">
        <f>HYPERLINK("https://dart.fss.or.kr/dsaf001/main.do?rcpNo=20260311003848", "공시열람")</f>
        <v/>
      </c>
    </row>
    <row r="4496">
      <c r="A4496" s="2" t="inlineStr">
        <is>
          <t>2026-03-11</t>
        </is>
      </c>
      <c r="B4496" s="3" t="inlineStr">
        <is>
          <t>NICE인프라</t>
        </is>
      </c>
      <c r="C4496" s="2" t="inlineStr">
        <is>
          <t>코스닥</t>
        </is>
      </c>
      <c r="D4496" s="2" t="inlineStr">
        <is>
          <t>063570</t>
        </is>
      </c>
      <c r="E4496" s="3" t="inlineStr">
        <is>
          <t xml:space="preserve">현금ㆍ현물배당을위한주주명부폐쇄(기준일)결정              </t>
        </is>
      </c>
      <c r="F4496" s="3" t="inlineStr">
        <is>
          <t>NICE인프라</t>
        </is>
      </c>
      <c r="G4496" s="2" t="inlineStr">
        <is>
          <t>20260311901146</t>
        </is>
      </c>
      <c r="H4496" s="8">
        <f>HYPERLINK("https://dart.fss.or.kr/dsaf001/main.do?rcpNo=20260311901146", "공시열람")</f>
        <v/>
      </c>
    </row>
    <row r="4497">
      <c r="A4497" s="2" t="inlineStr">
        <is>
          <t>2026-03-11 (정정: 2026-03-11)</t>
        </is>
      </c>
      <c r="B4497" s="3" t="inlineStr">
        <is>
          <t>아이에이</t>
        </is>
      </c>
      <c r="C4497" s="2" t="inlineStr">
        <is>
          <t>코스닥</t>
        </is>
      </c>
      <c r="D4497" s="2" t="inlineStr">
        <is>
          <t>038880</t>
        </is>
      </c>
      <c r="E4497" s="3" t="inlineStr">
        <is>
          <t>[첨부정정]의결권대리행사권유참고서류 (정정: 20260311) (정정: 20260311) (정정: 20260311)</t>
        </is>
      </c>
      <c r="F4497" s="3" t="inlineStr">
        <is>
          <t>아이에이</t>
        </is>
      </c>
      <c r="G4497" s="2" t="inlineStr">
        <is>
          <t>20260311003674</t>
        </is>
      </c>
      <c r="H4497" s="8">
        <f>HYPERLINK("https://dart.fss.or.kr/dsaf001/main.do?rcpNo=20260311003674", "공시열람")</f>
        <v/>
      </c>
    </row>
    <row r="4498">
      <c r="A4498" s="2" t="inlineStr">
        <is>
          <t>2026-03-11</t>
        </is>
      </c>
      <c r="B4498" s="3" t="inlineStr">
        <is>
          <t>디엔에프</t>
        </is>
      </c>
      <c r="C4498" s="2" t="inlineStr">
        <is>
          <t>코스닥</t>
        </is>
      </c>
      <c r="D4498" s="2" t="inlineStr">
        <is>
          <t>092070</t>
        </is>
      </c>
      <c r="E4498" s="3" t="inlineStr">
        <is>
          <t>의결권대리행사권유참고서류</t>
        </is>
      </c>
      <c r="F4498" s="3" t="inlineStr">
        <is>
          <t>디엔에프</t>
        </is>
      </c>
      <c r="G4498" s="2" t="inlineStr">
        <is>
          <t>20260311003838</t>
        </is>
      </c>
      <c r="H4498" s="8">
        <f>HYPERLINK("https://dart.fss.or.kr/dsaf001/main.do?rcpNo=20260311003838", "공시열람")</f>
        <v/>
      </c>
    </row>
    <row r="4499">
      <c r="A4499" s="2" t="inlineStr">
        <is>
          <t>2026-03-11</t>
        </is>
      </c>
      <c r="B4499" s="3" t="inlineStr">
        <is>
          <t>삼기</t>
        </is>
      </c>
      <c r="C4499" s="2" t="inlineStr">
        <is>
          <t>코스닥</t>
        </is>
      </c>
      <c r="D4499" s="2" t="inlineStr">
        <is>
          <t>122350</t>
        </is>
      </c>
      <c r="E4499" s="3" t="inlineStr">
        <is>
          <t>의결권대리행사권유참고서류</t>
        </is>
      </c>
      <c r="F4499" s="3" t="inlineStr">
        <is>
          <t>삼기</t>
        </is>
      </c>
      <c r="G4499" s="2" t="inlineStr">
        <is>
          <t>20260311003836</t>
        </is>
      </c>
      <c r="H4499" s="8">
        <f>HYPERLINK("https://dart.fss.or.kr/dsaf001/main.do?rcpNo=20260311003836", "공시열람")</f>
        <v/>
      </c>
    </row>
    <row r="4500">
      <c r="A4500" s="2" t="inlineStr">
        <is>
          <t>2026-03-11</t>
        </is>
      </c>
      <c r="B4500" s="3" t="inlineStr">
        <is>
          <t>CMG제약</t>
        </is>
      </c>
      <c r="C4500" s="2" t="inlineStr">
        <is>
          <t>코스닥</t>
        </is>
      </c>
      <c r="D4500" s="2" t="inlineStr">
        <is>
          <t>058820</t>
        </is>
      </c>
      <c r="E4500" s="3" t="inlineStr">
        <is>
          <t>의결권대리행사권유참고서류</t>
        </is>
      </c>
      <c r="F4500" s="3" t="inlineStr">
        <is>
          <t>CMG제약</t>
        </is>
      </c>
      <c r="G4500" s="2" t="inlineStr">
        <is>
          <t>20260311003834</t>
        </is>
      </c>
      <c r="H4500" s="8">
        <f>HYPERLINK("https://dart.fss.or.kr/dsaf001/main.do?rcpNo=20260311003834", "공시열람")</f>
        <v/>
      </c>
    </row>
    <row r="4501">
      <c r="A4501" s="2" t="inlineStr">
        <is>
          <t>2026-03-11</t>
        </is>
      </c>
      <c r="B4501" s="3" t="inlineStr">
        <is>
          <t>일진하이솔루스</t>
        </is>
      </c>
      <c r="C4501" s="2" t="inlineStr">
        <is>
          <t>코스피</t>
        </is>
      </c>
      <c r="D4501" s="2" t="inlineStr">
        <is>
          <t>271940</t>
        </is>
      </c>
      <c r="E4501" s="3" t="inlineStr">
        <is>
          <t xml:space="preserve">감사보고서제출              </t>
        </is>
      </c>
      <c r="F4501" s="3" t="inlineStr">
        <is>
          <t>일진하이솔루스</t>
        </is>
      </c>
      <c r="G4501" s="2" t="inlineStr">
        <is>
          <t>20260311801069</t>
        </is>
      </c>
      <c r="H4501" s="8">
        <f>HYPERLINK("https://dart.fss.or.kr/dsaf001/main.do?rcpNo=20260311801069", "공시열람")</f>
        <v/>
      </c>
    </row>
    <row r="4502">
      <c r="A4502" s="2" t="inlineStr">
        <is>
          <t>2026-03-11</t>
        </is>
      </c>
      <c r="B4502" s="3" t="inlineStr">
        <is>
          <t>포스코스틸리온</t>
        </is>
      </c>
      <c r="C4502" s="2" t="inlineStr">
        <is>
          <t>코스피</t>
        </is>
      </c>
      <c r="D4502" s="2" t="inlineStr">
        <is>
          <t>058430</t>
        </is>
      </c>
      <c r="E4502" s="3" t="inlineStr">
        <is>
          <t xml:space="preserve">감사보고서제출              </t>
        </is>
      </c>
      <c r="F4502" s="3" t="inlineStr">
        <is>
          <t>포스코스틸리온</t>
        </is>
      </c>
      <c r="G4502" s="2" t="inlineStr">
        <is>
          <t>20260311801046</t>
        </is>
      </c>
      <c r="H4502" s="8">
        <f>HYPERLINK("https://dart.fss.or.kr/dsaf001/main.do?rcpNo=20260311801046", "공시열람")</f>
        <v/>
      </c>
    </row>
    <row r="4503">
      <c r="A4503" s="2" t="inlineStr">
        <is>
          <t>2026-03-11</t>
        </is>
      </c>
      <c r="B4503" s="3" t="inlineStr">
        <is>
          <t>미래에셋생명</t>
        </is>
      </c>
      <c r="C4503" s="2" t="inlineStr">
        <is>
          <t>코스피</t>
        </is>
      </c>
      <c r="D4503" s="2" t="inlineStr">
        <is>
          <t>085620</t>
        </is>
      </c>
      <c r="E4503" s="3" t="inlineStr">
        <is>
          <t>임원ㆍ주요주주특정증권등소유상황보고서</t>
        </is>
      </c>
      <c r="F4503" s="3" t="inlineStr">
        <is>
          <t>배민혁</t>
        </is>
      </c>
      <c r="G4503" s="2" t="inlineStr">
        <is>
          <t>20260311003827</t>
        </is>
      </c>
      <c r="H4503" s="8">
        <f>HYPERLINK("https://dart.fss.or.kr/dsaf001/main.do?rcpNo=20260311003827", "공시열람")</f>
        <v/>
      </c>
    </row>
    <row r="4504">
      <c r="A4504" s="2" t="inlineStr">
        <is>
          <t>2026-03-11</t>
        </is>
      </c>
      <c r="B4504" s="3" t="inlineStr">
        <is>
          <t>신한제14호스팩</t>
        </is>
      </c>
      <c r="C4504" s="2" t="inlineStr">
        <is>
          <t>코스닥</t>
        </is>
      </c>
      <c r="D4504" s="2" t="inlineStr">
        <is>
          <t>487360</t>
        </is>
      </c>
      <c r="E4504" s="3" t="inlineStr">
        <is>
          <t xml:space="preserve">감사보고서제출              </t>
        </is>
      </c>
      <c r="F4504" s="3" t="inlineStr">
        <is>
          <t>신한제14호스팩</t>
        </is>
      </c>
      <c r="G4504" s="2" t="inlineStr">
        <is>
          <t>20260311901043</t>
        </is>
      </c>
      <c r="H4504" s="8">
        <f>HYPERLINK("https://dart.fss.or.kr/dsaf001/main.do?rcpNo=20260311901043", "공시열람")</f>
        <v/>
      </c>
    </row>
    <row r="4505">
      <c r="A4505" s="2" t="inlineStr">
        <is>
          <t>2026-03-11</t>
        </is>
      </c>
      <c r="B4505" s="3" t="inlineStr">
        <is>
          <t>삼성증권</t>
        </is>
      </c>
      <c r="C4505" s="2" t="inlineStr">
        <is>
          <t>코스피</t>
        </is>
      </c>
      <c r="D4505" s="2" t="inlineStr">
        <is>
          <t>016360</t>
        </is>
      </c>
      <c r="E4505" s="3" t="inlineStr">
        <is>
          <t>증권발행실적보고서</t>
        </is>
      </c>
      <c r="F4505" s="3" t="inlineStr">
        <is>
          <t>삼성증권</t>
        </is>
      </c>
      <c r="G4505" s="2" t="inlineStr">
        <is>
          <t>20260311003820</t>
        </is>
      </c>
      <c r="H4505" s="8">
        <f>HYPERLINK("https://dart.fss.or.kr/dsaf001/main.do?rcpNo=20260311003820", "공시열람")</f>
        <v/>
      </c>
    </row>
    <row r="4506">
      <c r="A4506" s="2" t="inlineStr">
        <is>
          <t>2026-03-11</t>
        </is>
      </c>
      <c r="B4506" s="3" t="inlineStr">
        <is>
          <t>KB금융</t>
        </is>
      </c>
      <c r="C4506" s="2" t="inlineStr">
        <is>
          <t>코스피</t>
        </is>
      </c>
      <c r="D4506" s="2" t="inlineStr">
        <is>
          <t>105560</t>
        </is>
      </c>
      <c r="E4506" s="3" t="inlineStr">
        <is>
          <t xml:space="preserve">기업설명회(IR)개최(안내공시)              </t>
        </is>
      </c>
      <c r="F4506" s="3" t="inlineStr">
        <is>
          <t>KB금융</t>
        </is>
      </c>
      <c r="G4506" s="2" t="inlineStr">
        <is>
          <t>20260311801094</t>
        </is>
      </c>
      <c r="H4506" s="8">
        <f>HYPERLINK("https://dart.fss.or.kr/dsaf001/main.do?rcpNo=20260311801094", "공시열람")</f>
        <v/>
      </c>
    </row>
    <row r="4507">
      <c r="A4507" s="2" t="inlineStr">
        <is>
          <t>2026-03-11 (정정: 2026-03-13)</t>
        </is>
      </c>
      <c r="B4507" s="3" t="inlineStr">
        <is>
          <t>삼성FN리츠</t>
        </is>
      </c>
      <c r="C4507" s="2" t="inlineStr">
        <is>
          <t>코스피</t>
        </is>
      </c>
      <c r="D4507" s="2" t="inlineStr">
        <is>
          <t>448730</t>
        </is>
      </c>
      <c r="E4507" s="3" t="inlineStr">
        <is>
          <t>기타경영사항(자율공시)               (정정: 20260313)</t>
        </is>
      </c>
      <c r="F4507" s="3" t="inlineStr">
        <is>
          <t>삼성FN리츠</t>
        </is>
      </c>
      <c r="G4507" s="2" t="inlineStr">
        <is>
          <t>20260313802208</t>
        </is>
      </c>
      <c r="H4507" s="8">
        <f>HYPERLINK("https://dart.fss.or.kr/dsaf001/main.do?rcpNo=20260313802208", "공시열람")</f>
        <v/>
      </c>
    </row>
    <row r="4508">
      <c r="A4508" s="2" t="inlineStr">
        <is>
          <t>2026-03-11</t>
        </is>
      </c>
      <c r="B4508" s="3" t="inlineStr">
        <is>
          <t>온타이드</t>
        </is>
      </c>
      <c r="C4508" s="2" t="inlineStr">
        <is>
          <t>코스피</t>
        </is>
      </c>
      <c r="D4508" s="2" t="inlineStr">
        <is>
          <t>005320</t>
        </is>
      </c>
      <c r="E4508" s="3" t="inlineStr">
        <is>
          <t>의결권대리행사권유참고서류</t>
        </is>
      </c>
      <c r="F4508" s="3" t="inlineStr">
        <is>
          <t>온타이드</t>
        </is>
      </c>
      <c r="G4508" s="2" t="inlineStr">
        <is>
          <t>20260311003819</t>
        </is>
      </c>
      <c r="H4508" s="8">
        <f>HYPERLINK("https://dart.fss.or.kr/dsaf001/main.do?rcpNo=20260311003819", "공시열람")</f>
        <v/>
      </c>
    </row>
    <row r="4509">
      <c r="A4509" s="2" t="inlineStr">
        <is>
          <t>2026-03-11</t>
        </is>
      </c>
      <c r="B4509" s="3" t="inlineStr">
        <is>
          <t>서울보증보험</t>
        </is>
      </c>
      <c r="C4509" s="2" t="inlineStr">
        <is>
          <t>코스피</t>
        </is>
      </c>
      <c r="D4509" s="2" t="inlineStr">
        <is>
          <t>031210</t>
        </is>
      </c>
      <c r="E4509" s="3" t="inlineStr">
        <is>
          <t xml:space="preserve">기타안내사항(안내공시)              </t>
        </is>
      </c>
      <c r="F4509" s="3" t="inlineStr">
        <is>
          <t>서울보증보험</t>
        </is>
      </c>
      <c r="G4509" s="2" t="inlineStr">
        <is>
          <t>20260311801011</t>
        </is>
      </c>
      <c r="H4509" s="8">
        <f>HYPERLINK("https://dart.fss.or.kr/dsaf001/main.do?rcpNo=20260311801011", "공시열람")</f>
        <v/>
      </c>
    </row>
    <row r="4510">
      <c r="A4510" s="2" t="inlineStr">
        <is>
          <t>2026-03-11</t>
        </is>
      </c>
      <c r="B4510" s="3" t="inlineStr">
        <is>
          <t>더즌</t>
        </is>
      </c>
      <c r="C4510" s="2" t="inlineStr">
        <is>
          <t>코스닥</t>
        </is>
      </c>
      <c r="D4510" s="2" t="inlineStr">
        <is>
          <t>462860</t>
        </is>
      </c>
      <c r="E4510" s="3" t="inlineStr">
        <is>
          <t>의결권대리행사권유참고서류</t>
        </is>
      </c>
      <c r="F4510" s="3" t="inlineStr">
        <is>
          <t>더즌</t>
        </is>
      </c>
      <c r="G4510" s="2" t="inlineStr">
        <is>
          <t>20260311003817</t>
        </is>
      </c>
      <c r="H4510" s="8">
        <f>HYPERLINK("https://dart.fss.or.kr/dsaf001/main.do?rcpNo=20260311003817", "공시열람")</f>
        <v/>
      </c>
    </row>
    <row r="4511">
      <c r="A4511" s="2" t="inlineStr">
        <is>
          <t>2026-03-11</t>
        </is>
      </c>
      <c r="B4511" s="3" t="inlineStr">
        <is>
          <t>자비스</t>
        </is>
      </c>
      <c r="C4511" s="2" t="inlineStr">
        <is>
          <t>코스닥</t>
        </is>
      </c>
      <c r="D4511" s="2" t="inlineStr">
        <is>
          <t>254120</t>
        </is>
      </c>
      <c r="E4511" s="3" t="inlineStr">
        <is>
          <t>의결권대리행사권유참고서류</t>
        </is>
      </c>
      <c r="F4511" s="3" t="inlineStr">
        <is>
          <t>자비스</t>
        </is>
      </c>
      <c r="G4511" s="2" t="inlineStr">
        <is>
          <t>20260311003816</t>
        </is>
      </c>
      <c r="H4511" s="8">
        <f>HYPERLINK("https://dart.fss.or.kr/dsaf001/main.do?rcpNo=20260311003816", "공시열람")</f>
        <v/>
      </c>
    </row>
    <row r="4512">
      <c r="A4512" s="2" t="inlineStr">
        <is>
          <t>2026-03-11</t>
        </is>
      </c>
      <c r="B4512" s="3" t="inlineStr">
        <is>
          <t>온타이드</t>
        </is>
      </c>
      <c r="C4512" s="2" t="inlineStr">
        <is>
          <t>코스피</t>
        </is>
      </c>
      <c r="D4512" s="2" t="inlineStr">
        <is>
          <t>005320</t>
        </is>
      </c>
      <c r="E4512" s="3" t="inlineStr">
        <is>
          <t xml:space="preserve">주식병합결정              </t>
        </is>
      </c>
      <c r="F4512" s="3" t="inlineStr">
        <is>
          <t>온타이드</t>
        </is>
      </c>
      <c r="G4512" s="2" t="inlineStr">
        <is>
          <t>20260311801027</t>
        </is>
      </c>
      <c r="H4512" s="8">
        <f>HYPERLINK("https://dart.fss.or.kr/dsaf001/main.do?rcpNo=20260311801027", "공시열람")</f>
        <v/>
      </c>
    </row>
    <row r="4513">
      <c r="A4513" s="2" t="inlineStr">
        <is>
          <t>2026-03-11</t>
        </is>
      </c>
      <c r="B4513" s="3" t="inlineStr">
        <is>
          <t>이리츠코크렙</t>
        </is>
      </c>
      <c r="C4513" s="2" t="inlineStr">
        <is>
          <t>코스피</t>
        </is>
      </c>
      <c r="D4513" s="2" t="inlineStr">
        <is>
          <t>088260</t>
        </is>
      </c>
      <c r="E4513" s="3" t="inlineStr">
        <is>
          <t xml:space="preserve">감사보고서제출              </t>
        </is>
      </c>
      <c r="F4513" s="3" t="inlineStr">
        <is>
          <t>이리츠코크렙</t>
        </is>
      </c>
      <c r="G4513" s="2" t="inlineStr">
        <is>
          <t>20260311800968</t>
        </is>
      </c>
      <c r="H4513" s="8">
        <f>HYPERLINK("https://dart.fss.or.kr/dsaf001/main.do?rcpNo=20260311800968", "공시열람")</f>
        <v/>
      </c>
    </row>
    <row r="4514">
      <c r="A4514" s="2" t="inlineStr">
        <is>
          <t>2026-03-11</t>
        </is>
      </c>
      <c r="B4514" s="3" t="inlineStr">
        <is>
          <t>제이스로보틱스</t>
        </is>
      </c>
      <c r="C4514" s="2" t="inlineStr">
        <is>
          <t>코스닥</t>
        </is>
      </c>
      <c r="D4514" s="2" t="inlineStr">
        <is>
          <t>090470</t>
        </is>
      </c>
      <c r="E4514" s="3" t="inlineStr">
        <is>
          <t>의결권대리행사권유참고서류</t>
        </is>
      </c>
      <c r="F4514" s="3" t="inlineStr">
        <is>
          <t>제이스로보틱스</t>
        </is>
      </c>
      <c r="G4514" s="2" t="inlineStr">
        <is>
          <t>20260311003811</t>
        </is>
      </c>
      <c r="H4514" s="8">
        <f>HYPERLINK("https://dart.fss.or.kr/dsaf001/main.do?rcpNo=20260311003811", "공시열람")</f>
        <v/>
      </c>
    </row>
    <row r="4515">
      <c r="A4515" s="2" t="inlineStr">
        <is>
          <t>2026-03-11 (정정: 2026-06-09)</t>
        </is>
      </c>
      <c r="B4515" s="3" t="inlineStr">
        <is>
          <t>엔텔스</t>
        </is>
      </c>
      <c r="C4515" s="2" t="inlineStr">
        <is>
          <t>코스닥</t>
        </is>
      </c>
      <c r="D4515" s="2" t="inlineStr">
        <is>
          <t>069410</t>
        </is>
      </c>
      <c r="E4515" s="3" t="inlineStr">
        <is>
          <t>감사보고서제출               (정정: 20260609)</t>
        </is>
      </c>
      <c r="F4515" s="3" t="inlineStr">
        <is>
          <t>엔텔스</t>
        </is>
      </c>
      <c r="G4515" s="2" t="inlineStr">
        <is>
          <t>20260609000451</t>
        </is>
      </c>
      <c r="H4515" s="8">
        <f>HYPERLINK("https://dart.fss.or.kr/dsaf001/main.do?rcpNo=20260609000451", "공시열람")</f>
        <v/>
      </c>
    </row>
    <row r="4516">
      <c r="A4516" s="2" t="inlineStr">
        <is>
          <t>2026-03-11</t>
        </is>
      </c>
      <c r="B4516" s="3" t="inlineStr">
        <is>
          <t>위즈코프</t>
        </is>
      </c>
      <c r="C4516" s="2" t="inlineStr">
        <is>
          <t>코스닥</t>
        </is>
      </c>
      <c r="D4516" s="2" t="inlineStr">
        <is>
          <t>038620</t>
        </is>
      </c>
      <c r="E4516" s="3" t="inlineStr">
        <is>
          <t>의결권대리행사권유참고서류</t>
        </is>
      </c>
      <c r="F4516" s="3" t="inlineStr">
        <is>
          <t>위즈코프</t>
        </is>
      </c>
      <c r="G4516" s="2" t="inlineStr">
        <is>
          <t>20260311003810</t>
        </is>
      </c>
      <c r="H4516" s="8">
        <f>HYPERLINK("https://dart.fss.or.kr/dsaf001/main.do?rcpNo=20260311003810", "공시열람")</f>
        <v/>
      </c>
    </row>
    <row r="4517">
      <c r="A4517" s="2" t="inlineStr">
        <is>
          <t>2026-03-11</t>
        </is>
      </c>
      <c r="B4517" s="3" t="inlineStr">
        <is>
          <t>한국자산신탁</t>
        </is>
      </c>
      <c r="C4517" s="2" t="inlineStr">
        <is>
          <t>코스피</t>
        </is>
      </c>
      <c r="D4517" s="2" t="inlineStr">
        <is>
          <t>123890</t>
        </is>
      </c>
      <c r="E4517" s="3" t="inlineStr">
        <is>
          <t xml:space="preserve">기업설명회(IR)개최(안내공시)              </t>
        </is>
      </c>
      <c r="F4517" s="3" t="inlineStr">
        <is>
          <t>한국자산신탁</t>
        </is>
      </c>
      <c r="G4517" s="2" t="inlineStr">
        <is>
          <t>20260311800999</t>
        </is>
      </c>
      <c r="H4517" s="8">
        <f>HYPERLINK("https://dart.fss.or.kr/dsaf001/main.do?rcpNo=20260311800999", "공시열람")</f>
        <v/>
      </c>
    </row>
    <row r="4518">
      <c r="A4518" s="2" t="inlineStr">
        <is>
          <t>2026-03-11</t>
        </is>
      </c>
      <c r="B4518" s="3" t="inlineStr">
        <is>
          <t>동원산업</t>
        </is>
      </c>
      <c r="C4518" s="2" t="inlineStr">
        <is>
          <t>코스피</t>
        </is>
      </c>
      <c r="D4518" s="2" t="inlineStr">
        <is>
          <t>006040</t>
        </is>
      </c>
      <c r="E4518" s="3" t="inlineStr">
        <is>
          <t>의결권대리행사권유참고서류</t>
        </is>
      </c>
      <c r="F4518" s="3" t="inlineStr">
        <is>
          <t>동원산업</t>
        </is>
      </c>
      <c r="G4518" s="2" t="inlineStr">
        <is>
          <t>20260311003809</t>
        </is>
      </c>
      <c r="H4518" s="8">
        <f>HYPERLINK("https://dart.fss.or.kr/dsaf001/main.do?rcpNo=20260311003809", "공시열람")</f>
        <v/>
      </c>
    </row>
    <row r="4519">
      <c r="A4519" s="2" t="inlineStr">
        <is>
          <t>2026-03-11</t>
        </is>
      </c>
      <c r="B4519" s="3" t="inlineStr">
        <is>
          <t>헬릭스미스</t>
        </is>
      </c>
      <c r="C4519" s="2" t="inlineStr">
        <is>
          <t>코스닥</t>
        </is>
      </c>
      <c r="D4519" s="2" t="inlineStr">
        <is>
          <t>084990</t>
        </is>
      </c>
      <c r="E4519" s="3" t="inlineStr">
        <is>
          <t>의결권대리행사권유참고서류</t>
        </is>
      </c>
      <c r="F4519" s="3" t="inlineStr">
        <is>
          <t>헬릭스미스</t>
        </is>
      </c>
      <c r="G4519" s="2" t="inlineStr">
        <is>
          <t>20260311003808</t>
        </is>
      </c>
      <c r="H4519" s="8">
        <f>HYPERLINK("https://dart.fss.or.kr/dsaf001/main.do?rcpNo=20260311003808", "공시열람")</f>
        <v/>
      </c>
    </row>
    <row r="4520">
      <c r="A4520" s="2" t="inlineStr">
        <is>
          <t>2026-03-11</t>
        </is>
      </c>
      <c r="B4520" s="3" t="inlineStr">
        <is>
          <t>미래에셋생명</t>
        </is>
      </c>
      <c r="C4520" s="2" t="inlineStr">
        <is>
          <t>코스피</t>
        </is>
      </c>
      <c r="D4520" s="2" t="inlineStr">
        <is>
          <t>085620</t>
        </is>
      </c>
      <c r="E4520" s="3" t="inlineStr">
        <is>
          <t>임원ㆍ주요주주특정증권등소유상황보고서</t>
        </is>
      </c>
      <c r="F4520" s="3" t="inlineStr">
        <is>
          <t>김재식</t>
        </is>
      </c>
      <c r="G4520" s="2" t="inlineStr">
        <is>
          <t>20260311003807</t>
        </is>
      </c>
      <c r="H4520" s="8">
        <f>HYPERLINK("https://dart.fss.or.kr/dsaf001/main.do?rcpNo=20260311003807", "공시열람")</f>
        <v/>
      </c>
    </row>
    <row r="4521">
      <c r="A4521" s="2" t="inlineStr">
        <is>
          <t>2026-03-11</t>
        </is>
      </c>
      <c r="B4521" s="3" t="inlineStr">
        <is>
          <t>국전</t>
        </is>
      </c>
      <c r="C4521" s="2" t="inlineStr">
        <is>
          <t>코스닥</t>
        </is>
      </c>
      <c r="D4521" s="2" t="inlineStr">
        <is>
          <t>307750</t>
        </is>
      </c>
      <c r="E4521" s="3" t="inlineStr">
        <is>
          <t>의결권대리행사권유참고서류</t>
        </is>
      </c>
      <c r="F4521" s="3" t="inlineStr">
        <is>
          <t>국전</t>
        </is>
      </c>
      <c r="G4521" s="2" t="inlineStr">
        <is>
          <t>20260311003800</t>
        </is>
      </c>
      <c r="H4521" s="8">
        <f>HYPERLINK("https://dart.fss.or.kr/dsaf001/main.do?rcpNo=20260311003800", "공시열람")</f>
        <v/>
      </c>
    </row>
    <row r="4522">
      <c r="A4522" s="2" t="inlineStr">
        <is>
          <t>2026-03-11</t>
        </is>
      </c>
      <c r="B4522" s="3" t="inlineStr">
        <is>
          <t>엑사이엔씨</t>
        </is>
      </c>
      <c r="C4522" s="2" t="inlineStr">
        <is>
          <t>코스닥</t>
        </is>
      </c>
      <c r="D4522" s="2" t="inlineStr">
        <is>
          <t>054940</t>
        </is>
      </c>
      <c r="E4522" s="3" t="inlineStr">
        <is>
          <t>[첨부정정]의결권대리행사권유참고서류</t>
        </is>
      </c>
      <c r="F4522" s="3" t="inlineStr">
        <is>
          <t>엑사이엔씨</t>
        </is>
      </c>
      <c r="G4522" s="2" t="inlineStr">
        <is>
          <t>20260311003798</t>
        </is>
      </c>
      <c r="H4522" s="8">
        <f>HYPERLINK("https://dart.fss.or.kr/dsaf001/main.do?rcpNo=20260311003798", "공시열람")</f>
        <v/>
      </c>
    </row>
    <row r="4523">
      <c r="A4523" s="2" t="inlineStr">
        <is>
          <t>2026-03-11</t>
        </is>
      </c>
      <c r="B4523" s="3" t="inlineStr">
        <is>
          <t>아스타</t>
        </is>
      </c>
      <c r="C4523" s="2" t="inlineStr">
        <is>
          <t>코스닥</t>
        </is>
      </c>
      <c r="D4523" s="2" t="inlineStr">
        <is>
          <t>246720</t>
        </is>
      </c>
      <c r="E4523" s="3" t="inlineStr">
        <is>
          <t>의결권대리행사권유참고서류</t>
        </is>
      </c>
      <c r="F4523" s="3" t="inlineStr">
        <is>
          <t>아스타</t>
        </is>
      </c>
      <c r="G4523" s="2" t="inlineStr">
        <is>
          <t>20260311003795</t>
        </is>
      </c>
      <c r="H4523" s="8">
        <f>HYPERLINK("https://dart.fss.or.kr/dsaf001/main.do?rcpNo=20260311003795", "공시열람")</f>
        <v/>
      </c>
    </row>
    <row r="4524">
      <c r="A4524" s="2" t="inlineStr">
        <is>
          <t>2026-03-11</t>
        </is>
      </c>
      <c r="B4524" s="3" t="inlineStr">
        <is>
          <t>케이엔더블유</t>
        </is>
      </c>
      <c r="C4524" s="2" t="inlineStr">
        <is>
          <t>코스닥</t>
        </is>
      </c>
      <c r="D4524" s="2" t="inlineStr">
        <is>
          <t>105330</t>
        </is>
      </c>
      <c r="E4524" s="3" t="inlineStr">
        <is>
          <t xml:space="preserve">감사보고서제출              </t>
        </is>
      </c>
      <c r="F4524" s="3" t="inlineStr">
        <is>
          <t>케이엔더블유</t>
        </is>
      </c>
      <c r="G4524" s="2" t="inlineStr">
        <is>
          <t>20260311900962</t>
        </is>
      </c>
      <c r="H4524" s="8">
        <f>HYPERLINK("https://dart.fss.or.kr/dsaf001/main.do?rcpNo=20260311900962", "공시열람")</f>
        <v/>
      </c>
    </row>
    <row r="4525">
      <c r="A4525" s="2" t="inlineStr">
        <is>
          <t>2026-03-11</t>
        </is>
      </c>
      <c r="B4525" s="3" t="inlineStr">
        <is>
          <t>삼성증권</t>
        </is>
      </c>
      <c r="C4525" s="2" t="inlineStr">
        <is>
          <t>코스피</t>
        </is>
      </c>
      <c r="D4525" s="2" t="inlineStr">
        <is>
          <t>016360</t>
        </is>
      </c>
      <c r="E4525" s="3" t="inlineStr">
        <is>
          <t>증권발행실적보고서</t>
        </is>
      </c>
      <c r="F4525" s="3" t="inlineStr">
        <is>
          <t>삼성증권</t>
        </is>
      </c>
      <c r="G4525" s="2" t="inlineStr">
        <is>
          <t>20260311003793</t>
        </is>
      </c>
      <c r="H4525" s="8">
        <f>HYPERLINK("https://dart.fss.or.kr/dsaf001/main.do?rcpNo=20260311003793", "공시열람")</f>
        <v/>
      </c>
    </row>
    <row r="4526">
      <c r="A4526" s="2" t="inlineStr">
        <is>
          <t>2026-03-11</t>
        </is>
      </c>
      <c r="B4526" s="3" t="inlineStr">
        <is>
          <t>KBG</t>
        </is>
      </c>
      <c r="C4526" s="2" t="inlineStr">
        <is>
          <t>코스닥</t>
        </is>
      </c>
      <c r="D4526" s="2" t="inlineStr">
        <is>
          <t>318000</t>
        </is>
      </c>
      <c r="E4526" s="3" t="inlineStr">
        <is>
          <t xml:space="preserve">매출액또는손익구조30%(대규모법인은15%)이상변동              </t>
        </is>
      </c>
      <c r="F4526" s="3" t="inlineStr">
        <is>
          <t>KBG</t>
        </is>
      </c>
      <c r="G4526" s="2" t="inlineStr">
        <is>
          <t>20260311900954</t>
        </is>
      </c>
      <c r="H4526" s="8">
        <f>HYPERLINK("https://dart.fss.or.kr/dsaf001/main.do?rcpNo=20260311900954", "공시열람")</f>
        <v/>
      </c>
    </row>
    <row r="4527">
      <c r="A4527" s="2" t="inlineStr">
        <is>
          <t>2026-03-11</t>
        </is>
      </c>
      <c r="B4527" s="3" t="inlineStr">
        <is>
          <t>현대차증권</t>
        </is>
      </c>
      <c r="C4527" s="2" t="inlineStr">
        <is>
          <t>코스피</t>
        </is>
      </c>
      <c r="D4527" s="2" t="inlineStr">
        <is>
          <t>001500</t>
        </is>
      </c>
      <c r="E4527" s="3" t="inlineStr">
        <is>
          <t>투자설명서(일괄신고)</t>
        </is>
      </c>
      <c r="F4527" s="3" t="inlineStr">
        <is>
          <t>현대차증권</t>
        </is>
      </c>
      <c r="G4527" s="2" t="inlineStr">
        <is>
          <t>20260311003790</t>
        </is>
      </c>
      <c r="H4527" s="8">
        <f>HYPERLINK("https://dart.fss.or.kr/dsaf001/main.do?rcpNo=20260311003790", "공시열람")</f>
        <v/>
      </c>
    </row>
    <row r="4528">
      <c r="A4528" s="2" t="inlineStr">
        <is>
          <t>2026-03-11</t>
        </is>
      </c>
      <c r="B4528" s="3" t="inlineStr">
        <is>
          <t>대한뉴팜</t>
        </is>
      </c>
      <c r="C4528" s="2" t="inlineStr">
        <is>
          <t>코스닥</t>
        </is>
      </c>
      <c r="D4528" s="2" t="inlineStr">
        <is>
          <t>054670</t>
        </is>
      </c>
      <c r="E4528" s="3" t="inlineStr">
        <is>
          <t xml:space="preserve">현금ㆍ현물배당결정              </t>
        </is>
      </c>
      <c r="F4528" s="3" t="inlineStr">
        <is>
          <t>대한뉴팜</t>
        </is>
      </c>
      <c r="G4528" s="2" t="inlineStr">
        <is>
          <t>20260311900928</t>
        </is>
      </c>
      <c r="H4528" s="8">
        <f>HYPERLINK("https://dart.fss.or.kr/dsaf001/main.do?rcpNo=20260311900928", "공시열람")</f>
        <v/>
      </c>
    </row>
    <row r="4529">
      <c r="A4529" s="2" t="inlineStr">
        <is>
          <t>2026-03-11</t>
        </is>
      </c>
      <c r="B4529" s="3" t="inlineStr">
        <is>
          <t>에넥스</t>
        </is>
      </c>
      <c r="C4529" s="2" t="inlineStr">
        <is>
          <t>코스피</t>
        </is>
      </c>
      <c r="D4529" s="2" t="inlineStr">
        <is>
          <t>011090</t>
        </is>
      </c>
      <c r="E4529" s="3" t="inlineStr">
        <is>
          <t>의결권대리행사권유참고서류</t>
        </is>
      </c>
      <c r="F4529" s="3" t="inlineStr">
        <is>
          <t>에넥스</t>
        </is>
      </c>
      <c r="G4529" s="2" t="inlineStr">
        <is>
          <t>20260311003786</t>
        </is>
      </c>
      <c r="H4529" s="8">
        <f>HYPERLINK("https://dart.fss.or.kr/dsaf001/main.do?rcpNo=20260311003786", "공시열람")</f>
        <v/>
      </c>
    </row>
    <row r="4530">
      <c r="A4530" s="2" t="inlineStr">
        <is>
          <t>2026-03-11</t>
        </is>
      </c>
      <c r="B4530" s="3" t="inlineStr">
        <is>
          <t>제테마</t>
        </is>
      </c>
      <c r="C4530" s="2" t="inlineStr">
        <is>
          <t>코스닥</t>
        </is>
      </c>
      <c r="D4530" s="2" t="inlineStr">
        <is>
          <t>216080</t>
        </is>
      </c>
      <c r="E4530" s="3" t="inlineStr">
        <is>
          <t>임원ㆍ주요주주특정증권등소유상황보고서</t>
        </is>
      </c>
      <c r="F4530" s="3" t="inlineStr">
        <is>
          <t>박재성</t>
        </is>
      </c>
      <c r="G4530" s="2" t="inlineStr">
        <is>
          <t>20260311003785</t>
        </is>
      </c>
      <c r="H4530" s="8">
        <f>HYPERLINK("https://dart.fss.or.kr/dsaf001/main.do?rcpNo=20260311003785", "공시열람")</f>
        <v/>
      </c>
    </row>
    <row r="4531">
      <c r="A4531" s="2" t="inlineStr">
        <is>
          <t>2026-03-11</t>
        </is>
      </c>
      <c r="B4531" s="3" t="inlineStr">
        <is>
          <t>미래에셋생명</t>
        </is>
      </c>
      <c r="C4531" s="2" t="inlineStr">
        <is>
          <t>코스피</t>
        </is>
      </c>
      <c r="D4531" s="2" t="inlineStr">
        <is>
          <t>085620</t>
        </is>
      </c>
      <c r="E4531" s="3" t="inlineStr">
        <is>
          <t>임원ㆍ주요주주특정증권등소유상황보고서</t>
        </is>
      </c>
      <c r="F4531" s="3" t="inlineStr">
        <is>
          <t>위득환</t>
        </is>
      </c>
      <c r="G4531" s="2" t="inlineStr">
        <is>
          <t>20260311003783</t>
        </is>
      </c>
      <c r="H4531" s="8">
        <f>HYPERLINK("https://dart.fss.or.kr/dsaf001/main.do?rcpNo=20260311003783", "공시열람")</f>
        <v/>
      </c>
    </row>
    <row r="4532">
      <c r="A4532" s="2" t="inlineStr">
        <is>
          <t>2026-03-11 (정정: 2026-03-19)</t>
        </is>
      </c>
      <c r="B4532" s="3" t="inlineStr">
        <is>
          <t>하나마이크론</t>
        </is>
      </c>
      <c r="C4532" s="2" t="inlineStr">
        <is>
          <t>코스닥</t>
        </is>
      </c>
      <c r="D4532" s="2" t="inlineStr">
        <is>
          <t>067310</t>
        </is>
      </c>
      <c r="E4532" s="3" t="inlineStr">
        <is>
          <t>의결권대리행사권유참고서류 (정정: 20260319)</t>
        </is>
      </c>
      <c r="F4532" s="3" t="inlineStr">
        <is>
          <t>하나마이크론</t>
        </is>
      </c>
      <c r="G4532" s="2" t="inlineStr">
        <is>
          <t>20260319000033</t>
        </is>
      </c>
      <c r="H4532" s="8">
        <f>HYPERLINK("https://dart.fss.or.kr/dsaf001/main.do?rcpNo=20260319000033", "공시열람")</f>
        <v/>
      </c>
    </row>
    <row r="4533">
      <c r="A4533" s="2" t="inlineStr">
        <is>
          <t>2026-03-11</t>
        </is>
      </c>
      <c r="B4533" s="3" t="inlineStr">
        <is>
          <t>금호석유화학</t>
        </is>
      </c>
      <c r="C4533" s="2" t="inlineStr">
        <is>
          <t>코스피</t>
        </is>
      </c>
      <c r="D4533" s="2" t="inlineStr">
        <is>
          <t>011780</t>
        </is>
      </c>
      <c r="E4533" s="3" t="inlineStr">
        <is>
          <t>의결권대리행사권유참고서류</t>
        </is>
      </c>
      <c r="F4533" s="3" t="inlineStr">
        <is>
          <t>금호석유화학</t>
        </is>
      </c>
      <c r="G4533" s="2" t="inlineStr">
        <is>
          <t>20260311003777</t>
        </is>
      </c>
      <c r="H4533" s="8">
        <f>HYPERLINK("https://dart.fss.or.kr/dsaf001/main.do?rcpNo=20260311003777", "공시열람")</f>
        <v/>
      </c>
    </row>
    <row r="4534">
      <c r="A4534" s="2" t="inlineStr">
        <is>
          <t>2026-03-11</t>
        </is>
      </c>
      <c r="B4534" s="3" t="inlineStr">
        <is>
          <t>웰킵스하이텍</t>
        </is>
      </c>
      <c r="C4534" s="2" t="inlineStr">
        <is>
          <t>코스닥</t>
        </is>
      </c>
      <c r="D4534" s="2" t="inlineStr">
        <is>
          <t>043590</t>
        </is>
      </c>
      <c r="E4534" s="3" t="inlineStr">
        <is>
          <t xml:space="preserve">매출액또는손익구조30%(대규모법인은15%)이상변동              </t>
        </is>
      </c>
      <c r="F4534" s="3" t="inlineStr">
        <is>
          <t>웰킵스하이텍</t>
        </is>
      </c>
      <c r="G4534" s="2" t="inlineStr">
        <is>
          <t>20260311900847</t>
        </is>
      </c>
      <c r="H4534" s="8">
        <f>HYPERLINK("https://dart.fss.or.kr/dsaf001/main.do?rcpNo=20260311900847", "공시열람")</f>
        <v/>
      </c>
    </row>
    <row r="4535">
      <c r="A4535" s="2" t="inlineStr">
        <is>
          <t>2026-03-11 (정정: 2026-03-17)</t>
        </is>
      </c>
      <c r="B4535" s="3" t="inlineStr">
        <is>
          <t>유바이오로직스</t>
        </is>
      </c>
      <c r="C4535" s="2" t="inlineStr">
        <is>
          <t>코스닥</t>
        </is>
      </c>
      <c r="D4535" s="2" t="inlineStr">
        <is>
          <t>206650</t>
        </is>
      </c>
      <c r="E4535" s="3" t="inlineStr">
        <is>
          <t>의결권대리행사권유참고서류 (정정: 20260317)</t>
        </is>
      </c>
      <c r="F4535" s="3" t="inlineStr">
        <is>
          <t>유바이오로직스</t>
        </is>
      </c>
      <c r="G4535" s="2" t="inlineStr">
        <is>
          <t>20260317000841</t>
        </is>
      </c>
      <c r="H4535" s="8">
        <f>HYPERLINK("https://dart.fss.or.kr/dsaf001/main.do?rcpNo=20260317000841", "공시열람")</f>
        <v/>
      </c>
    </row>
    <row r="4536">
      <c r="A4536" s="2" t="inlineStr">
        <is>
          <t>2026-03-11</t>
        </is>
      </c>
      <c r="B4536" s="3" t="inlineStr">
        <is>
          <t>티에스아이</t>
        </is>
      </c>
      <c r="C4536" s="2" t="inlineStr">
        <is>
          <t>코스닥</t>
        </is>
      </c>
      <c r="D4536" s="2" t="inlineStr">
        <is>
          <t>277880</t>
        </is>
      </c>
      <c r="E4536" s="3" t="inlineStr">
        <is>
          <t xml:space="preserve">현금ㆍ현물배당을위한주주명부폐쇄(기준일)결정              </t>
        </is>
      </c>
      <c r="F4536" s="3" t="inlineStr">
        <is>
          <t>티에스아이</t>
        </is>
      </c>
      <c r="G4536" s="2" t="inlineStr">
        <is>
          <t>20260311901004</t>
        </is>
      </c>
      <c r="H4536" s="8">
        <f>HYPERLINK("https://dart.fss.or.kr/dsaf001/main.do?rcpNo=20260311901004", "공시열람")</f>
        <v/>
      </c>
    </row>
    <row r="4537">
      <c r="A4537" s="2" t="inlineStr">
        <is>
          <t>2026-03-11</t>
        </is>
      </c>
      <c r="B4537" s="3" t="inlineStr">
        <is>
          <t>미래에셋생명</t>
        </is>
      </c>
      <c r="C4537" s="2" t="inlineStr">
        <is>
          <t>코스피</t>
        </is>
      </c>
      <c r="D4537" s="2" t="inlineStr">
        <is>
          <t>085620</t>
        </is>
      </c>
      <c r="E4537" s="3" t="inlineStr">
        <is>
          <t>임원ㆍ주요주주특정증권등소유상황보고서</t>
        </is>
      </c>
      <c r="F4537" s="3" t="inlineStr">
        <is>
          <t>이정기</t>
        </is>
      </c>
      <c r="G4537" s="2" t="inlineStr">
        <is>
          <t>20260311003769</t>
        </is>
      </c>
      <c r="H4537" s="8">
        <f>HYPERLINK("https://dart.fss.or.kr/dsaf001/main.do?rcpNo=20260311003769", "공시열람")</f>
        <v/>
      </c>
    </row>
    <row r="4538">
      <c r="A4538" s="2" t="inlineStr">
        <is>
          <t>2026-03-11</t>
        </is>
      </c>
      <c r="B4538" s="3" t="inlineStr">
        <is>
          <t>캔버스엔</t>
        </is>
      </c>
      <c r="C4538" s="2" t="inlineStr">
        <is>
          <t>코스닥</t>
        </is>
      </c>
      <c r="D4538" s="2" t="inlineStr">
        <is>
          <t>210120</t>
        </is>
      </c>
      <c r="E4538" s="3" t="inlineStr">
        <is>
          <t>의결권대리행사권유참고서류</t>
        </is>
      </c>
      <c r="F4538" s="3" t="inlineStr">
        <is>
          <t>캔버스엔</t>
        </is>
      </c>
      <c r="G4538" s="2" t="inlineStr">
        <is>
          <t>20260311003767</t>
        </is>
      </c>
      <c r="H4538" s="8">
        <f>HYPERLINK("https://dart.fss.or.kr/dsaf001/main.do?rcpNo=20260311003767", "공시열람")</f>
        <v/>
      </c>
    </row>
    <row r="4539">
      <c r="A4539" s="2" t="inlineStr">
        <is>
          <t>2026-03-11</t>
        </is>
      </c>
      <c r="B4539" s="3" t="inlineStr">
        <is>
          <t>케이에스피</t>
        </is>
      </c>
      <c r="C4539" s="2" t="inlineStr">
        <is>
          <t>코스닥</t>
        </is>
      </c>
      <c r="D4539" s="2" t="inlineStr">
        <is>
          <t>073010</t>
        </is>
      </c>
      <c r="E4539" s="3" t="inlineStr">
        <is>
          <t xml:space="preserve">감사보고서제출              </t>
        </is>
      </c>
      <c r="F4539" s="3" t="inlineStr">
        <is>
          <t>케이에스피</t>
        </is>
      </c>
      <c r="G4539" s="2" t="inlineStr">
        <is>
          <t>20260311900939</t>
        </is>
      </c>
      <c r="H4539" s="8">
        <f>HYPERLINK("https://dart.fss.or.kr/dsaf001/main.do?rcpNo=20260311900939", "공시열람")</f>
        <v/>
      </c>
    </row>
    <row r="4540">
      <c r="A4540" s="2" t="inlineStr">
        <is>
          <t>2026-03-11</t>
        </is>
      </c>
      <c r="B4540" s="3" t="inlineStr">
        <is>
          <t>모베이스전자</t>
        </is>
      </c>
      <c r="C4540" s="2" t="inlineStr">
        <is>
          <t>코스닥</t>
        </is>
      </c>
      <c r="D4540" s="2" t="inlineStr">
        <is>
          <t>012860</t>
        </is>
      </c>
      <c r="E4540" s="3" t="inlineStr">
        <is>
          <t xml:space="preserve">현금ㆍ현물배당결정              </t>
        </is>
      </c>
      <c r="F4540" s="3" t="inlineStr">
        <is>
          <t>모베이스전자</t>
        </is>
      </c>
      <c r="G4540" s="2" t="inlineStr">
        <is>
          <t>20260311900923</t>
        </is>
      </c>
      <c r="H4540" s="8">
        <f>HYPERLINK("https://dart.fss.or.kr/dsaf001/main.do?rcpNo=20260311900923", "공시열람")</f>
        <v/>
      </c>
    </row>
    <row r="4541">
      <c r="A4541" s="2" t="inlineStr">
        <is>
          <t>2026-03-11</t>
        </is>
      </c>
      <c r="B4541" s="3" t="inlineStr">
        <is>
          <t>삼성증권</t>
        </is>
      </c>
      <c r="C4541" s="2" t="inlineStr">
        <is>
          <t>코스피</t>
        </is>
      </c>
      <c r="D4541" s="2" t="inlineStr">
        <is>
          <t>016360</t>
        </is>
      </c>
      <c r="E4541" s="3" t="inlineStr">
        <is>
          <t>증권발행실적보고서</t>
        </is>
      </c>
      <c r="F4541" s="3" t="inlineStr">
        <is>
          <t>삼성증권</t>
        </is>
      </c>
      <c r="G4541" s="2" t="inlineStr">
        <is>
          <t>20260311003766</t>
        </is>
      </c>
      <c r="H4541" s="8">
        <f>HYPERLINK("https://dart.fss.or.kr/dsaf001/main.do?rcpNo=20260311003766", "공시열람")</f>
        <v/>
      </c>
    </row>
    <row r="4542">
      <c r="A4542" s="2" t="inlineStr">
        <is>
          <t>2026-03-11</t>
        </is>
      </c>
      <c r="B4542" s="3" t="inlineStr">
        <is>
          <t>현대차증권</t>
        </is>
      </c>
      <c r="C4542" s="2" t="inlineStr">
        <is>
          <t>코스피</t>
        </is>
      </c>
      <c r="D4542" s="2" t="inlineStr">
        <is>
          <t>001500</t>
        </is>
      </c>
      <c r="E4542" s="3" t="inlineStr">
        <is>
          <t>일괄신고추가서류(기타파생결합사채)</t>
        </is>
      </c>
      <c r="F4542" s="3" t="inlineStr">
        <is>
          <t>현대차증권</t>
        </is>
      </c>
      <c r="G4542" s="2" t="inlineStr">
        <is>
          <t>20260311003762</t>
        </is>
      </c>
      <c r="H4542" s="8">
        <f>HYPERLINK("https://dart.fss.or.kr/dsaf001/main.do?rcpNo=20260311003762", "공시열람")</f>
        <v/>
      </c>
    </row>
    <row r="4543">
      <c r="A4543" s="2" t="inlineStr">
        <is>
          <t>2026-03-11</t>
        </is>
      </c>
      <c r="B4543" s="3" t="inlineStr">
        <is>
          <t>엔젯</t>
        </is>
      </c>
      <c r="C4543" s="2" t="inlineStr">
        <is>
          <t>코스닥</t>
        </is>
      </c>
      <c r="D4543" s="2" t="inlineStr">
        <is>
          <t>419080</t>
        </is>
      </c>
      <c r="E4543" s="3" t="inlineStr">
        <is>
          <t xml:space="preserve">매출액또는손익구조30%(대규모법인은15%)이상변동              </t>
        </is>
      </c>
      <c r="F4543" s="3" t="inlineStr">
        <is>
          <t>엔젯</t>
        </is>
      </c>
      <c r="G4543" s="2" t="inlineStr">
        <is>
          <t>20260311900889</t>
        </is>
      </c>
      <c r="H4543" s="8">
        <f>HYPERLINK("https://dart.fss.or.kr/dsaf001/main.do?rcpNo=20260311900889", "공시열람")</f>
        <v/>
      </c>
    </row>
    <row r="4544">
      <c r="A4544" s="2" t="inlineStr">
        <is>
          <t>2026-03-11</t>
        </is>
      </c>
      <c r="B4544" s="3" t="inlineStr">
        <is>
          <t>한국콜마</t>
        </is>
      </c>
      <c r="C4544" s="2" t="inlineStr">
        <is>
          <t>코스피</t>
        </is>
      </c>
      <c r="D4544" s="2" t="inlineStr">
        <is>
          <t>161890</t>
        </is>
      </c>
      <c r="E4544" s="3" t="inlineStr">
        <is>
          <t>의결권대리행사권유참고서류</t>
        </is>
      </c>
      <c r="F4544" s="3" t="inlineStr">
        <is>
          <t>한국콜마</t>
        </is>
      </c>
      <c r="G4544" s="2" t="inlineStr">
        <is>
          <t>20260311003755</t>
        </is>
      </c>
      <c r="H4544" s="8">
        <f>HYPERLINK("https://dart.fss.or.kr/dsaf001/main.do?rcpNo=20260311003755", "공시열람")</f>
        <v/>
      </c>
    </row>
    <row r="4545">
      <c r="A4545" s="2" t="inlineStr">
        <is>
          <t>2026-03-11</t>
        </is>
      </c>
      <c r="B4545" s="3" t="inlineStr">
        <is>
          <t>한컴위드</t>
        </is>
      </c>
      <c r="C4545" s="2" t="inlineStr">
        <is>
          <t>코스닥</t>
        </is>
      </c>
      <c r="D4545" s="2" t="inlineStr">
        <is>
          <t>054920</t>
        </is>
      </c>
      <c r="E4545" s="3" t="inlineStr">
        <is>
          <t>[첨부정정]의결권대리행사권유참고서류</t>
        </is>
      </c>
      <c r="F4545" s="3" t="inlineStr">
        <is>
          <t>한컴위드</t>
        </is>
      </c>
      <c r="G4545" s="2" t="inlineStr">
        <is>
          <t>20260311003752</t>
        </is>
      </c>
      <c r="H4545" s="8">
        <f>HYPERLINK("https://dart.fss.or.kr/dsaf001/main.do?rcpNo=20260311003752", "공시열람")</f>
        <v/>
      </c>
    </row>
    <row r="4546">
      <c r="A4546" s="2" t="inlineStr">
        <is>
          <t>2026-03-11</t>
        </is>
      </c>
      <c r="B4546" s="3" t="inlineStr">
        <is>
          <t>파두</t>
        </is>
      </c>
      <c r="C4546" s="2" t="inlineStr">
        <is>
          <t>코스닥</t>
        </is>
      </c>
      <c r="D4546" s="2" t="inlineStr">
        <is>
          <t>440110</t>
        </is>
      </c>
      <c r="E4546" s="3" t="inlineStr">
        <is>
          <t>의결권대리행사권유참고서류</t>
        </is>
      </c>
      <c r="F4546" s="3" t="inlineStr">
        <is>
          <t>파두</t>
        </is>
      </c>
      <c r="G4546" s="2" t="inlineStr">
        <is>
          <t>20260311003751</t>
        </is>
      </c>
      <c r="H4546" s="8">
        <f>HYPERLINK("https://dart.fss.or.kr/dsaf001/main.do?rcpNo=20260311003751", "공시열람")</f>
        <v/>
      </c>
    </row>
    <row r="4547">
      <c r="A4547" s="2" t="inlineStr">
        <is>
          <t>2026-03-11</t>
        </is>
      </c>
      <c r="B4547" s="3" t="inlineStr">
        <is>
          <t>HLB바이오스텝</t>
        </is>
      </c>
      <c r="C4547" s="2" t="inlineStr">
        <is>
          <t>코스닥</t>
        </is>
      </c>
      <c r="D4547" s="2" t="inlineStr">
        <is>
          <t>278650</t>
        </is>
      </c>
      <c r="E4547" s="3" t="inlineStr">
        <is>
          <t xml:space="preserve">주식병합결정              </t>
        </is>
      </c>
      <c r="F4547" s="3" t="inlineStr">
        <is>
          <t>HLB바이오스텝</t>
        </is>
      </c>
      <c r="G4547" s="2" t="inlineStr">
        <is>
          <t>20260311900970</t>
        </is>
      </c>
      <c r="H4547" s="8">
        <f>HYPERLINK("https://dart.fss.or.kr/dsaf001/main.do?rcpNo=20260311900970", "공시열람")</f>
        <v/>
      </c>
    </row>
    <row r="4548">
      <c r="A4548" s="2" t="inlineStr">
        <is>
          <t>2026-03-11</t>
        </is>
      </c>
      <c r="B4548" s="3" t="inlineStr">
        <is>
          <t>미래에셋생명</t>
        </is>
      </c>
      <c r="C4548" s="2" t="inlineStr">
        <is>
          <t>코스피</t>
        </is>
      </c>
      <c r="D4548" s="2" t="inlineStr">
        <is>
          <t>085620</t>
        </is>
      </c>
      <c r="E4548" s="3" t="inlineStr">
        <is>
          <t>임원ㆍ주요주주특정증권등소유상황보고서</t>
        </is>
      </c>
      <c r="F4548" s="3" t="inlineStr">
        <is>
          <t>배영식</t>
        </is>
      </c>
      <c r="G4548" s="2" t="inlineStr">
        <is>
          <t>20260311003750</t>
        </is>
      </c>
      <c r="H4548" s="8">
        <f>HYPERLINK("https://dart.fss.or.kr/dsaf001/main.do?rcpNo=20260311003750", "공시열람")</f>
        <v/>
      </c>
    </row>
    <row r="4549">
      <c r="A4549" s="2" t="inlineStr">
        <is>
          <t>2026-03-11</t>
        </is>
      </c>
      <c r="B4549" s="3" t="inlineStr">
        <is>
          <t>아티스트스튜디오</t>
        </is>
      </c>
      <c r="C4549" s="2" t="inlineStr">
        <is>
          <t>코스닥</t>
        </is>
      </c>
      <c r="D4549" s="2" t="inlineStr">
        <is>
          <t>200350</t>
        </is>
      </c>
      <c r="E4549" s="3" t="inlineStr">
        <is>
          <t>의결권대리행사권유참고서류</t>
        </is>
      </c>
      <c r="F4549" s="3" t="inlineStr">
        <is>
          <t>아티스트스튜디오</t>
        </is>
      </c>
      <c r="G4549" s="2" t="inlineStr">
        <is>
          <t>20260311003749</t>
        </is>
      </c>
      <c r="H4549" s="8">
        <f>HYPERLINK("https://dart.fss.or.kr/dsaf001/main.do?rcpNo=20260311003749", "공시열람")</f>
        <v/>
      </c>
    </row>
    <row r="4550">
      <c r="A4550" s="2" t="inlineStr">
        <is>
          <t>2026-03-11</t>
        </is>
      </c>
      <c r="B4550" s="3" t="inlineStr">
        <is>
          <t>피앤씨테크</t>
        </is>
      </c>
      <c r="C4550" s="2" t="inlineStr">
        <is>
          <t>코스닥</t>
        </is>
      </c>
      <c r="D4550" s="2" t="inlineStr">
        <is>
          <t>237750</t>
        </is>
      </c>
      <c r="E4550" s="3" t="inlineStr">
        <is>
          <t>의결권대리행사권유참고서류</t>
        </is>
      </c>
      <c r="F4550" s="3" t="inlineStr">
        <is>
          <t>피앤씨테크</t>
        </is>
      </c>
      <c r="G4550" s="2" t="inlineStr">
        <is>
          <t>20260311003747</t>
        </is>
      </c>
      <c r="H4550" s="8">
        <f>HYPERLINK("https://dart.fss.or.kr/dsaf001/main.do?rcpNo=20260311003747", "공시열람")</f>
        <v/>
      </c>
    </row>
    <row r="4551">
      <c r="A4551" s="2" t="inlineStr">
        <is>
          <t>2026-03-11</t>
        </is>
      </c>
      <c r="B4551" s="3" t="inlineStr">
        <is>
          <t>SK스퀘어</t>
        </is>
      </c>
      <c r="C4551" s="2" t="inlineStr">
        <is>
          <t>코스피</t>
        </is>
      </c>
      <c r="D4551" s="2" t="inlineStr">
        <is>
          <t>402340</t>
        </is>
      </c>
      <c r="E4551" s="3" t="inlineStr">
        <is>
          <t xml:space="preserve">감사보고서제출              </t>
        </is>
      </c>
      <c r="F4551" s="3" t="inlineStr">
        <is>
          <t>SK스퀘어</t>
        </is>
      </c>
      <c r="G4551" s="2" t="inlineStr">
        <is>
          <t>20260311800910</t>
        </is>
      </c>
      <c r="H4551" s="8">
        <f>HYPERLINK("https://dart.fss.or.kr/dsaf001/main.do?rcpNo=20260311800910", "공시열람")</f>
        <v/>
      </c>
    </row>
    <row r="4552">
      <c r="A4552" s="2" t="inlineStr">
        <is>
          <t>2026-03-11</t>
        </is>
      </c>
      <c r="B4552" s="3" t="inlineStr">
        <is>
          <t>한일단조</t>
        </is>
      </c>
      <c r="C4552" s="2" t="inlineStr">
        <is>
          <t>코스닥</t>
        </is>
      </c>
      <c r="D4552" s="2" t="inlineStr">
        <is>
          <t>024740</t>
        </is>
      </c>
      <c r="E4552" s="3" t="inlineStr">
        <is>
          <t xml:space="preserve">매출액또는손익구조30%(대규모법인은15%)이상변동              </t>
        </is>
      </c>
      <c r="F4552" s="3" t="inlineStr">
        <is>
          <t>한일단조</t>
        </is>
      </c>
      <c r="G4552" s="2" t="inlineStr">
        <is>
          <t>20260311900891</t>
        </is>
      </c>
      <c r="H4552" s="8">
        <f>HYPERLINK("https://dart.fss.or.kr/dsaf001/main.do?rcpNo=20260311900891", "공시열람")</f>
        <v/>
      </c>
    </row>
    <row r="4553">
      <c r="A4553" s="2" t="inlineStr">
        <is>
          <t>2026-02-13 (정정: 2026-03-11)</t>
        </is>
      </c>
      <c r="B4553" s="3" t="inlineStr">
        <is>
          <t>와토스코리아</t>
        </is>
      </c>
      <c r="C4553" s="2" t="inlineStr">
        <is>
          <t>코스닥</t>
        </is>
      </c>
      <c r="D4553" s="2" t="inlineStr">
        <is>
          <t>079000</t>
        </is>
      </c>
      <c r="E4553" s="3" t="inlineStr">
        <is>
          <t xml:space="preserve">[기재정정]매출액또는손익구조30%(대규모법인은15%)이상변동              </t>
        </is>
      </c>
      <c r="F4553" s="3" t="inlineStr">
        <is>
          <t>와토스코리아</t>
        </is>
      </c>
      <c r="G4553" s="2" t="inlineStr">
        <is>
          <t>20260311900920</t>
        </is>
      </c>
      <c r="H4553" s="8">
        <f>HYPERLINK("https://dart.fss.or.kr/dsaf001/main.do?rcpNo=20260311900920", "공시열람")</f>
        <v/>
      </c>
    </row>
    <row r="4554">
      <c r="A4554" s="2" t="inlineStr">
        <is>
          <t>2026-03-11 (정정: 2026-03-12)</t>
        </is>
      </c>
      <c r="B4554" s="3" t="inlineStr">
        <is>
          <t>한국토지신탁</t>
        </is>
      </c>
      <c r="C4554" s="2" t="inlineStr">
        <is>
          <t>코스피</t>
        </is>
      </c>
      <c r="D4554" s="2" t="inlineStr">
        <is>
          <t>034830</t>
        </is>
      </c>
      <c r="E4554" s="3" t="inlineStr">
        <is>
          <t>의결권대리행사권유참고서류 (정정: 20260312)</t>
        </is>
      </c>
      <c r="F4554" s="3" t="inlineStr">
        <is>
          <t>한국토지신탁</t>
        </is>
      </c>
      <c r="G4554" s="2" t="inlineStr">
        <is>
          <t>20260312000984</t>
        </is>
      </c>
      <c r="H4554" s="8">
        <f>HYPERLINK("https://dart.fss.or.kr/dsaf001/main.do?rcpNo=20260312000984", "공시열람")</f>
        <v/>
      </c>
    </row>
    <row r="4555">
      <c r="A4555" s="2" t="inlineStr">
        <is>
          <t>2026-03-11</t>
        </is>
      </c>
      <c r="B4555" s="3" t="inlineStr">
        <is>
          <t>나우로보틱스</t>
        </is>
      </c>
      <c r="C4555" s="2" t="inlineStr">
        <is>
          <t>코스닥</t>
        </is>
      </c>
      <c r="D4555" s="2" t="inlineStr">
        <is>
          <t>459510</t>
        </is>
      </c>
      <c r="E4555" s="3" t="inlineStr">
        <is>
          <t xml:space="preserve">감사보고서제출              </t>
        </is>
      </c>
      <c r="F4555" s="3" t="inlineStr">
        <is>
          <t>나우로보틱스</t>
        </is>
      </c>
      <c r="G4555" s="2" t="inlineStr">
        <is>
          <t>20260311900901</t>
        </is>
      </c>
      <c r="H4555" s="8">
        <f>HYPERLINK("https://dart.fss.or.kr/dsaf001/main.do?rcpNo=20260311900901", "공시열람")</f>
        <v/>
      </c>
    </row>
    <row r="4556">
      <c r="A4556" s="2" t="inlineStr">
        <is>
          <t>2026-03-11</t>
        </is>
      </c>
      <c r="B4556" s="3" t="inlineStr">
        <is>
          <t>SKC</t>
        </is>
      </c>
      <c r="C4556" s="2" t="inlineStr">
        <is>
          <t>코스피</t>
        </is>
      </c>
      <c r="D4556" s="2" t="inlineStr">
        <is>
          <t>011790</t>
        </is>
      </c>
      <c r="E4556" s="3" t="inlineStr">
        <is>
          <t xml:space="preserve">감사보고서제출              </t>
        </is>
      </c>
      <c r="F4556" s="3" t="inlineStr">
        <is>
          <t>SKC</t>
        </is>
      </c>
      <c r="G4556" s="2" t="inlineStr">
        <is>
          <t>20260311800857</t>
        </is>
      </c>
      <c r="H4556" s="8">
        <f>HYPERLINK("https://dart.fss.or.kr/dsaf001/main.do?rcpNo=20260311800857", "공시열람")</f>
        <v/>
      </c>
    </row>
    <row r="4557">
      <c r="A4557" s="2" t="inlineStr">
        <is>
          <t>2026-03-11</t>
        </is>
      </c>
      <c r="B4557" s="3" t="inlineStr">
        <is>
          <t>선도전기</t>
        </is>
      </c>
      <c r="C4557" s="2" t="inlineStr">
        <is>
          <t>코스피</t>
        </is>
      </c>
      <c r="D4557" s="2" t="inlineStr">
        <is>
          <t>007610</t>
        </is>
      </c>
      <c r="E4557" s="3" t="inlineStr">
        <is>
          <t>의결권대리행사권유참고서류</t>
        </is>
      </c>
      <c r="F4557" s="3" t="inlineStr">
        <is>
          <t>선도전기</t>
        </is>
      </c>
      <c r="G4557" s="2" t="inlineStr">
        <is>
          <t>20260311003730</t>
        </is>
      </c>
      <c r="H4557" s="8">
        <f>HYPERLINK("https://dart.fss.or.kr/dsaf001/main.do?rcpNo=20260311003730", "공시열람")</f>
        <v/>
      </c>
    </row>
    <row r="4558">
      <c r="A4558" s="2" t="inlineStr">
        <is>
          <t>2026-03-11</t>
        </is>
      </c>
      <c r="B4558" s="3" t="inlineStr">
        <is>
          <t>아나패스</t>
        </is>
      </c>
      <c r="C4558" s="2" t="inlineStr">
        <is>
          <t>코스닥</t>
        </is>
      </c>
      <c r="D4558" s="2" t="inlineStr">
        <is>
          <t>123860</t>
        </is>
      </c>
      <c r="E4558" s="3" t="inlineStr">
        <is>
          <t>의결권대리행사권유참고서류</t>
        </is>
      </c>
      <c r="F4558" s="3" t="inlineStr">
        <is>
          <t>아나패스</t>
        </is>
      </c>
      <c r="G4558" s="2" t="inlineStr">
        <is>
          <t>20260311003728</t>
        </is>
      </c>
      <c r="H4558" s="8">
        <f>HYPERLINK("https://dart.fss.or.kr/dsaf001/main.do?rcpNo=20260311003728", "공시열람")</f>
        <v/>
      </c>
    </row>
    <row r="4559">
      <c r="A4559" s="2" t="inlineStr">
        <is>
          <t>2026-03-11</t>
        </is>
      </c>
      <c r="B4559" s="3" t="inlineStr">
        <is>
          <t>마음AI</t>
        </is>
      </c>
      <c r="C4559" s="2" t="inlineStr">
        <is>
          <t>코스닥</t>
        </is>
      </c>
      <c r="D4559" s="2" t="inlineStr">
        <is>
          <t>377480</t>
        </is>
      </c>
      <c r="E4559" s="3" t="inlineStr">
        <is>
          <t>의결권대리행사권유참고서류</t>
        </is>
      </c>
      <c r="F4559" s="3" t="inlineStr">
        <is>
          <t>마음AI</t>
        </is>
      </c>
      <c r="G4559" s="2" t="inlineStr">
        <is>
          <t>20260311003725</t>
        </is>
      </c>
      <c r="H4559" s="8">
        <f>HYPERLINK("https://dart.fss.or.kr/dsaf001/main.do?rcpNo=20260311003725", "공시열람")</f>
        <v/>
      </c>
    </row>
    <row r="4560">
      <c r="A4560" s="2" t="inlineStr">
        <is>
          <t>2026-03-11 (정정: 2026-03-11)</t>
        </is>
      </c>
      <c r="B4560" s="3" t="inlineStr">
        <is>
          <t>금호전기</t>
        </is>
      </c>
      <c r="C4560" s="2" t="inlineStr">
        <is>
          <t>코스피</t>
        </is>
      </c>
      <c r="D4560" s="2" t="inlineStr">
        <is>
          <t>001210</t>
        </is>
      </c>
      <c r="E4560" s="3" t="inlineStr">
        <is>
          <t>의결권대리행사권유참고서류 (정정: 20260311)</t>
        </is>
      </c>
      <c r="F4560" s="3" t="inlineStr">
        <is>
          <t>금호전기</t>
        </is>
      </c>
      <c r="G4560" s="2" t="inlineStr">
        <is>
          <t>20260311800683</t>
        </is>
      </c>
      <c r="H4560" s="8">
        <f>HYPERLINK("https://dart.fss.or.kr/dsaf001/main.do?rcpNo=20260311800683", "공시열람")</f>
        <v/>
      </c>
    </row>
    <row r="4561">
      <c r="A4561" s="2" t="inlineStr">
        <is>
          <t>2026-03-11</t>
        </is>
      </c>
      <c r="B4561" s="3" t="inlineStr">
        <is>
          <t>디비금융제14호스팩</t>
        </is>
      </c>
      <c r="C4561" s="2" t="inlineStr">
        <is>
          <t>코스닥</t>
        </is>
      </c>
      <c r="D4561" s="2" t="inlineStr">
        <is>
          <t>0004Y0</t>
        </is>
      </c>
      <c r="E4561" s="3" t="inlineStr">
        <is>
          <t xml:space="preserve">감사보고서제출              </t>
        </is>
      </c>
      <c r="F4561" s="3" t="inlineStr">
        <is>
          <t>디비금융제14호스팩</t>
        </is>
      </c>
      <c r="G4561" s="2" t="inlineStr">
        <is>
          <t>20260311900855</t>
        </is>
      </c>
      <c r="H4561" s="8">
        <f>HYPERLINK("https://dart.fss.or.kr/dsaf001/main.do?rcpNo=20260311900855", "공시열람")</f>
        <v/>
      </c>
    </row>
    <row r="4562">
      <c r="A4562" s="2" t="inlineStr">
        <is>
          <t>2026-03-11</t>
        </is>
      </c>
      <c r="B4562" s="3" t="inlineStr">
        <is>
          <t>신영증권</t>
        </is>
      </c>
      <c r="C4562" s="2" t="inlineStr">
        <is>
          <t>코스피</t>
        </is>
      </c>
      <c r="D4562" s="2" t="inlineStr">
        <is>
          <t>001720</t>
        </is>
      </c>
      <c r="E4562" s="3" t="inlineStr">
        <is>
          <t>일괄신고추가서류(파생결합사채-주가연계파생결합사채)</t>
        </is>
      </c>
      <c r="F4562" s="3" t="inlineStr">
        <is>
          <t>신영증권</t>
        </is>
      </c>
      <c r="G4562" s="2" t="inlineStr">
        <is>
          <t>20260311003715</t>
        </is>
      </c>
      <c r="H4562" s="8">
        <f>HYPERLINK("https://dart.fss.or.kr/dsaf001/main.do?rcpNo=20260311003715", "공시열람")</f>
        <v/>
      </c>
    </row>
    <row r="4563">
      <c r="A4563" s="2" t="inlineStr">
        <is>
          <t>2026-03-11</t>
        </is>
      </c>
      <c r="B4563" s="3" t="inlineStr">
        <is>
          <t>제테마</t>
        </is>
      </c>
      <c r="C4563" s="2" t="inlineStr">
        <is>
          <t>코스닥</t>
        </is>
      </c>
      <c r="D4563" s="2" t="inlineStr">
        <is>
          <t>216080</t>
        </is>
      </c>
      <c r="E4563" s="3" t="inlineStr">
        <is>
          <t>의결권대리행사권유참고서류</t>
        </is>
      </c>
      <c r="F4563" s="3" t="inlineStr">
        <is>
          <t>제테마</t>
        </is>
      </c>
      <c r="G4563" s="2" t="inlineStr">
        <is>
          <t>20260311003712</t>
        </is>
      </c>
      <c r="H4563" s="8">
        <f>HYPERLINK("https://dart.fss.or.kr/dsaf001/main.do?rcpNo=20260311003712", "공시열람")</f>
        <v/>
      </c>
    </row>
    <row r="4564">
      <c r="A4564" s="2" t="inlineStr">
        <is>
          <t>2026-03-11</t>
        </is>
      </c>
      <c r="B4564" s="3" t="inlineStr">
        <is>
          <t>웨이브일렉트로</t>
        </is>
      </c>
      <c r="C4564" s="2" t="inlineStr">
        <is>
          <t>코스닥</t>
        </is>
      </c>
      <c r="D4564" s="2" t="inlineStr">
        <is>
          <t>095270</t>
        </is>
      </c>
      <c r="E4564" s="3" t="inlineStr">
        <is>
          <t xml:space="preserve">매출액또는손익구조30%(대규모법인은15%)이상변동              </t>
        </is>
      </c>
      <c r="F4564" s="3" t="inlineStr">
        <is>
          <t>웨이브일렉트로</t>
        </is>
      </c>
      <c r="G4564" s="2" t="inlineStr">
        <is>
          <t>20260311900832</t>
        </is>
      </c>
      <c r="H4564" s="8">
        <f>HYPERLINK("https://dart.fss.or.kr/dsaf001/main.do?rcpNo=20260311900832", "공시열람")</f>
        <v/>
      </c>
    </row>
    <row r="4565">
      <c r="A4565" s="2" t="inlineStr">
        <is>
          <t>2026-03-11</t>
        </is>
      </c>
      <c r="B4565" s="3" t="inlineStr">
        <is>
          <t>종근당홀딩스</t>
        </is>
      </c>
      <c r="C4565" s="2" t="inlineStr">
        <is>
          <t>코스피</t>
        </is>
      </c>
      <c r="D4565" s="2" t="inlineStr">
        <is>
          <t>001630</t>
        </is>
      </c>
      <c r="E4565" s="3" t="inlineStr">
        <is>
          <t xml:space="preserve">현금ㆍ현물배당결정(자회사의 주요경영사항)              </t>
        </is>
      </c>
      <c r="F4565" s="3" t="inlineStr">
        <is>
          <t>종근당홀딩스</t>
        </is>
      </c>
      <c r="G4565" s="2" t="inlineStr">
        <is>
          <t>20260311800881</t>
        </is>
      </c>
      <c r="H4565" s="8">
        <f>HYPERLINK("https://dart.fss.or.kr/dsaf001/main.do?rcpNo=20260311800881", "공시열람")</f>
        <v/>
      </c>
    </row>
    <row r="4566">
      <c r="A4566" s="2" t="inlineStr">
        <is>
          <t>2026-03-11</t>
        </is>
      </c>
      <c r="B4566" s="3" t="inlineStr">
        <is>
          <t>보해양조</t>
        </is>
      </c>
      <c r="C4566" s="2" t="inlineStr">
        <is>
          <t>코스피</t>
        </is>
      </c>
      <c r="D4566" s="2" t="inlineStr">
        <is>
          <t>000890</t>
        </is>
      </c>
      <c r="E4566" s="3" t="inlineStr">
        <is>
          <t>자기주식취득결과보고서</t>
        </is>
      </c>
      <c r="F4566" s="3" t="inlineStr">
        <is>
          <t>보해양조</t>
        </is>
      </c>
      <c r="G4566" s="2" t="inlineStr">
        <is>
          <t>20260311003709</t>
        </is>
      </c>
      <c r="H4566" s="8">
        <f>HYPERLINK("https://dart.fss.or.kr/dsaf001/main.do?rcpNo=20260311003709", "공시열람")</f>
        <v/>
      </c>
    </row>
    <row r="4567">
      <c r="A4567" s="2" t="inlineStr">
        <is>
          <t>2026-03-11</t>
        </is>
      </c>
      <c r="B4567" s="3" t="inlineStr">
        <is>
          <t>신도리코</t>
        </is>
      </c>
      <c r="C4567" s="2" t="inlineStr">
        <is>
          <t>코스피</t>
        </is>
      </c>
      <c r="D4567" s="2" t="inlineStr">
        <is>
          <t>029530</t>
        </is>
      </c>
      <c r="E4567" s="3" t="inlineStr">
        <is>
          <t xml:space="preserve">감사보고서제출              </t>
        </is>
      </c>
      <c r="F4567" s="3" t="inlineStr">
        <is>
          <t>신도리코</t>
        </is>
      </c>
      <c r="G4567" s="2" t="inlineStr">
        <is>
          <t>20260311800871</t>
        </is>
      </c>
      <c r="H4567" s="8">
        <f>HYPERLINK("https://dart.fss.or.kr/dsaf001/main.do?rcpNo=20260311800871", "공시열람")</f>
        <v/>
      </c>
    </row>
    <row r="4568">
      <c r="A4568" s="2" t="inlineStr">
        <is>
          <t>2026-03-11</t>
        </is>
      </c>
      <c r="B4568" s="3" t="inlineStr">
        <is>
          <t>머니무브</t>
        </is>
      </c>
      <c r="C4568" s="2" t="inlineStr">
        <is>
          <t>코넥스</t>
        </is>
      </c>
      <c r="D4568" s="2" t="inlineStr">
        <is>
          <t>179720</t>
        </is>
      </c>
      <c r="E4568" s="3" t="inlineStr">
        <is>
          <t>기타주요경영사항(자율공시)              (자본전액잠식 해소자료 제출)</t>
        </is>
      </c>
      <c r="F4568" s="3" t="inlineStr">
        <is>
          <t>머니무브</t>
        </is>
      </c>
      <c r="G4568" s="2" t="inlineStr">
        <is>
          <t>20260311600873</t>
        </is>
      </c>
      <c r="H4568" s="8">
        <f>HYPERLINK("https://dart.fss.or.kr/dsaf001/main.do?rcpNo=20260311600873", "공시열람")</f>
        <v/>
      </c>
    </row>
    <row r="4569">
      <c r="A4569" s="2" t="inlineStr">
        <is>
          <t>2026-03-11 (정정: 2026-03-11)</t>
        </is>
      </c>
      <c r="B4569" s="3" t="inlineStr">
        <is>
          <t>한국기업평가</t>
        </is>
      </c>
      <c r="C4569" s="2" t="inlineStr">
        <is>
          <t>코스닥</t>
        </is>
      </c>
      <c r="D4569" s="2" t="inlineStr">
        <is>
          <t>034950</t>
        </is>
      </c>
      <c r="E4569" s="3" t="inlineStr">
        <is>
          <t>[첨부정정]의결권대리행사권유참고서류 (정정: 20260311)</t>
        </is>
      </c>
      <c r="F4569" s="3" t="inlineStr">
        <is>
          <t>한국기업평가</t>
        </is>
      </c>
      <c r="G4569" s="2" t="inlineStr">
        <is>
          <t>20260311003445</t>
        </is>
      </c>
      <c r="H4569" s="8">
        <f>HYPERLINK("https://dart.fss.or.kr/dsaf001/main.do?rcpNo=20260311003445", "공시열람")</f>
        <v/>
      </c>
    </row>
    <row r="4570">
      <c r="A4570" s="2" t="inlineStr">
        <is>
          <t>2026-03-11</t>
        </is>
      </c>
      <c r="B4570" s="3" t="inlineStr">
        <is>
          <t>이스타코</t>
        </is>
      </c>
      <c r="C4570" s="2" t="inlineStr">
        <is>
          <t>코스피</t>
        </is>
      </c>
      <c r="D4570" s="2" t="inlineStr">
        <is>
          <t>015020</t>
        </is>
      </c>
      <c r="E4570" s="3" t="inlineStr">
        <is>
          <t>[기재정정]의결권대리행사권유참고서류</t>
        </is>
      </c>
      <c r="F4570" s="3" t="inlineStr">
        <is>
          <t>이스타코</t>
        </is>
      </c>
      <c r="G4570" s="2" t="inlineStr">
        <is>
          <t>20260311003703</t>
        </is>
      </c>
      <c r="H4570" s="8">
        <f>HYPERLINK("https://dart.fss.or.kr/dsaf001/main.do?rcpNo=20260311003703", "공시열람")</f>
        <v/>
      </c>
    </row>
    <row r="4571">
      <c r="A4571" s="2" t="inlineStr">
        <is>
          <t>2026-03-11</t>
        </is>
      </c>
      <c r="B4571" s="3" t="inlineStr">
        <is>
          <t>닷밀</t>
        </is>
      </c>
      <c r="C4571" s="2" t="inlineStr">
        <is>
          <t>코스닥</t>
        </is>
      </c>
      <c r="D4571" s="2" t="inlineStr">
        <is>
          <t>464580</t>
        </is>
      </c>
      <c r="E4571" s="3" t="inlineStr">
        <is>
          <t>의결권대리행사권유참고서류</t>
        </is>
      </c>
      <c r="F4571" s="3" t="inlineStr">
        <is>
          <t>닷밀</t>
        </is>
      </c>
      <c r="G4571" s="2" t="inlineStr">
        <is>
          <t>20260311003701</t>
        </is>
      </c>
      <c r="H4571" s="8">
        <f>HYPERLINK("https://dart.fss.or.kr/dsaf001/main.do?rcpNo=20260311003701", "공시열람")</f>
        <v/>
      </c>
    </row>
    <row r="4572">
      <c r="A4572" s="2" t="inlineStr">
        <is>
          <t>2026-03-11</t>
        </is>
      </c>
      <c r="B4572" s="3" t="inlineStr">
        <is>
          <t>빙그레</t>
        </is>
      </c>
      <c r="C4572" s="2" t="inlineStr">
        <is>
          <t>코스피</t>
        </is>
      </c>
      <c r="D4572" s="2" t="inlineStr">
        <is>
          <t>005180</t>
        </is>
      </c>
      <c r="E4572" s="3" t="inlineStr">
        <is>
          <t>의결권대리행사권유참고서류</t>
        </is>
      </c>
      <c r="F4572" s="3" t="inlineStr">
        <is>
          <t>빙그레</t>
        </is>
      </c>
      <c r="G4572" s="2" t="inlineStr">
        <is>
          <t>20260311003700</t>
        </is>
      </c>
      <c r="H4572" s="8">
        <f>HYPERLINK("https://dart.fss.or.kr/dsaf001/main.do?rcpNo=20260311003700", "공시열람")</f>
        <v/>
      </c>
    </row>
    <row r="4573">
      <c r="A4573" s="2" t="inlineStr">
        <is>
          <t>2026-03-11</t>
        </is>
      </c>
      <c r="B4573" s="3" t="inlineStr">
        <is>
          <t>종근당</t>
        </is>
      </c>
      <c r="C4573" s="2" t="inlineStr">
        <is>
          <t>코스피</t>
        </is>
      </c>
      <c r="D4573" s="2" t="inlineStr">
        <is>
          <t>185750</t>
        </is>
      </c>
      <c r="E4573" s="3" t="inlineStr">
        <is>
          <t xml:space="preserve">현금ㆍ현물배당결정              </t>
        </is>
      </c>
      <c r="F4573" s="3" t="inlineStr">
        <is>
          <t>종근당</t>
        </is>
      </c>
      <c r="G4573" s="2" t="inlineStr">
        <is>
          <t>20260311800880</t>
        </is>
      </c>
      <c r="H4573" s="8">
        <f>HYPERLINK("https://dart.fss.or.kr/dsaf001/main.do?rcpNo=20260311800880", "공시열람")</f>
        <v/>
      </c>
    </row>
    <row r="4574">
      <c r="A4574" s="2" t="inlineStr">
        <is>
          <t>2026-03-11</t>
        </is>
      </c>
      <c r="B4574" s="3" t="inlineStr">
        <is>
          <t>디비금융제13호스팩</t>
        </is>
      </c>
      <c r="C4574" s="2" t="inlineStr">
        <is>
          <t>코스닥</t>
        </is>
      </c>
      <c r="D4574" s="2" t="inlineStr">
        <is>
          <t>489730</t>
        </is>
      </c>
      <c r="E4574" s="3" t="inlineStr">
        <is>
          <t xml:space="preserve">감사보고서제출              </t>
        </is>
      </c>
      <c r="F4574" s="3" t="inlineStr">
        <is>
          <t>디비금융제13호스팩</t>
        </is>
      </c>
      <c r="G4574" s="2" t="inlineStr">
        <is>
          <t>20260311900808</t>
        </is>
      </c>
      <c r="H4574" s="8">
        <f>HYPERLINK("https://dart.fss.or.kr/dsaf001/main.do?rcpNo=20260311900808", "공시열람")</f>
        <v/>
      </c>
    </row>
    <row r="4575">
      <c r="A4575" s="2" t="inlineStr">
        <is>
          <t>2026-03-11</t>
        </is>
      </c>
      <c r="B4575" s="3" t="inlineStr">
        <is>
          <t>삼성증권</t>
        </is>
      </c>
      <c r="C4575" s="2" t="inlineStr">
        <is>
          <t>코스피</t>
        </is>
      </c>
      <c r="D4575" s="2" t="inlineStr">
        <is>
          <t>016360</t>
        </is>
      </c>
      <c r="E4575" s="3" t="inlineStr">
        <is>
          <t>투자설명서(일괄신고)</t>
        </is>
      </c>
      <c r="F4575" s="3" t="inlineStr">
        <is>
          <t>삼성증권</t>
        </is>
      </c>
      <c r="G4575" s="2" t="inlineStr">
        <is>
          <t>20260311003688</t>
        </is>
      </c>
      <c r="H4575" s="8">
        <f>HYPERLINK("https://dart.fss.or.kr/dsaf001/main.do?rcpNo=20260311003688", "공시열람")</f>
        <v/>
      </c>
    </row>
    <row r="4576">
      <c r="A4576" s="2" t="inlineStr">
        <is>
          <t>2026-03-11</t>
        </is>
      </c>
      <c r="B4576" s="3" t="inlineStr">
        <is>
          <t>큐라클</t>
        </is>
      </c>
      <c r="C4576" s="2" t="inlineStr">
        <is>
          <t>코스닥</t>
        </is>
      </c>
      <c r="D4576" s="2" t="inlineStr">
        <is>
          <t>365270</t>
        </is>
      </c>
      <c r="E4576" s="3" t="inlineStr">
        <is>
          <t>의결권대리행사권유참고서류</t>
        </is>
      </c>
      <c r="F4576" s="3" t="inlineStr">
        <is>
          <t>큐라클</t>
        </is>
      </c>
      <c r="G4576" s="2" t="inlineStr">
        <is>
          <t>20260311003687</t>
        </is>
      </c>
      <c r="H4576" s="8">
        <f>HYPERLINK("https://dart.fss.or.kr/dsaf001/main.do?rcpNo=20260311003687", "공시열람")</f>
        <v/>
      </c>
    </row>
    <row r="4577">
      <c r="A4577" s="2" t="inlineStr">
        <is>
          <t>2026-03-11</t>
        </is>
      </c>
      <c r="B4577" s="3" t="inlineStr">
        <is>
          <t>모두투어</t>
        </is>
      </c>
      <c r="C4577" s="2" t="inlineStr">
        <is>
          <t>코스닥</t>
        </is>
      </c>
      <c r="D4577" s="2" t="inlineStr">
        <is>
          <t>080160</t>
        </is>
      </c>
      <c r="E4577" s="3" t="inlineStr">
        <is>
          <t>의결권대리행사권유참고서류</t>
        </is>
      </c>
      <c r="F4577" s="3" t="inlineStr">
        <is>
          <t>모두투어</t>
        </is>
      </c>
      <c r="G4577" s="2" t="inlineStr">
        <is>
          <t>20260311003684</t>
        </is>
      </c>
      <c r="H4577" s="8">
        <f>HYPERLINK("https://dart.fss.or.kr/dsaf001/main.do?rcpNo=20260311003684", "공시열람")</f>
        <v/>
      </c>
    </row>
    <row r="4578">
      <c r="A4578" s="2" t="inlineStr">
        <is>
          <t>2026-03-11</t>
        </is>
      </c>
      <c r="B4578" s="3" t="inlineStr">
        <is>
          <t>라온로보틱스</t>
        </is>
      </c>
      <c r="C4578" s="2" t="inlineStr">
        <is>
          <t>코스닥</t>
        </is>
      </c>
      <c r="D4578" s="2" t="inlineStr">
        <is>
          <t>232680</t>
        </is>
      </c>
      <c r="E4578" s="3" t="inlineStr">
        <is>
          <t>의결권대리행사권유참고서류</t>
        </is>
      </c>
      <c r="F4578" s="3" t="inlineStr">
        <is>
          <t>라온로보틱스</t>
        </is>
      </c>
      <c r="G4578" s="2" t="inlineStr">
        <is>
          <t>20260311003683</t>
        </is>
      </c>
      <c r="H4578" s="8">
        <f>HYPERLINK("https://dart.fss.or.kr/dsaf001/main.do?rcpNo=20260311003683", "공시열람")</f>
        <v/>
      </c>
    </row>
    <row r="4579">
      <c r="A4579" s="2" t="inlineStr">
        <is>
          <t>2026-03-11</t>
        </is>
      </c>
      <c r="B4579" s="3" t="inlineStr">
        <is>
          <t>SG&amp;G</t>
        </is>
      </c>
      <c r="C4579" s="2" t="inlineStr">
        <is>
          <t>코스닥</t>
        </is>
      </c>
      <c r="D4579" s="2" t="inlineStr">
        <is>
          <t>040610</t>
        </is>
      </c>
      <c r="E4579" s="3" t="inlineStr">
        <is>
          <t>의결권대리행사권유참고서류</t>
        </is>
      </c>
      <c r="F4579" s="3" t="inlineStr">
        <is>
          <t>SG&amp;G</t>
        </is>
      </c>
      <c r="G4579" s="2" t="inlineStr">
        <is>
          <t>20260311003682</t>
        </is>
      </c>
      <c r="H4579" s="8">
        <f>HYPERLINK("https://dart.fss.or.kr/dsaf001/main.do?rcpNo=20260311003682", "공시열람")</f>
        <v/>
      </c>
    </row>
    <row r="4580">
      <c r="A4580" s="2" t="inlineStr">
        <is>
          <t>2026-03-11</t>
        </is>
      </c>
      <c r="B4580" s="3" t="inlineStr">
        <is>
          <t>알루코</t>
        </is>
      </c>
      <c r="C4580" s="2" t="inlineStr">
        <is>
          <t>코스피</t>
        </is>
      </c>
      <c r="D4580" s="2" t="inlineStr">
        <is>
          <t>001780</t>
        </is>
      </c>
      <c r="E4580" s="3" t="inlineStr">
        <is>
          <t>의결권대리행사권유참고서류</t>
        </is>
      </c>
      <c r="F4580" s="3" t="inlineStr">
        <is>
          <t>알루코</t>
        </is>
      </c>
      <c r="G4580" s="2" t="inlineStr">
        <is>
          <t>20260311003681</t>
        </is>
      </c>
      <c r="H4580" s="8">
        <f>HYPERLINK("https://dart.fss.or.kr/dsaf001/main.do?rcpNo=20260311003681", "공시열람")</f>
        <v/>
      </c>
    </row>
    <row r="4581">
      <c r="A4581" s="2" t="inlineStr">
        <is>
          <t>2026-03-11</t>
        </is>
      </c>
      <c r="B4581" s="3" t="inlineStr">
        <is>
          <t>KB제30호스팩</t>
        </is>
      </c>
      <c r="C4581" s="2" t="inlineStr">
        <is>
          <t>코스닥</t>
        </is>
      </c>
      <c r="D4581" s="2" t="inlineStr">
        <is>
          <t>486630</t>
        </is>
      </c>
      <c r="E4581" s="3" t="inlineStr">
        <is>
          <t xml:space="preserve">감사보고서제출              </t>
        </is>
      </c>
      <c r="F4581" s="3" t="inlineStr">
        <is>
          <t>KB제30호스팩</t>
        </is>
      </c>
      <c r="G4581" s="2" t="inlineStr">
        <is>
          <t>20260311900792</t>
        </is>
      </c>
      <c r="H4581" s="8">
        <f>HYPERLINK("https://dart.fss.or.kr/dsaf001/main.do?rcpNo=20260311900792", "공시열람")</f>
        <v/>
      </c>
    </row>
    <row r="4582">
      <c r="A4582" s="2" t="inlineStr">
        <is>
          <t>2026-03-11</t>
        </is>
      </c>
      <c r="B4582" s="3" t="inlineStr">
        <is>
          <t>머니무브</t>
        </is>
      </c>
      <c r="C4582" s="2" t="inlineStr">
        <is>
          <t>코넥스</t>
        </is>
      </c>
      <c r="D4582" s="2" t="inlineStr">
        <is>
          <t>179720</t>
        </is>
      </c>
      <c r="E4582" s="3" t="inlineStr">
        <is>
          <t xml:space="preserve">감사보고서제출              </t>
        </is>
      </c>
      <c r="F4582" s="3" t="inlineStr">
        <is>
          <t>머니무브</t>
        </is>
      </c>
      <c r="G4582" s="2" t="inlineStr">
        <is>
          <t>20260311600827</t>
        </is>
      </c>
      <c r="H4582" s="8">
        <f>HYPERLINK("https://dart.fss.or.kr/dsaf001/main.do?rcpNo=20260311600827", "공시열람")</f>
        <v/>
      </c>
    </row>
    <row r="4583">
      <c r="A4583" s="2" t="inlineStr">
        <is>
          <t>2026-03-11</t>
        </is>
      </c>
      <c r="B4583" s="3" t="inlineStr">
        <is>
          <t>아이오케이이엔엠</t>
        </is>
      </c>
      <c r="C4583" s="2" t="inlineStr">
        <is>
          <t>코스닥</t>
        </is>
      </c>
      <c r="D4583" s="2" t="inlineStr">
        <is>
          <t>078860</t>
        </is>
      </c>
      <c r="E4583" s="3" t="inlineStr">
        <is>
          <t>전환가액의조정              (제22회차)</t>
        </is>
      </c>
      <c r="F4583" s="3" t="inlineStr">
        <is>
          <t>아이오케이이엔엠</t>
        </is>
      </c>
      <c r="G4583" s="2" t="inlineStr">
        <is>
          <t>20260311900815</t>
        </is>
      </c>
      <c r="H4583" s="8">
        <f>HYPERLINK("https://dart.fss.or.kr/dsaf001/main.do?rcpNo=20260311900815", "공시열람")</f>
        <v/>
      </c>
    </row>
    <row r="4584">
      <c r="A4584" s="2" t="inlineStr">
        <is>
          <t>2026-03-11</t>
        </is>
      </c>
      <c r="B4584" s="3" t="inlineStr">
        <is>
          <t>유진스팩11호</t>
        </is>
      </c>
      <c r="C4584" s="2" t="inlineStr">
        <is>
          <t>코스닥</t>
        </is>
      </c>
      <c r="D4584" s="2" t="inlineStr">
        <is>
          <t>488060</t>
        </is>
      </c>
      <c r="E4584" s="3" t="inlineStr">
        <is>
          <t>의결권대리행사권유참고서류</t>
        </is>
      </c>
      <c r="F4584" s="3" t="inlineStr">
        <is>
          <t>유진스팩11호</t>
        </is>
      </c>
      <c r="G4584" s="2" t="inlineStr">
        <is>
          <t>20260311003672</t>
        </is>
      </c>
      <c r="H4584" s="8">
        <f>HYPERLINK("https://dart.fss.or.kr/dsaf001/main.do?rcpNo=20260311003672", "공시열람")</f>
        <v/>
      </c>
    </row>
    <row r="4585">
      <c r="A4585" s="2" t="inlineStr">
        <is>
          <t>2026-03-11</t>
        </is>
      </c>
      <c r="B4585" s="3" t="inlineStr">
        <is>
          <t>큐로셀</t>
        </is>
      </c>
      <c r="C4585" s="2" t="inlineStr">
        <is>
          <t>코스닥</t>
        </is>
      </c>
      <c r="D4585" s="2" t="inlineStr">
        <is>
          <t>372320</t>
        </is>
      </c>
      <c r="E4585" s="3" t="inlineStr">
        <is>
          <t>임원ㆍ주요주주특정증권등소유상황보고서</t>
        </is>
      </c>
      <c r="F4585" s="3" t="inlineStr">
        <is>
          <t>강혁</t>
        </is>
      </c>
      <c r="G4585" s="2" t="inlineStr">
        <is>
          <t>20260311003671</t>
        </is>
      </c>
      <c r="H4585" s="8">
        <f>HYPERLINK("https://dart.fss.or.kr/dsaf001/main.do?rcpNo=20260311003671", "공시열람")</f>
        <v/>
      </c>
    </row>
    <row r="4586">
      <c r="A4586" s="2" t="inlineStr">
        <is>
          <t>2026-03-11</t>
        </is>
      </c>
      <c r="B4586" s="3" t="inlineStr">
        <is>
          <t>현대바이오</t>
        </is>
      </c>
      <c r="C4586" s="2" t="inlineStr">
        <is>
          <t>코스닥</t>
        </is>
      </c>
      <c r="D4586" s="2" t="inlineStr">
        <is>
          <t>048410</t>
        </is>
      </c>
      <c r="E4586" s="3" t="inlineStr">
        <is>
          <t>의결권대리행사권유참고서류</t>
        </is>
      </c>
      <c r="F4586" s="3" t="inlineStr">
        <is>
          <t>현대바이오</t>
        </is>
      </c>
      <c r="G4586" s="2" t="inlineStr">
        <is>
          <t>20260311003662</t>
        </is>
      </c>
      <c r="H4586" s="8">
        <f>HYPERLINK("https://dart.fss.or.kr/dsaf001/main.do?rcpNo=20260311003662", "공시열람")</f>
        <v/>
      </c>
    </row>
    <row r="4587">
      <c r="A4587" s="2" t="inlineStr">
        <is>
          <t>2026-03-11</t>
        </is>
      </c>
      <c r="B4587" s="3" t="inlineStr">
        <is>
          <t>이스타코</t>
        </is>
      </c>
      <c r="C4587" s="2" t="inlineStr">
        <is>
          <t>코스피</t>
        </is>
      </c>
      <c r="D4587" s="2" t="inlineStr">
        <is>
          <t>015020</t>
        </is>
      </c>
      <c r="E4587" s="3" t="inlineStr">
        <is>
          <t xml:space="preserve">주식병합결정              </t>
        </is>
      </c>
      <c r="F4587" s="3" t="inlineStr">
        <is>
          <t>이스타코</t>
        </is>
      </c>
      <c r="G4587" s="2" t="inlineStr">
        <is>
          <t>20260311800763</t>
        </is>
      </c>
      <c r="H4587" s="8">
        <f>HYPERLINK("https://dart.fss.or.kr/dsaf001/main.do?rcpNo=20260311800763", "공시열람")</f>
        <v/>
      </c>
    </row>
    <row r="4588">
      <c r="A4588" s="2" t="inlineStr">
        <is>
          <t>2026-03-11</t>
        </is>
      </c>
      <c r="B4588" s="3" t="inlineStr">
        <is>
          <t>삼미금속</t>
        </is>
      </c>
      <c r="C4588" s="2" t="inlineStr">
        <is>
          <t>코스닥</t>
        </is>
      </c>
      <c r="D4588" s="2" t="inlineStr">
        <is>
          <t>012210</t>
        </is>
      </c>
      <c r="E4588" s="3" t="inlineStr">
        <is>
          <t xml:space="preserve">감사보고서제출              </t>
        </is>
      </c>
      <c r="F4588" s="3" t="inlineStr">
        <is>
          <t>삼미금속</t>
        </is>
      </c>
      <c r="G4588" s="2" t="inlineStr">
        <is>
          <t>20260311900622</t>
        </is>
      </c>
      <c r="H4588" s="8">
        <f>HYPERLINK("https://dart.fss.or.kr/dsaf001/main.do?rcpNo=20260311900622", "공시열람")</f>
        <v/>
      </c>
    </row>
    <row r="4589">
      <c r="A4589" s="2" t="inlineStr">
        <is>
          <t>2026-03-11 (정정: 2026-03-12)</t>
        </is>
      </c>
      <c r="B4589" s="3" t="inlineStr">
        <is>
          <t>삼성증권</t>
        </is>
      </c>
      <c r="C4589" s="2" t="inlineStr">
        <is>
          <t>코스피</t>
        </is>
      </c>
      <c r="D4589" s="2" t="inlineStr">
        <is>
          <t>016360</t>
        </is>
      </c>
      <c r="E4589" s="3" t="inlineStr">
        <is>
          <t>일괄신고추가서류(파생결합증권-상장지수증권) (정정: 20260312) (정정: 20260312) (정정: 20260312) (정정: 20260312) (정정: 20260312) (정정: 20260312)</t>
        </is>
      </c>
      <c r="F4589" s="3" t="inlineStr">
        <is>
          <t>삼성증권</t>
        </is>
      </c>
      <c r="G4589" s="2" t="inlineStr">
        <is>
          <t>20260312001070</t>
        </is>
      </c>
      <c r="H4589" s="8">
        <f>HYPERLINK("https://dart.fss.or.kr/dsaf001/main.do?rcpNo=20260312001070", "공시열람")</f>
        <v/>
      </c>
    </row>
    <row r="4590">
      <c r="A4590" s="2" t="inlineStr">
        <is>
          <t>2026-03-11</t>
        </is>
      </c>
      <c r="B4590" s="3" t="inlineStr">
        <is>
          <t>유니온머티리얼</t>
        </is>
      </c>
      <c r="C4590" s="2" t="inlineStr">
        <is>
          <t>코스피</t>
        </is>
      </c>
      <c r="D4590" s="2" t="inlineStr">
        <is>
          <t>047400</t>
        </is>
      </c>
      <c r="E4590" s="3" t="inlineStr">
        <is>
          <t>의결권대리행사권유참고서류</t>
        </is>
      </c>
      <c r="F4590" s="3" t="inlineStr">
        <is>
          <t>유니온머티리얼</t>
        </is>
      </c>
      <c r="G4590" s="2" t="inlineStr">
        <is>
          <t>20260311003654</t>
        </is>
      </c>
      <c r="H4590" s="8">
        <f>HYPERLINK("https://dart.fss.or.kr/dsaf001/main.do?rcpNo=20260311003654", "공시열람")</f>
        <v/>
      </c>
    </row>
    <row r="4591">
      <c r="A4591" s="2" t="inlineStr">
        <is>
          <t>2026-03-11</t>
        </is>
      </c>
      <c r="B4591" s="3" t="inlineStr">
        <is>
          <t>녹십자엠에스</t>
        </is>
      </c>
      <c r="C4591" s="2" t="inlineStr">
        <is>
          <t>코스닥</t>
        </is>
      </c>
      <c r="D4591" s="2" t="inlineStr">
        <is>
          <t>142280</t>
        </is>
      </c>
      <c r="E4591" s="3" t="inlineStr">
        <is>
          <t>임원ㆍ주요주주특정증권등소유상황보고서</t>
        </is>
      </c>
      <c r="F4591" s="3" t="inlineStr">
        <is>
          <t>엄현</t>
        </is>
      </c>
      <c r="G4591" s="2" t="inlineStr">
        <is>
          <t>20260311003649</t>
        </is>
      </c>
      <c r="H4591" s="8">
        <f>HYPERLINK("https://dart.fss.or.kr/dsaf001/main.do?rcpNo=20260311003649", "공시열람")</f>
        <v/>
      </c>
    </row>
    <row r="4592">
      <c r="A4592" s="2" t="inlineStr">
        <is>
          <t>2026-03-11</t>
        </is>
      </c>
      <c r="B4592" s="3" t="inlineStr">
        <is>
          <t>헥토이노베이션</t>
        </is>
      </c>
      <c r="C4592" s="2" t="inlineStr">
        <is>
          <t>코스닥</t>
        </is>
      </c>
      <c r="D4592" s="2" t="inlineStr">
        <is>
          <t>214180</t>
        </is>
      </c>
      <c r="E4592" s="3" t="inlineStr">
        <is>
          <t xml:space="preserve">현금ㆍ현물배당결정              </t>
        </is>
      </c>
      <c r="F4592" s="3" t="inlineStr">
        <is>
          <t>헥토이노베이션</t>
        </is>
      </c>
      <c r="G4592" s="2" t="inlineStr">
        <is>
          <t>20260311900772</t>
        </is>
      </c>
      <c r="H4592" s="8">
        <f>HYPERLINK("https://dart.fss.or.kr/dsaf001/main.do?rcpNo=20260311900772", "공시열람")</f>
        <v/>
      </c>
    </row>
    <row r="4593">
      <c r="A4593" s="2" t="inlineStr">
        <is>
          <t>2026-03-11</t>
        </is>
      </c>
      <c r="B4593" s="3" t="inlineStr">
        <is>
          <t>KBI동양철관</t>
        </is>
      </c>
      <c r="C4593" s="2" t="inlineStr">
        <is>
          <t>코스피</t>
        </is>
      </c>
      <c r="D4593" s="2" t="inlineStr">
        <is>
          <t>008970</t>
        </is>
      </c>
      <c r="E4593" s="3" t="inlineStr">
        <is>
          <t>의결권대리행사권유참고서류</t>
        </is>
      </c>
      <c r="F4593" s="3" t="inlineStr">
        <is>
          <t>KBI동양철관</t>
        </is>
      </c>
      <c r="G4593" s="2" t="inlineStr">
        <is>
          <t>20260311003647</t>
        </is>
      </c>
      <c r="H4593" s="8">
        <f>HYPERLINK("https://dart.fss.or.kr/dsaf001/main.do?rcpNo=20260311003647", "공시열람")</f>
        <v/>
      </c>
    </row>
    <row r="4594">
      <c r="A4594" s="2" t="inlineStr">
        <is>
          <t>2026-03-11</t>
        </is>
      </c>
      <c r="B4594" s="3" t="inlineStr">
        <is>
          <t>명문제약</t>
        </is>
      </c>
      <c r="C4594" s="2" t="inlineStr">
        <is>
          <t>코스피</t>
        </is>
      </c>
      <c r="D4594" s="2" t="inlineStr">
        <is>
          <t>017180</t>
        </is>
      </c>
      <c r="E4594" s="3" t="inlineStr">
        <is>
          <t>의결권대리행사권유참고서류</t>
        </is>
      </c>
      <c r="F4594" s="3" t="inlineStr">
        <is>
          <t>명문제약</t>
        </is>
      </c>
      <c r="G4594" s="2" t="inlineStr">
        <is>
          <t>20260311003642</t>
        </is>
      </c>
      <c r="H4594" s="8">
        <f>HYPERLINK("https://dart.fss.or.kr/dsaf001/main.do?rcpNo=20260311003642", "공시열람")</f>
        <v/>
      </c>
    </row>
    <row r="4595">
      <c r="A4595" s="2" t="inlineStr">
        <is>
          <t>2026-03-11</t>
        </is>
      </c>
      <c r="B4595" s="3" t="inlineStr">
        <is>
          <t>녹십자엠에스</t>
        </is>
      </c>
      <c r="C4595" s="2" t="inlineStr">
        <is>
          <t>코스닥</t>
        </is>
      </c>
      <c r="D4595" s="2" t="inlineStr">
        <is>
          <t>142280</t>
        </is>
      </c>
      <c r="E4595" s="3" t="inlineStr">
        <is>
          <t>임원ㆍ주요주주특정증권등소유상황보고서</t>
        </is>
      </c>
      <c r="F4595" s="3" t="inlineStr">
        <is>
          <t>김연근</t>
        </is>
      </c>
      <c r="G4595" s="2" t="inlineStr">
        <is>
          <t>20260311003639</t>
        </is>
      </c>
      <c r="H4595" s="8">
        <f>HYPERLINK("https://dart.fss.or.kr/dsaf001/main.do?rcpNo=20260311003639", "공시열람")</f>
        <v/>
      </c>
    </row>
    <row r="4596">
      <c r="A4596" s="2" t="inlineStr">
        <is>
          <t>2026-03-11</t>
        </is>
      </c>
      <c r="B4596" s="3" t="inlineStr">
        <is>
          <t>SK증권제13호스팩</t>
        </is>
      </c>
      <c r="C4596" s="2" t="inlineStr">
        <is>
          <t>코스닥</t>
        </is>
      </c>
      <c r="D4596" s="2" t="inlineStr">
        <is>
          <t>473950</t>
        </is>
      </c>
      <c r="E4596" s="3" t="inlineStr">
        <is>
          <t>의결권대리행사권유참고서류</t>
        </is>
      </c>
      <c r="F4596" s="3" t="inlineStr">
        <is>
          <t>SK증권제13호스팩</t>
        </is>
      </c>
      <c r="G4596" s="2" t="inlineStr">
        <is>
          <t>20260311003638</t>
        </is>
      </c>
      <c r="H4596" s="8">
        <f>HYPERLINK("https://dart.fss.or.kr/dsaf001/main.do?rcpNo=20260311003638", "공시열람")</f>
        <v/>
      </c>
    </row>
    <row r="4597">
      <c r="A4597" s="2" t="inlineStr">
        <is>
          <t>2026-03-11</t>
        </is>
      </c>
      <c r="B4597" s="3" t="inlineStr">
        <is>
          <t>대모</t>
        </is>
      </c>
      <c r="C4597" s="2" t="inlineStr">
        <is>
          <t>코스닥</t>
        </is>
      </c>
      <c r="D4597" s="2" t="inlineStr">
        <is>
          <t>317850</t>
        </is>
      </c>
      <c r="E4597" s="3" t="inlineStr">
        <is>
          <t xml:space="preserve">매출액또는손익구조30%(대규모법인은15%)이상변동              </t>
        </is>
      </c>
      <c r="F4597" s="3" t="inlineStr">
        <is>
          <t>대모</t>
        </is>
      </c>
      <c r="G4597" s="2" t="inlineStr">
        <is>
          <t>20260311900729</t>
        </is>
      </c>
      <c r="H4597" s="8">
        <f>HYPERLINK("https://dart.fss.or.kr/dsaf001/main.do?rcpNo=20260311900729", "공시열람")</f>
        <v/>
      </c>
    </row>
    <row r="4598">
      <c r="A4598" s="2" t="inlineStr">
        <is>
          <t>2026-03-11</t>
        </is>
      </c>
      <c r="B4598" s="3" t="inlineStr">
        <is>
          <t>제이엔케이글로벌</t>
        </is>
      </c>
      <c r="C4598" s="2" t="inlineStr">
        <is>
          <t>코스닥</t>
        </is>
      </c>
      <c r="D4598" s="2" t="inlineStr">
        <is>
          <t>126880</t>
        </is>
      </c>
      <c r="E4598" s="3" t="inlineStr">
        <is>
          <t>[첨부정정]의결권대리행사권유참고서류</t>
        </is>
      </c>
      <c r="F4598" s="3" t="inlineStr">
        <is>
          <t>제이엔케이글로벌</t>
        </is>
      </c>
      <c r="G4598" s="2" t="inlineStr">
        <is>
          <t>20260311003637</t>
        </is>
      </c>
      <c r="H4598" s="8">
        <f>HYPERLINK("https://dart.fss.or.kr/dsaf001/main.do?rcpNo=20260311003637", "공시열람")</f>
        <v/>
      </c>
    </row>
    <row r="4599">
      <c r="A4599" s="2" t="inlineStr">
        <is>
          <t>2026-03-11</t>
        </is>
      </c>
      <c r="B4599" s="3" t="inlineStr">
        <is>
          <t>대성에너지</t>
        </is>
      </c>
      <c r="C4599" s="2" t="inlineStr">
        <is>
          <t>코스피</t>
        </is>
      </c>
      <c r="D4599" s="2" t="inlineStr">
        <is>
          <t>117580</t>
        </is>
      </c>
      <c r="E4599" s="3" t="inlineStr">
        <is>
          <t>의결권대리행사권유참고서류</t>
        </is>
      </c>
      <c r="F4599" s="3" t="inlineStr">
        <is>
          <t>대성에너지</t>
        </is>
      </c>
      <c r="G4599" s="2" t="inlineStr">
        <is>
          <t>20260311003636</t>
        </is>
      </c>
      <c r="H4599" s="8">
        <f>HYPERLINK("https://dart.fss.or.kr/dsaf001/main.do?rcpNo=20260311003636", "공시열람")</f>
        <v/>
      </c>
    </row>
    <row r="4600">
      <c r="A4600" s="2" t="inlineStr">
        <is>
          <t>2026-03-11</t>
        </is>
      </c>
      <c r="B4600" s="3" t="inlineStr">
        <is>
          <t>대모</t>
        </is>
      </c>
      <c r="C4600" s="2" t="inlineStr">
        <is>
          <t>코스닥</t>
        </is>
      </c>
      <c r="D4600" s="2" t="inlineStr">
        <is>
          <t>317850</t>
        </is>
      </c>
      <c r="E4600" s="3" t="inlineStr">
        <is>
          <t xml:space="preserve">현금ㆍ현물배당결정              </t>
        </is>
      </c>
      <c r="F4600" s="3" t="inlineStr">
        <is>
          <t>대모</t>
        </is>
      </c>
      <c r="G4600" s="2" t="inlineStr">
        <is>
          <t>20260311900749</t>
        </is>
      </c>
      <c r="H4600" s="8">
        <f>HYPERLINK("https://dart.fss.or.kr/dsaf001/main.do?rcpNo=20260311900749", "공시열람")</f>
        <v/>
      </c>
    </row>
    <row r="4601">
      <c r="A4601" s="2" t="inlineStr">
        <is>
          <t>2026-03-11</t>
        </is>
      </c>
      <c r="B4601" s="3" t="inlineStr">
        <is>
          <t>현대차증권</t>
        </is>
      </c>
      <c r="C4601" s="2" t="inlineStr">
        <is>
          <t>코스피</t>
        </is>
      </c>
      <c r="D4601" s="2" t="inlineStr">
        <is>
          <t>001500</t>
        </is>
      </c>
      <c r="E4601" s="3" t="inlineStr">
        <is>
          <t>투자설명서(일괄신고)</t>
        </is>
      </c>
      <c r="F4601" s="3" t="inlineStr">
        <is>
          <t>현대차증권</t>
        </is>
      </c>
      <c r="G4601" s="2" t="inlineStr">
        <is>
          <t>20260311003635</t>
        </is>
      </c>
      <c r="H4601" s="8">
        <f>HYPERLINK("https://dart.fss.or.kr/dsaf001/main.do?rcpNo=20260311003635", "공시열람")</f>
        <v/>
      </c>
    </row>
    <row r="4602">
      <c r="A4602" s="2" t="inlineStr">
        <is>
          <t>2026-03-11</t>
        </is>
      </c>
      <c r="B4602" s="3" t="inlineStr">
        <is>
          <t>만호제강</t>
        </is>
      </c>
      <c r="C4602" s="2" t="inlineStr">
        <is>
          <t>코스피</t>
        </is>
      </c>
      <c r="D4602" s="2" t="inlineStr">
        <is>
          <t>001080</t>
        </is>
      </c>
      <c r="E4602" s="3" t="inlineStr">
        <is>
          <t xml:space="preserve">자산재평가결과(자율공시)              </t>
        </is>
      </c>
      <c r="F4602" s="3" t="inlineStr">
        <is>
          <t>만호제강</t>
        </is>
      </c>
      <c r="G4602" s="2" t="inlineStr">
        <is>
          <t>20260311800743</t>
        </is>
      </c>
      <c r="H4602" s="8">
        <f>HYPERLINK("https://dart.fss.or.kr/dsaf001/main.do?rcpNo=20260311800743", "공시열람")</f>
        <v/>
      </c>
    </row>
    <row r="4603">
      <c r="A4603" s="2" t="inlineStr">
        <is>
          <t>2026-03-11</t>
        </is>
      </c>
      <c r="B4603" s="3" t="inlineStr">
        <is>
          <t>지엘팜텍</t>
        </is>
      </c>
      <c r="C4603" s="2" t="inlineStr">
        <is>
          <t>코스닥</t>
        </is>
      </c>
      <c r="D4603" s="2" t="inlineStr">
        <is>
          <t>204840</t>
        </is>
      </c>
      <c r="E4603" s="3" t="inlineStr">
        <is>
          <t>의결권대리행사권유참고서류</t>
        </is>
      </c>
      <c r="F4603" s="3" t="inlineStr">
        <is>
          <t>지엘팜텍</t>
        </is>
      </c>
      <c r="G4603" s="2" t="inlineStr">
        <is>
          <t>20260311003630</t>
        </is>
      </c>
      <c r="H4603" s="8">
        <f>HYPERLINK("https://dart.fss.or.kr/dsaf001/main.do?rcpNo=20260311003630", "공시열람")</f>
        <v/>
      </c>
    </row>
    <row r="4604">
      <c r="A4604" s="2" t="inlineStr">
        <is>
          <t>2026-03-11</t>
        </is>
      </c>
      <c r="B4604" s="3" t="inlineStr">
        <is>
          <t>싸이맥스</t>
        </is>
      </c>
      <c r="C4604" s="2" t="inlineStr">
        <is>
          <t>코스닥</t>
        </is>
      </c>
      <c r="D4604" s="2" t="inlineStr">
        <is>
          <t>160980</t>
        </is>
      </c>
      <c r="E4604" s="3" t="inlineStr">
        <is>
          <t xml:space="preserve">현금ㆍ현물배당결정              </t>
        </is>
      </c>
      <c r="F4604" s="3" t="inlineStr">
        <is>
          <t>싸이맥스</t>
        </is>
      </c>
      <c r="G4604" s="2" t="inlineStr">
        <is>
          <t>20260311900712</t>
        </is>
      </c>
      <c r="H4604" s="8">
        <f>HYPERLINK("https://dart.fss.or.kr/dsaf001/main.do?rcpNo=20260311900712", "공시열람")</f>
        <v/>
      </c>
    </row>
    <row r="4605">
      <c r="A4605" s="2" t="inlineStr">
        <is>
          <t>2026-03-11 (정정: 2026-06-08)</t>
        </is>
      </c>
      <c r="B4605" s="3" t="inlineStr">
        <is>
          <t>뉴인텍</t>
        </is>
      </c>
      <c r="C4605" s="2" t="inlineStr">
        <is>
          <t>코스닥</t>
        </is>
      </c>
      <c r="D4605" s="2" t="inlineStr">
        <is>
          <t>012340</t>
        </is>
      </c>
      <c r="E4605" s="3" t="inlineStr">
        <is>
          <t>매출액또는손익구조30%(대규모법인은15%)이상변동               (정정: 20260520) (정정: 20260608)</t>
        </is>
      </c>
      <c r="F4605" s="3" t="inlineStr">
        <is>
          <t>뉴인텍</t>
        </is>
      </c>
      <c r="G4605" s="2" t="inlineStr">
        <is>
          <t>20260608000251</t>
        </is>
      </c>
      <c r="H4605" s="8">
        <f>HYPERLINK("https://dart.fss.or.kr/dsaf001/main.do?rcpNo=20260608000251", "공시열람")</f>
        <v/>
      </c>
    </row>
    <row r="4606">
      <c r="A4606" s="2" t="inlineStr">
        <is>
          <t>2026-03-11</t>
        </is>
      </c>
      <c r="B4606" s="3" t="inlineStr">
        <is>
          <t>아이빔테크놀로지</t>
        </is>
      </c>
      <c r="C4606" s="2" t="inlineStr">
        <is>
          <t>코스닥</t>
        </is>
      </c>
      <c r="D4606" s="2" t="inlineStr">
        <is>
          <t>460470</t>
        </is>
      </c>
      <c r="E4606" s="3" t="inlineStr">
        <is>
          <t>의결권대리행사권유참고서류</t>
        </is>
      </c>
      <c r="F4606" s="3" t="inlineStr">
        <is>
          <t>아이빔테크놀로지</t>
        </is>
      </c>
      <c r="G4606" s="2" t="inlineStr">
        <is>
          <t>20260311003627</t>
        </is>
      </c>
      <c r="H4606" s="8">
        <f>HYPERLINK("https://dart.fss.or.kr/dsaf001/main.do?rcpNo=20260311003627", "공시열람")</f>
        <v/>
      </c>
    </row>
    <row r="4607">
      <c r="A4607" s="2" t="inlineStr">
        <is>
          <t>2026-03-11 (정정: 2026-03-11)</t>
        </is>
      </c>
      <c r="B4607" s="3" t="inlineStr">
        <is>
          <t>바디텍메드</t>
        </is>
      </c>
      <c r="C4607" s="2" t="inlineStr">
        <is>
          <t>코스닥</t>
        </is>
      </c>
      <c r="D4607" s="2" t="inlineStr">
        <is>
          <t>206640</t>
        </is>
      </c>
      <c r="E4607" s="3" t="inlineStr">
        <is>
          <t>의결권대리행사권유참고서류 (정정: 20260311)</t>
        </is>
      </c>
      <c r="F4607" s="3" t="inlineStr">
        <is>
          <t>바디텍메드</t>
        </is>
      </c>
      <c r="G4607" s="2" t="inlineStr">
        <is>
          <t>20260311003612</t>
        </is>
      </c>
      <c r="H4607" s="8">
        <f>HYPERLINK("https://dart.fss.or.kr/dsaf001/main.do?rcpNo=20260311003612", "공시열람")</f>
        <v/>
      </c>
    </row>
    <row r="4608">
      <c r="A4608" s="2" t="inlineStr">
        <is>
          <t>2026-03-11</t>
        </is>
      </c>
      <c r="B4608" s="3" t="inlineStr">
        <is>
          <t>스모트로닉</t>
        </is>
      </c>
      <c r="C4608" s="2" t="inlineStr">
        <is>
          <t>코스닥</t>
        </is>
      </c>
      <c r="D4608" s="2" t="inlineStr">
        <is>
          <t>066590</t>
        </is>
      </c>
      <c r="E4608" s="3" t="inlineStr">
        <is>
          <t xml:space="preserve">감사보고서제출              </t>
        </is>
      </c>
      <c r="F4608" s="3" t="inlineStr">
        <is>
          <t>스모트로닉</t>
        </is>
      </c>
      <c r="G4608" s="2" t="inlineStr">
        <is>
          <t>20260311900699</t>
        </is>
      </c>
      <c r="H4608" s="8">
        <f>HYPERLINK("https://dart.fss.or.kr/dsaf001/main.do?rcpNo=20260311900699", "공시열람")</f>
        <v/>
      </c>
    </row>
    <row r="4609">
      <c r="A4609" s="2" t="inlineStr">
        <is>
          <t>2026-03-11</t>
        </is>
      </c>
      <c r="B4609" s="3" t="inlineStr">
        <is>
          <t>선바이오</t>
        </is>
      </c>
      <c r="C4609" s="2" t="inlineStr">
        <is>
          <t>코스닥</t>
        </is>
      </c>
      <c r="D4609" s="2" t="inlineStr">
        <is>
          <t>067370</t>
        </is>
      </c>
      <c r="E4609" s="3" t="inlineStr">
        <is>
          <t>임원ㆍ주요주주특정증권등소유상황보고서</t>
        </is>
      </c>
      <c r="F4609" s="3" t="inlineStr">
        <is>
          <t>노광</t>
        </is>
      </c>
      <c r="G4609" s="2" t="inlineStr">
        <is>
          <t>20260311003620</t>
        </is>
      </c>
      <c r="H4609" s="8">
        <f>HYPERLINK("https://dart.fss.or.kr/dsaf001/main.do?rcpNo=20260311003620", "공시열람")</f>
        <v/>
      </c>
    </row>
    <row r="4610">
      <c r="A4610" s="2" t="inlineStr">
        <is>
          <t>2026-03-11</t>
        </is>
      </c>
      <c r="B4610" s="3" t="inlineStr">
        <is>
          <t>서산</t>
        </is>
      </c>
      <c r="C4610" s="2" t="inlineStr">
        <is>
          <t>코스닥</t>
        </is>
      </c>
      <c r="D4610" s="2" t="inlineStr">
        <is>
          <t>079650</t>
        </is>
      </c>
      <c r="E4610" s="3" t="inlineStr">
        <is>
          <t>의결권대리행사권유참고서류</t>
        </is>
      </c>
      <c r="F4610" s="3" t="inlineStr">
        <is>
          <t>서산</t>
        </is>
      </c>
      <c r="G4610" s="2" t="inlineStr">
        <is>
          <t>20260311003617</t>
        </is>
      </c>
      <c r="H4610" s="8">
        <f>HYPERLINK("https://dart.fss.or.kr/dsaf001/main.do?rcpNo=20260311003617", "공시열람")</f>
        <v/>
      </c>
    </row>
    <row r="4611">
      <c r="A4611" s="2" t="inlineStr">
        <is>
          <t>2026-03-11</t>
        </is>
      </c>
      <c r="B4611" s="3" t="inlineStr">
        <is>
          <t>KB제31호스팩</t>
        </is>
      </c>
      <c r="C4611" s="2" t="inlineStr">
        <is>
          <t>코스닥</t>
        </is>
      </c>
      <c r="D4611" s="2" t="inlineStr">
        <is>
          <t>492220</t>
        </is>
      </c>
      <c r="E4611" s="3" t="inlineStr">
        <is>
          <t xml:space="preserve">감사보고서제출              </t>
        </is>
      </c>
      <c r="F4611" s="3" t="inlineStr">
        <is>
          <t>KB제31호스팩</t>
        </is>
      </c>
      <c r="G4611" s="2" t="inlineStr">
        <is>
          <t>20260311900709</t>
        </is>
      </c>
      <c r="H4611" s="8">
        <f>HYPERLINK("https://dart.fss.or.kr/dsaf001/main.do?rcpNo=20260311900709", "공시열람")</f>
        <v/>
      </c>
    </row>
    <row r="4612">
      <c r="A4612" s="2" t="inlineStr">
        <is>
          <t>2026-03-11</t>
        </is>
      </c>
      <c r="B4612" s="3" t="inlineStr">
        <is>
          <t>현대차증권</t>
        </is>
      </c>
      <c r="C4612" s="2" t="inlineStr">
        <is>
          <t>코스피</t>
        </is>
      </c>
      <c r="D4612" s="2" t="inlineStr">
        <is>
          <t>001500</t>
        </is>
      </c>
      <c r="E4612" s="3" t="inlineStr">
        <is>
          <t>일괄신고추가서류(파생결합사채-주가연계파생결합사채)</t>
        </is>
      </c>
      <c r="F4612" s="3" t="inlineStr">
        <is>
          <t>현대차증권</t>
        </is>
      </c>
      <c r="G4612" s="2" t="inlineStr">
        <is>
          <t>20260311003616</t>
        </is>
      </c>
      <c r="H4612" s="8">
        <f>HYPERLINK("https://dart.fss.or.kr/dsaf001/main.do?rcpNo=20260311003616", "공시열람")</f>
        <v/>
      </c>
    </row>
    <row r="4613">
      <c r="A4613" s="2" t="inlineStr">
        <is>
          <t>2026-03-11</t>
        </is>
      </c>
      <c r="B4613" s="3" t="inlineStr">
        <is>
          <t>엑셈</t>
        </is>
      </c>
      <c r="C4613" s="2" t="inlineStr">
        <is>
          <t>코스닥</t>
        </is>
      </c>
      <c r="D4613" s="2" t="inlineStr">
        <is>
          <t>205100</t>
        </is>
      </c>
      <c r="E4613" s="3" t="inlineStr">
        <is>
          <t>의결권대리행사권유참고서류</t>
        </is>
      </c>
      <c r="F4613" s="3" t="inlineStr">
        <is>
          <t>엑셈</t>
        </is>
      </c>
      <c r="G4613" s="2" t="inlineStr">
        <is>
          <t>20260311003614</t>
        </is>
      </c>
      <c r="H4613" s="8">
        <f>HYPERLINK("https://dart.fss.or.kr/dsaf001/main.do?rcpNo=20260311003614", "공시열람")</f>
        <v/>
      </c>
    </row>
    <row r="4614">
      <c r="A4614" s="2" t="inlineStr">
        <is>
          <t>2026-03-11</t>
        </is>
      </c>
      <c r="B4614" s="3" t="inlineStr">
        <is>
          <t>제이엔케이글로벌</t>
        </is>
      </c>
      <c r="C4614" s="2" t="inlineStr">
        <is>
          <t>코스닥</t>
        </is>
      </c>
      <c r="D4614" s="2" t="inlineStr">
        <is>
          <t>126880</t>
        </is>
      </c>
      <c r="E4614" s="3" t="inlineStr">
        <is>
          <t>[첨부정정]의결권대리행사권유참고서류</t>
        </is>
      </c>
      <c r="F4614" s="3" t="inlineStr">
        <is>
          <t>제이엔케이글로벌</t>
        </is>
      </c>
      <c r="G4614" s="2" t="inlineStr">
        <is>
          <t>20260311003611</t>
        </is>
      </c>
      <c r="H4614" s="8">
        <f>HYPERLINK("https://dart.fss.or.kr/dsaf001/main.do?rcpNo=20260311003611", "공시열람")</f>
        <v/>
      </c>
    </row>
    <row r="4615">
      <c r="A4615" s="2" t="inlineStr">
        <is>
          <t>2026-03-11</t>
        </is>
      </c>
      <c r="B4615" s="3" t="inlineStr">
        <is>
          <t>모비스</t>
        </is>
      </c>
      <c r="C4615" s="2" t="inlineStr">
        <is>
          <t>코스닥</t>
        </is>
      </c>
      <c r="D4615" s="2" t="inlineStr">
        <is>
          <t>250060</t>
        </is>
      </c>
      <c r="E4615" s="3" t="inlineStr">
        <is>
          <t>투자판단관련주요경영사항              (최대주주 보유 주식 가압류집행취소)</t>
        </is>
      </c>
      <c r="F4615" s="3" t="inlineStr">
        <is>
          <t>모비스</t>
        </is>
      </c>
      <c r="G4615" s="2" t="inlineStr">
        <is>
          <t>20260311900614</t>
        </is>
      </c>
      <c r="H4615" s="8">
        <f>HYPERLINK("https://dart.fss.or.kr/dsaf001/main.do?rcpNo=20260311900614", "공시열람")</f>
        <v/>
      </c>
    </row>
    <row r="4616">
      <c r="A4616" s="2" t="inlineStr">
        <is>
          <t>2026-03-11</t>
        </is>
      </c>
      <c r="B4616" s="3" t="inlineStr">
        <is>
          <t>네패스아크</t>
        </is>
      </c>
      <c r="C4616" s="2" t="inlineStr">
        <is>
          <t>코스닥</t>
        </is>
      </c>
      <c r="D4616" s="2" t="inlineStr">
        <is>
          <t>330860</t>
        </is>
      </c>
      <c r="E4616" s="3" t="inlineStr">
        <is>
          <t>의결권대리행사권유참고서류</t>
        </is>
      </c>
      <c r="F4616" s="3" t="inlineStr">
        <is>
          <t>네패스아크</t>
        </is>
      </c>
      <c r="G4616" s="2" t="inlineStr">
        <is>
          <t>20260311003609</t>
        </is>
      </c>
      <c r="H4616" s="8">
        <f>HYPERLINK("https://dart.fss.or.kr/dsaf001/main.do?rcpNo=20260311003609", "공시열람")</f>
        <v/>
      </c>
    </row>
    <row r="4617">
      <c r="A4617" s="2" t="inlineStr">
        <is>
          <t>2026-03-11</t>
        </is>
      </c>
      <c r="B4617" s="3" t="inlineStr">
        <is>
          <t>LB인베스트먼트</t>
        </is>
      </c>
      <c r="C4617" s="2" t="inlineStr">
        <is>
          <t>코스닥</t>
        </is>
      </c>
      <c r="D4617" s="2" t="inlineStr">
        <is>
          <t>309960</t>
        </is>
      </c>
      <c r="E4617" s="3" t="inlineStr">
        <is>
          <t>의결권대리행사권유참고서류</t>
        </is>
      </c>
      <c r="F4617" s="3" t="inlineStr">
        <is>
          <t>LB인베스트먼트</t>
        </is>
      </c>
      <c r="G4617" s="2" t="inlineStr">
        <is>
          <t>20260311003606</t>
        </is>
      </c>
      <c r="H4617" s="8">
        <f>HYPERLINK("https://dart.fss.or.kr/dsaf001/main.do?rcpNo=20260311003606", "공시열람")</f>
        <v/>
      </c>
    </row>
    <row r="4618">
      <c r="A4618" s="2" t="inlineStr">
        <is>
          <t>2026-03-11</t>
        </is>
      </c>
      <c r="B4618" s="3" t="inlineStr">
        <is>
          <t>큐알티</t>
        </is>
      </c>
      <c r="C4618" s="2" t="inlineStr">
        <is>
          <t>코스닥</t>
        </is>
      </c>
      <c r="D4618" s="2" t="inlineStr">
        <is>
          <t>405100</t>
        </is>
      </c>
      <c r="E4618" s="3" t="inlineStr">
        <is>
          <t xml:space="preserve">현금ㆍ현물배당결정              </t>
        </is>
      </c>
      <c r="F4618" s="3" t="inlineStr">
        <is>
          <t>큐알티</t>
        </is>
      </c>
      <c r="G4618" s="2" t="inlineStr">
        <is>
          <t>20260311900706</t>
        </is>
      </c>
      <c r="H4618" s="8">
        <f>HYPERLINK("https://dart.fss.or.kr/dsaf001/main.do?rcpNo=20260311900706", "공시열람")</f>
        <v/>
      </c>
    </row>
    <row r="4619">
      <c r="A4619" s="2" t="inlineStr">
        <is>
          <t>2026-03-11</t>
        </is>
      </c>
      <c r="B4619" s="3" t="inlineStr">
        <is>
          <t>한국항공우주</t>
        </is>
      </c>
      <c r="C4619" s="2" t="inlineStr">
        <is>
          <t>코스피</t>
        </is>
      </c>
      <c r="D4619" s="2" t="inlineStr">
        <is>
          <t>047810</t>
        </is>
      </c>
      <c r="E4619" s="3" t="inlineStr">
        <is>
          <t xml:space="preserve">기업설명회(IR)개최(안내공시)              </t>
        </is>
      </c>
      <c r="F4619" s="3" t="inlineStr">
        <is>
          <t>한국항공우주</t>
        </is>
      </c>
      <c r="G4619" s="2" t="inlineStr">
        <is>
          <t>20260311800714</t>
        </is>
      </c>
      <c r="H4619" s="8">
        <f>HYPERLINK("https://dart.fss.or.kr/dsaf001/main.do?rcpNo=20260311800714", "공시열람")</f>
        <v/>
      </c>
    </row>
    <row r="4620">
      <c r="A4620" s="2" t="inlineStr">
        <is>
          <t>2026-03-11</t>
        </is>
      </c>
      <c r="B4620" s="3" t="inlineStr">
        <is>
          <t>SG&amp;G</t>
        </is>
      </c>
      <c r="C4620" s="2" t="inlineStr">
        <is>
          <t>코스닥</t>
        </is>
      </c>
      <c r="D4620" s="2" t="inlineStr">
        <is>
          <t>040610</t>
        </is>
      </c>
      <c r="E4620" s="3" t="inlineStr">
        <is>
          <t xml:space="preserve">주식병합결정              </t>
        </is>
      </c>
      <c r="F4620" s="3" t="inlineStr">
        <is>
          <t>SG&amp;G</t>
        </is>
      </c>
      <c r="G4620" s="2" t="inlineStr">
        <is>
          <t>20260311900713</t>
        </is>
      </c>
      <c r="H4620" s="8">
        <f>HYPERLINK("https://dart.fss.or.kr/dsaf001/main.do?rcpNo=20260311900713", "공시열람")</f>
        <v/>
      </c>
    </row>
    <row r="4621">
      <c r="A4621" s="2" t="inlineStr">
        <is>
          <t>2026-03-11</t>
        </is>
      </c>
      <c r="B4621" s="3" t="inlineStr">
        <is>
          <t>디티앤씨</t>
        </is>
      </c>
      <c r="C4621" s="2" t="inlineStr">
        <is>
          <t>코스닥</t>
        </is>
      </c>
      <c r="D4621" s="2" t="inlineStr">
        <is>
          <t>187220</t>
        </is>
      </c>
      <c r="E4621" s="3" t="inlineStr">
        <is>
          <t>의결권대리행사권유참고서류</t>
        </is>
      </c>
      <c r="F4621" s="3" t="inlineStr">
        <is>
          <t>디티앤씨</t>
        </is>
      </c>
      <c r="G4621" s="2" t="inlineStr">
        <is>
          <t>20260311003603</t>
        </is>
      </c>
      <c r="H4621" s="8">
        <f>HYPERLINK("https://dart.fss.or.kr/dsaf001/main.do?rcpNo=20260311003603", "공시열람")</f>
        <v/>
      </c>
    </row>
    <row r="4622">
      <c r="A4622" s="2" t="inlineStr">
        <is>
          <t>2026-03-11</t>
        </is>
      </c>
      <c r="B4622" s="3" t="inlineStr">
        <is>
          <t>3S</t>
        </is>
      </c>
      <c r="C4622" s="2" t="inlineStr">
        <is>
          <t>코스닥</t>
        </is>
      </c>
      <c r="D4622" s="2" t="inlineStr">
        <is>
          <t>060310</t>
        </is>
      </c>
      <c r="E4622" s="3" t="inlineStr">
        <is>
          <t xml:space="preserve">기업설명회(IR)개최              </t>
        </is>
      </c>
      <c r="F4622" s="3" t="inlineStr">
        <is>
          <t>3S</t>
        </is>
      </c>
      <c r="G4622" s="2" t="inlineStr">
        <is>
          <t>20260311900702</t>
        </is>
      </c>
      <c r="H4622" s="8">
        <f>HYPERLINK("https://dart.fss.or.kr/dsaf001/main.do?rcpNo=20260311900702", "공시열람")</f>
        <v/>
      </c>
    </row>
    <row r="4623">
      <c r="A4623" s="2" t="inlineStr">
        <is>
          <t>2026-03-11</t>
        </is>
      </c>
      <c r="B4623" s="3" t="inlineStr">
        <is>
          <t>웨이버스</t>
        </is>
      </c>
      <c r="C4623" s="2" t="inlineStr">
        <is>
          <t>코스닥</t>
        </is>
      </c>
      <c r="D4623" s="2" t="inlineStr">
        <is>
          <t>336060</t>
        </is>
      </c>
      <c r="E4623" s="3" t="inlineStr">
        <is>
          <t>임원ㆍ주요주주특정증권등소유상황보고서</t>
        </is>
      </c>
      <c r="F4623" s="3" t="inlineStr">
        <is>
          <t>김학성</t>
        </is>
      </c>
      <c r="G4623" s="2" t="inlineStr">
        <is>
          <t>20260311003600</t>
        </is>
      </c>
      <c r="H4623" s="8">
        <f>HYPERLINK("https://dart.fss.or.kr/dsaf001/main.do?rcpNo=20260311003600", "공시열람")</f>
        <v/>
      </c>
    </row>
    <row r="4624">
      <c r="A4624" s="2" t="inlineStr">
        <is>
          <t>2026-03-11</t>
        </is>
      </c>
      <c r="B4624" s="3" t="inlineStr">
        <is>
          <t>코이즈</t>
        </is>
      </c>
      <c r="C4624" s="2" t="inlineStr">
        <is>
          <t>코스닥</t>
        </is>
      </c>
      <c r="D4624" s="2" t="inlineStr">
        <is>
          <t>121850</t>
        </is>
      </c>
      <c r="E4624" s="3" t="inlineStr">
        <is>
          <t>의결권대리행사권유참고서류</t>
        </is>
      </c>
      <c r="F4624" s="3" t="inlineStr">
        <is>
          <t>코이즈</t>
        </is>
      </c>
      <c r="G4624" s="2" t="inlineStr">
        <is>
          <t>20260311003591</t>
        </is>
      </c>
      <c r="H4624" s="8">
        <f>HYPERLINK("https://dart.fss.or.kr/dsaf001/main.do?rcpNo=20260311003591", "공시열람")</f>
        <v/>
      </c>
    </row>
    <row r="4625">
      <c r="A4625" s="2" t="inlineStr">
        <is>
          <t>2026-03-11</t>
        </is>
      </c>
      <c r="B4625" s="3" t="inlineStr">
        <is>
          <t>원림</t>
        </is>
      </c>
      <c r="C4625" s="2" t="inlineStr">
        <is>
          <t>코스피</t>
        </is>
      </c>
      <c r="D4625" s="2" t="inlineStr">
        <is>
          <t>005820</t>
        </is>
      </c>
      <c r="E4625" s="3" t="inlineStr">
        <is>
          <t>의결권대리행사권유참고서류</t>
        </is>
      </c>
      <c r="F4625" s="3" t="inlineStr">
        <is>
          <t>원림</t>
        </is>
      </c>
      <c r="G4625" s="2" t="inlineStr">
        <is>
          <t>20260311003590</t>
        </is>
      </c>
      <c r="H4625" s="8">
        <f>HYPERLINK("https://dart.fss.or.kr/dsaf001/main.do?rcpNo=20260311003590", "공시열람")</f>
        <v/>
      </c>
    </row>
    <row r="4626">
      <c r="A4626" s="2" t="inlineStr">
        <is>
          <t>2026-03-11 (정정: 2026-03-19)</t>
        </is>
      </c>
      <c r="B4626" s="3" t="inlineStr">
        <is>
          <t>세보엠이씨</t>
        </is>
      </c>
      <c r="C4626" s="2" t="inlineStr">
        <is>
          <t>코스닥</t>
        </is>
      </c>
      <c r="D4626" s="2" t="inlineStr">
        <is>
          <t>011560</t>
        </is>
      </c>
      <c r="E4626" s="3" t="inlineStr">
        <is>
          <t>의결권대리행사권유참고서류 (정정: 20260319)</t>
        </is>
      </c>
      <c r="F4626" s="3" t="inlineStr">
        <is>
          <t>세보엠이씨</t>
        </is>
      </c>
      <c r="G4626" s="2" t="inlineStr">
        <is>
          <t>20260318001710</t>
        </is>
      </c>
      <c r="H4626" s="8">
        <f>HYPERLINK("https://dart.fss.or.kr/dsaf001/main.do?rcpNo=20260318001710", "공시열람")</f>
        <v/>
      </c>
    </row>
    <row r="4627">
      <c r="A4627" s="2" t="inlineStr">
        <is>
          <t>2026-03-11</t>
        </is>
      </c>
      <c r="B4627" s="3" t="inlineStr">
        <is>
          <t>아난티</t>
        </is>
      </c>
      <c r="C4627" s="2" t="inlineStr">
        <is>
          <t>코스닥</t>
        </is>
      </c>
      <c r="D4627" s="2" t="inlineStr">
        <is>
          <t>025980</t>
        </is>
      </c>
      <c r="E4627" s="3" t="inlineStr">
        <is>
          <t>의결권대리행사권유참고서류</t>
        </is>
      </c>
      <c r="F4627" s="3" t="inlineStr">
        <is>
          <t>아난티</t>
        </is>
      </c>
      <c r="G4627" s="2" t="inlineStr">
        <is>
          <t>20260311003587</t>
        </is>
      </c>
      <c r="H4627" s="8">
        <f>HYPERLINK("https://dart.fss.or.kr/dsaf001/main.do?rcpNo=20260311003587", "공시열람")</f>
        <v/>
      </c>
    </row>
    <row r="4628">
      <c r="A4628" s="2" t="inlineStr">
        <is>
          <t>2026-03-11</t>
        </is>
      </c>
      <c r="B4628" s="3" t="inlineStr">
        <is>
          <t>미래에셋비전스팩8호</t>
        </is>
      </c>
      <c r="C4628" s="2" t="inlineStr">
        <is>
          <t>코스닥</t>
        </is>
      </c>
      <c r="D4628" s="2" t="inlineStr">
        <is>
          <t>0093G0</t>
        </is>
      </c>
      <c r="E4628" s="3" t="inlineStr">
        <is>
          <t xml:space="preserve">감사보고서제출              </t>
        </is>
      </c>
      <c r="F4628" s="3" t="inlineStr">
        <is>
          <t>미래에셋비전스팩8호</t>
        </is>
      </c>
      <c r="G4628" s="2" t="inlineStr">
        <is>
          <t>20260311900602</t>
        </is>
      </c>
      <c r="H4628" s="8">
        <f>HYPERLINK("https://dart.fss.or.kr/dsaf001/main.do?rcpNo=20260311900602", "공시열람")</f>
        <v/>
      </c>
    </row>
    <row r="4629">
      <c r="A4629" s="2" t="inlineStr">
        <is>
          <t>2026-03-11</t>
        </is>
      </c>
      <c r="B4629" s="3" t="inlineStr">
        <is>
          <t>대창</t>
        </is>
      </c>
      <c r="C4629" s="2" t="inlineStr">
        <is>
          <t>코스피</t>
        </is>
      </c>
      <c r="D4629" s="2" t="inlineStr">
        <is>
          <t>012800</t>
        </is>
      </c>
      <c r="E4629" s="3" t="inlineStr">
        <is>
          <t>의결권대리행사권유참고서류</t>
        </is>
      </c>
      <c r="F4629" s="3" t="inlineStr">
        <is>
          <t>대창</t>
        </is>
      </c>
      <c r="G4629" s="2" t="inlineStr">
        <is>
          <t>20260311003585</t>
        </is>
      </c>
      <c r="H4629" s="8">
        <f>HYPERLINK("https://dart.fss.or.kr/dsaf001/main.do?rcpNo=20260311003585", "공시열람")</f>
        <v/>
      </c>
    </row>
    <row r="4630">
      <c r="A4630" s="2" t="inlineStr">
        <is>
          <t>2026-03-11</t>
        </is>
      </c>
      <c r="B4630" s="3" t="inlineStr">
        <is>
          <t>하이트진로</t>
        </is>
      </c>
      <c r="C4630" s="2" t="inlineStr">
        <is>
          <t>코스피</t>
        </is>
      </c>
      <c r="D4630" s="2" t="inlineStr">
        <is>
          <t>000080</t>
        </is>
      </c>
      <c r="E4630" s="3" t="inlineStr">
        <is>
          <t>의결권대리행사권유참고서류</t>
        </is>
      </c>
      <c r="F4630" s="3" t="inlineStr">
        <is>
          <t>하이트진로</t>
        </is>
      </c>
      <c r="G4630" s="2" t="inlineStr">
        <is>
          <t>20260311003580</t>
        </is>
      </c>
      <c r="H4630" s="8">
        <f>HYPERLINK("https://dart.fss.or.kr/dsaf001/main.do?rcpNo=20260311003580", "공시열람")</f>
        <v/>
      </c>
    </row>
    <row r="4631">
      <c r="A4631" s="2" t="inlineStr">
        <is>
          <t>2026-03-11</t>
        </is>
      </c>
      <c r="B4631" s="3" t="inlineStr">
        <is>
          <t>경농</t>
        </is>
      </c>
      <c r="C4631" s="2" t="inlineStr">
        <is>
          <t>코스피</t>
        </is>
      </c>
      <c r="D4631" s="2" t="inlineStr">
        <is>
          <t>002100</t>
        </is>
      </c>
      <c r="E4631" s="3" t="inlineStr">
        <is>
          <t>의결권대리행사권유참고서류</t>
        </is>
      </c>
      <c r="F4631" s="3" t="inlineStr">
        <is>
          <t>경농</t>
        </is>
      </c>
      <c r="G4631" s="2" t="inlineStr">
        <is>
          <t>20260311003578</t>
        </is>
      </c>
      <c r="H4631" s="8">
        <f>HYPERLINK("https://dart.fss.or.kr/dsaf001/main.do?rcpNo=20260311003578", "공시열람")</f>
        <v/>
      </c>
    </row>
    <row r="4632">
      <c r="A4632" s="2" t="inlineStr">
        <is>
          <t>2026-03-11</t>
        </is>
      </c>
      <c r="B4632" s="3" t="inlineStr">
        <is>
          <t>삼일제약</t>
        </is>
      </c>
      <c r="C4632" s="2" t="inlineStr">
        <is>
          <t>코스피</t>
        </is>
      </c>
      <c r="D4632" s="2" t="inlineStr">
        <is>
          <t>000520</t>
        </is>
      </c>
      <c r="E4632" s="3" t="inlineStr">
        <is>
          <t>의결권대리행사권유참고서류</t>
        </is>
      </c>
      <c r="F4632" s="3" t="inlineStr">
        <is>
          <t>삼일제약</t>
        </is>
      </c>
      <c r="G4632" s="2" t="inlineStr">
        <is>
          <t>20260311003577</t>
        </is>
      </c>
      <c r="H4632" s="8">
        <f>HYPERLINK("https://dart.fss.or.kr/dsaf001/main.do?rcpNo=20260311003577", "공시열람")</f>
        <v/>
      </c>
    </row>
    <row r="4633">
      <c r="A4633" s="2" t="inlineStr">
        <is>
          <t>2026-03-11 (정정: 2026-03-11)</t>
        </is>
      </c>
      <c r="B4633" s="3" t="inlineStr">
        <is>
          <t>티움바이오</t>
        </is>
      </c>
      <c r="C4633" s="2" t="inlineStr">
        <is>
          <t>코스닥</t>
        </is>
      </c>
      <c r="D4633" s="2" t="inlineStr">
        <is>
          <t>321550</t>
        </is>
      </c>
      <c r="E4633" s="3" t="inlineStr">
        <is>
          <t>주식매수선택권부여에관한신고 (정정: 20260311) (정정: 20260311) (정정: 20260311)</t>
        </is>
      </c>
      <c r="F4633" s="3" t="inlineStr">
        <is>
          <t>티움바이오</t>
        </is>
      </c>
      <c r="G4633" s="2" t="inlineStr">
        <is>
          <t>20260311003522</t>
        </is>
      </c>
      <c r="H4633" s="8">
        <f>HYPERLINK("https://dart.fss.or.kr/dsaf001/main.do?rcpNo=20260311003522", "공시열람")</f>
        <v/>
      </c>
    </row>
    <row r="4634">
      <c r="A4634" s="2" t="inlineStr">
        <is>
          <t>2026-03-11</t>
        </is>
      </c>
      <c r="B4634" s="3" t="inlineStr">
        <is>
          <t>SK증권제11호스팩</t>
        </is>
      </c>
      <c r="C4634" s="2" t="inlineStr">
        <is>
          <t>코스닥</t>
        </is>
      </c>
      <c r="D4634" s="2" t="inlineStr">
        <is>
          <t>472230</t>
        </is>
      </c>
      <c r="E4634" s="3" t="inlineStr">
        <is>
          <t>의결권대리행사권유참고서류</t>
        </is>
      </c>
      <c r="F4634" s="3" t="inlineStr">
        <is>
          <t>SK증권제11호스팩</t>
        </is>
      </c>
      <c r="G4634" s="2" t="inlineStr">
        <is>
          <t>20260311003566</t>
        </is>
      </c>
      <c r="H4634" s="8">
        <f>HYPERLINK("https://dart.fss.or.kr/dsaf001/main.do?rcpNo=20260311003566", "공시열람")</f>
        <v/>
      </c>
    </row>
    <row r="4635">
      <c r="A4635" s="2" t="inlineStr">
        <is>
          <t>2026-03-11</t>
        </is>
      </c>
      <c r="B4635" s="3" t="inlineStr">
        <is>
          <t>일월지엠엘</t>
        </is>
      </c>
      <c r="C4635" s="2" t="inlineStr">
        <is>
          <t>코스닥</t>
        </is>
      </c>
      <c r="D4635" s="2" t="inlineStr">
        <is>
          <t>178780</t>
        </is>
      </c>
      <c r="E4635" s="3" t="inlineStr">
        <is>
          <t>의결권대리행사권유참고서류</t>
        </is>
      </c>
      <c r="F4635" s="3" t="inlineStr">
        <is>
          <t>일월지엠엘</t>
        </is>
      </c>
      <c r="G4635" s="2" t="inlineStr">
        <is>
          <t>20260311003565</t>
        </is>
      </c>
      <c r="H4635" s="8">
        <f>HYPERLINK("https://dart.fss.or.kr/dsaf001/main.do?rcpNo=20260311003565", "공시열람")</f>
        <v/>
      </c>
    </row>
    <row r="4636">
      <c r="A4636" s="2" t="inlineStr">
        <is>
          <t>2026-03-11</t>
        </is>
      </c>
      <c r="B4636" s="3" t="inlineStr">
        <is>
          <t>와이솔</t>
        </is>
      </c>
      <c r="C4636" s="2" t="inlineStr">
        <is>
          <t>코스닥</t>
        </is>
      </c>
      <c r="D4636" s="2" t="inlineStr">
        <is>
          <t>122990</t>
        </is>
      </c>
      <c r="E4636" s="3" t="inlineStr">
        <is>
          <t>의결권대리행사권유참고서류</t>
        </is>
      </c>
      <c r="F4636" s="3" t="inlineStr">
        <is>
          <t>와이솔</t>
        </is>
      </c>
      <c r="G4636" s="2" t="inlineStr">
        <is>
          <t>20260311003563</t>
        </is>
      </c>
      <c r="H4636" s="8">
        <f>HYPERLINK("https://dart.fss.or.kr/dsaf001/main.do?rcpNo=20260311003563", "공시열람")</f>
        <v/>
      </c>
    </row>
    <row r="4637">
      <c r="A4637" s="2" t="inlineStr">
        <is>
          <t>2026-03-11</t>
        </is>
      </c>
      <c r="B4637" s="3" t="inlineStr">
        <is>
          <t>SP삼화</t>
        </is>
      </c>
      <c r="C4637" s="2" t="inlineStr">
        <is>
          <t>코스피</t>
        </is>
      </c>
      <c r="D4637" s="2" t="inlineStr">
        <is>
          <t>000390</t>
        </is>
      </c>
      <c r="E4637" s="3" t="inlineStr">
        <is>
          <t>임원ㆍ주요주주특정증권등소유상황보고서</t>
        </is>
      </c>
      <c r="F4637" s="3" t="inlineStr">
        <is>
          <t>김원경</t>
        </is>
      </c>
      <c r="G4637" s="2" t="inlineStr">
        <is>
          <t>20260311003562</t>
        </is>
      </c>
      <c r="H4637" s="8">
        <f>HYPERLINK("https://dart.fss.or.kr/dsaf001/main.do?rcpNo=20260311003562", "공시열람")</f>
        <v/>
      </c>
    </row>
    <row r="4638">
      <c r="A4638" s="2" t="inlineStr">
        <is>
          <t>2026-03-11</t>
        </is>
      </c>
      <c r="B4638" s="3" t="inlineStr">
        <is>
          <t>우진비앤지</t>
        </is>
      </c>
      <c r="C4638" s="2" t="inlineStr">
        <is>
          <t>코스닥</t>
        </is>
      </c>
      <c r="D4638" s="2" t="inlineStr">
        <is>
          <t>018620</t>
        </is>
      </c>
      <c r="E4638" s="3" t="inlineStr">
        <is>
          <t xml:space="preserve">주식병합결정              </t>
        </is>
      </c>
      <c r="F4638" s="3" t="inlineStr">
        <is>
          <t>우진비앤지</t>
        </is>
      </c>
      <c r="G4638" s="2" t="inlineStr">
        <is>
          <t>20260311900646</t>
        </is>
      </c>
      <c r="H4638" s="8">
        <f>HYPERLINK("https://dart.fss.or.kr/dsaf001/main.do?rcpNo=20260311900646", "공시열람")</f>
        <v/>
      </c>
    </row>
    <row r="4639">
      <c r="A4639" s="2" t="inlineStr">
        <is>
          <t>2026-03-11</t>
        </is>
      </c>
      <c r="B4639" s="3" t="inlineStr">
        <is>
          <t>THE CUBE&amp;</t>
        </is>
      </c>
      <c r="C4639" s="2" t="inlineStr">
        <is>
          <t>코스닥</t>
        </is>
      </c>
      <c r="D4639" s="2" t="inlineStr">
        <is>
          <t>013720</t>
        </is>
      </c>
      <c r="E4639" s="3" t="inlineStr">
        <is>
          <t>기타경영사항(자율공시)              (자기사채(제11회 전환사채) 소각 결정의 건)</t>
        </is>
      </c>
      <c r="F4639" s="3" t="inlineStr">
        <is>
          <t>THE CUBE&amp;</t>
        </is>
      </c>
      <c r="G4639" s="2" t="inlineStr">
        <is>
          <t>20260311900606</t>
        </is>
      </c>
      <c r="H4639" s="8">
        <f>HYPERLINK("https://dart.fss.or.kr/dsaf001/main.do?rcpNo=20260311900606", "공시열람")</f>
        <v/>
      </c>
    </row>
    <row r="4640">
      <c r="A4640" s="2" t="inlineStr">
        <is>
          <t>2026-03-11</t>
        </is>
      </c>
      <c r="B4640" s="3" t="inlineStr">
        <is>
          <t>삼기에너지솔루션즈</t>
        </is>
      </c>
      <c r="C4640" s="2" t="inlineStr">
        <is>
          <t>코스닥</t>
        </is>
      </c>
      <c r="D4640" s="2" t="inlineStr">
        <is>
          <t>419050</t>
        </is>
      </c>
      <c r="E4640" s="3" t="inlineStr">
        <is>
          <t xml:space="preserve">매출액또는손익구조30%(대규모법인은15%)이상변동              </t>
        </is>
      </c>
      <c r="F4640" s="3" t="inlineStr">
        <is>
          <t>삼기에너지솔루션즈</t>
        </is>
      </c>
      <c r="G4640" s="2" t="inlineStr">
        <is>
          <t>20260311900603</t>
        </is>
      </c>
      <c r="H4640" s="8">
        <f>HYPERLINK("https://dart.fss.or.kr/dsaf001/main.do?rcpNo=20260311900603", "공시열람")</f>
        <v/>
      </c>
    </row>
    <row r="4641">
      <c r="A4641" s="2" t="inlineStr">
        <is>
          <t>2026-03-11</t>
        </is>
      </c>
      <c r="B4641" s="3" t="inlineStr">
        <is>
          <t>네패스아크</t>
        </is>
      </c>
      <c r="C4641" s="2" t="inlineStr">
        <is>
          <t>코스닥</t>
        </is>
      </c>
      <c r="D4641" s="2" t="inlineStr">
        <is>
          <t>330860</t>
        </is>
      </c>
      <c r="E4641" s="3" t="inlineStr">
        <is>
          <t xml:space="preserve">매출액또는손익구조30%(대규모법인은15%)이상변동              </t>
        </is>
      </c>
      <c r="F4641" s="3" t="inlineStr">
        <is>
          <t>네패스아크</t>
        </is>
      </c>
      <c r="G4641" s="2" t="inlineStr">
        <is>
          <t>20260311900612</t>
        </is>
      </c>
      <c r="H4641" s="8">
        <f>HYPERLINK("https://dart.fss.or.kr/dsaf001/main.do?rcpNo=20260311900612", "공시열람")</f>
        <v/>
      </c>
    </row>
    <row r="4642">
      <c r="A4642" s="2" t="inlineStr">
        <is>
          <t>2026-03-11</t>
        </is>
      </c>
      <c r="B4642" s="3" t="inlineStr">
        <is>
          <t>삼기</t>
        </is>
      </c>
      <c r="C4642" s="2" t="inlineStr">
        <is>
          <t>코스닥</t>
        </is>
      </c>
      <c r="D4642" s="2" t="inlineStr">
        <is>
          <t>122350</t>
        </is>
      </c>
      <c r="E4642" s="3" t="inlineStr">
        <is>
          <t xml:space="preserve">매출액또는손익구조30%(대규모법인은15%)이상변동              </t>
        </is>
      </c>
      <c r="F4642" s="3" t="inlineStr">
        <is>
          <t>삼기</t>
        </is>
      </c>
      <c r="G4642" s="2" t="inlineStr">
        <is>
          <t>20260311900619</t>
        </is>
      </c>
      <c r="H4642" s="8">
        <f>HYPERLINK("https://dart.fss.or.kr/dsaf001/main.do?rcpNo=20260311900619", "공시열람")</f>
        <v/>
      </c>
    </row>
    <row r="4643">
      <c r="A4643" s="2" t="inlineStr">
        <is>
          <t>2026-03-11</t>
        </is>
      </c>
      <c r="B4643" s="3" t="inlineStr">
        <is>
          <t>디비금융제13호스팩</t>
        </is>
      </c>
      <c r="C4643" s="2" t="inlineStr">
        <is>
          <t>코스닥</t>
        </is>
      </c>
      <c r="D4643" s="2" t="inlineStr">
        <is>
          <t>489730</t>
        </is>
      </c>
      <c r="E4643" s="3" t="inlineStr">
        <is>
          <t>의결권대리행사권유참고서류</t>
        </is>
      </c>
      <c r="F4643" s="3" t="inlineStr">
        <is>
          <t>디비금융제13호스팩</t>
        </is>
      </c>
      <c r="G4643" s="2" t="inlineStr">
        <is>
          <t>20260311003548</t>
        </is>
      </c>
      <c r="H4643" s="8">
        <f>HYPERLINK("https://dart.fss.or.kr/dsaf001/main.do?rcpNo=20260311003548", "공시열람")</f>
        <v/>
      </c>
    </row>
    <row r="4644">
      <c r="A4644" s="2" t="inlineStr">
        <is>
          <t>2026-03-11</t>
        </is>
      </c>
      <c r="B4644" s="3" t="inlineStr">
        <is>
          <t>디비금융제14호스팩</t>
        </is>
      </c>
      <c r="C4644" s="2" t="inlineStr">
        <is>
          <t>코스닥</t>
        </is>
      </c>
      <c r="D4644" s="2" t="inlineStr">
        <is>
          <t>0004Y0</t>
        </is>
      </c>
      <c r="E4644" s="3" t="inlineStr">
        <is>
          <t>의결권대리행사권유참고서류</t>
        </is>
      </c>
      <c r="F4644" s="3" t="inlineStr">
        <is>
          <t>디비금융제14호스팩</t>
        </is>
      </c>
      <c r="G4644" s="2" t="inlineStr">
        <is>
          <t>20260311003547</t>
        </is>
      </c>
      <c r="H4644" s="8">
        <f>HYPERLINK("https://dart.fss.or.kr/dsaf001/main.do?rcpNo=20260311003547", "공시열람")</f>
        <v/>
      </c>
    </row>
    <row r="4645">
      <c r="A4645" s="2" t="inlineStr">
        <is>
          <t>2026-03-11</t>
        </is>
      </c>
      <c r="B4645" s="3" t="inlineStr">
        <is>
          <t>엑스큐어</t>
        </is>
      </c>
      <c r="C4645" s="2" t="inlineStr">
        <is>
          <t>코스닥</t>
        </is>
      </c>
      <c r="D4645" s="2" t="inlineStr">
        <is>
          <t>070300</t>
        </is>
      </c>
      <c r="E4645" s="3" t="inlineStr">
        <is>
          <t xml:space="preserve">주식병합결정              </t>
        </is>
      </c>
      <c r="F4645" s="3" t="inlineStr">
        <is>
          <t>엑스큐어</t>
        </is>
      </c>
      <c r="G4645" s="2" t="inlineStr">
        <is>
          <t>20260311900628</t>
        </is>
      </c>
      <c r="H4645" s="8">
        <f>HYPERLINK("https://dart.fss.or.kr/dsaf001/main.do?rcpNo=20260311900628", "공시열람")</f>
        <v/>
      </c>
    </row>
    <row r="4646">
      <c r="A4646" s="2" t="inlineStr">
        <is>
          <t>2026-03-11</t>
        </is>
      </c>
      <c r="B4646" s="3" t="inlineStr">
        <is>
          <t>신영증권</t>
        </is>
      </c>
      <c r="C4646" s="2" t="inlineStr">
        <is>
          <t>코스피</t>
        </is>
      </c>
      <c r="D4646" s="2" t="inlineStr">
        <is>
          <t>001720</t>
        </is>
      </c>
      <c r="E4646" s="3" t="inlineStr">
        <is>
          <t>투자설명서(일괄신고)</t>
        </is>
      </c>
      <c r="F4646" s="3" t="inlineStr">
        <is>
          <t>신영증권</t>
        </is>
      </c>
      <c r="G4646" s="2" t="inlineStr">
        <is>
          <t>20260311003544</t>
        </is>
      </c>
      <c r="H4646" s="8">
        <f>HYPERLINK("https://dart.fss.or.kr/dsaf001/main.do?rcpNo=20260311003544", "공시열람")</f>
        <v/>
      </c>
    </row>
    <row r="4647">
      <c r="A4647" s="2" t="inlineStr">
        <is>
          <t>2026-03-11</t>
        </is>
      </c>
      <c r="B4647" s="3" t="inlineStr">
        <is>
          <t>비피도</t>
        </is>
      </c>
      <c r="C4647" s="2" t="inlineStr">
        <is>
          <t>코스닥</t>
        </is>
      </c>
      <c r="D4647" s="2" t="inlineStr">
        <is>
          <t>238200</t>
        </is>
      </c>
      <c r="E4647" s="3" t="inlineStr">
        <is>
          <t xml:space="preserve">감사보고서제출              </t>
        </is>
      </c>
      <c r="F4647" s="3" t="inlineStr">
        <is>
          <t>비피도</t>
        </is>
      </c>
      <c r="G4647" s="2" t="inlineStr">
        <is>
          <t>20260311900592</t>
        </is>
      </c>
      <c r="H4647" s="8">
        <f>HYPERLINK("https://dart.fss.or.kr/dsaf001/main.do?rcpNo=20260311900592", "공시열람")</f>
        <v/>
      </c>
    </row>
    <row r="4648">
      <c r="A4648" s="2" t="inlineStr">
        <is>
          <t>2026-03-11</t>
        </is>
      </c>
      <c r="B4648" s="3" t="inlineStr">
        <is>
          <t>원림</t>
        </is>
      </c>
      <c r="C4648" s="2" t="inlineStr">
        <is>
          <t>코스피</t>
        </is>
      </c>
      <c r="D4648" s="2" t="inlineStr">
        <is>
          <t>005820</t>
        </is>
      </c>
      <c r="E4648" s="3" t="inlineStr">
        <is>
          <t xml:space="preserve">현금ㆍ현물배당결정              </t>
        </is>
      </c>
      <c r="F4648" s="3" t="inlineStr">
        <is>
          <t>원림</t>
        </is>
      </c>
      <c r="G4648" s="2" t="inlineStr">
        <is>
          <t>20260311800625</t>
        </is>
      </c>
      <c r="H4648" s="8">
        <f>HYPERLINK("https://dart.fss.or.kr/dsaf001/main.do?rcpNo=20260311800625", "공시열람")</f>
        <v/>
      </c>
    </row>
    <row r="4649">
      <c r="A4649" s="2" t="inlineStr">
        <is>
          <t>2026-03-11</t>
        </is>
      </c>
      <c r="B4649" s="3" t="inlineStr">
        <is>
          <t>애경산업</t>
        </is>
      </c>
      <c r="C4649" s="2" t="inlineStr">
        <is>
          <t>코스피</t>
        </is>
      </c>
      <c r="D4649" s="2" t="inlineStr">
        <is>
          <t>018250</t>
        </is>
      </c>
      <c r="E4649" s="3" t="inlineStr">
        <is>
          <t>의결권대리행사권유참고서류</t>
        </is>
      </c>
      <c r="F4649" s="3" t="inlineStr">
        <is>
          <t>애경산업</t>
        </is>
      </c>
      <c r="G4649" s="2" t="inlineStr">
        <is>
          <t>20260311003542</t>
        </is>
      </c>
      <c r="H4649" s="8">
        <f>HYPERLINK("https://dart.fss.or.kr/dsaf001/main.do?rcpNo=20260311003542", "공시열람")</f>
        <v/>
      </c>
    </row>
    <row r="4650">
      <c r="A4650" s="2" t="inlineStr">
        <is>
          <t>2026-03-11</t>
        </is>
      </c>
      <c r="B4650" s="3" t="inlineStr">
        <is>
          <t>SK증권제12호스팩</t>
        </is>
      </c>
      <c r="C4650" s="2" t="inlineStr">
        <is>
          <t>코스닥</t>
        </is>
      </c>
      <c r="D4650" s="2" t="inlineStr">
        <is>
          <t>473000</t>
        </is>
      </c>
      <c r="E4650" s="3" t="inlineStr">
        <is>
          <t>의결권대리행사권유참고서류</t>
        </is>
      </c>
      <c r="F4650" s="3" t="inlineStr">
        <is>
          <t>SK증권제12호스팩</t>
        </is>
      </c>
      <c r="G4650" s="2" t="inlineStr">
        <is>
          <t>20260311003539</t>
        </is>
      </c>
      <c r="H4650" s="8">
        <f>HYPERLINK("https://dart.fss.or.kr/dsaf001/main.do?rcpNo=20260311003539", "공시열람")</f>
        <v/>
      </c>
    </row>
    <row r="4651">
      <c r="A4651" s="2" t="inlineStr">
        <is>
          <t>2026-03-11</t>
        </is>
      </c>
      <c r="B4651" s="3" t="inlineStr">
        <is>
          <t>교보증권</t>
        </is>
      </c>
      <c r="C4651" s="2" t="inlineStr">
        <is>
          <t>코스피</t>
        </is>
      </c>
      <c r="D4651" s="2" t="inlineStr">
        <is>
          <t>030610</t>
        </is>
      </c>
      <c r="E4651" s="3" t="inlineStr">
        <is>
          <t>의결권대리행사권유참고서류</t>
        </is>
      </c>
      <c r="F4651" s="3" t="inlineStr">
        <is>
          <t>교보증권</t>
        </is>
      </c>
      <c r="G4651" s="2" t="inlineStr">
        <is>
          <t>20260311003531</t>
        </is>
      </c>
      <c r="H4651" s="8">
        <f>HYPERLINK("https://dart.fss.or.kr/dsaf001/main.do?rcpNo=20260311003531", "공시열람")</f>
        <v/>
      </c>
    </row>
    <row r="4652">
      <c r="A4652" s="2" t="inlineStr">
        <is>
          <t>2026-03-11</t>
        </is>
      </c>
      <c r="B4652" s="3" t="inlineStr">
        <is>
          <t>디티앤씨</t>
        </is>
      </c>
      <c r="C4652" s="2" t="inlineStr">
        <is>
          <t>코스닥</t>
        </is>
      </c>
      <c r="D4652" s="2" t="inlineStr">
        <is>
          <t>187220</t>
        </is>
      </c>
      <c r="E4652" s="3" t="inlineStr">
        <is>
          <t xml:space="preserve">현금ㆍ현물배당결정              </t>
        </is>
      </c>
      <c r="F4652" s="3" t="inlineStr">
        <is>
          <t>디티앤씨</t>
        </is>
      </c>
      <c r="G4652" s="2" t="inlineStr">
        <is>
          <t>20260311900581</t>
        </is>
      </c>
      <c r="H4652" s="8">
        <f>HYPERLINK("https://dart.fss.or.kr/dsaf001/main.do?rcpNo=20260311900581", "공시열람")</f>
        <v/>
      </c>
    </row>
    <row r="4653">
      <c r="A4653" s="2" t="inlineStr">
        <is>
          <t>2026-03-11</t>
        </is>
      </c>
      <c r="B4653" s="3" t="inlineStr">
        <is>
          <t>코텍</t>
        </is>
      </c>
      <c r="C4653" s="2" t="inlineStr">
        <is>
          <t>코스닥</t>
        </is>
      </c>
      <c r="D4653" s="2" t="inlineStr">
        <is>
          <t>052330</t>
        </is>
      </c>
      <c r="E4653" s="3" t="inlineStr">
        <is>
          <t>의결권대리행사권유참고서류</t>
        </is>
      </c>
      <c r="F4653" s="3" t="inlineStr">
        <is>
          <t>코텍</t>
        </is>
      </c>
      <c r="G4653" s="2" t="inlineStr">
        <is>
          <t>20260311003528</t>
        </is>
      </c>
      <c r="H4653" s="8">
        <f>HYPERLINK("https://dart.fss.or.kr/dsaf001/main.do?rcpNo=20260311003528", "공시열람")</f>
        <v/>
      </c>
    </row>
    <row r="4654">
      <c r="A4654" s="2" t="inlineStr">
        <is>
          <t>2026-03-11</t>
        </is>
      </c>
      <c r="B4654" s="3" t="inlineStr">
        <is>
          <t>SK</t>
        </is>
      </c>
      <c r="C4654" s="2" t="inlineStr">
        <is>
          <t>코스피</t>
        </is>
      </c>
      <c r="D4654" s="2" t="inlineStr">
        <is>
          <t>034730</t>
        </is>
      </c>
      <c r="E4654" s="3" t="inlineStr">
        <is>
          <t xml:space="preserve">[첨부정정]감사보고서제출(자회사의 주요경영사항)              </t>
        </is>
      </c>
      <c r="F4654" s="3" t="inlineStr">
        <is>
          <t>SK</t>
        </is>
      </c>
      <c r="G4654" s="2" t="inlineStr">
        <is>
          <t>20260311800584</t>
        </is>
      </c>
      <c r="H4654" s="8">
        <f>HYPERLINK("https://dart.fss.or.kr/dsaf001/main.do?rcpNo=20260311800584", "공시열람")</f>
        <v/>
      </c>
    </row>
    <row r="4655">
      <c r="A4655" s="2" t="inlineStr">
        <is>
          <t>2026-03-11</t>
        </is>
      </c>
      <c r="B4655" s="3" t="inlineStr">
        <is>
          <t>KC그린홀딩스</t>
        </is>
      </c>
      <c r="C4655" s="2" t="inlineStr">
        <is>
          <t>코스피</t>
        </is>
      </c>
      <c r="D4655" s="2" t="inlineStr">
        <is>
          <t>009440</t>
        </is>
      </c>
      <c r="E4655" s="3" t="inlineStr">
        <is>
          <t>의결권대리행사권유참고서류</t>
        </is>
      </c>
      <c r="F4655" s="3" t="inlineStr">
        <is>
          <t>KC그린홀딩스</t>
        </is>
      </c>
      <c r="G4655" s="2" t="inlineStr">
        <is>
          <t>20260311003520</t>
        </is>
      </c>
      <c r="H4655" s="8">
        <f>HYPERLINK("https://dart.fss.or.kr/dsaf001/main.do?rcpNo=20260311003520", "공시열람")</f>
        <v/>
      </c>
    </row>
    <row r="4656">
      <c r="A4656" s="2" t="inlineStr">
        <is>
          <t>2026-03-11</t>
        </is>
      </c>
      <c r="B4656" s="3" t="inlineStr">
        <is>
          <t>신영증권</t>
        </is>
      </c>
      <c r="C4656" s="2" t="inlineStr">
        <is>
          <t>코스피</t>
        </is>
      </c>
      <c r="D4656" s="2" t="inlineStr">
        <is>
          <t>001720</t>
        </is>
      </c>
      <c r="E4656" s="3" t="inlineStr">
        <is>
          <t>일괄신고추가서류(파생결합사채-주가연계파생결합사채)</t>
        </is>
      </c>
      <c r="F4656" s="3" t="inlineStr">
        <is>
          <t>신영증권</t>
        </is>
      </c>
      <c r="G4656" s="2" t="inlineStr">
        <is>
          <t>20260311003518</t>
        </is>
      </c>
      <c r="H4656" s="8">
        <f>HYPERLINK("https://dart.fss.or.kr/dsaf001/main.do?rcpNo=20260311003518", "공시열람")</f>
        <v/>
      </c>
    </row>
    <row r="4657">
      <c r="A4657" s="2" t="inlineStr">
        <is>
          <t>2026-03-11 (정정: 2026-05-21)</t>
        </is>
      </c>
      <c r="B4657" s="3" t="inlineStr">
        <is>
          <t>SK이노베이션</t>
        </is>
      </c>
      <c r="C4657" s="2" t="inlineStr">
        <is>
          <t>코스피</t>
        </is>
      </c>
      <c r="D4657" s="2" t="inlineStr">
        <is>
          <t>096770</t>
        </is>
      </c>
      <c r="E4657" s="3" t="inlineStr">
        <is>
          <t>[첨부정정]감사보고서제출(자회사의 주요경영사항)               (정정: 20260521) (정정: 20260521) (정정: 20260521)</t>
        </is>
      </c>
      <c r="F4657" s="3" t="inlineStr">
        <is>
          <t>SK이노베이션</t>
        </is>
      </c>
      <c r="G4657" s="2" t="inlineStr">
        <is>
          <t>20260521800561</t>
        </is>
      </c>
      <c r="H4657" s="8">
        <f>HYPERLINK("https://dart.fss.or.kr/dsaf001/main.do?rcpNo=20260521800561", "공시열람")</f>
        <v/>
      </c>
    </row>
    <row r="4658">
      <c r="A4658" s="2" t="inlineStr">
        <is>
          <t>2026-03-11</t>
        </is>
      </c>
      <c r="B4658" s="3" t="inlineStr">
        <is>
          <t>엑셈</t>
        </is>
      </c>
      <c r="C4658" s="2" t="inlineStr">
        <is>
          <t>코스닥</t>
        </is>
      </c>
      <c r="D4658" s="2" t="inlineStr">
        <is>
          <t>205100</t>
        </is>
      </c>
      <c r="E4658" s="3" t="inlineStr">
        <is>
          <t xml:space="preserve">현금ㆍ현물배당결정              </t>
        </is>
      </c>
      <c r="F4658" s="3" t="inlineStr">
        <is>
          <t>엑셈</t>
        </is>
      </c>
      <c r="G4658" s="2" t="inlineStr">
        <is>
          <t>20260311900491</t>
        </is>
      </c>
      <c r="H4658" s="8">
        <f>HYPERLINK("https://dart.fss.or.kr/dsaf001/main.do?rcpNo=20260311900491", "공시열람")</f>
        <v/>
      </c>
    </row>
    <row r="4659">
      <c r="A4659" s="2" t="inlineStr">
        <is>
          <t>2026-03-11</t>
        </is>
      </c>
      <c r="B4659" s="3" t="inlineStr">
        <is>
          <t>티움바이오</t>
        </is>
      </c>
      <c r="C4659" s="2" t="inlineStr">
        <is>
          <t>코스닥</t>
        </is>
      </c>
      <c r="D4659" s="2" t="inlineStr">
        <is>
          <t>321550</t>
        </is>
      </c>
      <c r="E4659" s="3" t="inlineStr">
        <is>
          <t>[기재정정]주식매수선택권부여에관한신고</t>
        </is>
      </c>
      <c r="F4659" s="3" t="inlineStr">
        <is>
          <t>티움바이오</t>
        </is>
      </c>
      <c r="G4659" s="2" t="inlineStr">
        <is>
          <t>20260311003514</t>
        </is>
      </c>
      <c r="H4659" s="8">
        <f>HYPERLINK("https://dart.fss.or.kr/dsaf001/main.do?rcpNo=20260311003514", "공시열람")</f>
        <v/>
      </c>
    </row>
    <row r="4660">
      <c r="A4660" s="2" t="inlineStr">
        <is>
          <t>2026-03-11</t>
        </is>
      </c>
      <c r="B4660" s="3" t="inlineStr">
        <is>
          <t>아이에이</t>
        </is>
      </c>
      <c r="C4660" s="2" t="inlineStr">
        <is>
          <t>코스닥</t>
        </is>
      </c>
      <c r="D4660" s="2" t="inlineStr">
        <is>
          <t>038880</t>
        </is>
      </c>
      <c r="E4660" s="3" t="inlineStr">
        <is>
          <t xml:space="preserve">주식병합결정              </t>
        </is>
      </c>
      <c r="F4660" s="3" t="inlineStr">
        <is>
          <t>아이에이</t>
        </is>
      </c>
      <c r="G4660" s="2" t="inlineStr">
        <is>
          <t>20260311900510</t>
        </is>
      </c>
      <c r="H4660" s="8">
        <f>HYPERLINK("https://dart.fss.or.kr/dsaf001/main.do?rcpNo=20260311900510", "공시열람")</f>
        <v/>
      </c>
    </row>
    <row r="4661">
      <c r="A4661" s="2" t="inlineStr">
        <is>
          <t>2026-03-11</t>
        </is>
      </c>
      <c r="B4661" s="3" t="inlineStr">
        <is>
          <t>대창</t>
        </is>
      </c>
      <c r="C4661" s="2" t="inlineStr">
        <is>
          <t>코스피</t>
        </is>
      </c>
      <c r="D4661" s="2" t="inlineStr">
        <is>
          <t>012800</t>
        </is>
      </c>
      <c r="E4661" s="3" t="inlineStr">
        <is>
          <t xml:space="preserve">[기재정정]매출액또는손익구조30%(대규모법인은15%)이상변경              </t>
        </is>
      </c>
      <c r="F4661" s="3" t="inlineStr">
        <is>
          <t>대창</t>
        </is>
      </c>
      <c r="G4661" s="2" t="inlineStr">
        <is>
          <t>20260311800529</t>
        </is>
      </c>
      <c r="H4661" s="8">
        <f>HYPERLINK("https://dart.fss.or.kr/dsaf001/main.do?rcpNo=20260311800529", "공시열람")</f>
        <v/>
      </c>
    </row>
    <row r="4662">
      <c r="A4662" s="2" t="inlineStr">
        <is>
          <t>2026-03-11</t>
        </is>
      </c>
      <c r="B4662" s="3" t="inlineStr">
        <is>
          <t>티움바이오</t>
        </is>
      </c>
      <c r="C4662" s="2" t="inlineStr">
        <is>
          <t>코스닥</t>
        </is>
      </c>
      <c r="D4662" s="2" t="inlineStr">
        <is>
          <t>321550</t>
        </is>
      </c>
      <c r="E4662" s="3" t="inlineStr">
        <is>
          <t>[기재정정]주식매수선택권부여에관한신고</t>
        </is>
      </c>
      <c r="F4662" s="3" t="inlineStr">
        <is>
          <t>티움바이오</t>
        </is>
      </c>
      <c r="G4662" s="2" t="inlineStr">
        <is>
          <t>20260311003508</t>
        </is>
      </c>
      <c r="H4662" s="8">
        <f>HYPERLINK("https://dart.fss.or.kr/dsaf001/main.do?rcpNo=20260311003508", "공시열람")</f>
        <v/>
      </c>
    </row>
    <row r="4663">
      <c r="A4663" s="2" t="inlineStr">
        <is>
          <t>2026-03-11</t>
        </is>
      </c>
      <c r="B4663" s="3" t="inlineStr">
        <is>
          <t>에이치와이티씨</t>
        </is>
      </c>
      <c r="C4663" s="2" t="inlineStr">
        <is>
          <t>코스닥</t>
        </is>
      </c>
      <c r="D4663" s="2" t="inlineStr">
        <is>
          <t>148930</t>
        </is>
      </c>
      <c r="E4663" s="3" t="inlineStr">
        <is>
          <t xml:space="preserve">현금ㆍ현물배당결정              </t>
        </is>
      </c>
      <c r="F4663" s="3" t="inlineStr">
        <is>
          <t>에이치와이티씨</t>
        </is>
      </c>
      <c r="G4663" s="2" t="inlineStr">
        <is>
          <t>20260311900541</t>
        </is>
      </c>
      <c r="H4663" s="8">
        <f>HYPERLINK("https://dart.fss.or.kr/dsaf001/main.do?rcpNo=20260311900541", "공시열람")</f>
        <v/>
      </c>
    </row>
    <row r="4664">
      <c r="A4664" s="2" t="inlineStr">
        <is>
          <t>2026-03-11</t>
        </is>
      </c>
      <c r="B4664" s="3" t="inlineStr">
        <is>
          <t>에이치엠넥스</t>
        </is>
      </c>
      <c r="C4664" s="2" t="inlineStr">
        <is>
          <t>코스닥</t>
        </is>
      </c>
      <c r="D4664" s="2" t="inlineStr">
        <is>
          <t>036170</t>
        </is>
      </c>
      <c r="E4664" s="3" t="inlineStr">
        <is>
          <t>의결권대리행사권유참고서류</t>
        </is>
      </c>
      <c r="F4664" s="3" t="inlineStr">
        <is>
          <t>에이치엠넥스</t>
        </is>
      </c>
      <c r="G4664" s="2" t="inlineStr">
        <is>
          <t>20260311003506</t>
        </is>
      </c>
      <c r="H4664" s="8">
        <f>HYPERLINK("https://dart.fss.or.kr/dsaf001/main.do?rcpNo=20260311003506", "공시열람")</f>
        <v/>
      </c>
    </row>
    <row r="4665">
      <c r="A4665" s="2" t="inlineStr">
        <is>
          <t>2026-03-11</t>
        </is>
      </c>
      <c r="B4665" s="3" t="inlineStr">
        <is>
          <t>티움바이오</t>
        </is>
      </c>
      <c r="C4665" s="2" t="inlineStr">
        <is>
          <t>코스닥</t>
        </is>
      </c>
      <c r="D4665" s="2" t="inlineStr">
        <is>
          <t>321550</t>
        </is>
      </c>
      <c r="E4665" s="3" t="inlineStr">
        <is>
          <t>[기재정정]주식매수선택권부여에관한신고</t>
        </is>
      </c>
      <c r="F4665" s="3" t="inlineStr">
        <is>
          <t>티움바이오</t>
        </is>
      </c>
      <c r="G4665" s="2" t="inlineStr">
        <is>
          <t>20260311003505</t>
        </is>
      </c>
      <c r="H4665" s="8">
        <f>HYPERLINK("https://dart.fss.or.kr/dsaf001/main.do?rcpNo=20260311003505", "공시열람")</f>
        <v/>
      </c>
    </row>
    <row r="4666">
      <c r="A4666" s="2" t="inlineStr">
        <is>
          <t>2026-03-11 (정정: 2026-03-16)</t>
        </is>
      </c>
      <c r="B4666" s="3" t="inlineStr">
        <is>
          <t>나노실리칸첨단소재</t>
        </is>
      </c>
      <c r="C4666" s="2" t="inlineStr">
        <is>
          <t>코스닥</t>
        </is>
      </c>
      <c r="D4666" s="2" t="inlineStr">
        <is>
          <t>286750</t>
        </is>
      </c>
      <c r="E4666" s="3" t="inlineStr">
        <is>
          <t>의결권대리행사권유참고서류 (정정: 20260316)</t>
        </is>
      </c>
      <c r="F4666" s="3" t="inlineStr">
        <is>
          <t>나노실리칸첨단소재</t>
        </is>
      </c>
      <c r="G4666" s="2" t="inlineStr">
        <is>
          <t>20260316001396</t>
        </is>
      </c>
      <c r="H4666" s="8">
        <f>HYPERLINK("https://dart.fss.or.kr/dsaf001/main.do?rcpNo=20260316001396", "공시열람")</f>
        <v/>
      </c>
    </row>
    <row r="4667">
      <c r="A4667" s="2" t="inlineStr">
        <is>
          <t>2026-03-11</t>
        </is>
      </c>
      <c r="B4667" s="3" t="inlineStr">
        <is>
          <t>디비금융스팩12호</t>
        </is>
      </c>
      <c r="C4667" s="2" t="inlineStr">
        <is>
          <t>코스닥</t>
        </is>
      </c>
      <c r="D4667" s="2" t="inlineStr">
        <is>
          <t>477760</t>
        </is>
      </c>
      <c r="E4667" s="3" t="inlineStr">
        <is>
          <t>의결권대리행사권유참고서류</t>
        </is>
      </c>
      <c r="F4667" s="3" t="inlineStr">
        <is>
          <t>디비금융스팩12호</t>
        </is>
      </c>
      <c r="G4667" s="2" t="inlineStr">
        <is>
          <t>20260311003503</t>
        </is>
      </c>
      <c r="H4667" s="8">
        <f>HYPERLINK("https://dart.fss.or.kr/dsaf001/main.do?rcpNo=20260311003503", "공시열람")</f>
        <v/>
      </c>
    </row>
    <row r="4668">
      <c r="A4668" s="2" t="inlineStr">
        <is>
          <t>2026-03-11</t>
        </is>
      </c>
      <c r="B4668" s="3" t="inlineStr">
        <is>
          <t>대동스틸</t>
        </is>
      </c>
      <c r="C4668" s="2" t="inlineStr">
        <is>
          <t>코스닥</t>
        </is>
      </c>
      <c r="D4668" s="2" t="inlineStr">
        <is>
          <t>048470</t>
        </is>
      </c>
      <c r="E4668" s="3" t="inlineStr">
        <is>
          <t>의결권대리행사권유참고서류</t>
        </is>
      </c>
      <c r="F4668" s="3" t="inlineStr">
        <is>
          <t>대동스틸</t>
        </is>
      </c>
      <c r="G4668" s="2" t="inlineStr">
        <is>
          <t>20260311003500</t>
        </is>
      </c>
      <c r="H4668" s="8">
        <f>HYPERLINK("https://dart.fss.or.kr/dsaf001/main.do?rcpNo=20260311003500", "공시열람")</f>
        <v/>
      </c>
    </row>
    <row r="4669">
      <c r="A4669" s="2" t="inlineStr">
        <is>
          <t>2026-03-11</t>
        </is>
      </c>
      <c r="B4669" s="3" t="inlineStr">
        <is>
          <t>이마트</t>
        </is>
      </c>
      <c r="C4669" s="2" t="inlineStr">
        <is>
          <t>코스피</t>
        </is>
      </c>
      <c r="D4669" s="2" t="inlineStr">
        <is>
          <t>139480</t>
        </is>
      </c>
      <c r="E4669" s="3" t="inlineStr">
        <is>
          <t xml:space="preserve">영업(잠정)실적(공정공시)              </t>
        </is>
      </c>
      <c r="F4669" s="3" t="inlineStr">
        <is>
          <t>이마트</t>
        </is>
      </c>
      <c r="G4669" s="2" t="inlineStr">
        <is>
          <t>20260311800498</t>
        </is>
      </c>
      <c r="H4669" s="8">
        <f>HYPERLINK("https://dart.fss.or.kr/dsaf001/main.do?rcpNo=20260311800498", "공시열람")</f>
        <v/>
      </c>
    </row>
    <row r="4670">
      <c r="A4670" s="2" t="inlineStr">
        <is>
          <t>2026-03-11</t>
        </is>
      </c>
      <c r="B4670" s="3" t="inlineStr">
        <is>
          <t>삼아제약</t>
        </is>
      </c>
      <c r="C4670" s="2" t="inlineStr">
        <is>
          <t>코스닥</t>
        </is>
      </c>
      <c r="D4670" s="2" t="inlineStr">
        <is>
          <t>009300</t>
        </is>
      </c>
      <c r="E4670" s="3" t="inlineStr">
        <is>
          <t>의결권대리행사권유참고서류</t>
        </is>
      </c>
      <c r="F4670" s="3" t="inlineStr">
        <is>
          <t>삼아제약</t>
        </is>
      </c>
      <c r="G4670" s="2" t="inlineStr">
        <is>
          <t>20260311003494</t>
        </is>
      </c>
      <c r="H4670" s="8">
        <f>HYPERLINK("https://dart.fss.or.kr/dsaf001/main.do?rcpNo=20260311003494", "공시열람")</f>
        <v/>
      </c>
    </row>
    <row r="4671">
      <c r="A4671" s="2" t="inlineStr">
        <is>
          <t>2026-03-11</t>
        </is>
      </c>
      <c r="B4671" s="3" t="inlineStr">
        <is>
          <t>엑셈</t>
        </is>
      </c>
      <c r="C4671" s="2" t="inlineStr">
        <is>
          <t>코스닥</t>
        </is>
      </c>
      <c r="D4671" s="2" t="inlineStr">
        <is>
          <t>205100</t>
        </is>
      </c>
      <c r="E4671" s="3" t="inlineStr">
        <is>
          <t xml:space="preserve">현금ㆍ현물배당을위한주주명부폐쇄(기준일)결정              </t>
        </is>
      </c>
      <c r="F4671" s="3" t="inlineStr">
        <is>
          <t>엑셈</t>
        </is>
      </c>
      <c r="G4671" s="2" t="inlineStr">
        <is>
          <t>20260311900521</t>
        </is>
      </c>
      <c r="H4671" s="8">
        <f>HYPERLINK("https://dart.fss.or.kr/dsaf001/main.do?rcpNo=20260311900521", "공시열람")</f>
        <v/>
      </c>
    </row>
    <row r="4672">
      <c r="A4672" s="2" t="inlineStr">
        <is>
          <t>2026-03-11</t>
        </is>
      </c>
      <c r="B4672" s="3" t="inlineStr">
        <is>
          <t>새빗켐</t>
        </is>
      </c>
      <c r="C4672" s="2" t="inlineStr">
        <is>
          <t>코스닥</t>
        </is>
      </c>
      <c r="D4672" s="2" t="inlineStr">
        <is>
          <t>107600</t>
        </is>
      </c>
      <c r="E4672" s="3" t="inlineStr">
        <is>
          <t>의결권대리행사권유참고서류</t>
        </is>
      </c>
      <c r="F4672" s="3" t="inlineStr">
        <is>
          <t>새빗켐</t>
        </is>
      </c>
      <c r="G4672" s="2" t="inlineStr">
        <is>
          <t>20260311003486</t>
        </is>
      </c>
      <c r="H4672" s="8">
        <f>HYPERLINK("https://dart.fss.or.kr/dsaf001/main.do?rcpNo=20260311003486", "공시열람")</f>
        <v/>
      </c>
    </row>
    <row r="4673">
      <c r="A4673" s="2" t="inlineStr">
        <is>
          <t>2026-03-11</t>
        </is>
      </c>
      <c r="B4673" s="3" t="inlineStr">
        <is>
          <t>이스타코</t>
        </is>
      </c>
      <c r="C4673" s="2" t="inlineStr">
        <is>
          <t>코스피</t>
        </is>
      </c>
      <c r="D4673" s="2" t="inlineStr">
        <is>
          <t>015020</t>
        </is>
      </c>
      <c r="E4673" s="3" t="inlineStr">
        <is>
          <t>의결권대리행사권유참고서류</t>
        </is>
      </c>
      <c r="F4673" s="3" t="inlineStr">
        <is>
          <t>이스타코</t>
        </is>
      </c>
      <c r="G4673" s="2" t="inlineStr">
        <is>
          <t>20260311003483</t>
        </is>
      </c>
      <c r="H4673" s="8">
        <f>HYPERLINK("https://dart.fss.or.kr/dsaf001/main.do?rcpNo=20260311003483", "공시열람")</f>
        <v/>
      </c>
    </row>
    <row r="4674">
      <c r="A4674" s="2" t="inlineStr">
        <is>
          <t>2026-03-11</t>
        </is>
      </c>
      <c r="B4674" s="3" t="inlineStr">
        <is>
          <t>대한전선</t>
        </is>
      </c>
      <c r="C4674" s="2" t="inlineStr">
        <is>
          <t>코스피</t>
        </is>
      </c>
      <c r="D4674" s="2" t="inlineStr">
        <is>
          <t>001440</t>
        </is>
      </c>
      <c r="E4674" s="3" t="inlineStr">
        <is>
          <t>의결권대리행사권유참고서류</t>
        </is>
      </c>
      <c r="F4674" s="3" t="inlineStr">
        <is>
          <t>대한전선</t>
        </is>
      </c>
      <c r="G4674" s="2" t="inlineStr">
        <is>
          <t>20260311003482</t>
        </is>
      </c>
      <c r="H4674" s="8">
        <f>HYPERLINK("https://dart.fss.or.kr/dsaf001/main.do?rcpNo=20260311003482", "공시열람")</f>
        <v/>
      </c>
    </row>
    <row r="4675">
      <c r="A4675" s="2" t="inlineStr">
        <is>
          <t>2026-03-11 (정정: 2026-05-21)</t>
        </is>
      </c>
      <c r="B4675" s="3" t="inlineStr">
        <is>
          <t>현대모비스</t>
        </is>
      </c>
      <c r="C4675" s="2" t="inlineStr">
        <is>
          <t>코스피</t>
        </is>
      </c>
      <c r="D4675" s="2" t="inlineStr">
        <is>
          <t>012330</t>
        </is>
      </c>
      <c r="E4675" s="3" t="inlineStr">
        <is>
          <t>기업설명회(IR)개최(안내공시)               (정정: 20260521)</t>
        </is>
      </c>
      <c r="F4675" s="3" t="inlineStr">
        <is>
          <t>현대모비스</t>
        </is>
      </c>
      <c r="G4675" s="2" t="inlineStr">
        <is>
          <t>20260521800577</t>
        </is>
      </c>
      <c r="H4675" s="8">
        <f>HYPERLINK("https://dart.fss.or.kr/dsaf001/main.do?rcpNo=20260521800577", "공시열람")</f>
        <v/>
      </c>
    </row>
    <row r="4676">
      <c r="A4676" s="2" t="inlineStr">
        <is>
          <t>2026-03-11</t>
        </is>
      </c>
      <c r="B4676" s="3" t="inlineStr">
        <is>
          <t>티움바이오</t>
        </is>
      </c>
      <c r="C4676" s="2" t="inlineStr">
        <is>
          <t>코스닥</t>
        </is>
      </c>
      <c r="D4676" s="2" t="inlineStr">
        <is>
          <t>321550</t>
        </is>
      </c>
      <c r="E4676" s="3" t="inlineStr">
        <is>
          <t>[기재정정]주식매수선택권부여에관한신고</t>
        </is>
      </c>
      <c r="F4676" s="3" t="inlineStr">
        <is>
          <t>티움바이오</t>
        </is>
      </c>
      <c r="G4676" s="2" t="inlineStr">
        <is>
          <t>20260311003474</t>
        </is>
      </c>
      <c r="H4676" s="8">
        <f>HYPERLINK("https://dart.fss.or.kr/dsaf001/main.do?rcpNo=20260311003474", "공시열람")</f>
        <v/>
      </c>
    </row>
    <row r="4677">
      <c r="A4677" s="2" t="inlineStr">
        <is>
          <t>2026-03-11</t>
        </is>
      </c>
      <c r="B4677" s="3" t="inlineStr">
        <is>
          <t>에이치엠넥스</t>
        </is>
      </c>
      <c r="C4677" s="2" t="inlineStr">
        <is>
          <t>코스닥</t>
        </is>
      </c>
      <c r="D4677" s="2" t="inlineStr">
        <is>
          <t>036170</t>
        </is>
      </c>
      <c r="E4677" s="3" t="inlineStr">
        <is>
          <t xml:space="preserve">매출액또는손익구조30%(대규모법인은15%)이상변동              </t>
        </is>
      </c>
      <c r="F4677" s="3" t="inlineStr">
        <is>
          <t>에이치엠넥스</t>
        </is>
      </c>
      <c r="G4677" s="2" t="inlineStr">
        <is>
          <t>20260311900486</t>
        </is>
      </c>
      <c r="H4677" s="8">
        <f>HYPERLINK("https://dart.fss.or.kr/dsaf001/main.do?rcpNo=20260311900486", "공시열람")</f>
        <v/>
      </c>
    </row>
    <row r="4678">
      <c r="A4678" s="2" t="inlineStr">
        <is>
          <t>2026-03-11</t>
        </is>
      </c>
      <c r="B4678" s="3" t="inlineStr">
        <is>
          <t>비트컴퓨터</t>
        </is>
      </c>
      <c r="C4678" s="2" t="inlineStr">
        <is>
          <t>코스닥</t>
        </is>
      </c>
      <c r="D4678" s="2" t="inlineStr">
        <is>
          <t>032850</t>
        </is>
      </c>
      <c r="E4678" s="3" t="inlineStr">
        <is>
          <t xml:space="preserve">감사보고서제출              </t>
        </is>
      </c>
      <c r="F4678" s="3" t="inlineStr">
        <is>
          <t>비트컴퓨터</t>
        </is>
      </c>
      <c r="G4678" s="2" t="inlineStr">
        <is>
          <t>20260311900474</t>
        </is>
      </c>
      <c r="H4678" s="8">
        <f>HYPERLINK("https://dart.fss.or.kr/dsaf001/main.do?rcpNo=20260311900474", "공시열람")</f>
        <v/>
      </c>
    </row>
    <row r="4679">
      <c r="A4679" s="2" t="inlineStr">
        <is>
          <t>2026-03-11</t>
        </is>
      </c>
      <c r="B4679" s="3" t="inlineStr">
        <is>
          <t>플래티어</t>
        </is>
      </c>
      <c r="C4679" s="2" t="inlineStr">
        <is>
          <t>코스닥</t>
        </is>
      </c>
      <c r="D4679" s="2" t="inlineStr">
        <is>
          <t>367000</t>
        </is>
      </c>
      <c r="E4679" s="3" t="inlineStr">
        <is>
          <t xml:space="preserve">기업설명회(IR)개최              </t>
        </is>
      </c>
      <c r="F4679" s="3" t="inlineStr">
        <is>
          <t>플래티어</t>
        </is>
      </c>
      <c r="G4679" s="2" t="inlineStr">
        <is>
          <t>20260311900495</t>
        </is>
      </c>
      <c r="H4679" s="8">
        <f>HYPERLINK("https://dart.fss.or.kr/dsaf001/main.do?rcpNo=20260311900495", "공시열람")</f>
        <v/>
      </c>
    </row>
    <row r="4680">
      <c r="A4680" s="2" t="inlineStr">
        <is>
          <t>2026-03-11</t>
        </is>
      </c>
      <c r="B4680" s="3" t="inlineStr">
        <is>
          <t>포스코엠텍</t>
        </is>
      </c>
      <c r="C4680" s="2" t="inlineStr">
        <is>
          <t>코스닥</t>
        </is>
      </c>
      <c r="D4680" s="2" t="inlineStr">
        <is>
          <t>009520</t>
        </is>
      </c>
      <c r="E4680" s="3" t="inlineStr">
        <is>
          <t>의결권대리행사권유참고서류</t>
        </is>
      </c>
      <c r="F4680" s="3" t="inlineStr">
        <is>
          <t>포스코엠텍</t>
        </is>
      </c>
      <c r="G4680" s="2" t="inlineStr">
        <is>
          <t>20260311003460</t>
        </is>
      </c>
      <c r="H4680" s="8">
        <f>HYPERLINK("https://dart.fss.or.kr/dsaf001/main.do?rcpNo=20260311003460", "공시열람")</f>
        <v/>
      </c>
    </row>
    <row r="4681">
      <c r="A4681" s="2" t="inlineStr">
        <is>
          <t>2026-03-11 (정정: 2026-03-12)</t>
        </is>
      </c>
      <c r="B4681" s="3" t="inlineStr">
        <is>
          <t>그린생명과학</t>
        </is>
      </c>
      <c r="C4681" s="2" t="inlineStr">
        <is>
          <t>코스닥</t>
        </is>
      </c>
      <c r="D4681" s="2" t="inlineStr">
        <is>
          <t>114450</t>
        </is>
      </c>
      <c r="E4681" s="3" t="inlineStr">
        <is>
          <t>의결권대리행사권유참고서류 (정정: 20260312) (정정: 20260312)</t>
        </is>
      </c>
      <c r="F4681" s="3" t="inlineStr">
        <is>
          <t>그린생명과학</t>
        </is>
      </c>
      <c r="G4681" s="2" t="inlineStr">
        <is>
          <t>20260312001360</t>
        </is>
      </c>
      <c r="H4681" s="8">
        <f>HYPERLINK("https://dart.fss.or.kr/dsaf001/main.do?rcpNo=20260312001360", "공시열람")</f>
        <v/>
      </c>
    </row>
    <row r="4682">
      <c r="A4682" s="2" t="inlineStr">
        <is>
          <t>2026-03-11</t>
        </is>
      </c>
      <c r="B4682" s="3" t="inlineStr">
        <is>
          <t>한국기업평가</t>
        </is>
      </c>
      <c r="C4682" s="2" t="inlineStr">
        <is>
          <t>코스닥</t>
        </is>
      </c>
      <c r="D4682" s="2" t="inlineStr">
        <is>
          <t>034950</t>
        </is>
      </c>
      <c r="E4682" s="3" t="inlineStr">
        <is>
          <t>의결권대리행사권유참고서류</t>
        </is>
      </c>
      <c r="F4682" s="3" t="inlineStr">
        <is>
          <t>한국기업평가</t>
        </is>
      </c>
      <c r="G4682" s="2" t="inlineStr">
        <is>
          <t>20260311003458</t>
        </is>
      </c>
      <c r="H4682" s="8">
        <f>HYPERLINK("https://dart.fss.or.kr/dsaf001/main.do?rcpNo=20260311003458", "공시열람")</f>
        <v/>
      </c>
    </row>
    <row r="4683">
      <c r="A4683" s="2" t="inlineStr">
        <is>
          <t>2026-03-11</t>
        </is>
      </c>
      <c r="B4683" s="3" t="inlineStr">
        <is>
          <t>명신산업</t>
        </is>
      </c>
      <c r="C4683" s="2" t="inlineStr">
        <is>
          <t>코스피</t>
        </is>
      </c>
      <c r="D4683" s="2" t="inlineStr">
        <is>
          <t>009900</t>
        </is>
      </c>
      <c r="E4683" s="3" t="inlineStr">
        <is>
          <t xml:space="preserve">현금ㆍ현물배당을위한주주명부폐쇄(기준일)결정              </t>
        </is>
      </c>
      <c r="F4683" s="3" t="inlineStr">
        <is>
          <t>명신산업</t>
        </is>
      </c>
      <c r="G4683" s="2" t="inlineStr">
        <is>
          <t>20260311800437</t>
        </is>
      </c>
      <c r="H4683" s="8">
        <f>HYPERLINK("https://dart.fss.or.kr/dsaf001/main.do?rcpNo=20260311800437", "공시열람")</f>
        <v/>
      </c>
    </row>
    <row r="4684">
      <c r="A4684" s="2" t="inlineStr">
        <is>
          <t>2026-03-11</t>
        </is>
      </c>
      <c r="B4684" s="3" t="inlineStr">
        <is>
          <t>ES큐브</t>
        </is>
      </c>
      <c r="C4684" s="2" t="inlineStr">
        <is>
          <t>코스닥</t>
        </is>
      </c>
      <c r="D4684" s="2" t="inlineStr">
        <is>
          <t>050120</t>
        </is>
      </c>
      <c r="E4684" s="3" t="inlineStr">
        <is>
          <t>임원ㆍ주요주주특정증권등거래계획보고서</t>
        </is>
      </c>
      <c r="F4684" s="3" t="inlineStr">
        <is>
          <t>에이치비홀딩스그룹</t>
        </is>
      </c>
      <c r="G4684" s="2" t="inlineStr">
        <is>
          <t>20260311003451</t>
        </is>
      </c>
      <c r="H4684" s="8">
        <f>HYPERLINK("https://dart.fss.or.kr/dsaf001/main.do?rcpNo=20260311003451", "공시열람")</f>
        <v/>
      </c>
    </row>
    <row r="4685">
      <c r="A4685" s="2" t="inlineStr">
        <is>
          <t>2026-03-11</t>
        </is>
      </c>
      <c r="B4685" s="3" t="inlineStr">
        <is>
          <t>까뮤이앤씨</t>
        </is>
      </c>
      <c r="C4685" s="2" t="inlineStr">
        <is>
          <t>코스피</t>
        </is>
      </c>
      <c r="D4685" s="2" t="inlineStr">
        <is>
          <t>013700</t>
        </is>
      </c>
      <c r="E4685" s="3" t="inlineStr">
        <is>
          <t xml:space="preserve">현금ㆍ현물배당결정              </t>
        </is>
      </c>
      <c r="F4685" s="3" t="inlineStr">
        <is>
          <t>까뮤이앤씨</t>
        </is>
      </c>
      <c r="G4685" s="2" t="inlineStr">
        <is>
          <t>20260311800454</t>
        </is>
      </c>
      <c r="H4685" s="8">
        <f>HYPERLINK("https://dart.fss.or.kr/dsaf001/main.do?rcpNo=20260311800454", "공시열람")</f>
        <v/>
      </c>
    </row>
    <row r="4686">
      <c r="A4686" s="2" t="inlineStr">
        <is>
          <t>2026-03-11</t>
        </is>
      </c>
      <c r="B4686" s="3" t="inlineStr">
        <is>
          <t>신풍</t>
        </is>
      </c>
      <c r="C4686" s="2" t="inlineStr">
        <is>
          <t>코스피</t>
        </is>
      </c>
      <c r="D4686" s="2" t="inlineStr">
        <is>
          <t>002870</t>
        </is>
      </c>
      <c r="E4686" s="3" t="inlineStr">
        <is>
          <t>의결권대리행사권유참고서류</t>
        </is>
      </c>
      <c r="F4686" s="3" t="inlineStr">
        <is>
          <t>신풍</t>
        </is>
      </c>
      <c r="G4686" s="2" t="inlineStr">
        <is>
          <t>20260311003448</t>
        </is>
      </c>
      <c r="H4686" s="8">
        <f>HYPERLINK("https://dart.fss.or.kr/dsaf001/main.do?rcpNo=20260311003448", "공시열람")</f>
        <v/>
      </c>
    </row>
    <row r="4687">
      <c r="A4687" s="2" t="inlineStr">
        <is>
          <t>2026-03-11</t>
        </is>
      </c>
      <c r="B4687" s="3" t="inlineStr">
        <is>
          <t>HLB파나진</t>
        </is>
      </c>
      <c r="C4687" s="2" t="inlineStr">
        <is>
          <t>코스닥</t>
        </is>
      </c>
      <c r="D4687" s="2" t="inlineStr">
        <is>
          <t>046210</t>
        </is>
      </c>
      <c r="E4687" s="3" t="inlineStr">
        <is>
          <t>임원ㆍ주요주주특정증권등소유상황보고서</t>
        </is>
      </c>
      <c r="F4687" s="3" t="inlineStr">
        <is>
          <t>진양곤</t>
        </is>
      </c>
      <c r="G4687" s="2" t="inlineStr">
        <is>
          <t>20260311003440</t>
        </is>
      </c>
      <c r="H4687" s="8">
        <f>HYPERLINK("https://dart.fss.or.kr/dsaf001/main.do?rcpNo=20260311003440", "공시열람")</f>
        <v/>
      </c>
    </row>
    <row r="4688">
      <c r="A4688" s="2" t="inlineStr">
        <is>
          <t>2026-03-11</t>
        </is>
      </c>
      <c r="B4688" s="3" t="inlineStr">
        <is>
          <t>HLB테라퓨틱스</t>
        </is>
      </c>
      <c r="C4688" s="2" t="inlineStr">
        <is>
          <t>코스닥</t>
        </is>
      </c>
      <c r="D4688" s="2" t="inlineStr">
        <is>
          <t>115450</t>
        </is>
      </c>
      <c r="E4688" s="3" t="inlineStr">
        <is>
          <t>임원ㆍ주요주주특정증권등소유상황보고서</t>
        </is>
      </c>
      <c r="F4688" s="3" t="inlineStr">
        <is>
          <t>진양곤</t>
        </is>
      </c>
      <c r="G4688" s="2" t="inlineStr">
        <is>
          <t>20260311003439</t>
        </is>
      </c>
      <c r="H4688" s="8">
        <f>HYPERLINK("https://dart.fss.or.kr/dsaf001/main.do?rcpNo=20260311003439", "공시열람")</f>
        <v/>
      </c>
    </row>
    <row r="4689">
      <c r="A4689" s="2" t="inlineStr">
        <is>
          <t>2026-03-11</t>
        </is>
      </c>
      <c r="B4689" s="3" t="inlineStr">
        <is>
          <t>HLB이노베이션</t>
        </is>
      </c>
      <c r="C4689" s="2" t="inlineStr">
        <is>
          <t>코스닥</t>
        </is>
      </c>
      <c r="D4689" s="2" t="inlineStr">
        <is>
          <t>024850</t>
        </is>
      </c>
      <c r="E4689" s="3" t="inlineStr">
        <is>
          <t>임원ㆍ주요주주특정증권등소유상황보고서</t>
        </is>
      </c>
      <c r="F4689" s="3" t="inlineStr">
        <is>
          <t>진양곤</t>
        </is>
      </c>
      <c r="G4689" s="2" t="inlineStr">
        <is>
          <t>20260311003438</t>
        </is>
      </c>
      <c r="H4689" s="8">
        <f>HYPERLINK("https://dart.fss.or.kr/dsaf001/main.do?rcpNo=20260311003438", "공시열람")</f>
        <v/>
      </c>
    </row>
    <row r="4690">
      <c r="A4690" s="2" t="inlineStr">
        <is>
          <t>2026-02-12 (정정: 2026-03-11)</t>
        </is>
      </c>
      <c r="B4690" s="3" t="inlineStr">
        <is>
          <t>컴투스홀딩스</t>
        </is>
      </c>
      <c r="C4690" s="2" t="inlineStr">
        <is>
          <t>코스닥</t>
        </is>
      </c>
      <c r="D4690" s="2" t="inlineStr">
        <is>
          <t>063080</t>
        </is>
      </c>
      <c r="E4690" s="3" t="inlineStr">
        <is>
          <t xml:space="preserve">[기재정정]연결재무제표기준영업(잠정)실적(공정공시)              </t>
        </is>
      </c>
      <c r="F4690" s="3" t="inlineStr">
        <is>
          <t>컴투스홀딩스</t>
        </is>
      </c>
      <c r="G4690" s="2" t="inlineStr">
        <is>
          <t>20260311900425</t>
        </is>
      </c>
      <c r="H4690" s="8">
        <f>HYPERLINK("https://dart.fss.or.kr/dsaf001/main.do?rcpNo=20260311900425", "공시열람")</f>
        <v/>
      </c>
    </row>
    <row r="4691">
      <c r="A4691" s="2" t="inlineStr">
        <is>
          <t>2026-03-11</t>
        </is>
      </c>
      <c r="B4691" s="3" t="inlineStr">
        <is>
          <t>아이티센코어</t>
        </is>
      </c>
      <c r="C4691" s="2" t="inlineStr">
        <is>
          <t>코넥스</t>
        </is>
      </c>
      <c r="D4691" s="2" t="inlineStr">
        <is>
          <t>243870</t>
        </is>
      </c>
      <c r="E4691" s="3" t="inlineStr">
        <is>
          <t>의결권대리행사권유참고서류</t>
        </is>
      </c>
      <c r="F4691" s="3" t="inlineStr">
        <is>
          <t>아이티센코어</t>
        </is>
      </c>
      <c r="G4691" s="2" t="inlineStr">
        <is>
          <t>20260311003437</t>
        </is>
      </c>
      <c r="H4691" s="8">
        <f>HYPERLINK("https://dart.fss.or.kr/dsaf001/main.do?rcpNo=20260311003437", "공시열람")</f>
        <v/>
      </c>
    </row>
    <row r="4692">
      <c r="A4692" s="2" t="inlineStr">
        <is>
          <t>2026-03-11</t>
        </is>
      </c>
      <c r="B4692" s="3" t="inlineStr">
        <is>
          <t>컴투스홀딩스</t>
        </is>
      </c>
      <c r="C4692" s="2" t="inlineStr">
        <is>
          <t>코스닥</t>
        </is>
      </c>
      <c r="D4692" s="2" t="inlineStr">
        <is>
          <t>063080</t>
        </is>
      </c>
      <c r="E4692" s="3" t="inlineStr">
        <is>
          <t>의결권대리행사권유참고서류</t>
        </is>
      </c>
      <c r="F4692" s="3" t="inlineStr">
        <is>
          <t>컴투스홀딩스</t>
        </is>
      </c>
      <c r="G4692" s="2" t="inlineStr">
        <is>
          <t>20260311003434</t>
        </is>
      </c>
      <c r="H4692" s="8">
        <f>HYPERLINK("https://dart.fss.or.kr/dsaf001/main.do?rcpNo=20260311003434", "공시열람")</f>
        <v/>
      </c>
    </row>
    <row r="4693">
      <c r="A4693" s="2" t="inlineStr">
        <is>
          <t>2026-03-11</t>
        </is>
      </c>
      <c r="B4693" s="3" t="inlineStr">
        <is>
          <t>엠아이텍</t>
        </is>
      </c>
      <c r="C4693" s="2" t="inlineStr">
        <is>
          <t>코스닥</t>
        </is>
      </c>
      <c r="D4693" s="2" t="inlineStr">
        <is>
          <t>179290</t>
        </is>
      </c>
      <c r="E4693" s="3" t="inlineStr">
        <is>
          <t>의결권대리행사권유참고서류</t>
        </is>
      </c>
      <c r="F4693" s="3" t="inlineStr">
        <is>
          <t>엠아이텍</t>
        </is>
      </c>
      <c r="G4693" s="2" t="inlineStr">
        <is>
          <t>20260311003431</t>
        </is>
      </c>
      <c r="H4693" s="8">
        <f>HYPERLINK("https://dart.fss.or.kr/dsaf001/main.do?rcpNo=20260311003431", "공시열람")</f>
        <v/>
      </c>
    </row>
    <row r="4694">
      <c r="A4694" s="2" t="inlineStr">
        <is>
          <t>2026-03-11</t>
        </is>
      </c>
      <c r="B4694" s="3" t="inlineStr">
        <is>
          <t>샘씨엔에스</t>
        </is>
      </c>
      <c r="C4694" s="2" t="inlineStr">
        <is>
          <t>코스닥</t>
        </is>
      </c>
      <c r="D4694" s="2" t="inlineStr">
        <is>
          <t>252990</t>
        </is>
      </c>
      <c r="E4694" s="3" t="inlineStr">
        <is>
          <t>의결권대리행사권유참고서류</t>
        </is>
      </c>
      <c r="F4694" s="3" t="inlineStr">
        <is>
          <t>샘씨엔에스</t>
        </is>
      </c>
      <c r="G4694" s="2" t="inlineStr">
        <is>
          <t>20260311003430</t>
        </is>
      </c>
      <c r="H4694" s="8">
        <f>HYPERLINK("https://dart.fss.or.kr/dsaf001/main.do?rcpNo=20260311003430", "공시열람")</f>
        <v/>
      </c>
    </row>
    <row r="4695">
      <c r="A4695" s="2" t="inlineStr">
        <is>
          <t>2026-03-11</t>
        </is>
      </c>
      <c r="B4695" s="3" t="inlineStr">
        <is>
          <t>가온그룹</t>
        </is>
      </c>
      <c r="C4695" s="2" t="inlineStr">
        <is>
          <t>코스닥</t>
        </is>
      </c>
      <c r="D4695" s="2" t="inlineStr">
        <is>
          <t>078890</t>
        </is>
      </c>
      <c r="E4695" s="3" t="inlineStr">
        <is>
          <t>[기재정정]의결권대리행사권유참고서류</t>
        </is>
      </c>
      <c r="F4695" s="3" t="inlineStr">
        <is>
          <t>가온그룹</t>
        </is>
      </c>
      <c r="G4695" s="2" t="inlineStr">
        <is>
          <t>20260311003429</t>
        </is>
      </c>
      <c r="H4695" s="8">
        <f>HYPERLINK("https://dart.fss.or.kr/dsaf001/main.do?rcpNo=20260311003429", "공시열람")</f>
        <v/>
      </c>
    </row>
    <row r="4696">
      <c r="A4696" s="2" t="inlineStr">
        <is>
          <t>2026-03-11 (정정: 2026-03-11)</t>
        </is>
      </c>
      <c r="B4696" s="3" t="inlineStr">
        <is>
          <t>동화약품</t>
        </is>
      </c>
      <c r="C4696" s="2" t="inlineStr">
        <is>
          <t>코스피</t>
        </is>
      </c>
      <c r="D4696" s="2" t="inlineStr">
        <is>
          <t>000020</t>
        </is>
      </c>
      <c r="E4696" s="3" t="inlineStr">
        <is>
          <t>의결권대리행사권유참고서류 (정정: 20260311)</t>
        </is>
      </c>
      <c r="F4696" s="3" t="inlineStr">
        <is>
          <t>동화약품</t>
        </is>
      </c>
      <c r="G4696" s="2" t="inlineStr">
        <is>
          <t>20260311003422</t>
        </is>
      </c>
      <c r="H4696" s="8">
        <f>HYPERLINK("https://dart.fss.or.kr/dsaf001/main.do?rcpNo=20260311003422", "공시열람")</f>
        <v/>
      </c>
    </row>
    <row r="4697">
      <c r="A4697" s="2" t="inlineStr">
        <is>
          <t>2026-03-11</t>
        </is>
      </c>
      <c r="B4697" s="3" t="inlineStr">
        <is>
          <t>디에스엠</t>
        </is>
      </c>
      <c r="C4697" s="2" t="inlineStr">
        <is>
          <t>코스닥</t>
        </is>
      </c>
      <c r="D4697" s="2" t="inlineStr">
        <is>
          <t>104040</t>
        </is>
      </c>
      <c r="E4697" s="3" t="inlineStr">
        <is>
          <t>의결권대리행사권유참고서류</t>
        </is>
      </c>
      <c r="F4697" s="3" t="inlineStr">
        <is>
          <t>디에스엠</t>
        </is>
      </c>
      <c r="G4697" s="2" t="inlineStr">
        <is>
          <t>20260311003425</t>
        </is>
      </c>
      <c r="H4697" s="8">
        <f>HYPERLINK("https://dart.fss.or.kr/dsaf001/main.do?rcpNo=20260311003425", "공시열람")</f>
        <v/>
      </c>
    </row>
    <row r="4698">
      <c r="A4698" s="2" t="inlineStr">
        <is>
          <t>2026-03-11</t>
        </is>
      </c>
      <c r="B4698" s="3" t="inlineStr">
        <is>
          <t>탑엔지니어링</t>
        </is>
      </c>
      <c r="C4698" s="2" t="inlineStr">
        <is>
          <t>코스닥</t>
        </is>
      </c>
      <c r="D4698" s="2" t="inlineStr">
        <is>
          <t>065130</t>
        </is>
      </c>
      <c r="E4698" s="3" t="inlineStr">
        <is>
          <t>의결권대리행사권유참고서류</t>
        </is>
      </c>
      <c r="F4698" s="3" t="inlineStr">
        <is>
          <t>탑엔지니어링</t>
        </is>
      </c>
      <c r="G4698" s="2" t="inlineStr">
        <is>
          <t>20260311003424</t>
        </is>
      </c>
      <c r="H4698" s="8">
        <f>HYPERLINK("https://dart.fss.or.kr/dsaf001/main.do?rcpNo=20260311003424", "공시열람")</f>
        <v/>
      </c>
    </row>
    <row r="4699">
      <c r="A4699" s="2" t="inlineStr">
        <is>
          <t>2026-03-11</t>
        </is>
      </c>
      <c r="B4699" s="3" t="inlineStr">
        <is>
          <t>오디텍</t>
        </is>
      </c>
      <c r="C4699" s="2" t="inlineStr">
        <is>
          <t>코스닥</t>
        </is>
      </c>
      <c r="D4699" s="2" t="inlineStr">
        <is>
          <t>080520</t>
        </is>
      </c>
      <c r="E4699" s="3" t="inlineStr">
        <is>
          <t xml:space="preserve">매출액또는손익구조30%(대규모법인은15%)이상변동              </t>
        </is>
      </c>
      <c r="F4699" s="3" t="inlineStr">
        <is>
          <t>오디텍</t>
        </is>
      </c>
      <c r="G4699" s="2" t="inlineStr">
        <is>
          <t>20260311900402</t>
        </is>
      </c>
      <c r="H4699" s="8">
        <f>HYPERLINK("https://dart.fss.or.kr/dsaf001/main.do?rcpNo=20260311900402", "공시열람")</f>
        <v/>
      </c>
    </row>
    <row r="4700">
      <c r="A4700" s="2" t="inlineStr">
        <is>
          <t>2026-03-11</t>
        </is>
      </c>
      <c r="B4700" s="3" t="inlineStr">
        <is>
          <t>명신산업</t>
        </is>
      </c>
      <c r="C4700" s="2" t="inlineStr">
        <is>
          <t>코스피</t>
        </is>
      </c>
      <c r="D4700" s="2" t="inlineStr">
        <is>
          <t>009900</t>
        </is>
      </c>
      <c r="E4700" s="3" t="inlineStr">
        <is>
          <t xml:space="preserve">현금ㆍ현물배당결정              </t>
        </is>
      </c>
      <c r="F4700" s="3" t="inlineStr">
        <is>
          <t>명신산업</t>
        </is>
      </c>
      <c r="G4700" s="2" t="inlineStr">
        <is>
          <t>20260311800395</t>
        </is>
      </c>
      <c r="H4700" s="8">
        <f>HYPERLINK("https://dart.fss.or.kr/dsaf001/main.do?rcpNo=20260311800395", "공시열람")</f>
        <v/>
      </c>
    </row>
    <row r="4701">
      <c r="A4701" s="2" t="inlineStr">
        <is>
          <t>2026-03-11</t>
        </is>
      </c>
      <c r="B4701" s="3" t="inlineStr">
        <is>
          <t>동진쎄미켐</t>
        </is>
      </c>
      <c r="C4701" s="2" t="inlineStr">
        <is>
          <t>코스닥</t>
        </is>
      </c>
      <c r="D4701" s="2" t="inlineStr">
        <is>
          <t>005290</t>
        </is>
      </c>
      <c r="E4701" s="3" t="inlineStr">
        <is>
          <t xml:space="preserve">현금ㆍ현물배당결정              </t>
        </is>
      </c>
      <c r="F4701" s="3" t="inlineStr">
        <is>
          <t>동진쎄미켐</t>
        </is>
      </c>
      <c r="G4701" s="2" t="inlineStr">
        <is>
          <t>20260311900400</t>
        </is>
      </c>
      <c r="H4701" s="8">
        <f>HYPERLINK("https://dart.fss.or.kr/dsaf001/main.do?rcpNo=20260311900400", "공시열람")</f>
        <v/>
      </c>
    </row>
    <row r="4702">
      <c r="A4702" s="2" t="inlineStr">
        <is>
          <t>2026-03-11</t>
        </is>
      </c>
      <c r="B4702" s="3" t="inlineStr">
        <is>
          <t>미창석유공업</t>
        </is>
      </c>
      <c r="C4702" s="2" t="inlineStr">
        <is>
          <t>코스피</t>
        </is>
      </c>
      <c r="D4702" s="2" t="inlineStr">
        <is>
          <t>003650</t>
        </is>
      </c>
      <c r="E4702" s="3" t="inlineStr">
        <is>
          <t xml:space="preserve">현금ㆍ현물배당결정              </t>
        </is>
      </c>
      <c r="F4702" s="3" t="inlineStr">
        <is>
          <t>미창석유공업</t>
        </is>
      </c>
      <c r="G4702" s="2" t="inlineStr">
        <is>
          <t>20260311800390</t>
        </is>
      </c>
      <c r="H4702" s="8">
        <f>HYPERLINK("https://dart.fss.or.kr/dsaf001/main.do?rcpNo=20260311800390", "공시열람")</f>
        <v/>
      </c>
    </row>
    <row r="4703">
      <c r="A4703" s="2" t="inlineStr">
        <is>
          <t>2026-03-11</t>
        </is>
      </c>
      <c r="B4703" s="3" t="inlineStr">
        <is>
          <t>대동금속</t>
        </is>
      </c>
      <c r="C4703" s="2" t="inlineStr">
        <is>
          <t>코스닥</t>
        </is>
      </c>
      <c r="D4703" s="2" t="inlineStr">
        <is>
          <t>020400</t>
        </is>
      </c>
      <c r="E4703" s="3" t="inlineStr">
        <is>
          <t xml:space="preserve">현금ㆍ현물배당결정              </t>
        </is>
      </c>
      <c r="F4703" s="3" t="inlineStr">
        <is>
          <t>대동금속</t>
        </is>
      </c>
      <c r="G4703" s="2" t="inlineStr">
        <is>
          <t>20260311900379</t>
        </is>
      </c>
      <c r="H4703" s="8">
        <f>HYPERLINK("https://dart.fss.or.kr/dsaf001/main.do?rcpNo=20260311900379", "공시열람")</f>
        <v/>
      </c>
    </row>
    <row r="4704">
      <c r="A4704" s="2" t="inlineStr">
        <is>
          <t>2026-03-11</t>
        </is>
      </c>
      <c r="B4704" s="3" t="inlineStr">
        <is>
          <t>대동금속</t>
        </is>
      </c>
      <c r="C4704" s="2" t="inlineStr">
        <is>
          <t>코스닥</t>
        </is>
      </c>
      <c r="D4704" s="2" t="inlineStr">
        <is>
          <t>020400</t>
        </is>
      </c>
      <c r="E4704" s="3" t="inlineStr">
        <is>
          <t xml:space="preserve">매출액또는손익구조30%(대규모법인은15%)이상변동              </t>
        </is>
      </c>
      <c r="F4704" s="3" t="inlineStr">
        <is>
          <t>대동금속</t>
        </is>
      </c>
      <c r="G4704" s="2" t="inlineStr">
        <is>
          <t>20260311900375</t>
        </is>
      </c>
      <c r="H4704" s="8">
        <f>HYPERLINK("https://dart.fss.or.kr/dsaf001/main.do?rcpNo=20260311900375", "공시열람")</f>
        <v/>
      </c>
    </row>
    <row r="4705">
      <c r="A4705" s="2" t="inlineStr">
        <is>
          <t>2026-03-11</t>
        </is>
      </c>
      <c r="B4705" s="3" t="inlineStr">
        <is>
          <t>워트</t>
        </is>
      </c>
      <c r="C4705" s="2" t="inlineStr">
        <is>
          <t>코스닥</t>
        </is>
      </c>
      <c r="D4705" s="2" t="inlineStr">
        <is>
          <t>396470</t>
        </is>
      </c>
      <c r="E4705" s="3" t="inlineStr">
        <is>
          <t>임원ㆍ주요주주특정증권등소유상황보고서</t>
        </is>
      </c>
      <c r="F4705" s="3" t="inlineStr">
        <is>
          <t>박승배</t>
        </is>
      </c>
      <c r="G4705" s="2" t="inlineStr">
        <is>
          <t>20260311003404</t>
        </is>
      </c>
      <c r="H4705" s="8">
        <f>HYPERLINK("https://dart.fss.or.kr/dsaf001/main.do?rcpNo=20260311003404", "공시열람")</f>
        <v/>
      </c>
    </row>
    <row r="4706">
      <c r="A4706" s="2" t="inlineStr">
        <is>
          <t>2026-03-11</t>
        </is>
      </c>
      <c r="B4706" s="3" t="inlineStr">
        <is>
          <t>고려산업</t>
        </is>
      </c>
      <c r="C4706" s="2" t="inlineStr">
        <is>
          <t>코스피</t>
        </is>
      </c>
      <c r="D4706" s="2" t="inlineStr">
        <is>
          <t>002140</t>
        </is>
      </c>
      <c r="E4706" s="3" t="inlineStr">
        <is>
          <t xml:space="preserve">감사보고서제출              </t>
        </is>
      </c>
      <c r="F4706" s="3" t="inlineStr">
        <is>
          <t>고려산업</t>
        </is>
      </c>
      <c r="G4706" s="2" t="inlineStr">
        <is>
          <t>20260311800346</t>
        </is>
      </c>
      <c r="H4706" s="8">
        <f>HYPERLINK("https://dart.fss.or.kr/dsaf001/main.do?rcpNo=20260311800346", "공시열람")</f>
        <v/>
      </c>
    </row>
    <row r="4707">
      <c r="A4707" s="2" t="inlineStr">
        <is>
          <t>2026-03-11</t>
        </is>
      </c>
      <c r="B4707" s="3" t="inlineStr">
        <is>
          <t>에너토크</t>
        </is>
      </c>
      <c r="C4707" s="2" t="inlineStr">
        <is>
          <t>코스닥</t>
        </is>
      </c>
      <c r="D4707" s="2" t="inlineStr">
        <is>
          <t>019990</t>
        </is>
      </c>
      <c r="E4707" s="3" t="inlineStr">
        <is>
          <t xml:space="preserve">매출액또는손익구조30%(대규모법인은15%)이상변동              </t>
        </is>
      </c>
      <c r="F4707" s="3" t="inlineStr">
        <is>
          <t>에너토크</t>
        </is>
      </c>
      <c r="G4707" s="2" t="inlineStr">
        <is>
          <t>20260311900360</t>
        </is>
      </c>
      <c r="H4707" s="8">
        <f>HYPERLINK("https://dart.fss.or.kr/dsaf001/main.do?rcpNo=20260311900360", "공시열람")</f>
        <v/>
      </c>
    </row>
    <row r="4708">
      <c r="A4708" s="2" t="inlineStr">
        <is>
          <t>2026-03-11 (정정: 2026-03-25)</t>
        </is>
      </c>
      <c r="B4708" s="3" t="inlineStr">
        <is>
          <t>남화토건</t>
        </is>
      </c>
      <c r="C4708" s="2" t="inlineStr">
        <is>
          <t>코스닥</t>
        </is>
      </c>
      <c r="D4708" s="2" t="inlineStr">
        <is>
          <t>091590</t>
        </is>
      </c>
      <c r="E4708" s="3" t="inlineStr">
        <is>
          <t>의결권대리행사권유참고서류 (정정: 20260325)</t>
        </is>
      </c>
      <c r="F4708" s="3" t="inlineStr">
        <is>
          <t>남화토건</t>
        </is>
      </c>
      <c r="G4708" s="2" t="inlineStr">
        <is>
          <t>20260325000096</t>
        </is>
      </c>
      <c r="H4708" s="8">
        <f>HYPERLINK("https://dart.fss.or.kr/dsaf001/main.do?rcpNo=20260325000096", "공시열람")</f>
        <v/>
      </c>
    </row>
    <row r="4709">
      <c r="A4709" s="2" t="inlineStr">
        <is>
          <t>2026-03-11</t>
        </is>
      </c>
      <c r="B4709" s="3" t="inlineStr">
        <is>
          <t>유비온</t>
        </is>
      </c>
      <c r="C4709" s="2" t="inlineStr">
        <is>
          <t>코스닥</t>
        </is>
      </c>
      <c r="D4709" s="2" t="inlineStr">
        <is>
          <t>084440</t>
        </is>
      </c>
      <c r="E4709" s="3" t="inlineStr">
        <is>
          <t xml:space="preserve">중간(분기)배당을위한주주명부폐쇄(기준일)결정              </t>
        </is>
      </c>
      <c r="F4709" s="3" t="inlineStr">
        <is>
          <t>유비온</t>
        </is>
      </c>
      <c r="G4709" s="2" t="inlineStr">
        <is>
          <t>20260311900351</t>
        </is>
      </c>
      <c r="H4709" s="8">
        <f>HYPERLINK("https://dart.fss.or.kr/dsaf001/main.do?rcpNo=20260311900351", "공시열람")</f>
        <v/>
      </c>
    </row>
    <row r="4710">
      <c r="A4710" s="2" t="inlineStr">
        <is>
          <t>2026-03-11 (정정: 2026-03-11)</t>
        </is>
      </c>
      <c r="B4710" s="3" t="inlineStr">
        <is>
          <t>혜인</t>
        </is>
      </c>
      <c r="C4710" s="2" t="inlineStr">
        <is>
          <t>코스피</t>
        </is>
      </c>
      <c r="D4710" s="2" t="inlineStr">
        <is>
          <t>003010</t>
        </is>
      </c>
      <c r="E4710" s="3" t="inlineStr">
        <is>
          <t>의결권대리행사권유참고서류 (정정: 20260311)</t>
        </is>
      </c>
      <c r="F4710" s="3" t="inlineStr">
        <is>
          <t>혜인</t>
        </is>
      </c>
      <c r="G4710" s="2" t="inlineStr">
        <is>
          <t>20260311003324</t>
        </is>
      </c>
      <c r="H4710" s="8">
        <f>HYPERLINK("https://dart.fss.or.kr/dsaf001/main.do?rcpNo=20260311003324", "공시열람")</f>
        <v/>
      </c>
    </row>
    <row r="4711">
      <c r="A4711" s="2" t="inlineStr">
        <is>
          <t>2026-03-11</t>
        </is>
      </c>
      <c r="B4711" s="3" t="inlineStr">
        <is>
          <t>모토닉</t>
        </is>
      </c>
      <c r="C4711" s="2" t="inlineStr">
        <is>
          <t>코스피</t>
        </is>
      </c>
      <c r="D4711" s="2" t="inlineStr">
        <is>
          <t>009680</t>
        </is>
      </c>
      <c r="E4711" s="3" t="inlineStr">
        <is>
          <t xml:space="preserve">매매거래정지및정지해제(중요내용공시)              </t>
        </is>
      </c>
      <c r="F4711" s="3" t="inlineStr">
        <is>
          <t>유가증권시장본부</t>
        </is>
      </c>
      <c r="G4711" s="2" t="inlineStr">
        <is>
          <t>20260311800324</t>
        </is>
      </c>
      <c r="H4711" s="8">
        <f>HYPERLINK("https://dart.fss.or.kr/dsaf001/main.do?rcpNo=20260311800324", "공시열람")</f>
        <v/>
      </c>
    </row>
    <row r="4712">
      <c r="A4712" s="2" t="inlineStr">
        <is>
          <t>2026-03-11</t>
        </is>
      </c>
      <c r="B4712" s="3" t="inlineStr">
        <is>
          <t>이화공영</t>
        </is>
      </c>
      <c r="C4712" s="2" t="inlineStr">
        <is>
          <t>코스닥</t>
        </is>
      </c>
      <c r="D4712" s="2" t="inlineStr">
        <is>
          <t>001840</t>
        </is>
      </c>
      <c r="E4712" s="3" t="inlineStr">
        <is>
          <t>[첨부정정]의결권대리행사권유참고서류</t>
        </is>
      </c>
      <c r="F4712" s="3" t="inlineStr">
        <is>
          <t>이화공영</t>
        </is>
      </c>
      <c r="G4712" s="2" t="inlineStr">
        <is>
          <t>20260311003382</t>
        </is>
      </c>
      <c r="H4712" s="8">
        <f>HYPERLINK("https://dart.fss.or.kr/dsaf001/main.do?rcpNo=20260311003382", "공시열람")</f>
        <v/>
      </c>
    </row>
    <row r="4713">
      <c r="A4713" s="2" t="inlineStr">
        <is>
          <t>2026-03-11</t>
        </is>
      </c>
      <c r="B4713" s="3" t="inlineStr">
        <is>
          <t>한화플러스제5호스팩</t>
        </is>
      </c>
      <c r="C4713" s="2" t="inlineStr">
        <is>
          <t>코스닥</t>
        </is>
      </c>
      <c r="D4713" s="2" t="inlineStr">
        <is>
          <t>498390</t>
        </is>
      </c>
      <c r="E4713" s="3" t="inlineStr">
        <is>
          <t>의결권대리행사권유참고서류</t>
        </is>
      </c>
      <c r="F4713" s="3" t="inlineStr">
        <is>
          <t>한화플러스제5호스팩</t>
        </is>
      </c>
      <c r="G4713" s="2" t="inlineStr">
        <is>
          <t>20260311003378</t>
        </is>
      </c>
      <c r="H4713" s="8">
        <f>HYPERLINK("https://dart.fss.or.kr/dsaf001/main.do?rcpNo=20260311003378", "공시열람")</f>
        <v/>
      </c>
    </row>
    <row r="4714">
      <c r="A4714" s="2" t="inlineStr">
        <is>
          <t>2026-03-11</t>
        </is>
      </c>
      <c r="B4714" s="3" t="inlineStr">
        <is>
          <t>원익머트리얼즈</t>
        </is>
      </c>
      <c r="C4714" s="2" t="inlineStr">
        <is>
          <t>코스닥</t>
        </is>
      </c>
      <c r="D4714" s="2" t="inlineStr">
        <is>
          <t>104830</t>
        </is>
      </c>
      <c r="E4714" s="3" t="inlineStr">
        <is>
          <t>의결권대리행사권유참고서류</t>
        </is>
      </c>
      <c r="F4714" s="3" t="inlineStr">
        <is>
          <t>원익머트리얼즈</t>
        </is>
      </c>
      <c r="G4714" s="2" t="inlineStr">
        <is>
          <t>20260311003377</t>
        </is>
      </c>
      <c r="H4714" s="8">
        <f>HYPERLINK("https://dart.fss.or.kr/dsaf001/main.do?rcpNo=20260311003377", "공시열람")</f>
        <v/>
      </c>
    </row>
    <row r="4715">
      <c r="A4715" s="2" t="inlineStr">
        <is>
          <t>2026-03-11</t>
        </is>
      </c>
      <c r="B4715" s="3" t="inlineStr">
        <is>
          <t>삼성스팩11호</t>
        </is>
      </c>
      <c r="C4715" s="2" t="inlineStr">
        <is>
          <t>코스닥</t>
        </is>
      </c>
      <c r="D4715" s="2" t="inlineStr">
        <is>
          <t>0071M0</t>
        </is>
      </c>
      <c r="E4715" s="3" t="inlineStr">
        <is>
          <t xml:space="preserve">감사보고서제출              </t>
        </is>
      </c>
      <c r="F4715" s="3" t="inlineStr">
        <is>
          <t>삼성스팩11호</t>
        </is>
      </c>
      <c r="G4715" s="2" t="inlineStr">
        <is>
          <t>20260311900316</t>
        </is>
      </c>
      <c r="H4715" s="8">
        <f>HYPERLINK("https://dart.fss.or.kr/dsaf001/main.do?rcpNo=20260311900316", "공시열람")</f>
        <v/>
      </c>
    </row>
    <row r="4716">
      <c r="A4716" s="2" t="inlineStr">
        <is>
          <t>2026-03-11</t>
        </is>
      </c>
      <c r="B4716" s="3" t="inlineStr">
        <is>
          <t>와이투솔루션</t>
        </is>
      </c>
      <c r="C4716" s="2" t="inlineStr">
        <is>
          <t>코스피</t>
        </is>
      </c>
      <c r="D4716" s="2" t="inlineStr">
        <is>
          <t>011690</t>
        </is>
      </c>
      <c r="E4716" s="3" t="inlineStr">
        <is>
          <t>의결권대리행사권유참고서류</t>
        </is>
      </c>
      <c r="F4716" s="3" t="inlineStr">
        <is>
          <t>와이투솔루션</t>
        </is>
      </c>
      <c r="G4716" s="2" t="inlineStr">
        <is>
          <t>20260311003365</t>
        </is>
      </c>
      <c r="H4716" s="8">
        <f>HYPERLINK("https://dart.fss.or.kr/dsaf001/main.do?rcpNo=20260311003365", "공시열람")</f>
        <v/>
      </c>
    </row>
    <row r="4717">
      <c r="A4717" s="2" t="inlineStr">
        <is>
          <t>2026-03-11</t>
        </is>
      </c>
      <c r="B4717" s="3" t="inlineStr">
        <is>
          <t>스타플렉스</t>
        </is>
      </c>
      <c r="C4717" s="2" t="inlineStr">
        <is>
          <t>코스닥</t>
        </is>
      </c>
      <c r="D4717" s="2" t="inlineStr">
        <is>
          <t>115570</t>
        </is>
      </c>
      <c r="E4717" s="3" t="inlineStr">
        <is>
          <t xml:space="preserve">현금ㆍ현물배당결정              </t>
        </is>
      </c>
      <c r="F4717" s="3" t="inlineStr">
        <is>
          <t>스타플렉스</t>
        </is>
      </c>
      <c r="G4717" s="2" t="inlineStr">
        <is>
          <t>20260311900290</t>
        </is>
      </c>
      <c r="H4717" s="8">
        <f>HYPERLINK("https://dart.fss.or.kr/dsaf001/main.do?rcpNo=20260311900290", "공시열람")</f>
        <v/>
      </c>
    </row>
    <row r="4718">
      <c r="A4718" s="2" t="inlineStr">
        <is>
          <t>2026-03-11</t>
        </is>
      </c>
      <c r="B4718" s="3" t="inlineStr">
        <is>
          <t>스타플렉스</t>
        </is>
      </c>
      <c r="C4718" s="2" t="inlineStr">
        <is>
          <t>코스닥</t>
        </is>
      </c>
      <c r="D4718" s="2" t="inlineStr">
        <is>
          <t>115570</t>
        </is>
      </c>
      <c r="E4718" s="3" t="inlineStr">
        <is>
          <t xml:space="preserve">매출액또는손익구조30%(대규모법인은15%)이상변동              </t>
        </is>
      </c>
      <c r="F4718" s="3" t="inlineStr">
        <is>
          <t>스타플렉스</t>
        </is>
      </c>
      <c r="G4718" s="2" t="inlineStr">
        <is>
          <t>20260311900283</t>
        </is>
      </c>
      <c r="H4718" s="8">
        <f>HYPERLINK("https://dart.fss.or.kr/dsaf001/main.do?rcpNo=20260311900283", "공시열람")</f>
        <v/>
      </c>
    </row>
    <row r="4719">
      <c r="A4719" s="2" t="inlineStr">
        <is>
          <t>2026-03-11 (정정: 2026-03-11)</t>
        </is>
      </c>
      <c r="B4719" s="3" t="inlineStr">
        <is>
          <t>한화</t>
        </is>
      </c>
      <c r="C4719" s="2" t="inlineStr">
        <is>
          <t>코스피</t>
        </is>
      </c>
      <c r="D4719" s="2" t="inlineStr">
        <is>
          <t>000880</t>
        </is>
      </c>
      <c r="E4719" s="3" t="inlineStr">
        <is>
          <t>[기재정정]의결권대리행사권유참고서류 (정정: 20260311) (정정: 20260311)</t>
        </is>
      </c>
      <c r="F4719" s="3" t="inlineStr">
        <is>
          <t>한화</t>
        </is>
      </c>
      <c r="G4719" s="2" t="inlineStr">
        <is>
          <t>20260311003302</t>
        </is>
      </c>
      <c r="H4719" s="8">
        <f>HYPERLINK("https://dart.fss.or.kr/dsaf001/main.do?rcpNo=20260311003302", "공시열람")</f>
        <v/>
      </c>
    </row>
    <row r="4720">
      <c r="A4720" s="2" t="inlineStr">
        <is>
          <t>2026-03-11</t>
        </is>
      </c>
      <c r="B4720" s="3" t="inlineStr">
        <is>
          <t>오디텍</t>
        </is>
      </c>
      <c r="C4720" s="2" t="inlineStr">
        <is>
          <t>코스닥</t>
        </is>
      </c>
      <c r="D4720" s="2" t="inlineStr">
        <is>
          <t>080520</t>
        </is>
      </c>
      <c r="E4720" s="3" t="inlineStr">
        <is>
          <t xml:space="preserve">현금ㆍ현물배당결정              </t>
        </is>
      </c>
      <c r="F4720" s="3" t="inlineStr">
        <is>
          <t>오디텍</t>
        </is>
      </c>
      <c r="G4720" s="2" t="inlineStr">
        <is>
          <t>20260311900257</t>
        </is>
      </c>
      <c r="H4720" s="8">
        <f>HYPERLINK("https://dart.fss.or.kr/dsaf001/main.do?rcpNo=20260311900257", "공시열람")</f>
        <v/>
      </c>
    </row>
    <row r="4721">
      <c r="A4721" s="2" t="inlineStr">
        <is>
          <t>2026-03-11</t>
        </is>
      </c>
      <c r="B4721" s="3" t="inlineStr">
        <is>
          <t>러셀</t>
        </is>
      </c>
      <c r="C4721" s="2" t="inlineStr">
        <is>
          <t>코스닥</t>
        </is>
      </c>
      <c r="D4721" s="2" t="inlineStr">
        <is>
          <t>217500</t>
        </is>
      </c>
      <c r="E4721" s="3" t="inlineStr">
        <is>
          <t>자기주식처분결과보고서</t>
        </is>
      </c>
      <c r="F4721" s="3" t="inlineStr">
        <is>
          <t>러셀</t>
        </is>
      </c>
      <c r="G4721" s="2" t="inlineStr">
        <is>
          <t>20260311003345</t>
        </is>
      </c>
      <c r="H4721" s="8">
        <f>HYPERLINK("https://dart.fss.or.kr/dsaf001/main.do?rcpNo=20260311003345", "공시열람")</f>
        <v/>
      </c>
    </row>
    <row r="4722">
      <c r="A4722" s="2" t="inlineStr">
        <is>
          <t>2026-03-11</t>
        </is>
      </c>
      <c r="B4722" s="3" t="inlineStr">
        <is>
          <t>이엘피</t>
        </is>
      </c>
      <c r="C4722" s="2" t="inlineStr">
        <is>
          <t>코스닥</t>
        </is>
      </c>
      <c r="D4722" s="2" t="inlineStr">
        <is>
          <t>063760</t>
        </is>
      </c>
      <c r="E4722" s="3" t="inlineStr">
        <is>
          <t>의결권대리행사권유참고서류</t>
        </is>
      </c>
      <c r="F4722" s="3" t="inlineStr">
        <is>
          <t>이엘피</t>
        </is>
      </c>
      <c r="G4722" s="2" t="inlineStr">
        <is>
          <t>20260311003336</t>
        </is>
      </c>
      <c r="H4722" s="8">
        <f>HYPERLINK("https://dart.fss.or.kr/dsaf001/main.do?rcpNo=20260311003336", "공시열람")</f>
        <v/>
      </c>
    </row>
    <row r="4723">
      <c r="A4723" s="2" t="inlineStr">
        <is>
          <t>2026-03-11</t>
        </is>
      </c>
      <c r="B4723" s="3" t="inlineStr">
        <is>
          <t>디케이티</t>
        </is>
      </c>
      <c r="C4723" s="2" t="inlineStr">
        <is>
          <t>코스닥</t>
        </is>
      </c>
      <c r="D4723" s="2" t="inlineStr">
        <is>
          <t>290550</t>
        </is>
      </c>
      <c r="E4723" s="3" t="inlineStr">
        <is>
          <t>의결권대리행사권유참고서류</t>
        </is>
      </c>
      <c r="F4723" s="3" t="inlineStr">
        <is>
          <t>디케이티</t>
        </is>
      </c>
      <c r="G4723" s="2" t="inlineStr">
        <is>
          <t>20260311003335</t>
        </is>
      </c>
      <c r="H4723" s="8">
        <f>HYPERLINK("https://dart.fss.or.kr/dsaf001/main.do?rcpNo=20260311003335", "공시열람")</f>
        <v/>
      </c>
    </row>
    <row r="4724">
      <c r="A4724" s="2" t="inlineStr">
        <is>
          <t>2026-03-11</t>
        </is>
      </c>
      <c r="B4724" s="3" t="inlineStr">
        <is>
          <t>잉크테크</t>
        </is>
      </c>
      <c r="C4724" s="2" t="inlineStr">
        <is>
          <t>코스닥</t>
        </is>
      </c>
      <c r="D4724" s="2" t="inlineStr">
        <is>
          <t>049550</t>
        </is>
      </c>
      <c r="E4724" s="3" t="inlineStr">
        <is>
          <t>임원ㆍ주요주주특정증권등소유상황보고서</t>
        </is>
      </c>
      <c r="F4724" s="3" t="inlineStr">
        <is>
          <t>김정돈</t>
        </is>
      </c>
      <c r="G4724" s="2" t="inlineStr">
        <is>
          <t>20260311003333</t>
        </is>
      </c>
      <c r="H4724" s="8">
        <f>HYPERLINK("https://dart.fss.or.kr/dsaf001/main.do?rcpNo=20260311003333", "공시열람")</f>
        <v/>
      </c>
    </row>
    <row r="4725">
      <c r="A4725" s="2" t="inlineStr">
        <is>
          <t>2026-03-11</t>
        </is>
      </c>
      <c r="B4725" s="3" t="inlineStr">
        <is>
          <t>비에이치</t>
        </is>
      </c>
      <c r="C4725" s="2" t="inlineStr">
        <is>
          <t>코스피</t>
        </is>
      </c>
      <c r="D4725" s="2" t="inlineStr">
        <is>
          <t>090460</t>
        </is>
      </c>
      <c r="E4725" s="3" t="inlineStr">
        <is>
          <t>의결권대리행사권유참고서류</t>
        </is>
      </c>
      <c r="F4725" s="3" t="inlineStr">
        <is>
          <t>비에이치</t>
        </is>
      </c>
      <c r="G4725" s="2" t="inlineStr">
        <is>
          <t>20260311003332</t>
        </is>
      </c>
      <c r="H4725" s="8">
        <f>HYPERLINK("https://dart.fss.or.kr/dsaf001/main.do?rcpNo=20260311003332", "공시열람")</f>
        <v/>
      </c>
    </row>
    <row r="4726">
      <c r="A4726" s="2" t="inlineStr">
        <is>
          <t>2026-03-11</t>
        </is>
      </c>
      <c r="B4726" s="3" t="inlineStr">
        <is>
          <t>피코그램</t>
        </is>
      </c>
      <c r="C4726" s="2" t="inlineStr">
        <is>
          <t>코스닥</t>
        </is>
      </c>
      <c r="D4726" s="2" t="inlineStr">
        <is>
          <t>376180</t>
        </is>
      </c>
      <c r="E4726" s="3" t="inlineStr">
        <is>
          <t>의결권대리행사권유참고서류</t>
        </is>
      </c>
      <c r="F4726" s="3" t="inlineStr">
        <is>
          <t>피코그램</t>
        </is>
      </c>
      <c r="G4726" s="2" t="inlineStr">
        <is>
          <t>20260311003321</t>
        </is>
      </c>
      <c r="H4726" s="8">
        <f>HYPERLINK("https://dart.fss.or.kr/dsaf001/main.do?rcpNo=20260311003321", "공시열람")</f>
        <v/>
      </c>
    </row>
    <row r="4727">
      <c r="A4727" s="2" t="inlineStr">
        <is>
          <t>2026-03-11</t>
        </is>
      </c>
      <c r="B4727" s="3" t="inlineStr">
        <is>
          <t>디케이앤디</t>
        </is>
      </c>
      <c r="C4727" s="2" t="inlineStr">
        <is>
          <t>코스닥</t>
        </is>
      </c>
      <c r="D4727" s="2" t="inlineStr">
        <is>
          <t>263020</t>
        </is>
      </c>
      <c r="E4727" s="3" t="inlineStr">
        <is>
          <t xml:space="preserve">현금ㆍ현물배당결정              </t>
        </is>
      </c>
      <c r="F4727" s="3" t="inlineStr">
        <is>
          <t>디케이앤디</t>
        </is>
      </c>
      <c r="G4727" s="2" t="inlineStr">
        <is>
          <t>20260311900227</t>
        </is>
      </c>
      <c r="H4727" s="8">
        <f>HYPERLINK("https://dart.fss.or.kr/dsaf001/main.do?rcpNo=20260311900227", "공시열람")</f>
        <v/>
      </c>
    </row>
    <row r="4728">
      <c r="A4728" s="2" t="inlineStr">
        <is>
          <t>2026-03-11</t>
        </is>
      </c>
      <c r="B4728" s="3" t="inlineStr">
        <is>
          <t>비보존 제약</t>
        </is>
      </c>
      <c r="C4728" s="2" t="inlineStr">
        <is>
          <t>코스닥</t>
        </is>
      </c>
      <c r="D4728" s="2" t="inlineStr">
        <is>
          <t>082800</t>
        </is>
      </c>
      <c r="E4728" s="3" t="inlineStr">
        <is>
          <t>임원ㆍ주요주주특정증권등소유상황보고서</t>
        </is>
      </c>
      <c r="F4728" s="3" t="inlineStr">
        <is>
          <t>박재심</t>
        </is>
      </c>
      <c r="G4728" s="2" t="inlineStr">
        <is>
          <t>20260311003307</t>
        </is>
      </c>
      <c r="H4728" s="8">
        <f>HYPERLINK("https://dart.fss.or.kr/dsaf001/main.do?rcpNo=20260311003307", "공시열람")</f>
        <v/>
      </c>
    </row>
    <row r="4729">
      <c r="A4729" s="2" t="inlineStr">
        <is>
          <t>2026-03-11</t>
        </is>
      </c>
      <c r="B4729" s="3" t="inlineStr">
        <is>
          <t>조비</t>
        </is>
      </c>
      <c r="C4729" s="2" t="inlineStr">
        <is>
          <t>코스피</t>
        </is>
      </c>
      <c r="D4729" s="2" t="inlineStr">
        <is>
          <t>001550</t>
        </is>
      </c>
      <c r="E4729" s="3" t="inlineStr">
        <is>
          <t>의결권대리행사권유참고서류</t>
        </is>
      </c>
      <c r="F4729" s="3" t="inlineStr">
        <is>
          <t>조비</t>
        </is>
      </c>
      <c r="G4729" s="2" t="inlineStr">
        <is>
          <t>20260311003304</t>
        </is>
      </c>
      <c r="H4729" s="8">
        <f>HYPERLINK("https://dart.fss.or.kr/dsaf001/main.do?rcpNo=20260311003304", "공시열람")</f>
        <v/>
      </c>
    </row>
    <row r="4730">
      <c r="A4730" s="2" t="inlineStr">
        <is>
          <t>2026-03-11</t>
        </is>
      </c>
      <c r="B4730" s="3" t="inlineStr">
        <is>
          <t>비보존 제약</t>
        </is>
      </c>
      <c r="C4730" s="2" t="inlineStr">
        <is>
          <t>코스닥</t>
        </is>
      </c>
      <c r="D4730" s="2" t="inlineStr">
        <is>
          <t>082800</t>
        </is>
      </c>
      <c r="E4730" s="3" t="inlineStr">
        <is>
          <t>임원ㆍ주요주주특정증권등소유상황보고서</t>
        </is>
      </c>
      <c r="F4730" s="3" t="inlineStr">
        <is>
          <t>박한수</t>
        </is>
      </c>
      <c r="G4730" s="2" t="inlineStr">
        <is>
          <t>20260311003296</t>
        </is>
      </c>
      <c r="H4730" s="8">
        <f>HYPERLINK("https://dart.fss.or.kr/dsaf001/main.do?rcpNo=20260311003296", "공시열람")</f>
        <v/>
      </c>
    </row>
    <row r="4731">
      <c r="A4731" s="2" t="inlineStr">
        <is>
          <t>2026-03-11</t>
        </is>
      </c>
      <c r="B4731" s="3" t="inlineStr">
        <is>
          <t>바이오에프디엔씨</t>
        </is>
      </c>
      <c r="C4731" s="2" t="inlineStr">
        <is>
          <t>코스닥</t>
        </is>
      </c>
      <c r="D4731" s="2" t="inlineStr">
        <is>
          <t>251120</t>
        </is>
      </c>
      <c r="E4731" s="3" t="inlineStr">
        <is>
          <t>의결권대리행사권유참고서류</t>
        </is>
      </c>
      <c r="F4731" s="3" t="inlineStr">
        <is>
          <t>바이오에프디엔씨</t>
        </is>
      </c>
      <c r="G4731" s="2" t="inlineStr">
        <is>
          <t>20260311003293</t>
        </is>
      </c>
      <c r="H4731" s="8">
        <f>HYPERLINK("https://dart.fss.or.kr/dsaf001/main.do?rcpNo=20260311003293", "공시열람")</f>
        <v/>
      </c>
    </row>
    <row r="4732">
      <c r="A4732" s="2" t="inlineStr">
        <is>
          <t>2026-03-11</t>
        </is>
      </c>
      <c r="B4732" s="3" t="inlineStr">
        <is>
          <t>한화</t>
        </is>
      </c>
      <c r="C4732" s="2" t="inlineStr">
        <is>
          <t>코스피</t>
        </is>
      </c>
      <c r="D4732" s="2" t="inlineStr">
        <is>
          <t>000880</t>
        </is>
      </c>
      <c r="E4732" s="3" t="inlineStr">
        <is>
          <t>[기재정정]주요사항보고서(감자결정)</t>
        </is>
      </c>
      <c r="F4732" s="3" t="inlineStr">
        <is>
          <t>한화</t>
        </is>
      </c>
      <c r="G4732" s="2" t="inlineStr">
        <is>
          <t>20260311003260</t>
        </is>
      </c>
      <c r="H4732" s="8">
        <f>HYPERLINK("https://dart.fss.or.kr/dsaf001/main.do?rcpNo=20260311003260", "공시열람")</f>
        <v/>
      </c>
    </row>
    <row r="4733">
      <c r="A4733" s="2" t="inlineStr">
        <is>
          <t>2026-03-11</t>
        </is>
      </c>
      <c r="B4733" s="3" t="inlineStr">
        <is>
          <t>케이카</t>
        </is>
      </c>
      <c r="C4733" s="2" t="inlineStr">
        <is>
          <t>코스피</t>
        </is>
      </c>
      <c r="D4733" s="2" t="inlineStr">
        <is>
          <t>381970</t>
        </is>
      </c>
      <c r="E4733" s="3" t="inlineStr">
        <is>
          <t>의결권대리행사권유참고서류</t>
        </is>
      </c>
      <c r="F4733" s="3" t="inlineStr">
        <is>
          <t>케이카</t>
        </is>
      </c>
      <c r="G4733" s="2" t="inlineStr">
        <is>
          <t>20260311003292</t>
        </is>
      </c>
      <c r="H4733" s="8">
        <f>HYPERLINK("https://dart.fss.or.kr/dsaf001/main.do?rcpNo=20260311003292", "공시열람")</f>
        <v/>
      </c>
    </row>
    <row r="4734">
      <c r="A4734" s="2" t="inlineStr">
        <is>
          <t>2026-03-11</t>
        </is>
      </c>
      <c r="B4734" s="3" t="inlineStr">
        <is>
          <t>디아이티</t>
        </is>
      </c>
      <c r="C4734" s="2" t="inlineStr">
        <is>
          <t>코스닥</t>
        </is>
      </c>
      <c r="D4734" s="2" t="inlineStr">
        <is>
          <t>110990</t>
        </is>
      </c>
      <c r="E4734" s="3" t="inlineStr">
        <is>
          <t>자기주식처분결과보고서</t>
        </is>
      </c>
      <c r="F4734" s="3" t="inlineStr">
        <is>
          <t>디아이티</t>
        </is>
      </c>
      <c r="G4734" s="2" t="inlineStr">
        <is>
          <t>20260311003290</t>
        </is>
      </c>
      <c r="H4734" s="8">
        <f>HYPERLINK("https://dart.fss.or.kr/dsaf001/main.do?rcpNo=20260311003290", "공시열람")</f>
        <v/>
      </c>
    </row>
    <row r="4735">
      <c r="A4735" s="2" t="inlineStr">
        <is>
          <t>2026-03-11</t>
        </is>
      </c>
      <c r="B4735" s="3" t="inlineStr">
        <is>
          <t>농심</t>
        </is>
      </c>
      <c r="C4735" s="2" t="inlineStr">
        <is>
          <t>코스피</t>
        </is>
      </c>
      <c r="D4735" s="2" t="inlineStr">
        <is>
          <t>004370</t>
        </is>
      </c>
      <c r="E4735" s="3" t="inlineStr">
        <is>
          <t>동일인등출자계열회사와의상품ㆍ용역거래</t>
        </is>
      </c>
      <c r="F4735" s="3" t="inlineStr">
        <is>
          <t>농심</t>
        </is>
      </c>
      <c r="G4735" s="2" t="inlineStr">
        <is>
          <t>20260311003285</t>
        </is>
      </c>
      <c r="H4735" s="8">
        <f>HYPERLINK("https://dart.fss.or.kr/dsaf001/main.do?rcpNo=20260311003285", "공시열람")</f>
        <v/>
      </c>
    </row>
    <row r="4736">
      <c r="A4736" s="2" t="inlineStr">
        <is>
          <t>2026-03-11</t>
        </is>
      </c>
      <c r="B4736" s="3" t="inlineStr">
        <is>
          <t>디케이앤디</t>
        </is>
      </c>
      <c r="C4736" s="2" t="inlineStr">
        <is>
          <t>코스닥</t>
        </is>
      </c>
      <c r="D4736" s="2" t="inlineStr">
        <is>
          <t>263020</t>
        </is>
      </c>
      <c r="E4736" s="3" t="inlineStr">
        <is>
          <t xml:space="preserve">매출액또는손익구조30%(대규모법인은15%)이상변동              </t>
        </is>
      </c>
      <c r="F4736" s="3" t="inlineStr">
        <is>
          <t>디케이앤디</t>
        </is>
      </c>
      <c r="G4736" s="2" t="inlineStr">
        <is>
          <t>20260311900181</t>
        </is>
      </c>
      <c r="H4736" s="8">
        <f>HYPERLINK("https://dart.fss.or.kr/dsaf001/main.do?rcpNo=20260311900181", "공시열람")</f>
        <v/>
      </c>
    </row>
    <row r="4737">
      <c r="A4737" s="2" t="inlineStr">
        <is>
          <t>2026-03-11</t>
        </is>
      </c>
      <c r="B4737" s="3" t="inlineStr">
        <is>
          <t>농심</t>
        </is>
      </c>
      <c r="C4737" s="2" t="inlineStr">
        <is>
          <t>코스피</t>
        </is>
      </c>
      <c r="D4737" s="2" t="inlineStr">
        <is>
          <t>004370</t>
        </is>
      </c>
      <c r="E4737" s="3" t="inlineStr">
        <is>
          <t>동일인등출자계열회사와의상품ㆍ용역거래</t>
        </is>
      </c>
      <c r="F4737" s="3" t="inlineStr">
        <is>
          <t>농심</t>
        </is>
      </c>
      <c r="G4737" s="2" t="inlineStr">
        <is>
          <t>20260311003276</t>
        </is>
      </c>
      <c r="H4737" s="8">
        <f>HYPERLINK("https://dart.fss.or.kr/dsaf001/main.do?rcpNo=20260311003276", "공시열람")</f>
        <v/>
      </c>
    </row>
    <row r="4738">
      <c r="A4738" s="2" t="inlineStr">
        <is>
          <t>2026-03-11</t>
        </is>
      </c>
      <c r="B4738" s="3" t="inlineStr">
        <is>
          <t>SK가스</t>
        </is>
      </c>
      <c r="C4738" s="2" t="inlineStr">
        <is>
          <t>코스피</t>
        </is>
      </c>
      <c r="D4738" s="2" t="inlineStr">
        <is>
          <t>018670</t>
        </is>
      </c>
      <c r="E4738" s="3" t="inlineStr">
        <is>
          <t>임원ㆍ주요주주특정증권등소유상황보고서</t>
        </is>
      </c>
      <c r="F4738" s="3" t="inlineStr">
        <is>
          <t>이윤철</t>
        </is>
      </c>
      <c r="G4738" s="2" t="inlineStr">
        <is>
          <t>20260311003274</t>
        </is>
      </c>
      <c r="H4738" s="8">
        <f>HYPERLINK("https://dart.fss.or.kr/dsaf001/main.do?rcpNo=20260311003274", "공시열람")</f>
        <v/>
      </c>
    </row>
    <row r="4739">
      <c r="A4739" s="2" t="inlineStr">
        <is>
          <t>2026-03-11</t>
        </is>
      </c>
      <c r="B4739" s="3" t="inlineStr">
        <is>
          <t>에스에너지</t>
        </is>
      </c>
      <c r="C4739" s="2" t="inlineStr">
        <is>
          <t>코스닥</t>
        </is>
      </c>
      <c r="D4739" s="2" t="inlineStr">
        <is>
          <t>095910</t>
        </is>
      </c>
      <c r="E4739" s="3" t="inlineStr">
        <is>
          <t xml:space="preserve">유상증자또는주식관련사채등의청약결과(자율공시)              </t>
        </is>
      </c>
      <c r="F4739" s="3" t="inlineStr">
        <is>
          <t>에스에너지</t>
        </is>
      </c>
      <c r="G4739" s="2" t="inlineStr">
        <is>
          <t>20260311900196</t>
        </is>
      </c>
      <c r="H4739" s="8">
        <f>HYPERLINK("https://dart.fss.or.kr/dsaf001/main.do?rcpNo=20260311900196", "공시열람")</f>
        <v/>
      </c>
    </row>
    <row r="4740">
      <c r="A4740" s="2" t="inlineStr">
        <is>
          <t>2026-03-11</t>
        </is>
      </c>
      <c r="B4740" s="3" t="inlineStr">
        <is>
          <t>티쓰리</t>
        </is>
      </c>
      <c r="C4740" s="2" t="inlineStr">
        <is>
          <t>코스닥</t>
        </is>
      </c>
      <c r="D4740" s="2" t="inlineStr">
        <is>
          <t>204610</t>
        </is>
      </c>
      <c r="E4740" s="3" t="inlineStr">
        <is>
          <t xml:space="preserve">기업설명회(IR)개최              </t>
        </is>
      </c>
      <c r="F4740" s="3" t="inlineStr">
        <is>
          <t>티쓰리</t>
        </is>
      </c>
      <c r="G4740" s="2" t="inlineStr">
        <is>
          <t>20260311900163</t>
        </is>
      </c>
      <c r="H4740" s="8">
        <f>HYPERLINK("https://dart.fss.or.kr/dsaf001/main.do?rcpNo=20260311900163", "공시열람")</f>
        <v/>
      </c>
    </row>
    <row r="4741">
      <c r="A4741" s="2" t="inlineStr">
        <is>
          <t>2026-03-11</t>
        </is>
      </c>
      <c r="B4741" s="3" t="inlineStr">
        <is>
          <t>넥스트바이오메디컬</t>
        </is>
      </c>
      <c r="C4741" s="2" t="inlineStr">
        <is>
          <t>코스닥</t>
        </is>
      </c>
      <c r="D4741" s="2" t="inlineStr">
        <is>
          <t>389650</t>
        </is>
      </c>
      <c r="E4741" s="3" t="inlineStr">
        <is>
          <t>의결권대리행사권유참고서류</t>
        </is>
      </c>
      <c r="F4741" s="3" t="inlineStr">
        <is>
          <t>넥스트바이오메디컬</t>
        </is>
      </c>
      <c r="G4741" s="2" t="inlineStr">
        <is>
          <t>20260311003259</t>
        </is>
      </c>
      <c r="H4741" s="8">
        <f>HYPERLINK("https://dart.fss.or.kr/dsaf001/main.do?rcpNo=20260311003259", "공시열람")</f>
        <v/>
      </c>
    </row>
    <row r="4742">
      <c r="A4742" s="2" t="inlineStr">
        <is>
          <t>2026-03-11</t>
        </is>
      </c>
      <c r="B4742" s="3" t="inlineStr">
        <is>
          <t>기가비스</t>
        </is>
      </c>
      <c r="C4742" s="2" t="inlineStr">
        <is>
          <t>코스닥</t>
        </is>
      </c>
      <c r="D4742" s="2" t="inlineStr">
        <is>
          <t>420770</t>
        </is>
      </c>
      <c r="E4742" s="3" t="inlineStr">
        <is>
          <t>임원ㆍ주요주주특정증권등소유상황보고서</t>
        </is>
      </c>
      <c r="F4742" s="3" t="inlineStr">
        <is>
          <t>이호영</t>
        </is>
      </c>
      <c r="G4742" s="2" t="inlineStr">
        <is>
          <t>20260311003258</t>
        </is>
      </c>
      <c r="H4742" s="8">
        <f>HYPERLINK("https://dart.fss.or.kr/dsaf001/main.do?rcpNo=20260311003258", "공시열람")</f>
        <v/>
      </c>
    </row>
    <row r="4743">
      <c r="A4743" s="2" t="inlineStr">
        <is>
          <t>2026-03-11</t>
        </is>
      </c>
      <c r="B4743" s="3" t="inlineStr">
        <is>
          <t>한화손해보험</t>
        </is>
      </c>
      <c r="C4743" s="2" t="inlineStr">
        <is>
          <t>코스피</t>
        </is>
      </c>
      <c r="D4743" s="2" t="inlineStr">
        <is>
          <t>000370</t>
        </is>
      </c>
      <c r="E4743" s="3" t="inlineStr">
        <is>
          <t>임원ㆍ주요주주특정증권등소유상황보고서</t>
        </is>
      </c>
      <c r="F4743" s="3" t="inlineStr">
        <is>
          <t>하재현</t>
        </is>
      </c>
      <c r="G4743" s="2" t="inlineStr">
        <is>
          <t>20260311003256</t>
        </is>
      </c>
      <c r="H4743" s="8">
        <f>HYPERLINK("https://dart.fss.or.kr/dsaf001/main.do?rcpNo=20260311003256", "공시열람")</f>
        <v/>
      </c>
    </row>
    <row r="4744">
      <c r="A4744" s="2" t="inlineStr">
        <is>
          <t>2026-03-11</t>
        </is>
      </c>
      <c r="B4744" s="3" t="inlineStr">
        <is>
          <t>유안타증권</t>
        </is>
      </c>
      <c r="C4744" s="2" t="inlineStr">
        <is>
          <t>코스피</t>
        </is>
      </c>
      <c r="D4744" s="2" t="inlineStr">
        <is>
          <t>003470</t>
        </is>
      </c>
      <c r="E4744" s="3" t="inlineStr">
        <is>
          <t>증권발행실적보고서</t>
        </is>
      </c>
      <c r="F4744" s="3" t="inlineStr">
        <is>
          <t>유안타증권</t>
        </is>
      </c>
      <c r="G4744" s="2" t="inlineStr">
        <is>
          <t>20260311003251</t>
        </is>
      </c>
      <c r="H4744" s="8">
        <f>HYPERLINK("https://dart.fss.or.kr/dsaf001/main.do?rcpNo=20260311003251", "공시열람")</f>
        <v/>
      </c>
    </row>
    <row r="4745">
      <c r="A4745" s="2" t="inlineStr">
        <is>
          <t>2026-03-11</t>
        </is>
      </c>
      <c r="B4745" s="3" t="inlineStr">
        <is>
          <t>기가비스</t>
        </is>
      </c>
      <c r="C4745" s="2" t="inlineStr">
        <is>
          <t>코스닥</t>
        </is>
      </c>
      <c r="D4745" s="2" t="inlineStr">
        <is>
          <t>420770</t>
        </is>
      </c>
      <c r="E4745" s="3" t="inlineStr">
        <is>
          <t>임원ㆍ주요주주특정증권등소유상황보고서</t>
        </is>
      </c>
      <c r="F4745" s="3" t="inlineStr">
        <is>
          <t>김상준</t>
        </is>
      </c>
      <c r="G4745" s="2" t="inlineStr">
        <is>
          <t>20260311003250</t>
        </is>
      </c>
      <c r="H4745" s="8">
        <f>HYPERLINK("https://dart.fss.or.kr/dsaf001/main.do?rcpNo=20260311003250", "공시열람")</f>
        <v/>
      </c>
    </row>
    <row r="4746">
      <c r="A4746" s="2" t="inlineStr">
        <is>
          <t>2026-03-11</t>
        </is>
      </c>
      <c r="B4746" s="3" t="inlineStr">
        <is>
          <t>코아스</t>
        </is>
      </c>
      <c r="C4746" s="2" t="inlineStr">
        <is>
          <t>코스피</t>
        </is>
      </c>
      <c r="D4746" s="2" t="inlineStr">
        <is>
          <t>071950</t>
        </is>
      </c>
      <c r="E4746" s="3" t="inlineStr">
        <is>
          <t xml:space="preserve">전환가액ㆍ신주인수권행사가액ㆍ교환가액의조정(안내공시)              </t>
        </is>
      </c>
      <c r="F4746" s="3" t="inlineStr">
        <is>
          <t>코아스</t>
        </is>
      </c>
      <c r="G4746" s="2" t="inlineStr">
        <is>
          <t>20260311800165</t>
        </is>
      </c>
      <c r="H4746" s="8">
        <f>HYPERLINK("https://dart.fss.or.kr/dsaf001/main.do?rcpNo=20260311800165", "공시열람")</f>
        <v/>
      </c>
    </row>
    <row r="4747">
      <c r="A4747" s="2" t="inlineStr">
        <is>
          <t>2026-03-11</t>
        </is>
      </c>
      <c r="B4747" s="3" t="inlineStr">
        <is>
          <t>코아스</t>
        </is>
      </c>
      <c r="C4747" s="2" t="inlineStr">
        <is>
          <t>코스피</t>
        </is>
      </c>
      <c r="D4747" s="2" t="inlineStr">
        <is>
          <t>071950</t>
        </is>
      </c>
      <c r="E4747" s="3" t="inlineStr">
        <is>
          <t xml:space="preserve">전환가액ㆍ신주인수권행사가액ㆍ교환가액의조정(안내공시)              </t>
        </is>
      </c>
      <c r="F4747" s="3" t="inlineStr">
        <is>
          <t>코아스</t>
        </is>
      </c>
      <c r="G4747" s="2" t="inlineStr">
        <is>
          <t>20260311800164</t>
        </is>
      </c>
      <c r="H4747" s="8">
        <f>HYPERLINK("https://dart.fss.or.kr/dsaf001/main.do?rcpNo=20260311800164", "공시열람")</f>
        <v/>
      </c>
    </row>
    <row r="4748">
      <c r="A4748" s="2" t="inlineStr">
        <is>
          <t>2026-03-11</t>
        </is>
      </c>
      <c r="B4748" s="3" t="inlineStr">
        <is>
          <t>아이디피</t>
        </is>
      </c>
      <c r="C4748" s="2" t="inlineStr">
        <is>
          <t>코스닥</t>
        </is>
      </c>
      <c r="D4748" s="2" t="inlineStr">
        <is>
          <t>332370</t>
        </is>
      </c>
      <c r="E4748" s="3" t="inlineStr">
        <is>
          <t>임원ㆍ주요주주특정증권등소유상황보고서</t>
        </is>
      </c>
      <c r="F4748" s="3" t="inlineStr">
        <is>
          <t>아이디스홀딩스</t>
        </is>
      </c>
      <c r="G4748" s="2" t="inlineStr">
        <is>
          <t>20260311003240</t>
        </is>
      </c>
      <c r="H4748" s="8">
        <f>HYPERLINK("https://dart.fss.or.kr/dsaf001/main.do?rcpNo=20260311003240", "공시열람")</f>
        <v/>
      </c>
    </row>
    <row r="4749">
      <c r="A4749" s="2" t="inlineStr">
        <is>
          <t>2026-03-11 (정정: 2026-03-11)</t>
        </is>
      </c>
      <c r="B4749" s="3" t="inlineStr">
        <is>
          <t>이원컴포텍</t>
        </is>
      </c>
      <c r="C4749" s="2" t="inlineStr">
        <is>
          <t>코스닥</t>
        </is>
      </c>
      <c r="D4749" s="2" t="inlineStr">
        <is>
          <t>088290</t>
        </is>
      </c>
      <c r="E4749" s="3" t="inlineStr">
        <is>
          <t>[기재정정]임원ㆍ주요주주특정증권등소유상황보고서</t>
        </is>
      </c>
      <c r="F4749" s="3" t="inlineStr">
        <is>
          <t>박주성</t>
        </is>
      </c>
      <c r="G4749" s="2" t="inlineStr">
        <is>
          <t>20260311003235</t>
        </is>
      </c>
      <c r="H4749" s="8">
        <f>HYPERLINK("https://dart.fss.or.kr/dsaf001/main.do?rcpNo=20260311003235", "공시열람")</f>
        <v/>
      </c>
    </row>
    <row r="4750">
      <c r="A4750" s="2" t="inlineStr">
        <is>
          <t>2026-03-11</t>
        </is>
      </c>
      <c r="B4750" s="3" t="inlineStr">
        <is>
          <t>리노공업</t>
        </is>
      </c>
      <c r="C4750" s="2" t="inlineStr">
        <is>
          <t>코스닥</t>
        </is>
      </c>
      <c r="D4750" s="2" t="inlineStr">
        <is>
          <t>058470</t>
        </is>
      </c>
      <c r="E4750" s="3" t="inlineStr">
        <is>
          <t>의결권대리행사권유참고서류</t>
        </is>
      </c>
      <c r="F4750" s="3" t="inlineStr">
        <is>
          <t>리노공업</t>
        </is>
      </c>
      <c r="G4750" s="2" t="inlineStr">
        <is>
          <t>20260311003234</t>
        </is>
      </c>
      <c r="H4750" s="8">
        <f>HYPERLINK("https://dart.fss.or.kr/dsaf001/main.do?rcpNo=20260311003234", "공시열람")</f>
        <v/>
      </c>
    </row>
    <row r="4751">
      <c r="A4751" s="2" t="inlineStr">
        <is>
          <t>2026-03-11</t>
        </is>
      </c>
      <c r="B4751" s="3" t="inlineStr">
        <is>
          <t>파인엠텍</t>
        </is>
      </c>
      <c r="C4751" s="2" t="inlineStr">
        <is>
          <t>코스닥</t>
        </is>
      </c>
      <c r="D4751" s="2" t="inlineStr">
        <is>
          <t>441270</t>
        </is>
      </c>
      <c r="E4751" s="3" t="inlineStr">
        <is>
          <t>의결권대리행사권유참고서류</t>
        </is>
      </c>
      <c r="F4751" s="3" t="inlineStr">
        <is>
          <t>파인엠텍</t>
        </is>
      </c>
      <c r="G4751" s="2" t="inlineStr">
        <is>
          <t>20260311003229</t>
        </is>
      </c>
      <c r="H4751" s="8">
        <f>HYPERLINK("https://dart.fss.or.kr/dsaf001/main.do?rcpNo=20260311003229", "공시열람")</f>
        <v/>
      </c>
    </row>
    <row r="4752">
      <c r="A4752" s="2" t="inlineStr">
        <is>
          <t>2026-03-11</t>
        </is>
      </c>
      <c r="B4752" s="3" t="inlineStr">
        <is>
          <t>이원컴포텍</t>
        </is>
      </c>
      <c r="C4752" s="2" t="inlineStr">
        <is>
          <t>코스닥</t>
        </is>
      </c>
      <c r="D4752" s="2" t="inlineStr">
        <is>
          <t>088290</t>
        </is>
      </c>
      <c r="E4752" s="3" t="inlineStr">
        <is>
          <t>임원ㆍ주요주주특정증권등소유상황보고서</t>
        </is>
      </c>
      <c r="F4752" s="3" t="inlineStr">
        <is>
          <t>박주성</t>
        </is>
      </c>
      <c r="G4752" s="2" t="inlineStr">
        <is>
          <t>20260311003217</t>
        </is>
      </c>
      <c r="H4752" s="8">
        <f>HYPERLINK("https://dart.fss.or.kr/dsaf001/main.do?rcpNo=20260311003217", "공시열람")</f>
        <v/>
      </c>
    </row>
    <row r="4753">
      <c r="A4753" s="2" t="inlineStr">
        <is>
          <t>2026-03-11</t>
        </is>
      </c>
      <c r="B4753" s="3" t="inlineStr">
        <is>
          <t>LG화학</t>
        </is>
      </c>
      <c r="C4753" s="2" t="inlineStr">
        <is>
          <t>코스피</t>
        </is>
      </c>
      <c r="D4753" s="2" t="inlineStr">
        <is>
          <t>051910</t>
        </is>
      </c>
      <c r="E4753" s="3" t="inlineStr">
        <is>
          <t>임원ㆍ주요주주특정증권등소유상황보고서</t>
        </is>
      </c>
      <c r="F4753" s="3" t="inlineStr">
        <is>
          <t>이종구</t>
        </is>
      </c>
      <c r="G4753" s="2" t="inlineStr">
        <is>
          <t>20260311003215</t>
        </is>
      </c>
      <c r="H4753" s="8">
        <f>HYPERLINK("https://dart.fss.or.kr/dsaf001/main.do?rcpNo=20260311003215", "공시열람")</f>
        <v/>
      </c>
    </row>
    <row r="4754">
      <c r="A4754" s="2" t="inlineStr">
        <is>
          <t>2026-03-11</t>
        </is>
      </c>
      <c r="B4754" s="3" t="inlineStr">
        <is>
          <t>컴투스</t>
        </is>
      </c>
      <c r="C4754" s="2" t="inlineStr">
        <is>
          <t>코스닥</t>
        </is>
      </c>
      <c r="D4754" s="2" t="inlineStr">
        <is>
          <t>078340</t>
        </is>
      </c>
      <c r="E4754" s="3" t="inlineStr">
        <is>
          <t xml:space="preserve">기업설명회(IR)개최              </t>
        </is>
      </c>
      <c r="F4754" s="3" t="inlineStr">
        <is>
          <t>컴투스</t>
        </is>
      </c>
      <c r="G4754" s="2" t="inlineStr">
        <is>
          <t>20260311900144</t>
        </is>
      </c>
      <c r="H4754" s="8">
        <f>HYPERLINK("https://dart.fss.or.kr/dsaf001/main.do?rcpNo=20260311900144", "공시열람")</f>
        <v/>
      </c>
    </row>
    <row r="4755">
      <c r="A4755" s="2" t="inlineStr">
        <is>
          <t>2026-03-11</t>
        </is>
      </c>
      <c r="B4755" s="3" t="inlineStr">
        <is>
          <t>마스턴프리미어리츠</t>
        </is>
      </c>
      <c r="C4755" s="2" t="inlineStr">
        <is>
          <t>코스피</t>
        </is>
      </c>
      <c r="D4755" s="2" t="inlineStr">
        <is>
          <t>357430</t>
        </is>
      </c>
      <c r="E4755" s="3" t="inlineStr">
        <is>
          <t xml:space="preserve">기타경영사항(자율공시)              </t>
        </is>
      </c>
      <c r="F4755" s="3" t="inlineStr">
        <is>
          <t>마스턴프리미어리츠</t>
        </is>
      </c>
      <c r="G4755" s="2" t="inlineStr">
        <is>
          <t>20260311800134</t>
        </is>
      </c>
      <c r="H4755" s="8">
        <f>HYPERLINK("https://dart.fss.or.kr/dsaf001/main.do?rcpNo=20260311800134", "공시열람")</f>
        <v/>
      </c>
    </row>
    <row r="4756">
      <c r="A4756" s="2" t="inlineStr">
        <is>
          <t>2026-03-11</t>
        </is>
      </c>
      <c r="B4756" s="3" t="inlineStr">
        <is>
          <t>피에이치에이</t>
        </is>
      </c>
      <c r="C4756" s="2" t="inlineStr">
        <is>
          <t>코스닥</t>
        </is>
      </c>
      <c r="D4756" s="2" t="inlineStr">
        <is>
          <t>043370</t>
        </is>
      </c>
      <c r="E4756" s="3" t="inlineStr">
        <is>
          <t>의결권대리행사권유참고서류</t>
        </is>
      </c>
      <c r="F4756" s="3" t="inlineStr">
        <is>
          <t>피에이치에이</t>
        </is>
      </c>
      <c r="G4756" s="2" t="inlineStr">
        <is>
          <t>20260311003203</t>
        </is>
      </c>
      <c r="H4756" s="8">
        <f>HYPERLINK("https://dart.fss.or.kr/dsaf001/main.do?rcpNo=20260311003203", "공시열람")</f>
        <v/>
      </c>
    </row>
    <row r="4757">
      <c r="A4757" s="2" t="inlineStr">
        <is>
          <t>2026-03-11</t>
        </is>
      </c>
      <c r="B4757" s="3" t="inlineStr">
        <is>
          <t>신한알파리츠</t>
        </is>
      </c>
      <c r="C4757" s="2" t="inlineStr">
        <is>
          <t>코스피</t>
        </is>
      </c>
      <c r="D4757" s="2" t="inlineStr">
        <is>
          <t>293940</t>
        </is>
      </c>
      <c r="E4757" s="3" t="inlineStr">
        <is>
          <t xml:space="preserve">기타경영사항(자율공시)              </t>
        </is>
      </c>
      <c r="F4757" s="3" t="inlineStr">
        <is>
          <t>신한알파리츠</t>
        </is>
      </c>
      <c r="G4757" s="2" t="inlineStr">
        <is>
          <t>20260311800123</t>
        </is>
      </c>
      <c r="H4757" s="8">
        <f>HYPERLINK("https://dart.fss.or.kr/dsaf001/main.do?rcpNo=20260311800123", "공시열람")</f>
        <v/>
      </c>
    </row>
    <row r="4758">
      <c r="A4758" s="2" t="inlineStr">
        <is>
          <t>2026-03-11</t>
        </is>
      </c>
      <c r="B4758" s="3" t="inlineStr">
        <is>
          <t>진흥기업</t>
        </is>
      </c>
      <c r="C4758" s="2" t="inlineStr">
        <is>
          <t>코스피</t>
        </is>
      </c>
      <c r="D4758" s="2" t="inlineStr">
        <is>
          <t>002780</t>
        </is>
      </c>
      <c r="E4758" s="3" t="inlineStr">
        <is>
          <t xml:space="preserve">투자판단관련주요경영사항              </t>
        </is>
      </c>
      <c r="F4758" s="3" t="inlineStr">
        <is>
          <t>진흥기업</t>
        </is>
      </c>
      <c r="G4758" s="2" t="inlineStr">
        <is>
          <t>20260311800115</t>
        </is>
      </c>
      <c r="H4758" s="8">
        <f>HYPERLINK("https://dart.fss.or.kr/dsaf001/main.do?rcpNo=20260311800115", "공시열람")</f>
        <v/>
      </c>
    </row>
    <row r="4759">
      <c r="A4759" s="2" t="inlineStr">
        <is>
          <t>2026-03-11</t>
        </is>
      </c>
      <c r="B4759" s="3" t="inlineStr">
        <is>
          <t>케이엠제약</t>
        </is>
      </c>
      <c r="C4759" s="2" t="inlineStr">
        <is>
          <t>코스닥</t>
        </is>
      </c>
      <c r="D4759" s="2" t="inlineStr">
        <is>
          <t>225430</t>
        </is>
      </c>
      <c r="E4759" s="3" t="inlineStr">
        <is>
          <t>임원ㆍ주요주주특정증권등소유상황보고서</t>
        </is>
      </c>
      <c r="F4759" s="3" t="inlineStr">
        <is>
          <t>강일모</t>
        </is>
      </c>
      <c r="G4759" s="2" t="inlineStr">
        <is>
          <t>20260311003196</t>
        </is>
      </c>
      <c r="H4759" s="8">
        <f>HYPERLINK("https://dart.fss.or.kr/dsaf001/main.do?rcpNo=20260311003196", "공시열람")</f>
        <v/>
      </c>
    </row>
    <row r="4760">
      <c r="A4760" s="2" t="inlineStr">
        <is>
          <t>2026-03-11</t>
        </is>
      </c>
      <c r="B4760" s="3" t="inlineStr">
        <is>
          <t>엔에이치스팩33호</t>
        </is>
      </c>
      <c r="C4760" s="2" t="inlineStr">
        <is>
          <t>코스닥</t>
        </is>
      </c>
      <c r="D4760" s="2" t="inlineStr">
        <is>
          <t>0130H0</t>
        </is>
      </c>
      <c r="E4760" s="3" t="inlineStr">
        <is>
          <t>투자설명서</t>
        </is>
      </c>
      <c r="F4760" s="3" t="inlineStr">
        <is>
          <t>엔에이치스팩33호</t>
        </is>
      </c>
      <c r="G4760" s="2" t="inlineStr">
        <is>
          <t>20260311003190</t>
        </is>
      </c>
      <c r="H4760" s="8">
        <f>HYPERLINK("https://dart.fss.or.kr/dsaf001/main.do?rcpNo=20260311003190", "공시열람")</f>
        <v/>
      </c>
    </row>
    <row r="4761">
      <c r="A4761" s="2" t="inlineStr">
        <is>
          <t>2026-03-11 (정정: 2026-03-12)</t>
        </is>
      </c>
      <c r="B4761" s="3" t="inlineStr">
        <is>
          <t>보로노이</t>
        </is>
      </c>
      <c r="C4761" s="2" t="inlineStr">
        <is>
          <t>코스닥</t>
        </is>
      </c>
      <c r="D4761" s="2" t="inlineStr">
        <is>
          <t>310210</t>
        </is>
      </c>
      <c r="E4761" s="3" t="inlineStr">
        <is>
          <t>기업설명회(IR)개최               (정정: 20260312)</t>
        </is>
      </c>
      <c r="F4761" s="3" t="inlineStr">
        <is>
          <t>보로노이</t>
        </is>
      </c>
      <c r="G4761" s="2" t="inlineStr">
        <is>
          <t>20260312901931</t>
        </is>
      </c>
      <c r="H4761" s="8">
        <f>HYPERLINK("https://dart.fss.or.kr/dsaf001/main.do?rcpNo=20260312901931", "공시열람")</f>
        <v/>
      </c>
    </row>
    <row r="4762">
      <c r="A4762" s="2" t="inlineStr">
        <is>
          <t>2026-03-11</t>
        </is>
      </c>
      <c r="B4762" s="3" t="inlineStr">
        <is>
          <t>SG글로벌</t>
        </is>
      </c>
      <c r="C4762" s="2" t="inlineStr">
        <is>
          <t>코스피</t>
        </is>
      </c>
      <c r="D4762" s="2" t="inlineStr">
        <is>
          <t>001380</t>
        </is>
      </c>
      <c r="E4762" s="3" t="inlineStr">
        <is>
          <t>의결권대리행사권유참고서류</t>
        </is>
      </c>
      <c r="F4762" s="3" t="inlineStr">
        <is>
          <t>SG글로벌</t>
        </is>
      </c>
      <c r="G4762" s="2" t="inlineStr">
        <is>
          <t>20260311003181</t>
        </is>
      </c>
      <c r="H4762" s="8">
        <f>HYPERLINK("https://dart.fss.or.kr/dsaf001/main.do?rcpNo=20260311003181", "공시열람")</f>
        <v/>
      </c>
    </row>
    <row r="4763">
      <c r="A4763" s="2" t="inlineStr">
        <is>
          <t>2026-03-11</t>
        </is>
      </c>
      <c r="B4763" s="3" t="inlineStr">
        <is>
          <t>에이치브이엠</t>
        </is>
      </c>
      <c r="C4763" s="2" t="inlineStr">
        <is>
          <t>코스닥</t>
        </is>
      </c>
      <c r="D4763" s="2" t="inlineStr">
        <is>
          <t>295310</t>
        </is>
      </c>
      <c r="E4763" s="3" t="inlineStr">
        <is>
          <t>임원ㆍ주요주주특정증권등소유상황보고서</t>
        </is>
      </c>
      <c r="F4763" s="3" t="inlineStr">
        <is>
          <t>정용환</t>
        </is>
      </c>
      <c r="G4763" s="2" t="inlineStr">
        <is>
          <t>20260311003179</t>
        </is>
      </c>
      <c r="H4763" s="8">
        <f>HYPERLINK("https://dart.fss.or.kr/dsaf001/main.do?rcpNo=20260311003179", "공시열람")</f>
        <v/>
      </c>
    </row>
    <row r="4764">
      <c r="A4764" s="2" t="inlineStr">
        <is>
          <t>2026-03-11</t>
        </is>
      </c>
      <c r="B4764" s="3" t="inlineStr">
        <is>
          <t>심플랫폼</t>
        </is>
      </c>
      <c r="C4764" s="2" t="inlineStr">
        <is>
          <t>코스닥</t>
        </is>
      </c>
      <c r="D4764" s="2" t="inlineStr">
        <is>
          <t>444530</t>
        </is>
      </c>
      <c r="E4764" s="3" t="inlineStr">
        <is>
          <t>의결권대리행사권유참고서류</t>
        </is>
      </c>
      <c r="F4764" s="3" t="inlineStr">
        <is>
          <t>심플랫폼</t>
        </is>
      </c>
      <c r="G4764" s="2" t="inlineStr">
        <is>
          <t>20260311003177</t>
        </is>
      </c>
      <c r="H4764" s="8">
        <f>HYPERLINK("https://dart.fss.or.kr/dsaf001/main.do?rcpNo=20260311003177", "공시열람")</f>
        <v/>
      </c>
    </row>
    <row r="4765">
      <c r="A4765" s="2" t="inlineStr">
        <is>
          <t>2026-03-11</t>
        </is>
      </c>
      <c r="B4765" s="3" t="inlineStr">
        <is>
          <t>비보존 제약</t>
        </is>
      </c>
      <c r="C4765" s="2" t="inlineStr">
        <is>
          <t>코스닥</t>
        </is>
      </c>
      <c r="D4765" s="2" t="inlineStr">
        <is>
          <t>082800</t>
        </is>
      </c>
      <c r="E4765" s="3" t="inlineStr">
        <is>
          <t>임원ㆍ주요주주특정증권등소유상황보고서</t>
        </is>
      </c>
      <c r="F4765" s="3" t="inlineStr">
        <is>
          <t>장부환</t>
        </is>
      </c>
      <c r="G4765" s="2" t="inlineStr">
        <is>
          <t>20260311003174</t>
        </is>
      </c>
      <c r="H4765" s="8">
        <f>HYPERLINK("https://dart.fss.or.kr/dsaf001/main.do?rcpNo=20260311003174", "공시열람")</f>
        <v/>
      </c>
    </row>
    <row r="4766">
      <c r="A4766" s="2" t="inlineStr">
        <is>
          <t>2026-03-11</t>
        </is>
      </c>
      <c r="B4766" s="3" t="inlineStr">
        <is>
          <t>ISC</t>
        </is>
      </c>
      <c r="C4766" s="2" t="inlineStr">
        <is>
          <t>코스닥</t>
        </is>
      </c>
      <c r="D4766" s="2" t="inlineStr">
        <is>
          <t>095340</t>
        </is>
      </c>
      <c r="E4766" s="3" t="inlineStr">
        <is>
          <t>의결권대리행사권유참고서류</t>
        </is>
      </c>
      <c r="F4766" s="3" t="inlineStr">
        <is>
          <t>ISC</t>
        </is>
      </c>
      <c r="G4766" s="2" t="inlineStr">
        <is>
          <t>20260311003163</t>
        </is>
      </c>
      <c r="H4766" s="8">
        <f>HYPERLINK("https://dart.fss.or.kr/dsaf001/main.do?rcpNo=20260311003163", "공시열람")</f>
        <v/>
      </c>
    </row>
    <row r="4767">
      <c r="A4767" s="2" t="inlineStr">
        <is>
          <t>2026-03-11</t>
        </is>
      </c>
      <c r="B4767" s="3" t="inlineStr">
        <is>
          <t>제이엠티</t>
        </is>
      </c>
      <c r="C4767" s="2" t="inlineStr">
        <is>
          <t>코스닥</t>
        </is>
      </c>
      <c r="D4767" s="2" t="inlineStr">
        <is>
          <t>094970</t>
        </is>
      </c>
      <c r="E4767" s="3" t="inlineStr">
        <is>
          <t>의결권대리행사권유참고서류</t>
        </is>
      </c>
      <c r="F4767" s="3" t="inlineStr">
        <is>
          <t>제이엠티</t>
        </is>
      </c>
      <c r="G4767" s="2" t="inlineStr">
        <is>
          <t>20260311003155</t>
        </is>
      </c>
      <c r="H4767" s="8">
        <f>HYPERLINK("https://dart.fss.or.kr/dsaf001/main.do?rcpNo=20260311003155", "공시열람")</f>
        <v/>
      </c>
    </row>
    <row r="4768">
      <c r="A4768" s="2" t="inlineStr">
        <is>
          <t>2026-03-11</t>
        </is>
      </c>
      <c r="B4768" s="3" t="inlineStr">
        <is>
          <t>유안타증권</t>
        </is>
      </c>
      <c r="C4768" s="2" t="inlineStr">
        <is>
          <t>코스피</t>
        </is>
      </c>
      <c r="D4768" s="2" t="inlineStr">
        <is>
          <t>003470</t>
        </is>
      </c>
      <c r="E4768" s="3" t="inlineStr">
        <is>
          <t>증권발행실적보고서</t>
        </is>
      </c>
      <c r="F4768" s="3" t="inlineStr">
        <is>
          <t>유안타증권</t>
        </is>
      </c>
      <c r="G4768" s="2" t="inlineStr">
        <is>
          <t>20260311003152</t>
        </is>
      </c>
      <c r="H4768" s="8">
        <f>HYPERLINK("https://dart.fss.or.kr/dsaf001/main.do?rcpNo=20260311003152", "공시열람")</f>
        <v/>
      </c>
    </row>
    <row r="4769">
      <c r="A4769" s="2" t="inlineStr">
        <is>
          <t>2026-03-11</t>
        </is>
      </c>
      <c r="B4769" s="3" t="inlineStr">
        <is>
          <t>녹십자</t>
        </is>
      </c>
      <c r="C4769" s="2" t="inlineStr">
        <is>
          <t>코스피</t>
        </is>
      </c>
      <c r="D4769" s="2" t="inlineStr">
        <is>
          <t>006280</t>
        </is>
      </c>
      <c r="E4769" s="3" t="inlineStr">
        <is>
          <t>투자설명서</t>
        </is>
      </c>
      <c r="F4769" s="3" t="inlineStr">
        <is>
          <t>녹십자</t>
        </is>
      </c>
      <c r="G4769" s="2" t="inlineStr">
        <is>
          <t>20260311003147</t>
        </is>
      </c>
      <c r="H4769" s="8">
        <f>HYPERLINK("https://dart.fss.or.kr/dsaf001/main.do?rcpNo=20260311003147", "공시열람")</f>
        <v/>
      </c>
    </row>
    <row r="4770">
      <c r="A4770" s="2" t="inlineStr">
        <is>
          <t>2026-03-11</t>
        </is>
      </c>
      <c r="B4770" s="3" t="inlineStr">
        <is>
          <t>대한조선</t>
        </is>
      </c>
      <c r="C4770" s="2" t="inlineStr">
        <is>
          <t>코스피</t>
        </is>
      </c>
      <c r="D4770" s="2" t="inlineStr">
        <is>
          <t>439260</t>
        </is>
      </c>
      <c r="E4770" s="3" t="inlineStr">
        <is>
          <t xml:space="preserve">기업설명회(IR)개최(안내공시)              </t>
        </is>
      </c>
      <c r="F4770" s="3" t="inlineStr">
        <is>
          <t>대한조선</t>
        </is>
      </c>
      <c r="G4770" s="2" t="inlineStr">
        <is>
          <t>20260311800053</t>
        </is>
      </c>
      <c r="H4770" s="8">
        <f>HYPERLINK("https://dart.fss.or.kr/dsaf001/main.do?rcpNo=20260311800053", "공시열람")</f>
        <v/>
      </c>
    </row>
    <row r="4771">
      <c r="A4771" s="2" t="inlineStr">
        <is>
          <t>2026-03-11</t>
        </is>
      </c>
      <c r="B4771" s="3" t="inlineStr">
        <is>
          <t>씨케이솔루션</t>
        </is>
      </c>
      <c r="C4771" s="2" t="inlineStr">
        <is>
          <t>코스피</t>
        </is>
      </c>
      <c r="D4771" s="2" t="inlineStr">
        <is>
          <t>480370</t>
        </is>
      </c>
      <c r="E4771" s="3" t="inlineStr">
        <is>
          <t>임원ㆍ주요주주특정증권등소유상황보고서</t>
        </is>
      </c>
      <c r="F4771" s="3" t="inlineStr">
        <is>
          <t>정병원</t>
        </is>
      </c>
      <c r="G4771" s="2" t="inlineStr">
        <is>
          <t>20260311003146</t>
        </is>
      </c>
      <c r="H4771" s="8">
        <f>HYPERLINK("https://dart.fss.or.kr/dsaf001/main.do?rcpNo=20260311003146", "공시열람")</f>
        <v/>
      </c>
    </row>
    <row r="4772">
      <c r="A4772" s="2" t="inlineStr">
        <is>
          <t>2026-03-11</t>
        </is>
      </c>
      <c r="B4772" s="3" t="inlineStr">
        <is>
          <t>씨케이솔루션</t>
        </is>
      </c>
      <c r="C4772" s="2" t="inlineStr">
        <is>
          <t>코스피</t>
        </is>
      </c>
      <c r="D4772" s="2" t="inlineStr">
        <is>
          <t>480370</t>
        </is>
      </c>
      <c r="E4772" s="3" t="inlineStr">
        <is>
          <t>임원ㆍ주요주주특정증권등소유상황보고서</t>
        </is>
      </c>
      <c r="F4772" s="3" t="inlineStr">
        <is>
          <t>정길용</t>
        </is>
      </c>
      <c r="G4772" s="2" t="inlineStr">
        <is>
          <t>20260311003145</t>
        </is>
      </c>
      <c r="H4772" s="8">
        <f>HYPERLINK("https://dart.fss.or.kr/dsaf001/main.do?rcpNo=20260311003145", "공시열람")</f>
        <v/>
      </c>
    </row>
    <row r="4773">
      <c r="A4773" s="2" t="inlineStr">
        <is>
          <t>2026-03-11</t>
        </is>
      </c>
      <c r="B4773" s="3" t="inlineStr">
        <is>
          <t>씨케이솔루션</t>
        </is>
      </c>
      <c r="C4773" s="2" t="inlineStr">
        <is>
          <t>코스피</t>
        </is>
      </c>
      <c r="D4773" s="2" t="inlineStr">
        <is>
          <t>480370</t>
        </is>
      </c>
      <c r="E4773" s="3" t="inlineStr">
        <is>
          <t>임원ㆍ주요주주특정증권등소유상황보고서</t>
        </is>
      </c>
      <c r="F4773" s="3" t="inlineStr">
        <is>
          <t>이용희</t>
        </is>
      </c>
      <c r="G4773" s="2" t="inlineStr">
        <is>
          <t>20260311003143</t>
        </is>
      </c>
      <c r="H4773" s="8">
        <f>HYPERLINK("https://dart.fss.or.kr/dsaf001/main.do?rcpNo=20260311003143", "공시열람")</f>
        <v/>
      </c>
    </row>
    <row r="4774">
      <c r="A4774" s="2" t="inlineStr">
        <is>
          <t>2026-03-11</t>
        </is>
      </c>
      <c r="B4774" s="3" t="inlineStr">
        <is>
          <t>씨케이솔루션</t>
        </is>
      </c>
      <c r="C4774" s="2" t="inlineStr">
        <is>
          <t>코스피</t>
        </is>
      </c>
      <c r="D4774" s="2" t="inlineStr">
        <is>
          <t>480370</t>
        </is>
      </c>
      <c r="E4774" s="3" t="inlineStr">
        <is>
          <t>임원ㆍ주요주주특정증권등소유상황보고서</t>
        </is>
      </c>
      <c r="F4774" s="3" t="inlineStr">
        <is>
          <t>유채룡</t>
        </is>
      </c>
      <c r="G4774" s="2" t="inlineStr">
        <is>
          <t>20260311003140</t>
        </is>
      </c>
      <c r="H4774" s="8">
        <f>HYPERLINK("https://dart.fss.or.kr/dsaf001/main.do?rcpNo=20260311003140", "공시열람")</f>
        <v/>
      </c>
    </row>
    <row r="4775">
      <c r="A4775" s="2" t="inlineStr">
        <is>
          <t>2026-03-11</t>
        </is>
      </c>
      <c r="B4775" s="3" t="inlineStr">
        <is>
          <t>씨케이솔루션</t>
        </is>
      </c>
      <c r="C4775" s="2" t="inlineStr">
        <is>
          <t>코스피</t>
        </is>
      </c>
      <c r="D4775" s="2" t="inlineStr">
        <is>
          <t>480370</t>
        </is>
      </c>
      <c r="E4775" s="3" t="inlineStr">
        <is>
          <t>임원ㆍ주요주주특정증권등소유상황보고서</t>
        </is>
      </c>
      <c r="F4775" s="3" t="inlineStr">
        <is>
          <t>오병국</t>
        </is>
      </c>
      <c r="G4775" s="2" t="inlineStr">
        <is>
          <t>20260311003138</t>
        </is>
      </c>
      <c r="H4775" s="8">
        <f>HYPERLINK("https://dart.fss.or.kr/dsaf001/main.do?rcpNo=20260311003138", "공시열람")</f>
        <v/>
      </c>
    </row>
    <row r="4776">
      <c r="A4776" s="2" t="inlineStr">
        <is>
          <t>2026-03-11</t>
        </is>
      </c>
      <c r="B4776" s="3" t="inlineStr">
        <is>
          <t>씨케이솔루션</t>
        </is>
      </c>
      <c r="C4776" s="2" t="inlineStr">
        <is>
          <t>코스피</t>
        </is>
      </c>
      <c r="D4776" s="2" t="inlineStr">
        <is>
          <t>480370</t>
        </is>
      </c>
      <c r="E4776" s="3" t="inlineStr">
        <is>
          <t>임원ㆍ주요주주특정증권등소유상황보고서</t>
        </is>
      </c>
      <c r="F4776" s="3" t="inlineStr">
        <is>
          <t>안근표</t>
        </is>
      </c>
      <c r="G4776" s="2" t="inlineStr">
        <is>
          <t>20260311003136</t>
        </is>
      </c>
      <c r="H4776" s="8">
        <f>HYPERLINK("https://dart.fss.or.kr/dsaf001/main.do?rcpNo=20260311003136", "공시열람")</f>
        <v/>
      </c>
    </row>
    <row r="4777">
      <c r="A4777" s="2" t="inlineStr">
        <is>
          <t>2026-03-11</t>
        </is>
      </c>
      <c r="B4777" s="3" t="inlineStr">
        <is>
          <t>씨케이솔루션</t>
        </is>
      </c>
      <c r="C4777" s="2" t="inlineStr">
        <is>
          <t>코스피</t>
        </is>
      </c>
      <c r="D4777" s="2" t="inlineStr">
        <is>
          <t>480370</t>
        </is>
      </c>
      <c r="E4777" s="3" t="inlineStr">
        <is>
          <t>임원ㆍ주요주주특정증권등소유상황보고서</t>
        </is>
      </c>
      <c r="F4777" s="3" t="inlineStr">
        <is>
          <t>신득호</t>
        </is>
      </c>
      <c r="G4777" s="2" t="inlineStr">
        <is>
          <t>20260311003135</t>
        </is>
      </c>
      <c r="H4777" s="8">
        <f>HYPERLINK("https://dart.fss.or.kr/dsaf001/main.do?rcpNo=20260311003135", "공시열람")</f>
        <v/>
      </c>
    </row>
    <row r="4778">
      <c r="A4778" s="2" t="inlineStr">
        <is>
          <t>2026-03-11</t>
        </is>
      </c>
      <c r="B4778" s="3" t="inlineStr">
        <is>
          <t>씨케이솔루션</t>
        </is>
      </c>
      <c r="C4778" s="2" t="inlineStr">
        <is>
          <t>코스피</t>
        </is>
      </c>
      <c r="D4778" s="2" t="inlineStr">
        <is>
          <t>480370</t>
        </is>
      </c>
      <c r="E4778" s="3" t="inlineStr">
        <is>
          <t>임원ㆍ주요주주특정증권등소유상황보고서</t>
        </is>
      </c>
      <c r="F4778" s="3" t="inlineStr">
        <is>
          <t>박성수</t>
        </is>
      </c>
      <c r="G4778" s="2" t="inlineStr">
        <is>
          <t>20260311003134</t>
        </is>
      </c>
      <c r="H4778" s="8">
        <f>HYPERLINK("https://dart.fss.or.kr/dsaf001/main.do?rcpNo=20260311003134", "공시열람")</f>
        <v/>
      </c>
    </row>
    <row r="4779">
      <c r="A4779" s="2" t="inlineStr">
        <is>
          <t>2026-03-11</t>
        </is>
      </c>
      <c r="B4779" s="3" t="inlineStr">
        <is>
          <t>씨케이솔루션</t>
        </is>
      </c>
      <c r="C4779" s="2" t="inlineStr">
        <is>
          <t>코스피</t>
        </is>
      </c>
      <c r="D4779" s="2" t="inlineStr">
        <is>
          <t>480370</t>
        </is>
      </c>
      <c r="E4779" s="3" t="inlineStr">
        <is>
          <t>임원ㆍ주요주주특정증권등소유상황보고서</t>
        </is>
      </c>
      <c r="F4779" s="3" t="inlineStr">
        <is>
          <t>강하옥</t>
        </is>
      </c>
      <c r="G4779" s="2" t="inlineStr">
        <is>
          <t>20260311003133</t>
        </is>
      </c>
      <c r="H4779" s="8">
        <f>HYPERLINK("https://dart.fss.or.kr/dsaf001/main.do?rcpNo=20260311003133", "공시열람")</f>
        <v/>
      </c>
    </row>
    <row r="4780">
      <c r="A4780" s="2" t="inlineStr">
        <is>
          <t>2026-03-11</t>
        </is>
      </c>
      <c r="B4780" s="3" t="inlineStr">
        <is>
          <t>종근당홀딩스</t>
        </is>
      </c>
      <c r="C4780" s="2" t="inlineStr">
        <is>
          <t>코스피</t>
        </is>
      </c>
      <c r="D4780" s="2" t="inlineStr">
        <is>
          <t>001630</t>
        </is>
      </c>
      <c r="E4780" s="3" t="inlineStr">
        <is>
          <t>투자판단관련주요경영사항(자회사의 주요경영사항)              (듀비엠폴서방정(CKD383) 식품의약품안전처 국내 품목허가 승인)</t>
        </is>
      </c>
      <c r="F4780" s="3" t="inlineStr">
        <is>
          <t>종근당홀딩스</t>
        </is>
      </c>
      <c r="G4780" s="2" t="inlineStr">
        <is>
          <t>20260311800004</t>
        </is>
      </c>
      <c r="H4780" s="8">
        <f>HYPERLINK("https://dart.fss.or.kr/dsaf001/main.do?rcpNo=20260311800004", "공시열람")</f>
        <v/>
      </c>
    </row>
    <row r="4781">
      <c r="A4781" s="2" t="inlineStr">
        <is>
          <t>2026-03-11</t>
        </is>
      </c>
      <c r="B4781" s="3" t="inlineStr">
        <is>
          <t>종근당</t>
        </is>
      </c>
      <c r="C4781" s="2" t="inlineStr">
        <is>
          <t>코스피</t>
        </is>
      </c>
      <c r="D4781" s="2" t="inlineStr">
        <is>
          <t>185750</t>
        </is>
      </c>
      <c r="E4781" s="3" t="inlineStr">
        <is>
          <t>투자판단관련주요경영사항              (듀비엠폴서방정(CKD383) 식품의약품안전처 국내 품목허가 승인)</t>
        </is>
      </c>
      <c r="F4781" s="3" t="inlineStr">
        <is>
          <t>종근당</t>
        </is>
      </c>
      <c r="G4781" s="2" t="inlineStr">
        <is>
          <t>20260311800001</t>
        </is>
      </c>
      <c r="H4781" s="8">
        <f>HYPERLINK("https://dart.fss.or.kr/dsaf001/main.do?rcpNo=20260311800001", "공시열람")</f>
        <v/>
      </c>
    </row>
    <row r="4782">
      <c r="A4782" s="2" t="inlineStr">
        <is>
          <t>2026-03-11</t>
        </is>
      </c>
      <c r="B4782" s="3" t="inlineStr">
        <is>
          <t>저스템</t>
        </is>
      </c>
      <c r="C4782" s="2" t="inlineStr">
        <is>
          <t>코스닥</t>
        </is>
      </c>
      <c r="D4782" s="2" t="inlineStr">
        <is>
          <t>417840</t>
        </is>
      </c>
      <c r="E4782" s="3" t="inlineStr">
        <is>
          <t>[기재정정]주식매수선택권부여에관한신고</t>
        </is>
      </c>
      <c r="F4782" s="3" t="inlineStr">
        <is>
          <t>저스템</t>
        </is>
      </c>
      <c r="G4782" s="2" t="inlineStr">
        <is>
          <t>20260310003127</t>
        </is>
      </c>
      <c r="H4782" s="8">
        <f>HYPERLINK("https://dart.fss.or.kr/dsaf001/main.do?rcpNo=20260310003127", "공시열람")</f>
        <v/>
      </c>
    </row>
    <row r="4783">
      <c r="A4783" s="2" t="inlineStr">
        <is>
          <t>2026-03-11</t>
        </is>
      </c>
      <c r="B4783" s="3" t="inlineStr">
        <is>
          <t>저스템</t>
        </is>
      </c>
      <c r="C4783" s="2" t="inlineStr">
        <is>
          <t>코스닥</t>
        </is>
      </c>
      <c r="D4783" s="2" t="inlineStr">
        <is>
          <t>417840</t>
        </is>
      </c>
      <c r="E4783" s="3" t="inlineStr">
        <is>
          <t>[기재정정]주식매수선택권부여에관한신고</t>
        </is>
      </c>
      <c r="F4783" s="3" t="inlineStr">
        <is>
          <t>저스템</t>
        </is>
      </c>
      <c r="G4783" s="2" t="inlineStr">
        <is>
          <t>20260310003108</t>
        </is>
      </c>
      <c r="H4783" s="8">
        <f>HYPERLINK("https://dart.fss.or.kr/dsaf001/main.do?rcpNo=20260310003108", "공시열람")</f>
        <v/>
      </c>
    </row>
    <row r="4784">
      <c r="A4784" s="2" t="inlineStr">
        <is>
          <t>2026-03-11</t>
        </is>
      </c>
      <c r="B4784" s="3" t="inlineStr">
        <is>
          <t>주성엔지니어링</t>
        </is>
      </c>
      <c r="C4784" s="2" t="inlineStr">
        <is>
          <t>코스닥</t>
        </is>
      </c>
      <c r="D4784" s="2" t="inlineStr">
        <is>
          <t>036930</t>
        </is>
      </c>
      <c r="E4784" s="3" t="inlineStr">
        <is>
          <t>임원ㆍ주요주주특정증권등소유상황보고서</t>
        </is>
      </c>
      <c r="F4784" s="3" t="inlineStr">
        <is>
          <t>루미에스트라</t>
        </is>
      </c>
      <c r="G4784" s="2" t="inlineStr">
        <is>
          <t>20260310003125</t>
        </is>
      </c>
      <c r="H4784" s="8">
        <f>HYPERLINK("https://dart.fss.or.kr/dsaf001/main.do?rcpNo=20260310003125", "공시열람")</f>
        <v/>
      </c>
    </row>
    <row r="4785">
      <c r="A4785" s="2" t="inlineStr">
        <is>
          <t>2026-03-11</t>
        </is>
      </c>
      <c r="B4785" s="3" t="inlineStr">
        <is>
          <t>콜마홀딩스</t>
        </is>
      </c>
      <c r="C4785" s="2" t="inlineStr">
        <is>
          <t>코스피</t>
        </is>
      </c>
      <c r="D4785" s="2" t="inlineStr">
        <is>
          <t>024720</t>
        </is>
      </c>
      <c r="E4785" s="3" t="inlineStr">
        <is>
          <t>의결권대리행사권유참고서류</t>
        </is>
      </c>
      <c r="F4785" s="3" t="inlineStr">
        <is>
          <t>콜마홀딩스</t>
        </is>
      </c>
      <c r="G4785" s="2" t="inlineStr">
        <is>
          <t>20260310003109</t>
        </is>
      </c>
      <c r="H4785" s="8">
        <f>HYPERLINK("https://dart.fss.or.kr/dsaf001/main.do?rcpNo=20260310003109", "공시열람")</f>
        <v/>
      </c>
    </row>
    <row r="4786">
      <c r="A4786" s="2" t="inlineStr">
        <is>
          <t>2026-03-11</t>
        </is>
      </c>
      <c r="B4786" s="3" t="inlineStr">
        <is>
          <t>한독</t>
        </is>
      </c>
      <c r="C4786" s="2" t="inlineStr">
        <is>
          <t>코스피</t>
        </is>
      </c>
      <c r="D4786" s="2" t="inlineStr">
        <is>
          <t>002390</t>
        </is>
      </c>
      <c r="E4786" s="3" t="inlineStr">
        <is>
          <t>[기재정정]주식매수선택권부여에관한신고</t>
        </is>
      </c>
      <c r="F4786" s="3" t="inlineStr">
        <is>
          <t>한독</t>
        </is>
      </c>
      <c r="G4786" s="2" t="inlineStr">
        <is>
          <t>20260310003124</t>
        </is>
      </c>
      <c r="H4786" s="8">
        <f>HYPERLINK("https://dart.fss.or.kr/dsaf001/main.do?rcpNo=20260310003124", "공시열람")</f>
        <v/>
      </c>
    </row>
    <row r="4787">
      <c r="A4787" s="2" t="inlineStr">
        <is>
          <t>2026-03-11</t>
        </is>
      </c>
      <c r="B4787" s="3" t="inlineStr">
        <is>
          <t>한독</t>
        </is>
      </c>
      <c r="C4787" s="2" t="inlineStr">
        <is>
          <t>코스피</t>
        </is>
      </c>
      <c r="D4787" s="2" t="inlineStr">
        <is>
          <t>002390</t>
        </is>
      </c>
      <c r="E4787" s="3" t="inlineStr">
        <is>
          <t>주식매수선택권부여에관한신고</t>
        </is>
      </c>
      <c r="F4787" s="3" t="inlineStr">
        <is>
          <t>한독</t>
        </is>
      </c>
      <c r="G4787" s="2" t="inlineStr">
        <is>
          <t>20260310003123</t>
        </is>
      </c>
      <c r="H4787" s="8">
        <f>HYPERLINK("https://dart.fss.or.kr/dsaf001/main.do?rcpNo=20260310003123", "공시열람")</f>
        <v/>
      </c>
    </row>
    <row r="4788">
      <c r="A4788" s="2" t="inlineStr">
        <is>
          <t>2026-03-11</t>
        </is>
      </c>
      <c r="B4788" s="3" t="inlineStr">
        <is>
          <t>저스템</t>
        </is>
      </c>
      <c r="C4788" s="2" t="inlineStr">
        <is>
          <t>코스닥</t>
        </is>
      </c>
      <c r="D4788" s="2" t="inlineStr">
        <is>
          <t>417840</t>
        </is>
      </c>
      <c r="E4788" s="3" t="inlineStr">
        <is>
          <t>주요사항보고서(자기주식처분결정)</t>
        </is>
      </c>
      <c r="F4788" s="3" t="inlineStr">
        <is>
          <t>저스템</t>
        </is>
      </c>
      <c r="G4788" s="2" t="inlineStr">
        <is>
          <t>20260310003128</t>
        </is>
      </c>
      <c r="H4788" s="8">
        <f>HYPERLINK("https://dart.fss.or.kr/dsaf001/main.do?rcpNo=20260310003128", "공시열람")</f>
        <v/>
      </c>
    </row>
    <row r="4789">
      <c r="A4789" s="2" t="inlineStr">
        <is>
          <t>2026-03-11</t>
        </is>
      </c>
      <c r="B4789" s="3" t="inlineStr">
        <is>
          <t>펄어비스</t>
        </is>
      </c>
      <c r="C4789" s="2" t="inlineStr">
        <is>
          <t>코스닥</t>
        </is>
      </c>
      <c r="D4789" s="2" t="inlineStr">
        <is>
          <t>263750</t>
        </is>
      </c>
      <c r="E4789" s="3" t="inlineStr">
        <is>
          <t>주요사항보고서(자기주식처분결정)</t>
        </is>
      </c>
      <c r="F4789" s="3" t="inlineStr">
        <is>
          <t>펄어비스</t>
        </is>
      </c>
      <c r="G4789" s="2" t="inlineStr">
        <is>
          <t>20260310003117</t>
        </is>
      </c>
      <c r="H4789" s="8">
        <f>HYPERLINK("https://dart.fss.or.kr/dsaf001/main.do?rcpNo=20260310003117", "공시열람")</f>
        <v/>
      </c>
    </row>
    <row r="4790">
      <c r="A4790" s="2" t="inlineStr">
        <is>
          <t>2026-03-12 (정정: 2026-03-12)</t>
        </is>
      </c>
      <c r="B4790" s="3" t="inlineStr">
        <is>
          <t>대한제분</t>
        </is>
      </c>
      <c r="C4790" s="2" t="inlineStr">
        <is>
          <t>코스피</t>
        </is>
      </c>
      <c r="D4790" s="2" t="inlineStr">
        <is>
          <t>001130</t>
        </is>
      </c>
      <c r="E4790" s="3" t="inlineStr">
        <is>
          <t xml:space="preserve">[기재정정]매출액또는손익구조30%(대규모법인은15%)이상변경              </t>
        </is>
      </c>
      <c r="F4790" s="3" t="inlineStr">
        <is>
          <t>대한제분</t>
        </is>
      </c>
      <c r="G4790" s="2" t="inlineStr">
        <is>
          <t>20260312802495</t>
        </is>
      </c>
      <c r="H4790" s="8">
        <f>HYPERLINK("https://dart.fss.or.kr/dsaf001/main.do?rcpNo=20260312802495", "공시열람")</f>
        <v/>
      </c>
    </row>
    <row r="4791">
      <c r="A4791" s="2" t="inlineStr">
        <is>
          <t>2026-03-12</t>
        </is>
      </c>
      <c r="B4791" s="3" t="inlineStr">
        <is>
          <t>엘티씨</t>
        </is>
      </c>
      <c r="C4791" s="2" t="inlineStr">
        <is>
          <t>코스닥</t>
        </is>
      </c>
      <c r="D4791" s="2" t="inlineStr">
        <is>
          <t>170920</t>
        </is>
      </c>
      <c r="E4791" s="3" t="inlineStr">
        <is>
          <t xml:space="preserve">현금ㆍ현물배당결정              </t>
        </is>
      </c>
      <c r="F4791" s="3" t="inlineStr">
        <is>
          <t>엘티씨</t>
        </is>
      </c>
      <c r="G4791" s="2" t="inlineStr">
        <is>
          <t>20260312902490</t>
        </is>
      </c>
      <c r="H4791" s="8">
        <f>HYPERLINK("https://dart.fss.or.kr/dsaf001/main.do?rcpNo=20260312902490", "공시열람")</f>
        <v/>
      </c>
    </row>
    <row r="4792">
      <c r="A4792" s="2" t="inlineStr">
        <is>
          <t>2026-03-12</t>
        </is>
      </c>
      <c r="B4792" s="3" t="inlineStr">
        <is>
          <t>아이씨디</t>
        </is>
      </c>
      <c r="C4792" s="2" t="inlineStr">
        <is>
          <t>코스닥</t>
        </is>
      </c>
      <c r="D4792" s="2" t="inlineStr">
        <is>
          <t>040910</t>
        </is>
      </c>
      <c r="E4792" s="3" t="inlineStr">
        <is>
          <t xml:space="preserve">소속부변경              </t>
        </is>
      </c>
      <c r="F4792" s="3" t="inlineStr">
        <is>
          <t>코스닥시장본부</t>
        </is>
      </c>
      <c r="G4792" s="2" t="inlineStr">
        <is>
          <t>20260312902489</t>
        </is>
      </c>
      <c r="H4792" s="8">
        <f>HYPERLINK("https://dart.fss.or.kr/dsaf001/main.do?rcpNo=20260312902489", "공시열람")</f>
        <v/>
      </c>
    </row>
    <row r="4793">
      <c r="A4793" s="2" t="inlineStr">
        <is>
          <t>2026-03-12</t>
        </is>
      </c>
      <c r="B4793" s="3" t="inlineStr">
        <is>
          <t>아이씨디</t>
        </is>
      </c>
      <c r="C4793" s="2" t="inlineStr">
        <is>
          <t>코스닥</t>
        </is>
      </c>
      <c r="D4793" s="2" t="inlineStr">
        <is>
          <t>040910</t>
        </is>
      </c>
      <c r="E4793" s="3" t="inlineStr">
        <is>
          <t xml:space="preserve">감사보고서제출              </t>
        </is>
      </c>
      <c r="F4793" s="3" t="inlineStr">
        <is>
          <t>아이씨디</t>
        </is>
      </c>
      <c r="G4793" s="2" t="inlineStr">
        <is>
          <t>20260312902447</t>
        </is>
      </c>
      <c r="H4793" s="8">
        <f>HYPERLINK("https://dart.fss.or.kr/dsaf001/main.do?rcpNo=20260312902447", "공시열람")</f>
        <v/>
      </c>
    </row>
    <row r="4794">
      <c r="A4794" s="2" t="inlineStr">
        <is>
          <t>2026-03-12</t>
        </is>
      </c>
      <c r="B4794" s="3" t="inlineStr">
        <is>
          <t>HLB이노베이션</t>
        </is>
      </c>
      <c r="C4794" s="2" t="inlineStr">
        <is>
          <t>코스닥</t>
        </is>
      </c>
      <c r="D4794" s="2" t="inlineStr">
        <is>
          <t>024850</t>
        </is>
      </c>
      <c r="E4794" s="3" t="inlineStr">
        <is>
          <t xml:space="preserve">감사보고서제출              </t>
        </is>
      </c>
      <c r="F4794" s="3" t="inlineStr">
        <is>
          <t>HLB이노베이션</t>
        </is>
      </c>
      <c r="G4794" s="2" t="inlineStr">
        <is>
          <t>20260312902409</t>
        </is>
      </c>
      <c r="H4794" s="8">
        <f>HYPERLINK("https://dart.fss.or.kr/dsaf001/main.do?rcpNo=20260312902409", "공시열람")</f>
        <v/>
      </c>
    </row>
    <row r="4795">
      <c r="A4795" s="2" t="inlineStr">
        <is>
          <t>2026-03-12</t>
        </is>
      </c>
      <c r="B4795" s="3" t="inlineStr">
        <is>
          <t>노바렉스</t>
        </is>
      </c>
      <c r="C4795" s="2" t="inlineStr">
        <is>
          <t>코스닥</t>
        </is>
      </c>
      <c r="D4795" s="2" t="inlineStr">
        <is>
          <t>194700</t>
        </is>
      </c>
      <c r="E4795" s="3" t="inlineStr">
        <is>
          <t xml:space="preserve">현금ㆍ현물배당결정              </t>
        </is>
      </c>
      <c r="F4795" s="3" t="inlineStr">
        <is>
          <t>노바렉스</t>
        </is>
      </c>
      <c r="G4795" s="2" t="inlineStr">
        <is>
          <t>20260312902473</t>
        </is>
      </c>
      <c r="H4795" s="8">
        <f>HYPERLINK("https://dart.fss.or.kr/dsaf001/main.do?rcpNo=20260312902473", "공시열람")</f>
        <v/>
      </c>
    </row>
    <row r="4796">
      <c r="A4796" s="2" t="inlineStr">
        <is>
          <t>2026-03-12</t>
        </is>
      </c>
      <c r="B4796" s="3" t="inlineStr">
        <is>
          <t>이수앱지스</t>
        </is>
      </c>
      <c r="C4796" s="2" t="inlineStr">
        <is>
          <t>코스닥</t>
        </is>
      </c>
      <c r="D4796" s="2" t="inlineStr">
        <is>
          <t>086890</t>
        </is>
      </c>
      <c r="E4796" s="3" t="inlineStr">
        <is>
          <t xml:space="preserve">감사보고서제출              </t>
        </is>
      </c>
      <c r="F4796" s="3" t="inlineStr">
        <is>
          <t>이수앱지스</t>
        </is>
      </c>
      <c r="G4796" s="2" t="inlineStr">
        <is>
          <t>20260312902462</t>
        </is>
      </c>
      <c r="H4796" s="8">
        <f>HYPERLINK("https://dart.fss.or.kr/dsaf001/main.do?rcpNo=20260312902462", "공시열람")</f>
        <v/>
      </c>
    </row>
    <row r="4797">
      <c r="A4797" s="2" t="inlineStr">
        <is>
          <t>2026-03-12</t>
        </is>
      </c>
      <c r="B4797" s="3" t="inlineStr">
        <is>
          <t>삼진</t>
        </is>
      </c>
      <c r="C4797" s="2" t="inlineStr">
        <is>
          <t>코스닥</t>
        </is>
      </c>
      <c r="D4797" s="2" t="inlineStr">
        <is>
          <t>032750</t>
        </is>
      </c>
      <c r="E4797" s="3" t="inlineStr">
        <is>
          <t xml:space="preserve">매출액또는손익구조30%(대규모법인은15%)이상변동              </t>
        </is>
      </c>
      <c r="F4797" s="3" t="inlineStr">
        <is>
          <t>삼진</t>
        </is>
      </c>
      <c r="G4797" s="2" t="inlineStr">
        <is>
          <t>20260312902470</t>
        </is>
      </c>
      <c r="H4797" s="8">
        <f>HYPERLINK("https://dart.fss.or.kr/dsaf001/main.do?rcpNo=20260312902470", "공시열람")</f>
        <v/>
      </c>
    </row>
    <row r="4798">
      <c r="A4798" s="2" t="inlineStr">
        <is>
          <t>2026-03-12</t>
        </is>
      </c>
      <c r="B4798" s="3" t="inlineStr">
        <is>
          <t>금화피에스시</t>
        </is>
      </c>
      <c r="C4798" s="2" t="inlineStr">
        <is>
          <t>코스닥</t>
        </is>
      </c>
      <c r="D4798" s="2" t="inlineStr">
        <is>
          <t>036190</t>
        </is>
      </c>
      <c r="E4798" s="3" t="inlineStr">
        <is>
          <t xml:space="preserve">감사보고서제출              </t>
        </is>
      </c>
      <c r="F4798" s="3" t="inlineStr">
        <is>
          <t>금화피에스시</t>
        </is>
      </c>
      <c r="G4798" s="2" t="inlineStr">
        <is>
          <t>20260312902398</t>
        </is>
      </c>
      <c r="H4798" s="8">
        <f>HYPERLINK("https://dart.fss.or.kr/dsaf001/main.do?rcpNo=20260312902398", "공시열람")</f>
        <v/>
      </c>
    </row>
    <row r="4799">
      <c r="A4799" s="2" t="inlineStr">
        <is>
          <t>2026-03-12</t>
        </is>
      </c>
      <c r="B4799" s="3" t="inlineStr">
        <is>
          <t>파라택시스이더리움</t>
        </is>
      </c>
      <c r="C4799" s="2" t="inlineStr">
        <is>
          <t>코스닥</t>
        </is>
      </c>
      <c r="D4799" s="2" t="inlineStr">
        <is>
          <t>290560</t>
        </is>
      </c>
      <c r="E4799" s="3" t="inlineStr">
        <is>
          <t xml:space="preserve">감사보고서제출              </t>
        </is>
      </c>
      <c r="F4799" s="3" t="inlineStr">
        <is>
          <t>파라택시스이더리움</t>
        </is>
      </c>
      <c r="G4799" s="2" t="inlineStr">
        <is>
          <t>20260312902345</t>
        </is>
      </c>
      <c r="H4799" s="8">
        <f>HYPERLINK("https://dart.fss.or.kr/dsaf001/main.do?rcpNo=20260312902345", "공시열람")</f>
        <v/>
      </c>
    </row>
    <row r="4800">
      <c r="A4800" s="2" t="inlineStr">
        <is>
          <t>2026-03-12</t>
        </is>
      </c>
      <c r="B4800" s="3" t="inlineStr">
        <is>
          <t>린드먼아시아</t>
        </is>
      </c>
      <c r="C4800" s="2" t="inlineStr">
        <is>
          <t>코스닥</t>
        </is>
      </c>
      <c r="D4800" s="2" t="inlineStr">
        <is>
          <t>277070</t>
        </is>
      </c>
      <c r="E4800" s="3" t="inlineStr">
        <is>
          <t xml:space="preserve">현금ㆍ현물배당결정              </t>
        </is>
      </c>
      <c r="F4800" s="3" t="inlineStr">
        <is>
          <t>린드먼아시아</t>
        </is>
      </c>
      <c r="G4800" s="2" t="inlineStr">
        <is>
          <t>20260312902211</t>
        </is>
      </c>
      <c r="H4800" s="8">
        <f>HYPERLINK("https://dart.fss.or.kr/dsaf001/main.do?rcpNo=20260312902211", "공시열람")</f>
        <v/>
      </c>
    </row>
    <row r="4801">
      <c r="A4801" s="2" t="inlineStr">
        <is>
          <t>2026-03-12</t>
        </is>
      </c>
      <c r="B4801" s="3" t="inlineStr">
        <is>
          <t>삼성스팩12호</t>
        </is>
      </c>
      <c r="C4801" s="2" t="inlineStr">
        <is>
          <t>코스닥</t>
        </is>
      </c>
      <c r="D4801" s="2" t="inlineStr">
        <is>
          <t>0096B0</t>
        </is>
      </c>
      <c r="E4801" s="3" t="inlineStr">
        <is>
          <t xml:space="preserve">감사보고서제출              </t>
        </is>
      </c>
      <c r="F4801" s="3" t="inlineStr">
        <is>
          <t>삼성스팩12호</t>
        </is>
      </c>
      <c r="G4801" s="2" t="inlineStr">
        <is>
          <t>20260312902452</t>
        </is>
      </c>
      <c r="H4801" s="8">
        <f>HYPERLINK("https://dart.fss.or.kr/dsaf001/main.do?rcpNo=20260312902452", "공시열람")</f>
        <v/>
      </c>
    </row>
    <row r="4802">
      <c r="A4802" s="2" t="inlineStr">
        <is>
          <t>2026-03-12</t>
        </is>
      </c>
      <c r="B4802" s="3" t="inlineStr">
        <is>
          <t>LX홀딩스</t>
        </is>
      </c>
      <c r="C4802" s="2" t="inlineStr">
        <is>
          <t>코스피</t>
        </is>
      </c>
      <c r="D4802" s="2" t="inlineStr">
        <is>
          <t>383800</t>
        </is>
      </c>
      <c r="E4802" s="3" t="inlineStr">
        <is>
          <t xml:space="preserve">감사보고서제출(자회사의 주요경영사항)              </t>
        </is>
      </c>
      <c r="F4802" s="3" t="inlineStr">
        <is>
          <t>LX홀딩스</t>
        </is>
      </c>
      <c r="G4802" s="2" t="inlineStr">
        <is>
          <t>20260312802436</t>
        </is>
      </c>
      <c r="H4802" s="8">
        <f>HYPERLINK("https://dart.fss.or.kr/dsaf001/main.do?rcpNo=20260312802436", "공시열람")</f>
        <v/>
      </c>
    </row>
    <row r="4803">
      <c r="A4803" s="2" t="inlineStr">
        <is>
          <t>2026-03-12</t>
        </is>
      </c>
      <c r="B4803" s="3" t="inlineStr">
        <is>
          <t>DYP</t>
        </is>
      </c>
      <c r="C4803" s="2" t="inlineStr">
        <is>
          <t>코스피</t>
        </is>
      </c>
      <c r="D4803" s="2" t="inlineStr">
        <is>
          <t>092780</t>
        </is>
      </c>
      <c r="E4803" s="3" t="inlineStr">
        <is>
          <t xml:space="preserve">불성실공시법인지정              </t>
        </is>
      </c>
      <c r="F4803" s="3" t="inlineStr">
        <is>
          <t>유가증권시장본부</t>
        </is>
      </c>
      <c r="G4803" s="2" t="inlineStr">
        <is>
          <t>20260312802437</t>
        </is>
      </c>
      <c r="H4803" s="8">
        <f>HYPERLINK("https://dart.fss.or.kr/dsaf001/main.do?rcpNo=20260312802437", "공시열람")</f>
        <v/>
      </c>
    </row>
    <row r="4804">
      <c r="A4804" s="2" t="inlineStr">
        <is>
          <t>2026-03-12 (정정: 2026-06-22)</t>
        </is>
      </c>
      <c r="B4804" s="3" t="inlineStr">
        <is>
          <t>디모아</t>
        </is>
      </c>
      <c r="C4804" s="2" t="inlineStr">
        <is>
          <t>코스닥</t>
        </is>
      </c>
      <c r="D4804" s="2" t="inlineStr">
        <is>
          <t>016670</t>
        </is>
      </c>
      <c r="E4804" s="3" t="inlineStr">
        <is>
          <t>증권발행결과(자율공시)              (제3자배정 유상증자) (정정: 20260522) (정정: 20260622) (정정: 20260622)</t>
        </is>
      </c>
      <c r="F4804" s="3" t="inlineStr">
        <is>
          <t>디모아</t>
        </is>
      </c>
      <c r="G4804" s="2" t="inlineStr">
        <is>
          <t>20260622900515</t>
        </is>
      </c>
      <c r="H4804" s="8">
        <f>HYPERLINK("https://dart.fss.or.kr/dsaf001/main.do?rcpNo=20260622900515", "공시열람")</f>
        <v/>
      </c>
    </row>
    <row r="4805">
      <c r="A4805" s="2" t="inlineStr">
        <is>
          <t>2026-03-12</t>
        </is>
      </c>
      <c r="B4805" s="3" t="inlineStr">
        <is>
          <t>지투지바이오</t>
        </is>
      </c>
      <c r="C4805" s="2" t="inlineStr">
        <is>
          <t>코스닥</t>
        </is>
      </c>
      <c r="D4805" s="2" t="inlineStr">
        <is>
          <t>456160</t>
        </is>
      </c>
      <c r="E4805" s="3" t="inlineStr">
        <is>
          <t>증권발행결과(자율공시)              (제5회차 CB)</t>
        </is>
      </c>
      <c r="F4805" s="3" t="inlineStr">
        <is>
          <t>지투지바이오</t>
        </is>
      </c>
      <c r="G4805" s="2" t="inlineStr">
        <is>
          <t>20260312902451</t>
        </is>
      </c>
      <c r="H4805" s="8">
        <f>HYPERLINK("https://dart.fss.or.kr/dsaf001/main.do?rcpNo=20260312902451", "공시열람")</f>
        <v/>
      </c>
    </row>
    <row r="4806">
      <c r="A4806" s="2" t="inlineStr">
        <is>
          <t>2026-03-12</t>
        </is>
      </c>
      <c r="B4806" s="3" t="inlineStr">
        <is>
          <t>지투지바이오</t>
        </is>
      </c>
      <c r="C4806" s="2" t="inlineStr">
        <is>
          <t>코스닥</t>
        </is>
      </c>
      <c r="D4806" s="2" t="inlineStr">
        <is>
          <t>456160</t>
        </is>
      </c>
      <c r="E4806" s="3" t="inlineStr">
        <is>
          <t>증권발행결과(자율공시)              (제3자배정-전환우선주)</t>
        </is>
      </c>
      <c r="F4806" s="3" t="inlineStr">
        <is>
          <t>지투지바이오</t>
        </is>
      </c>
      <c r="G4806" s="2" t="inlineStr">
        <is>
          <t>20260312902448</t>
        </is>
      </c>
      <c r="H4806" s="8">
        <f>HYPERLINK("https://dart.fss.or.kr/dsaf001/main.do?rcpNo=20260312902448", "공시열람")</f>
        <v/>
      </c>
    </row>
    <row r="4807">
      <c r="A4807" s="2" t="inlineStr">
        <is>
          <t>2026-03-12 (정정: 2026-03-13)</t>
        </is>
      </c>
      <c r="B4807" s="3" t="inlineStr">
        <is>
          <t>태광산업</t>
        </is>
      </c>
      <c r="C4807" s="2" t="inlineStr">
        <is>
          <t>코스피</t>
        </is>
      </c>
      <c r="D4807" s="2" t="inlineStr">
        <is>
          <t>003240</t>
        </is>
      </c>
      <c r="E4807" s="3" t="inlineStr">
        <is>
          <t>[기재정정]타법인주식및출자증권취득결정               (정정: 20260313)</t>
        </is>
      </c>
      <c r="F4807" s="3" t="inlineStr">
        <is>
          <t>태광산업</t>
        </is>
      </c>
      <c r="G4807" s="2" t="inlineStr">
        <is>
          <t>20260313802000</t>
        </is>
      </c>
      <c r="H4807" s="8">
        <f>HYPERLINK("https://dart.fss.or.kr/dsaf001/main.do?rcpNo=20260313802000", "공시열람")</f>
        <v/>
      </c>
    </row>
    <row r="4808">
      <c r="A4808" s="2" t="inlineStr">
        <is>
          <t>2026-03-12</t>
        </is>
      </c>
      <c r="B4808" s="3" t="inlineStr">
        <is>
          <t>THE CUBE&amp;</t>
        </is>
      </c>
      <c r="C4808" s="2" t="inlineStr">
        <is>
          <t>코스닥</t>
        </is>
      </c>
      <c r="D4808" s="2" t="inlineStr">
        <is>
          <t>013720</t>
        </is>
      </c>
      <c r="E4808" s="3" t="inlineStr">
        <is>
          <t xml:space="preserve">감사보고서제출              </t>
        </is>
      </c>
      <c r="F4808" s="3" t="inlineStr">
        <is>
          <t>THE CUBE&amp;</t>
        </is>
      </c>
      <c r="G4808" s="2" t="inlineStr">
        <is>
          <t>20260312902090</t>
        </is>
      </c>
      <c r="H4808" s="8">
        <f>HYPERLINK("https://dart.fss.or.kr/dsaf001/main.do?rcpNo=20260312902090", "공시열람")</f>
        <v/>
      </c>
    </row>
    <row r="4809">
      <c r="A4809" s="2" t="inlineStr">
        <is>
          <t>2026-03-12</t>
        </is>
      </c>
      <c r="B4809" s="3" t="inlineStr">
        <is>
          <t>도우인시스</t>
        </is>
      </c>
      <c r="C4809" s="2" t="inlineStr">
        <is>
          <t>코스닥</t>
        </is>
      </c>
      <c r="D4809" s="2" t="inlineStr">
        <is>
          <t>484120</t>
        </is>
      </c>
      <c r="E4809" s="3" t="inlineStr">
        <is>
          <t xml:space="preserve">감사보고서제출              </t>
        </is>
      </c>
      <c r="F4809" s="3" t="inlineStr">
        <is>
          <t>도우인시스</t>
        </is>
      </c>
      <c r="G4809" s="2" t="inlineStr">
        <is>
          <t>20260312902441</t>
        </is>
      </c>
      <c r="H4809" s="8">
        <f>HYPERLINK("https://dart.fss.or.kr/dsaf001/main.do?rcpNo=20260312902441", "공시열람")</f>
        <v/>
      </c>
    </row>
    <row r="4810">
      <c r="A4810" s="2" t="inlineStr">
        <is>
          <t>2026-03-12</t>
        </is>
      </c>
      <c r="B4810" s="3" t="inlineStr">
        <is>
          <t>진성티이씨</t>
        </is>
      </c>
      <c r="C4810" s="2" t="inlineStr">
        <is>
          <t>코스닥</t>
        </is>
      </c>
      <c r="D4810" s="2" t="inlineStr">
        <is>
          <t>036890</t>
        </is>
      </c>
      <c r="E4810" s="3" t="inlineStr">
        <is>
          <t xml:space="preserve">감사보고서제출              </t>
        </is>
      </c>
      <c r="F4810" s="3" t="inlineStr">
        <is>
          <t>진성티이씨</t>
        </is>
      </c>
      <c r="G4810" s="2" t="inlineStr">
        <is>
          <t>20260312902393</t>
        </is>
      </c>
      <c r="H4810" s="8">
        <f>HYPERLINK("https://dart.fss.or.kr/dsaf001/main.do?rcpNo=20260312902393", "공시열람")</f>
        <v/>
      </c>
    </row>
    <row r="4811">
      <c r="A4811" s="2" t="inlineStr">
        <is>
          <t>2026-03-12</t>
        </is>
      </c>
      <c r="B4811" s="3" t="inlineStr">
        <is>
          <t>엔시트론</t>
        </is>
      </c>
      <c r="C4811" s="2" t="inlineStr">
        <is>
          <t>코스닥</t>
        </is>
      </c>
      <c r="D4811" s="2" t="inlineStr">
        <is>
          <t>101400</t>
        </is>
      </c>
      <c r="E4811" s="3" t="inlineStr">
        <is>
          <t xml:space="preserve">매출액또는손익구조30%(대규모법인은15%)이상변동              </t>
        </is>
      </c>
      <c r="F4811" s="3" t="inlineStr">
        <is>
          <t>엔시트론</t>
        </is>
      </c>
      <c r="G4811" s="2" t="inlineStr">
        <is>
          <t>20260312901900</t>
        </is>
      </c>
      <c r="H4811" s="8">
        <f>HYPERLINK("https://dart.fss.or.kr/dsaf001/main.do?rcpNo=20260312901900", "공시열람")</f>
        <v/>
      </c>
    </row>
    <row r="4812">
      <c r="A4812" s="2" t="inlineStr">
        <is>
          <t>2026-03-12</t>
        </is>
      </c>
      <c r="B4812" s="3" t="inlineStr">
        <is>
          <t>씨엔플러스</t>
        </is>
      </c>
      <c r="C4812" s="2" t="inlineStr">
        <is>
          <t>코스닥</t>
        </is>
      </c>
      <c r="D4812" s="2" t="inlineStr">
        <is>
          <t>115530</t>
        </is>
      </c>
      <c r="E4812" s="3" t="inlineStr">
        <is>
          <t>전환청구권행사              (제7회차)</t>
        </is>
      </c>
      <c r="F4812" s="3" t="inlineStr">
        <is>
          <t>씨엔플러스</t>
        </is>
      </c>
      <c r="G4812" s="2" t="inlineStr">
        <is>
          <t>20260312902429</t>
        </is>
      </c>
      <c r="H4812" s="8">
        <f>HYPERLINK("https://dart.fss.or.kr/dsaf001/main.do?rcpNo=20260312902429", "공시열람")</f>
        <v/>
      </c>
    </row>
    <row r="4813">
      <c r="A4813" s="2" t="inlineStr">
        <is>
          <t>2026-03-12</t>
        </is>
      </c>
      <c r="B4813" s="3" t="inlineStr">
        <is>
          <t>LX하우시스</t>
        </is>
      </c>
      <c r="C4813" s="2" t="inlineStr">
        <is>
          <t>코스피</t>
        </is>
      </c>
      <c r="D4813" s="2" t="inlineStr">
        <is>
          <t>108670</t>
        </is>
      </c>
      <c r="E4813" s="3" t="inlineStr">
        <is>
          <t xml:space="preserve">감사보고서제출              </t>
        </is>
      </c>
      <c r="F4813" s="3" t="inlineStr">
        <is>
          <t>LX하우시스</t>
        </is>
      </c>
      <c r="G4813" s="2" t="inlineStr">
        <is>
          <t>20260312802352</t>
        </is>
      </c>
      <c r="H4813" s="8">
        <f>HYPERLINK("https://dart.fss.or.kr/dsaf001/main.do?rcpNo=20260312802352", "공시열람")</f>
        <v/>
      </c>
    </row>
    <row r="4814">
      <c r="A4814" s="2" t="inlineStr">
        <is>
          <t>2026-03-12 (정정: 2026-05-29)</t>
        </is>
      </c>
      <c r="B4814" s="3" t="inlineStr">
        <is>
          <t>한진칼</t>
        </is>
      </c>
      <c r="C4814" s="2" t="inlineStr">
        <is>
          <t>코스피</t>
        </is>
      </c>
      <c r="D4814" s="2" t="inlineStr">
        <is>
          <t>180640</t>
        </is>
      </c>
      <c r="E4814" s="3" t="inlineStr">
        <is>
          <t>투자판단관련주요경영사항(자회사의 주요경영사항)               (정정: 20260529)</t>
        </is>
      </c>
      <c r="F4814" s="3" t="inlineStr">
        <is>
          <t>한진칼</t>
        </is>
      </c>
      <c r="G4814" s="2" t="inlineStr">
        <is>
          <t>20260529801865</t>
        </is>
      </c>
      <c r="H4814" s="8">
        <f>HYPERLINK("https://dart.fss.or.kr/dsaf001/main.do?rcpNo=20260529801865", "공시열람")</f>
        <v/>
      </c>
    </row>
    <row r="4815">
      <c r="A4815" s="2" t="inlineStr">
        <is>
          <t>2026-03-12</t>
        </is>
      </c>
      <c r="B4815" s="3" t="inlineStr">
        <is>
          <t>한진칼</t>
        </is>
      </c>
      <c r="C4815" s="2" t="inlineStr">
        <is>
          <t>코스피</t>
        </is>
      </c>
      <c r="D4815" s="2" t="inlineStr">
        <is>
          <t>180640</t>
        </is>
      </c>
      <c r="E4815" s="3" t="inlineStr">
        <is>
          <t xml:space="preserve">타법인주식및출자증권취득결정(자회사의 주요경영사항)              </t>
        </is>
      </c>
      <c r="F4815" s="3" t="inlineStr">
        <is>
          <t>한진칼</t>
        </is>
      </c>
      <c r="G4815" s="2" t="inlineStr">
        <is>
          <t>20260312802392</t>
        </is>
      </c>
      <c r="H4815" s="8">
        <f>HYPERLINK("https://dart.fss.or.kr/dsaf001/main.do?rcpNo=20260312802392", "공시열람")</f>
        <v/>
      </c>
    </row>
    <row r="4816">
      <c r="A4816" s="2" t="inlineStr">
        <is>
          <t>2026-03-12</t>
        </is>
      </c>
      <c r="B4816" s="3" t="inlineStr">
        <is>
          <t>우리바이오</t>
        </is>
      </c>
      <c r="C4816" s="2" t="inlineStr">
        <is>
          <t>코스닥</t>
        </is>
      </c>
      <c r="D4816" s="2" t="inlineStr">
        <is>
          <t>082850</t>
        </is>
      </c>
      <c r="E4816" s="3" t="inlineStr">
        <is>
          <t xml:space="preserve">현금ㆍ현물배당결정              </t>
        </is>
      </c>
      <c r="F4816" s="3" t="inlineStr">
        <is>
          <t>우리바이오</t>
        </is>
      </c>
      <c r="G4816" s="2" t="inlineStr">
        <is>
          <t>20260312901884</t>
        </is>
      </c>
      <c r="H4816" s="8">
        <f>HYPERLINK("https://dart.fss.or.kr/dsaf001/main.do?rcpNo=20260312901884", "공시열람")</f>
        <v/>
      </c>
    </row>
    <row r="4817">
      <c r="A4817" s="2" t="inlineStr">
        <is>
          <t>2026-03-12</t>
        </is>
      </c>
      <c r="B4817" s="3" t="inlineStr">
        <is>
          <t>한전산업</t>
        </is>
      </c>
      <c r="C4817" s="2" t="inlineStr">
        <is>
          <t>코스피</t>
        </is>
      </c>
      <c r="D4817" s="2" t="inlineStr">
        <is>
          <t>130660</t>
        </is>
      </c>
      <c r="E4817" s="3" t="inlineStr">
        <is>
          <t xml:space="preserve">현금ㆍ현물배당결정              </t>
        </is>
      </c>
      <c r="F4817" s="3" t="inlineStr">
        <is>
          <t>한전산업</t>
        </is>
      </c>
      <c r="G4817" s="2" t="inlineStr">
        <is>
          <t>20260312802421</t>
        </is>
      </c>
      <c r="H4817" s="8">
        <f>HYPERLINK("https://dart.fss.or.kr/dsaf001/main.do?rcpNo=20260312802421", "공시열람")</f>
        <v/>
      </c>
    </row>
    <row r="4818">
      <c r="A4818" s="2" t="inlineStr">
        <is>
          <t>2026-03-12 (정정: 2026-03-13)</t>
        </is>
      </c>
      <c r="B4818" s="3" t="inlineStr">
        <is>
          <t>골프존홀딩스</t>
        </is>
      </c>
      <c r="C4818" s="2" t="inlineStr">
        <is>
          <t>코스닥</t>
        </is>
      </c>
      <c r="D4818" s="2" t="inlineStr">
        <is>
          <t>121440</t>
        </is>
      </c>
      <c r="E4818" s="3" t="inlineStr">
        <is>
          <t>감사보고서제출(자회사의 주요경영사항)               (정정: 20260313)</t>
        </is>
      </c>
      <c r="F4818" s="3" t="inlineStr">
        <is>
          <t>골프존홀딩스</t>
        </is>
      </c>
      <c r="G4818" s="2" t="inlineStr">
        <is>
          <t>20260313901920</t>
        </is>
      </c>
      <c r="H4818" s="8">
        <f>HYPERLINK("https://dart.fss.or.kr/dsaf001/main.do?rcpNo=20260313901920", "공시열람")</f>
        <v/>
      </c>
    </row>
    <row r="4819">
      <c r="A4819" s="2" t="inlineStr">
        <is>
          <t>2026-03-12</t>
        </is>
      </c>
      <c r="B4819" s="3" t="inlineStr">
        <is>
          <t>골프존홀딩스</t>
        </is>
      </c>
      <c r="C4819" s="2" t="inlineStr">
        <is>
          <t>코스닥</t>
        </is>
      </c>
      <c r="D4819" s="2" t="inlineStr">
        <is>
          <t>121440</t>
        </is>
      </c>
      <c r="E4819" s="3" t="inlineStr">
        <is>
          <t xml:space="preserve">현금ㆍ현물배당결정(자회사의 주요경영사항)              </t>
        </is>
      </c>
      <c r="F4819" s="3" t="inlineStr">
        <is>
          <t>골프존홀딩스</t>
        </is>
      </c>
      <c r="G4819" s="2" t="inlineStr">
        <is>
          <t>20260312902344</t>
        </is>
      </c>
      <c r="H4819" s="8">
        <f>HYPERLINK("https://dart.fss.or.kr/dsaf001/main.do?rcpNo=20260312902344", "공시열람")</f>
        <v/>
      </c>
    </row>
    <row r="4820">
      <c r="A4820" s="2" t="inlineStr">
        <is>
          <t>2026-03-12</t>
        </is>
      </c>
      <c r="B4820" s="3" t="inlineStr">
        <is>
          <t>한미사이언스</t>
        </is>
      </c>
      <c r="C4820" s="2" t="inlineStr">
        <is>
          <t>코스피</t>
        </is>
      </c>
      <c r="D4820" s="2" t="inlineStr">
        <is>
          <t>008930</t>
        </is>
      </c>
      <c r="E4820" s="3" t="inlineStr">
        <is>
          <t xml:space="preserve">현금ㆍ현물배당결정(자회사의 주요경영사항)              </t>
        </is>
      </c>
      <c r="F4820" s="3" t="inlineStr">
        <is>
          <t>한미사이언스</t>
        </is>
      </c>
      <c r="G4820" s="2" t="inlineStr">
        <is>
          <t>20260312802381</t>
        </is>
      </c>
      <c r="H4820" s="8">
        <f>HYPERLINK("https://dart.fss.or.kr/dsaf001/main.do?rcpNo=20260312802381", "공시열람")</f>
        <v/>
      </c>
    </row>
    <row r="4821">
      <c r="A4821" s="2" t="inlineStr">
        <is>
          <t>2026-03-12 (정정: 2026-05-29)</t>
        </is>
      </c>
      <c r="B4821" s="3" t="inlineStr">
        <is>
          <t>대한항공</t>
        </is>
      </c>
      <c r="C4821" s="2" t="inlineStr">
        <is>
          <t>코스피</t>
        </is>
      </c>
      <c r="D4821" s="2" t="inlineStr">
        <is>
          <t>003490</t>
        </is>
      </c>
      <c r="E4821" s="3" t="inlineStr">
        <is>
          <t>투자판단관련주요경영사항               (정정: 20260529)</t>
        </is>
      </c>
      <c r="F4821" s="3" t="inlineStr">
        <is>
          <t>대한항공</t>
        </is>
      </c>
      <c r="G4821" s="2" t="inlineStr">
        <is>
          <t>20260529801777</t>
        </is>
      </c>
      <c r="H4821" s="8">
        <f>HYPERLINK("https://dart.fss.or.kr/dsaf001/main.do?rcpNo=20260529801777", "공시열람")</f>
        <v/>
      </c>
    </row>
    <row r="4822">
      <c r="A4822" s="2" t="inlineStr">
        <is>
          <t>2026-03-12</t>
        </is>
      </c>
      <c r="B4822" s="3" t="inlineStr">
        <is>
          <t>아주IB투자</t>
        </is>
      </c>
      <c r="C4822" s="2" t="inlineStr">
        <is>
          <t>코스닥</t>
        </is>
      </c>
      <c r="D4822" s="2" t="inlineStr">
        <is>
          <t>027360</t>
        </is>
      </c>
      <c r="E4822" s="3" t="inlineStr">
        <is>
          <t xml:space="preserve">감사보고서제출              </t>
        </is>
      </c>
      <c r="F4822" s="3" t="inlineStr">
        <is>
          <t>아주IB투자</t>
        </is>
      </c>
      <c r="G4822" s="2" t="inlineStr">
        <is>
          <t>20260312902170</t>
        </is>
      </c>
      <c r="H4822" s="8">
        <f>HYPERLINK("https://dart.fss.or.kr/dsaf001/main.do?rcpNo=20260312902170", "공시열람")</f>
        <v/>
      </c>
    </row>
    <row r="4823">
      <c r="A4823" s="2" t="inlineStr">
        <is>
          <t>2026-03-12</t>
        </is>
      </c>
      <c r="B4823" s="3" t="inlineStr">
        <is>
          <t>한화시스템</t>
        </is>
      </c>
      <c r="C4823" s="2" t="inlineStr">
        <is>
          <t>코스피</t>
        </is>
      </c>
      <c r="D4823" s="2" t="inlineStr">
        <is>
          <t>272210</t>
        </is>
      </c>
      <c r="E4823" s="3" t="inlineStr">
        <is>
          <t xml:space="preserve">감사보고서제출              </t>
        </is>
      </c>
      <c r="F4823" s="3" t="inlineStr">
        <is>
          <t>한화시스템</t>
        </is>
      </c>
      <c r="G4823" s="2" t="inlineStr">
        <is>
          <t>20260312802346</t>
        </is>
      </c>
      <c r="H4823" s="8">
        <f>HYPERLINK("https://dart.fss.or.kr/dsaf001/main.do?rcpNo=20260312802346", "공시열람")</f>
        <v/>
      </c>
    </row>
    <row r="4824">
      <c r="A4824" s="2" t="inlineStr">
        <is>
          <t>2026-03-12</t>
        </is>
      </c>
      <c r="B4824" s="3" t="inlineStr">
        <is>
          <t>에스엘에스바이오</t>
        </is>
      </c>
      <c r="C4824" s="2" t="inlineStr">
        <is>
          <t>코스닥</t>
        </is>
      </c>
      <c r="D4824" s="2" t="inlineStr">
        <is>
          <t>246250</t>
        </is>
      </c>
      <c r="E4824" s="3" t="inlineStr">
        <is>
          <t xml:space="preserve">반기또는분기매출액미달사실발생              </t>
        </is>
      </c>
      <c r="F4824" s="3" t="inlineStr">
        <is>
          <t>에스엘에스바이오</t>
        </is>
      </c>
      <c r="G4824" s="2" t="inlineStr">
        <is>
          <t>20260312902232</t>
        </is>
      </c>
      <c r="H4824" s="8">
        <f>HYPERLINK("https://dart.fss.or.kr/dsaf001/main.do?rcpNo=20260312902232", "공시열람")</f>
        <v/>
      </c>
    </row>
    <row r="4825">
      <c r="A4825" s="2" t="inlineStr">
        <is>
          <t>2026-03-12</t>
        </is>
      </c>
      <c r="B4825" s="3" t="inlineStr">
        <is>
          <t>에스엘에스바이오</t>
        </is>
      </c>
      <c r="C4825" s="2" t="inlineStr">
        <is>
          <t>코스닥</t>
        </is>
      </c>
      <c r="D4825" s="2" t="inlineStr">
        <is>
          <t>246250</t>
        </is>
      </c>
      <c r="E4825" s="3" t="inlineStr">
        <is>
          <t>기타시장안내              (상장적격성 실질심사 사유추가)</t>
        </is>
      </c>
      <c r="F4825" s="3" t="inlineStr">
        <is>
          <t>코스닥시장본부</t>
        </is>
      </c>
      <c r="G4825" s="2" t="inlineStr">
        <is>
          <t>20260312902347</t>
        </is>
      </c>
      <c r="H4825" s="8">
        <f>HYPERLINK("https://dart.fss.or.kr/dsaf001/main.do?rcpNo=20260312902347", "공시열람")</f>
        <v/>
      </c>
    </row>
    <row r="4826">
      <c r="A4826" s="2" t="inlineStr">
        <is>
          <t>2026-03-12</t>
        </is>
      </c>
      <c r="B4826" s="3" t="inlineStr">
        <is>
          <t>에스엘에스바이오</t>
        </is>
      </c>
      <c r="C4826" s="2" t="inlineStr">
        <is>
          <t>코스닥</t>
        </is>
      </c>
      <c r="D4826" s="2" t="inlineStr">
        <is>
          <t>246250</t>
        </is>
      </c>
      <c r="E4826" s="3" t="inlineStr">
        <is>
          <t xml:space="preserve">감사보고서제출              </t>
        </is>
      </c>
      <c r="F4826" s="3" t="inlineStr">
        <is>
          <t>에스엘에스바이오</t>
        </is>
      </c>
      <c r="G4826" s="2" t="inlineStr">
        <is>
          <t>20260312902327</t>
        </is>
      </c>
      <c r="H4826" s="8">
        <f>HYPERLINK("https://dart.fss.or.kr/dsaf001/main.do?rcpNo=20260312902327", "공시열람")</f>
        <v/>
      </c>
    </row>
    <row r="4827">
      <c r="A4827" s="2" t="inlineStr">
        <is>
          <t>2026-03-12</t>
        </is>
      </c>
      <c r="B4827" s="3" t="inlineStr">
        <is>
          <t>대한항공</t>
        </is>
      </c>
      <c r="C4827" s="2" t="inlineStr">
        <is>
          <t>코스피</t>
        </is>
      </c>
      <c r="D4827" s="2" t="inlineStr">
        <is>
          <t>003490</t>
        </is>
      </c>
      <c r="E4827" s="3" t="inlineStr">
        <is>
          <t xml:space="preserve">타법인주식및출자증권취득결정              </t>
        </is>
      </c>
      <c r="F4827" s="3" t="inlineStr">
        <is>
          <t>대한항공</t>
        </is>
      </c>
      <c r="G4827" s="2" t="inlineStr">
        <is>
          <t>20260312802349</t>
        </is>
      </c>
      <c r="H4827" s="8">
        <f>HYPERLINK("https://dart.fss.or.kr/dsaf001/main.do?rcpNo=20260312802349", "공시열람")</f>
        <v/>
      </c>
    </row>
    <row r="4828">
      <c r="A4828" s="2" t="inlineStr">
        <is>
          <t>2026-03-12</t>
        </is>
      </c>
      <c r="B4828" s="3" t="inlineStr">
        <is>
          <t>한미사이언스</t>
        </is>
      </c>
      <c r="C4828" s="2" t="inlineStr">
        <is>
          <t>코스피</t>
        </is>
      </c>
      <c r="D4828" s="2" t="inlineStr">
        <is>
          <t>008930</t>
        </is>
      </c>
      <c r="E4828" s="3" t="inlineStr">
        <is>
          <t xml:space="preserve">현금ㆍ현물배당을위한주주명부폐쇄(기준일)결정(자회사의 주요경영사항)              </t>
        </is>
      </c>
      <c r="F4828" s="3" t="inlineStr">
        <is>
          <t>한미사이언스</t>
        </is>
      </c>
      <c r="G4828" s="2" t="inlineStr">
        <is>
          <t>20260312802354</t>
        </is>
      </c>
      <c r="H4828" s="8">
        <f>HYPERLINK("https://dart.fss.or.kr/dsaf001/main.do?rcpNo=20260312802354", "공시열람")</f>
        <v/>
      </c>
    </row>
    <row r="4829">
      <c r="A4829" s="2" t="inlineStr">
        <is>
          <t>2026-03-12</t>
        </is>
      </c>
      <c r="B4829" s="3" t="inlineStr">
        <is>
          <t>한미약품</t>
        </is>
      </c>
      <c r="C4829" s="2" t="inlineStr">
        <is>
          <t>코스피</t>
        </is>
      </c>
      <c r="D4829" s="2" t="inlineStr">
        <is>
          <t>128940</t>
        </is>
      </c>
      <c r="E4829" s="3" t="inlineStr">
        <is>
          <t xml:space="preserve">현금ㆍ현물배당결정              </t>
        </is>
      </c>
      <c r="F4829" s="3" t="inlineStr">
        <is>
          <t>한미약품</t>
        </is>
      </c>
      <c r="G4829" s="2" t="inlineStr">
        <is>
          <t>20260312802326</t>
        </is>
      </c>
      <c r="H4829" s="8">
        <f>HYPERLINK("https://dart.fss.or.kr/dsaf001/main.do?rcpNo=20260312802326", "공시열람")</f>
        <v/>
      </c>
    </row>
    <row r="4830">
      <c r="A4830" s="2" t="inlineStr">
        <is>
          <t>2026-03-12 (정정: 2026-03-12)</t>
        </is>
      </c>
      <c r="B4830" s="3" t="inlineStr">
        <is>
          <t>SK시그넷</t>
        </is>
      </c>
      <c r="C4830" s="2" t="inlineStr">
        <is>
          <t>코넥스</t>
        </is>
      </c>
      <c r="D4830" s="2" t="inlineStr">
        <is>
          <t>260870</t>
        </is>
      </c>
      <c r="E4830" s="3" t="inlineStr">
        <is>
          <t>[기재정정]주식매수선택권부여에관한신고 (정정: 20260312) (정정: 20260312) (정정: 20260312)</t>
        </is>
      </c>
      <c r="F4830" s="3" t="inlineStr">
        <is>
          <t>SK시그넷</t>
        </is>
      </c>
      <c r="G4830" s="2" t="inlineStr">
        <is>
          <t>20260312001388</t>
        </is>
      </c>
      <c r="H4830" s="8">
        <f>HYPERLINK("https://dart.fss.or.kr/dsaf001/main.do?rcpNo=20260312001388", "공시열람")</f>
        <v/>
      </c>
    </row>
    <row r="4831">
      <c r="A4831" s="2" t="inlineStr">
        <is>
          <t>2026-03-12</t>
        </is>
      </c>
      <c r="B4831" s="3" t="inlineStr">
        <is>
          <t>골프존</t>
        </is>
      </c>
      <c r="C4831" s="2" t="inlineStr">
        <is>
          <t>코스닥</t>
        </is>
      </c>
      <c r="D4831" s="2" t="inlineStr">
        <is>
          <t>215000</t>
        </is>
      </c>
      <c r="E4831" s="3" t="inlineStr">
        <is>
          <t>의결권대리행사권유참고서류</t>
        </is>
      </c>
      <c r="F4831" s="3" t="inlineStr">
        <is>
          <t>골프존</t>
        </is>
      </c>
      <c r="G4831" s="2" t="inlineStr">
        <is>
          <t>20260312001416</t>
        </is>
      </c>
      <c r="H4831" s="8">
        <f>HYPERLINK("https://dart.fss.or.kr/dsaf001/main.do?rcpNo=20260312001416", "공시열람")</f>
        <v/>
      </c>
    </row>
    <row r="4832">
      <c r="A4832" s="2" t="inlineStr">
        <is>
          <t>2026-03-12</t>
        </is>
      </c>
      <c r="B4832" s="3" t="inlineStr">
        <is>
          <t>바이오스마트</t>
        </is>
      </c>
      <c r="C4832" s="2" t="inlineStr">
        <is>
          <t>코스닥</t>
        </is>
      </c>
      <c r="D4832" s="2" t="inlineStr">
        <is>
          <t>038460</t>
        </is>
      </c>
      <c r="E4832" s="3" t="inlineStr">
        <is>
          <t>의결권대리행사권유참고서류</t>
        </is>
      </c>
      <c r="F4832" s="3" t="inlineStr">
        <is>
          <t>바이오스마트</t>
        </is>
      </c>
      <c r="G4832" s="2" t="inlineStr">
        <is>
          <t>20260312001415</t>
        </is>
      </c>
      <c r="H4832" s="8">
        <f>HYPERLINK("https://dart.fss.or.kr/dsaf001/main.do?rcpNo=20260312001415", "공시열람")</f>
        <v/>
      </c>
    </row>
    <row r="4833">
      <c r="A4833" s="2" t="inlineStr">
        <is>
          <t>2026-03-12</t>
        </is>
      </c>
      <c r="B4833" s="3" t="inlineStr">
        <is>
          <t>엠투엔</t>
        </is>
      </c>
      <c r="C4833" s="2" t="inlineStr">
        <is>
          <t>코스닥</t>
        </is>
      </c>
      <c r="D4833" s="2" t="inlineStr">
        <is>
          <t>033310</t>
        </is>
      </c>
      <c r="E4833" s="3" t="inlineStr">
        <is>
          <t xml:space="preserve">매출액또는손익구조30%(대규모법인은15%)이상변동              </t>
        </is>
      </c>
      <c r="F4833" s="3" t="inlineStr">
        <is>
          <t>엠투엔</t>
        </is>
      </c>
      <c r="G4833" s="2" t="inlineStr">
        <is>
          <t>20260312902234</t>
        </is>
      </c>
      <c r="H4833" s="8">
        <f>HYPERLINK("https://dart.fss.or.kr/dsaf001/main.do?rcpNo=20260312902234", "공시열람")</f>
        <v/>
      </c>
    </row>
    <row r="4834">
      <c r="A4834" s="2" t="inlineStr">
        <is>
          <t>2026-03-12 (정정: 2026-03-24)</t>
        </is>
      </c>
      <c r="B4834" s="3" t="inlineStr">
        <is>
          <t>우리엔터프라이즈</t>
        </is>
      </c>
      <c r="C4834" s="2" t="inlineStr">
        <is>
          <t>코스닥</t>
        </is>
      </c>
      <c r="D4834" s="2" t="inlineStr">
        <is>
          <t>037400</t>
        </is>
      </c>
      <c r="E4834" s="3" t="inlineStr">
        <is>
          <t>의결권대리행사권유참고서류 (정정: 20260324)</t>
        </is>
      </c>
      <c r="F4834" s="3" t="inlineStr">
        <is>
          <t>우리엔터프라이즈</t>
        </is>
      </c>
      <c r="G4834" s="2" t="inlineStr">
        <is>
          <t>20260324000546</t>
        </is>
      </c>
      <c r="H4834" s="8">
        <f>HYPERLINK("https://dart.fss.or.kr/dsaf001/main.do?rcpNo=20260324000546", "공시열람")</f>
        <v/>
      </c>
    </row>
    <row r="4835">
      <c r="A4835" s="2" t="inlineStr">
        <is>
          <t>2026-03-12</t>
        </is>
      </c>
      <c r="B4835" s="3" t="inlineStr">
        <is>
          <t>골프존</t>
        </is>
      </c>
      <c r="C4835" s="2" t="inlineStr">
        <is>
          <t>코스닥</t>
        </is>
      </c>
      <c r="D4835" s="2" t="inlineStr">
        <is>
          <t>215000</t>
        </is>
      </c>
      <c r="E4835" s="3" t="inlineStr">
        <is>
          <t xml:space="preserve">감사보고서제출              </t>
        </is>
      </c>
      <c r="F4835" s="3" t="inlineStr">
        <is>
          <t>골프존</t>
        </is>
      </c>
      <c r="G4835" s="2" t="inlineStr">
        <is>
          <t>20260312902190</t>
        </is>
      </c>
      <c r="H4835" s="8">
        <f>HYPERLINK("https://dart.fss.or.kr/dsaf001/main.do?rcpNo=20260312902190", "공시열람")</f>
        <v/>
      </c>
    </row>
    <row r="4836">
      <c r="A4836" s="2" t="inlineStr">
        <is>
          <t>2026-03-12</t>
        </is>
      </c>
      <c r="B4836" s="3" t="inlineStr">
        <is>
          <t>한미약품</t>
        </is>
      </c>
      <c r="C4836" s="2" t="inlineStr">
        <is>
          <t>코스피</t>
        </is>
      </c>
      <c r="D4836" s="2" t="inlineStr">
        <is>
          <t>128940</t>
        </is>
      </c>
      <c r="E4836" s="3" t="inlineStr">
        <is>
          <t xml:space="preserve">현금ㆍ현물배당을위한주주명부폐쇄(기준일)결정              </t>
        </is>
      </c>
      <c r="F4836" s="3" t="inlineStr">
        <is>
          <t>한미약품</t>
        </is>
      </c>
      <c r="G4836" s="2" t="inlineStr">
        <is>
          <t>20260312802313</t>
        </is>
      </c>
      <c r="H4836" s="8">
        <f>HYPERLINK("https://dart.fss.or.kr/dsaf001/main.do?rcpNo=20260312802313", "공시열람")</f>
        <v/>
      </c>
    </row>
    <row r="4837">
      <c r="A4837" s="2" t="inlineStr">
        <is>
          <t>2026-03-12</t>
        </is>
      </c>
      <c r="B4837" s="3" t="inlineStr">
        <is>
          <t>골프존</t>
        </is>
      </c>
      <c r="C4837" s="2" t="inlineStr">
        <is>
          <t>코스닥</t>
        </is>
      </c>
      <c r="D4837" s="2" t="inlineStr">
        <is>
          <t>215000</t>
        </is>
      </c>
      <c r="E4837" s="3" t="inlineStr">
        <is>
          <t xml:space="preserve">현금ㆍ현물배당결정              </t>
        </is>
      </c>
      <c r="F4837" s="3" t="inlineStr">
        <is>
          <t>골프존</t>
        </is>
      </c>
      <c r="G4837" s="2" t="inlineStr">
        <is>
          <t>20260312902177</t>
        </is>
      </c>
      <c r="H4837" s="8">
        <f>HYPERLINK("https://dart.fss.or.kr/dsaf001/main.do?rcpNo=20260312902177", "공시열람")</f>
        <v/>
      </c>
    </row>
    <row r="4838">
      <c r="A4838" s="2" t="inlineStr">
        <is>
          <t>2026-03-12</t>
        </is>
      </c>
      <c r="B4838" s="3" t="inlineStr">
        <is>
          <t>삼영전자공업</t>
        </is>
      </c>
      <c r="C4838" s="2" t="inlineStr">
        <is>
          <t>코스피</t>
        </is>
      </c>
      <c r="D4838" s="2" t="inlineStr">
        <is>
          <t>005680</t>
        </is>
      </c>
      <c r="E4838" s="3" t="inlineStr">
        <is>
          <t>의결권대리행사권유참고서류</t>
        </is>
      </c>
      <c r="F4838" s="3" t="inlineStr">
        <is>
          <t>차파트너스자산운용</t>
        </is>
      </c>
      <c r="G4838" s="2" t="inlineStr">
        <is>
          <t>20260312001394</t>
        </is>
      </c>
      <c r="H4838" s="8">
        <f>HYPERLINK("https://dart.fss.or.kr/dsaf001/main.do?rcpNo=20260312001394", "공시열람")</f>
        <v/>
      </c>
    </row>
    <row r="4839">
      <c r="A4839" s="2" t="inlineStr">
        <is>
          <t>2026-03-12</t>
        </is>
      </c>
      <c r="B4839" s="3" t="inlineStr">
        <is>
          <t>한국금융지주</t>
        </is>
      </c>
      <c r="C4839" s="2" t="inlineStr">
        <is>
          <t>코스피</t>
        </is>
      </c>
      <c r="D4839" s="2" t="inlineStr">
        <is>
          <t>071050</t>
        </is>
      </c>
      <c r="E4839" s="3" t="inlineStr">
        <is>
          <t xml:space="preserve">감사보고서제출(자회사의 주요경영사항)              </t>
        </is>
      </c>
      <c r="F4839" s="3" t="inlineStr">
        <is>
          <t>한국금융지주</t>
        </is>
      </c>
      <c r="G4839" s="2" t="inlineStr">
        <is>
          <t>20260312802179</t>
        </is>
      </c>
      <c r="H4839" s="8">
        <f>HYPERLINK("https://dart.fss.or.kr/dsaf001/main.do?rcpNo=20260312802179", "공시열람")</f>
        <v/>
      </c>
    </row>
    <row r="4840">
      <c r="A4840" s="2" t="inlineStr">
        <is>
          <t>2026-03-12</t>
        </is>
      </c>
      <c r="B4840" s="3" t="inlineStr">
        <is>
          <t>한국앤컴퍼니</t>
        </is>
      </c>
      <c r="C4840" s="2" t="inlineStr">
        <is>
          <t>코스피</t>
        </is>
      </c>
      <c r="D4840" s="2" t="inlineStr">
        <is>
          <t>000240</t>
        </is>
      </c>
      <c r="E4840" s="3" t="inlineStr">
        <is>
          <t>임원ㆍ주요주주특정증권등소유상황보고서</t>
        </is>
      </c>
      <c r="F4840" s="3" t="inlineStr">
        <is>
          <t>이홍석</t>
        </is>
      </c>
      <c r="G4840" s="2" t="inlineStr">
        <is>
          <t>20260312001391</t>
        </is>
      </c>
      <c r="H4840" s="8">
        <f>HYPERLINK("https://dart.fss.or.kr/dsaf001/main.do?rcpNo=20260312001391", "공시열람")</f>
        <v/>
      </c>
    </row>
    <row r="4841">
      <c r="A4841" s="2" t="inlineStr">
        <is>
          <t>2026-03-12</t>
        </is>
      </c>
      <c r="B4841" s="3" t="inlineStr">
        <is>
          <t>에코글로우</t>
        </is>
      </c>
      <c r="C4841" s="2" t="inlineStr">
        <is>
          <t>코스닥</t>
        </is>
      </c>
      <c r="D4841" s="2" t="inlineStr">
        <is>
          <t>159910</t>
        </is>
      </c>
      <c r="E4841" s="3" t="inlineStr">
        <is>
          <t>의결권대리행사권유참고서류</t>
        </is>
      </c>
      <c r="F4841" s="3" t="inlineStr">
        <is>
          <t>에코글로우</t>
        </is>
      </c>
      <c r="G4841" s="2" t="inlineStr">
        <is>
          <t>20260312001389</t>
        </is>
      </c>
      <c r="H4841" s="8">
        <f>HYPERLINK("https://dart.fss.or.kr/dsaf001/main.do?rcpNo=20260312001389", "공시열람")</f>
        <v/>
      </c>
    </row>
    <row r="4842">
      <c r="A4842" s="2" t="inlineStr">
        <is>
          <t>2026-03-12</t>
        </is>
      </c>
      <c r="B4842" s="3" t="inlineStr">
        <is>
          <t>삼성화재해상보험</t>
        </is>
      </c>
      <c r="C4842" s="2" t="inlineStr">
        <is>
          <t>코스피</t>
        </is>
      </c>
      <c r="D4842" s="2" t="inlineStr">
        <is>
          <t>000810</t>
        </is>
      </c>
      <c r="E4842" s="3" t="inlineStr">
        <is>
          <t xml:space="preserve">감사보고서제출              </t>
        </is>
      </c>
      <c r="F4842" s="3" t="inlineStr">
        <is>
          <t>삼성화재해상보험</t>
        </is>
      </c>
      <c r="G4842" s="2" t="inlineStr">
        <is>
          <t>20260312802244</t>
        </is>
      </c>
      <c r="H4842" s="8">
        <f>HYPERLINK("https://dart.fss.or.kr/dsaf001/main.do?rcpNo=20260312802244", "공시열람")</f>
        <v/>
      </c>
    </row>
    <row r="4843">
      <c r="A4843" s="2" t="inlineStr">
        <is>
          <t>2026-03-12</t>
        </is>
      </c>
      <c r="B4843" s="3" t="inlineStr">
        <is>
          <t>슈피겐코리아</t>
        </is>
      </c>
      <c r="C4843" s="2" t="inlineStr">
        <is>
          <t>코스닥</t>
        </is>
      </c>
      <c r="D4843" s="2" t="inlineStr">
        <is>
          <t>192440</t>
        </is>
      </c>
      <c r="E4843" s="3" t="inlineStr">
        <is>
          <t xml:space="preserve">감사보고서제출              </t>
        </is>
      </c>
      <c r="F4843" s="3" t="inlineStr">
        <is>
          <t>슈피겐코리아</t>
        </is>
      </c>
      <c r="G4843" s="2" t="inlineStr">
        <is>
          <t>20260312902058</t>
        </is>
      </c>
      <c r="H4843" s="8">
        <f>HYPERLINK("https://dart.fss.or.kr/dsaf001/main.do?rcpNo=20260312902058", "공시열람")</f>
        <v/>
      </c>
    </row>
    <row r="4844">
      <c r="A4844" s="2" t="inlineStr">
        <is>
          <t>2026-03-12</t>
        </is>
      </c>
      <c r="B4844" s="3" t="inlineStr">
        <is>
          <t>코메론</t>
        </is>
      </c>
      <c r="C4844" s="2" t="inlineStr">
        <is>
          <t>코스닥</t>
        </is>
      </c>
      <c r="D4844" s="2" t="inlineStr">
        <is>
          <t>049430</t>
        </is>
      </c>
      <c r="E4844" s="3" t="inlineStr">
        <is>
          <t xml:space="preserve">소송등의판결ㆍ결정              </t>
        </is>
      </c>
      <c r="F4844" s="3" t="inlineStr">
        <is>
          <t>코메론</t>
        </is>
      </c>
      <c r="G4844" s="2" t="inlineStr">
        <is>
          <t>20260312902329</t>
        </is>
      </c>
      <c r="H4844" s="8">
        <f>HYPERLINK("https://dart.fss.or.kr/dsaf001/main.do?rcpNo=20260312902329", "공시열람")</f>
        <v/>
      </c>
    </row>
    <row r="4845">
      <c r="A4845" s="2" t="inlineStr">
        <is>
          <t>2026-03-12</t>
        </is>
      </c>
      <c r="B4845" s="3" t="inlineStr">
        <is>
          <t>우리로</t>
        </is>
      </c>
      <c r="C4845" s="2" t="inlineStr">
        <is>
          <t>코스닥</t>
        </is>
      </c>
      <c r="D4845" s="2" t="inlineStr">
        <is>
          <t>046970</t>
        </is>
      </c>
      <c r="E4845" s="3" t="inlineStr">
        <is>
          <t>의결권대리행사권유참고서류</t>
        </is>
      </c>
      <c r="F4845" s="3" t="inlineStr">
        <is>
          <t>우리로</t>
        </is>
      </c>
      <c r="G4845" s="2" t="inlineStr">
        <is>
          <t>20260312001385</t>
        </is>
      </c>
      <c r="H4845" s="8">
        <f>HYPERLINK("https://dart.fss.or.kr/dsaf001/main.do?rcpNo=20260312001385", "공시열람")</f>
        <v/>
      </c>
    </row>
    <row r="4846">
      <c r="A4846" s="2" t="inlineStr">
        <is>
          <t>2026-03-12</t>
        </is>
      </c>
      <c r="B4846" s="3" t="inlineStr">
        <is>
          <t>와이바이오로직스</t>
        </is>
      </c>
      <c r="C4846" s="2" t="inlineStr">
        <is>
          <t>코스닥</t>
        </is>
      </c>
      <c r="D4846" s="2" t="inlineStr">
        <is>
          <t>338840</t>
        </is>
      </c>
      <c r="E4846" s="3" t="inlineStr">
        <is>
          <t xml:space="preserve">매출액또는손익구조30%(대규모법인은15%)이상변동              </t>
        </is>
      </c>
      <c r="F4846" s="3" t="inlineStr">
        <is>
          <t>와이바이오로직스</t>
        </is>
      </c>
      <c r="G4846" s="2" t="inlineStr">
        <is>
          <t>20260312901616</t>
        </is>
      </c>
      <c r="H4846" s="8">
        <f>HYPERLINK("https://dart.fss.or.kr/dsaf001/main.do?rcpNo=20260312901616", "공시열람")</f>
        <v/>
      </c>
    </row>
    <row r="4847">
      <c r="A4847" s="2" t="inlineStr">
        <is>
          <t>2026-03-12</t>
        </is>
      </c>
      <c r="B4847" s="3" t="inlineStr">
        <is>
          <t>액트로</t>
        </is>
      </c>
      <c r="C4847" s="2" t="inlineStr">
        <is>
          <t>코스닥</t>
        </is>
      </c>
      <c r="D4847" s="2" t="inlineStr">
        <is>
          <t>290740</t>
        </is>
      </c>
      <c r="E4847" s="3" t="inlineStr">
        <is>
          <t xml:space="preserve">타법인주식및출자증권취득결정(자율공시)              </t>
        </is>
      </c>
      <c r="F4847" s="3" t="inlineStr">
        <is>
          <t>액트로</t>
        </is>
      </c>
      <c r="G4847" s="2" t="inlineStr">
        <is>
          <t>20260312902123</t>
        </is>
      </c>
      <c r="H4847" s="8">
        <f>HYPERLINK("https://dart.fss.or.kr/dsaf001/main.do?rcpNo=20260312902123", "공시열람")</f>
        <v/>
      </c>
    </row>
    <row r="4848">
      <c r="A4848" s="2" t="inlineStr">
        <is>
          <t>2026-03-12</t>
        </is>
      </c>
      <c r="B4848" s="3" t="inlineStr">
        <is>
          <t>가비아</t>
        </is>
      </c>
      <c r="C4848" s="2" t="inlineStr">
        <is>
          <t>코스닥</t>
        </is>
      </c>
      <c r="D4848" s="2" t="inlineStr">
        <is>
          <t>079940</t>
        </is>
      </c>
      <c r="E4848" s="3" t="inlineStr">
        <is>
          <t xml:space="preserve">소송등의판결ㆍ결정              </t>
        </is>
      </c>
      <c r="F4848" s="3" t="inlineStr">
        <is>
          <t>가비아</t>
        </is>
      </c>
      <c r="G4848" s="2" t="inlineStr">
        <is>
          <t>20260312902310</t>
        </is>
      </c>
      <c r="H4848" s="8">
        <f>HYPERLINK("https://dart.fss.or.kr/dsaf001/main.do?rcpNo=20260312902310", "공시열람")</f>
        <v/>
      </c>
    </row>
    <row r="4849">
      <c r="A4849" s="2" t="inlineStr">
        <is>
          <t>2026-03-12</t>
        </is>
      </c>
      <c r="B4849" s="3" t="inlineStr">
        <is>
          <t>유진기업</t>
        </is>
      </c>
      <c r="C4849" s="2" t="inlineStr">
        <is>
          <t>코스닥</t>
        </is>
      </c>
      <c r="D4849" s="2" t="inlineStr">
        <is>
          <t>023410</t>
        </is>
      </c>
      <c r="E4849" s="3" t="inlineStr">
        <is>
          <t>의결권대리행사권유참고서류</t>
        </is>
      </c>
      <c r="F4849" s="3" t="inlineStr">
        <is>
          <t>유진기업</t>
        </is>
      </c>
      <c r="G4849" s="2" t="inlineStr">
        <is>
          <t>20260312001376</t>
        </is>
      </c>
      <c r="H4849" s="8">
        <f>HYPERLINK("https://dart.fss.or.kr/dsaf001/main.do?rcpNo=20260312001376", "공시열람")</f>
        <v/>
      </c>
    </row>
    <row r="4850">
      <c r="A4850" s="2" t="inlineStr">
        <is>
          <t>2026-03-12</t>
        </is>
      </c>
      <c r="B4850" s="3" t="inlineStr">
        <is>
          <t>토비스</t>
        </is>
      </c>
      <c r="C4850" s="2" t="inlineStr">
        <is>
          <t>코스닥</t>
        </is>
      </c>
      <c r="D4850" s="2" t="inlineStr">
        <is>
          <t>051360</t>
        </is>
      </c>
      <c r="E4850" s="3" t="inlineStr">
        <is>
          <t>기타경영사항(자율공시)              (인적분할신설회사 (주)네오뷰의 주권재상장 예비심사 결과)</t>
        </is>
      </c>
      <c r="F4850" s="3" t="inlineStr">
        <is>
          <t>토비스</t>
        </is>
      </c>
      <c r="G4850" s="2" t="inlineStr">
        <is>
          <t>20260312902115</t>
        </is>
      </c>
      <c r="H4850" s="8">
        <f>HYPERLINK("https://dart.fss.or.kr/dsaf001/main.do?rcpNo=20260312902115", "공시열람")</f>
        <v/>
      </c>
    </row>
    <row r="4851">
      <c r="A4851" s="2" t="inlineStr">
        <is>
          <t>2026-03-12 (정정: 2026-03-12)</t>
        </is>
      </c>
      <c r="B4851" s="3" t="inlineStr">
        <is>
          <t>액트로</t>
        </is>
      </c>
      <c r="C4851" s="2" t="inlineStr">
        <is>
          <t>코스닥</t>
        </is>
      </c>
      <c r="D4851" s="2" t="inlineStr">
        <is>
          <t>290740</t>
        </is>
      </c>
      <c r="E4851" s="3" t="inlineStr">
        <is>
          <t>타법인주식및출자증권취득결정               (정정: 20260312)</t>
        </is>
      </c>
      <c r="F4851" s="3" t="inlineStr">
        <is>
          <t>액트로</t>
        </is>
      </c>
      <c r="G4851" s="2" t="inlineStr">
        <is>
          <t>20260312001199</t>
        </is>
      </c>
      <c r="H4851" s="8">
        <f>HYPERLINK("https://dart.fss.or.kr/dsaf001/main.do?rcpNo=20260312001199", "공시열람")</f>
        <v/>
      </c>
    </row>
    <row r="4852">
      <c r="A4852" s="2" t="inlineStr">
        <is>
          <t>2026-03-12</t>
        </is>
      </c>
      <c r="B4852" s="3" t="inlineStr">
        <is>
          <t>상지건설</t>
        </is>
      </c>
      <c r="C4852" s="2" t="inlineStr">
        <is>
          <t>코스닥</t>
        </is>
      </c>
      <c r="D4852" s="2" t="inlineStr">
        <is>
          <t>042940</t>
        </is>
      </c>
      <c r="E4852" s="3" t="inlineStr">
        <is>
          <t>의결권대리행사권유참고서류</t>
        </is>
      </c>
      <c r="F4852" s="3" t="inlineStr">
        <is>
          <t>상지건설</t>
        </is>
      </c>
      <c r="G4852" s="2" t="inlineStr">
        <is>
          <t>20260312001370</t>
        </is>
      </c>
      <c r="H4852" s="8">
        <f>HYPERLINK("https://dart.fss.or.kr/dsaf001/main.do?rcpNo=20260312001370", "공시열람")</f>
        <v/>
      </c>
    </row>
    <row r="4853">
      <c r="A4853" s="2" t="inlineStr">
        <is>
          <t>2026-03-12</t>
        </is>
      </c>
      <c r="B4853" s="3" t="inlineStr">
        <is>
          <t>에이텍</t>
        </is>
      </c>
      <c r="C4853" s="2" t="inlineStr">
        <is>
          <t>코스닥</t>
        </is>
      </c>
      <c r="D4853" s="2" t="inlineStr">
        <is>
          <t>045660</t>
        </is>
      </c>
      <c r="E4853" s="3" t="inlineStr">
        <is>
          <t>의결권대리행사권유참고서류</t>
        </is>
      </c>
      <c r="F4853" s="3" t="inlineStr">
        <is>
          <t>에이텍</t>
        </is>
      </c>
      <c r="G4853" s="2" t="inlineStr">
        <is>
          <t>20260312001368</t>
        </is>
      </c>
      <c r="H4853" s="8">
        <f>HYPERLINK("https://dart.fss.or.kr/dsaf001/main.do?rcpNo=20260312001368", "공시열람")</f>
        <v/>
      </c>
    </row>
    <row r="4854">
      <c r="A4854" s="2" t="inlineStr">
        <is>
          <t>2026-03-12</t>
        </is>
      </c>
      <c r="B4854" s="3" t="inlineStr">
        <is>
          <t>삼진</t>
        </is>
      </c>
      <c r="C4854" s="2" t="inlineStr">
        <is>
          <t>코스닥</t>
        </is>
      </c>
      <c r="D4854" s="2" t="inlineStr">
        <is>
          <t>032750</t>
        </is>
      </c>
      <c r="E4854" s="3" t="inlineStr">
        <is>
          <t xml:space="preserve">현금ㆍ현물배당결정              </t>
        </is>
      </c>
      <c r="F4854" s="3" t="inlineStr">
        <is>
          <t>삼진</t>
        </is>
      </c>
      <c r="G4854" s="2" t="inlineStr">
        <is>
          <t>20260312901634</t>
        </is>
      </c>
      <c r="H4854" s="8">
        <f>HYPERLINK("https://dart.fss.or.kr/dsaf001/main.do?rcpNo=20260312901634", "공시열람")</f>
        <v/>
      </c>
    </row>
    <row r="4855">
      <c r="A4855" s="2" t="inlineStr">
        <is>
          <t>2026-03-12</t>
        </is>
      </c>
      <c r="B4855" s="3" t="inlineStr">
        <is>
          <t>슈프리마에이치큐</t>
        </is>
      </c>
      <c r="C4855" s="2" t="inlineStr">
        <is>
          <t>코스닥</t>
        </is>
      </c>
      <c r="D4855" s="2" t="inlineStr">
        <is>
          <t>094840</t>
        </is>
      </c>
      <c r="E4855" s="3" t="inlineStr">
        <is>
          <t xml:space="preserve">기업가치제고계획예고              </t>
        </is>
      </c>
      <c r="F4855" s="3" t="inlineStr">
        <is>
          <t>슈프리마에이치큐</t>
        </is>
      </c>
      <c r="G4855" s="2" t="inlineStr">
        <is>
          <t>20260312902057</t>
        </is>
      </c>
      <c r="H4855" s="8">
        <f>HYPERLINK("https://dart.fss.or.kr/dsaf001/main.do?rcpNo=20260312902057", "공시열람")</f>
        <v/>
      </c>
    </row>
    <row r="4856">
      <c r="A4856" s="2" t="inlineStr">
        <is>
          <t>2026-03-12</t>
        </is>
      </c>
      <c r="B4856" s="3" t="inlineStr">
        <is>
          <t>바이오스마트</t>
        </is>
      </c>
      <c r="C4856" s="2" t="inlineStr">
        <is>
          <t>코스닥</t>
        </is>
      </c>
      <c r="D4856" s="2" t="inlineStr">
        <is>
          <t>038460</t>
        </is>
      </c>
      <c r="E4856" s="3" t="inlineStr">
        <is>
          <t xml:space="preserve">매출액또는손익구조30%(대규모법인은15%)이상변동              </t>
        </is>
      </c>
      <c r="F4856" s="3" t="inlineStr">
        <is>
          <t>바이오스마트</t>
        </is>
      </c>
      <c r="G4856" s="2" t="inlineStr">
        <is>
          <t>20260312902197</t>
        </is>
      </c>
      <c r="H4856" s="8">
        <f>HYPERLINK("https://dart.fss.or.kr/dsaf001/main.do?rcpNo=20260312902197", "공시열람")</f>
        <v/>
      </c>
    </row>
    <row r="4857">
      <c r="A4857" s="2" t="inlineStr">
        <is>
          <t>2026-03-12</t>
        </is>
      </c>
      <c r="B4857" s="3" t="inlineStr">
        <is>
          <t>에이블씨엔씨</t>
        </is>
      </c>
      <c r="C4857" s="2" t="inlineStr">
        <is>
          <t>코스피</t>
        </is>
      </c>
      <c r="D4857" s="2" t="inlineStr">
        <is>
          <t>078520</t>
        </is>
      </c>
      <c r="E4857" s="3" t="inlineStr">
        <is>
          <t>의결권대리행사권유참고서류</t>
        </is>
      </c>
      <c r="F4857" s="3" t="inlineStr">
        <is>
          <t>에이블씨엔씨</t>
        </is>
      </c>
      <c r="G4857" s="2" t="inlineStr">
        <is>
          <t>20260312001367</t>
        </is>
      </c>
      <c r="H4857" s="8">
        <f>HYPERLINK("https://dart.fss.or.kr/dsaf001/main.do?rcpNo=20260312001367", "공시열람")</f>
        <v/>
      </c>
    </row>
    <row r="4858">
      <c r="A4858" s="2" t="inlineStr">
        <is>
          <t>2026-03-12</t>
        </is>
      </c>
      <c r="B4858" s="3" t="inlineStr">
        <is>
          <t>윈팩</t>
        </is>
      </c>
      <c r="C4858" s="2" t="inlineStr">
        <is>
          <t>코스닥</t>
        </is>
      </c>
      <c r="D4858" s="2" t="inlineStr">
        <is>
          <t>097800</t>
        </is>
      </c>
      <c r="E4858" s="3" t="inlineStr">
        <is>
          <t>의결권대리행사권유참고서류</t>
        </is>
      </c>
      <c r="F4858" s="3" t="inlineStr">
        <is>
          <t>윈팩</t>
        </is>
      </c>
      <c r="G4858" s="2" t="inlineStr">
        <is>
          <t>20260312001365</t>
        </is>
      </c>
      <c r="H4858" s="8">
        <f>HYPERLINK("https://dart.fss.or.kr/dsaf001/main.do?rcpNo=20260312001365", "공시열람")</f>
        <v/>
      </c>
    </row>
    <row r="4859">
      <c r="A4859" s="2" t="inlineStr">
        <is>
          <t>2026-03-12</t>
        </is>
      </c>
      <c r="B4859" s="3" t="inlineStr">
        <is>
          <t>케이뱅크</t>
        </is>
      </c>
      <c r="C4859" s="2" t="inlineStr">
        <is>
          <t>코스피</t>
        </is>
      </c>
      <c r="D4859" s="2" t="inlineStr">
        <is>
          <t>279570</t>
        </is>
      </c>
      <c r="E4859" s="3" t="inlineStr">
        <is>
          <t>임원ㆍ주요주주특정증권등소유상황보고서</t>
        </is>
      </c>
      <c r="F4859" s="3" t="inlineStr">
        <is>
          <t>우리은행</t>
        </is>
      </c>
      <c r="G4859" s="2" t="inlineStr">
        <is>
          <t>20260312001363</t>
        </is>
      </c>
      <c r="H4859" s="8">
        <f>HYPERLINK("https://dart.fss.or.kr/dsaf001/main.do?rcpNo=20260312001363", "공시열람")</f>
        <v/>
      </c>
    </row>
    <row r="4860">
      <c r="A4860" s="2" t="inlineStr">
        <is>
          <t>2026-03-12</t>
        </is>
      </c>
      <c r="B4860" s="3" t="inlineStr">
        <is>
          <t>신테카바이오</t>
        </is>
      </c>
      <c r="C4860" s="2" t="inlineStr">
        <is>
          <t>코스닥</t>
        </is>
      </c>
      <c r="D4860" s="2" t="inlineStr">
        <is>
          <t>226330</t>
        </is>
      </c>
      <c r="E4860" s="3" t="inlineStr">
        <is>
          <t>의결권대리행사권유참고서류</t>
        </is>
      </c>
      <c r="F4860" s="3" t="inlineStr">
        <is>
          <t>신테카바이오</t>
        </is>
      </c>
      <c r="G4860" s="2" t="inlineStr">
        <is>
          <t>20260312001361</t>
        </is>
      </c>
      <c r="H4860" s="8">
        <f>HYPERLINK("https://dart.fss.or.kr/dsaf001/main.do?rcpNo=20260312001361", "공시열람")</f>
        <v/>
      </c>
    </row>
    <row r="4861">
      <c r="A4861" s="2" t="inlineStr">
        <is>
          <t>2026-03-12</t>
        </is>
      </c>
      <c r="B4861" s="3" t="inlineStr">
        <is>
          <t>엘티씨</t>
        </is>
      </c>
      <c r="C4861" s="2" t="inlineStr">
        <is>
          <t>코스닥</t>
        </is>
      </c>
      <c r="D4861" s="2" t="inlineStr">
        <is>
          <t>170920</t>
        </is>
      </c>
      <c r="E4861" s="3" t="inlineStr">
        <is>
          <t>의결권대리행사권유참고서류</t>
        </is>
      </c>
      <c r="F4861" s="3" t="inlineStr">
        <is>
          <t>엘티씨</t>
        </is>
      </c>
      <c r="G4861" s="2" t="inlineStr">
        <is>
          <t>20260312001355</t>
        </is>
      </c>
      <c r="H4861" s="8">
        <f>HYPERLINK("https://dart.fss.or.kr/dsaf001/main.do?rcpNo=20260312001355", "공시열람")</f>
        <v/>
      </c>
    </row>
    <row r="4862">
      <c r="A4862" s="2" t="inlineStr">
        <is>
          <t>2026-03-12</t>
        </is>
      </c>
      <c r="B4862" s="3" t="inlineStr">
        <is>
          <t>한국첨단소재</t>
        </is>
      </c>
      <c r="C4862" s="2" t="inlineStr">
        <is>
          <t>코스닥</t>
        </is>
      </c>
      <c r="D4862" s="2" t="inlineStr">
        <is>
          <t>062970</t>
        </is>
      </c>
      <c r="E4862" s="3" t="inlineStr">
        <is>
          <t xml:space="preserve">유상증자또는주식관련사채등의청약결과(자율공시)              </t>
        </is>
      </c>
      <c r="F4862" s="3" t="inlineStr">
        <is>
          <t>한국첨단소재</t>
        </is>
      </c>
      <c r="G4862" s="2" t="inlineStr">
        <is>
          <t>20260312902271</t>
        </is>
      </c>
      <c r="H4862" s="8">
        <f>HYPERLINK("https://dart.fss.or.kr/dsaf001/main.do?rcpNo=20260312902271", "공시열람")</f>
        <v/>
      </c>
    </row>
    <row r="4863">
      <c r="A4863" s="2" t="inlineStr">
        <is>
          <t>2026-03-12</t>
        </is>
      </c>
      <c r="B4863" s="3" t="inlineStr">
        <is>
          <t>핌스</t>
        </is>
      </c>
      <c r="C4863" s="2" t="inlineStr">
        <is>
          <t>코스닥</t>
        </is>
      </c>
      <c r="D4863" s="2" t="inlineStr">
        <is>
          <t>347770</t>
        </is>
      </c>
      <c r="E4863" s="3" t="inlineStr">
        <is>
          <t>임원ㆍ주요주주특정증권등소유상황보고서</t>
        </is>
      </c>
      <c r="F4863" s="3" t="inlineStr">
        <is>
          <t>정종수</t>
        </is>
      </c>
      <c r="G4863" s="2" t="inlineStr">
        <is>
          <t>20260312001352</t>
        </is>
      </c>
      <c r="H4863" s="8">
        <f>HYPERLINK("https://dart.fss.or.kr/dsaf001/main.do?rcpNo=20260312001352", "공시열람")</f>
        <v/>
      </c>
    </row>
    <row r="4864">
      <c r="A4864" s="2" t="inlineStr">
        <is>
          <t>2026-03-12</t>
        </is>
      </c>
      <c r="B4864" s="3" t="inlineStr">
        <is>
          <t>대성홀딩스</t>
        </is>
      </c>
      <c r="C4864" s="2" t="inlineStr">
        <is>
          <t>코스피</t>
        </is>
      </c>
      <c r="D4864" s="2" t="inlineStr">
        <is>
          <t>016710</t>
        </is>
      </c>
      <c r="E4864" s="3" t="inlineStr">
        <is>
          <t>[첨부정정]의결권대리행사권유참고서류</t>
        </is>
      </c>
      <c r="F4864" s="3" t="inlineStr">
        <is>
          <t>대성홀딩스</t>
        </is>
      </c>
      <c r="G4864" s="2" t="inlineStr">
        <is>
          <t>20260312001350</t>
        </is>
      </c>
      <c r="H4864" s="8">
        <f>HYPERLINK("https://dart.fss.or.kr/dsaf001/main.do?rcpNo=20260312001350", "공시열람")</f>
        <v/>
      </c>
    </row>
    <row r="4865">
      <c r="A4865" s="2" t="inlineStr">
        <is>
          <t>2026-03-12</t>
        </is>
      </c>
      <c r="B4865" s="3" t="inlineStr">
        <is>
          <t>태광산업</t>
        </is>
      </c>
      <c r="C4865" s="2" t="inlineStr">
        <is>
          <t>코스피</t>
        </is>
      </c>
      <c r="D4865" s="2" t="inlineStr">
        <is>
          <t>003240</t>
        </is>
      </c>
      <c r="E4865" s="3" t="inlineStr">
        <is>
          <t xml:space="preserve">현금ㆍ현물배당을위한주주명부폐쇄(기준일)결정              </t>
        </is>
      </c>
      <c r="F4865" s="3" t="inlineStr">
        <is>
          <t>태광산업</t>
        </is>
      </c>
      <c r="G4865" s="2" t="inlineStr">
        <is>
          <t>20260312802086</t>
        </is>
      </c>
      <c r="H4865" s="8">
        <f>HYPERLINK("https://dart.fss.or.kr/dsaf001/main.do?rcpNo=20260312802086", "공시열람")</f>
        <v/>
      </c>
    </row>
    <row r="4866">
      <c r="A4866" s="2" t="inlineStr">
        <is>
          <t>2026-03-12</t>
        </is>
      </c>
      <c r="B4866" s="3" t="inlineStr">
        <is>
          <t>골프존홀딩스</t>
        </is>
      </c>
      <c r="C4866" s="2" t="inlineStr">
        <is>
          <t>코스닥</t>
        </is>
      </c>
      <c r="D4866" s="2" t="inlineStr">
        <is>
          <t>121440</t>
        </is>
      </c>
      <c r="E4866" s="3" t="inlineStr">
        <is>
          <t xml:space="preserve">현금ㆍ현물배당결정              </t>
        </is>
      </c>
      <c r="F4866" s="3" t="inlineStr">
        <is>
          <t>골프존홀딩스</t>
        </is>
      </c>
      <c r="G4866" s="2" t="inlineStr">
        <is>
          <t>20260312902140</t>
        </is>
      </c>
      <c r="H4866" s="8">
        <f>HYPERLINK("https://dart.fss.or.kr/dsaf001/main.do?rcpNo=20260312902140", "공시열람")</f>
        <v/>
      </c>
    </row>
    <row r="4867">
      <c r="A4867" s="2" t="inlineStr">
        <is>
          <t>2026-03-12</t>
        </is>
      </c>
      <c r="B4867" s="3" t="inlineStr">
        <is>
          <t>한미사이언스</t>
        </is>
      </c>
      <c r="C4867" s="2" t="inlineStr">
        <is>
          <t>코스피</t>
        </is>
      </c>
      <c r="D4867" s="2" t="inlineStr">
        <is>
          <t>008930</t>
        </is>
      </c>
      <c r="E4867" s="3" t="inlineStr">
        <is>
          <t xml:space="preserve">현금ㆍ현물배당결정              </t>
        </is>
      </c>
      <c r="F4867" s="3" t="inlineStr">
        <is>
          <t>한미사이언스</t>
        </is>
      </c>
      <c r="G4867" s="2" t="inlineStr">
        <is>
          <t>20260312802168</t>
        </is>
      </c>
      <c r="H4867" s="8">
        <f>HYPERLINK("https://dart.fss.or.kr/dsaf001/main.do?rcpNo=20260312802168", "공시열람")</f>
        <v/>
      </c>
    </row>
    <row r="4868">
      <c r="A4868" s="2" t="inlineStr">
        <is>
          <t>2026-03-12</t>
        </is>
      </c>
      <c r="B4868" s="3" t="inlineStr">
        <is>
          <t>GRT</t>
        </is>
      </c>
      <c r="C4868" s="2" t="inlineStr">
        <is>
          <t>코스닥</t>
        </is>
      </c>
      <c r="D4868" s="2" t="inlineStr">
        <is>
          <t>900290</t>
        </is>
      </c>
      <c r="E4868" s="3" t="inlineStr">
        <is>
          <t>임원ㆍ주요주주특정증권등거래계획보고서</t>
        </is>
      </c>
      <c r="F4868" s="3" t="inlineStr">
        <is>
          <t>신루이샹홀딩리미티드</t>
        </is>
      </c>
      <c r="G4868" s="2" t="inlineStr">
        <is>
          <t>20260312001349</t>
        </is>
      </c>
      <c r="H4868" s="8">
        <f>HYPERLINK("https://dart.fss.or.kr/dsaf001/main.do?rcpNo=20260312001349", "공시열람")</f>
        <v/>
      </c>
    </row>
    <row r="4869">
      <c r="A4869" s="2" t="inlineStr">
        <is>
          <t>2026-03-12</t>
        </is>
      </c>
      <c r="B4869" s="3" t="inlineStr">
        <is>
          <t>우성</t>
        </is>
      </c>
      <c r="C4869" s="2" t="inlineStr">
        <is>
          <t>코스피</t>
        </is>
      </c>
      <c r="D4869" s="2" t="inlineStr">
        <is>
          <t>006980</t>
        </is>
      </c>
      <c r="E4869" s="3" t="inlineStr">
        <is>
          <t xml:space="preserve">감사보고서제출              </t>
        </is>
      </c>
      <c r="F4869" s="3" t="inlineStr">
        <is>
          <t>우성</t>
        </is>
      </c>
      <c r="G4869" s="2" t="inlineStr">
        <is>
          <t>20260312802083</t>
        </is>
      </c>
      <c r="H4869" s="8">
        <f>HYPERLINK("https://dart.fss.or.kr/dsaf001/main.do?rcpNo=20260312802083", "공시열람")</f>
        <v/>
      </c>
    </row>
    <row r="4870">
      <c r="A4870" s="2" t="inlineStr">
        <is>
          <t>2026-03-12</t>
        </is>
      </c>
      <c r="B4870" s="3" t="inlineStr">
        <is>
          <t>한미사이언스</t>
        </is>
      </c>
      <c r="C4870" s="2" t="inlineStr">
        <is>
          <t>코스피</t>
        </is>
      </c>
      <c r="D4870" s="2" t="inlineStr">
        <is>
          <t>008930</t>
        </is>
      </c>
      <c r="E4870" s="3" t="inlineStr">
        <is>
          <t xml:space="preserve">현금ㆍ현물배당을위한주주명부폐쇄(기준일)결정              </t>
        </is>
      </c>
      <c r="F4870" s="3" t="inlineStr">
        <is>
          <t>한미사이언스</t>
        </is>
      </c>
      <c r="G4870" s="2" t="inlineStr">
        <is>
          <t>20260312802142</t>
        </is>
      </c>
      <c r="H4870" s="8">
        <f>HYPERLINK("https://dart.fss.or.kr/dsaf001/main.do?rcpNo=20260312802142", "공시열람")</f>
        <v/>
      </c>
    </row>
    <row r="4871">
      <c r="A4871" s="2" t="inlineStr">
        <is>
          <t>2026-03-12</t>
        </is>
      </c>
      <c r="B4871" s="3" t="inlineStr">
        <is>
          <t>라온시큐어</t>
        </is>
      </c>
      <c r="C4871" s="2" t="inlineStr">
        <is>
          <t>코스닥</t>
        </is>
      </c>
      <c r="D4871" s="2" t="inlineStr">
        <is>
          <t>042510</t>
        </is>
      </c>
      <c r="E4871" s="3" t="inlineStr">
        <is>
          <t>주식매수선택권부여에관한신고</t>
        </is>
      </c>
      <c r="F4871" s="3" t="inlineStr">
        <is>
          <t>라온시큐어</t>
        </is>
      </c>
      <c r="G4871" s="2" t="inlineStr">
        <is>
          <t>20260312001347</t>
        </is>
      </c>
      <c r="H4871" s="8">
        <f>HYPERLINK("https://dart.fss.or.kr/dsaf001/main.do?rcpNo=20260312001347", "공시열람")</f>
        <v/>
      </c>
    </row>
    <row r="4872">
      <c r="A4872" s="2" t="inlineStr">
        <is>
          <t>2026-03-12</t>
        </is>
      </c>
      <c r="B4872" s="3" t="inlineStr">
        <is>
          <t>골프존홀딩스</t>
        </is>
      </c>
      <c r="C4872" s="2" t="inlineStr">
        <is>
          <t>코스닥</t>
        </is>
      </c>
      <c r="D4872" s="2" t="inlineStr">
        <is>
          <t>121440</t>
        </is>
      </c>
      <c r="E4872" s="3" t="inlineStr">
        <is>
          <t xml:space="preserve">감사보고서제출              </t>
        </is>
      </c>
      <c r="F4872" s="3" t="inlineStr">
        <is>
          <t>골프존홀딩스</t>
        </is>
      </c>
      <c r="G4872" s="2" t="inlineStr">
        <is>
          <t>20260312902056</t>
        </is>
      </c>
      <c r="H4872" s="8">
        <f>HYPERLINK("https://dart.fss.or.kr/dsaf001/main.do?rcpNo=20260312902056", "공시열람")</f>
        <v/>
      </c>
    </row>
    <row r="4873">
      <c r="A4873" s="2" t="inlineStr">
        <is>
          <t>2026-03-12</t>
        </is>
      </c>
      <c r="B4873" s="3" t="inlineStr">
        <is>
          <t>iMBC</t>
        </is>
      </c>
      <c r="C4873" s="2" t="inlineStr">
        <is>
          <t>코스닥</t>
        </is>
      </c>
      <c r="D4873" s="2" t="inlineStr">
        <is>
          <t>052220</t>
        </is>
      </c>
      <c r="E4873" s="3" t="inlineStr">
        <is>
          <t>의결권대리행사권유참고서류</t>
        </is>
      </c>
      <c r="F4873" s="3" t="inlineStr">
        <is>
          <t>iMBC</t>
        </is>
      </c>
      <c r="G4873" s="2" t="inlineStr">
        <is>
          <t>20260312001343</t>
        </is>
      </c>
      <c r="H4873" s="8">
        <f>HYPERLINK("https://dart.fss.or.kr/dsaf001/main.do?rcpNo=20260312001343", "공시열람")</f>
        <v/>
      </c>
    </row>
    <row r="4874">
      <c r="A4874" s="2" t="inlineStr">
        <is>
          <t>2026-03-12</t>
        </is>
      </c>
      <c r="B4874" s="3" t="inlineStr">
        <is>
          <t>한선엔지니어링</t>
        </is>
      </c>
      <c r="C4874" s="2" t="inlineStr">
        <is>
          <t>코스닥</t>
        </is>
      </c>
      <c r="D4874" s="2" t="inlineStr">
        <is>
          <t>452280</t>
        </is>
      </c>
      <c r="E4874" s="3" t="inlineStr">
        <is>
          <t xml:space="preserve">전환청구권행사              </t>
        </is>
      </c>
      <c r="F4874" s="3" t="inlineStr">
        <is>
          <t>한선엔지니어링</t>
        </is>
      </c>
      <c r="G4874" s="2" t="inlineStr">
        <is>
          <t>20260312902107</t>
        </is>
      </c>
      <c r="H4874" s="8">
        <f>HYPERLINK("https://dart.fss.or.kr/dsaf001/main.do?rcpNo=20260312902107", "공시열람")</f>
        <v/>
      </c>
    </row>
    <row r="4875">
      <c r="A4875" s="2" t="inlineStr">
        <is>
          <t>2026-03-12 (정정: 2026-05-29)</t>
        </is>
      </c>
      <c r="B4875" s="3" t="inlineStr">
        <is>
          <t>에이전트AI</t>
        </is>
      </c>
      <c r="C4875" s="2" t="inlineStr">
        <is>
          <t>코스닥</t>
        </is>
      </c>
      <c r="D4875" s="2" t="inlineStr">
        <is>
          <t>060900</t>
        </is>
      </c>
      <c r="E4875" s="3" t="inlineStr">
        <is>
          <t>감사보고서제출               (정정: 20260521) (정정: 20260529)</t>
        </is>
      </c>
      <c r="F4875" s="3" t="inlineStr">
        <is>
          <t>에이전트AI</t>
        </is>
      </c>
      <c r="G4875" s="2" t="inlineStr">
        <is>
          <t>20260529000834</t>
        </is>
      </c>
      <c r="H4875" s="8">
        <f>HYPERLINK("https://dart.fss.or.kr/dsaf001/main.do?rcpNo=20260529000834", "공시열람")</f>
        <v/>
      </c>
    </row>
    <row r="4876">
      <c r="A4876" s="2" t="inlineStr">
        <is>
          <t>2026-03-12</t>
        </is>
      </c>
      <c r="B4876" s="3" t="inlineStr">
        <is>
          <t>JB금융지주</t>
        </is>
      </c>
      <c r="C4876" s="2" t="inlineStr">
        <is>
          <t>코스피</t>
        </is>
      </c>
      <c r="D4876" s="2" t="inlineStr">
        <is>
          <t>175330</t>
        </is>
      </c>
      <c r="E4876" s="3" t="inlineStr">
        <is>
          <t xml:space="preserve">감사보고서제출(자회사의 주요경영사항)              </t>
        </is>
      </c>
      <c r="F4876" s="3" t="inlineStr">
        <is>
          <t>JB금융지주</t>
        </is>
      </c>
      <c r="G4876" s="2" t="inlineStr">
        <is>
          <t>20260312802046</t>
        </is>
      </c>
      <c r="H4876" s="8">
        <f>HYPERLINK("https://dart.fss.or.kr/dsaf001/main.do?rcpNo=20260312802046", "공시열람")</f>
        <v/>
      </c>
    </row>
    <row r="4877">
      <c r="A4877" s="2" t="inlineStr">
        <is>
          <t>2026-03-12</t>
        </is>
      </c>
      <c r="B4877" s="3" t="inlineStr">
        <is>
          <t>한샘</t>
        </is>
      </c>
      <c r="C4877" s="2" t="inlineStr">
        <is>
          <t>코스피</t>
        </is>
      </c>
      <c r="D4877" s="2" t="inlineStr">
        <is>
          <t>009240</t>
        </is>
      </c>
      <c r="E4877" s="3" t="inlineStr">
        <is>
          <t>의결권대리행사권유참고서류</t>
        </is>
      </c>
      <c r="F4877" s="3" t="inlineStr">
        <is>
          <t>한샘</t>
        </is>
      </c>
      <c r="G4877" s="2" t="inlineStr">
        <is>
          <t>20260312001338</t>
        </is>
      </c>
      <c r="H4877" s="8">
        <f>HYPERLINK("https://dart.fss.or.kr/dsaf001/main.do?rcpNo=20260312001338", "공시열람")</f>
        <v/>
      </c>
    </row>
    <row r="4878">
      <c r="A4878" s="2" t="inlineStr">
        <is>
          <t>2026-03-12</t>
        </is>
      </c>
      <c r="B4878" s="3" t="inlineStr">
        <is>
          <t>미트박스</t>
        </is>
      </c>
      <c r="C4878" s="2" t="inlineStr">
        <is>
          <t>코스닥</t>
        </is>
      </c>
      <c r="D4878" s="2" t="inlineStr">
        <is>
          <t>475460</t>
        </is>
      </c>
      <c r="E4878" s="3" t="inlineStr">
        <is>
          <t xml:space="preserve">현금ㆍ현물배당결정              </t>
        </is>
      </c>
      <c r="F4878" s="3" t="inlineStr">
        <is>
          <t>미트박스</t>
        </is>
      </c>
      <c r="G4878" s="2" t="inlineStr">
        <is>
          <t>20260312901629</t>
        </is>
      </c>
      <c r="H4878" s="8">
        <f>HYPERLINK("https://dart.fss.or.kr/dsaf001/main.do?rcpNo=20260312901629", "공시열람")</f>
        <v/>
      </c>
    </row>
    <row r="4879">
      <c r="A4879" s="2" t="inlineStr">
        <is>
          <t>2026-03-12</t>
        </is>
      </c>
      <c r="B4879" s="3" t="inlineStr">
        <is>
          <t>핌스</t>
        </is>
      </c>
      <c r="C4879" s="2" t="inlineStr">
        <is>
          <t>코스닥</t>
        </is>
      </c>
      <c r="D4879" s="2" t="inlineStr">
        <is>
          <t>347770</t>
        </is>
      </c>
      <c r="E4879" s="3" t="inlineStr">
        <is>
          <t>임원ㆍ주요주주특정증권등소유상황보고서</t>
        </is>
      </c>
      <c r="F4879" s="3" t="inlineStr">
        <is>
          <t>최일</t>
        </is>
      </c>
      <c r="G4879" s="2" t="inlineStr">
        <is>
          <t>20260312001334</t>
        </is>
      </c>
      <c r="H4879" s="8">
        <f>HYPERLINK("https://dart.fss.or.kr/dsaf001/main.do?rcpNo=20260312001334", "공시열람")</f>
        <v/>
      </c>
    </row>
    <row r="4880">
      <c r="A4880" s="2" t="inlineStr">
        <is>
          <t>2026-03-12</t>
        </is>
      </c>
      <c r="B4880" s="3" t="inlineStr">
        <is>
          <t>롯데손해보험</t>
        </is>
      </c>
      <c r="C4880" s="2" t="inlineStr">
        <is>
          <t>코스피</t>
        </is>
      </c>
      <c r="D4880" s="2" t="inlineStr">
        <is>
          <t>000400</t>
        </is>
      </c>
      <c r="E4880" s="3" t="inlineStr">
        <is>
          <t>의결권대리행사권유참고서류</t>
        </is>
      </c>
      <c r="F4880" s="3" t="inlineStr">
        <is>
          <t>롯데손해보험</t>
        </is>
      </c>
      <c r="G4880" s="2" t="inlineStr">
        <is>
          <t>20260312001332</t>
        </is>
      </c>
      <c r="H4880" s="8">
        <f>HYPERLINK("https://dart.fss.or.kr/dsaf001/main.do?rcpNo=20260312001332", "공시열람")</f>
        <v/>
      </c>
    </row>
    <row r="4881">
      <c r="A4881" s="2" t="inlineStr">
        <is>
          <t>2026-03-12 (정정: 2026-03-12)</t>
        </is>
      </c>
      <c r="B4881" s="3" t="inlineStr">
        <is>
          <t>한국금융지주</t>
        </is>
      </c>
      <c r="C4881" s="2" t="inlineStr">
        <is>
          <t>코스피</t>
        </is>
      </c>
      <c r="D4881" s="2" t="inlineStr">
        <is>
          <t>071050</t>
        </is>
      </c>
      <c r="E4881" s="3" t="inlineStr">
        <is>
          <t>기업가치제고계획(자율공시)               (정정: 20260312)</t>
        </is>
      </c>
      <c r="F4881" s="3" t="inlineStr">
        <is>
          <t>한국금융지주</t>
        </is>
      </c>
      <c r="G4881" s="2" t="inlineStr">
        <is>
          <t>20260312802016</t>
        </is>
      </c>
      <c r="H4881" s="8">
        <f>HYPERLINK("https://dart.fss.or.kr/dsaf001/main.do?rcpNo=20260312802016", "공시열람")</f>
        <v/>
      </c>
    </row>
    <row r="4882">
      <c r="A4882" s="2" t="inlineStr">
        <is>
          <t>2026-03-12</t>
        </is>
      </c>
      <c r="B4882" s="3" t="inlineStr">
        <is>
          <t>카카오페이</t>
        </is>
      </c>
      <c r="C4882" s="2" t="inlineStr">
        <is>
          <t>코스피</t>
        </is>
      </c>
      <c r="D4882" s="2" t="inlineStr">
        <is>
          <t>377300</t>
        </is>
      </c>
      <c r="E4882" s="3" t="inlineStr">
        <is>
          <t xml:space="preserve">감사보고서제출              </t>
        </is>
      </c>
      <c r="F4882" s="3" t="inlineStr">
        <is>
          <t>카카오페이</t>
        </is>
      </c>
      <c r="G4882" s="2" t="inlineStr">
        <is>
          <t>20260312802043</t>
        </is>
      </c>
      <c r="H4882" s="8">
        <f>HYPERLINK("https://dart.fss.or.kr/dsaf001/main.do?rcpNo=20260312802043", "공시열람")</f>
        <v/>
      </c>
    </row>
    <row r="4883">
      <c r="A4883" s="2" t="inlineStr">
        <is>
          <t>2026-03-12</t>
        </is>
      </c>
      <c r="B4883" s="3" t="inlineStr">
        <is>
          <t>인선이엔티</t>
        </is>
      </c>
      <c r="C4883" s="2" t="inlineStr">
        <is>
          <t>코스닥</t>
        </is>
      </c>
      <c r="D4883" s="2" t="inlineStr">
        <is>
          <t>060150</t>
        </is>
      </c>
      <c r="E4883" s="3" t="inlineStr">
        <is>
          <t>의결권대리행사권유참고서류</t>
        </is>
      </c>
      <c r="F4883" s="3" t="inlineStr">
        <is>
          <t>인선이엔티</t>
        </is>
      </c>
      <c r="G4883" s="2" t="inlineStr">
        <is>
          <t>20260312001326</t>
        </is>
      </c>
      <c r="H4883" s="8">
        <f>HYPERLINK("https://dart.fss.or.kr/dsaf001/main.do?rcpNo=20260312001326", "공시열람")</f>
        <v/>
      </c>
    </row>
    <row r="4884">
      <c r="A4884" s="2" t="inlineStr">
        <is>
          <t>2026-03-12</t>
        </is>
      </c>
      <c r="B4884" s="3" t="inlineStr">
        <is>
          <t>메가스터디</t>
        </is>
      </c>
      <c r="C4884" s="2" t="inlineStr">
        <is>
          <t>코스닥</t>
        </is>
      </c>
      <c r="D4884" s="2" t="inlineStr">
        <is>
          <t>072870</t>
        </is>
      </c>
      <c r="E4884" s="3" t="inlineStr">
        <is>
          <t xml:space="preserve">현금ㆍ현물배당결정              </t>
        </is>
      </c>
      <c r="F4884" s="3" t="inlineStr">
        <is>
          <t>메가스터디</t>
        </is>
      </c>
      <c r="G4884" s="2" t="inlineStr">
        <is>
          <t>20260312901548</t>
        </is>
      </c>
      <c r="H4884" s="8">
        <f>HYPERLINK("https://dart.fss.or.kr/dsaf001/main.do?rcpNo=20260312901548", "공시열람")</f>
        <v/>
      </c>
    </row>
    <row r="4885">
      <c r="A4885" s="2" t="inlineStr">
        <is>
          <t>2026-03-12</t>
        </is>
      </c>
      <c r="B4885" s="3" t="inlineStr">
        <is>
          <t>문배철강</t>
        </is>
      </c>
      <c r="C4885" s="2" t="inlineStr">
        <is>
          <t>코스피</t>
        </is>
      </c>
      <c r="D4885" s="2" t="inlineStr">
        <is>
          <t>008420</t>
        </is>
      </c>
      <c r="E4885" s="3" t="inlineStr">
        <is>
          <t xml:space="preserve">감사보고서제출              </t>
        </is>
      </c>
      <c r="F4885" s="3" t="inlineStr">
        <is>
          <t>문배철강</t>
        </is>
      </c>
      <c r="G4885" s="2" t="inlineStr">
        <is>
          <t>20260312802192</t>
        </is>
      </c>
      <c r="H4885" s="8">
        <f>HYPERLINK("https://dart.fss.or.kr/dsaf001/main.do?rcpNo=20260312802192", "공시열람")</f>
        <v/>
      </c>
    </row>
    <row r="4886">
      <c r="A4886" s="2" t="inlineStr">
        <is>
          <t>2026-03-12</t>
        </is>
      </c>
      <c r="B4886" s="3" t="inlineStr">
        <is>
          <t>웰킵스하이텍</t>
        </is>
      </c>
      <c r="C4886" s="2" t="inlineStr">
        <is>
          <t>코스닥</t>
        </is>
      </c>
      <c r="D4886" s="2" t="inlineStr">
        <is>
          <t>043590</t>
        </is>
      </c>
      <c r="E4886" s="3" t="inlineStr">
        <is>
          <t>임원ㆍ주요주주특정증권등소유상황보고서</t>
        </is>
      </c>
      <c r="F4886" s="3" t="inlineStr">
        <is>
          <t>웰킵스홀딩스</t>
        </is>
      </c>
      <c r="G4886" s="2" t="inlineStr">
        <is>
          <t>20260312001324</t>
        </is>
      </c>
      <c r="H4886" s="8">
        <f>HYPERLINK("https://dart.fss.or.kr/dsaf001/main.do?rcpNo=20260312001324", "공시열람")</f>
        <v/>
      </c>
    </row>
    <row r="4887">
      <c r="A4887" s="2" t="inlineStr">
        <is>
          <t>2026-03-12</t>
        </is>
      </c>
      <c r="B4887" s="3" t="inlineStr">
        <is>
          <t>원익홀딩스</t>
        </is>
      </c>
      <c r="C4887" s="2" t="inlineStr">
        <is>
          <t>코스닥</t>
        </is>
      </c>
      <c r="D4887" s="2" t="inlineStr">
        <is>
          <t>030530</t>
        </is>
      </c>
      <c r="E4887" s="3" t="inlineStr">
        <is>
          <t>의결권대리행사권유참고서류</t>
        </is>
      </c>
      <c r="F4887" s="3" t="inlineStr">
        <is>
          <t>원익홀딩스</t>
        </is>
      </c>
      <c r="G4887" s="2" t="inlineStr">
        <is>
          <t>20260312001322</t>
        </is>
      </c>
      <c r="H4887" s="8">
        <f>HYPERLINK("https://dart.fss.or.kr/dsaf001/main.do?rcpNo=20260312001322", "공시열람")</f>
        <v/>
      </c>
    </row>
    <row r="4888">
      <c r="A4888" s="2" t="inlineStr">
        <is>
          <t>2026-03-12</t>
        </is>
      </c>
      <c r="B4888" s="3" t="inlineStr">
        <is>
          <t>대우건설</t>
        </is>
      </c>
      <c r="C4888" s="2" t="inlineStr">
        <is>
          <t>코스피</t>
        </is>
      </c>
      <c r="D4888" s="2" t="inlineStr">
        <is>
          <t>047040</t>
        </is>
      </c>
      <c r="E4888" s="3" t="inlineStr">
        <is>
          <t xml:space="preserve">감사보고서제출              </t>
        </is>
      </c>
      <c r="F4888" s="3" t="inlineStr">
        <is>
          <t>대우건설</t>
        </is>
      </c>
      <c r="G4888" s="2" t="inlineStr">
        <is>
          <t>20260312802042</t>
        </is>
      </c>
      <c r="H4888" s="8">
        <f>HYPERLINK("https://dart.fss.or.kr/dsaf001/main.do?rcpNo=20260312802042", "공시열람")</f>
        <v/>
      </c>
    </row>
    <row r="4889">
      <c r="A4889" s="2" t="inlineStr">
        <is>
          <t>2026-03-12</t>
        </is>
      </c>
      <c r="B4889" s="3" t="inlineStr">
        <is>
          <t>안트로젠</t>
        </is>
      </c>
      <c r="C4889" s="2" t="inlineStr">
        <is>
          <t>코스닥</t>
        </is>
      </c>
      <c r="D4889" s="2" t="inlineStr">
        <is>
          <t>065660</t>
        </is>
      </c>
      <c r="E4889" s="3" t="inlineStr">
        <is>
          <t xml:space="preserve">감사보고서제출              </t>
        </is>
      </c>
      <c r="F4889" s="3" t="inlineStr">
        <is>
          <t>안트로젠</t>
        </is>
      </c>
      <c r="G4889" s="2" t="inlineStr">
        <is>
          <t>20260312902111</t>
        </is>
      </c>
      <c r="H4889" s="8">
        <f>HYPERLINK("https://dart.fss.or.kr/dsaf001/main.do?rcpNo=20260312902111", "공시열람")</f>
        <v/>
      </c>
    </row>
    <row r="4890">
      <c r="A4890" s="2" t="inlineStr">
        <is>
          <t>2026-03-12</t>
        </is>
      </c>
      <c r="B4890" s="3" t="inlineStr">
        <is>
          <t>위메이드</t>
        </is>
      </c>
      <c r="C4890" s="2" t="inlineStr">
        <is>
          <t>코스닥</t>
        </is>
      </c>
      <c r="D4890" s="2" t="inlineStr">
        <is>
          <t>112040</t>
        </is>
      </c>
      <c r="E4890" s="3" t="inlineStr">
        <is>
          <t>의결권대리행사권유참고서류</t>
        </is>
      </c>
      <c r="F4890" s="3" t="inlineStr">
        <is>
          <t>위메이드</t>
        </is>
      </c>
      <c r="G4890" s="2" t="inlineStr">
        <is>
          <t>20260312001310</t>
        </is>
      </c>
      <c r="H4890" s="8">
        <f>HYPERLINK("https://dart.fss.or.kr/dsaf001/main.do?rcpNo=20260312001310", "공시열람")</f>
        <v/>
      </c>
    </row>
    <row r="4891">
      <c r="A4891" s="2" t="inlineStr">
        <is>
          <t>2026-03-12</t>
        </is>
      </c>
      <c r="B4891" s="3" t="inlineStr">
        <is>
          <t>에이텀</t>
        </is>
      </c>
      <c r="C4891" s="2" t="inlineStr">
        <is>
          <t>코스닥</t>
        </is>
      </c>
      <c r="D4891" s="2" t="inlineStr">
        <is>
          <t>355690</t>
        </is>
      </c>
      <c r="E4891" s="3" t="inlineStr">
        <is>
          <t>의결권대리행사권유참고서류</t>
        </is>
      </c>
      <c r="F4891" s="3" t="inlineStr">
        <is>
          <t>에이텀</t>
        </is>
      </c>
      <c r="G4891" s="2" t="inlineStr">
        <is>
          <t>20260312001305</t>
        </is>
      </c>
      <c r="H4891" s="8">
        <f>HYPERLINK("https://dart.fss.or.kr/dsaf001/main.do?rcpNo=20260312001305", "공시열람")</f>
        <v/>
      </c>
    </row>
    <row r="4892">
      <c r="A4892" s="2" t="inlineStr">
        <is>
          <t>2026-03-12</t>
        </is>
      </c>
      <c r="B4892" s="3" t="inlineStr">
        <is>
          <t>나이벡</t>
        </is>
      </c>
      <c r="C4892" s="2" t="inlineStr">
        <is>
          <t>코스닥</t>
        </is>
      </c>
      <c r="D4892" s="2" t="inlineStr">
        <is>
          <t>138610</t>
        </is>
      </c>
      <c r="E4892" s="3" t="inlineStr">
        <is>
          <t>의결권대리행사권유참고서류</t>
        </is>
      </c>
      <c r="F4892" s="3" t="inlineStr">
        <is>
          <t>나이벡</t>
        </is>
      </c>
      <c r="G4892" s="2" t="inlineStr">
        <is>
          <t>20260312001304</t>
        </is>
      </c>
      <c r="H4892" s="8">
        <f>HYPERLINK("https://dart.fss.or.kr/dsaf001/main.do?rcpNo=20260312001304", "공시열람")</f>
        <v/>
      </c>
    </row>
    <row r="4893">
      <c r="A4893" s="2" t="inlineStr">
        <is>
          <t>2026-03-12</t>
        </is>
      </c>
      <c r="B4893" s="3" t="inlineStr">
        <is>
          <t>핌스</t>
        </is>
      </c>
      <c r="C4893" s="2" t="inlineStr">
        <is>
          <t>코스닥</t>
        </is>
      </c>
      <c r="D4893" s="2" t="inlineStr">
        <is>
          <t>347770</t>
        </is>
      </c>
      <c r="E4893" s="3" t="inlineStr">
        <is>
          <t>임원ㆍ주요주주특정증권등소유상황보고서</t>
        </is>
      </c>
      <c r="F4893" s="3" t="inlineStr">
        <is>
          <t>조영수</t>
        </is>
      </c>
      <c r="G4893" s="2" t="inlineStr">
        <is>
          <t>20260312001300</t>
        </is>
      </c>
      <c r="H4893" s="8">
        <f>HYPERLINK("https://dart.fss.or.kr/dsaf001/main.do?rcpNo=20260312001300", "공시열람")</f>
        <v/>
      </c>
    </row>
    <row r="4894">
      <c r="A4894" s="2" t="inlineStr">
        <is>
          <t>2026-03-12</t>
        </is>
      </c>
      <c r="B4894" s="3" t="inlineStr">
        <is>
          <t>삼표시멘트</t>
        </is>
      </c>
      <c r="C4894" s="2" t="inlineStr">
        <is>
          <t>코스닥</t>
        </is>
      </c>
      <c r="D4894" s="2" t="inlineStr">
        <is>
          <t>038500</t>
        </is>
      </c>
      <c r="E4894" s="3" t="inlineStr">
        <is>
          <t xml:space="preserve">감사보고서제출              </t>
        </is>
      </c>
      <c r="F4894" s="3" t="inlineStr">
        <is>
          <t>삼표시멘트</t>
        </is>
      </c>
      <c r="G4894" s="2" t="inlineStr">
        <is>
          <t>20260312901999</t>
        </is>
      </c>
      <c r="H4894" s="8">
        <f>HYPERLINK("https://dart.fss.or.kr/dsaf001/main.do?rcpNo=20260312901999", "공시열람")</f>
        <v/>
      </c>
    </row>
    <row r="4895">
      <c r="A4895" s="2" t="inlineStr">
        <is>
          <t>2026-03-12</t>
        </is>
      </c>
      <c r="B4895" s="3" t="inlineStr">
        <is>
          <t>KPX홀딩스</t>
        </is>
      </c>
      <c r="C4895" s="2" t="inlineStr">
        <is>
          <t>코스피</t>
        </is>
      </c>
      <c r="D4895" s="2" t="inlineStr">
        <is>
          <t>092230</t>
        </is>
      </c>
      <c r="E4895" s="3" t="inlineStr">
        <is>
          <t xml:space="preserve">감사보고서제출              </t>
        </is>
      </c>
      <c r="F4895" s="3" t="inlineStr">
        <is>
          <t>KPX홀딩스</t>
        </is>
      </c>
      <c r="G4895" s="2" t="inlineStr">
        <is>
          <t>20260312802033</t>
        </is>
      </c>
      <c r="H4895" s="8">
        <f>HYPERLINK("https://dart.fss.or.kr/dsaf001/main.do?rcpNo=20260312802033", "공시열람")</f>
        <v/>
      </c>
    </row>
    <row r="4896">
      <c r="A4896" s="2" t="inlineStr">
        <is>
          <t>2026-03-12</t>
        </is>
      </c>
      <c r="B4896" s="3" t="inlineStr">
        <is>
          <t>풍산홀딩스</t>
        </is>
      </c>
      <c r="C4896" s="2" t="inlineStr">
        <is>
          <t>코스피</t>
        </is>
      </c>
      <c r="D4896" s="2" t="inlineStr">
        <is>
          <t>005810</t>
        </is>
      </c>
      <c r="E4896" s="3" t="inlineStr">
        <is>
          <t xml:space="preserve">감사보고서제출              </t>
        </is>
      </c>
      <c r="F4896" s="3" t="inlineStr">
        <is>
          <t>풍산홀딩스</t>
        </is>
      </c>
      <c r="G4896" s="2" t="inlineStr">
        <is>
          <t>20260312802134</t>
        </is>
      </c>
      <c r="H4896" s="8">
        <f>HYPERLINK("https://dart.fss.or.kr/dsaf001/main.do?rcpNo=20260312802134", "공시열람")</f>
        <v/>
      </c>
    </row>
    <row r="4897">
      <c r="A4897" s="2" t="inlineStr">
        <is>
          <t>2026-03-12</t>
        </is>
      </c>
      <c r="B4897" s="3" t="inlineStr">
        <is>
          <t>엠엑스로보틱스</t>
        </is>
      </c>
      <c r="C4897" s="2" t="inlineStr">
        <is>
          <t>코스닥</t>
        </is>
      </c>
      <c r="D4897" s="2" t="inlineStr">
        <is>
          <t>007820</t>
        </is>
      </c>
      <c r="E4897" s="3" t="inlineStr">
        <is>
          <t>의결권대리행사권유참고서류</t>
        </is>
      </c>
      <c r="F4897" s="3" t="inlineStr">
        <is>
          <t>엠엑스로보틱스</t>
        </is>
      </c>
      <c r="G4897" s="2" t="inlineStr">
        <is>
          <t>20260312001295</t>
        </is>
      </c>
      <c r="H4897" s="8">
        <f>HYPERLINK("https://dart.fss.or.kr/dsaf001/main.do?rcpNo=20260312001295", "공시열람")</f>
        <v/>
      </c>
    </row>
    <row r="4898">
      <c r="A4898" s="2" t="inlineStr">
        <is>
          <t>2026-03-12</t>
        </is>
      </c>
      <c r="B4898" s="3" t="inlineStr">
        <is>
          <t>대한광통신</t>
        </is>
      </c>
      <c r="C4898" s="2" t="inlineStr">
        <is>
          <t>코스닥</t>
        </is>
      </c>
      <c r="D4898" s="2" t="inlineStr">
        <is>
          <t>010170</t>
        </is>
      </c>
      <c r="E4898" s="3" t="inlineStr">
        <is>
          <t>의결권대리행사권유참고서류</t>
        </is>
      </c>
      <c r="F4898" s="3" t="inlineStr">
        <is>
          <t>대한광통신</t>
        </is>
      </c>
      <c r="G4898" s="2" t="inlineStr">
        <is>
          <t>20260312001294</t>
        </is>
      </c>
      <c r="H4898" s="8">
        <f>HYPERLINK("https://dart.fss.or.kr/dsaf001/main.do?rcpNo=20260312001294", "공시열람")</f>
        <v/>
      </c>
    </row>
    <row r="4899">
      <c r="A4899" s="2" t="inlineStr">
        <is>
          <t>2026-03-12 (정정: 2026-03-19)</t>
        </is>
      </c>
      <c r="B4899" s="3" t="inlineStr">
        <is>
          <t>이수화학</t>
        </is>
      </c>
      <c r="C4899" s="2" t="inlineStr">
        <is>
          <t>코스피</t>
        </is>
      </c>
      <c r="D4899" s="2" t="inlineStr">
        <is>
          <t>005950</t>
        </is>
      </c>
      <c r="E4899" s="3" t="inlineStr">
        <is>
          <t>의결권대리행사권유참고서류 (정정: 20260319)</t>
        </is>
      </c>
      <c r="F4899" s="3" t="inlineStr">
        <is>
          <t>이수화학</t>
        </is>
      </c>
      <c r="G4899" s="2" t="inlineStr">
        <is>
          <t>20260319001052</t>
        </is>
      </c>
      <c r="H4899" s="8">
        <f>HYPERLINK("https://dart.fss.or.kr/dsaf001/main.do?rcpNo=20260319001052", "공시열람")</f>
        <v/>
      </c>
    </row>
    <row r="4900">
      <c r="A4900" s="2" t="inlineStr">
        <is>
          <t>2026-03-12</t>
        </is>
      </c>
      <c r="B4900" s="3" t="inlineStr">
        <is>
          <t>미트박스</t>
        </is>
      </c>
      <c r="C4900" s="2" t="inlineStr">
        <is>
          <t>코스닥</t>
        </is>
      </c>
      <c r="D4900" s="2" t="inlineStr">
        <is>
          <t>475460</t>
        </is>
      </c>
      <c r="E4900" s="3" t="inlineStr">
        <is>
          <t xml:space="preserve">현금ㆍ현물배당을위한주주명부폐쇄(기준일)결정              </t>
        </is>
      </c>
      <c r="F4900" s="3" t="inlineStr">
        <is>
          <t>미트박스</t>
        </is>
      </c>
      <c r="G4900" s="2" t="inlineStr">
        <is>
          <t>20260312901584</t>
        </is>
      </c>
      <c r="H4900" s="8">
        <f>HYPERLINK("https://dart.fss.or.kr/dsaf001/main.do?rcpNo=20260312901584", "공시열람")</f>
        <v/>
      </c>
    </row>
    <row r="4901">
      <c r="A4901" s="2" t="inlineStr">
        <is>
          <t>2026-03-12</t>
        </is>
      </c>
      <c r="B4901" s="3" t="inlineStr">
        <is>
          <t>티플랙스</t>
        </is>
      </c>
      <c r="C4901" s="2" t="inlineStr">
        <is>
          <t>코스닥</t>
        </is>
      </c>
      <c r="D4901" s="2" t="inlineStr">
        <is>
          <t>081150</t>
        </is>
      </c>
      <c r="E4901" s="3" t="inlineStr">
        <is>
          <t xml:space="preserve">현금ㆍ현물배당결정              </t>
        </is>
      </c>
      <c r="F4901" s="3" t="inlineStr">
        <is>
          <t>티플랙스</t>
        </is>
      </c>
      <c r="G4901" s="2" t="inlineStr">
        <is>
          <t>20260312902087</t>
        </is>
      </c>
      <c r="H4901" s="8">
        <f>HYPERLINK("https://dart.fss.or.kr/dsaf001/main.do?rcpNo=20260312902087", "공시열람")</f>
        <v/>
      </c>
    </row>
    <row r="4902">
      <c r="A4902" s="2" t="inlineStr">
        <is>
          <t>2026-03-12</t>
        </is>
      </c>
      <c r="B4902" s="3" t="inlineStr">
        <is>
          <t>비보존 제약</t>
        </is>
      </c>
      <c r="C4902" s="2" t="inlineStr">
        <is>
          <t>코스닥</t>
        </is>
      </c>
      <c r="D4902" s="2" t="inlineStr">
        <is>
          <t>082800</t>
        </is>
      </c>
      <c r="E4902" s="3" t="inlineStr">
        <is>
          <t>임원ㆍ주요주주특정증권등소유상황보고서</t>
        </is>
      </c>
      <c r="F4902" s="3" t="inlineStr">
        <is>
          <t>박상성</t>
        </is>
      </c>
      <c r="G4902" s="2" t="inlineStr">
        <is>
          <t>20260312001284</t>
        </is>
      </c>
      <c r="H4902" s="8">
        <f>HYPERLINK("https://dart.fss.or.kr/dsaf001/main.do?rcpNo=20260312001284", "공시열람")</f>
        <v/>
      </c>
    </row>
    <row r="4903">
      <c r="A4903" s="2" t="inlineStr">
        <is>
          <t>2026-03-12 (정정: 2026-03-18)</t>
        </is>
      </c>
      <c r="B4903" s="3" t="inlineStr">
        <is>
          <t>코리안리</t>
        </is>
      </c>
      <c r="C4903" s="2" t="inlineStr">
        <is>
          <t>코스피</t>
        </is>
      </c>
      <c r="D4903" s="2" t="inlineStr">
        <is>
          <t>003690</t>
        </is>
      </c>
      <c r="E4903" s="3" t="inlineStr">
        <is>
          <t>의결권대리행사권유참고서류 (정정: 20260318)</t>
        </is>
      </c>
      <c r="F4903" s="3" t="inlineStr">
        <is>
          <t>코리안리</t>
        </is>
      </c>
      <c r="G4903" s="2" t="inlineStr">
        <is>
          <t>20260318001492</t>
        </is>
      </c>
      <c r="H4903" s="8">
        <f>HYPERLINK("https://dart.fss.or.kr/dsaf001/main.do?rcpNo=20260318001492", "공시열람")</f>
        <v/>
      </c>
    </row>
    <row r="4904">
      <c r="A4904" s="2" t="inlineStr">
        <is>
          <t>2026-03-12</t>
        </is>
      </c>
      <c r="B4904" s="3" t="inlineStr">
        <is>
          <t>NI스틸</t>
        </is>
      </c>
      <c r="C4904" s="2" t="inlineStr">
        <is>
          <t>코스피</t>
        </is>
      </c>
      <c r="D4904" s="2" t="inlineStr">
        <is>
          <t>008260</t>
        </is>
      </c>
      <c r="E4904" s="3" t="inlineStr">
        <is>
          <t xml:space="preserve">감사보고서제출              </t>
        </is>
      </c>
      <c r="F4904" s="3" t="inlineStr">
        <is>
          <t>NI스틸</t>
        </is>
      </c>
      <c r="G4904" s="2" t="inlineStr">
        <is>
          <t>20260312802072</t>
        </is>
      </c>
      <c r="H4904" s="8">
        <f>HYPERLINK("https://dart.fss.or.kr/dsaf001/main.do?rcpNo=20260312802072", "공시열람")</f>
        <v/>
      </c>
    </row>
    <row r="4905">
      <c r="A4905" s="2" t="inlineStr">
        <is>
          <t>2026-03-12</t>
        </is>
      </c>
      <c r="B4905" s="3" t="inlineStr">
        <is>
          <t>한솔테크닉스</t>
        </is>
      </c>
      <c r="C4905" s="2" t="inlineStr">
        <is>
          <t>코스피</t>
        </is>
      </c>
      <c r="D4905" s="2" t="inlineStr">
        <is>
          <t>004710</t>
        </is>
      </c>
      <c r="E4905" s="3" t="inlineStr">
        <is>
          <t>증권신고서(채무증권)</t>
        </is>
      </c>
      <c r="F4905" s="3" t="inlineStr">
        <is>
          <t>한솔테크닉스</t>
        </is>
      </c>
      <c r="G4905" s="2" t="inlineStr">
        <is>
          <t>20260312001277</t>
        </is>
      </c>
      <c r="H4905" s="8">
        <f>HYPERLINK("https://dart.fss.or.kr/dsaf001/main.do?rcpNo=20260312001277", "공시열람")</f>
        <v/>
      </c>
    </row>
    <row r="4906">
      <c r="A4906" s="2" t="inlineStr">
        <is>
          <t>2026-03-12</t>
        </is>
      </c>
      <c r="B4906" s="3" t="inlineStr">
        <is>
          <t>한일사료</t>
        </is>
      </c>
      <c r="C4906" s="2" t="inlineStr">
        <is>
          <t>코스닥</t>
        </is>
      </c>
      <c r="D4906" s="2" t="inlineStr">
        <is>
          <t>005860</t>
        </is>
      </c>
      <c r="E4906" s="3" t="inlineStr">
        <is>
          <t xml:space="preserve">감사보고서제출              </t>
        </is>
      </c>
      <c r="F4906" s="3" t="inlineStr">
        <is>
          <t>한일사료</t>
        </is>
      </c>
      <c r="G4906" s="2" t="inlineStr">
        <is>
          <t>20260312901996</t>
        </is>
      </c>
      <c r="H4906" s="8">
        <f>HYPERLINK("https://dart.fss.or.kr/dsaf001/main.do?rcpNo=20260312901996", "공시열람")</f>
        <v/>
      </c>
    </row>
    <row r="4907">
      <c r="A4907" s="2" t="inlineStr">
        <is>
          <t>2026-03-12</t>
        </is>
      </c>
      <c r="B4907" s="3" t="inlineStr">
        <is>
          <t>삼성물산</t>
        </is>
      </c>
      <c r="C4907" s="2" t="inlineStr">
        <is>
          <t>코스피</t>
        </is>
      </c>
      <c r="D4907" s="2" t="inlineStr">
        <is>
          <t>028260</t>
        </is>
      </c>
      <c r="E4907" s="3" t="inlineStr">
        <is>
          <t>임원ㆍ주요주주특정증권등소유상황보고서</t>
        </is>
      </c>
      <c r="F4907" s="3" t="inlineStr">
        <is>
          <t>조희섭</t>
        </is>
      </c>
      <c r="G4907" s="2" t="inlineStr">
        <is>
          <t>20260312001272</t>
        </is>
      </c>
      <c r="H4907" s="8">
        <f>HYPERLINK("https://dart.fss.or.kr/dsaf001/main.do?rcpNo=20260312001272", "공시열람")</f>
        <v/>
      </c>
    </row>
    <row r="4908">
      <c r="A4908" s="2" t="inlineStr">
        <is>
          <t>2026-03-12</t>
        </is>
      </c>
      <c r="B4908" s="3" t="inlineStr">
        <is>
          <t>JB금융지주</t>
        </is>
      </c>
      <c r="C4908" s="2" t="inlineStr">
        <is>
          <t>코스피</t>
        </is>
      </c>
      <c r="D4908" s="2" t="inlineStr">
        <is>
          <t>175330</t>
        </is>
      </c>
      <c r="E4908" s="3" t="inlineStr">
        <is>
          <t xml:space="preserve">감사보고서제출(자회사의 주요경영사항)              </t>
        </is>
      </c>
      <c r="F4908" s="3" t="inlineStr">
        <is>
          <t>JB금융지주</t>
        </is>
      </c>
      <c r="G4908" s="2" t="inlineStr">
        <is>
          <t>20260312801800</t>
        </is>
      </c>
      <c r="H4908" s="8">
        <f>HYPERLINK("https://dart.fss.or.kr/dsaf001/main.do?rcpNo=20260312801800", "공시열람")</f>
        <v/>
      </c>
    </row>
    <row r="4909">
      <c r="A4909" s="2" t="inlineStr">
        <is>
          <t>2026-03-12</t>
        </is>
      </c>
      <c r="B4909" s="3" t="inlineStr">
        <is>
          <t>유진기업</t>
        </is>
      </c>
      <c r="C4909" s="2" t="inlineStr">
        <is>
          <t>코스닥</t>
        </is>
      </c>
      <c r="D4909" s="2" t="inlineStr">
        <is>
          <t>023410</t>
        </is>
      </c>
      <c r="E4909" s="3" t="inlineStr">
        <is>
          <t xml:space="preserve">현금ㆍ현물배당결정              </t>
        </is>
      </c>
      <c r="F4909" s="3" t="inlineStr">
        <is>
          <t>유진기업</t>
        </is>
      </c>
      <c r="G4909" s="2" t="inlineStr">
        <is>
          <t>20260312901985</t>
        </is>
      </c>
      <c r="H4909" s="8">
        <f>HYPERLINK("https://dart.fss.or.kr/dsaf001/main.do?rcpNo=20260312901985", "공시열람")</f>
        <v/>
      </c>
    </row>
    <row r="4910">
      <c r="A4910" s="2" t="inlineStr">
        <is>
          <t>2026-03-12</t>
        </is>
      </c>
      <c r="B4910" s="3" t="inlineStr">
        <is>
          <t>이수스페셜티케미컬</t>
        </is>
      </c>
      <c r="C4910" s="2" t="inlineStr">
        <is>
          <t>코스피</t>
        </is>
      </c>
      <c r="D4910" s="2" t="inlineStr">
        <is>
          <t>457190</t>
        </is>
      </c>
      <c r="E4910" s="3" t="inlineStr">
        <is>
          <t>의결권대리행사권유참고서류</t>
        </is>
      </c>
      <c r="F4910" s="3" t="inlineStr">
        <is>
          <t>이수스페셜티케미컬</t>
        </is>
      </c>
      <c r="G4910" s="2" t="inlineStr">
        <is>
          <t>20260312001268</t>
        </is>
      </c>
      <c r="H4910" s="8">
        <f>HYPERLINK("https://dart.fss.or.kr/dsaf001/main.do?rcpNo=20260312001268", "공시열람")</f>
        <v/>
      </c>
    </row>
    <row r="4911">
      <c r="A4911" s="2" t="inlineStr">
        <is>
          <t>2026-03-12</t>
        </is>
      </c>
      <c r="B4911" s="3" t="inlineStr">
        <is>
          <t>핌스</t>
        </is>
      </c>
      <c r="C4911" s="2" t="inlineStr">
        <is>
          <t>코스닥</t>
        </is>
      </c>
      <c r="D4911" s="2" t="inlineStr">
        <is>
          <t>347770</t>
        </is>
      </c>
      <c r="E4911" s="3" t="inlineStr">
        <is>
          <t>임원ㆍ주요주주특정증권등소유상황보고서</t>
        </is>
      </c>
      <c r="F4911" s="3" t="inlineStr">
        <is>
          <t>김민용</t>
        </is>
      </c>
      <c r="G4911" s="2" t="inlineStr">
        <is>
          <t>20260312001265</t>
        </is>
      </c>
      <c r="H4911" s="8">
        <f>HYPERLINK("https://dart.fss.or.kr/dsaf001/main.do?rcpNo=20260312001265", "공시열람")</f>
        <v/>
      </c>
    </row>
    <row r="4912">
      <c r="A4912" s="2" t="inlineStr">
        <is>
          <t>2026-03-12</t>
        </is>
      </c>
      <c r="B4912" s="3" t="inlineStr">
        <is>
          <t>롯데지주</t>
        </is>
      </c>
      <c r="C4912" s="2" t="inlineStr">
        <is>
          <t>코스피</t>
        </is>
      </c>
      <c r="D4912" s="2" t="inlineStr">
        <is>
          <t>004990</t>
        </is>
      </c>
      <c r="E4912" s="3" t="inlineStr">
        <is>
          <t xml:space="preserve">감사보고서제출(자회사의 주요경영사항)              </t>
        </is>
      </c>
      <c r="F4912" s="3" t="inlineStr">
        <is>
          <t>롯데지주</t>
        </is>
      </c>
      <c r="G4912" s="2" t="inlineStr">
        <is>
          <t>20260312802099</t>
        </is>
      </c>
      <c r="H4912" s="8">
        <f>HYPERLINK("https://dart.fss.or.kr/dsaf001/main.do?rcpNo=20260312802099", "공시열람")</f>
        <v/>
      </c>
    </row>
    <row r="4913">
      <c r="A4913" s="2" t="inlineStr">
        <is>
          <t>2026-03-12</t>
        </is>
      </c>
      <c r="B4913" s="3" t="inlineStr">
        <is>
          <t>윈팩</t>
        </is>
      </c>
      <c r="C4913" s="2" t="inlineStr">
        <is>
          <t>코스닥</t>
        </is>
      </c>
      <c r="D4913" s="2" t="inlineStr">
        <is>
          <t>097800</t>
        </is>
      </c>
      <c r="E4913" s="3" t="inlineStr">
        <is>
          <t xml:space="preserve">주식병합결정              </t>
        </is>
      </c>
      <c r="F4913" s="3" t="inlineStr">
        <is>
          <t>윈팩</t>
        </is>
      </c>
      <c r="G4913" s="2" t="inlineStr">
        <is>
          <t>20260312902128</t>
        </is>
      </c>
      <c r="H4913" s="8">
        <f>HYPERLINK("https://dart.fss.or.kr/dsaf001/main.do?rcpNo=20260312902128", "공시열람")</f>
        <v/>
      </c>
    </row>
    <row r="4914">
      <c r="A4914" s="2" t="inlineStr">
        <is>
          <t>2026-03-12</t>
        </is>
      </c>
      <c r="B4914" s="3" t="inlineStr">
        <is>
          <t>슈프리마</t>
        </is>
      </c>
      <c r="C4914" s="2" t="inlineStr">
        <is>
          <t>코스닥</t>
        </is>
      </c>
      <c r="D4914" s="2" t="inlineStr">
        <is>
          <t>236200</t>
        </is>
      </c>
      <c r="E4914" s="3" t="inlineStr">
        <is>
          <t xml:space="preserve">기업가치제고계획예고              </t>
        </is>
      </c>
      <c r="F4914" s="3" t="inlineStr">
        <is>
          <t>슈프리마</t>
        </is>
      </c>
      <c r="G4914" s="2" t="inlineStr">
        <is>
          <t>20260312902008</t>
        </is>
      </c>
      <c r="H4914" s="8">
        <f>HYPERLINK("https://dart.fss.or.kr/dsaf001/main.do?rcpNo=20260312902008", "공시열람")</f>
        <v/>
      </c>
    </row>
    <row r="4915">
      <c r="A4915" s="2" t="inlineStr">
        <is>
          <t>2026-03-12</t>
        </is>
      </c>
      <c r="B4915" s="3" t="inlineStr">
        <is>
          <t>미래에셋증권</t>
        </is>
      </c>
      <c r="C4915" s="2" t="inlineStr">
        <is>
          <t>코스피</t>
        </is>
      </c>
      <c r="D4915" s="2" t="inlineStr">
        <is>
          <t>006800</t>
        </is>
      </c>
      <c r="E4915" s="3" t="inlineStr">
        <is>
          <t>의결권대리행사권유참고서류</t>
        </is>
      </c>
      <c r="F4915" s="3" t="inlineStr">
        <is>
          <t>컨두잇</t>
        </is>
      </c>
      <c r="G4915" s="2" t="inlineStr">
        <is>
          <t>20260312001258</t>
        </is>
      </c>
      <c r="H4915" s="8">
        <f>HYPERLINK("https://dart.fss.or.kr/dsaf001/main.do?rcpNo=20260312001258", "공시열람")</f>
        <v/>
      </c>
    </row>
    <row r="4916">
      <c r="A4916" s="2" t="inlineStr">
        <is>
          <t>2026-03-12</t>
        </is>
      </c>
      <c r="B4916" s="3" t="inlineStr">
        <is>
          <t>티에프이</t>
        </is>
      </c>
      <c r="C4916" s="2" t="inlineStr">
        <is>
          <t>코스닥</t>
        </is>
      </c>
      <c r="D4916" s="2" t="inlineStr">
        <is>
          <t>425420</t>
        </is>
      </c>
      <c r="E4916" s="3" t="inlineStr">
        <is>
          <t xml:space="preserve">교환청구권행사              </t>
        </is>
      </c>
      <c r="F4916" s="3" t="inlineStr">
        <is>
          <t>티에프이</t>
        </is>
      </c>
      <c r="G4916" s="2" t="inlineStr">
        <is>
          <t>20260312901839</t>
        </is>
      </c>
      <c r="H4916" s="8">
        <f>HYPERLINK("https://dart.fss.or.kr/dsaf001/main.do?rcpNo=20260312901839", "공시열람")</f>
        <v/>
      </c>
    </row>
    <row r="4917">
      <c r="A4917" s="2" t="inlineStr">
        <is>
          <t>2026-03-12</t>
        </is>
      </c>
      <c r="B4917" s="3" t="inlineStr">
        <is>
          <t>롯데케미칼</t>
        </is>
      </c>
      <c r="C4917" s="2" t="inlineStr">
        <is>
          <t>코스피</t>
        </is>
      </c>
      <c r="D4917" s="2" t="inlineStr">
        <is>
          <t>011170</t>
        </is>
      </c>
      <c r="E4917" s="3" t="inlineStr">
        <is>
          <t xml:space="preserve">감사보고서제출              </t>
        </is>
      </c>
      <c r="F4917" s="3" t="inlineStr">
        <is>
          <t>롯데케미칼</t>
        </is>
      </c>
      <c r="G4917" s="2" t="inlineStr">
        <is>
          <t>20260312802009</t>
        </is>
      </c>
      <c r="H4917" s="8">
        <f>HYPERLINK("https://dart.fss.or.kr/dsaf001/main.do?rcpNo=20260312802009", "공시열람")</f>
        <v/>
      </c>
    </row>
    <row r="4918">
      <c r="A4918" s="2" t="inlineStr">
        <is>
          <t>2026-03-12</t>
        </is>
      </c>
      <c r="B4918" s="3" t="inlineStr">
        <is>
          <t>에임드바이오</t>
        </is>
      </c>
      <c r="C4918" s="2" t="inlineStr">
        <is>
          <t>코스닥</t>
        </is>
      </c>
      <c r="D4918" s="2" t="inlineStr">
        <is>
          <t>0009K0</t>
        </is>
      </c>
      <c r="E4918" s="3" t="inlineStr">
        <is>
          <t>의결권대리행사권유참고서류</t>
        </is>
      </c>
      <c r="F4918" s="3" t="inlineStr">
        <is>
          <t>에임드바이오</t>
        </is>
      </c>
      <c r="G4918" s="2" t="inlineStr">
        <is>
          <t>20260312001254</t>
        </is>
      </c>
      <c r="H4918" s="8">
        <f>HYPERLINK("https://dart.fss.or.kr/dsaf001/main.do?rcpNo=20260312001254", "공시열람")</f>
        <v/>
      </c>
    </row>
    <row r="4919">
      <c r="A4919" s="2" t="inlineStr">
        <is>
          <t>2026-03-12 (정정: 2026-03-19)</t>
        </is>
      </c>
      <c r="B4919" s="3" t="inlineStr">
        <is>
          <t>유니온바이오메트릭스</t>
        </is>
      </c>
      <c r="C4919" s="2" t="inlineStr">
        <is>
          <t>코스닥</t>
        </is>
      </c>
      <c r="D4919" s="2" t="inlineStr">
        <is>
          <t>203450</t>
        </is>
      </c>
      <c r="E4919" s="3" t="inlineStr">
        <is>
          <t>의결권대리행사권유참고서류 (정정: 20260319)</t>
        </is>
      </c>
      <c r="F4919" s="3" t="inlineStr">
        <is>
          <t>유니온바이오메트릭스</t>
        </is>
      </c>
      <c r="G4919" s="2" t="inlineStr">
        <is>
          <t>20260319000998</t>
        </is>
      </c>
      <c r="H4919" s="8">
        <f>HYPERLINK("https://dart.fss.or.kr/dsaf001/main.do?rcpNo=20260319000998", "공시열람")</f>
        <v/>
      </c>
    </row>
    <row r="4920">
      <c r="A4920" s="2" t="inlineStr">
        <is>
          <t>2026-03-12</t>
        </is>
      </c>
      <c r="B4920" s="3" t="inlineStr">
        <is>
          <t>휴니드테크놀러지스</t>
        </is>
      </c>
      <c r="C4920" s="2" t="inlineStr">
        <is>
          <t>코스피</t>
        </is>
      </c>
      <c r="D4920" s="2" t="inlineStr">
        <is>
          <t>005870</t>
        </is>
      </c>
      <c r="E4920" s="3" t="inlineStr">
        <is>
          <t>의결권대리행사권유참고서류</t>
        </is>
      </c>
      <c r="F4920" s="3" t="inlineStr">
        <is>
          <t>휴니드테크놀러지스</t>
        </is>
      </c>
      <c r="G4920" s="2" t="inlineStr">
        <is>
          <t>20260312001248</t>
        </is>
      </c>
      <c r="H4920" s="8">
        <f>HYPERLINK("https://dart.fss.or.kr/dsaf001/main.do?rcpNo=20260312001248", "공시열람")</f>
        <v/>
      </c>
    </row>
    <row r="4921">
      <c r="A4921" s="2" t="inlineStr">
        <is>
          <t>2026-03-12</t>
        </is>
      </c>
      <c r="B4921" s="3" t="inlineStr">
        <is>
          <t>태광산업</t>
        </is>
      </c>
      <c r="C4921" s="2" t="inlineStr">
        <is>
          <t>코스피</t>
        </is>
      </c>
      <c r="D4921" s="2" t="inlineStr">
        <is>
          <t>003240</t>
        </is>
      </c>
      <c r="E4921" s="3" t="inlineStr">
        <is>
          <t xml:space="preserve">기업가치제고계획예고(안내공시)              </t>
        </is>
      </c>
      <c r="F4921" s="3" t="inlineStr">
        <is>
          <t>태광산업</t>
        </is>
      </c>
      <c r="G4921" s="2" t="inlineStr">
        <is>
          <t>20260312801791</t>
        </is>
      </c>
      <c r="H4921" s="8">
        <f>HYPERLINK("https://dart.fss.or.kr/dsaf001/main.do?rcpNo=20260312801791", "공시열람")</f>
        <v/>
      </c>
    </row>
    <row r="4922">
      <c r="A4922" s="2" t="inlineStr">
        <is>
          <t>2026-03-12 (정정: 2026-06-01)</t>
        </is>
      </c>
      <c r="B4922" s="3" t="inlineStr">
        <is>
          <t>LS</t>
        </is>
      </c>
      <c r="C4922" s="2" t="inlineStr">
        <is>
          <t>코스피</t>
        </is>
      </c>
      <c r="D4922" s="2" t="inlineStr">
        <is>
          <t>006260</t>
        </is>
      </c>
      <c r="E4922" s="3" t="inlineStr">
        <is>
          <t>특수관계인에대한출자 (정정: 20260527) (정정: 20260601)</t>
        </is>
      </c>
      <c r="F4922" s="3" t="inlineStr">
        <is>
          <t>LS</t>
        </is>
      </c>
      <c r="G4922" s="2" t="inlineStr">
        <is>
          <t>20260601001951</t>
        </is>
      </c>
      <c r="H4922" s="8">
        <f>HYPERLINK("https://dart.fss.or.kr/dsaf001/main.do?rcpNo=20260601001951", "공시열람")</f>
        <v/>
      </c>
    </row>
    <row r="4923">
      <c r="A4923" s="2" t="inlineStr">
        <is>
          <t>2026-03-12</t>
        </is>
      </c>
      <c r="B4923" s="3" t="inlineStr">
        <is>
          <t>SK디앤디</t>
        </is>
      </c>
      <c r="C4923" s="2" t="inlineStr">
        <is>
          <t>코스피</t>
        </is>
      </c>
      <c r="D4923" s="2" t="inlineStr">
        <is>
          <t>210980</t>
        </is>
      </c>
      <c r="E4923" s="3" t="inlineStr">
        <is>
          <t xml:space="preserve">감사보고서제출              </t>
        </is>
      </c>
      <c r="F4923" s="3" t="inlineStr">
        <is>
          <t>SK디앤디</t>
        </is>
      </c>
      <c r="G4923" s="2" t="inlineStr">
        <is>
          <t>20260312801960</t>
        </is>
      </c>
      <c r="H4923" s="8">
        <f>HYPERLINK("https://dart.fss.or.kr/dsaf001/main.do?rcpNo=20260312801960", "공시열람")</f>
        <v/>
      </c>
    </row>
    <row r="4924">
      <c r="A4924" s="2" t="inlineStr">
        <is>
          <t>2026-03-12</t>
        </is>
      </c>
      <c r="B4924" s="3" t="inlineStr">
        <is>
          <t>에이치브이엠</t>
        </is>
      </c>
      <c r="C4924" s="2" t="inlineStr">
        <is>
          <t>코스닥</t>
        </is>
      </c>
      <c r="D4924" s="2" t="inlineStr">
        <is>
          <t>295310</t>
        </is>
      </c>
      <c r="E4924" s="3" t="inlineStr">
        <is>
          <t>주식매수선택권부여에관한신고</t>
        </is>
      </c>
      <c r="F4924" s="3" t="inlineStr">
        <is>
          <t>에이치브이엠</t>
        </is>
      </c>
      <c r="G4924" s="2" t="inlineStr">
        <is>
          <t>20260312001242</t>
        </is>
      </c>
      <c r="H4924" s="8">
        <f>HYPERLINK("https://dart.fss.or.kr/dsaf001/main.do?rcpNo=20260312001242", "공시열람")</f>
        <v/>
      </c>
    </row>
    <row r="4925">
      <c r="A4925" s="2" t="inlineStr">
        <is>
          <t>2026-03-12</t>
        </is>
      </c>
      <c r="B4925" s="3" t="inlineStr">
        <is>
          <t>NAVER</t>
        </is>
      </c>
      <c r="C4925" s="2" t="inlineStr">
        <is>
          <t>코스피</t>
        </is>
      </c>
      <c r="D4925" s="2" t="inlineStr">
        <is>
          <t>035420</t>
        </is>
      </c>
      <c r="E4925" s="3" t="inlineStr">
        <is>
          <t>의결권대리행사권유참고서류</t>
        </is>
      </c>
      <c r="F4925" s="3" t="inlineStr">
        <is>
          <t>컨두잇</t>
        </is>
      </c>
      <c r="G4925" s="2" t="inlineStr">
        <is>
          <t>20260312001241</t>
        </is>
      </c>
      <c r="H4925" s="8">
        <f>HYPERLINK("https://dart.fss.or.kr/dsaf001/main.do?rcpNo=20260312001241", "공시열람")</f>
        <v/>
      </c>
    </row>
    <row r="4926">
      <c r="A4926" s="2" t="inlineStr">
        <is>
          <t>2026-03-12</t>
        </is>
      </c>
      <c r="B4926" s="3" t="inlineStr">
        <is>
          <t>SK스퀘어</t>
        </is>
      </c>
      <c r="C4926" s="2" t="inlineStr">
        <is>
          <t>코스피</t>
        </is>
      </c>
      <c r="D4926" s="2" t="inlineStr">
        <is>
          <t>402340</t>
        </is>
      </c>
      <c r="E4926" s="3" t="inlineStr">
        <is>
          <t>의결권대리행사권유참고서류</t>
        </is>
      </c>
      <c r="F4926" s="3" t="inlineStr">
        <is>
          <t>컨두잇</t>
        </is>
      </c>
      <c r="G4926" s="2" t="inlineStr">
        <is>
          <t>20260312001235</t>
        </is>
      </c>
      <c r="H4926" s="8">
        <f>HYPERLINK("https://dart.fss.or.kr/dsaf001/main.do?rcpNo=20260312001235", "공시열람")</f>
        <v/>
      </c>
    </row>
    <row r="4927">
      <c r="A4927" s="2" t="inlineStr">
        <is>
          <t>2026-03-12</t>
        </is>
      </c>
      <c r="B4927" s="3" t="inlineStr">
        <is>
          <t>코어라인소프트</t>
        </is>
      </c>
      <c r="C4927" s="2" t="inlineStr">
        <is>
          <t>코스닥</t>
        </is>
      </c>
      <c r="D4927" s="2" t="inlineStr">
        <is>
          <t>384470</t>
        </is>
      </c>
      <c r="E4927" s="3" t="inlineStr">
        <is>
          <t>의결권대리행사권유참고서류</t>
        </is>
      </c>
      <c r="F4927" s="3" t="inlineStr">
        <is>
          <t>코어라인소프트</t>
        </is>
      </c>
      <c r="G4927" s="2" t="inlineStr">
        <is>
          <t>20260312001234</t>
        </is>
      </c>
      <c r="H4927" s="8">
        <f>HYPERLINK("https://dart.fss.or.kr/dsaf001/main.do?rcpNo=20260312001234", "공시열람")</f>
        <v/>
      </c>
    </row>
    <row r="4928">
      <c r="A4928" s="2" t="inlineStr">
        <is>
          <t>2026-03-12</t>
        </is>
      </c>
      <c r="B4928" s="3" t="inlineStr">
        <is>
          <t>태광산업</t>
        </is>
      </c>
      <c r="C4928" s="2" t="inlineStr">
        <is>
          <t>코스피</t>
        </is>
      </c>
      <c r="D4928" s="2" t="inlineStr">
        <is>
          <t>003240</t>
        </is>
      </c>
      <c r="E4928" s="3" t="inlineStr">
        <is>
          <t xml:space="preserve">공정거래자율준수프로그램운영현황(안내공시)              </t>
        </is>
      </c>
      <c r="F4928" s="3" t="inlineStr">
        <is>
          <t>태광산업</t>
        </is>
      </c>
      <c r="G4928" s="2" t="inlineStr">
        <is>
          <t>20260312801744</t>
        </is>
      </c>
      <c r="H4928" s="8">
        <f>HYPERLINK("https://dart.fss.or.kr/dsaf001/main.do?rcpNo=20260312801744", "공시열람")</f>
        <v/>
      </c>
    </row>
    <row r="4929">
      <c r="A4929" s="2" t="inlineStr">
        <is>
          <t>2026-03-12</t>
        </is>
      </c>
      <c r="B4929" s="3" t="inlineStr">
        <is>
          <t>현대힘스</t>
        </is>
      </c>
      <c r="C4929" s="2" t="inlineStr">
        <is>
          <t>코스닥</t>
        </is>
      </c>
      <c r="D4929" s="2" t="inlineStr">
        <is>
          <t>460930</t>
        </is>
      </c>
      <c r="E4929" s="3" t="inlineStr">
        <is>
          <t xml:space="preserve">감사보고서제출              </t>
        </is>
      </c>
      <c r="F4929" s="3" t="inlineStr">
        <is>
          <t>현대힘스</t>
        </is>
      </c>
      <c r="G4929" s="2" t="inlineStr">
        <is>
          <t>20260312901898</t>
        </is>
      </c>
      <c r="H4929" s="8">
        <f>HYPERLINK("https://dart.fss.or.kr/dsaf001/main.do?rcpNo=20260312901898", "공시열람")</f>
        <v/>
      </c>
    </row>
    <row r="4930">
      <c r="A4930" s="2" t="inlineStr">
        <is>
          <t>2026-03-12</t>
        </is>
      </c>
      <c r="B4930" s="3" t="inlineStr">
        <is>
          <t>동국제약</t>
        </is>
      </c>
      <c r="C4930" s="2" t="inlineStr">
        <is>
          <t>코스닥</t>
        </is>
      </c>
      <c r="D4930" s="2" t="inlineStr">
        <is>
          <t>086450</t>
        </is>
      </c>
      <c r="E4930" s="3" t="inlineStr">
        <is>
          <t xml:space="preserve">감사보고서제출              </t>
        </is>
      </c>
      <c r="F4930" s="3" t="inlineStr">
        <is>
          <t>동국제약</t>
        </is>
      </c>
      <c r="G4930" s="2" t="inlineStr">
        <is>
          <t>20260312901888</t>
        </is>
      </c>
      <c r="H4930" s="8">
        <f>HYPERLINK("https://dart.fss.or.kr/dsaf001/main.do?rcpNo=20260312901888", "공시열람")</f>
        <v/>
      </c>
    </row>
    <row r="4931">
      <c r="A4931" s="2" t="inlineStr">
        <is>
          <t>2026-03-12</t>
        </is>
      </c>
      <c r="B4931" s="3" t="inlineStr">
        <is>
          <t>DN오토모티브</t>
        </is>
      </c>
      <c r="C4931" s="2" t="inlineStr">
        <is>
          <t>코스피</t>
        </is>
      </c>
      <c r="D4931" s="2" t="inlineStr">
        <is>
          <t>007340</t>
        </is>
      </c>
      <c r="E4931" s="3" t="inlineStr">
        <is>
          <t xml:space="preserve">감사보고서제출              </t>
        </is>
      </c>
      <c r="F4931" s="3" t="inlineStr">
        <is>
          <t>DN오토모티브</t>
        </is>
      </c>
      <c r="G4931" s="2" t="inlineStr">
        <is>
          <t>20260312802010</t>
        </is>
      </c>
      <c r="H4931" s="8">
        <f>HYPERLINK("https://dart.fss.or.kr/dsaf001/main.do?rcpNo=20260312802010", "공시열람")</f>
        <v/>
      </c>
    </row>
    <row r="4932">
      <c r="A4932" s="2" t="inlineStr">
        <is>
          <t>2026-03-12</t>
        </is>
      </c>
      <c r="B4932" s="3" t="inlineStr">
        <is>
          <t>태광산업</t>
        </is>
      </c>
      <c r="C4932" s="2" t="inlineStr">
        <is>
          <t>코스피</t>
        </is>
      </c>
      <c r="D4932" s="2" t="inlineStr">
        <is>
          <t>003240</t>
        </is>
      </c>
      <c r="E4932" s="3" t="inlineStr">
        <is>
          <t xml:space="preserve">현금ㆍ현물배당결정              </t>
        </is>
      </c>
      <c r="F4932" s="3" t="inlineStr">
        <is>
          <t>태광산업</t>
        </is>
      </c>
      <c r="G4932" s="2" t="inlineStr">
        <is>
          <t>20260312801706</t>
        </is>
      </c>
      <c r="H4932" s="8">
        <f>HYPERLINK("https://dart.fss.or.kr/dsaf001/main.do?rcpNo=20260312801706", "공시열람")</f>
        <v/>
      </c>
    </row>
    <row r="4933">
      <c r="A4933" s="2" t="inlineStr">
        <is>
          <t>2026-03-12</t>
        </is>
      </c>
      <c r="B4933" s="3" t="inlineStr">
        <is>
          <t>피델릭스</t>
        </is>
      </c>
      <c r="C4933" s="2" t="inlineStr">
        <is>
          <t>코스닥</t>
        </is>
      </c>
      <c r="D4933" s="2" t="inlineStr">
        <is>
          <t>032580</t>
        </is>
      </c>
      <c r="E4933" s="3" t="inlineStr">
        <is>
          <t xml:space="preserve">감사보고서제출              </t>
        </is>
      </c>
      <c r="F4933" s="3" t="inlineStr">
        <is>
          <t>피델릭스</t>
        </is>
      </c>
      <c r="G4933" s="2" t="inlineStr">
        <is>
          <t>20260312901821</t>
        </is>
      </c>
      <c r="H4933" s="8">
        <f>HYPERLINK("https://dart.fss.or.kr/dsaf001/main.do?rcpNo=20260312901821", "공시열람")</f>
        <v/>
      </c>
    </row>
    <row r="4934">
      <c r="A4934" s="2" t="inlineStr">
        <is>
          <t>2026-03-12</t>
        </is>
      </c>
      <c r="B4934" s="3" t="inlineStr">
        <is>
          <t>KPX홀딩스</t>
        </is>
      </c>
      <c r="C4934" s="2" t="inlineStr">
        <is>
          <t>코스피</t>
        </is>
      </c>
      <c r="D4934" s="2" t="inlineStr">
        <is>
          <t>092230</t>
        </is>
      </c>
      <c r="E4934" s="3" t="inlineStr">
        <is>
          <t xml:space="preserve">감사보고서제출(자회사의 주요경영사항)              </t>
        </is>
      </c>
      <c r="F4934" s="3" t="inlineStr">
        <is>
          <t>KPX홀딩스</t>
        </is>
      </c>
      <c r="G4934" s="2" t="inlineStr">
        <is>
          <t>20260312802024</t>
        </is>
      </c>
      <c r="H4934" s="8">
        <f>HYPERLINK("https://dart.fss.or.kr/dsaf001/main.do?rcpNo=20260312802024", "공시열람")</f>
        <v/>
      </c>
    </row>
    <row r="4935">
      <c r="A4935" s="2" t="inlineStr">
        <is>
          <t>2026-03-12 (정정: 2026-03-12)</t>
        </is>
      </c>
      <c r="B4935" s="3" t="inlineStr">
        <is>
          <t>슈프리마에이치큐</t>
        </is>
      </c>
      <c r="C4935" s="2" t="inlineStr">
        <is>
          <t>코스닥</t>
        </is>
      </c>
      <c r="D4935" s="2" t="inlineStr">
        <is>
          <t>094840</t>
        </is>
      </c>
      <c r="E4935" s="3" t="inlineStr">
        <is>
          <t>[기재정정]기타주요경영사항              (자기주식 처분 결정 철회) (정정: 20260312)</t>
        </is>
      </c>
      <c r="F4935" s="3" t="inlineStr">
        <is>
          <t>슈프리마에이치큐</t>
        </is>
      </c>
      <c r="G4935" s="2" t="inlineStr">
        <is>
          <t>20260312001190</t>
        </is>
      </c>
      <c r="H4935" s="8">
        <f>HYPERLINK("https://dart.fss.or.kr/dsaf001/main.do?rcpNo=20260312001190", "공시열람")</f>
        <v/>
      </c>
    </row>
    <row r="4936">
      <c r="A4936" s="2" t="inlineStr">
        <is>
          <t>2026-03-12</t>
        </is>
      </c>
      <c r="B4936" s="3" t="inlineStr">
        <is>
          <t>에이직랜드</t>
        </is>
      </c>
      <c r="C4936" s="2" t="inlineStr">
        <is>
          <t>코스닥</t>
        </is>
      </c>
      <c r="D4936" s="2" t="inlineStr">
        <is>
          <t>445090</t>
        </is>
      </c>
      <c r="E4936" s="3" t="inlineStr">
        <is>
          <t>의결권대리행사권유참고서류</t>
        </is>
      </c>
      <c r="F4936" s="3" t="inlineStr">
        <is>
          <t>에이직랜드</t>
        </is>
      </c>
      <c r="G4936" s="2" t="inlineStr">
        <is>
          <t>20260312001221</t>
        </is>
      </c>
      <c r="H4936" s="8">
        <f>HYPERLINK("https://dart.fss.or.kr/dsaf001/main.do?rcpNo=20260312001221", "공시열람")</f>
        <v/>
      </c>
    </row>
    <row r="4937">
      <c r="A4937" s="2" t="inlineStr">
        <is>
          <t>2026-03-12</t>
        </is>
      </c>
      <c r="B4937" s="3" t="inlineStr">
        <is>
          <t>KB금융</t>
        </is>
      </c>
      <c r="C4937" s="2" t="inlineStr">
        <is>
          <t>코스피</t>
        </is>
      </c>
      <c r="D4937" s="2" t="inlineStr">
        <is>
          <t>105560</t>
        </is>
      </c>
      <c r="E4937" s="3" t="inlineStr">
        <is>
          <t>의결권대리행사권유참고서류</t>
        </is>
      </c>
      <c r="F4937" s="3" t="inlineStr">
        <is>
          <t>컨두잇</t>
        </is>
      </c>
      <c r="G4937" s="2" t="inlineStr">
        <is>
          <t>20260312001220</t>
        </is>
      </c>
      <c r="H4937" s="8">
        <f>HYPERLINK("https://dart.fss.or.kr/dsaf001/main.do?rcpNo=20260312001220", "공시열람")</f>
        <v/>
      </c>
    </row>
    <row r="4938">
      <c r="A4938" s="2" t="inlineStr">
        <is>
          <t>2026-03-12</t>
        </is>
      </c>
      <c r="B4938" s="3" t="inlineStr">
        <is>
          <t>동국생명과학</t>
        </is>
      </c>
      <c r="C4938" s="2" t="inlineStr">
        <is>
          <t>코스닥</t>
        </is>
      </c>
      <c r="D4938" s="2" t="inlineStr">
        <is>
          <t>303810</t>
        </is>
      </c>
      <c r="E4938" s="3" t="inlineStr">
        <is>
          <t xml:space="preserve">감사보고서제출              </t>
        </is>
      </c>
      <c r="F4938" s="3" t="inlineStr">
        <is>
          <t>동국생명과학</t>
        </is>
      </c>
      <c r="G4938" s="2" t="inlineStr">
        <is>
          <t>20260312901712</t>
        </is>
      </c>
      <c r="H4938" s="8">
        <f>HYPERLINK("https://dart.fss.or.kr/dsaf001/main.do?rcpNo=20260312901712", "공시열람")</f>
        <v/>
      </c>
    </row>
    <row r="4939">
      <c r="A4939" s="2" t="inlineStr">
        <is>
          <t>2026-03-12</t>
        </is>
      </c>
      <c r="B4939" s="3" t="inlineStr">
        <is>
          <t>KPX케미칼</t>
        </is>
      </c>
      <c r="C4939" s="2" t="inlineStr">
        <is>
          <t>코스피</t>
        </is>
      </c>
      <c r="D4939" s="2" t="inlineStr">
        <is>
          <t>025000</t>
        </is>
      </c>
      <c r="E4939" s="3" t="inlineStr">
        <is>
          <t xml:space="preserve">감사보고서제출              </t>
        </is>
      </c>
      <c r="F4939" s="3" t="inlineStr">
        <is>
          <t>KPX케미칼</t>
        </is>
      </c>
      <c r="G4939" s="2" t="inlineStr">
        <is>
          <t>20260312801844</t>
        </is>
      </c>
      <c r="H4939" s="8">
        <f>HYPERLINK("https://dart.fss.or.kr/dsaf001/main.do?rcpNo=20260312801844", "공시열람")</f>
        <v/>
      </c>
    </row>
    <row r="4940">
      <c r="A4940" s="2" t="inlineStr">
        <is>
          <t>2026-03-12</t>
        </is>
      </c>
      <c r="B4940" s="3" t="inlineStr">
        <is>
          <t>범한퓨얼셀</t>
        </is>
      </c>
      <c r="C4940" s="2" t="inlineStr">
        <is>
          <t>코스닥</t>
        </is>
      </c>
      <c r="D4940" s="2" t="inlineStr">
        <is>
          <t>382900</t>
        </is>
      </c>
      <c r="E4940" s="3" t="inlineStr">
        <is>
          <t>사외이사의선임ㆍ해임또는중도퇴임에관한신고</t>
        </is>
      </c>
      <c r="F4940" s="3" t="inlineStr">
        <is>
          <t>범한퓨얼셀</t>
        </is>
      </c>
      <c r="G4940" s="2" t="inlineStr">
        <is>
          <t>20260312001215</t>
        </is>
      </c>
      <c r="H4940" s="8">
        <f>HYPERLINK("https://dart.fss.or.kr/dsaf001/main.do?rcpNo=20260312001215", "공시열람")</f>
        <v/>
      </c>
    </row>
    <row r="4941">
      <c r="A4941" s="2" t="inlineStr">
        <is>
          <t>2026-03-12</t>
        </is>
      </c>
      <c r="B4941" s="3" t="inlineStr">
        <is>
          <t>한빛소프트</t>
        </is>
      </c>
      <c r="C4941" s="2" t="inlineStr">
        <is>
          <t>코스닥</t>
        </is>
      </c>
      <c r="D4941" s="2" t="inlineStr">
        <is>
          <t>047080</t>
        </is>
      </c>
      <c r="E4941" s="3" t="inlineStr">
        <is>
          <t xml:space="preserve">감사보고서제출              </t>
        </is>
      </c>
      <c r="F4941" s="3" t="inlineStr">
        <is>
          <t>한빛소프트</t>
        </is>
      </c>
      <c r="G4941" s="2" t="inlineStr">
        <is>
          <t>20260312901688</t>
        </is>
      </c>
      <c r="H4941" s="8">
        <f>HYPERLINK("https://dart.fss.or.kr/dsaf001/main.do?rcpNo=20260312901688", "공시열람")</f>
        <v/>
      </c>
    </row>
    <row r="4942">
      <c r="A4942" s="2" t="inlineStr">
        <is>
          <t>2026-03-12</t>
        </is>
      </c>
      <c r="B4942" s="3" t="inlineStr">
        <is>
          <t>HD현대중공업</t>
        </is>
      </c>
      <c r="C4942" s="2" t="inlineStr">
        <is>
          <t>코스피</t>
        </is>
      </c>
      <c r="D4942" s="2" t="inlineStr">
        <is>
          <t>329180</t>
        </is>
      </c>
      <c r="E4942" s="3" t="inlineStr">
        <is>
          <t>의결권대리행사권유참고서류</t>
        </is>
      </c>
      <c r="F4942" s="3" t="inlineStr">
        <is>
          <t>컨두잇</t>
        </is>
      </c>
      <c r="G4942" s="2" t="inlineStr">
        <is>
          <t>20260312001213</t>
        </is>
      </c>
      <c r="H4942" s="8">
        <f>HYPERLINK("https://dart.fss.or.kr/dsaf001/main.do?rcpNo=20260312001213", "공시열람")</f>
        <v/>
      </c>
    </row>
    <row r="4943">
      <c r="A4943" s="2" t="inlineStr">
        <is>
          <t>2026-03-12</t>
        </is>
      </c>
      <c r="B4943" s="3" t="inlineStr">
        <is>
          <t>미스토홀딩스</t>
        </is>
      </c>
      <c r="C4943" s="2" t="inlineStr">
        <is>
          <t>코스피</t>
        </is>
      </c>
      <c r="D4943" s="2" t="inlineStr">
        <is>
          <t>081660</t>
        </is>
      </c>
      <c r="E4943" s="3" t="inlineStr">
        <is>
          <t xml:space="preserve">감사보고서제출(자회사의 주요경영사항)              </t>
        </is>
      </c>
      <c r="F4943" s="3" t="inlineStr">
        <is>
          <t>미스토홀딩스</t>
        </is>
      </c>
      <c r="G4943" s="2" t="inlineStr">
        <is>
          <t>20260312801955</t>
        </is>
      </c>
      <c r="H4943" s="8">
        <f>HYPERLINK("https://dart.fss.or.kr/dsaf001/main.do?rcpNo=20260312801955", "공시열람")</f>
        <v/>
      </c>
    </row>
    <row r="4944">
      <c r="A4944" s="2" t="inlineStr">
        <is>
          <t>2026-03-12</t>
        </is>
      </c>
      <c r="B4944" s="3" t="inlineStr">
        <is>
          <t>한미반도체</t>
        </is>
      </c>
      <c r="C4944" s="2" t="inlineStr">
        <is>
          <t>코스피</t>
        </is>
      </c>
      <c r="D4944" s="2" t="inlineStr">
        <is>
          <t>042700</t>
        </is>
      </c>
      <c r="E4944" s="3" t="inlineStr">
        <is>
          <t xml:space="preserve">감사보고서제출              </t>
        </is>
      </c>
      <c r="F4944" s="3" t="inlineStr">
        <is>
          <t>한미반도체</t>
        </is>
      </c>
      <c r="G4944" s="2" t="inlineStr">
        <is>
          <t>20260312801896</t>
        </is>
      </c>
      <c r="H4944" s="8">
        <f>HYPERLINK("https://dart.fss.or.kr/dsaf001/main.do?rcpNo=20260312801896", "공시열람")</f>
        <v/>
      </c>
    </row>
    <row r="4945">
      <c r="A4945" s="2" t="inlineStr">
        <is>
          <t>2026-03-12</t>
        </is>
      </c>
      <c r="B4945" s="3" t="inlineStr">
        <is>
          <t>에이직랜드</t>
        </is>
      </c>
      <c r="C4945" s="2" t="inlineStr">
        <is>
          <t>코스닥</t>
        </is>
      </c>
      <c r="D4945" s="2" t="inlineStr">
        <is>
          <t>445090</t>
        </is>
      </c>
      <c r="E4945" s="3" t="inlineStr">
        <is>
          <t xml:space="preserve">매출액또는손익구조30%(대규모법인은15%)이상변동              </t>
        </is>
      </c>
      <c r="F4945" s="3" t="inlineStr">
        <is>
          <t>에이직랜드</t>
        </is>
      </c>
      <c r="G4945" s="2" t="inlineStr">
        <is>
          <t>20260312901794</t>
        </is>
      </c>
      <c r="H4945" s="8">
        <f>HYPERLINK("https://dart.fss.or.kr/dsaf001/main.do?rcpNo=20260312901794", "공시열람")</f>
        <v/>
      </c>
    </row>
    <row r="4946">
      <c r="A4946" s="2" t="inlineStr">
        <is>
          <t>2026-03-12</t>
        </is>
      </c>
      <c r="B4946" s="3" t="inlineStr">
        <is>
          <t>와이즈넛</t>
        </is>
      </c>
      <c r="C4946" s="2" t="inlineStr">
        <is>
          <t>코스닥</t>
        </is>
      </c>
      <c r="D4946" s="2" t="inlineStr">
        <is>
          <t>096250</t>
        </is>
      </c>
      <c r="E4946" s="3" t="inlineStr">
        <is>
          <t>의결권대리행사권유참고서류</t>
        </is>
      </c>
      <c r="F4946" s="3" t="inlineStr">
        <is>
          <t>와이즈넛</t>
        </is>
      </c>
      <c r="G4946" s="2" t="inlineStr">
        <is>
          <t>20260312001209</t>
        </is>
      </c>
      <c r="H4946" s="8">
        <f>HYPERLINK("https://dart.fss.or.kr/dsaf001/main.do?rcpNo=20260312001209", "공시열람")</f>
        <v/>
      </c>
    </row>
    <row r="4947">
      <c r="A4947" s="2" t="inlineStr">
        <is>
          <t>2026-03-12</t>
        </is>
      </c>
      <c r="B4947" s="3" t="inlineStr">
        <is>
          <t>신영증권</t>
        </is>
      </c>
      <c r="C4947" s="2" t="inlineStr">
        <is>
          <t>코스피</t>
        </is>
      </c>
      <c r="D4947" s="2" t="inlineStr">
        <is>
          <t>001720</t>
        </is>
      </c>
      <c r="E4947" s="3" t="inlineStr">
        <is>
          <t>투자설명서(일괄신고)</t>
        </is>
      </c>
      <c r="F4947" s="3" t="inlineStr">
        <is>
          <t>신영증권</t>
        </is>
      </c>
      <c r="G4947" s="2" t="inlineStr">
        <is>
          <t>20260312001207</t>
        </is>
      </c>
      <c r="H4947" s="8">
        <f>HYPERLINK("https://dart.fss.or.kr/dsaf001/main.do?rcpNo=20260312001207", "공시열람")</f>
        <v/>
      </c>
    </row>
    <row r="4948">
      <c r="A4948" s="2" t="inlineStr">
        <is>
          <t>2026-03-12</t>
        </is>
      </c>
      <c r="B4948" s="3" t="inlineStr">
        <is>
          <t>성호전자</t>
        </is>
      </c>
      <c r="C4948" s="2" t="inlineStr">
        <is>
          <t>코스닥</t>
        </is>
      </c>
      <c r="D4948" s="2" t="inlineStr">
        <is>
          <t>043260</t>
        </is>
      </c>
      <c r="E4948" s="3" t="inlineStr">
        <is>
          <t>의결권대리행사권유참고서류</t>
        </is>
      </c>
      <c r="F4948" s="3" t="inlineStr">
        <is>
          <t>성호전자</t>
        </is>
      </c>
      <c r="G4948" s="2" t="inlineStr">
        <is>
          <t>20260312001206</t>
        </is>
      </c>
      <c r="H4948" s="8">
        <f>HYPERLINK("https://dart.fss.or.kr/dsaf001/main.do?rcpNo=20260312001206", "공시열람")</f>
        <v/>
      </c>
    </row>
    <row r="4949">
      <c r="A4949" s="2" t="inlineStr">
        <is>
          <t>2026-03-12</t>
        </is>
      </c>
      <c r="B4949" s="3" t="inlineStr">
        <is>
          <t>졸스</t>
        </is>
      </c>
      <c r="C4949" s="2" t="inlineStr">
        <is>
          <t>코스닥</t>
        </is>
      </c>
      <c r="D4949" s="2" t="inlineStr">
        <is>
          <t>018700</t>
        </is>
      </c>
      <c r="E4949" s="3" t="inlineStr">
        <is>
          <t>주요사항보고서(감자결정)</t>
        </is>
      </c>
      <c r="F4949" s="3" t="inlineStr">
        <is>
          <t>졸스</t>
        </is>
      </c>
      <c r="G4949" s="2" t="inlineStr">
        <is>
          <t>20260312001173</t>
        </is>
      </c>
      <c r="H4949" s="8">
        <f>HYPERLINK("https://dart.fss.or.kr/dsaf001/main.do?rcpNo=20260312001173", "공시열람")</f>
        <v/>
      </c>
    </row>
    <row r="4950">
      <c r="A4950" s="2" t="inlineStr">
        <is>
          <t>2026-03-12</t>
        </is>
      </c>
      <c r="B4950" s="3" t="inlineStr">
        <is>
          <t>졸스</t>
        </is>
      </c>
      <c r="C4950" s="2" t="inlineStr">
        <is>
          <t>코스닥</t>
        </is>
      </c>
      <c r="D4950" s="2" t="inlineStr">
        <is>
          <t>018700</t>
        </is>
      </c>
      <c r="E4950" s="3" t="inlineStr">
        <is>
          <t>주권매매거래정지              (자본감소)</t>
        </is>
      </c>
      <c r="F4950" s="3" t="inlineStr">
        <is>
          <t>코스닥시장본부</t>
        </is>
      </c>
      <c r="G4950" s="2" t="inlineStr">
        <is>
          <t>20260312901945</t>
        </is>
      </c>
      <c r="H4950" s="8">
        <f>HYPERLINK("https://dart.fss.or.kr/dsaf001/main.do?rcpNo=20260312901945", "공시열람")</f>
        <v/>
      </c>
    </row>
    <row r="4951">
      <c r="A4951" s="2" t="inlineStr">
        <is>
          <t>2026-03-12</t>
        </is>
      </c>
      <c r="B4951" s="3" t="inlineStr">
        <is>
          <t>대성산업</t>
        </is>
      </c>
      <c r="C4951" s="2" t="inlineStr">
        <is>
          <t>코스피</t>
        </is>
      </c>
      <c r="D4951" s="2" t="inlineStr">
        <is>
          <t>128820</t>
        </is>
      </c>
      <c r="E4951" s="3" t="inlineStr">
        <is>
          <t>임원ㆍ주요주주특정증권등소유상황보고서</t>
        </is>
      </c>
      <c r="F4951" s="3" t="inlineStr">
        <is>
          <t>김신한</t>
        </is>
      </c>
      <c r="G4951" s="2" t="inlineStr">
        <is>
          <t>20260312001203</t>
        </is>
      </c>
      <c r="H4951" s="8">
        <f>HYPERLINK("https://dart.fss.or.kr/dsaf001/main.do?rcpNo=20260312001203", "공시열람")</f>
        <v/>
      </c>
    </row>
    <row r="4952">
      <c r="A4952" s="2" t="inlineStr">
        <is>
          <t>2026-03-12</t>
        </is>
      </c>
      <c r="B4952" s="3" t="inlineStr">
        <is>
          <t>와이바이오로직스</t>
        </is>
      </c>
      <c r="C4952" s="2" t="inlineStr">
        <is>
          <t>코스닥</t>
        </is>
      </c>
      <c r="D4952" s="2" t="inlineStr">
        <is>
          <t>338840</t>
        </is>
      </c>
      <c r="E4952" s="3" t="inlineStr">
        <is>
          <t xml:space="preserve">파생상품거래손실발생              </t>
        </is>
      </c>
      <c r="F4952" s="3" t="inlineStr">
        <is>
          <t>와이바이오로직스</t>
        </is>
      </c>
      <c r="G4952" s="2" t="inlineStr">
        <is>
          <t>20260312901660</t>
        </is>
      </c>
      <c r="H4952" s="8">
        <f>HYPERLINK("https://dart.fss.or.kr/dsaf001/main.do?rcpNo=20260312901660", "공시열람")</f>
        <v/>
      </c>
    </row>
    <row r="4953">
      <c r="A4953" s="2" t="inlineStr">
        <is>
          <t>2026-03-12</t>
        </is>
      </c>
      <c r="B4953" s="3" t="inlineStr">
        <is>
          <t>코웨이</t>
        </is>
      </c>
      <c r="C4953" s="2" t="inlineStr">
        <is>
          <t>코스피</t>
        </is>
      </c>
      <c r="D4953" s="2" t="inlineStr">
        <is>
          <t>021240</t>
        </is>
      </c>
      <c r="E4953" s="3" t="inlineStr">
        <is>
          <t>임원ㆍ주요주주특정증권등소유상황보고서</t>
        </is>
      </c>
      <c r="F4953" s="3" t="inlineStr">
        <is>
          <t>김순태</t>
        </is>
      </c>
      <c r="G4953" s="2" t="inlineStr">
        <is>
          <t>20260312001202</t>
        </is>
      </c>
      <c r="H4953" s="8">
        <f>HYPERLINK("https://dart.fss.or.kr/dsaf001/main.do?rcpNo=20260312001202", "공시열람")</f>
        <v/>
      </c>
    </row>
    <row r="4954">
      <c r="A4954" s="2" t="inlineStr">
        <is>
          <t>2026-03-12</t>
        </is>
      </c>
      <c r="B4954" s="3" t="inlineStr">
        <is>
          <t>유진기업</t>
        </is>
      </c>
      <c r="C4954" s="2" t="inlineStr">
        <is>
          <t>코스닥</t>
        </is>
      </c>
      <c r="D4954" s="2" t="inlineStr">
        <is>
          <t>023410</t>
        </is>
      </c>
      <c r="E4954" s="3" t="inlineStr">
        <is>
          <t xml:space="preserve">현금ㆍ현물배당을위한주주명부폐쇄(기준일)결정              </t>
        </is>
      </c>
      <c r="F4954" s="3" t="inlineStr">
        <is>
          <t>유진기업</t>
        </is>
      </c>
      <c r="G4954" s="2" t="inlineStr">
        <is>
          <t>20260312901968</t>
        </is>
      </c>
      <c r="H4954" s="8">
        <f>HYPERLINK("https://dart.fss.or.kr/dsaf001/main.do?rcpNo=20260312901968", "공시열람")</f>
        <v/>
      </c>
    </row>
    <row r="4955">
      <c r="A4955" s="2" t="inlineStr">
        <is>
          <t>2026-03-12 (정정: 2026-06-22)</t>
        </is>
      </c>
      <c r="B4955" s="3" t="inlineStr">
        <is>
          <t>원일티엔아이</t>
        </is>
      </c>
      <c r="C4955" s="2" t="inlineStr">
        <is>
          <t>코스닥</t>
        </is>
      </c>
      <c r="D4955" s="2" t="inlineStr">
        <is>
          <t>136150</t>
        </is>
      </c>
      <c r="E4955" s="3" t="inlineStr">
        <is>
          <t>소송등의제기ㆍ신청(일정금액이상의청구)               (정정: 20260622)</t>
        </is>
      </c>
      <c r="F4955" s="3" t="inlineStr">
        <is>
          <t>원일티엔아이</t>
        </is>
      </c>
      <c r="G4955" s="2" t="inlineStr">
        <is>
          <t>20260622900715</t>
        </is>
      </c>
      <c r="H4955" s="8">
        <f>HYPERLINK("https://dart.fss.or.kr/dsaf001/main.do?rcpNo=20260622900715", "공시열람")</f>
        <v/>
      </c>
    </row>
    <row r="4956">
      <c r="A4956" s="2" t="inlineStr">
        <is>
          <t>2026-03-12</t>
        </is>
      </c>
      <c r="B4956" s="3" t="inlineStr">
        <is>
          <t>태광산업</t>
        </is>
      </c>
      <c r="C4956" s="2" t="inlineStr">
        <is>
          <t>코스피</t>
        </is>
      </c>
      <c r="D4956" s="2" t="inlineStr">
        <is>
          <t>003240</t>
        </is>
      </c>
      <c r="E4956" s="3" t="inlineStr">
        <is>
          <t xml:space="preserve">공정거래자율준수프로그램운영현황(안내공시)              </t>
        </is>
      </c>
      <c r="F4956" s="3" t="inlineStr">
        <is>
          <t>태광산업</t>
        </is>
      </c>
      <c r="G4956" s="2" t="inlineStr">
        <is>
          <t>20260312801737</t>
        </is>
      </c>
      <c r="H4956" s="8">
        <f>HYPERLINK("https://dart.fss.or.kr/dsaf001/main.do?rcpNo=20260312801737", "공시열람")</f>
        <v/>
      </c>
    </row>
    <row r="4957">
      <c r="A4957" s="2" t="inlineStr">
        <is>
          <t>2026-03-12</t>
        </is>
      </c>
      <c r="B4957" s="3" t="inlineStr">
        <is>
          <t>롯데지주</t>
        </is>
      </c>
      <c r="C4957" s="2" t="inlineStr">
        <is>
          <t>코스피</t>
        </is>
      </c>
      <c r="D4957" s="2" t="inlineStr">
        <is>
          <t>004990</t>
        </is>
      </c>
      <c r="E4957" s="3" t="inlineStr">
        <is>
          <t xml:space="preserve">감사보고서제출(자회사의 주요경영사항)              </t>
        </is>
      </c>
      <c r="F4957" s="3" t="inlineStr">
        <is>
          <t>롯데지주</t>
        </is>
      </c>
      <c r="G4957" s="2" t="inlineStr">
        <is>
          <t>20260312801939</t>
        </is>
      </c>
      <c r="H4957" s="8">
        <f>HYPERLINK("https://dart.fss.or.kr/dsaf001/main.do?rcpNo=20260312801939", "공시열람")</f>
        <v/>
      </c>
    </row>
    <row r="4958">
      <c r="A4958" s="2" t="inlineStr">
        <is>
          <t>2026-03-12</t>
        </is>
      </c>
      <c r="B4958" s="3" t="inlineStr">
        <is>
          <t>에스팀</t>
        </is>
      </c>
      <c r="C4958" s="2" t="inlineStr">
        <is>
          <t>코스닥</t>
        </is>
      </c>
      <c r="D4958" s="2" t="inlineStr">
        <is>
          <t>458350</t>
        </is>
      </c>
      <c r="E4958" s="3" t="inlineStr">
        <is>
          <t>임원ㆍ주요주주특정증권등소유상황보고서</t>
        </is>
      </c>
      <c r="F4958" s="3" t="inlineStr">
        <is>
          <t>현수진</t>
        </is>
      </c>
      <c r="G4958" s="2" t="inlineStr">
        <is>
          <t>20260312001192</t>
        </is>
      </c>
      <c r="H4958" s="8">
        <f>HYPERLINK("https://dart.fss.or.kr/dsaf001/main.do?rcpNo=20260312001192", "공시열람")</f>
        <v/>
      </c>
    </row>
    <row r="4959">
      <c r="A4959" s="2" t="inlineStr">
        <is>
          <t>2026-03-12</t>
        </is>
      </c>
      <c r="B4959" s="3" t="inlineStr">
        <is>
          <t>풍산홀딩스</t>
        </is>
      </c>
      <c r="C4959" s="2" t="inlineStr">
        <is>
          <t>코스피</t>
        </is>
      </c>
      <c r="D4959" s="2" t="inlineStr">
        <is>
          <t>005810</t>
        </is>
      </c>
      <c r="E4959" s="3" t="inlineStr">
        <is>
          <t xml:space="preserve">감사보고서제출(자회사의 주요경영사항)              </t>
        </is>
      </c>
      <c r="F4959" s="3" t="inlineStr">
        <is>
          <t>풍산홀딩스</t>
        </is>
      </c>
      <c r="G4959" s="2" t="inlineStr">
        <is>
          <t>20260312801899</t>
        </is>
      </c>
      <c r="H4959" s="8">
        <f>HYPERLINK("https://dart.fss.or.kr/dsaf001/main.do?rcpNo=20260312801899", "공시열람")</f>
        <v/>
      </c>
    </row>
    <row r="4960">
      <c r="A4960" s="2" t="inlineStr">
        <is>
          <t>2026-03-12</t>
        </is>
      </c>
      <c r="B4960" s="3" t="inlineStr">
        <is>
          <t>현대자동차</t>
        </is>
      </c>
      <c r="C4960" s="2" t="inlineStr">
        <is>
          <t>코스피</t>
        </is>
      </c>
      <c r="D4960" s="2" t="inlineStr">
        <is>
          <t>005380</t>
        </is>
      </c>
      <c r="E4960" s="3" t="inlineStr">
        <is>
          <t>의결권대리행사권유참고서류</t>
        </is>
      </c>
      <c r="F4960" s="3" t="inlineStr">
        <is>
          <t>컨두잇</t>
        </is>
      </c>
      <c r="G4960" s="2" t="inlineStr">
        <is>
          <t>20260312001188</t>
        </is>
      </c>
      <c r="H4960" s="8">
        <f>HYPERLINK("https://dart.fss.or.kr/dsaf001/main.do?rcpNo=20260312001188", "공시열람")</f>
        <v/>
      </c>
    </row>
    <row r="4961">
      <c r="A4961" s="2" t="inlineStr">
        <is>
          <t>2026-03-12</t>
        </is>
      </c>
      <c r="B4961" s="3" t="inlineStr">
        <is>
          <t>더블유에스아이</t>
        </is>
      </c>
      <c r="C4961" s="2" t="inlineStr">
        <is>
          <t>코스닥</t>
        </is>
      </c>
      <c r="D4961" s="2" t="inlineStr">
        <is>
          <t>299170</t>
        </is>
      </c>
      <c r="E4961" s="3" t="inlineStr">
        <is>
          <t>의결권대리행사권유참고서류</t>
        </is>
      </c>
      <c r="F4961" s="3" t="inlineStr">
        <is>
          <t>더블유에스아이</t>
        </is>
      </c>
      <c r="G4961" s="2" t="inlineStr">
        <is>
          <t>20260312001182</t>
        </is>
      </c>
      <c r="H4961" s="8">
        <f>HYPERLINK("https://dart.fss.or.kr/dsaf001/main.do?rcpNo=20260312001182", "공시열람")</f>
        <v/>
      </c>
    </row>
    <row r="4962">
      <c r="A4962" s="2" t="inlineStr">
        <is>
          <t>2026-03-12</t>
        </is>
      </c>
      <c r="B4962" s="3" t="inlineStr">
        <is>
          <t>롯데쇼핑</t>
        </is>
      </c>
      <c r="C4962" s="2" t="inlineStr">
        <is>
          <t>코스피</t>
        </is>
      </c>
      <c r="D4962" s="2" t="inlineStr">
        <is>
          <t>023530</t>
        </is>
      </c>
      <c r="E4962" s="3" t="inlineStr">
        <is>
          <t xml:space="preserve">감사보고서제출              </t>
        </is>
      </c>
      <c r="F4962" s="3" t="inlineStr">
        <is>
          <t>롯데쇼핑</t>
        </is>
      </c>
      <c r="G4962" s="2" t="inlineStr">
        <is>
          <t>20260312801872</t>
        </is>
      </c>
      <c r="H4962" s="8">
        <f>HYPERLINK("https://dart.fss.or.kr/dsaf001/main.do?rcpNo=20260312801872", "공시열람")</f>
        <v/>
      </c>
    </row>
    <row r="4963">
      <c r="A4963" s="2" t="inlineStr">
        <is>
          <t>2026-03-12</t>
        </is>
      </c>
      <c r="B4963" s="3" t="inlineStr">
        <is>
          <t>영원무역</t>
        </is>
      </c>
      <c r="C4963" s="2" t="inlineStr">
        <is>
          <t>코스피</t>
        </is>
      </c>
      <c r="D4963" s="2" t="inlineStr">
        <is>
          <t>111770</t>
        </is>
      </c>
      <c r="E4963" s="3" t="inlineStr">
        <is>
          <t>의결권대리행사권유참고서류</t>
        </is>
      </c>
      <c r="F4963" s="3" t="inlineStr">
        <is>
          <t>영원무역</t>
        </is>
      </c>
      <c r="G4963" s="2" t="inlineStr">
        <is>
          <t>20260312001181</t>
        </is>
      </c>
      <c r="H4963" s="8">
        <f>HYPERLINK("https://dart.fss.or.kr/dsaf001/main.do?rcpNo=20260312001181", "공시열람")</f>
        <v/>
      </c>
    </row>
    <row r="4964">
      <c r="A4964" s="2" t="inlineStr">
        <is>
          <t>2026-03-12</t>
        </is>
      </c>
      <c r="B4964" s="3" t="inlineStr">
        <is>
          <t>와이지엔터테인먼트</t>
        </is>
      </c>
      <c r="C4964" s="2" t="inlineStr">
        <is>
          <t>코스닥</t>
        </is>
      </c>
      <c r="D4964" s="2" t="inlineStr">
        <is>
          <t>122870</t>
        </is>
      </c>
      <c r="E4964" s="3" t="inlineStr">
        <is>
          <t>[첨부정정]의결권대리행사권유참고서류</t>
        </is>
      </c>
      <c r="F4964" s="3" t="inlineStr">
        <is>
          <t>와이지엔터테인먼트</t>
        </is>
      </c>
      <c r="G4964" s="2" t="inlineStr">
        <is>
          <t>20260312001179</t>
        </is>
      </c>
      <c r="H4964" s="8">
        <f>HYPERLINK("https://dart.fss.or.kr/dsaf001/main.do?rcpNo=20260312001179", "공시열람")</f>
        <v/>
      </c>
    </row>
    <row r="4965">
      <c r="A4965" s="2" t="inlineStr">
        <is>
          <t>2026-03-12</t>
        </is>
      </c>
      <c r="B4965" s="3" t="inlineStr">
        <is>
          <t>환인제약</t>
        </is>
      </c>
      <c r="C4965" s="2" t="inlineStr">
        <is>
          <t>코스피</t>
        </is>
      </c>
      <c r="D4965" s="2" t="inlineStr">
        <is>
          <t>016580</t>
        </is>
      </c>
      <c r="E4965" s="3" t="inlineStr">
        <is>
          <t xml:space="preserve">감사보고서제출              </t>
        </is>
      </c>
      <c r="F4965" s="3" t="inlineStr">
        <is>
          <t>환인제약</t>
        </is>
      </c>
      <c r="G4965" s="2" t="inlineStr">
        <is>
          <t>20260312801803</t>
        </is>
      </c>
      <c r="H4965" s="8">
        <f>HYPERLINK("https://dart.fss.or.kr/dsaf001/main.do?rcpNo=20260312801803", "공시열람")</f>
        <v/>
      </c>
    </row>
    <row r="4966">
      <c r="A4966" s="2" t="inlineStr">
        <is>
          <t>2026-03-12</t>
        </is>
      </c>
      <c r="B4966" s="3" t="inlineStr">
        <is>
          <t>KH바텍</t>
        </is>
      </c>
      <c r="C4966" s="2" t="inlineStr">
        <is>
          <t>코스닥</t>
        </is>
      </c>
      <c r="D4966" s="2" t="inlineStr">
        <is>
          <t>060720</t>
        </is>
      </c>
      <c r="E4966" s="3" t="inlineStr">
        <is>
          <t>의결권대리행사권유참고서류</t>
        </is>
      </c>
      <c r="F4966" s="3" t="inlineStr">
        <is>
          <t>KH바텍</t>
        </is>
      </c>
      <c r="G4966" s="2" t="inlineStr">
        <is>
          <t>20260312001177</t>
        </is>
      </c>
      <c r="H4966" s="8">
        <f>HYPERLINK("https://dart.fss.or.kr/dsaf001/main.do?rcpNo=20260312001177", "공시열람")</f>
        <v/>
      </c>
    </row>
    <row r="4967">
      <c r="A4967" s="2" t="inlineStr">
        <is>
          <t>2026-03-12</t>
        </is>
      </c>
      <c r="B4967" s="3" t="inlineStr">
        <is>
          <t>메디앙스</t>
        </is>
      </c>
      <c r="C4967" s="2" t="inlineStr">
        <is>
          <t>코스닥</t>
        </is>
      </c>
      <c r="D4967" s="2" t="inlineStr">
        <is>
          <t>014100</t>
        </is>
      </c>
      <c r="E4967" s="3" t="inlineStr">
        <is>
          <t>의결권대리행사권유참고서류</t>
        </is>
      </c>
      <c r="F4967" s="3" t="inlineStr">
        <is>
          <t>메디앙스</t>
        </is>
      </c>
      <c r="G4967" s="2" t="inlineStr">
        <is>
          <t>20260312001176</t>
        </is>
      </c>
      <c r="H4967" s="8">
        <f>HYPERLINK("https://dart.fss.or.kr/dsaf001/main.do?rcpNo=20260312001176", "공시열람")</f>
        <v/>
      </c>
    </row>
    <row r="4968">
      <c r="A4968" s="2" t="inlineStr">
        <is>
          <t>2026-03-12 (정정: 2026-03-12)</t>
        </is>
      </c>
      <c r="B4968" s="3" t="inlineStr">
        <is>
          <t>보라티알</t>
        </is>
      </c>
      <c r="C4968" s="2" t="inlineStr">
        <is>
          <t>코스닥</t>
        </is>
      </c>
      <c r="D4968" s="2" t="inlineStr">
        <is>
          <t>250000</t>
        </is>
      </c>
      <c r="E4968" s="3" t="inlineStr">
        <is>
          <t>[기재정정]의결권대리행사권유참고서류</t>
        </is>
      </c>
      <c r="F4968" s="3" t="inlineStr">
        <is>
          <t>보라티알</t>
        </is>
      </c>
      <c r="G4968" s="2" t="inlineStr">
        <is>
          <t>20260312001175</t>
        </is>
      </c>
      <c r="H4968" s="8">
        <f>HYPERLINK("https://dart.fss.or.kr/dsaf001/main.do?rcpNo=20260312001175", "공시열람")</f>
        <v/>
      </c>
    </row>
    <row r="4969">
      <c r="A4969" s="2" t="inlineStr">
        <is>
          <t>2026-03-12</t>
        </is>
      </c>
      <c r="B4969" s="3" t="inlineStr">
        <is>
          <t>메가스터디</t>
        </is>
      </c>
      <c r="C4969" s="2" t="inlineStr">
        <is>
          <t>코스닥</t>
        </is>
      </c>
      <c r="D4969" s="2" t="inlineStr">
        <is>
          <t>072870</t>
        </is>
      </c>
      <c r="E4969" s="3" t="inlineStr">
        <is>
          <t xml:space="preserve">매출액또는손익구조30%(대규모법인은15%)이상변동              </t>
        </is>
      </c>
      <c r="F4969" s="3" t="inlineStr">
        <is>
          <t>메가스터디</t>
        </is>
      </c>
      <c r="G4969" s="2" t="inlineStr">
        <is>
          <t>20260312901454</t>
        </is>
      </c>
      <c r="H4969" s="8">
        <f>HYPERLINK("https://dart.fss.or.kr/dsaf001/main.do?rcpNo=20260312901454", "공시열람")</f>
        <v/>
      </c>
    </row>
    <row r="4970">
      <c r="A4970" s="2" t="inlineStr">
        <is>
          <t>2026-03-12</t>
        </is>
      </c>
      <c r="B4970" s="3" t="inlineStr">
        <is>
          <t>슈프리마에이치큐</t>
        </is>
      </c>
      <c r="C4970" s="2" t="inlineStr">
        <is>
          <t>코스닥</t>
        </is>
      </c>
      <c r="D4970" s="2" t="inlineStr">
        <is>
          <t>094840</t>
        </is>
      </c>
      <c r="E4970" s="3" t="inlineStr">
        <is>
          <t>의결권대리행사권유참고서류</t>
        </is>
      </c>
      <c r="F4970" s="3" t="inlineStr">
        <is>
          <t>슈프리마에이치큐</t>
        </is>
      </c>
      <c r="G4970" s="2" t="inlineStr">
        <is>
          <t>20260312001170</t>
        </is>
      </c>
      <c r="H4970" s="8">
        <f>HYPERLINK("https://dart.fss.or.kr/dsaf001/main.do?rcpNo=20260312001170", "공시열람")</f>
        <v/>
      </c>
    </row>
    <row r="4971">
      <c r="A4971" s="2" t="inlineStr">
        <is>
          <t>2026-03-12</t>
        </is>
      </c>
      <c r="B4971" s="3" t="inlineStr">
        <is>
          <t>미디어젠</t>
        </is>
      </c>
      <c r="C4971" s="2" t="inlineStr">
        <is>
          <t>코스닥</t>
        </is>
      </c>
      <c r="D4971" s="2" t="inlineStr">
        <is>
          <t>279600</t>
        </is>
      </c>
      <c r="E4971" s="3" t="inlineStr">
        <is>
          <t xml:space="preserve">매출액또는손익구조30%(대규모법인은15%)이상변동              </t>
        </is>
      </c>
      <c r="F4971" s="3" t="inlineStr">
        <is>
          <t>미디어젠</t>
        </is>
      </c>
      <c r="G4971" s="2" t="inlineStr">
        <is>
          <t>20260312901789</t>
        </is>
      </c>
      <c r="H4971" s="8">
        <f>HYPERLINK("https://dart.fss.or.kr/dsaf001/main.do?rcpNo=20260312901789", "공시열람")</f>
        <v/>
      </c>
    </row>
    <row r="4972">
      <c r="A4972" s="2" t="inlineStr">
        <is>
          <t>2026-03-12</t>
        </is>
      </c>
      <c r="B4972" s="3" t="inlineStr">
        <is>
          <t>영원무역홀딩스</t>
        </is>
      </c>
      <c r="C4972" s="2" t="inlineStr">
        <is>
          <t>코스피</t>
        </is>
      </c>
      <c r="D4972" s="2" t="inlineStr">
        <is>
          <t>009970</t>
        </is>
      </c>
      <c r="E4972" s="3" t="inlineStr">
        <is>
          <t>의결권대리행사권유참고서류</t>
        </is>
      </c>
      <c r="F4972" s="3" t="inlineStr">
        <is>
          <t>영원무역홀딩스</t>
        </is>
      </c>
      <c r="G4972" s="2" t="inlineStr">
        <is>
          <t>20260312001169</t>
        </is>
      </c>
      <c r="H4972" s="8">
        <f>HYPERLINK("https://dart.fss.or.kr/dsaf001/main.do?rcpNo=20260312001169", "공시열람")</f>
        <v/>
      </c>
    </row>
    <row r="4973">
      <c r="A4973" s="2" t="inlineStr">
        <is>
          <t>2026-03-12</t>
        </is>
      </c>
      <c r="B4973" s="3" t="inlineStr">
        <is>
          <t>한화에어로스페이스</t>
        </is>
      </c>
      <c r="C4973" s="2" t="inlineStr">
        <is>
          <t>코스피</t>
        </is>
      </c>
      <c r="D4973" s="2" t="inlineStr">
        <is>
          <t>012450</t>
        </is>
      </c>
      <c r="E4973" s="3" t="inlineStr">
        <is>
          <t>의결권대리행사권유참고서류</t>
        </is>
      </c>
      <c r="F4973" s="3" t="inlineStr">
        <is>
          <t>컨두잇</t>
        </is>
      </c>
      <c r="G4973" s="2" t="inlineStr">
        <is>
          <t>20260312001168</t>
        </is>
      </c>
      <c r="H4973" s="8">
        <f>HYPERLINK("https://dart.fss.or.kr/dsaf001/main.do?rcpNo=20260312001168", "공시열람")</f>
        <v/>
      </c>
    </row>
    <row r="4974">
      <c r="A4974" s="2" t="inlineStr">
        <is>
          <t>2026-03-12</t>
        </is>
      </c>
      <c r="B4974" s="3" t="inlineStr">
        <is>
          <t>다산네트웍스</t>
        </is>
      </c>
      <c r="C4974" s="2" t="inlineStr">
        <is>
          <t>코스닥</t>
        </is>
      </c>
      <c r="D4974" s="2" t="inlineStr">
        <is>
          <t>039560</t>
        </is>
      </c>
      <c r="E4974" s="3" t="inlineStr">
        <is>
          <t>의결권대리행사권유참고서류</t>
        </is>
      </c>
      <c r="F4974" s="3" t="inlineStr">
        <is>
          <t>다산네트웍스</t>
        </is>
      </c>
      <c r="G4974" s="2" t="inlineStr">
        <is>
          <t>20260312001167</t>
        </is>
      </c>
      <c r="H4974" s="8">
        <f>HYPERLINK("https://dart.fss.or.kr/dsaf001/main.do?rcpNo=20260312001167", "공시열람")</f>
        <v/>
      </c>
    </row>
    <row r="4975">
      <c r="A4975" s="2" t="inlineStr">
        <is>
          <t>2026-03-12</t>
        </is>
      </c>
      <c r="B4975" s="3" t="inlineStr">
        <is>
          <t>티에이치엔</t>
        </is>
      </c>
      <c r="C4975" s="2" t="inlineStr">
        <is>
          <t>코스피</t>
        </is>
      </c>
      <c r="D4975" s="2" t="inlineStr">
        <is>
          <t>019180</t>
        </is>
      </c>
      <c r="E4975" s="3" t="inlineStr">
        <is>
          <t xml:space="preserve">매출액또는손익구조30%(대규모법인은15%)이상변경              </t>
        </is>
      </c>
      <c r="F4975" s="3" t="inlineStr">
        <is>
          <t>티에이치엔</t>
        </is>
      </c>
      <c r="G4975" s="2" t="inlineStr">
        <is>
          <t>20260312801820</t>
        </is>
      </c>
      <c r="H4975" s="8">
        <f>HYPERLINK("https://dart.fss.or.kr/dsaf001/main.do?rcpNo=20260312801820", "공시열람")</f>
        <v/>
      </c>
    </row>
    <row r="4976">
      <c r="A4976" s="2" t="inlineStr">
        <is>
          <t>2026-03-12</t>
        </is>
      </c>
      <c r="B4976" s="3" t="inlineStr">
        <is>
          <t>씨엑스아이</t>
        </is>
      </c>
      <c r="C4976" s="2" t="inlineStr">
        <is>
          <t>코스닥</t>
        </is>
      </c>
      <c r="D4976" s="2" t="inlineStr">
        <is>
          <t>900120</t>
        </is>
      </c>
      <c r="E4976" s="3" t="inlineStr">
        <is>
          <t>임원ㆍ주요주주특정증권등소유상황보고서</t>
        </is>
      </c>
      <c r="F4976" s="3" t="inlineStr">
        <is>
          <t>LIN JINSHENG</t>
        </is>
      </c>
      <c r="G4976" s="2" t="inlineStr">
        <is>
          <t>20260312001162</t>
        </is>
      </c>
      <c r="H4976" s="8">
        <f>HYPERLINK("https://dart.fss.or.kr/dsaf001/main.do?rcpNo=20260312001162", "공시열람")</f>
        <v/>
      </c>
    </row>
    <row r="4977">
      <c r="A4977" s="2" t="inlineStr">
        <is>
          <t>2026-03-12 (정정: 2026-03-23)</t>
        </is>
      </c>
      <c r="B4977" s="3" t="inlineStr">
        <is>
          <t>팜젠사이언스</t>
        </is>
      </c>
      <c r="C4977" s="2" t="inlineStr">
        <is>
          <t>코스피</t>
        </is>
      </c>
      <c r="D4977" s="2" t="inlineStr">
        <is>
          <t>004720</t>
        </is>
      </c>
      <c r="E4977" s="3" t="inlineStr">
        <is>
          <t>의결권대리행사권유참고서류 (정정: 20260323)</t>
        </is>
      </c>
      <c r="F4977" s="3" t="inlineStr">
        <is>
          <t>팜젠사이언스</t>
        </is>
      </c>
      <c r="G4977" s="2" t="inlineStr">
        <is>
          <t>20260323001453</t>
        </is>
      </c>
      <c r="H4977" s="8">
        <f>HYPERLINK("https://dart.fss.or.kr/dsaf001/main.do?rcpNo=20260323001453", "공시열람")</f>
        <v/>
      </c>
    </row>
    <row r="4978">
      <c r="A4978" s="2" t="inlineStr">
        <is>
          <t>2026-03-12</t>
        </is>
      </c>
      <c r="B4978" s="3" t="inlineStr">
        <is>
          <t>강스템바이오텍</t>
        </is>
      </c>
      <c r="C4978" s="2" t="inlineStr">
        <is>
          <t>코스닥</t>
        </is>
      </c>
      <c r="D4978" s="2" t="inlineStr">
        <is>
          <t>217730</t>
        </is>
      </c>
      <c r="E4978" s="3" t="inlineStr">
        <is>
          <t>의결권대리행사권유참고서류</t>
        </is>
      </c>
      <c r="F4978" s="3" t="inlineStr">
        <is>
          <t>강스템바이오텍</t>
        </is>
      </c>
      <c r="G4978" s="2" t="inlineStr">
        <is>
          <t>20260312001158</t>
        </is>
      </c>
      <c r="H4978" s="8">
        <f>HYPERLINK("https://dart.fss.or.kr/dsaf001/main.do?rcpNo=20260312001158", "공시열람")</f>
        <v/>
      </c>
    </row>
    <row r="4979">
      <c r="A4979" s="2" t="inlineStr">
        <is>
          <t>2026-03-12</t>
        </is>
      </c>
      <c r="B4979" s="3" t="inlineStr">
        <is>
          <t>SK하이닉스</t>
        </is>
      </c>
      <c r="C4979" s="2" t="inlineStr">
        <is>
          <t>코스피</t>
        </is>
      </c>
      <c r="D4979" s="2" t="inlineStr">
        <is>
          <t>000660</t>
        </is>
      </c>
      <c r="E4979" s="3" t="inlineStr">
        <is>
          <t>의결권대리행사권유참고서류</t>
        </is>
      </c>
      <c r="F4979" s="3" t="inlineStr">
        <is>
          <t>컨두잇</t>
        </is>
      </c>
      <c r="G4979" s="2" t="inlineStr">
        <is>
          <t>20260312001157</t>
        </is>
      </c>
      <c r="H4979" s="8">
        <f>HYPERLINK("https://dart.fss.or.kr/dsaf001/main.do?rcpNo=20260312001157", "공시열람")</f>
        <v/>
      </c>
    </row>
    <row r="4980">
      <c r="A4980" s="2" t="inlineStr">
        <is>
          <t>2026-03-12</t>
        </is>
      </c>
      <c r="B4980" s="3" t="inlineStr">
        <is>
          <t>아주IB투자</t>
        </is>
      </c>
      <c r="C4980" s="2" t="inlineStr">
        <is>
          <t>코스닥</t>
        </is>
      </c>
      <c r="D4980" s="2" t="inlineStr">
        <is>
          <t>027360</t>
        </is>
      </c>
      <c r="E4980" s="3" t="inlineStr">
        <is>
          <t>의결권대리행사권유참고서류</t>
        </is>
      </c>
      <c r="F4980" s="3" t="inlineStr">
        <is>
          <t>아주IB투자</t>
        </is>
      </c>
      <c r="G4980" s="2" t="inlineStr">
        <is>
          <t>20260312001148</t>
        </is>
      </c>
      <c r="H4980" s="8">
        <f>HYPERLINK("https://dart.fss.or.kr/dsaf001/main.do?rcpNo=20260312001148", "공시열람")</f>
        <v/>
      </c>
    </row>
    <row r="4981">
      <c r="A4981" s="2" t="inlineStr">
        <is>
          <t>2026-03-12</t>
        </is>
      </c>
      <c r="B4981" s="3" t="inlineStr">
        <is>
          <t>인선이엔티</t>
        </is>
      </c>
      <c r="C4981" s="2" t="inlineStr">
        <is>
          <t>코스닥</t>
        </is>
      </c>
      <c r="D4981" s="2" t="inlineStr">
        <is>
          <t>060150</t>
        </is>
      </c>
      <c r="E4981" s="3" t="inlineStr">
        <is>
          <t xml:space="preserve">[기재정정]매출액또는손익구조30%(대규모법인은15%)이상변동              </t>
        </is>
      </c>
      <c r="F4981" s="3" t="inlineStr">
        <is>
          <t>인선이엔티</t>
        </is>
      </c>
      <c r="G4981" s="2" t="inlineStr">
        <is>
          <t>20260312901439</t>
        </is>
      </c>
      <c r="H4981" s="8">
        <f>HYPERLINK("https://dart.fss.or.kr/dsaf001/main.do?rcpNo=20260312901439", "공시열람")</f>
        <v/>
      </c>
    </row>
    <row r="4982">
      <c r="A4982" s="2" t="inlineStr">
        <is>
          <t>2026-03-12</t>
        </is>
      </c>
      <c r="B4982" s="3" t="inlineStr">
        <is>
          <t>램테크놀러지</t>
        </is>
      </c>
      <c r="C4982" s="2" t="inlineStr">
        <is>
          <t>코스닥</t>
        </is>
      </c>
      <c r="D4982" s="2" t="inlineStr">
        <is>
          <t>171010</t>
        </is>
      </c>
      <c r="E4982" s="3" t="inlineStr">
        <is>
          <t>의결권대리행사권유참고서류</t>
        </is>
      </c>
      <c r="F4982" s="3" t="inlineStr">
        <is>
          <t>램테크놀러지</t>
        </is>
      </c>
      <c r="G4982" s="2" t="inlineStr">
        <is>
          <t>20260312001147</t>
        </is>
      </c>
      <c r="H4982" s="8">
        <f>HYPERLINK("https://dart.fss.or.kr/dsaf001/main.do?rcpNo=20260312001147", "공시열람")</f>
        <v/>
      </c>
    </row>
    <row r="4983">
      <c r="A4983" s="2" t="inlineStr">
        <is>
          <t>2026-03-12</t>
        </is>
      </c>
      <c r="B4983" s="3" t="inlineStr">
        <is>
          <t>일지테크</t>
        </is>
      </c>
      <c r="C4983" s="2" t="inlineStr">
        <is>
          <t>코스닥</t>
        </is>
      </c>
      <c r="D4983" s="2" t="inlineStr">
        <is>
          <t>019540</t>
        </is>
      </c>
      <c r="E4983" s="3" t="inlineStr">
        <is>
          <t xml:space="preserve">감사보고서제출              </t>
        </is>
      </c>
      <c r="F4983" s="3" t="inlineStr">
        <is>
          <t>일지테크</t>
        </is>
      </c>
      <c r="G4983" s="2" t="inlineStr">
        <is>
          <t>20260312901674</t>
        </is>
      </c>
      <c r="H4983" s="8">
        <f>HYPERLINK("https://dart.fss.or.kr/dsaf001/main.do?rcpNo=20260312901674", "공시열람")</f>
        <v/>
      </c>
    </row>
    <row r="4984">
      <c r="A4984" s="2" t="inlineStr">
        <is>
          <t>2026-03-12</t>
        </is>
      </c>
      <c r="B4984" s="3" t="inlineStr">
        <is>
          <t>신한지주</t>
        </is>
      </c>
      <c r="C4984" s="2" t="inlineStr">
        <is>
          <t>코스피</t>
        </is>
      </c>
      <c r="D4984" s="2" t="inlineStr">
        <is>
          <t>055550</t>
        </is>
      </c>
      <c r="E4984" s="3" t="inlineStr">
        <is>
          <t>의결권대리행사권유참고서류</t>
        </is>
      </c>
      <c r="F4984" s="3" t="inlineStr">
        <is>
          <t>컨두잇</t>
        </is>
      </c>
      <c r="G4984" s="2" t="inlineStr">
        <is>
          <t>20260312001145</t>
        </is>
      </c>
      <c r="H4984" s="8">
        <f>HYPERLINK("https://dart.fss.or.kr/dsaf001/main.do?rcpNo=20260312001145", "공시열람")</f>
        <v/>
      </c>
    </row>
    <row r="4985">
      <c r="A4985" s="2" t="inlineStr">
        <is>
          <t>2026-03-12</t>
        </is>
      </c>
      <c r="B4985" s="3" t="inlineStr">
        <is>
          <t>파두</t>
        </is>
      </c>
      <c r="C4985" s="2" t="inlineStr">
        <is>
          <t>코스닥</t>
        </is>
      </c>
      <c r="D4985" s="2" t="inlineStr">
        <is>
          <t>440110</t>
        </is>
      </c>
      <c r="E4985" s="3" t="inlineStr">
        <is>
          <t>임원ㆍ주요주주특정증권등소유상황보고서</t>
        </is>
      </c>
      <c r="F4985" s="3" t="inlineStr">
        <is>
          <t>김홍석</t>
        </is>
      </c>
      <c r="G4985" s="2" t="inlineStr">
        <is>
          <t>20260312001144</t>
        </is>
      </c>
      <c r="H4985" s="8">
        <f>HYPERLINK("https://dart.fss.or.kr/dsaf001/main.do?rcpNo=20260312001144", "공시열람")</f>
        <v/>
      </c>
    </row>
    <row r="4986">
      <c r="A4986" s="2" t="inlineStr">
        <is>
          <t>2026-03-12</t>
        </is>
      </c>
      <c r="B4986" s="3" t="inlineStr">
        <is>
          <t>롯데손해보험</t>
        </is>
      </c>
      <c r="C4986" s="2" t="inlineStr">
        <is>
          <t>코스피</t>
        </is>
      </c>
      <c r="D4986" s="2" t="inlineStr">
        <is>
          <t>000400</t>
        </is>
      </c>
      <c r="E4986" s="3" t="inlineStr">
        <is>
          <t xml:space="preserve">조회공시요구(풍문또는보도)에대한답변(미확정)              </t>
        </is>
      </c>
      <c r="F4986" s="3" t="inlineStr">
        <is>
          <t>롯데손해보험</t>
        </is>
      </c>
      <c r="G4986" s="2" t="inlineStr">
        <is>
          <t>20260312801762</t>
        </is>
      </c>
      <c r="H4986" s="8">
        <f>HYPERLINK("https://dart.fss.or.kr/dsaf001/main.do?rcpNo=20260312801762", "공시열람")</f>
        <v/>
      </c>
    </row>
    <row r="4987">
      <c r="A4987" s="2" t="inlineStr">
        <is>
          <t>2026-03-12</t>
        </is>
      </c>
      <c r="B4987" s="3" t="inlineStr">
        <is>
          <t>SYTS</t>
        </is>
      </c>
      <c r="C4987" s="2" t="inlineStr">
        <is>
          <t>코스피</t>
        </is>
      </c>
      <c r="D4987" s="2" t="inlineStr">
        <is>
          <t>002170</t>
        </is>
      </c>
      <c r="E4987" s="3" t="inlineStr">
        <is>
          <t>의결권대리행사권유참고서류</t>
        </is>
      </c>
      <c r="F4987" s="3" t="inlineStr">
        <is>
          <t>SYTS</t>
        </is>
      </c>
      <c r="G4987" s="2" t="inlineStr">
        <is>
          <t>20260312001141</t>
        </is>
      </c>
      <c r="H4987" s="8">
        <f>HYPERLINK("https://dart.fss.or.kr/dsaf001/main.do?rcpNo=20260312001141", "공시열람")</f>
        <v/>
      </c>
    </row>
    <row r="4988">
      <c r="A4988" s="2" t="inlineStr">
        <is>
          <t>2026-03-12</t>
        </is>
      </c>
      <c r="B4988" s="3" t="inlineStr">
        <is>
          <t>셀트리온</t>
        </is>
      </c>
      <c r="C4988" s="2" t="inlineStr">
        <is>
          <t>코스피</t>
        </is>
      </c>
      <c r="D4988" s="2" t="inlineStr">
        <is>
          <t>068270</t>
        </is>
      </c>
      <c r="E4988" s="3" t="inlineStr">
        <is>
          <t>의결권대리행사권유참고서류</t>
        </is>
      </c>
      <c r="F4988" s="3" t="inlineStr">
        <is>
          <t>컨두잇</t>
        </is>
      </c>
      <c r="G4988" s="2" t="inlineStr">
        <is>
          <t>20260312001137</t>
        </is>
      </c>
      <c r="H4988" s="8">
        <f>HYPERLINK("https://dart.fss.or.kr/dsaf001/main.do?rcpNo=20260312001137", "공시열람")</f>
        <v/>
      </c>
    </row>
    <row r="4989">
      <c r="A4989" s="2" t="inlineStr">
        <is>
          <t>2026-03-12</t>
        </is>
      </c>
      <c r="B4989" s="3" t="inlineStr">
        <is>
          <t>케이엔솔</t>
        </is>
      </c>
      <c r="C4989" s="2" t="inlineStr">
        <is>
          <t>코스닥</t>
        </is>
      </c>
      <c r="D4989" s="2" t="inlineStr">
        <is>
          <t>053080</t>
        </is>
      </c>
      <c r="E4989" s="3" t="inlineStr">
        <is>
          <t>의결권대리행사권유참고서류</t>
        </is>
      </c>
      <c r="F4989" s="3" t="inlineStr">
        <is>
          <t>케이엔솔</t>
        </is>
      </c>
      <c r="G4989" s="2" t="inlineStr">
        <is>
          <t>20260312001133</t>
        </is>
      </c>
      <c r="H4989" s="8">
        <f>HYPERLINK("https://dart.fss.or.kr/dsaf001/main.do?rcpNo=20260312001133", "공시열람")</f>
        <v/>
      </c>
    </row>
    <row r="4990">
      <c r="A4990" s="2" t="inlineStr">
        <is>
          <t>2026-03-12</t>
        </is>
      </c>
      <c r="B4990" s="3" t="inlineStr">
        <is>
          <t>지누스</t>
        </is>
      </c>
      <c r="C4990" s="2" t="inlineStr">
        <is>
          <t>코스피</t>
        </is>
      </c>
      <c r="D4990" s="2" t="inlineStr">
        <is>
          <t>013890</t>
        </is>
      </c>
      <c r="E4990" s="3" t="inlineStr">
        <is>
          <t xml:space="preserve">감사보고서제출              </t>
        </is>
      </c>
      <c r="F4990" s="3" t="inlineStr">
        <is>
          <t>지누스</t>
        </is>
      </c>
      <c r="G4990" s="2" t="inlineStr">
        <is>
          <t>20260312801705</t>
        </is>
      </c>
      <c r="H4990" s="8">
        <f>HYPERLINK("https://dart.fss.or.kr/dsaf001/main.do?rcpNo=20260312801705", "공시열람")</f>
        <v/>
      </c>
    </row>
    <row r="4991">
      <c r="A4991" s="2" t="inlineStr">
        <is>
          <t>2026-03-12</t>
        </is>
      </c>
      <c r="B4991" s="3" t="inlineStr">
        <is>
          <t>케이탑리츠</t>
        </is>
      </c>
      <c r="C4991" s="2" t="inlineStr">
        <is>
          <t>코스피</t>
        </is>
      </c>
      <c r="D4991" s="2" t="inlineStr">
        <is>
          <t>145270</t>
        </is>
      </c>
      <c r="E4991" s="3" t="inlineStr">
        <is>
          <t xml:space="preserve">감사보고서제출              </t>
        </is>
      </c>
      <c r="F4991" s="3" t="inlineStr">
        <is>
          <t>케이탑리츠</t>
        </is>
      </c>
      <c r="G4991" s="2" t="inlineStr">
        <is>
          <t>20260312801717</t>
        </is>
      </c>
      <c r="H4991" s="8">
        <f>HYPERLINK("https://dart.fss.or.kr/dsaf001/main.do?rcpNo=20260312801717", "공시열람")</f>
        <v/>
      </c>
    </row>
    <row r="4992">
      <c r="A4992" s="2" t="inlineStr">
        <is>
          <t>2026-03-12</t>
        </is>
      </c>
      <c r="B4992" s="3" t="inlineStr">
        <is>
          <t>뉴로메카</t>
        </is>
      </c>
      <c r="C4992" s="2" t="inlineStr">
        <is>
          <t>코스닥</t>
        </is>
      </c>
      <c r="D4992" s="2" t="inlineStr">
        <is>
          <t>348340</t>
        </is>
      </c>
      <c r="E4992" s="3" t="inlineStr">
        <is>
          <t>의결권대리행사권유참고서류</t>
        </is>
      </c>
      <c r="F4992" s="3" t="inlineStr">
        <is>
          <t>뉴로메카</t>
        </is>
      </c>
      <c r="G4992" s="2" t="inlineStr">
        <is>
          <t>20260312001117</t>
        </is>
      </c>
      <c r="H4992" s="8">
        <f>HYPERLINK("https://dart.fss.or.kr/dsaf001/main.do?rcpNo=20260312001117", "공시열람")</f>
        <v/>
      </c>
    </row>
    <row r="4993">
      <c r="A4993" s="2" t="inlineStr">
        <is>
          <t>2026-03-12</t>
        </is>
      </c>
      <c r="B4993" s="3" t="inlineStr">
        <is>
          <t>한국앤컴퍼니</t>
        </is>
      </c>
      <c r="C4993" s="2" t="inlineStr">
        <is>
          <t>코스피</t>
        </is>
      </c>
      <c r="D4993" s="2" t="inlineStr">
        <is>
          <t>000240</t>
        </is>
      </c>
      <c r="E4993" s="3" t="inlineStr">
        <is>
          <t>[기재정정]의결권대리행사권유참고서류</t>
        </is>
      </c>
      <c r="F4993" s="3" t="inlineStr">
        <is>
          <t>한국앤컴퍼니</t>
        </is>
      </c>
      <c r="G4993" s="2" t="inlineStr">
        <is>
          <t>20260312001116</t>
        </is>
      </c>
      <c r="H4993" s="8">
        <f>HYPERLINK("https://dart.fss.or.kr/dsaf001/main.do?rcpNo=20260312001116", "공시열람")</f>
        <v/>
      </c>
    </row>
    <row r="4994">
      <c r="A4994" s="2" t="inlineStr">
        <is>
          <t>2026-03-12</t>
        </is>
      </c>
      <c r="B4994" s="3" t="inlineStr">
        <is>
          <t>HD현대마린솔루션</t>
        </is>
      </c>
      <c r="C4994" s="2" t="inlineStr">
        <is>
          <t>코스피</t>
        </is>
      </c>
      <c r="D4994" s="2" t="inlineStr">
        <is>
          <t>443060</t>
        </is>
      </c>
      <c r="E4994" s="3" t="inlineStr">
        <is>
          <t xml:space="preserve">감사보고서제출              </t>
        </is>
      </c>
      <c r="F4994" s="3" t="inlineStr">
        <is>
          <t>HD현대마린솔루션</t>
        </is>
      </c>
      <c r="G4994" s="2" t="inlineStr">
        <is>
          <t>20260312801704</t>
        </is>
      </c>
      <c r="H4994" s="8">
        <f>HYPERLINK("https://dart.fss.or.kr/dsaf001/main.do?rcpNo=20260312801704", "공시열람")</f>
        <v/>
      </c>
    </row>
    <row r="4995">
      <c r="A4995" s="2" t="inlineStr">
        <is>
          <t>2026-03-12</t>
        </is>
      </c>
      <c r="B4995" s="3" t="inlineStr">
        <is>
          <t>모델솔루션</t>
        </is>
      </c>
      <c r="C4995" s="2" t="inlineStr">
        <is>
          <t>코스닥</t>
        </is>
      </c>
      <c r="D4995" s="2" t="inlineStr">
        <is>
          <t>417970</t>
        </is>
      </c>
      <c r="E4995" s="3" t="inlineStr">
        <is>
          <t xml:space="preserve">기업가치제고계획(자율공시)              </t>
        </is>
      </c>
      <c r="F4995" s="3" t="inlineStr">
        <is>
          <t>모델솔루션</t>
        </is>
      </c>
      <c r="G4995" s="2" t="inlineStr">
        <is>
          <t>20260312901675</t>
        </is>
      </c>
      <c r="H4995" s="8">
        <f>HYPERLINK("https://dart.fss.or.kr/dsaf001/main.do?rcpNo=20260312901675", "공시열람")</f>
        <v/>
      </c>
    </row>
    <row r="4996">
      <c r="A4996" s="2" t="inlineStr">
        <is>
          <t>2026-03-12</t>
        </is>
      </c>
      <c r="B4996" s="3" t="inlineStr">
        <is>
          <t>코람코더원리츠</t>
        </is>
      </c>
      <c r="C4996" s="2" t="inlineStr">
        <is>
          <t>코스피</t>
        </is>
      </c>
      <c r="D4996" s="2" t="inlineStr">
        <is>
          <t>417310</t>
        </is>
      </c>
      <c r="E4996" s="3" t="inlineStr">
        <is>
          <t xml:space="preserve">기타경영사항(자율공시)              </t>
        </is>
      </c>
      <c r="F4996" s="3" t="inlineStr">
        <is>
          <t>코람코더원리츠</t>
        </is>
      </c>
      <c r="G4996" s="2" t="inlineStr">
        <is>
          <t>20260312801551</t>
        </is>
      </c>
      <c r="H4996" s="8">
        <f>HYPERLINK("https://dart.fss.or.kr/dsaf001/main.do?rcpNo=20260312801551", "공시열람")</f>
        <v/>
      </c>
    </row>
    <row r="4997">
      <c r="A4997" s="2" t="inlineStr">
        <is>
          <t>2026-03-12</t>
        </is>
      </c>
      <c r="B4997" s="3" t="inlineStr">
        <is>
          <t>에스팀</t>
        </is>
      </c>
      <c r="C4997" s="2" t="inlineStr">
        <is>
          <t>코스닥</t>
        </is>
      </c>
      <c r="D4997" s="2" t="inlineStr">
        <is>
          <t>458350</t>
        </is>
      </c>
      <c r="E4997" s="3" t="inlineStr">
        <is>
          <t>임원ㆍ주요주주특정증권등소유상황보고서</t>
        </is>
      </c>
      <c r="F4997" s="3" t="inlineStr">
        <is>
          <t>성혜진</t>
        </is>
      </c>
      <c r="G4997" s="2" t="inlineStr">
        <is>
          <t>20260312001109</t>
        </is>
      </c>
      <c r="H4997" s="8">
        <f>HYPERLINK("https://dart.fss.or.kr/dsaf001/main.do?rcpNo=20260312001109", "공시열람")</f>
        <v/>
      </c>
    </row>
    <row r="4998">
      <c r="A4998" s="2" t="inlineStr">
        <is>
          <t>2026-03-12</t>
        </is>
      </c>
      <c r="B4998" s="3" t="inlineStr">
        <is>
          <t>삼천리자전거</t>
        </is>
      </c>
      <c r="C4998" s="2" t="inlineStr">
        <is>
          <t>코스닥</t>
        </is>
      </c>
      <c r="D4998" s="2" t="inlineStr">
        <is>
          <t>024950</t>
        </is>
      </c>
      <c r="E4998" s="3" t="inlineStr">
        <is>
          <t xml:space="preserve">감사보고서제출              </t>
        </is>
      </c>
      <c r="F4998" s="3" t="inlineStr">
        <is>
          <t>삼천리자전거</t>
        </is>
      </c>
      <c r="G4998" s="2" t="inlineStr">
        <is>
          <t>20260312901311</t>
        </is>
      </c>
      <c r="H4998" s="8">
        <f>HYPERLINK("https://dart.fss.or.kr/dsaf001/main.do?rcpNo=20260312901311", "공시열람")</f>
        <v/>
      </c>
    </row>
    <row r="4999">
      <c r="A4999" s="2" t="inlineStr">
        <is>
          <t>2026-03-12 (정정: 2026-03-12)</t>
        </is>
      </c>
      <c r="B4999" s="3" t="inlineStr">
        <is>
          <t>아이마켓코리아</t>
        </is>
      </c>
      <c r="C4999" s="2" t="inlineStr">
        <is>
          <t>코스피</t>
        </is>
      </c>
      <c r="D4999" s="2" t="inlineStr">
        <is>
          <t>122900</t>
        </is>
      </c>
      <c r="E4999" s="3" t="inlineStr">
        <is>
          <t>현금ㆍ현물배당을위한주주명부폐쇄(기준일)결정               (정정: 20260312)</t>
        </is>
      </c>
      <c r="F4999" s="3" t="inlineStr">
        <is>
          <t>아이마켓코리아</t>
        </is>
      </c>
      <c r="G4999" s="2" t="inlineStr">
        <is>
          <t>20260312801733</t>
        </is>
      </c>
      <c r="H4999" s="8">
        <f>HYPERLINK("https://dart.fss.or.kr/dsaf001/main.do?rcpNo=20260312801733", "공시열람")</f>
        <v/>
      </c>
    </row>
    <row r="5000">
      <c r="A5000" s="2" t="inlineStr">
        <is>
          <t>2026-03-12</t>
        </is>
      </c>
      <c r="B5000" s="3" t="inlineStr">
        <is>
          <t>아이엘</t>
        </is>
      </c>
      <c r="C5000" s="2" t="inlineStr">
        <is>
          <t>코스닥</t>
        </is>
      </c>
      <c r="D5000" s="2" t="inlineStr">
        <is>
          <t>307180</t>
        </is>
      </c>
      <c r="E5000" s="3" t="inlineStr">
        <is>
          <t>임원ㆍ주요주주특정증권등소유상황보고서</t>
        </is>
      </c>
      <c r="F5000" s="3" t="inlineStr">
        <is>
          <t>송성근</t>
        </is>
      </c>
      <c r="G5000" s="2" t="inlineStr">
        <is>
          <t>20260312001107</t>
        </is>
      </c>
      <c r="H5000" s="8">
        <f>HYPERLINK("https://dart.fss.or.kr/dsaf001/main.do?rcpNo=20260312001107", "공시열람")</f>
        <v/>
      </c>
    </row>
    <row r="5001">
      <c r="A5001" s="2" t="inlineStr">
        <is>
          <t>2026-03-12</t>
        </is>
      </c>
      <c r="B5001" s="3" t="inlineStr">
        <is>
          <t>판타지오</t>
        </is>
      </c>
      <c r="C5001" s="2" t="inlineStr">
        <is>
          <t>코스닥</t>
        </is>
      </c>
      <c r="D5001" s="2" t="inlineStr">
        <is>
          <t>032800</t>
        </is>
      </c>
      <c r="E5001" s="3" t="inlineStr">
        <is>
          <t>주요사항보고서(감자결정)</t>
        </is>
      </c>
      <c r="F5001" s="3" t="inlineStr">
        <is>
          <t>판타지오</t>
        </is>
      </c>
      <c r="G5001" s="2" t="inlineStr">
        <is>
          <t>20260312001069</t>
        </is>
      </c>
      <c r="H5001" s="8">
        <f>HYPERLINK("https://dart.fss.or.kr/dsaf001/main.do?rcpNo=20260312001069", "공시열람")</f>
        <v/>
      </c>
    </row>
    <row r="5002">
      <c r="A5002" s="2" t="inlineStr">
        <is>
          <t>2026-03-12</t>
        </is>
      </c>
      <c r="B5002" s="3" t="inlineStr">
        <is>
          <t>판타지오</t>
        </is>
      </c>
      <c r="C5002" s="2" t="inlineStr">
        <is>
          <t>코스닥</t>
        </is>
      </c>
      <c r="D5002" s="2" t="inlineStr">
        <is>
          <t>032800</t>
        </is>
      </c>
      <c r="E5002" s="3" t="inlineStr">
        <is>
          <t>주권매매거래정지              (자본감소)</t>
        </is>
      </c>
      <c r="F5002" s="3" t="inlineStr">
        <is>
          <t>코스닥시장본부</t>
        </is>
      </c>
      <c r="G5002" s="2" t="inlineStr">
        <is>
          <t>20260312901734</t>
        </is>
      </c>
      <c r="H5002" s="8">
        <f>HYPERLINK("https://dart.fss.or.kr/dsaf001/main.do?rcpNo=20260312901734", "공시열람")</f>
        <v/>
      </c>
    </row>
    <row r="5003">
      <c r="A5003" s="2" t="inlineStr">
        <is>
          <t>2026-03-12</t>
        </is>
      </c>
      <c r="B5003" s="3" t="inlineStr">
        <is>
          <t>오늘이엔엠</t>
        </is>
      </c>
      <c r="C5003" s="2" t="inlineStr">
        <is>
          <t>코스닥</t>
        </is>
      </c>
      <c r="D5003" s="2" t="inlineStr">
        <is>
          <t>192410</t>
        </is>
      </c>
      <c r="E5003" s="3" t="inlineStr">
        <is>
          <t>의결권대리행사권유참고서류</t>
        </is>
      </c>
      <c r="F5003" s="3" t="inlineStr">
        <is>
          <t>오늘이엔엠</t>
        </is>
      </c>
      <c r="G5003" s="2" t="inlineStr">
        <is>
          <t>20260312001100</t>
        </is>
      </c>
      <c r="H5003" s="8">
        <f>HYPERLINK("https://dart.fss.or.kr/dsaf001/main.do?rcpNo=20260312001100", "공시열람")</f>
        <v/>
      </c>
    </row>
    <row r="5004">
      <c r="A5004" s="2" t="inlineStr">
        <is>
          <t>2026-03-12</t>
        </is>
      </c>
      <c r="B5004" s="3" t="inlineStr">
        <is>
          <t>아남전자</t>
        </is>
      </c>
      <c r="C5004" s="2" t="inlineStr">
        <is>
          <t>코스피</t>
        </is>
      </c>
      <c r="D5004" s="2" t="inlineStr">
        <is>
          <t>008700</t>
        </is>
      </c>
      <c r="E5004" s="3" t="inlineStr">
        <is>
          <t xml:space="preserve">감사보고서제출              </t>
        </is>
      </c>
      <c r="F5004" s="3" t="inlineStr">
        <is>
          <t>아남전자</t>
        </is>
      </c>
      <c r="G5004" s="2" t="inlineStr">
        <is>
          <t>20260312801564</t>
        </is>
      </c>
      <c r="H5004" s="8">
        <f>HYPERLINK("https://dart.fss.or.kr/dsaf001/main.do?rcpNo=20260312801564", "공시열람")</f>
        <v/>
      </c>
    </row>
    <row r="5005">
      <c r="A5005" s="2" t="inlineStr">
        <is>
          <t>2026-03-12</t>
        </is>
      </c>
      <c r="B5005" s="3" t="inlineStr">
        <is>
          <t>시그네틱스</t>
        </is>
      </c>
      <c r="C5005" s="2" t="inlineStr">
        <is>
          <t>코스닥</t>
        </is>
      </c>
      <c r="D5005" s="2" t="inlineStr">
        <is>
          <t>033170</t>
        </is>
      </c>
      <c r="E5005" s="3" t="inlineStr">
        <is>
          <t>의결권대리행사권유참고서류</t>
        </is>
      </c>
      <c r="F5005" s="3" t="inlineStr">
        <is>
          <t>시그네틱스</t>
        </is>
      </c>
      <c r="G5005" s="2" t="inlineStr">
        <is>
          <t>20260312001092</t>
        </is>
      </c>
      <c r="H5005" s="8">
        <f>HYPERLINK("https://dart.fss.or.kr/dsaf001/main.do?rcpNo=20260312001092", "공시열람")</f>
        <v/>
      </c>
    </row>
    <row r="5006">
      <c r="A5006" s="2" t="inlineStr">
        <is>
          <t>2026-03-12</t>
        </is>
      </c>
      <c r="B5006" s="3" t="inlineStr">
        <is>
          <t>SOOP</t>
        </is>
      </c>
      <c r="C5006" s="2" t="inlineStr">
        <is>
          <t>코스닥</t>
        </is>
      </c>
      <c r="D5006" s="2" t="inlineStr">
        <is>
          <t>067160</t>
        </is>
      </c>
      <c r="E5006" s="3" t="inlineStr">
        <is>
          <t>의결권대리행사권유참고서류</t>
        </is>
      </c>
      <c r="F5006" s="3" t="inlineStr">
        <is>
          <t>SOOP</t>
        </is>
      </c>
      <c r="G5006" s="2" t="inlineStr">
        <is>
          <t>20260312001089</t>
        </is>
      </c>
      <c r="H5006" s="8">
        <f>HYPERLINK("https://dart.fss.or.kr/dsaf001/main.do?rcpNo=20260312001089", "공시열람")</f>
        <v/>
      </c>
    </row>
    <row r="5007">
      <c r="A5007" s="2" t="inlineStr">
        <is>
          <t>2026-03-12 (정정: 2026-03-13)</t>
        </is>
      </c>
      <c r="B5007" s="3" t="inlineStr">
        <is>
          <t>알로이스</t>
        </is>
      </c>
      <c r="C5007" s="2" t="inlineStr">
        <is>
          <t>코스닥</t>
        </is>
      </c>
      <c r="D5007" s="2" t="inlineStr">
        <is>
          <t>297570</t>
        </is>
      </c>
      <c r="E5007" s="3" t="inlineStr">
        <is>
          <t>의결권대리행사권유참고서류 (정정: 20260313)</t>
        </is>
      </c>
      <c r="F5007" s="3" t="inlineStr">
        <is>
          <t>권충식</t>
        </is>
      </c>
      <c r="G5007" s="2" t="inlineStr">
        <is>
          <t>20260313001282</t>
        </is>
      </c>
      <c r="H5007" s="8">
        <f>HYPERLINK("https://dart.fss.or.kr/dsaf001/main.do?rcpNo=20260313001282", "공시열람")</f>
        <v/>
      </c>
    </row>
    <row r="5008">
      <c r="A5008" s="2" t="inlineStr">
        <is>
          <t>2026-03-12</t>
        </is>
      </c>
      <c r="B5008" s="3" t="inlineStr">
        <is>
          <t>아이엘</t>
        </is>
      </c>
      <c r="C5008" s="2" t="inlineStr">
        <is>
          <t>코스닥</t>
        </is>
      </c>
      <c r="D5008" s="2" t="inlineStr">
        <is>
          <t>307180</t>
        </is>
      </c>
      <c r="E5008" s="3" t="inlineStr">
        <is>
          <t xml:space="preserve">전환청구권행사              </t>
        </is>
      </c>
      <c r="F5008" s="3" t="inlineStr">
        <is>
          <t>아이엘</t>
        </is>
      </c>
      <c r="G5008" s="2" t="inlineStr">
        <is>
          <t>20260312901740</t>
        </is>
      </c>
      <c r="H5008" s="8">
        <f>HYPERLINK("https://dart.fss.or.kr/dsaf001/main.do?rcpNo=20260312901740", "공시열람")</f>
        <v/>
      </c>
    </row>
    <row r="5009">
      <c r="A5009" s="2" t="inlineStr">
        <is>
          <t>2026-03-12 (정정: 2026-03-13)</t>
        </is>
      </c>
      <c r="B5009" s="3" t="inlineStr">
        <is>
          <t>미스토홀딩스</t>
        </is>
      </c>
      <c r="C5009" s="2" t="inlineStr">
        <is>
          <t>코스피</t>
        </is>
      </c>
      <c r="D5009" s="2" t="inlineStr">
        <is>
          <t>081660</t>
        </is>
      </c>
      <c r="E5009" s="3" t="inlineStr">
        <is>
          <t>현금ㆍ현물배당결정(자회사의 주요경영사항)               (정정: 20260313)</t>
        </is>
      </c>
      <c r="F5009" s="3" t="inlineStr">
        <is>
          <t>미스토홀딩스</t>
        </is>
      </c>
      <c r="G5009" s="2" t="inlineStr">
        <is>
          <t>20260313801982</t>
        </is>
      </c>
      <c r="H5009" s="8">
        <f>HYPERLINK("https://dart.fss.or.kr/dsaf001/main.do?rcpNo=20260313801982", "공시열람")</f>
        <v/>
      </c>
    </row>
    <row r="5010">
      <c r="A5010" s="2" t="inlineStr">
        <is>
          <t>2026-03-12</t>
        </is>
      </c>
      <c r="B5010" s="3" t="inlineStr">
        <is>
          <t>동진쎄미켐</t>
        </is>
      </c>
      <c r="C5010" s="2" t="inlineStr">
        <is>
          <t>코스닥</t>
        </is>
      </c>
      <c r="D5010" s="2" t="inlineStr">
        <is>
          <t>005290</t>
        </is>
      </c>
      <c r="E5010" s="3" t="inlineStr">
        <is>
          <t>의결권대리행사권유참고서류</t>
        </is>
      </c>
      <c r="F5010" s="3" t="inlineStr">
        <is>
          <t>동진쎄미켐</t>
        </is>
      </c>
      <c r="G5010" s="2" t="inlineStr">
        <is>
          <t>20260312001084</t>
        </is>
      </c>
      <c r="H5010" s="8">
        <f>HYPERLINK("https://dart.fss.or.kr/dsaf001/main.do?rcpNo=20260312001084", "공시열람")</f>
        <v/>
      </c>
    </row>
    <row r="5011">
      <c r="A5011" s="2" t="inlineStr">
        <is>
          <t>2026-03-12</t>
        </is>
      </c>
      <c r="B5011" s="3" t="inlineStr">
        <is>
          <t>케이씨씨글라스</t>
        </is>
      </c>
      <c r="C5011" s="2" t="inlineStr">
        <is>
          <t>코스피</t>
        </is>
      </c>
      <c r="D5011" s="2" t="inlineStr">
        <is>
          <t>344820</t>
        </is>
      </c>
      <c r="E5011" s="3" t="inlineStr">
        <is>
          <t xml:space="preserve">공정거래자율준수프로그램운영현황(안내공시)              </t>
        </is>
      </c>
      <c r="F5011" s="3" t="inlineStr">
        <is>
          <t>케이씨씨글라스</t>
        </is>
      </c>
      <c r="G5011" s="2" t="inlineStr">
        <is>
          <t>20260312801735</t>
        </is>
      </c>
      <c r="H5011" s="8">
        <f>HYPERLINK("https://dart.fss.or.kr/dsaf001/main.do?rcpNo=20260312801735", "공시열람")</f>
        <v/>
      </c>
    </row>
    <row r="5012">
      <c r="A5012" s="2" t="inlineStr">
        <is>
          <t>2026-03-12</t>
        </is>
      </c>
      <c r="B5012" s="3" t="inlineStr">
        <is>
          <t>에스팀</t>
        </is>
      </c>
      <c r="C5012" s="2" t="inlineStr">
        <is>
          <t>코스닥</t>
        </is>
      </c>
      <c r="D5012" s="2" t="inlineStr">
        <is>
          <t>458350</t>
        </is>
      </c>
      <c r="E5012" s="3" t="inlineStr">
        <is>
          <t>임원ㆍ주요주주특정증권등소유상황보고서</t>
        </is>
      </c>
      <c r="F5012" s="3" t="inlineStr">
        <is>
          <t>김소연</t>
        </is>
      </c>
      <c r="G5012" s="2" t="inlineStr">
        <is>
          <t>20260312001078</t>
        </is>
      </c>
      <c r="H5012" s="8">
        <f>HYPERLINK("https://dart.fss.or.kr/dsaf001/main.do?rcpNo=20260312001078", "공시열람")</f>
        <v/>
      </c>
    </row>
    <row r="5013">
      <c r="A5013" s="2" t="inlineStr">
        <is>
          <t>2026-03-12</t>
        </is>
      </c>
      <c r="B5013" s="3" t="inlineStr">
        <is>
          <t>다산네트웍스</t>
        </is>
      </c>
      <c r="C5013" s="2" t="inlineStr">
        <is>
          <t>코스닥</t>
        </is>
      </c>
      <c r="D5013" s="2" t="inlineStr">
        <is>
          <t>039560</t>
        </is>
      </c>
      <c r="E5013" s="3" t="inlineStr">
        <is>
          <t xml:space="preserve">현금ㆍ현물배당을위한주주명부폐쇄(기준일)결정              </t>
        </is>
      </c>
      <c r="F5013" s="3" t="inlineStr">
        <is>
          <t>다산네트웍스</t>
        </is>
      </c>
      <c r="G5013" s="2" t="inlineStr">
        <is>
          <t>20260312901720</t>
        </is>
      </c>
      <c r="H5013" s="8">
        <f>HYPERLINK("https://dart.fss.or.kr/dsaf001/main.do?rcpNo=20260312901720", "공시열람")</f>
        <v/>
      </c>
    </row>
    <row r="5014">
      <c r="A5014" s="2" t="inlineStr">
        <is>
          <t>2026-03-12</t>
        </is>
      </c>
      <c r="B5014" s="3" t="inlineStr">
        <is>
          <t>남양유업</t>
        </is>
      </c>
      <c r="C5014" s="2" t="inlineStr">
        <is>
          <t>코스피</t>
        </is>
      </c>
      <c r="D5014" s="2" t="inlineStr">
        <is>
          <t>003920</t>
        </is>
      </c>
      <c r="E5014" s="3" t="inlineStr">
        <is>
          <t xml:space="preserve">현금ㆍ현물배당결정              </t>
        </is>
      </c>
      <c r="F5014" s="3" t="inlineStr">
        <is>
          <t>남양유업</t>
        </is>
      </c>
      <c r="G5014" s="2" t="inlineStr">
        <is>
          <t>20260312801622</t>
        </is>
      </c>
      <c r="H5014" s="8">
        <f>HYPERLINK("https://dart.fss.or.kr/dsaf001/main.do?rcpNo=20260312801622", "공시열람")</f>
        <v/>
      </c>
    </row>
    <row r="5015">
      <c r="A5015" s="2" t="inlineStr">
        <is>
          <t>2026-03-12</t>
        </is>
      </c>
      <c r="B5015" s="3" t="inlineStr">
        <is>
          <t>네오오토</t>
        </is>
      </c>
      <c r="C5015" s="2" t="inlineStr">
        <is>
          <t>코스닥</t>
        </is>
      </c>
      <c r="D5015" s="2" t="inlineStr">
        <is>
          <t>212560</t>
        </is>
      </c>
      <c r="E5015" s="3" t="inlineStr">
        <is>
          <t>의결권대리행사권유참고서류</t>
        </is>
      </c>
      <c r="F5015" s="3" t="inlineStr">
        <is>
          <t>네오오토</t>
        </is>
      </c>
      <c r="G5015" s="2" t="inlineStr">
        <is>
          <t>20260312001073</t>
        </is>
      </c>
      <c r="H5015" s="8">
        <f>HYPERLINK("https://dart.fss.or.kr/dsaf001/main.do?rcpNo=20260312001073", "공시열람")</f>
        <v/>
      </c>
    </row>
    <row r="5016">
      <c r="A5016" s="2" t="inlineStr">
        <is>
          <t>2026-03-12</t>
        </is>
      </c>
      <c r="B5016" s="3" t="inlineStr">
        <is>
          <t>아바텍</t>
        </is>
      </c>
      <c r="C5016" s="2" t="inlineStr">
        <is>
          <t>코스닥</t>
        </is>
      </c>
      <c r="D5016" s="2" t="inlineStr">
        <is>
          <t>149950</t>
        </is>
      </c>
      <c r="E5016" s="3" t="inlineStr">
        <is>
          <t xml:space="preserve">감사보고서제출              </t>
        </is>
      </c>
      <c r="F5016" s="3" t="inlineStr">
        <is>
          <t>아바텍</t>
        </is>
      </c>
      <c r="G5016" s="2" t="inlineStr">
        <is>
          <t>20260312901408</t>
        </is>
      </c>
      <c r="H5016" s="8">
        <f>HYPERLINK("https://dart.fss.or.kr/dsaf001/main.do?rcpNo=20260312901408", "공시열람")</f>
        <v/>
      </c>
    </row>
    <row r="5017">
      <c r="A5017" s="2" t="inlineStr">
        <is>
          <t>2026-03-12</t>
        </is>
      </c>
      <c r="B5017" s="3" t="inlineStr">
        <is>
          <t>케이씨씨글라스</t>
        </is>
      </c>
      <c r="C5017" s="2" t="inlineStr">
        <is>
          <t>코스피</t>
        </is>
      </c>
      <c r="D5017" s="2" t="inlineStr">
        <is>
          <t>344820</t>
        </is>
      </c>
      <c r="E5017" s="3" t="inlineStr">
        <is>
          <t>[기재정정]의결권대리행사권유참고서류</t>
        </is>
      </c>
      <c r="F5017" s="3" t="inlineStr">
        <is>
          <t>케이씨씨글라스</t>
        </is>
      </c>
      <c r="G5017" s="2" t="inlineStr">
        <is>
          <t>20260312001072</t>
        </is>
      </c>
      <c r="H5017" s="8">
        <f>HYPERLINK("https://dart.fss.or.kr/dsaf001/main.do?rcpNo=20260312001072", "공시열람")</f>
        <v/>
      </c>
    </row>
    <row r="5018">
      <c r="A5018" s="2" t="inlineStr">
        <is>
          <t>2026-03-12</t>
        </is>
      </c>
      <c r="B5018" s="3" t="inlineStr">
        <is>
          <t>다산네트웍스</t>
        </is>
      </c>
      <c r="C5018" s="2" t="inlineStr">
        <is>
          <t>코스닥</t>
        </is>
      </c>
      <c r="D5018" s="2" t="inlineStr">
        <is>
          <t>039560</t>
        </is>
      </c>
      <c r="E5018" s="3" t="inlineStr">
        <is>
          <t xml:space="preserve">현금ㆍ현물배당결정              </t>
        </is>
      </c>
      <c r="F5018" s="3" t="inlineStr">
        <is>
          <t>다산네트웍스</t>
        </is>
      </c>
      <c r="G5018" s="2" t="inlineStr">
        <is>
          <t>20260312901494</t>
        </is>
      </c>
      <c r="H5018" s="8">
        <f>HYPERLINK("https://dart.fss.or.kr/dsaf001/main.do?rcpNo=20260312901494", "공시열람")</f>
        <v/>
      </c>
    </row>
    <row r="5019">
      <c r="A5019" s="2" t="inlineStr">
        <is>
          <t>2026-03-12</t>
        </is>
      </c>
      <c r="B5019" s="3" t="inlineStr">
        <is>
          <t>보라티알</t>
        </is>
      </c>
      <c r="C5019" s="2" t="inlineStr">
        <is>
          <t>코스닥</t>
        </is>
      </c>
      <c r="D5019" s="2" t="inlineStr">
        <is>
          <t>250000</t>
        </is>
      </c>
      <c r="E5019" s="3" t="inlineStr">
        <is>
          <t>의결권대리행사권유참고서류</t>
        </is>
      </c>
      <c r="F5019" s="3" t="inlineStr">
        <is>
          <t>보라티알</t>
        </is>
      </c>
      <c r="G5019" s="2" t="inlineStr">
        <is>
          <t>20260312001071</t>
        </is>
      </c>
      <c r="H5019" s="8">
        <f>HYPERLINK("https://dart.fss.or.kr/dsaf001/main.do?rcpNo=20260312001071", "공시열람")</f>
        <v/>
      </c>
    </row>
    <row r="5020">
      <c r="A5020" s="2" t="inlineStr">
        <is>
          <t>2026-03-12 (정정: 2026-05-27)</t>
        </is>
      </c>
      <c r="B5020" s="3" t="inlineStr">
        <is>
          <t>엔피</t>
        </is>
      </c>
      <c r="C5020" s="2" t="inlineStr">
        <is>
          <t>코스닥</t>
        </is>
      </c>
      <c r="D5020" s="2" t="inlineStr">
        <is>
          <t>291230</t>
        </is>
      </c>
      <c r="E5020" s="3" t="inlineStr">
        <is>
          <t>감사보고서제출               (정정: 20260527)</t>
        </is>
      </c>
      <c r="F5020" s="3" t="inlineStr">
        <is>
          <t>엔피</t>
        </is>
      </c>
      <c r="G5020" s="2" t="inlineStr">
        <is>
          <t>20260527000260</t>
        </is>
      </c>
      <c r="H5020" s="8">
        <f>HYPERLINK("https://dart.fss.or.kr/dsaf001/main.do?rcpNo=20260527000260", "공시열람")</f>
        <v/>
      </c>
    </row>
    <row r="5021">
      <c r="A5021" s="2" t="inlineStr">
        <is>
          <t>2026-03-12</t>
        </is>
      </c>
      <c r="B5021" s="3" t="inlineStr">
        <is>
          <t>삼영전자공업</t>
        </is>
      </c>
      <c r="C5021" s="2" t="inlineStr">
        <is>
          <t>코스피</t>
        </is>
      </c>
      <c r="D5021" s="2" t="inlineStr">
        <is>
          <t>005680</t>
        </is>
      </c>
      <c r="E5021" s="3" t="inlineStr">
        <is>
          <t>의결권대리행사권유참고서류</t>
        </is>
      </c>
      <c r="F5021" s="3" t="inlineStr">
        <is>
          <t>삼영전자공업</t>
        </is>
      </c>
      <c r="G5021" s="2" t="inlineStr">
        <is>
          <t>20260312001066</t>
        </is>
      </c>
      <c r="H5021" s="8">
        <f>HYPERLINK("https://dart.fss.or.kr/dsaf001/main.do?rcpNo=20260312001066", "공시열람")</f>
        <v/>
      </c>
    </row>
    <row r="5022">
      <c r="A5022" s="2" t="inlineStr">
        <is>
          <t>2026-03-12</t>
        </is>
      </c>
      <c r="B5022" s="3" t="inlineStr">
        <is>
          <t>에이플러스에셋</t>
        </is>
      </c>
      <c r="C5022" s="2" t="inlineStr">
        <is>
          <t>코스피</t>
        </is>
      </c>
      <c r="D5022" s="2" t="inlineStr">
        <is>
          <t>244920</t>
        </is>
      </c>
      <c r="E5022" s="3" t="inlineStr">
        <is>
          <t>의결권대리행사권유참고서류</t>
        </is>
      </c>
      <c r="F5022" s="3" t="inlineStr">
        <is>
          <t>얼라인파트너스자산운용</t>
        </is>
      </c>
      <c r="G5022" s="2" t="inlineStr">
        <is>
          <t>20260312001064</t>
        </is>
      </c>
      <c r="H5022" s="8">
        <f>HYPERLINK("https://dart.fss.or.kr/dsaf001/main.do?rcpNo=20260312001064", "공시열람")</f>
        <v/>
      </c>
    </row>
    <row r="5023">
      <c r="A5023" s="2" t="inlineStr">
        <is>
          <t>2026-03-12</t>
        </is>
      </c>
      <c r="B5023" s="3" t="inlineStr">
        <is>
          <t>매일유업</t>
        </is>
      </c>
      <c r="C5023" s="2" t="inlineStr">
        <is>
          <t>코스닥</t>
        </is>
      </c>
      <c r="D5023" s="2" t="inlineStr">
        <is>
          <t>267980</t>
        </is>
      </c>
      <c r="E5023" s="3" t="inlineStr">
        <is>
          <t>의결권대리행사권유참고서류</t>
        </is>
      </c>
      <c r="F5023" s="3" t="inlineStr">
        <is>
          <t>매일유업</t>
        </is>
      </c>
      <c r="G5023" s="2" t="inlineStr">
        <is>
          <t>20260312001059</t>
        </is>
      </c>
      <c r="H5023" s="8">
        <f>HYPERLINK("https://dart.fss.or.kr/dsaf001/main.do?rcpNo=20260312001059", "공시열람")</f>
        <v/>
      </c>
    </row>
    <row r="5024">
      <c r="A5024" s="2" t="inlineStr">
        <is>
          <t>2026-03-12</t>
        </is>
      </c>
      <c r="B5024" s="3" t="inlineStr">
        <is>
          <t>아이텍</t>
        </is>
      </c>
      <c r="C5024" s="2" t="inlineStr">
        <is>
          <t>코스닥</t>
        </is>
      </c>
      <c r="D5024" s="2" t="inlineStr">
        <is>
          <t>119830</t>
        </is>
      </c>
      <c r="E5024" s="3" t="inlineStr">
        <is>
          <t xml:space="preserve">감사보고서제출              </t>
        </is>
      </c>
      <c r="F5024" s="3" t="inlineStr">
        <is>
          <t>아이텍</t>
        </is>
      </c>
      <c r="G5024" s="2" t="inlineStr">
        <is>
          <t>20260312901281</t>
        </is>
      </c>
      <c r="H5024" s="8">
        <f>HYPERLINK("https://dart.fss.or.kr/dsaf001/main.do?rcpNo=20260312901281", "공시열람")</f>
        <v/>
      </c>
    </row>
    <row r="5025">
      <c r="A5025" s="2" t="inlineStr">
        <is>
          <t>2026-03-12</t>
        </is>
      </c>
      <c r="B5025" s="3" t="inlineStr">
        <is>
          <t>에이비온</t>
        </is>
      </c>
      <c r="C5025" s="2" t="inlineStr">
        <is>
          <t>코스닥</t>
        </is>
      </c>
      <c r="D5025" s="2" t="inlineStr">
        <is>
          <t>203400</t>
        </is>
      </c>
      <c r="E5025" s="3" t="inlineStr">
        <is>
          <t>의결권대리행사권유참고서류</t>
        </is>
      </c>
      <c r="F5025" s="3" t="inlineStr">
        <is>
          <t>에이비온</t>
        </is>
      </c>
      <c r="G5025" s="2" t="inlineStr">
        <is>
          <t>20260312001056</t>
        </is>
      </c>
      <c r="H5025" s="8">
        <f>HYPERLINK("https://dart.fss.or.kr/dsaf001/main.do?rcpNo=20260312001056", "공시열람")</f>
        <v/>
      </c>
    </row>
    <row r="5026">
      <c r="A5026" s="2" t="inlineStr">
        <is>
          <t>2026-03-12</t>
        </is>
      </c>
      <c r="B5026" s="3" t="inlineStr">
        <is>
          <t>하이록코리아</t>
        </is>
      </c>
      <c r="C5026" s="2" t="inlineStr">
        <is>
          <t>코스닥</t>
        </is>
      </c>
      <c r="D5026" s="2" t="inlineStr">
        <is>
          <t>013030</t>
        </is>
      </c>
      <c r="E5026" s="3" t="inlineStr">
        <is>
          <t xml:space="preserve">감사보고서제출              </t>
        </is>
      </c>
      <c r="F5026" s="3" t="inlineStr">
        <is>
          <t>하이록코리아</t>
        </is>
      </c>
      <c r="G5026" s="2" t="inlineStr">
        <is>
          <t>20260312901588</t>
        </is>
      </c>
      <c r="H5026" s="8">
        <f>HYPERLINK("https://dart.fss.or.kr/dsaf001/main.do?rcpNo=20260312901588", "공시열람")</f>
        <v/>
      </c>
    </row>
    <row r="5027">
      <c r="A5027" s="2" t="inlineStr">
        <is>
          <t>2026-03-12</t>
        </is>
      </c>
      <c r="B5027" s="3" t="inlineStr">
        <is>
          <t>한국금융지주</t>
        </is>
      </c>
      <c r="C5027" s="2" t="inlineStr">
        <is>
          <t>코스피</t>
        </is>
      </c>
      <c r="D5027" s="2" t="inlineStr">
        <is>
          <t>071050</t>
        </is>
      </c>
      <c r="E5027" s="3" t="inlineStr">
        <is>
          <t>의결권대리행사권유참고서류</t>
        </is>
      </c>
      <c r="F5027" s="3" t="inlineStr">
        <is>
          <t>한국금융지주</t>
        </is>
      </c>
      <c r="G5027" s="2" t="inlineStr">
        <is>
          <t>20260312001055</t>
        </is>
      </c>
      <c r="H5027" s="8">
        <f>HYPERLINK("https://dart.fss.or.kr/dsaf001/main.do?rcpNo=20260312001055", "공시열람")</f>
        <v/>
      </c>
    </row>
    <row r="5028">
      <c r="A5028" s="2" t="inlineStr">
        <is>
          <t>2026-03-12</t>
        </is>
      </c>
      <c r="B5028" s="3" t="inlineStr">
        <is>
          <t>제노텍</t>
        </is>
      </c>
      <c r="C5028" s="2" t="inlineStr">
        <is>
          <t>코넥스</t>
        </is>
      </c>
      <c r="D5028" s="2" t="inlineStr">
        <is>
          <t>066830</t>
        </is>
      </c>
      <c r="E5028" s="3" t="inlineStr">
        <is>
          <t xml:space="preserve">감사보고서제출              </t>
        </is>
      </c>
      <c r="F5028" s="3" t="inlineStr">
        <is>
          <t>제노텍</t>
        </is>
      </c>
      <c r="G5028" s="2" t="inlineStr">
        <is>
          <t>20260312601450</t>
        </is>
      </c>
      <c r="H5028" s="8">
        <f>HYPERLINK("https://dart.fss.or.kr/dsaf001/main.do?rcpNo=20260312601450", "공시열람")</f>
        <v/>
      </c>
    </row>
    <row r="5029">
      <c r="A5029" s="2" t="inlineStr">
        <is>
          <t>2026-03-12</t>
        </is>
      </c>
      <c r="B5029" s="3" t="inlineStr">
        <is>
          <t>SKC</t>
        </is>
      </c>
      <c r="C5029" s="2" t="inlineStr">
        <is>
          <t>코스피</t>
        </is>
      </c>
      <c r="D5029" s="2" t="inlineStr">
        <is>
          <t>011790</t>
        </is>
      </c>
      <c r="E5029" s="3" t="inlineStr">
        <is>
          <t>[기재정정]증권신고서(지분증권)</t>
        </is>
      </c>
      <c r="F5029" s="3" t="inlineStr">
        <is>
          <t>SKC</t>
        </is>
      </c>
      <c r="G5029" s="2" t="inlineStr">
        <is>
          <t>20260312001052</t>
        </is>
      </c>
      <c r="H5029" s="8">
        <f>HYPERLINK("https://dart.fss.or.kr/dsaf001/main.do?rcpNo=20260312001052", "공시열람")</f>
        <v/>
      </c>
    </row>
    <row r="5030">
      <c r="A5030" s="2" t="inlineStr">
        <is>
          <t>2026-03-12</t>
        </is>
      </c>
      <c r="B5030" s="3" t="inlineStr">
        <is>
          <t>파수AI</t>
        </is>
      </c>
      <c r="C5030" s="2" t="inlineStr">
        <is>
          <t>코스닥</t>
        </is>
      </c>
      <c r="D5030" s="2" t="inlineStr">
        <is>
          <t>150900</t>
        </is>
      </c>
      <c r="E5030" s="3" t="inlineStr">
        <is>
          <t>의결권대리행사권유참고서류</t>
        </is>
      </c>
      <c r="F5030" s="3" t="inlineStr">
        <is>
          <t>파수AI</t>
        </is>
      </c>
      <c r="G5030" s="2" t="inlineStr">
        <is>
          <t>20260312001046</t>
        </is>
      </c>
      <c r="H5030" s="8">
        <f>HYPERLINK("https://dart.fss.or.kr/dsaf001/main.do?rcpNo=20260312001046", "공시열람")</f>
        <v/>
      </c>
    </row>
    <row r="5031">
      <c r="A5031" s="2" t="inlineStr">
        <is>
          <t>2026-03-12</t>
        </is>
      </c>
      <c r="B5031" s="3" t="inlineStr">
        <is>
          <t>디앤씨미디어</t>
        </is>
      </c>
      <c r="C5031" s="2" t="inlineStr">
        <is>
          <t>코스닥</t>
        </is>
      </c>
      <c r="D5031" s="2" t="inlineStr">
        <is>
          <t>263720</t>
        </is>
      </c>
      <c r="E5031" s="3" t="inlineStr">
        <is>
          <t>의결권대리행사권유참고서류</t>
        </is>
      </c>
      <c r="F5031" s="3" t="inlineStr">
        <is>
          <t>디앤씨미디어</t>
        </is>
      </c>
      <c r="G5031" s="2" t="inlineStr">
        <is>
          <t>20260312001043</t>
        </is>
      </c>
      <c r="H5031" s="8">
        <f>HYPERLINK("https://dart.fss.or.kr/dsaf001/main.do?rcpNo=20260312001043", "공시열람")</f>
        <v/>
      </c>
    </row>
    <row r="5032">
      <c r="A5032" s="2" t="inlineStr">
        <is>
          <t>2026-03-12</t>
        </is>
      </c>
      <c r="B5032" s="3" t="inlineStr">
        <is>
          <t>두산에너빌리티</t>
        </is>
      </c>
      <c r="C5032" s="2" t="inlineStr">
        <is>
          <t>코스피</t>
        </is>
      </c>
      <c r="D5032" s="2" t="inlineStr">
        <is>
          <t>034020</t>
        </is>
      </c>
      <c r="E5032" s="3" t="inlineStr">
        <is>
          <t>의결권대리행사권유참고서류</t>
        </is>
      </c>
      <c r="F5032" s="3" t="inlineStr">
        <is>
          <t>두산에너빌리티</t>
        </is>
      </c>
      <c r="G5032" s="2" t="inlineStr">
        <is>
          <t>20260312001042</t>
        </is>
      </c>
      <c r="H5032" s="8">
        <f>HYPERLINK("https://dart.fss.or.kr/dsaf001/main.do?rcpNo=20260312001042", "공시열람")</f>
        <v/>
      </c>
    </row>
    <row r="5033">
      <c r="A5033" s="2" t="inlineStr">
        <is>
          <t>2026-03-12</t>
        </is>
      </c>
      <c r="B5033" s="3" t="inlineStr">
        <is>
          <t>슈프리마에이치큐</t>
        </is>
      </c>
      <c r="C5033" s="2" t="inlineStr">
        <is>
          <t>코스닥</t>
        </is>
      </c>
      <c r="D5033" s="2" t="inlineStr">
        <is>
          <t>094840</t>
        </is>
      </c>
      <c r="E5033" s="3" t="inlineStr">
        <is>
          <t xml:space="preserve">매출액또는손익구조30%(대규모법인은15%)이상변동              </t>
        </is>
      </c>
      <c r="F5033" s="3" t="inlineStr">
        <is>
          <t>슈프리마에이치큐</t>
        </is>
      </c>
      <c r="G5033" s="2" t="inlineStr">
        <is>
          <t>20260312901502</t>
        </is>
      </c>
      <c r="H5033" s="8">
        <f>HYPERLINK("https://dart.fss.or.kr/dsaf001/main.do?rcpNo=20260312901502", "공시열람")</f>
        <v/>
      </c>
    </row>
    <row r="5034">
      <c r="A5034" s="2" t="inlineStr">
        <is>
          <t>2026-03-12</t>
        </is>
      </c>
      <c r="B5034" s="3" t="inlineStr">
        <is>
          <t>씨엑스아이</t>
        </is>
      </c>
      <c r="C5034" s="2" t="inlineStr">
        <is>
          <t>코스닥</t>
        </is>
      </c>
      <c r="D5034" s="2" t="inlineStr">
        <is>
          <t>900120</t>
        </is>
      </c>
      <c r="E5034" s="3" t="inlineStr">
        <is>
          <t>증권발행결과(자율공시)              (제3자배정 유상증자)</t>
        </is>
      </c>
      <c r="F5034" s="3" t="inlineStr">
        <is>
          <t>씨엑스아이</t>
        </is>
      </c>
      <c r="G5034" s="2" t="inlineStr">
        <is>
          <t>20260312901000</t>
        </is>
      </c>
      <c r="H5034" s="8">
        <f>HYPERLINK("https://dart.fss.or.kr/dsaf001/main.do?rcpNo=20260312901000", "공시열람")</f>
        <v/>
      </c>
    </row>
    <row r="5035">
      <c r="A5035" s="2" t="inlineStr">
        <is>
          <t>2026-03-12</t>
        </is>
      </c>
      <c r="B5035" s="3" t="inlineStr">
        <is>
          <t>다날</t>
        </is>
      </c>
      <c r="C5035" s="2" t="inlineStr">
        <is>
          <t>코스닥</t>
        </is>
      </c>
      <c r="D5035" s="2" t="inlineStr">
        <is>
          <t>064260</t>
        </is>
      </c>
      <c r="E5035" s="3" t="inlineStr">
        <is>
          <t>[첨부정정]의결권대리행사권유참고서류</t>
        </is>
      </c>
      <c r="F5035" s="3" t="inlineStr">
        <is>
          <t>다날</t>
        </is>
      </c>
      <c r="G5035" s="2" t="inlineStr">
        <is>
          <t>20260312001033</t>
        </is>
      </c>
      <c r="H5035" s="8">
        <f>HYPERLINK("https://dart.fss.or.kr/dsaf001/main.do?rcpNo=20260312001033", "공시열람")</f>
        <v/>
      </c>
    </row>
    <row r="5036">
      <c r="A5036" s="2" t="inlineStr">
        <is>
          <t>2026-03-12</t>
        </is>
      </c>
      <c r="B5036" s="3" t="inlineStr">
        <is>
          <t>케이엔솔</t>
        </is>
      </c>
      <c r="C5036" s="2" t="inlineStr">
        <is>
          <t>코스닥</t>
        </is>
      </c>
      <c r="D5036" s="2" t="inlineStr">
        <is>
          <t>053080</t>
        </is>
      </c>
      <c r="E5036" s="3" t="inlineStr">
        <is>
          <t xml:space="preserve">매출액또는손익구조30%(대규모법인은15%)이상변동              </t>
        </is>
      </c>
      <c r="F5036" s="3" t="inlineStr">
        <is>
          <t>케이엔솔</t>
        </is>
      </c>
      <c r="G5036" s="2" t="inlineStr">
        <is>
          <t>20260312901520</t>
        </is>
      </c>
      <c r="H5036" s="8">
        <f>HYPERLINK("https://dart.fss.or.kr/dsaf001/main.do?rcpNo=20260312901520", "공시열람")</f>
        <v/>
      </c>
    </row>
    <row r="5037">
      <c r="A5037" s="2" t="inlineStr">
        <is>
          <t>2026-03-12</t>
        </is>
      </c>
      <c r="B5037" s="3" t="inlineStr">
        <is>
          <t>현대홈쇼핑</t>
        </is>
      </c>
      <c r="C5037" s="2" t="inlineStr">
        <is>
          <t>코스피</t>
        </is>
      </c>
      <c r="D5037" s="2" t="inlineStr">
        <is>
          <t>057050</t>
        </is>
      </c>
      <c r="E5037" s="3" t="inlineStr">
        <is>
          <t xml:space="preserve">감사보고서제출(자회사의 주요경영사항)              </t>
        </is>
      </c>
      <c r="F5037" s="3" t="inlineStr">
        <is>
          <t>현대홈쇼핑</t>
        </is>
      </c>
      <c r="G5037" s="2" t="inlineStr">
        <is>
          <t>20260312801566</t>
        </is>
      </c>
      <c r="H5037" s="8">
        <f>HYPERLINK("https://dart.fss.or.kr/dsaf001/main.do?rcpNo=20260312801566", "공시열람")</f>
        <v/>
      </c>
    </row>
    <row r="5038">
      <c r="A5038" s="2" t="inlineStr">
        <is>
          <t>2026-03-12</t>
        </is>
      </c>
      <c r="B5038" s="3" t="inlineStr">
        <is>
          <t>두산밥캣</t>
        </is>
      </c>
      <c r="C5038" s="2" t="inlineStr">
        <is>
          <t>코스피</t>
        </is>
      </c>
      <c r="D5038" s="2" t="inlineStr">
        <is>
          <t>241560</t>
        </is>
      </c>
      <c r="E5038" s="3" t="inlineStr">
        <is>
          <t xml:space="preserve">감사보고서제출(자회사의 주요경영사항)              </t>
        </is>
      </c>
      <c r="F5038" s="3" t="inlineStr">
        <is>
          <t>두산밥캣</t>
        </is>
      </c>
      <c r="G5038" s="2" t="inlineStr">
        <is>
          <t>20260312801406</t>
        </is>
      </c>
      <c r="H5038" s="8">
        <f>HYPERLINK("https://dart.fss.or.kr/dsaf001/main.do?rcpNo=20260312801406", "공시열람")</f>
        <v/>
      </c>
    </row>
    <row r="5039">
      <c r="A5039" s="2" t="inlineStr">
        <is>
          <t>2026-03-12</t>
        </is>
      </c>
      <c r="B5039" s="3" t="inlineStr">
        <is>
          <t>대성산업</t>
        </is>
      </c>
      <c r="C5039" s="2" t="inlineStr">
        <is>
          <t>코스피</t>
        </is>
      </c>
      <c r="D5039" s="2" t="inlineStr">
        <is>
          <t>128820</t>
        </is>
      </c>
      <c r="E5039" s="3" t="inlineStr">
        <is>
          <t>주요사항보고서(자기주식처분결정)</t>
        </is>
      </c>
      <c r="F5039" s="3" t="inlineStr">
        <is>
          <t>대성산업</t>
        </is>
      </c>
      <c r="G5039" s="2" t="inlineStr">
        <is>
          <t>20260312000949</t>
        </is>
      </c>
      <c r="H5039" s="8">
        <f>HYPERLINK("https://dart.fss.or.kr/dsaf001/main.do?rcpNo=20260312000949", "공시열람")</f>
        <v/>
      </c>
    </row>
    <row r="5040">
      <c r="A5040" s="2" t="inlineStr">
        <is>
          <t>2026-03-12</t>
        </is>
      </c>
      <c r="B5040" s="3" t="inlineStr">
        <is>
          <t>아이비김영</t>
        </is>
      </c>
      <c r="C5040" s="2" t="inlineStr">
        <is>
          <t>코스닥</t>
        </is>
      </c>
      <c r="D5040" s="2" t="inlineStr">
        <is>
          <t>339950</t>
        </is>
      </c>
      <c r="E5040" s="3" t="inlineStr">
        <is>
          <t xml:space="preserve">배당락              </t>
        </is>
      </c>
      <c r="F5040" s="3" t="inlineStr">
        <is>
          <t>코스닥시장본부</t>
        </is>
      </c>
      <c r="G5040" s="2" t="inlineStr">
        <is>
          <t>20260312901606</t>
        </is>
      </c>
      <c r="H5040" s="8">
        <f>HYPERLINK("https://dart.fss.or.kr/dsaf001/main.do?rcpNo=20260312901606", "공시열람")</f>
        <v/>
      </c>
    </row>
    <row r="5041">
      <c r="A5041" s="2" t="inlineStr">
        <is>
          <t>2026-03-12</t>
        </is>
      </c>
      <c r="B5041" s="3" t="inlineStr">
        <is>
          <t>메가스터디교육</t>
        </is>
      </c>
      <c r="C5041" s="2" t="inlineStr">
        <is>
          <t>코스닥</t>
        </is>
      </c>
      <c r="D5041" s="2" t="inlineStr">
        <is>
          <t>215200</t>
        </is>
      </c>
      <c r="E5041" s="3" t="inlineStr">
        <is>
          <t xml:space="preserve">배당락              </t>
        </is>
      </c>
      <c r="F5041" s="3" t="inlineStr">
        <is>
          <t>코스닥시장본부</t>
        </is>
      </c>
      <c r="G5041" s="2" t="inlineStr">
        <is>
          <t>20260312901615</t>
        </is>
      </c>
      <c r="H5041" s="8">
        <f>HYPERLINK("https://dart.fss.or.kr/dsaf001/main.do?rcpNo=20260312901615", "공시열람")</f>
        <v/>
      </c>
    </row>
    <row r="5042">
      <c r="A5042" s="2" t="inlineStr">
        <is>
          <t>2026-03-12</t>
        </is>
      </c>
      <c r="B5042" s="3" t="inlineStr">
        <is>
          <t>티케이지애강</t>
        </is>
      </c>
      <c r="C5042" s="2" t="inlineStr">
        <is>
          <t>코스닥</t>
        </is>
      </c>
      <c r="D5042" s="2" t="inlineStr">
        <is>
          <t>022220</t>
        </is>
      </c>
      <c r="E5042" s="3" t="inlineStr">
        <is>
          <t>의결권대리행사권유참고서류</t>
        </is>
      </c>
      <c r="F5042" s="3" t="inlineStr">
        <is>
          <t>티케이지애강</t>
        </is>
      </c>
      <c r="G5042" s="2" t="inlineStr">
        <is>
          <t>20260312001029</t>
        </is>
      </c>
      <c r="H5042" s="8">
        <f>HYPERLINK("https://dart.fss.or.kr/dsaf001/main.do?rcpNo=20260312001029", "공시열람")</f>
        <v/>
      </c>
    </row>
    <row r="5043">
      <c r="A5043" s="2" t="inlineStr">
        <is>
          <t>2026-03-12</t>
        </is>
      </c>
      <c r="B5043" s="3" t="inlineStr">
        <is>
          <t>아이마켓코리아</t>
        </is>
      </c>
      <c r="C5043" s="2" t="inlineStr">
        <is>
          <t>코스피</t>
        </is>
      </c>
      <c r="D5043" s="2" t="inlineStr">
        <is>
          <t>122900</t>
        </is>
      </c>
      <c r="E5043" s="3" t="inlineStr">
        <is>
          <t>의결권대리행사권유참고서류</t>
        </is>
      </c>
      <c r="F5043" s="3" t="inlineStr">
        <is>
          <t>아이마켓코리아</t>
        </is>
      </c>
      <c r="G5043" s="2" t="inlineStr">
        <is>
          <t>20260312001026</t>
        </is>
      </c>
      <c r="H5043" s="8">
        <f>HYPERLINK("https://dart.fss.or.kr/dsaf001/main.do?rcpNo=20260312001026", "공시열람")</f>
        <v/>
      </c>
    </row>
    <row r="5044">
      <c r="A5044" s="2" t="inlineStr">
        <is>
          <t>2026-03-12</t>
        </is>
      </c>
      <c r="B5044" s="3" t="inlineStr">
        <is>
          <t>하이브</t>
        </is>
      </c>
      <c r="C5044" s="2" t="inlineStr">
        <is>
          <t>코스피</t>
        </is>
      </c>
      <c r="D5044" s="2" t="inlineStr">
        <is>
          <t>352820</t>
        </is>
      </c>
      <c r="E5044" s="3" t="inlineStr">
        <is>
          <t>임원ㆍ주요주주특정증권등소유상황보고서</t>
        </is>
      </c>
      <c r="F5044" s="3" t="inlineStr">
        <is>
          <t>이경준</t>
        </is>
      </c>
      <c r="G5044" s="2" t="inlineStr">
        <is>
          <t>20260312001019</t>
        </is>
      </c>
      <c r="H5044" s="8">
        <f>HYPERLINK("https://dart.fss.or.kr/dsaf001/main.do?rcpNo=20260312001019", "공시열람")</f>
        <v/>
      </c>
    </row>
    <row r="5045">
      <c r="A5045" s="2" t="inlineStr">
        <is>
          <t>2026-03-12</t>
        </is>
      </c>
      <c r="B5045" s="3" t="inlineStr">
        <is>
          <t>에이치엘사이언스</t>
        </is>
      </c>
      <c r="C5045" s="2" t="inlineStr">
        <is>
          <t>코스닥</t>
        </is>
      </c>
      <c r="D5045" s="2" t="inlineStr">
        <is>
          <t>239610</t>
        </is>
      </c>
      <c r="E5045" s="3" t="inlineStr">
        <is>
          <t>임원ㆍ주요주주특정증권등거래계획보고서</t>
        </is>
      </c>
      <c r="F5045" s="3" t="inlineStr">
        <is>
          <t>이동현</t>
        </is>
      </c>
      <c r="G5045" s="2" t="inlineStr">
        <is>
          <t>20260312001017</t>
        </is>
      </c>
      <c r="H5045" s="8">
        <f>HYPERLINK("https://dart.fss.or.kr/dsaf001/main.do?rcpNo=20260312001017", "공시열람")</f>
        <v/>
      </c>
    </row>
    <row r="5046">
      <c r="A5046" s="2" t="inlineStr">
        <is>
          <t>2026-03-12</t>
        </is>
      </c>
      <c r="B5046" s="3" t="inlineStr">
        <is>
          <t>티에이치엔</t>
        </is>
      </c>
      <c r="C5046" s="2" t="inlineStr">
        <is>
          <t>코스피</t>
        </is>
      </c>
      <c r="D5046" s="2" t="inlineStr">
        <is>
          <t>019180</t>
        </is>
      </c>
      <c r="E5046" s="3" t="inlineStr">
        <is>
          <t xml:space="preserve">현금ㆍ현물배당결정              </t>
        </is>
      </c>
      <c r="F5046" s="3" t="inlineStr">
        <is>
          <t>티에이치엔</t>
        </is>
      </c>
      <c r="G5046" s="2" t="inlineStr">
        <is>
          <t>20260312801595</t>
        </is>
      </c>
      <c r="H5046" s="8">
        <f>HYPERLINK("https://dart.fss.or.kr/dsaf001/main.do?rcpNo=20260312801595", "공시열람")</f>
        <v/>
      </c>
    </row>
    <row r="5047">
      <c r="A5047" s="2" t="inlineStr">
        <is>
          <t>2026-03-12</t>
        </is>
      </c>
      <c r="B5047" s="3" t="inlineStr">
        <is>
          <t>에이루트</t>
        </is>
      </c>
      <c r="C5047" s="2" t="inlineStr">
        <is>
          <t>코스닥</t>
        </is>
      </c>
      <c r="D5047" s="2" t="inlineStr">
        <is>
          <t>096690</t>
        </is>
      </c>
      <c r="E5047" s="3" t="inlineStr">
        <is>
          <t>의결권대리행사권유참고서류</t>
        </is>
      </c>
      <c r="F5047" s="3" t="inlineStr">
        <is>
          <t>에이루트</t>
        </is>
      </c>
      <c r="G5047" s="2" t="inlineStr">
        <is>
          <t>20260312001011</t>
        </is>
      </c>
      <c r="H5047" s="8">
        <f>HYPERLINK("https://dart.fss.or.kr/dsaf001/main.do?rcpNo=20260312001011", "공시열람")</f>
        <v/>
      </c>
    </row>
    <row r="5048">
      <c r="A5048" s="2" t="inlineStr">
        <is>
          <t>2026-03-12</t>
        </is>
      </c>
      <c r="B5048" s="3" t="inlineStr">
        <is>
          <t>네오위즈</t>
        </is>
      </c>
      <c r="C5048" s="2" t="inlineStr">
        <is>
          <t>코스닥</t>
        </is>
      </c>
      <c r="D5048" s="2" t="inlineStr">
        <is>
          <t>095660</t>
        </is>
      </c>
      <c r="E5048" s="3" t="inlineStr">
        <is>
          <t>의결권대리행사권유참고서류</t>
        </is>
      </c>
      <c r="F5048" s="3" t="inlineStr">
        <is>
          <t>네오위즈</t>
        </is>
      </c>
      <c r="G5048" s="2" t="inlineStr">
        <is>
          <t>20260312001006</t>
        </is>
      </c>
      <c r="H5048" s="8">
        <f>HYPERLINK("https://dart.fss.or.kr/dsaf001/main.do?rcpNo=20260312001006", "공시열람")</f>
        <v/>
      </c>
    </row>
    <row r="5049">
      <c r="A5049" s="2" t="inlineStr">
        <is>
          <t>2026-03-12</t>
        </is>
      </c>
      <c r="B5049" s="3" t="inlineStr">
        <is>
          <t>풍산홀딩스</t>
        </is>
      </c>
      <c r="C5049" s="2" t="inlineStr">
        <is>
          <t>코스피</t>
        </is>
      </c>
      <c r="D5049" s="2" t="inlineStr">
        <is>
          <t>005810</t>
        </is>
      </c>
      <c r="E5049" s="3" t="inlineStr">
        <is>
          <t xml:space="preserve">감사보고서제출(자회사의 주요경영사항)              </t>
        </is>
      </c>
      <c r="F5049" s="3" t="inlineStr">
        <is>
          <t>풍산홀딩스</t>
        </is>
      </c>
      <c r="G5049" s="2" t="inlineStr">
        <is>
          <t>20260312801521</t>
        </is>
      </c>
      <c r="H5049" s="8">
        <f>HYPERLINK("https://dart.fss.or.kr/dsaf001/main.do?rcpNo=20260312801521", "공시열람")</f>
        <v/>
      </c>
    </row>
    <row r="5050">
      <c r="A5050" s="2" t="inlineStr">
        <is>
          <t>2026-03-12</t>
        </is>
      </c>
      <c r="B5050" s="3" t="inlineStr">
        <is>
          <t>현대퓨처넷</t>
        </is>
      </c>
      <c r="C5050" s="2" t="inlineStr">
        <is>
          <t>코스피</t>
        </is>
      </c>
      <c r="D5050" s="2" t="inlineStr">
        <is>
          <t>126560</t>
        </is>
      </c>
      <c r="E5050" s="3" t="inlineStr">
        <is>
          <t xml:space="preserve">감사보고서제출              </t>
        </is>
      </c>
      <c r="F5050" s="3" t="inlineStr">
        <is>
          <t>현대퓨처넷</t>
        </is>
      </c>
      <c r="G5050" s="2" t="inlineStr">
        <is>
          <t>20260312801437</t>
        </is>
      </c>
      <c r="H5050" s="8">
        <f>HYPERLINK("https://dart.fss.or.kr/dsaf001/main.do?rcpNo=20260312801437", "공시열람")</f>
        <v/>
      </c>
    </row>
    <row r="5051">
      <c r="A5051" s="2" t="inlineStr">
        <is>
          <t>2026-03-12</t>
        </is>
      </c>
      <c r="B5051" s="3" t="inlineStr">
        <is>
          <t>고영</t>
        </is>
      </c>
      <c r="C5051" s="2" t="inlineStr">
        <is>
          <t>코스닥</t>
        </is>
      </c>
      <c r="D5051" s="2" t="inlineStr">
        <is>
          <t>098460</t>
        </is>
      </c>
      <c r="E5051" s="3" t="inlineStr">
        <is>
          <t>의결권대리행사권유참고서류</t>
        </is>
      </c>
      <c r="F5051" s="3" t="inlineStr">
        <is>
          <t>고영</t>
        </is>
      </c>
      <c r="G5051" s="2" t="inlineStr">
        <is>
          <t>20260312000996</t>
        </is>
      </c>
      <c r="H5051" s="8">
        <f>HYPERLINK("https://dart.fss.or.kr/dsaf001/main.do?rcpNo=20260312000996", "공시열람")</f>
        <v/>
      </c>
    </row>
    <row r="5052">
      <c r="A5052" s="2" t="inlineStr">
        <is>
          <t>2026-03-12</t>
        </is>
      </c>
      <c r="B5052" s="3" t="inlineStr">
        <is>
          <t>JB금융지주</t>
        </is>
      </c>
      <c r="C5052" s="2" t="inlineStr">
        <is>
          <t>코스피</t>
        </is>
      </c>
      <c r="D5052" s="2" t="inlineStr">
        <is>
          <t>175330</t>
        </is>
      </c>
      <c r="E5052" s="3" t="inlineStr">
        <is>
          <t>증권발행실적보고서</t>
        </is>
      </c>
      <c r="F5052" s="3" t="inlineStr">
        <is>
          <t>JB금융지주</t>
        </is>
      </c>
      <c r="G5052" s="2" t="inlineStr">
        <is>
          <t>20260312000991</t>
        </is>
      </c>
      <c r="H5052" s="8">
        <f>HYPERLINK("https://dart.fss.or.kr/dsaf001/main.do?rcpNo=20260312000991", "공시열람")</f>
        <v/>
      </c>
    </row>
    <row r="5053">
      <c r="A5053" s="2" t="inlineStr">
        <is>
          <t>2026-03-12</t>
        </is>
      </c>
      <c r="B5053" s="3" t="inlineStr">
        <is>
          <t>DSC인베스트먼트</t>
        </is>
      </c>
      <c r="C5053" s="2" t="inlineStr">
        <is>
          <t>코스닥</t>
        </is>
      </c>
      <c r="D5053" s="2" t="inlineStr">
        <is>
          <t>241520</t>
        </is>
      </c>
      <c r="E5053" s="3" t="inlineStr">
        <is>
          <t>[첨부정정]의결권대리행사권유참고서류</t>
        </is>
      </c>
      <c r="F5053" s="3" t="inlineStr">
        <is>
          <t>DSC인베스트먼트</t>
        </is>
      </c>
      <c r="G5053" s="2" t="inlineStr">
        <is>
          <t>20260312000990</t>
        </is>
      </c>
      <c r="H5053" s="8">
        <f>HYPERLINK("https://dart.fss.or.kr/dsaf001/main.do?rcpNo=20260312000990", "공시열람")</f>
        <v/>
      </c>
    </row>
    <row r="5054">
      <c r="A5054" s="2" t="inlineStr">
        <is>
          <t>2026-03-12</t>
        </is>
      </c>
      <c r="B5054" s="3" t="inlineStr">
        <is>
          <t>토마토시스템</t>
        </is>
      </c>
      <c r="C5054" s="2" t="inlineStr">
        <is>
          <t>코스닥</t>
        </is>
      </c>
      <c r="D5054" s="2" t="inlineStr">
        <is>
          <t>393210</t>
        </is>
      </c>
      <c r="E5054" s="3" t="inlineStr">
        <is>
          <t>의결권대리행사권유참고서류</t>
        </is>
      </c>
      <c r="F5054" s="3" t="inlineStr">
        <is>
          <t>토마토시스템</t>
        </is>
      </c>
      <c r="G5054" s="2" t="inlineStr">
        <is>
          <t>20260312000988</t>
        </is>
      </c>
      <c r="H5054" s="8">
        <f>HYPERLINK("https://dart.fss.or.kr/dsaf001/main.do?rcpNo=20260312000988", "공시열람")</f>
        <v/>
      </c>
    </row>
    <row r="5055">
      <c r="A5055" s="2" t="inlineStr">
        <is>
          <t>2026-03-12</t>
        </is>
      </c>
      <c r="B5055" s="3" t="inlineStr">
        <is>
          <t>신영와코루</t>
        </is>
      </c>
      <c r="C5055" s="2" t="inlineStr">
        <is>
          <t>코스피</t>
        </is>
      </c>
      <c r="D5055" s="2" t="inlineStr">
        <is>
          <t>005800</t>
        </is>
      </c>
      <c r="E5055" s="3" t="inlineStr">
        <is>
          <t xml:space="preserve">감사보고서제출              </t>
        </is>
      </c>
      <c r="F5055" s="3" t="inlineStr">
        <is>
          <t>신영와코루</t>
        </is>
      </c>
      <c r="G5055" s="2" t="inlineStr">
        <is>
          <t>20260312801455</t>
        </is>
      </c>
      <c r="H5055" s="8">
        <f>HYPERLINK("https://dart.fss.or.kr/dsaf001/main.do?rcpNo=20260312801455", "공시열람")</f>
        <v/>
      </c>
    </row>
    <row r="5056">
      <c r="A5056" s="2" t="inlineStr">
        <is>
          <t>2026-03-12</t>
        </is>
      </c>
      <c r="B5056" s="3" t="inlineStr">
        <is>
          <t>태광산업</t>
        </is>
      </c>
      <c r="C5056" s="2" t="inlineStr">
        <is>
          <t>코스피</t>
        </is>
      </c>
      <c r="D5056" s="2" t="inlineStr">
        <is>
          <t>003240</t>
        </is>
      </c>
      <c r="E5056" s="3" t="inlineStr">
        <is>
          <t xml:space="preserve">대표이사(대표집행임원)변경(안내공시)              </t>
        </is>
      </c>
      <c r="F5056" s="3" t="inlineStr">
        <is>
          <t>태광산업</t>
        </is>
      </c>
      <c r="G5056" s="2" t="inlineStr">
        <is>
          <t>20260312801319</t>
        </is>
      </c>
      <c r="H5056" s="8">
        <f>HYPERLINK("https://dart.fss.or.kr/dsaf001/main.do?rcpNo=20260312801319", "공시열람")</f>
        <v/>
      </c>
    </row>
    <row r="5057">
      <c r="A5057" s="2" t="inlineStr">
        <is>
          <t>2026-03-12</t>
        </is>
      </c>
      <c r="B5057" s="3" t="inlineStr">
        <is>
          <t>노루홀딩스</t>
        </is>
      </c>
      <c r="C5057" s="2" t="inlineStr">
        <is>
          <t>코스피</t>
        </is>
      </c>
      <c r="D5057" s="2" t="inlineStr">
        <is>
          <t>000320</t>
        </is>
      </c>
      <c r="E5057" s="3" t="inlineStr">
        <is>
          <t xml:space="preserve">감사보고서제출              </t>
        </is>
      </c>
      <c r="F5057" s="3" t="inlineStr">
        <is>
          <t>노루홀딩스</t>
        </is>
      </c>
      <c r="G5057" s="2" t="inlineStr">
        <is>
          <t>20260312801453</t>
        </is>
      </c>
      <c r="H5057" s="8">
        <f>HYPERLINK("https://dart.fss.or.kr/dsaf001/main.do?rcpNo=20260312801453", "공시열람")</f>
        <v/>
      </c>
    </row>
    <row r="5058">
      <c r="A5058" s="2" t="inlineStr">
        <is>
          <t>2026-03-12</t>
        </is>
      </c>
      <c r="B5058" s="3" t="inlineStr">
        <is>
          <t>하이브</t>
        </is>
      </c>
      <c r="C5058" s="2" t="inlineStr">
        <is>
          <t>코스피</t>
        </is>
      </c>
      <c r="D5058" s="2" t="inlineStr">
        <is>
          <t>352820</t>
        </is>
      </c>
      <c r="E5058" s="3" t="inlineStr">
        <is>
          <t>임원ㆍ주요주주특정증권등소유상황보고서</t>
        </is>
      </c>
      <c r="F5058" s="3" t="inlineStr">
        <is>
          <t>이재상</t>
        </is>
      </c>
      <c r="G5058" s="2" t="inlineStr">
        <is>
          <t>20260312000980</t>
        </is>
      </c>
      <c r="H5058" s="8">
        <f>HYPERLINK("https://dart.fss.or.kr/dsaf001/main.do?rcpNo=20260312000980", "공시열람")</f>
        <v/>
      </c>
    </row>
    <row r="5059">
      <c r="A5059" s="2" t="inlineStr">
        <is>
          <t>2026-03-12</t>
        </is>
      </c>
      <c r="B5059" s="3" t="inlineStr">
        <is>
          <t>메가스터디</t>
        </is>
      </c>
      <c r="C5059" s="2" t="inlineStr">
        <is>
          <t>코스닥</t>
        </is>
      </c>
      <c r="D5059" s="2" t="inlineStr">
        <is>
          <t>072870</t>
        </is>
      </c>
      <c r="E5059" s="3" t="inlineStr">
        <is>
          <t xml:space="preserve">현금ㆍ현물배당을위한주주명부폐쇄(기준일)결정              </t>
        </is>
      </c>
      <c r="F5059" s="3" t="inlineStr">
        <is>
          <t>메가스터디</t>
        </is>
      </c>
      <c r="G5059" s="2" t="inlineStr">
        <is>
          <t>20260312901527</t>
        </is>
      </c>
      <c r="H5059" s="8">
        <f>HYPERLINK("https://dart.fss.or.kr/dsaf001/main.do?rcpNo=20260312901527", "공시열람")</f>
        <v/>
      </c>
    </row>
    <row r="5060">
      <c r="A5060" s="2" t="inlineStr">
        <is>
          <t>2026-03-12</t>
        </is>
      </c>
      <c r="B5060" s="3" t="inlineStr">
        <is>
          <t>메가엠디</t>
        </is>
      </c>
      <c r="C5060" s="2" t="inlineStr">
        <is>
          <t>코스닥</t>
        </is>
      </c>
      <c r="D5060" s="2" t="inlineStr">
        <is>
          <t>133750</t>
        </is>
      </c>
      <c r="E5060" s="3" t="inlineStr">
        <is>
          <t xml:space="preserve">현금ㆍ현물배당을위한주주명부폐쇄(기준일)결정              </t>
        </is>
      </c>
      <c r="F5060" s="3" t="inlineStr">
        <is>
          <t>메가엠디</t>
        </is>
      </c>
      <c r="G5060" s="2" t="inlineStr">
        <is>
          <t>20260312901523</t>
        </is>
      </c>
      <c r="H5060" s="8">
        <f>HYPERLINK("https://dart.fss.or.kr/dsaf001/main.do?rcpNo=20260312901523", "공시열람")</f>
        <v/>
      </c>
    </row>
    <row r="5061">
      <c r="A5061" s="2" t="inlineStr">
        <is>
          <t>2026-03-12</t>
        </is>
      </c>
      <c r="B5061" s="3" t="inlineStr">
        <is>
          <t>풍산</t>
        </is>
      </c>
      <c r="C5061" s="2" t="inlineStr">
        <is>
          <t>코스피</t>
        </is>
      </c>
      <c r="D5061" s="2" t="inlineStr">
        <is>
          <t>103140</t>
        </is>
      </c>
      <c r="E5061" s="3" t="inlineStr">
        <is>
          <t xml:space="preserve">감사보고서제출              </t>
        </is>
      </c>
      <c r="F5061" s="3" t="inlineStr">
        <is>
          <t>풍산</t>
        </is>
      </c>
      <c r="G5061" s="2" t="inlineStr">
        <is>
          <t>20260312801478</t>
        </is>
      </c>
      <c r="H5061" s="8">
        <f>HYPERLINK("https://dart.fss.or.kr/dsaf001/main.do?rcpNo=20260312801478", "공시열람")</f>
        <v/>
      </c>
    </row>
    <row r="5062">
      <c r="A5062" s="2" t="inlineStr">
        <is>
          <t>2026-03-12</t>
        </is>
      </c>
      <c r="B5062" s="3" t="inlineStr">
        <is>
          <t>한국금융지주</t>
        </is>
      </c>
      <c r="C5062" s="2" t="inlineStr">
        <is>
          <t>코스피</t>
        </is>
      </c>
      <c r="D5062" s="2" t="inlineStr">
        <is>
          <t>071050</t>
        </is>
      </c>
      <c r="E5062" s="3" t="inlineStr">
        <is>
          <t xml:space="preserve">감사보고서제출              </t>
        </is>
      </c>
      <c r="F5062" s="3" t="inlineStr">
        <is>
          <t>한국금융지주</t>
        </is>
      </c>
      <c r="G5062" s="2" t="inlineStr">
        <is>
          <t>20260312801188</t>
        </is>
      </c>
      <c r="H5062" s="8">
        <f>HYPERLINK("https://dart.fss.or.kr/dsaf001/main.do?rcpNo=20260312801188", "공시열람")</f>
        <v/>
      </c>
    </row>
    <row r="5063">
      <c r="A5063" s="2" t="inlineStr">
        <is>
          <t>2026-03-12</t>
        </is>
      </c>
      <c r="B5063" s="3" t="inlineStr">
        <is>
          <t>KBI메탈</t>
        </is>
      </c>
      <c r="C5063" s="2" t="inlineStr">
        <is>
          <t>코스닥</t>
        </is>
      </c>
      <c r="D5063" s="2" t="inlineStr">
        <is>
          <t>024840</t>
        </is>
      </c>
      <c r="E5063" s="3" t="inlineStr">
        <is>
          <t>의결권대리행사권유참고서류</t>
        </is>
      </c>
      <c r="F5063" s="3" t="inlineStr">
        <is>
          <t>KBI메탈</t>
        </is>
      </c>
      <c r="G5063" s="2" t="inlineStr">
        <is>
          <t>20260312000966</t>
        </is>
      </c>
      <c r="H5063" s="8">
        <f>HYPERLINK("https://dart.fss.or.kr/dsaf001/main.do?rcpNo=20260312000966", "공시열람")</f>
        <v/>
      </c>
    </row>
    <row r="5064">
      <c r="A5064" s="2" t="inlineStr">
        <is>
          <t>2026-03-12</t>
        </is>
      </c>
      <c r="B5064" s="3" t="inlineStr">
        <is>
          <t>진로발효</t>
        </is>
      </c>
      <c r="C5064" s="2" t="inlineStr">
        <is>
          <t>코스닥</t>
        </is>
      </c>
      <c r="D5064" s="2" t="inlineStr">
        <is>
          <t>018120</t>
        </is>
      </c>
      <c r="E5064" s="3" t="inlineStr">
        <is>
          <t>의결권대리행사권유참고서류</t>
        </is>
      </c>
      <c r="F5064" s="3" t="inlineStr">
        <is>
          <t>진로발효</t>
        </is>
      </c>
      <c r="G5064" s="2" t="inlineStr">
        <is>
          <t>20260312000965</t>
        </is>
      </c>
      <c r="H5064" s="8">
        <f>HYPERLINK("https://dart.fss.or.kr/dsaf001/main.do?rcpNo=20260312000965", "공시열람")</f>
        <v/>
      </c>
    </row>
    <row r="5065">
      <c r="A5065" s="2" t="inlineStr">
        <is>
          <t>2026-03-12</t>
        </is>
      </c>
      <c r="B5065" s="3" t="inlineStr">
        <is>
          <t>대원산업</t>
        </is>
      </c>
      <c r="C5065" s="2" t="inlineStr">
        <is>
          <t>코스닥</t>
        </is>
      </c>
      <c r="D5065" s="2" t="inlineStr">
        <is>
          <t>005710</t>
        </is>
      </c>
      <c r="E5065" s="3" t="inlineStr">
        <is>
          <t xml:space="preserve">감사보고서제출              </t>
        </is>
      </c>
      <c r="F5065" s="3" t="inlineStr">
        <is>
          <t>대원산업</t>
        </is>
      </c>
      <c r="G5065" s="2" t="inlineStr">
        <is>
          <t>20260312901418</t>
        </is>
      </c>
      <c r="H5065" s="8">
        <f>HYPERLINK("https://dart.fss.or.kr/dsaf001/main.do?rcpNo=20260312901418", "공시열람")</f>
        <v/>
      </c>
    </row>
    <row r="5066">
      <c r="A5066" s="2" t="inlineStr">
        <is>
          <t>2026-03-12</t>
        </is>
      </c>
      <c r="B5066" s="3" t="inlineStr">
        <is>
          <t>한국캐피탈</t>
        </is>
      </c>
      <c r="C5066" s="2" t="inlineStr">
        <is>
          <t>코스닥</t>
        </is>
      </c>
      <c r="D5066" s="2" t="inlineStr">
        <is>
          <t>023760</t>
        </is>
      </c>
      <c r="E5066" s="3" t="inlineStr">
        <is>
          <t xml:space="preserve">감사보고서제출              </t>
        </is>
      </c>
      <c r="F5066" s="3" t="inlineStr">
        <is>
          <t>한국캐피탈</t>
        </is>
      </c>
      <c r="G5066" s="2" t="inlineStr">
        <is>
          <t>20260312901155</t>
        </is>
      </c>
      <c r="H5066" s="8">
        <f>HYPERLINK("https://dart.fss.or.kr/dsaf001/main.do?rcpNo=20260312901155", "공시열람")</f>
        <v/>
      </c>
    </row>
    <row r="5067">
      <c r="A5067" s="2" t="inlineStr">
        <is>
          <t>2026-03-12</t>
        </is>
      </c>
      <c r="B5067" s="3" t="inlineStr">
        <is>
          <t>하이텍팜</t>
        </is>
      </c>
      <c r="C5067" s="2" t="inlineStr">
        <is>
          <t>코스닥</t>
        </is>
      </c>
      <c r="D5067" s="2" t="inlineStr">
        <is>
          <t>106190</t>
        </is>
      </c>
      <c r="E5067" s="3" t="inlineStr">
        <is>
          <t xml:space="preserve">감사보고서제출              </t>
        </is>
      </c>
      <c r="F5067" s="3" t="inlineStr">
        <is>
          <t>하이텍팜</t>
        </is>
      </c>
      <c r="G5067" s="2" t="inlineStr">
        <is>
          <t>20260312901168</t>
        </is>
      </c>
      <c r="H5067" s="8">
        <f>HYPERLINK("https://dart.fss.or.kr/dsaf001/main.do?rcpNo=20260312901168", "공시열람")</f>
        <v/>
      </c>
    </row>
    <row r="5068">
      <c r="A5068" s="2" t="inlineStr">
        <is>
          <t>2026-03-12</t>
        </is>
      </c>
      <c r="B5068" s="3" t="inlineStr">
        <is>
          <t>삼성전자</t>
        </is>
      </c>
      <c r="C5068" s="2" t="inlineStr">
        <is>
          <t>코스피</t>
        </is>
      </c>
      <c r="D5068" s="2" t="inlineStr">
        <is>
          <t>005930</t>
        </is>
      </c>
      <c r="E5068" s="3" t="inlineStr">
        <is>
          <t>자기주식취득결과보고서</t>
        </is>
      </c>
      <c r="F5068" s="3" t="inlineStr">
        <is>
          <t>삼성전자</t>
        </is>
      </c>
      <c r="G5068" s="2" t="inlineStr">
        <is>
          <t>20260312000961</t>
        </is>
      </c>
      <c r="H5068" s="8">
        <f>HYPERLINK("https://dart.fss.or.kr/dsaf001/main.do?rcpNo=20260312000961", "공시열람")</f>
        <v/>
      </c>
    </row>
    <row r="5069">
      <c r="A5069" s="2" t="inlineStr">
        <is>
          <t>2026-03-12</t>
        </is>
      </c>
      <c r="B5069" s="3" t="inlineStr">
        <is>
          <t>모베이스</t>
        </is>
      </c>
      <c r="C5069" s="2" t="inlineStr">
        <is>
          <t>코스닥</t>
        </is>
      </c>
      <c r="D5069" s="2" t="inlineStr">
        <is>
          <t>101330</t>
        </is>
      </c>
      <c r="E5069" s="3" t="inlineStr">
        <is>
          <t xml:space="preserve">현금ㆍ현물배당결정              </t>
        </is>
      </c>
      <c r="F5069" s="3" t="inlineStr">
        <is>
          <t>모베이스</t>
        </is>
      </c>
      <c r="G5069" s="2" t="inlineStr">
        <is>
          <t>20260312901402</t>
        </is>
      </c>
      <c r="H5069" s="8">
        <f>HYPERLINK("https://dart.fss.or.kr/dsaf001/main.do?rcpNo=20260312901402", "공시열람")</f>
        <v/>
      </c>
    </row>
    <row r="5070">
      <c r="A5070" s="2" t="inlineStr">
        <is>
          <t>2026-03-12</t>
        </is>
      </c>
      <c r="B5070" s="3" t="inlineStr">
        <is>
          <t>스맥</t>
        </is>
      </c>
      <c r="C5070" s="2" t="inlineStr">
        <is>
          <t>코스닥</t>
        </is>
      </c>
      <c r="D5070" s="2" t="inlineStr">
        <is>
          <t>099440</t>
        </is>
      </c>
      <c r="E5070" s="3" t="inlineStr">
        <is>
          <t>의결권대리행사권유참고서류</t>
        </is>
      </c>
      <c r="F5070" s="3" t="inlineStr">
        <is>
          <t>SNT홀딩스</t>
        </is>
      </c>
      <c r="G5070" s="2" t="inlineStr">
        <is>
          <t>20260312000960</t>
        </is>
      </c>
      <c r="H5070" s="8">
        <f>HYPERLINK("https://dart.fss.or.kr/dsaf001/main.do?rcpNo=20260312000960", "공시열람")</f>
        <v/>
      </c>
    </row>
    <row r="5071">
      <c r="A5071" s="2" t="inlineStr">
        <is>
          <t>2026-03-12</t>
        </is>
      </c>
      <c r="B5071" s="3" t="inlineStr">
        <is>
          <t>스톤브릿지벤처스</t>
        </is>
      </c>
      <c r="C5071" s="2" t="inlineStr">
        <is>
          <t>코스닥</t>
        </is>
      </c>
      <c r="D5071" s="2" t="inlineStr">
        <is>
          <t>330730</t>
        </is>
      </c>
      <c r="E5071" s="3" t="inlineStr">
        <is>
          <t>의결권대리행사권유참고서류</t>
        </is>
      </c>
      <c r="F5071" s="3" t="inlineStr">
        <is>
          <t>스톤브릿지벤처스</t>
        </is>
      </c>
      <c r="G5071" s="2" t="inlineStr">
        <is>
          <t>20260312000959</t>
        </is>
      </c>
      <c r="H5071" s="8">
        <f>HYPERLINK("https://dart.fss.or.kr/dsaf001/main.do?rcpNo=20260312000959", "공시열람")</f>
        <v/>
      </c>
    </row>
    <row r="5072">
      <c r="A5072" s="2" t="inlineStr">
        <is>
          <t>2026-03-12</t>
        </is>
      </c>
      <c r="B5072" s="3" t="inlineStr">
        <is>
          <t>우리엔터프라이즈</t>
        </is>
      </c>
      <c r="C5072" s="2" t="inlineStr">
        <is>
          <t>코스닥</t>
        </is>
      </c>
      <c r="D5072" s="2" t="inlineStr">
        <is>
          <t>037400</t>
        </is>
      </c>
      <c r="E5072" s="3" t="inlineStr">
        <is>
          <t xml:space="preserve">현금ㆍ현물배당결정              </t>
        </is>
      </c>
      <c r="F5072" s="3" t="inlineStr">
        <is>
          <t>우리엔터프라이즈</t>
        </is>
      </c>
      <c r="G5072" s="2" t="inlineStr">
        <is>
          <t>20260312901156</t>
        </is>
      </c>
      <c r="H5072" s="8">
        <f>HYPERLINK("https://dart.fss.or.kr/dsaf001/main.do?rcpNo=20260312901156", "공시열람")</f>
        <v/>
      </c>
    </row>
    <row r="5073">
      <c r="A5073" s="2" t="inlineStr">
        <is>
          <t>2026-02-24 (정정: 2026-03-12)</t>
        </is>
      </c>
      <c r="B5073" s="3" t="inlineStr">
        <is>
          <t>휴비츠</t>
        </is>
      </c>
      <c r="C5073" s="2" t="inlineStr">
        <is>
          <t>코스닥</t>
        </is>
      </c>
      <c r="D5073" s="2" t="inlineStr">
        <is>
          <t>065510</t>
        </is>
      </c>
      <c r="E5073" s="3" t="inlineStr">
        <is>
          <t xml:space="preserve">[기재정정]매출액또는손익구조30%(대규모법인은15%)이상변동              </t>
        </is>
      </c>
      <c r="F5073" s="3" t="inlineStr">
        <is>
          <t>휴비츠</t>
        </is>
      </c>
      <c r="G5073" s="2" t="inlineStr">
        <is>
          <t>20260312901132</t>
        </is>
      </c>
      <c r="H5073" s="8">
        <f>HYPERLINK("https://dart.fss.or.kr/dsaf001/main.do?rcpNo=20260312901132", "공시열람")</f>
        <v/>
      </c>
    </row>
    <row r="5074">
      <c r="A5074" s="2" t="inlineStr">
        <is>
          <t>2026-03-12 (정정: 2026-03-17)</t>
        </is>
      </c>
      <c r="B5074" s="3" t="inlineStr">
        <is>
          <t>대한해운</t>
        </is>
      </c>
      <c r="C5074" s="2" t="inlineStr">
        <is>
          <t>코스피</t>
        </is>
      </c>
      <c r="D5074" s="2" t="inlineStr">
        <is>
          <t>005880</t>
        </is>
      </c>
      <c r="E5074" s="3" t="inlineStr">
        <is>
          <t>의결권대리행사권유참고서류 (정정: 20260317)</t>
        </is>
      </c>
      <c r="F5074" s="3" t="inlineStr">
        <is>
          <t>대한해운</t>
        </is>
      </c>
      <c r="G5074" s="2" t="inlineStr">
        <is>
          <t>20260317000751</t>
        </is>
      </c>
      <c r="H5074" s="8">
        <f>HYPERLINK("https://dart.fss.or.kr/dsaf001/main.do?rcpNo=20260317000751", "공시열람")</f>
        <v/>
      </c>
    </row>
    <row r="5075">
      <c r="A5075" s="2" t="inlineStr">
        <is>
          <t>2026-03-12 (정정: 2026-03-12)</t>
        </is>
      </c>
      <c r="B5075" s="3" t="inlineStr">
        <is>
          <t>하이비젼시스템</t>
        </is>
      </c>
      <c r="C5075" s="2" t="inlineStr">
        <is>
          <t>코스닥</t>
        </is>
      </c>
      <c r="D5075" s="2" t="inlineStr">
        <is>
          <t>126700</t>
        </is>
      </c>
      <c r="E5075" s="3" t="inlineStr">
        <is>
          <t>의결권대리행사권유참고서류 (정정: 20260312)</t>
        </is>
      </c>
      <c r="F5075" s="3" t="inlineStr">
        <is>
          <t>하이비젼시스템</t>
        </is>
      </c>
      <c r="G5075" s="2" t="inlineStr">
        <is>
          <t>20260312900497</t>
        </is>
      </c>
      <c r="H5075" s="8">
        <f>HYPERLINK("https://dart.fss.or.kr/dsaf001/main.do?rcpNo=20260312900497", "공시열람")</f>
        <v/>
      </c>
    </row>
    <row r="5076">
      <c r="A5076" s="2" t="inlineStr">
        <is>
          <t>2026-03-12</t>
        </is>
      </c>
      <c r="B5076" s="3" t="inlineStr">
        <is>
          <t>다산네트웍스</t>
        </is>
      </c>
      <c r="C5076" s="2" t="inlineStr">
        <is>
          <t>코스닥</t>
        </is>
      </c>
      <c r="D5076" s="2" t="inlineStr">
        <is>
          <t>039560</t>
        </is>
      </c>
      <c r="E5076" s="3" t="inlineStr">
        <is>
          <t xml:space="preserve">매출액또는손익구조30%(대규모법인은15%)이상변동              </t>
        </is>
      </c>
      <c r="F5076" s="3" t="inlineStr">
        <is>
          <t>다산네트웍스</t>
        </is>
      </c>
      <c r="G5076" s="2" t="inlineStr">
        <is>
          <t>20260312901211</t>
        </is>
      </c>
      <c r="H5076" s="8">
        <f>HYPERLINK("https://dart.fss.or.kr/dsaf001/main.do?rcpNo=20260312901211", "공시열람")</f>
        <v/>
      </c>
    </row>
    <row r="5077">
      <c r="A5077" s="2" t="inlineStr">
        <is>
          <t>2026-03-12</t>
        </is>
      </c>
      <c r="B5077" s="3" t="inlineStr">
        <is>
          <t>미래산업</t>
        </is>
      </c>
      <c r="C5077" s="2" t="inlineStr">
        <is>
          <t>코스피</t>
        </is>
      </c>
      <c r="D5077" s="2" t="inlineStr">
        <is>
          <t>025560</t>
        </is>
      </c>
      <c r="E5077" s="3" t="inlineStr">
        <is>
          <t>의결권대리행사권유참고서류</t>
        </is>
      </c>
      <c r="F5077" s="3" t="inlineStr">
        <is>
          <t>미래산업</t>
        </is>
      </c>
      <c r="G5077" s="2" t="inlineStr">
        <is>
          <t>20260312000945</t>
        </is>
      </c>
      <c r="H5077" s="8">
        <f>HYPERLINK("https://dart.fss.or.kr/dsaf001/main.do?rcpNo=20260312000945", "공시열람")</f>
        <v/>
      </c>
    </row>
    <row r="5078">
      <c r="A5078" s="2" t="inlineStr">
        <is>
          <t>2026-03-12 (정정: 2026-05-22)</t>
        </is>
      </c>
      <c r="B5078" s="3" t="inlineStr">
        <is>
          <t>티쓰리</t>
        </is>
      </c>
      <c r="C5078" s="2" t="inlineStr">
        <is>
          <t>코스닥</t>
        </is>
      </c>
      <c r="D5078" s="2" t="inlineStr">
        <is>
          <t>204610</t>
        </is>
      </c>
      <c r="E5078" s="3" t="inlineStr">
        <is>
          <t>감사보고서제출               (정정: 20260522)</t>
        </is>
      </c>
      <c r="F5078" s="3" t="inlineStr">
        <is>
          <t>티쓰리</t>
        </is>
      </c>
      <c r="G5078" s="2" t="inlineStr">
        <is>
          <t>20260522900584</t>
        </is>
      </c>
      <c r="H5078" s="8">
        <f>HYPERLINK("https://dart.fss.or.kr/dsaf001/main.do?rcpNo=20260522900584", "공시열람")</f>
        <v/>
      </c>
    </row>
    <row r="5079">
      <c r="A5079" s="2" t="inlineStr">
        <is>
          <t>2026-03-12</t>
        </is>
      </c>
      <c r="B5079" s="3" t="inlineStr">
        <is>
          <t>남해화학</t>
        </is>
      </c>
      <c r="C5079" s="2" t="inlineStr">
        <is>
          <t>코스피</t>
        </is>
      </c>
      <c r="D5079" s="2" t="inlineStr">
        <is>
          <t>025860</t>
        </is>
      </c>
      <c r="E5079" s="3" t="inlineStr">
        <is>
          <t>[기재정정]의결권대리행사권유참고서류</t>
        </is>
      </c>
      <c r="F5079" s="3" t="inlineStr">
        <is>
          <t>남해화학</t>
        </is>
      </c>
      <c r="G5079" s="2" t="inlineStr">
        <is>
          <t>20260312000943</t>
        </is>
      </c>
      <c r="H5079" s="8">
        <f>HYPERLINK("https://dart.fss.or.kr/dsaf001/main.do?rcpNo=20260312000943", "공시열람")</f>
        <v/>
      </c>
    </row>
    <row r="5080">
      <c r="A5080" s="2" t="inlineStr">
        <is>
          <t>2026-03-12</t>
        </is>
      </c>
      <c r="B5080" s="3" t="inlineStr">
        <is>
          <t>제이엠아이</t>
        </is>
      </c>
      <c r="C5080" s="2" t="inlineStr">
        <is>
          <t>코스닥</t>
        </is>
      </c>
      <c r="D5080" s="2" t="inlineStr">
        <is>
          <t>033050</t>
        </is>
      </c>
      <c r="E5080" s="3" t="inlineStr">
        <is>
          <t>임원ㆍ주요주주특정증권등소유상황보고서</t>
        </is>
      </c>
      <c r="F5080" s="3" t="inlineStr">
        <is>
          <t>정광훈</t>
        </is>
      </c>
      <c r="G5080" s="2" t="inlineStr">
        <is>
          <t>20260312000941</t>
        </is>
      </c>
      <c r="H5080" s="8">
        <f>HYPERLINK("https://dart.fss.or.kr/dsaf001/main.do?rcpNo=20260312000941", "공시열람")</f>
        <v/>
      </c>
    </row>
    <row r="5081">
      <c r="A5081" s="2" t="inlineStr">
        <is>
          <t>2026-03-12</t>
        </is>
      </c>
      <c r="B5081" s="3" t="inlineStr">
        <is>
          <t>에스투더블유</t>
        </is>
      </c>
      <c r="C5081" s="2" t="inlineStr">
        <is>
          <t>코스닥</t>
        </is>
      </c>
      <c r="D5081" s="2" t="inlineStr">
        <is>
          <t>488280</t>
        </is>
      </c>
      <c r="E5081" s="3" t="inlineStr">
        <is>
          <t>임원ㆍ주요주주특정증권등거래계획보고서</t>
        </is>
      </c>
      <c r="F5081" s="3" t="inlineStr">
        <is>
          <t>서상덕</t>
        </is>
      </c>
      <c r="G5081" s="2" t="inlineStr">
        <is>
          <t>20260312000940</t>
        </is>
      </c>
      <c r="H5081" s="8">
        <f>HYPERLINK("https://dart.fss.or.kr/dsaf001/main.do?rcpNo=20260312000940", "공시열람")</f>
        <v/>
      </c>
    </row>
    <row r="5082">
      <c r="A5082" s="2" t="inlineStr">
        <is>
          <t>2026-03-12</t>
        </is>
      </c>
      <c r="B5082" s="3" t="inlineStr">
        <is>
          <t>로킷헬스케어</t>
        </is>
      </c>
      <c r="C5082" s="2" t="inlineStr">
        <is>
          <t>코스닥</t>
        </is>
      </c>
      <c r="D5082" s="2" t="inlineStr">
        <is>
          <t>376900</t>
        </is>
      </c>
      <c r="E5082" s="3" t="inlineStr">
        <is>
          <t>의결권대리행사권유참고서류</t>
        </is>
      </c>
      <c r="F5082" s="3" t="inlineStr">
        <is>
          <t>로킷헬스케어</t>
        </is>
      </c>
      <c r="G5082" s="2" t="inlineStr">
        <is>
          <t>20260312000939</t>
        </is>
      </c>
      <c r="H5082" s="8">
        <f>HYPERLINK("https://dart.fss.or.kr/dsaf001/main.do?rcpNo=20260312000939", "공시열람")</f>
        <v/>
      </c>
    </row>
    <row r="5083">
      <c r="A5083" s="2" t="inlineStr">
        <is>
          <t>2026-02-20 (정정: 2026-03-12)</t>
        </is>
      </c>
      <c r="B5083" s="3" t="inlineStr">
        <is>
          <t>아티스트컴퍼니</t>
        </is>
      </c>
      <c r="C5083" s="2" t="inlineStr">
        <is>
          <t>코스닥</t>
        </is>
      </c>
      <c r="D5083" s="2" t="inlineStr">
        <is>
          <t>321820</t>
        </is>
      </c>
      <c r="E5083" s="3" t="inlineStr">
        <is>
          <t xml:space="preserve">[기재정정]매출액또는손익구조30%(대규모법인은15%)이상변동              </t>
        </is>
      </c>
      <c r="F5083" s="3" t="inlineStr">
        <is>
          <t>아티스트컴퍼니</t>
        </is>
      </c>
      <c r="G5083" s="2" t="inlineStr">
        <is>
          <t>20260312901381</t>
        </is>
      </c>
      <c r="H5083" s="8">
        <f>HYPERLINK("https://dart.fss.or.kr/dsaf001/main.do?rcpNo=20260312901381", "공시열람")</f>
        <v/>
      </c>
    </row>
    <row r="5084">
      <c r="A5084" s="2" t="inlineStr">
        <is>
          <t>2026-03-12</t>
        </is>
      </c>
      <c r="B5084" s="3" t="inlineStr">
        <is>
          <t>바이오솔루션</t>
        </is>
      </c>
      <c r="C5084" s="2" t="inlineStr">
        <is>
          <t>코스닥</t>
        </is>
      </c>
      <c r="D5084" s="2" t="inlineStr">
        <is>
          <t>086820</t>
        </is>
      </c>
      <c r="E5084" s="3" t="inlineStr">
        <is>
          <t>의결권대리행사권유참고서류</t>
        </is>
      </c>
      <c r="F5084" s="3" t="inlineStr">
        <is>
          <t>바이오솔루션</t>
        </is>
      </c>
      <c r="G5084" s="2" t="inlineStr">
        <is>
          <t>20260312000936</t>
        </is>
      </c>
      <c r="H5084" s="8">
        <f>HYPERLINK("https://dart.fss.or.kr/dsaf001/main.do?rcpNo=20260312000936", "공시열람")</f>
        <v/>
      </c>
    </row>
    <row r="5085">
      <c r="A5085" s="2" t="inlineStr">
        <is>
          <t>2026-03-12</t>
        </is>
      </c>
      <c r="B5085" s="3" t="inlineStr">
        <is>
          <t>엠케이전자</t>
        </is>
      </c>
      <c r="C5085" s="2" t="inlineStr">
        <is>
          <t>코스닥</t>
        </is>
      </c>
      <c r="D5085" s="2" t="inlineStr">
        <is>
          <t>033160</t>
        </is>
      </c>
      <c r="E5085" s="3" t="inlineStr">
        <is>
          <t xml:space="preserve">전환청구권행사              </t>
        </is>
      </c>
      <c r="F5085" s="3" t="inlineStr">
        <is>
          <t>엠케이전자</t>
        </is>
      </c>
      <c r="G5085" s="2" t="inlineStr">
        <is>
          <t>20260312901464</t>
        </is>
      </c>
      <c r="H5085" s="8">
        <f>HYPERLINK("https://dart.fss.or.kr/dsaf001/main.do?rcpNo=20260312901464", "공시열람")</f>
        <v/>
      </c>
    </row>
    <row r="5086">
      <c r="A5086" s="2" t="inlineStr">
        <is>
          <t>2026-03-12</t>
        </is>
      </c>
      <c r="B5086" s="3" t="inlineStr">
        <is>
          <t>동화기업</t>
        </is>
      </c>
      <c r="C5086" s="2" t="inlineStr">
        <is>
          <t>코스닥</t>
        </is>
      </c>
      <c r="D5086" s="2" t="inlineStr">
        <is>
          <t>025900</t>
        </is>
      </c>
      <c r="E5086" s="3" t="inlineStr">
        <is>
          <t xml:space="preserve">매출액또는손익구조30%(대규모법인은15%)이상변동              </t>
        </is>
      </c>
      <c r="F5086" s="3" t="inlineStr">
        <is>
          <t>동화기업</t>
        </is>
      </c>
      <c r="G5086" s="2" t="inlineStr">
        <is>
          <t>20260312901209</t>
        </is>
      </c>
      <c r="H5086" s="8">
        <f>HYPERLINK("https://dart.fss.or.kr/dsaf001/main.do?rcpNo=20260312901209", "공시열람")</f>
        <v/>
      </c>
    </row>
    <row r="5087">
      <c r="A5087" s="2" t="inlineStr">
        <is>
          <t>2026-03-12</t>
        </is>
      </c>
      <c r="B5087" s="3" t="inlineStr">
        <is>
          <t>유니테스트</t>
        </is>
      </c>
      <c r="C5087" s="2" t="inlineStr">
        <is>
          <t>코스닥</t>
        </is>
      </c>
      <c r="D5087" s="2" t="inlineStr">
        <is>
          <t>086390</t>
        </is>
      </c>
      <c r="E5087" s="3" t="inlineStr">
        <is>
          <t>의결권대리행사권유참고서류</t>
        </is>
      </c>
      <c r="F5087" s="3" t="inlineStr">
        <is>
          <t>유니테스트</t>
        </is>
      </c>
      <c r="G5087" s="2" t="inlineStr">
        <is>
          <t>20260312000932</t>
        </is>
      </c>
      <c r="H5087" s="8">
        <f>HYPERLINK("https://dart.fss.or.kr/dsaf001/main.do?rcpNo=20260312000932", "공시열람")</f>
        <v/>
      </c>
    </row>
    <row r="5088">
      <c r="A5088" s="2" t="inlineStr">
        <is>
          <t>2026-03-12</t>
        </is>
      </c>
      <c r="B5088" s="3" t="inlineStr">
        <is>
          <t>동양파일</t>
        </is>
      </c>
      <c r="C5088" s="2" t="inlineStr">
        <is>
          <t>코스닥</t>
        </is>
      </c>
      <c r="D5088" s="2" t="inlineStr">
        <is>
          <t>228340</t>
        </is>
      </c>
      <c r="E5088" s="3" t="inlineStr">
        <is>
          <t xml:space="preserve">[기재정정]매출액또는손익구조30%(대규모법인은15%)이상변동              </t>
        </is>
      </c>
      <c r="F5088" s="3" t="inlineStr">
        <is>
          <t>동양파일</t>
        </is>
      </c>
      <c r="G5088" s="2" t="inlineStr">
        <is>
          <t>20260312901126</t>
        </is>
      </c>
      <c r="H5088" s="8">
        <f>HYPERLINK("https://dart.fss.or.kr/dsaf001/main.do?rcpNo=20260312901126", "공시열람")</f>
        <v/>
      </c>
    </row>
    <row r="5089">
      <c r="A5089" s="2" t="inlineStr">
        <is>
          <t>2026-03-12</t>
        </is>
      </c>
      <c r="B5089" s="3" t="inlineStr">
        <is>
          <t>에이루트</t>
        </is>
      </c>
      <c r="C5089" s="2" t="inlineStr">
        <is>
          <t>코스닥</t>
        </is>
      </c>
      <c r="D5089" s="2" t="inlineStr">
        <is>
          <t>096690</t>
        </is>
      </c>
      <c r="E5089" s="3" t="inlineStr">
        <is>
          <t>주요사항보고서(감자결정)</t>
        </is>
      </c>
      <c r="F5089" s="3" t="inlineStr">
        <is>
          <t>에이루트</t>
        </is>
      </c>
      <c r="G5089" s="2" t="inlineStr">
        <is>
          <t>20260312000878</t>
        </is>
      </c>
      <c r="H5089" s="8">
        <f>HYPERLINK("https://dart.fss.or.kr/dsaf001/main.do?rcpNo=20260312000878", "공시열람")</f>
        <v/>
      </c>
    </row>
    <row r="5090">
      <c r="A5090" s="2" t="inlineStr">
        <is>
          <t>2026-03-12 (정정: 2026-03-19)</t>
        </is>
      </c>
      <c r="B5090" s="3" t="inlineStr">
        <is>
          <t>엔바이오니아</t>
        </is>
      </c>
      <c r="C5090" s="2" t="inlineStr">
        <is>
          <t>코스닥</t>
        </is>
      </c>
      <c r="D5090" s="2" t="inlineStr">
        <is>
          <t>317870</t>
        </is>
      </c>
      <c r="E5090" s="3" t="inlineStr">
        <is>
          <t>의결권대리행사권유참고서류 (정정: 20260319)</t>
        </is>
      </c>
      <c r="F5090" s="3" t="inlineStr">
        <is>
          <t>엔바이오니아</t>
        </is>
      </c>
      <c r="G5090" s="2" t="inlineStr">
        <is>
          <t>20260319001182</t>
        </is>
      </c>
      <c r="H5090" s="8">
        <f>HYPERLINK("https://dart.fss.or.kr/dsaf001/main.do?rcpNo=20260319001182", "공시열람")</f>
        <v/>
      </c>
    </row>
    <row r="5091">
      <c r="A5091" s="2" t="inlineStr">
        <is>
          <t>2026-03-12</t>
        </is>
      </c>
      <c r="B5091" s="3" t="inlineStr">
        <is>
          <t>에이루트</t>
        </is>
      </c>
      <c r="C5091" s="2" t="inlineStr">
        <is>
          <t>코스닥</t>
        </is>
      </c>
      <c r="D5091" s="2" t="inlineStr">
        <is>
          <t>096690</t>
        </is>
      </c>
      <c r="E5091" s="3" t="inlineStr">
        <is>
          <t>주권매매거래정지              (자본감소)</t>
        </is>
      </c>
      <c r="F5091" s="3" t="inlineStr">
        <is>
          <t>코스닥시장본부</t>
        </is>
      </c>
      <c r="G5091" s="2" t="inlineStr">
        <is>
          <t>20260312901382</t>
        </is>
      </c>
      <c r="H5091" s="8">
        <f>HYPERLINK("https://dart.fss.or.kr/dsaf001/main.do?rcpNo=20260312901382", "공시열람")</f>
        <v/>
      </c>
    </row>
    <row r="5092">
      <c r="A5092" s="2" t="inlineStr">
        <is>
          <t>2026-03-12</t>
        </is>
      </c>
      <c r="B5092" s="3" t="inlineStr">
        <is>
          <t>골프존홀딩스</t>
        </is>
      </c>
      <c r="C5092" s="2" t="inlineStr">
        <is>
          <t>코스닥</t>
        </is>
      </c>
      <c r="D5092" s="2" t="inlineStr">
        <is>
          <t>121440</t>
        </is>
      </c>
      <c r="E5092" s="3" t="inlineStr">
        <is>
          <t xml:space="preserve">감사보고서제출(자회사의 주요경영사항)              </t>
        </is>
      </c>
      <c r="F5092" s="3" t="inlineStr">
        <is>
          <t>골프존홀딩스</t>
        </is>
      </c>
      <c r="G5092" s="2" t="inlineStr">
        <is>
          <t>20260312901362</t>
        </is>
      </c>
      <c r="H5092" s="8">
        <f>HYPERLINK("https://dart.fss.or.kr/dsaf001/main.do?rcpNo=20260312901362", "공시열람")</f>
        <v/>
      </c>
    </row>
    <row r="5093">
      <c r="A5093" s="2" t="inlineStr">
        <is>
          <t>2026-03-12</t>
        </is>
      </c>
      <c r="B5093" s="3" t="inlineStr">
        <is>
          <t>모베이스</t>
        </is>
      </c>
      <c r="C5093" s="2" t="inlineStr">
        <is>
          <t>코스닥</t>
        </is>
      </c>
      <c r="D5093" s="2" t="inlineStr">
        <is>
          <t>101330</t>
        </is>
      </c>
      <c r="E5093" s="3" t="inlineStr">
        <is>
          <t xml:space="preserve">매출액또는손익구조30%(대규모법인은15%)이상변동              </t>
        </is>
      </c>
      <c r="F5093" s="3" t="inlineStr">
        <is>
          <t>모베이스</t>
        </is>
      </c>
      <c r="G5093" s="2" t="inlineStr">
        <is>
          <t>20260312901222</t>
        </is>
      </c>
      <c r="H5093" s="8">
        <f>HYPERLINK("https://dart.fss.or.kr/dsaf001/main.do?rcpNo=20260312901222", "공시열람")</f>
        <v/>
      </c>
    </row>
    <row r="5094">
      <c r="A5094" s="2" t="inlineStr">
        <is>
          <t>2026-03-12</t>
        </is>
      </c>
      <c r="B5094" s="3" t="inlineStr">
        <is>
          <t>유라클</t>
        </is>
      </c>
      <c r="C5094" s="2" t="inlineStr">
        <is>
          <t>코스닥</t>
        </is>
      </c>
      <c r="D5094" s="2" t="inlineStr">
        <is>
          <t>088340</t>
        </is>
      </c>
      <c r="E5094" s="3" t="inlineStr">
        <is>
          <t>의결권대리행사권유참고서류</t>
        </is>
      </c>
      <c r="F5094" s="3" t="inlineStr">
        <is>
          <t>유라클</t>
        </is>
      </c>
      <c r="G5094" s="2" t="inlineStr">
        <is>
          <t>20260312000922</t>
        </is>
      </c>
      <c r="H5094" s="8">
        <f>HYPERLINK("https://dart.fss.or.kr/dsaf001/main.do?rcpNo=20260312000922", "공시열람")</f>
        <v/>
      </c>
    </row>
    <row r="5095">
      <c r="A5095" s="2" t="inlineStr">
        <is>
          <t>2026-03-12</t>
        </is>
      </c>
      <c r="B5095" s="3" t="inlineStr">
        <is>
          <t>뷰티스킨</t>
        </is>
      </c>
      <c r="C5095" s="2" t="inlineStr">
        <is>
          <t>코스닥</t>
        </is>
      </c>
      <c r="D5095" s="2" t="inlineStr">
        <is>
          <t>406820</t>
        </is>
      </c>
      <c r="E5095" s="3" t="inlineStr">
        <is>
          <t xml:space="preserve">매출액또는손익구조30%(대규모법인은15%)이상변동              </t>
        </is>
      </c>
      <c r="F5095" s="3" t="inlineStr">
        <is>
          <t>뷰티스킨</t>
        </is>
      </c>
      <c r="G5095" s="2" t="inlineStr">
        <is>
          <t>20260312901064</t>
        </is>
      </c>
      <c r="H5095" s="8">
        <f>HYPERLINK("https://dart.fss.or.kr/dsaf001/main.do?rcpNo=20260312901064", "공시열람")</f>
        <v/>
      </c>
    </row>
    <row r="5096">
      <c r="A5096" s="2" t="inlineStr">
        <is>
          <t>2026-03-12</t>
        </is>
      </c>
      <c r="B5096" s="3" t="inlineStr">
        <is>
          <t>하이브</t>
        </is>
      </c>
      <c r="C5096" s="2" t="inlineStr">
        <is>
          <t>코스피</t>
        </is>
      </c>
      <c r="D5096" s="2" t="inlineStr">
        <is>
          <t>352820</t>
        </is>
      </c>
      <c r="E5096" s="3" t="inlineStr">
        <is>
          <t>임원ㆍ주요주주특정증권등소유상황보고서</t>
        </is>
      </c>
      <c r="F5096" s="3" t="inlineStr">
        <is>
          <t>정진수</t>
        </is>
      </c>
      <c r="G5096" s="2" t="inlineStr">
        <is>
          <t>20260312000915</t>
        </is>
      </c>
      <c r="H5096" s="8">
        <f>HYPERLINK("https://dart.fss.or.kr/dsaf001/main.do?rcpNo=20260312000915", "공시열람")</f>
        <v/>
      </c>
    </row>
    <row r="5097">
      <c r="A5097" s="2" t="inlineStr">
        <is>
          <t>2026-03-12</t>
        </is>
      </c>
      <c r="B5097" s="3" t="inlineStr">
        <is>
          <t>파인테크닉스</t>
        </is>
      </c>
      <c r="C5097" s="2" t="inlineStr">
        <is>
          <t>코스닥</t>
        </is>
      </c>
      <c r="D5097" s="2" t="inlineStr">
        <is>
          <t>106240</t>
        </is>
      </c>
      <c r="E5097" s="3" t="inlineStr">
        <is>
          <t>의결권대리행사권유참고서류</t>
        </is>
      </c>
      <c r="F5097" s="3" t="inlineStr">
        <is>
          <t>파인테크닉스</t>
        </is>
      </c>
      <c r="G5097" s="2" t="inlineStr">
        <is>
          <t>20260312000913</t>
        </is>
      </c>
      <c r="H5097" s="8">
        <f>HYPERLINK("https://dart.fss.or.kr/dsaf001/main.do?rcpNo=20260312000913", "공시열람")</f>
        <v/>
      </c>
    </row>
    <row r="5098">
      <c r="A5098" s="2" t="inlineStr">
        <is>
          <t>2026-03-12</t>
        </is>
      </c>
      <c r="B5098" s="3" t="inlineStr">
        <is>
          <t>한국단자공업</t>
        </is>
      </c>
      <c r="C5098" s="2" t="inlineStr">
        <is>
          <t>코스피</t>
        </is>
      </c>
      <c r="D5098" s="2" t="inlineStr">
        <is>
          <t>025540</t>
        </is>
      </c>
      <c r="E5098" s="3" t="inlineStr">
        <is>
          <t xml:space="preserve">감사보고서제출              </t>
        </is>
      </c>
      <c r="F5098" s="3" t="inlineStr">
        <is>
          <t>한국단자공업</t>
        </is>
      </c>
      <c r="G5098" s="2" t="inlineStr">
        <is>
          <t>20260312801339</t>
        </is>
      </c>
      <c r="H5098" s="8">
        <f>HYPERLINK("https://dart.fss.or.kr/dsaf001/main.do?rcpNo=20260312801339", "공시열람")</f>
        <v/>
      </c>
    </row>
    <row r="5099">
      <c r="A5099" s="2" t="inlineStr">
        <is>
          <t>2026-03-12</t>
        </is>
      </c>
      <c r="B5099" s="3" t="inlineStr">
        <is>
          <t>디알젬</t>
        </is>
      </c>
      <c r="C5099" s="2" t="inlineStr">
        <is>
          <t>코스닥</t>
        </is>
      </c>
      <c r="D5099" s="2" t="inlineStr">
        <is>
          <t>263690</t>
        </is>
      </c>
      <c r="E5099" s="3" t="inlineStr">
        <is>
          <t xml:space="preserve">감사보고서제출              </t>
        </is>
      </c>
      <c r="F5099" s="3" t="inlineStr">
        <is>
          <t>디알젬</t>
        </is>
      </c>
      <c r="G5099" s="2" t="inlineStr">
        <is>
          <t>20260312901054</t>
        </is>
      </c>
      <c r="H5099" s="8">
        <f>HYPERLINK("https://dart.fss.or.kr/dsaf001/main.do?rcpNo=20260312901054", "공시열람")</f>
        <v/>
      </c>
    </row>
    <row r="5100">
      <c r="A5100" s="2" t="inlineStr">
        <is>
          <t>2026-03-12 (정정: 2026-03-16)</t>
        </is>
      </c>
      <c r="B5100" s="3" t="inlineStr">
        <is>
          <t>SBS</t>
        </is>
      </c>
      <c r="C5100" s="2" t="inlineStr">
        <is>
          <t>코스피</t>
        </is>
      </c>
      <c r="D5100" s="2" t="inlineStr">
        <is>
          <t>034120</t>
        </is>
      </c>
      <c r="E5100" s="3" t="inlineStr">
        <is>
          <t>의결권대리행사권유참고서류 (정정: 20260316)</t>
        </is>
      </c>
      <c r="F5100" s="3" t="inlineStr">
        <is>
          <t>SBS</t>
        </is>
      </c>
      <c r="G5100" s="2" t="inlineStr">
        <is>
          <t>20260316001502</t>
        </is>
      </c>
      <c r="H5100" s="8">
        <f>HYPERLINK("https://dart.fss.or.kr/dsaf001/main.do?rcpNo=20260316001502", "공시열람")</f>
        <v/>
      </c>
    </row>
    <row r="5101">
      <c r="A5101" s="2" t="inlineStr">
        <is>
          <t>2026-03-12</t>
        </is>
      </c>
      <c r="B5101" s="3" t="inlineStr">
        <is>
          <t>미스터블루</t>
        </is>
      </c>
      <c r="C5101" s="2" t="inlineStr">
        <is>
          <t>코스닥</t>
        </is>
      </c>
      <c r="D5101" s="2" t="inlineStr">
        <is>
          <t>207760</t>
        </is>
      </c>
      <c r="E5101" s="3" t="inlineStr">
        <is>
          <t xml:space="preserve">감사보고서제출              </t>
        </is>
      </c>
      <c r="F5101" s="3" t="inlineStr">
        <is>
          <t>미스터블루</t>
        </is>
      </c>
      <c r="G5101" s="2" t="inlineStr">
        <is>
          <t>20260312901045</t>
        </is>
      </c>
      <c r="H5101" s="8">
        <f>HYPERLINK("https://dart.fss.or.kr/dsaf001/main.do?rcpNo=20260312901045", "공시열람")</f>
        <v/>
      </c>
    </row>
    <row r="5102">
      <c r="A5102" s="2" t="inlineStr">
        <is>
          <t>2026-03-12</t>
        </is>
      </c>
      <c r="B5102" s="3" t="inlineStr">
        <is>
          <t>CS</t>
        </is>
      </c>
      <c r="C5102" s="2" t="inlineStr">
        <is>
          <t>코스닥</t>
        </is>
      </c>
      <c r="D5102" s="2" t="inlineStr">
        <is>
          <t>065770</t>
        </is>
      </c>
      <c r="E5102" s="3" t="inlineStr">
        <is>
          <t>의결권대리행사권유참고서류</t>
        </is>
      </c>
      <c r="F5102" s="3" t="inlineStr">
        <is>
          <t>CS</t>
        </is>
      </c>
      <c r="G5102" s="2" t="inlineStr">
        <is>
          <t>20260312000893</t>
        </is>
      </c>
      <c r="H5102" s="8">
        <f>HYPERLINK("https://dart.fss.or.kr/dsaf001/main.do?rcpNo=20260312000893", "공시열람")</f>
        <v/>
      </c>
    </row>
    <row r="5103">
      <c r="A5103" s="2" t="inlineStr">
        <is>
          <t>2026-03-12</t>
        </is>
      </c>
      <c r="B5103" s="3" t="inlineStr">
        <is>
          <t>비보존 제약</t>
        </is>
      </c>
      <c r="C5103" s="2" t="inlineStr">
        <is>
          <t>코스닥</t>
        </is>
      </c>
      <c r="D5103" s="2" t="inlineStr">
        <is>
          <t>082800</t>
        </is>
      </c>
      <c r="E5103" s="3" t="inlineStr">
        <is>
          <t>임원ㆍ주요주주특정증권등소유상황보고서</t>
        </is>
      </c>
      <c r="F5103" s="3" t="inlineStr">
        <is>
          <t>비보존홀딩스</t>
        </is>
      </c>
      <c r="G5103" s="2" t="inlineStr">
        <is>
          <t>20260312000892</t>
        </is>
      </c>
      <c r="H5103" s="8">
        <f>HYPERLINK("https://dart.fss.or.kr/dsaf001/main.do?rcpNo=20260312000892", "공시열람")</f>
        <v/>
      </c>
    </row>
    <row r="5104">
      <c r="A5104" s="2" t="inlineStr">
        <is>
          <t>2026-03-12</t>
        </is>
      </c>
      <c r="B5104" s="3" t="inlineStr">
        <is>
          <t>엑세스바이오</t>
        </is>
      </c>
      <c r="C5104" s="2" t="inlineStr">
        <is>
          <t>코스닥</t>
        </is>
      </c>
      <c r="D5104" s="2" t="inlineStr">
        <is>
          <t>950130</t>
        </is>
      </c>
      <c r="E5104" s="3" t="inlineStr">
        <is>
          <t>의결권대리행사권유참고서류</t>
        </is>
      </c>
      <c r="F5104" s="3" t="inlineStr">
        <is>
          <t>엑세스바이오</t>
        </is>
      </c>
      <c r="G5104" s="2" t="inlineStr">
        <is>
          <t>20260312000891</t>
        </is>
      </c>
      <c r="H5104" s="8">
        <f>HYPERLINK("https://dart.fss.or.kr/dsaf001/main.do?rcpNo=20260312000891", "공시열람")</f>
        <v/>
      </c>
    </row>
    <row r="5105">
      <c r="A5105" s="2" t="inlineStr">
        <is>
          <t>2026-03-12</t>
        </is>
      </c>
      <c r="B5105" s="3" t="inlineStr">
        <is>
          <t>우리기술</t>
        </is>
      </c>
      <c r="C5105" s="2" t="inlineStr">
        <is>
          <t>코스닥</t>
        </is>
      </c>
      <c r="D5105" s="2" t="inlineStr">
        <is>
          <t>032820</t>
        </is>
      </c>
      <c r="E5105" s="3" t="inlineStr">
        <is>
          <t xml:space="preserve">전환청구권행사              </t>
        </is>
      </c>
      <c r="F5105" s="3" t="inlineStr">
        <is>
          <t>우리기술</t>
        </is>
      </c>
      <c r="G5105" s="2" t="inlineStr">
        <is>
          <t>20260312901379</t>
        </is>
      </c>
      <c r="H5105" s="8">
        <f>HYPERLINK("https://dart.fss.or.kr/dsaf001/main.do?rcpNo=20260312901379", "공시열람")</f>
        <v/>
      </c>
    </row>
    <row r="5106">
      <c r="A5106" s="2" t="inlineStr">
        <is>
          <t>2026-03-12</t>
        </is>
      </c>
      <c r="B5106" s="3" t="inlineStr">
        <is>
          <t>메디포스트</t>
        </is>
      </c>
      <c r="C5106" s="2" t="inlineStr">
        <is>
          <t>코스닥</t>
        </is>
      </c>
      <c r="D5106" s="2" t="inlineStr">
        <is>
          <t>078160</t>
        </is>
      </c>
      <c r="E5106" s="3" t="inlineStr">
        <is>
          <t>의결권대리행사권유참고서류</t>
        </is>
      </c>
      <c r="F5106" s="3" t="inlineStr">
        <is>
          <t>메디포스트</t>
        </is>
      </c>
      <c r="G5106" s="2" t="inlineStr">
        <is>
          <t>20260312000889</t>
        </is>
      </c>
      <c r="H5106" s="8">
        <f>HYPERLINK("https://dart.fss.or.kr/dsaf001/main.do?rcpNo=20260312000889", "공시열람")</f>
        <v/>
      </c>
    </row>
    <row r="5107">
      <c r="A5107" s="2" t="inlineStr">
        <is>
          <t>2026-03-12</t>
        </is>
      </c>
      <c r="B5107" s="3" t="inlineStr">
        <is>
          <t>우리기술투자</t>
        </is>
      </c>
      <c r="C5107" s="2" t="inlineStr">
        <is>
          <t>코스닥</t>
        </is>
      </c>
      <c r="D5107" s="2" t="inlineStr">
        <is>
          <t>041190</t>
        </is>
      </c>
      <c r="E5107" s="3" t="inlineStr">
        <is>
          <t>임원ㆍ주요주주특정증권등소유상황보고서</t>
        </is>
      </c>
      <c r="F5107" s="3" t="inlineStr">
        <is>
          <t>오찬규</t>
        </is>
      </c>
      <c r="G5107" s="2" t="inlineStr">
        <is>
          <t>20260312000887</t>
        </is>
      </c>
      <c r="H5107" s="8">
        <f>HYPERLINK("https://dart.fss.or.kr/dsaf001/main.do?rcpNo=20260312000887", "공시열람")</f>
        <v/>
      </c>
    </row>
    <row r="5108">
      <c r="A5108" s="2" t="inlineStr">
        <is>
          <t>2026-03-12</t>
        </is>
      </c>
      <c r="B5108" s="3" t="inlineStr">
        <is>
          <t>젬백스</t>
        </is>
      </c>
      <c r="C5108" s="2" t="inlineStr">
        <is>
          <t>코스닥</t>
        </is>
      </c>
      <c r="D5108" s="2" t="inlineStr">
        <is>
          <t>082270</t>
        </is>
      </c>
      <c r="E5108" s="3" t="inlineStr">
        <is>
          <t>임원ㆍ주요주주특정증권등소유상황보고서</t>
        </is>
      </c>
      <c r="F5108" s="3" t="inlineStr">
        <is>
          <t>젬앤컴퍼니</t>
        </is>
      </c>
      <c r="G5108" s="2" t="inlineStr">
        <is>
          <t>20260312000886</t>
        </is>
      </c>
      <c r="H5108" s="8">
        <f>HYPERLINK("https://dart.fss.or.kr/dsaf001/main.do?rcpNo=20260312000886", "공시열람")</f>
        <v/>
      </c>
    </row>
    <row r="5109">
      <c r="A5109" s="2" t="inlineStr">
        <is>
          <t>2026-03-12</t>
        </is>
      </c>
      <c r="B5109" s="3" t="inlineStr">
        <is>
          <t>진양홀딩스</t>
        </is>
      </c>
      <c r="C5109" s="2" t="inlineStr">
        <is>
          <t>코스피</t>
        </is>
      </c>
      <c r="D5109" s="2" t="inlineStr">
        <is>
          <t>100250</t>
        </is>
      </c>
      <c r="E5109" s="3" t="inlineStr">
        <is>
          <t>증권발행실적보고서</t>
        </is>
      </c>
      <c r="F5109" s="3" t="inlineStr">
        <is>
          <t>진양홀딩스</t>
        </is>
      </c>
      <c r="G5109" s="2" t="inlineStr">
        <is>
          <t>20260312000883</t>
        </is>
      </c>
      <c r="H5109" s="8">
        <f>HYPERLINK("https://dart.fss.or.kr/dsaf001/main.do?rcpNo=20260312000883", "공시열람")</f>
        <v/>
      </c>
    </row>
    <row r="5110">
      <c r="A5110" s="2" t="inlineStr">
        <is>
          <t>2026-03-12</t>
        </is>
      </c>
      <c r="B5110" s="3" t="inlineStr">
        <is>
          <t>아티스트컴퍼니</t>
        </is>
      </c>
      <c r="C5110" s="2" t="inlineStr">
        <is>
          <t>코스닥</t>
        </is>
      </c>
      <c r="D5110" s="2" t="inlineStr">
        <is>
          <t>321820</t>
        </is>
      </c>
      <c r="E5110" s="3" t="inlineStr">
        <is>
          <t>의결권대리행사권유참고서류</t>
        </is>
      </c>
      <c r="F5110" s="3" t="inlineStr">
        <is>
          <t>아티스트컴퍼니</t>
        </is>
      </c>
      <c r="G5110" s="2" t="inlineStr">
        <is>
          <t>20260312000879</t>
        </is>
      </c>
      <c r="H5110" s="8">
        <f>HYPERLINK("https://dart.fss.or.kr/dsaf001/main.do?rcpNo=20260312000879", "공시열람")</f>
        <v/>
      </c>
    </row>
    <row r="5111">
      <c r="A5111" s="2" t="inlineStr">
        <is>
          <t>2026-03-12</t>
        </is>
      </c>
      <c r="B5111" s="3" t="inlineStr">
        <is>
          <t>CS</t>
        </is>
      </c>
      <c r="C5111" s="2" t="inlineStr">
        <is>
          <t>코스닥</t>
        </is>
      </c>
      <c r="D5111" s="2" t="inlineStr">
        <is>
          <t>065770</t>
        </is>
      </c>
      <c r="E5111" s="3" t="inlineStr">
        <is>
          <t xml:space="preserve">주식병합결정              </t>
        </is>
      </c>
      <c r="F5111" s="3" t="inlineStr">
        <is>
          <t>CS</t>
        </is>
      </c>
      <c r="G5111" s="2" t="inlineStr">
        <is>
          <t>20260312901360</t>
        </is>
      </c>
      <c r="H5111" s="8">
        <f>HYPERLINK("https://dart.fss.or.kr/dsaf001/main.do?rcpNo=20260312901360", "공시열람")</f>
        <v/>
      </c>
    </row>
    <row r="5112">
      <c r="A5112" s="2" t="inlineStr">
        <is>
          <t>2026-03-12</t>
        </is>
      </c>
      <c r="B5112" s="3" t="inlineStr">
        <is>
          <t>젬백스</t>
        </is>
      </c>
      <c r="C5112" s="2" t="inlineStr">
        <is>
          <t>코스닥</t>
        </is>
      </c>
      <c r="D5112" s="2" t="inlineStr">
        <is>
          <t>082270</t>
        </is>
      </c>
      <c r="E5112" s="3" t="inlineStr">
        <is>
          <t>임원ㆍ주요주주특정증권등소유상황보고서</t>
        </is>
      </c>
      <c r="F5112" s="3" t="inlineStr">
        <is>
          <t>김상재</t>
        </is>
      </c>
      <c r="G5112" s="2" t="inlineStr">
        <is>
          <t>20260312000874</t>
        </is>
      </c>
      <c r="H5112" s="8">
        <f>HYPERLINK("https://dart.fss.or.kr/dsaf001/main.do?rcpNo=20260312000874", "공시열람")</f>
        <v/>
      </c>
    </row>
    <row r="5113">
      <c r="A5113" s="2" t="inlineStr">
        <is>
          <t>2026-03-12</t>
        </is>
      </c>
      <c r="B5113" s="3" t="inlineStr">
        <is>
          <t>화일약품</t>
        </is>
      </c>
      <c r="C5113" s="2" t="inlineStr">
        <is>
          <t>코스닥</t>
        </is>
      </c>
      <c r="D5113" s="2" t="inlineStr">
        <is>
          <t>061250</t>
        </is>
      </c>
      <c r="E5113" s="3" t="inlineStr">
        <is>
          <t xml:space="preserve">감사보고서제출              </t>
        </is>
      </c>
      <c r="F5113" s="3" t="inlineStr">
        <is>
          <t>화일약품</t>
        </is>
      </c>
      <c r="G5113" s="2" t="inlineStr">
        <is>
          <t>20260312900997</t>
        </is>
      </c>
      <c r="H5113" s="8">
        <f>HYPERLINK("https://dart.fss.or.kr/dsaf001/main.do?rcpNo=20260312900997", "공시열람")</f>
        <v/>
      </c>
    </row>
    <row r="5114">
      <c r="A5114" s="2" t="inlineStr">
        <is>
          <t>2026-03-12</t>
        </is>
      </c>
      <c r="B5114" s="3" t="inlineStr">
        <is>
          <t>골프존홀딩스</t>
        </is>
      </c>
      <c r="C5114" s="2" t="inlineStr">
        <is>
          <t>코스닥</t>
        </is>
      </c>
      <c r="D5114" s="2" t="inlineStr">
        <is>
          <t>121440</t>
        </is>
      </c>
      <c r="E5114" s="3" t="inlineStr">
        <is>
          <t xml:space="preserve">감사보고서제출(자회사의 주요경영사항)              </t>
        </is>
      </c>
      <c r="F5114" s="3" t="inlineStr">
        <is>
          <t>골프존홀딩스</t>
        </is>
      </c>
      <c r="G5114" s="2" t="inlineStr">
        <is>
          <t>20260312901180</t>
        </is>
      </c>
      <c r="H5114" s="8">
        <f>HYPERLINK("https://dart.fss.or.kr/dsaf001/main.do?rcpNo=20260312901180", "공시열람")</f>
        <v/>
      </c>
    </row>
    <row r="5115">
      <c r="A5115" s="2" t="inlineStr">
        <is>
          <t>2026-03-12</t>
        </is>
      </c>
      <c r="B5115" s="3" t="inlineStr">
        <is>
          <t>한국내화</t>
        </is>
      </c>
      <c r="C5115" s="2" t="inlineStr">
        <is>
          <t>코스피</t>
        </is>
      </c>
      <c r="D5115" s="2" t="inlineStr">
        <is>
          <t>010040</t>
        </is>
      </c>
      <c r="E5115" s="3" t="inlineStr">
        <is>
          <t>의결권대리행사권유참고서류</t>
        </is>
      </c>
      <c r="F5115" s="3" t="inlineStr">
        <is>
          <t>한국내화</t>
        </is>
      </c>
      <c r="G5115" s="2" t="inlineStr">
        <is>
          <t>20260312000865</t>
        </is>
      </c>
      <c r="H5115" s="8">
        <f>HYPERLINK("https://dart.fss.or.kr/dsaf001/main.do?rcpNo=20260312000865", "공시열람")</f>
        <v/>
      </c>
    </row>
    <row r="5116">
      <c r="A5116" s="2" t="inlineStr">
        <is>
          <t>2026-03-12</t>
        </is>
      </c>
      <c r="B5116" s="3" t="inlineStr">
        <is>
          <t>광전자</t>
        </is>
      </c>
      <c r="C5116" s="2" t="inlineStr">
        <is>
          <t>코스피</t>
        </is>
      </c>
      <c r="D5116" s="2" t="inlineStr">
        <is>
          <t>017900</t>
        </is>
      </c>
      <c r="E5116" s="3" t="inlineStr">
        <is>
          <t xml:space="preserve">현금ㆍ현물배당결정              </t>
        </is>
      </c>
      <c r="F5116" s="3" t="inlineStr">
        <is>
          <t>광전자</t>
        </is>
      </c>
      <c r="G5116" s="2" t="inlineStr">
        <is>
          <t>20260312801304</t>
        </is>
      </c>
      <c r="H5116" s="8">
        <f>HYPERLINK("https://dart.fss.or.kr/dsaf001/main.do?rcpNo=20260312801304", "공시열람")</f>
        <v/>
      </c>
    </row>
    <row r="5117">
      <c r="A5117" s="2" t="inlineStr">
        <is>
          <t>2026-03-12</t>
        </is>
      </c>
      <c r="B5117" s="3" t="inlineStr">
        <is>
          <t>엘앤케이바이오</t>
        </is>
      </c>
      <c r="C5117" s="2" t="inlineStr">
        <is>
          <t>코스닥</t>
        </is>
      </c>
      <c r="D5117" s="2" t="inlineStr">
        <is>
          <t>156100</t>
        </is>
      </c>
      <c r="E5117" s="3" t="inlineStr">
        <is>
          <t xml:space="preserve">감사보고서제출              </t>
        </is>
      </c>
      <c r="F5117" s="3" t="inlineStr">
        <is>
          <t>엘앤케이바이오</t>
        </is>
      </c>
      <c r="G5117" s="2" t="inlineStr">
        <is>
          <t>20260312901171</t>
        </is>
      </c>
      <c r="H5117" s="8">
        <f>HYPERLINK("https://dart.fss.or.kr/dsaf001/main.do?rcpNo=20260312901171", "공시열람")</f>
        <v/>
      </c>
    </row>
    <row r="5118">
      <c r="A5118" s="2" t="inlineStr">
        <is>
          <t>2026-03-12</t>
        </is>
      </c>
      <c r="B5118" s="3" t="inlineStr">
        <is>
          <t>아이오케이이엔엠</t>
        </is>
      </c>
      <c r="C5118" s="2" t="inlineStr">
        <is>
          <t>코스닥</t>
        </is>
      </c>
      <c r="D5118" s="2" t="inlineStr">
        <is>
          <t>078860</t>
        </is>
      </c>
      <c r="E5118" s="3" t="inlineStr">
        <is>
          <t>주요사항보고서(감자결정)</t>
        </is>
      </c>
      <c r="F5118" s="3" t="inlineStr">
        <is>
          <t>아이오케이이엔엠</t>
        </is>
      </c>
      <c r="G5118" s="2" t="inlineStr">
        <is>
          <t>20260312000814</t>
        </is>
      </c>
      <c r="H5118" s="8">
        <f>HYPERLINK("https://dart.fss.or.kr/dsaf001/main.do?rcpNo=20260312000814", "공시열람")</f>
        <v/>
      </c>
    </row>
    <row r="5119">
      <c r="A5119" s="2" t="inlineStr">
        <is>
          <t>2026-03-12</t>
        </is>
      </c>
      <c r="B5119" s="3" t="inlineStr">
        <is>
          <t>오상자이엘</t>
        </is>
      </c>
      <c r="C5119" s="2" t="inlineStr">
        <is>
          <t>코스닥</t>
        </is>
      </c>
      <c r="D5119" s="2" t="inlineStr">
        <is>
          <t>053980</t>
        </is>
      </c>
      <c r="E5119" s="3" t="inlineStr">
        <is>
          <t>의결권대리행사권유참고서류</t>
        </is>
      </c>
      <c r="F5119" s="3" t="inlineStr">
        <is>
          <t>오상자이엘</t>
        </is>
      </c>
      <c r="G5119" s="2" t="inlineStr">
        <is>
          <t>20260312000855</t>
        </is>
      </c>
      <c r="H5119" s="8">
        <f>HYPERLINK("https://dart.fss.or.kr/dsaf001/main.do?rcpNo=20260312000855", "공시열람")</f>
        <v/>
      </c>
    </row>
    <row r="5120">
      <c r="A5120" s="2" t="inlineStr">
        <is>
          <t>2026-03-12</t>
        </is>
      </c>
      <c r="B5120" s="3" t="inlineStr">
        <is>
          <t>아이오케이이엔엠</t>
        </is>
      </c>
      <c r="C5120" s="2" t="inlineStr">
        <is>
          <t>코스닥</t>
        </is>
      </c>
      <c r="D5120" s="2" t="inlineStr">
        <is>
          <t>078860</t>
        </is>
      </c>
      <c r="E5120" s="3" t="inlineStr">
        <is>
          <t>주권매매거래정지              (자본감소)</t>
        </is>
      </c>
      <c r="F5120" s="3" t="inlineStr">
        <is>
          <t>코스닥시장본부</t>
        </is>
      </c>
      <c r="G5120" s="2" t="inlineStr">
        <is>
          <t>20260312901268</t>
        </is>
      </c>
      <c r="H5120" s="8">
        <f>HYPERLINK("https://dart.fss.or.kr/dsaf001/main.do?rcpNo=20260312901268", "공시열람")</f>
        <v/>
      </c>
    </row>
    <row r="5121">
      <c r="A5121" s="2" t="inlineStr">
        <is>
          <t>2026-03-12</t>
        </is>
      </c>
      <c r="B5121" s="3" t="inlineStr">
        <is>
          <t>퍼스텍</t>
        </is>
      </c>
      <c r="C5121" s="2" t="inlineStr">
        <is>
          <t>코스피</t>
        </is>
      </c>
      <c r="D5121" s="2" t="inlineStr">
        <is>
          <t>010820</t>
        </is>
      </c>
      <c r="E5121" s="3" t="inlineStr">
        <is>
          <t xml:space="preserve">감사보고서제출              </t>
        </is>
      </c>
      <c r="F5121" s="3" t="inlineStr">
        <is>
          <t>퍼스텍</t>
        </is>
      </c>
      <c r="G5121" s="2" t="inlineStr">
        <is>
          <t>20260312801248</t>
        </is>
      </c>
      <c r="H5121" s="8">
        <f>HYPERLINK("https://dart.fss.or.kr/dsaf001/main.do?rcpNo=20260312801248", "공시열람")</f>
        <v/>
      </c>
    </row>
    <row r="5122">
      <c r="A5122" s="2" t="inlineStr">
        <is>
          <t>2026-03-12</t>
        </is>
      </c>
      <c r="B5122" s="3" t="inlineStr">
        <is>
          <t>코어라인소프트</t>
        </is>
      </c>
      <c r="C5122" s="2" t="inlineStr">
        <is>
          <t>코스닥</t>
        </is>
      </c>
      <c r="D5122" s="2" t="inlineStr">
        <is>
          <t>384470</t>
        </is>
      </c>
      <c r="E5122" s="3" t="inlineStr">
        <is>
          <t>주식매수선택권부여에관한신고</t>
        </is>
      </c>
      <c r="F5122" s="3" t="inlineStr">
        <is>
          <t>코어라인소프트</t>
        </is>
      </c>
      <c r="G5122" s="2" t="inlineStr">
        <is>
          <t>20260312000853</t>
        </is>
      </c>
      <c r="H5122" s="8">
        <f>HYPERLINK("https://dart.fss.or.kr/dsaf001/main.do?rcpNo=20260312000853", "공시열람")</f>
        <v/>
      </c>
    </row>
    <row r="5123">
      <c r="A5123" s="2" t="inlineStr">
        <is>
          <t>2026-03-12 (정정: 2026-05-20)</t>
        </is>
      </c>
      <c r="B5123" s="3" t="inlineStr">
        <is>
          <t>한국금융지주</t>
        </is>
      </c>
      <c r="C5123" s="2" t="inlineStr">
        <is>
          <t>코스피</t>
        </is>
      </c>
      <c r="D5123" s="2" t="inlineStr">
        <is>
          <t>071050</t>
        </is>
      </c>
      <c r="E5123" s="3" t="inlineStr">
        <is>
          <t>현금ㆍ현물배당결정(자회사의 주요경영사항)               (정정: 20260520)</t>
        </is>
      </c>
      <c r="F5123" s="3" t="inlineStr">
        <is>
          <t>한국금융지주</t>
        </is>
      </c>
      <c r="G5123" s="2" t="inlineStr">
        <is>
          <t>20260520800552</t>
        </is>
      </c>
      <c r="H5123" s="8">
        <f>HYPERLINK("https://dart.fss.or.kr/dsaf001/main.do?rcpNo=20260520800552", "공시열람")</f>
        <v/>
      </c>
    </row>
    <row r="5124">
      <c r="A5124" s="2" t="inlineStr">
        <is>
          <t>2026-03-12</t>
        </is>
      </c>
      <c r="B5124" s="3" t="inlineStr">
        <is>
          <t>HLB펩</t>
        </is>
      </c>
      <c r="C5124" s="2" t="inlineStr">
        <is>
          <t>코스닥</t>
        </is>
      </c>
      <c r="D5124" s="2" t="inlineStr">
        <is>
          <t>196300</t>
        </is>
      </c>
      <c r="E5124" s="3" t="inlineStr">
        <is>
          <t>의결권대리행사권유참고서류</t>
        </is>
      </c>
      <c r="F5124" s="3" t="inlineStr">
        <is>
          <t>HLB펩</t>
        </is>
      </c>
      <c r="G5124" s="2" t="inlineStr">
        <is>
          <t>20260312000848</t>
        </is>
      </c>
      <c r="H5124" s="8">
        <f>HYPERLINK("https://dart.fss.or.kr/dsaf001/main.do?rcpNo=20260312000848", "공시열람")</f>
        <v/>
      </c>
    </row>
    <row r="5125">
      <c r="A5125" s="2" t="inlineStr">
        <is>
          <t>2026-03-12</t>
        </is>
      </c>
      <c r="B5125" s="3" t="inlineStr">
        <is>
          <t>효성</t>
        </is>
      </c>
      <c r="C5125" s="2" t="inlineStr">
        <is>
          <t>코스피</t>
        </is>
      </c>
      <c r="D5125" s="2" t="inlineStr">
        <is>
          <t>004800</t>
        </is>
      </c>
      <c r="E5125" s="3" t="inlineStr">
        <is>
          <t xml:space="preserve">감사보고서제출(자회사의 주요경영사항)              </t>
        </is>
      </c>
      <c r="F5125" s="3" t="inlineStr">
        <is>
          <t>효성</t>
        </is>
      </c>
      <c r="G5125" s="2" t="inlineStr">
        <is>
          <t>20260312801218</t>
        </is>
      </c>
      <c r="H5125" s="8">
        <f>HYPERLINK("https://dart.fss.or.kr/dsaf001/main.do?rcpNo=20260312801218", "공시열람")</f>
        <v/>
      </c>
    </row>
    <row r="5126">
      <c r="A5126" s="2" t="inlineStr">
        <is>
          <t>2026-03-12</t>
        </is>
      </c>
      <c r="B5126" s="3" t="inlineStr">
        <is>
          <t>효성</t>
        </is>
      </c>
      <c r="C5126" s="2" t="inlineStr">
        <is>
          <t>코스피</t>
        </is>
      </c>
      <c r="D5126" s="2" t="inlineStr">
        <is>
          <t>004800</t>
        </is>
      </c>
      <c r="E5126" s="3" t="inlineStr">
        <is>
          <t xml:space="preserve">감사보고서제출              </t>
        </is>
      </c>
      <c r="F5126" s="3" t="inlineStr">
        <is>
          <t>효성</t>
        </is>
      </c>
      <c r="G5126" s="2" t="inlineStr">
        <is>
          <t>20260312801227</t>
        </is>
      </c>
      <c r="H5126" s="8">
        <f>HYPERLINK("https://dart.fss.or.kr/dsaf001/main.do?rcpNo=20260312801227", "공시열람")</f>
        <v/>
      </c>
    </row>
    <row r="5127">
      <c r="A5127" s="2" t="inlineStr">
        <is>
          <t>2026-03-12</t>
        </is>
      </c>
      <c r="B5127" s="3" t="inlineStr">
        <is>
          <t>모델솔루션</t>
        </is>
      </c>
      <c r="C5127" s="2" t="inlineStr">
        <is>
          <t>코스닥</t>
        </is>
      </c>
      <c r="D5127" s="2" t="inlineStr">
        <is>
          <t>417970</t>
        </is>
      </c>
      <c r="E5127" s="3" t="inlineStr">
        <is>
          <t>의결권대리행사권유참고서류</t>
        </is>
      </c>
      <c r="F5127" s="3" t="inlineStr">
        <is>
          <t>모델솔루션</t>
        </is>
      </c>
      <c r="G5127" s="2" t="inlineStr">
        <is>
          <t>20260312000844</t>
        </is>
      </c>
      <c r="H5127" s="8">
        <f>HYPERLINK("https://dart.fss.or.kr/dsaf001/main.do?rcpNo=20260312000844", "공시열람")</f>
        <v/>
      </c>
    </row>
    <row r="5128">
      <c r="A5128" s="2" t="inlineStr">
        <is>
          <t>2026-03-12</t>
        </is>
      </c>
      <c r="B5128" s="3" t="inlineStr">
        <is>
          <t>디티앤씨알오</t>
        </is>
      </c>
      <c r="C5128" s="2" t="inlineStr">
        <is>
          <t>코스닥</t>
        </is>
      </c>
      <c r="D5128" s="2" t="inlineStr">
        <is>
          <t>383930</t>
        </is>
      </c>
      <c r="E5128" s="3" t="inlineStr">
        <is>
          <t>의결권대리행사권유참고서류</t>
        </is>
      </c>
      <c r="F5128" s="3" t="inlineStr">
        <is>
          <t>디티앤씨알오</t>
        </is>
      </c>
      <c r="G5128" s="2" t="inlineStr">
        <is>
          <t>20260312000838</t>
        </is>
      </c>
      <c r="H5128" s="8">
        <f>HYPERLINK("https://dart.fss.or.kr/dsaf001/main.do?rcpNo=20260312000838", "공시열람")</f>
        <v/>
      </c>
    </row>
    <row r="5129">
      <c r="A5129" s="2" t="inlineStr">
        <is>
          <t>2026-03-12</t>
        </is>
      </c>
      <c r="B5129" s="3" t="inlineStr">
        <is>
          <t>마이크로컨텍솔</t>
        </is>
      </c>
      <c r="C5129" s="2" t="inlineStr">
        <is>
          <t>코스닥</t>
        </is>
      </c>
      <c r="D5129" s="2" t="inlineStr">
        <is>
          <t>098120</t>
        </is>
      </c>
      <c r="E5129" s="3" t="inlineStr">
        <is>
          <t xml:space="preserve">현금ㆍ현물배당결정              </t>
        </is>
      </c>
      <c r="F5129" s="3" t="inlineStr">
        <is>
          <t>마이크로컨텍솔</t>
        </is>
      </c>
      <c r="G5129" s="2" t="inlineStr">
        <is>
          <t>20260312901265</t>
        </is>
      </c>
      <c r="H5129" s="8">
        <f>HYPERLINK("https://dart.fss.or.kr/dsaf001/main.do?rcpNo=20260312901265", "공시열람")</f>
        <v/>
      </c>
    </row>
    <row r="5130">
      <c r="A5130" s="2" t="inlineStr">
        <is>
          <t>2026-03-12</t>
        </is>
      </c>
      <c r="B5130" s="3" t="inlineStr">
        <is>
          <t>LG</t>
        </is>
      </c>
      <c r="C5130" s="2" t="inlineStr">
        <is>
          <t>코스피</t>
        </is>
      </c>
      <c r="D5130" s="2" t="inlineStr">
        <is>
          <t>003550</t>
        </is>
      </c>
      <c r="E5130" s="3" t="inlineStr">
        <is>
          <t xml:space="preserve">감사보고서제출(자회사의 주요경영사항)              </t>
        </is>
      </c>
      <c r="F5130" s="3" t="inlineStr">
        <is>
          <t>LG</t>
        </is>
      </c>
      <c r="G5130" s="2" t="inlineStr">
        <is>
          <t>20260312801232</t>
        </is>
      </c>
      <c r="H5130" s="8">
        <f>HYPERLINK("https://dart.fss.or.kr/dsaf001/main.do?rcpNo=20260312801232", "공시열람")</f>
        <v/>
      </c>
    </row>
    <row r="5131">
      <c r="A5131" s="2" t="inlineStr">
        <is>
          <t>2026-03-12</t>
        </is>
      </c>
      <c r="B5131" s="3" t="inlineStr">
        <is>
          <t>인포바인</t>
        </is>
      </c>
      <c r="C5131" s="2" t="inlineStr">
        <is>
          <t>코스닥</t>
        </is>
      </c>
      <c r="D5131" s="2" t="inlineStr">
        <is>
          <t>115310</t>
        </is>
      </c>
      <c r="E5131" s="3" t="inlineStr">
        <is>
          <t>의결권대리행사권유참고서류</t>
        </is>
      </c>
      <c r="F5131" s="3" t="inlineStr">
        <is>
          <t>인포바인</t>
        </is>
      </c>
      <c r="G5131" s="2" t="inlineStr">
        <is>
          <t>20260312000835</t>
        </is>
      </c>
      <c r="H5131" s="8">
        <f>HYPERLINK("https://dart.fss.or.kr/dsaf001/main.do?rcpNo=20260312000835", "공시열람")</f>
        <v/>
      </c>
    </row>
    <row r="5132">
      <c r="A5132" s="2" t="inlineStr">
        <is>
          <t>2026-03-12</t>
        </is>
      </c>
      <c r="B5132" s="3" t="inlineStr">
        <is>
          <t>NH투자증권</t>
        </is>
      </c>
      <c r="C5132" s="2" t="inlineStr">
        <is>
          <t>코스피</t>
        </is>
      </c>
      <c r="D5132" s="2" t="inlineStr">
        <is>
          <t>005940</t>
        </is>
      </c>
      <c r="E5132" s="3" t="inlineStr">
        <is>
          <t>증권발행실적보고서</t>
        </is>
      </c>
      <c r="F5132" s="3" t="inlineStr">
        <is>
          <t>NH투자증권</t>
        </is>
      </c>
      <c r="G5132" s="2" t="inlineStr">
        <is>
          <t>20260312000833</t>
        </is>
      </c>
      <c r="H5132" s="8">
        <f>HYPERLINK("https://dart.fss.or.kr/dsaf001/main.do?rcpNo=20260312000833", "공시열람")</f>
        <v/>
      </c>
    </row>
    <row r="5133">
      <c r="A5133" s="2" t="inlineStr">
        <is>
          <t>2026-03-12 (정정: 2026-03-19)</t>
        </is>
      </c>
      <c r="B5133" s="3" t="inlineStr">
        <is>
          <t>대양금속</t>
        </is>
      </c>
      <c r="C5133" s="2" t="inlineStr">
        <is>
          <t>코스피</t>
        </is>
      </c>
      <c r="D5133" s="2" t="inlineStr">
        <is>
          <t>009190</t>
        </is>
      </c>
      <c r="E5133" s="3" t="inlineStr">
        <is>
          <t>의결권대리행사권유참고서류 (정정: 20260319)</t>
        </is>
      </c>
      <c r="F5133" s="3" t="inlineStr">
        <is>
          <t>대양금속</t>
        </is>
      </c>
      <c r="G5133" s="2" t="inlineStr">
        <is>
          <t>20260319001305</t>
        </is>
      </c>
      <c r="H5133" s="8">
        <f>HYPERLINK("https://dart.fss.or.kr/dsaf001/main.do?rcpNo=20260319001305", "공시열람")</f>
        <v/>
      </c>
    </row>
    <row r="5134">
      <c r="A5134" s="2" t="inlineStr">
        <is>
          <t>2026-03-12</t>
        </is>
      </c>
      <c r="B5134" s="3" t="inlineStr">
        <is>
          <t>디아이</t>
        </is>
      </c>
      <c r="C5134" s="2" t="inlineStr">
        <is>
          <t>코스피</t>
        </is>
      </c>
      <c r="D5134" s="2" t="inlineStr">
        <is>
          <t>003160</t>
        </is>
      </c>
      <c r="E5134" s="3" t="inlineStr">
        <is>
          <t xml:space="preserve">감사보고서제출              </t>
        </is>
      </c>
      <c r="F5134" s="3" t="inlineStr">
        <is>
          <t>디아이</t>
        </is>
      </c>
      <c r="G5134" s="2" t="inlineStr">
        <is>
          <t>20260312801137</t>
        </is>
      </c>
      <c r="H5134" s="8">
        <f>HYPERLINK("https://dart.fss.or.kr/dsaf001/main.do?rcpNo=20260312801137", "공시열람")</f>
        <v/>
      </c>
    </row>
    <row r="5135">
      <c r="A5135" s="2" t="inlineStr">
        <is>
          <t>2026-03-12</t>
        </is>
      </c>
      <c r="B5135" s="3" t="inlineStr">
        <is>
          <t>핀텔</t>
        </is>
      </c>
      <c r="C5135" s="2" t="inlineStr">
        <is>
          <t>코스닥</t>
        </is>
      </c>
      <c r="D5135" s="2" t="inlineStr">
        <is>
          <t>291810</t>
        </is>
      </c>
      <c r="E5135" s="3" t="inlineStr">
        <is>
          <t xml:space="preserve">감사보고서제출              </t>
        </is>
      </c>
      <c r="F5135" s="3" t="inlineStr">
        <is>
          <t>핀텔</t>
        </is>
      </c>
      <c r="G5135" s="2" t="inlineStr">
        <is>
          <t>20260312901018</t>
        </is>
      </c>
      <c r="H5135" s="8">
        <f>HYPERLINK("https://dart.fss.or.kr/dsaf001/main.do?rcpNo=20260312901018", "공시열람")</f>
        <v/>
      </c>
    </row>
    <row r="5136">
      <c r="A5136" s="2" t="inlineStr">
        <is>
          <t>2026-03-12</t>
        </is>
      </c>
      <c r="B5136" s="3" t="inlineStr">
        <is>
          <t>신대양제지</t>
        </is>
      </c>
      <c r="C5136" s="2" t="inlineStr">
        <is>
          <t>코스피</t>
        </is>
      </c>
      <c r="D5136" s="2" t="inlineStr">
        <is>
          <t>016590</t>
        </is>
      </c>
      <c r="E5136" s="3" t="inlineStr">
        <is>
          <t xml:space="preserve">현금ㆍ현물배당결정              </t>
        </is>
      </c>
      <c r="F5136" s="3" t="inlineStr">
        <is>
          <t>신대양제지</t>
        </is>
      </c>
      <c r="G5136" s="2" t="inlineStr">
        <is>
          <t>20260312801113</t>
        </is>
      </c>
      <c r="H5136" s="8">
        <f>HYPERLINK("https://dart.fss.or.kr/dsaf001/main.do?rcpNo=20260312801113", "공시열람")</f>
        <v/>
      </c>
    </row>
    <row r="5137">
      <c r="A5137" s="2" t="inlineStr">
        <is>
          <t>2026-03-12 (정정: 2026-05-26)</t>
        </is>
      </c>
      <c r="B5137" s="3" t="inlineStr">
        <is>
          <t>롯데지주</t>
        </is>
      </c>
      <c r="C5137" s="2" t="inlineStr">
        <is>
          <t>코스피</t>
        </is>
      </c>
      <c r="D5137" s="2" t="inlineStr">
        <is>
          <t>004990</t>
        </is>
      </c>
      <c r="E5137" s="3" t="inlineStr">
        <is>
          <t>감사보고서제출(자회사의 주요경영사항)               (정정: 20260526)</t>
        </is>
      </c>
      <c r="F5137" s="3" t="inlineStr">
        <is>
          <t>롯데지주</t>
        </is>
      </c>
      <c r="G5137" s="2" t="inlineStr">
        <is>
          <t>20260526800594</t>
        </is>
      </c>
      <c r="H5137" s="8">
        <f>HYPERLINK("https://dart.fss.or.kr/dsaf001/main.do?rcpNo=20260526800594", "공시열람")</f>
        <v/>
      </c>
    </row>
    <row r="5138">
      <c r="A5138" s="2" t="inlineStr">
        <is>
          <t>2026-03-12</t>
        </is>
      </c>
      <c r="B5138" s="3" t="inlineStr">
        <is>
          <t>현대해상</t>
        </is>
      </c>
      <c r="C5138" s="2" t="inlineStr">
        <is>
          <t>코스피</t>
        </is>
      </c>
      <c r="D5138" s="2" t="inlineStr">
        <is>
          <t>001450</t>
        </is>
      </c>
      <c r="E5138" s="3" t="inlineStr">
        <is>
          <t xml:space="preserve">감사보고서제출              </t>
        </is>
      </c>
      <c r="F5138" s="3" t="inlineStr">
        <is>
          <t>현대해상</t>
        </is>
      </c>
      <c r="G5138" s="2" t="inlineStr">
        <is>
          <t>20260312801167</t>
        </is>
      </c>
      <c r="H5138" s="8">
        <f>HYPERLINK("https://dart.fss.or.kr/dsaf001/main.do?rcpNo=20260312801167", "공시열람")</f>
        <v/>
      </c>
    </row>
    <row r="5139">
      <c r="A5139" s="2" t="inlineStr">
        <is>
          <t>2026-03-12</t>
        </is>
      </c>
      <c r="B5139" s="3" t="inlineStr">
        <is>
          <t>LG유플러스</t>
        </is>
      </c>
      <c r="C5139" s="2" t="inlineStr">
        <is>
          <t>코스피</t>
        </is>
      </c>
      <c r="D5139" s="2" t="inlineStr">
        <is>
          <t>032640</t>
        </is>
      </c>
      <c r="E5139" s="3" t="inlineStr">
        <is>
          <t xml:space="preserve">감사보고서제출              </t>
        </is>
      </c>
      <c r="F5139" s="3" t="inlineStr">
        <is>
          <t>LG유플러스</t>
        </is>
      </c>
      <c r="G5139" s="2" t="inlineStr">
        <is>
          <t>20260312801083</t>
        </is>
      </c>
      <c r="H5139" s="8">
        <f>HYPERLINK("https://dart.fss.or.kr/dsaf001/main.do?rcpNo=20260312801083", "공시열람")</f>
        <v/>
      </c>
    </row>
    <row r="5140">
      <c r="A5140" s="2" t="inlineStr">
        <is>
          <t>2026-03-12</t>
        </is>
      </c>
      <c r="B5140" s="3" t="inlineStr">
        <is>
          <t>하나투어</t>
        </is>
      </c>
      <c r="C5140" s="2" t="inlineStr">
        <is>
          <t>코스피</t>
        </is>
      </c>
      <c r="D5140" s="2" t="inlineStr">
        <is>
          <t>039130</t>
        </is>
      </c>
      <c r="E5140" s="3" t="inlineStr">
        <is>
          <t>의결권대리행사권유참고서류</t>
        </is>
      </c>
      <c r="F5140" s="3" t="inlineStr">
        <is>
          <t>하나투어</t>
        </is>
      </c>
      <c r="G5140" s="2" t="inlineStr">
        <is>
          <t>20260312000802</t>
        </is>
      </c>
      <c r="H5140" s="8">
        <f>HYPERLINK("https://dart.fss.or.kr/dsaf001/main.do?rcpNo=20260312000802", "공시열람")</f>
        <v/>
      </c>
    </row>
    <row r="5141">
      <c r="A5141" s="2" t="inlineStr">
        <is>
          <t>2026-03-12</t>
        </is>
      </c>
      <c r="B5141" s="3" t="inlineStr">
        <is>
          <t>오리엔트정공</t>
        </is>
      </c>
      <c r="C5141" s="2" t="inlineStr">
        <is>
          <t>코스닥</t>
        </is>
      </c>
      <c r="D5141" s="2" t="inlineStr">
        <is>
          <t>065500</t>
        </is>
      </c>
      <c r="E5141" s="3" t="inlineStr">
        <is>
          <t xml:space="preserve">매출액또는손익구조30%(대규모법인은15%)이상변동              </t>
        </is>
      </c>
      <c r="F5141" s="3" t="inlineStr">
        <is>
          <t>오리엔트정공</t>
        </is>
      </c>
      <c r="G5141" s="2" t="inlineStr">
        <is>
          <t>20260312901125</t>
        </is>
      </c>
      <c r="H5141" s="8">
        <f>HYPERLINK("https://dart.fss.or.kr/dsaf001/main.do?rcpNo=20260312901125", "공시열람")</f>
        <v/>
      </c>
    </row>
    <row r="5142">
      <c r="A5142" s="2" t="inlineStr">
        <is>
          <t>2026-03-12</t>
        </is>
      </c>
      <c r="B5142" s="3" t="inlineStr">
        <is>
          <t>아이쓰리시스템</t>
        </is>
      </c>
      <c r="C5142" s="2" t="inlineStr">
        <is>
          <t>코스닥</t>
        </is>
      </c>
      <c r="D5142" s="2" t="inlineStr">
        <is>
          <t>214430</t>
        </is>
      </c>
      <c r="E5142" s="3" t="inlineStr">
        <is>
          <t xml:space="preserve">감사보고서제출              </t>
        </is>
      </c>
      <c r="F5142" s="3" t="inlineStr">
        <is>
          <t>아이쓰리시스템</t>
        </is>
      </c>
      <c r="G5142" s="2" t="inlineStr">
        <is>
          <t>20260312900856</t>
        </is>
      </c>
      <c r="H5142" s="8">
        <f>HYPERLINK("https://dart.fss.or.kr/dsaf001/main.do?rcpNo=20260312900856", "공시열람")</f>
        <v/>
      </c>
    </row>
    <row r="5143">
      <c r="A5143" s="2" t="inlineStr">
        <is>
          <t>2026-03-12</t>
        </is>
      </c>
      <c r="B5143" s="3" t="inlineStr">
        <is>
          <t>원포유</t>
        </is>
      </c>
      <c r="C5143" s="2" t="inlineStr">
        <is>
          <t>코넥스</t>
        </is>
      </c>
      <c r="D5143" s="2" t="inlineStr">
        <is>
          <t>122830</t>
        </is>
      </c>
      <c r="E5143" s="3" t="inlineStr">
        <is>
          <t>의결권대리행사권유참고서류</t>
        </is>
      </c>
      <c r="F5143" s="3" t="inlineStr">
        <is>
          <t>원포유</t>
        </is>
      </c>
      <c r="G5143" s="2" t="inlineStr">
        <is>
          <t>20260312000797</t>
        </is>
      </c>
      <c r="H5143" s="8">
        <f>HYPERLINK("https://dart.fss.or.kr/dsaf001/main.do?rcpNo=20260312000797", "공시열람")</f>
        <v/>
      </c>
    </row>
    <row r="5144">
      <c r="A5144" s="2" t="inlineStr">
        <is>
          <t>2026-03-12</t>
        </is>
      </c>
      <c r="B5144" s="3" t="inlineStr">
        <is>
          <t>리더스코스메틱</t>
        </is>
      </c>
      <c r="C5144" s="2" t="inlineStr">
        <is>
          <t>코스닥</t>
        </is>
      </c>
      <c r="D5144" s="2" t="inlineStr">
        <is>
          <t>016100</t>
        </is>
      </c>
      <c r="E5144" s="3" t="inlineStr">
        <is>
          <t>의결권대리행사권유참고서류</t>
        </is>
      </c>
      <c r="F5144" s="3" t="inlineStr">
        <is>
          <t>리더스코스메틱</t>
        </is>
      </c>
      <c r="G5144" s="2" t="inlineStr">
        <is>
          <t>20260312000796</t>
        </is>
      </c>
      <c r="H5144" s="8">
        <f>HYPERLINK("https://dart.fss.or.kr/dsaf001/main.do?rcpNo=20260312000796", "공시열람")</f>
        <v/>
      </c>
    </row>
    <row r="5145">
      <c r="A5145" s="2" t="inlineStr">
        <is>
          <t>2026-03-12</t>
        </is>
      </c>
      <c r="B5145" s="3" t="inlineStr">
        <is>
          <t>에이비엘바이오</t>
        </is>
      </c>
      <c r="C5145" s="2" t="inlineStr">
        <is>
          <t>코스닥</t>
        </is>
      </c>
      <c r="D5145" s="2" t="inlineStr">
        <is>
          <t>298380</t>
        </is>
      </c>
      <c r="E5145" s="3" t="inlineStr">
        <is>
          <t>의결권대리행사권유참고서류</t>
        </is>
      </c>
      <c r="F5145" s="3" t="inlineStr">
        <is>
          <t>에이비엘바이오</t>
        </is>
      </c>
      <c r="G5145" s="2" t="inlineStr">
        <is>
          <t>20260312000795</t>
        </is>
      </c>
      <c r="H5145" s="8">
        <f>HYPERLINK("https://dart.fss.or.kr/dsaf001/main.do?rcpNo=20260312000795", "공시열람")</f>
        <v/>
      </c>
    </row>
    <row r="5146">
      <c r="A5146" s="2" t="inlineStr">
        <is>
          <t>2026-03-12</t>
        </is>
      </c>
      <c r="B5146" s="3" t="inlineStr">
        <is>
          <t>HS애드</t>
        </is>
      </c>
      <c r="C5146" s="2" t="inlineStr">
        <is>
          <t>코스피</t>
        </is>
      </c>
      <c r="D5146" s="2" t="inlineStr">
        <is>
          <t>035000</t>
        </is>
      </c>
      <c r="E5146" s="3" t="inlineStr">
        <is>
          <t xml:space="preserve">감사보고서제출              </t>
        </is>
      </c>
      <c r="F5146" s="3" t="inlineStr">
        <is>
          <t>HS애드</t>
        </is>
      </c>
      <c r="G5146" s="2" t="inlineStr">
        <is>
          <t>20260312801124</t>
        </is>
      </c>
      <c r="H5146" s="8">
        <f>HYPERLINK("https://dart.fss.or.kr/dsaf001/main.do?rcpNo=20260312801124", "공시열람")</f>
        <v/>
      </c>
    </row>
    <row r="5147">
      <c r="A5147" s="2" t="inlineStr">
        <is>
          <t>2026-03-12</t>
        </is>
      </c>
      <c r="B5147" s="3" t="inlineStr">
        <is>
          <t>대성산업</t>
        </is>
      </c>
      <c r="C5147" s="2" t="inlineStr">
        <is>
          <t>코스피</t>
        </is>
      </c>
      <c r="D5147" s="2" t="inlineStr">
        <is>
          <t>128820</t>
        </is>
      </c>
      <c r="E5147" s="3" t="inlineStr">
        <is>
          <t xml:space="preserve">현금ㆍ현물배당을위한주주명부폐쇄(기준일)결정              </t>
        </is>
      </c>
      <c r="F5147" s="3" t="inlineStr">
        <is>
          <t>대성산업</t>
        </is>
      </c>
      <c r="G5147" s="2" t="inlineStr">
        <is>
          <t>20260312801212</t>
        </is>
      </c>
      <c r="H5147" s="8">
        <f>HYPERLINK("https://dart.fss.or.kr/dsaf001/main.do?rcpNo=20260312801212", "공시열람")</f>
        <v/>
      </c>
    </row>
    <row r="5148">
      <c r="A5148" s="2" t="inlineStr">
        <is>
          <t>2026-03-12</t>
        </is>
      </c>
      <c r="B5148" s="3" t="inlineStr">
        <is>
          <t>시너지이노베이션</t>
        </is>
      </c>
      <c r="C5148" s="2" t="inlineStr">
        <is>
          <t>코스닥</t>
        </is>
      </c>
      <c r="D5148" s="2" t="inlineStr">
        <is>
          <t>048870</t>
        </is>
      </c>
      <c r="E5148" s="3" t="inlineStr">
        <is>
          <t xml:space="preserve">매출액또는손익구조30%(대규모법인은15%)이상변동              </t>
        </is>
      </c>
      <c r="F5148" s="3" t="inlineStr">
        <is>
          <t>시너지이노베이션</t>
        </is>
      </c>
      <c r="G5148" s="2" t="inlineStr">
        <is>
          <t>20260312901104</t>
        </is>
      </c>
      <c r="H5148" s="8">
        <f>HYPERLINK("https://dart.fss.or.kr/dsaf001/main.do?rcpNo=20260312901104", "공시열람")</f>
        <v/>
      </c>
    </row>
    <row r="5149">
      <c r="A5149" s="2" t="inlineStr">
        <is>
          <t>2026-03-12</t>
        </is>
      </c>
      <c r="B5149" s="3" t="inlineStr">
        <is>
          <t>토박스코리아</t>
        </is>
      </c>
      <c r="C5149" s="2" t="inlineStr">
        <is>
          <t>코스닥</t>
        </is>
      </c>
      <c r="D5149" s="2" t="inlineStr">
        <is>
          <t>215480</t>
        </is>
      </c>
      <c r="E5149" s="3" t="inlineStr">
        <is>
          <t xml:space="preserve">매출액또는손익구조30%(대규모법인은15%)이상변동              </t>
        </is>
      </c>
      <c r="F5149" s="3" t="inlineStr">
        <is>
          <t>토박스코리아</t>
        </is>
      </c>
      <c r="G5149" s="2" t="inlineStr">
        <is>
          <t>20260312900753</t>
        </is>
      </c>
      <c r="H5149" s="8">
        <f>HYPERLINK("https://dart.fss.or.kr/dsaf001/main.do?rcpNo=20260312900753", "공시열람")</f>
        <v/>
      </c>
    </row>
    <row r="5150">
      <c r="A5150" s="2" t="inlineStr">
        <is>
          <t>2026-03-12</t>
        </is>
      </c>
      <c r="B5150" s="3" t="inlineStr">
        <is>
          <t>참좋은여행</t>
        </is>
      </c>
      <c r="C5150" s="2" t="inlineStr">
        <is>
          <t>코스닥</t>
        </is>
      </c>
      <c r="D5150" s="2" t="inlineStr">
        <is>
          <t>094850</t>
        </is>
      </c>
      <c r="E5150" s="3" t="inlineStr">
        <is>
          <t xml:space="preserve">감사보고서제출              </t>
        </is>
      </c>
      <c r="F5150" s="3" t="inlineStr">
        <is>
          <t>참좋은여행</t>
        </is>
      </c>
      <c r="G5150" s="2" t="inlineStr">
        <is>
          <t>20260312901028</t>
        </is>
      </c>
      <c r="H5150" s="8">
        <f>HYPERLINK("https://dart.fss.or.kr/dsaf001/main.do?rcpNo=20260312901028", "공시열람")</f>
        <v/>
      </c>
    </row>
    <row r="5151">
      <c r="A5151" s="2" t="inlineStr">
        <is>
          <t>2026-03-12</t>
        </is>
      </c>
      <c r="B5151" s="3" t="inlineStr">
        <is>
          <t>대성산업</t>
        </is>
      </c>
      <c r="C5151" s="2" t="inlineStr">
        <is>
          <t>코스피</t>
        </is>
      </c>
      <c r="D5151" s="2" t="inlineStr">
        <is>
          <t>128820</t>
        </is>
      </c>
      <c r="E5151" s="3" t="inlineStr">
        <is>
          <t xml:space="preserve">현금ㆍ현물배당결정              </t>
        </is>
      </c>
      <c r="F5151" s="3" t="inlineStr">
        <is>
          <t>대성산업</t>
        </is>
      </c>
      <c r="G5151" s="2" t="inlineStr">
        <is>
          <t>20260312801199</t>
        </is>
      </c>
      <c r="H5151" s="8">
        <f>HYPERLINK("https://dart.fss.or.kr/dsaf001/main.do?rcpNo=20260312801199", "공시열람")</f>
        <v/>
      </c>
    </row>
    <row r="5152">
      <c r="A5152" s="2" t="inlineStr">
        <is>
          <t>2026-03-12</t>
        </is>
      </c>
      <c r="B5152" s="3" t="inlineStr">
        <is>
          <t>파인디지털</t>
        </is>
      </c>
      <c r="C5152" s="2" t="inlineStr">
        <is>
          <t>코스닥</t>
        </is>
      </c>
      <c r="D5152" s="2" t="inlineStr">
        <is>
          <t>038950</t>
        </is>
      </c>
      <c r="E5152" s="3" t="inlineStr">
        <is>
          <t xml:space="preserve">감사보고서제출              </t>
        </is>
      </c>
      <c r="F5152" s="3" t="inlineStr">
        <is>
          <t>파인디지털</t>
        </is>
      </c>
      <c r="G5152" s="2" t="inlineStr">
        <is>
          <t>20260312900702</t>
        </is>
      </c>
      <c r="H5152" s="8">
        <f>HYPERLINK("https://dart.fss.or.kr/dsaf001/main.do?rcpNo=20260312900702", "공시열람")</f>
        <v/>
      </c>
    </row>
    <row r="5153">
      <c r="A5153" s="2" t="inlineStr">
        <is>
          <t>2026-03-12 (정정: 2026-05-22)</t>
        </is>
      </c>
      <c r="B5153" s="3" t="inlineStr">
        <is>
          <t>비투엔</t>
        </is>
      </c>
      <c r="C5153" s="2" t="inlineStr">
        <is>
          <t>코스닥</t>
        </is>
      </c>
      <c r="D5153" s="2" t="inlineStr">
        <is>
          <t>307870</t>
        </is>
      </c>
      <c r="E5153" s="3" t="inlineStr">
        <is>
          <t>매출액또는손익구조30%(대규모법인은15%)이상변동               (정정: 20260520) (정정: 20260522) (정정: 20260522) (정정: 20260522)</t>
        </is>
      </c>
      <c r="F5153" s="3" t="inlineStr">
        <is>
          <t>비투엔</t>
        </is>
      </c>
      <c r="G5153" s="2" t="inlineStr">
        <is>
          <t>20260522000438</t>
        </is>
      </c>
      <c r="H5153" s="8">
        <f>HYPERLINK("https://dart.fss.or.kr/dsaf001/main.do?rcpNo=20260522000438", "공시열람")</f>
        <v/>
      </c>
    </row>
    <row r="5154">
      <c r="A5154" s="2" t="inlineStr">
        <is>
          <t>2026-03-12</t>
        </is>
      </c>
      <c r="B5154" s="3" t="inlineStr">
        <is>
          <t>코스모신소재</t>
        </is>
      </c>
      <c r="C5154" s="2" t="inlineStr">
        <is>
          <t>코스피</t>
        </is>
      </c>
      <c r="D5154" s="2" t="inlineStr">
        <is>
          <t>005070</t>
        </is>
      </c>
      <c r="E5154" s="3" t="inlineStr">
        <is>
          <t xml:space="preserve">감사보고서제출              </t>
        </is>
      </c>
      <c r="F5154" s="3" t="inlineStr">
        <is>
          <t>코스모신소재</t>
        </is>
      </c>
      <c r="G5154" s="2" t="inlineStr">
        <is>
          <t>20260312801070</t>
        </is>
      </c>
      <c r="H5154" s="8">
        <f>HYPERLINK("https://dart.fss.or.kr/dsaf001/main.do?rcpNo=20260312801070", "공시열람")</f>
        <v/>
      </c>
    </row>
    <row r="5155">
      <c r="A5155" s="2" t="inlineStr">
        <is>
          <t>2026-03-12</t>
        </is>
      </c>
      <c r="B5155" s="3" t="inlineStr">
        <is>
          <t>MH에탄올</t>
        </is>
      </c>
      <c r="C5155" s="2" t="inlineStr">
        <is>
          <t>코스피</t>
        </is>
      </c>
      <c r="D5155" s="2" t="inlineStr">
        <is>
          <t>023150</t>
        </is>
      </c>
      <c r="E5155" s="3" t="inlineStr">
        <is>
          <t xml:space="preserve">감사보고서제출              </t>
        </is>
      </c>
      <c r="F5155" s="3" t="inlineStr">
        <is>
          <t>MH에탄올</t>
        </is>
      </c>
      <c r="G5155" s="2" t="inlineStr">
        <is>
          <t>20260312801128</t>
        </is>
      </c>
      <c r="H5155" s="8">
        <f>HYPERLINK("https://dart.fss.or.kr/dsaf001/main.do?rcpNo=20260312801128", "공시열람")</f>
        <v/>
      </c>
    </row>
    <row r="5156">
      <c r="A5156" s="2" t="inlineStr">
        <is>
          <t>2026-03-12</t>
        </is>
      </c>
      <c r="B5156" s="3" t="inlineStr">
        <is>
          <t>롯데웰푸드</t>
        </is>
      </c>
      <c r="C5156" s="2" t="inlineStr">
        <is>
          <t>코스피</t>
        </is>
      </c>
      <c r="D5156" s="2" t="inlineStr">
        <is>
          <t>280360</t>
        </is>
      </c>
      <c r="E5156" s="3" t="inlineStr">
        <is>
          <t xml:space="preserve">감사보고서제출              </t>
        </is>
      </c>
      <c r="F5156" s="3" t="inlineStr">
        <is>
          <t>롯데웰푸드</t>
        </is>
      </c>
      <c r="G5156" s="2" t="inlineStr">
        <is>
          <t>20260312801033</t>
        </is>
      </c>
      <c r="H5156" s="8">
        <f>HYPERLINK("https://dart.fss.or.kr/dsaf001/main.do?rcpNo=20260312801033", "공시열람")</f>
        <v/>
      </c>
    </row>
    <row r="5157">
      <c r="A5157" s="2" t="inlineStr">
        <is>
          <t>2026-03-12</t>
        </is>
      </c>
      <c r="B5157" s="3" t="inlineStr">
        <is>
          <t>HS효성</t>
        </is>
      </c>
      <c r="C5157" s="2" t="inlineStr">
        <is>
          <t>코스피</t>
        </is>
      </c>
      <c r="D5157" s="2" t="inlineStr">
        <is>
          <t>487570</t>
        </is>
      </c>
      <c r="E5157" s="3" t="inlineStr">
        <is>
          <t xml:space="preserve">감사보고서제출              </t>
        </is>
      </c>
      <c r="F5157" s="3" t="inlineStr">
        <is>
          <t>HS효성</t>
        </is>
      </c>
      <c r="G5157" s="2" t="inlineStr">
        <is>
          <t>20260312801017</t>
        </is>
      </c>
      <c r="H5157" s="8">
        <f>HYPERLINK("https://dart.fss.or.kr/dsaf001/main.do?rcpNo=20260312801017", "공시열람")</f>
        <v/>
      </c>
    </row>
    <row r="5158">
      <c r="A5158" s="2" t="inlineStr">
        <is>
          <t>2026-03-12</t>
        </is>
      </c>
      <c r="B5158" s="3" t="inlineStr">
        <is>
          <t>대성산업</t>
        </is>
      </c>
      <c r="C5158" s="2" t="inlineStr">
        <is>
          <t>코스피</t>
        </is>
      </c>
      <c r="D5158" s="2" t="inlineStr">
        <is>
          <t>128820</t>
        </is>
      </c>
      <c r="E5158" s="3" t="inlineStr">
        <is>
          <t>의결권대리행사권유참고서류</t>
        </is>
      </c>
      <c r="F5158" s="3" t="inlineStr">
        <is>
          <t>대성산업</t>
        </is>
      </c>
      <c r="G5158" s="2" t="inlineStr">
        <is>
          <t>20260312000782</t>
        </is>
      </c>
      <c r="H5158" s="8">
        <f>HYPERLINK("https://dart.fss.or.kr/dsaf001/main.do?rcpNo=20260312000782", "공시열람")</f>
        <v/>
      </c>
    </row>
    <row r="5159">
      <c r="A5159" s="2" t="inlineStr">
        <is>
          <t>2026-03-12</t>
        </is>
      </c>
      <c r="B5159" s="3" t="inlineStr">
        <is>
          <t>현대글로비스</t>
        </is>
      </c>
      <c r="C5159" s="2" t="inlineStr">
        <is>
          <t>코스피</t>
        </is>
      </c>
      <c r="D5159" s="2" t="inlineStr">
        <is>
          <t>086280</t>
        </is>
      </c>
      <c r="E5159" s="3" t="inlineStr">
        <is>
          <t>임원ㆍ주요주주특정증권등소유상황보고서</t>
        </is>
      </c>
      <c r="F5159" s="3" t="inlineStr">
        <is>
          <t>최현만</t>
        </is>
      </c>
      <c r="G5159" s="2" t="inlineStr">
        <is>
          <t>20260312000779</t>
        </is>
      </c>
      <c r="H5159" s="8">
        <f>HYPERLINK("https://dart.fss.or.kr/dsaf001/main.do?rcpNo=20260312000779", "공시열람")</f>
        <v/>
      </c>
    </row>
    <row r="5160">
      <c r="A5160" s="2" t="inlineStr">
        <is>
          <t>2026-03-12</t>
        </is>
      </c>
      <c r="B5160" s="3" t="inlineStr">
        <is>
          <t>현대해상</t>
        </is>
      </c>
      <c r="C5160" s="2" t="inlineStr">
        <is>
          <t>코스피</t>
        </is>
      </c>
      <c r="D5160" s="2" t="inlineStr">
        <is>
          <t>001450</t>
        </is>
      </c>
      <c r="E5160" s="3" t="inlineStr">
        <is>
          <t xml:space="preserve">[첨부정정]기업지배구조보고서공시(연차보고서)              </t>
        </is>
      </c>
      <c r="F5160" s="3" t="inlineStr">
        <is>
          <t>현대해상</t>
        </is>
      </c>
      <c r="G5160" s="2" t="inlineStr">
        <is>
          <t>20260312801159</t>
        </is>
      </c>
      <c r="H5160" s="8">
        <f>HYPERLINK("https://dart.fss.or.kr/dsaf001/main.do?rcpNo=20260312801159", "공시열람")</f>
        <v/>
      </c>
    </row>
    <row r="5161">
      <c r="A5161" s="2" t="inlineStr">
        <is>
          <t>2026-03-12</t>
        </is>
      </c>
      <c r="B5161" s="3" t="inlineStr">
        <is>
          <t>아미노로직스</t>
        </is>
      </c>
      <c r="C5161" s="2" t="inlineStr">
        <is>
          <t>코스닥</t>
        </is>
      </c>
      <c r="D5161" s="2" t="inlineStr">
        <is>
          <t>074430</t>
        </is>
      </c>
      <c r="E5161" s="3" t="inlineStr">
        <is>
          <t>의결권대리행사권유참고서류</t>
        </is>
      </c>
      <c r="F5161" s="3" t="inlineStr">
        <is>
          <t>아미노로직스</t>
        </is>
      </c>
      <c r="G5161" s="2" t="inlineStr">
        <is>
          <t>20260312000771</t>
        </is>
      </c>
      <c r="H5161" s="8">
        <f>HYPERLINK("https://dart.fss.or.kr/dsaf001/main.do?rcpNo=20260312000771", "공시열람")</f>
        <v/>
      </c>
    </row>
    <row r="5162">
      <c r="A5162" s="2" t="inlineStr">
        <is>
          <t>2026-03-12</t>
        </is>
      </c>
      <c r="B5162" s="3" t="inlineStr">
        <is>
          <t>아이엠</t>
        </is>
      </c>
      <c r="C5162" s="2" t="inlineStr">
        <is>
          <t>코스닥</t>
        </is>
      </c>
      <c r="D5162" s="2" t="inlineStr">
        <is>
          <t>101390</t>
        </is>
      </c>
      <c r="E5162" s="3" t="inlineStr">
        <is>
          <t>의결권대리행사권유참고서류</t>
        </is>
      </c>
      <c r="F5162" s="3" t="inlineStr">
        <is>
          <t>문제윤</t>
        </is>
      </c>
      <c r="G5162" s="2" t="inlineStr">
        <is>
          <t>20260312000765</t>
        </is>
      </c>
      <c r="H5162" s="8">
        <f>HYPERLINK("https://dart.fss.or.kr/dsaf001/main.do?rcpNo=20260312000765", "공시열람")</f>
        <v/>
      </c>
    </row>
    <row r="5163">
      <c r="A5163" s="2" t="inlineStr">
        <is>
          <t>2026-03-12</t>
        </is>
      </c>
      <c r="B5163" s="3" t="inlineStr">
        <is>
          <t>HD현대에너지솔루션</t>
        </is>
      </c>
      <c r="C5163" s="2" t="inlineStr">
        <is>
          <t>코스피</t>
        </is>
      </c>
      <c r="D5163" s="2" t="inlineStr">
        <is>
          <t>322000</t>
        </is>
      </c>
      <c r="E5163" s="3" t="inlineStr">
        <is>
          <t xml:space="preserve">감사보고서제출              </t>
        </is>
      </c>
      <c r="F5163" s="3" t="inlineStr">
        <is>
          <t>HD현대에너지솔루션</t>
        </is>
      </c>
      <c r="G5163" s="2" t="inlineStr">
        <is>
          <t>20260312801091</t>
        </is>
      </c>
      <c r="H5163" s="8">
        <f>HYPERLINK("https://dart.fss.or.kr/dsaf001/main.do?rcpNo=20260312801091", "공시열람")</f>
        <v/>
      </c>
    </row>
    <row r="5164">
      <c r="A5164" s="2" t="inlineStr">
        <is>
          <t>2026-03-12</t>
        </is>
      </c>
      <c r="B5164" s="3" t="inlineStr">
        <is>
          <t>효성 ITX</t>
        </is>
      </c>
      <c r="C5164" s="2" t="inlineStr">
        <is>
          <t>코스피</t>
        </is>
      </c>
      <c r="D5164" s="2" t="inlineStr">
        <is>
          <t>094280</t>
        </is>
      </c>
      <c r="E5164" s="3" t="inlineStr">
        <is>
          <t xml:space="preserve">감사보고서제출              </t>
        </is>
      </c>
      <c r="F5164" s="3" t="inlineStr">
        <is>
          <t>효성 ITX</t>
        </is>
      </c>
      <c r="G5164" s="2" t="inlineStr">
        <is>
          <t>20260312801005</t>
        </is>
      </c>
      <c r="H5164" s="8">
        <f>HYPERLINK("https://dart.fss.or.kr/dsaf001/main.do?rcpNo=20260312801005", "공시열람")</f>
        <v/>
      </c>
    </row>
    <row r="5165">
      <c r="A5165" s="2" t="inlineStr">
        <is>
          <t>2026-03-12</t>
        </is>
      </c>
      <c r="B5165" s="3" t="inlineStr">
        <is>
          <t>노루페인트</t>
        </is>
      </c>
      <c r="C5165" s="2" t="inlineStr">
        <is>
          <t>코스피</t>
        </is>
      </c>
      <c r="D5165" s="2" t="inlineStr">
        <is>
          <t>090350</t>
        </is>
      </c>
      <c r="E5165" s="3" t="inlineStr">
        <is>
          <t xml:space="preserve">감사보고서제출              </t>
        </is>
      </c>
      <c r="F5165" s="3" t="inlineStr">
        <is>
          <t>노루페인트</t>
        </is>
      </c>
      <c r="G5165" s="2" t="inlineStr">
        <is>
          <t>20260312800963</t>
        </is>
      </c>
      <c r="H5165" s="8">
        <f>HYPERLINK("https://dart.fss.or.kr/dsaf001/main.do?rcpNo=20260312800963", "공시열람")</f>
        <v/>
      </c>
    </row>
    <row r="5166">
      <c r="A5166" s="2" t="inlineStr">
        <is>
          <t>2026-03-12</t>
        </is>
      </c>
      <c r="B5166" s="3" t="inlineStr">
        <is>
          <t>인포바인</t>
        </is>
      </c>
      <c r="C5166" s="2" t="inlineStr">
        <is>
          <t>코스닥</t>
        </is>
      </c>
      <c r="D5166" s="2" t="inlineStr">
        <is>
          <t>115310</t>
        </is>
      </c>
      <c r="E5166" s="3" t="inlineStr">
        <is>
          <t xml:space="preserve">현금ㆍ현물배당결정              </t>
        </is>
      </c>
      <c r="F5166" s="3" t="inlineStr">
        <is>
          <t>인포바인</t>
        </is>
      </c>
      <c r="G5166" s="2" t="inlineStr">
        <is>
          <t>20260312900959</t>
        </is>
      </c>
      <c r="H5166" s="8">
        <f>HYPERLINK("https://dart.fss.or.kr/dsaf001/main.do?rcpNo=20260312900959", "공시열람")</f>
        <v/>
      </c>
    </row>
    <row r="5167">
      <c r="A5167" s="2" t="inlineStr">
        <is>
          <t>2026-03-12</t>
        </is>
      </c>
      <c r="B5167" s="3" t="inlineStr">
        <is>
          <t>뉴로메카</t>
        </is>
      </c>
      <c r="C5167" s="2" t="inlineStr">
        <is>
          <t>코스닥</t>
        </is>
      </c>
      <c r="D5167" s="2" t="inlineStr">
        <is>
          <t>348340</t>
        </is>
      </c>
      <c r="E5167" s="3" t="inlineStr">
        <is>
          <t xml:space="preserve">매출액또는손익구조30%(대규모법인은15%)이상변동              </t>
        </is>
      </c>
      <c r="F5167" s="3" t="inlineStr">
        <is>
          <t>뉴로메카</t>
        </is>
      </c>
      <c r="G5167" s="2" t="inlineStr">
        <is>
          <t>20260312900925</t>
        </is>
      </c>
      <c r="H5167" s="8">
        <f>HYPERLINK("https://dart.fss.or.kr/dsaf001/main.do?rcpNo=20260312900925", "공시열람")</f>
        <v/>
      </c>
    </row>
    <row r="5168">
      <c r="A5168" s="2" t="inlineStr">
        <is>
          <t>2026-03-12</t>
        </is>
      </c>
      <c r="B5168" s="3" t="inlineStr">
        <is>
          <t>조일알미늄</t>
        </is>
      </c>
      <c r="C5168" s="2" t="inlineStr">
        <is>
          <t>코스피</t>
        </is>
      </c>
      <c r="D5168" s="2" t="inlineStr">
        <is>
          <t>018470</t>
        </is>
      </c>
      <c r="E5168" s="3" t="inlineStr">
        <is>
          <t xml:space="preserve">감사보고서제출              </t>
        </is>
      </c>
      <c r="F5168" s="3" t="inlineStr">
        <is>
          <t>조일알미늄</t>
        </is>
      </c>
      <c r="G5168" s="2" t="inlineStr">
        <is>
          <t>20260312801069</t>
        </is>
      </c>
      <c r="H5168" s="8">
        <f>HYPERLINK("https://dart.fss.or.kr/dsaf001/main.do?rcpNo=20260312801069", "공시열람")</f>
        <v/>
      </c>
    </row>
    <row r="5169">
      <c r="A5169" s="2" t="inlineStr">
        <is>
          <t>2026-03-12</t>
        </is>
      </c>
      <c r="B5169" s="3" t="inlineStr">
        <is>
          <t>파마리서치</t>
        </is>
      </c>
      <c r="C5169" s="2" t="inlineStr">
        <is>
          <t>코스닥</t>
        </is>
      </c>
      <c r="D5169" s="2" t="inlineStr">
        <is>
          <t>214450</t>
        </is>
      </c>
      <c r="E5169" s="3" t="inlineStr">
        <is>
          <t>의결권대리행사권유참고서류</t>
        </is>
      </c>
      <c r="F5169" s="3" t="inlineStr">
        <is>
          <t>파마리서치</t>
        </is>
      </c>
      <c r="G5169" s="2" t="inlineStr">
        <is>
          <t>20260312000750</t>
        </is>
      </c>
      <c r="H5169" s="8">
        <f>HYPERLINK("https://dart.fss.or.kr/dsaf001/main.do?rcpNo=20260312000750", "공시열람")</f>
        <v/>
      </c>
    </row>
    <row r="5170">
      <c r="A5170" s="2" t="inlineStr">
        <is>
          <t>2026-03-12</t>
        </is>
      </c>
      <c r="B5170" s="3" t="inlineStr">
        <is>
          <t>SGC에너지</t>
        </is>
      </c>
      <c r="C5170" s="2" t="inlineStr">
        <is>
          <t>코스피</t>
        </is>
      </c>
      <c r="D5170" s="2" t="inlineStr">
        <is>
          <t>005090</t>
        </is>
      </c>
      <c r="E5170" s="3" t="inlineStr">
        <is>
          <t xml:space="preserve">감사보고서제출              </t>
        </is>
      </c>
      <c r="F5170" s="3" t="inlineStr">
        <is>
          <t>SGC에너지</t>
        </is>
      </c>
      <c r="G5170" s="2" t="inlineStr">
        <is>
          <t>20260312801011</t>
        </is>
      </c>
      <c r="H5170" s="8">
        <f>HYPERLINK("https://dart.fss.or.kr/dsaf001/main.do?rcpNo=20260312801011", "공시열람")</f>
        <v/>
      </c>
    </row>
    <row r="5171">
      <c r="A5171" s="2" t="inlineStr">
        <is>
          <t>2026-03-12</t>
        </is>
      </c>
      <c r="B5171" s="3" t="inlineStr">
        <is>
          <t>고영</t>
        </is>
      </c>
      <c r="C5171" s="2" t="inlineStr">
        <is>
          <t>코스닥</t>
        </is>
      </c>
      <c r="D5171" s="2" t="inlineStr">
        <is>
          <t>098460</t>
        </is>
      </c>
      <c r="E5171" s="3" t="inlineStr">
        <is>
          <t xml:space="preserve">감사보고서제출              </t>
        </is>
      </c>
      <c r="F5171" s="3" t="inlineStr">
        <is>
          <t>고영</t>
        </is>
      </c>
      <c r="G5171" s="2" t="inlineStr">
        <is>
          <t>20260312900944</t>
        </is>
      </c>
      <c r="H5171" s="8">
        <f>HYPERLINK("https://dart.fss.or.kr/dsaf001/main.do?rcpNo=20260312900944", "공시열람")</f>
        <v/>
      </c>
    </row>
    <row r="5172">
      <c r="A5172" s="2" t="inlineStr">
        <is>
          <t>2026-03-12</t>
        </is>
      </c>
      <c r="B5172" s="3" t="inlineStr">
        <is>
          <t>진양홀딩스</t>
        </is>
      </c>
      <c r="C5172" s="2" t="inlineStr">
        <is>
          <t>코스피</t>
        </is>
      </c>
      <c r="D5172" s="2" t="inlineStr">
        <is>
          <t>100250</t>
        </is>
      </c>
      <c r="E5172" s="3" t="inlineStr">
        <is>
          <t xml:space="preserve">유상증자또는주식관련사채등의발행결과(자율공시)              </t>
        </is>
      </c>
      <c r="F5172" s="3" t="inlineStr">
        <is>
          <t>진양홀딩스</t>
        </is>
      </c>
      <c r="G5172" s="2" t="inlineStr">
        <is>
          <t>20260312801103</t>
        </is>
      </c>
      <c r="H5172" s="8">
        <f>HYPERLINK("https://dart.fss.or.kr/dsaf001/main.do?rcpNo=20260312801103", "공시열람")</f>
        <v/>
      </c>
    </row>
    <row r="5173">
      <c r="A5173" s="2" t="inlineStr">
        <is>
          <t>2026-03-12</t>
        </is>
      </c>
      <c r="B5173" s="3" t="inlineStr">
        <is>
          <t>케이씨씨글라스</t>
        </is>
      </c>
      <c r="C5173" s="2" t="inlineStr">
        <is>
          <t>코스피</t>
        </is>
      </c>
      <c r="D5173" s="2" t="inlineStr">
        <is>
          <t>344820</t>
        </is>
      </c>
      <c r="E5173" s="3" t="inlineStr">
        <is>
          <t xml:space="preserve">감사보고서제출              </t>
        </is>
      </c>
      <c r="F5173" s="3" t="inlineStr">
        <is>
          <t>케이씨씨글라스</t>
        </is>
      </c>
      <c r="G5173" s="2" t="inlineStr">
        <is>
          <t>20260312800927</t>
        </is>
      </c>
      <c r="H5173" s="8">
        <f>HYPERLINK("https://dart.fss.or.kr/dsaf001/main.do?rcpNo=20260312800927", "공시열람")</f>
        <v/>
      </c>
    </row>
    <row r="5174">
      <c r="A5174" s="2" t="inlineStr">
        <is>
          <t>2026-03-12</t>
        </is>
      </c>
      <c r="B5174" s="3" t="inlineStr">
        <is>
          <t>NH투자증권</t>
        </is>
      </c>
      <c r="C5174" s="2" t="inlineStr">
        <is>
          <t>코스피</t>
        </is>
      </c>
      <c r="D5174" s="2" t="inlineStr">
        <is>
          <t>005940</t>
        </is>
      </c>
      <c r="E5174" s="3" t="inlineStr">
        <is>
          <t>증권발행실적보고서</t>
        </is>
      </c>
      <c r="F5174" s="3" t="inlineStr">
        <is>
          <t>NH투자증권</t>
        </is>
      </c>
      <c r="G5174" s="2" t="inlineStr">
        <is>
          <t>20260312000746</t>
        </is>
      </c>
      <c r="H5174" s="8">
        <f>HYPERLINK("https://dart.fss.or.kr/dsaf001/main.do?rcpNo=20260312000746", "공시열람")</f>
        <v/>
      </c>
    </row>
    <row r="5175">
      <c r="A5175" s="2" t="inlineStr">
        <is>
          <t>2026-03-12</t>
        </is>
      </c>
      <c r="B5175" s="3" t="inlineStr">
        <is>
          <t>엑스플러스</t>
        </is>
      </c>
      <c r="C5175" s="2" t="inlineStr">
        <is>
          <t>코스닥</t>
        </is>
      </c>
      <c r="D5175" s="2" t="inlineStr">
        <is>
          <t>373200</t>
        </is>
      </c>
      <c r="E5175" s="3" t="inlineStr">
        <is>
          <t>[기재정정]주요사항보고서(전환사채매수선택권행사자지정)</t>
        </is>
      </c>
      <c r="F5175" s="3" t="inlineStr">
        <is>
          <t>엑스플러스</t>
        </is>
      </c>
      <c r="G5175" s="2" t="inlineStr">
        <is>
          <t>20260312000745</t>
        </is>
      </c>
      <c r="H5175" s="8">
        <f>HYPERLINK("https://dart.fss.or.kr/dsaf001/main.do?rcpNo=20260312000745", "공시열람")</f>
        <v/>
      </c>
    </row>
    <row r="5176">
      <c r="A5176" s="2" t="inlineStr">
        <is>
          <t>2026-03-12</t>
        </is>
      </c>
      <c r="B5176" s="3" t="inlineStr">
        <is>
          <t>에스아이리소스</t>
        </is>
      </c>
      <c r="C5176" s="2" t="inlineStr">
        <is>
          <t>코스닥</t>
        </is>
      </c>
      <c r="D5176" s="2" t="inlineStr">
        <is>
          <t>065420</t>
        </is>
      </c>
      <c r="E5176" s="3" t="inlineStr">
        <is>
          <t xml:space="preserve">주식병합결정              </t>
        </is>
      </c>
      <c r="F5176" s="3" t="inlineStr">
        <is>
          <t>에스아이리소스</t>
        </is>
      </c>
      <c r="G5176" s="2" t="inlineStr">
        <is>
          <t>20260312901098</t>
        </is>
      </c>
      <c r="H5176" s="8">
        <f>HYPERLINK("https://dart.fss.or.kr/dsaf001/main.do?rcpNo=20260312901098", "공시열람")</f>
        <v/>
      </c>
    </row>
    <row r="5177">
      <c r="A5177" s="2" t="inlineStr">
        <is>
          <t>2026-03-12</t>
        </is>
      </c>
      <c r="B5177" s="3" t="inlineStr">
        <is>
          <t>삼천리</t>
        </is>
      </c>
      <c r="C5177" s="2" t="inlineStr">
        <is>
          <t>코스피</t>
        </is>
      </c>
      <c r="D5177" s="2" t="inlineStr">
        <is>
          <t>004690</t>
        </is>
      </c>
      <c r="E5177" s="3" t="inlineStr">
        <is>
          <t xml:space="preserve">감사보고서제출              </t>
        </is>
      </c>
      <c r="F5177" s="3" t="inlineStr">
        <is>
          <t>삼천리</t>
        </is>
      </c>
      <c r="G5177" s="2" t="inlineStr">
        <is>
          <t>20260312800962</t>
        </is>
      </c>
      <c r="H5177" s="8">
        <f>HYPERLINK("https://dart.fss.or.kr/dsaf001/main.do?rcpNo=20260312800962", "공시열람")</f>
        <v/>
      </c>
    </row>
    <row r="5178">
      <c r="A5178" s="2" t="inlineStr">
        <is>
          <t>2026-03-12</t>
        </is>
      </c>
      <c r="B5178" s="3" t="inlineStr">
        <is>
          <t>피아이이</t>
        </is>
      </c>
      <c r="C5178" s="2" t="inlineStr">
        <is>
          <t>코스닥</t>
        </is>
      </c>
      <c r="D5178" s="2" t="inlineStr">
        <is>
          <t>452450</t>
        </is>
      </c>
      <c r="E5178" s="3" t="inlineStr">
        <is>
          <t>전환가액의조정              (제1회차)</t>
        </is>
      </c>
      <c r="F5178" s="3" t="inlineStr">
        <is>
          <t>피아이이</t>
        </is>
      </c>
      <c r="G5178" s="2" t="inlineStr">
        <is>
          <t>20260312900916</t>
        </is>
      </c>
      <c r="H5178" s="8">
        <f>HYPERLINK("https://dart.fss.or.kr/dsaf001/main.do?rcpNo=20260312900916", "공시열람")</f>
        <v/>
      </c>
    </row>
    <row r="5179">
      <c r="A5179" s="2" t="inlineStr">
        <is>
          <t>2026-03-12</t>
        </is>
      </c>
      <c r="B5179" s="3" t="inlineStr">
        <is>
          <t>엔피씨</t>
        </is>
      </c>
      <c r="C5179" s="2" t="inlineStr">
        <is>
          <t>코스피</t>
        </is>
      </c>
      <c r="D5179" s="2" t="inlineStr">
        <is>
          <t>004250</t>
        </is>
      </c>
      <c r="E5179" s="3" t="inlineStr">
        <is>
          <t xml:space="preserve">현금ㆍ현물배당결정              </t>
        </is>
      </c>
      <c r="F5179" s="3" t="inlineStr">
        <is>
          <t>엔피씨</t>
        </is>
      </c>
      <c r="G5179" s="2" t="inlineStr">
        <is>
          <t>20260312801080</t>
        </is>
      </c>
      <c r="H5179" s="8">
        <f>HYPERLINK("https://dart.fss.or.kr/dsaf001/main.do?rcpNo=20260312801080", "공시열람")</f>
        <v/>
      </c>
    </row>
    <row r="5180">
      <c r="A5180" s="2" t="inlineStr">
        <is>
          <t>2026-03-12</t>
        </is>
      </c>
      <c r="B5180" s="3" t="inlineStr">
        <is>
          <t>윈스테크넷</t>
        </is>
      </c>
      <c r="C5180" s="2" t="inlineStr">
        <is>
          <t>코스닥</t>
        </is>
      </c>
      <c r="D5180" s="2" t="inlineStr">
        <is>
          <t>136540</t>
        </is>
      </c>
      <c r="E5180" s="3" t="inlineStr">
        <is>
          <t xml:space="preserve">감사보고서제출              </t>
        </is>
      </c>
      <c r="F5180" s="3" t="inlineStr">
        <is>
          <t>윈스테크넷</t>
        </is>
      </c>
      <c r="G5180" s="2" t="inlineStr">
        <is>
          <t>20260312900994</t>
        </is>
      </c>
      <c r="H5180" s="8">
        <f>HYPERLINK("https://dart.fss.or.kr/dsaf001/main.do?rcpNo=20260312900994", "공시열람")</f>
        <v/>
      </c>
    </row>
    <row r="5181">
      <c r="A5181" s="2" t="inlineStr">
        <is>
          <t>2026-03-12</t>
        </is>
      </c>
      <c r="B5181" s="3" t="inlineStr">
        <is>
          <t>대륙제관</t>
        </is>
      </c>
      <c r="C5181" s="2" t="inlineStr">
        <is>
          <t>코스닥</t>
        </is>
      </c>
      <c r="D5181" s="2" t="inlineStr">
        <is>
          <t>004780</t>
        </is>
      </c>
      <c r="E5181" s="3" t="inlineStr">
        <is>
          <t xml:space="preserve">감사보고서제출              </t>
        </is>
      </c>
      <c r="F5181" s="3" t="inlineStr">
        <is>
          <t>대륙제관</t>
        </is>
      </c>
      <c r="G5181" s="2" t="inlineStr">
        <is>
          <t>20260312900964</t>
        </is>
      </c>
      <c r="H5181" s="8">
        <f>HYPERLINK("https://dart.fss.or.kr/dsaf001/main.do?rcpNo=20260312900964", "공시열람")</f>
        <v/>
      </c>
    </row>
    <row r="5182">
      <c r="A5182" s="2" t="inlineStr">
        <is>
          <t>2026-03-12</t>
        </is>
      </c>
      <c r="B5182" s="3" t="inlineStr">
        <is>
          <t>우양에이치씨</t>
        </is>
      </c>
      <c r="C5182" s="2" t="inlineStr">
        <is>
          <t>코스닥</t>
        </is>
      </c>
      <c r="D5182" s="2" t="inlineStr">
        <is>
          <t>101970</t>
        </is>
      </c>
      <c r="E5182" s="3" t="inlineStr">
        <is>
          <t xml:space="preserve">감사보고서제출              </t>
        </is>
      </c>
      <c r="F5182" s="3" t="inlineStr">
        <is>
          <t>우양에이치씨</t>
        </is>
      </c>
      <c r="G5182" s="2" t="inlineStr">
        <is>
          <t>20260312900907</t>
        </is>
      </c>
      <c r="H5182" s="8">
        <f>HYPERLINK("https://dart.fss.or.kr/dsaf001/main.do?rcpNo=20260312900907", "공시열람")</f>
        <v/>
      </c>
    </row>
    <row r="5183">
      <c r="A5183" s="2" t="inlineStr">
        <is>
          <t>2026-03-12</t>
        </is>
      </c>
      <c r="B5183" s="3" t="inlineStr">
        <is>
          <t>NH투자증권</t>
        </is>
      </c>
      <c r="C5183" s="2" t="inlineStr">
        <is>
          <t>코스피</t>
        </is>
      </c>
      <c r="D5183" s="2" t="inlineStr">
        <is>
          <t>005940</t>
        </is>
      </c>
      <c r="E5183" s="3" t="inlineStr">
        <is>
          <t>증권발행실적보고서</t>
        </is>
      </c>
      <c r="F5183" s="3" t="inlineStr">
        <is>
          <t>NH투자증권</t>
        </is>
      </c>
      <c r="G5183" s="2" t="inlineStr">
        <is>
          <t>20260312000716</t>
        </is>
      </c>
      <c r="H5183" s="8">
        <f>HYPERLINK("https://dart.fss.or.kr/dsaf001/main.do?rcpNo=20260312000716", "공시열람")</f>
        <v/>
      </c>
    </row>
    <row r="5184">
      <c r="A5184" s="2" t="inlineStr">
        <is>
          <t>2026-03-12</t>
        </is>
      </c>
      <c r="B5184" s="3" t="inlineStr">
        <is>
          <t>모비릭스</t>
        </is>
      </c>
      <c r="C5184" s="2" t="inlineStr">
        <is>
          <t>코스닥</t>
        </is>
      </c>
      <c r="D5184" s="2" t="inlineStr">
        <is>
          <t>348030</t>
        </is>
      </c>
      <c r="E5184" s="3" t="inlineStr">
        <is>
          <t>의결권대리행사권유참고서류</t>
        </is>
      </c>
      <c r="F5184" s="3" t="inlineStr">
        <is>
          <t>모비릭스</t>
        </is>
      </c>
      <c r="G5184" s="2" t="inlineStr">
        <is>
          <t>20260312000714</t>
        </is>
      </c>
      <c r="H5184" s="8">
        <f>HYPERLINK("https://dart.fss.or.kr/dsaf001/main.do?rcpNo=20260312000714", "공시열람")</f>
        <v/>
      </c>
    </row>
    <row r="5185">
      <c r="A5185" s="2" t="inlineStr">
        <is>
          <t>2026-03-12</t>
        </is>
      </c>
      <c r="B5185" s="3" t="inlineStr">
        <is>
          <t>대성홀딩스</t>
        </is>
      </c>
      <c r="C5185" s="2" t="inlineStr">
        <is>
          <t>코스피</t>
        </is>
      </c>
      <c r="D5185" s="2" t="inlineStr">
        <is>
          <t>016710</t>
        </is>
      </c>
      <c r="E5185" s="3" t="inlineStr">
        <is>
          <t>의결권대리행사권유참고서류</t>
        </is>
      </c>
      <c r="F5185" s="3" t="inlineStr">
        <is>
          <t>대성홀딩스</t>
        </is>
      </c>
      <c r="G5185" s="2" t="inlineStr">
        <is>
          <t>20260312000705</t>
        </is>
      </c>
      <c r="H5185" s="8">
        <f>HYPERLINK("https://dart.fss.or.kr/dsaf001/main.do?rcpNo=20260312000705", "공시열람")</f>
        <v/>
      </c>
    </row>
    <row r="5186">
      <c r="A5186" s="2" t="inlineStr">
        <is>
          <t>2026-03-12</t>
        </is>
      </c>
      <c r="B5186" s="3" t="inlineStr">
        <is>
          <t>HLB제넥스</t>
        </is>
      </c>
      <c r="C5186" s="2" t="inlineStr">
        <is>
          <t>코스닥</t>
        </is>
      </c>
      <c r="D5186" s="2" t="inlineStr">
        <is>
          <t>187420</t>
        </is>
      </c>
      <c r="E5186" s="3" t="inlineStr">
        <is>
          <t xml:space="preserve">전환가액의조정              </t>
        </is>
      </c>
      <c r="F5186" s="3" t="inlineStr">
        <is>
          <t>HLB제넥스</t>
        </is>
      </c>
      <c r="G5186" s="2" t="inlineStr">
        <is>
          <t>20260312901044</t>
        </is>
      </c>
      <c r="H5186" s="8">
        <f>HYPERLINK("https://dart.fss.or.kr/dsaf001/main.do?rcpNo=20260312901044", "공시열람")</f>
        <v/>
      </c>
    </row>
    <row r="5187">
      <c r="A5187" s="2" t="inlineStr">
        <is>
          <t>2026-03-12</t>
        </is>
      </c>
      <c r="B5187" s="3" t="inlineStr">
        <is>
          <t>시노펙스</t>
        </is>
      </c>
      <c r="C5187" s="2" t="inlineStr">
        <is>
          <t>코스닥</t>
        </is>
      </c>
      <c r="D5187" s="2" t="inlineStr">
        <is>
          <t>025320</t>
        </is>
      </c>
      <c r="E5187" s="3" t="inlineStr">
        <is>
          <t>[첨부정정]의결권대리행사권유참고서류</t>
        </is>
      </c>
      <c r="F5187" s="3" t="inlineStr">
        <is>
          <t>시노펙스</t>
        </is>
      </c>
      <c r="G5187" s="2" t="inlineStr">
        <is>
          <t>20260312000703</t>
        </is>
      </c>
      <c r="H5187" s="8">
        <f>HYPERLINK("https://dart.fss.or.kr/dsaf001/main.do?rcpNo=20260312000703", "공시열람")</f>
        <v/>
      </c>
    </row>
    <row r="5188">
      <c r="A5188" s="2" t="inlineStr">
        <is>
          <t>2026-03-12</t>
        </is>
      </c>
      <c r="B5188" s="3" t="inlineStr">
        <is>
          <t>대창솔루션</t>
        </is>
      </c>
      <c r="C5188" s="2" t="inlineStr">
        <is>
          <t>코스닥</t>
        </is>
      </c>
      <c r="D5188" s="2" t="inlineStr">
        <is>
          <t>096350</t>
        </is>
      </c>
      <c r="E5188" s="3" t="inlineStr">
        <is>
          <t>의결권대리행사권유참고서류</t>
        </is>
      </c>
      <c r="F5188" s="3" t="inlineStr">
        <is>
          <t>대창솔루션</t>
        </is>
      </c>
      <c r="G5188" s="2" t="inlineStr">
        <is>
          <t>20260312000702</t>
        </is>
      </c>
      <c r="H5188" s="8">
        <f>HYPERLINK("https://dart.fss.or.kr/dsaf001/main.do?rcpNo=20260312000702", "공시열람")</f>
        <v/>
      </c>
    </row>
    <row r="5189">
      <c r="A5189" s="2" t="inlineStr">
        <is>
          <t>2026-02-06 (정정: 2026-03-12)</t>
        </is>
      </c>
      <c r="B5189" s="3" t="inlineStr">
        <is>
          <t>조선선재</t>
        </is>
      </c>
      <c r="C5189" s="2" t="inlineStr">
        <is>
          <t>코스피</t>
        </is>
      </c>
      <c r="D5189" s="2" t="inlineStr">
        <is>
          <t>120030</t>
        </is>
      </c>
      <c r="E5189" s="3" t="inlineStr">
        <is>
          <t>[기재정정]신탁계약해지결과보고서</t>
        </is>
      </c>
      <c r="F5189" s="3" t="inlineStr">
        <is>
          <t>조선선재</t>
        </is>
      </c>
      <c r="G5189" s="2" t="inlineStr">
        <is>
          <t>20260312000700</t>
        </is>
      </c>
      <c r="H5189" s="8">
        <f>HYPERLINK("https://dart.fss.or.kr/dsaf001/main.do?rcpNo=20260312000700", "공시열람")</f>
        <v/>
      </c>
    </row>
    <row r="5190">
      <c r="A5190" s="2" t="inlineStr">
        <is>
          <t>2026-03-12</t>
        </is>
      </c>
      <c r="B5190" s="3" t="inlineStr">
        <is>
          <t>대륙제관</t>
        </is>
      </c>
      <c r="C5190" s="2" t="inlineStr">
        <is>
          <t>코스닥</t>
        </is>
      </c>
      <c r="D5190" s="2" t="inlineStr">
        <is>
          <t>004780</t>
        </is>
      </c>
      <c r="E5190" s="3" t="inlineStr">
        <is>
          <t xml:space="preserve">현금ㆍ현물배당결정              </t>
        </is>
      </c>
      <c r="F5190" s="3" t="inlineStr">
        <is>
          <t>대륙제관</t>
        </is>
      </c>
      <c r="G5190" s="2" t="inlineStr">
        <is>
          <t>20260312900888</t>
        </is>
      </c>
      <c r="H5190" s="8">
        <f>HYPERLINK("https://dart.fss.or.kr/dsaf001/main.do?rcpNo=20260312900888", "공시열람")</f>
        <v/>
      </c>
    </row>
    <row r="5191">
      <c r="A5191" s="2" t="inlineStr">
        <is>
          <t>2026-03-12</t>
        </is>
      </c>
      <c r="B5191" s="3" t="inlineStr">
        <is>
          <t>HPSP</t>
        </is>
      </c>
      <c r="C5191" s="2" t="inlineStr">
        <is>
          <t>코스닥</t>
        </is>
      </c>
      <c r="D5191" s="2" t="inlineStr">
        <is>
          <t>403870</t>
        </is>
      </c>
      <c r="E5191" s="3" t="inlineStr">
        <is>
          <t>의결권대리행사권유참고서류</t>
        </is>
      </c>
      <c r="F5191" s="3" t="inlineStr">
        <is>
          <t>HPSP</t>
        </is>
      </c>
      <c r="G5191" s="2" t="inlineStr">
        <is>
          <t>20260312000694</t>
        </is>
      </c>
      <c r="H5191" s="8">
        <f>HYPERLINK("https://dart.fss.or.kr/dsaf001/main.do?rcpNo=20260312000694", "공시열람")</f>
        <v/>
      </c>
    </row>
    <row r="5192">
      <c r="A5192" s="2" t="inlineStr">
        <is>
          <t>2026-03-12</t>
        </is>
      </c>
      <c r="B5192" s="3" t="inlineStr">
        <is>
          <t>노브랜드</t>
        </is>
      </c>
      <c r="C5192" s="2" t="inlineStr">
        <is>
          <t>코스닥</t>
        </is>
      </c>
      <c r="D5192" s="2" t="inlineStr">
        <is>
          <t>145170</t>
        </is>
      </c>
      <c r="E5192" s="3" t="inlineStr">
        <is>
          <t>임원ㆍ주요주주특정증권등소유상황보고서</t>
        </is>
      </c>
      <c r="F5192" s="3" t="inlineStr">
        <is>
          <t>김기홍</t>
        </is>
      </c>
      <c r="G5192" s="2" t="inlineStr">
        <is>
          <t>20260312000692</t>
        </is>
      </c>
      <c r="H5192" s="8">
        <f>HYPERLINK("https://dart.fss.or.kr/dsaf001/main.do?rcpNo=20260312000692", "공시열람")</f>
        <v/>
      </c>
    </row>
    <row r="5193">
      <c r="A5193" s="2" t="inlineStr">
        <is>
          <t>2026-03-12</t>
        </is>
      </c>
      <c r="B5193" s="3" t="inlineStr">
        <is>
          <t>신흥</t>
        </is>
      </c>
      <c r="C5193" s="2" t="inlineStr">
        <is>
          <t>코스피</t>
        </is>
      </c>
      <c r="D5193" s="2" t="inlineStr">
        <is>
          <t>004080</t>
        </is>
      </c>
      <c r="E5193" s="3" t="inlineStr">
        <is>
          <t xml:space="preserve">현금ㆍ현물배당결정              </t>
        </is>
      </c>
      <c r="F5193" s="3" t="inlineStr">
        <is>
          <t>신흥</t>
        </is>
      </c>
      <c r="G5193" s="2" t="inlineStr">
        <is>
          <t>20260312801007</t>
        </is>
      </c>
      <c r="H5193" s="8">
        <f>HYPERLINK("https://dart.fss.or.kr/dsaf001/main.do?rcpNo=20260312801007", "공시열람")</f>
        <v/>
      </c>
    </row>
    <row r="5194">
      <c r="A5194" s="2" t="inlineStr">
        <is>
          <t>2026-03-12</t>
        </is>
      </c>
      <c r="B5194" s="3" t="inlineStr">
        <is>
          <t>오킨스전자</t>
        </is>
      </c>
      <c r="C5194" s="2" t="inlineStr">
        <is>
          <t>코스닥</t>
        </is>
      </c>
      <c r="D5194" s="2" t="inlineStr">
        <is>
          <t>080580</t>
        </is>
      </c>
      <c r="E5194" s="3" t="inlineStr">
        <is>
          <t>의결권대리행사권유참고서류</t>
        </is>
      </c>
      <c r="F5194" s="3" t="inlineStr">
        <is>
          <t>오킨스전자</t>
        </is>
      </c>
      <c r="G5194" s="2" t="inlineStr">
        <is>
          <t>20260312000690</t>
        </is>
      </c>
      <c r="H5194" s="8">
        <f>HYPERLINK("https://dart.fss.or.kr/dsaf001/main.do?rcpNo=20260312000690", "공시열람")</f>
        <v/>
      </c>
    </row>
    <row r="5195">
      <c r="A5195" s="2" t="inlineStr">
        <is>
          <t>2026-03-12</t>
        </is>
      </c>
      <c r="B5195" s="3" t="inlineStr">
        <is>
          <t>에스코넥</t>
        </is>
      </c>
      <c r="C5195" s="2" t="inlineStr">
        <is>
          <t>코스닥</t>
        </is>
      </c>
      <c r="D5195" s="2" t="inlineStr">
        <is>
          <t>096630</t>
        </is>
      </c>
      <c r="E5195" s="3" t="inlineStr">
        <is>
          <t>의결권대리행사권유참고서류</t>
        </is>
      </c>
      <c r="F5195" s="3" t="inlineStr">
        <is>
          <t>에스코넥</t>
        </is>
      </c>
      <c r="G5195" s="2" t="inlineStr">
        <is>
          <t>20260312000689</t>
        </is>
      </c>
      <c r="H5195" s="8">
        <f>HYPERLINK("https://dart.fss.or.kr/dsaf001/main.do?rcpNo=20260312000689", "공시열람")</f>
        <v/>
      </c>
    </row>
    <row r="5196">
      <c r="A5196" s="2" t="inlineStr">
        <is>
          <t>2026-03-12</t>
        </is>
      </c>
      <c r="B5196" s="3" t="inlineStr">
        <is>
          <t>잇츠한불</t>
        </is>
      </c>
      <c r="C5196" s="2" t="inlineStr">
        <is>
          <t>코스피</t>
        </is>
      </c>
      <c r="D5196" s="2" t="inlineStr">
        <is>
          <t>226320</t>
        </is>
      </c>
      <c r="E5196" s="3" t="inlineStr">
        <is>
          <t xml:space="preserve">현금ㆍ현물배당결정              </t>
        </is>
      </c>
      <c r="F5196" s="3" t="inlineStr">
        <is>
          <t>잇츠한불</t>
        </is>
      </c>
      <c r="G5196" s="2" t="inlineStr">
        <is>
          <t>20260312800967</t>
        </is>
      </c>
      <c r="H5196" s="8">
        <f>HYPERLINK("https://dart.fss.or.kr/dsaf001/main.do?rcpNo=20260312800967", "공시열람")</f>
        <v/>
      </c>
    </row>
    <row r="5197">
      <c r="A5197" s="2" t="inlineStr">
        <is>
          <t>2026-03-12</t>
        </is>
      </c>
      <c r="B5197" s="3" t="inlineStr">
        <is>
          <t>위지윅스튜디오</t>
        </is>
      </c>
      <c r="C5197" s="2" t="inlineStr">
        <is>
          <t>코스닥</t>
        </is>
      </c>
      <c r="D5197" s="2" t="inlineStr">
        <is>
          <t>299900</t>
        </is>
      </c>
      <c r="E5197" s="3" t="inlineStr">
        <is>
          <t>의결권대리행사권유참고서류</t>
        </is>
      </c>
      <c r="F5197" s="3" t="inlineStr">
        <is>
          <t>위지윅스튜디오</t>
        </is>
      </c>
      <c r="G5197" s="2" t="inlineStr">
        <is>
          <t>20260312000680</t>
        </is>
      </c>
      <c r="H5197" s="8">
        <f>HYPERLINK("https://dart.fss.or.kr/dsaf001/main.do?rcpNo=20260312000680", "공시열람")</f>
        <v/>
      </c>
    </row>
    <row r="5198">
      <c r="A5198" s="2" t="inlineStr">
        <is>
          <t>2026-03-12</t>
        </is>
      </c>
      <c r="B5198" s="3" t="inlineStr">
        <is>
          <t>신흥</t>
        </is>
      </c>
      <c r="C5198" s="2" t="inlineStr">
        <is>
          <t>코스피</t>
        </is>
      </c>
      <c r="D5198" s="2" t="inlineStr">
        <is>
          <t>004080</t>
        </is>
      </c>
      <c r="E5198" s="3" t="inlineStr">
        <is>
          <t xml:space="preserve">매출액또는손익구조30%(대규모법인은15%)이상변경              </t>
        </is>
      </c>
      <c r="F5198" s="3" t="inlineStr">
        <is>
          <t>신흥</t>
        </is>
      </c>
      <c r="G5198" s="2" t="inlineStr">
        <is>
          <t>20260312800886</t>
        </is>
      </c>
      <c r="H5198" s="8">
        <f>HYPERLINK("https://dart.fss.or.kr/dsaf001/main.do?rcpNo=20260312800886", "공시열람")</f>
        <v/>
      </c>
    </row>
    <row r="5199">
      <c r="A5199" s="2" t="inlineStr">
        <is>
          <t>2026-03-12</t>
        </is>
      </c>
      <c r="B5199" s="3" t="inlineStr">
        <is>
          <t>S&amp;K폴리텍</t>
        </is>
      </c>
      <c r="C5199" s="2" t="inlineStr">
        <is>
          <t>코스닥</t>
        </is>
      </c>
      <c r="D5199" s="2" t="inlineStr">
        <is>
          <t>091340</t>
        </is>
      </c>
      <c r="E5199" s="3" t="inlineStr">
        <is>
          <t xml:space="preserve">감사보고서제출              </t>
        </is>
      </c>
      <c r="F5199" s="3" t="inlineStr">
        <is>
          <t>S&amp;K폴리텍</t>
        </is>
      </c>
      <c r="G5199" s="2" t="inlineStr">
        <is>
          <t>20260312900929</t>
        </is>
      </c>
      <c r="H5199" s="8">
        <f>HYPERLINK("https://dart.fss.or.kr/dsaf001/main.do?rcpNo=20260312900929", "공시열람")</f>
        <v/>
      </c>
    </row>
    <row r="5200">
      <c r="A5200" s="2" t="inlineStr">
        <is>
          <t>2026-03-12</t>
        </is>
      </c>
      <c r="B5200" s="3" t="inlineStr">
        <is>
          <t>삼성중공업</t>
        </is>
      </c>
      <c r="C5200" s="2" t="inlineStr">
        <is>
          <t>코스피</t>
        </is>
      </c>
      <c r="D5200" s="2" t="inlineStr">
        <is>
          <t>010140</t>
        </is>
      </c>
      <c r="E5200" s="3" t="inlineStr">
        <is>
          <t xml:space="preserve">감사보고서제출              </t>
        </is>
      </c>
      <c r="F5200" s="3" t="inlineStr">
        <is>
          <t>삼성중공업</t>
        </is>
      </c>
      <c r="G5200" s="2" t="inlineStr">
        <is>
          <t>20260312800943</t>
        </is>
      </c>
      <c r="H5200" s="8">
        <f>HYPERLINK("https://dart.fss.or.kr/dsaf001/main.do?rcpNo=20260312800943", "공시열람")</f>
        <v/>
      </c>
    </row>
    <row r="5201">
      <c r="A5201" s="2" t="inlineStr">
        <is>
          <t>2026-03-12</t>
        </is>
      </c>
      <c r="B5201" s="3" t="inlineStr">
        <is>
          <t>서연탑메탈</t>
        </is>
      </c>
      <c r="C5201" s="2" t="inlineStr">
        <is>
          <t>코스닥</t>
        </is>
      </c>
      <c r="D5201" s="2" t="inlineStr">
        <is>
          <t>019770</t>
        </is>
      </c>
      <c r="E5201" s="3" t="inlineStr">
        <is>
          <t xml:space="preserve">감사보고서제출              </t>
        </is>
      </c>
      <c r="F5201" s="3" t="inlineStr">
        <is>
          <t>서연탑메탈</t>
        </is>
      </c>
      <c r="G5201" s="2" t="inlineStr">
        <is>
          <t>20260312900906</t>
        </is>
      </c>
      <c r="H5201" s="8">
        <f>HYPERLINK("https://dart.fss.or.kr/dsaf001/main.do?rcpNo=20260312900906", "공시열람")</f>
        <v/>
      </c>
    </row>
    <row r="5202">
      <c r="A5202" s="2" t="inlineStr">
        <is>
          <t>2026-03-12</t>
        </is>
      </c>
      <c r="B5202" s="3" t="inlineStr">
        <is>
          <t>노브랜드</t>
        </is>
      </c>
      <c r="C5202" s="2" t="inlineStr">
        <is>
          <t>코스닥</t>
        </is>
      </c>
      <c r="D5202" s="2" t="inlineStr">
        <is>
          <t>145170</t>
        </is>
      </c>
      <c r="E5202" s="3" t="inlineStr">
        <is>
          <t>임원ㆍ주요주주특정증권등소유상황보고서</t>
        </is>
      </c>
      <c r="F5202" s="3" t="inlineStr">
        <is>
          <t>이선희</t>
        </is>
      </c>
      <c r="G5202" s="2" t="inlineStr">
        <is>
          <t>20260312000673</t>
        </is>
      </c>
      <c r="H5202" s="8">
        <f>HYPERLINK("https://dart.fss.or.kr/dsaf001/main.do?rcpNo=20260312000673", "공시열람")</f>
        <v/>
      </c>
    </row>
    <row r="5203">
      <c r="A5203" s="2" t="inlineStr">
        <is>
          <t>2026-03-12</t>
        </is>
      </c>
      <c r="B5203" s="3" t="inlineStr">
        <is>
          <t>메타랩스</t>
        </is>
      </c>
      <c r="C5203" s="2" t="inlineStr">
        <is>
          <t>코스피</t>
        </is>
      </c>
      <c r="D5203" s="2" t="inlineStr">
        <is>
          <t>090370</t>
        </is>
      </c>
      <c r="E5203" s="3" t="inlineStr">
        <is>
          <t>의결권대리행사권유참고서류</t>
        </is>
      </c>
      <c r="F5203" s="3" t="inlineStr">
        <is>
          <t>메타랩스</t>
        </is>
      </c>
      <c r="G5203" s="2" t="inlineStr">
        <is>
          <t>20260312000667</t>
        </is>
      </c>
      <c r="H5203" s="8">
        <f>HYPERLINK("https://dart.fss.or.kr/dsaf001/main.do?rcpNo=20260312000667", "공시열람")</f>
        <v/>
      </c>
    </row>
    <row r="5204">
      <c r="A5204" s="2" t="inlineStr">
        <is>
          <t>2026-03-12</t>
        </is>
      </c>
      <c r="B5204" s="3" t="inlineStr">
        <is>
          <t>코아스</t>
        </is>
      </c>
      <c r="C5204" s="2" t="inlineStr">
        <is>
          <t>코스피</t>
        </is>
      </c>
      <c r="D5204" s="2" t="inlineStr">
        <is>
          <t>071950</t>
        </is>
      </c>
      <c r="E5204" s="3" t="inlineStr">
        <is>
          <t>소액공모공시서류(지분증권)</t>
        </is>
      </c>
      <c r="F5204" s="3" t="inlineStr">
        <is>
          <t>코아스</t>
        </is>
      </c>
      <c r="G5204" s="2" t="inlineStr">
        <is>
          <t>20260312000665</t>
        </is>
      </c>
      <c r="H5204" s="8">
        <f>HYPERLINK("https://dart.fss.or.kr/dsaf001/main.do?rcpNo=20260312000665", "공시열람")</f>
        <v/>
      </c>
    </row>
    <row r="5205">
      <c r="A5205" s="2" t="inlineStr">
        <is>
          <t>2026-03-12</t>
        </is>
      </c>
      <c r="B5205" s="3" t="inlineStr">
        <is>
          <t>메가엠디</t>
        </is>
      </c>
      <c r="C5205" s="2" t="inlineStr">
        <is>
          <t>코스닥</t>
        </is>
      </c>
      <c r="D5205" s="2" t="inlineStr">
        <is>
          <t>133750</t>
        </is>
      </c>
      <c r="E5205" s="3" t="inlineStr">
        <is>
          <t xml:space="preserve">현금ㆍ현물배당결정              </t>
        </is>
      </c>
      <c r="F5205" s="3" t="inlineStr">
        <is>
          <t>메가엠디</t>
        </is>
      </c>
      <c r="G5205" s="2" t="inlineStr">
        <is>
          <t>20260312900893</t>
        </is>
      </c>
      <c r="H5205" s="8">
        <f>HYPERLINK("https://dart.fss.or.kr/dsaf001/main.do?rcpNo=20260312900893", "공시열람")</f>
        <v/>
      </c>
    </row>
    <row r="5206">
      <c r="A5206" s="2" t="inlineStr">
        <is>
          <t>2026-03-12</t>
        </is>
      </c>
      <c r="B5206" s="3" t="inlineStr">
        <is>
          <t>실리콘투</t>
        </is>
      </c>
      <c r="C5206" s="2" t="inlineStr">
        <is>
          <t>코스닥</t>
        </is>
      </c>
      <c r="D5206" s="2" t="inlineStr">
        <is>
          <t>257720</t>
        </is>
      </c>
      <c r="E5206" s="3" t="inlineStr">
        <is>
          <t>신탁계약해지결과보고서</t>
        </is>
      </c>
      <c r="F5206" s="3" t="inlineStr">
        <is>
          <t>실리콘투</t>
        </is>
      </c>
      <c r="G5206" s="2" t="inlineStr">
        <is>
          <t>20260312000661</t>
        </is>
      </c>
      <c r="H5206" s="8">
        <f>HYPERLINK("https://dart.fss.or.kr/dsaf001/main.do?rcpNo=20260312000661", "공시열람")</f>
        <v/>
      </c>
    </row>
    <row r="5207">
      <c r="A5207" s="2" t="inlineStr">
        <is>
          <t>2026-03-12</t>
        </is>
      </c>
      <c r="B5207" s="3" t="inlineStr">
        <is>
          <t>동원수산</t>
        </is>
      </c>
      <c r="C5207" s="2" t="inlineStr">
        <is>
          <t>코스피</t>
        </is>
      </c>
      <c r="D5207" s="2" t="inlineStr">
        <is>
          <t>030720</t>
        </is>
      </c>
      <c r="E5207" s="3" t="inlineStr">
        <is>
          <t xml:space="preserve">감사보고서제출              </t>
        </is>
      </c>
      <c r="F5207" s="3" t="inlineStr">
        <is>
          <t>동원수산</t>
        </is>
      </c>
      <c r="G5207" s="2" t="inlineStr">
        <is>
          <t>20260312800905</t>
        </is>
      </c>
      <c r="H5207" s="8">
        <f>HYPERLINK("https://dart.fss.or.kr/dsaf001/main.do?rcpNo=20260312800905", "공시열람")</f>
        <v/>
      </c>
    </row>
    <row r="5208">
      <c r="A5208" s="2" t="inlineStr">
        <is>
          <t>2026-03-12</t>
        </is>
      </c>
      <c r="B5208" s="3" t="inlineStr">
        <is>
          <t>한켐</t>
        </is>
      </c>
      <c r="C5208" s="2" t="inlineStr">
        <is>
          <t>코스닥</t>
        </is>
      </c>
      <c r="D5208" s="2" t="inlineStr">
        <is>
          <t>457370</t>
        </is>
      </c>
      <c r="E5208" s="3" t="inlineStr">
        <is>
          <t>의결권대리행사권유참고서류</t>
        </is>
      </c>
      <c r="F5208" s="3" t="inlineStr">
        <is>
          <t>한켐</t>
        </is>
      </c>
      <c r="G5208" s="2" t="inlineStr">
        <is>
          <t>20260312000655</t>
        </is>
      </c>
      <c r="H5208" s="8">
        <f>HYPERLINK("https://dart.fss.or.kr/dsaf001/main.do?rcpNo=20260312000655", "공시열람")</f>
        <v/>
      </c>
    </row>
    <row r="5209">
      <c r="A5209" s="2" t="inlineStr">
        <is>
          <t>2026-03-12</t>
        </is>
      </c>
      <c r="B5209" s="3" t="inlineStr">
        <is>
          <t>그리티</t>
        </is>
      </c>
      <c r="C5209" s="2" t="inlineStr">
        <is>
          <t>코스닥</t>
        </is>
      </c>
      <c r="D5209" s="2" t="inlineStr">
        <is>
          <t>204020</t>
        </is>
      </c>
      <c r="E5209" s="3" t="inlineStr">
        <is>
          <t xml:space="preserve">현금ㆍ현물배당결정              </t>
        </is>
      </c>
      <c r="F5209" s="3" t="inlineStr">
        <is>
          <t>그리티</t>
        </is>
      </c>
      <c r="G5209" s="2" t="inlineStr">
        <is>
          <t>20260312900850</t>
        </is>
      </c>
      <c r="H5209" s="8">
        <f>HYPERLINK("https://dart.fss.or.kr/dsaf001/main.do?rcpNo=20260312900850", "공시열람")</f>
        <v/>
      </c>
    </row>
    <row r="5210">
      <c r="A5210" s="2" t="inlineStr">
        <is>
          <t>2026-03-12</t>
        </is>
      </c>
      <c r="B5210" s="3" t="inlineStr">
        <is>
          <t>이연제약</t>
        </is>
      </c>
      <c r="C5210" s="2" t="inlineStr">
        <is>
          <t>코스피</t>
        </is>
      </c>
      <c r="D5210" s="2" t="inlineStr">
        <is>
          <t>102460</t>
        </is>
      </c>
      <c r="E5210" s="3" t="inlineStr">
        <is>
          <t>의결권대리행사권유참고서류</t>
        </is>
      </c>
      <c r="F5210" s="3" t="inlineStr">
        <is>
          <t>이연제약</t>
        </is>
      </c>
      <c r="G5210" s="2" t="inlineStr">
        <is>
          <t>20260312000652</t>
        </is>
      </c>
      <c r="H5210" s="8">
        <f>HYPERLINK("https://dart.fss.or.kr/dsaf001/main.do?rcpNo=20260312000652", "공시열람")</f>
        <v/>
      </c>
    </row>
    <row r="5211">
      <c r="A5211" s="2" t="inlineStr">
        <is>
          <t>2026-03-12</t>
        </is>
      </c>
      <c r="B5211" s="3" t="inlineStr">
        <is>
          <t>파마리서치바이오</t>
        </is>
      </c>
      <c r="C5211" s="2" t="inlineStr">
        <is>
          <t>코넥스</t>
        </is>
      </c>
      <c r="D5211" s="2" t="inlineStr">
        <is>
          <t>217950</t>
        </is>
      </c>
      <c r="E5211" s="3" t="inlineStr">
        <is>
          <t>의결권대리행사권유참고서류</t>
        </is>
      </c>
      <c r="F5211" s="3" t="inlineStr">
        <is>
          <t>파마리서치바이오</t>
        </is>
      </c>
      <c r="G5211" s="2" t="inlineStr">
        <is>
          <t>20260312000640</t>
        </is>
      </c>
      <c r="H5211" s="8">
        <f>HYPERLINK("https://dart.fss.or.kr/dsaf001/main.do?rcpNo=20260312000640", "공시열람")</f>
        <v/>
      </c>
    </row>
    <row r="5212">
      <c r="A5212" s="2" t="inlineStr">
        <is>
          <t>2026-03-12</t>
        </is>
      </c>
      <c r="B5212" s="3" t="inlineStr">
        <is>
          <t>삼양패키징</t>
        </is>
      </c>
      <c r="C5212" s="2" t="inlineStr">
        <is>
          <t>코스피</t>
        </is>
      </c>
      <c r="D5212" s="2" t="inlineStr">
        <is>
          <t>272550</t>
        </is>
      </c>
      <c r="E5212" s="3" t="inlineStr">
        <is>
          <t xml:space="preserve">감사보고서제출              </t>
        </is>
      </c>
      <c r="F5212" s="3" t="inlineStr">
        <is>
          <t>삼양패키징</t>
        </is>
      </c>
      <c r="G5212" s="2" t="inlineStr">
        <is>
          <t>20260312800793</t>
        </is>
      </c>
      <c r="H5212" s="8">
        <f>HYPERLINK("https://dart.fss.or.kr/dsaf001/main.do?rcpNo=20260312800793", "공시열람")</f>
        <v/>
      </c>
    </row>
    <row r="5213">
      <c r="A5213" s="2" t="inlineStr">
        <is>
          <t>2026-03-12</t>
        </is>
      </c>
      <c r="B5213" s="3" t="inlineStr">
        <is>
          <t>NH농우바이오</t>
        </is>
      </c>
      <c r="C5213" s="2" t="inlineStr">
        <is>
          <t>코스닥</t>
        </is>
      </c>
      <c r="D5213" s="2" t="inlineStr">
        <is>
          <t>054050</t>
        </is>
      </c>
      <c r="E5213" s="3" t="inlineStr">
        <is>
          <t>의결권대리행사권유참고서류</t>
        </is>
      </c>
      <c r="F5213" s="3" t="inlineStr">
        <is>
          <t>NH농우바이오</t>
        </is>
      </c>
      <c r="G5213" s="2" t="inlineStr">
        <is>
          <t>20260312000631</t>
        </is>
      </c>
      <c r="H5213" s="8">
        <f>HYPERLINK("https://dart.fss.or.kr/dsaf001/main.do?rcpNo=20260312000631", "공시열람")</f>
        <v/>
      </c>
    </row>
    <row r="5214">
      <c r="A5214" s="2" t="inlineStr">
        <is>
          <t>2026-03-12</t>
        </is>
      </c>
      <c r="B5214" s="3" t="inlineStr">
        <is>
          <t>NH농우바이오</t>
        </is>
      </c>
      <c r="C5214" s="2" t="inlineStr">
        <is>
          <t>코스닥</t>
        </is>
      </c>
      <c r="D5214" s="2" t="inlineStr">
        <is>
          <t>054050</t>
        </is>
      </c>
      <c r="E5214" s="3" t="inlineStr">
        <is>
          <t xml:space="preserve">기업가치제고계획(자율공시)              </t>
        </is>
      </c>
      <c r="F5214" s="3" t="inlineStr">
        <is>
          <t>NH농우바이오</t>
        </is>
      </c>
      <c r="G5214" s="2" t="inlineStr">
        <is>
          <t>20260312900839</t>
        </is>
      </c>
      <c r="H5214" s="8">
        <f>HYPERLINK("https://dart.fss.or.kr/dsaf001/main.do?rcpNo=20260312900839", "공시열람")</f>
        <v/>
      </c>
    </row>
    <row r="5215">
      <c r="A5215" s="2" t="inlineStr">
        <is>
          <t>2026-03-12</t>
        </is>
      </c>
      <c r="B5215" s="3" t="inlineStr">
        <is>
          <t>그리티</t>
        </is>
      </c>
      <c r="C5215" s="2" t="inlineStr">
        <is>
          <t>코스닥</t>
        </is>
      </c>
      <c r="D5215" s="2" t="inlineStr">
        <is>
          <t>204020</t>
        </is>
      </c>
      <c r="E5215" s="3" t="inlineStr">
        <is>
          <t xml:space="preserve">매출액또는손익구조30%(대규모법인은15%)이상변동              </t>
        </is>
      </c>
      <c r="F5215" s="3" t="inlineStr">
        <is>
          <t>그리티</t>
        </is>
      </c>
      <c r="G5215" s="2" t="inlineStr">
        <is>
          <t>20260312900833</t>
        </is>
      </c>
      <c r="H5215" s="8">
        <f>HYPERLINK("https://dart.fss.or.kr/dsaf001/main.do?rcpNo=20260312900833", "공시열람")</f>
        <v/>
      </c>
    </row>
    <row r="5216">
      <c r="A5216" s="2" t="inlineStr">
        <is>
          <t>2026-03-12</t>
        </is>
      </c>
      <c r="B5216" s="3" t="inlineStr">
        <is>
          <t>셀트리온</t>
        </is>
      </c>
      <c r="C5216" s="2" t="inlineStr">
        <is>
          <t>코스피</t>
        </is>
      </c>
      <c r="D5216" s="2" t="inlineStr">
        <is>
          <t>068270</t>
        </is>
      </c>
      <c r="E5216" s="3" t="inlineStr">
        <is>
          <t>투자판단관련주요경영사항              (CTP55(코센틱스 바이오시밀러) 미국 임상 3상 시험계획 변경신청)</t>
        </is>
      </c>
      <c r="F5216" s="3" t="inlineStr">
        <is>
          <t>셀트리온</t>
        </is>
      </c>
      <c r="G5216" s="2" t="inlineStr">
        <is>
          <t>20260312800806</t>
        </is>
      </c>
      <c r="H5216" s="8">
        <f>HYPERLINK("https://dart.fss.or.kr/dsaf001/main.do?rcpNo=20260312800806", "공시열람")</f>
        <v/>
      </c>
    </row>
    <row r="5217">
      <c r="A5217" s="2" t="inlineStr">
        <is>
          <t>2026-03-12</t>
        </is>
      </c>
      <c r="B5217" s="3" t="inlineStr">
        <is>
          <t>메가엠디</t>
        </is>
      </c>
      <c r="C5217" s="2" t="inlineStr">
        <is>
          <t>코스닥</t>
        </is>
      </c>
      <c r="D5217" s="2" t="inlineStr">
        <is>
          <t>133750</t>
        </is>
      </c>
      <c r="E5217" s="3" t="inlineStr">
        <is>
          <t xml:space="preserve">매출액또는손익구조30%(대규모법인은15%)이상변동              </t>
        </is>
      </c>
      <c r="F5217" s="3" t="inlineStr">
        <is>
          <t>메가엠디</t>
        </is>
      </c>
      <c r="G5217" s="2" t="inlineStr">
        <is>
          <t>20260312900832</t>
        </is>
      </c>
      <c r="H5217" s="8">
        <f>HYPERLINK("https://dart.fss.or.kr/dsaf001/main.do?rcpNo=20260312900832", "공시열람")</f>
        <v/>
      </c>
    </row>
    <row r="5218">
      <c r="A5218" s="2" t="inlineStr">
        <is>
          <t>2026-03-12 (정정: 2026-03-13)</t>
        </is>
      </c>
      <c r="B5218" s="3" t="inlineStr">
        <is>
          <t>에스아이리소스</t>
        </is>
      </c>
      <c r="C5218" s="2" t="inlineStr">
        <is>
          <t>코스닥</t>
        </is>
      </c>
      <c r="D5218" s="2" t="inlineStr">
        <is>
          <t>065420</t>
        </is>
      </c>
      <c r="E5218" s="3" t="inlineStr">
        <is>
          <t>매출액또는손익구조30%(대규모법인은15%)이상변동               (정정: 20260313)</t>
        </is>
      </c>
      <c r="F5218" s="3" t="inlineStr">
        <is>
          <t>에스아이리소스</t>
        </is>
      </c>
      <c r="G5218" s="2" t="inlineStr">
        <is>
          <t>20260313901912</t>
        </is>
      </c>
      <c r="H5218" s="8">
        <f>HYPERLINK("https://dart.fss.or.kr/dsaf001/main.do?rcpNo=20260313901912", "공시열람")</f>
        <v/>
      </c>
    </row>
    <row r="5219">
      <c r="A5219" s="2" t="inlineStr">
        <is>
          <t>2026-03-12</t>
        </is>
      </c>
      <c r="B5219" s="3" t="inlineStr">
        <is>
          <t>케이티스카이라이프</t>
        </is>
      </c>
      <c r="C5219" s="2" t="inlineStr">
        <is>
          <t>코스피</t>
        </is>
      </c>
      <c r="D5219" s="2" t="inlineStr">
        <is>
          <t>053210</t>
        </is>
      </c>
      <c r="E5219" s="3" t="inlineStr">
        <is>
          <t xml:space="preserve">감사보고서제출              </t>
        </is>
      </c>
      <c r="F5219" s="3" t="inlineStr">
        <is>
          <t>케이티스카이라이프</t>
        </is>
      </c>
      <c r="G5219" s="2" t="inlineStr">
        <is>
          <t>20260312800814</t>
        </is>
      </c>
      <c r="H5219" s="8">
        <f>HYPERLINK("https://dart.fss.or.kr/dsaf001/main.do?rcpNo=20260312800814", "공시열람")</f>
        <v/>
      </c>
    </row>
    <row r="5220">
      <c r="A5220" s="2" t="inlineStr">
        <is>
          <t>2026-03-12 (정정: 2026-06-01)</t>
        </is>
      </c>
      <c r="B5220" s="3" t="inlineStr">
        <is>
          <t>모비릭스</t>
        </is>
      </c>
      <c r="C5220" s="2" t="inlineStr">
        <is>
          <t>코스닥</t>
        </is>
      </c>
      <c r="D5220" s="2" t="inlineStr">
        <is>
          <t>348030</t>
        </is>
      </c>
      <c r="E5220" s="3" t="inlineStr">
        <is>
          <t>본점소재지변경               (정정: 20260601) (정정: 20260601)</t>
        </is>
      </c>
      <c r="F5220" s="3" t="inlineStr">
        <is>
          <t>모비릭스</t>
        </is>
      </c>
      <c r="G5220" s="2" t="inlineStr">
        <is>
          <t>20260601001937</t>
        </is>
      </c>
      <c r="H5220" s="8">
        <f>HYPERLINK("https://dart.fss.or.kr/dsaf001/main.do?rcpNo=20260601001937", "공시열람")</f>
        <v/>
      </c>
    </row>
    <row r="5221">
      <c r="A5221" s="2" t="inlineStr">
        <is>
          <t>2026-03-12</t>
        </is>
      </c>
      <c r="B5221" s="3" t="inlineStr">
        <is>
          <t>삼양케이씨아이</t>
        </is>
      </c>
      <c r="C5221" s="2" t="inlineStr">
        <is>
          <t>코스닥</t>
        </is>
      </c>
      <c r="D5221" s="2" t="inlineStr">
        <is>
          <t>036670</t>
        </is>
      </c>
      <c r="E5221" s="3" t="inlineStr">
        <is>
          <t xml:space="preserve">감사보고서제출              </t>
        </is>
      </c>
      <c r="F5221" s="3" t="inlineStr">
        <is>
          <t>삼양케이씨아이</t>
        </is>
      </c>
      <c r="G5221" s="2" t="inlineStr">
        <is>
          <t>20260312900775</t>
        </is>
      </c>
      <c r="H5221" s="8">
        <f>HYPERLINK("https://dart.fss.or.kr/dsaf001/main.do?rcpNo=20260312900775", "공시열람")</f>
        <v/>
      </c>
    </row>
    <row r="5222">
      <c r="A5222" s="2" t="inlineStr">
        <is>
          <t>2026-03-12 (정정: 2026-03-13)</t>
        </is>
      </c>
      <c r="B5222" s="3" t="inlineStr">
        <is>
          <t>NH투자증권</t>
        </is>
      </c>
      <c r="C5222" s="2" t="inlineStr">
        <is>
          <t>코스피</t>
        </is>
      </c>
      <c r="D5222" s="2" t="inlineStr">
        <is>
          <t>005940</t>
        </is>
      </c>
      <c r="E5222" s="3" t="inlineStr">
        <is>
          <t>증권발행실적보고서 (정정: 20260313) (정정: 20260313)</t>
        </is>
      </c>
      <c r="F5222" s="3" t="inlineStr">
        <is>
          <t>NH투자증권</t>
        </is>
      </c>
      <c r="G5222" s="2" t="inlineStr">
        <is>
          <t>20260313001155</t>
        </is>
      </c>
      <c r="H5222" s="8">
        <f>HYPERLINK("https://dart.fss.or.kr/dsaf001/main.do?rcpNo=20260313001155", "공시열람")</f>
        <v/>
      </c>
    </row>
    <row r="5223">
      <c r="A5223" s="2" t="inlineStr">
        <is>
          <t>2026-03-12 (정정: 2026-03-24)</t>
        </is>
      </c>
      <c r="B5223" s="3" t="inlineStr">
        <is>
          <t>우리이앤엘하루틴</t>
        </is>
      </c>
      <c r="C5223" s="2" t="inlineStr">
        <is>
          <t>코스닥</t>
        </is>
      </c>
      <c r="D5223" s="2" t="inlineStr">
        <is>
          <t>153490</t>
        </is>
      </c>
      <c r="E5223" s="3" t="inlineStr">
        <is>
          <t>현금ㆍ현물배당결정               (정정: 20260324)</t>
        </is>
      </c>
      <c r="F5223" s="3" t="inlineStr">
        <is>
          <t>우리이앤엘하루틴</t>
        </is>
      </c>
      <c r="G5223" s="2" t="inlineStr">
        <is>
          <t>20260324000301</t>
        </is>
      </c>
      <c r="H5223" s="8">
        <f>HYPERLINK("https://dart.fss.or.kr/dsaf001/main.do?rcpNo=20260324000301", "공시열람")</f>
        <v/>
      </c>
    </row>
    <row r="5224">
      <c r="A5224" s="2" t="inlineStr">
        <is>
          <t>2026-03-12</t>
        </is>
      </c>
      <c r="B5224" s="3" t="inlineStr">
        <is>
          <t>비츠로시스</t>
        </is>
      </c>
      <c r="C5224" s="2" t="inlineStr">
        <is>
          <t>코스닥</t>
        </is>
      </c>
      <c r="D5224" s="2" t="inlineStr">
        <is>
          <t>054220</t>
        </is>
      </c>
      <c r="E5224" s="3" t="inlineStr">
        <is>
          <t>의결권대리행사권유참고서류</t>
        </is>
      </c>
      <c r="F5224" s="3" t="inlineStr">
        <is>
          <t>비츠로시스</t>
        </is>
      </c>
      <c r="G5224" s="2" t="inlineStr">
        <is>
          <t>20260312000601</t>
        </is>
      </c>
      <c r="H5224" s="8">
        <f>HYPERLINK("https://dart.fss.or.kr/dsaf001/main.do?rcpNo=20260312000601", "공시열람")</f>
        <v/>
      </c>
    </row>
    <row r="5225">
      <c r="A5225" s="2" t="inlineStr">
        <is>
          <t>2026-03-12</t>
        </is>
      </c>
      <c r="B5225" s="3" t="inlineStr">
        <is>
          <t>삼성출판사</t>
        </is>
      </c>
      <c r="C5225" s="2" t="inlineStr">
        <is>
          <t>코스피</t>
        </is>
      </c>
      <c r="D5225" s="2" t="inlineStr">
        <is>
          <t>068290</t>
        </is>
      </c>
      <c r="E5225" s="3" t="inlineStr">
        <is>
          <t>의결권대리행사권유참고서류</t>
        </is>
      </c>
      <c r="F5225" s="3" t="inlineStr">
        <is>
          <t>삼성출판사</t>
        </is>
      </c>
      <c r="G5225" s="2" t="inlineStr">
        <is>
          <t>20260312000600</t>
        </is>
      </c>
      <c r="H5225" s="8">
        <f>HYPERLINK("https://dart.fss.or.kr/dsaf001/main.do?rcpNo=20260312000600", "공시열람")</f>
        <v/>
      </c>
    </row>
    <row r="5226">
      <c r="A5226" s="2" t="inlineStr">
        <is>
          <t>2026-03-12</t>
        </is>
      </c>
      <c r="B5226" s="3" t="inlineStr">
        <is>
          <t>원익</t>
        </is>
      </c>
      <c r="C5226" s="2" t="inlineStr">
        <is>
          <t>코스닥</t>
        </is>
      </c>
      <c r="D5226" s="2" t="inlineStr">
        <is>
          <t>032940</t>
        </is>
      </c>
      <c r="E5226" s="3" t="inlineStr">
        <is>
          <t xml:space="preserve">매출액또는손익구조30%(대규모법인은15%)이상변동              </t>
        </is>
      </c>
      <c r="F5226" s="3" t="inlineStr">
        <is>
          <t>원익</t>
        </is>
      </c>
      <c r="G5226" s="2" t="inlineStr">
        <is>
          <t>20260312900707</t>
        </is>
      </c>
      <c r="H5226" s="8">
        <f>HYPERLINK("https://dart.fss.or.kr/dsaf001/main.do?rcpNo=20260312900707", "공시열람")</f>
        <v/>
      </c>
    </row>
    <row r="5227">
      <c r="A5227" s="2" t="inlineStr">
        <is>
          <t>2026-03-12</t>
        </is>
      </c>
      <c r="B5227" s="3" t="inlineStr">
        <is>
          <t>바이오톡스텍</t>
        </is>
      </c>
      <c r="C5227" s="2" t="inlineStr">
        <is>
          <t>코스닥</t>
        </is>
      </c>
      <c r="D5227" s="2" t="inlineStr">
        <is>
          <t>086040</t>
        </is>
      </c>
      <c r="E5227" s="3" t="inlineStr">
        <is>
          <t>의결권대리행사권유참고서류</t>
        </is>
      </c>
      <c r="F5227" s="3" t="inlineStr">
        <is>
          <t>바이오톡스텍</t>
        </is>
      </c>
      <c r="G5227" s="2" t="inlineStr">
        <is>
          <t>20260312000598</t>
        </is>
      </c>
      <c r="H5227" s="8">
        <f>HYPERLINK("https://dart.fss.or.kr/dsaf001/main.do?rcpNo=20260312000598", "공시열람")</f>
        <v/>
      </c>
    </row>
    <row r="5228">
      <c r="A5228" s="2" t="inlineStr">
        <is>
          <t>2026-03-12</t>
        </is>
      </c>
      <c r="B5228" s="3" t="inlineStr">
        <is>
          <t>오픈엣지테크놀로지</t>
        </is>
      </c>
      <c r="C5228" s="2" t="inlineStr">
        <is>
          <t>코스닥</t>
        </is>
      </c>
      <c r="D5228" s="2" t="inlineStr">
        <is>
          <t>394280</t>
        </is>
      </c>
      <c r="E5228" s="3" t="inlineStr">
        <is>
          <t>의결권대리행사권유참고서류</t>
        </is>
      </c>
      <c r="F5228" s="3" t="inlineStr">
        <is>
          <t>오픈엣지테크놀로지</t>
        </is>
      </c>
      <c r="G5228" s="2" t="inlineStr">
        <is>
          <t>20260312000597</t>
        </is>
      </c>
      <c r="H5228" s="8">
        <f>HYPERLINK("https://dart.fss.or.kr/dsaf001/main.do?rcpNo=20260312000597", "공시열람")</f>
        <v/>
      </c>
    </row>
    <row r="5229">
      <c r="A5229" s="2" t="inlineStr">
        <is>
          <t>2026-03-12</t>
        </is>
      </c>
      <c r="B5229" s="3" t="inlineStr">
        <is>
          <t>와이제이링크</t>
        </is>
      </c>
      <c r="C5229" s="2" t="inlineStr">
        <is>
          <t>코스닥</t>
        </is>
      </c>
      <c r="D5229" s="2" t="inlineStr">
        <is>
          <t>209640</t>
        </is>
      </c>
      <c r="E5229" s="3" t="inlineStr">
        <is>
          <t>의결권대리행사권유참고서류</t>
        </is>
      </c>
      <c r="F5229" s="3" t="inlineStr">
        <is>
          <t>와이제이링크</t>
        </is>
      </c>
      <c r="G5229" s="2" t="inlineStr">
        <is>
          <t>20260312000596</t>
        </is>
      </c>
      <c r="H5229" s="8">
        <f>HYPERLINK("https://dart.fss.or.kr/dsaf001/main.do?rcpNo=20260312000596", "공시열람")</f>
        <v/>
      </c>
    </row>
    <row r="5230">
      <c r="A5230" s="2" t="inlineStr">
        <is>
          <t>2026-03-12</t>
        </is>
      </c>
      <c r="B5230" s="3" t="inlineStr">
        <is>
          <t>세아제강지주</t>
        </is>
      </c>
      <c r="C5230" s="2" t="inlineStr">
        <is>
          <t>코스피</t>
        </is>
      </c>
      <c r="D5230" s="2" t="inlineStr">
        <is>
          <t>003030</t>
        </is>
      </c>
      <c r="E5230" s="3" t="inlineStr">
        <is>
          <t xml:space="preserve">감사보고서제출(자회사의 주요경영사항)              </t>
        </is>
      </c>
      <c r="F5230" s="3" t="inlineStr">
        <is>
          <t>세아제강지주</t>
        </is>
      </c>
      <c r="G5230" s="2" t="inlineStr">
        <is>
          <t>20260312800785</t>
        </is>
      </c>
      <c r="H5230" s="8">
        <f>HYPERLINK("https://dart.fss.or.kr/dsaf001/main.do?rcpNo=20260312800785", "공시열람")</f>
        <v/>
      </c>
    </row>
    <row r="5231">
      <c r="A5231" s="2" t="inlineStr">
        <is>
          <t>2026-03-12</t>
        </is>
      </c>
      <c r="B5231" s="3" t="inlineStr">
        <is>
          <t>YG PLUS</t>
        </is>
      </c>
      <c r="C5231" s="2" t="inlineStr">
        <is>
          <t>코스피</t>
        </is>
      </c>
      <c r="D5231" s="2" t="inlineStr">
        <is>
          <t>037270</t>
        </is>
      </c>
      <c r="E5231" s="3" t="inlineStr">
        <is>
          <t>의결권대리행사권유참고서류</t>
        </is>
      </c>
      <c r="F5231" s="3" t="inlineStr">
        <is>
          <t>YG PLUS</t>
        </is>
      </c>
      <c r="G5231" s="2" t="inlineStr">
        <is>
          <t>20260312000590</t>
        </is>
      </c>
      <c r="H5231" s="8">
        <f>HYPERLINK("https://dart.fss.or.kr/dsaf001/main.do?rcpNo=20260312000590", "공시열람")</f>
        <v/>
      </c>
    </row>
    <row r="5232">
      <c r="A5232" s="2" t="inlineStr">
        <is>
          <t>2026-03-12</t>
        </is>
      </c>
      <c r="B5232" s="3" t="inlineStr">
        <is>
          <t>서부T&amp;D</t>
        </is>
      </c>
      <c r="C5232" s="2" t="inlineStr">
        <is>
          <t>코스닥</t>
        </is>
      </c>
      <c r="D5232" s="2" t="inlineStr">
        <is>
          <t>006730</t>
        </is>
      </c>
      <c r="E5232" s="3" t="inlineStr">
        <is>
          <t xml:space="preserve">기업설명회(IR)개최              </t>
        </is>
      </c>
      <c r="F5232" s="3" t="inlineStr">
        <is>
          <t>서부T&amp;D</t>
        </is>
      </c>
      <c r="G5232" s="2" t="inlineStr">
        <is>
          <t>20260312900811</t>
        </is>
      </c>
      <c r="H5232" s="8">
        <f>HYPERLINK("https://dart.fss.or.kr/dsaf001/main.do?rcpNo=20260312900811", "공시열람")</f>
        <v/>
      </c>
    </row>
    <row r="5233">
      <c r="A5233" s="2" t="inlineStr">
        <is>
          <t>2026-03-12</t>
        </is>
      </c>
      <c r="B5233" s="3" t="inlineStr">
        <is>
          <t>삼현</t>
        </is>
      </c>
      <c r="C5233" s="2" t="inlineStr">
        <is>
          <t>코스닥</t>
        </is>
      </c>
      <c r="D5233" s="2" t="inlineStr">
        <is>
          <t>437730</t>
        </is>
      </c>
      <c r="E5233" s="3" t="inlineStr">
        <is>
          <t>임원ㆍ주요주주특정증권등소유상황보고서</t>
        </is>
      </c>
      <c r="F5233" s="3" t="inlineStr">
        <is>
          <t>박민철</t>
        </is>
      </c>
      <c r="G5233" s="2" t="inlineStr">
        <is>
          <t>20260312000588</t>
        </is>
      </c>
      <c r="H5233" s="8">
        <f>HYPERLINK("https://dart.fss.or.kr/dsaf001/main.do?rcpNo=20260312000588", "공시열람")</f>
        <v/>
      </c>
    </row>
    <row r="5234">
      <c r="A5234" s="2" t="inlineStr">
        <is>
          <t>2026-03-12</t>
        </is>
      </c>
      <c r="B5234" s="3" t="inlineStr">
        <is>
          <t>신성이엔지</t>
        </is>
      </c>
      <c r="C5234" s="2" t="inlineStr">
        <is>
          <t>코스피</t>
        </is>
      </c>
      <c r="D5234" s="2" t="inlineStr">
        <is>
          <t>011930</t>
        </is>
      </c>
      <c r="E5234" s="3" t="inlineStr">
        <is>
          <t>임원ㆍ주요주주특정증권등소유상황보고서</t>
        </is>
      </c>
      <c r="F5234" s="3" t="inlineStr">
        <is>
          <t>이승환</t>
        </is>
      </c>
      <c r="G5234" s="2" t="inlineStr">
        <is>
          <t>20260312000584</t>
        </is>
      </c>
      <c r="H5234" s="8">
        <f>HYPERLINK("https://dart.fss.or.kr/dsaf001/main.do?rcpNo=20260312000584", "공시열람")</f>
        <v/>
      </c>
    </row>
    <row r="5235">
      <c r="A5235" s="2" t="inlineStr">
        <is>
          <t>2026-03-12</t>
        </is>
      </c>
      <c r="B5235" s="3" t="inlineStr">
        <is>
          <t>육일씨엔에쓰</t>
        </is>
      </c>
      <c r="C5235" s="2" t="inlineStr">
        <is>
          <t>코스닥</t>
        </is>
      </c>
      <c r="D5235" s="2" t="inlineStr">
        <is>
          <t>191410</t>
        </is>
      </c>
      <c r="E5235" s="3" t="inlineStr">
        <is>
          <t>의결권대리행사권유참고서류</t>
        </is>
      </c>
      <c r="F5235" s="3" t="inlineStr">
        <is>
          <t>육일씨엔에쓰</t>
        </is>
      </c>
      <c r="G5235" s="2" t="inlineStr">
        <is>
          <t>20260312000580</t>
        </is>
      </c>
      <c r="H5235" s="8">
        <f>HYPERLINK("https://dart.fss.or.kr/dsaf001/main.do?rcpNo=20260312000580", "공시열람")</f>
        <v/>
      </c>
    </row>
    <row r="5236">
      <c r="A5236" s="2" t="inlineStr">
        <is>
          <t>2026-03-12</t>
        </is>
      </c>
      <c r="B5236" s="3" t="inlineStr">
        <is>
          <t>디바이스</t>
        </is>
      </c>
      <c r="C5236" s="2" t="inlineStr">
        <is>
          <t>코스닥</t>
        </is>
      </c>
      <c r="D5236" s="2" t="inlineStr">
        <is>
          <t>187870</t>
        </is>
      </c>
      <c r="E5236" s="3" t="inlineStr">
        <is>
          <t>의결권대리행사권유참고서류</t>
        </is>
      </c>
      <c r="F5236" s="3" t="inlineStr">
        <is>
          <t>디바이스</t>
        </is>
      </c>
      <c r="G5236" s="2" t="inlineStr">
        <is>
          <t>20260312000577</t>
        </is>
      </c>
      <c r="H5236" s="8">
        <f>HYPERLINK("https://dart.fss.or.kr/dsaf001/main.do?rcpNo=20260312000577", "공시열람")</f>
        <v/>
      </c>
    </row>
    <row r="5237">
      <c r="A5237" s="2" t="inlineStr">
        <is>
          <t>2026-03-12</t>
        </is>
      </c>
      <c r="B5237" s="3" t="inlineStr">
        <is>
          <t>퓨쳐켐</t>
        </is>
      </c>
      <c r="C5237" s="2" t="inlineStr">
        <is>
          <t>코스닥</t>
        </is>
      </c>
      <c r="D5237" s="2" t="inlineStr">
        <is>
          <t>220100</t>
        </is>
      </c>
      <c r="E5237" s="3" t="inlineStr">
        <is>
          <t>[첨부정정]의결권대리행사권유참고서류</t>
        </is>
      </c>
      <c r="F5237" s="3" t="inlineStr">
        <is>
          <t>퓨쳐켐</t>
        </is>
      </c>
      <c r="G5237" s="2" t="inlineStr">
        <is>
          <t>20260312000576</t>
        </is>
      </c>
      <c r="H5237" s="8">
        <f>HYPERLINK("https://dart.fss.or.kr/dsaf001/main.do?rcpNo=20260312000576", "공시열람")</f>
        <v/>
      </c>
    </row>
    <row r="5238">
      <c r="A5238" s="2" t="inlineStr">
        <is>
          <t>2026-03-12</t>
        </is>
      </c>
      <c r="B5238" s="3" t="inlineStr">
        <is>
          <t>신테카바이오</t>
        </is>
      </c>
      <c r="C5238" s="2" t="inlineStr">
        <is>
          <t>코스닥</t>
        </is>
      </c>
      <c r="D5238" s="2" t="inlineStr">
        <is>
          <t>226330</t>
        </is>
      </c>
      <c r="E5238" s="3" t="inlineStr">
        <is>
          <t>주식매수선택권부여에관한신고</t>
        </is>
      </c>
      <c r="F5238" s="3" t="inlineStr">
        <is>
          <t>신테카바이오</t>
        </is>
      </c>
      <c r="G5238" s="2" t="inlineStr">
        <is>
          <t>20260312000570</t>
        </is>
      </c>
      <c r="H5238" s="8">
        <f>HYPERLINK("https://dart.fss.or.kr/dsaf001/main.do?rcpNo=20260312000570", "공시열람")</f>
        <v/>
      </c>
    </row>
    <row r="5239">
      <c r="A5239" s="2" t="inlineStr">
        <is>
          <t>2026-03-12</t>
        </is>
      </c>
      <c r="B5239" s="3" t="inlineStr">
        <is>
          <t>세아제강</t>
        </is>
      </c>
      <c r="C5239" s="2" t="inlineStr">
        <is>
          <t>코스피</t>
        </is>
      </c>
      <c r="D5239" s="2" t="inlineStr">
        <is>
          <t>306200</t>
        </is>
      </c>
      <c r="E5239" s="3" t="inlineStr">
        <is>
          <t xml:space="preserve">감사보고서제출              </t>
        </is>
      </c>
      <c r="F5239" s="3" t="inlineStr">
        <is>
          <t>세아제강</t>
        </is>
      </c>
      <c r="G5239" s="2" t="inlineStr">
        <is>
          <t>20260312800760</t>
        </is>
      </c>
      <c r="H5239" s="8">
        <f>HYPERLINK("https://dart.fss.or.kr/dsaf001/main.do?rcpNo=20260312800760", "공시열람")</f>
        <v/>
      </c>
    </row>
    <row r="5240">
      <c r="A5240" s="2" t="inlineStr">
        <is>
          <t>2026-03-12</t>
        </is>
      </c>
      <c r="B5240" s="3" t="inlineStr">
        <is>
          <t>인포뱅크</t>
        </is>
      </c>
      <c r="C5240" s="2" t="inlineStr">
        <is>
          <t>코스닥</t>
        </is>
      </c>
      <c r="D5240" s="2" t="inlineStr">
        <is>
          <t>039290</t>
        </is>
      </c>
      <c r="E5240" s="3" t="inlineStr">
        <is>
          <t>의결권대리행사권유참고서류</t>
        </is>
      </c>
      <c r="F5240" s="3" t="inlineStr">
        <is>
          <t>인포뱅크</t>
        </is>
      </c>
      <c r="G5240" s="2" t="inlineStr">
        <is>
          <t>20260312000565</t>
        </is>
      </c>
      <c r="H5240" s="8">
        <f>HYPERLINK("https://dart.fss.or.kr/dsaf001/main.do?rcpNo=20260312000565", "공시열람")</f>
        <v/>
      </c>
    </row>
    <row r="5241">
      <c r="A5241" s="2" t="inlineStr">
        <is>
          <t>2026-03-12</t>
        </is>
      </c>
      <c r="B5241" s="3" t="inlineStr">
        <is>
          <t>에스엠</t>
        </is>
      </c>
      <c r="C5241" s="2" t="inlineStr">
        <is>
          <t>코스닥</t>
        </is>
      </c>
      <c r="D5241" s="2" t="inlineStr">
        <is>
          <t>041510</t>
        </is>
      </c>
      <c r="E5241" s="3" t="inlineStr">
        <is>
          <t>임원ㆍ주요주주특정증권등소유상황보고서</t>
        </is>
      </c>
      <c r="F5241" s="3" t="inlineStr">
        <is>
          <t>이성수</t>
        </is>
      </c>
      <c r="G5241" s="2" t="inlineStr">
        <is>
          <t>20260312000564</t>
        </is>
      </c>
      <c r="H5241" s="8">
        <f>HYPERLINK("https://dart.fss.or.kr/dsaf001/main.do?rcpNo=20260312000564", "공시열람")</f>
        <v/>
      </c>
    </row>
    <row r="5242">
      <c r="A5242" s="2" t="inlineStr">
        <is>
          <t>2026-03-12</t>
        </is>
      </c>
      <c r="B5242" s="3" t="inlineStr">
        <is>
          <t>큐로셀</t>
        </is>
      </c>
      <c r="C5242" s="2" t="inlineStr">
        <is>
          <t>코스닥</t>
        </is>
      </c>
      <c r="D5242" s="2" t="inlineStr">
        <is>
          <t>372320</t>
        </is>
      </c>
      <c r="E5242" s="3" t="inlineStr">
        <is>
          <t>의결권대리행사권유참고서류</t>
        </is>
      </c>
      <c r="F5242" s="3" t="inlineStr">
        <is>
          <t>큐로셀</t>
        </is>
      </c>
      <c r="G5242" s="2" t="inlineStr">
        <is>
          <t>20260312000563</t>
        </is>
      </c>
      <c r="H5242" s="8">
        <f>HYPERLINK("https://dart.fss.or.kr/dsaf001/main.do?rcpNo=20260312000563", "공시열람")</f>
        <v/>
      </c>
    </row>
    <row r="5243">
      <c r="A5243" s="2" t="inlineStr">
        <is>
          <t>2026-03-12</t>
        </is>
      </c>
      <c r="B5243" s="3" t="inlineStr">
        <is>
          <t>IBKS제25호스팩</t>
        </is>
      </c>
      <c r="C5243" s="2" t="inlineStr">
        <is>
          <t>코스닥</t>
        </is>
      </c>
      <c r="D5243" s="2" t="inlineStr">
        <is>
          <t>0099X0</t>
        </is>
      </c>
      <c r="E5243" s="3" t="inlineStr">
        <is>
          <t xml:space="preserve">감사보고서제출              </t>
        </is>
      </c>
      <c r="F5243" s="3" t="inlineStr">
        <is>
          <t>IBKS제25호스팩</t>
        </is>
      </c>
      <c r="G5243" s="2" t="inlineStr">
        <is>
          <t>20260312900757</t>
        </is>
      </c>
      <c r="H5243" s="8">
        <f>HYPERLINK("https://dart.fss.or.kr/dsaf001/main.do?rcpNo=20260312900757", "공시열람")</f>
        <v/>
      </c>
    </row>
    <row r="5244">
      <c r="A5244" s="2" t="inlineStr">
        <is>
          <t>2026-03-12</t>
        </is>
      </c>
      <c r="B5244" s="3" t="inlineStr">
        <is>
          <t>핑거스토리</t>
        </is>
      </c>
      <c r="C5244" s="2" t="inlineStr">
        <is>
          <t>코스닥</t>
        </is>
      </c>
      <c r="D5244" s="2" t="inlineStr">
        <is>
          <t>417180</t>
        </is>
      </c>
      <c r="E5244" s="3" t="inlineStr">
        <is>
          <t xml:space="preserve">주식병합결정              </t>
        </is>
      </c>
      <c r="F5244" s="3" t="inlineStr">
        <is>
          <t>핑거스토리</t>
        </is>
      </c>
      <c r="G5244" s="2" t="inlineStr">
        <is>
          <t>20260312900686</t>
        </is>
      </c>
      <c r="H5244" s="8">
        <f>HYPERLINK("https://dart.fss.or.kr/dsaf001/main.do?rcpNo=20260312900686", "공시열람")</f>
        <v/>
      </c>
    </row>
    <row r="5245">
      <c r="A5245" s="2" t="inlineStr">
        <is>
          <t>2026-03-12</t>
        </is>
      </c>
      <c r="B5245" s="3" t="inlineStr">
        <is>
          <t>아크릴</t>
        </is>
      </c>
      <c r="C5245" s="2" t="inlineStr">
        <is>
          <t>코스닥</t>
        </is>
      </c>
      <c r="D5245" s="2" t="inlineStr">
        <is>
          <t>0007C0</t>
        </is>
      </c>
      <c r="E5245" s="3" t="inlineStr">
        <is>
          <t>임원ㆍ주요주주특정증권등소유상황보고서</t>
        </is>
      </c>
      <c r="F5245" s="3" t="inlineStr">
        <is>
          <t>염익준</t>
        </is>
      </c>
      <c r="G5245" s="2" t="inlineStr">
        <is>
          <t>20260312000555</t>
        </is>
      </c>
      <c r="H5245" s="8">
        <f>HYPERLINK("https://dart.fss.or.kr/dsaf001/main.do?rcpNo=20260312000555", "공시열람")</f>
        <v/>
      </c>
    </row>
    <row r="5246">
      <c r="A5246" s="2" t="inlineStr">
        <is>
          <t>2026-03-12</t>
        </is>
      </c>
      <c r="B5246" s="3" t="inlineStr">
        <is>
          <t>중앙에너비스</t>
        </is>
      </c>
      <c r="C5246" s="2" t="inlineStr">
        <is>
          <t>코스닥</t>
        </is>
      </c>
      <c r="D5246" s="2" t="inlineStr">
        <is>
          <t>000440</t>
        </is>
      </c>
      <c r="E5246" s="3" t="inlineStr">
        <is>
          <t xml:space="preserve">감사보고서제출              </t>
        </is>
      </c>
      <c r="F5246" s="3" t="inlineStr">
        <is>
          <t>중앙에너비스</t>
        </is>
      </c>
      <c r="G5246" s="2" t="inlineStr">
        <is>
          <t>20260312900639</t>
        </is>
      </c>
      <c r="H5246" s="8">
        <f>HYPERLINK("https://dart.fss.or.kr/dsaf001/main.do?rcpNo=20260312900639", "공시열람")</f>
        <v/>
      </c>
    </row>
    <row r="5247">
      <c r="A5247" s="2" t="inlineStr">
        <is>
          <t>2026-03-12</t>
        </is>
      </c>
      <c r="B5247" s="3" t="inlineStr">
        <is>
          <t>SK</t>
        </is>
      </c>
      <c r="C5247" s="2" t="inlineStr">
        <is>
          <t>코스피</t>
        </is>
      </c>
      <c r="D5247" s="2" t="inlineStr">
        <is>
          <t>034730</t>
        </is>
      </c>
      <c r="E5247" s="3" t="inlineStr">
        <is>
          <t>[첨부정정]의결권대리행사권유참고서류</t>
        </is>
      </c>
      <c r="F5247" s="3" t="inlineStr">
        <is>
          <t>SK</t>
        </is>
      </c>
      <c r="G5247" s="2" t="inlineStr">
        <is>
          <t>20260312000543</t>
        </is>
      </c>
      <c r="H5247" s="8">
        <f>HYPERLINK("https://dart.fss.or.kr/dsaf001/main.do?rcpNo=20260312000543", "공시열람")</f>
        <v/>
      </c>
    </row>
    <row r="5248">
      <c r="A5248" s="2" t="inlineStr">
        <is>
          <t>2026-03-12</t>
        </is>
      </c>
      <c r="B5248" s="3" t="inlineStr">
        <is>
          <t>IBKS제23호스팩</t>
        </is>
      </c>
      <c r="C5248" s="2" t="inlineStr">
        <is>
          <t>코스닥</t>
        </is>
      </c>
      <c r="D5248" s="2" t="inlineStr">
        <is>
          <t>467930</t>
        </is>
      </c>
      <c r="E5248" s="3" t="inlineStr">
        <is>
          <t xml:space="preserve">감사보고서제출              </t>
        </is>
      </c>
      <c r="F5248" s="3" t="inlineStr">
        <is>
          <t>IBKS제23호스팩</t>
        </is>
      </c>
      <c r="G5248" s="2" t="inlineStr">
        <is>
          <t>20260312900679</t>
        </is>
      </c>
      <c r="H5248" s="8">
        <f>HYPERLINK("https://dart.fss.or.kr/dsaf001/main.do?rcpNo=20260312900679", "공시열람")</f>
        <v/>
      </c>
    </row>
    <row r="5249">
      <c r="A5249" s="2" t="inlineStr">
        <is>
          <t>2026-03-12</t>
        </is>
      </c>
      <c r="B5249" s="3" t="inlineStr">
        <is>
          <t>실리콘투</t>
        </is>
      </c>
      <c r="C5249" s="2" t="inlineStr">
        <is>
          <t>코스닥</t>
        </is>
      </c>
      <c r="D5249" s="2" t="inlineStr">
        <is>
          <t>257720</t>
        </is>
      </c>
      <c r="E5249" s="3" t="inlineStr">
        <is>
          <t xml:space="preserve">현금ㆍ현물배당결정              </t>
        </is>
      </c>
      <c r="F5249" s="3" t="inlineStr">
        <is>
          <t>실리콘투</t>
        </is>
      </c>
      <c r="G5249" s="2" t="inlineStr">
        <is>
          <t>20260312900706</t>
        </is>
      </c>
      <c r="H5249" s="8">
        <f>HYPERLINK("https://dart.fss.or.kr/dsaf001/main.do?rcpNo=20260312900706", "공시열람")</f>
        <v/>
      </c>
    </row>
    <row r="5250">
      <c r="A5250" s="2" t="inlineStr">
        <is>
          <t>2026-03-12</t>
        </is>
      </c>
      <c r="B5250" s="3" t="inlineStr">
        <is>
          <t>에스엠</t>
        </is>
      </c>
      <c r="C5250" s="2" t="inlineStr">
        <is>
          <t>코스닥</t>
        </is>
      </c>
      <c r="D5250" s="2" t="inlineStr">
        <is>
          <t>041510</t>
        </is>
      </c>
      <c r="E5250" s="3" t="inlineStr">
        <is>
          <t>임원ㆍ주요주주특정증권등소유상황보고서</t>
        </is>
      </c>
      <c r="F5250" s="3" t="inlineStr">
        <is>
          <t>탁영준</t>
        </is>
      </c>
      <c r="G5250" s="2" t="inlineStr">
        <is>
          <t>20260312000540</t>
        </is>
      </c>
      <c r="H5250" s="8">
        <f>HYPERLINK("https://dart.fss.or.kr/dsaf001/main.do?rcpNo=20260312000540", "공시열람")</f>
        <v/>
      </c>
    </row>
    <row r="5251">
      <c r="A5251" s="2" t="inlineStr">
        <is>
          <t>2026-03-12</t>
        </is>
      </c>
      <c r="B5251" s="3" t="inlineStr">
        <is>
          <t>퓨릿</t>
        </is>
      </c>
      <c r="C5251" s="2" t="inlineStr">
        <is>
          <t>코스닥</t>
        </is>
      </c>
      <c r="D5251" s="2" t="inlineStr">
        <is>
          <t>445180</t>
        </is>
      </c>
      <c r="E5251" s="3" t="inlineStr">
        <is>
          <t xml:space="preserve">감사보고서제출              </t>
        </is>
      </c>
      <c r="F5251" s="3" t="inlineStr">
        <is>
          <t>퓨릿</t>
        </is>
      </c>
      <c r="G5251" s="2" t="inlineStr">
        <is>
          <t>20260312900621</t>
        </is>
      </c>
      <c r="H5251" s="8">
        <f>HYPERLINK("https://dart.fss.or.kr/dsaf001/main.do?rcpNo=20260312900621", "공시열람")</f>
        <v/>
      </c>
    </row>
    <row r="5252">
      <c r="A5252" s="2" t="inlineStr">
        <is>
          <t>2026-03-12</t>
        </is>
      </c>
      <c r="B5252" s="3" t="inlineStr">
        <is>
          <t>대성산업</t>
        </is>
      </c>
      <c r="C5252" s="2" t="inlineStr">
        <is>
          <t>코스피</t>
        </is>
      </c>
      <c r="D5252" s="2" t="inlineStr">
        <is>
          <t>128820</t>
        </is>
      </c>
      <c r="E5252" s="3" t="inlineStr">
        <is>
          <t xml:space="preserve">매출액또는손익구조30%(대규모법인은15%)이상변경              </t>
        </is>
      </c>
      <c r="F5252" s="3" t="inlineStr">
        <is>
          <t>대성산업</t>
        </is>
      </c>
      <c r="G5252" s="2" t="inlineStr">
        <is>
          <t>20260312800713</t>
        </is>
      </c>
      <c r="H5252" s="8">
        <f>HYPERLINK("https://dart.fss.or.kr/dsaf001/main.do?rcpNo=20260312800713", "공시열람")</f>
        <v/>
      </c>
    </row>
    <row r="5253">
      <c r="A5253" s="2" t="inlineStr">
        <is>
          <t>2026-03-12</t>
        </is>
      </c>
      <c r="B5253" s="3" t="inlineStr">
        <is>
          <t>미래에셋비전스팩6호</t>
        </is>
      </c>
      <c r="C5253" s="2" t="inlineStr">
        <is>
          <t>코스닥</t>
        </is>
      </c>
      <c r="D5253" s="2" t="inlineStr">
        <is>
          <t>478440</t>
        </is>
      </c>
      <c r="E5253" s="3" t="inlineStr">
        <is>
          <t xml:space="preserve">감사보고서제출              </t>
        </is>
      </c>
      <c r="F5253" s="3" t="inlineStr">
        <is>
          <t>미래에셋비전스팩6호</t>
        </is>
      </c>
      <c r="G5253" s="2" t="inlineStr">
        <is>
          <t>20260312900712</t>
        </is>
      </c>
      <c r="H5253" s="8">
        <f>HYPERLINK("https://dart.fss.or.kr/dsaf001/main.do?rcpNo=20260312900712", "공시열람")</f>
        <v/>
      </c>
    </row>
    <row r="5254">
      <c r="A5254" s="2" t="inlineStr">
        <is>
          <t>2026-03-12</t>
        </is>
      </c>
      <c r="B5254" s="3" t="inlineStr">
        <is>
          <t>다올투자증권</t>
        </is>
      </c>
      <c r="C5254" s="2" t="inlineStr">
        <is>
          <t>코스피</t>
        </is>
      </c>
      <c r="D5254" s="2" t="inlineStr">
        <is>
          <t>030210</t>
        </is>
      </c>
      <c r="E5254" s="3" t="inlineStr">
        <is>
          <t xml:space="preserve">감사보고서제출              </t>
        </is>
      </c>
      <c r="F5254" s="3" t="inlineStr">
        <is>
          <t>다올투자증권</t>
        </is>
      </c>
      <c r="G5254" s="2" t="inlineStr">
        <is>
          <t>20260312800649</t>
        </is>
      </c>
      <c r="H5254" s="8">
        <f>HYPERLINK("https://dart.fss.or.kr/dsaf001/main.do?rcpNo=20260312800649", "공시열람")</f>
        <v/>
      </c>
    </row>
    <row r="5255">
      <c r="A5255" s="2" t="inlineStr">
        <is>
          <t>2026-03-12</t>
        </is>
      </c>
      <c r="B5255" s="3" t="inlineStr">
        <is>
          <t>우리이앤엘하루틴</t>
        </is>
      </c>
      <c r="C5255" s="2" t="inlineStr">
        <is>
          <t>코스닥</t>
        </is>
      </c>
      <c r="D5255" s="2" t="inlineStr">
        <is>
          <t>153490</t>
        </is>
      </c>
      <c r="E5255" s="3" t="inlineStr">
        <is>
          <t>의결권대리행사권유참고서류</t>
        </is>
      </c>
      <c r="F5255" s="3" t="inlineStr">
        <is>
          <t>우리이앤엘하루틴</t>
        </is>
      </c>
      <c r="G5255" s="2" t="inlineStr">
        <is>
          <t>20260312000520</t>
        </is>
      </c>
      <c r="H5255" s="8">
        <f>HYPERLINK("https://dart.fss.or.kr/dsaf001/main.do?rcpNo=20260312000520", "공시열람")</f>
        <v/>
      </c>
    </row>
    <row r="5256">
      <c r="A5256" s="2" t="inlineStr">
        <is>
          <t>2026-03-12</t>
        </is>
      </c>
      <c r="B5256" s="3" t="inlineStr">
        <is>
          <t>AP위성</t>
        </is>
      </c>
      <c r="C5256" s="2" t="inlineStr">
        <is>
          <t>코스닥</t>
        </is>
      </c>
      <c r="D5256" s="2" t="inlineStr">
        <is>
          <t>211270</t>
        </is>
      </c>
      <c r="E5256" s="3" t="inlineStr">
        <is>
          <t xml:space="preserve">감사보고서제출              </t>
        </is>
      </c>
      <c r="F5256" s="3" t="inlineStr">
        <is>
          <t>AP위성</t>
        </is>
      </c>
      <c r="G5256" s="2" t="inlineStr">
        <is>
          <t>20260312900662</t>
        </is>
      </c>
      <c r="H5256" s="8">
        <f>HYPERLINK("https://dart.fss.or.kr/dsaf001/main.do?rcpNo=20260312900662", "공시열람")</f>
        <v/>
      </c>
    </row>
    <row r="5257">
      <c r="A5257" s="2" t="inlineStr">
        <is>
          <t>2026-03-12</t>
        </is>
      </c>
      <c r="B5257" s="3" t="inlineStr">
        <is>
          <t>SK증권</t>
        </is>
      </c>
      <c r="C5257" s="2" t="inlineStr">
        <is>
          <t>코스피</t>
        </is>
      </c>
      <c r="D5257" s="2" t="inlineStr">
        <is>
          <t>001510</t>
        </is>
      </c>
      <c r="E5257" s="3" t="inlineStr">
        <is>
          <t>증권발행실적보고서</t>
        </is>
      </c>
      <c r="F5257" s="3" t="inlineStr">
        <is>
          <t>SK증권</t>
        </is>
      </c>
      <c r="G5257" s="2" t="inlineStr">
        <is>
          <t>20260312000511</t>
        </is>
      </c>
      <c r="H5257" s="8">
        <f>HYPERLINK("https://dart.fss.or.kr/dsaf001/main.do?rcpNo=20260312000511", "공시열람")</f>
        <v/>
      </c>
    </row>
    <row r="5258">
      <c r="A5258" s="2" t="inlineStr">
        <is>
          <t>2026-03-12</t>
        </is>
      </c>
      <c r="B5258" s="3" t="inlineStr">
        <is>
          <t>아이엠지티</t>
        </is>
      </c>
      <c r="C5258" s="2" t="inlineStr">
        <is>
          <t>코넥스</t>
        </is>
      </c>
      <c r="D5258" s="2" t="inlineStr">
        <is>
          <t>456570</t>
        </is>
      </c>
      <c r="E5258" s="3" t="inlineStr">
        <is>
          <t xml:space="preserve">본점소재지변경              </t>
        </is>
      </c>
      <c r="F5258" s="3" t="inlineStr">
        <is>
          <t>아이엠지티</t>
        </is>
      </c>
      <c r="G5258" s="2" t="inlineStr">
        <is>
          <t>20260312600657</t>
        </is>
      </c>
      <c r="H5258" s="8">
        <f>HYPERLINK("https://dart.fss.or.kr/dsaf001/main.do?rcpNo=20260312600657", "공시열람")</f>
        <v/>
      </c>
    </row>
    <row r="5259">
      <c r="A5259" s="2" t="inlineStr">
        <is>
          <t>2026-03-12 (정정: 2026-03-17)</t>
        </is>
      </c>
      <c r="B5259" s="3" t="inlineStr">
        <is>
          <t>에코마케팅</t>
        </is>
      </c>
      <c r="C5259" s="2" t="inlineStr">
        <is>
          <t>코스닥</t>
        </is>
      </c>
      <c r="D5259" s="2" t="inlineStr">
        <is>
          <t>230360</t>
        </is>
      </c>
      <c r="E5259" s="3" t="inlineStr">
        <is>
          <t>임원ㆍ주요주주특정증권등소유상황보고서 (정정: 20260317)</t>
        </is>
      </c>
      <c r="F5259" s="3" t="inlineStr">
        <is>
          <t>김철웅</t>
        </is>
      </c>
      <c r="G5259" s="2" t="inlineStr">
        <is>
          <t>20260317000130</t>
        </is>
      </c>
      <c r="H5259" s="8">
        <f>HYPERLINK("https://dart.fss.or.kr/dsaf001/main.do?rcpNo=20260317000130", "공시열람")</f>
        <v/>
      </c>
    </row>
    <row r="5260">
      <c r="A5260" s="2" t="inlineStr">
        <is>
          <t>2026-03-12</t>
        </is>
      </c>
      <c r="B5260" s="3" t="inlineStr">
        <is>
          <t>지앤비에스 에코</t>
        </is>
      </c>
      <c r="C5260" s="2" t="inlineStr">
        <is>
          <t>코스닥</t>
        </is>
      </c>
      <c r="D5260" s="2" t="inlineStr">
        <is>
          <t>382800</t>
        </is>
      </c>
      <c r="E5260" s="3" t="inlineStr">
        <is>
          <t xml:space="preserve">감사보고서제출              </t>
        </is>
      </c>
      <c r="F5260" s="3" t="inlineStr">
        <is>
          <t>지앤비에스 에코</t>
        </is>
      </c>
      <c r="G5260" s="2" t="inlineStr">
        <is>
          <t>20260312900651</t>
        </is>
      </c>
      <c r="H5260" s="8">
        <f>HYPERLINK("https://dart.fss.or.kr/dsaf001/main.do?rcpNo=20260312900651", "공시열람")</f>
        <v/>
      </c>
    </row>
    <row r="5261">
      <c r="A5261" s="2" t="inlineStr">
        <is>
          <t>2026-03-12</t>
        </is>
      </c>
      <c r="B5261" s="3" t="inlineStr">
        <is>
          <t>피앤에스로보틱스</t>
        </is>
      </c>
      <c r="C5261" s="2" t="inlineStr">
        <is>
          <t>코스닥</t>
        </is>
      </c>
      <c r="D5261" s="2" t="inlineStr">
        <is>
          <t>460940</t>
        </is>
      </c>
      <c r="E5261" s="3" t="inlineStr">
        <is>
          <t xml:space="preserve">감사보고서제출              </t>
        </is>
      </c>
      <c r="F5261" s="3" t="inlineStr">
        <is>
          <t>피앤에스로보틱스</t>
        </is>
      </c>
      <c r="G5261" s="2" t="inlineStr">
        <is>
          <t>20260312900677</t>
        </is>
      </c>
      <c r="H5261" s="8">
        <f>HYPERLINK("https://dart.fss.or.kr/dsaf001/main.do?rcpNo=20260312900677", "공시열람")</f>
        <v/>
      </c>
    </row>
    <row r="5262">
      <c r="A5262" s="2" t="inlineStr">
        <is>
          <t>2026-03-12</t>
        </is>
      </c>
      <c r="B5262" s="3" t="inlineStr">
        <is>
          <t>아크릴</t>
        </is>
      </c>
      <c r="C5262" s="2" t="inlineStr">
        <is>
          <t>코스닥</t>
        </is>
      </c>
      <c r="D5262" s="2" t="inlineStr">
        <is>
          <t>0007C0</t>
        </is>
      </c>
      <c r="E5262" s="3" t="inlineStr">
        <is>
          <t>[기재정정]임원ㆍ주요주주특정증권등소유상황보고서</t>
        </is>
      </c>
      <c r="F5262" s="3" t="inlineStr">
        <is>
          <t>염익준</t>
        </is>
      </c>
      <c r="G5262" s="2" t="inlineStr">
        <is>
          <t>20260312000503</t>
        </is>
      </c>
      <c r="H5262" s="8">
        <f>HYPERLINK("https://dart.fss.or.kr/dsaf001/main.do?rcpNo=20260312000503", "공시열람")</f>
        <v/>
      </c>
    </row>
    <row r="5263">
      <c r="A5263" s="2" t="inlineStr">
        <is>
          <t>2026-03-12</t>
        </is>
      </c>
      <c r="B5263" s="3" t="inlineStr">
        <is>
          <t>링크제니시스</t>
        </is>
      </c>
      <c r="C5263" s="2" t="inlineStr">
        <is>
          <t>코스닥</t>
        </is>
      </c>
      <c r="D5263" s="2" t="inlineStr">
        <is>
          <t>219420</t>
        </is>
      </c>
      <c r="E5263" s="3" t="inlineStr">
        <is>
          <t xml:space="preserve">감사보고서제출              </t>
        </is>
      </c>
      <c r="F5263" s="3" t="inlineStr">
        <is>
          <t>링크제니시스</t>
        </is>
      </c>
      <c r="G5263" s="2" t="inlineStr">
        <is>
          <t>20260312900618</t>
        </is>
      </c>
      <c r="H5263" s="8">
        <f>HYPERLINK("https://dart.fss.or.kr/dsaf001/main.do?rcpNo=20260312900618", "공시열람")</f>
        <v/>
      </c>
    </row>
    <row r="5264">
      <c r="A5264" s="2" t="inlineStr">
        <is>
          <t>2026-03-12</t>
        </is>
      </c>
      <c r="B5264" s="3" t="inlineStr">
        <is>
          <t>실리콘투</t>
        </is>
      </c>
      <c r="C5264" s="2" t="inlineStr">
        <is>
          <t>코스닥</t>
        </is>
      </c>
      <c r="D5264" s="2" t="inlineStr">
        <is>
          <t>257720</t>
        </is>
      </c>
      <c r="E5264" s="3" t="inlineStr">
        <is>
          <t xml:space="preserve">현금ㆍ현물배당을위한주주명부폐쇄(기준일)결정              </t>
        </is>
      </c>
      <c r="F5264" s="3" t="inlineStr">
        <is>
          <t>실리콘투</t>
        </is>
      </c>
      <c r="G5264" s="2" t="inlineStr">
        <is>
          <t>20260312900652</t>
        </is>
      </c>
      <c r="H5264" s="8">
        <f>HYPERLINK("https://dart.fss.or.kr/dsaf001/main.do?rcpNo=20260312900652", "공시열람")</f>
        <v/>
      </c>
    </row>
    <row r="5265">
      <c r="A5265" s="2" t="inlineStr">
        <is>
          <t>2026-03-12</t>
        </is>
      </c>
      <c r="B5265" s="3" t="inlineStr">
        <is>
          <t>모비스</t>
        </is>
      </c>
      <c r="C5265" s="2" t="inlineStr">
        <is>
          <t>코스닥</t>
        </is>
      </c>
      <c r="D5265" s="2" t="inlineStr">
        <is>
          <t>250060</t>
        </is>
      </c>
      <c r="E5265" s="3" t="inlineStr">
        <is>
          <t xml:space="preserve">감사보고서제출              </t>
        </is>
      </c>
      <c r="F5265" s="3" t="inlineStr">
        <is>
          <t>모비스</t>
        </is>
      </c>
      <c r="G5265" s="2" t="inlineStr">
        <is>
          <t>20260312900632</t>
        </is>
      </c>
      <c r="H5265" s="8">
        <f>HYPERLINK("https://dart.fss.or.kr/dsaf001/main.do?rcpNo=20260312900632", "공시열람")</f>
        <v/>
      </c>
    </row>
    <row r="5266">
      <c r="A5266" s="2" t="inlineStr">
        <is>
          <t>2026-03-12</t>
        </is>
      </c>
      <c r="B5266" s="3" t="inlineStr">
        <is>
          <t>동인기연</t>
        </is>
      </c>
      <c r="C5266" s="2" t="inlineStr">
        <is>
          <t>코스피</t>
        </is>
      </c>
      <c r="D5266" s="2" t="inlineStr">
        <is>
          <t>111380</t>
        </is>
      </c>
      <c r="E5266" s="3" t="inlineStr">
        <is>
          <t>의결권대리행사권유참고서류</t>
        </is>
      </c>
      <c r="F5266" s="3" t="inlineStr">
        <is>
          <t>동인기연</t>
        </is>
      </c>
      <c r="G5266" s="2" t="inlineStr">
        <is>
          <t>20260312000502</t>
        </is>
      </c>
      <c r="H5266" s="8">
        <f>HYPERLINK("https://dart.fss.or.kr/dsaf001/main.do?rcpNo=20260312000502", "공시열람")</f>
        <v/>
      </c>
    </row>
    <row r="5267">
      <c r="A5267" s="2" t="inlineStr">
        <is>
          <t>2026-03-12</t>
        </is>
      </c>
      <c r="B5267" s="3" t="inlineStr">
        <is>
          <t>에스엠</t>
        </is>
      </c>
      <c r="C5267" s="2" t="inlineStr">
        <is>
          <t>코스닥</t>
        </is>
      </c>
      <c r="D5267" s="2" t="inlineStr">
        <is>
          <t>041510</t>
        </is>
      </c>
      <c r="E5267" s="3" t="inlineStr">
        <is>
          <t>임원ㆍ주요주주특정증권등소유상황보고서</t>
        </is>
      </c>
      <c r="F5267" s="3" t="inlineStr">
        <is>
          <t>장철혁</t>
        </is>
      </c>
      <c r="G5267" s="2" t="inlineStr">
        <is>
          <t>20260312000499</t>
        </is>
      </c>
      <c r="H5267" s="8">
        <f>HYPERLINK("https://dart.fss.or.kr/dsaf001/main.do?rcpNo=20260312000499", "공시열람")</f>
        <v/>
      </c>
    </row>
    <row r="5268">
      <c r="A5268" s="2" t="inlineStr">
        <is>
          <t>2026-03-12</t>
        </is>
      </c>
      <c r="B5268" s="3" t="inlineStr">
        <is>
          <t>동인기연</t>
        </is>
      </c>
      <c r="C5268" s="2" t="inlineStr">
        <is>
          <t>코스피</t>
        </is>
      </c>
      <c r="D5268" s="2" t="inlineStr">
        <is>
          <t>111380</t>
        </is>
      </c>
      <c r="E5268" s="3" t="inlineStr">
        <is>
          <t xml:space="preserve">현금ㆍ현물배당을위한주주명부폐쇄(기준일)결정              </t>
        </is>
      </c>
      <c r="F5268" s="3" t="inlineStr">
        <is>
          <t>동인기연</t>
        </is>
      </c>
      <c r="G5268" s="2" t="inlineStr">
        <is>
          <t>20260312800658</t>
        </is>
      </c>
      <c r="H5268" s="8">
        <f>HYPERLINK("https://dart.fss.or.kr/dsaf001/main.do?rcpNo=20260312800658", "공시열람")</f>
        <v/>
      </c>
    </row>
    <row r="5269">
      <c r="A5269" s="2" t="inlineStr">
        <is>
          <t>2026-03-12</t>
        </is>
      </c>
      <c r="B5269" s="3" t="inlineStr">
        <is>
          <t>제놀루션</t>
        </is>
      </c>
      <c r="C5269" s="2" t="inlineStr">
        <is>
          <t>코스닥</t>
        </is>
      </c>
      <c r="D5269" s="2" t="inlineStr">
        <is>
          <t>225220</t>
        </is>
      </c>
      <c r="E5269" s="3" t="inlineStr">
        <is>
          <t>의결권대리행사권유참고서류</t>
        </is>
      </c>
      <c r="F5269" s="3" t="inlineStr">
        <is>
          <t>제놀루션</t>
        </is>
      </c>
      <c r="G5269" s="2" t="inlineStr">
        <is>
          <t>20260312000495</t>
        </is>
      </c>
      <c r="H5269" s="8">
        <f>HYPERLINK("https://dart.fss.or.kr/dsaf001/main.do?rcpNo=20260312000495", "공시열람")</f>
        <v/>
      </c>
    </row>
    <row r="5270">
      <c r="A5270" s="2" t="inlineStr">
        <is>
          <t>2026-03-12</t>
        </is>
      </c>
      <c r="B5270" s="3" t="inlineStr">
        <is>
          <t>미래에셋비전스팩10호</t>
        </is>
      </c>
      <c r="C5270" s="2" t="inlineStr">
        <is>
          <t>코스닥</t>
        </is>
      </c>
      <c r="D5270" s="2" t="inlineStr">
        <is>
          <t>0097F0</t>
        </is>
      </c>
      <c r="E5270" s="3" t="inlineStr">
        <is>
          <t xml:space="preserve">감사보고서제출              </t>
        </is>
      </c>
      <c r="F5270" s="3" t="inlineStr">
        <is>
          <t>미래에셋비전스팩10호</t>
        </is>
      </c>
      <c r="G5270" s="2" t="inlineStr">
        <is>
          <t>20260312900608</t>
        </is>
      </c>
      <c r="H5270" s="8">
        <f>HYPERLINK("https://dart.fss.or.kr/dsaf001/main.do?rcpNo=20260312900608", "공시열람")</f>
        <v/>
      </c>
    </row>
    <row r="5271">
      <c r="A5271" s="2" t="inlineStr">
        <is>
          <t>2026-03-12</t>
        </is>
      </c>
      <c r="B5271" s="3" t="inlineStr">
        <is>
          <t>한국전력공사</t>
        </is>
      </c>
      <c r="C5271" s="2" t="inlineStr">
        <is>
          <t>코스피</t>
        </is>
      </c>
      <c r="D5271" s="2" t="inlineStr">
        <is>
          <t>015760</t>
        </is>
      </c>
      <c r="E5271" s="3" t="inlineStr">
        <is>
          <t xml:space="preserve">[첨부정정]감사보고서제출              </t>
        </is>
      </c>
      <c r="F5271" s="3" t="inlineStr">
        <is>
          <t>한국전력공사</t>
        </is>
      </c>
      <c r="G5271" s="2" t="inlineStr">
        <is>
          <t>20260312800629</t>
        </is>
      </c>
      <c r="H5271" s="8">
        <f>HYPERLINK("https://dart.fss.or.kr/dsaf001/main.do?rcpNo=20260312800629", "공시열람")</f>
        <v/>
      </c>
    </row>
    <row r="5272">
      <c r="A5272" s="2" t="inlineStr">
        <is>
          <t>2026-03-12</t>
        </is>
      </c>
      <c r="B5272" s="3" t="inlineStr">
        <is>
          <t>현대바이오랜드</t>
        </is>
      </c>
      <c r="C5272" s="2" t="inlineStr">
        <is>
          <t>코스닥</t>
        </is>
      </c>
      <c r="D5272" s="2" t="inlineStr">
        <is>
          <t>052260</t>
        </is>
      </c>
      <c r="E5272" s="3" t="inlineStr">
        <is>
          <t xml:space="preserve">감사보고서제출              </t>
        </is>
      </c>
      <c r="F5272" s="3" t="inlineStr">
        <is>
          <t>현대바이오랜드</t>
        </is>
      </c>
      <c r="G5272" s="2" t="inlineStr">
        <is>
          <t>20260312900614</t>
        </is>
      </c>
      <c r="H5272" s="8">
        <f>HYPERLINK("https://dart.fss.or.kr/dsaf001/main.do?rcpNo=20260312900614", "공시열람")</f>
        <v/>
      </c>
    </row>
    <row r="5273">
      <c r="A5273" s="2" t="inlineStr">
        <is>
          <t>2026-03-12</t>
        </is>
      </c>
      <c r="B5273" s="3" t="inlineStr">
        <is>
          <t>메디톡스</t>
        </is>
      </c>
      <c r="C5273" s="2" t="inlineStr">
        <is>
          <t>코스닥</t>
        </is>
      </c>
      <c r="D5273" s="2" t="inlineStr">
        <is>
          <t>086900</t>
        </is>
      </c>
      <c r="E5273" s="3" t="inlineStr">
        <is>
          <t xml:space="preserve">매출액또는손익구조30%(대규모법인은15%)이상변동              </t>
        </is>
      </c>
      <c r="F5273" s="3" t="inlineStr">
        <is>
          <t>메디톡스</t>
        </is>
      </c>
      <c r="G5273" s="2" t="inlineStr">
        <is>
          <t>20260312900626</t>
        </is>
      </c>
      <c r="H5273" s="8">
        <f>HYPERLINK("https://dart.fss.or.kr/dsaf001/main.do?rcpNo=20260312900626", "공시열람")</f>
        <v/>
      </c>
    </row>
    <row r="5274">
      <c r="A5274" s="2" t="inlineStr">
        <is>
          <t>2026-03-12 (정정: 2026-05-29)</t>
        </is>
      </c>
      <c r="B5274" s="3" t="inlineStr">
        <is>
          <t>조흥</t>
        </is>
      </c>
      <c r="C5274" s="2" t="inlineStr">
        <is>
          <t>코스피</t>
        </is>
      </c>
      <c r="D5274" s="2" t="inlineStr">
        <is>
          <t>002600</t>
        </is>
      </c>
      <c r="E5274" s="3" t="inlineStr">
        <is>
          <t>감사보고서제출               (정정: 20260529)</t>
        </is>
      </c>
      <c r="F5274" s="3" t="inlineStr">
        <is>
          <t>조흥</t>
        </is>
      </c>
      <c r="G5274" s="2" t="inlineStr">
        <is>
          <t>20260529801168</t>
        </is>
      </c>
      <c r="H5274" s="8">
        <f>HYPERLINK("https://dart.fss.or.kr/dsaf001/main.do?rcpNo=20260529801168", "공시열람")</f>
        <v/>
      </c>
    </row>
    <row r="5275">
      <c r="A5275" s="2" t="inlineStr">
        <is>
          <t>2026-03-12</t>
        </is>
      </c>
      <c r="B5275" s="3" t="inlineStr">
        <is>
          <t>동진쎄미켐</t>
        </is>
      </c>
      <c r="C5275" s="2" t="inlineStr">
        <is>
          <t>코스닥</t>
        </is>
      </c>
      <c r="D5275" s="2" t="inlineStr">
        <is>
          <t>005290</t>
        </is>
      </c>
      <c r="E5275" s="3" t="inlineStr">
        <is>
          <t>신탁계약에의한취득상황보고서</t>
        </is>
      </c>
      <c r="F5275" s="3" t="inlineStr">
        <is>
          <t>동진쎄미켐</t>
        </is>
      </c>
      <c r="G5275" s="2" t="inlineStr">
        <is>
          <t>20260312000493</t>
        </is>
      </c>
      <c r="H5275" s="8">
        <f>HYPERLINK("https://dart.fss.or.kr/dsaf001/main.do?rcpNo=20260312000493", "공시열람")</f>
        <v/>
      </c>
    </row>
    <row r="5276">
      <c r="A5276" s="2" t="inlineStr">
        <is>
          <t>2026-03-12</t>
        </is>
      </c>
      <c r="B5276" s="3" t="inlineStr">
        <is>
          <t>로보스타</t>
        </is>
      </c>
      <c r="C5276" s="2" t="inlineStr">
        <is>
          <t>코스닥</t>
        </is>
      </c>
      <c r="D5276" s="2" t="inlineStr">
        <is>
          <t>090360</t>
        </is>
      </c>
      <c r="E5276" s="3" t="inlineStr">
        <is>
          <t xml:space="preserve">감사보고서제출              </t>
        </is>
      </c>
      <c r="F5276" s="3" t="inlineStr">
        <is>
          <t>로보스타</t>
        </is>
      </c>
      <c r="G5276" s="2" t="inlineStr">
        <is>
          <t>20260312900577</t>
        </is>
      </c>
      <c r="H5276" s="8">
        <f>HYPERLINK("https://dart.fss.or.kr/dsaf001/main.do?rcpNo=20260312900577", "공시열람")</f>
        <v/>
      </c>
    </row>
    <row r="5277">
      <c r="A5277" s="2" t="inlineStr">
        <is>
          <t>2026-03-12</t>
        </is>
      </c>
      <c r="B5277" s="3" t="inlineStr">
        <is>
          <t>닷밀</t>
        </is>
      </c>
      <c r="C5277" s="2" t="inlineStr">
        <is>
          <t>코스닥</t>
        </is>
      </c>
      <c r="D5277" s="2" t="inlineStr">
        <is>
          <t>464580</t>
        </is>
      </c>
      <c r="E5277" s="3" t="inlineStr">
        <is>
          <t>임원ㆍ주요주주특정증권등소유상황보고서</t>
        </is>
      </c>
      <c r="F5277" s="3" t="inlineStr">
        <is>
          <t>김태희</t>
        </is>
      </c>
      <c r="G5277" s="2" t="inlineStr">
        <is>
          <t>20260312000486</t>
        </is>
      </c>
      <c r="H5277" s="8">
        <f>HYPERLINK("https://dart.fss.or.kr/dsaf001/main.do?rcpNo=20260312000486", "공시열람")</f>
        <v/>
      </c>
    </row>
    <row r="5278">
      <c r="A5278" s="2" t="inlineStr">
        <is>
          <t>2026-03-12</t>
        </is>
      </c>
      <c r="B5278" s="3" t="inlineStr">
        <is>
          <t>아크릴</t>
        </is>
      </c>
      <c r="C5278" s="2" t="inlineStr">
        <is>
          <t>코스닥</t>
        </is>
      </c>
      <c r="D5278" s="2" t="inlineStr">
        <is>
          <t>0007C0</t>
        </is>
      </c>
      <c r="E5278" s="3" t="inlineStr">
        <is>
          <t>[기재정정]임원ㆍ주요주주특정증권등소유상황보고서</t>
        </is>
      </c>
      <c r="F5278" s="3" t="inlineStr">
        <is>
          <t>신현경</t>
        </is>
      </c>
      <c r="G5278" s="2" t="inlineStr">
        <is>
          <t>20260312000479</t>
        </is>
      </c>
      <c r="H5278" s="8">
        <f>HYPERLINK("https://dart.fss.or.kr/dsaf001/main.do?rcpNo=20260312000479", "공시열람")</f>
        <v/>
      </c>
    </row>
    <row r="5279">
      <c r="A5279" s="2" t="inlineStr">
        <is>
          <t>2026-03-12</t>
        </is>
      </c>
      <c r="B5279" s="3" t="inlineStr">
        <is>
          <t>코디</t>
        </is>
      </c>
      <c r="C5279" s="2" t="inlineStr">
        <is>
          <t>코스닥</t>
        </is>
      </c>
      <c r="D5279" s="2" t="inlineStr">
        <is>
          <t>080530</t>
        </is>
      </c>
      <c r="E5279" s="3" t="inlineStr">
        <is>
          <t xml:space="preserve">주식병합결정              </t>
        </is>
      </c>
      <c r="F5279" s="3" t="inlineStr">
        <is>
          <t>코디</t>
        </is>
      </c>
      <c r="G5279" s="2" t="inlineStr">
        <is>
          <t>20260312900655</t>
        </is>
      </c>
      <c r="H5279" s="8">
        <f>HYPERLINK("https://dart.fss.or.kr/dsaf001/main.do?rcpNo=20260312900655", "공시열람")</f>
        <v/>
      </c>
    </row>
    <row r="5280">
      <c r="A5280" s="2" t="inlineStr">
        <is>
          <t>2026-03-12</t>
        </is>
      </c>
      <c r="B5280" s="3" t="inlineStr">
        <is>
          <t>동인기연</t>
        </is>
      </c>
      <c r="C5280" s="2" t="inlineStr">
        <is>
          <t>코스피</t>
        </is>
      </c>
      <c r="D5280" s="2" t="inlineStr">
        <is>
          <t>111380</t>
        </is>
      </c>
      <c r="E5280" s="3" t="inlineStr">
        <is>
          <t xml:space="preserve">현금ㆍ현물배당결정              </t>
        </is>
      </c>
      <c r="F5280" s="3" t="inlineStr">
        <is>
          <t>동인기연</t>
        </is>
      </c>
      <c r="G5280" s="2" t="inlineStr">
        <is>
          <t>20260312800595</t>
        </is>
      </c>
      <c r="H5280" s="8">
        <f>HYPERLINK("https://dart.fss.or.kr/dsaf001/main.do?rcpNo=20260312800595", "공시열람")</f>
        <v/>
      </c>
    </row>
    <row r="5281">
      <c r="A5281" s="2" t="inlineStr">
        <is>
          <t>2026-03-12</t>
        </is>
      </c>
      <c r="B5281" s="3" t="inlineStr">
        <is>
          <t>세진티에스</t>
        </is>
      </c>
      <c r="C5281" s="2" t="inlineStr">
        <is>
          <t>코스닥</t>
        </is>
      </c>
      <c r="D5281" s="2" t="inlineStr">
        <is>
          <t>067770</t>
        </is>
      </c>
      <c r="E5281" s="3" t="inlineStr">
        <is>
          <t xml:space="preserve">감사보고서제출              </t>
        </is>
      </c>
      <c r="F5281" s="3" t="inlineStr">
        <is>
          <t>세진티에스</t>
        </is>
      </c>
      <c r="G5281" s="2" t="inlineStr">
        <is>
          <t>20260312900513</t>
        </is>
      </c>
      <c r="H5281" s="8">
        <f>HYPERLINK("https://dart.fss.or.kr/dsaf001/main.do?rcpNo=20260312900513", "공시열람")</f>
        <v/>
      </c>
    </row>
    <row r="5282">
      <c r="A5282" s="2" t="inlineStr">
        <is>
          <t>2026-03-12</t>
        </is>
      </c>
      <c r="B5282" s="3" t="inlineStr">
        <is>
          <t>바이오플러스</t>
        </is>
      </c>
      <c r="C5282" s="2" t="inlineStr">
        <is>
          <t>코스닥</t>
        </is>
      </c>
      <c r="D5282" s="2" t="inlineStr">
        <is>
          <t>099430</t>
        </is>
      </c>
      <c r="E5282" s="3" t="inlineStr">
        <is>
          <t>의결권대리행사권유참고서류</t>
        </is>
      </c>
      <c r="F5282" s="3" t="inlineStr">
        <is>
          <t>바이오플러스</t>
        </is>
      </c>
      <c r="G5282" s="2" t="inlineStr">
        <is>
          <t>20260312000473</t>
        </is>
      </c>
      <c r="H5282" s="8">
        <f>HYPERLINK("https://dart.fss.or.kr/dsaf001/main.do?rcpNo=20260312000473", "공시열람")</f>
        <v/>
      </c>
    </row>
    <row r="5283">
      <c r="A5283" s="2" t="inlineStr">
        <is>
          <t>2026-03-12</t>
        </is>
      </c>
      <c r="B5283" s="3" t="inlineStr">
        <is>
          <t>신영증권</t>
        </is>
      </c>
      <c r="C5283" s="2" t="inlineStr">
        <is>
          <t>코스피</t>
        </is>
      </c>
      <c r="D5283" s="2" t="inlineStr">
        <is>
          <t>001720</t>
        </is>
      </c>
      <c r="E5283" s="3" t="inlineStr">
        <is>
          <t>일괄신고추가서류(파생결합증권-주가연계증권)</t>
        </is>
      </c>
      <c r="F5283" s="3" t="inlineStr">
        <is>
          <t>신영증권</t>
        </is>
      </c>
      <c r="G5283" s="2" t="inlineStr">
        <is>
          <t>20260312000467</t>
        </is>
      </c>
      <c r="H5283" s="8">
        <f>HYPERLINK("https://dart.fss.or.kr/dsaf001/main.do?rcpNo=20260312000467", "공시열람")</f>
        <v/>
      </c>
    </row>
    <row r="5284">
      <c r="A5284" s="2" t="inlineStr">
        <is>
          <t>2026-03-12</t>
        </is>
      </c>
      <c r="B5284" s="3" t="inlineStr">
        <is>
          <t>금강공업</t>
        </is>
      </c>
      <c r="C5284" s="2" t="inlineStr">
        <is>
          <t>코스피</t>
        </is>
      </c>
      <c r="D5284" s="2" t="inlineStr">
        <is>
          <t>014280</t>
        </is>
      </c>
      <c r="E5284" s="3" t="inlineStr">
        <is>
          <t xml:space="preserve">감사보고서제출              </t>
        </is>
      </c>
      <c r="F5284" s="3" t="inlineStr">
        <is>
          <t>금강공업</t>
        </is>
      </c>
      <c r="G5284" s="2" t="inlineStr">
        <is>
          <t>20260312800550</t>
        </is>
      </c>
      <c r="H5284" s="8">
        <f>HYPERLINK("https://dart.fss.or.kr/dsaf001/main.do?rcpNo=20260312800550", "공시열람")</f>
        <v/>
      </c>
    </row>
    <row r="5285">
      <c r="A5285" s="2" t="inlineStr">
        <is>
          <t>2026-03-12</t>
        </is>
      </c>
      <c r="B5285" s="3" t="inlineStr">
        <is>
          <t>상지건설</t>
        </is>
      </c>
      <c r="C5285" s="2" t="inlineStr">
        <is>
          <t>코스닥</t>
        </is>
      </c>
      <c r="D5285" s="2" t="inlineStr">
        <is>
          <t>042940</t>
        </is>
      </c>
      <c r="E5285" s="3" t="inlineStr">
        <is>
          <t xml:space="preserve">매출액또는손익구조30%(대규모법인은15%)이상변동              </t>
        </is>
      </c>
      <c r="F5285" s="3" t="inlineStr">
        <is>
          <t>상지건설</t>
        </is>
      </c>
      <c r="G5285" s="2" t="inlineStr">
        <is>
          <t>20260312900427</t>
        </is>
      </c>
      <c r="H5285" s="8">
        <f>HYPERLINK("https://dart.fss.or.kr/dsaf001/main.do?rcpNo=20260312900427", "공시열람")</f>
        <v/>
      </c>
    </row>
    <row r="5286">
      <c r="A5286" s="2" t="inlineStr">
        <is>
          <t>2026-03-12</t>
        </is>
      </c>
      <c r="B5286" s="3" t="inlineStr">
        <is>
          <t>대진첨단소재</t>
        </is>
      </c>
      <c r="C5286" s="2" t="inlineStr">
        <is>
          <t>코스닥</t>
        </is>
      </c>
      <c r="D5286" s="2" t="inlineStr">
        <is>
          <t>393970</t>
        </is>
      </c>
      <c r="E5286" s="3" t="inlineStr">
        <is>
          <t>임원ㆍ주요주주특정증권등소유상황보고서</t>
        </is>
      </c>
      <c r="F5286" s="3" t="inlineStr">
        <is>
          <t>곽윤창</t>
        </is>
      </c>
      <c r="G5286" s="2" t="inlineStr">
        <is>
          <t>20260312000457</t>
        </is>
      </c>
      <c r="H5286" s="8">
        <f>HYPERLINK("https://dart.fss.or.kr/dsaf001/main.do?rcpNo=20260312000457", "공시열람")</f>
        <v/>
      </c>
    </row>
    <row r="5287">
      <c r="A5287" s="2" t="inlineStr">
        <is>
          <t>2026-03-12</t>
        </is>
      </c>
      <c r="B5287" s="3" t="inlineStr">
        <is>
          <t>하이비젼시스템</t>
        </is>
      </c>
      <c r="C5287" s="2" t="inlineStr">
        <is>
          <t>코스닥</t>
        </is>
      </c>
      <c r="D5287" s="2" t="inlineStr">
        <is>
          <t>126700</t>
        </is>
      </c>
      <c r="E5287" s="3" t="inlineStr">
        <is>
          <t>수시공시의무관련사항(공정공시)              (주주가치 제고를 위한 자기주식 활용 계획)</t>
        </is>
      </c>
      <c r="F5287" s="3" t="inlineStr">
        <is>
          <t>하이비젼시스템</t>
        </is>
      </c>
      <c r="G5287" s="2" t="inlineStr">
        <is>
          <t>20260312900406</t>
        </is>
      </c>
      <c r="H5287" s="8">
        <f>HYPERLINK("https://dart.fss.or.kr/dsaf001/main.do?rcpNo=20260312900406", "공시열람")</f>
        <v/>
      </c>
    </row>
    <row r="5288">
      <c r="A5288" s="2" t="inlineStr">
        <is>
          <t>2026-03-12</t>
        </is>
      </c>
      <c r="B5288" s="3" t="inlineStr">
        <is>
          <t>SH에너지화학</t>
        </is>
      </c>
      <c r="C5288" s="2" t="inlineStr">
        <is>
          <t>코스피</t>
        </is>
      </c>
      <c r="D5288" s="2" t="inlineStr">
        <is>
          <t>002360</t>
        </is>
      </c>
      <c r="E5288" s="3" t="inlineStr">
        <is>
          <t>의결권대리행사권유참고서류</t>
        </is>
      </c>
      <c r="F5288" s="3" t="inlineStr">
        <is>
          <t>SH에너지화학</t>
        </is>
      </c>
      <c r="G5288" s="2" t="inlineStr">
        <is>
          <t>20260312000455</t>
        </is>
      </c>
      <c r="H5288" s="8">
        <f>HYPERLINK("https://dart.fss.or.kr/dsaf001/main.do?rcpNo=20260312000455", "공시열람")</f>
        <v/>
      </c>
    </row>
    <row r="5289">
      <c r="A5289" s="2" t="inlineStr">
        <is>
          <t>2026-03-12</t>
        </is>
      </c>
      <c r="B5289" s="3" t="inlineStr">
        <is>
          <t>유진스팩10호</t>
        </is>
      </c>
      <c r="C5289" s="2" t="inlineStr">
        <is>
          <t>코스닥</t>
        </is>
      </c>
      <c r="D5289" s="2" t="inlineStr">
        <is>
          <t>468760</t>
        </is>
      </c>
      <c r="E5289" s="3" t="inlineStr">
        <is>
          <t>의결권대리행사권유참고서류</t>
        </is>
      </c>
      <c r="F5289" s="3" t="inlineStr">
        <is>
          <t>유진스팩10호</t>
        </is>
      </c>
      <c r="G5289" s="2" t="inlineStr">
        <is>
          <t>20260312000454</t>
        </is>
      </c>
      <c r="H5289" s="8">
        <f>HYPERLINK("https://dart.fss.or.kr/dsaf001/main.do?rcpNo=20260312000454", "공시열람")</f>
        <v/>
      </c>
    </row>
    <row r="5290">
      <c r="A5290" s="2" t="inlineStr">
        <is>
          <t>2026-03-12</t>
        </is>
      </c>
      <c r="B5290" s="3" t="inlineStr">
        <is>
          <t>KEC</t>
        </is>
      </c>
      <c r="C5290" s="2" t="inlineStr">
        <is>
          <t>코스피</t>
        </is>
      </c>
      <c r="D5290" s="2" t="inlineStr">
        <is>
          <t>092220</t>
        </is>
      </c>
      <c r="E5290" s="3" t="inlineStr">
        <is>
          <t>의결권대리행사권유참고서류</t>
        </is>
      </c>
      <c r="F5290" s="3" t="inlineStr">
        <is>
          <t>KEC</t>
        </is>
      </c>
      <c r="G5290" s="2" t="inlineStr">
        <is>
          <t>20260312000452</t>
        </is>
      </c>
      <c r="H5290" s="8">
        <f>HYPERLINK("https://dart.fss.or.kr/dsaf001/main.do?rcpNo=20260312000452", "공시열람")</f>
        <v/>
      </c>
    </row>
    <row r="5291">
      <c r="A5291" s="2" t="inlineStr">
        <is>
          <t>2026-03-12</t>
        </is>
      </c>
      <c r="B5291" s="3" t="inlineStr">
        <is>
          <t>솔트룩스</t>
        </is>
      </c>
      <c r="C5291" s="2" t="inlineStr">
        <is>
          <t>코스닥</t>
        </is>
      </c>
      <c r="D5291" s="2" t="inlineStr">
        <is>
          <t>304100</t>
        </is>
      </c>
      <c r="E5291" s="3" t="inlineStr">
        <is>
          <t>의결권대리행사권유참고서류</t>
        </is>
      </c>
      <c r="F5291" s="3" t="inlineStr">
        <is>
          <t>솔트룩스</t>
        </is>
      </c>
      <c r="G5291" s="2" t="inlineStr">
        <is>
          <t>20260312000446</t>
        </is>
      </c>
      <c r="H5291" s="8">
        <f>HYPERLINK("https://dart.fss.or.kr/dsaf001/main.do?rcpNo=20260312000446", "공시열람")</f>
        <v/>
      </c>
    </row>
    <row r="5292">
      <c r="A5292" s="2" t="inlineStr">
        <is>
          <t>2026-03-12</t>
        </is>
      </c>
      <c r="B5292" s="3" t="inlineStr">
        <is>
          <t>고려제약</t>
        </is>
      </c>
      <c r="C5292" s="2" t="inlineStr">
        <is>
          <t>코스닥</t>
        </is>
      </c>
      <c r="D5292" s="2" t="inlineStr">
        <is>
          <t>014570</t>
        </is>
      </c>
      <c r="E5292" s="3" t="inlineStr">
        <is>
          <t xml:space="preserve">감사보고서제출              </t>
        </is>
      </c>
      <c r="F5292" s="3" t="inlineStr">
        <is>
          <t>고려제약</t>
        </is>
      </c>
      <c r="G5292" s="2" t="inlineStr">
        <is>
          <t>20260312900542</t>
        </is>
      </c>
      <c r="H5292" s="8">
        <f>HYPERLINK("https://dart.fss.or.kr/dsaf001/main.do?rcpNo=20260312900542", "공시열람")</f>
        <v/>
      </c>
    </row>
    <row r="5293">
      <c r="A5293" s="2" t="inlineStr">
        <is>
          <t>2026-03-12</t>
        </is>
      </c>
      <c r="B5293" s="3" t="inlineStr">
        <is>
          <t>이지스</t>
        </is>
      </c>
      <c r="C5293" s="2" t="inlineStr">
        <is>
          <t>코스닥</t>
        </is>
      </c>
      <c r="D5293" s="2" t="inlineStr">
        <is>
          <t>261520</t>
        </is>
      </c>
      <c r="E5293" s="3" t="inlineStr">
        <is>
          <t>임원ㆍ주요주주특정증권등소유상황보고서</t>
        </is>
      </c>
      <c r="F5293" s="3" t="inlineStr">
        <is>
          <t>박광목</t>
        </is>
      </c>
      <c r="G5293" s="2" t="inlineStr">
        <is>
          <t>20260312000445</t>
        </is>
      </c>
      <c r="H5293" s="8">
        <f>HYPERLINK("https://dart.fss.or.kr/dsaf001/main.do?rcpNo=20260312000445", "공시열람")</f>
        <v/>
      </c>
    </row>
    <row r="5294">
      <c r="A5294" s="2" t="inlineStr">
        <is>
          <t>2026-03-12 (정정: 2026-03-16)</t>
        </is>
      </c>
      <c r="B5294" s="3" t="inlineStr">
        <is>
          <t>경동인베스트</t>
        </is>
      </c>
      <c r="C5294" s="2" t="inlineStr">
        <is>
          <t>코스피</t>
        </is>
      </c>
      <c r="D5294" s="2" t="inlineStr">
        <is>
          <t>012320</t>
        </is>
      </c>
      <c r="E5294" s="3" t="inlineStr">
        <is>
          <t>현금ㆍ현물배당결정(자회사의 주요경영사항)               (정정: 20260316)</t>
        </is>
      </c>
      <c r="F5294" s="3" t="inlineStr">
        <is>
          <t>경동인베스트</t>
        </is>
      </c>
      <c r="G5294" s="2" t="inlineStr">
        <is>
          <t>20260316001390</t>
        </is>
      </c>
      <c r="H5294" s="8">
        <f>HYPERLINK("https://dart.fss.or.kr/dsaf001/main.do?rcpNo=20260316001390", "공시열람")</f>
        <v/>
      </c>
    </row>
    <row r="5295">
      <c r="A5295" s="2" t="inlineStr">
        <is>
          <t>2026-03-12</t>
        </is>
      </c>
      <c r="B5295" s="3" t="inlineStr">
        <is>
          <t>우리산업홀딩스</t>
        </is>
      </c>
      <c r="C5295" s="2" t="inlineStr">
        <is>
          <t>코스닥</t>
        </is>
      </c>
      <c r="D5295" s="2" t="inlineStr">
        <is>
          <t>072470</t>
        </is>
      </c>
      <c r="E5295" s="3" t="inlineStr">
        <is>
          <t>의결권대리행사권유참고서류</t>
        </is>
      </c>
      <c r="F5295" s="3" t="inlineStr">
        <is>
          <t>우리산업홀딩스</t>
        </is>
      </c>
      <c r="G5295" s="2" t="inlineStr">
        <is>
          <t>20260312000442</t>
        </is>
      </c>
      <c r="H5295" s="8">
        <f>HYPERLINK("https://dart.fss.or.kr/dsaf001/main.do?rcpNo=20260312000442", "공시열람")</f>
        <v/>
      </c>
    </row>
    <row r="5296">
      <c r="A5296" s="2" t="inlineStr">
        <is>
          <t>2026-03-12</t>
        </is>
      </c>
      <c r="B5296" s="3" t="inlineStr">
        <is>
          <t>부산주공</t>
        </is>
      </c>
      <c r="C5296" s="2" t="inlineStr">
        <is>
          <t>코스피</t>
        </is>
      </c>
      <c r="D5296" s="2" t="inlineStr">
        <is>
          <t>005030</t>
        </is>
      </c>
      <c r="E5296" s="3" t="inlineStr">
        <is>
          <t>의결권대리행사권유참고서류</t>
        </is>
      </c>
      <c r="F5296" s="3" t="inlineStr">
        <is>
          <t>부산주공</t>
        </is>
      </c>
      <c r="G5296" s="2" t="inlineStr">
        <is>
          <t>20260312000433</t>
        </is>
      </c>
      <c r="H5296" s="8">
        <f>HYPERLINK("https://dart.fss.or.kr/dsaf001/main.do?rcpNo=20260312000433", "공시열람")</f>
        <v/>
      </c>
    </row>
    <row r="5297">
      <c r="A5297" s="2" t="inlineStr">
        <is>
          <t>2026-03-12</t>
        </is>
      </c>
      <c r="B5297" s="3" t="inlineStr">
        <is>
          <t>SK오션플랜트</t>
        </is>
      </c>
      <c r="C5297" s="2" t="inlineStr">
        <is>
          <t>코스피</t>
        </is>
      </c>
      <c r="D5297" s="2" t="inlineStr">
        <is>
          <t>100090</t>
        </is>
      </c>
      <c r="E5297" s="3" t="inlineStr">
        <is>
          <t>의결권대리행사권유참고서류</t>
        </is>
      </c>
      <c r="F5297" s="3" t="inlineStr">
        <is>
          <t>SK오션플랜트</t>
        </is>
      </c>
      <c r="G5297" s="2" t="inlineStr">
        <is>
          <t>20260312000430</t>
        </is>
      </c>
      <c r="H5297" s="8">
        <f>HYPERLINK("https://dart.fss.or.kr/dsaf001/main.do?rcpNo=20260312000430", "공시열람")</f>
        <v/>
      </c>
    </row>
    <row r="5298">
      <c r="A5298" s="2" t="inlineStr">
        <is>
          <t>2026-03-12</t>
        </is>
      </c>
      <c r="B5298" s="3" t="inlineStr">
        <is>
          <t>대화제약</t>
        </is>
      </c>
      <c r="C5298" s="2" t="inlineStr">
        <is>
          <t>코스닥</t>
        </is>
      </c>
      <c r="D5298" s="2" t="inlineStr">
        <is>
          <t>067080</t>
        </is>
      </c>
      <c r="E5298" s="3" t="inlineStr">
        <is>
          <t>임원ㆍ주요주주특정증권등소유상황보고서</t>
        </is>
      </c>
      <c r="F5298" s="3" t="inlineStr">
        <is>
          <t>김은석</t>
        </is>
      </c>
      <c r="G5298" s="2" t="inlineStr">
        <is>
          <t>20260312000426</t>
        </is>
      </c>
      <c r="H5298" s="8">
        <f>HYPERLINK("https://dart.fss.or.kr/dsaf001/main.do?rcpNo=20260312000426", "공시열람")</f>
        <v/>
      </c>
    </row>
    <row r="5299">
      <c r="A5299" s="2" t="inlineStr">
        <is>
          <t>2026-03-12</t>
        </is>
      </c>
      <c r="B5299" s="3" t="inlineStr">
        <is>
          <t>육일씨엔에쓰</t>
        </is>
      </c>
      <c r="C5299" s="2" t="inlineStr">
        <is>
          <t>코스닥</t>
        </is>
      </c>
      <c r="D5299" s="2" t="inlineStr">
        <is>
          <t>191410</t>
        </is>
      </c>
      <c r="E5299" s="3" t="inlineStr">
        <is>
          <t xml:space="preserve">매출액또는손익구조30%(대규모법인은15%)이상변동              </t>
        </is>
      </c>
      <c r="F5299" s="3" t="inlineStr">
        <is>
          <t>육일씨엔에쓰</t>
        </is>
      </c>
      <c r="G5299" s="2" t="inlineStr">
        <is>
          <t>20260312900526</t>
        </is>
      </c>
      <c r="H5299" s="8">
        <f>HYPERLINK("https://dart.fss.or.kr/dsaf001/main.do?rcpNo=20260312900526", "공시열람")</f>
        <v/>
      </c>
    </row>
    <row r="5300">
      <c r="A5300" s="2" t="inlineStr">
        <is>
          <t>2026-03-12</t>
        </is>
      </c>
      <c r="B5300" s="3" t="inlineStr">
        <is>
          <t>인텔리안테크</t>
        </is>
      </c>
      <c r="C5300" s="2" t="inlineStr">
        <is>
          <t>코스닥</t>
        </is>
      </c>
      <c r="D5300" s="2" t="inlineStr">
        <is>
          <t>189300</t>
        </is>
      </c>
      <c r="E5300" s="3" t="inlineStr">
        <is>
          <t>의결권대리행사권유참고서류</t>
        </is>
      </c>
      <c r="F5300" s="3" t="inlineStr">
        <is>
          <t>인텔리안테크</t>
        </is>
      </c>
      <c r="G5300" s="2" t="inlineStr">
        <is>
          <t>20260312000425</t>
        </is>
      </c>
      <c r="H5300" s="8">
        <f>HYPERLINK("https://dart.fss.or.kr/dsaf001/main.do?rcpNo=20260312000425", "공시열람")</f>
        <v/>
      </c>
    </row>
    <row r="5301">
      <c r="A5301" s="2" t="inlineStr">
        <is>
          <t>2026-03-12</t>
        </is>
      </c>
      <c r="B5301" s="3" t="inlineStr">
        <is>
          <t>아이패밀리에스씨</t>
        </is>
      </c>
      <c r="C5301" s="2" t="inlineStr">
        <is>
          <t>코스닥</t>
        </is>
      </c>
      <c r="D5301" s="2" t="inlineStr">
        <is>
          <t>114840</t>
        </is>
      </c>
      <c r="E5301" s="3" t="inlineStr">
        <is>
          <t>의결권대리행사권유참고서류</t>
        </is>
      </c>
      <c r="F5301" s="3" t="inlineStr">
        <is>
          <t>아이패밀리에스씨</t>
        </is>
      </c>
      <c r="G5301" s="2" t="inlineStr">
        <is>
          <t>20260312000422</t>
        </is>
      </c>
      <c r="H5301" s="8">
        <f>HYPERLINK("https://dart.fss.or.kr/dsaf001/main.do?rcpNo=20260312000422", "공시열람")</f>
        <v/>
      </c>
    </row>
    <row r="5302">
      <c r="A5302" s="2" t="inlineStr">
        <is>
          <t>2026-03-12</t>
        </is>
      </c>
      <c r="B5302" s="3" t="inlineStr">
        <is>
          <t>씨씨에스</t>
        </is>
      </c>
      <c r="C5302" s="2" t="inlineStr">
        <is>
          <t>코스닥</t>
        </is>
      </c>
      <c r="D5302" s="2" t="inlineStr">
        <is>
          <t>066790</t>
        </is>
      </c>
      <c r="E5302" s="3" t="inlineStr">
        <is>
          <t>기타경영사항(자율공시)              (최대주주 등의 보유주식 가압류 이의결정에 대한 즉시항고 취하의 건)</t>
        </is>
      </c>
      <c r="F5302" s="3" t="inlineStr">
        <is>
          <t>씨씨에스</t>
        </is>
      </c>
      <c r="G5302" s="2" t="inlineStr">
        <is>
          <t>20260312900527</t>
        </is>
      </c>
      <c r="H5302" s="8">
        <f>HYPERLINK("https://dart.fss.or.kr/dsaf001/main.do?rcpNo=20260312900527", "공시열람")</f>
        <v/>
      </c>
    </row>
    <row r="5303">
      <c r="A5303" s="2" t="inlineStr">
        <is>
          <t>2026-03-12</t>
        </is>
      </c>
      <c r="B5303" s="3" t="inlineStr">
        <is>
          <t>비보존 제약</t>
        </is>
      </c>
      <c r="C5303" s="2" t="inlineStr">
        <is>
          <t>코스닥</t>
        </is>
      </c>
      <c r="D5303" s="2" t="inlineStr">
        <is>
          <t>082800</t>
        </is>
      </c>
      <c r="E5303" s="3" t="inlineStr">
        <is>
          <t>임원ㆍ주요주주특정증권등소유상황보고서</t>
        </is>
      </c>
      <c r="F5303" s="3" t="inlineStr">
        <is>
          <t>이현민</t>
        </is>
      </c>
      <c r="G5303" s="2" t="inlineStr">
        <is>
          <t>20260312000416</t>
        </is>
      </c>
      <c r="H5303" s="8">
        <f>HYPERLINK("https://dart.fss.or.kr/dsaf001/main.do?rcpNo=20260312000416", "공시열람")</f>
        <v/>
      </c>
    </row>
    <row r="5304">
      <c r="A5304" s="2" t="inlineStr">
        <is>
          <t>2026-03-12</t>
        </is>
      </c>
      <c r="B5304" s="3" t="inlineStr">
        <is>
          <t>SK오션플랜트</t>
        </is>
      </c>
      <c r="C5304" s="2" t="inlineStr">
        <is>
          <t>코스피</t>
        </is>
      </c>
      <c r="D5304" s="2" t="inlineStr">
        <is>
          <t>100090</t>
        </is>
      </c>
      <c r="E5304" s="3" t="inlineStr">
        <is>
          <t xml:space="preserve">감사보고서제출              </t>
        </is>
      </c>
      <c r="F5304" s="3" t="inlineStr">
        <is>
          <t>SK오션플랜트</t>
        </is>
      </c>
      <c r="G5304" s="2" t="inlineStr">
        <is>
          <t>20260312800494</t>
        </is>
      </c>
      <c r="H5304" s="8">
        <f>HYPERLINK("https://dart.fss.or.kr/dsaf001/main.do?rcpNo=20260312800494", "공시열람")</f>
        <v/>
      </c>
    </row>
    <row r="5305">
      <c r="A5305" s="2" t="inlineStr">
        <is>
          <t>2026-03-12</t>
        </is>
      </c>
      <c r="B5305" s="3" t="inlineStr">
        <is>
          <t>미래에셋비전스팩7호</t>
        </is>
      </c>
      <c r="C5305" s="2" t="inlineStr">
        <is>
          <t>코스닥</t>
        </is>
      </c>
      <c r="D5305" s="2" t="inlineStr">
        <is>
          <t>482680</t>
        </is>
      </c>
      <c r="E5305" s="3" t="inlineStr">
        <is>
          <t xml:space="preserve">감사보고서제출              </t>
        </is>
      </c>
      <c r="F5305" s="3" t="inlineStr">
        <is>
          <t>미래에셋비전스팩7호</t>
        </is>
      </c>
      <c r="G5305" s="2" t="inlineStr">
        <is>
          <t>20260312900512</t>
        </is>
      </c>
      <c r="H5305" s="8">
        <f>HYPERLINK("https://dart.fss.or.kr/dsaf001/main.do?rcpNo=20260312900512", "공시열람")</f>
        <v/>
      </c>
    </row>
    <row r="5306">
      <c r="A5306" s="2" t="inlineStr">
        <is>
          <t>2026-03-12 (정정: 2026-03-23)</t>
        </is>
      </c>
      <c r="B5306" s="3" t="inlineStr">
        <is>
          <t>한국쉘석유</t>
        </is>
      </c>
      <c r="C5306" s="2" t="inlineStr">
        <is>
          <t>코스피</t>
        </is>
      </c>
      <c r="D5306" s="2" t="inlineStr">
        <is>
          <t>002960</t>
        </is>
      </c>
      <c r="E5306" s="3" t="inlineStr">
        <is>
          <t>의결권대리행사권유참고서류 (정정: 20260323)</t>
        </is>
      </c>
      <c r="F5306" s="3" t="inlineStr">
        <is>
          <t>한국쉘석유</t>
        </is>
      </c>
      <c r="G5306" s="2" t="inlineStr">
        <is>
          <t>20260320001373</t>
        </is>
      </c>
      <c r="H5306" s="8">
        <f>HYPERLINK("https://dart.fss.or.kr/dsaf001/main.do?rcpNo=20260320001373", "공시열람")</f>
        <v/>
      </c>
    </row>
    <row r="5307">
      <c r="A5307" s="2" t="inlineStr">
        <is>
          <t>2026-03-12</t>
        </is>
      </c>
      <c r="B5307" s="3" t="inlineStr">
        <is>
          <t>감성코퍼레이션</t>
        </is>
      </c>
      <c r="C5307" s="2" t="inlineStr">
        <is>
          <t>코스닥</t>
        </is>
      </c>
      <c r="D5307" s="2" t="inlineStr">
        <is>
          <t>036620</t>
        </is>
      </c>
      <c r="E5307" s="3" t="inlineStr">
        <is>
          <t xml:space="preserve">중간(분기)배당을위한주주명부폐쇄(기준일)결정              </t>
        </is>
      </c>
      <c r="F5307" s="3" t="inlineStr">
        <is>
          <t>감성코퍼레이션</t>
        </is>
      </c>
      <c r="G5307" s="2" t="inlineStr">
        <is>
          <t>20260312900534</t>
        </is>
      </c>
      <c r="H5307" s="8">
        <f>HYPERLINK("https://dart.fss.or.kr/dsaf001/main.do?rcpNo=20260312900534", "공시열람")</f>
        <v/>
      </c>
    </row>
    <row r="5308">
      <c r="A5308" s="2" t="inlineStr">
        <is>
          <t>2026-03-12</t>
        </is>
      </c>
      <c r="B5308" s="3" t="inlineStr">
        <is>
          <t>바스칸바이오제약</t>
        </is>
      </c>
      <c r="C5308" s="2" t="inlineStr">
        <is>
          <t>코넥스</t>
        </is>
      </c>
      <c r="D5308" s="2" t="inlineStr">
        <is>
          <t>354390</t>
        </is>
      </c>
      <c r="E5308" s="3" t="inlineStr">
        <is>
          <t xml:space="preserve">감사보고서제출              </t>
        </is>
      </c>
      <c r="F5308" s="3" t="inlineStr">
        <is>
          <t>바스칸바이오제약</t>
        </is>
      </c>
      <c r="G5308" s="2" t="inlineStr">
        <is>
          <t>20260312600478</t>
        </is>
      </c>
      <c r="H5308" s="8">
        <f>HYPERLINK("https://dart.fss.or.kr/dsaf001/main.do?rcpNo=20260312600478", "공시열람")</f>
        <v/>
      </c>
    </row>
    <row r="5309">
      <c r="A5309" s="2" t="inlineStr">
        <is>
          <t>2026-03-12</t>
        </is>
      </c>
      <c r="B5309" s="3" t="inlineStr">
        <is>
          <t>제닉스로보틱스</t>
        </is>
      </c>
      <c r="C5309" s="2" t="inlineStr">
        <is>
          <t>코스닥</t>
        </is>
      </c>
      <c r="D5309" s="2" t="inlineStr">
        <is>
          <t>381620</t>
        </is>
      </c>
      <c r="E5309" s="3" t="inlineStr">
        <is>
          <t xml:space="preserve">감사보고서제출              </t>
        </is>
      </c>
      <c r="F5309" s="3" t="inlineStr">
        <is>
          <t>제닉스로보틱스</t>
        </is>
      </c>
      <c r="G5309" s="2" t="inlineStr">
        <is>
          <t>20260312900465</t>
        </is>
      </c>
      <c r="H5309" s="8">
        <f>HYPERLINK("https://dart.fss.or.kr/dsaf001/main.do?rcpNo=20260312900465", "공시열람")</f>
        <v/>
      </c>
    </row>
    <row r="5310">
      <c r="A5310" s="2" t="inlineStr">
        <is>
          <t>2026-03-12</t>
        </is>
      </c>
      <c r="B5310" s="3" t="inlineStr">
        <is>
          <t>우리산업홀딩스</t>
        </is>
      </c>
      <c r="C5310" s="2" t="inlineStr">
        <is>
          <t>코스닥</t>
        </is>
      </c>
      <c r="D5310" s="2" t="inlineStr">
        <is>
          <t>072470</t>
        </is>
      </c>
      <c r="E5310" s="3" t="inlineStr">
        <is>
          <t xml:space="preserve">현금ㆍ현물배당결정(자회사의 주요경영사항)              </t>
        </is>
      </c>
      <c r="F5310" s="3" t="inlineStr">
        <is>
          <t>우리산업홀딩스</t>
        </is>
      </c>
      <c r="G5310" s="2" t="inlineStr">
        <is>
          <t>20260312900457</t>
        </is>
      </c>
      <c r="H5310" s="8">
        <f>HYPERLINK("https://dart.fss.or.kr/dsaf001/main.do?rcpNo=20260312900457", "공시열람")</f>
        <v/>
      </c>
    </row>
    <row r="5311">
      <c r="A5311" s="2" t="inlineStr">
        <is>
          <t>2026-03-12</t>
        </is>
      </c>
      <c r="B5311" s="3" t="inlineStr">
        <is>
          <t>우리산업홀딩스</t>
        </is>
      </c>
      <c r="C5311" s="2" t="inlineStr">
        <is>
          <t>코스닥</t>
        </is>
      </c>
      <c r="D5311" s="2" t="inlineStr">
        <is>
          <t>072470</t>
        </is>
      </c>
      <c r="E5311" s="3" t="inlineStr">
        <is>
          <t xml:space="preserve">현금ㆍ현물배당결정              </t>
        </is>
      </c>
      <c r="F5311" s="3" t="inlineStr">
        <is>
          <t>우리산업홀딩스</t>
        </is>
      </c>
      <c r="G5311" s="2" t="inlineStr">
        <is>
          <t>20260312900441</t>
        </is>
      </c>
      <c r="H5311" s="8">
        <f>HYPERLINK("https://dart.fss.or.kr/dsaf001/main.do?rcpNo=20260312900441", "공시열람")</f>
        <v/>
      </c>
    </row>
    <row r="5312">
      <c r="A5312" s="2" t="inlineStr">
        <is>
          <t>2026-03-12</t>
        </is>
      </c>
      <c r="B5312" s="3" t="inlineStr">
        <is>
          <t>이월드</t>
        </is>
      </c>
      <c r="C5312" s="2" t="inlineStr">
        <is>
          <t>코스피</t>
        </is>
      </c>
      <c r="D5312" s="2" t="inlineStr">
        <is>
          <t>084680</t>
        </is>
      </c>
      <c r="E5312" s="3" t="inlineStr">
        <is>
          <t xml:space="preserve">감사보고서제출              </t>
        </is>
      </c>
      <c r="F5312" s="3" t="inlineStr">
        <is>
          <t>이월드</t>
        </is>
      </c>
      <c r="G5312" s="2" t="inlineStr">
        <is>
          <t>20260312800469</t>
        </is>
      </c>
      <c r="H5312" s="8">
        <f>HYPERLINK("https://dart.fss.or.kr/dsaf001/main.do?rcpNo=20260312800469", "공시열람")</f>
        <v/>
      </c>
    </row>
    <row r="5313">
      <c r="A5313" s="2" t="inlineStr">
        <is>
          <t>2026-03-12</t>
        </is>
      </c>
      <c r="B5313" s="3" t="inlineStr">
        <is>
          <t>케이뱅크</t>
        </is>
      </c>
      <c r="C5313" s="2" t="inlineStr">
        <is>
          <t>코스피</t>
        </is>
      </c>
      <c r="D5313" s="2" t="inlineStr">
        <is>
          <t>279570</t>
        </is>
      </c>
      <c r="E5313" s="3" t="inlineStr">
        <is>
          <t>임원ㆍ주요주주특정증권등소유상황보고서</t>
        </is>
      </c>
      <c r="F5313" s="3" t="inlineStr">
        <is>
          <t>김재성</t>
        </is>
      </c>
      <c r="G5313" s="2" t="inlineStr">
        <is>
          <t>20260312000389</t>
        </is>
      </c>
      <c r="H5313" s="8">
        <f>HYPERLINK("https://dart.fss.or.kr/dsaf001/main.do?rcpNo=20260312000389", "공시열람")</f>
        <v/>
      </c>
    </row>
    <row r="5314">
      <c r="A5314" s="2" t="inlineStr">
        <is>
          <t>2026-03-12</t>
        </is>
      </c>
      <c r="B5314" s="3" t="inlineStr">
        <is>
          <t>우리산업</t>
        </is>
      </c>
      <c r="C5314" s="2" t="inlineStr">
        <is>
          <t>코스닥</t>
        </is>
      </c>
      <c r="D5314" s="2" t="inlineStr">
        <is>
          <t>215360</t>
        </is>
      </c>
      <c r="E5314" s="3" t="inlineStr">
        <is>
          <t>의결권대리행사권유참고서류</t>
        </is>
      </c>
      <c r="F5314" s="3" t="inlineStr">
        <is>
          <t>우리산업</t>
        </is>
      </c>
      <c r="G5314" s="2" t="inlineStr">
        <is>
          <t>20260312000384</t>
        </is>
      </c>
      <c r="H5314" s="8">
        <f>HYPERLINK("https://dart.fss.or.kr/dsaf001/main.do?rcpNo=20260312000384", "공시열람")</f>
        <v/>
      </c>
    </row>
    <row r="5315">
      <c r="A5315" s="2" t="inlineStr">
        <is>
          <t>2026-03-12</t>
        </is>
      </c>
      <c r="B5315" s="3" t="inlineStr">
        <is>
          <t>큐로셀</t>
        </is>
      </c>
      <c r="C5315" s="2" t="inlineStr">
        <is>
          <t>코스닥</t>
        </is>
      </c>
      <c r="D5315" s="2" t="inlineStr">
        <is>
          <t>372320</t>
        </is>
      </c>
      <c r="E5315" s="3" t="inlineStr">
        <is>
          <t xml:space="preserve">파생상품거래손실발생              </t>
        </is>
      </c>
      <c r="F5315" s="3" t="inlineStr">
        <is>
          <t>큐로셀</t>
        </is>
      </c>
      <c r="G5315" s="2" t="inlineStr">
        <is>
          <t>20260312900413</t>
        </is>
      </c>
      <c r="H5315" s="8">
        <f>HYPERLINK("https://dart.fss.or.kr/dsaf001/main.do?rcpNo=20260312900413", "공시열람")</f>
        <v/>
      </c>
    </row>
    <row r="5316">
      <c r="A5316" s="2" t="inlineStr">
        <is>
          <t>2026-03-12</t>
        </is>
      </c>
      <c r="B5316" s="3" t="inlineStr">
        <is>
          <t>미원상사</t>
        </is>
      </c>
      <c r="C5316" s="2" t="inlineStr">
        <is>
          <t>코스피</t>
        </is>
      </c>
      <c r="D5316" s="2" t="inlineStr">
        <is>
          <t>002840</t>
        </is>
      </c>
      <c r="E5316" s="3" t="inlineStr">
        <is>
          <t>임원ㆍ주요주주특정증권등소유상황보고서</t>
        </is>
      </c>
      <c r="F5316" s="3" t="inlineStr">
        <is>
          <t>미원상사우리사주</t>
        </is>
      </c>
      <c r="G5316" s="2" t="inlineStr">
        <is>
          <t>20260312000382</t>
        </is>
      </c>
      <c r="H5316" s="8">
        <f>HYPERLINK("https://dart.fss.or.kr/dsaf001/main.do?rcpNo=20260312000382", "공시열람")</f>
        <v/>
      </c>
    </row>
    <row r="5317">
      <c r="A5317" s="2" t="inlineStr">
        <is>
          <t>2026-03-12</t>
        </is>
      </c>
      <c r="B5317" s="3" t="inlineStr">
        <is>
          <t>자람테크놀로지</t>
        </is>
      </c>
      <c r="C5317" s="2" t="inlineStr">
        <is>
          <t>코스닥</t>
        </is>
      </c>
      <c r="D5317" s="2" t="inlineStr">
        <is>
          <t>389020</t>
        </is>
      </c>
      <c r="E5317" s="3" t="inlineStr">
        <is>
          <t xml:space="preserve">감사보고서제출              </t>
        </is>
      </c>
      <c r="F5317" s="3" t="inlineStr">
        <is>
          <t>자람테크놀로지</t>
        </is>
      </c>
      <c r="G5317" s="2" t="inlineStr">
        <is>
          <t>20260312900466</t>
        </is>
      </c>
      <c r="H5317" s="8">
        <f>HYPERLINK("https://dart.fss.or.kr/dsaf001/main.do?rcpNo=20260312900466", "공시열람")</f>
        <v/>
      </c>
    </row>
    <row r="5318">
      <c r="A5318" s="2" t="inlineStr">
        <is>
          <t>2026-03-12</t>
        </is>
      </c>
      <c r="B5318" s="3" t="inlineStr">
        <is>
          <t>에스에너지</t>
        </is>
      </c>
      <c r="C5318" s="2" t="inlineStr">
        <is>
          <t>코스닥</t>
        </is>
      </c>
      <c r="D5318" s="2" t="inlineStr">
        <is>
          <t>095910</t>
        </is>
      </c>
      <c r="E5318" s="3" t="inlineStr">
        <is>
          <t>증권발행실적보고서</t>
        </is>
      </c>
      <c r="F5318" s="3" t="inlineStr">
        <is>
          <t>에스에너지</t>
        </is>
      </c>
      <c r="G5318" s="2" t="inlineStr">
        <is>
          <t>20260312000380</t>
        </is>
      </c>
      <c r="H5318" s="8">
        <f>HYPERLINK("https://dart.fss.or.kr/dsaf001/main.do?rcpNo=20260312000380", "공시열람")</f>
        <v/>
      </c>
    </row>
    <row r="5319">
      <c r="A5319" s="2" t="inlineStr">
        <is>
          <t>2026-03-12</t>
        </is>
      </c>
      <c r="B5319" s="3" t="inlineStr">
        <is>
          <t>스튜디오삼익</t>
        </is>
      </c>
      <c r="C5319" s="2" t="inlineStr">
        <is>
          <t>코스닥</t>
        </is>
      </c>
      <c r="D5319" s="2" t="inlineStr">
        <is>
          <t>415380</t>
        </is>
      </c>
      <c r="E5319" s="3" t="inlineStr">
        <is>
          <t xml:space="preserve">현금ㆍ현물배당결정              </t>
        </is>
      </c>
      <c r="F5319" s="3" t="inlineStr">
        <is>
          <t>스튜디오삼익</t>
        </is>
      </c>
      <c r="G5319" s="2" t="inlineStr">
        <is>
          <t>20260312900423</t>
        </is>
      </c>
      <c r="H5319" s="8">
        <f>HYPERLINK("https://dart.fss.or.kr/dsaf001/main.do?rcpNo=20260312900423", "공시열람")</f>
        <v/>
      </c>
    </row>
    <row r="5320">
      <c r="A5320" s="2" t="inlineStr">
        <is>
          <t>2026-03-12</t>
        </is>
      </c>
      <c r="B5320" s="3" t="inlineStr">
        <is>
          <t>STX그린로지스</t>
        </is>
      </c>
      <c r="C5320" s="2" t="inlineStr">
        <is>
          <t>코스피</t>
        </is>
      </c>
      <c r="D5320" s="2" t="inlineStr">
        <is>
          <t>465770</t>
        </is>
      </c>
      <c r="E5320" s="3" t="inlineStr">
        <is>
          <t>의결권대리행사권유참고서류</t>
        </is>
      </c>
      <c r="F5320" s="3" t="inlineStr">
        <is>
          <t>STX그린로지스</t>
        </is>
      </c>
      <c r="G5320" s="2" t="inlineStr">
        <is>
          <t>20260312000376</t>
        </is>
      </c>
      <c r="H5320" s="8">
        <f>HYPERLINK("https://dart.fss.or.kr/dsaf001/main.do?rcpNo=20260312000376", "공시열람")</f>
        <v/>
      </c>
    </row>
    <row r="5321">
      <c r="A5321" s="2" t="inlineStr">
        <is>
          <t>2026-03-12</t>
        </is>
      </c>
      <c r="B5321" s="3" t="inlineStr">
        <is>
          <t>우원개발</t>
        </is>
      </c>
      <c r="C5321" s="2" t="inlineStr">
        <is>
          <t>코스닥</t>
        </is>
      </c>
      <c r="D5321" s="2" t="inlineStr">
        <is>
          <t>046940</t>
        </is>
      </c>
      <c r="E5321" s="3" t="inlineStr">
        <is>
          <t>의결권대리행사권유참고서류</t>
        </is>
      </c>
      <c r="F5321" s="3" t="inlineStr">
        <is>
          <t>우원개발</t>
        </is>
      </c>
      <c r="G5321" s="2" t="inlineStr">
        <is>
          <t>20260312000375</t>
        </is>
      </c>
      <c r="H5321" s="8">
        <f>HYPERLINK("https://dart.fss.or.kr/dsaf001/main.do?rcpNo=20260312000375", "공시열람")</f>
        <v/>
      </c>
    </row>
    <row r="5322">
      <c r="A5322" s="2" t="inlineStr">
        <is>
          <t>2026-03-12</t>
        </is>
      </c>
      <c r="B5322" s="3" t="inlineStr">
        <is>
          <t>케이뱅크</t>
        </is>
      </c>
      <c r="C5322" s="2" t="inlineStr">
        <is>
          <t>코스피</t>
        </is>
      </c>
      <c r="D5322" s="2" t="inlineStr">
        <is>
          <t>279570</t>
        </is>
      </c>
      <c r="E5322" s="3" t="inlineStr">
        <is>
          <t>임원ㆍ주요주주특정증권등소유상황보고서</t>
        </is>
      </c>
      <c r="F5322" s="3" t="inlineStr">
        <is>
          <t>양영태</t>
        </is>
      </c>
      <c r="G5322" s="2" t="inlineStr">
        <is>
          <t>20260312000373</t>
        </is>
      </c>
      <c r="H5322" s="8">
        <f>HYPERLINK("https://dart.fss.or.kr/dsaf001/main.do?rcpNo=20260312000373", "공시열람")</f>
        <v/>
      </c>
    </row>
    <row r="5323">
      <c r="A5323" s="2" t="inlineStr">
        <is>
          <t>2026-03-12</t>
        </is>
      </c>
      <c r="B5323" s="3" t="inlineStr">
        <is>
          <t>선바이오</t>
        </is>
      </c>
      <c r="C5323" s="2" t="inlineStr">
        <is>
          <t>코스닥</t>
        </is>
      </c>
      <c r="D5323" s="2" t="inlineStr">
        <is>
          <t>067370</t>
        </is>
      </c>
      <c r="E5323" s="3" t="inlineStr">
        <is>
          <t xml:space="preserve">감사보고서제출              </t>
        </is>
      </c>
      <c r="F5323" s="3" t="inlineStr">
        <is>
          <t>선바이오</t>
        </is>
      </c>
      <c r="G5323" s="2" t="inlineStr">
        <is>
          <t>20260312900426</t>
        </is>
      </c>
      <c r="H5323" s="8">
        <f>HYPERLINK("https://dart.fss.or.kr/dsaf001/main.do?rcpNo=20260312900426", "공시열람")</f>
        <v/>
      </c>
    </row>
    <row r="5324">
      <c r="A5324" s="2" t="inlineStr">
        <is>
          <t>2026-03-12</t>
        </is>
      </c>
      <c r="B5324" s="3" t="inlineStr">
        <is>
          <t>에스에너지</t>
        </is>
      </c>
      <c r="C5324" s="2" t="inlineStr">
        <is>
          <t>코스닥</t>
        </is>
      </c>
      <c r="D5324" s="2" t="inlineStr">
        <is>
          <t>095910</t>
        </is>
      </c>
      <c r="E5324" s="3" t="inlineStr">
        <is>
          <t xml:space="preserve">증권발행결과(자율공시)              </t>
        </is>
      </c>
      <c r="F5324" s="3" t="inlineStr">
        <is>
          <t>에스에너지</t>
        </is>
      </c>
      <c r="G5324" s="2" t="inlineStr">
        <is>
          <t>20260312900473</t>
        </is>
      </c>
      <c r="H5324" s="8">
        <f>HYPERLINK("https://dart.fss.or.kr/dsaf001/main.do?rcpNo=20260312900473", "공시열람")</f>
        <v/>
      </c>
    </row>
    <row r="5325">
      <c r="A5325" s="2" t="inlineStr">
        <is>
          <t>2026-03-12</t>
        </is>
      </c>
      <c r="B5325" s="3" t="inlineStr">
        <is>
          <t>한진중공업홀딩스</t>
        </is>
      </c>
      <c r="C5325" s="2" t="inlineStr">
        <is>
          <t>코스피</t>
        </is>
      </c>
      <c r="D5325" s="2" t="inlineStr">
        <is>
          <t>003480</t>
        </is>
      </c>
      <c r="E5325" s="3" t="inlineStr">
        <is>
          <t xml:space="preserve">감사보고서제출(자회사의 주요경영사항)              </t>
        </is>
      </c>
      <c r="F5325" s="3" t="inlineStr">
        <is>
          <t>한진중공업홀딩스</t>
        </is>
      </c>
      <c r="G5325" s="2" t="inlineStr">
        <is>
          <t>20260312800399</t>
        </is>
      </c>
      <c r="H5325" s="8">
        <f>HYPERLINK("https://dart.fss.or.kr/dsaf001/main.do?rcpNo=20260312800399", "공시열람")</f>
        <v/>
      </c>
    </row>
    <row r="5326">
      <c r="A5326" s="2" t="inlineStr">
        <is>
          <t>2026-03-12</t>
        </is>
      </c>
      <c r="B5326" s="3" t="inlineStr">
        <is>
          <t>우리산업</t>
        </is>
      </c>
      <c r="C5326" s="2" t="inlineStr">
        <is>
          <t>코스닥</t>
        </is>
      </c>
      <c r="D5326" s="2" t="inlineStr">
        <is>
          <t>215360</t>
        </is>
      </c>
      <c r="E5326" s="3" t="inlineStr">
        <is>
          <t xml:space="preserve">현금ㆍ현물배당결정              </t>
        </is>
      </c>
      <c r="F5326" s="3" t="inlineStr">
        <is>
          <t>우리산업</t>
        </is>
      </c>
      <c r="G5326" s="2" t="inlineStr">
        <is>
          <t>20260312900428</t>
        </is>
      </c>
      <c r="H5326" s="8">
        <f>HYPERLINK("https://dart.fss.or.kr/dsaf001/main.do?rcpNo=20260312900428", "공시열람")</f>
        <v/>
      </c>
    </row>
    <row r="5327">
      <c r="A5327" s="2" t="inlineStr">
        <is>
          <t>2026-03-12</t>
        </is>
      </c>
      <c r="B5327" s="3" t="inlineStr">
        <is>
          <t>코나아이</t>
        </is>
      </c>
      <c r="C5327" s="2" t="inlineStr">
        <is>
          <t>코스닥</t>
        </is>
      </c>
      <c r="D5327" s="2" t="inlineStr">
        <is>
          <t>052400</t>
        </is>
      </c>
      <c r="E5327" s="3" t="inlineStr">
        <is>
          <t>임원ㆍ주요주주특정증권등소유상황보고서</t>
        </is>
      </c>
      <c r="F5327" s="3" t="inlineStr">
        <is>
          <t>조재현</t>
        </is>
      </c>
      <c r="G5327" s="2" t="inlineStr">
        <is>
          <t>20260312000365</t>
        </is>
      </c>
      <c r="H5327" s="8">
        <f>HYPERLINK("https://dart.fss.or.kr/dsaf001/main.do?rcpNo=20260312000365", "공시열람")</f>
        <v/>
      </c>
    </row>
    <row r="5328">
      <c r="A5328" s="2" t="inlineStr">
        <is>
          <t>2026-03-12</t>
        </is>
      </c>
      <c r="B5328" s="3" t="inlineStr">
        <is>
          <t>셀바이오휴먼텍</t>
        </is>
      </c>
      <c r="C5328" s="2" t="inlineStr">
        <is>
          <t>코스닥</t>
        </is>
      </c>
      <c r="D5328" s="2" t="inlineStr">
        <is>
          <t>318160</t>
        </is>
      </c>
      <c r="E5328" s="3" t="inlineStr">
        <is>
          <t>임원ㆍ주요주주특정증권등소유상황보고서</t>
        </is>
      </c>
      <c r="F5328" s="3" t="inlineStr">
        <is>
          <t>이권선</t>
        </is>
      </c>
      <c r="G5328" s="2" t="inlineStr">
        <is>
          <t>20260312000364</t>
        </is>
      </c>
      <c r="H5328" s="8">
        <f>HYPERLINK("https://dart.fss.or.kr/dsaf001/main.do?rcpNo=20260312000364", "공시열람")</f>
        <v/>
      </c>
    </row>
    <row r="5329">
      <c r="A5329" s="2" t="inlineStr">
        <is>
          <t>2026-03-12</t>
        </is>
      </c>
      <c r="B5329" s="3" t="inlineStr">
        <is>
          <t>뉴키즈온</t>
        </is>
      </c>
      <c r="C5329" s="2" t="inlineStr">
        <is>
          <t>코스닥</t>
        </is>
      </c>
      <c r="D5329" s="2" t="inlineStr">
        <is>
          <t>462310</t>
        </is>
      </c>
      <c r="E5329" s="3" t="inlineStr">
        <is>
          <t>의결권대리행사권유참고서류</t>
        </is>
      </c>
      <c r="F5329" s="3" t="inlineStr">
        <is>
          <t>뉴키즈온</t>
        </is>
      </c>
      <c r="G5329" s="2" t="inlineStr">
        <is>
          <t>20260312000361</t>
        </is>
      </c>
      <c r="H5329" s="8">
        <f>HYPERLINK("https://dart.fss.or.kr/dsaf001/main.do?rcpNo=20260312000361", "공시열람")</f>
        <v/>
      </c>
    </row>
    <row r="5330">
      <c r="A5330" s="2" t="inlineStr">
        <is>
          <t>2026-03-12</t>
        </is>
      </c>
      <c r="B5330" s="3" t="inlineStr">
        <is>
          <t>피씨디렉트</t>
        </is>
      </c>
      <c r="C5330" s="2" t="inlineStr">
        <is>
          <t>코스닥</t>
        </is>
      </c>
      <c r="D5330" s="2" t="inlineStr">
        <is>
          <t>051380</t>
        </is>
      </c>
      <c r="E5330" s="3" t="inlineStr">
        <is>
          <t>의결권대리행사권유참고서류</t>
        </is>
      </c>
      <c r="F5330" s="3" t="inlineStr">
        <is>
          <t>피씨디렉트</t>
        </is>
      </c>
      <c r="G5330" s="2" t="inlineStr">
        <is>
          <t>20260312000357</t>
        </is>
      </c>
      <c r="H5330" s="8">
        <f>HYPERLINK("https://dart.fss.or.kr/dsaf001/main.do?rcpNo=20260312000357", "공시열람")</f>
        <v/>
      </c>
    </row>
    <row r="5331">
      <c r="A5331" s="2" t="inlineStr">
        <is>
          <t>2026-03-12</t>
        </is>
      </c>
      <c r="B5331" s="3" t="inlineStr">
        <is>
          <t>비트플래닛</t>
        </is>
      </c>
      <c r="C5331" s="2" t="inlineStr">
        <is>
          <t>코스닥</t>
        </is>
      </c>
      <c r="D5331" s="2" t="inlineStr">
        <is>
          <t>049470</t>
        </is>
      </c>
      <c r="E5331" s="3" t="inlineStr">
        <is>
          <t xml:space="preserve">주식병합결정              </t>
        </is>
      </c>
      <c r="F5331" s="3" t="inlineStr">
        <is>
          <t>비트플래닛</t>
        </is>
      </c>
      <c r="G5331" s="2" t="inlineStr">
        <is>
          <t>20260312900409</t>
        </is>
      </c>
      <c r="H5331" s="8">
        <f>HYPERLINK("https://dart.fss.or.kr/dsaf001/main.do?rcpNo=20260312900409", "공시열람")</f>
        <v/>
      </c>
    </row>
    <row r="5332">
      <c r="A5332" s="2" t="inlineStr">
        <is>
          <t>2026-03-12</t>
        </is>
      </c>
      <c r="B5332" s="3" t="inlineStr">
        <is>
          <t>에이테크솔루션</t>
        </is>
      </c>
      <c r="C5332" s="2" t="inlineStr">
        <is>
          <t>코스닥</t>
        </is>
      </c>
      <c r="D5332" s="2" t="inlineStr">
        <is>
          <t>071670</t>
        </is>
      </c>
      <c r="E5332" s="3" t="inlineStr">
        <is>
          <t>의결권대리행사권유참고서류</t>
        </is>
      </c>
      <c r="F5332" s="3" t="inlineStr">
        <is>
          <t>에이테크솔루션</t>
        </is>
      </c>
      <c r="G5332" s="2" t="inlineStr">
        <is>
          <t>20260312000339</t>
        </is>
      </c>
      <c r="H5332" s="8">
        <f>HYPERLINK("https://dart.fss.or.kr/dsaf001/main.do?rcpNo=20260312000339", "공시열람")</f>
        <v/>
      </c>
    </row>
    <row r="5333">
      <c r="A5333" s="2" t="inlineStr">
        <is>
          <t>2026-03-12</t>
        </is>
      </c>
      <c r="B5333" s="3" t="inlineStr">
        <is>
          <t>모니터랩</t>
        </is>
      </c>
      <c r="C5333" s="2" t="inlineStr">
        <is>
          <t>코스닥</t>
        </is>
      </c>
      <c r="D5333" s="2" t="inlineStr">
        <is>
          <t>434480</t>
        </is>
      </c>
      <c r="E5333" s="3" t="inlineStr">
        <is>
          <t xml:space="preserve">감사보고서제출              </t>
        </is>
      </c>
      <c r="F5333" s="3" t="inlineStr">
        <is>
          <t>모니터랩</t>
        </is>
      </c>
      <c r="G5333" s="2" t="inlineStr">
        <is>
          <t>20260312900375</t>
        </is>
      </c>
      <c r="H5333" s="8">
        <f>HYPERLINK("https://dart.fss.or.kr/dsaf001/main.do?rcpNo=20260312900375", "공시열람")</f>
        <v/>
      </c>
    </row>
    <row r="5334">
      <c r="A5334" s="2" t="inlineStr">
        <is>
          <t>2026-03-12</t>
        </is>
      </c>
      <c r="B5334" s="3" t="inlineStr">
        <is>
          <t>기아</t>
        </is>
      </c>
      <c r="C5334" s="2" t="inlineStr">
        <is>
          <t>코스피</t>
        </is>
      </c>
      <c r="D5334" s="2" t="inlineStr">
        <is>
          <t>000270</t>
        </is>
      </c>
      <c r="E5334" s="3" t="inlineStr">
        <is>
          <t xml:space="preserve">감사보고서제출              </t>
        </is>
      </c>
      <c r="F5334" s="3" t="inlineStr">
        <is>
          <t>기아</t>
        </is>
      </c>
      <c r="G5334" s="2" t="inlineStr">
        <is>
          <t>20260312800365</t>
        </is>
      </c>
      <c r="H5334" s="8">
        <f>HYPERLINK("https://dart.fss.or.kr/dsaf001/main.do?rcpNo=20260312800365", "공시열람")</f>
        <v/>
      </c>
    </row>
    <row r="5335">
      <c r="A5335" s="2" t="inlineStr">
        <is>
          <t>2026-03-12</t>
        </is>
      </c>
      <c r="B5335" s="3" t="inlineStr">
        <is>
          <t>링네트</t>
        </is>
      </c>
      <c r="C5335" s="2" t="inlineStr">
        <is>
          <t>코스닥</t>
        </is>
      </c>
      <c r="D5335" s="2" t="inlineStr">
        <is>
          <t>042500</t>
        </is>
      </c>
      <c r="E5335" s="3" t="inlineStr">
        <is>
          <t>의결권대리행사권유참고서류</t>
        </is>
      </c>
      <c r="F5335" s="3" t="inlineStr">
        <is>
          <t>링네트</t>
        </is>
      </c>
      <c r="G5335" s="2" t="inlineStr">
        <is>
          <t>20260312000333</t>
        </is>
      </c>
      <c r="H5335" s="8">
        <f>HYPERLINK("https://dart.fss.or.kr/dsaf001/main.do?rcpNo=20260312000333", "공시열람")</f>
        <v/>
      </c>
    </row>
    <row r="5336">
      <c r="A5336" s="2" t="inlineStr">
        <is>
          <t>2026-03-12</t>
        </is>
      </c>
      <c r="B5336" s="3" t="inlineStr">
        <is>
          <t>시지메드텍</t>
        </is>
      </c>
      <c r="C5336" s="2" t="inlineStr">
        <is>
          <t>코스닥</t>
        </is>
      </c>
      <c r="D5336" s="2" t="inlineStr">
        <is>
          <t>056090</t>
        </is>
      </c>
      <c r="E5336" s="3" t="inlineStr">
        <is>
          <t xml:space="preserve">매출액또는손익구조30%(대규모법인은15%)이상변동              </t>
        </is>
      </c>
      <c r="F5336" s="3" t="inlineStr">
        <is>
          <t>시지메드텍</t>
        </is>
      </c>
      <c r="G5336" s="2" t="inlineStr">
        <is>
          <t>20260312900356</t>
        </is>
      </c>
      <c r="H5336" s="8">
        <f>HYPERLINK("https://dart.fss.or.kr/dsaf001/main.do?rcpNo=20260312900356", "공시열람")</f>
        <v/>
      </c>
    </row>
    <row r="5337">
      <c r="A5337" s="2" t="inlineStr">
        <is>
          <t>2026-03-12</t>
        </is>
      </c>
      <c r="B5337" s="3" t="inlineStr">
        <is>
          <t>소프트캠프</t>
        </is>
      </c>
      <c r="C5337" s="2" t="inlineStr">
        <is>
          <t>코스닥</t>
        </is>
      </c>
      <c r="D5337" s="2" t="inlineStr">
        <is>
          <t>258790</t>
        </is>
      </c>
      <c r="E5337" s="3" t="inlineStr">
        <is>
          <t>의결권대리행사권유참고서류</t>
        </is>
      </c>
      <c r="F5337" s="3" t="inlineStr">
        <is>
          <t>소프트캠프</t>
        </is>
      </c>
      <c r="G5337" s="2" t="inlineStr">
        <is>
          <t>20260312000320</t>
        </is>
      </c>
      <c r="H5337" s="8">
        <f>HYPERLINK("https://dart.fss.or.kr/dsaf001/main.do?rcpNo=20260312000320", "공시열람")</f>
        <v/>
      </c>
    </row>
    <row r="5338">
      <c r="A5338" s="2" t="inlineStr">
        <is>
          <t>2026-03-12</t>
        </is>
      </c>
      <c r="B5338" s="3" t="inlineStr">
        <is>
          <t>비보존 제약</t>
        </is>
      </c>
      <c r="C5338" s="2" t="inlineStr">
        <is>
          <t>코스닥</t>
        </is>
      </c>
      <c r="D5338" s="2" t="inlineStr">
        <is>
          <t>082800</t>
        </is>
      </c>
      <c r="E5338" s="3" t="inlineStr">
        <is>
          <t>임원ㆍ주요주주특정증권등소유상황보고서</t>
        </is>
      </c>
      <c r="F5338" s="3" t="inlineStr">
        <is>
          <t>이두현</t>
        </is>
      </c>
      <c r="G5338" s="2" t="inlineStr">
        <is>
          <t>20260312000316</t>
        </is>
      </c>
      <c r="H5338" s="8">
        <f>HYPERLINK("https://dart.fss.or.kr/dsaf001/main.do?rcpNo=20260312000316", "공시열람")</f>
        <v/>
      </c>
    </row>
    <row r="5339">
      <c r="A5339" s="2" t="inlineStr">
        <is>
          <t>2026-03-12</t>
        </is>
      </c>
      <c r="B5339" s="3" t="inlineStr">
        <is>
          <t>태광</t>
        </is>
      </c>
      <c r="C5339" s="2" t="inlineStr">
        <is>
          <t>코스닥</t>
        </is>
      </c>
      <c r="D5339" s="2" t="inlineStr">
        <is>
          <t>023160</t>
        </is>
      </c>
      <c r="E5339" s="3" t="inlineStr">
        <is>
          <t>의결권대리행사권유참고서류</t>
        </is>
      </c>
      <c r="F5339" s="3" t="inlineStr">
        <is>
          <t>태광</t>
        </is>
      </c>
      <c r="G5339" s="2" t="inlineStr">
        <is>
          <t>20260312000313</t>
        </is>
      </c>
      <c r="H5339" s="8">
        <f>HYPERLINK("https://dart.fss.or.kr/dsaf001/main.do?rcpNo=20260312000313", "공시열람")</f>
        <v/>
      </c>
    </row>
    <row r="5340">
      <c r="A5340" s="2" t="inlineStr">
        <is>
          <t>2026-03-12</t>
        </is>
      </c>
      <c r="B5340" s="3" t="inlineStr">
        <is>
          <t>농심</t>
        </is>
      </c>
      <c r="C5340" s="2" t="inlineStr">
        <is>
          <t>코스피</t>
        </is>
      </c>
      <c r="D5340" s="2" t="inlineStr">
        <is>
          <t>004370</t>
        </is>
      </c>
      <c r="E5340" s="3" t="inlineStr">
        <is>
          <t>임원ㆍ주요주주특정증권등소유상황보고서</t>
        </is>
      </c>
      <c r="F5340" s="3" t="inlineStr">
        <is>
          <t>조용철</t>
        </is>
      </c>
      <c r="G5340" s="2" t="inlineStr">
        <is>
          <t>20260312000305</t>
        </is>
      </c>
      <c r="H5340" s="8">
        <f>HYPERLINK("https://dart.fss.or.kr/dsaf001/main.do?rcpNo=20260312000305", "공시열람")</f>
        <v/>
      </c>
    </row>
    <row r="5341">
      <c r="A5341" s="2" t="inlineStr">
        <is>
          <t>2026-03-12</t>
        </is>
      </c>
      <c r="B5341" s="3" t="inlineStr">
        <is>
          <t>유신</t>
        </is>
      </c>
      <c r="C5341" s="2" t="inlineStr">
        <is>
          <t>코스닥</t>
        </is>
      </c>
      <c r="D5341" s="2" t="inlineStr">
        <is>
          <t>054930</t>
        </is>
      </c>
      <c r="E5341" s="3" t="inlineStr">
        <is>
          <t xml:space="preserve">현금ㆍ현물배당결정              </t>
        </is>
      </c>
      <c r="F5341" s="3" t="inlineStr">
        <is>
          <t>유신</t>
        </is>
      </c>
      <c r="G5341" s="2" t="inlineStr">
        <is>
          <t>20260312900340</t>
        </is>
      </c>
      <c r="H5341" s="8">
        <f>HYPERLINK("https://dart.fss.or.kr/dsaf001/main.do?rcpNo=20260312900340", "공시열람")</f>
        <v/>
      </c>
    </row>
    <row r="5342">
      <c r="A5342" s="2" t="inlineStr">
        <is>
          <t>2026-03-12</t>
        </is>
      </c>
      <c r="B5342" s="3" t="inlineStr">
        <is>
          <t>진성티이씨</t>
        </is>
      </c>
      <c r="C5342" s="2" t="inlineStr">
        <is>
          <t>코스닥</t>
        </is>
      </c>
      <c r="D5342" s="2" t="inlineStr">
        <is>
          <t>036890</t>
        </is>
      </c>
      <c r="E5342" s="3" t="inlineStr">
        <is>
          <t xml:space="preserve">교환청구권행사              </t>
        </is>
      </c>
      <c r="F5342" s="3" t="inlineStr">
        <is>
          <t>진성티이씨</t>
        </is>
      </c>
      <c r="G5342" s="2" t="inlineStr">
        <is>
          <t>20260312900338</t>
        </is>
      </c>
      <c r="H5342" s="8">
        <f>HYPERLINK("https://dart.fss.or.kr/dsaf001/main.do?rcpNo=20260312900338", "공시열람")</f>
        <v/>
      </c>
    </row>
    <row r="5343">
      <c r="A5343" s="2" t="inlineStr">
        <is>
          <t>2026-03-12</t>
        </is>
      </c>
      <c r="B5343" s="3" t="inlineStr">
        <is>
          <t>유신</t>
        </is>
      </c>
      <c r="C5343" s="2" t="inlineStr">
        <is>
          <t>코스닥</t>
        </is>
      </c>
      <c r="D5343" s="2" t="inlineStr">
        <is>
          <t>054930</t>
        </is>
      </c>
      <c r="E5343" s="3" t="inlineStr">
        <is>
          <t>임원ㆍ주요주주특정증권등소유상황보고서</t>
        </is>
      </c>
      <c r="F5343" s="3" t="inlineStr">
        <is>
          <t>전종호</t>
        </is>
      </c>
      <c r="G5343" s="2" t="inlineStr">
        <is>
          <t>20260312000294</t>
        </is>
      </c>
      <c r="H5343" s="8">
        <f>HYPERLINK("https://dart.fss.or.kr/dsaf001/main.do?rcpNo=20260312000294", "공시열람")</f>
        <v/>
      </c>
    </row>
    <row r="5344">
      <c r="A5344" s="2" t="inlineStr">
        <is>
          <t>2026-03-12</t>
        </is>
      </c>
      <c r="B5344" s="3" t="inlineStr">
        <is>
          <t>디아이티</t>
        </is>
      </c>
      <c r="C5344" s="2" t="inlineStr">
        <is>
          <t>코스닥</t>
        </is>
      </c>
      <c r="D5344" s="2" t="inlineStr">
        <is>
          <t>110990</t>
        </is>
      </c>
      <c r="E5344" s="3" t="inlineStr">
        <is>
          <t>임원ㆍ주요주주특정증권등소유상황보고서</t>
        </is>
      </c>
      <c r="F5344" s="3" t="inlineStr">
        <is>
          <t>김범수</t>
        </is>
      </c>
      <c r="G5344" s="2" t="inlineStr">
        <is>
          <t>20260312000290</t>
        </is>
      </c>
      <c r="H5344" s="8">
        <f>HYPERLINK("https://dart.fss.or.kr/dsaf001/main.do?rcpNo=20260312000290", "공시열람")</f>
        <v/>
      </c>
    </row>
    <row r="5345">
      <c r="A5345" s="2" t="inlineStr">
        <is>
          <t>2026-03-12</t>
        </is>
      </c>
      <c r="B5345" s="3" t="inlineStr">
        <is>
          <t>에스넷</t>
        </is>
      </c>
      <c r="C5345" s="2" t="inlineStr">
        <is>
          <t>코스닥</t>
        </is>
      </c>
      <c r="D5345" s="2" t="inlineStr">
        <is>
          <t>038680</t>
        </is>
      </c>
      <c r="E5345" s="3" t="inlineStr">
        <is>
          <t>[첨부정정]의결권대리행사권유참고서류</t>
        </is>
      </c>
      <c r="F5345" s="3" t="inlineStr">
        <is>
          <t>에스넷</t>
        </is>
      </c>
      <c r="G5345" s="2" t="inlineStr">
        <is>
          <t>20260312000288</t>
        </is>
      </c>
      <c r="H5345" s="8">
        <f>HYPERLINK("https://dart.fss.or.kr/dsaf001/main.do?rcpNo=20260312000288", "공시열람")</f>
        <v/>
      </c>
    </row>
    <row r="5346">
      <c r="A5346" s="2" t="inlineStr">
        <is>
          <t>2026-03-12 (정정: 2026-03-12)</t>
        </is>
      </c>
      <c r="B5346" s="3" t="inlineStr">
        <is>
          <t>진양폴리우레탄</t>
        </is>
      </c>
      <c r="C5346" s="2" t="inlineStr">
        <is>
          <t>코스피</t>
        </is>
      </c>
      <c r="D5346" s="2" t="inlineStr">
        <is>
          <t>010640</t>
        </is>
      </c>
      <c r="E5346" s="3" t="inlineStr">
        <is>
          <t>유상증자신주발행가액(안내공시)               (정정: 20260312)</t>
        </is>
      </c>
      <c r="F5346" s="3" t="inlineStr">
        <is>
          <t>진양폴리우레탄</t>
        </is>
      </c>
      <c r="G5346" s="2" t="inlineStr">
        <is>
          <t>20260312000282</t>
        </is>
      </c>
      <c r="H5346" s="8">
        <f>HYPERLINK("https://dart.fss.or.kr/dsaf001/main.do?rcpNo=20260312000282", "공시열람")</f>
        <v/>
      </c>
    </row>
    <row r="5347">
      <c r="A5347" s="2" t="inlineStr">
        <is>
          <t>2026-03-12</t>
        </is>
      </c>
      <c r="B5347" s="3" t="inlineStr">
        <is>
          <t>디아이티</t>
        </is>
      </c>
      <c r="C5347" s="2" t="inlineStr">
        <is>
          <t>코스닥</t>
        </is>
      </c>
      <c r="D5347" s="2" t="inlineStr">
        <is>
          <t>110990</t>
        </is>
      </c>
      <c r="E5347" s="3" t="inlineStr">
        <is>
          <t>임원ㆍ주요주주특정증권등소유상황보고서</t>
        </is>
      </c>
      <c r="F5347" s="3" t="inlineStr">
        <is>
          <t>조철현</t>
        </is>
      </c>
      <c r="G5347" s="2" t="inlineStr">
        <is>
          <t>20260312000286</t>
        </is>
      </c>
      <c r="H5347" s="8">
        <f>HYPERLINK("https://dart.fss.or.kr/dsaf001/main.do?rcpNo=20260312000286", "공시열람")</f>
        <v/>
      </c>
    </row>
    <row r="5348">
      <c r="A5348" s="2" t="inlineStr">
        <is>
          <t>2026-03-12</t>
        </is>
      </c>
      <c r="B5348" s="3" t="inlineStr">
        <is>
          <t>삼화전기</t>
        </is>
      </c>
      <c r="C5348" s="2" t="inlineStr">
        <is>
          <t>코스피</t>
        </is>
      </c>
      <c r="D5348" s="2" t="inlineStr">
        <is>
          <t>009470</t>
        </is>
      </c>
      <c r="E5348" s="3" t="inlineStr">
        <is>
          <t>의결권대리행사권유참고서류</t>
        </is>
      </c>
      <c r="F5348" s="3" t="inlineStr">
        <is>
          <t>삼화전기</t>
        </is>
      </c>
      <c r="G5348" s="2" t="inlineStr">
        <is>
          <t>20260312000281</t>
        </is>
      </c>
      <c r="H5348" s="8">
        <f>HYPERLINK("https://dart.fss.or.kr/dsaf001/main.do?rcpNo=20260312000281", "공시열람")</f>
        <v/>
      </c>
    </row>
    <row r="5349">
      <c r="A5349" s="2" t="inlineStr">
        <is>
          <t>2026-03-12 (정정: 2026-03-12)</t>
        </is>
      </c>
      <c r="B5349" s="3" t="inlineStr">
        <is>
          <t>카카오</t>
        </is>
      </c>
      <c r="C5349" s="2" t="inlineStr">
        <is>
          <t>코스피</t>
        </is>
      </c>
      <c r="D5349" s="2" t="inlineStr">
        <is>
          <t>035720</t>
        </is>
      </c>
      <c r="E5349" s="3" t="inlineStr">
        <is>
          <t>[첨부정정]의결권대리행사권유참고서류 (정정: 20260312)</t>
        </is>
      </c>
      <c r="F5349" s="3" t="inlineStr">
        <is>
          <t>카카오</t>
        </is>
      </c>
      <c r="G5349" s="2" t="inlineStr">
        <is>
          <t>20260312800004</t>
        </is>
      </c>
      <c r="H5349" s="8">
        <f>HYPERLINK("https://dart.fss.or.kr/dsaf001/main.do?rcpNo=20260312800004", "공시열람")</f>
        <v/>
      </c>
    </row>
    <row r="5350">
      <c r="A5350" s="2" t="inlineStr">
        <is>
          <t>2026-03-12</t>
        </is>
      </c>
      <c r="B5350" s="3" t="inlineStr">
        <is>
          <t>진양폴리우레탄</t>
        </is>
      </c>
      <c r="C5350" s="2" t="inlineStr">
        <is>
          <t>코스피</t>
        </is>
      </c>
      <c r="D5350" s="2" t="inlineStr">
        <is>
          <t>010640</t>
        </is>
      </c>
      <c r="E5350" s="3" t="inlineStr">
        <is>
          <t>[발행조건확정]증권신고서(지분증권)</t>
        </is>
      </c>
      <c r="F5350" s="3" t="inlineStr">
        <is>
          <t>진양폴리우레탄</t>
        </is>
      </c>
      <c r="G5350" s="2" t="inlineStr">
        <is>
          <t>20260312000278</t>
        </is>
      </c>
      <c r="H5350" s="8">
        <f>HYPERLINK("https://dart.fss.or.kr/dsaf001/main.do?rcpNo=20260312000278", "공시열람")</f>
        <v/>
      </c>
    </row>
    <row r="5351">
      <c r="A5351" s="2" t="inlineStr">
        <is>
          <t>2026-03-12</t>
        </is>
      </c>
      <c r="B5351" s="3" t="inlineStr">
        <is>
          <t>이미지스</t>
        </is>
      </c>
      <c r="C5351" s="2" t="inlineStr">
        <is>
          <t>코스닥</t>
        </is>
      </c>
      <c r="D5351" s="2" t="inlineStr">
        <is>
          <t>115610</t>
        </is>
      </c>
      <c r="E5351" s="3" t="inlineStr">
        <is>
          <t>의결권대리행사권유참고서류</t>
        </is>
      </c>
      <c r="F5351" s="3" t="inlineStr">
        <is>
          <t>이미지스</t>
        </is>
      </c>
      <c r="G5351" s="2" t="inlineStr">
        <is>
          <t>20260312000277</t>
        </is>
      </c>
      <c r="H5351" s="8">
        <f>HYPERLINK("https://dart.fss.or.kr/dsaf001/main.do?rcpNo=20260312000277", "공시열람")</f>
        <v/>
      </c>
    </row>
    <row r="5352">
      <c r="A5352" s="2" t="inlineStr">
        <is>
          <t>2026-03-12</t>
        </is>
      </c>
      <c r="B5352" s="3" t="inlineStr">
        <is>
          <t>덕산하이메탈</t>
        </is>
      </c>
      <c r="C5352" s="2" t="inlineStr">
        <is>
          <t>코스닥</t>
        </is>
      </c>
      <c r="D5352" s="2" t="inlineStr">
        <is>
          <t>077360</t>
        </is>
      </c>
      <c r="E5352" s="3" t="inlineStr">
        <is>
          <t>의결권대리행사권유참고서류</t>
        </is>
      </c>
      <c r="F5352" s="3" t="inlineStr">
        <is>
          <t>덕산하이메탈</t>
        </is>
      </c>
      <c r="G5352" s="2" t="inlineStr">
        <is>
          <t>20260312000276</t>
        </is>
      </c>
      <c r="H5352" s="8">
        <f>HYPERLINK("https://dart.fss.or.kr/dsaf001/main.do?rcpNo=20260312000276", "공시열람")</f>
        <v/>
      </c>
    </row>
    <row r="5353">
      <c r="A5353" s="2" t="inlineStr">
        <is>
          <t>2026-03-12</t>
        </is>
      </c>
      <c r="B5353" s="3" t="inlineStr">
        <is>
          <t>와이지엔터테인먼트</t>
        </is>
      </c>
      <c r="C5353" s="2" t="inlineStr">
        <is>
          <t>코스닥</t>
        </is>
      </c>
      <c r="D5353" s="2" t="inlineStr">
        <is>
          <t>122870</t>
        </is>
      </c>
      <c r="E5353" s="3" t="inlineStr">
        <is>
          <t>의결권대리행사권유참고서류</t>
        </is>
      </c>
      <c r="F5353" s="3" t="inlineStr">
        <is>
          <t>와이지엔터테인먼트</t>
        </is>
      </c>
      <c r="G5353" s="2" t="inlineStr">
        <is>
          <t>20260312000273</t>
        </is>
      </c>
      <c r="H5353" s="8">
        <f>HYPERLINK("https://dart.fss.or.kr/dsaf001/main.do?rcpNo=20260312000273", "공시열람")</f>
        <v/>
      </c>
    </row>
    <row r="5354">
      <c r="A5354" s="2" t="inlineStr">
        <is>
          <t>2026-03-12</t>
        </is>
      </c>
      <c r="B5354" s="3" t="inlineStr">
        <is>
          <t>E1</t>
        </is>
      </c>
      <c r="C5354" s="2" t="inlineStr">
        <is>
          <t>코스피</t>
        </is>
      </c>
      <c r="D5354" s="2" t="inlineStr">
        <is>
          <t>017940</t>
        </is>
      </c>
      <c r="E5354" s="3" t="inlineStr">
        <is>
          <t>의결권대리행사권유참고서류</t>
        </is>
      </c>
      <c r="F5354" s="3" t="inlineStr">
        <is>
          <t>E1</t>
        </is>
      </c>
      <c r="G5354" s="2" t="inlineStr">
        <is>
          <t>20260312000272</t>
        </is>
      </c>
      <c r="H5354" s="8">
        <f>HYPERLINK("https://dart.fss.or.kr/dsaf001/main.do?rcpNo=20260312000272", "공시열람")</f>
        <v/>
      </c>
    </row>
    <row r="5355">
      <c r="A5355" s="2" t="inlineStr">
        <is>
          <t>2026-03-12</t>
        </is>
      </c>
      <c r="B5355" s="3" t="inlineStr">
        <is>
          <t>인디에프</t>
        </is>
      </c>
      <c r="C5355" s="2" t="inlineStr">
        <is>
          <t>코스피</t>
        </is>
      </c>
      <c r="D5355" s="2" t="inlineStr">
        <is>
          <t>014990</t>
        </is>
      </c>
      <c r="E5355" s="3" t="inlineStr">
        <is>
          <t>의결권대리행사권유참고서류</t>
        </is>
      </c>
      <c r="F5355" s="3" t="inlineStr">
        <is>
          <t>인디에프</t>
        </is>
      </c>
      <c r="G5355" s="2" t="inlineStr">
        <is>
          <t>20260312000268</t>
        </is>
      </c>
      <c r="H5355" s="8">
        <f>HYPERLINK("https://dart.fss.or.kr/dsaf001/main.do?rcpNo=20260312000268", "공시열람")</f>
        <v/>
      </c>
    </row>
    <row r="5356">
      <c r="A5356" s="2" t="inlineStr">
        <is>
          <t>2026-03-12</t>
        </is>
      </c>
      <c r="B5356" s="3" t="inlineStr">
        <is>
          <t>동운아나텍</t>
        </is>
      </c>
      <c r="C5356" s="2" t="inlineStr">
        <is>
          <t>코스닥</t>
        </is>
      </c>
      <c r="D5356" s="2" t="inlineStr">
        <is>
          <t>094170</t>
        </is>
      </c>
      <c r="E5356" s="3" t="inlineStr">
        <is>
          <t>의결권대리행사권유참고서류</t>
        </is>
      </c>
      <c r="F5356" s="3" t="inlineStr">
        <is>
          <t>동운아나텍</t>
        </is>
      </c>
      <c r="G5356" s="2" t="inlineStr">
        <is>
          <t>20260312000260</t>
        </is>
      </c>
      <c r="H5356" s="8">
        <f>HYPERLINK("https://dart.fss.or.kr/dsaf001/main.do?rcpNo=20260312000260", "공시열람")</f>
        <v/>
      </c>
    </row>
    <row r="5357">
      <c r="A5357" s="2" t="inlineStr">
        <is>
          <t>2026-03-12</t>
        </is>
      </c>
      <c r="B5357" s="3" t="inlineStr">
        <is>
          <t>알파칩스</t>
        </is>
      </c>
      <c r="C5357" s="2" t="inlineStr">
        <is>
          <t>코스닥</t>
        </is>
      </c>
      <c r="D5357" s="2" t="inlineStr">
        <is>
          <t>117670</t>
        </is>
      </c>
      <c r="E5357" s="3" t="inlineStr">
        <is>
          <t>임원ㆍ주요주주특정증권등소유상황보고서</t>
        </is>
      </c>
      <c r="F5357" s="3" t="inlineStr">
        <is>
          <t>김재열</t>
        </is>
      </c>
      <c r="G5357" s="2" t="inlineStr">
        <is>
          <t>20260312000257</t>
        </is>
      </c>
      <c r="H5357" s="8">
        <f>HYPERLINK("https://dart.fss.or.kr/dsaf001/main.do?rcpNo=20260312000257", "공시열람")</f>
        <v/>
      </c>
    </row>
    <row r="5358">
      <c r="A5358" s="2" t="inlineStr">
        <is>
          <t>2026-03-12 (정정: 2026-06-25)</t>
        </is>
      </c>
      <c r="B5358" s="3" t="inlineStr">
        <is>
          <t>에스코넥</t>
        </is>
      </c>
      <c r="C5358" s="2" t="inlineStr">
        <is>
          <t>코스닥</t>
        </is>
      </c>
      <c r="D5358" s="2" t="inlineStr">
        <is>
          <t>096630</t>
        </is>
      </c>
      <c r="E5358" s="3" t="inlineStr">
        <is>
          <t>주식병합결정               (정정: 20260625)</t>
        </is>
      </c>
      <c r="F5358" s="3" t="inlineStr">
        <is>
          <t>에스코넥</t>
        </is>
      </c>
      <c r="G5358" s="2" t="inlineStr">
        <is>
          <t>20260625000380</t>
        </is>
      </c>
      <c r="H5358" s="8">
        <f>HYPERLINK("https://dart.fss.or.kr/dsaf001/main.do?rcpNo=20260625000380", "공시열람")</f>
        <v/>
      </c>
    </row>
    <row r="5359">
      <c r="A5359" s="2" t="inlineStr">
        <is>
          <t>2026-03-12</t>
        </is>
      </c>
      <c r="B5359" s="3" t="inlineStr">
        <is>
          <t>센서뷰</t>
        </is>
      </c>
      <c r="C5359" s="2" t="inlineStr">
        <is>
          <t>코스닥</t>
        </is>
      </c>
      <c r="D5359" s="2" t="inlineStr">
        <is>
          <t>321370</t>
        </is>
      </c>
      <c r="E5359" s="3" t="inlineStr">
        <is>
          <t>의결권대리행사권유참고서류</t>
        </is>
      </c>
      <c r="F5359" s="3" t="inlineStr">
        <is>
          <t>센서뷰</t>
        </is>
      </c>
      <c r="G5359" s="2" t="inlineStr">
        <is>
          <t>20260312000249</t>
        </is>
      </c>
      <c r="H5359" s="8">
        <f>HYPERLINK("https://dart.fss.or.kr/dsaf001/main.do?rcpNo=20260312000249", "공시열람")</f>
        <v/>
      </c>
    </row>
    <row r="5360">
      <c r="A5360" s="2" t="inlineStr">
        <is>
          <t>2026-03-12</t>
        </is>
      </c>
      <c r="B5360" s="3" t="inlineStr">
        <is>
          <t>한국정보공학</t>
        </is>
      </c>
      <c r="C5360" s="2" t="inlineStr">
        <is>
          <t>코스닥</t>
        </is>
      </c>
      <c r="D5360" s="2" t="inlineStr">
        <is>
          <t>039740</t>
        </is>
      </c>
      <c r="E5360" s="3" t="inlineStr">
        <is>
          <t>의결권대리행사권유참고서류</t>
        </is>
      </c>
      <c r="F5360" s="3" t="inlineStr">
        <is>
          <t>한국정보공학</t>
        </is>
      </c>
      <c r="G5360" s="2" t="inlineStr">
        <is>
          <t>20260312000243</t>
        </is>
      </c>
      <c r="H5360" s="8">
        <f>HYPERLINK("https://dart.fss.or.kr/dsaf001/main.do?rcpNo=20260312000243", "공시열람")</f>
        <v/>
      </c>
    </row>
    <row r="5361">
      <c r="A5361" s="2" t="inlineStr">
        <is>
          <t>2026-03-12</t>
        </is>
      </c>
      <c r="B5361" s="3" t="inlineStr">
        <is>
          <t>에스티아이</t>
        </is>
      </c>
      <c r="C5361" s="2" t="inlineStr">
        <is>
          <t>코스닥</t>
        </is>
      </c>
      <c r="D5361" s="2" t="inlineStr">
        <is>
          <t>039440</t>
        </is>
      </c>
      <c r="E5361" s="3" t="inlineStr">
        <is>
          <t xml:space="preserve">감사보고서제출              </t>
        </is>
      </c>
      <c r="F5361" s="3" t="inlineStr">
        <is>
          <t>에스티아이</t>
        </is>
      </c>
      <c r="G5361" s="2" t="inlineStr">
        <is>
          <t>20260312900258</t>
        </is>
      </c>
      <c r="H5361" s="8">
        <f>HYPERLINK("https://dart.fss.or.kr/dsaf001/main.do?rcpNo=20260312900258", "공시열람")</f>
        <v/>
      </c>
    </row>
    <row r="5362">
      <c r="A5362" s="2" t="inlineStr">
        <is>
          <t>2026-03-12</t>
        </is>
      </c>
      <c r="B5362" s="3" t="inlineStr">
        <is>
          <t>비나텍</t>
        </is>
      </c>
      <c r="C5362" s="2" t="inlineStr">
        <is>
          <t>코스닥</t>
        </is>
      </c>
      <c r="D5362" s="2" t="inlineStr">
        <is>
          <t>126340</t>
        </is>
      </c>
      <c r="E5362" s="3" t="inlineStr">
        <is>
          <t xml:space="preserve">매출액또는손익구조30%(대규모법인은15%)이상변동              </t>
        </is>
      </c>
      <c r="F5362" s="3" t="inlineStr">
        <is>
          <t>비나텍</t>
        </is>
      </c>
      <c r="G5362" s="2" t="inlineStr">
        <is>
          <t>20260312900252</t>
        </is>
      </c>
      <c r="H5362" s="8">
        <f>HYPERLINK("https://dart.fss.or.kr/dsaf001/main.do?rcpNo=20260312900252", "공시열람")</f>
        <v/>
      </c>
    </row>
    <row r="5363">
      <c r="A5363" s="2" t="inlineStr">
        <is>
          <t>2026-03-12</t>
        </is>
      </c>
      <c r="B5363" s="3" t="inlineStr">
        <is>
          <t>엑사이엔씨</t>
        </is>
      </c>
      <c r="C5363" s="2" t="inlineStr">
        <is>
          <t>코스닥</t>
        </is>
      </c>
      <c r="D5363" s="2" t="inlineStr">
        <is>
          <t>054940</t>
        </is>
      </c>
      <c r="E5363" s="3" t="inlineStr">
        <is>
          <t>임원ㆍ주요주주특정증권등소유상황보고서</t>
        </is>
      </c>
      <c r="F5363" s="3" t="inlineStr">
        <is>
          <t>김성후</t>
        </is>
      </c>
      <c r="G5363" s="2" t="inlineStr">
        <is>
          <t>20260312000232</t>
        </is>
      </c>
      <c r="H5363" s="8">
        <f>HYPERLINK("https://dart.fss.or.kr/dsaf001/main.do?rcpNo=20260312000232", "공시열람")</f>
        <v/>
      </c>
    </row>
    <row r="5364">
      <c r="A5364" s="2" t="inlineStr">
        <is>
          <t>2026-03-12 (정정: 2026-06-15)</t>
        </is>
      </c>
      <c r="B5364" s="3" t="inlineStr">
        <is>
          <t>엠오티</t>
        </is>
      </c>
      <c r="C5364" s="2" t="inlineStr">
        <is>
          <t>코스닥</t>
        </is>
      </c>
      <c r="D5364" s="2" t="inlineStr">
        <is>
          <t>413390</t>
        </is>
      </c>
      <c r="E5364" s="3" t="inlineStr">
        <is>
          <t>의결권대리행사권유참고서류 (정정: 20260312) (정정: 20260615)</t>
        </is>
      </c>
      <c r="F5364" s="3" t="inlineStr">
        <is>
          <t>엠오티</t>
        </is>
      </c>
      <c r="G5364" s="2" t="inlineStr">
        <is>
          <t>20260615000277</t>
        </is>
      </c>
      <c r="H5364" s="8">
        <f>HYPERLINK("https://dart.fss.or.kr/dsaf001/main.do?rcpNo=20260615000277", "공시열람")</f>
        <v/>
      </c>
    </row>
    <row r="5365">
      <c r="A5365" s="2" t="inlineStr">
        <is>
          <t>2026-03-12</t>
        </is>
      </c>
      <c r="B5365" s="3" t="inlineStr">
        <is>
          <t>유아이엘</t>
        </is>
      </c>
      <c r="C5365" s="2" t="inlineStr">
        <is>
          <t>코스닥</t>
        </is>
      </c>
      <c r="D5365" s="2" t="inlineStr">
        <is>
          <t>049520</t>
        </is>
      </c>
      <c r="E5365" s="3" t="inlineStr">
        <is>
          <t>의결권대리행사권유참고서류</t>
        </is>
      </c>
      <c r="F5365" s="3" t="inlineStr">
        <is>
          <t>유아이엘</t>
        </is>
      </c>
      <c r="G5365" s="2" t="inlineStr">
        <is>
          <t>20260312000205</t>
        </is>
      </c>
      <c r="H5365" s="8">
        <f>HYPERLINK("https://dart.fss.or.kr/dsaf001/main.do?rcpNo=20260312000205", "공시열람")</f>
        <v/>
      </c>
    </row>
    <row r="5366">
      <c r="A5366" s="2" t="inlineStr">
        <is>
          <t>2026-03-12</t>
        </is>
      </c>
      <c r="B5366" s="3" t="inlineStr">
        <is>
          <t>서울식품공업</t>
        </is>
      </c>
      <c r="C5366" s="2" t="inlineStr">
        <is>
          <t>코스피</t>
        </is>
      </c>
      <c r="D5366" s="2" t="inlineStr">
        <is>
          <t>004410</t>
        </is>
      </c>
      <c r="E5366" s="3" t="inlineStr">
        <is>
          <t>의결권대리행사권유참고서류</t>
        </is>
      </c>
      <c r="F5366" s="3" t="inlineStr">
        <is>
          <t>서울식품공업</t>
        </is>
      </c>
      <c r="G5366" s="2" t="inlineStr">
        <is>
          <t>20260312000201</t>
        </is>
      </c>
      <c r="H5366" s="8">
        <f>HYPERLINK("https://dart.fss.or.kr/dsaf001/main.do?rcpNo=20260312000201", "공시열람")</f>
        <v/>
      </c>
    </row>
    <row r="5367">
      <c r="A5367" s="2" t="inlineStr">
        <is>
          <t>2026-03-12</t>
        </is>
      </c>
      <c r="B5367" s="3" t="inlineStr">
        <is>
          <t>한화리츠</t>
        </is>
      </c>
      <c r="C5367" s="2" t="inlineStr">
        <is>
          <t>코스피</t>
        </is>
      </c>
      <c r="D5367" s="2" t="inlineStr">
        <is>
          <t>451800</t>
        </is>
      </c>
      <c r="E5367" s="3" t="inlineStr">
        <is>
          <t xml:space="preserve">기타경영사항(자율공시)              </t>
        </is>
      </c>
      <c r="F5367" s="3" t="inlineStr">
        <is>
          <t>한화리츠</t>
        </is>
      </c>
      <c r="G5367" s="2" t="inlineStr">
        <is>
          <t>20260312800198</t>
        </is>
      </c>
      <c r="H5367" s="8">
        <f>HYPERLINK("https://dart.fss.or.kr/dsaf001/main.do?rcpNo=20260312800198", "공시열람")</f>
        <v/>
      </c>
    </row>
    <row r="5368">
      <c r="A5368" s="2" t="inlineStr">
        <is>
          <t>2026-03-12</t>
        </is>
      </c>
      <c r="B5368" s="3" t="inlineStr">
        <is>
          <t>씨에스윈드</t>
        </is>
      </c>
      <c r="C5368" s="2" t="inlineStr">
        <is>
          <t>코스피</t>
        </is>
      </c>
      <c r="D5368" s="2" t="inlineStr">
        <is>
          <t>112610</t>
        </is>
      </c>
      <c r="E5368" s="3" t="inlineStr">
        <is>
          <t xml:space="preserve">기업설명회(IR)개최(안내공시)              </t>
        </is>
      </c>
      <c r="F5368" s="3" t="inlineStr">
        <is>
          <t>씨에스윈드</t>
        </is>
      </c>
      <c r="G5368" s="2" t="inlineStr">
        <is>
          <t>20260312800190</t>
        </is>
      </c>
      <c r="H5368" s="8">
        <f>HYPERLINK("https://dart.fss.or.kr/dsaf001/main.do?rcpNo=20260312800190", "공시열람")</f>
        <v/>
      </c>
    </row>
    <row r="5369">
      <c r="A5369" s="2" t="inlineStr">
        <is>
          <t>2026-03-12</t>
        </is>
      </c>
      <c r="B5369" s="3" t="inlineStr">
        <is>
          <t>HJ중공업</t>
        </is>
      </c>
      <c r="C5369" s="2" t="inlineStr">
        <is>
          <t>코스피</t>
        </is>
      </c>
      <c r="D5369" s="2" t="inlineStr">
        <is>
          <t>097230</t>
        </is>
      </c>
      <c r="E5369" s="3" t="inlineStr">
        <is>
          <t>의결권대리행사권유참고서류</t>
        </is>
      </c>
      <c r="F5369" s="3" t="inlineStr">
        <is>
          <t>HJ중공업</t>
        </is>
      </c>
      <c r="G5369" s="2" t="inlineStr">
        <is>
          <t>20260312000160</t>
        </is>
      </c>
      <c r="H5369" s="8">
        <f>HYPERLINK("https://dart.fss.or.kr/dsaf001/main.do?rcpNo=20260312000160", "공시열람")</f>
        <v/>
      </c>
    </row>
    <row r="5370">
      <c r="A5370" s="2" t="inlineStr">
        <is>
          <t>2026-03-12</t>
        </is>
      </c>
      <c r="B5370" s="3" t="inlineStr">
        <is>
          <t>티비씨</t>
        </is>
      </c>
      <c r="C5370" s="2" t="inlineStr">
        <is>
          <t>코스닥</t>
        </is>
      </c>
      <c r="D5370" s="2" t="inlineStr">
        <is>
          <t>033830</t>
        </is>
      </c>
      <c r="E5370" s="3" t="inlineStr">
        <is>
          <t>의결권대리행사권유참고서류</t>
        </is>
      </c>
      <c r="F5370" s="3" t="inlineStr">
        <is>
          <t>티비씨</t>
        </is>
      </c>
      <c r="G5370" s="2" t="inlineStr">
        <is>
          <t>20260312000157</t>
        </is>
      </c>
      <c r="H5370" s="8">
        <f>HYPERLINK("https://dart.fss.or.kr/dsaf001/main.do?rcpNo=20260312000157", "공시열람")</f>
        <v/>
      </c>
    </row>
    <row r="5371">
      <c r="A5371" s="2" t="inlineStr">
        <is>
          <t>2026-03-12 (정정: 2026-03-12)</t>
        </is>
      </c>
      <c r="B5371" s="3" t="inlineStr">
        <is>
          <t>퓨쳐켐</t>
        </is>
      </c>
      <c r="C5371" s="2" t="inlineStr">
        <is>
          <t>코스닥</t>
        </is>
      </c>
      <c r="D5371" s="2" t="inlineStr">
        <is>
          <t>220100</t>
        </is>
      </c>
      <c r="E5371" s="3" t="inlineStr">
        <is>
          <t>[첨부정정]의결권대리행사권유참고서류 (정정: 20260312)</t>
        </is>
      </c>
      <c r="F5371" s="3" t="inlineStr">
        <is>
          <t>퓨쳐켐</t>
        </is>
      </c>
      <c r="G5371" s="2" t="inlineStr">
        <is>
          <t>20260312000100</t>
        </is>
      </c>
      <c r="H5371" s="8">
        <f>HYPERLINK("https://dart.fss.or.kr/dsaf001/main.do?rcpNo=20260312000100", "공시열람")</f>
        <v/>
      </c>
    </row>
    <row r="5372">
      <c r="A5372" s="2" t="inlineStr">
        <is>
          <t>2026-03-12</t>
        </is>
      </c>
      <c r="B5372" s="3" t="inlineStr">
        <is>
          <t>비보존 제약</t>
        </is>
      </c>
      <c r="C5372" s="2" t="inlineStr">
        <is>
          <t>코스닥</t>
        </is>
      </c>
      <c r="D5372" s="2" t="inlineStr">
        <is>
          <t>082800</t>
        </is>
      </c>
      <c r="E5372" s="3" t="inlineStr">
        <is>
          <t>임원ㆍ주요주주특정증권등소유상황보고서</t>
        </is>
      </c>
      <c r="F5372" s="3" t="inlineStr">
        <is>
          <t>이풍석</t>
        </is>
      </c>
      <c r="G5372" s="2" t="inlineStr">
        <is>
          <t>20260312000131</t>
        </is>
      </c>
      <c r="H5372" s="8">
        <f>HYPERLINK("https://dart.fss.or.kr/dsaf001/main.do?rcpNo=20260312000131", "공시열람")</f>
        <v/>
      </c>
    </row>
    <row r="5373">
      <c r="A5373" s="2" t="inlineStr">
        <is>
          <t>2026-03-12</t>
        </is>
      </c>
      <c r="B5373" s="3" t="inlineStr">
        <is>
          <t>삼화전자공업</t>
        </is>
      </c>
      <c r="C5373" s="2" t="inlineStr">
        <is>
          <t>코스피</t>
        </is>
      </c>
      <c r="D5373" s="2" t="inlineStr">
        <is>
          <t>011230</t>
        </is>
      </c>
      <c r="E5373" s="3" t="inlineStr">
        <is>
          <t>의결권대리행사권유참고서류</t>
        </is>
      </c>
      <c r="F5373" s="3" t="inlineStr">
        <is>
          <t>삼화전자공업</t>
        </is>
      </c>
      <c r="G5373" s="2" t="inlineStr">
        <is>
          <t>20260312000128</t>
        </is>
      </c>
      <c r="H5373" s="8">
        <f>HYPERLINK("https://dart.fss.or.kr/dsaf001/main.do?rcpNo=20260312000128", "공시열람")</f>
        <v/>
      </c>
    </row>
    <row r="5374">
      <c r="A5374" s="2" t="inlineStr">
        <is>
          <t>2026-03-12</t>
        </is>
      </c>
      <c r="B5374" s="3" t="inlineStr">
        <is>
          <t>현대차증권</t>
        </is>
      </c>
      <c r="C5374" s="2" t="inlineStr">
        <is>
          <t>코스피</t>
        </is>
      </c>
      <c r="D5374" s="2" t="inlineStr">
        <is>
          <t>001500</t>
        </is>
      </c>
      <c r="E5374" s="3" t="inlineStr">
        <is>
          <t>증권발행실적보고서</t>
        </is>
      </c>
      <c r="F5374" s="3" t="inlineStr">
        <is>
          <t>현대차증권</t>
        </is>
      </c>
      <c r="G5374" s="2" t="inlineStr">
        <is>
          <t>20260312000121</t>
        </is>
      </c>
      <c r="H5374" s="8">
        <f>HYPERLINK("https://dart.fss.or.kr/dsaf001/main.do?rcpNo=20260312000121", "공시열람")</f>
        <v/>
      </c>
    </row>
    <row r="5375">
      <c r="A5375" s="2" t="inlineStr">
        <is>
          <t>2026-03-12</t>
        </is>
      </c>
      <c r="B5375" s="3" t="inlineStr">
        <is>
          <t>성우하이텍</t>
        </is>
      </c>
      <c r="C5375" s="2" t="inlineStr">
        <is>
          <t>코스닥</t>
        </is>
      </c>
      <c r="D5375" s="2" t="inlineStr">
        <is>
          <t>015750</t>
        </is>
      </c>
      <c r="E5375" s="3" t="inlineStr">
        <is>
          <t>의결권대리행사권유참고서류</t>
        </is>
      </c>
      <c r="F5375" s="3" t="inlineStr">
        <is>
          <t>성우하이텍</t>
        </is>
      </c>
      <c r="G5375" s="2" t="inlineStr">
        <is>
          <t>20260312000113</t>
        </is>
      </c>
      <c r="H5375" s="8">
        <f>HYPERLINK("https://dart.fss.or.kr/dsaf001/main.do?rcpNo=20260312000113", "공시열람")</f>
        <v/>
      </c>
    </row>
    <row r="5376">
      <c r="A5376" s="2" t="inlineStr">
        <is>
          <t>2026-03-12</t>
        </is>
      </c>
      <c r="B5376" s="3" t="inlineStr">
        <is>
          <t>NE능률</t>
        </is>
      </c>
      <c r="C5376" s="2" t="inlineStr">
        <is>
          <t>코스닥</t>
        </is>
      </c>
      <c r="D5376" s="2" t="inlineStr">
        <is>
          <t>053290</t>
        </is>
      </c>
      <c r="E5376" s="3" t="inlineStr">
        <is>
          <t>의결권대리행사권유참고서류</t>
        </is>
      </c>
      <c r="F5376" s="3" t="inlineStr">
        <is>
          <t>NE능률</t>
        </is>
      </c>
      <c r="G5376" s="2" t="inlineStr">
        <is>
          <t>20260312000112</t>
        </is>
      </c>
      <c r="H5376" s="8">
        <f>HYPERLINK("https://dart.fss.or.kr/dsaf001/main.do?rcpNo=20260312000112", "공시열람")</f>
        <v/>
      </c>
    </row>
    <row r="5377">
      <c r="A5377" s="2" t="inlineStr">
        <is>
          <t>2026-03-12</t>
        </is>
      </c>
      <c r="B5377" s="3" t="inlineStr">
        <is>
          <t>지니언스</t>
        </is>
      </c>
      <c r="C5377" s="2" t="inlineStr">
        <is>
          <t>코스닥</t>
        </is>
      </c>
      <c r="D5377" s="2" t="inlineStr">
        <is>
          <t>263860</t>
        </is>
      </c>
      <c r="E5377" s="3" t="inlineStr">
        <is>
          <t xml:space="preserve">기업설명회(IR)개최              </t>
        </is>
      </c>
      <c r="F5377" s="3" t="inlineStr">
        <is>
          <t>지니언스</t>
        </is>
      </c>
      <c r="G5377" s="2" t="inlineStr">
        <is>
          <t>20260312900141</t>
        </is>
      </c>
      <c r="H5377" s="8">
        <f>HYPERLINK("https://dart.fss.or.kr/dsaf001/main.do?rcpNo=20260312900141", "공시열람")</f>
        <v/>
      </c>
    </row>
    <row r="5378">
      <c r="A5378" s="2" t="inlineStr">
        <is>
          <t>2026-03-12</t>
        </is>
      </c>
      <c r="B5378" s="3" t="inlineStr">
        <is>
          <t>동우팜투테이블</t>
        </is>
      </c>
      <c r="C5378" s="2" t="inlineStr">
        <is>
          <t>코스닥</t>
        </is>
      </c>
      <c r="D5378" s="2" t="inlineStr">
        <is>
          <t>088910</t>
        </is>
      </c>
      <c r="E5378" s="3" t="inlineStr">
        <is>
          <t>의결권대리행사권유참고서류</t>
        </is>
      </c>
      <c r="F5378" s="3" t="inlineStr">
        <is>
          <t>동우팜투테이블</t>
        </is>
      </c>
      <c r="G5378" s="2" t="inlineStr">
        <is>
          <t>20260312000095</t>
        </is>
      </c>
      <c r="H5378" s="8">
        <f>HYPERLINK("https://dart.fss.or.kr/dsaf001/main.do?rcpNo=20260312000095", "공시열람")</f>
        <v/>
      </c>
    </row>
    <row r="5379">
      <c r="A5379" s="2" t="inlineStr">
        <is>
          <t>2026-03-12 (정정: 2026-03-23)</t>
        </is>
      </c>
      <c r="B5379" s="3" t="inlineStr">
        <is>
          <t>한국무브넥스</t>
        </is>
      </c>
      <c r="C5379" s="2" t="inlineStr">
        <is>
          <t>코스피</t>
        </is>
      </c>
      <c r="D5379" s="2" t="inlineStr">
        <is>
          <t>010100</t>
        </is>
      </c>
      <c r="E5379" s="3" t="inlineStr">
        <is>
          <t>의결권대리행사권유참고서류 (정정: 20260323)</t>
        </is>
      </c>
      <c r="F5379" s="3" t="inlineStr">
        <is>
          <t>한국무브넥스</t>
        </is>
      </c>
      <c r="G5379" s="2" t="inlineStr">
        <is>
          <t>20260323000516</t>
        </is>
      </c>
      <c r="H5379" s="8">
        <f>HYPERLINK("https://dart.fss.or.kr/dsaf001/main.do?rcpNo=20260323000516", "공시열람")</f>
        <v/>
      </c>
    </row>
    <row r="5380">
      <c r="A5380" s="2" t="inlineStr">
        <is>
          <t>2026-03-12</t>
        </is>
      </c>
      <c r="B5380" s="3" t="inlineStr">
        <is>
          <t>코나아이</t>
        </is>
      </c>
      <c r="C5380" s="2" t="inlineStr">
        <is>
          <t>코스닥</t>
        </is>
      </c>
      <c r="D5380" s="2" t="inlineStr">
        <is>
          <t>052400</t>
        </is>
      </c>
      <c r="E5380" s="3" t="inlineStr">
        <is>
          <t>임원ㆍ주요주주특정증권등소유상황보고서</t>
        </is>
      </c>
      <c r="F5380" s="3" t="inlineStr">
        <is>
          <t>김병균</t>
        </is>
      </c>
      <c r="G5380" s="2" t="inlineStr">
        <is>
          <t>20260312000089</t>
        </is>
      </c>
      <c r="H5380" s="8">
        <f>HYPERLINK("https://dart.fss.or.kr/dsaf001/main.do?rcpNo=20260312000089", "공시열람")</f>
        <v/>
      </c>
    </row>
    <row r="5381">
      <c r="A5381" s="2" t="inlineStr">
        <is>
          <t>2026-03-12</t>
        </is>
      </c>
      <c r="B5381" s="3" t="inlineStr">
        <is>
          <t>코스맥스엔비티</t>
        </is>
      </c>
      <c r="C5381" s="2" t="inlineStr">
        <is>
          <t>코스닥</t>
        </is>
      </c>
      <c r="D5381" s="2" t="inlineStr">
        <is>
          <t>222040</t>
        </is>
      </c>
      <c r="E5381" s="3" t="inlineStr">
        <is>
          <t>임원ㆍ주요주주특정증권등소유상황보고서</t>
        </is>
      </c>
      <c r="F5381" s="3" t="inlineStr">
        <is>
          <t>안재식</t>
        </is>
      </c>
      <c r="G5381" s="2" t="inlineStr">
        <is>
          <t>20260312000084</t>
        </is>
      </c>
      <c r="H5381" s="8">
        <f>HYPERLINK("https://dart.fss.or.kr/dsaf001/main.do?rcpNo=20260312000084", "공시열람")</f>
        <v/>
      </c>
    </row>
    <row r="5382">
      <c r="A5382" s="2" t="inlineStr">
        <is>
          <t>2026-03-12</t>
        </is>
      </c>
      <c r="B5382" s="3" t="inlineStr">
        <is>
          <t>코셈</t>
        </is>
      </c>
      <c r="C5382" s="2" t="inlineStr">
        <is>
          <t>코스닥</t>
        </is>
      </c>
      <c r="D5382" s="2" t="inlineStr">
        <is>
          <t>360350</t>
        </is>
      </c>
      <c r="E5382" s="3" t="inlineStr">
        <is>
          <t>의결권대리행사권유참고서류</t>
        </is>
      </c>
      <c r="F5382" s="3" t="inlineStr">
        <is>
          <t>코셈</t>
        </is>
      </c>
      <c r="G5382" s="2" t="inlineStr">
        <is>
          <t>20260312000081</t>
        </is>
      </c>
      <c r="H5382" s="8">
        <f>HYPERLINK("https://dart.fss.or.kr/dsaf001/main.do?rcpNo=20260312000081", "공시열람")</f>
        <v/>
      </c>
    </row>
    <row r="5383">
      <c r="A5383" s="2" t="inlineStr">
        <is>
          <t>2026-03-12</t>
        </is>
      </c>
      <c r="B5383" s="3" t="inlineStr">
        <is>
          <t>앱코</t>
        </is>
      </c>
      <c r="C5383" s="2" t="inlineStr">
        <is>
          <t>코스닥</t>
        </is>
      </c>
      <c r="D5383" s="2" t="inlineStr">
        <is>
          <t>129890</t>
        </is>
      </c>
      <c r="E5383" s="3" t="inlineStr">
        <is>
          <t>의결권대리행사권유참고서류</t>
        </is>
      </c>
      <c r="F5383" s="3" t="inlineStr">
        <is>
          <t>앱코</t>
        </is>
      </c>
      <c r="G5383" s="2" t="inlineStr">
        <is>
          <t>20260312000071</t>
        </is>
      </c>
      <c r="H5383" s="8">
        <f>HYPERLINK("https://dart.fss.or.kr/dsaf001/main.do?rcpNo=20260312000071", "공시열람")</f>
        <v/>
      </c>
    </row>
    <row r="5384">
      <c r="A5384" s="2" t="inlineStr">
        <is>
          <t>2026-03-12</t>
        </is>
      </c>
      <c r="B5384" s="3" t="inlineStr">
        <is>
          <t>자연과환경</t>
        </is>
      </c>
      <c r="C5384" s="2" t="inlineStr">
        <is>
          <t>코스닥</t>
        </is>
      </c>
      <c r="D5384" s="2" t="inlineStr">
        <is>
          <t>043910</t>
        </is>
      </c>
      <c r="E5384" s="3" t="inlineStr">
        <is>
          <t>임원ㆍ주요주주특정증권등소유상황보고서</t>
        </is>
      </c>
      <c r="F5384" s="3" t="inlineStr">
        <is>
          <t>이병용</t>
        </is>
      </c>
      <c r="G5384" s="2" t="inlineStr">
        <is>
          <t>20260312000062</t>
        </is>
      </c>
      <c r="H5384" s="8">
        <f>HYPERLINK("https://dart.fss.or.kr/dsaf001/main.do?rcpNo=20260312000062", "공시열람")</f>
        <v/>
      </c>
    </row>
    <row r="5385">
      <c r="A5385" s="2" t="inlineStr">
        <is>
          <t>2026-03-12</t>
        </is>
      </c>
      <c r="B5385" s="3" t="inlineStr">
        <is>
          <t>교보20호스팩</t>
        </is>
      </c>
      <c r="C5385" s="2" t="inlineStr">
        <is>
          <t>코스닥</t>
        </is>
      </c>
      <c r="D5385" s="2" t="inlineStr">
        <is>
          <t>0132G0</t>
        </is>
      </c>
      <c r="E5385" s="3" t="inlineStr">
        <is>
          <t>투자설명서</t>
        </is>
      </c>
      <c r="F5385" s="3" t="inlineStr">
        <is>
          <t>교보20호스팩</t>
        </is>
      </c>
      <c r="G5385" s="2" t="inlineStr">
        <is>
          <t>20260312000061</t>
        </is>
      </c>
      <c r="H5385" s="8">
        <f>HYPERLINK("https://dart.fss.or.kr/dsaf001/main.do?rcpNo=20260312000061", "공시열람")</f>
        <v/>
      </c>
    </row>
    <row r="5386">
      <c r="A5386" s="2" t="inlineStr">
        <is>
          <t>2026-03-12</t>
        </is>
      </c>
      <c r="B5386" s="3" t="inlineStr">
        <is>
          <t>서울식품공업</t>
        </is>
      </c>
      <c r="C5386" s="2" t="inlineStr">
        <is>
          <t>코스피</t>
        </is>
      </c>
      <c r="D5386" s="2" t="inlineStr">
        <is>
          <t>004410</t>
        </is>
      </c>
      <c r="E5386" s="3" t="inlineStr">
        <is>
          <t xml:space="preserve">주식병합결정              </t>
        </is>
      </c>
      <c r="F5386" s="3" t="inlineStr">
        <is>
          <t>서울식품공업</t>
        </is>
      </c>
      <c r="G5386" s="2" t="inlineStr">
        <is>
          <t>20260312800073</t>
        </is>
      </c>
      <c r="H5386" s="8">
        <f>HYPERLINK("https://dart.fss.or.kr/dsaf001/main.do?rcpNo=20260312800073", "공시열람")</f>
        <v/>
      </c>
    </row>
    <row r="5387">
      <c r="A5387" s="2" t="inlineStr">
        <is>
          <t>2026-03-12</t>
        </is>
      </c>
      <c r="B5387" s="3" t="inlineStr">
        <is>
          <t>비보존 제약</t>
        </is>
      </c>
      <c r="C5387" s="2" t="inlineStr">
        <is>
          <t>코스닥</t>
        </is>
      </c>
      <c r="D5387" s="2" t="inlineStr">
        <is>
          <t>082800</t>
        </is>
      </c>
      <c r="E5387" s="3" t="inlineStr">
        <is>
          <t>임원ㆍ주요주주특정증권등소유상황보고서</t>
        </is>
      </c>
      <c r="F5387" s="3" t="inlineStr">
        <is>
          <t>이지연</t>
        </is>
      </c>
      <c r="G5387" s="2" t="inlineStr">
        <is>
          <t>20260312000032</t>
        </is>
      </c>
      <c r="H5387" s="8">
        <f>HYPERLINK("https://dart.fss.or.kr/dsaf001/main.do?rcpNo=20260312000032", "공시열람")</f>
        <v/>
      </c>
    </row>
    <row r="5388">
      <c r="A5388" s="2" t="inlineStr">
        <is>
          <t>2026-03-12</t>
        </is>
      </c>
      <c r="B5388" s="3" t="inlineStr">
        <is>
          <t>아이엠</t>
        </is>
      </c>
      <c r="C5388" s="2" t="inlineStr">
        <is>
          <t>코스닥</t>
        </is>
      </c>
      <c r="D5388" s="2" t="inlineStr">
        <is>
          <t>101390</t>
        </is>
      </c>
      <c r="E5388" s="3" t="inlineStr">
        <is>
          <t>의결권대리행사권유참고서류</t>
        </is>
      </c>
      <c r="F5388" s="3" t="inlineStr">
        <is>
          <t>아이엠</t>
        </is>
      </c>
      <c r="G5388" s="2" t="inlineStr">
        <is>
          <t>20260312000025</t>
        </is>
      </c>
      <c r="H5388" s="8">
        <f>HYPERLINK("https://dart.fss.or.kr/dsaf001/main.do?rcpNo=20260312000025", "공시열람")</f>
        <v/>
      </c>
    </row>
    <row r="5389">
      <c r="A5389" s="2" t="inlineStr">
        <is>
          <t>2026-03-12</t>
        </is>
      </c>
      <c r="B5389" s="3" t="inlineStr">
        <is>
          <t>에프앤가이드</t>
        </is>
      </c>
      <c r="C5389" s="2" t="inlineStr">
        <is>
          <t>코스닥</t>
        </is>
      </c>
      <c r="D5389" s="2" t="inlineStr">
        <is>
          <t>064850</t>
        </is>
      </c>
      <c r="E5389" s="3" t="inlineStr">
        <is>
          <t>임원ㆍ주요주주특정증권등소유상황보고서</t>
        </is>
      </c>
      <c r="F5389" s="3" t="inlineStr">
        <is>
          <t>전민석</t>
        </is>
      </c>
      <c r="G5389" s="2" t="inlineStr">
        <is>
          <t>20260312000021</t>
        </is>
      </c>
      <c r="H5389" s="8">
        <f>HYPERLINK("https://dart.fss.or.kr/dsaf001/main.do?rcpNo=20260312000021", "공시열람")</f>
        <v/>
      </c>
    </row>
    <row r="5390">
      <c r="A5390" s="2" t="inlineStr">
        <is>
          <t>2026-03-12</t>
        </is>
      </c>
      <c r="B5390" s="3" t="inlineStr">
        <is>
          <t>한국앤컴퍼니</t>
        </is>
      </c>
      <c r="C5390" s="2" t="inlineStr">
        <is>
          <t>코스피</t>
        </is>
      </c>
      <c r="D5390" s="2" t="inlineStr">
        <is>
          <t>000240</t>
        </is>
      </c>
      <c r="E5390" s="3" t="inlineStr">
        <is>
          <t>[첨부정정]의결권대리행사권유참고서류</t>
        </is>
      </c>
      <c r="F5390" s="3" t="inlineStr">
        <is>
          <t>한국앤컴퍼니</t>
        </is>
      </c>
      <c r="G5390" s="2" t="inlineStr">
        <is>
          <t>20260312000020</t>
        </is>
      </c>
      <c r="H5390" s="8">
        <f>HYPERLINK("https://dart.fss.or.kr/dsaf001/main.do?rcpNo=20260312000020", "공시열람")</f>
        <v/>
      </c>
    </row>
    <row r="5391">
      <c r="A5391" s="2" t="inlineStr">
        <is>
          <t>2026-03-12</t>
        </is>
      </c>
      <c r="B5391" s="3" t="inlineStr">
        <is>
          <t>오르비텍</t>
        </is>
      </c>
      <c r="C5391" s="2" t="inlineStr">
        <is>
          <t>코스닥</t>
        </is>
      </c>
      <c r="D5391" s="2" t="inlineStr">
        <is>
          <t>046120</t>
        </is>
      </c>
      <c r="E5391" s="3" t="inlineStr">
        <is>
          <t>의결권대리행사권유참고서류</t>
        </is>
      </c>
      <c r="F5391" s="3" t="inlineStr">
        <is>
          <t>오르비텍</t>
        </is>
      </c>
      <c r="G5391" s="2" t="inlineStr">
        <is>
          <t>20260312000004</t>
        </is>
      </c>
      <c r="H5391" s="8">
        <f>HYPERLINK("https://dart.fss.or.kr/dsaf001/main.do?rcpNo=20260312000004", "공시열람")</f>
        <v/>
      </c>
    </row>
    <row r="5392">
      <c r="A5392" s="2" t="inlineStr">
        <is>
          <t>2026-03-12</t>
        </is>
      </c>
      <c r="B5392" s="3" t="inlineStr">
        <is>
          <t>SK네트웍스</t>
        </is>
      </c>
      <c r="C5392" s="2" t="inlineStr">
        <is>
          <t>코스피</t>
        </is>
      </c>
      <c r="D5392" s="2" t="inlineStr">
        <is>
          <t>001740</t>
        </is>
      </c>
      <c r="E5392" s="3" t="inlineStr">
        <is>
          <t>[첨부정정]의결권대리행사권유참고서류</t>
        </is>
      </c>
      <c r="F5392" s="3" t="inlineStr">
        <is>
          <t>SK네트웍스</t>
        </is>
      </c>
      <c r="G5392" s="2" t="inlineStr">
        <is>
          <t>20260312000002</t>
        </is>
      </c>
      <c r="H5392" s="8">
        <f>HYPERLINK("https://dart.fss.or.kr/dsaf001/main.do?rcpNo=20260312000002", "공시열람")</f>
        <v/>
      </c>
    </row>
    <row r="5393">
      <c r="A5393" s="2" t="inlineStr">
        <is>
          <t>2026-03-12</t>
        </is>
      </c>
      <c r="B5393" s="3" t="inlineStr">
        <is>
          <t>강원랜드</t>
        </is>
      </c>
      <c r="C5393" s="2" t="inlineStr">
        <is>
          <t>코스피</t>
        </is>
      </c>
      <c r="D5393" s="2" t="inlineStr">
        <is>
          <t>035250</t>
        </is>
      </c>
      <c r="E5393" s="3" t="inlineStr">
        <is>
          <t xml:space="preserve">중대재해발생              </t>
        </is>
      </c>
      <c r="F5393" s="3" t="inlineStr">
        <is>
          <t>강원랜드</t>
        </is>
      </c>
      <c r="G5393" s="2" t="inlineStr">
        <is>
          <t>20260312800002</t>
        </is>
      </c>
      <c r="H5393" s="8">
        <f>HYPERLINK("https://dart.fss.or.kr/dsaf001/main.do?rcpNo=20260312800002", "공시열람")</f>
        <v/>
      </c>
    </row>
    <row r="5394">
      <c r="A5394" s="2" t="inlineStr">
        <is>
          <t>2026-03-12</t>
        </is>
      </c>
      <c r="B5394" s="3" t="inlineStr">
        <is>
          <t>멤레이비티</t>
        </is>
      </c>
      <c r="C5394" s="2" t="inlineStr">
        <is>
          <t>코스닥</t>
        </is>
      </c>
      <c r="D5394" s="2" t="inlineStr">
        <is>
          <t>072770</t>
        </is>
      </c>
      <c r="E5394" s="3" t="inlineStr">
        <is>
          <t>의결권대리행사권유참고서류</t>
        </is>
      </c>
      <c r="F5394" s="3" t="inlineStr">
        <is>
          <t>멤레이비티</t>
        </is>
      </c>
      <c r="G5394" s="2" t="inlineStr">
        <is>
          <t>20260311004652</t>
        </is>
      </c>
      <c r="H5394" s="8">
        <f>HYPERLINK("https://dart.fss.or.kr/dsaf001/main.do?rcpNo=20260311004652", "공시열람")</f>
        <v/>
      </c>
    </row>
    <row r="5395">
      <c r="A5395" s="2" t="inlineStr">
        <is>
          <t>2026-03-12</t>
        </is>
      </c>
      <c r="B5395" s="3" t="inlineStr">
        <is>
          <t>시선AI</t>
        </is>
      </c>
      <c r="C5395" s="2" t="inlineStr">
        <is>
          <t>코스닥</t>
        </is>
      </c>
      <c r="D5395" s="2" t="inlineStr">
        <is>
          <t>340810</t>
        </is>
      </c>
      <c r="E5395" s="3" t="inlineStr">
        <is>
          <t>의결권대리행사권유참고서류</t>
        </is>
      </c>
      <c r="F5395" s="3" t="inlineStr">
        <is>
          <t>시선AI</t>
        </is>
      </c>
      <c r="G5395" s="2" t="inlineStr">
        <is>
          <t>20260311004655</t>
        </is>
      </c>
      <c r="H5395" s="8">
        <f>HYPERLINK("https://dart.fss.or.kr/dsaf001/main.do?rcpNo=20260311004655", "공시열람")</f>
        <v/>
      </c>
    </row>
    <row r="5396">
      <c r="A5396" s="2" t="inlineStr">
        <is>
          <t>2026-03-12</t>
        </is>
      </c>
      <c r="B5396" s="3" t="inlineStr">
        <is>
          <t>인바디</t>
        </is>
      </c>
      <c r="C5396" s="2" t="inlineStr">
        <is>
          <t>코스닥</t>
        </is>
      </c>
      <c r="D5396" s="2" t="inlineStr">
        <is>
          <t>041830</t>
        </is>
      </c>
      <c r="E5396" s="3" t="inlineStr">
        <is>
          <t>의결권대리행사권유참고서류</t>
        </is>
      </c>
      <c r="F5396" s="3" t="inlineStr">
        <is>
          <t>인바디</t>
        </is>
      </c>
      <c r="G5396" s="2" t="inlineStr">
        <is>
          <t>20260311004662</t>
        </is>
      </c>
      <c r="H5396" s="8">
        <f>HYPERLINK("https://dart.fss.or.kr/dsaf001/main.do?rcpNo=20260311004662", "공시열람")</f>
        <v/>
      </c>
    </row>
    <row r="5397">
      <c r="A5397" s="2" t="inlineStr">
        <is>
          <t>2026-03-13</t>
        </is>
      </c>
      <c r="B5397" s="3" t="inlineStr">
        <is>
          <t>에코글로우</t>
        </is>
      </c>
      <c r="C5397" s="2" t="inlineStr">
        <is>
          <t>코스닥</t>
        </is>
      </c>
      <c r="D5397" s="2" t="inlineStr">
        <is>
          <t>159910</t>
        </is>
      </c>
      <c r="E5397" s="3" t="inlineStr">
        <is>
          <t xml:space="preserve">감사보고서제출              </t>
        </is>
      </c>
      <c r="F5397" s="3" t="inlineStr">
        <is>
          <t>에코글로우</t>
        </is>
      </c>
      <c r="G5397" s="2" t="inlineStr">
        <is>
          <t>20260313902326</t>
        </is>
      </c>
      <c r="H5397" s="8">
        <f>HYPERLINK("https://dart.fss.or.kr/dsaf001/main.do?rcpNo=20260313902326", "공시열람")</f>
        <v/>
      </c>
    </row>
    <row r="5398">
      <c r="A5398" s="2" t="inlineStr">
        <is>
          <t>2026-03-13</t>
        </is>
      </c>
      <c r="B5398" s="3" t="inlineStr">
        <is>
          <t>계양전기</t>
        </is>
      </c>
      <c r="C5398" s="2" t="inlineStr">
        <is>
          <t>코스피</t>
        </is>
      </c>
      <c r="D5398" s="2" t="inlineStr">
        <is>
          <t>012200</t>
        </is>
      </c>
      <c r="E5398" s="3" t="inlineStr">
        <is>
          <t xml:space="preserve">감사보고서제출              </t>
        </is>
      </c>
      <c r="F5398" s="3" t="inlineStr">
        <is>
          <t>계양전기</t>
        </is>
      </c>
      <c r="G5398" s="2" t="inlineStr">
        <is>
          <t>20260313802321</t>
        </is>
      </c>
      <c r="H5398" s="8">
        <f>HYPERLINK("https://dart.fss.or.kr/dsaf001/main.do?rcpNo=20260313802321", "공시열람")</f>
        <v/>
      </c>
    </row>
    <row r="5399">
      <c r="A5399" s="2" t="inlineStr">
        <is>
          <t>2026-03-13</t>
        </is>
      </c>
      <c r="B5399" s="3" t="inlineStr">
        <is>
          <t>엠디바이스</t>
        </is>
      </c>
      <c r="C5399" s="2" t="inlineStr">
        <is>
          <t>코스닥</t>
        </is>
      </c>
      <c r="D5399" s="2" t="inlineStr">
        <is>
          <t>226590</t>
        </is>
      </c>
      <c r="E5399" s="3" t="inlineStr">
        <is>
          <t xml:space="preserve">감사보고서제출              </t>
        </is>
      </c>
      <c r="F5399" s="3" t="inlineStr">
        <is>
          <t>엠디바이스</t>
        </is>
      </c>
      <c r="G5399" s="2" t="inlineStr">
        <is>
          <t>20260313902320</t>
        </is>
      </c>
      <c r="H5399" s="8">
        <f>HYPERLINK("https://dart.fss.or.kr/dsaf001/main.do?rcpNo=20260313902320", "공시열람")</f>
        <v/>
      </c>
    </row>
    <row r="5400">
      <c r="A5400" s="2" t="inlineStr">
        <is>
          <t>2026-03-13</t>
        </is>
      </c>
      <c r="B5400" s="3" t="inlineStr">
        <is>
          <t>DH오토리드</t>
        </is>
      </c>
      <c r="C5400" s="2" t="inlineStr">
        <is>
          <t>코스닥</t>
        </is>
      </c>
      <c r="D5400" s="2" t="inlineStr">
        <is>
          <t>290120</t>
        </is>
      </c>
      <c r="E5400" s="3" t="inlineStr">
        <is>
          <t xml:space="preserve">현금ㆍ현물배당결정              </t>
        </is>
      </c>
      <c r="F5400" s="3" t="inlineStr">
        <is>
          <t>DH오토리드</t>
        </is>
      </c>
      <c r="G5400" s="2" t="inlineStr">
        <is>
          <t>20260313902318</t>
        </is>
      </c>
      <c r="H5400" s="8">
        <f>HYPERLINK("https://dart.fss.or.kr/dsaf001/main.do?rcpNo=20260313902318", "공시열람")</f>
        <v/>
      </c>
    </row>
    <row r="5401">
      <c r="A5401" s="2" t="inlineStr">
        <is>
          <t>2026-03-13</t>
        </is>
      </c>
      <c r="B5401" s="3" t="inlineStr">
        <is>
          <t>엠게임</t>
        </is>
      </c>
      <c r="C5401" s="2" t="inlineStr">
        <is>
          <t>코스닥</t>
        </is>
      </c>
      <c r="D5401" s="2" t="inlineStr">
        <is>
          <t>058630</t>
        </is>
      </c>
      <c r="E5401" s="3" t="inlineStr">
        <is>
          <t xml:space="preserve">감사보고서제출              </t>
        </is>
      </c>
      <c r="F5401" s="3" t="inlineStr">
        <is>
          <t>엠게임</t>
        </is>
      </c>
      <c r="G5401" s="2" t="inlineStr">
        <is>
          <t>20260313902317</t>
        </is>
      </c>
      <c r="H5401" s="8">
        <f>HYPERLINK("https://dart.fss.or.kr/dsaf001/main.do?rcpNo=20260313902317", "공시열람")</f>
        <v/>
      </c>
    </row>
    <row r="5402">
      <c r="A5402" s="2" t="inlineStr">
        <is>
          <t>2026-03-13</t>
        </is>
      </c>
      <c r="B5402" s="3" t="inlineStr">
        <is>
          <t>에이비프로바이오</t>
        </is>
      </c>
      <c r="C5402" s="2" t="inlineStr">
        <is>
          <t>코스닥</t>
        </is>
      </c>
      <c r="D5402" s="2" t="inlineStr">
        <is>
          <t>195990</t>
        </is>
      </c>
      <c r="E5402" s="3" t="inlineStr">
        <is>
          <t xml:space="preserve">경영권변경등에관한계약체결              </t>
        </is>
      </c>
      <c r="F5402" s="3" t="inlineStr">
        <is>
          <t>에이비프로바이오</t>
        </is>
      </c>
      <c r="G5402" s="2" t="inlineStr">
        <is>
          <t>20260313902288</t>
        </is>
      </c>
      <c r="H5402" s="8">
        <f>HYPERLINK("https://dart.fss.or.kr/dsaf001/main.do?rcpNo=20260313902288", "공시열람")</f>
        <v/>
      </c>
    </row>
    <row r="5403">
      <c r="A5403" s="2" t="inlineStr">
        <is>
          <t>2026-03-13</t>
        </is>
      </c>
      <c r="B5403" s="3" t="inlineStr">
        <is>
          <t>슈피겐코리아</t>
        </is>
      </c>
      <c r="C5403" s="2" t="inlineStr">
        <is>
          <t>코스닥</t>
        </is>
      </c>
      <c r="D5403" s="2" t="inlineStr">
        <is>
          <t>192440</t>
        </is>
      </c>
      <c r="E5403" s="3" t="inlineStr">
        <is>
          <t xml:space="preserve">현금ㆍ현물배당결정              </t>
        </is>
      </c>
      <c r="F5403" s="3" t="inlineStr">
        <is>
          <t>슈피겐코리아</t>
        </is>
      </c>
      <c r="G5403" s="2" t="inlineStr">
        <is>
          <t>20260313902303</t>
        </is>
      </c>
      <c r="H5403" s="8">
        <f>HYPERLINK("https://dart.fss.or.kr/dsaf001/main.do?rcpNo=20260313902303", "공시열람")</f>
        <v/>
      </c>
    </row>
    <row r="5404">
      <c r="A5404" s="2" t="inlineStr">
        <is>
          <t>2026-03-13</t>
        </is>
      </c>
      <c r="B5404" s="3" t="inlineStr">
        <is>
          <t>BGF</t>
        </is>
      </c>
      <c r="C5404" s="2" t="inlineStr">
        <is>
          <t>코스피</t>
        </is>
      </c>
      <c r="D5404" s="2" t="inlineStr">
        <is>
          <t>027410</t>
        </is>
      </c>
      <c r="E5404" s="3" t="inlineStr">
        <is>
          <t xml:space="preserve">감사보고서제출(자회사의 주요경영사항)              </t>
        </is>
      </c>
      <c r="F5404" s="3" t="inlineStr">
        <is>
          <t>BGF</t>
        </is>
      </c>
      <c r="G5404" s="2" t="inlineStr">
        <is>
          <t>20260313802308</t>
        </is>
      </c>
      <c r="H5404" s="8">
        <f>HYPERLINK("https://dart.fss.or.kr/dsaf001/main.do?rcpNo=20260313802308", "공시열람")</f>
        <v/>
      </c>
    </row>
    <row r="5405">
      <c r="A5405" s="2" t="inlineStr">
        <is>
          <t>2026-03-13</t>
        </is>
      </c>
      <c r="B5405" s="3" t="inlineStr">
        <is>
          <t>부국철강</t>
        </is>
      </c>
      <c r="C5405" s="2" t="inlineStr">
        <is>
          <t>코스피</t>
        </is>
      </c>
      <c r="D5405" s="2" t="inlineStr">
        <is>
          <t>026940</t>
        </is>
      </c>
      <c r="E5405" s="3" t="inlineStr">
        <is>
          <t xml:space="preserve">감사보고서제출              </t>
        </is>
      </c>
      <c r="F5405" s="3" t="inlineStr">
        <is>
          <t>부국철강</t>
        </is>
      </c>
      <c r="G5405" s="2" t="inlineStr">
        <is>
          <t>20260313802307</t>
        </is>
      </c>
      <c r="H5405" s="8">
        <f>HYPERLINK("https://dart.fss.or.kr/dsaf001/main.do?rcpNo=20260313802307", "공시열람")</f>
        <v/>
      </c>
    </row>
    <row r="5406">
      <c r="A5406" s="2" t="inlineStr">
        <is>
          <t>2026-03-13</t>
        </is>
      </c>
      <c r="B5406" s="3" t="inlineStr">
        <is>
          <t>BGF에코머티리얼즈</t>
        </is>
      </c>
      <c r="C5406" s="2" t="inlineStr">
        <is>
          <t>코스닥</t>
        </is>
      </c>
      <c r="D5406" s="2" t="inlineStr">
        <is>
          <t>126600</t>
        </is>
      </c>
      <c r="E5406" s="3" t="inlineStr">
        <is>
          <t xml:space="preserve">감사보고서제출              </t>
        </is>
      </c>
      <c r="F5406" s="3" t="inlineStr">
        <is>
          <t>BGF에코머티리얼즈</t>
        </is>
      </c>
      <c r="G5406" s="2" t="inlineStr">
        <is>
          <t>20260313902276</t>
        </is>
      </c>
      <c r="H5406" s="8">
        <f>HYPERLINK("https://dart.fss.or.kr/dsaf001/main.do?rcpNo=20260313902276", "공시열람")</f>
        <v/>
      </c>
    </row>
    <row r="5407">
      <c r="A5407" s="2" t="inlineStr">
        <is>
          <t>2026-03-13</t>
        </is>
      </c>
      <c r="B5407" s="3" t="inlineStr">
        <is>
          <t>에코프로</t>
        </is>
      </c>
      <c r="C5407" s="2" t="inlineStr">
        <is>
          <t>코스닥</t>
        </is>
      </c>
      <c r="D5407" s="2" t="inlineStr">
        <is>
          <t>086520</t>
        </is>
      </c>
      <c r="E5407" s="3" t="inlineStr">
        <is>
          <t xml:space="preserve">감사보고서제출(자회사의 주요경영사항)              </t>
        </is>
      </c>
      <c r="F5407" s="3" t="inlineStr">
        <is>
          <t>에코프로</t>
        </is>
      </c>
      <c r="G5407" s="2" t="inlineStr">
        <is>
          <t>20260313902277</t>
        </is>
      </c>
      <c r="H5407" s="8">
        <f>HYPERLINK("https://dart.fss.or.kr/dsaf001/main.do?rcpNo=20260313902277", "공시열람")</f>
        <v/>
      </c>
    </row>
    <row r="5408">
      <c r="A5408" s="2" t="inlineStr">
        <is>
          <t>2026-03-13</t>
        </is>
      </c>
      <c r="B5408" s="3" t="inlineStr">
        <is>
          <t>압타바이오</t>
        </is>
      </c>
      <c r="C5408" s="2" t="inlineStr">
        <is>
          <t>코스닥</t>
        </is>
      </c>
      <c r="D5408" s="2" t="inlineStr">
        <is>
          <t>293780</t>
        </is>
      </c>
      <c r="E5408" s="3" t="inlineStr">
        <is>
          <t>투자판단관련주요경영사항(임상시험계획승인신청등결정)              (조영제유발급성신장손상(CIAKI) 치료제 Isuzinaxib(APX115)의 국내 2상 임상시험계획(IND) 변경승인)</t>
        </is>
      </c>
      <c r="F5408" s="3" t="inlineStr">
        <is>
          <t>압타바이오</t>
        </is>
      </c>
      <c r="G5408" s="2" t="inlineStr">
        <is>
          <t>20260313902284</t>
        </is>
      </c>
      <c r="H5408" s="8">
        <f>HYPERLINK("https://dart.fss.or.kr/dsaf001/main.do?rcpNo=20260313902284", "공시열람")</f>
        <v/>
      </c>
    </row>
    <row r="5409">
      <c r="A5409" s="2" t="inlineStr">
        <is>
          <t>2026-03-13 (정정: 2026-03-13)</t>
        </is>
      </c>
      <c r="B5409" s="3" t="inlineStr">
        <is>
          <t>디와이피엔에프</t>
        </is>
      </c>
      <c r="C5409" s="2" t="inlineStr">
        <is>
          <t>코스닥</t>
        </is>
      </c>
      <c r="D5409" s="2" t="inlineStr">
        <is>
          <t>104460</t>
        </is>
      </c>
      <c r="E5409" s="3" t="inlineStr">
        <is>
          <t>[기재정정]현금ㆍ현물배당결정               (정정: 20260313)</t>
        </is>
      </c>
      <c r="F5409" s="3" t="inlineStr">
        <is>
          <t>디와이피엔에프</t>
        </is>
      </c>
      <c r="G5409" s="2" t="inlineStr">
        <is>
          <t>20260313902062</t>
        </is>
      </c>
      <c r="H5409" s="8">
        <f>HYPERLINK("https://dart.fss.or.kr/dsaf001/main.do?rcpNo=20260313902062", "공시열람")</f>
        <v/>
      </c>
    </row>
    <row r="5410">
      <c r="A5410" s="2" t="inlineStr">
        <is>
          <t>2026-03-13</t>
        </is>
      </c>
      <c r="B5410" s="3" t="inlineStr">
        <is>
          <t>셀루메드</t>
        </is>
      </c>
      <c r="C5410" s="2" t="inlineStr">
        <is>
          <t>코스닥</t>
        </is>
      </c>
      <c r="D5410" s="2" t="inlineStr">
        <is>
          <t>049180</t>
        </is>
      </c>
      <c r="E5410" s="3" t="inlineStr">
        <is>
          <t>소송등의판결ㆍ결정              (주식 압류명령)</t>
        </is>
      </c>
      <c r="F5410" s="3" t="inlineStr">
        <is>
          <t>셀루메드</t>
        </is>
      </c>
      <c r="G5410" s="2" t="inlineStr">
        <is>
          <t>20260313902269</t>
        </is>
      </c>
      <c r="H5410" s="8">
        <f>HYPERLINK("https://dart.fss.or.kr/dsaf001/main.do?rcpNo=20260313902269", "공시열람")</f>
        <v/>
      </c>
    </row>
    <row r="5411">
      <c r="A5411" s="2" t="inlineStr">
        <is>
          <t>2026-03-13</t>
        </is>
      </c>
      <c r="B5411" s="3" t="inlineStr">
        <is>
          <t>하이로닉</t>
        </is>
      </c>
      <c r="C5411" s="2" t="inlineStr">
        <is>
          <t>코스닥</t>
        </is>
      </c>
      <c r="D5411" s="2" t="inlineStr">
        <is>
          <t>149980</t>
        </is>
      </c>
      <c r="E5411" s="3" t="inlineStr">
        <is>
          <t xml:space="preserve">매출액또는손익구조30%(대규모법인은15%)이상변동              </t>
        </is>
      </c>
      <c r="F5411" s="3" t="inlineStr">
        <is>
          <t>하이로닉</t>
        </is>
      </c>
      <c r="G5411" s="2" t="inlineStr">
        <is>
          <t>20260313902280</t>
        </is>
      </c>
      <c r="H5411" s="8">
        <f>HYPERLINK("https://dart.fss.or.kr/dsaf001/main.do?rcpNo=20260313902280", "공시열람")</f>
        <v/>
      </c>
    </row>
    <row r="5412">
      <c r="A5412" s="2" t="inlineStr">
        <is>
          <t>2026-03-13</t>
        </is>
      </c>
      <c r="B5412" s="3" t="inlineStr">
        <is>
          <t>알엔투테크놀로지</t>
        </is>
      </c>
      <c r="C5412" s="2" t="inlineStr">
        <is>
          <t>코스닥</t>
        </is>
      </c>
      <c r="D5412" s="2" t="inlineStr">
        <is>
          <t>148250</t>
        </is>
      </c>
      <c r="E5412" s="3" t="inlineStr">
        <is>
          <t>불성실공시법인지정              (공시번복 1건, 공시변경 1건)</t>
        </is>
      </c>
      <c r="F5412" s="3" t="inlineStr">
        <is>
          <t>코스닥시장본부</t>
        </is>
      </c>
      <c r="G5412" s="2" t="inlineStr">
        <is>
          <t>20260313902163</t>
        </is>
      </c>
      <c r="H5412" s="8">
        <f>HYPERLINK("https://dart.fss.or.kr/dsaf001/main.do?rcpNo=20260313902163", "공시열람")</f>
        <v/>
      </c>
    </row>
    <row r="5413">
      <c r="A5413" s="2" t="inlineStr">
        <is>
          <t>2026-03-13</t>
        </is>
      </c>
      <c r="B5413" s="3" t="inlineStr">
        <is>
          <t>메지온</t>
        </is>
      </c>
      <c r="C5413" s="2" t="inlineStr">
        <is>
          <t>코스닥</t>
        </is>
      </c>
      <c r="D5413" s="2" t="inlineStr">
        <is>
          <t>140410</t>
        </is>
      </c>
      <c r="E5413" s="3" t="inlineStr">
        <is>
          <t xml:space="preserve">매출액또는손익구조30%(대규모법인은15%)이상변동              </t>
        </is>
      </c>
      <c r="F5413" s="3" t="inlineStr">
        <is>
          <t>메지온</t>
        </is>
      </c>
      <c r="G5413" s="2" t="inlineStr">
        <is>
          <t>20260313902274</t>
        </is>
      </c>
      <c r="H5413" s="8">
        <f>HYPERLINK("https://dart.fss.or.kr/dsaf001/main.do?rcpNo=20260313902274", "공시열람")</f>
        <v/>
      </c>
    </row>
    <row r="5414">
      <c r="A5414" s="2" t="inlineStr">
        <is>
          <t>2026-03-13</t>
        </is>
      </c>
      <c r="B5414" s="3" t="inlineStr">
        <is>
          <t>에코프로에이치엔</t>
        </is>
      </c>
      <c r="C5414" s="2" t="inlineStr">
        <is>
          <t>코스닥</t>
        </is>
      </c>
      <c r="D5414" s="2" t="inlineStr">
        <is>
          <t>383310</t>
        </is>
      </c>
      <c r="E5414" s="3" t="inlineStr">
        <is>
          <t xml:space="preserve">감사보고서제출              </t>
        </is>
      </c>
      <c r="F5414" s="3" t="inlineStr">
        <is>
          <t>에코프로에이치엔</t>
        </is>
      </c>
      <c r="G5414" s="2" t="inlineStr">
        <is>
          <t>20260313902239</t>
        </is>
      </c>
      <c r="H5414" s="8">
        <f>HYPERLINK("https://dart.fss.or.kr/dsaf001/main.do?rcpNo=20260313902239", "공시열람")</f>
        <v/>
      </c>
    </row>
    <row r="5415">
      <c r="A5415" s="2" t="inlineStr">
        <is>
          <t>2026-03-13 (정정: 2026-03-19)</t>
        </is>
      </c>
      <c r="B5415" s="3" t="inlineStr">
        <is>
          <t>아톤</t>
        </is>
      </c>
      <c r="C5415" s="2" t="inlineStr">
        <is>
          <t>코스닥</t>
        </is>
      </c>
      <c r="D5415" s="2" t="inlineStr">
        <is>
          <t>158430</t>
        </is>
      </c>
      <c r="E5415" s="3" t="inlineStr">
        <is>
          <t>매출액또는손익구조30%(대규모법인은15%)이상변동               (정정: 20260319)</t>
        </is>
      </c>
      <c r="F5415" s="3" t="inlineStr">
        <is>
          <t>아톤</t>
        </is>
      </c>
      <c r="G5415" s="2" t="inlineStr">
        <is>
          <t>20260319001323</t>
        </is>
      </c>
      <c r="H5415" s="8">
        <f>HYPERLINK("https://dart.fss.or.kr/dsaf001/main.do?rcpNo=20260319001323", "공시열람")</f>
        <v/>
      </c>
    </row>
    <row r="5416">
      <c r="A5416" s="2" t="inlineStr">
        <is>
          <t>2026-03-13</t>
        </is>
      </c>
      <c r="B5416" s="3" t="inlineStr">
        <is>
          <t>한양증권</t>
        </is>
      </c>
      <c r="C5416" s="2" t="inlineStr">
        <is>
          <t>코스피</t>
        </is>
      </c>
      <c r="D5416" s="2" t="inlineStr">
        <is>
          <t>001750</t>
        </is>
      </c>
      <c r="E5416" s="3" t="inlineStr">
        <is>
          <t xml:space="preserve">횡령ㆍ배임혐의발생              </t>
        </is>
      </c>
      <c r="F5416" s="3" t="inlineStr">
        <is>
          <t>한양증권</t>
        </is>
      </c>
      <c r="G5416" s="2" t="inlineStr">
        <is>
          <t>20260313802237</t>
        </is>
      </c>
      <c r="H5416" s="8">
        <f>HYPERLINK("https://dart.fss.or.kr/dsaf001/main.do?rcpNo=20260313802237", "공시열람")</f>
        <v/>
      </c>
    </row>
    <row r="5417">
      <c r="A5417" s="2" t="inlineStr">
        <is>
          <t>2026-03-13</t>
        </is>
      </c>
      <c r="B5417" s="3" t="inlineStr">
        <is>
          <t>하림</t>
        </is>
      </c>
      <c r="C5417" s="2" t="inlineStr">
        <is>
          <t>코스닥</t>
        </is>
      </c>
      <c r="D5417" s="2" t="inlineStr">
        <is>
          <t>136480</t>
        </is>
      </c>
      <c r="E5417" s="3" t="inlineStr">
        <is>
          <t xml:space="preserve">감사보고서제출              </t>
        </is>
      </c>
      <c r="F5417" s="3" t="inlineStr">
        <is>
          <t>하림</t>
        </is>
      </c>
      <c r="G5417" s="2" t="inlineStr">
        <is>
          <t>20260313902227</t>
        </is>
      </c>
      <c r="H5417" s="8">
        <f>HYPERLINK("https://dart.fss.or.kr/dsaf001/main.do?rcpNo=20260313902227", "공시열람")</f>
        <v/>
      </c>
    </row>
    <row r="5418">
      <c r="A5418" s="2" t="inlineStr">
        <is>
          <t>2026-03-13</t>
        </is>
      </c>
      <c r="B5418" s="3" t="inlineStr">
        <is>
          <t>아톤</t>
        </is>
      </c>
      <c r="C5418" s="2" t="inlineStr">
        <is>
          <t>코스닥</t>
        </is>
      </c>
      <c r="D5418" s="2" t="inlineStr">
        <is>
          <t>158430</t>
        </is>
      </c>
      <c r="E5418" s="3" t="inlineStr">
        <is>
          <t xml:space="preserve">현금ㆍ현물배당결정              </t>
        </is>
      </c>
      <c r="F5418" s="3" t="inlineStr">
        <is>
          <t>아톤</t>
        </is>
      </c>
      <c r="G5418" s="2" t="inlineStr">
        <is>
          <t>20260313902234</t>
        </is>
      </c>
      <c r="H5418" s="8">
        <f>HYPERLINK("https://dart.fss.or.kr/dsaf001/main.do?rcpNo=20260313902234", "공시열람")</f>
        <v/>
      </c>
    </row>
    <row r="5419">
      <c r="A5419" s="2" t="inlineStr">
        <is>
          <t>2026-03-13</t>
        </is>
      </c>
      <c r="B5419" s="3" t="inlineStr">
        <is>
          <t>레뷰코퍼레이션</t>
        </is>
      </c>
      <c r="C5419" s="2" t="inlineStr">
        <is>
          <t>코스닥</t>
        </is>
      </c>
      <c r="D5419" s="2" t="inlineStr">
        <is>
          <t>443250</t>
        </is>
      </c>
      <c r="E5419" s="3" t="inlineStr">
        <is>
          <t xml:space="preserve">감사보고서제출              </t>
        </is>
      </c>
      <c r="F5419" s="3" t="inlineStr">
        <is>
          <t>레뷰코퍼레이션</t>
        </is>
      </c>
      <c r="G5419" s="2" t="inlineStr">
        <is>
          <t>20260313901854</t>
        </is>
      </c>
      <c r="H5419" s="8">
        <f>HYPERLINK("https://dart.fss.or.kr/dsaf001/main.do?rcpNo=20260313901854", "공시열람")</f>
        <v/>
      </c>
    </row>
    <row r="5420">
      <c r="A5420" s="2" t="inlineStr">
        <is>
          <t>2026-03-13</t>
        </is>
      </c>
      <c r="B5420" s="3" t="inlineStr">
        <is>
          <t>미래에셋증권</t>
        </is>
      </c>
      <c r="C5420" s="2" t="inlineStr">
        <is>
          <t>코스피</t>
        </is>
      </c>
      <c r="D5420" s="2" t="inlineStr">
        <is>
          <t>006800</t>
        </is>
      </c>
      <c r="E5420" s="3" t="inlineStr">
        <is>
          <t xml:space="preserve">감사보고서제출              </t>
        </is>
      </c>
      <c r="F5420" s="3" t="inlineStr">
        <is>
          <t>미래에셋증권</t>
        </is>
      </c>
      <c r="G5420" s="2" t="inlineStr">
        <is>
          <t>20260313802108</t>
        </is>
      </c>
      <c r="H5420" s="8">
        <f>HYPERLINK("https://dart.fss.or.kr/dsaf001/main.do?rcpNo=20260313802108", "공시열람")</f>
        <v/>
      </c>
    </row>
    <row r="5421">
      <c r="A5421" s="2" t="inlineStr">
        <is>
          <t>2026-03-13</t>
        </is>
      </c>
      <c r="B5421" s="3" t="inlineStr">
        <is>
          <t>인피니트헬스케어</t>
        </is>
      </c>
      <c r="C5421" s="2" t="inlineStr">
        <is>
          <t>코스닥</t>
        </is>
      </c>
      <c r="D5421" s="2" t="inlineStr">
        <is>
          <t>071200</t>
        </is>
      </c>
      <c r="E5421" s="3" t="inlineStr">
        <is>
          <t xml:space="preserve">현금ㆍ현물배당결정              </t>
        </is>
      </c>
      <c r="F5421" s="3" t="inlineStr">
        <is>
          <t>인피니트헬스케어</t>
        </is>
      </c>
      <c r="G5421" s="2" t="inlineStr">
        <is>
          <t>20260313902184</t>
        </is>
      </c>
      <c r="H5421" s="8">
        <f>HYPERLINK("https://dart.fss.or.kr/dsaf001/main.do?rcpNo=20260313902184", "공시열람")</f>
        <v/>
      </c>
    </row>
    <row r="5422">
      <c r="A5422" s="2" t="inlineStr">
        <is>
          <t>2026-03-13</t>
        </is>
      </c>
      <c r="B5422" s="3" t="inlineStr">
        <is>
          <t>웰킵스하이텍</t>
        </is>
      </c>
      <c r="C5422" s="2" t="inlineStr">
        <is>
          <t>코스닥</t>
        </is>
      </c>
      <c r="D5422" s="2" t="inlineStr">
        <is>
          <t>043590</t>
        </is>
      </c>
      <c r="E5422" s="3" t="inlineStr">
        <is>
          <t xml:space="preserve">주식병합결정              </t>
        </is>
      </c>
      <c r="F5422" s="3" t="inlineStr">
        <is>
          <t>웰킵스하이텍</t>
        </is>
      </c>
      <c r="G5422" s="2" t="inlineStr">
        <is>
          <t>20260313902229</t>
        </is>
      </c>
      <c r="H5422" s="8">
        <f>HYPERLINK("https://dart.fss.or.kr/dsaf001/main.do?rcpNo=20260313902229", "공시열람")</f>
        <v/>
      </c>
    </row>
    <row r="5423">
      <c r="A5423" s="2" t="inlineStr">
        <is>
          <t>2026-03-13</t>
        </is>
      </c>
      <c r="B5423" s="3" t="inlineStr">
        <is>
          <t>인피니트헬스케어</t>
        </is>
      </c>
      <c r="C5423" s="2" t="inlineStr">
        <is>
          <t>코스닥</t>
        </is>
      </c>
      <c r="D5423" s="2" t="inlineStr">
        <is>
          <t>071200</t>
        </is>
      </c>
      <c r="E5423" s="3" t="inlineStr">
        <is>
          <t xml:space="preserve">매출액또는손익구조30%(대규모법인은15%)이상변동              </t>
        </is>
      </c>
      <c r="F5423" s="3" t="inlineStr">
        <is>
          <t>인피니트헬스케어</t>
        </is>
      </c>
      <c r="G5423" s="2" t="inlineStr">
        <is>
          <t>20260313902181</t>
        </is>
      </c>
      <c r="H5423" s="8">
        <f>HYPERLINK("https://dart.fss.or.kr/dsaf001/main.do?rcpNo=20260313902181", "공시열람")</f>
        <v/>
      </c>
    </row>
    <row r="5424">
      <c r="A5424" s="2" t="inlineStr">
        <is>
          <t>2026-03-13</t>
        </is>
      </c>
      <c r="B5424" s="3" t="inlineStr">
        <is>
          <t>이랜시스</t>
        </is>
      </c>
      <c r="C5424" s="2" t="inlineStr">
        <is>
          <t>코스닥</t>
        </is>
      </c>
      <c r="D5424" s="2" t="inlineStr">
        <is>
          <t>264850</t>
        </is>
      </c>
      <c r="E5424" s="3" t="inlineStr">
        <is>
          <t xml:space="preserve">감사보고서제출              </t>
        </is>
      </c>
      <c r="F5424" s="3" t="inlineStr">
        <is>
          <t>이랜시스</t>
        </is>
      </c>
      <c r="G5424" s="2" t="inlineStr">
        <is>
          <t>20260313902177</t>
        </is>
      </c>
      <c r="H5424" s="8">
        <f>HYPERLINK("https://dart.fss.or.kr/dsaf001/main.do?rcpNo=20260313902177", "공시열람")</f>
        <v/>
      </c>
    </row>
    <row r="5425">
      <c r="A5425" s="2" t="inlineStr">
        <is>
          <t>2026-03-13</t>
        </is>
      </c>
      <c r="B5425" s="3" t="inlineStr">
        <is>
          <t>킵스파마</t>
        </is>
      </c>
      <c r="C5425" s="2" t="inlineStr">
        <is>
          <t>코스닥</t>
        </is>
      </c>
      <c r="D5425" s="2" t="inlineStr">
        <is>
          <t>256940</t>
        </is>
      </c>
      <c r="E5425" s="3" t="inlineStr">
        <is>
          <t xml:space="preserve">매출액또는손익구조30%(대규모법인은15%)이상변동              </t>
        </is>
      </c>
      <c r="F5425" s="3" t="inlineStr">
        <is>
          <t>킵스파마</t>
        </is>
      </c>
      <c r="G5425" s="2" t="inlineStr">
        <is>
          <t>20260313902196</t>
        </is>
      </c>
      <c r="H5425" s="8">
        <f>HYPERLINK("https://dart.fss.or.kr/dsaf001/main.do?rcpNo=20260313902196", "공시열람")</f>
        <v/>
      </c>
    </row>
    <row r="5426">
      <c r="A5426" s="2" t="inlineStr">
        <is>
          <t>2026-03-13</t>
        </is>
      </c>
      <c r="B5426" s="3" t="inlineStr">
        <is>
          <t>아톤</t>
        </is>
      </c>
      <c r="C5426" s="2" t="inlineStr">
        <is>
          <t>코스닥</t>
        </is>
      </c>
      <c r="D5426" s="2" t="inlineStr">
        <is>
          <t>158430</t>
        </is>
      </c>
      <c r="E5426" s="3" t="inlineStr">
        <is>
          <t xml:space="preserve">대표이사변경              </t>
        </is>
      </c>
      <c r="F5426" s="3" t="inlineStr">
        <is>
          <t>아톤</t>
        </is>
      </c>
      <c r="G5426" s="2" t="inlineStr">
        <is>
          <t>20260313902159</t>
        </is>
      </c>
      <c r="H5426" s="8">
        <f>HYPERLINK("https://dart.fss.or.kr/dsaf001/main.do?rcpNo=20260313902159", "공시열람")</f>
        <v/>
      </c>
    </row>
    <row r="5427">
      <c r="A5427" s="2" t="inlineStr">
        <is>
          <t>2026-03-13</t>
        </is>
      </c>
      <c r="B5427" s="3" t="inlineStr">
        <is>
          <t>킵스파마</t>
        </is>
      </c>
      <c r="C5427" s="2" t="inlineStr">
        <is>
          <t>코스닥</t>
        </is>
      </c>
      <c r="D5427" s="2" t="inlineStr">
        <is>
          <t>256940</t>
        </is>
      </c>
      <c r="E5427" s="3" t="inlineStr">
        <is>
          <t>의결권대리행사권유참고서류</t>
        </is>
      </c>
      <c r="F5427" s="3" t="inlineStr">
        <is>
          <t>킵스파마</t>
        </is>
      </c>
      <c r="G5427" s="2" t="inlineStr">
        <is>
          <t>20260313001371</t>
        </is>
      </c>
      <c r="H5427" s="8">
        <f>HYPERLINK("https://dart.fss.or.kr/dsaf001/main.do?rcpNo=20260313001371", "공시열람")</f>
        <v/>
      </c>
    </row>
    <row r="5428">
      <c r="A5428" s="2" t="inlineStr">
        <is>
          <t>2026-03-13</t>
        </is>
      </c>
      <c r="B5428" s="3" t="inlineStr">
        <is>
          <t>홈캐스트</t>
        </is>
      </c>
      <c r="C5428" s="2" t="inlineStr">
        <is>
          <t>코스닥</t>
        </is>
      </c>
      <c r="D5428" s="2" t="inlineStr">
        <is>
          <t>064240</t>
        </is>
      </c>
      <c r="E5428" s="3" t="inlineStr">
        <is>
          <t xml:space="preserve">감사보고서제출              </t>
        </is>
      </c>
      <c r="F5428" s="3" t="inlineStr">
        <is>
          <t>홈캐스트</t>
        </is>
      </c>
      <c r="G5428" s="2" t="inlineStr">
        <is>
          <t>20260313902113</t>
        </is>
      </c>
      <c r="H5428" s="8">
        <f>HYPERLINK("https://dart.fss.or.kr/dsaf001/main.do?rcpNo=20260313902113", "공시열람")</f>
        <v/>
      </c>
    </row>
    <row r="5429">
      <c r="A5429" s="2" t="inlineStr">
        <is>
          <t>2026-03-13</t>
        </is>
      </c>
      <c r="B5429" s="3" t="inlineStr">
        <is>
          <t>에이프로</t>
        </is>
      </c>
      <c r="C5429" s="2" t="inlineStr">
        <is>
          <t>코스닥</t>
        </is>
      </c>
      <c r="D5429" s="2" t="inlineStr">
        <is>
          <t>262260</t>
        </is>
      </c>
      <c r="E5429" s="3" t="inlineStr">
        <is>
          <t>의결권대리행사권유참고서류</t>
        </is>
      </c>
      <c r="F5429" s="3" t="inlineStr">
        <is>
          <t>에이프로</t>
        </is>
      </c>
      <c r="G5429" s="2" t="inlineStr">
        <is>
          <t>20260313001364</t>
        </is>
      </c>
      <c r="H5429" s="8">
        <f>HYPERLINK("https://dart.fss.or.kr/dsaf001/main.do?rcpNo=20260313001364", "공시열람")</f>
        <v/>
      </c>
    </row>
    <row r="5430">
      <c r="A5430" s="2" t="inlineStr">
        <is>
          <t>2026-03-13</t>
        </is>
      </c>
      <c r="B5430" s="3" t="inlineStr">
        <is>
          <t>서린바이오</t>
        </is>
      </c>
      <c r="C5430" s="2" t="inlineStr">
        <is>
          <t>코스닥</t>
        </is>
      </c>
      <c r="D5430" s="2" t="inlineStr">
        <is>
          <t>038070</t>
        </is>
      </c>
      <c r="E5430" s="3" t="inlineStr">
        <is>
          <t xml:space="preserve">감사보고서제출              </t>
        </is>
      </c>
      <c r="F5430" s="3" t="inlineStr">
        <is>
          <t>서린바이오</t>
        </is>
      </c>
      <c r="G5430" s="2" t="inlineStr">
        <is>
          <t>20260313901996</t>
        </is>
      </c>
      <c r="H5430" s="8">
        <f>HYPERLINK("https://dart.fss.or.kr/dsaf001/main.do?rcpNo=20260313901996", "공시열람")</f>
        <v/>
      </c>
    </row>
    <row r="5431">
      <c r="A5431" s="2" t="inlineStr">
        <is>
          <t>2026-03-13</t>
        </is>
      </c>
      <c r="B5431" s="3" t="inlineStr">
        <is>
          <t>삼영에스앤씨</t>
        </is>
      </c>
      <c r="C5431" s="2" t="inlineStr">
        <is>
          <t>코스닥</t>
        </is>
      </c>
      <c r="D5431" s="2" t="inlineStr">
        <is>
          <t>361670</t>
        </is>
      </c>
      <c r="E5431" s="3" t="inlineStr">
        <is>
          <t xml:space="preserve">감사보고서제출              </t>
        </is>
      </c>
      <c r="F5431" s="3" t="inlineStr">
        <is>
          <t>삼영에스앤씨</t>
        </is>
      </c>
      <c r="G5431" s="2" t="inlineStr">
        <is>
          <t>20260313902018</t>
        </is>
      </c>
      <c r="H5431" s="8">
        <f>HYPERLINK("https://dart.fss.or.kr/dsaf001/main.do?rcpNo=20260313902018", "공시열람")</f>
        <v/>
      </c>
    </row>
    <row r="5432">
      <c r="A5432" s="2" t="inlineStr">
        <is>
          <t>2026-03-13</t>
        </is>
      </c>
      <c r="B5432" s="3" t="inlineStr">
        <is>
          <t>JW홀딩스</t>
        </is>
      </c>
      <c r="C5432" s="2" t="inlineStr">
        <is>
          <t>코스피</t>
        </is>
      </c>
      <c r="D5432" s="2" t="inlineStr">
        <is>
          <t>096760</t>
        </is>
      </c>
      <c r="E5432" s="3" t="inlineStr">
        <is>
          <t xml:space="preserve">감사보고서제출(자회사의 주요경영사항)              </t>
        </is>
      </c>
      <c r="F5432" s="3" t="inlineStr">
        <is>
          <t>JW홀딩스</t>
        </is>
      </c>
      <c r="G5432" s="2" t="inlineStr">
        <is>
          <t>20260313802145</t>
        </is>
      </c>
      <c r="H5432" s="8">
        <f>HYPERLINK("https://dart.fss.or.kr/dsaf001/main.do?rcpNo=20260313802145", "공시열람")</f>
        <v/>
      </c>
    </row>
    <row r="5433">
      <c r="A5433" s="2" t="inlineStr">
        <is>
          <t>2026-03-13</t>
        </is>
      </c>
      <c r="B5433" s="3" t="inlineStr">
        <is>
          <t>엑시큐어하이트론</t>
        </is>
      </c>
      <c r="C5433" s="2" t="inlineStr">
        <is>
          <t>코스피</t>
        </is>
      </c>
      <c r="D5433" s="2" t="inlineStr">
        <is>
          <t>019490</t>
        </is>
      </c>
      <c r="E5433" s="3" t="inlineStr">
        <is>
          <t>의결권대리행사권유참고서류</t>
        </is>
      </c>
      <c r="F5433" s="3" t="inlineStr">
        <is>
          <t>컨두잇투자자문</t>
        </is>
      </c>
      <c r="G5433" s="2" t="inlineStr">
        <is>
          <t>20260313001358</t>
        </is>
      </c>
      <c r="H5433" s="8">
        <f>HYPERLINK("https://dart.fss.or.kr/dsaf001/main.do?rcpNo=20260313001358", "공시열람")</f>
        <v/>
      </c>
    </row>
    <row r="5434">
      <c r="A5434" s="2" t="inlineStr">
        <is>
          <t>2026-03-13</t>
        </is>
      </c>
      <c r="B5434" s="3" t="inlineStr">
        <is>
          <t>넥스턴앤롤코리아</t>
        </is>
      </c>
      <c r="C5434" s="2" t="inlineStr">
        <is>
          <t>코스닥</t>
        </is>
      </c>
      <c r="D5434" s="2" t="inlineStr">
        <is>
          <t>089140</t>
        </is>
      </c>
      <c r="E5434" s="3" t="inlineStr">
        <is>
          <t xml:space="preserve">전환가액의조정              </t>
        </is>
      </c>
      <c r="F5434" s="3" t="inlineStr">
        <is>
          <t>넥스턴앤롤코리아</t>
        </is>
      </c>
      <c r="G5434" s="2" t="inlineStr">
        <is>
          <t>20260313902167</t>
        </is>
      </c>
      <c r="H5434" s="8">
        <f>HYPERLINK("https://dart.fss.or.kr/dsaf001/main.do?rcpNo=20260313902167", "공시열람")</f>
        <v/>
      </c>
    </row>
    <row r="5435">
      <c r="A5435" s="2" t="inlineStr">
        <is>
          <t>2026-03-13</t>
        </is>
      </c>
      <c r="B5435" s="3" t="inlineStr">
        <is>
          <t>한빛레이저</t>
        </is>
      </c>
      <c r="C5435" s="2" t="inlineStr">
        <is>
          <t>코스닥</t>
        </is>
      </c>
      <c r="D5435" s="2" t="inlineStr">
        <is>
          <t>452190</t>
        </is>
      </c>
      <c r="E5435" s="3" t="inlineStr">
        <is>
          <t>임원ㆍ주요주주특정증권등소유상황보고서</t>
        </is>
      </c>
      <c r="F5435" s="3" t="inlineStr">
        <is>
          <t>최병규</t>
        </is>
      </c>
      <c r="G5435" s="2" t="inlineStr">
        <is>
          <t>20260313001354</t>
        </is>
      </c>
      <c r="H5435" s="8">
        <f>HYPERLINK("https://dart.fss.or.kr/dsaf001/main.do?rcpNo=20260313001354", "공시열람")</f>
        <v/>
      </c>
    </row>
    <row r="5436">
      <c r="A5436" s="2" t="inlineStr">
        <is>
          <t>2026-03-13</t>
        </is>
      </c>
      <c r="B5436" s="3" t="inlineStr">
        <is>
          <t>컬러레이</t>
        </is>
      </c>
      <c r="C5436" s="2" t="inlineStr">
        <is>
          <t>코스닥</t>
        </is>
      </c>
      <c r="D5436" s="2" t="inlineStr">
        <is>
          <t>900310</t>
        </is>
      </c>
      <c r="E5436" s="3" t="inlineStr">
        <is>
          <t xml:space="preserve">매출액또는손익구조30%(대규모법인은15%)이상변동(자회사의 주요경영사항)              </t>
        </is>
      </c>
      <c r="F5436" s="3" t="inlineStr">
        <is>
          <t>컬러레이</t>
        </is>
      </c>
      <c r="G5436" s="2" t="inlineStr">
        <is>
          <t>20260313902045</t>
        </is>
      </c>
      <c r="H5436" s="8">
        <f>HYPERLINK("https://dart.fss.or.kr/dsaf001/main.do?rcpNo=20260313902045", "공시열람")</f>
        <v/>
      </c>
    </row>
    <row r="5437">
      <c r="A5437" s="2" t="inlineStr">
        <is>
          <t>2026-03-13</t>
        </is>
      </c>
      <c r="B5437" s="3" t="inlineStr">
        <is>
          <t>오가노이드사이언스</t>
        </is>
      </c>
      <c r="C5437" s="2" t="inlineStr">
        <is>
          <t>코스닥</t>
        </is>
      </c>
      <c r="D5437" s="2" t="inlineStr">
        <is>
          <t>476040</t>
        </is>
      </c>
      <c r="E5437" s="3" t="inlineStr">
        <is>
          <t>투자판단관련주요경영사항(임상시험계획승인신청등결정)              (자가 성체줄기세포유래 장 오가노이드(ATORMC)의 제1상 임상시험계획 승인))</t>
        </is>
      </c>
      <c r="F5437" s="3" t="inlineStr">
        <is>
          <t>오가노이드사이언스</t>
        </is>
      </c>
      <c r="G5437" s="2" t="inlineStr">
        <is>
          <t>20260313902134</t>
        </is>
      </c>
      <c r="H5437" s="8">
        <f>HYPERLINK("https://dart.fss.or.kr/dsaf001/main.do?rcpNo=20260313902134", "공시열람")</f>
        <v/>
      </c>
    </row>
    <row r="5438">
      <c r="A5438" s="2" t="inlineStr">
        <is>
          <t>2026-03-13</t>
        </is>
      </c>
      <c r="B5438" s="3" t="inlineStr">
        <is>
          <t>하이브</t>
        </is>
      </c>
      <c r="C5438" s="2" t="inlineStr">
        <is>
          <t>코스피</t>
        </is>
      </c>
      <c r="D5438" s="2" t="inlineStr">
        <is>
          <t>352820</t>
        </is>
      </c>
      <c r="E5438" s="3" t="inlineStr">
        <is>
          <t xml:space="preserve">감사보고서제출              </t>
        </is>
      </c>
      <c r="F5438" s="3" t="inlineStr">
        <is>
          <t>하이브</t>
        </is>
      </c>
      <c r="G5438" s="2" t="inlineStr">
        <is>
          <t>20260313802097</t>
        </is>
      </c>
      <c r="H5438" s="8">
        <f>HYPERLINK("https://dart.fss.or.kr/dsaf001/main.do?rcpNo=20260313802097", "공시열람")</f>
        <v/>
      </c>
    </row>
    <row r="5439">
      <c r="A5439" s="2" t="inlineStr">
        <is>
          <t>2026-03-13</t>
        </is>
      </c>
      <c r="B5439" s="3" t="inlineStr">
        <is>
          <t>사람인</t>
        </is>
      </c>
      <c r="C5439" s="2" t="inlineStr">
        <is>
          <t>코스닥</t>
        </is>
      </c>
      <c r="D5439" s="2" t="inlineStr">
        <is>
          <t>143240</t>
        </is>
      </c>
      <c r="E5439" s="3" t="inlineStr">
        <is>
          <t xml:space="preserve">감사보고서제출              </t>
        </is>
      </c>
      <c r="F5439" s="3" t="inlineStr">
        <is>
          <t>사람인</t>
        </is>
      </c>
      <c r="G5439" s="2" t="inlineStr">
        <is>
          <t>20260313901977</t>
        </is>
      </c>
      <c r="H5439" s="8">
        <f>HYPERLINK("https://dart.fss.or.kr/dsaf001/main.do?rcpNo=20260313901977", "공시열람")</f>
        <v/>
      </c>
    </row>
    <row r="5440">
      <c r="A5440" s="2" t="inlineStr">
        <is>
          <t>2026-03-13</t>
        </is>
      </c>
      <c r="B5440" s="3" t="inlineStr">
        <is>
          <t>컬러레이</t>
        </is>
      </c>
      <c r="C5440" s="2" t="inlineStr">
        <is>
          <t>코스닥</t>
        </is>
      </c>
      <c r="D5440" s="2" t="inlineStr">
        <is>
          <t>900310</t>
        </is>
      </c>
      <c r="E5440" s="3" t="inlineStr">
        <is>
          <t xml:space="preserve">매출액또는손익구조30%(대규모법인은15%)이상변동              </t>
        </is>
      </c>
      <c r="F5440" s="3" t="inlineStr">
        <is>
          <t>컬러레이</t>
        </is>
      </c>
      <c r="G5440" s="2" t="inlineStr">
        <is>
          <t>20260313902040</t>
        </is>
      </c>
      <c r="H5440" s="8">
        <f>HYPERLINK("https://dart.fss.or.kr/dsaf001/main.do?rcpNo=20260313902040", "공시열람")</f>
        <v/>
      </c>
    </row>
    <row r="5441">
      <c r="A5441" s="2" t="inlineStr">
        <is>
          <t>2026-03-13</t>
        </is>
      </c>
      <c r="B5441" s="3" t="inlineStr">
        <is>
          <t>모아텍</t>
        </is>
      </c>
      <c r="C5441" s="2" t="inlineStr">
        <is>
          <t>코스닥</t>
        </is>
      </c>
      <c r="D5441" s="2" t="inlineStr">
        <is>
          <t>033200</t>
        </is>
      </c>
      <c r="E5441" s="3" t="inlineStr">
        <is>
          <t xml:space="preserve">주주명부폐쇄기간또는기준일설정              </t>
        </is>
      </c>
      <c r="F5441" s="3" t="inlineStr">
        <is>
          <t>모아텍</t>
        </is>
      </c>
      <c r="G5441" s="2" t="inlineStr">
        <is>
          <t>20260313902028</t>
        </is>
      </c>
      <c r="H5441" s="8">
        <f>HYPERLINK("https://dart.fss.or.kr/dsaf001/main.do?rcpNo=20260313902028", "공시열람")</f>
        <v/>
      </c>
    </row>
    <row r="5442">
      <c r="A5442" s="2" t="inlineStr">
        <is>
          <t>2026-03-13</t>
        </is>
      </c>
      <c r="B5442" s="3" t="inlineStr">
        <is>
          <t>하나머티리얼즈</t>
        </is>
      </c>
      <c r="C5442" s="2" t="inlineStr">
        <is>
          <t>코스닥</t>
        </is>
      </c>
      <c r="D5442" s="2" t="inlineStr">
        <is>
          <t>166090</t>
        </is>
      </c>
      <c r="E5442" s="3" t="inlineStr">
        <is>
          <t xml:space="preserve">감사보고서제출              </t>
        </is>
      </c>
      <c r="F5442" s="3" t="inlineStr">
        <is>
          <t>하나머티리얼즈</t>
        </is>
      </c>
      <c r="G5442" s="2" t="inlineStr">
        <is>
          <t>20260313902067</t>
        </is>
      </c>
      <c r="H5442" s="8">
        <f>HYPERLINK("https://dart.fss.or.kr/dsaf001/main.do?rcpNo=20260313902067", "공시열람")</f>
        <v/>
      </c>
    </row>
    <row r="5443">
      <c r="A5443" s="2" t="inlineStr">
        <is>
          <t>2026-03-13</t>
        </is>
      </c>
      <c r="B5443" s="3" t="inlineStr">
        <is>
          <t>동아쏘시오홀딩스</t>
        </is>
      </c>
      <c r="C5443" s="2" t="inlineStr">
        <is>
          <t>코스피</t>
        </is>
      </c>
      <c r="D5443" s="2" t="inlineStr">
        <is>
          <t>000640</t>
        </is>
      </c>
      <c r="E5443" s="3" t="inlineStr">
        <is>
          <t xml:space="preserve">투자판단관련주요경영사항(자회사의 주요경영사항)              </t>
        </is>
      </c>
      <c r="F5443" s="3" t="inlineStr">
        <is>
          <t>동아쏘시오홀딩스</t>
        </is>
      </c>
      <c r="G5443" s="2" t="inlineStr">
        <is>
          <t>20260313802122</t>
        </is>
      </c>
      <c r="H5443" s="8">
        <f>HYPERLINK("https://dart.fss.or.kr/dsaf001/main.do?rcpNo=20260313802122", "공시열람")</f>
        <v/>
      </c>
    </row>
    <row r="5444">
      <c r="A5444" s="2" t="inlineStr">
        <is>
          <t>2026-03-13</t>
        </is>
      </c>
      <c r="B5444" s="3" t="inlineStr">
        <is>
          <t>JW중외제약</t>
        </is>
      </c>
      <c r="C5444" s="2" t="inlineStr">
        <is>
          <t>코스피</t>
        </is>
      </c>
      <c r="D5444" s="2" t="inlineStr">
        <is>
          <t>001060</t>
        </is>
      </c>
      <c r="E5444" s="3" t="inlineStr">
        <is>
          <t xml:space="preserve">감사보고서제출              </t>
        </is>
      </c>
      <c r="F5444" s="3" t="inlineStr">
        <is>
          <t>JW중외제약</t>
        </is>
      </c>
      <c r="G5444" s="2" t="inlineStr">
        <is>
          <t>20260313802025</t>
        </is>
      </c>
      <c r="H5444" s="8">
        <f>HYPERLINK("https://dart.fss.or.kr/dsaf001/main.do?rcpNo=20260313802025", "공시열람")</f>
        <v/>
      </c>
    </row>
    <row r="5445">
      <c r="A5445" s="2" t="inlineStr">
        <is>
          <t>2026-03-13</t>
        </is>
      </c>
      <c r="B5445" s="3" t="inlineStr">
        <is>
          <t>파라텍</t>
        </is>
      </c>
      <c r="C5445" s="2" t="inlineStr">
        <is>
          <t>코스닥</t>
        </is>
      </c>
      <c r="D5445" s="2" t="inlineStr">
        <is>
          <t>033540</t>
        </is>
      </c>
      <c r="E5445" s="3" t="inlineStr">
        <is>
          <t>의결권대리행사권유참고서류</t>
        </is>
      </c>
      <c r="F5445" s="3" t="inlineStr">
        <is>
          <t>파라텍</t>
        </is>
      </c>
      <c r="G5445" s="2" t="inlineStr">
        <is>
          <t>20260313001343</t>
        </is>
      </c>
      <c r="H5445" s="8">
        <f>HYPERLINK("https://dart.fss.or.kr/dsaf001/main.do?rcpNo=20260313001343", "공시열람")</f>
        <v/>
      </c>
    </row>
    <row r="5446">
      <c r="A5446" s="2" t="inlineStr">
        <is>
          <t>2026-03-13</t>
        </is>
      </c>
      <c r="B5446" s="3" t="inlineStr">
        <is>
          <t>SKAI</t>
        </is>
      </c>
      <c r="C5446" s="2" t="inlineStr">
        <is>
          <t>코스닥</t>
        </is>
      </c>
      <c r="D5446" s="2" t="inlineStr">
        <is>
          <t>357880</t>
        </is>
      </c>
      <c r="E5446" s="3" t="inlineStr">
        <is>
          <t>임원ㆍ주요주주특정증권등소유상황보고서</t>
        </is>
      </c>
      <c r="F5446" s="3" t="inlineStr">
        <is>
          <t>신재혁</t>
        </is>
      </c>
      <c r="G5446" s="2" t="inlineStr">
        <is>
          <t>20260313001342</t>
        </is>
      </c>
      <c r="H5446" s="8">
        <f>HYPERLINK("https://dart.fss.or.kr/dsaf001/main.do?rcpNo=20260313001342", "공시열람")</f>
        <v/>
      </c>
    </row>
    <row r="5447">
      <c r="A5447" s="2" t="inlineStr">
        <is>
          <t>2026-03-13</t>
        </is>
      </c>
      <c r="B5447" s="3" t="inlineStr">
        <is>
          <t>삼성FN리츠</t>
        </is>
      </c>
      <c r="C5447" s="2" t="inlineStr">
        <is>
          <t>코스피</t>
        </is>
      </c>
      <c r="D5447" s="2" t="inlineStr">
        <is>
          <t>448730</t>
        </is>
      </c>
      <c r="E5447" s="3" t="inlineStr">
        <is>
          <t>[발행조건확정]증권신고서(채무증권)</t>
        </is>
      </c>
      <c r="F5447" s="3" t="inlineStr">
        <is>
          <t>삼성FN리츠</t>
        </is>
      </c>
      <c r="G5447" s="2" t="inlineStr">
        <is>
          <t>20260313001341</t>
        </is>
      </c>
      <c r="H5447" s="8">
        <f>HYPERLINK("https://dart.fss.or.kr/dsaf001/main.do?rcpNo=20260313001341", "공시열람")</f>
        <v/>
      </c>
    </row>
    <row r="5448">
      <c r="A5448" s="2" t="inlineStr">
        <is>
          <t>2026-03-13</t>
        </is>
      </c>
      <c r="B5448" s="3" t="inlineStr">
        <is>
          <t>키움증권</t>
        </is>
      </c>
      <c r="C5448" s="2" t="inlineStr">
        <is>
          <t>코스피</t>
        </is>
      </c>
      <c r="D5448" s="2" t="inlineStr">
        <is>
          <t>039490</t>
        </is>
      </c>
      <c r="E5448" s="3" t="inlineStr">
        <is>
          <t>증권발행실적보고서</t>
        </is>
      </c>
      <c r="F5448" s="3" t="inlineStr">
        <is>
          <t>키움증권</t>
        </is>
      </c>
      <c r="G5448" s="2" t="inlineStr">
        <is>
          <t>20260313001340</t>
        </is>
      </c>
      <c r="H5448" s="8">
        <f>HYPERLINK("https://dart.fss.or.kr/dsaf001/main.do?rcpNo=20260313001340", "공시열람")</f>
        <v/>
      </c>
    </row>
    <row r="5449">
      <c r="A5449" s="2" t="inlineStr">
        <is>
          <t>2026-03-13</t>
        </is>
      </c>
      <c r="B5449" s="3" t="inlineStr">
        <is>
          <t>성우전자</t>
        </is>
      </c>
      <c r="C5449" s="2" t="inlineStr">
        <is>
          <t>코스닥</t>
        </is>
      </c>
      <c r="D5449" s="2" t="inlineStr">
        <is>
          <t>081580</t>
        </is>
      </c>
      <c r="E5449" s="3" t="inlineStr">
        <is>
          <t xml:space="preserve">감사보고서제출              </t>
        </is>
      </c>
      <c r="F5449" s="3" t="inlineStr">
        <is>
          <t>성우전자</t>
        </is>
      </c>
      <c r="G5449" s="2" t="inlineStr">
        <is>
          <t>20260313901942</t>
        </is>
      </c>
      <c r="H5449" s="8">
        <f>HYPERLINK("https://dart.fss.or.kr/dsaf001/main.do?rcpNo=20260313901942", "공시열람")</f>
        <v/>
      </c>
    </row>
    <row r="5450">
      <c r="A5450" s="2" t="inlineStr">
        <is>
          <t>2026-03-13</t>
        </is>
      </c>
      <c r="B5450" s="3" t="inlineStr">
        <is>
          <t>핸디소프트</t>
        </is>
      </c>
      <c r="C5450" s="2" t="inlineStr">
        <is>
          <t>코스닥</t>
        </is>
      </c>
      <c r="D5450" s="2" t="inlineStr">
        <is>
          <t>220180</t>
        </is>
      </c>
      <c r="E5450" s="3" t="inlineStr">
        <is>
          <t xml:space="preserve">감사보고서제출              </t>
        </is>
      </c>
      <c r="F5450" s="3" t="inlineStr">
        <is>
          <t>핸디소프트</t>
        </is>
      </c>
      <c r="G5450" s="2" t="inlineStr">
        <is>
          <t>20260313902038</t>
        </is>
      </c>
      <c r="H5450" s="8">
        <f>HYPERLINK("https://dart.fss.or.kr/dsaf001/main.do?rcpNo=20260313902038", "공시열람")</f>
        <v/>
      </c>
    </row>
    <row r="5451">
      <c r="A5451" s="2" t="inlineStr">
        <is>
          <t>2026-03-13</t>
        </is>
      </c>
      <c r="B5451" s="3" t="inlineStr">
        <is>
          <t>케이엔알시스템</t>
        </is>
      </c>
      <c r="C5451" s="2" t="inlineStr">
        <is>
          <t>코스닥</t>
        </is>
      </c>
      <c r="D5451" s="2" t="inlineStr">
        <is>
          <t>199430</t>
        </is>
      </c>
      <c r="E5451" s="3" t="inlineStr">
        <is>
          <t>임원ㆍ주요주주특정증권등소유상황보고서</t>
        </is>
      </c>
      <c r="F5451" s="3" t="inlineStr">
        <is>
          <t>오세빈</t>
        </is>
      </c>
      <c r="G5451" s="2" t="inlineStr">
        <is>
          <t>20260313001338</t>
        </is>
      </c>
      <c r="H5451" s="8">
        <f>HYPERLINK("https://dart.fss.or.kr/dsaf001/main.do?rcpNo=20260313001338", "공시열람")</f>
        <v/>
      </c>
    </row>
    <row r="5452">
      <c r="A5452" s="2" t="inlineStr">
        <is>
          <t>2026-03-13</t>
        </is>
      </c>
      <c r="B5452" s="3" t="inlineStr">
        <is>
          <t>키움증권</t>
        </is>
      </c>
      <c r="C5452" s="2" t="inlineStr">
        <is>
          <t>코스피</t>
        </is>
      </c>
      <c r="D5452" s="2" t="inlineStr">
        <is>
          <t>039490</t>
        </is>
      </c>
      <c r="E5452" s="3" t="inlineStr">
        <is>
          <t>증권발행실적보고서</t>
        </is>
      </c>
      <c r="F5452" s="3" t="inlineStr">
        <is>
          <t>키움증권</t>
        </is>
      </c>
      <c r="G5452" s="2" t="inlineStr">
        <is>
          <t>20260313001337</t>
        </is>
      </c>
      <c r="H5452" s="8">
        <f>HYPERLINK("https://dart.fss.or.kr/dsaf001/main.do?rcpNo=20260313001337", "공시열람")</f>
        <v/>
      </c>
    </row>
    <row r="5453">
      <c r="A5453" s="2" t="inlineStr">
        <is>
          <t>2026-03-13</t>
        </is>
      </c>
      <c r="B5453" s="3" t="inlineStr">
        <is>
          <t>동아에스티</t>
        </is>
      </c>
      <c r="C5453" s="2" t="inlineStr">
        <is>
          <t>코스피</t>
        </is>
      </c>
      <c r="D5453" s="2" t="inlineStr">
        <is>
          <t>170900</t>
        </is>
      </c>
      <c r="E5453" s="3" t="inlineStr">
        <is>
          <t xml:space="preserve">투자판단관련주요경영사항              </t>
        </is>
      </c>
      <c r="F5453" s="3" t="inlineStr">
        <is>
          <t>동아에스티</t>
        </is>
      </c>
      <c r="G5453" s="2" t="inlineStr">
        <is>
          <t>20260313802091</t>
        </is>
      </c>
      <c r="H5453" s="8">
        <f>HYPERLINK("https://dart.fss.or.kr/dsaf001/main.do?rcpNo=20260313802091", "공시열람")</f>
        <v/>
      </c>
    </row>
    <row r="5454">
      <c r="A5454" s="2" t="inlineStr">
        <is>
          <t>2026-03-13</t>
        </is>
      </c>
      <c r="B5454" s="3" t="inlineStr">
        <is>
          <t>한미사이언스</t>
        </is>
      </c>
      <c r="C5454" s="2" t="inlineStr">
        <is>
          <t>코스피</t>
        </is>
      </c>
      <c r="D5454" s="2" t="inlineStr">
        <is>
          <t>008930</t>
        </is>
      </c>
      <c r="E5454" s="3" t="inlineStr">
        <is>
          <t xml:space="preserve">감사보고서제출(자회사의 주요경영사항)              </t>
        </is>
      </c>
      <c r="F5454" s="3" t="inlineStr">
        <is>
          <t>한미사이언스</t>
        </is>
      </c>
      <c r="G5454" s="2" t="inlineStr">
        <is>
          <t>20260313802090</t>
        </is>
      </c>
      <c r="H5454" s="8">
        <f>HYPERLINK("https://dart.fss.or.kr/dsaf001/main.do?rcpNo=20260313802090", "공시열람")</f>
        <v/>
      </c>
    </row>
    <row r="5455">
      <c r="A5455" s="2" t="inlineStr">
        <is>
          <t>2026-03-13</t>
        </is>
      </c>
      <c r="B5455" s="3" t="inlineStr">
        <is>
          <t>키움증권</t>
        </is>
      </c>
      <c r="C5455" s="2" t="inlineStr">
        <is>
          <t>코스피</t>
        </is>
      </c>
      <c r="D5455" s="2" t="inlineStr">
        <is>
          <t>039490</t>
        </is>
      </c>
      <c r="E5455" s="3" t="inlineStr">
        <is>
          <t xml:space="preserve">감사보고서제출              </t>
        </is>
      </c>
      <c r="F5455" s="3" t="inlineStr">
        <is>
          <t>키움증권</t>
        </is>
      </c>
      <c r="G5455" s="2" t="inlineStr">
        <is>
          <t>20260313801992</t>
        </is>
      </c>
      <c r="H5455" s="8">
        <f>HYPERLINK("https://dart.fss.or.kr/dsaf001/main.do?rcpNo=20260313801992", "공시열람")</f>
        <v/>
      </c>
    </row>
    <row r="5456">
      <c r="A5456" s="2" t="inlineStr">
        <is>
          <t>2026-03-13</t>
        </is>
      </c>
      <c r="B5456" s="3" t="inlineStr">
        <is>
          <t>오스코텍</t>
        </is>
      </c>
      <c r="C5456" s="2" t="inlineStr">
        <is>
          <t>코스닥</t>
        </is>
      </c>
      <c r="D5456" s="2" t="inlineStr">
        <is>
          <t>039200</t>
        </is>
      </c>
      <c r="E5456" s="3" t="inlineStr">
        <is>
          <t>의결권대리행사권유참고서류</t>
        </is>
      </c>
      <c r="F5456" s="3" t="inlineStr">
        <is>
          <t>오스코텍</t>
        </is>
      </c>
      <c r="G5456" s="2" t="inlineStr">
        <is>
          <t>20260313001334</t>
        </is>
      </c>
      <c r="H5456" s="8">
        <f>HYPERLINK("https://dart.fss.or.kr/dsaf001/main.do?rcpNo=20260313001334", "공시열람")</f>
        <v/>
      </c>
    </row>
    <row r="5457">
      <c r="A5457" s="2" t="inlineStr">
        <is>
          <t>2026-03-13</t>
        </is>
      </c>
      <c r="B5457" s="3" t="inlineStr">
        <is>
          <t>삼성생명</t>
        </is>
      </c>
      <c r="C5457" s="2" t="inlineStr">
        <is>
          <t>코스피</t>
        </is>
      </c>
      <c r="D5457" s="2" t="inlineStr">
        <is>
          <t>032830</t>
        </is>
      </c>
      <c r="E5457" s="3" t="inlineStr">
        <is>
          <t xml:space="preserve">[첨부정정]기업지배구조보고서공시(연차보고서)              </t>
        </is>
      </c>
      <c r="F5457" s="3" t="inlineStr">
        <is>
          <t>삼성생명</t>
        </is>
      </c>
      <c r="G5457" s="2" t="inlineStr">
        <is>
          <t>20260313802112</t>
        </is>
      </c>
      <c r="H5457" s="8">
        <f>HYPERLINK("https://dart.fss.or.kr/dsaf001/main.do?rcpNo=20260313802112", "공시열람")</f>
        <v/>
      </c>
    </row>
    <row r="5458">
      <c r="A5458" s="2" t="inlineStr">
        <is>
          <t>2026-03-13</t>
        </is>
      </c>
      <c r="B5458" s="3" t="inlineStr">
        <is>
          <t>차바이오텍</t>
        </is>
      </c>
      <c r="C5458" s="2" t="inlineStr">
        <is>
          <t>코스닥</t>
        </is>
      </c>
      <c r="D5458" s="2" t="inlineStr">
        <is>
          <t>085660</t>
        </is>
      </c>
      <c r="E5458" s="3" t="inlineStr">
        <is>
          <t xml:space="preserve">타법인주식및출자증권처분결정(자율공시)              </t>
        </is>
      </c>
      <c r="F5458" s="3" t="inlineStr">
        <is>
          <t>차바이오텍</t>
        </is>
      </c>
      <c r="G5458" s="2" t="inlineStr">
        <is>
          <t>20260313902098</t>
        </is>
      </c>
      <c r="H5458" s="8">
        <f>HYPERLINK("https://dart.fss.or.kr/dsaf001/main.do?rcpNo=20260313902098", "공시열람")</f>
        <v/>
      </c>
    </row>
    <row r="5459">
      <c r="A5459" s="2" t="inlineStr">
        <is>
          <t>2026-03-13</t>
        </is>
      </c>
      <c r="B5459" s="3" t="inlineStr">
        <is>
          <t>제이브이엠</t>
        </is>
      </c>
      <c r="C5459" s="2" t="inlineStr">
        <is>
          <t>코스닥</t>
        </is>
      </c>
      <c r="D5459" s="2" t="inlineStr">
        <is>
          <t>054950</t>
        </is>
      </c>
      <c r="E5459" s="3" t="inlineStr">
        <is>
          <t xml:space="preserve">감사보고서제출              </t>
        </is>
      </c>
      <c r="F5459" s="3" t="inlineStr">
        <is>
          <t>제이브이엠</t>
        </is>
      </c>
      <c r="G5459" s="2" t="inlineStr">
        <is>
          <t>20260313902001</t>
        </is>
      </c>
      <c r="H5459" s="8">
        <f>HYPERLINK("https://dart.fss.or.kr/dsaf001/main.do?rcpNo=20260313902001", "공시열람")</f>
        <v/>
      </c>
    </row>
    <row r="5460">
      <c r="A5460" s="2" t="inlineStr">
        <is>
          <t>2026-03-13</t>
        </is>
      </c>
      <c r="B5460" s="3" t="inlineStr">
        <is>
          <t>이건홀딩스</t>
        </is>
      </c>
      <c r="C5460" s="2" t="inlineStr">
        <is>
          <t>코스닥</t>
        </is>
      </c>
      <c r="D5460" s="2" t="inlineStr">
        <is>
          <t>039020</t>
        </is>
      </c>
      <c r="E5460" s="3" t="inlineStr">
        <is>
          <t xml:space="preserve">감사보고서제출(자회사의 주요경영사항)              </t>
        </is>
      </c>
      <c r="F5460" s="3" t="inlineStr">
        <is>
          <t>이건홀딩스</t>
        </is>
      </c>
      <c r="G5460" s="2" t="inlineStr">
        <is>
          <t>20260313901962</t>
        </is>
      </c>
      <c r="H5460" s="8">
        <f>HYPERLINK("https://dart.fss.or.kr/dsaf001/main.do?rcpNo=20260313901962", "공시열람")</f>
        <v/>
      </c>
    </row>
    <row r="5461">
      <c r="A5461" s="2" t="inlineStr">
        <is>
          <t>2026-03-13</t>
        </is>
      </c>
      <c r="B5461" s="3" t="inlineStr">
        <is>
          <t>코웨이</t>
        </is>
      </c>
      <c r="C5461" s="2" t="inlineStr">
        <is>
          <t>코스피</t>
        </is>
      </c>
      <c r="D5461" s="2" t="inlineStr">
        <is>
          <t>021240</t>
        </is>
      </c>
      <c r="E5461" s="3" t="inlineStr">
        <is>
          <t xml:space="preserve">감사보고서제출              </t>
        </is>
      </c>
      <c r="F5461" s="3" t="inlineStr">
        <is>
          <t>코웨이</t>
        </is>
      </c>
      <c r="G5461" s="2" t="inlineStr">
        <is>
          <t>20260313802054</t>
        </is>
      </c>
      <c r="H5461" s="8">
        <f>HYPERLINK("https://dart.fss.or.kr/dsaf001/main.do?rcpNo=20260313802054", "공시열람")</f>
        <v/>
      </c>
    </row>
    <row r="5462">
      <c r="A5462" s="2" t="inlineStr">
        <is>
          <t>2026-03-13</t>
        </is>
      </c>
      <c r="B5462" s="3" t="inlineStr">
        <is>
          <t>한진</t>
        </is>
      </c>
      <c r="C5462" s="2" t="inlineStr">
        <is>
          <t>코스피</t>
        </is>
      </c>
      <c r="D5462" s="2" t="inlineStr">
        <is>
          <t>002320</t>
        </is>
      </c>
      <c r="E5462" s="3" t="inlineStr">
        <is>
          <t xml:space="preserve">감사보고서제출              </t>
        </is>
      </c>
      <c r="F5462" s="3" t="inlineStr">
        <is>
          <t>한진</t>
        </is>
      </c>
      <c r="G5462" s="2" t="inlineStr">
        <is>
          <t>20260313801951</t>
        </is>
      </c>
      <c r="H5462" s="8">
        <f>HYPERLINK("https://dart.fss.or.kr/dsaf001/main.do?rcpNo=20260313801951", "공시열람")</f>
        <v/>
      </c>
    </row>
    <row r="5463">
      <c r="A5463" s="2" t="inlineStr">
        <is>
          <t>2021-06-10 (정정: 2026-03-13)</t>
        </is>
      </c>
      <c r="B5463" s="3" t="inlineStr">
        <is>
          <t>휴온스글로벌</t>
        </is>
      </c>
      <c r="C5463" s="2" t="inlineStr">
        <is>
          <t>코스닥</t>
        </is>
      </c>
      <c r="D5463" s="2" t="inlineStr">
        <is>
          <t>084110</t>
        </is>
      </c>
      <c r="E5463" s="3" t="inlineStr">
        <is>
          <t>[기재정정]주식매수선택권부여에관한신고</t>
        </is>
      </c>
      <c r="F5463" s="3" t="inlineStr">
        <is>
          <t>휴온스글로벌</t>
        </is>
      </c>
      <c r="G5463" s="2" t="inlineStr">
        <is>
          <t>20260313001320</t>
        </is>
      </c>
      <c r="H5463" s="8">
        <f>HYPERLINK("https://dart.fss.or.kr/dsaf001/main.do?rcpNo=20260313001320", "공시열람")</f>
        <v/>
      </c>
    </row>
    <row r="5464">
      <c r="A5464" s="2" t="inlineStr">
        <is>
          <t>2026-03-13</t>
        </is>
      </c>
      <c r="B5464" s="3" t="inlineStr">
        <is>
          <t>휴림로봇</t>
        </is>
      </c>
      <c r="C5464" s="2" t="inlineStr">
        <is>
          <t>코스닥</t>
        </is>
      </c>
      <c r="D5464" s="2" t="inlineStr">
        <is>
          <t>090710</t>
        </is>
      </c>
      <c r="E5464" s="3" t="inlineStr">
        <is>
          <t>의결권대리행사권유참고서류</t>
        </is>
      </c>
      <c r="F5464" s="3" t="inlineStr">
        <is>
          <t>휴림로봇</t>
        </is>
      </c>
      <c r="G5464" s="2" t="inlineStr">
        <is>
          <t>20260313001318</t>
        </is>
      </c>
      <c r="H5464" s="8">
        <f>HYPERLINK("https://dart.fss.or.kr/dsaf001/main.do?rcpNo=20260313001318", "공시열람")</f>
        <v/>
      </c>
    </row>
    <row r="5465">
      <c r="A5465" s="2" t="inlineStr">
        <is>
          <t>2026-03-13</t>
        </is>
      </c>
      <c r="B5465" s="3" t="inlineStr">
        <is>
          <t>마이크로디지탈</t>
        </is>
      </c>
      <c r="C5465" s="2" t="inlineStr">
        <is>
          <t>코스닥</t>
        </is>
      </c>
      <c r="D5465" s="2" t="inlineStr">
        <is>
          <t>305090</t>
        </is>
      </c>
      <c r="E5465" s="3" t="inlineStr">
        <is>
          <t xml:space="preserve">매출액또는손익구조30%(대규모법인은15%)이상변동              </t>
        </is>
      </c>
      <c r="F5465" s="3" t="inlineStr">
        <is>
          <t>마이크로디지탈</t>
        </is>
      </c>
      <c r="G5465" s="2" t="inlineStr">
        <is>
          <t>20260313902032</t>
        </is>
      </c>
      <c r="H5465" s="8">
        <f>HYPERLINK("https://dart.fss.or.kr/dsaf001/main.do?rcpNo=20260313902032", "공시열람")</f>
        <v/>
      </c>
    </row>
    <row r="5466">
      <c r="A5466" s="2" t="inlineStr">
        <is>
          <t>2026-03-13</t>
        </is>
      </c>
      <c r="B5466" s="3" t="inlineStr">
        <is>
          <t>케이엔알시스템</t>
        </is>
      </c>
      <c r="C5466" s="2" t="inlineStr">
        <is>
          <t>코스닥</t>
        </is>
      </c>
      <c r="D5466" s="2" t="inlineStr">
        <is>
          <t>199430</t>
        </is>
      </c>
      <c r="E5466" s="3" t="inlineStr">
        <is>
          <t>임원ㆍ주요주주특정증권등소유상황보고서</t>
        </is>
      </c>
      <c r="F5466" s="3" t="inlineStr">
        <is>
          <t>조택성</t>
        </is>
      </c>
      <c r="G5466" s="2" t="inlineStr">
        <is>
          <t>20260313001312</t>
        </is>
      </c>
      <c r="H5466" s="8">
        <f>HYPERLINK("https://dart.fss.or.kr/dsaf001/main.do?rcpNo=20260313001312", "공시열람")</f>
        <v/>
      </c>
    </row>
    <row r="5467">
      <c r="A5467" s="2" t="inlineStr">
        <is>
          <t>2026-03-13</t>
        </is>
      </c>
      <c r="B5467" s="3" t="inlineStr">
        <is>
          <t>SK증권</t>
        </is>
      </c>
      <c r="C5467" s="2" t="inlineStr">
        <is>
          <t>코스피</t>
        </is>
      </c>
      <c r="D5467" s="2" t="inlineStr">
        <is>
          <t>001510</t>
        </is>
      </c>
      <c r="E5467" s="3" t="inlineStr">
        <is>
          <t xml:space="preserve">감사보고서제출              </t>
        </is>
      </c>
      <c r="F5467" s="3" t="inlineStr">
        <is>
          <t>SK증권</t>
        </is>
      </c>
      <c r="G5467" s="2" t="inlineStr">
        <is>
          <t>20260313801919</t>
        </is>
      </c>
      <c r="H5467" s="8">
        <f>HYPERLINK("https://dart.fss.or.kr/dsaf001/main.do?rcpNo=20260313801919", "공시열람")</f>
        <v/>
      </c>
    </row>
    <row r="5468">
      <c r="A5468" s="2" t="inlineStr">
        <is>
          <t>2026-03-13</t>
        </is>
      </c>
      <c r="B5468" s="3" t="inlineStr">
        <is>
          <t>동아쏘시오홀딩스</t>
        </is>
      </c>
      <c r="C5468" s="2" t="inlineStr">
        <is>
          <t>코스피</t>
        </is>
      </c>
      <c r="D5468" s="2" t="inlineStr">
        <is>
          <t>000640</t>
        </is>
      </c>
      <c r="E5468" s="3" t="inlineStr">
        <is>
          <t xml:space="preserve">투자판단관련주요경영사항(자회사의 주요경영사항)              </t>
        </is>
      </c>
      <c r="F5468" s="3" t="inlineStr">
        <is>
          <t>동아쏘시오홀딩스</t>
        </is>
      </c>
      <c r="G5468" s="2" t="inlineStr">
        <is>
          <t>20260313802024</t>
        </is>
      </c>
      <c r="H5468" s="8">
        <f>HYPERLINK("https://dart.fss.or.kr/dsaf001/main.do?rcpNo=20260313802024", "공시열람")</f>
        <v/>
      </c>
    </row>
    <row r="5469">
      <c r="A5469" s="2" t="inlineStr">
        <is>
          <t>2026-03-13</t>
        </is>
      </c>
      <c r="B5469" s="3" t="inlineStr">
        <is>
          <t>티로보틱스</t>
        </is>
      </c>
      <c r="C5469" s="2" t="inlineStr">
        <is>
          <t>코스닥</t>
        </is>
      </c>
      <c r="D5469" s="2" t="inlineStr">
        <is>
          <t>117730</t>
        </is>
      </c>
      <c r="E5469" s="3" t="inlineStr">
        <is>
          <t>임원ㆍ주요주주특정증권등거래계획보고서</t>
        </is>
      </c>
      <c r="F5469" s="3" t="inlineStr">
        <is>
          <t>안승욱</t>
        </is>
      </c>
      <c r="G5469" s="2" t="inlineStr">
        <is>
          <t>20260313001307</t>
        </is>
      </c>
      <c r="H5469" s="8">
        <f>HYPERLINK("https://dart.fss.or.kr/dsaf001/main.do?rcpNo=20260313001307", "공시열람")</f>
        <v/>
      </c>
    </row>
    <row r="5470">
      <c r="A5470" s="2" t="inlineStr">
        <is>
          <t>2026-03-13</t>
        </is>
      </c>
      <c r="B5470" s="3" t="inlineStr">
        <is>
          <t>TPC로보틱스</t>
        </is>
      </c>
      <c r="C5470" s="2" t="inlineStr">
        <is>
          <t>코스닥</t>
        </is>
      </c>
      <c r="D5470" s="2" t="inlineStr">
        <is>
          <t>048770</t>
        </is>
      </c>
      <c r="E5470" s="3" t="inlineStr">
        <is>
          <t>임원ㆍ주요주주특정증권등소유상황보고서</t>
        </is>
      </c>
      <c r="F5470" s="3" t="inlineStr">
        <is>
          <t>Uhm lawrence</t>
        </is>
      </c>
      <c r="G5470" s="2" t="inlineStr">
        <is>
          <t>20260313001306</t>
        </is>
      </c>
      <c r="H5470" s="8">
        <f>HYPERLINK("https://dart.fss.or.kr/dsaf001/main.do?rcpNo=20260313001306", "공시열람")</f>
        <v/>
      </c>
    </row>
    <row r="5471">
      <c r="A5471" s="2" t="inlineStr">
        <is>
          <t>2026-03-13</t>
        </is>
      </c>
      <c r="B5471" s="3" t="inlineStr">
        <is>
          <t>미래에셋벤처투자</t>
        </is>
      </c>
      <c r="C5471" s="2" t="inlineStr">
        <is>
          <t>코스닥</t>
        </is>
      </c>
      <c r="D5471" s="2" t="inlineStr">
        <is>
          <t>100790</t>
        </is>
      </c>
      <c r="E5471" s="3" t="inlineStr">
        <is>
          <t xml:space="preserve">감사보고서제출              </t>
        </is>
      </c>
      <c r="F5471" s="3" t="inlineStr">
        <is>
          <t>미래에셋벤처투자</t>
        </is>
      </c>
      <c r="G5471" s="2" t="inlineStr">
        <is>
          <t>20260313901946</t>
        </is>
      </c>
      <c r="H5471" s="8">
        <f>HYPERLINK("https://dart.fss.or.kr/dsaf001/main.do?rcpNo=20260313901946", "공시열람")</f>
        <v/>
      </c>
    </row>
    <row r="5472">
      <c r="A5472" s="2" t="inlineStr">
        <is>
          <t>2026-03-13</t>
        </is>
      </c>
      <c r="B5472" s="3" t="inlineStr">
        <is>
          <t>경남제약</t>
        </is>
      </c>
      <c r="C5472" s="2" t="inlineStr">
        <is>
          <t>코스닥</t>
        </is>
      </c>
      <c r="D5472" s="2" t="inlineStr">
        <is>
          <t>053950</t>
        </is>
      </c>
      <c r="E5472" s="3" t="inlineStr">
        <is>
          <t xml:space="preserve">감사보고서제출              </t>
        </is>
      </c>
      <c r="F5472" s="3" t="inlineStr">
        <is>
          <t>경남제약</t>
        </is>
      </c>
      <c r="G5472" s="2" t="inlineStr">
        <is>
          <t>20260313901954</t>
        </is>
      </c>
      <c r="H5472" s="8">
        <f>HYPERLINK("https://dart.fss.or.kr/dsaf001/main.do?rcpNo=20260313901954", "공시열람")</f>
        <v/>
      </c>
    </row>
    <row r="5473">
      <c r="A5473" s="2" t="inlineStr">
        <is>
          <t>2026-03-13</t>
        </is>
      </c>
      <c r="B5473" s="3" t="inlineStr">
        <is>
          <t>TPC로보틱스</t>
        </is>
      </c>
      <c r="C5473" s="2" t="inlineStr">
        <is>
          <t>코스닥</t>
        </is>
      </c>
      <c r="D5473" s="2" t="inlineStr">
        <is>
          <t>048770</t>
        </is>
      </c>
      <c r="E5473" s="3" t="inlineStr">
        <is>
          <t>임원ㆍ주요주주특정증권등소유상황보고서</t>
        </is>
      </c>
      <c r="F5473" s="3" t="inlineStr">
        <is>
          <t>엄재웅</t>
        </is>
      </c>
      <c r="G5473" s="2" t="inlineStr">
        <is>
          <t>20260313001302</t>
        </is>
      </c>
      <c r="H5473" s="8">
        <f>HYPERLINK("https://dart.fss.or.kr/dsaf001/main.do?rcpNo=20260313001302", "공시열람")</f>
        <v/>
      </c>
    </row>
    <row r="5474">
      <c r="A5474" s="2" t="inlineStr">
        <is>
          <t>2026-03-13</t>
        </is>
      </c>
      <c r="B5474" s="3" t="inlineStr">
        <is>
          <t>위지트</t>
        </is>
      </c>
      <c r="C5474" s="2" t="inlineStr">
        <is>
          <t>코스닥</t>
        </is>
      </c>
      <c r="D5474" s="2" t="inlineStr">
        <is>
          <t>036090</t>
        </is>
      </c>
      <c r="E5474" s="3" t="inlineStr">
        <is>
          <t>주요사항보고서(감자결정)</t>
        </is>
      </c>
      <c r="F5474" s="3" t="inlineStr">
        <is>
          <t>위지트</t>
        </is>
      </c>
      <c r="G5474" s="2" t="inlineStr">
        <is>
          <t>20260313001278</t>
        </is>
      </c>
      <c r="H5474" s="8">
        <f>HYPERLINK("https://dart.fss.or.kr/dsaf001/main.do?rcpNo=20260313001278", "공시열람")</f>
        <v/>
      </c>
    </row>
    <row r="5475">
      <c r="A5475" s="2" t="inlineStr">
        <is>
          <t>2026-03-13</t>
        </is>
      </c>
      <c r="B5475" s="3" t="inlineStr">
        <is>
          <t>위지트</t>
        </is>
      </c>
      <c r="C5475" s="2" t="inlineStr">
        <is>
          <t>코스닥</t>
        </is>
      </c>
      <c r="D5475" s="2" t="inlineStr">
        <is>
          <t>036090</t>
        </is>
      </c>
      <c r="E5475" s="3" t="inlineStr">
        <is>
          <t>주권매매거래정지              (자본감소)</t>
        </is>
      </c>
      <c r="F5475" s="3" t="inlineStr">
        <is>
          <t>코스닥시장본부</t>
        </is>
      </c>
      <c r="G5475" s="2" t="inlineStr">
        <is>
          <t>20260313902030</t>
        </is>
      </c>
      <c r="H5475" s="8">
        <f>HYPERLINK("https://dart.fss.or.kr/dsaf001/main.do?rcpNo=20260313902030", "공시열람")</f>
        <v/>
      </c>
    </row>
    <row r="5476">
      <c r="A5476" s="2" t="inlineStr">
        <is>
          <t>2026-03-13</t>
        </is>
      </c>
      <c r="B5476" s="3" t="inlineStr">
        <is>
          <t>한국가스공사</t>
        </is>
      </c>
      <c r="C5476" s="2" t="inlineStr">
        <is>
          <t>코스피</t>
        </is>
      </c>
      <c r="D5476" s="2" t="inlineStr">
        <is>
          <t>036460</t>
        </is>
      </c>
      <c r="E5476" s="3" t="inlineStr">
        <is>
          <t xml:space="preserve">감사보고서제출              </t>
        </is>
      </c>
      <c r="F5476" s="3" t="inlineStr">
        <is>
          <t>한국가스공사</t>
        </is>
      </c>
      <c r="G5476" s="2" t="inlineStr">
        <is>
          <t>20260313801971</t>
        </is>
      </c>
      <c r="H5476" s="8">
        <f>HYPERLINK("https://dart.fss.or.kr/dsaf001/main.do?rcpNo=20260313801971", "공시열람")</f>
        <v/>
      </c>
    </row>
    <row r="5477">
      <c r="A5477" s="2" t="inlineStr">
        <is>
          <t>2026-03-13</t>
        </is>
      </c>
      <c r="B5477" s="3" t="inlineStr">
        <is>
          <t>케이엔알시스템</t>
        </is>
      </c>
      <c r="C5477" s="2" t="inlineStr">
        <is>
          <t>코스닥</t>
        </is>
      </c>
      <c r="D5477" s="2" t="inlineStr">
        <is>
          <t>199430</t>
        </is>
      </c>
      <c r="E5477" s="3" t="inlineStr">
        <is>
          <t>임원ㆍ주요주주특정증권등소유상황보고서</t>
        </is>
      </c>
      <c r="F5477" s="3" t="inlineStr">
        <is>
          <t>이정훈</t>
        </is>
      </c>
      <c r="G5477" s="2" t="inlineStr">
        <is>
          <t>20260313001297</t>
        </is>
      </c>
      <c r="H5477" s="8">
        <f>HYPERLINK("https://dart.fss.or.kr/dsaf001/main.do?rcpNo=20260313001297", "공시열람")</f>
        <v/>
      </c>
    </row>
    <row r="5478">
      <c r="A5478" s="2" t="inlineStr">
        <is>
          <t>2026-03-13</t>
        </is>
      </c>
      <c r="B5478" s="3" t="inlineStr">
        <is>
          <t>파이오링크</t>
        </is>
      </c>
      <c r="C5478" s="2" t="inlineStr">
        <is>
          <t>코스닥</t>
        </is>
      </c>
      <c r="D5478" s="2" t="inlineStr">
        <is>
          <t>170790</t>
        </is>
      </c>
      <c r="E5478" s="3" t="inlineStr">
        <is>
          <t xml:space="preserve">감사보고서제출              </t>
        </is>
      </c>
      <c r="F5478" s="3" t="inlineStr">
        <is>
          <t>파이오링크</t>
        </is>
      </c>
      <c r="G5478" s="2" t="inlineStr">
        <is>
          <t>20260313901895</t>
        </is>
      </c>
      <c r="H5478" s="8">
        <f>HYPERLINK("https://dart.fss.or.kr/dsaf001/main.do?rcpNo=20260313901895", "공시열람")</f>
        <v/>
      </c>
    </row>
    <row r="5479">
      <c r="A5479" s="2" t="inlineStr">
        <is>
          <t>2026-03-13</t>
        </is>
      </c>
      <c r="B5479" s="3" t="inlineStr">
        <is>
          <t>태광산업</t>
        </is>
      </c>
      <c r="C5479" s="2" t="inlineStr">
        <is>
          <t>코스피</t>
        </is>
      </c>
      <c r="D5479" s="2" t="inlineStr">
        <is>
          <t>003240</t>
        </is>
      </c>
      <c r="E5479" s="3" t="inlineStr">
        <is>
          <t>[기재정정]의결권대리행사권유참고서류</t>
        </is>
      </c>
      <c r="F5479" s="3" t="inlineStr">
        <is>
          <t>태광산업</t>
        </is>
      </c>
      <c r="G5479" s="2" t="inlineStr">
        <is>
          <t>20260313001295</t>
        </is>
      </c>
      <c r="H5479" s="8">
        <f>HYPERLINK("https://dart.fss.or.kr/dsaf001/main.do?rcpNo=20260313001295", "공시열람")</f>
        <v/>
      </c>
    </row>
    <row r="5480">
      <c r="A5480" s="2" t="inlineStr">
        <is>
          <t>2026-03-13</t>
        </is>
      </c>
      <c r="B5480" s="3" t="inlineStr">
        <is>
          <t>엠아이큐브솔루션</t>
        </is>
      </c>
      <c r="C5480" s="2" t="inlineStr">
        <is>
          <t>코스닥</t>
        </is>
      </c>
      <c r="D5480" s="2" t="inlineStr">
        <is>
          <t>373170</t>
        </is>
      </c>
      <c r="E5480" s="3" t="inlineStr">
        <is>
          <t xml:space="preserve">현금ㆍ현물배당결정              </t>
        </is>
      </c>
      <c r="F5480" s="3" t="inlineStr">
        <is>
          <t>엠아이큐브솔루션</t>
        </is>
      </c>
      <c r="G5480" s="2" t="inlineStr">
        <is>
          <t>20260313901542</t>
        </is>
      </c>
      <c r="H5480" s="8">
        <f>HYPERLINK("https://dart.fss.or.kr/dsaf001/main.do?rcpNo=20260313901542", "공시열람")</f>
        <v/>
      </c>
    </row>
    <row r="5481">
      <c r="A5481" s="2" t="inlineStr">
        <is>
          <t>2026-03-13</t>
        </is>
      </c>
      <c r="B5481" s="3" t="inlineStr">
        <is>
          <t>HDC랩스</t>
        </is>
      </c>
      <c r="C5481" s="2" t="inlineStr">
        <is>
          <t>코스피</t>
        </is>
      </c>
      <c r="D5481" s="2" t="inlineStr">
        <is>
          <t>039570</t>
        </is>
      </c>
      <c r="E5481" s="3" t="inlineStr">
        <is>
          <t xml:space="preserve">감사보고서제출              </t>
        </is>
      </c>
      <c r="F5481" s="3" t="inlineStr">
        <is>
          <t>HDC랩스</t>
        </is>
      </c>
      <c r="G5481" s="2" t="inlineStr">
        <is>
          <t>20260313801825</t>
        </is>
      </c>
      <c r="H5481" s="8">
        <f>HYPERLINK("https://dart.fss.or.kr/dsaf001/main.do?rcpNo=20260313801825", "공시열람")</f>
        <v/>
      </c>
    </row>
    <row r="5482">
      <c r="A5482" s="2" t="inlineStr">
        <is>
          <t>2026-03-13</t>
        </is>
      </c>
      <c r="B5482" s="3" t="inlineStr">
        <is>
          <t>JW신약</t>
        </is>
      </c>
      <c r="C5482" s="2" t="inlineStr">
        <is>
          <t>코스닥</t>
        </is>
      </c>
      <c r="D5482" s="2" t="inlineStr">
        <is>
          <t>067290</t>
        </is>
      </c>
      <c r="E5482" s="3" t="inlineStr">
        <is>
          <t xml:space="preserve">감사보고서제출              </t>
        </is>
      </c>
      <c r="F5482" s="3" t="inlineStr">
        <is>
          <t>JW신약</t>
        </is>
      </c>
      <c r="G5482" s="2" t="inlineStr">
        <is>
          <t>20260313901860</t>
        </is>
      </c>
      <c r="H5482" s="8">
        <f>HYPERLINK("https://dart.fss.or.kr/dsaf001/main.do?rcpNo=20260313901860", "공시열람")</f>
        <v/>
      </c>
    </row>
    <row r="5483">
      <c r="A5483" s="2" t="inlineStr">
        <is>
          <t>2026-03-13</t>
        </is>
      </c>
      <c r="B5483" s="3" t="inlineStr">
        <is>
          <t>우림피티에스</t>
        </is>
      </c>
      <c r="C5483" s="2" t="inlineStr">
        <is>
          <t>코스닥</t>
        </is>
      </c>
      <c r="D5483" s="2" t="inlineStr">
        <is>
          <t>101170</t>
        </is>
      </c>
      <c r="E5483" s="3" t="inlineStr">
        <is>
          <t xml:space="preserve">매출액또는손익구조30%(대규모법인은15%)이상변동              </t>
        </is>
      </c>
      <c r="F5483" s="3" t="inlineStr">
        <is>
          <t>우림피티에스</t>
        </is>
      </c>
      <c r="G5483" s="2" t="inlineStr">
        <is>
          <t>20260313901876</t>
        </is>
      </c>
      <c r="H5483" s="8">
        <f>HYPERLINK("https://dart.fss.or.kr/dsaf001/main.do?rcpNo=20260313901876", "공시열람")</f>
        <v/>
      </c>
    </row>
    <row r="5484">
      <c r="A5484" s="2" t="inlineStr">
        <is>
          <t>2026-03-13</t>
        </is>
      </c>
      <c r="B5484" s="3" t="inlineStr">
        <is>
          <t>폴라리스AI파마</t>
        </is>
      </c>
      <c r="C5484" s="2" t="inlineStr">
        <is>
          <t>코스닥</t>
        </is>
      </c>
      <c r="D5484" s="2" t="inlineStr">
        <is>
          <t>041910</t>
        </is>
      </c>
      <c r="E5484" s="3" t="inlineStr">
        <is>
          <t xml:space="preserve">감사보고서제출              </t>
        </is>
      </c>
      <c r="F5484" s="3" t="inlineStr">
        <is>
          <t>폴라리스AI파마</t>
        </is>
      </c>
      <c r="G5484" s="2" t="inlineStr">
        <is>
          <t>20260313901957</t>
        </is>
      </c>
      <c r="H5484" s="8">
        <f>HYPERLINK("https://dart.fss.or.kr/dsaf001/main.do?rcpNo=20260313901957", "공시열람")</f>
        <v/>
      </c>
    </row>
    <row r="5485">
      <c r="A5485" s="2" t="inlineStr">
        <is>
          <t>2026-03-13</t>
        </is>
      </c>
      <c r="B5485" s="3" t="inlineStr">
        <is>
          <t>삼성화재해상보험</t>
        </is>
      </c>
      <c r="C5485" s="2" t="inlineStr">
        <is>
          <t>코스피</t>
        </is>
      </c>
      <c r="D5485" s="2" t="inlineStr">
        <is>
          <t>000810</t>
        </is>
      </c>
      <c r="E5485" s="3" t="inlineStr">
        <is>
          <t xml:space="preserve">기업지배구조보고서공시(연차보고서)              </t>
        </is>
      </c>
      <c r="F5485" s="3" t="inlineStr">
        <is>
          <t>삼성화재해상보험</t>
        </is>
      </c>
      <c r="G5485" s="2" t="inlineStr">
        <is>
          <t>20260313802029</t>
        </is>
      </c>
      <c r="H5485" s="8">
        <f>HYPERLINK("https://dart.fss.or.kr/dsaf001/main.do?rcpNo=20260313802029", "공시열람")</f>
        <v/>
      </c>
    </row>
    <row r="5486">
      <c r="A5486" s="2" t="inlineStr">
        <is>
          <t>2026-03-13</t>
        </is>
      </c>
      <c r="B5486" s="3" t="inlineStr">
        <is>
          <t>동아에스티</t>
        </is>
      </c>
      <c r="C5486" s="2" t="inlineStr">
        <is>
          <t>코스피</t>
        </is>
      </c>
      <c r="D5486" s="2" t="inlineStr">
        <is>
          <t>170900</t>
        </is>
      </c>
      <c r="E5486" s="3" t="inlineStr">
        <is>
          <t xml:space="preserve">투자판단관련주요경영사항              </t>
        </is>
      </c>
      <c r="F5486" s="3" t="inlineStr">
        <is>
          <t>동아에스티</t>
        </is>
      </c>
      <c r="G5486" s="2" t="inlineStr">
        <is>
          <t>20260313801968</t>
        </is>
      </c>
      <c r="H5486" s="8">
        <f>HYPERLINK("https://dart.fss.or.kr/dsaf001/main.do?rcpNo=20260313801968", "공시열람")</f>
        <v/>
      </c>
    </row>
    <row r="5487">
      <c r="A5487" s="2" t="inlineStr">
        <is>
          <t>2026-03-13</t>
        </is>
      </c>
      <c r="B5487" s="3" t="inlineStr">
        <is>
          <t>케이엔알시스템</t>
        </is>
      </c>
      <c r="C5487" s="2" t="inlineStr">
        <is>
          <t>코스닥</t>
        </is>
      </c>
      <c r="D5487" s="2" t="inlineStr">
        <is>
          <t>199430</t>
        </is>
      </c>
      <c r="E5487" s="3" t="inlineStr">
        <is>
          <t>임원ㆍ주요주주특정증권등소유상황보고서</t>
        </is>
      </c>
      <c r="F5487" s="3" t="inlineStr">
        <is>
          <t>이관범</t>
        </is>
      </c>
      <c r="G5487" s="2" t="inlineStr">
        <is>
          <t>20260313001283</t>
        </is>
      </c>
      <c r="H5487" s="8">
        <f>HYPERLINK("https://dart.fss.or.kr/dsaf001/main.do?rcpNo=20260313001283", "공시열람")</f>
        <v/>
      </c>
    </row>
    <row r="5488">
      <c r="A5488" s="2" t="inlineStr">
        <is>
          <t>2026-03-13</t>
        </is>
      </c>
      <c r="B5488" s="3" t="inlineStr">
        <is>
          <t>사조씨푸드</t>
        </is>
      </c>
      <c r="C5488" s="2" t="inlineStr">
        <is>
          <t>코스피</t>
        </is>
      </c>
      <c r="D5488" s="2" t="inlineStr">
        <is>
          <t>014710</t>
        </is>
      </c>
      <c r="E5488" s="3" t="inlineStr">
        <is>
          <t xml:space="preserve">매출액또는손익구조30%(대규모법인은15%)이상변경              </t>
        </is>
      </c>
      <c r="F5488" s="3" t="inlineStr">
        <is>
          <t>사조씨푸드</t>
        </is>
      </c>
      <c r="G5488" s="2" t="inlineStr">
        <is>
          <t>20260313801929</t>
        </is>
      </c>
      <c r="H5488" s="8">
        <f>HYPERLINK("https://dart.fss.or.kr/dsaf001/main.do?rcpNo=20260313801929", "공시열람")</f>
        <v/>
      </c>
    </row>
    <row r="5489">
      <c r="A5489" s="2" t="inlineStr">
        <is>
          <t>2026-03-13</t>
        </is>
      </c>
      <c r="B5489" s="3" t="inlineStr">
        <is>
          <t>DXVX</t>
        </is>
      </c>
      <c r="C5489" s="2" t="inlineStr">
        <is>
          <t>코스닥</t>
        </is>
      </c>
      <c r="D5489" s="2" t="inlineStr">
        <is>
          <t>180400</t>
        </is>
      </c>
      <c r="E5489" s="3" t="inlineStr">
        <is>
          <t>의결권대리행사권유참고서류</t>
        </is>
      </c>
      <c r="F5489" s="3" t="inlineStr">
        <is>
          <t>DXVX</t>
        </is>
      </c>
      <c r="G5489" s="2" t="inlineStr">
        <is>
          <t>20260313001275</t>
        </is>
      </c>
      <c r="H5489" s="8">
        <f>HYPERLINK("https://dart.fss.or.kr/dsaf001/main.do?rcpNo=20260313001275", "공시열람")</f>
        <v/>
      </c>
    </row>
    <row r="5490">
      <c r="A5490" s="2" t="inlineStr">
        <is>
          <t>2026-03-13</t>
        </is>
      </c>
      <c r="B5490" s="3" t="inlineStr">
        <is>
          <t>에코프로</t>
        </is>
      </c>
      <c r="C5490" s="2" t="inlineStr">
        <is>
          <t>코스닥</t>
        </is>
      </c>
      <c r="D5490" s="2" t="inlineStr">
        <is>
          <t>086520</t>
        </is>
      </c>
      <c r="E5490" s="3" t="inlineStr">
        <is>
          <t xml:space="preserve">감사보고서제출(자회사의 주요경영사항)              </t>
        </is>
      </c>
      <c r="F5490" s="3" t="inlineStr">
        <is>
          <t>에코프로</t>
        </is>
      </c>
      <c r="G5490" s="2" t="inlineStr">
        <is>
          <t>20260313901969</t>
        </is>
      </c>
      <c r="H5490" s="8">
        <f>HYPERLINK("https://dart.fss.or.kr/dsaf001/main.do?rcpNo=20260313901969", "공시열람")</f>
        <v/>
      </c>
    </row>
    <row r="5491">
      <c r="A5491" s="2" t="inlineStr">
        <is>
          <t>2026-03-13</t>
        </is>
      </c>
      <c r="B5491" s="3" t="inlineStr">
        <is>
          <t>케이엔알시스템</t>
        </is>
      </c>
      <c r="C5491" s="2" t="inlineStr">
        <is>
          <t>코스닥</t>
        </is>
      </c>
      <c r="D5491" s="2" t="inlineStr">
        <is>
          <t>199430</t>
        </is>
      </c>
      <c r="E5491" s="3" t="inlineStr">
        <is>
          <t>임원ㆍ주요주주특정증권등소유상황보고서</t>
        </is>
      </c>
      <c r="F5491" s="3" t="inlineStr">
        <is>
          <t>김진현</t>
        </is>
      </c>
      <c r="G5491" s="2" t="inlineStr">
        <is>
          <t>20260313001271</t>
        </is>
      </c>
      <c r="H5491" s="8">
        <f>HYPERLINK("https://dart.fss.or.kr/dsaf001/main.do?rcpNo=20260313001271", "공시열람")</f>
        <v/>
      </c>
    </row>
    <row r="5492">
      <c r="A5492" s="2" t="inlineStr">
        <is>
          <t>2026-03-13</t>
        </is>
      </c>
      <c r="B5492" s="3" t="inlineStr">
        <is>
          <t>스튜디오미르</t>
        </is>
      </c>
      <c r="C5492" s="2" t="inlineStr">
        <is>
          <t>코스닥</t>
        </is>
      </c>
      <c r="D5492" s="2" t="inlineStr">
        <is>
          <t>408900</t>
        </is>
      </c>
      <c r="E5492" s="3" t="inlineStr">
        <is>
          <t xml:space="preserve">감사보고서제출              </t>
        </is>
      </c>
      <c r="F5492" s="3" t="inlineStr">
        <is>
          <t>스튜디오미르</t>
        </is>
      </c>
      <c r="G5492" s="2" t="inlineStr">
        <is>
          <t>20260313901858</t>
        </is>
      </c>
      <c r="H5492" s="8">
        <f>HYPERLINK("https://dart.fss.or.kr/dsaf001/main.do?rcpNo=20260313901858", "공시열람")</f>
        <v/>
      </c>
    </row>
    <row r="5493">
      <c r="A5493" s="2" t="inlineStr">
        <is>
          <t>2026-03-13</t>
        </is>
      </c>
      <c r="B5493" s="3" t="inlineStr">
        <is>
          <t>DMS</t>
        </is>
      </c>
      <c r="C5493" s="2" t="inlineStr">
        <is>
          <t>코스닥</t>
        </is>
      </c>
      <c r="D5493" s="2" t="inlineStr">
        <is>
          <t>068790</t>
        </is>
      </c>
      <c r="E5493" s="3" t="inlineStr">
        <is>
          <t>의결권대리행사권유참고서류</t>
        </is>
      </c>
      <c r="F5493" s="3" t="inlineStr">
        <is>
          <t>DMS</t>
        </is>
      </c>
      <c r="G5493" s="2" t="inlineStr">
        <is>
          <t>20260313001269</t>
        </is>
      </c>
      <c r="H5493" s="8">
        <f>HYPERLINK("https://dart.fss.or.kr/dsaf001/main.do?rcpNo=20260313001269", "공시열람")</f>
        <v/>
      </c>
    </row>
    <row r="5494">
      <c r="A5494" s="2" t="inlineStr">
        <is>
          <t>2026-03-13</t>
        </is>
      </c>
      <c r="B5494" s="3" t="inlineStr">
        <is>
          <t>나우IB</t>
        </is>
      </c>
      <c r="C5494" s="2" t="inlineStr">
        <is>
          <t>코스닥</t>
        </is>
      </c>
      <c r="D5494" s="2" t="inlineStr">
        <is>
          <t>293580</t>
        </is>
      </c>
      <c r="E5494" s="3" t="inlineStr">
        <is>
          <t xml:space="preserve">감사보고서제출              </t>
        </is>
      </c>
      <c r="F5494" s="3" t="inlineStr">
        <is>
          <t>나우IB</t>
        </is>
      </c>
      <c r="G5494" s="2" t="inlineStr">
        <is>
          <t>20260313901930</t>
        </is>
      </c>
      <c r="H5494" s="8">
        <f>HYPERLINK("https://dart.fss.or.kr/dsaf001/main.do?rcpNo=20260313901930", "공시열람")</f>
        <v/>
      </c>
    </row>
    <row r="5495">
      <c r="A5495" s="2" t="inlineStr">
        <is>
          <t>2026-03-13</t>
        </is>
      </c>
      <c r="B5495" s="3" t="inlineStr">
        <is>
          <t>케이엔알시스템</t>
        </is>
      </c>
      <c r="C5495" s="2" t="inlineStr">
        <is>
          <t>코스닥</t>
        </is>
      </c>
      <c r="D5495" s="2" t="inlineStr">
        <is>
          <t>199430</t>
        </is>
      </c>
      <c r="E5495" s="3" t="inlineStr">
        <is>
          <t>임원ㆍ주요주주특정증권등소유상황보고서</t>
        </is>
      </c>
      <c r="F5495" s="3" t="inlineStr">
        <is>
          <t>김종수</t>
        </is>
      </c>
      <c r="G5495" s="2" t="inlineStr">
        <is>
          <t>20260313001262</t>
        </is>
      </c>
      <c r="H5495" s="8">
        <f>HYPERLINK("https://dart.fss.or.kr/dsaf001/main.do?rcpNo=20260313001262", "공시열람")</f>
        <v/>
      </c>
    </row>
    <row r="5496">
      <c r="A5496" s="2" t="inlineStr">
        <is>
          <t>2026-03-13</t>
        </is>
      </c>
      <c r="B5496" s="3" t="inlineStr">
        <is>
          <t>셀레믹스</t>
        </is>
      </c>
      <c r="C5496" s="2" t="inlineStr">
        <is>
          <t>코스닥</t>
        </is>
      </c>
      <c r="D5496" s="2" t="inlineStr">
        <is>
          <t>331920</t>
        </is>
      </c>
      <c r="E5496" s="3" t="inlineStr">
        <is>
          <t>사외이사의선임ㆍ해임또는중도퇴임에관한신고</t>
        </is>
      </c>
      <c r="F5496" s="3" t="inlineStr">
        <is>
          <t>셀레믹스</t>
        </is>
      </c>
      <c r="G5496" s="2" t="inlineStr">
        <is>
          <t>20260313001260</t>
        </is>
      </c>
      <c r="H5496" s="8">
        <f>HYPERLINK("https://dart.fss.or.kr/dsaf001/main.do?rcpNo=20260313001260", "공시열람")</f>
        <v/>
      </c>
    </row>
    <row r="5497">
      <c r="A5497" s="2" t="inlineStr">
        <is>
          <t>2026-03-13</t>
        </is>
      </c>
      <c r="B5497" s="3" t="inlineStr">
        <is>
          <t>인텔리안테크</t>
        </is>
      </c>
      <c r="C5497" s="2" t="inlineStr">
        <is>
          <t>코스닥</t>
        </is>
      </c>
      <c r="D5497" s="2" t="inlineStr">
        <is>
          <t>189300</t>
        </is>
      </c>
      <c r="E5497" s="3" t="inlineStr">
        <is>
          <t>주요사항보고서(자기주식처분결정)</t>
        </is>
      </c>
      <c r="F5497" s="3" t="inlineStr">
        <is>
          <t>인텔리안테크</t>
        </is>
      </c>
      <c r="G5497" s="2" t="inlineStr">
        <is>
          <t>20260313001224</t>
        </is>
      </c>
      <c r="H5497" s="8">
        <f>HYPERLINK("https://dart.fss.or.kr/dsaf001/main.do?rcpNo=20260313001224", "공시열람")</f>
        <v/>
      </c>
    </row>
    <row r="5498">
      <c r="A5498" s="2" t="inlineStr">
        <is>
          <t>2026-03-13</t>
        </is>
      </c>
      <c r="B5498" s="3" t="inlineStr">
        <is>
          <t>에이아이코리아</t>
        </is>
      </c>
      <c r="C5498" s="2" t="inlineStr">
        <is>
          <t>코스닥</t>
        </is>
      </c>
      <c r="D5498" s="2" t="inlineStr">
        <is>
          <t>364950</t>
        </is>
      </c>
      <c r="E5498" s="3" t="inlineStr">
        <is>
          <t xml:space="preserve">단기차입금증가결정              </t>
        </is>
      </c>
      <c r="F5498" s="3" t="inlineStr">
        <is>
          <t>에이아이코리아</t>
        </is>
      </c>
      <c r="G5498" s="2" t="inlineStr">
        <is>
          <t>20260313901892</t>
        </is>
      </c>
      <c r="H5498" s="8">
        <f>HYPERLINK("https://dart.fss.or.kr/dsaf001/main.do?rcpNo=20260313901892", "공시열람")</f>
        <v/>
      </c>
    </row>
    <row r="5499">
      <c r="A5499" s="2" t="inlineStr">
        <is>
          <t>2026-03-13</t>
        </is>
      </c>
      <c r="B5499" s="3" t="inlineStr">
        <is>
          <t>에코프로머티</t>
        </is>
      </c>
      <c r="C5499" s="2" t="inlineStr">
        <is>
          <t>코스피</t>
        </is>
      </c>
      <c r="D5499" s="2" t="inlineStr">
        <is>
          <t>450080</t>
        </is>
      </c>
      <c r="E5499" s="3" t="inlineStr">
        <is>
          <t xml:space="preserve">감사보고서제출              </t>
        </is>
      </c>
      <c r="F5499" s="3" t="inlineStr">
        <is>
          <t>에코프로머티</t>
        </is>
      </c>
      <c r="G5499" s="2" t="inlineStr">
        <is>
          <t>20260313801841</t>
        </is>
      </c>
      <c r="H5499" s="8">
        <f>HYPERLINK("https://dart.fss.or.kr/dsaf001/main.do?rcpNo=20260313801841", "공시열람")</f>
        <v/>
      </c>
    </row>
    <row r="5500">
      <c r="A5500" s="2" t="inlineStr">
        <is>
          <t>2026-03-13</t>
        </is>
      </c>
      <c r="B5500" s="3" t="inlineStr">
        <is>
          <t>케어젠</t>
        </is>
      </c>
      <c r="C5500" s="2" t="inlineStr">
        <is>
          <t>코스닥</t>
        </is>
      </c>
      <c r="D5500" s="2" t="inlineStr">
        <is>
          <t>214370</t>
        </is>
      </c>
      <c r="E5500" s="3" t="inlineStr">
        <is>
          <t xml:space="preserve">매출액또는손익구조30%(대규모법인은15%)이상변동              </t>
        </is>
      </c>
      <c r="F5500" s="3" t="inlineStr">
        <is>
          <t>케어젠</t>
        </is>
      </c>
      <c r="G5500" s="2" t="inlineStr">
        <is>
          <t>20260313901888</t>
        </is>
      </c>
      <c r="H5500" s="8">
        <f>HYPERLINK("https://dart.fss.or.kr/dsaf001/main.do?rcpNo=20260313901888", "공시열람")</f>
        <v/>
      </c>
    </row>
    <row r="5501">
      <c r="A5501" s="2" t="inlineStr">
        <is>
          <t>2026-03-13</t>
        </is>
      </c>
      <c r="B5501" s="3" t="inlineStr">
        <is>
          <t>케이티</t>
        </is>
      </c>
      <c r="C5501" s="2" t="inlineStr">
        <is>
          <t>코스피</t>
        </is>
      </c>
      <c r="D5501" s="2" t="inlineStr">
        <is>
          <t>030200</t>
        </is>
      </c>
      <c r="E5501" s="3" t="inlineStr">
        <is>
          <t xml:space="preserve">감사보고서제출              </t>
        </is>
      </c>
      <c r="F5501" s="3" t="inlineStr">
        <is>
          <t>케이티</t>
        </is>
      </c>
      <c r="G5501" s="2" t="inlineStr">
        <is>
          <t>20260313801917</t>
        </is>
      </c>
      <c r="H5501" s="8">
        <f>HYPERLINK("https://dart.fss.or.kr/dsaf001/main.do?rcpNo=20260313801917", "공시열람")</f>
        <v/>
      </c>
    </row>
    <row r="5502">
      <c r="A5502" s="2" t="inlineStr">
        <is>
          <t>2026-03-13</t>
        </is>
      </c>
      <c r="B5502" s="3" t="inlineStr">
        <is>
          <t>아이디스</t>
        </is>
      </c>
      <c r="C5502" s="2" t="inlineStr">
        <is>
          <t>코스닥</t>
        </is>
      </c>
      <c r="D5502" s="2" t="inlineStr">
        <is>
          <t>143160</t>
        </is>
      </c>
      <c r="E5502" s="3" t="inlineStr">
        <is>
          <t xml:space="preserve">감사보고서제출              </t>
        </is>
      </c>
      <c r="F5502" s="3" t="inlineStr">
        <is>
          <t>아이디스</t>
        </is>
      </c>
      <c r="G5502" s="2" t="inlineStr">
        <is>
          <t>20260313901828</t>
        </is>
      </c>
      <c r="H5502" s="8">
        <f>HYPERLINK("https://dart.fss.or.kr/dsaf001/main.do?rcpNo=20260313901828", "공시열람")</f>
        <v/>
      </c>
    </row>
    <row r="5503">
      <c r="A5503" s="2" t="inlineStr">
        <is>
          <t>2026-03-13</t>
        </is>
      </c>
      <c r="B5503" s="3" t="inlineStr">
        <is>
          <t>에이프로</t>
        </is>
      </c>
      <c r="C5503" s="2" t="inlineStr">
        <is>
          <t>코스닥</t>
        </is>
      </c>
      <c r="D5503" s="2" t="inlineStr">
        <is>
          <t>262260</t>
        </is>
      </c>
      <c r="E5503" s="3" t="inlineStr">
        <is>
          <t xml:space="preserve">현금ㆍ현물배당결정              </t>
        </is>
      </c>
      <c r="F5503" s="3" t="inlineStr">
        <is>
          <t>에이프로</t>
        </is>
      </c>
      <c r="G5503" s="2" t="inlineStr">
        <is>
          <t>20260313901803</t>
        </is>
      </c>
      <c r="H5503" s="8">
        <f>HYPERLINK("https://dart.fss.or.kr/dsaf001/main.do?rcpNo=20260313901803", "공시열람")</f>
        <v/>
      </c>
    </row>
    <row r="5504">
      <c r="A5504" s="2" t="inlineStr">
        <is>
          <t>2026-03-13</t>
        </is>
      </c>
      <c r="B5504" s="3" t="inlineStr">
        <is>
          <t>동국S&amp;C</t>
        </is>
      </c>
      <c r="C5504" s="2" t="inlineStr">
        <is>
          <t>코스닥</t>
        </is>
      </c>
      <c r="D5504" s="2" t="inlineStr">
        <is>
          <t>100130</t>
        </is>
      </c>
      <c r="E5504" s="3" t="inlineStr">
        <is>
          <t xml:space="preserve">감사보고서제출              </t>
        </is>
      </c>
      <c r="F5504" s="3" t="inlineStr">
        <is>
          <t>동국S&amp;C</t>
        </is>
      </c>
      <c r="G5504" s="2" t="inlineStr">
        <is>
          <t>20260313901789</t>
        </is>
      </c>
      <c r="H5504" s="8">
        <f>HYPERLINK("https://dart.fss.or.kr/dsaf001/main.do?rcpNo=20260313901789", "공시열람")</f>
        <v/>
      </c>
    </row>
    <row r="5505">
      <c r="A5505" s="2" t="inlineStr">
        <is>
          <t>2026-03-13</t>
        </is>
      </c>
      <c r="B5505" s="3" t="inlineStr">
        <is>
          <t>피플바이오</t>
        </is>
      </c>
      <c r="C5505" s="2" t="inlineStr">
        <is>
          <t>코스닥</t>
        </is>
      </c>
      <c r="D5505" s="2" t="inlineStr">
        <is>
          <t>304840</t>
        </is>
      </c>
      <c r="E5505" s="3" t="inlineStr">
        <is>
          <t>증권발행결과(자율공시)              (제3자배정 유상증자)</t>
        </is>
      </c>
      <c r="F5505" s="3" t="inlineStr">
        <is>
          <t>피플바이오</t>
        </is>
      </c>
      <c r="G5505" s="2" t="inlineStr">
        <is>
          <t>20260313901856</t>
        </is>
      </c>
      <c r="H5505" s="8">
        <f>HYPERLINK("https://dart.fss.or.kr/dsaf001/main.do?rcpNo=20260313901856", "공시열람")</f>
        <v/>
      </c>
    </row>
    <row r="5506">
      <c r="A5506" s="2" t="inlineStr">
        <is>
          <t>2026-03-13</t>
        </is>
      </c>
      <c r="B5506" s="3" t="inlineStr">
        <is>
          <t>셀레믹스</t>
        </is>
      </c>
      <c r="C5506" s="2" t="inlineStr">
        <is>
          <t>코스닥</t>
        </is>
      </c>
      <c r="D5506" s="2" t="inlineStr">
        <is>
          <t>331920</t>
        </is>
      </c>
      <c r="E5506" s="3" t="inlineStr">
        <is>
          <t xml:space="preserve">대표이사변경              </t>
        </is>
      </c>
      <c r="F5506" s="3" t="inlineStr">
        <is>
          <t>셀레믹스</t>
        </is>
      </c>
      <c r="G5506" s="2" t="inlineStr">
        <is>
          <t>20260313901783</t>
        </is>
      </c>
      <c r="H5506" s="8">
        <f>HYPERLINK("https://dart.fss.or.kr/dsaf001/main.do?rcpNo=20260313901783", "공시열람")</f>
        <v/>
      </c>
    </row>
    <row r="5507">
      <c r="A5507" s="2" t="inlineStr">
        <is>
          <t>2026-03-13</t>
        </is>
      </c>
      <c r="B5507" s="3" t="inlineStr">
        <is>
          <t>소프트센</t>
        </is>
      </c>
      <c r="C5507" s="2" t="inlineStr">
        <is>
          <t>코스닥</t>
        </is>
      </c>
      <c r="D5507" s="2" t="inlineStr">
        <is>
          <t>032680</t>
        </is>
      </c>
      <c r="E5507" s="3" t="inlineStr">
        <is>
          <t>의결권대리행사권유참고서류</t>
        </is>
      </c>
      <c r="F5507" s="3" t="inlineStr">
        <is>
          <t>소프트센</t>
        </is>
      </c>
      <c r="G5507" s="2" t="inlineStr">
        <is>
          <t>20260313001251</t>
        </is>
      </c>
      <c r="H5507" s="8">
        <f>HYPERLINK("https://dart.fss.or.kr/dsaf001/main.do?rcpNo=20260313001251", "공시열람")</f>
        <v/>
      </c>
    </row>
    <row r="5508">
      <c r="A5508" s="2" t="inlineStr">
        <is>
          <t>2026-03-13</t>
        </is>
      </c>
      <c r="B5508" s="3" t="inlineStr">
        <is>
          <t>신한지주</t>
        </is>
      </c>
      <c r="C5508" s="2" t="inlineStr">
        <is>
          <t>코스피</t>
        </is>
      </c>
      <c r="D5508" s="2" t="inlineStr">
        <is>
          <t>055550</t>
        </is>
      </c>
      <c r="E5508" s="3" t="inlineStr">
        <is>
          <t>투자설명서(일괄신고)</t>
        </is>
      </c>
      <c r="F5508" s="3" t="inlineStr">
        <is>
          <t>신한지주</t>
        </is>
      </c>
      <c r="G5508" s="2" t="inlineStr">
        <is>
          <t>20260313001250</t>
        </is>
      </c>
      <c r="H5508" s="8">
        <f>HYPERLINK("https://dart.fss.or.kr/dsaf001/main.do?rcpNo=20260313001250", "공시열람")</f>
        <v/>
      </c>
    </row>
    <row r="5509">
      <c r="A5509" s="2" t="inlineStr">
        <is>
          <t>2026-03-13</t>
        </is>
      </c>
      <c r="B5509" s="3" t="inlineStr">
        <is>
          <t>에이프로</t>
        </is>
      </c>
      <c r="C5509" s="2" t="inlineStr">
        <is>
          <t>코스닥</t>
        </is>
      </c>
      <c r="D5509" s="2" t="inlineStr">
        <is>
          <t>262260</t>
        </is>
      </c>
      <c r="E5509" s="3" t="inlineStr">
        <is>
          <t xml:space="preserve">매출액또는손익구조30%(대규모법인은15%)이상변동              </t>
        </is>
      </c>
      <c r="F5509" s="3" t="inlineStr">
        <is>
          <t>에이프로</t>
        </is>
      </c>
      <c r="G5509" s="2" t="inlineStr">
        <is>
          <t>20260313901685</t>
        </is>
      </c>
      <c r="H5509" s="8">
        <f>HYPERLINK("https://dart.fss.or.kr/dsaf001/main.do?rcpNo=20260313901685", "공시열람")</f>
        <v/>
      </c>
    </row>
    <row r="5510">
      <c r="A5510" s="2" t="inlineStr">
        <is>
          <t>2026-03-13</t>
        </is>
      </c>
      <c r="B5510" s="3" t="inlineStr">
        <is>
          <t>나노팀</t>
        </is>
      </c>
      <c r="C5510" s="2" t="inlineStr">
        <is>
          <t>코스닥</t>
        </is>
      </c>
      <c r="D5510" s="2" t="inlineStr">
        <is>
          <t>417010</t>
        </is>
      </c>
      <c r="E5510" s="3" t="inlineStr">
        <is>
          <t xml:space="preserve">감사보고서제출              </t>
        </is>
      </c>
      <c r="F5510" s="3" t="inlineStr">
        <is>
          <t>나노팀</t>
        </is>
      </c>
      <c r="G5510" s="2" t="inlineStr">
        <is>
          <t>20260313901793</t>
        </is>
      </c>
      <c r="H5510" s="8">
        <f>HYPERLINK("https://dart.fss.or.kr/dsaf001/main.do?rcpNo=20260313901793", "공시열람")</f>
        <v/>
      </c>
    </row>
    <row r="5511">
      <c r="A5511" s="2" t="inlineStr">
        <is>
          <t>2026-03-13</t>
        </is>
      </c>
      <c r="B5511" s="3" t="inlineStr">
        <is>
          <t>삼성전자</t>
        </is>
      </c>
      <c r="C5511" s="2" t="inlineStr">
        <is>
          <t>코스피</t>
        </is>
      </c>
      <c r="D5511" s="2" t="inlineStr">
        <is>
          <t>005930</t>
        </is>
      </c>
      <c r="E5511" s="3" t="inlineStr">
        <is>
          <t>임원ㆍ주요주주특정증권등소유상황보고서</t>
        </is>
      </c>
      <c r="F5511" s="3" t="inlineStr">
        <is>
          <t>송재혁</t>
        </is>
      </c>
      <c r="G5511" s="2" t="inlineStr">
        <is>
          <t>20260313001248</t>
        </is>
      </c>
      <c r="H5511" s="8">
        <f>HYPERLINK("https://dart.fss.or.kr/dsaf001/main.do?rcpNo=20260313001248", "공시열람")</f>
        <v/>
      </c>
    </row>
    <row r="5512">
      <c r="A5512" s="2" t="inlineStr">
        <is>
          <t>2026-03-13</t>
        </is>
      </c>
      <c r="B5512" s="3" t="inlineStr">
        <is>
          <t>누리플렉스</t>
        </is>
      </c>
      <c r="C5512" s="2" t="inlineStr">
        <is>
          <t>코스닥</t>
        </is>
      </c>
      <c r="D5512" s="2" t="inlineStr">
        <is>
          <t>040160</t>
        </is>
      </c>
      <c r="E5512" s="3" t="inlineStr">
        <is>
          <t>[첨부정정]의결권대리행사권유참고서류</t>
        </is>
      </c>
      <c r="F5512" s="3" t="inlineStr">
        <is>
          <t>누리플렉스</t>
        </is>
      </c>
      <c r="G5512" s="2" t="inlineStr">
        <is>
          <t>20260313001247</t>
        </is>
      </c>
      <c r="H5512" s="8">
        <f>HYPERLINK("https://dart.fss.or.kr/dsaf001/main.do?rcpNo=20260313001247", "공시열람")</f>
        <v/>
      </c>
    </row>
    <row r="5513">
      <c r="A5513" s="2" t="inlineStr">
        <is>
          <t>2026-03-13</t>
        </is>
      </c>
      <c r="B5513" s="3" t="inlineStr">
        <is>
          <t>캔버스엔</t>
        </is>
      </c>
      <c r="C5513" s="2" t="inlineStr">
        <is>
          <t>코스닥</t>
        </is>
      </c>
      <c r="D5513" s="2" t="inlineStr">
        <is>
          <t>210120</t>
        </is>
      </c>
      <c r="E5513" s="3" t="inlineStr">
        <is>
          <t>[첨부정정]주요사항보고서(자기전환사채만기전취득결정)</t>
        </is>
      </c>
      <c r="F5513" s="3" t="inlineStr">
        <is>
          <t>캔버스엔</t>
        </is>
      </c>
      <c r="G5513" s="2" t="inlineStr">
        <is>
          <t>20260313001179</t>
        </is>
      </c>
      <c r="H5513" s="8">
        <f>HYPERLINK("https://dart.fss.or.kr/dsaf001/main.do?rcpNo=20260313001179", "공시열람")</f>
        <v/>
      </c>
    </row>
    <row r="5514">
      <c r="A5514" s="2" t="inlineStr">
        <is>
          <t>2026-03-13</t>
        </is>
      </c>
      <c r="B5514" s="3" t="inlineStr">
        <is>
          <t>에스프리즘</t>
        </is>
      </c>
      <c r="C5514" s="2" t="inlineStr">
        <is>
          <t>코스닥</t>
        </is>
      </c>
      <c r="D5514" s="2" t="inlineStr">
        <is>
          <t>288620</t>
        </is>
      </c>
      <c r="E5514" s="3" t="inlineStr">
        <is>
          <t>의결권대리행사권유참고서류</t>
        </is>
      </c>
      <c r="F5514" s="3" t="inlineStr">
        <is>
          <t>에스프리즘</t>
        </is>
      </c>
      <c r="G5514" s="2" t="inlineStr">
        <is>
          <t>20260313001242</t>
        </is>
      </c>
      <c r="H5514" s="8">
        <f>HYPERLINK("https://dart.fss.or.kr/dsaf001/main.do?rcpNo=20260313001242", "공시열람")</f>
        <v/>
      </c>
    </row>
    <row r="5515">
      <c r="A5515" s="2" t="inlineStr">
        <is>
          <t>2026-03-13</t>
        </is>
      </c>
      <c r="B5515" s="3" t="inlineStr">
        <is>
          <t>미스토홀딩스</t>
        </is>
      </c>
      <c r="C5515" s="2" t="inlineStr">
        <is>
          <t>코스피</t>
        </is>
      </c>
      <c r="D5515" s="2" t="inlineStr">
        <is>
          <t>081660</t>
        </is>
      </c>
      <c r="E5515" s="3" t="inlineStr">
        <is>
          <t>자기주식취득결과보고서</t>
        </is>
      </c>
      <c r="F5515" s="3" t="inlineStr">
        <is>
          <t>미스토홀딩스</t>
        </is>
      </c>
      <c r="G5515" s="2" t="inlineStr">
        <is>
          <t>20260313001241</t>
        </is>
      </c>
      <c r="H5515" s="8">
        <f>HYPERLINK("https://dart.fss.or.kr/dsaf001/main.do?rcpNo=20260313001241", "공시열람")</f>
        <v/>
      </c>
    </row>
    <row r="5516">
      <c r="A5516" s="2" t="inlineStr">
        <is>
          <t>2026-03-13 (정정: 2026-05-21)</t>
        </is>
      </c>
      <c r="B5516" s="3" t="inlineStr">
        <is>
          <t>신세계푸드</t>
        </is>
      </c>
      <c r="C5516" s="2" t="inlineStr">
        <is>
          <t>코스피</t>
        </is>
      </c>
      <c r="D5516" s="2" t="inlineStr">
        <is>
          <t>031440</t>
        </is>
      </c>
      <c r="E5516" s="3" t="inlineStr">
        <is>
          <t>감사보고서제출               (정정: 20260521)</t>
        </is>
      </c>
      <c r="F5516" s="3" t="inlineStr">
        <is>
          <t>신세계푸드</t>
        </is>
      </c>
      <c r="G5516" s="2" t="inlineStr">
        <is>
          <t>20260521800951</t>
        </is>
      </c>
      <c r="H5516" s="8">
        <f>HYPERLINK("https://dart.fss.or.kr/dsaf001/main.do?rcpNo=20260521800951", "공시열람")</f>
        <v/>
      </c>
    </row>
    <row r="5517">
      <c r="A5517" s="2" t="inlineStr">
        <is>
          <t>2026-03-13</t>
        </is>
      </c>
      <c r="B5517" s="3" t="inlineStr">
        <is>
          <t>위츠</t>
        </is>
      </c>
      <c r="C5517" s="2" t="inlineStr">
        <is>
          <t>코스닥</t>
        </is>
      </c>
      <c r="D5517" s="2" t="inlineStr">
        <is>
          <t>459100</t>
        </is>
      </c>
      <c r="E5517" s="3" t="inlineStr">
        <is>
          <t xml:space="preserve">감사보고서제출              </t>
        </is>
      </c>
      <c r="F5517" s="3" t="inlineStr">
        <is>
          <t>위츠</t>
        </is>
      </c>
      <c r="G5517" s="2" t="inlineStr">
        <is>
          <t>20260313901623</t>
        </is>
      </c>
      <c r="H5517" s="8">
        <f>HYPERLINK("https://dart.fss.or.kr/dsaf001/main.do?rcpNo=20260313901623", "공시열람")</f>
        <v/>
      </c>
    </row>
    <row r="5518">
      <c r="A5518" s="2" t="inlineStr">
        <is>
          <t>2026-03-13</t>
        </is>
      </c>
      <c r="B5518" s="3" t="inlineStr">
        <is>
          <t>SJG세종</t>
        </is>
      </c>
      <c r="C5518" s="2" t="inlineStr">
        <is>
          <t>코스피</t>
        </is>
      </c>
      <c r="D5518" s="2" t="inlineStr">
        <is>
          <t>033530</t>
        </is>
      </c>
      <c r="E5518" s="3" t="inlineStr">
        <is>
          <t xml:space="preserve">감사보고서제출              </t>
        </is>
      </c>
      <c r="F5518" s="3" t="inlineStr">
        <is>
          <t>SJG세종</t>
        </is>
      </c>
      <c r="G5518" s="2" t="inlineStr">
        <is>
          <t>20260313801821</t>
        </is>
      </c>
      <c r="H5518" s="8">
        <f>HYPERLINK("https://dart.fss.or.kr/dsaf001/main.do?rcpNo=20260313801821", "공시열람")</f>
        <v/>
      </c>
    </row>
    <row r="5519">
      <c r="A5519" s="2" t="inlineStr">
        <is>
          <t>2026-03-13</t>
        </is>
      </c>
      <c r="B5519" s="3" t="inlineStr">
        <is>
          <t>신화인터텍</t>
        </is>
      </c>
      <c r="C5519" s="2" t="inlineStr">
        <is>
          <t>코스닥</t>
        </is>
      </c>
      <c r="D5519" s="2" t="inlineStr">
        <is>
          <t>056700</t>
        </is>
      </c>
      <c r="E5519" s="3" t="inlineStr">
        <is>
          <t xml:space="preserve">감사보고서제출              </t>
        </is>
      </c>
      <c r="F5519" s="3" t="inlineStr">
        <is>
          <t>신화인터텍</t>
        </is>
      </c>
      <c r="G5519" s="2" t="inlineStr">
        <is>
          <t>20260313901809</t>
        </is>
      </c>
      <c r="H5519" s="8">
        <f>HYPERLINK("https://dart.fss.or.kr/dsaf001/main.do?rcpNo=20260313901809", "공시열람")</f>
        <v/>
      </c>
    </row>
    <row r="5520">
      <c r="A5520" s="2" t="inlineStr">
        <is>
          <t>2026-03-13 (정정: 2026-06-16)</t>
        </is>
      </c>
      <c r="B5520" s="3" t="inlineStr">
        <is>
          <t>케이엔솔</t>
        </is>
      </c>
      <c r="C5520" s="2" t="inlineStr">
        <is>
          <t>코스닥</t>
        </is>
      </c>
      <c r="D5520" s="2" t="inlineStr">
        <is>
          <t>053080</t>
        </is>
      </c>
      <c r="E5520" s="3" t="inlineStr">
        <is>
          <t>감사보고서제출               (정정: 20260616)</t>
        </is>
      </c>
      <c r="F5520" s="3" t="inlineStr">
        <is>
          <t>케이엔솔</t>
        </is>
      </c>
      <c r="G5520" s="2" t="inlineStr">
        <is>
          <t>20260616000254</t>
        </is>
      </c>
      <c r="H5520" s="8">
        <f>HYPERLINK("https://dart.fss.or.kr/dsaf001/main.do?rcpNo=20260616000254", "공시열람")</f>
        <v/>
      </c>
    </row>
    <row r="5521">
      <c r="A5521" s="2" t="inlineStr">
        <is>
          <t>2026-03-13</t>
        </is>
      </c>
      <c r="B5521" s="3" t="inlineStr">
        <is>
          <t>한국앤컴퍼니</t>
        </is>
      </c>
      <c r="C5521" s="2" t="inlineStr">
        <is>
          <t>코스피</t>
        </is>
      </c>
      <c r="D5521" s="2" t="inlineStr">
        <is>
          <t>000240</t>
        </is>
      </c>
      <c r="E5521" s="3" t="inlineStr">
        <is>
          <t>의결권대리행사권유에관한의견표명서</t>
        </is>
      </c>
      <c r="F5521" s="3" t="inlineStr">
        <is>
          <t>한국앤컴퍼니</t>
        </is>
      </c>
      <c r="G5521" s="2" t="inlineStr">
        <is>
          <t>20260313001237</t>
        </is>
      </c>
      <c r="H5521" s="8">
        <f>HYPERLINK("https://dart.fss.or.kr/dsaf001/main.do?rcpNo=20260313001237", "공시열람")</f>
        <v/>
      </c>
    </row>
    <row r="5522">
      <c r="A5522" s="2" t="inlineStr">
        <is>
          <t>2026-03-13</t>
        </is>
      </c>
      <c r="B5522" s="3" t="inlineStr">
        <is>
          <t>종근당</t>
        </is>
      </c>
      <c r="C5522" s="2" t="inlineStr">
        <is>
          <t>코스피</t>
        </is>
      </c>
      <c r="D5522" s="2" t="inlineStr">
        <is>
          <t>185750</t>
        </is>
      </c>
      <c r="E5522" s="3" t="inlineStr">
        <is>
          <t>임원ㆍ주요주주특정증권등소유상황보고서</t>
        </is>
      </c>
      <c r="F5522" s="3" t="inlineStr">
        <is>
          <t>종근당홀딩스</t>
        </is>
      </c>
      <c r="G5522" s="2" t="inlineStr">
        <is>
          <t>20260313001236</t>
        </is>
      </c>
      <c r="H5522" s="8">
        <f>HYPERLINK("https://dart.fss.or.kr/dsaf001/main.do?rcpNo=20260313001236", "공시열람")</f>
        <v/>
      </c>
    </row>
    <row r="5523">
      <c r="A5523" s="2" t="inlineStr">
        <is>
          <t>2026-03-13</t>
        </is>
      </c>
      <c r="B5523" s="3" t="inlineStr">
        <is>
          <t>비비안</t>
        </is>
      </c>
      <c r="C5523" s="2" t="inlineStr">
        <is>
          <t>코스피</t>
        </is>
      </c>
      <c r="D5523" s="2" t="inlineStr">
        <is>
          <t>002070</t>
        </is>
      </c>
      <c r="E5523" s="3" t="inlineStr">
        <is>
          <t>주요사항보고서(감자결정)</t>
        </is>
      </c>
      <c r="F5523" s="3" t="inlineStr">
        <is>
          <t>비비안</t>
        </is>
      </c>
      <c r="G5523" s="2" t="inlineStr">
        <is>
          <t>20260313001188</t>
        </is>
      </c>
      <c r="H5523" s="8">
        <f>HYPERLINK("https://dart.fss.or.kr/dsaf001/main.do?rcpNo=20260313001188", "공시열람")</f>
        <v/>
      </c>
    </row>
    <row r="5524">
      <c r="A5524" s="2" t="inlineStr">
        <is>
          <t>2026-03-13</t>
        </is>
      </c>
      <c r="B5524" s="3" t="inlineStr">
        <is>
          <t>비비안</t>
        </is>
      </c>
      <c r="C5524" s="2" t="inlineStr">
        <is>
          <t>코스피</t>
        </is>
      </c>
      <c r="D5524" s="2" t="inlineStr">
        <is>
          <t>002070</t>
        </is>
      </c>
      <c r="E5524" s="3" t="inlineStr">
        <is>
          <t xml:space="preserve">매매거래정지및정지해제(중요내용공시)              </t>
        </is>
      </c>
      <c r="F5524" s="3" t="inlineStr">
        <is>
          <t>유가증권시장본부</t>
        </is>
      </c>
      <c r="G5524" s="2" t="inlineStr">
        <is>
          <t>20260313801831</t>
        </is>
      </c>
      <c r="H5524" s="8">
        <f>HYPERLINK("https://dart.fss.or.kr/dsaf001/main.do?rcpNo=20260313801831", "공시열람")</f>
        <v/>
      </c>
    </row>
    <row r="5525">
      <c r="A5525" s="2" t="inlineStr">
        <is>
          <t>2026-03-13</t>
        </is>
      </c>
      <c r="B5525" s="3" t="inlineStr">
        <is>
          <t>JB금융지주</t>
        </is>
      </c>
      <c r="C5525" s="2" t="inlineStr">
        <is>
          <t>코스피</t>
        </is>
      </c>
      <c r="D5525" s="2" t="inlineStr">
        <is>
          <t>175330</t>
        </is>
      </c>
      <c r="E5525" s="3" t="inlineStr">
        <is>
          <t xml:space="preserve">감사보고서제출              </t>
        </is>
      </c>
      <c r="F5525" s="3" t="inlineStr">
        <is>
          <t>JB금융지주</t>
        </is>
      </c>
      <c r="G5525" s="2" t="inlineStr">
        <is>
          <t>20260313801762</t>
        </is>
      </c>
      <c r="H5525" s="8">
        <f>HYPERLINK("https://dart.fss.or.kr/dsaf001/main.do?rcpNo=20260313801762", "공시열람")</f>
        <v/>
      </c>
    </row>
    <row r="5526">
      <c r="A5526" s="2" t="inlineStr">
        <is>
          <t>2026-03-13</t>
        </is>
      </c>
      <c r="B5526" s="3" t="inlineStr">
        <is>
          <t>아이디스홀딩스</t>
        </is>
      </c>
      <c r="C5526" s="2" t="inlineStr">
        <is>
          <t>코스닥</t>
        </is>
      </c>
      <c r="D5526" s="2" t="inlineStr">
        <is>
          <t>054800</t>
        </is>
      </c>
      <c r="E5526" s="3" t="inlineStr">
        <is>
          <t xml:space="preserve">감사보고서제출              </t>
        </is>
      </c>
      <c r="F5526" s="3" t="inlineStr">
        <is>
          <t>아이디스홀딩스</t>
        </is>
      </c>
      <c r="G5526" s="2" t="inlineStr">
        <is>
          <t>20260313901616</t>
        </is>
      </c>
      <c r="H5526" s="8">
        <f>HYPERLINK("https://dart.fss.or.kr/dsaf001/main.do?rcpNo=20260313901616", "공시열람")</f>
        <v/>
      </c>
    </row>
    <row r="5527">
      <c r="A5527" s="2" t="inlineStr">
        <is>
          <t>2026-03-13</t>
        </is>
      </c>
      <c r="B5527" s="3" t="inlineStr">
        <is>
          <t>무림P&amp;P</t>
        </is>
      </c>
      <c r="C5527" s="2" t="inlineStr">
        <is>
          <t>코스피</t>
        </is>
      </c>
      <c r="D5527" s="2" t="inlineStr">
        <is>
          <t>009580</t>
        </is>
      </c>
      <c r="E5527" s="3" t="inlineStr">
        <is>
          <t xml:space="preserve">감사보고서제출              </t>
        </is>
      </c>
      <c r="F5527" s="3" t="inlineStr">
        <is>
          <t>무림P&amp;P</t>
        </is>
      </c>
      <c r="G5527" s="2" t="inlineStr">
        <is>
          <t>20260313801820</t>
        </is>
      </c>
      <c r="H5527" s="8">
        <f>HYPERLINK("https://dart.fss.or.kr/dsaf001/main.do?rcpNo=20260313801820", "공시열람")</f>
        <v/>
      </c>
    </row>
    <row r="5528">
      <c r="A5528" s="2" t="inlineStr">
        <is>
          <t>2026-03-13</t>
        </is>
      </c>
      <c r="B5528" s="3" t="inlineStr">
        <is>
          <t>에이엔피</t>
        </is>
      </c>
      <c r="C5528" s="2" t="inlineStr">
        <is>
          <t>코스피</t>
        </is>
      </c>
      <c r="D5528" s="2" t="inlineStr">
        <is>
          <t>015260</t>
        </is>
      </c>
      <c r="E5528" s="3" t="inlineStr">
        <is>
          <t>의결권대리행사권유참고서류</t>
        </is>
      </c>
      <c r="F5528" s="3" t="inlineStr">
        <is>
          <t>에이엔피</t>
        </is>
      </c>
      <c r="G5528" s="2" t="inlineStr">
        <is>
          <t>20260313001229</t>
        </is>
      </c>
      <c r="H5528" s="8">
        <f>HYPERLINK("https://dart.fss.or.kr/dsaf001/main.do?rcpNo=20260313001229", "공시열람")</f>
        <v/>
      </c>
    </row>
    <row r="5529">
      <c r="A5529" s="2" t="inlineStr">
        <is>
          <t>2026-03-13</t>
        </is>
      </c>
      <c r="B5529" s="3" t="inlineStr">
        <is>
          <t>서울보증보험</t>
        </is>
      </c>
      <c r="C5529" s="2" t="inlineStr">
        <is>
          <t>코스피</t>
        </is>
      </c>
      <c r="D5529" s="2" t="inlineStr">
        <is>
          <t>031210</t>
        </is>
      </c>
      <c r="E5529" s="3" t="inlineStr">
        <is>
          <t xml:space="preserve">감사보고서제출              </t>
        </is>
      </c>
      <c r="F5529" s="3" t="inlineStr">
        <is>
          <t>서울보증보험</t>
        </is>
      </c>
      <c r="G5529" s="2" t="inlineStr">
        <is>
          <t>20260313801814</t>
        </is>
      </c>
      <c r="H5529" s="8">
        <f>HYPERLINK("https://dart.fss.or.kr/dsaf001/main.do?rcpNo=20260313801814", "공시열람")</f>
        <v/>
      </c>
    </row>
    <row r="5530">
      <c r="A5530" s="2" t="inlineStr">
        <is>
          <t>2026-03-13</t>
        </is>
      </c>
      <c r="B5530" s="3" t="inlineStr">
        <is>
          <t>신한지주</t>
        </is>
      </c>
      <c r="C5530" s="2" t="inlineStr">
        <is>
          <t>코스피</t>
        </is>
      </c>
      <c r="D5530" s="2" t="inlineStr">
        <is>
          <t>055550</t>
        </is>
      </c>
      <c r="E5530" s="3" t="inlineStr">
        <is>
          <t>일괄신고추가서류</t>
        </is>
      </c>
      <c r="F5530" s="3" t="inlineStr">
        <is>
          <t>신한지주</t>
        </is>
      </c>
      <c r="G5530" s="2" t="inlineStr">
        <is>
          <t>20260313001221</t>
        </is>
      </c>
      <c r="H5530" s="8">
        <f>HYPERLINK("https://dart.fss.or.kr/dsaf001/main.do?rcpNo=20260313001221", "공시열람")</f>
        <v/>
      </c>
    </row>
    <row r="5531">
      <c r="A5531" s="2" t="inlineStr">
        <is>
          <t>2026-03-13</t>
        </is>
      </c>
      <c r="B5531" s="3" t="inlineStr">
        <is>
          <t>고려아연</t>
        </is>
      </c>
      <c r="C5531" s="2" t="inlineStr">
        <is>
          <t>코스피</t>
        </is>
      </c>
      <c r="D5531" s="2" t="inlineStr">
        <is>
          <t>010130</t>
        </is>
      </c>
      <c r="E5531" s="3" t="inlineStr">
        <is>
          <t xml:space="preserve">소송등의판결ㆍ결정              </t>
        </is>
      </c>
      <c r="F5531" s="3" t="inlineStr">
        <is>
          <t>고려아연</t>
        </is>
      </c>
      <c r="G5531" s="2" t="inlineStr">
        <is>
          <t>20260313801840</t>
        </is>
      </c>
      <c r="H5531" s="8">
        <f>HYPERLINK("https://dart.fss.or.kr/dsaf001/main.do?rcpNo=20260313801840", "공시열람")</f>
        <v/>
      </c>
    </row>
    <row r="5532">
      <c r="A5532" s="2" t="inlineStr">
        <is>
          <t>2026-03-13 (정정: 2026-04-16)</t>
        </is>
      </c>
      <c r="B5532" s="3" t="inlineStr">
        <is>
          <t>이노스페이스</t>
        </is>
      </c>
      <c r="C5532" s="2" t="inlineStr">
        <is>
          <t>코스닥</t>
        </is>
      </c>
      <c r="D5532" s="2" t="inlineStr">
        <is>
          <t>462350</t>
        </is>
      </c>
      <c r="E5532" s="3" t="inlineStr">
        <is>
          <t>감사보고서제출               (정정: 20260416)</t>
        </is>
      </c>
      <c r="F5532" s="3" t="inlineStr">
        <is>
          <t>이노스페이스</t>
        </is>
      </c>
      <c r="G5532" s="2" t="inlineStr">
        <is>
          <t>20260416000487</t>
        </is>
      </c>
      <c r="H5532" s="8">
        <f>HYPERLINK("https://dart.fss.or.kr/dsaf001/main.do?rcpNo=20260416000487", "공시열람")</f>
        <v/>
      </c>
    </row>
    <row r="5533">
      <c r="A5533" s="2" t="inlineStr">
        <is>
          <t>2026-03-13</t>
        </is>
      </c>
      <c r="B5533" s="3" t="inlineStr">
        <is>
          <t>메디아나</t>
        </is>
      </c>
      <c r="C5533" s="2" t="inlineStr">
        <is>
          <t>코스닥</t>
        </is>
      </c>
      <c r="D5533" s="2" t="inlineStr">
        <is>
          <t>041920</t>
        </is>
      </c>
      <c r="E5533" s="3" t="inlineStr">
        <is>
          <t xml:space="preserve">[첨부정정]감사보고서제출              </t>
        </is>
      </c>
      <c r="F5533" s="3" t="inlineStr">
        <is>
          <t>메디아나</t>
        </is>
      </c>
      <c r="G5533" s="2" t="inlineStr">
        <is>
          <t>20260313901805</t>
        </is>
      </c>
      <c r="H5533" s="8">
        <f>HYPERLINK("https://dart.fss.or.kr/dsaf001/main.do?rcpNo=20260313901805", "공시열람")</f>
        <v/>
      </c>
    </row>
    <row r="5534">
      <c r="A5534" s="2" t="inlineStr">
        <is>
          <t>2026-03-13</t>
        </is>
      </c>
      <c r="B5534" s="3" t="inlineStr">
        <is>
          <t>S-Oil</t>
        </is>
      </c>
      <c r="C5534" s="2" t="inlineStr">
        <is>
          <t>코스피</t>
        </is>
      </c>
      <c r="D5534" s="2" t="inlineStr">
        <is>
          <t>010950</t>
        </is>
      </c>
      <c r="E5534" s="3" t="inlineStr">
        <is>
          <t>임원ㆍ주요주주특정증권등소유상황보고서</t>
        </is>
      </c>
      <c r="F5534" s="3" t="inlineStr">
        <is>
          <t>류열</t>
        </is>
      </c>
      <c r="G5534" s="2" t="inlineStr">
        <is>
          <t>20260313001215</t>
        </is>
      </c>
      <c r="H5534" s="8">
        <f>HYPERLINK("https://dart.fss.or.kr/dsaf001/main.do?rcpNo=20260313001215", "공시열람")</f>
        <v/>
      </c>
    </row>
    <row r="5535">
      <c r="A5535" s="2" t="inlineStr">
        <is>
          <t>2026-03-13</t>
        </is>
      </c>
      <c r="B5535" s="3" t="inlineStr">
        <is>
          <t>대산F&amp;B</t>
        </is>
      </c>
      <c r="C5535" s="2" t="inlineStr">
        <is>
          <t>코스닥</t>
        </is>
      </c>
      <c r="D5535" s="2" t="inlineStr">
        <is>
          <t>065150</t>
        </is>
      </c>
      <c r="E5535" s="3" t="inlineStr">
        <is>
          <t xml:space="preserve">매출액또는손익구조30%(대규모법인은15%)이상변동              </t>
        </is>
      </c>
      <c r="F5535" s="3" t="inlineStr">
        <is>
          <t>대산F&amp;B</t>
        </is>
      </c>
      <c r="G5535" s="2" t="inlineStr">
        <is>
          <t>20260313901778</t>
        </is>
      </c>
      <c r="H5535" s="8">
        <f>HYPERLINK("https://dart.fss.or.kr/dsaf001/main.do?rcpNo=20260313901778", "공시열람")</f>
        <v/>
      </c>
    </row>
    <row r="5536">
      <c r="A5536" s="2" t="inlineStr">
        <is>
          <t>2026-03-13</t>
        </is>
      </c>
      <c r="B5536" s="3" t="inlineStr">
        <is>
          <t>비비씨</t>
        </is>
      </c>
      <c r="C5536" s="2" t="inlineStr">
        <is>
          <t>코스닥</t>
        </is>
      </c>
      <c r="D5536" s="2" t="inlineStr">
        <is>
          <t>318410</t>
        </is>
      </c>
      <c r="E5536" s="3" t="inlineStr">
        <is>
          <t xml:space="preserve">현금ㆍ현물배당결정              </t>
        </is>
      </c>
      <c r="F5536" s="3" t="inlineStr">
        <is>
          <t>비비씨</t>
        </is>
      </c>
      <c r="G5536" s="2" t="inlineStr">
        <is>
          <t>20260313901057</t>
        </is>
      </c>
      <c r="H5536" s="8">
        <f>HYPERLINK("https://dart.fss.or.kr/dsaf001/main.do?rcpNo=20260313901057", "공시열람")</f>
        <v/>
      </c>
    </row>
    <row r="5537">
      <c r="A5537" s="2" t="inlineStr">
        <is>
          <t>2026-03-13</t>
        </is>
      </c>
      <c r="B5537" s="3" t="inlineStr">
        <is>
          <t>하이젠알앤엠</t>
        </is>
      </c>
      <c r="C5537" s="2" t="inlineStr">
        <is>
          <t>코스닥</t>
        </is>
      </c>
      <c r="D5537" s="2" t="inlineStr">
        <is>
          <t>160190</t>
        </is>
      </c>
      <c r="E5537" s="3" t="inlineStr">
        <is>
          <t xml:space="preserve">[기재정정]매출액또는손익구조30%(대규모법인은15%)이상변동              </t>
        </is>
      </c>
      <c r="F5537" s="3" t="inlineStr">
        <is>
          <t>하이젠알앤엠</t>
        </is>
      </c>
      <c r="G5537" s="2" t="inlineStr">
        <is>
          <t>20260313901387</t>
        </is>
      </c>
      <c r="H5537" s="8">
        <f>HYPERLINK("https://dart.fss.or.kr/dsaf001/main.do?rcpNo=20260313901387", "공시열람")</f>
        <v/>
      </c>
    </row>
    <row r="5538">
      <c r="A5538" s="2" t="inlineStr">
        <is>
          <t>2026-03-13</t>
        </is>
      </c>
      <c r="B5538" s="3" t="inlineStr">
        <is>
          <t>태광산업</t>
        </is>
      </c>
      <c r="C5538" s="2" t="inlineStr">
        <is>
          <t>코스피</t>
        </is>
      </c>
      <c r="D5538" s="2" t="inlineStr">
        <is>
          <t>003240</t>
        </is>
      </c>
      <c r="E5538" s="3" t="inlineStr">
        <is>
          <t>의결권대리행사권유참고서류</t>
        </is>
      </c>
      <c r="F5538" s="3" t="inlineStr">
        <is>
          <t>트러스톤자산운용</t>
        </is>
      </c>
      <c r="G5538" s="2" t="inlineStr">
        <is>
          <t>20260313001211</t>
        </is>
      </c>
      <c r="H5538" s="8">
        <f>HYPERLINK("https://dart.fss.or.kr/dsaf001/main.do?rcpNo=20260313001211", "공시열람")</f>
        <v/>
      </c>
    </row>
    <row r="5539">
      <c r="A5539" s="2" t="inlineStr">
        <is>
          <t>2026-03-13</t>
        </is>
      </c>
      <c r="B5539" s="3" t="inlineStr">
        <is>
          <t>제이브이엠</t>
        </is>
      </c>
      <c r="C5539" s="2" t="inlineStr">
        <is>
          <t>코스닥</t>
        </is>
      </c>
      <c r="D5539" s="2" t="inlineStr">
        <is>
          <t>054950</t>
        </is>
      </c>
      <c r="E5539" s="3" t="inlineStr">
        <is>
          <t>의결권대리행사권유참고서류</t>
        </is>
      </c>
      <c r="F5539" s="3" t="inlineStr">
        <is>
          <t>제이브이엠</t>
        </is>
      </c>
      <c r="G5539" s="2" t="inlineStr">
        <is>
          <t>20260313001206</t>
        </is>
      </c>
      <c r="H5539" s="8">
        <f>HYPERLINK("https://dart.fss.or.kr/dsaf001/main.do?rcpNo=20260313001206", "공시열람")</f>
        <v/>
      </c>
    </row>
    <row r="5540">
      <c r="A5540" s="2" t="inlineStr">
        <is>
          <t>2026-03-13</t>
        </is>
      </c>
      <c r="B5540" s="3" t="inlineStr">
        <is>
          <t>에이텀</t>
        </is>
      </c>
      <c r="C5540" s="2" t="inlineStr">
        <is>
          <t>코스닥</t>
        </is>
      </c>
      <c r="D5540" s="2" t="inlineStr">
        <is>
          <t>355690</t>
        </is>
      </c>
      <c r="E5540" s="3" t="inlineStr">
        <is>
          <t>권리락              (유상증자)</t>
        </is>
      </c>
      <c r="F5540" s="3" t="inlineStr">
        <is>
          <t>코스닥시장본부</t>
        </is>
      </c>
      <c r="G5540" s="2" t="inlineStr">
        <is>
          <t>20260313901848</t>
        </is>
      </c>
      <c r="H5540" s="8">
        <f>HYPERLINK("https://dart.fss.or.kr/dsaf001/main.do?rcpNo=20260313901848", "공시열람")</f>
        <v/>
      </c>
    </row>
    <row r="5541">
      <c r="A5541" s="2" t="inlineStr">
        <is>
          <t>2026-03-13</t>
        </is>
      </c>
      <c r="B5541" s="3" t="inlineStr">
        <is>
          <t>좋은사람들</t>
        </is>
      </c>
      <c r="C5541" s="2" t="inlineStr">
        <is>
          <t>코스닥</t>
        </is>
      </c>
      <c r="D5541" s="2" t="inlineStr">
        <is>
          <t>033340</t>
        </is>
      </c>
      <c r="E5541" s="3" t="inlineStr">
        <is>
          <t xml:space="preserve">매출액또는손익구조30%(대규모법인은15%)이상변동              </t>
        </is>
      </c>
      <c r="F5541" s="3" t="inlineStr">
        <is>
          <t>좋은사람들</t>
        </is>
      </c>
      <c r="G5541" s="2" t="inlineStr">
        <is>
          <t>20260313901767</t>
        </is>
      </c>
      <c r="H5541" s="8">
        <f>HYPERLINK("https://dart.fss.or.kr/dsaf001/main.do?rcpNo=20260313901767", "공시열람")</f>
        <v/>
      </c>
    </row>
    <row r="5542">
      <c r="A5542" s="2" t="inlineStr">
        <is>
          <t>2026-03-13</t>
        </is>
      </c>
      <c r="B5542" s="3" t="inlineStr">
        <is>
          <t>코디</t>
        </is>
      </c>
      <c r="C5542" s="2" t="inlineStr">
        <is>
          <t>코스닥</t>
        </is>
      </c>
      <c r="D5542" s="2" t="inlineStr">
        <is>
          <t>080530</t>
        </is>
      </c>
      <c r="E5542" s="3" t="inlineStr">
        <is>
          <t>의결권대리행사권유참고서류</t>
        </is>
      </c>
      <c r="F5542" s="3" t="inlineStr">
        <is>
          <t>코디</t>
        </is>
      </c>
      <c r="G5542" s="2" t="inlineStr">
        <is>
          <t>20260313001205</t>
        </is>
      </c>
      <c r="H5542" s="8">
        <f>HYPERLINK("https://dart.fss.or.kr/dsaf001/main.do?rcpNo=20260313001205", "공시열람")</f>
        <v/>
      </c>
    </row>
    <row r="5543">
      <c r="A5543" s="2" t="inlineStr">
        <is>
          <t>2026-03-13</t>
        </is>
      </c>
      <c r="B5543" s="3" t="inlineStr">
        <is>
          <t>바이오비쥬</t>
        </is>
      </c>
      <c r="C5543" s="2" t="inlineStr">
        <is>
          <t>코스닥</t>
        </is>
      </c>
      <c r="D5543" s="2" t="inlineStr">
        <is>
          <t>489460</t>
        </is>
      </c>
      <c r="E5543" s="3" t="inlineStr">
        <is>
          <t xml:space="preserve">매출액또는손익구조30%(대규모법인은15%)이상변동              </t>
        </is>
      </c>
      <c r="F5543" s="3" t="inlineStr">
        <is>
          <t>바이오비쥬</t>
        </is>
      </c>
      <c r="G5543" s="2" t="inlineStr">
        <is>
          <t>20260313901673</t>
        </is>
      </c>
      <c r="H5543" s="8">
        <f>HYPERLINK("https://dart.fss.or.kr/dsaf001/main.do?rcpNo=20260313901673", "공시열람")</f>
        <v/>
      </c>
    </row>
    <row r="5544">
      <c r="A5544" s="2" t="inlineStr">
        <is>
          <t>2026-03-13</t>
        </is>
      </c>
      <c r="B5544" s="3" t="inlineStr">
        <is>
          <t>제룡산업</t>
        </is>
      </c>
      <c r="C5544" s="2" t="inlineStr">
        <is>
          <t>코스닥</t>
        </is>
      </c>
      <c r="D5544" s="2" t="inlineStr">
        <is>
          <t>147830</t>
        </is>
      </c>
      <c r="E5544" s="3" t="inlineStr">
        <is>
          <t xml:space="preserve">감사보고서제출              </t>
        </is>
      </c>
      <c r="F5544" s="3" t="inlineStr">
        <is>
          <t>제룡산업</t>
        </is>
      </c>
      <c r="G5544" s="2" t="inlineStr">
        <is>
          <t>20260313901750</t>
        </is>
      </c>
      <c r="H5544" s="8">
        <f>HYPERLINK("https://dart.fss.or.kr/dsaf001/main.do?rcpNo=20260313901750", "공시열람")</f>
        <v/>
      </c>
    </row>
    <row r="5545">
      <c r="A5545" s="2" t="inlineStr">
        <is>
          <t>2026-03-13</t>
        </is>
      </c>
      <c r="B5545" s="3" t="inlineStr">
        <is>
          <t>아이티켐</t>
        </is>
      </c>
      <c r="C5545" s="2" t="inlineStr">
        <is>
          <t>코스닥</t>
        </is>
      </c>
      <c r="D5545" s="2" t="inlineStr">
        <is>
          <t>309710</t>
        </is>
      </c>
      <c r="E5545" s="3" t="inlineStr">
        <is>
          <t>의결권대리행사권유참고서류</t>
        </is>
      </c>
      <c r="F5545" s="3" t="inlineStr">
        <is>
          <t>아이티켐</t>
        </is>
      </c>
      <c r="G5545" s="2" t="inlineStr">
        <is>
          <t>20260313001192</t>
        </is>
      </c>
      <c r="H5545" s="8">
        <f>HYPERLINK("https://dart.fss.or.kr/dsaf001/main.do?rcpNo=20260313001192", "공시열람")</f>
        <v/>
      </c>
    </row>
    <row r="5546">
      <c r="A5546" s="2" t="inlineStr">
        <is>
          <t>2026-03-13</t>
        </is>
      </c>
      <c r="B5546" s="3" t="inlineStr">
        <is>
          <t>코메론</t>
        </is>
      </c>
      <c r="C5546" s="2" t="inlineStr">
        <is>
          <t>코스닥</t>
        </is>
      </c>
      <c r="D5546" s="2" t="inlineStr">
        <is>
          <t>049430</t>
        </is>
      </c>
      <c r="E5546" s="3" t="inlineStr">
        <is>
          <t>의결권대리행사권유참고서류</t>
        </is>
      </c>
      <c r="F5546" s="3" t="inlineStr">
        <is>
          <t>퀸즈가드자산운용</t>
        </is>
      </c>
      <c r="G5546" s="2" t="inlineStr">
        <is>
          <t>20260313001189</t>
        </is>
      </c>
      <c r="H5546" s="8">
        <f>HYPERLINK("https://dart.fss.or.kr/dsaf001/main.do?rcpNo=20260313001189", "공시열람")</f>
        <v/>
      </c>
    </row>
    <row r="5547">
      <c r="A5547" s="2" t="inlineStr">
        <is>
          <t>2026-03-13</t>
        </is>
      </c>
      <c r="B5547" s="3" t="inlineStr">
        <is>
          <t>무림SP</t>
        </is>
      </c>
      <c r="C5547" s="2" t="inlineStr">
        <is>
          <t>코스닥</t>
        </is>
      </c>
      <c r="D5547" s="2" t="inlineStr">
        <is>
          <t>001810</t>
        </is>
      </c>
      <c r="E5547" s="3" t="inlineStr">
        <is>
          <t xml:space="preserve">감사보고서제출              </t>
        </is>
      </c>
      <c r="F5547" s="3" t="inlineStr">
        <is>
          <t>무림SP</t>
        </is>
      </c>
      <c r="G5547" s="2" t="inlineStr">
        <is>
          <t>20260313901726</t>
        </is>
      </c>
      <c r="H5547" s="8">
        <f>HYPERLINK("https://dart.fss.or.kr/dsaf001/main.do?rcpNo=20260313901726", "공시열람")</f>
        <v/>
      </c>
    </row>
    <row r="5548">
      <c r="A5548" s="2" t="inlineStr">
        <is>
          <t>2026-03-13</t>
        </is>
      </c>
      <c r="B5548" s="3" t="inlineStr">
        <is>
          <t>빛과전자</t>
        </is>
      </c>
      <c r="C5548" s="2" t="inlineStr">
        <is>
          <t>코스닥</t>
        </is>
      </c>
      <c r="D5548" s="2" t="inlineStr">
        <is>
          <t>069540</t>
        </is>
      </c>
      <c r="E5548" s="3" t="inlineStr">
        <is>
          <t>의결권대리행사권유참고서류</t>
        </is>
      </c>
      <c r="F5548" s="3" t="inlineStr">
        <is>
          <t>빛과전자</t>
        </is>
      </c>
      <c r="G5548" s="2" t="inlineStr">
        <is>
          <t>20260313001187</t>
        </is>
      </c>
      <c r="H5548" s="8">
        <f>HYPERLINK("https://dart.fss.or.kr/dsaf001/main.do?rcpNo=20260313001187", "공시열람")</f>
        <v/>
      </c>
    </row>
    <row r="5549">
      <c r="A5549" s="2" t="inlineStr">
        <is>
          <t>2026-03-13</t>
        </is>
      </c>
      <c r="B5549" s="3" t="inlineStr">
        <is>
          <t>뉴로핏</t>
        </is>
      </c>
      <c r="C5549" s="2" t="inlineStr">
        <is>
          <t>코스닥</t>
        </is>
      </c>
      <c r="D5549" s="2" t="inlineStr">
        <is>
          <t>380550</t>
        </is>
      </c>
      <c r="E5549" s="3" t="inlineStr">
        <is>
          <t>의결권대리행사권유참고서류</t>
        </is>
      </c>
      <c r="F5549" s="3" t="inlineStr">
        <is>
          <t>뉴로핏</t>
        </is>
      </c>
      <c r="G5549" s="2" t="inlineStr">
        <is>
          <t>20260313001186</t>
        </is>
      </c>
      <c r="H5549" s="8">
        <f>HYPERLINK("https://dart.fss.or.kr/dsaf001/main.do?rcpNo=20260313001186", "공시열람")</f>
        <v/>
      </c>
    </row>
    <row r="5550">
      <c r="A5550" s="2" t="inlineStr">
        <is>
          <t>2026-03-13 (정정: 2026-05-22)</t>
        </is>
      </c>
      <c r="B5550" s="3" t="inlineStr">
        <is>
          <t>NICE평가정보</t>
        </is>
      </c>
      <c r="C5550" s="2" t="inlineStr">
        <is>
          <t>코스피</t>
        </is>
      </c>
      <c r="D5550" s="2" t="inlineStr">
        <is>
          <t>030190</t>
        </is>
      </c>
      <c r="E5550" s="3" t="inlineStr">
        <is>
          <t>감사보고서제출               (정정: 20260522)</t>
        </is>
      </c>
      <c r="F5550" s="3" t="inlineStr">
        <is>
          <t>NICE평가정보</t>
        </is>
      </c>
      <c r="G5550" s="2" t="inlineStr">
        <is>
          <t>20260522800017</t>
        </is>
      </c>
      <c r="H5550" s="8">
        <f>HYPERLINK("https://dart.fss.or.kr/dsaf001/main.do?rcpNo=20260522800017", "공시열람")</f>
        <v/>
      </c>
    </row>
    <row r="5551">
      <c r="A5551" s="2" t="inlineStr">
        <is>
          <t>2026-03-13</t>
        </is>
      </c>
      <c r="B5551" s="3" t="inlineStr">
        <is>
          <t>대원제약</t>
        </is>
      </c>
      <c r="C5551" s="2" t="inlineStr">
        <is>
          <t>코스피</t>
        </is>
      </c>
      <c r="D5551" s="2" t="inlineStr">
        <is>
          <t>003220</t>
        </is>
      </c>
      <c r="E5551" s="3" t="inlineStr">
        <is>
          <t>임원ㆍ주요주주특정증권등소유상황보고서</t>
        </is>
      </c>
      <c r="F5551" s="3" t="inlineStr">
        <is>
          <t>임한일</t>
        </is>
      </c>
      <c r="G5551" s="2" t="inlineStr">
        <is>
          <t>20260313001181</t>
        </is>
      </c>
      <c r="H5551" s="8">
        <f>HYPERLINK("https://dart.fss.or.kr/dsaf001/main.do?rcpNo=20260313001181", "공시열람")</f>
        <v/>
      </c>
    </row>
    <row r="5552">
      <c r="A5552" s="2" t="inlineStr">
        <is>
          <t>2026-03-13</t>
        </is>
      </c>
      <c r="B5552" s="3" t="inlineStr">
        <is>
          <t>대호에이엘</t>
        </is>
      </c>
      <c r="C5552" s="2" t="inlineStr">
        <is>
          <t>코스피</t>
        </is>
      </c>
      <c r="D5552" s="2" t="inlineStr">
        <is>
          <t>069460</t>
        </is>
      </c>
      <c r="E5552" s="3" t="inlineStr">
        <is>
          <t xml:space="preserve">투자판단관련주요경영사항              </t>
        </is>
      </c>
      <c r="F5552" s="3" t="inlineStr">
        <is>
          <t>대호에이엘</t>
        </is>
      </c>
      <c r="G5552" s="2" t="inlineStr">
        <is>
          <t>20260313801770</t>
        </is>
      </c>
      <c r="H5552" s="8">
        <f>HYPERLINK("https://dart.fss.or.kr/dsaf001/main.do?rcpNo=20260313801770", "공시열람")</f>
        <v/>
      </c>
    </row>
    <row r="5553">
      <c r="A5553" s="2" t="inlineStr">
        <is>
          <t>2026-03-13</t>
        </is>
      </c>
      <c r="B5553" s="3" t="inlineStr">
        <is>
          <t>대한유화</t>
        </is>
      </c>
      <c r="C5553" s="2" t="inlineStr">
        <is>
          <t>코스피</t>
        </is>
      </c>
      <c r="D5553" s="2" t="inlineStr">
        <is>
          <t>006650</t>
        </is>
      </c>
      <c r="E5553" s="3" t="inlineStr">
        <is>
          <t>사외이사의선임ㆍ해임또는중도퇴임에관한신고</t>
        </is>
      </c>
      <c r="F5553" s="3" t="inlineStr">
        <is>
          <t>대한유화</t>
        </is>
      </c>
      <c r="G5553" s="2" t="inlineStr">
        <is>
          <t>20260313001175</t>
        </is>
      </c>
      <c r="H5553" s="8">
        <f>HYPERLINK("https://dart.fss.or.kr/dsaf001/main.do?rcpNo=20260313001175", "공시열람")</f>
        <v/>
      </c>
    </row>
    <row r="5554">
      <c r="A5554" s="2" t="inlineStr">
        <is>
          <t>2026-03-13</t>
        </is>
      </c>
      <c r="B5554" s="3" t="inlineStr">
        <is>
          <t>토니모리</t>
        </is>
      </c>
      <c r="C5554" s="2" t="inlineStr">
        <is>
          <t>코스피</t>
        </is>
      </c>
      <c r="D5554" s="2" t="inlineStr">
        <is>
          <t>214420</t>
        </is>
      </c>
      <c r="E5554" s="3" t="inlineStr">
        <is>
          <t>의결권대리행사권유참고서류</t>
        </is>
      </c>
      <c r="F5554" s="3" t="inlineStr">
        <is>
          <t>토니모리</t>
        </is>
      </c>
      <c r="G5554" s="2" t="inlineStr">
        <is>
          <t>20260313001170</t>
        </is>
      </c>
      <c r="H5554" s="8">
        <f>HYPERLINK("https://dart.fss.or.kr/dsaf001/main.do?rcpNo=20260313001170", "공시열람")</f>
        <v/>
      </c>
    </row>
    <row r="5555">
      <c r="A5555" s="2" t="inlineStr">
        <is>
          <t>2026-03-13</t>
        </is>
      </c>
      <c r="B5555" s="3" t="inlineStr">
        <is>
          <t>FSN</t>
        </is>
      </c>
      <c r="C5555" s="2" t="inlineStr">
        <is>
          <t>코스닥</t>
        </is>
      </c>
      <c r="D5555" s="2" t="inlineStr">
        <is>
          <t>214270</t>
        </is>
      </c>
      <c r="E5555" s="3" t="inlineStr">
        <is>
          <t>임원ㆍ주요주주특정증권등소유상황보고서</t>
        </is>
      </c>
      <c r="F5555" s="3" t="inlineStr">
        <is>
          <t>정건영</t>
        </is>
      </c>
      <c r="G5555" s="2" t="inlineStr">
        <is>
          <t>20260313001159</t>
        </is>
      </c>
      <c r="H5555" s="8">
        <f>HYPERLINK("https://dart.fss.or.kr/dsaf001/main.do?rcpNo=20260313001159", "공시열람")</f>
        <v/>
      </c>
    </row>
    <row r="5556">
      <c r="A5556" s="2" t="inlineStr">
        <is>
          <t>2026-03-13</t>
        </is>
      </c>
      <c r="B5556" s="3" t="inlineStr">
        <is>
          <t>디알텍</t>
        </is>
      </c>
      <c r="C5556" s="2" t="inlineStr">
        <is>
          <t>코스닥</t>
        </is>
      </c>
      <c r="D5556" s="2" t="inlineStr">
        <is>
          <t>214680</t>
        </is>
      </c>
      <c r="E5556" s="3" t="inlineStr">
        <is>
          <t>의결권대리행사권유참고서류</t>
        </is>
      </c>
      <c r="F5556" s="3" t="inlineStr">
        <is>
          <t>디알텍</t>
        </is>
      </c>
      <c r="G5556" s="2" t="inlineStr">
        <is>
          <t>20260313001157</t>
        </is>
      </c>
      <c r="H5556" s="8">
        <f>HYPERLINK("https://dart.fss.or.kr/dsaf001/main.do?rcpNo=20260313001157", "공시열람")</f>
        <v/>
      </c>
    </row>
    <row r="5557">
      <c r="A5557" s="2" t="inlineStr">
        <is>
          <t>2026-03-13</t>
        </is>
      </c>
      <c r="B5557" s="3" t="inlineStr">
        <is>
          <t>샘표</t>
        </is>
      </c>
      <c r="C5557" s="2" t="inlineStr">
        <is>
          <t>코스피</t>
        </is>
      </c>
      <c r="D5557" s="2" t="inlineStr">
        <is>
          <t>007540</t>
        </is>
      </c>
      <c r="E5557" s="3" t="inlineStr">
        <is>
          <t xml:space="preserve">감사보고서제출(자회사의 주요경영사항)              </t>
        </is>
      </c>
      <c r="F5557" s="3" t="inlineStr">
        <is>
          <t>샘표</t>
        </is>
      </c>
      <c r="G5557" s="2" t="inlineStr">
        <is>
          <t>20260313801643</t>
        </is>
      </c>
      <c r="H5557" s="8">
        <f>HYPERLINK("https://dart.fss.or.kr/dsaf001/main.do?rcpNo=20260313801643", "공시열람")</f>
        <v/>
      </c>
    </row>
    <row r="5558">
      <c r="A5558" s="2" t="inlineStr">
        <is>
          <t>2026-03-13</t>
        </is>
      </c>
      <c r="B5558" s="3" t="inlineStr">
        <is>
          <t>한국제15호스팩</t>
        </is>
      </c>
      <c r="C5558" s="2" t="inlineStr">
        <is>
          <t>코스닥</t>
        </is>
      </c>
      <c r="D5558" s="2" t="inlineStr">
        <is>
          <t>479880</t>
        </is>
      </c>
      <c r="E5558" s="3" t="inlineStr">
        <is>
          <t xml:space="preserve">감사보고서제출              </t>
        </is>
      </c>
      <c r="F5558" s="3" t="inlineStr">
        <is>
          <t>한국제15호스팩</t>
        </is>
      </c>
      <c r="G5558" s="2" t="inlineStr">
        <is>
          <t>20260313901686</t>
        </is>
      </c>
      <c r="H5558" s="8">
        <f>HYPERLINK("https://dart.fss.or.kr/dsaf001/main.do?rcpNo=20260313901686", "공시열람")</f>
        <v/>
      </c>
    </row>
    <row r="5559">
      <c r="A5559" s="2" t="inlineStr">
        <is>
          <t>2026-03-13</t>
        </is>
      </c>
      <c r="B5559" s="3" t="inlineStr">
        <is>
          <t>대신증권</t>
        </is>
      </c>
      <c r="C5559" s="2" t="inlineStr">
        <is>
          <t>코스피</t>
        </is>
      </c>
      <c r="D5559" s="2" t="inlineStr">
        <is>
          <t>003540</t>
        </is>
      </c>
      <c r="E5559" s="3" t="inlineStr">
        <is>
          <t>증권발행실적보고서</t>
        </is>
      </c>
      <c r="F5559" s="3" t="inlineStr">
        <is>
          <t>대신증권</t>
        </is>
      </c>
      <c r="G5559" s="2" t="inlineStr">
        <is>
          <t>20260313001154</t>
        </is>
      </c>
      <c r="H5559" s="8">
        <f>HYPERLINK("https://dart.fss.or.kr/dsaf001/main.do?rcpNo=20260313001154", "공시열람")</f>
        <v/>
      </c>
    </row>
    <row r="5560">
      <c r="A5560" s="2" t="inlineStr">
        <is>
          <t>2026-03-13</t>
        </is>
      </c>
      <c r="B5560" s="3" t="inlineStr">
        <is>
          <t>알엔티엑스</t>
        </is>
      </c>
      <c r="C5560" s="2" t="inlineStr">
        <is>
          <t>코스닥</t>
        </is>
      </c>
      <c r="D5560" s="2" t="inlineStr">
        <is>
          <t>123010</t>
        </is>
      </c>
      <c r="E5560" s="3" t="inlineStr">
        <is>
          <t>의결권대리행사권유참고서류</t>
        </is>
      </c>
      <c r="F5560" s="3" t="inlineStr">
        <is>
          <t>알엔티엑스</t>
        </is>
      </c>
      <c r="G5560" s="2" t="inlineStr">
        <is>
          <t>20260313001153</t>
        </is>
      </c>
      <c r="H5560" s="8">
        <f>HYPERLINK("https://dart.fss.or.kr/dsaf001/main.do?rcpNo=20260313001153", "공시열람")</f>
        <v/>
      </c>
    </row>
    <row r="5561">
      <c r="A5561" s="2" t="inlineStr">
        <is>
          <t>2026-03-13</t>
        </is>
      </c>
      <c r="B5561" s="3" t="inlineStr">
        <is>
          <t>대신증권</t>
        </is>
      </c>
      <c r="C5561" s="2" t="inlineStr">
        <is>
          <t>코스피</t>
        </is>
      </c>
      <c r="D5561" s="2" t="inlineStr">
        <is>
          <t>003540</t>
        </is>
      </c>
      <c r="E5561" s="3" t="inlineStr">
        <is>
          <t>증권발행실적보고서</t>
        </is>
      </c>
      <c r="F5561" s="3" t="inlineStr">
        <is>
          <t>대신증권</t>
        </is>
      </c>
      <c r="G5561" s="2" t="inlineStr">
        <is>
          <t>20260313001149</t>
        </is>
      </c>
      <c r="H5561" s="8">
        <f>HYPERLINK("https://dart.fss.or.kr/dsaf001/main.do?rcpNo=20260313001149", "공시열람")</f>
        <v/>
      </c>
    </row>
    <row r="5562">
      <c r="A5562" s="2" t="inlineStr">
        <is>
          <t>2026-03-13</t>
        </is>
      </c>
      <c r="B5562" s="3" t="inlineStr">
        <is>
          <t>켐트로스</t>
        </is>
      </c>
      <c r="C5562" s="2" t="inlineStr">
        <is>
          <t>코스닥</t>
        </is>
      </c>
      <c r="D5562" s="2" t="inlineStr">
        <is>
          <t>220260</t>
        </is>
      </c>
      <c r="E5562" s="3" t="inlineStr">
        <is>
          <t>불성실공시법인미지정              (지정유예)</t>
        </is>
      </c>
      <c r="F5562" s="3" t="inlineStr">
        <is>
          <t>코스닥시장본부</t>
        </is>
      </c>
      <c r="G5562" s="2" t="inlineStr">
        <is>
          <t>20260313901668</t>
        </is>
      </c>
      <c r="H5562" s="8">
        <f>HYPERLINK("https://dart.fss.or.kr/dsaf001/main.do?rcpNo=20260313901668", "공시열람")</f>
        <v/>
      </c>
    </row>
    <row r="5563">
      <c r="A5563" s="2" t="inlineStr">
        <is>
          <t>2026-03-13 (정정: 2026-06-05)</t>
        </is>
      </c>
      <c r="B5563" s="3" t="inlineStr">
        <is>
          <t>와이엠씨</t>
        </is>
      </c>
      <c r="C5563" s="2" t="inlineStr">
        <is>
          <t>코스닥</t>
        </is>
      </c>
      <c r="D5563" s="2" t="inlineStr">
        <is>
          <t>155650</t>
        </is>
      </c>
      <c r="E5563" s="3" t="inlineStr">
        <is>
          <t>감사보고서제출               (정정: 20260605) (정정: 20260605)</t>
        </is>
      </c>
      <c r="F5563" s="3" t="inlineStr">
        <is>
          <t>와이엠씨</t>
        </is>
      </c>
      <c r="G5563" s="2" t="inlineStr">
        <is>
          <t>20260605000339</t>
        </is>
      </c>
      <c r="H5563" s="8">
        <f>HYPERLINK("https://dart.fss.or.kr/dsaf001/main.do?rcpNo=20260605000339", "공시열람")</f>
        <v/>
      </c>
    </row>
    <row r="5564">
      <c r="A5564" s="2" t="inlineStr">
        <is>
          <t>2026-03-13</t>
        </is>
      </c>
      <c r="B5564" s="3" t="inlineStr">
        <is>
          <t>에이프로</t>
        </is>
      </c>
      <c r="C5564" s="2" t="inlineStr">
        <is>
          <t>코스닥</t>
        </is>
      </c>
      <c r="D5564" s="2" t="inlineStr">
        <is>
          <t>262260</t>
        </is>
      </c>
      <c r="E5564" s="3" t="inlineStr">
        <is>
          <t xml:space="preserve">현금ㆍ현물배당을위한주주명부폐쇄(기준일)결정              </t>
        </is>
      </c>
      <c r="F5564" s="3" t="inlineStr">
        <is>
          <t>에이프로</t>
        </is>
      </c>
      <c r="G5564" s="2" t="inlineStr">
        <is>
          <t>20260313901747</t>
        </is>
      </c>
      <c r="H5564" s="8">
        <f>HYPERLINK("https://dart.fss.or.kr/dsaf001/main.do?rcpNo=20260313901747", "공시열람")</f>
        <v/>
      </c>
    </row>
    <row r="5565">
      <c r="A5565" s="2" t="inlineStr">
        <is>
          <t>2026-03-13</t>
        </is>
      </c>
      <c r="B5565" s="3" t="inlineStr">
        <is>
          <t>대신증권</t>
        </is>
      </c>
      <c r="C5565" s="2" t="inlineStr">
        <is>
          <t>코스피</t>
        </is>
      </c>
      <c r="D5565" s="2" t="inlineStr">
        <is>
          <t>003540</t>
        </is>
      </c>
      <c r="E5565" s="3" t="inlineStr">
        <is>
          <t>증권발행실적보고서</t>
        </is>
      </c>
      <c r="F5565" s="3" t="inlineStr">
        <is>
          <t>대신증권</t>
        </is>
      </c>
      <c r="G5565" s="2" t="inlineStr">
        <is>
          <t>20260313001140</t>
        </is>
      </c>
      <c r="H5565" s="8">
        <f>HYPERLINK("https://dart.fss.or.kr/dsaf001/main.do?rcpNo=20260313001140", "공시열람")</f>
        <v/>
      </c>
    </row>
    <row r="5566">
      <c r="A5566" s="2" t="inlineStr">
        <is>
          <t>2026-03-13</t>
        </is>
      </c>
      <c r="B5566" s="3" t="inlineStr">
        <is>
          <t>특수건설</t>
        </is>
      </c>
      <c r="C5566" s="2" t="inlineStr">
        <is>
          <t>코스닥</t>
        </is>
      </c>
      <c r="D5566" s="2" t="inlineStr">
        <is>
          <t>026150</t>
        </is>
      </c>
      <c r="E5566" s="3" t="inlineStr">
        <is>
          <t>의결권대리행사권유참고서류</t>
        </is>
      </c>
      <c r="F5566" s="3" t="inlineStr">
        <is>
          <t>특수건설</t>
        </is>
      </c>
      <c r="G5566" s="2" t="inlineStr">
        <is>
          <t>20260313001135</t>
        </is>
      </c>
      <c r="H5566" s="8">
        <f>HYPERLINK("https://dart.fss.or.kr/dsaf001/main.do?rcpNo=20260313001135", "공시열람")</f>
        <v/>
      </c>
    </row>
    <row r="5567">
      <c r="A5567" s="2" t="inlineStr">
        <is>
          <t>2026-03-13</t>
        </is>
      </c>
      <c r="B5567" s="3" t="inlineStr">
        <is>
          <t>에스에너지</t>
        </is>
      </c>
      <c r="C5567" s="2" t="inlineStr">
        <is>
          <t>코스닥</t>
        </is>
      </c>
      <c r="D5567" s="2" t="inlineStr">
        <is>
          <t>095910</t>
        </is>
      </c>
      <c r="E5567" s="3" t="inlineStr">
        <is>
          <t>의결권대리행사권유참고서류</t>
        </is>
      </c>
      <c r="F5567" s="3" t="inlineStr">
        <is>
          <t>에스에너지</t>
        </is>
      </c>
      <c r="G5567" s="2" t="inlineStr">
        <is>
          <t>20260313001132</t>
        </is>
      </c>
      <c r="H5567" s="8">
        <f>HYPERLINK("https://dart.fss.or.kr/dsaf001/main.do?rcpNo=20260313001132", "공시열람")</f>
        <v/>
      </c>
    </row>
    <row r="5568">
      <c r="A5568" s="2" t="inlineStr">
        <is>
          <t>2026-03-13</t>
        </is>
      </c>
      <c r="B5568" s="3" t="inlineStr">
        <is>
          <t>라온텍</t>
        </is>
      </c>
      <c r="C5568" s="2" t="inlineStr">
        <is>
          <t>코스닥</t>
        </is>
      </c>
      <c r="D5568" s="2" t="inlineStr">
        <is>
          <t>418420</t>
        </is>
      </c>
      <c r="E5568" s="3" t="inlineStr">
        <is>
          <t>[첨부정정]의결권대리행사권유참고서류</t>
        </is>
      </c>
      <c r="F5568" s="3" t="inlineStr">
        <is>
          <t>라온텍</t>
        </is>
      </c>
      <c r="G5568" s="2" t="inlineStr">
        <is>
          <t>20260313001131</t>
        </is>
      </c>
      <c r="H5568" s="8">
        <f>HYPERLINK("https://dart.fss.or.kr/dsaf001/main.do?rcpNo=20260313001131", "공시열람")</f>
        <v/>
      </c>
    </row>
    <row r="5569">
      <c r="A5569" s="2" t="inlineStr">
        <is>
          <t>2026-03-13</t>
        </is>
      </c>
      <c r="B5569" s="3" t="inlineStr">
        <is>
          <t>이지스레지던스리츠</t>
        </is>
      </c>
      <c r="C5569" s="2" t="inlineStr">
        <is>
          <t>코스피</t>
        </is>
      </c>
      <c r="D5569" s="2" t="inlineStr">
        <is>
          <t>350520</t>
        </is>
      </c>
      <c r="E5569" s="3" t="inlineStr">
        <is>
          <t>의결권대리행사권유참고서류</t>
        </is>
      </c>
      <c r="F5569" s="3" t="inlineStr">
        <is>
          <t>이지스레지던스리츠</t>
        </is>
      </c>
      <c r="G5569" s="2" t="inlineStr">
        <is>
          <t>20260313001129</t>
        </is>
      </c>
      <c r="H5569" s="8">
        <f>HYPERLINK("https://dart.fss.or.kr/dsaf001/main.do?rcpNo=20260313001129", "공시열람")</f>
        <v/>
      </c>
    </row>
    <row r="5570">
      <c r="A5570" s="2" t="inlineStr">
        <is>
          <t>2026-03-13</t>
        </is>
      </c>
      <c r="B5570" s="3" t="inlineStr">
        <is>
          <t>압타머사이언스</t>
        </is>
      </c>
      <c r="C5570" s="2" t="inlineStr">
        <is>
          <t>코스닥</t>
        </is>
      </c>
      <c r="D5570" s="2" t="inlineStr">
        <is>
          <t>291650</t>
        </is>
      </c>
      <c r="E5570" s="3" t="inlineStr">
        <is>
          <t xml:space="preserve">감사보고서제출              </t>
        </is>
      </c>
      <c r="F5570" s="3" t="inlineStr">
        <is>
          <t>압타머사이언스</t>
        </is>
      </c>
      <c r="G5570" s="2" t="inlineStr">
        <is>
          <t>20260313901325</t>
        </is>
      </c>
      <c r="H5570" s="8">
        <f>HYPERLINK("https://dart.fss.or.kr/dsaf001/main.do?rcpNo=20260313901325", "공시열람")</f>
        <v/>
      </c>
    </row>
    <row r="5571">
      <c r="A5571" s="2" t="inlineStr">
        <is>
          <t>2026-03-13</t>
        </is>
      </c>
      <c r="B5571" s="3" t="inlineStr">
        <is>
          <t>오성첨단소재</t>
        </is>
      </c>
      <c r="C5571" s="2" t="inlineStr">
        <is>
          <t>코스닥</t>
        </is>
      </c>
      <c r="D5571" s="2" t="inlineStr">
        <is>
          <t>052420</t>
        </is>
      </c>
      <c r="E5571" s="3" t="inlineStr">
        <is>
          <t>의결권대리행사권유참고서류</t>
        </is>
      </c>
      <c r="F5571" s="3" t="inlineStr">
        <is>
          <t>오성첨단소재</t>
        </is>
      </c>
      <c r="G5571" s="2" t="inlineStr">
        <is>
          <t>20260313001127</t>
        </is>
      </c>
      <c r="H5571" s="8">
        <f>HYPERLINK("https://dart.fss.or.kr/dsaf001/main.do?rcpNo=20260313001127", "공시열람")</f>
        <v/>
      </c>
    </row>
    <row r="5572">
      <c r="A5572" s="2" t="inlineStr">
        <is>
          <t>2026-03-13</t>
        </is>
      </c>
      <c r="B5572" s="3" t="inlineStr">
        <is>
          <t>비트맥스</t>
        </is>
      </c>
      <c r="C5572" s="2" t="inlineStr">
        <is>
          <t>코스닥</t>
        </is>
      </c>
      <c r="D5572" s="2" t="inlineStr">
        <is>
          <t>377030</t>
        </is>
      </c>
      <c r="E5572" s="3" t="inlineStr">
        <is>
          <t>[기재정정]의결권대리행사권유참고서류</t>
        </is>
      </c>
      <c r="F5572" s="3" t="inlineStr">
        <is>
          <t>비트맥스</t>
        </is>
      </c>
      <c r="G5572" s="2" t="inlineStr">
        <is>
          <t>20260313001126</t>
        </is>
      </c>
      <c r="H5572" s="8">
        <f>HYPERLINK("https://dart.fss.or.kr/dsaf001/main.do?rcpNo=20260313001126", "공시열람")</f>
        <v/>
      </c>
    </row>
    <row r="5573">
      <c r="A5573" s="2" t="inlineStr">
        <is>
          <t>2026-03-13</t>
        </is>
      </c>
      <c r="B5573" s="3" t="inlineStr">
        <is>
          <t>대신증권</t>
        </is>
      </c>
      <c r="C5573" s="2" t="inlineStr">
        <is>
          <t>코스피</t>
        </is>
      </c>
      <c r="D5573" s="2" t="inlineStr">
        <is>
          <t>003540</t>
        </is>
      </c>
      <c r="E5573" s="3" t="inlineStr">
        <is>
          <t>증권발행실적보고서</t>
        </is>
      </c>
      <c r="F5573" s="3" t="inlineStr">
        <is>
          <t>대신증권</t>
        </is>
      </c>
      <c r="G5573" s="2" t="inlineStr">
        <is>
          <t>20260313001123</t>
        </is>
      </c>
      <c r="H5573" s="8">
        <f>HYPERLINK("https://dart.fss.or.kr/dsaf001/main.do?rcpNo=20260313001123", "공시열람")</f>
        <v/>
      </c>
    </row>
    <row r="5574">
      <c r="A5574" s="2" t="inlineStr">
        <is>
          <t>2026-03-13</t>
        </is>
      </c>
      <c r="B5574" s="3" t="inlineStr">
        <is>
          <t>레이언스</t>
        </is>
      </c>
      <c r="C5574" s="2" t="inlineStr">
        <is>
          <t>코스닥</t>
        </is>
      </c>
      <c r="D5574" s="2" t="inlineStr">
        <is>
          <t>228850</t>
        </is>
      </c>
      <c r="E5574" s="3" t="inlineStr">
        <is>
          <t xml:space="preserve">감사보고서제출              </t>
        </is>
      </c>
      <c r="F5574" s="3" t="inlineStr">
        <is>
          <t>레이언스</t>
        </is>
      </c>
      <c r="G5574" s="2" t="inlineStr">
        <is>
          <t>20260313901578</t>
        </is>
      </c>
      <c r="H5574" s="8">
        <f>HYPERLINK("https://dart.fss.or.kr/dsaf001/main.do?rcpNo=20260313901578", "공시열람")</f>
        <v/>
      </c>
    </row>
    <row r="5575">
      <c r="A5575" s="2" t="inlineStr">
        <is>
          <t>2026-03-13</t>
        </is>
      </c>
      <c r="B5575" s="3" t="inlineStr">
        <is>
          <t>HD현대</t>
        </is>
      </c>
      <c r="C5575" s="2" t="inlineStr">
        <is>
          <t>코스피</t>
        </is>
      </c>
      <c r="D5575" s="2" t="inlineStr">
        <is>
          <t>267250</t>
        </is>
      </c>
      <c r="E5575" s="3" t="inlineStr">
        <is>
          <t xml:space="preserve">기타경영사항(자율공시)              </t>
        </is>
      </c>
      <c r="F5575" s="3" t="inlineStr">
        <is>
          <t>HD현대</t>
        </is>
      </c>
      <c r="G5575" s="2" t="inlineStr">
        <is>
          <t>20260313801624</t>
        </is>
      </c>
      <c r="H5575" s="8">
        <f>HYPERLINK("https://dart.fss.or.kr/dsaf001/main.do?rcpNo=20260313801624", "공시열람")</f>
        <v/>
      </c>
    </row>
    <row r="5576">
      <c r="A5576" s="2" t="inlineStr">
        <is>
          <t>2026-03-13</t>
        </is>
      </c>
      <c r="B5576" s="3" t="inlineStr">
        <is>
          <t>대신증권</t>
        </is>
      </c>
      <c r="C5576" s="2" t="inlineStr">
        <is>
          <t>코스피</t>
        </is>
      </c>
      <c r="D5576" s="2" t="inlineStr">
        <is>
          <t>003540</t>
        </is>
      </c>
      <c r="E5576" s="3" t="inlineStr">
        <is>
          <t>증권발행실적보고서</t>
        </is>
      </c>
      <c r="F5576" s="3" t="inlineStr">
        <is>
          <t>대신증권</t>
        </is>
      </c>
      <c r="G5576" s="2" t="inlineStr">
        <is>
          <t>20260313001114</t>
        </is>
      </c>
      <c r="H5576" s="8">
        <f>HYPERLINK("https://dart.fss.or.kr/dsaf001/main.do?rcpNo=20260313001114", "공시열람")</f>
        <v/>
      </c>
    </row>
    <row r="5577">
      <c r="A5577" s="2" t="inlineStr">
        <is>
          <t>2026-03-13</t>
        </is>
      </c>
      <c r="B5577" s="3" t="inlineStr">
        <is>
          <t>에이아이코리아</t>
        </is>
      </c>
      <c r="C5577" s="2" t="inlineStr">
        <is>
          <t>코스닥</t>
        </is>
      </c>
      <c r="D5577" s="2" t="inlineStr">
        <is>
          <t>364950</t>
        </is>
      </c>
      <c r="E5577" s="3" t="inlineStr">
        <is>
          <t xml:space="preserve">감사보고서제출              </t>
        </is>
      </c>
      <c r="F5577" s="3" t="inlineStr">
        <is>
          <t>에이아이코리아</t>
        </is>
      </c>
      <c r="G5577" s="2" t="inlineStr">
        <is>
          <t>20260313901582</t>
        </is>
      </c>
      <c r="H5577" s="8">
        <f>HYPERLINK("https://dart.fss.or.kr/dsaf001/main.do?rcpNo=20260313901582", "공시열람")</f>
        <v/>
      </c>
    </row>
    <row r="5578">
      <c r="A5578" s="2" t="inlineStr">
        <is>
          <t>2026-03-13</t>
        </is>
      </c>
      <c r="B5578" s="3" t="inlineStr">
        <is>
          <t>유니크</t>
        </is>
      </c>
      <c r="C5578" s="2" t="inlineStr">
        <is>
          <t>코스닥</t>
        </is>
      </c>
      <c r="D5578" s="2" t="inlineStr">
        <is>
          <t>011320</t>
        </is>
      </c>
      <c r="E5578" s="3" t="inlineStr">
        <is>
          <t>임원ㆍ주요주주특정증권등소유상황보고서</t>
        </is>
      </c>
      <c r="F5578" s="3" t="inlineStr">
        <is>
          <t>안정구</t>
        </is>
      </c>
      <c r="G5578" s="2" t="inlineStr">
        <is>
          <t>20260313001113</t>
        </is>
      </c>
      <c r="H5578" s="8">
        <f>HYPERLINK("https://dart.fss.or.kr/dsaf001/main.do?rcpNo=20260313001113", "공시열람")</f>
        <v/>
      </c>
    </row>
    <row r="5579">
      <c r="A5579" s="2" t="inlineStr">
        <is>
          <t>2026-03-13</t>
        </is>
      </c>
      <c r="B5579" s="3" t="inlineStr">
        <is>
          <t>다우데이타</t>
        </is>
      </c>
      <c r="C5579" s="2" t="inlineStr">
        <is>
          <t>코스닥</t>
        </is>
      </c>
      <c r="D5579" s="2" t="inlineStr">
        <is>
          <t>032190</t>
        </is>
      </c>
      <c r="E5579" s="3" t="inlineStr">
        <is>
          <t>의결권대리행사권유참고서류</t>
        </is>
      </c>
      <c r="F5579" s="3" t="inlineStr">
        <is>
          <t>다우데이타</t>
        </is>
      </c>
      <c r="G5579" s="2" t="inlineStr">
        <is>
          <t>20260313001111</t>
        </is>
      </c>
      <c r="H5579" s="8">
        <f>HYPERLINK("https://dart.fss.or.kr/dsaf001/main.do?rcpNo=20260313001111", "공시열람")</f>
        <v/>
      </c>
    </row>
    <row r="5580">
      <c r="A5580" s="2" t="inlineStr">
        <is>
          <t>2026-03-13</t>
        </is>
      </c>
      <c r="B5580" s="3" t="inlineStr">
        <is>
          <t>디에이피</t>
        </is>
      </c>
      <c r="C5580" s="2" t="inlineStr">
        <is>
          <t>코스닥</t>
        </is>
      </c>
      <c r="D5580" s="2" t="inlineStr">
        <is>
          <t>066900</t>
        </is>
      </c>
      <c r="E5580" s="3" t="inlineStr">
        <is>
          <t xml:space="preserve">기타시장안내(관리종목지정우려종목)              </t>
        </is>
      </c>
      <c r="F5580" s="3" t="inlineStr">
        <is>
          <t>코스닥시장본부</t>
        </is>
      </c>
      <c r="G5580" s="2" t="inlineStr">
        <is>
          <t>20260313901546</t>
        </is>
      </c>
      <c r="H5580" s="8">
        <f>HYPERLINK("https://dart.fss.or.kr/dsaf001/main.do?rcpNo=20260313901546", "공시열람")</f>
        <v/>
      </c>
    </row>
    <row r="5581">
      <c r="A5581" s="2" t="inlineStr">
        <is>
          <t>2026-03-13</t>
        </is>
      </c>
      <c r="B5581" s="3" t="inlineStr">
        <is>
          <t>디에이피</t>
        </is>
      </c>
      <c r="C5581" s="2" t="inlineStr">
        <is>
          <t>코스닥</t>
        </is>
      </c>
      <c r="D5581" s="2" t="inlineStr">
        <is>
          <t>066900</t>
        </is>
      </c>
      <c r="E5581" s="3" t="inlineStr">
        <is>
          <t xml:space="preserve">내부결산시점관리종목지정ㆍ형식적상장폐지ㆍ상장적격성실질심사사유발생              </t>
        </is>
      </c>
      <c r="F5581" s="3" t="inlineStr">
        <is>
          <t>디에이피</t>
        </is>
      </c>
      <c r="G5581" s="2" t="inlineStr">
        <is>
          <t>20260313901600</t>
        </is>
      </c>
      <c r="H5581" s="8">
        <f>HYPERLINK("https://dart.fss.or.kr/dsaf001/main.do?rcpNo=20260313901600", "공시열람")</f>
        <v/>
      </c>
    </row>
    <row r="5582">
      <c r="A5582" s="2" t="inlineStr">
        <is>
          <t>2026-03-13</t>
        </is>
      </c>
      <c r="B5582" s="3" t="inlineStr">
        <is>
          <t>디에이피</t>
        </is>
      </c>
      <c r="C5582" s="2" t="inlineStr">
        <is>
          <t>코스닥</t>
        </is>
      </c>
      <c r="D5582" s="2" t="inlineStr">
        <is>
          <t>066900</t>
        </is>
      </c>
      <c r="E5582" s="3" t="inlineStr">
        <is>
          <t>주권매매거래정지              (관리종목지정우려)</t>
        </is>
      </c>
      <c r="F5582" s="3" t="inlineStr">
        <is>
          <t>코스닥시장본부</t>
        </is>
      </c>
      <c r="G5582" s="2" t="inlineStr">
        <is>
          <t>20260313901649</t>
        </is>
      </c>
      <c r="H5582" s="8">
        <f>HYPERLINK("https://dart.fss.or.kr/dsaf001/main.do?rcpNo=20260313901649", "공시열람")</f>
        <v/>
      </c>
    </row>
    <row r="5583">
      <c r="A5583" s="2" t="inlineStr">
        <is>
          <t>2026-03-13</t>
        </is>
      </c>
      <c r="B5583" s="3" t="inlineStr">
        <is>
          <t>대신증권</t>
        </is>
      </c>
      <c r="C5583" s="2" t="inlineStr">
        <is>
          <t>코스피</t>
        </is>
      </c>
      <c r="D5583" s="2" t="inlineStr">
        <is>
          <t>003540</t>
        </is>
      </c>
      <c r="E5583" s="3" t="inlineStr">
        <is>
          <t>증권발행실적보고서</t>
        </is>
      </c>
      <c r="F5583" s="3" t="inlineStr">
        <is>
          <t>대신증권</t>
        </is>
      </c>
      <c r="G5583" s="2" t="inlineStr">
        <is>
          <t>20260313001101</t>
        </is>
      </c>
      <c r="H5583" s="8">
        <f>HYPERLINK("https://dart.fss.or.kr/dsaf001/main.do?rcpNo=20260313001101", "공시열람")</f>
        <v/>
      </c>
    </row>
    <row r="5584">
      <c r="A5584" s="2" t="inlineStr">
        <is>
          <t>2026-03-13</t>
        </is>
      </c>
      <c r="B5584" s="3" t="inlineStr">
        <is>
          <t>비트맥스</t>
        </is>
      </c>
      <c r="C5584" s="2" t="inlineStr">
        <is>
          <t>코스닥</t>
        </is>
      </c>
      <c r="D5584" s="2" t="inlineStr">
        <is>
          <t>377030</t>
        </is>
      </c>
      <c r="E5584" s="3" t="inlineStr">
        <is>
          <t>[기재정정]주요사항보고서(감자결정)</t>
        </is>
      </c>
      <c r="F5584" s="3" t="inlineStr">
        <is>
          <t>비트맥스</t>
        </is>
      </c>
      <c r="G5584" s="2" t="inlineStr">
        <is>
          <t>20260313001025</t>
        </is>
      </c>
      <c r="H5584" s="8">
        <f>HYPERLINK("https://dart.fss.or.kr/dsaf001/main.do?rcpNo=20260313001025", "공시열람")</f>
        <v/>
      </c>
    </row>
    <row r="5585">
      <c r="A5585" s="2" t="inlineStr">
        <is>
          <t>2026-03-13</t>
        </is>
      </c>
      <c r="B5585" s="3" t="inlineStr">
        <is>
          <t>바이넥스</t>
        </is>
      </c>
      <c r="C5585" s="2" t="inlineStr">
        <is>
          <t>코스닥</t>
        </is>
      </c>
      <c r="D5585" s="2" t="inlineStr">
        <is>
          <t>053030</t>
        </is>
      </c>
      <c r="E5585" s="3" t="inlineStr">
        <is>
          <t xml:space="preserve">감사보고서제출              </t>
        </is>
      </c>
      <c r="F5585" s="3" t="inlineStr">
        <is>
          <t>바이넥스</t>
        </is>
      </c>
      <c r="G5585" s="2" t="inlineStr">
        <is>
          <t>20260313901534</t>
        </is>
      </c>
      <c r="H5585" s="8">
        <f>HYPERLINK("https://dart.fss.or.kr/dsaf001/main.do?rcpNo=20260313901534", "공시열람")</f>
        <v/>
      </c>
    </row>
    <row r="5586">
      <c r="A5586" s="2" t="inlineStr">
        <is>
          <t>2026-03-13</t>
        </is>
      </c>
      <c r="B5586" s="3" t="inlineStr">
        <is>
          <t>컴퍼니케이</t>
        </is>
      </c>
      <c r="C5586" s="2" t="inlineStr">
        <is>
          <t>코스닥</t>
        </is>
      </c>
      <c r="D5586" s="2" t="inlineStr">
        <is>
          <t>307930</t>
        </is>
      </c>
      <c r="E5586" s="3" t="inlineStr">
        <is>
          <t>의결권대리행사권유참고서류</t>
        </is>
      </c>
      <c r="F5586" s="3" t="inlineStr">
        <is>
          <t>컴퍼니케이</t>
        </is>
      </c>
      <c r="G5586" s="2" t="inlineStr">
        <is>
          <t>20260313001091</t>
        </is>
      </c>
      <c r="H5586" s="8">
        <f>HYPERLINK("https://dart.fss.or.kr/dsaf001/main.do?rcpNo=20260313001091", "공시열람")</f>
        <v/>
      </c>
    </row>
    <row r="5587">
      <c r="A5587" s="2" t="inlineStr">
        <is>
          <t>2026-03-13</t>
        </is>
      </c>
      <c r="B5587" s="3" t="inlineStr">
        <is>
          <t>대신증권</t>
        </is>
      </c>
      <c r="C5587" s="2" t="inlineStr">
        <is>
          <t>코스피</t>
        </is>
      </c>
      <c r="D5587" s="2" t="inlineStr">
        <is>
          <t>003540</t>
        </is>
      </c>
      <c r="E5587" s="3" t="inlineStr">
        <is>
          <t>증권발행실적보고서</t>
        </is>
      </c>
      <c r="F5587" s="3" t="inlineStr">
        <is>
          <t>대신증권</t>
        </is>
      </c>
      <c r="G5587" s="2" t="inlineStr">
        <is>
          <t>20260313001089</t>
        </is>
      </c>
      <c r="H5587" s="8">
        <f>HYPERLINK("https://dart.fss.or.kr/dsaf001/main.do?rcpNo=20260313001089", "공시열람")</f>
        <v/>
      </c>
    </row>
    <row r="5588">
      <c r="A5588" s="2" t="inlineStr">
        <is>
          <t>2026-03-13</t>
        </is>
      </c>
      <c r="B5588" s="3" t="inlineStr">
        <is>
          <t>한솔홀딩스</t>
        </is>
      </c>
      <c r="C5588" s="2" t="inlineStr">
        <is>
          <t>코스피</t>
        </is>
      </c>
      <c r="D5588" s="2" t="inlineStr">
        <is>
          <t>004150</t>
        </is>
      </c>
      <c r="E5588" s="3" t="inlineStr">
        <is>
          <t xml:space="preserve">감사보고서제출(자회사의 주요경영사항)              </t>
        </is>
      </c>
      <c r="F5588" s="3" t="inlineStr">
        <is>
          <t>한솔홀딩스</t>
        </is>
      </c>
      <c r="G5588" s="2" t="inlineStr">
        <is>
          <t>20260313801596</t>
        </is>
      </c>
      <c r="H5588" s="8">
        <f>HYPERLINK("https://dart.fss.or.kr/dsaf001/main.do?rcpNo=20260313801596", "공시열람")</f>
        <v/>
      </c>
    </row>
    <row r="5589">
      <c r="A5589" s="2" t="inlineStr">
        <is>
          <t>2026-03-13 (정정: 2026-03-13)</t>
        </is>
      </c>
      <c r="B5589" s="3" t="inlineStr">
        <is>
          <t>NH투자증권</t>
        </is>
      </c>
      <c r="C5589" s="2" t="inlineStr">
        <is>
          <t>코스피</t>
        </is>
      </c>
      <c r="D5589" s="2" t="inlineStr">
        <is>
          <t>005940</t>
        </is>
      </c>
      <c r="E5589" s="3" t="inlineStr">
        <is>
          <t>[기재정정]일괄신고서(파생결합증권-상장지수증권) (정정: 20260313)</t>
        </is>
      </c>
      <c r="F5589" s="3" t="inlineStr">
        <is>
          <t>NH투자증권</t>
        </is>
      </c>
      <c r="G5589" s="2" t="inlineStr">
        <is>
          <t>20260313001011</t>
        </is>
      </c>
      <c r="H5589" s="8">
        <f>HYPERLINK("https://dart.fss.or.kr/dsaf001/main.do?rcpNo=20260313001011", "공시열람")</f>
        <v/>
      </c>
    </row>
    <row r="5590">
      <c r="A5590" s="2" t="inlineStr">
        <is>
          <t>2026-03-13</t>
        </is>
      </c>
      <c r="B5590" s="3" t="inlineStr">
        <is>
          <t>샘표식품</t>
        </is>
      </c>
      <c r="C5590" s="2" t="inlineStr">
        <is>
          <t>코스피</t>
        </is>
      </c>
      <c r="D5590" s="2" t="inlineStr">
        <is>
          <t>248170</t>
        </is>
      </c>
      <c r="E5590" s="3" t="inlineStr">
        <is>
          <t xml:space="preserve">감사보고서제출              </t>
        </is>
      </c>
      <c r="F5590" s="3" t="inlineStr">
        <is>
          <t>샘표식품</t>
        </is>
      </c>
      <c r="G5590" s="2" t="inlineStr">
        <is>
          <t>20260313801541</t>
        </is>
      </c>
      <c r="H5590" s="8">
        <f>HYPERLINK("https://dart.fss.or.kr/dsaf001/main.do?rcpNo=20260313801541", "공시열람")</f>
        <v/>
      </c>
    </row>
    <row r="5591">
      <c r="A5591" s="2" t="inlineStr">
        <is>
          <t>2026-03-13</t>
        </is>
      </c>
      <c r="B5591" s="3" t="inlineStr">
        <is>
          <t>트리니티항공</t>
        </is>
      </c>
      <c r="C5591" s="2" t="inlineStr">
        <is>
          <t>코스피</t>
        </is>
      </c>
      <c r="D5591" s="2" t="inlineStr">
        <is>
          <t>091810</t>
        </is>
      </c>
      <c r="E5591" s="3" t="inlineStr">
        <is>
          <t>임원ㆍ주요주주특정증권등소유상황보고서</t>
        </is>
      </c>
      <c r="F5591" s="3" t="inlineStr">
        <is>
          <t>박종범</t>
        </is>
      </c>
      <c r="G5591" s="2" t="inlineStr">
        <is>
          <t>20260313001086</t>
        </is>
      </c>
      <c r="H5591" s="8">
        <f>HYPERLINK("https://dart.fss.or.kr/dsaf001/main.do?rcpNo=20260313001086", "공시열람")</f>
        <v/>
      </c>
    </row>
    <row r="5592">
      <c r="A5592" s="2" t="inlineStr">
        <is>
          <t>2026-03-13</t>
        </is>
      </c>
      <c r="B5592" s="3" t="inlineStr">
        <is>
          <t>상신전자</t>
        </is>
      </c>
      <c r="C5592" s="2" t="inlineStr">
        <is>
          <t>코스닥</t>
        </is>
      </c>
      <c r="D5592" s="2" t="inlineStr">
        <is>
          <t>263810</t>
        </is>
      </c>
      <c r="E5592" s="3" t="inlineStr">
        <is>
          <t xml:space="preserve">감사보고서제출              </t>
        </is>
      </c>
      <c r="F5592" s="3" t="inlineStr">
        <is>
          <t>상신전자</t>
        </is>
      </c>
      <c r="G5592" s="2" t="inlineStr">
        <is>
          <t>20260313901526</t>
        </is>
      </c>
      <c r="H5592" s="8">
        <f>HYPERLINK("https://dart.fss.or.kr/dsaf001/main.do?rcpNo=20260313901526", "공시열람")</f>
        <v/>
      </c>
    </row>
    <row r="5593">
      <c r="A5593" s="2" t="inlineStr">
        <is>
          <t>2026-03-13</t>
        </is>
      </c>
      <c r="B5593" s="3" t="inlineStr">
        <is>
          <t>아로마티카</t>
        </is>
      </c>
      <c r="C5593" s="2" t="inlineStr">
        <is>
          <t>코스닥</t>
        </is>
      </c>
      <c r="D5593" s="2" t="inlineStr">
        <is>
          <t>0015N0</t>
        </is>
      </c>
      <c r="E5593" s="3" t="inlineStr">
        <is>
          <t>의결권대리행사권유참고서류</t>
        </is>
      </c>
      <c r="F5593" s="3" t="inlineStr">
        <is>
          <t>아로마티카</t>
        </is>
      </c>
      <c r="G5593" s="2" t="inlineStr">
        <is>
          <t>20260313001085</t>
        </is>
      </c>
      <c r="H5593" s="8">
        <f>HYPERLINK("https://dart.fss.or.kr/dsaf001/main.do?rcpNo=20260313001085", "공시열람")</f>
        <v/>
      </c>
    </row>
    <row r="5594">
      <c r="A5594" s="2" t="inlineStr">
        <is>
          <t>2026-03-13</t>
        </is>
      </c>
      <c r="B5594" s="3" t="inlineStr">
        <is>
          <t>현대차증권</t>
        </is>
      </c>
      <c r="C5594" s="2" t="inlineStr">
        <is>
          <t>코스피</t>
        </is>
      </c>
      <c r="D5594" s="2" t="inlineStr">
        <is>
          <t>001500</t>
        </is>
      </c>
      <c r="E5594" s="3" t="inlineStr">
        <is>
          <t>증권발행실적보고서</t>
        </is>
      </c>
      <c r="F5594" s="3" t="inlineStr">
        <is>
          <t>현대차증권</t>
        </is>
      </c>
      <c r="G5594" s="2" t="inlineStr">
        <is>
          <t>20260313001081</t>
        </is>
      </c>
      <c r="H5594" s="8">
        <f>HYPERLINK("https://dart.fss.or.kr/dsaf001/main.do?rcpNo=20260313001081", "공시열람")</f>
        <v/>
      </c>
    </row>
    <row r="5595">
      <c r="A5595" s="2" t="inlineStr">
        <is>
          <t>2026-03-13</t>
        </is>
      </c>
      <c r="B5595" s="3" t="inlineStr">
        <is>
          <t>현대홈쇼핑</t>
        </is>
      </c>
      <c r="C5595" s="2" t="inlineStr">
        <is>
          <t>코스피</t>
        </is>
      </c>
      <c r="D5595" s="2" t="inlineStr">
        <is>
          <t>057050</t>
        </is>
      </c>
      <c r="E5595" s="3" t="inlineStr">
        <is>
          <t xml:space="preserve">감사보고서제출(자회사의 주요경영사항)              </t>
        </is>
      </c>
      <c r="F5595" s="3" t="inlineStr">
        <is>
          <t>현대홈쇼핑</t>
        </is>
      </c>
      <c r="G5595" s="2" t="inlineStr">
        <is>
          <t>20260313801607</t>
        </is>
      </c>
      <c r="H5595" s="8">
        <f>HYPERLINK("https://dart.fss.or.kr/dsaf001/main.do?rcpNo=20260313801607", "공시열람")</f>
        <v/>
      </c>
    </row>
    <row r="5596">
      <c r="A5596" s="2" t="inlineStr">
        <is>
          <t>2026-03-13</t>
        </is>
      </c>
      <c r="B5596" s="3" t="inlineStr">
        <is>
          <t>두산퓨얼셀</t>
        </is>
      </c>
      <c r="C5596" s="2" t="inlineStr">
        <is>
          <t>코스피</t>
        </is>
      </c>
      <c r="D5596" s="2" t="inlineStr">
        <is>
          <t>336260</t>
        </is>
      </c>
      <c r="E5596" s="3" t="inlineStr">
        <is>
          <t xml:space="preserve">감사보고서제출              </t>
        </is>
      </c>
      <c r="F5596" s="3" t="inlineStr">
        <is>
          <t>두산퓨얼셀</t>
        </is>
      </c>
      <c r="G5596" s="2" t="inlineStr">
        <is>
          <t>20260313801583</t>
        </is>
      </c>
      <c r="H5596" s="8">
        <f>HYPERLINK("https://dart.fss.or.kr/dsaf001/main.do?rcpNo=20260313801583", "공시열람")</f>
        <v/>
      </c>
    </row>
    <row r="5597">
      <c r="A5597" s="2" t="inlineStr">
        <is>
          <t>2026-03-13 (정정: 2026-06-01)</t>
        </is>
      </c>
      <c r="B5597" s="3" t="inlineStr">
        <is>
          <t>HLB이노베이션</t>
        </is>
      </c>
      <c r="C5597" s="2" t="inlineStr">
        <is>
          <t>코스닥</t>
        </is>
      </c>
      <c r="D5597" s="2" t="inlineStr">
        <is>
          <t>024850</t>
        </is>
      </c>
      <c r="E5597" s="3" t="inlineStr">
        <is>
          <t>전환청구권행사               (정정: 20260601)</t>
        </is>
      </c>
      <c r="F5597" s="3" t="inlineStr">
        <is>
          <t>HLB이노베이션</t>
        </is>
      </c>
      <c r="G5597" s="2" t="inlineStr">
        <is>
          <t>20260601001354</t>
        </is>
      </c>
      <c r="H5597" s="8">
        <f>HYPERLINK("https://dart.fss.or.kr/dsaf001/main.do?rcpNo=20260601001354", "공시열람")</f>
        <v/>
      </c>
    </row>
    <row r="5598">
      <c r="A5598" s="2" t="inlineStr">
        <is>
          <t>2026-03-13</t>
        </is>
      </c>
      <c r="B5598" s="3" t="inlineStr">
        <is>
          <t>고려아연</t>
        </is>
      </c>
      <c r="C5598" s="2" t="inlineStr">
        <is>
          <t>코스피</t>
        </is>
      </c>
      <c r="D5598" s="2" t="inlineStr">
        <is>
          <t>010130</t>
        </is>
      </c>
      <c r="E5598" s="3" t="inlineStr">
        <is>
          <t xml:space="preserve">감사보고서제출              </t>
        </is>
      </c>
      <c r="F5598" s="3" t="inlineStr">
        <is>
          <t>고려아연</t>
        </is>
      </c>
      <c r="G5598" s="2" t="inlineStr">
        <is>
          <t>20260313801574</t>
        </is>
      </c>
      <c r="H5598" s="8">
        <f>HYPERLINK("https://dart.fss.or.kr/dsaf001/main.do?rcpNo=20260313801574", "공시열람")</f>
        <v/>
      </c>
    </row>
    <row r="5599">
      <c r="A5599" s="2" t="inlineStr">
        <is>
          <t>2026-03-13</t>
        </is>
      </c>
      <c r="B5599" s="3" t="inlineStr">
        <is>
          <t>에이비온</t>
        </is>
      </c>
      <c r="C5599" s="2" t="inlineStr">
        <is>
          <t>코스닥</t>
        </is>
      </c>
      <c r="D5599" s="2" t="inlineStr">
        <is>
          <t>203400</t>
        </is>
      </c>
      <c r="E5599" s="3" t="inlineStr">
        <is>
          <t xml:space="preserve">감사보고서제출              </t>
        </is>
      </c>
      <c r="F5599" s="3" t="inlineStr">
        <is>
          <t>에이비온</t>
        </is>
      </c>
      <c r="G5599" s="2" t="inlineStr">
        <is>
          <t>20260313901078</t>
        </is>
      </c>
      <c r="H5599" s="8">
        <f>HYPERLINK("https://dart.fss.or.kr/dsaf001/main.do?rcpNo=20260313901078", "공시열람")</f>
        <v/>
      </c>
    </row>
    <row r="5600">
      <c r="A5600" s="2" t="inlineStr">
        <is>
          <t>2026-03-13</t>
        </is>
      </c>
      <c r="B5600" s="3" t="inlineStr">
        <is>
          <t>선진</t>
        </is>
      </c>
      <c r="C5600" s="2" t="inlineStr">
        <is>
          <t>코스피</t>
        </is>
      </c>
      <c r="D5600" s="2" t="inlineStr">
        <is>
          <t>136490</t>
        </is>
      </c>
      <c r="E5600" s="3" t="inlineStr">
        <is>
          <t xml:space="preserve">감사보고서제출              </t>
        </is>
      </c>
      <c r="F5600" s="3" t="inlineStr">
        <is>
          <t>선진</t>
        </is>
      </c>
      <c r="G5600" s="2" t="inlineStr">
        <is>
          <t>20260313801592</t>
        </is>
      </c>
      <c r="H5600" s="8">
        <f>HYPERLINK("https://dart.fss.or.kr/dsaf001/main.do?rcpNo=20260313801592", "공시열람")</f>
        <v/>
      </c>
    </row>
    <row r="5601">
      <c r="A5601" s="2" t="inlineStr">
        <is>
          <t>2026-03-13</t>
        </is>
      </c>
      <c r="B5601" s="3" t="inlineStr">
        <is>
          <t>신화프리텍</t>
        </is>
      </c>
      <c r="C5601" s="2" t="inlineStr">
        <is>
          <t>코스닥</t>
        </is>
      </c>
      <c r="D5601" s="2" t="inlineStr">
        <is>
          <t>095190</t>
        </is>
      </c>
      <c r="E5601" s="3" t="inlineStr">
        <is>
          <t xml:space="preserve">감사보고서제출              </t>
        </is>
      </c>
      <c r="F5601" s="3" t="inlineStr">
        <is>
          <t>신화프리텍</t>
        </is>
      </c>
      <c r="G5601" s="2" t="inlineStr">
        <is>
          <t>20260313901458</t>
        </is>
      </c>
      <c r="H5601" s="8">
        <f>HYPERLINK("https://dart.fss.or.kr/dsaf001/main.do?rcpNo=20260313901458", "공시열람")</f>
        <v/>
      </c>
    </row>
    <row r="5602">
      <c r="A5602" s="2" t="inlineStr">
        <is>
          <t>2026-03-13</t>
        </is>
      </c>
      <c r="B5602" s="3" t="inlineStr">
        <is>
          <t>한섬</t>
        </is>
      </c>
      <c r="C5602" s="2" t="inlineStr">
        <is>
          <t>코스피</t>
        </is>
      </c>
      <c r="D5602" s="2" t="inlineStr">
        <is>
          <t>020000</t>
        </is>
      </c>
      <c r="E5602" s="3" t="inlineStr">
        <is>
          <t xml:space="preserve">감사보고서제출              </t>
        </is>
      </c>
      <c r="F5602" s="3" t="inlineStr">
        <is>
          <t>한섬</t>
        </is>
      </c>
      <c r="G5602" s="2" t="inlineStr">
        <is>
          <t>20260313801494</t>
        </is>
      </c>
      <c r="H5602" s="8">
        <f>HYPERLINK("https://dart.fss.or.kr/dsaf001/main.do?rcpNo=20260313801494", "공시열람")</f>
        <v/>
      </c>
    </row>
    <row r="5603">
      <c r="A5603" s="2" t="inlineStr">
        <is>
          <t>2026-03-13</t>
        </is>
      </c>
      <c r="B5603" s="3" t="inlineStr">
        <is>
          <t>서진시스템</t>
        </is>
      </c>
      <c r="C5603" s="2" t="inlineStr">
        <is>
          <t>코스닥</t>
        </is>
      </c>
      <c r="D5603" s="2" t="inlineStr">
        <is>
          <t>178320</t>
        </is>
      </c>
      <c r="E5603" s="3" t="inlineStr">
        <is>
          <t xml:space="preserve">연결재무제표기준영업(잠정)실적(공정공시)              </t>
        </is>
      </c>
      <c r="F5603" s="3" t="inlineStr">
        <is>
          <t>서진시스템</t>
        </is>
      </c>
      <c r="G5603" s="2" t="inlineStr">
        <is>
          <t>20260313901557</t>
        </is>
      </c>
      <c r="H5603" s="8">
        <f>HYPERLINK("https://dart.fss.or.kr/dsaf001/main.do?rcpNo=20260313901557", "공시열람")</f>
        <v/>
      </c>
    </row>
    <row r="5604">
      <c r="A5604" s="2" t="inlineStr">
        <is>
          <t>2026-03-13</t>
        </is>
      </c>
      <c r="B5604" s="3" t="inlineStr">
        <is>
          <t>아우토크립트</t>
        </is>
      </c>
      <c r="C5604" s="2" t="inlineStr">
        <is>
          <t>코스닥</t>
        </is>
      </c>
      <c r="D5604" s="2" t="inlineStr">
        <is>
          <t>331740</t>
        </is>
      </c>
      <c r="E5604" s="3" t="inlineStr">
        <is>
          <t>임원ㆍ주요주주특정증권등소유상황보고서</t>
        </is>
      </c>
      <c r="F5604" s="3" t="inlineStr">
        <is>
          <t>송종혁</t>
        </is>
      </c>
      <c r="G5604" s="2" t="inlineStr">
        <is>
          <t>20260313001056</t>
        </is>
      </c>
      <c r="H5604" s="8">
        <f>HYPERLINK("https://dart.fss.or.kr/dsaf001/main.do?rcpNo=20260313001056", "공시열람")</f>
        <v/>
      </c>
    </row>
    <row r="5605">
      <c r="A5605" s="2" t="inlineStr">
        <is>
          <t>2026-03-13</t>
        </is>
      </c>
      <c r="B5605" s="3" t="inlineStr">
        <is>
          <t>다원시스</t>
        </is>
      </c>
      <c r="C5605" s="2" t="inlineStr">
        <is>
          <t>코스닥</t>
        </is>
      </c>
      <c r="D5605" s="2" t="inlineStr">
        <is>
          <t>068240</t>
        </is>
      </c>
      <c r="E5605" s="3" t="inlineStr">
        <is>
          <t xml:space="preserve">소송등의판결ㆍ결정              </t>
        </is>
      </c>
      <c r="F5605" s="3" t="inlineStr">
        <is>
          <t>다원시스</t>
        </is>
      </c>
      <c r="G5605" s="2" t="inlineStr">
        <is>
          <t>20260313901506</t>
        </is>
      </c>
      <c r="H5605" s="8">
        <f>HYPERLINK("https://dart.fss.or.kr/dsaf001/main.do?rcpNo=20260313901506", "공시열람")</f>
        <v/>
      </c>
    </row>
    <row r="5606">
      <c r="A5606" s="2" t="inlineStr">
        <is>
          <t>2026-03-19</t>
        </is>
      </c>
      <c r="B5606" s="3" t="inlineStr">
        <is>
          <t>아남전자</t>
        </is>
      </c>
      <c r="C5606" s="2" t="inlineStr">
        <is>
          <t>코스피</t>
        </is>
      </c>
      <c r="D5606" s="2" t="inlineStr">
        <is>
          <t>008700</t>
        </is>
      </c>
      <c r="E5606" s="3" t="inlineStr">
        <is>
          <t>공개매수설명서</t>
        </is>
      </c>
      <c r="F5606" s="3" t="inlineStr">
        <is>
          <t>아남전자</t>
        </is>
      </c>
      <c r="G5606" s="2" t="inlineStr">
        <is>
          <t>20260319000031</t>
        </is>
      </c>
      <c r="H5606" s="8">
        <f>HYPERLINK("https://dart.fss.or.kr/dsaf001/main.do?rcpNo=20260319000031", "공시열람")</f>
        <v/>
      </c>
    </row>
    <row r="5607">
      <c r="A5607" s="2" t="inlineStr">
        <is>
          <t>2026-03-19</t>
        </is>
      </c>
      <c r="B5607" s="3" t="inlineStr">
        <is>
          <t>아남전자</t>
        </is>
      </c>
      <c r="C5607" s="2" t="inlineStr">
        <is>
          <t>코스피</t>
        </is>
      </c>
      <c r="D5607" s="2" t="inlineStr">
        <is>
          <t>008700</t>
        </is>
      </c>
      <c r="E5607" s="3" t="inlineStr">
        <is>
          <t>공개매수신고서</t>
        </is>
      </c>
      <c r="F5607" s="3" t="inlineStr">
        <is>
          <t>아남전자</t>
        </is>
      </c>
      <c r="G5607" s="2" t="inlineStr">
        <is>
          <t>20260319000030</t>
        </is>
      </c>
      <c r="H5607" s="8">
        <f>HYPERLINK("https://dart.fss.or.kr/dsaf001/main.do?rcpNo=20260319000030", "공시열람")</f>
        <v/>
      </c>
    </row>
    <row r="5608">
      <c r="A5608" s="2" t="inlineStr">
        <is>
          <t>2026-03-23</t>
        </is>
      </c>
      <c r="B5608" s="3" t="inlineStr">
        <is>
          <t>사람인</t>
        </is>
      </c>
      <c r="C5608" s="2" t="inlineStr">
        <is>
          <t>코스닥</t>
        </is>
      </c>
      <c r="D5608" s="2" t="inlineStr">
        <is>
          <t>143240</t>
        </is>
      </c>
      <c r="E5608" s="3" t="inlineStr">
        <is>
          <t>공개매수설명서</t>
        </is>
      </c>
      <c r="F5608" s="3" t="inlineStr">
        <is>
          <t>김익래</t>
        </is>
      </c>
      <c r="G5608" s="2" t="inlineStr">
        <is>
          <t>20260323000006</t>
        </is>
      </c>
      <c r="H5608" s="8">
        <f>HYPERLINK("https://dart.fss.or.kr/dsaf001/main.do?rcpNo=20260323000006", "공시열람")</f>
        <v/>
      </c>
    </row>
    <row r="5609">
      <c r="A5609" s="2" t="inlineStr">
        <is>
          <t>2026-03-23</t>
        </is>
      </c>
      <c r="B5609" s="3" t="inlineStr">
        <is>
          <t>사람인</t>
        </is>
      </c>
      <c r="C5609" s="2" t="inlineStr">
        <is>
          <t>코스닥</t>
        </is>
      </c>
      <c r="D5609" s="2" t="inlineStr">
        <is>
          <t>143240</t>
        </is>
      </c>
      <c r="E5609" s="3" t="inlineStr">
        <is>
          <t>공개매수신고서</t>
        </is>
      </c>
      <c r="F5609" s="3" t="inlineStr">
        <is>
          <t>김익래</t>
        </is>
      </c>
      <c r="G5609" s="2" t="inlineStr">
        <is>
          <t>20260323000004</t>
        </is>
      </c>
      <c r="H5609" s="8">
        <f>HYPERLINK("https://dart.fss.or.kr/dsaf001/main.do?rcpNo=20260323000004", "공시열람")</f>
        <v/>
      </c>
    </row>
    <row r="5610">
      <c r="A5610" s="2" t="inlineStr">
        <is>
          <t>2026-03-25</t>
        </is>
      </c>
      <c r="B5610" s="3" t="inlineStr">
        <is>
          <t>잉글우드랩</t>
        </is>
      </c>
      <c r="C5610" s="2" t="inlineStr">
        <is>
          <t>코스닥</t>
        </is>
      </c>
      <c r="D5610" s="2" t="inlineStr">
        <is>
          <t>950140</t>
        </is>
      </c>
      <c r="E5610" s="3" t="inlineStr">
        <is>
          <t>공개매수결과보고서</t>
        </is>
      </c>
      <c r="F5610" s="3" t="inlineStr">
        <is>
          <t>코스메카코리아</t>
        </is>
      </c>
      <c r="G5610" s="2" t="inlineStr">
        <is>
          <t>20260325000027</t>
        </is>
      </c>
      <c r="H5610" s="8">
        <f>HYPERLINK("https://dart.fss.or.kr/dsaf001/main.do?rcpNo=20260325000027", "공시열람")</f>
        <v/>
      </c>
    </row>
    <row r="5611">
      <c r="A5611" s="2" t="inlineStr">
        <is>
          <t>2026-03-26</t>
        </is>
      </c>
      <c r="B5611" s="3" t="inlineStr">
        <is>
          <t>더존비즈온</t>
        </is>
      </c>
      <c r="C5611" s="2" t="inlineStr">
        <is>
          <t>코스피</t>
        </is>
      </c>
      <c r="D5611" s="2" t="inlineStr">
        <is>
          <t>012510</t>
        </is>
      </c>
      <c r="E5611" s="3" t="inlineStr">
        <is>
          <t>공개매수결과보고서</t>
        </is>
      </c>
      <c r="F5611" s="3" t="inlineStr">
        <is>
          <t>도로니쿰</t>
        </is>
      </c>
      <c r="G5611" s="2" t="inlineStr">
        <is>
          <t>20260326001203</t>
        </is>
      </c>
      <c r="H5611" s="8">
        <f>HYPERLINK("https://dart.fss.or.kr/dsaf001/main.do?rcpNo=20260326001203", "공시열람")</f>
        <v/>
      </c>
    </row>
    <row r="5612">
      <c r="A5612" s="2" t="inlineStr">
        <is>
          <t>2026-03-27</t>
        </is>
      </c>
      <c r="B5612" s="3" t="inlineStr">
        <is>
          <t>더존비즈온</t>
        </is>
      </c>
      <c r="C5612" s="2" t="inlineStr">
        <is>
          <t>코스피</t>
        </is>
      </c>
      <c r="D5612" s="2" t="inlineStr">
        <is>
          <t>012510</t>
        </is>
      </c>
      <c r="E5612" s="3" t="inlineStr">
        <is>
          <t>공개매수설명서</t>
        </is>
      </c>
      <c r="F5612" s="3" t="inlineStr">
        <is>
          <t>도로니쿰</t>
        </is>
      </c>
      <c r="G5612" s="2" t="inlineStr">
        <is>
          <t>20260327000009</t>
        </is>
      </c>
      <c r="H5612" s="8">
        <f>HYPERLINK("https://dart.fss.or.kr/dsaf001/main.do?rcpNo=20260327000009", "공시열람")</f>
        <v/>
      </c>
    </row>
    <row r="5613">
      <c r="A5613" s="2" t="inlineStr">
        <is>
          <t>2026-03-27</t>
        </is>
      </c>
      <c r="B5613" s="3" t="inlineStr">
        <is>
          <t>더존비즈온</t>
        </is>
      </c>
      <c r="C5613" s="2" t="inlineStr">
        <is>
          <t>코스피</t>
        </is>
      </c>
      <c r="D5613" s="2" t="inlineStr">
        <is>
          <t>012510</t>
        </is>
      </c>
      <c r="E5613" s="3" t="inlineStr">
        <is>
          <t>공개매수신고서</t>
        </is>
      </c>
      <c r="F5613" s="3" t="inlineStr">
        <is>
          <t>도로니쿰</t>
        </is>
      </c>
      <c r="G5613" s="2" t="inlineStr">
        <is>
          <t>20260327000008</t>
        </is>
      </c>
      <c r="H5613" s="8">
        <f>HYPERLINK("https://dart.fss.or.kr/dsaf001/main.do?rcpNo=20260327000008", "공시열람")</f>
        <v/>
      </c>
    </row>
    <row r="5614">
      <c r="A5614" s="2" t="inlineStr">
        <is>
          <t>2026-03-31</t>
        </is>
      </c>
      <c r="B5614" s="3" t="inlineStr">
        <is>
          <t>티케이지애강</t>
        </is>
      </c>
      <c r="C5614" s="2" t="inlineStr">
        <is>
          <t>코스닥</t>
        </is>
      </c>
      <c r="D5614" s="2" t="inlineStr">
        <is>
          <t>022220</t>
        </is>
      </c>
      <c r="E5614" s="3" t="inlineStr">
        <is>
          <t>공개매수설명서</t>
        </is>
      </c>
      <c r="F5614" s="3" t="inlineStr">
        <is>
          <t>티케이지태광</t>
        </is>
      </c>
      <c r="G5614" s="2" t="inlineStr">
        <is>
          <t>20260331000005</t>
        </is>
      </c>
      <c r="H5614" s="8">
        <f>HYPERLINK("https://dart.fss.or.kr/dsaf001/main.do?rcpNo=20260331000005", "공시열람")</f>
        <v/>
      </c>
    </row>
    <row r="5615">
      <c r="A5615" s="2" t="inlineStr">
        <is>
          <t>2026-03-31</t>
        </is>
      </c>
      <c r="B5615" s="3" t="inlineStr">
        <is>
          <t>티케이지애강</t>
        </is>
      </c>
      <c r="C5615" s="2" t="inlineStr">
        <is>
          <t>코스닥</t>
        </is>
      </c>
      <c r="D5615" s="2" t="inlineStr">
        <is>
          <t>022220</t>
        </is>
      </c>
      <c r="E5615" s="3" t="inlineStr">
        <is>
          <t>공개매수신고서</t>
        </is>
      </c>
      <c r="F5615" s="3" t="inlineStr">
        <is>
          <t>티케이지태광</t>
        </is>
      </c>
      <c r="G5615" s="2" t="inlineStr">
        <is>
          <t>20260331000003</t>
        </is>
      </c>
      <c r="H5615" s="8">
        <f>HYPERLINK("https://dart.fss.or.kr/dsaf001/main.do?rcpNo=20260331000003", "공시열람")</f>
        <v/>
      </c>
    </row>
    <row r="5616">
      <c r="A5616" s="2" t="inlineStr">
        <is>
          <t>2026-04-02</t>
        </is>
      </c>
      <c r="B5616" s="3" t="inlineStr">
        <is>
          <t>에코마케팅</t>
        </is>
      </c>
      <c r="C5616" s="2" t="inlineStr">
        <is>
          <t>코스닥</t>
        </is>
      </c>
      <c r="D5616" s="2" t="inlineStr">
        <is>
          <t>230360</t>
        </is>
      </c>
      <c r="E5616" s="3" t="inlineStr">
        <is>
          <t>공개매수결과보고서</t>
        </is>
      </c>
      <c r="F5616" s="3" t="inlineStr">
        <is>
          <t>비씨피이이에이비드코원</t>
        </is>
      </c>
      <c r="G5616" s="2" t="inlineStr">
        <is>
          <t>20260402003566</t>
        </is>
      </c>
      <c r="H5616" s="8">
        <f>HYPERLINK("https://dart.fss.or.kr/dsaf001/main.do?rcpNo=20260402003566", "공시열람")</f>
        <v/>
      </c>
    </row>
    <row r="5617">
      <c r="A5617" s="2" t="inlineStr">
        <is>
          <t>2026-04-07</t>
        </is>
      </c>
      <c r="B5617" s="3" t="inlineStr">
        <is>
          <t>아남전자</t>
        </is>
      </c>
      <c r="C5617" s="2" t="inlineStr">
        <is>
          <t>코스피</t>
        </is>
      </c>
      <c r="D5617" s="2" t="inlineStr">
        <is>
          <t>008700</t>
        </is>
      </c>
      <c r="E5617" s="3" t="inlineStr">
        <is>
          <t>공개매수에관한의견표명서</t>
        </is>
      </c>
      <c r="F5617" s="3" t="inlineStr">
        <is>
          <t>아남전자</t>
        </is>
      </c>
      <c r="G5617" s="2" t="inlineStr">
        <is>
          <t>20260407001618</t>
        </is>
      </c>
      <c r="H5617" s="8">
        <f>HYPERLINK("https://dart.fss.or.kr/dsaf001/main.do?rcpNo=20260407001618", "공시열람")</f>
        <v/>
      </c>
    </row>
    <row r="5618">
      <c r="A5618" s="2" t="inlineStr">
        <is>
          <t>2026-04-14</t>
        </is>
      </c>
      <c r="B5618" s="3" t="inlineStr">
        <is>
          <t>아남전자</t>
        </is>
      </c>
      <c r="C5618" s="2" t="inlineStr">
        <is>
          <t>코스피</t>
        </is>
      </c>
      <c r="D5618" s="2" t="inlineStr">
        <is>
          <t>008700</t>
        </is>
      </c>
      <c r="E5618" s="3" t="inlineStr">
        <is>
          <t>공개매수결과보고서</t>
        </is>
      </c>
      <c r="F5618" s="3" t="inlineStr">
        <is>
          <t>아남전자</t>
        </is>
      </c>
      <c r="G5618" s="2" t="inlineStr">
        <is>
          <t>20260414002268</t>
        </is>
      </c>
      <c r="H5618" s="8">
        <f>HYPERLINK("https://dart.fss.or.kr/dsaf001/main.do?rcpNo=20260414002268", "공시열람")</f>
        <v/>
      </c>
    </row>
    <row r="5619">
      <c r="A5619" s="2" t="inlineStr">
        <is>
          <t>2026-04-15</t>
        </is>
      </c>
      <c r="B5619" s="3" t="inlineStr">
        <is>
          <t>더존비즈온</t>
        </is>
      </c>
      <c r="C5619" s="2" t="inlineStr">
        <is>
          <t>코스피</t>
        </is>
      </c>
      <c r="D5619" s="2" t="inlineStr">
        <is>
          <t>012510</t>
        </is>
      </c>
      <c r="E5619" s="3" t="inlineStr">
        <is>
          <t>공개매수에관한의견표명서</t>
        </is>
      </c>
      <c r="F5619" s="3" t="inlineStr">
        <is>
          <t>더존비즈온</t>
        </is>
      </c>
      <c r="G5619" s="2" t="inlineStr">
        <is>
          <t>20260415000010</t>
        </is>
      </c>
      <c r="H5619" s="8">
        <f>HYPERLINK("https://dart.fss.or.kr/dsaf001/main.do?rcpNo=20260415000010", "공시열람")</f>
        <v/>
      </c>
    </row>
    <row r="5620">
      <c r="A5620" s="2" t="inlineStr">
        <is>
          <t>2026-04-15 (정정: 2026-05-28)</t>
        </is>
      </c>
      <c r="B5620" s="3" t="inlineStr">
        <is>
          <t>사람인</t>
        </is>
      </c>
      <c r="C5620" s="2" t="inlineStr">
        <is>
          <t>코스닥</t>
        </is>
      </c>
      <c r="D5620" s="2" t="inlineStr">
        <is>
          <t>143240</t>
        </is>
      </c>
      <c r="E5620" s="3" t="inlineStr">
        <is>
          <t>공개매수결과보고서 (정정: 20260528)</t>
        </is>
      </c>
      <c r="F5620" s="3" t="inlineStr">
        <is>
          <t>김익래</t>
        </is>
      </c>
      <c r="G5620" s="2" t="inlineStr">
        <is>
          <t>20260528900982</t>
        </is>
      </c>
      <c r="H5620" s="8">
        <f>HYPERLINK("https://dart.fss.or.kr/dsaf001/main.do?rcpNo=20260528900982", "공시열람")</f>
        <v/>
      </c>
    </row>
    <row r="5621">
      <c r="A5621" s="2" t="inlineStr">
        <is>
          <t>2026-04-16 (정정: 2026-06-11)</t>
        </is>
      </c>
      <c r="B5621" s="3" t="inlineStr">
        <is>
          <t>셀루메드</t>
        </is>
      </c>
      <c r="C5621" s="2" t="inlineStr">
        <is>
          <t>코스닥</t>
        </is>
      </c>
      <c r="D5621" s="2" t="inlineStr">
        <is>
          <t>049180</t>
        </is>
      </c>
      <c r="E5621" s="3" t="inlineStr">
        <is>
          <t>투자판단관련주요경영사항              (경영지배인 선임의 건) (정정: 20260528) (정정: 20260611)</t>
        </is>
      </c>
      <c r="F5621" s="3" t="inlineStr">
        <is>
          <t>셀루메드</t>
        </is>
      </c>
      <c r="G5621" s="2" t="inlineStr">
        <is>
          <t>20260611900903</t>
        </is>
      </c>
      <c r="H5621" s="8">
        <f>HYPERLINK("https://dart.fss.or.kr/dsaf001/main.do?rcpNo=20260611900903", "공시열람")</f>
        <v/>
      </c>
    </row>
    <row r="5622">
      <c r="A5622" s="2" t="inlineStr">
        <is>
          <t>2026-04-16 (정정: 2026-04-16)</t>
        </is>
      </c>
      <c r="B5622" s="3" t="inlineStr">
        <is>
          <t>앱튼</t>
        </is>
      </c>
      <c r="C5622" s="2" t="inlineStr">
        <is>
          <t>코스닥</t>
        </is>
      </c>
      <c r="D5622" s="2" t="inlineStr">
        <is>
          <t>270520</t>
        </is>
      </c>
      <c r="E5622" s="3" t="inlineStr">
        <is>
          <t>전환가액의조정              (제6회차,제7회차,제9회차) (정정: 20260416)</t>
        </is>
      </c>
      <c r="F5622" s="3" t="inlineStr">
        <is>
          <t>앱튼</t>
        </is>
      </c>
      <c r="G5622" s="2" t="inlineStr">
        <is>
          <t>20260416000441</t>
        </is>
      </c>
      <c r="H5622" s="8">
        <f>HYPERLINK("https://dart.fss.or.kr/dsaf001/main.do?rcpNo=20260416000441", "공시열람")</f>
        <v/>
      </c>
    </row>
    <row r="5623">
      <c r="A5623" s="2" t="inlineStr">
        <is>
          <t>2026-04-16</t>
        </is>
      </c>
      <c r="B5623" s="3" t="inlineStr">
        <is>
          <t>알엔투테크놀로지</t>
        </is>
      </c>
      <c r="C5623" s="2" t="inlineStr">
        <is>
          <t>코스닥</t>
        </is>
      </c>
      <c r="D5623" s="2" t="inlineStr">
        <is>
          <t>148250</t>
        </is>
      </c>
      <c r="E5623" s="3" t="inlineStr">
        <is>
          <t>기타시장안내(최대주주의의무보유관련)              (최대주주의 의무보유 이행 관련)</t>
        </is>
      </c>
      <c r="F5623" s="3" t="inlineStr">
        <is>
          <t>코스닥시장본부</t>
        </is>
      </c>
      <c r="G5623" s="2" t="inlineStr">
        <is>
          <t>20260416900727</t>
        </is>
      </c>
      <c r="H5623" s="8">
        <f>HYPERLINK("https://dart.fss.or.kr/dsaf001/main.do?rcpNo=20260416900727", "공시열람")</f>
        <v/>
      </c>
    </row>
    <row r="5624">
      <c r="A5624" s="2" t="inlineStr">
        <is>
          <t>2026-04-16</t>
        </is>
      </c>
      <c r="B5624" s="3" t="inlineStr">
        <is>
          <t>DKME</t>
        </is>
      </c>
      <c r="C5624" s="2" t="inlineStr">
        <is>
          <t>코스피</t>
        </is>
      </c>
      <c r="D5624" s="2" t="inlineStr">
        <is>
          <t>015590</t>
        </is>
      </c>
      <c r="E5624" s="3" t="inlineStr">
        <is>
          <t>기타시장안내              (상장공시위원회 개최기한 연장)</t>
        </is>
      </c>
      <c r="F5624" s="3" t="inlineStr">
        <is>
          <t>유가증권시장본부</t>
        </is>
      </c>
      <c r="G5624" s="2" t="inlineStr">
        <is>
          <t>20260416800728</t>
        </is>
      </c>
      <c r="H5624" s="8">
        <f>HYPERLINK("https://dart.fss.or.kr/dsaf001/main.do?rcpNo=20260416800728", "공시열람")</f>
        <v/>
      </c>
    </row>
    <row r="5625">
      <c r="A5625" s="2" t="inlineStr">
        <is>
          <t>2026-04-16</t>
        </is>
      </c>
      <c r="B5625" s="3" t="inlineStr">
        <is>
          <t>신한서부티엔디리츠</t>
        </is>
      </c>
      <c r="C5625" s="2" t="inlineStr">
        <is>
          <t>코스피</t>
        </is>
      </c>
      <c r="D5625" s="2" t="inlineStr">
        <is>
          <t>404990</t>
        </is>
      </c>
      <c r="E5625" s="3" t="inlineStr">
        <is>
          <t xml:space="preserve">전환청구권ㆍ신주인수권ㆍ교환청구권행사              </t>
        </is>
      </c>
      <c r="F5625" s="3" t="inlineStr">
        <is>
          <t>신한서부티엔디리츠</t>
        </is>
      </c>
      <c r="G5625" s="2" t="inlineStr">
        <is>
          <t>20260416800722</t>
        </is>
      </c>
      <c r="H5625" s="8">
        <f>HYPERLINK("https://dart.fss.or.kr/dsaf001/main.do?rcpNo=20260416800722", "공시열람")</f>
        <v/>
      </c>
    </row>
    <row r="5626">
      <c r="A5626" s="2" t="inlineStr">
        <is>
          <t>2026-04-16</t>
        </is>
      </c>
      <c r="B5626" s="3" t="inlineStr">
        <is>
          <t>유일에너테크</t>
        </is>
      </c>
      <c r="C5626" s="2" t="inlineStr">
        <is>
          <t>코스닥</t>
        </is>
      </c>
      <c r="D5626" s="2" t="inlineStr">
        <is>
          <t>340930</t>
        </is>
      </c>
      <c r="E5626" s="3" t="inlineStr">
        <is>
          <t>주요사항보고서(부도발생)</t>
        </is>
      </c>
      <c r="F5626" s="3" t="inlineStr">
        <is>
          <t>유일에너테크</t>
        </is>
      </c>
      <c r="G5626" s="2" t="inlineStr">
        <is>
          <t>20260416000556</t>
        </is>
      </c>
      <c r="H5626" s="8">
        <f>HYPERLINK("https://dart.fss.or.kr/dsaf001/main.do?rcpNo=20260416000556", "공시열람")</f>
        <v/>
      </c>
    </row>
    <row r="5627">
      <c r="A5627" s="2" t="inlineStr">
        <is>
          <t>2026-04-16</t>
        </is>
      </c>
      <c r="B5627" s="3" t="inlineStr">
        <is>
          <t>지아이에스</t>
        </is>
      </c>
      <c r="C5627" s="2" t="inlineStr">
        <is>
          <t>코스닥</t>
        </is>
      </c>
      <c r="D5627" s="2" t="inlineStr">
        <is>
          <t>306620</t>
        </is>
      </c>
      <c r="E5627" s="3" t="inlineStr">
        <is>
          <t>주요사항보고서(자기전환사채매도결정)</t>
        </is>
      </c>
      <c r="F5627" s="3" t="inlineStr">
        <is>
          <t>지아이에스</t>
        </is>
      </c>
      <c r="G5627" s="2" t="inlineStr">
        <is>
          <t>20260416000554</t>
        </is>
      </c>
      <c r="H5627" s="8">
        <f>HYPERLINK("https://dart.fss.or.kr/dsaf001/main.do?rcpNo=20260416000554", "공시열람")</f>
        <v/>
      </c>
    </row>
    <row r="5628">
      <c r="A5628" s="2" t="inlineStr">
        <is>
          <t>2026-04-16</t>
        </is>
      </c>
      <c r="B5628" s="3" t="inlineStr">
        <is>
          <t>세미파이브</t>
        </is>
      </c>
      <c r="C5628" s="2" t="inlineStr">
        <is>
          <t>코스닥</t>
        </is>
      </c>
      <c r="D5628" s="2" t="inlineStr">
        <is>
          <t>490470</t>
        </is>
      </c>
      <c r="E5628" s="3" t="inlineStr">
        <is>
          <t>임원ㆍ주요주주특정증권등소유상황보고서</t>
        </is>
      </c>
      <c r="F5628" s="3" t="inlineStr">
        <is>
          <t>이정주</t>
        </is>
      </c>
      <c r="G5628" s="2" t="inlineStr">
        <is>
          <t>20260416000549</t>
        </is>
      </c>
      <c r="H5628" s="8">
        <f>HYPERLINK("https://dart.fss.or.kr/dsaf001/main.do?rcpNo=20260416000549", "공시열람")</f>
        <v/>
      </c>
    </row>
    <row r="5629">
      <c r="A5629" s="2" t="inlineStr">
        <is>
          <t>2026-04-16</t>
        </is>
      </c>
      <c r="B5629" s="3" t="inlineStr">
        <is>
          <t>세미파이브</t>
        </is>
      </c>
      <c r="C5629" s="2" t="inlineStr">
        <is>
          <t>코스닥</t>
        </is>
      </c>
      <c r="D5629" s="2" t="inlineStr">
        <is>
          <t>490470</t>
        </is>
      </c>
      <c r="E5629" s="3" t="inlineStr">
        <is>
          <t>임원ㆍ주요주주특정증권등소유상황보고서</t>
        </is>
      </c>
      <c r="F5629" s="3" t="inlineStr">
        <is>
          <t>이진언</t>
        </is>
      </c>
      <c r="G5629" s="2" t="inlineStr">
        <is>
          <t>20260416000546</t>
        </is>
      </c>
      <c r="H5629" s="8">
        <f>HYPERLINK("https://dart.fss.or.kr/dsaf001/main.do?rcpNo=20260416000546", "공시열람")</f>
        <v/>
      </c>
    </row>
    <row r="5630">
      <c r="A5630" s="2" t="inlineStr">
        <is>
          <t>2026-04-16</t>
        </is>
      </c>
      <c r="B5630" s="3" t="inlineStr">
        <is>
          <t>세미파이브</t>
        </is>
      </c>
      <c r="C5630" s="2" t="inlineStr">
        <is>
          <t>코스닥</t>
        </is>
      </c>
      <c r="D5630" s="2" t="inlineStr">
        <is>
          <t>490470</t>
        </is>
      </c>
      <c r="E5630" s="3" t="inlineStr">
        <is>
          <t>임원ㆍ주요주주특정증권등소유상황보고서</t>
        </is>
      </c>
      <c r="F5630" s="3" t="inlineStr">
        <is>
          <t>김인성</t>
        </is>
      </c>
      <c r="G5630" s="2" t="inlineStr">
        <is>
          <t>20260416000544</t>
        </is>
      </c>
      <c r="H5630" s="8">
        <f>HYPERLINK("https://dart.fss.or.kr/dsaf001/main.do?rcpNo=20260416000544", "공시열람")</f>
        <v/>
      </c>
    </row>
    <row r="5631">
      <c r="A5631" s="2" t="inlineStr">
        <is>
          <t>2026-04-16</t>
        </is>
      </c>
      <c r="B5631" s="3" t="inlineStr">
        <is>
          <t>SK네트웍스</t>
        </is>
      </c>
      <c r="C5631" s="2" t="inlineStr">
        <is>
          <t>코스피</t>
        </is>
      </c>
      <c r="D5631" s="2" t="inlineStr">
        <is>
          <t>001740</t>
        </is>
      </c>
      <c r="E5631" s="3" t="inlineStr">
        <is>
          <t>증권발행실적보고서</t>
        </is>
      </c>
      <c r="F5631" s="3" t="inlineStr">
        <is>
          <t>SK네트웍스</t>
        </is>
      </c>
      <c r="G5631" s="2" t="inlineStr">
        <is>
          <t>20260416000540</t>
        </is>
      </c>
      <c r="H5631" s="8">
        <f>HYPERLINK("https://dart.fss.or.kr/dsaf001/main.do?rcpNo=20260416000540", "공시열람")</f>
        <v/>
      </c>
    </row>
    <row r="5632">
      <c r="A5632" s="2" t="inlineStr">
        <is>
          <t>2026-04-16</t>
        </is>
      </c>
      <c r="B5632" s="3" t="inlineStr">
        <is>
          <t>대신증권</t>
        </is>
      </c>
      <c r="C5632" s="2" t="inlineStr">
        <is>
          <t>코스피</t>
        </is>
      </c>
      <c r="D5632" s="2" t="inlineStr">
        <is>
          <t>003540</t>
        </is>
      </c>
      <c r="E5632" s="3" t="inlineStr">
        <is>
          <t>증권발행실적보고서</t>
        </is>
      </c>
      <c r="F5632" s="3" t="inlineStr">
        <is>
          <t>대신증권</t>
        </is>
      </c>
      <c r="G5632" s="2" t="inlineStr">
        <is>
          <t>20260416000536</t>
        </is>
      </c>
      <c r="H5632" s="8">
        <f>HYPERLINK("https://dart.fss.or.kr/dsaf001/main.do?rcpNo=20260416000536", "공시열람")</f>
        <v/>
      </c>
    </row>
    <row r="5633">
      <c r="A5633" s="2" t="inlineStr">
        <is>
          <t>2026-04-16</t>
        </is>
      </c>
      <c r="B5633" s="3" t="inlineStr">
        <is>
          <t>아톤</t>
        </is>
      </c>
      <c r="C5633" s="2" t="inlineStr">
        <is>
          <t>코스닥</t>
        </is>
      </c>
      <c r="D5633" s="2" t="inlineStr">
        <is>
          <t>158430</t>
        </is>
      </c>
      <c r="E5633" s="3" t="inlineStr">
        <is>
          <t xml:space="preserve">교환청구권행사              </t>
        </is>
      </c>
      <c r="F5633" s="3" t="inlineStr">
        <is>
          <t>아톤</t>
        </is>
      </c>
      <c r="G5633" s="2" t="inlineStr">
        <is>
          <t>20260416900664</t>
        </is>
      </c>
      <c r="H5633" s="8">
        <f>HYPERLINK("https://dart.fss.or.kr/dsaf001/main.do?rcpNo=20260416900664", "공시열람")</f>
        <v/>
      </c>
    </row>
    <row r="5634">
      <c r="A5634" s="2" t="inlineStr">
        <is>
          <t>2026-04-16 (정정: 2026-04-16)</t>
        </is>
      </c>
      <c r="B5634" s="3" t="inlineStr">
        <is>
          <t>호텔신라</t>
        </is>
      </c>
      <c r="C5634" s="2" t="inlineStr">
        <is>
          <t>코스피</t>
        </is>
      </c>
      <c r="D5634" s="2" t="inlineStr">
        <is>
          <t>008770</t>
        </is>
      </c>
      <c r="E5634" s="3" t="inlineStr">
        <is>
          <t>[발행조건확정]증권신고서(채무증권) (정정: 20260416)</t>
        </is>
      </c>
      <c r="F5634" s="3" t="inlineStr">
        <is>
          <t>호텔신라</t>
        </is>
      </c>
      <c r="G5634" s="2" t="inlineStr">
        <is>
          <t>20260416000525</t>
        </is>
      </c>
      <c r="H5634" s="8">
        <f>HYPERLINK("https://dart.fss.or.kr/dsaf001/main.do?rcpNo=20260416000525", "공시열람")</f>
        <v/>
      </c>
    </row>
    <row r="5635">
      <c r="A5635" s="2" t="inlineStr">
        <is>
          <t>2026-04-16</t>
        </is>
      </c>
      <c r="B5635" s="3" t="inlineStr">
        <is>
          <t>대신증권</t>
        </is>
      </c>
      <c r="C5635" s="2" t="inlineStr">
        <is>
          <t>코스피</t>
        </is>
      </c>
      <c r="D5635" s="2" t="inlineStr">
        <is>
          <t>003540</t>
        </is>
      </c>
      <c r="E5635" s="3" t="inlineStr">
        <is>
          <t>증권발행실적보고서</t>
        </is>
      </c>
      <c r="F5635" s="3" t="inlineStr">
        <is>
          <t>대신증권</t>
        </is>
      </c>
      <c r="G5635" s="2" t="inlineStr">
        <is>
          <t>20260416000533</t>
        </is>
      </c>
      <c r="H5635" s="8">
        <f>HYPERLINK("https://dart.fss.or.kr/dsaf001/main.do?rcpNo=20260416000533", "공시열람")</f>
        <v/>
      </c>
    </row>
    <row r="5636">
      <c r="A5636" s="2" t="inlineStr">
        <is>
          <t>2026-04-16</t>
        </is>
      </c>
      <c r="B5636" s="3" t="inlineStr">
        <is>
          <t>대신증권</t>
        </is>
      </c>
      <c r="C5636" s="2" t="inlineStr">
        <is>
          <t>코스피</t>
        </is>
      </c>
      <c r="D5636" s="2" t="inlineStr">
        <is>
          <t>003540</t>
        </is>
      </c>
      <c r="E5636" s="3" t="inlineStr">
        <is>
          <t>투자설명서(일괄신고)</t>
        </is>
      </c>
      <c r="F5636" s="3" t="inlineStr">
        <is>
          <t>대신증권</t>
        </is>
      </c>
      <c r="G5636" s="2" t="inlineStr">
        <is>
          <t>20260416000531</t>
        </is>
      </c>
      <c r="H5636" s="8">
        <f>HYPERLINK("https://dart.fss.or.kr/dsaf001/main.do?rcpNo=20260416000531", "공시열람")</f>
        <v/>
      </c>
    </row>
    <row r="5637">
      <c r="A5637" s="2" t="inlineStr">
        <is>
          <t>2026-04-16</t>
        </is>
      </c>
      <c r="B5637" s="3" t="inlineStr">
        <is>
          <t>드림시큐리티</t>
        </is>
      </c>
      <c r="C5637" s="2" t="inlineStr">
        <is>
          <t>코스닥</t>
        </is>
      </c>
      <c r="D5637" s="2" t="inlineStr">
        <is>
          <t>203650</t>
        </is>
      </c>
      <c r="E5637" s="3" t="inlineStr">
        <is>
          <t xml:space="preserve">전환청구권행사              </t>
        </is>
      </c>
      <c r="F5637" s="3" t="inlineStr">
        <is>
          <t>드림시큐리티</t>
        </is>
      </c>
      <c r="G5637" s="2" t="inlineStr">
        <is>
          <t>20260416900659</t>
        </is>
      </c>
      <c r="H5637" s="8">
        <f>HYPERLINK("https://dart.fss.or.kr/dsaf001/main.do?rcpNo=20260416900659", "공시열람")</f>
        <v/>
      </c>
    </row>
    <row r="5638">
      <c r="A5638" s="2" t="inlineStr">
        <is>
          <t>2026-04-16</t>
        </is>
      </c>
      <c r="B5638" s="3" t="inlineStr">
        <is>
          <t>대신증권</t>
        </is>
      </c>
      <c r="C5638" s="2" t="inlineStr">
        <is>
          <t>코스피</t>
        </is>
      </c>
      <c r="D5638" s="2" t="inlineStr">
        <is>
          <t>003540</t>
        </is>
      </c>
      <c r="E5638" s="3" t="inlineStr">
        <is>
          <t>투자설명서(일괄신고)</t>
        </is>
      </c>
      <c r="F5638" s="3" t="inlineStr">
        <is>
          <t>대신증권</t>
        </is>
      </c>
      <c r="G5638" s="2" t="inlineStr">
        <is>
          <t>20260416000527</t>
        </is>
      </c>
      <c r="H5638" s="8">
        <f>HYPERLINK("https://dart.fss.or.kr/dsaf001/main.do?rcpNo=20260416000527", "공시열람")</f>
        <v/>
      </c>
    </row>
    <row r="5639">
      <c r="A5639" s="2" t="inlineStr">
        <is>
          <t>2026-04-16</t>
        </is>
      </c>
      <c r="B5639" s="3" t="inlineStr">
        <is>
          <t>한울앤제주</t>
        </is>
      </c>
      <c r="C5639" s="2" t="inlineStr">
        <is>
          <t>코스닥</t>
        </is>
      </c>
      <c r="D5639" s="2" t="inlineStr">
        <is>
          <t>276730</t>
        </is>
      </c>
      <c r="E5639" s="3" t="inlineStr">
        <is>
          <t xml:space="preserve">감자완료              </t>
        </is>
      </c>
      <c r="F5639" s="3" t="inlineStr">
        <is>
          <t>한울앤제주</t>
        </is>
      </c>
      <c r="G5639" s="2" t="inlineStr">
        <is>
          <t>20260416900643</t>
        </is>
      </c>
      <c r="H5639" s="8">
        <f>HYPERLINK("https://dart.fss.or.kr/dsaf001/main.do?rcpNo=20260416900643", "공시열람")</f>
        <v/>
      </c>
    </row>
    <row r="5640">
      <c r="A5640" s="2" t="inlineStr">
        <is>
          <t>2026-04-16</t>
        </is>
      </c>
      <c r="B5640" s="3" t="inlineStr">
        <is>
          <t>동양생명</t>
        </is>
      </c>
      <c r="C5640" s="2" t="inlineStr">
        <is>
          <t>코스피</t>
        </is>
      </c>
      <c r="D5640" s="2" t="inlineStr">
        <is>
          <t>082640</t>
        </is>
      </c>
      <c r="E5640" s="3" t="inlineStr">
        <is>
          <t xml:space="preserve">조회공시요구(풍문또는보도)에대한답변(미확정)              </t>
        </is>
      </c>
      <c r="F5640" s="3" t="inlineStr">
        <is>
          <t>동양생명</t>
        </is>
      </c>
      <c r="G5640" s="2" t="inlineStr">
        <is>
          <t>20260416800620</t>
        </is>
      </c>
      <c r="H5640" s="8">
        <f>HYPERLINK("https://dart.fss.or.kr/dsaf001/main.do?rcpNo=20260416800620", "공시열람")</f>
        <v/>
      </c>
    </row>
    <row r="5641">
      <c r="A5641" s="2" t="inlineStr">
        <is>
          <t>2026-04-16</t>
        </is>
      </c>
      <c r="B5641" s="3" t="inlineStr">
        <is>
          <t>우리금융지주</t>
        </is>
      </c>
      <c r="C5641" s="2" t="inlineStr">
        <is>
          <t>코스피</t>
        </is>
      </c>
      <c r="D5641" s="2" t="inlineStr">
        <is>
          <t>316140</t>
        </is>
      </c>
      <c r="E5641" s="3" t="inlineStr">
        <is>
          <t xml:space="preserve">조회공시요구(풍문또는보도)에대한답변(미확정)              </t>
        </is>
      </c>
      <c r="F5641" s="3" t="inlineStr">
        <is>
          <t>우리금융지주</t>
        </is>
      </c>
      <c r="G5641" s="2" t="inlineStr">
        <is>
          <t>20260416800650</t>
        </is>
      </c>
      <c r="H5641" s="8">
        <f>HYPERLINK("https://dart.fss.or.kr/dsaf001/main.do?rcpNo=20260416800650", "공시열람")</f>
        <v/>
      </c>
    </row>
    <row r="5642">
      <c r="A5642" s="2" t="inlineStr">
        <is>
          <t>2026-04-16</t>
        </is>
      </c>
      <c r="B5642" s="3" t="inlineStr">
        <is>
          <t>에이프로젠</t>
        </is>
      </c>
      <c r="C5642" s="2" t="inlineStr">
        <is>
          <t>코스피</t>
        </is>
      </c>
      <c r="D5642" s="2" t="inlineStr">
        <is>
          <t>007460</t>
        </is>
      </c>
      <c r="E5642" s="3" t="inlineStr">
        <is>
          <t>[기재정정]주식매수선택권부여에관한신고</t>
        </is>
      </c>
      <c r="F5642" s="3" t="inlineStr">
        <is>
          <t>에이프로젠</t>
        </is>
      </c>
      <c r="G5642" s="2" t="inlineStr">
        <is>
          <t>20260416000520</t>
        </is>
      </c>
      <c r="H5642" s="8">
        <f>HYPERLINK("https://dart.fss.or.kr/dsaf001/main.do?rcpNo=20260416000520", "공시열람")</f>
        <v/>
      </c>
    </row>
    <row r="5643">
      <c r="A5643" s="2" t="inlineStr">
        <is>
          <t>2026-04-16</t>
        </is>
      </c>
      <c r="B5643" s="3" t="inlineStr">
        <is>
          <t>서울평가정보</t>
        </is>
      </c>
      <c r="C5643" s="2" t="inlineStr">
        <is>
          <t>코스닥</t>
        </is>
      </c>
      <c r="D5643" s="2" t="inlineStr">
        <is>
          <t>036120</t>
        </is>
      </c>
      <c r="E5643" s="3" t="inlineStr">
        <is>
          <t>임원ㆍ주요주주특정증권등소유상황보고서</t>
        </is>
      </c>
      <c r="F5643" s="3" t="inlineStr">
        <is>
          <t>문재우</t>
        </is>
      </c>
      <c r="G5643" s="2" t="inlineStr">
        <is>
          <t>20260416000518</t>
        </is>
      </c>
      <c r="H5643" s="8">
        <f>HYPERLINK("https://dart.fss.or.kr/dsaf001/main.do?rcpNo=20260416000518", "공시열람")</f>
        <v/>
      </c>
    </row>
    <row r="5644">
      <c r="A5644" s="2" t="inlineStr">
        <is>
          <t>2026-04-16 (정정: 2026-04-16)</t>
        </is>
      </c>
      <c r="B5644" s="3" t="inlineStr">
        <is>
          <t>남성</t>
        </is>
      </c>
      <c r="C5644" s="2" t="inlineStr">
        <is>
          <t>코스피</t>
        </is>
      </c>
      <c r="D5644" s="2" t="inlineStr">
        <is>
          <t>004270</t>
        </is>
      </c>
      <c r="E5644" s="3" t="inlineStr">
        <is>
          <t>전환가액ㆍ신주인수권행사가액ㆍ교환가액의조정(안내공시)               (정정: 20260416)</t>
        </is>
      </c>
      <c r="F5644" s="3" t="inlineStr">
        <is>
          <t>남성</t>
        </is>
      </c>
      <c r="G5644" s="2" t="inlineStr">
        <is>
          <t>20260416000501</t>
        </is>
      </c>
      <c r="H5644" s="8">
        <f>HYPERLINK("https://dart.fss.or.kr/dsaf001/main.do?rcpNo=20260416000501", "공시열람")</f>
        <v/>
      </c>
    </row>
    <row r="5645">
      <c r="A5645" s="2" t="inlineStr">
        <is>
          <t>2026-04-16</t>
        </is>
      </c>
      <c r="B5645" s="3" t="inlineStr">
        <is>
          <t>유일에너테크</t>
        </is>
      </c>
      <c r="C5645" s="2" t="inlineStr">
        <is>
          <t>코스닥</t>
        </is>
      </c>
      <c r="D5645" s="2" t="inlineStr">
        <is>
          <t>340930</t>
        </is>
      </c>
      <c r="E5645" s="3" t="inlineStr">
        <is>
          <t>기타경영사항(자율공시)              (재산보전처분 및 포괄금지명령 신청에 대한 결정)</t>
        </is>
      </c>
      <c r="F5645" s="3" t="inlineStr">
        <is>
          <t>유일에너테크</t>
        </is>
      </c>
      <c r="G5645" s="2" t="inlineStr">
        <is>
          <t>20260416900615</t>
        </is>
      </c>
      <c r="H5645" s="8">
        <f>HYPERLINK("https://dart.fss.or.kr/dsaf001/main.do?rcpNo=20260416900615", "공시열람")</f>
        <v/>
      </c>
    </row>
    <row r="5646">
      <c r="A5646" s="2" t="inlineStr">
        <is>
          <t>2026-04-16</t>
        </is>
      </c>
      <c r="B5646" s="3" t="inlineStr">
        <is>
          <t>신영증권</t>
        </is>
      </c>
      <c r="C5646" s="2" t="inlineStr">
        <is>
          <t>코스피</t>
        </is>
      </c>
      <c r="D5646" s="2" t="inlineStr">
        <is>
          <t>001720</t>
        </is>
      </c>
      <c r="E5646" s="3" t="inlineStr">
        <is>
          <t>투자설명서(일괄신고)</t>
        </is>
      </c>
      <c r="F5646" s="3" t="inlineStr">
        <is>
          <t>신영증권</t>
        </is>
      </c>
      <c r="G5646" s="2" t="inlineStr">
        <is>
          <t>20260416000514</t>
        </is>
      </c>
      <c r="H5646" s="8">
        <f>HYPERLINK("https://dart.fss.or.kr/dsaf001/main.do?rcpNo=20260416000514", "공시열람")</f>
        <v/>
      </c>
    </row>
    <row r="5647">
      <c r="A5647" s="2" t="inlineStr">
        <is>
          <t>2026-04-16</t>
        </is>
      </c>
      <c r="B5647" s="3" t="inlineStr">
        <is>
          <t>대신증권</t>
        </is>
      </c>
      <c r="C5647" s="2" t="inlineStr">
        <is>
          <t>코스피</t>
        </is>
      </c>
      <c r="D5647" s="2" t="inlineStr">
        <is>
          <t>003540</t>
        </is>
      </c>
      <c r="E5647" s="3" t="inlineStr">
        <is>
          <t>일괄신고추가서류(기타파생결합사채)</t>
        </is>
      </c>
      <c r="F5647" s="3" t="inlineStr">
        <is>
          <t>대신증권</t>
        </is>
      </c>
      <c r="G5647" s="2" t="inlineStr">
        <is>
          <t>20260416000513</t>
        </is>
      </c>
      <c r="H5647" s="8">
        <f>HYPERLINK("https://dart.fss.or.kr/dsaf001/main.do?rcpNo=20260416000513", "공시열람")</f>
        <v/>
      </c>
    </row>
    <row r="5648">
      <c r="A5648" s="2" t="inlineStr">
        <is>
          <t>2026-04-16</t>
        </is>
      </c>
      <c r="B5648" s="3" t="inlineStr">
        <is>
          <t>KC그린홀딩스</t>
        </is>
      </c>
      <c r="C5648" s="2" t="inlineStr">
        <is>
          <t>코스피</t>
        </is>
      </c>
      <c r="D5648" s="2" t="inlineStr">
        <is>
          <t>009440</t>
        </is>
      </c>
      <c r="E5648" s="3" t="inlineStr">
        <is>
          <t xml:space="preserve">투자판단관련주요경영사항(자회사의 주요경영사항)              </t>
        </is>
      </c>
      <c r="F5648" s="3" t="inlineStr">
        <is>
          <t>KC그린홀딩스</t>
        </is>
      </c>
      <c r="G5648" s="2" t="inlineStr">
        <is>
          <t>20260416800627</t>
        </is>
      </c>
      <c r="H5648" s="8">
        <f>HYPERLINK("https://dart.fss.or.kr/dsaf001/main.do?rcpNo=20260416800627", "공시열람")</f>
        <v/>
      </c>
    </row>
    <row r="5649">
      <c r="A5649" s="2" t="inlineStr">
        <is>
          <t>2026-04-16</t>
        </is>
      </c>
      <c r="B5649" s="3" t="inlineStr">
        <is>
          <t>HLB제넥스</t>
        </is>
      </c>
      <c r="C5649" s="2" t="inlineStr">
        <is>
          <t>코스닥</t>
        </is>
      </c>
      <c r="D5649" s="2" t="inlineStr">
        <is>
          <t>187420</t>
        </is>
      </c>
      <c r="E5649" s="3" t="inlineStr">
        <is>
          <t>임원ㆍ주요주주특정증권등소유상황보고서</t>
        </is>
      </c>
      <c r="F5649" s="3" t="inlineStr">
        <is>
          <t>진양곤</t>
        </is>
      </c>
      <c r="G5649" s="2" t="inlineStr">
        <is>
          <t>20260416000511</t>
        </is>
      </c>
      <c r="H5649" s="8">
        <f>HYPERLINK("https://dart.fss.or.kr/dsaf001/main.do?rcpNo=20260416000511", "공시열람")</f>
        <v/>
      </c>
    </row>
    <row r="5650">
      <c r="A5650" s="2" t="inlineStr">
        <is>
          <t>2026-04-16</t>
        </is>
      </c>
      <c r="B5650" s="3" t="inlineStr">
        <is>
          <t>HDC</t>
        </is>
      </c>
      <c r="C5650" s="2" t="inlineStr">
        <is>
          <t>코스피</t>
        </is>
      </c>
      <c r="D5650" s="2" t="inlineStr">
        <is>
          <t>012630</t>
        </is>
      </c>
      <c r="E5650" s="3" t="inlineStr">
        <is>
          <t xml:space="preserve">회생절차개시신청(자회사의 주요경영사항)              </t>
        </is>
      </c>
      <c r="F5650" s="3" t="inlineStr">
        <is>
          <t>HDC</t>
        </is>
      </c>
      <c r="G5650" s="2" t="inlineStr">
        <is>
          <t>20260416800594</t>
        </is>
      </c>
      <c r="H5650" s="8">
        <f>HYPERLINK("https://dart.fss.or.kr/dsaf001/main.do?rcpNo=20260416800594", "공시열람")</f>
        <v/>
      </c>
    </row>
    <row r="5651">
      <c r="A5651" s="2" t="inlineStr">
        <is>
          <t>2026-04-16</t>
        </is>
      </c>
      <c r="B5651" s="3" t="inlineStr">
        <is>
          <t>프리티</t>
        </is>
      </c>
      <c r="C5651" s="2" t="inlineStr">
        <is>
          <t>코스피</t>
        </is>
      </c>
      <c r="D5651" s="2" t="inlineStr">
        <is>
          <t>006490</t>
        </is>
      </c>
      <c r="E5651" s="3" t="inlineStr">
        <is>
          <t>소액공모공시서류(지분증권)</t>
        </is>
      </c>
      <c r="F5651" s="3" t="inlineStr">
        <is>
          <t>프리티</t>
        </is>
      </c>
      <c r="G5651" s="2" t="inlineStr">
        <is>
          <t>20260416000509</t>
        </is>
      </c>
      <c r="H5651" s="8">
        <f>HYPERLINK("https://dart.fss.or.kr/dsaf001/main.do?rcpNo=20260416000509", "공시열람")</f>
        <v/>
      </c>
    </row>
    <row r="5652">
      <c r="A5652" s="2" t="inlineStr">
        <is>
          <t>2026-04-16 (정정: 2026-06-26)</t>
        </is>
      </c>
      <c r="B5652" s="3" t="inlineStr">
        <is>
          <t>한화갤러리아</t>
        </is>
      </c>
      <c r="C5652" s="2" t="inlineStr">
        <is>
          <t>코스피</t>
        </is>
      </c>
      <c r="D5652" s="2" t="inlineStr">
        <is>
          <t>452260</t>
        </is>
      </c>
      <c r="E5652" s="3" t="inlineStr">
        <is>
          <t>특수관계인에대한출자 (정정: 20260626)</t>
        </is>
      </c>
      <c r="F5652" s="3" t="inlineStr">
        <is>
          <t>한화갤러리아</t>
        </is>
      </c>
      <c r="G5652" s="2" t="inlineStr">
        <is>
          <t>20260626000716</t>
        </is>
      </c>
      <c r="H5652" s="8">
        <f>HYPERLINK("https://dart.fss.or.kr/dsaf001/main.do?rcpNo=20260626000716", "공시열람")</f>
        <v/>
      </c>
    </row>
    <row r="5653">
      <c r="A5653" s="2" t="inlineStr">
        <is>
          <t>2026-04-16</t>
        </is>
      </c>
      <c r="B5653" s="3" t="inlineStr">
        <is>
          <t>유틸렉스</t>
        </is>
      </c>
      <c r="C5653" s="2" t="inlineStr">
        <is>
          <t>코스닥</t>
        </is>
      </c>
      <c r="D5653" s="2" t="inlineStr">
        <is>
          <t>263050</t>
        </is>
      </c>
      <c r="E5653" s="3" t="inlineStr">
        <is>
          <t>기타시장안내              (개선계획서 제출)</t>
        </is>
      </c>
      <c r="F5653" s="3" t="inlineStr">
        <is>
          <t>코스닥시장본부</t>
        </is>
      </c>
      <c r="G5653" s="2" t="inlineStr">
        <is>
          <t>20260416900619</t>
        </is>
      </c>
      <c r="H5653" s="8">
        <f>HYPERLINK("https://dart.fss.or.kr/dsaf001/main.do?rcpNo=20260416900619", "공시열람")</f>
        <v/>
      </c>
    </row>
    <row r="5654">
      <c r="A5654" s="2" t="inlineStr">
        <is>
          <t>2026-04-16</t>
        </is>
      </c>
      <c r="B5654" s="3" t="inlineStr">
        <is>
          <t>인크레더블버즈</t>
        </is>
      </c>
      <c r="C5654" s="2" t="inlineStr">
        <is>
          <t>코스닥</t>
        </is>
      </c>
      <c r="D5654" s="2" t="inlineStr">
        <is>
          <t>064090</t>
        </is>
      </c>
      <c r="E5654" s="3" t="inlineStr">
        <is>
          <t>기타시장안내              (개선계획서 제출)</t>
        </is>
      </c>
      <c r="F5654" s="3" t="inlineStr">
        <is>
          <t>코스닥시장본부</t>
        </is>
      </c>
      <c r="G5654" s="2" t="inlineStr">
        <is>
          <t>20260416900610</t>
        </is>
      </c>
      <c r="H5654" s="8">
        <f>HYPERLINK("https://dart.fss.or.kr/dsaf001/main.do?rcpNo=20260416900610", "공시열람")</f>
        <v/>
      </c>
    </row>
    <row r="5655">
      <c r="A5655" s="2" t="inlineStr">
        <is>
          <t>2026-04-16</t>
        </is>
      </c>
      <c r="B5655" s="3" t="inlineStr">
        <is>
          <t>알엔티엑스</t>
        </is>
      </c>
      <c r="C5655" s="2" t="inlineStr">
        <is>
          <t>코스닥</t>
        </is>
      </c>
      <c r="D5655" s="2" t="inlineStr">
        <is>
          <t>123010</t>
        </is>
      </c>
      <c r="E5655" s="3" t="inlineStr">
        <is>
          <t xml:space="preserve">전환청구권행사              </t>
        </is>
      </c>
      <c r="F5655" s="3" t="inlineStr">
        <is>
          <t>알엔티엑스</t>
        </is>
      </c>
      <c r="G5655" s="2" t="inlineStr">
        <is>
          <t>20260416900618</t>
        </is>
      </c>
      <c r="H5655" s="8">
        <f>HYPERLINK("https://dart.fss.or.kr/dsaf001/main.do?rcpNo=20260416900618", "공시열람")</f>
        <v/>
      </c>
    </row>
    <row r="5656">
      <c r="A5656" s="2" t="inlineStr">
        <is>
          <t>2026-04-16</t>
        </is>
      </c>
      <c r="B5656" s="3" t="inlineStr">
        <is>
          <t>롯데하이마트</t>
        </is>
      </c>
      <c r="C5656" s="2" t="inlineStr">
        <is>
          <t>코스피</t>
        </is>
      </c>
      <c r="D5656" s="2" t="inlineStr">
        <is>
          <t>071840</t>
        </is>
      </c>
      <c r="E5656" s="3" t="inlineStr">
        <is>
          <t>증권신고서(채무증권)</t>
        </is>
      </c>
      <c r="F5656" s="3" t="inlineStr">
        <is>
          <t>롯데하이마트</t>
        </is>
      </c>
      <c r="G5656" s="2" t="inlineStr">
        <is>
          <t>20260416000495</t>
        </is>
      </c>
      <c r="H5656" s="8">
        <f>HYPERLINK("https://dart.fss.or.kr/dsaf001/main.do?rcpNo=20260416000495", "공시열람")</f>
        <v/>
      </c>
    </row>
    <row r="5657">
      <c r="A5657" s="2" t="inlineStr">
        <is>
          <t>2026-04-16 (정정: 2026-06-04)</t>
        </is>
      </c>
      <c r="B5657" s="3" t="inlineStr">
        <is>
          <t>하이드로리튬</t>
        </is>
      </c>
      <c r="C5657" s="2" t="inlineStr">
        <is>
          <t>코스닥</t>
        </is>
      </c>
      <c r="D5657" s="2" t="inlineStr">
        <is>
          <t>101670</t>
        </is>
      </c>
      <c r="E5657" s="3" t="inlineStr">
        <is>
          <t>주요사항보고서(자기주식처분결정) (정정: 20260604)</t>
        </is>
      </c>
      <c r="F5657" s="3" t="inlineStr">
        <is>
          <t>하이드로리튬</t>
        </is>
      </c>
      <c r="G5657" s="2" t="inlineStr">
        <is>
          <t>20260604000319</t>
        </is>
      </c>
      <c r="H5657" s="8">
        <f>HYPERLINK("https://dart.fss.or.kr/dsaf001/main.do?rcpNo=20260604000319", "공시열람")</f>
        <v/>
      </c>
    </row>
    <row r="5658">
      <c r="A5658" s="2" t="inlineStr">
        <is>
          <t>2026-04-16</t>
        </is>
      </c>
      <c r="B5658" s="3" t="inlineStr">
        <is>
          <t>카카오</t>
        </is>
      </c>
      <c r="C5658" s="2" t="inlineStr">
        <is>
          <t>코스피</t>
        </is>
      </c>
      <c r="D5658" s="2" t="inlineStr">
        <is>
          <t>035720</t>
        </is>
      </c>
      <c r="E5658" s="3" t="inlineStr">
        <is>
          <t>임원ㆍ주요주주특정증권등소유상황보고서</t>
        </is>
      </c>
      <c r="F5658" s="3" t="inlineStr">
        <is>
          <t>권대열</t>
        </is>
      </c>
      <c r="G5658" s="2" t="inlineStr">
        <is>
          <t>20260416000489</t>
        </is>
      </c>
      <c r="H5658" s="8">
        <f>HYPERLINK("https://dart.fss.or.kr/dsaf001/main.do?rcpNo=20260416000489", "공시열람")</f>
        <v/>
      </c>
    </row>
    <row r="5659">
      <c r="A5659" s="2" t="inlineStr">
        <is>
          <t>2026-04-16</t>
        </is>
      </c>
      <c r="B5659" s="3" t="inlineStr">
        <is>
          <t>동아쏘시오홀딩스</t>
        </is>
      </c>
      <c r="C5659" s="2" t="inlineStr">
        <is>
          <t>코스피</t>
        </is>
      </c>
      <c r="D5659" s="2" t="inlineStr">
        <is>
          <t>000640</t>
        </is>
      </c>
      <c r="E5659" s="3" t="inlineStr">
        <is>
          <t xml:space="preserve">투자판단관련주요경영사항(자회사의 주요경영사항)              </t>
        </is>
      </c>
      <c r="F5659" s="3" t="inlineStr">
        <is>
          <t>동아쏘시오홀딩스</t>
        </is>
      </c>
      <c r="G5659" s="2" t="inlineStr">
        <is>
          <t>20260416800605</t>
        </is>
      </c>
      <c r="H5659" s="8">
        <f>HYPERLINK("https://dart.fss.or.kr/dsaf001/main.do?rcpNo=20260416800605", "공시열람")</f>
        <v/>
      </c>
    </row>
    <row r="5660">
      <c r="A5660" s="2" t="inlineStr">
        <is>
          <t>2026-04-16</t>
        </is>
      </c>
      <c r="B5660" s="3" t="inlineStr">
        <is>
          <t>동아에스티</t>
        </is>
      </c>
      <c r="C5660" s="2" t="inlineStr">
        <is>
          <t>코스피</t>
        </is>
      </c>
      <c r="D5660" s="2" t="inlineStr">
        <is>
          <t>170900</t>
        </is>
      </c>
      <c r="E5660" s="3" t="inlineStr">
        <is>
          <t xml:space="preserve">투자판단관련주요경영사항              </t>
        </is>
      </c>
      <c r="F5660" s="3" t="inlineStr">
        <is>
          <t>동아에스티</t>
        </is>
      </c>
      <c r="G5660" s="2" t="inlineStr">
        <is>
          <t>20260416800579</t>
        </is>
      </c>
      <c r="H5660" s="8">
        <f>HYPERLINK("https://dart.fss.or.kr/dsaf001/main.do?rcpNo=20260416800579", "공시열람")</f>
        <v/>
      </c>
    </row>
    <row r="5661">
      <c r="A5661" s="2" t="inlineStr">
        <is>
          <t>2026-04-16</t>
        </is>
      </c>
      <c r="B5661" s="3" t="inlineStr">
        <is>
          <t>와이바이오로직스</t>
        </is>
      </c>
      <c r="C5661" s="2" t="inlineStr">
        <is>
          <t>코스닥</t>
        </is>
      </c>
      <c r="D5661" s="2" t="inlineStr">
        <is>
          <t>338840</t>
        </is>
      </c>
      <c r="E5661" s="3" t="inlineStr">
        <is>
          <t>임원ㆍ주요주주특정증권등소유상황보고서</t>
        </is>
      </c>
      <c r="F5661" s="3" t="inlineStr">
        <is>
          <t>장우익</t>
        </is>
      </c>
      <c r="G5661" s="2" t="inlineStr">
        <is>
          <t>20260416000484</t>
        </is>
      </c>
      <c r="H5661" s="8">
        <f>HYPERLINK("https://dart.fss.or.kr/dsaf001/main.do?rcpNo=20260416000484", "공시열람")</f>
        <v/>
      </c>
    </row>
    <row r="5662">
      <c r="A5662" s="2" t="inlineStr">
        <is>
          <t>2026-04-16</t>
        </is>
      </c>
      <c r="B5662" s="3" t="inlineStr">
        <is>
          <t>카카오</t>
        </is>
      </c>
      <c r="C5662" s="2" t="inlineStr">
        <is>
          <t>코스피</t>
        </is>
      </c>
      <c r="D5662" s="2" t="inlineStr">
        <is>
          <t>035720</t>
        </is>
      </c>
      <c r="E5662" s="3" t="inlineStr">
        <is>
          <t>임원ㆍ주요주주특정증권등소유상황보고서</t>
        </is>
      </c>
      <c r="F5662" s="3" t="inlineStr">
        <is>
          <t>임원기</t>
        </is>
      </c>
      <c r="G5662" s="2" t="inlineStr">
        <is>
          <t>20260416000482</t>
        </is>
      </c>
      <c r="H5662" s="8">
        <f>HYPERLINK("https://dart.fss.or.kr/dsaf001/main.do?rcpNo=20260416000482", "공시열람")</f>
        <v/>
      </c>
    </row>
    <row r="5663">
      <c r="A5663" s="2" t="inlineStr">
        <is>
          <t>2026-04-16</t>
        </is>
      </c>
      <c r="B5663" s="3" t="inlineStr">
        <is>
          <t>판타지오</t>
        </is>
      </c>
      <c r="C5663" s="2" t="inlineStr">
        <is>
          <t>코스닥</t>
        </is>
      </c>
      <c r="D5663" s="2" t="inlineStr">
        <is>
          <t>032800</t>
        </is>
      </c>
      <c r="E5663" s="3" t="inlineStr">
        <is>
          <t xml:space="preserve">감자완료              </t>
        </is>
      </c>
      <c r="F5663" s="3" t="inlineStr">
        <is>
          <t>판타지오</t>
        </is>
      </c>
      <c r="G5663" s="2" t="inlineStr">
        <is>
          <t>20260416900518</t>
        </is>
      </c>
      <c r="H5663" s="8">
        <f>HYPERLINK("https://dart.fss.or.kr/dsaf001/main.do?rcpNo=20260416900518", "공시열람")</f>
        <v/>
      </c>
    </row>
    <row r="5664">
      <c r="A5664" s="2" t="inlineStr">
        <is>
          <t>2026-04-16</t>
        </is>
      </c>
      <c r="B5664" s="3" t="inlineStr">
        <is>
          <t>카카오</t>
        </is>
      </c>
      <c r="C5664" s="2" t="inlineStr">
        <is>
          <t>코스피</t>
        </is>
      </c>
      <c r="D5664" s="2" t="inlineStr">
        <is>
          <t>035720</t>
        </is>
      </c>
      <c r="E5664" s="3" t="inlineStr">
        <is>
          <t>주요사항보고서(자기주식처분결정)</t>
        </is>
      </c>
      <c r="F5664" s="3" t="inlineStr">
        <is>
          <t>카카오</t>
        </is>
      </c>
      <c r="G5664" s="2" t="inlineStr">
        <is>
          <t>20260416000444</t>
        </is>
      </c>
      <c r="H5664" s="8">
        <f>HYPERLINK("https://dart.fss.or.kr/dsaf001/main.do?rcpNo=20260416000444", "공시열람")</f>
        <v/>
      </c>
    </row>
    <row r="5665">
      <c r="A5665" s="2" t="inlineStr">
        <is>
          <t>2026-04-16</t>
        </is>
      </c>
      <c r="B5665" s="3" t="inlineStr">
        <is>
          <t>에이프로젠</t>
        </is>
      </c>
      <c r="C5665" s="2" t="inlineStr">
        <is>
          <t>코스피</t>
        </is>
      </c>
      <c r="D5665" s="2" t="inlineStr">
        <is>
          <t>007460</t>
        </is>
      </c>
      <c r="E5665" s="3" t="inlineStr">
        <is>
          <t>[기재정정]주식매수선택권부여에관한신고</t>
        </is>
      </c>
      <c r="F5665" s="3" t="inlineStr">
        <is>
          <t>에이프로젠</t>
        </is>
      </c>
      <c r="G5665" s="2" t="inlineStr">
        <is>
          <t>20260416000476</t>
        </is>
      </c>
      <c r="H5665" s="8">
        <f>HYPERLINK("https://dart.fss.or.kr/dsaf001/main.do?rcpNo=20260416000476", "공시열람")</f>
        <v/>
      </c>
    </row>
    <row r="5666">
      <c r="A5666" s="2" t="inlineStr">
        <is>
          <t>2026-04-16</t>
        </is>
      </c>
      <c r="B5666" s="3" t="inlineStr">
        <is>
          <t>한화솔루션</t>
        </is>
      </c>
      <c r="C5666" s="2" t="inlineStr">
        <is>
          <t>코스피</t>
        </is>
      </c>
      <c r="D5666" s="2" t="inlineStr">
        <is>
          <t>009830</t>
        </is>
      </c>
      <c r="E5666" s="3" t="inlineStr">
        <is>
          <t>임원ㆍ주요주주특정증권등소유상황보고서</t>
        </is>
      </c>
      <c r="F5666" s="3" t="inlineStr">
        <is>
          <t>김기홍</t>
        </is>
      </c>
      <c r="G5666" s="2" t="inlineStr">
        <is>
          <t>20260416000475</t>
        </is>
      </c>
      <c r="H5666" s="8">
        <f>HYPERLINK("https://dart.fss.or.kr/dsaf001/main.do?rcpNo=20260416000475", "공시열람")</f>
        <v/>
      </c>
    </row>
    <row r="5667">
      <c r="A5667" s="2" t="inlineStr">
        <is>
          <t>2026-04-16</t>
        </is>
      </c>
      <c r="B5667" s="3" t="inlineStr">
        <is>
          <t>효성중공업</t>
        </is>
      </c>
      <c r="C5667" s="2" t="inlineStr">
        <is>
          <t>코스피</t>
        </is>
      </c>
      <c r="D5667" s="2" t="inlineStr">
        <is>
          <t>298040</t>
        </is>
      </c>
      <c r="E5667" s="3" t="inlineStr">
        <is>
          <t>임원ㆍ주요주주특정증권등소유상황보고서</t>
        </is>
      </c>
      <c r="F5667" s="3" t="inlineStr">
        <is>
          <t>조현상</t>
        </is>
      </c>
      <c r="G5667" s="2" t="inlineStr">
        <is>
          <t>20260416000472</t>
        </is>
      </c>
      <c r="H5667" s="8">
        <f>HYPERLINK("https://dart.fss.or.kr/dsaf001/main.do?rcpNo=20260416000472", "공시열람")</f>
        <v/>
      </c>
    </row>
    <row r="5668">
      <c r="A5668" s="2" t="inlineStr">
        <is>
          <t>2026-04-16</t>
        </is>
      </c>
      <c r="B5668" s="3" t="inlineStr">
        <is>
          <t>NH올원리츠</t>
        </is>
      </c>
      <c r="C5668" s="2" t="inlineStr">
        <is>
          <t>코스피</t>
        </is>
      </c>
      <c r="D5668" s="2" t="inlineStr">
        <is>
          <t>400760</t>
        </is>
      </c>
      <c r="E5668" s="3" t="inlineStr">
        <is>
          <t xml:space="preserve">기타경영사항(자율공시)              </t>
        </is>
      </c>
      <c r="F5668" s="3" t="inlineStr">
        <is>
          <t>NH올원리츠</t>
        </is>
      </c>
      <c r="G5668" s="2" t="inlineStr">
        <is>
          <t>20260416800544</t>
        </is>
      </c>
      <c r="H5668" s="8">
        <f>HYPERLINK("https://dart.fss.or.kr/dsaf001/main.do?rcpNo=20260416800544", "공시열람")</f>
        <v/>
      </c>
    </row>
    <row r="5669">
      <c r="A5669" s="2" t="inlineStr">
        <is>
          <t>2026-04-16</t>
        </is>
      </c>
      <c r="B5669" s="3" t="inlineStr">
        <is>
          <t>카카오</t>
        </is>
      </c>
      <c r="C5669" s="2" t="inlineStr">
        <is>
          <t>코스피</t>
        </is>
      </c>
      <c r="D5669" s="2" t="inlineStr">
        <is>
          <t>035720</t>
        </is>
      </c>
      <c r="E5669" s="3" t="inlineStr">
        <is>
          <t>임원ㆍ주요주주특정증권등소유상황보고서</t>
        </is>
      </c>
      <c r="F5669" s="3" t="inlineStr">
        <is>
          <t>황선아</t>
        </is>
      </c>
      <c r="G5669" s="2" t="inlineStr">
        <is>
          <t>20260416000469</t>
        </is>
      </c>
      <c r="H5669" s="8">
        <f>HYPERLINK("https://dart.fss.or.kr/dsaf001/main.do?rcpNo=20260416000469", "공시열람")</f>
        <v/>
      </c>
    </row>
    <row r="5670">
      <c r="A5670" s="2" t="inlineStr">
        <is>
          <t>2026-04-16</t>
        </is>
      </c>
      <c r="B5670" s="3" t="inlineStr">
        <is>
          <t>코람코라이프인프라리츠</t>
        </is>
      </c>
      <c r="C5670" s="2" t="inlineStr">
        <is>
          <t>코스피</t>
        </is>
      </c>
      <c r="D5670" s="2" t="inlineStr">
        <is>
          <t>357120</t>
        </is>
      </c>
      <c r="E5670" s="3" t="inlineStr">
        <is>
          <t xml:space="preserve">부동산투자회사부동산처분              </t>
        </is>
      </c>
      <c r="F5670" s="3" t="inlineStr">
        <is>
          <t>코람코라이프인프라리츠</t>
        </is>
      </c>
      <c r="G5670" s="2" t="inlineStr">
        <is>
          <t>20260416800559</t>
        </is>
      </c>
      <c r="H5670" s="8">
        <f>HYPERLINK("https://dart.fss.or.kr/dsaf001/main.do?rcpNo=20260416800559", "공시열람")</f>
        <v/>
      </c>
    </row>
    <row r="5671">
      <c r="A5671" s="2" t="inlineStr">
        <is>
          <t>2026-04-16</t>
        </is>
      </c>
      <c r="B5671" s="3" t="inlineStr">
        <is>
          <t>코람코라이프인프라리츠</t>
        </is>
      </c>
      <c r="C5671" s="2" t="inlineStr">
        <is>
          <t>코스피</t>
        </is>
      </c>
      <c r="D5671" s="2" t="inlineStr">
        <is>
          <t>357120</t>
        </is>
      </c>
      <c r="E5671" s="3" t="inlineStr">
        <is>
          <t xml:space="preserve">부동산투자회사부동산처분              </t>
        </is>
      </c>
      <c r="F5671" s="3" t="inlineStr">
        <is>
          <t>코람코라이프인프라리츠</t>
        </is>
      </c>
      <c r="G5671" s="2" t="inlineStr">
        <is>
          <t>20260416800546</t>
        </is>
      </c>
      <c r="H5671" s="8">
        <f>HYPERLINK("https://dart.fss.or.kr/dsaf001/main.do?rcpNo=20260416800546", "공시열람")</f>
        <v/>
      </c>
    </row>
    <row r="5672">
      <c r="A5672" s="2" t="inlineStr">
        <is>
          <t>2026-04-16</t>
        </is>
      </c>
      <c r="B5672" s="3" t="inlineStr">
        <is>
          <t>대원강업</t>
        </is>
      </c>
      <c r="C5672" s="2" t="inlineStr">
        <is>
          <t>코스피</t>
        </is>
      </c>
      <c r="D5672" s="2" t="inlineStr">
        <is>
          <t>000430</t>
        </is>
      </c>
      <c r="E5672" s="3" t="inlineStr">
        <is>
          <t>임원ㆍ주요주주특정증권등소유상황보고서</t>
        </is>
      </c>
      <c r="F5672" s="3" t="inlineStr">
        <is>
          <t>현대지에프홀딩스</t>
        </is>
      </c>
      <c r="G5672" s="2" t="inlineStr">
        <is>
          <t>20260416000464</t>
        </is>
      </c>
      <c r="H5672" s="8">
        <f>HYPERLINK("https://dart.fss.or.kr/dsaf001/main.do?rcpNo=20260416000464", "공시열람")</f>
        <v/>
      </c>
    </row>
    <row r="5673">
      <c r="A5673" s="2" t="inlineStr">
        <is>
          <t>2026-04-16</t>
        </is>
      </c>
      <c r="B5673" s="3" t="inlineStr">
        <is>
          <t>HS효성첨단소재</t>
        </is>
      </c>
      <c r="C5673" s="2" t="inlineStr">
        <is>
          <t>코스피</t>
        </is>
      </c>
      <c r="D5673" s="2" t="inlineStr">
        <is>
          <t>298050</t>
        </is>
      </c>
      <c r="E5673" s="3" t="inlineStr">
        <is>
          <t>임원ㆍ주요주주특정증권등거래계획보고서</t>
        </is>
      </c>
      <c r="F5673" s="3" t="inlineStr">
        <is>
          <t>HS효성</t>
        </is>
      </c>
      <c r="G5673" s="2" t="inlineStr">
        <is>
          <t>20260416000458</t>
        </is>
      </c>
      <c r="H5673" s="8">
        <f>HYPERLINK("https://dart.fss.or.kr/dsaf001/main.do?rcpNo=20260416000458", "공시열람")</f>
        <v/>
      </c>
    </row>
    <row r="5674">
      <c r="A5674" s="2" t="inlineStr">
        <is>
          <t>2026-04-16</t>
        </is>
      </c>
      <c r="B5674" s="3" t="inlineStr">
        <is>
          <t>우리금융지주</t>
        </is>
      </c>
      <c r="C5674" s="2" t="inlineStr">
        <is>
          <t>코스피</t>
        </is>
      </c>
      <c r="D5674" s="2" t="inlineStr">
        <is>
          <t>316140</t>
        </is>
      </c>
      <c r="E5674" s="3" t="inlineStr">
        <is>
          <t>증권발행실적보고서</t>
        </is>
      </c>
      <c r="F5674" s="3" t="inlineStr">
        <is>
          <t>우리금융지주</t>
        </is>
      </c>
      <c r="G5674" s="2" t="inlineStr">
        <is>
          <t>20260416000457</t>
        </is>
      </c>
      <c r="H5674" s="8">
        <f>HYPERLINK("https://dart.fss.or.kr/dsaf001/main.do?rcpNo=20260416000457", "공시열람")</f>
        <v/>
      </c>
    </row>
    <row r="5675">
      <c r="A5675" s="2" t="inlineStr">
        <is>
          <t>2026-04-16</t>
        </is>
      </c>
      <c r="B5675" s="3" t="inlineStr">
        <is>
          <t>엘앤에프</t>
        </is>
      </c>
      <c r="C5675" s="2" t="inlineStr">
        <is>
          <t>코스피</t>
        </is>
      </c>
      <c r="D5675" s="2" t="inlineStr">
        <is>
          <t>066970</t>
        </is>
      </c>
      <c r="E5675" s="3" t="inlineStr">
        <is>
          <t>임원ㆍ주요주주특정증권등소유상황보고서</t>
        </is>
      </c>
      <c r="F5675" s="3" t="inlineStr">
        <is>
          <t>정호준</t>
        </is>
      </c>
      <c r="G5675" s="2" t="inlineStr">
        <is>
          <t>20260416000456</t>
        </is>
      </c>
      <c r="H5675" s="8">
        <f>HYPERLINK("https://dart.fss.or.kr/dsaf001/main.do?rcpNo=20260416000456", "공시열람")</f>
        <v/>
      </c>
    </row>
    <row r="5676">
      <c r="A5676" s="2" t="inlineStr">
        <is>
          <t>2026-04-16</t>
        </is>
      </c>
      <c r="B5676" s="3" t="inlineStr">
        <is>
          <t>현대건설</t>
        </is>
      </c>
      <c r="C5676" s="2" t="inlineStr">
        <is>
          <t>코스피</t>
        </is>
      </c>
      <c r="D5676" s="2" t="inlineStr">
        <is>
          <t>000720</t>
        </is>
      </c>
      <c r="E5676" s="3" t="inlineStr">
        <is>
          <t>임원ㆍ주요주주특정증권등소유상황보고서</t>
        </is>
      </c>
      <c r="F5676" s="3" t="inlineStr">
        <is>
          <t>이형석</t>
        </is>
      </c>
      <c r="G5676" s="2" t="inlineStr">
        <is>
          <t>20260416000449</t>
        </is>
      </c>
      <c r="H5676" s="8">
        <f>HYPERLINK("https://dart.fss.or.kr/dsaf001/main.do?rcpNo=20260416000449", "공시열람")</f>
        <v/>
      </c>
    </row>
    <row r="5677">
      <c r="A5677" s="2" t="inlineStr">
        <is>
          <t>2026-04-16</t>
        </is>
      </c>
      <c r="B5677" s="3" t="inlineStr">
        <is>
          <t>화일약품</t>
        </is>
      </c>
      <c r="C5677" s="2" t="inlineStr">
        <is>
          <t>코스닥</t>
        </is>
      </c>
      <c r="D5677" s="2" t="inlineStr">
        <is>
          <t>061250</t>
        </is>
      </c>
      <c r="E5677" s="3" t="inlineStr">
        <is>
          <t>임원ㆍ주요주주특정증권등소유상황보고서</t>
        </is>
      </c>
      <c r="F5677" s="3" t="inlineStr">
        <is>
          <t>오성첨단소재</t>
        </is>
      </c>
      <c r="G5677" s="2" t="inlineStr">
        <is>
          <t>20260416000438</t>
        </is>
      </c>
      <c r="H5677" s="8">
        <f>HYPERLINK("https://dart.fss.or.kr/dsaf001/main.do?rcpNo=20260416000438", "공시열람")</f>
        <v/>
      </c>
    </row>
    <row r="5678">
      <c r="A5678" s="2" t="inlineStr">
        <is>
          <t>2026-04-16</t>
        </is>
      </c>
      <c r="B5678" s="3" t="inlineStr">
        <is>
          <t>대신증권</t>
        </is>
      </c>
      <c r="C5678" s="2" t="inlineStr">
        <is>
          <t>코스피</t>
        </is>
      </c>
      <c r="D5678" s="2" t="inlineStr">
        <is>
          <t>003540</t>
        </is>
      </c>
      <c r="E5678" s="3" t="inlineStr">
        <is>
          <t>일괄신고추가서류(파생결합사채-주가연계파생결합사채)</t>
        </is>
      </c>
      <c r="F5678" s="3" t="inlineStr">
        <is>
          <t>대신증권</t>
        </is>
      </c>
      <c r="G5678" s="2" t="inlineStr">
        <is>
          <t>20260416000437</t>
        </is>
      </c>
      <c r="H5678" s="8">
        <f>HYPERLINK("https://dart.fss.or.kr/dsaf001/main.do?rcpNo=20260416000437", "공시열람")</f>
        <v/>
      </c>
    </row>
    <row r="5679">
      <c r="A5679" s="2" t="inlineStr">
        <is>
          <t>2026-04-16</t>
        </is>
      </c>
      <c r="B5679" s="3" t="inlineStr">
        <is>
          <t>SOOP</t>
        </is>
      </c>
      <c r="C5679" s="2" t="inlineStr">
        <is>
          <t>코스닥</t>
        </is>
      </c>
      <c r="D5679" s="2" t="inlineStr">
        <is>
          <t>067160</t>
        </is>
      </c>
      <c r="E5679" s="3" t="inlineStr">
        <is>
          <t xml:space="preserve">기업설명회(IR)개최              </t>
        </is>
      </c>
      <c r="F5679" s="3" t="inlineStr">
        <is>
          <t>SOOP</t>
        </is>
      </c>
      <c r="G5679" s="2" t="inlineStr">
        <is>
          <t>20260416900529</t>
        </is>
      </c>
      <c r="H5679" s="8">
        <f>HYPERLINK("https://dart.fss.or.kr/dsaf001/main.do?rcpNo=20260416900529", "공시열람")</f>
        <v/>
      </c>
    </row>
    <row r="5680">
      <c r="A5680" s="2" t="inlineStr">
        <is>
          <t>2026-04-16</t>
        </is>
      </c>
      <c r="B5680" s="3" t="inlineStr">
        <is>
          <t>삼성E&amp;A</t>
        </is>
      </c>
      <c r="C5680" s="2" t="inlineStr">
        <is>
          <t>코스피</t>
        </is>
      </c>
      <c r="D5680" s="2" t="inlineStr">
        <is>
          <t>028050</t>
        </is>
      </c>
      <c r="E5680" s="3" t="inlineStr">
        <is>
          <t xml:space="preserve">기업설명회(IR)개최(안내공시)              </t>
        </is>
      </c>
      <c r="F5680" s="3" t="inlineStr">
        <is>
          <t>삼성E&amp;A</t>
        </is>
      </c>
      <c r="G5680" s="2" t="inlineStr">
        <is>
          <t>20260416800516</t>
        </is>
      </c>
      <c r="H5680" s="8">
        <f>HYPERLINK("https://dart.fss.or.kr/dsaf001/main.do?rcpNo=20260416800516", "공시열람")</f>
        <v/>
      </c>
    </row>
    <row r="5681">
      <c r="A5681" s="2" t="inlineStr">
        <is>
          <t>2026-04-16</t>
        </is>
      </c>
      <c r="B5681" s="3" t="inlineStr">
        <is>
          <t>SK증권</t>
        </is>
      </c>
      <c r="C5681" s="2" t="inlineStr">
        <is>
          <t>코스피</t>
        </is>
      </c>
      <c r="D5681" s="2" t="inlineStr">
        <is>
          <t>001510</t>
        </is>
      </c>
      <c r="E5681" s="3" t="inlineStr">
        <is>
          <t>투자설명서(일괄신고)</t>
        </is>
      </c>
      <c r="F5681" s="3" t="inlineStr">
        <is>
          <t>SK증권</t>
        </is>
      </c>
      <c r="G5681" s="2" t="inlineStr">
        <is>
          <t>20260416000425</t>
        </is>
      </c>
      <c r="H5681" s="8">
        <f>HYPERLINK("https://dart.fss.or.kr/dsaf001/main.do?rcpNo=20260416000425", "공시열람")</f>
        <v/>
      </c>
    </row>
    <row r="5682">
      <c r="A5682" s="2" t="inlineStr">
        <is>
          <t>2026-04-16 (정정: 2026-06-24)</t>
        </is>
      </c>
      <c r="B5682" s="3" t="inlineStr">
        <is>
          <t>감성코퍼레이션</t>
        </is>
      </c>
      <c r="C5682" s="2" t="inlineStr">
        <is>
          <t>코스닥</t>
        </is>
      </c>
      <c r="D5682" s="2" t="inlineStr">
        <is>
          <t>036620</t>
        </is>
      </c>
      <c r="E5682" s="3" t="inlineStr">
        <is>
          <t>주주명부폐쇄기간또는기준일설정               (정정: 20260624)</t>
        </is>
      </c>
      <c r="F5682" s="3" t="inlineStr">
        <is>
          <t>감성코퍼레이션</t>
        </is>
      </c>
      <c r="G5682" s="2" t="inlineStr">
        <is>
          <t>20260624000469</t>
        </is>
      </c>
      <c r="H5682" s="8">
        <f>HYPERLINK("https://dart.fss.or.kr/dsaf001/main.do?rcpNo=20260624000469", "공시열람")</f>
        <v/>
      </c>
    </row>
    <row r="5683">
      <c r="A5683" s="2" t="inlineStr">
        <is>
          <t>2026-04-16</t>
        </is>
      </c>
      <c r="B5683" s="3" t="inlineStr">
        <is>
          <t>체시스</t>
        </is>
      </c>
      <c r="C5683" s="2" t="inlineStr">
        <is>
          <t>코스피</t>
        </is>
      </c>
      <c r="D5683" s="2" t="inlineStr">
        <is>
          <t>033250</t>
        </is>
      </c>
      <c r="E5683" s="3" t="inlineStr">
        <is>
          <t>임원ㆍ주요주주특정증권등소유상황보고서</t>
        </is>
      </c>
      <c r="F5683" s="3" t="inlineStr">
        <is>
          <t>이준성</t>
        </is>
      </c>
      <c r="G5683" s="2" t="inlineStr">
        <is>
          <t>20260416000418</t>
        </is>
      </c>
      <c r="H5683" s="8">
        <f>HYPERLINK("https://dart.fss.or.kr/dsaf001/main.do?rcpNo=20260416000418", "공시열람")</f>
        <v/>
      </c>
    </row>
    <row r="5684">
      <c r="A5684" s="2" t="inlineStr">
        <is>
          <t>2026-04-16</t>
        </is>
      </c>
      <c r="B5684" s="3" t="inlineStr">
        <is>
          <t>삼성E&amp;A</t>
        </is>
      </c>
      <c r="C5684" s="2" t="inlineStr">
        <is>
          <t>코스피</t>
        </is>
      </c>
      <c r="D5684" s="2" t="inlineStr">
        <is>
          <t>028050</t>
        </is>
      </c>
      <c r="E5684" s="3" t="inlineStr">
        <is>
          <t xml:space="preserve">결산실적공시예고(안내공시)              </t>
        </is>
      </c>
      <c r="F5684" s="3" t="inlineStr">
        <is>
          <t>삼성E&amp;A</t>
        </is>
      </c>
      <c r="G5684" s="2" t="inlineStr">
        <is>
          <t>20260416800509</t>
        </is>
      </c>
      <c r="H5684" s="8">
        <f>HYPERLINK("https://dart.fss.or.kr/dsaf001/main.do?rcpNo=20260416800509", "공시열람")</f>
        <v/>
      </c>
    </row>
    <row r="5685">
      <c r="A5685" s="2" t="inlineStr">
        <is>
          <t>2026-04-16</t>
        </is>
      </c>
      <c r="B5685" s="3" t="inlineStr">
        <is>
          <t>대신증권</t>
        </is>
      </c>
      <c r="C5685" s="2" t="inlineStr">
        <is>
          <t>코스피</t>
        </is>
      </c>
      <c r="D5685" s="2" t="inlineStr">
        <is>
          <t>003540</t>
        </is>
      </c>
      <c r="E5685" s="3" t="inlineStr">
        <is>
          <t>투자설명서(일괄신고)</t>
        </is>
      </c>
      <c r="F5685" s="3" t="inlineStr">
        <is>
          <t>대신증권</t>
        </is>
      </c>
      <c r="G5685" s="2" t="inlineStr">
        <is>
          <t>20260416000416</t>
        </is>
      </c>
      <c r="H5685" s="8">
        <f>HYPERLINK("https://dart.fss.or.kr/dsaf001/main.do?rcpNo=20260416000416", "공시열람")</f>
        <v/>
      </c>
    </row>
    <row r="5686">
      <c r="A5686" s="2" t="inlineStr">
        <is>
          <t>2026-04-16</t>
        </is>
      </c>
      <c r="B5686" s="3" t="inlineStr">
        <is>
          <t>에이프릴바이오</t>
        </is>
      </c>
      <c r="C5686" s="2" t="inlineStr">
        <is>
          <t>코스닥</t>
        </is>
      </c>
      <c r="D5686" s="2" t="inlineStr">
        <is>
          <t>397030</t>
        </is>
      </c>
      <c r="E5686" s="3" t="inlineStr">
        <is>
          <t>임원ㆍ주요주주특정증권등소유상황보고서</t>
        </is>
      </c>
      <c r="F5686" s="3" t="inlineStr">
        <is>
          <t>진홍국</t>
        </is>
      </c>
      <c r="G5686" s="2" t="inlineStr">
        <is>
          <t>20260416000413</t>
        </is>
      </c>
      <c r="H5686" s="8">
        <f>HYPERLINK("https://dart.fss.or.kr/dsaf001/main.do?rcpNo=20260416000413", "공시열람")</f>
        <v/>
      </c>
    </row>
    <row r="5687">
      <c r="A5687" s="2" t="inlineStr">
        <is>
          <t>2026-04-16</t>
        </is>
      </c>
      <c r="B5687" s="3" t="inlineStr">
        <is>
          <t>체시스</t>
        </is>
      </c>
      <c r="C5687" s="2" t="inlineStr">
        <is>
          <t>코스피</t>
        </is>
      </c>
      <c r="D5687" s="2" t="inlineStr">
        <is>
          <t>033250</t>
        </is>
      </c>
      <c r="E5687" s="3" t="inlineStr">
        <is>
          <t>임원ㆍ주요주주특정증권등소유상황보고서</t>
        </is>
      </c>
      <c r="F5687" s="3" t="inlineStr">
        <is>
          <t>이명곤</t>
        </is>
      </c>
      <c r="G5687" s="2" t="inlineStr">
        <is>
          <t>20260416000412</t>
        </is>
      </c>
      <c r="H5687" s="8">
        <f>HYPERLINK("https://dart.fss.or.kr/dsaf001/main.do?rcpNo=20260416000412", "공시열람")</f>
        <v/>
      </c>
    </row>
    <row r="5688">
      <c r="A5688" s="2" t="inlineStr">
        <is>
          <t>2026-04-16</t>
        </is>
      </c>
      <c r="B5688" s="3" t="inlineStr">
        <is>
          <t>화일약품</t>
        </is>
      </c>
      <c r="C5688" s="2" t="inlineStr">
        <is>
          <t>코스닥</t>
        </is>
      </c>
      <c r="D5688" s="2" t="inlineStr">
        <is>
          <t>061250</t>
        </is>
      </c>
      <c r="E5688" s="3" t="inlineStr">
        <is>
          <t>임원ㆍ주요주주특정증권등소유상황보고서</t>
        </is>
      </c>
      <c r="F5688" s="3" t="inlineStr">
        <is>
          <t>금호에이치티</t>
        </is>
      </c>
      <c r="G5688" s="2" t="inlineStr">
        <is>
          <t>20260416000409</t>
        </is>
      </c>
      <c r="H5688" s="8">
        <f>HYPERLINK("https://dart.fss.or.kr/dsaf001/main.do?rcpNo=20260416000409", "공시열람")</f>
        <v/>
      </c>
    </row>
    <row r="5689">
      <c r="A5689" s="2" t="inlineStr">
        <is>
          <t>2026-04-16</t>
        </is>
      </c>
      <c r="B5689" s="3" t="inlineStr">
        <is>
          <t>금호석유화학</t>
        </is>
      </c>
      <c r="C5689" s="2" t="inlineStr">
        <is>
          <t>코스피</t>
        </is>
      </c>
      <c r="D5689" s="2" t="inlineStr">
        <is>
          <t>011780</t>
        </is>
      </c>
      <c r="E5689" s="3" t="inlineStr">
        <is>
          <t xml:space="preserve">결산실적공시예고(안내공시)              </t>
        </is>
      </c>
      <c r="F5689" s="3" t="inlineStr">
        <is>
          <t>금호석유화학</t>
        </is>
      </c>
      <c r="G5689" s="2" t="inlineStr">
        <is>
          <t>20260416800495</t>
        </is>
      </c>
      <c r="H5689" s="8">
        <f>HYPERLINK("https://dart.fss.or.kr/dsaf001/main.do?rcpNo=20260416800495", "공시열람")</f>
        <v/>
      </c>
    </row>
    <row r="5690">
      <c r="A5690" s="2" t="inlineStr">
        <is>
          <t>2026-04-16</t>
        </is>
      </c>
      <c r="B5690" s="3" t="inlineStr">
        <is>
          <t>대동금속</t>
        </is>
      </c>
      <c r="C5690" s="2" t="inlineStr">
        <is>
          <t>코스닥</t>
        </is>
      </c>
      <c r="D5690" s="2" t="inlineStr">
        <is>
          <t>020400</t>
        </is>
      </c>
      <c r="E5690" s="3" t="inlineStr">
        <is>
          <t>임원ㆍ주요주주특정증권등소유상황보고서</t>
        </is>
      </c>
      <c r="F5690" s="3" t="inlineStr">
        <is>
          <t>대동</t>
        </is>
      </c>
      <c r="G5690" s="2" t="inlineStr">
        <is>
          <t>20260416000401</t>
        </is>
      </c>
      <c r="H5690" s="8">
        <f>HYPERLINK("https://dart.fss.or.kr/dsaf001/main.do?rcpNo=20260416000401", "공시열람")</f>
        <v/>
      </c>
    </row>
    <row r="5691">
      <c r="A5691" s="2" t="inlineStr">
        <is>
          <t>2026-04-16</t>
        </is>
      </c>
      <c r="B5691" s="3" t="inlineStr">
        <is>
          <t>에이프릴바이오</t>
        </is>
      </c>
      <c r="C5691" s="2" t="inlineStr">
        <is>
          <t>코스닥</t>
        </is>
      </c>
      <c r="D5691" s="2" t="inlineStr">
        <is>
          <t>397030</t>
        </is>
      </c>
      <c r="E5691" s="3" t="inlineStr">
        <is>
          <t>임원ㆍ주요주주특정증권등소유상황보고서</t>
        </is>
      </c>
      <c r="F5691" s="3" t="inlineStr">
        <is>
          <t>서상준</t>
        </is>
      </c>
      <c r="G5691" s="2" t="inlineStr">
        <is>
          <t>20260416000399</t>
        </is>
      </c>
      <c r="H5691" s="8">
        <f>HYPERLINK("https://dart.fss.or.kr/dsaf001/main.do?rcpNo=20260416000399", "공시열람")</f>
        <v/>
      </c>
    </row>
    <row r="5692">
      <c r="A5692" s="2" t="inlineStr">
        <is>
          <t>2026-04-16</t>
        </is>
      </c>
      <c r="B5692" s="3" t="inlineStr">
        <is>
          <t>체시스</t>
        </is>
      </c>
      <c r="C5692" s="2" t="inlineStr">
        <is>
          <t>코스피</t>
        </is>
      </c>
      <c r="D5692" s="2" t="inlineStr">
        <is>
          <t>033250</t>
        </is>
      </c>
      <c r="E5692" s="3" t="inlineStr">
        <is>
          <t>임원ㆍ주요주주특정증권등소유상황보고서</t>
        </is>
      </c>
      <c r="F5692" s="3" t="inlineStr">
        <is>
          <t>엠에스에이치씨</t>
        </is>
      </c>
      <c r="G5692" s="2" t="inlineStr">
        <is>
          <t>20260416000394</t>
        </is>
      </c>
      <c r="H5692" s="8">
        <f>HYPERLINK("https://dart.fss.or.kr/dsaf001/main.do?rcpNo=20260416000394", "공시열람")</f>
        <v/>
      </c>
    </row>
    <row r="5693">
      <c r="A5693" s="2" t="inlineStr">
        <is>
          <t>2026-04-16</t>
        </is>
      </c>
      <c r="B5693" s="3" t="inlineStr">
        <is>
          <t>두산밥캣</t>
        </is>
      </c>
      <c r="C5693" s="2" t="inlineStr">
        <is>
          <t>코스피</t>
        </is>
      </c>
      <c r="D5693" s="2" t="inlineStr">
        <is>
          <t>241560</t>
        </is>
      </c>
      <c r="E5693" s="3" t="inlineStr">
        <is>
          <t xml:space="preserve">해산사유발생(자회사의 주요경영사항)              </t>
        </is>
      </c>
      <c r="F5693" s="3" t="inlineStr">
        <is>
          <t>두산밥캣</t>
        </is>
      </c>
      <c r="G5693" s="2" t="inlineStr">
        <is>
          <t>20260416800454</t>
        </is>
      </c>
      <c r="H5693" s="8">
        <f>HYPERLINK("https://dart.fss.or.kr/dsaf001/main.do?rcpNo=20260416800454", "공시열람")</f>
        <v/>
      </c>
    </row>
    <row r="5694">
      <c r="A5694" s="2" t="inlineStr">
        <is>
          <t>2026-04-16</t>
        </is>
      </c>
      <c r="B5694" s="3" t="inlineStr">
        <is>
          <t>삼성카드</t>
        </is>
      </c>
      <c r="C5694" s="2" t="inlineStr">
        <is>
          <t>코스피</t>
        </is>
      </c>
      <c r="D5694" s="2" t="inlineStr">
        <is>
          <t>029780</t>
        </is>
      </c>
      <c r="E5694" s="3" t="inlineStr">
        <is>
          <t>증권발행실적보고서</t>
        </is>
      </c>
      <c r="F5694" s="3" t="inlineStr">
        <is>
          <t>삼성카드</t>
        </is>
      </c>
      <c r="G5694" s="2" t="inlineStr">
        <is>
          <t>20260416000387</t>
        </is>
      </c>
      <c r="H5694" s="8">
        <f>HYPERLINK("https://dart.fss.or.kr/dsaf001/main.do?rcpNo=20260416000387", "공시열람")</f>
        <v/>
      </c>
    </row>
    <row r="5695">
      <c r="A5695" s="2" t="inlineStr">
        <is>
          <t>2026-04-16</t>
        </is>
      </c>
      <c r="B5695" s="3" t="inlineStr">
        <is>
          <t>천일고속</t>
        </is>
      </c>
      <c r="C5695" s="2" t="inlineStr">
        <is>
          <t>코스피</t>
        </is>
      </c>
      <c r="D5695" s="2" t="inlineStr">
        <is>
          <t>000650</t>
        </is>
      </c>
      <c r="E5695" s="3" t="inlineStr">
        <is>
          <t xml:space="preserve">단기차입금증가결정              </t>
        </is>
      </c>
      <c r="F5695" s="3" t="inlineStr">
        <is>
          <t>천일고속</t>
        </is>
      </c>
      <c r="G5695" s="2" t="inlineStr">
        <is>
          <t>20260416800482</t>
        </is>
      </c>
      <c r="H5695" s="8">
        <f>HYPERLINK("https://dart.fss.or.kr/dsaf001/main.do?rcpNo=20260416800482", "공시열람")</f>
        <v/>
      </c>
    </row>
    <row r="5696">
      <c r="A5696" s="2" t="inlineStr">
        <is>
          <t>2026-04-16</t>
        </is>
      </c>
      <c r="B5696" s="3" t="inlineStr">
        <is>
          <t>현대제철</t>
        </is>
      </c>
      <c r="C5696" s="2" t="inlineStr">
        <is>
          <t>코스피</t>
        </is>
      </c>
      <c r="D5696" s="2" t="inlineStr">
        <is>
          <t>004020</t>
        </is>
      </c>
      <c r="E5696" s="3" t="inlineStr">
        <is>
          <t xml:space="preserve">기업설명회(IR)개최(안내공시)              </t>
        </is>
      </c>
      <c r="F5696" s="3" t="inlineStr">
        <is>
          <t>현대제철</t>
        </is>
      </c>
      <c r="G5696" s="2" t="inlineStr">
        <is>
          <t>20260416800443</t>
        </is>
      </c>
      <c r="H5696" s="8">
        <f>HYPERLINK("https://dart.fss.or.kr/dsaf001/main.do?rcpNo=20260416800443", "공시열람")</f>
        <v/>
      </c>
    </row>
    <row r="5697">
      <c r="A5697" s="2" t="inlineStr">
        <is>
          <t>2026-04-16 (정정: 2026-05-21)</t>
        </is>
      </c>
      <c r="B5697" s="3" t="inlineStr">
        <is>
          <t>현대제철</t>
        </is>
      </c>
      <c r="C5697" s="2" t="inlineStr">
        <is>
          <t>코스피</t>
        </is>
      </c>
      <c r="D5697" s="2" t="inlineStr">
        <is>
          <t>004020</t>
        </is>
      </c>
      <c r="E5697" s="3" t="inlineStr">
        <is>
          <t>기업설명회(IR)개최(안내공시)               (정정: 20260521)</t>
        </is>
      </c>
      <c r="F5697" s="3" t="inlineStr">
        <is>
          <t>현대제철</t>
        </is>
      </c>
      <c r="G5697" s="2" t="inlineStr">
        <is>
          <t>20260521800584</t>
        </is>
      </c>
      <c r="H5697" s="8">
        <f>HYPERLINK("https://dart.fss.or.kr/dsaf001/main.do?rcpNo=20260521800584", "공시열람")</f>
        <v/>
      </c>
    </row>
    <row r="5698">
      <c r="A5698" s="2" t="inlineStr">
        <is>
          <t>2026-04-16</t>
        </is>
      </c>
      <c r="B5698" s="3" t="inlineStr">
        <is>
          <t>LG생활건강</t>
        </is>
      </c>
      <c r="C5698" s="2" t="inlineStr">
        <is>
          <t>코스피</t>
        </is>
      </c>
      <c r="D5698" s="2" t="inlineStr">
        <is>
          <t>051900</t>
        </is>
      </c>
      <c r="E5698" s="3" t="inlineStr">
        <is>
          <t xml:space="preserve">결산실적공시예고(안내공시)              </t>
        </is>
      </c>
      <c r="F5698" s="3" t="inlineStr">
        <is>
          <t>LG생활건강</t>
        </is>
      </c>
      <c r="G5698" s="2" t="inlineStr">
        <is>
          <t>20260416800423</t>
        </is>
      </c>
      <c r="H5698" s="8">
        <f>HYPERLINK("https://dart.fss.or.kr/dsaf001/main.do?rcpNo=20260416800423", "공시열람")</f>
        <v/>
      </c>
    </row>
    <row r="5699">
      <c r="A5699" s="2" t="inlineStr">
        <is>
          <t>2026-04-16</t>
        </is>
      </c>
      <c r="B5699" s="3" t="inlineStr">
        <is>
          <t>JB금융지주</t>
        </is>
      </c>
      <c r="C5699" s="2" t="inlineStr">
        <is>
          <t>코스피</t>
        </is>
      </c>
      <c r="D5699" s="2" t="inlineStr">
        <is>
          <t>175330</t>
        </is>
      </c>
      <c r="E5699" s="3" t="inlineStr">
        <is>
          <t xml:space="preserve">기업설명회(IR)개최(안내공시)              </t>
        </is>
      </c>
      <c r="F5699" s="3" t="inlineStr">
        <is>
          <t>JB금융지주</t>
        </is>
      </c>
      <c r="G5699" s="2" t="inlineStr">
        <is>
          <t>20260416800473</t>
        </is>
      </c>
      <c r="H5699" s="8">
        <f>HYPERLINK("https://dart.fss.or.kr/dsaf001/main.do?rcpNo=20260416800473", "공시열람")</f>
        <v/>
      </c>
    </row>
    <row r="5700">
      <c r="A5700" s="2" t="inlineStr">
        <is>
          <t>2026-04-16</t>
        </is>
      </c>
      <c r="B5700" s="3" t="inlineStr">
        <is>
          <t>에이프릴바이오</t>
        </is>
      </c>
      <c r="C5700" s="2" t="inlineStr">
        <is>
          <t>코스닥</t>
        </is>
      </c>
      <c r="D5700" s="2" t="inlineStr">
        <is>
          <t>397030</t>
        </is>
      </c>
      <c r="E5700" s="3" t="inlineStr">
        <is>
          <t>임원ㆍ주요주주특정증권등소유상황보고서</t>
        </is>
      </c>
      <c r="F5700" s="3" t="inlineStr">
        <is>
          <t>허병웅</t>
        </is>
      </c>
      <c r="G5700" s="2" t="inlineStr">
        <is>
          <t>20260416000375</t>
        </is>
      </c>
      <c r="H5700" s="8">
        <f>HYPERLINK("https://dart.fss.or.kr/dsaf001/main.do?rcpNo=20260416000375", "공시열람")</f>
        <v/>
      </c>
    </row>
    <row r="5701">
      <c r="A5701" s="2" t="inlineStr">
        <is>
          <t>2026-04-16</t>
        </is>
      </c>
      <c r="B5701" s="3" t="inlineStr">
        <is>
          <t>미래에셋생명</t>
        </is>
      </c>
      <c r="C5701" s="2" t="inlineStr">
        <is>
          <t>코스피</t>
        </is>
      </c>
      <c r="D5701" s="2" t="inlineStr">
        <is>
          <t>085620</t>
        </is>
      </c>
      <c r="E5701" s="3" t="inlineStr">
        <is>
          <t>임원ㆍ주요주주특정증권등소유상황보고서</t>
        </is>
      </c>
      <c r="F5701" s="3" t="inlineStr">
        <is>
          <t>박성철</t>
        </is>
      </c>
      <c r="G5701" s="2" t="inlineStr">
        <is>
          <t>20260416000374</t>
        </is>
      </c>
      <c r="H5701" s="8">
        <f>HYPERLINK("https://dart.fss.or.kr/dsaf001/main.do?rcpNo=20260416000374", "공시열람")</f>
        <v/>
      </c>
    </row>
    <row r="5702">
      <c r="A5702" s="2" t="inlineStr">
        <is>
          <t>2026-04-16</t>
        </is>
      </c>
      <c r="B5702" s="3" t="inlineStr">
        <is>
          <t>유니크</t>
        </is>
      </c>
      <c r="C5702" s="2" t="inlineStr">
        <is>
          <t>코스닥</t>
        </is>
      </c>
      <c r="D5702" s="2" t="inlineStr">
        <is>
          <t>011320</t>
        </is>
      </c>
      <c r="E5702" s="3" t="inlineStr">
        <is>
          <t>임원ㆍ주요주주특정증권등소유상황보고서</t>
        </is>
      </c>
      <c r="F5702" s="3" t="inlineStr">
        <is>
          <t>이재영</t>
        </is>
      </c>
      <c r="G5702" s="2" t="inlineStr">
        <is>
          <t>20260416000373</t>
        </is>
      </c>
      <c r="H5702" s="8">
        <f>HYPERLINK("https://dart.fss.or.kr/dsaf001/main.do?rcpNo=20260416000373", "공시열람")</f>
        <v/>
      </c>
    </row>
    <row r="5703">
      <c r="A5703" s="2" t="inlineStr">
        <is>
          <t>2026-04-16</t>
        </is>
      </c>
      <c r="B5703" s="3" t="inlineStr">
        <is>
          <t>코리아에프티</t>
        </is>
      </c>
      <c r="C5703" s="2" t="inlineStr">
        <is>
          <t>코스닥</t>
        </is>
      </c>
      <c r="D5703" s="2" t="inlineStr">
        <is>
          <t>123410</t>
        </is>
      </c>
      <c r="E5703" s="3" t="inlineStr">
        <is>
          <t xml:space="preserve">기업설명회(IR)개최              </t>
        </is>
      </c>
      <c r="F5703" s="3" t="inlineStr">
        <is>
          <t>코리아에프티</t>
        </is>
      </c>
      <c r="G5703" s="2" t="inlineStr">
        <is>
          <t>20260416900470</t>
        </is>
      </c>
      <c r="H5703" s="8">
        <f>HYPERLINK("https://dart.fss.or.kr/dsaf001/main.do?rcpNo=20260416900470", "공시열람")</f>
        <v/>
      </c>
    </row>
    <row r="5704">
      <c r="A5704" s="2" t="inlineStr">
        <is>
          <t>2026-04-16</t>
        </is>
      </c>
      <c r="B5704" s="3" t="inlineStr">
        <is>
          <t>유니크</t>
        </is>
      </c>
      <c r="C5704" s="2" t="inlineStr">
        <is>
          <t>코스닥</t>
        </is>
      </c>
      <c r="D5704" s="2" t="inlineStr">
        <is>
          <t>011320</t>
        </is>
      </c>
      <c r="E5704" s="3" t="inlineStr">
        <is>
          <t>임원ㆍ주요주주특정증권등소유상황보고서</t>
        </is>
      </c>
      <c r="F5704" s="3" t="inlineStr">
        <is>
          <t>서영관</t>
        </is>
      </c>
      <c r="G5704" s="2" t="inlineStr">
        <is>
          <t>20260416000370</t>
        </is>
      </c>
      <c r="H5704" s="8">
        <f>HYPERLINK("https://dart.fss.or.kr/dsaf001/main.do?rcpNo=20260416000370", "공시열람")</f>
        <v/>
      </c>
    </row>
    <row r="5705">
      <c r="A5705" s="2" t="inlineStr">
        <is>
          <t>2026-04-16</t>
        </is>
      </c>
      <c r="B5705" s="3" t="inlineStr">
        <is>
          <t>성호전자</t>
        </is>
      </c>
      <c r="C5705" s="2" t="inlineStr">
        <is>
          <t>코스닥</t>
        </is>
      </c>
      <c r="D5705" s="2" t="inlineStr">
        <is>
          <t>043260</t>
        </is>
      </c>
      <c r="E5705" s="3" t="inlineStr">
        <is>
          <t>임원ㆍ주요주주특정증권등소유상황보고서</t>
        </is>
      </c>
      <c r="F5705" s="3" t="inlineStr">
        <is>
          <t>서룡전자</t>
        </is>
      </c>
      <c r="G5705" s="2" t="inlineStr">
        <is>
          <t>20260416000363</t>
        </is>
      </c>
      <c r="H5705" s="8">
        <f>HYPERLINK("https://dart.fss.or.kr/dsaf001/main.do?rcpNo=20260416000363", "공시열람")</f>
        <v/>
      </c>
    </row>
    <row r="5706">
      <c r="A5706" s="2" t="inlineStr">
        <is>
          <t>2026-04-16</t>
        </is>
      </c>
      <c r="B5706" s="3" t="inlineStr">
        <is>
          <t>인카금융서비스</t>
        </is>
      </c>
      <c r="C5706" s="2" t="inlineStr">
        <is>
          <t>코스닥</t>
        </is>
      </c>
      <c r="D5706" s="2" t="inlineStr">
        <is>
          <t>211050</t>
        </is>
      </c>
      <c r="E5706" s="3" t="inlineStr">
        <is>
          <t>임원ㆍ주요주주특정증권등소유상황보고서</t>
        </is>
      </c>
      <c r="F5706" s="3" t="inlineStr">
        <is>
          <t>이수영</t>
        </is>
      </c>
      <c r="G5706" s="2" t="inlineStr">
        <is>
          <t>20260416000362</t>
        </is>
      </c>
      <c r="H5706" s="8">
        <f>HYPERLINK("https://dart.fss.or.kr/dsaf001/main.do?rcpNo=20260416000362", "공시열람")</f>
        <v/>
      </c>
    </row>
    <row r="5707">
      <c r="A5707" s="2" t="inlineStr">
        <is>
          <t>2026-04-16</t>
        </is>
      </c>
      <c r="B5707" s="3" t="inlineStr">
        <is>
          <t>유니크</t>
        </is>
      </c>
      <c r="C5707" s="2" t="inlineStr">
        <is>
          <t>코스닥</t>
        </is>
      </c>
      <c r="D5707" s="2" t="inlineStr">
        <is>
          <t>011320</t>
        </is>
      </c>
      <c r="E5707" s="3" t="inlineStr">
        <is>
          <t>임원ㆍ주요주주특정증권등소유상황보고서</t>
        </is>
      </c>
      <c r="F5707" s="3" t="inlineStr">
        <is>
          <t>박이하</t>
        </is>
      </c>
      <c r="G5707" s="2" t="inlineStr">
        <is>
          <t>20260416000361</t>
        </is>
      </c>
      <c r="H5707" s="8">
        <f>HYPERLINK("https://dart.fss.or.kr/dsaf001/main.do?rcpNo=20260416000361", "공시열람")</f>
        <v/>
      </c>
    </row>
    <row r="5708">
      <c r="A5708" s="2" t="inlineStr">
        <is>
          <t>2026-04-16</t>
        </is>
      </c>
      <c r="B5708" s="3" t="inlineStr">
        <is>
          <t>오텍</t>
        </is>
      </c>
      <c r="C5708" s="2" t="inlineStr">
        <is>
          <t>코스닥</t>
        </is>
      </c>
      <c r="D5708" s="2" t="inlineStr">
        <is>
          <t>067170</t>
        </is>
      </c>
      <c r="E5708" s="3" t="inlineStr">
        <is>
          <t>임원ㆍ주요주주특정증권등소유상황보고서</t>
        </is>
      </c>
      <c r="F5708" s="3" t="inlineStr">
        <is>
          <t>강신형</t>
        </is>
      </c>
      <c r="G5708" s="2" t="inlineStr">
        <is>
          <t>20260416000356</t>
        </is>
      </c>
      <c r="H5708" s="8">
        <f>HYPERLINK("https://dart.fss.or.kr/dsaf001/main.do?rcpNo=20260416000356", "공시열람")</f>
        <v/>
      </c>
    </row>
    <row r="5709">
      <c r="A5709" s="2" t="inlineStr">
        <is>
          <t>2026-04-16</t>
        </is>
      </c>
      <c r="B5709" s="3" t="inlineStr">
        <is>
          <t>유니크</t>
        </is>
      </c>
      <c r="C5709" s="2" t="inlineStr">
        <is>
          <t>코스닥</t>
        </is>
      </c>
      <c r="D5709" s="2" t="inlineStr">
        <is>
          <t>011320</t>
        </is>
      </c>
      <c r="E5709" s="3" t="inlineStr">
        <is>
          <t>임원ㆍ주요주주특정증권등소유상황보고서</t>
        </is>
      </c>
      <c r="F5709" s="3" t="inlineStr">
        <is>
          <t>김국태</t>
        </is>
      </c>
      <c r="G5709" s="2" t="inlineStr">
        <is>
          <t>20260416000355</t>
        </is>
      </c>
      <c r="H5709" s="8">
        <f>HYPERLINK("https://dart.fss.or.kr/dsaf001/main.do?rcpNo=20260416000355", "공시열람")</f>
        <v/>
      </c>
    </row>
    <row r="5710">
      <c r="A5710" s="2" t="inlineStr">
        <is>
          <t>2026-04-16</t>
        </is>
      </c>
      <c r="B5710" s="3" t="inlineStr">
        <is>
          <t>한화투자증권</t>
        </is>
      </c>
      <c r="C5710" s="2" t="inlineStr">
        <is>
          <t>코스피</t>
        </is>
      </c>
      <c r="D5710" s="2" t="inlineStr">
        <is>
          <t>003530</t>
        </is>
      </c>
      <c r="E5710" s="3" t="inlineStr">
        <is>
          <t>임원ㆍ주요주주특정증권등소유상황보고서</t>
        </is>
      </c>
      <c r="F5710" s="3" t="inlineStr">
        <is>
          <t>김관순</t>
        </is>
      </c>
      <c r="G5710" s="2" t="inlineStr">
        <is>
          <t>20260416000353</t>
        </is>
      </c>
      <c r="H5710" s="8">
        <f>HYPERLINK("https://dart.fss.or.kr/dsaf001/main.do?rcpNo=20260416000353", "공시열람")</f>
        <v/>
      </c>
    </row>
    <row r="5711">
      <c r="A5711" s="2" t="inlineStr">
        <is>
          <t>2026-04-16</t>
        </is>
      </c>
      <c r="B5711" s="3" t="inlineStr">
        <is>
          <t>LG생활건강</t>
        </is>
      </c>
      <c r="C5711" s="2" t="inlineStr">
        <is>
          <t>코스피</t>
        </is>
      </c>
      <c r="D5711" s="2" t="inlineStr">
        <is>
          <t>051900</t>
        </is>
      </c>
      <c r="E5711" s="3" t="inlineStr">
        <is>
          <t xml:space="preserve">기업설명회(IR)개최(안내공시)              </t>
        </is>
      </c>
      <c r="F5711" s="3" t="inlineStr">
        <is>
          <t>LG생활건강</t>
        </is>
      </c>
      <c r="G5711" s="2" t="inlineStr">
        <is>
          <t>20260416800417</t>
        </is>
      </c>
      <c r="H5711" s="8">
        <f>HYPERLINK("https://dart.fss.or.kr/dsaf001/main.do?rcpNo=20260416800417", "공시열람")</f>
        <v/>
      </c>
    </row>
    <row r="5712">
      <c r="A5712" s="2" t="inlineStr">
        <is>
          <t>2026-04-16</t>
        </is>
      </c>
      <c r="B5712" s="3" t="inlineStr">
        <is>
          <t>화일약품</t>
        </is>
      </c>
      <c r="C5712" s="2" t="inlineStr">
        <is>
          <t>코스닥</t>
        </is>
      </c>
      <c r="D5712" s="2" t="inlineStr">
        <is>
          <t>061250</t>
        </is>
      </c>
      <c r="E5712" s="3" t="inlineStr">
        <is>
          <t>임원ㆍ주요주주특정증권등소유상황보고서</t>
        </is>
      </c>
      <c r="F5712" s="3" t="inlineStr">
        <is>
          <t>강성용</t>
        </is>
      </c>
      <c r="G5712" s="2" t="inlineStr">
        <is>
          <t>20260416000352</t>
        </is>
      </c>
      <c r="H5712" s="8">
        <f>HYPERLINK("https://dart.fss.or.kr/dsaf001/main.do?rcpNo=20260416000352", "공시열람")</f>
        <v/>
      </c>
    </row>
    <row r="5713">
      <c r="A5713" s="2" t="inlineStr">
        <is>
          <t>2026-04-16</t>
        </is>
      </c>
      <c r="B5713" s="3" t="inlineStr">
        <is>
          <t>현대자동차</t>
        </is>
      </c>
      <c r="C5713" s="2" t="inlineStr">
        <is>
          <t>코스피</t>
        </is>
      </c>
      <c r="D5713" s="2" t="inlineStr">
        <is>
          <t>005380</t>
        </is>
      </c>
      <c r="E5713" s="3" t="inlineStr">
        <is>
          <t>임원ㆍ주요주주특정증권등소유상황보고서</t>
        </is>
      </c>
      <c r="F5713" s="3" t="inlineStr">
        <is>
          <t>최영수</t>
        </is>
      </c>
      <c r="G5713" s="2" t="inlineStr">
        <is>
          <t>20260416000350</t>
        </is>
      </c>
      <c r="H5713" s="8">
        <f>HYPERLINK("https://dart.fss.or.kr/dsaf001/main.do?rcpNo=20260416000350", "공시열람")</f>
        <v/>
      </c>
    </row>
    <row r="5714">
      <c r="A5714" s="2" t="inlineStr">
        <is>
          <t>2026-04-16</t>
        </is>
      </c>
      <c r="B5714" s="3" t="inlineStr">
        <is>
          <t>세나테크놀로지</t>
        </is>
      </c>
      <c r="C5714" s="2" t="inlineStr">
        <is>
          <t>코스닥</t>
        </is>
      </c>
      <c r="D5714" s="2" t="inlineStr">
        <is>
          <t>061090</t>
        </is>
      </c>
      <c r="E5714" s="3" t="inlineStr">
        <is>
          <t xml:space="preserve">연결재무제표기준영업실적등에대한전망(공정공시)              </t>
        </is>
      </c>
      <c r="F5714" s="3" t="inlineStr">
        <is>
          <t>세나테크놀로지</t>
        </is>
      </c>
      <c r="G5714" s="2" t="inlineStr">
        <is>
          <t>20260416900405</t>
        </is>
      </c>
      <c r="H5714" s="8">
        <f>HYPERLINK("https://dart.fss.or.kr/dsaf001/main.do?rcpNo=20260416900405", "공시열람")</f>
        <v/>
      </c>
    </row>
    <row r="5715">
      <c r="A5715" s="2" t="inlineStr">
        <is>
          <t>2026-04-16</t>
        </is>
      </c>
      <c r="B5715" s="3" t="inlineStr">
        <is>
          <t>화일약품</t>
        </is>
      </c>
      <c r="C5715" s="2" t="inlineStr">
        <is>
          <t>코스닥</t>
        </is>
      </c>
      <c r="D5715" s="2" t="inlineStr">
        <is>
          <t>061250</t>
        </is>
      </c>
      <c r="E5715" s="3" t="inlineStr">
        <is>
          <t>임원ㆍ주요주주특정증권등소유상황보고서</t>
        </is>
      </c>
      <c r="F5715" s="3" t="inlineStr">
        <is>
          <t>장순호</t>
        </is>
      </c>
      <c r="G5715" s="2" t="inlineStr">
        <is>
          <t>20260416000348</t>
        </is>
      </c>
      <c r="H5715" s="8">
        <f>HYPERLINK("https://dart.fss.or.kr/dsaf001/main.do?rcpNo=20260416000348", "공시열람")</f>
        <v/>
      </c>
    </row>
    <row r="5716">
      <c r="A5716" s="2" t="inlineStr">
        <is>
          <t>2026-04-16</t>
        </is>
      </c>
      <c r="B5716" s="3" t="inlineStr">
        <is>
          <t>유니크</t>
        </is>
      </c>
      <c r="C5716" s="2" t="inlineStr">
        <is>
          <t>코스닥</t>
        </is>
      </c>
      <c r="D5716" s="2" t="inlineStr">
        <is>
          <t>011320</t>
        </is>
      </c>
      <c r="E5716" s="3" t="inlineStr">
        <is>
          <t>임원ㆍ주요주주특정증권등소유상황보고서</t>
        </is>
      </c>
      <c r="F5716" s="3" t="inlineStr">
        <is>
          <t>고성종</t>
        </is>
      </c>
      <c r="G5716" s="2" t="inlineStr">
        <is>
          <t>20260416000345</t>
        </is>
      </c>
      <c r="H5716" s="8">
        <f>HYPERLINK("https://dart.fss.or.kr/dsaf001/main.do?rcpNo=20260416000345", "공시열람")</f>
        <v/>
      </c>
    </row>
    <row r="5717">
      <c r="A5717" s="2" t="inlineStr">
        <is>
          <t>2026-04-16</t>
        </is>
      </c>
      <c r="B5717" s="3" t="inlineStr">
        <is>
          <t>화일약품</t>
        </is>
      </c>
      <c r="C5717" s="2" t="inlineStr">
        <is>
          <t>코스닥</t>
        </is>
      </c>
      <c r="D5717" s="2" t="inlineStr">
        <is>
          <t>061250</t>
        </is>
      </c>
      <c r="E5717" s="3" t="inlineStr">
        <is>
          <t>임원ㆍ주요주주특정증권등소유상황보고서</t>
        </is>
      </c>
      <c r="F5717" s="3" t="inlineStr">
        <is>
          <t>신동구</t>
        </is>
      </c>
      <c r="G5717" s="2" t="inlineStr">
        <is>
          <t>20260416000344</t>
        </is>
      </c>
      <c r="H5717" s="8">
        <f>HYPERLINK("https://dart.fss.or.kr/dsaf001/main.do?rcpNo=20260416000344", "공시열람")</f>
        <v/>
      </c>
    </row>
    <row r="5718">
      <c r="A5718" s="2" t="inlineStr">
        <is>
          <t>2026-04-16</t>
        </is>
      </c>
      <c r="B5718" s="3" t="inlineStr">
        <is>
          <t>힘스</t>
        </is>
      </c>
      <c r="C5718" s="2" t="inlineStr">
        <is>
          <t>코스닥</t>
        </is>
      </c>
      <c r="D5718" s="2" t="inlineStr">
        <is>
          <t>238490</t>
        </is>
      </c>
      <c r="E5718" s="3" t="inlineStr">
        <is>
          <t>임원ㆍ주요주주특정증권등소유상황보고서</t>
        </is>
      </c>
      <c r="F5718" s="3" t="inlineStr">
        <is>
          <t>홍춘선</t>
        </is>
      </c>
      <c r="G5718" s="2" t="inlineStr">
        <is>
          <t>20260416000342</t>
        </is>
      </c>
      <c r="H5718" s="8">
        <f>HYPERLINK("https://dart.fss.or.kr/dsaf001/main.do?rcpNo=20260416000342", "공시열람")</f>
        <v/>
      </c>
    </row>
    <row r="5719">
      <c r="A5719" s="2" t="inlineStr">
        <is>
          <t>2026-04-16</t>
        </is>
      </c>
      <c r="B5719" s="3" t="inlineStr">
        <is>
          <t>화일약품</t>
        </is>
      </c>
      <c r="C5719" s="2" t="inlineStr">
        <is>
          <t>코스닥</t>
        </is>
      </c>
      <c r="D5719" s="2" t="inlineStr">
        <is>
          <t>061250</t>
        </is>
      </c>
      <c r="E5719" s="3" t="inlineStr">
        <is>
          <t>임원ㆍ주요주주특정증권등소유상황보고서</t>
        </is>
      </c>
      <c r="F5719" s="3" t="inlineStr">
        <is>
          <t>김종호</t>
        </is>
      </c>
      <c r="G5719" s="2" t="inlineStr">
        <is>
          <t>20260416000340</t>
        </is>
      </c>
      <c r="H5719" s="8">
        <f>HYPERLINK("https://dart.fss.or.kr/dsaf001/main.do?rcpNo=20260416000340", "공시열람")</f>
        <v/>
      </c>
    </row>
    <row r="5720">
      <c r="A5720" s="2" t="inlineStr">
        <is>
          <t>2026-04-16 (정정: 2026-05-20)</t>
        </is>
      </c>
      <c r="B5720" s="3" t="inlineStr">
        <is>
          <t>비비안</t>
        </is>
      </c>
      <c r="C5720" s="2" t="inlineStr">
        <is>
          <t>코스피</t>
        </is>
      </c>
      <c r="D5720" s="2" t="inlineStr">
        <is>
          <t>002070</t>
        </is>
      </c>
      <c r="E5720" s="3" t="inlineStr">
        <is>
          <t>전환가액ㆍ신주인수권행사가액ㆍ교환가액의조정(안내공시)               (정정: 20260520) (정정: 20260520)</t>
        </is>
      </c>
      <c r="F5720" s="3" t="inlineStr">
        <is>
          <t>비비안</t>
        </is>
      </c>
      <c r="G5720" s="2" t="inlineStr">
        <is>
          <t>20260520000259</t>
        </is>
      </c>
      <c r="H5720" s="8">
        <f>HYPERLINK("https://dart.fss.or.kr/dsaf001/main.do?rcpNo=20260520000259", "공시열람")</f>
        <v/>
      </c>
    </row>
    <row r="5721">
      <c r="A5721" s="2" t="inlineStr">
        <is>
          <t>2026-04-16</t>
        </is>
      </c>
      <c r="B5721" s="3" t="inlineStr">
        <is>
          <t>신영증권</t>
        </is>
      </c>
      <c r="C5721" s="2" t="inlineStr">
        <is>
          <t>코스피</t>
        </is>
      </c>
      <c r="D5721" s="2" t="inlineStr">
        <is>
          <t>001720</t>
        </is>
      </c>
      <c r="E5721" s="3" t="inlineStr">
        <is>
          <t>일괄신고추가서류(파생결합증권-주가연계증권)</t>
        </is>
      </c>
      <c r="F5721" s="3" t="inlineStr">
        <is>
          <t>신영증권</t>
        </is>
      </c>
      <c r="G5721" s="2" t="inlineStr">
        <is>
          <t>20260416000339</t>
        </is>
      </c>
      <c r="H5721" s="8">
        <f>HYPERLINK("https://dart.fss.or.kr/dsaf001/main.do?rcpNo=20260416000339", "공시열람")</f>
        <v/>
      </c>
    </row>
    <row r="5722">
      <c r="A5722" s="2" t="inlineStr">
        <is>
          <t>2026-04-16</t>
        </is>
      </c>
      <c r="B5722" s="3" t="inlineStr">
        <is>
          <t>DB증권</t>
        </is>
      </c>
      <c r="C5722" s="2" t="inlineStr">
        <is>
          <t>코스피</t>
        </is>
      </c>
      <c r="D5722" s="2" t="inlineStr">
        <is>
          <t>016610</t>
        </is>
      </c>
      <c r="E5722" s="3" t="inlineStr">
        <is>
          <t>투자설명서(일괄신고)</t>
        </is>
      </c>
      <c r="F5722" s="3" t="inlineStr">
        <is>
          <t>DB증권</t>
        </is>
      </c>
      <c r="G5722" s="2" t="inlineStr">
        <is>
          <t>20260416000336</t>
        </is>
      </c>
      <c r="H5722" s="8">
        <f>HYPERLINK("https://dart.fss.or.kr/dsaf001/main.do?rcpNo=20260416000336", "공시열람")</f>
        <v/>
      </c>
    </row>
    <row r="5723">
      <c r="A5723" s="2" t="inlineStr">
        <is>
          <t>2026-04-16</t>
        </is>
      </c>
      <c r="B5723" s="3" t="inlineStr">
        <is>
          <t>두산로보틱스</t>
        </is>
      </c>
      <c r="C5723" s="2" t="inlineStr">
        <is>
          <t>코스피</t>
        </is>
      </c>
      <c r="D5723" s="2" t="inlineStr">
        <is>
          <t>454910</t>
        </is>
      </c>
      <c r="E5723" s="3" t="inlineStr">
        <is>
          <t xml:space="preserve">기업설명회(IR)개최(안내공시)              </t>
        </is>
      </c>
      <c r="F5723" s="3" t="inlineStr">
        <is>
          <t>두산로보틱스</t>
        </is>
      </c>
      <c r="G5723" s="2" t="inlineStr">
        <is>
          <t>20260416800386</t>
        </is>
      </c>
      <c r="H5723" s="8">
        <f>HYPERLINK("https://dart.fss.or.kr/dsaf001/main.do?rcpNo=20260416800386", "공시열람")</f>
        <v/>
      </c>
    </row>
    <row r="5724">
      <c r="A5724" s="2" t="inlineStr">
        <is>
          <t>2026-04-16</t>
        </is>
      </c>
      <c r="B5724" s="3" t="inlineStr">
        <is>
          <t>두산로보틱스</t>
        </is>
      </c>
      <c r="C5724" s="2" t="inlineStr">
        <is>
          <t>코스피</t>
        </is>
      </c>
      <c r="D5724" s="2" t="inlineStr">
        <is>
          <t>454910</t>
        </is>
      </c>
      <c r="E5724" s="3" t="inlineStr">
        <is>
          <t xml:space="preserve">결산실적공시예고(안내공시)              </t>
        </is>
      </c>
      <c r="F5724" s="3" t="inlineStr">
        <is>
          <t>두산로보틱스</t>
        </is>
      </c>
      <c r="G5724" s="2" t="inlineStr">
        <is>
          <t>20260416800385</t>
        </is>
      </c>
      <c r="H5724" s="8">
        <f>HYPERLINK("https://dart.fss.or.kr/dsaf001/main.do?rcpNo=20260416800385", "공시열람")</f>
        <v/>
      </c>
    </row>
    <row r="5725">
      <c r="A5725" s="2" t="inlineStr">
        <is>
          <t>2026-04-16</t>
        </is>
      </c>
      <c r="B5725" s="3" t="inlineStr">
        <is>
          <t>HLB</t>
        </is>
      </c>
      <c r="C5725" s="2" t="inlineStr">
        <is>
          <t>코스닥</t>
        </is>
      </c>
      <c r="D5725" s="2" t="inlineStr">
        <is>
          <t>028300</t>
        </is>
      </c>
      <c r="E5725" s="3" t="inlineStr">
        <is>
          <t xml:space="preserve">전환가액의조정              </t>
        </is>
      </c>
      <c r="F5725" s="3" t="inlineStr">
        <is>
          <t>HLB</t>
        </is>
      </c>
      <c r="G5725" s="2" t="inlineStr">
        <is>
          <t>20260416900406</t>
        </is>
      </c>
      <c r="H5725" s="8">
        <f>HYPERLINK("https://dart.fss.or.kr/dsaf001/main.do?rcpNo=20260416900406", "공시열람")</f>
        <v/>
      </c>
    </row>
    <row r="5726">
      <c r="A5726" s="2" t="inlineStr">
        <is>
          <t>2026-04-16</t>
        </is>
      </c>
      <c r="B5726" s="3" t="inlineStr">
        <is>
          <t>화일약품</t>
        </is>
      </c>
      <c r="C5726" s="2" t="inlineStr">
        <is>
          <t>코스닥</t>
        </is>
      </c>
      <c r="D5726" s="2" t="inlineStr">
        <is>
          <t>061250</t>
        </is>
      </c>
      <c r="E5726" s="3" t="inlineStr">
        <is>
          <t>임원ㆍ주요주주특정증권등소유상황보고서</t>
        </is>
      </c>
      <c r="F5726" s="3" t="inlineStr">
        <is>
          <t>박정근</t>
        </is>
      </c>
      <c r="G5726" s="2" t="inlineStr">
        <is>
          <t>20260416000335</t>
        </is>
      </c>
      <c r="H5726" s="8">
        <f>HYPERLINK("https://dart.fss.or.kr/dsaf001/main.do?rcpNo=20260416000335", "공시열람")</f>
        <v/>
      </c>
    </row>
    <row r="5727">
      <c r="A5727" s="2" t="inlineStr">
        <is>
          <t>2026-04-16</t>
        </is>
      </c>
      <c r="B5727" s="3" t="inlineStr">
        <is>
          <t>코닉오토메이션</t>
        </is>
      </c>
      <c r="C5727" s="2" t="inlineStr">
        <is>
          <t>코스닥</t>
        </is>
      </c>
      <c r="D5727" s="2" t="inlineStr">
        <is>
          <t>391710</t>
        </is>
      </c>
      <c r="E5727" s="3" t="inlineStr">
        <is>
          <t>임원ㆍ주요주주특정증권등소유상황보고서</t>
        </is>
      </c>
      <c r="F5727" s="3" t="inlineStr">
        <is>
          <t>오정호</t>
        </is>
      </c>
      <c r="G5727" s="2" t="inlineStr">
        <is>
          <t>20260416000333</t>
        </is>
      </c>
      <c r="H5727" s="8">
        <f>HYPERLINK("https://dart.fss.or.kr/dsaf001/main.do?rcpNo=20260416000333", "공시열람")</f>
        <v/>
      </c>
    </row>
    <row r="5728">
      <c r="A5728" s="2" t="inlineStr">
        <is>
          <t>2026-04-16</t>
        </is>
      </c>
      <c r="B5728" s="3" t="inlineStr">
        <is>
          <t>자이언트스텝</t>
        </is>
      </c>
      <c r="C5728" s="2" t="inlineStr">
        <is>
          <t>코스닥</t>
        </is>
      </c>
      <c r="D5728" s="2" t="inlineStr">
        <is>
          <t>289220</t>
        </is>
      </c>
      <c r="E5728" s="3" t="inlineStr">
        <is>
          <t>사외이사의선임ㆍ해임또는중도퇴임에관한신고</t>
        </is>
      </c>
      <c r="F5728" s="3" t="inlineStr">
        <is>
          <t>자이언트스텝</t>
        </is>
      </c>
      <c r="G5728" s="2" t="inlineStr">
        <is>
          <t>20260416000331</t>
        </is>
      </c>
      <c r="H5728" s="8">
        <f>HYPERLINK("https://dart.fss.or.kr/dsaf001/main.do?rcpNo=20260416000331", "공시열람")</f>
        <v/>
      </c>
    </row>
    <row r="5729">
      <c r="A5729" s="2" t="inlineStr">
        <is>
          <t>2026-04-16</t>
        </is>
      </c>
      <c r="B5729" s="3" t="inlineStr">
        <is>
          <t>뉴온</t>
        </is>
      </c>
      <c r="C5729" s="2" t="inlineStr">
        <is>
          <t>코스닥</t>
        </is>
      </c>
      <c r="D5729" s="2" t="inlineStr">
        <is>
          <t>123840</t>
        </is>
      </c>
      <c r="E5729" s="3" t="inlineStr">
        <is>
          <t>[첨부정정]주요사항보고서(자기전환사채만기전취득결정)</t>
        </is>
      </c>
      <c r="F5729" s="3" t="inlineStr">
        <is>
          <t>뉴온</t>
        </is>
      </c>
      <c r="G5729" s="2" t="inlineStr">
        <is>
          <t>20260416000307</t>
        </is>
      </c>
      <c r="H5729" s="8">
        <f>HYPERLINK("https://dart.fss.or.kr/dsaf001/main.do?rcpNo=20260416000307", "공시열람")</f>
        <v/>
      </c>
    </row>
    <row r="5730">
      <c r="A5730" s="2" t="inlineStr">
        <is>
          <t>2026-04-16</t>
        </is>
      </c>
      <c r="B5730" s="3" t="inlineStr">
        <is>
          <t>강원랜드</t>
        </is>
      </c>
      <c r="C5730" s="2" t="inlineStr">
        <is>
          <t>코스피</t>
        </is>
      </c>
      <c r="D5730" s="2" t="inlineStr">
        <is>
          <t>035250</t>
        </is>
      </c>
      <c r="E5730" s="3" t="inlineStr">
        <is>
          <t xml:space="preserve">결산실적공시예고(안내공시)              </t>
        </is>
      </c>
      <c r="F5730" s="3" t="inlineStr">
        <is>
          <t>강원랜드</t>
        </is>
      </c>
      <c r="G5730" s="2" t="inlineStr">
        <is>
          <t>20260416800391</t>
        </is>
      </c>
      <c r="H5730" s="8">
        <f>HYPERLINK("https://dart.fss.or.kr/dsaf001/main.do?rcpNo=20260416800391", "공시열람")</f>
        <v/>
      </c>
    </row>
    <row r="5731">
      <c r="A5731" s="2" t="inlineStr">
        <is>
          <t>2026-04-16</t>
        </is>
      </c>
      <c r="B5731" s="3" t="inlineStr">
        <is>
          <t>DB증권</t>
        </is>
      </c>
      <c r="C5731" s="2" t="inlineStr">
        <is>
          <t>코스피</t>
        </is>
      </c>
      <c r="D5731" s="2" t="inlineStr">
        <is>
          <t>016610</t>
        </is>
      </c>
      <c r="E5731" s="3" t="inlineStr">
        <is>
          <t>투자설명서(일괄신고)</t>
        </is>
      </c>
      <c r="F5731" s="3" t="inlineStr">
        <is>
          <t>DB증권</t>
        </is>
      </c>
      <c r="G5731" s="2" t="inlineStr">
        <is>
          <t>20260416000329</t>
        </is>
      </c>
      <c r="H5731" s="8">
        <f>HYPERLINK("https://dart.fss.or.kr/dsaf001/main.do?rcpNo=20260416000329", "공시열람")</f>
        <v/>
      </c>
    </row>
    <row r="5732">
      <c r="A5732" s="2" t="inlineStr">
        <is>
          <t>2026-04-16</t>
        </is>
      </c>
      <c r="B5732" s="3" t="inlineStr">
        <is>
          <t>화일약품</t>
        </is>
      </c>
      <c r="C5732" s="2" t="inlineStr">
        <is>
          <t>코스닥</t>
        </is>
      </c>
      <c r="D5732" s="2" t="inlineStr">
        <is>
          <t>061250</t>
        </is>
      </c>
      <c r="E5732" s="3" t="inlineStr">
        <is>
          <t>임원ㆍ주요주주특정증권등소유상황보고서</t>
        </is>
      </c>
      <c r="F5732" s="3" t="inlineStr">
        <is>
          <t>정정철</t>
        </is>
      </c>
      <c r="G5732" s="2" t="inlineStr">
        <is>
          <t>20260416000325</t>
        </is>
      </c>
      <c r="H5732" s="8">
        <f>HYPERLINK("https://dart.fss.or.kr/dsaf001/main.do?rcpNo=20260416000325", "공시열람")</f>
        <v/>
      </c>
    </row>
    <row r="5733">
      <c r="A5733" s="2" t="inlineStr">
        <is>
          <t>2026-04-16</t>
        </is>
      </c>
      <c r="B5733" s="3" t="inlineStr">
        <is>
          <t>DSR</t>
        </is>
      </c>
      <c r="C5733" s="2" t="inlineStr">
        <is>
          <t>코스피</t>
        </is>
      </c>
      <c r="D5733" s="2" t="inlineStr">
        <is>
          <t>155660</t>
        </is>
      </c>
      <c r="E5733" s="3" t="inlineStr">
        <is>
          <t>임원ㆍ주요주주특정증권등소유상황보고서</t>
        </is>
      </c>
      <c r="F5733" s="3" t="inlineStr">
        <is>
          <t>홍하종</t>
        </is>
      </c>
      <c r="G5733" s="2" t="inlineStr">
        <is>
          <t>20260416000320</t>
        </is>
      </c>
      <c r="H5733" s="8">
        <f>HYPERLINK("https://dart.fss.or.kr/dsaf001/main.do?rcpNo=20260416000320", "공시열람")</f>
        <v/>
      </c>
    </row>
    <row r="5734">
      <c r="A5734" s="2" t="inlineStr">
        <is>
          <t>2026-04-16</t>
        </is>
      </c>
      <c r="B5734" s="3" t="inlineStr">
        <is>
          <t>현대차증권</t>
        </is>
      </c>
      <c r="C5734" s="2" t="inlineStr">
        <is>
          <t>코스피</t>
        </is>
      </c>
      <c r="D5734" s="2" t="inlineStr">
        <is>
          <t>001500</t>
        </is>
      </c>
      <c r="E5734" s="3" t="inlineStr">
        <is>
          <t>투자설명서(일괄신고)</t>
        </is>
      </c>
      <c r="F5734" s="3" t="inlineStr">
        <is>
          <t>현대차증권</t>
        </is>
      </c>
      <c r="G5734" s="2" t="inlineStr">
        <is>
          <t>20260416000316</t>
        </is>
      </c>
      <c r="H5734" s="8">
        <f>HYPERLINK("https://dart.fss.or.kr/dsaf001/main.do?rcpNo=20260416000316", "공시열람")</f>
        <v/>
      </c>
    </row>
    <row r="5735">
      <c r="A5735" s="2" t="inlineStr">
        <is>
          <t>2026-04-16</t>
        </is>
      </c>
      <c r="B5735" s="3" t="inlineStr">
        <is>
          <t>레이저옵텍</t>
        </is>
      </c>
      <c r="C5735" s="2" t="inlineStr">
        <is>
          <t>코스닥</t>
        </is>
      </c>
      <c r="D5735" s="2" t="inlineStr">
        <is>
          <t>199550</t>
        </is>
      </c>
      <c r="E5735" s="3" t="inlineStr">
        <is>
          <t>증권발행실적보고서</t>
        </is>
      </c>
      <c r="F5735" s="3" t="inlineStr">
        <is>
          <t>레이저옵텍</t>
        </is>
      </c>
      <c r="G5735" s="2" t="inlineStr">
        <is>
          <t>20260416000294</t>
        </is>
      </c>
      <c r="H5735" s="8">
        <f>HYPERLINK("https://dart.fss.or.kr/dsaf001/main.do?rcpNo=20260416000294", "공시열람")</f>
        <v/>
      </c>
    </row>
    <row r="5736">
      <c r="A5736" s="2" t="inlineStr">
        <is>
          <t>2026-04-16</t>
        </is>
      </c>
      <c r="B5736" s="3" t="inlineStr">
        <is>
          <t>현대차증권</t>
        </is>
      </c>
      <c r="C5736" s="2" t="inlineStr">
        <is>
          <t>코스피</t>
        </is>
      </c>
      <c r="D5736" s="2" t="inlineStr">
        <is>
          <t>001500</t>
        </is>
      </c>
      <c r="E5736" s="3" t="inlineStr">
        <is>
          <t>일괄신고추가서류(파생결합증권-주가연계증권)</t>
        </is>
      </c>
      <c r="F5736" s="3" t="inlineStr">
        <is>
          <t>현대차증권</t>
        </is>
      </c>
      <c r="G5736" s="2" t="inlineStr">
        <is>
          <t>20260416000289</t>
        </is>
      </c>
      <c r="H5736" s="8">
        <f>HYPERLINK("https://dart.fss.or.kr/dsaf001/main.do?rcpNo=20260416000289", "공시열람")</f>
        <v/>
      </c>
    </row>
    <row r="5737">
      <c r="A5737" s="2" t="inlineStr">
        <is>
          <t>2026-04-16</t>
        </is>
      </c>
      <c r="B5737" s="3" t="inlineStr">
        <is>
          <t>대신증권</t>
        </is>
      </c>
      <c r="C5737" s="2" t="inlineStr">
        <is>
          <t>코스피</t>
        </is>
      </c>
      <c r="D5737" s="2" t="inlineStr">
        <is>
          <t>003540</t>
        </is>
      </c>
      <c r="E5737" s="3" t="inlineStr">
        <is>
          <t>일괄신고추가서류(파생결합사채-주가연계파생결합사채)</t>
        </is>
      </c>
      <c r="F5737" s="3" t="inlineStr">
        <is>
          <t>대신증권</t>
        </is>
      </c>
      <c r="G5737" s="2" t="inlineStr">
        <is>
          <t>20260416000286</t>
        </is>
      </c>
      <c r="H5737" s="8">
        <f>HYPERLINK("https://dart.fss.or.kr/dsaf001/main.do?rcpNo=20260416000286", "공시열람")</f>
        <v/>
      </c>
    </row>
    <row r="5738">
      <c r="A5738" s="2" t="inlineStr">
        <is>
          <t>2026-04-16</t>
        </is>
      </c>
      <c r="B5738" s="3" t="inlineStr">
        <is>
          <t>SK증권</t>
        </is>
      </c>
      <c r="C5738" s="2" t="inlineStr">
        <is>
          <t>코스피</t>
        </is>
      </c>
      <c r="D5738" s="2" t="inlineStr">
        <is>
          <t>001510</t>
        </is>
      </c>
      <c r="E5738" s="3" t="inlineStr">
        <is>
          <t>일괄신고추가서류(파생결합사채-주가연계파생결합사채)</t>
        </is>
      </c>
      <c r="F5738" s="3" t="inlineStr">
        <is>
          <t>SK증권</t>
        </is>
      </c>
      <c r="G5738" s="2" t="inlineStr">
        <is>
          <t>20260416000278</t>
        </is>
      </c>
      <c r="H5738" s="8">
        <f>HYPERLINK("https://dart.fss.or.kr/dsaf001/main.do?rcpNo=20260416000278", "공시열람")</f>
        <v/>
      </c>
    </row>
    <row r="5739">
      <c r="A5739" s="2" t="inlineStr">
        <is>
          <t>2026-04-16</t>
        </is>
      </c>
      <c r="B5739" s="3" t="inlineStr">
        <is>
          <t>키움증권</t>
        </is>
      </c>
      <c r="C5739" s="2" t="inlineStr">
        <is>
          <t>코스피</t>
        </is>
      </c>
      <c r="D5739" s="2" t="inlineStr">
        <is>
          <t>039490</t>
        </is>
      </c>
      <c r="E5739" s="3" t="inlineStr">
        <is>
          <t>투자설명서(일괄신고)</t>
        </is>
      </c>
      <c r="F5739" s="3" t="inlineStr">
        <is>
          <t>키움증권</t>
        </is>
      </c>
      <c r="G5739" s="2" t="inlineStr">
        <is>
          <t>20260416000277</t>
        </is>
      </c>
      <c r="H5739" s="8">
        <f>HYPERLINK("https://dart.fss.or.kr/dsaf001/main.do?rcpNo=20260416000277", "공시열람")</f>
        <v/>
      </c>
    </row>
    <row r="5740">
      <c r="A5740" s="2" t="inlineStr">
        <is>
          <t>2026-04-16</t>
        </is>
      </c>
      <c r="B5740" s="3" t="inlineStr">
        <is>
          <t>DB증권</t>
        </is>
      </c>
      <c r="C5740" s="2" t="inlineStr">
        <is>
          <t>코스피</t>
        </is>
      </c>
      <c r="D5740" s="2" t="inlineStr">
        <is>
          <t>016610</t>
        </is>
      </c>
      <c r="E5740" s="3" t="inlineStr">
        <is>
          <t>일괄신고추가서류(파생결합사채-주가연계파생결합사채)</t>
        </is>
      </c>
      <c r="F5740" s="3" t="inlineStr">
        <is>
          <t>DB증권</t>
        </is>
      </c>
      <c r="G5740" s="2" t="inlineStr">
        <is>
          <t>20260416000273</t>
        </is>
      </c>
      <c r="H5740" s="8">
        <f>HYPERLINK("https://dart.fss.or.kr/dsaf001/main.do?rcpNo=20260416000273", "공시열람")</f>
        <v/>
      </c>
    </row>
    <row r="5741">
      <c r="A5741" s="2" t="inlineStr">
        <is>
          <t>2026-04-16</t>
        </is>
      </c>
      <c r="B5741" s="3" t="inlineStr">
        <is>
          <t>레이저옵텍</t>
        </is>
      </c>
      <c r="C5741" s="2" t="inlineStr">
        <is>
          <t>코스닥</t>
        </is>
      </c>
      <c r="D5741" s="2" t="inlineStr">
        <is>
          <t>199550</t>
        </is>
      </c>
      <c r="E5741" s="3" t="inlineStr">
        <is>
          <t>증권발행결과(자율공시)              (주주배정후 실권주 일반공모)</t>
        </is>
      </c>
      <c r="F5741" s="3" t="inlineStr">
        <is>
          <t>레이저옵텍</t>
        </is>
      </c>
      <c r="G5741" s="2" t="inlineStr">
        <is>
          <t>20260416900329</t>
        </is>
      </c>
      <c r="H5741" s="8">
        <f>HYPERLINK("https://dart.fss.or.kr/dsaf001/main.do?rcpNo=20260416900329", "공시열람")</f>
        <v/>
      </c>
    </row>
    <row r="5742">
      <c r="A5742" s="2" t="inlineStr">
        <is>
          <t>2026-04-16</t>
        </is>
      </c>
      <c r="B5742" s="3" t="inlineStr">
        <is>
          <t>DB증권</t>
        </is>
      </c>
      <c r="C5742" s="2" t="inlineStr">
        <is>
          <t>코스피</t>
        </is>
      </c>
      <c r="D5742" s="2" t="inlineStr">
        <is>
          <t>016610</t>
        </is>
      </c>
      <c r="E5742" s="3" t="inlineStr">
        <is>
          <t>일괄신고추가서류(기타파생결합사채)</t>
        </is>
      </c>
      <c r="F5742" s="3" t="inlineStr">
        <is>
          <t>DB증권</t>
        </is>
      </c>
      <c r="G5742" s="2" t="inlineStr">
        <is>
          <t>20260416000271</t>
        </is>
      </c>
      <c r="H5742" s="8">
        <f>HYPERLINK("https://dart.fss.or.kr/dsaf001/main.do?rcpNo=20260416000271", "공시열람")</f>
        <v/>
      </c>
    </row>
    <row r="5743">
      <c r="A5743" s="2" t="inlineStr">
        <is>
          <t>2026-04-16 (정정: 2026-06-15)</t>
        </is>
      </c>
      <c r="B5743" s="3" t="inlineStr">
        <is>
          <t>모아데이타</t>
        </is>
      </c>
      <c r="C5743" s="2" t="inlineStr">
        <is>
          <t>코스닥</t>
        </is>
      </c>
      <c r="D5743" s="2" t="inlineStr">
        <is>
          <t>288980</t>
        </is>
      </c>
      <c r="E5743" s="3" t="inlineStr">
        <is>
          <t>기타경영사항(자율공시)              (제8회 신주인수권부사채(BW) 취득 후 재매각) (정정: 20260615)</t>
        </is>
      </c>
      <c r="F5743" s="3" t="inlineStr">
        <is>
          <t>모아데이타</t>
        </is>
      </c>
      <c r="G5743" s="2" t="inlineStr">
        <is>
          <t>20260615000210</t>
        </is>
      </c>
      <c r="H5743" s="8">
        <f>HYPERLINK("https://dart.fss.or.kr/dsaf001/main.do?rcpNo=20260615000210", "공시열람")</f>
        <v/>
      </c>
    </row>
    <row r="5744">
      <c r="A5744" s="2" t="inlineStr">
        <is>
          <t>2026-04-16 (정정: 2026-05-21)</t>
        </is>
      </c>
      <c r="B5744" s="3" t="inlineStr">
        <is>
          <t>버킷스튜디오</t>
        </is>
      </c>
      <c r="C5744" s="2" t="inlineStr">
        <is>
          <t>코스닥</t>
        </is>
      </c>
      <c r="D5744" s="2" t="inlineStr">
        <is>
          <t>066410</t>
        </is>
      </c>
      <c r="E5744" s="3" t="inlineStr">
        <is>
          <t>기타시장안내              (개선기간 종료에 따른 상장폐지 여부 결정 안내) (정정: 20260521)</t>
        </is>
      </c>
      <c r="F5744" s="3" t="inlineStr">
        <is>
          <t>코스닥시장본부</t>
        </is>
      </c>
      <c r="G5744" s="2" t="inlineStr">
        <is>
          <t>20260521900351</t>
        </is>
      </c>
      <c r="H5744" s="8">
        <f>HYPERLINK("https://dart.fss.or.kr/dsaf001/main.do?rcpNo=20260521900351", "공시열람")</f>
        <v/>
      </c>
    </row>
    <row r="5745">
      <c r="A5745" s="2" t="inlineStr">
        <is>
          <t>2026-04-16</t>
        </is>
      </c>
      <c r="B5745" s="3" t="inlineStr">
        <is>
          <t>모아데이타</t>
        </is>
      </c>
      <c r="C5745" s="2" t="inlineStr">
        <is>
          <t>코스닥</t>
        </is>
      </c>
      <c r="D5745" s="2" t="inlineStr">
        <is>
          <t>288980</t>
        </is>
      </c>
      <c r="E5745" s="3" t="inlineStr">
        <is>
          <t>주요사항보고서(자기전환사채매도결정)</t>
        </is>
      </c>
      <c r="F5745" s="3" t="inlineStr">
        <is>
          <t>모아데이타</t>
        </is>
      </c>
      <c r="G5745" s="2" t="inlineStr">
        <is>
          <t>20260416000240</t>
        </is>
      </c>
      <c r="H5745" s="8">
        <f>HYPERLINK("https://dart.fss.or.kr/dsaf001/main.do?rcpNo=20260416000240", "공시열람")</f>
        <v/>
      </c>
    </row>
    <row r="5746">
      <c r="A5746" s="2" t="inlineStr">
        <is>
          <t>2026-04-16</t>
        </is>
      </c>
      <c r="B5746" s="3" t="inlineStr">
        <is>
          <t>엘에스일렉트릭</t>
        </is>
      </c>
      <c r="C5746" s="2" t="inlineStr">
        <is>
          <t>코스피</t>
        </is>
      </c>
      <c r="D5746" s="2" t="inlineStr">
        <is>
          <t>010120</t>
        </is>
      </c>
      <c r="E5746" s="3" t="inlineStr">
        <is>
          <t>임원ㆍ주요주주특정증권등소유상황보고서</t>
        </is>
      </c>
      <c r="F5746" s="3" t="inlineStr">
        <is>
          <t>조욱동</t>
        </is>
      </c>
      <c r="G5746" s="2" t="inlineStr">
        <is>
          <t>20260416000247</t>
        </is>
      </c>
      <c r="H5746" s="8">
        <f>HYPERLINK("https://dart.fss.or.kr/dsaf001/main.do?rcpNo=20260416000247", "공시열람")</f>
        <v/>
      </c>
    </row>
    <row r="5747">
      <c r="A5747" s="2" t="inlineStr">
        <is>
          <t>2026-04-16 (정정: 2026-05-29)</t>
        </is>
      </c>
      <c r="B5747" s="3" t="inlineStr">
        <is>
          <t>에스투더블유</t>
        </is>
      </c>
      <c r="C5747" s="2" t="inlineStr">
        <is>
          <t>코스닥</t>
        </is>
      </c>
      <c r="D5747" s="2" t="inlineStr">
        <is>
          <t>488280</t>
        </is>
      </c>
      <c r="E5747" s="3" t="inlineStr">
        <is>
          <t>임원ㆍ주요주주특정증권등소유상황보고서 (정정: 20260416) (정정: 20260529)</t>
        </is>
      </c>
      <c r="F5747" s="3" t="inlineStr">
        <is>
          <t>서상덕</t>
        </is>
      </c>
      <c r="G5747" s="2" t="inlineStr">
        <is>
          <t>20260529901233</t>
        </is>
      </c>
      <c r="H5747" s="8">
        <f>HYPERLINK("https://dart.fss.or.kr/dsaf001/main.do?rcpNo=20260529901233", "공시열람")</f>
        <v/>
      </c>
    </row>
    <row r="5748">
      <c r="A5748" s="2" t="inlineStr">
        <is>
          <t>2026-04-16</t>
        </is>
      </c>
      <c r="B5748" s="3" t="inlineStr">
        <is>
          <t>펨트론</t>
        </is>
      </c>
      <c r="C5748" s="2" t="inlineStr">
        <is>
          <t>코스닥</t>
        </is>
      </c>
      <c r="D5748" s="2" t="inlineStr">
        <is>
          <t>168360</t>
        </is>
      </c>
      <c r="E5748" s="3" t="inlineStr">
        <is>
          <t>임원ㆍ주요주주특정증권등소유상황보고서</t>
        </is>
      </c>
      <c r="F5748" s="3" t="inlineStr">
        <is>
          <t>김재우</t>
        </is>
      </c>
      <c r="G5748" s="2" t="inlineStr">
        <is>
          <t>20260416000241</t>
        </is>
      </c>
      <c r="H5748" s="8">
        <f>HYPERLINK("https://dart.fss.or.kr/dsaf001/main.do?rcpNo=20260416000241", "공시열람")</f>
        <v/>
      </c>
    </row>
    <row r="5749">
      <c r="A5749" s="2" t="inlineStr">
        <is>
          <t>2026-04-16</t>
        </is>
      </c>
      <c r="B5749" s="3" t="inlineStr">
        <is>
          <t>민테크</t>
        </is>
      </c>
      <c r="C5749" s="2" t="inlineStr">
        <is>
          <t>코스닥</t>
        </is>
      </c>
      <c r="D5749" s="2" t="inlineStr">
        <is>
          <t>452200</t>
        </is>
      </c>
      <c r="E5749" s="3" t="inlineStr">
        <is>
          <t xml:space="preserve">주식매수선택권행사              </t>
        </is>
      </c>
      <c r="F5749" s="3" t="inlineStr">
        <is>
          <t>민테크</t>
        </is>
      </c>
      <c r="G5749" s="2" t="inlineStr">
        <is>
          <t>20260416900287</t>
        </is>
      </c>
      <c r="H5749" s="8">
        <f>HYPERLINK("https://dart.fss.or.kr/dsaf001/main.do?rcpNo=20260416900287", "공시열람")</f>
        <v/>
      </c>
    </row>
    <row r="5750">
      <c r="A5750" s="2" t="inlineStr">
        <is>
          <t>2026-04-16</t>
        </is>
      </c>
      <c r="B5750" s="3" t="inlineStr">
        <is>
          <t>뉴온</t>
        </is>
      </c>
      <c r="C5750" s="2" t="inlineStr">
        <is>
          <t>코스닥</t>
        </is>
      </c>
      <c r="D5750" s="2" t="inlineStr">
        <is>
          <t>123840</t>
        </is>
      </c>
      <c r="E5750" s="3" t="inlineStr">
        <is>
          <t>주요사항보고서(자기전환사채만기전취득결정)</t>
        </is>
      </c>
      <c r="F5750" s="3" t="inlineStr">
        <is>
          <t>뉴온</t>
        </is>
      </c>
      <c r="G5750" s="2" t="inlineStr">
        <is>
          <t>20260416000214</t>
        </is>
      </c>
      <c r="H5750" s="8">
        <f>HYPERLINK("https://dart.fss.or.kr/dsaf001/main.do?rcpNo=20260416000214", "공시열람")</f>
        <v/>
      </c>
    </row>
    <row r="5751">
      <c r="A5751" s="2" t="inlineStr">
        <is>
          <t>2026-04-16</t>
        </is>
      </c>
      <c r="B5751" s="3" t="inlineStr">
        <is>
          <t>SGC에너지</t>
        </is>
      </c>
      <c r="C5751" s="2" t="inlineStr">
        <is>
          <t>코스피</t>
        </is>
      </c>
      <c r="D5751" s="2" t="inlineStr">
        <is>
          <t>005090</t>
        </is>
      </c>
      <c r="E5751" s="3" t="inlineStr">
        <is>
          <t xml:space="preserve">기업설명회(IR)개최(안내공시)              </t>
        </is>
      </c>
      <c r="F5751" s="3" t="inlineStr">
        <is>
          <t>SGC에너지</t>
        </is>
      </c>
      <c r="G5751" s="2" t="inlineStr">
        <is>
          <t>20260416800298</t>
        </is>
      </c>
      <c r="H5751" s="8">
        <f>HYPERLINK("https://dart.fss.or.kr/dsaf001/main.do?rcpNo=20260416800298", "공시열람")</f>
        <v/>
      </c>
    </row>
    <row r="5752">
      <c r="A5752" s="2" t="inlineStr">
        <is>
          <t>2026-04-16</t>
        </is>
      </c>
      <c r="B5752" s="3" t="inlineStr">
        <is>
          <t>SGC에너지</t>
        </is>
      </c>
      <c r="C5752" s="2" t="inlineStr">
        <is>
          <t>코스피</t>
        </is>
      </c>
      <c r="D5752" s="2" t="inlineStr">
        <is>
          <t>005090</t>
        </is>
      </c>
      <c r="E5752" s="3" t="inlineStr">
        <is>
          <t xml:space="preserve">기업설명회(IR)개최(안내공시)              </t>
        </is>
      </c>
      <c r="F5752" s="3" t="inlineStr">
        <is>
          <t>SGC에너지</t>
        </is>
      </c>
      <c r="G5752" s="2" t="inlineStr">
        <is>
          <t>20260416800295</t>
        </is>
      </c>
      <c r="H5752" s="8">
        <f>HYPERLINK("https://dart.fss.or.kr/dsaf001/main.do?rcpNo=20260416800295", "공시열람")</f>
        <v/>
      </c>
    </row>
    <row r="5753">
      <c r="A5753" s="2" t="inlineStr">
        <is>
          <t>2026-04-16</t>
        </is>
      </c>
      <c r="B5753" s="3" t="inlineStr">
        <is>
          <t>SGC에너지</t>
        </is>
      </c>
      <c r="C5753" s="2" t="inlineStr">
        <is>
          <t>코스피</t>
        </is>
      </c>
      <c r="D5753" s="2" t="inlineStr">
        <is>
          <t>005090</t>
        </is>
      </c>
      <c r="E5753" s="3" t="inlineStr">
        <is>
          <t xml:space="preserve">기업설명회(IR)개최(안내공시)              </t>
        </is>
      </c>
      <c r="F5753" s="3" t="inlineStr">
        <is>
          <t>SGC에너지</t>
        </is>
      </c>
      <c r="G5753" s="2" t="inlineStr">
        <is>
          <t>20260416800293</t>
        </is>
      </c>
      <c r="H5753" s="8">
        <f>HYPERLINK("https://dart.fss.or.kr/dsaf001/main.do?rcpNo=20260416800293", "공시열람")</f>
        <v/>
      </c>
    </row>
    <row r="5754">
      <c r="A5754" s="2" t="inlineStr">
        <is>
          <t>2026-04-16</t>
        </is>
      </c>
      <c r="B5754" s="3" t="inlineStr">
        <is>
          <t>에이텍</t>
        </is>
      </c>
      <c r="C5754" s="2" t="inlineStr">
        <is>
          <t>코스닥</t>
        </is>
      </c>
      <c r="D5754" s="2" t="inlineStr">
        <is>
          <t>045660</t>
        </is>
      </c>
      <c r="E5754" s="3" t="inlineStr">
        <is>
          <t>임원ㆍ주요주주특정증권등소유상황보고서</t>
        </is>
      </c>
      <c r="F5754" s="3" t="inlineStr">
        <is>
          <t>신종수</t>
        </is>
      </c>
      <c r="G5754" s="2" t="inlineStr">
        <is>
          <t>20260416000238</t>
        </is>
      </c>
      <c r="H5754" s="8">
        <f>HYPERLINK("https://dart.fss.or.kr/dsaf001/main.do?rcpNo=20260416000238", "공시열람")</f>
        <v/>
      </c>
    </row>
    <row r="5755">
      <c r="A5755" s="2" t="inlineStr">
        <is>
          <t>2026-04-16</t>
        </is>
      </c>
      <c r="B5755" s="3" t="inlineStr">
        <is>
          <t>네오티스</t>
        </is>
      </c>
      <c r="C5755" s="2" t="inlineStr">
        <is>
          <t>코스닥</t>
        </is>
      </c>
      <c r="D5755" s="2" t="inlineStr">
        <is>
          <t>085910</t>
        </is>
      </c>
      <c r="E5755" s="3" t="inlineStr">
        <is>
          <t>임원ㆍ주요주주특정증권등소유상황보고서</t>
        </is>
      </c>
      <c r="F5755" s="3" t="inlineStr">
        <is>
          <t>KWON SANG HOON</t>
        </is>
      </c>
      <c r="G5755" s="2" t="inlineStr">
        <is>
          <t>20260416000220</t>
        </is>
      </c>
      <c r="H5755" s="8">
        <f>HYPERLINK("https://dart.fss.or.kr/dsaf001/main.do?rcpNo=20260416000220", "공시열람")</f>
        <v/>
      </c>
    </row>
    <row r="5756">
      <c r="A5756" s="2" t="inlineStr">
        <is>
          <t>2026-04-16</t>
        </is>
      </c>
      <c r="B5756" s="3" t="inlineStr">
        <is>
          <t>엘에스일렉트릭</t>
        </is>
      </c>
      <c r="C5756" s="2" t="inlineStr">
        <is>
          <t>코스피</t>
        </is>
      </c>
      <c r="D5756" s="2" t="inlineStr">
        <is>
          <t>010120</t>
        </is>
      </c>
      <c r="E5756" s="3" t="inlineStr">
        <is>
          <t>임원ㆍ주요주주특정증권등소유상황보고서</t>
        </is>
      </c>
      <c r="F5756" s="3" t="inlineStr">
        <is>
          <t>김희중</t>
        </is>
      </c>
      <c r="G5756" s="2" t="inlineStr">
        <is>
          <t>20260416000213</t>
        </is>
      </c>
      <c r="H5756" s="8">
        <f>HYPERLINK("https://dart.fss.or.kr/dsaf001/main.do?rcpNo=20260416000213", "공시열람")</f>
        <v/>
      </c>
    </row>
    <row r="5757">
      <c r="A5757" s="2" t="inlineStr">
        <is>
          <t>2026-04-16</t>
        </is>
      </c>
      <c r="B5757" s="3" t="inlineStr">
        <is>
          <t>엘에스일렉트릭</t>
        </is>
      </c>
      <c r="C5757" s="2" t="inlineStr">
        <is>
          <t>코스피</t>
        </is>
      </c>
      <c r="D5757" s="2" t="inlineStr">
        <is>
          <t>010120</t>
        </is>
      </c>
      <c r="E5757" s="3" t="inlineStr">
        <is>
          <t xml:space="preserve">결산실적공시예고(안내공시)              </t>
        </is>
      </c>
      <c r="F5757" s="3" t="inlineStr">
        <is>
          <t>엘에스일렉트릭</t>
        </is>
      </c>
      <c r="G5757" s="2" t="inlineStr">
        <is>
          <t>20260416800279</t>
        </is>
      </c>
      <c r="H5757" s="8">
        <f>HYPERLINK("https://dart.fss.or.kr/dsaf001/main.do?rcpNo=20260416800279", "공시열람")</f>
        <v/>
      </c>
    </row>
    <row r="5758">
      <c r="A5758" s="2" t="inlineStr">
        <is>
          <t>2026-04-16 (정정: 2026-05-20)</t>
        </is>
      </c>
      <c r="B5758" s="3" t="inlineStr">
        <is>
          <t>미래에셋증권</t>
        </is>
      </c>
      <c r="C5758" s="2" t="inlineStr">
        <is>
          <t>코스피</t>
        </is>
      </c>
      <c r="D5758" s="2" t="inlineStr">
        <is>
          <t>006800</t>
        </is>
      </c>
      <c r="E5758" s="3" t="inlineStr">
        <is>
          <t>증권발행실적보고서 (정정: 20260520) (정정: 20260520)</t>
        </is>
      </c>
      <c r="F5758" s="3" t="inlineStr">
        <is>
          <t>미래에셋증권</t>
        </is>
      </c>
      <c r="G5758" s="2" t="inlineStr">
        <is>
          <t>20260520000183</t>
        </is>
      </c>
      <c r="H5758" s="8">
        <f>HYPERLINK("https://dart.fss.or.kr/dsaf001/main.do?rcpNo=20260520000183", "공시열람")</f>
        <v/>
      </c>
    </row>
    <row r="5759">
      <c r="A5759" s="2" t="inlineStr">
        <is>
          <t>2026-04-16</t>
        </is>
      </c>
      <c r="B5759" s="3" t="inlineStr">
        <is>
          <t>키움증권</t>
        </is>
      </c>
      <c r="C5759" s="2" t="inlineStr">
        <is>
          <t>코스피</t>
        </is>
      </c>
      <c r="D5759" s="2" t="inlineStr">
        <is>
          <t>039490</t>
        </is>
      </c>
      <c r="E5759" s="3" t="inlineStr">
        <is>
          <t>투자설명서(일괄신고)</t>
        </is>
      </c>
      <c r="F5759" s="3" t="inlineStr">
        <is>
          <t>키움증권</t>
        </is>
      </c>
      <c r="G5759" s="2" t="inlineStr">
        <is>
          <t>20260416000201</t>
        </is>
      </c>
      <c r="H5759" s="8">
        <f>HYPERLINK("https://dart.fss.or.kr/dsaf001/main.do?rcpNo=20260416000201", "공시열람")</f>
        <v/>
      </c>
    </row>
    <row r="5760">
      <c r="A5760" s="2" t="inlineStr">
        <is>
          <t>2026-04-16</t>
        </is>
      </c>
      <c r="B5760" s="3" t="inlineStr">
        <is>
          <t>교보증권</t>
        </is>
      </c>
      <c r="C5760" s="2" t="inlineStr">
        <is>
          <t>코스피</t>
        </is>
      </c>
      <c r="D5760" s="2" t="inlineStr">
        <is>
          <t>030610</t>
        </is>
      </c>
      <c r="E5760" s="3" t="inlineStr">
        <is>
          <t>투자설명서(일괄신고)</t>
        </is>
      </c>
      <c r="F5760" s="3" t="inlineStr">
        <is>
          <t>교보증권</t>
        </is>
      </c>
      <c r="G5760" s="2" t="inlineStr">
        <is>
          <t>20260416000199</t>
        </is>
      </c>
      <c r="H5760" s="8">
        <f>HYPERLINK("https://dart.fss.or.kr/dsaf001/main.do?rcpNo=20260416000199", "공시열람")</f>
        <v/>
      </c>
    </row>
    <row r="5761">
      <c r="A5761" s="2" t="inlineStr">
        <is>
          <t>2026-04-16</t>
        </is>
      </c>
      <c r="B5761" s="3" t="inlineStr">
        <is>
          <t>캠시스</t>
        </is>
      </c>
      <c r="C5761" s="2" t="inlineStr">
        <is>
          <t>코스닥</t>
        </is>
      </c>
      <c r="D5761" s="2" t="inlineStr">
        <is>
          <t>050110</t>
        </is>
      </c>
      <c r="E5761" s="3" t="inlineStr">
        <is>
          <t>증권발행실적보고서</t>
        </is>
      </c>
      <c r="F5761" s="3" t="inlineStr">
        <is>
          <t>캠시스</t>
        </is>
      </c>
      <c r="G5761" s="2" t="inlineStr">
        <is>
          <t>20260416000198</t>
        </is>
      </c>
      <c r="H5761" s="8">
        <f>HYPERLINK("https://dart.fss.or.kr/dsaf001/main.do?rcpNo=20260416000198", "공시열람")</f>
        <v/>
      </c>
    </row>
    <row r="5762">
      <c r="A5762" s="2" t="inlineStr">
        <is>
          <t>2026-04-16</t>
        </is>
      </c>
      <c r="B5762" s="3" t="inlineStr">
        <is>
          <t>교보증권</t>
        </is>
      </c>
      <c r="C5762" s="2" t="inlineStr">
        <is>
          <t>코스피</t>
        </is>
      </c>
      <c r="D5762" s="2" t="inlineStr">
        <is>
          <t>030610</t>
        </is>
      </c>
      <c r="E5762" s="3" t="inlineStr">
        <is>
          <t>투자설명서(일괄신고)</t>
        </is>
      </c>
      <c r="F5762" s="3" t="inlineStr">
        <is>
          <t>교보증권</t>
        </is>
      </c>
      <c r="G5762" s="2" t="inlineStr">
        <is>
          <t>20260416000196</t>
        </is>
      </c>
      <c r="H5762" s="8">
        <f>HYPERLINK("https://dart.fss.or.kr/dsaf001/main.do?rcpNo=20260416000196", "공시열람")</f>
        <v/>
      </c>
    </row>
    <row r="5763">
      <c r="A5763" s="2" t="inlineStr">
        <is>
          <t>2026-04-16</t>
        </is>
      </c>
      <c r="B5763" s="3" t="inlineStr">
        <is>
          <t>캠시스</t>
        </is>
      </c>
      <c r="C5763" s="2" t="inlineStr">
        <is>
          <t>코스닥</t>
        </is>
      </c>
      <c r="D5763" s="2" t="inlineStr">
        <is>
          <t>050110</t>
        </is>
      </c>
      <c r="E5763" s="3" t="inlineStr">
        <is>
          <t xml:space="preserve">증권발행결과(자율공시)              </t>
        </is>
      </c>
      <c r="F5763" s="3" t="inlineStr">
        <is>
          <t>캠시스</t>
        </is>
      </c>
      <c r="G5763" s="2" t="inlineStr">
        <is>
          <t>20260416900257</t>
        </is>
      </c>
      <c r="H5763" s="8">
        <f>HYPERLINK("https://dart.fss.or.kr/dsaf001/main.do?rcpNo=20260416900257", "공시열람")</f>
        <v/>
      </c>
    </row>
    <row r="5764">
      <c r="A5764" s="2" t="inlineStr">
        <is>
          <t>2026-04-16</t>
        </is>
      </c>
      <c r="B5764" s="3" t="inlineStr">
        <is>
          <t>금호에이치티</t>
        </is>
      </c>
      <c r="C5764" s="2" t="inlineStr">
        <is>
          <t>코스피</t>
        </is>
      </c>
      <c r="D5764" s="2" t="inlineStr">
        <is>
          <t>214330</t>
        </is>
      </c>
      <c r="E5764" s="3" t="inlineStr">
        <is>
          <t>임원ㆍ주요주주특정증권등소유상황보고서</t>
        </is>
      </c>
      <c r="F5764" s="3" t="inlineStr">
        <is>
          <t>에코볼트</t>
        </is>
      </c>
      <c r="G5764" s="2" t="inlineStr">
        <is>
          <t>20260416000191</t>
        </is>
      </c>
      <c r="H5764" s="8">
        <f>HYPERLINK("https://dart.fss.or.kr/dsaf001/main.do?rcpNo=20260416000191", "공시열람")</f>
        <v/>
      </c>
    </row>
    <row r="5765">
      <c r="A5765" s="2" t="inlineStr">
        <is>
          <t>2026-04-16</t>
        </is>
      </c>
      <c r="B5765" s="3" t="inlineStr">
        <is>
          <t>아티스트스튜디오</t>
        </is>
      </c>
      <c r="C5765" s="2" t="inlineStr">
        <is>
          <t>코스닥</t>
        </is>
      </c>
      <c r="D5765" s="2" t="inlineStr">
        <is>
          <t>200350</t>
        </is>
      </c>
      <c r="E5765" s="3" t="inlineStr">
        <is>
          <t xml:space="preserve">소송등의판결ㆍ결정              </t>
        </is>
      </c>
      <c r="F5765" s="3" t="inlineStr">
        <is>
          <t>아티스트스튜디오</t>
        </is>
      </c>
      <c r="G5765" s="2" t="inlineStr">
        <is>
          <t>20260416900250</t>
        </is>
      </c>
      <c r="H5765" s="8">
        <f>HYPERLINK("https://dart.fss.or.kr/dsaf001/main.do?rcpNo=20260416900250", "공시열람")</f>
        <v/>
      </c>
    </row>
    <row r="5766">
      <c r="A5766" s="2" t="inlineStr">
        <is>
          <t>2026-04-16</t>
        </is>
      </c>
      <c r="B5766" s="3" t="inlineStr">
        <is>
          <t>교보증권</t>
        </is>
      </c>
      <c r="C5766" s="2" t="inlineStr">
        <is>
          <t>코스피</t>
        </is>
      </c>
      <c r="D5766" s="2" t="inlineStr">
        <is>
          <t>030610</t>
        </is>
      </c>
      <c r="E5766" s="3" t="inlineStr">
        <is>
          <t>일괄신고추가서류(파생결합증권-주가연계증권)</t>
        </is>
      </c>
      <c r="F5766" s="3" t="inlineStr">
        <is>
          <t>교보증권</t>
        </is>
      </c>
      <c r="G5766" s="2" t="inlineStr">
        <is>
          <t>20260416000178</t>
        </is>
      </c>
      <c r="H5766" s="8">
        <f>HYPERLINK("https://dart.fss.or.kr/dsaf001/main.do?rcpNo=20260416000178", "공시열람")</f>
        <v/>
      </c>
    </row>
    <row r="5767">
      <c r="A5767" s="2" t="inlineStr">
        <is>
          <t>2026-04-16</t>
        </is>
      </c>
      <c r="B5767" s="3" t="inlineStr">
        <is>
          <t>교보증권</t>
        </is>
      </c>
      <c r="C5767" s="2" t="inlineStr">
        <is>
          <t>코스피</t>
        </is>
      </c>
      <c r="D5767" s="2" t="inlineStr">
        <is>
          <t>030610</t>
        </is>
      </c>
      <c r="E5767" s="3" t="inlineStr">
        <is>
          <t>일괄신고추가서류(파생결합사채-주가연계파생결합사채)</t>
        </is>
      </c>
      <c r="F5767" s="3" t="inlineStr">
        <is>
          <t>교보증권</t>
        </is>
      </c>
      <c r="G5767" s="2" t="inlineStr">
        <is>
          <t>20260416000177</t>
        </is>
      </c>
      <c r="H5767" s="8">
        <f>HYPERLINK("https://dart.fss.or.kr/dsaf001/main.do?rcpNo=20260416000177", "공시열람")</f>
        <v/>
      </c>
    </row>
    <row r="5768">
      <c r="A5768" s="2" t="inlineStr">
        <is>
          <t>2026-04-16</t>
        </is>
      </c>
      <c r="B5768" s="3" t="inlineStr">
        <is>
          <t>로킷헬스케어</t>
        </is>
      </c>
      <c r="C5768" s="2" t="inlineStr">
        <is>
          <t>코스닥</t>
        </is>
      </c>
      <c r="D5768" s="2" t="inlineStr">
        <is>
          <t>376900</t>
        </is>
      </c>
      <c r="E5768" s="3" t="inlineStr">
        <is>
          <t xml:space="preserve">해외증권시장주권등상장결정(종속회사의주요경영사항)              </t>
        </is>
      </c>
      <c r="F5768" s="3" t="inlineStr">
        <is>
          <t>로킷헬스케어</t>
        </is>
      </c>
      <c r="G5768" s="2" t="inlineStr">
        <is>
          <t>20260416900230</t>
        </is>
      </c>
      <c r="H5768" s="8">
        <f>HYPERLINK("https://dart.fss.or.kr/dsaf001/main.do?rcpNo=20260416900230", "공시열람")</f>
        <v/>
      </c>
    </row>
    <row r="5769">
      <c r="A5769" s="2" t="inlineStr">
        <is>
          <t>2026-04-16</t>
        </is>
      </c>
      <c r="B5769" s="3" t="inlineStr">
        <is>
          <t>엘에스일렉트릭</t>
        </is>
      </c>
      <c r="C5769" s="2" t="inlineStr">
        <is>
          <t>코스피</t>
        </is>
      </c>
      <c r="D5769" s="2" t="inlineStr">
        <is>
          <t>010120</t>
        </is>
      </c>
      <c r="E5769" s="3" t="inlineStr">
        <is>
          <t>임원ㆍ주요주주특정증권등소유상황보고서</t>
        </is>
      </c>
      <c r="F5769" s="3" t="inlineStr">
        <is>
          <t>최종섭</t>
        </is>
      </c>
      <c r="G5769" s="2" t="inlineStr">
        <is>
          <t>20260416000173</t>
        </is>
      </c>
      <c r="H5769" s="8">
        <f>HYPERLINK("https://dart.fss.or.kr/dsaf001/main.do?rcpNo=20260416000173", "공시열람")</f>
        <v/>
      </c>
    </row>
    <row r="5770">
      <c r="A5770" s="2" t="inlineStr">
        <is>
          <t>2026-04-16</t>
        </is>
      </c>
      <c r="B5770" s="3" t="inlineStr">
        <is>
          <t>동진쎄미켐</t>
        </is>
      </c>
      <c r="C5770" s="2" t="inlineStr">
        <is>
          <t>코스닥</t>
        </is>
      </c>
      <c r="D5770" s="2" t="inlineStr">
        <is>
          <t>005290</t>
        </is>
      </c>
      <c r="E5770" s="3" t="inlineStr">
        <is>
          <t>신탁계약해지결과보고서</t>
        </is>
      </c>
      <c r="F5770" s="3" t="inlineStr">
        <is>
          <t>동진쎄미켐</t>
        </is>
      </c>
      <c r="G5770" s="2" t="inlineStr">
        <is>
          <t>20260416000169</t>
        </is>
      </c>
      <c r="H5770" s="8">
        <f>HYPERLINK("https://dart.fss.or.kr/dsaf001/main.do?rcpNo=20260416000169", "공시열람")</f>
        <v/>
      </c>
    </row>
    <row r="5771">
      <c r="A5771" s="2" t="inlineStr">
        <is>
          <t>2026-04-16</t>
        </is>
      </c>
      <c r="B5771" s="3" t="inlineStr">
        <is>
          <t>화인써키트</t>
        </is>
      </c>
      <c r="C5771" s="2" t="inlineStr">
        <is>
          <t>코스닥</t>
        </is>
      </c>
      <c r="D5771" s="2" t="inlineStr">
        <is>
          <t>127980</t>
        </is>
      </c>
      <c r="E5771" s="3" t="inlineStr">
        <is>
          <t>의결권대리행사권유참고서류</t>
        </is>
      </c>
      <c r="F5771" s="3" t="inlineStr">
        <is>
          <t>화인써키트</t>
        </is>
      </c>
      <c r="G5771" s="2" t="inlineStr">
        <is>
          <t>20260416000157</t>
        </is>
      </c>
      <c r="H5771" s="8">
        <f>HYPERLINK("https://dart.fss.or.kr/dsaf001/main.do?rcpNo=20260416000157", "공시열람")</f>
        <v/>
      </c>
    </row>
    <row r="5772">
      <c r="A5772" s="2" t="inlineStr">
        <is>
          <t>2026-04-16</t>
        </is>
      </c>
      <c r="B5772" s="3" t="inlineStr">
        <is>
          <t>유한양행</t>
        </is>
      </c>
      <c r="C5772" s="2" t="inlineStr">
        <is>
          <t>코스피</t>
        </is>
      </c>
      <c r="D5772" s="2" t="inlineStr">
        <is>
          <t>000100</t>
        </is>
      </c>
      <c r="E5772" s="3" t="inlineStr">
        <is>
          <t>임원ㆍ주요주주특정증권등소유상황보고서</t>
        </is>
      </c>
      <c r="F5772" s="3" t="inlineStr">
        <is>
          <t>조욱제</t>
        </is>
      </c>
      <c r="G5772" s="2" t="inlineStr">
        <is>
          <t>20260416000150</t>
        </is>
      </c>
      <c r="H5772" s="8">
        <f>HYPERLINK("https://dart.fss.or.kr/dsaf001/main.do?rcpNo=20260416000150", "공시열람")</f>
        <v/>
      </c>
    </row>
    <row r="5773">
      <c r="A5773" s="2" t="inlineStr">
        <is>
          <t>2026-04-16</t>
        </is>
      </c>
      <c r="B5773" s="3" t="inlineStr">
        <is>
          <t>미원상사</t>
        </is>
      </c>
      <c r="C5773" s="2" t="inlineStr">
        <is>
          <t>코스피</t>
        </is>
      </c>
      <c r="D5773" s="2" t="inlineStr">
        <is>
          <t>002840</t>
        </is>
      </c>
      <c r="E5773" s="3" t="inlineStr">
        <is>
          <t>임원ㆍ주요주주특정증권등소유상황보고서</t>
        </is>
      </c>
      <c r="F5773" s="3" t="inlineStr">
        <is>
          <t>미원상사우리사주</t>
        </is>
      </c>
      <c r="G5773" s="2" t="inlineStr">
        <is>
          <t>20260416000136</t>
        </is>
      </c>
      <c r="H5773" s="8">
        <f>HYPERLINK("https://dart.fss.or.kr/dsaf001/main.do?rcpNo=20260416000136", "공시열람")</f>
        <v/>
      </c>
    </row>
    <row r="5774">
      <c r="A5774" s="2" t="inlineStr">
        <is>
          <t>2026-04-16</t>
        </is>
      </c>
      <c r="B5774" s="3" t="inlineStr">
        <is>
          <t>금호에이치티</t>
        </is>
      </c>
      <c r="C5774" s="2" t="inlineStr">
        <is>
          <t>코스피</t>
        </is>
      </c>
      <c r="D5774" s="2" t="inlineStr">
        <is>
          <t>214330</t>
        </is>
      </c>
      <c r="E5774" s="3" t="inlineStr">
        <is>
          <t>임원ㆍ주요주주특정증권등소유상황보고서</t>
        </is>
      </c>
      <c r="F5774" s="3" t="inlineStr">
        <is>
          <t>김진곤</t>
        </is>
      </c>
      <c r="G5774" s="2" t="inlineStr">
        <is>
          <t>20260416000135</t>
        </is>
      </c>
      <c r="H5774" s="8">
        <f>HYPERLINK("https://dart.fss.or.kr/dsaf001/main.do?rcpNo=20260416000135", "공시열람")</f>
        <v/>
      </c>
    </row>
    <row r="5775">
      <c r="A5775" s="2" t="inlineStr">
        <is>
          <t>2026-04-16</t>
        </is>
      </c>
      <c r="B5775" s="3" t="inlineStr">
        <is>
          <t>한화투자증권</t>
        </is>
      </c>
      <c r="C5775" s="2" t="inlineStr">
        <is>
          <t>코스피</t>
        </is>
      </c>
      <c r="D5775" s="2" t="inlineStr">
        <is>
          <t>003530</t>
        </is>
      </c>
      <c r="E5775" s="3" t="inlineStr">
        <is>
          <t>투자설명서(일괄신고)</t>
        </is>
      </c>
      <c r="F5775" s="3" t="inlineStr">
        <is>
          <t>한화투자증권</t>
        </is>
      </c>
      <c r="G5775" s="2" t="inlineStr">
        <is>
          <t>20260416000133</t>
        </is>
      </c>
      <c r="H5775" s="8">
        <f>HYPERLINK("https://dart.fss.or.kr/dsaf001/main.do?rcpNo=20260416000133", "공시열람")</f>
        <v/>
      </c>
    </row>
    <row r="5776">
      <c r="A5776" s="2" t="inlineStr">
        <is>
          <t>2026-04-16</t>
        </is>
      </c>
      <c r="B5776" s="3" t="inlineStr">
        <is>
          <t>금호에이치티</t>
        </is>
      </c>
      <c r="C5776" s="2" t="inlineStr">
        <is>
          <t>코스피</t>
        </is>
      </c>
      <c r="D5776" s="2" t="inlineStr">
        <is>
          <t>214330</t>
        </is>
      </c>
      <c r="E5776" s="3" t="inlineStr">
        <is>
          <t>임원ㆍ주요주주특정증권등소유상황보고서</t>
        </is>
      </c>
      <c r="F5776" s="3" t="inlineStr">
        <is>
          <t>김두인</t>
        </is>
      </c>
      <c r="G5776" s="2" t="inlineStr">
        <is>
          <t>20260416000132</t>
        </is>
      </c>
      <c r="H5776" s="8">
        <f>HYPERLINK("https://dart.fss.or.kr/dsaf001/main.do?rcpNo=20260416000132", "공시열람")</f>
        <v/>
      </c>
    </row>
    <row r="5777">
      <c r="A5777" s="2" t="inlineStr">
        <is>
          <t>2026-04-16</t>
        </is>
      </c>
      <c r="B5777" s="3" t="inlineStr">
        <is>
          <t>금호에이치티</t>
        </is>
      </c>
      <c r="C5777" s="2" t="inlineStr">
        <is>
          <t>코스피</t>
        </is>
      </c>
      <c r="D5777" s="2" t="inlineStr">
        <is>
          <t>214330</t>
        </is>
      </c>
      <c r="E5777" s="3" t="inlineStr">
        <is>
          <t>임원ㆍ주요주주특정증권등소유상황보고서</t>
        </is>
      </c>
      <c r="F5777" s="3" t="inlineStr">
        <is>
          <t>전철수</t>
        </is>
      </c>
      <c r="G5777" s="2" t="inlineStr">
        <is>
          <t>20260416000128</t>
        </is>
      </c>
      <c r="H5777" s="8">
        <f>HYPERLINK("https://dart.fss.or.kr/dsaf001/main.do?rcpNo=20260416000128", "공시열람")</f>
        <v/>
      </c>
    </row>
    <row r="5778">
      <c r="A5778" s="2" t="inlineStr">
        <is>
          <t>2026-04-16</t>
        </is>
      </c>
      <c r="B5778" s="3" t="inlineStr">
        <is>
          <t>LG씨엔에스</t>
        </is>
      </c>
      <c r="C5778" s="2" t="inlineStr">
        <is>
          <t>코스피</t>
        </is>
      </c>
      <c r="D5778" s="2" t="inlineStr">
        <is>
          <t>064400</t>
        </is>
      </c>
      <c r="E5778" s="3" t="inlineStr">
        <is>
          <t xml:space="preserve">결산실적공시예고(안내공시)              </t>
        </is>
      </c>
      <c r="F5778" s="3" t="inlineStr">
        <is>
          <t>LG씨엔에스</t>
        </is>
      </c>
      <c r="G5778" s="2" t="inlineStr">
        <is>
          <t>20260416800175</t>
        </is>
      </c>
      <c r="H5778" s="8">
        <f>HYPERLINK("https://dart.fss.or.kr/dsaf001/main.do?rcpNo=20260416800175", "공시열람")</f>
        <v/>
      </c>
    </row>
    <row r="5779">
      <c r="A5779" s="2" t="inlineStr">
        <is>
          <t>2026-04-16 (정정: 2026-05-20)</t>
        </is>
      </c>
      <c r="B5779" s="3" t="inlineStr">
        <is>
          <t>원텍</t>
        </is>
      </c>
      <c r="C5779" s="2" t="inlineStr">
        <is>
          <t>코스닥</t>
        </is>
      </c>
      <c r="D5779" s="2" t="inlineStr">
        <is>
          <t>336570</t>
        </is>
      </c>
      <c r="E5779" s="3" t="inlineStr">
        <is>
          <t>자기주식처분결과보고서 (정정: 20260520)</t>
        </is>
      </c>
      <c r="F5779" s="3" t="inlineStr">
        <is>
          <t>원텍</t>
        </is>
      </c>
      <c r="G5779" s="2" t="inlineStr">
        <is>
          <t>20260520000194</t>
        </is>
      </c>
      <c r="H5779" s="8">
        <f>HYPERLINK("https://dart.fss.or.kr/dsaf001/main.do?rcpNo=20260520000194", "공시열람")</f>
        <v/>
      </c>
    </row>
    <row r="5780">
      <c r="A5780" s="2" t="inlineStr">
        <is>
          <t>2026-04-16</t>
        </is>
      </c>
      <c r="B5780" s="3" t="inlineStr">
        <is>
          <t>LG씨엔에스</t>
        </is>
      </c>
      <c r="C5780" s="2" t="inlineStr">
        <is>
          <t>코스피</t>
        </is>
      </c>
      <c r="D5780" s="2" t="inlineStr">
        <is>
          <t>064400</t>
        </is>
      </c>
      <c r="E5780" s="3" t="inlineStr">
        <is>
          <t xml:space="preserve">기업설명회(IR)개최(안내공시)              </t>
        </is>
      </c>
      <c r="F5780" s="3" t="inlineStr">
        <is>
          <t>LG씨엔에스</t>
        </is>
      </c>
      <c r="G5780" s="2" t="inlineStr">
        <is>
          <t>20260416800169</t>
        </is>
      </c>
      <c r="H5780" s="8">
        <f>HYPERLINK("https://dart.fss.or.kr/dsaf001/main.do?rcpNo=20260416800169", "공시열람")</f>
        <v/>
      </c>
    </row>
    <row r="5781">
      <c r="A5781" s="2" t="inlineStr">
        <is>
          <t>2026-04-16</t>
        </is>
      </c>
      <c r="B5781" s="3" t="inlineStr">
        <is>
          <t>삼성FN리츠</t>
        </is>
      </c>
      <c r="C5781" s="2" t="inlineStr">
        <is>
          <t>코스피</t>
        </is>
      </c>
      <c r="D5781" s="2" t="inlineStr">
        <is>
          <t>448730</t>
        </is>
      </c>
      <c r="E5781" s="3" t="inlineStr">
        <is>
          <t xml:space="preserve">기타경영사항(자율공시)              </t>
        </is>
      </c>
      <c r="F5781" s="3" t="inlineStr">
        <is>
          <t>삼성FN리츠</t>
        </is>
      </c>
      <c r="G5781" s="2" t="inlineStr">
        <is>
          <t>20260416800163</t>
        </is>
      </c>
      <c r="H5781" s="8">
        <f>HYPERLINK("https://dart.fss.or.kr/dsaf001/main.do?rcpNo=20260416800163", "공시열람")</f>
        <v/>
      </c>
    </row>
    <row r="5782">
      <c r="A5782" s="2" t="inlineStr">
        <is>
          <t>2026-04-16</t>
        </is>
      </c>
      <c r="B5782" s="3" t="inlineStr">
        <is>
          <t>키움증권</t>
        </is>
      </c>
      <c r="C5782" s="2" t="inlineStr">
        <is>
          <t>코스피</t>
        </is>
      </c>
      <c r="D5782" s="2" t="inlineStr">
        <is>
          <t>039490</t>
        </is>
      </c>
      <c r="E5782" s="3" t="inlineStr">
        <is>
          <t>일괄신고추가서류(파생결합증권-주가연계증권)</t>
        </is>
      </c>
      <c r="F5782" s="3" t="inlineStr">
        <is>
          <t>키움증권</t>
        </is>
      </c>
      <c r="G5782" s="2" t="inlineStr">
        <is>
          <t>20260416000116</t>
        </is>
      </c>
      <c r="H5782" s="8">
        <f>HYPERLINK("https://dart.fss.or.kr/dsaf001/main.do?rcpNo=20260416000116", "공시열람")</f>
        <v/>
      </c>
    </row>
    <row r="5783">
      <c r="A5783" s="2" t="inlineStr">
        <is>
          <t>2026-04-16</t>
        </is>
      </c>
      <c r="B5783" s="3" t="inlineStr">
        <is>
          <t>키움증권</t>
        </is>
      </c>
      <c r="C5783" s="2" t="inlineStr">
        <is>
          <t>코스피</t>
        </is>
      </c>
      <c r="D5783" s="2" t="inlineStr">
        <is>
          <t>039490</t>
        </is>
      </c>
      <c r="E5783" s="3" t="inlineStr">
        <is>
          <t>일괄신고추가서류(파생결합사채-주가연계파생결합사채)</t>
        </is>
      </c>
      <c r="F5783" s="3" t="inlineStr">
        <is>
          <t>키움증권</t>
        </is>
      </c>
      <c r="G5783" s="2" t="inlineStr">
        <is>
          <t>20260416000115</t>
        </is>
      </c>
      <c r="H5783" s="8">
        <f>HYPERLINK("https://dart.fss.or.kr/dsaf001/main.do?rcpNo=20260416000115", "공시열람")</f>
        <v/>
      </c>
    </row>
    <row r="5784">
      <c r="A5784" s="2" t="inlineStr">
        <is>
          <t>2026-04-16</t>
        </is>
      </c>
      <c r="B5784" s="3" t="inlineStr">
        <is>
          <t>한화투자증권</t>
        </is>
      </c>
      <c r="C5784" s="2" t="inlineStr">
        <is>
          <t>코스피</t>
        </is>
      </c>
      <c r="D5784" s="2" t="inlineStr">
        <is>
          <t>003530</t>
        </is>
      </c>
      <c r="E5784" s="3" t="inlineStr">
        <is>
          <t>일괄신고추가서류(기타파생결합사채)</t>
        </is>
      </c>
      <c r="F5784" s="3" t="inlineStr">
        <is>
          <t>한화투자증권</t>
        </is>
      </c>
      <c r="G5784" s="2" t="inlineStr">
        <is>
          <t>20260416000113</t>
        </is>
      </c>
      <c r="H5784" s="8">
        <f>HYPERLINK("https://dart.fss.or.kr/dsaf001/main.do?rcpNo=20260416000113", "공시열람")</f>
        <v/>
      </c>
    </row>
    <row r="5785">
      <c r="A5785" s="2" t="inlineStr">
        <is>
          <t>2026-04-16</t>
        </is>
      </c>
      <c r="B5785" s="3" t="inlineStr">
        <is>
          <t>교보증권</t>
        </is>
      </c>
      <c r="C5785" s="2" t="inlineStr">
        <is>
          <t>코스피</t>
        </is>
      </c>
      <c r="D5785" s="2" t="inlineStr">
        <is>
          <t>030610</t>
        </is>
      </c>
      <c r="E5785" s="3" t="inlineStr">
        <is>
          <t>증권발행실적보고서</t>
        </is>
      </c>
      <c r="F5785" s="3" t="inlineStr">
        <is>
          <t>교보증권</t>
        </is>
      </c>
      <c r="G5785" s="2" t="inlineStr">
        <is>
          <t>20260416000109</t>
        </is>
      </c>
      <c r="H5785" s="8">
        <f>HYPERLINK("https://dart.fss.or.kr/dsaf001/main.do?rcpNo=20260416000109", "공시열람")</f>
        <v/>
      </c>
    </row>
    <row r="5786">
      <c r="A5786" s="2" t="inlineStr">
        <is>
          <t>2026-04-16</t>
        </is>
      </c>
      <c r="B5786" s="3" t="inlineStr">
        <is>
          <t>형지I&amp;C</t>
        </is>
      </c>
      <c r="C5786" s="2" t="inlineStr">
        <is>
          <t>코스닥</t>
        </is>
      </c>
      <c r="D5786" s="2" t="inlineStr">
        <is>
          <t>011080</t>
        </is>
      </c>
      <c r="E5786" s="3" t="inlineStr">
        <is>
          <t>정정신고서제출요구( 2026.04.02. 제출 증권신고서(지분증권) )</t>
        </is>
      </c>
      <c r="F5786" s="3" t="inlineStr">
        <is>
          <t>금융감독원</t>
        </is>
      </c>
      <c r="G5786" s="2" t="inlineStr">
        <is>
          <t>20260416100001</t>
        </is>
      </c>
      <c r="H5786" s="8">
        <f>HYPERLINK("https://dart.fss.or.kr/dsaf001/main.do?rcpNo=20260416100001", "공시열람")</f>
        <v/>
      </c>
    </row>
    <row r="5787">
      <c r="A5787" s="2" t="inlineStr">
        <is>
          <t>2026-04-16</t>
        </is>
      </c>
      <c r="B5787" s="3" t="inlineStr">
        <is>
          <t>교보증권</t>
        </is>
      </c>
      <c r="C5787" s="2" t="inlineStr">
        <is>
          <t>코스피</t>
        </is>
      </c>
      <c r="D5787" s="2" t="inlineStr">
        <is>
          <t>030610</t>
        </is>
      </c>
      <c r="E5787" s="3" t="inlineStr">
        <is>
          <t>증권발행실적보고서</t>
        </is>
      </c>
      <c r="F5787" s="3" t="inlineStr">
        <is>
          <t>교보증권</t>
        </is>
      </c>
      <c r="G5787" s="2" t="inlineStr">
        <is>
          <t>20260416000104</t>
        </is>
      </c>
      <c r="H5787" s="8">
        <f>HYPERLINK("https://dart.fss.or.kr/dsaf001/main.do?rcpNo=20260416000104", "공시열람")</f>
        <v/>
      </c>
    </row>
    <row r="5788">
      <c r="A5788" s="2" t="inlineStr">
        <is>
          <t>2026-04-16</t>
        </is>
      </c>
      <c r="B5788" s="3" t="inlineStr">
        <is>
          <t>엘에스일렉트릭</t>
        </is>
      </c>
      <c r="C5788" s="2" t="inlineStr">
        <is>
          <t>코스피</t>
        </is>
      </c>
      <c r="D5788" s="2" t="inlineStr">
        <is>
          <t>010120</t>
        </is>
      </c>
      <c r="E5788" s="3" t="inlineStr">
        <is>
          <t>임원ㆍ주요주주특정증권등소유상황보고서</t>
        </is>
      </c>
      <c r="F5788" s="3" t="inlineStr">
        <is>
          <t>조주현</t>
        </is>
      </c>
      <c r="G5788" s="2" t="inlineStr">
        <is>
          <t>20260416000093</t>
        </is>
      </c>
      <c r="H5788" s="8">
        <f>HYPERLINK("https://dart.fss.or.kr/dsaf001/main.do?rcpNo=20260416000093", "공시열람")</f>
        <v/>
      </c>
    </row>
    <row r="5789">
      <c r="A5789" s="2" t="inlineStr">
        <is>
          <t>2026-04-16</t>
        </is>
      </c>
      <c r="B5789" s="3" t="inlineStr">
        <is>
          <t>디오</t>
        </is>
      </c>
      <c r="C5789" s="2" t="inlineStr">
        <is>
          <t>코스닥</t>
        </is>
      </c>
      <c r="D5789" s="2" t="inlineStr">
        <is>
          <t>039840</t>
        </is>
      </c>
      <c r="E5789" s="3" t="inlineStr">
        <is>
          <t xml:space="preserve">연결재무제표기준영업(잠정)실적(공정공시)              </t>
        </is>
      </c>
      <c r="F5789" s="3" t="inlineStr">
        <is>
          <t>디오</t>
        </is>
      </c>
      <c r="G5789" s="2" t="inlineStr">
        <is>
          <t>20260416900122</t>
        </is>
      </c>
      <c r="H5789" s="8">
        <f>HYPERLINK("https://dart.fss.or.kr/dsaf001/main.do?rcpNo=20260416900122", "공시열람")</f>
        <v/>
      </c>
    </row>
    <row r="5790">
      <c r="A5790" s="2" t="inlineStr">
        <is>
          <t>2026-04-16</t>
        </is>
      </c>
      <c r="B5790" s="3" t="inlineStr">
        <is>
          <t>엘에스일렉트릭</t>
        </is>
      </c>
      <c r="C5790" s="2" t="inlineStr">
        <is>
          <t>코스피</t>
        </is>
      </c>
      <c r="D5790" s="2" t="inlineStr">
        <is>
          <t>010120</t>
        </is>
      </c>
      <c r="E5790" s="3" t="inlineStr">
        <is>
          <t>임원ㆍ주요주주특정증권등소유상황보고서</t>
        </is>
      </c>
      <c r="F5790" s="3" t="inlineStr">
        <is>
          <t>최해운</t>
        </is>
      </c>
      <c r="G5790" s="2" t="inlineStr">
        <is>
          <t>20260416000091</t>
        </is>
      </c>
      <c r="H5790" s="8">
        <f>HYPERLINK("https://dart.fss.or.kr/dsaf001/main.do?rcpNo=20260416000091", "공시열람")</f>
        <v/>
      </c>
    </row>
    <row r="5791">
      <c r="A5791" s="2" t="inlineStr">
        <is>
          <t>2026-04-16</t>
        </is>
      </c>
      <c r="B5791" s="3" t="inlineStr">
        <is>
          <t>루멘스</t>
        </is>
      </c>
      <c r="C5791" s="2" t="inlineStr">
        <is>
          <t>코스닥</t>
        </is>
      </c>
      <c r="D5791" s="2" t="inlineStr">
        <is>
          <t>038060</t>
        </is>
      </c>
      <c r="E5791" s="3" t="inlineStr">
        <is>
          <t xml:space="preserve">조회공시요구(현저한시황변동)에대한답변(중요정보없음)              </t>
        </is>
      </c>
      <c r="F5791" s="3" t="inlineStr">
        <is>
          <t>루멘스</t>
        </is>
      </c>
      <c r="G5791" s="2" t="inlineStr">
        <is>
          <t>20260416900112</t>
        </is>
      </c>
      <c r="H5791" s="8">
        <f>HYPERLINK("https://dart.fss.or.kr/dsaf001/main.do?rcpNo=20260416900112", "공시열람")</f>
        <v/>
      </c>
    </row>
    <row r="5792">
      <c r="A5792" s="2" t="inlineStr">
        <is>
          <t>2026-04-16</t>
        </is>
      </c>
      <c r="B5792" s="3" t="inlineStr">
        <is>
          <t>iM금융지주</t>
        </is>
      </c>
      <c r="C5792" s="2" t="inlineStr">
        <is>
          <t>코스피</t>
        </is>
      </c>
      <c r="D5792" s="2" t="inlineStr">
        <is>
          <t>139130</t>
        </is>
      </c>
      <c r="E5792" s="3" t="inlineStr">
        <is>
          <t>임원ㆍ주요주주특정증권등소유상황보고서</t>
        </is>
      </c>
      <c r="F5792" s="3" t="inlineStr">
        <is>
          <t>천병규</t>
        </is>
      </c>
      <c r="G5792" s="2" t="inlineStr">
        <is>
          <t>20260416000089</t>
        </is>
      </c>
      <c r="H5792" s="8">
        <f>HYPERLINK("https://dart.fss.or.kr/dsaf001/main.do?rcpNo=20260416000089", "공시열람")</f>
        <v/>
      </c>
    </row>
    <row r="5793">
      <c r="A5793" s="2" t="inlineStr">
        <is>
          <t>2026-04-16</t>
        </is>
      </c>
      <c r="B5793" s="3" t="inlineStr">
        <is>
          <t>KG모빌리티</t>
        </is>
      </c>
      <c r="C5793" s="2" t="inlineStr">
        <is>
          <t>코스피</t>
        </is>
      </c>
      <c r="D5793" s="2" t="inlineStr">
        <is>
          <t>003620</t>
        </is>
      </c>
      <c r="E5793" s="3" t="inlineStr">
        <is>
          <t xml:space="preserve">기업설명회(IR)개최(안내공시)              </t>
        </is>
      </c>
      <c r="F5793" s="3" t="inlineStr">
        <is>
          <t>KG모빌리티</t>
        </is>
      </c>
      <c r="G5793" s="2" t="inlineStr">
        <is>
          <t>20260416800115</t>
        </is>
      </c>
      <c r="H5793" s="8">
        <f>HYPERLINK("https://dart.fss.or.kr/dsaf001/main.do?rcpNo=20260416800115", "공시열람")</f>
        <v/>
      </c>
    </row>
    <row r="5794">
      <c r="A5794" s="2" t="inlineStr">
        <is>
          <t>2026-04-16</t>
        </is>
      </c>
      <c r="B5794" s="3" t="inlineStr">
        <is>
          <t>케이아이엔엑스</t>
        </is>
      </c>
      <c r="C5794" s="2" t="inlineStr">
        <is>
          <t>코스닥</t>
        </is>
      </c>
      <c r="D5794" s="2" t="inlineStr">
        <is>
          <t>093320</t>
        </is>
      </c>
      <c r="E5794" s="3" t="inlineStr">
        <is>
          <t>임원ㆍ주요주주특정증권등소유상황보고서</t>
        </is>
      </c>
      <c r="F5794" s="3" t="inlineStr">
        <is>
          <t>TheMiriStrategicEmergingMarketsFundLP</t>
        </is>
      </c>
      <c r="G5794" s="2" t="inlineStr">
        <is>
          <t>20260416000085</t>
        </is>
      </c>
      <c r="H5794" s="8">
        <f>HYPERLINK("https://dart.fss.or.kr/dsaf001/main.do?rcpNo=20260416000085", "공시열람")</f>
        <v/>
      </c>
    </row>
    <row r="5795">
      <c r="A5795" s="2" t="inlineStr">
        <is>
          <t>2026-04-16</t>
        </is>
      </c>
      <c r="B5795" s="3" t="inlineStr">
        <is>
          <t>NC</t>
        </is>
      </c>
      <c r="C5795" s="2" t="inlineStr">
        <is>
          <t>코스피</t>
        </is>
      </c>
      <c r="D5795" s="2" t="inlineStr">
        <is>
          <t>036570</t>
        </is>
      </c>
      <c r="E5795" s="3" t="inlineStr">
        <is>
          <t xml:space="preserve">기업설명회(IR)개최(안내공시)              </t>
        </is>
      </c>
      <c r="F5795" s="3" t="inlineStr">
        <is>
          <t>NC</t>
        </is>
      </c>
      <c r="G5795" s="2" t="inlineStr">
        <is>
          <t>20260416800110</t>
        </is>
      </c>
      <c r="H5795" s="8">
        <f>HYPERLINK("https://dart.fss.or.kr/dsaf001/main.do?rcpNo=20260416800110", "공시열람")</f>
        <v/>
      </c>
    </row>
    <row r="5796">
      <c r="A5796" s="2" t="inlineStr">
        <is>
          <t>2026-04-16</t>
        </is>
      </c>
      <c r="B5796" s="3" t="inlineStr">
        <is>
          <t>앱코</t>
        </is>
      </c>
      <c r="C5796" s="2" t="inlineStr">
        <is>
          <t>코스닥</t>
        </is>
      </c>
      <c r="D5796" s="2" t="inlineStr">
        <is>
          <t>129890</t>
        </is>
      </c>
      <c r="E5796" s="3" t="inlineStr">
        <is>
          <t xml:space="preserve">기업가치제고계획(자율공시)              </t>
        </is>
      </c>
      <c r="F5796" s="3" t="inlineStr">
        <is>
          <t>앱코</t>
        </is>
      </c>
      <c r="G5796" s="2" t="inlineStr">
        <is>
          <t>20260416900092</t>
        </is>
      </c>
      <c r="H5796" s="8">
        <f>HYPERLINK("https://dart.fss.or.kr/dsaf001/main.do?rcpNo=20260416900092", "공시열람")</f>
        <v/>
      </c>
    </row>
    <row r="5797">
      <c r="A5797" s="2" t="inlineStr">
        <is>
          <t>2026-04-16</t>
        </is>
      </c>
      <c r="B5797" s="3" t="inlineStr">
        <is>
          <t>엘에스일렉트릭</t>
        </is>
      </c>
      <c r="C5797" s="2" t="inlineStr">
        <is>
          <t>코스피</t>
        </is>
      </c>
      <c r="D5797" s="2" t="inlineStr">
        <is>
          <t>010120</t>
        </is>
      </c>
      <c r="E5797" s="3" t="inlineStr">
        <is>
          <t>임원ㆍ주요주주특정증권등소유상황보고서</t>
        </is>
      </c>
      <c r="F5797" s="3" t="inlineStr">
        <is>
          <t>이정용</t>
        </is>
      </c>
      <c r="G5797" s="2" t="inlineStr">
        <is>
          <t>20260416000067</t>
        </is>
      </c>
      <c r="H5797" s="8">
        <f>HYPERLINK("https://dart.fss.or.kr/dsaf001/main.do?rcpNo=20260416000067", "공시열람")</f>
        <v/>
      </c>
    </row>
    <row r="5798">
      <c r="A5798" s="2" t="inlineStr">
        <is>
          <t>2026-04-16</t>
        </is>
      </c>
      <c r="B5798" s="3" t="inlineStr">
        <is>
          <t>엘에스일렉트릭</t>
        </is>
      </c>
      <c r="C5798" s="2" t="inlineStr">
        <is>
          <t>코스피</t>
        </is>
      </c>
      <c r="D5798" s="2" t="inlineStr">
        <is>
          <t>010120</t>
        </is>
      </c>
      <c r="E5798" s="3" t="inlineStr">
        <is>
          <t>임원ㆍ주요주주특정증권등소유상황보고서</t>
        </is>
      </c>
      <c r="F5798" s="3" t="inlineStr">
        <is>
          <t>김순우</t>
        </is>
      </c>
      <c r="G5798" s="2" t="inlineStr">
        <is>
          <t>20260416000065</t>
        </is>
      </c>
      <c r="H5798" s="8">
        <f>HYPERLINK("https://dart.fss.or.kr/dsaf001/main.do?rcpNo=20260416000065", "공시열람")</f>
        <v/>
      </c>
    </row>
    <row r="5799">
      <c r="A5799" s="2" t="inlineStr">
        <is>
          <t>2026-04-16</t>
        </is>
      </c>
      <c r="B5799" s="3" t="inlineStr">
        <is>
          <t>엘에스일렉트릭</t>
        </is>
      </c>
      <c r="C5799" s="2" t="inlineStr">
        <is>
          <t>코스피</t>
        </is>
      </c>
      <c r="D5799" s="2" t="inlineStr">
        <is>
          <t>010120</t>
        </is>
      </c>
      <c r="E5799" s="3" t="inlineStr">
        <is>
          <t>임원ㆍ주요주주특정증권등소유상황보고서</t>
        </is>
      </c>
      <c r="F5799" s="3" t="inlineStr">
        <is>
          <t>이충희</t>
        </is>
      </c>
      <c r="G5799" s="2" t="inlineStr">
        <is>
          <t>20260416000063</t>
        </is>
      </c>
      <c r="H5799" s="8">
        <f>HYPERLINK("https://dart.fss.or.kr/dsaf001/main.do?rcpNo=20260416000063", "공시열람")</f>
        <v/>
      </c>
    </row>
    <row r="5800">
      <c r="A5800" s="2" t="inlineStr">
        <is>
          <t>2026-04-16</t>
        </is>
      </c>
      <c r="B5800" s="3" t="inlineStr">
        <is>
          <t>엘에스일렉트릭</t>
        </is>
      </c>
      <c r="C5800" s="2" t="inlineStr">
        <is>
          <t>코스피</t>
        </is>
      </c>
      <c r="D5800" s="2" t="inlineStr">
        <is>
          <t>010120</t>
        </is>
      </c>
      <c r="E5800" s="3" t="inlineStr">
        <is>
          <t>임원ㆍ주요주주특정증권등소유상황보고서</t>
        </is>
      </c>
      <c r="F5800" s="3" t="inlineStr">
        <is>
          <t>채대석</t>
        </is>
      </c>
      <c r="G5800" s="2" t="inlineStr">
        <is>
          <t>20260416000057</t>
        </is>
      </c>
      <c r="H5800" s="8">
        <f>HYPERLINK("https://dart.fss.or.kr/dsaf001/main.do?rcpNo=20260416000057", "공시열람")</f>
        <v/>
      </c>
    </row>
    <row r="5801">
      <c r="A5801" s="2" t="inlineStr">
        <is>
          <t>2026-04-16 (정정: 2026-05-22)</t>
        </is>
      </c>
      <c r="B5801" s="3" t="inlineStr">
        <is>
          <t>SK네트웍스</t>
        </is>
      </c>
      <c r="C5801" s="2" t="inlineStr">
        <is>
          <t>코스피</t>
        </is>
      </c>
      <c r="D5801" s="2" t="inlineStr">
        <is>
          <t>001740</t>
        </is>
      </c>
      <c r="E5801" s="3" t="inlineStr">
        <is>
          <t>투자설명서 (정정: 20260522)</t>
        </is>
      </c>
      <c r="F5801" s="3" t="inlineStr">
        <is>
          <t>SK네트웍스</t>
        </is>
      </c>
      <c r="G5801" s="2" t="inlineStr">
        <is>
          <t>20260522800665</t>
        </is>
      </c>
      <c r="H5801" s="8">
        <f>HYPERLINK("https://dart.fss.or.kr/dsaf001/main.do?rcpNo=20260522800665", "공시열람")</f>
        <v/>
      </c>
    </row>
    <row r="5802">
      <c r="A5802" s="2" t="inlineStr">
        <is>
          <t>2026-04-16</t>
        </is>
      </c>
      <c r="B5802" s="3" t="inlineStr">
        <is>
          <t>채비</t>
        </is>
      </c>
      <c r="C5802" s="2" t="inlineStr">
        <is>
          <t>코스닥</t>
        </is>
      </c>
      <c r="D5802" s="2" t="inlineStr">
        <is>
          <t>0011T0</t>
        </is>
      </c>
      <c r="E5802" s="3" t="inlineStr">
        <is>
          <t>투자설명서</t>
        </is>
      </c>
      <c r="F5802" s="3" t="inlineStr">
        <is>
          <t>채비</t>
        </is>
      </c>
      <c r="G5802" s="2" t="inlineStr">
        <is>
          <t>20260416000036</t>
        </is>
      </c>
      <c r="H5802" s="8">
        <f>HYPERLINK("https://dart.fss.or.kr/dsaf001/main.do?rcpNo=20260416000036", "공시열람")</f>
        <v/>
      </c>
    </row>
    <row r="5803">
      <c r="A5803" s="2" t="inlineStr">
        <is>
          <t>2026-04-16 (정정: 2026-05-21)</t>
        </is>
      </c>
      <c r="B5803" s="3" t="inlineStr">
        <is>
          <t>현대로템</t>
        </is>
      </c>
      <c r="C5803" s="2" t="inlineStr">
        <is>
          <t>코스피</t>
        </is>
      </c>
      <c r="D5803" s="2" t="inlineStr">
        <is>
          <t>064350</t>
        </is>
      </c>
      <c r="E5803" s="3" t="inlineStr">
        <is>
          <t>풍문또는보도에대한해명(미확정)               (정정: 20260521)</t>
        </is>
      </c>
      <c r="F5803" s="3" t="inlineStr">
        <is>
          <t>현대로템</t>
        </is>
      </c>
      <c r="G5803" s="2" t="inlineStr">
        <is>
          <t>20260521800569</t>
        </is>
      </c>
      <c r="H5803" s="8">
        <f>HYPERLINK("https://dart.fss.or.kr/dsaf001/main.do?rcpNo=20260521800569", "공시열람")</f>
        <v/>
      </c>
    </row>
    <row r="5804">
      <c r="A5804" s="2" t="inlineStr">
        <is>
          <t>2026-04-16</t>
        </is>
      </c>
      <c r="B5804" s="3" t="inlineStr">
        <is>
          <t>현대위아</t>
        </is>
      </c>
      <c r="C5804" s="2" t="inlineStr">
        <is>
          <t>코스피</t>
        </is>
      </c>
      <c r="D5804" s="2" t="inlineStr">
        <is>
          <t>011210</t>
        </is>
      </c>
      <c r="E5804" s="3" t="inlineStr">
        <is>
          <t xml:space="preserve">풍문또는보도에대한해명(미확정)              </t>
        </is>
      </c>
      <c r="F5804" s="3" t="inlineStr">
        <is>
          <t>현대위아</t>
        </is>
      </c>
      <c r="G5804" s="2" t="inlineStr">
        <is>
          <t>20260416800063</t>
        </is>
      </c>
      <c r="H5804" s="8">
        <f>HYPERLINK("https://dart.fss.or.kr/dsaf001/main.do?rcpNo=20260416800063", "공시열람")</f>
        <v/>
      </c>
    </row>
    <row r="5805">
      <c r="A5805" s="2" t="inlineStr">
        <is>
          <t>2026-04-16</t>
        </is>
      </c>
      <c r="B5805" s="3" t="inlineStr">
        <is>
          <t>성우</t>
        </is>
      </c>
      <c r="C5805" s="2" t="inlineStr">
        <is>
          <t>코스닥</t>
        </is>
      </c>
      <c r="D5805" s="2" t="inlineStr">
        <is>
          <t>458650</t>
        </is>
      </c>
      <c r="E5805" s="3" t="inlineStr">
        <is>
          <t>임원ㆍ주요주주특정증권등소유상황보고서</t>
        </is>
      </c>
      <c r="F5805" s="3" t="inlineStr">
        <is>
          <t>소재용</t>
        </is>
      </c>
      <c r="G5805" s="2" t="inlineStr">
        <is>
          <t>20260416000003</t>
        </is>
      </c>
      <c r="H5805" s="8">
        <f>HYPERLINK("https://dart.fss.or.kr/dsaf001/main.do?rcpNo=20260416000003", "공시열람")</f>
        <v/>
      </c>
    </row>
    <row r="5806">
      <c r="A5806" s="2" t="inlineStr">
        <is>
          <t>2026-04-16</t>
        </is>
      </c>
      <c r="B5806" s="3" t="inlineStr">
        <is>
          <t>제이알글로벌리츠</t>
        </is>
      </c>
      <c r="C5806" s="2" t="inlineStr">
        <is>
          <t>코스피</t>
        </is>
      </c>
      <c r="D5806" s="2" t="inlineStr">
        <is>
          <t>348950</t>
        </is>
      </c>
      <c r="E5806" s="3" t="inlineStr">
        <is>
          <t xml:space="preserve">투자판단관련주요경영사항              </t>
        </is>
      </c>
      <c r="F5806" s="3" t="inlineStr">
        <is>
          <t>제이알글로벌리츠</t>
        </is>
      </c>
      <c r="G5806" s="2" t="inlineStr">
        <is>
          <t>20260416800004</t>
        </is>
      </c>
      <c r="H5806" s="8">
        <f>HYPERLINK("https://dart.fss.or.kr/dsaf001/main.do?rcpNo=20260416800004", "공시열람")</f>
        <v/>
      </c>
    </row>
    <row r="5807">
      <c r="A5807" s="2" t="inlineStr">
        <is>
          <t>2026-04-16</t>
        </is>
      </c>
      <c r="B5807" s="3" t="inlineStr">
        <is>
          <t>모아라이프플러스</t>
        </is>
      </c>
      <c r="C5807" s="2" t="inlineStr">
        <is>
          <t>코스닥</t>
        </is>
      </c>
      <c r="D5807" s="2" t="inlineStr">
        <is>
          <t>142760</t>
        </is>
      </c>
      <c r="E5807" s="3" t="inlineStr">
        <is>
          <t>주요사항보고서(주권관련사채권양도결정)</t>
        </is>
      </c>
      <c r="F5807" s="3" t="inlineStr">
        <is>
          <t>모아라이프플러스</t>
        </is>
      </c>
      <c r="G5807" s="2" t="inlineStr">
        <is>
          <t>20260415000701</t>
        </is>
      </c>
      <c r="H5807" s="8">
        <f>HYPERLINK("https://dart.fss.or.kr/dsaf001/main.do?rcpNo=20260415000701", "공시열람")</f>
        <v/>
      </c>
    </row>
    <row r="5808">
      <c r="A5808" s="2" t="inlineStr">
        <is>
          <t>2026-04-17</t>
        </is>
      </c>
      <c r="B5808" s="3" t="inlineStr">
        <is>
          <t>티케이지애강</t>
        </is>
      </c>
      <c r="C5808" s="2" t="inlineStr">
        <is>
          <t>코스닥</t>
        </is>
      </c>
      <c r="D5808" s="2" t="inlineStr">
        <is>
          <t>022220</t>
        </is>
      </c>
      <c r="E5808" s="3" t="inlineStr">
        <is>
          <t>공개매수에관한의견표명서</t>
        </is>
      </c>
      <c r="F5808" s="3" t="inlineStr">
        <is>
          <t>티케이지애강</t>
        </is>
      </c>
      <c r="G5808" s="2" t="inlineStr">
        <is>
          <t>20260417000639</t>
        </is>
      </c>
      <c r="H5808" s="8">
        <f>HYPERLINK("https://dart.fss.or.kr/dsaf001/main.do?rcpNo=20260417000639", "공시열람")</f>
        <v/>
      </c>
    </row>
    <row r="5809">
      <c r="A5809" s="2" t="inlineStr">
        <is>
          <t>2026-04-24</t>
        </is>
      </c>
      <c r="B5809" s="3" t="inlineStr">
        <is>
          <t>더존비즈온</t>
        </is>
      </c>
      <c r="C5809" s="2" t="inlineStr">
        <is>
          <t>코스피</t>
        </is>
      </c>
      <c r="D5809" s="2" t="inlineStr">
        <is>
          <t>012510</t>
        </is>
      </c>
      <c r="E5809" s="3" t="inlineStr">
        <is>
          <t>공개매수결과보고서</t>
        </is>
      </c>
      <c r="F5809" s="3" t="inlineStr">
        <is>
          <t>도로니쿰</t>
        </is>
      </c>
      <c r="G5809" s="2" t="inlineStr">
        <is>
          <t>20260424000738</t>
        </is>
      </c>
      <c r="H5809" s="8">
        <f>HYPERLINK("https://dart.fss.or.kr/dsaf001/main.do?rcpNo=20260424000738", "공시열람")</f>
        <v/>
      </c>
    </row>
    <row r="5810">
      <c r="A5810" s="2" t="inlineStr">
        <is>
          <t>2026-04-29</t>
        </is>
      </c>
      <c r="B5810" s="3" t="inlineStr">
        <is>
          <t>티케이지애강</t>
        </is>
      </c>
      <c r="C5810" s="2" t="inlineStr">
        <is>
          <t>코스닥</t>
        </is>
      </c>
      <c r="D5810" s="2" t="inlineStr">
        <is>
          <t>022220</t>
        </is>
      </c>
      <c r="E5810" s="3" t="inlineStr">
        <is>
          <t>공개매수결과보고서</t>
        </is>
      </c>
      <c r="F5810" s="3" t="inlineStr">
        <is>
          <t>티케이지태광</t>
        </is>
      </c>
      <c r="G5810" s="2" t="inlineStr">
        <is>
          <t>20260429000447</t>
        </is>
      </c>
      <c r="H5810" s="8">
        <f>HYPERLINK("https://dart.fss.or.kr/dsaf001/main.do?rcpNo=20260429000447", "공시열람")</f>
        <v/>
      </c>
    </row>
    <row r="5811">
      <c r="A5811" s="2" t="inlineStr">
        <is>
          <t>2026-05-18</t>
        </is>
      </c>
      <c r="B5811" s="3" t="inlineStr">
        <is>
          <t>삼목에스폼</t>
        </is>
      </c>
      <c r="C5811" s="2" t="inlineStr">
        <is>
          <t>코스닥</t>
        </is>
      </c>
      <c r="D5811" s="2" t="inlineStr">
        <is>
          <t>018310</t>
        </is>
      </c>
      <c r="E5811" s="3" t="inlineStr">
        <is>
          <t>공개매수설명서</t>
        </is>
      </c>
      <c r="F5811" s="3" t="inlineStr">
        <is>
          <t>에스폼</t>
        </is>
      </c>
      <c r="G5811" s="2" t="inlineStr">
        <is>
          <t>20260518000004</t>
        </is>
      </c>
      <c r="H5811" s="8">
        <f>HYPERLINK("https://dart.fss.or.kr/dsaf001/main.do?rcpNo=20260518000004", "공시열람")</f>
        <v/>
      </c>
    </row>
    <row r="5812">
      <c r="A5812" s="2" t="inlineStr">
        <is>
          <t>2026-05-18</t>
        </is>
      </c>
      <c r="B5812" s="3" t="inlineStr">
        <is>
          <t>삼목에스폼</t>
        </is>
      </c>
      <c r="C5812" s="2" t="inlineStr">
        <is>
          <t>코스닥</t>
        </is>
      </c>
      <c r="D5812" s="2" t="inlineStr">
        <is>
          <t>018310</t>
        </is>
      </c>
      <c r="E5812" s="3" t="inlineStr">
        <is>
          <t>공개매수신고서</t>
        </is>
      </c>
      <c r="F5812" s="3" t="inlineStr">
        <is>
          <t>에스폼</t>
        </is>
      </c>
      <c r="G5812" s="2" t="inlineStr">
        <is>
          <t>20260518000003</t>
        </is>
      </c>
      <c r="H5812" s="8">
        <f>HYPERLINK("https://dart.fss.or.kr/dsaf001/main.do?rcpNo=20260518000003", "공시열람")</f>
        <v/>
      </c>
    </row>
    <row r="5813">
      <c r="A5813" s="2" t="inlineStr">
        <is>
          <t>2026-05-20</t>
        </is>
      </c>
      <c r="B5813" s="3" t="inlineStr">
        <is>
          <t>KC그린홀딩스</t>
        </is>
      </c>
      <c r="C5813" s="2" t="inlineStr">
        <is>
          <t>코스피</t>
        </is>
      </c>
      <c r="D5813" s="2" t="inlineStr">
        <is>
          <t>009440</t>
        </is>
      </c>
      <c r="E5813" s="3" t="inlineStr">
        <is>
          <t>기타시장안내              (상장·공시위원회 결과)</t>
        </is>
      </c>
      <c r="F5813" s="3" t="inlineStr">
        <is>
          <t>유가증권시장본부</t>
        </is>
      </c>
      <c r="G5813" s="2" t="inlineStr">
        <is>
          <t>20260520800806</t>
        </is>
      </c>
      <c r="H5813" s="8">
        <f>HYPERLINK("https://dart.fss.or.kr/dsaf001/main.do?rcpNo=20260520800806", "공시열람")</f>
        <v/>
      </c>
    </row>
    <row r="5814">
      <c r="A5814" s="2" t="inlineStr">
        <is>
          <t>2026-05-20</t>
        </is>
      </c>
      <c r="B5814" s="3" t="inlineStr">
        <is>
          <t>금양</t>
        </is>
      </c>
      <c r="C5814" s="2" t="inlineStr">
        <is>
          <t>코스피</t>
        </is>
      </c>
      <c r="D5814" s="2" t="inlineStr">
        <is>
          <t>001570</t>
        </is>
      </c>
      <c r="E5814" s="3" t="inlineStr">
        <is>
          <t>기타시장안내              (상장·공시위원회 결과)</t>
        </is>
      </c>
      <c r="F5814" s="3" t="inlineStr">
        <is>
          <t>유가증권시장본부</t>
        </is>
      </c>
      <c r="G5814" s="2" t="inlineStr">
        <is>
          <t>20260520800808</t>
        </is>
      </c>
      <c r="H5814" s="8">
        <f>HYPERLINK("https://dart.fss.or.kr/dsaf001/main.do?rcpNo=20260520800808", "공시열람")</f>
        <v/>
      </c>
    </row>
    <row r="5815">
      <c r="A5815" s="2" t="inlineStr">
        <is>
          <t>2026-05-20</t>
        </is>
      </c>
      <c r="B5815" s="3" t="inlineStr">
        <is>
          <t>아이로보틱스</t>
        </is>
      </c>
      <c r="C5815" s="2" t="inlineStr">
        <is>
          <t>코스닥</t>
        </is>
      </c>
      <c r="D5815" s="2" t="inlineStr">
        <is>
          <t>066430</t>
        </is>
      </c>
      <c r="E5815" s="3" t="inlineStr">
        <is>
          <t>불성실공시법인지정              (공시번복)</t>
        </is>
      </c>
      <c r="F5815" s="3" t="inlineStr">
        <is>
          <t>코스닥시장본부</t>
        </is>
      </c>
      <c r="G5815" s="2" t="inlineStr">
        <is>
          <t>20260520900792</t>
        </is>
      </c>
      <c r="H5815" s="8">
        <f>HYPERLINK("https://dart.fss.or.kr/dsaf001/main.do?rcpNo=20260520900792", "공시열람")</f>
        <v/>
      </c>
    </row>
    <row r="5816">
      <c r="A5816" s="2" t="inlineStr">
        <is>
          <t>2026-05-20 (정정: 2026-05-29)</t>
        </is>
      </c>
      <c r="B5816" s="3" t="inlineStr">
        <is>
          <t>엔켐</t>
        </is>
      </c>
      <c r="C5816" s="2" t="inlineStr">
        <is>
          <t>코스닥</t>
        </is>
      </c>
      <c r="D5816" s="2" t="inlineStr">
        <is>
          <t>348370</t>
        </is>
      </c>
      <c r="E5816" s="3" t="inlineStr">
        <is>
          <t>불성실공시법인지정              (공시불이행) (정정: 20260529)</t>
        </is>
      </c>
      <c r="F5816" s="3" t="inlineStr">
        <is>
          <t>코스닥시장본부</t>
        </is>
      </c>
      <c r="G5816" s="2" t="inlineStr">
        <is>
          <t>20260529901992</t>
        </is>
      </c>
      <c r="H5816" s="8">
        <f>HYPERLINK("https://dart.fss.or.kr/dsaf001/main.do?rcpNo=20260529901992", "공시열람")</f>
        <v/>
      </c>
    </row>
    <row r="5817">
      <c r="A5817" s="2" t="inlineStr">
        <is>
          <t>2026-05-20</t>
        </is>
      </c>
      <c r="B5817" s="3" t="inlineStr">
        <is>
          <t>티에스넥스젠</t>
        </is>
      </c>
      <c r="C5817" s="2" t="inlineStr">
        <is>
          <t>코스닥</t>
        </is>
      </c>
      <c r="D5817" s="2" t="inlineStr">
        <is>
          <t>043220</t>
        </is>
      </c>
      <c r="E5817" s="3" t="inlineStr">
        <is>
          <t>주권매매거래정지기간변경              (회생절차 개시신청)</t>
        </is>
      </c>
      <c r="F5817" s="3" t="inlineStr">
        <is>
          <t>코스닥시장본부</t>
        </is>
      </c>
      <c r="G5817" s="2" t="inlineStr">
        <is>
          <t>20260520900789</t>
        </is>
      </c>
      <c r="H5817" s="8">
        <f>HYPERLINK("https://dart.fss.or.kr/dsaf001/main.do?rcpNo=20260520900789", "공시열람")</f>
        <v/>
      </c>
    </row>
    <row r="5818">
      <c r="A5818" s="2" t="inlineStr">
        <is>
          <t>2026-05-20</t>
        </is>
      </c>
      <c r="B5818" s="3" t="inlineStr">
        <is>
          <t>티에스넥스젠</t>
        </is>
      </c>
      <c r="C5818" s="2" t="inlineStr">
        <is>
          <t>코스닥</t>
        </is>
      </c>
      <c r="D5818" s="2" t="inlineStr">
        <is>
          <t>043220</t>
        </is>
      </c>
      <c r="E5818" s="3" t="inlineStr">
        <is>
          <t>주요사항보고서(회생절차개시신청)</t>
        </is>
      </c>
      <c r="F5818" s="3" t="inlineStr">
        <is>
          <t>티에스넥스젠</t>
        </is>
      </c>
      <c r="G5818" s="2" t="inlineStr">
        <is>
          <t>20260520000394</t>
        </is>
      </c>
      <c r="H5818" s="8">
        <f>HYPERLINK("https://dart.fss.or.kr/dsaf001/main.do?rcpNo=20260520000394", "공시열람")</f>
        <v/>
      </c>
    </row>
    <row r="5819">
      <c r="A5819" s="2" t="inlineStr">
        <is>
          <t>2026-05-20</t>
        </is>
      </c>
      <c r="B5819" s="3" t="inlineStr">
        <is>
          <t>코셈</t>
        </is>
      </c>
      <c r="C5819" s="2" t="inlineStr">
        <is>
          <t>코스닥</t>
        </is>
      </c>
      <c r="D5819" s="2" t="inlineStr">
        <is>
          <t>360350</t>
        </is>
      </c>
      <c r="E5819" s="3" t="inlineStr">
        <is>
          <t>불성실공시법인미지정              (공시불이행)</t>
        </is>
      </c>
      <c r="F5819" s="3" t="inlineStr">
        <is>
          <t>코스닥시장본부</t>
        </is>
      </c>
      <c r="G5819" s="2" t="inlineStr">
        <is>
          <t>20260520900764</t>
        </is>
      </c>
      <c r="H5819" s="8">
        <f>HYPERLINK("https://dart.fss.or.kr/dsaf001/main.do?rcpNo=20260520900764", "공시열람")</f>
        <v/>
      </c>
    </row>
    <row r="5820">
      <c r="A5820" s="2" t="inlineStr">
        <is>
          <t>2026-05-20 (정정: 2026-05-20)</t>
        </is>
      </c>
      <c r="B5820" s="3" t="inlineStr">
        <is>
          <t>JTC</t>
        </is>
      </c>
      <c r="C5820" s="2" t="inlineStr">
        <is>
          <t>코스닥</t>
        </is>
      </c>
      <c r="D5820" s="2" t="inlineStr">
        <is>
          <t>950170</t>
        </is>
      </c>
      <c r="E5820" s="3" t="inlineStr">
        <is>
          <t>감사보고서제출               (정정: 20260520)</t>
        </is>
      </c>
      <c r="F5820" s="3" t="inlineStr">
        <is>
          <t>JTC</t>
        </is>
      </c>
      <c r="G5820" s="2" t="inlineStr">
        <is>
          <t>20260520900726</t>
        </is>
      </c>
      <c r="H5820" s="8">
        <f>HYPERLINK("https://dart.fss.or.kr/dsaf001/main.do?rcpNo=20260520900726", "공시열람")</f>
        <v/>
      </c>
    </row>
    <row r="5821">
      <c r="A5821" s="2" t="inlineStr">
        <is>
          <t>2026-05-20</t>
        </is>
      </c>
      <c r="B5821" s="3" t="inlineStr">
        <is>
          <t>바른손이앤에이</t>
        </is>
      </c>
      <c r="C5821" s="2" t="inlineStr">
        <is>
          <t>코스닥</t>
        </is>
      </c>
      <c r="D5821" s="2" t="inlineStr">
        <is>
          <t>035620</t>
        </is>
      </c>
      <c r="E5821" s="3" t="inlineStr">
        <is>
          <t>임원ㆍ주요주주특정증권등소유상황보고서</t>
        </is>
      </c>
      <c r="F5821" s="3" t="inlineStr">
        <is>
          <t>문양권</t>
        </is>
      </c>
      <c r="G5821" s="2" t="inlineStr">
        <is>
          <t>20260520000396</t>
        </is>
      </c>
      <c r="H5821" s="8">
        <f>HYPERLINK("https://dart.fss.or.kr/dsaf001/main.do?rcpNo=20260520000396", "공시열람")</f>
        <v/>
      </c>
    </row>
    <row r="5822">
      <c r="A5822" s="2" t="inlineStr">
        <is>
          <t>2026-05-20</t>
        </is>
      </c>
      <c r="B5822" s="3" t="inlineStr">
        <is>
          <t>졸스</t>
        </is>
      </c>
      <c r="C5822" s="2" t="inlineStr">
        <is>
          <t>코스닥</t>
        </is>
      </c>
      <c r="D5822" s="2" t="inlineStr">
        <is>
          <t>018700</t>
        </is>
      </c>
      <c r="E5822" s="3" t="inlineStr">
        <is>
          <t>임원ㆍ주요주주특정증권등소유상황보고서</t>
        </is>
      </c>
      <c r="F5822" s="3" t="inlineStr">
        <is>
          <t>문양권</t>
        </is>
      </c>
      <c r="G5822" s="2" t="inlineStr">
        <is>
          <t>20260520000392</t>
        </is>
      </c>
      <c r="H5822" s="8">
        <f>HYPERLINK("https://dart.fss.or.kr/dsaf001/main.do?rcpNo=20260520000392", "공시열람")</f>
        <v/>
      </c>
    </row>
    <row r="5823">
      <c r="A5823" s="2" t="inlineStr">
        <is>
          <t>2026-05-20</t>
        </is>
      </c>
      <c r="B5823" s="3" t="inlineStr">
        <is>
          <t>판타지오</t>
        </is>
      </c>
      <c r="C5823" s="2" t="inlineStr">
        <is>
          <t>코스닥</t>
        </is>
      </c>
      <c r="D5823" s="2" t="inlineStr">
        <is>
          <t>032800</t>
        </is>
      </c>
      <c r="E5823" s="3" t="inlineStr">
        <is>
          <t>기타시장안내              (최대주주의 의무보유 대상 확인 관련)</t>
        </is>
      </c>
      <c r="F5823" s="3" t="inlineStr">
        <is>
          <t>코스닥시장본부</t>
        </is>
      </c>
      <c r="G5823" s="2" t="inlineStr">
        <is>
          <t>20260520900757</t>
        </is>
      </c>
      <c r="H5823" s="8">
        <f>HYPERLINK("https://dart.fss.or.kr/dsaf001/main.do?rcpNo=20260520900757", "공시열람")</f>
        <v/>
      </c>
    </row>
    <row r="5824">
      <c r="A5824" s="2" t="inlineStr">
        <is>
          <t>2026-05-20</t>
        </is>
      </c>
      <c r="B5824" s="3" t="inlineStr">
        <is>
          <t>앱튼</t>
        </is>
      </c>
      <c r="C5824" s="2" t="inlineStr">
        <is>
          <t>코스닥</t>
        </is>
      </c>
      <c r="D5824" s="2" t="inlineStr">
        <is>
          <t>270520</t>
        </is>
      </c>
      <c r="E5824" s="3" t="inlineStr">
        <is>
          <t>전환가액의조정              (제6회차, 제7회차)</t>
        </is>
      </c>
      <c r="F5824" s="3" t="inlineStr">
        <is>
          <t>앱튼</t>
        </is>
      </c>
      <c r="G5824" s="2" t="inlineStr">
        <is>
          <t>20260520900735</t>
        </is>
      </c>
      <c r="H5824" s="8">
        <f>HYPERLINK("https://dart.fss.or.kr/dsaf001/main.do?rcpNo=20260520900735", "공시열람")</f>
        <v/>
      </c>
    </row>
    <row r="5825">
      <c r="A5825" s="2" t="inlineStr">
        <is>
          <t>2026-05-20</t>
        </is>
      </c>
      <c r="B5825" s="3" t="inlineStr">
        <is>
          <t>위메이드플레이</t>
        </is>
      </c>
      <c r="C5825" s="2" t="inlineStr">
        <is>
          <t>코스닥</t>
        </is>
      </c>
      <c r="D5825" s="2" t="inlineStr">
        <is>
          <t>123420</t>
        </is>
      </c>
      <c r="E5825" s="3" t="inlineStr">
        <is>
          <t>[기재정정]주식매수선택권부여에관한신고</t>
        </is>
      </c>
      <c r="F5825" s="3" t="inlineStr">
        <is>
          <t>위메이드플레이</t>
        </is>
      </c>
      <c r="G5825" s="2" t="inlineStr">
        <is>
          <t>20260520000389</t>
        </is>
      </c>
      <c r="H5825" s="8">
        <f>HYPERLINK("https://dart.fss.or.kr/dsaf001/main.do?rcpNo=20260520000389", "공시열람")</f>
        <v/>
      </c>
    </row>
    <row r="5826">
      <c r="A5826" s="2" t="inlineStr">
        <is>
          <t>2026-05-20</t>
        </is>
      </c>
      <c r="B5826" s="3" t="inlineStr">
        <is>
          <t>웨이버스</t>
        </is>
      </c>
      <c r="C5826" s="2" t="inlineStr">
        <is>
          <t>코스닥</t>
        </is>
      </c>
      <c r="D5826" s="2" t="inlineStr">
        <is>
          <t>336060</t>
        </is>
      </c>
      <c r="E5826" s="3" t="inlineStr">
        <is>
          <t xml:space="preserve">주주명부폐쇄기간또는기준일설정              </t>
        </is>
      </c>
      <c r="F5826" s="3" t="inlineStr">
        <is>
          <t>웨이버스</t>
        </is>
      </c>
      <c r="G5826" s="2" t="inlineStr">
        <is>
          <t>20260520900758</t>
        </is>
      </c>
      <c r="H5826" s="8">
        <f>HYPERLINK("https://dart.fss.or.kr/dsaf001/main.do?rcpNo=20260520900758", "공시열람")</f>
        <v/>
      </c>
    </row>
    <row r="5827">
      <c r="A5827" s="2" t="inlineStr">
        <is>
          <t>2026-05-20</t>
        </is>
      </c>
      <c r="B5827" s="3" t="inlineStr">
        <is>
          <t>웨이버스</t>
        </is>
      </c>
      <c r="C5827" s="2" t="inlineStr">
        <is>
          <t>코스닥</t>
        </is>
      </c>
      <c r="D5827" s="2" t="inlineStr">
        <is>
          <t>336060</t>
        </is>
      </c>
      <c r="E5827" s="3" t="inlineStr">
        <is>
          <t xml:space="preserve">주식병합결정              </t>
        </is>
      </c>
      <c r="F5827" s="3" t="inlineStr">
        <is>
          <t>웨이버스</t>
        </is>
      </c>
      <c r="G5827" s="2" t="inlineStr">
        <is>
          <t>20260520900755</t>
        </is>
      </c>
      <c r="H5827" s="8">
        <f>HYPERLINK("https://dart.fss.or.kr/dsaf001/main.do?rcpNo=20260520900755", "공시열람")</f>
        <v/>
      </c>
    </row>
    <row r="5828">
      <c r="A5828" s="2" t="inlineStr">
        <is>
          <t>2026-05-20</t>
        </is>
      </c>
      <c r="B5828" s="3" t="inlineStr">
        <is>
          <t>위메이드플레이</t>
        </is>
      </c>
      <c r="C5828" s="2" t="inlineStr">
        <is>
          <t>코스닥</t>
        </is>
      </c>
      <c r="D5828" s="2" t="inlineStr">
        <is>
          <t>123420</t>
        </is>
      </c>
      <c r="E5828" s="3" t="inlineStr">
        <is>
          <t>[기재정정]주식매수선택권부여에관한신고</t>
        </is>
      </c>
      <c r="F5828" s="3" t="inlineStr">
        <is>
          <t>위메이드플레이</t>
        </is>
      </c>
      <c r="G5828" s="2" t="inlineStr">
        <is>
          <t>20260520000386</t>
        </is>
      </c>
      <c r="H5828" s="8">
        <f>HYPERLINK("https://dart.fss.or.kr/dsaf001/main.do?rcpNo=20260520000386", "공시열람")</f>
        <v/>
      </c>
    </row>
    <row r="5829">
      <c r="A5829" s="2" t="inlineStr">
        <is>
          <t>2026-05-20</t>
        </is>
      </c>
      <c r="B5829" s="3" t="inlineStr">
        <is>
          <t>웨이버스</t>
        </is>
      </c>
      <c r="C5829" s="2" t="inlineStr">
        <is>
          <t>코스닥</t>
        </is>
      </c>
      <c r="D5829" s="2" t="inlineStr">
        <is>
          <t>336060</t>
        </is>
      </c>
      <c r="E5829" s="3" t="inlineStr">
        <is>
          <t>임원ㆍ주요주주특정증권등소유상황보고서</t>
        </is>
      </c>
      <c r="F5829" s="3" t="inlineStr">
        <is>
          <t>박창훈</t>
        </is>
      </c>
      <c r="G5829" s="2" t="inlineStr">
        <is>
          <t>20260520000383</t>
        </is>
      </c>
      <c r="H5829" s="8">
        <f>HYPERLINK("https://dart.fss.or.kr/dsaf001/main.do?rcpNo=20260520000383", "공시열람")</f>
        <v/>
      </c>
    </row>
    <row r="5830">
      <c r="A5830" s="2" t="inlineStr">
        <is>
          <t>2026-05-20</t>
        </is>
      </c>
      <c r="B5830" s="3" t="inlineStr">
        <is>
          <t>키움증권</t>
        </is>
      </c>
      <c r="C5830" s="2" t="inlineStr">
        <is>
          <t>코스피</t>
        </is>
      </c>
      <c r="D5830" s="2" t="inlineStr">
        <is>
          <t>039490</t>
        </is>
      </c>
      <c r="E5830" s="3" t="inlineStr">
        <is>
          <t>투자설명서(일괄신고)</t>
        </is>
      </c>
      <c r="F5830" s="3" t="inlineStr">
        <is>
          <t>키움증권</t>
        </is>
      </c>
      <c r="G5830" s="2" t="inlineStr">
        <is>
          <t>20260520000382</t>
        </is>
      </c>
      <c r="H5830" s="8">
        <f>HYPERLINK("https://dart.fss.or.kr/dsaf001/main.do?rcpNo=20260520000382", "공시열람")</f>
        <v/>
      </c>
    </row>
    <row r="5831">
      <c r="A5831" s="2" t="inlineStr">
        <is>
          <t>2026-05-20</t>
        </is>
      </c>
      <c r="B5831" s="3" t="inlineStr">
        <is>
          <t>위메이드플레이</t>
        </is>
      </c>
      <c r="C5831" s="2" t="inlineStr">
        <is>
          <t>코스닥</t>
        </is>
      </c>
      <c r="D5831" s="2" t="inlineStr">
        <is>
          <t>123420</t>
        </is>
      </c>
      <c r="E5831" s="3" t="inlineStr">
        <is>
          <t>[기재정정]주식매수선택권부여에관한신고</t>
        </is>
      </c>
      <c r="F5831" s="3" t="inlineStr">
        <is>
          <t>위메이드플레이</t>
        </is>
      </c>
      <c r="G5831" s="2" t="inlineStr">
        <is>
          <t>20260520000381</t>
        </is>
      </c>
      <c r="H5831" s="8">
        <f>HYPERLINK("https://dart.fss.or.kr/dsaf001/main.do?rcpNo=20260520000381", "공시열람")</f>
        <v/>
      </c>
    </row>
    <row r="5832">
      <c r="A5832" s="2" t="inlineStr">
        <is>
          <t>2026-05-20</t>
        </is>
      </c>
      <c r="B5832" s="3" t="inlineStr">
        <is>
          <t>키움증권</t>
        </is>
      </c>
      <c r="C5832" s="2" t="inlineStr">
        <is>
          <t>코스피</t>
        </is>
      </c>
      <c r="D5832" s="2" t="inlineStr">
        <is>
          <t>039490</t>
        </is>
      </c>
      <c r="E5832" s="3" t="inlineStr">
        <is>
          <t>투자설명서(일괄신고)</t>
        </is>
      </c>
      <c r="F5832" s="3" t="inlineStr">
        <is>
          <t>키움증권</t>
        </is>
      </c>
      <c r="G5832" s="2" t="inlineStr">
        <is>
          <t>20260520000378</t>
        </is>
      </c>
      <c r="H5832" s="8">
        <f>HYPERLINK("https://dart.fss.or.kr/dsaf001/main.do?rcpNo=20260520000378", "공시열람")</f>
        <v/>
      </c>
    </row>
    <row r="5833">
      <c r="A5833" s="2" t="inlineStr">
        <is>
          <t>2026-05-20</t>
        </is>
      </c>
      <c r="B5833" s="3" t="inlineStr">
        <is>
          <t>키움증권</t>
        </is>
      </c>
      <c r="C5833" s="2" t="inlineStr">
        <is>
          <t>코스피</t>
        </is>
      </c>
      <c r="D5833" s="2" t="inlineStr">
        <is>
          <t>039490</t>
        </is>
      </c>
      <c r="E5833" s="3" t="inlineStr">
        <is>
          <t>투자설명서(일괄신고)</t>
        </is>
      </c>
      <c r="F5833" s="3" t="inlineStr">
        <is>
          <t>키움증권</t>
        </is>
      </c>
      <c r="G5833" s="2" t="inlineStr">
        <is>
          <t>20260520000376</t>
        </is>
      </c>
      <c r="H5833" s="8">
        <f>HYPERLINK("https://dart.fss.or.kr/dsaf001/main.do?rcpNo=20260520000376", "공시열람")</f>
        <v/>
      </c>
    </row>
    <row r="5834">
      <c r="A5834" s="2" t="inlineStr">
        <is>
          <t>2026-05-20</t>
        </is>
      </c>
      <c r="B5834" s="3" t="inlineStr">
        <is>
          <t>키움증권</t>
        </is>
      </c>
      <c r="C5834" s="2" t="inlineStr">
        <is>
          <t>코스피</t>
        </is>
      </c>
      <c r="D5834" s="2" t="inlineStr">
        <is>
          <t>039490</t>
        </is>
      </c>
      <c r="E5834" s="3" t="inlineStr">
        <is>
          <t>투자설명서(일괄신고)</t>
        </is>
      </c>
      <c r="F5834" s="3" t="inlineStr">
        <is>
          <t>키움증권</t>
        </is>
      </c>
      <c r="G5834" s="2" t="inlineStr">
        <is>
          <t>20260520000371</t>
        </is>
      </c>
      <c r="H5834" s="8">
        <f>HYPERLINK("https://dart.fss.or.kr/dsaf001/main.do?rcpNo=20260520000371", "공시열람")</f>
        <v/>
      </c>
    </row>
    <row r="5835">
      <c r="A5835" s="2" t="inlineStr">
        <is>
          <t>2026-05-20</t>
        </is>
      </c>
      <c r="B5835" s="3" t="inlineStr">
        <is>
          <t>랩지노믹스</t>
        </is>
      </c>
      <c r="C5835" s="2" t="inlineStr">
        <is>
          <t>코스닥</t>
        </is>
      </c>
      <c r="D5835" s="2" t="inlineStr">
        <is>
          <t>084650</t>
        </is>
      </c>
      <c r="E5835" s="3" t="inlineStr">
        <is>
          <t xml:space="preserve">증권발행결과(자율공시)              </t>
        </is>
      </c>
      <c r="F5835" s="3" t="inlineStr">
        <is>
          <t>랩지노믹스</t>
        </is>
      </c>
      <c r="G5835" s="2" t="inlineStr">
        <is>
          <t>20260520900731</t>
        </is>
      </c>
      <c r="H5835" s="8">
        <f>HYPERLINK("https://dart.fss.or.kr/dsaf001/main.do?rcpNo=20260520900731", "공시열람")</f>
        <v/>
      </c>
    </row>
    <row r="5836">
      <c r="A5836" s="2" t="inlineStr">
        <is>
          <t>2026-05-20</t>
        </is>
      </c>
      <c r="B5836" s="3" t="inlineStr">
        <is>
          <t>와이랩</t>
        </is>
      </c>
      <c r="C5836" s="2" t="inlineStr">
        <is>
          <t>코스닥</t>
        </is>
      </c>
      <c r="D5836" s="2" t="inlineStr">
        <is>
          <t>432430</t>
        </is>
      </c>
      <c r="E5836" s="3" t="inlineStr">
        <is>
          <t xml:space="preserve">주주명부폐쇄기간또는기준일설정              </t>
        </is>
      </c>
      <c r="F5836" s="3" t="inlineStr">
        <is>
          <t>와이랩</t>
        </is>
      </c>
      <c r="G5836" s="2" t="inlineStr">
        <is>
          <t>20260520900704</t>
        </is>
      </c>
      <c r="H5836" s="8">
        <f>HYPERLINK("https://dart.fss.or.kr/dsaf001/main.do?rcpNo=20260520900704", "공시열람")</f>
        <v/>
      </c>
    </row>
    <row r="5837">
      <c r="A5837" s="2" t="inlineStr">
        <is>
          <t>2026-05-20</t>
        </is>
      </c>
      <c r="B5837" s="3" t="inlineStr">
        <is>
          <t>한화투자증권</t>
        </is>
      </c>
      <c r="C5837" s="2" t="inlineStr">
        <is>
          <t>코스피</t>
        </is>
      </c>
      <c r="D5837" s="2" t="inlineStr">
        <is>
          <t>003530</t>
        </is>
      </c>
      <c r="E5837" s="3" t="inlineStr">
        <is>
          <t xml:space="preserve">타법인주식및출자증권취득결정              </t>
        </is>
      </c>
      <c r="F5837" s="3" t="inlineStr">
        <is>
          <t>한화투자증권</t>
        </is>
      </c>
      <c r="G5837" s="2" t="inlineStr">
        <is>
          <t>20260520800685</t>
        </is>
      </c>
      <c r="H5837" s="8">
        <f>HYPERLINK("https://dart.fss.or.kr/dsaf001/main.do?rcpNo=20260520800685", "공시열람")</f>
        <v/>
      </c>
    </row>
    <row r="5838">
      <c r="A5838" s="2" t="inlineStr">
        <is>
          <t>2026-05-20</t>
        </is>
      </c>
      <c r="B5838" s="3" t="inlineStr">
        <is>
          <t>에스와이스틸텍</t>
        </is>
      </c>
      <c r="C5838" s="2" t="inlineStr">
        <is>
          <t>코스닥</t>
        </is>
      </c>
      <c r="D5838" s="2" t="inlineStr">
        <is>
          <t>365330</t>
        </is>
      </c>
      <c r="E5838" s="3" t="inlineStr">
        <is>
          <t>임원ㆍ주요주주특정증권등소유상황보고서</t>
        </is>
      </c>
      <c r="F5838" s="3" t="inlineStr">
        <is>
          <t>홍영돈</t>
        </is>
      </c>
      <c r="G5838" s="2" t="inlineStr">
        <is>
          <t>20260520000363</t>
        </is>
      </c>
      <c r="H5838" s="8">
        <f>HYPERLINK("https://dart.fss.or.kr/dsaf001/main.do?rcpNo=20260520000363", "공시열람")</f>
        <v/>
      </c>
    </row>
    <row r="5839">
      <c r="A5839" s="2" t="inlineStr">
        <is>
          <t>2026-05-20</t>
        </is>
      </c>
      <c r="B5839" s="3" t="inlineStr">
        <is>
          <t>판타지오</t>
        </is>
      </c>
      <c r="C5839" s="2" t="inlineStr">
        <is>
          <t>코스닥</t>
        </is>
      </c>
      <c r="D5839" s="2" t="inlineStr">
        <is>
          <t>032800</t>
        </is>
      </c>
      <c r="E5839" s="3" t="inlineStr">
        <is>
          <t>증권발행결과(자율공시)              (제3자배정 유상증자)</t>
        </is>
      </c>
      <c r="F5839" s="3" t="inlineStr">
        <is>
          <t>판타지오</t>
        </is>
      </c>
      <c r="G5839" s="2" t="inlineStr">
        <is>
          <t>20260520900682</t>
        </is>
      </c>
      <c r="H5839" s="8">
        <f>HYPERLINK("https://dart.fss.or.kr/dsaf001/main.do?rcpNo=20260520900682", "공시열람")</f>
        <v/>
      </c>
    </row>
    <row r="5840">
      <c r="A5840" s="2" t="inlineStr">
        <is>
          <t>2026-05-20</t>
        </is>
      </c>
      <c r="B5840" s="3" t="inlineStr">
        <is>
          <t>키움증권</t>
        </is>
      </c>
      <c r="C5840" s="2" t="inlineStr">
        <is>
          <t>코스피</t>
        </is>
      </c>
      <c r="D5840" s="2" t="inlineStr">
        <is>
          <t>039490</t>
        </is>
      </c>
      <c r="E5840" s="3" t="inlineStr">
        <is>
          <t>투자설명서(일괄신고)</t>
        </is>
      </c>
      <c r="F5840" s="3" t="inlineStr">
        <is>
          <t>키움증권</t>
        </is>
      </c>
      <c r="G5840" s="2" t="inlineStr">
        <is>
          <t>20260520000346</t>
        </is>
      </c>
      <c r="H5840" s="8">
        <f>HYPERLINK("https://dart.fss.or.kr/dsaf001/main.do?rcpNo=20260520000346", "공시열람")</f>
        <v/>
      </c>
    </row>
    <row r="5841">
      <c r="A5841" s="2" t="inlineStr">
        <is>
          <t>2026-05-20</t>
        </is>
      </c>
      <c r="B5841" s="3" t="inlineStr">
        <is>
          <t>감성코퍼레이션</t>
        </is>
      </c>
      <c r="C5841" s="2" t="inlineStr">
        <is>
          <t>코스닥</t>
        </is>
      </c>
      <c r="D5841" s="2" t="inlineStr">
        <is>
          <t>036620</t>
        </is>
      </c>
      <c r="E5841" s="3" t="inlineStr">
        <is>
          <t>의결권대리행사권유참고서류</t>
        </is>
      </c>
      <c r="F5841" s="3" t="inlineStr">
        <is>
          <t>감성코퍼레이션</t>
        </is>
      </c>
      <c r="G5841" s="2" t="inlineStr">
        <is>
          <t>20260520000342</t>
        </is>
      </c>
      <c r="H5841" s="8">
        <f>HYPERLINK("https://dart.fss.or.kr/dsaf001/main.do?rcpNo=20260520000342", "공시열람")</f>
        <v/>
      </c>
    </row>
    <row r="5842">
      <c r="A5842" s="2" t="inlineStr">
        <is>
          <t>2026-05-20 (정정: 2026-05-21)</t>
        </is>
      </c>
      <c r="B5842" s="3" t="inlineStr">
        <is>
          <t>휴맥스홀딩스</t>
        </is>
      </c>
      <c r="C5842" s="2" t="inlineStr">
        <is>
          <t>코스닥</t>
        </is>
      </c>
      <c r="D5842" s="2" t="inlineStr">
        <is>
          <t>028080</t>
        </is>
      </c>
      <c r="E5842" s="3" t="inlineStr">
        <is>
          <t>전환청구권행사               (정정: 20260521)</t>
        </is>
      </c>
      <c r="F5842" s="3" t="inlineStr">
        <is>
          <t>휴맥스홀딩스</t>
        </is>
      </c>
      <c r="G5842" s="2" t="inlineStr">
        <is>
          <t>20260521000701</t>
        </is>
      </c>
      <c r="H5842" s="8">
        <f>HYPERLINK("https://dart.fss.or.kr/dsaf001/main.do?rcpNo=20260521000701", "공시열람")</f>
        <v/>
      </c>
    </row>
    <row r="5843">
      <c r="A5843" s="2" t="inlineStr">
        <is>
          <t>2026-05-20</t>
        </is>
      </c>
      <c r="B5843" s="3" t="inlineStr">
        <is>
          <t>에코볼트</t>
        </is>
      </c>
      <c r="C5843" s="2" t="inlineStr">
        <is>
          <t>코스닥</t>
        </is>
      </c>
      <c r="D5843" s="2" t="inlineStr">
        <is>
          <t>097780</t>
        </is>
      </c>
      <c r="E5843" s="3" t="inlineStr">
        <is>
          <t>임원ㆍ주요주주특정증권등소유상황보고서</t>
        </is>
      </c>
      <c r="F5843" s="3" t="inlineStr">
        <is>
          <t>오성첨단소재</t>
        </is>
      </c>
      <c r="G5843" s="2" t="inlineStr">
        <is>
          <t>20260520000339</t>
        </is>
      </c>
      <c r="H5843" s="8">
        <f>HYPERLINK("https://dart.fss.or.kr/dsaf001/main.do?rcpNo=20260520000339", "공시열람")</f>
        <v/>
      </c>
    </row>
    <row r="5844">
      <c r="A5844" s="2" t="inlineStr">
        <is>
          <t>2026-05-20 (정정: 2026-06-22)</t>
        </is>
      </c>
      <c r="B5844" s="3" t="inlineStr">
        <is>
          <t>엑스페릭스</t>
        </is>
      </c>
      <c r="C5844" s="2" t="inlineStr">
        <is>
          <t>코스닥</t>
        </is>
      </c>
      <c r="D5844" s="2" t="inlineStr">
        <is>
          <t>317770</t>
        </is>
      </c>
      <c r="E5844" s="3" t="inlineStr">
        <is>
          <t>[기재정정]타법인주식및출자증권처분결정               (정정: 20260622)</t>
        </is>
      </c>
      <c r="F5844" s="3" t="inlineStr">
        <is>
          <t>엑스페릭스</t>
        </is>
      </c>
      <c r="G5844" s="2" t="inlineStr">
        <is>
          <t>20260622900533</t>
        </is>
      </c>
      <c r="H5844" s="8">
        <f>HYPERLINK("https://dart.fss.or.kr/dsaf001/main.do?rcpNo=20260622900533", "공시열람")</f>
        <v/>
      </c>
    </row>
    <row r="5845">
      <c r="A5845" s="2" t="inlineStr">
        <is>
          <t>2026-05-20</t>
        </is>
      </c>
      <c r="B5845" s="3" t="inlineStr">
        <is>
          <t>엑스페릭스</t>
        </is>
      </c>
      <c r="C5845" s="2" t="inlineStr">
        <is>
          <t>코스닥</t>
        </is>
      </c>
      <c r="D5845" s="2" t="inlineStr">
        <is>
          <t>317770</t>
        </is>
      </c>
      <c r="E5845" s="3" t="inlineStr">
        <is>
          <t xml:space="preserve">주권관련사채권의처분결정              </t>
        </is>
      </c>
      <c r="F5845" s="3" t="inlineStr">
        <is>
          <t>엑스페릭스</t>
        </is>
      </c>
      <c r="G5845" s="2" t="inlineStr">
        <is>
          <t>20260520900655</t>
        </is>
      </c>
      <c r="H5845" s="8">
        <f>HYPERLINK("https://dart.fss.or.kr/dsaf001/main.do?rcpNo=20260520900655", "공시열람")</f>
        <v/>
      </c>
    </row>
    <row r="5846">
      <c r="A5846" s="2" t="inlineStr">
        <is>
          <t>2026-05-20</t>
        </is>
      </c>
      <c r="B5846" s="3" t="inlineStr">
        <is>
          <t>한주라이트메탈</t>
        </is>
      </c>
      <c r="C5846" s="2" t="inlineStr">
        <is>
          <t>코스닥</t>
        </is>
      </c>
      <c r="D5846" s="2" t="inlineStr">
        <is>
          <t>198940</t>
        </is>
      </c>
      <c r="E5846" s="3" t="inlineStr">
        <is>
          <t xml:space="preserve">단기차입금증가결정              </t>
        </is>
      </c>
      <c r="F5846" s="3" t="inlineStr">
        <is>
          <t>한주라이트메탈</t>
        </is>
      </c>
      <c r="G5846" s="2" t="inlineStr">
        <is>
          <t>20260520900671</t>
        </is>
      </c>
      <c r="H5846" s="8">
        <f>HYPERLINK("https://dart.fss.or.kr/dsaf001/main.do?rcpNo=20260520900671", "공시열람")</f>
        <v/>
      </c>
    </row>
    <row r="5847">
      <c r="A5847" s="2" t="inlineStr">
        <is>
          <t>2026-05-20</t>
        </is>
      </c>
      <c r="B5847" s="3" t="inlineStr">
        <is>
          <t>삼성바이오로직스</t>
        </is>
      </c>
      <c r="C5847" s="2" t="inlineStr">
        <is>
          <t>코스피</t>
        </is>
      </c>
      <c r="D5847" s="2" t="inlineStr">
        <is>
          <t>207940</t>
        </is>
      </c>
      <c r="E5847" s="3" t="inlineStr">
        <is>
          <t>임원ㆍ주요주주특정증권등소유상황보고서</t>
        </is>
      </c>
      <c r="F5847" s="3" t="inlineStr">
        <is>
          <t>조성환</t>
        </is>
      </c>
      <c r="G5847" s="2" t="inlineStr">
        <is>
          <t>20260520000330</t>
        </is>
      </c>
      <c r="H5847" s="8">
        <f>HYPERLINK("https://dart.fss.or.kr/dsaf001/main.do?rcpNo=20260520000330", "공시열람")</f>
        <v/>
      </c>
    </row>
    <row r="5848">
      <c r="A5848" s="2" t="inlineStr">
        <is>
          <t>2026-05-20</t>
        </is>
      </c>
      <c r="B5848" s="3" t="inlineStr">
        <is>
          <t>카카오게임즈</t>
        </is>
      </c>
      <c r="C5848" s="2" t="inlineStr">
        <is>
          <t>코스닥</t>
        </is>
      </c>
      <c r="D5848" s="2" t="inlineStr">
        <is>
          <t>293490</t>
        </is>
      </c>
      <c r="E5848" s="3" t="inlineStr">
        <is>
          <t xml:space="preserve">교환사채(해외교환사채포함)발행후만기전사채취득              </t>
        </is>
      </c>
      <c r="F5848" s="3" t="inlineStr">
        <is>
          <t>카카오게임즈</t>
        </is>
      </c>
      <c r="G5848" s="2" t="inlineStr">
        <is>
          <t>20260520900696</t>
        </is>
      </c>
      <c r="H5848" s="8">
        <f>HYPERLINK("https://dart.fss.or.kr/dsaf001/main.do?rcpNo=20260520900696", "공시열람")</f>
        <v/>
      </c>
    </row>
    <row r="5849">
      <c r="A5849" s="2" t="inlineStr">
        <is>
          <t>2026-05-20</t>
        </is>
      </c>
      <c r="B5849" s="3" t="inlineStr">
        <is>
          <t>에스에이엠티</t>
        </is>
      </c>
      <c r="C5849" s="2" t="inlineStr">
        <is>
          <t>코스닥</t>
        </is>
      </c>
      <c r="D5849" s="2" t="inlineStr">
        <is>
          <t>031330</t>
        </is>
      </c>
      <c r="E5849" s="3" t="inlineStr">
        <is>
          <t>임원ㆍ주요주주특정증권등소유상황보고서</t>
        </is>
      </c>
      <c r="F5849" s="3" t="inlineStr">
        <is>
          <t>삼지전자</t>
        </is>
      </c>
      <c r="G5849" s="2" t="inlineStr">
        <is>
          <t>20260520000326</t>
        </is>
      </c>
      <c r="H5849" s="8">
        <f>HYPERLINK("https://dart.fss.or.kr/dsaf001/main.do?rcpNo=20260520000326", "공시열람")</f>
        <v/>
      </c>
    </row>
    <row r="5850">
      <c r="A5850" s="2" t="inlineStr">
        <is>
          <t>2026-05-20 (정정: 2026-05-22)</t>
        </is>
      </c>
      <c r="B5850" s="3" t="inlineStr">
        <is>
          <t>피스피스스튜디오</t>
        </is>
      </c>
      <c r="C5850" s="2" t="inlineStr">
        <is>
          <t>코스닥</t>
        </is>
      </c>
      <c r="D5850" s="2" t="inlineStr">
        <is>
          <t>0117P0</t>
        </is>
      </c>
      <c r="E5850" s="3" t="inlineStr">
        <is>
          <t>투자설명서 (정정: 20260522)</t>
        </is>
      </c>
      <c r="F5850" s="3" t="inlineStr">
        <is>
          <t>피스피스스튜디오</t>
        </is>
      </c>
      <c r="G5850" s="2" t="inlineStr">
        <is>
          <t>20260522000577</t>
        </is>
      </c>
      <c r="H5850" s="8">
        <f>HYPERLINK("https://dart.fss.or.kr/dsaf001/main.do?rcpNo=20260522000577", "공시열람")</f>
        <v/>
      </c>
    </row>
    <row r="5851">
      <c r="A5851" s="2" t="inlineStr">
        <is>
          <t>2026-05-20</t>
        </is>
      </c>
      <c r="B5851" s="3" t="inlineStr">
        <is>
          <t>엔시스</t>
        </is>
      </c>
      <c r="C5851" s="2" t="inlineStr">
        <is>
          <t>코스닥</t>
        </is>
      </c>
      <c r="D5851" s="2" t="inlineStr">
        <is>
          <t>333620</t>
        </is>
      </c>
      <c r="E5851" s="3" t="inlineStr">
        <is>
          <t>임원ㆍ주요주주특정증권등소유상황보고서</t>
        </is>
      </c>
      <c r="F5851" s="3" t="inlineStr">
        <is>
          <t>장성완</t>
        </is>
      </c>
      <c r="G5851" s="2" t="inlineStr">
        <is>
          <t>20260520000319</t>
        </is>
      </c>
      <c r="H5851" s="8">
        <f>HYPERLINK("https://dart.fss.or.kr/dsaf001/main.do?rcpNo=20260520000319", "공시열람")</f>
        <v/>
      </c>
    </row>
    <row r="5852">
      <c r="A5852" s="2" t="inlineStr">
        <is>
          <t>2026-05-20</t>
        </is>
      </c>
      <c r="B5852" s="3" t="inlineStr">
        <is>
          <t>타이거일렉</t>
        </is>
      </c>
      <c r="C5852" s="2" t="inlineStr">
        <is>
          <t>코스닥</t>
        </is>
      </c>
      <c r="D5852" s="2" t="inlineStr">
        <is>
          <t>219130</t>
        </is>
      </c>
      <c r="E5852" s="3" t="inlineStr">
        <is>
          <t xml:space="preserve">증권발행결과(자율공시)              </t>
        </is>
      </c>
      <c r="F5852" s="3" t="inlineStr">
        <is>
          <t>타이거일렉</t>
        </is>
      </c>
      <c r="G5852" s="2" t="inlineStr">
        <is>
          <t>20260520900669</t>
        </is>
      </c>
      <c r="H5852" s="8">
        <f>HYPERLINK("https://dart.fss.or.kr/dsaf001/main.do?rcpNo=20260520900669", "공시열람")</f>
        <v/>
      </c>
    </row>
    <row r="5853">
      <c r="A5853" s="2" t="inlineStr">
        <is>
          <t>2026-05-20</t>
        </is>
      </c>
      <c r="B5853" s="3" t="inlineStr">
        <is>
          <t>신세계</t>
        </is>
      </c>
      <c r="C5853" s="2" t="inlineStr">
        <is>
          <t>코스피</t>
        </is>
      </c>
      <c r="D5853" s="2" t="inlineStr">
        <is>
          <t>004170</t>
        </is>
      </c>
      <c r="E5853" s="3" t="inlineStr">
        <is>
          <t xml:space="preserve">기업설명회(IR)개최(안내공시)              </t>
        </is>
      </c>
      <c r="F5853" s="3" t="inlineStr">
        <is>
          <t>신세계</t>
        </is>
      </c>
      <c r="G5853" s="2" t="inlineStr">
        <is>
          <t>20260520800668</t>
        </is>
      </c>
      <c r="H5853" s="8">
        <f>HYPERLINK("https://dart.fss.or.kr/dsaf001/main.do?rcpNo=20260520800668", "공시열람")</f>
        <v/>
      </c>
    </row>
    <row r="5854">
      <c r="A5854" s="2" t="inlineStr">
        <is>
          <t>2026-05-20</t>
        </is>
      </c>
      <c r="B5854" s="3" t="inlineStr">
        <is>
          <t>KB금융</t>
        </is>
      </c>
      <c r="C5854" s="2" t="inlineStr">
        <is>
          <t>코스피</t>
        </is>
      </c>
      <c r="D5854" s="2" t="inlineStr">
        <is>
          <t>105560</t>
        </is>
      </c>
      <c r="E5854" s="3" t="inlineStr">
        <is>
          <t xml:space="preserve">기타안내사항(안내공시)              </t>
        </is>
      </c>
      <c r="F5854" s="3" t="inlineStr">
        <is>
          <t>KB금융</t>
        </is>
      </c>
      <c r="G5854" s="2" t="inlineStr">
        <is>
          <t>20260520800664</t>
        </is>
      </c>
      <c r="H5854" s="8">
        <f>HYPERLINK("https://dart.fss.or.kr/dsaf001/main.do?rcpNo=20260520800664", "공시열람")</f>
        <v/>
      </c>
    </row>
    <row r="5855">
      <c r="A5855" s="2" t="inlineStr">
        <is>
          <t>2026-05-20</t>
        </is>
      </c>
      <c r="B5855" s="3" t="inlineStr">
        <is>
          <t>삼양홀딩스</t>
        </is>
      </c>
      <c r="C5855" s="2" t="inlineStr">
        <is>
          <t>코스피</t>
        </is>
      </c>
      <c r="D5855" s="2" t="inlineStr">
        <is>
          <t>000070</t>
        </is>
      </c>
      <c r="E5855" s="3" t="inlineStr">
        <is>
          <t xml:space="preserve">벌금등의부과(자회사의 주요경영사항)              </t>
        </is>
      </c>
      <c r="F5855" s="3" t="inlineStr">
        <is>
          <t>삼양홀딩스</t>
        </is>
      </c>
      <c r="G5855" s="2" t="inlineStr">
        <is>
          <t>20260520800647</t>
        </is>
      </c>
      <c r="H5855" s="8">
        <f>HYPERLINK("https://dart.fss.or.kr/dsaf001/main.do?rcpNo=20260520800647", "공시열람")</f>
        <v/>
      </c>
    </row>
    <row r="5856">
      <c r="A5856" s="2" t="inlineStr">
        <is>
          <t>2026-05-20</t>
        </is>
      </c>
      <c r="B5856" s="3" t="inlineStr">
        <is>
          <t>삼양사</t>
        </is>
      </c>
      <c r="C5856" s="2" t="inlineStr">
        <is>
          <t>코스피</t>
        </is>
      </c>
      <c r="D5856" s="2" t="inlineStr">
        <is>
          <t>145990</t>
        </is>
      </c>
      <c r="E5856" s="3" t="inlineStr">
        <is>
          <t xml:space="preserve">벌금등의부과              </t>
        </is>
      </c>
      <c r="F5856" s="3" t="inlineStr">
        <is>
          <t>삼양사</t>
        </is>
      </c>
      <c r="G5856" s="2" t="inlineStr">
        <is>
          <t>20260520800646</t>
        </is>
      </c>
      <c r="H5856" s="8">
        <f>HYPERLINK("https://dart.fss.or.kr/dsaf001/main.do?rcpNo=20260520800646", "공시열람")</f>
        <v/>
      </c>
    </row>
    <row r="5857">
      <c r="A5857" s="2" t="inlineStr">
        <is>
          <t>2026-05-20</t>
        </is>
      </c>
      <c r="B5857" s="3" t="inlineStr">
        <is>
          <t>KB금융</t>
        </is>
      </c>
      <c r="C5857" s="2" t="inlineStr">
        <is>
          <t>코스피</t>
        </is>
      </c>
      <c r="D5857" s="2" t="inlineStr">
        <is>
          <t>105560</t>
        </is>
      </c>
      <c r="E5857" s="3" t="inlineStr">
        <is>
          <t xml:space="preserve">기업설명회(IR)개최(안내공시)              </t>
        </is>
      </c>
      <c r="F5857" s="3" t="inlineStr">
        <is>
          <t>KB금융</t>
        </is>
      </c>
      <c r="G5857" s="2" t="inlineStr">
        <is>
          <t>20260520800640</t>
        </is>
      </c>
      <c r="H5857" s="8">
        <f>HYPERLINK("https://dart.fss.or.kr/dsaf001/main.do?rcpNo=20260520800640", "공시열람")</f>
        <v/>
      </c>
    </row>
    <row r="5858">
      <c r="A5858" s="2" t="inlineStr">
        <is>
          <t>2026-05-20 (정정: 2026-05-27)</t>
        </is>
      </c>
      <c r="B5858" s="3" t="inlineStr">
        <is>
          <t>에이비프로바이오</t>
        </is>
      </c>
      <c r="C5858" s="2" t="inlineStr">
        <is>
          <t>코스닥</t>
        </is>
      </c>
      <c r="D5858" s="2" t="inlineStr">
        <is>
          <t>195990</t>
        </is>
      </c>
      <c r="E5858" s="3" t="inlineStr">
        <is>
          <t>의결권대리행사권유참고서류 (정정: 20260527) (정정: 20260527)</t>
        </is>
      </c>
      <c r="F5858" s="3" t="inlineStr">
        <is>
          <t>에이비프로바이오</t>
        </is>
      </c>
      <c r="G5858" s="2" t="inlineStr">
        <is>
          <t>20260527000405</t>
        </is>
      </c>
      <c r="H5858" s="8">
        <f>HYPERLINK("https://dart.fss.or.kr/dsaf001/main.do?rcpNo=20260527000405", "공시열람")</f>
        <v/>
      </c>
    </row>
    <row r="5859">
      <c r="A5859" s="2" t="inlineStr">
        <is>
          <t>2026-05-20</t>
        </is>
      </c>
      <c r="B5859" s="3" t="inlineStr">
        <is>
          <t>하나투어</t>
        </is>
      </c>
      <c r="C5859" s="2" t="inlineStr">
        <is>
          <t>코스피</t>
        </is>
      </c>
      <c r="D5859" s="2" t="inlineStr">
        <is>
          <t>039130</t>
        </is>
      </c>
      <c r="E5859" s="3" t="inlineStr">
        <is>
          <t xml:space="preserve">풍문또는보도에대한해명              </t>
        </is>
      </c>
      <c r="F5859" s="3" t="inlineStr">
        <is>
          <t>하나투어</t>
        </is>
      </c>
      <c r="G5859" s="2" t="inlineStr">
        <is>
          <t>20260520800628</t>
        </is>
      </c>
      <c r="H5859" s="8">
        <f>HYPERLINK("https://dart.fss.or.kr/dsaf001/main.do?rcpNo=20260520800628", "공시열람")</f>
        <v/>
      </c>
    </row>
    <row r="5860">
      <c r="A5860" s="2" t="inlineStr">
        <is>
          <t>2026-05-20</t>
        </is>
      </c>
      <c r="B5860" s="3" t="inlineStr">
        <is>
          <t>에스테크엠</t>
        </is>
      </c>
      <c r="C5860" s="2" t="inlineStr">
        <is>
          <t>코넥스</t>
        </is>
      </c>
      <c r="D5860" s="2" t="inlineStr">
        <is>
          <t>0070X0</t>
        </is>
      </c>
      <c r="E5860" s="3" t="inlineStr">
        <is>
          <t>임원ㆍ주요주주특정증권등소유상황보고서</t>
        </is>
      </c>
      <c r="F5860" s="3" t="inlineStr">
        <is>
          <t>아르떼인베스트</t>
        </is>
      </c>
      <c r="G5860" s="2" t="inlineStr">
        <is>
          <t>20260520000304</t>
        </is>
      </c>
      <c r="H5860" s="8">
        <f>HYPERLINK("https://dart.fss.or.kr/dsaf001/main.do?rcpNo=20260520000304", "공시열람")</f>
        <v/>
      </c>
    </row>
    <row r="5861">
      <c r="A5861" s="2" t="inlineStr">
        <is>
          <t>2026-05-20</t>
        </is>
      </c>
      <c r="B5861" s="3" t="inlineStr">
        <is>
          <t>사조동아원</t>
        </is>
      </c>
      <c r="C5861" s="2" t="inlineStr">
        <is>
          <t>코스피</t>
        </is>
      </c>
      <c r="D5861" s="2" t="inlineStr">
        <is>
          <t>008040</t>
        </is>
      </c>
      <c r="E5861" s="3" t="inlineStr">
        <is>
          <t xml:space="preserve">벌금등의부과              </t>
        </is>
      </c>
      <c r="F5861" s="3" t="inlineStr">
        <is>
          <t>사조동아원</t>
        </is>
      </c>
      <c r="G5861" s="2" t="inlineStr">
        <is>
          <t>20260520800625</t>
        </is>
      </c>
      <c r="H5861" s="8">
        <f>HYPERLINK("https://dart.fss.or.kr/dsaf001/main.do?rcpNo=20260520800625", "공시열람")</f>
        <v/>
      </c>
    </row>
    <row r="5862">
      <c r="A5862" s="2" t="inlineStr">
        <is>
          <t>2026-05-20</t>
        </is>
      </c>
      <c r="B5862" s="3" t="inlineStr">
        <is>
          <t>리메드</t>
        </is>
      </c>
      <c r="C5862" s="2" t="inlineStr">
        <is>
          <t>코스닥</t>
        </is>
      </c>
      <c r="D5862" s="2" t="inlineStr">
        <is>
          <t>302550</t>
        </is>
      </c>
      <c r="E5862" s="3" t="inlineStr">
        <is>
          <t>신탁계약해지결과보고서</t>
        </is>
      </c>
      <c r="F5862" s="3" t="inlineStr">
        <is>
          <t>리메드</t>
        </is>
      </c>
      <c r="G5862" s="2" t="inlineStr">
        <is>
          <t>20260520000301</t>
        </is>
      </c>
      <c r="H5862" s="8">
        <f>HYPERLINK("https://dart.fss.or.kr/dsaf001/main.do?rcpNo=20260520000301", "공시열람")</f>
        <v/>
      </c>
    </row>
    <row r="5863">
      <c r="A5863" s="2" t="inlineStr">
        <is>
          <t>2026-05-20 (정정: 2026-05-21)</t>
        </is>
      </c>
      <c r="B5863" s="3" t="inlineStr">
        <is>
          <t>현대글로비스</t>
        </is>
      </c>
      <c r="C5863" s="2" t="inlineStr">
        <is>
          <t>코스피</t>
        </is>
      </c>
      <c r="D5863" s="2" t="inlineStr">
        <is>
          <t>086280</t>
        </is>
      </c>
      <c r="E5863" s="3" t="inlineStr">
        <is>
          <t>타법인주식및출자증권취득결정               (정정: 20260521)</t>
        </is>
      </c>
      <c r="F5863" s="3" t="inlineStr">
        <is>
          <t>현대글로비스</t>
        </is>
      </c>
      <c r="G5863" s="2" t="inlineStr">
        <is>
          <t>20260521800606</t>
        </is>
      </c>
      <c r="H5863" s="8">
        <f>HYPERLINK("https://dart.fss.or.kr/dsaf001/main.do?rcpNo=20260521800606", "공시열람")</f>
        <v/>
      </c>
    </row>
    <row r="5864">
      <c r="A5864" s="2" t="inlineStr">
        <is>
          <t>2026-05-20</t>
        </is>
      </c>
      <c r="B5864" s="3" t="inlineStr">
        <is>
          <t>대한제분</t>
        </is>
      </c>
      <c r="C5864" s="2" t="inlineStr">
        <is>
          <t>코스피</t>
        </is>
      </c>
      <c r="D5864" s="2" t="inlineStr">
        <is>
          <t>001130</t>
        </is>
      </c>
      <c r="E5864" s="3" t="inlineStr">
        <is>
          <t xml:space="preserve">벌금등의부과              </t>
        </is>
      </c>
      <c r="F5864" s="3" t="inlineStr">
        <is>
          <t>대한제분</t>
        </is>
      </c>
      <c r="G5864" s="2" t="inlineStr">
        <is>
          <t>20260520800573</t>
        </is>
      </c>
      <c r="H5864" s="8">
        <f>HYPERLINK("https://dart.fss.or.kr/dsaf001/main.do?rcpNo=20260520800573", "공시열람")</f>
        <v/>
      </c>
    </row>
    <row r="5865">
      <c r="A5865" s="2" t="inlineStr">
        <is>
          <t>2026-05-20</t>
        </is>
      </c>
      <c r="B5865" s="3" t="inlineStr">
        <is>
          <t>LG유플러스</t>
        </is>
      </c>
      <c r="C5865" s="2" t="inlineStr">
        <is>
          <t>코스피</t>
        </is>
      </c>
      <c r="D5865" s="2" t="inlineStr">
        <is>
          <t>032640</t>
        </is>
      </c>
      <c r="E5865" s="3" t="inlineStr">
        <is>
          <t xml:space="preserve">기업설명회(IR)개최(안내공시)              </t>
        </is>
      </c>
      <c r="F5865" s="3" t="inlineStr">
        <is>
          <t>LG유플러스</t>
        </is>
      </c>
      <c r="G5865" s="2" t="inlineStr">
        <is>
          <t>20260520800571</t>
        </is>
      </c>
      <c r="H5865" s="8">
        <f>HYPERLINK("https://dart.fss.or.kr/dsaf001/main.do?rcpNo=20260520800571", "공시열람")</f>
        <v/>
      </c>
    </row>
    <row r="5866">
      <c r="A5866" s="2" t="inlineStr">
        <is>
          <t>2026-05-20</t>
        </is>
      </c>
      <c r="B5866" s="3" t="inlineStr">
        <is>
          <t>코다코</t>
        </is>
      </c>
      <c r="C5866" s="2" t="inlineStr">
        <is>
          <t>코스닥</t>
        </is>
      </c>
      <c r="D5866" s="2" t="inlineStr">
        <is>
          <t>046070</t>
        </is>
      </c>
      <c r="E5866" s="3" t="inlineStr">
        <is>
          <t>주요사항보고서(감자결정)</t>
        </is>
      </c>
      <c r="F5866" s="3" t="inlineStr">
        <is>
          <t>코다코</t>
        </is>
      </c>
      <c r="G5866" s="2" t="inlineStr">
        <is>
          <t>20260520000286</t>
        </is>
      </c>
      <c r="H5866" s="8">
        <f>HYPERLINK("https://dart.fss.or.kr/dsaf001/main.do?rcpNo=20260520000286", "공시열람")</f>
        <v/>
      </c>
    </row>
    <row r="5867">
      <c r="A5867" s="2" t="inlineStr">
        <is>
          <t>2026-05-20</t>
        </is>
      </c>
      <c r="B5867" s="3" t="inlineStr">
        <is>
          <t>코다코</t>
        </is>
      </c>
      <c r="C5867" s="2" t="inlineStr">
        <is>
          <t>코스닥</t>
        </is>
      </c>
      <c r="D5867" s="2" t="inlineStr">
        <is>
          <t>046070</t>
        </is>
      </c>
      <c r="E5867" s="3" t="inlineStr">
        <is>
          <t xml:space="preserve">회생계획인가              </t>
        </is>
      </c>
      <c r="F5867" s="3" t="inlineStr">
        <is>
          <t>코다코</t>
        </is>
      </c>
      <c r="G5867" s="2" t="inlineStr">
        <is>
          <t>20260520900554</t>
        </is>
      </c>
      <c r="H5867" s="8">
        <f>HYPERLINK("https://dart.fss.or.kr/dsaf001/main.do?rcpNo=20260520900554", "공시열람")</f>
        <v/>
      </c>
    </row>
    <row r="5868">
      <c r="A5868" s="2" t="inlineStr">
        <is>
          <t>2026-05-20</t>
        </is>
      </c>
      <c r="B5868" s="3" t="inlineStr">
        <is>
          <t>성창기업지주</t>
        </is>
      </c>
      <c r="C5868" s="2" t="inlineStr">
        <is>
          <t>코스피</t>
        </is>
      </c>
      <c r="D5868" s="2" t="inlineStr">
        <is>
          <t>000180</t>
        </is>
      </c>
      <c r="E5868" s="3" t="inlineStr">
        <is>
          <t xml:space="preserve">주주명부폐쇄기간또는기준일설정              </t>
        </is>
      </c>
      <c r="F5868" s="3" t="inlineStr">
        <is>
          <t>성창기업지주</t>
        </is>
      </c>
      <c r="G5868" s="2" t="inlineStr">
        <is>
          <t>20260520800557</t>
        </is>
      </c>
      <c r="H5868" s="8">
        <f>HYPERLINK("https://dart.fss.or.kr/dsaf001/main.do?rcpNo=20260520800557", "공시열람")</f>
        <v/>
      </c>
    </row>
    <row r="5869">
      <c r="A5869" s="2" t="inlineStr">
        <is>
          <t>2026-05-20</t>
        </is>
      </c>
      <c r="B5869" s="3" t="inlineStr">
        <is>
          <t>태광산업</t>
        </is>
      </c>
      <c r="C5869" s="2" t="inlineStr">
        <is>
          <t>코스피</t>
        </is>
      </c>
      <c r="D5869" s="2" t="inlineStr">
        <is>
          <t>003240</t>
        </is>
      </c>
      <c r="E5869" s="3" t="inlineStr">
        <is>
          <t xml:space="preserve">기업설명회(IR)개최(안내공시)              </t>
        </is>
      </c>
      <c r="F5869" s="3" t="inlineStr">
        <is>
          <t>태광산업</t>
        </is>
      </c>
      <c r="G5869" s="2" t="inlineStr">
        <is>
          <t>20260520800553</t>
        </is>
      </c>
      <c r="H5869" s="8">
        <f>HYPERLINK("https://dart.fss.or.kr/dsaf001/main.do?rcpNo=20260520800553", "공시열람")</f>
        <v/>
      </c>
    </row>
    <row r="5870">
      <c r="A5870" s="2" t="inlineStr">
        <is>
          <t>2026-05-20</t>
        </is>
      </c>
      <c r="B5870" s="3" t="inlineStr">
        <is>
          <t>컴투스</t>
        </is>
      </c>
      <c r="C5870" s="2" t="inlineStr">
        <is>
          <t>코스닥</t>
        </is>
      </c>
      <c r="D5870" s="2" t="inlineStr">
        <is>
          <t>078340</t>
        </is>
      </c>
      <c r="E5870" s="3" t="inlineStr">
        <is>
          <t>임원ㆍ주요주주특정증권등소유상황보고서</t>
        </is>
      </c>
      <c r="F5870" s="3" t="inlineStr">
        <is>
          <t>이상윤</t>
        </is>
      </c>
      <c r="G5870" s="2" t="inlineStr">
        <is>
          <t>20260520000290</t>
        </is>
      </c>
      <c r="H5870" s="8">
        <f>HYPERLINK("https://dart.fss.or.kr/dsaf001/main.do?rcpNo=20260520000290", "공시열람")</f>
        <v/>
      </c>
    </row>
    <row r="5871">
      <c r="A5871" s="2" t="inlineStr">
        <is>
          <t>2026-05-20</t>
        </is>
      </c>
      <c r="B5871" s="3" t="inlineStr">
        <is>
          <t>SK</t>
        </is>
      </c>
      <c r="C5871" s="2" t="inlineStr">
        <is>
          <t>코스피</t>
        </is>
      </c>
      <c r="D5871" s="2" t="inlineStr">
        <is>
          <t>034730</t>
        </is>
      </c>
      <c r="E5871" s="3" t="inlineStr">
        <is>
          <t>임원ㆍ주요주주특정증권등소유상황보고서</t>
        </is>
      </c>
      <c r="F5871" s="3" t="inlineStr">
        <is>
          <t>윤풍영</t>
        </is>
      </c>
      <c r="G5871" s="2" t="inlineStr">
        <is>
          <t>20260520000289</t>
        </is>
      </c>
      <c r="H5871" s="8">
        <f>HYPERLINK("https://dart.fss.or.kr/dsaf001/main.do?rcpNo=20260520000289", "공시열람")</f>
        <v/>
      </c>
    </row>
    <row r="5872">
      <c r="A5872" s="2" t="inlineStr">
        <is>
          <t>2026-05-20 (정정: 2026-05-20)</t>
        </is>
      </c>
      <c r="B5872" s="3" t="inlineStr">
        <is>
          <t>한탑</t>
        </is>
      </c>
      <c r="C5872" s="2" t="inlineStr">
        <is>
          <t>코스닥</t>
        </is>
      </c>
      <c r="D5872" s="2" t="inlineStr">
        <is>
          <t>002680</t>
        </is>
      </c>
      <c r="E5872" s="3" t="inlineStr">
        <is>
          <t>[첨부정정]주식병합결정               (정정: 20260520)</t>
        </is>
      </c>
      <c r="F5872" s="3" t="inlineStr">
        <is>
          <t>한탑</t>
        </is>
      </c>
      <c r="G5872" s="2" t="inlineStr">
        <is>
          <t>20260520900517</t>
        </is>
      </c>
      <c r="H5872" s="8">
        <f>HYPERLINK("https://dart.fss.or.kr/dsaf001/main.do?rcpNo=20260520900517", "공시열람")</f>
        <v/>
      </c>
    </row>
    <row r="5873">
      <c r="A5873" s="2" t="inlineStr">
        <is>
          <t>2026-05-20</t>
        </is>
      </c>
      <c r="B5873" s="3" t="inlineStr">
        <is>
          <t>키움증권</t>
        </is>
      </c>
      <c r="C5873" s="2" t="inlineStr">
        <is>
          <t>코스피</t>
        </is>
      </c>
      <c r="D5873" s="2" t="inlineStr">
        <is>
          <t>039490</t>
        </is>
      </c>
      <c r="E5873" s="3" t="inlineStr">
        <is>
          <t>일괄신고추가서류(파생결합증권-주가연계증권)</t>
        </is>
      </c>
      <c r="F5873" s="3" t="inlineStr">
        <is>
          <t>키움증권</t>
        </is>
      </c>
      <c r="G5873" s="2" t="inlineStr">
        <is>
          <t>20260520000288</t>
        </is>
      </c>
      <c r="H5873" s="8">
        <f>HYPERLINK("https://dart.fss.or.kr/dsaf001/main.do?rcpNo=20260520000288", "공시열람")</f>
        <v/>
      </c>
    </row>
    <row r="5874">
      <c r="A5874" s="2" t="inlineStr">
        <is>
          <t>2026-05-20</t>
        </is>
      </c>
      <c r="B5874" s="3" t="inlineStr">
        <is>
          <t>HL홀딩스</t>
        </is>
      </c>
      <c r="C5874" s="2" t="inlineStr">
        <is>
          <t>코스피</t>
        </is>
      </c>
      <c r="D5874" s="2" t="inlineStr">
        <is>
          <t>060980</t>
        </is>
      </c>
      <c r="E5874" s="3" t="inlineStr">
        <is>
          <t>임원ㆍ주요주주특정증권등소유상황보고서</t>
        </is>
      </c>
      <c r="F5874" s="3" t="inlineStr">
        <is>
          <t>정지연</t>
        </is>
      </c>
      <c r="G5874" s="2" t="inlineStr">
        <is>
          <t>20260520000287</t>
        </is>
      </c>
      <c r="H5874" s="8">
        <f>HYPERLINK("https://dart.fss.or.kr/dsaf001/main.do?rcpNo=20260520000287", "공시열람")</f>
        <v/>
      </c>
    </row>
    <row r="5875">
      <c r="A5875" s="2" t="inlineStr">
        <is>
          <t>2026-05-20</t>
        </is>
      </c>
      <c r="B5875" s="3" t="inlineStr">
        <is>
          <t>핑거</t>
        </is>
      </c>
      <c r="C5875" s="2" t="inlineStr">
        <is>
          <t>코스닥</t>
        </is>
      </c>
      <c r="D5875" s="2" t="inlineStr">
        <is>
          <t>163730</t>
        </is>
      </c>
      <c r="E5875" s="3" t="inlineStr">
        <is>
          <t xml:space="preserve">증권발행결과(자율공시)              </t>
        </is>
      </c>
      <c r="F5875" s="3" t="inlineStr">
        <is>
          <t>핑거</t>
        </is>
      </c>
      <c r="G5875" s="2" t="inlineStr">
        <is>
          <t>20260520900559</t>
        </is>
      </c>
      <c r="H5875" s="8">
        <f>HYPERLINK("https://dart.fss.or.kr/dsaf001/main.do?rcpNo=20260520900559", "공시열람")</f>
        <v/>
      </c>
    </row>
    <row r="5876">
      <c r="A5876" s="2" t="inlineStr">
        <is>
          <t>2026-05-20</t>
        </is>
      </c>
      <c r="B5876" s="3" t="inlineStr">
        <is>
          <t>코웨이</t>
        </is>
      </c>
      <c r="C5876" s="2" t="inlineStr">
        <is>
          <t>코스피</t>
        </is>
      </c>
      <c r="D5876" s="2" t="inlineStr">
        <is>
          <t>021240</t>
        </is>
      </c>
      <c r="E5876" s="3" t="inlineStr">
        <is>
          <t>임원ㆍ주요주주특정증권등소유상황보고서</t>
        </is>
      </c>
      <c r="F5876" s="3" t="inlineStr">
        <is>
          <t>방준혁</t>
        </is>
      </c>
      <c r="G5876" s="2" t="inlineStr">
        <is>
          <t>20260520000285</t>
        </is>
      </c>
      <c r="H5876" s="8">
        <f>HYPERLINK("https://dart.fss.or.kr/dsaf001/main.do?rcpNo=20260520000285", "공시열람")</f>
        <v/>
      </c>
    </row>
    <row r="5877">
      <c r="A5877" s="2" t="inlineStr">
        <is>
          <t>2026-05-20</t>
        </is>
      </c>
      <c r="B5877" s="3" t="inlineStr">
        <is>
          <t>핑거</t>
        </is>
      </c>
      <c r="C5877" s="2" t="inlineStr">
        <is>
          <t>코스닥</t>
        </is>
      </c>
      <c r="D5877" s="2" t="inlineStr">
        <is>
          <t>163730</t>
        </is>
      </c>
      <c r="E5877" s="3" t="inlineStr">
        <is>
          <t xml:space="preserve">증권발행결과(자율공시)              </t>
        </is>
      </c>
      <c r="F5877" s="3" t="inlineStr">
        <is>
          <t>핑거</t>
        </is>
      </c>
      <c r="G5877" s="2" t="inlineStr">
        <is>
          <t>20260520900555</t>
        </is>
      </c>
      <c r="H5877" s="8">
        <f>HYPERLINK("https://dart.fss.or.kr/dsaf001/main.do?rcpNo=20260520900555", "공시열람")</f>
        <v/>
      </c>
    </row>
    <row r="5878">
      <c r="A5878" s="2" t="inlineStr">
        <is>
          <t>2026-05-20 (정정: 2026-05-22)</t>
        </is>
      </c>
      <c r="B5878" s="3" t="inlineStr">
        <is>
          <t>SKAI</t>
        </is>
      </c>
      <c r="C5878" s="2" t="inlineStr">
        <is>
          <t>코스닥</t>
        </is>
      </c>
      <c r="D5878" s="2" t="inlineStr">
        <is>
          <t>357880</t>
        </is>
      </c>
      <c r="E5878" s="3" t="inlineStr">
        <is>
          <t>전환청구권행사               (정정: 20260522) (정정: 20260522)</t>
        </is>
      </c>
      <c r="F5878" s="3" t="inlineStr">
        <is>
          <t>SKAI</t>
        </is>
      </c>
      <c r="G5878" s="2" t="inlineStr">
        <is>
          <t>20260522900004</t>
        </is>
      </c>
      <c r="H5878" s="8">
        <f>HYPERLINK("https://dart.fss.or.kr/dsaf001/main.do?rcpNo=20260522900004", "공시열람")</f>
        <v/>
      </c>
    </row>
    <row r="5879">
      <c r="A5879" s="2" t="inlineStr">
        <is>
          <t>2026-05-20</t>
        </is>
      </c>
      <c r="B5879" s="3" t="inlineStr">
        <is>
          <t>녹십자엠에스</t>
        </is>
      </c>
      <c r="C5879" s="2" t="inlineStr">
        <is>
          <t>코스닥</t>
        </is>
      </c>
      <c r="D5879" s="2" t="inlineStr">
        <is>
          <t>142280</t>
        </is>
      </c>
      <c r="E5879" s="3" t="inlineStr">
        <is>
          <t xml:space="preserve">신주인수권행사              </t>
        </is>
      </c>
      <c r="F5879" s="3" t="inlineStr">
        <is>
          <t>녹십자엠에스</t>
        </is>
      </c>
      <c r="G5879" s="2" t="inlineStr">
        <is>
          <t>20260520900545</t>
        </is>
      </c>
      <c r="H5879" s="8">
        <f>HYPERLINK("https://dart.fss.or.kr/dsaf001/main.do?rcpNo=20260520900545", "공시열람")</f>
        <v/>
      </c>
    </row>
    <row r="5880">
      <c r="A5880" s="2" t="inlineStr">
        <is>
          <t>2026-05-20</t>
        </is>
      </c>
      <c r="B5880" s="3" t="inlineStr">
        <is>
          <t>싸이토젠</t>
        </is>
      </c>
      <c r="C5880" s="2" t="inlineStr">
        <is>
          <t>코스닥</t>
        </is>
      </c>
      <c r="D5880" s="2" t="inlineStr">
        <is>
          <t>217330</t>
        </is>
      </c>
      <c r="E5880" s="3" t="inlineStr">
        <is>
          <t>임원ㆍ주요주주특정증권등거래계획보고서</t>
        </is>
      </c>
      <c r="F5880" s="3" t="inlineStr">
        <is>
          <t>전병희</t>
        </is>
      </c>
      <c r="G5880" s="2" t="inlineStr">
        <is>
          <t>20260520000283</t>
        </is>
      </c>
      <c r="H5880" s="8">
        <f>HYPERLINK("https://dart.fss.or.kr/dsaf001/main.do?rcpNo=20260520000283", "공시열람")</f>
        <v/>
      </c>
    </row>
    <row r="5881">
      <c r="A5881" s="2" t="inlineStr">
        <is>
          <t>2026-05-20</t>
        </is>
      </c>
      <c r="B5881" s="3" t="inlineStr">
        <is>
          <t>슈피겐코리아</t>
        </is>
      </c>
      <c r="C5881" s="2" t="inlineStr">
        <is>
          <t>코스닥</t>
        </is>
      </c>
      <c r="D5881" s="2" t="inlineStr">
        <is>
          <t>192440</t>
        </is>
      </c>
      <c r="E5881" s="3" t="inlineStr">
        <is>
          <t>임원ㆍ주요주주특정증권등소유상황보고서</t>
        </is>
      </c>
      <c r="F5881" s="3" t="inlineStr">
        <is>
          <t>김대영</t>
        </is>
      </c>
      <c r="G5881" s="2" t="inlineStr">
        <is>
          <t>20260520000282</t>
        </is>
      </c>
      <c r="H5881" s="8">
        <f>HYPERLINK("https://dart.fss.or.kr/dsaf001/main.do?rcpNo=20260520000282", "공시열람")</f>
        <v/>
      </c>
    </row>
    <row r="5882">
      <c r="A5882" s="2" t="inlineStr">
        <is>
          <t>2026-05-20</t>
        </is>
      </c>
      <c r="B5882" s="3" t="inlineStr">
        <is>
          <t>SK</t>
        </is>
      </c>
      <c r="C5882" s="2" t="inlineStr">
        <is>
          <t>코스피</t>
        </is>
      </c>
      <c r="D5882" s="2" t="inlineStr">
        <is>
          <t>034730</t>
        </is>
      </c>
      <c r="E5882" s="3" t="inlineStr">
        <is>
          <t>임원ㆍ주요주주특정증권등소유상황보고서</t>
        </is>
      </c>
      <c r="F5882" s="3" t="inlineStr">
        <is>
          <t>최영진</t>
        </is>
      </c>
      <c r="G5882" s="2" t="inlineStr">
        <is>
          <t>20260520000281</t>
        </is>
      </c>
      <c r="H5882" s="8">
        <f>HYPERLINK("https://dart.fss.or.kr/dsaf001/main.do?rcpNo=20260520000281", "공시열람")</f>
        <v/>
      </c>
    </row>
    <row r="5883">
      <c r="A5883" s="2" t="inlineStr">
        <is>
          <t>2026-05-20</t>
        </is>
      </c>
      <c r="B5883" s="3" t="inlineStr">
        <is>
          <t>엑스플러스</t>
        </is>
      </c>
      <c r="C5883" s="2" t="inlineStr">
        <is>
          <t>코스닥</t>
        </is>
      </c>
      <c r="D5883" s="2" t="inlineStr">
        <is>
          <t>373200</t>
        </is>
      </c>
      <c r="E5883" s="3" t="inlineStr">
        <is>
          <t>주권매매거래정지해제              (액면병합 주권 변경상장)</t>
        </is>
      </c>
      <c r="F5883" s="3" t="inlineStr">
        <is>
          <t>코스닥시장본부</t>
        </is>
      </c>
      <c r="G5883" s="2" t="inlineStr">
        <is>
          <t>20260520900513</t>
        </is>
      </c>
      <c r="H5883" s="8">
        <f>HYPERLINK("https://dart.fss.or.kr/dsaf001/main.do?rcpNo=20260520900513", "공시열람")</f>
        <v/>
      </c>
    </row>
    <row r="5884">
      <c r="A5884" s="2" t="inlineStr">
        <is>
          <t>2026-05-20</t>
        </is>
      </c>
      <c r="B5884" s="3" t="inlineStr">
        <is>
          <t>한주라이트메탈</t>
        </is>
      </c>
      <c r="C5884" s="2" t="inlineStr">
        <is>
          <t>코스닥</t>
        </is>
      </c>
      <c r="D5884" s="2" t="inlineStr">
        <is>
          <t>198940</t>
        </is>
      </c>
      <c r="E5884" s="3" t="inlineStr">
        <is>
          <t>주권매매거래정지해제              (액면병합 주권 변경상장)</t>
        </is>
      </c>
      <c r="F5884" s="3" t="inlineStr">
        <is>
          <t>코스닥시장본부</t>
        </is>
      </c>
      <c r="G5884" s="2" t="inlineStr">
        <is>
          <t>20260520900516</t>
        </is>
      </c>
      <c r="H5884" s="8">
        <f>HYPERLINK("https://dart.fss.or.kr/dsaf001/main.do?rcpNo=20260520900516", "공시열람")</f>
        <v/>
      </c>
    </row>
    <row r="5885">
      <c r="A5885" s="2" t="inlineStr">
        <is>
          <t>2026-05-20</t>
        </is>
      </c>
      <c r="B5885" s="3" t="inlineStr">
        <is>
          <t>SK</t>
        </is>
      </c>
      <c r="C5885" s="2" t="inlineStr">
        <is>
          <t>코스피</t>
        </is>
      </c>
      <c r="D5885" s="2" t="inlineStr">
        <is>
          <t>034730</t>
        </is>
      </c>
      <c r="E5885" s="3" t="inlineStr">
        <is>
          <t>임원ㆍ주요주주특정증권등소유상황보고서</t>
        </is>
      </c>
      <c r="F5885" s="3" t="inlineStr">
        <is>
          <t>이시욱</t>
        </is>
      </c>
      <c r="G5885" s="2" t="inlineStr">
        <is>
          <t>20260520000278</t>
        </is>
      </c>
      <c r="H5885" s="8">
        <f>HYPERLINK("https://dart.fss.or.kr/dsaf001/main.do?rcpNo=20260520000278", "공시열람")</f>
        <v/>
      </c>
    </row>
    <row r="5886">
      <c r="A5886" s="2" t="inlineStr">
        <is>
          <t>2026-05-20</t>
        </is>
      </c>
      <c r="B5886" s="3" t="inlineStr">
        <is>
          <t>플루토스</t>
        </is>
      </c>
      <c r="C5886" s="2" t="inlineStr">
        <is>
          <t>코스닥</t>
        </is>
      </c>
      <c r="D5886" s="2" t="inlineStr">
        <is>
          <t>019570</t>
        </is>
      </c>
      <c r="E5886" s="3" t="inlineStr">
        <is>
          <t>[기재정정]주요사항보고서(감자결정)</t>
        </is>
      </c>
      <c r="F5886" s="3" t="inlineStr">
        <is>
          <t>플루토스</t>
        </is>
      </c>
      <c r="G5886" s="2" t="inlineStr">
        <is>
          <t>20260520000260</t>
        </is>
      </c>
      <c r="H5886" s="8">
        <f>HYPERLINK("https://dart.fss.or.kr/dsaf001/main.do?rcpNo=20260520000260", "공시열람")</f>
        <v/>
      </c>
    </row>
    <row r="5887">
      <c r="A5887" s="2" t="inlineStr">
        <is>
          <t>2026-05-20 (정정: 2026-05-21)</t>
        </is>
      </c>
      <c r="B5887" s="3" t="inlineStr">
        <is>
          <t>현대자동차</t>
        </is>
      </c>
      <c r="C5887" s="2" t="inlineStr">
        <is>
          <t>코스피</t>
        </is>
      </c>
      <c r="D5887" s="2" t="inlineStr">
        <is>
          <t>005380</t>
        </is>
      </c>
      <c r="E5887" s="3" t="inlineStr">
        <is>
          <t>기업설명회(IR)개최(안내공시)               (정정: 20260521)</t>
        </is>
      </c>
      <c r="F5887" s="3" t="inlineStr">
        <is>
          <t>현대자동차</t>
        </is>
      </c>
      <c r="G5887" s="2" t="inlineStr">
        <is>
          <t>20260521800573</t>
        </is>
      </c>
      <c r="H5887" s="8">
        <f>HYPERLINK("https://dart.fss.or.kr/dsaf001/main.do?rcpNo=20260521800573", "공시열람")</f>
        <v/>
      </c>
    </row>
    <row r="5888">
      <c r="A5888" s="2" t="inlineStr">
        <is>
          <t>2026-05-20</t>
        </is>
      </c>
      <c r="B5888" s="3" t="inlineStr">
        <is>
          <t>미스터블루</t>
        </is>
      </c>
      <c r="C5888" s="2" t="inlineStr">
        <is>
          <t>코스닥</t>
        </is>
      </c>
      <c r="D5888" s="2" t="inlineStr">
        <is>
          <t>207760</t>
        </is>
      </c>
      <c r="E5888" s="3" t="inlineStr">
        <is>
          <t xml:space="preserve">주주명부폐쇄기간또는기준일설정              </t>
        </is>
      </c>
      <c r="F5888" s="3" t="inlineStr">
        <is>
          <t>미스터블루</t>
        </is>
      </c>
      <c r="G5888" s="2" t="inlineStr">
        <is>
          <t>20260520900519</t>
        </is>
      </c>
      <c r="H5888" s="8">
        <f>HYPERLINK("https://dart.fss.or.kr/dsaf001/main.do?rcpNo=20260520900519", "공시열람")</f>
        <v/>
      </c>
    </row>
    <row r="5889">
      <c r="A5889" s="2" t="inlineStr">
        <is>
          <t>2026-05-20 (정정: 2026-05-20)</t>
        </is>
      </c>
      <c r="B5889" s="3" t="inlineStr">
        <is>
          <t>우진비앤지</t>
        </is>
      </c>
      <c r="C5889" s="2" t="inlineStr">
        <is>
          <t>코스닥</t>
        </is>
      </c>
      <c r="D5889" s="2" t="inlineStr">
        <is>
          <t>018620</t>
        </is>
      </c>
      <c r="E5889" s="3" t="inlineStr">
        <is>
          <t>주권매매거래정지해제              (액면병합 주권 변경상장) (정정: 20260520)</t>
        </is>
      </c>
      <c r="F5889" s="3" t="inlineStr">
        <is>
          <t>코스닥시장본부</t>
        </is>
      </c>
      <c r="G5889" s="2" t="inlineStr">
        <is>
          <t>20260520900425</t>
        </is>
      </c>
      <c r="H5889" s="8">
        <f>HYPERLINK("https://dart.fss.or.kr/dsaf001/main.do?rcpNo=20260520900425", "공시열람")</f>
        <v/>
      </c>
    </row>
    <row r="5890">
      <c r="A5890" s="2" t="inlineStr">
        <is>
          <t>2026-05-20</t>
        </is>
      </c>
      <c r="B5890" s="3" t="inlineStr">
        <is>
          <t>기아</t>
        </is>
      </c>
      <c r="C5890" s="2" t="inlineStr">
        <is>
          <t>코스피</t>
        </is>
      </c>
      <c r="D5890" s="2" t="inlineStr">
        <is>
          <t>000270</t>
        </is>
      </c>
      <c r="E5890" s="3" t="inlineStr">
        <is>
          <t xml:space="preserve">주주명부폐쇄기간또는기준일설정              </t>
        </is>
      </c>
      <c r="F5890" s="3" t="inlineStr">
        <is>
          <t>기아</t>
        </is>
      </c>
      <c r="G5890" s="2" t="inlineStr">
        <is>
          <t>20260520800464</t>
        </is>
      </c>
      <c r="H5890" s="8">
        <f>HYPERLINK("https://dart.fss.or.kr/dsaf001/main.do?rcpNo=20260520800464", "공시열람")</f>
        <v/>
      </c>
    </row>
    <row r="5891">
      <c r="A5891" s="2" t="inlineStr">
        <is>
          <t>2026-05-20</t>
        </is>
      </c>
      <c r="B5891" s="3" t="inlineStr">
        <is>
          <t>하나마이크론</t>
        </is>
      </c>
      <c r="C5891" s="2" t="inlineStr">
        <is>
          <t>코스닥</t>
        </is>
      </c>
      <c r="D5891" s="2" t="inlineStr">
        <is>
          <t>067310</t>
        </is>
      </c>
      <c r="E5891" s="3" t="inlineStr">
        <is>
          <t xml:space="preserve">기업설명회(IR)개최              </t>
        </is>
      </c>
      <c r="F5891" s="3" t="inlineStr">
        <is>
          <t>하나마이크론</t>
        </is>
      </c>
      <c r="G5891" s="2" t="inlineStr">
        <is>
          <t>20260520900477</t>
        </is>
      </c>
      <c r="H5891" s="8">
        <f>HYPERLINK("https://dart.fss.or.kr/dsaf001/main.do?rcpNo=20260520900477", "공시열람")</f>
        <v/>
      </c>
    </row>
    <row r="5892">
      <c r="A5892" s="2" t="inlineStr">
        <is>
          <t>2026-05-20 (정정: 2026-05-27)</t>
        </is>
      </c>
      <c r="B5892" s="3" t="inlineStr">
        <is>
          <t>에이비프로바이오</t>
        </is>
      </c>
      <c r="C5892" s="2" t="inlineStr">
        <is>
          <t>코스닥</t>
        </is>
      </c>
      <c r="D5892" s="2" t="inlineStr">
        <is>
          <t>195990</t>
        </is>
      </c>
      <c r="E5892" s="3" t="inlineStr">
        <is>
          <t>주식병합결정               (정정: 20260527) (정정: 20260527)</t>
        </is>
      </c>
      <c r="F5892" s="3" t="inlineStr">
        <is>
          <t>에이비프로바이오</t>
        </is>
      </c>
      <c r="G5892" s="2" t="inlineStr">
        <is>
          <t>20260527900517</t>
        </is>
      </c>
      <c r="H5892" s="8">
        <f>HYPERLINK("https://dart.fss.or.kr/dsaf001/main.do?rcpNo=20260527900517", "공시열람")</f>
        <v/>
      </c>
    </row>
    <row r="5893">
      <c r="A5893" s="2" t="inlineStr">
        <is>
          <t>2026-05-20</t>
        </is>
      </c>
      <c r="B5893" s="3" t="inlineStr">
        <is>
          <t>SK</t>
        </is>
      </c>
      <c r="C5893" s="2" t="inlineStr">
        <is>
          <t>코스피</t>
        </is>
      </c>
      <c r="D5893" s="2" t="inlineStr">
        <is>
          <t>034730</t>
        </is>
      </c>
      <c r="E5893" s="3" t="inlineStr">
        <is>
          <t>임원ㆍ주요주주특정증권등소유상황보고서</t>
        </is>
      </c>
      <c r="F5893" s="3" t="inlineStr">
        <is>
          <t>이수범</t>
        </is>
      </c>
      <c r="G5893" s="2" t="inlineStr">
        <is>
          <t>20260520000271</t>
        </is>
      </c>
      <c r="H5893" s="8">
        <f>HYPERLINK("https://dart.fss.or.kr/dsaf001/main.do?rcpNo=20260520000271", "공시열람")</f>
        <v/>
      </c>
    </row>
    <row r="5894">
      <c r="A5894" s="2" t="inlineStr">
        <is>
          <t>2026-05-20</t>
        </is>
      </c>
      <c r="B5894" s="3" t="inlineStr">
        <is>
          <t>지에이이노더스</t>
        </is>
      </c>
      <c r="C5894" s="2" t="inlineStr">
        <is>
          <t>코넥스</t>
        </is>
      </c>
      <c r="D5894" s="2" t="inlineStr">
        <is>
          <t>076340</t>
        </is>
      </c>
      <c r="E5894" s="3" t="inlineStr">
        <is>
          <t xml:space="preserve">기업설명회(IR)개최결과              </t>
        </is>
      </c>
      <c r="F5894" s="3" t="inlineStr">
        <is>
          <t>지에이이노더스</t>
        </is>
      </c>
      <c r="G5894" s="2" t="inlineStr">
        <is>
          <t>20260520600474</t>
        </is>
      </c>
      <c r="H5894" s="8">
        <f>HYPERLINK("https://dart.fss.or.kr/dsaf001/main.do?rcpNo=20260520600474", "공시열람")</f>
        <v/>
      </c>
    </row>
    <row r="5895">
      <c r="A5895" s="2" t="inlineStr">
        <is>
          <t>2026-05-20</t>
        </is>
      </c>
      <c r="B5895" s="3" t="inlineStr">
        <is>
          <t>빛과전자</t>
        </is>
      </c>
      <c r="C5895" s="2" t="inlineStr">
        <is>
          <t>코스닥</t>
        </is>
      </c>
      <c r="D5895" s="2" t="inlineStr">
        <is>
          <t>069540</t>
        </is>
      </c>
      <c r="E5895" s="3" t="inlineStr">
        <is>
          <t xml:space="preserve">주주명부폐쇄기간또는기준일설정              </t>
        </is>
      </c>
      <c r="F5895" s="3" t="inlineStr">
        <is>
          <t>빛과전자</t>
        </is>
      </c>
      <c r="G5895" s="2" t="inlineStr">
        <is>
          <t>20260520900455</t>
        </is>
      </c>
      <c r="H5895" s="8">
        <f>HYPERLINK("https://dart.fss.or.kr/dsaf001/main.do?rcpNo=20260520900455", "공시열람")</f>
        <v/>
      </c>
    </row>
    <row r="5896">
      <c r="A5896" s="2" t="inlineStr">
        <is>
          <t>2026-05-20</t>
        </is>
      </c>
      <c r="B5896" s="3" t="inlineStr">
        <is>
          <t>이수페타시스</t>
        </is>
      </c>
      <c r="C5896" s="2" t="inlineStr">
        <is>
          <t>코스피</t>
        </is>
      </c>
      <c r="D5896" s="2" t="inlineStr">
        <is>
          <t>007660</t>
        </is>
      </c>
      <c r="E5896" s="3" t="inlineStr">
        <is>
          <t xml:space="preserve">기업설명회(IR)개최(안내공시)              </t>
        </is>
      </c>
      <c r="F5896" s="3" t="inlineStr">
        <is>
          <t>이수페타시스</t>
        </is>
      </c>
      <c r="G5896" s="2" t="inlineStr">
        <is>
          <t>20260520800467</t>
        </is>
      </c>
      <c r="H5896" s="8">
        <f>HYPERLINK("https://dart.fss.or.kr/dsaf001/main.do?rcpNo=20260520800467", "공시열람")</f>
        <v/>
      </c>
    </row>
    <row r="5897">
      <c r="A5897" s="2" t="inlineStr">
        <is>
          <t>2026-05-20</t>
        </is>
      </c>
      <c r="B5897" s="3" t="inlineStr">
        <is>
          <t>SK가스</t>
        </is>
      </c>
      <c r="C5897" s="2" t="inlineStr">
        <is>
          <t>코스피</t>
        </is>
      </c>
      <c r="D5897" s="2" t="inlineStr">
        <is>
          <t>018670</t>
        </is>
      </c>
      <c r="E5897" s="3" t="inlineStr">
        <is>
          <t>임원ㆍ주요주주특정증권등소유상황보고서</t>
        </is>
      </c>
      <c r="F5897" s="3" t="inlineStr">
        <is>
          <t>이윤철</t>
        </is>
      </c>
      <c r="G5897" s="2" t="inlineStr">
        <is>
          <t>20260520000263</t>
        </is>
      </c>
      <c r="H5897" s="8">
        <f>HYPERLINK("https://dart.fss.or.kr/dsaf001/main.do?rcpNo=20260520000263", "공시열람")</f>
        <v/>
      </c>
    </row>
    <row r="5898">
      <c r="A5898" s="2" t="inlineStr">
        <is>
          <t>2026-05-20</t>
        </is>
      </c>
      <c r="B5898" s="3" t="inlineStr">
        <is>
          <t>SK</t>
        </is>
      </c>
      <c r="C5898" s="2" t="inlineStr">
        <is>
          <t>코스피</t>
        </is>
      </c>
      <c r="D5898" s="2" t="inlineStr">
        <is>
          <t>034730</t>
        </is>
      </c>
      <c r="E5898" s="3" t="inlineStr">
        <is>
          <t>임원ㆍ주요주주특정증권등소유상황보고서</t>
        </is>
      </c>
      <c r="F5898" s="3" t="inlineStr">
        <is>
          <t>박재범</t>
        </is>
      </c>
      <c r="G5898" s="2" t="inlineStr">
        <is>
          <t>20260520000261</t>
        </is>
      </c>
      <c r="H5898" s="8">
        <f>HYPERLINK("https://dart.fss.or.kr/dsaf001/main.do?rcpNo=20260520000261", "공시열람")</f>
        <v/>
      </c>
    </row>
    <row r="5899">
      <c r="A5899" s="2" t="inlineStr">
        <is>
          <t>2026-05-20</t>
        </is>
      </c>
      <c r="B5899" s="3" t="inlineStr">
        <is>
          <t>한화투자증권</t>
        </is>
      </c>
      <c r="C5899" s="2" t="inlineStr">
        <is>
          <t>코스피</t>
        </is>
      </c>
      <c r="D5899" s="2" t="inlineStr">
        <is>
          <t>003530</t>
        </is>
      </c>
      <c r="E5899" s="3" t="inlineStr">
        <is>
          <t>임원ㆍ주요주주특정증권등소유상황보고서</t>
        </is>
      </c>
      <c r="F5899" s="3" t="inlineStr">
        <is>
          <t>김일수</t>
        </is>
      </c>
      <c r="G5899" s="2" t="inlineStr">
        <is>
          <t>20260520000258</t>
        </is>
      </c>
      <c r="H5899" s="8">
        <f>HYPERLINK("https://dart.fss.or.kr/dsaf001/main.do?rcpNo=20260520000258", "공시열람")</f>
        <v/>
      </c>
    </row>
    <row r="5900">
      <c r="A5900" s="2" t="inlineStr">
        <is>
          <t>2026-05-20</t>
        </is>
      </c>
      <c r="B5900" s="3" t="inlineStr">
        <is>
          <t>한화투자증권</t>
        </is>
      </c>
      <c r="C5900" s="2" t="inlineStr">
        <is>
          <t>코스피</t>
        </is>
      </c>
      <c r="D5900" s="2" t="inlineStr">
        <is>
          <t>003530</t>
        </is>
      </c>
      <c r="E5900" s="3" t="inlineStr">
        <is>
          <t>투자설명서(일괄신고)</t>
        </is>
      </c>
      <c r="F5900" s="3" t="inlineStr">
        <is>
          <t>한화투자증권</t>
        </is>
      </c>
      <c r="G5900" s="2" t="inlineStr">
        <is>
          <t>20260520000257</t>
        </is>
      </c>
      <c r="H5900" s="8">
        <f>HYPERLINK("https://dart.fss.or.kr/dsaf001/main.do?rcpNo=20260520000257", "공시열람")</f>
        <v/>
      </c>
    </row>
    <row r="5901">
      <c r="A5901" s="2" t="inlineStr">
        <is>
          <t>2026-05-20</t>
        </is>
      </c>
      <c r="B5901" s="3" t="inlineStr">
        <is>
          <t>패션플랫폼</t>
        </is>
      </c>
      <c r="C5901" s="2" t="inlineStr">
        <is>
          <t>코스닥</t>
        </is>
      </c>
      <c r="D5901" s="2" t="inlineStr">
        <is>
          <t>225590</t>
        </is>
      </c>
      <c r="E5901" s="3" t="inlineStr">
        <is>
          <t>주권매매거래정지해제              (액면병합 주권 변경상장)</t>
        </is>
      </c>
      <c r="F5901" s="3" t="inlineStr">
        <is>
          <t>코스닥시장본부</t>
        </is>
      </c>
      <c r="G5901" s="2" t="inlineStr">
        <is>
          <t>20260520900436</t>
        </is>
      </c>
      <c r="H5901" s="8">
        <f>HYPERLINK("https://dart.fss.or.kr/dsaf001/main.do?rcpNo=20260520900436", "공시열람")</f>
        <v/>
      </c>
    </row>
    <row r="5902">
      <c r="A5902" s="2" t="inlineStr">
        <is>
          <t>2026-05-20</t>
        </is>
      </c>
      <c r="B5902" s="3" t="inlineStr">
        <is>
          <t>HD한국조선해양</t>
        </is>
      </c>
      <c r="C5902" s="2" t="inlineStr">
        <is>
          <t>코스피</t>
        </is>
      </c>
      <c r="D5902" s="2" t="inlineStr">
        <is>
          <t>009540</t>
        </is>
      </c>
      <c r="E5902" s="3" t="inlineStr">
        <is>
          <t xml:space="preserve">영업(잠정)실적(공정공시)              </t>
        </is>
      </c>
      <c r="F5902" s="3" t="inlineStr">
        <is>
          <t>HD한국조선해양</t>
        </is>
      </c>
      <c r="G5902" s="2" t="inlineStr">
        <is>
          <t>20260520800468</t>
        </is>
      </c>
      <c r="H5902" s="8">
        <f>HYPERLINK("https://dart.fss.or.kr/dsaf001/main.do?rcpNo=20260520800468", "공시열람")</f>
        <v/>
      </c>
    </row>
    <row r="5903">
      <c r="A5903" s="2" t="inlineStr">
        <is>
          <t>2026-05-20</t>
        </is>
      </c>
      <c r="B5903" s="3" t="inlineStr">
        <is>
          <t>에이치엔에스하이텍</t>
        </is>
      </c>
      <c r="C5903" s="2" t="inlineStr">
        <is>
          <t>코스닥</t>
        </is>
      </c>
      <c r="D5903" s="2" t="inlineStr">
        <is>
          <t>044990</t>
        </is>
      </c>
      <c r="E5903" s="3" t="inlineStr">
        <is>
          <t>임원ㆍ주요주주특정증권등소유상황보고서</t>
        </is>
      </c>
      <c r="F5903" s="3" t="inlineStr">
        <is>
          <t>배의호</t>
        </is>
      </c>
      <c r="G5903" s="2" t="inlineStr">
        <is>
          <t>20260520000254</t>
        </is>
      </c>
      <c r="H5903" s="8">
        <f>HYPERLINK("https://dart.fss.or.kr/dsaf001/main.do?rcpNo=20260520000254", "공시열람")</f>
        <v/>
      </c>
    </row>
    <row r="5904">
      <c r="A5904" s="2" t="inlineStr">
        <is>
          <t>2026-05-20</t>
        </is>
      </c>
      <c r="B5904" s="3" t="inlineStr">
        <is>
          <t>GC메디아이</t>
        </is>
      </c>
      <c r="C5904" s="2" t="inlineStr">
        <is>
          <t>코스닥</t>
        </is>
      </c>
      <c r="D5904" s="2" t="inlineStr">
        <is>
          <t>032620</t>
        </is>
      </c>
      <c r="E5904" s="3" t="inlineStr">
        <is>
          <t>임원ㆍ주요주주특정증권등소유상황보고서</t>
        </is>
      </c>
      <c r="F5904" s="3" t="inlineStr">
        <is>
          <t>백성환</t>
        </is>
      </c>
      <c r="G5904" s="2" t="inlineStr">
        <is>
          <t>20260520000253</t>
        </is>
      </c>
      <c r="H5904" s="8">
        <f>HYPERLINK("https://dart.fss.or.kr/dsaf001/main.do?rcpNo=20260520000253", "공시열람")</f>
        <v/>
      </c>
    </row>
    <row r="5905">
      <c r="A5905" s="2" t="inlineStr">
        <is>
          <t>2026-05-20</t>
        </is>
      </c>
      <c r="B5905" s="3" t="inlineStr">
        <is>
          <t>SK</t>
        </is>
      </c>
      <c r="C5905" s="2" t="inlineStr">
        <is>
          <t>코스피</t>
        </is>
      </c>
      <c r="D5905" s="2" t="inlineStr">
        <is>
          <t>034730</t>
        </is>
      </c>
      <c r="E5905" s="3" t="inlineStr">
        <is>
          <t>임원ㆍ주요주주특정증권등소유상황보고서</t>
        </is>
      </c>
      <c r="F5905" s="3" t="inlineStr">
        <is>
          <t>장동현</t>
        </is>
      </c>
      <c r="G5905" s="2" t="inlineStr">
        <is>
          <t>20260520000252</t>
        </is>
      </c>
      <c r="H5905" s="8">
        <f>HYPERLINK("https://dart.fss.or.kr/dsaf001/main.do?rcpNo=20260520000252", "공시열람")</f>
        <v/>
      </c>
    </row>
    <row r="5906">
      <c r="A5906" s="2" t="inlineStr">
        <is>
          <t>2026-05-20</t>
        </is>
      </c>
      <c r="B5906" s="3" t="inlineStr">
        <is>
          <t>HD한국조선해양</t>
        </is>
      </c>
      <c r="C5906" s="2" t="inlineStr">
        <is>
          <t>코스피</t>
        </is>
      </c>
      <c r="D5906" s="2" t="inlineStr">
        <is>
          <t>009540</t>
        </is>
      </c>
      <c r="E5906" s="3" t="inlineStr">
        <is>
          <t xml:space="preserve">영업(잠정)실적(공정공시)(자회사의 주요경영사항)              </t>
        </is>
      </c>
      <c r="F5906" s="3" t="inlineStr">
        <is>
          <t>HD한국조선해양</t>
        </is>
      </c>
      <c r="G5906" s="2" t="inlineStr">
        <is>
          <t>20260520800458</t>
        </is>
      </c>
      <c r="H5906" s="8">
        <f>HYPERLINK("https://dart.fss.or.kr/dsaf001/main.do?rcpNo=20260520800458", "공시열람")</f>
        <v/>
      </c>
    </row>
    <row r="5907">
      <c r="A5907" s="2" t="inlineStr">
        <is>
          <t>2026-05-20</t>
        </is>
      </c>
      <c r="B5907" s="3" t="inlineStr">
        <is>
          <t>미스터블루</t>
        </is>
      </c>
      <c r="C5907" s="2" t="inlineStr">
        <is>
          <t>코스닥</t>
        </is>
      </c>
      <c r="D5907" s="2" t="inlineStr">
        <is>
          <t>207760</t>
        </is>
      </c>
      <c r="E5907" s="3" t="inlineStr">
        <is>
          <t xml:space="preserve">주식병합결정              </t>
        </is>
      </c>
      <c r="F5907" s="3" t="inlineStr">
        <is>
          <t>미스터블루</t>
        </is>
      </c>
      <c r="G5907" s="2" t="inlineStr">
        <is>
          <t>20260520900471</t>
        </is>
      </c>
      <c r="H5907" s="8">
        <f>HYPERLINK("https://dart.fss.or.kr/dsaf001/main.do?rcpNo=20260520900471", "공시열람")</f>
        <v/>
      </c>
    </row>
    <row r="5908">
      <c r="A5908" s="2" t="inlineStr">
        <is>
          <t>2026-05-20 (정정: 2026-05-20)</t>
        </is>
      </c>
      <c r="B5908" s="3" t="inlineStr">
        <is>
          <t>NH투자증권</t>
        </is>
      </c>
      <c r="C5908" s="2" t="inlineStr">
        <is>
          <t>코스피</t>
        </is>
      </c>
      <c r="D5908" s="2" t="inlineStr">
        <is>
          <t>005940</t>
        </is>
      </c>
      <c r="E5908" s="3" t="inlineStr">
        <is>
          <t>투자설명서(일괄신고) (정정: 20260520) (정정: 20260520)</t>
        </is>
      </c>
      <c r="F5908" s="3" t="inlineStr">
        <is>
          <t>NH투자증권</t>
        </is>
      </c>
      <c r="G5908" s="2" t="inlineStr">
        <is>
          <t>20260520000157</t>
        </is>
      </c>
      <c r="H5908" s="8">
        <f>HYPERLINK("https://dart.fss.or.kr/dsaf001/main.do?rcpNo=20260520000157", "공시열람")</f>
        <v/>
      </c>
    </row>
    <row r="5909">
      <c r="A5909" s="2" t="inlineStr">
        <is>
          <t>2026-05-20</t>
        </is>
      </c>
      <c r="B5909" s="3" t="inlineStr">
        <is>
          <t>CS</t>
        </is>
      </c>
      <c r="C5909" s="2" t="inlineStr">
        <is>
          <t>코스닥</t>
        </is>
      </c>
      <c r="D5909" s="2" t="inlineStr">
        <is>
          <t>065770</t>
        </is>
      </c>
      <c r="E5909" s="3" t="inlineStr">
        <is>
          <t>주권매매거래정지해제              (액면병합 주권 변경상장)</t>
        </is>
      </c>
      <c r="F5909" s="3" t="inlineStr">
        <is>
          <t>코스닥시장본부</t>
        </is>
      </c>
      <c r="G5909" s="2" t="inlineStr">
        <is>
          <t>20260520900454</t>
        </is>
      </c>
      <c r="H5909" s="8">
        <f>HYPERLINK("https://dart.fss.or.kr/dsaf001/main.do?rcpNo=20260520900454", "공시열람")</f>
        <v/>
      </c>
    </row>
    <row r="5910">
      <c r="A5910" s="2" t="inlineStr">
        <is>
          <t>2026-05-20</t>
        </is>
      </c>
      <c r="B5910" s="3" t="inlineStr">
        <is>
          <t>NH투자증권</t>
        </is>
      </c>
      <c r="C5910" s="2" t="inlineStr">
        <is>
          <t>코스피</t>
        </is>
      </c>
      <c r="D5910" s="2" t="inlineStr">
        <is>
          <t>005940</t>
        </is>
      </c>
      <c r="E5910" s="3" t="inlineStr">
        <is>
          <t>투자설명서(일괄신고)</t>
        </is>
      </c>
      <c r="F5910" s="3" t="inlineStr">
        <is>
          <t>NH투자증권</t>
        </is>
      </c>
      <c r="G5910" s="2" t="inlineStr">
        <is>
          <t>20260520000250</t>
        </is>
      </c>
      <c r="H5910" s="8">
        <f>HYPERLINK("https://dart.fss.or.kr/dsaf001/main.do?rcpNo=20260520000250", "공시열람")</f>
        <v/>
      </c>
    </row>
    <row r="5911">
      <c r="A5911" s="2" t="inlineStr">
        <is>
          <t>2026-05-20</t>
        </is>
      </c>
      <c r="B5911" s="3" t="inlineStr">
        <is>
          <t>한국유니온제약</t>
        </is>
      </c>
      <c r="C5911" s="2" t="inlineStr">
        <is>
          <t>코스닥</t>
        </is>
      </c>
      <c r="D5911" s="2" t="inlineStr">
        <is>
          <t>080720</t>
        </is>
      </c>
      <c r="E5911" s="3" t="inlineStr">
        <is>
          <t>기타시장안내              (상장폐지 절차 관련 안내)</t>
        </is>
      </c>
      <c r="F5911" s="3" t="inlineStr">
        <is>
          <t>코스닥시장본부</t>
        </is>
      </c>
      <c r="G5911" s="2" t="inlineStr">
        <is>
          <t>20260520900409</t>
        </is>
      </c>
      <c r="H5911" s="8">
        <f>HYPERLINK("https://dart.fss.or.kr/dsaf001/main.do?rcpNo=20260520900409", "공시열람")</f>
        <v/>
      </c>
    </row>
    <row r="5912">
      <c r="A5912" s="2" t="inlineStr">
        <is>
          <t>2026-05-20</t>
        </is>
      </c>
      <c r="B5912" s="3" t="inlineStr">
        <is>
          <t>한국유니온제약</t>
        </is>
      </c>
      <c r="C5912" s="2" t="inlineStr">
        <is>
          <t>코스닥</t>
        </is>
      </c>
      <c r="D5912" s="2" t="inlineStr">
        <is>
          <t>080720</t>
        </is>
      </c>
      <c r="E5912" s="3" t="inlineStr">
        <is>
          <t>주권매매거래정지기간변경              (투자자 보호)</t>
        </is>
      </c>
      <c r="F5912" s="3" t="inlineStr">
        <is>
          <t>코스닥시장본부</t>
        </is>
      </c>
      <c r="G5912" s="2" t="inlineStr">
        <is>
          <t>20260520900434</t>
        </is>
      </c>
      <c r="H5912" s="8">
        <f>HYPERLINK("https://dart.fss.or.kr/dsaf001/main.do?rcpNo=20260520900434", "공시열람")</f>
        <v/>
      </c>
    </row>
    <row r="5913">
      <c r="A5913" s="2" t="inlineStr">
        <is>
          <t>2026-05-20</t>
        </is>
      </c>
      <c r="B5913" s="3" t="inlineStr">
        <is>
          <t>한탑</t>
        </is>
      </c>
      <c r="C5913" s="2" t="inlineStr">
        <is>
          <t>코스닥</t>
        </is>
      </c>
      <c r="D5913" s="2" t="inlineStr">
        <is>
          <t>002680</t>
        </is>
      </c>
      <c r="E5913" s="3" t="inlineStr">
        <is>
          <t xml:space="preserve">벌금등의부과              </t>
        </is>
      </c>
      <c r="F5913" s="3" t="inlineStr">
        <is>
          <t>한탑</t>
        </is>
      </c>
      <c r="G5913" s="2" t="inlineStr">
        <is>
          <t>20260520900428</t>
        </is>
      </c>
      <c r="H5913" s="8">
        <f>HYPERLINK("https://dart.fss.or.kr/dsaf001/main.do?rcpNo=20260520900428", "공시열람")</f>
        <v/>
      </c>
    </row>
    <row r="5914">
      <c r="A5914" s="2" t="inlineStr">
        <is>
          <t>2026-05-20</t>
        </is>
      </c>
      <c r="B5914" s="3" t="inlineStr">
        <is>
          <t>오가닉티코스메틱</t>
        </is>
      </c>
      <c r="C5914" s="2" t="inlineStr">
        <is>
          <t>코스닥</t>
        </is>
      </c>
      <c r="D5914" s="2" t="inlineStr">
        <is>
          <t>900300</t>
        </is>
      </c>
      <c r="E5914" s="3" t="inlineStr">
        <is>
          <t>주권매매거래정지              (주식의 병합, 분할 등 전자등록 변경, 말소)</t>
        </is>
      </c>
      <c r="F5914" s="3" t="inlineStr">
        <is>
          <t>코스닥시장본부</t>
        </is>
      </c>
      <c r="G5914" s="2" t="inlineStr">
        <is>
          <t>20260520900441</t>
        </is>
      </c>
      <c r="H5914" s="8">
        <f>HYPERLINK("https://dart.fss.or.kr/dsaf001/main.do?rcpNo=20260520900441", "공시열람")</f>
        <v/>
      </c>
    </row>
    <row r="5915">
      <c r="A5915" s="2" t="inlineStr">
        <is>
          <t>2026-05-20</t>
        </is>
      </c>
      <c r="B5915" s="3" t="inlineStr">
        <is>
          <t>SK</t>
        </is>
      </c>
      <c r="C5915" s="2" t="inlineStr">
        <is>
          <t>코스피</t>
        </is>
      </c>
      <c r="D5915" s="2" t="inlineStr">
        <is>
          <t>034730</t>
        </is>
      </c>
      <c r="E5915" s="3" t="inlineStr">
        <is>
          <t>임원ㆍ주요주주특정증권등소유상황보고서</t>
        </is>
      </c>
      <c r="F5915" s="3" t="inlineStr">
        <is>
          <t>김연태</t>
        </is>
      </c>
      <c r="G5915" s="2" t="inlineStr">
        <is>
          <t>20260520000240</t>
        </is>
      </c>
      <c r="H5915" s="8">
        <f>HYPERLINK("https://dart.fss.or.kr/dsaf001/main.do?rcpNo=20260520000240", "공시열람")</f>
        <v/>
      </c>
    </row>
    <row r="5916">
      <c r="A5916" s="2" t="inlineStr">
        <is>
          <t>2026-05-20</t>
        </is>
      </c>
      <c r="B5916" s="3" t="inlineStr">
        <is>
          <t>TCC스틸</t>
        </is>
      </c>
      <c r="C5916" s="2" t="inlineStr">
        <is>
          <t>코스피</t>
        </is>
      </c>
      <c r="D5916" s="2" t="inlineStr">
        <is>
          <t>002710</t>
        </is>
      </c>
      <c r="E5916" s="3" t="inlineStr">
        <is>
          <t xml:space="preserve">유상증자또는주식관련사채등의발행결과(자율공시)              </t>
        </is>
      </c>
      <c r="F5916" s="3" t="inlineStr">
        <is>
          <t>TCC스틸</t>
        </is>
      </c>
      <c r="G5916" s="2" t="inlineStr">
        <is>
          <t>20260520800401</t>
        </is>
      </c>
      <c r="H5916" s="8">
        <f>HYPERLINK("https://dart.fss.or.kr/dsaf001/main.do?rcpNo=20260520800401", "공시열람")</f>
        <v/>
      </c>
    </row>
    <row r="5917">
      <c r="A5917" s="2" t="inlineStr">
        <is>
          <t>2026-05-20</t>
        </is>
      </c>
      <c r="B5917" s="3" t="inlineStr">
        <is>
          <t>NH투자증권</t>
        </is>
      </c>
      <c r="C5917" s="2" t="inlineStr">
        <is>
          <t>코스피</t>
        </is>
      </c>
      <c r="D5917" s="2" t="inlineStr">
        <is>
          <t>005940</t>
        </is>
      </c>
      <c r="E5917" s="3" t="inlineStr">
        <is>
          <t>일괄신고추가서류(파생결합증권-주가연계증권)</t>
        </is>
      </c>
      <c r="F5917" s="3" t="inlineStr">
        <is>
          <t>NH투자증권</t>
        </is>
      </c>
      <c r="G5917" s="2" t="inlineStr">
        <is>
          <t>20260520000239</t>
        </is>
      </c>
      <c r="H5917" s="8">
        <f>HYPERLINK("https://dart.fss.or.kr/dsaf001/main.do?rcpNo=20260520000239", "공시열람")</f>
        <v/>
      </c>
    </row>
    <row r="5918">
      <c r="A5918" s="2" t="inlineStr">
        <is>
          <t>2026-05-20</t>
        </is>
      </c>
      <c r="B5918" s="3" t="inlineStr">
        <is>
          <t>인바디</t>
        </is>
      </c>
      <c r="C5918" s="2" t="inlineStr">
        <is>
          <t>코스닥</t>
        </is>
      </c>
      <c r="D5918" s="2" t="inlineStr">
        <is>
          <t>041830</t>
        </is>
      </c>
      <c r="E5918" s="3" t="inlineStr">
        <is>
          <t>주요사항보고서(자기주식처분결정)</t>
        </is>
      </c>
      <c r="F5918" s="3" t="inlineStr">
        <is>
          <t>인바디</t>
        </is>
      </c>
      <c r="G5918" s="2" t="inlineStr">
        <is>
          <t>20260520000230</t>
        </is>
      </c>
      <c r="H5918" s="8">
        <f>HYPERLINK("https://dart.fss.or.kr/dsaf001/main.do?rcpNo=20260520000230", "공시열람")</f>
        <v/>
      </c>
    </row>
    <row r="5919">
      <c r="A5919" s="2" t="inlineStr">
        <is>
          <t>2026-05-20</t>
        </is>
      </c>
      <c r="B5919" s="3" t="inlineStr">
        <is>
          <t>HD현대중공업</t>
        </is>
      </c>
      <c r="C5919" s="2" t="inlineStr">
        <is>
          <t>코스피</t>
        </is>
      </c>
      <c r="D5919" s="2" t="inlineStr">
        <is>
          <t>329180</t>
        </is>
      </c>
      <c r="E5919" s="3" t="inlineStr">
        <is>
          <t xml:space="preserve">영업(잠정)실적(공정공시)              </t>
        </is>
      </c>
      <c r="F5919" s="3" t="inlineStr">
        <is>
          <t>HD현대중공업</t>
        </is>
      </c>
      <c r="G5919" s="2" t="inlineStr">
        <is>
          <t>20260520800414</t>
        </is>
      </c>
      <c r="H5919" s="8">
        <f>HYPERLINK("https://dart.fss.or.kr/dsaf001/main.do?rcpNo=20260520800414", "공시열람")</f>
        <v/>
      </c>
    </row>
    <row r="5920">
      <c r="A5920" s="2" t="inlineStr">
        <is>
          <t>2026-05-20</t>
        </is>
      </c>
      <c r="B5920" s="3" t="inlineStr">
        <is>
          <t>유안타증권</t>
        </is>
      </c>
      <c r="C5920" s="2" t="inlineStr">
        <is>
          <t>코스피</t>
        </is>
      </c>
      <c r="D5920" s="2" t="inlineStr">
        <is>
          <t>003470</t>
        </is>
      </c>
      <c r="E5920" s="3" t="inlineStr">
        <is>
          <t>투자설명서(일괄신고)</t>
        </is>
      </c>
      <c r="F5920" s="3" t="inlineStr">
        <is>
          <t>유안타증권</t>
        </is>
      </c>
      <c r="G5920" s="2" t="inlineStr">
        <is>
          <t>20260520000238</t>
        </is>
      </c>
      <c r="H5920" s="8">
        <f>HYPERLINK("https://dart.fss.or.kr/dsaf001/main.do?rcpNo=20260520000238", "공시열람")</f>
        <v/>
      </c>
    </row>
    <row r="5921">
      <c r="A5921" s="2" t="inlineStr">
        <is>
          <t>2026-05-20</t>
        </is>
      </c>
      <c r="B5921" s="3" t="inlineStr">
        <is>
          <t>NH투자증권</t>
        </is>
      </c>
      <c r="C5921" s="2" t="inlineStr">
        <is>
          <t>코스피</t>
        </is>
      </c>
      <c r="D5921" s="2" t="inlineStr">
        <is>
          <t>005940</t>
        </is>
      </c>
      <c r="E5921" s="3" t="inlineStr">
        <is>
          <t>일괄신고추가서류(파생결합증권-주가연계증권)</t>
        </is>
      </c>
      <c r="F5921" s="3" t="inlineStr">
        <is>
          <t>NH투자증권</t>
        </is>
      </c>
      <c r="G5921" s="2" t="inlineStr">
        <is>
          <t>20260520000236</t>
        </is>
      </c>
      <c r="H5921" s="8">
        <f>HYPERLINK("https://dart.fss.or.kr/dsaf001/main.do?rcpNo=20260520000236", "공시열람")</f>
        <v/>
      </c>
    </row>
    <row r="5922">
      <c r="A5922" s="2" t="inlineStr">
        <is>
          <t>2026-05-20</t>
        </is>
      </c>
      <c r="B5922" s="3" t="inlineStr">
        <is>
          <t>코웨이</t>
        </is>
      </c>
      <c r="C5922" s="2" t="inlineStr">
        <is>
          <t>코스피</t>
        </is>
      </c>
      <c r="D5922" s="2" t="inlineStr">
        <is>
          <t>021240</t>
        </is>
      </c>
      <c r="E5922" s="3" t="inlineStr">
        <is>
          <t>임원ㆍ주요주주특정증권등소유상황보고서</t>
        </is>
      </c>
      <c r="F5922" s="3" t="inlineStr">
        <is>
          <t>넷마블</t>
        </is>
      </c>
      <c r="G5922" s="2" t="inlineStr">
        <is>
          <t>20260520000235</t>
        </is>
      </c>
      <c r="H5922" s="8">
        <f>HYPERLINK("https://dart.fss.or.kr/dsaf001/main.do?rcpNo=20260520000235", "공시열람")</f>
        <v/>
      </c>
    </row>
    <row r="5923">
      <c r="A5923" s="2" t="inlineStr">
        <is>
          <t>2026-05-20</t>
        </is>
      </c>
      <c r="B5923" s="3" t="inlineStr">
        <is>
          <t>유티아이</t>
        </is>
      </c>
      <c r="C5923" s="2" t="inlineStr">
        <is>
          <t>코스닥</t>
        </is>
      </c>
      <c r="D5923" s="2" t="inlineStr">
        <is>
          <t>179900</t>
        </is>
      </c>
      <c r="E5923" s="3" t="inlineStr">
        <is>
          <t>사외이사의선임ㆍ해임또는중도퇴임에관한신고</t>
        </is>
      </c>
      <c r="F5923" s="3" t="inlineStr">
        <is>
          <t>유티아이</t>
        </is>
      </c>
      <c r="G5923" s="2" t="inlineStr">
        <is>
          <t>20260520000234</t>
        </is>
      </c>
      <c r="H5923" s="8">
        <f>HYPERLINK("https://dart.fss.or.kr/dsaf001/main.do?rcpNo=20260520000234", "공시열람")</f>
        <v/>
      </c>
    </row>
    <row r="5924">
      <c r="A5924" s="2" t="inlineStr">
        <is>
          <t>2026-05-20 (정정: 2026-05-28)</t>
        </is>
      </c>
      <c r="B5924" s="3" t="inlineStr">
        <is>
          <t>SK</t>
        </is>
      </c>
      <c r="C5924" s="2" t="inlineStr">
        <is>
          <t>코스피</t>
        </is>
      </c>
      <c r="D5924" s="2" t="inlineStr">
        <is>
          <t>034730</t>
        </is>
      </c>
      <c r="E5924" s="3" t="inlineStr">
        <is>
          <t>임원ㆍ주요주주특정증권등소유상황보고서 (정정: 20260521) (정정: 20260521) (정정: 20260521) (정정: 20260528) (정정: 20260528)</t>
        </is>
      </c>
      <c r="F5924" s="3" t="inlineStr">
        <is>
          <t>권병돈</t>
        </is>
      </c>
      <c r="G5924" s="2" t="inlineStr">
        <is>
          <t>20260528800640</t>
        </is>
      </c>
      <c r="H5924" s="8">
        <f>HYPERLINK("https://dart.fss.or.kr/dsaf001/main.do?rcpNo=20260528800640", "공시열람")</f>
        <v/>
      </c>
    </row>
    <row r="5925">
      <c r="A5925" s="2" t="inlineStr">
        <is>
          <t>2026-05-20</t>
        </is>
      </c>
      <c r="B5925" s="3" t="inlineStr">
        <is>
          <t>동양</t>
        </is>
      </c>
      <c r="C5925" s="2" t="inlineStr">
        <is>
          <t>코스피</t>
        </is>
      </c>
      <c r="D5925" s="2" t="inlineStr">
        <is>
          <t>001520</t>
        </is>
      </c>
      <c r="E5925" s="3" t="inlineStr">
        <is>
          <t xml:space="preserve">유상증자또는주식관련사채등의발행결과(자율공시)              </t>
        </is>
      </c>
      <c r="F5925" s="3" t="inlineStr">
        <is>
          <t>동양</t>
        </is>
      </c>
      <c r="G5925" s="2" t="inlineStr">
        <is>
          <t>20260520800388</t>
        </is>
      </c>
      <c r="H5925" s="8">
        <f>HYPERLINK("https://dart.fss.or.kr/dsaf001/main.do?rcpNo=20260520800388", "공시열람")</f>
        <v/>
      </c>
    </row>
    <row r="5926">
      <c r="A5926" s="2" t="inlineStr">
        <is>
          <t>2026-05-20</t>
        </is>
      </c>
      <c r="B5926" s="3" t="inlineStr">
        <is>
          <t>아비코전자</t>
        </is>
      </c>
      <c r="C5926" s="2" t="inlineStr">
        <is>
          <t>코스닥</t>
        </is>
      </c>
      <c r="D5926" s="2" t="inlineStr">
        <is>
          <t>036010</t>
        </is>
      </c>
      <c r="E5926" s="3" t="inlineStr">
        <is>
          <t xml:space="preserve">타법인주식및출자증권취득결정(자율공시)              </t>
        </is>
      </c>
      <c r="F5926" s="3" t="inlineStr">
        <is>
          <t>아비코전자</t>
        </is>
      </c>
      <c r="G5926" s="2" t="inlineStr">
        <is>
          <t>20260520900370</t>
        </is>
      </c>
      <c r="H5926" s="8">
        <f>HYPERLINK("https://dart.fss.or.kr/dsaf001/main.do?rcpNo=20260520900370", "공시열람")</f>
        <v/>
      </c>
    </row>
    <row r="5927">
      <c r="A5927" s="2" t="inlineStr">
        <is>
          <t>2026-05-20</t>
        </is>
      </c>
      <c r="B5927" s="3" t="inlineStr">
        <is>
          <t>한화투자증권</t>
        </is>
      </c>
      <c r="C5927" s="2" t="inlineStr">
        <is>
          <t>코스피</t>
        </is>
      </c>
      <c r="D5927" s="2" t="inlineStr">
        <is>
          <t>003530</t>
        </is>
      </c>
      <c r="E5927" s="3" t="inlineStr">
        <is>
          <t>일괄신고추가서류(파생결합증권-주가연계증권)</t>
        </is>
      </c>
      <c r="F5927" s="3" t="inlineStr">
        <is>
          <t>한화투자증권</t>
        </is>
      </c>
      <c r="G5927" s="2" t="inlineStr">
        <is>
          <t>20260520000226</t>
        </is>
      </c>
      <c r="H5927" s="8">
        <f>HYPERLINK("https://dart.fss.or.kr/dsaf001/main.do?rcpNo=20260520000226", "공시열람")</f>
        <v/>
      </c>
    </row>
    <row r="5928">
      <c r="A5928" s="2" t="inlineStr">
        <is>
          <t>2026-05-20</t>
        </is>
      </c>
      <c r="B5928" s="3" t="inlineStr">
        <is>
          <t>졸스</t>
        </is>
      </c>
      <c r="C5928" s="2" t="inlineStr">
        <is>
          <t>코스닥</t>
        </is>
      </c>
      <c r="D5928" s="2" t="inlineStr">
        <is>
          <t>018700</t>
        </is>
      </c>
      <c r="E5928" s="3" t="inlineStr">
        <is>
          <t xml:space="preserve">대표이사변경              </t>
        </is>
      </c>
      <c r="F5928" s="3" t="inlineStr">
        <is>
          <t>졸스</t>
        </is>
      </c>
      <c r="G5928" s="2" t="inlineStr">
        <is>
          <t>20260520900375</t>
        </is>
      </c>
      <c r="H5928" s="8">
        <f>HYPERLINK("https://dart.fss.or.kr/dsaf001/main.do?rcpNo=20260520900375", "공시열람")</f>
        <v/>
      </c>
    </row>
    <row r="5929">
      <c r="A5929" s="2" t="inlineStr">
        <is>
          <t>2026-05-20</t>
        </is>
      </c>
      <c r="B5929" s="3" t="inlineStr">
        <is>
          <t>삼영이엔씨</t>
        </is>
      </c>
      <c r="C5929" s="2" t="inlineStr">
        <is>
          <t>코스닥</t>
        </is>
      </c>
      <c r="D5929" s="2" t="inlineStr">
        <is>
          <t>065570</t>
        </is>
      </c>
      <c r="E5929" s="3" t="inlineStr">
        <is>
          <t>투자판단관련주요경영사항              (회생회사 삼영이엔씨(주) M&amp;A를 위한 투자계약 체결)</t>
        </is>
      </c>
      <c r="F5929" s="3" t="inlineStr">
        <is>
          <t>삼영이엔씨</t>
        </is>
      </c>
      <c r="G5929" s="2" t="inlineStr">
        <is>
          <t>20260520900341</t>
        </is>
      </c>
      <c r="H5929" s="8">
        <f>HYPERLINK("https://dart.fss.or.kr/dsaf001/main.do?rcpNo=20260520900341", "공시열람")</f>
        <v/>
      </c>
    </row>
    <row r="5930">
      <c r="A5930" s="2" t="inlineStr">
        <is>
          <t>2026-05-20</t>
        </is>
      </c>
      <c r="B5930" s="3" t="inlineStr">
        <is>
          <t>삼영이엔씨</t>
        </is>
      </c>
      <c r="C5930" s="2" t="inlineStr">
        <is>
          <t>코스닥</t>
        </is>
      </c>
      <c r="D5930" s="2" t="inlineStr">
        <is>
          <t>065570</t>
        </is>
      </c>
      <c r="E5930" s="3" t="inlineStr">
        <is>
          <t>소송등의판결ㆍ결정              (공개매각절차 진행금지가처분)</t>
        </is>
      </c>
      <c r="F5930" s="3" t="inlineStr">
        <is>
          <t>삼영이엔씨</t>
        </is>
      </c>
      <c r="G5930" s="2" t="inlineStr">
        <is>
          <t>20260520900337</t>
        </is>
      </c>
      <c r="H5930" s="8">
        <f>HYPERLINK("https://dart.fss.or.kr/dsaf001/main.do?rcpNo=20260520900337", "공시열람")</f>
        <v/>
      </c>
    </row>
    <row r="5931">
      <c r="A5931" s="2" t="inlineStr">
        <is>
          <t>2026-05-20</t>
        </is>
      </c>
      <c r="B5931" s="3" t="inlineStr">
        <is>
          <t>유안타증권</t>
        </is>
      </c>
      <c r="C5931" s="2" t="inlineStr">
        <is>
          <t>코스피</t>
        </is>
      </c>
      <c r="D5931" s="2" t="inlineStr">
        <is>
          <t>003470</t>
        </is>
      </c>
      <c r="E5931" s="3" t="inlineStr">
        <is>
          <t>일괄신고추가서류(파생결합증권-주가연계증권)</t>
        </is>
      </c>
      <c r="F5931" s="3" t="inlineStr">
        <is>
          <t>유안타증권</t>
        </is>
      </c>
      <c r="G5931" s="2" t="inlineStr">
        <is>
          <t>20260520000222</t>
        </is>
      </c>
      <c r="H5931" s="8">
        <f>HYPERLINK("https://dart.fss.or.kr/dsaf001/main.do?rcpNo=20260520000222", "공시열람")</f>
        <v/>
      </c>
    </row>
    <row r="5932">
      <c r="A5932" s="2" t="inlineStr">
        <is>
          <t>2026-05-20</t>
        </is>
      </c>
      <c r="B5932" s="3" t="inlineStr">
        <is>
          <t>NH투자증권</t>
        </is>
      </c>
      <c r="C5932" s="2" t="inlineStr">
        <is>
          <t>코스피</t>
        </is>
      </c>
      <c r="D5932" s="2" t="inlineStr">
        <is>
          <t>005940</t>
        </is>
      </c>
      <c r="E5932" s="3" t="inlineStr">
        <is>
          <t>투자설명서(일괄신고)</t>
        </is>
      </c>
      <c r="F5932" s="3" t="inlineStr">
        <is>
          <t>NH투자증권</t>
        </is>
      </c>
      <c r="G5932" s="2" t="inlineStr">
        <is>
          <t>20260520000218</t>
        </is>
      </c>
      <c r="H5932" s="8">
        <f>HYPERLINK("https://dart.fss.or.kr/dsaf001/main.do?rcpNo=20260520000218", "공시열람")</f>
        <v/>
      </c>
    </row>
    <row r="5933">
      <c r="A5933" s="2" t="inlineStr">
        <is>
          <t>2026-05-20</t>
        </is>
      </c>
      <c r="B5933" s="3" t="inlineStr">
        <is>
          <t>이엠앤아이</t>
        </is>
      </c>
      <c r="C5933" s="2" t="inlineStr">
        <is>
          <t>코스닥</t>
        </is>
      </c>
      <c r="D5933" s="2" t="inlineStr">
        <is>
          <t>083470</t>
        </is>
      </c>
      <c r="E5933" s="3" t="inlineStr">
        <is>
          <t>사외이사의선임ㆍ해임또는중도퇴임에관한신고</t>
        </is>
      </c>
      <c r="F5933" s="3" t="inlineStr">
        <is>
          <t>이엠앤아이</t>
        </is>
      </c>
      <c r="G5933" s="2" t="inlineStr">
        <is>
          <t>20260520000217</t>
        </is>
      </c>
      <c r="H5933" s="8">
        <f>HYPERLINK("https://dart.fss.or.kr/dsaf001/main.do?rcpNo=20260520000217", "공시열람")</f>
        <v/>
      </c>
    </row>
    <row r="5934">
      <c r="A5934" s="2" t="inlineStr">
        <is>
          <t>2026-05-20</t>
        </is>
      </c>
      <c r="B5934" s="3" t="inlineStr">
        <is>
          <t>아우토크립트</t>
        </is>
      </c>
      <c r="C5934" s="2" t="inlineStr">
        <is>
          <t>코스닥</t>
        </is>
      </c>
      <c r="D5934" s="2" t="inlineStr">
        <is>
          <t>331740</t>
        </is>
      </c>
      <c r="E5934" s="3" t="inlineStr">
        <is>
          <t>의결권대리행사권유참고서류</t>
        </is>
      </c>
      <c r="F5934" s="3" t="inlineStr">
        <is>
          <t>아우토크립트</t>
        </is>
      </c>
      <c r="G5934" s="2" t="inlineStr">
        <is>
          <t>20260520000213</t>
        </is>
      </c>
      <c r="H5934" s="8">
        <f>HYPERLINK("https://dart.fss.or.kr/dsaf001/main.do?rcpNo=20260520000213", "공시열람")</f>
        <v/>
      </c>
    </row>
    <row r="5935">
      <c r="A5935" s="2" t="inlineStr">
        <is>
          <t>2026-05-20</t>
        </is>
      </c>
      <c r="B5935" s="3" t="inlineStr">
        <is>
          <t>한라캐스트</t>
        </is>
      </c>
      <c r="C5935" s="2" t="inlineStr">
        <is>
          <t>코스닥</t>
        </is>
      </c>
      <c r="D5935" s="2" t="inlineStr">
        <is>
          <t>125490</t>
        </is>
      </c>
      <c r="E5935" s="3" t="inlineStr">
        <is>
          <t xml:space="preserve">기업설명회(IR)개최              </t>
        </is>
      </c>
      <c r="F5935" s="3" t="inlineStr">
        <is>
          <t>한라캐스트</t>
        </is>
      </c>
      <c r="G5935" s="2" t="inlineStr">
        <is>
          <t>20260520900354</t>
        </is>
      </c>
      <c r="H5935" s="8">
        <f>HYPERLINK("https://dart.fss.or.kr/dsaf001/main.do?rcpNo=20260520900354", "공시열람")</f>
        <v/>
      </c>
    </row>
    <row r="5936">
      <c r="A5936" s="2" t="inlineStr">
        <is>
          <t>2026-05-20</t>
        </is>
      </c>
      <c r="B5936" s="3" t="inlineStr">
        <is>
          <t>현대건설</t>
        </is>
      </c>
      <c r="C5936" s="2" t="inlineStr">
        <is>
          <t>코스피</t>
        </is>
      </c>
      <c r="D5936" s="2" t="inlineStr">
        <is>
          <t>000720</t>
        </is>
      </c>
      <c r="E5936" s="3" t="inlineStr">
        <is>
          <t>임원ㆍ주요주주특정증권등소유상황보고서</t>
        </is>
      </c>
      <c r="F5936" s="3" t="inlineStr">
        <is>
          <t>이한우</t>
        </is>
      </c>
      <c r="G5936" s="2" t="inlineStr">
        <is>
          <t>20260520000210</t>
        </is>
      </c>
      <c r="H5936" s="8">
        <f>HYPERLINK("https://dart.fss.or.kr/dsaf001/main.do?rcpNo=20260520000210", "공시열람")</f>
        <v/>
      </c>
    </row>
    <row r="5937">
      <c r="A5937" s="2" t="inlineStr">
        <is>
          <t>2026-05-20</t>
        </is>
      </c>
      <c r="B5937" s="3" t="inlineStr">
        <is>
          <t>NH투자증권</t>
        </is>
      </c>
      <c r="C5937" s="2" t="inlineStr">
        <is>
          <t>코스피</t>
        </is>
      </c>
      <c r="D5937" s="2" t="inlineStr">
        <is>
          <t>005940</t>
        </is>
      </c>
      <c r="E5937" s="3" t="inlineStr">
        <is>
          <t>일괄신고추가서류(파생결합증권-주가연계증권)</t>
        </is>
      </c>
      <c r="F5937" s="3" t="inlineStr">
        <is>
          <t>NH투자증권</t>
        </is>
      </c>
      <c r="G5937" s="2" t="inlineStr">
        <is>
          <t>20260520000208</t>
        </is>
      </c>
      <c r="H5937" s="8">
        <f>HYPERLINK("https://dart.fss.or.kr/dsaf001/main.do?rcpNo=20260520000208", "공시열람")</f>
        <v/>
      </c>
    </row>
    <row r="5938">
      <c r="A5938" s="2" t="inlineStr">
        <is>
          <t>2026-05-20</t>
        </is>
      </c>
      <c r="B5938" s="3" t="inlineStr">
        <is>
          <t>DKME</t>
        </is>
      </c>
      <c r="C5938" s="2" t="inlineStr">
        <is>
          <t>코스피</t>
        </is>
      </c>
      <c r="D5938" s="2" t="inlineStr">
        <is>
          <t>015590</t>
        </is>
      </c>
      <c r="E5938" s="3" t="inlineStr">
        <is>
          <t>임원ㆍ주요주주특정증권등소유상황보고서</t>
        </is>
      </c>
      <c r="F5938" s="3" t="inlineStr">
        <is>
          <t>김기철</t>
        </is>
      </c>
      <c r="G5938" s="2" t="inlineStr">
        <is>
          <t>20260520000207</t>
        </is>
      </c>
      <c r="H5938" s="8">
        <f>HYPERLINK("https://dart.fss.or.kr/dsaf001/main.do?rcpNo=20260520000207", "공시열람")</f>
        <v/>
      </c>
    </row>
    <row r="5939">
      <c r="A5939" s="2" t="inlineStr">
        <is>
          <t>2026-05-20</t>
        </is>
      </c>
      <c r="B5939" s="3" t="inlineStr">
        <is>
          <t>메리츠제2호스팩</t>
        </is>
      </c>
      <c r="C5939" s="2" t="inlineStr">
        <is>
          <t>코스닥</t>
        </is>
      </c>
      <c r="D5939" s="2" t="inlineStr">
        <is>
          <t>0165X0</t>
        </is>
      </c>
      <c r="E5939" s="3" t="inlineStr">
        <is>
          <t>[첨부정정]증권신고서(지분증권)</t>
        </is>
      </c>
      <c r="F5939" s="3" t="inlineStr">
        <is>
          <t>메리츠제2호스팩</t>
        </is>
      </c>
      <c r="G5939" s="2" t="inlineStr">
        <is>
          <t>20260520000204</t>
        </is>
      </c>
      <c r="H5939" s="8">
        <f>HYPERLINK("https://dart.fss.or.kr/dsaf001/main.do?rcpNo=20260520000204", "공시열람")</f>
        <v/>
      </c>
    </row>
    <row r="5940">
      <c r="A5940" s="2" t="inlineStr">
        <is>
          <t>2026-05-20</t>
        </is>
      </c>
      <c r="B5940" s="3" t="inlineStr">
        <is>
          <t>메리츠제2호스팩</t>
        </is>
      </c>
      <c r="C5940" s="2" t="inlineStr">
        <is>
          <t>코스닥</t>
        </is>
      </c>
      <c r="D5940" s="2" t="inlineStr">
        <is>
          <t>0165X0</t>
        </is>
      </c>
      <c r="E5940" s="3" t="inlineStr">
        <is>
          <t>[첨부정정]증권신고서(지분증권)</t>
        </is>
      </c>
      <c r="F5940" s="3" t="inlineStr">
        <is>
          <t>메리츠제2호스팩</t>
        </is>
      </c>
      <c r="G5940" s="2" t="inlineStr">
        <is>
          <t>20260520000203</t>
        </is>
      </c>
      <c r="H5940" s="8">
        <f>HYPERLINK("https://dart.fss.or.kr/dsaf001/main.do?rcpNo=20260520000203", "공시열람")</f>
        <v/>
      </c>
    </row>
    <row r="5941">
      <c r="A5941" s="2" t="inlineStr">
        <is>
          <t>2026-05-20</t>
        </is>
      </c>
      <c r="B5941" s="3" t="inlineStr">
        <is>
          <t>동성제약</t>
        </is>
      </c>
      <c r="C5941" s="2" t="inlineStr">
        <is>
          <t>코스피</t>
        </is>
      </c>
      <c r="D5941" s="2" t="inlineStr">
        <is>
          <t>002210</t>
        </is>
      </c>
      <c r="E5941" s="3" t="inlineStr">
        <is>
          <t xml:space="preserve">기타안내사항(안내공시)              </t>
        </is>
      </c>
      <c r="F5941" s="3" t="inlineStr">
        <is>
          <t>동성제약</t>
        </is>
      </c>
      <c r="G5941" s="2" t="inlineStr">
        <is>
          <t>20260520800325</t>
        </is>
      </c>
      <c r="H5941" s="8">
        <f>HYPERLINK("https://dart.fss.or.kr/dsaf001/main.do?rcpNo=20260520800325", "공시열람")</f>
        <v/>
      </c>
    </row>
    <row r="5942">
      <c r="A5942" s="2" t="inlineStr">
        <is>
          <t>2026-05-20</t>
        </is>
      </c>
      <c r="B5942" s="3" t="inlineStr">
        <is>
          <t>그래피</t>
        </is>
      </c>
      <c r="C5942" s="2" t="inlineStr">
        <is>
          <t>코스닥</t>
        </is>
      </c>
      <c r="D5942" s="2" t="inlineStr">
        <is>
          <t>318060</t>
        </is>
      </c>
      <c r="E5942" s="3" t="inlineStr">
        <is>
          <t>의결권대리행사권유참고서류</t>
        </is>
      </c>
      <c r="F5942" s="3" t="inlineStr">
        <is>
          <t>그래피</t>
        </is>
      </c>
      <c r="G5942" s="2" t="inlineStr">
        <is>
          <t>20260520000197</t>
        </is>
      </c>
      <c r="H5942" s="8">
        <f>HYPERLINK("https://dart.fss.or.kr/dsaf001/main.do?rcpNo=20260520000197", "공시열람")</f>
        <v/>
      </c>
    </row>
    <row r="5943">
      <c r="A5943" s="2" t="inlineStr">
        <is>
          <t>2026-05-20</t>
        </is>
      </c>
      <c r="B5943" s="3" t="inlineStr">
        <is>
          <t>코람코더원리츠</t>
        </is>
      </c>
      <c r="C5943" s="2" t="inlineStr">
        <is>
          <t>코스피</t>
        </is>
      </c>
      <c r="D5943" s="2" t="inlineStr">
        <is>
          <t>417310</t>
        </is>
      </c>
      <c r="E5943" s="3" t="inlineStr">
        <is>
          <t xml:space="preserve">감사보고서제출              </t>
        </is>
      </c>
      <c r="F5943" s="3" t="inlineStr">
        <is>
          <t>코람코더원리츠</t>
        </is>
      </c>
      <c r="G5943" s="2" t="inlineStr">
        <is>
          <t>20260520800291</t>
        </is>
      </c>
      <c r="H5943" s="8">
        <f>HYPERLINK("https://dart.fss.or.kr/dsaf001/main.do?rcpNo=20260520800291", "공시열람")</f>
        <v/>
      </c>
    </row>
    <row r="5944">
      <c r="A5944" s="2" t="inlineStr">
        <is>
          <t>2026-05-20</t>
        </is>
      </c>
      <c r="B5944" s="3" t="inlineStr">
        <is>
          <t>NH투자증권</t>
        </is>
      </c>
      <c r="C5944" s="2" t="inlineStr">
        <is>
          <t>코스피</t>
        </is>
      </c>
      <c r="D5944" s="2" t="inlineStr">
        <is>
          <t>005940</t>
        </is>
      </c>
      <c r="E5944" s="3" t="inlineStr">
        <is>
          <t>투자설명서(일괄신고)</t>
        </is>
      </c>
      <c r="F5944" s="3" t="inlineStr">
        <is>
          <t>NH투자증권</t>
        </is>
      </c>
      <c r="G5944" s="2" t="inlineStr">
        <is>
          <t>20260520000184</t>
        </is>
      </c>
      <c r="H5944" s="8">
        <f>HYPERLINK("https://dart.fss.or.kr/dsaf001/main.do?rcpNo=20260520000184", "공시열람")</f>
        <v/>
      </c>
    </row>
    <row r="5945">
      <c r="A5945" s="2" t="inlineStr">
        <is>
          <t>2026-05-20 (정정: 2026-05-26)</t>
        </is>
      </c>
      <c r="B5945" s="3" t="inlineStr">
        <is>
          <t>디앤디플랫폼리츠</t>
        </is>
      </c>
      <c r="C5945" s="2" t="inlineStr">
        <is>
          <t>코스피</t>
        </is>
      </c>
      <c r="D5945" s="2" t="inlineStr">
        <is>
          <t>377190</t>
        </is>
      </c>
      <c r="E5945" s="3" t="inlineStr">
        <is>
          <t>의결권대리행사권유참고서류 (정정: 20260526)</t>
        </is>
      </c>
      <c r="F5945" s="3" t="inlineStr">
        <is>
          <t>디앤디플랫폼리츠</t>
        </is>
      </c>
      <c r="G5945" s="2" t="inlineStr">
        <is>
          <t>20260526800567</t>
        </is>
      </c>
      <c r="H5945" s="8">
        <f>HYPERLINK("https://dart.fss.or.kr/dsaf001/main.do?rcpNo=20260526800567", "공시열람")</f>
        <v/>
      </c>
    </row>
    <row r="5946">
      <c r="A5946" s="2" t="inlineStr">
        <is>
          <t>2026-05-20</t>
        </is>
      </c>
      <c r="B5946" s="3" t="inlineStr">
        <is>
          <t>키움증권</t>
        </is>
      </c>
      <c r="C5946" s="2" t="inlineStr">
        <is>
          <t>코스피</t>
        </is>
      </c>
      <c r="D5946" s="2" t="inlineStr">
        <is>
          <t>039490</t>
        </is>
      </c>
      <c r="E5946" s="3" t="inlineStr">
        <is>
          <t>투자설명서(일괄신고)</t>
        </is>
      </c>
      <c r="F5946" s="3" t="inlineStr">
        <is>
          <t>키움증권</t>
        </is>
      </c>
      <c r="G5946" s="2" t="inlineStr">
        <is>
          <t>20260520000179</t>
        </is>
      </c>
      <c r="H5946" s="8">
        <f>HYPERLINK("https://dart.fss.or.kr/dsaf001/main.do?rcpNo=20260520000179", "공시열람")</f>
        <v/>
      </c>
    </row>
    <row r="5947">
      <c r="A5947" s="2" t="inlineStr">
        <is>
          <t>2026-05-20</t>
        </is>
      </c>
      <c r="B5947" s="3" t="inlineStr">
        <is>
          <t>NH투자증권</t>
        </is>
      </c>
      <c r="C5947" s="2" t="inlineStr">
        <is>
          <t>코스피</t>
        </is>
      </c>
      <c r="D5947" s="2" t="inlineStr">
        <is>
          <t>005940</t>
        </is>
      </c>
      <c r="E5947" s="3" t="inlineStr">
        <is>
          <t>투자설명서(일괄신고)</t>
        </is>
      </c>
      <c r="F5947" s="3" t="inlineStr">
        <is>
          <t>NH투자증권</t>
        </is>
      </c>
      <c r="G5947" s="2" t="inlineStr">
        <is>
          <t>20260520000177</t>
        </is>
      </c>
      <c r="H5947" s="8">
        <f>HYPERLINK("https://dart.fss.or.kr/dsaf001/main.do?rcpNo=20260520000177", "공시열람")</f>
        <v/>
      </c>
    </row>
    <row r="5948">
      <c r="A5948" s="2" t="inlineStr">
        <is>
          <t>2026-05-20</t>
        </is>
      </c>
      <c r="B5948" s="3" t="inlineStr">
        <is>
          <t>키움증권</t>
        </is>
      </c>
      <c r="C5948" s="2" t="inlineStr">
        <is>
          <t>코스피</t>
        </is>
      </c>
      <c r="D5948" s="2" t="inlineStr">
        <is>
          <t>039490</t>
        </is>
      </c>
      <c r="E5948" s="3" t="inlineStr">
        <is>
          <t>투자설명서(일괄신고)</t>
        </is>
      </c>
      <c r="F5948" s="3" t="inlineStr">
        <is>
          <t>키움증권</t>
        </is>
      </c>
      <c r="G5948" s="2" t="inlineStr">
        <is>
          <t>20260520000170</t>
        </is>
      </c>
      <c r="H5948" s="8">
        <f>HYPERLINK("https://dart.fss.or.kr/dsaf001/main.do?rcpNo=20260520000170", "공시열람")</f>
        <v/>
      </c>
    </row>
    <row r="5949">
      <c r="A5949" s="2" t="inlineStr">
        <is>
          <t>2026-05-20</t>
        </is>
      </c>
      <c r="B5949" s="3" t="inlineStr">
        <is>
          <t>신한서부티엔디리츠</t>
        </is>
      </c>
      <c r="C5949" s="2" t="inlineStr">
        <is>
          <t>코스피</t>
        </is>
      </c>
      <c r="D5949" s="2" t="inlineStr">
        <is>
          <t>404990</t>
        </is>
      </c>
      <c r="E5949" s="3" t="inlineStr">
        <is>
          <t xml:space="preserve">기업설명회(IR)개최(안내공시)              </t>
        </is>
      </c>
      <c r="F5949" s="3" t="inlineStr">
        <is>
          <t>신한서부티엔디리츠</t>
        </is>
      </c>
      <c r="G5949" s="2" t="inlineStr">
        <is>
          <t>20260520800281</t>
        </is>
      </c>
      <c r="H5949" s="8">
        <f>HYPERLINK("https://dart.fss.or.kr/dsaf001/main.do?rcpNo=20260520800281", "공시열람")</f>
        <v/>
      </c>
    </row>
    <row r="5950">
      <c r="A5950" s="2" t="inlineStr">
        <is>
          <t>2026-05-20</t>
        </is>
      </c>
      <c r="B5950" s="3" t="inlineStr">
        <is>
          <t>제주은행</t>
        </is>
      </c>
      <c r="C5950" s="2" t="inlineStr">
        <is>
          <t>코스피</t>
        </is>
      </c>
      <c r="D5950" s="2" t="inlineStr">
        <is>
          <t>006220</t>
        </is>
      </c>
      <c r="E5950" s="3" t="inlineStr">
        <is>
          <t xml:space="preserve">기타안내사항(안내공시)              </t>
        </is>
      </c>
      <c r="F5950" s="3" t="inlineStr">
        <is>
          <t>제주은행</t>
        </is>
      </c>
      <c r="G5950" s="2" t="inlineStr">
        <is>
          <t>20260520800283</t>
        </is>
      </c>
      <c r="H5950" s="8">
        <f>HYPERLINK("https://dart.fss.or.kr/dsaf001/main.do?rcpNo=20260520800283", "공시열람")</f>
        <v/>
      </c>
    </row>
    <row r="5951">
      <c r="A5951" s="2" t="inlineStr">
        <is>
          <t>2026-05-20</t>
        </is>
      </c>
      <c r="B5951" s="3" t="inlineStr">
        <is>
          <t>키움증권</t>
        </is>
      </c>
      <c r="C5951" s="2" t="inlineStr">
        <is>
          <t>코스피</t>
        </is>
      </c>
      <c r="D5951" s="2" t="inlineStr">
        <is>
          <t>039490</t>
        </is>
      </c>
      <c r="E5951" s="3" t="inlineStr">
        <is>
          <t>투자설명서(일괄신고)</t>
        </is>
      </c>
      <c r="F5951" s="3" t="inlineStr">
        <is>
          <t>키움증권</t>
        </is>
      </c>
      <c r="G5951" s="2" t="inlineStr">
        <is>
          <t>20260520000169</t>
        </is>
      </c>
      <c r="H5951" s="8">
        <f>HYPERLINK("https://dart.fss.or.kr/dsaf001/main.do?rcpNo=20260520000169", "공시열람")</f>
        <v/>
      </c>
    </row>
    <row r="5952">
      <c r="A5952" s="2" t="inlineStr">
        <is>
          <t>2026-05-20 (정정: 2026-05-22)</t>
        </is>
      </c>
      <c r="B5952" s="3" t="inlineStr">
        <is>
          <t>세미티에스</t>
        </is>
      </c>
      <c r="C5952" s="2" t="inlineStr">
        <is>
          <t>코스닥</t>
        </is>
      </c>
      <c r="D5952" s="2" t="inlineStr">
        <is>
          <t>0017J0</t>
        </is>
      </c>
      <c r="E5952" s="3" t="inlineStr">
        <is>
          <t>증권발행실적보고서(합병등) (정정: 20260522)</t>
        </is>
      </c>
      <c r="F5952" s="3" t="inlineStr">
        <is>
          <t>세미티에스</t>
        </is>
      </c>
      <c r="G5952" s="2" t="inlineStr">
        <is>
          <t>20260522000123</t>
        </is>
      </c>
      <c r="H5952" s="8">
        <f>HYPERLINK("https://dart.fss.or.kr/dsaf001/main.do?rcpNo=20260522000123", "공시열람")</f>
        <v/>
      </c>
    </row>
    <row r="5953">
      <c r="A5953" s="2" t="inlineStr">
        <is>
          <t>2026-05-20</t>
        </is>
      </c>
      <c r="B5953" s="3" t="inlineStr">
        <is>
          <t>시너지이노베이션</t>
        </is>
      </c>
      <c r="C5953" s="2" t="inlineStr">
        <is>
          <t>코스닥</t>
        </is>
      </c>
      <c r="D5953" s="2" t="inlineStr">
        <is>
          <t>048870</t>
        </is>
      </c>
      <c r="E5953" s="3" t="inlineStr">
        <is>
          <t xml:space="preserve">기업설명회(IR)개최              </t>
        </is>
      </c>
      <c r="F5953" s="3" t="inlineStr">
        <is>
          <t>시너지이노베이션</t>
        </is>
      </c>
      <c r="G5953" s="2" t="inlineStr">
        <is>
          <t>20260520900274</t>
        </is>
      </c>
      <c r="H5953" s="8">
        <f>HYPERLINK("https://dart.fss.or.kr/dsaf001/main.do?rcpNo=20260520900274", "공시열람")</f>
        <v/>
      </c>
    </row>
    <row r="5954">
      <c r="A5954" s="2" t="inlineStr">
        <is>
          <t>2026-05-20</t>
        </is>
      </c>
      <c r="B5954" s="3" t="inlineStr">
        <is>
          <t>세니젠</t>
        </is>
      </c>
      <c r="C5954" s="2" t="inlineStr">
        <is>
          <t>코스닥</t>
        </is>
      </c>
      <c r="D5954" s="2" t="inlineStr">
        <is>
          <t>188260</t>
        </is>
      </c>
      <c r="E5954" s="3" t="inlineStr">
        <is>
          <t>임원ㆍ주요주주특정증권등소유상황보고서</t>
        </is>
      </c>
      <c r="F5954" s="3" t="inlineStr">
        <is>
          <t>지씨파트너스</t>
        </is>
      </c>
      <c r="G5954" s="2" t="inlineStr">
        <is>
          <t>20260520000162</t>
        </is>
      </c>
      <c r="H5954" s="8">
        <f>HYPERLINK("https://dart.fss.or.kr/dsaf001/main.do?rcpNo=20260520000162", "공시열람")</f>
        <v/>
      </c>
    </row>
    <row r="5955">
      <c r="A5955" s="2" t="inlineStr">
        <is>
          <t>2026-05-20</t>
        </is>
      </c>
      <c r="B5955" s="3" t="inlineStr">
        <is>
          <t>플래스크</t>
        </is>
      </c>
      <c r="C5955" s="2" t="inlineStr">
        <is>
          <t>코스닥</t>
        </is>
      </c>
      <c r="D5955" s="2" t="inlineStr">
        <is>
          <t>041590</t>
        </is>
      </c>
      <c r="E5955" s="3" t="inlineStr">
        <is>
          <t>기타시장안내              (정리매매 보류 관련)</t>
        </is>
      </c>
      <c r="F5955" s="3" t="inlineStr">
        <is>
          <t>코스닥시장본부</t>
        </is>
      </c>
      <c r="G5955" s="2" t="inlineStr">
        <is>
          <t>20260520900260</t>
        </is>
      </c>
      <c r="H5955" s="8">
        <f>HYPERLINK("https://dart.fss.or.kr/dsaf001/main.do?rcpNo=20260520900260", "공시열람")</f>
        <v/>
      </c>
    </row>
    <row r="5956">
      <c r="A5956" s="2" t="inlineStr">
        <is>
          <t>2026-05-20</t>
        </is>
      </c>
      <c r="B5956" s="3" t="inlineStr">
        <is>
          <t>플래스크</t>
        </is>
      </c>
      <c r="C5956" s="2" t="inlineStr">
        <is>
          <t>코스닥</t>
        </is>
      </c>
      <c r="D5956" s="2" t="inlineStr">
        <is>
          <t>041590</t>
        </is>
      </c>
      <c r="E5956" s="3" t="inlineStr">
        <is>
          <t>주권매매거래정지              (투자자 보호)</t>
        </is>
      </c>
      <c r="F5956" s="3" t="inlineStr">
        <is>
          <t>코스닥시장본부</t>
        </is>
      </c>
      <c r="G5956" s="2" t="inlineStr">
        <is>
          <t>20260520900259</t>
        </is>
      </c>
      <c r="H5956" s="8">
        <f>HYPERLINK("https://dart.fss.or.kr/dsaf001/main.do?rcpNo=20260520900259", "공시열람")</f>
        <v/>
      </c>
    </row>
    <row r="5957">
      <c r="A5957" s="2" t="inlineStr">
        <is>
          <t>2026-05-20</t>
        </is>
      </c>
      <c r="B5957" s="3" t="inlineStr">
        <is>
          <t>플래스크</t>
        </is>
      </c>
      <c r="C5957" s="2" t="inlineStr">
        <is>
          <t>코스닥</t>
        </is>
      </c>
      <c r="D5957" s="2" t="inlineStr">
        <is>
          <t>041590</t>
        </is>
      </c>
      <c r="E5957" s="3" t="inlineStr">
        <is>
          <t>기타경영사항(자율공시)              (상장폐지결정 효력정지 등 가처분 신청)</t>
        </is>
      </c>
      <c r="F5957" s="3" t="inlineStr">
        <is>
          <t>플래스크</t>
        </is>
      </c>
      <c r="G5957" s="2" t="inlineStr">
        <is>
          <t>20260520900254</t>
        </is>
      </c>
      <c r="H5957" s="8">
        <f>HYPERLINK("https://dart.fss.or.kr/dsaf001/main.do?rcpNo=20260520900254", "공시열람")</f>
        <v/>
      </c>
    </row>
    <row r="5958">
      <c r="A5958" s="2" t="inlineStr">
        <is>
          <t>2026-05-20</t>
        </is>
      </c>
      <c r="B5958" s="3" t="inlineStr">
        <is>
          <t>키움증권</t>
        </is>
      </c>
      <c r="C5958" s="2" t="inlineStr">
        <is>
          <t>코스피</t>
        </is>
      </c>
      <c r="D5958" s="2" t="inlineStr">
        <is>
          <t>039490</t>
        </is>
      </c>
      <c r="E5958" s="3" t="inlineStr">
        <is>
          <t>일괄신고추가서류(파생결합사채-주가연계파생결합사채)</t>
        </is>
      </c>
      <c r="F5958" s="3" t="inlineStr">
        <is>
          <t>키움증권</t>
        </is>
      </c>
      <c r="G5958" s="2" t="inlineStr">
        <is>
          <t>20260520000159</t>
        </is>
      </c>
      <c r="H5958" s="8">
        <f>HYPERLINK("https://dart.fss.or.kr/dsaf001/main.do?rcpNo=20260520000159", "공시열람")</f>
        <v/>
      </c>
    </row>
    <row r="5959">
      <c r="A5959" s="2" t="inlineStr">
        <is>
          <t>2026-05-20</t>
        </is>
      </c>
      <c r="B5959" s="3" t="inlineStr">
        <is>
          <t>CJ대한통운</t>
        </is>
      </c>
      <c r="C5959" s="2" t="inlineStr">
        <is>
          <t>코스피</t>
        </is>
      </c>
      <c r="D5959" s="2" t="inlineStr">
        <is>
          <t>000120</t>
        </is>
      </c>
      <c r="E5959" s="3" t="inlineStr">
        <is>
          <t xml:space="preserve">기업설명회(IR)개최(안내공시)              </t>
        </is>
      </c>
      <c r="F5959" s="3" t="inlineStr">
        <is>
          <t>CJ대한통운</t>
        </is>
      </c>
      <c r="G5959" s="2" t="inlineStr">
        <is>
          <t>20260520800252</t>
        </is>
      </c>
      <c r="H5959" s="8">
        <f>HYPERLINK("https://dart.fss.or.kr/dsaf001/main.do?rcpNo=20260520800252", "공시열람")</f>
        <v/>
      </c>
    </row>
    <row r="5960">
      <c r="A5960" s="2" t="inlineStr">
        <is>
          <t>2026-05-20</t>
        </is>
      </c>
      <c r="B5960" s="3" t="inlineStr">
        <is>
          <t>세나테크놀로지</t>
        </is>
      </c>
      <c r="C5960" s="2" t="inlineStr">
        <is>
          <t>코스닥</t>
        </is>
      </c>
      <c r="D5960" s="2" t="inlineStr">
        <is>
          <t>061090</t>
        </is>
      </c>
      <c r="E5960" s="3" t="inlineStr">
        <is>
          <t xml:space="preserve">기업설명회(IR)개최              </t>
        </is>
      </c>
      <c r="F5960" s="3" t="inlineStr">
        <is>
          <t>세나테크놀로지</t>
        </is>
      </c>
      <c r="G5960" s="2" t="inlineStr">
        <is>
          <t>20260520900249</t>
        </is>
      </c>
      <c r="H5960" s="8">
        <f>HYPERLINK("https://dart.fss.or.kr/dsaf001/main.do?rcpNo=20260520900249", "공시열람")</f>
        <v/>
      </c>
    </row>
    <row r="5961">
      <c r="A5961" s="2" t="inlineStr">
        <is>
          <t>2026-05-20 (정정: 2026-05-20)</t>
        </is>
      </c>
      <c r="B5961" s="3" t="inlineStr">
        <is>
          <t>셀바이오휴먼텍</t>
        </is>
      </c>
      <c r="C5961" s="2" t="inlineStr">
        <is>
          <t>코스닥</t>
        </is>
      </c>
      <c r="D5961" s="2" t="inlineStr">
        <is>
          <t>318160</t>
        </is>
      </c>
      <c r="E5961" s="3" t="inlineStr">
        <is>
          <t>임원ㆍ주요주주특정증권등소유상황보고서 (정정: 20260520)</t>
        </is>
      </c>
      <c r="F5961" s="3" t="inlineStr">
        <is>
          <t>이권선</t>
        </is>
      </c>
      <c r="G5961" s="2" t="inlineStr">
        <is>
          <t>20260520000151</t>
        </is>
      </c>
      <c r="H5961" s="8">
        <f>HYPERLINK("https://dart.fss.or.kr/dsaf001/main.do?rcpNo=20260520000151", "공시열람")</f>
        <v/>
      </c>
    </row>
    <row r="5962">
      <c r="A5962" s="2" t="inlineStr">
        <is>
          <t>2026-05-20</t>
        </is>
      </c>
      <c r="B5962" s="3" t="inlineStr">
        <is>
          <t>이글루</t>
        </is>
      </c>
      <c r="C5962" s="2" t="inlineStr">
        <is>
          <t>코스닥</t>
        </is>
      </c>
      <c r="D5962" s="2" t="inlineStr">
        <is>
          <t>067920</t>
        </is>
      </c>
      <c r="E5962" s="3" t="inlineStr">
        <is>
          <t xml:space="preserve">기업설명회(IR)개최              </t>
        </is>
      </c>
      <c r="F5962" s="3" t="inlineStr">
        <is>
          <t>이글루</t>
        </is>
      </c>
      <c r="G5962" s="2" t="inlineStr">
        <is>
          <t>20260520900250</t>
        </is>
      </c>
      <c r="H5962" s="8">
        <f>HYPERLINK("https://dart.fss.or.kr/dsaf001/main.do?rcpNo=20260520900250", "공시열람")</f>
        <v/>
      </c>
    </row>
    <row r="5963">
      <c r="A5963" s="2" t="inlineStr">
        <is>
          <t>2026-05-20</t>
        </is>
      </c>
      <c r="B5963" s="3" t="inlineStr">
        <is>
          <t>에스티아이</t>
        </is>
      </c>
      <c r="C5963" s="2" t="inlineStr">
        <is>
          <t>코스닥</t>
        </is>
      </c>
      <c r="D5963" s="2" t="inlineStr">
        <is>
          <t>039440</t>
        </is>
      </c>
      <c r="E5963" s="3" t="inlineStr">
        <is>
          <t>임원ㆍ주요주주특정증권등소유상황보고서</t>
        </is>
      </c>
      <c r="F5963" s="3" t="inlineStr">
        <is>
          <t>이우석</t>
        </is>
      </c>
      <c r="G5963" s="2" t="inlineStr">
        <is>
          <t>20260520000150</t>
        </is>
      </c>
      <c r="H5963" s="8">
        <f>HYPERLINK("https://dart.fss.or.kr/dsaf001/main.do?rcpNo=20260520000150", "공시열람")</f>
        <v/>
      </c>
    </row>
    <row r="5964">
      <c r="A5964" s="2" t="inlineStr">
        <is>
          <t>2026-05-20</t>
        </is>
      </c>
      <c r="B5964" s="3" t="inlineStr">
        <is>
          <t>세나테크놀로지</t>
        </is>
      </c>
      <c r="C5964" s="2" t="inlineStr">
        <is>
          <t>코스닥</t>
        </is>
      </c>
      <c r="D5964" s="2" t="inlineStr">
        <is>
          <t>061090</t>
        </is>
      </c>
      <c r="E5964" s="3" t="inlineStr">
        <is>
          <t>임원ㆍ주요주주특정증권등소유상황보고서</t>
        </is>
      </c>
      <c r="F5964" s="3" t="inlineStr">
        <is>
          <t>박우용</t>
        </is>
      </c>
      <c r="G5964" s="2" t="inlineStr">
        <is>
          <t>20260520000149</t>
        </is>
      </c>
      <c r="H5964" s="8">
        <f>HYPERLINK("https://dart.fss.or.kr/dsaf001/main.do?rcpNo=20260520000149", "공시열람")</f>
        <v/>
      </c>
    </row>
    <row r="5965">
      <c r="A5965" s="2" t="inlineStr">
        <is>
          <t>2026-05-20</t>
        </is>
      </c>
      <c r="B5965" s="3" t="inlineStr">
        <is>
          <t>NH투자증권</t>
        </is>
      </c>
      <c r="C5965" s="2" t="inlineStr">
        <is>
          <t>코스피</t>
        </is>
      </c>
      <c r="D5965" s="2" t="inlineStr">
        <is>
          <t>005940</t>
        </is>
      </c>
      <c r="E5965" s="3" t="inlineStr">
        <is>
          <t>일괄신고추가서류(파생결합증권-주가연계증권)</t>
        </is>
      </c>
      <c r="F5965" s="3" t="inlineStr">
        <is>
          <t>NH투자증권</t>
        </is>
      </c>
      <c r="G5965" s="2" t="inlineStr">
        <is>
          <t>20260520000148</t>
        </is>
      </c>
      <c r="H5965" s="8">
        <f>HYPERLINK("https://dart.fss.or.kr/dsaf001/main.do?rcpNo=20260520000148", "공시열람")</f>
        <v/>
      </c>
    </row>
    <row r="5966">
      <c r="A5966" s="2" t="inlineStr">
        <is>
          <t>2026-05-20</t>
        </is>
      </c>
      <c r="B5966" s="3" t="inlineStr">
        <is>
          <t>NH투자증권</t>
        </is>
      </c>
      <c r="C5966" s="2" t="inlineStr">
        <is>
          <t>코스피</t>
        </is>
      </c>
      <c r="D5966" s="2" t="inlineStr">
        <is>
          <t>005940</t>
        </is>
      </c>
      <c r="E5966" s="3" t="inlineStr">
        <is>
          <t>일괄신고추가서류(파생결합사채-주가연계파생결합사채)</t>
        </is>
      </c>
      <c r="F5966" s="3" t="inlineStr">
        <is>
          <t>NH투자증권</t>
        </is>
      </c>
      <c r="G5966" s="2" t="inlineStr">
        <is>
          <t>20260520000146</t>
        </is>
      </c>
      <c r="H5966" s="8">
        <f>HYPERLINK("https://dart.fss.or.kr/dsaf001/main.do?rcpNo=20260520000146", "공시열람")</f>
        <v/>
      </c>
    </row>
    <row r="5967">
      <c r="A5967" s="2" t="inlineStr">
        <is>
          <t>2026-05-20</t>
        </is>
      </c>
      <c r="B5967" s="3" t="inlineStr">
        <is>
          <t>NH투자증권</t>
        </is>
      </c>
      <c r="C5967" s="2" t="inlineStr">
        <is>
          <t>코스피</t>
        </is>
      </c>
      <c r="D5967" s="2" t="inlineStr">
        <is>
          <t>005940</t>
        </is>
      </c>
      <c r="E5967" s="3" t="inlineStr">
        <is>
          <t>투자설명서(일괄신고)</t>
        </is>
      </c>
      <c r="F5967" s="3" t="inlineStr">
        <is>
          <t>NH투자증권</t>
        </is>
      </c>
      <c r="G5967" s="2" t="inlineStr">
        <is>
          <t>20260520000145</t>
        </is>
      </c>
      <c r="H5967" s="8">
        <f>HYPERLINK("https://dart.fss.or.kr/dsaf001/main.do?rcpNo=20260520000145", "공시열람")</f>
        <v/>
      </c>
    </row>
    <row r="5968">
      <c r="A5968" s="2" t="inlineStr">
        <is>
          <t>2026-05-20</t>
        </is>
      </c>
      <c r="B5968" s="3" t="inlineStr">
        <is>
          <t>앱튼</t>
        </is>
      </c>
      <c r="C5968" s="2" t="inlineStr">
        <is>
          <t>코스닥</t>
        </is>
      </c>
      <c r="D5968" s="2" t="inlineStr">
        <is>
          <t>270520</t>
        </is>
      </c>
      <c r="E5968" s="3" t="inlineStr">
        <is>
          <t xml:space="preserve">증권발행결과(자율공시)              </t>
        </is>
      </c>
      <c r="F5968" s="3" t="inlineStr">
        <is>
          <t>앱튼</t>
        </is>
      </c>
      <c r="G5968" s="2" t="inlineStr">
        <is>
          <t>20260520900226</t>
        </is>
      </c>
      <c r="H5968" s="8">
        <f>HYPERLINK("https://dart.fss.or.kr/dsaf001/main.do?rcpNo=20260520900226", "공시열람")</f>
        <v/>
      </c>
    </row>
    <row r="5969">
      <c r="A5969" s="2" t="inlineStr">
        <is>
          <t>2026-05-20</t>
        </is>
      </c>
      <c r="B5969" s="3" t="inlineStr">
        <is>
          <t>옵티팜</t>
        </is>
      </c>
      <c r="C5969" s="2" t="inlineStr">
        <is>
          <t>코스닥</t>
        </is>
      </c>
      <c r="D5969" s="2" t="inlineStr">
        <is>
          <t>153710</t>
        </is>
      </c>
      <c r="E5969" s="3" t="inlineStr">
        <is>
          <t xml:space="preserve">기업설명회(IR)개최              </t>
        </is>
      </c>
      <c r="F5969" s="3" t="inlineStr">
        <is>
          <t>옵티팜</t>
        </is>
      </c>
      <c r="G5969" s="2" t="inlineStr">
        <is>
          <t>20260520900236</t>
        </is>
      </c>
      <c r="H5969" s="8">
        <f>HYPERLINK("https://dart.fss.or.kr/dsaf001/main.do?rcpNo=20260520900236", "공시열람")</f>
        <v/>
      </c>
    </row>
    <row r="5970">
      <c r="A5970" s="2" t="inlineStr">
        <is>
          <t>2026-05-20</t>
        </is>
      </c>
      <c r="B5970" s="3" t="inlineStr">
        <is>
          <t>폴레드</t>
        </is>
      </c>
      <c r="C5970" s="2" t="inlineStr">
        <is>
          <t>코스닥</t>
        </is>
      </c>
      <c r="D5970" s="2" t="inlineStr">
        <is>
          <t>487580</t>
        </is>
      </c>
      <c r="E5970" s="3" t="inlineStr">
        <is>
          <t>임원ㆍ주요주주특정증권등소유상황보고서</t>
        </is>
      </c>
      <c r="F5970" s="3" t="inlineStr">
        <is>
          <t>박동현</t>
        </is>
      </c>
      <c r="G5970" s="2" t="inlineStr">
        <is>
          <t>20260520000143</t>
        </is>
      </c>
      <c r="H5970" s="8">
        <f>HYPERLINK("https://dart.fss.or.kr/dsaf001/main.do?rcpNo=20260520000143", "공시열람")</f>
        <v/>
      </c>
    </row>
    <row r="5971">
      <c r="A5971" s="2" t="inlineStr">
        <is>
          <t>2026-05-20</t>
        </is>
      </c>
      <c r="B5971" s="3" t="inlineStr">
        <is>
          <t>NH투자증권</t>
        </is>
      </c>
      <c r="C5971" s="2" t="inlineStr">
        <is>
          <t>코스피</t>
        </is>
      </c>
      <c r="D5971" s="2" t="inlineStr">
        <is>
          <t>005940</t>
        </is>
      </c>
      <c r="E5971" s="3" t="inlineStr">
        <is>
          <t>투자설명서(일괄신고)</t>
        </is>
      </c>
      <c r="F5971" s="3" t="inlineStr">
        <is>
          <t>NH투자증권</t>
        </is>
      </c>
      <c r="G5971" s="2" t="inlineStr">
        <is>
          <t>20260520000135</t>
        </is>
      </c>
      <c r="H5971" s="8">
        <f>HYPERLINK("https://dart.fss.or.kr/dsaf001/main.do?rcpNo=20260520000135", "공시열람")</f>
        <v/>
      </c>
    </row>
    <row r="5972">
      <c r="A5972" s="2" t="inlineStr">
        <is>
          <t>2026-05-20</t>
        </is>
      </c>
      <c r="B5972" s="3" t="inlineStr">
        <is>
          <t>한화투자증권</t>
        </is>
      </c>
      <c r="C5972" s="2" t="inlineStr">
        <is>
          <t>코스피</t>
        </is>
      </c>
      <c r="D5972" s="2" t="inlineStr">
        <is>
          <t>003530</t>
        </is>
      </c>
      <c r="E5972" s="3" t="inlineStr">
        <is>
          <t>투자설명서(일괄신고)</t>
        </is>
      </c>
      <c r="F5972" s="3" t="inlineStr">
        <is>
          <t>한화투자증권</t>
        </is>
      </c>
      <c r="G5972" s="2" t="inlineStr">
        <is>
          <t>20260520000133</t>
        </is>
      </c>
      <c r="H5972" s="8">
        <f>HYPERLINK("https://dart.fss.or.kr/dsaf001/main.do?rcpNo=20260520000133", "공시열람")</f>
        <v/>
      </c>
    </row>
    <row r="5973">
      <c r="A5973" s="2" t="inlineStr">
        <is>
          <t>2026-05-20</t>
        </is>
      </c>
      <c r="B5973" s="3" t="inlineStr">
        <is>
          <t>알비더블유</t>
        </is>
      </c>
      <c r="C5973" s="2" t="inlineStr">
        <is>
          <t>코스닥</t>
        </is>
      </c>
      <c r="D5973" s="2" t="inlineStr">
        <is>
          <t>361570</t>
        </is>
      </c>
      <c r="E5973" s="3" t="inlineStr">
        <is>
          <t>임원ㆍ주요주주특정증권등소유상황보고서</t>
        </is>
      </c>
      <c r="F5973" s="3" t="inlineStr">
        <is>
          <t>김도훈</t>
        </is>
      </c>
      <c r="G5973" s="2" t="inlineStr">
        <is>
          <t>20260520000129</t>
        </is>
      </c>
      <c r="H5973" s="8">
        <f>HYPERLINK("https://dart.fss.or.kr/dsaf001/main.do?rcpNo=20260520000129", "공시열람")</f>
        <v/>
      </c>
    </row>
    <row r="5974">
      <c r="A5974" s="2" t="inlineStr">
        <is>
          <t>2026-05-20</t>
        </is>
      </c>
      <c r="B5974" s="3" t="inlineStr">
        <is>
          <t>디앤디플랫폼리츠</t>
        </is>
      </c>
      <c r="C5974" s="2" t="inlineStr">
        <is>
          <t>코스피</t>
        </is>
      </c>
      <c r="D5974" s="2" t="inlineStr">
        <is>
          <t>377190</t>
        </is>
      </c>
      <c r="E5974" s="3" t="inlineStr">
        <is>
          <t xml:space="preserve">부동산투자회사자금차입              </t>
        </is>
      </c>
      <c r="F5974" s="3" t="inlineStr">
        <is>
          <t>디앤디플랫폼리츠</t>
        </is>
      </c>
      <c r="G5974" s="2" t="inlineStr">
        <is>
          <t>20260520800211</t>
        </is>
      </c>
      <c r="H5974" s="8">
        <f>HYPERLINK("https://dart.fss.or.kr/dsaf001/main.do?rcpNo=20260520800211", "공시열람")</f>
        <v/>
      </c>
    </row>
    <row r="5975">
      <c r="A5975" s="2" t="inlineStr">
        <is>
          <t>2026-05-20</t>
        </is>
      </c>
      <c r="B5975" s="3" t="inlineStr">
        <is>
          <t>에스테크엠</t>
        </is>
      </c>
      <c r="C5975" s="2" t="inlineStr">
        <is>
          <t>코넥스</t>
        </is>
      </c>
      <c r="D5975" s="2" t="inlineStr">
        <is>
          <t>0070X0</t>
        </is>
      </c>
      <c r="E5975" s="3" t="inlineStr">
        <is>
          <t>임원ㆍ주요주주특정증권등소유상황보고서</t>
        </is>
      </c>
      <c r="F5975" s="3" t="inlineStr">
        <is>
          <t>아르떼투자조합</t>
        </is>
      </c>
      <c r="G5975" s="2" t="inlineStr">
        <is>
          <t>20260520000118</t>
        </is>
      </c>
      <c r="H5975" s="8">
        <f>HYPERLINK("https://dart.fss.or.kr/dsaf001/main.do?rcpNo=20260520000118", "공시열람")</f>
        <v/>
      </c>
    </row>
    <row r="5976">
      <c r="A5976" s="2" t="inlineStr">
        <is>
          <t>2026-05-20</t>
        </is>
      </c>
      <c r="B5976" s="3" t="inlineStr">
        <is>
          <t>폴레드</t>
        </is>
      </c>
      <c r="C5976" s="2" t="inlineStr">
        <is>
          <t>코스닥</t>
        </is>
      </c>
      <c r="D5976" s="2" t="inlineStr">
        <is>
          <t>487580</t>
        </is>
      </c>
      <c r="E5976" s="3" t="inlineStr">
        <is>
          <t>임원ㆍ주요주주특정증권등소유상황보고서</t>
        </is>
      </c>
      <c r="F5976" s="3" t="inlineStr">
        <is>
          <t>정세영</t>
        </is>
      </c>
      <c r="G5976" s="2" t="inlineStr">
        <is>
          <t>20260520000116</t>
        </is>
      </c>
      <c r="H5976" s="8">
        <f>HYPERLINK("https://dart.fss.or.kr/dsaf001/main.do?rcpNo=20260520000116", "공시열람")</f>
        <v/>
      </c>
    </row>
    <row r="5977">
      <c r="A5977" s="2" t="inlineStr">
        <is>
          <t>2026-05-20</t>
        </is>
      </c>
      <c r="B5977" s="3" t="inlineStr">
        <is>
          <t>폴레드</t>
        </is>
      </c>
      <c r="C5977" s="2" t="inlineStr">
        <is>
          <t>코스닥</t>
        </is>
      </c>
      <c r="D5977" s="2" t="inlineStr">
        <is>
          <t>487580</t>
        </is>
      </c>
      <c r="E5977" s="3" t="inlineStr">
        <is>
          <t>임원ㆍ주요주주특정증권등소유상황보고서</t>
        </is>
      </c>
      <c r="F5977" s="3" t="inlineStr">
        <is>
          <t>강석준</t>
        </is>
      </c>
      <c r="G5977" s="2" t="inlineStr">
        <is>
          <t>20260520000114</t>
        </is>
      </c>
      <c r="H5977" s="8">
        <f>HYPERLINK("https://dart.fss.or.kr/dsaf001/main.do?rcpNo=20260520000114", "공시열람")</f>
        <v/>
      </c>
    </row>
    <row r="5978">
      <c r="A5978" s="2" t="inlineStr">
        <is>
          <t>2026-05-20</t>
        </is>
      </c>
      <c r="B5978" s="3" t="inlineStr">
        <is>
          <t>폴레드</t>
        </is>
      </c>
      <c r="C5978" s="2" t="inlineStr">
        <is>
          <t>코스닥</t>
        </is>
      </c>
      <c r="D5978" s="2" t="inlineStr">
        <is>
          <t>487580</t>
        </is>
      </c>
      <c r="E5978" s="3" t="inlineStr">
        <is>
          <t>임원ㆍ주요주주특정증권등소유상황보고서</t>
        </is>
      </c>
      <c r="F5978" s="3" t="inlineStr">
        <is>
          <t>이인주</t>
        </is>
      </c>
      <c r="G5978" s="2" t="inlineStr">
        <is>
          <t>20260520000113</t>
        </is>
      </c>
      <c r="H5978" s="8">
        <f>HYPERLINK("https://dart.fss.or.kr/dsaf001/main.do?rcpNo=20260520000113", "공시열람")</f>
        <v/>
      </c>
    </row>
    <row r="5979">
      <c r="A5979" s="2" t="inlineStr">
        <is>
          <t>2026-05-20</t>
        </is>
      </c>
      <c r="B5979" s="3" t="inlineStr">
        <is>
          <t>폴레드</t>
        </is>
      </c>
      <c r="C5979" s="2" t="inlineStr">
        <is>
          <t>코스닥</t>
        </is>
      </c>
      <c r="D5979" s="2" t="inlineStr">
        <is>
          <t>487580</t>
        </is>
      </c>
      <c r="E5979" s="3" t="inlineStr">
        <is>
          <t>임원ㆍ주요주주특정증권등소유상황보고서</t>
        </is>
      </c>
      <c r="F5979" s="3" t="inlineStr">
        <is>
          <t>이형무</t>
        </is>
      </c>
      <c r="G5979" s="2" t="inlineStr">
        <is>
          <t>20260520000108</t>
        </is>
      </c>
      <c r="H5979" s="8">
        <f>HYPERLINK("https://dart.fss.or.kr/dsaf001/main.do?rcpNo=20260520000108", "공시열람")</f>
        <v/>
      </c>
    </row>
    <row r="5980">
      <c r="A5980" s="2" t="inlineStr">
        <is>
          <t>2026-05-20</t>
        </is>
      </c>
      <c r="B5980" s="3" t="inlineStr">
        <is>
          <t>NH투자증권</t>
        </is>
      </c>
      <c r="C5980" s="2" t="inlineStr">
        <is>
          <t>코스피</t>
        </is>
      </c>
      <c r="D5980" s="2" t="inlineStr">
        <is>
          <t>005940</t>
        </is>
      </c>
      <c r="E5980" s="3" t="inlineStr">
        <is>
          <t>일괄신고추가서류(파생결합사채-주가연계파생결합사채)</t>
        </is>
      </c>
      <c r="F5980" s="3" t="inlineStr">
        <is>
          <t>NH투자증권</t>
        </is>
      </c>
      <c r="G5980" s="2" t="inlineStr">
        <is>
          <t>20260520000104</t>
        </is>
      </c>
      <c r="H5980" s="8">
        <f>HYPERLINK("https://dart.fss.or.kr/dsaf001/main.do?rcpNo=20260520000104", "공시열람")</f>
        <v/>
      </c>
    </row>
    <row r="5981">
      <c r="A5981" s="2" t="inlineStr">
        <is>
          <t>2026-05-20</t>
        </is>
      </c>
      <c r="B5981" s="3" t="inlineStr">
        <is>
          <t>NH투자증권</t>
        </is>
      </c>
      <c r="C5981" s="2" t="inlineStr">
        <is>
          <t>코스피</t>
        </is>
      </c>
      <c r="D5981" s="2" t="inlineStr">
        <is>
          <t>005940</t>
        </is>
      </c>
      <c r="E5981" s="3" t="inlineStr">
        <is>
          <t>일괄신고추가서류(파생결합증권-주가연계증권)</t>
        </is>
      </c>
      <c r="F5981" s="3" t="inlineStr">
        <is>
          <t>NH투자증권</t>
        </is>
      </c>
      <c r="G5981" s="2" t="inlineStr">
        <is>
          <t>20260520000103</t>
        </is>
      </c>
      <c r="H5981" s="8">
        <f>HYPERLINK("https://dart.fss.or.kr/dsaf001/main.do?rcpNo=20260520000103", "공시열람")</f>
        <v/>
      </c>
    </row>
    <row r="5982">
      <c r="A5982" s="2" t="inlineStr">
        <is>
          <t>2026-05-20</t>
        </is>
      </c>
      <c r="B5982" s="3" t="inlineStr">
        <is>
          <t>바이오비쥬</t>
        </is>
      </c>
      <c r="C5982" s="2" t="inlineStr">
        <is>
          <t>코스닥</t>
        </is>
      </c>
      <c r="D5982" s="2" t="inlineStr">
        <is>
          <t>489460</t>
        </is>
      </c>
      <c r="E5982" s="3" t="inlineStr">
        <is>
          <t xml:space="preserve">기업설명회(IR)개최              </t>
        </is>
      </c>
      <c r="F5982" s="3" t="inlineStr">
        <is>
          <t>바이오비쥬</t>
        </is>
      </c>
      <c r="G5982" s="2" t="inlineStr">
        <is>
          <t>20260520900174</t>
        </is>
      </c>
      <c r="H5982" s="8">
        <f>HYPERLINK("https://dart.fss.or.kr/dsaf001/main.do?rcpNo=20260520900174", "공시열람")</f>
        <v/>
      </c>
    </row>
    <row r="5983">
      <c r="A5983" s="2" t="inlineStr">
        <is>
          <t>2026-05-20</t>
        </is>
      </c>
      <c r="B5983" s="3" t="inlineStr">
        <is>
          <t>베셀</t>
        </is>
      </c>
      <c r="C5983" s="2" t="inlineStr">
        <is>
          <t>코스닥</t>
        </is>
      </c>
      <c r="D5983" s="2" t="inlineStr">
        <is>
          <t>177350</t>
        </is>
      </c>
      <c r="E5983" s="3" t="inlineStr">
        <is>
          <t>자기주식처분결과보고서</t>
        </is>
      </c>
      <c r="F5983" s="3" t="inlineStr">
        <is>
          <t>베셀</t>
        </is>
      </c>
      <c r="G5983" s="2" t="inlineStr">
        <is>
          <t>20260520000102</t>
        </is>
      </c>
      <c r="H5983" s="8">
        <f>HYPERLINK("https://dart.fss.or.kr/dsaf001/main.do?rcpNo=20260520000102", "공시열람")</f>
        <v/>
      </c>
    </row>
    <row r="5984">
      <c r="A5984" s="2" t="inlineStr">
        <is>
          <t>2026-05-20</t>
        </is>
      </c>
      <c r="B5984" s="3" t="inlineStr">
        <is>
          <t>키움증권</t>
        </is>
      </c>
      <c r="C5984" s="2" t="inlineStr">
        <is>
          <t>코스피</t>
        </is>
      </c>
      <c r="D5984" s="2" t="inlineStr">
        <is>
          <t>039490</t>
        </is>
      </c>
      <c r="E5984" s="3" t="inlineStr">
        <is>
          <t>일괄신고추가서류(파생결합사채-주가연계파생결합사채)</t>
        </is>
      </c>
      <c r="F5984" s="3" t="inlineStr">
        <is>
          <t>키움증권</t>
        </is>
      </c>
      <c r="G5984" s="2" t="inlineStr">
        <is>
          <t>20260520000100</t>
        </is>
      </c>
      <c r="H5984" s="8">
        <f>HYPERLINK("https://dart.fss.or.kr/dsaf001/main.do?rcpNo=20260520000100", "공시열람")</f>
        <v/>
      </c>
    </row>
    <row r="5985">
      <c r="A5985" s="2" t="inlineStr">
        <is>
          <t>2026-05-20</t>
        </is>
      </c>
      <c r="B5985" s="3" t="inlineStr">
        <is>
          <t>지에프씨생명과학</t>
        </is>
      </c>
      <c r="C5985" s="2" t="inlineStr">
        <is>
          <t>코스닥</t>
        </is>
      </c>
      <c r="D5985" s="2" t="inlineStr">
        <is>
          <t>388610</t>
        </is>
      </c>
      <c r="E5985" s="3" t="inlineStr">
        <is>
          <t xml:space="preserve">기업설명회(IR)개최              </t>
        </is>
      </c>
      <c r="F5985" s="3" t="inlineStr">
        <is>
          <t>지에프씨생명과학</t>
        </is>
      </c>
      <c r="G5985" s="2" t="inlineStr">
        <is>
          <t>20260520900165</t>
        </is>
      </c>
      <c r="H5985" s="8">
        <f>HYPERLINK("https://dart.fss.or.kr/dsaf001/main.do?rcpNo=20260520900165", "공시열람")</f>
        <v/>
      </c>
    </row>
    <row r="5986">
      <c r="A5986" s="2" t="inlineStr">
        <is>
          <t>2026-05-20</t>
        </is>
      </c>
      <c r="B5986" s="3" t="inlineStr">
        <is>
          <t>삼성FN리츠</t>
        </is>
      </c>
      <c r="C5986" s="2" t="inlineStr">
        <is>
          <t>코스피</t>
        </is>
      </c>
      <c r="D5986" s="2" t="inlineStr">
        <is>
          <t>448730</t>
        </is>
      </c>
      <c r="E5986" s="3" t="inlineStr">
        <is>
          <t xml:space="preserve">부동산투자회사부동산임대              </t>
        </is>
      </c>
      <c r="F5986" s="3" t="inlineStr">
        <is>
          <t>삼성FN리츠</t>
        </is>
      </c>
      <c r="G5986" s="2" t="inlineStr">
        <is>
          <t>20260520800164</t>
        </is>
      </c>
      <c r="H5986" s="8">
        <f>HYPERLINK("https://dart.fss.or.kr/dsaf001/main.do?rcpNo=20260520800164", "공시열람")</f>
        <v/>
      </c>
    </row>
    <row r="5987">
      <c r="A5987" s="2" t="inlineStr">
        <is>
          <t>2026-05-20</t>
        </is>
      </c>
      <c r="B5987" s="3" t="inlineStr">
        <is>
          <t>한화투자증권</t>
        </is>
      </c>
      <c r="C5987" s="2" t="inlineStr">
        <is>
          <t>코스피</t>
        </is>
      </c>
      <c r="D5987" s="2" t="inlineStr">
        <is>
          <t>003530</t>
        </is>
      </c>
      <c r="E5987" s="3" t="inlineStr">
        <is>
          <t>투자설명서(일괄신고)</t>
        </is>
      </c>
      <c r="F5987" s="3" t="inlineStr">
        <is>
          <t>한화투자증권</t>
        </is>
      </c>
      <c r="G5987" s="2" t="inlineStr">
        <is>
          <t>20260520000095</t>
        </is>
      </c>
      <c r="H5987" s="8">
        <f>HYPERLINK("https://dart.fss.or.kr/dsaf001/main.do?rcpNo=20260520000095", "공시열람")</f>
        <v/>
      </c>
    </row>
    <row r="5988">
      <c r="A5988" s="2" t="inlineStr">
        <is>
          <t>2026-05-20</t>
        </is>
      </c>
      <c r="B5988" s="3" t="inlineStr">
        <is>
          <t>키움증권</t>
        </is>
      </c>
      <c r="C5988" s="2" t="inlineStr">
        <is>
          <t>코스피</t>
        </is>
      </c>
      <c r="D5988" s="2" t="inlineStr">
        <is>
          <t>039490</t>
        </is>
      </c>
      <c r="E5988" s="3" t="inlineStr">
        <is>
          <t>일괄신고추가서류(파생결합사채-주가연계파생결합사채)</t>
        </is>
      </c>
      <c r="F5988" s="3" t="inlineStr">
        <is>
          <t>키움증권</t>
        </is>
      </c>
      <c r="G5988" s="2" t="inlineStr">
        <is>
          <t>20260520000091</t>
        </is>
      </c>
      <c r="H5988" s="8">
        <f>HYPERLINK("https://dart.fss.or.kr/dsaf001/main.do?rcpNo=20260520000091", "공시열람")</f>
        <v/>
      </c>
    </row>
    <row r="5989">
      <c r="A5989" s="2" t="inlineStr">
        <is>
          <t>2026-05-20</t>
        </is>
      </c>
      <c r="B5989" s="3" t="inlineStr">
        <is>
          <t>한화투자증권</t>
        </is>
      </c>
      <c r="C5989" s="2" t="inlineStr">
        <is>
          <t>코스피</t>
        </is>
      </c>
      <c r="D5989" s="2" t="inlineStr">
        <is>
          <t>003530</t>
        </is>
      </c>
      <c r="E5989" s="3" t="inlineStr">
        <is>
          <t>일괄신고추가서류(기타파생결합사채)</t>
        </is>
      </c>
      <c r="F5989" s="3" t="inlineStr">
        <is>
          <t>한화투자증권</t>
        </is>
      </c>
      <c r="G5989" s="2" t="inlineStr">
        <is>
          <t>20260520000088</t>
        </is>
      </c>
      <c r="H5989" s="8">
        <f>HYPERLINK("https://dart.fss.or.kr/dsaf001/main.do?rcpNo=20260520000088", "공시열람")</f>
        <v/>
      </c>
    </row>
    <row r="5990">
      <c r="A5990" s="2" t="inlineStr">
        <is>
          <t>2026-05-20</t>
        </is>
      </c>
      <c r="B5990" s="3" t="inlineStr">
        <is>
          <t>한화투자증권</t>
        </is>
      </c>
      <c r="C5990" s="2" t="inlineStr">
        <is>
          <t>코스피</t>
        </is>
      </c>
      <c r="D5990" s="2" t="inlineStr">
        <is>
          <t>003530</t>
        </is>
      </c>
      <c r="E5990" s="3" t="inlineStr">
        <is>
          <t>일괄신고추가서류(파생결합증권-주가연계증권)</t>
        </is>
      </c>
      <c r="F5990" s="3" t="inlineStr">
        <is>
          <t>한화투자증권</t>
        </is>
      </c>
      <c r="G5990" s="2" t="inlineStr">
        <is>
          <t>20260520000087</t>
        </is>
      </c>
      <c r="H5990" s="8">
        <f>HYPERLINK("https://dart.fss.or.kr/dsaf001/main.do?rcpNo=20260520000087", "공시열람")</f>
        <v/>
      </c>
    </row>
    <row r="5991">
      <c r="A5991" s="2" t="inlineStr">
        <is>
          <t>2026-05-20</t>
        </is>
      </c>
      <c r="B5991" s="3" t="inlineStr">
        <is>
          <t>엠씨넥스</t>
        </is>
      </c>
      <c r="C5991" s="2" t="inlineStr">
        <is>
          <t>코스피</t>
        </is>
      </c>
      <c r="D5991" s="2" t="inlineStr">
        <is>
          <t>097520</t>
        </is>
      </c>
      <c r="E5991" s="3" t="inlineStr">
        <is>
          <t>임원ㆍ주요주주특정증권등소유상황보고서</t>
        </is>
      </c>
      <c r="F5991" s="3" t="inlineStr">
        <is>
          <t>민동욱</t>
        </is>
      </c>
      <c r="G5991" s="2" t="inlineStr">
        <is>
          <t>20260520000086</t>
        </is>
      </c>
      <c r="H5991" s="8">
        <f>HYPERLINK("https://dart.fss.or.kr/dsaf001/main.do?rcpNo=20260520000086", "공시열람")</f>
        <v/>
      </c>
    </row>
    <row r="5992">
      <c r="A5992" s="2" t="inlineStr">
        <is>
          <t>2026-05-20</t>
        </is>
      </c>
      <c r="B5992" s="3" t="inlineStr">
        <is>
          <t>키움증권</t>
        </is>
      </c>
      <c r="C5992" s="2" t="inlineStr">
        <is>
          <t>코스피</t>
        </is>
      </c>
      <c r="D5992" s="2" t="inlineStr">
        <is>
          <t>039490</t>
        </is>
      </c>
      <c r="E5992" s="3" t="inlineStr">
        <is>
          <t>일괄신고추가서류(파생결합증권-주가연계증권)</t>
        </is>
      </c>
      <c r="F5992" s="3" t="inlineStr">
        <is>
          <t>키움증권</t>
        </is>
      </c>
      <c r="G5992" s="2" t="inlineStr">
        <is>
          <t>20260520000085</t>
        </is>
      </c>
      <c r="H5992" s="8">
        <f>HYPERLINK("https://dart.fss.or.kr/dsaf001/main.do?rcpNo=20260520000085", "공시열람")</f>
        <v/>
      </c>
    </row>
    <row r="5993">
      <c r="A5993" s="2" t="inlineStr">
        <is>
          <t>2026-05-20</t>
        </is>
      </c>
      <c r="B5993" s="3" t="inlineStr">
        <is>
          <t>유한양행</t>
        </is>
      </c>
      <c r="C5993" s="2" t="inlineStr">
        <is>
          <t>코스피</t>
        </is>
      </c>
      <c r="D5993" s="2" t="inlineStr">
        <is>
          <t>000100</t>
        </is>
      </c>
      <c r="E5993" s="3" t="inlineStr">
        <is>
          <t xml:space="preserve">기업설명회(IR)개최(안내공시)              </t>
        </is>
      </c>
      <c r="F5993" s="3" t="inlineStr">
        <is>
          <t>유한양행</t>
        </is>
      </c>
      <c r="G5993" s="2" t="inlineStr">
        <is>
          <t>20260520800160</t>
        </is>
      </c>
      <c r="H5993" s="8">
        <f>HYPERLINK("https://dart.fss.or.kr/dsaf001/main.do?rcpNo=20260520800160", "공시열람")</f>
        <v/>
      </c>
    </row>
    <row r="5994">
      <c r="A5994" s="2" t="inlineStr">
        <is>
          <t>2026-05-20</t>
        </is>
      </c>
      <c r="B5994" s="3" t="inlineStr">
        <is>
          <t>키움증권</t>
        </is>
      </c>
      <c r="C5994" s="2" t="inlineStr">
        <is>
          <t>코스피</t>
        </is>
      </c>
      <c r="D5994" s="2" t="inlineStr">
        <is>
          <t>039490</t>
        </is>
      </c>
      <c r="E5994" s="3" t="inlineStr">
        <is>
          <t>일괄신고추가서류(기타파생결합사채)</t>
        </is>
      </c>
      <c r="F5994" s="3" t="inlineStr">
        <is>
          <t>키움증권</t>
        </is>
      </c>
      <c r="G5994" s="2" t="inlineStr">
        <is>
          <t>20260520000077</t>
        </is>
      </c>
      <c r="H5994" s="8">
        <f>HYPERLINK("https://dart.fss.or.kr/dsaf001/main.do?rcpNo=20260520000077", "공시열람")</f>
        <v/>
      </c>
    </row>
    <row r="5995">
      <c r="A5995" s="2" t="inlineStr">
        <is>
          <t>2026-05-20</t>
        </is>
      </c>
      <c r="B5995" s="3" t="inlineStr">
        <is>
          <t>키움증권</t>
        </is>
      </c>
      <c r="C5995" s="2" t="inlineStr">
        <is>
          <t>코스피</t>
        </is>
      </c>
      <c r="D5995" s="2" t="inlineStr">
        <is>
          <t>039490</t>
        </is>
      </c>
      <c r="E5995" s="3" t="inlineStr">
        <is>
          <t>일괄신고추가서류(파생결합사채-주가연계파생결합사채)</t>
        </is>
      </c>
      <c r="F5995" s="3" t="inlineStr">
        <is>
          <t>키움증권</t>
        </is>
      </c>
      <c r="G5995" s="2" t="inlineStr">
        <is>
          <t>20260520000071</t>
        </is>
      </c>
      <c r="H5995" s="8">
        <f>HYPERLINK("https://dart.fss.or.kr/dsaf001/main.do?rcpNo=20260520000071", "공시열람")</f>
        <v/>
      </c>
    </row>
    <row r="5996">
      <c r="A5996" s="2" t="inlineStr">
        <is>
          <t>2026-05-20</t>
        </is>
      </c>
      <c r="B5996" s="3" t="inlineStr">
        <is>
          <t>롯데웰푸드</t>
        </is>
      </c>
      <c r="C5996" s="2" t="inlineStr">
        <is>
          <t>코스피</t>
        </is>
      </c>
      <c r="D5996" s="2" t="inlineStr">
        <is>
          <t>280360</t>
        </is>
      </c>
      <c r="E5996" s="3" t="inlineStr">
        <is>
          <t xml:space="preserve">기업설명회(IR)개최(안내공시)              </t>
        </is>
      </c>
      <c r="F5996" s="3" t="inlineStr">
        <is>
          <t>롯데웰푸드</t>
        </is>
      </c>
      <c r="G5996" s="2" t="inlineStr">
        <is>
          <t>20260520800143</t>
        </is>
      </c>
      <c r="H5996" s="8">
        <f>HYPERLINK("https://dart.fss.or.kr/dsaf001/main.do?rcpNo=20260520800143", "공시열람")</f>
        <v/>
      </c>
    </row>
    <row r="5997">
      <c r="A5997" s="2" t="inlineStr">
        <is>
          <t>2026-05-20</t>
        </is>
      </c>
      <c r="B5997" s="3" t="inlineStr">
        <is>
          <t>아이티센글로벌</t>
        </is>
      </c>
      <c r="C5997" s="2" t="inlineStr">
        <is>
          <t>코스닥</t>
        </is>
      </c>
      <c r="D5997" s="2" t="inlineStr">
        <is>
          <t>124500</t>
        </is>
      </c>
      <c r="E5997" s="3" t="inlineStr">
        <is>
          <t xml:space="preserve">기업설명회(IR)개최              </t>
        </is>
      </c>
      <c r="F5997" s="3" t="inlineStr">
        <is>
          <t>아이티센글로벌</t>
        </is>
      </c>
      <c r="G5997" s="2" t="inlineStr">
        <is>
          <t>20260520900127</t>
        </is>
      </c>
      <c r="H5997" s="8">
        <f>HYPERLINK("https://dart.fss.or.kr/dsaf001/main.do?rcpNo=20260520900127", "공시열람")</f>
        <v/>
      </c>
    </row>
    <row r="5998">
      <c r="A5998" s="2" t="inlineStr">
        <is>
          <t>2026-05-20</t>
        </is>
      </c>
      <c r="B5998" s="3" t="inlineStr">
        <is>
          <t>이엔셀</t>
        </is>
      </c>
      <c r="C5998" s="2" t="inlineStr">
        <is>
          <t>코스닥</t>
        </is>
      </c>
      <c r="D5998" s="2" t="inlineStr">
        <is>
          <t>456070</t>
        </is>
      </c>
      <c r="E5998" s="3" t="inlineStr">
        <is>
          <t>임원ㆍ주요주주특정증권등소유상황보고서</t>
        </is>
      </c>
      <c r="F5998" s="3" t="inlineStr">
        <is>
          <t>백광문</t>
        </is>
      </c>
      <c r="G5998" s="2" t="inlineStr">
        <is>
          <t>20260520000056</t>
        </is>
      </c>
      <c r="H5998" s="8">
        <f>HYPERLINK("https://dart.fss.or.kr/dsaf001/main.do?rcpNo=20260520000056", "공시열람")</f>
        <v/>
      </c>
    </row>
    <row r="5999">
      <c r="A5999" s="2" t="inlineStr">
        <is>
          <t>2026-05-20</t>
        </is>
      </c>
      <c r="B5999" s="3" t="inlineStr">
        <is>
          <t>HLB제넥스</t>
        </is>
      </c>
      <c r="C5999" s="2" t="inlineStr">
        <is>
          <t>코스닥</t>
        </is>
      </c>
      <c r="D5999" s="2" t="inlineStr">
        <is>
          <t>187420</t>
        </is>
      </c>
      <c r="E5999" s="3" t="inlineStr">
        <is>
          <t>임원ㆍ주요주주특정증권등소유상황보고서</t>
        </is>
      </c>
      <c r="F5999" s="3" t="inlineStr">
        <is>
          <t>김도연</t>
        </is>
      </c>
      <c r="G5999" s="2" t="inlineStr">
        <is>
          <t>20260520000050</t>
        </is>
      </c>
      <c r="H5999" s="8">
        <f>HYPERLINK("https://dart.fss.or.kr/dsaf001/main.do?rcpNo=20260520000050", "공시열람")</f>
        <v/>
      </c>
    </row>
    <row r="6000">
      <c r="A6000" s="2" t="inlineStr">
        <is>
          <t>2026-05-20</t>
        </is>
      </c>
      <c r="B6000" s="3" t="inlineStr">
        <is>
          <t>셀리드</t>
        </is>
      </c>
      <c r="C6000" s="2" t="inlineStr">
        <is>
          <t>코스닥</t>
        </is>
      </c>
      <c r="D6000" s="2" t="inlineStr">
        <is>
          <t>299660</t>
        </is>
      </c>
      <c r="E6000" s="3" t="inlineStr">
        <is>
          <t>임원ㆍ주요주주특정증권등소유상황보고서</t>
        </is>
      </c>
      <c r="F6000" s="3" t="inlineStr">
        <is>
          <t>강창율</t>
        </is>
      </c>
      <c r="G6000" s="2" t="inlineStr">
        <is>
          <t>20260520000029</t>
        </is>
      </c>
      <c r="H6000" s="8">
        <f>HYPERLINK("https://dart.fss.or.kr/dsaf001/main.do?rcpNo=20260520000029", "공시열람")</f>
        <v/>
      </c>
    </row>
    <row r="6001">
      <c r="A6001" s="2" t="inlineStr">
        <is>
          <t>2026-05-20</t>
        </is>
      </c>
      <c r="B6001" s="3" t="inlineStr">
        <is>
          <t>키움증권</t>
        </is>
      </c>
      <c r="C6001" s="2" t="inlineStr">
        <is>
          <t>코스피</t>
        </is>
      </c>
      <c r="D6001" s="2" t="inlineStr">
        <is>
          <t>039490</t>
        </is>
      </c>
      <c r="E6001" s="3" t="inlineStr">
        <is>
          <t>일괄신고추가서류(파생결합사채-주가연계파생결합사채)</t>
        </is>
      </c>
      <c r="F6001" s="3" t="inlineStr">
        <is>
          <t>키움증권</t>
        </is>
      </c>
      <c r="G6001" s="2" t="inlineStr">
        <is>
          <t>20260520000028</t>
        </is>
      </c>
      <c r="H6001" s="8">
        <f>HYPERLINK("https://dart.fss.or.kr/dsaf001/main.do?rcpNo=20260520000028", "공시열람")</f>
        <v/>
      </c>
    </row>
    <row r="6002">
      <c r="A6002" s="2" t="inlineStr">
        <is>
          <t>2026-05-20</t>
        </is>
      </c>
      <c r="B6002" s="3" t="inlineStr">
        <is>
          <t>이노테나</t>
        </is>
      </c>
      <c r="C6002" s="2" t="inlineStr">
        <is>
          <t>코스닥</t>
        </is>
      </c>
      <c r="D6002" s="2" t="inlineStr">
        <is>
          <t>333050</t>
        </is>
      </c>
      <c r="E6002" s="3" t="inlineStr">
        <is>
          <t>임원ㆍ주요주주특정증권등소유상황보고서</t>
        </is>
      </c>
      <c r="F6002" s="3" t="inlineStr">
        <is>
          <t>조천희</t>
        </is>
      </c>
      <c r="G6002" s="2" t="inlineStr">
        <is>
          <t>20260520000023</t>
        </is>
      </c>
      <c r="H6002" s="8">
        <f>HYPERLINK("https://dart.fss.or.kr/dsaf001/main.do?rcpNo=20260520000023", "공시열람")</f>
        <v/>
      </c>
    </row>
    <row r="6003">
      <c r="A6003" s="2" t="inlineStr">
        <is>
          <t>2026-05-20</t>
        </is>
      </c>
      <c r="B6003" s="3" t="inlineStr">
        <is>
          <t>이노테나</t>
        </is>
      </c>
      <c r="C6003" s="2" t="inlineStr">
        <is>
          <t>코스닥</t>
        </is>
      </c>
      <c r="D6003" s="2" t="inlineStr">
        <is>
          <t>333050</t>
        </is>
      </c>
      <c r="E6003" s="3" t="inlineStr">
        <is>
          <t>임원ㆍ주요주주특정증권등소유상황보고서</t>
        </is>
      </c>
      <c r="F6003" s="3" t="inlineStr">
        <is>
          <t>윤영호</t>
        </is>
      </c>
      <c r="G6003" s="2" t="inlineStr">
        <is>
          <t>20260520000021</t>
        </is>
      </c>
      <c r="H6003" s="8">
        <f>HYPERLINK("https://dart.fss.or.kr/dsaf001/main.do?rcpNo=20260520000021", "공시열람")</f>
        <v/>
      </c>
    </row>
    <row r="6004">
      <c r="A6004" s="2" t="inlineStr">
        <is>
          <t>2026-05-20</t>
        </is>
      </c>
      <c r="B6004" s="3" t="inlineStr">
        <is>
          <t>쎄크</t>
        </is>
      </c>
      <c r="C6004" s="2" t="inlineStr">
        <is>
          <t>코스닥</t>
        </is>
      </c>
      <c r="D6004" s="2" t="inlineStr">
        <is>
          <t>081180</t>
        </is>
      </c>
      <c r="E6004" s="3" t="inlineStr">
        <is>
          <t xml:space="preserve">기업설명회(IR)개최              </t>
        </is>
      </c>
      <c r="F6004" s="3" t="inlineStr">
        <is>
          <t>쎄크</t>
        </is>
      </c>
      <c r="G6004" s="2" t="inlineStr">
        <is>
          <t>20260520900093</t>
        </is>
      </c>
      <c r="H6004" s="8">
        <f>HYPERLINK("https://dart.fss.or.kr/dsaf001/main.do?rcpNo=20260520900093", "공시열람")</f>
        <v/>
      </c>
    </row>
    <row r="6005">
      <c r="A6005" s="2" t="inlineStr">
        <is>
          <t>2026-05-20</t>
        </is>
      </c>
      <c r="B6005" s="3" t="inlineStr">
        <is>
          <t>이노테나</t>
        </is>
      </c>
      <c r="C6005" s="2" t="inlineStr">
        <is>
          <t>코스닥</t>
        </is>
      </c>
      <c r="D6005" s="2" t="inlineStr">
        <is>
          <t>333050</t>
        </is>
      </c>
      <c r="E6005" s="3" t="inlineStr">
        <is>
          <t>임원ㆍ주요주주특정증권등소유상황보고서</t>
        </is>
      </c>
      <c r="F6005" s="3" t="inlineStr">
        <is>
          <t>김인수</t>
        </is>
      </c>
      <c r="G6005" s="2" t="inlineStr">
        <is>
          <t>20260520000019</t>
        </is>
      </c>
      <c r="H6005" s="8">
        <f>HYPERLINK("https://dart.fss.or.kr/dsaf001/main.do?rcpNo=20260520000019", "공시열람")</f>
        <v/>
      </c>
    </row>
    <row r="6006">
      <c r="A6006" s="2" t="inlineStr">
        <is>
          <t>2026-05-20</t>
        </is>
      </c>
      <c r="B6006" s="3" t="inlineStr">
        <is>
          <t>인터로조</t>
        </is>
      </c>
      <c r="C6006" s="2" t="inlineStr">
        <is>
          <t>코스닥</t>
        </is>
      </c>
      <c r="D6006" s="2" t="inlineStr">
        <is>
          <t>119610</t>
        </is>
      </c>
      <c r="E6006" s="3" t="inlineStr">
        <is>
          <t>임원ㆍ주요주주특정증권등소유상황보고서</t>
        </is>
      </c>
      <c r="F6006" s="3" t="inlineStr">
        <is>
          <t>안희준</t>
        </is>
      </c>
      <c r="G6006" s="2" t="inlineStr">
        <is>
          <t>20260520000018</t>
        </is>
      </c>
      <c r="H6006" s="8">
        <f>HYPERLINK("https://dart.fss.or.kr/dsaf001/main.do?rcpNo=20260520000018", "공시열람")</f>
        <v/>
      </c>
    </row>
    <row r="6007">
      <c r="A6007" s="2" t="inlineStr">
        <is>
          <t>2026-05-20</t>
        </is>
      </c>
      <c r="B6007" s="3" t="inlineStr">
        <is>
          <t>HLB펩</t>
        </is>
      </c>
      <c r="C6007" s="2" t="inlineStr">
        <is>
          <t>코스닥</t>
        </is>
      </c>
      <c r="D6007" s="2" t="inlineStr">
        <is>
          <t>196300</t>
        </is>
      </c>
      <c r="E6007" s="3" t="inlineStr">
        <is>
          <t>임원ㆍ주요주주특정증권등소유상황보고서</t>
        </is>
      </c>
      <c r="F6007" s="3" t="inlineStr">
        <is>
          <t>심경재</t>
        </is>
      </c>
      <c r="G6007" s="2" t="inlineStr">
        <is>
          <t>20260520000016</t>
        </is>
      </c>
      <c r="H6007" s="8">
        <f>HYPERLINK("https://dart.fss.or.kr/dsaf001/main.do?rcpNo=20260520000016", "공시열람")</f>
        <v/>
      </c>
    </row>
    <row r="6008">
      <c r="A6008" s="2" t="inlineStr">
        <is>
          <t>2026-05-20</t>
        </is>
      </c>
      <c r="B6008" s="3" t="inlineStr">
        <is>
          <t>성문전자</t>
        </is>
      </c>
      <c r="C6008" s="2" t="inlineStr">
        <is>
          <t>코스피</t>
        </is>
      </c>
      <c r="D6008" s="2" t="inlineStr">
        <is>
          <t>014910</t>
        </is>
      </c>
      <c r="E6008" s="3" t="inlineStr">
        <is>
          <t xml:space="preserve">기업지배구조보고서공시              </t>
        </is>
      </c>
      <c r="F6008" s="3" t="inlineStr">
        <is>
          <t>성문전자</t>
        </is>
      </c>
      <c r="G6008" s="2" t="inlineStr">
        <is>
          <t>20260520800084</t>
        </is>
      </c>
      <c r="H6008" s="8">
        <f>HYPERLINK("https://dart.fss.or.kr/dsaf001/main.do?rcpNo=20260520800084", "공시열람")</f>
        <v/>
      </c>
    </row>
    <row r="6009">
      <c r="A6009" s="2" t="inlineStr">
        <is>
          <t>2026-05-20</t>
        </is>
      </c>
      <c r="B6009" s="3" t="inlineStr">
        <is>
          <t>세아홀딩스</t>
        </is>
      </c>
      <c r="C6009" s="2" t="inlineStr">
        <is>
          <t>코스피</t>
        </is>
      </c>
      <c r="D6009" s="2" t="inlineStr">
        <is>
          <t>058650</t>
        </is>
      </c>
      <c r="E6009" s="3" t="inlineStr">
        <is>
          <t>공개매수에관한의견표명서</t>
        </is>
      </c>
      <c r="F6009" s="3" t="inlineStr">
        <is>
          <t>세아홀딩스</t>
        </is>
      </c>
      <c r="G6009" s="2" t="inlineStr">
        <is>
          <t>20260520000003</t>
        </is>
      </c>
      <c r="H6009" s="8">
        <f>HYPERLINK("https://dart.fss.or.kr/dsaf001/main.do?rcpNo=20260520000003", "공시열람")</f>
        <v/>
      </c>
    </row>
    <row r="6010">
      <c r="A6010" s="2" t="inlineStr">
        <is>
          <t>2026-05-20</t>
        </is>
      </c>
      <c r="B6010" s="3" t="inlineStr">
        <is>
          <t>세아홀딩스</t>
        </is>
      </c>
      <c r="C6010" s="2" t="inlineStr">
        <is>
          <t>코스피</t>
        </is>
      </c>
      <c r="D6010" s="2" t="inlineStr">
        <is>
          <t>058650</t>
        </is>
      </c>
      <c r="E6010" s="3" t="inlineStr">
        <is>
          <t>공개매수설명서</t>
        </is>
      </c>
      <c r="F6010" s="3" t="inlineStr">
        <is>
          <t>세아홀딩스</t>
        </is>
      </c>
      <c r="G6010" s="2" t="inlineStr">
        <is>
          <t>20260520000002</t>
        </is>
      </c>
      <c r="H6010" s="8">
        <f>HYPERLINK("https://dart.fss.or.kr/dsaf001/main.do?rcpNo=20260520000002", "공시열람")</f>
        <v/>
      </c>
    </row>
    <row r="6011">
      <c r="A6011" s="2" t="inlineStr">
        <is>
          <t>2026-05-20</t>
        </is>
      </c>
      <c r="B6011" s="3" t="inlineStr">
        <is>
          <t>세아홀딩스</t>
        </is>
      </c>
      <c r="C6011" s="2" t="inlineStr">
        <is>
          <t>코스피</t>
        </is>
      </c>
      <c r="D6011" s="2" t="inlineStr">
        <is>
          <t>058650</t>
        </is>
      </c>
      <c r="E6011" s="3" t="inlineStr">
        <is>
          <t>공개매수신고서</t>
        </is>
      </c>
      <c r="F6011" s="3" t="inlineStr">
        <is>
          <t>세아홀딩스</t>
        </is>
      </c>
      <c r="G6011" s="2" t="inlineStr">
        <is>
          <t>20260520000001</t>
        </is>
      </c>
      <c r="H6011" s="8">
        <f>HYPERLINK("https://dart.fss.or.kr/dsaf001/main.do?rcpNo=20260520000001", "공시열람")</f>
        <v/>
      </c>
    </row>
    <row r="6012">
      <c r="A6012" s="2" t="inlineStr">
        <is>
          <t>2026-05-21 (정정: 2026-05-29)</t>
        </is>
      </c>
      <c r="B6012" s="3" t="inlineStr">
        <is>
          <t>범양건영</t>
        </is>
      </c>
      <c r="C6012" s="2" t="inlineStr">
        <is>
          <t>코스피</t>
        </is>
      </c>
      <c r="D6012" s="2" t="inlineStr">
        <is>
          <t>002410</t>
        </is>
      </c>
      <c r="E6012" s="3" t="inlineStr">
        <is>
          <t>기타시장안내              (개선기간 부여) (정정: 20260529)</t>
        </is>
      </c>
      <c r="F6012" s="3" t="inlineStr">
        <is>
          <t>유가증권시장본부</t>
        </is>
      </c>
      <c r="G6012" s="2" t="inlineStr">
        <is>
          <t>20260529800794</t>
        </is>
      </c>
      <c r="H6012" s="8">
        <f>HYPERLINK("https://dart.fss.or.kr/dsaf001/main.do?rcpNo=20260529800794", "공시열람")</f>
        <v/>
      </c>
    </row>
    <row r="6013">
      <c r="A6013" s="2" t="inlineStr">
        <is>
          <t>2026-05-21</t>
        </is>
      </c>
      <c r="B6013" s="3" t="inlineStr">
        <is>
          <t>삼부토건</t>
        </is>
      </c>
      <c r="C6013" s="2" t="inlineStr">
        <is>
          <t>코스피</t>
        </is>
      </c>
      <c r="D6013" s="2" t="inlineStr">
        <is>
          <t>001470</t>
        </is>
      </c>
      <c r="E6013" s="3" t="inlineStr">
        <is>
          <t>기타시장안내              (개선기간 부여)</t>
        </is>
      </c>
      <c r="F6013" s="3" t="inlineStr">
        <is>
          <t>유가증권시장본부</t>
        </is>
      </c>
      <c r="G6013" s="2" t="inlineStr">
        <is>
          <t>20260521801049</t>
        </is>
      </c>
      <c r="H6013" s="8">
        <f>HYPERLINK("https://dart.fss.or.kr/dsaf001/main.do?rcpNo=20260521801049", "공시열람")</f>
        <v/>
      </c>
    </row>
    <row r="6014">
      <c r="A6014" s="2" t="inlineStr">
        <is>
          <t>2026-05-21 (정정: 2026-06-01)</t>
        </is>
      </c>
      <c r="B6014" s="3" t="inlineStr">
        <is>
          <t>캐리</t>
        </is>
      </c>
      <c r="C6014" s="2" t="inlineStr">
        <is>
          <t>코스닥</t>
        </is>
      </c>
      <c r="D6014" s="2" t="inlineStr">
        <is>
          <t>313760</t>
        </is>
      </c>
      <c r="E6014" s="3" t="inlineStr">
        <is>
          <t>단기차입금감소결정(자율공시)               (정정: 20260601)</t>
        </is>
      </c>
      <c r="F6014" s="3" t="inlineStr">
        <is>
          <t>캐리</t>
        </is>
      </c>
      <c r="G6014" s="2" t="inlineStr">
        <is>
          <t>20260601900358</t>
        </is>
      </c>
      <c r="H6014" s="8">
        <f>HYPERLINK("https://dart.fss.or.kr/dsaf001/main.do?rcpNo=20260601900358", "공시열람")</f>
        <v/>
      </c>
    </row>
    <row r="6015">
      <c r="A6015" s="2" t="inlineStr">
        <is>
          <t>2026-05-21</t>
        </is>
      </c>
      <c r="B6015" s="3" t="inlineStr">
        <is>
          <t>캐리</t>
        </is>
      </c>
      <c r="C6015" s="2" t="inlineStr">
        <is>
          <t>코스닥</t>
        </is>
      </c>
      <c r="D6015" s="2" t="inlineStr">
        <is>
          <t>313760</t>
        </is>
      </c>
      <c r="E6015" s="3" t="inlineStr">
        <is>
          <t xml:space="preserve">파산신청기각              </t>
        </is>
      </c>
      <c r="F6015" s="3" t="inlineStr">
        <is>
          <t>캐리</t>
        </is>
      </c>
      <c r="G6015" s="2" t="inlineStr">
        <is>
          <t>20260521901047</t>
        </is>
      </c>
      <c r="H6015" s="8">
        <f>HYPERLINK("https://dart.fss.or.kr/dsaf001/main.do?rcpNo=20260521901047", "공시열람")</f>
        <v/>
      </c>
    </row>
    <row r="6016">
      <c r="A6016" s="2" t="inlineStr">
        <is>
          <t>2026-05-21</t>
        </is>
      </c>
      <c r="B6016" s="3" t="inlineStr">
        <is>
          <t>이지스밸류플러스리츠</t>
        </is>
      </c>
      <c r="C6016" s="2" t="inlineStr">
        <is>
          <t>코스피</t>
        </is>
      </c>
      <c r="D6016" s="2" t="inlineStr">
        <is>
          <t>334890</t>
        </is>
      </c>
      <c r="E6016" s="3" t="inlineStr">
        <is>
          <t xml:space="preserve">부동산투자회사자금차입              </t>
        </is>
      </c>
      <c r="F6016" s="3" t="inlineStr">
        <is>
          <t>이지스밸류플러스리츠</t>
        </is>
      </c>
      <c r="G6016" s="2" t="inlineStr">
        <is>
          <t>20260521801006</t>
        </is>
      </c>
      <c r="H6016" s="8">
        <f>HYPERLINK("https://dart.fss.or.kr/dsaf001/main.do?rcpNo=20260521801006", "공시열람")</f>
        <v/>
      </c>
    </row>
    <row r="6017">
      <c r="A6017" s="2" t="inlineStr">
        <is>
          <t>2026-05-21</t>
        </is>
      </c>
      <c r="B6017" s="3" t="inlineStr">
        <is>
          <t>파라택시스코리아</t>
        </is>
      </c>
      <c r="C6017" s="2" t="inlineStr">
        <is>
          <t>코스닥</t>
        </is>
      </c>
      <c r="D6017" s="2" t="inlineStr">
        <is>
          <t>288330</t>
        </is>
      </c>
      <c r="E6017" s="3" t="inlineStr">
        <is>
          <t>주권매매거래정지기간변경              (상장적격성 실질심사 대상 결정)</t>
        </is>
      </c>
      <c r="F6017" s="3" t="inlineStr">
        <is>
          <t>코스닥시장본부</t>
        </is>
      </c>
      <c r="G6017" s="2" t="inlineStr">
        <is>
          <t>20260521901021</t>
        </is>
      </c>
      <c r="H6017" s="8">
        <f>HYPERLINK("https://dart.fss.or.kr/dsaf001/main.do?rcpNo=20260521901021", "공시열람")</f>
        <v/>
      </c>
    </row>
    <row r="6018">
      <c r="A6018" s="2" t="inlineStr">
        <is>
          <t>2026-05-21</t>
        </is>
      </c>
      <c r="B6018" s="3" t="inlineStr">
        <is>
          <t>푸드나무</t>
        </is>
      </c>
      <c r="C6018" s="2" t="inlineStr">
        <is>
          <t>코스닥</t>
        </is>
      </c>
      <c r="D6018" s="2" t="inlineStr">
        <is>
          <t>290720</t>
        </is>
      </c>
      <c r="E6018" s="3" t="inlineStr">
        <is>
          <t xml:space="preserve">대표이사변경              </t>
        </is>
      </c>
      <c r="F6018" s="3" t="inlineStr">
        <is>
          <t>푸드나무</t>
        </is>
      </c>
      <c r="G6018" s="2" t="inlineStr">
        <is>
          <t>20260521900948</t>
        </is>
      </c>
      <c r="H6018" s="8">
        <f>HYPERLINK("https://dart.fss.or.kr/dsaf001/main.do?rcpNo=20260521900948", "공시열람")</f>
        <v/>
      </c>
    </row>
    <row r="6019">
      <c r="A6019" s="2" t="inlineStr">
        <is>
          <t>2026-05-21</t>
        </is>
      </c>
      <c r="B6019" s="3" t="inlineStr">
        <is>
          <t>성우전자</t>
        </is>
      </c>
      <c r="C6019" s="2" t="inlineStr">
        <is>
          <t>코스닥</t>
        </is>
      </c>
      <c r="D6019" s="2" t="inlineStr">
        <is>
          <t>081580</t>
        </is>
      </c>
      <c r="E6019" s="3" t="inlineStr">
        <is>
          <t>불성실공시법인지정예고              (공시번복)</t>
        </is>
      </c>
      <c r="F6019" s="3" t="inlineStr">
        <is>
          <t>코스닥시장본부</t>
        </is>
      </c>
      <c r="G6019" s="2" t="inlineStr">
        <is>
          <t>20260521900924</t>
        </is>
      </c>
      <c r="H6019" s="8">
        <f>HYPERLINK("https://dart.fss.or.kr/dsaf001/main.do?rcpNo=20260521900924", "공시열람")</f>
        <v/>
      </c>
    </row>
    <row r="6020">
      <c r="A6020" s="2" t="inlineStr">
        <is>
          <t>2026-05-21</t>
        </is>
      </c>
      <c r="B6020" s="3" t="inlineStr">
        <is>
          <t>링크드</t>
        </is>
      </c>
      <c r="C6020" s="2" t="inlineStr">
        <is>
          <t>코스닥</t>
        </is>
      </c>
      <c r="D6020" s="2" t="inlineStr">
        <is>
          <t>193250</t>
        </is>
      </c>
      <c r="E6020" s="3" t="inlineStr">
        <is>
          <t>주권매매거래정지해제              (액면병합 주권 변경상장)</t>
        </is>
      </c>
      <c r="F6020" s="3" t="inlineStr">
        <is>
          <t>코스닥시장본부</t>
        </is>
      </c>
      <c r="G6020" s="2" t="inlineStr">
        <is>
          <t>20260521900977</t>
        </is>
      </c>
      <c r="H6020" s="8">
        <f>HYPERLINK("https://dart.fss.or.kr/dsaf001/main.do?rcpNo=20260521900977", "공시열람")</f>
        <v/>
      </c>
    </row>
    <row r="6021">
      <c r="A6021" s="2" t="inlineStr">
        <is>
          <t>2026-05-21</t>
        </is>
      </c>
      <c r="B6021" s="3" t="inlineStr">
        <is>
          <t>다이나믹디자인</t>
        </is>
      </c>
      <c r="C6021" s="2" t="inlineStr">
        <is>
          <t>코스피</t>
        </is>
      </c>
      <c r="D6021" s="2" t="inlineStr">
        <is>
          <t>145210</t>
        </is>
      </c>
      <c r="E6021" s="3" t="inlineStr">
        <is>
          <t xml:space="preserve">타법인주식및출자증권취득결정              </t>
        </is>
      </c>
      <c r="F6021" s="3" t="inlineStr">
        <is>
          <t>다이나믹디자인</t>
        </is>
      </c>
      <c r="G6021" s="2" t="inlineStr">
        <is>
          <t>20260521800954</t>
        </is>
      </c>
      <c r="H6021" s="8">
        <f>HYPERLINK("https://dart.fss.or.kr/dsaf001/main.do?rcpNo=20260521800954", "공시열람")</f>
        <v/>
      </c>
    </row>
    <row r="6022">
      <c r="A6022" s="2" t="inlineStr">
        <is>
          <t>2026-05-21 (정정: 2026-05-21)</t>
        </is>
      </c>
      <c r="B6022" s="3" t="inlineStr">
        <is>
          <t>씨씨에스</t>
        </is>
      </c>
      <c r="C6022" s="2" t="inlineStr">
        <is>
          <t>코스닥</t>
        </is>
      </c>
      <c r="D6022" s="2" t="inlineStr">
        <is>
          <t>066790</t>
        </is>
      </c>
      <c r="E6022" s="3" t="inlineStr">
        <is>
          <t>[첨부정정]의결권대리행사권유참고서류 (정정: 20260521) (정정: 20260521)</t>
        </is>
      </c>
      <c r="F6022" s="3" t="inlineStr">
        <is>
          <t>김정혁</t>
        </is>
      </c>
      <c r="G6022" s="2" t="inlineStr">
        <is>
          <t>20260521000769</t>
        </is>
      </c>
      <c r="H6022" s="8">
        <f>HYPERLINK("https://dart.fss.or.kr/dsaf001/main.do?rcpNo=20260521000769", "공시열람")</f>
        <v/>
      </c>
    </row>
    <row r="6023">
      <c r="A6023" s="2" t="inlineStr">
        <is>
          <t>2026-05-21</t>
        </is>
      </c>
      <c r="B6023" s="3" t="inlineStr">
        <is>
          <t>빛과전자</t>
        </is>
      </c>
      <c r="C6023" s="2" t="inlineStr">
        <is>
          <t>코스닥</t>
        </is>
      </c>
      <c r="D6023" s="2" t="inlineStr">
        <is>
          <t>069540</t>
        </is>
      </c>
      <c r="E6023" s="3" t="inlineStr">
        <is>
          <t>전환청구권행사              (제13회차)</t>
        </is>
      </c>
      <c r="F6023" s="3" t="inlineStr">
        <is>
          <t>빛과전자</t>
        </is>
      </c>
      <c r="G6023" s="2" t="inlineStr">
        <is>
          <t>20260521900979</t>
        </is>
      </c>
      <c r="H6023" s="8">
        <f>HYPERLINK("https://dart.fss.or.kr/dsaf001/main.do?rcpNo=20260521900979", "공시열람")</f>
        <v/>
      </c>
    </row>
    <row r="6024">
      <c r="A6024" s="2" t="inlineStr">
        <is>
          <t>2026-05-21</t>
        </is>
      </c>
      <c r="B6024" s="3" t="inlineStr">
        <is>
          <t>이엔플러스</t>
        </is>
      </c>
      <c r="C6024" s="2" t="inlineStr">
        <is>
          <t>코스피</t>
        </is>
      </c>
      <c r="D6024" s="2" t="inlineStr">
        <is>
          <t>074610</t>
        </is>
      </c>
      <c r="E6024" s="3" t="inlineStr">
        <is>
          <t xml:space="preserve">소송등의제기ㆍ신청(일정금액이상의청구)              </t>
        </is>
      </c>
      <c r="F6024" s="3" t="inlineStr">
        <is>
          <t>이엔플러스</t>
        </is>
      </c>
      <c r="G6024" s="2" t="inlineStr">
        <is>
          <t>20260521800943</t>
        </is>
      </c>
      <c r="H6024" s="8">
        <f>HYPERLINK("https://dart.fss.or.kr/dsaf001/main.do?rcpNo=20260521800943", "공시열람")</f>
        <v/>
      </c>
    </row>
    <row r="6025">
      <c r="A6025" s="2" t="inlineStr">
        <is>
          <t>2026-05-21</t>
        </is>
      </c>
      <c r="B6025" s="3" t="inlineStr">
        <is>
          <t>삼성증권</t>
        </is>
      </c>
      <c r="C6025" s="2" t="inlineStr">
        <is>
          <t>코스피</t>
        </is>
      </c>
      <c r="D6025" s="2" t="inlineStr">
        <is>
          <t>016360</t>
        </is>
      </c>
      <c r="E6025" s="3" t="inlineStr">
        <is>
          <t>증권발행실적보고서</t>
        </is>
      </c>
      <c r="F6025" s="3" t="inlineStr">
        <is>
          <t>삼성증권</t>
        </is>
      </c>
      <c r="G6025" s="2" t="inlineStr">
        <is>
          <t>20260521000788</t>
        </is>
      </c>
      <c r="H6025" s="8">
        <f>HYPERLINK("https://dart.fss.or.kr/dsaf001/main.do?rcpNo=20260521000788", "공시열람")</f>
        <v/>
      </c>
    </row>
    <row r="6026">
      <c r="A6026" s="2" t="inlineStr">
        <is>
          <t>2026-05-21</t>
        </is>
      </c>
      <c r="B6026" s="3" t="inlineStr">
        <is>
          <t>코디</t>
        </is>
      </c>
      <c r="C6026" s="2" t="inlineStr">
        <is>
          <t>코스닥</t>
        </is>
      </c>
      <c r="D6026" s="2" t="inlineStr">
        <is>
          <t>080530</t>
        </is>
      </c>
      <c r="E6026" s="3" t="inlineStr">
        <is>
          <t>임원ㆍ주요주주특정증권등소유상황보고서</t>
        </is>
      </c>
      <c r="F6026" s="3" t="inlineStr">
        <is>
          <t>김미화</t>
        </is>
      </c>
      <c r="G6026" s="2" t="inlineStr">
        <is>
          <t>20260521000785</t>
        </is>
      </c>
      <c r="H6026" s="8">
        <f>HYPERLINK("https://dart.fss.or.kr/dsaf001/main.do?rcpNo=20260521000785", "공시열람")</f>
        <v/>
      </c>
    </row>
    <row r="6027">
      <c r="A6027" s="2" t="inlineStr">
        <is>
          <t>2026-05-21</t>
        </is>
      </c>
      <c r="B6027" s="3" t="inlineStr">
        <is>
          <t>삼성증권</t>
        </is>
      </c>
      <c r="C6027" s="2" t="inlineStr">
        <is>
          <t>코스피</t>
        </is>
      </c>
      <c r="D6027" s="2" t="inlineStr">
        <is>
          <t>016360</t>
        </is>
      </c>
      <c r="E6027" s="3" t="inlineStr">
        <is>
          <t>투자설명서(일괄신고)</t>
        </is>
      </c>
      <c r="F6027" s="3" t="inlineStr">
        <is>
          <t>삼성증권</t>
        </is>
      </c>
      <c r="G6027" s="2" t="inlineStr">
        <is>
          <t>20260521000783</t>
        </is>
      </c>
      <c r="H6027" s="8">
        <f>HYPERLINK("https://dart.fss.or.kr/dsaf001/main.do?rcpNo=20260521000783", "공시열람")</f>
        <v/>
      </c>
    </row>
    <row r="6028">
      <c r="A6028" s="2" t="inlineStr">
        <is>
          <t>2026-05-21</t>
        </is>
      </c>
      <c r="B6028" s="3" t="inlineStr">
        <is>
          <t>신영증권</t>
        </is>
      </c>
      <c r="C6028" s="2" t="inlineStr">
        <is>
          <t>코스피</t>
        </is>
      </c>
      <c r="D6028" s="2" t="inlineStr">
        <is>
          <t>001720</t>
        </is>
      </c>
      <c r="E6028" s="3" t="inlineStr">
        <is>
          <t>투자설명서(일괄신고)</t>
        </is>
      </c>
      <c r="F6028" s="3" t="inlineStr">
        <is>
          <t>신영증권</t>
        </is>
      </c>
      <c r="G6028" s="2" t="inlineStr">
        <is>
          <t>20260521000782</t>
        </is>
      </c>
      <c r="H6028" s="8">
        <f>HYPERLINK("https://dart.fss.or.kr/dsaf001/main.do?rcpNo=20260521000782", "공시열람")</f>
        <v/>
      </c>
    </row>
    <row r="6029">
      <c r="A6029" s="2" t="inlineStr">
        <is>
          <t>2026-05-21</t>
        </is>
      </c>
      <c r="B6029" s="3" t="inlineStr">
        <is>
          <t>파라택시스코리아</t>
        </is>
      </c>
      <c r="C6029" s="2" t="inlineStr">
        <is>
          <t>코스닥</t>
        </is>
      </c>
      <c r="D6029" s="2" t="inlineStr">
        <is>
          <t>288330</t>
        </is>
      </c>
      <c r="E6029" s="3" t="inlineStr">
        <is>
          <t>기타시장안내              (상장적격성 실질심사 대상 결정)</t>
        </is>
      </c>
      <c r="F6029" s="3" t="inlineStr">
        <is>
          <t>코스닥시장본부</t>
        </is>
      </c>
      <c r="G6029" s="2" t="inlineStr">
        <is>
          <t>20260521900988</t>
        </is>
      </c>
      <c r="H6029" s="8">
        <f>HYPERLINK("https://dart.fss.or.kr/dsaf001/main.do?rcpNo=20260521900988", "공시열람")</f>
        <v/>
      </c>
    </row>
    <row r="6030">
      <c r="A6030" s="2" t="inlineStr">
        <is>
          <t>2026-05-21</t>
        </is>
      </c>
      <c r="B6030" s="3" t="inlineStr">
        <is>
          <t>엔투텍</t>
        </is>
      </c>
      <c r="C6030" s="2" t="inlineStr">
        <is>
          <t>코스닥</t>
        </is>
      </c>
      <c r="D6030" s="2" t="inlineStr">
        <is>
          <t>227950</t>
        </is>
      </c>
      <c r="E6030" s="3" t="inlineStr">
        <is>
          <t xml:space="preserve">주권관련사채권의취득결정(자율공시)              </t>
        </is>
      </c>
      <c r="F6030" s="3" t="inlineStr">
        <is>
          <t>엔투텍</t>
        </is>
      </c>
      <c r="G6030" s="2" t="inlineStr">
        <is>
          <t>20260521900967</t>
        </is>
      </c>
      <c r="H6030" s="8">
        <f>HYPERLINK("https://dart.fss.or.kr/dsaf001/main.do?rcpNo=20260521900967", "공시열람")</f>
        <v/>
      </c>
    </row>
    <row r="6031">
      <c r="A6031" s="2" t="inlineStr">
        <is>
          <t>2026-05-21</t>
        </is>
      </c>
      <c r="B6031" s="3" t="inlineStr">
        <is>
          <t>이노뎁</t>
        </is>
      </c>
      <c r="C6031" s="2" t="inlineStr">
        <is>
          <t>코스닥</t>
        </is>
      </c>
      <c r="D6031" s="2" t="inlineStr">
        <is>
          <t>303530</t>
        </is>
      </c>
      <c r="E6031" s="3" t="inlineStr">
        <is>
          <t>임원ㆍ주요주주특정증권등소유상황보고서</t>
        </is>
      </c>
      <c r="F6031" s="3" t="inlineStr">
        <is>
          <t>이재석</t>
        </is>
      </c>
      <c r="G6031" s="2" t="inlineStr">
        <is>
          <t>20260521000779</t>
        </is>
      </c>
      <c r="H6031" s="8">
        <f>HYPERLINK("https://dart.fss.or.kr/dsaf001/main.do?rcpNo=20260521000779", "공시열람")</f>
        <v/>
      </c>
    </row>
    <row r="6032">
      <c r="A6032" s="2" t="inlineStr">
        <is>
          <t>2026-05-21</t>
        </is>
      </c>
      <c r="B6032" s="3" t="inlineStr">
        <is>
          <t>삼성증권</t>
        </is>
      </c>
      <c r="C6032" s="2" t="inlineStr">
        <is>
          <t>코스피</t>
        </is>
      </c>
      <c r="D6032" s="2" t="inlineStr">
        <is>
          <t>016360</t>
        </is>
      </c>
      <c r="E6032" s="3" t="inlineStr">
        <is>
          <t>일괄신고추가서류(파생결합증권-상장지수증권)</t>
        </is>
      </c>
      <c r="F6032" s="3" t="inlineStr">
        <is>
          <t>삼성증권</t>
        </is>
      </c>
      <c r="G6032" s="2" t="inlineStr">
        <is>
          <t>20260521000774</t>
        </is>
      </c>
      <c r="H6032" s="8">
        <f>HYPERLINK("https://dart.fss.or.kr/dsaf001/main.do?rcpNo=20260521000774", "공시열람")</f>
        <v/>
      </c>
    </row>
    <row r="6033">
      <c r="A6033" s="2" t="inlineStr">
        <is>
          <t>2026-05-21 (정정: 2026-06-23)</t>
        </is>
      </c>
      <c r="B6033" s="3" t="inlineStr">
        <is>
          <t>세기상사</t>
        </is>
      </c>
      <c r="C6033" s="2" t="inlineStr">
        <is>
          <t>코스피</t>
        </is>
      </c>
      <c r="D6033" s="2" t="inlineStr">
        <is>
          <t>002420</t>
        </is>
      </c>
      <c r="E6033" s="3" t="inlineStr">
        <is>
          <t>주주명부폐쇄기간또는기준일설정               (정정: 20260617) (정정: 20260617) (정정: 20260623)</t>
        </is>
      </c>
      <c r="F6033" s="3" t="inlineStr">
        <is>
          <t>세기상사</t>
        </is>
      </c>
      <c r="G6033" s="2" t="inlineStr">
        <is>
          <t>20260623000277</t>
        </is>
      </c>
      <c r="H6033" s="8">
        <f>HYPERLINK("https://dart.fss.or.kr/dsaf001/main.do?rcpNo=20260623000277", "공시열람")</f>
        <v/>
      </c>
    </row>
    <row r="6034">
      <c r="A6034" s="2" t="inlineStr">
        <is>
          <t>2026-05-21</t>
        </is>
      </c>
      <c r="B6034" s="3" t="inlineStr">
        <is>
          <t>iM금융지주</t>
        </is>
      </c>
      <c r="C6034" s="2" t="inlineStr">
        <is>
          <t>코스피</t>
        </is>
      </c>
      <c r="D6034" s="2" t="inlineStr">
        <is>
          <t>139130</t>
        </is>
      </c>
      <c r="E6034" s="3" t="inlineStr">
        <is>
          <t>임원ㆍ주요주주특정증권등소유상황보고서</t>
        </is>
      </c>
      <c r="F6034" s="3" t="inlineStr">
        <is>
          <t>박은숙</t>
        </is>
      </c>
      <c r="G6034" s="2" t="inlineStr">
        <is>
          <t>20260521000773</t>
        </is>
      </c>
      <c r="H6034" s="8">
        <f>HYPERLINK("https://dart.fss.or.kr/dsaf001/main.do?rcpNo=20260521000773", "공시열람")</f>
        <v/>
      </c>
    </row>
    <row r="6035">
      <c r="A6035" s="2" t="inlineStr">
        <is>
          <t>2026-05-21</t>
        </is>
      </c>
      <c r="B6035" s="3" t="inlineStr">
        <is>
          <t>메지온</t>
        </is>
      </c>
      <c r="C6035" s="2" t="inlineStr">
        <is>
          <t>코스닥</t>
        </is>
      </c>
      <c r="D6035" s="2" t="inlineStr">
        <is>
          <t>140410</t>
        </is>
      </c>
      <c r="E6035" s="3" t="inlineStr">
        <is>
          <t xml:space="preserve">소송등의제기ㆍ신청(일정금액이상의청구)              </t>
        </is>
      </c>
      <c r="F6035" s="3" t="inlineStr">
        <is>
          <t>메지온</t>
        </is>
      </c>
      <c r="G6035" s="2" t="inlineStr">
        <is>
          <t>20260521900930</t>
        </is>
      </c>
      <c r="H6035" s="8">
        <f>HYPERLINK("https://dart.fss.or.kr/dsaf001/main.do?rcpNo=20260521900930", "공시열람")</f>
        <v/>
      </c>
    </row>
    <row r="6036">
      <c r="A6036" s="2" t="inlineStr">
        <is>
          <t>2026-05-21</t>
        </is>
      </c>
      <c r="B6036" s="3" t="inlineStr">
        <is>
          <t>교보증권</t>
        </is>
      </c>
      <c r="C6036" s="2" t="inlineStr">
        <is>
          <t>코스피</t>
        </is>
      </c>
      <c r="D6036" s="2" t="inlineStr">
        <is>
          <t>030610</t>
        </is>
      </c>
      <c r="E6036" s="3" t="inlineStr">
        <is>
          <t>투자설명서(일괄신고)</t>
        </is>
      </c>
      <c r="F6036" s="3" t="inlineStr">
        <is>
          <t>교보증권</t>
        </is>
      </c>
      <c r="G6036" s="2" t="inlineStr">
        <is>
          <t>20260521000771</t>
        </is>
      </c>
      <c r="H6036" s="8">
        <f>HYPERLINK("https://dart.fss.or.kr/dsaf001/main.do?rcpNo=20260521000771", "공시열람")</f>
        <v/>
      </c>
    </row>
    <row r="6037">
      <c r="A6037" s="2" t="inlineStr">
        <is>
          <t>2026-05-21 (정정: 2026-06-23)</t>
        </is>
      </c>
      <c r="B6037" s="3" t="inlineStr">
        <is>
          <t>경남제약</t>
        </is>
      </c>
      <c r="C6037" s="2" t="inlineStr">
        <is>
          <t>코스닥</t>
        </is>
      </c>
      <c r="D6037" s="2" t="inlineStr">
        <is>
          <t>053950</t>
        </is>
      </c>
      <c r="E6037" s="3" t="inlineStr">
        <is>
          <t>[정정제출요구]증권신고서(지분증권) (정정: 20260623)</t>
        </is>
      </c>
      <c r="F6037" s="3" t="inlineStr">
        <is>
          <t>경남제약</t>
        </is>
      </c>
      <c r="G6037" s="2" t="inlineStr">
        <is>
          <t>20260623900778</t>
        </is>
      </c>
      <c r="H6037" s="8">
        <f>HYPERLINK("https://dart.fss.or.kr/dsaf001/main.do?rcpNo=20260623900778", "공시열람")</f>
        <v/>
      </c>
    </row>
    <row r="6038">
      <c r="A6038" s="2" t="inlineStr">
        <is>
          <t>2026-05-21 (정정: 2026-05-22)</t>
        </is>
      </c>
      <c r="B6038" s="3" t="inlineStr">
        <is>
          <t>대동기어</t>
        </is>
      </c>
      <c r="C6038" s="2" t="inlineStr">
        <is>
          <t>코스닥</t>
        </is>
      </c>
      <c r="D6038" s="2" t="inlineStr">
        <is>
          <t>008830</t>
        </is>
      </c>
      <c r="E6038" s="3" t="inlineStr">
        <is>
          <t>정정신고서제출요구( 2026.05.08. 제출 증권신고서(지분증권) ) (정정: 20260522) (정정: 20260522)</t>
        </is>
      </c>
      <c r="F6038" s="3" t="inlineStr">
        <is>
          <t>금융감독원</t>
        </is>
      </c>
      <c r="G6038" s="2" t="inlineStr">
        <is>
          <t>20260522000623</t>
        </is>
      </c>
      <c r="H6038" s="8">
        <f>HYPERLINK("https://dart.fss.or.kr/dsaf001/main.do?rcpNo=20260522000623", "공시열람")</f>
        <v/>
      </c>
    </row>
    <row r="6039">
      <c r="A6039" s="2" t="inlineStr">
        <is>
          <t>2026-05-21</t>
        </is>
      </c>
      <c r="B6039" s="3" t="inlineStr">
        <is>
          <t>교보증권</t>
        </is>
      </c>
      <c r="C6039" s="2" t="inlineStr">
        <is>
          <t>코스피</t>
        </is>
      </c>
      <c r="D6039" s="2" t="inlineStr">
        <is>
          <t>030610</t>
        </is>
      </c>
      <c r="E6039" s="3" t="inlineStr">
        <is>
          <t>일괄신고추가서류(파생결합사채-주가연계파생결합사채)</t>
        </is>
      </c>
      <c r="F6039" s="3" t="inlineStr">
        <is>
          <t>교보증권</t>
        </is>
      </c>
      <c r="G6039" s="2" t="inlineStr">
        <is>
          <t>20260521000768</t>
        </is>
      </c>
      <c r="H6039" s="8">
        <f>HYPERLINK("https://dart.fss.or.kr/dsaf001/main.do?rcpNo=20260521000768", "공시열람")</f>
        <v/>
      </c>
    </row>
    <row r="6040">
      <c r="A6040" s="2" t="inlineStr">
        <is>
          <t>2026-05-21</t>
        </is>
      </c>
      <c r="B6040" s="3" t="inlineStr">
        <is>
          <t>부국증권</t>
        </is>
      </c>
      <c r="C6040" s="2" t="inlineStr">
        <is>
          <t>코스피</t>
        </is>
      </c>
      <c r="D6040" s="2" t="inlineStr">
        <is>
          <t>001270</t>
        </is>
      </c>
      <c r="E6040" s="3" t="inlineStr">
        <is>
          <t>임원ㆍ주요주주특정증권등소유상황보고서</t>
        </is>
      </c>
      <c r="F6040" s="3" t="inlineStr">
        <is>
          <t>김중건</t>
        </is>
      </c>
      <c r="G6040" s="2" t="inlineStr">
        <is>
          <t>20260521000767</t>
        </is>
      </c>
      <c r="H6040" s="8">
        <f>HYPERLINK("https://dart.fss.or.kr/dsaf001/main.do?rcpNo=20260521000767", "공시열람")</f>
        <v/>
      </c>
    </row>
    <row r="6041">
      <c r="A6041" s="2" t="inlineStr">
        <is>
          <t>2026-05-21</t>
        </is>
      </c>
      <c r="B6041" s="3" t="inlineStr">
        <is>
          <t>엘에이티</t>
        </is>
      </c>
      <c r="C6041" s="2" t="inlineStr">
        <is>
          <t>코넥스</t>
        </is>
      </c>
      <c r="D6041" s="2" t="inlineStr">
        <is>
          <t>311060</t>
        </is>
      </c>
      <c r="E6041" s="3" t="inlineStr">
        <is>
          <t xml:space="preserve">기업설명회(IR)개최결과              </t>
        </is>
      </c>
      <c r="F6041" s="3" t="inlineStr">
        <is>
          <t>엘에이티</t>
        </is>
      </c>
      <c r="G6041" s="2" t="inlineStr">
        <is>
          <t>20260521600947</t>
        </is>
      </c>
      <c r="H6041" s="8">
        <f>HYPERLINK("https://dart.fss.or.kr/dsaf001/main.do?rcpNo=20260521600947", "공시열람")</f>
        <v/>
      </c>
    </row>
    <row r="6042">
      <c r="A6042" s="2" t="inlineStr">
        <is>
          <t>2026-05-21</t>
        </is>
      </c>
      <c r="B6042" s="3" t="inlineStr">
        <is>
          <t>교보증권</t>
        </is>
      </c>
      <c r="C6042" s="2" t="inlineStr">
        <is>
          <t>코스피</t>
        </is>
      </c>
      <c r="D6042" s="2" t="inlineStr">
        <is>
          <t>030610</t>
        </is>
      </c>
      <c r="E6042" s="3" t="inlineStr">
        <is>
          <t>투자설명서(일괄신고)</t>
        </is>
      </c>
      <c r="F6042" s="3" t="inlineStr">
        <is>
          <t>교보증권</t>
        </is>
      </c>
      <c r="G6042" s="2" t="inlineStr">
        <is>
          <t>20260521000759</t>
        </is>
      </c>
      <c r="H6042" s="8">
        <f>HYPERLINK("https://dart.fss.or.kr/dsaf001/main.do?rcpNo=20260521000759", "공시열람")</f>
        <v/>
      </c>
    </row>
    <row r="6043">
      <c r="A6043" s="2" t="inlineStr">
        <is>
          <t>2026-05-21</t>
        </is>
      </c>
      <c r="B6043" s="3" t="inlineStr">
        <is>
          <t>교보증권</t>
        </is>
      </c>
      <c r="C6043" s="2" t="inlineStr">
        <is>
          <t>코스피</t>
        </is>
      </c>
      <c r="D6043" s="2" t="inlineStr">
        <is>
          <t>030610</t>
        </is>
      </c>
      <c r="E6043" s="3" t="inlineStr">
        <is>
          <t>일괄신고추가서류(파생결합사채-주가연계파생결합사채)</t>
        </is>
      </c>
      <c r="F6043" s="3" t="inlineStr">
        <is>
          <t>교보증권</t>
        </is>
      </c>
      <c r="G6043" s="2" t="inlineStr">
        <is>
          <t>20260521000758</t>
        </is>
      </c>
      <c r="H6043" s="8">
        <f>HYPERLINK("https://dart.fss.or.kr/dsaf001/main.do?rcpNo=20260521000758", "공시열람")</f>
        <v/>
      </c>
    </row>
    <row r="6044">
      <c r="A6044" s="2" t="inlineStr">
        <is>
          <t>2026-05-21</t>
        </is>
      </c>
      <c r="B6044" s="3" t="inlineStr">
        <is>
          <t>JB금융지주</t>
        </is>
      </c>
      <c r="C6044" s="2" t="inlineStr">
        <is>
          <t>코스피</t>
        </is>
      </c>
      <c r="D6044" s="2" t="inlineStr">
        <is>
          <t>175330</t>
        </is>
      </c>
      <c r="E6044" s="3" t="inlineStr">
        <is>
          <t xml:space="preserve">기업설명회(IR)개최(안내공시)              </t>
        </is>
      </c>
      <c r="F6044" s="3" t="inlineStr">
        <is>
          <t>JB금융지주</t>
        </is>
      </c>
      <c r="G6044" s="2" t="inlineStr">
        <is>
          <t>20260521800955</t>
        </is>
      </c>
      <c r="H6044" s="8">
        <f>HYPERLINK("https://dart.fss.or.kr/dsaf001/main.do?rcpNo=20260521800955", "공시열람")</f>
        <v/>
      </c>
    </row>
    <row r="6045">
      <c r="A6045" s="2" t="inlineStr">
        <is>
          <t>2026-05-21</t>
        </is>
      </c>
      <c r="B6045" s="3" t="inlineStr">
        <is>
          <t>신영증권</t>
        </is>
      </c>
      <c r="C6045" s="2" t="inlineStr">
        <is>
          <t>코스피</t>
        </is>
      </c>
      <c r="D6045" s="2" t="inlineStr">
        <is>
          <t>001720</t>
        </is>
      </c>
      <c r="E6045" s="3" t="inlineStr">
        <is>
          <t>투자설명서(일괄신고)</t>
        </is>
      </c>
      <c r="F6045" s="3" t="inlineStr">
        <is>
          <t>신영증권</t>
        </is>
      </c>
      <c r="G6045" s="2" t="inlineStr">
        <is>
          <t>20260521000757</t>
        </is>
      </c>
      <c r="H6045" s="8">
        <f>HYPERLINK("https://dart.fss.or.kr/dsaf001/main.do?rcpNo=20260521000757", "공시열람")</f>
        <v/>
      </c>
    </row>
    <row r="6046">
      <c r="A6046" s="2" t="inlineStr">
        <is>
          <t>2026-05-21 (정정: 2026-05-22)</t>
        </is>
      </c>
      <c r="B6046" s="3" t="inlineStr">
        <is>
          <t>지투지바이오</t>
        </is>
      </c>
      <c r="C6046" s="2" t="inlineStr">
        <is>
          <t>코스닥</t>
        </is>
      </c>
      <c r="D6046" s="2" t="inlineStr">
        <is>
          <t>456160</t>
        </is>
      </c>
      <c r="E6046" s="3" t="inlineStr">
        <is>
          <t>임원ㆍ주요주주특정증권등소유상황보고서 (정정: 20260522)</t>
        </is>
      </c>
      <c r="F6046" s="3" t="inlineStr">
        <is>
          <t>최희경</t>
        </is>
      </c>
      <c r="G6046" s="2" t="inlineStr">
        <is>
          <t>20260522000631</t>
        </is>
      </c>
      <c r="H6046" s="8">
        <f>HYPERLINK("https://dart.fss.or.kr/dsaf001/main.do?rcpNo=20260522000631", "공시열람")</f>
        <v/>
      </c>
    </row>
    <row r="6047">
      <c r="A6047" s="2" t="inlineStr">
        <is>
          <t>2026-05-21</t>
        </is>
      </c>
      <c r="B6047" s="3" t="inlineStr">
        <is>
          <t>교보증권</t>
        </is>
      </c>
      <c r="C6047" s="2" t="inlineStr">
        <is>
          <t>코스피</t>
        </is>
      </c>
      <c r="D6047" s="2" t="inlineStr">
        <is>
          <t>030610</t>
        </is>
      </c>
      <c r="E6047" s="3" t="inlineStr">
        <is>
          <t>투자설명서(일괄신고)</t>
        </is>
      </c>
      <c r="F6047" s="3" t="inlineStr">
        <is>
          <t>교보증권</t>
        </is>
      </c>
      <c r="G6047" s="2" t="inlineStr">
        <is>
          <t>20260521000755</t>
        </is>
      </c>
      <c r="H6047" s="8">
        <f>HYPERLINK("https://dart.fss.or.kr/dsaf001/main.do?rcpNo=20260521000755", "공시열람")</f>
        <v/>
      </c>
    </row>
    <row r="6048">
      <c r="A6048" s="2" t="inlineStr">
        <is>
          <t>2026-05-21</t>
        </is>
      </c>
      <c r="B6048" s="3" t="inlineStr">
        <is>
          <t>DB증권</t>
        </is>
      </c>
      <c r="C6048" s="2" t="inlineStr">
        <is>
          <t>코스피</t>
        </is>
      </c>
      <c r="D6048" s="2" t="inlineStr">
        <is>
          <t>016610</t>
        </is>
      </c>
      <c r="E6048" s="3" t="inlineStr">
        <is>
          <t>투자설명서(일괄신고)</t>
        </is>
      </c>
      <c r="F6048" s="3" t="inlineStr">
        <is>
          <t>DB증권</t>
        </is>
      </c>
      <c r="G6048" s="2" t="inlineStr">
        <is>
          <t>20260521000754</t>
        </is>
      </c>
      <c r="H6048" s="8">
        <f>HYPERLINK("https://dart.fss.or.kr/dsaf001/main.do?rcpNo=20260521000754", "공시열람")</f>
        <v/>
      </c>
    </row>
    <row r="6049">
      <c r="A6049" s="2" t="inlineStr">
        <is>
          <t>2026-05-21</t>
        </is>
      </c>
      <c r="B6049" s="3" t="inlineStr">
        <is>
          <t>교보증권</t>
        </is>
      </c>
      <c r="C6049" s="2" t="inlineStr">
        <is>
          <t>코스피</t>
        </is>
      </c>
      <c r="D6049" s="2" t="inlineStr">
        <is>
          <t>030610</t>
        </is>
      </c>
      <c r="E6049" s="3" t="inlineStr">
        <is>
          <t>일괄신고추가서류(파생결합사채-주가연계파생결합사채)</t>
        </is>
      </c>
      <c r="F6049" s="3" t="inlineStr">
        <is>
          <t>교보증권</t>
        </is>
      </c>
      <c r="G6049" s="2" t="inlineStr">
        <is>
          <t>20260521000753</t>
        </is>
      </c>
      <c r="H6049" s="8">
        <f>HYPERLINK("https://dart.fss.or.kr/dsaf001/main.do?rcpNo=20260521000753", "공시열람")</f>
        <v/>
      </c>
    </row>
    <row r="6050">
      <c r="A6050" s="2" t="inlineStr">
        <is>
          <t>2026-05-21</t>
        </is>
      </c>
      <c r="B6050" s="3" t="inlineStr">
        <is>
          <t>에스디생명공학</t>
        </is>
      </c>
      <c r="C6050" s="2" t="inlineStr">
        <is>
          <t>코스닥</t>
        </is>
      </c>
      <c r="D6050" s="2" t="inlineStr">
        <is>
          <t>217480</t>
        </is>
      </c>
      <c r="E6050" s="3" t="inlineStr">
        <is>
          <t>전환사채(해외전환사채포함)발행후만기전사채취득              (제4회차)</t>
        </is>
      </c>
      <c r="F6050" s="3" t="inlineStr">
        <is>
          <t>에스디생명공학</t>
        </is>
      </c>
      <c r="G6050" s="2" t="inlineStr">
        <is>
          <t>20260521900913</t>
        </is>
      </c>
      <c r="H6050" s="8">
        <f>HYPERLINK("https://dart.fss.or.kr/dsaf001/main.do?rcpNo=20260521900913", "공시열람")</f>
        <v/>
      </c>
    </row>
    <row r="6051">
      <c r="A6051" s="2" t="inlineStr">
        <is>
          <t>2026-05-21</t>
        </is>
      </c>
      <c r="B6051" s="3" t="inlineStr">
        <is>
          <t>DB증권</t>
        </is>
      </c>
      <c r="C6051" s="2" t="inlineStr">
        <is>
          <t>코스피</t>
        </is>
      </c>
      <c r="D6051" s="2" t="inlineStr">
        <is>
          <t>016610</t>
        </is>
      </c>
      <c r="E6051" s="3" t="inlineStr">
        <is>
          <t>일괄신고추가서류(파생결합사채-주가연계파생결합사채)</t>
        </is>
      </c>
      <c r="F6051" s="3" t="inlineStr">
        <is>
          <t>DB증권</t>
        </is>
      </c>
      <c r="G6051" s="2" t="inlineStr">
        <is>
          <t>20260521000750</t>
        </is>
      </c>
      <c r="H6051" s="8">
        <f>HYPERLINK("https://dart.fss.or.kr/dsaf001/main.do?rcpNo=20260521000750", "공시열람")</f>
        <v/>
      </c>
    </row>
    <row r="6052">
      <c r="A6052" s="2" t="inlineStr">
        <is>
          <t>2026-05-21 (정정: 2026-06-04)</t>
        </is>
      </c>
      <c r="B6052" s="3" t="inlineStr">
        <is>
          <t>SJG세종</t>
        </is>
      </c>
      <c r="C6052" s="2" t="inlineStr">
        <is>
          <t>코스피</t>
        </is>
      </c>
      <c r="D6052" s="2" t="inlineStr">
        <is>
          <t>033530</t>
        </is>
      </c>
      <c r="E6052" s="3" t="inlineStr">
        <is>
          <t>주주명부폐쇄기간또는기준일설정               (정정: 20260604) (정정: 20260604)</t>
        </is>
      </c>
      <c r="F6052" s="3" t="inlineStr">
        <is>
          <t>SJG세종</t>
        </is>
      </c>
      <c r="G6052" s="2" t="inlineStr">
        <is>
          <t>20260604800638</t>
        </is>
      </c>
      <c r="H6052" s="8">
        <f>HYPERLINK("https://dart.fss.or.kr/dsaf001/main.do?rcpNo=20260604800638", "공시열람")</f>
        <v/>
      </c>
    </row>
    <row r="6053">
      <c r="A6053" s="2" t="inlineStr">
        <is>
          <t>2026-05-21</t>
        </is>
      </c>
      <c r="B6053" s="3" t="inlineStr">
        <is>
          <t>지투지바이오</t>
        </is>
      </c>
      <c r="C6053" s="2" t="inlineStr">
        <is>
          <t>코스닥</t>
        </is>
      </c>
      <c r="D6053" s="2" t="inlineStr">
        <is>
          <t>456160</t>
        </is>
      </c>
      <c r="E6053" s="3" t="inlineStr">
        <is>
          <t>임원ㆍ주요주주특정증권등소유상황보고서</t>
        </is>
      </c>
      <c r="F6053" s="3" t="inlineStr">
        <is>
          <t>이주한</t>
        </is>
      </c>
      <c r="G6053" s="2" t="inlineStr">
        <is>
          <t>20260521000746</t>
        </is>
      </c>
      <c r="H6053" s="8">
        <f>HYPERLINK("https://dart.fss.or.kr/dsaf001/main.do?rcpNo=20260521000746", "공시열람")</f>
        <v/>
      </c>
    </row>
    <row r="6054">
      <c r="A6054" s="2" t="inlineStr">
        <is>
          <t>2026-05-21</t>
        </is>
      </c>
      <c r="B6054" s="3" t="inlineStr">
        <is>
          <t>신영증권</t>
        </is>
      </c>
      <c r="C6054" s="2" t="inlineStr">
        <is>
          <t>코스피</t>
        </is>
      </c>
      <c r="D6054" s="2" t="inlineStr">
        <is>
          <t>001720</t>
        </is>
      </c>
      <c r="E6054" s="3" t="inlineStr">
        <is>
          <t>일괄신고추가서류(파생결합사채-주가연계파생결합사채)</t>
        </is>
      </c>
      <c r="F6054" s="3" t="inlineStr">
        <is>
          <t>신영증권</t>
        </is>
      </c>
      <c r="G6054" s="2" t="inlineStr">
        <is>
          <t>20260521000740</t>
        </is>
      </c>
      <c r="H6054" s="8">
        <f>HYPERLINK("https://dart.fss.or.kr/dsaf001/main.do?rcpNo=20260521000740", "공시열람")</f>
        <v/>
      </c>
    </row>
    <row r="6055">
      <c r="A6055" s="2" t="inlineStr">
        <is>
          <t>2026-05-21</t>
        </is>
      </c>
      <c r="B6055" s="3" t="inlineStr">
        <is>
          <t>삼성증권</t>
        </is>
      </c>
      <c r="C6055" s="2" t="inlineStr">
        <is>
          <t>코스피</t>
        </is>
      </c>
      <c r="D6055" s="2" t="inlineStr">
        <is>
          <t>016360</t>
        </is>
      </c>
      <c r="E6055" s="3" t="inlineStr">
        <is>
          <t>증권발행실적보고서</t>
        </is>
      </c>
      <c r="F6055" s="3" t="inlineStr">
        <is>
          <t>삼성증권</t>
        </is>
      </c>
      <c r="G6055" s="2" t="inlineStr">
        <is>
          <t>20260521000736</t>
        </is>
      </c>
      <c r="H6055" s="8">
        <f>HYPERLINK("https://dart.fss.or.kr/dsaf001/main.do?rcpNo=20260521000736", "공시열람")</f>
        <v/>
      </c>
    </row>
    <row r="6056">
      <c r="A6056" s="2" t="inlineStr">
        <is>
          <t>2026-05-21</t>
        </is>
      </c>
      <c r="B6056" s="3" t="inlineStr">
        <is>
          <t>서울전자통신</t>
        </is>
      </c>
      <c r="C6056" s="2" t="inlineStr">
        <is>
          <t>코스닥</t>
        </is>
      </c>
      <c r="D6056" s="2" t="inlineStr">
        <is>
          <t>027040</t>
        </is>
      </c>
      <c r="E6056" s="3" t="inlineStr">
        <is>
          <t>임원ㆍ주요주주특정증권등소유상황보고서</t>
        </is>
      </c>
      <c r="F6056" s="3" t="inlineStr">
        <is>
          <t>김원우</t>
        </is>
      </c>
      <c r="G6056" s="2" t="inlineStr">
        <is>
          <t>20260521000731</t>
        </is>
      </c>
      <c r="H6056" s="8">
        <f>HYPERLINK("https://dart.fss.or.kr/dsaf001/main.do?rcpNo=20260521000731", "공시열람")</f>
        <v/>
      </c>
    </row>
    <row r="6057">
      <c r="A6057" s="2" t="inlineStr">
        <is>
          <t>2026-05-21</t>
        </is>
      </c>
      <c r="B6057" s="3" t="inlineStr">
        <is>
          <t>지투지바이오</t>
        </is>
      </c>
      <c r="C6057" s="2" t="inlineStr">
        <is>
          <t>코스닥</t>
        </is>
      </c>
      <c r="D6057" s="2" t="inlineStr">
        <is>
          <t>456160</t>
        </is>
      </c>
      <c r="E6057" s="3" t="inlineStr">
        <is>
          <t>임원ㆍ주요주주특정증권등소유상황보고서</t>
        </is>
      </c>
      <c r="F6057" s="3" t="inlineStr">
        <is>
          <t>설은영</t>
        </is>
      </c>
      <c r="G6057" s="2" t="inlineStr">
        <is>
          <t>20260521000730</t>
        </is>
      </c>
      <c r="H6057" s="8">
        <f>HYPERLINK("https://dart.fss.or.kr/dsaf001/main.do?rcpNo=20260521000730", "공시열람")</f>
        <v/>
      </c>
    </row>
    <row r="6058">
      <c r="A6058" s="2" t="inlineStr">
        <is>
          <t>2026-05-21 (정정: 2026-05-28)</t>
        </is>
      </c>
      <c r="B6058" s="3" t="inlineStr">
        <is>
          <t>플루토스</t>
        </is>
      </c>
      <c r="C6058" s="2" t="inlineStr">
        <is>
          <t>코스닥</t>
        </is>
      </c>
      <c r="D6058" s="2" t="inlineStr">
        <is>
          <t>019570</t>
        </is>
      </c>
      <c r="E6058" s="3" t="inlineStr">
        <is>
          <t>전환청구권행사               (정정: 20260528)</t>
        </is>
      </c>
      <c r="F6058" s="3" t="inlineStr">
        <is>
          <t>플루토스</t>
        </is>
      </c>
      <c r="G6058" s="2" t="inlineStr">
        <is>
          <t>20260528900844</t>
        </is>
      </c>
      <c r="H6058" s="8">
        <f>HYPERLINK("https://dart.fss.or.kr/dsaf001/main.do?rcpNo=20260528900844", "공시열람")</f>
        <v/>
      </c>
    </row>
    <row r="6059">
      <c r="A6059" s="2" t="inlineStr">
        <is>
          <t>2026-05-21</t>
        </is>
      </c>
      <c r="B6059" s="3" t="inlineStr">
        <is>
          <t>삼성증권</t>
        </is>
      </c>
      <c r="C6059" s="2" t="inlineStr">
        <is>
          <t>코스피</t>
        </is>
      </c>
      <c r="D6059" s="2" t="inlineStr">
        <is>
          <t>016360</t>
        </is>
      </c>
      <c r="E6059" s="3" t="inlineStr">
        <is>
          <t>투자설명서(일괄신고)</t>
        </is>
      </c>
      <c r="F6059" s="3" t="inlineStr">
        <is>
          <t>삼성증권</t>
        </is>
      </c>
      <c r="G6059" s="2" t="inlineStr">
        <is>
          <t>20260521000728</t>
        </is>
      </c>
      <c r="H6059" s="8">
        <f>HYPERLINK("https://dart.fss.or.kr/dsaf001/main.do?rcpNo=20260521000728", "공시열람")</f>
        <v/>
      </c>
    </row>
    <row r="6060">
      <c r="A6060" s="2" t="inlineStr">
        <is>
          <t>2026-05-21</t>
        </is>
      </c>
      <c r="B6060" s="3" t="inlineStr">
        <is>
          <t>신영증권</t>
        </is>
      </c>
      <c r="C6060" s="2" t="inlineStr">
        <is>
          <t>코스피</t>
        </is>
      </c>
      <c r="D6060" s="2" t="inlineStr">
        <is>
          <t>001720</t>
        </is>
      </c>
      <c r="E6060" s="3" t="inlineStr">
        <is>
          <t>일괄신고추가서류(파생결합증권-주가연계증권)</t>
        </is>
      </c>
      <c r="F6060" s="3" t="inlineStr">
        <is>
          <t>신영증권</t>
        </is>
      </c>
      <c r="G6060" s="2" t="inlineStr">
        <is>
          <t>20260521000727</t>
        </is>
      </c>
      <c r="H6060" s="8">
        <f>HYPERLINK("https://dart.fss.or.kr/dsaf001/main.do?rcpNo=20260521000727", "공시열람")</f>
        <v/>
      </c>
    </row>
    <row r="6061">
      <c r="A6061" s="2" t="inlineStr">
        <is>
          <t>2026-05-21</t>
        </is>
      </c>
      <c r="B6061" s="3" t="inlineStr">
        <is>
          <t>SK증권</t>
        </is>
      </c>
      <c r="C6061" s="2" t="inlineStr">
        <is>
          <t>코스피</t>
        </is>
      </c>
      <c r="D6061" s="2" t="inlineStr">
        <is>
          <t>001510</t>
        </is>
      </c>
      <c r="E6061" s="3" t="inlineStr">
        <is>
          <t>투자설명서(일괄신고)</t>
        </is>
      </c>
      <c r="F6061" s="3" t="inlineStr">
        <is>
          <t>SK증권</t>
        </is>
      </c>
      <c r="G6061" s="2" t="inlineStr">
        <is>
          <t>20260521000726</t>
        </is>
      </c>
      <c r="H6061" s="8">
        <f>HYPERLINK("https://dart.fss.or.kr/dsaf001/main.do?rcpNo=20260521000726", "공시열람")</f>
        <v/>
      </c>
    </row>
    <row r="6062">
      <c r="A6062" s="2" t="inlineStr">
        <is>
          <t>2026-05-21</t>
        </is>
      </c>
      <c r="B6062" s="3" t="inlineStr">
        <is>
          <t>로킷헬스케어</t>
        </is>
      </c>
      <c r="C6062" s="2" t="inlineStr">
        <is>
          <t>코스닥</t>
        </is>
      </c>
      <c r="D6062" s="2" t="inlineStr">
        <is>
          <t>376900</t>
        </is>
      </c>
      <c r="E6062" s="3" t="inlineStr">
        <is>
          <t>임원ㆍ주요주주특정증권등소유상황보고서</t>
        </is>
      </c>
      <c r="F6062" s="3" t="inlineStr">
        <is>
          <t>이영일</t>
        </is>
      </c>
      <c r="G6062" s="2" t="inlineStr">
        <is>
          <t>20260521000718</t>
        </is>
      </c>
      <c r="H6062" s="8">
        <f>HYPERLINK("https://dart.fss.or.kr/dsaf001/main.do?rcpNo=20260521000718", "공시열람")</f>
        <v/>
      </c>
    </row>
    <row r="6063">
      <c r="A6063" s="2" t="inlineStr">
        <is>
          <t>2026-05-21</t>
        </is>
      </c>
      <c r="B6063" s="3" t="inlineStr">
        <is>
          <t>서울전자통신</t>
        </is>
      </c>
      <c r="C6063" s="2" t="inlineStr">
        <is>
          <t>코스닥</t>
        </is>
      </c>
      <c r="D6063" s="2" t="inlineStr">
        <is>
          <t>027040</t>
        </is>
      </c>
      <c r="E6063" s="3" t="inlineStr">
        <is>
          <t xml:space="preserve">주주명부폐쇄기간또는기준일설정              </t>
        </is>
      </c>
      <c r="F6063" s="3" t="inlineStr">
        <is>
          <t>서울전자통신</t>
        </is>
      </c>
      <c r="G6063" s="2" t="inlineStr">
        <is>
          <t>20260521900806</t>
        </is>
      </c>
      <c r="H6063" s="8">
        <f>HYPERLINK("https://dart.fss.or.kr/dsaf001/main.do?rcpNo=20260521900806", "공시열람")</f>
        <v/>
      </c>
    </row>
    <row r="6064">
      <c r="A6064" s="2" t="inlineStr">
        <is>
          <t>2026-05-21 (정정: 2026-05-29)</t>
        </is>
      </c>
      <c r="B6064" s="3" t="inlineStr">
        <is>
          <t>나우로보틱스</t>
        </is>
      </c>
      <c r="C6064" s="2" t="inlineStr">
        <is>
          <t>코스닥</t>
        </is>
      </c>
      <c r="D6064" s="2" t="inlineStr">
        <is>
          <t>459510</t>
        </is>
      </c>
      <c r="E6064" s="3" t="inlineStr">
        <is>
          <t>임원ㆍ주요주주특정증권등소유상황보고서 (정정: 20260529)</t>
        </is>
      </c>
      <c r="F6064" s="3" t="inlineStr">
        <is>
          <t>최선섭</t>
        </is>
      </c>
      <c r="G6064" s="2" t="inlineStr">
        <is>
          <t>20260529001704</t>
        </is>
      </c>
      <c r="H6064" s="8">
        <f>HYPERLINK("https://dart.fss.or.kr/dsaf001/main.do?rcpNo=20260529001704", "공시열람")</f>
        <v/>
      </c>
    </row>
    <row r="6065">
      <c r="A6065" s="2" t="inlineStr">
        <is>
          <t>2026-05-21</t>
        </is>
      </c>
      <c r="B6065" s="3" t="inlineStr">
        <is>
          <t>로킷헬스케어</t>
        </is>
      </c>
      <c r="C6065" s="2" t="inlineStr">
        <is>
          <t>코스닥</t>
        </is>
      </c>
      <c r="D6065" s="2" t="inlineStr">
        <is>
          <t>376900</t>
        </is>
      </c>
      <c r="E6065" s="3" t="inlineStr">
        <is>
          <t>임원ㆍ주요주주특정증권등소유상황보고서</t>
        </is>
      </c>
      <c r="F6065" s="3" t="inlineStr">
        <is>
          <t>이상민</t>
        </is>
      </c>
      <c r="G6065" s="2" t="inlineStr">
        <is>
          <t>20260521000713</t>
        </is>
      </c>
      <c r="H6065" s="8">
        <f>HYPERLINK("https://dart.fss.or.kr/dsaf001/main.do?rcpNo=20260521000713", "공시열람")</f>
        <v/>
      </c>
    </row>
    <row r="6066">
      <c r="A6066" s="2" t="inlineStr">
        <is>
          <t>2026-05-21</t>
        </is>
      </c>
      <c r="B6066" s="3" t="inlineStr">
        <is>
          <t>탑선</t>
        </is>
      </c>
      <c r="C6066" s="2" t="inlineStr">
        <is>
          <t>코넥스</t>
        </is>
      </c>
      <c r="D6066" s="2" t="inlineStr">
        <is>
          <t>180060</t>
        </is>
      </c>
      <c r="E6066" s="3" t="inlineStr">
        <is>
          <t xml:space="preserve">기업설명회(IR)개최              </t>
        </is>
      </c>
      <c r="F6066" s="3" t="inlineStr">
        <is>
          <t>탑선</t>
        </is>
      </c>
      <c r="G6066" s="2" t="inlineStr">
        <is>
          <t>20260521600895</t>
        </is>
      </c>
      <c r="H6066" s="8">
        <f>HYPERLINK("https://dart.fss.or.kr/dsaf001/main.do?rcpNo=20260521600895", "공시열람")</f>
        <v/>
      </c>
    </row>
    <row r="6067">
      <c r="A6067" s="2" t="inlineStr">
        <is>
          <t>2026-05-21</t>
        </is>
      </c>
      <c r="B6067" s="3" t="inlineStr">
        <is>
          <t>로킷헬스케어</t>
        </is>
      </c>
      <c r="C6067" s="2" t="inlineStr">
        <is>
          <t>코스닥</t>
        </is>
      </c>
      <c r="D6067" s="2" t="inlineStr">
        <is>
          <t>376900</t>
        </is>
      </c>
      <c r="E6067" s="3" t="inlineStr">
        <is>
          <t>임원ㆍ주요주주특정증권등소유상황보고서</t>
        </is>
      </c>
      <c r="F6067" s="3" t="inlineStr">
        <is>
          <t>이민구</t>
        </is>
      </c>
      <c r="G6067" s="2" t="inlineStr">
        <is>
          <t>20260521000712</t>
        </is>
      </c>
      <c r="H6067" s="8">
        <f>HYPERLINK("https://dart.fss.or.kr/dsaf001/main.do?rcpNo=20260521000712", "공시열람")</f>
        <v/>
      </c>
    </row>
    <row r="6068">
      <c r="A6068" s="2" t="inlineStr">
        <is>
          <t>2026-05-21</t>
        </is>
      </c>
      <c r="B6068" s="3" t="inlineStr">
        <is>
          <t>엔지브이아이</t>
        </is>
      </c>
      <c r="C6068" s="2" t="inlineStr">
        <is>
          <t>코넥스</t>
        </is>
      </c>
      <c r="D6068" s="2" t="inlineStr">
        <is>
          <t>093510</t>
        </is>
      </c>
      <c r="E6068" s="3" t="inlineStr">
        <is>
          <t xml:space="preserve">기업설명회(IR)개최결과              </t>
        </is>
      </c>
      <c r="F6068" s="3" t="inlineStr">
        <is>
          <t>엔지브이아이</t>
        </is>
      </c>
      <c r="G6068" s="2" t="inlineStr">
        <is>
          <t>20260521600877</t>
        </is>
      </c>
      <c r="H6068" s="8">
        <f>HYPERLINK("https://dart.fss.or.kr/dsaf001/main.do?rcpNo=20260521600877", "공시열람")</f>
        <v/>
      </c>
    </row>
    <row r="6069">
      <c r="A6069" s="2" t="inlineStr">
        <is>
          <t>2026-05-21</t>
        </is>
      </c>
      <c r="B6069" s="3" t="inlineStr">
        <is>
          <t>세기상사</t>
        </is>
      </c>
      <c r="C6069" s="2" t="inlineStr">
        <is>
          <t>코스피</t>
        </is>
      </c>
      <c r="D6069" s="2" t="inlineStr">
        <is>
          <t>002420</t>
        </is>
      </c>
      <c r="E6069" s="3" t="inlineStr">
        <is>
          <t xml:space="preserve">매매거래정지및정지해제(중요내용공시)              </t>
        </is>
      </c>
      <c r="F6069" s="3" t="inlineStr">
        <is>
          <t>유가증권시장본부</t>
        </is>
      </c>
      <c r="G6069" s="2" t="inlineStr">
        <is>
          <t>20260521800861</t>
        </is>
      </c>
      <c r="H6069" s="8">
        <f>HYPERLINK("https://dart.fss.or.kr/dsaf001/main.do?rcpNo=20260521800861", "공시열람")</f>
        <v/>
      </c>
    </row>
    <row r="6070">
      <c r="A6070" s="2" t="inlineStr">
        <is>
          <t>2026-05-21</t>
        </is>
      </c>
      <c r="B6070" s="3" t="inlineStr">
        <is>
          <t>가이아코퍼레이션</t>
        </is>
      </c>
      <c r="C6070" s="2" t="inlineStr">
        <is>
          <t>코넥스</t>
        </is>
      </c>
      <c r="D6070" s="2" t="inlineStr">
        <is>
          <t>296520</t>
        </is>
      </c>
      <c r="E6070" s="3" t="inlineStr">
        <is>
          <t xml:space="preserve">기업설명회(IR)개최결과              </t>
        </is>
      </c>
      <c r="F6070" s="3" t="inlineStr">
        <is>
          <t>가이아코퍼레이션</t>
        </is>
      </c>
      <c r="G6070" s="2" t="inlineStr">
        <is>
          <t>20260521600811</t>
        </is>
      </c>
      <c r="H6070" s="8">
        <f>HYPERLINK("https://dart.fss.or.kr/dsaf001/main.do?rcpNo=20260521600811", "공시열람")</f>
        <v/>
      </c>
    </row>
    <row r="6071">
      <c r="A6071" s="2" t="inlineStr">
        <is>
          <t>2026-05-21</t>
        </is>
      </c>
      <c r="B6071" s="3" t="inlineStr">
        <is>
          <t>로킷헬스케어</t>
        </is>
      </c>
      <c r="C6071" s="2" t="inlineStr">
        <is>
          <t>코스닥</t>
        </is>
      </c>
      <c r="D6071" s="2" t="inlineStr">
        <is>
          <t>376900</t>
        </is>
      </c>
      <c r="E6071" s="3" t="inlineStr">
        <is>
          <t>임원ㆍ주요주주특정증권등소유상황보고서</t>
        </is>
      </c>
      <c r="F6071" s="3" t="inlineStr">
        <is>
          <t>유석환</t>
        </is>
      </c>
      <c r="G6071" s="2" t="inlineStr">
        <is>
          <t>20260521000709</t>
        </is>
      </c>
      <c r="H6071" s="8">
        <f>HYPERLINK("https://dart.fss.or.kr/dsaf001/main.do?rcpNo=20260521000709", "공시열람")</f>
        <v/>
      </c>
    </row>
    <row r="6072">
      <c r="A6072" s="2" t="inlineStr">
        <is>
          <t>2026-05-21</t>
        </is>
      </c>
      <c r="B6072" s="3" t="inlineStr">
        <is>
          <t>로킷헬스케어</t>
        </is>
      </c>
      <c r="C6072" s="2" t="inlineStr">
        <is>
          <t>코스닥</t>
        </is>
      </c>
      <c r="D6072" s="2" t="inlineStr">
        <is>
          <t>376900</t>
        </is>
      </c>
      <c r="E6072" s="3" t="inlineStr">
        <is>
          <t>임원ㆍ주요주주특정증권등소유상황보고서</t>
        </is>
      </c>
      <c r="F6072" s="3" t="inlineStr">
        <is>
          <t>김대영</t>
        </is>
      </c>
      <c r="G6072" s="2" t="inlineStr">
        <is>
          <t>20260521000706</t>
        </is>
      </c>
      <c r="H6072" s="8">
        <f>HYPERLINK("https://dart.fss.or.kr/dsaf001/main.do?rcpNo=20260521000706", "공시열람")</f>
        <v/>
      </c>
    </row>
    <row r="6073">
      <c r="A6073" s="2" t="inlineStr">
        <is>
          <t>2026-05-21</t>
        </is>
      </c>
      <c r="B6073" s="3" t="inlineStr">
        <is>
          <t>교보증권</t>
        </is>
      </c>
      <c r="C6073" s="2" t="inlineStr">
        <is>
          <t>코스피</t>
        </is>
      </c>
      <c r="D6073" s="2" t="inlineStr">
        <is>
          <t>030610</t>
        </is>
      </c>
      <c r="E6073" s="3" t="inlineStr">
        <is>
          <t>투자설명서(일괄신고)</t>
        </is>
      </c>
      <c r="F6073" s="3" t="inlineStr">
        <is>
          <t>교보증권</t>
        </is>
      </c>
      <c r="G6073" s="2" t="inlineStr">
        <is>
          <t>20260521000705</t>
        </is>
      </c>
      <c r="H6073" s="8">
        <f>HYPERLINK("https://dart.fss.or.kr/dsaf001/main.do?rcpNo=20260521000705", "공시열람")</f>
        <v/>
      </c>
    </row>
    <row r="6074">
      <c r="A6074" s="2" t="inlineStr">
        <is>
          <t>2026-05-21</t>
        </is>
      </c>
      <c r="B6074" s="3" t="inlineStr">
        <is>
          <t>미래에셋증권</t>
        </is>
      </c>
      <c r="C6074" s="2" t="inlineStr">
        <is>
          <t>코스피</t>
        </is>
      </c>
      <c r="D6074" s="2" t="inlineStr">
        <is>
          <t>006800</t>
        </is>
      </c>
      <c r="E6074" s="3" t="inlineStr">
        <is>
          <t>증권발행실적보고서</t>
        </is>
      </c>
      <c r="F6074" s="3" t="inlineStr">
        <is>
          <t>미래에셋증권</t>
        </is>
      </c>
      <c r="G6074" s="2" t="inlineStr">
        <is>
          <t>20260521000704</t>
        </is>
      </c>
      <c r="H6074" s="8">
        <f>HYPERLINK("https://dart.fss.or.kr/dsaf001/main.do?rcpNo=20260521000704", "공시열람")</f>
        <v/>
      </c>
    </row>
    <row r="6075">
      <c r="A6075" s="2" t="inlineStr">
        <is>
          <t>2026-05-21</t>
        </is>
      </c>
      <c r="B6075" s="3" t="inlineStr">
        <is>
          <t>로킷헬스케어</t>
        </is>
      </c>
      <c r="C6075" s="2" t="inlineStr">
        <is>
          <t>코스닥</t>
        </is>
      </c>
      <c r="D6075" s="2" t="inlineStr">
        <is>
          <t>376900</t>
        </is>
      </c>
      <c r="E6075" s="3" t="inlineStr">
        <is>
          <t>임원ㆍ주요주주특정증권등소유상황보고서</t>
        </is>
      </c>
      <c r="F6075" s="3" t="inlineStr">
        <is>
          <t>길윤기</t>
        </is>
      </c>
      <c r="G6075" s="2" t="inlineStr">
        <is>
          <t>20260521000703</t>
        </is>
      </c>
      <c r="H6075" s="8">
        <f>HYPERLINK("https://dart.fss.or.kr/dsaf001/main.do?rcpNo=20260521000703", "공시열람")</f>
        <v/>
      </c>
    </row>
    <row r="6076">
      <c r="A6076" s="2" t="inlineStr">
        <is>
          <t>2026-05-21</t>
        </is>
      </c>
      <c r="B6076" s="3" t="inlineStr">
        <is>
          <t>포스코인터내셔널</t>
        </is>
      </c>
      <c r="C6076" s="2" t="inlineStr">
        <is>
          <t>코스피</t>
        </is>
      </c>
      <c r="D6076" s="2" t="inlineStr">
        <is>
          <t>047050</t>
        </is>
      </c>
      <c r="E6076" s="3" t="inlineStr">
        <is>
          <t xml:space="preserve">기업설명회(IR)개최(안내공시)              </t>
        </is>
      </c>
      <c r="F6076" s="3" t="inlineStr">
        <is>
          <t>포스코인터내셔널</t>
        </is>
      </c>
      <c r="G6076" s="2" t="inlineStr">
        <is>
          <t>20260521800881</t>
        </is>
      </c>
      <c r="H6076" s="8">
        <f>HYPERLINK("https://dart.fss.or.kr/dsaf001/main.do?rcpNo=20260521800881", "공시열람")</f>
        <v/>
      </c>
    </row>
    <row r="6077">
      <c r="A6077" s="2" t="inlineStr">
        <is>
          <t>2026-05-21</t>
        </is>
      </c>
      <c r="B6077" s="3" t="inlineStr">
        <is>
          <t>교보증권</t>
        </is>
      </c>
      <c r="C6077" s="2" t="inlineStr">
        <is>
          <t>코스피</t>
        </is>
      </c>
      <c r="D6077" s="2" t="inlineStr">
        <is>
          <t>030610</t>
        </is>
      </c>
      <c r="E6077" s="3" t="inlineStr">
        <is>
          <t>일괄신고추가서류(파생결합사채-주가연계파생결합사채)</t>
        </is>
      </c>
      <c r="F6077" s="3" t="inlineStr">
        <is>
          <t>교보증권</t>
        </is>
      </c>
      <c r="G6077" s="2" t="inlineStr">
        <is>
          <t>20260521000700</t>
        </is>
      </c>
      <c r="H6077" s="8">
        <f>HYPERLINK("https://dart.fss.or.kr/dsaf001/main.do?rcpNo=20260521000700", "공시열람")</f>
        <v/>
      </c>
    </row>
    <row r="6078">
      <c r="A6078" s="2" t="inlineStr">
        <is>
          <t>2026-05-21</t>
        </is>
      </c>
      <c r="B6078" s="3" t="inlineStr">
        <is>
          <t>GST</t>
        </is>
      </c>
      <c r="C6078" s="2" t="inlineStr">
        <is>
          <t>코스닥</t>
        </is>
      </c>
      <c r="D6078" s="2" t="inlineStr">
        <is>
          <t>083450</t>
        </is>
      </c>
      <c r="E6078" s="3" t="inlineStr">
        <is>
          <t>임원ㆍ주요주주특정증권등소유상황보고서</t>
        </is>
      </c>
      <c r="F6078" s="3" t="inlineStr">
        <is>
          <t>이순창</t>
        </is>
      </c>
      <c r="G6078" s="2" t="inlineStr">
        <is>
          <t>20260521000693</t>
        </is>
      </c>
      <c r="H6078" s="8">
        <f>HYPERLINK("https://dart.fss.or.kr/dsaf001/main.do?rcpNo=20260521000693", "공시열람")</f>
        <v/>
      </c>
    </row>
    <row r="6079">
      <c r="A6079" s="2" t="inlineStr">
        <is>
          <t>2026-05-21</t>
        </is>
      </c>
      <c r="B6079" s="3" t="inlineStr">
        <is>
          <t>교보증권</t>
        </is>
      </c>
      <c r="C6079" s="2" t="inlineStr">
        <is>
          <t>코스피</t>
        </is>
      </c>
      <c r="D6079" s="2" t="inlineStr">
        <is>
          <t>030610</t>
        </is>
      </c>
      <c r="E6079" s="3" t="inlineStr">
        <is>
          <t>투자설명서(일괄신고)</t>
        </is>
      </c>
      <c r="F6079" s="3" t="inlineStr">
        <is>
          <t>교보증권</t>
        </is>
      </c>
      <c r="G6079" s="2" t="inlineStr">
        <is>
          <t>20260521000688</t>
        </is>
      </c>
      <c r="H6079" s="8">
        <f>HYPERLINK("https://dart.fss.or.kr/dsaf001/main.do?rcpNo=20260521000688", "공시열람")</f>
        <v/>
      </c>
    </row>
    <row r="6080">
      <c r="A6080" s="2" t="inlineStr">
        <is>
          <t>2026-05-21</t>
        </is>
      </c>
      <c r="B6080" s="3" t="inlineStr">
        <is>
          <t>삼성증권</t>
        </is>
      </c>
      <c r="C6080" s="2" t="inlineStr">
        <is>
          <t>코스피</t>
        </is>
      </c>
      <c r="D6080" s="2" t="inlineStr">
        <is>
          <t>016360</t>
        </is>
      </c>
      <c r="E6080" s="3" t="inlineStr">
        <is>
          <t>일괄신고추가서류(파생결합증권-상장지수증권)</t>
        </is>
      </c>
      <c r="F6080" s="3" t="inlineStr">
        <is>
          <t>삼성증권</t>
        </is>
      </c>
      <c r="G6080" s="2" t="inlineStr">
        <is>
          <t>20260521000679</t>
        </is>
      </c>
      <c r="H6080" s="8">
        <f>HYPERLINK("https://dart.fss.or.kr/dsaf001/main.do?rcpNo=20260521000679", "공시열람")</f>
        <v/>
      </c>
    </row>
    <row r="6081">
      <c r="A6081" s="2" t="inlineStr">
        <is>
          <t>2026-05-21</t>
        </is>
      </c>
      <c r="B6081" s="3" t="inlineStr">
        <is>
          <t>오늘이엔엠</t>
        </is>
      </c>
      <c r="C6081" s="2" t="inlineStr">
        <is>
          <t>코스닥</t>
        </is>
      </c>
      <c r="D6081" s="2" t="inlineStr">
        <is>
          <t>192410</t>
        </is>
      </c>
      <c r="E6081" s="3" t="inlineStr">
        <is>
          <t>소송등의판결ㆍ결정              (전환사채주식전환 및 주권상장금지등-취하)</t>
        </is>
      </c>
      <c r="F6081" s="3" t="inlineStr">
        <is>
          <t>오늘이엔엠</t>
        </is>
      </c>
      <c r="G6081" s="2" t="inlineStr">
        <is>
          <t>20260521900819</t>
        </is>
      </c>
      <c r="H6081" s="8">
        <f>HYPERLINK("https://dart.fss.or.kr/dsaf001/main.do?rcpNo=20260521900819", "공시열람")</f>
        <v/>
      </c>
    </row>
    <row r="6082">
      <c r="A6082" s="2" t="inlineStr">
        <is>
          <t>2026-05-21</t>
        </is>
      </c>
      <c r="B6082" s="3" t="inlineStr">
        <is>
          <t>파인텍</t>
        </is>
      </c>
      <c r="C6082" s="2" t="inlineStr">
        <is>
          <t>코스닥</t>
        </is>
      </c>
      <c r="D6082" s="2" t="inlineStr">
        <is>
          <t>131760</t>
        </is>
      </c>
      <c r="E6082" s="3" t="inlineStr">
        <is>
          <t>주권매매거래정지해제              (액면병합 주권 변경상장)</t>
        </is>
      </c>
      <c r="F6082" s="3" t="inlineStr">
        <is>
          <t>코스닥시장본부</t>
        </is>
      </c>
      <c r="G6082" s="2" t="inlineStr">
        <is>
          <t>20260521900826</t>
        </is>
      </c>
      <c r="H6082" s="8">
        <f>HYPERLINK("https://dart.fss.or.kr/dsaf001/main.do?rcpNo=20260521900826", "공시열람")</f>
        <v/>
      </c>
    </row>
    <row r="6083">
      <c r="A6083" s="2" t="inlineStr">
        <is>
          <t>2026-05-21</t>
        </is>
      </c>
      <c r="B6083" s="3" t="inlineStr">
        <is>
          <t>코람코라이프인프라리츠</t>
        </is>
      </c>
      <c r="C6083" s="2" t="inlineStr">
        <is>
          <t>코스피</t>
        </is>
      </c>
      <c r="D6083" s="2" t="inlineStr">
        <is>
          <t>357120</t>
        </is>
      </c>
      <c r="E6083" s="3" t="inlineStr">
        <is>
          <t>임원ㆍ주요주주특정증권등소유상황보고서</t>
        </is>
      </c>
      <c r="F6083" s="3" t="inlineStr">
        <is>
          <t>미래에셋자산운용</t>
        </is>
      </c>
      <c r="G6083" s="2" t="inlineStr">
        <is>
          <t>20260521000674</t>
        </is>
      </c>
      <c r="H6083" s="8">
        <f>HYPERLINK("https://dart.fss.or.kr/dsaf001/main.do?rcpNo=20260521000674", "공시열람")</f>
        <v/>
      </c>
    </row>
    <row r="6084">
      <c r="A6084" s="2" t="inlineStr">
        <is>
          <t>2026-05-21</t>
        </is>
      </c>
      <c r="B6084" s="3" t="inlineStr">
        <is>
          <t>키움증권</t>
        </is>
      </c>
      <c r="C6084" s="2" t="inlineStr">
        <is>
          <t>코스피</t>
        </is>
      </c>
      <c r="D6084" s="2" t="inlineStr">
        <is>
          <t>039490</t>
        </is>
      </c>
      <c r="E6084" s="3" t="inlineStr">
        <is>
          <t>투자설명서(일괄신고)</t>
        </is>
      </c>
      <c r="F6084" s="3" t="inlineStr">
        <is>
          <t>키움증권</t>
        </is>
      </c>
      <c r="G6084" s="2" t="inlineStr">
        <is>
          <t>20260521000673</t>
        </is>
      </c>
      <c r="H6084" s="8">
        <f>HYPERLINK("https://dart.fss.or.kr/dsaf001/main.do?rcpNo=20260521000673", "공시열람")</f>
        <v/>
      </c>
    </row>
    <row r="6085">
      <c r="A6085" s="2" t="inlineStr">
        <is>
          <t>2026-05-21</t>
        </is>
      </c>
      <c r="B6085" s="3" t="inlineStr">
        <is>
          <t>이지스밸류플러스리츠</t>
        </is>
      </c>
      <c r="C6085" s="2" t="inlineStr">
        <is>
          <t>코스피</t>
        </is>
      </c>
      <c r="D6085" s="2" t="inlineStr">
        <is>
          <t>334890</t>
        </is>
      </c>
      <c r="E6085" s="3" t="inlineStr">
        <is>
          <t>임원ㆍ주요주주특정증권등소유상황보고서</t>
        </is>
      </c>
      <c r="F6085" s="3" t="inlineStr">
        <is>
          <t>미래에셋자산운용</t>
        </is>
      </c>
      <c r="G6085" s="2" t="inlineStr">
        <is>
          <t>20260521000672</t>
        </is>
      </c>
      <c r="H6085" s="8">
        <f>HYPERLINK("https://dart.fss.or.kr/dsaf001/main.do?rcpNo=20260521000672", "공시열람")</f>
        <v/>
      </c>
    </row>
    <row r="6086">
      <c r="A6086" s="2" t="inlineStr">
        <is>
          <t>2026-05-21</t>
        </is>
      </c>
      <c r="B6086" s="3" t="inlineStr">
        <is>
          <t>이리츠코크렙</t>
        </is>
      </c>
      <c r="C6086" s="2" t="inlineStr">
        <is>
          <t>코스피</t>
        </is>
      </c>
      <c r="D6086" s="2" t="inlineStr">
        <is>
          <t>088260</t>
        </is>
      </c>
      <c r="E6086" s="3" t="inlineStr">
        <is>
          <t>임원ㆍ주요주주특정증권등소유상황보고서</t>
        </is>
      </c>
      <c r="F6086" s="3" t="inlineStr">
        <is>
          <t>미래에셋자산운용</t>
        </is>
      </c>
      <c r="G6086" s="2" t="inlineStr">
        <is>
          <t>20260521000671</t>
        </is>
      </c>
      <c r="H6086" s="8">
        <f>HYPERLINK("https://dart.fss.or.kr/dsaf001/main.do?rcpNo=20260521000671", "공시열람")</f>
        <v/>
      </c>
    </row>
    <row r="6087">
      <c r="A6087" s="2" t="inlineStr">
        <is>
          <t>2026-05-21</t>
        </is>
      </c>
      <c r="B6087" s="3" t="inlineStr">
        <is>
          <t>신한알파리츠</t>
        </is>
      </c>
      <c r="C6087" s="2" t="inlineStr">
        <is>
          <t>코스피</t>
        </is>
      </c>
      <c r="D6087" s="2" t="inlineStr">
        <is>
          <t>293940</t>
        </is>
      </c>
      <c r="E6087" s="3" t="inlineStr">
        <is>
          <t>임원ㆍ주요주주특정증권등소유상황보고서</t>
        </is>
      </c>
      <c r="F6087" s="3" t="inlineStr">
        <is>
          <t>미래에셋자산운용</t>
        </is>
      </c>
      <c r="G6087" s="2" t="inlineStr">
        <is>
          <t>20260521000670</t>
        </is>
      </c>
      <c r="H6087" s="8">
        <f>HYPERLINK("https://dart.fss.or.kr/dsaf001/main.do?rcpNo=20260521000670", "공시열람")</f>
        <v/>
      </c>
    </row>
    <row r="6088">
      <c r="A6088" s="2" t="inlineStr">
        <is>
          <t>2026-05-21</t>
        </is>
      </c>
      <c r="B6088" s="3" t="inlineStr">
        <is>
          <t>교보증권</t>
        </is>
      </c>
      <c r="C6088" s="2" t="inlineStr">
        <is>
          <t>코스피</t>
        </is>
      </c>
      <c r="D6088" s="2" t="inlineStr">
        <is>
          <t>030610</t>
        </is>
      </c>
      <c r="E6088" s="3" t="inlineStr">
        <is>
          <t>투자설명서(일괄신고)</t>
        </is>
      </c>
      <c r="F6088" s="3" t="inlineStr">
        <is>
          <t>교보증권</t>
        </is>
      </c>
      <c r="G6088" s="2" t="inlineStr">
        <is>
          <t>20260521000669</t>
        </is>
      </c>
      <c r="H6088" s="8">
        <f>HYPERLINK("https://dart.fss.or.kr/dsaf001/main.do?rcpNo=20260521000669", "공시열람")</f>
        <v/>
      </c>
    </row>
    <row r="6089">
      <c r="A6089" s="2" t="inlineStr">
        <is>
          <t>2026-05-21</t>
        </is>
      </c>
      <c r="B6089" s="3" t="inlineStr">
        <is>
          <t>롯데리츠</t>
        </is>
      </c>
      <c r="C6089" s="2" t="inlineStr">
        <is>
          <t>코스피</t>
        </is>
      </c>
      <c r="D6089" s="2" t="inlineStr">
        <is>
          <t>330590</t>
        </is>
      </c>
      <c r="E6089" s="3" t="inlineStr">
        <is>
          <t>임원ㆍ주요주주특정증권등소유상황보고서</t>
        </is>
      </c>
      <c r="F6089" s="3" t="inlineStr">
        <is>
          <t>미래에셋자산운용</t>
        </is>
      </c>
      <c r="G6089" s="2" t="inlineStr">
        <is>
          <t>20260521000668</t>
        </is>
      </c>
      <c r="H6089" s="8">
        <f>HYPERLINK("https://dart.fss.or.kr/dsaf001/main.do?rcpNo=20260521000668", "공시열람")</f>
        <v/>
      </c>
    </row>
    <row r="6090">
      <c r="A6090" s="2" t="inlineStr">
        <is>
          <t>2026-05-21</t>
        </is>
      </c>
      <c r="B6090" s="3" t="inlineStr">
        <is>
          <t>ESR켄달스퀘어리츠</t>
        </is>
      </c>
      <c r="C6090" s="2" t="inlineStr">
        <is>
          <t>코스피</t>
        </is>
      </c>
      <c r="D6090" s="2" t="inlineStr">
        <is>
          <t>365550</t>
        </is>
      </c>
      <c r="E6090" s="3" t="inlineStr">
        <is>
          <t>임원ㆍ주요주주특정증권등소유상황보고서</t>
        </is>
      </c>
      <c r="F6090" s="3" t="inlineStr">
        <is>
          <t>미래에셋자산운용</t>
        </is>
      </c>
      <c r="G6090" s="2" t="inlineStr">
        <is>
          <t>20260521000667</t>
        </is>
      </c>
      <c r="H6090" s="8">
        <f>HYPERLINK("https://dart.fss.or.kr/dsaf001/main.do?rcpNo=20260521000667", "공시열람")</f>
        <v/>
      </c>
    </row>
    <row r="6091">
      <c r="A6091" s="2" t="inlineStr">
        <is>
          <t>2026-05-21</t>
        </is>
      </c>
      <c r="B6091" s="3" t="inlineStr">
        <is>
          <t>DB하이텍</t>
        </is>
      </c>
      <c r="C6091" s="2" t="inlineStr">
        <is>
          <t>코스피</t>
        </is>
      </c>
      <c r="D6091" s="2" t="inlineStr">
        <is>
          <t>000990</t>
        </is>
      </c>
      <c r="E6091" s="3" t="inlineStr">
        <is>
          <t>임원ㆍ주요주주특정증권등소유상황보고서</t>
        </is>
      </c>
      <c r="F6091" s="3" t="inlineStr">
        <is>
          <t>미래에셋자산운용</t>
        </is>
      </c>
      <c r="G6091" s="2" t="inlineStr">
        <is>
          <t>20260521000666</t>
        </is>
      </c>
      <c r="H6091" s="8">
        <f>HYPERLINK("https://dart.fss.or.kr/dsaf001/main.do?rcpNo=20260521000666", "공시열람")</f>
        <v/>
      </c>
    </row>
    <row r="6092">
      <c r="A6092" s="2" t="inlineStr">
        <is>
          <t>2026-05-21 (정정: 2026-05-22)</t>
        </is>
      </c>
      <c r="B6092" s="3" t="inlineStr">
        <is>
          <t>한화리츠</t>
        </is>
      </c>
      <c r="C6092" s="2" t="inlineStr">
        <is>
          <t>코스피</t>
        </is>
      </c>
      <c r="D6092" s="2" t="inlineStr">
        <is>
          <t>451800</t>
        </is>
      </c>
      <c r="E6092" s="3" t="inlineStr">
        <is>
          <t>임원ㆍ주요주주특정증권등소유상황보고서 (정정: 20260522)</t>
        </is>
      </c>
      <c r="F6092" s="3" t="inlineStr">
        <is>
          <t>미래에셋자산운용</t>
        </is>
      </c>
      <c r="G6092" s="2" t="inlineStr">
        <is>
          <t>20260522800506</t>
        </is>
      </c>
      <c r="H6092" s="8">
        <f>HYPERLINK("https://dart.fss.or.kr/dsaf001/main.do?rcpNo=20260522800506", "공시열람")</f>
        <v/>
      </c>
    </row>
    <row r="6093">
      <c r="A6093" s="2" t="inlineStr">
        <is>
          <t>2026-05-21</t>
        </is>
      </c>
      <c r="B6093" s="3" t="inlineStr">
        <is>
          <t>삼성FN리츠</t>
        </is>
      </c>
      <c r="C6093" s="2" t="inlineStr">
        <is>
          <t>코스피</t>
        </is>
      </c>
      <c r="D6093" s="2" t="inlineStr">
        <is>
          <t>448730</t>
        </is>
      </c>
      <c r="E6093" s="3" t="inlineStr">
        <is>
          <t>임원ㆍ주요주주특정증권등소유상황보고서</t>
        </is>
      </c>
      <c r="F6093" s="3" t="inlineStr">
        <is>
          <t>미래에셋자산운용</t>
        </is>
      </c>
      <c r="G6093" s="2" t="inlineStr">
        <is>
          <t>20260521000663</t>
        </is>
      </c>
      <c r="H6093" s="8">
        <f>HYPERLINK("https://dart.fss.or.kr/dsaf001/main.do?rcpNo=20260521000663", "공시열람")</f>
        <v/>
      </c>
    </row>
    <row r="6094">
      <c r="A6094" s="2" t="inlineStr">
        <is>
          <t>2026-05-21</t>
        </is>
      </c>
      <c r="B6094" s="3" t="inlineStr">
        <is>
          <t>코람코더원리츠</t>
        </is>
      </c>
      <c r="C6094" s="2" t="inlineStr">
        <is>
          <t>코스피</t>
        </is>
      </c>
      <c r="D6094" s="2" t="inlineStr">
        <is>
          <t>417310</t>
        </is>
      </c>
      <c r="E6094" s="3" t="inlineStr">
        <is>
          <t>임원ㆍ주요주주특정증권등소유상황보고서</t>
        </is>
      </c>
      <c r="F6094" s="3" t="inlineStr">
        <is>
          <t>미래에셋자산운용</t>
        </is>
      </c>
      <c r="G6094" s="2" t="inlineStr">
        <is>
          <t>20260521000662</t>
        </is>
      </c>
      <c r="H6094" s="8">
        <f>HYPERLINK("https://dart.fss.or.kr/dsaf001/main.do?rcpNo=20260521000662", "공시열람")</f>
        <v/>
      </c>
    </row>
    <row r="6095">
      <c r="A6095" s="2" t="inlineStr">
        <is>
          <t>2026-05-21</t>
        </is>
      </c>
      <c r="B6095" s="3" t="inlineStr">
        <is>
          <t>신한서부티엔디리츠</t>
        </is>
      </c>
      <c r="C6095" s="2" t="inlineStr">
        <is>
          <t>코스피</t>
        </is>
      </c>
      <c r="D6095" s="2" t="inlineStr">
        <is>
          <t>404990</t>
        </is>
      </c>
      <c r="E6095" s="3" t="inlineStr">
        <is>
          <t>임원ㆍ주요주주특정증권등소유상황보고서</t>
        </is>
      </c>
      <c r="F6095" s="3" t="inlineStr">
        <is>
          <t>미래에셋자산운용</t>
        </is>
      </c>
      <c r="G6095" s="2" t="inlineStr">
        <is>
          <t>20260521000661</t>
        </is>
      </c>
      <c r="H6095" s="8">
        <f>HYPERLINK("https://dart.fss.or.kr/dsaf001/main.do?rcpNo=20260521000661", "공시열람")</f>
        <v/>
      </c>
    </row>
    <row r="6096">
      <c r="A6096" s="2" t="inlineStr">
        <is>
          <t>2026-05-21</t>
        </is>
      </c>
      <c r="B6096" s="3" t="inlineStr">
        <is>
          <t>앱토크롬</t>
        </is>
      </c>
      <c r="C6096" s="2" t="inlineStr">
        <is>
          <t>코스닥</t>
        </is>
      </c>
      <c r="D6096" s="2" t="inlineStr">
        <is>
          <t>109960</t>
        </is>
      </c>
      <c r="E6096" s="3" t="inlineStr">
        <is>
          <t>임원ㆍ주요주주특정증권등거래계획보고서</t>
        </is>
      </c>
      <c r="F6096" s="3" t="inlineStr">
        <is>
          <t>에이프로젠</t>
        </is>
      </c>
      <c r="G6096" s="2" t="inlineStr">
        <is>
          <t>20260521000660</t>
        </is>
      </c>
      <c r="H6096" s="8">
        <f>HYPERLINK("https://dart.fss.or.kr/dsaf001/main.do?rcpNo=20260521000660", "공시열람")</f>
        <v/>
      </c>
    </row>
    <row r="6097">
      <c r="A6097" s="2" t="inlineStr">
        <is>
          <t>2026-05-21</t>
        </is>
      </c>
      <c r="B6097" s="3" t="inlineStr">
        <is>
          <t>SK리츠</t>
        </is>
      </c>
      <c r="C6097" s="2" t="inlineStr">
        <is>
          <t>코스피</t>
        </is>
      </c>
      <c r="D6097" s="2" t="inlineStr">
        <is>
          <t>395400</t>
        </is>
      </c>
      <c r="E6097" s="3" t="inlineStr">
        <is>
          <t>임원ㆍ주요주주특정증권등소유상황보고서</t>
        </is>
      </c>
      <c r="F6097" s="3" t="inlineStr">
        <is>
          <t>미래에셋자산운용</t>
        </is>
      </c>
      <c r="G6097" s="2" t="inlineStr">
        <is>
          <t>20260521000659</t>
        </is>
      </c>
      <c r="H6097" s="8">
        <f>HYPERLINK("https://dart.fss.or.kr/dsaf001/main.do?rcpNo=20260521000659", "공시열람")</f>
        <v/>
      </c>
    </row>
    <row r="6098">
      <c r="A6098" s="2" t="inlineStr">
        <is>
          <t>2026-05-21</t>
        </is>
      </c>
      <c r="B6098" s="3" t="inlineStr">
        <is>
          <t>디앤디플랫폼리츠</t>
        </is>
      </c>
      <c r="C6098" s="2" t="inlineStr">
        <is>
          <t>코스피</t>
        </is>
      </c>
      <c r="D6098" s="2" t="inlineStr">
        <is>
          <t>377190</t>
        </is>
      </c>
      <c r="E6098" s="3" t="inlineStr">
        <is>
          <t>임원ㆍ주요주주특정증권등소유상황보고서</t>
        </is>
      </c>
      <c r="F6098" s="3" t="inlineStr">
        <is>
          <t>미래에셋자산운용</t>
        </is>
      </c>
      <c r="G6098" s="2" t="inlineStr">
        <is>
          <t>20260521000657</t>
        </is>
      </c>
      <c r="H6098" s="8">
        <f>HYPERLINK("https://dart.fss.or.kr/dsaf001/main.do?rcpNo=20260521000657", "공시열람")</f>
        <v/>
      </c>
    </row>
    <row r="6099">
      <c r="A6099" s="2" t="inlineStr">
        <is>
          <t>2026-05-21</t>
        </is>
      </c>
      <c r="B6099" s="3" t="inlineStr">
        <is>
          <t>키움증권</t>
        </is>
      </c>
      <c r="C6099" s="2" t="inlineStr">
        <is>
          <t>코스피</t>
        </is>
      </c>
      <c r="D6099" s="2" t="inlineStr">
        <is>
          <t>039490</t>
        </is>
      </c>
      <c r="E6099" s="3" t="inlineStr">
        <is>
          <t>투자설명서(일괄신고)</t>
        </is>
      </c>
      <c r="F6099" s="3" t="inlineStr">
        <is>
          <t>키움증권</t>
        </is>
      </c>
      <c r="G6099" s="2" t="inlineStr">
        <is>
          <t>20260521000656</t>
        </is>
      </c>
      <c r="H6099" s="8">
        <f>HYPERLINK("https://dart.fss.or.kr/dsaf001/main.do?rcpNo=20260521000656", "공시열람")</f>
        <v/>
      </c>
    </row>
    <row r="6100">
      <c r="A6100" s="2" t="inlineStr">
        <is>
          <t>2026-05-21</t>
        </is>
      </c>
      <c r="B6100" s="3" t="inlineStr">
        <is>
          <t>교보증권</t>
        </is>
      </c>
      <c r="C6100" s="2" t="inlineStr">
        <is>
          <t>코스피</t>
        </is>
      </c>
      <c r="D6100" s="2" t="inlineStr">
        <is>
          <t>030610</t>
        </is>
      </c>
      <c r="E6100" s="3" t="inlineStr">
        <is>
          <t>일괄신고추가서류(파생결합사채-주가연계파생결합사채)</t>
        </is>
      </c>
      <c r="F6100" s="3" t="inlineStr">
        <is>
          <t>교보증권</t>
        </is>
      </c>
      <c r="G6100" s="2" t="inlineStr">
        <is>
          <t>20260521000655</t>
        </is>
      </c>
      <c r="H6100" s="8">
        <f>HYPERLINK("https://dart.fss.or.kr/dsaf001/main.do?rcpNo=20260521000655", "공시열람")</f>
        <v/>
      </c>
    </row>
    <row r="6101">
      <c r="A6101" s="2" t="inlineStr">
        <is>
          <t>2026-05-21</t>
        </is>
      </c>
      <c r="B6101" s="3" t="inlineStr">
        <is>
          <t>이지스밸류플러스리츠</t>
        </is>
      </c>
      <c r="C6101" s="2" t="inlineStr">
        <is>
          <t>코스피</t>
        </is>
      </c>
      <c r="D6101" s="2" t="inlineStr">
        <is>
          <t>334890</t>
        </is>
      </c>
      <c r="E6101" s="3" t="inlineStr">
        <is>
          <t xml:space="preserve">감사보고서제출              </t>
        </is>
      </c>
      <c r="F6101" s="3" t="inlineStr">
        <is>
          <t>이지스밸류플러스리츠</t>
        </is>
      </c>
      <c r="G6101" s="2" t="inlineStr">
        <is>
          <t>20260521800798</t>
        </is>
      </c>
      <c r="H6101" s="8">
        <f>HYPERLINK("https://dart.fss.or.kr/dsaf001/main.do?rcpNo=20260521800798", "공시열람")</f>
        <v/>
      </c>
    </row>
    <row r="6102">
      <c r="A6102" s="2" t="inlineStr">
        <is>
          <t>2026-05-21 (정정: 2026-05-21)</t>
        </is>
      </c>
      <c r="B6102" s="3" t="inlineStr">
        <is>
          <t>삼천리</t>
        </is>
      </c>
      <c r="C6102" s="2" t="inlineStr">
        <is>
          <t>코스피</t>
        </is>
      </c>
      <c r="D6102" s="2" t="inlineStr">
        <is>
          <t>004690</t>
        </is>
      </c>
      <c r="E6102" s="3" t="inlineStr">
        <is>
          <t>[발행조건확정]증권신고서(채무증권) (정정: 20260521)</t>
        </is>
      </c>
      <c r="F6102" s="3" t="inlineStr">
        <is>
          <t>삼천리</t>
        </is>
      </c>
      <c r="G6102" s="2" t="inlineStr">
        <is>
          <t>20260521000626</t>
        </is>
      </c>
      <c r="H6102" s="8">
        <f>HYPERLINK("https://dart.fss.or.kr/dsaf001/main.do?rcpNo=20260521000626", "공시열람")</f>
        <v/>
      </c>
    </row>
    <row r="6103">
      <c r="A6103" s="2" t="inlineStr">
        <is>
          <t>2026-05-21 (정정: 2026-05-26)</t>
        </is>
      </c>
      <c r="B6103" s="3" t="inlineStr">
        <is>
          <t>웰킵스하이텍</t>
        </is>
      </c>
      <c r="C6103" s="2" t="inlineStr">
        <is>
          <t>코스닥</t>
        </is>
      </c>
      <c r="D6103" s="2" t="inlineStr">
        <is>
          <t>043590</t>
        </is>
      </c>
      <c r="E6103" s="3" t="inlineStr">
        <is>
          <t>주권매매거래정지해제              (액면병합 주권 변경상장) (정정: 20260526)</t>
        </is>
      </c>
      <c r="F6103" s="3" t="inlineStr">
        <is>
          <t>코스닥시장본부</t>
        </is>
      </c>
      <c r="G6103" s="2" t="inlineStr">
        <is>
          <t>20260526900624</t>
        </is>
      </c>
      <c r="H6103" s="8">
        <f>HYPERLINK("https://dart.fss.or.kr/dsaf001/main.do?rcpNo=20260526900624", "공시열람")</f>
        <v/>
      </c>
    </row>
    <row r="6104">
      <c r="A6104" s="2" t="inlineStr">
        <is>
          <t>2026-05-21</t>
        </is>
      </c>
      <c r="B6104" s="3" t="inlineStr">
        <is>
          <t>모바일어플라이언스</t>
        </is>
      </c>
      <c r="C6104" s="2" t="inlineStr">
        <is>
          <t>코스닥</t>
        </is>
      </c>
      <c r="D6104" s="2" t="inlineStr">
        <is>
          <t>087260</t>
        </is>
      </c>
      <c r="E6104" s="3" t="inlineStr">
        <is>
          <t>임원ㆍ주요주주특정증권등소유상황보고서</t>
        </is>
      </c>
      <c r="F6104" s="3" t="inlineStr">
        <is>
          <t>대광</t>
        </is>
      </c>
      <c r="G6104" s="2" t="inlineStr">
        <is>
          <t>20260521000650</t>
        </is>
      </c>
      <c r="H6104" s="8">
        <f>HYPERLINK("https://dart.fss.or.kr/dsaf001/main.do?rcpNo=20260521000650", "공시열람")</f>
        <v/>
      </c>
    </row>
    <row r="6105">
      <c r="A6105" s="2" t="inlineStr">
        <is>
          <t>2026-05-21</t>
        </is>
      </c>
      <c r="B6105" s="3" t="inlineStr">
        <is>
          <t>레이크머티리얼즈</t>
        </is>
      </c>
      <c r="C6105" s="2" t="inlineStr">
        <is>
          <t>코스닥</t>
        </is>
      </c>
      <c r="D6105" s="2" t="inlineStr">
        <is>
          <t>281740</t>
        </is>
      </c>
      <c r="E6105" s="3" t="inlineStr">
        <is>
          <t xml:space="preserve">증권발행결과(자율공시)              </t>
        </is>
      </c>
      <c r="F6105" s="3" t="inlineStr">
        <is>
          <t>레이크머티리얼즈</t>
        </is>
      </c>
      <c r="G6105" s="2" t="inlineStr">
        <is>
          <t>20260521900815</t>
        </is>
      </c>
      <c r="H6105" s="8">
        <f>HYPERLINK("https://dart.fss.or.kr/dsaf001/main.do?rcpNo=20260521900815", "공시열람")</f>
        <v/>
      </c>
    </row>
    <row r="6106">
      <c r="A6106" s="2" t="inlineStr">
        <is>
          <t>2026-05-21</t>
        </is>
      </c>
      <c r="B6106" s="3" t="inlineStr">
        <is>
          <t>미래에셋증권</t>
        </is>
      </c>
      <c r="C6106" s="2" t="inlineStr">
        <is>
          <t>코스피</t>
        </is>
      </c>
      <c r="D6106" s="2" t="inlineStr">
        <is>
          <t>006800</t>
        </is>
      </c>
      <c r="E6106" s="3" t="inlineStr">
        <is>
          <t>투자설명서(일괄신고)</t>
        </is>
      </c>
      <c r="F6106" s="3" t="inlineStr">
        <is>
          <t>미래에셋증권</t>
        </is>
      </c>
      <c r="G6106" s="2" t="inlineStr">
        <is>
          <t>20260521000647</t>
        </is>
      </c>
      <c r="H6106" s="8">
        <f>HYPERLINK("https://dart.fss.or.kr/dsaf001/main.do?rcpNo=20260521000647", "공시열람")</f>
        <v/>
      </c>
    </row>
    <row r="6107">
      <c r="A6107" s="2" t="inlineStr">
        <is>
          <t>2026-05-21</t>
        </is>
      </c>
      <c r="B6107" s="3" t="inlineStr">
        <is>
          <t>현대차증권</t>
        </is>
      </c>
      <c r="C6107" s="2" t="inlineStr">
        <is>
          <t>코스피</t>
        </is>
      </c>
      <c r="D6107" s="2" t="inlineStr">
        <is>
          <t>001500</t>
        </is>
      </c>
      <c r="E6107" s="3" t="inlineStr">
        <is>
          <t>투자설명서(일괄신고)</t>
        </is>
      </c>
      <c r="F6107" s="3" t="inlineStr">
        <is>
          <t>현대차증권</t>
        </is>
      </c>
      <c r="G6107" s="2" t="inlineStr">
        <is>
          <t>20260521000639</t>
        </is>
      </c>
      <c r="H6107" s="8">
        <f>HYPERLINK("https://dart.fss.or.kr/dsaf001/main.do?rcpNo=20260521000639", "공시열람")</f>
        <v/>
      </c>
    </row>
    <row r="6108">
      <c r="A6108" s="2" t="inlineStr">
        <is>
          <t>2026-05-21</t>
        </is>
      </c>
      <c r="B6108" s="3" t="inlineStr">
        <is>
          <t>교보증권</t>
        </is>
      </c>
      <c r="C6108" s="2" t="inlineStr">
        <is>
          <t>코스피</t>
        </is>
      </c>
      <c r="D6108" s="2" t="inlineStr">
        <is>
          <t>030610</t>
        </is>
      </c>
      <c r="E6108" s="3" t="inlineStr">
        <is>
          <t>투자설명서(일괄신고)</t>
        </is>
      </c>
      <c r="F6108" s="3" t="inlineStr">
        <is>
          <t>교보증권</t>
        </is>
      </c>
      <c r="G6108" s="2" t="inlineStr">
        <is>
          <t>20260521000637</t>
        </is>
      </c>
      <c r="H6108" s="8">
        <f>HYPERLINK("https://dart.fss.or.kr/dsaf001/main.do?rcpNo=20260521000637", "공시열람")</f>
        <v/>
      </c>
    </row>
    <row r="6109">
      <c r="A6109" s="2" t="inlineStr">
        <is>
          <t>2026-05-21</t>
        </is>
      </c>
      <c r="B6109" s="3" t="inlineStr">
        <is>
          <t>DB증권</t>
        </is>
      </c>
      <c r="C6109" s="2" t="inlineStr">
        <is>
          <t>코스피</t>
        </is>
      </c>
      <c r="D6109" s="2" t="inlineStr">
        <is>
          <t>016610</t>
        </is>
      </c>
      <c r="E6109" s="3" t="inlineStr">
        <is>
          <t>투자설명서(일괄신고)</t>
        </is>
      </c>
      <c r="F6109" s="3" t="inlineStr">
        <is>
          <t>DB증권</t>
        </is>
      </c>
      <c r="G6109" s="2" t="inlineStr">
        <is>
          <t>20260521000633</t>
        </is>
      </c>
      <c r="H6109" s="8">
        <f>HYPERLINK("https://dart.fss.or.kr/dsaf001/main.do?rcpNo=20260521000633", "공시열람")</f>
        <v/>
      </c>
    </row>
    <row r="6110">
      <c r="A6110" s="2" t="inlineStr">
        <is>
          <t>2026-05-21</t>
        </is>
      </c>
      <c r="B6110" s="3" t="inlineStr">
        <is>
          <t>교보증권</t>
        </is>
      </c>
      <c r="C6110" s="2" t="inlineStr">
        <is>
          <t>코스피</t>
        </is>
      </c>
      <c r="D6110" s="2" t="inlineStr">
        <is>
          <t>030610</t>
        </is>
      </c>
      <c r="E6110" s="3" t="inlineStr">
        <is>
          <t>일괄신고추가서류(파생결합사채-주가연계파생결합사채)</t>
        </is>
      </c>
      <c r="F6110" s="3" t="inlineStr">
        <is>
          <t>교보증권</t>
        </is>
      </c>
      <c r="G6110" s="2" t="inlineStr">
        <is>
          <t>20260521000632</t>
        </is>
      </c>
      <c r="H6110" s="8">
        <f>HYPERLINK("https://dart.fss.or.kr/dsaf001/main.do?rcpNo=20260521000632", "공시열람")</f>
        <v/>
      </c>
    </row>
    <row r="6111">
      <c r="A6111" s="2" t="inlineStr">
        <is>
          <t>2026-05-21</t>
        </is>
      </c>
      <c r="B6111" s="3" t="inlineStr">
        <is>
          <t>미래에셋증권</t>
        </is>
      </c>
      <c r="C6111" s="2" t="inlineStr">
        <is>
          <t>코스피</t>
        </is>
      </c>
      <c r="D6111" s="2" t="inlineStr">
        <is>
          <t>006800</t>
        </is>
      </c>
      <c r="E6111" s="3" t="inlineStr">
        <is>
          <t>일괄신고추가서류(파생결합증권-상장지수증권)</t>
        </is>
      </c>
      <c r="F6111" s="3" t="inlineStr">
        <is>
          <t>미래에셋증권</t>
        </is>
      </c>
      <c r="G6111" s="2" t="inlineStr">
        <is>
          <t>20260521000629</t>
        </is>
      </c>
      <c r="H6111" s="8">
        <f>HYPERLINK("https://dart.fss.or.kr/dsaf001/main.do?rcpNo=20260521000629", "공시열람")</f>
        <v/>
      </c>
    </row>
    <row r="6112">
      <c r="A6112" s="2" t="inlineStr">
        <is>
          <t>2026-05-21</t>
        </is>
      </c>
      <c r="B6112" s="3" t="inlineStr">
        <is>
          <t>경남제약</t>
        </is>
      </c>
      <c r="C6112" s="2" t="inlineStr">
        <is>
          <t>코스닥</t>
        </is>
      </c>
      <c r="D6112" s="2" t="inlineStr">
        <is>
          <t>053950</t>
        </is>
      </c>
      <c r="E6112" s="3" t="inlineStr">
        <is>
          <t xml:space="preserve">주주명부폐쇄기간또는기준일설정              </t>
        </is>
      </c>
      <c r="F6112" s="3" t="inlineStr">
        <is>
          <t>경남제약</t>
        </is>
      </c>
      <c r="G6112" s="2" t="inlineStr">
        <is>
          <t>20260521900797</t>
        </is>
      </c>
      <c r="H6112" s="8">
        <f>HYPERLINK("https://dart.fss.or.kr/dsaf001/main.do?rcpNo=20260521900797", "공시열람")</f>
        <v/>
      </c>
    </row>
    <row r="6113">
      <c r="A6113" s="2" t="inlineStr">
        <is>
          <t>2026-05-21 (정정: 2026-05-28)</t>
        </is>
      </c>
      <c r="B6113" s="3" t="inlineStr">
        <is>
          <t>한울반도체</t>
        </is>
      </c>
      <c r="C6113" s="2" t="inlineStr">
        <is>
          <t>코스닥</t>
        </is>
      </c>
      <c r="D6113" s="2" t="inlineStr">
        <is>
          <t>320000</t>
        </is>
      </c>
      <c r="E6113" s="3" t="inlineStr">
        <is>
          <t>임원ㆍ주요주주특정증권등거래계획보고서 (정정: 20260528)</t>
        </is>
      </c>
      <c r="F6113" s="3" t="inlineStr">
        <is>
          <t>한울소재과학</t>
        </is>
      </c>
      <c r="G6113" s="2" t="inlineStr">
        <is>
          <t>20260528900673</t>
        </is>
      </c>
      <c r="H6113" s="8">
        <f>HYPERLINK("https://dart.fss.or.kr/dsaf001/main.do?rcpNo=20260528900673", "공시열람")</f>
        <v/>
      </c>
    </row>
    <row r="6114">
      <c r="A6114" s="2" t="inlineStr">
        <is>
          <t>2026-04-07 (정정: 2026-05-21)</t>
        </is>
      </c>
      <c r="B6114" s="3" t="inlineStr">
        <is>
          <t>솔루스첨단소재</t>
        </is>
      </c>
      <c r="C6114" s="2" t="inlineStr">
        <is>
          <t>코스피</t>
        </is>
      </c>
      <c r="D6114" s="2" t="inlineStr">
        <is>
          <t>336370</t>
        </is>
      </c>
      <c r="E6114" s="3" t="inlineStr">
        <is>
          <t xml:space="preserve">[기재정정]타법인주식및출자증권취득결정              </t>
        </is>
      </c>
      <c r="F6114" s="3" t="inlineStr">
        <is>
          <t>솔루스첨단소재</t>
        </is>
      </c>
      <c r="G6114" s="2" t="inlineStr">
        <is>
          <t>20260521800783</t>
        </is>
      </c>
      <c r="H6114" s="8">
        <f>HYPERLINK("https://dart.fss.or.kr/dsaf001/main.do?rcpNo=20260521800783", "공시열람")</f>
        <v/>
      </c>
    </row>
    <row r="6115">
      <c r="A6115" s="2" t="inlineStr">
        <is>
          <t>2026-05-21</t>
        </is>
      </c>
      <c r="B6115" s="3" t="inlineStr">
        <is>
          <t>한전산업</t>
        </is>
      </c>
      <c r="C6115" s="2" t="inlineStr">
        <is>
          <t>코스피</t>
        </is>
      </c>
      <c r="D6115" s="2" t="inlineStr">
        <is>
          <t>130660</t>
        </is>
      </c>
      <c r="E6115" s="3" t="inlineStr">
        <is>
          <t xml:space="preserve">주주명부폐쇄기간또는기준일설정              </t>
        </is>
      </c>
      <c r="F6115" s="3" t="inlineStr">
        <is>
          <t>한전산업</t>
        </is>
      </c>
      <c r="G6115" s="2" t="inlineStr">
        <is>
          <t>20260521800788</t>
        </is>
      </c>
      <c r="H6115" s="8">
        <f>HYPERLINK("https://dart.fss.or.kr/dsaf001/main.do?rcpNo=20260521800788", "공시열람")</f>
        <v/>
      </c>
    </row>
    <row r="6116">
      <c r="A6116" s="2" t="inlineStr">
        <is>
          <t>2026-05-21</t>
        </is>
      </c>
      <c r="B6116" s="3" t="inlineStr">
        <is>
          <t>현대차증권</t>
        </is>
      </c>
      <c r="C6116" s="2" t="inlineStr">
        <is>
          <t>코스피</t>
        </is>
      </c>
      <c r="D6116" s="2" t="inlineStr">
        <is>
          <t>001500</t>
        </is>
      </c>
      <c r="E6116" s="3" t="inlineStr">
        <is>
          <t>일괄신고추가서류(기타파생결합사채)</t>
        </is>
      </c>
      <c r="F6116" s="3" t="inlineStr">
        <is>
          <t>현대차증권</t>
        </is>
      </c>
      <c r="G6116" s="2" t="inlineStr">
        <is>
          <t>20260521000624</t>
        </is>
      </c>
      <c r="H6116" s="8">
        <f>HYPERLINK("https://dart.fss.or.kr/dsaf001/main.do?rcpNo=20260521000624", "공시열람")</f>
        <v/>
      </c>
    </row>
    <row r="6117">
      <c r="A6117" s="2" t="inlineStr">
        <is>
          <t>2026-05-21</t>
        </is>
      </c>
      <c r="B6117" s="3" t="inlineStr">
        <is>
          <t>이뮨온시아</t>
        </is>
      </c>
      <c r="C6117" s="2" t="inlineStr">
        <is>
          <t>코스닥</t>
        </is>
      </c>
      <c r="D6117" s="2" t="inlineStr">
        <is>
          <t>424870</t>
        </is>
      </c>
      <c r="E6117" s="3" t="inlineStr">
        <is>
          <t>증권발행실적보고서</t>
        </is>
      </c>
      <c r="F6117" s="3" t="inlineStr">
        <is>
          <t>이뮨온시아</t>
        </is>
      </c>
      <c r="G6117" s="2" t="inlineStr">
        <is>
          <t>20260521000623</t>
        </is>
      </c>
      <c r="H6117" s="8">
        <f>HYPERLINK("https://dart.fss.or.kr/dsaf001/main.do?rcpNo=20260521000623", "공시열람")</f>
        <v/>
      </c>
    </row>
    <row r="6118">
      <c r="A6118" s="2" t="inlineStr">
        <is>
          <t>2026-05-21</t>
        </is>
      </c>
      <c r="B6118" s="3" t="inlineStr">
        <is>
          <t>DB증권</t>
        </is>
      </c>
      <c r="C6118" s="2" t="inlineStr">
        <is>
          <t>코스피</t>
        </is>
      </c>
      <c r="D6118" s="2" t="inlineStr">
        <is>
          <t>016610</t>
        </is>
      </c>
      <c r="E6118" s="3" t="inlineStr">
        <is>
          <t>일괄신고추가서류(파생결합사채-주가연계파생결합사채)</t>
        </is>
      </c>
      <c r="F6118" s="3" t="inlineStr">
        <is>
          <t>DB증권</t>
        </is>
      </c>
      <c r="G6118" s="2" t="inlineStr">
        <is>
          <t>20260521000621</t>
        </is>
      </c>
      <c r="H6118" s="8">
        <f>HYPERLINK("https://dart.fss.or.kr/dsaf001/main.do?rcpNo=20260521000621", "공시열람")</f>
        <v/>
      </c>
    </row>
    <row r="6119">
      <c r="A6119" s="2" t="inlineStr">
        <is>
          <t>2026-05-21</t>
        </is>
      </c>
      <c r="B6119" s="3" t="inlineStr">
        <is>
          <t>교보증권</t>
        </is>
      </c>
      <c r="C6119" s="2" t="inlineStr">
        <is>
          <t>코스피</t>
        </is>
      </c>
      <c r="D6119" s="2" t="inlineStr">
        <is>
          <t>030610</t>
        </is>
      </c>
      <c r="E6119" s="3" t="inlineStr">
        <is>
          <t>투자설명서(일괄신고)</t>
        </is>
      </c>
      <c r="F6119" s="3" t="inlineStr">
        <is>
          <t>교보증권</t>
        </is>
      </c>
      <c r="G6119" s="2" t="inlineStr">
        <is>
          <t>20260521000620</t>
        </is>
      </c>
      <c r="H6119" s="8">
        <f>HYPERLINK("https://dart.fss.or.kr/dsaf001/main.do?rcpNo=20260521000620", "공시열람")</f>
        <v/>
      </c>
    </row>
    <row r="6120">
      <c r="A6120" s="2" t="inlineStr">
        <is>
          <t>2026-05-21</t>
        </is>
      </c>
      <c r="B6120" s="3" t="inlineStr">
        <is>
          <t>동양</t>
        </is>
      </c>
      <c r="C6120" s="2" t="inlineStr">
        <is>
          <t>코스피</t>
        </is>
      </c>
      <c r="D6120" s="2" t="inlineStr">
        <is>
          <t>001520</t>
        </is>
      </c>
      <c r="E6120" s="3" t="inlineStr">
        <is>
          <t>임원ㆍ주요주주특정증권등소유상황보고서</t>
        </is>
      </c>
      <c r="F6120" s="3" t="inlineStr">
        <is>
          <t>유진기업</t>
        </is>
      </c>
      <c r="G6120" s="2" t="inlineStr">
        <is>
          <t>20260521000616</t>
        </is>
      </c>
      <c r="H6120" s="8">
        <f>HYPERLINK("https://dart.fss.or.kr/dsaf001/main.do?rcpNo=20260521000616", "공시열람")</f>
        <v/>
      </c>
    </row>
    <row r="6121">
      <c r="A6121" s="2" t="inlineStr">
        <is>
          <t>2026-05-21</t>
        </is>
      </c>
      <c r="B6121" s="3" t="inlineStr">
        <is>
          <t>교보증권</t>
        </is>
      </c>
      <c r="C6121" s="2" t="inlineStr">
        <is>
          <t>코스피</t>
        </is>
      </c>
      <c r="D6121" s="2" t="inlineStr">
        <is>
          <t>030610</t>
        </is>
      </c>
      <c r="E6121" s="3" t="inlineStr">
        <is>
          <t>일괄신고추가서류(파생결합사채-주가연계파생결합사채)</t>
        </is>
      </c>
      <c r="F6121" s="3" t="inlineStr">
        <is>
          <t>교보증권</t>
        </is>
      </c>
      <c r="G6121" s="2" t="inlineStr">
        <is>
          <t>20260521000615</t>
        </is>
      </c>
      <c r="H6121" s="8">
        <f>HYPERLINK("https://dart.fss.or.kr/dsaf001/main.do?rcpNo=20260521000615", "공시열람")</f>
        <v/>
      </c>
    </row>
    <row r="6122">
      <c r="A6122" s="2" t="inlineStr">
        <is>
          <t>2026-05-21</t>
        </is>
      </c>
      <c r="B6122" s="3" t="inlineStr">
        <is>
          <t>오늘이엔엠</t>
        </is>
      </c>
      <c r="C6122" s="2" t="inlineStr">
        <is>
          <t>코스닥</t>
        </is>
      </c>
      <c r="D6122" s="2" t="inlineStr">
        <is>
          <t>192410</t>
        </is>
      </c>
      <c r="E6122" s="3" t="inlineStr">
        <is>
          <t>주요사항보고서(소송등의제기)</t>
        </is>
      </c>
      <c r="F6122" s="3" t="inlineStr">
        <is>
          <t>오늘이엔엠</t>
        </is>
      </c>
      <c r="G6122" s="2" t="inlineStr">
        <is>
          <t>20260521000535</t>
        </is>
      </c>
      <c r="H6122" s="8">
        <f>HYPERLINK("https://dart.fss.or.kr/dsaf001/main.do?rcpNo=20260521000535", "공시열람")</f>
        <v/>
      </c>
    </row>
    <row r="6123">
      <c r="A6123" s="2" t="inlineStr">
        <is>
          <t>2026-05-21</t>
        </is>
      </c>
      <c r="B6123" s="3" t="inlineStr">
        <is>
          <t>서연</t>
        </is>
      </c>
      <c r="C6123" s="2" t="inlineStr">
        <is>
          <t>코스피</t>
        </is>
      </c>
      <c r="D6123" s="2" t="inlineStr">
        <is>
          <t>007860</t>
        </is>
      </c>
      <c r="E6123" s="3" t="inlineStr">
        <is>
          <t>임원ㆍ주요주주특정증권등소유상황보고서</t>
        </is>
      </c>
      <c r="F6123" s="3" t="inlineStr">
        <is>
          <t>박성정</t>
        </is>
      </c>
      <c r="G6123" s="2" t="inlineStr">
        <is>
          <t>20260521000603</t>
        </is>
      </c>
      <c r="H6123" s="8">
        <f>HYPERLINK("https://dart.fss.or.kr/dsaf001/main.do?rcpNo=20260521000603", "공시열람")</f>
        <v/>
      </c>
    </row>
    <row r="6124">
      <c r="A6124" s="2" t="inlineStr">
        <is>
          <t>2026-05-21</t>
        </is>
      </c>
      <c r="B6124" s="3" t="inlineStr">
        <is>
          <t>엑시큐어하이트론</t>
        </is>
      </c>
      <c r="C6124" s="2" t="inlineStr">
        <is>
          <t>코스피</t>
        </is>
      </c>
      <c r="D6124" s="2" t="inlineStr">
        <is>
          <t>019490</t>
        </is>
      </c>
      <c r="E6124" s="3" t="inlineStr">
        <is>
          <t xml:space="preserve">대표이사(대표집행임원)변경(안내공시)              </t>
        </is>
      </c>
      <c r="F6124" s="3" t="inlineStr">
        <is>
          <t>엑시큐어하이트론</t>
        </is>
      </c>
      <c r="G6124" s="2" t="inlineStr">
        <is>
          <t>20260521800731</t>
        </is>
      </c>
      <c r="H6124" s="8">
        <f>HYPERLINK("https://dart.fss.or.kr/dsaf001/main.do?rcpNo=20260521800731", "공시열람")</f>
        <v/>
      </c>
    </row>
    <row r="6125">
      <c r="A6125" s="2" t="inlineStr">
        <is>
          <t>2026-05-21</t>
        </is>
      </c>
      <c r="B6125" s="3" t="inlineStr">
        <is>
          <t>삼성카드</t>
        </is>
      </c>
      <c r="C6125" s="2" t="inlineStr">
        <is>
          <t>코스피</t>
        </is>
      </c>
      <c r="D6125" s="2" t="inlineStr">
        <is>
          <t>029780</t>
        </is>
      </c>
      <c r="E6125" s="3" t="inlineStr">
        <is>
          <t>투자설명서(일괄신고)</t>
        </is>
      </c>
      <c r="F6125" s="3" t="inlineStr">
        <is>
          <t>삼성카드</t>
        </is>
      </c>
      <c r="G6125" s="2" t="inlineStr">
        <is>
          <t>20260521000592</t>
        </is>
      </c>
      <c r="H6125" s="8">
        <f>HYPERLINK("https://dart.fss.or.kr/dsaf001/main.do?rcpNo=20260521000592", "공시열람")</f>
        <v/>
      </c>
    </row>
    <row r="6126">
      <c r="A6126" s="2" t="inlineStr">
        <is>
          <t>2026-05-21</t>
        </is>
      </c>
      <c r="B6126" s="3" t="inlineStr">
        <is>
          <t>SK증권</t>
        </is>
      </c>
      <c r="C6126" s="2" t="inlineStr">
        <is>
          <t>코스피</t>
        </is>
      </c>
      <c r="D6126" s="2" t="inlineStr">
        <is>
          <t>001510</t>
        </is>
      </c>
      <c r="E6126" s="3" t="inlineStr">
        <is>
          <t>일괄신고추가서류(파생결합사채-주가연계파생결합사채)</t>
        </is>
      </c>
      <c r="F6126" s="3" t="inlineStr">
        <is>
          <t>SK증권</t>
        </is>
      </c>
      <c r="G6126" s="2" t="inlineStr">
        <is>
          <t>20260521000590</t>
        </is>
      </c>
      <c r="H6126" s="8">
        <f>HYPERLINK("https://dart.fss.or.kr/dsaf001/main.do?rcpNo=20260521000590", "공시열람")</f>
        <v/>
      </c>
    </row>
    <row r="6127">
      <c r="A6127" s="2" t="inlineStr">
        <is>
          <t>2026-05-21</t>
        </is>
      </c>
      <c r="B6127" s="3" t="inlineStr">
        <is>
          <t>디와이에이</t>
        </is>
      </c>
      <c r="C6127" s="2" t="inlineStr">
        <is>
          <t>코스피</t>
        </is>
      </c>
      <c r="D6127" s="2" t="inlineStr">
        <is>
          <t>002880</t>
        </is>
      </c>
      <c r="E6127" s="3" t="inlineStr">
        <is>
          <t xml:space="preserve">주주명부폐쇄기간또는기준일설정              </t>
        </is>
      </c>
      <c r="F6127" s="3" t="inlineStr">
        <is>
          <t>디와이에이</t>
        </is>
      </c>
      <c r="G6127" s="2" t="inlineStr">
        <is>
          <t>20260521800714</t>
        </is>
      </c>
      <c r="H6127" s="8">
        <f>HYPERLINK("https://dart.fss.or.kr/dsaf001/main.do?rcpNo=20260521800714", "공시열람")</f>
        <v/>
      </c>
    </row>
    <row r="6128">
      <c r="A6128" s="2" t="inlineStr">
        <is>
          <t>2026-05-21</t>
        </is>
      </c>
      <c r="B6128" s="3" t="inlineStr">
        <is>
          <t>한샘</t>
        </is>
      </c>
      <c r="C6128" s="2" t="inlineStr">
        <is>
          <t>코스피</t>
        </is>
      </c>
      <c r="D6128" s="2" t="inlineStr">
        <is>
          <t>009240</t>
        </is>
      </c>
      <c r="E6128" s="3" t="inlineStr">
        <is>
          <t>임원ㆍ주요주주특정증권등소유상황보고서</t>
        </is>
      </c>
      <c r="F6128" s="3" t="inlineStr">
        <is>
          <t>이강돈</t>
        </is>
      </c>
      <c r="G6128" s="2" t="inlineStr">
        <is>
          <t>20260521000582</t>
        </is>
      </c>
      <c r="H6128" s="8">
        <f>HYPERLINK("https://dart.fss.or.kr/dsaf001/main.do?rcpNo=20260521000582", "공시열람")</f>
        <v/>
      </c>
    </row>
    <row r="6129">
      <c r="A6129" s="2" t="inlineStr">
        <is>
          <t>2026-05-21</t>
        </is>
      </c>
      <c r="B6129" s="3" t="inlineStr">
        <is>
          <t>우리금융지주</t>
        </is>
      </c>
      <c r="C6129" s="2" t="inlineStr">
        <is>
          <t>코스피</t>
        </is>
      </c>
      <c r="D6129" s="2" t="inlineStr">
        <is>
          <t>316140</t>
        </is>
      </c>
      <c r="E6129" s="3" t="inlineStr">
        <is>
          <t xml:space="preserve">기업설명회(IR)개최(안내공시)              </t>
        </is>
      </c>
      <c r="F6129" s="3" t="inlineStr">
        <is>
          <t>우리금융지주</t>
        </is>
      </c>
      <c r="G6129" s="2" t="inlineStr">
        <is>
          <t>20260521800703</t>
        </is>
      </c>
      <c r="H6129" s="8">
        <f>HYPERLINK("https://dart.fss.or.kr/dsaf001/main.do?rcpNo=20260521800703", "공시열람")</f>
        <v/>
      </c>
    </row>
    <row r="6130">
      <c r="A6130" s="2" t="inlineStr">
        <is>
          <t>2026-05-21</t>
        </is>
      </c>
      <c r="B6130" s="3" t="inlineStr">
        <is>
          <t>멤레이비티</t>
        </is>
      </c>
      <c r="C6130" s="2" t="inlineStr">
        <is>
          <t>코스닥</t>
        </is>
      </c>
      <c r="D6130" s="2" t="inlineStr">
        <is>
          <t>072770</t>
        </is>
      </c>
      <c r="E6130" s="3" t="inlineStr">
        <is>
          <t>주권매매거래정지해제              (액면병합 주권 변경상장)</t>
        </is>
      </c>
      <c r="F6130" s="3" t="inlineStr">
        <is>
          <t>코스닥시장본부</t>
        </is>
      </c>
      <c r="G6130" s="2" t="inlineStr">
        <is>
          <t>20260521900707</t>
        </is>
      </c>
      <c r="H6130" s="8">
        <f>HYPERLINK("https://dart.fss.or.kr/dsaf001/main.do?rcpNo=20260521900707", "공시열람")</f>
        <v/>
      </c>
    </row>
    <row r="6131">
      <c r="A6131" s="2" t="inlineStr">
        <is>
          <t>2026-05-21</t>
        </is>
      </c>
      <c r="B6131" s="3" t="inlineStr">
        <is>
          <t>HB솔루션</t>
        </is>
      </c>
      <c r="C6131" s="2" t="inlineStr">
        <is>
          <t>코스닥</t>
        </is>
      </c>
      <c r="D6131" s="2" t="inlineStr">
        <is>
          <t>297890</t>
        </is>
      </c>
      <c r="E6131" s="3" t="inlineStr">
        <is>
          <t xml:space="preserve">주주명부폐쇄기간또는기준일설정              </t>
        </is>
      </c>
      <c r="F6131" s="3" t="inlineStr">
        <is>
          <t>HB솔루션</t>
        </is>
      </c>
      <c r="G6131" s="2" t="inlineStr">
        <is>
          <t>20260521900718</t>
        </is>
      </c>
      <c r="H6131" s="8">
        <f>HYPERLINK("https://dart.fss.or.kr/dsaf001/main.do?rcpNo=20260521900718", "공시열람")</f>
        <v/>
      </c>
    </row>
    <row r="6132">
      <c r="A6132" s="2" t="inlineStr">
        <is>
          <t>2026-05-21</t>
        </is>
      </c>
      <c r="B6132" s="3" t="inlineStr">
        <is>
          <t>에스에스알</t>
        </is>
      </c>
      <c r="C6132" s="2" t="inlineStr">
        <is>
          <t>코스닥</t>
        </is>
      </c>
      <c r="D6132" s="2" t="inlineStr">
        <is>
          <t>275630</t>
        </is>
      </c>
      <c r="E6132" s="3" t="inlineStr">
        <is>
          <t>임원ㆍ주요주주특정증권등소유상황보고서</t>
        </is>
      </c>
      <c r="F6132" s="3" t="inlineStr">
        <is>
          <t>지란지교시큐리티</t>
        </is>
      </c>
      <c r="G6132" s="2" t="inlineStr">
        <is>
          <t>20260521000575</t>
        </is>
      </c>
      <c r="H6132" s="8">
        <f>HYPERLINK("https://dart.fss.or.kr/dsaf001/main.do?rcpNo=20260521000575", "공시열람")</f>
        <v/>
      </c>
    </row>
    <row r="6133">
      <c r="A6133" s="2" t="inlineStr">
        <is>
          <t>2026-05-21 (정정: 2026-06-23)</t>
        </is>
      </c>
      <c r="B6133" s="3" t="inlineStr">
        <is>
          <t>압타머사이언스</t>
        </is>
      </c>
      <c r="C6133" s="2" t="inlineStr">
        <is>
          <t>코스닥</t>
        </is>
      </c>
      <c r="D6133" s="2" t="inlineStr">
        <is>
          <t>291650</t>
        </is>
      </c>
      <c r="E6133" s="3" t="inlineStr">
        <is>
          <t>주주명부폐쇄기간또는기준일설정               (정정: 20260615) (정정: 20260623)</t>
        </is>
      </c>
      <c r="F6133" s="3" t="inlineStr">
        <is>
          <t>압타머사이언스</t>
        </is>
      </c>
      <c r="G6133" s="2" t="inlineStr">
        <is>
          <t>20260623900265</t>
        </is>
      </c>
      <c r="H6133" s="8">
        <f>HYPERLINK("https://dart.fss.or.kr/dsaf001/main.do?rcpNo=20260623900265", "공시열람")</f>
        <v/>
      </c>
    </row>
    <row r="6134">
      <c r="A6134" s="2" t="inlineStr">
        <is>
          <t>2026-05-21</t>
        </is>
      </c>
      <c r="B6134" s="3" t="inlineStr">
        <is>
          <t>삼성카드</t>
        </is>
      </c>
      <c r="C6134" s="2" t="inlineStr">
        <is>
          <t>코스피</t>
        </is>
      </c>
      <c r="D6134" s="2" t="inlineStr">
        <is>
          <t>029780</t>
        </is>
      </c>
      <c r="E6134" s="3" t="inlineStr">
        <is>
          <t>일괄신고추가서류</t>
        </is>
      </c>
      <c r="F6134" s="3" t="inlineStr">
        <is>
          <t>삼성카드</t>
        </is>
      </c>
      <c r="G6134" s="2" t="inlineStr">
        <is>
          <t>20260521000574</t>
        </is>
      </c>
      <c r="H6134" s="8">
        <f>HYPERLINK("https://dart.fss.or.kr/dsaf001/main.do?rcpNo=20260521000574", "공시열람")</f>
        <v/>
      </c>
    </row>
    <row r="6135">
      <c r="A6135" s="2" t="inlineStr">
        <is>
          <t>2026-05-21 (정정: 2026-06-15)</t>
        </is>
      </c>
      <c r="B6135" s="3" t="inlineStr">
        <is>
          <t>케이씨피드</t>
        </is>
      </c>
      <c r="C6135" s="2" t="inlineStr">
        <is>
          <t>코스닥</t>
        </is>
      </c>
      <c r="D6135" s="2" t="inlineStr">
        <is>
          <t>025880</t>
        </is>
      </c>
      <c r="E6135" s="3" t="inlineStr">
        <is>
          <t>임원ㆍ주요주주특정증권등소유상황보고서 (정정: 20260615)</t>
        </is>
      </c>
      <c r="F6135" s="3" t="inlineStr">
        <is>
          <t>윤주영</t>
        </is>
      </c>
      <c r="G6135" s="2" t="inlineStr">
        <is>
          <t>20260615000264</t>
        </is>
      </c>
      <c r="H6135" s="8">
        <f>HYPERLINK("https://dart.fss.or.kr/dsaf001/main.do?rcpNo=20260615000264", "공시열람")</f>
        <v/>
      </c>
    </row>
    <row r="6136">
      <c r="A6136" s="2" t="inlineStr">
        <is>
          <t>2026-05-21</t>
        </is>
      </c>
      <c r="B6136" s="3" t="inlineStr">
        <is>
          <t>이화공영</t>
        </is>
      </c>
      <c r="C6136" s="2" t="inlineStr">
        <is>
          <t>코스닥</t>
        </is>
      </c>
      <c r="D6136" s="2" t="inlineStr">
        <is>
          <t>001840</t>
        </is>
      </c>
      <c r="E6136" s="3" t="inlineStr">
        <is>
          <t>주권매매거래정지기간변경              (상장폐지 사유 발생)</t>
        </is>
      </c>
      <c r="F6136" s="3" t="inlineStr">
        <is>
          <t>코스닥시장본부</t>
        </is>
      </c>
      <c r="G6136" s="2" t="inlineStr">
        <is>
          <t>20260521900688</t>
        </is>
      </c>
      <c r="H6136" s="8">
        <f>HYPERLINK("https://dart.fss.or.kr/dsaf001/main.do?rcpNo=20260521900688", "공시열람")</f>
        <v/>
      </c>
    </row>
    <row r="6137">
      <c r="A6137" s="2" t="inlineStr">
        <is>
          <t>2026-05-21</t>
        </is>
      </c>
      <c r="B6137" s="3" t="inlineStr">
        <is>
          <t>효성화학</t>
        </is>
      </c>
      <c r="C6137" s="2" t="inlineStr">
        <is>
          <t>코스피</t>
        </is>
      </c>
      <c r="D6137" s="2" t="inlineStr">
        <is>
          <t>298000</t>
        </is>
      </c>
      <c r="E6137" s="3" t="inlineStr">
        <is>
          <t>주요사항보고서(자본으로인정되는채무증권발행결정)</t>
        </is>
      </c>
      <c r="F6137" s="3" t="inlineStr">
        <is>
          <t>효성화학</t>
        </is>
      </c>
      <c r="G6137" s="2" t="inlineStr">
        <is>
          <t>20260521000565</t>
        </is>
      </c>
      <c r="H6137" s="8">
        <f>HYPERLINK("https://dart.fss.or.kr/dsaf001/main.do?rcpNo=20260521000565", "공시열람")</f>
        <v/>
      </c>
    </row>
    <row r="6138">
      <c r="A6138" s="2" t="inlineStr">
        <is>
          <t>2026-05-21</t>
        </is>
      </c>
      <c r="B6138" s="3" t="inlineStr">
        <is>
          <t>제이케이시냅스</t>
        </is>
      </c>
      <c r="C6138" s="2" t="inlineStr">
        <is>
          <t>코스닥</t>
        </is>
      </c>
      <c r="D6138" s="2" t="inlineStr">
        <is>
          <t>060230</t>
        </is>
      </c>
      <c r="E6138" s="3" t="inlineStr">
        <is>
          <t>의결권대리행사권유참고서류</t>
        </is>
      </c>
      <c r="F6138" s="3" t="inlineStr">
        <is>
          <t>제이케이시냅스</t>
        </is>
      </c>
      <c r="G6138" s="2" t="inlineStr">
        <is>
          <t>20260521000563</t>
        </is>
      </c>
      <c r="H6138" s="8">
        <f>HYPERLINK("https://dart.fss.or.kr/dsaf001/main.do?rcpNo=20260521000563", "공시열람")</f>
        <v/>
      </c>
    </row>
    <row r="6139">
      <c r="A6139" s="2" t="inlineStr">
        <is>
          <t>2026-05-21</t>
        </is>
      </c>
      <c r="B6139" s="3" t="inlineStr">
        <is>
          <t>효성화학</t>
        </is>
      </c>
      <c r="C6139" s="2" t="inlineStr">
        <is>
          <t>코스피</t>
        </is>
      </c>
      <c r="D6139" s="2" t="inlineStr">
        <is>
          <t>298000</t>
        </is>
      </c>
      <c r="E6139" s="3" t="inlineStr">
        <is>
          <t>임원ㆍ주요주주특정증권등소유상황보고서</t>
        </is>
      </c>
      <c r="F6139" s="3" t="inlineStr">
        <is>
          <t>효성</t>
        </is>
      </c>
      <c r="G6139" s="2" t="inlineStr">
        <is>
          <t>20260521000560</t>
        </is>
      </c>
      <c r="H6139" s="8">
        <f>HYPERLINK("https://dart.fss.or.kr/dsaf001/main.do?rcpNo=20260521000560", "공시열람")</f>
        <v/>
      </c>
    </row>
    <row r="6140">
      <c r="A6140" s="2" t="inlineStr">
        <is>
          <t>2026-05-21</t>
        </is>
      </c>
      <c r="B6140" s="3" t="inlineStr">
        <is>
          <t>피앤씨테크</t>
        </is>
      </c>
      <c r="C6140" s="2" t="inlineStr">
        <is>
          <t>코스닥</t>
        </is>
      </c>
      <c r="D6140" s="2" t="inlineStr">
        <is>
          <t>237750</t>
        </is>
      </c>
      <c r="E6140" s="3" t="inlineStr">
        <is>
          <t xml:space="preserve">단기차입금증가결정              </t>
        </is>
      </c>
      <c r="F6140" s="3" t="inlineStr">
        <is>
          <t>피앤씨테크</t>
        </is>
      </c>
      <c r="G6140" s="2" t="inlineStr">
        <is>
          <t>20260521900698</t>
        </is>
      </c>
      <c r="H6140" s="8">
        <f>HYPERLINK("https://dart.fss.or.kr/dsaf001/main.do?rcpNo=20260521900698", "공시열람")</f>
        <v/>
      </c>
    </row>
    <row r="6141">
      <c r="A6141" s="2" t="inlineStr">
        <is>
          <t>2026-05-21</t>
        </is>
      </c>
      <c r="B6141" s="3" t="inlineStr">
        <is>
          <t>벨로크</t>
        </is>
      </c>
      <c r="C6141" s="2" t="inlineStr">
        <is>
          <t>코스닥</t>
        </is>
      </c>
      <c r="D6141" s="2" t="inlineStr">
        <is>
          <t>424760</t>
        </is>
      </c>
      <c r="E6141" s="3" t="inlineStr">
        <is>
          <t xml:space="preserve">조회공시요구(현저한시황변동)에대한답변(미확정)              </t>
        </is>
      </c>
      <c r="F6141" s="3" t="inlineStr">
        <is>
          <t>벨로크</t>
        </is>
      </c>
      <c r="G6141" s="2" t="inlineStr">
        <is>
          <t>20260521900681</t>
        </is>
      </c>
      <c r="H6141" s="8">
        <f>HYPERLINK("https://dart.fss.or.kr/dsaf001/main.do?rcpNo=20260521900681", "공시열람")</f>
        <v/>
      </c>
    </row>
    <row r="6142">
      <c r="A6142" s="2" t="inlineStr">
        <is>
          <t>2026-05-21</t>
        </is>
      </c>
      <c r="B6142" s="3" t="inlineStr">
        <is>
          <t>MDS테크</t>
        </is>
      </c>
      <c r="C6142" s="2" t="inlineStr">
        <is>
          <t>코스닥</t>
        </is>
      </c>
      <c r="D6142" s="2" t="inlineStr">
        <is>
          <t>086960</t>
        </is>
      </c>
      <c r="E6142" s="3" t="inlineStr">
        <is>
          <t xml:space="preserve">전환청구권행사              </t>
        </is>
      </c>
      <c r="F6142" s="3" t="inlineStr">
        <is>
          <t>MDS테크</t>
        </is>
      </c>
      <c r="G6142" s="2" t="inlineStr">
        <is>
          <t>20260521900693</t>
        </is>
      </c>
      <c r="H6142" s="8">
        <f>HYPERLINK("https://dart.fss.or.kr/dsaf001/main.do?rcpNo=20260521900693", "공시열람")</f>
        <v/>
      </c>
    </row>
    <row r="6143">
      <c r="A6143" s="2" t="inlineStr">
        <is>
          <t>2026-05-21</t>
        </is>
      </c>
      <c r="B6143" s="3" t="inlineStr">
        <is>
          <t>녹십자엠에스</t>
        </is>
      </c>
      <c r="C6143" s="2" t="inlineStr">
        <is>
          <t>코스닥</t>
        </is>
      </c>
      <c r="D6143" s="2" t="inlineStr">
        <is>
          <t>142280</t>
        </is>
      </c>
      <c r="E6143" s="3" t="inlineStr">
        <is>
          <t xml:space="preserve">신주인수권행사              </t>
        </is>
      </c>
      <c r="F6143" s="3" t="inlineStr">
        <is>
          <t>녹십자엠에스</t>
        </is>
      </c>
      <c r="G6143" s="2" t="inlineStr">
        <is>
          <t>20260521900691</t>
        </is>
      </c>
      <c r="H6143" s="8">
        <f>HYPERLINK("https://dart.fss.or.kr/dsaf001/main.do?rcpNo=20260521900691", "공시열람")</f>
        <v/>
      </c>
    </row>
    <row r="6144">
      <c r="A6144" s="2" t="inlineStr">
        <is>
          <t>2026-05-21</t>
        </is>
      </c>
      <c r="B6144" s="3" t="inlineStr">
        <is>
          <t>티씨머티리얼즈</t>
        </is>
      </c>
      <c r="C6144" s="2" t="inlineStr">
        <is>
          <t>코스닥</t>
        </is>
      </c>
      <c r="D6144" s="2" t="inlineStr">
        <is>
          <t>125020</t>
        </is>
      </c>
      <c r="E6144" s="3" t="inlineStr">
        <is>
          <t xml:space="preserve">기업설명회(IR)개최              </t>
        </is>
      </c>
      <c r="F6144" s="3" t="inlineStr">
        <is>
          <t>티씨머티리얼즈</t>
        </is>
      </c>
      <c r="G6144" s="2" t="inlineStr">
        <is>
          <t>20260521900676</t>
        </is>
      </c>
      <c r="H6144" s="8">
        <f>HYPERLINK("https://dart.fss.or.kr/dsaf001/main.do?rcpNo=20260521900676", "공시열람")</f>
        <v/>
      </c>
    </row>
    <row r="6145">
      <c r="A6145" s="2" t="inlineStr">
        <is>
          <t>2026-05-21</t>
        </is>
      </c>
      <c r="B6145" s="3" t="inlineStr">
        <is>
          <t>이뮨온시아</t>
        </is>
      </c>
      <c r="C6145" s="2" t="inlineStr">
        <is>
          <t>코스닥</t>
        </is>
      </c>
      <c r="D6145" s="2" t="inlineStr">
        <is>
          <t>424870</t>
        </is>
      </c>
      <c r="E6145" s="3" t="inlineStr">
        <is>
          <t xml:space="preserve">증권발행결과(자율공시)              </t>
        </is>
      </c>
      <c r="F6145" s="3" t="inlineStr">
        <is>
          <t>이뮨온시아</t>
        </is>
      </c>
      <c r="G6145" s="2" t="inlineStr">
        <is>
          <t>20260521900635</t>
        </is>
      </c>
      <c r="H6145" s="8">
        <f>HYPERLINK("https://dart.fss.or.kr/dsaf001/main.do?rcpNo=20260521900635", "공시열람")</f>
        <v/>
      </c>
    </row>
    <row r="6146">
      <c r="A6146" s="2" t="inlineStr">
        <is>
          <t>2026-05-21</t>
        </is>
      </c>
      <c r="B6146" s="3" t="inlineStr">
        <is>
          <t>영원무역홀딩스</t>
        </is>
      </c>
      <c r="C6146" s="2" t="inlineStr">
        <is>
          <t>코스피</t>
        </is>
      </c>
      <c r="D6146" s="2" t="inlineStr">
        <is>
          <t>009970</t>
        </is>
      </c>
      <c r="E6146" s="3" t="inlineStr">
        <is>
          <t xml:space="preserve">투자판단관련주요경영사항              </t>
        </is>
      </c>
      <c r="F6146" s="3" t="inlineStr">
        <is>
          <t>영원무역홀딩스</t>
        </is>
      </c>
      <c r="G6146" s="2" t="inlineStr">
        <is>
          <t>20260521800663</t>
        </is>
      </c>
      <c r="H6146" s="8">
        <f>HYPERLINK("https://dart.fss.or.kr/dsaf001/main.do?rcpNo=20260521800663", "공시열람")</f>
        <v/>
      </c>
    </row>
    <row r="6147">
      <c r="A6147" s="2" t="inlineStr">
        <is>
          <t>2026-05-21</t>
        </is>
      </c>
      <c r="B6147" s="3" t="inlineStr">
        <is>
          <t>벨로크</t>
        </is>
      </c>
      <c r="C6147" s="2" t="inlineStr">
        <is>
          <t>코스닥</t>
        </is>
      </c>
      <c r="D6147" s="2" t="inlineStr">
        <is>
          <t>424760</t>
        </is>
      </c>
      <c r="E6147" s="3" t="inlineStr">
        <is>
          <t>임원ㆍ주요주주특정증권등소유상황보고서</t>
        </is>
      </c>
      <c r="F6147" s="3" t="inlineStr">
        <is>
          <t>박영수</t>
        </is>
      </c>
      <c r="G6147" s="2" t="inlineStr">
        <is>
          <t>20260521000545</t>
        </is>
      </c>
      <c r="H6147" s="8">
        <f>HYPERLINK("https://dart.fss.or.kr/dsaf001/main.do?rcpNo=20260521000545", "공시열람")</f>
        <v/>
      </c>
    </row>
    <row r="6148">
      <c r="A6148" s="2" t="inlineStr">
        <is>
          <t>2026-05-21</t>
        </is>
      </c>
      <c r="B6148" s="3" t="inlineStr">
        <is>
          <t>액스비스</t>
        </is>
      </c>
      <c r="C6148" s="2" t="inlineStr">
        <is>
          <t>코스닥</t>
        </is>
      </c>
      <c r="D6148" s="2" t="inlineStr">
        <is>
          <t>0011A0</t>
        </is>
      </c>
      <c r="E6148" s="3" t="inlineStr">
        <is>
          <t>기타경영사항(자율공시)              (국책과제 선정(산업통상자원부 주관 Multi-junction 기반 고출력 표면발광 레이저(VCSEL)을 활용한 고효율 배터리 전극 건조 시스템 개발))</t>
        </is>
      </c>
      <c r="F6148" s="3" t="inlineStr">
        <is>
          <t>액스비스</t>
        </is>
      </c>
      <c r="G6148" s="2" t="inlineStr">
        <is>
          <t>20260521900649</t>
        </is>
      </c>
      <c r="H6148" s="8">
        <f>HYPERLINK("https://dart.fss.or.kr/dsaf001/main.do?rcpNo=20260521900649", "공시열람")</f>
        <v/>
      </c>
    </row>
    <row r="6149">
      <c r="A6149" s="2" t="inlineStr">
        <is>
          <t>2026-05-21</t>
        </is>
      </c>
      <c r="B6149" s="3" t="inlineStr">
        <is>
          <t>현대차증권</t>
        </is>
      </c>
      <c r="C6149" s="2" t="inlineStr">
        <is>
          <t>코스피</t>
        </is>
      </c>
      <c r="D6149" s="2" t="inlineStr">
        <is>
          <t>001500</t>
        </is>
      </c>
      <c r="E6149" s="3" t="inlineStr">
        <is>
          <t>투자설명서(일괄신고)</t>
        </is>
      </c>
      <c r="F6149" s="3" t="inlineStr">
        <is>
          <t>현대차증권</t>
        </is>
      </c>
      <c r="G6149" s="2" t="inlineStr">
        <is>
          <t>20260521000541</t>
        </is>
      </c>
      <c r="H6149" s="8">
        <f>HYPERLINK("https://dart.fss.or.kr/dsaf001/main.do?rcpNo=20260521000541", "공시열람")</f>
        <v/>
      </c>
    </row>
    <row r="6150">
      <c r="A6150" s="2" t="inlineStr">
        <is>
          <t>2026-05-21 (정정: 2026-06-02)</t>
        </is>
      </c>
      <c r="B6150" s="3" t="inlineStr">
        <is>
          <t>성우전자</t>
        </is>
      </c>
      <c r="C6150" s="2" t="inlineStr">
        <is>
          <t>코스닥</t>
        </is>
      </c>
      <c r="D6150" s="2" t="inlineStr">
        <is>
          <t>081580</t>
        </is>
      </c>
      <c r="E6150" s="3" t="inlineStr">
        <is>
          <t>전환사채(해외전환사채포함)발행후만기전사채취득               (정정: 20260602)</t>
        </is>
      </c>
      <c r="F6150" s="3" t="inlineStr">
        <is>
          <t>성우전자</t>
        </is>
      </c>
      <c r="G6150" s="2" t="inlineStr">
        <is>
          <t>20260602000361</t>
        </is>
      </c>
      <c r="H6150" s="8">
        <f>HYPERLINK("https://dart.fss.or.kr/dsaf001/main.do?rcpNo=20260602000361", "공시열람")</f>
        <v/>
      </c>
    </row>
    <row r="6151">
      <c r="A6151" s="2" t="inlineStr">
        <is>
          <t>2026-05-21</t>
        </is>
      </c>
      <c r="B6151" s="3" t="inlineStr">
        <is>
          <t>한솔테크닉스</t>
        </is>
      </c>
      <c r="C6151" s="2" t="inlineStr">
        <is>
          <t>코스피</t>
        </is>
      </c>
      <c r="D6151" s="2" t="inlineStr">
        <is>
          <t>004710</t>
        </is>
      </c>
      <c r="E6151" s="3" t="inlineStr">
        <is>
          <t>임원ㆍ주요주주특정증권등소유상황보고서</t>
        </is>
      </c>
      <c r="F6151" s="3" t="inlineStr">
        <is>
          <t>한솔홀딩스</t>
        </is>
      </c>
      <c r="G6151" s="2" t="inlineStr">
        <is>
          <t>20260521000531</t>
        </is>
      </c>
      <c r="H6151" s="8">
        <f>HYPERLINK("https://dart.fss.or.kr/dsaf001/main.do?rcpNo=20260521000531", "공시열람")</f>
        <v/>
      </c>
    </row>
    <row r="6152">
      <c r="A6152" s="2" t="inlineStr">
        <is>
          <t>2026-05-21</t>
        </is>
      </c>
      <c r="B6152" s="3" t="inlineStr">
        <is>
          <t>하이브</t>
        </is>
      </c>
      <c r="C6152" s="2" t="inlineStr">
        <is>
          <t>코스피</t>
        </is>
      </c>
      <c r="D6152" s="2" t="inlineStr">
        <is>
          <t>352820</t>
        </is>
      </c>
      <c r="E6152" s="3" t="inlineStr">
        <is>
          <t>특수관계인으로부터수증</t>
        </is>
      </c>
      <c r="F6152" s="3" t="inlineStr">
        <is>
          <t>하이브</t>
        </is>
      </c>
      <c r="G6152" s="2" t="inlineStr">
        <is>
          <t>20260521000530</t>
        </is>
      </c>
      <c r="H6152" s="8">
        <f>HYPERLINK("https://dart.fss.or.kr/dsaf001/main.do?rcpNo=20260521000530", "공시열람")</f>
        <v/>
      </c>
    </row>
    <row r="6153">
      <c r="A6153" s="2" t="inlineStr">
        <is>
          <t>2026-05-21</t>
        </is>
      </c>
      <c r="B6153" s="3" t="inlineStr">
        <is>
          <t>대신증권</t>
        </is>
      </c>
      <c r="C6153" s="2" t="inlineStr">
        <is>
          <t>코스피</t>
        </is>
      </c>
      <c r="D6153" s="2" t="inlineStr">
        <is>
          <t>003540</t>
        </is>
      </c>
      <c r="E6153" s="3" t="inlineStr">
        <is>
          <t>투자설명서(일괄신고)</t>
        </is>
      </c>
      <c r="F6153" s="3" t="inlineStr">
        <is>
          <t>대신증권</t>
        </is>
      </c>
      <c r="G6153" s="2" t="inlineStr">
        <is>
          <t>20260521000526</t>
        </is>
      </c>
      <c r="H6153" s="8">
        <f>HYPERLINK("https://dart.fss.or.kr/dsaf001/main.do?rcpNo=20260521000526", "공시열람")</f>
        <v/>
      </c>
    </row>
    <row r="6154">
      <c r="A6154" s="2" t="inlineStr">
        <is>
          <t>2026-05-21 (정정: 2026-05-21)</t>
        </is>
      </c>
      <c r="B6154" s="3" t="inlineStr">
        <is>
          <t>대신밸런스제20호스팩</t>
        </is>
      </c>
      <c r="C6154" s="2" t="inlineStr">
        <is>
          <t>코스닥</t>
        </is>
      </c>
      <c r="D6154" s="2" t="inlineStr">
        <is>
          <t>0134X0</t>
        </is>
      </c>
      <c r="E6154" s="3" t="inlineStr">
        <is>
          <t>[발행조건확정]증권신고서(지분증권) (정정: 20260521)</t>
        </is>
      </c>
      <c r="F6154" s="3" t="inlineStr">
        <is>
          <t>대신밸런스제20호스팩</t>
        </is>
      </c>
      <c r="G6154" s="2" t="inlineStr">
        <is>
          <t>20260521000518</t>
        </is>
      </c>
      <c r="H6154" s="8">
        <f>HYPERLINK("https://dart.fss.or.kr/dsaf001/main.do?rcpNo=20260521000518", "공시열람")</f>
        <v/>
      </c>
    </row>
    <row r="6155">
      <c r="A6155" s="2" t="inlineStr">
        <is>
          <t>2026-05-21</t>
        </is>
      </c>
      <c r="B6155" s="3" t="inlineStr">
        <is>
          <t>이마트</t>
        </is>
      </c>
      <c r="C6155" s="2" t="inlineStr">
        <is>
          <t>코스피</t>
        </is>
      </c>
      <c r="D6155" s="2" t="inlineStr">
        <is>
          <t>139480</t>
        </is>
      </c>
      <c r="E6155" s="3" t="inlineStr">
        <is>
          <t>[첨부정정]증권신고서(주식의포괄적교환ㆍ이전)</t>
        </is>
      </c>
      <c r="F6155" s="3" t="inlineStr">
        <is>
          <t>이마트</t>
        </is>
      </c>
      <c r="G6155" s="2" t="inlineStr">
        <is>
          <t>20260521000524</t>
        </is>
      </c>
      <c r="H6155" s="8">
        <f>HYPERLINK("https://dart.fss.or.kr/dsaf001/main.do?rcpNo=20260521000524", "공시열람")</f>
        <v/>
      </c>
    </row>
    <row r="6156">
      <c r="A6156" s="2" t="inlineStr">
        <is>
          <t>2026-05-21</t>
        </is>
      </c>
      <c r="B6156" s="3" t="inlineStr">
        <is>
          <t>JW신약</t>
        </is>
      </c>
      <c r="C6156" s="2" t="inlineStr">
        <is>
          <t>코스닥</t>
        </is>
      </c>
      <c r="D6156" s="2" t="inlineStr">
        <is>
          <t>067290</t>
        </is>
      </c>
      <c r="E6156" s="3" t="inlineStr">
        <is>
          <t>주요사항보고서(자본으로인정되는채무증권발행결정)</t>
        </is>
      </c>
      <c r="F6156" s="3" t="inlineStr">
        <is>
          <t>JW신약</t>
        </is>
      </c>
      <c r="G6156" s="2" t="inlineStr">
        <is>
          <t>20260521000521</t>
        </is>
      </c>
      <c r="H6156" s="8">
        <f>HYPERLINK("https://dart.fss.or.kr/dsaf001/main.do?rcpNo=20260521000521", "공시열람")</f>
        <v/>
      </c>
    </row>
    <row r="6157">
      <c r="A6157" s="2" t="inlineStr">
        <is>
          <t>2026-05-21</t>
        </is>
      </c>
      <c r="B6157" s="3" t="inlineStr">
        <is>
          <t>현대차증권</t>
        </is>
      </c>
      <c r="C6157" s="2" t="inlineStr">
        <is>
          <t>코스피</t>
        </is>
      </c>
      <c r="D6157" s="2" t="inlineStr">
        <is>
          <t>001500</t>
        </is>
      </c>
      <c r="E6157" s="3" t="inlineStr">
        <is>
          <t>투자설명서(일괄신고)</t>
        </is>
      </c>
      <c r="F6157" s="3" t="inlineStr">
        <is>
          <t>현대차증권</t>
        </is>
      </c>
      <c r="G6157" s="2" t="inlineStr">
        <is>
          <t>20260521000520</t>
        </is>
      </c>
      <c r="H6157" s="8">
        <f>HYPERLINK("https://dart.fss.or.kr/dsaf001/main.do?rcpNo=20260521000520", "공시열람")</f>
        <v/>
      </c>
    </row>
    <row r="6158">
      <c r="A6158" s="2" t="inlineStr">
        <is>
          <t>2026-05-21</t>
        </is>
      </c>
      <c r="B6158" s="3" t="inlineStr">
        <is>
          <t>네오리진</t>
        </is>
      </c>
      <c r="C6158" s="2" t="inlineStr">
        <is>
          <t>코스닥</t>
        </is>
      </c>
      <c r="D6158" s="2" t="inlineStr">
        <is>
          <t>094860</t>
        </is>
      </c>
      <c r="E6158" s="3" t="inlineStr">
        <is>
          <t>기타시장안내(최대주주의의무보유관련)              (최대주주의 의무보유 이행 관련)</t>
        </is>
      </c>
      <c r="F6158" s="3" t="inlineStr">
        <is>
          <t>코스닥시장본부</t>
        </is>
      </c>
      <c r="G6158" s="2" t="inlineStr">
        <is>
          <t>20260521900600</t>
        </is>
      </c>
      <c r="H6158" s="8">
        <f>HYPERLINK("https://dart.fss.or.kr/dsaf001/main.do?rcpNo=20260521900600", "공시열람")</f>
        <v/>
      </c>
    </row>
    <row r="6159">
      <c r="A6159" s="2" t="inlineStr">
        <is>
          <t>2026-05-21 (정정: 2026-05-28)</t>
        </is>
      </c>
      <c r="B6159" s="3" t="inlineStr">
        <is>
          <t>삼진제약</t>
        </is>
      </c>
      <c r="C6159" s="2" t="inlineStr">
        <is>
          <t>코스피</t>
        </is>
      </c>
      <c r="D6159" s="2" t="inlineStr">
        <is>
          <t>005500</t>
        </is>
      </c>
      <c r="E6159" s="3" t="inlineStr">
        <is>
          <t>임원ㆍ주요주주특정증권등소유상황보고서 (정정: 20260528)</t>
        </is>
      </c>
      <c r="F6159" s="3" t="inlineStr">
        <is>
          <t>김상진</t>
        </is>
      </c>
      <c r="G6159" s="2" t="inlineStr">
        <is>
          <t>20260528000906</t>
        </is>
      </c>
      <c r="H6159" s="8">
        <f>HYPERLINK("https://dart.fss.or.kr/dsaf001/main.do?rcpNo=20260528000906", "공시열람")</f>
        <v/>
      </c>
    </row>
    <row r="6160">
      <c r="A6160" s="2" t="inlineStr">
        <is>
          <t>2026-05-21</t>
        </is>
      </c>
      <c r="B6160" s="3" t="inlineStr">
        <is>
          <t>하이브</t>
        </is>
      </c>
      <c r="C6160" s="2" t="inlineStr">
        <is>
          <t>코스피</t>
        </is>
      </c>
      <c r="D6160" s="2" t="inlineStr">
        <is>
          <t>352820</t>
        </is>
      </c>
      <c r="E6160" s="3" t="inlineStr">
        <is>
          <t>임원ㆍ주요주주특정증권등소유상황보고서</t>
        </is>
      </c>
      <c r="F6160" s="3" t="inlineStr">
        <is>
          <t>방시혁</t>
        </is>
      </c>
      <c r="G6160" s="2" t="inlineStr">
        <is>
          <t>20260521000510</t>
        </is>
      </c>
      <c r="H6160" s="8">
        <f>HYPERLINK("https://dart.fss.or.kr/dsaf001/main.do?rcpNo=20260521000510", "공시열람")</f>
        <v/>
      </c>
    </row>
    <row r="6161">
      <c r="A6161" s="2" t="inlineStr">
        <is>
          <t>2026-05-21</t>
        </is>
      </c>
      <c r="B6161" s="3" t="inlineStr">
        <is>
          <t>JW신약</t>
        </is>
      </c>
      <c r="C6161" s="2" t="inlineStr">
        <is>
          <t>코스닥</t>
        </is>
      </c>
      <c r="D6161" s="2" t="inlineStr">
        <is>
          <t>067290</t>
        </is>
      </c>
      <c r="E6161" s="3" t="inlineStr">
        <is>
          <t>주요사항보고서(자본으로인정되는채무증권발행결정)</t>
        </is>
      </c>
      <c r="F6161" s="3" t="inlineStr">
        <is>
          <t>JW신약</t>
        </is>
      </c>
      <c r="G6161" s="2" t="inlineStr">
        <is>
          <t>20260521000505</t>
        </is>
      </c>
      <c r="H6161" s="8">
        <f>HYPERLINK("https://dart.fss.or.kr/dsaf001/main.do?rcpNo=20260521000505", "공시열람")</f>
        <v/>
      </c>
    </row>
    <row r="6162">
      <c r="A6162" s="2" t="inlineStr">
        <is>
          <t>2026-05-21</t>
        </is>
      </c>
      <c r="B6162" s="3" t="inlineStr">
        <is>
          <t>큐라켐</t>
        </is>
      </c>
      <c r="C6162" s="2" t="inlineStr">
        <is>
          <t>코넥스</t>
        </is>
      </c>
      <c r="D6162" s="2" t="inlineStr">
        <is>
          <t>456190</t>
        </is>
      </c>
      <c r="E6162" s="3" t="inlineStr">
        <is>
          <t xml:space="preserve">기업설명회(IR)개최결과              </t>
        </is>
      </c>
      <c r="F6162" s="3" t="inlineStr">
        <is>
          <t>큐라켐</t>
        </is>
      </c>
      <c r="G6162" s="2" t="inlineStr">
        <is>
          <t>20260521600594</t>
        </is>
      </c>
      <c r="H6162" s="8">
        <f>HYPERLINK("https://dart.fss.or.kr/dsaf001/main.do?rcpNo=20260521600594", "공시열람")</f>
        <v/>
      </c>
    </row>
    <row r="6163">
      <c r="A6163" s="2" t="inlineStr">
        <is>
          <t>2026-05-21</t>
        </is>
      </c>
      <c r="B6163" s="3" t="inlineStr">
        <is>
          <t>이성씨엔아이</t>
        </is>
      </c>
      <c r="C6163" s="2" t="inlineStr">
        <is>
          <t>코넥스</t>
        </is>
      </c>
      <c r="D6163" s="2" t="inlineStr">
        <is>
          <t>379390</t>
        </is>
      </c>
      <c r="E6163" s="3" t="inlineStr">
        <is>
          <t xml:space="preserve">기업설명회(IR)개최결과              </t>
        </is>
      </c>
      <c r="F6163" s="3" t="inlineStr">
        <is>
          <t>이성씨엔아이</t>
        </is>
      </c>
      <c r="G6163" s="2" t="inlineStr">
        <is>
          <t>20260521600589</t>
        </is>
      </c>
      <c r="H6163" s="8">
        <f>HYPERLINK("https://dart.fss.or.kr/dsaf001/main.do?rcpNo=20260521600589", "공시열람")</f>
        <v/>
      </c>
    </row>
    <row r="6164">
      <c r="A6164" s="2" t="inlineStr">
        <is>
          <t>2026-05-21</t>
        </is>
      </c>
      <c r="B6164" s="3" t="inlineStr">
        <is>
          <t>현대차증권</t>
        </is>
      </c>
      <c r="C6164" s="2" t="inlineStr">
        <is>
          <t>코스피</t>
        </is>
      </c>
      <c r="D6164" s="2" t="inlineStr">
        <is>
          <t>001500</t>
        </is>
      </c>
      <c r="E6164" s="3" t="inlineStr">
        <is>
          <t>투자설명서(일괄신고)</t>
        </is>
      </c>
      <c r="F6164" s="3" t="inlineStr">
        <is>
          <t>현대차증권</t>
        </is>
      </c>
      <c r="G6164" s="2" t="inlineStr">
        <is>
          <t>20260521000503</t>
        </is>
      </c>
      <c r="H6164" s="8">
        <f>HYPERLINK("https://dart.fss.or.kr/dsaf001/main.do?rcpNo=20260521000503", "공시열람")</f>
        <v/>
      </c>
    </row>
    <row r="6165">
      <c r="A6165" s="2" t="inlineStr">
        <is>
          <t>2026-05-21</t>
        </is>
      </c>
      <c r="B6165" s="3" t="inlineStr">
        <is>
          <t>데이터스트림즈</t>
        </is>
      </c>
      <c r="C6165" s="2" t="inlineStr">
        <is>
          <t>코넥스</t>
        </is>
      </c>
      <c r="D6165" s="2" t="inlineStr">
        <is>
          <t>199150</t>
        </is>
      </c>
      <c r="E6165" s="3" t="inlineStr">
        <is>
          <t xml:space="preserve">기업설명회(IR)개최결과              </t>
        </is>
      </c>
      <c r="F6165" s="3" t="inlineStr">
        <is>
          <t>데이터스트림즈</t>
        </is>
      </c>
      <c r="G6165" s="2" t="inlineStr">
        <is>
          <t>20260521600581</t>
        </is>
      </c>
      <c r="H6165" s="8">
        <f>HYPERLINK("https://dart.fss.or.kr/dsaf001/main.do?rcpNo=20260521600581", "공시열람")</f>
        <v/>
      </c>
    </row>
    <row r="6166">
      <c r="A6166" s="2" t="inlineStr">
        <is>
          <t>2026-05-21</t>
        </is>
      </c>
      <c r="B6166" s="3" t="inlineStr">
        <is>
          <t>핑거</t>
        </is>
      </c>
      <c r="C6166" s="2" t="inlineStr">
        <is>
          <t>코스닥</t>
        </is>
      </c>
      <c r="D6166" s="2" t="inlineStr">
        <is>
          <t>163730</t>
        </is>
      </c>
      <c r="E6166" s="3" t="inlineStr">
        <is>
          <t xml:space="preserve">증권발행결과(자율공시)              </t>
        </is>
      </c>
      <c r="F6166" s="3" t="inlineStr">
        <is>
          <t>핑거</t>
        </is>
      </c>
      <c r="G6166" s="2" t="inlineStr">
        <is>
          <t>20260521900630</t>
        </is>
      </c>
      <c r="H6166" s="8">
        <f>HYPERLINK("https://dart.fss.or.kr/dsaf001/main.do?rcpNo=20260521900630", "공시열람")</f>
        <v/>
      </c>
    </row>
    <row r="6167">
      <c r="A6167" s="2" t="inlineStr">
        <is>
          <t>2026-05-21 (정정: 2026-05-21)</t>
        </is>
      </c>
      <c r="B6167" s="3" t="inlineStr">
        <is>
          <t>LG전자</t>
        </is>
      </c>
      <c r="C6167" s="2" t="inlineStr">
        <is>
          <t>코스피</t>
        </is>
      </c>
      <c r="D6167" s="2" t="inlineStr">
        <is>
          <t>066570</t>
        </is>
      </c>
      <c r="E6167" s="3" t="inlineStr">
        <is>
          <t>[발행조건확정]증권신고서(채무증권) (정정: 20260521)</t>
        </is>
      </c>
      <c r="F6167" s="3" t="inlineStr">
        <is>
          <t>LG전자</t>
        </is>
      </c>
      <c r="G6167" s="2" t="inlineStr">
        <is>
          <t>20260521000489</t>
        </is>
      </c>
      <c r="H6167" s="8">
        <f>HYPERLINK("https://dart.fss.or.kr/dsaf001/main.do?rcpNo=20260521000489", "공시열람")</f>
        <v/>
      </c>
    </row>
    <row r="6168">
      <c r="A6168" s="2" t="inlineStr">
        <is>
          <t>2026-05-21</t>
        </is>
      </c>
      <c r="B6168" s="3" t="inlineStr">
        <is>
          <t>파크시스템스</t>
        </is>
      </c>
      <c r="C6168" s="2" t="inlineStr">
        <is>
          <t>코스닥</t>
        </is>
      </c>
      <c r="D6168" s="2" t="inlineStr">
        <is>
          <t>140860</t>
        </is>
      </c>
      <c r="E6168" s="3" t="inlineStr">
        <is>
          <t>주요사항보고서(자본으로인정되는채무증권발행결정)</t>
        </is>
      </c>
      <c r="F6168" s="3" t="inlineStr">
        <is>
          <t>파크시스템스</t>
        </is>
      </c>
      <c r="G6168" s="2" t="inlineStr">
        <is>
          <t>20260521000500</t>
        </is>
      </c>
      <c r="H6168" s="8">
        <f>HYPERLINK("https://dart.fss.or.kr/dsaf001/main.do?rcpNo=20260521000500", "공시열람")</f>
        <v/>
      </c>
    </row>
    <row r="6169">
      <c r="A6169" s="2" t="inlineStr">
        <is>
          <t>2026-05-21</t>
        </is>
      </c>
      <c r="B6169" s="3" t="inlineStr">
        <is>
          <t>대신증권</t>
        </is>
      </c>
      <c r="C6169" s="2" t="inlineStr">
        <is>
          <t>코스피</t>
        </is>
      </c>
      <c r="D6169" s="2" t="inlineStr">
        <is>
          <t>003540</t>
        </is>
      </c>
      <c r="E6169" s="3" t="inlineStr">
        <is>
          <t>일괄신고추가서류(파생결합사채-주가연계파생결합사채)</t>
        </is>
      </c>
      <c r="F6169" s="3" t="inlineStr">
        <is>
          <t>대신증권</t>
        </is>
      </c>
      <c r="G6169" s="2" t="inlineStr">
        <is>
          <t>20260521000499</t>
        </is>
      </c>
      <c r="H6169" s="8">
        <f>HYPERLINK("https://dart.fss.or.kr/dsaf001/main.do?rcpNo=20260521000499", "공시열람")</f>
        <v/>
      </c>
    </row>
    <row r="6170">
      <c r="A6170" s="2" t="inlineStr">
        <is>
          <t>2026-05-21</t>
        </is>
      </c>
      <c r="B6170" s="3" t="inlineStr">
        <is>
          <t>삼진제약</t>
        </is>
      </c>
      <c r="C6170" s="2" t="inlineStr">
        <is>
          <t>코스피</t>
        </is>
      </c>
      <c r="D6170" s="2" t="inlineStr">
        <is>
          <t>005500</t>
        </is>
      </c>
      <c r="E6170" s="3" t="inlineStr">
        <is>
          <t>임원ㆍ주요주주특정증권등소유상황보고서</t>
        </is>
      </c>
      <c r="F6170" s="3" t="inlineStr">
        <is>
          <t>신승원</t>
        </is>
      </c>
      <c r="G6170" s="2" t="inlineStr">
        <is>
          <t>20260521000497</t>
        </is>
      </c>
      <c r="H6170" s="8">
        <f>HYPERLINK("https://dart.fss.or.kr/dsaf001/main.do?rcpNo=20260521000497", "공시열람")</f>
        <v/>
      </c>
    </row>
    <row r="6171">
      <c r="A6171" s="2" t="inlineStr">
        <is>
          <t>2026-05-21</t>
        </is>
      </c>
      <c r="B6171" s="3" t="inlineStr">
        <is>
          <t>KSS해운</t>
        </is>
      </c>
      <c r="C6171" s="2" t="inlineStr">
        <is>
          <t>코스피</t>
        </is>
      </c>
      <c r="D6171" s="2" t="inlineStr">
        <is>
          <t>044450</t>
        </is>
      </c>
      <c r="E6171" s="3" t="inlineStr">
        <is>
          <t>임원ㆍ주요주주특정증권등소유상황보고서</t>
        </is>
      </c>
      <c r="F6171" s="3" t="inlineStr">
        <is>
          <t>케이에스에스해운우리사주조합</t>
        </is>
      </c>
      <c r="G6171" s="2" t="inlineStr">
        <is>
          <t>20260521000496</t>
        </is>
      </c>
      <c r="H6171" s="8">
        <f>HYPERLINK("https://dart.fss.or.kr/dsaf001/main.do?rcpNo=20260521000496", "공시열람")</f>
        <v/>
      </c>
    </row>
    <row r="6172">
      <c r="A6172" s="2" t="inlineStr">
        <is>
          <t>2026-05-21</t>
        </is>
      </c>
      <c r="B6172" s="3" t="inlineStr">
        <is>
          <t>컴투스홀딩스</t>
        </is>
      </c>
      <c r="C6172" s="2" t="inlineStr">
        <is>
          <t>코스닥</t>
        </is>
      </c>
      <c r="D6172" s="2" t="inlineStr">
        <is>
          <t>063080</t>
        </is>
      </c>
      <c r="E6172" s="3" t="inlineStr">
        <is>
          <t xml:space="preserve">기업설명회(IR)개최              </t>
        </is>
      </c>
      <c r="F6172" s="3" t="inlineStr">
        <is>
          <t>컴투스홀딩스</t>
        </is>
      </c>
      <c r="G6172" s="2" t="inlineStr">
        <is>
          <t>20260521900621</t>
        </is>
      </c>
      <c r="H6172" s="8">
        <f>HYPERLINK("https://dart.fss.or.kr/dsaf001/main.do?rcpNo=20260521900621", "공시열람")</f>
        <v/>
      </c>
    </row>
    <row r="6173">
      <c r="A6173" s="2" t="inlineStr">
        <is>
          <t>2026-05-21</t>
        </is>
      </c>
      <c r="B6173" s="3" t="inlineStr">
        <is>
          <t>한양증권</t>
        </is>
      </c>
      <c r="C6173" s="2" t="inlineStr">
        <is>
          <t>코스피</t>
        </is>
      </c>
      <c r="D6173" s="2" t="inlineStr">
        <is>
          <t>001750</t>
        </is>
      </c>
      <c r="E6173" s="3" t="inlineStr">
        <is>
          <t>임원ㆍ주요주주특정증권등소유상황보고서</t>
        </is>
      </c>
      <c r="F6173" s="3" t="inlineStr">
        <is>
          <t>이준규</t>
        </is>
      </c>
      <c r="G6173" s="2" t="inlineStr">
        <is>
          <t>20260521000495</t>
        </is>
      </c>
      <c r="H6173" s="8">
        <f>HYPERLINK("https://dart.fss.or.kr/dsaf001/main.do?rcpNo=20260521000495", "공시열람")</f>
        <v/>
      </c>
    </row>
    <row r="6174">
      <c r="A6174" s="2" t="inlineStr">
        <is>
          <t>2026-05-21</t>
        </is>
      </c>
      <c r="B6174" s="3" t="inlineStr">
        <is>
          <t>에이치엔에스하이텍</t>
        </is>
      </c>
      <c r="C6174" s="2" t="inlineStr">
        <is>
          <t>코스닥</t>
        </is>
      </c>
      <c r="D6174" s="2" t="inlineStr">
        <is>
          <t>044990</t>
        </is>
      </c>
      <c r="E6174" s="3" t="inlineStr">
        <is>
          <t>임원ㆍ주요주주특정증권등소유상황보고서</t>
        </is>
      </c>
      <c r="F6174" s="3" t="inlineStr">
        <is>
          <t>김준범</t>
        </is>
      </c>
      <c r="G6174" s="2" t="inlineStr">
        <is>
          <t>20260521000492</t>
        </is>
      </c>
      <c r="H6174" s="8">
        <f>HYPERLINK("https://dart.fss.or.kr/dsaf001/main.do?rcpNo=20260521000492", "공시열람")</f>
        <v/>
      </c>
    </row>
    <row r="6175">
      <c r="A6175" s="2" t="inlineStr">
        <is>
          <t>2026-05-21</t>
        </is>
      </c>
      <c r="B6175" s="3" t="inlineStr">
        <is>
          <t>체리부로</t>
        </is>
      </c>
      <c r="C6175" s="2" t="inlineStr">
        <is>
          <t>코스닥</t>
        </is>
      </c>
      <c r="D6175" s="2" t="inlineStr">
        <is>
          <t>066360</t>
        </is>
      </c>
      <c r="E6175" s="3" t="inlineStr">
        <is>
          <t xml:space="preserve">주주명부폐쇄기간또는기준일설정              </t>
        </is>
      </c>
      <c r="F6175" s="3" t="inlineStr">
        <is>
          <t>체리부로</t>
        </is>
      </c>
      <c r="G6175" s="2" t="inlineStr">
        <is>
          <t>20260521900590</t>
        </is>
      </c>
      <c r="H6175" s="8">
        <f>HYPERLINK("https://dart.fss.or.kr/dsaf001/main.do?rcpNo=20260521900590", "공시열람")</f>
        <v/>
      </c>
    </row>
    <row r="6176">
      <c r="A6176" s="2" t="inlineStr">
        <is>
          <t>2026-05-21</t>
        </is>
      </c>
      <c r="B6176" s="3" t="inlineStr">
        <is>
          <t>체리부로</t>
        </is>
      </c>
      <c r="C6176" s="2" t="inlineStr">
        <is>
          <t>코스닥</t>
        </is>
      </c>
      <c r="D6176" s="2" t="inlineStr">
        <is>
          <t>066360</t>
        </is>
      </c>
      <c r="E6176" s="3" t="inlineStr">
        <is>
          <t xml:space="preserve">주식병합결정              </t>
        </is>
      </c>
      <c r="F6176" s="3" t="inlineStr">
        <is>
          <t>체리부로</t>
        </is>
      </c>
      <c r="G6176" s="2" t="inlineStr">
        <is>
          <t>20260521900582</t>
        </is>
      </c>
      <c r="H6176" s="8">
        <f>HYPERLINK("https://dart.fss.or.kr/dsaf001/main.do?rcpNo=20260521900582", "공시열람")</f>
        <v/>
      </c>
    </row>
    <row r="6177">
      <c r="A6177" s="2" t="inlineStr">
        <is>
          <t>2026-05-21</t>
        </is>
      </c>
      <c r="B6177" s="3" t="inlineStr">
        <is>
          <t>로지스몬</t>
        </is>
      </c>
      <c r="C6177" s="2" t="inlineStr">
        <is>
          <t>코넥스</t>
        </is>
      </c>
      <c r="D6177" s="2" t="inlineStr">
        <is>
          <t>223220</t>
        </is>
      </c>
      <c r="E6177" s="3" t="inlineStr">
        <is>
          <t>주요사항보고서(소송등의제기)</t>
        </is>
      </c>
      <c r="F6177" s="3" t="inlineStr">
        <is>
          <t>로지스몬</t>
        </is>
      </c>
      <c r="G6177" s="2" t="inlineStr">
        <is>
          <t>20260521000449</t>
        </is>
      </c>
      <c r="H6177" s="8">
        <f>HYPERLINK("https://dart.fss.or.kr/dsaf001/main.do?rcpNo=20260521000449", "공시열람")</f>
        <v/>
      </c>
    </row>
    <row r="6178">
      <c r="A6178" s="2" t="inlineStr">
        <is>
          <t>2026-05-21</t>
        </is>
      </c>
      <c r="B6178" s="3" t="inlineStr">
        <is>
          <t>현대차증권</t>
        </is>
      </c>
      <c r="C6178" s="2" t="inlineStr">
        <is>
          <t>코스피</t>
        </is>
      </c>
      <c r="D6178" s="2" t="inlineStr">
        <is>
          <t>001500</t>
        </is>
      </c>
      <c r="E6178" s="3" t="inlineStr">
        <is>
          <t>일괄신고추가서류(파생결합사채-주가연계파생결합사채)</t>
        </is>
      </c>
      <c r="F6178" s="3" t="inlineStr">
        <is>
          <t>현대차증권</t>
        </is>
      </c>
      <c r="G6178" s="2" t="inlineStr">
        <is>
          <t>20260521000490</t>
        </is>
      </c>
      <c r="H6178" s="8">
        <f>HYPERLINK("https://dart.fss.or.kr/dsaf001/main.do?rcpNo=20260521000490", "공시열람")</f>
        <v/>
      </c>
    </row>
    <row r="6179">
      <c r="A6179" s="2" t="inlineStr">
        <is>
          <t>2026-05-21 (정정: 2026-05-21)</t>
        </is>
      </c>
      <c r="B6179" s="3" t="inlineStr">
        <is>
          <t>미래에셋증권</t>
        </is>
      </c>
      <c r="C6179" s="2" t="inlineStr">
        <is>
          <t>코스피</t>
        </is>
      </c>
      <c r="D6179" s="2" t="inlineStr">
        <is>
          <t>006800</t>
        </is>
      </c>
      <c r="E6179" s="3" t="inlineStr">
        <is>
          <t>특수관계인에대한출자 (정정: 20260521) (정정: 20260521)</t>
        </is>
      </c>
      <c r="F6179" s="3" t="inlineStr">
        <is>
          <t>미래에셋증권</t>
        </is>
      </c>
      <c r="G6179" s="2" t="inlineStr">
        <is>
          <t>20260521000456</t>
        </is>
      </c>
      <c r="H6179" s="8">
        <f>HYPERLINK("https://dart.fss.or.kr/dsaf001/main.do?rcpNo=20260521000456", "공시열람")</f>
        <v/>
      </c>
    </row>
    <row r="6180">
      <c r="A6180" s="2" t="inlineStr">
        <is>
          <t>2026-05-21</t>
        </is>
      </c>
      <c r="B6180" s="3" t="inlineStr">
        <is>
          <t>현대차증권</t>
        </is>
      </c>
      <c r="C6180" s="2" t="inlineStr">
        <is>
          <t>코스피</t>
        </is>
      </c>
      <c r="D6180" s="2" t="inlineStr">
        <is>
          <t>001500</t>
        </is>
      </c>
      <c r="E6180" s="3" t="inlineStr">
        <is>
          <t>일괄신고추가서류(파생결합증권-주가연계증권)</t>
        </is>
      </c>
      <c r="F6180" s="3" t="inlineStr">
        <is>
          <t>현대차증권</t>
        </is>
      </c>
      <c r="G6180" s="2" t="inlineStr">
        <is>
          <t>20260521000479</t>
        </is>
      </c>
      <c r="H6180" s="8">
        <f>HYPERLINK("https://dart.fss.or.kr/dsaf001/main.do?rcpNo=20260521000479", "공시열람")</f>
        <v/>
      </c>
    </row>
    <row r="6181">
      <c r="A6181" s="2" t="inlineStr">
        <is>
          <t>2026-05-21</t>
        </is>
      </c>
      <c r="B6181" s="3" t="inlineStr">
        <is>
          <t>엘컴텍</t>
        </is>
      </c>
      <c r="C6181" s="2" t="inlineStr">
        <is>
          <t>코스닥</t>
        </is>
      </c>
      <c r="D6181" s="2" t="inlineStr">
        <is>
          <t>037950</t>
        </is>
      </c>
      <c r="E6181" s="3" t="inlineStr">
        <is>
          <t>임원ㆍ주요주주특정증권등거래계획보고서</t>
        </is>
      </c>
      <c r="F6181" s="3" t="inlineStr">
        <is>
          <t>김종구</t>
        </is>
      </c>
      <c r="G6181" s="2" t="inlineStr">
        <is>
          <t>20260521000457</t>
        </is>
      </c>
      <c r="H6181" s="8">
        <f>HYPERLINK("https://dart.fss.or.kr/dsaf001/main.do?rcpNo=20260521000457", "공시열람")</f>
        <v/>
      </c>
    </row>
    <row r="6182">
      <c r="A6182" s="2" t="inlineStr">
        <is>
          <t>2026-05-21</t>
        </is>
      </c>
      <c r="B6182" s="3" t="inlineStr">
        <is>
          <t>해성옵틱스</t>
        </is>
      </c>
      <c r="C6182" s="2" t="inlineStr">
        <is>
          <t>코스닥</t>
        </is>
      </c>
      <c r="D6182" s="2" t="inlineStr">
        <is>
          <t>076610</t>
        </is>
      </c>
      <c r="E6182" s="3" t="inlineStr">
        <is>
          <t xml:space="preserve">전환청구권행사              </t>
        </is>
      </c>
      <c r="F6182" s="3" t="inlineStr">
        <is>
          <t>해성옵틱스</t>
        </is>
      </c>
      <c r="G6182" s="2" t="inlineStr">
        <is>
          <t>20260521900576</t>
        </is>
      </c>
      <c r="H6182" s="8">
        <f>HYPERLINK("https://dart.fss.or.kr/dsaf001/main.do?rcpNo=20260521900576", "공시열람")</f>
        <v/>
      </c>
    </row>
    <row r="6183">
      <c r="A6183" s="2" t="inlineStr">
        <is>
          <t>2026-05-21 (정정: 2026-05-22)</t>
        </is>
      </c>
      <c r="B6183" s="3" t="inlineStr">
        <is>
          <t>알엔투테크놀로지</t>
        </is>
      </c>
      <c r="C6183" s="2" t="inlineStr">
        <is>
          <t>코스닥</t>
        </is>
      </c>
      <c r="D6183" s="2" t="inlineStr">
        <is>
          <t>148250</t>
        </is>
      </c>
      <c r="E6183" s="3" t="inlineStr">
        <is>
          <t>주요사항보고서(자기전환사채매도결정) (정정: 20260522)</t>
        </is>
      </c>
      <c r="F6183" s="3" t="inlineStr">
        <is>
          <t>알엔투테크놀로지</t>
        </is>
      </c>
      <c r="G6183" s="2" t="inlineStr">
        <is>
          <t>20260522000614</t>
        </is>
      </c>
      <c r="H6183" s="8">
        <f>HYPERLINK("https://dart.fss.or.kr/dsaf001/main.do?rcpNo=20260522000614", "공시열람")</f>
        <v/>
      </c>
    </row>
    <row r="6184">
      <c r="A6184" s="2" t="inlineStr">
        <is>
          <t>2026-05-21</t>
        </is>
      </c>
      <c r="B6184" s="3" t="inlineStr">
        <is>
          <t>본시스템즈</t>
        </is>
      </c>
      <c r="C6184" s="2" t="inlineStr">
        <is>
          <t>코넥스</t>
        </is>
      </c>
      <c r="D6184" s="2" t="inlineStr">
        <is>
          <t>496320</t>
        </is>
      </c>
      <c r="E6184" s="3" t="inlineStr">
        <is>
          <t xml:space="preserve">기업설명회(IR)개최              </t>
        </is>
      </c>
      <c r="F6184" s="3" t="inlineStr">
        <is>
          <t>본시스템즈</t>
        </is>
      </c>
      <c r="G6184" s="2" t="inlineStr">
        <is>
          <t>20260521600549</t>
        </is>
      </c>
      <c r="H6184" s="8">
        <f>HYPERLINK("https://dart.fss.or.kr/dsaf001/main.do?rcpNo=20260521600549", "공시열람")</f>
        <v/>
      </c>
    </row>
    <row r="6185">
      <c r="A6185" s="2" t="inlineStr">
        <is>
          <t>2026-05-21</t>
        </is>
      </c>
      <c r="B6185" s="3" t="inlineStr">
        <is>
          <t>기신정기</t>
        </is>
      </c>
      <c r="C6185" s="2" t="inlineStr">
        <is>
          <t>코스피</t>
        </is>
      </c>
      <c r="D6185" s="2" t="inlineStr">
        <is>
          <t>092440</t>
        </is>
      </c>
      <c r="E6185" s="3" t="inlineStr">
        <is>
          <t xml:space="preserve">현금ㆍ현물배당결정              </t>
        </is>
      </c>
      <c r="F6185" s="3" t="inlineStr">
        <is>
          <t>기신정기</t>
        </is>
      </c>
      <c r="G6185" s="2" t="inlineStr">
        <is>
          <t>20260521800559</t>
        </is>
      </c>
      <c r="H6185" s="8">
        <f>HYPERLINK("https://dart.fss.or.kr/dsaf001/main.do?rcpNo=20260521800559", "공시열람")</f>
        <v/>
      </c>
    </row>
    <row r="6186">
      <c r="A6186" s="2" t="inlineStr">
        <is>
          <t>2026-05-21</t>
        </is>
      </c>
      <c r="B6186" s="3" t="inlineStr">
        <is>
          <t>SK케미칼</t>
        </is>
      </c>
      <c r="C6186" s="2" t="inlineStr">
        <is>
          <t>코스피</t>
        </is>
      </c>
      <c r="D6186" s="2" t="inlineStr">
        <is>
          <t>285130</t>
        </is>
      </c>
      <c r="E6186" s="3" t="inlineStr">
        <is>
          <t>임원ㆍ주요주주특정증권등소유상황보고서</t>
        </is>
      </c>
      <c r="F6186" s="3" t="inlineStr">
        <is>
          <t>고정석</t>
        </is>
      </c>
      <c r="G6186" s="2" t="inlineStr">
        <is>
          <t>20260521000443</t>
        </is>
      </c>
      <c r="H6186" s="8">
        <f>HYPERLINK("https://dart.fss.or.kr/dsaf001/main.do?rcpNo=20260521000443", "공시열람")</f>
        <v/>
      </c>
    </row>
    <row r="6187">
      <c r="A6187" s="2" t="inlineStr">
        <is>
          <t>2026-05-21</t>
        </is>
      </c>
      <c r="B6187" s="3" t="inlineStr">
        <is>
          <t>우리금융지주</t>
        </is>
      </c>
      <c r="C6187" s="2" t="inlineStr">
        <is>
          <t>코스피</t>
        </is>
      </c>
      <c r="D6187" s="2" t="inlineStr">
        <is>
          <t>316140</t>
        </is>
      </c>
      <c r="E6187" s="3" t="inlineStr">
        <is>
          <t>투자설명서(일괄신고)</t>
        </is>
      </c>
      <c r="F6187" s="3" t="inlineStr">
        <is>
          <t>우리금융지주</t>
        </is>
      </c>
      <c r="G6187" s="2" t="inlineStr">
        <is>
          <t>20260521000442</t>
        </is>
      </c>
      <c r="H6187" s="8">
        <f>HYPERLINK("https://dart.fss.or.kr/dsaf001/main.do?rcpNo=20260521000442", "공시열람")</f>
        <v/>
      </c>
    </row>
    <row r="6188">
      <c r="A6188" s="2" t="inlineStr">
        <is>
          <t>2026-05-21</t>
        </is>
      </c>
      <c r="B6188" s="3" t="inlineStr">
        <is>
          <t>NAVER</t>
        </is>
      </c>
      <c r="C6188" s="2" t="inlineStr">
        <is>
          <t>코스피</t>
        </is>
      </c>
      <c r="D6188" s="2" t="inlineStr">
        <is>
          <t>035420</t>
        </is>
      </c>
      <c r="E6188" s="3" t="inlineStr">
        <is>
          <t>임원ㆍ주요주주특정증권등소유상황보고서</t>
        </is>
      </c>
      <c r="F6188" s="3" t="inlineStr">
        <is>
          <t>구동현</t>
        </is>
      </c>
      <c r="G6188" s="2" t="inlineStr">
        <is>
          <t>20260521000437</t>
        </is>
      </c>
      <c r="H6188" s="8">
        <f>HYPERLINK("https://dart.fss.or.kr/dsaf001/main.do?rcpNo=20260521000437", "공시열람")</f>
        <v/>
      </c>
    </row>
    <row r="6189">
      <c r="A6189" s="2" t="inlineStr">
        <is>
          <t>2026-05-21</t>
        </is>
      </c>
      <c r="B6189" s="3" t="inlineStr">
        <is>
          <t>모바일어플라이언스</t>
        </is>
      </c>
      <c r="C6189" s="2" t="inlineStr">
        <is>
          <t>코스닥</t>
        </is>
      </c>
      <c r="D6189" s="2" t="inlineStr">
        <is>
          <t>087260</t>
        </is>
      </c>
      <c r="E6189" s="3" t="inlineStr">
        <is>
          <t xml:space="preserve">대표집행임원변경              </t>
        </is>
      </c>
      <c r="F6189" s="3" t="inlineStr">
        <is>
          <t>모바일어플라이언스</t>
        </is>
      </c>
      <c r="G6189" s="2" t="inlineStr">
        <is>
          <t>20260521900550</t>
        </is>
      </c>
      <c r="H6189" s="8">
        <f>HYPERLINK("https://dart.fss.or.kr/dsaf001/main.do?rcpNo=20260521900550", "공시열람")</f>
        <v/>
      </c>
    </row>
    <row r="6190">
      <c r="A6190" s="2" t="inlineStr">
        <is>
          <t>2026-05-21</t>
        </is>
      </c>
      <c r="B6190" s="3" t="inlineStr">
        <is>
          <t>블랙야크아이앤씨</t>
        </is>
      </c>
      <c r="C6190" s="2" t="inlineStr">
        <is>
          <t>코스닥</t>
        </is>
      </c>
      <c r="D6190" s="2" t="inlineStr">
        <is>
          <t>478560</t>
        </is>
      </c>
      <c r="E6190" s="3" t="inlineStr">
        <is>
          <t>증권발행결과(자율공시)              (제2회차 CB)</t>
        </is>
      </c>
      <c r="F6190" s="3" t="inlineStr">
        <is>
          <t>블랙야크아이앤씨</t>
        </is>
      </c>
      <c r="G6190" s="2" t="inlineStr">
        <is>
          <t>20260521900530</t>
        </is>
      </c>
      <c r="H6190" s="8">
        <f>HYPERLINK("https://dart.fss.or.kr/dsaf001/main.do?rcpNo=20260521900530", "공시열람")</f>
        <v/>
      </c>
    </row>
    <row r="6191">
      <c r="A6191" s="2" t="inlineStr">
        <is>
          <t>2026-05-21</t>
        </is>
      </c>
      <c r="B6191" s="3" t="inlineStr">
        <is>
          <t>에이치피오</t>
        </is>
      </c>
      <c r="C6191" s="2" t="inlineStr">
        <is>
          <t>코스닥</t>
        </is>
      </c>
      <c r="D6191" s="2" t="inlineStr">
        <is>
          <t>357230</t>
        </is>
      </c>
      <c r="E6191" s="3" t="inlineStr">
        <is>
          <t xml:space="preserve">기업설명회(IR)개최              </t>
        </is>
      </c>
      <c r="F6191" s="3" t="inlineStr">
        <is>
          <t>에이치피오</t>
        </is>
      </c>
      <c r="G6191" s="2" t="inlineStr">
        <is>
          <t>20260521900548</t>
        </is>
      </c>
      <c r="H6191" s="8">
        <f>HYPERLINK("https://dart.fss.or.kr/dsaf001/main.do?rcpNo=20260521900548", "공시열람")</f>
        <v/>
      </c>
    </row>
    <row r="6192">
      <c r="A6192" s="2" t="inlineStr">
        <is>
          <t>2026-05-21</t>
        </is>
      </c>
      <c r="B6192" s="3" t="inlineStr">
        <is>
          <t>에코프로비엠</t>
        </is>
      </c>
      <c r="C6192" s="2" t="inlineStr">
        <is>
          <t>코스닥</t>
        </is>
      </c>
      <c r="D6192" s="2" t="inlineStr">
        <is>
          <t>247540</t>
        </is>
      </c>
      <c r="E6192" s="3" t="inlineStr">
        <is>
          <t xml:space="preserve">기업설명회(IR)개최              </t>
        </is>
      </c>
      <c r="F6192" s="3" t="inlineStr">
        <is>
          <t>에코프로비엠</t>
        </is>
      </c>
      <c r="G6192" s="2" t="inlineStr">
        <is>
          <t>20260521900547</t>
        </is>
      </c>
      <c r="H6192" s="8">
        <f>HYPERLINK("https://dart.fss.or.kr/dsaf001/main.do?rcpNo=20260521900547", "공시열람")</f>
        <v/>
      </c>
    </row>
    <row r="6193">
      <c r="A6193" s="2" t="inlineStr">
        <is>
          <t>2026-05-21 (정정: 2026-05-29)</t>
        </is>
      </c>
      <c r="B6193" s="3" t="inlineStr">
        <is>
          <t>코칩</t>
        </is>
      </c>
      <c r="C6193" s="2" t="inlineStr">
        <is>
          <t>코스닥</t>
        </is>
      </c>
      <c r="D6193" s="2" t="inlineStr">
        <is>
          <t>126730</t>
        </is>
      </c>
      <c r="E6193" s="3" t="inlineStr">
        <is>
          <t>신탁계약해지결과보고서 (정정: 20260529)</t>
        </is>
      </c>
      <c r="F6193" s="3" t="inlineStr">
        <is>
          <t>코칩</t>
        </is>
      </c>
      <c r="G6193" s="2" t="inlineStr">
        <is>
          <t>20260529002349</t>
        </is>
      </c>
      <c r="H6193" s="8">
        <f>HYPERLINK("https://dart.fss.or.kr/dsaf001/main.do?rcpNo=20260529002349", "공시열람")</f>
        <v/>
      </c>
    </row>
    <row r="6194">
      <c r="A6194" s="2" t="inlineStr">
        <is>
          <t>2026-05-21 (정정: 2026-05-21)</t>
        </is>
      </c>
      <c r="B6194" s="3" t="inlineStr">
        <is>
          <t>현대건설</t>
        </is>
      </c>
      <c r="C6194" s="2" t="inlineStr">
        <is>
          <t>코스피</t>
        </is>
      </c>
      <c r="D6194" s="2" t="inlineStr">
        <is>
          <t>000720</t>
        </is>
      </c>
      <c r="E6194" s="3" t="inlineStr">
        <is>
          <t>기업설명회(IR)개최(안내공시)               (정정: 20260521)</t>
        </is>
      </c>
      <c r="F6194" s="3" t="inlineStr">
        <is>
          <t>현대건설</t>
        </is>
      </c>
      <c r="G6194" s="2" t="inlineStr">
        <is>
          <t>20260521000036</t>
        </is>
      </c>
      <c r="H6194" s="8">
        <f>HYPERLINK("https://dart.fss.or.kr/dsaf001/main.do?rcpNo=20260521000036", "공시열람")</f>
        <v/>
      </c>
    </row>
    <row r="6195">
      <c r="A6195" s="2" t="inlineStr">
        <is>
          <t>2026-05-21</t>
        </is>
      </c>
      <c r="B6195" s="3" t="inlineStr">
        <is>
          <t>두산밥캣</t>
        </is>
      </c>
      <c r="C6195" s="2" t="inlineStr">
        <is>
          <t>코스피</t>
        </is>
      </c>
      <c r="D6195" s="2" t="inlineStr">
        <is>
          <t>241560</t>
        </is>
      </c>
      <c r="E6195" s="3" t="inlineStr">
        <is>
          <t xml:space="preserve">해산사유발생(자회사의 주요경영사항)              </t>
        </is>
      </c>
      <c r="F6195" s="3" t="inlineStr">
        <is>
          <t>두산밥캣</t>
        </is>
      </c>
      <c r="G6195" s="2" t="inlineStr">
        <is>
          <t>20260521800521</t>
        </is>
      </c>
      <c r="H6195" s="8">
        <f>HYPERLINK("https://dart.fss.or.kr/dsaf001/main.do?rcpNo=20260521800521", "공시열람")</f>
        <v/>
      </c>
    </row>
    <row r="6196">
      <c r="A6196" s="2" t="inlineStr">
        <is>
          <t>2026-05-21</t>
        </is>
      </c>
      <c r="B6196" s="3" t="inlineStr">
        <is>
          <t>우리금융지주</t>
        </is>
      </c>
      <c r="C6196" s="2" t="inlineStr">
        <is>
          <t>코스피</t>
        </is>
      </c>
      <c r="D6196" s="2" t="inlineStr">
        <is>
          <t>316140</t>
        </is>
      </c>
      <c r="E6196" s="3" t="inlineStr">
        <is>
          <t>일괄신고추가서류</t>
        </is>
      </c>
      <c r="F6196" s="3" t="inlineStr">
        <is>
          <t>우리금융지주</t>
        </is>
      </c>
      <c r="G6196" s="2" t="inlineStr">
        <is>
          <t>20260521000429</t>
        </is>
      </c>
      <c r="H6196" s="8">
        <f>HYPERLINK("https://dart.fss.or.kr/dsaf001/main.do?rcpNo=20260521000429", "공시열람")</f>
        <v/>
      </c>
    </row>
    <row r="6197">
      <c r="A6197" s="2" t="inlineStr">
        <is>
          <t>2026-05-21</t>
        </is>
      </c>
      <c r="B6197" s="3" t="inlineStr">
        <is>
          <t>NAVER</t>
        </is>
      </c>
      <c r="C6197" s="2" t="inlineStr">
        <is>
          <t>코스피</t>
        </is>
      </c>
      <c r="D6197" s="2" t="inlineStr">
        <is>
          <t>035420</t>
        </is>
      </c>
      <c r="E6197" s="3" t="inlineStr">
        <is>
          <t>임원ㆍ주요주주특정증권등소유상황보고서</t>
        </is>
      </c>
      <c r="F6197" s="3" t="inlineStr">
        <is>
          <t>이은혜</t>
        </is>
      </c>
      <c r="G6197" s="2" t="inlineStr">
        <is>
          <t>20260521000428</t>
        </is>
      </c>
      <c r="H6197" s="8">
        <f>HYPERLINK("https://dart.fss.or.kr/dsaf001/main.do?rcpNo=20260521000428", "공시열람")</f>
        <v/>
      </c>
    </row>
    <row r="6198">
      <c r="A6198" s="2" t="inlineStr">
        <is>
          <t>2026-05-21</t>
        </is>
      </c>
      <c r="B6198" s="3" t="inlineStr">
        <is>
          <t>교보증권</t>
        </is>
      </c>
      <c r="C6198" s="2" t="inlineStr">
        <is>
          <t>코스피</t>
        </is>
      </c>
      <c r="D6198" s="2" t="inlineStr">
        <is>
          <t>030610</t>
        </is>
      </c>
      <c r="E6198" s="3" t="inlineStr">
        <is>
          <t>일괄신고추가서류(파생결합사채-주가연계파생결합사채)</t>
        </is>
      </c>
      <c r="F6198" s="3" t="inlineStr">
        <is>
          <t>교보증권</t>
        </is>
      </c>
      <c r="G6198" s="2" t="inlineStr">
        <is>
          <t>20260521000425</t>
        </is>
      </c>
      <c r="H6198" s="8">
        <f>HYPERLINK("https://dart.fss.or.kr/dsaf001/main.do?rcpNo=20260521000425", "공시열람")</f>
        <v/>
      </c>
    </row>
    <row r="6199">
      <c r="A6199" s="2" t="inlineStr">
        <is>
          <t>2026-05-21</t>
        </is>
      </c>
      <c r="B6199" s="3" t="inlineStr">
        <is>
          <t>현대모비스</t>
        </is>
      </c>
      <c r="C6199" s="2" t="inlineStr">
        <is>
          <t>코스피</t>
        </is>
      </c>
      <c r="D6199" s="2" t="inlineStr">
        <is>
          <t>012330</t>
        </is>
      </c>
      <c r="E6199" s="3" t="inlineStr">
        <is>
          <t xml:space="preserve">기업설명회(IR)개최(안내공시)              </t>
        </is>
      </c>
      <c r="F6199" s="3" t="inlineStr">
        <is>
          <t>현대모비스</t>
        </is>
      </c>
      <c r="G6199" s="2" t="inlineStr">
        <is>
          <t>20260521800539</t>
        </is>
      </c>
      <c r="H6199" s="8">
        <f>HYPERLINK("https://dart.fss.or.kr/dsaf001/main.do?rcpNo=20260521800539", "공시열람")</f>
        <v/>
      </c>
    </row>
    <row r="6200">
      <c r="A6200" s="2" t="inlineStr">
        <is>
          <t>2026-05-21</t>
        </is>
      </c>
      <c r="B6200" s="3" t="inlineStr">
        <is>
          <t>NH투자증권</t>
        </is>
      </c>
      <c r="C6200" s="2" t="inlineStr">
        <is>
          <t>코스피</t>
        </is>
      </c>
      <c r="D6200" s="2" t="inlineStr">
        <is>
          <t>005940</t>
        </is>
      </c>
      <c r="E6200" s="3" t="inlineStr">
        <is>
          <t>투자설명서(일괄신고)</t>
        </is>
      </c>
      <c r="F6200" s="3" t="inlineStr">
        <is>
          <t>NH투자증권</t>
        </is>
      </c>
      <c r="G6200" s="2" t="inlineStr">
        <is>
          <t>20260521000422</t>
        </is>
      </c>
      <c r="H6200" s="8">
        <f>HYPERLINK("https://dart.fss.or.kr/dsaf001/main.do?rcpNo=20260521000422", "공시열람")</f>
        <v/>
      </c>
    </row>
    <row r="6201">
      <c r="A6201" s="2" t="inlineStr">
        <is>
          <t>2026-05-21</t>
        </is>
      </c>
      <c r="B6201" s="3" t="inlineStr">
        <is>
          <t>지엔씨에너지</t>
        </is>
      </c>
      <c r="C6201" s="2" t="inlineStr">
        <is>
          <t>코스닥</t>
        </is>
      </c>
      <c r="D6201" s="2" t="inlineStr">
        <is>
          <t>119850</t>
        </is>
      </c>
      <c r="E6201" s="3" t="inlineStr">
        <is>
          <t>임원ㆍ주요주주특정증권등소유상황보고서</t>
        </is>
      </c>
      <c r="F6201" s="3" t="inlineStr">
        <is>
          <t>안병철</t>
        </is>
      </c>
      <c r="G6201" s="2" t="inlineStr">
        <is>
          <t>20260521000421</t>
        </is>
      </c>
      <c r="H6201" s="8">
        <f>HYPERLINK("https://dart.fss.or.kr/dsaf001/main.do?rcpNo=20260521000421", "공시열람")</f>
        <v/>
      </c>
    </row>
    <row r="6202">
      <c r="A6202" s="2" t="inlineStr">
        <is>
          <t>2026-05-21</t>
        </is>
      </c>
      <c r="B6202" s="3" t="inlineStr">
        <is>
          <t>옵티코어</t>
        </is>
      </c>
      <c r="C6202" s="2" t="inlineStr">
        <is>
          <t>코스닥</t>
        </is>
      </c>
      <c r="D6202" s="2" t="inlineStr">
        <is>
          <t>380540</t>
        </is>
      </c>
      <c r="E6202" s="3" t="inlineStr">
        <is>
          <t>주권매매거래정지기간변경              (액면병합 주권 변경상장)</t>
        </is>
      </c>
      <c r="F6202" s="3" t="inlineStr">
        <is>
          <t>코스닥시장본부</t>
        </is>
      </c>
      <c r="G6202" s="2" t="inlineStr">
        <is>
          <t>20260521900520</t>
        </is>
      </c>
      <c r="H6202" s="8">
        <f>HYPERLINK("https://dart.fss.or.kr/dsaf001/main.do?rcpNo=20260521900520", "공시열람")</f>
        <v/>
      </c>
    </row>
    <row r="6203">
      <c r="A6203" s="2" t="inlineStr">
        <is>
          <t>2026-05-21</t>
        </is>
      </c>
      <c r="B6203" s="3" t="inlineStr">
        <is>
          <t>신영증권</t>
        </is>
      </c>
      <c r="C6203" s="2" t="inlineStr">
        <is>
          <t>코스피</t>
        </is>
      </c>
      <c r="D6203" s="2" t="inlineStr">
        <is>
          <t>001720</t>
        </is>
      </c>
      <c r="E6203" s="3" t="inlineStr">
        <is>
          <t>투자설명서(일괄신고)</t>
        </is>
      </c>
      <c r="F6203" s="3" t="inlineStr">
        <is>
          <t>신영증권</t>
        </is>
      </c>
      <c r="G6203" s="2" t="inlineStr">
        <is>
          <t>20260521000419</t>
        </is>
      </c>
      <c r="H6203" s="8">
        <f>HYPERLINK("https://dart.fss.or.kr/dsaf001/main.do?rcpNo=20260521000419", "공시열람")</f>
        <v/>
      </c>
    </row>
    <row r="6204">
      <c r="A6204" s="2" t="inlineStr">
        <is>
          <t>2026-05-21</t>
        </is>
      </c>
      <c r="B6204" s="3" t="inlineStr">
        <is>
          <t>HLB생명과학</t>
        </is>
      </c>
      <c r="C6204" s="2" t="inlineStr">
        <is>
          <t>코스닥</t>
        </is>
      </c>
      <c r="D6204" s="2" t="inlineStr">
        <is>
          <t>067630</t>
        </is>
      </c>
      <c r="E6204" s="3" t="inlineStr">
        <is>
          <t>교환가액의조정              (제16회차)</t>
        </is>
      </c>
      <c r="F6204" s="3" t="inlineStr">
        <is>
          <t>HLB생명과학</t>
        </is>
      </c>
      <c r="G6204" s="2" t="inlineStr">
        <is>
          <t>20260521900511</t>
        </is>
      </c>
      <c r="H6204" s="8">
        <f>HYPERLINK("https://dart.fss.or.kr/dsaf001/main.do?rcpNo=20260521900511", "공시열람")</f>
        <v/>
      </c>
    </row>
    <row r="6205">
      <c r="A6205" s="2" t="inlineStr">
        <is>
          <t>2026-05-21</t>
        </is>
      </c>
      <c r="B6205" s="3" t="inlineStr">
        <is>
          <t>앱토크롬</t>
        </is>
      </c>
      <c r="C6205" s="2" t="inlineStr">
        <is>
          <t>코스닥</t>
        </is>
      </c>
      <c r="D6205" s="2" t="inlineStr">
        <is>
          <t>109960</t>
        </is>
      </c>
      <c r="E6205" s="3" t="inlineStr">
        <is>
          <t>임원ㆍ주요주주특정증권등거래계획보고서</t>
        </is>
      </c>
      <c r="F6205" s="3" t="inlineStr">
        <is>
          <t>포르테 신기술조합 제240호</t>
        </is>
      </c>
      <c r="G6205" s="2" t="inlineStr">
        <is>
          <t>20260521000417</t>
        </is>
      </c>
      <c r="H6205" s="8">
        <f>HYPERLINK("https://dart.fss.or.kr/dsaf001/main.do?rcpNo=20260521000417", "공시열람")</f>
        <v/>
      </c>
    </row>
    <row r="6206">
      <c r="A6206" s="2" t="inlineStr">
        <is>
          <t>2026-05-21</t>
        </is>
      </c>
      <c r="B6206" s="3" t="inlineStr">
        <is>
          <t>엘컴텍</t>
        </is>
      </c>
      <c r="C6206" s="2" t="inlineStr">
        <is>
          <t>코스닥</t>
        </is>
      </c>
      <c r="D6206" s="2" t="inlineStr">
        <is>
          <t>037950</t>
        </is>
      </c>
      <c r="E6206" s="3" t="inlineStr">
        <is>
          <t>임원ㆍ주요주주특정증권등소유상황보고서</t>
        </is>
      </c>
      <c r="F6206" s="3" t="inlineStr">
        <is>
          <t>파트론</t>
        </is>
      </c>
      <c r="G6206" s="2" t="inlineStr">
        <is>
          <t>20260521000416</t>
        </is>
      </c>
      <c r="H6206" s="8">
        <f>HYPERLINK("https://dart.fss.or.kr/dsaf001/main.do?rcpNo=20260521000416", "공시열람")</f>
        <v/>
      </c>
    </row>
    <row r="6207">
      <c r="A6207" s="2" t="inlineStr">
        <is>
          <t>2026-05-21</t>
        </is>
      </c>
      <c r="B6207" s="3" t="inlineStr">
        <is>
          <t>씨젠</t>
        </is>
      </c>
      <c r="C6207" s="2" t="inlineStr">
        <is>
          <t>코스닥</t>
        </is>
      </c>
      <c r="D6207" s="2" t="inlineStr">
        <is>
          <t>096530</t>
        </is>
      </c>
      <c r="E6207" s="3" t="inlineStr">
        <is>
          <t>자기주식처분결과보고서</t>
        </is>
      </c>
      <c r="F6207" s="3" t="inlineStr">
        <is>
          <t>씨젠</t>
        </is>
      </c>
      <c r="G6207" s="2" t="inlineStr">
        <is>
          <t>20260521000412</t>
        </is>
      </c>
      <c r="H6207" s="8">
        <f>HYPERLINK("https://dart.fss.or.kr/dsaf001/main.do?rcpNo=20260521000412", "공시열람")</f>
        <v/>
      </c>
    </row>
    <row r="6208">
      <c r="A6208" s="2" t="inlineStr">
        <is>
          <t>2026-05-21</t>
        </is>
      </c>
      <c r="B6208" s="3" t="inlineStr">
        <is>
          <t>삼성증권</t>
        </is>
      </c>
      <c r="C6208" s="2" t="inlineStr">
        <is>
          <t>코스피</t>
        </is>
      </c>
      <c r="D6208" s="2" t="inlineStr">
        <is>
          <t>016360</t>
        </is>
      </c>
      <c r="E6208" s="3" t="inlineStr">
        <is>
          <t>투자설명서(일괄신고)</t>
        </is>
      </c>
      <c r="F6208" s="3" t="inlineStr">
        <is>
          <t>삼성증권</t>
        </is>
      </c>
      <c r="G6208" s="2" t="inlineStr">
        <is>
          <t>20260521000408</t>
        </is>
      </c>
      <c r="H6208" s="8">
        <f>HYPERLINK("https://dart.fss.or.kr/dsaf001/main.do?rcpNo=20260521000408", "공시열람")</f>
        <v/>
      </c>
    </row>
    <row r="6209">
      <c r="A6209" s="2" t="inlineStr">
        <is>
          <t>2026-05-21</t>
        </is>
      </c>
      <c r="B6209" s="3" t="inlineStr">
        <is>
          <t>갤럭시아에스엠</t>
        </is>
      </c>
      <c r="C6209" s="2" t="inlineStr">
        <is>
          <t>코스피</t>
        </is>
      </c>
      <c r="D6209" s="2" t="inlineStr">
        <is>
          <t>011420</t>
        </is>
      </c>
      <c r="E6209" s="3" t="inlineStr">
        <is>
          <t>[기재정정]지급수단별ㆍ지급기간별지급금액및분쟁조정기구에관한사항</t>
        </is>
      </c>
      <c r="F6209" s="3" t="inlineStr">
        <is>
          <t>갤럭시아에스엠</t>
        </is>
      </c>
      <c r="G6209" s="2" t="inlineStr">
        <is>
          <t>20260521000404</t>
        </is>
      </c>
      <c r="H6209" s="8">
        <f>HYPERLINK("https://dart.fss.or.kr/dsaf001/main.do?rcpNo=20260521000404", "공시열람")</f>
        <v/>
      </c>
    </row>
    <row r="6210">
      <c r="A6210" s="2" t="inlineStr">
        <is>
          <t>2026-05-21</t>
        </is>
      </c>
      <c r="B6210" s="3" t="inlineStr">
        <is>
          <t>대신증권</t>
        </is>
      </c>
      <c r="C6210" s="2" t="inlineStr">
        <is>
          <t>코스피</t>
        </is>
      </c>
      <c r="D6210" s="2" t="inlineStr">
        <is>
          <t>003540</t>
        </is>
      </c>
      <c r="E6210" s="3" t="inlineStr">
        <is>
          <t>투자설명서(일괄신고)</t>
        </is>
      </c>
      <c r="F6210" s="3" t="inlineStr">
        <is>
          <t>대신증권</t>
        </is>
      </c>
      <c r="G6210" s="2" t="inlineStr">
        <is>
          <t>20260521000403</t>
        </is>
      </c>
      <c r="H6210" s="8">
        <f>HYPERLINK("https://dart.fss.or.kr/dsaf001/main.do?rcpNo=20260521000403", "공시열람")</f>
        <v/>
      </c>
    </row>
    <row r="6211">
      <c r="A6211" s="2" t="inlineStr">
        <is>
          <t>2026-05-21</t>
        </is>
      </c>
      <c r="B6211" s="3" t="inlineStr">
        <is>
          <t>NH투자증권</t>
        </is>
      </c>
      <c r="C6211" s="2" t="inlineStr">
        <is>
          <t>코스피</t>
        </is>
      </c>
      <c r="D6211" s="2" t="inlineStr">
        <is>
          <t>005940</t>
        </is>
      </c>
      <c r="E6211" s="3" t="inlineStr">
        <is>
          <t>일괄신고추가서류(파생결합사채-주가연계파생결합사채)</t>
        </is>
      </c>
      <c r="F6211" s="3" t="inlineStr">
        <is>
          <t>NH투자증권</t>
        </is>
      </c>
      <c r="G6211" s="2" t="inlineStr">
        <is>
          <t>20260521000401</t>
        </is>
      </c>
      <c r="H6211" s="8">
        <f>HYPERLINK("https://dart.fss.or.kr/dsaf001/main.do?rcpNo=20260521000401", "공시열람")</f>
        <v/>
      </c>
    </row>
    <row r="6212">
      <c r="A6212" s="2" t="inlineStr">
        <is>
          <t>2026-05-21</t>
        </is>
      </c>
      <c r="B6212" s="3" t="inlineStr">
        <is>
          <t>NAVER</t>
        </is>
      </c>
      <c r="C6212" s="2" t="inlineStr">
        <is>
          <t>코스피</t>
        </is>
      </c>
      <c r="D6212" s="2" t="inlineStr">
        <is>
          <t>035420</t>
        </is>
      </c>
      <c r="E6212" s="3" t="inlineStr">
        <is>
          <t>임원ㆍ주요주주특정증권등소유상황보고서</t>
        </is>
      </c>
      <c r="F6212" s="3" t="inlineStr">
        <is>
          <t>천세진</t>
        </is>
      </c>
      <c r="G6212" s="2" t="inlineStr">
        <is>
          <t>20260521000391</t>
        </is>
      </c>
      <c r="H6212" s="8">
        <f>HYPERLINK("https://dart.fss.or.kr/dsaf001/main.do?rcpNo=20260521000391", "공시열람")</f>
        <v/>
      </c>
    </row>
    <row r="6213">
      <c r="A6213" s="2" t="inlineStr">
        <is>
          <t>2026-05-21</t>
        </is>
      </c>
      <c r="B6213" s="3" t="inlineStr">
        <is>
          <t>삼성증권</t>
        </is>
      </c>
      <c r="C6213" s="2" t="inlineStr">
        <is>
          <t>코스피</t>
        </is>
      </c>
      <c r="D6213" s="2" t="inlineStr">
        <is>
          <t>016360</t>
        </is>
      </c>
      <c r="E6213" s="3" t="inlineStr">
        <is>
          <t>일괄신고추가서류(파생결합증권-주가연계증권)</t>
        </is>
      </c>
      <c r="F6213" s="3" t="inlineStr">
        <is>
          <t>삼성증권</t>
        </is>
      </c>
      <c r="G6213" s="2" t="inlineStr">
        <is>
          <t>20260521000383</t>
        </is>
      </c>
      <c r="H6213" s="8">
        <f>HYPERLINK("https://dart.fss.or.kr/dsaf001/main.do?rcpNo=20260521000383", "공시열람")</f>
        <v/>
      </c>
    </row>
    <row r="6214">
      <c r="A6214" s="2" t="inlineStr">
        <is>
          <t>2026-05-21</t>
        </is>
      </c>
      <c r="B6214" s="3" t="inlineStr">
        <is>
          <t>브레인즈컴퍼니</t>
        </is>
      </c>
      <c r="C6214" s="2" t="inlineStr">
        <is>
          <t>코스닥</t>
        </is>
      </c>
      <c r="D6214" s="2" t="inlineStr">
        <is>
          <t>099390</t>
        </is>
      </c>
      <c r="E6214" s="3" t="inlineStr">
        <is>
          <t>임원ㆍ주요주주특정증권등소유상황보고서</t>
        </is>
      </c>
      <c r="F6214" s="3" t="inlineStr">
        <is>
          <t>강선근</t>
        </is>
      </c>
      <c r="G6214" s="2" t="inlineStr">
        <is>
          <t>20260521000377</t>
        </is>
      </c>
      <c r="H6214" s="8">
        <f>HYPERLINK("https://dart.fss.or.kr/dsaf001/main.do?rcpNo=20260521000377", "공시열람")</f>
        <v/>
      </c>
    </row>
    <row r="6215">
      <c r="A6215" s="2" t="inlineStr">
        <is>
          <t>2026-05-21</t>
        </is>
      </c>
      <c r="B6215" s="3" t="inlineStr">
        <is>
          <t>티엘비</t>
        </is>
      </c>
      <c r="C6215" s="2" t="inlineStr">
        <is>
          <t>코스닥</t>
        </is>
      </c>
      <c r="D6215" s="2" t="inlineStr">
        <is>
          <t>356860</t>
        </is>
      </c>
      <c r="E6215" s="3" t="inlineStr">
        <is>
          <t>임원ㆍ주요주주특정증권등소유상황보고서</t>
        </is>
      </c>
      <c r="F6215" s="3" t="inlineStr">
        <is>
          <t>조승건</t>
        </is>
      </c>
      <c r="G6215" s="2" t="inlineStr">
        <is>
          <t>20260521000376</t>
        </is>
      </c>
      <c r="H6215" s="8">
        <f>HYPERLINK("https://dart.fss.or.kr/dsaf001/main.do?rcpNo=20260521000376", "공시열람")</f>
        <v/>
      </c>
    </row>
    <row r="6216">
      <c r="A6216" s="2" t="inlineStr">
        <is>
          <t>2026-05-21</t>
        </is>
      </c>
      <c r="B6216" s="3" t="inlineStr">
        <is>
          <t>SKC</t>
        </is>
      </c>
      <c r="C6216" s="2" t="inlineStr">
        <is>
          <t>코스피</t>
        </is>
      </c>
      <c r="D6216" s="2" t="inlineStr">
        <is>
          <t>011790</t>
        </is>
      </c>
      <c r="E6216" s="3" t="inlineStr">
        <is>
          <t xml:space="preserve">유상증자또는주식관련사채등의청약결과(자율공시)              </t>
        </is>
      </c>
      <c r="F6216" s="3" t="inlineStr">
        <is>
          <t>SKC</t>
        </is>
      </c>
      <c r="G6216" s="2" t="inlineStr">
        <is>
          <t>20260521800506</t>
        </is>
      </c>
      <c r="H6216" s="8">
        <f>HYPERLINK("https://dart.fss.or.kr/dsaf001/main.do?rcpNo=20260521800506", "공시열람")</f>
        <v/>
      </c>
    </row>
    <row r="6217">
      <c r="A6217" s="2" t="inlineStr">
        <is>
          <t>2026-05-21</t>
        </is>
      </c>
      <c r="B6217" s="3" t="inlineStr">
        <is>
          <t>형지I&amp;C</t>
        </is>
      </c>
      <c r="C6217" s="2" t="inlineStr">
        <is>
          <t>코스닥</t>
        </is>
      </c>
      <c r="D6217" s="2" t="inlineStr">
        <is>
          <t>011080</t>
        </is>
      </c>
      <c r="E6217" s="3" t="inlineStr">
        <is>
          <t>임원ㆍ주요주주특정증권등거래계획보고서</t>
        </is>
      </c>
      <c r="F6217" s="3" t="inlineStr">
        <is>
          <t>최병오</t>
        </is>
      </c>
      <c r="G6217" s="2" t="inlineStr">
        <is>
          <t>20260521000364</t>
        </is>
      </c>
      <c r="H6217" s="8">
        <f>HYPERLINK("https://dart.fss.or.kr/dsaf001/main.do?rcpNo=20260521000364", "공시열람")</f>
        <v/>
      </c>
    </row>
    <row r="6218">
      <c r="A6218" s="2" t="inlineStr">
        <is>
          <t>2026-05-21</t>
        </is>
      </c>
      <c r="B6218" s="3" t="inlineStr">
        <is>
          <t>형지I&amp;C</t>
        </is>
      </c>
      <c r="C6218" s="2" t="inlineStr">
        <is>
          <t>코스닥</t>
        </is>
      </c>
      <c r="D6218" s="2" t="inlineStr">
        <is>
          <t>011080</t>
        </is>
      </c>
      <c r="E6218" s="3" t="inlineStr">
        <is>
          <t>임원ㆍ주요주주특정증권등거래계획보고서</t>
        </is>
      </c>
      <c r="F6218" s="3" t="inlineStr">
        <is>
          <t>패션그룹형지</t>
        </is>
      </c>
      <c r="G6218" s="2" t="inlineStr">
        <is>
          <t>20260521000358</t>
        </is>
      </c>
      <c r="H6218" s="8">
        <f>HYPERLINK("https://dart.fss.or.kr/dsaf001/main.do?rcpNo=20260521000358", "공시열람")</f>
        <v/>
      </c>
    </row>
    <row r="6219">
      <c r="A6219" s="2" t="inlineStr">
        <is>
          <t>2026-05-21</t>
        </is>
      </c>
      <c r="B6219" s="3" t="inlineStr">
        <is>
          <t>머큐리</t>
        </is>
      </c>
      <c r="C6219" s="2" t="inlineStr">
        <is>
          <t>코스닥</t>
        </is>
      </c>
      <c r="D6219" s="2" t="inlineStr">
        <is>
          <t>100590</t>
        </is>
      </c>
      <c r="E6219" s="3" t="inlineStr">
        <is>
          <t xml:space="preserve">증권발행결과(자율공시)              </t>
        </is>
      </c>
      <c r="F6219" s="3" t="inlineStr">
        <is>
          <t>머큐리</t>
        </is>
      </c>
      <c r="G6219" s="2" t="inlineStr">
        <is>
          <t>20260521900491</t>
        </is>
      </c>
      <c r="H6219" s="8">
        <f>HYPERLINK("https://dart.fss.or.kr/dsaf001/main.do?rcpNo=20260521900491", "공시열람")</f>
        <v/>
      </c>
    </row>
    <row r="6220">
      <c r="A6220" s="2" t="inlineStr">
        <is>
          <t>2026-05-21</t>
        </is>
      </c>
      <c r="B6220" s="3" t="inlineStr">
        <is>
          <t>대신증권</t>
        </is>
      </c>
      <c r="C6220" s="2" t="inlineStr">
        <is>
          <t>코스피</t>
        </is>
      </c>
      <c r="D6220" s="2" t="inlineStr">
        <is>
          <t>003540</t>
        </is>
      </c>
      <c r="E6220" s="3" t="inlineStr">
        <is>
          <t>일괄신고추가서류(파생결합사채-주가연계파생결합사채)</t>
        </is>
      </c>
      <c r="F6220" s="3" t="inlineStr">
        <is>
          <t>대신증권</t>
        </is>
      </c>
      <c r="G6220" s="2" t="inlineStr">
        <is>
          <t>20260521000352</t>
        </is>
      </c>
      <c r="H6220" s="8">
        <f>HYPERLINK("https://dart.fss.or.kr/dsaf001/main.do?rcpNo=20260521000352", "공시열람")</f>
        <v/>
      </c>
    </row>
    <row r="6221">
      <c r="A6221" s="2" t="inlineStr">
        <is>
          <t>2026-05-21</t>
        </is>
      </c>
      <c r="B6221" s="3" t="inlineStr">
        <is>
          <t>형지I&amp;C</t>
        </is>
      </c>
      <c r="C6221" s="2" t="inlineStr">
        <is>
          <t>코스닥</t>
        </is>
      </c>
      <c r="D6221" s="2" t="inlineStr">
        <is>
          <t>011080</t>
        </is>
      </c>
      <c r="E6221" s="3" t="inlineStr">
        <is>
          <t>임원ㆍ주요주주특정증권등거래계획보고서</t>
        </is>
      </c>
      <c r="F6221" s="3" t="inlineStr">
        <is>
          <t>최혜원</t>
        </is>
      </c>
      <c r="G6221" s="2" t="inlineStr">
        <is>
          <t>20260521000351</t>
        </is>
      </c>
      <c r="H6221" s="8">
        <f>HYPERLINK("https://dart.fss.or.kr/dsaf001/main.do?rcpNo=20260521000351", "공시열람")</f>
        <v/>
      </c>
    </row>
    <row r="6222">
      <c r="A6222" s="2" t="inlineStr">
        <is>
          <t>2026-05-21</t>
        </is>
      </c>
      <c r="B6222" s="3" t="inlineStr">
        <is>
          <t>형지I&amp;C</t>
        </is>
      </c>
      <c r="C6222" s="2" t="inlineStr">
        <is>
          <t>코스닥</t>
        </is>
      </c>
      <c r="D6222" s="2" t="inlineStr">
        <is>
          <t>011080</t>
        </is>
      </c>
      <c r="E6222" s="3" t="inlineStr">
        <is>
          <t>임원ㆍ주요주주특정증권등거래계획철회보고서</t>
        </is>
      </c>
      <c r="F6222" s="3" t="inlineStr">
        <is>
          <t>최혜원</t>
        </is>
      </c>
      <c r="G6222" s="2" t="inlineStr">
        <is>
          <t>20260521000343</t>
        </is>
      </c>
      <c r="H6222" s="8">
        <f>HYPERLINK("https://dart.fss.or.kr/dsaf001/main.do?rcpNo=20260521000343", "공시열람")</f>
        <v/>
      </c>
    </row>
    <row r="6223">
      <c r="A6223" s="2" t="inlineStr">
        <is>
          <t>2026-05-21</t>
        </is>
      </c>
      <c r="B6223" s="3" t="inlineStr">
        <is>
          <t>키움증권</t>
        </is>
      </c>
      <c r="C6223" s="2" t="inlineStr">
        <is>
          <t>코스피</t>
        </is>
      </c>
      <c r="D6223" s="2" t="inlineStr">
        <is>
          <t>039490</t>
        </is>
      </c>
      <c r="E6223" s="3" t="inlineStr">
        <is>
          <t>일괄신고추가서류(파생결합사채-주가연계파생결합사채)</t>
        </is>
      </c>
      <c r="F6223" s="3" t="inlineStr">
        <is>
          <t>키움증권</t>
        </is>
      </c>
      <c r="G6223" s="2" t="inlineStr">
        <is>
          <t>20260521000340</t>
        </is>
      </c>
      <c r="H6223" s="8">
        <f>HYPERLINK("https://dart.fss.or.kr/dsaf001/main.do?rcpNo=20260521000340", "공시열람")</f>
        <v/>
      </c>
    </row>
    <row r="6224">
      <c r="A6224" s="2" t="inlineStr">
        <is>
          <t>2026-05-21</t>
        </is>
      </c>
      <c r="B6224" s="3" t="inlineStr">
        <is>
          <t>KBI메탈</t>
        </is>
      </c>
      <c r="C6224" s="2" t="inlineStr">
        <is>
          <t>코스닥</t>
        </is>
      </c>
      <c r="D6224" s="2" t="inlineStr">
        <is>
          <t>024840</t>
        </is>
      </c>
      <c r="E6224" s="3" t="inlineStr">
        <is>
          <t xml:space="preserve">전환청구권행사              </t>
        </is>
      </c>
      <c r="F6224" s="3" t="inlineStr">
        <is>
          <t>KBI메탈</t>
        </is>
      </c>
      <c r="G6224" s="2" t="inlineStr">
        <is>
          <t>20260521900482</t>
        </is>
      </c>
      <c r="H6224" s="8">
        <f>HYPERLINK("https://dart.fss.or.kr/dsaf001/main.do?rcpNo=20260521900482", "공시열람")</f>
        <v/>
      </c>
    </row>
    <row r="6225">
      <c r="A6225" s="2" t="inlineStr">
        <is>
          <t>2026-05-21</t>
        </is>
      </c>
      <c r="B6225" s="3" t="inlineStr">
        <is>
          <t>파마리서치바이오</t>
        </is>
      </c>
      <c r="C6225" s="2" t="inlineStr">
        <is>
          <t>코넥스</t>
        </is>
      </c>
      <c r="D6225" s="2" t="inlineStr">
        <is>
          <t>217950</t>
        </is>
      </c>
      <c r="E6225" s="3" t="inlineStr">
        <is>
          <t xml:space="preserve">기업설명회(IR)개최              </t>
        </is>
      </c>
      <c r="F6225" s="3" t="inlineStr">
        <is>
          <t>파마리서치바이오</t>
        </is>
      </c>
      <c r="G6225" s="2" t="inlineStr">
        <is>
          <t>20260521600465</t>
        </is>
      </c>
      <c r="H6225" s="8">
        <f>HYPERLINK("https://dart.fss.or.kr/dsaf001/main.do?rcpNo=20260521600465", "공시열람")</f>
        <v/>
      </c>
    </row>
    <row r="6226">
      <c r="A6226" s="2" t="inlineStr">
        <is>
          <t>2026-05-21</t>
        </is>
      </c>
      <c r="B6226" s="3" t="inlineStr">
        <is>
          <t>형지I&amp;C</t>
        </is>
      </c>
      <c r="C6226" s="2" t="inlineStr">
        <is>
          <t>코스닥</t>
        </is>
      </c>
      <c r="D6226" s="2" t="inlineStr">
        <is>
          <t>011080</t>
        </is>
      </c>
      <c r="E6226" s="3" t="inlineStr">
        <is>
          <t>임원ㆍ주요주주특정증권등거래계획철회보고서</t>
        </is>
      </c>
      <c r="F6226" s="3" t="inlineStr">
        <is>
          <t>최병오</t>
        </is>
      </c>
      <c r="G6226" s="2" t="inlineStr">
        <is>
          <t>20260521000321</t>
        </is>
      </c>
      <c r="H6226" s="8">
        <f>HYPERLINK("https://dart.fss.or.kr/dsaf001/main.do?rcpNo=20260521000321", "공시열람")</f>
        <v/>
      </c>
    </row>
    <row r="6227">
      <c r="A6227" s="2" t="inlineStr">
        <is>
          <t>2026-05-21</t>
        </is>
      </c>
      <c r="B6227" s="3" t="inlineStr">
        <is>
          <t>하이젠알앤엠</t>
        </is>
      </c>
      <c r="C6227" s="2" t="inlineStr">
        <is>
          <t>코스닥</t>
        </is>
      </c>
      <c r="D6227" s="2" t="inlineStr">
        <is>
          <t>160190</t>
        </is>
      </c>
      <c r="E6227" s="3" t="inlineStr">
        <is>
          <t>임원ㆍ주요주주특정증권등소유상황보고서</t>
        </is>
      </c>
      <c r="F6227" s="3" t="inlineStr">
        <is>
          <t>일신방직</t>
        </is>
      </c>
      <c r="G6227" s="2" t="inlineStr">
        <is>
          <t>20260521000318</t>
        </is>
      </c>
      <c r="H6227" s="8">
        <f>HYPERLINK("https://dart.fss.or.kr/dsaf001/main.do?rcpNo=20260521000318", "공시열람")</f>
        <v/>
      </c>
    </row>
    <row r="6228">
      <c r="A6228" s="2" t="inlineStr">
        <is>
          <t>2026-05-21</t>
        </is>
      </c>
      <c r="B6228" s="3" t="inlineStr">
        <is>
          <t>형지I&amp;C</t>
        </is>
      </c>
      <c r="C6228" s="2" t="inlineStr">
        <is>
          <t>코스닥</t>
        </is>
      </c>
      <c r="D6228" s="2" t="inlineStr">
        <is>
          <t>011080</t>
        </is>
      </c>
      <c r="E6228" s="3" t="inlineStr">
        <is>
          <t>임원ㆍ주요주주특정증권등거래계획철회보고서</t>
        </is>
      </c>
      <c r="F6228" s="3" t="inlineStr">
        <is>
          <t>패션그룹형지</t>
        </is>
      </c>
      <c r="G6228" s="2" t="inlineStr">
        <is>
          <t>20260521000313</t>
        </is>
      </c>
      <c r="H6228" s="8">
        <f>HYPERLINK("https://dart.fss.or.kr/dsaf001/main.do?rcpNo=20260521000313", "공시열람")</f>
        <v/>
      </c>
    </row>
    <row r="6229">
      <c r="A6229" s="2" t="inlineStr">
        <is>
          <t>2026-05-21</t>
        </is>
      </c>
      <c r="B6229" s="3" t="inlineStr">
        <is>
          <t>금강철강</t>
        </is>
      </c>
      <c r="C6229" s="2" t="inlineStr">
        <is>
          <t>코스닥</t>
        </is>
      </c>
      <c r="D6229" s="2" t="inlineStr">
        <is>
          <t>053260</t>
        </is>
      </c>
      <c r="E6229" s="3" t="inlineStr">
        <is>
          <t xml:space="preserve">주주명부폐쇄기간또는기준일설정              </t>
        </is>
      </c>
      <c r="F6229" s="3" t="inlineStr">
        <is>
          <t>금강철강</t>
        </is>
      </c>
      <c r="G6229" s="2" t="inlineStr">
        <is>
          <t>20260521900455</t>
        </is>
      </c>
      <c r="H6229" s="8">
        <f>HYPERLINK("https://dart.fss.or.kr/dsaf001/main.do?rcpNo=20260521900455", "공시열람")</f>
        <v/>
      </c>
    </row>
    <row r="6230">
      <c r="A6230" s="2" t="inlineStr">
        <is>
          <t>2026-05-21 (정정: 2026-06-08)</t>
        </is>
      </c>
      <c r="B6230" s="3" t="inlineStr">
        <is>
          <t>비큐AI</t>
        </is>
      </c>
      <c r="C6230" s="2" t="inlineStr">
        <is>
          <t>코스닥</t>
        </is>
      </c>
      <c r="D6230" s="2" t="inlineStr">
        <is>
          <t>148780</t>
        </is>
      </c>
      <c r="E6230" s="3" t="inlineStr">
        <is>
          <t>주주명부폐쇄기간또는기준일설정               (정정: 20260526) (정정: 20260608)</t>
        </is>
      </c>
      <c r="F6230" s="3" t="inlineStr">
        <is>
          <t>비큐AI</t>
        </is>
      </c>
      <c r="G6230" s="2" t="inlineStr">
        <is>
          <t>20260608900667</t>
        </is>
      </c>
      <c r="H6230" s="8">
        <f>HYPERLINK("https://dart.fss.or.kr/dsaf001/main.do?rcpNo=20260608900667", "공시열람")</f>
        <v/>
      </c>
    </row>
    <row r="6231">
      <c r="A6231" s="2" t="inlineStr">
        <is>
          <t>2026-05-21</t>
        </is>
      </c>
      <c r="B6231" s="3" t="inlineStr">
        <is>
          <t>DB증권</t>
        </is>
      </c>
      <c r="C6231" s="2" t="inlineStr">
        <is>
          <t>코스피</t>
        </is>
      </c>
      <c r="D6231" s="2" t="inlineStr">
        <is>
          <t>016610</t>
        </is>
      </c>
      <c r="E6231" s="3" t="inlineStr">
        <is>
          <t>투자설명서(일괄신고)</t>
        </is>
      </c>
      <c r="F6231" s="3" t="inlineStr">
        <is>
          <t>DB증권</t>
        </is>
      </c>
      <c r="G6231" s="2" t="inlineStr">
        <is>
          <t>20260521000294</t>
        </is>
      </c>
      <c r="H6231" s="8">
        <f>HYPERLINK("https://dart.fss.or.kr/dsaf001/main.do?rcpNo=20260521000294", "공시열람")</f>
        <v/>
      </c>
    </row>
    <row r="6232">
      <c r="A6232" s="2" t="inlineStr">
        <is>
          <t>2026-05-21</t>
        </is>
      </c>
      <c r="B6232" s="3" t="inlineStr">
        <is>
          <t>교보증권</t>
        </is>
      </c>
      <c r="C6232" s="2" t="inlineStr">
        <is>
          <t>코스피</t>
        </is>
      </c>
      <c r="D6232" s="2" t="inlineStr">
        <is>
          <t>030610</t>
        </is>
      </c>
      <c r="E6232" s="3" t="inlineStr">
        <is>
          <t>투자설명서(일괄신고)</t>
        </is>
      </c>
      <c r="F6232" s="3" t="inlineStr">
        <is>
          <t>교보증권</t>
        </is>
      </c>
      <c r="G6232" s="2" t="inlineStr">
        <is>
          <t>20260521000291</t>
        </is>
      </c>
      <c r="H6232" s="8">
        <f>HYPERLINK("https://dart.fss.or.kr/dsaf001/main.do?rcpNo=20260521000291", "공시열람")</f>
        <v/>
      </c>
    </row>
    <row r="6233">
      <c r="A6233" s="2" t="inlineStr">
        <is>
          <t>2026-05-21</t>
        </is>
      </c>
      <c r="B6233" s="3" t="inlineStr">
        <is>
          <t>교보증권</t>
        </is>
      </c>
      <c r="C6233" s="2" t="inlineStr">
        <is>
          <t>코스피</t>
        </is>
      </c>
      <c r="D6233" s="2" t="inlineStr">
        <is>
          <t>030610</t>
        </is>
      </c>
      <c r="E6233" s="3" t="inlineStr">
        <is>
          <t>일괄신고추가서류(파생결합사채-주가연계파생결합사채)</t>
        </is>
      </c>
      <c r="F6233" s="3" t="inlineStr">
        <is>
          <t>교보증권</t>
        </is>
      </c>
      <c r="G6233" s="2" t="inlineStr">
        <is>
          <t>20260521000290</t>
        </is>
      </c>
      <c r="H6233" s="8">
        <f>HYPERLINK("https://dart.fss.or.kr/dsaf001/main.do?rcpNo=20260521000290", "공시열람")</f>
        <v/>
      </c>
    </row>
    <row r="6234">
      <c r="A6234" s="2" t="inlineStr">
        <is>
          <t>2026-05-21</t>
        </is>
      </c>
      <c r="B6234" s="3" t="inlineStr">
        <is>
          <t>한화손해보험</t>
        </is>
      </c>
      <c r="C6234" s="2" t="inlineStr">
        <is>
          <t>코스피</t>
        </is>
      </c>
      <c r="D6234" s="2" t="inlineStr">
        <is>
          <t>000370</t>
        </is>
      </c>
      <c r="E6234" s="3" t="inlineStr">
        <is>
          <t>임원ㆍ주요주주특정증권등소유상황보고서</t>
        </is>
      </c>
      <c r="F6234" s="3" t="inlineStr">
        <is>
          <t>박종운</t>
        </is>
      </c>
      <c r="G6234" s="2" t="inlineStr">
        <is>
          <t>20260521000289</t>
        </is>
      </c>
      <c r="H6234" s="8">
        <f>HYPERLINK("https://dart.fss.or.kr/dsaf001/main.do?rcpNo=20260521000289", "공시열람")</f>
        <v/>
      </c>
    </row>
    <row r="6235">
      <c r="A6235" s="2" t="inlineStr">
        <is>
          <t>2026-05-21</t>
        </is>
      </c>
      <c r="B6235" s="3" t="inlineStr">
        <is>
          <t>대신증권</t>
        </is>
      </c>
      <c r="C6235" s="2" t="inlineStr">
        <is>
          <t>코스피</t>
        </is>
      </c>
      <c r="D6235" s="2" t="inlineStr">
        <is>
          <t>003540</t>
        </is>
      </c>
      <c r="E6235" s="3" t="inlineStr">
        <is>
          <t>투자설명서(일괄신고)</t>
        </is>
      </c>
      <c r="F6235" s="3" t="inlineStr">
        <is>
          <t>대신증권</t>
        </is>
      </c>
      <c r="G6235" s="2" t="inlineStr">
        <is>
          <t>20260521000284</t>
        </is>
      </c>
      <c r="H6235" s="8">
        <f>HYPERLINK("https://dart.fss.or.kr/dsaf001/main.do?rcpNo=20260521000284", "공시열람")</f>
        <v/>
      </c>
    </row>
    <row r="6236">
      <c r="A6236" s="2" t="inlineStr">
        <is>
          <t>2026-05-21</t>
        </is>
      </c>
      <c r="B6236" s="3" t="inlineStr">
        <is>
          <t>DB증권</t>
        </is>
      </c>
      <c r="C6236" s="2" t="inlineStr">
        <is>
          <t>코스피</t>
        </is>
      </c>
      <c r="D6236" s="2" t="inlineStr">
        <is>
          <t>016610</t>
        </is>
      </c>
      <c r="E6236" s="3" t="inlineStr">
        <is>
          <t>일괄신고추가서류(파생결합사채-주가연계파생결합사채)</t>
        </is>
      </c>
      <c r="F6236" s="3" t="inlineStr">
        <is>
          <t>DB증권</t>
        </is>
      </c>
      <c r="G6236" s="2" t="inlineStr">
        <is>
          <t>20260521000283</t>
        </is>
      </c>
      <c r="H6236" s="8">
        <f>HYPERLINK("https://dart.fss.or.kr/dsaf001/main.do?rcpNo=20260521000283", "공시열람")</f>
        <v/>
      </c>
    </row>
    <row r="6237">
      <c r="A6237" s="2" t="inlineStr">
        <is>
          <t>2026-05-21</t>
        </is>
      </c>
      <c r="B6237" s="3" t="inlineStr">
        <is>
          <t>교보증권</t>
        </is>
      </c>
      <c r="C6237" s="2" t="inlineStr">
        <is>
          <t>코스피</t>
        </is>
      </c>
      <c r="D6237" s="2" t="inlineStr">
        <is>
          <t>030610</t>
        </is>
      </c>
      <c r="E6237" s="3" t="inlineStr">
        <is>
          <t>투자설명서(일괄신고)</t>
        </is>
      </c>
      <c r="F6237" s="3" t="inlineStr">
        <is>
          <t>교보증권</t>
        </is>
      </c>
      <c r="G6237" s="2" t="inlineStr">
        <is>
          <t>20260521000281</t>
        </is>
      </c>
      <c r="H6237" s="8">
        <f>HYPERLINK("https://dart.fss.or.kr/dsaf001/main.do?rcpNo=20260521000281", "공시열람")</f>
        <v/>
      </c>
    </row>
    <row r="6238">
      <c r="A6238" s="2" t="inlineStr">
        <is>
          <t>2026-05-21</t>
        </is>
      </c>
      <c r="B6238" s="3" t="inlineStr">
        <is>
          <t>교보증권</t>
        </is>
      </c>
      <c r="C6238" s="2" t="inlineStr">
        <is>
          <t>코스피</t>
        </is>
      </c>
      <c r="D6238" s="2" t="inlineStr">
        <is>
          <t>030610</t>
        </is>
      </c>
      <c r="E6238" s="3" t="inlineStr">
        <is>
          <t>일괄신고추가서류(파생결합증권-주가연계증권)</t>
        </is>
      </c>
      <c r="F6238" s="3" t="inlineStr">
        <is>
          <t>교보증권</t>
        </is>
      </c>
      <c r="G6238" s="2" t="inlineStr">
        <is>
          <t>20260521000278</t>
        </is>
      </c>
      <c r="H6238" s="8">
        <f>HYPERLINK("https://dart.fss.or.kr/dsaf001/main.do?rcpNo=20260521000278", "공시열람")</f>
        <v/>
      </c>
    </row>
    <row r="6239">
      <c r="A6239" s="2" t="inlineStr">
        <is>
          <t>2026-05-21</t>
        </is>
      </c>
      <c r="B6239" s="3" t="inlineStr">
        <is>
          <t>한화손해보험</t>
        </is>
      </c>
      <c r="C6239" s="2" t="inlineStr">
        <is>
          <t>코스피</t>
        </is>
      </c>
      <c r="D6239" s="2" t="inlineStr">
        <is>
          <t>000370</t>
        </is>
      </c>
      <c r="E6239" s="3" t="inlineStr">
        <is>
          <t>임원ㆍ주요주주특정증권등소유상황보고서</t>
        </is>
      </c>
      <c r="F6239" s="3" t="inlineStr">
        <is>
          <t>정일교</t>
        </is>
      </c>
      <c r="G6239" s="2" t="inlineStr">
        <is>
          <t>20260521000272</t>
        </is>
      </c>
      <c r="H6239" s="8">
        <f>HYPERLINK("https://dart.fss.or.kr/dsaf001/main.do?rcpNo=20260521000272", "공시열람")</f>
        <v/>
      </c>
    </row>
    <row r="6240">
      <c r="A6240" s="2" t="inlineStr">
        <is>
          <t>2026-05-21</t>
        </is>
      </c>
      <c r="B6240" s="3" t="inlineStr">
        <is>
          <t>비큐AI</t>
        </is>
      </c>
      <c r="C6240" s="2" t="inlineStr">
        <is>
          <t>코스닥</t>
        </is>
      </c>
      <c r="D6240" s="2" t="inlineStr">
        <is>
          <t>148780</t>
        </is>
      </c>
      <c r="E6240" s="3" t="inlineStr">
        <is>
          <t>주요사항보고서(감자결정)</t>
        </is>
      </c>
      <c r="F6240" s="3" t="inlineStr">
        <is>
          <t>비큐AI</t>
        </is>
      </c>
      <c r="G6240" s="2" t="inlineStr">
        <is>
          <t>20260521000259</t>
        </is>
      </c>
      <c r="H6240" s="8">
        <f>HYPERLINK("https://dart.fss.or.kr/dsaf001/main.do?rcpNo=20260521000259", "공시열람")</f>
        <v/>
      </c>
    </row>
    <row r="6241">
      <c r="A6241" s="2" t="inlineStr">
        <is>
          <t>2026-05-21</t>
        </is>
      </c>
      <c r="B6241" s="3" t="inlineStr">
        <is>
          <t>비큐AI</t>
        </is>
      </c>
      <c r="C6241" s="2" t="inlineStr">
        <is>
          <t>코스닥</t>
        </is>
      </c>
      <c r="D6241" s="2" t="inlineStr">
        <is>
          <t>148780</t>
        </is>
      </c>
      <c r="E6241" s="3" t="inlineStr">
        <is>
          <t>주권매매거래정지              (자본감소)</t>
        </is>
      </c>
      <c r="F6241" s="3" t="inlineStr">
        <is>
          <t>코스닥시장본부</t>
        </is>
      </c>
      <c r="G6241" s="2" t="inlineStr">
        <is>
          <t>20260521900414</t>
        </is>
      </c>
      <c r="H6241" s="8">
        <f>HYPERLINK("https://dart.fss.or.kr/dsaf001/main.do?rcpNo=20260521900414", "공시열람")</f>
        <v/>
      </c>
    </row>
    <row r="6242">
      <c r="A6242" s="2" t="inlineStr">
        <is>
          <t>2026-05-21</t>
        </is>
      </c>
      <c r="B6242" s="3" t="inlineStr">
        <is>
          <t>대신증권</t>
        </is>
      </c>
      <c r="C6242" s="2" t="inlineStr">
        <is>
          <t>코스피</t>
        </is>
      </c>
      <c r="D6242" s="2" t="inlineStr">
        <is>
          <t>003540</t>
        </is>
      </c>
      <c r="E6242" s="3" t="inlineStr">
        <is>
          <t>일괄신고추가서류(파생결합사채-주가연계파생결합사채)</t>
        </is>
      </c>
      <c r="F6242" s="3" t="inlineStr">
        <is>
          <t>대신증권</t>
        </is>
      </c>
      <c r="G6242" s="2" t="inlineStr">
        <is>
          <t>20260521000266</t>
        </is>
      </c>
      <c r="H6242" s="8">
        <f>HYPERLINK("https://dart.fss.or.kr/dsaf001/main.do?rcpNo=20260521000266", "공시열람")</f>
        <v/>
      </c>
    </row>
    <row r="6243">
      <c r="A6243" s="2" t="inlineStr">
        <is>
          <t>2026-05-21</t>
        </is>
      </c>
      <c r="B6243" s="3" t="inlineStr">
        <is>
          <t>한화손해보험</t>
        </is>
      </c>
      <c r="C6243" s="2" t="inlineStr">
        <is>
          <t>코스피</t>
        </is>
      </c>
      <c r="D6243" s="2" t="inlineStr">
        <is>
          <t>000370</t>
        </is>
      </c>
      <c r="E6243" s="3" t="inlineStr">
        <is>
          <t>임원ㆍ주요주주특정증권등소유상황보고서</t>
        </is>
      </c>
      <c r="F6243" s="3" t="inlineStr">
        <is>
          <t>공정아</t>
        </is>
      </c>
      <c r="G6243" s="2" t="inlineStr">
        <is>
          <t>20260521000263</t>
        </is>
      </c>
      <c r="H6243" s="8">
        <f>HYPERLINK("https://dart.fss.or.kr/dsaf001/main.do?rcpNo=20260521000263", "공시열람")</f>
        <v/>
      </c>
    </row>
    <row r="6244">
      <c r="A6244" s="2" t="inlineStr">
        <is>
          <t>2026-05-21 (정정: 2026-06-04)</t>
        </is>
      </c>
      <c r="B6244" s="3" t="inlineStr">
        <is>
          <t>애드바이오텍</t>
        </is>
      </c>
      <c r="C6244" s="2" t="inlineStr">
        <is>
          <t>코스닥</t>
        </is>
      </c>
      <c r="D6244" s="2" t="inlineStr">
        <is>
          <t>179530</t>
        </is>
      </c>
      <c r="E6244" s="3" t="inlineStr">
        <is>
          <t>의결권대리행사권유참고서류 (정정: 20260604) (정정: 20260604)</t>
        </is>
      </c>
      <c r="F6244" s="3" t="inlineStr">
        <is>
          <t>애드바이오텍</t>
        </is>
      </c>
      <c r="G6244" s="2" t="inlineStr">
        <is>
          <t>20260604000551</t>
        </is>
      </c>
      <c r="H6244" s="8">
        <f>HYPERLINK("https://dart.fss.or.kr/dsaf001/main.do?rcpNo=20260604000551", "공시열람")</f>
        <v/>
      </c>
    </row>
    <row r="6245">
      <c r="A6245" s="2" t="inlineStr">
        <is>
          <t>2026-05-21 (정정: 2026-06-17)</t>
        </is>
      </c>
      <c r="B6245" s="3" t="inlineStr">
        <is>
          <t>KS인더스트리</t>
        </is>
      </c>
      <c r="C6245" s="2" t="inlineStr">
        <is>
          <t>코스닥</t>
        </is>
      </c>
      <c r="D6245" s="2" t="inlineStr">
        <is>
          <t>101000</t>
        </is>
      </c>
      <c r="E6245" s="3" t="inlineStr">
        <is>
          <t>주주명부폐쇄기간또는기준일설정               (정정: 20260617)</t>
        </is>
      </c>
      <c r="F6245" s="3" t="inlineStr">
        <is>
          <t>KS인더스트리</t>
        </is>
      </c>
      <c r="G6245" s="2" t="inlineStr">
        <is>
          <t>20260617900247</t>
        </is>
      </c>
      <c r="H6245" s="8">
        <f>HYPERLINK("https://dart.fss.or.kr/dsaf001/main.do?rcpNo=20260617900247", "공시열람")</f>
        <v/>
      </c>
    </row>
    <row r="6246">
      <c r="A6246" s="2" t="inlineStr">
        <is>
          <t>2026-05-21</t>
        </is>
      </c>
      <c r="B6246" s="3" t="inlineStr">
        <is>
          <t>크레버스</t>
        </is>
      </c>
      <c r="C6246" s="2" t="inlineStr">
        <is>
          <t>코스닥</t>
        </is>
      </c>
      <c r="D6246" s="2" t="inlineStr">
        <is>
          <t>096240</t>
        </is>
      </c>
      <c r="E6246" s="3" t="inlineStr">
        <is>
          <t>임원ㆍ주요주주특정증권등소유상황보고서</t>
        </is>
      </c>
      <c r="F6246" s="3" t="inlineStr">
        <is>
          <t>이동훈</t>
        </is>
      </c>
      <c r="G6246" s="2" t="inlineStr">
        <is>
          <t>20260521000249</t>
        </is>
      </c>
      <c r="H6246" s="8">
        <f>HYPERLINK("https://dart.fss.or.kr/dsaf001/main.do?rcpNo=20260521000249", "공시열람")</f>
        <v/>
      </c>
    </row>
    <row r="6247">
      <c r="A6247" s="2" t="inlineStr">
        <is>
          <t>2026-05-21</t>
        </is>
      </c>
      <c r="B6247" s="3" t="inlineStr">
        <is>
          <t>코다코</t>
        </is>
      </c>
      <c r="C6247" s="2" t="inlineStr">
        <is>
          <t>코스닥</t>
        </is>
      </c>
      <c r="D6247" s="2" t="inlineStr">
        <is>
          <t>046070</t>
        </is>
      </c>
      <c r="E6247" s="3" t="inlineStr">
        <is>
          <t xml:space="preserve">증권발행결과(자율공시)              </t>
        </is>
      </c>
      <c r="F6247" s="3" t="inlineStr">
        <is>
          <t>코다코</t>
        </is>
      </c>
      <c r="G6247" s="2" t="inlineStr">
        <is>
          <t>20260521900365</t>
        </is>
      </c>
      <c r="H6247" s="8">
        <f>HYPERLINK("https://dart.fss.or.kr/dsaf001/main.do?rcpNo=20260521900365", "공시열람")</f>
        <v/>
      </c>
    </row>
    <row r="6248">
      <c r="A6248" s="2" t="inlineStr">
        <is>
          <t>2026-05-21</t>
        </is>
      </c>
      <c r="B6248" s="3" t="inlineStr">
        <is>
          <t>크레버스</t>
        </is>
      </c>
      <c r="C6248" s="2" t="inlineStr">
        <is>
          <t>코스닥</t>
        </is>
      </c>
      <c r="D6248" s="2" t="inlineStr">
        <is>
          <t>096240</t>
        </is>
      </c>
      <c r="E6248" s="3" t="inlineStr">
        <is>
          <t>임원ㆍ주요주주특정증권등소유상황보고서</t>
        </is>
      </c>
      <c r="F6248" s="3" t="inlineStr">
        <is>
          <t>김형준</t>
        </is>
      </c>
      <c r="G6248" s="2" t="inlineStr">
        <is>
          <t>20260521000243</t>
        </is>
      </c>
      <c r="H6248" s="8">
        <f>HYPERLINK("https://dart.fss.or.kr/dsaf001/main.do?rcpNo=20260521000243", "공시열람")</f>
        <v/>
      </c>
    </row>
    <row r="6249">
      <c r="A6249" s="2" t="inlineStr">
        <is>
          <t>2026-05-21 (정정: 2026-05-22)</t>
        </is>
      </c>
      <c r="B6249" s="3" t="inlineStr">
        <is>
          <t>크레버스</t>
        </is>
      </c>
      <c r="C6249" s="2" t="inlineStr">
        <is>
          <t>코스닥</t>
        </is>
      </c>
      <c r="D6249" s="2" t="inlineStr">
        <is>
          <t>096240</t>
        </is>
      </c>
      <c r="E6249" s="3" t="inlineStr">
        <is>
          <t>임원ㆍ주요주주특정증권등소유상황보고서 (정정: 20260522)</t>
        </is>
      </c>
      <c r="F6249" s="3" t="inlineStr">
        <is>
          <t>김진빈</t>
        </is>
      </c>
      <c r="G6249" s="2" t="inlineStr">
        <is>
          <t>20260522900972</t>
        </is>
      </c>
      <c r="H6249" s="8">
        <f>HYPERLINK("https://dart.fss.or.kr/dsaf001/main.do?rcpNo=20260522900972", "공시열람")</f>
        <v/>
      </c>
    </row>
    <row r="6250">
      <c r="A6250" s="2" t="inlineStr">
        <is>
          <t>2026-05-21</t>
        </is>
      </c>
      <c r="B6250" s="3" t="inlineStr">
        <is>
          <t>알체라</t>
        </is>
      </c>
      <c r="C6250" s="2" t="inlineStr">
        <is>
          <t>코스닥</t>
        </is>
      </c>
      <c r="D6250" s="2" t="inlineStr">
        <is>
          <t>347860</t>
        </is>
      </c>
      <c r="E6250" s="3" t="inlineStr">
        <is>
          <t>증권발행결과(자율공시)              (제4회차 CB)</t>
        </is>
      </c>
      <c r="F6250" s="3" t="inlineStr">
        <is>
          <t>알체라</t>
        </is>
      </c>
      <c r="G6250" s="2" t="inlineStr">
        <is>
          <t>20260521900362</t>
        </is>
      </c>
      <c r="H6250" s="8">
        <f>HYPERLINK("https://dart.fss.or.kr/dsaf001/main.do?rcpNo=20260521900362", "공시열람")</f>
        <v/>
      </c>
    </row>
    <row r="6251">
      <c r="A6251" s="2" t="inlineStr">
        <is>
          <t>2026-05-21</t>
        </is>
      </c>
      <c r="B6251" s="3" t="inlineStr">
        <is>
          <t>알체라</t>
        </is>
      </c>
      <c r="C6251" s="2" t="inlineStr">
        <is>
          <t>코스닥</t>
        </is>
      </c>
      <c r="D6251" s="2" t="inlineStr">
        <is>
          <t>347860</t>
        </is>
      </c>
      <c r="E6251" s="3" t="inlineStr">
        <is>
          <t>증권발행결과(자율공시)              (제3자배정 유상증자-전환우선주)</t>
        </is>
      </c>
      <c r="F6251" s="3" t="inlineStr">
        <is>
          <t>알체라</t>
        </is>
      </c>
      <c r="G6251" s="2" t="inlineStr">
        <is>
          <t>20260521900361</t>
        </is>
      </c>
      <c r="H6251" s="8">
        <f>HYPERLINK("https://dart.fss.or.kr/dsaf001/main.do?rcpNo=20260521900361", "공시열람")</f>
        <v/>
      </c>
    </row>
    <row r="6252">
      <c r="A6252" s="2" t="inlineStr">
        <is>
          <t>2026-05-21</t>
        </is>
      </c>
      <c r="B6252" s="3" t="inlineStr">
        <is>
          <t>알체라</t>
        </is>
      </c>
      <c r="C6252" s="2" t="inlineStr">
        <is>
          <t>코스닥</t>
        </is>
      </c>
      <c r="D6252" s="2" t="inlineStr">
        <is>
          <t>347860</t>
        </is>
      </c>
      <c r="E6252" s="3" t="inlineStr">
        <is>
          <t>증권발행결과(자율공시)              (제3자배정 유상증자)</t>
        </is>
      </c>
      <c r="F6252" s="3" t="inlineStr">
        <is>
          <t>알체라</t>
        </is>
      </c>
      <c r="G6252" s="2" t="inlineStr">
        <is>
          <t>20260521900358</t>
        </is>
      </c>
      <c r="H6252" s="8">
        <f>HYPERLINK("https://dart.fss.or.kr/dsaf001/main.do?rcpNo=20260521900358", "공시열람")</f>
        <v/>
      </c>
    </row>
    <row r="6253">
      <c r="A6253" s="2" t="inlineStr">
        <is>
          <t>2026-05-21</t>
        </is>
      </c>
      <c r="B6253" s="3" t="inlineStr">
        <is>
          <t>아이엠지티</t>
        </is>
      </c>
      <c r="C6253" s="2" t="inlineStr">
        <is>
          <t>코넥스</t>
        </is>
      </c>
      <c r="D6253" s="2" t="inlineStr">
        <is>
          <t>456570</t>
        </is>
      </c>
      <c r="E6253" s="3" t="inlineStr">
        <is>
          <t xml:space="preserve">[기재정정]타법인주식및출자증권취득결정              </t>
        </is>
      </c>
      <c r="F6253" s="3" t="inlineStr">
        <is>
          <t>아이엠지티</t>
        </is>
      </c>
      <c r="G6253" s="2" t="inlineStr">
        <is>
          <t>20260521600366</t>
        </is>
      </c>
      <c r="H6253" s="8">
        <f>HYPERLINK("https://dart.fss.or.kr/dsaf001/main.do?rcpNo=20260521600366", "공시열람")</f>
        <v/>
      </c>
    </row>
    <row r="6254">
      <c r="A6254" s="2" t="inlineStr">
        <is>
          <t>2026-05-21</t>
        </is>
      </c>
      <c r="B6254" s="3" t="inlineStr">
        <is>
          <t>이화공영</t>
        </is>
      </c>
      <c r="C6254" s="2" t="inlineStr">
        <is>
          <t>코스닥</t>
        </is>
      </c>
      <c r="D6254" s="2" t="inlineStr">
        <is>
          <t>001840</t>
        </is>
      </c>
      <c r="E6254" s="3" t="inlineStr">
        <is>
          <t>기타시장안내              (기업심사위원회 개최 결과 안내)</t>
        </is>
      </c>
      <c r="F6254" s="3" t="inlineStr">
        <is>
          <t>코스닥시장본부</t>
        </is>
      </c>
      <c r="G6254" s="2" t="inlineStr">
        <is>
          <t>20260521900359</t>
        </is>
      </c>
      <c r="H6254" s="8">
        <f>HYPERLINK("https://dart.fss.or.kr/dsaf001/main.do?rcpNo=20260521900359", "공시열람")</f>
        <v/>
      </c>
    </row>
    <row r="6255">
      <c r="A6255" s="2" t="inlineStr">
        <is>
          <t>2026-05-21</t>
        </is>
      </c>
      <c r="B6255" s="3" t="inlineStr">
        <is>
          <t>다이나믹솔루션</t>
        </is>
      </c>
      <c r="C6255" s="2" t="inlineStr">
        <is>
          <t>코스닥</t>
        </is>
      </c>
      <c r="D6255" s="2" t="inlineStr">
        <is>
          <t>290660</t>
        </is>
      </c>
      <c r="E6255" s="3" t="inlineStr">
        <is>
          <t xml:space="preserve">증권발행결과(자율공시)              </t>
        </is>
      </c>
      <c r="F6255" s="3" t="inlineStr">
        <is>
          <t>다이나믹솔루션</t>
        </is>
      </c>
      <c r="G6255" s="2" t="inlineStr">
        <is>
          <t>20260521900357</t>
        </is>
      </c>
      <c r="H6255" s="8">
        <f>HYPERLINK("https://dart.fss.or.kr/dsaf001/main.do?rcpNo=20260521900357", "공시열람")</f>
        <v/>
      </c>
    </row>
    <row r="6256">
      <c r="A6256" s="2" t="inlineStr">
        <is>
          <t>2026-05-21</t>
        </is>
      </c>
      <c r="B6256" s="3" t="inlineStr">
        <is>
          <t>동양</t>
        </is>
      </c>
      <c r="C6256" s="2" t="inlineStr">
        <is>
          <t>코스피</t>
        </is>
      </c>
      <c r="D6256" s="2" t="inlineStr">
        <is>
          <t>001520</t>
        </is>
      </c>
      <c r="E6256" s="3" t="inlineStr">
        <is>
          <t xml:space="preserve">수시공시의무관련사항(공정공시)              </t>
        </is>
      </c>
      <c r="F6256" s="3" t="inlineStr">
        <is>
          <t>동양</t>
        </is>
      </c>
      <c r="G6256" s="2" t="inlineStr">
        <is>
          <t>20260521800335</t>
        </is>
      </c>
      <c r="H6256" s="8">
        <f>HYPERLINK("https://dart.fss.or.kr/dsaf001/main.do?rcpNo=20260521800335", "공시열람")</f>
        <v/>
      </c>
    </row>
    <row r="6257">
      <c r="A6257" s="2" t="inlineStr">
        <is>
          <t>2026-05-21</t>
        </is>
      </c>
      <c r="B6257" s="3" t="inlineStr">
        <is>
          <t>미원상사</t>
        </is>
      </c>
      <c r="C6257" s="2" t="inlineStr">
        <is>
          <t>코스피</t>
        </is>
      </c>
      <c r="D6257" s="2" t="inlineStr">
        <is>
          <t>002840</t>
        </is>
      </c>
      <c r="E6257" s="3" t="inlineStr">
        <is>
          <t>임원ㆍ주요주주특정증권등소유상황보고서</t>
        </is>
      </c>
      <c r="F6257" s="3" t="inlineStr">
        <is>
          <t>미원상사우리사주</t>
        </is>
      </c>
      <c r="G6257" s="2" t="inlineStr">
        <is>
          <t>20260521000223</t>
        </is>
      </c>
      <c r="H6257" s="8">
        <f>HYPERLINK("https://dart.fss.or.kr/dsaf001/main.do?rcpNo=20260521000223", "공시열람")</f>
        <v/>
      </c>
    </row>
    <row r="6258">
      <c r="A6258" s="2" t="inlineStr">
        <is>
          <t>2026-05-21</t>
        </is>
      </c>
      <c r="B6258" s="3" t="inlineStr">
        <is>
          <t>딥노이드</t>
        </is>
      </c>
      <c r="C6258" s="2" t="inlineStr">
        <is>
          <t>코스닥</t>
        </is>
      </c>
      <c r="D6258" s="2" t="inlineStr">
        <is>
          <t>315640</t>
        </is>
      </c>
      <c r="E6258" s="3" t="inlineStr">
        <is>
          <t>의결권대리행사권유참고서류</t>
        </is>
      </c>
      <c r="F6258" s="3" t="inlineStr">
        <is>
          <t>딥노이드</t>
        </is>
      </c>
      <c r="G6258" s="2" t="inlineStr">
        <is>
          <t>20260521000220</t>
        </is>
      </c>
      <c r="H6258" s="8">
        <f>HYPERLINK("https://dart.fss.or.kr/dsaf001/main.do?rcpNo=20260521000220", "공시열람")</f>
        <v/>
      </c>
    </row>
    <row r="6259">
      <c r="A6259" s="2" t="inlineStr">
        <is>
          <t>2026-05-21</t>
        </is>
      </c>
      <c r="B6259" s="3" t="inlineStr">
        <is>
          <t>콜마비앤에이치</t>
        </is>
      </c>
      <c r="C6259" s="2" t="inlineStr">
        <is>
          <t>코스닥</t>
        </is>
      </c>
      <c r="D6259" s="2" t="inlineStr">
        <is>
          <t>200130</t>
        </is>
      </c>
      <c r="E6259" s="3" t="inlineStr">
        <is>
          <t>임원ㆍ주요주주특정증권등소유상황보고서</t>
        </is>
      </c>
      <c r="F6259" s="3" t="inlineStr">
        <is>
          <t>조상현</t>
        </is>
      </c>
      <c r="G6259" s="2" t="inlineStr">
        <is>
          <t>20260521000217</t>
        </is>
      </c>
      <c r="H6259" s="8">
        <f>HYPERLINK("https://dart.fss.or.kr/dsaf001/main.do?rcpNo=20260521000217", "공시열람")</f>
        <v/>
      </c>
    </row>
    <row r="6260">
      <c r="A6260" s="2" t="inlineStr">
        <is>
          <t>2026-05-21</t>
        </is>
      </c>
      <c r="B6260" s="3" t="inlineStr">
        <is>
          <t>삼립</t>
        </is>
      </c>
      <c r="C6260" s="2" t="inlineStr">
        <is>
          <t>코스피</t>
        </is>
      </c>
      <c r="D6260" s="2" t="inlineStr">
        <is>
          <t>005610</t>
        </is>
      </c>
      <c r="E6260" s="3" t="inlineStr">
        <is>
          <t>임원ㆍ주요주주특정증권등소유상황보고서</t>
        </is>
      </c>
      <c r="F6260" s="3" t="inlineStr">
        <is>
          <t>정인호</t>
        </is>
      </c>
      <c r="G6260" s="2" t="inlineStr">
        <is>
          <t>20260521000215</t>
        </is>
      </c>
      <c r="H6260" s="8">
        <f>HYPERLINK("https://dart.fss.or.kr/dsaf001/main.do?rcpNo=20260521000215", "공시열람")</f>
        <v/>
      </c>
    </row>
    <row r="6261">
      <c r="A6261" s="2" t="inlineStr">
        <is>
          <t>2026-05-21</t>
        </is>
      </c>
      <c r="B6261" s="3" t="inlineStr">
        <is>
          <t>교보증권</t>
        </is>
      </c>
      <c r="C6261" s="2" t="inlineStr">
        <is>
          <t>코스피</t>
        </is>
      </c>
      <c r="D6261" s="2" t="inlineStr">
        <is>
          <t>030610</t>
        </is>
      </c>
      <c r="E6261" s="3" t="inlineStr">
        <is>
          <t>투자설명서(일괄신고)</t>
        </is>
      </c>
      <c r="F6261" s="3" t="inlineStr">
        <is>
          <t>교보증권</t>
        </is>
      </c>
      <c r="G6261" s="2" t="inlineStr">
        <is>
          <t>20260521000198</t>
        </is>
      </c>
      <c r="H6261" s="8">
        <f>HYPERLINK("https://dart.fss.or.kr/dsaf001/main.do?rcpNo=20260521000198", "공시열람")</f>
        <v/>
      </c>
    </row>
    <row r="6262">
      <c r="A6262" s="2" t="inlineStr">
        <is>
          <t>2026-05-21</t>
        </is>
      </c>
      <c r="B6262" s="3" t="inlineStr">
        <is>
          <t>삼립</t>
        </is>
      </c>
      <c r="C6262" s="2" t="inlineStr">
        <is>
          <t>코스피</t>
        </is>
      </c>
      <c r="D6262" s="2" t="inlineStr">
        <is>
          <t>005610</t>
        </is>
      </c>
      <c r="E6262" s="3" t="inlineStr">
        <is>
          <t>임원ㆍ주요주주특정증권등소유상황보고서</t>
        </is>
      </c>
      <c r="F6262" s="3" t="inlineStr">
        <is>
          <t>도세호</t>
        </is>
      </c>
      <c r="G6262" s="2" t="inlineStr">
        <is>
          <t>20260521000197</t>
        </is>
      </c>
      <c r="H6262" s="8">
        <f>HYPERLINK("https://dart.fss.or.kr/dsaf001/main.do?rcpNo=20260521000197", "공시열람")</f>
        <v/>
      </c>
    </row>
    <row r="6263">
      <c r="A6263" s="2" t="inlineStr">
        <is>
          <t>2026-05-21</t>
        </is>
      </c>
      <c r="B6263" s="3" t="inlineStr">
        <is>
          <t>미래에셋증권</t>
        </is>
      </c>
      <c r="C6263" s="2" t="inlineStr">
        <is>
          <t>코스피</t>
        </is>
      </c>
      <c r="D6263" s="2" t="inlineStr">
        <is>
          <t>006800</t>
        </is>
      </c>
      <c r="E6263" s="3" t="inlineStr">
        <is>
          <t>투자설명서(일괄신고)</t>
        </is>
      </c>
      <c r="F6263" s="3" t="inlineStr">
        <is>
          <t>미래에셋증권</t>
        </is>
      </c>
      <c r="G6263" s="2" t="inlineStr">
        <is>
          <t>20260521000195</t>
        </is>
      </c>
      <c r="H6263" s="8">
        <f>HYPERLINK("https://dart.fss.or.kr/dsaf001/main.do?rcpNo=20260521000195", "공시열람")</f>
        <v/>
      </c>
    </row>
    <row r="6264">
      <c r="A6264" s="2" t="inlineStr">
        <is>
          <t>2026-05-21</t>
        </is>
      </c>
      <c r="B6264" s="3" t="inlineStr">
        <is>
          <t>미래에셋증권</t>
        </is>
      </c>
      <c r="C6264" s="2" t="inlineStr">
        <is>
          <t>코스피</t>
        </is>
      </c>
      <c r="D6264" s="2" t="inlineStr">
        <is>
          <t>006800</t>
        </is>
      </c>
      <c r="E6264" s="3" t="inlineStr">
        <is>
          <t>일괄신고추가서류(파생결합사채-주가연계파생결합사채)</t>
        </is>
      </c>
      <c r="F6264" s="3" t="inlineStr">
        <is>
          <t>미래에셋증권</t>
        </is>
      </c>
      <c r="G6264" s="2" t="inlineStr">
        <is>
          <t>20260521000193</t>
        </is>
      </c>
      <c r="H6264" s="8">
        <f>HYPERLINK("https://dart.fss.or.kr/dsaf001/main.do?rcpNo=20260521000193", "공시열람")</f>
        <v/>
      </c>
    </row>
    <row r="6265">
      <c r="A6265" s="2" t="inlineStr">
        <is>
          <t>2026-05-21</t>
        </is>
      </c>
      <c r="B6265" s="3" t="inlineStr">
        <is>
          <t>키움증권</t>
        </is>
      </c>
      <c r="C6265" s="2" t="inlineStr">
        <is>
          <t>코스피</t>
        </is>
      </c>
      <c r="D6265" s="2" t="inlineStr">
        <is>
          <t>039490</t>
        </is>
      </c>
      <c r="E6265" s="3" t="inlineStr">
        <is>
          <t>일괄신고추가서류(파생결합사채-주가연계파생결합사채)</t>
        </is>
      </c>
      <c r="F6265" s="3" t="inlineStr">
        <is>
          <t>키움증권</t>
        </is>
      </c>
      <c r="G6265" s="2" t="inlineStr">
        <is>
          <t>20260521000192</t>
        </is>
      </c>
      <c r="H6265" s="8">
        <f>HYPERLINK("https://dart.fss.or.kr/dsaf001/main.do?rcpNo=20260521000192", "공시열람")</f>
        <v/>
      </c>
    </row>
    <row r="6266">
      <c r="A6266" s="2" t="inlineStr">
        <is>
          <t>2026-05-21</t>
        </is>
      </c>
      <c r="B6266" s="3" t="inlineStr">
        <is>
          <t>미래에셋증권</t>
        </is>
      </c>
      <c r="C6266" s="2" t="inlineStr">
        <is>
          <t>코스피</t>
        </is>
      </c>
      <c r="D6266" s="2" t="inlineStr">
        <is>
          <t>006800</t>
        </is>
      </c>
      <c r="E6266" s="3" t="inlineStr">
        <is>
          <t>투자설명서(일괄신고)</t>
        </is>
      </c>
      <c r="F6266" s="3" t="inlineStr">
        <is>
          <t>미래에셋증권</t>
        </is>
      </c>
      <c r="G6266" s="2" t="inlineStr">
        <is>
          <t>20260521000191</t>
        </is>
      </c>
      <c r="H6266" s="8">
        <f>HYPERLINK("https://dart.fss.or.kr/dsaf001/main.do?rcpNo=20260521000191", "공시열람")</f>
        <v/>
      </c>
    </row>
    <row r="6267">
      <c r="A6267" s="2" t="inlineStr">
        <is>
          <t>2026-05-21</t>
        </is>
      </c>
      <c r="B6267" s="3" t="inlineStr">
        <is>
          <t>코이즈</t>
        </is>
      </c>
      <c r="C6267" s="2" t="inlineStr">
        <is>
          <t>코스닥</t>
        </is>
      </c>
      <c r="D6267" s="2" t="inlineStr">
        <is>
          <t>121850</t>
        </is>
      </c>
      <c r="E6267" s="3" t="inlineStr">
        <is>
          <t xml:space="preserve">유형자산취득결정(종속회사의주요경영사항)              </t>
        </is>
      </c>
      <c r="F6267" s="3" t="inlineStr">
        <is>
          <t>코이즈</t>
        </is>
      </c>
      <c r="G6267" s="2" t="inlineStr">
        <is>
          <t>20260521900268</t>
        </is>
      </c>
      <c r="H6267" s="8">
        <f>HYPERLINK("https://dart.fss.or.kr/dsaf001/main.do?rcpNo=20260521900268", "공시열람")</f>
        <v/>
      </c>
    </row>
    <row r="6268">
      <c r="A6268" s="2" t="inlineStr">
        <is>
          <t>2026-05-21</t>
        </is>
      </c>
      <c r="B6268" s="3" t="inlineStr">
        <is>
          <t>한화투자증권</t>
        </is>
      </c>
      <c r="C6268" s="2" t="inlineStr">
        <is>
          <t>코스피</t>
        </is>
      </c>
      <c r="D6268" s="2" t="inlineStr">
        <is>
          <t>003530</t>
        </is>
      </c>
      <c r="E6268" s="3" t="inlineStr">
        <is>
          <t>투자설명서(일괄신고)</t>
        </is>
      </c>
      <c r="F6268" s="3" t="inlineStr">
        <is>
          <t>한화투자증권</t>
        </is>
      </c>
      <c r="G6268" s="2" t="inlineStr">
        <is>
          <t>20260521000188</t>
        </is>
      </c>
      <c r="H6268" s="8">
        <f>HYPERLINK("https://dart.fss.or.kr/dsaf001/main.do?rcpNo=20260521000188", "공시열람")</f>
        <v/>
      </c>
    </row>
    <row r="6269">
      <c r="A6269" s="2" t="inlineStr">
        <is>
          <t>2026-05-21</t>
        </is>
      </c>
      <c r="B6269" s="3" t="inlineStr">
        <is>
          <t>하이록코리아</t>
        </is>
      </c>
      <c r="C6269" s="2" t="inlineStr">
        <is>
          <t>코스닥</t>
        </is>
      </c>
      <c r="D6269" s="2" t="inlineStr">
        <is>
          <t>013030</t>
        </is>
      </c>
      <c r="E6269" s="3" t="inlineStr">
        <is>
          <t xml:space="preserve">기업설명회(IR)개최              </t>
        </is>
      </c>
      <c r="F6269" s="3" t="inlineStr">
        <is>
          <t>하이록코리아</t>
        </is>
      </c>
      <c r="G6269" s="2" t="inlineStr">
        <is>
          <t>20260521900313</t>
        </is>
      </c>
      <c r="H6269" s="8">
        <f>HYPERLINK("https://dart.fss.or.kr/dsaf001/main.do?rcpNo=20260521900313", "공시열람")</f>
        <v/>
      </c>
    </row>
    <row r="6270">
      <c r="A6270" s="2" t="inlineStr">
        <is>
          <t>2026-05-21</t>
        </is>
      </c>
      <c r="B6270" s="3" t="inlineStr">
        <is>
          <t>한화투자증권</t>
        </is>
      </c>
      <c r="C6270" s="2" t="inlineStr">
        <is>
          <t>코스피</t>
        </is>
      </c>
      <c r="D6270" s="2" t="inlineStr">
        <is>
          <t>003530</t>
        </is>
      </c>
      <c r="E6270" s="3" t="inlineStr">
        <is>
          <t>일괄신고추가서류(기타파생결합사채)</t>
        </is>
      </c>
      <c r="F6270" s="3" t="inlineStr">
        <is>
          <t>한화투자증권</t>
        </is>
      </c>
      <c r="G6270" s="2" t="inlineStr">
        <is>
          <t>20260521000184</t>
        </is>
      </c>
      <c r="H6270" s="8">
        <f>HYPERLINK("https://dart.fss.or.kr/dsaf001/main.do?rcpNo=20260521000184", "공시열람")</f>
        <v/>
      </c>
    </row>
    <row r="6271">
      <c r="A6271" s="2" t="inlineStr">
        <is>
          <t>2026-05-21</t>
        </is>
      </c>
      <c r="B6271" s="3" t="inlineStr">
        <is>
          <t>카스</t>
        </is>
      </c>
      <c r="C6271" s="2" t="inlineStr">
        <is>
          <t>코스닥</t>
        </is>
      </c>
      <c r="D6271" s="2" t="inlineStr">
        <is>
          <t>016920</t>
        </is>
      </c>
      <c r="E6271" s="3" t="inlineStr">
        <is>
          <t>임원ㆍ주요주주특정증권등소유상황보고서</t>
        </is>
      </c>
      <c r="F6271" s="3" t="inlineStr">
        <is>
          <t>김태준</t>
        </is>
      </c>
      <c r="G6271" s="2" t="inlineStr">
        <is>
          <t>20260521000182</t>
        </is>
      </c>
      <c r="H6271" s="8">
        <f>HYPERLINK("https://dart.fss.or.kr/dsaf001/main.do?rcpNo=20260521000182", "공시열람")</f>
        <v/>
      </c>
    </row>
    <row r="6272">
      <c r="A6272" s="2" t="inlineStr">
        <is>
          <t>2026-05-21</t>
        </is>
      </c>
      <c r="B6272" s="3" t="inlineStr">
        <is>
          <t>신영증권</t>
        </is>
      </c>
      <c r="C6272" s="2" t="inlineStr">
        <is>
          <t>코스피</t>
        </is>
      </c>
      <c r="D6272" s="2" t="inlineStr">
        <is>
          <t>001720</t>
        </is>
      </c>
      <c r="E6272" s="3" t="inlineStr">
        <is>
          <t>일괄신고추가서류(파생결합사채-주가연계파생결합사채)</t>
        </is>
      </c>
      <c r="F6272" s="3" t="inlineStr">
        <is>
          <t>신영증권</t>
        </is>
      </c>
      <c r="G6272" s="2" t="inlineStr">
        <is>
          <t>20260521000181</t>
        </is>
      </c>
      <c r="H6272" s="8">
        <f>HYPERLINK("https://dart.fss.or.kr/dsaf001/main.do?rcpNo=20260521000181", "공시열람")</f>
        <v/>
      </c>
    </row>
    <row r="6273">
      <c r="A6273" s="2" t="inlineStr">
        <is>
          <t>2026-05-21</t>
        </is>
      </c>
      <c r="B6273" s="3" t="inlineStr">
        <is>
          <t>미래에셋증권</t>
        </is>
      </c>
      <c r="C6273" s="2" t="inlineStr">
        <is>
          <t>코스피</t>
        </is>
      </c>
      <c r="D6273" s="2" t="inlineStr">
        <is>
          <t>006800</t>
        </is>
      </c>
      <c r="E6273" s="3" t="inlineStr">
        <is>
          <t>일괄신고추가서류(파생결합사채-주가연계파생결합사채)</t>
        </is>
      </c>
      <c r="F6273" s="3" t="inlineStr">
        <is>
          <t>미래에셋증권</t>
        </is>
      </c>
      <c r="G6273" s="2" t="inlineStr">
        <is>
          <t>20260521000179</t>
        </is>
      </c>
      <c r="H6273" s="8">
        <f>HYPERLINK("https://dart.fss.or.kr/dsaf001/main.do?rcpNo=20260521000179", "공시열람")</f>
        <v/>
      </c>
    </row>
    <row r="6274">
      <c r="A6274" s="2" t="inlineStr">
        <is>
          <t>2026-05-21</t>
        </is>
      </c>
      <c r="B6274" s="3" t="inlineStr">
        <is>
          <t>유진증권</t>
        </is>
      </c>
      <c r="C6274" s="2" t="inlineStr">
        <is>
          <t>코스피</t>
        </is>
      </c>
      <c r="D6274" s="2" t="inlineStr">
        <is>
          <t>001200</t>
        </is>
      </c>
      <c r="E6274" s="3" t="inlineStr">
        <is>
          <t>투자설명서(일괄신고)</t>
        </is>
      </c>
      <c r="F6274" s="3" t="inlineStr">
        <is>
          <t>유진증권</t>
        </is>
      </c>
      <c r="G6274" s="2" t="inlineStr">
        <is>
          <t>20260521000176</t>
        </is>
      </c>
      <c r="H6274" s="8">
        <f>HYPERLINK("https://dart.fss.or.kr/dsaf001/main.do?rcpNo=20260521000176", "공시열람")</f>
        <v/>
      </c>
    </row>
    <row r="6275">
      <c r="A6275" s="2" t="inlineStr">
        <is>
          <t>2026-05-21</t>
        </is>
      </c>
      <c r="B6275" s="3" t="inlineStr">
        <is>
          <t>교보증권</t>
        </is>
      </c>
      <c r="C6275" s="2" t="inlineStr">
        <is>
          <t>코스피</t>
        </is>
      </c>
      <c r="D6275" s="2" t="inlineStr">
        <is>
          <t>030610</t>
        </is>
      </c>
      <c r="E6275" s="3" t="inlineStr">
        <is>
          <t>일괄신고추가서류(파생결합사채-주가연계파생결합사채)</t>
        </is>
      </c>
      <c r="F6275" s="3" t="inlineStr">
        <is>
          <t>교보증권</t>
        </is>
      </c>
      <c r="G6275" s="2" t="inlineStr">
        <is>
          <t>20260521000172</t>
        </is>
      </c>
      <c r="H6275" s="8">
        <f>HYPERLINK("https://dart.fss.or.kr/dsaf001/main.do?rcpNo=20260521000172", "공시열람")</f>
        <v/>
      </c>
    </row>
    <row r="6276">
      <c r="A6276" s="2" t="inlineStr">
        <is>
          <t>2026-05-21</t>
        </is>
      </c>
      <c r="B6276" s="3" t="inlineStr">
        <is>
          <t>대신증권</t>
        </is>
      </c>
      <c r="C6276" s="2" t="inlineStr">
        <is>
          <t>코스피</t>
        </is>
      </c>
      <c r="D6276" s="2" t="inlineStr">
        <is>
          <t>003540</t>
        </is>
      </c>
      <c r="E6276" s="3" t="inlineStr">
        <is>
          <t>투자설명서(일괄신고)</t>
        </is>
      </c>
      <c r="F6276" s="3" t="inlineStr">
        <is>
          <t>대신증권</t>
        </is>
      </c>
      <c r="G6276" s="2" t="inlineStr">
        <is>
          <t>20260521000169</t>
        </is>
      </c>
      <c r="H6276" s="8">
        <f>HYPERLINK("https://dart.fss.or.kr/dsaf001/main.do?rcpNo=20260521000169", "공시열람")</f>
        <v/>
      </c>
    </row>
    <row r="6277">
      <c r="A6277" s="2" t="inlineStr">
        <is>
          <t>2026-05-21</t>
        </is>
      </c>
      <c r="B6277" s="3" t="inlineStr">
        <is>
          <t>유진증권</t>
        </is>
      </c>
      <c r="C6277" s="2" t="inlineStr">
        <is>
          <t>코스피</t>
        </is>
      </c>
      <c r="D6277" s="2" t="inlineStr">
        <is>
          <t>001200</t>
        </is>
      </c>
      <c r="E6277" s="3" t="inlineStr">
        <is>
          <t>투자설명서(일괄신고)</t>
        </is>
      </c>
      <c r="F6277" s="3" t="inlineStr">
        <is>
          <t>유진증권</t>
        </is>
      </c>
      <c r="G6277" s="2" t="inlineStr">
        <is>
          <t>20260521000168</t>
        </is>
      </c>
      <c r="H6277" s="8">
        <f>HYPERLINK("https://dart.fss.or.kr/dsaf001/main.do?rcpNo=20260521000168", "공시열람")</f>
        <v/>
      </c>
    </row>
    <row r="6278">
      <c r="A6278" s="2" t="inlineStr">
        <is>
          <t>2026-05-21</t>
        </is>
      </c>
      <c r="B6278" s="3" t="inlineStr">
        <is>
          <t>교보증권</t>
        </is>
      </c>
      <c r="C6278" s="2" t="inlineStr">
        <is>
          <t>코스피</t>
        </is>
      </c>
      <c r="D6278" s="2" t="inlineStr">
        <is>
          <t>030610</t>
        </is>
      </c>
      <c r="E6278" s="3" t="inlineStr">
        <is>
          <t>투자설명서(일괄신고)</t>
        </is>
      </c>
      <c r="F6278" s="3" t="inlineStr">
        <is>
          <t>교보증권</t>
        </is>
      </c>
      <c r="G6278" s="2" t="inlineStr">
        <is>
          <t>20260521000167</t>
        </is>
      </c>
      <c r="H6278" s="8">
        <f>HYPERLINK("https://dart.fss.or.kr/dsaf001/main.do?rcpNo=20260521000167", "공시열람")</f>
        <v/>
      </c>
    </row>
    <row r="6279">
      <c r="A6279" s="2" t="inlineStr">
        <is>
          <t>2026-05-21</t>
        </is>
      </c>
      <c r="B6279" s="3" t="inlineStr">
        <is>
          <t>대신증권</t>
        </is>
      </c>
      <c r="C6279" s="2" t="inlineStr">
        <is>
          <t>코스피</t>
        </is>
      </c>
      <c r="D6279" s="2" t="inlineStr">
        <is>
          <t>003540</t>
        </is>
      </c>
      <c r="E6279" s="3" t="inlineStr">
        <is>
          <t>투자설명서(일괄신고)</t>
        </is>
      </c>
      <c r="F6279" s="3" t="inlineStr">
        <is>
          <t>대신증권</t>
        </is>
      </c>
      <c r="G6279" s="2" t="inlineStr">
        <is>
          <t>20260521000162</t>
        </is>
      </c>
      <c r="H6279" s="8">
        <f>HYPERLINK("https://dart.fss.or.kr/dsaf001/main.do?rcpNo=20260521000162", "공시열람")</f>
        <v/>
      </c>
    </row>
    <row r="6280">
      <c r="A6280" s="2" t="inlineStr">
        <is>
          <t>2026-05-21</t>
        </is>
      </c>
      <c r="B6280" s="3" t="inlineStr">
        <is>
          <t>교보증권</t>
        </is>
      </c>
      <c r="C6280" s="2" t="inlineStr">
        <is>
          <t>코스피</t>
        </is>
      </c>
      <c r="D6280" s="2" t="inlineStr">
        <is>
          <t>030610</t>
        </is>
      </c>
      <c r="E6280" s="3" t="inlineStr">
        <is>
          <t>일괄신고추가서류(파생결합증권-주가연계증권)</t>
        </is>
      </c>
      <c r="F6280" s="3" t="inlineStr">
        <is>
          <t>교보증권</t>
        </is>
      </c>
      <c r="G6280" s="2" t="inlineStr">
        <is>
          <t>20260521000161</t>
        </is>
      </c>
      <c r="H6280" s="8">
        <f>HYPERLINK("https://dart.fss.or.kr/dsaf001/main.do?rcpNo=20260521000161", "공시열람")</f>
        <v/>
      </c>
    </row>
    <row r="6281">
      <c r="A6281" s="2" t="inlineStr">
        <is>
          <t>2026-05-21</t>
        </is>
      </c>
      <c r="B6281" s="3" t="inlineStr">
        <is>
          <t>케이비아이동국실업</t>
        </is>
      </c>
      <c r="C6281" s="2" t="inlineStr">
        <is>
          <t>코스피</t>
        </is>
      </c>
      <c r="D6281" s="2" t="inlineStr">
        <is>
          <t>001620</t>
        </is>
      </c>
      <c r="E6281" s="3" t="inlineStr">
        <is>
          <t>임원ㆍ주요주주특정증권등소유상황보고서</t>
        </is>
      </c>
      <c r="F6281" s="3" t="inlineStr">
        <is>
          <t>케이비아이국인산업</t>
        </is>
      </c>
      <c r="G6281" s="2" t="inlineStr">
        <is>
          <t>20260521000159</t>
        </is>
      </c>
      <c r="H6281" s="8">
        <f>HYPERLINK("https://dart.fss.or.kr/dsaf001/main.do?rcpNo=20260521000159", "공시열람")</f>
        <v/>
      </c>
    </row>
    <row r="6282">
      <c r="A6282" s="2" t="inlineStr">
        <is>
          <t>2026-05-21 (정정: 2026-06-10)</t>
        </is>
      </c>
      <c r="B6282" s="3" t="inlineStr">
        <is>
          <t>KC산업</t>
        </is>
      </c>
      <c r="C6282" s="2" t="inlineStr">
        <is>
          <t>코넥스</t>
        </is>
      </c>
      <c r="D6282" s="2" t="inlineStr">
        <is>
          <t>112190</t>
        </is>
      </c>
      <c r="E6282" s="3" t="inlineStr">
        <is>
          <t>주주명부폐쇄기간또는기준일설정               (정정: 20260610)</t>
        </is>
      </c>
      <c r="F6282" s="3" t="inlineStr">
        <is>
          <t>KC산업</t>
        </is>
      </c>
      <c r="G6282" s="2" t="inlineStr">
        <is>
          <t>20260610600146</t>
        </is>
      </c>
      <c r="H6282" s="8">
        <f>HYPERLINK("https://dart.fss.or.kr/dsaf001/main.do?rcpNo=20260610600146", "공시열람")</f>
        <v/>
      </c>
    </row>
    <row r="6283">
      <c r="A6283" s="2" t="inlineStr">
        <is>
          <t>2026-05-21</t>
        </is>
      </c>
      <c r="B6283" s="3" t="inlineStr">
        <is>
          <t>현대차증권</t>
        </is>
      </c>
      <c r="C6283" s="2" t="inlineStr">
        <is>
          <t>코스피</t>
        </is>
      </c>
      <c r="D6283" s="2" t="inlineStr">
        <is>
          <t>001500</t>
        </is>
      </c>
      <c r="E6283" s="3" t="inlineStr">
        <is>
          <t>일괄신고추가서류(파생결합사채-주가연계파생결합사채)</t>
        </is>
      </c>
      <c r="F6283" s="3" t="inlineStr">
        <is>
          <t>현대차증권</t>
        </is>
      </c>
      <c r="G6283" s="2" t="inlineStr">
        <is>
          <t>20260521000157</t>
        </is>
      </c>
      <c r="H6283" s="8">
        <f>HYPERLINK("https://dart.fss.or.kr/dsaf001/main.do?rcpNo=20260521000157", "공시열람")</f>
        <v/>
      </c>
    </row>
    <row r="6284">
      <c r="A6284" s="2" t="inlineStr">
        <is>
          <t>2026-05-21</t>
        </is>
      </c>
      <c r="B6284" s="3" t="inlineStr">
        <is>
          <t>유진증권</t>
        </is>
      </c>
      <c r="C6284" s="2" t="inlineStr">
        <is>
          <t>코스피</t>
        </is>
      </c>
      <c r="D6284" s="2" t="inlineStr">
        <is>
          <t>001200</t>
        </is>
      </c>
      <c r="E6284" s="3" t="inlineStr">
        <is>
          <t>일괄신고추가서류(파생결합사채-주가연계파생결합사채)</t>
        </is>
      </c>
      <c r="F6284" s="3" t="inlineStr">
        <is>
          <t>유진증권</t>
        </is>
      </c>
      <c r="G6284" s="2" t="inlineStr">
        <is>
          <t>20260521000154</t>
        </is>
      </c>
      <c r="H6284" s="8">
        <f>HYPERLINK("https://dart.fss.or.kr/dsaf001/main.do?rcpNo=20260521000154", "공시열람")</f>
        <v/>
      </c>
    </row>
    <row r="6285">
      <c r="A6285" s="2" t="inlineStr">
        <is>
          <t>2026-05-21</t>
        </is>
      </c>
      <c r="B6285" s="3" t="inlineStr">
        <is>
          <t>키움증권</t>
        </is>
      </c>
      <c r="C6285" s="2" t="inlineStr">
        <is>
          <t>코스피</t>
        </is>
      </c>
      <c r="D6285" s="2" t="inlineStr">
        <is>
          <t>039490</t>
        </is>
      </c>
      <c r="E6285" s="3" t="inlineStr">
        <is>
          <t>투자설명서(일괄신고)</t>
        </is>
      </c>
      <c r="F6285" s="3" t="inlineStr">
        <is>
          <t>키움증권</t>
        </is>
      </c>
      <c r="G6285" s="2" t="inlineStr">
        <is>
          <t>20260521000150</t>
        </is>
      </c>
      <c r="H6285" s="8">
        <f>HYPERLINK("https://dart.fss.or.kr/dsaf001/main.do?rcpNo=20260521000150", "공시열람")</f>
        <v/>
      </c>
    </row>
    <row r="6286">
      <c r="A6286" s="2" t="inlineStr">
        <is>
          <t>2026-05-21</t>
        </is>
      </c>
      <c r="B6286" s="3" t="inlineStr">
        <is>
          <t>키움증권</t>
        </is>
      </c>
      <c r="C6286" s="2" t="inlineStr">
        <is>
          <t>코스피</t>
        </is>
      </c>
      <c r="D6286" s="2" t="inlineStr">
        <is>
          <t>039490</t>
        </is>
      </c>
      <c r="E6286" s="3" t="inlineStr">
        <is>
          <t>투자설명서(일괄신고)</t>
        </is>
      </c>
      <c r="F6286" s="3" t="inlineStr">
        <is>
          <t>키움증권</t>
        </is>
      </c>
      <c r="G6286" s="2" t="inlineStr">
        <is>
          <t>20260521000147</t>
        </is>
      </c>
      <c r="H6286" s="8">
        <f>HYPERLINK("https://dart.fss.or.kr/dsaf001/main.do?rcpNo=20260521000147", "공시열람")</f>
        <v/>
      </c>
    </row>
    <row r="6287">
      <c r="A6287" s="2" t="inlineStr">
        <is>
          <t>2026-05-21</t>
        </is>
      </c>
      <c r="B6287" s="3" t="inlineStr">
        <is>
          <t>아이패밀리에스씨</t>
        </is>
      </c>
      <c r="C6287" s="2" t="inlineStr">
        <is>
          <t>코스닥</t>
        </is>
      </c>
      <c r="D6287" s="2" t="inlineStr">
        <is>
          <t>114840</t>
        </is>
      </c>
      <c r="E6287" s="3" t="inlineStr">
        <is>
          <t>주요사항보고서(자기주식처분결정)</t>
        </is>
      </c>
      <c r="F6287" s="3" t="inlineStr">
        <is>
          <t>아이패밀리에스씨</t>
        </is>
      </c>
      <c r="G6287" s="2" t="inlineStr">
        <is>
          <t>20260521000140</t>
        </is>
      </c>
      <c r="H6287" s="8">
        <f>HYPERLINK("https://dart.fss.or.kr/dsaf001/main.do?rcpNo=20260521000140", "공시열람")</f>
        <v/>
      </c>
    </row>
    <row r="6288">
      <c r="A6288" s="2" t="inlineStr">
        <is>
          <t>2026-05-21</t>
        </is>
      </c>
      <c r="B6288" s="3" t="inlineStr">
        <is>
          <t>오비고</t>
        </is>
      </c>
      <c r="C6288" s="2" t="inlineStr">
        <is>
          <t>코스닥</t>
        </is>
      </c>
      <c r="D6288" s="2" t="inlineStr">
        <is>
          <t>352910</t>
        </is>
      </c>
      <c r="E6288" s="3" t="inlineStr">
        <is>
          <t>임원ㆍ주요주주특정증권등소유상황보고서</t>
        </is>
      </c>
      <c r="F6288" s="3" t="inlineStr">
        <is>
          <t>장영준</t>
        </is>
      </c>
      <c r="G6288" s="2" t="inlineStr">
        <is>
          <t>20260521000139</t>
        </is>
      </c>
      <c r="H6288" s="8">
        <f>HYPERLINK("https://dart.fss.or.kr/dsaf001/main.do?rcpNo=20260521000139", "공시열람")</f>
        <v/>
      </c>
    </row>
    <row r="6289">
      <c r="A6289" s="2" t="inlineStr">
        <is>
          <t>2026-05-21</t>
        </is>
      </c>
      <c r="B6289" s="3" t="inlineStr">
        <is>
          <t>한화투자증권</t>
        </is>
      </c>
      <c r="C6289" s="2" t="inlineStr">
        <is>
          <t>코스피</t>
        </is>
      </c>
      <c r="D6289" s="2" t="inlineStr">
        <is>
          <t>003530</t>
        </is>
      </c>
      <c r="E6289" s="3" t="inlineStr">
        <is>
          <t>투자설명서(일괄신고)</t>
        </is>
      </c>
      <c r="F6289" s="3" t="inlineStr">
        <is>
          <t>한화투자증권</t>
        </is>
      </c>
      <c r="G6289" s="2" t="inlineStr">
        <is>
          <t>20260521000133</t>
        </is>
      </c>
      <c r="H6289" s="8">
        <f>HYPERLINK("https://dart.fss.or.kr/dsaf001/main.do?rcpNo=20260521000133", "공시열람")</f>
        <v/>
      </c>
    </row>
    <row r="6290">
      <c r="A6290" s="2" t="inlineStr">
        <is>
          <t>2026-05-21</t>
        </is>
      </c>
      <c r="B6290" s="3" t="inlineStr">
        <is>
          <t>금양</t>
        </is>
      </c>
      <c r="C6290" s="2" t="inlineStr">
        <is>
          <t>코스피</t>
        </is>
      </c>
      <c r="D6290" s="2" t="inlineStr">
        <is>
          <t>001570</t>
        </is>
      </c>
      <c r="E6290" s="3" t="inlineStr">
        <is>
          <t>기타경영사항(자율공시)              (상장폐지결정 효력정지 가처분 신청)</t>
        </is>
      </c>
      <c r="F6290" s="3" t="inlineStr">
        <is>
          <t>금양</t>
        </is>
      </c>
      <c r="G6290" s="2" t="inlineStr">
        <is>
          <t>20260521800242</t>
        </is>
      </c>
      <c r="H6290" s="8">
        <f>HYPERLINK("https://dart.fss.or.kr/dsaf001/main.do?rcpNo=20260521800242", "공시열람")</f>
        <v/>
      </c>
    </row>
    <row r="6291">
      <c r="A6291" s="2" t="inlineStr">
        <is>
          <t>2026-05-21</t>
        </is>
      </c>
      <c r="B6291" s="3" t="inlineStr">
        <is>
          <t>SK리츠</t>
        </is>
      </c>
      <c r="C6291" s="2" t="inlineStr">
        <is>
          <t>코스피</t>
        </is>
      </c>
      <c r="D6291" s="2" t="inlineStr">
        <is>
          <t>395400</t>
        </is>
      </c>
      <c r="E6291" s="3" t="inlineStr">
        <is>
          <t xml:space="preserve">부동산투자회사자금차입              </t>
        </is>
      </c>
      <c r="F6291" s="3" t="inlineStr">
        <is>
          <t>SK리츠</t>
        </is>
      </c>
      <c r="G6291" s="2" t="inlineStr">
        <is>
          <t>20260521800239</t>
        </is>
      </c>
      <c r="H6291" s="8">
        <f>HYPERLINK("https://dart.fss.or.kr/dsaf001/main.do?rcpNo=20260521800239", "공시열람")</f>
        <v/>
      </c>
    </row>
    <row r="6292">
      <c r="A6292" s="2" t="inlineStr">
        <is>
          <t>2026-05-21</t>
        </is>
      </c>
      <c r="B6292" s="3" t="inlineStr">
        <is>
          <t>SK리츠</t>
        </is>
      </c>
      <c r="C6292" s="2" t="inlineStr">
        <is>
          <t>코스피</t>
        </is>
      </c>
      <c r="D6292" s="2" t="inlineStr">
        <is>
          <t>395400</t>
        </is>
      </c>
      <c r="E6292" s="3" t="inlineStr">
        <is>
          <t xml:space="preserve">부동산투자회사자금차입              </t>
        </is>
      </c>
      <c r="F6292" s="3" t="inlineStr">
        <is>
          <t>SK리츠</t>
        </is>
      </c>
      <c r="G6292" s="2" t="inlineStr">
        <is>
          <t>20260521800235</t>
        </is>
      </c>
      <c r="H6292" s="8">
        <f>HYPERLINK("https://dart.fss.or.kr/dsaf001/main.do?rcpNo=20260521800235", "공시열람")</f>
        <v/>
      </c>
    </row>
    <row r="6293">
      <c r="A6293" s="2" t="inlineStr">
        <is>
          <t>2026-05-21</t>
        </is>
      </c>
      <c r="B6293" s="3" t="inlineStr">
        <is>
          <t>대림통상</t>
        </is>
      </c>
      <c r="C6293" s="2" t="inlineStr">
        <is>
          <t>코스피</t>
        </is>
      </c>
      <c r="D6293" s="2" t="inlineStr">
        <is>
          <t>006570</t>
        </is>
      </c>
      <c r="E6293" s="3" t="inlineStr">
        <is>
          <t>임원ㆍ주요주주특정증권등소유상황보고서</t>
        </is>
      </c>
      <c r="F6293" s="3" t="inlineStr">
        <is>
          <t>이상원</t>
        </is>
      </c>
      <c r="G6293" s="2" t="inlineStr">
        <is>
          <t>20260521000125</t>
        </is>
      </c>
      <c r="H6293" s="8">
        <f>HYPERLINK("https://dart.fss.or.kr/dsaf001/main.do?rcpNo=20260521000125", "공시열람")</f>
        <v/>
      </c>
    </row>
    <row r="6294">
      <c r="A6294" s="2" t="inlineStr">
        <is>
          <t>2026-05-21</t>
        </is>
      </c>
      <c r="B6294" s="3" t="inlineStr">
        <is>
          <t>대림통상</t>
        </is>
      </c>
      <c r="C6294" s="2" t="inlineStr">
        <is>
          <t>코스피</t>
        </is>
      </c>
      <c r="D6294" s="2" t="inlineStr">
        <is>
          <t>006570</t>
        </is>
      </c>
      <c r="E6294" s="3" t="inlineStr">
        <is>
          <t>임원ㆍ주요주주특정증권등소유상황보고서</t>
        </is>
      </c>
      <c r="F6294" s="3" t="inlineStr">
        <is>
          <t>이효진</t>
        </is>
      </c>
      <c r="G6294" s="2" t="inlineStr">
        <is>
          <t>20260521000124</t>
        </is>
      </c>
      <c r="H6294" s="8">
        <f>HYPERLINK("https://dart.fss.or.kr/dsaf001/main.do?rcpNo=20260521000124", "공시열람")</f>
        <v/>
      </c>
    </row>
    <row r="6295">
      <c r="A6295" s="2" t="inlineStr">
        <is>
          <t>2026-05-21</t>
        </is>
      </c>
      <c r="B6295" s="3" t="inlineStr">
        <is>
          <t>대림통상</t>
        </is>
      </c>
      <c r="C6295" s="2" t="inlineStr">
        <is>
          <t>코스피</t>
        </is>
      </c>
      <c r="D6295" s="2" t="inlineStr">
        <is>
          <t>006570</t>
        </is>
      </c>
      <c r="E6295" s="3" t="inlineStr">
        <is>
          <t>임원ㆍ주요주주특정증권등소유상황보고서</t>
        </is>
      </c>
      <c r="F6295" s="3" t="inlineStr">
        <is>
          <t>고은희</t>
        </is>
      </c>
      <c r="G6295" s="2" t="inlineStr">
        <is>
          <t>20260521000121</t>
        </is>
      </c>
      <c r="H6295" s="8">
        <f>HYPERLINK("https://dart.fss.or.kr/dsaf001/main.do?rcpNo=20260521000121", "공시열람")</f>
        <v/>
      </c>
    </row>
    <row r="6296">
      <c r="A6296" s="2" t="inlineStr">
        <is>
          <t>2026-05-21</t>
        </is>
      </c>
      <c r="B6296" s="3" t="inlineStr">
        <is>
          <t>유진증권</t>
        </is>
      </c>
      <c r="C6296" s="2" t="inlineStr">
        <is>
          <t>코스피</t>
        </is>
      </c>
      <c r="D6296" s="2" t="inlineStr">
        <is>
          <t>001200</t>
        </is>
      </c>
      <c r="E6296" s="3" t="inlineStr">
        <is>
          <t>일괄신고추가서류(파생결합증권-주가연계증권)</t>
        </is>
      </c>
      <c r="F6296" s="3" t="inlineStr">
        <is>
          <t>유진증권</t>
        </is>
      </c>
      <c r="G6296" s="2" t="inlineStr">
        <is>
          <t>20260521000120</t>
        </is>
      </c>
      <c r="H6296" s="8">
        <f>HYPERLINK("https://dart.fss.or.kr/dsaf001/main.do?rcpNo=20260521000120", "공시열람")</f>
        <v/>
      </c>
    </row>
    <row r="6297">
      <c r="A6297" s="2" t="inlineStr">
        <is>
          <t>2026-05-21</t>
        </is>
      </c>
      <c r="B6297" s="3" t="inlineStr">
        <is>
          <t>한화투자증권</t>
        </is>
      </c>
      <c r="C6297" s="2" t="inlineStr">
        <is>
          <t>코스피</t>
        </is>
      </c>
      <c r="D6297" s="2" t="inlineStr">
        <is>
          <t>003530</t>
        </is>
      </c>
      <c r="E6297" s="3" t="inlineStr">
        <is>
          <t>일괄신고추가서류(기타파생결합사채)</t>
        </is>
      </c>
      <c r="F6297" s="3" t="inlineStr">
        <is>
          <t>한화투자증권</t>
        </is>
      </c>
      <c r="G6297" s="2" t="inlineStr">
        <is>
          <t>20260521000119</t>
        </is>
      </c>
      <c r="H6297" s="8">
        <f>HYPERLINK("https://dart.fss.or.kr/dsaf001/main.do?rcpNo=20260521000119", "공시열람")</f>
        <v/>
      </c>
    </row>
    <row r="6298">
      <c r="A6298" s="2" t="inlineStr">
        <is>
          <t>2026-05-21</t>
        </is>
      </c>
      <c r="B6298" s="3" t="inlineStr">
        <is>
          <t>키움증권</t>
        </is>
      </c>
      <c r="C6298" s="2" t="inlineStr">
        <is>
          <t>코스피</t>
        </is>
      </c>
      <c r="D6298" s="2" t="inlineStr">
        <is>
          <t>039490</t>
        </is>
      </c>
      <c r="E6298" s="3" t="inlineStr">
        <is>
          <t>일괄신고추가서류(파생결합사채-주가연계파생결합사채)</t>
        </is>
      </c>
      <c r="F6298" s="3" t="inlineStr">
        <is>
          <t>키움증권</t>
        </is>
      </c>
      <c r="G6298" s="2" t="inlineStr">
        <is>
          <t>20260521000111</t>
        </is>
      </c>
      <c r="H6298" s="8">
        <f>HYPERLINK("https://dart.fss.or.kr/dsaf001/main.do?rcpNo=20260521000111", "공시열람")</f>
        <v/>
      </c>
    </row>
    <row r="6299">
      <c r="A6299" s="2" t="inlineStr">
        <is>
          <t>2026-05-21</t>
        </is>
      </c>
      <c r="B6299" s="3" t="inlineStr">
        <is>
          <t>키움증권</t>
        </is>
      </c>
      <c r="C6299" s="2" t="inlineStr">
        <is>
          <t>코스피</t>
        </is>
      </c>
      <c r="D6299" s="2" t="inlineStr">
        <is>
          <t>039490</t>
        </is>
      </c>
      <c r="E6299" s="3" t="inlineStr">
        <is>
          <t>일괄신고추가서류(파생결합증권-주가연계증권)</t>
        </is>
      </c>
      <c r="F6299" s="3" t="inlineStr">
        <is>
          <t>키움증권</t>
        </is>
      </c>
      <c r="G6299" s="2" t="inlineStr">
        <is>
          <t>20260521000107</t>
        </is>
      </c>
      <c r="H6299" s="8">
        <f>HYPERLINK("https://dart.fss.or.kr/dsaf001/main.do?rcpNo=20260521000107", "공시열람")</f>
        <v/>
      </c>
    </row>
    <row r="6300">
      <c r="A6300" s="2" t="inlineStr">
        <is>
          <t>2026-05-21</t>
        </is>
      </c>
      <c r="B6300" s="3" t="inlineStr">
        <is>
          <t>레인보우로보틱스</t>
        </is>
      </c>
      <c r="C6300" s="2" t="inlineStr">
        <is>
          <t>코스닥</t>
        </is>
      </c>
      <c r="D6300" s="2" t="inlineStr">
        <is>
          <t>277810</t>
        </is>
      </c>
      <c r="E6300" s="3" t="inlineStr">
        <is>
          <t xml:space="preserve">주주명부폐쇄기간또는기준일설정              </t>
        </is>
      </c>
      <c r="F6300" s="3" t="inlineStr">
        <is>
          <t>레인보우로보틱스</t>
        </is>
      </c>
      <c r="G6300" s="2" t="inlineStr">
        <is>
          <t>20260521900208</t>
        </is>
      </c>
      <c r="H6300" s="8">
        <f>HYPERLINK("https://dart.fss.or.kr/dsaf001/main.do?rcpNo=20260521900208", "공시열람")</f>
        <v/>
      </c>
    </row>
    <row r="6301">
      <c r="A6301" s="2" t="inlineStr">
        <is>
          <t>2026-05-21</t>
        </is>
      </c>
      <c r="B6301" s="3" t="inlineStr">
        <is>
          <t>한국콜마</t>
        </is>
      </c>
      <c r="C6301" s="2" t="inlineStr">
        <is>
          <t>코스피</t>
        </is>
      </c>
      <c r="D6301" s="2" t="inlineStr">
        <is>
          <t>161890</t>
        </is>
      </c>
      <c r="E6301" s="3" t="inlineStr">
        <is>
          <t xml:space="preserve">기업설명회(IR)개최(안내공시)              </t>
        </is>
      </c>
      <c r="F6301" s="3" t="inlineStr">
        <is>
          <t>한국콜마</t>
        </is>
      </c>
      <c r="G6301" s="2" t="inlineStr">
        <is>
          <t>20260521800207</t>
        </is>
      </c>
      <c r="H6301" s="8">
        <f>HYPERLINK("https://dart.fss.or.kr/dsaf001/main.do?rcpNo=20260521800207", "공시열람")</f>
        <v/>
      </c>
    </row>
    <row r="6302">
      <c r="A6302" s="2" t="inlineStr">
        <is>
          <t>2026-05-21</t>
        </is>
      </c>
      <c r="B6302" s="3" t="inlineStr">
        <is>
          <t>이씨에스</t>
        </is>
      </c>
      <c r="C6302" s="2" t="inlineStr">
        <is>
          <t>코스닥</t>
        </is>
      </c>
      <c r="D6302" s="2" t="inlineStr">
        <is>
          <t>067010</t>
        </is>
      </c>
      <c r="E6302" s="3" t="inlineStr">
        <is>
          <t xml:space="preserve">현금ㆍ현물배당결정              </t>
        </is>
      </c>
      <c r="F6302" s="3" t="inlineStr">
        <is>
          <t>이씨에스</t>
        </is>
      </c>
      <c r="G6302" s="2" t="inlineStr">
        <is>
          <t>20260521900169</t>
        </is>
      </c>
      <c r="H6302" s="8">
        <f>HYPERLINK("https://dart.fss.or.kr/dsaf001/main.do?rcpNo=20260521900169", "공시열람")</f>
        <v/>
      </c>
    </row>
    <row r="6303">
      <c r="A6303" s="2" t="inlineStr">
        <is>
          <t>2026-05-21</t>
        </is>
      </c>
      <c r="B6303" s="3" t="inlineStr">
        <is>
          <t>미래에셋증권</t>
        </is>
      </c>
      <c r="C6303" s="2" t="inlineStr">
        <is>
          <t>코스피</t>
        </is>
      </c>
      <c r="D6303" s="2" t="inlineStr">
        <is>
          <t>006800</t>
        </is>
      </c>
      <c r="E6303" s="3" t="inlineStr">
        <is>
          <t>투자설명서(일괄신고)</t>
        </is>
      </c>
      <c r="F6303" s="3" t="inlineStr">
        <is>
          <t>미래에셋증권</t>
        </is>
      </c>
      <c r="G6303" s="2" t="inlineStr">
        <is>
          <t>20260521000095</t>
        </is>
      </c>
      <c r="H6303" s="8">
        <f>HYPERLINK("https://dart.fss.or.kr/dsaf001/main.do?rcpNo=20260521000095", "공시열람")</f>
        <v/>
      </c>
    </row>
    <row r="6304">
      <c r="A6304" s="2" t="inlineStr">
        <is>
          <t>2026-05-21</t>
        </is>
      </c>
      <c r="B6304" s="3" t="inlineStr">
        <is>
          <t>이씨에스</t>
        </is>
      </c>
      <c r="C6304" s="2" t="inlineStr">
        <is>
          <t>코스닥</t>
        </is>
      </c>
      <c r="D6304" s="2" t="inlineStr">
        <is>
          <t>067010</t>
        </is>
      </c>
      <c r="E6304" s="3" t="inlineStr">
        <is>
          <t xml:space="preserve">매출액또는손익구조30%(대규모법인은15%)이상변동              </t>
        </is>
      </c>
      <c r="F6304" s="3" t="inlineStr">
        <is>
          <t>이씨에스</t>
        </is>
      </c>
      <c r="G6304" s="2" t="inlineStr">
        <is>
          <t>20260521900164</t>
        </is>
      </c>
      <c r="H6304" s="8">
        <f>HYPERLINK("https://dart.fss.or.kr/dsaf001/main.do?rcpNo=20260521900164", "공시열람")</f>
        <v/>
      </c>
    </row>
    <row r="6305">
      <c r="A6305" s="2" t="inlineStr">
        <is>
          <t>2026-05-21</t>
        </is>
      </c>
      <c r="B6305" s="3" t="inlineStr">
        <is>
          <t>테크윙</t>
        </is>
      </c>
      <c r="C6305" s="2" t="inlineStr">
        <is>
          <t>코스닥</t>
        </is>
      </c>
      <c r="D6305" s="2" t="inlineStr">
        <is>
          <t>089030</t>
        </is>
      </c>
      <c r="E6305" s="3" t="inlineStr">
        <is>
          <t xml:space="preserve">기업설명회(IR)개최              </t>
        </is>
      </c>
      <c r="F6305" s="3" t="inlineStr">
        <is>
          <t>테크윙</t>
        </is>
      </c>
      <c r="G6305" s="2" t="inlineStr">
        <is>
          <t>20260521900196</t>
        </is>
      </c>
      <c r="H6305" s="8">
        <f>HYPERLINK("https://dart.fss.or.kr/dsaf001/main.do?rcpNo=20260521900196", "공시열람")</f>
        <v/>
      </c>
    </row>
    <row r="6306">
      <c r="A6306" s="2" t="inlineStr">
        <is>
          <t>2026-05-21</t>
        </is>
      </c>
      <c r="B6306" s="3" t="inlineStr">
        <is>
          <t>미래에셋증권</t>
        </is>
      </c>
      <c r="C6306" s="2" t="inlineStr">
        <is>
          <t>코스피</t>
        </is>
      </c>
      <c r="D6306" s="2" t="inlineStr">
        <is>
          <t>006800</t>
        </is>
      </c>
      <c r="E6306" s="3" t="inlineStr">
        <is>
          <t>일괄신고추가서류(파생결합증권-주가연계증권)</t>
        </is>
      </c>
      <c r="F6306" s="3" t="inlineStr">
        <is>
          <t>미래에셋증권</t>
        </is>
      </c>
      <c r="G6306" s="2" t="inlineStr">
        <is>
          <t>20260521000084</t>
        </is>
      </c>
      <c r="H6306" s="8">
        <f>HYPERLINK("https://dart.fss.or.kr/dsaf001/main.do?rcpNo=20260521000084", "공시열람")</f>
        <v/>
      </c>
    </row>
    <row r="6307">
      <c r="A6307" s="2" t="inlineStr">
        <is>
          <t>2026-05-21</t>
        </is>
      </c>
      <c r="B6307" s="3" t="inlineStr">
        <is>
          <t>샘씨엔에스</t>
        </is>
      </c>
      <c r="C6307" s="2" t="inlineStr">
        <is>
          <t>코스닥</t>
        </is>
      </c>
      <c r="D6307" s="2" t="inlineStr">
        <is>
          <t>252990</t>
        </is>
      </c>
      <c r="E6307" s="3" t="inlineStr">
        <is>
          <t xml:space="preserve">기업설명회(IR)개최              </t>
        </is>
      </c>
      <c r="F6307" s="3" t="inlineStr">
        <is>
          <t>샘씨엔에스</t>
        </is>
      </c>
      <c r="G6307" s="2" t="inlineStr">
        <is>
          <t>20260521900186</t>
        </is>
      </c>
      <c r="H6307" s="8">
        <f>HYPERLINK("https://dart.fss.or.kr/dsaf001/main.do?rcpNo=20260521900186", "공시열람")</f>
        <v/>
      </c>
    </row>
    <row r="6308">
      <c r="A6308" s="2" t="inlineStr">
        <is>
          <t>2026-05-21</t>
        </is>
      </c>
      <c r="B6308" s="3" t="inlineStr">
        <is>
          <t>대성미생물</t>
        </is>
      </c>
      <c r="C6308" s="2" t="inlineStr">
        <is>
          <t>코스닥</t>
        </is>
      </c>
      <c r="D6308" s="2" t="inlineStr">
        <is>
          <t>036480</t>
        </is>
      </c>
      <c r="E6308" s="3" t="inlineStr">
        <is>
          <t>임원ㆍ주요주주특정증권등소유상황보고서</t>
        </is>
      </c>
      <c r="F6308" s="3" t="inlineStr">
        <is>
          <t>최승훈</t>
        </is>
      </c>
      <c r="G6308" s="2" t="inlineStr">
        <is>
          <t>20260521000081</t>
        </is>
      </c>
      <c r="H6308" s="8">
        <f>HYPERLINK("https://dart.fss.or.kr/dsaf001/main.do?rcpNo=20260521000081", "공시열람")</f>
        <v/>
      </c>
    </row>
    <row r="6309">
      <c r="A6309" s="2" t="inlineStr">
        <is>
          <t>2026-05-21</t>
        </is>
      </c>
      <c r="B6309" s="3" t="inlineStr">
        <is>
          <t>미래에셋증권</t>
        </is>
      </c>
      <c r="C6309" s="2" t="inlineStr">
        <is>
          <t>코스피</t>
        </is>
      </c>
      <c r="D6309" s="2" t="inlineStr">
        <is>
          <t>006800</t>
        </is>
      </c>
      <c r="E6309" s="3" t="inlineStr">
        <is>
          <t>투자설명서(일괄신고)</t>
        </is>
      </c>
      <c r="F6309" s="3" t="inlineStr">
        <is>
          <t>미래에셋증권</t>
        </is>
      </c>
      <c r="G6309" s="2" t="inlineStr">
        <is>
          <t>20260521000079</t>
        </is>
      </c>
      <c r="H6309" s="8">
        <f>HYPERLINK("https://dart.fss.or.kr/dsaf001/main.do?rcpNo=20260521000079", "공시열람")</f>
        <v/>
      </c>
    </row>
    <row r="6310">
      <c r="A6310" s="2" t="inlineStr">
        <is>
          <t>2026-05-21</t>
        </is>
      </c>
      <c r="B6310" s="3" t="inlineStr">
        <is>
          <t>네오티스</t>
        </is>
      </c>
      <c r="C6310" s="2" t="inlineStr">
        <is>
          <t>코스닥</t>
        </is>
      </c>
      <c r="D6310" s="2" t="inlineStr">
        <is>
          <t>085910</t>
        </is>
      </c>
      <c r="E6310" s="3" t="inlineStr">
        <is>
          <t>임원ㆍ주요주주특정증권등소유상황보고서</t>
        </is>
      </c>
      <c r="F6310" s="3" t="inlineStr">
        <is>
          <t>KWON SANG HOON</t>
        </is>
      </c>
      <c r="G6310" s="2" t="inlineStr">
        <is>
          <t>20260521000078</t>
        </is>
      </c>
      <c r="H6310" s="8">
        <f>HYPERLINK("https://dart.fss.or.kr/dsaf001/main.do?rcpNo=20260521000078", "공시열람")</f>
        <v/>
      </c>
    </row>
    <row r="6311">
      <c r="A6311" s="2" t="inlineStr">
        <is>
          <t>2026-05-21</t>
        </is>
      </c>
      <c r="B6311" s="3" t="inlineStr">
        <is>
          <t>미래에셋증권</t>
        </is>
      </c>
      <c r="C6311" s="2" t="inlineStr">
        <is>
          <t>코스피</t>
        </is>
      </c>
      <c r="D6311" s="2" t="inlineStr">
        <is>
          <t>006800</t>
        </is>
      </c>
      <c r="E6311" s="3" t="inlineStr">
        <is>
          <t>일괄신고추가서류(파생결합사채-주가연계파생결합사채)</t>
        </is>
      </c>
      <c r="F6311" s="3" t="inlineStr">
        <is>
          <t>미래에셋증권</t>
        </is>
      </c>
      <c r="G6311" s="2" t="inlineStr">
        <is>
          <t>20260521000071</t>
        </is>
      </c>
      <c r="H6311" s="8">
        <f>HYPERLINK("https://dart.fss.or.kr/dsaf001/main.do?rcpNo=20260521000071", "공시열람")</f>
        <v/>
      </c>
    </row>
    <row r="6312">
      <c r="A6312" s="2" t="inlineStr">
        <is>
          <t>2026-05-21</t>
        </is>
      </c>
      <c r="B6312" s="3" t="inlineStr">
        <is>
          <t>셀트리온</t>
        </is>
      </c>
      <c r="C6312" s="2" t="inlineStr">
        <is>
          <t>코스피</t>
        </is>
      </c>
      <c r="D6312" s="2" t="inlineStr">
        <is>
          <t>068270</t>
        </is>
      </c>
      <c r="E6312" s="3" t="inlineStr">
        <is>
          <t>임원ㆍ주요주주특정증권등거래계획보고서</t>
        </is>
      </c>
      <c r="F6312" s="3" t="inlineStr">
        <is>
          <t>셀트리온홀딩스</t>
        </is>
      </c>
      <c r="G6312" s="2" t="inlineStr">
        <is>
          <t>20260521000070</t>
        </is>
      </c>
      <c r="H6312" s="8">
        <f>HYPERLINK("https://dart.fss.or.kr/dsaf001/main.do?rcpNo=20260521000070", "공시열람")</f>
        <v/>
      </c>
    </row>
    <row r="6313">
      <c r="A6313" s="2" t="inlineStr">
        <is>
          <t>2026-05-21</t>
        </is>
      </c>
      <c r="B6313" s="3" t="inlineStr">
        <is>
          <t>HLB이노베이션</t>
        </is>
      </c>
      <c r="C6313" s="2" t="inlineStr">
        <is>
          <t>코스닥</t>
        </is>
      </c>
      <c r="D6313" s="2" t="inlineStr">
        <is>
          <t>024850</t>
        </is>
      </c>
      <c r="E6313" s="3" t="inlineStr">
        <is>
          <t xml:space="preserve">기업설명회(IR)개최              </t>
        </is>
      </c>
      <c r="F6313" s="3" t="inlineStr">
        <is>
          <t>HLB이노베이션</t>
        </is>
      </c>
      <c r="G6313" s="2" t="inlineStr">
        <is>
          <t>20260521900175</t>
        </is>
      </c>
      <c r="H6313" s="8">
        <f>HYPERLINK("https://dart.fss.or.kr/dsaf001/main.do?rcpNo=20260521900175", "공시열람")</f>
        <v/>
      </c>
    </row>
    <row r="6314">
      <c r="A6314" s="2" t="inlineStr">
        <is>
          <t>2026-05-21</t>
        </is>
      </c>
      <c r="B6314" s="3" t="inlineStr">
        <is>
          <t>이수화학</t>
        </is>
      </c>
      <c r="C6314" s="2" t="inlineStr">
        <is>
          <t>코스피</t>
        </is>
      </c>
      <c r="D6314" s="2" t="inlineStr">
        <is>
          <t>005950</t>
        </is>
      </c>
      <c r="E6314" s="3" t="inlineStr">
        <is>
          <t>임원ㆍ주요주주특정증권등소유상황보고서</t>
        </is>
      </c>
      <c r="F6314" s="3" t="inlineStr">
        <is>
          <t>김동민</t>
        </is>
      </c>
      <c r="G6314" s="2" t="inlineStr">
        <is>
          <t>20260521000043</t>
        </is>
      </c>
      <c r="H6314" s="8">
        <f>HYPERLINK("https://dart.fss.or.kr/dsaf001/main.do?rcpNo=20260521000043", "공시열람")</f>
        <v/>
      </c>
    </row>
    <row r="6315">
      <c r="A6315" s="2" t="inlineStr">
        <is>
          <t>2026-05-21</t>
        </is>
      </c>
      <c r="B6315" s="3" t="inlineStr">
        <is>
          <t>DB증권</t>
        </is>
      </c>
      <c r="C6315" s="2" t="inlineStr">
        <is>
          <t>코스피</t>
        </is>
      </c>
      <c r="D6315" s="2" t="inlineStr">
        <is>
          <t>016610</t>
        </is>
      </c>
      <c r="E6315" s="3" t="inlineStr">
        <is>
          <t xml:space="preserve">기업설명회(IR)개최(안내공시)              </t>
        </is>
      </c>
      <c r="F6315" s="3" t="inlineStr">
        <is>
          <t>DB증권</t>
        </is>
      </c>
      <c r="G6315" s="2" t="inlineStr">
        <is>
          <t>20260521800131</t>
        </is>
      </c>
      <c r="H6315" s="8">
        <f>HYPERLINK("https://dart.fss.or.kr/dsaf001/main.do?rcpNo=20260521800131", "공시열람")</f>
        <v/>
      </c>
    </row>
    <row r="6316">
      <c r="A6316" s="2" t="inlineStr">
        <is>
          <t>2026-05-21</t>
        </is>
      </c>
      <c r="B6316" s="3" t="inlineStr">
        <is>
          <t>동진쎄미켐</t>
        </is>
      </c>
      <c r="C6316" s="2" t="inlineStr">
        <is>
          <t>코스닥</t>
        </is>
      </c>
      <c r="D6316" s="2" t="inlineStr">
        <is>
          <t>005290</t>
        </is>
      </c>
      <c r="E6316" s="3" t="inlineStr">
        <is>
          <t xml:space="preserve">기업설명회(IR)개최              </t>
        </is>
      </c>
      <c r="F6316" s="3" t="inlineStr">
        <is>
          <t>동진쎄미켐</t>
        </is>
      </c>
      <c r="G6316" s="2" t="inlineStr">
        <is>
          <t>20260521900119</t>
        </is>
      </c>
      <c r="H6316" s="8">
        <f>HYPERLINK("https://dart.fss.or.kr/dsaf001/main.do?rcpNo=20260521900119", "공시열람")</f>
        <v/>
      </c>
    </row>
    <row r="6317">
      <c r="A6317" s="2" t="inlineStr">
        <is>
          <t>2026-05-21</t>
        </is>
      </c>
      <c r="B6317" s="3" t="inlineStr">
        <is>
          <t>씨티케이</t>
        </is>
      </c>
      <c r="C6317" s="2" t="inlineStr">
        <is>
          <t>코스닥</t>
        </is>
      </c>
      <c r="D6317" s="2" t="inlineStr">
        <is>
          <t>260930</t>
        </is>
      </c>
      <c r="E6317" s="3" t="inlineStr">
        <is>
          <t xml:space="preserve">기업설명회(IR)개최              </t>
        </is>
      </c>
      <c r="F6317" s="3" t="inlineStr">
        <is>
          <t>씨티케이</t>
        </is>
      </c>
      <c r="G6317" s="2" t="inlineStr">
        <is>
          <t>20260521900116</t>
        </is>
      </c>
      <c r="H6317" s="8">
        <f>HYPERLINK("https://dart.fss.or.kr/dsaf001/main.do?rcpNo=20260521900116", "공시열람")</f>
        <v/>
      </c>
    </row>
    <row r="6318">
      <c r="A6318" s="2" t="inlineStr">
        <is>
          <t>2026-05-21</t>
        </is>
      </c>
      <c r="B6318" s="3" t="inlineStr">
        <is>
          <t>대신증권</t>
        </is>
      </c>
      <c r="C6318" s="2" t="inlineStr">
        <is>
          <t>코스피</t>
        </is>
      </c>
      <c r="D6318" s="2" t="inlineStr">
        <is>
          <t>003540</t>
        </is>
      </c>
      <c r="E6318" s="3" t="inlineStr">
        <is>
          <t>일괄신고추가서류(기타파생결합사채)</t>
        </is>
      </c>
      <c r="F6318" s="3" t="inlineStr">
        <is>
          <t>대신증권</t>
        </is>
      </c>
      <c r="G6318" s="2" t="inlineStr">
        <is>
          <t>20260521000028</t>
        </is>
      </c>
      <c r="H6318" s="8">
        <f>HYPERLINK("https://dart.fss.or.kr/dsaf001/main.do?rcpNo=20260521000028", "공시열람")</f>
        <v/>
      </c>
    </row>
    <row r="6319">
      <c r="A6319" s="2" t="inlineStr">
        <is>
          <t>2026-05-21</t>
        </is>
      </c>
      <c r="B6319" s="3" t="inlineStr">
        <is>
          <t>대신증권</t>
        </is>
      </c>
      <c r="C6319" s="2" t="inlineStr">
        <is>
          <t>코스피</t>
        </is>
      </c>
      <c r="D6319" s="2" t="inlineStr">
        <is>
          <t>003540</t>
        </is>
      </c>
      <c r="E6319" s="3" t="inlineStr">
        <is>
          <t>일괄신고추가서류(파생결합사채-주가연계파생결합사채)</t>
        </is>
      </c>
      <c r="F6319" s="3" t="inlineStr">
        <is>
          <t>대신증권</t>
        </is>
      </c>
      <c r="G6319" s="2" t="inlineStr">
        <is>
          <t>20260521000026</t>
        </is>
      </c>
      <c r="H6319" s="8">
        <f>HYPERLINK("https://dart.fss.or.kr/dsaf001/main.do?rcpNo=20260521000026", "공시열람")</f>
        <v/>
      </c>
    </row>
    <row r="6320">
      <c r="A6320" s="2" t="inlineStr">
        <is>
          <t>2026-05-21</t>
        </is>
      </c>
      <c r="B6320" s="3" t="inlineStr">
        <is>
          <t>큐렉소</t>
        </is>
      </c>
      <c r="C6320" s="2" t="inlineStr">
        <is>
          <t>코스닥</t>
        </is>
      </c>
      <c r="D6320" s="2" t="inlineStr">
        <is>
          <t>060280</t>
        </is>
      </c>
      <c r="E6320" s="3" t="inlineStr">
        <is>
          <t xml:space="preserve">기업설명회(IR)개최              </t>
        </is>
      </c>
      <c r="F6320" s="3" t="inlineStr">
        <is>
          <t>큐렉소</t>
        </is>
      </c>
      <c r="G6320" s="2" t="inlineStr">
        <is>
          <t>20260521900099</t>
        </is>
      </c>
      <c r="H6320" s="8">
        <f>HYPERLINK("https://dart.fss.or.kr/dsaf001/main.do?rcpNo=20260521900099", "공시열람")</f>
        <v/>
      </c>
    </row>
    <row r="6321">
      <c r="A6321" s="2" t="inlineStr">
        <is>
          <t>2026-05-21</t>
        </is>
      </c>
      <c r="B6321" s="3" t="inlineStr">
        <is>
          <t>에스오에스랩</t>
        </is>
      </c>
      <c r="C6321" s="2" t="inlineStr">
        <is>
          <t>코스닥</t>
        </is>
      </c>
      <c r="D6321" s="2" t="inlineStr">
        <is>
          <t>464080</t>
        </is>
      </c>
      <c r="E6321" s="3" t="inlineStr">
        <is>
          <t>임원ㆍ주요주주특정증권등소유상황보고서</t>
        </is>
      </c>
      <c r="F6321" s="3" t="inlineStr">
        <is>
          <t>장준환</t>
        </is>
      </c>
      <c r="G6321" s="2" t="inlineStr">
        <is>
          <t>20260521000020</t>
        </is>
      </c>
      <c r="H6321" s="8">
        <f>HYPERLINK("https://dart.fss.or.kr/dsaf001/main.do?rcpNo=20260521000020", "공시열람")</f>
        <v/>
      </c>
    </row>
    <row r="6322">
      <c r="A6322" s="2" t="inlineStr">
        <is>
          <t>2026-05-21</t>
        </is>
      </c>
      <c r="B6322" s="3" t="inlineStr">
        <is>
          <t>교보증권</t>
        </is>
      </c>
      <c r="C6322" s="2" t="inlineStr">
        <is>
          <t>코스피</t>
        </is>
      </c>
      <c r="D6322" s="2" t="inlineStr">
        <is>
          <t>030610</t>
        </is>
      </c>
      <c r="E6322" s="3" t="inlineStr">
        <is>
          <t>투자설명서(일괄신고)</t>
        </is>
      </c>
      <c r="F6322" s="3" t="inlineStr">
        <is>
          <t>교보증권</t>
        </is>
      </c>
      <c r="G6322" s="2" t="inlineStr">
        <is>
          <t>20260521000019</t>
        </is>
      </c>
      <c r="H6322" s="8">
        <f>HYPERLINK("https://dart.fss.or.kr/dsaf001/main.do?rcpNo=20260521000019", "공시열람")</f>
        <v/>
      </c>
    </row>
    <row r="6323">
      <c r="A6323" s="2" t="inlineStr">
        <is>
          <t>2026-05-21</t>
        </is>
      </c>
      <c r="B6323" s="3" t="inlineStr">
        <is>
          <t>교보증권</t>
        </is>
      </c>
      <c r="C6323" s="2" t="inlineStr">
        <is>
          <t>코스피</t>
        </is>
      </c>
      <c r="D6323" s="2" t="inlineStr">
        <is>
          <t>030610</t>
        </is>
      </c>
      <c r="E6323" s="3" t="inlineStr">
        <is>
          <t>투자설명서(일괄신고)</t>
        </is>
      </c>
      <c r="F6323" s="3" t="inlineStr">
        <is>
          <t>교보증권</t>
        </is>
      </c>
      <c r="G6323" s="2" t="inlineStr">
        <is>
          <t>20260521000018</t>
        </is>
      </c>
      <c r="H6323" s="8">
        <f>HYPERLINK("https://dart.fss.or.kr/dsaf001/main.do?rcpNo=20260521000018", "공시열람")</f>
        <v/>
      </c>
    </row>
    <row r="6324">
      <c r="A6324" s="2" t="inlineStr">
        <is>
          <t>2026-05-21</t>
        </is>
      </c>
      <c r="B6324" s="3" t="inlineStr">
        <is>
          <t>교보증권</t>
        </is>
      </c>
      <c r="C6324" s="2" t="inlineStr">
        <is>
          <t>코스피</t>
        </is>
      </c>
      <c r="D6324" s="2" t="inlineStr">
        <is>
          <t>030610</t>
        </is>
      </c>
      <c r="E6324" s="3" t="inlineStr">
        <is>
          <t>일괄신고추가서류(파생결합증권-주가연계증권)</t>
        </is>
      </c>
      <c r="F6324" s="3" t="inlineStr">
        <is>
          <t>교보증권</t>
        </is>
      </c>
      <c r="G6324" s="2" t="inlineStr">
        <is>
          <t>20260521000013</t>
        </is>
      </c>
      <c r="H6324" s="8">
        <f>HYPERLINK("https://dart.fss.or.kr/dsaf001/main.do?rcpNo=20260521000013", "공시열람")</f>
        <v/>
      </c>
    </row>
    <row r="6325">
      <c r="A6325" s="2" t="inlineStr">
        <is>
          <t>2026-05-21</t>
        </is>
      </c>
      <c r="B6325" s="3" t="inlineStr">
        <is>
          <t>교보증권</t>
        </is>
      </c>
      <c r="C6325" s="2" t="inlineStr">
        <is>
          <t>코스피</t>
        </is>
      </c>
      <c r="D6325" s="2" t="inlineStr">
        <is>
          <t>030610</t>
        </is>
      </c>
      <c r="E6325" s="3" t="inlineStr">
        <is>
          <t>일괄신고추가서류(파생결합사채-주가연계파생결합사채)</t>
        </is>
      </c>
      <c r="F6325" s="3" t="inlineStr">
        <is>
          <t>교보증권</t>
        </is>
      </c>
      <c r="G6325" s="2" t="inlineStr">
        <is>
          <t>20260521000012</t>
        </is>
      </c>
      <c r="H6325" s="8">
        <f>HYPERLINK("https://dart.fss.or.kr/dsaf001/main.do?rcpNo=20260521000012", "공시열람")</f>
        <v/>
      </c>
    </row>
    <row r="6326">
      <c r="A6326" s="2" t="inlineStr">
        <is>
          <t>2026-05-21</t>
        </is>
      </c>
      <c r="B6326" s="3" t="inlineStr">
        <is>
          <t>평화산업</t>
        </is>
      </c>
      <c r="C6326" s="2" t="inlineStr">
        <is>
          <t>코스피</t>
        </is>
      </c>
      <c r="D6326" s="2" t="inlineStr">
        <is>
          <t>090080</t>
        </is>
      </c>
      <c r="E6326" s="3" t="inlineStr">
        <is>
          <t>임원ㆍ주요주주특정증권등소유상황보고서</t>
        </is>
      </c>
      <c r="F6326" s="3" t="inlineStr">
        <is>
          <t>김효재</t>
        </is>
      </c>
      <c r="G6326" s="2" t="inlineStr">
        <is>
          <t>20260521000006</t>
        </is>
      </c>
      <c r="H6326" s="8">
        <f>HYPERLINK("https://dart.fss.or.kr/dsaf001/main.do?rcpNo=20260521000006", "공시열람")</f>
        <v/>
      </c>
    </row>
    <row r="6327">
      <c r="A6327" s="2" t="inlineStr">
        <is>
          <t>2026-05-21</t>
        </is>
      </c>
      <c r="B6327" s="3" t="inlineStr">
        <is>
          <t>코이즈</t>
        </is>
      </c>
      <c r="C6327" s="2" t="inlineStr">
        <is>
          <t>코스닥</t>
        </is>
      </c>
      <c r="D6327" s="2" t="inlineStr">
        <is>
          <t>121850</t>
        </is>
      </c>
      <c r="E6327" s="3" t="inlineStr">
        <is>
          <t>주요사항보고서(타법인주식및출자증권양수결정)</t>
        </is>
      </c>
      <c r="F6327" s="3" t="inlineStr">
        <is>
          <t>코이즈</t>
        </is>
      </c>
      <c r="G6327" s="2" t="inlineStr">
        <is>
          <t>20260521000001</t>
        </is>
      </c>
      <c r="H6327" s="8">
        <f>HYPERLINK("https://dart.fss.or.kr/dsaf001/main.do?rcpNo=20260521000001", "공시열람")</f>
        <v/>
      </c>
    </row>
    <row r="6328">
      <c r="A6328" s="2" t="inlineStr">
        <is>
          <t>2026-05-22 (정정: 2026-06-10)</t>
        </is>
      </c>
      <c r="B6328" s="3" t="inlineStr">
        <is>
          <t>아이톡시</t>
        </is>
      </c>
      <c r="C6328" s="2" t="inlineStr">
        <is>
          <t>코스닥</t>
        </is>
      </c>
      <c r="D6328" s="2" t="inlineStr">
        <is>
          <t>052770</t>
        </is>
      </c>
      <c r="E6328" s="3" t="inlineStr">
        <is>
          <t>소송등의제기ㆍ신청(일정금액이상의청구)               (정정: 20260526) (정정: 20260610)</t>
        </is>
      </c>
      <c r="F6328" s="3" t="inlineStr">
        <is>
          <t>아이톡시</t>
        </is>
      </c>
      <c r="G6328" s="2" t="inlineStr">
        <is>
          <t>20260610900518</t>
        </is>
      </c>
      <c r="H6328" s="8">
        <f>HYPERLINK("https://dart.fss.or.kr/dsaf001/main.do?rcpNo=20260610900518", "공시열람")</f>
        <v/>
      </c>
    </row>
    <row r="6329">
      <c r="A6329" s="2" t="inlineStr">
        <is>
          <t>2026-05-22 (정정: 2026-06-09)</t>
        </is>
      </c>
      <c r="B6329" s="3" t="inlineStr">
        <is>
          <t>아모텍</t>
        </is>
      </c>
      <c r="C6329" s="2" t="inlineStr">
        <is>
          <t>코스닥</t>
        </is>
      </c>
      <c r="D6329" s="2" t="inlineStr">
        <is>
          <t>052710</t>
        </is>
      </c>
      <c r="E6329" s="3" t="inlineStr">
        <is>
          <t>증권신고서(지분증권) (정정: 20260609)</t>
        </is>
      </c>
      <c r="F6329" s="3" t="inlineStr">
        <is>
          <t>아모텍</t>
        </is>
      </c>
      <c r="G6329" s="2" t="inlineStr">
        <is>
          <t>20260609000522</t>
        </is>
      </c>
      <c r="H6329" s="8">
        <f>HYPERLINK("https://dart.fss.or.kr/dsaf001/main.do?rcpNo=20260609000522", "공시열람")</f>
        <v/>
      </c>
    </row>
    <row r="6330">
      <c r="A6330" s="2" t="inlineStr">
        <is>
          <t>2026-05-22</t>
        </is>
      </c>
      <c r="B6330" s="3" t="inlineStr">
        <is>
          <t>콜마홀딩스</t>
        </is>
      </c>
      <c r="C6330" s="2" t="inlineStr">
        <is>
          <t>코스피</t>
        </is>
      </c>
      <c r="D6330" s="2" t="inlineStr">
        <is>
          <t>024720</t>
        </is>
      </c>
      <c r="E6330" s="3" t="inlineStr">
        <is>
          <t xml:space="preserve">투자판단관련주요경영사항(자회사의 주요경영사항)              </t>
        </is>
      </c>
      <c r="F6330" s="3" t="inlineStr">
        <is>
          <t>콜마홀딩스</t>
        </is>
      </c>
      <c r="G6330" s="2" t="inlineStr">
        <is>
          <t>20260522800995</t>
        </is>
      </c>
      <c r="H6330" s="8">
        <f>HYPERLINK("https://dart.fss.or.kr/dsaf001/main.do?rcpNo=20260522800995", "공시열람")</f>
        <v/>
      </c>
    </row>
    <row r="6331">
      <c r="A6331" s="2" t="inlineStr">
        <is>
          <t>2026-05-22</t>
        </is>
      </c>
      <c r="B6331" s="3" t="inlineStr">
        <is>
          <t>한국콜마</t>
        </is>
      </c>
      <c r="C6331" s="2" t="inlineStr">
        <is>
          <t>코스피</t>
        </is>
      </c>
      <c r="D6331" s="2" t="inlineStr">
        <is>
          <t>161890</t>
        </is>
      </c>
      <c r="E6331" s="3" t="inlineStr">
        <is>
          <t xml:space="preserve">투자판단관련주요경영사항              </t>
        </is>
      </c>
      <c r="F6331" s="3" t="inlineStr">
        <is>
          <t>한국콜마</t>
        </is>
      </c>
      <c r="G6331" s="2" t="inlineStr">
        <is>
          <t>20260522800985</t>
        </is>
      </c>
      <c r="H6331" s="8">
        <f>HYPERLINK("https://dart.fss.or.kr/dsaf001/main.do?rcpNo=20260522800985", "공시열람")</f>
        <v/>
      </c>
    </row>
    <row r="6332">
      <c r="A6332" s="2" t="inlineStr">
        <is>
          <t>2026-05-22</t>
        </is>
      </c>
      <c r="B6332" s="3" t="inlineStr">
        <is>
          <t>핑거</t>
        </is>
      </c>
      <c r="C6332" s="2" t="inlineStr">
        <is>
          <t>코스닥</t>
        </is>
      </c>
      <c r="D6332" s="2" t="inlineStr">
        <is>
          <t>163730</t>
        </is>
      </c>
      <c r="E6332" s="3" t="inlineStr">
        <is>
          <t>불성실공시법인지정예고              (공시불이행 2건)</t>
        </is>
      </c>
      <c r="F6332" s="3" t="inlineStr">
        <is>
          <t>코스닥시장본부</t>
        </is>
      </c>
      <c r="G6332" s="2" t="inlineStr">
        <is>
          <t>20260522900986</t>
        </is>
      </c>
      <c r="H6332" s="8">
        <f>HYPERLINK("https://dart.fss.or.kr/dsaf001/main.do?rcpNo=20260522900986", "공시열람")</f>
        <v/>
      </c>
    </row>
    <row r="6333">
      <c r="A6333" s="2" t="inlineStr">
        <is>
          <t>2026-05-22 (정정: 2026-06-11)</t>
        </is>
      </c>
      <c r="B6333" s="3" t="inlineStr">
        <is>
          <t>EDGC</t>
        </is>
      </c>
      <c r="C6333" s="2" t="inlineStr">
        <is>
          <t>코스닥</t>
        </is>
      </c>
      <c r="D6333" s="2" t="inlineStr">
        <is>
          <t>245620</t>
        </is>
      </c>
      <c r="E6333" s="3" t="inlineStr">
        <is>
          <t>[기재정정]주요사항보고서(감자결정) (정정: 20260526) (정정: 20260611)</t>
        </is>
      </c>
      <c r="F6333" s="3" t="inlineStr">
        <is>
          <t>EDGC</t>
        </is>
      </c>
      <c r="G6333" s="2" t="inlineStr">
        <is>
          <t>20260611900787</t>
        </is>
      </c>
      <c r="H6333" s="8">
        <f>HYPERLINK("https://dart.fss.or.kr/dsaf001/main.do?rcpNo=20260611900787", "공시열람")</f>
        <v/>
      </c>
    </row>
    <row r="6334">
      <c r="A6334" s="2" t="inlineStr">
        <is>
          <t>2026-05-22</t>
        </is>
      </c>
      <c r="B6334" s="3" t="inlineStr">
        <is>
          <t>SKC</t>
        </is>
      </c>
      <c r="C6334" s="2" t="inlineStr">
        <is>
          <t>코스피</t>
        </is>
      </c>
      <c r="D6334" s="2" t="inlineStr">
        <is>
          <t>011790</t>
        </is>
      </c>
      <c r="E6334" s="3" t="inlineStr">
        <is>
          <t>임원ㆍ주요주주특정증권등소유상황보고서</t>
        </is>
      </c>
      <c r="F6334" s="3" t="inlineStr">
        <is>
          <t>박종만</t>
        </is>
      </c>
      <c r="G6334" s="2" t="inlineStr">
        <is>
          <t>20260522000659</t>
        </is>
      </c>
      <c r="H6334" s="8">
        <f>HYPERLINK("https://dart.fss.or.kr/dsaf001/main.do?rcpNo=20260522000659", "공시열람")</f>
        <v/>
      </c>
    </row>
    <row r="6335">
      <c r="A6335" s="2" t="inlineStr">
        <is>
          <t>2026-05-22</t>
        </is>
      </c>
      <c r="B6335" s="3" t="inlineStr">
        <is>
          <t>바이넥스</t>
        </is>
      </c>
      <c r="C6335" s="2" t="inlineStr">
        <is>
          <t>코스닥</t>
        </is>
      </c>
      <c r="D6335" s="2" t="inlineStr">
        <is>
          <t>053030</t>
        </is>
      </c>
      <c r="E6335" s="3" t="inlineStr">
        <is>
          <t>임원ㆍ주요주주특정증권등소유상황보고서</t>
        </is>
      </c>
      <c r="F6335" s="3" t="inlineStr">
        <is>
          <t>서봉수</t>
        </is>
      </c>
      <c r="G6335" s="2" t="inlineStr">
        <is>
          <t>20260522000648</t>
        </is>
      </c>
      <c r="H6335" s="8">
        <f>HYPERLINK("https://dart.fss.or.kr/dsaf001/main.do?rcpNo=20260522000648", "공시열람")</f>
        <v/>
      </c>
    </row>
    <row r="6336">
      <c r="A6336" s="2" t="inlineStr">
        <is>
          <t>2026-05-22 (정정: 2026-05-28)</t>
        </is>
      </c>
      <c r="B6336" s="3" t="inlineStr">
        <is>
          <t>유티아이</t>
        </is>
      </c>
      <c r="C6336" s="2" t="inlineStr">
        <is>
          <t>코스닥</t>
        </is>
      </c>
      <c r="D6336" s="2" t="inlineStr">
        <is>
          <t>179900</t>
        </is>
      </c>
      <c r="E6336" s="3" t="inlineStr">
        <is>
          <t>전환사채(해외전환사채포함)발행후만기전사채취득              (제1회차) (정정: 20260528)</t>
        </is>
      </c>
      <c r="F6336" s="3" t="inlineStr">
        <is>
          <t>유티아이</t>
        </is>
      </c>
      <c r="G6336" s="2" t="inlineStr">
        <is>
          <t>20260528000747</t>
        </is>
      </c>
      <c r="H6336" s="8">
        <f>HYPERLINK("https://dart.fss.or.kr/dsaf001/main.do?rcpNo=20260528000747", "공시열람")</f>
        <v/>
      </c>
    </row>
    <row r="6337">
      <c r="A6337" s="2" t="inlineStr">
        <is>
          <t>2026-05-22</t>
        </is>
      </c>
      <c r="B6337" s="3" t="inlineStr">
        <is>
          <t>티이엠씨</t>
        </is>
      </c>
      <c r="C6337" s="2" t="inlineStr">
        <is>
          <t>코스닥</t>
        </is>
      </c>
      <c r="D6337" s="2" t="inlineStr">
        <is>
          <t>425040</t>
        </is>
      </c>
      <c r="E6337" s="3" t="inlineStr">
        <is>
          <t xml:space="preserve">타법인주식및출자증권취득결정              </t>
        </is>
      </c>
      <c r="F6337" s="3" t="inlineStr">
        <is>
          <t>티이엠씨</t>
        </is>
      </c>
      <c r="G6337" s="2" t="inlineStr">
        <is>
          <t>20260522900836</t>
        </is>
      </c>
      <c r="H6337" s="8">
        <f>HYPERLINK("https://dart.fss.or.kr/dsaf001/main.do?rcpNo=20260522900836", "공시열람")</f>
        <v/>
      </c>
    </row>
    <row r="6338">
      <c r="A6338" s="2" t="inlineStr">
        <is>
          <t>2026-05-22</t>
        </is>
      </c>
      <c r="B6338" s="3" t="inlineStr">
        <is>
          <t>코미코</t>
        </is>
      </c>
      <c r="C6338" s="2" t="inlineStr">
        <is>
          <t>코스닥</t>
        </is>
      </c>
      <c r="D6338" s="2" t="inlineStr">
        <is>
          <t>183300</t>
        </is>
      </c>
      <c r="E6338" s="3" t="inlineStr">
        <is>
          <t>권리락              (무상증자)</t>
        </is>
      </c>
      <c r="F6338" s="3" t="inlineStr">
        <is>
          <t>코스닥시장본부</t>
        </is>
      </c>
      <c r="G6338" s="2" t="inlineStr">
        <is>
          <t>20260522900968</t>
        </is>
      </c>
      <c r="H6338" s="8">
        <f>HYPERLINK("https://dart.fss.or.kr/dsaf001/main.do?rcpNo=20260522900968", "공시열람")</f>
        <v/>
      </c>
    </row>
    <row r="6339">
      <c r="A6339" s="2" t="inlineStr">
        <is>
          <t>2026-05-22 (정정: 2026-06-02)</t>
        </is>
      </c>
      <c r="B6339" s="3" t="inlineStr">
        <is>
          <t>빛과전자</t>
        </is>
      </c>
      <c r="C6339" s="2" t="inlineStr">
        <is>
          <t>코스닥</t>
        </is>
      </c>
      <c r="D6339" s="2" t="inlineStr">
        <is>
          <t>069540</t>
        </is>
      </c>
      <c r="E6339" s="3" t="inlineStr">
        <is>
          <t>전환청구권행사              (제13회차) (정정: 20260602)</t>
        </is>
      </c>
      <c r="F6339" s="3" t="inlineStr">
        <is>
          <t>빛과전자</t>
        </is>
      </c>
      <c r="G6339" s="2" t="inlineStr">
        <is>
          <t>20260602900804</t>
        </is>
      </c>
      <c r="H6339" s="8">
        <f>HYPERLINK("https://dart.fss.or.kr/dsaf001/main.do?rcpNo=20260602900804", "공시열람")</f>
        <v/>
      </c>
    </row>
    <row r="6340">
      <c r="A6340" s="2" t="inlineStr">
        <is>
          <t>2026-05-22</t>
        </is>
      </c>
      <c r="B6340" s="3" t="inlineStr">
        <is>
          <t>대한광통신</t>
        </is>
      </c>
      <c r="C6340" s="2" t="inlineStr">
        <is>
          <t>코스닥</t>
        </is>
      </c>
      <c r="D6340" s="2" t="inlineStr">
        <is>
          <t>010170</t>
        </is>
      </c>
      <c r="E6340" s="3" t="inlineStr">
        <is>
          <t>임원ㆍ주요주주특정증권등거래계획보고서</t>
        </is>
      </c>
      <c r="F6340" s="3" t="inlineStr">
        <is>
          <t>설윤성</t>
        </is>
      </c>
      <c r="G6340" s="2" t="inlineStr">
        <is>
          <t>20260522000643</t>
        </is>
      </c>
      <c r="H6340" s="8">
        <f>HYPERLINK("https://dart.fss.or.kr/dsaf001/main.do?rcpNo=20260522000643", "공시열람")</f>
        <v/>
      </c>
    </row>
    <row r="6341">
      <c r="A6341" s="2" t="inlineStr">
        <is>
          <t>2026-05-22</t>
        </is>
      </c>
      <c r="B6341" s="3" t="inlineStr">
        <is>
          <t>SK증권</t>
        </is>
      </c>
      <c r="C6341" s="2" t="inlineStr">
        <is>
          <t>코스피</t>
        </is>
      </c>
      <c r="D6341" s="2" t="inlineStr">
        <is>
          <t>001510</t>
        </is>
      </c>
      <c r="E6341" s="3" t="inlineStr">
        <is>
          <t>투자설명서(일괄신고)</t>
        </is>
      </c>
      <c r="F6341" s="3" t="inlineStr">
        <is>
          <t>SK증권</t>
        </is>
      </c>
      <c r="G6341" s="2" t="inlineStr">
        <is>
          <t>20260522000641</t>
        </is>
      </c>
      <c r="H6341" s="8">
        <f>HYPERLINK("https://dart.fss.or.kr/dsaf001/main.do?rcpNo=20260522000641", "공시열람")</f>
        <v/>
      </c>
    </row>
    <row r="6342">
      <c r="A6342" s="2" t="inlineStr">
        <is>
          <t>2026-05-22</t>
        </is>
      </c>
      <c r="B6342" s="3" t="inlineStr">
        <is>
          <t>SYTS</t>
        </is>
      </c>
      <c r="C6342" s="2" t="inlineStr">
        <is>
          <t>코스피</t>
        </is>
      </c>
      <c r="D6342" s="2" t="inlineStr">
        <is>
          <t>002170</t>
        </is>
      </c>
      <c r="E6342" s="3" t="inlineStr">
        <is>
          <t xml:space="preserve">주주명부폐쇄기간또는기준일설정              </t>
        </is>
      </c>
      <c r="F6342" s="3" t="inlineStr">
        <is>
          <t>SYTS</t>
        </is>
      </c>
      <c r="G6342" s="2" t="inlineStr">
        <is>
          <t>20260522800925</t>
        </is>
      </c>
      <c r="H6342" s="8">
        <f>HYPERLINK("https://dart.fss.or.kr/dsaf001/main.do?rcpNo=20260522800925", "공시열람")</f>
        <v/>
      </c>
    </row>
    <row r="6343">
      <c r="A6343" s="2" t="inlineStr">
        <is>
          <t>2026-05-22 (정정: 2026-06-10)</t>
        </is>
      </c>
      <c r="B6343" s="3" t="inlineStr">
        <is>
          <t>대한광통신</t>
        </is>
      </c>
      <c r="C6343" s="2" t="inlineStr">
        <is>
          <t>코스닥</t>
        </is>
      </c>
      <c r="D6343" s="2" t="inlineStr">
        <is>
          <t>010170</t>
        </is>
      </c>
      <c r="E6343" s="3" t="inlineStr">
        <is>
          <t>임원ㆍ주요주주특정증권등거래계획보고서 (정정: 20260610)</t>
        </is>
      </c>
      <c r="F6343" s="3" t="inlineStr">
        <is>
          <t>티에프오인더스트리</t>
        </is>
      </c>
      <c r="G6343" s="2" t="inlineStr">
        <is>
          <t>20260610900960</t>
        </is>
      </c>
      <c r="H6343" s="8">
        <f>HYPERLINK("https://dart.fss.or.kr/dsaf001/main.do?rcpNo=20260610900960", "공시열람")</f>
        <v/>
      </c>
    </row>
    <row r="6344">
      <c r="A6344" s="2" t="inlineStr">
        <is>
          <t>2026-05-22</t>
        </is>
      </c>
      <c r="B6344" s="3" t="inlineStr">
        <is>
          <t>동성제약</t>
        </is>
      </c>
      <c r="C6344" s="2" t="inlineStr">
        <is>
          <t>코스피</t>
        </is>
      </c>
      <c r="D6344" s="2" t="inlineStr">
        <is>
          <t>002210</t>
        </is>
      </c>
      <c r="E6344" s="3" t="inlineStr">
        <is>
          <t>기타시장안내              (개선계획 이행 여부 심의 요청)</t>
        </is>
      </c>
      <c r="F6344" s="3" t="inlineStr">
        <is>
          <t>유가증권시장본부</t>
        </is>
      </c>
      <c r="G6344" s="2" t="inlineStr">
        <is>
          <t>20260522800920</t>
        </is>
      </c>
      <c r="H6344" s="8">
        <f>HYPERLINK("https://dart.fss.or.kr/dsaf001/main.do?rcpNo=20260522800920", "공시열람")</f>
        <v/>
      </c>
    </row>
    <row r="6345">
      <c r="A6345" s="2" t="inlineStr">
        <is>
          <t>2026-05-22 (정정: 2026-06-19)</t>
        </is>
      </c>
      <c r="B6345" s="3" t="inlineStr">
        <is>
          <t>이노스페이스</t>
        </is>
      </c>
      <c r="C6345" s="2" t="inlineStr">
        <is>
          <t>코스닥</t>
        </is>
      </c>
      <c r="D6345" s="2" t="inlineStr">
        <is>
          <t>462350</t>
        </is>
      </c>
      <c r="E6345" s="3" t="inlineStr">
        <is>
          <t>임원ㆍ주요주주특정증권등소유상황보고서 (정정: 20260619)</t>
        </is>
      </c>
      <c r="F6345" s="3" t="inlineStr">
        <is>
          <t>우경진</t>
        </is>
      </c>
      <c r="G6345" s="2" t="inlineStr">
        <is>
          <t>20260619000539</t>
        </is>
      </c>
      <c r="H6345" s="8">
        <f>HYPERLINK("https://dart.fss.or.kr/dsaf001/main.do?rcpNo=20260619000539", "공시열람")</f>
        <v/>
      </c>
    </row>
    <row r="6346">
      <c r="A6346" s="2" t="inlineStr">
        <is>
          <t>2026-05-22</t>
        </is>
      </c>
      <c r="B6346" s="3" t="inlineStr">
        <is>
          <t>에코글로우</t>
        </is>
      </c>
      <c r="C6346" s="2" t="inlineStr">
        <is>
          <t>코스닥</t>
        </is>
      </c>
      <c r="D6346" s="2" t="inlineStr">
        <is>
          <t>159910</t>
        </is>
      </c>
      <c r="E6346" s="3" t="inlineStr">
        <is>
          <t>합병등종료보고서(자산양수도)</t>
        </is>
      </c>
      <c r="F6346" s="3" t="inlineStr">
        <is>
          <t>에코글로우</t>
        </is>
      </c>
      <c r="G6346" s="2" t="inlineStr">
        <is>
          <t>20260522000627</t>
        </is>
      </c>
      <c r="H6346" s="8">
        <f>HYPERLINK("https://dart.fss.or.kr/dsaf001/main.do?rcpNo=20260522000627", "공시열람")</f>
        <v/>
      </c>
    </row>
    <row r="6347">
      <c r="A6347" s="2" t="inlineStr">
        <is>
          <t>2026-05-22</t>
        </is>
      </c>
      <c r="B6347" s="3" t="inlineStr">
        <is>
          <t>지노믹트리</t>
        </is>
      </c>
      <c r="C6347" s="2" t="inlineStr">
        <is>
          <t>코스닥</t>
        </is>
      </c>
      <c r="D6347" s="2" t="inlineStr">
        <is>
          <t>228760</t>
        </is>
      </c>
      <c r="E6347" s="3" t="inlineStr">
        <is>
          <t>임원ㆍ주요주주특정증권등소유상황보고서</t>
        </is>
      </c>
      <c r="F6347" s="3" t="inlineStr">
        <is>
          <t>오태정</t>
        </is>
      </c>
      <c r="G6347" s="2" t="inlineStr">
        <is>
          <t>20260522000624</t>
        </is>
      </c>
      <c r="H6347" s="8">
        <f>HYPERLINK("https://dart.fss.or.kr/dsaf001/main.do?rcpNo=20260522000624", "공시열람")</f>
        <v/>
      </c>
    </row>
    <row r="6348">
      <c r="A6348" s="2" t="inlineStr">
        <is>
          <t>2026-05-22</t>
        </is>
      </c>
      <c r="B6348" s="3" t="inlineStr">
        <is>
          <t>이노스페이스</t>
        </is>
      </c>
      <c r="C6348" s="2" t="inlineStr">
        <is>
          <t>코스닥</t>
        </is>
      </c>
      <c r="D6348" s="2" t="inlineStr">
        <is>
          <t>462350</t>
        </is>
      </c>
      <c r="E6348" s="3" t="inlineStr">
        <is>
          <t>임원ㆍ주요주주특정증권등소유상황보고서</t>
        </is>
      </c>
      <c r="F6348" s="3" t="inlineStr">
        <is>
          <t>정훈</t>
        </is>
      </c>
      <c r="G6348" s="2" t="inlineStr">
        <is>
          <t>20260522000622</t>
        </is>
      </c>
      <c r="H6348" s="8">
        <f>HYPERLINK("https://dart.fss.or.kr/dsaf001/main.do?rcpNo=20260522000622", "공시열람")</f>
        <v/>
      </c>
    </row>
    <row r="6349">
      <c r="A6349" s="2" t="inlineStr">
        <is>
          <t>2026-05-22</t>
        </is>
      </c>
      <c r="B6349" s="3" t="inlineStr">
        <is>
          <t>이노스페이스</t>
        </is>
      </c>
      <c r="C6349" s="2" t="inlineStr">
        <is>
          <t>코스닥</t>
        </is>
      </c>
      <c r="D6349" s="2" t="inlineStr">
        <is>
          <t>462350</t>
        </is>
      </c>
      <c r="E6349" s="3" t="inlineStr">
        <is>
          <t>임원ㆍ주요주주특정증권등소유상황보고서</t>
        </is>
      </c>
      <c r="F6349" s="3" t="inlineStr">
        <is>
          <t>김수종</t>
        </is>
      </c>
      <c r="G6349" s="2" t="inlineStr">
        <is>
          <t>20260522000619</t>
        </is>
      </c>
      <c r="H6349" s="8">
        <f>HYPERLINK("https://dart.fss.or.kr/dsaf001/main.do?rcpNo=20260522000619", "공시열람")</f>
        <v/>
      </c>
    </row>
    <row r="6350">
      <c r="A6350" s="2" t="inlineStr">
        <is>
          <t>2026-05-22</t>
        </is>
      </c>
      <c r="B6350" s="3" t="inlineStr">
        <is>
          <t>도부</t>
        </is>
      </c>
      <c r="C6350" s="2" t="inlineStr">
        <is>
          <t>코넥스</t>
        </is>
      </c>
      <c r="D6350" s="2" t="inlineStr">
        <is>
          <t>227420</t>
        </is>
      </c>
      <c r="E6350" s="3" t="inlineStr">
        <is>
          <t xml:space="preserve">기업설명회(IR)개최결과              </t>
        </is>
      </c>
      <c r="F6350" s="3" t="inlineStr">
        <is>
          <t>도부</t>
        </is>
      </c>
      <c r="G6350" s="2" t="inlineStr">
        <is>
          <t>20260522600884</t>
        </is>
      </c>
      <c r="H6350" s="8">
        <f>HYPERLINK("https://dart.fss.or.kr/dsaf001/main.do?rcpNo=20260522600884", "공시열람")</f>
        <v/>
      </c>
    </row>
    <row r="6351">
      <c r="A6351" s="2" t="inlineStr">
        <is>
          <t>2026-05-22</t>
        </is>
      </c>
      <c r="B6351" s="3" t="inlineStr">
        <is>
          <t>하림지주</t>
        </is>
      </c>
      <c r="C6351" s="2" t="inlineStr">
        <is>
          <t>코스닥</t>
        </is>
      </c>
      <c r="D6351" s="2" t="inlineStr">
        <is>
          <t>003380</t>
        </is>
      </c>
      <c r="E6351" s="3" t="inlineStr">
        <is>
          <t>임원ㆍ주요주주특정증권등소유상황보고서</t>
        </is>
      </c>
      <c r="F6351" s="3" t="inlineStr">
        <is>
          <t>한국바이오텍</t>
        </is>
      </c>
      <c r="G6351" s="2" t="inlineStr">
        <is>
          <t>20260522000616</t>
        </is>
      </c>
      <c r="H6351" s="8">
        <f>HYPERLINK("https://dart.fss.or.kr/dsaf001/main.do?rcpNo=20260522000616", "공시열람")</f>
        <v/>
      </c>
    </row>
    <row r="6352">
      <c r="A6352" s="2" t="inlineStr">
        <is>
          <t>2026-05-22</t>
        </is>
      </c>
      <c r="B6352" s="3" t="inlineStr">
        <is>
          <t>에코글로우</t>
        </is>
      </c>
      <c r="C6352" s="2" t="inlineStr">
        <is>
          <t>코스닥</t>
        </is>
      </c>
      <c r="D6352" s="2" t="inlineStr">
        <is>
          <t>159910</t>
        </is>
      </c>
      <c r="E6352" s="3" t="inlineStr">
        <is>
          <t>주요사항보고서(전환사채매수선택권행사자지정)</t>
        </is>
      </c>
      <c r="F6352" s="3" t="inlineStr">
        <is>
          <t>에코글로우</t>
        </is>
      </c>
      <c r="G6352" s="2" t="inlineStr">
        <is>
          <t>20260522000608</t>
        </is>
      </c>
      <c r="H6352" s="8">
        <f>HYPERLINK("https://dart.fss.or.kr/dsaf001/main.do?rcpNo=20260522000608", "공시열람")</f>
        <v/>
      </c>
    </row>
    <row r="6353">
      <c r="A6353" s="2" t="inlineStr">
        <is>
          <t>2026-05-22</t>
        </is>
      </c>
      <c r="B6353" s="3" t="inlineStr">
        <is>
          <t>SKC</t>
        </is>
      </c>
      <c r="C6353" s="2" t="inlineStr">
        <is>
          <t>코스피</t>
        </is>
      </c>
      <c r="D6353" s="2" t="inlineStr">
        <is>
          <t>011790</t>
        </is>
      </c>
      <c r="E6353" s="3" t="inlineStr">
        <is>
          <t>임원ㆍ주요주주특정증권등소유상황보고서</t>
        </is>
      </c>
      <c r="F6353" s="3" t="inlineStr">
        <is>
          <t>박시원</t>
        </is>
      </c>
      <c r="G6353" s="2" t="inlineStr">
        <is>
          <t>20260522000605</t>
        </is>
      </c>
      <c r="H6353" s="8">
        <f>HYPERLINK("https://dart.fss.or.kr/dsaf001/main.do?rcpNo=20260522000605", "공시열람")</f>
        <v/>
      </c>
    </row>
    <row r="6354">
      <c r="A6354" s="2" t="inlineStr">
        <is>
          <t>2026-05-22</t>
        </is>
      </c>
      <c r="B6354" s="3" t="inlineStr">
        <is>
          <t>제주은행</t>
        </is>
      </c>
      <c r="C6354" s="2" t="inlineStr">
        <is>
          <t>코스피</t>
        </is>
      </c>
      <c r="D6354" s="2" t="inlineStr">
        <is>
          <t>006220</t>
        </is>
      </c>
      <c r="E6354" s="3" t="inlineStr">
        <is>
          <t>투자설명서(일괄신고)</t>
        </is>
      </c>
      <c r="F6354" s="3" t="inlineStr">
        <is>
          <t>제주은행</t>
        </is>
      </c>
      <c r="G6354" s="2" t="inlineStr">
        <is>
          <t>20260522000601</t>
        </is>
      </c>
      <c r="H6354" s="8">
        <f>HYPERLINK("https://dart.fss.or.kr/dsaf001/main.do?rcpNo=20260522000601", "공시열람")</f>
        <v/>
      </c>
    </row>
    <row r="6355">
      <c r="A6355" s="2" t="inlineStr">
        <is>
          <t>2026-05-22</t>
        </is>
      </c>
      <c r="B6355" s="3" t="inlineStr">
        <is>
          <t>오텍</t>
        </is>
      </c>
      <c r="C6355" s="2" t="inlineStr">
        <is>
          <t>코스닥</t>
        </is>
      </c>
      <c r="D6355" s="2" t="inlineStr">
        <is>
          <t>067170</t>
        </is>
      </c>
      <c r="E6355" s="3" t="inlineStr">
        <is>
          <t>임원ㆍ주요주주특정증권등소유상황보고서</t>
        </is>
      </c>
      <c r="F6355" s="3" t="inlineStr">
        <is>
          <t>강성희</t>
        </is>
      </c>
      <c r="G6355" s="2" t="inlineStr">
        <is>
          <t>20260522000600</t>
        </is>
      </c>
      <c r="H6355" s="8">
        <f>HYPERLINK("https://dart.fss.or.kr/dsaf001/main.do?rcpNo=20260522000600", "공시열람")</f>
        <v/>
      </c>
    </row>
    <row r="6356">
      <c r="A6356" s="2" t="inlineStr">
        <is>
          <t>2026-05-22</t>
        </is>
      </c>
      <c r="B6356" s="3" t="inlineStr">
        <is>
          <t>제주은행</t>
        </is>
      </c>
      <c r="C6356" s="2" t="inlineStr">
        <is>
          <t>코스피</t>
        </is>
      </c>
      <c r="D6356" s="2" t="inlineStr">
        <is>
          <t>006220</t>
        </is>
      </c>
      <c r="E6356" s="3" t="inlineStr">
        <is>
          <t>일괄신고추가서류</t>
        </is>
      </c>
      <c r="F6356" s="3" t="inlineStr">
        <is>
          <t>제주은행</t>
        </is>
      </c>
      <c r="G6356" s="2" t="inlineStr">
        <is>
          <t>20260522000595</t>
        </is>
      </c>
      <c r="H6356" s="8">
        <f>HYPERLINK("https://dart.fss.or.kr/dsaf001/main.do?rcpNo=20260522000595", "공시열람")</f>
        <v/>
      </c>
    </row>
    <row r="6357">
      <c r="A6357" s="2" t="inlineStr">
        <is>
          <t>2026-05-22</t>
        </is>
      </c>
      <c r="B6357" s="3" t="inlineStr">
        <is>
          <t>오텍</t>
        </is>
      </c>
      <c r="C6357" s="2" t="inlineStr">
        <is>
          <t>코스닥</t>
        </is>
      </c>
      <c r="D6357" s="2" t="inlineStr">
        <is>
          <t>067170</t>
        </is>
      </c>
      <c r="E6357" s="3" t="inlineStr">
        <is>
          <t>임원ㆍ주요주주특정증권등소유상황보고서</t>
        </is>
      </c>
      <c r="F6357" s="3" t="inlineStr">
        <is>
          <t>강신욱</t>
        </is>
      </c>
      <c r="G6357" s="2" t="inlineStr">
        <is>
          <t>20260522000594</t>
        </is>
      </c>
      <c r="H6357" s="8">
        <f>HYPERLINK("https://dart.fss.or.kr/dsaf001/main.do?rcpNo=20260522000594", "공시열람")</f>
        <v/>
      </c>
    </row>
    <row r="6358">
      <c r="A6358" s="2" t="inlineStr">
        <is>
          <t>2026-05-22</t>
        </is>
      </c>
      <c r="B6358" s="3" t="inlineStr">
        <is>
          <t>알엔투테크놀로지</t>
        </is>
      </c>
      <c r="C6358" s="2" t="inlineStr">
        <is>
          <t>코스닥</t>
        </is>
      </c>
      <c r="D6358" s="2" t="inlineStr">
        <is>
          <t>148250</t>
        </is>
      </c>
      <c r="E6358" s="3" t="inlineStr">
        <is>
          <t>사외이사의선임ㆍ해임또는중도퇴임에관한신고</t>
        </is>
      </c>
      <c r="F6358" s="3" t="inlineStr">
        <is>
          <t>알엔투테크놀로지</t>
        </is>
      </c>
      <c r="G6358" s="2" t="inlineStr">
        <is>
          <t>20260522000587</t>
        </is>
      </c>
      <c r="H6358" s="8">
        <f>HYPERLINK("https://dart.fss.or.kr/dsaf001/main.do?rcpNo=20260522000587", "공시열람")</f>
        <v/>
      </c>
    </row>
    <row r="6359">
      <c r="A6359" s="2" t="inlineStr">
        <is>
          <t>2026-05-22</t>
        </is>
      </c>
      <c r="B6359" s="3" t="inlineStr">
        <is>
          <t>지에프씨생명과학</t>
        </is>
      </c>
      <c r="C6359" s="2" t="inlineStr">
        <is>
          <t>코스닥</t>
        </is>
      </c>
      <c r="D6359" s="2" t="inlineStr">
        <is>
          <t>388610</t>
        </is>
      </c>
      <c r="E6359" s="3" t="inlineStr">
        <is>
          <t>임원ㆍ주요주주특정증권등소유상황보고서</t>
        </is>
      </c>
      <c r="F6359" s="3" t="inlineStr">
        <is>
          <t>이동환</t>
        </is>
      </c>
      <c r="G6359" s="2" t="inlineStr">
        <is>
          <t>20260522000586</t>
        </is>
      </c>
      <c r="H6359" s="8">
        <f>HYPERLINK("https://dart.fss.or.kr/dsaf001/main.do?rcpNo=20260522000586", "공시열람")</f>
        <v/>
      </c>
    </row>
    <row r="6360">
      <c r="A6360" s="2" t="inlineStr">
        <is>
          <t>2026-05-22</t>
        </is>
      </c>
      <c r="B6360" s="3" t="inlineStr">
        <is>
          <t>지노믹트리</t>
        </is>
      </c>
      <c r="C6360" s="2" t="inlineStr">
        <is>
          <t>코스닥</t>
        </is>
      </c>
      <c r="D6360" s="2" t="inlineStr">
        <is>
          <t>228760</t>
        </is>
      </c>
      <c r="E6360" s="3" t="inlineStr">
        <is>
          <t>임원ㆍ주요주주특정증권등소유상황보고서</t>
        </is>
      </c>
      <c r="F6360" s="3" t="inlineStr">
        <is>
          <t>이정철</t>
        </is>
      </c>
      <c r="G6360" s="2" t="inlineStr">
        <is>
          <t>20260522000584</t>
        </is>
      </c>
      <c r="H6360" s="8">
        <f>HYPERLINK("https://dart.fss.or.kr/dsaf001/main.do?rcpNo=20260522000584", "공시열람")</f>
        <v/>
      </c>
    </row>
    <row r="6361">
      <c r="A6361" s="2" t="inlineStr">
        <is>
          <t>2026-05-22</t>
        </is>
      </c>
      <c r="B6361" s="3" t="inlineStr">
        <is>
          <t>지노믹트리</t>
        </is>
      </c>
      <c r="C6361" s="2" t="inlineStr">
        <is>
          <t>코스닥</t>
        </is>
      </c>
      <c r="D6361" s="2" t="inlineStr">
        <is>
          <t>228760</t>
        </is>
      </c>
      <c r="E6361" s="3" t="inlineStr">
        <is>
          <t>임원ㆍ주요주주특정증권등소유상황보고서</t>
        </is>
      </c>
      <c r="F6361" s="3" t="inlineStr">
        <is>
          <t>이홍선</t>
        </is>
      </c>
      <c r="G6361" s="2" t="inlineStr">
        <is>
          <t>20260522000581</t>
        </is>
      </c>
      <c r="H6361" s="8">
        <f>HYPERLINK("https://dart.fss.or.kr/dsaf001/main.do?rcpNo=20260522000581", "공시열람")</f>
        <v/>
      </c>
    </row>
    <row r="6362">
      <c r="A6362" s="2" t="inlineStr">
        <is>
          <t>2026-05-22</t>
        </is>
      </c>
      <c r="B6362" s="3" t="inlineStr">
        <is>
          <t>서울전자통신</t>
        </is>
      </c>
      <c r="C6362" s="2" t="inlineStr">
        <is>
          <t>코스닥</t>
        </is>
      </c>
      <c r="D6362" s="2" t="inlineStr">
        <is>
          <t>027040</t>
        </is>
      </c>
      <c r="E6362" s="3" t="inlineStr">
        <is>
          <t>임원ㆍ주요주주특정증권등소유상황보고서</t>
        </is>
      </c>
      <c r="F6362" s="3" t="inlineStr">
        <is>
          <t>김택수</t>
        </is>
      </c>
      <c r="G6362" s="2" t="inlineStr">
        <is>
          <t>20260522000576</t>
        </is>
      </c>
      <c r="H6362" s="8">
        <f>HYPERLINK("https://dart.fss.or.kr/dsaf001/main.do?rcpNo=20260522000576", "공시열람")</f>
        <v/>
      </c>
    </row>
    <row r="6363">
      <c r="A6363" s="2" t="inlineStr">
        <is>
          <t>2026-05-22 (정정: 2026-06-05)</t>
        </is>
      </c>
      <c r="B6363" s="3" t="inlineStr">
        <is>
          <t>유진로봇</t>
        </is>
      </c>
      <c r="C6363" s="2" t="inlineStr">
        <is>
          <t>코스닥</t>
        </is>
      </c>
      <c r="D6363" s="2" t="inlineStr">
        <is>
          <t>056080</t>
        </is>
      </c>
      <c r="E6363" s="3" t="inlineStr">
        <is>
          <t>임원ㆍ주요주주특정증권등소유상황보고서 (정정: 20260605)</t>
        </is>
      </c>
      <c r="F6363" s="3" t="inlineStr">
        <is>
          <t>시만</t>
        </is>
      </c>
      <c r="G6363" s="2" t="inlineStr">
        <is>
          <t>20260605000549</t>
        </is>
      </c>
      <c r="H6363" s="8">
        <f>HYPERLINK("https://dart.fss.or.kr/dsaf001/main.do?rcpNo=20260605000549", "공시열람")</f>
        <v/>
      </c>
    </row>
    <row r="6364">
      <c r="A6364" s="2" t="inlineStr">
        <is>
          <t>2026-05-22</t>
        </is>
      </c>
      <c r="B6364" s="3" t="inlineStr">
        <is>
          <t>지노믹트리</t>
        </is>
      </c>
      <c r="C6364" s="2" t="inlineStr">
        <is>
          <t>코스닥</t>
        </is>
      </c>
      <c r="D6364" s="2" t="inlineStr">
        <is>
          <t>228760</t>
        </is>
      </c>
      <c r="E6364" s="3" t="inlineStr">
        <is>
          <t>임원ㆍ주요주주특정증권등소유상황보고서</t>
        </is>
      </c>
      <c r="F6364" s="3" t="inlineStr">
        <is>
          <t>이용운</t>
        </is>
      </c>
      <c r="G6364" s="2" t="inlineStr">
        <is>
          <t>20260522000572</t>
        </is>
      </c>
      <c r="H6364" s="8">
        <f>HYPERLINK("https://dart.fss.or.kr/dsaf001/main.do?rcpNo=20260522000572", "공시열람")</f>
        <v/>
      </c>
    </row>
    <row r="6365">
      <c r="A6365" s="2" t="inlineStr">
        <is>
          <t>2026-05-22</t>
        </is>
      </c>
      <c r="B6365" s="3" t="inlineStr">
        <is>
          <t>피스피스스튜디오</t>
        </is>
      </c>
      <c r="C6365" s="2" t="inlineStr">
        <is>
          <t>코스닥</t>
        </is>
      </c>
      <c r="D6365" s="2" t="inlineStr">
        <is>
          <t>0117P0</t>
        </is>
      </c>
      <c r="E6365" s="3" t="inlineStr">
        <is>
          <t>[발행조건확정]증권신고서(지분증권)</t>
        </is>
      </c>
      <c r="F6365" s="3" t="inlineStr">
        <is>
          <t>피스피스스튜디오</t>
        </is>
      </c>
      <c r="G6365" s="2" t="inlineStr">
        <is>
          <t>20260522000571</t>
        </is>
      </c>
      <c r="H6365" s="8">
        <f>HYPERLINK("https://dart.fss.or.kr/dsaf001/main.do?rcpNo=20260522000571", "공시열람")</f>
        <v/>
      </c>
    </row>
    <row r="6366">
      <c r="A6366" s="2" t="inlineStr">
        <is>
          <t>2026-05-22</t>
        </is>
      </c>
      <c r="B6366" s="3" t="inlineStr">
        <is>
          <t>JW신약</t>
        </is>
      </c>
      <c r="C6366" s="2" t="inlineStr">
        <is>
          <t>코스닥</t>
        </is>
      </c>
      <c r="D6366" s="2" t="inlineStr">
        <is>
          <t>067290</t>
        </is>
      </c>
      <c r="E6366" s="3" t="inlineStr">
        <is>
          <t xml:space="preserve">증권발행결과(자율공시)              </t>
        </is>
      </c>
      <c r="F6366" s="3" t="inlineStr">
        <is>
          <t>JW신약</t>
        </is>
      </c>
      <c r="G6366" s="2" t="inlineStr">
        <is>
          <t>20260522900838</t>
        </is>
      </c>
      <c r="H6366" s="8">
        <f>HYPERLINK("https://dart.fss.or.kr/dsaf001/main.do?rcpNo=20260522900838", "공시열람")</f>
        <v/>
      </c>
    </row>
    <row r="6367">
      <c r="A6367" s="2" t="inlineStr">
        <is>
          <t>2026-05-22</t>
        </is>
      </c>
      <c r="B6367" s="3" t="inlineStr">
        <is>
          <t>유진로봇</t>
        </is>
      </c>
      <c r="C6367" s="2" t="inlineStr">
        <is>
          <t>코스닥</t>
        </is>
      </c>
      <c r="D6367" s="2" t="inlineStr">
        <is>
          <t>056080</t>
        </is>
      </c>
      <c r="E6367" s="3" t="inlineStr">
        <is>
          <t>임원ㆍ주요주주특정증권등거래계획보고서</t>
        </is>
      </c>
      <c r="F6367" s="3" t="inlineStr">
        <is>
          <t>시만</t>
        </is>
      </c>
      <c r="G6367" s="2" t="inlineStr">
        <is>
          <t>20260522000565</t>
        </is>
      </c>
      <c r="H6367" s="8">
        <f>HYPERLINK("https://dart.fss.or.kr/dsaf001/main.do?rcpNo=20260522000565", "공시열람")</f>
        <v/>
      </c>
    </row>
    <row r="6368">
      <c r="A6368" s="2" t="inlineStr">
        <is>
          <t>2026-05-22</t>
        </is>
      </c>
      <c r="B6368" s="3" t="inlineStr">
        <is>
          <t>JW신약</t>
        </is>
      </c>
      <c r="C6368" s="2" t="inlineStr">
        <is>
          <t>코스닥</t>
        </is>
      </c>
      <c r="D6368" s="2" t="inlineStr">
        <is>
          <t>067290</t>
        </is>
      </c>
      <c r="E6368" s="3" t="inlineStr">
        <is>
          <t xml:space="preserve">증권발행결과(자율공시)              </t>
        </is>
      </c>
      <c r="F6368" s="3" t="inlineStr">
        <is>
          <t>JW신약</t>
        </is>
      </c>
      <c r="G6368" s="2" t="inlineStr">
        <is>
          <t>20260522900830</t>
        </is>
      </c>
      <c r="H6368" s="8">
        <f>HYPERLINK("https://dart.fss.or.kr/dsaf001/main.do?rcpNo=20260522900830", "공시열람")</f>
        <v/>
      </c>
    </row>
    <row r="6369">
      <c r="A6369" s="2" t="inlineStr">
        <is>
          <t>2026-05-22</t>
        </is>
      </c>
      <c r="B6369" s="3" t="inlineStr">
        <is>
          <t>디에이치엑스컴퍼니</t>
        </is>
      </c>
      <c r="C6369" s="2" t="inlineStr">
        <is>
          <t>코스닥</t>
        </is>
      </c>
      <c r="D6369" s="2" t="inlineStr">
        <is>
          <t>031860</t>
        </is>
      </c>
      <c r="E6369" s="3" t="inlineStr">
        <is>
          <t xml:space="preserve">주주명부폐쇄기간또는기준일설정              </t>
        </is>
      </c>
      <c r="F6369" s="3" t="inlineStr">
        <is>
          <t>디에이치엑스컴퍼니</t>
        </is>
      </c>
      <c r="G6369" s="2" t="inlineStr">
        <is>
          <t>20260522900817</t>
        </is>
      </c>
      <c r="H6369" s="8">
        <f>HYPERLINK("https://dart.fss.or.kr/dsaf001/main.do?rcpNo=20260522900817", "공시열람")</f>
        <v/>
      </c>
    </row>
    <row r="6370">
      <c r="A6370" s="2" t="inlineStr">
        <is>
          <t>2026-05-22</t>
        </is>
      </c>
      <c r="B6370" s="3" t="inlineStr">
        <is>
          <t>디에이치엑스컴퍼니</t>
        </is>
      </c>
      <c r="C6370" s="2" t="inlineStr">
        <is>
          <t>코스닥</t>
        </is>
      </c>
      <c r="D6370" s="2" t="inlineStr">
        <is>
          <t>031860</t>
        </is>
      </c>
      <c r="E6370" s="3" t="inlineStr">
        <is>
          <t xml:space="preserve">주식병합결정              </t>
        </is>
      </c>
      <c r="F6370" s="3" t="inlineStr">
        <is>
          <t>디에이치엑스컴퍼니</t>
        </is>
      </c>
      <c r="G6370" s="2" t="inlineStr">
        <is>
          <t>20260522900810</t>
        </is>
      </c>
      <c r="H6370" s="8">
        <f>HYPERLINK("https://dart.fss.or.kr/dsaf001/main.do?rcpNo=20260522900810", "공시열람")</f>
        <v/>
      </c>
    </row>
    <row r="6371">
      <c r="A6371" s="2" t="inlineStr">
        <is>
          <t>2026-05-22</t>
        </is>
      </c>
      <c r="B6371" s="3" t="inlineStr">
        <is>
          <t>JW신약</t>
        </is>
      </c>
      <c r="C6371" s="2" t="inlineStr">
        <is>
          <t>코스닥</t>
        </is>
      </c>
      <c r="D6371" s="2" t="inlineStr">
        <is>
          <t>067290</t>
        </is>
      </c>
      <c r="E6371" s="3" t="inlineStr">
        <is>
          <t xml:space="preserve">전환사채(해외전환사채포함)발행후만기전사채취득              </t>
        </is>
      </c>
      <c r="F6371" s="3" t="inlineStr">
        <is>
          <t>JW신약</t>
        </is>
      </c>
      <c r="G6371" s="2" t="inlineStr">
        <is>
          <t>20260522900828</t>
        </is>
      </c>
      <c r="H6371" s="8">
        <f>HYPERLINK("https://dart.fss.or.kr/dsaf001/main.do?rcpNo=20260522900828", "공시열람")</f>
        <v/>
      </c>
    </row>
    <row r="6372">
      <c r="A6372" s="2" t="inlineStr">
        <is>
          <t>2026-05-22</t>
        </is>
      </c>
      <c r="B6372" s="3" t="inlineStr">
        <is>
          <t>미투온</t>
        </is>
      </c>
      <c r="C6372" s="2" t="inlineStr">
        <is>
          <t>코스닥</t>
        </is>
      </c>
      <c r="D6372" s="2" t="inlineStr">
        <is>
          <t>201490</t>
        </is>
      </c>
      <c r="E6372" s="3" t="inlineStr">
        <is>
          <t>임원ㆍ주요주주특정증권등소유상황보고서</t>
        </is>
      </c>
      <c r="F6372" s="3" t="inlineStr">
        <is>
          <t>최원석</t>
        </is>
      </c>
      <c r="G6372" s="2" t="inlineStr">
        <is>
          <t>20260522000558</t>
        </is>
      </c>
      <c r="H6372" s="8">
        <f>HYPERLINK("https://dart.fss.or.kr/dsaf001/main.do?rcpNo=20260522000558", "공시열람")</f>
        <v/>
      </c>
    </row>
    <row r="6373">
      <c r="A6373" s="2" t="inlineStr">
        <is>
          <t>2026-05-22</t>
        </is>
      </c>
      <c r="B6373" s="3" t="inlineStr">
        <is>
          <t>판타지오</t>
        </is>
      </c>
      <c r="C6373" s="2" t="inlineStr">
        <is>
          <t>코스닥</t>
        </is>
      </c>
      <c r="D6373" s="2" t="inlineStr">
        <is>
          <t>032800</t>
        </is>
      </c>
      <c r="E6373" s="3" t="inlineStr">
        <is>
          <t>임원ㆍ주요주주특정증권등소유상황보고서</t>
        </is>
      </c>
      <c r="F6373" s="3" t="inlineStr">
        <is>
          <t>미래아이앤지</t>
        </is>
      </c>
      <c r="G6373" s="2" t="inlineStr">
        <is>
          <t>20260522000556</t>
        </is>
      </c>
      <c r="H6373" s="8">
        <f>HYPERLINK("https://dart.fss.or.kr/dsaf001/main.do?rcpNo=20260522000556", "공시열람")</f>
        <v/>
      </c>
    </row>
    <row r="6374">
      <c r="A6374" s="2" t="inlineStr">
        <is>
          <t>2026-05-22</t>
        </is>
      </c>
      <c r="B6374" s="3" t="inlineStr">
        <is>
          <t>SK증권</t>
        </is>
      </c>
      <c r="C6374" s="2" t="inlineStr">
        <is>
          <t>코스피</t>
        </is>
      </c>
      <c r="D6374" s="2" t="inlineStr">
        <is>
          <t>001510</t>
        </is>
      </c>
      <c r="E6374" s="3" t="inlineStr">
        <is>
          <t>일괄신고추가서류(파생결합사채-주가연계파생결합사채)</t>
        </is>
      </c>
      <c r="F6374" s="3" t="inlineStr">
        <is>
          <t>SK증권</t>
        </is>
      </c>
      <c r="G6374" s="2" t="inlineStr">
        <is>
          <t>20260522000554</t>
        </is>
      </c>
      <c r="H6374" s="8">
        <f>HYPERLINK("https://dart.fss.or.kr/dsaf001/main.do?rcpNo=20260522000554", "공시열람")</f>
        <v/>
      </c>
    </row>
    <row r="6375">
      <c r="A6375" s="2" t="inlineStr">
        <is>
          <t>2026-05-22</t>
        </is>
      </c>
      <c r="B6375" s="3" t="inlineStr">
        <is>
          <t>미투온</t>
        </is>
      </c>
      <c r="C6375" s="2" t="inlineStr">
        <is>
          <t>코스닥</t>
        </is>
      </c>
      <c r="D6375" s="2" t="inlineStr">
        <is>
          <t>201490</t>
        </is>
      </c>
      <c r="E6375" s="3" t="inlineStr">
        <is>
          <t>임원ㆍ주요주주특정증권등소유상황보고서</t>
        </is>
      </c>
      <c r="F6375" s="3" t="inlineStr">
        <is>
          <t>손창욱</t>
        </is>
      </c>
      <c r="G6375" s="2" t="inlineStr">
        <is>
          <t>20260522000551</t>
        </is>
      </c>
      <c r="H6375" s="8">
        <f>HYPERLINK("https://dart.fss.or.kr/dsaf001/main.do?rcpNo=20260522000551", "공시열람")</f>
        <v/>
      </c>
    </row>
    <row r="6376">
      <c r="A6376" s="2" t="inlineStr">
        <is>
          <t>2026-05-22</t>
        </is>
      </c>
      <c r="B6376" s="3" t="inlineStr">
        <is>
          <t>휴마시스</t>
        </is>
      </c>
      <c r="C6376" s="2" t="inlineStr">
        <is>
          <t>코스닥</t>
        </is>
      </c>
      <c r="D6376" s="2" t="inlineStr">
        <is>
          <t>205470</t>
        </is>
      </c>
      <c r="E6376" s="3" t="inlineStr">
        <is>
          <t>임원ㆍ주요주주특정증권등소유상황보고서</t>
        </is>
      </c>
      <c r="F6376" s="3" t="inlineStr">
        <is>
          <t>인콘</t>
        </is>
      </c>
      <c r="G6376" s="2" t="inlineStr">
        <is>
          <t>20260522000544</t>
        </is>
      </c>
      <c r="H6376" s="8">
        <f>HYPERLINK("https://dart.fss.or.kr/dsaf001/main.do?rcpNo=20260522000544", "공시열람")</f>
        <v/>
      </c>
    </row>
    <row r="6377">
      <c r="A6377" s="2" t="inlineStr">
        <is>
          <t>2026-05-22 (정정: 2026-05-28)</t>
        </is>
      </c>
      <c r="B6377" s="3" t="inlineStr">
        <is>
          <t>크레버스</t>
        </is>
      </c>
      <c r="C6377" s="2" t="inlineStr">
        <is>
          <t>코스닥</t>
        </is>
      </c>
      <c r="D6377" s="2" t="inlineStr">
        <is>
          <t>096240</t>
        </is>
      </c>
      <c r="E6377" s="3" t="inlineStr">
        <is>
          <t>임원ㆍ주요주주특정증권등소유상황보고서 (정정: 20260528)</t>
        </is>
      </c>
      <c r="F6377" s="3" t="inlineStr">
        <is>
          <t>김영화</t>
        </is>
      </c>
      <c r="G6377" s="2" t="inlineStr">
        <is>
          <t>20260528900999</t>
        </is>
      </c>
      <c r="H6377" s="8">
        <f>HYPERLINK("https://dart.fss.or.kr/dsaf001/main.do?rcpNo=20260528900999", "공시열람")</f>
        <v/>
      </c>
    </row>
    <row r="6378">
      <c r="A6378" s="2" t="inlineStr">
        <is>
          <t>2026-05-22</t>
        </is>
      </c>
      <c r="B6378" s="3" t="inlineStr">
        <is>
          <t>피제이메탈</t>
        </is>
      </c>
      <c r="C6378" s="2" t="inlineStr">
        <is>
          <t>코스닥</t>
        </is>
      </c>
      <c r="D6378" s="2" t="inlineStr">
        <is>
          <t>128660</t>
        </is>
      </c>
      <c r="E6378" s="3" t="inlineStr">
        <is>
          <t xml:space="preserve">주주명부폐쇄기간또는기준일설정              </t>
        </is>
      </c>
      <c r="F6378" s="3" t="inlineStr">
        <is>
          <t>피제이메탈</t>
        </is>
      </c>
      <c r="G6378" s="2" t="inlineStr">
        <is>
          <t>20260522900804</t>
        </is>
      </c>
      <c r="H6378" s="8">
        <f>HYPERLINK("https://dart.fss.or.kr/dsaf001/main.do?rcpNo=20260522900804", "공시열람")</f>
        <v/>
      </c>
    </row>
    <row r="6379">
      <c r="A6379" s="2" t="inlineStr">
        <is>
          <t>2026-05-22</t>
        </is>
      </c>
      <c r="B6379" s="3" t="inlineStr">
        <is>
          <t>동일스틸럭스</t>
        </is>
      </c>
      <c r="C6379" s="2" t="inlineStr">
        <is>
          <t>코스닥</t>
        </is>
      </c>
      <c r="D6379" s="2" t="inlineStr">
        <is>
          <t>023790</t>
        </is>
      </c>
      <c r="E6379" s="3" t="inlineStr">
        <is>
          <t>주권매매거래정지해제              (액면병합 주권 변경상장)</t>
        </is>
      </c>
      <c r="F6379" s="3" t="inlineStr">
        <is>
          <t>코스닥시장본부</t>
        </is>
      </c>
      <c r="G6379" s="2" t="inlineStr">
        <is>
          <t>20260522900709</t>
        </is>
      </c>
      <c r="H6379" s="8">
        <f>HYPERLINK("https://dart.fss.or.kr/dsaf001/main.do?rcpNo=20260522900709", "공시열람")</f>
        <v/>
      </c>
    </row>
    <row r="6380">
      <c r="A6380" s="2" t="inlineStr">
        <is>
          <t>2026-05-22</t>
        </is>
      </c>
      <c r="B6380" s="3" t="inlineStr">
        <is>
          <t>지노믹트리</t>
        </is>
      </c>
      <c r="C6380" s="2" t="inlineStr">
        <is>
          <t>코스닥</t>
        </is>
      </c>
      <c r="D6380" s="2" t="inlineStr">
        <is>
          <t>228760</t>
        </is>
      </c>
      <c r="E6380" s="3" t="inlineStr">
        <is>
          <t>자기주식처분결과보고서</t>
        </is>
      </c>
      <c r="F6380" s="3" t="inlineStr">
        <is>
          <t>지노믹트리</t>
        </is>
      </c>
      <c r="G6380" s="2" t="inlineStr">
        <is>
          <t>20260522000539</t>
        </is>
      </c>
      <c r="H6380" s="8">
        <f>HYPERLINK("https://dart.fss.or.kr/dsaf001/main.do?rcpNo=20260522000539", "공시열람")</f>
        <v/>
      </c>
    </row>
    <row r="6381">
      <c r="A6381" s="2" t="inlineStr">
        <is>
          <t>2026-05-22</t>
        </is>
      </c>
      <c r="B6381" s="3" t="inlineStr">
        <is>
          <t>소프트센</t>
        </is>
      </c>
      <c r="C6381" s="2" t="inlineStr">
        <is>
          <t>코스닥</t>
        </is>
      </c>
      <c r="D6381" s="2" t="inlineStr">
        <is>
          <t>032680</t>
        </is>
      </c>
      <c r="E6381" s="3" t="inlineStr">
        <is>
          <t>주권매매거래정지해제              (액면병합 주권 변경상장)</t>
        </is>
      </c>
      <c r="F6381" s="3" t="inlineStr">
        <is>
          <t>코스닥시장본부</t>
        </is>
      </c>
      <c r="G6381" s="2" t="inlineStr">
        <is>
          <t>20260522900772</t>
        </is>
      </c>
      <c r="H6381" s="8">
        <f>HYPERLINK("https://dart.fss.or.kr/dsaf001/main.do?rcpNo=20260522900772", "공시열람")</f>
        <v/>
      </c>
    </row>
    <row r="6382">
      <c r="A6382" s="2" t="inlineStr">
        <is>
          <t>2026-05-22</t>
        </is>
      </c>
      <c r="B6382" s="3" t="inlineStr">
        <is>
          <t>RF시스템즈</t>
        </is>
      </c>
      <c r="C6382" s="2" t="inlineStr">
        <is>
          <t>코스닥</t>
        </is>
      </c>
      <c r="D6382" s="2" t="inlineStr">
        <is>
          <t>474610</t>
        </is>
      </c>
      <c r="E6382" s="3" t="inlineStr">
        <is>
          <t xml:space="preserve">주식매수선택권행사              </t>
        </is>
      </c>
      <c r="F6382" s="3" t="inlineStr">
        <is>
          <t>RF시스템즈</t>
        </is>
      </c>
      <c r="G6382" s="2" t="inlineStr">
        <is>
          <t>20260522900761</t>
        </is>
      </c>
      <c r="H6382" s="8">
        <f>HYPERLINK("https://dart.fss.or.kr/dsaf001/main.do?rcpNo=20260522900761", "공시열람")</f>
        <v/>
      </c>
    </row>
    <row r="6383">
      <c r="A6383" s="2" t="inlineStr">
        <is>
          <t>2026-05-22</t>
        </is>
      </c>
      <c r="B6383" s="3" t="inlineStr">
        <is>
          <t>한솔케미칼</t>
        </is>
      </c>
      <c r="C6383" s="2" t="inlineStr">
        <is>
          <t>코스피</t>
        </is>
      </c>
      <c r="D6383" s="2" t="inlineStr">
        <is>
          <t>014680</t>
        </is>
      </c>
      <c r="E6383" s="3" t="inlineStr">
        <is>
          <t>임원ㆍ주요주주특정증권등소유상황보고서</t>
        </is>
      </c>
      <c r="F6383" s="3" t="inlineStr">
        <is>
          <t>김진복</t>
        </is>
      </c>
      <c r="G6383" s="2" t="inlineStr">
        <is>
          <t>20260522000532</t>
        </is>
      </c>
      <c r="H6383" s="8">
        <f>HYPERLINK("https://dart.fss.or.kr/dsaf001/main.do?rcpNo=20260522000532", "공시열람")</f>
        <v/>
      </c>
    </row>
    <row r="6384">
      <c r="A6384" s="2" t="inlineStr">
        <is>
          <t>2026-05-22</t>
        </is>
      </c>
      <c r="B6384" s="3" t="inlineStr">
        <is>
          <t>아센디오</t>
        </is>
      </c>
      <c r="C6384" s="2" t="inlineStr">
        <is>
          <t>코스피</t>
        </is>
      </c>
      <c r="D6384" s="2" t="inlineStr">
        <is>
          <t>012170</t>
        </is>
      </c>
      <c r="E6384" s="3" t="inlineStr">
        <is>
          <t>임원ㆍ주요주주특정증권등소유상황보고서</t>
        </is>
      </c>
      <c r="F6384" s="3" t="inlineStr">
        <is>
          <t>키위제1호조합</t>
        </is>
      </c>
      <c r="G6384" s="2" t="inlineStr">
        <is>
          <t>20260522000531</t>
        </is>
      </c>
      <c r="H6384" s="8">
        <f>HYPERLINK("https://dart.fss.or.kr/dsaf001/main.do?rcpNo=20260522000531", "공시열람")</f>
        <v/>
      </c>
    </row>
    <row r="6385">
      <c r="A6385" s="2" t="inlineStr">
        <is>
          <t>2026-05-22</t>
        </is>
      </c>
      <c r="B6385" s="3" t="inlineStr">
        <is>
          <t>오스코텍</t>
        </is>
      </c>
      <c r="C6385" s="2" t="inlineStr">
        <is>
          <t>코스닥</t>
        </is>
      </c>
      <c r="D6385" s="2" t="inlineStr">
        <is>
          <t>039200</t>
        </is>
      </c>
      <c r="E6385" s="3" t="inlineStr">
        <is>
          <t>투자판단관련주요경영사항(임상시험계획승인신청등결정)              (SKIO703의 약물 제형 변경을 위한 임상 1상 IND 승인)</t>
        </is>
      </c>
      <c r="F6385" s="3" t="inlineStr">
        <is>
          <t>오스코텍</t>
        </is>
      </c>
      <c r="G6385" s="2" t="inlineStr">
        <is>
          <t>20260522900751</t>
        </is>
      </c>
      <c r="H6385" s="8">
        <f>HYPERLINK("https://dart.fss.or.kr/dsaf001/main.do?rcpNo=20260522900751", "공시열람")</f>
        <v/>
      </c>
    </row>
    <row r="6386">
      <c r="A6386" s="2" t="inlineStr">
        <is>
          <t>2026-05-22</t>
        </is>
      </c>
      <c r="B6386" s="3" t="inlineStr">
        <is>
          <t>삼성물산</t>
        </is>
      </c>
      <c r="C6386" s="2" t="inlineStr">
        <is>
          <t>코스피</t>
        </is>
      </c>
      <c r="D6386" s="2" t="inlineStr">
        <is>
          <t>028260</t>
        </is>
      </c>
      <c r="E6386" s="3" t="inlineStr">
        <is>
          <t xml:space="preserve">기업설명회(IR)개최(안내공시)              </t>
        </is>
      </c>
      <c r="F6386" s="3" t="inlineStr">
        <is>
          <t>삼성물산</t>
        </is>
      </c>
      <c r="G6386" s="2" t="inlineStr">
        <is>
          <t>20260522800766</t>
        </is>
      </c>
      <c r="H6386" s="8">
        <f>HYPERLINK("https://dart.fss.or.kr/dsaf001/main.do?rcpNo=20260522800766", "공시열람")</f>
        <v/>
      </c>
    </row>
    <row r="6387">
      <c r="A6387" s="2" t="inlineStr">
        <is>
          <t>2026-05-22</t>
        </is>
      </c>
      <c r="B6387" s="3" t="inlineStr">
        <is>
          <t>롯데에너지머티리얼즈</t>
        </is>
      </c>
      <c r="C6387" s="2" t="inlineStr">
        <is>
          <t>코스피</t>
        </is>
      </c>
      <c r="D6387" s="2" t="inlineStr">
        <is>
          <t>020150</t>
        </is>
      </c>
      <c r="E6387" s="3" t="inlineStr">
        <is>
          <t xml:space="preserve">타법인주식및출자증권처분결정              </t>
        </is>
      </c>
      <c r="F6387" s="3" t="inlineStr">
        <is>
          <t>롯데에너지머티리얼즈</t>
        </is>
      </c>
      <c r="G6387" s="2" t="inlineStr">
        <is>
          <t>20260522800764</t>
        </is>
      </c>
      <c r="H6387" s="8">
        <f>HYPERLINK("https://dart.fss.or.kr/dsaf001/main.do?rcpNo=20260522800764", "공시열람")</f>
        <v/>
      </c>
    </row>
    <row r="6388">
      <c r="A6388" s="2" t="inlineStr">
        <is>
          <t>2026-05-22</t>
        </is>
      </c>
      <c r="B6388" s="3" t="inlineStr">
        <is>
          <t>미래아이앤지</t>
        </is>
      </c>
      <c r="C6388" s="2" t="inlineStr">
        <is>
          <t>코스피</t>
        </is>
      </c>
      <c r="D6388" s="2" t="inlineStr">
        <is>
          <t>007120</t>
        </is>
      </c>
      <c r="E6388" s="3" t="inlineStr">
        <is>
          <t xml:space="preserve">주권관련사채권의처분결정              </t>
        </is>
      </c>
      <c r="F6388" s="3" t="inlineStr">
        <is>
          <t>미래아이앤지</t>
        </is>
      </c>
      <c r="G6388" s="2" t="inlineStr">
        <is>
          <t>20260522800785</t>
        </is>
      </c>
      <c r="H6388" s="8">
        <f>HYPERLINK("https://dart.fss.or.kr/dsaf001/main.do?rcpNo=20260522800785", "공시열람")</f>
        <v/>
      </c>
    </row>
    <row r="6389">
      <c r="A6389" s="2" t="inlineStr">
        <is>
          <t>2026-05-22</t>
        </is>
      </c>
      <c r="B6389" s="3" t="inlineStr">
        <is>
          <t>엠케이전자</t>
        </is>
      </c>
      <c r="C6389" s="2" t="inlineStr">
        <is>
          <t>코스닥</t>
        </is>
      </c>
      <c r="D6389" s="2" t="inlineStr">
        <is>
          <t>033160</t>
        </is>
      </c>
      <c r="E6389" s="3" t="inlineStr">
        <is>
          <t xml:space="preserve">교환청구권행사              </t>
        </is>
      </c>
      <c r="F6389" s="3" t="inlineStr">
        <is>
          <t>엠케이전자</t>
        </is>
      </c>
      <c r="G6389" s="2" t="inlineStr">
        <is>
          <t>20260522900784</t>
        </is>
      </c>
      <c r="H6389" s="8">
        <f>HYPERLINK("https://dart.fss.or.kr/dsaf001/main.do?rcpNo=20260522900784", "공시열람")</f>
        <v/>
      </c>
    </row>
    <row r="6390">
      <c r="A6390" s="2" t="inlineStr">
        <is>
          <t>2026-05-22</t>
        </is>
      </c>
      <c r="B6390" s="3" t="inlineStr">
        <is>
          <t>세원정공</t>
        </is>
      </c>
      <c r="C6390" s="2" t="inlineStr">
        <is>
          <t>코스피</t>
        </is>
      </c>
      <c r="D6390" s="2" t="inlineStr">
        <is>
          <t>021820</t>
        </is>
      </c>
      <c r="E6390" s="3" t="inlineStr">
        <is>
          <t xml:space="preserve">주주명부폐쇄기간또는기준일설정              </t>
        </is>
      </c>
      <c r="F6390" s="3" t="inlineStr">
        <is>
          <t>세원정공</t>
        </is>
      </c>
      <c r="G6390" s="2" t="inlineStr">
        <is>
          <t>20260522800667</t>
        </is>
      </c>
      <c r="H6390" s="8">
        <f>HYPERLINK("https://dart.fss.or.kr/dsaf001/main.do?rcpNo=20260522800667", "공시열람")</f>
        <v/>
      </c>
    </row>
    <row r="6391">
      <c r="A6391" s="2" t="inlineStr">
        <is>
          <t>2026-05-22</t>
        </is>
      </c>
      <c r="B6391" s="3" t="inlineStr">
        <is>
          <t>KB금융</t>
        </is>
      </c>
      <c r="C6391" s="2" t="inlineStr">
        <is>
          <t>코스피</t>
        </is>
      </c>
      <c r="D6391" s="2" t="inlineStr">
        <is>
          <t>105560</t>
        </is>
      </c>
      <c r="E6391" s="3" t="inlineStr">
        <is>
          <t>투자설명서(일괄신고)</t>
        </is>
      </c>
      <c r="F6391" s="3" t="inlineStr">
        <is>
          <t>KB금융</t>
        </is>
      </c>
      <c r="G6391" s="2" t="inlineStr">
        <is>
          <t>20260522000522</t>
        </is>
      </c>
      <c r="H6391" s="8">
        <f>HYPERLINK("https://dart.fss.or.kr/dsaf001/main.do?rcpNo=20260522000522", "공시열람")</f>
        <v/>
      </c>
    </row>
    <row r="6392">
      <c r="A6392" s="2" t="inlineStr">
        <is>
          <t>2026-05-22</t>
        </is>
      </c>
      <c r="B6392" s="3" t="inlineStr">
        <is>
          <t>에코글로우</t>
        </is>
      </c>
      <c r="C6392" s="2" t="inlineStr">
        <is>
          <t>코스닥</t>
        </is>
      </c>
      <c r="D6392" s="2" t="inlineStr">
        <is>
          <t>159910</t>
        </is>
      </c>
      <c r="E6392" s="3" t="inlineStr">
        <is>
          <t>증권발행결과(자율공시)              (제17회차 CB)</t>
        </is>
      </c>
      <c r="F6392" s="3" t="inlineStr">
        <is>
          <t>에코글로우</t>
        </is>
      </c>
      <c r="G6392" s="2" t="inlineStr">
        <is>
          <t>20260522900731</t>
        </is>
      </c>
      <c r="H6392" s="8">
        <f>HYPERLINK("https://dart.fss.or.kr/dsaf001/main.do?rcpNo=20260522900731", "공시열람")</f>
        <v/>
      </c>
    </row>
    <row r="6393">
      <c r="A6393" s="2" t="inlineStr">
        <is>
          <t>2026-05-22</t>
        </is>
      </c>
      <c r="B6393" s="3" t="inlineStr">
        <is>
          <t>미래에셋벤처투자</t>
        </is>
      </c>
      <c r="C6393" s="2" t="inlineStr">
        <is>
          <t>코스닥</t>
        </is>
      </c>
      <c r="D6393" s="2" t="inlineStr">
        <is>
          <t>100790</t>
        </is>
      </c>
      <c r="E6393" s="3" t="inlineStr">
        <is>
          <t>임원ㆍ주요주주특정증권등소유상황보고서</t>
        </is>
      </c>
      <c r="F6393" s="3" t="inlineStr">
        <is>
          <t>김응석</t>
        </is>
      </c>
      <c r="G6393" s="2" t="inlineStr">
        <is>
          <t>20260522000519</t>
        </is>
      </c>
      <c r="H6393" s="8">
        <f>HYPERLINK("https://dart.fss.or.kr/dsaf001/main.do?rcpNo=20260522000519", "공시열람")</f>
        <v/>
      </c>
    </row>
    <row r="6394">
      <c r="A6394" s="2" t="inlineStr">
        <is>
          <t>2026-05-22</t>
        </is>
      </c>
      <c r="B6394" s="3" t="inlineStr">
        <is>
          <t>스피어</t>
        </is>
      </c>
      <c r="C6394" s="2" t="inlineStr">
        <is>
          <t>코스닥</t>
        </is>
      </c>
      <c r="D6394" s="2" t="inlineStr">
        <is>
          <t>347700</t>
        </is>
      </c>
      <c r="E6394" s="3" t="inlineStr">
        <is>
          <t xml:space="preserve">전환청구권행사              </t>
        </is>
      </c>
      <c r="F6394" s="3" t="inlineStr">
        <is>
          <t>스피어</t>
        </is>
      </c>
      <c r="G6394" s="2" t="inlineStr">
        <is>
          <t>20260522900760</t>
        </is>
      </c>
      <c r="H6394" s="8">
        <f>HYPERLINK("https://dart.fss.or.kr/dsaf001/main.do?rcpNo=20260522900760", "공시열람")</f>
        <v/>
      </c>
    </row>
    <row r="6395">
      <c r="A6395" s="2" t="inlineStr">
        <is>
          <t>2026-05-22</t>
        </is>
      </c>
      <c r="B6395" s="3" t="inlineStr">
        <is>
          <t>KB금융</t>
        </is>
      </c>
      <c r="C6395" s="2" t="inlineStr">
        <is>
          <t>코스피</t>
        </is>
      </c>
      <c r="D6395" s="2" t="inlineStr">
        <is>
          <t>105560</t>
        </is>
      </c>
      <c r="E6395" s="3" t="inlineStr">
        <is>
          <t>일괄신고추가서류</t>
        </is>
      </c>
      <c r="F6395" s="3" t="inlineStr">
        <is>
          <t>KB금융</t>
        </is>
      </c>
      <c r="G6395" s="2" t="inlineStr">
        <is>
          <t>20260522000511</t>
        </is>
      </c>
      <c r="H6395" s="8">
        <f>HYPERLINK("https://dart.fss.or.kr/dsaf001/main.do?rcpNo=20260522000511", "공시열람")</f>
        <v/>
      </c>
    </row>
    <row r="6396">
      <c r="A6396" s="2" t="inlineStr">
        <is>
          <t>2026-05-22</t>
        </is>
      </c>
      <c r="B6396" s="3" t="inlineStr">
        <is>
          <t>앱토크롬</t>
        </is>
      </c>
      <c r="C6396" s="2" t="inlineStr">
        <is>
          <t>코스닥</t>
        </is>
      </c>
      <c r="D6396" s="2" t="inlineStr">
        <is>
          <t>109960</t>
        </is>
      </c>
      <c r="E6396" s="3" t="inlineStr">
        <is>
          <t>기타시장안내              (앱토크롬 6WR 신주인수권 행사기간 만료 및 상장폐지 예고)</t>
        </is>
      </c>
      <c r="F6396" s="3" t="inlineStr">
        <is>
          <t>코스닥시장본부</t>
        </is>
      </c>
      <c r="G6396" s="2" t="inlineStr">
        <is>
          <t>20260522900746</t>
        </is>
      </c>
      <c r="H6396" s="8">
        <f>HYPERLINK("https://dart.fss.or.kr/dsaf001/main.do?rcpNo=20260522900746", "공시열람")</f>
        <v/>
      </c>
    </row>
    <row r="6397">
      <c r="A6397" s="2" t="inlineStr">
        <is>
          <t>2026-05-22</t>
        </is>
      </c>
      <c r="B6397" s="3" t="inlineStr">
        <is>
          <t>비스토스</t>
        </is>
      </c>
      <c r="C6397" s="2" t="inlineStr">
        <is>
          <t>코스닥</t>
        </is>
      </c>
      <c r="D6397" s="2" t="inlineStr">
        <is>
          <t>419540</t>
        </is>
      </c>
      <c r="E6397" s="3" t="inlineStr">
        <is>
          <t>주권매매거래정지해제              (액면병합 주권 변경상장)</t>
        </is>
      </c>
      <c r="F6397" s="3" t="inlineStr">
        <is>
          <t>코스닥시장본부</t>
        </is>
      </c>
      <c r="G6397" s="2" t="inlineStr">
        <is>
          <t>20260522900743</t>
        </is>
      </c>
      <c r="H6397" s="8">
        <f>HYPERLINK("https://dart.fss.or.kr/dsaf001/main.do?rcpNo=20260522900743", "공시열람")</f>
        <v/>
      </c>
    </row>
    <row r="6398">
      <c r="A6398" s="2" t="inlineStr">
        <is>
          <t>2026-05-22</t>
        </is>
      </c>
      <c r="B6398" s="3" t="inlineStr">
        <is>
          <t>NH투자증권</t>
        </is>
      </c>
      <c r="C6398" s="2" t="inlineStr">
        <is>
          <t>코스피</t>
        </is>
      </c>
      <c r="D6398" s="2" t="inlineStr">
        <is>
          <t>005940</t>
        </is>
      </c>
      <c r="E6398" s="3" t="inlineStr">
        <is>
          <t>투자설명서(일괄신고)</t>
        </is>
      </c>
      <c r="F6398" s="3" t="inlineStr">
        <is>
          <t>NH투자증권</t>
        </is>
      </c>
      <c r="G6398" s="2" t="inlineStr">
        <is>
          <t>20260522000507</t>
        </is>
      </c>
      <c r="H6398" s="8">
        <f>HYPERLINK("https://dart.fss.or.kr/dsaf001/main.do?rcpNo=20260522000507", "공시열람")</f>
        <v/>
      </c>
    </row>
    <row r="6399">
      <c r="A6399" s="2" t="inlineStr">
        <is>
          <t>2026-05-22</t>
        </is>
      </c>
      <c r="B6399" s="3" t="inlineStr">
        <is>
          <t>씨엔플러스</t>
        </is>
      </c>
      <c r="C6399" s="2" t="inlineStr">
        <is>
          <t>코스닥</t>
        </is>
      </c>
      <c r="D6399" s="2" t="inlineStr">
        <is>
          <t>115530</t>
        </is>
      </c>
      <c r="E6399" s="3" t="inlineStr">
        <is>
          <t>주권매매거래정지해제              (액면병합 주권 변경상장)</t>
        </is>
      </c>
      <c r="F6399" s="3" t="inlineStr">
        <is>
          <t>코스닥시장본부</t>
        </is>
      </c>
      <c r="G6399" s="2" t="inlineStr">
        <is>
          <t>20260522900739</t>
        </is>
      </c>
      <c r="H6399" s="8">
        <f>HYPERLINK("https://dart.fss.or.kr/dsaf001/main.do?rcpNo=20260522900739", "공시열람")</f>
        <v/>
      </c>
    </row>
    <row r="6400">
      <c r="A6400" s="2" t="inlineStr">
        <is>
          <t>2026-05-22</t>
        </is>
      </c>
      <c r="B6400" s="3" t="inlineStr">
        <is>
          <t>삼화네트웍스</t>
        </is>
      </c>
      <c r="C6400" s="2" t="inlineStr">
        <is>
          <t>코스닥</t>
        </is>
      </c>
      <c r="D6400" s="2" t="inlineStr">
        <is>
          <t>046390</t>
        </is>
      </c>
      <c r="E6400" s="3" t="inlineStr">
        <is>
          <t>주권매매거래정지해제              (액면병합 주권 변경상장)</t>
        </is>
      </c>
      <c r="F6400" s="3" t="inlineStr">
        <is>
          <t>코스닥시장본부</t>
        </is>
      </c>
      <c r="G6400" s="2" t="inlineStr">
        <is>
          <t>20260522900738</t>
        </is>
      </c>
      <c r="H6400" s="8">
        <f>HYPERLINK("https://dart.fss.or.kr/dsaf001/main.do?rcpNo=20260522900738", "공시열람")</f>
        <v/>
      </c>
    </row>
    <row r="6401">
      <c r="A6401" s="2" t="inlineStr">
        <is>
          <t>2026-05-22 (정정: 2026-05-22)</t>
        </is>
      </c>
      <c r="B6401" s="3" t="inlineStr">
        <is>
          <t>하나금융지주</t>
        </is>
      </c>
      <c r="C6401" s="2" t="inlineStr">
        <is>
          <t>코스피</t>
        </is>
      </c>
      <c r="D6401" s="2" t="inlineStr">
        <is>
          <t>086790</t>
        </is>
      </c>
      <c r="E6401" s="3" t="inlineStr">
        <is>
          <t>[발행조건확정]증권신고서(채무증권) (정정: 20260522) (정정: 20260522)</t>
        </is>
      </c>
      <c r="F6401" s="3" t="inlineStr">
        <is>
          <t>하나금융지주</t>
        </is>
      </c>
      <c r="G6401" s="2" t="inlineStr">
        <is>
          <t>20260522000212</t>
        </is>
      </c>
      <c r="H6401" s="8">
        <f>HYPERLINK("https://dart.fss.or.kr/dsaf001/main.do?rcpNo=20260522000212", "공시열람")</f>
        <v/>
      </c>
    </row>
    <row r="6402">
      <c r="A6402" s="2" t="inlineStr">
        <is>
          <t>2026-05-22</t>
        </is>
      </c>
      <c r="B6402" s="3" t="inlineStr">
        <is>
          <t>판타지오</t>
        </is>
      </c>
      <c r="C6402" s="2" t="inlineStr">
        <is>
          <t>코스닥</t>
        </is>
      </c>
      <c r="D6402" s="2" t="inlineStr">
        <is>
          <t>032800</t>
        </is>
      </c>
      <c r="E6402" s="3" t="inlineStr">
        <is>
          <t>임원ㆍ주요주주특정증권등소유상황보고서</t>
        </is>
      </c>
      <c r="F6402" s="3" t="inlineStr">
        <is>
          <t>엑스</t>
        </is>
      </c>
      <c r="G6402" s="2" t="inlineStr">
        <is>
          <t>20260522000497</t>
        </is>
      </c>
      <c r="H6402" s="8">
        <f>HYPERLINK("https://dart.fss.or.kr/dsaf001/main.do?rcpNo=20260522000497", "공시열람")</f>
        <v/>
      </c>
    </row>
    <row r="6403">
      <c r="A6403" s="2" t="inlineStr">
        <is>
          <t>2026-05-22</t>
        </is>
      </c>
      <c r="B6403" s="3" t="inlineStr">
        <is>
          <t>현대차증권</t>
        </is>
      </c>
      <c r="C6403" s="2" t="inlineStr">
        <is>
          <t>코스피</t>
        </is>
      </c>
      <c r="D6403" s="2" t="inlineStr">
        <is>
          <t>001500</t>
        </is>
      </c>
      <c r="E6403" s="3" t="inlineStr">
        <is>
          <t>증권발행실적보고서</t>
        </is>
      </c>
      <c r="F6403" s="3" t="inlineStr">
        <is>
          <t>현대차증권</t>
        </is>
      </c>
      <c r="G6403" s="2" t="inlineStr">
        <is>
          <t>20260522000494</t>
        </is>
      </c>
      <c r="H6403" s="8">
        <f>HYPERLINK("https://dart.fss.or.kr/dsaf001/main.do?rcpNo=20260522000494", "공시열람")</f>
        <v/>
      </c>
    </row>
    <row r="6404">
      <c r="A6404" s="2" t="inlineStr">
        <is>
          <t>2026-05-22</t>
        </is>
      </c>
      <c r="B6404" s="3" t="inlineStr">
        <is>
          <t>SKC</t>
        </is>
      </c>
      <c r="C6404" s="2" t="inlineStr">
        <is>
          <t>코스피</t>
        </is>
      </c>
      <c r="D6404" s="2" t="inlineStr">
        <is>
          <t>011790</t>
        </is>
      </c>
      <c r="E6404" s="3" t="inlineStr">
        <is>
          <t xml:space="preserve">풍문또는보도에대한해명(미확정)(자회사의 주요경영사항)              </t>
        </is>
      </c>
      <c r="F6404" s="3" t="inlineStr">
        <is>
          <t>SKC</t>
        </is>
      </c>
      <c r="G6404" s="2" t="inlineStr">
        <is>
          <t>20260522800645</t>
        </is>
      </c>
      <c r="H6404" s="8">
        <f>HYPERLINK("https://dart.fss.or.kr/dsaf001/main.do?rcpNo=20260522800645", "공시열람")</f>
        <v/>
      </c>
    </row>
    <row r="6405">
      <c r="A6405" s="2" t="inlineStr">
        <is>
          <t>2026-05-22</t>
        </is>
      </c>
      <c r="B6405" s="3" t="inlineStr">
        <is>
          <t>KBI메탈</t>
        </is>
      </c>
      <c r="C6405" s="2" t="inlineStr">
        <is>
          <t>코스닥</t>
        </is>
      </c>
      <c r="D6405" s="2" t="inlineStr">
        <is>
          <t>024840</t>
        </is>
      </c>
      <c r="E6405" s="3" t="inlineStr">
        <is>
          <t>임원ㆍ주요주주특정증권등거래계획보고서</t>
        </is>
      </c>
      <c r="F6405" s="3" t="inlineStr">
        <is>
          <t>케이비아이국인산업</t>
        </is>
      </c>
      <c r="G6405" s="2" t="inlineStr">
        <is>
          <t>20260522000492</t>
        </is>
      </c>
      <c r="H6405" s="8">
        <f>HYPERLINK("https://dart.fss.or.kr/dsaf001/main.do?rcpNo=20260522000492", "공시열람")</f>
        <v/>
      </c>
    </row>
    <row r="6406">
      <c r="A6406" s="2" t="inlineStr">
        <is>
          <t>2026-05-22</t>
        </is>
      </c>
      <c r="B6406" s="3" t="inlineStr">
        <is>
          <t>한화투자증권</t>
        </is>
      </c>
      <c r="C6406" s="2" t="inlineStr">
        <is>
          <t>코스피</t>
        </is>
      </c>
      <c r="D6406" s="2" t="inlineStr">
        <is>
          <t>003530</t>
        </is>
      </c>
      <c r="E6406" s="3" t="inlineStr">
        <is>
          <t>투자설명서(일괄신고)</t>
        </is>
      </c>
      <c r="F6406" s="3" t="inlineStr">
        <is>
          <t>한화투자증권</t>
        </is>
      </c>
      <c r="G6406" s="2" t="inlineStr">
        <is>
          <t>20260522000490</t>
        </is>
      </c>
      <c r="H6406" s="8">
        <f>HYPERLINK("https://dart.fss.or.kr/dsaf001/main.do?rcpNo=20260522000490", "공시열람")</f>
        <v/>
      </c>
    </row>
    <row r="6407">
      <c r="A6407" s="2" t="inlineStr">
        <is>
          <t>2026-05-22</t>
        </is>
      </c>
      <c r="B6407" s="3" t="inlineStr">
        <is>
          <t>벨로크</t>
        </is>
      </c>
      <c r="C6407" s="2" t="inlineStr">
        <is>
          <t>코스닥</t>
        </is>
      </c>
      <c r="D6407" s="2" t="inlineStr">
        <is>
          <t>424760</t>
        </is>
      </c>
      <c r="E6407" s="3" t="inlineStr">
        <is>
          <t>임원ㆍ주요주주특정증권등소유상황보고서</t>
        </is>
      </c>
      <c r="F6407" s="3" t="inlineStr">
        <is>
          <t>이영훈</t>
        </is>
      </c>
      <c r="G6407" s="2" t="inlineStr">
        <is>
          <t>20260522000489</t>
        </is>
      </c>
      <c r="H6407" s="8">
        <f>HYPERLINK("https://dart.fss.or.kr/dsaf001/main.do?rcpNo=20260522000489", "공시열람")</f>
        <v/>
      </c>
    </row>
    <row r="6408">
      <c r="A6408" s="2" t="inlineStr">
        <is>
          <t>2026-05-22</t>
        </is>
      </c>
      <c r="B6408" s="3" t="inlineStr">
        <is>
          <t>차바이오텍</t>
        </is>
      </c>
      <c r="C6408" s="2" t="inlineStr">
        <is>
          <t>코스닥</t>
        </is>
      </c>
      <c r="D6408" s="2" t="inlineStr">
        <is>
          <t>085660</t>
        </is>
      </c>
      <c r="E6408" s="3" t="inlineStr">
        <is>
          <t>임원ㆍ주요주주특정증권등소유상황보고서</t>
        </is>
      </c>
      <c r="F6408" s="3" t="inlineStr">
        <is>
          <t>고정재</t>
        </is>
      </c>
      <c r="G6408" s="2" t="inlineStr">
        <is>
          <t>20260522000484</t>
        </is>
      </c>
      <c r="H6408" s="8">
        <f>HYPERLINK("https://dart.fss.or.kr/dsaf001/main.do?rcpNo=20260522000484", "공시열람")</f>
        <v/>
      </c>
    </row>
    <row r="6409">
      <c r="A6409" s="2" t="inlineStr">
        <is>
          <t>2026-05-22 (정정: 2026-05-26)</t>
        </is>
      </c>
      <c r="B6409" s="3" t="inlineStr">
        <is>
          <t>한화솔루션</t>
        </is>
      </c>
      <c r="C6409" s="2" t="inlineStr">
        <is>
          <t>코스피</t>
        </is>
      </c>
      <c r="D6409" s="2" t="inlineStr">
        <is>
          <t>009830</t>
        </is>
      </c>
      <c r="E6409" s="3" t="inlineStr">
        <is>
          <t>풍문또는보도에대한해명(미확정)               (정정: 20260526) (정정: 20260526)</t>
        </is>
      </c>
      <c r="F6409" s="3" t="inlineStr">
        <is>
          <t>한화솔루션</t>
        </is>
      </c>
      <c r="G6409" s="2" t="inlineStr">
        <is>
          <t>20260526000350</t>
        </is>
      </c>
      <c r="H6409" s="8">
        <f>HYPERLINK("https://dart.fss.or.kr/dsaf001/main.do?rcpNo=20260526000350", "공시열람")</f>
        <v/>
      </c>
    </row>
    <row r="6410">
      <c r="A6410" s="2" t="inlineStr">
        <is>
          <t>2026-05-22</t>
        </is>
      </c>
      <c r="B6410" s="3" t="inlineStr">
        <is>
          <t>한화투자증권</t>
        </is>
      </c>
      <c r="C6410" s="2" t="inlineStr">
        <is>
          <t>코스피</t>
        </is>
      </c>
      <c r="D6410" s="2" t="inlineStr">
        <is>
          <t>003530</t>
        </is>
      </c>
      <c r="E6410" s="3" t="inlineStr">
        <is>
          <t>일괄신고추가서류(파생결합사채-주가연계파생결합사채)</t>
        </is>
      </c>
      <c r="F6410" s="3" t="inlineStr">
        <is>
          <t>한화투자증권</t>
        </is>
      </c>
      <c r="G6410" s="2" t="inlineStr">
        <is>
          <t>20260522000479</t>
        </is>
      </c>
      <c r="H6410" s="8">
        <f>HYPERLINK("https://dart.fss.or.kr/dsaf001/main.do?rcpNo=20260522000479", "공시열람")</f>
        <v/>
      </c>
    </row>
    <row r="6411">
      <c r="A6411" s="2" t="inlineStr">
        <is>
          <t>2026-05-22</t>
        </is>
      </c>
      <c r="B6411" s="3" t="inlineStr">
        <is>
          <t>교보증권</t>
        </is>
      </c>
      <c r="C6411" s="2" t="inlineStr">
        <is>
          <t>코스피</t>
        </is>
      </c>
      <c r="D6411" s="2" t="inlineStr">
        <is>
          <t>030610</t>
        </is>
      </c>
      <c r="E6411" s="3" t="inlineStr">
        <is>
          <t>증권발행실적보고서</t>
        </is>
      </c>
      <c r="F6411" s="3" t="inlineStr">
        <is>
          <t>교보증권</t>
        </is>
      </c>
      <c r="G6411" s="2" t="inlineStr">
        <is>
          <t>20260522000477</t>
        </is>
      </c>
      <c r="H6411" s="8">
        <f>HYPERLINK("https://dart.fss.or.kr/dsaf001/main.do?rcpNo=20260522000477", "공시열람")</f>
        <v/>
      </c>
    </row>
    <row r="6412">
      <c r="A6412" s="2" t="inlineStr">
        <is>
          <t>2026-05-22</t>
        </is>
      </c>
      <c r="B6412" s="3" t="inlineStr">
        <is>
          <t>빅솔론</t>
        </is>
      </c>
      <c r="C6412" s="2" t="inlineStr">
        <is>
          <t>코스닥</t>
        </is>
      </c>
      <c r="D6412" s="2" t="inlineStr">
        <is>
          <t>093190</t>
        </is>
      </c>
      <c r="E6412" s="3" t="inlineStr">
        <is>
          <t>임원ㆍ주요주주특정증권등소유상황보고서</t>
        </is>
      </c>
      <c r="F6412" s="3" t="inlineStr">
        <is>
          <t>아이디스홀딩스</t>
        </is>
      </c>
      <c r="G6412" s="2" t="inlineStr">
        <is>
          <t>20260522000475</t>
        </is>
      </c>
      <c r="H6412" s="8">
        <f>HYPERLINK("https://dart.fss.or.kr/dsaf001/main.do?rcpNo=20260522000475", "공시열람")</f>
        <v/>
      </c>
    </row>
    <row r="6413">
      <c r="A6413" s="2" t="inlineStr">
        <is>
          <t>2026-05-22</t>
        </is>
      </c>
      <c r="B6413" s="3" t="inlineStr">
        <is>
          <t>NH투자증권</t>
        </is>
      </c>
      <c r="C6413" s="2" t="inlineStr">
        <is>
          <t>코스피</t>
        </is>
      </c>
      <c r="D6413" s="2" t="inlineStr">
        <is>
          <t>005940</t>
        </is>
      </c>
      <c r="E6413" s="3" t="inlineStr">
        <is>
          <t>일괄신고추가서류(파생결합증권-주가연계증권)</t>
        </is>
      </c>
      <c r="F6413" s="3" t="inlineStr">
        <is>
          <t>NH투자증권</t>
        </is>
      </c>
      <c r="G6413" s="2" t="inlineStr">
        <is>
          <t>20260522000474</t>
        </is>
      </c>
      <c r="H6413" s="8">
        <f>HYPERLINK("https://dart.fss.or.kr/dsaf001/main.do?rcpNo=20260522000474", "공시열람")</f>
        <v/>
      </c>
    </row>
    <row r="6414">
      <c r="A6414" s="2" t="inlineStr">
        <is>
          <t>2026-05-22</t>
        </is>
      </c>
      <c r="B6414" s="3" t="inlineStr">
        <is>
          <t>한화투자증권</t>
        </is>
      </c>
      <c r="C6414" s="2" t="inlineStr">
        <is>
          <t>코스피</t>
        </is>
      </c>
      <c r="D6414" s="2" t="inlineStr">
        <is>
          <t>003530</t>
        </is>
      </c>
      <c r="E6414" s="3" t="inlineStr">
        <is>
          <t>특수관계인에대한자금대여</t>
        </is>
      </c>
      <c r="F6414" s="3" t="inlineStr">
        <is>
          <t>한화투자증권</t>
        </is>
      </c>
      <c r="G6414" s="2" t="inlineStr">
        <is>
          <t>20260522000470</t>
        </is>
      </c>
      <c r="H6414" s="8">
        <f>HYPERLINK("https://dart.fss.or.kr/dsaf001/main.do?rcpNo=20260522000470", "공시열람")</f>
        <v/>
      </c>
    </row>
    <row r="6415">
      <c r="A6415" s="2" t="inlineStr">
        <is>
          <t>2026-05-22</t>
        </is>
      </c>
      <c r="B6415" s="3" t="inlineStr">
        <is>
          <t>신신제약</t>
        </is>
      </c>
      <c r="C6415" s="2" t="inlineStr">
        <is>
          <t>코스닥</t>
        </is>
      </c>
      <c r="D6415" s="2" t="inlineStr">
        <is>
          <t>002800</t>
        </is>
      </c>
      <c r="E6415" s="3" t="inlineStr">
        <is>
          <t>투자판단관련주요경영사항(임상시험계획자진취하등)              (불면증 환자의 단기치료제 SS262의 제1상 임상시험 조기종료)</t>
        </is>
      </c>
      <c r="F6415" s="3" t="inlineStr">
        <is>
          <t>신신제약</t>
        </is>
      </c>
      <c r="G6415" s="2" t="inlineStr">
        <is>
          <t>20260522900652</t>
        </is>
      </c>
      <c r="H6415" s="8">
        <f>HYPERLINK("https://dart.fss.or.kr/dsaf001/main.do?rcpNo=20260522900652", "공시열람")</f>
        <v/>
      </c>
    </row>
    <row r="6416">
      <c r="A6416" s="2" t="inlineStr">
        <is>
          <t>2026-05-22</t>
        </is>
      </c>
      <c r="B6416" s="3" t="inlineStr">
        <is>
          <t>신신제약</t>
        </is>
      </c>
      <c r="C6416" s="2" t="inlineStr">
        <is>
          <t>코스닥</t>
        </is>
      </c>
      <c r="D6416" s="2" t="inlineStr">
        <is>
          <t>002800</t>
        </is>
      </c>
      <c r="E6416" s="3" t="inlineStr">
        <is>
          <t>투자판단관련주요경영사항(임상시험계획자진취하등)              (과민성 방광 치료제 UIP620의 제3상 임상시험 조기종료)</t>
        </is>
      </c>
      <c r="F6416" s="3" t="inlineStr">
        <is>
          <t>신신제약</t>
        </is>
      </c>
      <c r="G6416" s="2" t="inlineStr">
        <is>
          <t>20260522900656</t>
        </is>
      </c>
      <c r="H6416" s="8">
        <f>HYPERLINK("https://dart.fss.or.kr/dsaf001/main.do?rcpNo=20260522900656", "공시열람")</f>
        <v/>
      </c>
    </row>
    <row r="6417">
      <c r="A6417" s="2" t="inlineStr">
        <is>
          <t>2026-05-22</t>
        </is>
      </c>
      <c r="B6417" s="3" t="inlineStr">
        <is>
          <t>우리금융지주</t>
        </is>
      </c>
      <c r="C6417" s="2" t="inlineStr">
        <is>
          <t>코스피</t>
        </is>
      </c>
      <c r="D6417" s="2" t="inlineStr">
        <is>
          <t>316140</t>
        </is>
      </c>
      <c r="E6417" s="3" t="inlineStr">
        <is>
          <t>증권발행실적보고서</t>
        </is>
      </c>
      <c r="F6417" s="3" t="inlineStr">
        <is>
          <t>우리금융지주</t>
        </is>
      </c>
      <c r="G6417" s="2" t="inlineStr">
        <is>
          <t>20260522000468</t>
        </is>
      </c>
      <c r="H6417" s="8">
        <f>HYPERLINK("https://dart.fss.or.kr/dsaf001/main.do?rcpNo=20260522000468", "공시열람")</f>
        <v/>
      </c>
    </row>
    <row r="6418">
      <c r="A6418" s="2" t="inlineStr">
        <is>
          <t>2026-05-22</t>
        </is>
      </c>
      <c r="B6418" s="3" t="inlineStr">
        <is>
          <t>폴라리스세원</t>
        </is>
      </c>
      <c r="C6418" s="2" t="inlineStr">
        <is>
          <t>코스닥</t>
        </is>
      </c>
      <c r="D6418" s="2" t="inlineStr">
        <is>
          <t>234100</t>
        </is>
      </c>
      <c r="E6418" s="3" t="inlineStr">
        <is>
          <t>주권매매거래정지해제              (액면병합 주권 변경상장)</t>
        </is>
      </c>
      <c r="F6418" s="3" t="inlineStr">
        <is>
          <t>코스닥시장본부</t>
        </is>
      </c>
      <c r="G6418" s="2" t="inlineStr">
        <is>
          <t>20260522900662</t>
        </is>
      </c>
      <c r="H6418" s="8">
        <f>HYPERLINK("https://dart.fss.or.kr/dsaf001/main.do?rcpNo=20260522900662", "공시열람")</f>
        <v/>
      </c>
    </row>
    <row r="6419">
      <c r="A6419" s="2" t="inlineStr">
        <is>
          <t>2026-05-22</t>
        </is>
      </c>
      <c r="B6419" s="3" t="inlineStr">
        <is>
          <t>엔바이오니아</t>
        </is>
      </c>
      <c r="C6419" s="2" t="inlineStr">
        <is>
          <t>코스닥</t>
        </is>
      </c>
      <c r="D6419" s="2" t="inlineStr">
        <is>
          <t>317870</t>
        </is>
      </c>
      <c r="E6419" s="3" t="inlineStr">
        <is>
          <t xml:space="preserve">본점소재지변경              </t>
        </is>
      </c>
      <c r="F6419" s="3" t="inlineStr">
        <is>
          <t>엔바이오니아</t>
        </is>
      </c>
      <c r="G6419" s="2" t="inlineStr">
        <is>
          <t>20260522900668</t>
        </is>
      </c>
      <c r="H6419" s="8">
        <f>HYPERLINK("https://dart.fss.or.kr/dsaf001/main.do?rcpNo=20260522900668", "공시열람")</f>
        <v/>
      </c>
    </row>
    <row r="6420">
      <c r="A6420" s="2" t="inlineStr">
        <is>
          <t>2026-05-22</t>
        </is>
      </c>
      <c r="B6420" s="3" t="inlineStr">
        <is>
          <t>텔레칩스</t>
        </is>
      </c>
      <c r="C6420" s="2" t="inlineStr">
        <is>
          <t>코스닥</t>
        </is>
      </c>
      <c r="D6420" s="2" t="inlineStr">
        <is>
          <t>054450</t>
        </is>
      </c>
      <c r="E6420" s="3" t="inlineStr">
        <is>
          <t>임원ㆍ주요주주특정증권등소유상황보고서</t>
        </is>
      </c>
      <c r="F6420" s="3" t="inlineStr">
        <is>
          <t>이완규</t>
        </is>
      </c>
      <c r="G6420" s="2" t="inlineStr">
        <is>
          <t>20260522000467</t>
        </is>
      </c>
      <c r="H6420" s="8">
        <f>HYPERLINK("https://dart.fss.or.kr/dsaf001/main.do?rcpNo=20260522000467", "공시열람")</f>
        <v/>
      </c>
    </row>
    <row r="6421">
      <c r="A6421" s="2" t="inlineStr">
        <is>
          <t>2026-05-22</t>
        </is>
      </c>
      <c r="B6421" s="3" t="inlineStr">
        <is>
          <t>두산에너빌리티</t>
        </is>
      </c>
      <c r="C6421" s="2" t="inlineStr">
        <is>
          <t>코스피</t>
        </is>
      </c>
      <c r="D6421" s="2" t="inlineStr">
        <is>
          <t>034020</t>
        </is>
      </c>
      <c r="E6421" s="3" t="inlineStr">
        <is>
          <t xml:space="preserve">기업설명회(IR)개최(안내공시)              </t>
        </is>
      </c>
      <c r="F6421" s="3" t="inlineStr">
        <is>
          <t>두산에너빌리티</t>
        </is>
      </c>
      <c r="G6421" s="2" t="inlineStr">
        <is>
          <t>20260522800655</t>
        </is>
      </c>
      <c r="H6421" s="8">
        <f>HYPERLINK("https://dart.fss.or.kr/dsaf001/main.do?rcpNo=20260522800655", "공시열람")</f>
        <v/>
      </c>
    </row>
    <row r="6422">
      <c r="A6422" s="2" t="inlineStr">
        <is>
          <t>2026-05-22</t>
        </is>
      </c>
      <c r="B6422" s="3" t="inlineStr">
        <is>
          <t>필옵틱스</t>
        </is>
      </c>
      <c r="C6422" s="2" t="inlineStr">
        <is>
          <t>코스닥</t>
        </is>
      </c>
      <c r="D6422" s="2" t="inlineStr">
        <is>
          <t>161580</t>
        </is>
      </c>
      <c r="E6422" s="3" t="inlineStr">
        <is>
          <t>임원ㆍ주요주주특정증권등소유상황보고서</t>
        </is>
      </c>
      <c r="F6422" s="3" t="inlineStr">
        <is>
          <t>임옥규</t>
        </is>
      </c>
      <c r="G6422" s="2" t="inlineStr">
        <is>
          <t>20260522000463</t>
        </is>
      </c>
      <c r="H6422" s="8">
        <f>HYPERLINK("https://dart.fss.or.kr/dsaf001/main.do?rcpNo=20260522000463", "공시열람")</f>
        <v/>
      </c>
    </row>
    <row r="6423">
      <c r="A6423" s="2" t="inlineStr">
        <is>
          <t>2026-05-22</t>
        </is>
      </c>
      <c r="B6423" s="3" t="inlineStr">
        <is>
          <t>레이저쎌</t>
        </is>
      </c>
      <c r="C6423" s="2" t="inlineStr">
        <is>
          <t>코스닥</t>
        </is>
      </c>
      <c r="D6423" s="2" t="inlineStr">
        <is>
          <t>412350</t>
        </is>
      </c>
      <c r="E6423" s="3" t="inlineStr">
        <is>
          <t xml:space="preserve">전환청구권행사              </t>
        </is>
      </c>
      <c r="F6423" s="3" t="inlineStr">
        <is>
          <t>레이저쎌</t>
        </is>
      </c>
      <c r="G6423" s="2" t="inlineStr">
        <is>
          <t>20260522900649</t>
        </is>
      </c>
      <c r="H6423" s="8">
        <f>HYPERLINK("https://dart.fss.or.kr/dsaf001/main.do?rcpNo=20260522900649", "공시열람")</f>
        <v/>
      </c>
    </row>
    <row r="6424">
      <c r="A6424" s="2" t="inlineStr">
        <is>
          <t>2026-05-22</t>
        </is>
      </c>
      <c r="B6424" s="3" t="inlineStr">
        <is>
          <t>SH에너지화학</t>
        </is>
      </c>
      <c r="C6424" s="2" t="inlineStr">
        <is>
          <t>코스피</t>
        </is>
      </c>
      <c r="D6424" s="2" t="inlineStr">
        <is>
          <t>002360</t>
        </is>
      </c>
      <c r="E6424" s="3" t="inlineStr">
        <is>
          <t>신탁계약해지결과보고서</t>
        </is>
      </c>
      <c r="F6424" s="3" t="inlineStr">
        <is>
          <t>SH에너지화학</t>
        </is>
      </c>
      <c r="G6424" s="2" t="inlineStr">
        <is>
          <t>20260522000462</t>
        </is>
      </c>
      <c r="H6424" s="8">
        <f>HYPERLINK("https://dart.fss.or.kr/dsaf001/main.do?rcpNo=20260522000462", "공시열람")</f>
        <v/>
      </c>
    </row>
    <row r="6425">
      <c r="A6425" s="2" t="inlineStr">
        <is>
          <t>2026-05-22</t>
        </is>
      </c>
      <c r="B6425" s="3" t="inlineStr">
        <is>
          <t>대신증권</t>
        </is>
      </c>
      <c r="C6425" s="2" t="inlineStr">
        <is>
          <t>코스피</t>
        </is>
      </c>
      <c r="D6425" s="2" t="inlineStr">
        <is>
          <t>003540</t>
        </is>
      </c>
      <c r="E6425" s="3" t="inlineStr">
        <is>
          <t>투자설명서(일괄신고)</t>
        </is>
      </c>
      <c r="F6425" s="3" t="inlineStr">
        <is>
          <t>대신증권</t>
        </is>
      </c>
      <c r="G6425" s="2" t="inlineStr">
        <is>
          <t>20260522000459</t>
        </is>
      </c>
      <c r="H6425" s="8">
        <f>HYPERLINK("https://dart.fss.or.kr/dsaf001/main.do?rcpNo=20260522000459", "공시열람")</f>
        <v/>
      </c>
    </row>
    <row r="6426">
      <c r="A6426" s="2" t="inlineStr">
        <is>
          <t>2026-05-22</t>
        </is>
      </c>
      <c r="B6426" s="3" t="inlineStr">
        <is>
          <t>엠에스오토텍</t>
        </is>
      </c>
      <c r="C6426" s="2" t="inlineStr">
        <is>
          <t>코스닥</t>
        </is>
      </c>
      <c r="D6426" s="2" t="inlineStr">
        <is>
          <t>123040</t>
        </is>
      </c>
      <c r="E6426" s="3" t="inlineStr">
        <is>
          <t xml:space="preserve">증권발행결과(자율공시)              </t>
        </is>
      </c>
      <c r="F6426" s="3" t="inlineStr">
        <is>
          <t>엠에스오토텍</t>
        </is>
      </c>
      <c r="G6426" s="2" t="inlineStr">
        <is>
          <t>20260522900633</t>
        </is>
      </c>
      <c r="H6426" s="8">
        <f>HYPERLINK("https://dart.fss.or.kr/dsaf001/main.do?rcpNo=20260522900633", "공시열람")</f>
        <v/>
      </c>
    </row>
    <row r="6427">
      <c r="A6427" s="2" t="inlineStr">
        <is>
          <t>2026-05-22</t>
        </is>
      </c>
      <c r="B6427" s="3" t="inlineStr">
        <is>
          <t>현대백화점</t>
        </is>
      </c>
      <c r="C6427" s="2" t="inlineStr">
        <is>
          <t>코스피</t>
        </is>
      </c>
      <c r="D6427" s="2" t="inlineStr">
        <is>
          <t>069960</t>
        </is>
      </c>
      <c r="E6427" s="3" t="inlineStr">
        <is>
          <t xml:space="preserve">기업설명회(IR)개최(안내공시)              </t>
        </is>
      </c>
      <c r="F6427" s="3" t="inlineStr">
        <is>
          <t>현대백화점</t>
        </is>
      </c>
      <c r="G6427" s="2" t="inlineStr">
        <is>
          <t>20260522800632</t>
        </is>
      </c>
      <c r="H6427" s="8">
        <f>HYPERLINK("https://dart.fss.or.kr/dsaf001/main.do?rcpNo=20260522800632", "공시열람")</f>
        <v/>
      </c>
    </row>
    <row r="6428">
      <c r="A6428" s="2" t="inlineStr">
        <is>
          <t>2026-05-22</t>
        </is>
      </c>
      <c r="B6428" s="3" t="inlineStr">
        <is>
          <t>현대건설</t>
        </is>
      </c>
      <c r="C6428" s="2" t="inlineStr">
        <is>
          <t>코스피</t>
        </is>
      </c>
      <c r="D6428" s="2" t="inlineStr">
        <is>
          <t>000720</t>
        </is>
      </c>
      <c r="E6428" s="3" t="inlineStr">
        <is>
          <t>임원ㆍ주요주주특정증권등소유상황보고서</t>
        </is>
      </c>
      <c r="F6428" s="3" t="inlineStr">
        <is>
          <t>박병규</t>
        </is>
      </c>
      <c r="G6428" s="2" t="inlineStr">
        <is>
          <t>20260522000455</t>
        </is>
      </c>
      <c r="H6428" s="8">
        <f>HYPERLINK("https://dart.fss.or.kr/dsaf001/main.do?rcpNo=20260522000455", "공시열람")</f>
        <v/>
      </c>
    </row>
    <row r="6429">
      <c r="A6429" s="2" t="inlineStr">
        <is>
          <t>2026-05-22</t>
        </is>
      </c>
      <c r="B6429" s="3" t="inlineStr">
        <is>
          <t>HLB제약</t>
        </is>
      </c>
      <c r="C6429" s="2" t="inlineStr">
        <is>
          <t>코스닥</t>
        </is>
      </c>
      <c r="D6429" s="2" t="inlineStr">
        <is>
          <t>047920</t>
        </is>
      </c>
      <c r="E6429" s="3" t="inlineStr">
        <is>
          <t>사외이사의선임ㆍ해임또는중도퇴임에관한신고</t>
        </is>
      </c>
      <c r="F6429" s="3" t="inlineStr">
        <is>
          <t>HLB제약</t>
        </is>
      </c>
      <c r="G6429" s="2" t="inlineStr">
        <is>
          <t>20260522000453</t>
        </is>
      </c>
      <c r="H6429" s="8">
        <f>HYPERLINK("https://dart.fss.or.kr/dsaf001/main.do?rcpNo=20260522000453", "공시열람")</f>
        <v/>
      </c>
    </row>
    <row r="6430">
      <c r="A6430" s="2" t="inlineStr">
        <is>
          <t>2026-05-22</t>
        </is>
      </c>
      <c r="B6430" s="3" t="inlineStr">
        <is>
          <t>에이비온</t>
        </is>
      </c>
      <c r="C6430" s="2" t="inlineStr">
        <is>
          <t>코스닥</t>
        </is>
      </c>
      <c r="D6430" s="2" t="inlineStr">
        <is>
          <t>203400</t>
        </is>
      </c>
      <c r="E6430" s="3" t="inlineStr">
        <is>
          <t>임원ㆍ주요주주특정증권등소유상황보고서</t>
        </is>
      </c>
      <c r="F6430" s="3" t="inlineStr">
        <is>
          <t>신영기</t>
        </is>
      </c>
      <c r="G6430" s="2" t="inlineStr">
        <is>
          <t>20260522000450</t>
        </is>
      </c>
      <c r="H6430" s="8">
        <f>HYPERLINK("https://dart.fss.or.kr/dsaf001/main.do?rcpNo=20260522000450", "공시열람")</f>
        <v/>
      </c>
    </row>
    <row r="6431">
      <c r="A6431" s="2" t="inlineStr">
        <is>
          <t>2026-05-22</t>
        </is>
      </c>
      <c r="B6431" s="3" t="inlineStr">
        <is>
          <t>한화투자증권</t>
        </is>
      </c>
      <c r="C6431" s="2" t="inlineStr">
        <is>
          <t>코스피</t>
        </is>
      </c>
      <c r="D6431" s="2" t="inlineStr">
        <is>
          <t>003530</t>
        </is>
      </c>
      <c r="E6431" s="3" t="inlineStr">
        <is>
          <t>투자설명서(일괄신고)</t>
        </is>
      </c>
      <c r="F6431" s="3" t="inlineStr">
        <is>
          <t>한화투자증권</t>
        </is>
      </c>
      <c r="G6431" s="2" t="inlineStr">
        <is>
          <t>20260522000449</t>
        </is>
      </c>
      <c r="H6431" s="8">
        <f>HYPERLINK("https://dart.fss.or.kr/dsaf001/main.do?rcpNo=20260522000449", "공시열람")</f>
        <v/>
      </c>
    </row>
    <row r="6432">
      <c r="A6432" s="2" t="inlineStr">
        <is>
          <t>2026-05-22</t>
        </is>
      </c>
      <c r="B6432" s="3" t="inlineStr">
        <is>
          <t>대신증권</t>
        </is>
      </c>
      <c r="C6432" s="2" t="inlineStr">
        <is>
          <t>코스피</t>
        </is>
      </c>
      <c r="D6432" s="2" t="inlineStr">
        <is>
          <t>003540</t>
        </is>
      </c>
      <c r="E6432" s="3" t="inlineStr">
        <is>
          <t>일괄신고추가서류(파생결합사채-주가연계파생결합사채)</t>
        </is>
      </c>
      <c r="F6432" s="3" t="inlineStr">
        <is>
          <t>대신증권</t>
        </is>
      </c>
      <c r="G6432" s="2" t="inlineStr">
        <is>
          <t>20260522000448</t>
        </is>
      </c>
      <c r="H6432" s="8">
        <f>HYPERLINK("https://dart.fss.or.kr/dsaf001/main.do?rcpNo=20260522000448", "공시열람")</f>
        <v/>
      </c>
    </row>
    <row r="6433">
      <c r="A6433" s="2" t="inlineStr">
        <is>
          <t>2026-05-22</t>
        </is>
      </c>
      <c r="B6433" s="3" t="inlineStr">
        <is>
          <t>제이티</t>
        </is>
      </c>
      <c r="C6433" s="2" t="inlineStr">
        <is>
          <t>코스닥</t>
        </is>
      </c>
      <c r="D6433" s="2" t="inlineStr">
        <is>
          <t>089790</t>
        </is>
      </c>
      <c r="E6433" s="3" t="inlineStr">
        <is>
          <t>주식매수선택권부여에관한신고</t>
        </is>
      </c>
      <c r="F6433" s="3" t="inlineStr">
        <is>
          <t>제이티</t>
        </is>
      </c>
      <c r="G6433" s="2" t="inlineStr">
        <is>
          <t>20260522000446</t>
        </is>
      </c>
      <c r="H6433" s="8">
        <f>HYPERLINK("https://dart.fss.or.kr/dsaf001/main.do?rcpNo=20260522000446", "공시열람")</f>
        <v/>
      </c>
    </row>
    <row r="6434">
      <c r="A6434" s="2" t="inlineStr">
        <is>
          <t>2026-05-22</t>
        </is>
      </c>
      <c r="B6434" s="3" t="inlineStr">
        <is>
          <t>한화투자증권</t>
        </is>
      </c>
      <c r="C6434" s="2" t="inlineStr">
        <is>
          <t>코스피</t>
        </is>
      </c>
      <c r="D6434" s="2" t="inlineStr">
        <is>
          <t>003530</t>
        </is>
      </c>
      <c r="E6434" s="3" t="inlineStr">
        <is>
          <t>일괄신고추가서류(파생결합증권-주가연계증권)</t>
        </is>
      </c>
      <c r="F6434" s="3" t="inlineStr">
        <is>
          <t>한화투자증권</t>
        </is>
      </c>
      <c r="G6434" s="2" t="inlineStr">
        <is>
          <t>20260522000443</t>
        </is>
      </c>
      <c r="H6434" s="8">
        <f>HYPERLINK("https://dart.fss.or.kr/dsaf001/main.do?rcpNo=20260522000443", "공시열람")</f>
        <v/>
      </c>
    </row>
    <row r="6435">
      <c r="A6435" s="2" t="inlineStr">
        <is>
          <t>2026-05-22</t>
        </is>
      </c>
      <c r="B6435" s="3" t="inlineStr">
        <is>
          <t>카나프테라퓨틱스</t>
        </is>
      </c>
      <c r="C6435" s="2" t="inlineStr">
        <is>
          <t>코스닥</t>
        </is>
      </c>
      <c r="D6435" s="2" t="inlineStr">
        <is>
          <t>0082N0</t>
        </is>
      </c>
      <c r="E6435" s="3" t="inlineStr">
        <is>
          <t>임원ㆍ주요주주특정증권등소유상황보고서</t>
        </is>
      </c>
      <c r="F6435" s="3" t="inlineStr">
        <is>
          <t>김남주</t>
        </is>
      </c>
      <c r="G6435" s="2" t="inlineStr">
        <is>
          <t>20260522000442</t>
        </is>
      </c>
      <c r="H6435" s="8">
        <f>HYPERLINK("https://dart.fss.or.kr/dsaf001/main.do?rcpNo=20260522000442", "공시열람")</f>
        <v/>
      </c>
    </row>
    <row r="6436">
      <c r="A6436" s="2" t="inlineStr">
        <is>
          <t>2026-05-22</t>
        </is>
      </c>
      <c r="B6436" s="3" t="inlineStr">
        <is>
          <t>한화투자증권</t>
        </is>
      </c>
      <c r="C6436" s="2" t="inlineStr">
        <is>
          <t>코스피</t>
        </is>
      </c>
      <c r="D6436" s="2" t="inlineStr">
        <is>
          <t>003530</t>
        </is>
      </c>
      <c r="E6436" s="3" t="inlineStr">
        <is>
          <t>투자설명서(일괄신고)</t>
        </is>
      </c>
      <c r="F6436" s="3" t="inlineStr">
        <is>
          <t>한화투자증권</t>
        </is>
      </c>
      <c r="G6436" s="2" t="inlineStr">
        <is>
          <t>20260522000441</t>
        </is>
      </c>
      <c r="H6436" s="8">
        <f>HYPERLINK("https://dart.fss.or.kr/dsaf001/main.do?rcpNo=20260522000441", "공시열람")</f>
        <v/>
      </c>
    </row>
    <row r="6437">
      <c r="A6437" s="2" t="inlineStr">
        <is>
          <t>2026-05-22</t>
        </is>
      </c>
      <c r="B6437" s="3" t="inlineStr">
        <is>
          <t>한화투자증권</t>
        </is>
      </c>
      <c r="C6437" s="2" t="inlineStr">
        <is>
          <t>코스피</t>
        </is>
      </c>
      <c r="D6437" s="2" t="inlineStr">
        <is>
          <t>003530</t>
        </is>
      </c>
      <c r="E6437" s="3" t="inlineStr">
        <is>
          <t>일괄신고추가서류(파생결합사채-주가연계파생결합사채)</t>
        </is>
      </c>
      <c r="F6437" s="3" t="inlineStr">
        <is>
          <t>한화투자증권</t>
        </is>
      </c>
      <c r="G6437" s="2" t="inlineStr">
        <is>
          <t>20260522000437</t>
        </is>
      </c>
      <c r="H6437" s="8">
        <f>HYPERLINK("https://dart.fss.or.kr/dsaf001/main.do?rcpNo=20260522000437", "공시열람")</f>
        <v/>
      </c>
    </row>
    <row r="6438">
      <c r="A6438" s="2" t="inlineStr">
        <is>
          <t>2026-05-22</t>
        </is>
      </c>
      <c r="B6438" s="3" t="inlineStr">
        <is>
          <t>엔젠바이오</t>
        </is>
      </c>
      <c r="C6438" s="2" t="inlineStr">
        <is>
          <t>코스닥</t>
        </is>
      </c>
      <c r="D6438" s="2" t="inlineStr">
        <is>
          <t>354200</t>
        </is>
      </c>
      <c r="E6438" s="3" t="inlineStr">
        <is>
          <t>의결권대리행사권유참고서류</t>
        </is>
      </c>
      <c r="F6438" s="3" t="inlineStr">
        <is>
          <t>엔젠바이오</t>
        </is>
      </c>
      <c r="G6438" s="2" t="inlineStr">
        <is>
          <t>20260522000436</t>
        </is>
      </c>
      <c r="H6438" s="8">
        <f>HYPERLINK("https://dart.fss.or.kr/dsaf001/main.do?rcpNo=20260522000436", "공시열람")</f>
        <v/>
      </c>
    </row>
    <row r="6439">
      <c r="A6439" s="2" t="inlineStr">
        <is>
          <t>2026-05-22</t>
        </is>
      </c>
      <c r="B6439" s="3" t="inlineStr">
        <is>
          <t>씨씨에스</t>
        </is>
      </c>
      <c r="C6439" s="2" t="inlineStr">
        <is>
          <t>코스닥</t>
        </is>
      </c>
      <c r="D6439" s="2" t="inlineStr">
        <is>
          <t>066790</t>
        </is>
      </c>
      <c r="E6439" s="3" t="inlineStr">
        <is>
          <t>투자판단관련주요경영사항              (소액주주에 의한 [일시 이사의 직무를 행할 자의 선임에 관한 재판요청서] 신청에 대한 결정)</t>
        </is>
      </c>
      <c r="F6439" s="3" t="inlineStr">
        <is>
          <t>씨씨에스</t>
        </is>
      </c>
      <c r="G6439" s="2" t="inlineStr">
        <is>
          <t>20260522900547</t>
        </is>
      </c>
      <c r="H6439" s="8">
        <f>HYPERLINK("https://dart.fss.or.kr/dsaf001/main.do?rcpNo=20260522900547", "공시열람")</f>
        <v/>
      </c>
    </row>
    <row r="6440">
      <c r="A6440" s="2" t="inlineStr">
        <is>
          <t>2026-05-22</t>
        </is>
      </c>
      <c r="B6440" s="3" t="inlineStr">
        <is>
          <t>카나프테라퓨틱스</t>
        </is>
      </c>
      <c r="C6440" s="2" t="inlineStr">
        <is>
          <t>코스닥</t>
        </is>
      </c>
      <c r="D6440" s="2" t="inlineStr">
        <is>
          <t>0082N0</t>
        </is>
      </c>
      <c r="E6440" s="3" t="inlineStr">
        <is>
          <t>임원ㆍ주요주주특정증권등소유상황보고서</t>
        </is>
      </c>
      <c r="F6440" s="3" t="inlineStr">
        <is>
          <t>김동건</t>
        </is>
      </c>
      <c r="G6440" s="2" t="inlineStr">
        <is>
          <t>20260522000434</t>
        </is>
      </c>
      <c r="H6440" s="8">
        <f>HYPERLINK("https://dart.fss.or.kr/dsaf001/main.do?rcpNo=20260522000434", "공시열람")</f>
        <v/>
      </c>
    </row>
    <row r="6441">
      <c r="A6441" s="2" t="inlineStr">
        <is>
          <t>2026-05-22 (정정: 2026-06-09)</t>
        </is>
      </c>
      <c r="B6441" s="3" t="inlineStr">
        <is>
          <t>지니너스</t>
        </is>
      </c>
      <c r="C6441" s="2" t="inlineStr">
        <is>
          <t>코스닥</t>
        </is>
      </c>
      <c r="D6441" s="2" t="inlineStr">
        <is>
          <t>389030</t>
        </is>
      </c>
      <c r="E6441" s="3" t="inlineStr">
        <is>
          <t>전환청구권행사               (정정: 20260529) (정정: 20260609)</t>
        </is>
      </c>
      <c r="F6441" s="3" t="inlineStr">
        <is>
          <t>지니너스</t>
        </is>
      </c>
      <c r="G6441" s="2" t="inlineStr">
        <is>
          <t>20260609900303</t>
        </is>
      </c>
      <c r="H6441" s="8">
        <f>HYPERLINK("https://dart.fss.or.kr/dsaf001/main.do?rcpNo=20260609900303", "공시열람")</f>
        <v/>
      </c>
    </row>
    <row r="6442">
      <c r="A6442" s="2" t="inlineStr">
        <is>
          <t>2026-05-22</t>
        </is>
      </c>
      <c r="B6442" s="3" t="inlineStr">
        <is>
          <t>유니크</t>
        </is>
      </c>
      <c r="C6442" s="2" t="inlineStr">
        <is>
          <t>코스닥</t>
        </is>
      </c>
      <c r="D6442" s="2" t="inlineStr">
        <is>
          <t>011320</t>
        </is>
      </c>
      <c r="E6442" s="3" t="inlineStr">
        <is>
          <t xml:space="preserve">주주명부폐쇄기간또는기준일설정              </t>
        </is>
      </c>
      <c r="F6442" s="3" t="inlineStr">
        <is>
          <t>유니크</t>
        </is>
      </c>
      <c r="G6442" s="2" t="inlineStr">
        <is>
          <t>20260522900600</t>
        </is>
      </c>
      <c r="H6442" s="8">
        <f>HYPERLINK("https://dart.fss.or.kr/dsaf001/main.do?rcpNo=20260522900600", "공시열람")</f>
        <v/>
      </c>
    </row>
    <row r="6443">
      <c r="A6443" s="2" t="inlineStr">
        <is>
          <t>2026-05-22</t>
        </is>
      </c>
      <c r="B6443" s="3" t="inlineStr">
        <is>
          <t>키움증권</t>
        </is>
      </c>
      <c r="C6443" s="2" t="inlineStr">
        <is>
          <t>코스피</t>
        </is>
      </c>
      <c r="D6443" s="2" t="inlineStr">
        <is>
          <t>039490</t>
        </is>
      </c>
      <c r="E6443" s="3" t="inlineStr">
        <is>
          <t>증권발행실적보고서</t>
        </is>
      </c>
      <c r="F6443" s="3" t="inlineStr">
        <is>
          <t>키움증권</t>
        </is>
      </c>
      <c r="G6443" s="2" t="inlineStr">
        <is>
          <t>20260522000431</t>
        </is>
      </c>
      <c r="H6443" s="8">
        <f>HYPERLINK("https://dart.fss.or.kr/dsaf001/main.do?rcpNo=20260522000431", "공시열람")</f>
        <v/>
      </c>
    </row>
    <row r="6444">
      <c r="A6444" s="2" t="inlineStr">
        <is>
          <t>2026-05-22</t>
        </is>
      </c>
      <c r="B6444" s="3" t="inlineStr">
        <is>
          <t>현대모비스</t>
        </is>
      </c>
      <c r="C6444" s="2" t="inlineStr">
        <is>
          <t>코스피</t>
        </is>
      </c>
      <c r="D6444" s="2" t="inlineStr">
        <is>
          <t>012330</t>
        </is>
      </c>
      <c r="E6444" s="3" t="inlineStr">
        <is>
          <t xml:space="preserve">기업설명회(IR)개최(안내공시)              </t>
        </is>
      </c>
      <c r="F6444" s="3" t="inlineStr">
        <is>
          <t>현대모비스</t>
        </is>
      </c>
      <c r="G6444" s="2" t="inlineStr">
        <is>
          <t>20260522800596</t>
        </is>
      </c>
      <c r="H6444" s="8">
        <f>HYPERLINK("https://dart.fss.or.kr/dsaf001/main.do?rcpNo=20260522800596", "공시열람")</f>
        <v/>
      </c>
    </row>
    <row r="6445">
      <c r="A6445" s="2" t="inlineStr">
        <is>
          <t>2026-05-22</t>
        </is>
      </c>
      <c r="B6445" s="3" t="inlineStr">
        <is>
          <t>아이엠지티</t>
        </is>
      </c>
      <c r="C6445" s="2" t="inlineStr">
        <is>
          <t>코넥스</t>
        </is>
      </c>
      <c r="D6445" s="2" t="inlineStr">
        <is>
          <t>456570</t>
        </is>
      </c>
      <c r="E6445" s="3" t="inlineStr">
        <is>
          <t xml:space="preserve">기업설명회(IR)개최결과              </t>
        </is>
      </c>
      <c r="F6445" s="3" t="inlineStr">
        <is>
          <t>아이엠지티</t>
        </is>
      </c>
      <c r="G6445" s="2" t="inlineStr">
        <is>
          <t>20260522600567</t>
        </is>
      </c>
      <c r="H6445" s="8">
        <f>HYPERLINK("https://dart.fss.or.kr/dsaf001/main.do?rcpNo=20260522600567", "공시열람")</f>
        <v/>
      </c>
    </row>
    <row r="6446">
      <c r="A6446" s="2" t="inlineStr">
        <is>
          <t>2026-05-22</t>
        </is>
      </c>
      <c r="B6446" s="3" t="inlineStr">
        <is>
          <t>큐렉소</t>
        </is>
      </c>
      <c r="C6446" s="2" t="inlineStr">
        <is>
          <t>코스닥</t>
        </is>
      </c>
      <c r="D6446" s="2" t="inlineStr">
        <is>
          <t>060280</t>
        </is>
      </c>
      <c r="E6446" s="3" t="inlineStr">
        <is>
          <t xml:space="preserve">[기재정정]기업설명회(IR)개최              </t>
        </is>
      </c>
      <c r="F6446" s="3" t="inlineStr">
        <is>
          <t>큐렉소</t>
        </is>
      </c>
      <c r="G6446" s="2" t="inlineStr">
        <is>
          <t>20260522900593</t>
        </is>
      </c>
      <c r="H6446" s="8">
        <f>HYPERLINK("https://dart.fss.or.kr/dsaf001/main.do?rcpNo=20260522900593", "공시열람")</f>
        <v/>
      </c>
    </row>
    <row r="6447">
      <c r="A6447" s="2" t="inlineStr">
        <is>
          <t>2026-05-22</t>
        </is>
      </c>
      <c r="B6447" s="3" t="inlineStr">
        <is>
          <t>카나프테라퓨틱스</t>
        </is>
      </c>
      <c r="C6447" s="2" t="inlineStr">
        <is>
          <t>코스닥</t>
        </is>
      </c>
      <c r="D6447" s="2" t="inlineStr">
        <is>
          <t>0082N0</t>
        </is>
      </c>
      <c r="E6447" s="3" t="inlineStr">
        <is>
          <t>임원ㆍ주요주주특정증권등소유상황보고서</t>
        </is>
      </c>
      <c r="F6447" s="3" t="inlineStr">
        <is>
          <t>장지훈</t>
        </is>
      </c>
      <c r="G6447" s="2" t="inlineStr">
        <is>
          <t>20260522000428</t>
        </is>
      </c>
      <c r="H6447" s="8">
        <f>HYPERLINK("https://dart.fss.or.kr/dsaf001/main.do?rcpNo=20260522000428", "공시열람")</f>
        <v/>
      </c>
    </row>
    <row r="6448">
      <c r="A6448" s="2" t="inlineStr">
        <is>
          <t>2026-05-22</t>
        </is>
      </c>
      <c r="B6448" s="3" t="inlineStr">
        <is>
          <t>대신증권</t>
        </is>
      </c>
      <c r="C6448" s="2" t="inlineStr">
        <is>
          <t>코스피</t>
        </is>
      </c>
      <c r="D6448" s="2" t="inlineStr">
        <is>
          <t>003540</t>
        </is>
      </c>
      <c r="E6448" s="3" t="inlineStr">
        <is>
          <t>증권발행실적보고서</t>
        </is>
      </c>
      <c r="F6448" s="3" t="inlineStr">
        <is>
          <t>대신증권</t>
        </is>
      </c>
      <c r="G6448" s="2" t="inlineStr">
        <is>
          <t>20260522000427</t>
        </is>
      </c>
      <c r="H6448" s="8">
        <f>HYPERLINK("https://dart.fss.or.kr/dsaf001/main.do?rcpNo=20260522000427", "공시열람")</f>
        <v/>
      </c>
    </row>
    <row r="6449">
      <c r="A6449" s="2" t="inlineStr">
        <is>
          <t>2026-05-22</t>
        </is>
      </c>
      <c r="B6449" s="3" t="inlineStr">
        <is>
          <t>이엠텍</t>
        </is>
      </c>
      <c r="C6449" s="2" t="inlineStr">
        <is>
          <t>코스닥</t>
        </is>
      </c>
      <c r="D6449" s="2" t="inlineStr">
        <is>
          <t>091120</t>
        </is>
      </c>
      <c r="E6449" s="3" t="inlineStr">
        <is>
          <t xml:space="preserve">주주명부폐쇄기간또는기준일설정              </t>
        </is>
      </c>
      <c r="F6449" s="3" t="inlineStr">
        <is>
          <t>이엠텍</t>
        </is>
      </c>
      <c r="G6449" s="2" t="inlineStr">
        <is>
          <t>20260522900589</t>
        </is>
      </c>
      <c r="H6449" s="8">
        <f>HYPERLINK("https://dart.fss.or.kr/dsaf001/main.do?rcpNo=20260522900589", "공시열람")</f>
        <v/>
      </c>
    </row>
    <row r="6450">
      <c r="A6450" s="2" t="inlineStr">
        <is>
          <t>2026-05-22</t>
        </is>
      </c>
      <c r="B6450" s="3" t="inlineStr">
        <is>
          <t>대신증권</t>
        </is>
      </c>
      <c r="C6450" s="2" t="inlineStr">
        <is>
          <t>코스피</t>
        </is>
      </c>
      <c r="D6450" s="2" t="inlineStr">
        <is>
          <t>003540</t>
        </is>
      </c>
      <c r="E6450" s="3" t="inlineStr">
        <is>
          <t>투자설명서(일괄신고)</t>
        </is>
      </c>
      <c r="F6450" s="3" t="inlineStr">
        <is>
          <t>대신증권</t>
        </is>
      </c>
      <c r="G6450" s="2" t="inlineStr">
        <is>
          <t>20260522000424</t>
        </is>
      </c>
      <c r="H6450" s="8">
        <f>HYPERLINK("https://dart.fss.or.kr/dsaf001/main.do?rcpNo=20260522000424", "공시열람")</f>
        <v/>
      </c>
    </row>
    <row r="6451">
      <c r="A6451" s="2" t="inlineStr">
        <is>
          <t>2026-05-22</t>
        </is>
      </c>
      <c r="B6451" s="3" t="inlineStr">
        <is>
          <t>SK이노베이션</t>
        </is>
      </c>
      <c r="C6451" s="2" t="inlineStr">
        <is>
          <t>코스피</t>
        </is>
      </c>
      <c r="D6451" s="2" t="inlineStr">
        <is>
          <t>096770</t>
        </is>
      </c>
      <c r="E6451" s="3" t="inlineStr">
        <is>
          <t xml:space="preserve">기업지배구조보고서공시              </t>
        </is>
      </c>
      <c r="F6451" s="3" t="inlineStr">
        <is>
          <t>SK이노베이션</t>
        </is>
      </c>
      <c r="G6451" s="2" t="inlineStr">
        <is>
          <t>20260522800576</t>
        </is>
      </c>
      <c r="H6451" s="8">
        <f>HYPERLINK("https://dart.fss.or.kr/dsaf001/main.do?rcpNo=20260522800576", "공시열람")</f>
        <v/>
      </c>
    </row>
    <row r="6452">
      <c r="A6452" s="2" t="inlineStr">
        <is>
          <t>2026-05-22</t>
        </is>
      </c>
      <c r="B6452" s="3" t="inlineStr">
        <is>
          <t>SK증권</t>
        </is>
      </c>
      <c r="C6452" s="2" t="inlineStr">
        <is>
          <t>코스피</t>
        </is>
      </c>
      <c r="D6452" s="2" t="inlineStr">
        <is>
          <t>001510</t>
        </is>
      </c>
      <c r="E6452" s="3" t="inlineStr">
        <is>
          <t>증권발행실적보고서</t>
        </is>
      </c>
      <c r="F6452" s="3" t="inlineStr">
        <is>
          <t>SK증권</t>
        </is>
      </c>
      <c r="G6452" s="2" t="inlineStr">
        <is>
          <t>20260522000422</t>
        </is>
      </c>
      <c r="H6452" s="8">
        <f>HYPERLINK("https://dart.fss.or.kr/dsaf001/main.do?rcpNo=20260522000422", "공시열람")</f>
        <v/>
      </c>
    </row>
    <row r="6453">
      <c r="A6453" s="2" t="inlineStr">
        <is>
          <t>2026-05-22</t>
        </is>
      </c>
      <c r="B6453" s="3" t="inlineStr">
        <is>
          <t>지엔코</t>
        </is>
      </c>
      <c r="C6453" s="2" t="inlineStr">
        <is>
          <t>코스닥</t>
        </is>
      </c>
      <c r="D6453" s="2" t="inlineStr">
        <is>
          <t>065060</t>
        </is>
      </c>
      <c r="E6453" s="3" t="inlineStr">
        <is>
          <t>임원ㆍ주요주주특정증권등소유상황보고서</t>
        </is>
      </c>
      <c r="F6453" s="3" t="inlineStr">
        <is>
          <t>크레오에스지</t>
        </is>
      </c>
      <c r="G6453" s="2" t="inlineStr">
        <is>
          <t>20260522000420</t>
        </is>
      </c>
      <c r="H6453" s="8">
        <f>HYPERLINK("https://dart.fss.or.kr/dsaf001/main.do?rcpNo=20260522000420", "공시열람")</f>
        <v/>
      </c>
    </row>
    <row r="6454">
      <c r="A6454" s="2" t="inlineStr">
        <is>
          <t>2026-05-22</t>
        </is>
      </c>
      <c r="B6454" s="3" t="inlineStr">
        <is>
          <t>유니크</t>
        </is>
      </c>
      <c r="C6454" s="2" t="inlineStr">
        <is>
          <t>코스닥</t>
        </is>
      </c>
      <c r="D6454" s="2" t="inlineStr">
        <is>
          <t>011320</t>
        </is>
      </c>
      <c r="E6454" s="3" t="inlineStr">
        <is>
          <t>임원ㆍ주요주주특정증권등소유상황보고서</t>
        </is>
      </c>
      <c r="F6454" s="3" t="inlineStr">
        <is>
          <t>양만영</t>
        </is>
      </c>
      <c r="G6454" s="2" t="inlineStr">
        <is>
          <t>20260522000419</t>
        </is>
      </c>
      <c r="H6454" s="8">
        <f>HYPERLINK("https://dart.fss.or.kr/dsaf001/main.do?rcpNo=20260522000419", "공시열람")</f>
        <v/>
      </c>
    </row>
    <row r="6455">
      <c r="A6455" s="2" t="inlineStr">
        <is>
          <t>2026-05-22</t>
        </is>
      </c>
      <c r="B6455" s="3" t="inlineStr">
        <is>
          <t>한화투자증권</t>
        </is>
      </c>
      <c r="C6455" s="2" t="inlineStr">
        <is>
          <t>코스피</t>
        </is>
      </c>
      <c r="D6455" s="2" t="inlineStr">
        <is>
          <t>003530</t>
        </is>
      </c>
      <c r="E6455" s="3" t="inlineStr">
        <is>
          <t>증권발행실적보고서</t>
        </is>
      </c>
      <c r="F6455" s="3" t="inlineStr">
        <is>
          <t>한화투자증권</t>
        </is>
      </c>
      <c r="G6455" s="2" t="inlineStr">
        <is>
          <t>20260522000418</t>
        </is>
      </c>
      <c r="H6455" s="8">
        <f>HYPERLINK("https://dart.fss.or.kr/dsaf001/main.do?rcpNo=20260522000418", "공시열람")</f>
        <v/>
      </c>
    </row>
    <row r="6456">
      <c r="A6456" s="2" t="inlineStr">
        <is>
          <t>2026-05-22</t>
        </is>
      </c>
      <c r="B6456" s="3" t="inlineStr">
        <is>
          <t>엠로</t>
        </is>
      </c>
      <c r="C6456" s="2" t="inlineStr">
        <is>
          <t>코스닥</t>
        </is>
      </c>
      <c r="D6456" s="2" t="inlineStr">
        <is>
          <t>058970</t>
        </is>
      </c>
      <c r="E6456" s="3" t="inlineStr">
        <is>
          <t xml:space="preserve">기업설명회(IR)개최              </t>
        </is>
      </c>
      <c r="F6456" s="3" t="inlineStr">
        <is>
          <t>엠로</t>
        </is>
      </c>
      <c r="G6456" s="2" t="inlineStr">
        <is>
          <t>20260522900574</t>
        </is>
      </c>
      <c r="H6456" s="8">
        <f>HYPERLINK("https://dart.fss.or.kr/dsaf001/main.do?rcpNo=20260522900574", "공시열람")</f>
        <v/>
      </c>
    </row>
    <row r="6457">
      <c r="A6457" s="2" t="inlineStr">
        <is>
          <t>2026-05-22</t>
        </is>
      </c>
      <c r="B6457" s="3" t="inlineStr">
        <is>
          <t>라온로보틱스</t>
        </is>
      </c>
      <c r="C6457" s="2" t="inlineStr">
        <is>
          <t>코스닥</t>
        </is>
      </c>
      <c r="D6457" s="2" t="inlineStr">
        <is>
          <t>232680</t>
        </is>
      </c>
      <c r="E6457" s="3" t="inlineStr">
        <is>
          <t xml:space="preserve">전환청구권행사              </t>
        </is>
      </c>
      <c r="F6457" s="3" t="inlineStr">
        <is>
          <t>라온로보틱스</t>
        </is>
      </c>
      <c r="G6457" s="2" t="inlineStr">
        <is>
          <t>20260522900572</t>
        </is>
      </c>
      <c r="H6457" s="8">
        <f>HYPERLINK("https://dart.fss.or.kr/dsaf001/main.do?rcpNo=20260522900572", "공시열람")</f>
        <v/>
      </c>
    </row>
    <row r="6458">
      <c r="A6458" s="2" t="inlineStr">
        <is>
          <t>2026-05-22</t>
        </is>
      </c>
      <c r="B6458" s="3" t="inlineStr">
        <is>
          <t>유니크</t>
        </is>
      </c>
      <c r="C6458" s="2" t="inlineStr">
        <is>
          <t>코스닥</t>
        </is>
      </c>
      <c r="D6458" s="2" t="inlineStr">
        <is>
          <t>011320</t>
        </is>
      </c>
      <c r="E6458" s="3" t="inlineStr">
        <is>
          <t>임원ㆍ주요주주특정증권등소유상황보고서</t>
        </is>
      </c>
      <c r="F6458" s="3" t="inlineStr">
        <is>
          <t>안영구</t>
        </is>
      </c>
      <c r="G6458" s="2" t="inlineStr">
        <is>
          <t>20260522000416</t>
        </is>
      </c>
      <c r="H6458" s="8">
        <f>HYPERLINK("https://dart.fss.or.kr/dsaf001/main.do?rcpNo=20260522000416", "공시열람")</f>
        <v/>
      </c>
    </row>
    <row r="6459">
      <c r="A6459" s="2" t="inlineStr">
        <is>
          <t>2026-05-22</t>
        </is>
      </c>
      <c r="B6459" s="3" t="inlineStr">
        <is>
          <t>금호건설</t>
        </is>
      </c>
      <c r="C6459" s="2" t="inlineStr">
        <is>
          <t>코스피</t>
        </is>
      </c>
      <c r="D6459" s="2" t="inlineStr">
        <is>
          <t>002990</t>
        </is>
      </c>
      <c r="E6459" s="3" t="inlineStr">
        <is>
          <t xml:space="preserve">투자판단관련주요경영사항              </t>
        </is>
      </c>
      <c r="F6459" s="3" t="inlineStr">
        <is>
          <t>금호건설</t>
        </is>
      </c>
      <c r="G6459" s="2" t="inlineStr">
        <is>
          <t>20260522800524</t>
        </is>
      </c>
      <c r="H6459" s="8">
        <f>HYPERLINK("https://dart.fss.or.kr/dsaf001/main.do?rcpNo=20260522800524", "공시열람")</f>
        <v/>
      </c>
    </row>
    <row r="6460">
      <c r="A6460" s="2" t="inlineStr">
        <is>
          <t>2026-05-22</t>
        </is>
      </c>
      <c r="B6460" s="3" t="inlineStr">
        <is>
          <t>대신밸류리츠</t>
        </is>
      </c>
      <c r="C6460" s="2" t="inlineStr">
        <is>
          <t>코스피</t>
        </is>
      </c>
      <c r="D6460" s="2" t="inlineStr">
        <is>
          <t>0030R0</t>
        </is>
      </c>
      <c r="E6460" s="3" t="inlineStr">
        <is>
          <t>임원ㆍ주요주주특정증권등소유상황보고서</t>
        </is>
      </c>
      <c r="F6460" s="3" t="inlineStr">
        <is>
          <t>대신증권</t>
        </is>
      </c>
      <c r="G6460" s="2" t="inlineStr">
        <is>
          <t>20260522000413</t>
        </is>
      </c>
      <c r="H6460" s="8">
        <f>HYPERLINK("https://dart.fss.or.kr/dsaf001/main.do?rcpNo=20260522000413", "공시열람")</f>
        <v/>
      </c>
    </row>
    <row r="6461">
      <c r="A6461" s="2" t="inlineStr">
        <is>
          <t>2026-05-22</t>
        </is>
      </c>
      <c r="B6461" s="3" t="inlineStr">
        <is>
          <t>HPSP</t>
        </is>
      </c>
      <c r="C6461" s="2" t="inlineStr">
        <is>
          <t>코스닥</t>
        </is>
      </c>
      <c r="D6461" s="2" t="inlineStr">
        <is>
          <t>403870</t>
        </is>
      </c>
      <c r="E6461" s="3" t="inlineStr">
        <is>
          <t>임원ㆍ주요주주특정증권등소유상황보고서</t>
        </is>
      </c>
      <c r="F6461" s="3" t="inlineStr">
        <is>
          <t>BAEK LAK HO</t>
        </is>
      </c>
      <c r="G6461" s="2" t="inlineStr">
        <is>
          <t>20260522000412</t>
        </is>
      </c>
      <c r="H6461" s="8">
        <f>HYPERLINK("https://dart.fss.or.kr/dsaf001/main.do?rcpNo=20260522000412", "공시열람")</f>
        <v/>
      </c>
    </row>
    <row r="6462">
      <c r="A6462" s="2" t="inlineStr">
        <is>
          <t>2026-05-22</t>
        </is>
      </c>
      <c r="B6462" s="3" t="inlineStr">
        <is>
          <t>대한약품</t>
        </is>
      </c>
      <c r="C6462" s="2" t="inlineStr">
        <is>
          <t>코스닥</t>
        </is>
      </c>
      <c r="D6462" s="2" t="inlineStr">
        <is>
          <t>023910</t>
        </is>
      </c>
      <c r="E6462" s="3" t="inlineStr">
        <is>
          <t>임원ㆍ주요주주특정증권등소유상황보고서</t>
        </is>
      </c>
      <c r="F6462" s="3" t="inlineStr">
        <is>
          <t>이윤우</t>
        </is>
      </c>
      <c r="G6462" s="2" t="inlineStr">
        <is>
          <t>20260522000410</t>
        </is>
      </c>
      <c r="H6462" s="8">
        <f>HYPERLINK("https://dart.fss.or.kr/dsaf001/main.do?rcpNo=20260522000410", "공시열람")</f>
        <v/>
      </c>
    </row>
    <row r="6463">
      <c r="A6463" s="2" t="inlineStr">
        <is>
          <t>2026-05-22 (정정: 2026-05-26)</t>
        </is>
      </c>
      <c r="B6463" s="3" t="inlineStr">
        <is>
          <t>EMB</t>
        </is>
      </c>
      <c r="C6463" s="2" t="inlineStr">
        <is>
          <t>코넥스</t>
        </is>
      </c>
      <c r="D6463" s="2" t="inlineStr">
        <is>
          <t>278990</t>
        </is>
      </c>
      <c r="E6463" s="3" t="inlineStr">
        <is>
          <t>전환가액의조정               (정정: 20260526)</t>
        </is>
      </c>
      <c r="F6463" s="3" t="inlineStr">
        <is>
          <t>EMB</t>
        </is>
      </c>
      <c r="G6463" s="2" t="inlineStr">
        <is>
          <t>20260526600748</t>
        </is>
      </c>
      <c r="H6463" s="8">
        <f>HYPERLINK("https://dart.fss.or.kr/dsaf001/main.do?rcpNo=20260526600748", "공시열람")</f>
        <v/>
      </c>
    </row>
    <row r="6464">
      <c r="A6464" s="2" t="inlineStr">
        <is>
          <t>2026-05-22</t>
        </is>
      </c>
      <c r="B6464" s="3" t="inlineStr">
        <is>
          <t>이엘씨</t>
        </is>
      </c>
      <c r="C6464" s="2" t="inlineStr">
        <is>
          <t>코스닥</t>
        </is>
      </c>
      <c r="D6464" s="2" t="inlineStr">
        <is>
          <t>041520</t>
        </is>
      </c>
      <c r="E6464" s="3" t="inlineStr">
        <is>
          <t>임원ㆍ주요주주특정증권등소유상황보고서</t>
        </is>
      </c>
      <c r="F6464" s="3" t="inlineStr">
        <is>
          <t>김성익</t>
        </is>
      </c>
      <c r="G6464" s="2" t="inlineStr">
        <is>
          <t>20260522000409</t>
        </is>
      </c>
      <c r="H6464" s="8">
        <f>HYPERLINK("https://dart.fss.or.kr/dsaf001/main.do?rcpNo=20260522000409", "공시열람")</f>
        <v/>
      </c>
    </row>
    <row r="6465">
      <c r="A6465" s="2" t="inlineStr">
        <is>
          <t>2026-05-22</t>
        </is>
      </c>
      <c r="B6465" s="3" t="inlineStr">
        <is>
          <t>티쓰리</t>
        </is>
      </c>
      <c r="C6465" s="2" t="inlineStr">
        <is>
          <t>코스닥</t>
        </is>
      </c>
      <c r="D6465" s="2" t="inlineStr">
        <is>
          <t>204610</t>
        </is>
      </c>
      <c r="E6465" s="3" t="inlineStr">
        <is>
          <t>자기주식취득결과보고서</t>
        </is>
      </c>
      <c r="F6465" s="3" t="inlineStr">
        <is>
          <t>티쓰리</t>
        </is>
      </c>
      <c r="G6465" s="2" t="inlineStr">
        <is>
          <t>20260522000408</t>
        </is>
      </c>
      <c r="H6465" s="8">
        <f>HYPERLINK("https://dart.fss.or.kr/dsaf001/main.do?rcpNo=20260522000408", "공시열람")</f>
        <v/>
      </c>
    </row>
    <row r="6466">
      <c r="A6466" s="2" t="inlineStr">
        <is>
          <t>2026-05-22</t>
        </is>
      </c>
      <c r="B6466" s="3" t="inlineStr">
        <is>
          <t>다이나믹솔루션</t>
        </is>
      </c>
      <c r="C6466" s="2" t="inlineStr">
        <is>
          <t>코스닥</t>
        </is>
      </c>
      <c r="D6466" s="2" t="inlineStr">
        <is>
          <t>290660</t>
        </is>
      </c>
      <c r="E6466" s="3" t="inlineStr">
        <is>
          <t xml:space="preserve">[기재정정]전환청구권행사              </t>
        </is>
      </c>
      <c r="F6466" s="3" t="inlineStr">
        <is>
          <t>다이나믹솔루션</t>
        </is>
      </c>
      <c r="G6466" s="2" t="inlineStr">
        <is>
          <t>20260522900556</t>
        </is>
      </c>
      <c r="H6466" s="8">
        <f>HYPERLINK("https://dart.fss.or.kr/dsaf001/main.do?rcpNo=20260522900556", "공시열람")</f>
        <v/>
      </c>
    </row>
    <row r="6467">
      <c r="A6467" s="2" t="inlineStr">
        <is>
          <t>2026-05-22</t>
        </is>
      </c>
      <c r="B6467" s="3" t="inlineStr">
        <is>
          <t>신영증권</t>
        </is>
      </c>
      <c r="C6467" s="2" t="inlineStr">
        <is>
          <t>코스피</t>
        </is>
      </c>
      <c r="D6467" s="2" t="inlineStr">
        <is>
          <t>001720</t>
        </is>
      </c>
      <c r="E6467" s="3" t="inlineStr">
        <is>
          <t>투자설명서(일괄신고)</t>
        </is>
      </c>
      <c r="F6467" s="3" t="inlineStr">
        <is>
          <t>신영증권</t>
        </is>
      </c>
      <c r="G6467" s="2" t="inlineStr">
        <is>
          <t>20260522000403</t>
        </is>
      </c>
      <c r="H6467" s="8">
        <f>HYPERLINK("https://dart.fss.or.kr/dsaf001/main.do?rcpNo=20260522000403", "공시열람")</f>
        <v/>
      </c>
    </row>
    <row r="6468">
      <c r="A6468" s="2" t="inlineStr">
        <is>
          <t>2026-05-22</t>
        </is>
      </c>
      <c r="B6468" s="3" t="inlineStr">
        <is>
          <t>아이컴포넌트</t>
        </is>
      </c>
      <c r="C6468" s="2" t="inlineStr">
        <is>
          <t>코스닥</t>
        </is>
      </c>
      <c r="D6468" s="2" t="inlineStr">
        <is>
          <t>059100</t>
        </is>
      </c>
      <c r="E6468" s="3" t="inlineStr">
        <is>
          <t>임원ㆍ주요주주특정증권등소유상황보고서</t>
        </is>
      </c>
      <c r="F6468" s="3" t="inlineStr">
        <is>
          <t>김양국</t>
        </is>
      </c>
      <c r="G6468" s="2" t="inlineStr">
        <is>
          <t>20260522000402</t>
        </is>
      </c>
      <c r="H6468" s="8">
        <f>HYPERLINK("https://dart.fss.or.kr/dsaf001/main.do?rcpNo=20260522000402", "공시열람")</f>
        <v/>
      </c>
    </row>
    <row r="6469">
      <c r="A6469" s="2" t="inlineStr">
        <is>
          <t>2026-05-22</t>
        </is>
      </c>
      <c r="B6469" s="3" t="inlineStr">
        <is>
          <t>에스오에스랩</t>
        </is>
      </c>
      <c r="C6469" s="2" t="inlineStr">
        <is>
          <t>코스닥</t>
        </is>
      </c>
      <c r="D6469" s="2" t="inlineStr">
        <is>
          <t>464080</t>
        </is>
      </c>
      <c r="E6469" s="3" t="inlineStr">
        <is>
          <t>임원ㆍ주요주주특정증권등소유상황보고서</t>
        </is>
      </c>
      <c r="F6469" s="3" t="inlineStr">
        <is>
          <t>황성의</t>
        </is>
      </c>
      <c r="G6469" s="2" t="inlineStr">
        <is>
          <t>20260522000400</t>
        </is>
      </c>
      <c r="H6469" s="8">
        <f>HYPERLINK("https://dart.fss.or.kr/dsaf001/main.do?rcpNo=20260522000400", "공시열람")</f>
        <v/>
      </c>
    </row>
    <row r="6470">
      <c r="A6470" s="2" t="inlineStr">
        <is>
          <t>2026-05-22</t>
        </is>
      </c>
      <c r="B6470" s="3" t="inlineStr">
        <is>
          <t>씨에스윈드</t>
        </is>
      </c>
      <c r="C6470" s="2" t="inlineStr">
        <is>
          <t>코스피</t>
        </is>
      </c>
      <c r="D6470" s="2" t="inlineStr">
        <is>
          <t>112610</t>
        </is>
      </c>
      <c r="E6470" s="3" t="inlineStr">
        <is>
          <t xml:space="preserve">기업설명회(IR)개최(안내공시)              </t>
        </is>
      </c>
      <c r="F6470" s="3" t="inlineStr">
        <is>
          <t>씨에스윈드</t>
        </is>
      </c>
      <c r="G6470" s="2" t="inlineStr">
        <is>
          <t>20260522800534</t>
        </is>
      </c>
      <c r="H6470" s="8">
        <f>HYPERLINK("https://dart.fss.or.kr/dsaf001/main.do?rcpNo=20260522800534", "공시열람")</f>
        <v/>
      </c>
    </row>
    <row r="6471">
      <c r="A6471" s="2" t="inlineStr">
        <is>
          <t>2026-05-22</t>
        </is>
      </c>
      <c r="B6471" s="3" t="inlineStr">
        <is>
          <t>신영증권</t>
        </is>
      </c>
      <c r="C6471" s="2" t="inlineStr">
        <is>
          <t>코스피</t>
        </is>
      </c>
      <c r="D6471" s="2" t="inlineStr">
        <is>
          <t>001720</t>
        </is>
      </c>
      <c r="E6471" s="3" t="inlineStr">
        <is>
          <t>증권발행실적보고서</t>
        </is>
      </c>
      <c r="F6471" s="3" t="inlineStr">
        <is>
          <t>신영증권</t>
        </is>
      </c>
      <c r="G6471" s="2" t="inlineStr">
        <is>
          <t>20260522000394</t>
        </is>
      </c>
      <c r="H6471" s="8">
        <f>HYPERLINK("https://dart.fss.or.kr/dsaf001/main.do?rcpNo=20260522000394", "공시열람")</f>
        <v/>
      </c>
    </row>
    <row r="6472">
      <c r="A6472" s="2" t="inlineStr">
        <is>
          <t>2026-05-22</t>
        </is>
      </c>
      <c r="B6472" s="3" t="inlineStr">
        <is>
          <t>KT밀리의서재</t>
        </is>
      </c>
      <c r="C6472" s="2" t="inlineStr">
        <is>
          <t>코스닥</t>
        </is>
      </c>
      <c r="D6472" s="2" t="inlineStr">
        <is>
          <t>418470</t>
        </is>
      </c>
      <c r="E6472" s="3" t="inlineStr">
        <is>
          <t xml:space="preserve">대표이사변경              </t>
        </is>
      </c>
      <c r="F6472" s="3" t="inlineStr">
        <is>
          <t>KT밀리의서재</t>
        </is>
      </c>
      <c r="G6472" s="2" t="inlineStr">
        <is>
          <t>20260522900522</t>
        </is>
      </c>
      <c r="H6472" s="8">
        <f>HYPERLINK("https://dart.fss.or.kr/dsaf001/main.do?rcpNo=20260522900522", "공시열람")</f>
        <v/>
      </c>
    </row>
    <row r="6473">
      <c r="A6473" s="2" t="inlineStr">
        <is>
          <t>2026-05-22</t>
        </is>
      </c>
      <c r="B6473" s="3" t="inlineStr">
        <is>
          <t>유안타증권</t>
        </is>
      </c>
      <c r="C6473" s="2" t="inlineStr">
        <is>
          <t>코스피</t>
        </is>
      </c>
      <c r="D6473" s="2" t="inlineStr">
        <is>
          <t>003470</t>
        </is>
      </c>
      <c r="E6473" s="3" t="inlineStr">
        <is>
          <t>투자설명서(일괄신고)</t>
        </is>
      </c>
      <c r="F6473" s="3" t="inlineStr">
        <is>
          <t>유안타증권</t>
        </is>
      </c>
      <c r="G6473" s="2" t="inlineStr">
        <is>
          <t>20260522000391</t>
        </is>
      </c>
      <c r="H6473" s="8">
        <f>HYPERLINK("https://dart.fss.or.kr/dsaf001/main.do?rcpNo=20260522000391", "공시열람")</f>
        <v/>
      </c>
    </row>
    <row r="6474">
      <c r="A6474" s="2" t="inlineStr">
        <is>
          <t>2026-05-22</t>
        </is>
      </c>
      <c r="B6474" s="3" t="inlineStr">
        <is>
          <t>이오플로우</t>
        </is>
      </c>
      <c r="C6474" s="2" t="inlineStr">
        <is>
          <t>코스닥</t>
        </is>
      </c>
      <c r="D6474" s="2" t="inlineStr">
        <is>
          <t>294090</t>
        </is>
      </c>
      <c r="E6474" s="3" t="inlineStr">
        <is>
          <t>주식매수선택권부여에관한신고</t>
        </is>
      </c>
      <c r="F6474" s="3" t="inlineStr">
        <is>
          <t>이오플로우</t>
        </is>
      </c>
      <c r="G6474" s="2" t="inlineStr">
        <is>
          <t>20260522000388</t>
        </is>
      </c>
      <c r="H6474" s="8">
        <f>HYPERLINK("https://dart.fss.or.kr/dsaf001/main.do?rcpNo=20260522000388", "공시열람")</f>
        <v/>
      </c>
    </row>
    <row r="6475">
      <c r="A6475" s="2" t="inlineStr">
        <is>
          <t>2026-05-22</t>
        </is>
      </c>
      <c r="B6475" s="3" t="inlineStr">
        <is>
          <t>DS단석</t>
        </is>
      </c>
      <c r="C6475" s="2" t="inlineStr">
        <is>
          <t>코스피</t>
        </is>
      </c>
      <c r="D6475" s="2" t="inlineStr">
        <is>
          <t>017860</t>
        </is>
      </c>
      <c r="E6475" s="3" t="inlineStr">
        <is>
          <t xml:space="preserve">타법인주식및출자증권취득결정              </t>
        </is>
      </c>
      <c r="F6475" s="3" t="inlineStr">
        <is>
          <t>DS단석</t>
        </is>
      </c>
      <c r="G6475" s="2" t="inlineStr">
        <is>
          <t>20260522800510</t>
        </is>
      </c>
      <c r="H6475" s="8">
        <f>HYPERLINK("https://dart.fss.or.kr/dsaf001/main.do?rcpNo=20260522800510", "공시열람")</f>
        <v/>
      </c>
    </row>
    <row r="6476">
      <c r="A6476" s="2" t="inlineStr">
        <is>
          <t>2026-05-22</t>
        </is>
      </c>
      <c r="B6476" s="3" t="inlineStr">
        <is>
          <t>한화리츠</t>
        </is>
      </c>
      <c r="C6476" s="2" t="inlineStr">
        <is>
          <t>코스피</t>
        </is>
      </c>
      <c r="D6476" s="2" t="inlineStr">
        <is>
          <t>451800</t>
        </is>
      </c>
      <c r="E6476" s="3" t="inlineStr">
        <is>
          <t xml:space="preserve">부동산투자회사부동산임대              </t>
        </is>
      </c>
      <c r="F6476" s="3" t="inlineStr">
        <is>
          <t>한화리츠</t>
        </is>
      </c>
      <c r="G6476" s="2" t="inlineStr">
        <is>
          <t>20260522800505</t>
        </is>
      </c>
      <c r="H6476" s="8">
        <f>HYPERLINK("https://dart.fss.or.kr/dsaf001/main.do?rcpNo=20260522800505", "공시열람")</f>
        <v/>
      </c>
    </row>
    <row r="6477">
      <c r="A6477" s="2" t="inlineStr">
        <is>
          <t>2026-05-22</t>
        </is>
      </c>
      <c r="B6477" s="3" t="inlineStr">
        <is>
          <t>유안타증권</t>
        </is>
      </c>
      <c r="C6477" s="2" t="inlineStr">
        <is>
          <t>코스피</t>
        </is>
      </c>
      <c r="D6477" s="2" t="inlineStr">
        <is>
          <t>003470</t>
        </is>
      </c>
      <c r="E6477" s="3" t="inlineStr">
        <is>
          <t>일괄신고추가서류(파생결합증권-주가연계증권)</t>
        </is>
      </c>
      <c r="F6477" s="3" t="inlineStr">
        <is>
          <t>유안타증권</t>
        </is>
      </c>
      <c r="G6477" s="2" t="inlineStr">
        <is>
          <t>20260522000384</t>
        </is>
      </c>
      <c r="H6477" s="8">
        <f>HYPERLINK("https://dart.fss.or.kr/dsaf001/main.do?rcpNo=20260522000384", "공시열람")</f>
        <v/>
      </c>
    </row>
    <row r="6478">
      <c r="A6478" s="2" t="inlineStr">
        <is>
          <t>2026-05-22</t>
        </is>
      </c>
      <c r="B6478" s="3" t="inlineStr">
        <is>
          <t>큐로셀</t>
        </is>
      </c>
      <c r="C6478" s="2" t="inlineStr">
        <is>
          <t>코스닥</t>
        </is>
      </c>
      <c r="D6478" s="2" t="inlineStr">
        <is>
          <t>372320</t>
        </is>
      </c>
      <c r="E6478" s="3" t="inlineStr">
        <is>
          <t xml:space="preserve">투자판단관련주요경영사항(임상시험계획변경승인신청)              </t>
        </is>
      </c>
      <c r="F6478" s="3" t="inlineStr">
        <is>
          <t>큐로셀</t>
        </is>
      </c>
      <c r="G6478" s="2" t="inlineStr">
        <is>
          <t>20260522900499</t>
        </is>
      </c>
      <c r="H6478" s="8">
        <f>HYPERLINK("https://dart.fss.or.kr/dsaf001/main.do?rcpNo=20260522900499", "공시열람")</f>
        <v/>
      </c>
    </row>
    <row r="6479">
      <c r="A6479" s="2" t="inlineStr">
        <is>
          <t>2026-05-22</t>
        </is>
      </c>
      <c r="B6479" s="3" t="inlineStr">
        <is>
          <t>한화투자증권</t>
        </is>
      </c>
      <c r="C6479" s="2" t="inlineStr">
        <is>
          <t>코스피</t>
        </is>
      </c>
      <c r="D6479" s="2" t="inlineStr">
        <is>
          <t>003530</t>
        </is>
      </c>
      <c r="E6479" s="3" t="inlineStr">
        <is>
          <t>투자설명서(일괄신고)</t>
        </is>
      </c>
      <c r="F6479" s="3" t="inlineStr">
        <is>
          <t>한화투자증권</t>
        </is>
      </c>
      <c r="G6479" s="2" t="inlineStr">
        <is>
          <t>20260522000381</t>
        </is>
      </c>
      <c r="H6479" s="8">
        <f>HYPERLINK("https://dart.fss.or.kr/dsaf001/main.do?rcpNo=20260522000381", "공시열람")</f>
        <v/>
      </c>
    </row>
    <row r="6480">
      <c r="A6480" s="2" t="inlineStr">
        <is>
          <t>2026-05-22</t>
        </is>
      </c>
      <c r="B6480" s="3" t="inlineStr">
        <is>
          <t>디와이디</t>
        </is>
      </c>
      <c r="C6480" s="2" t="inlineStr">
        <is>
          <t>코스닥</t>
        </is>
      </c>
      <c r="D6480" s="2" t="inlineStr">
        <is>
          <t>219550</t>
        </is>
      </c>
      <c r="E6480" s="3" t="inlineStr">
        <is>
          <t>신주인수권부사채(해외신주인수권부사채포함)발행후만기전사채취득              (제3회차)</t>
        </is>
      </c>
      <c r="F6480" s="3" t="inlineStr">
        <is>
          <t>디와이디</t>
        </is>
      </c>
      <c r="G6480" s="2" t="inlineStr">
        <is>
          <t>20260522900487</t>
        </is>
      </c>
      <c r="H6480" s="8">
        <f>HYPERLINK("https://dart.fss.or.kr/dsaf001/main.do?rcpNo=20260522900487", "공시열람")</f>
        <v/>
      </c>
    </row>
    <row r="6481">
      <c r="A6481" s="2" t="inlineStr">
        <is>
          <t>2026-05-22</t>
        </is>
      </c>
      <c r="B6481" s="3" t="inlineStr">
        <is>
          <t>대신증권</t>
        </is>
      </c>
      <c r="C6481" s="2" t="inlineStr">
        <is>
          <t>코스피</t>
        </is>
      </c>
      <c r="D6481" s="2" t="inlineStr">
        <is>
          <t>003540</t>
        </is>
      </c>
      <c r="E6481" s="3" t="inlineStr">
        <is>
          <t>일괄신고추가서류(파생결합사채-주가연계파생결합사채)</t>
        </is>
      </c>
      <c r="F6481" s="3" t="inlineStr">
        <is>
          <t>대신증권</t>
        </is>
      </c>
      <c r="G6481" s="2" t="inlineStr">
        <is>
          <t>20260522000380</t>
        </is>
      </c>
      <c r="H6481" s="8">
        <f>HYPERLINK("https://dart.fss.or.kr/dsaf001/main.do?rcpNo=20260522000380", "공시열람")</f>
        <v/>
      </c>
    </row>
    <row r="6482">
      <c r="A6482" s="2" t="inlineStr">
        <is>
          <t>2026-05-22</t>
        </is>
      </c>
      <c r="B6482" s="3" t="inlineStr">
        <is>
          <t>한국캐피탈</t>
        </is>
      </c>
      <c r="C6482" s="2" t="inlineStr">
        <is>
          <t>코스닥</t>
        </is>
      </c>
      <c r="D6482" s="2" t="inlineStr">
        <is>
          <t>023760</t>
        </is>
      </c>
      <c r="E6482" s="3" t="inlineStr">
        <is>
          <t xml:space="preserve">주주명부폐쇄기간또는기준일설정              </t>
        </is>
      </c>
      <c r="F6482" s="3" t="inlineStr">
        <is>
          <t>한국캐피탈</t>
        </is>
      </c>
      <c r="G6482" s="2" t="inlineStr">
        <is>
          <t>20260522900516</t>
        </is>
      </c>
      <c r="H6482" s="8">
        <f>HYPERLINK("https://dart.fss.or.kr/dsaf001/main.do?rcpNo=20260522900516", "공시열람")</f>
        <v/>
      </c>
    </row>
    <row r="6483">
      <c r="A6483" s="2" t="inlineStr">
        <is>
          <t>2026-05-22</t>
        </is>
      </c>
      <c r="B6483" s="3" t="inlineStr">
        <is>
          <t>한국캐피탈</t>
        </is>
      </c>
      <c r="C6483" s="2" t="inlineStr">
        <is>
          <t>코스닥</t>
        </is>
      </c>
      <c r="D6483" s="2" t="inlineStr">
        <is>
          <t>023760</t>
        </is>
      </c>
      <c r="E6483" s="3" t="inlineStr">
        <is>
          <t xml:space="preserve">주식병합결정              </t>
        </is>
      </c>
      <c r="F6483" s="3" t="inlineStr">
        <is>
          <t>한국캐피탈</t>
        </is>
      </c>
      <c r="G6483" s="2" t="inlineStr">
        <is>
          <t>20260522900514</t>
        </is>
      </c>
      <c r="H6483" s="8">
        <f>HYPERLINK("https://dart.fss.or.kr/dsaf001/main.do?rcpNo=20260522900514", "공시열람")</f>
        <v/>
      </c>
    </row>
    <row r="6484">
      <c r="A6484" s="2" t="inlineStr">
        <is>
          <t>2026-05-22</t>
        </is>
      </c>
      <c r="B6484" s="3" t="inlineStr">
        <is>
          <t>DB증권</t>
        </is>
      </c>
      <c r="C6484" s="2" t="inlineStr">
        <is>
          <t>코스피</t>
        </is>
      </c>
      <c r="D6484" s="2" t="inlineStr">
        <is>
          <t>016610</t>
        </is>
      </c>
      <c r="E6484" s="3" t="inlineStr">
        <is>
          <t>임원ㆍ주요주주특정증권등소유상황보고서</t>
        </is>
      </c>
      <c r="F6484" s="3" t="inlineStr">
        <is>
          <t>최성호</t>
        </is>
      </c>
      <c r="G6484" s="2" t="inlineStr">
        <is>
          <t>20260522000376</t>
        </is>
      </c>
      <c r="H6484" s="8">
        <f>HYPERLINK("https://dart.fss.or.kr/dsaf001/main.do?rcpNo=20260522000376", "공시열람")</f>
        <v/>
      </c>
    </row>
    <row r="6485">
      <c r="A6485" s="2" t="inlineStr">
        <is>
          <t>2026-05-22</t>
        </is>
      </c>
      <c r="B6485" s="3" t="inlineStr">
        <is>
          <t>DB증권</t>
        </is>
      </c>
      <c r="C6485" s="2" t="inlineStr">
        <is>
          <t>코스피</t>
        </is>
      </c>
      <c r="D6485" s="2" t="inlineStr">
        <is>
          <t>016610</t>
        </is>
      </c>
      <c r="E6485" s="3" t="inlineStr">
        <is>
          <t>임원ㆍ주요주주특정증권등소유상황보고서</t>
        </is>
      </c>
      <c r="F6485" s="3" t="inlineStr">
        <is>
          <t>류용동</t>
        </is>
      </c>
      <c r="G6485" s="2" t="inlineStr">
        <is>
          <t>20260522000375</t>
        </is>
      </c>
      <c r="H6485" s="8">
        <f>HYPERLINK("https://dart.fss.or.kr/dsaf001/main.do?rcpNo=20260522000375", "공시열람")</f>
        <v/>
      </c>
    </row>
    <row r="6486">
      <c r="A6486" s="2" t="inlineStr">
        <is>
          <t>2026-05-22</t>
        </is>
      </c>
      <c r="B6486" s="3" t="inlineStr">
        <is>
          <t>티에스넥스젠</t>
        </is>
      </c>
      <c r="C6486" s="2" t="inlineStr">
        <is>
          <t>코스닥</t>
        </is>
      </c>
      <c r="D6486" s="2" t="inlineStr">
        <is>
          <t>043220</t>
        </is>
      </c>
      <c r="E6486" s="3" t="inlineStr">
        <is>
          <t>기타시장안내              (개선계획서 제출)</t>
        </is>
      </c>
      <c r="F6486" s="3" t="inlineStr">
        <is>
          <t>코스닥시장본부</t>
        </is>
      </c>
      <c r="G6486" s="2" t="inlineStr">
        <is>
          <t>20260522900507</t>
        </is>
      </c>
      <c r="H6486" s="8">
        <f>HYPERLINK("https://dart.fss.or.kr/dsaf001/main.do?rcpNo=20260522900507", "공시열람")</f>
        <v/>
      </c>
    </row>
    <row r="6487">
      <c r="A6487" s="2" t="inlineStr">
        <is>
          <t>2026-05-22</t>
        </is>
      </c>
      <c r="B6487" s="3" t="inlineStr">
        <is>
          <t>DB증권</t>
        </is>
      </c>
      <c r="C6487" s="2" t="inlineStr">
        <is>
          <t>코스피</t>
        </is>
      </c>
      <c r="D6487" s="2" t="inlineStr">
        <is>
          <t>016610</t>
        </is>
      </c>
      <c r="E6487" s="3" t="inlineStr">
        <is>
          <t>임원ㆍ주요주주특정증권등소유상황보고서</t>
        </is>
      </c>
      <c r="F6487" s="3" t="inlineStr">
        <is>
          <t>황용하</t>
        </is>
      </c>
      <c r="G6487" s="2" t="inlineStr">
        <is>
          <t>20260522000374</t>
        </is>
      </c>
      <c r="H6487" s="8">
        <f>HYPERLINK("https://dart.fss.or.kr/dsaf001/main.do?rcpNo=20260522000374", "공시열람")</f>
        <v/>
      </c>
    </row>
    <row r="6488">
      <c r="A6488" s="2" t="inlineStr">
        <is>
          <t>2026-05-22</t>
        </is>
      </c>
      <c r="B6488" s="3" t="inlineStr">
        <is>
          <t>신한알파리츠</t>
        </is>
      </c>
      <c r="C6488" s="2" t="inlineStr">
        <is>
          <t>코스피</t>
        </is>
      </c>
      <c r="D6488" s="2" t="inlineStr">
        <is>
          <t>293940</t>
        </is>
      </c>
      <c r="E6488" s="3" t="inlineStr">
        <is>
          <t>의결권대리행사권유참고서류</t>
        </is>
      </c>
      <c r="F6488" s="3" t="inlineStr">
        <is>
          <t>신한알파리츠</t>
        </is>
      </c>
      <c r="G6488" s="2" t="inlineStr">
        <is>
          <t>20260522000370</t>
        </is>
      </c>
      <c r="H6488" s="8">
        <f>HYPERLINK("https://dart.fss.or.kr/dsaf001/main.do?rcpNo=20260522000370", "공시열람")</f>
        <v/>
      </c>
    </row>
    <row r="6489">
      <c r="A6489" s="2" t="inlineStr">
        <is>
          <t>2026-05-22</t>
        </is>
      </c>
      <c r="B6489" s="3" t="inlineStr">
        <is>
          <t>지구홀딩스</t>
        </is>
      </c>
      <c r="C6489" s="2" t="inlineStr">
        <is>
          <t>코스닥</t>
        </is>
      </c>
      <c r="D6489" s="2" t="inlineStr">
        <is>
          <t>221800</t>
        </is>
      </c>
      <c r="E6489" s="3" t="inlineStr">
        <is>
          <t xml:space="preserve">타법인주식및출자증권취득결정              </t>
        </is>
      </c>
      <c r="F6489" s="3" t="inlineStr">
        <is>
          <t>지구홀딩스</t>
        </is>
      </c>
      <c r="G6489" s="2" t="inlineStr">
        <is>
          <t>20260522900491</t>
        </is>
      </c>
      <c r="H6489" s="8">
        <f>HYPERLINK("https://dart.fss.or.kr/dsaf001/main.do?rcpNo=20260522900491", "공시열람")</f>
        <v/>
      </c>
    </row>
    <row r="6490">
      <c r="A6490" s="2" t="inlineStr">
        <is>
          <t>2026-05-22</t>
        </is>
      </c>
      <c r="B6490" s="3" t="inlineStr">
        <is>
          <t>신영증권</t>
        </is>
      </c>
      <c r="C6490" s="2" t="inlineStr">
        <is>
          <t>코스피</t>
        </is>
      </c>
      <c r="D6490" s="2" t="inlineStr">
        <is>
          <t>001720</t>
        </is>
      </c>
      <c r="E6490" s="3" t="inlineStr">
        <is>
          <t>일괄신고추가서류(파생결합증권-주가연계증권)</t>
        </is>
      </c>
      <c r="F6490" s="3" t="inlineStr">
        <is>
          <t>신영증권</t>
        </is>
      </c>
      <c r="G6490" s="2" t="inlineStr">
        <is>
          <t>20260522000368</t>
        </is>
      </c>
      <c r="H6490" s="8">
        <f>HYPERLINK("https://dart.fss.or.kr/dsaf001/main.do?rcpNo=20260522000368", "공시열람")</f>
        <v/>
      </c>
    </row>
    <row r="6491">
      <c r="A6491" s="2" t="inlineStr">
        <is>
          <t>2026-05-22</t>
        </is>
      </c>
      <c r="B6491" s="3" t="inlineStr">
        <is>
          <t>한화투자증권</t>
        </is>
      </c>
      <c r="C6491" s="2" t="inlineStr">
        <is>
          <t>코스피</t>
        </is>
      </c>
      <c r="D6491" s="2" t="inlineStr">
        <is>
          <t>003530</t>
        </is>
      </c>
      <c r="E6491" s="3" t="inlineStr">
        <is>
          <t>일괄신고추가서류(파생결합사채-주가연계파생결합사채)</t>
        </is>
      </c>
      <c r="F6491" s="3" t="inlineStr">
        <is>
          <t>한화투자증권</t>
        </is>
      </c>
      <c r="G6491" s="2" t="inlineStr">
        <is>
          <t>20260522000367</t>
        </is>
      </c>
      <c r="H6491" s="8">
        <f>HYPERLINK("https://dart.fss.or.kr/dsaf001/main.do?rcpNo=20260522000367", "공시열람")</f>
        <v/>
      </c>
    </row>
    <row r="6492">
      <c r="A6492" s="2" t="inlineStr">
        <is>
          <t>2026-05-22</t>
        </is>
      </c>
      <c r="B6492" s="3" t="inlineStr">
        <is>
          <t>삼성카드</t>
        </is>
      </c>
      <c r="C6492" s="2" t="inlineStr">
        <is>
          <t>코스피</t>
        </is>
      </c>
      <c r="D6492" s="2" t="inlineStr">
        <is>
          <t>029780</t>
        </is>
      </c>
      <c r="E6492" s="3" t="inlineStr">
        <is>
          <t>증권발행실적보고서</t>
        </is>
      </c>
      <c r="F6492" s="3" t="inlineStr">
        <is>
          <t>삼성카드</t>
        </is>
      </c>
      <c r="G6492" s="2" t="inlineStr">
        <is>
          <t>20260522000365</t>
        </is>
      </c>
      <c r="H6492" s="8">
        <f>HYPERLINK("https://dart.fss.or.kr/dsaf001/main.do?rcpNo=20260522000365", "공시열람")</f>
        <v/>
      </c>
    </row>
    <row r="6493">
      <c r="A6493" s="2" t="inlineStr">
        <is>
          <t>2026-05-22</t>
        </is>
      </c>
      <c r="B6493" s="3" t="inlineStr">
        <is>
          <t>NH투자증권</t>
        </is>
      </c>
      <c r="C6493" s="2" t="inlineStr">
        <is>
          <t>코스피</t>
        </is>
      </c>
      <c r="D6493" s="2" t="inlineStr">
        <is>
          <t>005940</t>
        </is>
      </c>
      <c r="E6493" s="3" t="inlineStr">
        <is>
          <t>투자설명서(일괄신고)</t>
        </is>
      </c>
      <c r="F6493" s="3" t="inlineStr">
        <is>
          <t>NH투자증권</t>
        </is>
      </c>
      <c r="G6493" s="2" t="inlineStr">
        <is>
          <t>20260522000361</t>
        </is>
      </c>
      <c r="H6493" s="8">
        <f>HYPERLINK("https://dart.fss.or.kr/dsaf001/main.do?rcpNo=20260522000361", "공시열람")</f>
        <v/>
      </c>
    </row>
    <row r="6494">
      <c r="A6494" s="2" t="inlineStr">
        <is>
          <t>2026-05-22</t>
        </is>
      </c>
      <c r="B6494" s="3" t="inlineStr">
        <is>
          <t>NH투자증권</t>
        </is>
      </c>
      <c r="C6494" s="2" t="inlineStr">
        <is>
          <t>코스피</t>
        </is>
      </c>
      <c r="D6494" s="2" t="inlineStr">
        <is>
          <t>005940</t>
        </is>
      </c>
      <c r="E6494" s="3" t="inlineStr">
        <is>
          <t>투자설명서(일괄신고)</t>
        </is>
      </c>
      <c r="F6494" s="3" t="inlineStr">
        <is>
          <t>NH투자증권</t>
        </is>
      </c>
      <c r="G6494" s="2" t="inlineStr">
        <is>
          <t>20260522000358</t>
        </is>
      </c>
      <c r="H6494" s="8">
        <f>HYPERLINK("https://dart.fss.or.kr/dsaf001/main.do?rcpNo=20260522000358", "공시열람")</f>
        <v/>
      </c>
    </row>
    <row r="6495">
      <c r="A6495" s="2" t="inlineStr">
        <is>
          <t>2026-05-22</t>
        </is>
      </c>
      <c r="B6495" s="3" t="inlineStr">
        <is>
          <t>한미약품</t>
        </is>
      </c>
      <c r="C6495" s="2" t="inlineStr">
        <is>
          <t>코스피</t>
        </is>
      </c>
      <c r="D6495" s="2" t="inlineStr">
        <is>
          <t>128940</t>
        </is>
      </c>
      <c r="E6495" s="3" t="inlineStr">
        <is>
          <t>임원ㆍ주요주주특정증권등소유상황보고서</t>
        </is>
      </c>
      <c r="F6495" s="3" t="inlineStr">
        <is>
          <t>국민연금공단</t>
        </is>
      </c>
      <c r="G6495" s="2" t="inlineStr">
        <is>
          <t>20260522000355</t>
        </is>
      </c>
      <c r="H6495" s="8">
        <f>HYPERLINK("https://dart.fss.or.kr/dsaf001/main.do?rcpNo=20260522000355", "공시열람")</f>
        <v/>
      </c>
    </row>
    <row r="6496">
      <c r="A6496" s="2" t="inlineStr">
        <is>
          <t>2026-05-22</t>
        </is>
      </c>
      <c r="B6496" s="3" t="inlineStr">
        <is>
          <t>금호석유화학</t>
        </is>
      </c>
      <c r="C6496" s="2" t="inlineStr">
        <is>
          <t>코스피</t>
        </is>
      </c>
      <c r="D6496" s="2" t="inlineStr">
        <is>
          <t>011780</t>
        </is>
      </c>
      <c r="E6496" s="3" t="inlineStr">
        <is>
          <t>임원ㆍ주요주주특정증권등소유상황보고서</t>
        </is>
      </c>
      <c r="F6496" s="3" t="inlineStr">
        <is>
          <t>국민연금공단</t>
        </is>
      </c>
      <c r="G6496" s="2" t="inlineStr">
        <is>
          <t>20260522000352</t>
        </is>
      </c>
      <c r="H6496" s="8">
        <f>HYPERLINK("https://dart.fss.or.kr/dsaf001/main.do?rcpNo=20260522000352", "공시열람")</f>
        <v/>
      </c>
    </row>
    <row r="6497">
      <c r="A6497" s="2" t="inlineStr">
        <is>
          <t>2026-05-22</t>
        </is>
      </c>
      <c r="B6497" s="3" t="inlineStr">
        <is>
          <t>케이씨씨</t>
        </is>
      </c>
      <c r="C6497" s="2" t="inlineStr">
        <is>
          <t>코스피</t>
        </is>
      </c>
      <c r="D6497" s="2" t="inlineStr">
        <is>
          <t>002380</t>
        </is>
      </c>
      <c r="E6497" s="3" t="inlineStr">
        <is>
          <t>임원ㆍ주요주주특정증권등소유상황보고서</t>
        </is>
      </c>
      <c r="F6497" s="3" t="inlineStr">
        <is>
          <t>국민연금공단</t>
        </is>
      </c>
      <c r="G6497" s="2" t="inlineStr">
        <is>
          <t>20260522000350</t>
        </is>
      </c>
      <c r="H6497" s="8">
        <f>HYPERLINK("https://dart.fss.or.kr/dsaf001/main.do?rcpNo=20260522000350", "공시열람")</f>
        <v/>
      </c>
    </row>
    <row r="6498">
      <c r="A6498" s="2" t="inlineStr">
        <is>
          <t>2026-05-22</t>
        </is>
      </c>
      <c r="B6498" s="3" t="inlineStr">
        <is>
          <t>원텍</t>
        </is>
      </c>
      <c r="C6498" s="2" t="inlineStr">
        <is>
          <t>코스닥</t>
        </is>
      </c>
      <c r="D6498" s="2" t="inlineStr">
        <is>
          <t>336570</t>
        </is>
      </c>
      <c r="E6498" s="3" t="inlineStr">
        <is>
          <t xml:space="preserve">증권발행결과(자율공시)              </t>
        </is>
      </c>
      <c r="F6498" s="3" t="inlineStr">
        <is>
          <t>원텍</t>
        </is>
      </c>
      <c r="G6498" s="2" t="inlineStr">
        <is>
          <t>20260522900473</t>
        </is>
      </c>
      <c r="H6498" s="8">
        <f>HYPERLINK("https://dart.fss.or.kr/dsaf001/main.do?rcpNo=20260522900473", "공시열람")</f>
        <v/>
      </c>
    </row>
    <row r="6499">
      <c r="A6499" s="2" t="inlineStr">
        <is>
          <t>2026-05-22</t>
        </is>
      </c>
      <c r="B6499" s="3" t="inlineStr">
        <is>
          <t>이수페타시스</t>
        </is>
      </c>
      <c r="C6499" s="2" t="inlineStr">
        <is>
          <t>코스피</t>
        </is>
      </c>
      <c r="D6499" s="2" t="inlineStr">
        <is>
          <t>007660</t>
        </is>
      </c>
      <c r="E6499" s="3" t="inlineStr">
        <is>
          <t>임원ㆍ주요주주특정증권등소유상황보고서</t>
        </is>
      </c>
      <c r="F6499" s="3" t="inlineStr">
        <is>
          <t>국민연금공단</t>
        </is>
      </c>
      <c r="G6499" s="2" t="inlineStr">
        <is>
          <t>20260522000346</t>
        </is>
      </c>
      <c r="H6499" s="8">
        <f>HYPERLINK("https://dart.fss.or.kr/dsaf001/main.do?rcpNo=20260522000346", "공시열람")</f>
        <v/>
      </c>
    </row>
    <row r="6500">
      <c r="A6500" s="2" t="inlineStr">
        <is>
          <t>2026-05-22</t>
        </is>
      </c>
      <c r="B6500" s="3" t="inlineStr">
        <is>
          <t>NH투자증권</t>
        </is>
      </c>
      <c r="C6500" s="2" t="inlineStr">
        <is>
          <t>코스피</t>
        </is>
      </c>
      <c r="D6500" s="2" t="inlineStr">
        <is>
          <t>005940</t>
        </is>
      </c>
      <c r="E6500" s="3" t="inlineStr">
        <is>
          <t>투자설명서(일괄신고)</t>
        </is>
      </c>
      <c r="F6500" s="3" t="inlineStr">
        <is>
          <t>NH투자증권</t>
        </is>
      </c>
      <c r="G6500" s="2" t="inlineStr">
        <is>
          <t>20260522000344</t>
        </is>
      </c>
      <c r="H6500" s="8">
        <f>HYPERLINK("https://dart.fss.or.kr/dsaf001/main.do?rcpNo=20260522000344", "공시열람")</f>
        <v/>
      </c>
    </row>
    <row r="6501">
      <c r="A6501" s="2" t="inlineStr">
        <is>
          <t>2026-05-22</t>
        </is>
      </c>
      <c r="B6501" s="3" t="inlineStr">
        <is>
          <t>디바이스</t>
        </is>
      </c>
      <c r="C6501" s="2" t="inlineStr">
        <is>
          <t>코스닥</t>
        </is>
      </c>
      <c r="D6501" s="2" t="inlineStr">
        <is>
          <t>187870</t>
        </is>
      </c>
      <c r="E6501" s="3" t="inlineStr">
        <is>
          <t>임원ㆍ주요주주특정증권등소유상황보고서</t>
        </is>
      </c>
      <c r="F6501" s="3" t="inlineStr">
        <is>
          <t>최봉진</t>
        </is>
      </c>
      <c r="G6501" s="2" t="inlineStr">
        <is>
          <t>20260522000341</t>
        </is>
      </c>
      <c r="H6501" s="8">
        <f>HYPERLINK("https://dart.fss.or.kr/dsaf001/main.do?rcpNo=20260522000341", "공시열람")</f>
        <v/>
      </c>
    </row>
    <row r="6502">
      <c r="A6502" s="2" t="inlineStr">
        <is>
          <t>2026-05-22</t>
        </is>
      </c>
      <c r="B6502" s="3" t="inlineStr">
        <is>
          <t>롯데관광개발</t>
        </is>
      </c>
      <c r="C6502" s="2" t="inlineStr">
        <is>
          <t>코스피</t>
        </is>
      </c>
      <c r="D6502" s="2" t="inlineStr">
        <is>
          <t>032350</t>
        </is>
      </c>
      <c r="E6502" s="3" t="inlineStr">
        <is>
          <t>임원ㆍ주요주주특정증권등소유상황보고서</t>
        </is>
      </c>
      <c r="F6502" s="3" t="inlineStr">
        <is>
          <t>국민연금공단</t>
        </is>
      </c>
      <c r="G6502" s="2" t="inlineStr">
        <is>
          <t>20260522000340</t>
        </is>
      </c>
      <c r="H6502" s="8">
        <f>HYPERLINK("https://dart.fss.or.kr/dsaf001/main.do?rcpNo=20260522000340", "공시열람")</f>
        <v/>
      </c>
    </row>
    <row r="6503">
      <c r="A6503" s="2" t="inlineStr">
        <is>
          <t>2026-05-22</t>
        </is>
      </c>
      <c r="B6503" s="3" t="inlineStr">
        <is>
          <t>지역난방공사</t>
        </is>
      </c>
      <c r="C6503" s="2" t="inlineStr">
        <is>
          <t>코스피</t>
        </is>
      </c>
      <c r="D6503" s="2" t="inlineStr">
        <is>
          <t>071320</t>
        </is>
      </c>
      <c r="E6503" s="3" t="inlineStr">
        <is>
          <t xml:space="preserve">영업(잠정)실적(공정공시)              </t>
        </is>
      </c>
      <c r="F6503" s="3" t="inlineStr">
        <is>
          <t>지역난방공사</t>
        </is>
      </c>
      <c r="G6503" s="2" t="inlineStr">
        <is>
          <t>20260522800459</t>
        </is>
      </c>
      <c r="H6503" s="8">
        <f>HYPERLINK("https://dart.fss.or.kr/dsaf001/main.do?rcpNo=20260522800459", "공시열람")</f>
        <v/>
      </c>
    </row>
    <row r="6504">
      <c r="A6504" s="2" t="inlineStr">
        <is>
          <t>2026-05-22</t>
        </is>
      </c>
      <c r="B6504" s="3" t="inlineStr">
        <is>
          <t>NH투자증권</t>
        </is>
      </c>
      <c r="C6504" s="2" t="inlineStr">
        <is>
          <t>코스피</t>
        </is>
      </c>
      <c r="D6504" s="2" t="inlineStr">
        <is>
          <t>005940</t>
        </is>
      </c>
      <c r="E6504" s="3" t="inlineStr">
        <is>
          <t>투자설명서(일괄신고)</t>
        </is>
      </c>
      <c r="F6504" s="3" t="inlineStr">
        <is>
          <t>NH투자증권</t>
        </is>
      </c>
      <c r="G6504" s="2" t="inlineStr">
        <is>
          <t>20260522000335</t>
        </is>
      </c>
      <c r="H6504" s="8">
        <f>HYPERLINK("https://dart.fss.or.kr/dsaf001/main.do?rcpNo=20260522000335", "공시열람")</f>
        <v/>
      </c>
    </row>
    <row r="6505">
      <c r="A6505" s="2" t="inlineStr">
        <is>
          <t>2026-05-22</t>
        </is>
      </c>
      <c r="B6505" s="3" t="inlineStr">
        <is>
          <t>금호석유화학</t>
        </is>
      </c>
      <c r="C6505" s="2" t="inlineStr">
        <is>
          <t>코스피</t>
        </is>
      </c>
      <c r="D6505" s="2" t="inlineStr">
        <is>
          <t>011780</t>
        </is>
      </c>
      <c r="E6505" s="3" t="inlineStr">
        <is>
          <t>임원ㆍ주요주주특정증권등소유상황보고서</t>
        </is>
      </c>
      <c r="F6505" s="3" t="inlineStr">
        <is>
          <t>국민연금공단</t>
        </is>
      </c>
      <c r="G6505" s="2" t="inlineStr">
        <is>
          <t>20260522000333</t>
        </is>
      </c>
      <c r="H6505" s="8">
        <f>HYPERLINK("https://dart.fss.or.kr/dsaf001/main.do?rcpNo=20260522000333", "공시열람")</f>
        <v/>
      </c>
    </row>
    <row r="6506">
      <c r="A6506" s="2" t="inlineStr">
        <is>
          <t>2026-05-22</t>
        </is>
      </c>
      <c r="B6506" s="3" t="inlineStr">
        <is>
          <t>세화피앤씨</t>
        </is>
      </c>
      <c r="C6506" s="2" t="inlineStr">
        <is>
          <t>코스닥</t>
        </is>
      </c>
      <c r="D6506" s="2" t="inlineStr">
        <is>
          <t>252500</t>
        </is>
      </c>
      <c r="E6506" s="3" t="inlineStr">
        <is>
          <t xml:space="preserve">주주명부폐쇄기간또는기준일설정              </t>
        </is>
      </c>
      <c r="F6506" s="3" t="inlineStr">
        <is>
          <t>세화피앤씨</t>
        </is>
      </c>
      <c r="G6506" s="2" t="inlineStr">
        <is>
          <t>20260522900458</t>
        </is>
      </c>
      <c r="H6506" s="8">
        <f>HYPERLINK("https://dart.fss.or.kr/dsaf001/main.do?rcpNo=20260522900458", "공시열람")</f>
        <v/>
      </c>
    </row>
    <row r="6507">
      <c r="A6507" s="2" t="inlineStr">
        <is>
          <t>2026-05-22</t>
        </is>
      </c>
      <c r="B6507" s="3" t="inlineStr">
        <is>
          <t>HEM파마</t>
        </is>
      </c>
      <c r="C6507" s="2" t="inlineStr">
        <is>
          <t>코스닥</t>
        </is>
      </c>
      <c r="D6507" s="2" t="inlineStr">
        <is>
          <t>376270</t>
        </is>
      </c>
      <c r="E6507" s="3" t="inlineStr">
        <is>
          <t xml:space="preserve">기업설명회(IR)개최              </t>
        </is>
      </c>
      <c r="F6507" s="3" t="inlineStr">
        <is>
          <t>HEM파마</t>
        </is>
      </c>
      <c r="G6507" s="2" t="inlineStr">
        <is>
          <t>20260522900440</t>
        </is>
      </c>
      <c r="H6507" s="8">
        <f>HYPERLINK("https://dart.fss.or.kr/dsaf001/main.do?rcpNo=20260522900440", "공시열람")</f>
        <v/>
      </c>
    </row>
    <row r="6508">
      <c r="A6508" s="2" t="inlineStr">
        <is>
          <t>2026-05-22</t>
        </is>
      </c>
      <c r="B6508" s="3" t="inlineStr">
        <is>
          <t>NH투자증권</t>
        </is>
      </c>
      <c r="C6508" s="2" t="inlineStr">
        <is>
          <t>코스피</t>
        </is>
      </c>
      <c r="D6508" s="2" t="inlineStr">
        <is>
          <t>005940</t>
        </is>
      </c>
      <c r="E6508" s="3" t="inlineStr">
        <is>
          <t>투자설명서(일괄신고)</t>
        </is>
      </c>
      <c r="F6508" s="3" t="inlineStr">
        <is>
          <t>NH투자증권</t>
        </is>
      </c>
      <c r="G6508" s="2" t="inlineStr">
        <is>
          <t>20260522000321</t>
        </is>
      </c>
      <c r="H6508" s="8">
        <f>HYPERLINK("https://dart.fss.or.kr/dsaf001/main.do?rcpNo=20260522000321", "공시열람")</f>
        <v/>
      </c>
    </row>
    <row r="6509">
      <c r="A6509" s="2" t="inlineStr">
        <is>
          <t>2026-05-22</t>
        </is>
      </c>
      <c r="B6509" s="3" t="inlineStr">
        <is>
          <t>엘에스일렉트릭</t>
        </is>
      </c>
      <c r="C6509" s="2" t="inlineStr">
        <is>
          <t>코스피</t>
        </is>
      </c>
      <c r="D6509" s="2" t="inlineStr">
        <is>
          <t>010120</t>
        </is>
      </c>
      <c r="E6509" s="3" t="inlineStr">
        <is>
          <t xml:space="preserve">지속가능경영보고서등관련사항(자율공시)              </t>
        </is>
      </c>
      <c r="F6509" s="3" t="inlineStr">
        <is>
          <t>엘에스일렉트릭</t>
        </is>
      </c>
      <c r="G6509" s="2" t="inlineStr">
        <is>
          <t>20260522800449</t>
        </is>
      </c>
      <c r="H6509" s="8">
        <f>HYPERLINK("https://dart.fss.or.kr/dsaf001/main.do?rcpNo=20260522800449", "공시열람")</f>
        <v/>
      </c>
    </row>
    <row r="6510">
      <c r="A6510" s="2" t="inlineStr">
        <is>
          <t>2026-05-22 (정정: 2026-05-29)</t>
        </is>
      </c>
      <c r="B6510" s="3" t="inlineStr">
        <is>
          <t>미래에셋증권</t>
        </is>
      </c>
      <c r="C6510" s="2" t="inlineStr">
        <is>
          <t>코스피</t>
        </is>
      </c>
      <c r="D6510" s="2" t="inlineStr">
        <is>
          <t>006800</t>
        </is>
      </c>
      <c r="E6510" s="3" t="inlineStr">
        <is>
          <t>증권신고서(채무증권) (정정: 20260529)</t>
        </is>
      </c>
      <c r="F6510" s="3" t="inlineStr">
        <is>
          <t>미래에셋증권</t>
        </is>
      </c>
      <c r="G6510" s="2" t="inlineStr">
        <is>
          <t>20260529000588</t>
        </is>
      </c>
      <c r="H6510" s="8">
        <f>HYPERLINK("https://dart.fss.or.kr/dsaf001/main.do?rcpNo=20260529000588", "공시열람")</f>
        <v/>
      </c>
    </row>
    <row r="6511">
      <c r="A6511" s="2" t="inlineStr">
        <is>
          <t>2026-05-22</t>
        </is>
      </c>
      <c r="B6511" s="3" t="inlineStr">
        <is>
          <t>NH투자증권</t>
        </is>
      </c>
      <c r="C6511" s="2" t="inlineStr">
        <is>
          <t>코스피</t>
        </is>
      </c>
      <c r="D6511" s="2" t="inlineStr">
        <is>
          <t>005940</t>
        </is>
      </c>
      <c r="E6511" s="3" t="inlineStr">
        <is>
          <t>증권발행실적보고서</t>
        </is>
      </c>
      <c r="F6511" s="3" t="inlineStr">
        <is>
          <t>NH투자증권</t>
        </is>
      </c>
      <c r="G6511" s="2" t="inlineStr">
        <is>
          <t>20260522000317</t>
        </is>
      </c>
      <c r="H6511" s="8">
        <f>HYPERLINK("https://dart.fss.or.kr/dsaf001/main.do?rcpNo=20260522000317", "공시열람")</f>
        <v/>
      </c>
    </row>
    <row r="6512">
      <c r="A6512" s="2" t="inlineStr">
        <is>
          <t>2026-05-22</t>
        </is>
      </c>
      <c r="B6512" s="3" t="inlineStr">
        <is>
          <t>제주은행</t>
        </is>
      </c>
      <c r="C6512" s="2" t="inlineStr">
        <is>
          <t>코스피</t>
        </is>
      </c>
      <c r="D6512" s="2" t="inlineStr">
        <is>
          <t>006220</t>
        </is>
      </c>
      <c r="E6512" s="3" t="inlineStr">
        <is>
          <t>임원ㆍ주요주주특정증권등소유상황보고서</t>
        </is>
      </c>
      <c r="F6512" s="3" t="inlineStr">
        <is>
          <t>채훈</t>
        </is>
      </c>
      <c r="G6512" s="2" t="inlineStr">
        <is>
          <t>20260522000309</t>
        </is>
      </c>
      <c r="H6512" s="8">
        <f>HYPERLINK("https://dart.fss.or.kr/dsaf001/main.do?rcpNo=20260522000309", "공시열람")</f>
        <v/>
      </c>
    </row>
    <row r="6513">
      <c r="A6513" s="2" t="inlineStr">
        <is>
          <t>2026-05-22</t>
        </is>
      </c>
      <c r="B6513" s="3" t="inlineStr">
        <is>
          <t>디바이스</t>
        </is>
      </c>
      <c r="C6513" s="2" t="inlineStr">
        <is>
          <t>코스닥</t>
        </is>
      </c>
      <c r="D6513" s="2" t="inlineStr">
        <is>
          <t>187870</t>
        </is>
      </c>
      <c r="E6513" s="3" t="inlineStr">
        <is>
          <t>임원ㆍ주요주주특정증권등소유상황보고서</t>
        </is>
      </c>
      <c r="F6513" s="3" t="inlineStr">
        <is>
          <t>최기룡</t>
        </is>
      </c>
      <c r="G6513" s="2" t="inlineStr">
        <is>
          <t>20260522000308</t>
        </is>
      </c>
      <c r="H6513" s="8">
        <f>HYPERLINK("https://dart.fss.or.kr/dsaf001/main.do?rcpNo=20260522000308", "공시열람")</f>
        <v/>
      </c>
    </row>
    <row r="6514">
      <c r="A6514" s="2" t="inlineStr">
        <is>
          <t>2026-05-22</t>
        </is>
      </c>
      <c r="B6514" s="3" t="inlineStr">
        <is>
          <t>디바이스</t>
        </is>
      </c>
      <c r="C6514" s="2" t="inlineStr">
        <is>
          <t>코스닥</t>
        </is>
      </c>
      <c r="D6514" s="2" t="inlineStr">
        <is>
          <t>187870</t>
        </is>
      </c>
      <c r="E6514" s="3" t="inlineStr">
        <is>
          <t>임원ㆍ주요주주특정증권등소유상황보고서</t>
        </is>
      </c>
      <c r="F6514" s="3" t="inlineStr">
        <is>
          <t>이택엽</t>
        </is>
      </c>
      <c r="G6514" s="2" t="inlineStr">
        <is>
          <t>20260522000305</t>
        </is>
      </c>
      <c r="H6514" s="8">
        <f>HYPERLINK("https://dart.fss.or.kr/dsaf001/main.do?rcpNo=20260522000305", "공시열람")</f>
        <v/>
      </c>
    </row>
    <row r="6515">
      <c r="A6515" s="2" t="inlineStr">
        <is>
          <t>2026-05-22</t>
        </is>
      </c>
      <c r="B6515" s="3" t="inlineStr">
        <is>
          <t>셀리드</t>
        </is>
      </c>
      <c r="C6515" s="2" t="inlineStr">
        <is>
          <t>코스닥</t>
        </is>
      </c>
      <c r="D6515" s="2" t="inlineStr">
        <is>
          <t>299660</t>
        </is>
      </c>
      <c r="E6515" s="3" t="inlineStr">
        <is>
          <t>사외이사의선임ㆍ해임또는중도퇴임에관한신고</t>
        </is>
      </c>
      <c r="F6515" s="3" t="inlineStr">
        <is>
          <t>셀리드</t>
        </is>
      </c>
      <c r="G6515" s="2" t="inlineStr">
        <is>
          <t>20260522000301</t>
        </is>
      </c>
      <c r="H6515" s="8">
        <f>HYPERLINK("https://dart.fss.or.kr/dsaf001/main.do?rcpNo=20260522000301", "공시열람")</f>
        <v/>
      </c>
    </row>
    <row r="6516">
      <c r="A6516" s="2" t="inlineStr">
        <is>
          <t>2026-05-22</t>
        </is>
      </c>
      <c r="B6516" s="3" t="inlineStr">
        <is>
          <t>디바이스</t>
        </is>
      </c>
      <c r="C6516" s="2" t="inlineStr">
        <is>
          <t>코스닥</t>
        </is>
      </c>
      <c r="D6516" s="2" t="inlineStr">
        <is>
          <t>187870</t>
        </is>
      </c>
      <c r="E6516" s="3" t="inlineStr">
        <is>
          <t>임원ㆍ주요주주특정증권등소유상황보고서</t>
        </is>
      </c>
      <c r="F6516" s="3" t="inlineStr">
        <is>
          <t>이성진</t>
        </is>
      </c>
      <c r="G6516" s="2" t="inlineStr">
        <is>
          <t>20260522000298</t>
        </is>
      </c>
      <c r="H6516" s="8">
        <f>HYPERLINK("https://dart.fss.or.kr/dsaf001/main.do?rcpNo=20260522000298", "공시열람")</f>
        <v/>
      </c>
    </row>
    <row r="6517">
      <c r="A6517" s="2" t="inlineStr">
        <is>
          <t>2026-05-22</t>
        </is>
      </c>
      <c r="B6517" s="3" t="inlineStr">
        <is>
          <t>SKC</t>
        </is>
      </c>
      <c r="C6517" s="2" t="inlineStr">
        <is>
          <t>코스피</t>
        </is>
      </c>
      <c r="D6517" s="2" t="inlineStr">
        <is>
          <t>011790</t>
        </is>
      </c>
      <c r="E6517" s="3" t="inlineStr">
        <is>
          <t>증권발행실적보고서</t>
        </is>
      </c>
      <c r="F6517" s="3" t="inlineStr">
        <is>
          <t>SKC</t>
        </is>
      </c>
      <c r="G6517" s="2" t="inlineStr">
        <is>
          <t>20260522000297</t>
        </is>
      </c>
      <c r="H6517" s="8">
        <f>HYPERLINK("https://dart.fss.or.kr/dsaf001/main.do?rcpNo=20260522000297", "공시열람")</f>
        <v/>
      </c>
    </row>
    <row r="6518">
      <c r="A6518" s="2" t="inlineStr">
        <is>
          <t>2026-05-22</t>
        </is>
      </c>
      <c r="B6518" s="3" t="inlineStr">
        <is>
          <t>세화피앤씨</t>
        </is>
      </c>
      <c r="C6518" s="2" t="inlineStr">
        <is>
          <t>코스닥</t>
        </is>
      </c>
      <c r="D6518" s="2" t="inlineStr">
        <is>
          <t>252500</t>
        </is>
      </c>
      <c r="E6518" s="3" t="inlineStr">
        <is>
          <t xml:space="preserve">주식병합결정              </t>
        </is>
      </c>
      <c r="F6518" s="3" t="inlineStr">
        <is>
          <t>세화피앤씨</t>
        </is>
      </c>
      <c r="G6518" s="2" t="inlineStr">
        <is>
          <t>20260522900420</t>
        </is>
      </c>
      <c r="H6518" s="8">
        <f>HYPERLINK("https://dart.fss.or.kr/dsaf001/main.do?rcpNo=20260522900420", "공시열람")</f>
        <v/>
      </c>
    </row>
    <row r="6519">
      <c r="A6519" s="2" t="inlineStr">
        <is>
          <t>2026-05-22 (정정: 2026-05-28)</t>
        </is>
      </c>
      <c r="B6519" s="3" t="inlineStr">
        <is>
          <t>피에스텍</t>
        </is>
      </c>
      <c r="C6519" s="2" t="inlineStr">
        <is>
          <t>코스닥</t>
        </is>
      </c>
      <c r="D6519" s="2" t="inlineStr">
        <is>
          <t>002230</t>
        </is>
      </c>
      <c r="E6519" s="3" t="inlineStr">
        <is>
          <t>유형자산취득결정(종속회사의주요경영사항)               (정정: 20260528)</t>
        </is>
      </c>
      <c r="F6519" s="3" t="inlineStr">
        <is>
          <t>피에스텍</t>
        </is>
      </c>
      <c r="G6519" s="2" t="inlineStr">
        <is>
          <t>20260528900989</t>
        </is>
      </c>
      <c r="H6519" s="8">
        <f>HYPERLINK("https://dart.fss.or.kr/dsaf001/main.do?rcpNo=20260528900989", "공시열람")</f>
        <v/>
      </c>
    </row>
    <row r="6520">
      <c r="A6520" s="2" t="inlineStr">
        <is>
          <t>2026-05-22</t>
        </is>
      </c>
      <c r="B6520" s="3" t="inlineStr">
        <is>
          <t>피에스텍</t>
        </is>
      </c>
      <c r="C6520" s="2" t="inlineStr">
        <is>
          <t>코스닥</t>
        </is>
      </c>
      <c r="D6520" s="2" t="inlineStr">
        <is>
          <t>002230</t>
        </is>
      </c>
      <c r="E6520" s="3" t="inlineStr">
        <is>
          <t xml:space="preserve">타법인주식및출자증권취득결정(자율공시)              </t>
        </is>
      </c>
      <c r="F6520" s="3" t="inlineStr">
        <is>
          <t>피에스텍</t>
        </is>
      </c>
      <c r="G6520" s="2" t="inlineStr">
        <is>
          <t>20260522900396</t>
        </is>
      </c>
      <c r="H6520" s="8">
        <f>HYPERLINK("https://dart.fss.or.kr/dsaf001/main.do?rcpNo=20260522900396", "공시열람")</f>
        <v/>
      </c>
    </row>
    <row r="6521">
      <c r="A6521" s="2" t="inlineStr">
        <is>
          <t>2026-05-22</t>
        </is>
      </c>
      <c r="B6521" s="3" t="inlineStr">
        <is>
          <t>디바이스</t>
        </is>
      </c>
      <c r="C6521" s="2" t="inlineStr">
        <is>
          <t>코스닥</t>
        </is>
      </c>
      <c r="D6521" s="2" t="inlineStr">
        <is>
          <t>187870</t>
        </is>
      </c>
      <c r="E6521" s="3" t="inlineStr">
        <is>
          <t>임원ㆍ주요주주특정증권등소유상황보고서</t>
        </is>
      </c>
      <c r="F6521" s="3" t="inlineStr">
        <is>
          <t>이상종</t>
        </is>
      </c>
      <c r="G6521" s="2" t="inlineStr">
        <is>
          <t>20260522000295</t>
        </is>
      </c>
      <c r="H6521" s="8">
        <f>HYPERLINK("https://dart.fss.or.kr/dsaf001/main.do?rcpNo=20260522000295", "공시열람")</f>
        <v/>
      </c>
    </row>
    <row r="6522">
      <c r="A6522" s="2" t="inlineStr">
        <is>
          <t>2026-05-22</t>
        </is>
      </c>
      <c r="B6522" s="3" t="inlineStr">
        <is>
          <t>미래에셋증권</t>
        </is>
      </c>
      <c r="C6522" s="2" t="inlineStr">
        <is>
          <t>코스피</t>
        </is>
      </c>
      <c r="D6522" s="2" t="inlineStr">
        <is>
          <t>006800</t>
        </is>
      </c>
      <c r="E6522" s="3" t="inlineStr">
        <is>
          <t>증권발행실적보고서</t>
        </is>
      </c>
      <c r="F6522" s="3" t="inlineStr">
        <is>
          <t>미래에셋증권</t>
        </is>
      </c>
      <c r="G6522" s="2" t="inlineStr">
        <is>
          <t>20260522000290</t>
        </is>
      </c>
      <c r="H6522" s="8">
        <f>HYPERLINK("https://dart.fss.or.kr/dsaf001/main.do?rcpNo=20260522000290", "공시열람")</f>
        <v/>
      </c>
    </row>
    <row r="6523">
      <c r="A6523" s="2" t="inlineStr">
        <is>
          <t>2026-05-22</t>
        </is>
      </c>
      <c r="B6523" s="3" t="inlineStr">
        <is>
          <t>디바이스</t>
        </is>
      </c>
      <c r="C6523" s="2" t="inlineStr">
        <is>
          <t>코스닥</t>
        </is>
      </c>
      <c r="D6523" s="2" t="inlineStr">
        <is>
          <t>187870</t>
        </is>
      </c>
      <c r="E6523" s="3" t="inlineStr">
        <is>
          <t>임원ㆍ주요주주특정증권등소유상황보고서</t>
        </is>
      </c>
      <c r="F6523" s="3" t="inlineStr">
        <is>
          <t>윤창로</t>
        </is>
      </c>
      <c r="G6523" s="2" t="inlineStr">
        <is>
          <t>20260522000286</t>
        </is>
      </c>
      <c r="H6523" s="8">
        <f>HYPERLINK("https://dart.fss.or.kr/dsaf001/main.do?rcpNo=20260522000286", "공시열람")</f>
        <v/>
      </c>
    </row>
    <row r="6524">
      <c r="A6524" s="2" t="inlineStr">
        <is>
          <t>2026-05-22</t>
        </is>
      </c>
      <c r="B6524" s="3" t="inlineStr">
        <is>
          <t>디바이스</t>
        </is>
      </c>
      <c r="C6524" s="2" t="inlineStr">
        <is>
          <t>코스닥</t>
        </is>
      </c>
      <c r="D6524" s="2" t="inlineStr">
        <is>
          <t>187870</t>
        </is>
      </c>
      <c r="E6524" s="3" t="inlineStr">
        <is>
          <t>임원ㆍ주요주주특정증권등소유상황보고서</t>
        </is>
      </c>
      <c r="F6524" s="3" t="inlineStr">
        <is>
          <t>방인호</t>
        </is>
      </c>
      <c r="G6524" s="2" t="inlineStr">
        <is>
          <t>20260522000283</t>
        </is>
      </c>
      <c r="H6524" s="8">
        <f>HYPERLINK("https://dart.fss.or.kr/dsaf001/main.do?rcpNo=20260522000283", "공시열람")</f>
        <v/>
      </c>
    </row>
    <row r="6525">
      <c r="A6525" s="2" t="inlineStr">
        <is>
          <t>2026-05-22</t>
        </is>
      </c>
      <c r="B6525" s="3" t="inlineStr">
        <is>
          <t>디바이스</t>
        </is>
      </c>
      <c r="C6525" s="2" t="inlineStr">
        <is>
          <t>코스닥</t>
        </is>
      </c>
      <c r="D6525" s="2" t="inlineStr">
        <is>
          <t>187870</t>
        </is>
      </c>
      <c r="E6525" s="3" t="inlineStr">
        <is>
          <t>임원ㆍ주요주주특정증권등소유상황보고서</t>
        </is>
      </c>
      <c r="F6525" s="3" t="inlineStr">
        <is>
          <t>김주태</t>
        </is>
      </c>
      <c r="G6525" s="2" t="inlineStr">
        <is>
          <t>20260522000281</t>
        </is>
      </c>
      <c r="H6525" s="8">
        <f>HYPERLINK("https://dart.fss.or.kr/dsaf001/main.do?rcpNo=20260522000281", "공시열람")</f>
        <v/>
      </c>
    </row>
    <row r="6526">
      <c r="A6526" s="2" t="inlineStr">
        <is>
          <t>2026-05-22</t>
        </is>
      </c>
      <c r="B6526" s="3" t="inlineStr">
        <is>
          <t>대성미생물</t>
        </is>
      </c>
      <c r="C6526" s="2" t="inlineStr">
        <is>
          <t>코스닥</t>
        </is>
      </c>
      <c r="D6526" s="2" t="inlineStr">
        <is>
          <t>036480</t>
        </is>
      </c>
      <c r="E6526" s="3" t="inlineStr">
        <is>
          <t>임원ㆍ주요주주특정증권등소유상황보고서</t>
        </is>
      </c>
      <c r="F6526" s="3" t="inlineStr">
        <is>
          <t>최승훈</t>
        </is>
      </c>
      <c r="G6526" s="2" t="inlineStr">
        <is>
          <t>20260522000268</t>
        </is>
      </c>
      <c r="H6526" s="8">
        <f>HYPERLINK("https://dart.fss.or.kr/dsaf001/main.do?rcpNo=20260522000268", "공시열람")</f>
        <v/>
      </c>
    </row>
    <row r="6527">
      <c r="A6527" s="2" t="inlineStr">
        <is>
          <t>2026-05-22</t>
        </is>
      </c>
      <c r="B6527" s="3" t="inlineStr">
        <is>
          <t>디바이스</t>
        </is>
      </c>
      <c r="C6527" s="2" t="inlineStr">
        <is>
          <t>코스닥</t>
        </is>
      </c>
      <c r="D6527" s="2" t="inlineStr">
        <is>
          <t>187870</t>
        </is>
      </c>
      <c r="E6527" s="3" t="inlineStr">
        <is>
          <t>임원ㆍ주요주주특정증권등소유상황보고서</t>
        </is>
      </c>
      <c r="F6527" s="3" t="inlineStr">
        <is>
          <t>고숭호</t>
        </is>
      </c>
      <c r="G6527" s="2" t="inlineStr">
        <is>
          <t>20260522000267</t>
        </is>
      </c>
      <c r="H6527" s="8">
        <f>HYPERLINK("https://dart.fss.or.kr/dsaf001/main.do?rcpNo=20260522000267", "공시열람")</f>
        <v/>
      </c>
    </row>
    <row r="6528">
      <c r="A6528" s="2" t="inlineStr">
        <is>
          <t>2026-05-22</t>
        </is>
      </c>
      <c r="B6528" s="3" t="inlineStr">
        <is>
          <t>조아제약</t>
        </is>
      </c>
      <c r="C6528" s="2" t="inlineStr">
        <is>
          <t>코스닥</t>
        </is>
      </c>
      <c r="D6528" s="2" t="inlineStr">
        <is>
          <t>034940</t>
        </is>
      </c>
      <c r="E6528" s="3" t="inlineStr">
        <is>
          <t xml:space="preserve">주주명부폐쇄기간또는기준일설정              </t>
        </is>
      </c>
      <c r="F6528" s="3" t="inlineStr">
        <is>
          <t>조아제약</t>
        </is>
      </c>
      <c r="G6528" s="2" t="inlineStr">
        <is>
          <t>20260522900387</t>
        </is>
      </c>
      <c r="H6528" s="8">
        <f>HYPERLINK("https://dart.fss.or.kr/dsaf001/main.do?rcpNo=20260522900387", "공시열람")</f>
        <v/>
      </c>
    </row>
    <row r="6529">
      <c r="A6529" s="2" t="inlineStr">
        <is>
          <t>2026-05-22</t>
        </is>
      </c>
      <c r="B6529" s="3" t="inlineStr">
        <is>
          <t>DB증권</t>
        </is>
      </c>
      <c r="C6529" s="2" t="inlineStr">
        <is>
          <t>코스피</t>
        </is>
      </c>
      <c r="D6529" s="2" t="inlineStr">
        <is>
          <t>016610</t>
        </is>
      </c>
      <c r="E6529" s="3" t="inlineStr">
        <is>
          <t>투자설명서(일괄신고)</t>
        </is>
      </c>
      <c r="F6529" s="3" t="inlineStr">
        <is>
          <t>DB증권</t>
        </is>
      </c>
      <c r="G6529" s="2" t="inlineStr">
        <is>
          <t>20260522000255</t>
        </is>
      </c>
      <c r="H6529" s="8">
        <f>HYPERLINK("https://dart.fss.or.kr/dsaf001/main.do?rcpNo=20260522000255", "공시열람")</f>
        <v/>
      </c>
    </row>
    <row r="6530">
      <c r="A6530" s="2" t="inlineStr">
        <is>
          <t>2026-05-22 (정정: 2026-05-26)</t>
        </is>
      </c>
      <c r="B6530" s="3" t="inlineStr">
        <is>
          <t>SKC</t>
        </is>
      </c>
      <c r="C6530" s="2" t="inlineStr">
        <is>
          <t>코스피</t>
        </is>
      </c>
      <c r="D6530" s="2" t="inlineStr">
        <is>
          <t>011790</t>
        </is>
      </c>
      <c r="E6530" s="3" t="inlineStr">
        <is>
          <t>유상증자또는주식관련사채등의발행결과(자율공시)               (정정: 20260526)</t>
        </is>
      </c>
      <c r="F6530" s="3" t="inlineStr">
        <is>
          <t>SKC</t>
        </is>
      </c>
      <c r="G6530" s="2" t="inlineStr">
        <is>
          <t>20260526800885</t>
        </is>
      </c>
      <c r="H6530" s="8">
        <f>HYPERLINK("https://dart.fss.or.kr/dsaf001/main.do?rcpNo=20260526800885", "공시열람")</f>
        <v/>
      </c>
    </row>
    <row r="6531">
      <c r="A6531" s="2" t="inlineStr">
        <is>
          <t>2026-05-22</t>
        </is>
      </c>
      <c r="B6531" s="3" t="inlineStr">
        <is>
          <t>코퍼스코리아</t>
        </is>
      </c>
      <c r="C6531" s="2" t="inlineStr">
        <is>
          <t>코스닥</t>
        </is>
      </c>
      <c r="D6531" s="2" t="inlineStr">
        <is>
          <t>322780</t>
        </is>
      </c>
      <c r="E6531" s="3" t="inlineStr">
        <is>
          <t>전환사채(해외전환사채포함)발행후만기전사채취득              (제4회차)</t>
        </is>
      </c>
      <c r="F6531" s="3" t="inlineStr">
        <is>
          <t>코퍼스코리아</t>
        </is>
      </c>
      <c r="G6531" s="2" t="inlineStr">
        <is>
          <t>20260522900358</t>
        </is>
      </c>
      <c r="H6531" s="8">
        <f>HYPERLINK("https://dart.fss.or.kr/dsaf001/main.do?rcpNo=20260522900358", "공시열람")</f>
        <v/>
      </c>
    </row>
    <row r="6532">
      <c r="A6532" s="2" t="inlineStr">
        <is>
          <t>2026-05-22</t>
        </is>
      </c>
      <c r="B6532" s="3" t="inlineStr">
        <is>
          <t>자연과환경</t>
        </is>
      </c>
      <c r="C6532" s="2" t="inlineStr">
        <is>
          <t>코스닥</t>
        </is>
      </c>
      <c r="D6532" s="2" t="inlineStr">
        <is>
          <t>043910</t>
        </is>
      </c>
      <c r="E6532" s="3" t="inlineStr">
        <is>
          <t>투자판단관련주요경영사항              (석문국가산단 B-6 민간참여 공모사업 중 PC공사 낙찰)</t>
        </is>
      </c>
      <c r="F6532" s="3" t="inlineStr">
        <is>
          <t>자연과환경</t>
        </is>
      </c>
      <c r="G6532" s="2" t="inlineStr">
        <is>
          <t>20260522900355</t>
        </is>
      </c>
      <c r="H6532" s="8">
        <f>HYPERLINK("https://dart.fss.or.kr/dsaf001/main.do?rcpNo=20260522900355", "공시열람")</f>
        <v/>
      </c>
    </row>
    <row r="6533">
      <c r="A6533" s="2" t="inlineStr">
        <is>
          <t>2026-05-22</t>
        </is>
      </c>
      <c r="B6533" s="3" t="inlineStr">
        <is>
          <t>DB증권</t>
        </is>
      </c>
      <c r="C6533" s="2" t="inlineStr">
        <is>
          <t>코스피</t>
        </is>
      </c>
      <c r="D6533" s="2" t="inlineStr">
        <is>
          <t>016610</t>
        </is>
      </c>
      <c r="E6533" s="3" t="inlineStr">
        <is>
          <t>투자설명서(일괄신고)</t>
        </is>
      </c>
      <c r="F6533" s="3" t="inlineStr">
        <is>
          <t>DB증권</t>
        </is>
      </c>
      <c r="G6533" s="2" t="inlineStr">
        <is>
          <t>20260522000240</t>
        </is>
      </c>
      <c r="H6533" s="8">
        <f>HYPERLINK("https://dart.fss.or.kr/dsaf001/main.do?rcpNo=20260522000240", "공시열람")</f>
        <v/>
      </c>
    </row>
    <row r="6534">
      <c r="A6534" s="2" t="inlineStr">
        <is>
          <t>2026-05-22</t>
        </is>
      </c>
      <c r="B6534" s="3" t="inlineStr">
        <is>
          <t>계룡건설산업</t>
        </is>
      </c>
      <c r="C6534" s="2" t="inlineStr">
        <is>
          <t>코스피</t>
        </is>
      </c>
      <c r="D6534" s="2" t="inlineStr">
        <is>
          <t>013580</t>
        </is>
      </c>
      <c r="E6534" s="3" t="inlineStr">
        <is>
          <t xml:space="preserve">타법인주식및출자증권취득결정              </t>
        </is>
      </c>
      <c r="F6534" s="3" t="inlineStr">
        <is>
          <t>계룡건설산업</t>
        </is>
      </c>
      <c r="G6534" s="2" t="inlineStr">
        <is>
          <t>20260522800345</t>
        </is>
      </c>
      <c r="H6534" s="8">
        <f>HYPERLINK("https://dart.fss.or.kr/dsaf001/main.do?rcpNo=20260522800345", "공시열람")</f>
        <v/>
      </c>
    </row>
    <row r="6535">
      <c r="A6535" s="2" t="inlineStr">
        <is>
          <t>2026-05-22</t>
        </is>
      </c>
      <c r="B6535" s="3" t="inlineStr">
        <is>
          <t>두올</t>
        </is>
      </c>
      <c r="C6535" s="2" t="inlineStr">
        <is>
          <t>코스피</t>
        </is>
      </c>
      <c r="D6535" s="2" t="inlineStr">
        <is>
          <t>016740</t>
        </is>
      </c>
      <c r="E6535" s="3" t="inlineStr">
        <is>
          <t xml:space="preserve">주주명부폐쇄기간또는기준일설정              </t>
        </is>
      </c>
      <c r="F6535" s="3" t="inlineStr">
        <is>
          <t>두올</t>
        </is>
      </c>
      <c r="G6535" s="2" t="inlineStr">
        <is>
          <t>20260522800360</t>
        </is>
      </c>
      <c r="H6535" s="8">
        <f>HYPERLINK("https://dart.fss.or.kr/dsaf001/main.do?rcpNo=20260522800360", "공시열람")</f>
        <v/>
      </c>
    </row>
    <row r="6536">
      <c r="A6536" s="2" t="inlineStr">
        <is>
          <t>2026-05-22</t>
        </is>
      </c>
      <c r="B6536" s="3" t="inlineStr">
        <is>
          <t>링크드</t>
        </is>
      </c>
      <c r="C6536" s="2" t="inlineStr">
        <is>
          <t>코스닥</t>
        </is>
      </c>
      <c r="D6536" s="2" t="inlineStr">
        <is>
          <t>193250</t>
        </is>
      </c>
      <c r="E6536" s="3" t="inlineStr">
        <is>
          <t>임원ㆍ주요주주특정증권등소유상황보고서</t>
        </is>
      </c>
      <c r="F6536" s="3" t="inlineStr">
        <is>
          <t>곽동석</t>
        </is>
      </c>
      <c r="G6536" s="2" t="inlineStr">
        <is>
          <t>20260522000235</t>
        </is>
      </c>
      <c r="H6536" s="8">
        <f>HYPERLINK("https://dart.fss.or.kr/dsaf001/main.do?rcpNo=20260522000235", "공시열람")</f>
        <v/>
      </c>
    </row>
    <row r="6537">
      <c r="A6537" s="2" t="inlineStr">
        <is>
          <t>2026-05-22</t>
        </is>
      </c>
      <c r="B6537" s="3" t="inlineStr">
        <is>
          <t>NH투자증권</t>
        </is>
      </c>
      <c r="C6537" s="2" t="inlineStr">
        <is>
          <t>코스피</t>
        </is>
      </c>
      <c r="D6537" s="2" t="inlineStr">
        <is>
          <t>005940</t>
        </is>
      </c>
      <c r="E6537" s="3" t="inlineStr">
        <is>
          <t>일괄신고추가서류(파생결합증권-주가연계증권)</t>
        </is>
      </c>
      <c r="F6537" s="3" t="inlineStr">
        <is>
          <t>NH투자증권</t>
        </is>
      </c>
      <c r="G6537" s="2" t="inlineStr">
        <is>
          <t>20260522000233</t>
        </is>
      </c>
      <c r="H6537" s="8">
        <f>HYPERLINK("https://dart.fss.or.kr/dsaf001/main.do?rcpNo=20260522000233", "공시열람")</f>
        <v/>
      </c>
    </row>
    <row r="6538">
      <c r="A6538" s="2" t="inlineStr">
        <is>
          <t>2026-05-22</t>
        </is>
      </c>
      <c r="B6538" s="3" t="inlineStr">
        <is>
          <t>인화정공</t>
        </is>
      </c>
      <c r="C6538" s="2" t="inlineStr">
        <is>
          <t>코스닥</t>
        </is>
      </c>
      <c r="D6538" s="2" t="inlineStr">
        <is>
          <t>101930</t>
        </is>
      </c>
      <c r="E6538" s="3" t="inlineStr">
        <is>
          <t>신탁계약해지결과보고서</t>
        </is>
      </c>
      <c r="F6538" s="3" t="inlineStr">
        <is>
          <t>인화정공</t>
        </is>
      </c>
      <c r="G6538" s="2" t="inlineStr">
        <is>
          <t>20260522000232</t>
        </is>
      </c>
      <c r="H6538" s="8">
        <f>HYPERLINK("https://dart.fss.or.kr/dsaf001/main.do?rcpNo=20260522000232", "공시열람")</f>
        <v/>
      </c>
    </row>
    <row r="6539">
      <c r="A6539" s="2" t="inlineStr">
        <is>
          <t>2026-05-22</t>
        </is>
      </c>
      <c r="B6539" s="3" t="inlineStr">
        <is>
          <t>조아제약</t>
        </is>
      </c>
      <c r="C6539" s="2" t="inlineStr">
        <is>
          <t>코스닥</t>
        </is>
      </c>
      <c r="D6539" s="2" t="inlineStr">
        <is>
          <t>034940</t>
        </is>
      </c>
      <c r="E6539" s="3" t="inlineStr">
        <is>
          <t xml:space="preserve">주식병합결정              </t>
        </is>
      </c>
      <c r="F6539" s="3" t="inlineStr">
        <is>
          <t>조아제약</t>
        </is>
      </c>
      <c r="G6539" s="2" t="inlineStr">
        <is>
          <t>20260522900356</t>
        </is>
      </c>
      <c r="H6539" s="8">
        <f>HYPERLINK("https://dart.fss.or.kr/dsaf001/main.do?rcpNo=20260522900356", "공시열람")</f>
        <v/>
      </c>
    </row>
    <row r="6540">
      <c r="A6540" s="2" t="inlineStr">
        <is>
          <t>2026-05-22 (정정: 2026-05-28)</t>
        </is>
      </c>
      <c r="B6540" s="3" t="inlineStr">
        <is>
          <t>라파스</t>
        </is>
      </c>
      <c r="C6540" s="2" t="inlineStr">
        <is>
          <t>코스닥</t>
        </is>
      </c>
      <c r="D6540" s="2" t="inlineStr">
        <is>
          <t>214260</t>
        </is>
      </c>
      <c r="E6540" s="3" t="inlineStr">
        <is>
          <t>투자판단관련주요경영사항(임상시험계획승인신청)              (알레르기비염 면역치료제 DF19001의 임상 2b/3상 임상시험계획(IND) 승인 신청) (정정: 20260528)</t>
        </is>
      </c>
      <c r="F6540" s="3" t="inlineStr">
        <is>
          <t>라파스</t>
        </is>
      </c>
      <c r="G6540" s="2" t="inlineStr">
        <is>
          <t>20260528900196</t>
        </is>
      </c>
      <c r="H6540" s="8">
        <f>HYPERLINK("https://dart.fss.or.kr/dsaf001/main.do?rcpNo=20260528900196", "공시열람")</f>
        <v/>
      </c>
    </row>
    <row r="6541">
      <c r="A6541" s="2" t="inlineStr">
        <is>
          <t>2026-05-22</t>
        </is>
      </c>
      <c r="B6541" s="3" t="inlineStr">
        <is>
          <t>링크드</t>
        </is>
      </c>
      <c r="C6541" s="2" t="inlineStr">
        <is>
          <t>코스닥</t>
        </is>
      </c>
      <c r="D6541" s="2" t="inlineStr">
        <is>
          <t>193250</t>
        </is>
      </c>
      <c r="E6541" s="3" t="inlineStr">
        <is>
          <t>임원ㆍ주요주주특정증권등소유상황보고서</t>
        </is>
      </c>
      <c r="F6541" s="3" t="inlineStr">
        <is>
          <t>지재복</t>
        </is>
      </c>
      <c r="G6541" s="2" t="inlineStr">
        <is>
          <t>20260522000228</t>
        </is>
      </c>
      <c r="H6541" s="8">
        <f>HYPERLINK("https://dart.fss.or.kr/dsaf001/main.do?rcpNo=20260522000228", "공시열람")</f>
        <v/>
      </c>
    </row>
    <row r="6542">
      <c r="A6542" s="2" t="inlineStr">
        <is>
          <t>2026-05-22</t>
        </is>
      </c>
      <c r="B6542" s="3" t="inlineStr">
        <is>
          <t>TS인베스트먼트</t>
        </is>
      </c>
      <c r="C6542" s="2" t="inlineStr">
        <is>
          <t>코스닥</t>
        </is>
      </c>
      <c r="D6542" s="2" t="inlineStr">
        <is>
          <t>246690</t>
        </is>
      </c>
      <c r="E6542" s="3" t="inlineStr">
        <is>
          <t>사외이사의선임ㆍ해임또는중도퇴임에관한신고</t>
        </is>
      </c>
      <c r="F6542" s="3" t="inlineStr">
        <is>
          <t>TS인베스트먼트</t>
        </is>
      </c>
      <c r="G6542" s="2" t="inlineStr">
        <is>
          <t>20260522000227</t>
        </is>
      </c>
      <c r="H6542" s="8">
        <f>HYPERLINK("https://dart.fss.or.kr/dsaf001/main.do?rcpNo=20260522000227", "공시열람")</f>
        <v/>
      </c>
    </row>
    <row r="6543">
      <c r="A6543" s="2" t="inlineStr">
        <is>
          <t>2026-05-22</t>
        </is>
      </c>
      <c r="B6543" s="3" t="inlineStr">
        <is>
          <t>메타바이오메드</t>
        </is>
      </c>
      <c r="C6543" s="2" t="inlineStr">
        <is>
          <t>코스닥</t>
        </is>
      </c>
      <c r="D6543" s="2" t="inlineStr">
        <is>
          <t>059210</t>
        </is>
      </c>
      <c r="E6543" s="3" t="inlineStr">
        <is>
          <t>임원ㆍ주요주주특정증권등소유상황보고서</t>
        </is>
      </c>
      <c r="F6543" s="3" t="inlineStr">
        <is>
          <t>오지수</t>
        </is>
      </c>
      <c r="G6543" s="2" t="inlineStr">
        <is>
          <t>20260522000226</t>
        </is>
      </c>
      <c r="H6543" s="8">
        <f>HYPERLINK("https://dart.fss.or.kr/dsaf001/main.do?rcpNo=20260522000226", "공시열람")</f>
        <v/>
      </c>
    </row>
    <row r="6544">
      <c r="A6544" s="2" t="inlineStr">
        <is>
          <t>2026-05-22</t>
        </is>
      </c>
      <c r="B6544" s="3" t="inlineStr">
        <is>
          <t>제이스로보틱스</t>
        </is>
      </c>
      <c r="C6544" s="2" t="inlineStr">
        <is>
          <t>코스닥</t>
        </is>
      </c>
      <c r="D6544" s="2" t="inlineStr">
        <is>
          <t>090470</t>
        </is>
      </c>
      <c r="E6544" s="3" t="inlineStr">
        <is>
          <t>의결권대리행사권유참고서류</t>
        </is>
      </c>
      <c r="F6544" s="3" t="inlineStr">
        <is>
          <t>제이스로보틱스</t>
        </is>
      </c>
      <c r="G6544" s="2" t="inlineStr">
        <is>
          <t>20260522000219</t>
        </is>
      </c>
      <c r="H6544" s="8">
        <f>HYPERLINK("https://dart.fss.or.kr/dsaf001/main.do?rcpNo=20260522000219", "공시열람")</f>
        <v/>
      </c>
    </row>
    <row r="6545">
      <c r="A6545" s="2" t="inlineStr">
        <is>
          <t>2026-05-22</t>
        </is>
      </c>
      <c r="B6545" s="3" t="inlineStr">
        <is>
          <t>지역난방공사</t>
        </is>
      </c>
      <c r="C6545" s="2" t="inlineStr">
        <is>
          <t>코스피</t>
        </is>
      </c>
      <c r="D6545" s="2" t="inlineStr">
        <is>
          <t>071320</t>
        </is>
      </c>
      <c r="E6545" s="3" t="inlineStr">
        <is>
          <t>사외이사의선임ㆍ해임또는중도퇴임에관한신고</t>
        </is>
      </c>
      <c r="F6545" s="3" t="inlineStr">
        <is>
          <t>지역난방공사</t>
        </is>
      </c>
      <c r="G6545" s="2" t="inlineStr">
        <is>
          <t>20260522000217</t>
        </is>
      </c>
      <c r="H6545" s="8">
        <f>HYPERLINK("https://dart.fss.or.kr/dsaf001/main.do?rcpNo=20260522000217", "공시열람")</f>
        <v/>
      </c>
    </row>
    <row r="6546">
      <c r="A6546" s="2" t="inlineStr">
        <is>
          <t>2026-05-22</t>
        </is>
      </c>
      <c r="B6546" s="3" t="inlineStr">
        <is>
          <t>DB증권</t>
        </is>
      </c>
      <c r="C6546" s="2" t="inlineStr">
        <is>
          <t>코스피</t>
        </is>
      </c>
      <c r="D6546" s="2" t="inlineStr">
        <is>
          <t>016610</t>
        </is>
      </c>
      <c r="E6546" s="3" t="inlineStr">
        <is>
          <t>일괄신고추가서류(기타파생결합사채)</t>
        </is>
      </c>
      <c r="F6546" s="3" t="inlineStr">
        <is>
          <t>DB증권</t>
        </is>
      </c>
      <c r="G6546" s="2" t="inlineStr">
        <is>
          <t>20260522000215</t>
        </is>
      </c>
      <c r="H6546" s="8">
        <f>HYPERLINK("https://dart.fss.or.kr/dsaf001/main.do?rcpNo=20260522000215", "공시열람")</f>
        <v/>
      </c>
    </row>
    <row r="6547">
      <c r="A6547" s="2" t="inlineStr">
        <is>
          <t>2026-05-22</t>
        </is>
      </c>
      <c r="B6547" s="3" t="inlineStr">
        <is>
          <t>링크드</t>
        </is>
      </c>
      <c r="C6547" s="2" t="inlineStr">
        <is>
          <t>코스닥</t>
        </is>
      </c>
      <c r="D6547" s="2" t="inlineStr">
        <is>
          <t>193250</t>
        </is>
      </c>
      <c r="E6547" s="3" t="inlineStr">
        <is>
          <t>임원ㆍ주요주주특정증권등소유상황보고서</t>
        </is>
      </c>
      <c r="F6547" s="3" t="inlineStr">
        <is>
          <t>이상의</t>
        </is>
      </c>
      <c r="G6547" s="2" t="inlineStr">
        <is>
          <t>20260522000213</t>
        </is>
      </c>
      <c r="H6547" s="8">
        <f>HYPERLINK("https://dart.fss.or.kr/dsaf001/main.do?rcpNo=20260522000213", "공시열람")</f>
        <v/>
      </c>
    </row>
    <row r="6548">
      <c r="A6548" s="2" t="inlineStr">
        <is>
          <t>2026-05-22</t>
        </is>
      </c>
      <c r="B6548" s="3" t="inlineStr">
        <is>
          <t>삼양컴텍</t>
        </is>
      </c>
      <c r="C6548" s="2" t="inlineStr">
        <is>
          <t>코스닥</t>
        </is>
      </c>
      <c r="D6548" s="2" t="inlineStr">
        <is>
          <t>484590</t>
        </is>
      </c>
      <c r="E6548" s="3" t="inlineStr">
        <is>
          <t xml:space="preserve">기업설명회(IR)개최              </t>
        </is>
      </c>
      <c r="F6548" s="3" t="inlineStr">
        <is>
          <t>삼양컴텍</t>
        </is>
      </c>
      <c r="G6548" s="2" t="inlineStr">
        <is>
          <t>20260522900319</t>
        </is>
      </c>
      <c r="H6548" s="8">
        <f>HYPERLINK("https://dart.fss.or.kr/dsaf001/main.do?rcpNo=20260522900319", "공시열람")</f>
        <v/>
      </c>
    </row>
    <row r="6549">
      <c r="A6549" s="2" t="inlineStr">
        <is>
          <t>2026-05-22</t>
        </is>
      </c>
      <c r="B6549" s="3" t="inlineStr">
        <is>
          <t>링크드</t>
        </is>
      </c>
      <c r="C6549" s="2" t="inlineStr">
        <is>
          <t>코스닥</t>
        </is>
      </c>
      <c r="D6549" s="2" t="inlineStr">
        <is>
          <t>193250</t>
        </is>
      </c>
      <c r="E6549" s="3" t="inlineStr">
        <is>
          <t>임원ㆍ주요주주특정증권등소유상황보고서</t>
        </is>
      </c>
      <c r="F6549" s="3" t="inlineStr">
        <is>
          <t>애자일스톤</t>
        </is>
      </c>
      <c r="G6549" s="2" t="inlineStr">
        <is>
          <t>20260522000209</t>
        </is>
      </c>
      <c r="H6549" s="8">
        <f>HYPERLINK("https://dart.fss.or.kr/dsaf001/main.do?rcpNo=20260522000209", "공시열람")</f>
        <v/>
      </c>
    </row>
    <row r="6550">
      <c r="A6550" s="2" t="inlineStr">
        <is>
          <t>2026-05-22</t>
        </is>
      </c>
      <c r="B6550" s="3" t="inlineStr">
        <is>
          <t>링크드</t>
        </is>
      </c>
      <c r="C6550" s="2" t="inlineStr">
        <is>
          <t>코스닥</t>
        </is>
      </c>
      <c r="D6550" s="2" t="inlineStr">
        <is>
          <t>193250</t>
        </is>
      </c>
      <c r="E6550" s="3" t="inlineStr">
        <is>
          <t>임원ㆍ주요주주특정증권등소유상황보고서</t>
        </is>
      </c>
      <c r="F6550" s="3" t="inlineStr">
        <is>
          <t>민용재</t>
        </is>
      </c>
      <c r="G6550" s="2" t="inlineStr">
        <is>
          <t>20260522000206</t>
        </is>
      </c>
      <c r="H6550" s="8">
        <f>HYPERLINK("https://dart.fss.or.kr/dsaf001/main.do?rcpNo=20260522000206", "공시열람")</f>
        <v/>
      </c>
    </row>
    <row r="6551">
      <c r="A6551" s="2" t="inlineStr">
        <is>
          <t>2026-05-22</t>
        </is>
      </c>
      <c r="B6551" s="3" t="inlineStr">
        <is>
          <t>아이큐어</t>
        </is>
      </c>
      <c r="C6551" s="2" t="inlineStr">
        <is>
          <t>코스닥</t>
        </is>
      </c>
      <c r="D6551" s="2" t="inlineStr">
        <is>
          <t>175250</t>
        </is>
      </c>
      <c r="E6551" s="3" t="inlineStr">
        <is>
          <t>투자판단관련주요경영사항(임상시험계획자진취하등)              (도네페질패취의 미국 FDA 제1상 임상시험계획 자진취하)</t>
        </is>
      </c>
      <c r="F6551" s="3" t="inlineStr">
        <is>
          <t>아이큐어</t>
        </is>
      </c>
      <c r="G6551" s="2" t="inlineStr">
        <is>
          <t>20260522900318</t>
        </is>
      </c>
      <c r="H6551" s="8">
        <f>HYPERLINK("https://dart.fss.or.kr/dsaf001/main.do?rcpNo=20260522900318", "공시열람")</f>
        <v/>
      </c>
    </row>
    <row r="6552">
      <c r="A6552" s="2" t="inlineStr">
        <is>
          <t>2026-05-22</t>
        </is>
      </c>
      <c r="B6552" s="3" t="inlineStr">
        <is>
          <t>비트컴퓨터</t>
        </is>
      </c>
      <c r="C6552" s="2" t="inlineStr">
        <is>
          <t>코스닥</t>
        </is>
      </c>
      <c r="D6552" s="2" t="inlineStr">
        <is>
          <t>032850</t>
        </is>
      </c>
      <c r="E6552" s="3" t="inlineStr">
        <is>
          <t>임원ㆍ주요주주특정증권등소유상황보고서</t>
        </is>
      </c>
      <c r="F6552" s="3" t="inlineStr">
        <is>
          <t>조재석</t>
        </is>
      </c>
      <c r="G6552" s="2" t="inlineStr">
        <is>
          <t>20260522000203</t>
        </is>
      </c>
      <c r="H6552" s="8">
        <f>HYPERLINK("https://dart.fss.or.kr/dsaf001/main.do?rcpNo=20260522000203", "공시열람")</f>
        <v/>
      </c>
    </row>
    <row r="6553">
      <c r="A6553" s="2" t="inlineStr">
        <is>
          <t>2026-05-22</t>
        </is>
      </c>
      <c r="B6553" s="3" t="inlineStr">
        <is>
          <t>NH투자증권</t>
        </is>
      </c>
      <c r="C6553" s="2" t="inlineStr">
        <is>
          <t>코스피</t>
        </is>
      </c>
      <c r="D6553" s="2" t="inlineStr">
        <is>
          <t>005940</t>
        </is>
      </c>
      <c r="E6553" s="3" t="inlineStr">
        <is>
          <t>일괄신고추가서류(파생결합증권-주가연계증권)</t>
        </is>
      </c>
      <c r="F6553" s="3" t="inlineStr">
        <is>
          <t>NH투자증권</t>
        </is>
      </c>
      <c r="G6553" s="2" t="inlineStr">
        <is>
          <t>20260522000199</t>
        </is>
      </c>
      <c r="H6553" s="8">
        <f>HYPERLINK("https://dart.fss.or.kr/dsaf001/main.do?rcpNo=20260522000199", "공시열람")</f>
        <v/>
      </c>
    </row>
    <row r="6554">
      <c r="A6554" s="2" t="inlineStr">
        <is>
          <t>2026-05-22</t>
        </is>
      </c>
      <c r="B6554" s="3" t="inlineStr">
        <is>
          <t>금호전기</t>
        </is>
      </c>
      <c r="C6554" s="2" t="inlineStr">
        <is>
          <t>코스피</t>
        </is>
      </c>
      <c r="D6554" s="2" t="inlineStr">
        <is>
          <t>001210</t>
        </is>
      </c>
      <c r="E6554" s="3" t="inlineStr">
        <is>
          <t xml:space="preserve">주주명부폐쇄기간또는기준일설정              </t>
        </is>
      </c>
      <c r="F6554" s="3" t="inlineStr">
        <is>
          <t>금호전기</t>
        </is>
      </c>
      <c r="G6554" s="2" t="inlineStr">
        <is>
          <t>20260522800312</t>
        </is>
      </c>
      <c r="H6554" s="8">
        <f>HYPERLINK("https://dart.fss.or.kr/dsaf001/main.do?rcpNo=20260522800312", "공시열람")</f>
        <v/>
      </c>
    </row>
    <row r="6555">
      <c r="A6555" s="2" t="inlineStr">
        <is>
          <t>2026-05-22</t>
        </is>
      </c>
      <c r="B6555" s="3" t="inlineStr">
        <is>
          <t>지엠비코리아</t>
        </is>
      </c>
      <c r="C6555" s="2" t="inlineStr">
        <is>
          <t>코스피</t>
        </is>
      </c>
      <c r="D6555" s="2" t="inlineStr">
        <is>
          <t>013870</t>
        </is>
      </c>
      <c r="E6555" s="3" t="inlineStr">
        <is>
          <t>임원ㆍ주요주주특정증권등소유상황보고서</t>
        </is>
      </c>
      <c r="F6555" s="3" t="inlineStr">
        <is>
          <t>정세영</t>
        </is>
      </c>
      <c r="G6555" s="2" t="inlineStr">
        <is>
          <t>20260522000195</t>
        </is>
      </c>
      <c r="H6555" s="8">
        <f>HYPERLINK("https://dart.fss.or.kr/dsaf001/main.do?rcpNo=20260522000195", "공시열람")</f>
        <v/>
      </c>
    </row>
    <row r="6556">
      <c r="A6556" s="2" t="inlineStr">
        <is>
          <t>2026-05-22</t>
        </is>
      </c>
      <c r="B6556" s="3" t="inlineStr">
        <is>
          <t>LIG디펜스앤에어로스페이스</t>
        </is>
      </c>
      <c r="C6556" s="2" t="inlineStr">
        <is>
          <t>코스피</t>
        </is>
      </c>
      <c r="D6556" s="2" t="inlineStr">
        <is>
          <t>079550</t>
        </is>
      </c>
      <c r="E6556" s="3" t="inlineStr">
        <is>
          <t xml:space="preserve">기업설명회(IR)개최(안내공시)              </t>
        </is>
      </c>
      <c r="F6556" s="3" t="inlineStr">
        <is>
          <t>LIG디펜스앤에어로스페이스</t>
        </is>
      </c>
      <c r="G6556" s="2" t="inlineStr">
        <is>
          <t>20260522800306</t>
        </is>
      </c>
      <c r="H6556" s="8">
        <f>HYPERLINK("https://dart.fss.or.kr/dsaf001/main.do?rcpNo=20260522800306", "공시열람")</f>
        <v/>
      </c>
    </row>
    <row r="6557">
      <c r="A6557" s="2" t="inlineStr">
        <is>
          <t>2026-05-22</t>
        </is>
      </c>
      <c r="B6557" s="3" t="inlineStr">
        <is>
          <t>금호전기</t>
        </is>
      </c>
      <c r="C6557" s="2" t="inlineStr">
        <is>
          <t>코스피</t>
        </is>
      </c>
      <c r="D6557" s="2" t="inlineStr">
        <is>
          <t>001210</t>
        </is>
      </c>
      <c r="E6557" s="3" t="inlineStr">
        <is>
          <t xml:space="preserve">주식병합결정              </t>
        </is>
      </c>
      <c r="F6557" s="3" t="inlineStr">
        <is>
          <t>금호전기</t>
        </is>
      </c>
      <c r="G6557" s="2" t="inlineStr">
        <is>
          <t>20260522800301</t>
        </is>
      </c>
      <c r="H6557" s="8">
        <f>HYPERLINK("https://dart.fss.or.kr/dsaf001/main.do?rcpNo=20260522800301", "공시열람")</f>
        <v/>
      </c>
    </row>
    <row r="6558">
      <c r="A6558" s="2" t="inlineStr">
        <is>
          <t>2026-05-22</t>
        </is>
      </c>
      <c r="B6558" s="3" t="inlineStr">
        <is>
          <t>하이트진로</t>
        </is>
      </c>
      <c r="C6558" s="2" t="inlineStr">
        <is>
          <t>코스피</t>
        </is>
      </c>
      <c r="D6558" s="2" t="inlineStr">
        <is>
          <t>000080</t>
        </is>
      </c>
      <c r="E6558" s="3" t="inlineStr">
        <is>
          <t>임원ㆍ주요주주특정증권등소유상황보고서</t>
        </is>
      </c>
      <c r="F6558" s="3" t="inlineStr">
        <is>
          <t>최욱도</t>
        </is>
      </c>
      <c r="G6558" s="2" t="inlineStr">
        <is>
          <t>20260522000188</t>
        </is>
      </c>
      <c r="H6558" s="8">
        <f>HYPERLINK("https://dart.fss.or.kr/dsaf001/main.do?rcpNo=20260522000188", "공시열람")</f>
        <v/>
      </c>
    </row>
    <row r="6559">
      <c r="A6559" s="2" t="inlineStr">
        <is>
          <t>2026-05-22</t>
        </is>
      </c>
      <c r="B6559" s="3" t="inlineStr">
        <is>
          <t>하이트진로</t>
        </is>
      </c>
      <c r="C6559" s="2" t="inlineStr">
        <is>
          <t>코스피</t>
        </is>
      </c>
      <c r="D6559" s="2" t="inlineStr">
        <is>
          <t>000080</t>
        </is>
      </c>
      <c r="E6559" s="3" t="inlineStr">
        <is>
          <t>임원ㆍ주요주주특정증권등소유상황보고서</t>
        </is>
      </c>
      <c r="F6559" s="3" t="inlineStr">
        <is>
          <t>이시</t>
        </is>
      </c>
      <c r="G6559" s="2" t="inlineStr">
        <is>
          <t>20260522000187</t>
        </is>
      </c>
      <c r="H6559" s="8">
        <f>HYPERLINK("https://dart.fss.or.kr/dsaf001/main.do?rcpNo=20260522000187", "공시열람")</f>
        <v/>
      </c>
    </row>
    <row r="6560">
      <c r="A6560" s="2" t="inlineStr">
        <is>
          <t>2026-05-22</t>
        </is>
      </c>
      <c r="B6560" s="3" t="inlineStr">
        <is>
          <t>하이트진로</t>
        </is>
      </c>
      <c r="C6560" s="2" t="inlineStr">
        <is>
          <t>코스피</t>
        </is>
      </c>
      <c r="D6560" s="2" t="inlineStr">
        <is>
          <t>000080</t>
        </is>
      </c>
      <c r="E6560" s="3" t="inlineStr">
        <is>
          <t>임원ㆍ주요주주특정증권등소유상황보고서</t>
        </is>
      </c>
      <c r="F6560" s="3" t="inlineStr">
        <is>
          <t>유재하</t>
        </is>
      </c>
      <c r="G6560" s="2" t="inlineStr">
        <is>
          <t>20260522000186</t>
        </is>
      </c>
      <c r="H6560" s="8">
        <f>HYPERLINK("https://dart.fss.or.kr/dsaf001/main.do?rcpNo=20260522000186", "공시열람")</f>
        <v/>
      </c>
    </row>
    <row r="6561">
      <c r="A6561" s="2" t="inlineStr">
        <is>
          <t>2026-05-22</t>
        </is>
      </c>
      <c r="B6561" s="3" t="inlineStr">
        <is>
          <t>하이트진로</t>
        </is>
      </c>
      <c r="C6561" s="2" t="inlineStr">
        <is>
          <t>코스피</t>
        </is>
      </c>
      <c r="D6561" s="2" t="inlineStr">
        <is>
          <t>000080</t>
        </is>
      </c>
      <c r="E6561" s="3" t="inlineStr">
        <is>
          <t>임원ㆍ주요주주특정증권등소유상황보고서</t>
        </is>
      </c>
      <c r="F6561" s="3" t="inlineStr">
        <is>
          <t>오근의</t>
        </is>
      </c>
      <c r="G6561" s="2" t="inlineStr">
        <is>
          <t>20260522000185</t>
        </is>
      </c>
      <c r="H6561" s="8">
        <f>HYPERLINK("https://dart.fss.or.kr/dsaf001/main.do?rcpNo=20260522000185", "공시열람")</f>
        <v/>
      </c>
    </row>
    <row r="6562">
      <c r="A6562" s="2" t="inlineStr">
        <is>
          <t>2026-05-22</t>
        </is>
      </c>
      <c r="B6562" s="3" t="inlineStr">
        <is>
          <t>하이트진로</t>
        </is>
      </c>
      <c r="C6562" s="2" t="inlineStr">
        <is>
          <t>코스피</t>
        </is>
      </c>
      <c r="D6562" s="2" t="inlineStr">
        <is>
          <t>000080</t>
        </is>
      </c>
      <c r="E6562" s="3" t="inlineStr">
        <is>
          <t>임원ㆍ주요주주특정증권등소유상황보고서</t>
        </is>
      </c>
      <c r="F6562" s="3" t="inlineStr">
        <is>
          <t>방상복</t>
        </is>
      </c>
      <c r="G6562" s="2" t="inlineStr">
        <is>
          <t>20260522000183</t>
        </is>
      </c>
      <c r="H6562" s="8">
        <f>HYPERLINK("https://dart.fss.or.kr/dsaf001/main.do?rcpNo=20260522000183", "공시열람")</f>
        <v/>
      </c>
    </row>
    <row r="6563">
      <c r="A6563" s="2" t="inlineStr">
        <is>
          <t>2026-05-22</t>
        </is>
      </c>
      <c r="B6563" s="3" t="inlineStr">
        <is>
          <t>하이트진로</t>
        </is>
      </c>
      <c r="C6563" s="2" t="inlineStr">
        <is>
          <t>코스피</t>
        </is>
      </c>
      <c r="D6563" s="2" t="inlineStr">
        <is>
          <t>000080</t>
        </is>
      </c>
      <c r="E6563" s="3" t="inlineStr">
        <is>
          <t>임원ㆍ주요주주특정증권등소유상황보고서</t>
        </is>
      </c>
      <c r="F6563" s="3" t="inlineStr">
        <is>
          <t>박기웅</t>
        </is>
      </c>
      <c r="G6563" s="2" t="inlineStr">
        <is>
          <t>20260522000182</t>
        </is>
      </c>
      <c r="H6563" s="8">
        <f>HYPERLINK("https://dart.fss.or.kr/dsaf001/main.do?rcpNo=20260522000182", "공시열람")</f>
        <v/>
      </c>
    </row>
    <row r="6564">
      <c r="A6564" s="2" t="inlineStr">
        <is>
          <t>2026-05-22</t>
        </is>
      </c>
      <c r="B6564" s="3" t="inlineStr">
        <is>
          <t>하이트진로</t>
        </is>
      </c>
      <c r="C6564" s="2" t="inlineStr">
        <is>
          <t>코스피</t>
        </is>
      </c>
      <c r="D6564" s="2" t="inlineStr">
        <is>
          <t>000080</t>
        </is>
      </c>
      <c r="E6564" s="3" t="inlineStr">
        <is>
          <t>임원ㆍ주요주주특정증권등소유상황보고서</t>
        </is>
      </c>
      <c r="F6564" s="3" t="inlineStr">
        <is>
          <t>김영업</t>
        </is>
      </c>
      <c r="G6564" s="2" t="inlineStr">
        <is>
          <t>20260522000178</t>
        </is>
      </c>
      <c r="H6564" s="8">
        <f>HYPERLINK("https://dart.fss.or.kr/dsaf001/main.do?rcpNo=20260522000178", "공시열람")</f>
        <v/>
      </c>
    </row>
    <row r="6565">
      <c r="A6565" s="2" t="inlineStr">
        <is>
          <t>2026-05-22</t>
        </is>
      </c>
      <c r="B6565" s="3" t="inlineStr">
        <is>
          <t>로체시스템즈</t>
        </is>
      </c>
      <c r="C6565" s="2" t="inlineStr">
        <is>
          <t>코스닥</t>
        </is>
      </c>
      <c r="D6565" s="2" t="inlineStr">
        <is>
          <t>071280</t>
        </is>
      </c>
      <c r="E6565" s="3" t="inlineStr">
        <is>
          <t>임원ㆍ주요주주특정증권등소유상황보고서</t>
        </is>
      </c>
      <c r="F6565" s="3" t="inlineStr">
        <is>
          <t>박기환</t>
        </is>
      </c>
      <c r="G6565" s="2" t="inlineStr">
        <is>
          <t>20260522000177</t>
        </is>
      </c>
      <c r="H6565" s="8">
        <f>HYPERLINK("https://dart.fss.or.kr/dsaf001/main.do?rcpNo=20260522000177", "공시열람")</f>
        <v/>
      </c>
    </row>
    <row r="6566">
      <c r="A6566" s="2" t="inlineStr">
        <is>
          <t>2026-05-22</t>
        </is>
      </c>
      <c r="B6566" s="3" t="inlineStr">
        <is>
          <t>유니드</t>
        </is>
      </c>
      <c r="C6566" s="2" t="inlineStr">
        <is>
          <t>코스피</t>
        </is>
      </c>
      <c r="D6566" s="2" t="inlineStr">
        <is>
          <t>014830</t>
        </is>
      </c>
      <c r="E6566" s="3" t="inlineStr">
        <is>
          <t>임원ㆍ주요주주특정증권등소유상황보고서</t>
        </is>
      </c>
      <c r="F6566" s="3" t="inlineStr">
        <is>
          <t>이우일</t>
        </is>
      </c>
      <c r="G6566" s="2" t="inlineStr">
        <is>
          <t>20260522000175</t>
        </is>
      </c>
      <c r="H6566" s="8">
        <f>HYPERLINK("https://dart.fss.or.kr/dsaf001/main.do?rcpNo=20260522000175", "공시열람")</f>
        <v/>
      </c>
    </row>
    <row r="6567">
      <c r="A6567" s="2" t="inlineStr">
        <is>
          <t>2026-05-22</t>
        </is>
      </c>
      <c r="B6567" s="3" t="inlineStr">
        <is>
          <t>쿼드메디슨</t>
        </is>
      </c>
      <c r="C6567" s="2" t="inlineStr">
        <is>
          <t>코스닥</t>
        </is>
      </c>
      <c r="D6567" s="2" t="inlineStr">
        <is>
          <t>464490</t>
        </is>
      </c>
      <c r="E6567" s="3" t="inlineStr">
        <is>
          <t xml:space="preserve">기업설명회(IR)개최              </t>
        </is>
      </c>
      <c r="F6567" s="3" t="inlineStr">
        <is>
          <t>쿼드메디슨</t>
        </is>
      </c>
      <c r="G6567" s="2" t="inlineStr">
        <is>
          <t>20260522900273</t>
        </is>
      </c>
      <c r="H6567" s="8">
        <f>HYPERLINK("https://dart.fss.or.kr/dsaf001/main.do?rcpNo=20260522900273", "공시열람")</f>
        <v/>
      </c>
    </row>
    <row r="6568">
      <c r="A6568" s="2" t="inlineStr">
        <is>
          <t>2026-05-22</t>
        </is>
      </c>
      <c r="B6568" s="3" t="inlineStr">
        <is>
          <t>유니드</t>
        </is>
      </c>
      <c r="C6568" s="2" t="inlineStr">
        <is>
          <t>코스피</t>
        </is>
      </c>
      <c r="D6568" s="2" t="inlineStr">
        <is>
          <t>014830</t>
        </is>
      </c>
      <c r="E6568" s="3" t="inlineStr">
        <is>
          <t>임원ㆍ주요주주특정증권등소유상황보고서</t>
        </is>
      </c>
      <c r="F6568" s="3" t="inlineStr">
        <is>
          <t>이화영</t>
        </is>
      </c>
      <c r="G6568" s="2" t="inlineStr">
        <is>
          <t>20260522000168</t>
        </is>
      </c>
      <c r="H6568" s="8">
        <f>HYPERLINK("https://dart.fss.or.kr/dsaf001/main.do?rcpNo=20260522000168", "공시열람")</f>
        <v/>
      </c>
    </row>
    <row r="6569">
      <c r="A6569" s="2" t="inlineStr">
        <is>
          <t>2026-05-22</t>
        </is>
      </c>
      <c r="B6569" s="3" t="inlineStr">
        <is>
          <t>NH투자증권</t>
        </is>
      </c>
      <c r="C6569" s="2" t="inlineStr">
        <is>
          <t>코스피</t>
        </is>
      </c>
      <c r="D6569" s="2" t="inlineStr">
        <is>
          <t>005940</t>
        </is>
      </c>
      <c r="E6569" s="3" t="inlineStr">
        <is>
          <t>일괄신고추가서류(파생결합증권-주가연계증권)</t>
        </is>
      </c>
      <c r="F6569" s="3" t="inlineStr">
        <is>
          <t>NH투자증권</t>
        </is>
      </c>
      <c r="G6569" s="2" t="inlineStr">
        <is>
          <t>20260522000166</t>
        </is>
      </c>
      <c r="H6569" s="8">
        <f>HYPERLINK("https://dart.fss.or.kr/dsaf001/main.do?rcpNo=20260522000166", "공시열람")</f>
        <v/>
      </c>
    </row>
    <row r="6570">
      <c r="A6570" s="2" t="inlineStr">
        <is>
          <t>2026-05-22</t>
        </is>
      </c>
      <c r="B6570" s="3" t="inlineStr">
        <is>
          <t>DB증권</t>
        </is>
      </c>
      <c r="C6570" s="2" t="inlineStr">
        <is>
          <t>코스피</t>
        </is>
      </c>
      <c r="D6570" s="2" t="inlineStr">
        <is>
          <t>016610</t>
        </is>
      </c>
      <c r="E6570" s="3" t="inlineStr">
        <is>
          <t>일괄신고추가서류(파생결합사채-주가연계파생결합사채)</t>
        </is>
      </c>
      <c r="F6570" s="3" t="inlineStr">
        <is>
          <t>DB증권</t>
        </is>
      </c>
      <c r="G6570" s="2" t="inlineStr">
        <is>
          <t>20260522000165</t>
        </is>
      </c>
      <c r="H6570" s="8">
        <f>HYPERLINK("https://dart.fss.or.kr/dsaf001/main.do?rcpNo=20260522000165", "공시열람")</f>
        <v/>
      </c>
    </row>
    <row r="6571">
      <c r="A6571" s="2" t="inlineStr">
        <is>
          <t>2026-05-22</t>
        </is>
      </c>
      <c r="B6571" s="3" t="inlineStr">
        <is>
          <t>삼성전자</t>
        </is>
      </c>
      <c r="C6571" s="2" t="inlineStr">
        <is>
          <t>코스피</t>
        </is>
      </c>
      <c r="D6571" s="2" t="inlineStr">
        <is>
          <t>005930</t>
        </is>
      </c>
      <c r="E6571" s="3" t="inlineStr">
        <is>
          <t>임원ㆍ주요주주특정증권등소유상황보고서</t>
        </is>
      </c>
      <c r="F6571" s="3" t="inlineStr">
        <is>
          <t>얀손헨릭</t>
        </is>
      </c>
      <c r="G6571" s="2" t="inlineStr">
        <is>
          <t>20260522000164</t>
        </is>
      </c>
      <c r="H6571" s="8">
        <f>HYPERLINK("https://dart.fss.or.kr/dsaf001/main.do?rcpNo=20260522000164", "공시열람")</f>
        <v/>
      </c>
    </row>
    <row r="6572">
      <c r="A6572" s="2" t="inlineStr">
        <is>
          <t>2026-05-22</t>
        </is>
      </c>
      <c r="B6572" s="3" t="inlineStr">
        <is>
          <t>비트컴퓨터</t>
        </is>
      </c>
      <c r="C6572" s="2" t="inlineStr">
        <is>
          <t>코스닥</t>
        </is>
      </c>
      <c r="D6572" s="2" t="inlineStr">
        <is>
          <t>032850</t>
        </is>
      </c>
      <c r="E6572" s="3" t="inlineStr">
        <is>
          <t>임원ㆍ주요주주특정증권등소유상황보고서</t>
        </is>
      </c>
      <c r="F6572" s="3" t="inlineStr">
        <is>
          <t>조현정</t>
        </is>
      </c>
      <c r="G6572" s="2" t="inlineStr">
        <is>
          <t>20260522000159</t>
        </is>
      </c>
      <c r="H6572" s="8">
        <f>HYPERLINK("https://dart.fss.or.kr/dsaf001/main.do?rcpNo=20260522000159", "공시열람")</f>
        <v/>
      </c>
    </row>
    <row r="6573">
      <c r="A6573" s="2" t="inlineStr">
        <is>
          <t>2026-05-22</t>
        </is>
      </c>
      <c r="B6573" s="3" t="inlineStr">
        <is>
          <t>현대건설</t>
        </is>
      </c>
      <c r="C6573" s="2" t="inlineStr">
        <is>
          <t>코스피</t>
        </is>
      </c>
      <c r="D6573" s="2" t="inlineStr">
        <is>
          <t>000720</t>
        </is>
      </c>
      <c r="E6573" s="3" t="inlineStr">
        <is>
          <t>임원ㆍ주요주주특정증권등소유상황보고서</t>
        </is>
      </c>
      <c r="F6573" s="3" t="inlineStr">
        <is>
          <t>조혁준</t>
        </is>
      </c>
      <c r="G6573" s="2" t="inlineStr">
        <is>
          <t>20260522000158</t>
        </is>
      </c>
      <c r="H6573" s="8">
        <f>HYPERLINK("https://dart.fss.or.kr/dsaf001/main.do?rcpNo=20260522000158", "공시열람")</f>
        <v/>
      </c>
    </row>
    <row r="6574">
      <c r="A6574" s="2" t="inlineStr">
        <is>
          <t>2026-05-22</t>
        </is>
      </c>
      <c r="B6574" s="3" t="inlineStr">
        <is>
          <t>현대건설</t>
        </is>
      </c>
      <c r="C6574" s="2" t="inlineStr">
        <is>
          <t>코스피</t>
        </is>
      </c>
      <c r="D6574" s="2" t="inlineStr">
        <is>
          <t>000720</t>
        </is>
      </c>
      <c r="E6574" s="3" t="inlineStr">
        <is>
          <t>임원ㆍ주요주주특정증권등소유상황보고서</t>
        </is>
      </c>
      <c r="F6574" s="3" t="inlineStr">
        <is>
          <t>성완상</t>
        </is>
      </c>
      <c r="G6574" s="2" t="inlineStr">
        <is>
          <t>20260522000155</t>
        </is>
      </c>
      <c r="H6574" s="8">
        <f>HYPERLINK("https://dart.fss.or.kr/dsaf001/main.do?rcpNo=20260522000155", "공시열람")</f>
        <v/>
      </c>
    </row>
    <row r="6575">
      <c r="A6575" s="2" t="inlineStr">
        <is>
          <t>2026-05-22</t>
        </is>
      </c>
      <c r="B6575" s="3" t="inlineStr">
        <is>
          <t>HD현대중공업</t>
        </is>
      </c>
      <c r="C6575" s="2" t="inlineStr">
        <is>
          <t>코스피</t>
        </is>
      </c>
      <c r="D6575" s="2" t="inlineStr">
        <is>
          <t>329180</t>
        </is>
      </c>
      <c r="E6575" s="3" t="inlineStr">
        <is>
          <t xml:space="preserve">풍문또는보도에대한해명(미확정)              </t>
        </is>
      </c>
      <c r="F6575" s="3" t="inlineStr">
        <is>
          <t>HD현대중공업</t>
        </is>
      </c>
      <c r="G6575" s="2" t="inlineStr">
        <is>
          <t>20260522800243</t>
        </is>
      </c>
      <c r="H6575" s="8">
        <f>HYPERLINK("https://dart.fss.or.kr/dsaf001/main.do?rcpNo=20260522800243", "공시열람")</f>
        <v/>
      </c>
    </row>
    <row r="6576">
      <c r="A6576" s="2" t="inlineStr">
        <is>
          <t>2026-05-22</t>
        </is>
      </c>
      <c r="B6576" s="3" t="inlineStr">
        <is>
          <t>현대건설</t>
        </is>
      </c>
      <c r="C6576" s="2" t="inlineStr">
        <is>
          <t>코스피</t>
        </is>
      </c>
      <c r="D6576" s="2" t="inlineStr">
        <is>
          <t>000720</t>
        </is>
      </c>
      <c r="E6576" s="3" t="inlineStr">
        <is>
          <t>임원ㆍ주요주주특정증권등소유상황보고서</t>
        </is>
      </c>
      <c r="F6576" s="3" t="inlineStr">
        <is>
          <t>김재영</t>
        </is>
      </c>
      <c r="G6576" s="2" t="inlineStr">
        <is>
          <t>20260522000150</t>
        </is>
      </c>
      <c r="H6576" s="8">
        <f>HYPERLINK("https://dart.fss.or.kr/dsaf001/main.do?rcpNo=20260522000150", "공시열람")</f>
        <v/>
      </c>
    </row>
    <row r="6577">
      <c r="A6577" s="2" t="inlineStr">
        <is>
          <t>2026-05-22</t>
        </is>
      </c>
      <c r="B6577" s="3" t="inlineStr">
        <is>
          <t>한화투자증권</t>
        </is>
      </c>
      <c r="C6577" s="2" t="inlineStr">
        <is>
          <t>코스피</t>
        </is>
      </c>
      <c r="D6577" s="2" t="inlineStr">
        <is>
          <t>003530</t>
        </is>
      </c>
      <c r="E6577" s="3" t="inlineStr">
        <is>
          <t>투자설명서(일괄신고)</t>
        </is>
      </c>
      <c r="F6577" s="3" t="inlineStr">
        <is>
          <t>한화투자증권</t>
        </is>
      </c>
      <c r="G6577" s="2" t="inlineStr">
        <is>
          <t>20260522000140</t>
        </is>
      </c>
      <c r="H6577" s="8">
        <f>HYPERLINK("https://dart.fss.or.kr/dsaf001/main.do?rcpNo=20260522000140", "공시열람")</f>
        <v/>
      </c>
    </row>
    <row r="6578">
      <c r="A6578" s="2" t="inlineStr">
        <is>
          <t>2026-05-22</t>
        </is>
      </c>
      <c r="B6578" s="3" t="inlineStr">
        <is>
          <t>메지온</t>
        </is>
      </c>
      <c r="C6578" s="2" t="inlineStr">
        <is>
          <t>코스닥</t>
        </is>
      </c>
      <c r="D6578" s="2" t="inlineStr">
        <is>
          <t>140410</t>
        </is>
      </c>
      <c r="E6578" s="3" t="inlineStr">
        <is>
          <t>주요사항보고서(자기전환사채만기전취득결정)</t>
        </is>
      </c>
      <c r="F6578" s="3" t="inlineStr">
        <is>
          <t>메지온</t>
        </is>
      </c>
      <c r="G6578" s="2" t="inlineStr">
        <is>
          <t>20260522000126</t>
        </is>
      </c>
      <c r="H6578" s="8">
        <f>HYPERLINK("https://dart.fss.or.kr/dsaf001/main.do?rcpNo=20260522000126", "공시열람")</f>
        <v/>
      </c>
    </row>
    <row r="6579">
      <c r="A6579" s="2" t="inlineStr">
        <is>
          <t>2026-05-22</t>
        </is>
      </c>
      <c r="B6579" s="3" t="inlineStr">
        <is>
          <t>메지온</t>
        </is>
      </c>
      <c r="C6579" s="2" t="inlineStr">
        <is>
          <t>코스닥</t>
        </is>
      </c>
      <c r="D6579" s="2" t="inlineStr">
        <is>
          <t>140410</t>
        </is>
      </c>
      <c r="E6579" s="3" t="inlineStr">
        <is>
          <t>주요사항보고서(자기전환사채만기전취득결정)</t>
        </is>
      </c>
      <c r="F6579" s="3" t="inlineStr">
        <is>
          <t>메지온</t>
        </is>
      </c>
      <c r="G6579" s="2" t="inlineStr">
        <is>
          <t>20260522000124</t>
        </is>
      </c>
      <c r="H6579" s="8">
        <f>HYPERLINK("https://dart.fss.or.kr/dsaf001/main.do?rcpNo=20260522000124", "공시열람")</f>
        <v/>
      </c>
    </row>
    <row r="6580">
      <c r="A6580" s="2" t="inlineStr">
        <is>
          <t>2026-05-22</t>
        </is>
      </c>
      <c r="B6580" s="3" t="inlineStr">
        <is>
          <t>삼일제약</t>
        </is>
      </c>
      <c r="C6580" s="2" t="inlineStr">
        <is>
          <t>코스피</t>
        </is>
      </c>
      <c r="D6580" s="2" t="inlineStr">
        <is>
          <t>000520</t>
        </is>
      </c>
      <c r="E6580" s="3" t="inlineStr">
        <is>
          <t>임원ㆍ주요주주특정증권등소유상황보고서</t>
        </is>
      </c>
      <c r="F6580" s="3" t="inlineStr">
        <is>
          <t>허승범</t>
        </is>
      </c>
      <c r="G6580" s="2" t="inlineStr">
        <is>
          <t>20260522000139</t>
        </is>
      </c>
      <c r="H6580" s="8">
        <f>HYPERLINK("https://dart.fss.or.kr/dsaf001/main.do?rcpNo=20260522000139", "공시열람")</f>
        <v/>
      </c>
    </row>
    <row r="6581">
      <c r="A6581" s="2" t="inlineStr">
        <is>
          <t>2026-05-22</t>
        </is>
      </c>
      <c r="B6581" s="3" t="inlineStr">
        <is>
          <t>심플랫폼</t>
        </is>
      </c>
      <c r="C6581" s="2" t="inlineStr">
        <is>
          <t>코스닥</t>
        </is>
      </c>
      <c r="D6581" s="2" t="inlineStr">
        <is>
          <t>444530</t>
        </is>
      </c>
      <c r="E6581" s="3" t="inlineStr">
        <is>
          <t xml:space="preserve">기업설명회(IR)개최              </t>
        </is>
      </c>
      <c r="F6581" s="3" t="inlineStr">
        <is>
          <t>심플랫폼</t>
        </is>
      </c>
      <c r="G6581" s="2" t="inlineStr">
        <is>
          <t>20260522900213</t>
        </is>
      </c>
      <c r="H6581" s="8">
        <f>HYPERLINK("https://dart.fss.or.kr/dsaf001/main.do?rcpNo=20260522900213", "공시열람")</f>
        <v/>
      </c>
    </row>
    <row r="6582">
      <c r="A6582" s="2" t="inlineStr">
        <is>
          <t>2026-05-22</t>
        </is>
      </c>
      <c r="B6582" s="3" t="inlineStr">
        <is>
          <t>한화투자증권</t>
        </is>
      </c>
      <c r="C6582" s="2" t="inlineStr">
        <is>
          <t>코스피</t>
        </is>
      </c>
      <c r="D6582" s="2" t="inlineStr">
        <is>
          <t>003530</t>
        </is>
      </c>
      <c r="E6582" s="3" t="inlineStr">
        <is>
          <t>일괄신고추가서류(파생결합사채-주가연계파생결합사채)</t>
        </is>
      </c>
      <c r="F6582" s="3" t="inlineStr">
        <is>
          <t>한화투자증권</t>
        </is>
      </c>
      <c r="G6582" s="2" t="inlineStr">
        <is>
          <t>20260522000137</t>
        </is>
      </c>
      <c r="H6582" s="8">
        <f>HYPERLINK("https://dart.fss.or.kr/dsaf001/main.do?rcpNo=20260522000137", "공시열람")</f>
        <v/>
      </c>
    </row>
    <row r="6583">
      <c r="A6583" s="2" t="inlineStr">
        <is>
          <t>2026-05-22</t>
        </is>
      </c>
      <c r="B6583" s="3" t="inlineStr">
        <is>
          <t>탑선</t>
        </is>
      </c>
      <c r="C6583" s="2" t="inlineStr">
        <is>
          <t>코넥스</t>
        </is>
      </c>
      <c r="D6583" s="2" t="inlineStr">
        <is>
          <t>180060</t>
        </is>
      </c>
      <c r="E6583" s="3" t="inlineStr">
        <is>
          <t>임원ㆍ주요주주특정증권등거래계획철회보고서</t>
        </is>
      </c>
      <c r="F6583" s="3" t="inlineStr">
        <is>
          <t>에스케이에코플랜트</t>
        </is>
      </c>
      <c r="G6583" s="2" t="inlineStr">
        <is>
          <t>20260522000134</t>
        </is>
      </c>
      <c r="H6583" s="8">
        <f>HYPERLINK("https://dart.fss.or.kr/dsaf001/main.do?rcpNo=20260522000134", "공시열람")</f>
        <v/>
      </c>
    </row>
    <row r="6584">
      <c r="A6584" s="2" t="inlineStr">
        <is>
          <t>2026-05-22</t>
        </is>
      </c>
      <c r="B6584" s="3" t="inlineStr">
        <is>
          <t>제주반도체</t>
        </is>
      </c>
      <c r="C6584" s="2" t="inlineStr">
        <is>
          <t>코스닥</t>
        </is>
      </c>
      <c r="D6584" s="2" t="inlineStr">
        <is>
          <t>080220</t>
        </is>
      </c>
      <c r="E6584" s="3" t="inlineStr">
        <is>
          <t>임원ㆍ주요주주특정증권등소유상황보고서</t>
        </is>
      </c>
      <c r="F6584" s="3" t="inlineStr">
        <is>
          <t>조형섭</t>
        </is>
      </c>
      <c r="G6584" s="2" t="inlineStr">
        <is>
          <t>20260522000119</t>
        </is>
      </c>
      <c r="H6584" s="8">
        <f>HYPERLINK("https://dart.fss.or.kr/dsaf001/main.do?rcpNo=20260522000119", "공시열람")</f>
        <v/>
      </c>
    </row>
    <row r="6585">
      <c r="A6585" s="2" t="inlineStr">
        <is>
          <t>2026-05-22</t>
        </is>
      </c>
      <c r="B6585" s="3" t="inlineStr">
        <is>
          <t>제주반도체</t>
        </is>
      </c>
      <c r="C6585" s="2" t="inlineStr">
        <is>
          <t>코스닥</t>
        </is>
      </c>
      <c r="D6585" s="2" t="inlineStr">
        <is>
          <t>080220</t>
        </is>
      </c>
      <c r="E6585" s="3" t="inlineStr">
        <is>
          <t>임원ㆍ주요주주특정증권등소유상황보고서</t>
        </is>
      </c>
      <c r="F6585" s="3" t="inlineStr">
        <is>
          <t>박성식</t>
        </is>
      </c>
      <c r="G6585" s="2" t="inlineStr">
        <is>
          <t>20260522000116</t>
        </is>
      </c>
      <c r="H6585" s="8">
        <f>HYPERLINK("https://dart.fss.or.kr/dsaf001/main.do?rcpNo=20260522000116", "공시열람")</f>
        <v/>
      </c>
    </row>
    <row r="6586">
      <c r="A6586" s="2" t="inlineStr">
        <is>
          <t>2026-05-22</t>
        </is>
      </c>
      <c r="B6586" s="3" t="inlineStr">
        <is>
          <t>지누스</t>
        </is>
      </c>
      <c r="C6586" s="2" t="inlineStr">
        <is>
          <t>코스피</t>
        </is>
      </c>
      <c r="D6586" s="2" t="inlineStr">
        <is>
          <t>013890</t>
        </is>
      </c>
      <c r="E6586" s="3" t="inlineStr">
        <is>
          <t xml:space="preserve">유형자산처분결정(종속회사의주요경영사항)              </t>
        </is>
      </c>
      <c r="F6586" s="3" t="inlineStr">
        <is>
          <t>지누스</t>
        </is>
      </c>
      <c r="G6586" s="2" t="inlineStr">
        <is>
          <t>20260522800188</t>
        </is>
      </c>
      <c r="H6586" s="8">
        <f>HYPERLINK("https://dart.fss.or.kr/dsaf001/main.do?rcpNo=20260522800188", "공시열람")</f>
        <v/>
      </c>
    </row>
    <row r="6587">
      <c r="A6587" s="2" t="inlineStr">
        <is>
          <t>2026-05-22</t>
        </is>
      </c>
      <c r="B6587" s="3" t="inlineStr">
        <is>
          <t>삼성증권</t>
        </is>
      </c>
      <c r="C6587" s="2" t="inlineStr">
        <is>
          <t>코스피</t>
        </is>
      </c>
      <c r="D6587" s="2" t="inlineStr">
        <is>
          <t>016360</t>
        </is>
      </c>
      <c r="E6587" s="3" t="inlineStr">
        <is>
          <t>투자설명서(일괄신고)</t>
        </is>
      </c>
      <c r="F6587" s="3" t="inlineStr">
        <is>
          <t>삼성증권</t>
        </is>
      </c>
      <c r="G6587" s="2" t="inlineStr">
        <is>
          <t>20260522000114</t>
        </is>
      </c>
      <c r="H6587" s="8">
        <f>HYPERLINK("https://dart.fss.or.kr/dsaf001/main.do?rcpNo=20260522000114", "공시열람")</f>
        <v/>
      </c>
    </row>
    <row r="6588">
      <c r="A6588" s="2" t="inlineStr">
        <is>
          <t>2026-05-22</t>
        </is>
      </c>
      <c r="B6588" s="3" t="inlineStr">
        <is>
          <t>삼성증권</t>
        </is>
      </c>
      <c r="C6588" s="2" t="inlineStr">
        <is>
          <t>코스피</t>
        </is>
      </c>
      <c r="D6588" s="2" t="inlineStr">
        <is>
          <t>016360</t>
        </is>
      </c>
      <c r="E6588" s="3" t="inlineStr">
        <is>
          <t>일괄신고추가서류(파생결합사채-주가연계파생결합사채)</t>
        </is>
      </c>
      <c r="F6588" s="3" t="inlineStr">
        <is>
          <t>삼성증권</t>
        </is>
      </c>
      <c r="G6588" s="2" t="inlineStr">
        <is>
          <t>20260522000112</t>
        </is>
      </c>
      <c r="H6588" s="8">
        <f>HYPERLINK("https://dart.fss.or.kr/dsaf001/main.do?rcpNo=20260522000112", "공시열람")</f>
        <v/>
      </c>
    </row>
    <row r="6589">
      <c r="A6589" s="2" t="inlineStr">
        <is>
          <t>2026-05-22</t>
        </is>
      </c>
      <c r="B6589" s="3" t="inlineStr">
        <is>
          <t>대성미생물</t>
        </is>
      </c>
      <c r="C6589" s="2" t="inlineStr">
        <is>
          <t>코스닥</t>
        </is>
      </c>
      <c r="D6589" s="2" t="inlineStr">
        <is>
          <t>036480</t>
        </is>
      </c>
      <c r="E6589" s="3" t="inlineStr">
        <is>
          <t>임원ㆍ주요주주특정증권등소유상황보고서</t>
        </is>
      </c>
      <c r="F6589" s="3" t="inlineStr">
        <is>
          <t>최승훈</t>
        </is>
      </c>
      <c r="G6589" s="2" t="inlineStr">
        <is>
          <t>20260522000111</t>
        </is>
      </c>
      <c r="H6589" s="8">
        <f>HYPERLINK("https://dart.fss.or.kr/dsaf001/main.do?rcpNo=20260522000111", "공시열람")</f>
        <v/>
      </c>
    </row>
    <row r="6590">
      <c r="A6590" s="2" t="inlineStr">
        <is>
          <t>2026-05-22</t>
        </is>
      </c>
      <c r="B6590" s="3" t="inlineStr">
        <is>
          <t>NH투자증권</t>
        </is>
      </c>
      <c r="C6590" s="2" t="inlineStr">
        <is>
          <t>코스피</t>
        </is>
      </c>
      <c r="D6590" s="2" t="inlineStr">
        <is>
          <t>005940</t>
        </is>
      </c>
      <c r="E6590" s="3" t="inlineStr">
        <is>
          <t>일괄신고추가서류(파생결합증권-주가연계증권)</t>
        </is>
      </c>
      <c r="F6590" s="3" t="inlineStr">
        <is>
          <t>NH투자증권</t>
        </is>
      </c>
      <c r="G6590" s="2" t="inlineStr">
        <is>
          <t>20260522000104</t>
        </is>
      </c>
      <c r="H6590" s="8">
        <f>HYPERLINK("https://dart.fss.or.kr/dsaf001/main.do?rcpNo=20260522000104", "공시열람")</f>
        <v/>
      </c>
    </row>
    <row r="6591">
      <c r="A6591" s="2" t="inlineStr">
        <is>
          <t>2026-05-22</t>
        </is>
      </c>
      <c r="B6591" s="3" t="inlineStr">
        <is>
          <t>NH투자증권</t>
        </is>
      </c>
      <c r="C6591" s="2" t="inlineStr">
        <is>
          <t>코스피</t>
        </is>
      </c>
      <c r="D6591" s="2" t="inlineStr">
        <is>
          <t>005940</t>
        </is>
      </c>
      <c r="E6591" s="3" t="inlineStr">
        <is>
          <t>일괄신고추가서류(파생결합사채-주가연계파생결합사채)</t>
        </is>
      </c>
      <c r="F6591" s="3" t="inlineStr">
        <is>
          <t>NH투자증권</t>
        </is>
      </c>
      <c r="G6591" s="2" t="inlineStr">
        <is>
          <t>20260522000100</t>
        </is>
      </c>
      <c r="H6591" s="8">
        <f>HYPERLINK("https://dart.fss.or.kr/dsaf001/main.do?rcpNo=20260522000100", "공시열람")</f>
        <v/>
      </c>
    </row>
    <row r="6592">
      <c r="A6592" s="2" t="inlineStr">
        <is>
          <t>2026-05-22</t>
        </is>
      </c>
      <c r="B6592" s="3" t="inlineStr">
        <is>
          <t>라이콤</t>
        </is>
      </c>
      <c r="C6592" s="2" t="inlineStr">
        <is>
          <t>코스닥</t>
        </is>
      </c>
      <c r="D6592" s="2" t="inlineStr">
        <is>
          <t>388790</t>
        </is>
      </c>
      <c r="E6592" s="3" t="inlineStr">
        <is>
          <t xml:space="preserve">기업설명회(IR)개최              </t>
        </is>
      </c>
      <c r="F6592" s="3" t="inlineStr">
        <is>
          <t>라이콤</t>
        </is>
      </c>
      <c r="G6592" s="2" t="inlineStr">
        <is>
          <t>20260522900167</t>
        </is>
      </c>
      <c r="H6592" s="8">
        <f>HYPERLINK("https://dart.fss.or.kr/dsaf001/main.do?rcpNo=20260522900167", "공시열람")</f>
        <v/>
      </c>
    </row>
    <row r="6593">
      <c r="A6593" s="2" t="inlineStr">
        <is>
          <t>2026-05-22</t>
        </is>
      </c>
      <c r="B6593" s="3" t="inlineStr">
        <is>
          <t>미래에셋증권</t>
        </is>
      </c>
      <c r="C6593" s="2" t="inlineStr">
        <is>
          <t>코스피</t>
        </is>
      </c>
      <c r="D6593" s="2" t="inlineStr">
        <is>
          <t>006800</t>
        </is>
      </c>
      <c r="E6593" s="3" t="inlineStr">
        <is>
          <t>투자설명서(일괄신고)</t>
        </is>
      </c>
      <c r="F6593" s="3" t="inlineStr">
        <is>
          <t>미래에셋증권</t>
        </is>
      </c>
      <c r="G6593" s="2" t="inlineStr">
        <is>
          <t>20260522000085</t>
        </is>
      </c>
      <c r="H6593" s="8">
        <f>HYPERLINK("https://dart.fss.or.kr/dsaf001/main.do?rcpNo=20260522000085", "공시열람")</f>
        <v/>
      </c>
    </row>
    <row r="6594">
      <c r="A6594" s="2" t="inlineStr">
        <is>
          <t>2026-05-22</t>
        </is>
      </c>
      <c r="B6594" s="3" t="inlineStr">
        <is>
          <t>미래에셋증권</t>
        </is>
      </c>
      <c r="C6594" s="2" t="inlineStr">
        <is>
          <t>코스피</t>
        </is>
      </c>
      <c r="D6594" s="2" t="inlineStr">
        <is>
          <t>006800</t>
        </is>
      </c>
      <c r="E6594" s="3" t="inlineStr">
        <is>
          <t>투자설명서(일괄신고)</t>
        </is>
      </c>
      <c r="F6594" s="3" t="inlineStr">
        <is>
          <t>미래에셋증권</t>
        </is>
      </c>
      <c r="G6594" s="2" t="inlineStr">
        <is>
          <t>20260522000081</t>
        </is>
      </c>
      <c r="H6594" s="8">
        <f>HYPERLINK("https://dart.fss.or.kr/dsaf001/main.do?rcpNo=20260522000081", "공시열람")</f>
        <v/>
      </c>
    </row>
    <row r="6595">
      <c r="A6595" s="2" t="inlineStr">
        <is>
          <t>2026-05-22</t>
        </is>
      </c>
      <c r="B6595" s="3" t="inlineStr">
        <is>
          <t>한화투자증권</t>
        </is>
      </c>
      <c r="C6595" s="2" t="inlineStr">
        <is>
          <t>코스피</t>
        </is>
      </c>
      <c r="D6595" s="2" t="inlineStr">
        <is>
          <t>003530</t>
        </is>
      </c>
      <c r="E6595" s="3" t="inlineStr">
        <is>
          <t>투자설명서(일괄신고)</t>
        </is>
      </c>
      <c r="F6595" s="3" t="inlineStr">
        <is>
          <t>한화투자증권</t>
        </is>
      </c>
      <c r="G6595" s="2" t="inlineStr">
        <is>
          <t>20260522000076</t>
        </is>
      </c>
      <c r="H6595" s="8">
        <f>HYPERLINK("https://dart.fss.or.kr/dsaf001/main.do?rcpNo=20260522000076", "공시열람")</f>
        <v/>
      </c>
    </row>
    <row r="6596">
      <c r="A6596" s="2" t="inlineStr">
        <is>
          <t>2026-05-22</t>
        </is>
      </c>
      <c r="B6596" s="3" t="inlineStr">
        <is>
          <t>유라클</t>
        </is>
      </c>
      <c r="C6596" s="2" t="inlineStr">
        <is>
          <t>코스닥</t>
        </is>
      </c>
      <c r="D6596" s="2" t="inlineStr">
        <is>
          <t>088340</t>
        </is>
      </c>
      <c r="E6596" s="3" t="inlineStr">
        <is>
          <t>임원ㆍ주요주주특정증권등소유상황보고서</t>
        </is>
      </c>
      <c r="F6596" s="3" t="inlineStr">
        <is>
          <t>조준희</t>
        </is>
      </c>
      <c r="G6596" s="2" t="inlineStr">
        <is>
          <t>20260522000073</t>
        </is>
      </c>
      <c r="H6596" s="8">
        <f>HYPERLINK("https://dart.fss.or.kr/dsaf001/main.do?rcpNo=20260522000073", "공시열람")</f>
        <v/>
      </c>
    </row>
    <row r="6597">
      <c r="A6597" s="2" t="inlineStr">
        <is>
          <t>2026-05-22</t>
        </is>
      </c>
      <c r="B6597" s="3" t="inlineStr">
        <is>
          <t>한화투자증권</t>
        </is>
      </c>
      <c r="C6597" s="2" t="inlineStr">
        <is>
          <t>코스피</t>
        </is>
      </c>
      <c r="D6597" s="2" t="inlineStr">
        <is>
          <t>003530</t>
        </is>
      </c>
      <c r="E6597" s="3" t="inlineStr">
        <is>
          <t>투자설명서(일괄신고)</t>
        </is>
      </c>
      <c r="F6597" s="3" t="inlineStr">
        <is>
          <t>한화투자증권</t>
        </is>
      </c>
      <c r="G6597" s="2" t="inlineStr">
        <is>
          <t>20260522000067</t>
        </is>
      </c>
      <c r="H6597" s="8">
        <f>HYPERLINK("https://dart.fss.or.kr/dsaf001/main.do?rcpNo=20260522000067", "공시열람")</f>
        <v/>
      </c>
    </row>
    <row r="6598">
      <c r="A6598" s="2" t="inlineStr">
        <is>
          <t>2026-05-22</t>
        </is>
      </c>
      <c r="B6598" s="3" t="inlineStr">
        <is>
          <t>미래에셋증권</t>
        </is>
      </c>
      <c r="C6598" s="2" t="inlineStr">
        <is>
          <t>코스피</t>
        </is>
      </c>
      <c r="D6598" s="2" t="inlineStr">
        <is>
          <t>006800</t>
        </is>
      </c>
      <c r="E6598" s="3" t="inlineStr">
        <is>
          <t>일괄신고추가서류(파생결합사채-주가연계파생결합사채)</t>
        </is>
      </c>
      <c r="F6598" s="3" t="inlineStr">
        <is>
          <t>미래에셋증권</t>
        </is>
      </c>
      <c r="G6598" s="2" t="inlineStr">
        <is>
          <t>20260522000064</t>
        </is>
      </c>
      <c r="H6598" s="8">
        <f>HYPERLINK("https://dart.fss.or.kr/dsaf001/main.do?rcpNo=20260522000064", "공시열람")</f>
        <v/>
      </c>
    </row>
    <row r="6599">
      <c r="A6599" s="2" t="inlineStr">
        <is>
          <t>2026-05-22</t>
        </is>
      </c>
      <c r="B6599" s="3" t="inlineStr">
        <is>
          <t>유라클</t>
        </is>
      </c>
      <c r="C6599" s="2" t="inlineStr">
        <is>
          <t>코스닥</t>
        </is>
      </c>
      <c r="D6599" s="2" t="inlineStr">
        <is>
          <t>088340</t>
        </is>
      </c>
      <c r="E6599" s="3" t="inlineStr">
        <is>
          <t>임원ㆍ주요주주특정증권등소유상황보고서</t>
        </is>
      </c>
      <c r="F6599" s="3" t="inlineStr">
        <is>
          <t>권태일</t>
        </is>
      </c>
      <c r="G6599" s="2" t="inlineStr">
        <is>
          <t>20260522000063</t>
        </is>
      </c>
      <c r="H6599" s="8">
        <f>HYPERLINK("https://dart.fss.or.kr/dsaf001/main.do?rcpNo=20260522000063", "공시열람")</f>
        <v/>
      </c>
    </row>
    <row r="6600">
      <c r="A6600" s="2" t="inlineStr">
        <is>
          <t>2026-05-22</t>
        </is>
      </c>
      <c r="B6600" s="3" t="inlineStr">
        <is>
          <t>기가비스</t>
        </is>
      </c>
      <c r="C6600" s="2" t="inlineStr">
        <is>
          <t>코스닥</t>
        </is>
      </c>
      <c r="D6600" s="2" t="inlineStr">
        <is>
          <t>420770</t>
        </is>
      </c>
      <c r="E6600" s="3" t="inlineStr">
        <is>
          <t>임원ㆍ주요주주특정증권등소유상황보고서</t>
        </is>
      </c>
      <c r="F6600" s="3" t="inlineStr">
        <is>
          <t>최종균</t>
        </is>
      </c>
      <c r="G6600" s="2" t="inlineStr">
        <is>
          <t>20260522000062</t>
        </is>
      </c>
      <c r="H6600" s="8">
        <f>HYPERLINK("https://dart.fss.or.kr/dsaf001/main.do?rcpNo=20260522000062", "공시열람")</f>
        <v/>
      </c>
    </row>
    <row r="6601">
      <c r="A6601" s="2" t="inlineStr">
        <is>
          <t>2026-05-22</t>
        </is>
      </c>
      <c r="B6601" s="3" t="inlineStr">
        <is>
          <t>에프앤가이드</t>
        </is>
      </c>
      <c r="C6601" s="2" t="inlineStr">
        <is>
          <t>코스닥</t>
        </is>
      </c>
      <c r="D6601" s="2" t="inlineStr">
        <is>
          <t>064850</t>
        </is>
      </c>
      <c r="E6601" s="3" t="inlineStr">
        <is>
          <t>임원ㆍ주요주주특정증권등소유상황보고서</t>
        </is>
      </c>
      <c r="F6601" s="3" t="inlineStr">
        <is>
          <t>전민석</t>
        </is>
      </c>
      <c r="G6601" s="2" t="inlineStr">
        <is>
          <t>20260522000061</t>
        </is>
      </c>
      <c r="H6601" s="8">
        <f>HYPERLINK("https://dart.fss.or.kr/dsaf001/main.do?rcpNo=20260522000061", "공시열람")</f>
        <v/>
      </c>
    </row>
    <row r="6602">
      <c r="A6602" s="2" t="inlineStr">
        <is>
          <t>2026-05-22</t>
        </is>
      </c>
      <c r="B6602" s="3" t="inlineStr">
        <is>
          <t>한화투자증권</t>
        </is>
      </c>
      <c r="C6602" s="2" t="inlineStr">
        <is>
          <t>코스피</t>
        </is>
      </c>
      <c r="D6602" s="2" t="inlineStr">
        <is>
          <t>003530</t>
        </is>
      </c>
      <c r="E6602" s="3" t="inlineStr">
        <is>
          <t>일괄신고추가서류(기타파생결합사채)</t>
        </is>
      </c>
      <c r="F6602" s="3" t="inlineStr">
        <is>
          <t>한화투자증권</t>
        </is>
      </c>
      <c r="G6602" s="2" t="inlineStr">
        <is>
          <t>20260522000060</t>
        </is>
      </c>
      <c r="H6602" s="8">
        <f>HYPERLINK("https://dart.fss.or.kr/dsaf001/main.do?rcpNo=20260522000060", "공시열람")</f>
        <v/>
      </c>
    </row>
    <row r="6603">
      <c r="A6603" s="2" t="inlineStr">
        <is>
          <t>2026-05-22</t>
        </is>
      </c>
      <c r="B6603" s="3" t="inlineStr">
        <is>
          <t>한화투자증권</t>
        </is>
      </c>
      <c r="C6603" s="2" t="inlineStr">
        <is>
          <t>코스피</t>
        </is>
      </c>
      <c r="D6603" s="2" t="inlineStr">
        <is>
          <t>003530</t>
        </is>
      </c>
      <c r="E6603" s="3" t="inlineStr">
        <is>
          <t>일괄신고추가서류(파생결합사채-주가연계파생결합사채)</t>
        </is>
      </c>
      <c r="F6603" s="3" t="inlineStr">
        <is>
          <t>한화투자증권</t>
        </is>
      </c>
      <c r="G6603" s="2" t="inlineStr">
        <is>
          <t>20260522000057</t>
        </is>
      </c>
      <c r="H6603" s="8">
        <f>HYPERLINK("https://dart.fss.or.kr/dsaf001/main.do?rcpNo=20260522000057", "공시열람")</f>
        <v/>
      </c>
    </row>
    <row r="6604">
      <c r="A6604" s="2" t="inlineStr">
        <is>
          <t>2026-05-22</t>
        </is>
      </c>
      <c r="B6604" s="3" t="inlineStr">
        <is>
          <t>교보증권</t>
        </is>
      </c>
      <c r="C6604" s="2" t="inlineStr">
        <is>
          <t>코스피</t>
        </is>
      </c>
      <c r="D6604" s="2" t="inlineStr">
        <is>
          <t>030610</t>
        </is>
      </c>
      <c r="E6604" s="3" t="inlineStr">
        <is>
          <t>투자설명서(일괄신고)</t>
        </is>
      </c>
      <c r="F6604" s="3" t="inlineStr">
        <is>
          <t>교보증권</t>
        </is>
      </c>
      <c r="G6604" s="2" t="inlineStr">
        <is>
          <t>20260522000056</t>
        </is>
      </c>
      <c r="H6604" s="8">
        <f>HYPERLINK("https://dart.fss.or.kr/dsaf001/main.do?rcpNo=20260522000056", "공시열람")</f>
        <v/>
      </c>
    </row>
    <row r="6605">
      <c r="A6605" s="2" t="inlineStr">
        <is>
          <t>2026-05-22</t>
        </is>
      </c>
      <c r="B6605" s="3" t="inlineStr">
        <is>
          <t>미래에셋증권</t>
        </is>
      </c>
      <c r="C6605" s="2" t="inlineStr">
        <is>
          <t>코스피</t>
        </is>
      </c>
      <c r="D6605" s="2" t="inlineStr">
        <is>
          <t>006800</t>
        </is>
      </c>
      <c r="E6605" s="3" t="inlineStr">
        <is>
          <t>일괄신고추가서류(파생결합증권-주가연계증권)</t>
        </is>
      </c>
      <c r="F6605" s="3" t="inlineStr">
        <is>
          <t>미래에셋증권</t>
        </is>
      </c>
      <c r="G6605" s="2" t="inlineStr">
        <is>
          <t>20260522000054</t>
        </is>
      </c>
      <c r="H6605" s="8">
        <f>HYPERLINK("https://dart.fss.or.kr/dsaf001/main.do?rcpNo=20260522000054", "공시열람")</f>
        <v/>
      </c>
    </row>
    <row r="6606">
      <c r="A6606" s="2" t="inlineStr">
        <is>
          <t>2026-05-22</t>
        </is>
      </c>
      <c r="B6606" s="3" t="inlineStr">
        <is>
          <t>교보증권</t>
        </is>
      </c>
      <c r="C6606" s="2" t="inlineStr">
        <is>
          <t>코스피</t>
        </is>
      </c>
      <c r="D6606" s="2" t="inlineStr">
        <is>
          <t>030610</t>
        </is>
      </c>
      <c r="E6606" s="3" t="inlineStr">
        <is>
          <t>일괄신고추가서류(파생결합사채-주가연계파생결합사채)</t>
        </is>
      </c>
      <c r="F6606" s="3" t="inlineStr">
        <is>
          <t>교보증권</t>
        </is>
      </c>
      <c r="G6606" s="2" t="inlineStr">
        <is>
          <t>20260522000052</t>
        </is>
      </c>
      <c r="H6606" s="8">
        <f>HYPERLINK("https://dart.fss.or.kr/dsaf001/main.do?rcpNo=20260522000052", "공시열람")</f>
        <v/>
      </c>
    </row>
    <row r="6607">
      <c r="A6607" s="2" t="inlineStr">
        <is>
          <t>2026-05-22</t>
        </is>
      </c>
      <c r="B6607" s="3" t="inlineStr">
        <is>
          <t>유라클</t>
        </is>
      </c>
      <c r="C6607" s="2" t="inlineStr">
        <is>
          <t>코스닥</t>
        </is>
      </c>
      <c r="D6607" s="2" t="inlineStr">
        <is>
          <t>088340</t>
        </is>
      </c>
      <c r="E6607" s="3" t="inlineStr">
        <is>
          <t>임원ㆍ주요주주특정증권등소유상황보고서</t>
        </is>
      </c>
      <c r="F6607" s="3" t="inlineStr">
        <is>
          <t>유웅진</t>
        </is>
      </c>
      <c r="G6607" s="2" t="inlineStr">
        <is>
          <t>20260522000045</t>
        </is>
      </c>
      <c r="H6607" s="8">
        <f>HYPERLINK("https://dart.fss.or.kr/dsaf001/main.do?rcpNo=20260522000045", "공시열람")</f>
        <v/>
      </c>
    </row>
    <row r="6608">
      <c r="A6608" s="2" t="inlineStr">
        <is>
          <t>2026-05-22</t>
        </is>
      </c>
      <c r="B6608" s="3" t="inlineStr">
        <is>
          <t>노을</t>
        </is>
      </c>
      <c r="C6608" s="2" t="inlineStr">
        <is>
          <t>코스닥</t>
        </is>
      </c>
      <c r="D6608" s="2" t="inlineStr">
        <is>
          <t>376930</t>
        </is>
      </c>
      <c r="E6608" s="3" t="inlineStr">
        <is>
          <t>임원ㆍ주요주주특정증권등소유상황보고서</t>
        </is>
      </c>
      <c r="F6608" s="3" t="inlineStr">
        <is>
          <t>안정권</t>
        </is>
      </c>
      <c r="G6608" s="2" t="inlineStr">
        <is>
          <t>20260522000042</t>
        </is>
      </c>
      <c r="H6608" s="8">
        <f>HYPERLINK("https://dart.fss.or.kr/dsaf001/main.do?rcpNo=20260522000042", "공시열람")</f>
        <v/>
      </c>
    </row>
    <row r="6609">
      <c r="A6609" s="2" t="inlineStr">
        <is>
          <t>2026-05-22</t>
        </is>
      </c>
      <c r="B6609" s="3" t="inlineStr">
        <is>
          <t>미래에셋증권</t>
        </is>
      </c>
      <c r="C6609" s="2" t="inlineStr">
        <is>
          <t>코스피</t>
        </is>
      </c>
      <c r="D6609" s="2" t="inlineStr">
        <is>
          <t>006800</t>
        </is>
      </c>
      <c r="E6609" s="3" t="inlineStr">
        <is>
          <t>투자설명서(일괄신고)</t>
        </is>
      </c>
      <c r="F6609" s="3" t="inlineStr">
        <is>
          <t>미래에셋증권</t>
        </is>
      </c>
      <c r="G6609" s="2" t="inlineStr">
        <is>
          <t>20260522000037</t>
        </is>
      </c>
      <c r="H6609" s="8">
        <f>HYPERLINK("https://dart.fss.or.kr/dsaf001/main.do?rcpNo=20260522000037", "공시열람")</f>
        <v/>
      </c>
    </row>
    <row r="6610">
      <c r="A6610" s="2" t="inlineStr">
        <is>
          <t>2026-05-22</t>
        </is>
      </c>
      <c r="B6610" s="3" t="inlineStr">
        <is>
          <t>삼성전자</t>
        </is>
      </c>
      <c r="C6610" s="2" t="inlineStr">
        <is>
          <t>코스피</t>
        </is>
      </c>
      <c r="D6610" s="2" t="inlineStr">
        <is>
          <t>005930</t>
        </is>
      </c>
      <c r="E6610" s="3" t="inlineStr">
        <is>
          <t>[기재정정]임원ㆍ주요주주특정증권등소유상황보고서</t>
        </is>
      </c>
      <c r="F6610" s="3" t="inlineStr">
        <is>
          <t>얀손헨릭</t>
        </is>
      </c>
      <c r="G6610" s="2" t="inlineStr">
        <is>
          <t>20260522000036</t>
        </is>
      </c>
      <c r="H6610" s="8">
        <f>HYPERLINK("https://dart.fss.or.kr/dsaf001/main.do?rcpNo=20260522000036", "공시열람")</f>
        <v/>
      </c>
    </row>
    <row r="6611">
      <c r="A6611" s="2" t="inlineStr">
        <is>
          <t>2026-05-22</t>
        </is>
      </c>
      <c r="B6611" s="3" t="inlineStr">
        <is>
          <t>티비에이치글로벌</t>
        </is>
      </c>
      <c r="C6611" s="2" t="inlineStr">
        <is>
          <t>코스피</t>
        </is>
      </c>
      <c r="D6611" s="2" t="inlineStr">
        <is>
          <t>084870</t>
        </is>
      </c>
      <c r="E6611" s="3" t="inlineStr">
        <is>
          <t>신탁계약에의한취득상황보고서</t>
        </is>
      </c>
      <c r="F6611" s="3" t="inlineStr">
        <is>
          <t>티비에이치글로벌</t>
        </is>
      </c>
      <c r="G6611" s="2" t="inlineStr">
        <is>
          <t>20260522000035</t>
        </is>
      </c>
      <c r="H6611" s="8">
        <f>HYPERLINK("https://dart.fss.or.kr/dsaf001/main.do?rcpNo=20260522000035", "공시열람")</f>
        <v/>
      </c>
    </row>
    <row r="6612">
      <c r="A6612" s="2" t="inlineStr">
        <is>
          <t>2026-05-22</t>
        </is>
      </c>
      <c r="B6612" s="3" t="inlineStr">
        <is>
          <t>오로스테크놀로지</t>
        </is>
      </c>
      <c r="C6612" s="2" t="inlineStr">
        <is>
          <t>코스닥</t>
        </is>
      </c>
      <c r="D6612" s="2" t="inlineStr">
        <is>
          <t>322310</t>
        </is>
      </c>
      <c r="E6612" s="3" t="inlineStr">
        <is>
          <t>임원ㆍ주요주주특정증권등소유상황보고서</t>
        </is>
      </c>
      <c r="F6612" s="3" t="inlineStr">
        <is>
          <t>최성원</t>
        </is>
      </c>
      <c r="G6612" s="2" t="inlineStr">
        <is>
          <t>20260522000034</t>
        </is>
      </c>
      <c r="H6612" s="8">
        <f>HYPERLINK("https://dart.fss.or.kr/dsaf001/main.do?rcpNo=20260522000034", "공시열람")</f>
        <v/>
      </c>
    </row>
    <row r="6613">
      <c r="A6613" s="2" t="inlineStr">
        <is>
          <t>2026-05-22</t>
        </is>
      </c>
      <c r="B6613" s="3" t="inlineStr">
        <is>
          <t>미래에셋증권</t>
        </is>
      </c>
      <c r="C6613" s="2" t="inlineStr">
        <is>
          <t>코스피</t>
        </is>
      </c>
      <c r="D6613" s="2" t="inlineStr">
        <is>
          <t>006800</t>
        </is>
      </c>
      <c r="E6613" s="3" t="inlineStr">
        <is>
          <t>일괄신고추가서류(파생결합사채-주가연계파생결합사채)</t>
        </is>
      </c>
      <c r="F6613" s="3" t="inlineStr">
        <is>
          <t>미래에셋증권</t>
        </is>
      </c>
      <c r="G6613" s="2" t="inlineStr">
        <is>
          <t>20260522000032</t>
        </is>
      </c>
      <c r="H6613" s="8">
        <f>HYPERLINK("https://dart.fss.or.kr/dsaf001/main.do?rcpNo=20260522000032", "공시열람")</f>
        <v/>
      </c>
    </row>
    <row r="6614">
      <c r="A6614" s="2" t="inlineStr">
        <is>
          <t>2026-05-22</t>
        </is>
      </c>
      <c r="B6614" s="3" t="inlineStr">
        <is>
          <t>엘에스일렉트릭</t>
        </is>
      </c>
      <c r="C6614" s="2" t="inlineStr">
        <is>
          <t>코스피</t>
        </is>
      </c>
      <c r="D6614" s="2" t="inlineStr">
        <is>
          <t>010120</t>
        </is>
      </c>
      <c r="E6614" s="3" t="inlineStr">
        <is>
          <t>임원ㆍ주요주주특정증권등소유상황보고서</t>
        </is>
      </c>
      <c r="F6614" s="3" t="inlineStr">
        <is>
          <t>채대석</t>
        </is>
      </c>
      <c r="G6614" s="2" t="inlineStr">
        <is>
          <t>20260522000019</t>
        </is>
      </c>
      <c r="H6614" s="8">
        <f>HYPERLINK("https://dart.fss.or.kr/dsaf001/main.do?rcpNo=20260522000019", "공시열람")</f>
        <v/>
      </c>
    </row>
    <row r="6615">
      <c r="A6615" s="2" t="inlineStr">
        <is>
          <t>2026-05-22</t>
        </is>
      </c>
      <c r="B6615" s="3" t="inlineStr">
        <is>
          <t>에너토크</t>
        </is>
      </c>
      <c r="C6615" s="2" t="inlineStr">
        <is>
          <t>코스닥</t>
        </is>
      </c>
      <c r="D6615" s="2" t="inlineStr">
        <is>
          <t>019990</t>
        </is>
      </c>
      <c r="E6615" s="3" t="inlineStr">
        <is>
          <t>임원ㆍ주요주주특정증권등소유상황보고서</t>
        </is>
      </c>
      <c r="F6615" s="3" t="inlineStr">
        <is>
          <t>이충열</t>
        </is>
      </c>
      <c r="G6615" s="2" t="inlineStr">
        <is>
          <t>20260522000017</t>
        </is>
      </c>
      <c r="H6615" s="8">
        <f>HYPERLINK("https://dart.fss.or.kr/dsaf001/main.do?rcpNo=20260522000017", "공시열람")</f>
        <v/>
      </c>
    </row>
    <row r="6616">
      <c r="A6616" s="2" t="inlineStr">
        <is>
          <t>2026-05-22</t>
        </is>
      </c>
      <c r="B6616" s="3" t="inlineStr">
        <is>
          <t>태광</t>
        </is>
      </c>
      <c r="C6616" s="2" t="inlineStr">
        <is>
          <t>코스닥</t>
        </is>
      </c>
      <c r="D6616" s="2" t="inlineStr">
        <is>
          <t>023160</t>
        </is>
      </c>
      <c r="E6616" s="3" t="inlineStr">
        <is>
          <t xml:space="preserve">기업설명회(IR)개최              </t>
        </is>
      </c>
      <c r="F6616" s="3" t="inlineStr">
        <is>
          <t>태광</t>
        </is>
      </c>
      <c r="G6616" s="2" t="inlineStr">
        <is>
          <t>20260522900081</t>
        </is>
      </c>
      <c r="H6616" s="8">
        <f>HYPERLINK("https://dart.fss.or.kr/dsaf001/main.do?rcpNo=20260522900081", "공시열람")</f>
        <v/>
      </c>
    </row>
    <row r="6617">
      <c r="A6617" s="2" t="inlineStr">
        <is>
          <t>2026-05-22</t>
        </is>
      </c>
      <c r="B6617" s="3" t="inlineStr">
        <is>
          <t>태광</t>
        </is>
      </c>
      <c r="C6617" s="2" t="inlineStr">
        <is>
          <t>코스닥</t>
        </is>
      </c>
      <c r="D6617" s="2" t="inlineStr">
        <is>
          <t>023160</t>
        </is>
      </c>
      <c r="E6617" s="3" t="inlineStr">
        <is>
          <t xml:space="preserve">기업설명회(IR)개최              </t>
        </is>
      </c>
      <c r="F6617" s="3" t="inlineStr">
        <is>
          <t>태광</t>
        </is>
      </c>
      <c r="G6617" s="2" t="inlineStr">
        <is>
          <t>20260522900079</t>
        </is>
      </c>
      <c r="H6617" s="8">
        <f>HYPERLINK("https://dart.fss.or.kr/dsaf001/main.do?rcpNo=20260522900079", "공시열람")</f>
        <v/>
      </c>
    </row>
    <row r="6618">
      <c r="A6618" s="2" t="inlineStr">
        <is>
          <t>2026-05-22</t>
        </is>
      </c>
      <c r="B6618" s="3" t="inlineStr">
        <is>
          <t>NICE평가정보</t>
        </is>
      </c>
      <c r="C6618" s="2" t="inlineStr">
        <is>
          <t>코스피</t>
        </is>
      </c>
      <c r="D6618" s="2" t="inlineStr">
        <is>
          <t>030190</t>
        </is>
      </c>
      <c r="E6618" s="3" t="inlineStr">
        <is>
          <t xml:space="preserve">기타경영사항(자율공시)(종속회사의주요경영사항)              </t>
        </is>
      </c>
      <c r="F6618" s="3" t="inlineStr">
        <is>
          <t>NICE평가정보</t>
        </is>
      </c>
      <c r="G6618" s="2" t="inlineStr">
        <is>
          <t>20260522800012</t>
        </is>
      </c>
      <c r="H6618" s="8">
        <f>HYPERLINK("https://dart.fss.or.kr/dsaf001/main.do?rcpNo=20260522800012", "공시열람")</f>
        <v/>
      </c>
    </row>
    <row r="6619">
      <c r="A6619" s="2" t="inlineStr">
        <is>
          <t>2026-05-22</t>
        </is>
      </c>
      <c r="B6619" s="3" t="inlineStr">
        <is>
          <t>한국전력공사</t>
        </is>
      </c>
      <c r="C6619" s="2" t="inlineStr">
        <is>
          <t>코스피</t>
        </is>
      </c>
      <c r="D6619" s="2" t="inlineStr">
        <is>
          <t>015760</t>
        </is>
      </c>
      <c r="E6619" s="3" t="inlineStr">
        <is>
          <t xml:space="preserve">소송등의제기ㆍ신청(일정금액이상의청구)              </t>
        </is>
      </c>
      <c r="F6619" s="3" t="inlineStr">
        <is>
          <t>한국전력공사</t>
        </is>
      </c>
      <c r="G6619" s="2" t="inlineStr">
        <is>
          <t>20260522800002</t>
        </is>
      </c>
      <c r="H6619" s="8">
        <f>HYPERLINK("https://dart.fss.or.kr/dsaf001/main.do?rcpNo=20260522800002", "공시열람")</f>
        <v/>
      </c>
    </row>
    <row r="6620">
      <c r="A6620" s="2" t="inlineStr">
        <is>
          <t>2026-05-26</t>
        </is>
      </c>
      <c r="B6620" s="3" t="inlineStr">
        <is>
          <t>우리금융지주</t>
        </is>
      </c>
      <c r="C6620" s="2" t="inlineStr">
        <is>
          <t>코스피</t>
        </is>
      </c>
      <c r="D6620" s="2" t="inlineStr">
        <is>
          <t>316140</t>
        </is>
      </c>
      <c r="E6620" s="3" t="inlineStr">
        <is>
          <t>정정신고서제출요구( 2026.05.14. 제출 증권신고서(주식의포괄적교환ㆍ이전) )</t>
        </is>
      </c>
      <c r="F6620" s="3" t="inlineStr">
        <is>
          <t>금융감독원</t>
        </is>
      </c>
      <c r="G6620" s="2" t="inlineStr">
        <is>
          <t>20260526100049</t>
        </is>
      </c>
      <c r="H6620" s="8">
        <f>HYPERLINK("https://dart.fss.or.kr/dsaf001/main.do?rcpNo=20260526100049", "공시열람")</f>
        <v/>
      </c>
    </row>
    <row r="6621">
      <c r="A6621" s="2" t="inlineStr">
        <is>
          <t>2026-05-26</t>
        </is>
      </c>
      <c r="B6621" s="3" t="inlineStr">
        <is>
          <t>프리티</t>
        </is>
      </c>
      <c r="C6621" s="2" t="inlineStr">
        <is>
          <t>코스피</t>
        </is>
      </c>
      <c r="D6621" s="2" t="inlineStr">
        <is>
          <t>006490</t>
        </is>
      </c>
      <c r="E6621" s="3" t="inlineStr">
        <is>
          <t xml:space="preserve">투자판단관련주요경영사항              </t>
        </is>
      </c>
      <c r="F6621" s="3" t="inlineStr">
        <is>
          <t>프리티</t>
        </is>
      </c>
      <c r="G6621" s="2" t="inlineStr">
        <is>
          <t>20260526800909</t>
        </is>
      </c>
      <c r="H6621" s="8">
        <f>HYPERLINK("https://dart.fss.or.kr/dsaf001/main.do?rcpNo=20260526800909", "공시열람")</f>
        <v/>
      </c>
    </row>
    <row r="6622">
      <c r="A6622" s="2" t="inlineStr">
        <is>
          <t>2026-05-26</t>
        </is>
      </c>
      <c r="B6622" s="3" t="inlineStr">
        <is>
          <t>프리티</t>
        </is>
      </c>
      <c r="C6622" s="2" t="inlineStr">
        <is>
          <t>코스피</t>
        </is>
      </c>
      <c r="D6622" s="2" t="inlineStr">
        <is>
          <t>006490</t>
        </is>
      </c>
      <c r="E6622" s="3" t="inlineStr">
        <is>
          <t xml:space="preserve">대표이사(대표집행임원)변경(안내공시)              </t>
        </is>
      </c>
      <c r="F6622" s="3" t="inlineStr">
        <is>
          <t>프리티</t>
        </is>
      </c>
      <c r="G6622" s="2" t="inlineStr">
        <is>
          <t>20260526800908</t>
        </is>
      </c>
      <c r="H6622" s="8">
        <f>HYPERLINK("https://dart.fss.or.kr/dsaf001/main.do?rcpNo=20260526800908", "공시열람")</f>
        <v/>
      </c>
    </row>
    <row r="6623">
      <c r="A6623" s="2" t="inlineStr">
        <is>
          <t>2026-05-26</t>
        </is>
      </c>
      <c r="B6623" s="3" t="inlineStr">
        <is>
          <t>수성웹툰</t>
        </is>
      </c>
      <c r="C6623" s="2" t="inlineStr">
        <is>
          <t>코스닥</t>
        </is>
      </c>
      <c r="D6623" s="2" t="inlineStr">
        <is>
          <t>084180</t>
        </is>
      </c>
      <c r="E6623" s="3" t="inlineStr">
        <is>
          <t>전환사채(해외전환사채포함)발행후만기전사채취득              (제24회차)</t>
        </is>
      </c>
      <c r="F6623" s="3" t="inlineStr">
        <is>
          <t>수성웹툰</t>
        </is>
      </c>
      <c r="G6623" s="2" t="inlineStr">
        <is>
          <t>20260526900896</t>
        </is>
      </c>
      <c r="H6623" s="8">
        <f>HYPERLINK("https://dart.fss.or.kr/dsaf001/main.do?rcpNo=20260526900896", "공시열람")</f>
        <v/>
      </c>
    </row>
    <row r="6624">
      <c r="A6624" s="2" t="inlineStr">
        <is>
          <t>2026-05-26</t>
        </is>
      </c>
      <c r="B6624" s="3" t="inlineStr">
        <is>
          <t>다원시스</t>
        </is>
      </c>
      <c r="C6624" s="2" t="inlineStr">
        <is>
          <t>코스닥</t>
        </is>
      </c>
      <c r="D6624" s="2" t="inlineStr">
        <is>
          <t>068240</t>
        </is>
      </c>
      <c r="E6624" s="3" t="inlineStr">
        <is>
          <t xml:space="preserve">거래처와의거래중단              </t>
        </is>
      </c>
      <c r="F6624" s="3" t="inlineStr">
        <is>
          <t>다원시스</t>
        </is>
      </c>
      <c r="G6624" s="2" t="inlineStr">
        <is>
          <t>20260526900898</t>
        </is>
      </c>
      <c r="H6624" s="8">
        <f>HYPERLINK("https://dart.fss.or.kr/dsaf001/main.do?rcpNo=20260526900898", "공시열람")</f>
        <v/>
      </c>
    </row>
    <row r="6625">
      <c r="A6625" s="2" t="inlineStr">
        <is>
          <t>2026-05-26 (정정: 2026-05-26)</t>
        </is>
      </c>
      <c r="B6625" s="3" t="inlineStr">
        <is>
          <t>핸즈코퍼레이션</t>
        </is>
      </c>
      <c r="C6625" s="2" t="inlineStr">
        <is>
          <t>코스피</t>
        </is>
      </c>
      <c r="D6625" s="2" t="inlineStr">
        <is>
          <t>143210</t>
        </is>
      </c>
      <c r="E6625" s="3" t="inlineStr">
        <is>
          <t>기타시장안내               (정정: 20260526) (정정: 20260526) (정정: 20260526)</t>
        </is>
      </c>
      <c r="F6625" s="3" t="inlineStr">
        <is>
          <t>유가증권시장본부</t>
        </is>
      </c>
      <c r="G6625" s="2" t="inlineStr">
        <is>
          <t>20260526000148</t>
        </is>
      </c>
      <c r="H6625" s="8">
        <f>HYPERLINK("https://dart.fss.or.kr/dsaf001/main.do?rcpNo=20260526000148", "공시열람")</f>
        <v/>
      </c>
    </row>
    <row r="6626">
      <c r="A6626" s="2" t="inlineStr">
        <is>
          <t>2026-05-26</t>
        </is>
      </c>
      <c r="B6626" s="3" t="inlineStr">
        <is>
          <t>대웅</t>
        </is>
      </c>
      <c r="C6626" s="2" t="inlineStr">
        <is>
          <t>코스피</t>
        </is>
      </c>
      <c r="D6626" s="2" t="inlineStr">
        <is>
          <t>003090</t>
        </is>
      </c>
      <c r="E6626" s="3" t="inlineStr">
        <is>
          <t>투자판단관련주요경영사항(자회사의 주요경영사항)              (엔블로젬(Envlozem)의 국내 품목허가 신청)</t>
        </is>
      </c>
      <c r="F6626" s="3" t="inlineStr">
        <is>
          <t>대웅</t>
        </is>
      </c>
      <c r="G6626" s="2" t="inlineStr">
        <is>
          <t>20260526800886</t>
        </is>
      </c>
      <c r="H6626" s="8">
        <f>HYPERLINK("https://dart.fss.or.kr/dsaf001/main.do?rcpNo=20260526800886", "공시열람")</f>
        <v/>
      </c>
    </row>
    <row r="6627">
      <c r="A6627" s="2" t="inlineStr">
        <is>
          <t>2026-05-26</t>
        </is>
      </c>
      <c r="B6627" s="3" t="inlineStr">
        <is>
          <t>대웅제약</t>
        </is>
      </c>
      <c r="C6627" s="2" t="inlineStr">
        <is>
          <t>코스피</t>
        </is>
      </c>
      <c r="D6627" s="2" t="inlineStr">
        <is>
          <t>069620</t>
        </is>
      </c>
      <c r="E6627" s="3" t="inlineStr">
        <is>
          <t>투자판단관련주요경영사항              (엔블로젬(Envlozem)의 국내 품목허가 신청)</t>
        </is>
      </c>
      <c r="F6627" s="3" t="inlineStr">
        <is>
          <t>대웅제약</t>
        </is>
      </c>
      <c r="G6627" s="2" t="inlineStr">
        <is>
          <t>20260526800857</t>
        </is>
      </c>
      <c r="H6627" s="8">
        <f>HYPERLINK("https://dart.fss.or.kr/dsaf001/main.do?rcpNo=20260526800857", "공시열람")</f>
        <v/>
      </c>
    </row>
    <row r="6628">
      <c r="A6628" s="2" t="inlineStr">
        <is>
          <t>2026-05-26 (정정: 2026-06-23)</t>
        </is>
      </c>
      <c r="B6628" s="3" t="inlineStr">
        <is>
          <t>앱토크롬</t>
        </is>
      </c>
      <c r="C6628" s="2" t="inlineStr">
        <is>
          <t>코스닥</t>
        </is>
      </c>
      <c r="D6628" s="2" t="inlineStr">
        <is>
          <t>109960</t>
        </is>
      </c>
      <c r="E6628" s="3" t="inlineStr">
        <is>
          <t>주권관련사채권의취득결정               (정정: 20260602) (정정: 20260619) (정정: 20260623)</t>
        </is>
      </c>
      <c r="F6628" s="3" t="inlineStr">
        <is>
          <t>앱토크롬</t>
        </is>
      </c>
      <c r="G6628" s="2" t="inlineStr">
        <is>
          <t>20260623900826</t>
        </is>
      </c>
      <c r="H6628" s="8">
        <f>HYPERLINK("https://dart.fss.or.kr/dsaf001/main.do?rcpNo=20260623900826", "공시열람")</f>
        <v/>
      </c>
    </row>
    <row r="6629">
      <c r="A6629" s="2" t="inlineStr">
        <is>
          <t>2026-05-26</t>
        </is>
      </c>
      <c r="B6629" s="3" t="inlineStr">
        <is>
          <t>이렘</t>
        </is>
      </c>
      <c r="C6629" s="2" t="inlineStr">
        <is>
          <t>코스닥</t>
        </is>
      </c>
      <c r="D6629" s="2" t="inlineStr">
        <is>
          <t>009730</t>
        </is>
      </c>
      <c r="E6629" s="3" t="inlineStr">
        <is>
          <t>불성실공시법인지정              (공시불이행)</t>
        </is>
      </c>
      <c r="F6629" s="3" t="inlineStr">
        <is>
          <t>코스닥시장본부</t>
        </is>
      </c>
      <c r="G6629" s="2" t="inlineStr">
        <is>
          <t>20260526900835</t>
        </is>
      </c>
      <c r="H6629" s="8">
        <f>HYPERLINK("https://dart.fss.or.kr/dsaf001/main.do?rcpNo=20260526900835", "공시열람")</f>
        <v/>
      </c>
    </row>
    <row r="6630">
      <c r="A6630" s="2" t="inlineStr">
        <is>
          <t>2026-05-26</t>
        </is>
      </c>
      <c r="B6630" s="3" t="inlineStr">
        <is>
          <t>IPARK현대산업개발</t>
        </is>
      </c>
      <c r="C6630" s="2" t="inlineStr">
        <is>
          <t>코스피</t>
        </is>
      </c>
      <c r="D6630" s="2" t="inlineStr">
        <is>
          <t>294870</t>
        </is>
      </c>
      <c r="E6630" s="3" t="inlineStr">
        <is>
          <t>특수관계인으로부터부동산매수</t>
        </is>
      </c>
      <c r="F6630" s="3" t="inlineStr">
        <is>
          <t>IPARK현대산업개발</t>
        </is>
      </c>
      <c r="G6630" s="2" t="inlineStr">
        <is>
          <t>20260526000525</t>
        </is>
      </c>
      <c r="H6630" s="8">
        <f>HYPERLINK("https://dart.fss.or.kr/dsaf001/main.do?rcpNo=20260526000525", "공시열람")</f>
        <v/>
      </c>
    </row>
    <row r="6631">
      <c r="A6631" s="2" t="inlineStr">
        <is>
          <t>2026-05-26</t>
        </is>
      </c>
      <c r="B6631" s="3" t="inlineStr">
        <is>
          <t>인크레더블버즈</t>
        </is>
      </c>
      <c r="C6631" s="2" t="inlineStr">
        <is>
          <t>코스닥</t>
        </is>
      </c>
      <c r="D6631" s="2" t="inlineStr">
        <is>
          <t>064090</t>
        </is>
      </c>
      <c r="E6631" s="3" t="inlineStr">
        <is>
          <t>기타시장안내              (상장적격성 실질심사 사유추가 안내)</t>
        </is>
      </c>
      <c r="F6631" s="3" t="inlineStr">
        <is>
          <t>코스닥시장본부</t>
        </is>
      </c>
      <c r="G6631" s="2" t="inlineStr">
        <is>
          <t>20260526900782</t>
        </is>
      </c>
      <c r="H6631" s="8">
        <f>HYPERLINK("https://dart.fss.or.kr/dsaf001/main.do?rcpNo=20260526900782", "공시열람")</f>
        <v/>
      </c>
    </row>
    <row r="6632">
      <c r="A6632" s="2" t="inlineStr">
        <is>
          <t>2026-05-26</t>
        </is>
      </c>
      <c r="B6632" s="3" t="inlineStr">
        <is>
          <t>코렌텍</t>
        </is>
      </c>
      <c r="C6632" s="2" t="inlineStr">
        <is>
          <t>코스닥</t>
        </is>
      </c>
      <c r="D6632" s="2" t="inlineStr">
        <is>
          <t>104540</t>
        </is>
      </c>
      <c r="E6632" s="3" t="inlineStr">
        <is>
          <t>전환주식의전환청구권행사              (상환전환우선주)</t>
        </is>
      </c>
      <c r="F6632" s="3" t="inlineStr">
        <is>
          <t>코렌텍</t>
        </is>
      </c>
      <c r="G6632" s="2" t="inlineStr">
        <is>
          <t>20260526900787</t>
        </is>
      </c>
      <c r="H6632" s="8">
        <f>HYPERLINK("https://dart.fss.or.kr/dsaf001/main.do?rcpNo=20260526900787", "공시열람")</f>
        <v/>
      </c>
    </row>
    <row r="6633">
      <c r="A6633" s="2" t="inlineStr">
        <is>
          <t>2026-05-26 (정정: 2026-06-05)</t>
        </is>
      </c>
      <c r="B6633" s="3" t="inlineStr">
        <is>
          <t>신영증권</t>
        </is>
      </c>
      <c r="C6633" s="2" t="inlineStr">
        <is>
          <t>코스피</t>
        </is>
      </c>
      <c r="D6633" s="2" t="inlineStr">
        <is>
          <t>001720</t>
        </is>
      </c>
      <c r="E6633" s="3" t="inlineStr">
        <is>
          <t>증권발행실적보고서 (정정: 20260605)</t>
        </is>
      </c>
      <c r="F6633" s="3" t="inlineStr">
        <is>
          <t>신영증권</t>
        </is>
      </c>
      <c r="G6633" s="2" t="inlineStr">
        <is>
          <t>20260605000515</t>
        </is>
      </c>
      <c r="H6633" s="8">
        <f>HYPERLINK("https://dart.fss.or.kr/dsaf001/main.do?rcpNo=20260605000515", "공시열람")</f>
        <v/>
      </c>
    </row>
    <row r="6634">
      <c r="A6634" s="2" t="inlineStr">
        <is>
          <t>2026-05-26</t>
        </is>
      </c>
      <c r="B6634" s="3" t="inlineStr">
        <is>
          <t>헝셩그룹</t>
        </is>
      </c>
      <c r="C6634" s="2" t="inlineStr">
        <is>
          <t>코스닥</t>
        </is>
      </c>
      <c r="D6634" s="2" t="inlineStr">
        <is>
          <t>900270</t>
        </is>
      </c>
      <c r="E6634" s="3" t="inlineStr">
        <is>
          <t>전환가액의조정              (제4회차)</t>
        </is>
      </c>
      <c r="F6634" s="3" t="inlineStr">
        <is>
          <t>헝셩그룹</t>
        </is>
      </c>
      <c r="G6634" s="2" t="inlineStr">
        <is>
          <t>20260526900788</t>
        </is>
      </c>
      <c r="H6634" s="8">
        <f>HYPERLINK("https://dart.fss.or.kr/dsaf001/main.do?rcpNo=20260526900788", "공시열람")</f>
        <v/>
      </c>
    </row>
    <row r="6635">
      <c r="A6635" s="2" t="inlineStr">
        <is>
          <t>2026-05-26</t>
        </is>
      </c>
      <c r="B6635" s="3" t="inlineStr">
        <is>
          <t>SKC</t>
        </is>
      </c>
      <c r="C6635" s="2" t="inlineStr">
        <is>
          <t>코스피</t>
        </is>
      </c>
      <c r="D6635" s="2" t="inlineStr">
        <is>
          <t>011790</t>
        </is>
      </c>
      <c r="E6635" s="3" t="inlineStr">
        <is>
          <t xml:space="preserve">전환청구권ㆍ신주인수권ㆍ교환청구권행사              </t>
        </is>
      </c>
      <c r="F6635" s="3" t="inlineStr">
        <is>
          <t>SKC</t>
        </is>
      </c>
      <c r="G6635" s="2" t="inlineStr">
        <is>
          <t>20260526800831</t>
        </is>
      </c>
      <c r="H6635" s="8">
        <f>HYPERLINK("https://dart.fss.or.kr/dsaf001/main.do?rcpNo=20260526800831", "공시열람")</f>
        <v/>
      </c>
    </row>
    <row r="6636">
      <c r="A6636" s="2" t="inlineStr">
        <is>
          <t>2026-05-26</t>
        </is>
      </c>
      <c r="B6636" s="3" t="inlineStr">
        <is>
          <t>대한해운</t>
        </is>
      </c>
      <c r="C6636" s="2" t="inlineStr">
        <is>
          <t>코스피</t>
        </is>
      </c>
      <c r="D6636" s="2" t="inlineStr">
        <is>
          <t>005880</t>
        </is>
      </c>
      <c r="E6636" s="3" t="inlineStr">
        <is>
          <t xml:space="preserve">주주명부폐쇄기간또는기준일설정              </t>
        </is>
      </c>
      <c r="F6636" s="3" t="inlineStr">
        <is>
          <t>대한해운</t>
        </is>
      </c>
      <c r="G6636" s="2" t="inlineStr">
        <is>
          <t>20260526800792</t>
        </is>
      </c>
      <c r="H6636" s="8">
        <f>HYPERLINK("https://dart.fss.or.kr/dsaf001/main.do?rcpNo=20260526800792", "공시열람")</f>
        <v/>
      </c>
    </row>
    <row r="6637">
      <c r="A6637" s="2" t="inlineStr">
        <is>
          <t>2026-05-26</t>
        </is>
      </c>
      <c r="B6637" s="3" t="inlineStr">
        <is>
          <t>인크레더블버즈</t>
        </is>
      </c>
      <c r="C6637" s="2" t="inlineStr">
        <is>
          <t>코스닥</t>
        </is>
      </c>
      <c r="D6637" s="2" t="inlineStr">
        <is>
          <t>064090</t>
        </is>
      </c>
      <c r="E6637" s="3" t="inlineStr">
        <is>
          <t xml:space="preserve">횡령ㆍ배임혐의발생              </t>
        </is>
      </c>
      <c r="F6637" s="3" t="inlineStr">
        <is>
          <t>인크레더블버즈</t>
        </is>
      </c>
      <c r="G6637" s="2" t="inlineStr">
        <is>
          <t>20260526900772</t>
        </is>
      </c>
      <c r="H6637" s="8">
        <f>HYPERLINK("https://dart.fss.or.kr/dsaf001/main.do?rcpNo=20260526900772", "공시열람")</f>
        <v/>
      </c>
    </row>
    <row r="6638">
      <c r="A6638" s="2" t="inlineStr">
        <is>
          <t>2026-05-26</t>
        </is>
      </c>
      <c r="B6638" s="3" t="inlineStr">
        <is>
          <t>시큐레터</t>
        </is>
      </c>
      <c r="C6638" s="2" t="inlineStr">
        <is>
          <t>코스닥</t>
        </is>
      </c>
      <c r="D6638" s="2" t="inlineStr">
        <is>
          <t>418250</t>
        </is>
      </c>
      <c r="E6638" s="3" t="inlineStr">
        <is>
          <t>기타시장안내              (개선계획 이행내역서 제출)</t>
        </is>
      </c>
      <c r="F6638" s="3" t="inlineStr">
        <is>
          <t>코스닥시장본부</t>
        </is>
      </c>
      <c r="G6638" s="2" t="inlineStr">
        <is>
          <t>20260526900789</t>
        </is>
      </c>
      <c r="H6638" s="8">
        <f>HYPERLINK("https://dart.fss.or.kr/dsaf001/main.do?rcpNo=20260526900789", "공시열람")</f>
        <v/>
      </c>
    </row>
    <row r="6639">
      <c r="A6639" s="2" t="inlineStr">
        <is>
          <t>2026-05-26</t>
        </is>
      </c>
      <c r="B6639" s="3" t="inlineStr">
        <is>
          <t>티비씨</t>
        </is>
      </c>
      <c r="C6639" s="2" t="inlineStr">
        <is>
          <t>코스닥</t>
        </is>
      </c>
      <c r="D6639" s="2" t="inlineStr">
        <is>
          <t>033830</t>
        </is>
      </c>
      <c r="E6639" s="3" t="inlineStr">
        <is>
          <t>임원ㆍ주요주주특정증권등소유상황보고서</t>
        </is>
      </c>
      <c r="F6639" s="3" t="inlineStr">
        <is>
          <t>김한덕</t>
        </is>
      </c>
      <c r="G6639" s="2" t="inlineStr">
        <is>
          <t>20260526000515</t>
        </is>
      </c>
      <c r="H6639" s="8">
        <f>HYPERLINK("https://dart.fss.or.kr/dsaf001/main.do?rcpNo=20260526000515", "공시열람")</f>
        <v/>
      </c>
    </row>
    <row r="6640">
      <c r="A6640" s="2" t="inlineStr">
        <is>
          <t>2026-05-26</t>
        </is>
      </c>
      <c r="B6640" s="3" t="inlineStr">
        <is>
          <t>파라텍</t>
        </is>
      </c>
      <c r="C6640" s="2" t="inlineStr">
        <is>
          <t>코스닥</t>
        </is>
      </c>
      <c r="D6640" s="2" t="inlineStr">
        <is>
          <t>033540</t>
        </is>
      </c>
      <c r="E6640" s="3" t="inlineStr">
        <is>
          <t>임원ㆍ주요주주특정증권등거래계획보고서</t>
        </is>
      </c>
      <c r="F6640" s="3" t="inlineStr">
        <is>
          <t>휴림로봇</t>
        </is>
      </c>
      <c r="G6640" s="2" t="inlineStr">
        <is>
          <t>20260526000513</t>
        </is>
      </c>
      <c r="H6640" s="8">
        <f>HYPERLINK("https://dart.fss.or.kr/dsaf001/main.do?rcpNo=20260526000513", "공시열람")</f>
        <v/>
      </c>
    </row>
    <row r="6641">
      <c r="A6641" s="2" t="inlineStr">
        <is>
          <t>2026-05-26</t>
        </is>
      </c>
      <c r="B6641" s="3" t="inlineStr">
        <is>
          <t>엠브레인</t>
        </is>
      </c>
      <c r="C6641" s="2" t="inlineStr">
        <is>
          <t>코스닥</t>
        </is>
      </c>
      <c r="D6641" s="2" t="inlineStr">
        <is>
          <t>169330</t>
        </is>
      </c>
      <c r="E6641" s="3" t="inlineStr">
        <is>
          <t xml:space="preserve">현금ㆍ현물배당을위한주주명부폐쇄(기준일)결정              </t>
        </is>
      </c>
      <c r="F6641" s="3" t="inlineStr">
        <is>
          <t>엠브레인</t>
        </is>
      </c>
      <c r="G6641" s="2" t="inlineStr">
        <is>
          <t>20260526900777</t>
        </is>
      </c>
      <c r="H6641" s="8">
        <f>HYPERLINK("https://dart.fss.or.kr/dsaf001/main.do?rcpNo=20260526900777", "공시열람")</f>
        <v/>
      </c>
    </row>
    <row r="6642">
      <c r="A6642" s="2" t="inlineStr">
        <is>
          <t>2026-05-26</t>
        </is>
      </c>
      <c r="B6642" s="3" t="inlineStr">
        <is>
          <t>클래시스</t>
        </is>
      </c>
      <c r="C6642" s="2" t="inlineStr">
        <is>
          <t>코스닥</t>
        </is>
      </c>
      <c r="D6642" s="2" t="inlineStr">
        <is>
          <t>214150</t>
        </is>
      </c>
      <c r="E6642" s="3" t="inlineStr">
        <is>
          <t xml:space="preserve">지속가능경영보고서등관련사항(자율공시)              </t>
        </is>
      </c>
      <c r="F6642" s="3" t="inlineStr">
        <is>
          <t>클래시스</t>
        </is>
      </c>
      <c r="G6642" s="2" t="inlineStr">
        <is>
          <t>20260526900779</t>
        </is>
      </c>
      <c r="H6642" s="8">
        <f>HYPERLINK("https://dart.fss.or.kr/dsaf001/main.do?rcpNo=20260526900779", "공시열람")</f>
        <v/>
      </c>
    </row>
    <row r="6643">
      <c r="A6643" s="2" t="inlineStr">
        <is>
          <t>2026-05-26</t>
        </is>
      </c>
      <c r="B6643" s="3" t="inlineStr">
        <is>
          <t>HPSP</t>
        </is>
      </c>
      <c r="C6643" s="2" t="inlineStr">
        <is>
          <t>코스닥</t>
        </is>
      </c>
      <c r="D6643" s="2" t="inlineStr">
        <is>
          <t>403870</t>
        </is>
      </c>
      <c r="E6643" s="3" t="inlineStr">
        <is>
          <t>임원ㆍ주요주주특정증권등소유상황보고서</t>
        </is>
      </c>
      <c r="F6643" s="3" t="inlineStr">
        <is>
          <t>임도희</t>
        </is>
      </c>
      <c r="G6643" s="2" t="inlineStr">
        <is>
          <t>20260526000511</t>
        </is>
      </c>
      <c r="H6643" s="8">
        <f>HYPERLINK("https://dart.fss.or.kr/dsaf001/main.do?rcpNo=20260526000511", "공시열람")</f>
        <v/>
      </c>
    </row>
    <row r="6644">
      <c r="A6644" s="2" t="inlineStr">
        <is>
          <t>2026-05-26</t>
        </is>
      </c>
      <c r="B6644" s="3" t="inlineStr">
        <is>
          <t>삼부토건</t>
        </is>
      </c>
      <c r="C6644" s="2" t="inlineStr">
        <is>
          <t>코스피</t>
        </is>
      </c>
      <c r="D6644" s="2" t="inlineStr">
        <is>
          <t>001470</t>
        </is>
      </c>
      <c r="E6644" s="3" t="inlineStr">
        <is>
          <t xml:space="preserve">투자판단관련주요경영사항              </t>
        </is>
      </c>
      <c r="F6644" s="3" t="inlineStr">
        <is>
          <t>삼부토건</t>
        </is>
      </c>
      <c r="G6644" s="2" t="inlineStr">
        <is>
          <t>20260526800766</t>
        </is>
      </c>
      <c r="H6644" s="8">
        <f>HYPERLINK("https://dart.fss.or.kr/dsaf001/main.do?rcpNo=20260526800766", "공시열람")</f>
        <v/>
      </c>
    </row>
    <row r="6645">
      <c r="A6645" s="2" t="inlineStr">
        <is>
          <t>2026-05-26 (정정: 2026-05-26)</t>
        </is>
      </c>
      <c r="B6645" s="3" t="inlineStr">
        <is>
          <t>LG화학</t>
        </is>
      </c>
      <c r="C6645" s="2" t="inlineStr">
        <is>
          <t>코스피</t>
        </is>
      </c>
      <c r="D6645" s="2" t="inlineStr">
        <is>
          <t>051910</t>
        </is>
      </c>
      <c r="E6645" s="3" t="inlineStr">
        <is>
          <t>기업설명회(IR)개최(안내공시)               (정정: 20260526)</t>
        </is>
      </c>
      <c r="F6645" s="3" t="inlineStr">
        <is>
          <t>LG화학</t>
        </is>
      </c>
      <c r="G6645" s="2" t="inlineStr">
        <is>
          <t>20260526800771</t>
        </is>
      </c>
      <c r="H6645" s="8">
        <f>HYPERLINK("https://dart.fss.or.kr/dsaf001/main.do?rcpNo=20260526800771", "공시열람")</f>
        <v/>
      </c>
    </row>
    <row r="6646">
      <c r="A6646" s="2" t="inlineStr">
        <is>
          <t>2026-05-26</t>
        </is>
      </c>
      <c r="B6646" s="3" t="inlineStr">
        <is>
          <t>큐캐피탈</t>
        </is>
      </c>
      <c r="C6646" s="2" t="inlineStr">
        <is>
          <t>코스닥</t>
        </is>
      </c>
      <c r="D6646" s="2" t="inlineStr">
        <is>
          <t>016600</t>
        </is>
      </c>
      <c r="E6646" s="3" t="inlineStr">
        <is>
          <t>주권매매거래정지기간변경              (감자 주권 변경상장)</t>
        </is>
      </c>
      <c r="F6646" s="3" t="inlineStr">
        <is>
          <t>코스닥시장본부</t>
        </is>
      </c>
      <c r="G6646" s="2" t="inlineStr">
        <is>
          <t>20260526900744</t>
        </is>
      </c>
      <c r="H6646" s="8">
        <f>HYPERLINK("https://dart.fss.or.kr/dsaf001/main.do?rcpNo=20260526900744", "공시열람")</f>
        <v/>
      </c>
    </row>
    <row r="6647">
      <c r="A6647" s="2" t="inlineStr">
        <is>
          <t>2026-05-26</t>
        </is>
      </c>
      <c r="B6647" s="3" t="inlineStr">
        <is>
          <t>코아스템켐온</t>
        </is>
      </c>
      <c r="C6647" s="2" t="inlineStr">
        <is>
          <t>코스닥</t>
        </is>
      </c>
      <c r="D6647" s="2" t="inlineStr">
        <is>
          <t>166480</t>
        </is>
      </c>
      <c r="E6647" s="3" t="inlineStr">
        <is>
          <t>투자판단관련주요경영사항              (뉴로나타-알주(자가골수유래중간엽줄기세포) 품목허가사항 변경허가 신청 승인)</t>
        </is>
      </c>
      <c r="F6647" s="3" t="inlineStr">
        <is>
          <t>코아스템켐온</t>
        </is>
      </c>
      <c r="G6647" s="2" t="inlineStr">
        <is>
          <t>20260526900749</t>
        </is>
      </c>
      <c r="H6647" s="8">
        <f>HYPERLINK("https://dart.fss.or.kr/dsaf001/main.do?rcpNo=20260526900749", "공시열람")</f>
        <v/>
      </c>
    </row>
    <row r="6648">
      <c r="A6648" s="2" t="inlineStr">
        <is>
          <t>2026-05-26</t>
        </is>
      </c>
      <c r="B6648" s="3" t="inlineStr">
        <is>
          <t>뉴로메카</t>
        </is>
      </c>
      <c r="C6648" s="2" t="inlineStr">
        <is>
          <t>코스닥</t>
        </is>
      </c>
      <c r="D6648" s="2" t="inlineStr">
        <is>
          <t>348340</t>
        </is>
      </c>
      <c r="E6648" s="3" t="inlineStr">
        <is>
          <t>임원ㆍ주요주주특정증권등소유상황보고서</t>
        </is>
      </c>
      <c r="F6648" s="3" t="inlineStr">
        <is>
          <t>허영진</t>
        </is>
      </c>
      <c r="G6648" s="2" t="inlineStr">
        <is>
          <t>20260526000504</t>
        </is>
      </c>
      <c r="H6648" s="8">
        <f>HYPERLINK("https://dart.fss.or.kr/dsaf001/main.do?rcpNo=20260526000504", "공시열람")</f>
        <v/>
      </c>
    </row>
    <row r="6649">
      <c r="A6649" s="2" t="inlineStr">
        <is>
          <t>2026-05-26</t>
        </is>
      </c>
      <c r="B6649" s="3" t="inlineStr">
        <is>
          <t>뉴로메카</t>
        </is>
      </c>
      <c r="C6649" s="2" t="inlineStr">
        <is>
          <t>코스닥</t>
        </is>
      </c>
      <c r="D6649" s="2" t="inlineStr">
        <is>
          <t>348340</t>
        </is>
      </c>
      <c r="E6649" s="3" t="inlineStr">
        <is>
          <t>임원ㆍ주요주주특정증권등소유상황보고서</t>
        </is>
      </c>
      <c r="F6649" s="3" t="inlineStr">
        <is>
          <t>정종필</t>
        </is>
      </c>
      <c r="G6649" s="2" t="inlineStr">
        <is>
          <t>20260526000500</t>
        </is>
      </c>
      <c r="H6649" s="8">
        <f>HYPERLINK("https://dart.fss.or.kr/dsaf001/main.do?rcpNo=20260526000500", "공시열람")</f>
        <v/>
      </c>
    </row>
    <row r="6650">
      <c r="A6650" s="2" t="inlineStr">
        <is>
          <t>2026-05-26</t>
        </is>
      </c>
      <c r="B6650" s="3" t="inlineStr">
        <is>
          <t>유엑스엔</t>
        </is>
      </c>
      <c r="C6650" s="2" t="inlineStr">
        <is>
          <t>코넥스</t>
        </is>
      </c>
      <c r="D6650" s="2" t="inlineStr">
        <is>
          <t>337840</t>
        </is>
      </c>
      <c r="E6650" s="3" t="inlineStr">
        <is>
          <t xml:space="preserve">전환주식의전환청구권행사              </t>
        </is>
      </c>
      <c r="F6650" s="3" t="inlineStr">
        <is>
          <t>유엑스엔</t>
        </is>
      </c>
      <c r="G6650" s="2" t="inlineStr">
        <is>
          <t>20260526600729</t>
        </is>
      </c>
      <c r="H6650" s="8">
        <f>HYPERLINK("https://dart.fss.or.kr/dsaf001/main.do?rcpNo=20260526600729", "공시열람")</f>
        <v/>
      </c>
    </row>
    <row r="6651">
      <c r="A6651" s="2" t="inlineStr">
        <is>
          <t>2026-05-26</t>
        </is>
      </c>
      <c r="B6651" s="3" t="inlineStr">
        <is>
          <t>뉴로메카</t>
        </is>
      </c>
      <c r="C6651" s="2" t="inlineStr">
        <is>
          <t>코스닥</t>
        </is>
      </c>
      <c r="D6651" s="2" t="inlineStr">
        <is>
          <t>348340</t>
        </is>
      </c>
      <c r="E6651" s="3" t="inlineStr">
        <is>
          <t>임원ㆍ주요주주특정증권등소유상황보고서</t>
        </is>
      </c>
      <c r="F6651" s="3" t="inlineStr">
        <is>
          <t>이재천</t>
        </is>
      </c>
      <c r="G6651" s="2" t="inlineStr">
        <is>
          <t>20260526000498</t>
        </is>
      </c>
      <c r="H6651" s="8">
        <f>HYPERLINK("https://dart.fss.or.kr/dsaf001/main.do?rcpNo=20260526000498", "공시열람")</f>
        <v/>
      </c>
    </row>
    <row r="6652">
      <c r="A6652" s="2" t="inlineStr">
        <is>
          <t>2026-05-26</t>
        </is>
      </c>
      <c r="B6652" s="3" t="inlineStr">
        <is>
          <t>에이텍모빌리티</t>
        </is>
      </c>
      <c r="C6652" s="2" t="inlineStr">
        <is>
          <t>코스닥</t>
        </is>
      </c>
      <c r="D6652" s="2" t="inlineStr">
        <is>
          <t>224110</t>
        </is>
      </c>
      <c r="E6652" s="3" t="inlineStr">
        <is>
          <t>임원ㆍ주요주주특정증권등소유상황보고서</t>
        </is>
      </c>
      <c r="F6652" s="3" t="inlineStr">
        <is>
          <t>신종찬</t>
        </is>
      </c>
      <c r="G6652" s="2" t="inlineStr">
        <is>
          <t>20260526000496</t>
        </is>
      </c>
      <c r="H6652" s="8">
        <f>HYPERLINK("https://dart.fss.or.kr/dsaf001/main.do?rcpNo=20260526000496", "공시열람")</f>
        <v/>
      </c>
    </row>
    <row r="6653">
      <c r="A6653" s="2" t="inlineStr">
        <is>
          <t>2026-05-26</t>
        </is>
      </c>
      <c r="B6653" s="3" t="inlineStr">
        <is>
          <t>이지케어텍</t>
        </is>
      </c>
      <c r="C6653" s="2" t="inlineStr">
        <is>
          <t>코스닥</t>
        </is>
      </c>
      <c r="D6653" s="2" t="inlineStr">
        <is>
          <t>099750</t>
        </is>
      </c>
      <c r="E6653" s="3" t="inlineStr">
        <is>
          <t xml:space="preserve">매출액또는손익구조30%(대규모법인은15%)이상변동              </t>
        </is>
      </c>
      <c r="F6653" s="3" t="inlineStr">
        <is>
          <t>이지케어텍</t>
        </is>
      </c>
      <c r="G6653" s="2" t="inlineStr">
        <is>
          <t>20260526900720</t>
        </is>
      </c>
      <c r="H6653" s="8">
        <f>HYPERLINK("https://dart.fss.or.kr/dsaf001/main.do?rcpNo=20260526900720", "공시열람")</f>
        <v/>
      </c>
    </row>
    <row r="6654">
      <c r="A6654" s="2" t="inlineStr">
        <is>
          <t>2026-05-26</t>
        </is>
      </c>
      <c r="B6654" s="3" t="inlineStr">
        <is>
          <t>쓰리빌리언</t>
        </is>
      </c>
      <c r="C6654" s="2" t="inlineStr">
        <is>
          <t>코스닥</t>
        </is>
      </c>
      <c r="D6654" s="2" t="inlineStr">
        <is>
          <t>394800</t>
        </is>
      </c>
      <c r="E6654" s="3" t="inlineStr">
        <is>
          <t>임원ㆍ주요주주특정증권등소유상황보고서</t>
        </is>
      </c>
      <c r="F6654" s="3" t="inlineStr">
        <is>
          <t>이해인</t>
        </is>
      </c>
      <c r="G6654" s="2" t="inlineStr">
        <is>
          <t>20260526000495</t>
        </is>
      </c>
      <c r="H6654" s="8">
        <f>HYPERLINK("https://dart.fss.or.kr/dsaf001/main.do?rcpNo=20260526000495", "공시열람")</f>
        <v/>
      </c>
    </row>
    <row r="6655">
      <c r="A6655" s="2" t="inlineStr">
        <is>
          <t>2026-05-26</t>
        </is>
      </c>
      <c r="B6655" s="3" t="inlineStr">
        <is>
          <t>진원생명과학</t>
        </is>
      </c>
      <c r="C6655" s="2" t="inlineStr">
        <is>
          <t>코스피</t>
        </is>
      </c>
      <c r="D6655" s="2" t="inlineStr">
        <is>
          <t>011000</t>
        </is>
      </c>
      <c r="E6655" s="3" t="inlineStr">
        <is>
          <t>[기재정정]주요사항보고서(감자결정)</t>
        </is>
      </c>
      <c r="F6655" s="3" t="inlineStr">
        <is>
          <t>진원생명과학</t>
        </is>
      </c>
      <c r="G6655" s="2" t="inlineStr">
        <is>
          <t>20260526000437</t>
        </is>
      </c>
      <c r="H6655" s="8">
        <f>HYPERLINK("https://dart.fss.or.kr/dsaf001/main.do?rcpNo=20260526000437", "공시열람")</f>
        <v/>
      </c>
    </row>
    <row r="6656">
      <c r="A6656" s="2" t="inlineStr">
        <is>
          <t>2026-05-26</t>
        </is>
      </c>
      <c r="B6656" s="3" t="inlineStr">
        <is>
          <t>쓰리빌리언</t>
        </is>
      </c>
      <c r="C6656" s="2" t="inlineStr">
        <is>
          <t>코스닥</t>
        </is>
      </c>
      <c r="D6656" s="2" t="inlineStr">
        <is>
          <t>394800</t>
        </is>
      </c>
      <c r="E6656" s="3" t="inlineStr">
        <is>
          <t>임원ㆍ주요주주특정증권등소유상황보고서</t>
        </is>
      </c>
      <c r="F6656" s="3" t="inlineStr">
        <is>
          <t>이정설</t>
        </is>
      </c>
      <c r="G6656" s="2" t="inlineStr">
        <is>
          <t>20260526000491</t>
        </is>
      </c>
      <c r="H6656" s="8">
        <f>HYPERLINK("https://dart.fss.or.kr/dsaf001/main.do?rcpNo=20260526000491", "공시열람")</f>
        <v/>
      </c>
    </row>
    <row r="6657">
      <c r="A6657" s="2" t="inlineStr">
        <is>
          <t>2026-05-26</t>
        </is>
      </c>
      <c r="B6657" s="3" t="inlineStr">
        <is>
          <t>대신정보통신</t>
        </is>
      </c>
      <c r="C6657" s="2" t="inlineStr">
        <is>
          <t>코스닥</t>
        </is>
      </c>
      <c r="D6657" s="2" t="inlineStr">
        <is>
          <t>020180</t>
        </is>
      </c>
      <c r="E6657" s="3" t="inlineStr">
        <is>
          <t>임원ㆍ주요주주특정증권등소유상황보고서</t>
        </is>
      </c>
      <c r="F6657" s="3" t="inlineStr">
        <is>
          <t>강훈모</t>
        </is>
      </c>
      <c r="G6657" s="2" t="inlineStr">
        <is>
          <t>20260526000488</t>
        </is>
      </c>
      <c r="H6657" s="8">
        <f>HYPERLINK("https://dart.fss.or.kr/dsaf001/main.do?rcpNo=20260526000488", "공시열람")</f>
        <v/>
      </c>
    </row>
    <row r="6658">
      <c r="A6658" s="2" t="inlineStr">
        <is>
          <t>2026-05-26</t>
        </is>
      </c>
      <c r="B6658" s="3" t="inlineStr">
        <is>
          <t>지아이에스</t>
        </is>
      </c>
      <c r="C6658" s="2" t="inlineStr">
        <is>
          <t>코스닥</t>
        </is>
      </c>
      <c r="D6658" s="2" t="inlineStr">
        <is>
          <t>306620</t>
        </is>
      </c>
      <c r="E6658" s="3" t="inlineStr">
        <is>
          <t>교환청구권행사              (제1회차)</t>
        </is>
      </c>
      <c r="F6658" s="3" t="inlineStr">
        <is>
          <t>지아이에스</t>
        </is>
      </c>
      <c r="G6658" s="2" t="inlineStr">
        <is>
          <t>20260526900714</t>
        </is>
      </c>
      <c r="H6658" s="8">
        <f>HYPERLINK("https://dart.fss.or.kr/dsaf001/main.do?rcpNo=20260526900714", "공시열람")</f>
        <v/>
      </c>
    </row>
    <row r="6659">
      <c r="A6659" s="2" t="inlineStr">
        <is>
          <t>2026-05-26 (정정: 2026-05-26)</t>
        </is>
      </c>
      <c r="B6659" s="3" t="inlineStr">
        <is>
          <t>디비금융스팩12호</t>
        </is>
      </c>
      <c r="C6659" s="2" t="inlineStr">
        <is>
          <t>코스닥</t>
        </is>
      </c>
      <c r="D6659" s="2" t="inlineStr">
        <is>
          <t>477760</t>
        </is>
      </c>
      <c r="E6659" s="3" t="inlineStr">
        <is>
          <t>기업인수목적회사관련합병취소ㆍ부인사실발생               (정정: 20260526)</t>
        </is>
      </c>
      <c r="F6659" s="3" t="inlineStr">
        <is>
          <t>디비금융스팩12호</t>
        </is>
      </c>
      <c r="G6659" s="2" t="inlineStr">
        <is>
          <t>20260526000375</t>
        </is>
      </c>
      <c r="H6659" s="8">
        <f>HYPERLINK("https://dart.fss.or.kr/dsaf001/main.do?rcpNo=20260526000375", "공시열람")</f>
        <v/>
      </c>
    </row>
    <row r="6660">
      <c r="A6660" s="2" t="inlineStr">
        <is>
          <t>2026-05-26</t>
        </is>
      </c>
      <c r="B6660" s="3" t="inlineStr">
        <is>
          <t>아이씨티케이</t>
        </is>
      </c>
      <c r="C6660" s="2" t="inlineStr">
        <is>
          <t>코스닥</t>
        </is>
      </c>
      <c r="D6660" s="2" t="inlineStr">
        <is>
          <t>456010</t>
        </is>
      </c>
      <c r="E6660" s="3" t="inlineStr">
        <is>
          <t>전환청구권행사              (제5회차)</t>
        </is>
      </c>
      <c r="F6660" s="3" t="inlineStr">
        <is>
          <t>아이씨티케이</t>
        </is>
      </c>
      <c r="G6660" s="2" t="inlineStr">
        <is>
          <t>20260526900635</t>
        </is>
      </c>
      <c r="H6660" s="8">
        <f>HYPERLINK("https://dart.fss.or.kr/dsaf001/main.do?rcpNo=20260526900635", "공시열람")</f>
        <v/>
      </c>
    </row>
    <row r="6661">
      <c r="A6661" s="2" t="inlineStr">
        <is>
          <t>2026-05-26</t>
        </is>
      </c>
      <c r="B6661" s="3" t="inlineStr">
        <is>
          <t>쓰리빌리언</t>
        </is>
      </c>
      <c r="C6661" s="2" t="inlineStr">
        <is>
          <t>코스닥</t>
        </is>
      </c>
      <c r="D6661" s="2" t="inlineStr">
        <is>
          <t>394800</t>
        </is>
      </c>
      <c r="E6661" s="3" t="inlineStr">
        <is>
          <t>임원ㆍ주요주주특정증권등소유상황보고서</t>
        </is>
      </c>
      <c r="F6661" s="3" t="inlineStr">
        <is>
          <t>이숙진</t>
        </is>
      </c>
      <c r="G6661" s="2" t="inlineStr">
        <is>
          <t>20260526000484</t>
        </is>
      </c>
      <c r="H6661" s="8">
        <f>HYPERLINK("https://dart.fss.or.kr/dsaf001/main.do?rcpNo=20260526000484", "공시열람")</f>
        <v/>
      </c>
    </row>
    <row r="6662">
      <c r="A6662" s="2" t="inlineStr">
        <is>
          <t>2026-05-26</t>
        </is>
      </c>
      <c r="B6662" s="3" t="inlineStr">
        <is>
          <t>대신정보통신</t>
        </is>
      </c>
      <c r="C6662" s="2" t="inlineStr">
        <is>
          <t>코스닥</t>
        </is>
      </c>
      <c r="D6662" s="2" t="inlineStr">
        <is>
          <t>020180</t>
        </is>
      </c>
      <c r="E6662" s="3" t="inlineStr">
        <is>
          <t>임원ㆍ주요주주특정증권등소유상황보고서</t>
        </is>
      </c>
      <c r="F6662" s="3" t="inlineStr">
        <is>
          <t>윤영민</t>
        </is>
      </c>
      <c r="G6662" s="2" t="inlineStr">
        <is>
          <t>20260526000483</t>
        </is>
      </c>
      <c r="H6662" s="8">
        <f>HYPERLINK("https://dart.fss.or.kr/dsaf001/main.do?rcpNo=20260526000483", "공시열람")</f>
        <v/>
      </c>
    </row>
    <row r="6663">
      <c r="A6663" s="2" t="inlineStr">
        <is>
          <t>2026-05-26</t>
        </is>
      </c>
      <c r="B6663" s="3" t="inlineStr">
        <is>
          <t>에스아이리소스</t>
        </is>
      </c>
      <c r="C6663" s="2" t="inlineStr">
        <is>
          <t>코스닥</t>
        </is>
      </c>
      <c r="D6663" s="2" t="inlineStr">
        <is>
          <t>065420</t>
        </is>
      </c>
      <c r="E6663" s="3" t="inlineStr">
        <is>
          <t xml:space="preserve">소송등의판결ㆍ결정(일정금액이상의청구)              </t>
        </is>
      </c>
      <c r="F6663" s="3" t="inlineStr">
        <is>
          <t>에스아이리소스</t>
        </is>
      </c>
      <c r="G6663" s="2" t="inlineStr">
        <is>
          <t>20260526900718</t>
        </is>
      </c>
      <c r="H6663" s="8">
        <f>HYPERLINK("https://dart.fss.or.kr/dsaf001/main.do?rcpNo=20260526900718", "공시열람")</f>
        <v/>
      </c>
    </row>
    <row r="6664">
      <c r="A6664" s="2" t="inlineStr">
        <is>
          <t>2026-05-26</t>
        </is>
      </c>
      <c r="B6664" s="3" t="inlineStr">
        <is>
          <t>나눔테크</t>
        </is>
      </c>
      <c r="C6664" s="2" t="inlineStr">
        <is>
          <t>코넥스</t>
        </is>
      </c>
      <c r="D6664" s="2" t="inlineStr">
        <is>
          <t>244880</t>
        </is>
      </c>
      <c r="E6664" s="3" t="inlineStr">
        <is>
          <t xml:space="preserve">기업설명회(IR)개최결과              </t>
        </is>
      </c>
      <c r="F6664" s="3" t="inlineStr">
        <is>
          <t>나눔테크</t>
        </is>
      </c>
      <c r="G6664" s="2" t="inlineStr">
        <is>
          <t>20260526600711</t>
        </is>
      </c>
      <c r="H6664" s="8">
        <f>HYPERLINK("https://dart.fss.or.kr/dsaf001/main.do?rcpNo=20260526600711", "공시열람")</f>
        <v/>
      </c>
    </row>
    <row r="6665">
      <c r="A6665" s="2" t="inlineStr">
        <is>
          <t>2026-05-26</t>
        </is>
      </c>
      <c r="B6665" s="3" t="inlineStr">
        <is>
          <t>푸른저축은행</t>
        </is>
      </c>
      <c r="C6665" s="2" t="inlineStr">
        <is>
          <t>코스닥</t>
        </is>
      </c>
      <c r="D6665" s="2" t="inlineStr">
        <is>
          <t>007330</t>
        </is>
      </c>
      <c r="E6665" s="3" t="inlineStr">
        <is>
          <t>임원ㆍ주요주주특정증권등소유상황보고서</t>
        </is>
      </c>
      <c r="F6665" s="3" t="inlineStr">
        <is>
          <t>주신홍</t>
        </is>
      </c>
      <c r="G6665" s="2" t="inlineStr">
        <is>
          <t>20260526000477</t>
        </is>
      </c>
      <c r="H6665" s="8">
        <f>HYPERLINK("https://dart.fss.or.kr/dsaf001/main.do?rcpNo=20260526000477", "공시열람")</f>
        <v/>
      </c>
    </row>
    <row r="6666">
      <c r="A6666" s="2" t="inlineStr">
        <is>
          <t>2026-05-26</t>
        </is>
      </c>
      <c r="B6666" s="3" t="inlineStr">
        <is>
          <t>대신정보통신</t>
        </is>
      </c>
      <c r="C6666" s="2" t="inlineStr">
        <is>
          <t>코스닥</t>
        </is>
      </c>
      <c r="D6666" s="2" t="inlineStr">
        <is>
          <t>020180</t>
        </is>
      </c>
      <c r="E6666" s="3" t="inlineStr">
        <is>
          <t>임원ㆍ주요주주특정증권등소유상황보고서</t>
        </is>
      </c>
      <c r="F6666" s="3" t="inlineStr">
        <is>
          <t>양동해</t>
        </is>
      </c>
      <c r="G6666" s="2" t="inlineStr">
        <is>
          <t>20260526000476</t>
        </is>
      </c>
      <c r="H6666" s="8">
        <f>HYPERLINK("https://dart.fss.or.kr/dsaf001/main.do?rcpNo=20260526000476", "공시열람")</f>
        <v/>
      </c>
    </row>
    <row r="6667">
      <c r="A6667" s="2" t="inlineStr">
        <is>
          <t>2026-05-26</t>
        </is>
      </c>
      <c r="B6667" s="3" t="inlineStr">
        <is>
          <t>일성건설</t>
        </is>
      </c>
      <c r="C6667" s="2" t="inlineStr">
        <is>
          <t>코스피</t>
        </is>
      </c>
      <c r="D6667" s="2" t="inlineStr">
        <is>
          <t>013360</t>
        </is>
      </c>
      <c r="E6667" s="3" t="inlineStr">
        <is>
          <t>주요사항보고서(유형자산양도결정)</t>
        </is>
      </c>
      <c r="F6667" s="3" t="inlineStr">
        <is>
          <t>일성건설</t>
        </is>
      </c>
      <c r="G6667" s="2" t="inlineStr">
        <is>
          <t>20260526000429</t>
        </is>
      </c>
      <c r="H6667" s="8">
        <f>HYPERLINK("https://dart.fss.or.kr/dsaf001/main.do?rcpNo=20260526000429", "공시열람")</f>
        <v/>
      </c>
    </row>
    <row r="6668">
      <c r="A6668" s="2" t="inlineStr">
        <is>
          <t>2026-05-26</t>
        </is>
      </c>
      <c r="B6668" s="3" t="inlineStr">
        <is>
          <t>미래에셋증권</t>
        </is>
      </c>
      <c r="C6668" s="2" t="inlineStr">
        <is>
          <t>코스피</t>
        </is>
      </c>
      <c r="D6668" s="2" t="inlineStr">
        <is>
          <t>006800</t>
        </is>
      </c>
      <c r="E6668" s="3" t="inlineStr">
        <is>
          <t>증권발행실적보고서</t>
        </is>
      </c>
      <c r="F6668" s="3" t="inlineStr">
        <is>
          <t>미래에셋증권</t>
        </is>
      </c>
      <c r="G6668" s="2" t="inlineStr">
        <is>
          <t>20260526000475</t>
        </is>
      </c>
      <c r="H6668" s="8">
        <f>HYPERLINK("https://dart.fss.or.kr/dsaf001/main.do?rcpNo=20260526000475", "공시열람")</f>
        <v/>
      </c>
    </row>
    <row r="6669">
      <c r="A6669" s="2" t="inlineStr">
        <is>
          <t>2026-05-26</t>
        </is>
      </c>
      <c r="B6669" s="3" t="inlineStr">
        <is>
          <t>나노캠텍</t>
        </is>
      </c>
      <c r="C6669" s="2" t="inlineStr">
        <is>
          <t>코스닥</t>
        </is>
      </c>
      <c r="D6669" s="2" t="inlineStr">
        <is>
          <t>091970</t>
        </is>
      </c>
      <c r="E6669" s="3" t="inlineStr">
        <is>
          <t>임원ㆍ주요주주특정증권등소유상황보고서</t>
        </is>
      </c>
      <c r="F6669" s="3" t="inlineStr">
        <is>
          <t>소병적</t>
        </is>
      </c>
      <c r="G6669" s="2" t="inlineStr">
        <is>
          <t>20260526000474</t>
        </is>
      </c>
      <c r="H6669" s="8">
        <f>HYPERLINK("https://dart.fss.or.kr/dsaf001/main.do?rcpNo=20260526000474", "공시열람")</f>
        <v/>
      </c>
    </row>
    <row r="6670">
      <c r="A6670" s="2" t="inlineStr">
        <is>
          <t>2026-05-26</t>
        </is>
      </c>
      <c r="B6670" s="3" t="inlineStr">
        <is>
          <t>대신정보통신</t>
        </is>
      </c>
      <c r="C6670" s="2" t="inlineStr">
        <is>
          <t>코스닥</t>
        </is>
      </c>
      <c r="D6670" s="2" t="inlineStr">
        <is>
          <t>020180</t>
        </is>
      </c>
      <c r="E6670" s="3" t="inlineStr">
        <is>
          <t>임원ㆍ주요주주특정증권등소유상황보고서</t>
        </is>
      </c>
      <c r="F6670" s="3" t="inlineStr">
        <is>
          <t>원유석</t>
        </is>
      </c>
      <c r="G6670" s="2" t="inlineStr">
        <is>
          <t>20260526000470</t>
        </is>
      </c>
      <c r="H6670" s="8">
        <f>HYPERLINK("https://dart.fss.or.kr/dsaf001/main.do?rcpNo=20260526000470", "공시열람")</f>
        <v/>
      </c>
    </row>
    <row r="6671">
      <c r="A6671" s="2" t="inlineStr">
        <is>
          <t>2026-05-26</t>
        </is>
      </c>
      <c r="B6671" s="3" t="inlineStr">
        <is>
          <t>쓰리빌리언</t>
        </is>
      </c>
      <c r="C6671" s="2" t="inlineStr">
        <is>
          <t>코스닥</t>
        </is>
      </c>
      <c r="D6671" s="2" t="inlineStr">
        <is>
          <t>394800</t>
        </is>
      </c>
      <c r="E6671" s="3" t="inlineStr">
        <is>
          <t>임원ㆍ주요주주특정증권등소유상황보고서</t>
        </is>
      </c>
      <c r="F6671" s="3" t="inlineStr">
        <is>
          <t>서고훈</t>
        </is>
      </c>
      <c r="G6671" s="2" t="inlineStr">
        <is>
          <t>20260526000469</t>
        </is>
      </c>
      <c r="H6671" s="8">
        <f>HYPERLINK("https://dart.fss.or.kr/dsaf001/main.do?rcpNo=20260526000469", "공시열람")</f>
        <v/>
      </c>
    </row>
    <row r="6672">
      <c r="A6672" s="2" t="inlineStr">
        <is>
          <t>2026-05-26</t>
        </is>
      </c>
      <c r="B6672" s="3" t="inlineStr">
        <is>
          <t>나노캠텍</t>
        </is>
      </c>
      <c r="C6672" s="2" t="inlineStr">
        <is>
          <t>코스닥</t>
        </is>
      </c>
      <c r="D6672" s="2" t="inlineStr">
        <is>
          <t>091970</t>
        </is>
      </c>
      <c r="E6672" s="3" t="inlineStr">
        <is>
          <t>임원ㆍ주요주주특정증권등소유상황보고서</t>
        </is>
      </c>
      <c r="F6672" s="3" t="inlineStr">
        <is>
          <t>신해용</t>
        </is>
      </c>
      <c r="G6672" s="2" t="inlineStr">
        <is>
          <t>20260526000466</t>
        </is>
      </c>
      <c r="H6672" s="8">
        <f>HYPERLINK("https://dart.fss.or.kr/dsaf001/main.do?rcpNo=20260526000466", "공시열람")</f>
        <v/>
      </c>
    </row>
    <row r="6673">
      <c r="A6673" s="2" t="inlineStr">
        <is>
          <t>2026-05-26</t>
        </is>
      </c>
      <c r="B6673" s="3" t="inlineStr">
        <is>
          <t>한국캐피탈</t>
        </is>
      </c>
      <c r="C6673" s="2" t="inlineStr">
        <is>
          <t>코스닥</t>
        </is>
      </c>
      <c r="D6673" s="2" t="inlineStr">
        <is>
          <t>023760</t>
        </is>
      </c>
      <c r="E6673" s="3" t="inlineStr">
        <is>
          <t>투자설명서(일괄신고)</t>
        </is>
      </c>
      <c r="F6673" s="3" t="inlineStr">
        <is>
          <t>한국캐피탈</t>
        </is>
      </c>
      <c r="G6673" s="2" t="inlineStr">
        <is>
          <t>20260526000464</t>
        </is>
      </c>
      <c r="H6673" s="8">
        <f>HYPERLINK("https://dart.fss.or.kr/dsaf001/main.do?rcpNo=20260526000464", "공시열람")</f>
        <v/>
      </c>
    </row>
    <row r="6674">
      <c r="A6674" s="2" t="inlineStr">
        <is>
          <t>2026-05-26</t>
        </is>
      </c>
      <c r="B6674" s="3" t="inlineStr">
        <is>
          <t>나노캠텍</t>
        </is>
      </c>
      <c r="C6674" s="2" t="inlineStr">
        <is>
          <t>코스닥</t>
        </is>
      </c>
      <c r="D6674" s="2" t="inlineStr">
        <is>
          <t>091970</t>
        </is>
      </c>
      <c r="E6674" s="3" t="inlineStr">
        <is>
          <t>임원ㆍ주요주주특정증권등소유상황보고서</t>
        </is>
      </c>
      <c r="F6674" s="3" t="inlineStr">
        <is>
          <t>디비인베스트먼트</t>
        </is>
      </c>
      <c r="G6674" s="2" t="inlineStr">
        <is>
          <t>20260526000461</t>
        </is>
      </c>
      <c r="H6674" s="8">
        <f>HYPERLINK("https://dart.fss.or.kr/dsaf001/main.do?rcpNo=20260526000461", "공시열람")</f>
        <v/>
      </c>
    </row>
    <row r="6675">
      <c r="A6675" s="2" t="inlineStr">
        <is>
          <t>2026-05-26</t>
        </is>
      </c>
      <c r="B6675" s="3" t="inlineStr">
        <is>
          <t>휴림에이텍</t>
        </is>
      </c>
      <c r="C6675" s="2" t="inlineStr">
        <is>
          <t>코스닥</t>
        </is>
      </c>
      <c r="D6675" s="2" t="inlineStr">
        <is>
          <t>078590</t>
        </is>
      </c>
      <c r="E6675" s="3" t="inlineStr">
        <is>
          <t>주권매매거래정지해제              (감자 주권 변경상장)</t>
        </is>
      </c>
      <c r="F6675" s="3" t="inlineStr">
        <is>
          <t>코스닥시장본부</t>
        </is>
      </c>
      <c r="G6675" s="2" t="inlineStr">
        <is>
          <t>20260526900643</t>
        </is>
      </c>
      <c r="H6675" s="8">
        <f>HYPERLINK("https://dart.fss.or.kr/dsaf001/main.do?rcpNo=20260526900643", "공시열람")</f>
        <v/>
      </c>
    </row>
    <row r="6676">
      <c r="A6676" s="2" t="inlineStr">
        <is>
          <t>2026-05-26</t>
        </is>
      </c>
      <c r="B6676" s="3" t="inlineStr">
        <is>
          <t>나노캠텍</t>
        </is>
      </c>
      <c r="C6676" s="2" t="inlineStr">
        <is>
          <t>코스닥</t>
        </is>
      </c>
      <c r="D6676" s="2" t="inlineStr">
        <is>
          <t>091970</t>
        </is>
      </c>
      <c r="E6676" s="3" t="inlineStr">
        <is>
          <t>임원ㆍ주요주주특정증권등소유상황보고서</t>
        </is>
      </c>
      <c r="F6676" s="3" t="inlineStr">
        <is>
          <t>이상규</t>
        </is>
      </c>
      <c r="G6676" s="2" t="inlineStr">
        <is>
          <t>20260526000458</t>
        </is>
      </c>
      <c r="H6676" s="8">
        <f>HYPERLINK("https://dart.fss.or.kr/dsaf001/main.do?rcpNo=20260526000458", "공시열람")</f>
        <v/>
      </c>
    </row>
    <row r="6677">
      <c r="A6677" s="2" t="inlineStr">
        <is>
          <t>2026-05-26</t>
        </is>
      </c>
      <c r="B6677" s="3" t="inlineStr">
        <is>
          <t>제이씨케미칼</t>
        </is>
      </c>
      <c r="C6677" s="2" t="inlineStr">
        <is>
          <t>코스닥</t>
        </is>
      </c>
      <c r="D6677" s="2" t="inlineStr">
        <is>
          <t>137950</t>
        </is>
      </c>
      <c r="E6677" s="3" t="inlineStr">
        <is>
          <t xml:space="preserve">기업설명회(IR)개최              </t>
        </is>
      </c>
      <c r="F6677" s="3" t="inlineStr">
        <is>
          <t>제이씨케미칼</t>
        </is>
      </c>
      <c r="G6677" s="2" t="inlineStr">
        <is>
          <t>20260526900693</t>
        </is>
      </c>
      <c r="H6677" s="8">
        <f>HYPERLINK("https://dart.fss.or.kr/dsaf001/main.do?rcpNo=20260526900693", "공시열람")</f>
        <v/>
      </c>
    </row>
    <row r="6678">
      <c r="A6678" s="2" t="inlineStr">
        <is>
          <t>2026-05-26 (정정: 2026-05-27)</t>
        </is>
      </c>
      <c r="B6678" s="3" t="inlineStr">
        <is>
          <t>비나텍</t>
        </is>
      </c>
      <c r="C6678" s="2" t="inlineStr">
        <is>
          <t>코스닥</t>
        </is>
      </c>
      <c r="D6678" s="2" t="inlineStr">
        <is>
          <t>126340</t>
        </is>
      </c>
      <c r="E6678" s="3" t="inlineStr">
        <is>
          <t>임원ㆍ주요주주특정증권등소유상황보고서 (정정: 20260527) (정정: 20260527)</t>
        </is>
      </c>
      <c r="F6678" s="3" t="inlineStr">
        <is>
          <t>김정일</t>
        </is>
      </c>
      <c r="G6678" s="2" t="inlineStr">
        <is>
          <t>20260527000143</t>
        </is>
      </c>
      <c r="H6678" s="8">
        <f>HYPERLINK("https://dart.fss.or.kr/dsaf001/main.do?rcpNo=20260527000143", "공시열람")</f>
        <v/>
      </c>
    </row>
    <row r="6679">
      <c r="A6679" s="2" t="inlineStr">
        <is>
          <t>2026-05-26</t>
        </is>
      </c>
      <c r="B6679" s="3" t="inlineStr">
        <is>
          <t>나노캠텍</t>
        </is>
      </c>
      <c r="C6679" s="2" t="inlineStr">
        <is>
          <t>코스닥</t>
        </is>
      </c>
      <c r="D6679" s="2" t="inlineStr">
        <is>
          <t>091970</t>
        </is>
      </c>
      <c r="E6679" s="3" t="inlineStr">
        <is>
          <t>임원ㆍ주요주주특정증권등소유상황보고서</t>
        </is>
      </c>
      <c r="F6679" s="3" t="inlineStr">
        <is>
          <t>트리니티에쿼티</t>
        </is>
      </c>
      <c r="G6679" s="2" t="inlineStr">
        <is>
          <t>20260526000452</t>
        </is>
      </c>
      <c r="H6679" s="8">
        <f>HYPERLINK("https://dart.fss.or.kr/dsaf001/main.do?rcpNo=20260526000452", "공시열람")</f>
        <v/>
      </c>
    </row>
    <row r="6680">
      <c r="A6680" s="2" t="inlineStr">
        <is>
          <t>2026-05-26</t>
        </is>
      </c>
      <c r="B6680" s="3" t="inlineStr">
        <is>
          <t>진원생명과학</t>
        </is>
      </c>
      <c r="C6680" s="2" t="inlineStr">
        <is>
          <t>코스피</t>
        </is>
      </c>
      <c r="D6680" s="2" t="inlineStr">
        <is>
          <t>011000</t>
        </is>
      </c>
      <c r="E6680" s="3" t="inlineStr">
        <is>
          <t>[기재정정]의결권대리행사권유참고서류</t>
        </is>
      </c>
      <c r="F6680" s="3" t="inlineStr">
        <is>
          <t>진원생명과학</t>
        </is>
      </c>
      <c r="G6680" s="2" t="inlineStr">
        <is>
          <t>20260526000446</t>
        </is>
      </c>
      <c r="H6680" s="8">
        <f>HYPERLINK("https://dart.fss.or.kr/dsaf001/main.do?rcpNo=20260526000446", "공시열람")</f>
        <v/>
      </c>
    </row>
    <row r="6681">
      <c r="A6681" s="2" t="inlineStr">
        <is>
          <t>2026-05-26</t>
        </is>
      </c>
      <c r="B6681" s="3" t="inlineStr">
        <is>
          <t>핑거</t>
        </is>
      </c>
      <c r="C6681" s="2" t="inlineStr">
        <is>
          <t>코스닥</t>
        </is>
      </c>
      <c r="D6681" s="2" t="inlineStr">
        <is>
          <t>163730</t>
        </is>
      </c>
      <c r="E6681" s="3" t="inlineStr">
        <is>
          <t>임원ㆍ주요주주특정증권등소유상황보고서</t>
        </is>
      </c>
      <c r="F6681" s="3" t="inlineStr">
        <is>
          <t>서룡전자</t>
        </is>
      </c>
      <c r="G6681" s="2" t="inlineStr">
        <is>
          <t>20260526000445</t>
        </is>
      </c>
      <c r="H6681" s="8">
        <f>HYPERLINK("https://dart.fss.or.kr/dsaf001/main.do?rcpNo=20260526000445", "공시열람")</f>
        <v/>
      </c>
    </row>
    <row r="6682">
      <c r="A6682" s="2" t="inlineStr">
        <is>
          <t>2026-05-26</t>
        </is>
      </c>
      <c r="B6682" s="3" t="inlineStr">
        <is>
          <t>갤럭시아에스엠</t>
        </is>
      </c>
      <c r="C6682" s="2" t="inlineStr">
        <is>
          <t>코스피</t>
        </is>
      </c>
      <c r="D6682" s="2" t="inlineStr">
        <is>
          <t>011420</t>
        </is>
      </c>
      <c r="E6682" s="3" t="inlineStr">
        <is>
          <t>사외이사의선임ㆍ해임또는중도퇴임에관한신고</t>
        </is>
      </c>
      <c r="F6682" s="3" t="inlineStr">
        <is>
          <t>갤럭시아에스엠</t>
        </is>
      </c>
      <c r="G6682" s="2" t="inlineStr">
        <is>
          <t>20260526000444</t>
        </is>
      </c>
      <c r="H6682" s="8">
        <f>HYPERLINK("https://dart.fss.or.kr/dsaf001/main.do?rcpNo=20260526000444", "공시열람")</f>
        <v/>
      </c>
    </row>
    <row r="6683">
      <c r="A6683" s="2" t="inlineStr">
        <is>
          <t>2026-05-26</t>
        </is>
      </c>
      <c r="B6683" s="3" t="inlineStr">
        <is>
          <t>한국캐피탈</t>
        </is>
      </c>
      <c r="C6683" s="2" t="inlineStr">
        <is>
          <t>코스닥</t>
        </is>
      </c>
      <c r="D6683" s="2" t="inlineStr">
        <is>
          <t>023760</t>
        </is>
      </c>
      <c r="E6683" s="3" t="inlineStr">
        <is>
          <t>일괄신고추가서류</t>
        </is>
      </c>
      <c r="F6683" s="3" t="inlineStr">
        <is>
          <t>한국캐피탈</t>
        </is>
      </c>
      <c r="G6683" s="2" t="inlineStr">
        <is>
          <t>20260526000443</t>
        </is>
      </c>
      <c r="H6683" s="8">
        <f>HYPERLINK("https://dart.fss.or.kr/dsaf001/main.do?rcpNo=20260526000443", "공시열람")</f>
        <v/>
      </c>
    </row>
    <row r="6684">
      <c r="A6684" s="2" t="inlineStr">
        <is>
          <t>2026-05-26</t>
        </is>
      </c>
      <c r="B6684" s="3" t="inlineStr">
        <is>
          <t>에이루트</t>
        </is>
      </c>
      <c r="C6684" s="2" t="inlineStr">
        <is>
          <t>코스닥</t>
        </is>
      </c>
      <c r="D6684" s="2" t="inlineStr">
        <is>
          <t>096690</t>
        </is>
      </c>
      <c r="E6684" s="3" t="inlineStr">
        <is>
          <t>임원ㆍ주요주주특정증권등소유상황보고서</t>
        </is>
      </c>
      <c r="F6684" s="3" t="inlineStr">
        <is>
          <t>서문동군</t>
        </is>
      </c>
      <c r="G6684" s="2" t="inlineStr">
        <is>
          <t>20260526000441</t>
        </is>
      </c>
      <c r="H6684" s="8">
        <f>HYPERLINK("https://dart.fss.or.kr/dsaf001/main.do?rcpNo=20260526000441", "공시열람")</f>
        <v/>
      </c>
    </row>
    <row r="6685">
      <c r="A6685" s="2" t="inlineStr">
        <is>
          <t>2026-05-26</t>
        </is>
      </c>
      <c r="B6685" s="3" t="inlineStr">
        <is>
          <t>미래에셋증권</t>
        </is>
      </c>
      <c r="C6685" s="2" t="inlineStr">
        <is>
          <t>코스피</t>
        </is>
      </c>
      <c r="D6685" s="2" t="inlineStr">
        <is>
          <t>006800</t>
        </is>
      </c>
      <c r="E6685" s="3" t="inlineStr">
        <is>
          <t>투자설명서(일괄신고)</t>
        </is>
      </c>
      <c r="F6685" s="3" t="inlineStr">
        <is>
          <t>미래에셋증권</t>
        </is>
      </c>
      <c r="G6685" s="2" t="inlineStr">
        <is>
          <t>20260526000438</t>
        </is>
      </c>
      <c r="H6685" s="8">
        <f>HYPERLINK("https://dart.fss.or.kr/dsaf001/main.do?rcpNo=20260526000438", "공시열람")</f>
        <v/>
      </c>
    </row>
    <row r="6686">
      <c r="A6686" s="2" t="inlineStr">
        <is>
          <t>2026-05-26</t>
        </is>
      </c>
      <c r="B6686" s="3" t="inlineStr">
        <is>
          <t>티로보틱스</t>
        </is>
      </c>
      <c r="C6686" s="2" t="inlineStr">
        <is>
          <t>코스닥</t>
        </is>
      </c>
      <c r="D6686" s="2" t="inlineStr">
        <is>
          <t>117730</t>
        </is>
      </c>
      <c r="E6686" s="3" t="inlineStr">
        <is>
          <t xml:space="preserve">신주인수권행사가액의조정              </t>
        </is>
      </c>
      <c r="F6686" s="3" t="inlineStr">
        <is>
          <t>티로보틱스</t>
        </is>
      </c>
      <c r="G6686" s="2" t="inlineStr">
        <is>
          <t>20260526900676</t>
        </is>
      </c>
      <c r="H6686" s="8">
        <f>HYPERLINK("https://dart.fss.or.kr/dsaf001/main.do?rcpNo=20260526900676", "공시열람")</f>
        <v/>
      </c>
    </row>
    <row r="6687">
      <c r="A6687" s="2" t="inlineStr">
        <is>
          <t>2026-05-26</t>
        </is>
      </c>
      <c r="B6687" s="3" t="inlineStr">
        <is>
          <t>에이루트</t>
        </is>
      </c>
      <c r="C6687" s="2" t="inlineStr">
        <is>
          <t>코스닥</t>
        </is>
      </c>
      <c r="D6687" s="2" t="inlineStr">
        <is>
          <t>096690</t>
        </is>
      </c>
      <c r="E6687" s="3" t="inlineStr">
        <is>
          <t>임원ㆍ주요주주특정증권등소유상황보고서</t>
        </is>
      </c>
      <c r="F6687" s="3" t="inlineStr">
        <is>
          <t>이대성</t>
        </is>
      </c>
      <c r="G6687" s="2" t="inlineStr">
        <is>
          <t>20260526000435</t>
        </is>
      </c>
      <c r="H6687" s="8">
        <f>HYPERLINK("https://dart.fss.or.kr/dsaf001/main.do?rcpNo=20260526000435", "공시열람")</f>
        <v/>
      </c>
    </row>
    <row r="6688">
      <c r="A6688" s="2" t="inlineStr">
        <is>
          <t>2026-05-26</t>
        </is>
      </c>
      <c r="B6688" s="3" t="inlineStr">
        <is>
          <t>아이윈</t>
        </is>
      </c>
      <c r="C6688" s="2" t="inlineStr">
        <is>
          <t>코스닥</t>
        </is>
      </c>
      <c r="D6688" s="2" t="inlineStr">
        <is>
          <t>090150</t>
        </is>
      </c>
      <c r="E6688" s="3" t="inlineStr">
        <is>
          <t xml:space="preserve">전환사채(해외전환사채포함)발행후만기전사채취득              </t>
        </is>
      </c>
      <c r="F6688" s="3" t="inlineStr">
        <is>
          <t>아이윈</t>
        </is>
      </c>
      <c r="G6688" s="2" t="inlineStr">
        <is>
          <t>20260526900670</t>
        </is>
      </c>
      <c r="H6688" s="8">
        <f>HYPERLINK("https://dart.fss.or.kr/dsaf001/main.do?rcpNo=20260526900670", "공시열람")</f>
        <v/>
      </c>
    </row>
    <row r="6689">
      <c r="A6689" s="2" t="inlineStr">
        <is>
          <t>2026-05-26</t>
        </is>
      </c>
      <c r="B6689" s="3" t="inlineStr">
        <is>
          <t>iM금융지주</t>
        </is>
      </c>
      <c r="C6689" s="2" t="inlineStr">
        <is>
          <t>코스피</t>
        </is>
      </c>
      <c r="D6689" s="2" t="inlineStr">
        <is>
          <t>139130</t>
        </is>
      </c>
      <c r="E6689" s="3" t="inlineStr">
        <is>
          <t xml:space="preserve">기업설명회(IR)개최(안내공시)              </t>
        </is>
      </c>
      <c r="F6689" s="3" t="inlineStr">
        <is>
          <t>iM금융지주</t>
        </is>
      </c>
      <c r="G6689" s="2" t="inlineStr">
        <is>
          <t>20260526800644</t>
        </is>
      </c>
      <c r="H6689" s="8">
        <f>HYPERLINK("https://dart.fss.or.kr/dsaf001/main.do?rcpNo=20260526800644", "공시열람")</f>
        <v/>
      </c>
    </row>
    <row r="6690">
      <c r="A6690" s="2" t="inlineStr">
        <is>
          <t>2026-05-26</t>
        </is>
      </c>
      <c r="B6690" s="3" t="inlineStr">
        <is>
          <t>TJ미디어</t>
        </is>
      </c>
      <c r="C6690" s="2" t="inlineStr">
        <is>
          <t>코스닥</t>
        </is>
      </c>
      <c r="D6690" s="2" t="inlineStr">
        <is>
          <t>032540</t>
        </is>
      </c>
      <c r="E6690" s="3" t="inlineStr">
        <is>
          <t>임원ㆍ주요주주특정증권등소유상황보고서</t>
        </is>
      </c>
      <c r="F6690" s="3" t="inlineStr">
        <is>
          <t>윤나라</t>
        </is>
      </c>
      <c r="G6690" s="2" t="inlineStr">
        <is>
          <t>20260526000433</t>
        </is>
      </c>
      <c r="H6690" s="8">
        <f>HYPERLINK("https://dart.fss.or.kr/dsaf001/main.do?rcpNo=20260526000433", "공시열람")</f>
        <v/>
      </c>
    </row>
    <row r="6691">
      <c r="A6691" s="2" t="inlineStr">
        <is>
          <t>2026-05-26</t>
        </is>
      </c>
      <c r="B6691" s="3" t="inlineStr">
        <is>
          <t>미래에셋증권</t>
        </is>
      </c>
      <c r="C6691" s="2" t="inlineStr">
        <is>
          <t>코스피</t>
        </is>
      </c>
      <c r="D6691" s="2" t="inlineStr">
        <is>
          <t>006800</t>
        </is>
      </c>
      <c r="E6691" s="3" t="inlineStr">
        <is>
          <t>일괄신고추가서류(파생결합증권-상장지수증권)</t>
        </is>
      </c>
      <c r="F6691" s="3" t="inlineStr">
        <is>
          <t>미래에셋증권</t>
        </is>
      </c>
      <c r="G6691" s="2" t="inlineStr">
        <is>
          <t>20260526000430</t>
        </is>
      </c>
      <c r="H6691" s="8">
        <f>HYPERLINK("https://dart.fss.or.kr/dsaf001/main.do?rcpNo=20260526000430", "공시열람")</f>
        <v/>
      </c>
    </row>
    <row r="6692">
      <c r="A6692" s="2" t="inlineStr">
        <is>
          <t>2026-05-26</t>
        </is>
      </c>
      <c r="B6692" s="3" t="inlineStr">
        <is>
          <t>한국유니온제약</t>
        </is>
      </c>
      <c r="C6692" s="2" t="inlineStr">
        <is>
          <t>코스닥</t>
        </is>
      </c>
      <c r="D6692" s="2" t="inlineStr">
        <is>
          <t>080720</t>
        </is>
      </c>
      <c r="E6692" s="3" t="inlineStr">
        <is>
          <t>임원ㆍ주요주주특정증권등소유상황보고서</t>
        </is>
      </c>
      <c r="F6692" s="3" t="inlineStr">
        <is>
          <t>박광석</t>
        </is>
      </c>
      <c r="G6692" s="2" t="inlineStr">
        <is>
          <t>20260526000426</t>
        </is>
      </c>
      <c r="H6692" s="8">
        <f>HYPERLINK("https://dart.fss.or.kr/dsaf001/main.do?rcpNo=20260526000426", "공시열람")</f>
        <v/>
      </c>
    </row>
    <row r="6693">
      <c r="A6693" s="2" t="inlineStr">
        <is>
          <t>2026-05-26</t>
        </is>
      </c>
      <c r="B6693" s="3" t="inlineStr">
        <is>
          <t>조이웍스앤코</t>
        </is>
      </c>
      <c r="C6693" s="2" t="inlineStr">
        <is>
          <t>코스닥</t>
        </is>
      </c>
      <c r="D6693" s="2" t="inlineStr">
        <is>
          <t>309930</t>
        </is>
      </c>
      <c r="E6693" s="3" t="inlineStr">
        <is>
          <t>기타경영사항(자율공시)              (자기사채(제2회 전환사채) 소각 및 말소 결정)</t>
        </is>
      </c>
      <c r="F6693" s="3" t="inlineStr">
        <is>
          <t>조이웍스앤코</t>
        </is>
      </c>
      <c r="G6693" s="2" t="inlineStr">
        <is>
          <t>20260526900620</t>
        </is>
      </c>
      <c r="H6693" s="8">
        <f>HYPERLINK("https://dart.fss.or.kr/dsaf001/main.do?rcpNo=20260526900620", "공시열람")</f>
        <v/>
      </c>
    </row>
    <row r="6694">
      <c r="A6694" s="2" t="inlineStr">
        <is>
          <t>2026-05-26</t>
        </is>
      </c>
      <c r="B6694" s="3" t="inlineStr">
        <is>
          <t>TJ미디어</t>
        </is>
      </c>
      <c r="C6694" s="2" t="inlineStr">
        <is>
          <t>코스닥</t>
        </is>
      </c>
      <c r="D6694" s="2" t="inlineStr">
        <is>
          <t>032540</t>
        </is>
      </c>
      <c r="E6694" s="3" t="inlineStr">
        <is>
          <t>임원ㆍ주요주주특정증권등소유상황보고서</t>
        </is>
      </c>
      <c r="F6694" s="3" t="inlineStr">
        <is>
          <t>윤재환</t>
        </is>
      </c>
      <c r="G6694" s="2" t="inlineStr">
        <is>
          <t>20260526000421</t>
        </is>
      </c>
      <c r="H6694" s="8">
        <f>HYPERLINK("https://dart.fss.or.kr/dsaf001/main.do?rcpNo=20260526000421", "공시열람")</f>
        <v/>
      </c>
    </row>
    <row r="6695">
      <c r="A6695" s="2" t="inlineStr">
        <is>
          <t>2026-05-26</t>
        </is>
      </c>
      <c r="B6695" s="3" t="inlineStr">
        <is>
          <t>더핑크퐁컴퍼니</t>
        </is>
      </c>
      <c r="C6695" s="2" t="inlineStr">
        <is>
          <t>코스닥</t>
        </is>
      </c>
      <c r="D6695" s="2" t="inlineStr">
        <is>
          <t>403850</t>
        </is>
      </c>
      <c r="E6695" s="3" t="inlineStr">
        <is>
          <t>임원ㆍ주요주주특정증권등소유상황보고서</t>
        </is>
      </c>
      <c r="F6695" s="3" t="inlineStr">
        <is>
          <t>김민석</t>
        </is>
      </c>
      <c r="G6695" s="2" t="inlineStr">
        <is>
          <t>20260526000417</t>
        </is>
      </c>
      <c r="H6695" s="8">
        <f>HYPERLINK("https://dart.fss.or.kr/dsaf001/main.do?rcpNo=20260526000417", "공시열람")</f>
        <v/>
      </c>
    </row>
    <row r="6696">
      <c r="A6696" s="2" t="inlineStr">
        <is>
          <t>2026-05-26</t>
        </is>
      </c>
      <c r="B6696" s="3" t="inlineStr">
        <is>
          <t>신영증권</t>
        </is>
      </c>
      <c r="C6696" s="2" t="inlineStr">
        <is>
          <t>코스피</t>
        </is>
      </c>
      <c r="D6696" s="2" t="inlineStr">
        <is>
          <t>001720</t>
        </is>
      </c>
      <c r="E6696" s="3" t="inlineStr">
        <is>
          <t>투자설명서(일괄신고)</t>
        </is>
      </c>
      <c r="F6696" s="3" t="inlineStr">
        <is>
          <t>신영증권</t>
        </is>
      </c>
      <c r="G6696" s="2" t="inlineStr">
        <is>
          <t>20260526000416</t>
        </is>
      </c>
      <c r="H6696" s="8">
        <f>HYPERLINK("https://dart.fss.or.kr/dsaf001/main.do?rcpNo=20260526000416", "공시열람")</f>
        <v/>
      </c>
    </row>
    <row r="6697">
      <c r="A6697" s="2" t="inlineStr">
        <is>
          <t>2026-05-26</t>
        </is>
      </c>
      <c r="B6697" s="3" t="inlineStr">
        <is>
          <t>iM금융지주</t>
        </is>
      </c>
      <c r="C6697" s="2" t="inlineStr">
        <is>
          <t>코스피</t>
        </is>
      </c>
      <c r="D6697" s="2" t="inlineStr">
        <is>
          <t>139130</t>
        </is>
      </c>
      <c r="E6697" s="3" t="inlineStr">
        <is>
          <t xml:space="preserve">기업설명회(IR)개최(안내공시)              </t>
        </is>
      </c>
      <c r="F6697" s="3" t="inlineStr">
        <is>
          <t>iM금융지주</t>
        </is>
      </c>
      <c r="G6697" s="2" t="inlineStr">
        <is>
          <t>20260526800637</t>
        </is>
      </c>
      <c r="H6697" s="8">
        <f>HYPERLINK("https://dart.fss.or.kr/dsaf001/main.do?rcpNo=20260526800637", "공시열람")</f>
        <v/>
      </c>
    </row>
    <row r="6698">
      <c r="A6698" s="2" t="inlineStr">
        <is>
          <t>2026-05-26</t>
        </is>
      </c>
      <c r="B6698" s="3" t="inlineStr">
        <is>
          <t>KB금융</t>
        </is>
      </c>
      <c r="C6698" s="2" t="inlineStr">
        <is>
          <t>코스피</t>
        </is>
      </c>
      <c r="D6698" s="2" t="inlineStr">
        <is>
          <t>105560</t>
        </is>
      </c>
      <c r="E6698" s="3" t="inlineStr">
        <is>
          <t>증권발행실적보고서</t>
        </is>
      </c>
      <c r="F6698" s="3" t="inlineStr">
        <is>
          <t>KB금융</t>
        </is>
      </c>
      <c r="G6698" s="2" t="inlineStr">
        <is>
          <t>20260526000413</t>
        </is>
      </c>
      <c r="H6698" s="8">
        <f>HYPERLINK("https://dart.fss.or.kr/dsaf001/main.do?rcpNo=20260526000413", "공시열람")</f>
        <v/>
      </c>
    </row>
    <row r="6699">
      <c r="A6699" s="2" t="inlineStr">
        <is>
          <t>2026-05-26</t>
        </is>
      </c>
      <c r="B6699" s="3" t="inlineStr">
        <is>
          <t>인티큐브</t>
        </is>
      </c>
      <c r="C6699" s="2" t="inlineStr">
        <is>
          <t>코스닥</t>
        </is>
      </c>
      <c r="D6699" s="2" t="inlineStr">
        <is>
          <t>070590</t>
        </is>
      </c>
      <c r="E6699" s="3" t="inlineStr">
        <is>
          <t>임원ㆍ주요주주특정증권등거래계획보고서</t>
        </is>
      </c>
      <c r="F6699" s="3" t="inlineStr">
        <is>
          <t>플레이컴퍼니</t>
        </is>
      </c>
      <c r="G6699" s="2" t="inlineStr">
        <is>
          <t>20260526000408</t>
        </is>
      </c>
      <c r="H6699" s="8">
        <f>HYPERLINK("https://dart.fss.or.kr/dsaf001/main.do?rcpNo=20260526000408", "공시열람")</f>
        <v/>
      </c>
    </row>
    <row r="6700">
      <c r="A6700" s="2" t="inlineStr">
        <is>
          <t>2026-05-26</t>
        </is>
      </c>
      <c r="B6700" s="3" t="inlineStr">
        <is>
          <t>대산F&amp;B</t>
        </is>
      </c>
      <c r="C6700" s="2" t="inlineStr">
        <is>
          <t>코스닥</t>
        </is>
      </c>
      <c r="D6700" s="2" t="inlineStr">
        <is>
          <t>065150</t>
        </is>
      </c>
      <c r="E6700" s="3" t="inlineStr">
        <is>
          <t>주권매매거래정지기간변경              (액면병합 주권 변경상장)</t>
        </is>
      </c>
      <c r="F6700" s="3" t="inlineStr">
        <is>
          <t>코스닥시장본부</t>
        </is>
      </c>
      <c r="G6700" s="2" t="inlineStr">
        <is>
          <t>20260526900604</t>
        </is>
      </c>
      <c r="H6700" s="8">
        <f>HYPERLINK("https://dart.fss.or.kr/dsaf001/main.do?rcpNo=20260526900604", "공시열람")</f>
        <v/>
      </c>
    </row>
    <row r="6701">
      <c r="A6701" s="2" t="inlineStr">
        <is>
          <t>2026-05-26</t>
        </is>
      </c>
      <c r="B6701" s="3" t="inlineStr">
        <is>
          <t>성호전자</t>
        </is>
      </c>
      <c r="C6701" s="2" t="inlineStr">
        <is>
          <t>코스닥</t>
        </is>
      </c>
      <c r="D6701" s="2" t="inlineStr">
        <is>
          <t>043260</t>
        </is>
      </c>
      <c r="E6701" s="3" t="inlineStr">
        <is>
          <t>임원ㆍ주요주주특정증권등소유상황보고서</t>
        </is>
      </c>
      <c r="F6701" s="3" t="inlineStr">
        <is>
          <t>서룡전자</t>
        </is>
      </c>
      <c r="G6701" s="2" t="inlineStr">
        <is>
          <t>20260526000402</t>
        </is>
      </c>
      <c r="H6701" s="8">
        <f>HYPERLINK("https://dart.fss.or.kr/dsaf001/main.do?rcpNo=20260526000402", "공시열람")</f>
        <v/>
      </c>
    </row>
    <row r="6702">
      <c r="A6702" s="2" t="inlineStr">
        <is>
          <t>2026-05-26</t>
        </is>
      </c>
      <c r="B6702" s="3" t="inlineStr">
        <is>
          <t>HS효성첨단소재</t>
        </is>
      </c>
      <c r="C6702" s="2" t="inlineStr">
        <is>
          <t>코스피</t>
        </is>
      </c>
      <c r="D6702" s="2" t="inlineStr">
        <is>
          <t>298050</t>
        </is>
      </c>
      <c r="E6702" s="3" t="inlineStr">
        <is>
          <t xml:space="preserve">지속가능경영보고서등관련사항(자율공시)              </t>
        </is>
      </c>
      <c r="F6702" s="3" t="inlineStr">
        <is>
          <t>HS효성첨단소재</t>
        </is>
      </c>
      <c r="G6702" s="2" t="inlineStr">
        <is>
          <t>20260526800616</t>
        </is>
      </c>
      <c r="H6702" s="8">
        <f>HYPERLINK("https://dart.fss.or.kr/dsaf001/main.do?rcpNo=20260526800616", "공시열람")</f>
        <v/>
      </c>
    </row>
    <row r="6703">
      <c r="A6703" s="2" t="inlineStr">
        <is>
          <t>2026-05-26</t>
        </is>
      </c>
      <c r="B6703" s="3" t="inlineStr">
        <is>
          <t>조이웍스앤코</t>
        </is>
      </c>
      <c r="C6703" s="2" t="inlineStr">
        <is>
          <t>코스닥</t>
        </is>
      </c>
      <c r="D6703" s="2" t="inlineStr">
        <is>
          <t>309930</t>
        </is>
      </c>
      <c r="E6703" s="3" t="inlineStr">
        <is>
          <t xml:space="preserve">전환사채(해외전환사채포함)발행후만기전사채취득              </t>
        </is>
      </c>
      <c r="F6703" s="3" t="inlineStr">
        <is>
          <t>조이웍스앤코</t>
        </is>
      </c>
      <c r="G6703" s="2" t="inlineStr">
        <is>
          <t>20260526900613</t>
        </is>
      </c>
      <c r="H6703" s="8">
        <f>HYPERLINK("https://dart.fss.or.kr/dsaf001/main.do?rcpNo=20260526900613", "공시열람")</f>
        <v/>
      </c>
    </row>
    <row r="6704">
      <c r="A6704" s="2" t="inlineStr">
        <is>
          <t>2026-05-26</t>
        </is>
      </c>
      <c r="B6704" s="3" t="inlineStr">
        <is>
          <t>아이씨에이치</t>
        </is>
      </c>
      <c r="C6704" s="2" t="inlineStr">
        <is>
          <t>코스닥</t>
        </is>
      </c>
      <c r="D6704" s="2" t="inlineStr">
        <is>
          <t>368600</t>
        </is>
      </c>
      <c r="E6704" s="3" t="inlineStr">
        <is>
          <t>전환청구권행사              (제4회차)</t>
        </is>
      </c>
      <c r="F6704" s="3" t="inlineStr">
        <is>
          <t>아이씨에이치</t>
        </is>
      </c>
      <c r="G6704" s="2" t="inlineStr">
        <is>
          <t>20260526900577</t>
        </is>
      </c>
      <c r="H6704" s="8">
        <f>HYPERLINK("https://dart.fss.or.kr/dsaf001/main.do?rcpNo=20260526900577", "공시열람")</f>
        <v/>
      </c>
    </row>
    <row r="6705">
      <c r="A6705" s="2" t="inlineStr">
        <is>
          <t>2026-05-26</t>
        </is>
      </c>
      <c r="B6705" s="3" t="inlineStr">
        <is>
          <t>엠아이큐브솔루션</t>
        </is>
      </c>
      <c r="C6705" s="2" t="inlineStr">
        <is>
          <t>코스닥</t>
        </is>
      </c>
      <c r="D6705" s="2" t="inlineStr">
        <is>
          <t>373170</t>
        </is>
      </c>
      <c r="E6705" s="3" t="inlineStr">
        <is>
          <t>주식매수선택권부여에관한신고</t>
        </is>
      </c>
      <c r="F6705" s="3" t="inlineStr">
        <is>
          <t>엠아이큐브솔루션</t>
        </is>
      </c>
      <c r="G6705" s="2" t="inlineStr">
        <is>
          <t>20260526000393</t>
        </is>
      </c>
      <c r="H6705" s="8">
        <f>HYPERLINK("https://dart.fss.or.kr/dsaf001/main.do?rcpNo=20260526000393", "공시열람")</f>
        <v/>
      </c>
    </row>
    <row r="6706">
      <c r="A6706" s="2" t="inlineStr">
        <is>
          <t>2026-05-26</t>
        </is>
      </c>
      <c r="B6706" s="3" t="inlineStr">
        <is>
          <t>비나텍</t>
        </is>
      </c>
      <c r="C6706" s="2" t="inlineStr">
        <is>
          <t>코스닥</t>
        </is>
      </c>
      <c r="D6706" s="2" t="inlineStr">
        <is>
          <t>126340</t>
        </is>
      </c>
      <c r="E6706" s="3" t="inlineStr">
        <is>
          <t>임원ㆍ주요주주특정증권등소유상황보고서</t>
        </is>
      </c>
      <c r="F6706" s="3" t="inlineStr">
        <is>
          <t>송경의</t>
        </is>
      </c>
      <c r="G6706" s="2" t="inlineStr">
        <is>
          <t>20260526000391</t>
        </is>
      </c>
      <c r="H6706" s="8">
        <f>HYPERLINK("https://dart.fss.or.kr/dsaf001/main.do?rcpNo=20260526000391", "공시열람")</f>
        <v/>
      </c>
    </row>
    <row r="6707">
      <c r="A6707" s="2" t="inlineStr">
        <is>
          <t>2026-05-26</t>
        </is>
      </c>
      <c r="B6707" s="3" t="inlineStr">
        <is>
          <t>케이피엠테크</t>
        </is>
      </c>
      <c r="C6707" s="2" t="inlineStr">
        <is>
          <t>코스닥</t>
        </is>
      </c>
      <c r="D6707" s="2" t="inlineStr">
        <is>
          <t>042040</t>
        </is>
      </c>
      <c r="E6707" s="3" t="inlineStr">
        <is>
          <t>주권매매거래정지              (주식의 병합, 분할 등 전자등록 변경, 말소)</t>
        </is>
      </c>
      <c r="F6707" s="3" t="inlineStr">
        <is>
          <t>코스닥시장본부</t>
        </is>
      </c>
      <c r="G6707" s="2" t="inlineStr">
        <is>
          <t>20260526900591</t>
        </is>
      </c>
      <c r="H6707" s="8">
        <f>HYPERLINK("https://dart.fss.or.kr/dsaf001/main.do?rcpNo=20260526900591", "공시열람")</f>
        <v/>
      </c>
    </row>
    <row r="6708">
      <c r="A6708" s="2" t="inlineStr">
        <is>
          <t>2026-05-26</t>
        </is>
      </c>
      <c r="B6708" s="3" t="inlineStr">
        <is>
          <t>코퍼스코리아</t>
        </is>
      </c>
      <c r="C6708" s="2" t="inlineStr">
        <is>
          <t>코스닥</t>
        </is>
      </c>
      <c r="D6708" s="2" t="inlineStr">
        <is>
          <t>322780</t>
        </is>
      </c>
      <c r="E6708" s="3" t="inlineStr">
        <is>
          <t>주권매매거래정지해제              (액면병합 주권 변경상장)</t>
        </is>
      </c>
      <c r="F6708" s="3" t="inlineStr">
        <is>
          <t>코스닥시장본부</t>
        </is>
      </c>
      <c r="G6708" s="2" t="inlineStr">
        <is>
          <t>20260526900588</t>
        </is>
      </c>
      <c r="H6708" s="8">
        <f>HYPERLINK("https://dart.fss.or.kr/dsaf001/main.do?rcpNo=20260526900588", "공시열람")</f>
        <v/>
      </c>
    </row>
    <row r="6709">
      <c r="A6709" s="2" t="inlineStr">
        <is>
          <t>2026-05-26</t>
        </is>
      </c>
      <c r="B6709" s="3" t="inlineStr">
        <is>
          <t>SFA반도체</t>
        </is>
      </c>
      <c r="C6709" s="2" t="inlineStr">
        <is>
          <t>코스닥</t>
        </is>
      </c>
      <c r="D6709" s="2" t="inlineStr">
        <is>
          <t>036540</t>
        </is>
      </c>
      <c r="E6709" s="3" t="inlineStr">
        <is>
          <t>임원ㆍ주요주주특정증권등소유상황보고서</t>
        </is>
      </c>
      <c r="F6709" s="3" t="inlineStr">
        <is>
          <t>오성국</t>
        </is>
      </c>
      <c r="G6709" s="2" t="inlineStr">
        <is>
          <t>20260526000389</t>
        </is>
      </c>
      <c r="H6709" s="8">
        <f>HYPERLINK("https://dart.fss.or.kr/dsaf001/main.do?rcpNo=20260526000389", "공시열람")</f>
        <v/>
      </c>
    </row>
    <row r="6710">
      <c r="A6710" s="2" t="inlineStr">
        <is>
          <t>2026-05-26</t>
        </is>
      </c>
      <c r="B6710" s="3" t="inlineStr">
        <is>
          <t>알리코제약</t>
        </is>
      </c>
      <c r="C6710" s="2" t="inlineStr">
        <is>
          <t>코스닥</t>
        </is>
      </c>
      <c r="D6710" s="2" t="inlineStr">
        <is>
          <t>260660</t>
        </is>
      </c>
      <c r="E6710" s="3" t="inlineStr">
        <is>
          <t>임원ㆍ주요주주특정증권등소유상황보고서</t>
        </is>
      </c>
      <c r="F6710" s="3" t="inlineStr">
        <is>
          <t>이지혜</t>
        </is>
      </c>
      <c r="G6710" s="2" t="inlineStr">
        <is>
          <t>20260526000387</t>
        </is>
      </c>
      <c r="H6710" s="8">
        <f>HYPERLINK("https://dart.fss.or.kr/dsaf001/main.do?rcpNo=20260526000387", "공시열람")</f>
        <v/>
      </c>
    </row>
    <row r="6711">
      <c r="A6711" s="2" t="inlineStr">
        <is>
          <t>2026-05-26</t>
        </is>
      </c>
      <c r="B6711" s="3" t="inlineStr">
        <is>
          <t>저스템</t>
        </is>
      </c>
      <c r="C6711" s="2" t="inlineStr">
        <is>
          <t>코스닥</t>
        </is>
      </c>
      <c r="D6711" s="2" t="inlineStr">
        <is>
          <t>417840</t>
        </is>
      </c>
      <c r="E6711" s="3" t="inlineStr">
        <is>
          <t>임원ㆍ주요주주특정증권등소유상황보고서</t>
        </is>
      </c>
      <c r="F6711" s="3" t="inlineStr">
        <is>
          <t>임진수</t>
        </is>
      </c>
      <c r="G6711" s="2" t="inlineStr">
        <is>
          <t>20260526000386</t>
        </is>
      </c>
      <c r="H6711" s="8">
        <f>HYPERLINK("https://dart.fss.or.kr/dsaf001/main.do?rcpNo=20260526000386", "공시열람")</f>
        <v/>
      </c>
    </row>
    <row r="6712">
      <c r="A6712" s="2" t="inlineStr">
        <is>
          <t>2026-05-26</t>
        </is>
      </c>
      <c r="B6712" s="3" t="inlineStr">
        <is>
          <t>나노신소재</t>
        </is>
      </c>
      <c r="C6712" s="2" t="inlineStr">
        <is>
          <t>코스닥</t>
        </is>
      </c>
      <c r="D6712" s="2" t="inlineStr">
        <is>
          <t>121600</t>
        </is>
      </c>
      <c r="E6712" s="3" t="inlineStr">
        <is>
          <t>임원ㆍ주요주주특정증권등소유상황보고서</t>
        </is>
      </c>
      <c r="F6712" s="3" t="inlineStr">
        <is>
          <t>박장우</t>
        </is>
      </c>
      <c r="G6712" s="2" t="inlineStr">
        <is>
          <t>20260526000381</t>
        </is>
      </c>
      <c r="H6712" s="8">
        <f>HYPERLINK("https://dart.fss.or.kr/dsaf001/main.do?rcpNo=20260526000381", "공시열람")</f>
        <v/>
      </c>
    </row>
    <row r="6713">
      <c r="A6713" s="2" t="inlineStr">
        <is>
          <t>2026-05-26</t>
        </is>
      </c>
      <c r="B6713" s="3" t="inlineStr">
        <is>
          <t>메타케어</t>
        </is>
      </c>
      <c r="C6713" s="2" t="inlineStr">
        <is>
          <t>코스피</t>
        </is>
      </c>
      <c r="D6713" s="2" t="inlineStr">
        <is>
          <t>118000</t>
        </is>
      </c>
      <c r="E6713" s="3" t="inlineStr">
        <is>
          <t xml:space="preserve">전환가액ㆍ신주인수권행사가액ㆍ교환가액의조정(안내공시)              </t>
        </is>
      </c>
      <c r="F6713" s="3" t="inlineStr">
        <is>
          <t>메타케어</t>
        </is>
      </c>
      <c r="G6713" s="2" t="inlineStr">
        <is>
          <t>20260526800517</t>
        </is>
      </c>
      <c r="H6713" s="8">
        <f>HYPERLINK("https://dart.fss.or.kr/dsaf001/main.do?rcpNo=20260526800517", "공시열람")</f>
        <v/>
      </c>
    </row>
    <row r="6714">
      <c r="A6714" s="2" t="inlineStr">
        <is>
          <t>2026-05-26</t>
        </is>
      </c>
      <c r="B6714" s="3" t="inlineStr">
        <is>
          <t>동일스틸럭스</t>
        </is>
      </c>
      <c r="C6714" s="2" t="inlineStr">
        <is>
          <t>코스닥</t>
        </is>
      </c>
      <c r="D6714" s="2" t="inlineStr">
        <is>
          <t>023790</t>
        </is>
      </c>
      <c r="E6714" s="3" t="inlineStr">
        <is>
          <t>임원ㆍ주요주주특정증권등소유상황보고서</t>
        </is>
      </c>
      <c r="F6714" s="3" t="inlineStr">
        <is>
          <t>화인인터내셔날</t>
        </is>
      </c>
      <c r="G6714" s="2" t="inlineStr">
        <is>
          <t>20260526000380</t>
        </is>
      </c>
      <c r="H6714" s="8">
        <f>HYPERLINK("https://dart.fss.or.kr/dsaf001/main.do?rcpNo=20260526000380", "공시열람")</f>
        <v/>
      </c>
    </row>
    <row r="6715">
      <c r="A6715" s="2" t="inlineStr">
        <is>
          <t>2026-05-26 (정정: 2026-05-26)</t>
        </is>
      </c>
      <c r="B6715" s="3" t="inlineStr">
        <is>
          <t>동화기업</t>
        </is>
      </c>
      <c r="C6715" s="2" t="inlineStr">
        <is>
          <t>코스닥</t>
        </is>
      </c>
      <c r="D6715" s="2" t="inlineStr">
        <is>
          <t>025900</t>
        </is>
      </c>
      <c r="E6715" s="3" t="inlineStr">
        <is>
          <t>[발행조건확정]증권신고서(채무증권) (정정: 20260526)</t>
        </is>
      </c>
      <c r="F6715" s="3" t="inlineStr">
        <is>
          <t>동화기업</t>
        </is>
      </c>
      <c r="G6715" s="2" t="inlineStr">
        <is>
          <t>20260526000367</t>
        </is>
      </c>
      <c r="H6715" s="8">
        <f>HYPERLINK("https://dart.fss.or.kr/dsaf001/main.do?rcpNo=20260526000367", "공시열람")</f>
        <v/>
      </c>
    </row>
    <row r="6716">
      <c r="A6716" s="2" t="inlineStr">
        <is>
          <t>2026-05-26</t>
        </is>
      </c>
      <c r="B6716" s="3" t="inlineStr">
        <is>
          <t>알리코제약</t>
        </is>
      </c>
      <c r="C6716" s="2" t="inlineStr">
        <is>
          <t>코스닥</t>
        </is>
      </c>
      <c r="D6716" s="2" t="inlineStr">
        <is>
          <t>260660</t>
        </is>
      </c>
      <c r="E6716" s="3" t="inlineStr">
        <is>
          <t>임원ㆍ주요주주특정증권등소유상황보고서</t>
        </is>
      </c>
      <c r="F6716" s="3" t="inlineStr">
        <is>
          <t>이항구</t>
        </is>
      </c>
      <c r="G6716" s="2" t="inlineStr">
        <is>
          <t>20260526000378</t>
        </is>
      </c>
      <c r="H6716" s="8">
        <f>HYPERLINK("https://dart.fss.or.kr/dsaf001/main.do?rcpNo=20260526000378", "공시열람")</f>
        <v/>
      </c>
    </row>
    <row r="6717">
      <c r="A6717" s="2" t="inlineStr">
        <is>
          <t>2026-05-26</t>
        </is>
      </c>
      <c r="B6717" s="3" t="inlineStr">
        <is>
          <t>비나텍</t>
        </is>
      </c>
      <c r="C6717" s="2" t="inlineStr">
        <is>
          <t>코스닥</t>
        </is>
      </c>
      <c r="D6717" s="2" t="inlineStr">
        <is>
          <t>126340</t>
        </is>
      </c>
      <c r="E6717" s="3" t="inlineStr">
        <is>
          <t>임원ㆍ주요주주특정증권등소유상황보고서</t>
        </is>
      </c>
      <c r="F6717" s="3" t="inlineStr">
        <is>
          <t>김경철</t>
        </is>
      </c>
      <c r="G6717" s="2" t="inlineStr">
        <is>
          <t>20260526000373</t>
        </is>
      </c>
      <c r="H6717" s="8">
        <f>HYPERLINK("https://dart.fss.or.kr/dsaf001/main.do?rcpNo=20260526000373", "공시열람")</f>
        <v/>
      </c>
    </row>
    <row r="6718">
      <c r="A6718" s="2" t="inlineStr">
        <is>
          <t>2026-05-26</t>
        </is>
      </c>
      <c r="B6718" s="3" t="inlineStr">
        <is>
          <t>동일스틸럭스</t>
        </is>
      </c>
      <c r="C6718" s="2" t="inlineStr">
        <is>
          <t>코스닥</t>
        </is>
      </c>
      <c r="D6718" s="2" t="inlineStr">
        <is>
          <t>023790</t>
        </is>
      </c>
      <c r="E6718" s="3" t="inlineStr">
        <is>
          <t>임원ㆍ주요주주특정증권등소유상황보고서</t>
        </is>
      </c>
      <c r="F6718" s="3" t="inlineStr">
        <is>
          <t>장재헌</t>
        </is>
      </c>
      <c r="G6718" s="2" t="inlineStr">
        <is>
          <t>20260526000372</t>
        </is>
      </c>
      <c r="H6718" s="8">
        <f>HYPERLINK("https://dart.fss.or.kr/dsaf001/main.do?rcpNo=20260526000372", "공시열람")</f>
        <v/>
      </c>
    </row>
    <row r="6719">
      <c r="A6719" s="2" t="inlineStr">
        <is>
          <t>2026-05-26</t>
        </is>
      </c>
      <c r="B6719" s="3" t="inlineStr">
        <is>
          <t>저스템</t>
        </is>
      </c>
      <c r="C6719" s="2" t="inlineStr">
        <is>
          <t>코스닥</t>
        </is>
      </c>
      <c r="D6719" s="2" t="inlineStr">
        <is>
          <t>417840</t>
        </is>
      </c>
      <c r="E6719" s="3" t="inlineStr">
        <is>
          <t>임원ㆍ주요주주특정증권등소유상황보고서</t>
        </is>
      </c>
      <c r="F6719" s="3" t="inlineStr">
        <is>
          <t>배도인</t>
        </is>
      </c>
      <c r="G6719" s="2" t="inlineStr">
        <is>
          <t>20260526000369</t>
        </is>
      </c>
      <c r="H6719" s="8">
        <f>HYPERLINK("https://dart.fss.or.kr/dsaf001/main.do?rcpNo=20260526000369", "공시열람")</f>
        <v/>
      </c>
    </row>
    <row r="6720">
      <c r="A6720" s="2" t="inlineStr">
        <is>
          <t>2026-05-26</t>
        </is>
      </c>
      <c r="B6720" s="3" t="inlineStr">
        <is>
          <t>동일스틸럭스</t>
        </is>
      </c>
      <c r="C6720" s="2" t="inlineStr">
        <is>
          <t>코스닥</t>
        </is>
      </c>
      <c r="D6720" s="2" t="inlineStr">
        <is>
          <t>023790</t>
        </is>
      </c>
      <c r="E6720" s="3" t="inlineStr">
        <is>
          <t>임원ㆍ주요주주특정증권등소유상황보고서</t>
        </is>
      </c>
      <c r="F6720" s="3" t="inlineStr">
        <is>
          <t>장인화</t>
        </is>
      </c>
      <c r="G6720" s="2" t="inlineStr">
        <is>
          <t>20260526000364</t>
        </is>
      </c>
      <c r="H6720" s="8">
        <f>HYPERLINK("https://dart.fss.or.kr/dsaf001/main.do?rcpNo=20260526000364", "공시열람")</f>
        <v/>
      </c>
    </row>
    <row r="6721">
      <c r="A6721" s="2" t="inlineStr">
        <is>
          <t>2026-05-26</t>
        </is>
      </c>
      <c r="B6721" s="3" t="inlineStr">
        <is>
          <t>BYC</t>
        </is>
      </c>
      <c r="C6721" s="2" t="inlineStr">
        <is>
          <t>코스피</t>
        </is>
      </c>
      <c r="D6721" s="2" t="inlineStr">
        <is>
          <t>001460</t>
        </is>
      </c>
      <c r="E6721" s="3" t="inlineStr">
        <is>
          <t>임원ㆍ주요주주특정증권등소유상황보고서</t>
        </is>
      </c>
      <c r="F6721" s="3" t="inlineStr">
        <is>
          <t>한승홀딩스</t>
        </is>
      </c>
      <c r="G6721" s="2" t="inlineStr">
        <is>
          <t>20260526000363</t>
        </is>
      </c>
      <c r="H6721" s="8">
        <f>HYPERLINK("https://dart.fss.or.kr/dsaf001/main.do?rcpNo=20260526000363", "공시열람")</f>
        <v/>
      </c>
    </row>
    <row r="6722">
      <c r="A6722" s="2" t="inlineStr">
        <is>
          <t>2026-05-26</t>
        </is>
      </c>
      <c r="B6722" s="3" t="inlineStr">
        <is>
          <t>파이온엑스</t>
        </is>
      </c>
      <c r="C6722" s="2" t="inlineStr">
        <is>
          <t>코스닥</t>
        </is>
      </c>
      <c r="D6722" s="2" t="inlineStr">
        <is>
          <t>900100</t>
        </is>
      </c>
      <c r="E6722" s="3" t="inlineStr">
        <is>
          <t>주권매매거래정지              (주식의 병합, 분할 등 전자등록 변경, 말소)</t>
        </is>
      </c>
      <c r="F6722" s="3" t="inlineStr">
        <is>
          <t>코스닥시장본부</t>
        </is>
      </c>
      <c r="G6722" s="2" t="inlineStr">
        <is>
          <t>20260526900529</t>
        </is>
      </c>
      <c r="H6722" s="8">
        <f>HYPERLINK("https://dart.fss.or.kr/dsaf001/main.do?rcpNo=20260526900529", "공시열람")</f>
        <v/>
      </c>
    </row>
    <row r="6723">
      <c r="A6723" s="2" t="inlineStr">
        <is>
          <t>2026-05-26 (정정: 2026-06-01)</t>
        </is>
      </c>
      <c r="B6723" s="3" t="inlineStr">
        <is>
          <t>빛과전자</t>
        </is>
      </c>
      <c r="C6723" s="2" t="inlineStr">
        <is>
          <t>코스닥</t>
        </is>
      </c>
      <c r="D6723" s="2" t="inlineStr">
        <is>
          <t>069540</t>
        </is>
      </c>
      <c r="E6723" s="3" t="inlineStr">
        <is>
          <t>증권발행결과(자율공시)              (제17회차) (정정: 20260601)</t>
        </is>
      </c>
      <c r="F6723" s="3" t="inlineStr">
        <is>
          <t>빛과전자</t>
        </is>
      </c>
      <c r="G6723" s="2" t="inlineStr">
        <is>
          <t>20260601901779</t>
        </is>
      </c>
      <c r="H6723" s="8">
        <f>HYPERLINK("https://dart.fss.or.kr/dsaf001/main.do?rcpNo=20260601901779", "공시열람")</f>
        <v/>
      </c>
    </row>
    <row r="6724">
      <c r="A6724" s="2" t="inlineStr">
        <is>
          <t>2026-05-26</t>
        </is>
      </c>
      <c r="B6724" s="3" t="inlineStr">
        <is>
          <t>에이펙스인텍</t>
        </is>
      </c>
      <c r="C6724" s="2" t="inlineStr">
        <is>
          <t>코넥스</t>
        </is>
      </c>
      <c r="D6724" s="2" t="inlineStr">
        <is>
          <t>207490</t>
        </is>
      </c>
      <c r="E6724" s="3" t="inlineStr">
        <is>
          <t xml:space="preserve">기업설명회(IR)개최결과              </t>
        </is>
      </c>
      <c r="F6724" s="3" t="inlineStr">
        <is>
          <t>에이펙스인텍</t>
        </is>
      </c>
      <c r="G6724" s="2" t="inlineStr">
        <is>
          <t>20260526600536</t>
        </is>
      </c>
      <c r="H6724" s="8">
        <f>HYPERLINK("https://dart.fss.or.kr/dsaf001/main.do?rcpNo=20260526600536", "공시열람")</f>
        <v/>
      </c>
    </row>
    <row r="6725">
      <c r="A6725" s="2" t="inlineStr">
        <is>
          <t>2026-05-26</t>
        </is>
      </c>
      <c r="B6725" s="3" t="inlineStr">
        <is>
          <t>나노캠텍</t>
        </is>
      </c>
      <c r="C6725" s="2" t="inlineStr">
        <is>
          <t>코스닥</t>
        </is>
      </c>
      <c r="D6725" s="2" t="inlineStr">
        <is>
          <t>091970</t>
        </is>
      </c>
      <c r="E6725" s="3" t="inlineStr">
        <is>
          <t>주권매매거래정지해제              (액면병합 주권 변경상장)</t>
        </is>
      </c>
      <c r="F6725" s="3" t="inlineStr">
        <is>
          <t>코스닥시장본부</t>
        </is>
      </c>
      <c r="G6725" s="2" t="inlineStr">
        <is>
          <t>20260526900553</t>
        </is>
      </c>
      <c r="H6725" s="8">
        <f>HYPERLINK("https://dart.fss.or.kr/dsaf001/main.do?rcpNo=20260526900553", "공시열람")</f>
        <v/>
      </c>
    </row>
    <row r="6726">
      <c r="A6726" s="2" t="inlineStr">
        <is>
          <t>2026-05-26</t>
        </is>
      </c>
      <c r="B6726" s="3" t="inlineStr">
        <is>
          <t>신영증권</t>
        </is>
      </c>
      <c r="C6726" s="2" t="inlineStr">
        <is>
          <t>코스피</t>
        </is>
      </c>
      <c r="D6726" s="2" t="inlineStr">
        <is>
          <t>001720</t>
        </is>
      </c>
      <c r="E6726" s="3" t="inlineStr">
        <is>
          <t>증권발행실적보고서</t>
        </is>
      </c>
      <c r="F6726" s="3" t="inlineStr">
        <is>
          <t>신영증권</t>
        </is>
      </c>
      <c r="G6726" s="2" t="inlineStr">
        <is>
          <t>20260526000362</t>
        </is>
      </c>
      <c r="H6726" s="8">
        <f>HYPERLINK("https://dart.fss.or.kr/dsaf001/main.do?rcpNo=20260526000362", "공시열람")</f>
        <v/>
      </c>
    </row>
    <row r="6727">
      <c r="A6727" s="2" t="inlineStr">
        <is>
          <t>2026-05-26</t>
        </is>
      </c>
      <c r="B6727" s="3" t="inlineStr">
        <is>
          <t>저스템</t>
        </is>
      </c>
      <c r="C6727" s="2" t="inlineStr">
        <is>
          <t>코스닥</t>
        </is>
      </c>
      <c r="D6727" s="2" t="inlineStr">
        <is>
          <t>417840</t>
        </is>
      </c>
      <c r="E6727" s="3" t="inlineStr">
        <is>
          <t>임원ㆍ주요주주특정증권등소유상황보고서</t>
        </is>
      </c>
      <c r="F6727" s="3" t="inlineStr">
        <is>
          <t>안호상</t>
        </is>
      </c>
      <c r="G6727" s="2" t="inlineStr">
        <is>
          <t>20260526000361</t>
        </is>
      </c>
      <c r="H6727" s="8">
        <f>HYPERLINK("https://dart.fss.or.kr/dsaf001/main.do?rcpNo=20260526000361", "공시열람")</f>
        <v/>
      </c>
    </row>
    <row r="6728">
      <c r="A6728" s="2" t="inlineStr">
        <is>
          <t>2026-05-26</t>
        </is>
      </c>
      <c r="B6728" s="3" t="inlineStr">
        <is>
          <t>저스템</t>
        </is>
      </c>
      <c r="C6728" s="2" t="inlineStr">
        <is>
          <t>코스닥</t>
        </is>
      </c>
      <c r="D6728" s="2" t="inlineStr">
        <is>
          <t>417840</t>
        </is>
      </c>
      <c r="E6728" s="3" t="inlineStr">
        <is>
          <t>임원ㆍ주요주주특정증권등소유상황보고서</t>
        </is>
      </c>
      <c r="F6728" s="3" t="inlineStr">
        <is>
          <t>김선식</t>
        </is>
      </c>
      <c r="G6728" s="2" t="inlineStr">
        <is>
          <t>20260526000358</t>
        </is>
      </c>
      <c r="H6728" s="8">
        <f>HYPERLINK("https://dart.fss.or.kr/dsaf001/main.do?rcpNo=20260526000358", "공시열람")</f>
        <v/>
      </c>
    </row>
    <row r="6729">
      <c r="A6729" s="2" t="inlineStr">
        <is>
          <t>2026-05-26 (정정: 2026-05-26)</t>
        </is>
      </c>
      <c r="B6729" s="3" t="inlineStr">
        <is>
          <t>신세계</t>
        </is>
      </c>
      <c r="C6729" s="2" t="inlineStr">
        <is>
          <t>코스피</t>
        </is>
      </c>
      <c r="D6729" s="2" t="inlineStr">
        <is>
          <t>004170</t>
        </is>
      </c>
      <c r="E6729" s="3" t="inlineStr">
        <is>
          <t>[발행조건확정]증권신고서(채무증권) (정정: 20260526)</t>
        </is>
      </c>
      <c r="F6729" s="3" t="inlineStr">
        <is>
          <t>신세계</t>
        </is>
      </c>
      <c r="G6729" s="2" t="inlineStr">
        <is>
          <t>20260526000348</t>
        </is>
      </c>
      <c r="H6729" s="8">
        <f>HYPERLINK("https://dart.fss.or.kr/dsaf001/main.do?rcpNo=20260526000348", "공시열람")</f>
        <v/>
      </c>
    </row>
    <row r="6730">
      <c r="A6730" s="2" t="inlineStr">
        <is>
          <t>2026-05-26</t>
        </is>
      </c>
      <c r="B6730" s="3" t="inlineStr">
        <is>
          <t>씨아이테크</t>
        </is>
      </c>
      <c r="C6730" s="2" t="inlineStr">
        <is>
          <t>코스피</t>
        </is>
      </c>
      <c r="D6730" s="2" t="inlineStr">
        <is>
          <t>004920</t>
        </is>
      </c>
      <c r="E6730" s="3" t="inlineStr">
        <is>
          <t>임원ㆍ주요주주특정증권등거래계획보고서</t>
        </is>
      </c>
      <c r="F6730" s="3" t="inlineStr">
        <is>
          <t>이학영</t>
        </is>
      </c>
      <c r="G6730" s="2" t="inlineStr">
        <is>
          <t>20260526000356</t>
        </is>
      </c>
      <c r="H6730" s="8">
        <f>HYPERLINK("https://dart.fss.or.kr/dsaf001/main.do?rcpNo=20260526000356", "공시열람")</f>
        <v/>
      </c>
    </row>
    <row r="6731">
      <c r="A6731" s="2" t="inlineStr">
        <is>
          <t>2026-05-26</t>
        </is>
      </c>
      <c r="B6731" s="3" t="inlineStr">
        <is>
          <t>조이웍스앤코</t>
        </is>
      </c>
      <c r="C6731" s="2" t="inlineStr">
        <is>
          <t>코스닥</t>
        </is>
      </c>
      <c r="D6731" s="2" t="inlineStr">
        <is>
          <t>309930</t>
        </is>
      </c>
      <c r="E6731" s="3" t="inlineStr">
        <is>
          <t>주권매매거래정지해제              (액면병합 주권 변경상장)</t>
        </is>
      </c>
      <c r="F6731" s="3" t="inlineStr">
        <is>
          <t>코스닥시장본부</t>
        </is>
      </c>
      <c r="G6731" s="2" t="inlineStr">
        <is>
          <t>20260526900494</t>
        </is>
      </c>
      <c r="H6731" s="8">
        <f>HYPERLINK("https://dart.fss.or.kr/dsaf001/main.do?rcpNo=20260526900494", "공시열람")</f>
        <v/>
      </c>
    </row>
    <row r="6732">
      <c r="A6732" s="2" t="inlineStr">
        <is>
          <t>2026-05-26</t>
        </is>
      </c>
      <c r="B6732" s="3" t="inlineStr">
        <is>
          <t>유니슨</t>
        </is>
      </c>
      <c r="C6732" s="2" t="inlineStr">
        <is>
          <t>코스닥</t>
        </is>
      </c>
      <c r="D6732" s="2" t="inlineStr">
        <is>
          <t>018000</t>
        </is>
      </c>
      <c r="E6732" s="3" t="inlineStr">
        <is>
          <t>전환가액의조정              (제17회차)</t>
        </is>
      </c>
      <c r="F6732" s="3" t="inlineStr">
        <is>
          <t>유니슨</t>
        </is>
      </c>
      <c r="G6732" s="2" t="inlineStr">
        <is>
          <t>20260526900489</t>
        </is>
      </c>
      <c r="H6732" s="8">
        <f>HYPERLINK("https://dart.fss.or.kr/dsaf001/main.do?rcpNo=20260526900489", "공시열람")</f>
        <v/>
      </c>
    </row>
    <row r="6733">
      <c r="A6733" s="2" t="inlineStr">
        <is>
          <t>2026-05-26</t>
        </is>
      </c>
      <c r="B6733" s="3" t="inlineStr">
        <is>
          <t>오성첨단소재</t>
        </is>
      </c>
      <c r="C6733" s="2" t="inlineStr">
        <is>
          <t>코스닥</t>
        </is>
      </c>
      <c r="D6733" s="2" t="inlineStr">
        <is>
          <t>052420</t>
        </is>
      </c>
      <c r="E6733" s="3" t="inlineStr">
        <is>
          <t>전환가액의조정              (제26회차)</t>
        </is>
      </c>
      <c r="F6733" s="3" t="inlineStr">
        <is>
          <t>오성첨단소재</t>
        </is>
      </c>
      <c r="G6733" s="2" t="inlineStr">
        <is>
          <t>20260526900457</t>
        </is>
      </c>
      <c r="H6733" s="8">
        <f>HYPERLINK("https://dart.fss.or.kr/dsaf001/main.do?rcpNo=20260526900457", "공시열람")</f>
        <v/>
      </c>
    </row>
    <row r="6734">
      <c r="A6734" s="2" t="inlineStr">
        <is>
          <t>2026-05-26</t>
        </is>
      </c>
      <c r="B6734" s="3" t="inlineStr">
        <is>
          <t>호텔신라</t>
        </is>
      </c>
      <c r="C6734" s="2" t="inlineStr">
        <is>
          <t>코스피</t>
        </is>
      </c>
      <c r="D6734" s="2" t="inlineStr">
        <is>
          <t>008770</t>
        </is>
      </c>
      <c r="E6734" s="3" t="inlineStr">
        <is>
          <t xml:space="preserve">기업설명회(IR)개최(안내공시)              </t>
        </is>
      </c>
      <c r="F6734" s="3" t="inlineStr">
        <is>
          <t>호텔신라</t>
        </is>
      </c>
      <c r="G6734" s="2" t="inlineStr">
        <is>
          <t>20260526800513</t>
        </is>
      </c>
      <c r="H6734" s="8">
        <f>HYPERLINK("https://dart.fss.or.kr/dsaf001/main.do?rcpNo=20260526800513", "공시열람")</f>
        <v/>
      </c>
    </row>
    <row r="6735">
      <c r="A6735" s="2" t="inlineStr">
        <is>
          <t>2026-05-26</t>
        </is>
      </c>
      <c r="B6735" s="3" t="inlineStr">
        <is>
          <t>팜스코</t>
        </is>
      </c>
      <c r="C6735" s="2" t="inlineStr">
        <is>
          <t>코스피</t>
        </is>
      </c>
      <c r="D6735" s="2" t="inlineStr">
        <is>
          <t>036580</t>
        </is>
      </c>
      <c r="E6735" s="3" t="inlineStr">
        <is>
          <t xml:space="preserve">단기차입금증가결정              </t>
        </is>
      </c>
      <c r="F6735" s="3" t="inlineStr">
        <is>
          <t>팜스코</t>
        </is>
      </c>
      <c r="G6735" s="2" t="inlineStr">
        <is>
          <t>20260526800512</t>
        </is>
      </c>
      <c r="H6735" s="8">
        <f>HYPERLINK("https://dart.fss.or.kr/dsaf001/main.do?rcpNo=20260526800512", "공시열람")</f>
        <v/>
      </c>
    </row>
    <row r="6736">
      <c r="A6736" s="2" t="inlineStr">
        <is>
          <t>2026-05-26</t>
        </is>
      </c>
      <c r="B6736" s="3" t="inlineStr">
        <is>
          <t>그리티</t>
        </is>
      </c>
      <c r="C6736" s="2" t="inlineStr">
        <is>
          <t>코스닥</t>
        </is>
      </c>
      <c r="D6736" s="2" t="inlineStr">
        <is>
          <t>204020</t>
        </is>
      </c>
      <c r="E6736" s="3" t="inlineStr">
        <is>
          <t>임원ㆍ주요주주특정증권등소유상황보고서</t>
        </is>
      </c>
      <c r="F6736" s="3" t="inlineStr">
        <is>
          <t>문영우</t>
        </is>
      </c>
      <c r="G6736" s="2" t="inlineStr">
        <is>
          <t>20260526000345</t>
        </is>
      </c>
      <c r="H6736" s="8">
        <f>HYPERLINK("https://dart.fss.or.kr/dsaf001/main.do?rcpNo=20260526000345", "공시열람")</f>
        <v/>
      </c>
    </row>
    <row r="6737">
      <c r="A6737" s="2" t="inlineStr">
        <is>
          <t>2026-05-26</t>
        </is>
      </c>
      <c r="B6737" s="3" t="inlineStr">
        <is>
          <t>싸이토젠</t>
        </is>
      </c>
      <c r="C6737" s="2" t="inlineStr">
        <is>
          <t>코스닥</t>
        </is>
      </c>
      <c r="D6737" s="2" t="inlineStr">
        <is>
          <t>217330</t>
        </is>
      </c>
      <c r="E6737" s="3" t="inlineStr">
        <is>
          <t>증권발행결과(자율공시)              (제7회차 CB)</t>
        </is>
      </c>
      <c r="F6737" s="3" t="inlineStr">
        <is>
          <t>싸이토젠</t>
        </is>
      </c>
      <c r="G6737" s="2" t="inlineStr">
        <is>
          <t>20260526900480</t>
        </is>
      </c>
      <c r="H6737" s="8">
        <f>HYPERLINK("https://dart.fss.or.kr/dsaf001/main.do?rcpNo=20260526900480", "공시열람")</f>
        <v/>
      </c>
    </row>
    <row r="6738">
      <c r="A6738" s="2" t="inlineStr">
        <is>
          <t>2026-05-26</t>
        </is>
      </c>
      <c r="B6738" s="3" t="inlineStr">
        <is>
          <t>넥스트아이</t>
        </is>
      </c>
      <c r="C6738" s="2" t="inlineStr">
        <is>
          <t>코스닥</t>
        </is>
      </c>
      <c r="D6738" s="2" t="inlineStr">
        <is>
          <t>137940</t>
        </is>
      </c>
      <c r="E6738" s="3" t="inlineStr">
        <is>
          <t>주권매매거래정지해제              (액면병합 주권 변경상장)</t>
        </is>
      </c>
      <c r="F6738" s="3" t="inlineStr">
        <is>
          <t>코스닥시장본부</t>
        </is>
      </c>
      <c r="G6738" s="2" t="inlineStr">
        <is>
          <t>20260526900472</t>
        </is>
      </c>
      <c r="H6738" s="8">
        <f>HYPERLINK("https://dart.fss.or.kr/dsaf001/main.do?rcpNo=20260526900472", "공시열람")</f>
        <v/>
      </c>
    </row>
    <row r="6739">
      <c r="A6739" s="2" t="inlineStr">
        <is>
          <t>2026-05-26</t>
        </is>
      </c>
      <c r="B6739" s="3" t="inlineStr">
        <is>
          <t>한화투자증권</t>
        </is>
      </c>
      <c r="C6739" s="2" t="inlineStr">
        <is>
          <t>코스피</t>
        </is>
      </c>
      <c r="D6739" s="2" t="inlineStr">
        <is>
          <t>003530</t>
        </is>
      </c>
      <c r="E6739" s="3" t="inlineStr">
        <is>
          <t>투자설명서(일괄신고)</t>
        </is>
      </c>
      <c r="F6739" s="3" t="inlineStr">
        <is>
          <t>한화투자증권</t>
        </is>
      </c>
      <c r="G6739" s="2" t="inlineStr">
        <is>
          <t>20260526000344</t>
        </is>
      </c>
      <c r="H6739" s="8">
        <f>HYPERLINK("https://dart.fss.or.kr/dsaf001/main.do?rcpNo=20260526000344", "공시열람")</f>
        <v/>
      </c>
    </row>
    <row r="6740">
      <c r="A6740" s="2" t="inlineStr">
        <is>
          <t>2026-05-26</t>
        </is>
      </c>
      <c r="B6740" s="3" t="inlineStr">
        <is>
          <t>컨텍</t>
        </is>
      </c>
      <c r="C6740" s="2" t="inlineStr">
        <is>
          <t>코스닥</t>
        </is>
      </c>
      <c r="D6740" s="2" t="inlineStr">
        <is>
          <t>451760</t>
        </is>
      </c>
      <c r="E6740" s="3" t="inlineStr">
        <is>
          <t>전환청구권행사              (제1회차)</t>
        </is>
      </c>
      <c r="F6740" s="3" t="inlineStr">
        <is>
          <t>컨텍</t>
        </is>
      </c>
      <c r="G6740" s="2" t="inlineStr">
        <is>
          <t>20260526900484</t>
        </is>
      </c>
      <c r="H6740" s="8">
        <f>HYPERLINK("https://dart.fss.or.kr/dsaf001/main.do?rcpNo=20260526900484", "공시열람")</f>
        <v/>
      </c>
    </row>
    <row r="6741">
      <c r="A6741" s="2" t="inlineStr">
        <is>
          <t>2026-05-26</t>
        </is>
      </c>
      <c r="B6741" s="3" t="inlineStr">
        <is>
          <t>본느</t>
        </is>
      </c>
      <c r="C6741" s="2" t="inlineStr">
        <is>
          <t>코스닥</t>
        </is>
      </c>
      <c r="D6741" s="2" t="inlineStr">
        <is>
          <t>226340</t>
        </is>
      </c>
      <c r="E6741" s="3" t="inlineStr">
        <is>
          <t>주권매매거래정지해제              (액면병합 주권 변경상장)</t>
        </is>
      </c>
      <c r="F6741" s="3" t="inlineStr">
        <is>
          <t>코스닥시장본부</t>
        </is>
      </c>
      <c r="G6741" s="2" t="inlineStr">
        <is>
          <t>20260526900454</t>
        </is>
      </c>
      <c r="H6741" s="8">
        <f>HYPERLINK("https://dart.fss.or.kr/dsaf001/main.do?rcpNo=20260526900454", "공시열람")</f>
        <v/>
      </c>
    </row>
    <row r="6742">
      <c r="A6742" s="2" t="inlineStr">
        <is>
          <t>2026-05-26</t>
        </is>
      </c>
      <c r="B6742" s="3" t="inlineStr">
        <is>
          <t>판타지오</t>
        </is>
      </c>
      <c r="C6742" s="2" t="inlineStr">
        <is>
          <t>코스닥</t>
        </is>
      </c>
      <c r="D6742" s="2" t="inlineStr">
        <is>
          <t>032800</t>
        </is>
      </c>
      <c r="E6742" s="3" t="inlineStr">
        <is>
          <t>전환사채(해외전환사채포함)발행후만기전사채취득              (제7회차)</t>
        </is>
      </c>
      <c r="F6742" s="3" t="inlineStr">
        <is>
          <t>판타지오</t>
        </is>
      </c>
      <c r="G6742" s="2" t="inlineStr">
        <is>
          <t>20260526900474</t>
        </is>
      </c>
      <c r="H6742" s="8">
        <f>HYPERLINK("https://dart.fss.or.kr/dsaf001/main.do?rcpNo=20260526900474", "공시열람")</f>
        <v/>
      </c>
    </row>
    <row r="6743">
      <c r="A6743" s="2" t="inlineStr">
        <is>
          <t>2026-05-26</t>
        </is>
      </c>
      <c r="B6743" s="3" t="inlineStr">
        <is>
          <t>크리스탈신소재</t>
        </is>
      </c>
      <c r="C6743" s="2" t="inlineStr">
        <is>
          <t>코스닥</t>
        </is>
      </c>
      <c r="D6743" s="2" t="inlineStr">
        <is>
          <t>900250</t>
        </is>
      </c>
      <c r="E6743" s="3" t="inlineStr">
        <is>
          <t>주권매매거래정지              (주식의 병합, 분할 등 전자등록 변경, 말소)</t>
        </is>
      </c>
      <c r="F6743" s="3" t="inlineStr">
        <is>
          <t>코스닥시장본부</t>
        </is>
      </c>
      <c r="G6743" s="2" t="inlineStr">
        <is>
          <t>20260526900450</t>
        </is>
      </c>
      <c r="H6743" s="8">
        <f>HYPERLINK("https://dart.fss.or.kr/dsaf001/main.do?rcpNo=20260526900450", "공시열람")</f>
        <v/>
      </c>
    </row>
    <row r="6744">
      <c r="A6744" s="2" t="inlineStr">
        <is>
          <t>2026-05-26</t>
        </is>
      </c>
      <c r="B6744" s="3" t="inlineStr">
        <is>
          <t>에이직랜드</t>
        </is>
      </c>
      <c r="C6744" s="2" t="inlineStr">
        <is>
          <t>코스닥</t>
        </is>
      </c>
      <c r="D6744" s="2" t="inlineStr">
        <is>
          <t>445090</t>
        </is>
      </c>
      <c r="E6744" s="3" t="inlineStr">
        <is>
          <t xml:space="preserve">기업설명회(IR)개최              </t>
        </is>
      </c>
      <c r="F6744" s="3" t="inlineStr">
        <is>
          <t>에이직랜드</t>
        </is>
      </c>
      <c r="G6744" s="2" t="inlineStr">
        <is>
          <t>20260526900444</t>
        </is>
      </c>
      <c r="H6744" s="8">
        <f>HYPERLINK("https://dart.fss.or.kr/dsaf001/main.do?rcpNo=20260526900444", "공시열람")</f>
        <v/>
      </c>
    </row>
    <row r="6745">
      <c r="A6745" s="2" t="inlineStr">
        <is>
          <t>2026-05-26 (정정: 2026-05-28)</t>
        </is>
      </c>
      <c r="B6745" s="3" t="inlineStr">
        <is>
          <t>엠젠솔루션</t>
        </is>
      </c>
      <c r="C6745" s="2" t="inlineStr">
        <is>
          <t>코스닥</t>
        </is>
      </c>
      <c r="D6745" s="2" t="inlineStr">
        <is>
          <t>032790</t>
        </is>
      </c>
      <c r="E6745" s="3" t="inlineStr">
        <is>
          <t>주권매매거래정지해제              (액면병합 주권 변경상장) (정정: 20260528)</t>
        </is>
      </c>
      <c r="F6745" s="3" t="inlineStr">
        <is>
          <t>코스닥시장본부</t>
        </is>
      </c>
      <c r="G6745" s="2" t="inlineStr">
        <is>
          <t>20260528000748</t>
        </is>
      </c>
      <c r="H6745" s="8">
        <f>HYPERLINK("https://dart.fss.or.kr/dsaf001/main.do?rcpNo=20260528000748", "공시열람")</f>
        <v/>
      </c>
    </row>
    <row r="6746">
      <c r="A6746" s="2" t="inlineStr">
        <is>
          <t>2026-05-26</t>
        </is>
      </c>
      <c r="B6746" s="3" t="inlineStr">
        <is>
          <t>사토시홀딩스</t>
        </is>
      </c>
      <c r="C6746" s="2" t="inlineStr">
        <is>
          <t>코스닥</t>
        </is>
      </c>
      <c r="D6746" s="2" t="inlineStr">
        <is>
          <t>223310</t>
        </is>
      </c>
      <c r="E6746" s="3" t="inlineStr">
        <is>
          <t>전환가액의조정              (제9회차)</t>
        </is>
      </c>
      <c r="F6746" s="3" t="inlineStr">
        <is>
          <t>사토시홀딩스</t>
        </is>
      </c>
      <c r="G6746" s="2" t="inlineStr">
        <is>
          <t>20260526900438</t>
        </is>
      </c>
      <c r="H6746" s="8">
        <f>HYPERLINK("https://dart.fss.or.kr/dsaf001/main.do?rcpNo=20260526900438", "공시열람")</f>
        <v/>
      </c>
    </row>
    <row r="6747">
      <c r="A6747" s="2" t="inlineStr">
        <is>
          <t>2026-05-26 (정정: 2026-06-01)</t>
        </is>
      </c>
      <c r="B6747" s="3" t="inlineStr">
        <is>
          <t>S-Oil</t>
        </is>
      </c>
      <c r="C6747" s="2" t="inlineStr">
        <is>
          <t>코스피</t>
        </is>
      </c>
      <c r="D6747" s="2" t="inlineStr">
        <is>
          <t>010950</t>
        </is>
      </c>
      <c r="E6747" s="3" t="inlineStr">
        <is>
          <t>대규모기업집단현황공시[연1회공시및1/4분기용(대표회사)] (정정: 20260601)</t>
        </is>
      </c>
      <c r="F6747" s="3" t="inlineStr">
        <is>
          <t>S-Oil</t>
        </is>
      </c>
      <c r="G6747" s="2" t="inlineStr">
        <is>
          <t>20260601001835</t>
        </is>
      </c>
      <c r="H6747" s="8">
        <f>HYPERLINK("https://dart.fss.or.kr/dsaf001/main.do?rcpNo=20260601001835", "공시열람")</f>
        <v/>
      </c>
    </row>
    <row r="6748">
      <c r="A6748" s="2" t="inlineStr">
        <is>
          <t>2026-05-26</t>
        </is>
      </c>
      <c r="B6748" s="3" t="inlineStr">
        <is>
          <t>미래아이앤지</t>
        </is>
      </c>
      <c r="C6748" s="2" t="inlineStr">
        <is>
          <t>코스피</t>
        </is>
      </c>
      <c r="D6748" s="2" t="inlineStr">
        <is>
          <t>007120</t>
        </is>
      </c>
      <c r="E6748" s="3" t="inlineStr">
        <is>
          <t>사외이사의선임ㆍ해임또는중도퇴임에관한신고</t>
        </is>
      </c>
      <c r="F6748" s="3" t="inlineStr">
        <is>
          <t>미래아이앤지</t>
        </is>
      </c>
      <c r="G6748" s="2" t="inlineStr">
        <is>
          <t>20260526000338</t>
        </is>
      </c>
      <c r="H6748" s="8">
        <f>HYPERLINK("https://dart.fss.or.kr/dsaf001/main.do?rcpNo=20260526000338", "공시열람")</f>
        <v/>
      </c>
    </row>
    <row r="6749">
      <c r="A6749" s="2" t="inlineStr">
        <is>
          <t>2026-05-26</t>
        </is>
      </c>
      <c r="B6749" s="3" t="inlineStr">
        <is>
          <t>제주은행</t>
        </is>
      </c>
      <c r="C6749" s="2" t="inlineStr">
        <is>
          <t>코스피</t>
        </is>
      </c>
      <c r="D6749" s="2" t="inlineStr">
        <is>
          <t>006220</t>
        </is>
      </c>
      <c r="E6749" s="3" t="inlineStr">
        <is>
          <t>증권발행실적보고서</t>
        </is>
      </c>
      <c r="F6749" s="3" t="inlineStr">
        <is>
          <t>제주은행</t>
        </is>
      </c>
      <c r="G6749" s="2" t="inlineStr">
        <is>
          <t>20260526000335</t>
        </is>
      </c>
      <c r="H6749" s="8">
        <f>HYPERLINK("https://dart.fss.or.kr/dsaf001/main.do?rcpNo=20260526000335", "공시열람")</f>
        <v/>
      </c>
    </row>
    <row r="6750">
      <c r="A6750" s="2" t="inlineStr">
        <is>
          <t>2026-05-26</t>
        </is>
      </c>
      <c r="B6750" s="3" t="inlineStr">
        <is>
          <t>S-Oil</t>
        </is>
      </c>
      <c r="C6750" s="2" t="inlineStr">
        <is>
          <t>코스피</t>
        </is>
      </c>
      <c r="D6750" s="2" t="inlineStr">
        <is>
          <t>010950</t>
        </is>
      </c>
      <c r="E6750" s="3" t="inlineStr">
        <is>
          <t>대규모기업집단현황공시[연1회(동일인용)]</t>
        </is>
      </c>
      <c r="F6750" s="3" t="inlineStr">
        <is>
          <t>S-Oil</t>
        </is>
      </c>
      <c r="G6750" s="2" t="inlineStr">
        <is>
          <t>20260526000334</t>
        </is>
      </c>
      <c r="H6750" s="8">
        <f>HYPERLINK("https://dart.fss.or.kr/dsaf001/main.do?rcpNo=20260526000334", "공시열람")</f>
        <v/>
      </c>
    </row>
    <row r="6751">
      <c r="A6751" s="2" t="inlineStr">
        <is>
          <t>2026-05-26 (정정: 2026-06-02)</t>
        </is>
      </c>
      <c r="B6751" s="3" t="inlineStr">
        <is>
          <t>엑스플러스</t>
        </is>
      </c>
      <c r="C6751" s="2" t="inlineStr">
        <is>
          <t>코스닥</t>
        </is>
      </c>
      <c r="D6751" s="2" t="inlineStr">
        <is>
          <t>373200</t>
        </is>
      </c>
      <c r="E6751" s="3" t="inlineStr">
        <is>
          <t>전환가액의조정              (제5회차) (정정: 20260602)</t>
        </is>
      </c>
      <c r="F6751" s="3" t="inlineStr">
        <is>
          <t>엑스플러스</t>
        </is>
      </c>
      <c r="G6751" s="2" t="inlineStr">
        <is>
          <t>20260602000319</t>
        </is>
      </c>
      <c r="H6751" s="8">
        <f>HYPERLINK("https://dart.fss.or.kr/dsaf001/main.do?rcpNo=20260602000319", "공시열람")</f>
        <v/>
      </c>
    </row>
    <row r="6752">
      <c r="A6752" s="2" t="inlineStr">
        <is>
          <t>2026-05-26</t>
        </is>
      </c>
      <c r="B6752" s="3" t="inlineStr">
        <is>
          <t>신영증권</t>
        </is>
      </c>
      <c r="C6752" s="2" t="inlineStr">
        <is>
          <t>코스피</t>
        </is>
      </c>
      <c r="D6752" s="2" t="inlineStr">
        <is>
          <t>001720</t>
        </is>
      </c>
      <c r="E6752" s="3" t="inlineStr">
        <is>
          <t>증권발행실적보고서</t>
        </is>
      </c>
      <c r="F6752" s="3" t="inlineStr">
        <is>
          <t>신영증권</t>
        </is>
      </c>
      <c r="G6752" s="2" t="inlineStr">
        <is>
          <t>20260526000329</t>
        </is>
      </c>
      <c r="H6752" s="8">
        <f>HYPERLINK("https://dart.fss.or.kr/dsaf001/main.do?rcpNo=20260526000329", "공시열람")</f>
        <v/>
      </c>
    </row>
    <row r="6753">
      <c r="A6753" s="2" t="inlineStr">
        <is>
          <t>2026-05-26</t>
        </is>
      </c>
      <c r="B6753" s="3" t="inlineStr">
        <is>
          <t>시그네틱스</t>
        </is>
      </c>
      <c r="C6753" s="2" t="inlineStr">
        <is>
          <t>코스닥</t>
        </is>
      </c>
      <c r="D6753" s="2" t="inlineStr">
        <is>
          <t>033170</t>
        </is>
      </c>
      <c r="E6753" s="3" t="inlineStr">
        <is>
          <t xml:space="preserve">주주명부폐쇄기간또는기준일설정              </t>
        </is>
      </c>
      <c r="F6753" s="3" t="inlineStr">
        <is>
          <t>시그네틱스</t>
        </is>
      </c>
      <c r="G6753" s="2" t="inlineStr">
        <is>
          <t>20260526900470</t>
        </is>
      </c>
      <c r="H6753" s="8">
        <f>HYPERLINK("https://dart.fss.or.kr/dsaf001/main.do?rcpNo=20260526900470", "공시열람")</f>
        <v/>
      </c>
    </row>
    <row r="6754">
      <c r="A6754" s="2" t="inlineStr">
        <is>
          <t>2026-05-26</t>
        </is>
      </c>
      <c r="B6754" s="3" t="inlineStr">
        <is>
          <t>미래에셋증권</t>
        </is>
      </c>
      <c r="C6754" s="2" t="inlineStr">
        <is>
          <t>코스피</t>
        </is>
      </c>
      <c r="D6754" s="2" t="inlineStr">
        <is>
          <t>006800</t>
        </is>
      </c>
      <c r="E6754" s="3" t="inlineStr">
        <is>
          <t xml:space="preserve">기업설명회(IR)개최(안내공시)              </t>
        </is>
      </c>
      <c r="F6754" s="3" t="inlineStr">
        <is>
          <t>미래에셋증권</t>
        </is>
      </c>
      <c r="G6754" s="2" t="inlineStr">
        <is>
          <t>20260526800467</t>
        </is>
      </c>
      <c r="H6754" s="8">
        <f>HYPERLINK("https://dart.fss.or.kr/dsaf001/main.do?rcpNo=20260526800467", "공시열람")</f>
        <v/>
      </c>
    </row>
    <row r="6755">
      <c r="A6755" s="2" t="inlineStr">
        <is>
          <t>2026-05-26</t>
        </is>
      </c>
      <c r="B6755" s="3" t="inlineStr">
        <is>
          <t>삼성E&amp;A</t>
        </is>
      </c>
      <c r="C6755" s="2" t="inlineStr">
        <is>
          <t>코스피</t>
        </is>
      </c>
      <c r="D6755" s="2" t="inlineStr">
        <is>
          <t>028050</t>
        </is>
      </c>
      <c r="E6755" s="3" t="inlineStr">
        <is>
          <t xml:space="preserve">기업설명회(IR)개최(안내공시)              </t>
        </is>
      </c>
      <c r="F6755" s="3" t="inlineStr">
        <is>
          <t>삼성E&amp;A</t>
        </is>
      </c>
      <c r="G6755" s="2" t="inlineStr">
        <is>
          <t>20260526800453</t>
        </is>
      </c>
      <c r="H6755" s="8">
        <f>HYPERLINK("https://dart.fss.or.kr/dsaf001/main.do?rcpNo=20260526800453", "공시열람")</f>
        <v/>
      </c>
    </row>
    <row r="6756">
      <c r="A6756" s="2" t="inlineStr">
        <is>
          <t>2026-05-26</t>
        </is>
      </c>
      <c r="B6756" s="3" t="inlineStr">
        <is>
          <t>대신증권</t>
        </is>
      </c>
      <c r="C6756" s="2" t="inlineStr">
        <is>
          <t>코스피</t>
        </is>
      </c>
      <c r="D6756" s="2" t="inlineStr">
        <is>
          <t>003540</t>
        </is>
      </c>
      <c r="E6756" s="3" t="inlineStr">
        <is>
          <t>투자설명서(일괄신고)</t>
        </is>
      </c>
      <c r="F6756" s="3" t="inlineStr">
        <is>
          <t>대신증권</t>
        </is>
      </c>
      <c r="G6756" s="2" t="inlineStr">
        <is>
          <t>20260526000318</t>
        </is>
      </c>
      <c r="H6756" s="8">
        <f>HYPERLINK("https://dart.fss.or.kr/dsaf001/main.do?rcpNo=20260526000318", "공시열람")</f>
        <v/>
      </c>
    </row>
    <row r="6757">
      <c r="A6757" s="2" t="inlineStr">
        <is>
          <t>2026-05-26</t>
        </is>
      </c>
      <c r="B6757" s="3" t="inlineStr">
        <is>
          <t>펄어비스</t>
        </is>
      </c>
      <c r="C6757" s="2" t="inlineStr">
        <is>
          <t>코스닥</t>
        </is>
      </c>
      <c r="D6757" s="2" t="inlineStr">
        <is>
          <t>263750</t>
        </is>
      </c>
      <c r="E6757" s="3" t="inlineStr">
        <is>
          <t xml:space="preserve">기업설명회(IR)개최              </t>
        </is>
      </c>
      <c r="F6757" s="3" t="inlineStr">
        <is>
          <t>펄어비스</t>
        </is>
      </c>
      <c r="G6757" s="2" t="inlineStr">
        <is>
          <t>20260526900452</t>
        </is>
      </c>
      <c r="H6757" s="8">
        <f>HYPERLINK("https://dart.fss.or.kr/dsaf001/main.do?rcpNo=20260526900452", "공시열람")</f>
        <v/>
      </c>
    </row>
    <row r="6758">
      <c r="A6758" s="2" t="inlineStr">
        <is>
          <t>2026-05-26</t>
        </is>
      </c>
      <c r="B6758" s="3" t="inlineStr">
        <is>
          <t>한화투자증권</t>
        </is>
      </c>
      <c r="C6758" s="2" t="inlineStr">
        <is>
          <t>코스피</t>
        </is>
      </c>
      <c r="D6758" s="2" t="inlineStr">
        <is>
          <t>003530</t>
        </is>
      </c>
      <c r="E6758" s="3" t="inlineStr">
        <is>
          <t>일괄신고추가서류(파생결합사채-주가연계파생결합사채)</t>
        </is>
      </c>
      <c r="F6758" s="3" t="inlineStr">
        <is>
          <t>한화투자증권</t>
        </is>
      </c>
      <c r="G6758" s="2" t="inlineStr">
        <is>
          <t>20260526000316</t>
        </is>
      </c>
      <c r="H6758" s="8">
        <f>HYPERLINK("https://dart.fss.or.kr/dsaf001/main.do?rcpNo=20260526000316", "공시열람")</f>
        <v/>
      </c>
    </row>
    <row r="6759">
      <c r="A6759" s="2" t="inlineStr">
        <is>
          <t>2026-05-26</t>
        </is>
      </c>
      <c r="B6759" s="3" t="inlineStr">
        <is>
          <t>시그네틱스</t>
        </is>
      </c>
      <c r="C6759" s="2" t="inlineStr">
        <is>
          <t>코스닥</t>
        </is>
      </c>
      <c r="D6759" s="2" t="inlineStr">
        <is>
          <t>033170</t>
        </is>
      </c>
      <c r="E6759" s="3" t="inlineStr">
        <is>
          <t xml:space="preserve">주식병합결정              </t>
        </is>
      </c>
      <c r="F6759" s="3" t="inlineStr">
        <is>
          <t>시그네틱스</t>
        </is>
      </c>
      <c r="G6759" s="2" t="inlineStr">
        <is>
          <t>20260526900441</t>
        </is>
      </c>
      <c r="H6759" s="8">
        <f>HYPERLINK("https://dart.fss.or.kr/dsaf001/main.do?rcpNo=20260526900441", "공시열람")</f>
        <v/>
      </c>
    </row>
    <row r="6760">
      <c r="A6760" s="2" t="inlineStr">
        <is>
          <t>2026-05-26 (정정: 2026-05-29)</t>
        </is>
      </c>
      <c r="B6760" s="3" t="inlineStr">
        <is>
          <t>파버나인</t>
        </is>
      </c>
      <c r="C6760" s="2" t="inlineStr">
        <is>
          <t>코스닥</t>
        </is>
      </c>
      <c r="D6760" s="2" t="inlineStr">
        <is>
          <t>177830</t>
        </is>
      </c>
      <c r="E6760" s="3" t="inlineStr">
        <is>
          <t>신탁계약에의한취득상황보고서 (정정: 20260529)</t>
        </is>
      </c>
      <c r="F6760" s="3" t="inlineStr">
        <is>
          <t>파버나인</t>
        </is>
      </c>
      <c r="G6760" s="2" t="inlineStr">
        <is>
          <t>20260529901215</t>
        </is>
      </c>
      <c r="H6760" s="8">
        <f>HYPERLINK("https://dart.fss.or.kr/dsaf001/main.do?rcpNo=20260529901215", "공시열람")</f>
        <v/>
      </c>
    </row>
    <row r="6761">
      <c r="A6761" s="2" t="inlineStr">
        <is>
          <t>2026-05-26</t>
        </is>
      </c>
      <c r="B6761" s="3" t="inlineStr">
        <is>
          <t>대신증권</t>
        </is>
      </c>
      <c r="C6761" s="2" t="inlineStr">
        <is>
          <t>코스피</t>
        </is>
      </c>
      <c r="D6761" s="2" t="inlineStr">
        <is>
          <t>003540</t>
        </is>
      </c>
      <c r="E6761" s="3" t="inlineStr">
        <is>
          <t>일괄신고추가서류(파생결합사채-주가연계파생결합사채)</t>
        </is>
      </c>
      <c r="F6761" s="3" t="inlineStr">
        <is>
          <t>대신증권</t>
        </is>
      </c>
      <c r="G6761" s="2" t="inlineStr">
        <is>
          <t>20260526000312</t>
        </is>
      </c>
      <c r="H6761" s="8">
        <f>HYPERLINK("https://dart.fss.or.kr/dsaf001/main.do?rcpNo=20260526000312", "공시열람")</f>
        <v/>
      </c>
    </row>
    <row r="6762">
      <c r="A6762" s="2" t="inlineStr">
        <is>
          <t>2026-05-26</t>
        </is>
      </c>
      <c r="B6762" s="3" t="inlineStr">
        <is>
          <t>아이씨에이치</t>
        </is>
      </c>
      <c r="C6762" s="2" t="inlineStr">
        <is>
          <t>코스닥</t>
        </is>
      </c>
      <c r="D6762" s="2" t="inlineStr">
        <is>
          <t>368600</t>
        </is>
      </c>
      <c r="E6762" s="3" t="inlineStr">
        <is>
          <t>임원ㆍ주요주주특정증권등소유상황보고서</t>
        </is>
      </c>
      <c r="F6762" s="3" t="inlineStr">
        <is>
          <t>이일로</t>
        </is>
      </c>
      <c r="G6762" s="2" t="inlineStr">
        <is>
          <t>20260526000311</t>
        </is>
      </c>
      <c r="H6762" s="8">
        <f>HYPERLINK("https://dart.fss.or.kr/dsaf001/main.do?rcpNo=20260526000311", "공시열람")</f>
        <v/>
      </c>
    </row>
    <row r="6763">
      <c r="A6763" s="2" t="inlineStr">
        <is>
          <t>2026-05-26</t>
        </is>
      </c>
      <c r="B6763" s="3" t="inlineStr">
        <is>
          <t>넥스트바이오메디컬</t>
        </is>
      </c>
      <c r="C6763" s="2" t="inlineStr">
        <is>
          <t>코스닥</t>
        </is>
      </c>
      <c r="D6763" s="2" t="inlineStr">
        <is>
          <t>389650</t>
        </is>
      </c>
      <c r="E6763" s="3" t="inlineStr">
        <is>
          <t>임원ㆍ주요주주특정증권등소유상황보고서</t>
        </is>
      </c>
      <c r="F6763" s="3" t="inlineStr">
        <is>
          <t>한명식</t>
        </is>
      </c>
      <c r="G6763" s="2" t="inlineStr">
        <is>
          <t>20260526000310</t>
        </is>
      </c>
      <c r="H6763" s="8">
        <f>HYPERLINK("https://dart.fss.or.kr/dsaf001/main.do?rcpNo=20260526000310", "공시열람")</f>
        <v/>
      </c>
    </row>
    <row r="6764">
      <c r="A6764" s="2" t="inlineStr">
        <is>
          <t>2026-05-26</t>
        </is>
      </c>
      <c r="B6764" s="3" t="inlineStr">
        <is>
          <t>대한뉴팜</t>
        </is>
      </c>
      <c r="C6764" s="2" t="inlineStr">
        <is>
          <t>코스닥</t>
        </is>
      </c>
      <c r="D6764" s="2" t="inlineStr">
        <is>
          <t>054670</t>
        </is>
      </c>
      <c r="E6764" s="3" t="inlineStr">
        <is>
          <t>임원ㆍ주요주주특정증권등소유상황보고서</t>
        </is>
      </c>
      <c r="F6764" s="3" t="inlineStr">
        <is>
          <t>이원석</t>
        </is>
      </c>
      <c r="G6764" s="2" t="inlineStr">
        <is>
          <t>20260526000306</t>
        </is>
      </c>
      <c r="H6764" s="8">
        <f>HYPERLINK("https://dart.fss.or.kr/dsaf001/main.do?rcpNo=20260526000306", "공시열람")</f>
        <v/>
      </c>
    </row>
    <row r="6765">
      <c r="A6765" s="2" t="inlineStr">
        <is>
          <t>2026-05-26</t>
        </is>
      </c>
      <c r="B6765" s="3" t="inlineStr">
        <is>
          <t>현대차증권</t>
        </is>
      </c>
      <c r="C6765" s="2" t="inlineStr">
        <is>
          <t>코스피</t>
        </is>
      </c>
      <c r="D6765" s="2" t="inlineStr">
        <is>
          <t>001500</t>
        </is>
      </c>
      <c r="E6765" s="3" t="inlineStr">
        <is>
          <t>투자설명서(일괄신고)</t>
        </is>
      </c>
      <c r="F6765" s="3" t="inlineStr">
        <is>
          <t>현대차증권</t>
        </is>
      </c>
      <c r="G6765" s="2" t="inlineStr">
        <is>
          <t>20260526000305</t>
        </is>
      </c>
      <c r="H6765" s="8">
        <f>HYPERLINK("https://dart.fss.or.kr/dsaf001/main.do?rcpNo=20260526000305", "공시열람")</f>
        <v/>
      </c>
    </row>
    <row r="6766">
      <c r="A6766" s="2" t="inlineStr">
        <is>
          <t>2026-05-26</t>
        </is>
      </c>
      <c r="B6766" s="3" t="inlineStr">
        <is>
          <t>신영증권</t>
        </is>
      </c>
      <c r="C6766" s="2" t="inlineStr">
        <is>
          <t>코스피</t>
        </is>
      </c>
      <c r="D6766" s="2" t="inlineStr">
        <is>
          <t>001720</t>
        </is>
      </c>
      <c r="E6766" s="3" t="inlineStr">
        <is>
          <t>증권발행실적보고서</t>
        </is>
      </c>
      <c r="F6766" s="3" t="inlineStr">
        <is>
          <t>신영증권</t>
        </is>
      </c>
      <c r="G6766" s="2" t="inlineStr">
        <is>
          <t>20260526000304</t>
        </is>
      </c>
      <c r="H6766" s="8">
        <f>HYPERLINK("https://dart.fss.or.kr/dsaf001/main.do?rcpNo=20260526000304", "공시열람")</f>
        <v/>
      </c>
    </row>
    <row r="6767">
      <c r="A6767" s="2" t="inlineStr">
        <is>
          <t>2026-05-26</t>
        </is>
      </c>
      <c r="B6767" s="3" t="inlineStr">
        <is>
          <t>네오위즈</t>
        </is>
      </c>
      <c r="C6767" s="2" t="inlineStr">
        <is>
          <t>코스닥</t>
        </is>
      </c>
      <c r="D6767" s="2" t="inlineStr">
        <is>
          <t>095660</t>
        </is>
      </c>
      <c r="E6767" s="3" t="inlineStr">
        <is>
          <t xml:space="preserve">기업설명회(IR)개최              </t>
        </is>
      </c>
      <c r="F6767" s="3" t="inlineStr">
        <is>
          <t>네오위즈</t>
        </is>
      </c>
      <c r="G6767" s="2" t="inlineStr">
        <is>
          <t>20260526900419</t>
        </is>
      </c>
      <c r="H6767" s="8">
        <f>HYPERLINK("https://dart.fss.or.kr/dsaf001/main.do?rcpNo=20260526900419", "공시열람")</f>
        <v/>
      </c>
    </row>
    <row r="6768">
      <c r="A6768" s="2" t="inlineStr">
        <is>
          <t>2026-05-26</t>
        </is>
      </c>
      <c r="B6768" s="3" t="inlineStr">
        <is>
          <t>미래에셋비전스팩4호</t>
        </is>
      </c>
      <c r="C6768" s="2" t="inlineStr">
        <is>
          <t>코스닥</t>
        </is>
      </c>
      <c r="D6768" s="2" t="inlineStr">
        <is>
          <t>477380</t>
        </is>
      </c>
      <c r="E6768" s="3" t="inlineStr">
        <is>
          <t xml:space="preserve">기업인수목적회사의예치ㆍ신탁계약내용변경              </t>
        </is>
      </c>
      <c r="F6768" s="3" t="inlineStr">
        <is>
          <t>미래에셋비전스팩4호</t>
        </is>
      </c>
      <c r="G6768" s="2" t="inlineStr">
        <is>
          <t>20260526900406</t>
        </is>
      </c>
      <c r="H6768" s="8">
        <f>HYPERLINK("https://dart.fss.or.kr/dsaf001/main.do?rcpNo=20260526900406", "공시열람")</f>
        <v/>
      </c>
    </row>
    <row r="6769">
      <c r="A6769" s="2" t="inlineStr">
        <is>
          <t>2026-05-26</t>
        </is>
      </c>
      <c r="B6769" s="3" t="inlineStr">
        <is>
          <t>비큐AI</t>
        </is>
      </c>
      <c r="C6769" s="2" t="inlineStr">
        <is>
          <t>코스닥</t>
        </is>
      </c>
      <c r="D6769" s="2" t="inlineStr">
        <is>
          <t>148780</t>
        </is>
      </c>
      <c r="E6769" s="3" t="inlineStr">
        <is>
          <t>임원ㆍ주요주주특정증권등소유상황보고서</t>
        </is>
      </c>
      <c r="F6769" s="3" t="inlineStr">
        <is>
          <t>임경환</t>
        </is>
      </c>
      <c r="G6769" s="2" t="inlineStr">
        <is>
          <t>20260526000298</t>
        </is>
      </c>
      <c r="H6769" s="8">
        <f>HYPERLINK("https://dart.fss.or.kr/dsaf001/main.do?rcpNo=20260526000298", "공시열람")</f>
        <v/>
      </c>
    </row>
    <row r="6770">
      <c r="A6770" s="2" t="inlineStr">
        <is>
          <t>2026-05-26</t>
        </is>
      </c>
      <c r="B6770" s="3" t="inlineStr">
        <is>
          <t>에스아이리소스</t>
        </is>
      </c>
      <c r="C6770" s="2" t="inlineStr">
        <is>
          <t>코스닥</t>
        </is>
      </c>
      <c r="D6770" s="2" t="inlineStr">
        <is>
          <t>065420</t>
        </is>
      </c>
      <c r="E6770" s="3" t="inlineStr">
        <is>
          <t xml:space="preserve">소송등의판결ㆍ결정              </t>
        </is>
      </c>
      <c r="F6770" s="3" t="inlineStr">
        <is>
          <t>에스아이리소스</t>
        </is>
      </c>
      <c r="G6770" s="2" t="inlineStr">
        <is>
          <t>20260526900412</t>
        </is>
      </c>
      <c r="H6770" s="8">
        <f>HYPERLINK("https://dart.fss.or.kr/dsaf001/main.do?rcpNo=20260526900412", "공시열람")</f>
        <v/>
      </c>
    </row>
    <row r="6771">
      <c r="A6771" s="2" t="inlineStr">
        <is>
          <t>2026-05-26</t>
        </is>
      </c>
      <c r="B6771" s="3" t="inlineStr">
        <is>
          <t>현대차증권</t>
        </is>
      </c>
      <c r="C6771" s="2" t="inlineStr">
        <is>
          <t>코스피</t>
        </is>
      </c>
      <c r="D6771" s="2" t="inlineStr">
        <is>
          <t>001500</t>
        </is>
      </c>
      <c r="E6771" s="3" t="inlineStr">
        <is>
          <t>일괄신고추가서류(파생결합사채-주가연계파생결합사채)</t>
        </is>
      </c>
      <c r="F6771" s="3" t="inlineStr">
        <is>
          <t>현대차증권</t>
        </is>
      </c>
      <c r="G6771" s="2" t="inlineStr">
        <is>
          <t>20260526000293</t>
        </is>
      </c>
      <c r="H6771" s="8">
        <f>HYPERLINK("https://dart.fss.or.kr/dsaf001/main.do?rcpNo=20260526000293", "공시열람")</f>
        <v/>
      </c>
    </row>
    <row r="6772">
      <c r="A6772" s="2" t="inlineStr">
        <is>
          <t>2026-05-26</t>
        </is>
      </c>
      <c r="B6772" s="3" t="inlineStr">
        <is>
          <t>포인트엔지니어링</t>
        </is>
      </c>
      <c r="C6772" s="2" t="inlineStr">
        <is>
          <t>코스닥</t>
        </is>
      </c>
      <c r="D6772" s="2" t="inlineStr">
        <is>
          <t>256630</t>
        </is>
      </c>
      <c r="E6772" s="3" t="inlineStr">
        <is>
          <t>임원ㆍ주요주주특정증권등소유상황보고서</t>
        </is>
      </c>
      <c r="F6772" s="3" t="inlineStr">
        <is>
          <t>안범모</t>
        </is>
      </c>
      <c r="G6772" s="2" t="inlineStr">
        <is>
          <t>20260526000289</t>
        </is>
      </c>
      <c r="H6772" s="8">
        <f>HYPERLINK("https://dart.fss.or.kr/dsaf001/main.do?rcpNo=20260526000289", "공시열람")</f>
        <v/>
      </c>
    </row>
    <row r="6773">
      <c r="A6773" s="2" t="inlineStr">
        <is>
          <t>2026-05-26</t>
        </is>
      </c>
      <c r="B6773" s="3" t="inlineStr">
        <is>
          <t>한라캐스트</t>
        </is>
      </c>
      <c r="C6773" s="2" t="inlineStr">
        <is>
          <t>코스닥</t>
        </is>
      </c>
      <c r="D6773" s="2" t="inlineStr">
        <is>
          <t>125490</t>
        </is>
      </c>
      <c r="E6773" s="3" t="inlineStr">
        <is>
          <t xml:space="preserve">기업설명회(IR)개최              </t>
        </is>
      </c>
      <c r="F6773" s="3" t="inlineStr">
        <is>
          <t>한라캐스트</t>
        </is>
      </c>
      <c r="G6773" s="2" t="inlineStr">
        <is>
          <t>20260526900394</t>
        </is>
      </c>
      <c r="H6773" s="8">
        <f>HYPERLINK("https://dart.fss.or.kr/dsaf001/main.do?rcpNo=20260526900394", "공시열람")</f>
        <v/>
      </c>
    </row>
    <row r="6774">
      <c r="A6774" s="2" t="inlineStr">
        <is>
          <t>2026-05-26 (정정: 2026-05-27)</t>
        </is>
      </c>
      <c r="B6774" s="3" t="inlineStr">
        <is>
          <t>미래산업</t>
        </is>
      </c>
      <c r="C6774" s="2" t="inlineStr">
        <is>
          <t>코스피</t>
        </is>
      </c>
      <c r="D6774" s="2" t="inlineStr">
        <is>
          <t>025560</t>
        </is>
      </c>
      <c r="E6774" s="3" t="inlineStr">
        <is>
          <t>임원ㆍ주요주주특정증권등소유상황보고서 (정정: 20260527)</t>
        </is>
      </c>
      <c r="F6774" s="3" t="inlineStr">
        <is>
          <t>김경태</t>
        </is>
      </c>
      <c r="G6774" s="2" t="inlineStr">
        <is>
          <t>20260527000130</t>
        </is>
      </c>
      <c r="H6774" s="8">
        <f>HYPERLINK("https://dart.fss.or.kr/dsaf001/main.do?rcpNo=20260527000130", "공시열람")</f>
        <v/>
      </c>
    </row>
    <row r="6775">
      <c r="A6775" s="2" t="inlineStr">
        <is>
          <t>2026-05-26</t>
        </is>
      </c>
      <c r="B6775" s="3" t="inlineStr">
        <is>
          <t>신영증권</t>
        </is>
      </c>
      <c r="C6775" s="2" t="inlineStr">
        <is>
          <t>코스피</t>
        </is>
      </c>
      <c r="D6775" s="2" t="inlineStr">
        <is>
          <t>001720</t>
        </is>
      </c>
      <c r="E6775" s="3" t="inlineStr">
        <is>
          <t>증권발행실적보고서</t>
        </is>
      </c>
      <c r="F6775" s="3" t="inlineStr">
        <is>
          <t>신영증권</t>
        </is>
      </c>
      <c r="G6775" s="2" t="inlineStr">
        <is>
          <t>20260526000283</t>
        </is>
      </c>
      <c r="H6775" s="8">
        <f>HYPERLINK("https://dart.fss.or.kr/dsaf001/main.do?rcpNo=20260526000283", "공시열람")</f>
        <v/>
      </c>
    </row>
    <row r="6776">
      <c r="A6776" s="2" t="inlineStr">
        <is>
          <t>2026-05-26</t>
        </is>
      </c>
      <c r="B6776" s="3" t="inlineStr">
        <is>
          <t>엑스페릭스</t>
        </is>
      </c>
      <c r="C6776" s="2" t="inlineStr">
        <is>
          <t>코스닥</t>
        </is>
      </c>
      <c r="D6776" s="2" t="inlineStr">
        <is>
          <t>317770</t>
        </is>
      </c>
      <c r="E6776" s="3" t="inlineStr">
        <is>
          <t>전환가액의조정              (제4회차)</t>
        </is>
      </c>
      <c r="F6776" s="3" t="inlineStr">
        <is>
          <t>엑스페릭스</t>
        </is>
      </c>
      <c r="G6776" s="2" t="inlineStr">
        <is>
          <t>20260526900356</t>
        </is>
      </c>
      <c r="H6776" s="8">
        <f>HYPERLINK("https://dart.fss.or.kr/dsaf001/main.do?rcpNo=20260526900356", "공시열람")</f>
        <v/>
      </c>
    </row>
    <row r="6777">
      <c r="A6777" s="2" t="inlineStr">
        <is>
          <t>2026-05-26</t>
        </is>
      </c>
      <c r="B6777" s="3" t="inlineStr">
        <is>
          <t>KC그린홀딩스</t>
        </is>
      </c>
      <c r="C6777" s="2" t="inlineStr">
        <is>
          <t>코스피</t>
        </is>
      </c>
      <c r="D6777" s="2" t="inlineStr">
        <is>
          <t>009440</t>
        </is>
      </c>
      <c r="E6777" s="3" t="inlineStr">
        <is>
          <t xml:space="preserve">기타경영사항(자율공시)              </t>
        </is>
      </c>
      <c r="F6777" s="3" t="inlineStr">
        <is>
          <t>KC그린홀딩스</t>
        </is>
      </c>
      <c r="G6777" s="2" t="inlineStr">
        <is>
          <t>20260526800363</t>
        </is>
      </c>
      <c r="H6777" s="8">
        <f>HYPERLINK("https://dart.fss.or.kr/dsaf001/main.do?rcpNo=20260526800363", "공시열람")</f>
        <v/>
      </c>
    </row>
    <row r="6778">
      <c r="A6778" s="2" t="inlineStr">
        <is>
          <t>2026-05-26 (정정: 2026-05-27)</t>
        </is>
      </c>
      <c r="B6778" s="3" t="inlineStr">
        <is>
          <t>신영증권</t>
        </is>
      </c>
      <c r="C6778" s="2" t="inlineStr">
        <is>
          <t>코스피</t>
        </is>
      </c>
      <c r="D6778" s="2" t="inlineStr">
        <is>
          <t>001720</t>
        </is>
      </c>
      <c r="E6778" s="3" t="inlineStr">
        <is>
          <t>증권발행실적보고서 (정정: 20260527)</t>
        </is>
      </c>
      <c r="F6778" s="3" t="inlineStr">
        <is>
          <t>신영증권</t>
        </is>
      </c>
      <c r="G6778" s="2" t="inlineStr">
        <is>
          <t>20260527801094</t>
        </is>
      </c>
      <c r="H6778" s="8">
        <f>HYPERLINK("https://dart.fss.or.kr/dsaf001/main.do?rcpNo=20260527801094", "공시열람")</f>
        <v/>
      </c>
    </row>
    <row r="6779">
      <c r="A6779" s="2" t="inlineStr">
        <is>
          <t>2026-05-26</t>
        </is>
      </c>
      <c r="B6779" s="3" t="inlineStr">
        <is>
          <t>일월지엠엘</t>
        </is>
      </c>
      <c r="C6779" s="2" t="inlineStr">
        <is>
          <t>코스닥</t>
        </is>
      </c>
      <c r="D6779" s="2" t="inlineStr">
        <is>
          <t>178780</t>
        </is>
      </c>
      <c r="E6779" s="3" t="inlineStr">
        <is>
          <t>임원ㆍ주요주주특정증권등소유상황보고서</t>
        </is>
      </c>
      <c r="F6779" s="3" t="inlineStr">
        <is>
          <t>이광모</t>
        </is>
      </c>
      <c r="G6779" s="2" t="inlineStr">
        <is>
          <t>20260526000274</t>
        </is>
      </c>
      <c r="H6779" s="8">
        <f>HYPERLINK("https://dart.fss.or.kr/dsaf001/main.do?rcpNo=20260526000274", "공시열람")</f>
        <v/>
      </c>
    </row>
    <row r="6780">
      <c r="A6780" s="2" t="inlineStr">
        <is>
          <t>2026-05-26</t>
        </is>
      </c>
      <c r="B6780" s="3" t="inlineStr">
        <is>
          <t>NH투자증권</t>
        </is>
      </c>
      <c r="C6780" s="2" t="inlineStr">
        <is>
          <t>코스피</t>
        </is>
      </c>
      <c r="D6780" s="2" t="inlineStr">
        <is>
          <t>005940</t>
        </is>
      </c>
      <c r="E6780" s="3" t="inlineStr">
        <is>
          <t>투자설명서(일괄신고)</t>
        </is>
      </c>
      <c r="F6780" s="3" t="inlineStr">
        <is>
          <t>NH투자증권</t>
        </is>
      </c>
      <c r="G6780" s="2" t="inlineStr">
        <is>
          <t>20260526000272</t>
        </is>
      </c>
      <c r="H6780" s="8">
        <f>HYPERLINK("https://dart.fss.or.kr/dsaf001/main.do?rcpNo=20260526000272", "공시열람")</f>
        <v/>
      </c>
    </row>
    <row r="6781">
      <c r="A6781" s="2" t="inlineStr">
        <is>
          <t>2026-05-26</t>
        </is>
      </c>
      <c r="B6781" s="3" t="inlineStr">
        <is>
          <t>케이피항공산업</t>
        </is>
      </c>
      <c r="C6781" s="2" t="inlineStr">
        <is>
          <t>코스닥</t>
        </is>
      </c>
      <c r="D6781" s="2" t="inlineStr">
        <is>
          <t>288180</t>
        </is>
      </c>
      <c r="E6781" s="3" t="inlineStr">
        <is>
          <t>임원ㆍ주요주주특정증권등소유상황보고서</t>
        </is>
      </c>
      <c r="F6781" s="3" t="inlineStr">
        <is>
          <t>박지훈</t>
        </is>
      </c>
      <c r="G6781" s="2" t="inlineStr">
        <is>
          <t>20260526000271</t>
        </is>
      </c>
      <c r="H6781" s="8">
        <f>HYPERLINK("https://dart.fss.or.kr/dsaf001/main.do?rcpNo=20260526000271", "공시열람")</f>
        <v/>
      </c>
    </row>
    <row r="6782">
      <c r="A6782" s="2" t="inlineStr">
        <is>
          <t>2026-05-26</t>
        </is>
      </c>
      <c r="B6782" s="3" t="inlineStr">
        <is>
          <t>케이피항공산업</t>
        </is>
      </c>
      <c r="C6782" s="2" t="inlineStr">
        <is>
          <t>코스닥</t>
        </is>
      </c>
      <c r="D6782" s="2" t="inlineStr">
        <is>
          <t>288180</t>
        </is>
      </c>
      <c r="E6782" s="3" t="inlineStr">
        <is>
          <t>임원ㆍ주요주주특정증권등소유상황보고서</t>
        </is>
      </c>
      <c r="F6782" s="3" t="inlineStr">
        <is>
          <t>김기환</t>
        </is>
      </c>
      <c r="G6782" s="2" t="inlineStr">
        <is>
          <t>20260526000269</t>
        </is>
      </c>
      <c r="H6782" s="8">
        <f>HYPERLINK("https://dart.fss.or.kr/dsaf001/main.do?rcpNo=20260526000269", "공시열람")</f>
        <v/>
      </c>
    </row>
    <row r="6783">
      <c r="A6783" s="2" t="inlineStr">
        <is>
          <t>2026-05-26</t>
        </is>
      </c>
      <c r="B6783" s="3" t="inlineStr">
        <is>
          <t>대신증권</t>
        </is>
      </c>
      <c r="C6783" s="2" t="inlineStr">
        <is>
          <t>코스피</t>
        </is>
      </c>
      <c r="D6783" s="2" t="inlineStr">
        <is>
          <t>003540</t>
        </is>
      </c>
      <c r="E6783" s="3" t="inlineStr">
        <is>
          <t>투자설명서(일괄신고)</t>
        </is>
      </c>
      <c r="F6783" s="3" t="inlineStr">
        <is>
          <t>대신증권</t>
        </is>
      </c>
      <c r="G6783" s="2" t="inlineStr">
        <is>
          <t>20260526000268</t>
        </is>
      </c>
      <c r="H6783" s="8">
        <f>HYPERLINK("https://dart.fss.or.kr/dsaf001/main.do?rcpNo=20260526000268", "공시열람")</f>
        <v/>
      </c>
    </row>
    <row r="6784">
      <c r="A6784" s="2" t="inlineStr">
        <is>
          <t>2026-05-26</t>
        </is>
      </c>
      <c r="B6784" s="3" t="inlineStr">
        <is>
          <t>케이피항공산업</t>
        </is>
      </c>
      <c r="C6784" s="2" t="inlineStr">
        <is>
          <t>코스닥</t>
        </is>
      </c>
      <c r="D6784" s="2" t="inlineStr">
        <is>
          <t>288180</t>
        </is>
      </c>
      <c r="E6784" s="3" t="inlineStr">
        <is>
          <t>임원ㆍ주요주주특정증권등소유상황보고서</t>
        </is>
      </c>
      <c r="F6784" s="3" t="inlineStr">
        <is>
          <t>박종환</t>
        </is>
      </c>
      <c r="G6784" s="2" t="inlineStr">
        <is>
          <t>20260526000263</t>
        </is>
      </c>
      <c r="H6784" s="8">
        <f>HYPERLINK("https://dart.fss.or.kr/dsaf001/main.do?rcpNo=20260526000263", "공시열람")</f>
        <v/>
      </c>
    </row>
    <row r="6785">
      <c r="A6785" s="2" t="inlineStr">
        <is>
          <t>2026-05-26</t>
        </is>
      </c>
      <c r="B6785" s="3" t="inlineStr">
        <is>
          <t>알체라</t>
        </is>
      </c>
      <c r="C6785" s="2" t="inlineStr">
        <is>
          <t>코스닥</t>
        </is>
      </c>
      <c r="D6785" s="2" t="inlineStr">
        <is>
          <t>347860</t>
        </is>
      </c>
      <c r="E6785" s="3" t="inlineStr">
        <is>
          <t>소송등의판결ㆍ결정(일정금액이상의청구)              (약정금 청구 소송)</t>
        </is>
      </c>
      <c r="F6785" s="3" t="inlineStr">
        <is>
          <t>알체라</t>
        </is>
      </c>
      <c r="G6785" s="2" t="inlineStr">
        <is>
          <t>20260526900343</t>
        </is>
      </c>
      <c r="H6785" s="8">
        <f>HYPERLINK("https://dart.fss.or.kr/dsaf001/main.do?rcpNo=20260526900343", "공시열람")</f>
        <v/>
      </c>
    </row>
    <row r="6786">
      <c r="A6786" s="2" t="inlineStr">
        <is>
          <t>2026-05-26</t>
        </is>
      </c>
      <c r="B6786" s="3" t="inlineStr">
        <is>
          <t>케이피항공산업</t>
        </is>
      </c>
      <c r="C6786" s="2" t="inlineStr">
        <is>
          <t>코스닥</t>
        </is>
      </c>
      <c r="D6786" s="2" t="inlineStr">
        <is>
          <t>288180</t>
        </is>
      </c>
      <c r="E6786" s="3" t="inlineStr">
        <is>
          <t>임원ㆍ주요주주특정증권등소유상황보고서</t>
        </is>
      </c>
      <c r="F6786" s="3" t="inlineStr">
        <is>
          <t>유운용</t>
        </is>
      </c>
      <c r="G6786" s="2" t="inlineStr">
        <is>
          <t>20260526000257</t>
        </is>
      </c>
      <c r="H6786" s="8">
        <f>HYPERLINK("https://dart.fss.or.kr/dsaf001/main.do?rcpNo=20260526000257", "공시열람")</f>
        <v/>
      </c>
    </row>
    <row r="6787">
      <c r="A6787" s="2" t="inlineStr">
        <is>
          <t>2026-05-26</t>
        </is>
      </c>
      <c r="B6787" s="3" t="inlineStr">
        <is>
          <t>케이피항공산업</t>
        </is>
      </c>
      <c r="C6787" s="2" t="inlineStr">
        <is>
          <t>코스닥</t>
        </is>
      </c>
      <c r="D6787" s="2" t="inlineStr">
        <is>
          <t>288180</t>
        </is>
      </c>
      <c r="E6787" s="3" t="inlineStr">
        <is>
          <t>임원ㆍ주요주주특정증권등소유상황보고서</t>
        </is>
      </c>
      <c r="F6787" s="3" t="inlineStr">
        <is>
          <t>이재춘</t>
        </is>
      </c>
      <c r="G6787" s="2" t="inlineStr">
        <is>
          <t>20260526000248</t>
        </is>
      </c>
      <c r="H6787" s="8">
        <f>HYPERLINK("https://dart.fss.or.kr/dsaf001/main.do?rcpNo=20260526000248", "공시열람")</f>
        <v/>
      </c>
    </row>
    <row r="6788">
      <c r="A6788" s="2" t="inlineStr">
        <is>
          <t>2026-05-26</t>
        </is>
      </c>
      <c r="B6788" s="3" t="inlineStr">
        <is>
          <t>현대해상</t>
        </is>
      </c>
      <c r="C6788" s="2" t="inlineStr">
        <is>
          <t>코스피</t>
        </is>
      </c>
      <c r="D6788" s="2" t="inlineStr">
        <is>
          <t>001450</t>
        </is>
      </c>
      <c r="E6788" s="3" t="inlineStr">
        <is>
          <t>특수관계인과의수익증권거래</t>
        </is>
      </c>
      <c r="F6788" s="3" t="inlineStr">
        <is>
          <t>현대해상</t>
        </is>
      </c>
      <c r="G6788" s="2" t="inlineStr">
        <is>
          <t>20260526000246</t>
        </is>
      </c>
      <c r="H6788" s="8">
        <f>HYPERLINK("https://dart.fss.or.kr/dsaf001/main.do?rcpNo=20260526000246", "공시열람")</f>
        <v/>
      </c>
    </row>
    <row r="6789">
      <c r="A6789" s="2" t="inlineStr">
        <is>
          <t>2026-05-26</t>
        </is>
      </c>
      <c r="B6789" s="3" t="inlineStr">
        <is>
          <t>삼성전자</t>
        </is>
      </c>
      <c r="C6789" s="2" t="inlineStr">
        <is>
          <t>코스피</t>
        </is>
      </c>
      <c r="D6789" s="2" t="inlineStr">
        <is>
          <t>005930</t>
        </is>
      </c>
      <c r="E6789" s="3" t="inlineStr">
        <is>
          <t>[기재정정]임원ㆍ주요주주특정증권등소유상황보고서</t>
        </is>
      </c>
      <c r="F6789" s="3" t="inlineStr">
        <is>
          <t>조미선</t>
        </is>
      </c>
      <c r="G6789" s="2" t="inlineStr">
        <is>
          <t>20260526000244</t>
        </is>
      </c>
      <c r="H6789" s="8">
        <f>HYPERLINK("https://dart.fss.or.kr/dsaf001/main.do?rcpNo=20260526000244", "공시열람")</f>
        <v/>
      </c>
    </row>
    <row r="6790">
      <c r="A6790" s="2" t="inlineStr">
        <is>
          <t>2026-05-26</t>
        </is>
      </c>
      <c r="B6790" s="3" t="inlineStr">
        <is>
          <t>구영테크</t>
        </is>
      </c>
      <c r="C6790" s="2" t="inlineStr">
        <is>
          <t>코스닥</t>
        </is>
      </c>
      <c r="D6790" s="2" t="inlineStr">
        <is>
          <t>053270</t>
        </is>
      </c>
      <c r="E6790" s="3" t="inlineStr">
        <is>
          <t xml:space="preserve">전환사채(해외전환사채포함)발행후만기전사채취득              </t>
        </is>
      </c>
      <c r="F6790" s="3" t="inlineStr">
        <is>
          <t>구영테크</t>
        </is>
      </c>
      <c r="G6790" s="2" t="inlineStr">
        <is>
          <t>20260526900338</t>
        </is>
      </c>
      <c r="H6790" s="8">
        <f>HYPERLINK("https://dart.fss.or.kr/dsaf001/main.do?rcpNo=20260526900338", "공시열람")</f>
        <v/>
      </c>
    </row>
    <row r="6791">
      <c r="A6791" s="2" t="inlineStr">
        <is>
          <t>2026-05-26</t>
        </is>
      </c>
      <c r="B6791" s="3" t="inlineStr">
        <is>
          <t>케이피항공산업</t>
        </is>
      </c>
      <c r="C6791" s="2" t="inlineStr">
        <is>
          <t>코스닥</t>
        </is>
      </c>
      <c r="D6791" s="2" t="inlineStr">
        <is>
          <t>288180</t>
        </is>
      </c>
      <c r="E6791" s="3" t="inlineStr">
        <is>
          <t>임원ㆍ주요주주특정증권등소유상황보고서</t>
        </is>
      </c>
      <c r="F6791" s="3" t="inlineStr">
        <is>
          <t>이상연</t>
        </is>
      </c>
      <c r="G6791" s="2" t="inlineStr">
        <is>
          <t>20260526000241</t>
        </is>
      </c>
      <c r="H6791" s="8">
        <f>HYPERLINK("https://dart.fss.or.kr/dsaf001/main.do?rcpNo=20260526000241", "공시열람")</f>
        <v/>
      </c>
    </row>
    <row r="6792">
      <c r="A6792" s="2" t="inlineStr">
        <is>
          <t>2026-05-26</t>
        </is>
      </c>
      <c r="B6792" s="3" t="inlineStr">
        <is>
          <t>DS단석</t>
        </is>
      </c>
      <c r="C6792" s="2" t="inlineStr">
        <is>
          <t>코스피</t>
        </is>
      </c>
      <c r="D6792" s="2" t="inlineStr">
        <is>
          <t>017860</t>
        </is>
      </c>
      <c r="E6792" s="3" t="inlineStr">
        <is>
          <t>주요사항보고서(유형자산양도결정)</t>
        </is>
      </c>
      <c r="F6792" s="3" t="inlineStr">
        <is>
          <t>DS단석</t>
        </is>
      </c>
      <c r="G6792" s="2" t="inlineStr">
        <is>
          <t>20260526000222</t>
        </is>
      </c>
      <c r="H6792" s="8">
        <f>HYPERLINK("https://dart.fss.or.kr/dsaf001/main.do?rcpNo=20260526000222", "공시열람")</f>
        <v/>
      </c>
    </row>
    <row r="6793">
      <c r="A6793" s="2" t="inlineStr">
        <is>
          <t>2026-05-26</t>
        </is>
      </c>
      <c r="B6793" s="3" t="inlineStr">
        <is>
          <t>한화비전</t>
        </is>
      </c>
      <c r="C6793" s="2" t="inlineStr">
        <is>
          <t>코스피</t>
        </is>
      </c>
      <c r="D6793" s="2" t="inlineStr">
        <is>
          <t>489790</t>
        </is>
      </c>
      <c r="E6793" s="3" t="inlineStr">
        <is>
          <t xml:space="preserve">기업설명회(IR)개최(안내공시)              </t>
        </is>
      </c>
      <c r="F6793" s="3" t="inlineStr">
        <is>
          <t>한화비전</t>
        </is>
      </c>
      <c r="G6793" s="2" t="inlineStr">
        <is>
          <t>20260526800328</t>
        </is>
      </c>
      <c r="H6793" s="8">
        <f>HYPERLINK("https://dart.fss.or.kr/dsaf001/main.do?rcpNo=20260526800328", "공시열람")</f>
        <v/>
      </c>
    </row>
    <row r="6794">
      <c r="A6794" s="2" t="inlineStr">
        <is>
          <t>2026-05-26</t>
        </is>
      </c>
      <c r="B6794" s="3" t="inlineStr">
        <is>
          <t>한화비전</t>
        </is>
      </c>
      <c r="C6794" s="2" t="inlineStr">
        <is>
          <t>코스피</t>
        </is>
      </c>
      <c r="D6794" s="2" t="inlineStr">
        <is>
          <t>489790</t>
        </is>
      </c>
      <c r="E6794" s="3" t="inlineStr">
        <is>
          <t xml:space="preserve">기업설명회(IR)개최(안내공시)              </t>
        </is>
      </c>
      <c r="F6794" s="3" t="inlineStr">
        <is>
          <t>한화비전</t>
        </is>
      </c>
      <c r="G6794" s="2" t="inlineStr">
        <is>
          <t>20260526800326</t>
        </is>
      </c>
      <c r="H6794" s="8">
        <f>HYPERLINK("https://dart.fss.or.kr/dsaf001/main.do?rcpNo=20260526800326", "공시열람")</f>
        <v/>
      </c>
    </row>
    <row r="6795">
      <c r="A6795" s="2" t="inlineStr">
        <is>
          <t>2026-05-26</t>
        </is>
      </c>
      <c r="B6795" s="3" t="inlineStr">
        <is>
          <t>모나용평</t>
        </is>
      </c>
      <c r="C6795" s="2" t="inlineStr">
        <is>
          <t>코스피</t>
        </is>
      </c>
      <c r="D6795" s="2" t="inlineStr">
        <is>
          <t>070960</t>
        </is>
      </c>
      <c r="E6795" s="3" t="inlineStr">
        <is>
          <t xml:space="preserve">기타경영사항(자율공시)              </t>
        </is>
      </c>
      <c r="F6795" s="3" t="inlineStr">
        <is>
          <t>모나용평</t>
        </is>
      </c>
      <c r="G6795" s="2" t="inlineStr">
        <is>
          <t>20260526800311</t>
        </is>
      </c>
      <c r="H6795" s="8">
        <f>HYPERLINK("https://dart.fss.or.kr/dsaf001/main.do?rcpNo=20260526800311", "공시열람")</f>
        <v/>
      </c>
    </row>
    <row r="6796">
      <c r="A6796" s="2" t="inlineStr">
        <is>
          <t>2026-05-26</t>
        </is>
      </c>
      <c r="B6796" s="3" t="inlineStr">
        <is>
          <t>케이피항공산업</t>
        </is>
      </c>
      <c r="C6796" s="2" t="inlineStr">
        <is>
          <t>코스닥</t>
        </is>
      </c>
      <c r="D6796" s="2" t="inlineStr">
        <is>
          <t>288180</t>
        </is>
      </c>
      <c r="E6796" s="3" t="inlineStr">
        <is>
          <t>임원ㆍ주요주주특정증권등소유상황보고서</t>
        </is>
      </c>
      <c r="F6796" s="3" t="inlineStr">
        <is>
          <t>윤성태</t>
        </is>
      </c>
      <c r="G6796" s="2" t="inlineStr">
        <is>
          <t>20260526000237</t>
        </is>
      </c>
      <c r="H6796" s="8">
        <f>HYPERLINK("https://dart.fss.or.kr/dsaf001/main.do?rcpNo=20260526000237", "공시열람")</f>
        <v/>
      </c>
    </row>
    <row r="6797">
      <c r="A6797" s="2" t="inlineStr">
        <is>
          <t>2026-05-26</t>
        </is>
      </c>
      <c r="B6797" s="3" t="inlineStr">
        <is>
          <t>알에프세미</t>
        </is>
      </c>
      <c r="C6797" s="2" t="inlineStr">
        <is>
          <t>코스닥</t>
        </is>
      </c>
      <c r="D6797" s="2" t="inlineStr">
        <is>
          <t>096610</t>
        </is>
      </c>
      <c r="E6797" s="3" t="inlineStr">
        <is>
          <t>투자판단관련주요경영사항              (대표이사 구속 관련)</t>
        </is>
      </c>
      <c r="F6797" s="3" t="inlineStr">
        <is>
          <t>알에프세미</t>
        </is>
      </c>
      <c r="G6797" s="2" t="inlineStr">
        <is>
          <t>20260526900310</t>
        </is>
      </c>
      <c r="H6797" s="8">
        <f>HYPERLINK("https://dart.fss.or.kr/dsaf001/main.do?rcpNo=20260526900310", "공시열람")</f>
        <v/>
      </c>
    </row>
    <row r="6798">
      <c r="A6798" s="2" t="inlineStr">
        <is>
          <t>2026-05-26</t>
        </is>
      </c>
      <c r="B6798" s="3" t="inlineStr">
        <is>
          <t>케이피항공산업</t>
        </is>
      </c>
      <c r="C6798" s="2" t="inlineStr">
        <is>
          <t>코스닥</t>
        </is>
      </c>
      <c r="D6798" s="2" t="inlineStr">
        <is>
          <t>288180</t>
        </is>
      </c>
      <c r="E6798" s="3" t="inlineStr">
        <is>
          <t>임원ㆍ주요주주특정증권등소유상황보고서</t>
        </is>
      </c>
      <c r="F6798" s="3" t="inlineStr">
        <is>
          <t>최대일</t>
        </is>
      </c>
      <c r="G6798" s="2" t="inlineStr">
        <is>
          <t>20260526000235</t>
        </is>
      </c>
      <c r="H6798" s="8">
        <f>HYPERLINK("https://dart.fss.or.kr/dsaf001/main.do?rcpNo=20260526000235", "공시열람")</f>
        <v/>
      </c>
    </row>
    <row r="6799">
      <c r="A6799" s="2" t="inlineStr">
        <is>
          <t>2026-05-26 (정정: 2026-05-29)</t>
        </is>
      </c>
      <c r="B6799" s="3" t="inlineStr">
        <is>
          <t>에이럭스</t>
        </is>
      </c>
      <c r="C6799" s="2" t="inlineStr">
        <is>
          <t>코스닥</t>
        </is>
      </c>
      <c r="D6799" s="2" t="inlineStr">
        <is>
          <t>475580</t>
        </is>
      </c>
      <c r="E6799" s="3" t="inlineStr">
        <is>
          <t>타법인주식및출자증권취득결정(자율공시)               (정정: 20260529) (정정: 20260529)</t>
        </is>
      </c>
      <c r="F6799" s="3" t="inlineStr">
        <is>
          <t>에이럭스</t>
        </is>
      </c>
      <c r="G6799" s="2" t="inlineStr">
        <is>
          <t>20260529901569</t>
        </is>
      </c>
      <c r="H6799" s="8">
        <f>HYPERLINK("https://dart.fss.or.kr/dsaf001/main.do?rcpNo=20260529901569", "공시열람")</f>
        <v/>
      </c>
    </row>
    <row r="6800">
      <c r="A6800" s="2" t="inlineStr">
        <is>
          <t>2026-05-26</t>
        </is>
      </c>
      <c r="B6800" s="3" t="inlineStr">
        <is>
          <t>아모레퍼시픽</t>
        </is>
      </c>
      <c r="C6800" s="2" t="inlineStr">
        <is>
          <t>코스피</t>
        </is>
      </c>
      <c r="D6800" s="2" t="inlineStr">
        <is>
          <t>090430</t>
        </is>
      </c>
      <c r="E6800" s="3" t="inlineStr">
        <is>
          <t xml:space="preserve">기업설명회(IR)개최(안내공시)              </t>
        </is>
      </c>
      <c r="F6800" s="3" t="inlineStr">
        <is>
          <t>아모레퍼시픽</t>
        </is>
      </c>
      <c r="G6800" s="2" t="inlineStr">
        <is>
          <t>20260526800321</t>
        </is>
      </c>
      <c r="H6800" s="8">
        <f>HYPERLINK("https://dart.fss.or.kr/dsaf001/main.do?rcpNo=20260526800321", "공시열람")</f>
        <v/>
      </c>
    </row>
    <row r="6801">
      <c r="A6801" s="2" t="inlineStr">
        <is>
          <t>2026-05-26</t>
        </is>
      </c>
      <c r="B6801" s="3" t="inlineStr">
        <is>
          <t>NH투자증권</t>
        </is>
      </c>
      <c r="C6801" s="2" t="inlineStr">
        <is>
          <t>코스피</t>
        </is>
      </c>
      <c r="D6801" s="2" t="inlineStr">
        <is>
          <t>005940</t>
        </is>
      </c>
      <c r="E6801" s="3" t="inlineStr">
        <is>
          <t>일괄신고추가서류(파생결합사채-주가연계파생결합사채)</t>
        </is>
      </c>
      <c r="F6801" s="3" t="inlineStr">
        <is>
          <t>NH투자증권</t>
        </is>
      </c>
      <c r="G6801" s="2" t="inlineStr">
        <is>
          <t>20260526000234</t>
        </is>
      </c>
      <c r="H6801" s="8">
        <f>HYPERLINK("https://dart.fss.or.kr/dsaf001/main.do?rcpNo=20260526000234", "공시열람")</f>
        <v/>
      </c>
    </row>
    <row r="6802">
      <c r="A6802" s="2" t="inlineStr">
        <is>
          <t>2026-05-26</t>
        </is>
      </c>
      <c r="B6802" s="3" t="inlineStr">
        <is>
          <t>대신증권</t>
        </is>
      </c>
      <c r="C6802" s="2" t="inlineStr">
        <is>
          <t>코스피</t>
        </is>
      </c>
      <c r="D6802" s="2" t="inlineStr">
        <is>
          <t>003540</t>
        </is>
      </c>
      <c r="E6802" s="3" t="inlineStr">
        <is>
          <t>일괄신고추가서류(파생결합사채-주가연계파생결합사채)</t>
        </is>
      </c>
      <c r="F6802" s="3" t="inlineStr">
        <is>
          <t>대신증권</t>
        </is>
      </c>
      <c r="G6802" s="2" t="inlineStr">
        <is>
          <t>20260526000233</t>
        </is>
      </c>
      <c r="H6802" s="8">
        <f>HYPERLINK("https://dart.fss.or.kr/dsaf001/main.do?rcpNo=20260526000233", "공시열람")</f>
        <v/>
      </c>
    </row>
    <row r="6803">
      <c r="A6803" s="2" t="inlineStr">
        <is>
          <t>2026-05-26</t>
        </is>
      </c>
      <c r="B6803" s="3" t="inlineStr">
        <is>
          <t>에스케이바이오팜</t>
        </is>
      </c>
      <c r="C6803" s="2" t="inlineStr">
        <is>
          <t>코스피</t>
        </is>
      </c>
      <c r="D6803" s="2" t="inlineStr">
        <is>
          <t>326030</t>
        </is>
      </c>
      <c r="E6803" s="3" t="inlineStr">
        <is>
          <t xml:space="preserve">기업설명회(IR)개최(안내공시)              </t>
        </is>
      </c>
      <c r="F6803" s="3" t="inlineStr">
        <is>
          <t>에스케이바이오팜</t>
        </is>
      </c>
      <c r="G6803" s="2" t="inlineStr">
        <is>
          <t>20260526800313</t>
        </is>
      </c>
      <c r="H6803" s="8">
        <f>HYPERLINK("https://dart.fss.or.kr/dsaf001/main.do?rcpNo=20260526800313", "공시열람")</f>
        <v/>
      </c>
    </row>
    <row r="6804">
      <c r="A6804" s="2" t="inlineStr">
        <is>
          <t>2026-05-26</t>
        </is>
      </c>
      <c r="B6804" s="3" t="inlineStr">
        <is>
          <t>케이피항공산업</t>
        </is>
      </c>
      <c r="C6804" s="2" t="inlineStr">
        <is>
          <t>코스닥</t>
        </is>
      </c>
      <c r="D6804" s="2" t="inlineStr">
        <is>
          <t>288180</t>
        </is>
      </c>
      <c r="E6804" s="3" t="inlineStr">
        <is>
          <t>임원ㆍ주요주주특정증권등소유상황보고서</t>
        </is>
      </c>
      <c r="F6804" s="3" t="inlineStr">
        <is>
          <t>이영수</t>
        </is>
      </c>
      <c r="G6804" s="2" t="inlineStr">
        <is>
          <t>20260526000224</t>
        </is>
      </c>
      <c r="H6804" s="8">
        <f>HYPERLINK("https://dart.fss.or.kr/dsaf001/main.do?rcpNo=20260526000224", "공시열람")</f>
        <v/>
      </c>
    </row>
    <row r="6805">
      <c r="A6805" s="2" t="inlineStr">
        <is>
          <t>2026-05-26</t>
        </is>
      </c>
      <c r="B6805" s="3" t="inlineStr">
        <is>
          <t>케이피항공산업</t>
        </is>
      </c>
      <c r="C6805" s="2" t="inlineStr">
        <is>
          <t>코스닥</t>
        </is>
      </c>
      <c r="D6805" s="2" t="inlineStr">
        <is>
          <t>288180</t>
        </is>
      </c>
      <c r="E6805" s="3" t="inlineStr">
        <is>
          <t>임원ㆍ주요주주특정증권등소유상황보고서</t>
        </is>
      </c>
      <c r="F6805" s="3" t="inlineStr">
        <is>
          <t>윤승욱</t>
        </is>
      </c>
      <c r="G6805" s="2" t="inlineStr">
        <is>
          <t>20260526000213</t>
        </is>
      </c>
      <c r="H6805" s="8">
        <f>HYPERLINK("https://dart.fss.or.kr/dsaf001/main.do?rcpNo=20260526000213", "공시열람")</f>
        <v/>
      </c>
    </row>
    <row r="6806">
      <c r="A6806" s="2" t="inlineStr">
        <is>
          <t>2026-05-26</t>
        </is>
      </c>
      <c r="B6806" s="3" t="inlineStr">
        <is>
          <t>한국주철관공업</t>
        </is>
      </c>
      <c r="C6806" s="2" t="inlineStr">
        <is>
          <t>코스피</t>
        </is>
      </c>
      <c r="D6806" s="2" t="inlineStr">
        <is>
          <t>000970</t>
        </is>
      </c>
      <c r="E6806" s="3" t="inlineStr">
        <is>
          <t>임원ㆍ주요주주특정증권등소유상황보고서</t>
        </is>
      </c>
      <c r="F6806" s="3" t="inlineStr">
        <is>
          <t>김태형</t>
        </is>
      </c>
      <c r="G6806" s="2" t="inlineStr">
        <is>
          <t>20260526000212</t>
        </is>
      </c>
      <c r="H6806" s="8">
        <f>HYPERLINK("https://dart.fss.or.kr/dsaf001/main.do?rcpNo=20260526000212", "공시열람")</f>
        <v/>
      </c>
    </row>
    <row r="6807">
      <c r="A6807" s="2" t="inlineStr">
        <is>
          <t>2026-05-26</t>
        </is>
      </c>
      <c r="B6807" s="3" t="inlineStr">
        <is>
          <t>가온전선</t>
        </is>
      </c>
      <c r="C6807" s="2" t="inlineStr">
        <is>
          <t>코스피</t>
        </is>
      </c>
      <c r="D6807" s="2" t="inlineStr">
        <is>
          <t>000500</t>
        </is>
      </c>
      <c r="E6807" s="3" t="inlineStr">
        <is>
          <t>임원ㆍ주요주주특정증권등소유상황보고서</t>
        </is>
      </c>
      <c r="F6807" s="3" t="inlineStr">
        <is>
          <t>정현</t>
        </is>
      </c>
      <c r="G6807" s="2" t="inlineStr">
        <is>
          <t>20260526000206</t>
        </is>
      </c>
      <c r="H6807" s="8">
        <f>HYPERLINK("https://dart.fss.or.kr/dsaf001/main.do?rcpNo=20260526000206", "공시열람")</f>
        <v/>
      </c>
    </row>
    <row r="6808">
      <c r="A6808" s="2" t="inlineStr">
        <is>
          <t>2026-05-26</t>
        </is>
      </c>
      <c r="B6808" s="3" t="inlineStr">
        <is>
          <t>케이피항공산업</t>
        </is>
      </c>
      <c r="C6808" s="2" t="inlineStr">
        <is>
          <t>코스닥</t>
        </is>
      </c>
      <c r="D6808" s="2" t="inlineStr">
        <is>
          <t>288180</t>
        </is>
      </c>
      <c r="E6808" s="3" t="inlineStr">
        <is>
          <t>임원ㆍ주요주주특정증권등소유상황보고서</t>
        </is>
      </c>
      <c r="F6808" s="3" t="inlineStr">
        <is>
          <t>김종판</t>
        </is>
      </c>
      <c r="G6808" s="2" t="inlineStr">
        <is>
          <t>20260526000205</t>
        </is>
      </c>
      <c r="H6808" s="8">
        <f>HYPERLINK("https://dart.fss.or.kr/dsaf001/main.do?rcpNo=20260526000205", "공시열람")</f>
        <v/>
      </c>
    </row>
    <row r="6809">
      <c r="A6809" s="2" t="inlineStr">
        <is>
          <t>2026-05-26</t>
        </is>
      </c>
      <c r="B6809" s="3" t="inlineStr">
        <is>
          <t>그리드위즈</t>
        </is>
      </c>
      <c r="C6809" s="2" t="inlineStr">
        <is>
          <t>코스닥</t>
        </is>
      </c>
      <c r="D6809" s="2" t="inlineStr">
        <is>
          <t>453450</t>
        </is>
      </c>
      <c r="E6809" s="3" t="inlineStr">
        <is>
          <t xml:space="preserve">기업설명회(IR)개최              </t>
        </is>
      </c>
      <c r="F6809" s="3" t="inlineStr">
        <is>
          <t>그리드위즈</t>
        </is>
      </c>
      <c r="G6809" s="2" t="inlineStr">
        <is>
          <t>20260526900293</t>
        </is>
      </c>
      <c r="H6809" s="8">
        <f>HYPERLINK("https://dart.fss.or.kr/dsaf001/main.do?rcpNo=20260526900293", "공시열람")</f>
        <v/>
      </c>
    </row>
    <row r="6810">
      <c r="A6810" s="2" t="inlineStr">
        <is>
          <t>2026-05-26</t>
        </is>
      </c>
      <c r="B6810" s="3" t="inlineStr">
        <is>
          <t>남양유업</t>
        </is>
      </c>
      <c r="C6810" s="2" t="inlineStr">
        <is>
          <t>코스피</t>
        </is>
      </c>
      <c r="D6810" s="2" t="inlineStr">
        <is>
          <t>003920</t>
        </is>
      </c>
      <c r="E6810" s="3" t="inlineStr">
        <is>
          <t>임원ㆍ주요주주특정증권등소유상황보고서</t>
        </is>
      </c>
      <c r="F6810" s="3" t="inlineStr">
        <is>
          <t>한앤코유업홀딩스</t>
        </is>
      </c>
      <c r="G6810" s="2" t="inlineStr">
        <is>
          <t>20260526000200</t>
        </is>
      </c>
      <c r="H6810" s="8">
        <f>HYPERLINK("https://dart.fss.or.kr/dsaf001/main.do?rcpNo=20260526000200", "공시열람")</f>
        <v/>
      </c>
    </row>
    <row r="6811">
      <c r="A6811" s="2" t="inlineStr">
        <is>
          <t>2026-05-26</t>
        </is>
      </c>
      <c r="B6811" s="3" t="inlineStr">
        <is>
          <t>비츠로시스</t>
        </is>
      </c>
      <c r="C6811" s="2" t="inlineStr">
        <is>
          <t>코스닥</t>
        </is>
      </c>
      <c r="D6811" s="2" t="inlineStr">
        <is>
          <t>054220</t>
        </is>
      </c>
      <c r="E6811" s="3" t="inlineStr">
        <is>
          <t>사외이사의선임ㆍ해임또는중도퇴임에관한신고</t>
        </is>
      </c>
      <c r="F6811" s="3" t="inlineStr">
        <is>
          <t>비츠로시스</t>
        </is>
      </c>
      <c r="G6811" s="2" t="inlineStr">
        <is>
          <t>20260526000199</t>
        </is>
      </c>
      <c r="H6811" s="8">
        <f>HYPERLINK("https://dart.fss.or.kr/dsaf001/main.do?rcpNo=20260526000199", "공시열람")</f>
        <v/>
      </c>
    </row>
    <row r="6812">
      <c r="A6812" s="2" t="inlineStr">
        <is>
          <t>2026-05-26</t>
        </is>
      </c>
      <c r="B6812" s="3" t="inlineStr">
        <is>
          <t>케이피항공산업</t>
        </is>
      </c>
      <c r="C6812" s="2" t="inlineStr">
        <is>
          <t>코스닥</t>
        </is>
      </c>
      <c r="D6812" s="2" t="inlineStr">
        <is>
          <t>288180</t>
        </is>
      </c>
      <c r="E6812" s="3" t="inlineStr">
        <is>
          <t>임원ㆍ주요주주특정증권등소유상황보고서</t>
        </is>
      </c>
      <c r="F6812" s="3" t="inlineStr">
        <is>
          <t>윤기형</t>
        </is>
      </c>
      <c r="G6812" s="2" t="inlineStr">
        <is>
          <t>20260526000196</t>
        </is>
      </c>
      <c r="H6812" s="8">
        <f>HYPERLINK("https://dart.fss.or.kr/dsaf001/main.do?rcpNo=20260526000196", "공시열람")</f>
        <v/>
      </c>
    </row>
    <row r="6813">
      <c r="A6813" s="2" t="inlineStr">
        <is>
          <t>2026-05-26</t>
        </is>
      </c>
      <c r="B6813" s="3" t="inlineStr">
        <is>
          <t>드림씨아이에스</t>
        </is>
      </c>
      <c r="C6813" s="2" t="inlineStr">
        <is>
          <t>코스닥</t>
        </is>
      </c>
      <c r="D6813" s="2" t="inlineStr">
        <is>
          <t>223250</t>
        </is>
      </c>
      <c r="E6813" s="3" t="inlineStr">
        <is>
          <t>임원ㆍ주요주주특정증권등소유상황보고서</t>
        </is>
      </c>
      <c r="F6813" s="3" t="inlineStr">
        <is>
          <t>유정희</t>
        </is>
      </c>
      <c r="G6813" s="2" t="inlineStr">
        <is>
          <t>20260526000191</t>
        </is>
      </c>
      <c r="H6813" s="8">
        <f>HYPERLINK("https://dart.fss.or.kr/dsaf001/main.do?rcpNo=20260526000191", "공시열람")</f>
        <v/>
      </c>
    </row>
    <row r="6814">
      <c r="A6814" s="2" t="inlineStr">
        <is>
          <t>2026-05-26</t>
        </is>
      </c>
      <c r="B6814" s="3" t="inlineStr">
        <is>
          <t>케이옥션</t>
        </is>
      </c>
      <c r="C6814" s="2" t="inlineStr">
        <is>
          <t>코스닥</t>
        </is>
      </c>
      <c r="D6814" s="2" t="inlineStr">
        <is>
          <t>102370</t>
        </is>
      </c>
      <c r="E6814" s="3" t="inlineStr">
        <is>
          <t>임원ㆍ주요주주특정증권등소유상황보고서</t>
        </is>
      </c>
      <c r="F6814" s="3" t="inlineStr">
        <is>
          <t>티에이어드바이저</t>
        </is>
      </c>
      <c r="G6814" s="2" t="inlineStr">
        <is>
          <t>20260526000176</t>
        </is>
      </c>
      <c r="H6814" s="8">
        <f>HYPERLINK("https://dart.fss.or.kr/dsaf001/main.do?rcpNo=20260526000176", "공시열람")</f>
        <v/>
      </c>
    </row>
    <row r="6815">
      <c r="A6815" s="2" t="inlineStr">
        <is>
          <t>2026-05-26</t>
        </is>
      </c>
      <c r="B6815" s="3" t="inlineStr">
        <is>
          <t>대웅</t>
        </is>
      </c>
      <c r="C6815" s="2" t="inlineStr">
        <is>
          <t>코스피</t>
        </is>
      </c>
      <c r="D6815" s="2" t="inlineStr">
        <is>
          <t>003090</t>
        </is>
      </c>
      <c r="E6815" s="3" t="inlineStr">
        <is>
          <t>투자판단관련주요경영사항(자회사의 주요경영사항)              (엔블로정(Envlo) 0.3mg 멕시코 품목허가 승인)</t>
        </is>
      </c>
      <c r="F6815" s="3" t="inlineStr">
        <is>
          <t>대웅</t>
        </is>
      </c>
      <c r="G6815" s="2" t="inlineStr">
        <is>
          <t>20260526800258</t>
        </is>
      </c>
      <c r="H6815" s="8">
        <f>HYPERLINK("https://dart.fss.or.kr/dsaf001/main.do?rcpNo=20260526800258", "공시열람")</f>
        <v/>
      </c>
    </row>
    <row r="6816">
      <c r="A6816" s="2" t="inlineStr">
        <is>
          <t>2026-05-26</t>
        </is>
      </c>
      <c r="B6816" s="3" t="inlineStr">
        <is>
          <t>대웅제약</t>
        </is>
      </c>
      <c r="C6816" s="2" t="inlineStr">
        <is>
          <t>코스피</t>
        </is>
      </c>
      <c r="D6816" s="2" t="inlineStr">
        <is>
          <t>069620</t>
        </is>
      </c>
      <c r="E6816" s="3" t="inlineStr">
        <is>
          <t>투자판단관련주요경영사항              (엔블로정(Envlo) 0.3mg 멕시코 품목허가 승인)</t>
        </is>
      </c>
      <c r="F6816" s="3" t="inlineStr">
        <is>
          <t>대웅제약</t>
        </is>
      </c>
      <c r="G6816" s="2" t="inlineStr">
        <is>
          <t>20260526800257</t>
        </is>
      </c>
      <c r="H6816" s="8">
        <f>HYPERLINK("https://dart.fss.or.kr/dsaf001/main.do?rcpNo=20260526800257", "공시열람")</f>
        <v/>
      </c>
    </row>
    <row r="6817">
      <c r="A6817" s="2" t="inlineStr">
        <is>
          <t>2026-05-26</t>
        </is>
      </c>
      <c r="B6817" s="3" t="inlineStr">
        <is>
          <t>대성미생물</t>
        </is>
      </c>
      <c r="C6817" s="2" t="inlineStr">
        <is>
          <t>코스닥</t>
        </is>
      </c>
      <c r="D6817" s="2" t="inlineStr">
        <is>
          <t>036480</t>
        </is>
      </c>
      <c r="E6817" s="3" t="inlineStr">
        <is>
          <t>임원ㆍ주요주주특정증권등소유상황보고서</t>
        </is>
      </c>
      <c r="F6817" s="3" t="inlineStr">
        <is>
          <t>최승훈</t>
        </is>
      </c>
      <c r="G6817" s="2" t="inlineStr">
        <is>
          <t>20260526000150</t>
        </is>
      </c>
      <c r="H6817" s="8">
        <f>HYPERLINK("https://dart.fss.or.kr/dsaf001/main.do?rcpNo=20260526000150", "공시열람")</f>
        <v/>
      </c>
    </row>
    <row r="6818">
      <c r="A6818" s="2" t="inlineStr">
        <is>
          <t>2026-05-26</t>
        </is>
      </c>
      <c r="B6818" s="3" t="inlineStr">
        <is>
          <t>삼성전자</t>
        </is>
      </c>
      <c r="C6818" s="2" t="inlineStr">
        <is>
          <t>코스피</t>
        </is>
      </c>
      <c r="D6818" s="2" t="inlineStr">
        <is>
          <t>005930</t>
        </is>
      </c>
      <c r="E6818" s="3" t="inlineStr">
        <is>
          <t>임원ㆍ주요주주특정증권등소유상황보고서</t>
        </is>
      </c>
      <c r="F6818" s="3" t="inlineStr">
        <is>
          <t>신용우</t>
        </is>
      </c>
      <c r="G6818" s="2" t="inlineStr">
        <is>
          <t>20260526000141</t>
        </is>
      </c>
      <c r="H6818" s="8">
        <f>HYPERLINK("https://dart.fss.or.kr/dsaf001/main.do?rcpNo=20260526000141", "공시열람")</f>
        <v/>
      </c>
    </row>
    <row r="6819">
      <c r="A6819" s="2" t="inlineStr">
        <is>
          <t>2026-05-26</t>
        </is>
      </c>
      <c r="B6819" s="3" t="inlineStr">
        <is>
          <t>대신정보통신</t>
        </is>
      </c>
      <c r="C6819" s="2" t="inlineStr">
        <is>
          <t>코스닥</t>
        </is>
      </c>
      <c r="D6819" s="2" t="inlineStr">
        <is>
          <t>020180</t>
        </is>
      </c>
      <c r="E6819" s="3" t="inlineStr">
        <is>
          <t>임원ㆍ주요주주특정증권등소유상황보고서</t>
        </is>
      </c>
      <c r="F6819" s="3" t="inlineStr">
        <is>
          <t>최현택</t>
        </is>
      </c>
      <c r="G6819" s="2" t="inlineStr">
        <is>
          <t>20260526000126</t>
        </is>
      </c>
      <c r="H6819" s="8">
        <f>HYPERLINK("https://dart.fss.or.kr/dsaf001/main.do?rcpNo=20260526000126", "공시열람")</f>
        <v/>
      </c>
    </row>
    <row r="6820">
      <c r="A6820" s="2" t="inlineStr">
        <is>
          <t>2026-05-26</t>
        </is>
      </c>
      <c r="B6820" s="3" t="inlineStr">
        <is>
          <t>교보증권</t>
        </is>
      </c>
      <c r="C6820" s="2" t="inlineStr">
        <is>
          <t>코스피</t>
        </is>
      </c>
      <c r="D6820" s="2" t="inlineStr">
        <is>
          <t>030610</t>
        </is>
      </c>
      <c r="E6820" s="3" t="inlineStr">
        <is>
          <t>투자설명서(일괄신고)</t>
        </is>
      </c>
      <c r="F6820" s="3" t="inlineStr">
        <is>
          <t>교보증권</t>
        </is>
      </c>
      <c r="G6820" s="2" t="inlineStr">
        <is>
          <t>20260526000119</t>
        </is>
      </c>
      <c r="H6820" s="8">
        <f>HYPERLINK("https://dart.fss.or.kr/dsaf001/main.do?rcpNo=20260526000119", "공시열람")</f>
        <v/>
      </c>
    </row>
    <row r="6821">
      <c r="A6821" s="2" t="inlineStr">
        <is>
          <t>2026-05-26</t>
        </is>
      </c>
      <c r="B6821" s="3" t="inlineStr">
        <is>
          <t>DH오토웨어</t>
        </is>
      </c>
      <c r="C6821" s="2" t="inlineStr">
        <is>
          <t>코스닥</t>
        </is>
      </c>
      <c r="D6821" s="2" t="inlineStr">
        <is>
          <t>025440</t>
        </is>
      </c>
      <c r="E6821" s="3" t="inlineStr">
        <is>
          <t>임원ㆍ주요주주특정증권등소유상황보고서</t>
        </is>
      </c>
      <c r="F6821" s="3" t="inlineStr">
        <is>
          <t>정대석</t>
        </is>
      </c>
      <c r="G6821" s="2" t="inlineStr">
        <is>
          <t>20260526000117</t>
        </is>
      </c>
      <c r="H6821" s="8">
        <f>HYPERLINK("https://dart.fss.or.kr/dsaf001/main.do?rcpNo=20260526000117", "공시열람")</f>
        <v/>
      </c>
    </row>
    <row r="6822">
      <c r="A6822" s="2" t="inlineStr">
        <is>
          <t>2026-05-26</t>
        </is>
      </c>
      <c r="B6822" s="3" t="inlineStr">
        <is>
          <t>도화엔지니어링</t>
        </is>
      </c>
      <c r="C6822" s="2" t="inlineStr">
        <is>
          <t>코스피</t>
        </is>
      </c>
      <c r="D6822" s="2" t="inlineStr">
        <is>
          <t>002150</t>
        </is>
      </c>
      <c r="E6822" s="3" t="inlineStr">
        <is>
          <t>임원ㆍ주요주주특정증권등소유상황보고서</t>
        </is>
      </c>
      <c r="F6822" s="3" t="inlineStr">
        <is>
          <t>손영일</t>
        </is>
      </c>
      <c r="G6822" s="2" t="inlineStr">
        <is>
          <t>20260526000115</t>
        </is>
      </c>
      <c r="H6822" s="8">
        <f>HYPERLINK("https://dart.fss.or.kr/dsaf001/main.do?rcpNo=20260526000115", "공시열람")</f>
        <v/>
      </c>
    </row>
    <row r="6823">
      <c r="A6823" s="2" t="inlineStr">
        <is>
          <t>2026-05-26</t>
        </is>
      </c>
      <c r="B6823" s="3" t="inlineStr">
        <is>
          <t>진양제약</t>
        </is>
      </c>
      <c r="C6823" s="2" t="inlineStr">
        <is>
          <t>코스닥</t>
        </is>
      </c>
      <c r="D6823" s="2" t="inlineStr">
        <is>
          <t>007370</t>
        </is>
      </c>
      <c r="E6823" s="3" t="inlineStr">
        <is>
          <t xml:space="preserve">전환가액의조정              </t>
        </is>
      </c>
      <c r="F6823" s="3" t="inlineStr">
        <is>
          <t>진양제약</t>
        </is>
      </c>
      <c r="G6823" s="2" t="inlineStr">
        <is>
          <t>20260526900187</t>
        </is>
      </c>
      <c r="H6823" s="8">
        <f>HYPERLINK("https://dart.fss.or.kr/dsaf001/main.do?rcpNo=20260526900187", "공시열람")</f>
        <v/>
      </c>
    </row>
    <row r="6824">
      <c r="A6824" s="2" t="inlineStr">
        <is>
          <t>2026-05-26</t>
        </is>
      </c>
      <c r="B6824" s="3" t="inlineStr">
        <is>
          <t>TS트릴리온</t>
        </is>
      </c>
      <c r="C6824" s="2" t="inlineStr">
        <is>
          <t>코스닥</t>
        </is>
      </c>
      <c r="D6824" s="2" t="inlineStr">
        <is>
          <t>317240</t>
        </is>
      </c>
      <c r="E6824" s="3" t="inlineStr">
        <is>
          <t>임원ㆍ주요주주특정증권등소유상황보고서</t>
        </is>
      </c>
      <c r="F6824" s="3" t="inlineStr">
        <is>
          <t>김용채</t>
        </is>
      </c>
      <c r="G6824" s="2" t="inlineStr">
        <is>
          <t>20260526000111</t>
        </is>
      </c>
      <c r="H6824" s="8">
        <f>HYPERLINK("https://dart.fss.or.kr/dsaf001/main.do?rcpNo=20260526000111", "공시열람")</f>
        <v/>
      </c>
    </row>
    <row r="6825">
      <c r="A6825" s="2" t="inlineStr">
        <is>
          <t>2026-05-26</t>
        </is>
      </c>
      <c r="B6825" s="3" t="inlineStr">
        <is>
          <t>에이디테크놀로지</t>
        </is>
      </c>
      <c r="C6825" s="2" t="inlineStr">
        <is>
          <t>코스닥</t>
        </is>
      </c>
      <c r="D6825" s="2" t="inlineStr">
        <is>
          <t>200710</t>
        </is>
      </c>
      <c r="E6825" s="3" t="inlineStr">
        <is>
          <t xml:space="preserve">기업설명회(IR)개최              </t>
        </is>
      </c>
      <c r="F6825" s="3" t="inlineStr">
        <is>
          <t>에이디테크놀로지</t>
        </is>
      </c>
      <c r="G6825" s="2" t="inlineStr">
        <is>
          <t>20260526900169</t>
        </is>
      </c>
      <c r="H6825" s="8">
        <f>HYPERLINK("https://dart.fss.or.kr/dsaf001/main.do?rcpNo=20260526900169", "공시열람")</f>
        <v/>
      </c>
    </row>
    <row r="6826">
      <c r="A6826" s="2" t="inlineStr">
        <is>
          <t>2026-05-26</t>
        </is>
      </c>
      <c r="B6826" s="3" t="inlineStr">
        <is>
          <t>엠디바이스</t>
        </is>
      </c>
      <c r="C6826" s="2" t="inlineStr">
        <is>
          <t>코스닥</t>
        </is>
      </c>
      <c r="D6826" s="2" t="inlineStr">
        <is>
          <t>226590</t>
        </is>
      </c>
      <c r="E6826" s="3" t="inlineStr">
        <is>
          <t>임원ㆍ주요주주특정증권등소유상황보고서</t>
        </is>
      </c>
      <c r="F6826" s="3" t="inlineStr">
        <is>
          <t>주우식</t>
        </is>
      </c>
      <c r="G6826" s="2" t="inlineStr">
        <is>
          <t>20260526000097</t>
        </is>
      </c>
      <c r="H6826" s="8">
        <f>HYPERLINK("https://dart.fss.or.kr/dsaf001/main.do?rcpNo=20260526000097", "공시열람")</f>
        <v/>
      </c>
    </row>
    <row r="6827">
      <c r="A6827" s="2" t="inlineStr">
        <is>
          <t>2026-05-26</t>
        </is>
      </c>
      <c r="B6827" s="3" t="inlineStr">
        <is>
          <t>교보증권</t>
        </is>
      </c>
      <c r="C6827" s="2" t="inlineStr">
        <is>
          <t>코스피</t>
        </is>
      </c>
      <c r="D6827" s="2" t="inlineStr">
        <is>
          <t>030610</t>
        </is>
      </c>
      <c r="E6827" s="3" t="inlineStr">
        <is>
          <t>일괄신고추가서류(파생결합사채-주가연계파생결합사채)</t>
        </is>
      </c>
      <c r="F6827" s="3" t="inlineStr">
        <is>
          <t>교보증권</t>
        </is>
      </c>
      <c r="G6827" s="2" t="inlineStr">
        <is>
          <t>20260526000088</t>
        </is>
      </c>
      <c r="H6827" s="8">
        <f>HYPERLINK("https://dart.fss.or.kr/dsaf001/main.do?rcpNo=20260526000088", "공시열람")</f>
        <v/>
      </c>
    </row>
    <row r="6828">
      <c r="A6828" s="2" t="inlineStr">
        <is>
          <t>2026-05-26</t>
        </is>
      </c>
      <c r="B6828" s="3" t="inlineStr">
        <is>
          <t>디티앤씨</t>
        </is>
      </c>
      <c r="C6828" s="2" t="inlineStr">
        <is>
          <t>코스닥</t>
        </is>
      </c>
      <c r="D6828" s="2" t="inlineStr">
        <is>
          <t>187220</t>
        </is>
      </c>
      <c r="E6828" s="3" t="inlineStr">
        <is>
          <t>임원ㆍ주요주주특정증권등소유상황보고서</t>
        </is>
      </c>
      <c r="F6828" s="3" t="inlineStr">
        <is>
          <t>김윤상</t>
        </is>
      </c>
      <c r="G6828" s="2" t="inlineStr">
        <is>
          <t>20260526000086</t>
        </is>
      </c>
      <c r="H6828" s="8">
        <f>HYPERLINK("https://dart.fss.or.kr/dsaf001/main.do?rcpNo=20260526000086", "공시열람")</f>
        <v/>
      </c>
    </row>
    <row r="6829">
      <c r="A6829" s="2" t="inlineStr">
        <is>
          <t>2026-05-26</t>
        </is>
      </c>
      <c r="B6829" s="3" t="inlineStr">
        <is>
          <t>인터로조</t>
        </is>
      </c>
      <c r="C6829" s="2" t="inlineStr">
        <is>
          <t>코스닥</t>
        </is>
      </c>
      <c r="D6829" s="2" t="inlineStr">
        <is>
          <t>119610</t>
        </is>
      </c>
      <c r="E6829" s="3" t="inlineStr">
        <is>
          <t>신탁계약해지결과보고서</t>
        </is>
      </c>
      <c r="F6829" s="3" t="inlineStr">
        <is>
          <t>인터로조</t>
        </is>
      </c>
      <c r="G6829" s="2" t="inlineStr">
        <is>
          <t>20260526000083</t>
        </is>
      </c>
      <c r="H6829" s="8">
        <f>HYPERLINK("https://dart.fss.or.kr/dsaf001/main.do?rcpNo=20260526000083", "공시열람")</f>
        <v/>
      </c>
    </row>
    <row r="6830">
      <c r="A6830" s="2" t="inlineStr">
        <is>
          <t>2026-05-26 (정정: 2026-05-27)</t>
        </is>
      </c>
      <c r="B6830" s="3" t="inlineStr">
        <is>
          <t>엔비알모션</t>
        </is>
      </c>
      <c r="C6830" s="2" t="inlineStr">
        <is>
          <t>코스닥</t>
        </is>
      </c>
      <c r="D6830" s="2" t="inlineStr">
        <is>
          <t>0004V0</t>
        </is>
      </c>
      <c r="E6830" s="3" t="inlineStr">
        <is>
          <t>기업설명회(IR)개최               (정정: 20260527)</t>
        </is>
      </c>
      <c r="F6830" s="3" t="inlineStr">
        <is>
          <t>엔비알모션</t>
        </is>
      </c>
      <c r="G6830" s="2" t="inlineStr">
        <is>
          <t>20260527900387</t>
        </is>
      </c>
      <c r="H6830" s="8">
        <f>HYPERLINK("https://dart.fss.or.kr/dsaf001/main.do?rcpNo=20260527900387", "공시열람")</f>
        <v/>
      </c>
    </row>
    <row r="6831">
      <c r="A6831" s="2" t="inlineStr">
        <is>
          <t>2026-05-26</t>
        </is>
      </c>
      <c r="B6831" s="3" t="inlineStr">
        <is>
          <t>아모그린텍</t>
        </is>
      </c>
      <c r="C6831" s="2" t="inlineStr">
        <is>
          <t>코스닥</t>
        </is>
      </c>
      <c r="D6831" s="2" t="inlineStr">
        <is>
          <t>125210</t>
        </is>
      </c>
      <c r="E6831" s="3" t="inlineStr">
        <is>
          <t>의결권대리행사권유참고서류</t>
        </is>
      </c>
      <c r="F6831" s="3" t="inlineStr">
        <is>
          <t>아모그린텍</t>
        </is>
      </c>
      <c r="G6831" s="2" t="inlineStr">
        <is>
          <t>20260526000076</t>
        </is>
      </c>
      <c r="H6831" s="8">
        <f>HYPERLINK("https://dart.fss.or.kr/dsaf001/main.do?rcpNo=20260526000076", "공시열람")</f>
        <v/>
      </c>
    </row>
    <row r="6832">
      <c r="A6832" s="2" t="inlineStr">
        <is>
          <t>2026-05-26</t>
        </is>
      </c>
      <c r="B6832" s="3" t="inlineStr">
        <is>
          <t>마스턴프리미어리츠</t>
        </is>
      </c>
      <c r="C6832" s="2" t="inlineStr">
        <is>
          <t>코스피</t>
        </is>
      </c>
      <c r="D6832" s="2" t="inlineStr">
        <is>
          <t>357430</t>
        </is>
      </c>
      <c r="E6832" s="3" t="inlineStr">
        <is>
          <t xml:space="preserve">기업설명회(IR)개최(안내공시)              </t>
        </is>
      </c>
      <c r="F6832" s="3" t="inlineStr">
        <is>
          <t>마스턴프리미어리츠</t>
        </is>
      </c>
      <c r="G6832" s="2" t="inlineStr">
        <is>
          <t>20260526800137</t>
        </is>
      </c>
      <c r="H6832" s="8">
        <f>HYPERLINK("https://dart.fss.or.kr/dsaf001/main.do?rcpNo=20260526800137", "공시열람")</f>
        <v/>
      </c>
    </row>
    <row r="6833">
      <c r="A6833" s="2" t="inlineStr">
        <is>
          <t>2026-05-26</t>
        </is>
      </c>
      <c r="B6833" s="3" t="inlineStr">
        <is>
          <t>케이아이엔엑스</t>
        </is>
      </c>
      <c r="C6833" s="2" t="inlineStr">
        <is>
          <t>코스닥</t>
        </is>
      </c>
      <c r="D6833" s="2" t="inlineStr">
        <is>
          <t>093320</t>
        </is>
      </c>
      <c r="E6833" s="3" t="inlineStr">
        <is>
          <t>임원ㆍ주요주주특정증권등소유상황보고서</t>
        </is>
      </c>
      <c r="F6833" s="3" t="inlineStr">
        <is>
          <t>TheMiriStrategicEmergingMarketsFundLP</t>
        </is>
      </c>
      <c r="G6833" s="2" t="inlineStr">
        <is>
          <t>20260526000062</t>
        </is>
      </c>
      <c r="H6833" s="8">
        <f>HYPERLINK("https://dart.fss.or.kr/dsaf001/main.do?rcpNo=20260526000062", "공시열람")</f>
        <v/>
      </c>
    </row>
    <row r="6834">
      <c r="A6834" s="2" t="inlineStr">
        <is>
          <t>2026-05-26</t>
        </is>
      </c>
      <c r="B6834" s="3" t="inlineStr">
        <is>
          <t>HS애드</t>
        </is>
      </c>
      <c r="C6834" s="2" t="inlineStr">
        <is>
          <t>코스피</t>
        </is>
      </c>
      <c r="D6834" s="2" t="inlineStr">
        <is>
          <t>035000</t>
        </is>
      </c>
      <c r="E6834" s="3" t="inlineStr">
        <is>
          <t>임원ㆍ주요주주특정증권등소유상황보고서</t>
        </is>
      </c>
      <c r="F6834" s="3" t="inlineStr">
        <is>
          <t>카벤디쉬스퀘어홀딩비.브이.</t>
        </is>
      </c>
      <c r="G6834" s="2" t="inlineStr">
        <is>
          <t>20260526000036</t>
        </is>
      </c>
      <c r="H6834" s="8">
        <f>HYPERLINK("https://dart.fss.or.kr/dsaf001/main.do?rcpNo=20260526000036", "공시열람")</f>
        <v/>
      </c>
    </row>
    <row r="6835">
      <c r="A6835" s="2" t="inlineStr">
        <is>
          <t>2026-05-26</t>
        </is>
      </c>
      <c r="B6835" s="3" t="inlineStr">
        <is>
          <t>에코프로비엠</t>
        </is>
      </c>
      <c r="C6835" s="2" t="inlineStr">
        <is>
          <t>코스닥</t>
        </is>
      </c>
      <c r="D6835" s="2" t="inlineStr">
        <is>
          <t>247540</t>
        </is>
      </c>
      <c r="E6835" s="3" t="inlineStr">
        <is>
          <t xml:space="preserve">기업설명회(IR)개최              </t>
        </is>
      </c>
      <c r="F6835" s="3" t="inlineStr">
        <is>
          <t>에코프로비엠</t>
        </is>
      </c>
      <c r="G6835" s="2" t="inlineStr">
        <is>
          <t>20260526900103</t>
        </is>
      </c>
      <c r="H6835" s="8">
        <f>HYPERLINK("https://dart.fss.or.kr/dsaf001/main.do?rcpNo=20260526900103", "공시열람")</f>
        <v/>
      </c>
    </row>
    <row r="6836">
      <c r="A6836" s="2" t="inlineStr">
        <is>
          <t>2026-05-26</t>
        </is>
      </c>
      <c r="B6836" s="3" t="inlineStr">
        <is>
          <t>교보증권</t>
        </is>
      </c>
      <c r="C6836" s="2" t="inlineStr">
        <is>
          <t>코스피</t>
        </is>
      </c>
      <c r="D6836" s="2" t="inlineStr">
        <is>
          <t>030610</t>
        </is>
      </c>
      <c r="E6836" s="3" t="inlineStr">
        <is>
          <t>투자설명서(일괄신고)</t>
        </is>
      </c>
      <c r="F6836" s="3" t="inlineStr">
        <is>
          <t>교보증권</t>
        </is>
      </c>
      <c r="G6836" s="2" t="inlineStr">
        <is>
          <t>20260526000018</t>
        </is>
      </c>
      <c r="H6836" s="8">
        <f>HYPERLINK("https://dart.fss.or.kr/dsaf001/main.do?rcpNo=20260526000018", "공시열람")</f>
        <v/>
      </c>
    </row>
    <row r="6837">
      <c r="A6837" s="2" t="inlineStr">
        <is>
          <t>2026-05-26</t>
        </is>
      </c>
      <c r="B6837" s="3" t="inlineStr">
        <is>
          <t>교보증권</t>
        </is>
      </c>
      <c r="C6837" s="2" t="inlineStr">
        <is>
          <t>코스피</t>
        </is>
      </c>
      <c r="D6837" s="2" t="inlineStr">
        <is>
          <t>030610</t>
        </is>
      </c>
      <c r="E6837" s="3" t="inlineStr">
        <is>
          <t>일괄신고추가서류(파생결합사채-주가연계파생결합사채)</t>
        </is>
      </c>
      <c r="F6837" s="3" t="inlineStr">
        <is>
          <t>교보증권</t>
        </is>
      </c>
      <c r="G6837" s="2" t="inlineStr">
        <is>
          <t>20260526000015</t>
        </is>
      </c>
      <c r="H6837" s="8">
        <f>HYPERLINK("https://dart.fss.or.kr/dsaf001/main.do?rcpNo=20260526000015", "공시열람")</f>
        <v/>
      </c>
    </row>
    <row r="6838">
      <c r="A6838" s="2" t="inlineStr">
        <is>
          <t>2026-05-26</t>
        </is>
      </c>
      <c r="B6838" s="3" t="inlineStr">
        <is>
          <t>DL</t>
        </is>
      </c>
      <c r="C6838" s="2" t="inlineStr">
        <is>
          <t>코스피</t>
        </is>
      </c>
      <c r="D6838" s="2" t="inlineStr">
        <is>
          <t>000210</t>
        </is>
      </c>
      <c r="E6838" s="3" t="inlineStr">
        <is>
          <t xml:space="preserve">중대재해발생(자회사의 주요경영사항)              </t>
        </is>
      </c>
      <c r="F6838" s="3" t="inlineStr">
        <is>
          <t>DL</t>
        </is>
      </c>
      <c r="G6838" s="2" t="inlineStr">
        <is>
          <t>20260526800012</t>
        </is>
      </c>
      <c r="H6838" s="8">
        <f>HYPERLINK("https://dart.fss.or.kr/dsaf001/main.do?rcpNo=20260526800012", "공시열람")</f>
        <v/>
      </c>
    </row>
    <row r="6839">
      <c r="A6839" s="2" t="inlineStr">
        <is>
          <t>2026-05-26</t>
        </is>
      </c>
      <c r="B6839" s="3" t="inlineStr">
        <is>
          <t>DL이앤씨</t>
        </is>
      </c>
      <c r="C6839" s="2" t="inlineStr">
        <is>
          <t>코스피</t>
        </is>
      </c>
      <c r="D6839" s="2" t="inlineStr">
        <is>
          <t>375500</t>
        </is>
      </c>
      <c r="E6839" s="3" t="inlineStr">
        <is>
          <t xml:space="preserve">중대재해발생              </t>
        </is>
      </c>
      <c r="F6839" s="3" t="inlineStr">
        <is>
          <t>DL이앤씨</t>
        </is>
      </c>
      <c r="G6839" s="2" t="inlineStr">
        <is>
          <t>20260526800005</t>
        </is>
      </c>
      <c r="H6839" s="8">
        <f>HYPERLINK("https://dart.fss.or.kr/dsaf001/main.do?rcpNo=20260526800005", "공시열람")</f>
        <v/>
      </c>
    </row>
    <row r="6840">
      <c r="A6840" s="2" t="inlineStr">
        <is>
          <t>2026-05-26</t>
        </is>
      </c>
      <c r="B6840" s="3" t="inlineStr">
        <is>
          <t>현대건설</t>
        </is>
      </c>
      <c r="C6840" s="2" t="inlineStr">
        <is>
          <t>코스피</t>
        </is>
      </c>
      <c r="D6840" s="2" t="inlineStr">
        <is>
          <t>000720</t>
        </is>
      </c>
      <c r="E6840" s="3" t="inlineStr">
        <is>
          <t xml:space="preserve">투자판단관련주요경영사항              </t>
        </is>
      </c>
      <c r="F6840" s="3" t="inlineStr">
        <is>
          <t>현대건설</t>
        </is>
      </c>
      <c r="G6840" s="2" t="inlineStr">
        <is>
          <t>20260526800002</t>
        </is>
      </c>
      <c r="H6840" s="8">
        <f>HYPERLINK("https://dart.fss.or.kr/dsaf001/main.do?rcpNo=20260526800002", "공시열람")</f>
        <v/>
      </c>
    </row>
    <row r="6841">
      <c r="A6841" s="2" t="inlineStr">
        <is>
          <t>2026-05-26 (정정: 2026-06-01)</t>
        </is>
      </c>
      <c r="B6841" s="3" t="inlineStr">
        <is>
          <t>삼성물산</t>
        </is>
      </c>
      <c r="C6841" s="2" t="inlineStr">
        <is>
          <t>코스피</t>
        </is>
      </c>
      <c r="D6841" s="2" t="inlineStr">
        <is>
          <t>028260</t>
        </is>
      </c>
      <c r="E6841" s="3" t="inlineStr">
        <is>
          <t>투자판단관련주요경영사항               (정정: 20260601)</t>
        </is>
      </c>
      <c r="F6841" s="3" t="inlineStr">
        <is>
          <t>삼성물산</t>
        </is>
      </c>
      <c r="G6841" s="2" t="inlineStr">
        <is>
          <t>20260601001897</t>
        </is>
      </c>
      <c r="H6841" s="8">
        <f>HYPERLINK("https://dart.fss.or.kr/dsaf001/main.do?rcpNo=20260601001897", "공시열람")</f>
        <v/>
      </c>
    </row>
    <row r="6842">
      <c r="A6842" s="2" t="inlineStr">
        <is>
          <t>2026-05-27</t>
        </is>
      </c>
      <c r="B6842" s="3" t="inlineStr">
        <is>
          <t>HLB제약</t>
        </is>
      </c>
      <c r="C6842" s="2" t="inlineStr">
        <is>
          <t>코스닥</t>
        </is>
      </c>
      <c r="D6842" s="2" t="inlineStr">
        <is>
          <t>047920</t>
        </is>
      </c>
      <c r="E6842" s="3" t="inlineStr">
        <is>
          <t>정정신고서제출요구( 2026.05.13. 제출 증권신고서(지분증권) )</t>
        </is>
      </c>
      <c r="F6842" s="3" t="inlineStr">
        <is>
          <t>금융감독원</t>
        </is>
      </c>
      <c r="G6842" s="2" t="inlineStr">
        <is>
          <t>20260527100051</t>
        </is>
      </c>
      <c r="H6842" s="8">
        <f>HYPERLINK("https://dart.fss.or.kr/dsaf001/main.do?rcpNo=20260527100051", "공시열람")</f>
        <v/>
      </c>
    </row>
    <row r="6843">
      <c r="A6843" s="2" t="inlineStr">
        <is>
          <t>2026-05-27</t>
        </is>
      </c>
      <c r="B6843" s="3" t="inlineStr">
        <is>
          <t>삼영이엔씨</t>
        </is>
      </c>
      <c r="C6843" s="2" t="inlineStr">
        <is>
          <t>코스닥</t>
        </is>
      </c>
      <c r="D6843" s="2" t="inlineStr">
        <is>
          <t>065570</t>
        </is>
      </c>
      <c r="E6843" s="3" t="inlineStr">
        <is>
          <t>주권매매거래정지기간변경              (개선기간 부여)</t>
        </is>
      </c>
      <c r="F6843" s="3" t="inlineStr">
        <is>
          <t>코스닥시장본부</t>
        </is>
      </c>
      <c r="G6843" s="2" t="inlineStr">
        <is>
          <t>20260527901092</t>
        </is>
      </c>
      <c r="H6843" s="8">
        <f>HYPERLINK("https://dart.fss.or.kr/dsaf001/main.do?rcpNo=20260527901092", "공시열람")</f>
        <v/>
      </c>
    </row>
    <row r="6844">
      <c r="A6844" s="2" t="inlineStr">
        <is>
          <t>2026-05-27</t>
        </is>
      </c>
      <c r="B6844" s="3" t="inlineStr">
        <is>
          <t>삼영이엔씨</t>
        </is>
      </c>
      <c r="C6844" s="2" t="inlineStr">
        <is>
          <t>코스닥</t>
        </is>
      </c>
      <c r="D6844" s="2" t="inlineStr">
        <is>
          <t>065570</t>
        </is>
      </c>
      <c r="E6844" s="3" t="inlineStr">
        <is>
          <t>기타시장안내              (코스닥시장위원회 심의·의결 결과 및 개선기간 부여 안내)</t>
        </is>
      </c>
      <c r="F6844" s="3" t="inlineStr">
        <is>
          <t>코스닥시장본부</t>
        </is>
      </c>
      <c r="G6844" s="2" t="inlineStr">
        <is>
          <t>20260527901068</t>
        </is>
      </c>
      <c r="H6844" s="8">
        <f>HYPERLINK("https://dart.fss.or.kr/dsaf001/main.do?rcpNo=20260527901068", "공시열람")</f>
        <v/>
      </c>
    </row>
    <row r="6845">
      <c r="A6845" s="2" t="inlineStr">
        <is>
          <t>2026-05-27</t>
        </is>
      </c>
      <c r="B6845" s="3" t="inlineStr">
        <is>
          <t>SK아이이테크놀로지</t>
        </is>
      </c>
      <c r="C6845" s="2" t="inlineStr">
        <is>
          <t>코스피</t>
        </is>
      </c>
      <c r="D6845" s="2" t="inlineStr">
        <is>
          <t>361610</t>
        </is>
      </c>
      <c r="E6845" s="3" t="inlineStr">
        <is>
          <t xml:space="preserve">타법인주식및출자증권처분결정              </t>
        </is>
      </c>
      <c r="F6845" s="3" t="inlineStr">
        <is>
          <t>SK아이이테크놀로지</t>
        </is>
      </c>
      <c r="G6845" s="2" t="inlineStr">
        <is>
          <t>20260527801055</t>
        </is>
      </c>
      <c r="H6845" s="8">
        <f>HYPERLINK("https://dart.fss.or.kr/dsaf001/main.do?rcpNo=20260527801055", "공시열람")</f>
        <v/>
      </c>
    </row>
    <row r="6846">
      <c r="A6846" s="2" t="inlineStr">
        <is>
          <t>2026-05-27</t>
        </is>
      </c>
      <c r="B6846" s="3" t="inlineStr">
        <is>
          <t>코이즈</t>
        </is>
      </c>
      <c r="C6846" s="2" t="inlineStr">
        <is>
          <t>코스닥</t>
        </is>
      </c>
      <c r="D6846" s="2" t="inlineStr">
        <is>
          <t>121850</t>
        </is>
      </c>
      <c r="E6846" s="3" t="inlineStr">
        <is>
          <t>기타시장안내(관리종목지정우려종목)              (시가총액 150억원 미달)</t>
        </is>
      </c>
      <c r="F6846" s="3" t="inlineStr">
        <is>
          <t>코스닥시장본부</t>
        </is>
      </c>
      <c r="G6846" s="2" t="inlineStr">
        <is>
          <t>20260527900909</t>
        </is>
      </c>
      <c r="H6846" s="8">
        <f>HYPERLINK("https://dart.fss.or.kr/dsaf001/main.do?rcpNo=20260527900909", "공시열람")</f>
        <v/>
      </c>
    </row>
    <row r="6847">
      <c r="A6847" s="2" t="inlineStr">
        <is>
          <t>2026-05-27</t>
        </is>
      </c>
      <c r="B6847" s="3" t="inlineStr">
        <is>
          <t>대호에이엘</t>
        </is>
      </c>
      <c r="C6847" s="2" t="inlineStr">
        <is>
          <t>코스피</t>
        </is>
      </c>
      <c r="D6847" s="2" t="inlineStr">
        <is>
          <t>069460</t>
        </is>
      </c>
      <c r="E6847" s="3" t="inlineStr">
        <is>
          <t>의결권대리행사권유참고서류</t>
        </is>
      </c>
      <c r="F6847" s="3" t="inlineStr">
        <is>
          <t>대호에이엘</t>
        </is>
      </c>
      <c r="G6847" s="2" t="inlineStr">
        <is>
          <t>20260527000615</t>
        </is>
      </c>
      <c r="H6847" s="8">
        <f>HYPERLINK("https://dart.fss.or.kr/dsaf001/main.do?rcpNo=20260527000615", "공시열람")</f>
        <v/>
      </c>
    </row>
    <row r="6848">
      <c r="A6848" s="2" t="inlineStr">
        <is>
          <t>2026-05-27</t>
        </is>
      </c>
      <c r="B6848" s="3" t="inlineStr">
        <is>
          <t>우듬지팜</t>
        </is>
      </c>
      <c r="C6848" s="2" t="inlineStr">
        <is>
          <t>코스닥</t>
        </is>
      </c>
      <c r="D6848" s="2" t="inlineStr">
        <is>
          <t>403490</t>
        </is>
      </c>
      <c r="E6848" s="3" t="inlineStr">
        <is>
          <t xml:space="preserve">주주명부폐쇄기간또는기준일설정              </t>
        </is>
      </c>
      <c r="F6848" s="3" t="inlineStr">
        <is>
          <t>우듬지팜</t>
        </is>
      </c>
      <c r="G6848" s="2" t="inlineStr">
        <is>
          <t>20260527900873</t>
        </is>
      </c>
      <c r="H6848" s="8">
        <f>HYPERLINK("https://dart.fss.or.kr/dsaf001/main.do?rcpNo=20260527900873", "공시열람")</f>
        <v/>
      </c>
    </row>
    <row r="6849">
      <c r="A6849" s="2" t="inlineStr">
        <is>
          <t>2026-05-27</t>
        </is>
      </c>
      <c r="B6849" s="3" t="inlineStr">
        <is>
          <t>알로이스</t>
        </is>
      </c>
      <c r="C6849" s="2" t="inlineStr">
        <is>
          <t>코스닥</t>
        </is>
      </c>
      <c r="D6849" s="2" t="inlineStr">
        <is>
          <t>297570</t>
        </is>
      </c>
      <c r="E6849" s="3" t="inlineStr">
        <is>
          <t>의결권대리행사권유참고서류</t>
        </is>
      </c>
      <c r="F6849" s="3" t="inlineStr">
        <is>
          <t>알로이스</t>
        </is>
      </c>
      <c r="G6849" s="2" t="inlineStr">
        <is>
          <t>20260527000610</t>
        </is>
      </c>
      <c r="H6849" s="8">
        <f>HYPERLINK("https://dart.fss.or.kr/dsaf001/main.do?rcpNo=20260527000610", "공시열람")</f>
        <v/>
      </c>
    </row>
    <row r="6850">
      <c r="A6850" s="2" t="inlineStr">
        <is>
          <t>2026-05-27</t>
        </is>
      </c>
      <c r="B6850" s="3" t="inlineStr">
        <is>
          <t>큐로셀</t>
        </is>
      </c>
      <c r="C6850" s="2" t="inlineStr">
        <is>
          <t>코스닥</t>
        </is>
      </c>
      <c r="D6850" s="2" t="inlineStr">
        <is>
          <t>372320</t>
        </is>
      </c>
      <c r="E6850" s="3" t="inlineStr">
        <is>
          <t>주식매수선택권부여에관한신고</t>
        </is>
      </c>
      <c r="F6850" s="3" t="inlineStr">
        <is>
          <t>큐로셀</t>
        </is>
      </c>
      <c r="G6850" s="2" t="inlineStr">
        <is>
          <t>20260527000611</t>
        </is>
      </c>
      <c r="H6850" s="8">
        <f>HYPERLINK("https://dart.fss.or.kr/dsaf001/main.do?rcpNo=20260527000611", "공시열람")</f>
        <v/>
      </c>
    </row>
    <row r="6851">
      <c r="A6851" s="2" t="inlineStr">
        <is>
          <t>2026-05-27</t>
        </is>
      </c>
      <c r="B6851" s="3" t="inlineStr">
        <is>
          <t>우듬지팜</t>
        </is>
      </c>
      <c r="C6851" s="2" t="inlineStr">
        <is>
          <t>코스닥</t>
        </is>
      </c>
      <c r="D6851" s="2" t="inlineStr">
        <is>
          <t>403490</t>
        </is>
      </c>
      <c r="E6851" s="3" t="inlineStr">
        <is>
          <t xml:space="preserve">주식병합결정              </t>
        </is>
      </c>
      <c r="F6851" s="3" t="inlineStr">
        <is>
          <t>우듬지팜</t>
        </is>
      </c>
      <c r="G6851" s="2" t="inlineStr">
        <is>
          <t>20260527900875</t>
        </is>
      </c>
      <c r="H6851" s="8">
        <f>HYPERLINK("https://dart.fss.or.kr/dsaf001/main.do?rcpNo=20260527900875", "공시열람")</f>
        <v/>
      </c>
    </row>
    <row r="6852">
      <c r="A6852" s="2" t="inlineStr">
        <is>
          <t>2026-05-27</t>
        </is>
      </c>
      <c r="B6852" s="3" t="inlineStr">
        <is>
          <t>신영증권</t>
        </is>
      </c>
      <c r="C6852" s="2" t="inlineStr">
        <is>
          <t>코스피</t>
        </is>
      </c>
      <c r="D6852" s="2" t="inlineStr">
        <is>
          <t>001720</t>
        </is>
      </c>
      <c r="E6852" s="3" t="inlineStr">
        <is>
          <t xml:space="preserve">현금ㆍ현물배당결정              </t>
        </is>
      </c>
      <c r="F6852" s="3" t="inlineStr">
        <is>
          <t>신영증권</t>
        </is>
      </c>
      <c r="G6852" s="2" t="inlineStr">
        <is>
          <t>20260527800887</t>
        </is>
      </c>
      <c r="H6852" s="8">
        <f>HYPERLINK("https://dart.fss.or.kr/dsaf001/main.do?rcpNo=20260527800887", "공시열람")</f>
        <v/>
      </c>
    </row>
    <row r="6853">
      <c r="A6853" s="2" t="inlineStr">
        <is>
          <t>2026-05-27</t>
        </is>
      </c>
      <c r="B6853" s="3" t="inlineStr">
        <is>
          <t>바이오플러스</t>
        </is>
      </c>
      <c r="C6853" s="2" t="inlineStr">
        <is>
          <t>코스닥</t>
        </is>
      </c>
      <c r="D6853" s="2" t="inlineStr">
        <is>
          <t>099430</t>
        </is>
      </c>
      <c r="E6853" s="3" t="inlineStr">
        <is>
          <t xml:space="preserve">기업설명회(IR)개최              </t>
        </is>
      </c>
      <c r="F6853" s="3" t="inlineStr">
        <is>
          <t>바이오플러스</t>
        </is>
      </c>
      <c r="G6853" s="2" t="inlineStr">
        <is>
          <t>20260527900877</t>
        </is>
      </c>
      <c r="H6853" s="8">
        <f>HYPERLINK("https://dart.fss.or.kr/dsaf001/main.do?rcpNo=20260527900877", "공시열람")</f>
        <v/>
      </c>
    </row>
    <row r="6854">
      <c r="A6854" s="2" t="inlineStr">
        <is>
          <t>2026-05-27</t>
        </is>
      </c>
      <c r="B6854" s="3" t="inlineStr">
        <is>
          <t>SK아이이테크놀로지</t>
        </is>
      </c>
      <c r="C6854" s="2" t="inlineStr">
        <is>
          <t>코스피</t>
        </is>
      </c>
      <c r="D6854" s="2" t="inlineStr">
        <is>
          <t>361610</t>
        </is>
      </c>
      <c r="E6854" s="3" t="inlineStr">
        <is>
          <t xml:space="preserve">생산중단              </t>
        </is>
      </c>
      <c r="F6854" s="3" t="inlineStr">
        <is>
          <t>SK아이이테크놀로지</t>
        </is>
      </c>
      <c r="G6854" s="2" t="inlineStr">
        <is>
          <t>20260527800868</t>
        </is>
      </c>
      <c r="H6854" s="8">
        <f>HYPERLINK("https://dart.fss.or.kr/dsaf001/main.do?rcpNo=20260527800868", "공시열람")</f>
        <v/>
      </c>
    </row>
    <row r="6855">
      <c r="A6855" s="2" t="inlineStr">
        <is>
          <t>2026-05-27</t>
        </is>
      </c>
      <c r="B6855" s="3" t="inlineStr">
        <is>
          <t>애드포러스</t>
        </is>
      </c>
      <c r="C6855" s="2" t="inlineStr">
        <is>
          <t>코스닥</t>
        </is>
      </c>
      <c r="D6855" s="2" t="inlineStr">
        <is>
          <t>397810</t>
        </is>
      </c>
      <c r="E6855" s="3" t="inlineStr">
        <is>
          <t>주요사항보고서(타법인주식및출자증권양수결정)</t>
        </is>
      </c>
      <c r="F6855" s="3" t="inlineStr">
        <is>
          <t>애드포러스</t>
        </is>
      </c>
      <c r="G6855" s="2" t="inlineStr">
        <is>
          <t>20260527000574</t>
        </is>
      </c>
      <c r="H6855" s="8">
        <f>HYPERLINK("https://dart.fss.or.kr/dsaf001/main.do?rcpNo=20260527000574", "공시열람")</f>
        <v/>
      </c>
    </row>
    <row r="6856">
      <c r="A6856" s="2" t="inlineStr">
        <is>
          <t>2026-05-27</t>
        </is>
      </c>
      <c r="B6856" s="3" t="inlineStr">
        <is>
          <t>SK아이이테크놀로지</t>
        </is>
      </c>
      <c r="C6856" s="2" t="inlineStr">
        <is>
          <t>코스피</t>
        </is>
      </c>
      <c r="D6856" s="2" t="inlineStr">
        <is>
          <t>361610</t>
        </is>
      </c>
      <c r="E6856" s="3" t="inlineStr">
        <is>
          <t xml:space="preserve">타법인주식및출자증권취득결정              </t>
        </is>
      </c>
      <c r="F6856" s="3" t="inlineStr">
        <is>
          <t>SK아이이테크놀로지</t>
        </is>
      </c>
      <c r="G6856" s="2" t="inlineStr">
        <is>
          <t>20260527800750</t>
        </is>
      </c>
      <c r="H6856" s="8">
        <f>HYPERLINK("https://dart.fss.or.kr/dsaf001/main.do?rcpNo=20260527800750", "공시열람")</f>
        <v/>
      </c>
    </row>
    <row r="6857">
      <c r="A6857" s="2" t="inlineStr">
        <is>
          <t>2026-05-27</t>
        </is>
      </c>
      <c r="B6857" s="3" t="inlineStr">
        <is>
          <t>다이나믹솔루션</t>
        </is>
      </c>
      <c r="C6857" s="2" t="inlineStr">
        <is>
          <t>코스닥</t>
        </is>
      </c>
      <c r="D6857" s="2" t="inlineStr">
        <is>
          <t>290660</t>
        </is>
      </c>
      <c r="E6857" s="3" t="inlineStr">
        <is>
          <t xml:space="preserve">[기재정정]주식병합결정              </t>
        </is>
      </c>
      <c r="F6857" s="3" t="inlineStr">
        <is>
          <t>다이나믹솔루션</t>
        </is>
      </c>
      <c r="G6857" s="2" t="inlineStr">
        <is>
          <t>20260527900865</t>
        </is>
      </c>
      <c r="H6857" s="8">
        <f>HYPERLINK("https://dart.fss.or.kr/dsaf001/main.do?rcpNo=20260527900865", "공시열람")</f>
        <v/>
      </c>
    </row>
    <row r="6858">
      <c r="A6858" s="2" t="inlineStr">
        <is>
          <t>2026-05-27</t>
        </is>
      </c>
      <c r="B6858" s="3" t="inlineStr">
        <is>
          <t>영화금속</t>
        </is>
      </c>
      <c r="C6858" s="2" t="inlineStr">
        <is>
          <t>코스피</t>
        </is>
      </c>
      <c r="D6858" s="2" t="inlineStr">
        <is>
          <t>012280</t>
        </is>
      </c>
      <c r="E6858" s="3" t="inlineStr">
        <is>
          <t>주요사항보고서(자기전환사채만기전취득결정)</t>
        </is>
      </c>
      <c r="F6858" s="3" t="inlineStr">
        <is>
          <t>영화금속</t>
        </is>
      </c>
      <c r="G6858" s="2" t="inlineStr">
        <is>
          <t>20260527000578</t>
        </is>
      </c>
      <c r="H6858" s="8">
        <f>HYPERLINK("https://dart.fss.or.kr/dsaf001/main.do?rcpNo=20260527000578", "공시열람")</f>
        <v/>
      </c>
    </row>
    <row r="6859">
      <c r="A6859" s="2" t="inlineStr">
        <is>
          <t>2026-05-27</t>
        </is>
      </c>
      <c r="B6859" s="3" t="inlineStr">
        <is>
          <t>LG전자</t>
        </is>
      </c>
      <c r="C6859" s="2" t="inlineStr">
        <is>
          <t>코스피</t>
        </is>
      </c>
      <c r="D6859" s="2" t="inlineStr">
        <is>
          <t>066570</t>
        </is>
      </c>
      <c r="E6859" s="3" t="inlineStr">
        <is>
          <t>[발행조건확정]증권신고서(채무증권)</t>
        </is>
      </c>
      <c r="F6859" s="3" t="inlineStr">
        <is>
          <t>LG전자</t>
        </is>
      </c>
      <c r="G6859" s="2" t="inlineStr">
        <is>
          <t>20260527000588</t>
        </is>
      </c>
      <c r="H6859" s="8">
        <f>HYPERLINK("https://dart.fss.or.kr/dsaf001/main.do?rcpNo=20260527000588", "공시열람")</f>
        <v/>
      </c>
    </row>
    <row r="6860">
      <c r="A6860" s="2" t="inlineStr">
        <is>
          <t>2026-05-27</t>
        </is>
      </c>
      <c r="B6860" s="3" t="inlineStr">
        <is>
          <t>태광산업</t>
        </is>
      </c>
      <c r="C6860" s="2" t="inlineStr">
        <is>
          <t>코스피</t>
        </is>
      </c>
      <c r="D6860" s="2" t="inlineStr">
        <is>
          <t>003240</t>
        </is>
      </c>
      <c r="E6860" s="3" t="inlineStr">
        <is>
          <t>[기재정정]대규모기업집단현황공시[분기별공시(대표회사용)]</t>
        </is>
      </c>
      <c r="F6860" s="3" t="inlineStr">
        <is>
          <t>태광산업</t>
        </is>
      </c>
      <c r="G6860" s="2" t="inlineStr">
        <is>
          <t>20260527000585</t>
        </is>
      </c>
      <c r="H6860" s="8">
        <f>HYPERLINK("https://dart.fss.or.kr/dsaf001/main.do?rcpNo=20260527000585", "공시열람")</f>
        <v/>
      </c>
    </row>
    <row r="6861">
      <c r="A6861" s="2" t="inlineStr">
        <is>
          <t>2026-05-27</t>
        </is>
      </c>
      <c r="B6861" s="3" t="inlineStr">
        <is>
          <t>해성디에스</t>
        </is>
      </c>
      <c r="C6861" s="2" t="inlineStr">
        <is>
          <t>코스피</t>
        </is>
      </c>
      <c r="D6861" s="2" t="inlineStr">
        <is>
          <t>195870</t>
        </is>
      </c>
      <c r="E6861" s="3" t="inlineStr">
        <is>
          <t>임원ㆍ주요주주특정증권등소유상황보고서</t>
        </is>
      </c>
      <c r="F6861" s="3" t="inlineStr">
        <is>
          <t>이동주</t>
        </is>
      </c>
      <c r="G6861" s="2" t="inlineStr">
        <is>
          <t>20260527000584</t>
        </is>
      </c>
      <c r="H6861" s="8">
        <f>HYPERLINK("https://dart.fss.or.kr/dsaf001/main.do?rcpNo=20260527000584", "공시열람")</f>
        <v/>
      </c>
    </row>
    <row r="6862">
      <c r="A6862" s="2" t="inlineStr">
        <is>
          <t>2026-05-27 (정정: 2026-06-02)</t>
        </is>
      </c>
      <c r="B6862" s="3" t="inlineStr">
        <is>
          <t>DB손해보험</t>
        </is>
      </c>
      <c r="C6862" s="2" t="inlineStr">
        <is>
          <t>코스피</t>
        </is>
      </c>
      <c r="D6862" s="2" t="inlineStr">
        <is>
          <t>005830</t>
        </is>
      </c>
      <c r="E6862" s="3" t="inlineStr">
        <is>
          <t>증권신고서(채무증권) (정정: 20260602)</t>
        </is>
      </c>
      <c r="F6862" s="3" t="inlineStr">
        <is>
          <t>DB손해보험</t>
        </is>
      </c>
      <c r="G6862" s="2" t="inlineStr">
        <is>
          <t>20260602000508</t>
        </is>
      </c>
      <c r="H6862" s="8">
        <f>HYPERLINK("https://dart.fss.or.kr/dsaf001/main.do?rcpNo=20260602000508", "공시열람")</f>
        <v/>
      </c>
    </row>
    <row r="6863">
      <c r="A6863" s="2" t="inlineStr">
        <is>
          <t>2026-05-27</t>
        </is>
      </c>
      <c r="B6863" s="3" t="inlineStr">
        <is>
          <t>마키나락스</t>
        </is>
      </c>
      <c r="C6863" s="2" t="inlineStr">
        <is>
          <t>코스닥</t>
        </is>
      </c>
      <c r="D6863" s="2" t="inlineStr">
        <is>
          <t>477850</t>
        </is>
      </c>
      <c r="E6863" s="3" t="inlineStr">
        <is>
          <t>임원ㆍ주요주주특정증권등소유상황보고서</t>
        </is>
      </c>
      <c r="F6863" s="3" t="inlineStr">
        <is>
          <t>임용섭</t>
        </is>
      </c>
      <c r="G6863" s="2" t="inlineStr">
        <is>
          <t>20260527000575</t>
        </is>
      </c>
      <c r="H6863" s="8">
        <f>HYPERLINK("https://dart.fss.or.kr/dsaf001/main.do?rcpNo=20260527000575", "공시열람")</f>
        <v/>
      </c>
    </row>
    <row r="6864">
      <c r="A6864" s="2" t="inlineStr">
        <is>
          <t>2026-05-27</t>
        </is>
      </c>
      <c r="B6864" s="3" t="inlineStr">
        <is>
          <t>티이엠씨</t>
        </is>
      </c>
      <c r="C6864" s="2" t="inlineStr">
        <is>
          <t>코스닥</t>
        </is>
      </c>
      <c r="D6864" s="2" t="inlineStr">
        <is>
          <t>425040</t>
        </is>
      </c>
      <c r="E6864" s="3" t="inlineStr">
        <is>
          <t>전환청구권행사              (제1회차)</t>
        </is>
      </c>
      <c r="F6864" s="3" t="inlineStr">
        <is>
          <t>티이엠씨</t>
        </is>
      </c>
      <c r="G6864" s="2" t="inlineStr">
        <is>
          <t>20260527900795</t>
        </is>
      </c>
      <c r="H6864" s="8">
        <f>HYPERLINK("https://dart.fss.or.kr/dsaf001/main.do?rcpNo=20260527900795", "공시열람")</f>
        <v/>
      </c>
    </row>
    <row r="6865">
      <c r="A6865" s="2" t="inlineStr">
        <is>
          <t>2026-05-27</t>
        </is>
      </c>
      <c r="B6865" s="3" t="inlineStr">
        <is>
          <t>페스카로</t>
        </is>
      </c>
      <c r="C6865" s="2" t="inlineStr">
        <is>
          <t>코스닥</t>
        </is>
      </c>
      <c r="D6865" s="2" t="inlineStr">
        <is>
          <t>0015S0</t>
        </is>
      </c>
      <c r="E6865" s="3" t="inlineStr">
        <is>
          <t xml:space="preserve">기업설명회(IR)개최              </t>
        </is>
      </c>
      <c r="F6865" s="3" t="inlineStr">
        <is>
          <t>페스카로</t>
        </is>
      </c>
      <c r="G6865" s="2" t="inlineStr">
        <is>
          <t>20260527900815</t>
        </is>
      </c>
      <c r="H6865" s="8">
        <f>HYPERLINK("https://dart.fss.or.kr/dsaf001/main.do?rcpNo=20260527900815", "공시열람")</f>
        <v/>
      </c>
    </row>
    <row r="6866">
      <c r="A6866" s="2" t="inlineStr">
        <is>
          <t>2026-05-27</t>
        </is>
      </c>
      <c r="B6866" s="3" t="inlineStr">
        <is>
          <t>STX그린로지스</t>
        </is>
      </c>
      <c r="C6866" s="2" t="inlineStr">
        <is>
          <t>코스피</t>
        </is>
      </c>
      <c r="D6866" s="2" t="inlineStr">
        <is>
          <t>465770</t>
        </is>
      </c>
      <c r="E6866" s="3" t="inlineStr">
        <is>
          <t xml:space="preserve">유형자산처분결정              </t>
        </is>
      </c>
      <c r="F6866" s="3" t="inlineStr">
        <is>
          <t>STX그린로지스</t>
        </is>
      </c>
      <c r="G6866" s="2" t="inlineStr">
        <is>
          <t>20260527800817</t>
        </is>
      </c>
      <c r="H6866" s="8">
        <f>HYPERLINK("https://dart.fss.or.kr/dsaf001/main.do?rcpNo=20260527800817", "공시열람")</f>
        <v/>
      </c>
    </row>
    <row r="6867">
      <c r="A6867" s="2" t="inlineStr">
        <is>
          <t>2026-05-27</t>
        </is>
      </c>
      <c r="B6867" s="3" t="inlineStr">
        <is>
          <t>덕산네오룩스</t>
        </is>
      </c>
      <c r="C6867" s="2" t="inlineStr">
        <is>
          <t>코스닥</t>
        </is>
      </c>
      <c r="D6867" s="2" t="inlineStr">
        <is>
          <t>213420</t>
        </is>
      </c>
      <c r="E6867" s="3" t="inlineStr">
        <is>
          <t xml:space="preserve">타법인주식및출자증권취득결정(종속회사의주요경영사항)              </t>
        </is>
      </c>
      <c r="F6867" s="3" t="inlineStr">
        <is>
          <t>덕산네오룩스</t>
        </is>
      </c>
      <c r="G6867" s="2" t="inlineStr">
        <is>
          <t>20260527900820</t>
        </is>
      </c>
      <c r="H6867" s="8">
        <f>HYPERLINK("https://dart.fss.or.kr/dsaf001/main.do?rcpNo=20260527900820", "공시열람")</f>
        <v/>
      </c>
    </row>
    <row r="6868">
      <c r="A6868" s="2" t="inlineStr">
        <is>
          <t>2026-05-27</t>
        </is>
      </c>
      <c r="B6868" s="3" t="inlineStr">
        <is>
          <t>한솔케미칼</t>
        </is>
      </c>
      <c r="C6868" s="2" t="inlineStr">
        <is>
          <t>코스피</t>
        </is>
      </c>
      <c r="D6868" s="2" t="inlineStr">
        <is>
          <t>014680</t>
        </is>
      </c>
      <c r="E6868" s="3" t="inlineStr">
        <is>
          <t>자기주식처분결과보고서</t>
        </is>
      </c>
      <c r="F6868" s="3" t="inlineStr">
        <is>
          <t>한솔케미칼</t>
        </is>
      </c>
      <c r="G6868" s="2" t="inlineStr">
        <is>
          <t>20260527000567</t>
        </is>
      </c>
      <c r="H6868" s="8">
        <f>HYPERLINK("https://dart.fss.or.kr/dsaf001/main.do?rcpNo=20260527000567", "공시열람")</f>
        <v/>
      </c>
    </row>
    <row r="6869">
      <c r="A6869" s="2" t="inlineStr">
        <is>
          <t>2026-05-27</t>
        </is>
      </c>
      <c r="B6869" s="3" t="inlineStr">
        <is>
          <t>쏘카</t>
        </is>
      </c>
      <c r="C6869" s="2" t="inlineStr">
        <is>
          <t>코스피</t>
        </is>
      </c>
      <c r="D6869" s="2" t="inlineStr">
        <is>
          <t>403550</t>
        </is>
      </c>
      <c r="E6869" s="3" t="inlineStr">
        <is>
          <t>임원ㆍ주요주주특정증권등소유상황보고서</t>
        </is>
      </c>
      <c r="F6869" s="3" t="inlineStr">
        <is>
          <t>크래프톤</t>
        </is>
      </c>
      <c r="G6869" s="2" t="inlineStr">
        <is>
          <t>20260527000566</t>
        </is>
      </c>
      <c r="H6869" s="8">
        <f>HYPERLINK("https://dart.fss.or.kr/dsaf001/main.do?rcpNo=20260527000566", "공시열람")</f>
        <v/>
      </c>
    </row>
    <row r="6870">
      <c r="A6870" s="2" t="inlineStr">
        <is>
          <t>2026-05-27</t>
        </is>
      </c>
      <c r="B6870" s="3" t="inlineStr">
        <is>
          <t>삼천리</t>
        </is>
      </c>
      <c r="C6870" s="2" t="inlineStr">
        <is>
          <t>코스피</t>
        </is>
      </c>
      <c r="D6870" s="2" t="inlineStr">
        <is>
          <t>004690</t>
        </is>
      </c>
      <c r="E6870" s="3" t="inlineStr">
        <is>
          <t>[발행조건확정]증권신고서(채무증권)</t>
        </is>
      </c>
      <c r="F6870" s="3" t="inlineStr">
        <is>
          <t>삼천리</t>
        </is>
      </c>
      <c r="G6870" s="2" t="inlineStr">
        <is>
          <t>20260527000564</t>
        </is>
      </c>
      <c r="H6870" s="8">
        <f>HYPERLINK("https://dart.fss.or.kr/dsaf001/main.do?rcpNo=20260527000564", "공시열람")</f>
        <v/>
      </c>
    </row>
    <row r="6871">
      <c r="A6871" s="2" t="inlineStr">
        <is>
          <t>2026-05-27</t>
        </is>
      </c>
      <c r="B6871" s="3" t="inlineStr">
        <is>
          <t>케이피엠테크</t>
        </is>
      </c>
      <c r="C6871" s="2" t="inlineStr">
        <is>
          <t>코스닥</t>
        </is>
      </c>
      <c r="D6871" s="2" t="inlineStr">
        <is>
          <t>042040</t>
        </is>
      </c>
      <c r="E6871" s="3" t="inlineStr">
        <is>
          <t xml:space="preserve">전환사채(해외전환사채포함)발행후만기전사채취득              </t>
        </is>
      </c>
      <c r="F6871" s="3" t="inlineStr">
        <is>
          <t>케이피엠테크</t>
        </is>
      </c>
      <c r="G6871" s="2" t="inlineStr">
        <is>
          <t>20260527900813</t>
        </is>
      </c>
      <c r="H6871" s="8">
        <f>HYPERLINK("https://dart.fss.or.kr/dsaf001/main.do?rcpNo=20260527900813", "공시열람")</f>
        <v/>
      </c>
    </row>
    <row r="6872">
      <c r="A6872" s="2" t="inlineStr">
        <is>
          <t>2026-05-27</t>
        </is>
      </c>
      <c r="B6872" s="3" t="inlineStr">
        <is>
          <t>키움증권</t>
        </is>
      </c>
      <c r="C6872" s="2" t="inlineStr">
        <is>
          <t>코스피</t>
        </is>
      </c>
      <c r="D6872" s="2" t="inlineStr">
        <is>
          <t>039490</t>
        </is>
      </c>
      <c r="E6872" s="3" t="inlineStr">
        <is>
          <t>투자설명서(일괄신고)</t>
        </is>
      </c>
      <c r="F6872" s="3" t="inlineStr">
        <is>
          <t>키움증권</t>
        </is>
      </c>
      <c r="G6872" s="2" t="inlineStr">
        <is>
          <t>20260527000560</t>
        </is>
      </c>
      <c r="H6872" s="8">
        <f>HYPERLINK("https://dart.fss.or.kr/dsaf001/main.do?rcpNo=20260527000560", "공시열람")</f>
        <v/>
      </c>
    </row>
    <row r="6873">
      <c r="A6873" s="2" t="inlineStr">
        <is>
          <t>2026-05-27</t>
        </is>
      </c>
      <c r="B6873" s="3" t="inlineStr">
        <is>
          <t>현대모비스</t>
        </is>
      </c>
      <c r="C6873" s="2" t="inlineStr">
        <is>
          <t>코스피</t>
        </is>
      </c>
      <c r="D6873" s="2" t="inlineStr">
        <is>
          <t>012330</t>
        </is>
      </c>
      <c r="E6873" s="3" t="inlineStr">
        <is>
          <t xml:space="preserve">기업설명회(IR)개최(안내공시)              </t>
        </is>
      </c>
      <c r="F6873" s="3" t="inlineStr">
        <is>
          <t>현대모비스</t>
        </is>
      </c>
      <c r="G6873" s="2" t="inlineStr">
        <is>
          <t>20260527800811</t>
        </is>
      </c>
      <c r="H6873" s="8">
        <f>HYPERLINK("https://dart.fss.or.kr/dsaf001/main.do?rcpNo=20260527800811", "공시열람")</f>
        <v/>
      </c>
    </row>
    <row r="6874">
      <c r="A6874" s="2" t="inlineStr">
        <is>
          <t>2026-05-27</t>
        </is>
      </c>
      <c r="B6874" s="3" t="inlineStr">
        <is>
          <t>코오롱글로벌</t>
        </is>
      </c>
      <c r="C6874" s="2" t="inlineStr">
        <is>
          <t>코스피</t>
        </is>
      </c>
      <c r="D6874" s="2" t="inlineStr">
        <is>
          <t>003070</t>
        </is>
      </c>
      <c r="E6874" s="3" t="inlineStr">
        <is>
          <t xml:space="preserve">풍문또는보도에대한해명(미확정)              </t>
        </is>
      </c>
      <c r="F6874" s="3" t="inlineStr">
        <is>
          <t>코오롱글로벌</t>
        </is>
      </c>
      <c r="G6874" s="2" t="inlineStr">
        <is>
          <t>20260527800769</t>
        </is>
      </c>
      <c r="H6874" s="8">
        <f>HYPERLINK("https://dart.fss.or.kr/dsaf001/main.do?rcpNo=20260527800769", "공시열람")</f>
        <v/>
      </c>
    </row>
    <row r="6875">
      <c r="A6875" s="2" t="inlineStr">
        <is>
          <t>2026-05-27</t>
        </is>
      </c>
      <c r="B6875" s="3" t="inlineStr">
        <is>
          <t>넥스틸</t>
        </is>
      </c>
      <c r="C6875" s="2" t="inlineStr">
        <is>
          <t>코스피</t>
        </is>
      </c>
      <c r="D6875" s="2" t="inlineStr">
        <is>
          <t>092790</t>
        </is>
      </c>
      <c r="E6875" s="3" t="inlineStr">
        <is>
          <t xml:space="preserve">투자판단관련주요경영사항              </t>
        </is>
      </c>
      <c r="F6875" s="3" t="inlineStr">
        <is>
          <t>넥스틸</t>
        </is>
      </c>
      <c r="G6875" s="2" t="inlineStr">
        <is>
          <t>20260527800787</t>
        </is>
      </c>
      <c r="H6875" s="8">
        <f>HYPERLINK("https://dart.fss.or.kr/dsaf001/main.do?rcpNo=20260527800787", "공시열람")</f>
        <v/>
      </c>
    </row>
    <row r="6876">
      <c r="A6876" s="2" t="inlineStr">
        <is>
          <t>2026-05-27</t>
        </is>
      </c>
      <c r="B6876" s="3" t="inlineStr">
        <is>
          <t>기가레인</t>
        </is>
      </c>
      <c r="C6876" s="2" t="inlineStr">
        <is>
          <t>코스닥</t>
        </is>
      </c>
      <c r="D6876" s="2" t="inlineStr">
        <is>
          <t>049080</t>
        </is>
      </c>
      <c r="E6876" s="3" t="inlineStr">
        <is>
          <t>임원ㆍ주요주주특정증권등소유상황보고서</t>
        </is>
      </c>
      <c r="F6876" s="3" t="inlineStr">
        <is>
          <t>네오플럭스제3호사모투자</t>
        </is>
      </c>
      <c r="G6876" s="2" t="inlineStr">
        <is>
          <t>20260527000549</t>
        </is>
      </c>
      <c r="H6876" s="8">
        <f>HYPERLINK("https://dart.fss.or.kr/dsaf001/main.do?rcpNo=20260527000549", "공시열람")</f>
        <v/>
      </c>
    </row>
    <row r="6877">
      <c r="A6877" s="2" t="inlineStr">
        <is>
          <t>2026-05-27</t>
        </is>
      </c>
      <c r="B6877" s="3" t="inlineStr">
        <is>
          <t>HB테크놀러지</t>
        </is>
      </c>
      <c r="C6877" s="2" t="inlineStr">
        <is>
          <t>코스닥</t>
        </is>
      </c>
      <c r="D6877" s="2" t="inlineStr">
        <is>
          <t>078150</t>
        </is>
      </c>
      <c r="E6877" s="3" t="inlineStr">
        <is>
          <t>임원ㆍ주요주주특정증권등소유상황보고서</t>
        </is>
      </c>
      <c r="F6877" s="3" t="inlineStr">
        <is>
          <t>김윤혁</t>
        </is>
      </c>
      <c r="G6877" s="2" t="inlineStr">
        <is>
          <t>20260527000544</t>
        </is>
      </c>
      <c r="H6877" s="8">
        <f>HYPERLINK("https://dart.fss.or.kr/dsaf001/main.do?rcpNo=20260527000544", "공시열람")</f>
        <v/>
      </c>
    </row>
    <row r="6878">
      <c r="A6878" s="2" t="inlineStr">
        <is>
          <t>2026-05-27</t>
        </is>
      </c>
      <c r="B6878" s="3" t="inlineStr">
        <is>
          <t>바이오인프라생명과학</t>
        </is>
      </c>
      <c r="C6878" s="2" t="inlineStr">
        <is>
          <t>코넥스</t>
        </is>
      </c>
      <c r="D6878" s="2" t="inlineStr">
        <is>
          <t>266470</t>
        </is>
      </c>
      <c r="E6878" s="3" t="inlineStr">
        <is>
          <t xml:space="preserve">기업설명회(IR)개최결과              </t>
        </is>
      </c>
      <c r="F6878" s="3" t="inlineStr">
        <is>
          <t>바이오인프라생명과학</t>
        </is>
      </c>
      <c r="G6878" s="2" t="inlineStr">
        <is>
          <t>20260527600786</t>
        </is>
      </c>
      <c r="H6878" s="8">
        <f>HYPERLINK("https://dart.fss.or.kr/dsaf001/main.do?rcpNo=20260527600786", "공시열람")</f>
        <v/>
      </c>
    </row>
    <row r="6879">
      <c r="A6879" s="2" t="inlineStr">
        <is>
          <t>2026-05-27</t>
        </is>
      </c>
      <c r="B6879" s="3" t="inlineStr">
        <is>
          <t>삼성증권</t>
        </is>
      </c>
      <c r="C6879" s="2" t="inlineStr">
        <is>
          <t>코스피</t>
        </is>
      </c>
      <c r="D6879" s="2" t="inlineStr">
        <is>
          <t>016360</t>
        </is>
      </c>
      <c r="E6879" s="3" t="inlineStr">
        <is>
          <t>증권발행실적보고서</t>
        </is>
      </c>
      <c r="F6879" s="3" t="inlineStr">
        <is>
          <t>삼성증권</t>
        </is>
      </c>
      <c r="G6879" s="2" t="inlineStr">
        <is>
          <t>20260527000542</t>
        </is>
      </c>
      <c r="H6879" s="8">
        <f>HYPERLINK("https://dart.fss.or.kr/dsaf001/main.do?rcpNo=20260527000542", "공시열람")</f>
        <v/>
      </c>
    </row>
    <row r="6880">
      <c r="A6880" s="2" t="inlineStr">
        <is>
          <t>2026-05-27 (정정: 2026-06-08)</t>
        </is>
      </c>
      <c r="B6880" s="3" t="inlineStr">
        <is>
          <t>크래프톤</t>
        </is>
      </c>
      <c r="C6880" s="2" t="inlineStr">
        <is>
          <t>코스피</t>
        </is>
      </c>
      <c r="D6880" s="2" t="inlineStr">
        <is>
          <t>259960</t>
        </is>
      </c>
      <c r="E6880" s="3" t="inlineStr">
        <is>
          <t>임원ㆍ주요주주특정증권등소유상황보고서 (정정: 20260608)</t>
        </is>
      </c>
      <c r="F6880" s="3" t="inlineStr">
        <is>
          <t>박혜리</t>
        </is>
      </c>
      <c r="G6880" s="2" t="inlineStr">
        <is>
          <t>20260608800675</t>
        </is>
      </c>
      <c r="H6880" s="8">
        <f>HYPERLINK("https://dart.fss.or.kr/dsaf001/main.do?rcpNo=20260608800675", "공시열람")</f>
        <v/>
      </c>
    </row>
    <row r="6881">
      <c r="A6881" s="2" t="inlineStr">
        <is>
          <t>2026-05-27</t>
        </is>
      </c>
      <c r="B6881" s="3" t="inlineStr">
        <is>
          <t>한국가스공사</t>
        </is>
      </c>
      <c r="C6881" s="2" t="inlineStr">
        <is>
          <t>코스피</t>
        </is>
      </c>
      <c r="D6881" s="2" t="inlineStr">
        <is>
          <t>036460</t>
        </is>
      </c>
      <c r="E6881" s="3" t="inlineStr">
        <is>
          <t>사외이사의선임ㆍ해임또는중도퇴임에관한신고</t>
        </is>
      </c>
      <c r="F6881" s="3" t="inlineStr">
        <is>
          <t>한국가스공사</t>
        </is>
      </c>
      <c r="G6881" s="2" t="inlineStr">
        <is>
          <t>20260527000539</t>
        </is>
      </c>
      <c r="H6881" s="8">
        <f>HYPERLINK("https://dart.fss.or.kr/dsaf001/main.do?rcpNo=20260527000539", "공시열람")</f>
        <v/>
      </c>
    </row>
    <row r="6882">
      <c r="A6882" s="2" t="inlineStr">
        <is>
          <t>2026-05-27</t>
        </is>
      </c>
      <c r="B6882" s="3" t="inlineStr">
        <is>
          <t>앱토크롬</t>
        </is>
      </c>
      <c r="C6882" s="2" t="inlineStr">
        <is>
          <t>코스닥</t>
        </is>
      </c>
      <c r="D6882" s="2" t="inlineStr">
        <is>
          <t>109960</t>
        </is>
      </c>
      <c r="E6882" s="3" t="inlineStr">
        <is>
          <t>주권매매거래정지해제              (감자 주권 변경상장)</t>
        </is>
      </c>
      <c r="F6882" s="3" t="inlineStr">
        <is>
          <t>코스닥시장본부</t>
        </is>
      </c>
      <c r="G6882" s="2" t="inlineStr">
        <is>
          <t>20260527900697</t>
        </is>
      </c>
      <c r="H6882" s="8">
        <f>HYPERLINK("https://dart.fss.or.kr/dsaf001/main.do?rcpNo=20260527900697", "공시열람")</f>
        <v/>
      </c>
    </row>
    <row r="6883">
      <c r="A6883" s="2" t="inlineStr">
        <is>
          <t>2026-05-27</t>
        </is>
      </c>
      <c r="B6883" s="3" t="inlineStr">
        <is>
          <t>SAMG엔터</t>
        </is>
      </c>
      <c r="C6883" s="2" t="inlineStr">
        <is>
          <t>코스닥</t>
        </is>
      </c>
      <c r="D6883" s="2" t="inlineStr">
        <is>
          <t>419530</t>
        </is>
      </c>
      <c r="E6883" s="3" t="inlineStr">
        <is>
          <t xml:space="preserve">주식매수선택권행사              </t>
        </is>
      </c>
      <c r="F6883" s="3" t="inlineStr">
        <is>
          <t>SAMG엔터</t>
        </is>
      </c>
      <c r="G6883" s="2" t="inlineStr">
        <is>
          <t>20260527900736</t>
        </is>
      </c>
      <c r="H6883" s="8">
        <f>HYPERLINK("https://dart.fss.or.kr/dsaf001/main.do?rcpNo=20260527900736", "공시열람")</f>
        <v/>
      </c>
    </row>
    <row r="6884">
      <c r="A6884" s="2" t="inlineStr">
        <is>
          <t>2026-05-27 (정정: 2026-05-29)</t>
        </is>
      </c>
      <c r="B6884" s="3" t="inlineStr">
        <is>
          <t>일신방직</t>
        </is>
      </c>
      <c r="C6884" s="2" t="inlineStr">
        <is>
          <t>코스피</t>
        </is>
      </c>
      <c r="D6884" s="2" t="inlineStr">
        <is>
          <t>003200</t>
        </is>
      </c>
      <c r="E6884" s="3" t="inlineStr">
        <is>
          <t>기업지배구조보고서공시               (정정: 20260529)</t>
        </is>
      </c>
      <c r="F6884" s="3" t="inlineStr">
        <is>
          <t>일신방직</t>
        </is>
      </c>
      <c r="G6884" s="2" t="inlineStr">
        <is>
          <t>20260529802090</t>
        </is>
      </c>
      <c r="H6884" s="8">
        <f>HYPERLINK("https://dart.fss.or.kr/dsaf001/main.do?rcpNo=20260529802090", "공시열람")</f>
        <v/>
      </c>
    </row>
    <row r="6885">
      <c r="A6885" s="2" t="inlineStr">
        <is>
          <t>2026-05-27</t>
        </is>
      </c>
      <c r="B6885" s="3" t="inlineStr">
        <is>
          <t>나노</t>
        </is>
      </c>
      <c r="C6885" s="2" t="inlineStr">
        <is>
          <t>코스닥</t>
        </is>
      </c>
      <c r="D6885" s="2" t="inlineStr">
        <is>
          <t>187790</t>
        </is>
      </c>
      <c r="E6885" s="3" t="inlineStr">
        <is>
          <t xml:space="preserve">단기차입금증가결정              </t>
        </is>
      </c>
      <c r="F6885" s="3" t="inlineStr">
        <is>
          <t>나노</t>
        </is>
      </c>
      <c r="G6885" s="2" t="inlineStr">
        <is>
          <t>20260527900702</t>
        </is>
      </c>
      <c r="H6885" s="8">
        <f>HYPERLINK("https://dart.fss.or.kr/dsaf001/main.do?rcpNo=20260527900702", "공시열람")</f>
        <v/>
      </c>
    </row>
    <row r="6886">
      <c r="A6886" s="2" t="inlineStr">
        <is>
          <t>2026-05-27</t>
        </is>
      </c>
      <c r="B6886" s="3" t="inlineStr">
        <is>
          <t>엘디티</t>
        </is>
      </c>
      <c r="C6886" s="2" t="inlineStr">
        <is>
          <t>코스닥</t>
        </is>
      </c>
      <c r="D6886" s="2" t="inlineStr">
        <is>
          <t>096870</t>
        </is>
      </c>
      <c r="E6886" s="3" t="inlineStr">
        <is>
          <t>주요사항보고서(소송등의제기)</t>
        </is>
      </c>
      <c r="F6886" s="3" t="inlineStr">
        <is>
          <t>엘디티</t>
        </is>
      </c>
      <c r="G6886" s="2" t="inlineStr">
        <is>
          <t>20260527000448</t>
        </is>
      </c>
      <c r="H6886" s="8">
        <f>HYPERLINK("https://dart.fss.or.kr/dsaf001/main.do?rcpNo=20260527000448", "공시열람")</f>
        <v/>
      </c>
    </row>
    <row r="6887">
      <c r="A6887" s="2" t="inlineStr">
        <is>
          <t>2026-05-27</t>
        </is>
      </c>
      <c r="B6887" s="3" t="inlineStr">
        <is>
          <t>원일티엔아이</t>
        </is>
      </c>
      <c r="C6887" s="2" t="inlineStr">
        <is>
          <t>코스닥</t>
        </is>
      </c>
      <c r="D6887" s="2" t="inlineStr">
        <is>
          <t>136150</t>
        </is>
      </c>
      <c r="E6887" s="3" t="inlineStr">
        <is>
          <t xml:space="preserve">주주명부폐쇄기간또는기준일설정              </t>
        </is>
      </c>
      <c r="F6887" s="3" t="inlineStr">
        <is>
          <t>원일티엔아이</t>
        </is>
      </c>
      <c r="G6887" s="2" t="inlineStr">
        <is>
          <t>20260527900722</t>
        </is>
      </c>
      <c r="H6887" s="8">
        <f>HYPERLINK("https://dart.fss.or.kr/dsaf001/main.do?rcpNo=20260527900722", "공시열람")</f>
        <v/>
      </c>
    </row>
    <row r="6888">
      <c r="A6888" s="2" t="inlineStr">
        <is>
          <t>2026-05-27 (정정: 2026-06-26)</t>
        </is>
      </c>
      <c r="B6888" s="3" t="inlineStr">
        <is>
          <t>이원컴포텍</t>
        </is>
      </c>
      <c r="C6888" s="2" t="inlineStr">
        <is>
          <t>코스닥</t>
        </is>
      </c>
      <c r="D6888" s="2" t="inlineStr">
        <is>
          <t>088290</t>
        </is>
      </c>
      <c r="E6888" s="3" t="inlineStr">
        <is>
          <t>주권매매거래정지해제              (액면병합 주권 변경상장) (정정: 20260626)</t>
        </is>
      </c>
      <c r="F6888" s="3" t="inlineStr">
        <is>
          <t>코스닥시장본부</t>
        </is>
      </c>
      <c r="G6888" s="2" t="inlineStr">
        <is>
          <t>20260626000139</t>
        </is>
      </c>
      <c r="H6888" s="8">
        <f>HYPERLINK("https://dart.fss.or.kr/dsaf001/main.do?rcpNo=20260626000139", "공시열람")</f>
        <v/>
      </c>
    </row>
    <row r="6889">
      <c r="A6889" s="2" t="inlineStr">
        <is>
          <t>2026-05-27</t>
        </is>
      </c>
      <c r="B6889" s="3" t="inlineStr">
        <is>
          <t>애니메디솔루션</t>
        </is>
      </c>
      <c r="C6889" s="2" t="inlineStr">
        <is>
          <t>코넥스</t>
        </is>
      </c>
      <c r="D6889" s="2" t="inlineStr">
        <is>
          <t>390110</t>
        </is>
      </c>
      <c r="E6889" s="3" t="inlineStr">
        <is>
          <t xml:space="preserve">기업설명회(IR)개최결과              </t>
        </is>
      </c>
      <c r="F6889" s="3" t="inlineStr">
        <is>
          <t>애니메디솔루션</t>
        </is>
      </c>
      <c r="G6889" s="2" t="inlineStr">
        <is>
          <t>20260527600731</t>
        </is>
      </c>
      <c r="H6889" s="8">
        <f>HYPERLINK("https://dart.fss.or.kr/dsaf001/main.do?rcpNo=20260527600731", "공시열람")</f>
        <v/>
      </c>
    </row>
    <row r="6890">
      <c r="A6890" s="2" t="inlineStr">
        <is>
          <t>2026-05-27</t>
        </is>
      </c>
      <c r="B6890" s="3" t="inlineStr">
        <is>
          <t>뉴키즈온</t>
        </is>
      </c>
      <c r="C6890" s="2" t="inlineStr">
        <is>
          <t>코스닥</t>
        </is>
      </c>
      <c r="D6890" s="2" t="inlineStr">
        <is>
          <t>462310</t>
        </is>
      </c>
      <c r="E6890" s="3" t="inlineStr">
        <is>
          <t>신탁계약해지결과보고서</t>
        </is>
      </c>
      <c r="F6890" s="3" t="inlineStr">
        <is>
          <t>뉴키즈온</t>
        </is>
      </c>
      <c r="G6890" s="2" t="inlineStr">
        <is>
          <t>20260527000527</t>
        </is>
      </c>
      <c r="H6890" s="8">
        <f>HYPERLINK("https://dart.fss.or.kr/dsaf001/main.do?rcpNo=20260527000527", "공시열람")</f>
        <v/>
      </c>
    </row>
    <row r="6891">
      <c r="A6891" s="2" t="inlineStr">
        <is>
          <t>2026-05-27</t>
        </is>
      </c>
      <c r="B6891" s="3" t="inlineStr">
        <is>
          <t>HB테크놀러지</t>
        </is>
      </c>
      <c r="C6891" s="2" t="inlineStr">
        <is>
          <t>코스닥</t>
        </is>
      </c>
      <c r="D6891" s="2" t="inlineStr">
        <is>
          <t>078150</t>
        </is>
      </c>
      <c r="E6891" s="3" t="inlineStr">
        <is>
          <t>주요사항보고서(자기주식처분결정)</t>
        </is>
      </c>
      <c r="F6891" s="3" t="inlineStr">
        <is>
          <t>HB테크놀러지</t>
        </is>
      </c>
      <c r="G6891" s="2" t="inlineStr">
        <is>
          <t>20260527000488</t>
        </is>
      </c>
      <c r="H6891" s="8">
        <f>HYPERLINK("https://dart.fss.or.kr/dsaf001/main.do?rcpNo=20260527000488", "공시열람")</f>
        <v/>
      </c>
    </row>
    <row r="6892">
      <c r="A6892" s="2" t="inlineStr">
        <is>
          <t>2026-05-27</t>
        </is>
      </c>
      <c r="B6892" s="3" t="inlineStr">
        <is>
          <t>옵트론텍</t>
        </is>
      </c>
      <c r="C6892" s="2" t="inlineStr">
        <is>
          <t>코스닥</t>
        </is>
      </c>
      <c r="D6892" s="2" t="inlineStr">
        <is>
          <t>082210</t>
        </is>
      </c>
      <c r="E6892" s="3" t="inlineStr">
        <is>
          <t>증권발행결과(자율공시)              (제18회차 CB)</t>
        </is>
      </c>
      <c r="F6892" s="3" t="inlineStr">
        <is>
          <t>옵트론텍</t>
        </is>
      </c>
      <c r="G6892" s="2" t="inlineStr">
        <is>
          <t>20260527900675</t>
        </is>
      </c>
      <c r="H6892" s="8">
        <f>HYPERLINK("https://dart.fss.or.kr/dsaf001/main.do?rcpNo=20260527900675", "공시열람")</f>
        <v/>
      </c>
    </row>
    <row r="6893">
      <c r="A6893" s="2" t="inlineStr">
        <is>
          <t>2026-05-27</t>
        </is>
      </c>
      <c r="B6893" s="3" t="inlineStr">
        <is>
          <t>아이마켓코리아</t>
        </is>
      </c>
      <c r="C6893" s="2" t="inlineStr">
        <is>
          <t>코스피</t>
        </is>
      </c>
      <c r="D6893" s="2" t="inlineStr">
        <is>
          <t>122900</t>
        </is>
      </c>
      <c r="E6893" s="3" t="inlineStr">
        <is>
          <t xml:space="preserve">기업설명회(IR)개최(안내공시)              </t>
        </is>
      </c>
      <c r="F6893" s="3" t="inlineStr">
        <is>
          <t>아이마켓코리아</t>
        </is>
      </c>
      <c r="G6893" s="2" t="inlineStr">
        <is>
          <t>20260527800751</t>
        </is>
      </c>
      <c r="H6893" s="8">
        <f>HYPERLINK("https://dart.fss.or.kr/dsaf001/main.do?rcpNo=20260527800751", "공시열람")</f>
        <v/>
      </c>
    </row>
    <row r="6894">
      <c r="A6894" s="2" t="inlineStr">
        <is>
          <t>2026-05-27</t>
        </is>
      </c>
      <c r="B6894" s="3" t="inlineStr">
        <is>
          <t>카티스</t>
        </is>
      </c>
      <c r="C6894" s="2" t="inlineStr">
        <is>
          <t>코스닥</t>
        </is>
      </c>
      <c r="D6894" s="2" t="inlineStr">
        <is>
          <t>140430</t>
        </is>
      </c>
      <c r="E6894" s="3" t="inlineStr">
        <is>
          <t>주권매매거래정지해제              (액면병합 주권 변경상장)</t>
        </is>
      </c>
      <c r="F6894" s="3" t="inlineStr">
        <is>
          <t>코스닥시장본부</t>
        </is>
      </c>
      <c r="G6894" s="2" t="inlineStr">
        <is>
          <t>20260527900741</t>
        </is>
      </c>
      <c r="H6894" s="8">
        <f>HYPERLINK("https://dart.fss.or.kr/dsaf001/main.do?rcpNo=20260527900741", "공시열람")</f>
        <v/>
      </c>
    </row>
    <row r="6895">
      <c r="A6895" s="2" t="inlineStr">
        <is>
          <t>2026-05-27</t>
        </is>
      </c>
      <c r="B6895" s="3" t="inlineStr">
        <is>
          <t>신한글로벌액티브리츠</t>
        </is>
      </c>
      <c r="C6895" s="2" t="inlineStr">
        <is>
          <t>코스피</t>
        </is>
      </c>
      <c r="D6895" s="2" t="inlineStr">
        <is>
          <t>481850</t>
        </is>
      </c>
      <c r="E6895" s="3" t="inlineStr">
        <is>
          <t xml:space="preserve">기업설명회(IR)개최(안내공시)              </t>
        </is>
      </c>
      <c r="F6895" s="3" t="inlineStr">
        <is>
          <t>신한글로벌액티브리츠</t>
        </is>
      </c>
      <c r="G6895" s="2" t="inlineStr">
        <is>
          <t>20260527800737</t>
        </is>
      </c>
      <c r="H6895" s="8">
        <f>HYPERLINK("https://dart.fss.or.kr/dsaf001/main.do?rcpNo=20260527800737", "공시열람")</f>
        <v/>
      </c>
    </row>
    <row r="6896">
      <c r="A6896" s="2" t="inlineStr">
        <is>
          <t>2026-05-27</t>
        </is>
      </c>
      <c r="B6896" s="3" t="inlineStr">
        <is>
          <t>마키나락스</t>
        </is>
      </c>
      <c r="C6896" s="2" t="inlineStr">
        <is>
          <t>코스닥</t>
        </is>
      </c>
      <c r="D6896" s="2" t="inlineStr">
        <is>
          <t>477850</t>
        </is>
      </c>
      <c r="E6896" s="3" t="inlineStr">
        <is>
          <t>임원ㆍ주요주주특정증권등소유상황보고서</t>
        </is>
      </c>
      <c r="F6896" s="3" t="inlineStr">
        <is>
          <t>이재혁</t>
        </is>
      </c>
      <c r="G6896" s="2" t="inlineStr">
        <is>
          <t>20260527000509</t>
        </is>
      </c>
      <c r="H6896" s="8">
        <f>HYPERLINK("https://dart.fss.or.kr/dsaf001/main.do?rcpNo=20260527000509", "공시열람")</f>
        <v/>
      </c>
    </row>
    <row r="6897">
      <c r="A6897" s="2" t="inlineStr">
        <is>
          <t>2026-05-27</t>
        </is>
      </c>
      <c r="B6897" s="3" t="inlineStr">
        <is>
          <t>영풍</t>
        </is>
      </c>
      <c r="C6897" s="2" t="inlineStr">
        <is>
          <t>코스피</t>
        </is>
      </c>
      <c r="D6897" s="2" t="inlineStr">
        <is>
          <t>000670</t>
        </is>
      </c>
      <c r="E6897" s="3" t="inlineStr">
        <is>
          <t>임원ㆍ주요주주특정증권등소유상황보고서</t>
        </is>
      </c>
      <c r="F6897" s="3" t="inlineStr">
        <is>
          <t>강성두</t>
        </is>
      </c>
      <c r="G6897" s="2" t="inlineStr">
        <is>
          <t>20260527000507</t>
        </is>
      </c>
      <c r="H6897" s="8">
        <f>HYPERLINK("https://dart.fss.or.kr/dsaf001/main.do?rcpNo=20260527000507", "공시열람")</f>
        <v/>
      </c>
    </row>
    <row r="6898">
      <c r="A6898" s="2" t="inlineStr">
        <is>
          <t>2026-05-27</t>
        </is>
      </c>
      <c r="B6898" s="3" t="inlineStr">
        <is>
          <t>저스템</t>
        </is>
      </c>
      <c r="C6898" s="2" t="inlineStr">
        <is>
          <t>코스닥</t>
        </is>
      </c>
      <c r="D6898" s="2" t="inlineStr">
        <is>
          <t>417840</t>
        </is>
      </c>
      <c r="E6898" s="3" t="inlineStr">
        <is>
          <t>임원ㆍ주요주주특정증권등소유상황보고서</t>
        </is>
      </c>
      <c r="F6898" s="3" t="inlineStr">
        <is>
          <t>이미애</t>
        </is>
      </c>
      <c r="G6898" s="2" t="inlineStr">
        <is>
          <t>20260527000506</t>
        </is>
      </c>
      <c r="H6898" s="8">
        <f>HYPERLINK("https://dart.fss.or.kr/dsaf001/main.do?rcpNo=20260527000506", "공시열람")</f>
        <v/>
      </c>
    </row>
    <row r="6899">
      <c r="A6899" s="2" t="inlineStr">
        <is>
          <t>2026-05-27</t>
        </is>
      </c>
      <c r="B6899" s="3" t="inlineStr">
        <is>
          <t>KTis</t>
        </is>
      </c>
      <c r="C6899" s="2" t="inlineStr">
        <is>
          <t>코스피</t>
        </is>
      </c>
      <c r="D6899" s="2" t="inlineStr">
        <is>
          <t>058860</t>
        </is>
      </c>
      <c r="E6899" s="3" t="inlineStr">
        <is>
          <t xml:space="preserve">대표이사(대표집행임원)변경(안내공시)              </t>
        </is>
      </c>
      <c r="F6899" s="3" t="inlineStr">
        <is>
          <t>KTis</t>
        </is>
      </c>
      <c r="G6899" s="2" t="inlineStr">
        <is>
          <t>20260527800734</t>
        </is>
      </c>
      <c r="H6899" s="8">
        <f>HYPERLINK("https://dart.fss.or.kr/dsaf001/main.do?rcpNo=20260527800734", "공시열람")</f>
        <v/>
      </c>
    </row>
    <row r="6900">
      <c r="A6900" s="2" t="inlineStr">
        <is>
          <t>2026-05-27</t>
        </is>
      </c>
      <c r="B6900" s="3" t="inlineStr">
        <is>
          <t>에스제이켐</t>
        </is>
      </c>
      <c r="C6900" s="2" t="inlineStr">
        <is>
          <t>코넥스</t>
        </is>
      </c>
      <c r="D6900" s="2" t="inlineStr">
        <is>
          <t>217910</t>
        </is>
      </c>
      <c r="E6900" s="3" t="inlineStr">
        <is>
          <t xml:space="preserve">기업설명회(IR)개최결과              </t>
        </is>
      </c>
      <c r="F6900" s="3" t="inlineStr">
        <is>
          <t>에스제이켐</t>
        </is>
      </c>
      <c r="G6900" s="2" t="inlineStr">
        <is>
          <t>20260527600715</t>
        </is>
      </c>
      <c r="H6900" s="8">
        <f>HYPERLINK("https://dart.fss.or.kr/dsaf001/main.do?rcpNo=20260527600715", "공시열람")</f>
        <v/>
      </c>
    </row>
    <row r="6901">
      <c r="A6901" s="2" t="inlineStr">
        <is>
          <t>2026-05-27 (정정: 2026-06-01)</t>
        </is>
      </c>
      <c r="B6901" s="3" t="inlineStr">
        <is>
          <t>POSCO홀딩스</t>
        </is>
      </c>
      <c r="C6901" s="2" t="inlineStr">
        <is>
          <t>코스피</t>
        </is>
      </c>
      <c r="D6901" s="2" t="inlineStr">
        <is>
          <t>005490</t>
        </is>
      </c>
      <c r="E6901" s="3" t="inlineStr">
        <is>
          <t>대규모기업집단현황공시[연1회공시및1/4분기용(대표회사)] (정정: 20260601)</t>
        </is>
      </c>
      <c r="F6901" s="3" t="inlineStr">
        <is>
          <t>POSCO홀딩스</t>
        </is>
      </c>
      <c r="G6901" s="2" t="inlineStr">
        <is>
          <t>20260601001059</t>
        </is>
      </c>
      <c r="H6901" s="8">
        <f>HYPERLINK("https://dart.fss.or.kr/dsaf001/main.do?rcpNo=20260601001059", "공시열람")</f>
        <v/>
      </c>
    </row>
    <row r="6902">
      <c r="A6902" s="2" t="inlineStr">
        <is>
          <t>2026-05-27</t>
        </is>
      </c>
      <c r="B6902" s="3" t="inlineStr">
        <is>
          <t>계양전기</t>
        </is>
      </c>
      <c r="C6902" s="2" t="inlineStr">
        <is>
          <t>코스피</t>
        </is>
      </c>
      <c r="D6902" s="2" t="inlineStr">
        <is>
          <t>012200</t>
        </is>
      </c>
      <c r="E6902" s="3" t="inlineStr">
        <is>
          <t>정정신고서제출요구( 2026.05.13. 제출 증권신고서(지분증권) )</t>
        </is>
      </c>
      <c r="F6902" s="3" t="inlineStr">
        <is>
          <t>금융감독원</t>
        </is>
      </c>
      <c r="G6902" s="2" t="inlineStr">
        <is>
          <t>20260527100014</t>
        </is>
      </c>
      <c r="H6902" s="8">
        <f>HYPERLINK("https://dart.fss.or.kr/dsaf001/main.do?rcpNo=20260527100014", "공시열람")</f>
        <v/>
      </c>
    </row>
    <row r="6903">
      <c r="A6903" s="2" t="inlineStr">
        <is>
          <t>2026-05-27</t>
        </is>
      </c>
      <c r="B6903" s="3" t="inlineStr">
        <is>
          <t>해성옵틱스</t>
        </is>
      </c>
      <c r="C6903" s="2" t="inlineStr">
        <is>
          <t>코스닥</t>
        </is>
      </c>
      <c r="D6903" s="2" t="inlineStr">
        <is>
          <t>076610</t>
        </is>
      </c>
      <c r="E6903" s="3" t="inlineStr">
        <is>
          <t xml:space="preserve">전환가액의조정              </t>
        </is>
      </c>
      <c r="F6903" s="3" t="inlineStr">
        <is>
          <t>해성옵틱스</t>
        </is>
      </c>
      <c r="G6903" s="2" t="inlineStr">
        <is>
          <t>20260527900725</t>
        </is>
      </c>
      <c r="H6903" s="8">
        <f>HYPERLINK("https://dart.fss.or.kr/dsaf001/main.do?rcpNo=20260527900725", "공시열람")</f>
        <v/>
      </c>
    </row>
    <row r="6904">
      <c r="A6904" s="2" t="inlineStr">
        <is>
          <t>2026-05-27</t>
        </is>
      </c>
      <c r="B6904" s="3" t="inlineStr">
        <is>
          <t>영풍</t>
        </is>
      </c>
      <c r="C6904" s="2" t="inlineStr">
        <is>
          <t>코스피</t>
        </is>
      </c>
      <c r="D6904" s="2" t="inlineStr">
        <is>
          <t>000670</t>
        </is>
      </c>
      <c r="E6904" s="3" t="inlineStr">
        <is>
          <t>임원ㆍ주요주주특정증권등소유상황보고서</t>
        </is>
      </c>
      <c r="F6904" s="3" t="inlineStr">
        <is>
          <t>김기호</t>
        </is>
      </c>
      <c r="G6904" s="2" t="inlineStr">
        <is>
          <t>20260527000495</t>
        </is>
      </c>
      <c r="H6904" s="8">
        <f>HYPERLINK("https://dart.fss.or.kr/dsaf001/main.do?rcpNo=20260527000495", "공시열람")</f>
        <v/>
      </c>
    </row>
    <row r="6905">
      <c r="A6905" s="2" t="inlineStr">
        <is>
          <t>2026-05-27</t>
        </is>
      </c>
      <c r="B6905" s="3" t="inlineStr">
        <is>
          <t>태영건설</t>
        </is>
      </c>
      <c r="C6905" s="2" t="inlineStr">
        <is>
          <t>코스피</t>
        </is>
      </c>
      <c r="D6905" s="2" t="inlineStr">
        <is>
          <t>009410</t>
        </is>
      </c>
      <c r="E6905" s="3" t="inlineStr">
        <is>
          <t xml:space="preserve">기타안내사항(안내공시)              </t>
        </is>
      </c>
      <c r="F6905" s="3" t="inlineStr">
        <is>
          <t>태영건설</t>
        </is>
      </c>
      <c r="G6905" s="2" t="inlineStr">
        <is>
          <t>20260527800685</t>
        </is>
      </c>
      <c r="H6905" s="8">
        <f>HYPERLINK("https://dart.fss.or.kr/dsaf001/main.do?rcpNo=20260527800685", "공시열람")</f>
        <v/>
      </c>
    </row>
    <row r="6906">
      <c r="A6906" s="2" t="inlineStr">
        <is>
          <t>2026-05-27</t>
        </is>
      </c>
      <c r="B6906" s="3" t="inlineStr">
        <is>
          <t>저스템</t>
        </is>
      </c>
      <c r="C6906" s="2" t="inlineStr">
        <is>
          <t>코스닥</t>
        </is>
      </c>
      <c r="D6906" s="2" t="inlineStr">
        <is>
          <t>417840</t>
        </is>
      </c>
      <c r="E6906" s="3" t="inlineStr">
        <is>
          <t>임원ㆍ주요주주특정증권등소유상황보고서</t>
        </is>
      </c>
      <c r="F6906" s="3" t="inlineStr">
        <is>
          <t>하정민</t>
        </is>
      </c>
      <c r="G6906" s="2" t="inlineStr">
        <is>
          <t>20260527000493</t>
        </is>
      </c>
      <c r="H6906" s="8">
        <f>HYPERLINK("https://dart.fss.or.kr/dsaf001/main.do?rcpNo=20260527000493", "공시열람")</f>
        <v/>
      </c>
    </row>
    <row r="6907">
      <c r="A6907" s="2" t="inlineStr">
        <is>
          <t>2026-05-27</t>
        </is>
      </c>
      <c r="B6907" s="3" t="inlineStr">
        <is>
          <t>우진</t>
        </is>
      </c>
      <c r="C6907" s="2" t="inlineStr">
        <is>
          <t>코스피</t>
        </is>
      </c>
      <c r="D6907" s="2" t="inlineStr">
        <is>
          <t>105840</t>
        </is>
      </c>
      <c r="E6907" s="3" t="inlineStr">
        <is>
          <t>임원ㆍ주요주주특정증권등소유상황보고서</t>
        </is>
      </c>
      <c r="F6907" s="3" t="inlineStr">
        <is>
          <t>조재성</t>
        </is>
      </c>
      <c r="G6907" s="2" t="inlineStr">
        <is>
          <t>20260527000490</t>
        </is>
      </c>
      <c r="H6907" s="8">
        <f>HYPERLINK("https://dart.fss.or.kr/dsaf001/main.do?rcpNo=20260527000490", "공시열람")</f>
        <v/>
      </c>
    </row>
    <row r="6908">
      <c r="A6908" s="2" t="inlineStr">
        <is>
          <t>2026-05-27</t>
        </is>
      </c>
      <c r="B6908" s="3" t="inlineStr">
        <is>
          <t>옵티코어</t>
        </is>
      </c>
      <c r="C6908" s="2" t="inlineStr">
        <is>
          <t>코스닥</t>
        </is>
      </c>
      <c r="D6908" s="2" t="inlineStr">
        <is>
          <t>380540</t>
        </is>
      </c>
      <c r="E6908" s="3" t="inlineStr">
        <is>
          <t>주요사항보고서(자기전환사채만기전취득결정)</t>
        </is>
      </c>
      <c r="F6908" s="3" t="inlineStr">
        <is>
          <t>옵티코어</t>
        </is>
      </c>
      <c r="G6908" s="2" t="inlineStr">
        <is>
          <t>20260527000473</t>
        </is>
      </c>
      <c r="H6908" s="8">
        <f>HYPERLINK("https://dart.fss.or.kr/dsaf001/main.do?rcpNo=20260527000473", "공시열람")</f>
        <v/>
      </c>
    </row>
    <row r="6909">
      <c r="A6909" s="2" t="inlineStr">
        <is>
          <t>2026-05-27</t>
        </is>
      </c>
      <c r="B6909" s="3" t="inlineStr">
        <is>
          <t>솔루엠</t>
        </is>
      </c>
      <c r="C6909" s="2" t="inlineStr">
        <is>
          <t>코스피</t>
        </is>
      </c>
      <c r="D6909" s="2" t="inlineStr">
        <is>
          <t>248070</t>
        </is>
      </c>
      <c r="E6909" s="3" t="inlineStr">
        <is>
          <t xml:space="preserve">기업지배구조보고서공시              </t>
        </is>
      </c>
      <c r="F6909" s="3" t="inlineStr">
        <is>
          <t>솔루엠</t>
        </is>
      </c>
      <c r="G6909" s="2" t="inlineStr">
        <is>
          <t>20260527800709</t>
        </is>
      </c>
      <c r="H6909" s="8">
        <f>HYPERLINK("https://dart.fss.or.kr/dsaf001/main.do?rcpNo=20260527800709", "공시열람")</f>
        <v/>
      </c>
    </row>
    <row r="6910">
      <c r="A6910" s="2" t="inlineStr">
        <is>
          <t>2026-05-27</t>
        </is>
      </c>
      <c r="B6910" s="3" t="inlineStr">
        <is>
          <t>아이패밀리에스씨</t>
        </is>
      </c>
      <c r="C6910" s="2" t="inlineStr">
        <is>
          <t>코스닥</t>
        </is>
      </c>
      <c r="D6910" s="2" t="inlineStr">
        <is>
          <t>114840</t>
        </is>
      </c>
      <c r="E6910" s="3" t="inlineStr">
        <is>
          <t>임원ㆍ주요주주특정증권등소유상황보고서</t>
        </is>
      </c>
      <c r="F6910" s="3" t="inlineStr">
        <is>
          <t>박현준</t>
        </is>
      </c>
      <c r="G6910" s="2" t="inlineStr">
        <is>
          <t>20260527000485</t>
        </is>
      </c>
      <c r="H6910" s="8">
        <f>HYPERLINK("https://dart.fss.or.kr/dsaf001/main.do?rcpNo=20260527000485", "공시열람")</f>
        <v/>
      </c>
    </row>
    <row r="6911">
      <c r="A6911" s="2" t="inlineStr">
        <is>
          <t>2026-05-27</t>
        </is>
      </c>
      <c r="B6911" s="3" t="inlineStr">
        <is>
          <t>슈피겐코리아</t>
        </is>
      </c>
      <c r="C6911" s="2" t="inlineStr">
        <is>
          <t>코스닥</t>
        </is>
      </c>
      <c r="D6911" s="2" t="inlineStr">
        <is>
          <t>192440</t>
        </is>
      </c>
      <c r="E6911" s="3" t="inlineStr">
        <is>
          <t>임원ㆍ주요주주특정증권등소유상황보고서</t>
        </is>
      </c>
      <c r="F6911" s="3" t="inlineStr">
        <is>
          <t>김대영</t>
        </is>
      </c>
      <c r="G6911" s="2" t="inlineStr">
        <is>
          <t>20260527000480</t>
        </is>
      </c>
      <c r="H6911" s="8">
        <f>HYPERLINK("https://dart.fss.or.kr/dsaf001/main.do?rcpNo=20260527000480", "공시열람")</f>
        <v/>
      </c>
    </row>
    <row r="6912">
      <c r="A6912" s="2" t="inlineStr">
        <is>
          <t>2026-05-27 (정정: 2026-05-27)</t>
        </is>
      </c>
      <c r="B6912" s="3" t="inlineStr">
        <is>
          <t>케이쓰리아이</t>
        </is>
      </c>
      <c r="C6912" s="2" t="inlineStr">
        <is>
          <t>코스닥</t>
        </is>
      </c>
      <c r="D6912" s="2" t="inlineStr">
        <is>
          <t>431190</t>
        </is>
      </c>
      <c r="E6912" s="3" t="inlineStr">
        <is>
          <t>[기재정정]주식매수선택권부여에관한신고 (정정: 20260527)</t>
        </is>
      </c>
      <c r="F6912" s="3" t="inlineStr">
        <is>
          <t>케이쓰리아이</t>
        </is>
      </c>
      <c r="G6912" s="2" t="inlineStr">
        <is>
          <t>20260527000467</t>
        </is>
      </c>
      <c r="H6912" s="8">
        <f>HYPERLINK("https://dart.fss.or.kr/dsaf001/main.do?rcpNo=20260527000467", "공시열람")</f>
        <v/>
      </c>
    </row>
    <row r="6913">
      <c r="A6913" s="2" t="inlineStr">
        <is>
          <t>2026-05-27 (정정: 2026-06-02)</t>
        </is>
      </c>
      <c r="B6913" s="3" t="inlineStr">
        <is>
          <t>3S</t>
        </is>
      </c>
      <c r="C6913" s="2" t="inlineStr">
        <is>
          <t>코스닥</t>
        </is>
      </c>
      <c r="D6913" s="2" t="inlineStr">
        <is>
          <t>060310</t>
        </is>
      </c>
      <c r="E6913" s="3" t="inlineStr">
        <is>
          <t>매출액또는손익구조30%(대규모법인은15%)이상변동               (정정: 20260602)</t>
        </is>
      </c>
      <c r="F6913" s="3" t="inlineStr">
        <is>
          <t>3S</t>
        </is>
      </c>
      <c r="G6913" s="2" t="inlineStr">
        <is>
          <t>20260602900295</t>
        </is>
      </c>
      <c r="H6913" s="8">
        <f>HYPERLINK("https://dart.fss.or.kr/dsaf001/main.do?rcpNo=20260602900295", "공시열람")</f>
        <v/>
      </c>
    </row>
    <row r="6914">
      <c r="A6914" s="2" t="inlineStr">
        <is>
          <t>2026-05-27</t>
        </is>
      </c>
      <c r="B6914" s="3" t="inlineStr">
        <is>
          <t>저스템</t>
        </is>
      </c>
      <c r="C6914" s="2" t="inlineStr">
        <is>
          <t>코스닥</t>
        </is>
      </c>
      <c r="D6914" s="2" t="inlineStr">
        <is>
          <t>417840</t>
        </is>
      </c>
      <c r="E6914" s="3" t="inlineStr">
        <is>
          <t>임원ㆍ주요주주특정증권등소유상황보고서</t>
        </is>
      </c>
      <c r="F6914" s="3" t="inlineStr">
        <is>
          <t>김용진</t>
        </is>
      </c>
      <c r="G6914" s="2" t="inlineStr">
        <is>
          <t>20260527000476</t>
        </is>
      </c>
      <c r="H6914" s="8">
        <f>HYPERLINK("https://dart.fss.or.kr/dsaf001/main.do?rcpNo=20260527000476", "공시열람")</f>
        <v/>
      </c>
    </row>
    <row r="6915">
      <c r="A6915" s="2" t="inlineStr">
        <is>
          <t>2026-05-27</t>
        </is>
      </c>
      <c r="B6915" s="3" t="inlineStr">
        <is>
          <t>SIMPAC</t>
        </is>
      </c>
      <c r="C6915" s="2" t="inlineStr">
        <is>
          <t>코스피</t>
        </is>
      </c>
      <c r="D6915" s="2" t="inlineStr">
        <is>
          <t>009160</t>
        </is>
      </c>
      <c r="E6915" s="3" t="inlineStr">
        <is>
          <t>임원ㆍ주요주주특정증권등소유상황보고서</t>
        </is>
      </c>
      <c r="F6915" s="3" t="inlineStr">
        <is>
          <t>최민찬</t>
        </is>
      </c>
      <c r="G6915" s="2" t="inlineStr">
        <is>
          <t>20260527000465</t>
        </is>
      </c>
      <c r="H6915" s="8">
        <f>HYPERLINK("https://dart.fss.or.kr/dsaf001/main.do?rcpNo=20260527000465", "공시열람")</f>
        <v/>
      </c>
    </row>
    <row r="6916">
      <c r="A6916" s="2" t="inlineStr">
        <is>
          <t>2026-05-27</t>
        </is>
      </c>
      <c r="B6916" s="3" t="inlineStr">
        <is>
          <t>이노스페이스</t>
        </is>
      </c>
      <c r="C6916" s="2" t="inlineStr">
        <is>
          <t>코스닥</t>
        </is>
      </c>
      <c r="D6916" s="2" t="inlineStr">
        <is>
          <t>462350</t>
        </is>
      </c>
      <c r="E6916" s="3" t="inlineStr">
        <is>
          <t>전환주식의전환청구권행사              (전환우선주)</t>
        </is>
      </c>
      <c r="F6916" s="3" t="inlineStr">
        <is>
          <t>이노스페이스</t>
        </is>
      </c>
      <c r="G6916" s="2" t="inlineStr">
        <is>
          <t>20260527900666</t>
        </is>
      </c>
      <c r="H6916" s="8">
        <f>HYPERLINK("https://dart.fss.or.kr/dsaf001/main.do?rcpNo=20260527900666", "공시열람")</f>
        <v/>
      </c>
    </row>
    <row r="6917">
      <c r="A6917" s="2" t="inlineStr">
        <is>
          <t>2026-05-27</t>
        </is>
      </c>
      <c r="B6917" s="3" t="inlineStr">
        <is>
          <t>저스템</t>
        </is>
      </c>
      <c r="C6917" s="2" t="inlineStr">
        <is>
          <t>코스닥</t>
        </is>
      </c>
      <c r="D6917" s="2" t="inlineStr">
        <is>
          <t>417840</t>
        </is>
      </c>
      <c r="E6917" s="3" t="inlineStr">
        <is>
          <t>임원ㆍ주요주주특정증권등소유상황보고서</t>
        </is>
      </c>
      <c r="F6917" s="3" t="inlineStr">
        <is>
          <t>임영진</t>
        </is>
      </c>
      <c r="G6917" s="2" t="inlineStr">
        <is>
          <t>20260527000460</t>
        </is>
      </c>
      <c r="H6917" s="8">
        <f>HYPERLINK("https://dart.fss.or.kr/dsaf001/main.do?rcpNo=20260527000460", "공시열람")</f>
        <v/>
      </c>
    </row>
    <row r="6918">
      <c r="A6918" s="2" t="inlineStr">
        <is>
          <t>2026-05-27</t>
        </is>
      </c>
      <c r="B6918" s="3" t="inlineStr">
        <is>
          <t>NH올원리츠</t>
        </is>
      </c>
      <c r="C6918" s="2" t="inlineStr">
        <is>
          <t>코스피</t>
        </is>
      </c>
      <c r="D6918" s="2" t="inlineStr">
        <is>
          <t>400760</t>
        </is>
      </c>
      <c r="E6918" s="3" t="inlineStr">
        <is>
          <t xml:space="preserve">기업설명회(IR)개최(안내공시)              </t>
        </is>
      </c>
      <c r="F6918" s="3" t="inlineStr">
        <is>
          <t>NH올원리츠</t>
        </is>
      </c>
      <c r="G6918" s="2" t="inlineStr">
        <is>
          <t>20260527800674</t>
        </is>
      </c>
      <c r="H6918" s="8">
        <f>HYPERLINK("https://dart.fss.or.kr/dsaf001/main.do?rcpNo=20260527800674", "공시열람")</f>
        <v/>
      </c>
    </row>
    <row r="6919">
      <c r="A6919" s="2" t="inlineStr">
        <is>
          <t>2026-05-27</t>
        </is>
      </c>
      <c r="B6919" s="3" t="inlineStr">
        <is>
          <t>ESR켄달스퀘어리츠</t>
        </is>
      </c>
      <c r="C6919" s="2" t="inlineStr">
        <is>
          <t>코스피</t>
        </is>
      </c>
      <c r="D6919" s="2" t="inlineStr">
        <is>
          <t>365550</t>
        </is>
      </c>
      <c r="E6919" s="3" t="inlineStr">
        <is>
          <t xml:space="preserve">기업설명회(IR)개최(안내공시)              </t>
        </is>
      </c>
      <c r="F6919" s="3" t="inlineStr">
        <is>
          <t>ESR켄달스퀘어리츠</t>
        </is>
      </c>
      <c r="G6919" s="2" t="inlineStr">
        <is>
          <t>20260527800661</t>
        </is>
      </c>
      <c r="H6919" s="8">
        <f>HYPERLINK("https://dart.fss.or.kr/dsaf001/main.do?rcpNo=20260527800661", "공시열람")</f>
        <v/>
      </c>
    </row>
    <row r="6920">
      <c r="A6920" s="2" t="inlineStr">
        <is>
          <t>2026-05-27</t>
        </is>
      </c>
      <c r="B6920" s="3" t="inlineStr">
        <is>
          <t>KTcs</t>
        </is>
      </c>
      <c r="C6920" s="2" t="inlineStr">
        <is>
          <t>코스피</t>
        </is>
      </c>
      <c r="D6920" s="2" t="inlineStr">
        <is>
          <t>058850</t>
        </is>
      </c>
      <c r="E6920" s="3" t="inlineStr">
        <is>
          <t xml:space="preserve">대표이사(대표집행임원)변경(안내공시)              </t>
        </is>
      </c>
      <c r="F6920" s="3" t="inlineStr">
        <is>
          <t>KTcs</t>
        </is>
      </c>
      <c r="G6920" s="2" t="inlineStr">
        <is>
          <t>20260527800650</t>
        </is>
      </c>
      <c r="H6920" s="8">
        <f>HYPERLINK("https://dart.fss.or.kr/dsaf001/main.do?rcpNo=20260527800650", "공시열람")</f>
        <v/>
      </c>
    </row>
    <row r="6921">
      <c r="A6921" s="2" t="inlineStr">
        <is>
          <t>2026-05-27</t>
        </is>
      </c>
      <c r="B6921" s="3" t="inlineStr">
        <is>
          <t>와이바이오로직스</t>
        </is>
      </c>
      <c r="C6921" s="2" t="inlineStr">
        <is>
          <t>코스닥</t>
        </is>
      </c>
      <c r="D6921" s="2" t="inlineStr">
        <is>
          <t>338840</t>
        </is>
      </c>
      <c r="E6921" s="3" t="inlineStr">
        <is>
          <t xml:space="preserve">주주명부폐쇄기간또는기준일설정              </t>
        </is>
      </c>
      <c r="F6921" s="3" t="inlineStr">
        <is>
          <t>와이바이오로직스</t>
        </is>
      </c>
      <c r="G6921" s="2" t="inlineStr">
        <is>
          <t>20260527900651</t>
        </is>
      </c>
      <c r="H6921" s="8">
        <f>HYPERLINK("https://dart.fss.or.kr/dsaf001/main.do?rcpNo=20260527900651", "공시열람")</f>
        <v/>
      </c>
    </row>
    <row r="6922">
      <c r="A6922" s="2" t="inlineStr">
        <is>
          <t>2026-05-27</t>
        </is>
      </c>
      <c r="B6922" s="3" t="inlineStr">
        <is>
          <t>티플랙스</t>
        </is>
      </c>
      <c r="C6922" s="2" t="inlineStr">
        <is>
          <t>코스닥</t>
        </is>
      </c>
      <c r="D6922" s="2" t="inlineStr">
        <is>
          <t>081150</t>
        </is>
      </c>
      <c r="E6922" s="3" t="inlineStr">
        <is>
          <t>주요사항보고서(자기주식처분결정)</t>
        </is>
      </c>
      <c r="F6922" s="3" t="inlineStr">
        <is>
          <t>티플랙스</t>
        </is>
      </c>
      <c r="G6922" s="2" t="inlineStr">
        <is>
          <t>20260527000383</t>
        </is>
      </c>
      <c r="H6922" s="8">
        <f>HYPERLINK("https://dart.fss.or.kr/dsaf001/main.do?rcpNo=20260527000383", "공시열람")</f>
        <v/>
      </c>
    </row>
    <row r="6923">
      <c r="A6923" s="2" t="inlineStr">
        <is>
          <t>2026-05-27</t>
        </is>
      </c>
      <c r="B6923" s="3" t="inlineStr">
        <is>
          <t>한국캐피탈</t>
        </is>
      </c>
      <c r="C6923" s="2" t="inlineStr">
        <is>
          <t>코스닥</t>
        </is>
      </c>
      <c r="D6923" s="2" t="inlineStr">
        <is>
          <t>023760</t>
        </is>
      </c>
      <c r="E6923" s="3" t="inlineStr">
        <is>
          <t>증권발행실적보고서</t>
        </is>
      </c>
      <c r="F6923" s="3" t="inlineStr">
        <is>
          <t>한국캐피탈</t>
        </is>
      </c>
      <c r="G6923" s="2" t="inlineStr">
        <is>
          <t>20260527000457</t>
        </is>
      </c>
      <c r="H6923" s="8">
        <f>HYPERLINK("https://dart.fss.or.kr/dsaf001/main.do?rcpNo=20260527000457", "공시열람")</f>
        <v/>
      </c>
    </row>
    <row r="6924">
      <c r="A6924" s="2" t="inlineStr">
        <is>
          <t>2026-05-27</t>
        </is>
      </c>
      <c r="B6924" s="3" t="inlineStr">
        <is>
          <t>소프트캠프</t>
        </is>
      </c>
      <c r="C6924" s="2" t="inlineStr">
        <is>
          <t>코스닥</t>
        </is>
      </c>
      <c r="D6924" s="2" t="inlineStr">
        <is>
          <t>258790</t>
        </is>
      </c>
      <c r="E6924" s="3" t="inlineStr">
        <is>
          <t>주권매매거래정지해제              (액면병합 주권 변경상장)</t>
        </is>
      </c>
      <c r="F6924" s="3" t="inlineStr">
        <is>
          <t>코스닥시장본부</t>
        </is>
      </c>
      <c r="G6924" s="2" t="inlineStr">
        <is>
          <t>20260527900673</t>
        </is>
      </c>
      <c r="H6924" s="8">
        <f>HYPERLINK("https://dart.fss.or.kr/dsaf001/main.do?rcpNo=20260527900673", "공시열람")</f>
        <v/>
      </c>
    </row>
    <row r="6925">
      <c r="A6925" s="2" t="inlineStr">
        <is>
          <t>2026-05-27</t>
        </is>
      </c>
      <c r="B6925" s="3" t="inlineStr">
        <is>
          <t>유안타증권</t>
        </is>
      </c>
      <c r="C6925" s="2" t="inlineStr">
        <is>
          <t>코스피</t>
        </is>
      </c>
      <c r="D6925" s="2" t="inlineStr">
        <is>
          <t>003470</t>
        </is>
      </c>
      <c r="E6925" s="3" t="inlineStr">
        <is>
          <t>임원ㆍ주요주주특정증권등소유상황보고서</t>
        </is>
      </c>
      <c r="F6925" s="3" t="inlineStr">
        <is>
          <t>유태인</t>
        </is>
      </c>
      <c r="G6925" s="2" t="inlineStr">
        <is>
          <t>20260527000455</t>
        </is>
      </c>
      <c r="H6925" s="8">
        <f>HYPERLINK("https://dart.fss.or.kr/dsaf001/main.do?rcpNo=20260527000455", "공시열람")</f>
        <v/>
      </c>
    </row>
    <row r="6926">
      <c r="A6926" s="2" t="inlineStr">
        <is>
          <t>2026-05-27</t>
        </is>
      </c>
      <c r="B6926" s="3" t="inlineStr">
        <is>
          <t>오에스피</t>
        </is>
      </c>
      <c r="C6926" s="2" t="inlineStr">
        <is>
          <t>코스닥</t>
        </is>
      </c>
      <c r="D6926" s="2" t="inlineStr">
        <is>
          <t>368970</t>
        </is>
      </c>
      <c r="E6926" s="3" t="inlineStr">
        <is>
          <t>주권매매거래정지해제              (액면병합 주권 변경상장)</t>
        </is>
      </c>
      <c r="F6926" s="3" t="inlineStr">
        <is>
          <t>코스닥시장본부</t>
        </is>
      </c>
      <c r="G6926" s="2" t="inlineStr">
        <is>
          <t>20260527900645</t>
        </is>
      </c>
      <c r="H6926" s="8">
        <f>HYPERLINK("https://dart.fss.or.kr/dsaf001/main.do?rcpNo=20260527900645", "공시열람")</f>
        <v/>
      </c>
    </row>
    <row r="6927">
      <c r="A6927" s="2" t="inlineStr">
        <is>
          <t>2026-05-27</t>
        </is>
      </c>
      <c r="B6927" s="3" t="inlineStr">
        <is>
          <t>저스템</t>
        </is>
      </c>
      <c r="C6927" s="2" t="inlineStr">
        <is>
          <t>코스닥</t>
        </is>
      </c>
      <c r="D6927" s="2" t="inlineStr">
        <is>
          <t>417840</t>
        </is>
      </c>
      <c r="E6927" s="3" t="inlineStr">
        <is>
          <t>주식매수선택권부여에관한신고</t>
        </is>
      </c>
      <c r="F6927" s="3" t="inlineStr">
        <is>
          <t>저스템</t>
        </is>
      </c>
      <c r="G6927" s="2" t="inlineStr">
        <is>
          <t>20260527000452</t>
        </is>
      </c>
      <c r="H6927" s="8">
        <f>HYPERLINK("https://dart.fss.or.kr/dsaf001/main.do?rcpNo=20260527000452", "공시열람")</f>
        <v/>
      </c>
    </row>
    <row r="6928">
      <c r="A6928" s="2" t="inlineStr">
        <is>
          <t>2026-05-27</t>
        </is>
      </c>
      <c r="B6928" s="3" t="inlineStr">
        <is>
          <t>일지테크</t>
        </is>
      </c>
      <c r="C6928" s="2" t="inlineStr">
        <is>
          <t>코스닥</t>
        </is>
      </c>
      <c r="D6928" s="2" t="inlineStr">
        <is>
          <t>019540</t>
        </is>
      </c>
      <c r="E6928" s="3" t="inlineStr">
        <is>
          <t xml:space="preserve">타법인주식및출자증권취득결정              </t>
        </is>
      </c>
      <c r="F6928" s="3" t="inlineStr">
        <is>
          <t>일지테크</t>
        </is>
      </c>
      <c r="G6928" s="2" t="inlineStr">
        <is>
          <t>20260527900624</t>
        </is>
      </c>
      <c r="H6928" s="8">
        <f>HYPERLINK("https://dart.fss.or.kr/dsaf001/main.do?rcpNo=20260527900624", "공시열람")</f>
        <v/>
      </c>
    </row>
    <row r="6929">
      <c r="A6929" s="2" t="inlineStr">
        <is>
          <t>2026-05-27</t>
        </is>
      </c>
      <c r="B6929" s="3" t="inlineStr">
        <is>
          <t>라온로보틱스</t>
        </is>
      </c>
      <c r="C6929" s="2" t="inlineStr">
        <is>
          <t>코스닥</t>
        </is>
      </c>
      <c r="D6929" s="2" t="inlineStr">
        <is>
          <t>232680</t>
        </is>
      </c>
      <c r="E6929" s="3" t="inlineStr">
        <is>
          <t>임원ㆍ주요주주특정증권등소유상황보고서</t>
        </is>
      </c>
      <c r="F6929" s="3" t="inlineStr">
        <is>
          <t>상재호</t>
        </is>
      </c>
      <c r="G6929" s="2" t="inlineStr">
        <is>
          <t>20260527000451</t>
        </is>
      </c>
      <c r="H6929" s="8">
        <f>HYPERLINK("https://dart.fss.or.kr/dsaf001/main.do?rcpNo=20260527000451", "공시열람")</f>
        <v/>
      </c>
    </row>
    <row r="6930">
      <c r="A6930" s="2" t="inlineStr">
        <is>
          <t>2026-05-27</t>
        </is>
      </c>
      <c r="B6930" s="3" t="inlineStr">
        <is>
          <t>원익큐브</t>
        </is>
      </c>
      <c r="C6930" s="2" t="inlineStr">
        <is>
          <t>코스닥</t>
        </is>
      </c>
      <c r="D6930" s="2" t="inlineStr">
        <is>
          <t>014190</t>
        </is>
      </c>
      <c r="E6930" s="3" t="inlineStr">
        <is>
          <t>임원ㆍ주요주주특정증권등소유상황보고서</t>
        </is>
      </c>
      <c r="F6930" s="3" t="inlineStr">
        <is>
          <t>양지용</t>
        </is>
      </c>
      <c r="G6930" s="2" t="inlineStr">
        <is>
          <t>20260527000450</t>
        </is>
      </c>
      <c r="H6930" s="8">
        <f>HYPERLINK("https://dart.fss.or.kr/dsaf001/main.do?rcpNo=20260527000450", "공시열람")</f>
        <v/>
      </c>
    </row>
    <row r="6931">
      <c r="A6931" s="2" t="inlineStr">
        <is>
          <t>2026-05-27</t>
        </is>
      </c>
      <c r="B6931" s="3" t="inlineStr">
        <is>
          <t>에이치시티</t>
        </is>
      </c>
      <c r="C6931" s="2" t="inlineStr">
        <is>
          <t>코스닥</t>
        </is>
      </c>
      <c r="D6931" s="2" t="inlineStr">
        <is>
          <t>072990</t>
        </is>
      </c>
      <c r="E6931" s="3" t="inlineStr">
        <is>
          <t>임원ㆍ주요주주특정증권등소유상황보고서</t>
        </is>
      </c>
      <c r="F6931" s="3" t="inlineStr">
        <is>
          <t>정연춘</t>
        </is>
      </c>
      <c r="G6931" s="2" t="inlineStr">
        <is>
          <t>20260527000449</t>
        </is>
      </c>
      <c r="H6931" s="8">
        <f>HYPERLINK("https://dart.fss.or.kr/dsaf001/main.do?rcpNo=20260527000449", "공시열람")</f>
        <v/>
      </c>
    </row>
    <row r="6932">
      <c r="A6932" s="2" t="inlineStr">
        <is>
          <t>2026-05-27</t>
        </is>
      </c>
      <c r="B6932" s="3" t="inlineStr">
        <is>
          <t>오성첨단소재</t>
        </is>
      </c>
      <c r="C6932" s="2" t="inlineStr">
        <is>
          <t>코스닥</t>
        </is>
      </c>
      <c r="D6932" s="2" t="inlineStr">
        <is>
          <t>052420</t>
        </is>
      </c>
      <c r="E6932" s="3" t="inlineStr">
        <is>
          <t>주권매매거래정지해제              (액면병합 주권 변경상장)</t>
        </is>
      </c>
      <c r="F6932" s="3" t="inlineStr">
        <is>
          <t>코스닥시장본부</t>
        </is>
      </c>
      <c r="G6932" s="2" t="inlineStr">
        <is>
          <t>20260527900635</t>
        </is>
      </c>
      <c r="H6932" s="8">
        <f>HYPERLINK("https://dart.fss.or.kr/dsaf001/main.do?rcpNo=20260527900635", "공시열람")</f>
        <v/>
      </c>
    </row>
    <row r="6933">
      <c r="A6933" s="2" t="inlineStr">
        <is>
          <t>2026-05-27</t>
        </is>
      </c>
      <c r="B6933" s="3" t="inlineStr">
        <is>
          <t>HC보광산업</t>
        </is>
      </c>
      <c r="C6933" s="2" t="inlineStr">
        <is>
          <t>코스닥</t>
        </is>
      </c>
      <c r="D6933" s="2" t="inlineStr">
        <is>
          <t>225530</t>
        </is>
      </c>
      <c r="E6933" s="3" t="inlineStr">
        <is>
          <t xml:space="preserve">전환사채(해외전환사채포함)발행후만기전사채취득              </t>
        </is>
      </c>
      <c r="F6933" s="3" t="inlineStr">
        <is>
          <t>HC보광산업</t>
        </is>
      </c>
      <c r="G6933" s="2" t="inlineStr">
        <is>
          <t>20260527900656</t>
        </is>
      </c>
      <c r="H6933" s="8">
        <f>HYPERLINK("https://dart.fss.or.kr/dsaf001/main.do?rcpNo=20260527900656", "공시열람")</f>
        <v/>
      </c>
    </row>
    <row r="6934">
      <c r="A6934" s="2" t="inlineStr">
        <is>
          <t>2026-05-27</t>
        </is>
      </c>
      <c r="B6934" s="3" t="inlineStr">
        <is>
          <t>서울전자통신</t>
        </is>
      </c>
      <c r="C6934" s="2" t="inlineStr">
        <is>
          <t>코스닥</t>
        </is>
      </c>
      <c r="D6934" s="2" t="inlineStr">
        <is>
          <t>027040</t>
        </is>
      </c>
      <c r="E6934" s="3" t="inlineStr">
        <is>
          <t>주권매매거래정지해제              (액면병합 주권 변경상장)</t>
        </is>
      </c>
      <c r="F6934" s="3" t="inlineStr">
        <is>
          <t>코스닥시장본부</t>
        </is>
      </c>
      <c r="G6934" s="2" t="inlineStr">
        <is>
          <t>20260527900618</t>
        </is>
      </c>
      <c r="H6934" s="8">
        <f>HYPERLINK("https://dart.fss.or.kr/dsaf001/main.do?rcpNo=20260527900618", "공시열람")</f>
        <v/>
      </c>
    </row>
    <row r="6935">
      <c r="A6935" s="2" t="inlineStr">
        <is>
          <t>2026-05-27</t>
        </is>
      </c>
      <c r="B6935" s="3" t="inlineStr">
        <is>
          <t>메이슨캐피탈</t>
        </is>
      </c>
      <c r="C6935" s="2" t="inlineStr">
        <is>
          <t>코스닥</t>
        </is>
      </c>
      <c r="D6935" s="2" t="inlineStr">
        <is>
          <t>021880</t>
        </is>
      </c>
      <c r="E6935" s="3" t="inlineStr">
        <is>
          <t xml:space="preserve">매출액또는손익구조30%(대규모법인은15%)이상변동              </t>
        </is>
      </c>
      <c r="F6935" s="3" t="inlineStr">
        <is>
          <t>메이슨캐피탈</t>
        </is>
      </c>
      <c r="G6935" s="2" t="inlineStr">
        <is>
          <t>20260527900620</t>
        </is>
      </c>
      <c r="H6935" s="8">
        <f>HYPERLINK("https://dart.fss.or.kr/dsaf001/main.do?rcpNo=20260527900620", "공시열람")</f>
        <v/>
      </c>
    </row>
    <row r="6936">
      <c r="A6936" s="2" t="inlineStr">
        <is>
          <t>2026-05-27</t>
        </is>
      </c>
      <c r="B6936" s="3" t="inlineStr">
        <is>
          <t>BNK금융지주</t>
        </is>
      </c>
      <c r="C6936" s="2" t="inlineStr">
        <is>
          <t>코스피</t>
        </is>
      </c>
      <c r="D6936" s="2" t="inlineStr">
        <is>
          <t>138930</t>
        </is>
      </c>
      <c r="E6936" s="3" t="inlineStr">
        <is>
          <t>투자설명서(일괄신고)</t>
        </is>
      </c>
      <c r="F6936" s="3" t="inlineStr">
        <is>
          <t>BNK금융지주</t>
        </is>
      </c>
      <c r="G6936" s="2" t="inlineStr">
        <is>
          <t>20260527000443</t>
        </is>
      </c>
      <c r="H6936" s="8">
        <f>HYPERLINK("https://dart.fss.or.kr/dsaf001/main.do?rcpNo=20260527000443", "공시열람")</f>
        <v/>
      </c>
    </row>
    <row r="6937">
      <c r="A6937" s="2" t="inlineStr">
        <is>
          <t>2026-05-27</t>
        </is>
      </c>
      <c r="B6937" s="3" t="inlineStr">
        <is>
          <t>엠에프씨</t>
        </is>
      </c>
      <c r="C6937" s="2" t="inlineStr">
        <is>
          <t>코스닥</t>
        </is>
      </c>
      <c r="D6937" s="2" t="inlineStr">
        <is>
          <t>432980</t>
        </is>
      </c>
      <c r="E6937" s="3" t="inlineStr">
        <is>
          <t>임원ㆍ주요주주특정증권등소유상황보고서</t>
        </is>
      </c>
      <c r="F6937" s="3" t="inlineStr">
        <is>
          <t>홍문기</t>
        </is>
      </c>
      <c r="G6937" s="2" t="inlineStr">
        <is>
          <t>20260527000442</t>
        </is>
      </c>
      <c r="H6937" s="8">
        <f>HYPERLINK("https://dart.fss.or.kr/dsaf001/main.do?rcpNo=20260527000442", "공시열람")</f>
        <v/>
      </c>
    </row>
    <row r="6938">
      <c r="A6938" s="2" t="inlineStr">
        <is>
          <t>2026-05-27</t>
        </is>
      </c>
      <c r="B6938" s="3" t="inlineStr">
        <is>
          <t>케이티스카이라이프</t>
        </is>
      </c>
      <c r="C6938" s="2" t="inlineStr">
        <is>
          <t>코스피</t>
        </is>
      </c>
      <c r="D6938" s="2" t="inlineStr">
        <is>
          <t>053210</t>
        </is>
      </c>
      <c r="E6938" s="3" t="inlineStr">
        <is>
          <t xml:space="preserve">대표이사(대표집행임원)변경(안내공시)              </t>
        </is>
      </c>
      <c r="F6938" s="3" t="inlineStr">
        <is>
          <t>케이티스카이라이프</t>
        </is>
      </c>
      <c r="G6938" s="2" t="inlineStr">
        <is>
          <t>20260527800640</t>
        </is>
      </c>
      <c r="H6938" s="8">
        <f>HYPERLINK("https://dart.fss.or.kr/dsaf001/main.do?rcpNo=20260527800640", "공시열람")</f>
        <v/>
      </c>
    </row>
    <row r="6939">
      <c r="A6939" s="2" t="inlineStr">
        <is>
          <t>2026-05-27</t>
        </is>
      </c>
      <c r="B6939" s="3" t="inlineStr">
        <is>
          <t>삼성증권</t>
        </is>
      </c>
      <c r="C6939" s="2" t="inlineStr">
        <is>
          <t>코스피</t>
        </is>
      </c>
      <c r="D6939" s="2" t="inlineStr">
        <is>
          <t>016360</t>
        </is>
      </c>
      <c r="E6939" s="3" t="inlineStr">
        <is>
          <t>투자설명서(일괄신고)</t>
        </is>
      </c>
      <c r="F6939" s="3" t="inlineStr">
        <is>
          <t>삼성증권</t>
        </is>
      </c>
      <c r="G6939" s="2" t="inlineStr">
        <is>
          <t>20260527000438</t>
        </is>
      </c>
      <c r="H6939" s="8">
        <f>HYPERLINK("https://dart.fss.or.kr/dsaf001/main.do?rcpNo=20260527000438", "공시열람")</f>
        <v/>
      </c>
    </row>
    <row r="6940">
      <c r="A6940" s="2" t="inlineStr">
        <is>
          <t>2026-05-27</t>
        </is>
      </c>
      <c r="B6940" s="3" t="inlineStr">
        <is>
          <t>텔콘RF제약</t>
        </is>
      </c>
      <c r="C6940" s="2" t="inlineStr">
        <is>
          <t>코스닥</t>
        </is>
      </c>
      <c r="D6940" s="2" t="inlineStr">
        <is>
          <t>200230</t>
        </is>
      </c>
      <c r="E6940" s="3" t="inlineStr">
        <is>
          <t>주요사항보고서(자기전환사채만기전취득결정)</t>
        </is>
      </c>
      <c r="F6940" s="3" t="inlineStr">
        <is>
          <t>텔콘RF제약</t>
        </is>
      </c>
      <c r="G6940" s="2" t="inlineStr">
        <is>
          <t>20260527000408</t>
        </is>
      </c>
      <c r="H6940" s="8">
        <f>HYPERLINK("https://dart.fss.or.kr/dsaf001/main.do?rcpNo=20260527000408", "공시열람")</f>
        <v/>
      </c>
    </row>
    <row r="6941">
      <c r="A6941" s="2" t="inlineStr">
        <is>
          <t>2026-05-27</t>
        </is>
      </c>
      <c r="B6941" s="3" t="inlineStr">
        <is>
          <t>웰크론한텍</t>
        </is>
      </c>
      <c r="C6941" s="2" t="inlineStr">
        <is>
          <t>코스닥</t>
        </is>
      </c>
      <c r="D6941" s="2" t="inlineStr">
        <is>
          <t>076080</t>
        </is>
      </c>
      <c r="E6941" s="3" t="inlineStr">
        <is>
          <t>임원ㆍ주요주주특정증권등소유상황보고서</t>
        </is>
      </c>
      <c r="F6941" s="3" t="inlineStr">
        <is>
          <t>웰크론</t>
        </is>
      </c>
      <c r="G6941" s="2" t="inlineStr">
        <is>
          <t>20260527000435</t>
        </is>
      </c>
      <c r="H6941" s="8">
        <f>HYPERLINK("https://dart.fss.or.kr/dsaf001/main.do?rcpNo=20260527000435", "공시열람")</f>
        <v/>
      </c>
    </row>
    <row r="6942">
      <c r="A6942" s="2" t="inlineStr">
        <is>
          <t>2026-05-27</t>
        </is>
      </c>
      <c r="B6942" s="3" t="inlineStr">
        <is>
          <t>아우딘퓨쳐스</t>
        </is>
      </c>
      <c r="C6942" s="2" t="inlineStr">
        <is>
          <t>코스닥</t>
        </is>
      </c>
      <c r="D6942" s="2" t="inlineStr">
        <is>
          <t>227610</t>
        </is>
      </c>
      <c r="E6942" s="3" t="inlineStr">
        <is>
          <t>주권매매거래정지해제              (액면병합 주권 변경상장)</t>
        </is>
      </c>
      <c r="F6942" s="3" t="inlineStr">
        <is>
          <t>코스닥시장본부</t>
        </is>
      </c>
      <c r="G6942" s="2" t="inlineStr">
        <is>
          <t>20260527900586</t>
        </is>
      </c>
      <c r="H6942" s="8">
        <f>HYPERLINK("https://dart.fss.or.kr/dsaf001/main.do?rcpNo=20260527900586", "공시열람")</f>
        <v/>
      </c>
    </row>
    <row r="6943">
      <c r="A6943" s="2" t="inlineStr">
        <is>
          <t>2026-05-27</t>
        </is>
      </c>
      <c r="B6943" s="3" t="inlineStr">
        <is>
          <t>BNK금융지주</t>
        </is>
      </c>
      <c r="C6943" s="2" t="inlineStr">
        <is>
          <t>코스피</t>
        </is>
      </c>
      <c r="D6943" s="2" t="inlineStr">
        <is>
          <t>138930</t>
        </is>
      </c>
      <c r="E6943" s="3" t="inlineStr">
        <is>
          <t>일괄신고추가서류</t>
        </is>
      </c>
      <c r="F6943" s="3" t="inlineStr">
        <is>
          <t>BNK금융지주</t>
        </is>
      </c>
      <c r="G6943" s="2" t="inlineStr">
        <is>
          <t>20260527000432</t>
        </is>
      </c>
      <c r="H6943" s="8">
        <f>HYPERLINK("https://dart.fss.or.kr/dsaf001/main.do?rcpNo=20260527000432", "공시열람")</f>
        <v/>
      </c>
    </row>
    <row r="6944">
      <c r="A6944" s="2" t="inlineStr">
        <is>
          <t>2026-05-27</t>
        </is>
      </c>
      <c r="B6944" s="3" t="inlineStr">
        <is>
          <t>아하</t>
        </is>
      </c>
      <c r="C6944" s="2" t="inlineStr">
        <is>
          <t>코넥스</t>
        </is>
      </c>
      <c r="D6944" s="2" t="inlineStr">
        <is>
          <t>102950</t>
        </is>
      </c>
      <c r="E6944" s="3" t="inlineStr">
        <is>
          <t xml:space="preserve">기업설명회(IR)개최결과              </t>
        </is>
      </c>
      <c r="F6944" s="3" t="inlineStr">
        <is>
          <t>아하</t>
        </is>
      </c>
      <c r="G6944" s="2" t="inlineStr">
        <is>
          <t>20260527600598</t>
        </is>
      </c>
      <c r="H6944" s="8">
        <f>HYPERLINK("https://dart.fss.or.kr/dsaf001/main.do?rcpNo=20260527600598", "공시열람")</f>
        <v/>
      </c>
    </row>
    <row r="6945">
      <c r="A6945" s="2" t="inlineStr">
        <is>
          <t>2026-05-27</t>
        </is>
      </c>
      <c r="B6945" s="3" t="inlineStr">
        <is>
          <t>SCL사이언스</t>
        </is>
      </c>
      <c r="C6945" s="2" t="inlineStr">
        <is>
          <t>코스닥</t>
        </is>
      </c>
      <c r="D6945" s="2" t="inlineStr">
        <is>
          <t>246960</t>
        </is>
      </c>
      <c r="E6945" s="3" t="inlineStr">
        <is>
          <t>임원ㆍ주요주주특정증권등소유상황보고서</t>
        </is>
      </c>
      <c r="F6945" s="3" t="inlineStr">
        <is>
          <t>양춘식</t>
        </is>
      </c>
      <c r="G6945" s="2" t="inlineStr">
        <is>
          <t>20260527000430</t>
        </is>
      </c>
      <c r="H6945" s="8">
        <f>HYPERLINK("https://dart.fss.or.kr/dsaf001/main.do?rcpNo=20260527000430", "공시열람")</f>
        <v/>
      </c>
    </row>
    <row r="6946">
      <c r="A6946" s="2" t="inlineStr">
        <is>
          <t>2026-05-27</t>
        </is>
      </c>
      <c r="B6946" s="3" t="inlineStr">
        <is>
          <t>인크레더블버즈</t>
        </is>
      </c>
      <c r="C6946" s="2" t="inlineStr">
        <is>
          <t>코스닥</t>
        </is>
      </c>
      <c r="D6946" s="2" t="inlineStr">
        <is>
          <t>064090</t>
        </is>
      </c>
      <c r="E6946" s="3" t="inlineStr">
        <is>
          <t xml:space="preserve">본점소재지변경              </t>
        </is>
      </c>
      <c r="F6946" s="3" t="inlineStr">
        <is>
          <t>인크레더블버즈</t>
        </is>
      </c>
      <c r="G6946" s="2" t="inlineStr">
        <is>
          <t>20260527900593</t>
        </is>
      </c>
      <c r="H6946" s="8">
        <f>HYPERLINK("https://dart.fss.or.kr/dsaf001/main.do?rcpNo=20260527900593", "공시열람")</f>
        <v/>
      </c>
    </row>
    <row r="6947">
      <c r="A6947" s="2" t="inlineStr">
        <is>
          <t>2026-05-27</t>
        </is>
      </c>
      <c r="B6947" s="3" t="inlineStr">
        <is>
          <t>알에프텍</t>
        </is>
      </c>
      <c r="C6947" s="2" t="inlineStr">
        <is>
          <t>코스닥</t>
        </is>
      </c>
      <c r="D6947" s="2" t="inlineStr">
        <is>
          <t>061040</t>
        </is>
      </c>
      <c r="E6947" s="3" t="inlineStr">
        <is>
          <t>주권매매거래정지해제              (액면병합 주권 변경상장)</t>
        </is>
      </c>
      <c r="F6947" s="3" t="inlineStr">
        <is>
          <t>코스닥시장본부</t>
        </is>
      </c>
      <c r="G6947" s="2" t="inlineStr">
        <is>
          <t>20260527900571</t>
        </is>
      </c>
      <c r="H6947" s="8">
        <f>HYPERLINK("https://dart.fss.or.kr/dsaf001/main.do?rcpNo=20260527900571", "공시열람")</f>
        <v/>
      </c>
    </row>
    <row r="6948">
      <c r="A6948" s="2" t="inlineStr">
        <is>
          <t>2026-05-27</t>
        </is>
      </c>
      <c r="B6948" s="3" t="inlineStr">
        <is>
          <t>대신증권</t>
        </is>
      </c>
      <c r="C6948" s="2" t="inlineStr">
        <is>
          <t>코스피</t>
        </is>
      </c>
      <c r="D6948" s="2" t="inlineStr">
        <is>
          <t>003540</t>
        </is>
      </c>
      <c r="E6948" s="3" t="inlineStr">
        <is>
          <t>대규모기업집단현황공시[연1회(동일인용)]</t>
        </is>
      </c>
      <c r="F6948" s="3" t="inlineStr">
        <is>
          <t>양홍석</t>
        </is>
      </c>
      <c r="G6948" s="2" t="inlineStr">
        <is>
          <t>20260527000429</t>
        </is>
      </c>
      <c r="H6948" s="8">
        <f>HYPERLINK("https://dart.fss.or.kr/dsaf001/main.do?rcpNo=20260527000429", "공시열람")</f>
        <v/>
      </c>
    </row>
    <row r="6949">
      <c r="A6949" s="2" t="inlineStr">
        <is>
          <t>2026-05-27</t>
        </is>
      </c>
      <c r="B6949" s="3" t="inlineStr">
        <is>
          <t>위너스일렉</t>
        </is>
      </c>
      <c r="C6949" s="2" t="inlineStr">
        <is>
          <t>코스닥</t>
        </is>
      </c>
      <c r="D6949" s="2" t="inlineStr">
        <is>
          <t>479960</t>
        </is>
      </c>
      <c r="E6949" s="3" t="inlineStr">
        <is>
          <t xml:space="preserve">주식매수선택권행사              </t>
        </is>
      </c>
      <c r="F6949" s="3" t="inlineStr">
        <is>
          <t>위너스일렉</t>
        </is>
      </c>
      <c r="G6949" s="2" t="inlineStr">
        <is>
          <t>20260527900536</t>
        </is>
      </c>
      <c r="H6949" s="8">
        <f>HYPERLINK("https://dart.fss.or.kr/dsaf001/main.do?rcpNo=20260527900536", "공시열람")</f>
        <v/>
      </c>
    </row>
    <row r="6950">
      <c r="A6950" s="2" t="inlineStr">
        <is>
          <t>2026-05-27</t>
        </is>
      </c>
      <c r="B6950" s="3" t="inlineStr">
        <is>
          <t>웰크론한텍</t>
        </is>
      </c>
      <c r="C6950" s="2" t="inlineStr">
        <is>
          <t>코스닥</t>
        </is>
      </c>
      <c r="D6950" s="2" t="inlineStr">
        <is>
          <t>076080</t>
        </is>
      </c>
      <c r="E6950" s="3" t="inlineStr">
        <is>
          <t>임원ㆍ주요주주특정증권등소유상황보고서</t>
        </is>
      </c>
      <c r="F6950" s="3" t="inlineStr">
        <is>
          <t>정성식</t>
        </is>
      </c>
      <c r="G6950" s="2" t="inlineStr">
        <is>
          <t>20260527000427</t>
        </is>
      </c>
      <c r="H6950" s="8">
        <f>HYPERLINK("https://dart.fss.or.kr/dsaf001/main.do?rcpNo=20260527000427", "공시열람")</f>
        <v/>
      </c>
    </row>
    <row r="6951">
      <c r="A6951" s="2" t="inlineStr">
        <is>
          <t>2026-05-27</t>
        </is>
      </c>
      <c r="B6951" s="3" t="inlineStr">
        <is>
          <t>에이루트</t>
        </is>
      </c>
      <c r="C6951" s="2" t="inlineStr">
        <is>
          <t>코스닥</t>
        </is>
      </c>
      <c r="D6951" s="2" t="inlineStr">
        <is>
          <t>096690</t>
        </is>
      </c>
      <c r="E6951" s="3" t="inlineStr">
        <is>
          <t>임원ㆍ주요주주특정증권등소유상황보고서</t>
        </is>
      </c>
      <c r="F6951" s="3" t="inlineStr">
        <is>
          <t>서문동군</t>
        </is>
      </c>
      <c r="G6951" s="2" t="inlineStr">
        <is>
          <t>20260527000424</t>
        </is>
      </c>
      <c r="H6951" s="8">
        <f>HYPERLINK("https://dart.fss.or.kr/dsaf001/main.do?rcpNo=20260527000424", "공시열람")</f>
        <v/>
      </c>
    </row>
    <row r="6952">
      <c r="A6952" s="2" t="inlineStr">
        <is>
          <t>2026-05-27</t>
        </is>
      </c>
      <c r="B6952" s="3" t="inlineStr">
        <is>
          <t>에이루트</t>
        </is>
      </c>
      <c r="C6952" s="2" t="inlineStr">
        <is>
          <t>코스닥</t>
        </is>
      </c>
      <c r="D6952" s="2" t="inlineStr">
        <is>
          <t>096690</t>
        </is>
      </c>
      <c r="E6952" s="3" t="inlineStr">
        <is>
          <t>임원ㆍ주요주주특정증권등소유상황보고서</t>
        </is>
      </c>
      <c r="F6952" s="3" t="inlineStr">
        <is>
          <t>이대성</t>
        </is>
      </c>
      <c r="G6952" s="2" t="inlineStr">
        <is>
          <t>20260527000421</t>
        </is>
      </c>
      <c r="H6952" s="8">
        <f>HYPERLINK("https://dart.fss.or.kr/dsaf001/main.do?rcpNo=20260527000421", "공시열람")</f>
        <v/>
      </c>
    </row>
    <row r="6953">
      <c r="A6953" s="2" t="inlineStr">
        <is>
          <t>2026-05-27</t>
        </is>
      </c>
      <c r="B6953" s="3" t="inlineStr">
        <is>
          <t>HL홀딩스</t>
        </is>
      </c>
      <c r="C6953" s="2" t="inlineStr">
        <is>
          <t>코스피</t>
        </is>
      </c>
      <c r="D6953" s="2" t="inlineStr">
        <is>
          <t>060980</t>
        </is>
      </c>
      <c r="E6953" s="3" t="inlineStr">
        <is>
          <t>임원ㆍ주요주주특정증권등소유상황보고서</t>
        </is>
      </c>
      <c r="F6953" s="3" t="inlineStr">
        <is>
          <t>정지연</t>
        </is>
      </c>
      <c r="G6953" s="2" t="inlineStr">
        <is>
          <t>20260527000418</t>
        </is>
      </c>
      <c r="H6953" s="8">
        <f>HYPERLINK("https://dart.fss.or.kr/dsaf001/main.do?rcpNo=20260527000418", "공시열람")</f>
        <v/>
      </c>
    </row>
    <row r="6954">
      <c r="A6954" s="2" t="inlineStr">
        <is>
          <t>2026-05-27</t>
        </is>
      </c>
      <c r="B6954" s="3" t="inlineStr">
        <is>
          <t>코웨이</t>
        </is>
      </c>
      <c r="C6954" s="2" t="inlineStr">
        <is>
          <t>코스피</t>
        </is>
      </c>
      <c r="D6954" s="2" t="inlineStr">
        <is>
          <t>021240</t>
        </is>
      </c>
      <c r="E6954" s="3" t="inlineStr">
        <is>
          <t xml:space="preserve">기업설명회(IR)개최(안내공시)              </t>
        </is>
      </c>
      <c r="F6954" s="3" t="inlineStr">
        <is>
          <t>코웨이</t>
        </is>
      </c>
      <c r="G6954" s="2" t="inlineStr">
        <is>
          <t>20260527800603</t>
        </is>
      </c>
      <c r="H6954" s="8">
        <f>HYPERLINK("https://dart.fss.or.kr/dsaf001/main.do?rcpNo=20260527800603", "공시열람")</f>
        <v/>
      </c>
    </row>
    <row r="6955">
      <c r="A6955" s="2" t="inlineStr">
        <is>
          <t>2026-05-27</t>
        </is>
      </c>
      <c r="B6955" s="3" t="inlineStr">
        <is>
          <t>삼성카드</t>
        </is>
      </c>
      <c r="C6955" s="2" t="inlineStr">
        <is>
          <t>코스피</t>
        </is>
      </c>
      <c r="D6955" s="2" t="inlineStr">
        <is>
          <t>029780</t>
        </is>
      </c>
      <c r="E6955" s="3" t="inlineStr">
        <is>
          <t>투자설명서(일괄신고)</t>
        </is>
      </c>
      <c r="F6955" s="3" t="inlineStr">
        <is>
          <t>삼성카드</t>
        </is>
      </c>
      <c r="G6955" s="2" t="inlineStr">
        <is>
          <t>20260527000413</t>
        </is>
      </c>
      <c r="H6955" s="8">
        <f>HYPERLINK("https://dart.fss.or.kr/dsaf001/main.do?rcpNo=20260527000413", "공시열람")</f>
        <v/>
      </c>
    </row>
    <row r="6956">
      <c r="A6956" s="2" t="inlineStr">
        <is>
          <t>2026-05-27</t>
        </is>
      </c>
      <c r="B6956" s="3" t="inlineStr">
        <is>
          <t>NH올원리츠</t>
        </is>
      </c>
      <c r="C6956" s="2" t="inlineStr">
        <is>
          <t>코스피</t>
        </is>
      </c>
      <c r="D6956" s="2" t="inlineStr">
        <is>
          <t>400760</t>
        </is>
      </c>
      <c r="E6956" s="3" t="inlineStr">
        <is>
          <t xml:space="preserve">부동산투자회사부동산임대              </t>
        </is>
      </c>
      <c r="F6956" s="3" t="inlineStr">
        <is>
          <t>NH올원리츠</t>
        </is>
      </c>
      <c r="G6956" s="2" t="inlineStr">
        <is>
          <t>20260527800554</t>
        </is>
      </c>
      <c r="H6956" s="8">
        <f>HYPERLINK("https://dart.fss.or.kr/dsaf001/main.do?rcpNo=20260527800554", "공시열람")</f>
        <v/>
      </c>
    </row>
    <row r="6957">
      <c r="A6957" s="2" t="inlineStr">
        <is>
          <t>2026-05-27</t>
        </is>
      </c>
      <c r="B6957" s="3" t="inlineStr">
        <is>
          <t>해성에어로보틱스</t>
        </is>
      </c>
      <c r="C6957" s="2" t="inlineStr">
        <is>
          <t>코스닥</t>
        </is>
      </c>
      <c r="D6957" s="2" t="inlineStr">
        <is>
          <t>059270</t>
        </is>
      </c>
      <c r="E6957" s="3" t="inlineStr">
        <is>
          <t>증권발행결과(자율공시)              (제3회차 CB)</t>
        </is>
      </c>
      <c r="F6957" s="3" t="inlineStr">
        <is>
          <t>해성에어로보틱스</t>
        </is>
      </c>
      <c r="G6957" s="2" t="inlineStr">
        <is>
          <t>20260527900492</t>
        </is>
      </c>
      <c r="H6957" s="8">
        <f>HYPERLINK("https://dart.fss.or.kr/dsaf001/main.do?rcpNo=20260527900492", "공시열람")</f>
        <v/>
      </c>
    </row>
    <row r="6958">
      <c r="A6958" s="2" t="inlineStr">
        <is>
          <t>2026-05-27</t>
        </is>
      </c>
      <c r="B6958" s="3" t="inlineStr">
        <is>
          <t>코리아에프티</t>
        </is>
      </c>
      <c r="C6958" s="2" t="inlineStr">
        <is>
          <t>코스닥</t>
        </is>
      </c>
      <c r="D6958" s="2" t="inlineStr">
        <is>
          <t>123410</t>
        </is>
      </c>
      <c r="E6958" s="3" t="inlineStr">
        <is>
          <t xml:space="preserve">기업설명회(IR)개최              </t>
        </is>
      </c>
      <c r="F6958" s="3" t="inlineStr">
        <is>
          <t>코리아에프티</t>
        </is>
      </c>
      <c r="G6958" s="2" t="inlineStr">
        <is>
          <t>20260527900594</t>
        </is>
      </c>
      <c r="H6958" s="8">
        <f>HYPERLINK("https://dart.fss.or.kr/dsaf001/main.do?rcpNo=20260527900594", "공시열람")</f>
        <v/>
      </c>
    </row>
    <row r="6959">
      <c r="A6959" s="2" t="inlineStr">
        <is>
          <t>2026-05-27</t>
        </is>
      </c>
      <c r="B6959" s="3" t="inlineStr">
        <is>
          <t>엘리비젼</t>
        </is>
      </c>
      <c r="C6959" s="2" t="inlineStr">
        <is>
          <t>코넥스</t>
        </is>
      </c>
      <c r="D6959" s="2" t="inlineStr">
        <is>
          <t>276240</t>
        </is>
      </c>
      <c r="E6959" s="3" t="inlineStr">
        <is>
          <t xml:space="preserve">기업설명회(IR)개최결과              </t>
        </is>
      </c>
      <c r="F6959" s="3" t="inlineStr">
        <is>
          <t>엘리비젼</t>
        </is>
      </c>
      <c r="G6959" s="2" t="inlineStr">
        <is>
          <t>20260527600543</t>
        </is>
      </c>
      <c r="H6959" s="8">
        <f>HYPERLINK("https://dart.fss.or.kr/dsaf001/main.do?rcpNo=20260527600543", "공시열람")</f>
        <v/>
      </c>
    </row>
    <row r="6960">
      <c r="A6960" s="2" t="inlineStr">
        <is>
          <t>2026-05-27</t>
        </is>
      </c>
      <c r="B6960" s="3" t="inlineStr">
        <is>
          <t>대신증권</t>
        </is>
      </c>
      <c r="C6960" s="2" t="inlineStr">
        <is>
          <t>코스피</t>
        </is>
      </c>
      <c r="D6960" s="2" t="inlineStr">
        <is>
          <t>003540</t>
        </is>
      </c>
      <c r="E6960" s="3" t="inlineStr">
        <is>
          <t>대규모기업집단현황공시[연1회공시및1/4분기용(대표회사)]</t>
        </is>
      </c>
      <c r="F6960" s="3" t="inlineStr">
        <is>
          <t>대신증권</t>
        </is>
      </c>
      <c r="G6960" s="2" t="inlineStr">
        <is>
          <t>20260527000409</t>
        </is>
      </c>
      <c r="H6960" s="8">
        <f>HYPERLINK("https://dart.fss.or.kr/dsaf001/main.do?rcpNo=20260527000409", "공시열람")</f>
        <v/>
      </c>
    </row>
    <row r="6961">
      <c r="A6961" s="2" t="inlineStr">
        <is>
          <t>2026-05-27</t>
        </is>
      </c>
      <c r="B6961" s="3" t="inlineStr">
        <is>
          <t>한화투자증권</t>
        </is>
      </c>
      <c r="C6961" s="2" t="inlineStr">
        <is>
          <t>코스피</t>
        </is>
      </c>
      <c r="D6961" s="2" t="inlineStr">
        <is>
          <t>003530</t>
        </is>
      </c>
      <c r="E6961" s="3" t="inlineStr">
        <is>
          <t>[기재정정]특수관계인에대한자금대여</t>
        </is>
      </c>
      <c r="F6961" s="3" t="inlineStr">
        <is>
          <t>한화투자증권</t>
        </is>
      </c>
      <c r="G6961" s="2" t="inlineStr">
        <is>
          <t>20260527000406</t>
        </is>
      </c>
      <c r="H6961" s="8">
        <f>HYPERLINK("https://dart.fss.or.kr/dsaf001/main.do?rcpNo=20260527000406", "공시열람")</f>
        <v/>
      </c>
    </row>
    <row r="6962">
      <c r="A6962" s="2" t="inlineStr">
        <is>
          <t>2026-05-27</t>
        </is>
      </c>
      <c r="B6962" s="3" t="inlineStr">
        <is>
          <t>신영증권</t>
        </is>
      </c>
      <c r="C6962" s="2" t="inlineStr">
        <is>
          <t>코스피</t>
        </is>
      </c>
      <c r="D6962" s="2" t="inlineStr">
        <is>
          <t>001720</t>
        </is>
      </c>
      <c r="E6962" s="3" t="inlineStr">
        <is>
          <t>증권발행실적보고서</t>
        </is>
      </c>
      <c r="F6962" s="3" t="inlineStr">
        <is>
          <t>신영증권</t>
        </is>
      </c>
      <c r="G6962" s="2" t="inlineStr">
        <is>
          <t>20260527000404</t>
        </is>
      </c>
      <c r="H6962" s="8">
        <f>HYPERLINK("https://dart.fss.or.kr/dsaf001/main.do?rcpNo=20260527000404", "공시열람")</f>
        <v/>
      </c>
    </row>
    <row r="6963">
      <c r="A6963" s="2" t="inlineStr">
        <is>
          <t>2026-05-27</t>
        </is>
      </c>
      <c r="B6963" s="3" t="inlineStr">
        <is>
          <t>삼익제약</t>
        </is>
      </c>
      <c r="C6963" s="2" t="inlineStr">
        <is>
          <t>코스닥</t>
        </is>
      </c>
      <c r="D6963" s="2" t="inlineStr">
        <is>
          <t>014950</t>
        </is>
      </c>
      <c r="E6963" s="3" t="inlineStr">
        <is>
          <t xml:space="preserve">주주명부폐쇄기간또는기준일설정              </t>
        </is>
      </c>
      <c r="F6963" s="3" t="inlineStr">
        <is>
          <t>삼익제약</t>
        </is>
      </c>
      <c r="G6963" s="2" t="inlineStr">
        <is>
          <t>20260527900569</t>
        </is>
      </c>
      <c r="H6963" s="8">
        <f>HYPERLINK("https://dart.fss.or.kr/dsaf001/main.do?rcpNo=20260527900569", "공시열람")</f>
        <v/>
      </c>
    </row>
    <row r="6964">
      <c r="A6964" s="2" t="inlineStr">
        <is>
          <t>2026-05-27</t>
        </is>
      </c>
      <c r="B6964" s="3" t="inlineStr">
        <is>
          <t>삼성증권</t>
        </is>
      </c>
      <c r="C6964" s="2" t="inlineStr">
        <is>
          <t>코스피</t>
        </is>
      </c>
      <c r="D6964" s="2" t="inlineStr">
        <is>
          <t>016360</t>
        </is>
      </c>
      <c r="E6964" s="3" t="inlineStr">
        <is>
          <t>일괄신고추가서류(파생결합증권-상장지수증권)</t>
        </is>
      </c>
      <c r="F6964" s="3" t="inlineStr">
        <is>
          <t>삼성증권</t>
        </is>
      </c>
      <c r="G6964" s="2" t="inlineStr">
        <is>
          <t>20260527000400</t>
        </is>
      </c>
      <c r="H6964" s="8">
        <f>HYPERLINK("https://dart.fss.or.kr/dsaf001/main.do?rcpNo=20260527000400", "공시열람")</f>
        <v/>
      </c>
    </row>
    <row r="6965">
      <c r="A6965" s="2" t="inlineStr">
        <is>
          <t>2026-05-27 (정정: 2026-06-10)</t>
        </is>
      </c>
      <c r="B6965" s="3" t="inlineStr">
        <is>
          <t>빌리언스</t>
        </is>
      </c>
      <c r="C6965" s="2" t="inlineStr">
        <is>
          <t>코스닥</t>
        </is>
      </c>
      <c r="D6965" s="2" t="inlineStr">
        <is>
          <t>044480</t>
        </is>
      </c>
      <c r="E6965" s="3" t="inlineStr">
        <is>
          <t>타법인주식및출자증권취득결정               (정정: 20260610)</t>
        </is>
      </c>
      <c r="F6965" s="3" t="inlineStr">
        <is>
          <t>빌리언스</t>
        </is>
      </c>
      <c r="G6965" s="2" t="inlineStr">
        <is>
          <t>20260610900721</t>
        </is>
      </c>
      <c r="H6965" s="8">
        <f>HYPERLINK("https://dart.fss.or.kr/dsaf001/main.do?rcpNo=20260610900721", "공시열람")</f>
        <v/>
      </c>
    </row>
    <row r="6966">
      <c r="A6966" s="2" t="inlineStr">
        <is>
          <t>2026-05-27</t>
        </is>
      </c>
      <c r="B6966" s="3" t="inlineStr">
        <is>
          <t>에코볼트</t>
        </is>
      </c>
      <c r="C6966" s="2" t="inlineStr">
        <is>
          <t>코스닥</t>
        </is>
      </c>
      <c r="D6966" s="2" t="inlineStr">
        <is>
          <t>097780</t>
        </is>
      </c>
      <c r="E6966" s="3" t="inlineStr">
        <is>
          <t xml:space="preserve">감자완료              </t>
        </is>
      </c>
      <c r="F6966" s="3" t="inlineStr">
        <is>
          <t>에코볼트</t>
        </is>
      </c>
      <c r="G6966" s="2" t="inlineStr">
        <is>
          <t>20260527900523</t>
        </is>
      </c>
      <c r="H6966" s="8">
        <f>HYPERLINK("https://dart.fss.or.kr/dsaf001/main.do?rcpNo=20260527900523", "공시열람")</f>
        <v/>
      </c>
    </row>
    <row r="6967">
      <c r="A6967" s="2" t="inlineStr">
        <is>
          <t>2026-05-27</t>
        </is>
      </c>
      <c r="B6967" s="3" t="inlineStr">
        <is>
          <t>파워넷</t>
        </is>
      </c>
      <c r="C6967" s="2" t="inlineStr">
        <is>
          <t>코스닥</t>
        </is>
      </c>
      <c r="D6967" s="2" t="inlineStr">
        <is>
          <t>037030</t>
        </is>
      </c>
      <c r="E6967" s="3" t="inlineStr">
        <is>
          <t xml:space="preserve">주주명부폐쇄기간또는기준일설정              </t>
        </is>
      </c>
      <c r="F6967" s="3" t="inlineStr">
        <is>
          <t>파워넷</t>
        </is>
      </c>
      <c r="G6967" s="2" t="inlineStr">
        <is>
          <t>20260527900573</t>
        </is>
      </c>
      <c r="H6967" s="8">
        <f>HYPERLINK("https://dart.fss.or.kr/dsaf001/main.do?rcpNo=20260527900573", "공시열람")</f>
        <v/>
      </c>
    </row>
    <row r="6968">
      <c r="A6968" s="2" t="inlineStr">
        <is>
          <t>2026-05-27</t>
        </is>
      </c>
      <c r="B6968" s="3" t="inlineStr">
        <is>
          <t>삼성카드</t>
        </is>
      </c>
      <c r="C6968" s="2" t="inlineStr">
        <is>
          <t>코스피</t>
        </is>
      </c>
      <c r="D6968" s="2" t="inlineStr">
        <is>
          <t>029780</t>
        </is>
      </c>
      <c r="E6968" s="3" t="inlineStr">
        <is>
          <t>일괄신고추가서류</t>
        </is>
      </c>
      <c r="F6968" s="3" t="inlineStr">
        <is>
          <t>삼성카드</t>
        </is>
      </c>
      <c r="G6968" s="2" t="inlineStr">
        <is>
          <t>20260527000392</t>
        </is>
      </c>
      <c r="H6968" s="8">
        <f>HYPERLINK("https://dart.fss.or.kr/dsaf001/main.do?rcpNo=20260527000392", "공시열람")</f>
        <v/>
      </c>
    </row>
    <row r="6969">
      <c r="A6969" s="2" t="inlineStr">
        <is>
          <t>2026-05-27</t>
        </is>
      </c>
      <c r="B6969" s="3" t="inlineStr">
        <is>
          <t>한화투자증권</t>
        </is>
      </c>
      <c r="C6969" s="2" t="inlineStr">
        <is>
          <t>코스피</t>
        </is>
      </c>
      <c r="D6969" s="2" t="inlineStr">
        <is>
          <t>003530</t>
        </is>
      </c>
      <c r="E6969" s="3" t="inlineStr">
        <is>
          <t>투자설명서(일괄신고)</t>
        </is>
      </c>
      <c r="F6969" s="3" t="inlineStr">
        <is>
          <t>한화투자증권</t>
        </is>
      </c>
      <c r="G6969" s="2" t="inlineStr">
        <is>
          <t>20260527000384</t>
        </is>
      </c>
      <c r="H6969" s="8">
        <f>HYPERLINK("https://dart.fss.or.kr/dsaf001/main.do?rcpNo=20260527000384", "공시열람")</f>
        <v/>
      </c>
    </row>
    <row r="6970">
      <c r="A6970" s="2" t="inlineStr">
        <is>
          <t>2026-05-27</t>
        </is>
      </c>
      <c r="B6970" s="3" t="inlineStr">
        <is>
          <t>삼성FN리츠</t>
        </is>
      </c>
      <c r="C6970" s="2" t="inlineStr">
        <is>
          <t>코스피</t>
        </is>
      </c>
      <c r="D6970" s="2" t="inlineStr">
        <is>
          <t>448730</t>
        </is>
      </c>
      <c r="E6970" s="3" t="inlineStr">
        <is>
          <t xml:space="preserve">기업설명회(IR)개최(안내공시)              </t>
        </is>
      </c>
      <c r="F6970" s="3" t="inlineStr">
        <is>
          <t>삼성FN리츠</t>
        </is>
      </c>
      <c r="G6970" s="2" t="inlineStr">
        <is>
          <t>20260527800514</t>
        </is>
      </c>
      <c r="H6970" s="8">
        <f>HYPERLINK("https://dart.fss.or.kr/dsaf001/main.do?rcpNo=20260527800514", "공시열람")</f>
        <v/>
      </c>
    </row>
    <row r="6971">
      <c r="A6971" s="2" t="inlineStr">
        <is>
          <t>2026-05-27</t>
        </is>
      </c>
      <c r="B6971" s="3" t="inlineStr">
        <is>
          <t>국전</t>
        </is>
      </c>
      <c r="C6971" s="2" t="inlineStr">
        <is>
          <t>코스닥</t>
        </is>
      </c>
      <c r="D6971" s="2" t="inlineStr">
        <is>
          <t>307750</t>
        </is>
      </c>
      <c r="E6971" s="3" t="inlineStr">
        <is>
          <t xml:space="preserve">신주인수권행사가액의조정              </t>
        </is>
      </c>
      <c r="F6971" s="3" t="inlineStr">
        <is>
          <t>국전</t>
        </is>
      </c>
      <c r="G6971" s="2" t="inlineStr">
        <is>
          <t>20260527900565</t>
        </is>
      </c>
      <c r="H6971" s="8">
        <f>HYPERLINK("https://dart.fss.or.kr/dsaf001/main.do?rcpNo=20260527900565", "공시열람")</f>
        <v/>
      </c>
    </row>
    <row r="6972">
      <c r="A6972" s="2" t="inlineStr">
        <is>
          <t>2026-05-27</t>
        </is>
      </c>
      <c r="B6972" s="3" t="inlineStr">
        <is>
          <t>키움증권</t>
        </is>
      </c>
      <c r="C6972" s="2" t="inlineStr">
        <is>
          <t>코스피</t>
        </is>
      </c>
      <c r="D6972" s="2" t="inlineStr">
        <is>
          <t>039490</t>
        </is>
      </c>
      <c r="E6972" s="3" t="inlineStr">
        <is>
          <t>증권발행실적보고서</t>
        </is>
      </c>
      <c r="F6972" s="3" t="inlineStr">
        <is>
          <t>키움증권</t>
        </is>
      </c>
      <c r="G6972" s="2" t="inlineStr">
        <is>
          <t>20260527000380</t>
        </is>
      </c>
      <c r="H6972" s="8">
        <f>HYPERLINK("https://dart.fss.or.kr/dsaf001/main.do?rcpNo=20260527000380", "공시열람")</f>
        <v/>
      </c>
    </row>
    <row r="6973">
      <c r="A6973" s="2" t="inlineStr">
        <is>
          <t>2026-05-27</t>
        </is>
      </c>
      <c r="B6973" s="3" t="inlineStr">
        <is>
          <t>한화투자증권</t>
        </is>
      </c>
      <c r="C6973" s="2" t="inlineStr">
        <is>
          <t>코스피</t>
        </is>
      </c>
      <c r="D6973" s="2" t="inlineStr">
        <is>
          <t>003530</t>
        </is>
      </c>
      <c r="E6973" s="3" t="inlineStr">
        <is>
          <t>일괄신고추가서류(파생결합사채-주가연계파생결합사채)</t>
        </is>
      </c>
      <c r="F6973" s="3" t="inlineStr">
        <is>
          <t>한화투자증권</t>
        </is>
      </c>
      <c r="G6973" s="2" t="inlineStr">
        <is>
          <t>20260527000379</t>
        </is>
      </c>
      <c r="H6973" s="8">
        <f>HYPERLINK("https://dart.fss.or.kr/dsaf001/main.do?rcpNo=20260527000379", "공시열람")</f>
        <v/>
      </c>
    </row>
    <row r="6974">
      <c r="A6974" s="2" t="inlineStr">
        <is>
          <t>2026-05-27</t>
        </is>
      </c>
      <c r="B6974" s="3" t="inlineStr">
        <is>
          <t>미스토홀딩스</t>
        </is>
      </c>
      <c r="C6974" s="2" t="inlineStr">
        <is>
          <t>코스피</t>
        </is>
      </c>
      <c r="D6974" s="2" t="inlineStr">
        <is>
          <t>081660</t>
        </is>
      </c>
      <c r="E6974" s="3" t="inlineStr">
        <is>
          <t xml:space="preserve">기업지배구조보고서공시              </t>
        </is>
      </c>
      <c r="F6974" s="3" t="inlineStr">
        <is>
          <t>미스토홀딩스</t>
        </is>
      </c>
      <c r="G6974" s="2" t="inlineStr">
        <is>
          <t>20260527800551</t>
        </is>
      </c>
      <c r="H6974" s="8">
        <f>HYPERLINK("https://dart.fss.or.kr/dsaf001/main.do?rcpNo=20260527800551", "공시열람")</f>
        <v/>
      </c>
    </row>
    <row r="6975">
      <c r="A6975" s="2" t="inlineStr">
        <is>
          <t>2026-05-27 (정정: 2026-06-11)</t>
        </is>
      </c>
      <c r="B6975" s="3" t="inlineStr">
        <is>
          <t>엔투텍</t>
        </is>
      </c>
      <c r="C6975" s="2" t="inlineStr">
        <is>
          <t>코스닥</t>
        </is>
      </c>
      <c r="D6975" s="2" t="inlineStr">
        <is>
          <t>227950</t>
        </is>
      </c>
      <c r="E6975" s="3" t="inlineStr">
        <is>
          <t>주권매매거래정지해제              (액면병합 주권 변경상장) (정정: 20260611) (정정: 20260611)</t>
        </is>
      </c>
      <c r="F6975" s="3" t="inlineStr">
        <is>
          <t>코스닥시장본부</t>
        </is>
      </c>
      <c r="G6975" s="2" t="inlineStr">
        <is>
          <t>20260611900546</t>
        </is>
      </c>
      <c r="H6975" s="8">
        <f>HYPERLINK("https://dart.fss.or.kr/dsaf001/main.do?rcpNo=20260611900546", "공시열람")</f>
        <v/>
      </c>
    </row>
    <row r="6976">
      <c r="A6976" s="2" t="inlineStr">
        <is>
          <t>2026-05-27</t>
        </is>
      </c>
      <c r="B6976" s="3" t="inlineStr">
        <is>
          <t>미트박스</t>
        </is>
      </c>
      <c r="C6976" s="2" t="inlineStr">
        <is>
          <t>코스닥</t>
        </is>
      </c>
      <c r="D6976" s="2" t="inlineStr">
        <is>
          <t>475460</t>
        </is>
      </c>
      <c r="E6976" s="3" t="inlineStr">
        <is>
          <t>임원ㆍ주요주주특정증권등소유상황보고서</t>
        </is>
      </c>
      <c r="F6976" s="3" t="inlineStr">
        <is>
          <t>오세흥</t>
        </is>
      </c>
      <c r="G6976" s="2" t="inlineStr">
        <is>
          <t>20260527000377</t>
        </is>
      </c>
      <c r="H6976" s="8">
        <f>HYPERLINK("https://dart.fss.or.kr/dsaf001/main.do?rcpNo=20260527000377", "공시열람")</f>
        <v/>
      </c>
    </row>
    <row r="6977">
      <c r="A6977" s="2" t="inlineStr">
        <is>
          <t>2026-05-27</t>
        </is>
      </c>
      <c r="B6977" s="3" t="inlineStr">
        <is>
          <t>iM금융지주</t>
        </is>
      </c>
      <c r="C6977" s="2" t="inlineStr">
        <is>
          <t>코스피</t>
        </is>
      </c>
      <c r="D6977" s="2" t="inlineStr">
        <is>
          <t>139130</t>
        </is>
      </c>
      <c r="E6977" s="3" t="inlineStr">
        <is>
          <t>신탁계약에의한취득상황보고서</t>
        </is>
      </c>
      <c r="F6977" s="3" t="inlineStr">
        <is>
          <t>iM금융지주</t>
        </is>
      </c>
      <c r="G6977" s="2" t="inlineStr">
        <is>
          <t>20260527000376</t>
        </is>
      </c>
      <c r="H6977" s="8">
        <f>HYPERLINK("https://dart.fss.or.kr/dsaf001/main.do?rcpNo=20260527000376", "공시열람")</f>
        <v/>
      </c>
    </row>
    <row r="6978">
      <c r="A6978" s="2" t="inlineStr">
        <is>
          <t>2026-05-27</t>
        </is>
      </c>
      <c r="B6978" s="3" t="inlineStr">
        <is>
          <t>이뮨온시아</t>
        </is>
      </c>
      <c r="C6978" s="2" t="inlineStr">
        <is>
          <t>코스닥</t>
        </is>
      </c>
      <c r="D6978" s="2" t="inlineStr">
        <is>
          <t>424870</t>
        </is>
      </c>
      <c r="E6978" s="3" t="inlineStr">
        <is>
          <t>임원ㆍ주요주주특정증권등소유상황보고서</t>
        </is>
      </c>
      <c r="F6978" s="3" t="inlineStr">
        <is>
          <t>유한양행</t>
        </is>
      </c>
      <c r="G6978" s="2" t="inlineStr">
        <is>
          <t>20260527000373</t>
        </is>
      </c>
      <c r="H6978" s="8">
        <f>HYPERLINK("https://dart.fss.or.kr/dsaf001/main.do?rcpNo=20260527000373", "공시열람")</f>
        <v/>
      </c>
    </row>
    <row r="6979">
      <c r="A6979" s="2" t="inlineStr">
        <is>
          <t>2026-05-27 (정정: 2026-05-27)</t>
        </is>
      </c>
      <c r="B6979" s="3" t="inlineStr">
        <is>
          <t>온타이드</t>
        </is>
      </c>
      <c r="C6979" s="2" t="inlineStr">
        <is>
          <t>코스피</t>
        </is>
      </c>
      <c r="D6979" s="2" t="inlineStr">
        <is>
          <t>005320</t>
        </is>
      </c>
      <c r="E6979" s="3" t="inlineStr">
        <is>
          <t>기업지배구조보고서공시               (정정: 20260527)</t>
        </is>
      </c>
      <c r="F6979" s="3" t="inlineStr">
        <is>
          <t>온타이드</t>
        </is>
      </c>
      <c r="G6979" s="2" t="inlineStr">
        <is>
          <t>20260527800286</t>
        </is>
      </c>
      <c r="H6979" s="8">
        <f>HYPERLINK("https://dart.fss.or.kr/dsaf001/main.do?rcpNo=20260527800286", "공시열람")</f>
        <v/>
      </c>
    </row>
    <row r="6980">
      <c r="A6980" s="2" t="inlineStr">
        <is>
          <t>2026-05-27</t>
        </is>
      </c>
      <c r="B6980" s="3" t="inlineStr">
        <is>
          <t>원림</t>
        </is>
      </c>
      <c r="C6980" s="2" t="inlineStr">
        <is>
          <t>코스피</t>
        </is>
      </c>
      <c r="D6980" s="2" t="inlineStr">
        <is>
          <t>005820</t>
        </is>
      </c>
      <c r="E6980" s="3" t="inlineStr">
        <is>
          <t xml:space="preserve">주주명부폐쇄기간또는기준일설정              </t>
        </is>
      </c>
      <c r="F6980" s="3" t="inlineStr">
        <is>
          <t>원림</t>
        </is>
      </c>
      <c r="G6980" s="2" t="inlineStr">
        <is>
          <t>20260527800453</t>
        </is>
      </c>
      <c r="H6980" s="8">
        <f>HYPERLINK("https://dart.fss.or.kr/dsaf001/main.do?rcpNo=20260527800453", "공시열람")</f>
        <v/>
      </c>
    </row>
    <row r="6981">
      <c r="A6981" s="2" t="inlineStr">
        <is>
          <t>2026-05-27 (정정: 2026-06-22)</t>
        </is>
      </c>
      <c r="B6981" s="3" t="inlineStr">
        <is>
          <t>그래디언트</t>
        </is>
      </c>
      <c r="C6981" s="2" t="inlineStr">
        <is>
          <t>코스닥</t>
        </is>
      </c>
      <c r="D6981" s="2" t="inlineStr">
        <is>
          <t>035080</t>
        </is>
      </c>
      <c r="E6981" s="3" t="inlineStr">
        <is>
          <t>임원ㆍ주요주주특정증권등소유상황보고서 (정정: 20260622)</t>
        </is>
      </c>
      <c r="F6981" s="3" t="inlineStr">
        <is>
          <t>남인봉</t>
        </is>
      </c>
      <c r="G6981" s="2" t="inlineStr">
        <is>
          <t>20260622000227</t>
        </is>
      </c>
      <c r="H6981" s="8">
        <f>HYPERLINK("https://dart.fss.or.kr/dsaf001/main.do?rcpNo=20260622000227", "공시열람")</f>
        <v/>
      </c>
    </row>
    <row r="6982">
      <c r="A6982" s="2" t="inlineStr">
        <is>
          <t>2026-05-27</t>
        </is>
      </c>
      <c r="B6982" s="3" t="inlineStr">
        <is>
          <t>마니커</t>
        </is>
      </c>
      <c r="C6982" s="2" t="inlineStr">
        <is>
          <t>코스피</t>
        </is>
      </c>
      <c r="D6982" s="2" t="inlineStr">
        <is>
          <t>027740</t>
        </is>
      </c>
      <c r="E6982" s="3" t="inlineStr">
        <is>
          <t xml:space="preserve">단기차입금증가결정              </t>
        </is>
      </c>
      <c r="F6982" s="3" t="inlineStr">
        <is>
          <t>마니커</t>
        </is>
      </c>
      <c r="G6982" s="2" t="inlineStr">
        <is>
          <t>20260527800516</t>
        </is>
      </c>
      <c r="H6982" s="8">
        <f>HYPERLINK("https://dart.fss.or.kr/dsaf001/main.do?rcpNo=20260527800516", "공시열람")</f>
        <v/>
      </c>
    </row>
    <row r="6983">
      <c r="A6983" s="2" t="inlineStr">
        <is>
          <t>2026-05-27</t>
        </is>
      </c>
      <c r="B6983" s="3" t="inlineStr">
        <is>
          <t>한빛소프트</t>
        </is>
      </c>
      <c r="C6983" s="2" t="inlineStr">
        <is>
          <t>코스닥</t>
        </is>
      </c>
      <c r="D6983" s="2" t="inlineStr">
        <is>
          <t>047080</t>
        </is>
      </c>
      <c r="E6983" s="3" t="inlineStr">
        <is>
          <t>임원ㆍ주요주주특정증권등소유상황보고서</t>
        </is>
      </c>
      <c r="F6983" s="3" t="inlineStr">
        <is>
          <t>원지훈</t>
        </is>
      </c>
      <c r="G6983" s="2" t="inlineStr">
        <is>
          <t>20260527000362</t>
        </is>
      </c>
      <c r="H6983" s="8">
        <f>HYPERLINK("https://dart.fss.or.kr/dsaf001/main.do?rcpNo=20260527000362", "공시열람")</f>
        <v/>
      </c>
    </row>
    <row r="6984">
      <c r="A6984" s="2" t="inlineStr">
        <is>
          <t>2026-05-27</t>
        </is>
      </c>
      <c r="B6984" s="3" t="inlineStr">
        <is>
          <t>키움증권</t>
        </is>
      </c>
      <c r="C6984" s="2" t="inlineStr">
        <is>
          <t>코스피</t>
        </is>
      </c>
      <c r="D6984" s="2" t="inlineStr">
        <is>
          <t>039490</t>
        </is>
      </c>
      <c r="E6984" s="3" t="inlineStr">
        <is>
          <t>투자설명서(일괄신고)</t>
        </is>
      </c>
      <c r="F6984" s="3" t="inlineStr">
        <is>
          <t>키움증권</t>
        </is>
      </c>
      <c r="G6984" s="2" t="inlineStr">
        <is>
          <t>20260527000357</t>
        </is>
      </c>
      <c r="H6984" s="8">
        <f>HYPERLINK("https://dart.fss.or.kr/dsaf001/main.do?rcpNo=20260527000357", "공시열람")</f>
        <v/>
      </c>
    </row>
    <row r="6985">
      <c r="A6985" s="2" t="inlineStr">
        <is>
          <t>2026-05-27</t>
        </is>
      </c>
      <c r="B6985" s="3" t="inlineStr">
        <is>
          <t>플래스크</t>
        </is>
      </c>
      <c r="C6985" s="2" t="inlineStr">
        <is>
          <t>코스닥</t>
        </is>
      </c>
      <c r="D6985" s="2" t="inlineStr">
        <is>
          <t>041590</t>
        </is>
      </c>
      <c r="E6985" s="3" t="inlineStr">
        <is>
          <t>의결권대리행사권유참고서류</t>
        </is>
      </c>
      <c r="F6985" s="3" t="inlineStr">
        <is>
          <t>플래스크</t>
        </is>
      </c>
      <c r="G6985" s="2" t="inlineStr">
        <is>
          <t>20260527000356</t>
        </is>
      </c>
      <c r="H6985" s="8">
        <f>HYPERLINK("https://dart.fss.or.kr/dsaf001/main.do?rcpNo=20260527000356", "공시열람")</f>
        <v/>
      </c>
    </row>
    <row r="6986">
      <c r="A6986" s="2" t="inlineStr">
        <is>
          <t>2026-05-27</t>
        </is>
      </c>
      <c r="B6986" s="3" t="inlineStr">
        <is>
          <t>동국산업</t>
        </is>
      </c>
      <c r="C6986" s="2" t="inlineStr">
        <is>
          <t>코스닥</t>
        </is>
      </c>
      <c r="D6986" s="2" t="inlineStr">
        <is>
          <t>005160</t>
        </is>
      </c>
      <c r="E6986" s="3" t="inlineStr">
        <is>
          <t>임원ㆍ주요주주특정증권등소유상황보고서</t>
        </is>
      </c>
      <c r="F6986" s="3" t="inlineStr">
        <is>
          <t>장효근</t>
        </is>
      </c>
      <c r="G6986" s="2" t="inlineStr">
        <is>
          <t>20260527000354</t>
        </is>
      </c>
      <c r="H6986" s="8">
        <f>HYPERLINK("https://dart.fss.or.kr/dsaf001/main.do?rcpNo=20260527000354", "공시열람")</f>
        <v/>
      </c>
    </row>
    <row r="6987">
      <c r="A6987" s="2" t="inlineStr">
        <is>
          <t>2026-05-27</t>
        </is>
      </c>
      <c r="B6987" s="3" t="inlineStr">
        <is>
          <t>신영증권</t>
        </is>
      </c>
      <c r="C6987" s="2" t="inlineStr">
        <is>
          <t>코스피</t>
        </is>
      </c>
      <c r="D6987" s="2" t="inlineStr">
        <is>
          <t>001720</t>
        </is>
      </c>
      <c r="E6987" s="3" t="inlineStr">
        <is>
          <t>증권발행실적보고서</t>
        </is>
      </c>
      <c r="F6987" s="3" t="inlineStr">
        <is>
          <t>신영증권</t>
        </is>
      </c>
      <c r="G6987" s="2" t="inlineStr">
        <is>
          <t>20260527000344</t>
        </is>
      </c>
      <c r="H6987" s="8">
        <f>HYPERLINK("https://dart.fss.or.kr/dsaf001/main.do?rcpNo=20260527000344", "공시열람")</f>
        <v/>
      </c>
    </row>
    <row r="6988">
      <c r="A6988" s="2" t="inlineStr">
        <is>
          <t>2026-05-27</t>
        </is>
      </c>
      <c r="B6988" s="3" t="inlineStr">
        <is>
          <t>이오플로우</t>
        </is>
      </c>
      <c r="C6988" s="2" t="inlineStr">
        <is>
          <t>코스닥</t>
        </is>
      </c>
      <c r="D6988" s="2" t="inlineStr">
        <is>
          <t>294090</t>
        </is>
      </c>
      <c r="E6988" s="3" t="inlineStr">
        <is>
          <t>임원ㆍ주요주주특정증권등소유상황보고서</t>
        </is>
      </c>
      <c r="F6988" s="3" t="inlineStr">
        <is>
          <t>권대우</t>
        </is>
      </c>
      <c r="G6988" s="2" t="inlineStr">
        <is>
          <t>20260527000342</t>
        </is>
      </c>
      <c r="H6988" s="8">
        <f>HYPERLINK("https://dart.fss.or.kr/dsaf001/main.do?rcpNo=20260527000342", "공시열람")</f>
        <v/>
      </c>
    </row>
    <row r="6989">
      <c r="A6989" s="2" t="inlineStr">
        <is>
          <t>2026-05-27</t>
        </is>
      </c>
      <c r="B6989" s="3" t="inlineStr">
        <is>
          <t>이퓨쳐</t>
        </is>
      </c>
      <c r="C6989" s="2" t="inlineStr">
        <is>
          <t>코스닥</t>
        </is>
      </c>
      <c r="D6989" s="2" t="inlineStr">
        <is>
          <t>134060</t>
        </is>
      </c>
      <c r="E6989" s="3" t="inlineStr">
        <is>
          <t>임원ㆍ주요주주특정증권등소유상황보고서</t>
        </is>
      </c>
      <c r="F6989" s="3" t="inlineStr">
        <is>
          <t>이기현</t>
        </is>
      </c>
      <c r="G6989" s="2" t="inlineStr">
        <is>
          <t>20260527000339</t>
        </is>
      </c>
      <c r="H6989" s="8">
        <f>HYPERLINK("https://dart.fss.or.kr/dsaf001/main.do?rcpNo=20260527000339", "공시열람")</f>
        <v/>
      </c>
    </row>
    <row r="6990">
      <c r="A6990" s="2" t="inlineStr">
        <is>
          <t>2026-05-27</t>
        </is>
      </c>
      <c r="B6990" s="3" t="inlineStr">
        <is>
          <t>교보증권</t>
        </is>
      </c>
      <c r="C6990" s="2" t="inlineStr">
        <is>
          <t>코스피</t>
        </is>
      </c>
      <c r="D6990" s="2" t="inlineStr">
        <is>
          <t>030610</t>
        </is>
      </c>
      <c r="E6990" s="3" t="inlineStr">
        <is>
          <t>투자설명서(일괄신고)</t>
        </is>
      </c>
      <c r="F6990" s="3" t="inlineStr">
        <is>
          <t>교보증권</t>
        </is>
      </c>
      <c r="G6990" s="2" t="inlineStr">
        <is>
          <t>20260527000336</t>
        </is>
      </c>
      <c r="H6990" s="8">
        <f>HYPERLINK("https://dart.fss.or.kr/dsaf001/main.do?rcpNo=20260527000336", "공시열람")</f>
        <v/>
      </c>
    </row>
    <row r="6991">
      <c r="A6991" s="2" t="inlineStr">
        <is>
          <t>2026-05-27</t>
        </is>
      </c>
      <c r="B6991" s="3" t="inlineStr">
        <is>
          <t>한국유니온제약</t>
        </is>
      </c>
      <c r="C6991" s="2" t="inlineStr">
        <is>
          <t>코스닥</t>
        </is>
      </c>
      <c r="D6991" s="2" t="inlineStr">
        <is>
          <t>080720</t>
        </is>
      </c>
      <c r="E6991" s="3" t="inlineStr">
        <is>
          <t>증권발행결과(자율공시)              (제3자배정 유상증자)</t>
        </is>
      </c>
      <c r="F6991" s="3" t="inlineStr">
        <is>
          <t>한국유니온제약</t>
        </is>
      </c>
      <c r="G6991" s="2" t="inlineStr">
        <is>
          <t>20260527900460</t>
        </is>
      </c>
      <c r="H6991" s="8">
        <f>HYPERLINK("https://dart.fss.or.kr/dsaf001/main.do?rcpNo=20260527900460", "공시열람")</f>
        <v/>
      </c>
    </row>
    <row r="6992">
      <c r="A6992" s="2" t="inlineStr">
        <is>
          <t>2026-05-27</t>
        </is>
      </c>
      <c r="B6992" s="3" t="inlineStr">
        <is>
          <t>스코넥</t>
        </is>
      </c>
      <c r="C6992" s="2" t="inlineStr">
        <is>
          <t>코스닥</t>
        </is>
      </c>
      <c r="D6992" s="2" t="inlineStr">
        <is>
          <t>276040</t>
        </is>
      </c>
      <c r="E6992" s="3" t="inlineStr">
        <is>
          <t>사외이사의선임ㆍ해임또는중도퇴임에관한신고</t>
        </is>
      </c>
      <c r="F6992" s="3" t="inlineStr">
        <is>
          <t>스코넥</t>
        </is>
      </c>
      <c r="G6992" s="2" t="inlineStr">
        <is>
          <t>20260527000330</t>
        </is>
      </c>
      <c r="H6992" s="8">
        <f>HYPERLINK("https://dart.fss.or.kr/dsaf001/main.do?rcpNo=20260527000330", "공시열람")</f>
        <v/>
      </c>
    </row>
    <row r="6993">
      <c r="A6993" s="2" t="inlineStr">
        <is>
          <t>2026-05-27</t>
        </is>
      </c>
      <c r="B6993" s="3" t="inlineStr">
        <is>
          <t>비큐AI</t>
        </is>
      </c>
      <c r="C6993" s="2" t="inlineStr">
        <is>
          <t>코스닥</t>
        </is>
      </c>
      <c r="D6993" s="2" t="inlineStr">
        <is>
          <t>148780</t>
        </is>
      </c>
      <c r="E6993" s="3" t="inlineStr">
        <is>
          <t>임원ㆍ주요주주특정증권등소유상황보고서</t>
        </is>
      </c>
      <c r="F6993" s="3" t="inlineStr">
        <is>
          <t>임경환</t>
        </is>
      </c>
      <c r="G6993" s="2" t="inlineStr">
        <is>
          <t>20260527000328</t>
        </is>
      </c>
      <c r="H6993" s="8">
        <f>HYPERLINK("https://dart.fss.or.kr/dsaf001/main.do?rcpNo=20260527000328", "공시열람")</f>
        <v/>
      </c>
    </row>
    <row r="6994">
      <c r="A6994" s="2" t="inlineStr">
        <is>
          <t>2026-05-27</t>
        </is>
      </c>
      <c r="B6994" s="3" t="inlineStr">
        <is>
          <t>교보증권</t>
        </is>
      </c>
      <c r="C6994" s="2" t="inlineStr">
        <is>
          <t>코스피</t>
        </is>
      </c>
      <c r="D6994" s="2" t="inlineStr">
        <is>
          <t>030610</t>
        </is>
      </c>
      <c r="E6994" s="3" t="inlineStr">
        <is>
          <t>일괄신고추가서류(파생결합사채-주가연계파생결합사채)</t>
        </is>
      </c>
      <c r="F6994" s="3" t="inlineStr">
        <is>
          <t>교보증권</t>
        </is>
      </c>
      <c r="G6994" s="2" t="inlineStr">
        <is>
          <t>20260527000325</t>
        </is>
      </c>
      <c r="H6994" s="8">
        <f>HYPERLINK("https://dart.fss.or.kr/dsaf001/main.do?rcpNo=20260527000325", "공시열람")</f>
        <v/>
      </c>
    </row>
    <row r="6995">
      <c r="A6995" s="2" t="inlineStr">
        <is>
          <t>2026-05-27</t>
        </is>
      </c>
      <c r="B6995" s="3" t="inlineStr">
        <is>
          <t>애경케미칼</t>
        </is>
      </c>
      <c r="C6995" s="2" t="inlineStr">
        <is>
          <t>코스피</t>
        </is>
      </c>
      <c r="D6995" s="2" t="inlineStr">
        <is>
          <t>161000</t>
        </is>
      </c>
      <c r="E6995" s="3" t="inlineStr">
        <is>
          <t xml:space="preserve">기업지배구조보고서공시              </t>
        </is>
      </c>
      <c r="F6995" s="3" t="inlineStr">
        <is>
          <t>애경케미칼</t>
        </is>
      </c>
      <c r="G6995" s="2" t="inlineStr">
        <is>
          <t>20260527800449</t>
        </is>
      </c>
      <c r="H6995" s="8">
        <f>HYPERLINK("https://dart.fss.or.kr/dsaf001/main.do?rcpNo=20260527800449", "공시열람")</f>
        <v/>
      </c>
    </row>
    <row r="6996">
      <c r="A6996" s="2" t="inlineStr">
        <is>
          <t>2026-05-27</t>
        </is>
      </c>
      <c r="B6996" s="3" t="inlineStr">
        <is>
          <t>랩지노믹스</t>
        </is>
      </c>
      <c r="C6996" s="2" t="inlineStr">
        <is>
          <t>코스닥</t>
        </is>
      </c>
      <c r="D6996" s="2" t="inlineStr">
        <is>
          <t>084650</t>
        </is>
      </c>
      <c r="E6996" s="3" t="inlineStr">
        <is>
          <t>임원ㆍ주요주주특정증권등소유상황보고서</t>
        </is>
      </c>
      <c r="F6996" s="3" t="inlineStr">
        <is>
          <t>오미진</t>
        </is>
      </c>
      <c r="G6996" s="2" t="inlineStr">
        <is>
          <t>20260527000314</t>
        </is>
      </c>
      <c r="H6996" s="8">
        <f>HYPERLINK("https://dart.fss.or.kr/dsaf001/main.do?rcpNo=20260527000314", "공시열람")</f>
        <v/>
      </c>
    </row>
    <row r="6997">
      <c r="A6997" s="2" t="inlineStr">
        <is>
          <t>2026-05-27</t>
        </is>
      </c>
      <c r="B6997" s="3" t="inlineStr">
        <is>
          <t>교보증권</t>
        </is>
      </c>
      <c r="C6997" s="2" t="inlineStr">
        <is>
          <t>코스피</t>
        </is>
      </c>
      <c r="D6997" s="2" t="inlineStr">
        <is>
          <t>030610</t>
        </is>
      </c>
      <c r="E6997" s="3" t="inlineStr">
        <is>
          <t>투자설명서(일괄신고)</t>
        </is>
      </c>
      <c r="F6997" s="3" t="inlineStr">
        <is>
          <t>교보증권</t>
        </is>
      </c>
      <c r="G6997" s="2" t="inlineStr">
        <is>
          <t>20260527000312</t>
        </is>
      </c>
      <c r="H6997" s="8">
        <f>HYPERLINK("https://dart.fss.or.kr/dsaf001/main.do?rcpNo=20260527000312", "공시열람")</f>
        <v/>
      </c>
    </row>
    <row r="6998">
      <c r="A6998" s="2" t="inlineStr">
        <is>
          <t>2026-05-27</t>
        </is>
      </c>
      <c r="B6998" s="3" t="inlineStr">
        <is>
          <t>마키나락스</t>
        </is>
      </c>
      <c r="C6998" s="2" t="inlineStr">
        <is>
          <t>코스닥</t>
        </is>
      </c>
      <c r="D6998" s="2" t="inlineStr">
        <is>
          <t>477850</t>
        </is>
      </c>
      <c r="E6998" s="3" t="inlineStr">
        <is>
          <t>임원ㆍ주요주주특정증권등소유상황보고서</t>
        </is>
      </c>
      <c r="F6998" s="3" t="inlineStr">
        <is>
          <t>박민수</t>
        </is>
      </c>
      <c r="G6998" s="2" t="inlineStr">
        <is>
          <t>20260527000307</t>
        </is>
      </c>
      <c r="H6998" s="8">
        <f>HYPERLINK("https://dart.fss.or.kr/dsaf001/main.do?rcpNo=20260527000307", "공시열람")</f>
        <v/>
      </c>
    </row>
    <row r="6999">
      <c r="A6999" s="2" t="inlineStr">
        <is>
          <t>2026-05-27</t>
        </is>
      </c>
      <c r="B6999" s="3" t="inlineStr">
        <is>
          <t>테이팩스</t>
        </is>
      </c>
      <c r="C6999" s="2" t="inlineStr">
        <is>
          <t>코스피</t>
        </is>
      </c>
      <c r="D6999" s="2" t="inlineStr">
        <is>
          <t>055490</t>
        </is>
      </c>
      <c r="E6999" s="3" t="inlineStr">
        <is>
          <t>대규모기업집단현황공시[연1회공시및1/4분기용(개별회사)]</t>
        </is>
      </c>
      <c r="F6999" s="3" t="inlineStr">
        <is>
          <t>테이팩스</t>
        </is>
      </c>
      <c r="G6999" s="2" t="inlineStr">
        <is>
          <t>20260527000303</t>
        </is>
      </c>
      <c r="H6999" s="8">
        <f>HYPERLINK("https://dart.fss.or.kr/dsaf001/main.do?rcpNo=20260527000303", "공시열람")</f>
        <v/>
      </c>
    </row>
    <row r="7000">
      <c r="A7000" s="2" t="inlineStr">
        <is>
          <t>2026-05-27</t>
        </is>
      </c>
      <c r="B7000" s="3" t="inlineStr">
        <is>
          <t>마키나락스</t>
        </is>
      </c>
      <c r="C7000" s="2" t="inlineStr">
        <is>
          <t>코스닥</t>
        </is>
      </c>
      <c r="D7000" s="2" t="inlineStr">
        <is>
          <t>477850</t>
        </is>
      </c>
      <c r="E7000" s="3" t="inlineStr">
        <is>
          <t>임원ㆍ주요주주특정증권등소유상황보고서</t>
        </is>
      </c>
      <c r="F7000" s="3" t="inlineStr">
        <is>
          <t>허영신</t>
        </is>
      </c>
      <c r="G7000" s="2" t="inlineStr">
        <is>
          <t>20260527000302</t>
        </is>
      </c>
      <c r="H7000" s="8">
        <f>HYPERLINK("https://dart.fss.or.kr/dsaf001/main.do?rcpNo=20260527000302", "공시열람")</f>
        <v/>
      </c>
    </row>
    <row r="7001">
      <c r="A7001" s="2" t="inlineStr">
        <is>
          <t>2026-05-27</t>
        </is>
      </c>
      <c r="B7001" s="3" t="inlineStr">
        <is>
          <t>티비씨</t>
        </is>
      </c>
      <c r="C7001" s="2" t="inlineStr">
        <is>
          <t>코스닥</t>
        </is>
      </c>
      <c r="D7001" s="2" t="inlineStr">
        <is>
          <t>033830</t>
        </is>
      </c>
      <c r="E7001" s="3" t="inlineStr">
        <is>
          <t>임원ㆍ주요주주특정증권등소유상황보고서</t>
        </is>
      </c>
      <c r="F7001" s="3" t="inlineStr">
        <is>
          <t>김실화</t>
        </is>
      </c>
      <c r="G7001" s="2" t="inlineStr">
        <is>
          <t>20260527000301</t>
        </is>
      </c>
      <c r="H7001" s="8">
        <f>HYPERLINK("https://dart.fss.or.kr/dsaf001/main.do?rcpNo=20260527000301", "공시열람")</f>
        <v/>
      </c>
    </row>
    <row r="7002">
      <c r="A7002" s="2" t="inlineStr">
        <is>
          <t>2026-05-27</t>
        </is>
      </c>
      <c r="B7002" s="3" t="inlineStr">
        <is>
          <t>교보증권</t>
        </is>
      </c>
      <c r="C7002" s="2" t="inlineStr">
        <is>
          <t>코스피</t>
        </is>
      </c>
      <c r="D7002" s="2" t="inlineStr">
        <is>
          <t>030610</t>
        </is>
      </c>
      <c r="E7002" s="3" t="inlineStr">
        <is>
          <t>일괄신고추가서류(파생결합사채-주가연계파생결합사채)</t>
        </is>
      </c>
      <c r="F7002" s="3" t="inlineStr">
        <is>
          <t>교보증권</t>
        </is>
      </c>
      <c r="G7002" s="2" t="inlineStr">
        <is>
          <t>20260527000299</t>
        </is>
      </c>
      <c r="H7002" s="8">
        <f>HYPERLINK("https://dart.fss.or.kr/dsaf001/main.do?rcpNo=20260527000299", "공시열람")</f>
        <v/>
      </c>
    </row>
    <row r="7003">
      <c r="A7003" s="2" t="inlineStr">
        <is>
          <t>2026-05-27</t>
        </is>
      </c>
      <c r="B7003" s="3" t="inlineStr">
        <is>
          <t>키움증권</t>
        </is>
      </c>
      <c r="C7003" s="2" t="inlineStr">
        <is>
          <t>코스피</t>
        </is>
      </c>
      <c r="D7003" s="2" t="inlineStr">
        <is>
          <t>039490</t>
        </is>
      </c>
      <c r="E7003" s="3" t="inlineStr">
        <is>
          <t>일괄신고추가서류(파생결합증권-주가연계증권)</t>
        </is>
      </c>
      <c r="F7003" s="3" t="inlineStr">
        <is>
          <t>키움증권</t>
        </is>
      </c>
      <c r="G7003" s="2" t="inlineStr">
        <is>
          <t>20260527000298</t>
        </is>
      </c>
      <c r="H7003" s="8">
        <f>HYPERLINK("https://dart.fss.or.kr/dsaf001/main.do?rcpNo=20260527000298", "공시열람")</f>
        <v/>
      </c>
    </row>
    <row r="7004">
      <c r="A7004" s="2" t="inlineStr">
        <is>
          <t>2026-05-27</t>
        </is>
      </c>
      <c r="B7004" s="3" t="inlineStr">
        <is>
          <t>녹십자홀딩스</t>
        </is>
      </c>
      <c r="C7004" s="2" t="inlineStr">
        <is>
          <t>코스피</t>
        </is>
      </c>
      <c r="D7004" s="2" t="inlineStr">
        <is>
          <t>005250</t>
        </is>
      </c>
      <c r="E7004" s="3" t="inlineStr">
        <is>
          <t xml:space="preserve">타법인주식및출자증권처분결정(종속회사의주요경영사항)              </t>
        </is>
      </c>
      <c r="F7004" s="3" t="inlineStr">
        <is>
          <t>녹십자홀딩스</t>
        </is>
      </c>
      <c r="G7004" s="2" t="inlineStr">
        <is>
          <t>20260527800415</t>
        </is>
      </c>
      <c r="H7004" s="8">
        <f>HYPERLINK("https://dart.fss.or.kr/dsaf001/main.do?rcpNo=20260527800415", "공시열람")</f>
        <v/>
      </c>
    </row>
    <row r="7005">
      <c r="A7005" s="2" t="inlineStr">
        <is>
          <t>2026-05-27</t>
        </is>
      </c>
      <c r="B7005" s="3" t="inlineStr">
        <is>
          <t>현대차증권</t>
        </is>
      </c>
      <c r="C7005" s="2" t="inlineStr">
        <is>
          <t>코스피</t>
        </is>
      </c>
      <c r="D7005" s="2" t="inlineStr">
        <is>
          <t>001500</t>
        </is>
      </c>
      <c r="E7005" s="3" t="inlineStr">
        <is>
          <t>투자설명서(일괄신고)</t>
        </is>
      </c>
      <c r="F7005" s="3" t="inlineStr">
        <is>
          <t>현대차증권</t>
        </is>
      </c>
      <c r="G7005" s="2" t="inlineStr">
        <is>
          <t>20260527000278</t>
        </is>
      </c>
      <c r="H7005" s="8">
        <f>HYPERLINK("https://dart.fss.or.kr/dsaf001/main.do?rcpNo=20260527000278", "공시열람")</f>
        <v/>
      </c>
    </row>
    <row r="7006">
      <c r="A7006" s="2" t="inlineStr">
        <is>
          <t>2026-05-27</t>
        </is>
      </c>
      <c r="B7006" s="3" t="inlineStr">
        <is>
          <t>세우글로벌</t>
        </is>
      </c>
      <c r="C7006" s="2" t="inlineStr">
        <is>
          <t>코스피</t>
        </is>
      </c>
      <c r="D7006" s="2" t="inlineStr">
        <is>
          <t>013000</t>
        </is>
      </c>
      <c r="E7006" s="3" t="inlineStr">
        <is>
          <t xml:space="preserve">기업지배구조보고서공시              </t>
        </is>
      </c>
      <c r="F7006" s="3" t="inlineStr">
        <is>
          <t>세우글로벌</t>
        </is>
      </c>
      <c r="G7006" s="2" t="inlineStr">
        <is>
          <t>20260527800390</t>
        </is>
      </c>
      <c r="H7006" s="8">
        <f>HYPERLINK("https://dart.fss.or.kr/dsaf001/main.do?rcpNo=20260527800390", "공시열람")</f>
        <v/>
      </c>
    </row>
    <row r="7007">
      <c r="A7007" s="2" t="inlineStr">
        <is>
          <t>2026-05-27</t>
        </is>
      </c>
      <c r="B7007" s="3" t="inlineStr">
        <is>
          <t>수젠텍</t>
        </is>
      </c>
      <c r="C7007" s="2" t="inlineStr">
        <is>
          <t>코스닥</t>
        </is>
      </c>
      <c r="D7007" s="2" t="inlineStr">
        <is>
          <t>253840</t>
        </is>
      </c>
      <c r="E7007" s="3" t="inlineStr">
        <is>
          <t>주식매수선택권부여에관한신고</t>
        </is>
      </c>
      <c r="F7007" s="3" t="inlineStr">
        <is>
          <t>수젠텍</t>
        </is>
      </c>
      <c r="G7007" s="2" t="inlineStr">
        <is>
          <t>20260527000263</t>
        </is>
      </c>
      <c r="H7007" s="8">
        <f>HYPERLINK("https://dart.fss.or.kr/dsaf001/main.do?rcpNo=20260527000263", "공시열람")</f>
        <v/>
      </c>
    </row>
    <row r="7008">
      <c r="A7008" s="2" t="inlineStr">
        <is>
          <t>2026-05-27</t>
        </is>
      </c>
      <c r="B7008" s="3" t="inlineStr">
        <is>
          <t>현대차증권</t>
        </is>
      </c>
      <c r="C7008" s="2" t="inlineStr">
        <is>
          <t>코스피</t>
        </is>
      </c>
      <c r="D7008" s="2" t="inlineStr">
        <is>
          <t>001500</t>
        </is>
      </c>
      <c r="E7008" s="3" t="inlineStr">
        <is>
          <t>일괄신고추가서류(기타파생결합사채)</t>
        </is>
      </c>
      <c r="F7008" s="3" t="inlineStr">
        <is>
          <t>현대차증권</t>
        </is>
      </c>
      <c r="G7008" s="2" t="inlineStr">
        <is>
          <t>20260527000257</t>
        </is>
      </c>
      <c r="H7008" s="8">
        <f>HYPERLINK("https://dart.fss.or.kr/dsaf001/main.do?rcpNo=20260527000257", "공시열람")</f>
        <v/>
      </c>
    </row>
    <row r="7009">
      <c r="A7009" s="2" t="inlineStr">
        <is>
          <t>2026-05-27</t>
        </is>
      </c>
      <c r="B7009" s="3" t="inlineStr">
        <is>
          <t>아이패밀리에스씨</t>
        </is>
      </c>
      <c r="C7009" s="2" t="inlineStr">
        <is>
          <t>코스닥</t>
        </is>
      </c>
      <c r="D7009" s="2" t="inlineStr">
        <is>
          <t>114840</t>
        </is>
      </c>
      <c r="E7009" s="3" t="inlineStr">
        <is>
          <t>임원ㆍ주요주주특정증권등소유상황보고서</t>
        </is>
      </c>
      <c r="F7009" s="3" t="inlineStr">
        <is>
          <t>김춘수</t>
        </is>
      </c>
      <c r="G7009" s="2" t="inlineStr">
        <is>
          <t>20260527000255</t>
        </is>
      </c>
      <c r="H7009" s="8">
        <f>HYPERLINK("https://dart.fss.or.kr/dsaf001/main.do?rcpNo=20260527000255", "공시열람")</f>
        <v/>
      </c>
    </row>
    <row r="7010">
      <c r="A7010" s="2" t="inlineStr">
        <is>
          <t>2026-05-27</t>
        </is>
      </c>
      <c r="B7010" s="3" t="inlineStr">
        <is>
          <t>미래에셋증권</t>
        </is>
      </c>
      <c r="C7010" s="2" t="inlineStr">
        <is>
          <t>코스피</t>
        </is>
      </c>
      <c r="D7010" s="2" t="inlineStr">
        <is>
          <t>006800</t>
        </is>
      </c>
      <c r="E7010" s="3" t="inlineStr">
        <is>
          <t>투자설명서(일괄신고)</t>
        </is>
      </c>
      <c r="F7010" s="3" t="inlineStr">
        <is>
          <t>미래에셋증권</t>
        </is>
      </c>
      <c r="G7010" s="2" t="inlineStr">
        <is>
          <t>20260527000253</t>
        </is>
      </c>
      <c r="H7010" s="8">
        <f>HYPERLINK("https://dart.fss.or.kr/dsaf001/main.do?rcpNo=20260527000253", "공시열람")</f>
        <v/>
      </c>
    </row>
    <row r="7011">
      <c r="A7011" s="2" t="inlineStr">
        <is>
          <t>2026-05-27</t>
        </is>
      </c>
      <c r="B7011" s="3" t="inlineStr">
        <is>
          <t>팬젠</t>
        </is>
      </c>
      <c r="C7011" s="2" t="inlineStr">
        <is>
          <t>코스닥</t>
        </is>
      </c>
      <c r="D7011" s="2" t="inlineStr">
        <is>
          <t>222110</t>
        </is>
      </c>
      <c r="E7011" s="3" t="inlineStr">
        <is>
          <t>투자판단관련주요경영사항              (질병관리청 국립보건연구원 중증열성혈소판감소증후군(SFTS) 치료용 항체 비임상 시료 생산체계 고도화 및 평가과제 협상대상자 선정 )</t>
        </is>
      </c>
      <c r="F7011" s="3" t="inlineStr">
        <is>
          <t>팬젠</t>
        </is>
      </c>
      <c r="G7011" s="2" t="inlineStr">
        <is>
          <t>20260527900329</t>
        </is>
      </c>
      <c r="H7011" s="8">
        <f>HYPERLINK("https://dart.fss.or.kr/dsaf001/main.do?rcpNo=20260527900329", "공시열람")</f>
        <v/>
      </c>
    </row>
    <row r="7012">
      <c r="A7012" s="2" t="inlineStr">
        <is>
          <t>2026-05-27</t>
        </is>
      </c>
      <c r="B7012" s="3" t="inlineStr">
        <is>
          <t>한솔테크닉스</t>
        </is>
      </c>
      <c r="C7012" s="2" t="inlineStr">
        <is>
          <t>코스피</t>
        </is>
      </c>
      <c r="D7012" s="2" t="inlineStr">
        <is>
          <t>004710</t>
        </is>
      </c>
      <c r="E7012" s="3" t="inlineStr">
        <is>
          <t>대규모기업집단현황공시[연1회공시및1/4분기용(개별회사)]</t>
        </is>
      </c>
      <c r="F7012" s="3" t="inlineStr">
        <is>
          <t>한솔테크닉스</t>
        </is>
      </c>
      <c r="G7012" s="2" t="inlineStr">
        <is>
          <t>20260527000249</t>
        </is>
      </c>
      <c r="H7012" s="8">
        <f>HYPERLINK("https://dart.fss.or.kr/dsaf001/main.do?rcpNo=20260527000249", "공시열람")</f>
        <v/>
      </c>
    </row>
    <row r="7013">
      <c r="A7013" s="2" t="inlineStr">
        <is>
          <t>2026-05-27</t>
        </is>
      </c>
      <c r="B7013" s="3" t="inlineStr">
        <is>
          <t>아이패밀리에스씨</t>
        </is>
      </c>
      <c r="C7013" s="2" t="inlineStr">
        <is>
          <t>코스닥</t>
        </is>
      </c>
      <c r="D7013" s="2" t="inlineStr">
        <is>
          <t>114840</t>
        </is>
      </c>
      <c r="E7013" s="3" t="inlineStr">
        <is>
          <t>임원ㆍ주요주주특정증권등소유상황보고서</t>
        </is>
      </c>
      <c r="F7013" s="3" t="inlineStr">
        <is>
          <t>윤현철</t>
        </is>
      </c>
      <c r="G7013" s="2" t="inlineStr">
        <is>
          <t>20260527000247</t>
        </is>
      </c>
      <c r="H7013" s="8">
        <f>HYPERLINK("https://dart.fss.or.kr/dsaf001/main.do?rcpNo=20260527000247", "공시열람")</f>
        <v/>
      </c>
    </row>
    <row r="7014">
      <c r="A7014" s="2" t="inlineStr">
        <is>
          <t>2026-05-27</t>
        </is>
      </c>
      <c r="B7014" s="3" t="inlineStr">
        <is>
          <t>티비씨</t>
        </is>
      </c>
      <c r="C7014" s="2" t="inlineStr">
        <is>
          <t>코스닥</t>
        </is>
      </c>
      <c r="D7014" s="2" t="inlineStr">
        <is>
          <t>033830</t>
        </is>
      </c>
      <c r="E7014" s="3" t="inlineStr">
        <is>
          <t>임원ㆍ주요주주특정증권등소유상황보고서</t>
        </is>
      </c>
      <c r="F7014" s="3" t="inlineStr">
        <is>
          <t>서명욱</t>
        </is>
      </c>
      <c r="G7014" s="2" t="inlineStr">
        <is>
          <t>20260527000246</t>
        </is>
      </c>
      <c r="H7014" s="8">
        <f>HYPERLINK("https://dart.fss.or.kr/dsaf001/main.do?rcpNo=20260527000246", "공시열람")</f>
        <v/>
      </c>
    </row>
    <row r="7015">
      <c r="A7015" s="2" t="inlineStr">
        <is>
          <t>2026-05-27</t>
        </is>
      </c>
      <c r="B7015" s="3" t="inlineStr">
        <is>
          <t>한솔아이원스</t>
        </is>
      </c>
      <c r="C7015" s="2" t="inlineStr">
        <is>
          <t>코스닥</t>
        </is>
      </c>
      <c r="D7015" s="2" t="inlineStr">
        <is>
          <t>114810</t>
        </is>
      </c>
      <c r="E7015" s="3" t="inlineStr">
        <is>
          <t>대규모기업집단현황공시[연1회공시및1/4분기용(개별회사)]</t>
        </is>
      </c>
      <c r="F7015" s="3" t="inlineStr">
        <is>
          <t>한솔아이원스</t>
        </is>
      </c>
      <c r="G7015" s="2" t="inlineStr">
        <is>
          <t>20260527000244</t>
        </is>
      </c>
      <c r="H7015" s="8">
        <f>HYPERLINK("https://dart.fss.or.kr/dsaf001/main.do?rcpNo=20260527000244", "공시열람")</f>
        <v/>
      </c>
    </row>
    <row r="7016">
      <c r="A7016" s="2" t="inlineStr">
        <is>
          <t>2026-05-27</t>
        </is>
      </c>
      <c r="B7016" s="3" t="inlineStr">
        <is>
          <t>에이텀</t>
        </is>
      </c>
      <c r="C7016" s="2" t="inlineStr">
        <is>
          <t>코스닥</t>
        </is>
      </c>
      <c r="D7016" s="2" t="inlineStr">
        <is>
          <t>355690</t>
        </is>
      </c>
      <c r="E7016" s="3" t="inlineStr">
        <is>
          <t>전환가액의조정              (제5회차, 제6회차)</t>
        </is>
      </c>
      <c r="F7016" s="3" t="inlineStr">
        <is>
          <t>에이텀</t>
        </is>
      </c>
      <c r="G7016" s="2" t="inlineStr">
        <is>
          <t>20260527900349</t>
        </is>
      </c>
      <c r="H7016" s="8">
        <f>HYPERLINK("https://dart.fss.or.kr/dsaf001/main.do?rcpNo=20260527900349", "공시열람")</f>
        <v/>
      </c>
    </row>
    <row r="7017">
      <c r="A7017" s="2" t="inlineStr">
        <is>
          <t>2026-05-27</t>
        </is>
      </c>
      <c r="B7017" s="3" t="inlineStr">
        <is>
          <t>아이패밀리에스씨</t>
        </is>
      </c>
      <c r="C7017" s="2" t="inlineStr">
        <is>
          <t>코스닥</t>
        </is>
      </c>
      <c r="D7017" s="2" t="inlineStr">
        <is>
          <t>114840</t>
        </is>
      </c>
      <c r="E7017" s="3" t="inlineStr">
        <is>
          <t>자기주식처분결과보고서</t>
        </is>
      </c>
      <c r="F7017" s="3" t="inlineStr">
        <is>
          <t>아이패밀리에스씨</t>
        </is>
      </c>
      <c r="G7017" s="2" t="inlineStr">
        <is>
          <t>20260527000237</t>
        </is>
      </c>
      <c r="H7017" s="8">
        <f>HYPERLINK("https://dart.fss.or.kr/dsaf001/main.do?rcpNo=20260527000237", "공시열람")</f>
        <v/>
      </c>
    </row>
    <row r="7018">
      <c r="A7018" s="2" t="inlineStr">
        <is>
          <t>2026-05-27</t>
        </is>
      </c>
      <c r="B7018" s="3" t="inlineStr">
        <is>
          <t>유한양행</t>
        </is>
      </c>
      <c r="C7018" s="2" t="inlineStr">
        <is>
          <t>코스피</t>
        </is>
      </c>
      <c r="D7018" s="2" t="inlineStr">
        <is>
          <t>000100</t>
        </is>
      </c>
      <c r="E7018" s="3" t="inlineStr">
        <is>
          <t>임원ㆍ주요주주특정증권등소유상황보고서</t>
        </is>
      </c>
      <c r="F7018" s="3" t="inlineStr">
        <is>
          <t>윤동수</t>
        </is>
      </c>
      <c r="G7018" s="2" t="inlineStr">
        <is>
          <t>20260527000232</t>
        </is>
      </c>
      <c r="H7018" s="8">
        <f>HYPERLINK("https://dart.fss.or.kr/dsaf001/main.do?rcpNo=20260527000232", "공시열람")</f>
        <v/>
      </c>
    </row>
    <row r="7019">
      <c r="A7019" s="2" t="inlineStr">
        <is>
          <t>2026-05-27</t>
        </is>
      </c>
      <c r="B7019" s="3" t="inlineStr">
        <is>
          <t>인터지스</t>
        </is>
      </c>
      <c r="C7019" s="2" t="inlineStr">
        <is>
          <t>코스피</t>
        </is>
      </c>
      <c r="D7019" s="2" t="inlineStr">
        <is>
          <t>129260</t>
        </is>
      </c>
      <c r="E7019" s="3" t="inlineStr">
        <is>
          <t>임원ㆍ주요주주특정증권등소유상황보고서</t>
        </is>
      </c>
      <c r="F7019" s="3" t="inlineStr">
        <is>
          <t>최우일</t>
        </is>
      </c>
      <c r="G7019" s="2" t="inlineStr">
        <is>
          <t>20260527000228</t>
        </is>
      </c>
      <c r="H7019" s="8">
        <f>HYPERLINK("https://dart.fss.or.kr/dsaf001/main.do?rcpNo=20260527000228", "공시열람")</f>
        <v/>
      </c>
    </row>
    <row r="7020">
      <c r="A7020" s="2" t="inlineStr">
        <is>
          <t>2026-05-27</t>
        </is>
      </c>
      <c r="B7020" s="3" t="inlineStr">
        <is>
          <t>신영증권</t>
        </is>
      </c>
      <c r="C7020" s="2" t="inlineStr">
        <is>
          <t>코스피</t>
        </is>
      </c>
      <c r="D7020" s="2" t="inlineStr">
        <is>
          <t>001720</t>
        </is>
      </c>
      <c r="E7020" s="3" t="inlineStr">
        <is>
          <t>투자설명서(일괄신고)</t>
        </is>
      </c>
      <c r="F7020" s="3" t="inlineStr">
        <is>
          <t>신영증권</t>
        </is>
      </c>
      <c r="G7020" s="2" t="inlineStr">
        <is>
          <t>20260527000227</t>
        </is>
      </c>
      <c r="H7020" s="8">
        <f>HYPERLINK("https://dart.fss.or.kr/dsaf001/main.do?rcpNo=20260527000227", "공시열람")</f>
        <v/>
      </c>
    </row>
    <row r="7021">
      <c r="A7021" s="2" t="inlineStr">
        <is>
          <t>2026-05-27</t>
        </is>
      </c>
      <c r="B7021" s="3" t="inlineStr">
        <is>
          <t>이상네트웍스</t>
        </is>
      </c>
      <c r="C7021" s="2" t="inlineStr">
        <is>
          <t>코스닥</t>
        </is>
      </c>
      <c r="D7021" s="2" t="inlineStr">
        <is>
          <t>080010</t>
        </is>
      </c>
      <c r="E7021" s="3" t="inlineStr">
        <is>
          <t>신탁계약해지결과보고서</t>
        </is>
      </c>
      <c r="F7021" s="3" t="inlineStr">
        <is>
          <t>이상네트웍스</t>
        </is>
      </c>
      <c r="G7021" s="2" t="inlineStr">
        <is>
          <t>20260527000225</t>
        </is>
      </c>
      <c r="H7021" s="8">
        <f>HYPERLINK("https://dart.fss.or.kr/dsaf001/main.do?rcpNo=20260527000225", "공시열람")</f>
        <v/>
      </c>
    </row>
    <row r="7022">
      <c r="A7022" s="2" t="inlineStr">
        <is>
          <t>2026-05-27</t>
        </is>
      </c>
      <c r="B7022" s="3" t="inlineStr">
        <is>
          <t>엠에프씨</t>
        </is>
      </c>
      <c r="C7022" s="2" t="inlineStr">
        <is>
          <t>코스닥</t>
        </is>
      </c>
      <c r="D7022" s="2" t="inlineStr">
        <is>
          <t>432980</t>
        </is>
      </c>
      <c r="E7022" s="3" t="inlineStr">
        <is>
          <t>임원ㆍ주요주주특정증권등소유상황보고서</t>
        </is>
      </c>
      <c r="F7022" s="3" t="inlineStr">
        <is>
          <t>이인배</t>
        </is>
      </c>
      <c r="G7022" s="2" t="inlineStr">
        <is>
          <t>20260527000224</t>
        </is>
      </c>
      <c r="H7022" s="8">
        <f>HYPERLINK("https://dart.fss.or.kr/dsaf001/main.do?rcpNo=20260527000224", "공시열람")</f>
        <v/>
      </c>
    </row>
    <row r="7023">
      <c r="A7023" s="2" t="inlineStr">
        <is>
          <t>2026-05-27</t>
        </is>
      </c>
      <c r="B7023" s="3" t="inlineStr">
        <is>
          <t>KTcs</t>
        </is>
      </c>
      <c r="C7023" s="2" t="inlineStr">
        <is>
          <t>코스피</t>
        </is>
      </c>
      <c r="D7023" s="2" t="inlineStr">
        <is>
          <t>058850</t>
        </is>
      </c>
      <c r="E7023" s="3" t="inlineStr">
        <is>
          <t xml:space="preserve">기업지배구조보고서공시              </t>
        </is>
      </c>
      <c r="F7023" s="3" t="inlineStr">
        <is>
          <t>KTcs</t>
        </is>
      </c>
      <c r="G7023" s="2" t="inlineStr">
        <is>
          <t>20260527800352</t>
        </is>
      </c>
      <c r="H7023" s="8">
        <f>HYPERLINK("https://dart.fss.or.kr/dsaf001/main.do?rcpNo=20260527800352", "공시열람")</f>
        <v/>
      </c>
    </row>
    <row r="7024">
      <c r="A7024" s="2" t="inlineStr">
        <is>
          <t>2026-05-27</t>
        </is>
      </c>
      <c r="B7024" s="3" t="inlineStr">
        <is>
          <t>삼양컴텍</t>
        </is>
      </c>
      <c r="C7024" s="2" t="inlineStr">
        <is>
          <t>코스닥</t>
        </is>
      </c>
      <c r="D7024" s="2" t="inlineStr">
        <is>
          <t>484590</t>
        </is>
      </c>
      <c r="E7024" s="3" t="inlineStr">
        <is>
          <t xml:space="preserve">기업설명회(IR)개최              </t>
        </is>
      </c>
      <c r="F7024" s="3" t="inlineStr">
        <is>
          <t>삼양컴텍</t>
        </is>
      </c>
      <c r="G7024" s="2" t="inlineStr">
        <is>
          <t>20260527900346</t>
        </is>
      </c>
      <c r="H7024" s="8">
        <f>HYPERLINK("https://dart.fss.or.kr/dsaf001/main.do?rcpNo=20260527900346", "공시열람")</f>
        <v/>
      </c>
    </row>
    <row r="7025">
      <c r="A7025" s="2" t="inlineStr">
        <is>
          <t>2026-05-27</t>
        </is>
      </c>
      <c r="B7025" s="3" t="inlineStr">
        <is>
          <t>삼성카드</t>
        </is>
      </c>
      <c r="C7025" s="2" t="inlineStr">
        <is>
          <t>코스피</t>
        </is>
      </c>
      <c r="D7025" s="2" t="inlineStr">
        <is>
          <t>029780</t>
        </is>
      </c>
      <c r="E7025" s="3" t="inlineStr">
        <is>
          <t>특수관계인과의수익증권거래</t>
        </is>
      </c>
      <c r="F7025" s="3" t="inlineStr">
        <is>
          <t>삼성카드</t>
        </is>
      </c>
      <c r="G7025" s="2" t="inlineStr">
        <is>
          <t>20260527000216</t>
        </is>
      </c>
      <c r="H7025" s="8">
        <f>HYPERLINK("https://dart.fss.or.kr/dsaf001/main.do?rcpNo=20260527000216", "공시열람")</f>
        <v/>
      </c>
    </row>
    <row r="7026">
      <c r="A7026" s="2" t="inlineStr">
        <is>
          <t>2026-05-27</t>
        </is>
      </c>
      <c r="B7026" s="3" t="inlineStr">
        <is>
          <t>대동스틸</t>
        </is>
      </c>
      <c r="C7026" s="2" t="inlineStr">
        <is>
          <t>코스닥</t>
        </is>
      </c>
      <c r="D7026" s="2" t="inlineStr">
        <is>
          <t>048470</t>
        </is>
      </c>
      <c r="E7026" s="3" t="inlineStr">
        <is>
          <t>임원ㆍ주요주주특정증권등소유상황보고서</t>
        </is>
      </c>
      <c r="F7026" s="3" t="inlineStr">
        <is>
          <t>임지현</t>
        </is>
      </c>
      <c r="G7026" s="2" t="inlineStr">
        <is>
          <t>20260527000213</t>
        </is>
      </c>
      <c r="H7026" s="8">
        <f>HYPERLINK("https://dart.fss.or.kr/dsaf001/main.do?rcpNo=20260527000213", "공시열람")</f>
        <v/>
      </c>
    </row>
    <row r="7027">
      <c r="A7027" s="2" t="inlineStr">
        <is>
          <t>2026-05-27</t>
        </is>
      </c>
      <c r="B7027" s="3" t="inlineStr">
        <is>
          <t>자연과환경</t>
        </is>
      </c>
      <c r="C7027" s="2" t="inlineStr">
        <is>
          <t>코스닥</t>
        </is>
      </c>
      <c r="D7027" s="2" t="inlineStr">
        <is>
          <t>043910</t>
        </is>
      </c>
      <c r="E7027" s="3" t="inlineStr">
        <is>
          <t>임원ㆍ주요주주특정증권등소유상황보고서</t>
        </is>
      </c>
      <c r="F7027" s="3" t="inlineStr">
        <is>
          <t>김준수</t>
        </is>
      </c>
      <c r="G7027" s="2" t="inlineStr">
        <is>
          <t>20260527000210</t>
        </is>
      </c>
      <c r="H7027" s="8">
        <f>HYPERLINK("https://dart.fss.or.kr/dsaf001/main.do?rcpNo=20260527000210", "공시열람")</f>
        <v/>
      </c>
    </row>
    <row r="7028">
      <c r="A7028" s="2" t="inlineStr">
        <is>
          <t>2026-05-27</t>
        </is>
      </c>
      <c r="B7028" s="3" t="inlineStr">
        <is>
          <t>대동스틸</t>
        </is>
      </c>
      <c r="C7028" s="2" t="inlineStr">
        <is>
          <t>코스닥</t>
        </is>
      </c>
      <c r="D7028" s="2" t="inlineStr">
        <is>
          <t>048470</t>
        </is>
      </c>
      <c r="E7028" s="3" t="inlineStr">
        <is>
          <t>임원ㆍ주요주주특정증권등소유상황보고서</t>
        </is>
      </c>
      <c r="F7028" s="3" t="inlineStr">
        <is>
          <t>임주희</t>
        </is>
      </c>
      <c r="G7028" s="2" t="inlineStr">
        <is>
          <t>20260527000206</t>
        </is>
      </c>
      <c r="H7028" s="8">
        <f>HYPERLINK("https://dart.fss.or.kr/dsaf001/main.do?rcpNo=20260527000206", "공시열람")</f>
        <v/>
      </c>
    </row>
    <row r="7029">
      <c r="A7029" s="2" t="inlineStr">
        <is>
          <t>2026-05-27</t>
        </is>
      </c>
      <c r="B7029" s="3" t="inlineStr">
        <is>
          <t>SHD</t>
        </is>
      </c>
      <c r="C7029" s="2" t="inlineStr">
        <is>
          <t>코스피</t>
        </is>
      </c>
      <c r="D7029" s="2" t="inlineStr">
        <is>
          <t>001770</t>
        </is>
      </c>
      <c r="E7029" s="3" t="inlineStr">
        <is>
          <t xml:space="preserve">기업지배구조보고서공시              </t>
        </is>
      </c>
      <c r="F7029" s="3" t="inlineStr">
        <is>
          <t>SHD</t>
        </is>
      </c>
      <c r="G7029" s="2" t="inlineStr">
        <is>
          <t>20260527800335</t>
        </is>
      </c>
      <c r="H7029" s="8">
        <f>HYPERLINK("https://dart.fss.or.kr/dsaf001/main.do?rcpNo=20260527800335", "공시열람")</f>
        <v/>
      </c>
    </row>
    <row r="7030">
      <c r="A7030" s="2" t="inlineStr">
        <is>
          <t>2026-05-27</t>
        </is>
      </c>
      <c r="B7030" s="3" t="inlineStr">
        <is>
          <t>자연과환경</t>
        </is>
      </c>
      <c r="C7030" s="2" t="inlineStr">
        <is>
          <t>코스닥</t>
        </is>
      </c>
      <c r="D7030" s="2" t="inlineStr">
        <is>
          <t>043910</t>
        </is>
      </c>
      <c r="E7030" s="3" t="inlineStr">
        <is>
          <t>임원ㆍ주요주주특정증권등소유상황보고서</t>
        </is>
      </c>
      <c r="F7030" s="3" t="inlineStr">
        <is>
          <t>이병용</t>
        </is>
      </c>
      <c r="G7030" s="2" t="inlineStr">
        <is>
          <t>20260527000195</t>
        </is>
      </c>
      <c r="H7030" s="8">
        <f>HYPERLINK("https://dart.fss.or.kr/dsaf001/main.do?rcpNo=20260527000195", "공시열람")</f>
        <v/>
      </c>
    </row>
    <row r="7031">
      <c r="A7031" s="2" t="inlineStr">
        <is>
          <t>2026-05-27</t>
        </is>
      </c>
      <c r="B7031" s="3" t="inlineStr">
        <is>
          <t>케이옥션</t>
        </is>
      </c>
      <c r="C7031" s="2" t="inlineStr">
        <is>
          <t>코스닥</t>
        </is>
      </c>
      <c r="D7031" s="2" t="inlineStr">
        <is>
          <t>102370</t>
        </is>
      </c>
      <c r="E7031" s="3" t="inlineStr">
        <is>
          <t>임원ㆍ주요주주특정증권등소유상황보고서</t>
        </is>
      </c>
      <c r="F7031" s="3" t="inlineStr">
        <is>
          <t>도현순</t>
        </is>
      </c>
      <c r="G7031" s="2" t="inlineStr">
        <is>
          <t>20260527000194</t>
        </is>
      </c>
      <c r="H7031" s="8">
        <f>HYPERLINK("https://dart.fss.or.kr/dsaf001/main.do?rcpNo=20260527000194", "공시열람")</f>
        <v/>
      </c>
    </row>
    <row r="7032">
      <c r="A7032" s="2" t="inlineStr">
        <is>
          <t>2026-05-27</t>
        </is>
      </c>
      <c r="B7032" s="3" t="inlineStr">
        <is>
          <t>가비아</t>
        </is>
      </c>
      <c r="C7032" s="2" t="inlineStr">
        <is>
          <t>코스닥</t>
        </is>
      </c>
      <c r="D7032" s="2" t="inlineStr">
        <is>
          <t>079940</t>
        </is>
      </c>
      <c r="E7032" s="3" t="inlineStr">
        <is>
          <t xml:space="preserve">기업설명회(IR)개최              </t>
        </is>
      </c>
      <c r="F7032" s="3" t="inlineStr">
        <is>
          <t>가비아</t>
        </is>
      </c>
      <c r="G7032" s="2" t="inlineStr">
        <is>
          <t>20260527900321</t>
        </is>
      </c>
      <c r="H7032" s="8">
        <f>HYPERLINK("https://dart.fss.or.kr/dsaf001/main.do?rcpNo=20260527900321", "공시열람")</f>
        <v/>
      </c>
    </row>
    <row r="7033">
      <c r="A7033" s="2" t="inlineStr">
        <is>
          <t>2026-05-27</t>
        </is>
      </c>
      <c r="B7033" s="3" t="inlineStr">
        <is>
          <t>키움증권</t>
        </is>
      </c>
      <c r="C7033" s="2" t="inlineStr">
        <is>
          <t>코스피</t>
        </is>
      </c>
      <c r="D7033" s="2" t="inlineStr">
        <is>
          <t>039490</t>
        </is>
      </c>
      <c r="E7033" s="3" t="inlineStr">
        <is>
          <t>일괄신고추가서류(기타파생결합사채)</t>
        </is>
      </c>
      <c r="F7033" s="3" t="inlineStr">
        <is>
          <t>키움증권</t>
        </is>
      </c>
      <c r="G7033" s="2" t="inlineStr">
        <is>
          <t>20260527000192</t>
        </is>
      </c>
      <c r="H7033" s="8">
        <f>HYPERLINK("https://dart.fss.or.kr/dsaf001/main.do?rcpNo=20260527000192", "공시열람")</f>
        <v/>
      </c>
    </row>
    <row r="7034">
      <c r="A7034" s="2" t="inlineStr">
        <is>
          <t>2026-05-27</t>
        </is>
      </c>
      <c r="B7034" s="3" t="inlineStr">
        <is>
          <t>신영증권</t>
        </is>
      </c>
      <c r="C7034" s="2" t="inlineStr">
        <is>
          <t>코스피</t>
        </is>
      </c>
      <c r="D7034" s="2" t="inlineStr">
        <is>
          <t>001720</t>
        </is>
      </c>
      <c r="E7034" s="3" t="inlineStr">
        <is>
          <t>일괄신고추가서류(파생결합사채-주가연계파생결합사채)</t>
        </is>
      </c>
      <c r="F7034" s="3" t="inlineStr">
        <is>
          <t>신영증권</t>
        </is>
      </c>
      <c r="G7034" s="2" t="inlineStr">
        <is>
          <t>20260527000190</t>
        </is>
      </c>
      <c r="H7034" s="8">
        <f>HYPERLINK("https://dart.fss.or.kr/dsaf001/main.do?rcpNo=20260527000190", "공시열람")</f>
        <v/>
      </c>
    </row>
    <row r="7035">
      <c r="A7035" s="2" t="inlineStr">
        <is>
          <t>2026-05-27</t>
        </is>
      </c>
      <c r="B7035" s="3" t="inlineStr">
        <is>
          <t>케이옥션</t>
        </is>
      </c>
      <c r="C7035" s="2" t="inlineStr">
        <is>
          <t>코스닥</t>
        </is>
      </c>
      <c r="D7035" s="2" t="inlineStr">
        <is>
          <t>102370</t>
        </is>
      </c>
      <c r="E7035" s="3" t="inlineStr">
        <is>
          <t>임원ㆍ주요주주특정증권등소유상황보고서</t>
        </is>
      </c>
      <c r="F7035" s="3" t="inlineStr">
        <is>
          <t>김정임</t>
        </is>
      </c>
      <c r="G7035" s="2" t="inlineStr">
        <is>
          <t>20260527000188</t>
        </is>
      </c>
      <c r="H7035" s="8">
        <f>HYPERLINK("https://dart.fss.or.kr/dsaf001/main.do?rcpNo=20260527000188", "공시열람")</f>
        <v/>
      </c>
    </row>
    <row r="7036">
      <c r="A7036" s="2" t="inlineStr">
        <is>
          <t>2026-05-27</t>
        </is>
      </c>
      <c r="B7036" s="3" t="inlineStr">
        <is>
          <t>삼양엔씨켐</t>
        </is>
      </c>
      <c r="C7036" s="2" t="inlineStr">
        <is>
          <t>코스닥</t>
        </is>
      </c>
      <c r="D7036" s="2" t="inlineStr">
        <is>
          <t>482630</t>
        </is>
      </c>
      <c r="E7036" s="3" t="inlineStr">
        <is>
          <t>임원ㆍ주요주주특정증권등소유상황보고서</t>
        </is>
      </c>
      <c r="F7036" s="3" t="inlineStr">
        <is>
          <t>이상규</t>
        </is>
      </c>
      <c r="G7036" s="2" t="inlineStr">
        <is>
          <t>20260527000186</t>
        </is>
      </c>
      <c r="H7036" s="8">
        <f>HYPERLINK("https://dart.fss.or.kr/dsaf001/main.do?rcpNo=20260527000186", "공시열람")</f>
        <v/>
      </c>
    </row>
    <row r="7037">
      <c r="A7037" s="2" t="inlineStr">
        <is>
          <t>2026-05-27</t>
        </is>
      </c>
      <c r="B7037" s="3" t="inlineStr">
        <is>
          <t>누보</t>
        </is>
      </c>
      <c r="C7037" s="2" t="inlineStr">
        <is>
          <t>코스닥</t>
        </is>
      </c>
      <c r="D7037" s="2" t="inlineStr">
        <is>
          <t>332290</t>
        </is>
      </c>
      <c r="E7037" s="3" t="inlineStr">
        <is>
          <t xml:space="preserve">전환가액의조정              </t>
        </is>
      </c>
      <c r="F7037" s="3" t="inlineStr">
        <is>
          <t>누보</t>
        </is>
      </c>
      <c r="G7037" s="2" t="inlineStr">
        <is>
          <t>20260527900306</t>
        </is>
      </c>
      <c r="H7037" s="8">
        <f>HYPERLINK("https://dart.fss.or.kr/dsaf001/main.do?rcpNo=20260527900306", "공시열람")</f>
        <v/>
      </c>
    </row>
    <row r="7038">
      <c r="A7038" s="2" t="inlineStr">
        <is>
          <t>2026-05-27</t>
        </is>
      </c>
      <c r="B7038" s="3" t="inlineStr">
        <is>
          <t>한솔홈데코</t>
        </is>
      </c>
      <c r="C7038" s="2" t="inlineStr">
        <is>
          <t>코스피</t>
        </is>
      </c>
      <c r="D7038" s="2" t="inlineStr">
        <is>
          <t>025750</t>
        </is>
      </c>
      <c r="E7038" s="3" t="inlineStr">
        <is>
          <t>대규모기업집단현황공시[연1회공시및1/4분기용(개별회사)]</t>
        </is>
      </c>
      <c r="F7038" s="3" t="inlineStr">
        <is>
          <t>한솔홈데코</t>
        </is>
      </c>
      <c r="G7038" s="2" t="inlineStr">
        <is>
          <t>20260527000181</t>
        </is>
      </c>
      <c r="H7038" s="8">
        <f>HYPERLINK("https://dart.fss.or.kr/dsaf001/main.do?rcpNo=20260527000181", "공시열람")</f>
        <v/>
      </c>
    </row>
    <row r="7039">
      <c r="A7039" s="2" t="inlineStr">
        <is>
          <t>2026-05-27</t>
        </is>
      </c>
      <c r="B7039" s="3" t="inlineStr">
        <is>
          <t>대원전선</t>
        </is>
      </c>
      <c r="C7039" s="2" t="inlineStr">
        <is>
          <t>코스피</t>
        </is>
      </c>
      <c r="D7039" s="2" t="inlineStr">
        <is>
          <t>006340</t>
        </is>
      </c>
      <c r="E7039" s="3" t="inlineStr">
        <is>
          <t xml:space="preserve">기업지배구조보고서공시              </t>
        </is>
      </c>
      <c r="F7039" s="3" t="inlineStr">
        <is>
          <t>대원전선</t>
        </is>
      </c>
      <c r="G7039" s="2" t="inlineStr">
        <is>
          <t>20260527800299</t>
        </is>
      </c>
      <c r="H7039" s="8">
        <f>HYPERLINK("https://dart.fss.or.kr/dsaf001/main.do?rcpNo=20260527800299", "공시열람")</f>
        <v/>
      </c>
    </row>
    <row r="7040">
      <c r="A7040" s="2" t="inlineStr">
        <is>
          <t>2026-05-27</t>
        </is>
      </c>
      <c r="B7040" s="3" t="inlineStr">
        <is>
          <t>한솔로지스틱스</t>
        </is>
      </c>
      <c r="C7040" s="2" t="inlineStr">
        <is>
          <t>코스피</t>
        </is>
      </c>
      <c r="D7040" s="2" t="inlineStr">
        <is>
          <t>009180</t>
        </is>
      </c>
      <c r="E7040" s="3" t="inlineStr">
        <is>
          <t>대규모기업집단현황공시[연1회공시및1/4분기용(개별회사)]</t>
        </is>
      </c>
      <c r="F7040" s="3" t="inlineStr">
        <is>
          <t>한솔로지스틱스</t>
        </is>
      </c>
      <c r="G7040" s="2" t="inlineStr">
        <is>
          <t>20260527000179</t>
        </is>
      </c>
      <c r="H7040" s="8">
        <f>HYPERLINK("https://dart.fss.or.kr/dsaf001/main.do?rcpNo=20260527000179", "공시열람")</f>
        <v/>
      </c>
    </row>
    <row r="7041">
      <c r="A7041" s="2" t="inlineStr">
        <is>
          <t>2026-05-27</t>
        </is>
      </c>
      <c r="B7041" s="3" t="inlineStr">
        <is>
          <t>제놀루션</t>
        </is>
      </c>
      <c r="C7041" s="2" t="inlineStr">
        <is>
          <t>코스닥</t>
        </is>
      </c>
      <c r="D7041" s="2" t="inlineStr">
        <is>
          <t>225220</t>
        </is>
      </c>
      <c r="E7041" s="3" t="inlineStr">
        <is>
          <t xml:space="preserve">기업설명회(IR)개최              </t>
        </is>
      </c>
      <c r="F7041" s="3" t="inlineStr">
        <is>
          <t>제놀루션</t>
        </is>
      </c>
      <c r="G7041" s="2" t="inlineStr">
        <is>
          <t>20260527900293</t>
        </is>
      </c>
      <c r="H7041" s="8">
        <f>HYPERLINK("https://dart.fss.or.kr/dsaf001/main.do?rcpNo=20260527900293", "공시열람")</f>
        <v/>
      </c>
    </row>
    <row r="7042">
      <c r="A7042" s="2" t="inlineStr">
        <is>
          <t>2026-05-27</t>
        </is>
      </c>
      <c r="B7042" s="3" t="inlineStr">
        <is>
          <t>유진증권</t>
        </is>
      </c>
      <c r="C7042" s="2" t="inlineStr">
        <is>
          <t>코스피</t>
        </is>
      </c>
      <c r="D7042" s="2" t="inlineStr">
        <is>
          <t>001200</t>
        </is>
      </c>
      <c r="E7042" s="3" t="inlineStr">
        <is>
          <t>투자설명서(일괄신고)</t>
        </is>
      </c>
      <c r="F7042" s="3" t="inlineStr">
        <is>
          <t>유진증권</t>
        </is>
      </c>
      <c r="G7042" s="2" t="inlineStr">
        <is>
          <t>20260527000174</t>
        </is>
      </c>
      <c r="H7042" s="8">
        <f>HYPERLINK("https://dart.fss.or.kr/dsaf001/main.do?rcpNo=20260527000174", "공시열람")</f>
        <v/>
      </c>
    </row>
    <row r="7043">
      <c r="A7043" s="2" t="inlineStr">
        <is>
          <t>2026-05-27</t>
        </is>
      </c>
      <c r="B7043" s="3" t="inlineStr">
        <is>
          <t>세동</t>
        </is>
      </c>
      <c r="C7043" s="2" t="inlineStr">
        <is>
          <t>코스닥</t>
        </is>
      </c>
      <c r="D7043" s="2" t="inlineStr">
        <is>
          <t>053060</t>
        </is>
      </c>
      <c r="E7043" s="3" t="inlineStr">
        <is>
          <t>임원ㆍ주요주주특정증권등거래계획보고서</t>
        </is>
      </c>
      <c r="F7043" s="3" t="inlineStr">
        <is>
          <t>박영애</t>
        </is>
      </c>
      <c r="G7043" s="2" t="inlineStr">
        <is>
          <t>20260527000172</t>
        </is>
      </c>
      <c r="H7043" s="8">
        <f>HYPERLINK("https://dart.fss.or.kr/dsaf001/main.do?rcpNo=20260527000172", "공시열람")</f>
        <v/>
      </c>
    </row>
    <row r="7044">
      <c r="A7044" s="2" t="inlineStr">
        <is>
          <t>2026-05-27</t>
        </is>
      </c>
      <c r="B7044" s="3" t="inlineStr">
        <is>
          <t>세동</t>
        </is>
      </c>
      <c r="C7044" s="2" t="inlineStr">
        <is>
          <t>코스닥</t>
        </is>
      </c>
      <c r="D7044" s="2" t="inlineStr">
        <is>
          <t>053060</t>
        </is>
      </c>
      <c r="E7044" s="3" t="inlineStr">
        <is>
          <t>임원ㆍ주요주주특정증권등거래계획보고서</t>
        </is>
      </c>
      <c r="F7044" s="3" t="inlineStr">
        <is>
          <t>윤 정 상</t>
        </is>
      </c>
      <c r="G7044" s="2" t="inlineStr">
        <is>
          <t>20260527000170</t>
        </is>
      </c>
      <c r="H7044" s="8">
        <f>HYPERLINK("https://dart.fss.or.kr/dsaf001/main.do?rcpNo=20260527000170", "공시열람")</f>
        <v/>
      </c>
    </row>
    <row r="7045">
      <c r="A7045" s="2" t="inlineStr">
        <is>
          <t>2026-05-27</t>
        </is>
      </c>
      <c r="B7045" s="3" t="inlineStr">
        <is>
          <t>국제약품</t>
        </is>
      </c>
      <c r="C7045" s="2" t="inlineStr">
        <is>
          <t>코스피</t>
        </is>
      </c>
      <c r="D7045" s="2" t="inlineStr">
        <is>
          <t>002720</t>
        </is>
      </c>
      <c r="E7045" s="3" t="inlineStr">
        <is>
          <t>임원ㆍ주요주주특정증권등소유상황보고서</t>
        </is>
      </c>
      <c r="F7045" s="3" t="inlineStr">
        <is>
          <t>최해성</t>
        </is>
      </c>
      <c r="G7045" s="2" t="inlineStr">
        <is>
          <t>20260527000163</t>
        </is>
      </c>
      <c r="H7045" s="8">
        <f>HYPERLINK("https://dart.fss.or.kr/dsaf001/main.do?rcpNo=20260527000163", "공시열람")</f>
        <v/>
      </c>
    </row>
    <row r="7046">
      <c r="A7046" s="2" t="inlineStr">
        <is>
          <t>2026-05-27</t>
        </is>
      </c>
      <c r="B7046" s="3" t="inlineStr">
        <is>
          <t>코리아나</t>
        </is>
      </c>
      <c r="C7046" s="2" t="inlineStr">
        <is>
          <t>코스닥</t>
        </is>
      </c>
      <c r="D7046" s="2" t="inlineStr">
        <is>
          <t>027050</t>
        </is>
      </c>
      <c r="E7046" s="3" t="inlineStr">
        <is>
          <t>임원ㆍ주요주주특정증권등소유상황보고서</t>
        </is>
      </c>
      <c r="F7046" s="3" t="inlineStr">
        <is>
          <t>김영태</t>
        </is>
      </c>
      <c r="G7046" s="2" t="inlineStr">
        <is>
          <t>20260527000162</t>
        </is>
      </c>
      <c r="H7046" s="8">
        <f>HYPERLINK("https://dart.fss.or.kr/dsaf001/main.do?rcpNo=20260527000162", "공시열람")</f>
        <v/>
      </c>
    </row>
    <row r="7047">
      <c r="A7047" s="2" t="inlineStr">
        <is>
          <t>2026-05-27</t>
        </is>
      </c>
      <c r="B7047" s="3" t="inlineStr">
        <is>
          <t>한솔케미칼</t>
        </is>
      </c>
      <c r="C7047" s="2" t="inlineStr">
        <is>
          <t>코스피</t>
        </is>
      </c>
      <c r="D7047" s="2" t="inlineStr">
        <is>
          <t>014680</t>
        </is>
      </c>
      <c r="E7047" s="3" t="inlineStr">
        <is>
          <t>대규모기업집단현황공시[연1회공시및1/4분기용(개별회사)]</t>
        </is>
      </c>
      <c r="F7047" s="3" t="inlineStr">
        <is>
          <t>한솔케미칼</t>
        </is>
      </c>
      <c r="G7047" s="2" t="inlineStr">
        <is>
          <t>20260527000153</t>
        </is>
      </c>
      <c r="H7047" s="8">
        <f>HYPERLINK("https://dart.fss.or.kr/dsaf001/main.do?rcpNo=20260527000153", "공시열람")</f>
        <v/>
      </c>
    </row>
    <row r="7048">
      <c r="A7048" s="2" t="inlineStr">
        <is>
          <t>2026-05-27</t>
        </is>
      </c>
      <c r="B7048" s="3" t="inlineStr">
        <is>
          <t>유진증권</t>
        </is>
      </c>
      <c r="C7048" s="2" t="inlineStr">
        <is>
          <t>코스피</t>
        </is>
      </c>
      <c r="D7048" s="2" t="inlineStr">
        <is>
          <t>001200</t>
        </is>
      </c>
      <c r="E7048" s="3" t="inlineStr">
        <is>
          <t>일괄신고추가서류(파생결합증권-주가연계증권)</t>
        </is>
      </c>
      <c r="F7048" s="3" t="inlineStr">
        <is>
          <t>유진증권</t>
        </is>
      </c>
      <c r="G7048" s="2" t="inlineStr">
        <is>
          <t>20260527000149</t>
        </is>
      </c>
      <c r="H7048" s="8">
        <f>HYPERLINK("https://dart.fss.or.kr/dsaf001/main.do?rcpNo=20260527000149", "공시열람")</f>
        <v/>
      </c>
    </row>
    <row r="7049">
      <c r="A7049" s="2" t="inlineStr">
        <is>
          <t>2026-05-27</t>
        </is>
      </c>
      <c r="B7049" s="3" t="inlineStr">
        <is>
          <t>미래에셋증권</t>
        </is>
      </c>
      <c r="C7049" s="2" t="inlineStr">
        <is>
          <t>코스피</t>
        </is>
      </c>
      <c r="D7049" s="2" t="inlineStr">
        <is>
          <t>006800</t>
        </is>
      </c>
      <c r="E7049" s="3" t="inlineStr">
        <is>
          <t>일괄신고추가서류(파생결합사채-주가연계파생결합사채)</t>
        </is>
      </c>
      <c r="F7049" s="3" t="inlineStr">
        <is>
          <t>미래에셋증권</t>
        </is>
      </c>
      <c r="G7049" s="2" t="inlineStr">
        <is>
          <t>20260527000144</t>
        </is>
      </c>
      <c r="H7049" s="8">
        <f>HYPERLINK("https://dart.fss.or.kr/dsaf001/main.do?rcpNo=20260527000144", "공시열람")</f>
        <v/>
      </c>
    </row>
    <row r="7050">
      <c r="A7050" s="2" t="inlineStr">
        <is>
          <t>2026-05-27</t>
        </is>
      </c>
      <c r="B7050" s="3" t="inlineStr">
        <is>
          <t>삼성에스디에스</t>
        </is>
      </c>
      <c r="C7050" s="2" t="inlineStr">
        <is>
          <t>코스피</t>
        </is>
      </c>
      <c r="D7050" s="2" t="inlineStr">
        <is>
          <t>018260</t>
        </is>
      </c>
      <c r="E7050" s="3" t="inlineStr">
        <is>
          <t>임원ㆍ주요주주특정증권등소유상황보고서</t>
        </is>
      </c>
      <c r="F7050" s="3" t="inlineStr">
        <is>
          <t>김민</t>
        </is>
      </c>
      <c r="G7050" s="2" t="inlineStr">
        <is>
          <t>20260527000141</t>
        </is>
      </c>
      <c r="H7050" s="8">
        <f>HYPERLINK("https://dart.fss.or.kr/dsaf001/main.do?rcpNo=20260527000141", "공시열람")</f>
        <v/>
      </c>
    </row>
    <row r="7051">
      <c r="A7051" s="2" t="inlineStr">
        <is>
          <t>2026-05-27</t>
        </is>
      </c>
      <c r="B7051" s="3" t="inlineStr">
        <is>
          <t>한국콜마</t>
        </is>
      </c>
      <c r="C7051" s="2" t="inlineStr">
        <is>
          <t>코스피</t>
        </is>
      </c>
      <c r="D7051" s="2" t="inlineStr">
        <is>
          <t>161890</t>
        </is>
      </c>
      <c r="E7051" s="3" t="inlineStr">
        <is>
          <t xml:space="preserve">기업설명회(IR)개최(안내공시)              </t>
        </is>
      </c>
      <c r="F7051" s="3" t="inlineStr">
        <is>
          <t>한국콜마</t>
        </is>
      </c>
      <c r="G7051" s="2" t="inlineStr">
        <is>
          <t>20260527800253</t>
        </is>
      </c>
      <c r="H7051" s="8">
        <f>HYPERLINK("https://dart.fss.or.kr/dsaf001/main.do?rcpNo=20260527800253", "공시열람")</f>
        <v/>
      </c>
    </row>
    <row r="7052">
      <c r="A7052" s="2" t="inlineStr">
        <is>
          <t>2026-05-27</t>
        </is>
      </c>
      <c r="B7052" s="3" t="inlineStr">
        <is>
          <t>TS트릴리온</t>
        </is>
      </c>
      <c r="C7052" s="2" t="inlineStr">
        <is>
          <t>코스닥</t>
        </is>
      </c>
      <c r="D7052" s="2" t="inlineStr">
        <is>
          <t>317240</t>
        </is>
      </c>
      <c r="E7052" s="3" t="inlineStr">
        <is>
          <t>임원ㆍ주요주주특정증권등소유상황보고서</t>
        </is>
      </c>
      <c r="F7052" s="3" t="inlineStr">
        <is>
          <t>김용주</t>
        </is>
      </c>
      <c r="G7052" s="2" t="inlineStr">
        <is>
          <t>20260527000124</t>
        </is>
      </c>
      <c r="H7052" s="8">
        <f>HYPERLINK("https://dart.fss.or.kr/dsaf001/main.do?rcpNo=20260527000124", "공시열람")</f>
        <v/>
      </c>
    </row>
    <row r="7053">
      <c r="A7053" s="2" t="inlineStr">
        <is>
          <t>2026-05-27</t>
        </is>
      </c>
      <c r="B7053" s="3" t="inlineStr">
        <is>
          <t>한국토지신탁</t>
        </is>
      </c>
      <c r="C7053" s="2" t="inlineStr">
        <is>
          <t>코스피</t>
        </is>
      </c>
      <c r="D7053" s="2" t="inlineStr">
        <is>
          <t>034830</t>
        </is>
      </c>
      <c r="E7053" s="3" t="inlineStr">
        <is>
          <t>임원ㆍ주요주주특정증권등소유상황보고서</t>
        </is>
      </c>
      <c r="F7053" s="3" t="inlineStr">
        <is>
          <t>이제혁</t>
        </is>
      </c>
      <c r="G7053" s="2" t="inlineStr">
        <is>
          <t>20260527000109</t>
        </is>
      </c>
      <c r="H7053" s="8">
        <f>HYPERLINK("https://dart.fss.or.kr/dsaf001/main.do?rcpNo=20260527000109", "공시열람")</f>
        <v/>
      </c>
    </row>
    <row r="7054">
      <c r="A7054" s="2" t="inlineStr">
        <is>
          <t>2026-05-27</t>
        </is>
      </c>
      <c r="B7054" s="3" t="inlineStr">
        <is>
          <t>한솔제지</t>
        </is>
      </c>
      <c r="C7054" s="2" t="inlineStr">
        <is>
          <t>코스피</t>
        </is>
      </c>
      <c r="D7054" s="2" t="inlineStr">
        <is>
          <t>213500</t>
        </is>
      </c>
      <c r="E7054" s="3" t="inlineStr">
        <is>
          <t>대규모기업집단현황공시[연1회공시및1/4분기용(개별회사)]</t>
        </is>
      </c>
      <c r="F7054" s="3" t="inlineStr">
        <is>
          <t>한솔제지</t>
        </is>
      </c>
      <c r="G7054" s="2" t="inlineStr">
        <is>
          <t>20260527000104</t>
        </is>
      </c>
      <c r="H7054" s="8">
        <f>HYPERLINK("https://dart.fss.or.kr/dsaf001/main.do?rcpNo=20260527000104", "공시열람")</f>
        <v/>
      </c>
    </row>
    <row r="7055">
      <c r="A7055" s="2" t="inlineStr">
        <is>
          <t>2026-05-27 (정정: 2026-05-29)</t>
        </is>
      </c>
      <c r="B7055" s="3" t="inlineStr">
        <is>
          <t>한솔홀딩스</t>
        </is>
      </c>
      <c r="C7055" s="2" t="inlineStr">
        <is>
          <t>코스피</t>
        </is>
      </c>
      <c r="D7055" s="2" t="inlineStr">
        <is>
          <t>004150</t>
        </is>
      </c>
      <c r="E7055" s="3" t="inlineStr">
        <is>
          <t>대규모기업집단현황공시[연1회공시및1/4분기용(대표회사)] (정정: 20260529)</t>
        </is>
      </c>
      <c r="F7055" s="3" t="inlineStr">
        <is>
          <t>한솔홀딩스</t>
        </is>
      </c>
      <c r="G7055" s="2" t="inlineStr">
        <is>
          <t>20260529000470</t>
        </is>
      </c>
      <c r="H7055" s="8">
        <f>HYPERLINK("https://dart.fss.or.kr/dsaf001/main.do?rcpNo=20260529000470", "공시열람")</f>
        <v/>
      </c>
    </row>
    <row r="7056">
      <c r="A7056" s="2" t="inlineStr">
        <is>
          <t>2026-05-27</t>
        </is>
      </c>
      <c r="B7056" s="3" t="inlineStr">
        <is>
          <t>아이언디바이스</t>
        </is>
      </c>
      <c r="C7056" s="2" t="inlineStr">
        <is>
          <t>코스닥</t>
        </is>
      </c>
      <c r="D7056" s="2" t="inlineStr">
        <is>
          <t>464500</t>
        </is>
      </c>
      <c r="E7056" s="3" t="inlineStr">
        <is>
          <t xml:space="preserve">기업설명회(IR)개최              </t>
        </is>
      </c>
      <c r="F7056" s="3" t="inlineStr">
        <is>
          <t>아이언디바이스</t>
        </is>
      </c>
      <c r="G7056" s="2" t="inlineStr">
        <is>
          <t>20260527900190</t>
        </is>
      </c>
      <c r="H7056" s="8">
        <f>HYPERLINK("https://dart.fss.or.kr/dsaf001/main.do?rcpNo=20260527900190", "공시열람")</f>
        <v/>
      </c>
    </row>
    <row r="7057">
      <c r="A7057" s="2" t="inlineStr">
        <is>
          <t>2026-05-27</t>
        </is>
      </c>
      <c r="B7057" s="3" t="inlineStr">
        <is>
          <t>한솔홀딩스</t>
        </is>
      </c>
      <c r="C7057" s="2" t="inlineStr">
        <is>
          <t>코스피</t>
        </is>
      </c>
      <c r="D7057" s="2" t="inlineStr">
        <is>
          <t>004150</t>
        </is>
      </c>
      <c r="E7057" s="3" t="inlineStr">
        <is>
          <t>대규모기업집단현황공시[연1회(동일인용)]</t>
        </is>
      </c>
      <c r="F7057" s="3" t="inlineStr">
        <is>
          <t>조동길</t>
        </is>
      </c>
      <c r="G7057" s="2" t="inlineStr">
        <is>
          <t>20260527000084</t>
        </is>
      </c>
      <c r="H7057" s="8">
        <f>HYPERLINK("https://dart.fss.or.kr/dsaf001/main.do?rcpNo=20260527000084", "공시열람")</f>
        <v/>
      </c>
    </row>
    <row r="7058">
      <c r="A7058" s="2" t="inlineStr">
        <is>
          <t>2026-05-27</t>
        </is>
      </c>
      <c r="B7058" s="3" t="inlineStr">
        <is>
          <t>쓰리에이로직스</t>
        </is>
      </c>
      <c r="C7058" s="2" t="inlineStr">
        <is>
          <t>코스닥</t>
        </is>
      </c>
      <c r="D7058" s="2" t="inlineStr">
        <is>
          <t>177900</t>
        </is>
      </c>
      <c r="E7058" s="3" t="inlineStr">
        <is>
          <t xml:space="preserve">기업설명회(IR)개최              </t>
        </is>
      </c>
      <c r="F7058" s="3" t="inlineStr">
        <is>
          <t>쓰리에이로직스</t>
        </is>
      </c>
      <c r="G7058" s="2" t="inlineStr">
        <is>
          <t>20260527900163</t>
        </is>
      </c>
      <c r="H7058" s="8">
        <f>HYPERLINK("https://dart.fss.or.kr/dsaf001/main.do?rcpNo=20260527900163", "공시열람")</f>
        <v/>
      </c>
    </row>
    <row r="7059">
      <c r="A7059" s="2" t="inlineStr">
        <is>
          <t>2026-05-27</t>
        </is>
      </c>
      <c r="B7059" s="3" t="inlineStr">
        <is>
          <t>쓰리에이로직스</t>
        </is>
      </c>
      <c r="C7059" s="2" t="inlineStr">
        <is>
          <t>코스닥</t>
        </is>
      </c>
      <c r="D7059" s="2" t="inlineStr">
        <is>
          <t>177900</t>
        </is>
      </c>
      <c r="E7059" s="3" t="inlineStr">
        <is>
          <t xml:space="preserve">영업실적등에대한전망(공정공시)              </t>
        </is>
      </c>
      <c r="F7059" s="3" t="inlineStr">
        <is>
          <t>쓰리에이로직스</t>
        </is>
      </c>
      <c r="G7059" s="2" t="inlineStr">
        <is>
          <t>20260527900187</t>
        </is>
      </c>
      <c r="H7059" s="8">
        <f>HYPERLINK("https://dart.fss.or.kr/dsaf001/main.do?rcpNo=20260527900187", "공시열람")</f>
        <v/>
      </c>
    </row>
    <row r="7060">
      <c r="A7060" s="2" t="inlineStr">
        <is>
          <t>2026-05-27</t>
        </is>
      </c>
      <c r="B7060" s="3" t="inlineStr">
        <is>
          <t>케어젠</t>
        </is>
      </c>
      <c r="C7060" s="2" t="inlineStr">
        <is>
          <t>코스닥</t>
        </is>
      </c>
      <c r="D7060" s="2" t="inlineStr">
        <is>
          <t>214370</t>
        </is>
      </c>
      <c r="E7060" s="3" t="inlineStr">
        <is>
          <t>임원ㆍ주요주주특정증권등소유상황보고서</t>
        </is>
      </c>
      <c r="F7060" s="3" t="inlineStr">
        <is>
          <t>정용지</t>
        </is>
      </c>
      <c r="G7060" s="2" t="inlineStr">
        <is>
          <t>20260527000070</t>
        </is>
      </c>
      <c r="H7060" s="8">
        <f>HYPERLINK("https://dart.fss.or.kr/dsaf001/main.do?rcpNo=20260527000070", "공시열람")</f>
        <v/>
      </c>
    </row>
    <row r="7061">
      <c r="A7061" s="2" t="inlineStr">
        <is>
          <t>2026-05-27</t>
        </is>
      </c>
      <c r="B7061" s="3" t="inlineStr">
        <is>
          <t>인화정공</t>
        </is>
      </c>
      <c r="C7061" s="2" t="inlineStr">
        <is>
          <t>코스닥</t>
        </is>
      </c>
      <c r="D7061" s="2" t="inlineStr">
        <is>
          <t>101930</t>
        </is>
      </c>
      <c r="E7061" s="3" t="inlineStr">
        <is>
          <t>임원ㆍ주요주주특정증권등소유상황보고서</t>
        </is>
      </c>
      <c r="F7061" s="3" t="inlineStr">
        <is>
          <t>이인</t>
        </is>
      </c>
      <c r="G7061" s="2" t="inlineStr">
        <is>
          <t>20260527000066</t>
        </is>
      </c>
      <c r="H7061" s="8">
        <f>HYPERLINK("https://dart.fss.or.kr/dsaf001/main.do?rcpNo=20260527000066", "공시열람")</f>
        <v/>
      </c>
    </row>
    <row r="7062">
      <c r="A7062" s="2" t="inlineStr">
        <is>
          <t>2026-05-27</t>
        </is>
      </c>
      <c r="B7062" s="3" t="inlineStr">
        <is>
          <t>브이엠</t>
        </is>
      </c>
      <c r="C7062" s="2" t="inlineStr">
        <is>
          <t>코스닥</t>
        </is>
      </c>
      <c r="D7062" s="2" t="inlineStr">
        <is>
          <t>089970</t>
        </is>
      </c>
      <c r="E7062" s="3" t="inlineStr">
        <is>
          <t>임원ㆍ주요주주특정증권등소유상황보고서</t>
        </is>
      </c>
      <c r="F7062" s="3" t="inlineStr">
        <is>
          <t>김승록</t>
        </is>
      </c>
      <c r="G7062" s="2" t="inlineStr">
        <is>
          <t>20260527000064</t>
        </is>
      </c>
      <c r="H7062" s="8">
        <f>HYPERLINK("https://dart.fss.or.kr/dsaf001/main.do?rcpNo=20260527000064", "공시열람")</f>
        <v/>
      </c>
    </row>
    <row r="7063">
      <c r="A7063" s="2" t="inlineStr">
        <is>
          <t>2026-05-27 (정정: 2026-05-29)</t>
        </is>
      </c>
      <c r="B7063" s="3" t="inlineStr">
        <is>
          <t>새론오토모티브</t>
        </is>
      </c>
      <c r="C7063" s="2" t="inlineStr">
        <is>
          <t>코스피</t>
        </is>
      </c>
      <c r="D7063" s="2" t="inlineStr">
        <is>
          <t>075180</t>
        </is>
      </c>
      <c r="E7063" s="3" t="inlineStr">
        <is>
          <t>기업지배구조보고서공시               (정정: 20260529) (정정: 20260529)</t>
        </is>
      </c>
      <c r="F7063" s="3" t="inlineStr">
        <is>
          <t>새론오토모티브</t>
        </is>
      </c>
      <c r="G7063" s="2" t="inlineStr">
        <is>
          <t>20260529800538</t>
        </is>
      </c>
      <c r="H7063" s="8">
        <f>HYPERLINK("https://dart.fss.or.kr/dsaf001/main.do?rcpNo=20260529800538", "공시열람")</f>
        <v/>
      </c>
    </row>
    <row r="7064">
      <c r="A7064" s="2" t="inlineStr">
        <is>
          <t>2026-05-27</t>
        </is>
      </c>
      <c r="B7064" s="3" t="inlineStr">
        <is>
          <t>엑셈</t>
        </is>
      </c>
      <c r="C7064" s="2" t="inlineStr">
        <is>
          <t>코스닥</t>
        </is>
      </c>
      <c r="D7064" s="2" t="inlineStr">
        <is>
          <t>205100</t>
        </is>
      </c>
      <c r="E7064" s="3" t="inlineStr">
        <is>
          <t>임원ㆍ주요주주특정증권등소유상황보고서</t>
        </is>
      </c>
      <c r="F7064" s="3" t="inlineStr">
        <is>
          <t>조종암</t>
        </is>
      </c>
      <c r="G7064" s="2" t="inlineStr">
        <is>
          <t>20260527000051</t>
        </is>
      </c>
      <c r="H7064" s="8">
        <f>HYPERLINK("https://dart.fss.or.kr/dsaf001/main.do?rcpNo=20260527000051", "공시열람")</f>
        <v/>
      </c>
    </row>
    <row r="7065">
      <c r="A7065" s="2" t="inlineStr">
        <is>
          <t>2026-05-27 (정정: 2026-06-16)</t>
        </is>
      </c>
      <c r="B7065" s="3" t="inlineStr">
        <is>
          <t>에임드바이오</t>
        </is>
      </c>
      <c r="C7065" s="2" t="inlineStr">
        <is>
          <t>코스닥</t>
        </is>
      </c>
      <c r="D7065" s="2" t="inlineStr">
        <is>
          <t>0009K0</t>
        </is>
      </c>
      <c r="E7065" s="3" t="inlineStr">
        <is>
          <t>투자판단관련주요경영사항(임상시험계획승인신청)               (정정: 20260616)</t>
        </is>
      </c>
      <c r="F7065" s="3" t="inlineStr">
        <is>
          <t>에임드바이오</t>
        </is>
      </c>
      <c r="G7065" s="2" t="inlineStr">
        <is>
          <t>20260616900846</t>
        </is>
      </c>
      <c r="H7065" s="8">
        <f>HYPERLINK("https://dart.fss.or.kr/dsaf001/main.do?rcpNo=20260616900846", "공시열람")</f>
        <v/>
      </c>
    </row>
    <row r="7066">
      <c r="A7066" s="2" t="inlineStr">
        <is>
          <t>2026-05-27</t>
        </is>
      </c>
      <c r="B7066" s="3" t="inlineStr">
        <is>
          <t>감성코퍼레이션</t>
        </is>
      </c>
      <c r="C7066" s="2" t="inlineStr">
        <is>
          <t>코스닥</t>
        </is>
      </c>
      <c r="D7066" s="2" t="inlineStr">
        <is>
          <t>036620</t>
        </is>
      </c>
      <c r="E7066" s="3" t="inlineStr">
        <is>
          <t>임원ㆍ주요주주특정증권등소유상황보고서</t>
        </is>
      </c>
      <c r="F7066" s="3" t="inlineStr">
        <is>
          <t>김호선</t>
        </is>
      </c>
      <c r="G7066" s="2" t="inlineStr">
        <is>
          <t>20260527000031</t>
        </is>
      </c>
      <c r="H7066" s="8">
        <f>HYPERLINK("https://dart.fss.or.kr/dsaf001/main.do?rcpNo=20260527000031", "공시열람")</f>
        <v/>
      </c>
    </row>
    <row r="7067">
      <c r="A7067" s="2" t="inlineStr">
        <is>
          <t>2026-05-27</t>
        </is>
      </c>
      <c r="B7067" s="3" t="inlineStr">
        <is>
          <t>드림씨아이에스</t>
        </is>
      </c>
      <c r="C7067" s="2" t="inlineStr">
        <is>
          <t>코스닥</t>
        </is>
      </c>
      <c r="D7067" s="2" t="inlineStr">
        <is>
          <t>223250</t>
        </is>
      </c>
      <c r="E7067" s="3" t="inlineStr">
        <is>
          <t>임원ㆍ주요주주특정증권등소유상황보고서</t>
        </is>
      </c>
      <c r="F7067" s="3" t="inlineStr">
        <is>
          <t>정재석</t>
        </is>
      </c>
      <c r="G7067" s="2" t="inlineStr">
        <is>
          <t>20260527000016</t>
        </is>
      </c>
      <c r="H7067" s="8">
        <f>HYPERLINK("https://dart.fss.or.kr/dsaf001/main.do?rcpNo=20260527000016", "공시열람")</f>
        <v/>
      </c>
    </row>
    <row r="7068">
      <c r="A7068" s="2" t="inlineStr">
        <is>
          <t>2026-05-27</t>
        </is>
      </c>
      <c r="B7068" s="3" t="inlineStr">
        <is>
          <t>드림씨아이에스</t>
        </is>
      </c>
      <c r="C7068" s="2" t="inlineStr">
        <is>
          <t>코스닥</t>
        </is>
      </c>
      <c r="D7068" s="2" t="inlineStr">
        <is>
          <t>223250</t>
        </is>
      </c>
      <c r="E7068" s="3" t="inlineStr">
        <is>
          <t>임원ㆍ주요주주특정증권등소유상황보고서</t>
        </is>
      </c>
      <c r="F7068" s="3" t="inlineStr">
        <is>
          <t>김경순</t>
        </is>
      </c>
      <c r="G7068" s="2" t="inlineStr">
        <is>
          <t>20260527000013</t>
        </is>
      </c>
      <c r="H7068" s="8">
        <f>HYPERLINK("https://dart.fss.or.kr/dsaf001/main.do?rcpNo=20260527000013", "공시열람")</f>
        <v/>
      </c>
    </row>
    <row r="7069">
      <c r="A7069" s="2" t="inlineStr">
        <is>
          <t>2026-05-27</t>
        </is>
      </c>
      <c r="B7069" s="3" t="inlineStr">
        <is>
          <t>녹십자</t>
        </is>
      </c>
      <c r="C7069" s="2" t="inlineStr">
        <is>
          <t>코스피</t>
        </is>
      </c>
      <c r="D7069" s="2" t="inlineStr">
        <is>
          <t>006280</t>
        </is>
      </c>
      <c r="E7069" s="3" t="inlineStr">
        <is>
          <t>주요사항보고서(타법인주식및출자증권양도결정)</t>
        </is>
      </c>
      <c r="F7069" s="3" t="inlineStr">
        <is>
          <t>녹십자</t>
        </is>
      </c>
      <c r="G7069" s="2" t="inlineStr">
        <is>
          <t>20260527000001</t>
        </is>
      </c>
      <c r="H7069" s="8">
        <f>HYPERLINK("https://dart.fss.or.kr/dsaf001/main.do?rcpNo=20260527000001", "공시열람")</f>
        <v/>
      </c>
    </row>
    <row r="7070">
      <c r="A7070" s="2" t="inlineStr">
        <is>
          <t>2026-05-27</t>
        </is>
      </c>
      <c r="B7070" s="3" t="inlineStr">
        <is>
          <t>넷마블</t>
        </is>
      </c>
      <c r="C7070" s="2" t="inlineStr">
        <is>
          <t>코스피</t>
        </is>
      </c>
      <c r="D7070" s="2" t="inlineStr">
        <is>
          <t>251270</t>
        </is>
      </c>
      <c r="E7070" s="3" t="inlineStr">
        <is>
          <t>효력발생안내( 2026.5.14. 제출 증권신고서(주식의포괄적교환ㆍ이전) )</t>
        </is>
      </c>
      <c r="F7070" s="3" t="inlineStr">
        <is>
          <t>금융감독원</t>
        </is>
      </c>
      <c r="G7070" s="2" t="inlineStr">
        <is>
          <t>20260514100153</t>
        </is>
      </c>
      <c r="H7070" s="8">
        <f>HYPERLINK("https://dart.fss.or.kr/dsaf001/main.do?rcpNo=20260514100153", "공시열람")</f>
        <v/>
      </c>
    </row>
    <row r="7071">
      <c r="A7071" s="2" t="inlineStr">
        <is>
          <t>2026-05-27</t>
        </is>
      </c>
      <c r="B7071" s="3" t="inlineStr">
        <is>
          <t>에이치와이티씨</t>
        </is>
      </c>
      <c r="C7071" s="2" t="inlineStr">
        <is>
          <t>코스닥</t>
        </is>
      </c>
      <c r="D7071" s="2" t="inlineStr">
        <is>
          <t>148930</t>
        </is>
      </c>
      <c r="E7071" s="3" t="inlineStr">
        <is>
          <t>임원ㆍ주요주주특정증권등소유상황보고서</t>
        </is>
      </c>
      <c r="F7071" s="3" t="inlineStr">
        <is>
          <t>김욱현</t>
        </is>
      </c>
      <c r="G7071" s="2" t="inlineStr">
        <is>
          <t>20260526000531</t>
        </is>
      </c>
      <c r="H7071" s="8">
        <f>HYPERLINK("https://dart.fss.or.kr/dsaf001/main.do?rcpNo=20260526000531", "공시열람")</f>
        <v/>
      </c>
    </row>
    <row r="7072">
      <c r="A7072" s="2" t="inlineStr">
        <is>
          <t>2026-05-28 (정정: 2026-06-26)</t>
        </is>
      </c>
      <c r="B7072" s="3" t="inlineStr">
        <is>
          <t>셀레믹스</t>
        </is>
      </c>
      <c r="C7072" s="2" t="inlineStr">
        <is>
          <t>코스닥</t>
        </is>
      </c>
      <c r="D7072" s="2" t="inlineStr">
        <is>
          <t>331920</t>
        </is>
      </c>
      <c r="E7072" s="3" t="inlineStr">
        <is>
          <t>주주명부폐쇄기간또는기준일설정               (정정: 20260529) (정정: 20260626)</t>
        </is>
      </c>
      <c r="F7072" s="3" t="inlineStr">
        <is>
          <t>셀레믹스</t>
        </is>
      </c>
      <c r="G7072" s="2" t="inlineStr">
        <is>
          <t>20260626900625</t>
        </is>
      </c>
      <c r="H7072" s="8">
        <f>HYPERLINK("https://dart.fss.or.kr/dsaf001/main.do?rcpNo=20260626900625", "공시열람")</f>
        <v/>
      </c>
    </row>
    <row r="7073">
      <c r="A7073" s="2" t="inlineStr">
        <is>
          <t>2026-05-28</t>
        </is>
      </c>
      <c r="B7073" s="3" t="inlineStr">
        <is>
          <t>서울전자통신</t>
        </is>
      </c>
      <c r="C7073" s="2" t="inlineStr">
        <is>
          <t>코스닥</t>
        </is>
      </c>
      <c r="D7073" s="2" t="inlineStr">
        <is>
          <t>027040</t>
        </is>
      </c>
      <c r="E7073" s="3" t="inlineStr">
        <is>
          <t>투자판단관련주요경영사항              (경영지배인 선임의 건)</t>
        </is>
      </c>
      <c r="F7073" s="3" t="inlineStr">
        <is>
          <t>서울전자통신</t>
        </is>
      </c>
      <c r="G7073" s="2" t="inlineStr">
        <is>
          <t>20260528901061</t>
        </is>
      </c>
      <c r="H7073" s="8">
        <f>HYPERLINK("https://dart.fss.or.kr/dsaf001/main.do?rcpNo=20260528901061", "공시열람")</f>
        <v/>
      </c>
    </row>
    <row r="7074">
      <c r="A7074" s="2" t="inlineStr">
        <is>
          <t>2026-05-28</t>
        </is>
      </c>
      <c r="B7074" s="3" t="inlineStr">
        <is>
          <t>HLB바이오스텝</t>
        </is>
      </c>
      <c r="C7074" s="2" t="inlineStr">
        <is>
          <t>코스닥</t>
        </is>
      </c>
      <c r="D7074" s="2" t="inlineStr">
        <is>
          <t>278650</t>
        </is>
      </c>
      <c r="E7074" s="3" t="inlineStr">
        <is>
          <t>불성실공시법인지정예고              (공시번복)</t>
        </is>
      </c>
      <c r="F7074" s="3" t="inlineStr">
        <is>
          <t>코스닥시장본부</t>
        </is>
      </c>
      <c r="G7074" s="2" t="inlineStr">
        <is>
          <t>20260528901081</t>
        </is>
      </c>
      <c r="H7074" s="8">
        <f>HYPERLINK("https://dart.fss.or.kr/dsaf001/main.do?rcpNo=20260528901081", "공시열람")</f>
        <v/>
      </c>
    </row>
    <row r="7075">
      <c r="A7075" s="2" t="inlineStr">
        <is>
          <t>2026-05-28</t>
        </is>
      </c>
      <c r="B7075" s="3" t="inlineStr">
        <is>
          <t>KBI메탈</t>
        </is>
      </c>
      <c r="C7075" s="2" t="inlineStr">
        <is>
          <t>코스닥</t>
        </is>
      </c>
      <c r="D7075" s="2" t="inlineStr">
        <is>
          <t>024840</t>
        </is>
      </c>
      <c r="E7075" s="3" t="inlineStr">
        <is>
          <t>불성실공시법인지정예고              (공시불이행)</t>
        </is>
      </c>
      <c r="F7075" s="3" t="inlineStr">
        <is>
          <t>코스닥시장본부</t>
        </is>
      </c>
      <c r="G7075" s="2" t="inlineStr">
        <is>
          <t>20260528901080</t>
        </is>
      </c>
      <c r="H7075" s="8">
        <f>HYPERLINK("https://dart.fss.or.kr/dsaf001/main.do?rcpNo=20260528901080", "공시열람")</f>
        <v/>
      </c>
    </row>
    <row r="7076">
      <c r="A7076" s="2" t="inlineStr">
        <is>
          <t>2026-05-28</t>
        </is>
      </c>
      <c r="B7076" s="3" t="inlineStr">
        <is>
          <t>휴림로봇</t>
        </is>
      </c>
      <c r="C7076" s="2" t="inlineStr">
        <is>
          <t>코스닥</t>
        </is>
      </c>
      <c r="D7076" s="2" t="inlineStr">
        <is>
          <t>090710</t>
        </is>
      </c>
      <c r="E7076" s="3" t="inlineStr">
        <is>
          <t>유상증자최종발행가액확정              (일반공모증자-소액공모)</t>
        </is>
      </c>
      <c r="F7076" s="3" t="inlineStr">
        <is>
          <t>휴림로봇</t>
        </is>
      </c>
      <c r="G7076" s="2" t="inlineStr">
        <is>
          <t>20260528901044</t>
        </is>
      </c>
      <c r="H7076" s="8">
        <f>HYPERLINK("https://dart.fss.or.kr/dsaf001/main.do?rcpNo=20260528901044", "공시열람")</f>
        <v/>
      </c>
    </row>
    <row r="7077">
      <c r="A7077" s="2" t="inlineStr">
        <is>
          <t>2026-05-28 (정정: 2026-06-01)</t>
        </is>
      </c>
      <c r="B7077" s="3" t="inlineStr">
        <is>
          <t>큐캐피탈</t>
        </is>
      </c>
      <c r="C7077" s="2" t="inlineStr">
        <is>
          <t>코스닥</t>
        </is>
      </c>
      <c r="D7077" s="2" t="inlineStr">
        <is>
          <t>016600</t>
        </is>
      </c>
      <c r="E7077" s="3" t="inlineStr">
        <is>
          <t>주권매매거래정지해제              (액면병합 주권 변경상장) (정정: 20260601)</t>
        </is>
      </c>
      <c r="F7077" s="3" t="inlineStr">
        <is>
          <t>코스닥시장본부</t>
        </is>
      </c>
      <c r="G7077" s="2" t="inlineStr">
        <is>
          <t>20260601001994</t>
        </is>
      </c>
      <c r="H7077" s="8">
        <f>HYPERLINK("https://dart.fss.or.kr/dsaf001/main.do?rcpNo=20260601001994", "공시열람")</f>
        <v/>
      </c>
    </row>
    <row r="7078">
      <c r="A7078" s="2" t="inlineStr">
        <is>
          <t>2026-05-28</t>
        </is>
      </c>
      <c r="B7078" s="3" t="inlineStr">
        <is>
          <t>한세실업</t>
        </is>
      </c>
      <c r="C7078" s="2" t="inlineStr">
        <is>
          <t>코스피</t>
        </is>
      </c>
      <c r="D7078" s="2" t="inlineStr">
        <is>
          <t>105630</t>
        </is>
      </c>
      <c r="E7078" s="3" t="inlineStr">
        <is>
          <t xml:space="preserve">기업지배구조보고서공시              </t>
        </is>
      </c>
      <c r="F7078" s="3" t="inlineStr">
        <is>
          <t>한세실업</t>
        </is>
      </c>
      <c r="G7078" s="2" t="inlineStr">
        <is>
          <t>20260528801057</t>
        </is>
      </c>
      <c r="H7078" s="8">
        <f>HYPERLINK("https://dart.fss.or.kr/dsaf001/main.do?rcpNo=20260528801057", "공시열람")</f>
        <v/>
      </c>
    </row>
    <row r="7079">
      <c r="A7079" s="2" t="inlineStr">
        <is>
          <t>2026-05-28 (정정: 2026-06-04)</t>
        </is>
      </c>
      <c r="B7079" s="3" t="inlineStr">
        <is>
          <t>롯데쇼핑</t>
        </is>
      </c>
      <c r="C7079" s="2" t="inlineStr">
        <is>
          <t>코스피</t>
        </is>
      </c>
      <c r="D7079" s="2" t="inlineStr">
        <is>
          <t>023530</t>
        </is>
      </c>
      <c r="E7079" s="3" t="inlineStr">
        <is>
          <t>증권신고서(채무증권) (정정: 20260604)</t>
        </is>
      </c>
      <c r="F7079" s="3" t="inlineStr">
        <is>
          <t>롯데쇼핑</t>
        </is>
      </c>
      <c r="G7079" s="2" t="inlineStr">
        <is>
          <t>20260604000500</t>
        </is>
      </c>
      <c r="H7079" s="8">
        <f>HYPERLINK("https://dart.fss.or.kr/dsaf001/main.do?rcpNo=20260604000500", "공시열람")</f>
        <v/>
      </c>
    </row>
    <row r="7080">
      <c r="A7080" s="2" t="inlineStr">
        <is>
          <t>2026-05-28</t>
        </is>
      </c>
      <c r="B7080" s="3" t="inlineStr">
        <is>
          <t>하림지주</t>
        </is>
      </c>
      <c r="C7080" s="2" t="inlineStr">
        <is>
          <t>코스닥</t>
        </is>
      </c>
      <c r="D7080" s="2" t="inlineStr">
        <is>
          <t>003380</t>
        </is>
      </c>
      <c r="E7080" s="3" t="inlineStr">
        <is>
          <t>임원ㆍ주요주주특정증권등소유상황보고서</t>
        </is>
      </c>
      <c r="F7080" s="3" t="inlineStr">
        <is>
          <t>한국바이오텍</t>
        </is>
      </c>
      <c r="G7080" s="2" t="inlineStr">
        <is>
          <t>20260528001021</t>
        </is>
      </c>
      <c r="H7080" s="8">
        <f>HYPERLINK("https://dart.fss.or.kr/dsaf001/main.do?rcpNo=20260528001021", "공시열람")</f>
        <v/>
      </c>
    </row>
    <row r="7081">
      <c r="A7081" s="2" t="inlineStr">
        <is>
          <t>2026-05-28</t>
        </is>
      </c>
      <c r="B7081" s="3" t="inlineStr">
        <is>
          <t>한진칼</t>
        </is>
      </c>
      <c r="C7081" s="2" t="inlineStr">
        <is>
          <t>코스피</t>
        </is>
      </c>
      <c r="D7081" s="2" t="inlineStr">
        <is>
          <t>180640</t>
        </is>
      </c>
      <c r="E7081" s="3" t="inlineStr">
        <is>
          <t>대규모기업집단현황공시[연1회공시및1/4분기용(대표회사)]</t>
        </is>
      </c>
      <c r="F7081" s="3" t="inlineStr">
        <is>
          <t>한진칼</t>
        </is>
      </c>
      <c r="G7081" s="2" t="inlineStr">
        <is>
          <t>20260528001017</t>
        </is>
      </c>
      <c r="H7081" s="8">
        <f>HYPERLINK("https://dart.fss.or.kr/dsaf001/main.do?rcpNo=20260528001017", "공시열람")</f>
        <v/>
      </c>
    </row>
    <row r="7082">
      <c r="A7082" s="2" t="inlineStr">
        <is>
          <t>2026-05-28 (정정: 2026-06-02)</t>
        </is>
      </c>
      <c r="B7082" s="3" t="inlineStr">
        <is>
          <t>THE E&amp;M</t>
        </is>
      </c>
      <c r="C7082" s="2" t="inlineStr">
        <is>
          <t>코스닥</t>
        </is>
      </c>
      <c r="D7082" s="2" t="inlineStr">
        <is>
          <t>089230</t>
        </is>
      </c>
      <c r="E7082" s="3" t="inlineStr">
        <is>
          <t>전환청구권행사              (제21회차) (정정: 20260602)</t>
        </is>
      </c>
      <c r="F7082" s="3" t="inlineStr">
        <is>
          <t>THE E&amp;M</t>
        </is>
      </c>
      <c r="G7082" s="2" t="inlineStr">
        <is>
          <t>20260602000472</t>
        </is>
      </c>
      <c r="H7082" s="8">
        <f>HYPERLINK("https://dart.fss.or.kr/dsaf001/main.do?rcpNo=20260602000472", "공시열람")</f>
        <v/>
      </c>
    </row>
    <row r="7083">
      <c r="A7083" s="2" t="inlineStr">
        <is>
          <t>2026-05-28</t>
        </is>
      </c>
      <c r="B7083" s="3" t="inlineStr">
        <is>
          <t>한진칼</t>
        </is>
      </c>
      <c r="C7083" s="2" t="inlineStr">
        <is>
          <t>코스피</t>
        </is>
      </c>
      <c r="D7083" s="2" t="inlineStr">
        <is>
          <t>180640</t>
        </is>
      </c>
      <c r="E7083" s="3" t="inlineStr">
        <is>
          <t>대규모기업집단현황공시[연1회(동일인용)]</t>
        </is>
      </c>
      <c r="F7083" s="3" t="inlineStr">
        <is>
          <t>조원태</t>
        </is>
      </c>
      <c r="G7083" s="2" t="inlineStr">
        <is>
          <t>20260528001014</t>
        </is>
      </c>
      <c r="H7083" s="8">
        <f>HYPERLINK("https://dart.fss.or.kr/dsaf001/main.do?rcpNo=20260528001014", "공시열람")</f>
        <v/>
      </c>
    </row>
    <row r="7084">
      <c r="A7084" s="2" t="inlineStr">
        <is>
          <t>2026-05-28</t>
        </is>
      </c>
      <c r="B7084" s="3" t="inlineStr">
        <is>
          <t>대한해운</t>
        </is>
      </c>
      <c r="C7084" s="2" t="inlineStr">
        <is>
          <t>코스피</t>
        </is>
      </c>
      <c r="D7084" s="2" t="inlineStr">
        <is>
          <t>005880</t>
        </is>
      </c>
      <c r="E7084" s="3" t="inlineStr">
        <is>
          <t>[기재정정]대규모기업집단현황공시[연1회공시및1/4분기용(대표회사)]</t>
        </is>
      </c>
      <c r="F7084" s="3" t="inlineStr">
        <is>
          <t>대한해운</t>
        </is>
      </c>
      <c r="G7084" s="2" t="inlineStr">
        <is>
          <t>20260528001012</t>
        </is>
      </c>
      <c r="H7084" s="8">
        <f>HYPERLINK("https://dart.fss.or.kr/dsaf001/main.do?rcpNo=20260528001012", "공시열람")</f>
        <v/>
      </c>
    </row>
    <row r="7085">
      <c r="A7085" s="2" t="inlineStr">
        <is>
          <t>2026-05-28 (정정: 2026-05-29)</t>
        </is>
      </c>
      <c r="B7085" s="3" t="inlineStr">
        <is>
          <t>케이티앤지</t>
        </is>
      </c>
      <c r="C7085" s="2" t="inlineStr">
        <is>
          <t>코스피</t>
        </is>
      </c>
      <c r="D7085" s="2" t="inlineStr">
        <is>
          <t>033780</t>
        </is>
      </c>
      <c r="E7085" s="3" t="inlineStr">
        <is>
          <t>대규모기업집단현황공시[연1회공시및1/4분기용(대표회사)] (정정: 20260529)</t>
        </is>
      </c>
      <c r="F7085" s="3" t="inlineStr">
        <is>
          <t>케이티앤지</t>
        </is>
      </c>
      <c r="G7085" s="2" t="inlineStr">
        <is>
          <t>20260529002339</t>
        </is>
      </c>
      <c r="H7085" s="8">
        <f>HYPERLINK("https://dart.fss.or.kr/dsaf001/main.do?rcpNo=20260529002339", "공시열람")</f>
        <v/>
      </c>
    </row>
    <row r="7086">
      <c r="A7086" s="2" t="inlineStr">
        <is>
          <t>2026-05-28 (정정: 2026-05-29)</t>
        </is>
      </c>
      <c r="B7086" s="3" t="inlineStr">
        <is>
          <t>롯데손해보험</t>
        </is>
      </c>
      <c r="C7086" s="2" t="inlineStr">
        <is>
          <t>코스피</t>
        </is>
      </c>
      <c r="D7086" s="2" t="inlineStr">
        <is>
          <t>000400</t>
        </is>
      </c>
      <c r="E7086" s="3" t="inlineStr">
        <is>
          <t>기타경영사항(자율공시)               (정정: 20260529)</t>
        </is>
      </c>
      <c r="F7086" s="3" t="inlineStr">
        <is>
          <t>롯데손해보험</t>
        </is>
      </c>
      <c r="G7086" s="2" t="inlineStr">
        <is>
          <t>20260529002309</t>
        </is>
      </c>
      <c r="H7086" s="8">
        <f>HYPERLINK("https://dart.fss.or.kr/dsaf001/main.do?rcpNo=20260529002309", "공시열람")</f>
        <v/>
      </c>
    </row>
    <row r="7087">
      <c r="A7087" s="2" t="inlineStr">
        <is>
          <t>2026-05-28</t>
        </is>
      </c>
      <c r="B7087" s="3" t="inlineStr">
        <is>
          <t>휴림로봇</t>
        </is>
      </c>
      <c r="C7087" s="2" t="inlineStr">
        <is>
          <t>코스닥</t>
        </is>
      </c>
      <c r="D7087" s="2" t="inlineStr">
        <is>
          <t>090710</t>
        </is>
      </c>
      <c r="E7087" s="3" t="inlineStr">
        <is>
          <t>소액공모공시서류(지분증권)</t>
        </is>
      </c>
      <c r="F7087" s="3" t="inlineStr">
        <is>
          <t>휴림로봇</t>
        </is>
      </c>
      <c r="G7087" s="2" t="inlineStr">
        <is>
          <t>20260528001007</t>
        </is>
      </c>
      <c r="H7087" s="8">
        <f>HYPERLINK("https://dart.fss.or.kr/dsaf001/main.do?rcpNo=20260528001007", "공시열람")</f>
        <v/>
      </c>
    </row>
    <row r="7088">
      <c r="A7088" s="2" t="inlineStr">
        <is>
          <t>2026-05-28</t>
        </is>
      </c>
      <c r="B7088" s="3" t="inlineStr">
        <is>
          <t>DS단석</t>
        </is>
      </c>
      <c r="C7088" s="2" t="inlineStr">
        <is>
          <t>코스피</t>
        </is>
      </c>
      <c r="D7088" s="2" t="inlineStr">
        <is>
          <t>017860</t>
        </is>
      </c>
      <c r="E7088" s="3" t="inlineStr">
        <is>
          <t xml:space="preserve">유상증자또는주식관련사채등의발행결과(자율공시)              </t>
        </is>
      </c>
      <c r="F7088" s="3" t="inlineStr">
        <is>
          <t>DS단석</t>
        </is>
      </c>
      <c r="G7088" s="2" t="inlineStr">
        <is>
          <t>20260528801017</t>
        </is>
      </c>
      <c r="H7088" s="8">
        <f>HYPERLINK("https://dart.fss.or.kr/dsaf001/main.do?rcpNo=20260528801017", "공시열람")</f>
        <v/>
      </c>
    </row>
    <row r="7089">
      <c r="A7089" s="2" t="inlineStr">
        <is>
          <t>2026-05-28</t>
        </is>
      </c>
      <c r="B7089" s="3" t="inlineStr">
        <is>
          <t>케이엔제이</t>
        </is>
      </c>
      <c r="C7089" s="2" t="inlineStr">
        <is>
          <t>코스닥</t>
        </is>
      </c>
      <c r="D7089" s="2" t="inlineStr">
        <is>
          <t>272110</t>
        </is>
      </c>
      <c r="E7089" s="3" t="inlineStr">
        <is>
          <t>주요사항보고서(유형자산양수결정)</t>
        </is>
      </c>
      <c r="F7089" s="3" t="inlineStr">
        <is>
          <t>케이엔제이</t>
        </is>
      </c>
      <c r="G7089" s="2" t="inlineStr">
        <is>
          <t>20260528000983</t>
        </is>
      </c>
      <c r="H7089" s="8">
        <f>HYPERLINK("https://dart.fss.or.kr/dsaf001/main.do?rcpNo=20260528000983", "공시열람")</f>
        <v/>
      </c>
    </row>
    <row r="7090">
      <c r="A7090" s="2" t="inlineStr">
        <is>
          <t>2026-05-28</t>
        </is>
      </c>
      <c r="B7090" s="3" t="inlineStr">
        <is>
          <t>한샘</t>
        </is>
      </c>
      <c r="C7090" s="2" t="inlineStr">
        <is>
          <t>코스피</t>
        </is>
      </c>
      <c r="D7090" s="2" t="inlineStr">
        <is>
          <t>009240</t>
        </is>
      </c>
      <c r="E7090" s="3" t="inlineStr">
        <is>
          <t xml:space="preserve">기업지배구조보고서공시              </t>
        </is>
      </c>
      <c r="F7090" s="3" t="inlineStr">
        <is>
          <t>한샘</t>
        </is>
      </c>
      <c r="G7090" s="2" t="inlineStr">
        <is>
          <t>20260528801031</t>
        </is>
      </c>
      <c r="H7090" s="8">
        <f>HYPERLINK("https://dart.fss.or.kr/dsaf001/main.do?rcpNo=20260528801031", "공시열람")</f>
        <v/>
      </c>
    </row>
    <row r="7091">
      <c r="A7091" s="2" t="inlineStr">
        <is>
          <t>2026-05-28</t>
        </is>
      </c>
      <c r="B7091" s="3" t="inlineStr">
        <is>
          <t>지앤이헬스케어</t>
        </is>
      </c>
      <c r="C7091" s="2" t="inlineStr">
        <is>
          <t>코넥스</t>
        </is>
      </c>
      <c r="D7091" s="2" t="inlineStr">
        <is>
          <t>299480</t>
        </is>
      </c>
      <c r="E7091" s="3" t="inlineStr">
        <is>
          <t xml:space="preserve">기업설명회(IR)개최결과              </t>
        </is>
      </c>
      <c r="F7091" s="3" t="inlineStr">
        <is>
          <t>지앤이헬스케어</t>
        </is>
      </c>
      <c r="G7091" s="2" t="inlineStr">
        <is>
          <t>20260528601009</t>
        </is>
      </c>
      <c r="H7091" s="8">
        <f>HYPERLINK("https://dart.fss.or.kr/dsaf001/main.do?rcpNo=20260528601009", "공시열람")</f>
        <v/>
      </c>
    </row>
    <row r="7092">
      <c r="A7092" s="2" t="inlineStr">
        <is>
          <t>2026-05-28</t>
        </is>
      </c>
      <c r="B7092" s="3" t="inlineStr">
        <is>
          <t>케스피온</t>
        </is>
      </c>
      <c r="C7092" s="2" t="inlineStr">
        <is>
          <t>코스닥</t>
        </is>
      </c>
      <c r="D7092" s="2" t="inlineStr">
        <is>
          <t>079190</t>
        </is>
      </c>
      <c r="E7092" s="3" t="inlineStr">
        <is>
          <t>의결권대리행사권유참고서류</t>
        </is>
      </c>
      <c r="F7092" s="3" t="inlineStr">
        <is>
          <t>케스피온</t>
        </is>
      </c>
      <c r="G7092" s="2" t="inlineStr">
        <is>
          <t>20260528000982</t>
        </is>
      </c>
      <c r="H7092" s="8">
        <f>HYPERLINK("https://dart.fss.or.kr/dsaf001/main.do?rcpNo=20260528000982", "공시열람")</f>
        <v/>
      </c>
    </row>
    <row r="7093">
      <c r="A7093" s="2" t="inlineStr">
        <is>
          <t>2026-05-28</t>
        </is>
      </c>
      <c r="B7093" s="3" t="inlineStr">
        <is>
          <t>달바글로벌</t>
        </is>
      </c>
      <c r="C7093" s="2" t="inlineStr">
        <is>
          <t>코스피</t>
        </is>
      </c>
      <c r="D7093" s="2" t="inlineStr">
        <is>
          <t>483650</t>
        </is>
      </c>
      <c r="E7093" s="3" t="inlineStr">
        <is>
          <t>임원ㆍ주요주주특정증권등소유상황보고서</t>
        </is>
      </c>
      <c r="F7093" s="3" t="inlineStr">
        <is>
          <t>명재훈</t>
        </is>
      </c>
      <c r="G7093" s="2" t="inlineStr">
        <is>
          <t>20260528000978</t>
        </is>
      </c>
      <c r="H7093" s="8">
        <f>HYPERLINK("https://dart.fss.or.kr/dsaf001/main.do?rcpNo=20260528000978", "공시열람")</f>
        <v/>
      </c>
    </row>
    <row r="7094">
      <c r="A7094" s="2" t="inlineStr">
        <is>
          <t>2026-05-28 (정정: 2026-05-29)</t>
        </is>
      </c>
      <c r="B7094" s="3" t="inlineStr">
        <is>
          <t>삼천리</t>
        </is>
      </c>
      <c r="C7094" s="2" t="inlineStr">
        <is>
          <t>코스피</t>
        </is>
      </c>
      <c r="D7094" s="2" t="inlineStr">
        <is>
          <t>004690</t>
        </is>
      </c>
      <c r="E7094" s="3" t="inlineStr">
        <is>
          <t>임원ㆍ주요주주특정증권등소유상황보고서 (정정: 20260529)</t>
        </is>
      </c>
      <c r="F7094" s="3" t="inlineStr">
        <is>
          <t>이성근</t>
        </is>
      </c>
      <c r="G7094" s="2" t="inlineStr">
        <is>
          <t>20260529001979</t>
        </is>
      </c>
      <c r="H7094" s="8">
        <f>HYPERLINK("https://dart.fss.or.kr/dsaf001/main.do?rcpNo=20260529001979", "공시열람")</f>
        <v/>
      </c>
    </row>
    <row r="7095">
      <c r="A7095" s="2" t="inlineStr">
        <is>
          <t>2026-05-28</t>
        </is>
      </c>
      <c r="B7095" s="3" t="inlineStr">
        <is>
          <t>LS티라유텍</t>
        </is>
      </c>
      <c r="C7095" s="2" t="inlineStr">
        <is>
          <t>코스닥</t>
        </is>
      </c>
      <c r="D7095" s="2" t="inlineStr">
        <is>
          <t>322180</t>
        </is>
      </c>
      <c r="E7095" s="3" t="inlineStr">
        <is>
          <t>전환주식의전환청구권행사              (상환전환우선주)</t>
        </is>
      </c>
      <c r="F7095" s="3" t="inlineStr">
        <is>
          <t>LS티라유텍</t>
        </is>
      </c>
      <c r="G7095" s="2" t="inlineStr">
        <is>
          <t>20260528900970</t>
        </is>
      </c>
      <c r="H7095" s="8">
        <f>HYPERLINK("https://dart.fss.or.kr/dsaf001/main.do?rcpNo=20260528900970", "공시열람")</f>
        <v/>
      </c>
    </row>
    <row r="7096">
      <c r="A7096" s="2" t="inlineStr">
        <is>
          <t>2026-05-28</t>
        </is>
      </c>
      <c r="B7096" s="3" t="inlineStr">
        <is>
          <t>대한전선</t>
        </is>
      </c>
      <c r="C7096" s="2" t="inlineStr">
        <is>
          <t>코스피</t>
        </is>
      </c>
      <c r="D7096" s="2" t="inlineStr">
        <is>
          <t>001440</t>
        </is>
      </c>
      <c r="E7096" s="3" t="inlineStr">
        <is>
          <t xml:space="preserve">기업지배구조보고서공시              </t>
        </is>
      </c>
      <c r="F7096" s="3" t="inlineStr">
        <is>
          <t>대한전선</t>
        </is>
      </c>
      <c r="G7096" s="2" t="inlineStr">
        <is>
          <t>20260528800995</t>
        </is>
      </c>
      <c r="H7096" s="8">
        <f>HYPERLINK("https://dart.fss.or.kr/dsaf001/main.do?rcpNo=20260528800995", "공시열람")</f>
        <v/>
      </c>
    </row>
    <row r="7097">
      <c r="A7097" s="2" t="inlineStr">
        <is>
          <t>2026-05-28</t>
        </is>
      </c>
      <c r="B7097" s="3" t="inlineStr">
        <is>
          <t>삼천리</t>
        </is>
      </c>
      <c r="C7097" s="2" t="inlineStr">
        <is>
          <t>코스피</t>
        </is>
      </c>
      <c r="D7097" s="2" t="inlineStr">
        <is>
          <t>004690</t>
        </is>
      </c>
      <c r="E7097" s="3" t="inlineStr">
        <is>
          <t>대규모기업집단현황공시[연1회(동일인용)]</t>
        </is>
      </c>
      <c r="F7097" s="3" t="inlineStr">
        <is>
          <t>이만득</t>
        </is>
      </c>
      <c r="G7097" s="2" t="inlineStr">
        <is>
          <t>20260528000947</t>
        </is>
      </c>
      <c r="H7097" s="8">
        <f>HYPERLINK("https://dart.fss.or.kr/dsaf001/main.do?rcpNo=20260528000947", "공시열람")</f>
        <v/>
      </c>
    </row>
    <row r="7098">
      <c r="A7098" s="2" t="inlineStr">
        <is>
          <t>2026-05-28</t>
        </is>
      </c>
      <c r="B7098" s="3" t="inlineStr">
        <is>
          <t>유니트론텍</t>
        </is>
      </c>
      <c r="C7098" s="2" t="inlineStr">
        <is>
          <t>코스닥</t>
        </is>
      </c>
      <c r="D7098" s="2" t="inlineStr">
        <is>
          <t>142210</t>
        </is>
      </c>
      <c r="E7098" s="3" t="inlineStr">
        <is>
          <t xml:space="preserve">단기차입금증가결정              </t>
        </is>
      </c>
      <c r="F7098" s="3" t="inlineStr">
        <is>
          <t>유니트론텍</t>
        </is>
      </c>
      <c r="G7098" s="2" t="inlineStr">
        <is>
          <t>20260528900993</t>
        </is>
      </c>
      <c r="H7098" s="8">
        <f>HYPERLINK("https://dart.fss.or.kr/dsaf001/main.do?rcpNo=20260528900993", "공시열람")</f>
        <v/>
      </c>
    </row>
    <row r="7099">
      <c r="A7099" s="2" t="inlineStr">
        <is>
          <t>2026-05-28</t>
        </is>
      </c>
      <c r="B7099" s="3" t="inlineStr">
        <is>
          <t>우듬지팜</t>
        </is>
      </c>
      <c r="C7099" s="2" t="inlineStr">
        <is>
          <t>코스닥</t>
        </is>
      </c>
      <c r="D7099" s="2" t="inlineStr">
        <is>
          <t>403490</t>
        </is>
      </c>
      <c r="E7099" s="3" t="inlineStr">
        <is>
          <t>임원ㆍ주요주주특정증권등소유상황보고서</t>
        </is>
      </c>
      <c r="F7099" s="3" t="inlineStr">
        <is>
          <t>서상교</t>
        </is>
      </c>
      <c r="G7099" s="2" t="inlineStr">
        <is>
          <t>20260528000944</t>
        </is>
      </c>
      <c r="H7099" s="8">
        <f>HYPERLINK("https://dart.fss.or.kr/dsaf001/main.do?rcpNo=20260528000944", "공시열람")</f>
        <v/>
      </c>
    </row>
    <row r="7100">
      <c r="A7100" s="2" t="inlineStr">
        <is>
          <t>2026-05-28</t>
        </is>
      </c>
      <c r="B7100" s="3" t="inlineStr">
        <is>
          <t>티엘비</t>
        </is>
      </c>
      <c r="C7100" s="2" t="inlineStr">
        <is>
          <t>코스닥</t>
        </is>
      </c>
      <c r="D7100" s="2" t="inlineStr">
        <is>
          <t>356860</t>
        </is>
      </c>
      <c r="E7100" s="3" t="inlineStr">
        <is>
          <t>권리락              (유상증자)</t>
        </is>
      </c>
      <c r="F7100" s="3" t="inlineStr">
        <is>
          <t>코스닥시장본부</t>
        </is>
      </c>
      <c r="G7100" s="2" t="inlineStr">
        <is>
          <t>20260528900983</t>
        </is>
      </c>
      <c r="H7100" s="8">
        <f>HYPERLINK("https://dart.fss.or.kr/dsaf001/main.do?rcpNo=20260528900983", "공시열람")</f>
        <v/>
      </c>
    </row>
    <row r="7101">
      <c r="A7101" s="2" t="inlineStr">
        <is>
          <t>2026-05-28</t>
        </is>
      </c>
      <c r="B7101" s="3" t="inlineStr">
        <is>
          <t>대동기어</t>
        </is>
      </c>
      <c r="C7101" s="2" t="inlineStr">
        <is>
          <t>코스닥</t>
        </is>
      </c>
      <c r="D7101" s="2" t="inlineStr">
        <is>
          <t>008830</t>
        </is>
      </c>
      <c r="E7101" s="3" t="inlineStr">
        <is>
          <t>임원ㆍ주요주주특정증권등거래계획보고서</t>
        </is>
      </c>
      <c r="F7101" s="3" t="inlineStr">
        <is>
          <t>대동</t>
        </is>
      </c>
      <c r="G7101" s="2" t="inlineStr">
        <is>
          <t>20260528000936</t>
        </is>
      </c>
      <c r="H7101" s="8">
        <f>HYPERLINK("https://dart.fss.or.kr/dsaf001/main.do?rcpNo=20260528000936", "공시열람")</f>
        <v/>
      </c>
    </row>
    <row r="7102">
      <c r="A7102" s="2" t="inlineStr">
        <is>
          <t>2026-05-28</t>
        </is>
      </c>
      <c r="B7102" s="3" t="inlineStr">
        <is>
          <t>노브랜드</t>
        </is>
      </c>
      <c r="C7102" s="2" t="inlineStr">
        <is>
          <t>코스닥</t>
        </is>
      </c>
      <c r="D7102" s="2" t="inlineStr">
        <is>
          <t>145170</t>
        </is>
      </c>
      <c r="E7102" s="3" t="inlineStr">
        <is>
          <t xml:space="preserve">주주명부폐쇄기간또는기준일설정              </t>
        </is>
      </c>
      <c r="F7102" s="3" t="inlineStr">
        <is>
          <t>노브랜드</t>
        </is>
      </c>
      <c r="G7102" s="2" t="inlineStr">
        <is>
          <t>20260528900954</t>
        </is>
      </c>
      <c r="H7102" s="8">
        <f>HYPERLINK("https://dart.fss.or.kr/dsaf001/main.do?rcpNo=20260528900954", "공시열람")</f>
        <v/>
      </c>
    </row>
    <row r="7103">
      <c r="A7103" s="2" t="inlineStr">
        <is>
          <t>2026-05-28</t>
        </is>
      </c>
      <c r="B7103" s="3" t="inlineStr">
        <is>
          <t>케스피온</t>
        </is>
      </c>
      <c r="C7103" s="2" t="inlineStr">
        <is>
          <t>코스닥</t>
        </is>
      </c>
      <c r="D7103" s="2" t="inlineStr">
        <is>
          <t>079190</t>
        </is>
      </c>
      <c r="E7103" s="3" t="inlineStr">
        <is>
          <t>주요사항보고서(감자결정)</t>
        </is>
      </c>
      <c r="F7103" s="3" t="inlineStr">
        <is>
          <t>케스피온</t>
        </is>
      </c>
      <c r="G7103" s="2" t="inlineStr">
        <is>
          <t>20260528000891</t>
        </is>
      </c>
      <c r="H7103" s="8">
        <f>HYPERLINK("https://dart.fss.or.kr/dsaf001/main.do?rcpNo=20260528000891", "공시열람")</f>
        <v/>
      </c>
    </row>
    <row r="7104">
      <c r="A7104" s="2" t="inlineStr">
        <is>
          <t>2026-05-28</t>
        </is>
      </c>
      <c r="B7104" s="3" t="inlineStr">
        <is>
          <t>케스피온</t>
        </is>
      </c>
      <c r="C7104" s="2" t="inlineStr">
        <is>
          <t>코스닥</t>
        </is>
      </c>
      <c r="D7104" s="2" t="inlineStr">
        <is>
          <t>079190</t>
        </is>
      </c>
      <c r="E7104" s="3" t="inlineStr">
        <is>
          <t>주권매매거래정지              (자본감소)</t>
        </is>
      </c>
      <c r="F7104" s="3" t="inlineStr">
        <is>
          <t>코스닥시장본부</t>
        </is>
      </c>
      <c r="G7104" s="2" t="inlineStr">
        <is>
          <t>20260528900969</t>
        </is>
      </c>
      <c r="H7104" s="8">
        <f>HYPERLINK("https://dart.fss.or.kr/dsaf001/main.do?rcpNo=20260528900969", "공시열람")</f>
        <v/>
      </c>
    </row>
    <row r="7105">
      <c r="A7105" s="2" t="inlineStr">
        <is>
          <t>2026-05-28</t>
        </is>
      </c>
      <c r="B7105" s="3" t="inlineStr">
        <is>
          <t>아모레퍼시픽홀딩스</t>
        </is>
      </c>
      <c r="C7105" s="2" t="inlineStr">
        <is>
          <t>코스피</t>
        </is>
      </c>
      <c r="D7105" s="2" t="inlineStr">
        <is>
          <t>002790</t>
        </is>
      </c>
      <c r="E7105" s="3" t="inlineStr">
        <is>
          <t xml:space="preserve">기업지배구조보고서공시              </t>
        </is>
      </c>
      <c r="F7105" s="3" t="inlineStr">
        <is>
          <t>아모레퍼시픽홀딩스</t>
        </is>
      </c>
      <c r="G7105" s="2" t="inlineStr">
        <is>
          <t>20260528800977</t>
        </is>
      </c>
      <c r="H7105" s="8">
        <f>HYPERLINK("https://dart.fss.or.kr/dsaf001/main.do?rcpNo=20260528800977", "공시열람")</f>
        <v/>
      </c>
    </row>
    <row r="7106">
      <c r="A7106" s="2" t="inlineStr">
        <is>
          <t>2026-05-28 (정정: 2026-06-02)</t>
        </is>
      </c>
      <c r="B7106" s="3" t="inlineStr">
        <is>
          <t>뉴로메카</t>
        </is>
      </c>
      <c r="C7106" s="2" t="inlineStr">
        <is>
          <t>코스닥</t>
        </is>
      </c>
      <c r="D7106" s="2" t="inlineStr">
        <is>
          <t>348340</t>
        </is>
      </c>
      <c r="E7106" s="3" t="inlineStr">
        <is>
          <t>정정신고서제출요구( 2026.05.14. 제출 증권신고서(지분증권) ) (정정: 20260602)</t>
        </is>
      </c>
      <c r="F7106" s="3" t="inlineStr">
        <is>
          <t>금융감독원</t>
        </is>
      </c>
      <c r="G7106" s="2" t="inlineStr">
        <is>
          <t>20260602000477</t>
        </is>
      </c>
      <c r="H7106" s="8">
        <f>HYPERLINK("https://dart.fss.or.kr/dsaf001/main.do?rcpNo=20260602000477", "공시열람")</f>
        <v/>
      </c>
    </row>
    <row r="7107">
      <c r="A7107" s="2" t="inlineStr">
        <is>
          <t>2026-05-28</t>
        </is>
      </c>
      <c r="B7107" s="3" t="inlineStr">
        <is>
          <t>코아스</t>
        </is>
      </c>
      <c r="C7107" s="2" t="inlineStr">
        <is>
          <t>코스피</t>
        </is>
      </c>
      <c r="D7107" s="2" t="inlineStr">
        <is>
          <t>071950</t>
        </is>
      </c>
      <c r="E7107" s="3" t="inlineStr">
        <is>
          <t xml:space="preserve">생산중단              </t>
        </is>
      </c>
      <c r="F7107" s="3" t="inlineStr">
        <is>
          <t>코아스</t>
        </is>
      </c>
      <c r="G7107" s="2" t="inlineStr">
        <is>
          <t>20260528800957</t>
        </is>
      </c>
      <c r="H7107" s="8">
        <f>HYPERLINK("https://dart.fss.or.kr/dsaf001/main.do?rcpNo=20260528800957", "공시열람")</f>
        <v/>
      </c>
    </row>
    <row r="7108">
      <c r="A7108" s="2" t="inlineStr">
        <is>
          <t>2026-05-28</t>
        </is>
      </c>
      <c r="B7108" s="3" t="inlineStr">
        <is>
          <t>씨씨에스</t>
        </is>
      </c>
      <c r="C7108" s="2" t="inlineStr">
        <is>
          <t>코스닥</t>
        </is>
      </c>
      <c r="D7108" s="2" t="inlineStr">
        <is>
          <t>066790</t>
        </is>
      </c>
      <c r="E7108" s="3" t="inlineStr">
        <is>
          <t>[기재정정]의결권대리행사권유참고서류</t>
        </is>
      </c>
      <c r="F7108" s="3" t="inlineStr">
        <is>
          <t>한태원</t>
        </is>
      </c>
      <c r="G7108" s="2" t="inlineStr">
        <is>
          <t>20260528000917</t>
        </is>
      </c>
      <c r="H7108" s="8">
        <f>HYPERLINK("https://dart.fss.or.kr/dsaf001/main.do?rcpNo=20260528000917", "공시열람")</f>
        <v/>
      </c>
    </row>
    <row r="7109">
      <c r="A7109" s="2" t="inlineStr">
        <is>
          <t>2026-05-28</t>
        </is>
      </c>
      <c r="B7109" s="3" t="inlineStr">
        <is>
          <t>에이치브이엠</t>
        </is>
      </c>
      <c r="C7109" s="2" t="inlineStr">
        <is>
          <t>코스닥</t>
        </is>
      </c>
      <c r="D7109" s="2" t="inlineStr">
        <is>
          <t>295310</t>
        </is>
      </c>
      <c r="E7109" s="3" t="inlineStr">
        <is>
          <t>임원ㆍ주요주주특정증권등소유상황보고서</t>
        </is>
      </c>
      <c r="F7109" s="3" t="inlineStr">
        <is>
          <t>김병환</t>
        </is>
      </c>
      <c r="G7109" s="2" t="inlineStr">
        <is>
          <t>20260528000915</t>
        </is>
      </c>
      <c r="H7109" s="8">
        <f>HYPERLINK("https://dart.fss.or.kr/dsaf001/main.do?rcpNo=20260528000915", "공시열람")</f>
        <v/>
      </c>
    </row>
    <row r="7110">
      <c r="A7110" s="2" t="inlineStr">
        <is>
          <t>2026-05-28</t>
        </is>
      </c>
      <c r="B7110" s="3" t="inlineStr">
        <is>
          <t>경농</t>
        </is>
      </c>
      <c r="C7110" s="2" t="inlineStr">
        <is>
          <t>코스피</t>
        </is>
      </c>
      <c r="D7110" s="2" t="inlineStr">
        <is>
          <t>002100</t>
        </is>
      </c>
      <c r="E7110" s="3" t="inlineStr">
        <is>
          <t xml:space="preserve">기업지배구조보고서공시              </t>
        </is>
      </c>
      <c r="F7110" s="3" t="inlineStr">
        <is>
          <t>경농</t>
        </is>
      </c>
      <c r="G7110" s="2" t="inlineStr">
        <is>
          <t>20260528800953</t>
        </is>
      </c>
      <c r="H7110" s="8">
        <f>HYPERLINK("https://dart.fss.or.kr/dsaf001/main.do?rcpNo=20260528800953", "공시열람")</f>
        <v/>
      </c>
    </row>
    <row r="7111">
      <c r="A7111" s="2" t="inlineStr">
        <is>
          <t>2026-05-28</t>
        </is>
      </c>
      <c r="B7111" s="3" t="inlineStr">
        <is>
          <t>아모레퍼시픽</t>
        </is>
      </c>
      <c r="C7111" s="2" t="inlineStr">
        <is>
          <t>코스피</t>
        </is>
      </c>
      <c r="D7111" s="2" t="inlineStr">
        <is>
          <t>090430</t>
        </is>
      </c>
      <c r="E7111" s="3" t="inlineStr">
        <is>
          <t xml:space="preserve">기업지배구조보고서공시              </t>
        </is>
      </c>
      <c r="F7111" s="3" t="inlineStr">
        <is>
          <t>아모레퍼시픽</t>
        </is>
      </c>
      <c r="G7111" s="2" t="inlineStr">
        <is>
          <t>20260528800937</t>
        </is>
      </c>
      <c r="H7111" s="8">
        <f>HYPERLINK("https://dart.fss.or.kr/dsaf001/main.do?rcpNo=20260528800937", "공시열람")</f>
        <v/>
      </c>
    </row>
    <row r="7112">
      <c r="A7112" s="2" t="inlineStr">
        <is>
          <t>2026-05-28</t>
        </is>
      </c>
      <c r="B7112" s="3" t="inlineStr">
        <is>
          <t>우리금융지주</t>
        </is>
      </c>
      <c r="C7112" s="2" t="inlineStr">
        <is>
          <t>코스피</t>
        </is>
      </c>
      <c r="D7112" s="2" t="inlineStr">
        <is>
          <t>316140</t>
        </is>
      </c>
      <c r="E7112" s="3" t="inlineStr">
        <is>
          <t>투자설명서(일괄신고)</t>
        </is>
      </c>
      <c r="F7112" s="3" t="inlineStr">
        <is>
          <t>우리금융지주</t>
        </is>
      </c>
      <c r="G7112" s="2" t="inlineStr">
        <is>
          <t>20260528000894</t>
        </is>
      </c>
      <c r="H7112" s="8">
        <f>HYPERLINK("https://dart.fss.or.kr/dsaf001/main.do?rcpNo=20260528000894", "공시열람")</f>
        <v/>
      </c>
    </row>
    <row r="7113">
      <c r="A7113" s="2" t="inlineStr">
        <is>
          <t>2026-05-28</t>
        </is>
      </c>
      <c r="B7113" s="3" t="inlineStr">
        <is>
          <t>우리금융지주</t>
        </is>
      </c>
      <c r="C7113" s="2" t="inlineStr">
        <is>
          <t>코스피</t>
        </is>
      </c>
      <c r="D7113" s="2" t="inlineStr">
        <is>
          <t>316140</t>
        </is>
      </c>
      <c r="E7113" s="3" t="inlineStr">
        <is>
          <t>일괄신고추가서류</t>
        </is>
      </c>
      <c r="F7113" s="3" t="inlineStr">
        <is>
          <t>우리금융지주</t>
        </is>
      </c>
      <c r="G7113" s="2" t="inlineStr">
        <is>
          <t>20260528000882</t>
        </is>
      </c>
      <c r="H7113" s="8">
        <f>HYPERLINK("https://dart.fss.or.kr/dsaf001/main.do?rcpNo=20260528000882", "공시열람")</f>
        <v/>
      </c>
    </row>
    <row r="7114">
      <c r="A7114" s="2" t="inlineStr">
        <is>
          <t>2026-05-28</t>
        </is>
      </c>
      <c r="B7114" s="3" t="inlineStr">
        <is>
          <t>드래곤플라이</t>
        </is>
      </c>
      <c r="C7114" s="2" t="inlineStr">
        <is>
          <t>코스닥</t>
        </is>
      </c>
      <c r="D7114" s="2" t="inlineStr">
        <is>
          <t>030350</t>
        </is>
      </c>
      <c r="E7114" s="3" t="inlineStr">
        <is>
          <t>기타시장안내              (개선계획서 제출)</t>
        </is>
      </c>
      <c r="F7114" s="3" t="inlineStr">
        <is>
          <t>코스닥시장본부</t>
        </is>
      </c>
      <c r="G7114" s="2" t="inlineStr">
        <is>
          <t>20260528900723</t>
        </is>
      </c>
      <c r="H7114" s="8">
        <f>HYPERLINK("https://dart.fss.or.kr/dsaf001/main.do?rcpNo=20260528900723", "공시열람")</f>
        <v/>
      </c>
    </row>
    <row r="7115">
      <c r="A7115" s="2" t="inlineStr">
        <is>
          <t>2026-05-28</t>
        </is>
      </c>
      <c r="B7115" s="3" t="inlineStr">
        <is>
          <t>오에스피</t>
        </is>
      </c>
      <c r="C7115" s="2" t="inlineStr">
        <is>
          <t>코스닥</t>
        </is>
      </c>
      <c r="D7115" s="2" t="inlineStr">
        <is>
          <t>368970</t>
        </is>
      </c>
      <c r="E7115" s="3" t="inlineStr">
        <is>
          <t>소액공모공시서류(지분증권)</t>
        </is>
      </c>
      <c r="F7115" s="3" t="inlineStr">
        <is>
          <t>오에스피</t>
        </is>
      </c>
      <c r="G7115" s="2" t="inlineStr">
        <is>
          <t>20260528000874</t>
        </is>
      </c>
      <c r="H7115" s="8">
        <f>HYPERLINK("https://dart.fss.or.kr/dsaf001/main.do?rcpNo=20260528000874", "공시열람")</f>
        <v/>
      </c>
    </row>
    <row r="7116">
      <c r="A7116" s="2" t="inlineStr">
        <is>
          <t>2026-05-28</t>
        </is>
      </c>
      <c r="B7116" s="3" t="inlineStr">
        <is>
          <t>SK증권</t>
        </is>
      </c>
      <c r="C7116" s="2" t="inlineStr">
        <is>
          <t>코스피</t>
        </is>
      </c>
      <c r="D7116" s="2" t="inlineStr">
        <is>
          <t>001510</t>
        </is>
      </c>
      <c r="E7116" s="3" t="inlineStr">
        <is>
          <t>투자설명서(일괄신고)</t>
        </is>
      </c>
      <c r="F7116" s="3" t="inlineStr">
        <is>
          <t>SK증권</t>
        </is>
      </c>
      <c r="G7116" s="2" t="inlineStr">
        <is>
          <t>20260528000865</t>
        </is>
      </c>
      <c r="H7116" s="8">
        <f>HYPERLINK("https://dart.fss.or.kr/dsaf001/main.do?rcpNo=20260528000865", "공시열람")</f>
        <v/>
      </c>
    </row>
    <row r="7117">
      <c r="A7117" s="2" t="inlineStr">
        <is>
          <t>2026-05-28</t>
        </is>
      </c>
      <c r="B7117" s="3" t="inlineStr">
        <is>
          <t>무학</t>
        </is>
      </c>
      <c r="C7117" s="2" t="inlineStr">
        <is>
          <t>코스피</t>
        </is>
      </c>
      <c r="D7117" s="2" t="inlineStr">
        <is>
          <t>033920</t>
        </is>
      </c>
      <c r="E7117" s="3" t="inlineStr">
        <is>
          <t xml:space="preserve">기업지배구조보고서공시              </t>
        </is>
      </c>
      <c r="F7117" s="3" t="inlineStr">
        <is>
          <t>무학</t>
        </is>
      </c>
      <c r="G7117" s="2" t="inlineStr">
        <is>
          <t>20260528800903</t>
        </is>
      </c>
      <c r="H7117" s="8">
        <f>HYPERLINK("https://dart.fss.or.kr/dsaf001/main.do?rcpNo=20260528800903", "공시열람")</f>
        <v/>
      </c>
    </row>
    <row r="7118">
      <c r="A7118" s="2" t="inlineStr">
        <is>
          <t>2026-05-28</t>
        </is>
      </c>
      <c r="B7118" s="3" t="inlineStr">
        <is>
          <t>하이퍼코퍼레이션</t>
        </is>
      </c>
      <c r="C7118" s="2" t="inlineStr">
        <is>
          <t>코스닥</t>
        </is>
      </c>
      <c r="D7118" s="2" t="inlineStr">
        <is>
          <t>065650</t>
        </is>
      </c>
      <c r="E7118" s="3" t="inlineStr">
        <is>
          <t>정정신고서제출요구( 2026.05.13. 제출 증권신고서(지분증권) )</t>
        </is>
      </c>
      <c r="F7118" s="3" t="inlineStr">
        <is>
          <t>금융감독원</t>
        </is>
      </c>
      <c r="G7118" s="2" t="inlineStr">
        <is>
          <t>20260528100027</t>
        </is>
      </c>
      <c r="H7118" s="8">
        <f>HYPERLINK("https://dart.fss.or.kr/dsaf001/main.do?rcpNo=20260528100027", "공시열람")</f>
        <v/>
      </c>
    </row>
    <row r="7119">
      <c r="A7119" s="2" t="inlineStr">
        <is>
          <t>2026-05-28 (정정: 2026-06-17)</t>
        </is>
      </c>
      <c r="B7119" s="3" t="inlineStr">
        <is>
          <t>케이티</t>
        </is>
      </c>
      <c r="C7119" s="2" t="inlineStr">
        <is>
          <t>코스피</t>
        </is>
      </c>
      <c r="D7119" s="2" t="inlineStr">
        <is>
          <t>030200</t>
        </is>
      </c>
      <c r="E7119" s="3" t="inlineStr">
        <is>
          <t>대규모기업집단현황공시[연1회(동일인용)] (정정: 20260529) (정정: 20260617)</t>
        </is>
      </c>
      <c r="F7119" s="3" t="inlineStr">
        <is>
          <t>케이티</t>
        </is>
      </c>
      <c r="G7119" s="2" t="inlineStr">
        <is>
          <t>20260617000447</t>
        </is>
      </c>
      <c r="H7119" s="8">
        <f>HYPERLINK("https://dart.fss.or.kr/dsaf001/main.do?rcpNo=20260617000447", "공시열람")</f>
        <v/>
      </c>
    </row>
    <row r="7120">
      <c r="A7120" s="2" t="inlineStr">
        <is>
          <t>2026-05-28</t>
        </is>
      </c>
      <c r="B7120" s="3" t="inlineStr">
        <is>
          <t>BGF</t>
        </is>
      </c>
      <c r="C7120" s="2" t="inlineStr">
        <is>
          <t>코스피</t>
        </is>
      </c>
      <c r="D7120" s="2" t="inlineStr">
        <is>
          <t>027410</t>
        </is>
      </c>
      <c r="E7120" s="3" t="inlineStr">
        <is>
          <t>대규모기업집단현황공시[연1회공시및1/4분기용(대표회사)]</t>
        </is>
      </c>
      <c r="F7120" s="3" t="inlineStr">
        <is>
          <t>BGF</t>
        </is>
      </c>
      <c r="G7120" s="2" t="inlineStr">
        <is>
          <t>20260528000857</t>
        </is>
      </c>
      <c r="H7120" s="8">
        <f>HYPERLINK("https://dart.fss.or.kr/dsaf001/main.do?rcpNo=20260528000857", "공시열람")</f>
        <v/>
      </c>
    </row>
    <row r="7121">
      <c r="A7121" s="2" t="inlineStr">
        <is>
          <t>2026-05-28</t>
        </is>
      </c>
      <c r="B7121" s="3" t="inlineStr">
        <is>
          <t>DB증권</t>
        </is>
      </c>
      <c r="C7121" s="2" t="inlineStr">
        <is>
          <t>코스피</t>
        </is>
      </c>
      <c r="D7121" s="2" t="inlineStr">
        <is>
          <t>016610</t>
        </is>
      </c>
      <c r="E7121" s="3" t="inlineStr">
        <is>
          <t>투자설명서(일괄신고)</t>
        </is>
      </c>
      <c r="F7121" s="3" t="inlineStr">
        <is>
          <t>DB증권</t>
        </is>
      </c>
      <c r="G7121" s="2" t="inlineStr">
        <is>
          <t>20260528000856</t>
        </is>
      </c>
      <c r="H7121" s="8">
        <f>HYPERLINK("https://dart.fss.or.kr/dsaf001/main.do?rcpNo=20260528000856", "공시열람")</f>
        <v/>
      </c>
    </row>
    <row r="7122">
      <c r="A7122" s="2" t="inlineStr">
        <is>
          <t>2026-05-28</t>
        </is>
      </c>
      <c r="B7122" s="3" t="inlineStr">
        <is>
          <t>케이티</t>
        </is>
      </c>
      <c r="C7122" s="2" t="inlineStr">
        <is>
          <t>코스피</t>
        </is>
      </c>
      <c r="D7122" s="2" t="inlineStr">
        <is>
          <t>030200</t>
        </is>
      </c>
      <c r="E7122" s="3" t="inlineStr">
        <is>
          <t>대규모기업집단현황공시[연1회공시및1/4분기용(대표회사)]</t>
        </is>
      </c>
      <c r="F7122" s="3" t="inlineStr">
        <is>
          <t>케이티</t>
        </is>
      </c>
      <c r="G7122" s="2" t="inlineStr">
        <is>
          <t>20260528000855</t>
        </is>
      </c>
      <c r="H7122" s="8">
        <f>HYPERLINK("https://dart.fss.or.kr/dsaf001/main.do?rcpNo=20260528000855", "공시열람")</f>
        <v/>
      </c>
    </row>
    <row r="7123">
      <c r="A7123" s="2" t="inlineStr">
        <is>
          <t>2026-05-28</t>
        </is>
      </c>
      <c r="B7123" s="3" t="inlineStr">
        <is>
          <t>하이브</t>
        </is>
      </c>
      <c r="C7123" s="2" t="inlineStr">
        <is>
          <t>코스피</t>
        </is>
      </c>
      <c r="D7123" s="2" t="inlineStr">
        <is>
          <t>352820</t>
        </is>
      </c>
      <c r="E7123" s="3" t="inlineStr">
        <is>
          <t>대규모기업집단현황공시[연1회(동일인용)]</t>
        </is>
      </c>
      <c r="F7123" s="3" t="inlineStr">
        <is>
          <t>방시혁</t>
        </is>
      </c>
      <c r="G7123" s="2" t="inlineStr">
        <is>
          <t>20260528000847</t>
        </is>
      </c>
      <c r="H7123" s="8">
        <f>HYPERLINK("https://dart.fss.or.kr/dsaf001/main.do?rcpNo=20260528000847", "공시열람")</f>
        <v/>
      </c>
    </row>
    <row r="7124">
      <c r="A7124" s="2" t="inlineStr">
        <is>
          <t>2026-05-28</t>
        </is>
      </c>
      <c r="B7124" s="3" t="inlineStr">
        <is>
          <t>제테마</t>
        </is>
      </c>
      <c r="C7124" s="2" t="inlineStr">
        <is>
          <t>코스닥</t>
        </is>
      </c>
      <c r="D7124" s="2" t="inlineStr">
        <is>
          <t>216080</t>
        </is>
      </c>
      <c r="E7124" s="3" t="inlineStr">
        <is>
          <t>임원ㆍ주요주주특정증권등소유상황보고서</t>
        </is>
      </c>
      <c r="F7124" s="3" t="inlineStr">
        <is>
          <t>정하종</t>
        </is>
      </c>
      <c r="G7124" s="2" t="inlineStr">
        <is>
          <t>20260528000845</t>
        </is>
      </c>
      <c r="H7124" s="8">
        <f>HYPERLINK("https://dart.fss.or.kr/dsaf001/main.do?rcpNo=20260528000845", "공시열람")</f>
        <v/>
      </c>
    </row>
    <row r="7125">
      <c r="A7125" s="2" t="inlineStr">
        <is>
          <t>2026-05-28</t>
        </is>
      </c>
      <c r="B7125" s="3" t="inlineStr">
        <is>
          <t>SKC</t>
        </is>
      </c>
      <c r="C7125" s="2" t="inlineStr">
        <is>
          <t>코스피</t>
        </is>
      </c>
      <c r="D7125" s="2" t="inlineStr">
        <is>
          <t>011790</t>
        </is>
      </c>
      <c r="E7125" s="3" t="inlineStr">
        <is>
          <t>임원ㆍ주요주주특정증권등소유상황보고서</t>
        </is>
      </c>
      <c r="F7125" s="3" t="inlineStr">
        <is>
          <t>유재혁</t>
        </is>
      </c>
      <c r="G7125" s="2" t="inlineStr">
        <is>
          <t>20260528000840</t>
        </is>
      </c>
      <c r="H7125" s="8">
        <f>HYPERLINK("https://dart.fss.or.kr/dsaf001/main.do?rcpNo=20260528000840", "공시열람")</f>
        <v/>
      </c>
    </row>
    <row r="7126">
      <c r="A7126" s="2" t="inlineStr">
        <is>
          <t>2026-05-28</t>
        </is>
      </c>
      <c r="B7126" s="3" t="inlineStr">
        <is>
          <t>SKC</t>
        </is>
      </c>
      <c r="C7126" s="2" t="inlineStr">
        <is>
          <t>코스피</t>
        </is>
      </c>
      <c r="D7126" s="2" t="inlineStr">
        <is>
          <t>011790</t>
        </is>
      </c>
      <c r="E7126" s="3" t="inlineStr">
        <is>
          <t>임원ㆍ주요주주특정증권등소유상황보고서</t>
        </is>
      </c>
      <c r="F7126" s="3" t="inlineStr">
        <is>
          <t>문병진</t>
        </is>
      </c>
      <c r="G7126" s="2" t="inlineStr">
        <is>
          <t>20260528000839</t>
        </is>
      </c>
      <c r="H7126" s="8">
        <f>HYPERLINK("https://dart.fss.or.kr/dsaf001/main.do?rcpNo=20260528000839", "공시열람")</f>
        <v/>
      </c>
    </row>
    <row r="7127">
      <c r="A7127" s="2" t="inlineStr">
        <is>
          <t>2026-05-28</t>
        </is>
      </c>
      <c r="B7127" s="3" t="inlineStr">
        <is>
          <t>대한전선</t>
        </is>
      </c>
      <c r="C7127" s="2" t="inlineStr">
        <is>
          <t>코스피</t>
        </is>
      </c>
      <c r="D7127" s="2" t="inlineStr">
        <is>
          <t>001440</t>
        </is>
      </c>
      <c r="E7127" s="3" t="inlineStr">
        <is>
          <t>대규모기업집단현황공시[연1회공시및1/4분기용(개별회사)]</t>
        </is>
      </c>
      <c r="F7127" s="3" t="inlineStr">
        <is>
          <t>대한전선</t>
        </is>
      </c>
      <c r="G7127" s="2" t="inlineStr">
        <is>
          <t>20260528000837</t>
        </is>
      </c>
      <c r="H7127" s="8">
        <f>HYPERLINK("https://dart.fss.or.kr/dsaf001/main.do?rcpNo=20260528000837", "공시열람")</f>
        <v/>
      </c>
    </row>
    <row r="7128">
      <c r="A7128" s="2" t="inlineStr">
        <is>
          <t>2026-05-28</t>
        </is>
      </c>
      <c r="B7128" s="3" t="inlineStr">
        <is>
          <t>비에이치</t>
        </is>
      </c>
      <c r="C7128" s="2" t="inlineStr">
        <is>
          <t>코스피</t>
        </is>
      </c>
      <c r="D7128" s="2" t="inlineStr">
        <is>
          <t>090460</t>
        </is>
      </c>
      <c r="E7128" s="3" t="inlineStr">
        <is>
          <t>임원ㆍ주요주주특정증권등소유상황보고서</t>
        </is>
      </c>
      <c r="F7128" s="3" t="inlineStr">
        <is>
          <t>이경환</t>
        </is>
      </c>
      <c r="G7128" s="2" t="inlineStr">
        <is>
          <t>20260528000836</t>
        </is>
      </c>
      <c r="H7128" s="8">
        <f>HYPERLINK("https://dart.fss.or.kr/dsaf001/main.do?rcpNo=20260528000836", "공시열람")</f>
        <v/>
      </c>
    </row>
    <row r="7129">
      <c r="A7129" s="2" t="inlineStr">
        <is>
          <t>2026-05-28</t>
        </is>
      </c>
      <c r="B7129" s="3" t="inlineStr">
        <is>
          <t>나라스페이스테크놀로지</t>
        </is>
      </c>
      <c r="C7129" s="2" t="inlineStr">
        <is>
          <t>코스닥</t>
        </is>
      </c>
      <c r="D7129" s="2" t="inlineStr">
        <is>
          <t>478340</t>
        </is>
      </c>
      <c r="E7129" s="3" t="inlineStr">
        <is>
          <t>임원ㆍ주요주주특정증권등소유상황보고서</t>
        </is>
      </c>
      <c r="F7129" s="3" t="inlineStr">
        <is>
          <t>이광원</t>
        </is>
      </c>
      <c r="G7129" s="2" t="inlineStr">
        <is>
          <t>20260528000835</t>
        </is>
      </c>
      <c r="H7129" s="8">
        <f>HYPERLINK("https://dart.fss.or.kr/dsaf001/main.do?rcpNo=20260528000835", "공시열람")</f>
        <v/>
      </c>
    </row>
    <row r="7130">
      <c r="A7130" s="2" t="inlineStr">
        <is>
          <t>2026-05-28 (정정: 2026-05-28)</t>
        </is>
      </c>
      <c r="B7130" s="3" t="inlineStr">
        <is>
          <t>키움증권</t>
        </is>
      </c>
      <c r="C7130" s="2" t="inlineStr">
        <is>
          <t>코스피</t>
        </is>
      </c>
      <c r="D7130" s="2" t="inlineStr">
        <is>
          <t>039490</t>
        </is>
      </c>
      <c r="E7130" s="3" t="inlineStr">
        <is>
          <t>투자설명서(일괄신고) (정정: 20260528)</t>
        </is>
      </c>
      <c r="F7130" s="3" t="inlineStr">
        <is>
          <t>키움증권</t>
        </is>
      </c>
      <c r="G7130" s="2" t="inlineStr">
        <is>
          <t>20260528000680</t>
        </is>
      </c>
      <c r="H7130" s="8">
        <f>HYPERLINK("https://dart.fss.or.kr/dsaf001/main.do?rcpNo=20260528000680", "공시열람")</f>
        <v/>
      </c>
    </row>
    <row r="7131">
      <c r="A7131" s="2" t="inlineStr">
        <is>
          <t>2026-05-28</t>
        </is>
      </c>
      <c r="B7131" s="3" t="inlineStr">
        <is>
          <t>엄지하우스</t>
        </is>
      </c>
      <c r="C7131" s="2" t="inlineStr">
        <is>
          <t>코넥스</t>
        </is>
      </c>
      <c r="D7131" s="2" t="inlineStr">
        <is>
          <t>224810</t>
        </is>
      </c>
      <c r="E7131" s="3" t="inlineStr">
        <is>
          <t xml:space="preserve">기업설명회(IR)개최결과              </t>
        </is>
      </c>
      <c r="F7131" s="3" t="inlineStr">
        <is>
          <t>엄지하우스</t>
        </is>
      </c>
      <c r="G7131" s="2" t="inlineStr">
        <is>
          <t>20260528600861</t>
        </is>
      </c>
      <c r="H7131" s="8">
        <f>HYPERLINK("https://dart.fss.or.kr/dsaf001/main.do?rcpNo=20260528600861", "공시열람")</f>
        <v/>
      </c>
    </row>
    <row r="7132">
      <c r="A7132" s="2" t="inlineStr">
        <is>
          <t>2026-05-28</t>
        </is>
      </c>
      <c r="B7132" s="3" t="inlineStr">
        <is>
          <t>DB증권</t>
        </is>
      </c>
      <c r="C7132" s="2" t="inlineStr">
        <is>
          <t>코스피</t>
        </is>
      </c>
      <c r="D7132" s="2" t="inlineStr">
        <is>
          <t>016610</t>
        </is>
      </c>
      <c r="E7132" s="3" t="inlineStr">
        <is>
          <t>투자설명서(일괄신고)</t>
        </is>
      </c>
      <c r="F7132" s="3" t="inlineStr">
        <is>
          <t>DB증권</t>
        </is>
      </c>
      <c r="G7132" s="2" t="inlineStr">
        <is>
          <t>20260528000830</t>
        </is>
      </c>
      <c r="H7132" s="8">
        <f>HYPERLINK("https://dart.fss.or.kr/dsaf001/main.do?rcpNo=20260528000830", "공시열람")</f>
        <v/>
      </c>
    </row>
    <row r="7133">
      <c r="A7133" s="2" t="inlineStr">
        <is>
          <t>2026-05-28</t>
        </is>
      </c>
      <c r="B7133" s="3" t="inlineStr">
        <is>
          <t>SKC</t>
        </is>
      </c>
      <c r="C7133" s="2" t="inlineStr">
        <is>
          <t>코스피</t>
        </is>
      </c>
      <c r="D7133" s="2" t="inlineStr">
        <is>
          <t>011790</t>
        </is>
      </c>
      <c r="E7133" s="3" t="inlineStr">
        <is>
          <t>임원ㆍ주요주주특정증권등소유상황보고서</t>
        </is>
      </c>
      <c r="F7133" s="3" t="inlineStr">
        <is>
          <t>김윤회</t>
        </is>
      </c>
      <c r="G7133" s="2" t="inlineStr">
        <is>
          <t>20260528000827</t>
        </is>
      </c>
      <c r="H7133" s="8">
        <f>HYPERLINK("https://dart.fss.or.kr/dsaf001/main.do?rcpNo=20260528000827", "공시열람")</f>
        <v/>
      </c>
    </row>
    <row r="7134">
      <c r="A7134" s="2" t="inlineStr">
        <is>
          <t>2026-05-28</t>
        </is>
      </c>
      <c r="B7134" s="3" t="inlineStr">
        <is>
          <t>SKC</t>
        </is>
      </c>
      <c r="C7134" s="2" t="inlineStr">
        <is>
          <t>코스피</t>
        </is>
      </c>
      <c r="D7134" s="2" t="inlineStr">
        <is>
          <t>011790</t>
        </is>
      </c>
      <c r="E7134" s="3" t="inlineStr">
        <is>
          <t>임원ㆍ주요주주특정증권등소유상황보고서</t>
        </is>
      </c>
      <c r="F7134" s="3" t="inlineStr">
        <is>
          <t>김선혁</t>
        </is>
      </c>
      <c r="G7134" s="2" t="inlineStr">
        <is>
          <t>20260528000826</t>
        </is>
      </c>
      <c r="H7134" s="8">
        <f>HYPERLINK("https://dart.fss.or.kr/dsaf001/main.do?rcpNo=20260528000826", "공시열람")</f>
        <v/>
      </c>
    </row>
    <row r="7135">
      <c r="A7135" s="2" t="inlineStr">
        <is>
          <t>2026-05-28</t>
        </is>
      </c>
      <c r="B7135" s="3" t="inlineStr">
        <is>
          <t>키움증권</t>
        </is>
      </c>
      <c r="C7135" s="2" t="inlineStr">
        <is>
          <t>코스피</t>
        </is>
      </c>
      <c r="D7135" s="2" t="inlineStr">
        <is>
          <t>039490</t>
        </is>
      </c>
      <c r="E7135" s="3" t="inlineStr">
        <is>
          <t>투자설명서(일괄신고)</t>
        </is>
      </c>
      <c r="F7135" s="3" t="inlineStr">
        <is>
          <t>키움증권</t>
        </is>
      </c>
      <c r="G7135" s="2" t="inlineStr">
        <is>
          <t>20260528000824</t>
        </is>
      </c>
      <c r="H7135" s="8">
        <f>HYPERLINK("https://dart.fss.or.kr/dsaf001/main.do?rcpNo=20260528000824", "공시열람")</f>
        <v/>
      </c>
    </row>
    <row r="7136">
      <c r="A7136" s="2" t="inlineStr">
        <is>
          <t>2026-05-28</t>
        </is>
      </c>
      <c r="B7136" s="3" t="inlineStr">
        <is>
          <t>SKC</t>
        </is>
      </c>
      <c r="C7136" s="2" t="inlineStr">
        <is>
          <t>코스피</t>
        </is>
      </c>
      <c r="D7136" s="2" t="inlineStr">
        <is>
          <t>011790</t>
        </is>
      </c>
      <c r="E7136" s="3" t="inlineStr">
        <is>
          <t>임원ㆍ주요주주특정증권등소유상황보고서</t>
        </is>
      </c>
      <c r="F7136" s="3" t="inlineStr">
        <is>
          <t>정현욱</t>
        </is>
      </c>
      <c r="G7136" s="2" t="inlineStr">
        <is>
          <t>20260528000820</t>
        </is>
      </c>
      <c r="H7136" s="8">
        <f>HYPERLINK("https://dart.fss.or.kr/dsaf001/main.do?rcpNo=20260528000820", "공시열람")</f>
        <v/>
      </c>
    </row>
    <row r="7137">
      <c r="A7137" s="2" t="inlineStr">
        <is>
          <t>2026-05-28</t>
        </is>
      </c>
      <c r="B7137" s="3" t="inlineStr">
        <is>
          <t>나라스페이스테크놀로지</t>
        </is>
      </c>
      <c r="C7137" s="2" t="inlineStr">
        <is>
          <t>코스닥</t>
        </is>
      </c>
      <c r="D7137" s="2" t="inlineStr">
        <is>
          <t>478340</t>
        </is>
      </c>
      <c r="E7137" s="3" t="inlineStr">
        <is>
          <t>임원ㆍ주요주주특정증권등소유상황보고서</t>
        </is>
      </c>
      <c r="F7137" s="3" t="inlineStr">
        <is>
          <t>오형직</t>
        </is>
      </c>
      <c r="G7137" s="2" t="inlineStr">
        <is>
          <t>20260528000818</t>
        </is>
      </c>
      <c r="H7137" s="8">
        <f>HYPERLINK("https://dart.fss.or.kr/dsaf001/main.do?rcpNo=20260528000818", "공시열람")</f>
        <v/>
      </c>
    </row>
    <row r="7138">
      <c r="A7138" s="2" t="inlineStr">
        <is>
          <t>2026-05-28</t>
        </is>
      </c>
      <c r="B7138" s="3" t="inlineStr">
        <is>
          <t>레이</t>
        </is>
      </c>
      <c r="C7138" s="2" t="inlineStr">
        <is>
          <t>코스닥</t>
        </is>
      </c>
      <c r="D7138" s="2" t="inlineStr">
        <is>
          <t>228670</t>
        </is>
      </c>
      <c r="E7138" s="3" t="inlineStr">
        <is>
          <t xml:space="preserve">소송등의판결ㆍ결정              </t>
        </is>
      </c>
      <c r="F7138" s="3" t="inlineStr">
        <is>
          <t>레이</t>
        </is>
      </c>
      <c r="G7138" s="2" t="inlineStr">
        <is>
          <t>20260528900871</t>
        </is>
      </c>
      <c r="H7138" s="8">
        <f>HYPERLINK("https://dart.fss.or.kr/dsaf001/main.do?rcpNo=20260528900871", "공시열람")</f>
        <v/>
      </c>
    </row>
    <row r="7139">
      <c r="A7139" s="2" t="inlineStr">
        <is>
          <t>2026-05-28 (정정: 2026-05-28)</t>
        </is>
      </c>
      <c r="B7139" s="3" t="inlineStr">
        <is>
          <t>SKC</t>
        </is>
      </c>
      <c r="C7139" s="2" t="inlineStr">
        <is>
          <t>코스피</t>
        </is>
      </c>
      <c r="D7139" s="2" t="inlineStr">
        <is>
          <t>011790</t>
        </is>
      </c>
      <c r="E7139" s="3" t="inlineStr">
        <is>
          <t>임원ㆍ주요주주특정증권등소유상황보고서 (정정: 20260528) (정정: 20260528)</t>
        </is>
      </c>
      <c r="F7139" s="3" t="inlineStr">
        <is>
          <t>채은미</t>
        </is>
      </c>
      <c r="G7139" s="2" t="inlineStr">
        <is>
          <t>20260528000751</t>
        </is>
      </c>
      <c r="H7139" s="8">
        <f>HYPERLINK("https://dart.fss.or.kr/dsaf001/main.do?rcpNo=20260528000751", "공시열람")</f>
        <v/>
      </c>
    </row>
    <row r="7140">
      <c r="A7140" s="2" t="inlineStr">
        <is>
          <t>2026-05-28</t>
        </is>
      </c>
      <c r="B7140" s="3" t="inlineStr">
        <is>
          <t>키움증권</t>
        </is>
      </c>
      <c r="C7140" s="2" t="inlineStr">
        <is>
          <t>코스피</t>
        </is>
      </c>
      <c r="D7140" s="2" t="inlineStr">
        <is>
          <t>039490</t>
        </is>
      </c>
      <c r="E7140" s="3" t="inlineStr">
        <is>
          <t>투자설명서(일괄신고)</t>
        </is>
      </c>
      <c r="F7140" s="3" t="inlineStr">
        <is>
          <t>키움증권</t>
        </is>
      </c>
      <c r="G7140" s="2" t="inlineStr">
        <is>
          <t>20260528000808</t>
        </is>
      </c>
      <c r="H7140" s="8">
        <f>HYPERLINK("https://dart.fss.or.kr/dsaf001/main.do?rcpNo=20260528000808", "공시열람")</f>
        <v/>
      </c>
    </row>
    <row r="7141">
      <c r="A7141" s="2" t="inlineStr">
        <is>
          <t>2026-05-28</t>
        </is>
      </c>
      <c r="B7141" s="3" t="inlineStr">
        <is>
          <t>에이치엔에스하이텍</t>
        </is>
      </c>
      <c r="C7141" s="2" t="inlineStr">
        <is>
          <t>코스닥</t>
        </is>
      </c>
      <c r="D7141" s="2" t="inlineStr">
        <is>
          <t>044990</t>
        </is>
      </c>
      <c r="E7141" s="3" t="inlineStr">
        <is>
          <t>임원ㆍ주요주주특정증권등소유상황보고서</t>
        </is>
      </c>
      <c r="F7141" s="3" t="inlineStr">
        <is>
          <t>배의호</t>
        </is>
      </c>
      <c r="G7141" s="2" t="inlineStr">
        <is>
          <t>20260528000807</t>
        </is>
      </c>
      <c r="H7141" s="8">
        <f>HYPERLINK("https://dart.fss.or.kr/dsaf001/main.do?rcpNo=20260528000807", "공시열람")</f>
        <v/>
      </c>
    </row>
    <row r="7142">
      <c r="A7142" s="2" t="inlineStr">
        <is>
          <t>2026-05-28</t>
        </is>
      </c>
      <c r="B7142" s="3" t="inlineStr">
        <is>
          <t>삼천리</t>
        </is>
      </c>
      <c r="C7142" s="2" t="inlineStr">
        <is>
          <t>코스피</t>
        </is>
      </c>
      <c r="D7142" s="2" t="inlineStr">
        <is>
          <t>004690</t>
        </is>
      </c>
      <c r="E7142" s="3" t="inlineStr">
        <is>
          <t>증권발행실적보고서</t>
        </is>
      </c>
      <c r="F7142" s="3" t="inlineStr">
        <is>
          <t>삼천리</t>
        </is>
      </c>
      <c r="G7142" s="2" t="inlineStr">
        <is>
          <t>20260528000806</t>
        </is>
      </c>
      <c r="H7142" s="8">
        <f>HYPERLINK("https://dart.fss.or.kr/dsaf001/main.do?rcpNo=20260528000806", "공시열람")</f>
        <v/>
      </c>
    </row>
    <row r="7143">
      <c r="A7143" s="2" t="inlineStr">
        <is>
          <t>2026-05-28</t>
        </is>
      </c>
      <c r="B7143" s="3" t="inlineStr">
        <is>
          <t>인바디</t>
        </is>
      </c>
      <c r="C7143" s="2" t="inlineStr">
        <is>
          <t>코스닥</t>
        </is>
      </c>
      <c r="D7143" s="2" t="inlineStr">
        <is>
          <t>041830</t>
        </is>
      </c>
      <c r="E7143" s="3" t="inlineStr">
        <is>
          <t>임원ㆍ주요주주특정증권등소유상황보고서</t>
        </is>
      </c>
      <c r="F7143" s="3" t="inlineStr">
        <is>
          <t>방우성</t>
        </is>
      </c>
      <c r="G7143" s="2" t="inlineStr">
        <is>
          <t>20260528000804</t>
        </is>
      </c>
      <c r="H7143" s="8">
        <f>HYPERLINK("https://dart.fss.or.kr/dsaf001/main.do?rcpNo=20260528000804", "공시열람")</f>
        <v/>
      </c>
    </row>
    <row r="7144">
      <c r="A7144" s="2" t="inlineStr">
        <is>
          <t>2026-05-28</t>
        </is>
      </c>
      <c r="B7144" s="3" t="inlineStr">
        <is>
          <t>티엘비</t>
        </is>
      </c>
      <c r="C7144" s="2" t="inlineStr">
        <is>
          <t>코스닥</t>
        </is>
      </c>
      <c r="D7144" s="2" t="inlineStr">
        <is>
          <t>356860</t>
        </is>
      </c>
      <c r="E7144" s="3" t="inlineStr">
        <is>
          <t>투자설명서</t>
        </is>
      </c>
      <c r="F7144" s="3" t="inlineStr">
        <is>
          <t>티엘비</t>
        </is>
      </c>
      <c r="G7144" s="2" t="inlineStr">
        <is>
          <t>20260528000801</t>
        </is>
      </c>
      <c r="H7144" s="8">
        <f>HYPERLINK("https://dart.fss.or.kr/dsaf001/main.do?rcpNo=20260528000801", "공시열람")</f>
        <v/>
      </c>
    </row>
    <row r="7145">
      <c r="A7145" s="2" t="inlineStr">
        <is>
          <t>2026-05-28</t>
        </is>
      </c>
      <c r="B7145" s="3" t="inlineStr">
        <is>
          <t>DB증권</t>
        </is>
      </c>
      <c r="C7145" s="2" t="inlineStr">
        <is>
          <t>코스피</t>
        </is>
      </c>
      <c r="D7145" s="2" t="inlineStr">
        <is>
          <t>016610</t>
        </is>
      </c>
      <c r="E7145" s="3" t="inlineStr">
        <is>
          <t>투자설명서(일괄신고)</t>
        </is>
      </c>
      <c r="F7145" s="3" t="inlineStr">
        <is>
          <t>DB증권</t>
        </is>
      </c>
      <c r="G7145" s="2" t="inlineStr">
        <is>
          <t>20260528000796</t>
        </is>
      </c>
      <c r="H7145" s="8">
        <f>HYPERLINK("https://dart.fss.or.kr/dsaf001/main.do?rcpNo=20260528000796", "공시열람")</f>
        <v/>
      </c>
    </row>
    <row r="7146">
      <c r="A7146" s="2" t="inlineStr">
        <is>
          <t>2026-05-28</t>
        </is>
      </c>
      <c r="B7146" s="3" t="inlineStr">
        <is>
          <t>나라스페이스테크놀로지</t>
        </is>
      </c>
      <c r="C7146" s="2" t="inlineStr">
        <is>
          <t>코스닥</t>
        </is>
      </c>
      <c r="D7146" s="2" t="inlineStr">
        <is>
          <t>478340</t>
        </is>
      </c>
      <c r="E7146" s="3" t="inlineStr">
        <is>
          <t>[기재정정]임원ㆍ주요주주특정증권등소유상황보고서</t>
        </is>
      </c>
      <c r="F7146" s="3" t="inlineStr">
        <is>
          <t>이정규</t>
        </is>
      </c>
      <c r="G7146" s="2" t="inlineStr">
        <is>
          <t>20260528000793</t>
        </is>
      </c>
      <c r="H7146" s="8">
        <f>HYPERLINK("https://dart.fss.or.kr/dsaf001/main.do?rcpNo=20260528000793", "공시열람")</f>
        <v/>
      </c>
    </row>
    <row r="7147">
      <c r="A7147" s="2" t="inlineStr">
        <is>
          <t>2026-05-28</t>
        </is>
      </c>
      <c r="B7147" s="3" t="inlineStr">
        <is>
          <t>고영</t>
        </is>
      </c>
      <c r="C7147" s="2" t="inlineStr">
        <is>
          <t>코스닥</t>
        </is>
      </c>
      <c r="D7147" s="2" t="inlineStr">
        <is>
          <t>098460</t>
        </is>
      </c>
      <c r="E7147" s="3" t="inlineStr">
        <is>
          <t xml:space="preserve">기업설명회(IR)개최              </t>
        </is>
      </c>
      <c r="F7147" s="3" t="inlineStr">
        <is>
          <t>고영</t>
        </is>
      </c>
      <c r="G7147" s="2" t="inlineStr">
        <is>
          <t>20260528900854</t>
        </is>
      </c>
      <c r="H7147" s="8">
        <f>HYPERLINK("https://dart.fss.or.kr/dsaf001/main.do?rcpNo=20260528900854", "공시열람")</f>
        <v/>
      </c>
    </row>
    <row r="7148">
      <c r="A7148" s="2" t="inlineStr">
        <is>
          <t>2026-05-28</t>
        </is>
      </c>
      <c r="B7148" s="3" t="inlineStr">
        <is>
          <t>대한해운</t>
        </is>
      </c>
      <c r="C7148" s="2" t="inlineStr">
        <is>
          <t>코스피</t>
        </is>
      </c>
      <c r="D7148" s="2" t="inlineStr">
        <is>
          <t>005880</t>
        </is>
      </c>
      <c r="E7148" s="3" t="inlineStr">
        <is>
          <t>대규모기업집단현황공시[연1회공시및1/4분기용(대표회사)]</t>
        </is>
      </c>
      <c r="F7148" s="3" t="inlineStr">
        <is>
          <t>대한해운</t>
        </is>
      </c>
      <c r="G7148" s="2" t="inlineStr">
        <is>
          <t>20260528000788</t>
        </is>
      </c>
      <c r="H7148" s="8">
        <f>HYPERLINK("https://dart.fss.or.kr/dsaf001/main.do?rcpNo=20260528000788", "공시열람")</f>
        <v/>
      </c>
    </row>
    <row r="7149">
      <c r="A7149" s="2" t="inlineStr">
        <is>
          <t>2026-05-28</t>
        </is>
      </c>
      <c r="B7149" s="3" t="inlineStr">
        <is>
          <t>티엘비</t>
        </is>
      </c>
      <c r="C7149" s="2" t="inlineStr">
        <is>
          <t>코스닥</t>
        </is>
      </c>
      <c r="D7149" s="2" t="inlineStr">
        <is>
          <t>356860</t>
        </is>
      </c>
      <c r="E7149" s="3" t="inlineStr">
        <is>
          <t>[발행조건확정]증권신고서(지분증권)</t>
        </is>
      </c>
      <c r="F7149" s="3" t="inlineStr">
        <is>
          <t>티엘비</t>
        </is>
      </c>
      <c r="G7149" s="2" t="inlineStr">
        <is>
          <t>20260528000787</t>
        </is>
      </c>
      <c r="H7149" s="8">
        <f>HYPERLINK("https://dart.fss.or.kr/dsaf001/main.do?rcpNo=20260528000787", "공시열람")</f>
        <v/>
      </c>
    </row>
    <row r="7150">
      <c r="A7150" s="2" t="inlineStr">
        <is>
          <t>2026-05-28</t>
        </is>
      </c>
      <c r="B7150" s="3" t="inlineStr">
        <is>
          <t>DB증권</t>
        </is>
      </c>
      <c r="C7150" s="2" t="inlineStr">
        <is>
          <t>코스피</t>
        </is>
      </c>
      <c r="D7150" s="2" t="inlineStr">
        <is>
          <t>016610</t>
        </is>
      </c>
      <c r="E7150" s="3" t="inlineStr">
        <is>
          <t>일괄신고추가서류(기타파생결합사채)</t>
        </is>
      </c>
      <c r="F7150" s="3" t="inlineStr">
        <is>
          <t>DB증권</t>
        </is>
      </c>
      <c r="G7150" s="2" t="inlineStr">
        <is>
          <t>20260528000786</t>
        </is>
      </c>
      <c r="H7150" s="8">
        <f>HYPERLINK("https://dart.fss.or.kr/dsaf001/main.do?rcpNo=20260528000786", "공시열람")</f>
        <v/>
      </c>
    </row>
    <row r="7151">
      <c r="A7151" s="2" t="inlineStr">
        <is>
          <t>2026-05-28</t>
        </is>
      </c>
      <c r="B7151" s="3" t="inlineStr">
        <is>
          <t>나라스페이스테크놀로지</t>
        </is>
      </c>
      <c r="C7151" s="2" t="inlineStr">
        <is>
          <t>코스닥</t>
        </is>
      </c>
      <c r="D7151" s="2" t="inlineStr">
        <is>
          <t>478340</t>
        </is>
      </c>
      <c r="E7151" s="3" t="inlineStr">
        <is>
          <t>[기재정정]임원ㆍ주요주주특정증권등소유상황보고서</t>
        </is>
      </c>
      <c r="F7151" s="3" t="inlineStr">
        <is>
          <t>이성환</t>
        </is>
      </c>
      <c r="G7151" s="2" t="inlineStr">
        <is>
          <t>20260528000781</t>
        </is>
      </c>
      <c r="H7151" s="8">
        <f>HYPERLINK("https://dart.fss.or.kr/dsaf001/main.do?rcpNo=20260528000781", "공시열람")</f>
        <v/>
      </c>
    </row>
    <row r="7152">
      <c r="A7152" s="2" t="inlineStr">
        <is>
          <t>2026-05-28</t>
        </is>
      </c>
      <c r="B7152" s="3" t="inlineStr">
        <is>
          <t>아모레퍼시픽</t>
        </is>
      </c>
      <c r="C7152" s="2" t="inlineStr">
        <is>
          <t>코스피</t>
        </is>
      </c>
      <c r="D7152" s="2" t="inlineStr">
        <is>
          <t>090430</t>
        </is>
      </c>
      <c r="E7152" s="3" t="inlineStr">
        <is>
          <t xml:space="preserve">기업설명회(IR)개최(안내공시)              </t>
        </is>
      </c>
      <c r="F7152" s="3" t="inlineStr">
        <is>
          <t>아모레퍼시픽</t>
        </is>
      </c>
      <c r="G7152" s="2" t="inlineStr">
        <is>
          <t>20260528800845</t>
        </is>
      </c>
      <c r="H7152" s="8">
        <f>HYPERLINK("https://dart.fss.or.kr/dsaf001/main.do?rcpNo=20260528800845", "공시열람")</f>
        <v/>
      </c>
    </row>
    <row r="7153">
      <c r="A7153" s="2" t="inlineStr">
        <is>
          <t>2026-05-28</t>
        </is>
      </c>
      <c r="B7153" s="3" t="inlineStr">
        <is>
          <t>광명전기</t>
        </is>
      </c>
      <c r="C7153" s="2" t="inlineStr">
        <is>
          <t>코스피</t>
        </is>
      </c>
      <c r="D7153" s="2" t="inlineStr">
        <is>
          <t>017040</t>
        </is>
      </c>
      <c r="E7153" s="3" t="inlineStr">
        <is>
          <t xml:space="preserve">소송등의판결ㆍ결정              </t>
        </is>
      </c>
      <c r="F7153" s="3" t="inlineStr">
        <is>
          <t>광명전기</t>
        </is>
      </c>
      <c r="G7153" s="2" t="inlineStr">
        <is>
          <t>20260528800774</t>
        </is>
      </c>
      <c r="H7153" s="8">
        <f>HYPERLINK("https://dart.fss.or.kr/dsaf001/main.do?rcpNo=20260528800774", "공시열람")</f>
        <v/>
      </c>
    </row>
    <row r="7154">
      <c r="A7154" s="2" t="inlineStr">
        <is>
          <t>2026-05-28</t>
        </is>
      </c>
      <c r="B7154" s="3" t="inlineStr">
        <is>
          <t>하이브</t>
        </is>
      </c>
      <c r="C7154" s="2" t="inlineStr">
        <is>
          <t>코스피</t>
        </is>
      </c>
      <c r="D7154" s="2" t="inlineStr">
        <is>
          <t>352820</t>
        </is>
      </c>
      <c r="E7154" s="3" t="inlineStr">
        <is>
          <t>대규모기업집단현황공시[연1회공시및1/4분기용(대표회사)]</t>
        </is>
      </c>
      <c r="F7154" s="3" t="inlineStr">
        <is>
          <t>하이브</t>
        </is>
      </c>
      <c r="G7154" s="2" t="inlineStr">
        <is>
          <t>20260528000777</t>
        </is>
      </c>
      <c r="H7154" s="8">
        <f>HYPERLINK("https://dart.fss.or.kr/dsaf001/main.do?rcpNo=20260528000777", "공시열람")</f>
        <v/>
      </c>
    </row>
    <row r="7155">
      <c r="A7155" s="2" t="inlineStr">
        <is>
          <t>2026-05-28 (정정: 2026-06-01)</t>
        </is>
      </c>
      <c r="B7155" s="3" t="inlineStr">
        <is>
          <t>코람코라이프인프라리츠</t>
        </is>
      </c>
      <c r="C7155" s="2" t="inlineStr">
        <is>
          <t>코스피</t>
        </is>
      </c>
      <c r="D7155" s="2" t="inlineStr">
        <is>
          <t>357120</t>
        </is>
      </c>
      <c r="E7155" s="3" t="inlineStr">
        <is>
          <t>임원ㆍ주요주주특정증권등소유상황보고서 (정정: 20260601)</t>
        </is>
      </c>
      <c r="F7155" s="3" t="inlineStr">
        <is>
          <t>미래에셋자산운용</t>
        </is>
      </c>
      <c r="G7155" s="2" t="inlineStr">
        <is>
          <t>20260601801776</t>
        </is>
      </c>
      <c r="H7155" s="8">
        <f>HYPERLINK("https://dart.fss.or.kr/dsaf001/main.do?rcpNo=20260601801776", "공시열람")</f>
        <v/>
      </c>
    </row>
    <row r="7156">
      <c r="A7156" s="2" t="inlineStr">
        <is>
          <t>2026-05-28</t>
        </is>
      </c>
      <c r="B7156" s="3" t="inlineStr">
        <is>
          <t>이지스밸류플러스리츠</t>
        </is>
      </c>
      <c r="C7156" s="2" t="inlineStr">
        <is>
          <t>코스피</t>
        </is>
      </c>
      <c r="D7156" s="2" t="inlineStr">
        <is>
          <t>334890</t>
        </is>
      </c>
      <c r="E7156" s="3" t="inlineStr">
        <is>
          <t>임원ㆍ주요주주특정증권등소유상황보고서</t>
        </is>
      </c>
      <c r="F7156" s="3" t="inlineStr">
        <is>
          <t>미래에셋자산운용</t>
        </is>
      </c>
      <c r="G7156" s="2" t="inlineStr">
        <is>
          <t>20260528000772</t>
        </is>
      </c>
      <c r="H7156" s="8">
        <f>HYPERLINK("https://dart.fss.or.kr/dsaf001/main.do?rcpNo=20260528000772", "공시열람")</f>
        <v/>
      </c>
    </row>
    <row r="7157">
      <c r="A7157" s="2" t="inlineStr">
        <is>
          <t>2026-05-28</t>
        </is>
      </c>
      <c r="B7157" s="3" t="inlineStr">
        <is>
          <t>키움증권</t>
        </is>
      </c>
      <c r="C7157" s="2" t="inlineStr">
        <is>
          <t>코스피</t>
        </is>
      </c>
      <c r="D7157" s="2" t="inlineStr">
        <is>
          <t>039490</t>
        </is>
      </c>
      <c r="E7157" s="3" t="inlineStr">
        <is>
          <t>투자설명서(일괄신고)</t>
        </is>
      </c>
      <c r="F7157" s="3" t="inlineStr">
        <is>
          <t>키움증권</t>
        </is>
      </c>
      <c r="G7157" s="2" t="inlineStr">
        <is>
          <t>20260528000771</t>
        </is>
      </c>
      <c r="H7157" s="8">
        <f>HYPERLINK("https://dart.fss.or.kr/dsaf001/main.do?rcpNo=20260528000771", "공시열람")</f>
        <v/>
      </c>
    </row>
    <row r="7158">
      <c r="A7158" s="2" t="inlineStr">
        <is>
          <t>2026-05-28</t>
        </is>
      </c>
      <c r="B7158" s="3" t="inlineStr">
        <is>
          <t>카카오페이</t>
        </is>
      </c>
      <c r="C7158" s="2" t="inlineStr">
        <is>
          <t>코스피</t>
        </is>
      </c>
      <c r="D7158" s="2" t="inlineStr">
        <is>
          <t>377300</t>
        </is>
      </c>
      <c r="E7158" s="3" t="inlineStr">
        <is>
          <t xml:space="preserve">기업지배구조보고서공시              </t>
        </is>
      </c>
      <c r="F7158" s="3" t="inlineStr">
        <is>
          <t>카카오페이</t>
        </is>
      </c>
      <c r="G7158" s="2" t="inlineStr">
        <is>
          <t>20260528800767</t>
        </is>
      </c>
      <c r="H7158" s="8">
        <f>HYPERLINK("https://dart.fss.or.kr/dsaf001/main.do?rcpNo=20260528800767", "공시열람")</f>
        <v/>
      </c>
    </row>
    <row r="7159">
      <c r="A7159" s="2" t="inlineStr">
        <is>
          <t>2026-05-28</t>
        </is>
      </c>
      <c r="B7159" s="3" t="inlineStr">
        <is>
          <t>이리츠코크렙</t>
        </is>
      </c>
      <c r="C7159" s="2" t="inlineStr">
        <is>
          <t>코스피</t>
        </is>
      </c>
      <c r="D7159" s="2" t="inlineStr">
        <is>
          <t>088260</t>
        </is>
      </c>
      <c r="E7159" s="3" t="inlineStr">
        <is>
          <t>임원ㆍ주요주주특정증권등소유상황보고서</t>
        </is>
      </c>
      <c r="F7159" s="3" t="inlineStr">
        <is>
          <t>미래에셋자산운용</t>
        </is>
      </c>
      <c r="G7159" s="2" t="inlineStr">
        <is>
          <t>20260528000770</t>
        </is>
      </c>
      <c r="H7159" s="8">
        <f>HYPERLINK("https://dart.fss.or.kr/dsaf001/main.do?rcpNo=20260528000770", "공시열람")</f>
        <v/>
      </c>
    </row>
    <row r="7160">
      <c r="A7160" s="2" t="inlineStr">
        <is>
          <t>2026-05-28</t>
        </is>
      </c>
      <c r="B7160" s="3" t="inlineStr">
        <is>
          <t>신한알파리츠</t>
        </is>
      </c>
      <c r="C7160" s="2" t="inlineStr">
        <is>
          <t>코스피</t>
        </is>
      </c>
      <c r="D7160" s="2" t="inlineStr">
        <is>
          <t>293940</t>
        </is>
      </c>
      <c r="E7160" s="3" t="inlineStr">
        <is>
          <t>임원ㆍ주요주주특정증권등소유상황보고서</t>
        </is>
      </c>
      <c r="F7160" s="3" t="inlineStr">
        <is>
          <t>미래에셋자산운용</t>
        </is>
      </c>
      <c r="G7160" s="2" t="inlineStr">
        <is>
          <t>20260528000768</t>
        </is>
      </c>
      <c r="H7160" s="8">
        <f>HYPERLINK("https://dart.fss.or.kr/dsaf001/main.do?rcpNo=20260528000768", "공시열람")</f>
        <v/>
      </c>
    </row>
    <row r="7161">
      <c r="A7161" s="2" t="inlineStr">
        <is>
          <t>2026-05-28</t>
        </is>
      </c>
      <c r="B7161" s="3" t="inlineStr">
        <is>
          <t>나라스페이스테크놀로지</t>
        </is>
      </c>
      <c r="C7161" s="2" t="inlineStr">
        <is>
          <t>코스닥</t>
        </is>
      </c>
      <c r="D7161" s="2" t="inlineStr">
        <is>
          <t>478340</t>
        </is>
      </c>
      <c r="E7161" s="3" t="inlineStr">
        <is>
          <t>[기재정정]임원ㆍ주요주주특정증권등소유상황보고서</t>
        </is>
      </c>
      <c r="F7161" s="3" t="inlineStr">
        <is>
          <t>이광원</t>
        </is>
      </c>
      <c r="G7161" s="2" t="inlineStr">
        <is>
          <t>20260528000767</t>
        </is>
      </c>
      <c r="H7161" s="8">
        <f>HYPERLINK("https://dart.fss.or.kr/dsaf001/main.do?rcpNo=20260528000767", "공시열람")</f>
        <v/>
      </c>
    </row>
    <row r="7162">
      <c r="A7162" s="2" t="inlineStr">
        <is>
          <t>2026-05-28</t>
        </is>
      </c>
      <c r="B7162" s="3" t="inlineStr">
        <is>
          <t>롯데리츠</t>
        </is>
      </c>
      <c r="C7162" s="2" t="inlineStr">
        <is>
          <t>코스피</t>
        </is>
      </c>
      <c r="D7162" s="2" t="inlineStr">
        <is>
          <t>330590</t>
        </is>
      </c>
      <c r="E7162" s="3" t="inlineStr">
        <is>
          <t>임원ㆍ주요주주특정증권등소유상황보고서</t>
        </is>
      </c>
      <c r="F7162" s="3" t="inlineStr">
        <is>
          <t>미래에셋자산운용</t>
        </is>
      </c>
      <c r="G7162" s="2" t="inlineStr">
        <is>
          <t>20260528000764</t>
        </is>
      </c>
      <c r="H7162" s="8">
        <f>HYPERLINK("https://dart.fss.or.kr/dsaf001/main.do?rcpNo=20260528000764", "공시열람")</f>
        <v/>
      </c>
    </row>
    <row r="7163">
      <c r="A7163" s="2" t="inlineStr">
        <is>
          <t>2026-05-28</t>
        </is>
      </c>
      <c r="B7163" s="3" t="inlineStr">
        <is>
          <t>DB하이텍</t>
        </is>
      </c>
      <c r="C7163" s="2" t="inlineStr">
        <is>
          <t>코스피</t>
        </is>
      </c>
      <c r="D7163" s="2" t="inlineStr">
        <is>
          <t>000990</t>
        </is>
      </c>
      <c r="E7163" s="3" t="inlineStr">
        <is>
          <t>임원ㆍ주요주주특정증권등소유상황보고서</t>
        </is>
      </c>
      <c r="F7163" s="3" t="inlineStr">
        <is>
          <t>미래에셋자산운용</t>
        </is>
      </c>
      <c r="G7163" s="2" t="inlineStr">
        <is>
          <t>20260528000761</t>
        </is>
      </c>
      <c r="H7163" s="8">
        <f>HYPERLINK("https://dart.fss.or.kr/dsaf001/main.do?rcpNo=20260528000761", "공시열람")</f>
        <v/>
      </c>
    </row>
    <row r="7164">
      <c r="A7164" s="2" t="inlineStr">
        <is>
          <t>2026-05-28</t>
        </is>
      </c>
      <c r="B7164" s="3" t="inlineStr">
        <is>
          <t>한화리츠</t>
        </is>
      </c>
      <c r="C7164" s="2" t="inlineStr">
        <is>
          <t>코스피</t>
        </is>
      </c>
      <c r="D7164" s="2" t="inlineStr">
        <is>
          <t>451800</t>
        </is>
      </c>
      <c r="E7164" s="3" t="inlineStr">
        <is>
          <t>임원ㆍ주요주주특정증권등소유상황보고서</t>
        </is>
      </c>
      <c r="F7164" s="3" t="inlineStr">
        <is>
          <t>미래에셋자산운용</t>
        </is>
      </c>
      <c r="G7164" s="2" t="inlineStr">
        <is>
          <t>20260528000758</t>
        </is>
      </c>
      <c r="H7164" s="8">
        <f>HYPERLINK("https://dart.fss.or.kr/dsaf001/main.do?rcpNo=20260528000758", "공시열람")</f>
        <v/>
      </c>
    </row>
    <row r="7165">
      <c r="A7165" s="2" t="inlineStr">
        <is>
          <t>2026-05-28</t>
        </is>
      </c>
      <c r="B7165" s="3" t="inlineStr">
        <is>
          <t>삼성FN리츠</t>
        </is>
      </c>
      <c r="C7165" s="2" t="inlineStr">
        <is>
          <t>코스피</t>
        </is>
      </c>
      <c r="D7165" s="2" t="inlineStr">
        <is>
          <t>448730</t>
        </is>
      </c>
      <c r="E7165" s="3" t="inlineStr">
        <is>
          <t>임원ㆍ주요주주특정증권등소유상황보고서</t>
        </is>
      </c>
      <c r="F7165" s="3" t="inlineStr">
        <is>
          <t>미래에셋자산운용</t>
        </is>
      </c>
      <c r="G7165" s="2" t="inlineStr">
        <is>
          <t>20260528000757</t>
        </is>
      </c>
      <c r="H7165" s="8">
        <f>HYPERLINK("https://dart.fss.or.kr/dsaf001/main.do?rcpNo=20260528000757", "공시열람")</f>
        <v/>
      </c>
    </row>
    <row r="7166">
      <c r="A7166" s="2" t="inlineStr">
        <is>
          <t>2026-05-28</t>
        </is>
      </c>
      <c r="B7166" s="3" t="inlineStr">
        <is>
          <t>HS효성첨단소재</t>
        </is>
      </c>
      <c r="C7166" s="2" t="inlineStr">
        <is>
          <t>코스피</t>
        </is>
      </c>
      <c r="D7166" s="2" t="inlineStr">
        <is>
          <t>298050</t>
        </is>
      </c>
      <c r="E7166" s="3" t="inlineStr">
        <is>
          <t>임원ㆍ주요주주특정증권등소유상황보고서</t>
        </is>
      </c>
      <c r="F7166" s="3" t="inlineStr">
        <is>
          <t>HS효성</t>
        </is>
      </c>
      <c r="G7166" s="2" t="inlineStr">
        <is>
          <t>20260528000754</t>
        </is>
      </c>
      <c r="H7166" s="8">
        <f>HYPERLINK("https://dart.fss.or.kr/dsaf001/main.do?rcpNo=20260528000754", "공시열람")</f>
        <v/>
      </c>
    </row>
    <row r="7167">
      <c r="A7167" s="2" t="inlineStr">
        <is>
          <t>2026-05-28</t>
        </is>
      </c>
      <c r="B7167" s="3" t="inlineStr">
        <is>
          <t>코람코더원리츠</t>
        </is>
      </c>
      <c r="C7167" s="2" t="inlineStr">
        <is>
          <t>코스피</t>
        </is>
      </c>
      <c r="D7167" s="2" t="inlineStr">
        <is>
          <t>417310</t>
        </is>
      </c>
      <c r="E7167" s="3" t="inlineStr">
        <is>
          <t>임원ㆍ주요주주특정증권등소유상황보고서</t>
        </is>
      </c>
      <c r="F7167" s="3" t="inlineStr">
        <is>
          <t>미래에셋자산운용</t>
        </is>
      </c>
      <c r="G7167" s="2" t="inlineStr">
        <is>
          <t>20260528000753</t>
        </is>
      </c>
      <c r="H7167" s="8">
        <f>HYPERLINK("https://dart.fss.or.kr/dsaf001/main.do?rcpNo=20260528000753", "공시열람")</f>
        <v/>
      </c>
    </row>
    <row r="7168">
      <c r="A7168" s="2" t="inlineStr">
        <is>
          <t>2026-05-28</t>
        </is>
      </c>
      <c r="B7168" s="3" t="inlineStr">
        <is>
          <t>인바디</t>
        </is>
      </c>
      <c r="C7168" s="2" t="inlineStr">
        <is>
          <t>코스닥</t>
        </is>
      </c>
      <c r="D7168" s="2" t="inlineStr">
        <is>
          <t>041830</t>
        </is>
      </c>
      <c r="E7168" s="3" t="inlineStr">
        <is>
          <t>자기주식처분결과보고서</t>
        </is>
      </c>
      <c r="F7168" s="3" t="inlineStr">
        <is>
          <t>인바디</t>
        </is>
      </c>
      <c r="G7168" s="2" t="inlineStr">
        <is>
          <t>20260528000752</t>
        </is>
      </c>
      <c r="H7168" s="8">
        <f>HYPERLINK("https://dart.fss.or.kr/dsaf001/main.do?rcpNo=20260528000752", "공시열람")</f>
        <v/>
      </c>
    </row>
    <row r="7169">
      <c r="A7169" s="2" t="inlineStr">
        <is>
          <t>2026-05-28</t>
        </is>
      </c>
      <c r="B7169" s="3" t="inlineStr">
        <is>
          <t>달바글로벌</t>
        </is>
      </c>
      <c r="C7169" s="2" t="inlineStr">
        <is>
          <t>코스피</t>
        </is>
      </c>
      <c r="D7169" s="2" t="inlineStr">
        <is>
          <t>483650</t>
        </is>
      </c>
      <c r="E7169" s="3" t="inlineStr">
        <is>
          <t>임원ㆍ주요주주특정증권등소유상황보고서</t>
        </is>
      </c>
      <c r="F7169" s="3" t="inlineStr">
        <is>
          <t>이옥경</t>
        </is>
      </c>
      <c r="G7169" s="2" t="inlineStr">
        <is>
          <t>20260528000749</t>
        </is>
      </c>
      <c r="H7169" s="8">
        <f>HYPERLINK("https://dart.fss.or.kr/dsaf001/main.do?rcpNo=20260528000749", "공시열람")</f>
        <v/>
      </c>
    </row>
    <row r="7170">
      <c r="A7170" s="2" t="inlineStr">
        <is>
          <t>2026-05-28</t>
        </is>
      </c>
      <c r="B7170" s="3" t="inlineStr">
        <is>
          <t>티엘비</t>
        </is>
      </c>
      <c r="C7170" s="2" t="inlineStr">
        <is>
          <t>코스닥</t>
        </is>
      </c>
      <c r="D7170" s="2" t="inlineStr">
        <is>
          <t>356860</t>
        </is>
      </c>
      <c r="E7170" s="3" t="inlineStr">
        <is>
          <t xml:space="preserve">유상증자1차발행가액결정              </t>
        </is>
      </c>
      <c r="F7170" s="3" t="inlineStr">
        <is>
          <t>티엘비</t>
        </is>
      </c>
      <c r="G7170" s="2" t="inlineStr">
        <is>
          <t>20260528900812</t>
        </is>
      </c>
      <c r="H7170" s="8">
        <f>HYPERLINK("https://dart.fss.or.kr/dsaf001/main.do?rcpNo=20260528900812", "공시열람")</f>
        <v/>
      </c>
    </row>
    <row r="7171">
      <c r="A7171" s="2" t="inlineStr">
        <is>
          <t>2026-05-28</t>
        </is>
      </c>
      <c r="B7171" s="3" t="inlineStr">
        <is>
          <t>신한서부티엔디리츠</t>
        </is>
      </c>
      <c r="C7171" s="2" t="inlineStr">
        <is>
          <t>코스피</t>
        </is>
      </c>
      <c r="D7171" s="2" t="inlineStr">
        <is>
          <t>404990</t>
        </is>
      </c>
      <c r="E7171" s="3" t="inlineStr">
        <is>
          <t>임원ㆍ주요주주특정증권등소유상황보고서</t>
        </is>
      </c>
      <c r="F7171" s="3" t="inlineStr">
        <is>
          <t>미래에셋자산운용</t>
        </is>
      </c>
      <c r="G7171" s="2" t="inlineStr">
        <is>
          <t>20260528000745</t>
        </is>
      </c>
      <c r="H7171" s="8">
        <f>HYPERLINK("https://dart.fss.or.kr/dsaf001/main.do?rcpNo=20260528000745", "공시열람")</f>
        <v/>
      </c>
    </row>
    <row r="7172">
      <c r="A7172" s="2" t="inlineStr">
        <is>
          <t>2026-05-28</t>
        </is>
      </c>
      <c r="B7172" s="3" t="inlineStr">
        <is>
          <t>대한약품</t>
        </is>
      </c>
      <c r="C7172" s="2" t="inlineStr">
        <is>
          <t>코스닥</t>
        </is>
      </c>
      <c r="D7172" s="2" t="inlineStr">
        <is>
          <t>023910</t>
        </is>
      </c>
      <c r="E7172" s="3" t="inlineStr">
        <is>
          <t>임원ㆍ주요주주특정증권등소유상황보고서</t>
        </is>
      </c>
      <c r="F7172" s="3" t="inlineStr">
        <is>
          <t>이윤우</t>
        </is>
      </c>
      <c r="G7172" s="2" t="inlineStr">
        <is>
          <t>20260528000744</t>
        </is>
      </c>
      <c r="H7172" s="8">
        <f>HYPERLINK("https://dart.fss.or.kr/dsaf001/main.do?rcpNo=20260528000744", "공시열람")</f>
        <v/>
      </c>
    </row>
    <row r="7173">
      <c r="A7173" s="2" t="inlineStr">
        <is>
          <t>2026-05-28</t>
        </is>
      </c>
      <c r="B7173" s="3" t="inlineStr">
        <is>
          <t>나라스페이스테크놀로지</t>
        </is>
      </c>
      <c r="C7173" s="2" t="inlineStr">
        <is>
          <t>코스닥</t>
        </is>
      </c>
      <c r="D7173" s="2" t="inlineStr">
        <is>
          <t>478340</t>
        </is>
      </c>
      <c r="E7173" s="3" t="inlineStr">
        <is>
          <t>[기재정정]임원ㆍ주요주주특정증권등소유상황보고서</t>
        </is>
      </c>
      <c r="F7173" s="3" t="inlineStr">
        <is>
          <t>오형직</t>
        </is>
      </c>
      <c r="G7173" s="2" t="inlineStr">
        <is>
          <t>20260528000743</t>
        </is>
      </c>
      <c r="H7173" s="8">
        <f>HYPERLINK("https://dart.fss.or.kr/dsaf001/main.do?rcpNo=20260528000743", "공시열람")</f>
        <v/>
      </c>
    </row>
    <row r="7174">
      <c r="A7174" s="2" t="inlineStr">
        <is>
          <t>2026-05-28</t>
        </is>
      </c>
      <c r="B7174" s="3" t="inlineStr">
        <is>
          <t>SK리츠</t>
        </is>
      </c>
      <c r="C7174" s="2" t="inlineStr">
        <is>
          <t>코스피</t>
        </is>
      </c>
      <c r="D7174" s="2" t="inlineStr">
        <is>
          <t>395400</t>
        </is>
      </c>
      <c r="E7174" s="3" t="inlineStr">
        <is>
          <t>임원ㆍ주요주주특정증권등소유상황보고서</t>
        </is>
      </c>
      <c r="F7174" s="3" t="inlineStr">
        <is>
          <t>미래에셋자산운용</t>
        </is>
      </c>
      <c r="G7174" s="2" t="inlineStr">
        <is>
          <t>20260528000742</t>
        </is>
      </c>
      <c r="H7174" s="8">
        <f>HYPERLINK("https://dart.fss.or.kr/dsaf001/main.do?rcpNo=20260528000742", "공시열람")</f>
        <v/>
      </c>
    </row>
    <row r="7175">
      <c r="A7175" s="2" t="inlineStr">
        <is>
          <t>2026-05-28</t>
        </is>
      </c>
      <c r="B7175" s="3" t="inlineStr">
        <is>
          <t>디앤디플랫폼리츠</t>
        </is>
      </c>
      <c r="C7175" s="2" t="inlineStr">
        <is>
          <t>코스피</t>
        </is>
      </c>
      <c r="D7175" s="2" t="inlineStr">
        <is>
          <t>377190</t>
        </is>
      </c>
      <c r="E7175" s="3" t="inlineStr">
        <is>
          <t>임원ㆍ주요주주특정증권등소유상황보고서</t>
        </is>
      </c>
      <c r="F7175" s="3" t="inlineStr">
        <is>
          <t>미래에셋자산운용</t>
        </is>
      </c>
      <c r="G7175" s="2" t="inlineStr">
        <is>
          <t>20260528000739</t>
        </is>
      </c>
      <c r="H7175" s="8">
        <f>HYPERLINK("https://dart.fss.or.kr/dsaf001/main.do?rcpNo=20260528000739", "공시열람")</f>
        <v/>
      </c>
    </row>
    <row r="7176">
      <c r="A7176" s="2" t="inlineStr">
        <is>
          <t>2026-05-28</t>
        </is>
      </c>
      <c r="B7176" s="3" t="inlineStr">
        <is>
          <t>ESR켄달스퀘어리츠</t>
        </is>
      </c>
      <c r="C7176" s="2" t="inlineStr">
        <is>
          <t>코스피</t>
        </is>
      </c>
      <c r="D7176" s="2" t="inlineStr">
        <is>
          <t>365550</t>
        </is>
      </c>
      <c r="E7176" s="3" t="inlineStr">
        <is>
          <t>임원ㆍ주요주주특정증권등소유상황보고서</t>
        </is>
      </c>
      <c r="F7176" s="3" t="inlineStr">
        <is>
          <t>미래에셋자산운용</t>
        </is>
      </c>
      <c r="G7176" s="2" t="inlineStr">
        <is>
          <t>20260528000738</t>
        </is>
      </c>
      <c r="H7176" s="8">
        <f>HYPERLINK("https://dart.fss.or.kr/dsaf001/main.do?rcpNo=20260528000738", "공시열람")</f>
        <v/>
      </c>
    </row>
    <row r="7177">
      <c r="A7177" s="2" t="inlineStr">
        <is>
          <t>2026-05-28 (정정: 2026-06-01)</t>
        </is>
      </c>
      <c r="B7177" s="3" t="inlineStr">
        <is>
          <t>삼성에피스홀딩스</t>
        </is>
      </c>
      <c r="C7177" s="2" t="inlineStr">
        <is>
          <t>코스피</t>
        </is>
      </c>
      <c r="D7177" s="2" t="inlineStr">
        <is>
          <t>0126Z0</t>
        </is>
      </c>
      <c r="E7177" s="3" t="inlineStr">
        <is>
          <t>단기차입금증가결정(자회사의 주요경영사항)               (정정: 20260601)</t>
        </is>
      </c>
      <c r="F7177" s="3" t="inlineStr">
        <is>
          <t>삼성에피스홀딩스</t>
        </is>
      </c>
      <c r="G7177" s="2" t="inlineStr">
        <is>
          <t>20260601001146</t>
        </is>
      </c>
      <c r="H7177" s="8">
        <f>HYPERLINK("https://dart.fss.or.kr/dsaf001/main.do?rcpNo=20260601001146", "공시열람")</f>
        <v/>
      </c>
    </row>
    <row r="7178">
      <c r="A7178" s="2" t="inlineStr">
        <is>
          <t>2026-05-28 (정정: 2026-06-01)</t>
        </is>
      </c>
      <c r="B7178" s="3" t="inlineStr">
        <is>
          <t>티와이홀딩스</t>
        </is>
      </c>
      <c r="C7178" s="2" t="inlineStr">
        <is>
          <t>코스피</t>
        </is>
      </c>
      <c r="D7178" s="2" t="inlineStr">
        <is>
          <t>363280</t>
        </is>
      </c>
      <c r="E7178" s="3" t="inlineStr">
        <is>
          <t>대규모기업집단현황공시[연1회공시및1/4분기용(대표회사)] (정정: 20260601)</t>
        </is>
      </c>
      <c r="F7178" s="3" t="inlineStr">
        <is>
          <t>티와이홀딩스</t>
        </is>
      </c>
      <c r="G7178" s="2" t="inlineStr">
        <is>
          <t>20260601001306</t>
        </is>
      </c>
      <c r="H7178" s="8">
        <f>HYPERLINK("https://dart.fss.or.kr/dsaf001/main.do?rcpNo=20260601001306", "공시열람")</f>
        <v/>
      </c>
    </row>
    <row r="7179">
      <c r="A7179" s="2" t="inlineStr">
        <is>
          <t>2026-05-28</t>
        </is>
      </c>
      <c r="B7179" s="3" t="inlineStr">
        <is>
          <t>이지홀딩스</t>
        </is>
      </c>
      <c r="C7179" s="2" t="inlineStr">
        <is>
          <t>코스닥</t>
        </is>
      </c>
      <c r="D7179" s="2" t="inlineStr">
        <is>
          <t>035810</t>
        </is>
      </c>
      <c r="E7179" s="3" t="inlineStr">
        <is>
          <t>임원ㆍ주요주주특정증권등소유상황보고서</t>
        </is>
      </c>
      <c r="F7179" s="3" t="inlineStr">
        <is>
          <t>아날로그</t>
        </is>
      </c>
      <c r="G7179" s="2" t="inlineStr">
        <is>
          <t>20260528000734</t>
        </is>
      </c>
      <c r="H7179" s="8">
        <f>HYPERLINK("https://dart.fss.or.kr/dsaf001/main.do?rcpNo=20260528000734", "공시열람")</f>
        <v/>
      </c>
    </row>
    <row r="7180">
      <c r="A7180" s="2" t="inlineStr">
        <is>
          <t>2026-05-28</t>
        </is>
      </c>
      <c r="B7180" s="3" t="inlineStr">
        <is>
          <t>대교</t>
        </is>
      </c>
      <c r="C7180" s="2" t="inlineStr">
        <is>
          <t>코스피</t>
        </is>
      </c>
      <c r="D7180" s="2" t="inlineStr">
        <is>
          <t>019680</t>
        </is>
      </c>
      <c r="E7180" s="3" t="inlineStr">
        <is>
          <t>임원ㆍ주요주주특정증권등소유상황보고서</t>
        </is>
      </c>
      <c r="F7180" s="3" t="inlineStr">
        <is>
          <t>대교홀딩스</t>
        </is>
      </c>
      <c r="G7180" s="2" t="inlineStr">
        <is>
          <t>20260528000732</t>
        </is>
      </c>
      <c r="H7180" s="8">
        <f>HYPERLINK("https://dart.fss.or.kr/dsaf001/main.do?rcpNo=20260528000732", "공시열람")</f>
        <v/>
      </c>
    </row>
    <row r="7181">
      <c r="A7181" s="2" t="inlineStr">
        <is>
          <t>2026-05-28</t>
        </is>
      </c>
      <c r="B7181" s="3" t="inlineStr">
        <is>
          <t>나라스페이스테크놀로지</t>
        </is>
      </c>
      <c r="C7181" s="2" t="inlineStr">
        <is>
          <t>코스닥</t>
        </is>
      </c>
      <c r="D7181" s="2" t="inlineStr">
        <is>
          <t>478340</t>
        </is>
      </c>
      <c r="E7181" s="3" t="inlineStr">
        <is>
          <t>[기재정정]임원ㆍ주요주주특정증권등소유상황보고서</t>
        </is>
      </c>
      <c r="F7181" s="3" t="inlineStr">
        <is>
          <t>박기연</t>
        </is>
      </c>
      <c r="G7181" s="2" t="inlineStr">
        <is>
          <t>20260528000731</t>
        </is>
      </c>
      <c r="H7181" s="8">
        <f>HYPERLINK("https://dart.fss.or.kr/dsaf001/main.do?rcpNo=20260528000731", "공시열람")</f>
        <v/>
      </c>
    </row>
    <row r="7182">
      <c r="A7182" s="2" t="inlineStr">
        <is>
          <t>2026-05-28</t>
        </is>
      </c>
      <c r="B7182" s="3" t="inlineStr">
        <is>
          <t>소프트센</t>
        </is>
      </c>
      <c r="C7182" s="2" t="inlineStr">
        <is>
          <t>코스닥</t>
        </is>
      </c>
      <c r="D7182" s="2" t="inlineStr">
        <is>
          <t>032680</t>
        </is>
      </c>
      <c r="E7182" s="3" t="inlineStr">
        <is>
          <t>임원ㆍ주요주주특정증권등거래계획보고서</t>
        </is>
      </c>
      <c r="F7182" s="3" t="inlineStr">
        <is>
          <t>홍콩셩다국제유한공사</t>
        </is>
      </c>
      <c r="G7182" s="2" t="inlineStr">
        <is>
          <t>20260528000729</t>
        </is>
      </c>
      <c r="H7182" s="8">
        <f>HYPERLINK("https://dart.fss.or.kr/dsaf001/main.do?rcpNo=20260528000729", "공시열람")</f>
        <v/>
      </c>
    </row>
    <row r="7183">
      <c r="A7183" s="2" t="inlineStr">
        <is>
          <t>2026-05-28</t>
        </is>
      </c>
      <c r="B7183" s="3" t="inlineStr">
        <is>
          <t>엑스페릭스</t>
        </is>
      </c>
      <c r="C7183" s="2" t="inlineStr">
        <is>
          <t>코스닥</t>
        </is>
      </c>
      <c r="D7183" s="2" t="inlineStr">
        <is>
          <t>317770</t>
        </is>
      </c>
      <c r="E7183" s="3" t="inlineStr">
        <is>
          <t>신주인수권부사채(해외신주인수권부사채포함)발행후만기전사채취득              (제2회차)</t>
        </is>
      </c>
      <c r="F7183" s="3" t="inlineStr">
        <is>
          <t>엑스페릭스</t>
        </is>
      </c>
      <c r="G7183" s="2" t="inlineStr">
        <is>
          <t>20260528900734</t>
        </is>
      </c>
      <c r="H7183" s="8">
        <f>HYPERLINK("https://dart.fss.or.kr/dsaf001/main.do?rcpNo=20260528900734", "공시열람")</f>
        <v/>
      </c>
    </row>
    <row r="7184">
      <c r="A7184" s="2" t="inlineStr">
        <is>
          <t>2026-05-28</t>
        </is>
      </c>
      <c r="B7184" s="3" t="inlineStr">
        <is>
          <t>티와이홀딩스</t>
        </is>
      </c>
      <c r="C7184" s="2" t="inlineStr">
        <is>
          <t>코스피</t>
        </is>
      </c>
      <c r="D7184" s="2" t="inlineStr">
        <is>
          <t>363280</t>
        </is>
      </c>
      <c r="E7184" s="3" t="inlineStr">
        <is>
          <t>대규모기업집단현황공시[연1회(동일인용)]</t>
        </is>
      </c>
      <c r="F7184" s="3" t="inlineStr">
        <is>
          <t>윤세영</t>
        </is>
      </c>
      <c r="G7184" s="2" t="inlineStr">
        <is>
          <t>20260528000725</t>
        </is>
      </c>
      <c r="H7184" s="8">
        <f>HYPERLINK("https://dart.fss.or.kr/dsaf001/main.do?rcpNo=20260528000725", "공시열람")</f>
        <v/>
      </c>
    </row>
    <row r="7185">
      <c r="A7185" s="2" t="inlineStr">
        <is>
          <t>2026-05-28</t>
        </is>
      </c>
      <c r="B7185" s="3" t="inlineStr">
        <is>
          <t>나라스페이스테크놀로지</t>
        </is>
      </c>
      <c r="C7185" s="2" t="inlineStr">
        <is>
          <t>코스닥</t>
        </is>
      </c>
      <c r="D7185" s="2" t="inlineStr">
        <is>
          <t>478340</t>
        </is>
      </c>
      <c r="E7185" s="3" t="inlineStr">
        <is>
          <t>[기재정정]임원ㆍ주요주주특정증권등소유상황보고서</t>
        </is>
      </c>
      <c r="F7185" s="3" t="inlineStr">
        <is>
          <t>김민식</t>
        </is>
      </c>
      <c r="G7185" s="2" t="inlineStr">
        <is>
          <t>20260528000723</t>
        </is>
      </c>
      <c r="H7185" s="8">
        <f>HYPERLINK("https://dart.fss.or.kr/dsaf001/main.do?rcpNo=20260528000723", "공시열람")</f>
        <v/>
      </c>
    </row>
    <row r="7186">
      <c r="A7186" s="2" t="inlineStr">
        <is>
          <t>2026-05-28</t>
        </is>
      </c>
      <c r="B7186" s="3" t="inlineStr">
        <is>
          <t>한국파마</t>
        </is>
      </c>
      <c r="C7186" s="2" t="inlineStr">
        <is>
          <t>코스닥</t>
        </is>
      </c>
      <c r="D7186" s="2" t="inlineStr">
        <is>
          <t>032300</t>
        </is>
      </c>
      <c r="E7186" s="3" t="inlineStr">
        <is>
          <t xml:space="preserve">전환사채(해외전환사채포함)발행후만기전사채취득              </t>
        </is>
      </c>
      <c r="F7186" s="3" t="inlineStr">
        <is>
          <t>한국파마</t>
        </is>
      </c>
      <c r="G7186" s="2" t="inlineStr">
        <is>
          <t>20260528900782</t>
        </is>
      </c>
      <c r="H7186" s="8">
        <f>HYPERLINK("https://dart.fss.or.kr/dsaf001/main.do?rcpNo=20260528900782", "공시열람")</f>
        <v/>
      </c>
    </row>
    <row r="7187">
      <c r="A7187" s="2" t="inlineStr">
        <is>
          <t>2026-05-28 (정정: 2026-06-01)</t>
        </is>
      </c>
      <c r="B7187" s="3" t="inlineStr">
        <is>
          <t>아스트</t>
        </is>
      </c>
      <c r="C7187" s="2" t="inlineStr">
        <is>
          <t>코스닥</t>
        </is>
      </c>
      <c r="D7187" s="2" t="inlineStr">
        <is>
          <t>067390</t>
        </is>
      </c>
      <c r="E7187" s="3" t="inlineStr">
        <is>
          <t>주주명부폐쇄기간또는기준일설정               (정정: 20260601)</t>
        </is>
      </c>
      <c r="F7187" s="3" t="inlineStr">
        <is>
          <t>아스트</t>
        </is>
      </c>
      <c r="G7187" s="2" t="inlineStr">
        <is>
          <t>20260601901507</t>
        </is>
      </c>
      <c r="H7187" s="8">
        <f>HYPERLINK("https://dart.fss.or.kr/dsaf001/main.do?rcpNo=20260601901507", "공시열람")</f>
        <v/>
      </c>
    </row>
    <row r="7188">
      <c r="A7188" s="2" t="inlineStr">
        <is>
          <t>2026-05-28</t>
        </is>
      </c>
      <c r="B7188" s="3" t="inlineStr">
        <is>
          <t>한국파마</t>
        </is>
      </c>
      <c r="C7188" s="2" t="inlineStr">
        <is>
          <t>코스닥</t>
        </is>
      </c>
      <c r="D7188" s="2" t="inlineStr">
        <is>
          <t>032300</t>
        </is>
      </c>
      <c r="E7188" s="3" t="inlineStr">
        <is>
          <t xml:space="preserve">증권발행결과(자율공시)              </t>
        </is>
      </c>
      <c r="F7188" s="3" t="inlineStr">
        <is>
          <t>한국파마</t>
        </is>
      </c>
      <c r="G7188" s="2" t="inlineStr">
        <is>
          <t>20260528900765</t>
        </is>
      </c>
      <c r="H7188" s="8">
        <f>HYPERLINK("https://dart.fss.or.kr/dsaf001/main.do?rcpNo=20260528900765", "공시열람")</f>
        <v/>
      </c>
    </row>
    <row r="7189">
      <c r="A7189" s="2" t="inlineStr">
        <is>
          <t>2026-05-28</t>
        </is>
      </c>
      <c r="B7189" s="3" t="inlineStr">
        <is>
          <t>아스트</t>
        </is>
      </c>
      <c r="C7189" s="2" t="inlineStr">
        <is>
          <t>코스닥</t>
        </is>
      </c>
      <c r="D7189" s="2" t="inlineStr">
        <is>
          <t>067390</t>
        </is>
      </c>
      <c r="E7189" s="3" t="inlineStr">
        <is>
          <t xml:space="preserve">주식병합결정              </t>
        </is>
      </c>
      <c r="F7189" s="3" t="inlineStr">
        <is>
          <t>아스트</t>
        </is>
      </c>
      <c r="G7189" s="2" t="inlineStr">
        <is>
          <t>20260528900599</t>
        </is>
      </c>
      <c r="H7189" s="8">
        <f>HYPERLINK("https://dart.fss.or.kr/dsaf001/main.do?rcpNo=20260528900599", "공시열람")</f>
        <v/>
      </c>
    </row>
    <row r="7190">
      <c r="A7190" s="2" t="inlineStr">
        <is>
          <t>2026-05-28</t>
        </is>
      </c>
      <c r="B7190" s="3" t="inlineStr">
        <is>
          <t>넥스틸</t>
        </is>
      </c>
      <c r="C7190" s="2" t="inlineStr">
        <is>
          <t>코스피</t>
        </is>
      </c>
      <c r="D7190" s="2" t="inlineStr">
        <is>
          <t>092790</t>
        </is>
      </c>
      <c r="E7190" s="3" t="inlineStr">
        <is>
          <t>임원ㆍ주요주주특정증권등소유상황보고서</t>
        </is>
      </c>
      <c r="F7190" s="3" t="inlineStr">
        <is>
          <t>금동직</t>
        </is>
      </c>
      <c r="G7190" s="2" t="inlineStr">
        <is>
          <t>20260528000714</t>
        </is>
      </c>
      <c r="H7190" s="8">
        <f>HYPERLINK("https://dart.fss.or.kr/dsaf001/main.do?rcpNo=20260528000714", "공시열람")</f>
        <v/>
      </c>
    </row>
    <row r="7191">
      <c r="A7191" s="2" t="inlineStr">
        <is>
          <t>2026-05-28</t>
        </is>
      </c>
      <c r="B7191" s="3" t="inlineStr">
        <is>
          <t>RF시스템즈</t>
        </is>
      </c>
      <c r="C7191" s="2" t="inlineStr">
        <is>
          <t>코스닥</t>
        </is>
      </c>
      <c r="D7191" s="2" t="inlineStr">
        <is>
          <t>474610</t>
        </is>
      </c>
      <c r="E7191" s="3" t="inlineStr">
        <is>
          <t>임원ㆍ주요주주특정증권등소유상황보고서</t>
        </is>
      </c>
      <c r="F7191" s="3" t="inlineStr">
        <is>
          <t>한기우</t>
        </is>
      </c>
      <c r="G7191" s="2" t="inlineStr">
        <is>
          <t>20260528000713</t>
        </is>
      </c>
      <c r="H7191" s="8">
        <f>HYPERLINK("https://dart.fss.or.kr/dsaf001/main.do?rcpNo=20260528000713", "공시열람")</f>
        <v/>
      </c>
    </row>
    <row r="7192">
      <c r="A7192" s="2" t="inlineStr">
        <is>
          <t>2026-05-28</t>
        </is>
      </c>
      <c r="B7192" s="3" t="inlineStr">
        <is>
          <t>삼천리</t>
        </is>
      </c>
      <c r="C7192" s="2" t="inlineStr">
        <is>
          <t>코스피</t>
        </is>
      </c>
      <c r="D7192" s="2" t="inlineStr">
        <is>
          <t>004690</t>
        </is>
      </c>
      <c r="E7192" s="3" t="inlineStr">
        <is>
          <t>대규모기업집단현황공시[연1회공시및1/4분기용(대표회사)]</t>
        </is>
      </c>
      <c r="F7192" s="3" t="inlineStr">
        <is>
          <t>삼천리</t>
        </is>
      </c>
      <c r="G7192" s="2" t="inlineStr">
        <is>
          <t>20260528000710</t>
        </is>
      </c>
      <c r="H7192" s="8">
        <f>HYPERLINK("https://dart.fss.or.kr/dsaf001/main.do?rcpNo=20260528000710", "공시열람")</f>
        <v/>
      </c>
    </row>
    <row r="7193">
      <c r="A7193" s="2" t="inlineStr">
        <is>
          <t>2026-05-28 (정정: 2026-06-10)</t>
        </is>
      </c>
      <c r="B7193" s="3" t="inlineStr">
        <is>
          <t>카카오</t>
        </is>
      </c>
      <c r="C7193" s="2" t="inlineStr">
        <is>
          <t>코스피</t>
        </is>
      </c>
      <c r="D7193" s="2" t="inlineStr">
        <is>
          <t>035720</t>
        </is>
      </c>
      <c r="E7193" s="3" t="inlineStr">
        <is>
          <t>기업지배구조보고서공시               (정정: 20260601) (정정: 20260610)</t>
        </is>
      </c>
      <c r="F7193" s="3" t="inlineStr">
        <is>
          <t>카카오</t>
        </is>
      </c>
      <c r="G7193" s="2" t="inlineStr">
        <is>
          <t>20260610000659</t>
        </is>
      </c>
      <c r="H7193" s="8">
        <f>HYPERLINK("https://dart.fss.or.kr/dsaf001/main.do?rcpNo=20260610000659", "공시열람")</f>
        <v/>
      </c>
    </row>
    <row r="7194">
      <c r="A7194" s="2" t="inlineStr">
        <is>
          <t>2026-05-28</t>
        </is>
      </c>
      <c r="B7194" s="3" t="inlineStr">
        <is>
          <t>현대로템</t>
        </is>
      </c>
      <c r="C7194" s="2" t="inlineStr">
        <is>
          <t>코스피</t>
        </is>
      </c>
      <c r="D7194" s="2" t="inlineStr">
        <is>
          <t>064350</t>
        </is>
      </c>
      <c r="E7194" s="3" t="inlineStr">
        <is>
          <t xml:space="preserve">기업지배구조보고서공시              </t>
        </is>
      </c>
      <c r="F7194" s="3" t="inlineStr">
        <is>
          <t>현대로템</t>
        </is>
      </c>
      <c r="G7194" s="2" t="inlineStr">
        <is>
          <t>20260528800743</t>
        </is>
      </c>
      <c r="H7194" s="8">
        <f>HYPERLINK("https://dart.fss.or.kr/dsaf001/main.do?rcpNo=20260528800743", "공시열람")</f>
        <v/>
      </c>
    </row>
    <row r="7195">
      <c r="A7195" s="2" t="inlineStr">
        <is>
          <t>2026-05-28</t>
        </is>
      </c>
      <c r="B7195" s="3" t="inlineStr">
        <is>
          <t>카카오</t>
        </is>
      </c>
      <c r="C7195" s="2" t="inlineStr">
        <is>
          <t>코스피</t>
        </is>
      </c>
      <c r="D7195" s="2" t="inlineStr">
        <is>
          <t>035720</t>
        </is>
      </c>
      <c r="E7195" s="3" t="inlineStr">
        <is>
          <t>임원ㆍ주요주주특정증권등소유상황보고서</t>
        </is>
      </c>
      <c r="F7195" s="3" t="inlineStr">
        <is>
          <t>윤영진</t>
        </is>
      </c>
      <c r="G7195" s="2" t="inlineStr">
        <is>
          <t>20260528000707</t>
        </is>
      </c>
      <c r="H7195" s="8">
        <f>HYPERLINK("https://dart.fss.or.kr/dsaf001/main.do?rcpNo=20260528000707", "공시열람")</f>
        <v/>
      </c>
    </row>
    <row r="7196">
      <c r="A7196" s="2" t="inlineStr">
        <is>
          <t>2026-05-28</t>
        </is>
      </c>
      <c r="B7196" s="3" t="inlineStr">
        <is>
          <t>대교</t>
        </is>
      </c>
      <c r="C7196" s="2" t="inlineStr">
        <is>
          <t>코스피</t>
        </is>
      </c>
      <c r="D7196" s="2" t="inlineStr">
        <is>
          <t>019680</t>
        </is>
      </c>
      <c r="E7196" s="3" t="inlineStr">
        <is>
          <t>자기주식처분결과보고서</t>
        </is>
      </c>
      <c r="F7196" s="3" t="inlineStr">
        <is>
          <t>대교</t>
        </is>
      </c>
      <c r="G7196" s="2" t="inlineStr">
        <is>
          <t>20260528000704</t>
        </is>
      </c>
      <c r="H7196" s="8">
        <f>HYPERLINK("https://dart.fss.or.kr/dsaf001/main.do?rcpNo=20260528000704", "공시열람")</f>
        <v/>
      </c>
    </row>
    <row r="7197">
      <c r="A7197" s="2" t="inlineStr">
        <is>
          <t>2026-05-28</t>
        </is>
      </c>
      <c r="B7197" s="3" t="inlineStr">
        <is>
          <t>앱튼</t>
        </is>
      </c>
      <c r="C7197" s="2" t="inlineStr">
        <is>
          <t>코스닥</t>
        </is>
      </c>
      <c r="D7197" s="2" t="inlineStr">
        <is>
          <t>270520</t>
        </is>
      </c>
      <c r="E7197" s="3" t="inlineStr">
        <is>
          <t>임원ㆍ주요주주특정증권등소유상황보고서</t>
        </is>
      </c>
      <c r="F7197" s="3" t="inlineStr">
        <is>
          <t>에이프로젠</t>
        </is>
      </c>
      <c r="G7197" s="2" t="inlineStr">
        <is>
          <t>20260528000703</t>
        </is>
      </c>
      <c r="H7197" s="8">
        <f>HYPERLINK("https://dart.fss.or.kr/dsaf001/main.do?rcpNo=20260528000703", "공시열람")</f>
        <v/>
      </c>
    </row>
    <row r="7198">
      <c r="A7198" s="2" t="inlineStr">
        <is>
          <t>2026-05-28 (정정: 2026-05-28)</t>
        </is>
      </c>
      <c r="B7198" s="3" t="inlineStr">
        <is>
          <t>BNK금융지주</t>
        </is>
      </c>
      <c r="C7198" s="2" t="inlineStr">
        <is>
          <t>코스피</t>
        </is>
      </c>
      <c r="D7198" s="2" t="inlineStr">
        <is>
          <t>138930</t>
        </is>
      </c>
      <c r="E7198" s="3" t="inlineStr">
        <is>
          <t>증권발행실적보고서 (정정: 20260528)</t>
        </is>
      </c>
      <c r="F7198" s="3" t="inlineStr">
        <is>
          <t>BNK금융지주</t>
        </is>
      </c>
      <c r="G7198" s="2" t="inlineStr">
        <is>
          <t>20260528800630</t>
        </is>
      </c>
      <c r="H7198" s="8">
        <f>HYPERLINK("https://dart.fss.or.kr/dsaf001/main.do?rcpNo=20260528800630", "공시열람")</f>
        <v/>
      </c>
    </row>
    <row r="7199">
      <c r="A7199" s="2" t="inlineStr">
        <is>
          <t>2026-05-28</t>
        </is>
      </c>
      <c r="B7199" s="3" t="inlineStr">
        <is>
          <t>오텍</t>
        </is>
      </c>
      <c r="C7199" s="2" t="inlineStr">
        <is>
          <t>코스닥</t>
        </is>
      </c>
      <c r="D7199" s="2" t="inlineStr">
        <is>
          <t>067170</t>
        </is>
      </c>
      <c r="E7199" s="3" t="inlineStr">
        <is>
          <t>신주인수권행사              (제13회차)</t>
        </is>
      </c>
      <c r="F7199" s="3" t="inlineStr">
        <is>
          <t>오텍</t>
        </is>
      </c>
      <c r="G7199" s="2" t="inlineStr">
        <is>
          <t>20260528900715</t>
        </is>
      </c>
      <c r="H7199" s="8">
        <f>HYPERLINK("https://dart.fss.or.kr/dsaf001/main.do?rcpNo=20260528900715", "공시열람")</f>
        <v/>
      </c>
    </row>
    <row r="7200">
      <c r="A7200" s="2" t="inlineStr">
        <is>
          <t>2026-05-28</t>
        </is>
      </c>
      <c r="B7200" s="3" t="inlineStr">
        <is>
          <t>성신양회</t>
        </is>
      </c>
      <c r="C7200" s="2" t="inlineStr">
        <is>
          <t>코스피</t>
        </is>
      </c>
      <c r="D7200" s="2" t="inlineStr">
        <is>
          <t>004980</t>
        </is>
      </c>
      <c r="E7200" s="3" t="inlineStr">
        <is>
          <t xml:space="preserve">기업지배구조보고서공시              </t>
        </is>
      </c>
      <c r="F7200" s="3" t="inlineStr">
        <is>
          <t>성신양회</t>
        </is>
      </c>
      <c r="G7200" s="2" t="inlineStr">
        <is>
          <t>20260528800732</t>
        </is>
      </c>
      <c r="H7200" s="8">
        <f>HYPERLINK("https://dart.fss.or.kr/dsaf001/main.do?rcpNo=20260528800732", "공시열람")</f>
        <v/>
      </c>
    </row>
    <row r="7201">
      <c r="A7201" s="2" t="inlineStr">
        <is>
          <t>2026-05-28</t>
        </is>
      </c>
      <c r="B7201" s="3" t="inlineStr">
        <is>
          <t>금양그린파워</t>
        </is>
      </c>
      <c r="C7201" s="2" t="inlineStr">
        <is>
          <t>코스닥</t>
        </is>
      </c>
      <c r="D7201" s="2" t="inlineStr">
        <is>
          <t>282720</t>
        </is>
      </c>
      <c r="E7201" s="3" t="inlineStr">
        <is>
          <t>주요사항보고서(자기주식처분결정)</t>
        </is>
      </c>
      <c r="F7201" s="3" t="inlineStr">
        <is>
          <t>금양그린파워</t>
        </is>
      </c>
      <c r="G7201" s="2" t="inlineStr">
        <is>
          <t>20260528000678</t>
        </is>
      </c>
      <c r="H7201" s="8">
        <f>HYPERLINK("https://dart.fss.or.kr/dsaf001/main.do?rcpNo=20260528000678", "공시열람")</f>
        <v/>
      </c>
    </row>
    <row r="7202">
      <c r="A7202" s="2" t="inlineStr">
        <is>
          <t>2026-05-28</t>
        </is>
      </c>
      <c r="B7202" s="3" t="inlineStr">
        <is>
          <t>플루토스</t>
        </is>
      </c>
      <c r="C7202" s="2" t="inlineStr">
        <is>
          <t>코스닥</t>
        </is>
      </c>
      <c r="D7202" s="2" t="inlineStr">
        <is>
          <t>019570</t>
        </is>
      </c>
      <c r="E7202" s="3" t="inlineStr">
        <is>
          <t>[기재정정]주요사항보고서(감자결정)</t>
        </is>
      </c>
      <c r="F7202" s="3" t="inlineStr">
        <is>
          <t>플루토스</t>
        </is>
      </c>
      <c r="G7202" s="2" t="inlineStr">
        <is>
          <t>20260528000626</t>
        </is>
      </c>
      <c r="H7202" s="8">
        <f>HYPERLINK("https://dart.fss.or.kr/dsaf001/main.do?rcpNo=20260528000626", "공시열람")</f>
        <v/>
      </c>
    </row>
    <row r="7203">
      <c r="A7203" s="2" t="inlineStr">
        <is>
          <t>2026-05-28</t>
        </is>
      </c>
      <c r="B7203" s="3" t="inlineStr">
        <is>
          <t>NICE</t>
        </is>
      </c>
      <c r="C7203" s="2" t="inlineStr">
        <is>
          <t>코스피</t>
        </is>
      </c>
      <c r="D7203" s="2" t="inlineStr">
        <is>
          <t>034310</t>
        </is>
      </c>
      <c r="E7203" s="3" t="inlineStr">
        <is>
          <t xml:space="preserve">기업지배구조보고서공시              </t>
        </is>
      </c>
      <c r="F7203" s="3" t="inlineStr">
        <is>
          <t>NICE</t>
        </is>
      </c>
      <c r="G7203" s="2" t="inlineStr">
        <is>
          <t>20260528800699</t>
        </is>
      </c>
      <c r="H7203" s="8">
        <f>HYPERLINK("https://dart.fss.or.kr/dsaf001/main.do?rcpNo=20260528800699", "공시열람")</f>
        <v/>
      </c>
    </row>
    <row r="7204">
      <c r="A7204" s="2" t="inlineStr">
        <is>
          <t>2026-05-28</t>
        </is>
      </c>
      <c r="B7204" s="3" t="inlineStr">
        <is>
          <t>마니커</t>
        </is>
      </c>
      <c r="C7204" s="2" t="inlineStr">
        <is>
          <t>코스피</t>
        </is>
      </c>
      <c r="D7204" s="2" t="inlineStr">
        <is>
          <t>027740</t>
        </is>
      </c>
      <c r="E7204" s="3" t="inlineStr">
        <is>
          <t>임원ㆍ주요주주특정증권등소유상황보고서</t>
        </is>
      </c>
      <c r="F7204" s="3" t="inlineStr">
        <is>
          <t>이지홀딩스</t>
        </is>
      </c>
      <c r="G7204" s="2" t="inlineStr">
        <is>
          <t>20260528000691</t>
        </is>
      </c>
      <c r="H7204" s="8">
        <f>HYPERLINK("https://dart.fss.or.kr/dsaf001/main.do?rcpNo=20260528000691", "공시열람")</f>
        <v/>
      </c>
    </row>
    <row r="7205">
      <c r="A7205" s="2" t="inlineStr">
        <is>
          <t>2026-05-28</t>
        </is>
      </c>
      <c r="B7205" s="3" t="inlineStr">
        <is>
          <t>유안타증권</t>
        </is>
      </c>
      <c r="C7205" s="2" t="inlineStr">
        <is>
          <t>코스피</t>
        </is>
      </c>
      <c r="D7205" s="2" t="inlineStr">
        <is>
          <t>003470</t>
        </is>
      </c>
      <c r="E7205" s="3" t="inlineStr">
        <is>
          <t>임원ㆍ주요주주특정증권등소유상황보고서</t>
        </is>
      </c>
      <c r="F7205" s="3" t="inlineStr">
        <is>
          <t>조우진</t>
        </is>
      </c>
      <c r="G7205" s="2" t="inlineStr">
        <is>
          <t>20260528000685</t>
        </is>
      </c>
      <c r="H7205" s="8">
        <f>HYPERLINK("https://dart.fss.or.kr/dsaf001/main.do?rcpNo=20260528000685", "공시열람")</f>
        <v/>
      </c>
    </row>
    <row r="7206">
      <c r="A7206" s="2" t="inlineStr">
        <is>
          <t>2026-05-28</t>
        </is>
      </c>
      <c r="B7206" s="3" t="inlineStr">
        <is>
          <t>소룩스</t>
        </is>
      </c>
      <c r="C7206" s="2" t="inlineStr">
        <is>
          <t>코스닥</t>
        </is>
      </c>
      <c r="D7206" s="2" t="inlineStr">
        <is>
          <t>290690</t>
        </is>
      </c>
      <c r="E7206" s="3" t="inlineStr">
        <is>
          <t>전환청구권행사              (제2회차, 제3회차)</t>
        </is>
      </c>
      <c r="F7206" s="3" t="inlineStr">
        <is>
          <t>소룩스</t>
        </is>
      </c>
      <c r="G7206" s="2" t="inlineStr">
        <is>
          <t>20260528900576</t>
        </is>
      </c>
      <c r="H7206" s="8">
        <f>HYPERLINK("https://dart.fss.or.kr/dsaf001/main.do?rcpNo=20260528900576", "공시열람")</f>
        <v/>
      </c>
    </row>
    <row r="7207">
      <c r="A7207" s="2" t="inlineStr">
        <is>
          <t>2026-05-28</t>
        </is>
      </c>
      <c r="B7207" s="3" t="inlineStr">
        <is>
          <t>미래엔에듀파트너</t>
        </is>
      </c>
      <c r="C7207" s="2" t="inlineStr">
        <is>
          <t>코넥스</t>
        </is>
      </c>
      <c r="D7207" s="2" t="inlineStr">
        <is>
          <t>208890</t>
        </is>
      </c>
      <c r="E7207" s="3" t="inlineStr">
        <is>
          <t xml:space="preserve">기업설명회(IR)개최결과              </t>
        </is>
      </c>
      <c r="F7207" s="3" t="inlineStr">
        <is>
          <t>미래엔에듀파트너</t>
        </is>
      </c>
      <c r="G7207" s="2" t="inlineStr">
        <is>
          <t>20260528600650</t>
        </is>
      </c>
      <c r="H7207" s="8">
        <f>HYPERLINK("https://dart.fss.or.kr/dsaf001/main.do?rcpNo=20260528600650", "공시열람")</f>
        <v/>
      </c>
    </row>
    <row r="7208">
      <c r="A7208" s="2" t="inlineStr">
        <is>
          <t>2026-05-28</t>
        </is>
      </c>
      <c r="B7208" s="3" t="inlineStr">
        <is>
          <t>코스맥스비티아이</t>
        </is>
      </c>
      <c r="C7208" s="2" t="inlineStr">
        <is>
          <t>코스피</t>
        </is>
      </c>
      <c r="D7208" s="2" t="inlineStr">
        <is>
          <t>044820</t>
        </is>
      </c>
      <c r="E7208" s="3" t="inlineStr">
        <is>
          <t>임원ㆍ주요주주특정증권등소유상황보고서</t>
        </is>
      </c>
      <c r="F7208" s="3" t="inlineStr">
        <is>
          <t>서성석</t>
        </is>
      </c>
      <c r="G7208" s="2" t="inlineStr">
        <is>
          <t>20260528000675</t>
        </is>
      </c>
      <c r="H7208" s="8">
        <f>HYPERLINK("https://dart.fss.or.kr/dsaf001/main.do?rcpNo=20260528000675", "공시열람")</f>
        <v/>
      </c>
    </row>
    <row r="7209">
      <c r="A7209" s="2" t="inlineStr">
        <is>
          <t>2026-05-28</t>
        </is>
      </c>
      <c r="B7209" s="3" t="inlineStr">
        <is>
          <t>인바이오젠</t>
        </is>
      </c>
      <c r="C7209" s="2" t="inlineStr">
        <is>
          <t>코스피</t>
        </is>
      </c>
      <c r="D7209" s="2" t="inlineStr">
        <is>
          <t>101140</t>
        </is>
      </c>
      <c r="E7209" s="3" t="inlineStr">
        <is>
          <t xml:space="preserve">기업지배구조보고서공시              </t>
        </is>
      </c>
      <c r="F7209" s="3" t="inlineStr">
        <is>
          <t>인바이오젠</t>
        </is>
      </c>
      <c r="G7209" s="2" t="inlineStr">
        <is>
          <t>20260528800691</t>
        </is>
      </c>
      <c r="H7209" s="8">
        <f>HYPERLINK("https://dart.fss.or.kr/dsaf001/main.do?rcpNo=20260528800691", "공시열람")</f>
        <v/>
      </c>
    </row>
    <row r="7210">
      <c r="A7210" s="2" t="inlineStr">
        <is>
          <t>2026-05-28</t>
        </is>
      </c>
      <c r="B7210" s="3" t="inlineStr">
        <is>
          <t>와이즈버즈</t>
        </is>
      </c>
      <c r="C7210" s="2" t="inlineStr">
        <is>
          <t>코스닥</t>
        </is>
      </c>
      <c r="D7210" s="2" t="inlineStr">
        <is>
          <t>273060</t>
        </is>
      </c>
      <c r="E7210" s="3" t="inlineStr">
        <is>
          <t xml:space="preserve">전환사채(해외전환사채포함)발행후만기전사채취득              </t>
        </is>
      </c>
      <c r="F7210" s="3" t="inlineStr">
        <is>
          <t>와이즈버즈</t>
        </is>
      </c>
      <c r="G7210" s="2" t="inlineStr">
        <is>
          <t>20260528900696</t>
        </is>
      </c>
      <c r="H7210" s="8">
        <f>HYPERLINK("https://dart.fss.or.kr/dsaf001/main.do?rcpNo=20260528900696", "공시열람")</f>
        <v/>
      </c>
    </row>
    <row r="7211">
      <c r="A7211" s="2" t="inlineStr">
        <is>
          <t>2026-05-28 (정정: 2026-06-05)</t>
        </is>
      </c>
      <c r="B7211" s="3" t="inlineStr">
        <is>
          <t>큐라클</t>
        </is>
      </c>
      <c r="C7211" s="2" t="inlineStr">
        <is>
          <t>코스닥</t>
        </is>
      </c>
      <c r="D7211" s="2" t="inlineStr">
        <is>
          <t>365270</t>
        </is>
      </c>
      <c r="E7211" s="3" t="inlineStr">
        <is>
          <t>전환가액의조정              (제1회차) (정정: 20260605)</t>
        </is>
      </c>
      <c r="F7211" s="3" t="inlineStr">
        <is>
          <t>큐라클</t>
        </is>
      </c>
      <c r="G7211" s="2" t="inlineStr">
        <is>
          <t>20260605900221</t>
        </is>
      </c>
      <c r="H7211" s="8">
        <f>HYPERLINK("https://dart.fss.or.kr/dsaf001/main.do?rcpNo=20260605900221", "공시열람")</f>
        <v/>
      </c>
    </row>
    <row r="7212">
      <c r="A7212" s="2" t="inlineStr">
        <is>
          <t>2026-05-28</t>
        </is>
      </c>
      <c r="B7212" s="3" t="inlineStr">
        <is>
          <t>포스코퓨처엠</t>
        </is>
      </c>
      <c r="C7212" s="2" t="inlineStr">
        <is>
          <t>코스피</t>
        </is>
      </c>
      <c r="D7212" s="2" t="inlineStr">
        <is>
          <t>003670</t>
        </is>
      </c>
      <c r="E7212" s="3" t="inlineStr">
        <is>
          <t>대규모기업집단현황공시[연1회공시및1/4분기용(개별회사)]</t>
        </is>
      </c>
      <c r="F7212" s="3" t="inlineStr">
        <is>
          <t>포스코퓨처엠</t>
        </is>
      </c>
      <c r="G7212" s="2" t="inlineStr">
        <is>
          <t>20260528000667</t>
        </is>
      </c>
      <c r="H7212" s="8">
        <f>HYPERLINK("https://dart.fss.or.kr/dsaf001/main.do?rcpNo=20260528000667", "공시열람")</f>
        <v/>
      </c>
    </row>
    <row r="7213">
      <c r="A7213" s="2" t="inlineStr">
        <is>
          <t>2026-05-28</t>
        </is>
      </c>
      <c r="B7213" s="3" t="inlineStr">
        <is>
          <t>HLB바이오스텝</t>
        </is>
      </c>
      <c r="C7213" s="2" t="inlineStr">
        <is>
          <t>코스닥</t>
        </is>
      </c>
      <c r="D7213" s="2" t="inlineStr">
        <is>
          <t>278650</t>
        </is>
      </c>
      <c r="E7213" s="3" t="inlineStr">
        <is>
          <t>임원ㆍ주요주주특정증권등소유상황보고서</t>
        </is>
      </c>
      <c r="F7213" s="3" t="inlineStr">
        <is>
          <t>김명진</t>
        </is>
      </c>
      <c r="G7213" s="2" t="inlineStr">
        <is>
          <t>20260528000666</t>
        </is>
      </c>
      <c r="H7213" s="8">
        <f>HYPERLINK("https://dart.fss.or.kr/dsaf001/main.do?rcpNo=20260528000666", "공시열람")</f>
        <v/>
      </c>
    </row>
    <row r="7214">
      <c r="A7214" s="2" t="inlineStr">
        <is>
          <t>2026-05-28</t>
        </is>
      </c>
      <c r="B7214" s="3" t="inlineStr">
        <is>
          <t>삼익악기</t>
        </is>
      </c>
      <c r="C7214" s="2" t="inlineStr">
        <is>
          <t>코스피</t>
        </is>
      </c>
      <c r="D7214" s="2" t="inlineStr">
        <is>
          <t>002450</t>
        </is>
      </c>
      <c r="E7214" s="3" t="inlineStr">
        <is>
          <t>임원ㆍ주요주주특정증권등소유상황보고서</t>
        </is>
      </c>
      <c r="F7214" s="3" t="inlineStr">
        <is>
          <t>재단법인 삼익문화재단</t>
        </is>
      </c>
      <c r="G7214" s="2" t="inlineStr">
        <is>
          <t>20260528000665</t>
        </is>
      </c>
      <c r="H7214" s="8">
        <f>HYPERLINK("https://dart.fss.or.kr/dsaf001/main.do?rcpNo=20260528000665", "공시열람")</f>
        <v/>
      </c>
    </row>
    <row r="7215">
      <c r="A7215" s="2" t="inlineStr">
        <is>
          <t>2026-05-28</t>
        </is>
      </c>
      <c r="B7215" s="3" t="inlineStr">
        <is>
          <t>차AI헬스케어</t>
        </is>
      </c>
      <c r="C7215" s="2" t="inlineStr">
        <is>
          <t>코스피</t>
        </is>
      </c>
      <c r="D7215" s="2" t="inlineStr">
        <is>
          <t>025620</t>
        </is>
      </c>
      <c r="E7215" s="3" t="inlineStr">
        <is>
          <t xml:space="preserve">기업지배구조보고서공시              </t>
        </is>
      </c>
      <c r="F7215" s="3" t="inlineStr">
        <is>
          <t>차AI헬스케어</t>
        </is>
      </c>
      <c r="G7215" s="2" t="inlineStr">
        <is>
          <t>20260528800678</t>
        </is>
      </c>
      <c r="H7215" s="8">
        <f>HYPERLINK("https://dart.fss.or.kr/dsaf001/main.do?rcpNo=20260528800678", "공시열람")</f>
        <v/>
      </c>
    </row>
    <row r="7216">
      <c r="A7216" s="2" t="inlineStr">
        <is>
          <t>2026-05-28</t>
        </is>
      </c>
      <c r="B7216" s="3" t="inlineStr">
        <is>
          <t>SK증권</t>
        </is>
      </c>
      <c r="C7216" s="2" t="inlineStr">
        <is>
          <t>코스피</t>
        </is>
      </c>
      <c r="D7216" s="2" t="inlineStr">
        <is>
          <t>001510</t>
        </is>
      </c>
      <c r="E7216" s="3" t="inlineStr">
        <is>
          <t>일괄신고추가서류(파생결합사채-주가연계파생결합사채)</t>
        </is>
      </c>
      <c r="F7216" s="3" t="inlineStr">
        <is>
          <t>SK증권</t>
        </is>
      </c>
      <c r="G7216" s="2" t="inlineStr">
        <is>
          <t>20260528000655</t>
        </is>
      </c>
      <c r="H7216" s="8">
        <f>HYPERLINK("https://dart.fss.or.kr/dsaf001/main.do?rcpNo=20260528000655", "공시열람")</f>
        <v/>
      </c>
    </row>
    <row r="7217">
      <c r="A7217" s="2" t="inlineStr">
        <is>
          <t>2026-05-28</t>
        </is>
      </c>
      <c r="B7217" s="3" t="inlineStr">
        <is>
          <t>코웨이</t>
        </is>
      </c>
      <c r="C7217" s="2" t="inlineStr">
        <is>
          <t>코스피</t>
        </is>
      </c>
      <c r="D7217" s="2" t="inlineStr">
        <is>
          <t>021240</t>
        </is>
      </c>
      <c r="E7217" s="3" t="inlineStr">
        <is>
          <t>임원ㆍ주요주주특정증권등소유상황보고서</t>
        </is>
      </c>
      <c r="F7217" s="3" t="inlineStr">
        <is>
          <t>방준혁</t>
        </is>
      </c>
      <c r="G7217" s="2" t="inlineStr">
        <is>
          <t>20260528000654</t>
        </is>
      </c>
      <c r="H7217" s="8">
        <f>HYPERLINK("https://dart.fss.or.kr/dsaf001/main.do?rcpNo=20260528000654", "공시열람")</f>
        <v/>
      </c>
    </row>
    <row r="7218">
      <c r="A7218" s="2" t="inlineStr">
        <is>
          <t>2026-05-28</t>
        </is>
      </c>
      <c r="B7218" s="3" t="inlineStr">
        <is>
          <t>제이에스코퍼레이션</t>
        </is>
      </c>
      <c r="C7218" s="2" t="inlineStr">
        <is>
          <t>코스피</t>
        </is>
      </c>
      <c r="D7218" s="2" t="inlineStr">
        <is>
          <t>194370</t>
        </is>
      </c>
      <c r="E7218" s="3" t="inlineStr">
        <is>
          <t xml:space="preserve">기업지배구조보고서공시              </t>
        </is>
      </c>
      <c r="F7218" s="3" t="inlineStr">
        <is>
          <t>제이에스코퍼레이션</t>
        </is>
      </c>
      <c r="G7218" s="2" t="inlineStr">
        <is>
          <t>20260528800666</t>
        </is>
      </c>
      <c r="H7218" s="8">
        <f>HYPERLINK("https://dart.fss.or.kr/dsaf001/main.do?rcpNo=20260528800666", "공시열람")</f>
        <v/>
      </c>
    </row>
    <row r="7219">
      <c r="A7219" s="2" t="inlineStr">
        <is>
          <t>2026-05-28</t>
        </is>
      </c>
      <c r="B7219" s="3" t="inlineStr">
        <is>
          <t>비비안</t>
        </is>
      </c>
      <c r="C7219" s="2" t="inlineStr">
        <is>
          <t>코스피</t>
        </is>
      </c>
      <c r="D7219" s="2" t="inlineStr">
        <is>
          <t>002070</t>
        </is>
      </c>
      <c r="E7219" s="3" t="inlineStr">
        <is>
          <t xml:space="preserve">유상증자또는주식관련사채등의발행결과(자율공시)              </t>
        </is>
      </c>
      <c r="F7219" s="3" t="inlineStr">
        <is>
          <t>비비안</t>
        </is>
      </c>
      <c r="G7219" s="2" t="inlineStr">
        <is>
          <t>20260528800612</t>
        </is>
      </c>
      <c r="H7219" s="8">
        <f>HYPERLINK("https://dart.fss.or.kr/dsaf001/main.do?rcpNo=20260528800612", "공시열람")</f>
        <v/>
      </c>
    </row>
    <row r="7220">
      <c r="A7220" s="2" t="inlineStr">
        <is>
          <t>2026-05-28</t>
        </is>
      </c>
      <c r="B7220" s="3" t="inlineStr">
        <is>
          <t>케이씨텍</t>
        </is>
      </c>
      <c r="C7220" s="2" t="inlineStr">
        <is>
          <t>코스피</t>
        </is>
      </c>
      <c r="D7220" s="2" t="inlineStr">
        <is>
          <t>281820</t>
        </is>
      </c>
      <c r="E7220" s="3" t="inlineStr">
        <is>
          <t xml:space="preserve">기업지배구조보고서공시              </t>
        </is>
      </c>
      <c r="F7220" s="3" t="inlineStr">
        <is>
          <t>케이씨텍</t>
        </is>
      </c>
      <c r="G7220" s="2" t="inlineStr">
        <is>
          <t>20260528800648</t>
        </is>
      </c>
      <c r="H7220" s="8">
        <f>HYPERLINK("https://dart.fss.or.kr/dsaf001/main.do?rcpNo=20260528800648", "공시열람")</f>
        <v/>
      </c>
    </row>
    <row r="7221">
      <c r="A7221" s="2" t="inlineStr">
        <is>
          <t>2026-05-28</t>
        </is>
      </c>
      <c r="B7221" s="3" t="inlineStr">
        <is>
          <t>RF시스템즈</t>
        </is>
      </c>
      <c r="C7221" s="2" t="inlineStr">
        <is>
          <t>코스닥</t>
        </is>
      </c>
      <c r="D7221" s="2" t="inlineStr">
        <is>
          <t>474610</t>
        </is>
      </c>
      <c r="E7221" s="3" t="inlineStr">
        <is>
          <t>임원ㆍ주요주주특정증권등소유상황보고서</t>
        </is>
      </c>
      <c r="F7221" s="3" t="inlineStr">
        <is>
          <t>차성일</t>
        </is>
      </c>
      <c r="G7221" s="2" t="inlineStr">
        <is>
          <t>20260528000642</t>
        </is>
      </c>
      <c r="H7221" s="8">
        <f>HYPERLINK("https://dart.fss.or.kr/dsaf001/main.do?rcpNo=20260528000642", "공시열람")</f>
        <v/>
      </c>
    </row>
    <row r="7222">
      <c r="A7222" s="2" t="inlineStr">
        <is>
          <t>2026-05-28</t>
        </is>
      </c>
      <c r="B7222" s="3" t="inlineStr">
        <is>
          <t>LG전자</t>
        </is>
      </c>
      <c r="C7222" s="2" t="inlineStr">
        <is>
          <t>코스피</t>
        </is>
      </c>
      <c r="D7222" s="2" t="inlineStr">
        <is>
          <t>066570</t>
        </is>
      </c>
      <c r="E7222" s="3" t="inlineStr">
        <is>
          <t>증권발행실적보고서</t>
        </is>
      </c>
      <c r="F7222" s="3" t="inlineStr">
        <is>
          <t>LG전자</t>
        </is>
      </c>
      <c r="G7222" s="2" t="inlineStr">
        <is>
          <t>20260528000640</t>
        </is>
      </c>
      <c r="H7222" s="8">
        <f>HYPERLINK("https://dart.fss.or.kr/dsaf001/main.do?rcpNo=20260528000640", "공시열람")</f>
        <v/>
      </c>
    </row>
    <row r="7223">
      <c r="A7223" s="2" t="inlineStr">
        <is>
          <t>2026-05-28</t>
        </is>
      </c>
      <c r="B7223" s="3" t="inlineStr">
        <is>
          <t>영진약품</t>
        </is>
      </c>
      <c r="C7223" s="2" t="inlineStr">
        <is>
          <t>코스피</t>
        </is>
      </c>
      <c r="D7223" s="2" t="inlineStr">
        <is>
          <t>003520</t>
        </is>
      </c>
      <c r="E7223" s="3" t="inlineStr">
        <is>
          <t xml:space="preserve">기업지배구조보고서공시              </t>
        </is>
      </c>
      <c r="F7223" s="3" t="inlineStr">
        <is>
          <t>영진약품</t>
        </is>
      </c>
      <c r="G7223" s="2" t="inlineStr">
        <is>
          <t>20260528800411</t>
        </is>
      </c>
      <c r="H7223" s="8">
        <f>HYPERLINK("https://dart.fss.or.kr/dsaf001/main.do?rcpNo=20260528800411", "공시열람")</f>
        <v/>
      </c>
    </row>
    <row r="7224">
      <c r="A7224" s="2" t="inlineStr">
        <is>
          <t>2026-05-28</t>
        </is>
      </c>
      <c r="B7224" s="3" t="inlineStr">
        <is>
          <t>PI첨단소재</t>
        </is>
      </c>
      <c r="C7224" s="2" t="inlineStr">
        <is>
          <t>코스피</t>
        </is>
      </c>
      <c r="D7224" s="2" t="inlineStr">
        <is>
          <t>178920</t>
        </is>
      </c>
      <c r="E7224" s="3" t="inlineStr">
        <is>
          <t xml:space="preserve">기업지배구조보고서공시              </t>
        </is>
      </c>
      <c r="F7224" s="3" t="inlineStr">
        <is>
          <t>PI첨단소재</t>
        </is>
      </c>
      <c r="G7224" s="2" t="inlineStr">
        <is>
          <t>20260528800643</t>
        </is>
      </c>
      <c r="H7224" s="8">
        <f>HYPERLINK("https://dart.fss.or.kr/dsaf001/main.do?rcpNo=20260528800643", "공시열람")</f>
        <v/>
      </c>
    </row>
    <row r="7225">
      <c r="A7225" s="2" t="inlineStr">
        <is>
          <t>2026-05-28</t>
        </is>
      </c>
      <c r="B7225" s="3" t="inlineStr">
        <is>
          <t>카나프테라퓨틱스</t>
        </is>
      </c>
      <c r="C7225" s="2" t="inlineStr">
        <is>
          <t>코스닥</t>
        </is>
      </c>
      <c r="D7225" s="2" t="inlineStr">
        <is>
          <t>0082N0</t>
        </is>
      </c>
      <c r="E7225" s="3" t="inlineStr">
        <is>
          <t>주식매수선택권부여에관한신고</t>
        </is>
      </c>
      <c r="F7225" s="3" t="inlineStr">
        <is>
          <t>카나프테라퓨틱스</t>
        </is>
      </c>
      <c r="G7225" s="2" t="inlineStr">
        <is>
          <t>20260528000634</t>
        </is>
      </c>
      <c r="H7225" s="8">
        <f>HYPERLINK("https://dart.fss.or.kr/dsaf001/main.do?rcpNo=20260528000634", "공시열람")</f>
        <v/>
      </c>
    </row>
    <row r="7226">
      <c r="A7226" s="2" t="inlineStr">
        <is>
          <t>2026-05-28</t>
        </is>
      </c>
      <c r="B7226" s="3" t="inlineStr">
        <is>
          <t>써니전자</t>
        </is>
      </c>
      <c r="C7226" s="2" t="inlineStr">
        <is>
          <t>코스피</t>
        </is>
      </c>
      <c r="D7226" s="2" t="inlineStr">
        <is>
          <t>004770</t>
        </is>
      </c>
      <c r="E7226" s="3" t="inlineStr">
        <is>
          <t xml:space="preserve">기업지배구조보고서공시              </t>
        </is>
      </c>
      <c r="F7226" s="3" t="inlineStr">
        <is>
          <t>써니전자</t>
        </is>
      </c>
      <c r="G7226" s="2" t="inlineStr">
        <is>
          <t>20260528800633</t>
        </is>
      </c>
      <c r="H7226" s="8">
        <f>HYPERLINK("https://dart.fss.or.kr/dsaf001/main.do?rcpNo=20260528800633", "공시열람")</f>
        <v/>
      </c>
    </row>
    <row r="7227">
      <c r="A7227" s="2" t="inlineStr">
        <is>
          <t>2026-05-28</t>
        </is>
      </c>
      <c r="B7227" s="3" t="inlineStr">
        <is>
          <t>더존비즈온</t>
        </is>
      </c>
      <c r="C7227" s="2" t="inlineStr">
        <is>
          <t>코스피</t>
        </is>
      </c>
      <c r="D7227" s="2" t="inlineStr">
        <is>
          <t>012510</t>
        </is>
      </c>
      <c r="E7227" s="3" t="inlineStr">
        <is>
          <t xml:space="preserve">기타경영사항(자율공시)              </t>
        </is>
      </c>
      <c r="F7227" s="3" t="inlineStr">
        <is>
          <t>더존비즈온</t>
        </is>
      </c>
      <c r="G7227" s="2" t="inlineStr">
        <is>
          <t>20260528800610</t>
        </is>
      </c>
      <c r="H7227" s="8">
        <f>HYPERLINK("https://dart.fss.or.kr/dsaf001/main.do?rcpNo=20260528800610", "공시열람")</f>
        <v/>
      </c>
    </row>
    <row r="7228">
      <c r="A7228" s="2" t="inlineStr">
        <is>
          <t>2026-05-28</t>
        </is>
      </c>
      <c r="B7228" s="3" t="inlineStr">
        <is>
          <t>SBI인베스트먼트</t>
        </is>
      </c>
      <c r="C7228" s="2" t="inlineStr">
        <is>
          <t>코스닥</t>
        </is>
      </c>
      <c r="D7228" s="2" t="inlineStr">
        <is>
          <t>019550</t>
        </is>
      </c>
      <c r="E7228" s="3" t="inlineStr">
        <is>
          <t>주권매매거래정지해제              (액면병합 주권 변경상장)</t>
        </is>
      </c>
      <c r="F7228" s="3" t="inlineStr">
        <is>
          <t>코스닥시장본부</t>
        </is>
      </c>
      <c r="G7228" s="2" t="inlineStr">
        <is>
          <t>20260528900595</t>
        </is>
      </c>
      <c r="H7228" s="8">
        <f>HYPERLINK("https://dart.fss.or.kr/dsaf001/main.do?rcpNo=20260528900595", "공시열람")</f>
        <v/>
      </c>
    </row>
    <row r="7229">
      <c r="A7229" s="2" t="inlineStr">
        <is>
          <t>2026-05-28</t>
        </is>
      </c>
      <c r="B7229" s="3" t="inlineStr">
        <is>
          <t>골드앤에스</t>
        </is>
      </c>
      <c r="C7229" s="2" t="inlineStr">
        <is>
          <t>코스닥</t>
        </is>
      </c>
      <c r="D7229" s="2" t="inlineStr">
        <is>
          <t>035290</t>
        </is>
      </c>
      <c r="E7229" s="3" t="inlineStr">
        <is>
          <t>주권매매거래정지해제              (액면병합 주권 변경상장)</t>
        </is>
      </c>
      <c r="F7229" s="3" t="inlineStr">
        <is>
          <t>코스닥시장본부</t>
        </is>
      </c>
      <c r="G7229" s="2" t="inlineStr">
        <is>
          <t>20260528900597</t>
        </is>
      </c>
      <c r="H7229" s="8">
        <f>HYPERLINK("https://dart.fss.or.kr/dsaf001/main.do?rcpNo=20260528900597", "공시열람")</f>
        <v/>
      </c>
    </row>
    <row r="7230">
      <c r="A7230" s="2" t="inlineStr">
        <is>
          <t>2026-05-28</t>
        </is>
      </c>
      <c r="B7230" s="3" t="inlineStr">
        <is>
          <t>서울식품공업</t>
        </is>
      </c>
      <c r="C7230" s="2" t="inlineStr">
        <is>
          <t>코스피</t>
        </is>
      </c>
      <c r="D7230" s="2" t="inlineStr">
        <is>
          <t>004410</t>
        </is>
      </c>
      <c r="E7230" s="3" t="inlineStr">
        <is>
          <t xml:space="preserve">기업지배구조보고서공시              </t>
        </is>
      </c>
      <c r="F7230" s="3" t="inlineStr">
        <is>
          <t>서울식품공업</t>
        </is>
      </c>
      <c r="G7230" s="2" t="inlineStr">
        <is>
          <t>20260528800574</t>
        </is>
      </c>
      <c r="H7230" s="8">
        <f>HYPERLINK("https://dart.fss.or.kr/dsaf001/main.do?rcpNo=20260528800574", "공시열람")</f>
        <v/>
      </c>
    </row>
    <row r="7231">
      <c r="A7231" s="2" t="inlineStr">
        <is>
          <t>2026-05-28</t>
        </is>
      </c>
      <c r="B7231" s="3" t="inlineStr">
        <is>
          <t>카카오</t>
        </is>
      </c>
      <c r="C7231" s="2" t="inlineStr">
        <is>
          <t>코스피</t>
        </is>
      </c>
      <c r="D7231" s="2" t="inlineStr">
        <is>
          <t>035720</t>
        </is>
      </c>
      <c r="E7231" s="3" t="inlineStr">
        <is>
          <t>대규모기업집단현황공시[연1회(동일인용)]</t>
        </is>
      </c>
      <c r="F7231" s="3" t="inlineStr">
        <is>
          <t>김범수</t>
        </is>
      </c>
      <c r="G7231" s="2" t="inlineStr">
        <is>
          <t>20260528000629</t>
        </is>
      </c>
      <c r="H7231" s="8">
        <f>HYPERLINK("https://dart.fss.or.kr/dsaf001/main.do?rcpNo=20260528000629", "공시열람")</f>
        <v/>
      </c>
    </row>
    <row r="7232">
      <c r="A7232" s="2" t="inlineStr">
        <is>
          <t>2026-05-28</t>
        </is>
      </c>
      <c r="B7232" s="3" t="inlineStr">
        <is>
          <t>미원상사</t>
        </is>
      </c>
      <c r="C7232" s="2" t="inlineStr">
        <is>
          <t>코스피</t>
        </is>
      </c>
      <c r="D7232" s="2" t="inlineStr">
        <is>
          <t>002840</t>
        </is>
      </c>
      <c r="E7232" s="3" t="inlineStr">
        <is>
          <t>임원ㆍ주요주주특정증권등소유상황보고서</t>
        </is>
      </c>
      <c r="F7232" s="3" t="inlineStr">
        <is>
          <t>가제순</t>
        </is>
      </c>
      <c r="G7232" s="2" t="inlineStr">
        <is>
          <t>20260528000618</t>
        </is>
      </c>
      <c r="H7232" s="8">
        <f>HYPERLINK("https://dart.fss.or.kr/dsaf001/main.do?rcpNo=20260528000618", "공시열람")</f>
        <v/>
      </c>
    </row>
    <row r="7233">
      <c r="A7233" s="2" t="inlineStr">
        <is>
          <t>2026-05-28</t>
        </is>
      </c>
      <c r="B7233" s="3" t="inlineStr">
        <is>
          <t>코웨이</t>
        </is>
      </c>
      <c r="C7233" s="2" t="inlineStr">
        <is>
          <t>코스피</t>
        </is>
      </c>
      <c r="D7233" s="2" t="inlineStr">
        <is>
          <t>021240</t>
        </is>
      </c>
      <c r="E7233" s="3" t="inlineStr">
        <is>
          <t>임원ㆍ주요주주특정증권등소유상황보고서</t>
        </is>
      </c>
      <c r="F7233" s="3" t="inlineStr">
        <is>
          <t>넷마블</t>
        </is>
      </c>
      <c r="G7233" s="2" t="inlineStr">
        <is>
          <t>20260528000614</t>
        </is>
      </c>
      <c r="H7233" s="8">
        <f>HYPERLINK("https://dart.fss.or.kr/dsaf001/main.do?rcpNo=20260528000614", "공시열람")</f>
        <v/>
      </c>
    </row>
    <row r="7234">
      <c r="A7234" s="2" t="inlineStr">
        <is>
          <t>2026-05-28</t>
        </is>
      </c>
      <c r="B7234" s="3" t="inlineStr">
        <is>
          <t>마키나락스</t>
        </is>
      </c>
      <c r="C7234" s="2" t="inlineStr">
        <is>
          <t>코스닥</t>
        </is>
      </c>
      <c r="D7234" s="2" t="inlineStr">
        <is>
          <t>477850</t>
        </is>
      </c>
      <c r="E7234" s="3" t="inlineStr">
        <is>
          <t>임원ㆍ주요주주특정증권등소유상황보고서</t>
        </is>
      </c>
      <c r="F7234" s="3" t="inlineStr">
        <is>
          <t>윤성호</t>
        </is>
      </c>
      <c r="G7234" s="2" t="inlineStr">
        <is>
          <t>20260528000612</t>
        </is>
      </c>
      <c r="H7234" s="8">
        <f>HYPERLINK("https://dart.fss.or.kr/dsaf001/main.do?rcpNo=20260528000612", "공시열람")</f>
        <v/>
      </c>
    </row>
    <row r="7235">
      <c r="A7235" s="2" t="inlineStr">
        <is>
          <t>2026-05-28</t>
        </is>
      </c>
      <c r="B7235" s="3" t="inlineStr">
        <is>
          <t>두산밥캣</t>
        </is>
      </c>
      <c r="C7235" s="2" t="inlineStr">
        <is>
          <t>코스피</t>
        </is>
      </c>
      <c r="D7235" s="2" t="inlineStr">
        <is>
          <t>241560</t>
        </is>
      </c>
      <c r="E7235" s="3" t="inlineStr">
        <is>
          <t xml:space="preserve">기업지배구조보고서공시              </t>
        </is>
      </c>
      <c r="F7235" s="3" t="inlineStr">
        <is>
          <t>두산밥캣</t>
        </is>
      </c>
      <c r="G7235" s="2" t="inlineStr">
        <is>
          <t>20260528800590</t>
        </is>
      </c>
      <c r="H7235" s="8">
        <f>HYPERLINK("https://dart.fss.or.kr/dsaf001/main.do?rcpNo=20260528800590", "공시열람")</f>
        <v/>
      </c>
    </row>
    <row r="7236">
      <c r="A7236" s="2" t="inlineStr">
        <is>
          <t>2026-05-28</t>
        </is>
      </c>
      <c r="B7236" s="3" t="inlineStr">
        <is>
          <t>포스코스틸리온</t>
        </is>
      </c>
      <c r="C7236" s="2" t="inlineStr">
        <is>
          <t>코스피</t>
        </is>
      </c>
      <c r="D7236" s="2" t="inlineStr">
        <is>
          <t>058430</t>
        </is>
      </c>
      <c r="E7236" s="3" t="inlineStr">
        <is>
          <t>대규모기업집단현황공시[연1회공시및1/4분기용(개별회사)]</t>
        </is>
      </c>
      <c r="F7236" s="3" t="inlineStr">
        <is>
          <t>포스코스틸리온</t>
        </is>
      </c>
      <c r="G7236" s="2" t="inlineStr">
        <is>
          <t>20260528000611</t>
        </is>
      </c>
      <c r="H7236" s="8">
        <f>HYPERLINK("https://dart.fss.or.kr/dsaf001/main.do?rcpNo=20260528000611", "공시열람")</f>
        <v/>
      </c>
    </row>
    <row r="7237">
      <c r="A7237" s="2" t="inlineStr">
        <is>
          <t>2026-05-28</t>
        </is>
      </c>
      <c r="B7237" s="3" t="inlineStr">
        <is>
          <t>DB증권</t>
        </is>
      </c>
      <c r="C7237" s="2" t="inlineStr">
        <is>
          <t>코스피</t>
        </is>
      </c>
      <c r="D7237" s="2" t="inlineStr">
        <is>
          <t>016610</t>
        </is>
      </c>
      <c r="E7237" s="3" t="inlineStr">
        <is>
          <t>일괄신고추가서류(파생결합사채-주가연계파생결합사채)</t>
        </is>
      </c>
      <c r="F7237" s="3" t="inlineStr">
        <is>
          <t>DB증권</t>
        </is>
      </c>
      <c r="G7237" s="2" t="inlineStr">
        <is>
          <t>20260528000592</t>
        </is>
      </c>
      <c r="H7237" s="8">
        <f>HYPERLINK("https://dart.fss.or.kr/dsaf001/main.do?rcpNo=20260528000592", "공시열람")</f>
        <v/>
      </c>
    </row>
    <row r="7238">
      <c r="A7238" s="2" t="inlineStr">
        <is>
          <t>2026-05-28</t>
        </is>
      </c>
      <c r="B7238" s="3" t="inlineStr">
        <is>
          <t>삼영에스앤씨</t>
        </is>
      </c>
      <c r="C7238" s="2" t="inlineStr">
        <is>
          <t>코스닥</t>
        </is>
      </c>
      <c r="D7238" s="2" t="inlineStr">
        <is>
          <t>361670</t>
        </is>
      </c>
      <c r="E7238" s="3" t="inlineStr">
        <is>
          <t>임원ㆍ주요주주특정증권등소유상황보고서</t>
        </is>
      </c>
      <c r="F7238" s="3" t="inlineStr">
        <is>
          <t>고승남</t>
        </is>
      </c>
      <c r="G7238" s="2" t="inlineStr">
        <is>
          <t>20260528000589</t>
        </is>
      </c>
      <c r="H7238" s="8">
        <f>HYPERLINK("https://dart.fss.or.kr/dsaf001/main.do?rcpNo=20260528000589", "공시열람")</f>
        <v/>
      </c>
    </row>
    <row r="7239">
      <c r="A7239" s="2" t="inlineStr">
        <is>
          <t>2026-05-28</t>
        </is>
      </c>
      <c r="B7239" s="3" t="inlineStr">
        <is>
          <t>한화투자증권</t>
        </is>
      </c>
      <c r="C7239" s="2" t="inlineStr">
        <is>
          <t>코스피</t>
        </is>
      </c>
      <c r="D7239" s="2" t="inlineStr">
        <is>
          <t>003530</t>
        </is>
      </c>
      <c r="E7239" s="3" t="inlineStr">
        <is>
          <t>투자설명서(일괄신고)</t>
        </is>
      </c>
      <c r="F7239" s="3" t="inlineStr">
        <is>
          <t>한화투자증권</t>
        </is>
      </c>
      <c r="G7239" s="2" t="inlineStr">
        <is>
          <t>20260528000587</t>
        </is>
      </c>
      <c r="H7239" s="8">
        <f>HYPERLINK("https://dart.fss.or.kr/dsaf001/main.do?rcpNo=20260528000587", "공시열람")</f>
        <v/>
      </c>
    </row>
    <row r="7240">
      <c r="A7240" s="2" t="inlineStr">
        <is>
          <t>2026-05-28</t>
        </is>
      </c>
      <c r="B7240" s="3" t="inlineStr">
        <is>
          <t>LS티라유텍</t>
        </is>
      </c>
      <c r="C7240" s="2" t="inlineStr">
        <is>
          <t>코스닥</t>
        </is>
      </c>
      <c r="D7240" s="2" t="inlineStr">
        <is>
          <t>322180</t>
        </is>
      </c>
      <c r="E7240" s="3" t="inlineStr">
        <is>
          <t>임원ㆍ주요주주특정증권등소유상황보고서</t>
        </is>
      </c>
      <c r="F7240" s="3" t="inlineStr">
        <is>
          <t>엘에스일렉트릭</t>
        </is>
      </c>
      <c r="G7240" s="2" t="inlineStr">
        <is>
          <t>20260528000577</t>
        </is>
      </c>
      <c r="H7240" s="8">
        <f>HYPERLINK("https://dart.fss.or.kr/dsaf001/main.do?rcpNo=20260528000577", "공시열람")</f>
        <v/>
      </c>
    </row>
    <row r="7241">
      <c r="A7241" s="2" t="inlineStr">
        <is>
          <t>2026-05-28</t>
        </is>
      </c>
      <c r="B7241" s="3" t="inlineStr">
        <is>
          <t>비케이홀딩스</t>
        </is>
      </c>
      <c r="C7241" s="2" t="inlineStr">
        <is>
          <t>코스닥</t>
        </is>
      </c>
      <c r="D7241" s="2" t="inlineStr">
        <is>
          <t>050090</t>
        </is>
      </c>
      <c r="E7241" s="3" t="inlineStr">
        <is>
          <t>증권발행결과(자율공시)              (제3자배정 유상증자)</t>
        </is>
      </c>
      <c r="F7241" s="3" t="inlineStr">
        <is>
          <t>비케이홀딩스</t>
        </is>
      </c>
      <c r="G7241" s="2" t="inlineStr">
        <is>
          <t>20260528900530</t>
        </is>
      </c>
      <c r="H7241" s="8">
        <f>HYPERLINK("https://dart.fss.or.kr/dsaf001/main.do?rcpNo=20260528900530", "공시열람")</f>
        <v/>
      </c>
    </row>
    <row r="7242">
      <c r="A7242" s="2" t="inlineStr">
        <is>
          <t>2026-05-28</t>
        </is>
      </c>
      <c r="B7242" s="3" t="inlineStr">
        <is>
          <t>카카오</t>
        </is>
      </c>
      <c r="C7242" s="2" t="inlineStr">
        <is>
          <t>코스피</t>
        </is>
      </c>
      <c r="D7242" s="2" t="inlineStr">
        <is>
          <t>035720</t>
        </is>
      </c>
      <c r="E7242" s="3" t="inlineStr">
        <is>
          <t>대규모기업집단현황공시[연1회공시및1/4분기용(대표회사)]</t>
        </is>
      </c>
      <c r="F7242" s="3" t="inlineStr">
        <is>
          <t>카카오</t>
        </is>
      </c>
      <c r="G7242" s="2" t="inlineStr">
        <is>
          <t>20260528000575</t>
        </is>
      </c>
      <c r="H7242" s="8">
        <f>HYPERLINK("https://dart.fss.or.kr/dsaf001/main.do?rcpNo=20260528000575", "공시열람")</f>
        <v/>
      </c>
    </row>
    <row r="7243">
      <c r="A7243" s="2" t="inlineStr">
        <is>
          <t>2026-05-28</t>
        </is>
      </c>
      <c r="B7243" s="3" t="inlineStr">
        <is>
          <t>한화투자증권</t>
        </is>
      </c>
      <c r="C7243" s="2" t="inlineStr">
        <is>
          <t>코스피</t>
        </is>
      </c>
      <c r="D7243" s="2" t="inlineStr">
        <is>
          <t>003530</t>
        </is>
      </c>
      <c r="E7243" s="3" t="inlineStr">
        <is>
          <t>일괄신고추가서류(기타파생결합사채)</t>
        </is>
      </c>
      <c r="F7243" s="3" t="inlineStr">
        <is>
          <t>한화투자증권</t>
        </is>
      </c>
      <c r="G7243" s="2" t="inlineStr">
        <is>
          <t>20260528000573</t>
        </is>
      </c>
      <c r="H7243" s="8">
        <f>HYPERLINK("https://dart.fss.or.kr/dsaf001/main.do?rcpNo=20260528000573", "공시열람")</f>
        <v/>
      </c>
    </row>
    <row r="7244">
      <c r="A7244" s="2" t="inlineStr">
        <is>
          <t>2026-05-28</t>
        </is>
      </c>
      <c r="B7244" s="3" t="inlineStr">
        <is>
          <t>지엘팜텍</t>
        </is>
      </c>
      <c r="C7244" s="2" t="inlineStr">
        <is>
          <t>코스닥</t>
        </is>
      </c>
      <c r="D7244" s="2" t="inlineStr">
        <is>
          <t>204840</t>
        </is>
      </c>
      <c r="E7244" s="3" t="inlineStr">
        <is>
          <t xml:space="preserve">주주명부폐쇄기간또는기준일설정              </t>
        </is>
      </c>
      <c r="F7244" s="3" t="inlineStr">
        <is>
          <t>지엘팜텍</t>
        </is>
      </c>
      <c r="G7244" s="2" t="inlineStr">
        <is>
          <t>20260528900554</t>
        </is>
      </c>
      <c r="H7244" s="8">
        <f>HYPERLINK("https://dart.fss.or.kr/dsaf001/main.do?rcpNo=20260528900554", "공시열람")</f>
        <v/>
      </c>
    </row>
    <row r="7245">
      <c r="A7245" s="2" t="inlineStr">
        <is>
          <t>2026-05-28</t>
        </is>
      </c>
      <c r="B7245" s="3" t="inlineStr">
        <is>
          <t>삼영에스앤씨</t>
        </is>
      </c>
      <c r="C7245" s="2" t="inlineStr">
        <is>
          <t>코스닥</t>
        </is>
      </c>
      <c r="D7245" s="2" t="inlineStr">
        <is>
          <t>361670</t>
        </is>
      </c>
      <c r="E7245" s="3" t="inlineStr">
        <is>
          <t>임원ㆍ주요주주특정증권등소유상황보고서</t>
        </is>
      </c>
      <c r="F7245" s="3" t="inlineStr">
        <is>
          <t>박상익</t>
        </is>
      </c>
      <c r="G7245" s="2" t="inlineStr">
        <is>
          <t>20260528000569</t>
        </is>
      </c>
      <c r="H7245" s="8">
        <f>HYPERLINK("https://dart.fss.or.kr/dsaf001/main.do?rcpNo=20260528000569", "공시열람")</f>
        <v/>
      </c>
    </row>
    <row r="7246">
      <c r="A7246" s="2" t="inlineStr">
        <is>
          <t>2026-05-28</t>
        </is>
      </c>
      <c r="B7246" s="3" t="inlineStr">
        <is>
          <t>키움증권</t>
        </is>
      </c>
      <c r="C7246" s="2" t="inlineStr">
        <is>
          <t>코스피</t>
        </is>
      </c>
      <c r="D7246" s="2" t="inlineStr">
        <is>
          <t>039490</t>
        </is>
      </c>
      <c r="E7246" s="3" t="inlineStr">
        <is>
          <t>투자설명서(일괄신고)</t>
        </is>
      </c>
      <c r="F7246" s="3" t="inlineStr">
        <is>
          <t>키움증권</t>
        </is>
      </c>
      <c r="G7246" s="2" t="inlineStr">
        <is>
          <t>20260528000566</t>
        </is>
      </c>
      <c r="H7246" s="8">
        <f>HYPERLINK("https://dart.fss.or.kr/dsaf001/main.do?rcpNo=20260528000566", "공시열람")</f>
        <v/>
      </c>
    </row>
    <row r="7247">
      <c r="A7247" s="2" t="inlineStr">
        <is>
          <t>2026-05-28</t>
        </is>
      </c>
      <c r="B7247" s="3" t="inlineStr">
        <is>
          <t>씨케이솔루션</t>
        </is>
      </c>
      <c r="C7247" s="2" t="inlineStr">
        <is>
          <t>코스피</t>
        </is>
      </c>
      <c r="D7247" s="2" t="inlineStr">
        <is>
          <t>480370</t>
        </is>
      </c>
      <c r="E7247" s="3" t="inlineStr">
        <is>
          <t xml:space="preserve">기업지배구조보고서공시              </t>
        </is>
      </c>
      <c r="F7247" s="3" t="inlineStr">
        <is>
          <t>씨케이솔루션</t>
        </is>
      </c>
      <c r="G7247" s="2" t="inlineStr">
        <is>
          <t>20260528800480</t>
        </is>
      </c>
      <c r="H7247" s="8">
        <f>HYPERLINK("https://dart.fss.or.kr/dsaf001/main.do?rcpNo=20260528800480", "공시열람")</f>
        <v/>
      </c>
    </row>
    <row r="7248">
      <c r="A7248" s="2" t="inlineStr">
        <is>
          <t>2026-05-28</t>
        </is>
      </c>
      <c r="B7248" s="3" t="inlineStr">
        <is>
          <t>마크로젠</t>
        </is>
      </c>
      <c r="C7248" s="2" t="inlineStr">
        <is>
          <t>코스닥</t>
        </is>
      </c>
      <c r="D7248" s="2" t="inlineStr">
        <is>
          <t>038290</t>
        </is>
      </c>
      <c r="E7248" s="3" t="inlineStr">
        <is>
          <t xml:space="preserve">기업설명회(IR)개최              </t>
        </is>
      </c>
      <c r="F7248" s="3" t="inlineStr">
        <is>
          <t>마크로젠</t>
        </is>
      </c>
      <c r="G7248" s="2" t="inlineStr">
        <is>
          <t>20260528900544</t>
        </is>
      </c>
      <c r="H7248" s="8">
        <f>HYPERLINK("https://dart.fss.or.kr/dsaf001/main.do?rcpNo=20260528900544", "공시열람")</f>
        <v/>
      </c>
    </row>
    <row r="7249">
      <c r="A7249" s="2" t="inlineStr">
        <is>
          <t>2026-05-28</t>
        </is>
      </c>
      <c r="B7249" s="3" t="inlineStr">
        <is>
          <t>위지윅스튜디오</t>
        </is>
      </c>
      <c r="C7249" s="2" t="inlineStr">
        <is>
          <t>코스닥</t>
        </is>
      </c>
      <c r="D7249" s="2" t="inlineStr">
        <is>
          <t>299900</t>
        </is>
      </c>
      <c r="E7249" s="3" t="inlineStr">
        <is>
          <t>의결권대리행사권유참고서류</t>
        </is>
      </c>
      <c r="F7249" s="3" t="inlineStr">
        <is>
          <t>위지윅스튜디오</t>
        </is>
      </c>
      <c r="G7249" s="2" t="inlineStr">
        <is>
          <t>20260528000553</t>
        </is>
      </c>
      <c r="H7249" s="8">
        <f>HYPERLINK("https://dart.fss.or.kr/dsaf001/main.do?rcpNo=20260528000553", "공시열람")</f>
        <v/>
      </c>
    </row>
    <row r="7250">
      <c r="A7250" s="2" t="inlineStr">
        <is>
          <t>2026-05-28 (정정: 2026-05-29)</t>
        </is>
      </c>
      <c r="B7250" s="3" t="inlineStr">
        <is>
          <t>엔피</t>
        </is>
      </c>
      <c r="C7250" s="2" t="inlineStr">
        <is>
          <t>코스닥</t>
        </is>
      </c>
      <c r="D7250" s="2" t="inlineStr">
        <is>
          <t>291230</t>
        </is>
      </c>
      <c r="E7250" s="3" t="inlineStr">
        <is>
          <t>의결권대리행사권유참고서류 (정정: 20260529)</t>
        </is>
      </c>
      <c r="F7250" s="3" t="inlineStr">
        <is>
          <t>엔피</t>
        </is>
      </c>
      <c r="G7250" s="2" t="inlineStr">
        <is>
          <t>20260529001110</t>
        </is>
      </c>
      <c r="H7250" s="8">
        <f>HYPERLINK("https://dart.fss.or.kr/dsaf001/main.do?rcpNo=20260529001110", "공시열람")</f>
        <v/>
      </c>
    </row>
    <row r="7251">
      <c r="A7251" s="2" t="inlineStr">
        <is>
          <t>2026-05-28</t>
        </is>
      </c>
      <c r="B7251" s="3" t="inlineStr">
        <is>
          <t>엔젯</t>
        </is>
      </c>
      <c r="C7251" s="2" t="inlineStr">
        <is>
          <t>코스닥</t>
        </is>
      </c>
      <c r="D7251" s="2" t="inlineStr">
        <is>
          <t>419080</t>
        </is>
      </c>
      <c r="E7251" s="3" t="inlineStr">
        <is>
          <t>증권발행결과(자율공시)              (제2회차 BW)</t>
        </is>
      </c>
      <c r="F7251" s="3" t="inlineStr">
        <is>
          <t>엔젯</t>
        </is>
      </c>
      <c r="G7251" s="2" t="inlineStr">
        <is>
          <t>20260528900493</t>
        </is>
      </c>
      <c r="H7251" s="8">
        <f>HYPERLINK("https://dart.fss.or.kr/dsaf001/main.do?rcpNo=20260528900493", "공시열람")</f>
        <v/>
      </c>
    </row>
    <row r="7252">
      <c r="A7252" s="2" t="inlineStr">
        <is>
          <t>2026-05-28</t>
        </is>
      </c>
      <c r="B7252" s="3" t="inlineStr">
        <is>
          <t>윌비스</t>
        </is>
      </c>
      <c r="C7252" s="2" t="inlineStr">
        <is>
          <t>코스피</t>
        </is>
      </c>
      <c r="D7252" s="2" t="inlineStr">
        <is>
          <t>008600</t>
        </is>
      </c>
      <c r="E7252" s="3" t="inlineStr">
        <is>
          <t xml:space="preserve">기업지배구조보고서공시              </t>
        </is>
      </c>
      <c r="F7252" s="3" t="inlineStr">
        <is>
          <t>윌비스</t>
        </is>
      </c>
      <c r="G7252" s="2" t="inlineStr">
        <is>
          <t>20260528800518</t>
        </is>
      </c>
      <c r="H7252" s="8">
        <f>HYPERLINK("https://dart.fss.or.kr/dsaf001/main.do?rcpNo=20260528800518", "공시열람")</f>
        <v/>
      </c>
    </row>
    <row r="7253">
      <c r="A7253" s="2" t="inlineStr">
        <is>
          <t>2026-05-28</t>
        </is>
      </c>
      <c r="B7253" s="3" t="inlineStr">
        <is>
          <t>프롬바이오</t>
        </is>
      </c>
      <c r="C7253" s="2" t="inlineStr">
        <is>
          <t>코스닥</t>
        </is>
      </c>
      <c r="D7253" s="2" t="inlineStr">
        <is>
          <t>377220</t>
        </is>
      </c>
      <c r="E7253" s="3" t="inlineStr">
        <is>
          <t xml:space="preserve">주주명부폐쇄기간또는기준일설정              </t>
        </is>
      </c>
      <c r="F7253" s="3" t="inlineStr">
        <is>
          <t>프롬바이오</t>
        </is>
      </c>
      <c r="G7253" s="2" t="inlineStr">
        <is>
          <t>20260528900519</t>
        </is>
      </c>
      <c r="H7253" s="8">
        <f>HYPERLINK("https://dart.fss.or.kr/dsaf001/main.do?rcpNo=20260528900519", "공시열람")</f>
        <v/>
      </c>
    </row>
    <row r="7254">
      <c r="A7254" s="2" t="inlineStr">
        <is>
          <t>2026-05-28</t>
        </is>
      </c>
      <c r="B7254" s="3" t="inlineStr">
        <is>
          <t>조비</t>
        </is>
      </c>
      <c r="C7254" s="2" t="inlineStr">
        <is>
          <t>코스피</t>
        </is>
      </c>
      <c r="D7254" s="2" t="inlineStr">
        <is>
          <t>001550</t>
        </is>
      </c>
      <c r="E7254" s="3" t="inlineStr">
        <is>
          <t xml:space="preserve">기업지배구조보고서공시              </t>
        </is>
      </c>
      <c r="F7254" s="3" t="inlineStr">
        <is>
          <t>조비</t>
        </is>
      </c>
      <c r="G7254" s="2" t="inlineStr">
        <is>
          <t>20260528800513</t>
        </is>
      </c>
      <c r="H7254" s="8">
        <f>HYPERLINK("https://dart.fss.or.kr/dsaf001/main.do?rcpNo=20260528800513", "공시열람")</f>
        <v/>
      </c>
    </row>
    <row r="7255">
      <c r="A7255" s="2" t="inlineStr">
        <is>
          <t>2026-05-28</t>
        </is>
      </c>
      <c r="B7255" s="3" t="inlineStr">
        <is>
          <t>셀트리온</t>
        </is>
      </c>
      <c r="C7255" s="2" t="inlineStr">
        <is>
          <t>코스피</t>
        </is>
      </c>
      <c r="D7255" s="2" t="inlineStr">
        <is>
          <t>068270</t>
        </is>
      </c>
      <c r="E7255" s="3" t="inlineStr">
        <is>
          <t>투자판단관련주요경영사항              (CTP6 SC(허쥬마 피하주사 제형) 한국 품목허가 신청)</t>
        </is>
      </c>
      <c r="F7255" s="3" t="inlineStr">
        <is>
          <t>셀트리온</t>
        </is>
      </c>
      <c r="G7255" s="2" t="inlineStr">
        <is>
          <t>20260528800475</t>
        </is>
      </c>
      <c r="H7255" s="8">
        <f>HYPERLINK("https://dart.fss.or.kr/dsaf001/main.do?rcpNo=20260528800475", "공시열람")</f>
        <v/>
      </c>
    </row>
    <row r="7256">
      <c r="A7256" s="2" t="inlineStr">
        <is>
          <t>2026-05-28</t>
        </is>
      </c>
      <c r="B7256" s="3" t="inlineStr">
        <is>
          <t>에스아이리소스</t>
        </is>
      </c>
      <c r="C7256" s="2" t="inlineStr">
        <is>
          <t>코스닥</t>
        </is>
      </c>
      <c r="D7256" s="2" t="inlineStr">
        <is>
          <t>065420</t>
        </is>
      </c>
      <c r="E7256" s="3" t="inlineStr">
        <is>
          <t xml:space="preserve">소송등의판결ㆍ결정              </t>
        </is>
      </c>
      <c r="F7256" s="3" t="inlineStr">
        <is>
          <t>에스아이리소스</t>
        </is>
      </c>
      <c r="G7256" s="2" t="inlineStr">
        <is>
          <t>20260528900509</t>
        </is>
      </c>
      <c r="H7256" s="8">
        <f>HYPERLINK("https://dart.fss.or.kr/dsaf001/main.do?rcpNo=20260528900509", "공시열람")</f>
        <v/>
      </c>
    </row>
    <row r="7257">
      <c r="A7257" s="2" t="inlineStr">
        <is>
          <t>2026-05-28</t>
        </is>
      </c>
      <c r="B7257" s="3" t="inlineStr">
        <is>
          <t>씨큐브</t>
        </is>
      </c>
      <c r="C7257" s="2" t="inlineStr">
        <is>
          <t>코스닥</t>
        </is>
      </c>
      <c r="D7257" s="2" t="inlineStr">
        <is>
          <t>101240</t>
        </is>
      </c>
      <c r="E7257" s="3" t="inlineStr">
        <is>
          <t xml:space="preserve">주주명부폐쇄기간또는기준일설정              </t>
        </is>
      </c>
      <c r="F7257" s="3" t="inlineStr">
        <is>
          <t>씨큐브</t>
        </is>
      </c>
      <c r="G7257" s="2" t="inlineStr">
        <is>
          <t>20260528900503</t>
        </is>
      </c>
      <c r="H7257" s="8">
        <f>HYPERLINK("https://dart.fss.or.kr/dsaf001/main.do?rcpNo=20260528900503", "공시열람")</f>
        <v/>
      </c>
    </row>
    <row r="7258">
      <c r="A7258" s="2" t="inlineStr">
        <is>
          <t>2026-05-28</t>
        </is>
      </c>
      <c r="B7258" s="3" t="inlineStr">
        <is>
          <t>키움증권</t>
        </is>
      </c>
      <c r="C7258" s="2" t="inlineStr">
        <is>
          <t>코스피</t>
        </is>
      </c>
      <c r="D7258" s="2" t="inlineStr">
        <is>
          <t>039490</t>
        </is>
      </c>
      <c r="E7258" s="3" t="inlineStr">
        <is>
          <t>일괄신고추가서류(파생결합사채-주가연계파생결합사채)</t>
        </is>
      </c>
      <c r="F7258" s="3" t="inlineStr">
        <is>
          <t>키움증권</t>
        </is>
      </c>
      <c r="G7258" s="2" t="inlineStr">
        <is>
          <t>20260528000500</t>
        </is>
      </c>
      <c r="H7258" s="8">
        <f>HYPERLINK("https://dart.fss.or.kr/dsaf001/main.do?rcpNo=20260528000500", "공시열람")</f>
        <v/>
      </c>
    </row>
    <row r="7259">
      <c r="A7259" s="2" t="inlineStr">
        <is>
          <t>2026-05-28</t>
        </is>
      </c>
      <c r="B7259" s="3" t="inlineStr">
        <is>
          <t>신한알파리츠</t>
        </is>
      </c>
      <c r="C7259" s="2" t="inlineStr">
        <is>
          <t>코스피</t>
        </is>
      </c>
      <c r="D7259" s="2" t="inlineStr">
        <is>
          <t>293940</t>
        </is>
      </c>
      <c r="E7259" s="3" t="inlineStr">
        <is>
          <t xml:space="preserve">감사보고서제출              </t>
        </is>
      </c>
      <c r="F7259" s="3" t="inlineStr">
        <is>
          <t>신한알파리츠</t>
        </is>
      </c>
      <c r="G7259" s="2" t="inlineStr">
        <is>
          <t>20260528800472</t>
        </is>
      </c>
      <c r="H7259" s="8">
        <f>HYPERLINK("https://dart.fss.or.kr/dsaf001/main.do?rcpNo=20260528800472", "공시열람")</f>
        <v/>
      </c>
    </row>
    <row r="7260">
      <c r="A7260" s="2" t="inlineStr">
        <is>
          <t>2026-05-28</t>
        </is>
      </c>
      <c r="B7260" s="3" t="inlineStr">
        <is>
          <t>키움증권</t>
        </is>
      </c>
      <c r="C7260" s="2" t="inlineStr">
        <is>
          <t>코스피</t>
        </is>
      </c>
      <c r="D7260" s="2" t="inlineStr">
        <is>
          <t>039490</t>
        </is>
      </c>
      <c r="E7260" s="3" t="inlineStr">
        <is>
          <t>투자설명서(일괄신고)</t>
        </is>
      </c>
      <c r="F7260" s="3" t="inlineStr">
        <is>
          <t>키움증권</t>
        </is>
      </c>
      <c r="G7260" s="2" t="inlineStr">
        <is>
          <t>20260528000496</t>
        </is>
      </c>
      <c r="H7260" s="8">
        <f>HYPERLINK("https://dart.fss.or.kr/dsaf001/main.do?rcpNo=20260528000496", "공시열람")</f>
        <v/>
      </c>
    </row>
    <row r="7261">
      <c r="A7261" s="2" t="inlineStr">
        <is>
          <t>2026-05-28</t>
        </is>
      </c>
      <c r="B7261" s="3" t="inlineStr">
        <is>
          <t>휴온스글로벌</t>
        </is>
      </c>
      <c r="C7261" s="2" t="inlineStr">
        <is>
          <t>코스닥</t>
        </is>
      </c>
      <c r="D7261" s="2" t="inlineStr">
        <is>
          <t>084110</t>
        </is>
      </c>
      <c r="E7261" s="3" t="inlineStr">
        <is>
          <t xml:space="preserve">기업설명회(IR)개최              </t>
        </is>
      </c>
      <c r="F7261" s="3" t="inlineStr">
        <is>
          <t>휴온스글로벌</t>
        </is>
      </c>
      <c r="G7261" s="2" t="inlineStr">
        <is>
          <t>20260528900495</t>
        </is>
      </c>
      <c r="H7261" s="8">
        <f>HYPERLINK("https://dart.fss.or.kr/dsaf001/main.do?rcpNo=20260528900495", "공시열람")</f>
        <v/>
      </c>
    </row>
    <row r="7262">
      <c r="A7262" s="2" t="inlineStr">
        <is>
          <t>2026-05-28 (정정: 2026-06-04)</t>
        </is>
      </c>
      <c r="B7262" s="3" t="inlineStr">
        <is>
          <t>휴온스글로벌</t>
        </is>
      </c>
      <c r="C7262" s="2" t="inlineStr">
        <is>
          <t>코스닥</t>
        </is>
      </c>
      <c r="D7262" s="2" t="inlineStr">
        <is>
          <t>084110</t>
        </is>
      </c>
      <c r="E7262" s="3" t="inlineStr">
        <is>
          <t>주주명부폐쇄기간또는기준일설정               (정정: 20260604)</t>
        </is>
      </c>
      <c r="F7262" s="3" t="inlineStr">
        <is>
          <t>휴온스글로벌</t>
        </is>
      </c>
      <c r="G7262" s="2" t="inlineStr">
        <is>
          <t>20260604900764</t>
        </is>
      </c>
      <c r="H7262" s="8">
        <f>HYPERLINK("https://dart.fss.or.kr/dsaf001/main.do?rcpNo=20260604900764", "공시열람")</f>
        <v/>
      </c>
    </row>
    <row r="7263">
      <c r="A7263" s="2" t="inlineStr">
        <is>
          <t>2026-05-28</t>
        </is>
      </c>
      <c r="B7263" s="3" t="inlineStr">
        <is>
          <t>금호에이치티</t>
        </is>
      </c>
      <c r="C7263" s="2" t="inlineStr">
        <is>
          <t>코스피</t>
        </is>
      </c>
      <c r="D7263" s="2" t="inlineStr">
        <is>
          <t>214330</t>
        </is>
      </c>
      <c r="E7263" s="3" t="inlineStr">
        <is>
          <t>임원ㆍ주요주주특정증권등소유상황보고서</t>
        </is>
      </c>
      <c r="F7263" s="3" t="inlineStr">
        <is>
          <t>김두인</t>
        </is>
      </c>
      <c r="G7263" s="2" t="inlineStr">
        <is>
          <t>20260528000482</t>
        </is>
      </c>
      <c r="H7263" s="8">
        <f>HYPERLINK("https://dart.fss.or.kr/dsaf001/main.do?rcpNo=20260528000482", "공시열람")</f>
        <v/>
      </c>
    </row>
    <row r="7264">
      <c r="A7264" s="2" t="inlineStr">
        <is>
          <t>2026-05-28</t>
        </is>
      </c>
      <c r="B7264" s="3" t="inlineStr">
        <is>
          <t>NAVER</t>
        </is>
      </c>
      <c r="C7264" s="2" t="inlineStr">
        <is>
          <t>코스피</t>
        </is>
      </c>
      <c r="D7264" s="2" t="inlineStr">
        <is>
          <t>035420</t>
        </is>
      </c>
      <c r="E7264" s="3" t="inlineStr">
        <is>
          <t>대규모기업집단현황공시[연1회공시및1/4분기용(대표회사)]</t>
        </is>
      </c>
      <c r="F7264" s="3" t="inlineStr">
        <is>
          <t>NAVER</t>
        </is>
      </c>
      <c r="G7264" s="2" t="inlineStr">
        <is>
          <t>20260528000474</t>
        </is>
      </c>
      <c r="H7264" s="8">
        <f>HYPERLINK("https://dart.fss.or.kr/dsaf001/main.do?rcpNo=20260528000474", "공시열람")</f>
        <v/>
      </c>
    </row>
    <row r="7265">
      <c r="A7265" s="2" t="inlineStr">
        <is>
          <t>2026-05-28</t>
        </is>
      </c>
      <c r="B7265" s="3" t="inlineStr">
        <is>
          <t>LG디스플레이</t>
        </is>
      </c>
      <c r="C7265" s="2" t="inlineStr">
        <is>
          <t>코스피</t>
        </is>
      </c>
      <c r="D7265" s="2" t="inlineStr">
        <is>
          <t>034220</t>
        </is>
      </c>
      <c r="E7265" s="3" t="inlineStr">
        <is>
          <t xml:space="preserve">기업지배구조보고서공시              </t>
        </is>
      </c>
      <c r="F7265" s="3" t="inlineStr">
        <is>
          <t>LG디스플레이</t>
        </is>
      </c>
      <c r="G7265" s="2" t="inlineStr">
        <is>
          <t>20260528800461</t>
        </is>
      </c>
      <c r="H7265" s="8">
        <f>HYPERLINK("https://dart.fss.or.kr/dsaf001/main.do?rcpNo=20260528800461", "공시열람")</f>
        <v/>
      </c>
    </row>
    <row r="7266">
      <c r="A7266" s="2" t="inlineStr">
        <is>
          <t>2026-05-28</t>
        </is>
      </c>
      <c r="B7266" s="3" t="inlineStr">
        <is>
          <t>클래시스</t>
        </is>
      </c>
      <c r="C7266" s="2" t="inlineStr">
        <is>
          <t>코스닥</t>
        </is>
      </c>
      <c r="D7266" s="2" t="inlineStr">
        <is>
          <t>214150</t>
        </is>
      </c>
      <c r="E7266" s="3" t="inlineStr">
        <is>
          <t xml:space="preserve">기업설명회(IR)개최              </t>
        </is>
      </c>
      <c r="F7266" s="3" t="inlineStr">
        <is>
          <t>클래시스</t>
        </is>
      </c>
      <c r="G7266" s="2" t="inlineStr">
        <is>
          <t>20260528900463</t>
        </is>
      </c>
      <c r="H7266" s="8">
        <f>HYPERLINK("https://dart.fss.or.kr/dsaf001/main.do?rcpNo=20260528900463", "공시열람")</f>
        <v/>
      </c>
    </row>
    <row r="7267">
      <c r="A7267" s="2" t="inlineStr">
        <is>
          <t>2026-05-28</t>
        </is>
      </c>
      <c r="B7267" s="3" t="inlineStr">
        <is>
          <t>NAVER</t>
        </is>
      </c>
      <c r="C7267" s="2" t="inlineStr">
        <is>
          <t>코스피</t>
        </is>
      </c>
      <c r="D7267" s="2" t="inlineStr">
        <is>
          <t>035420</t>
        </is>
      </c>
      <c r="E7267" s="3" t="inlineStr">
        <is>
          <t>대규모기업집단현황공시[연1회(동일인용)]</t>
        </is>
      </c>
      <c r="F7267" s="3" t="inlineStr">
        <is>
          <t>이해진</t>
        </is>
      </c>
      <c r="G7267" s="2" t="inlineStr">
        <is>
          <t>20260528000456</t>
        </is>
      </c>
      <c r="H7267" s="8">
        <f>HYPERLINK("https://dart.fss.or.kr/dsaf001/main.do?rcpNo=20260528000456", "공시열람")</f>
        <v/>
      </c>
    </row>
    <row r="7268">
      <c r="A7268" s="2" t="inlineStr">
        <is>
          <t>2026-05-28</t>
        </is>
      </c>
      <c r="B7268" s="3" t="inlineStr">
        <is>
          <t>도화엔지니어링</t>
        </is>
      </c>
      <c r="C7268" s="2" t="inlineStr">
        <is>
          <t>코스피</t>
        </is>
      </c>
      <c r="D7268" s="2" t="inlineStr">
        <is>
          <t>002150</t>
        </is>
      </c>
      <c r="E7268" s="3" t="inlineStr">
        <is>
          <t xml:space="preserve">기업지배구조보고서공시              </t>
        </is>
      </c>
      <c r="F7268" s="3" t="inlineStr">
        <is>
          <t>도화엔지니어링</t>
        </is>
      </c>
      <c r="G7268" s="2" t="inlineStr">
        <is>
          <t>20260528800450</t>
        </is>
      </c>
      <c r="H7268" s="8">
        <f>HYPERLINK("https://dart.fss.or.kr/dsaf001/main.do?rcpNo=20260528800450", "공시열람")</f>
        <v/>
      </c>
    </row>
    <row r="7269">
      <c r="A7269" s="2" t="inlineStr">
        <is>
          <t>2026-05-28</t>
        </is>
      </c>
      <c r="B7269" s="3" t="inlineStr">
        <is>
          <t>한전산업</t>
        </is>
      </c>
      <c r="C7269" s="2" t="inlineStr">
        <is>
          <t>코스피</t>
        </is>
      </c>
      <c r="D7269" s="2" t="inlineStr">
        <is>
          <t>130660</t>
        </is>
      </c>
      <c r="E7269" s="3" t="inlineStr">
        <is>
          <t xml:space="preserve">기업지배구조보고서공시              </t>
        </is>
      </c>
      <c r="F7269" s="3" t="inlineStr">
        <is>
          <t>한전산업</t>
        </is>
      </c>
      <c r="G7269" s="2" t="inlineStr">
        <is>
          <t>20260528800452</t>
        </is>
      </c>
      <c r="H7269" s="8">
        <f>HYPERLINK("https://dart.fss.or.kr/dsaf001/main.do?rcpNo=20260528800452", "공시열람")</f>
        <v/>
      </c>
    </row>
    <row r="7270">
      <c r="A7270" s="2" t="inlineStr">
        <is>
          <t>2026-05-28 (정정: 2026-06-01)</t>
        </is>
      </c>
      <c r="B7270" s="3" t="inlineStr">
        <is>
          <t>농심</t>
        </is>
      </c>
      <c r="C7270" s="2" t="inlineStr">
        <is>
          <t>코스피</t>
        </is>
      </c>
      <c r="D7270" s="2" t="inlineStr">
        <is>
          <t>004370</t>
        </is>
      </c>
      <c r="E7270" s="3" t="inlineStr">
        <is>
          <t>대규모기업집단현황공시[연1회(동일인용)] (정정: 20260601)</t>
        </is>
      </c>
      <c r="F7270" s="3" t="inlineStr">
        <is>
          <t>신동원</t>
        </is>
      </c>
      <c r="G7270" s="2" t="inlineStr">
        <is>
          <t>20260601000814</t>
        </is>
      </c>
      <c r="H7270" s="8">
        <f>HYPERLINK("https://dart.fss.or.kr/dsaf001/main.do?rcpNo=20260601000814", "공시열람")</f>
        <v/>
      </c>
    </row>
    <row r="7271">
      <c r="A7271" s="2" t="inlineStr">
        <is>
          <t>2026-05-28</t>
        </is>
      </c>
      <c r="B7271" s="3" t="inlineStr">
        <is>
          <t>한화투자증권</t>
        </is>
      </c>
      <c r="C7271" s="2" t="inlineStr">
        <is>
          <t>코스피</t>
        </is>
      </c>
      <c r="D7271" s="2" t="inlineStr">
        <is>
          <t>003530</t>
        </is>
      </c>
      <c r="E7271" s="3" t="inlineStr">
        <is>
          <t>투자설명서(일괄신고)</t>
        </is>
      </c>
      <c r="F7271" s="3" t="inlineStr">
        <is>
          <t>한화투자증권</t>
        </is>
      </c>
      <c r="G7271" s="2" t="inlineStr">
        <is>
          <t>20260528000440</t>
        </is>
      </c>
      <c r="H7271" s="8">
        <f>HYPERLINK("https://dart.fss.or.kr/dsaf001/main.do?rcpNo=20260528000440", "공시열람")</f>
        <v/>
      </c>
    </row>
    <row r="7272">
      <c r="A7272" s="2" t="inlineStr">
        <is>
          <t>2026-05-28 (정정: 2026-05-29)</t>
        </is>
      </c>
      <c r="B7272" s="3" t="inlineStr">
        <is>
          <t>농심</t>
        </is>
      </c>
      <c r="C7272" s="2" t="inlineStr">
        <is>
          <t>코스피</t>
        </is>
      </c>
      <c r="D7272" s="2" t="inlineStr">
        <is>
          <t>004370</t>
        </is>
      </c>
      <c r="E7272" s="3" t="inlineStr">
        <is>
          <t>대규모기업집단현황공시[연1회공시및1/4분기용(대표회사)] (정정: 20260529)</t>
        </is>
      </c>
      <c r="F7272" s="3" t="inlineStr">
        <is>
          <t>농심</t>
        </is>
      </c>
      <c r="G7272" s="2" t="inlineStr">
        <is>
          <t>20260529802104</t>
        </is>
      </c>
      <c r="H7272" s="8">
        <f>HYPERLINK("https://dart.fss.or.kr/dsaf001/main.do?rcpNo=20260529802104", "공시열람")</f>
        <v/>
      </c>
    </row>
    <row r="7273">
      <c r="A7273" s="2" t="inlineStr">
        <is>
          <t>2026-05-28 (정정: 2026-05-29)</t>
        </is>
      </c>
      <c r="B7273" s="3" t="inlineStr">
        <is>
          <t>하이트진로</t>
        </is>
      </c>
      <c r="C7273" s="2" t="inlineStr">
        <is>
          <t>코스피</t>
        </is>
      </c>
      <c r="D7273" s="2" t="inlineStr">
        <is>
          <t>000080</t>
        </is>
      </c>
      <c r="E7273" s="3" t="inlineStr">
        <is>
          <t>기업지배구조보고서공시               (정정: 20260529)</t>
        </is>
      </c>
      <c r="F7273" s="3" t="inlineStr">
        <is>
          <t>하이트진로</t>
        </is>
      </c>
      <c r="G7273" s="2" t="inlineStr">
        <is>
          <t>20260529001892</t>
        </is>
      </c>
      <c r="H7273" s="8">
        <f>HYPERLINK("https://dart.fss.or.kr/dsaf001/main.do?rcpNo=20260529001892", "공시열람")</f>
        <v/>
      </c>
    </row>
    <row r="7274">
      <c r="A7274" s="2" t="inlineStr">
        <is>
          <t>2026-05-28</t>
        </is>
      </c>
      <c r="B7274" s="3" t="inlineStr">
        <is>
          <t>한화투자증권</t>
        </is>
      </c>
      <c r="C7274" s="2" t="inlineStr">
        <is>
          <t>코스피</t>
        </is>
      </c>
      <c r="D7274" s="2" t="inlineStr">
        <is>
          <t>003530</t>
        </is>
      </c>
      <c r="E7274" s="3" t="inlineStr">
        <is>
          <t>일괄신고추가서류(파생결합사채-주가연계파생결합사채)</t>
        </is>
      </c>
      <c r="F7274" s="3" t="inlineStr">
        <is>
          <t>한화투자증권</t>
        </is>
      </c>
      <c r="G7274" s="2" t="inlineStr">
        <is>
          <t>20260528000420</t>
        </is>
      </c>
      <c r="H7274" s="8">
        <f>HYPERLINK("https://dart.fss.or.kr/dsaf001/main.do?rcpNo=20260528000420", "공시열람")</f>
        <v/>
      </c>
    </row>
    <row r="7275">
      <c r="A7275" s="2" t="inlineStr">
        <is>
          <t>2026-05-28</t>
        </is>
      </c>
      <c r="B7275" s="3" t="inlineStr">
        <is>
          <t>키움증권</t>
        </is>
      </c>
      <c r="C7275" s="2" t="inlineStr">
        <is>
          <t>코스피</t>
        </is>
      </c>
      <c r="D7275" s="2" t="inlineStr">
        <is>
          <t>039490</t>
        </is>
      </c>
      <c r="E7275" s="3" t="inlineStr">
        <is>
          <t>일괄신고추가서류(파생결합사채-주가연계파생결합사채)</t>
        </is>
      </c>
      <c r="F7275" s="3" t="inlineStr">
        <is>
          <t>키움증권</t>
        </is>
      </c>
      <c r="G7275" s="2" t="inlineStr">
        <is>
          <t>20260528000417</t>
        </is>
      </c>
      <c r="H7275" s="8">
        <f>HYPERLINK("https://dart.fss.or.kr/dsaf001/main.do?rcpNo=20260528000417", "공시열람")</f>
        <v/>
      </c>
    </row>
    <row r="7276">
      <c r="A7276" s="2" t="inlineStr">
        <is>
          <t>2026-05-28</t>
        </is>
      </c>
      <c r="B7276" s="3" t="inlineStr">
        <is>
          <t>한올바이오파마</t>
        </is>
      </c>
      <c r="C7276" s="2" t="inlineStr">
        <is>
          <t>코스피</t>
        </is>
      </c>
      <c r="D7276" s="2" t="inlineStr">
        <is>
          <t>009420</t>
        </is>
      </c>
      <c r="E7276" s="3" t="inlineStr">
        <is>
          <t xml:space="preserve">기업설명회(IR)개최(안내공시)              </t>
        </is>
      </c>
      <c r="F7276" s="3" t="inlineStr">
        <is>
          <t>한올바이오파마</t>
        </is>
      </c>
      <c r="G7276" s="2" t="inlineStr">
        <is>
          <t>20260528800415</t>
        </is>
      </c>
      <c r="H7276" s="8">
        <f>HYPERLINK("https://dart.fss.or.kr/dsaf001/main.do?rcpNo=20260528800415", "공시열람")</f>
        <v/>
      </c>
    </row>
    <row r="7277">
      <c r="A7277" s="2" t="inlineStr">
        <is>
          <t>2026-05-28</t>
        </is>
      </c>
      <c r="B7277" s="3" t="inlineStr">
        <is>
          <t>DB증권</t>
        </is>
      </c>
      <c r="C7277" s="2" t="inlineStr">
        <is>
          <t>코스피</t>
        </is>
      </c>
      <c r="D7277" s="2" t="inlineStr">
        <is>
          <t>016610</t>
        </is>
      </c>
      <c r="E7277" s="3" t="inlineStr">
        <is>
          <t>일괄신고추가서류(기타파생결합사채)</t>
        </is>
      </c>
      <c r="F7277" s="3" t="inlineStr">
        <is>
          <t>DB증권</t>
        </is>
      </c>
      <c r="G7277" s="2" t="inlineStr">
        <is>
          <t>20260528000411</t>
        </is>
      </c>
      <c r="H7277" s="8">
        <f>HYPERLINK("https://dart.fss.or.kr/dsaf001/main.do?rcpNo=20260528000411", "공시열람")</f>
        <v/>
      </c>
    </row>
    <row r="7278">
      <c r="A7278" s="2" t="inlineStr">
        <is>
          <t>2026-05-28</t>
        </is>
      </c>
      <c r="B7278" s="3" t="inlineStr">
        <is>
          <t>아진전자부품</t>
        </is>
      </c>
      <c r="C7278" s="2" t="inlineStr">
        <is>
          <t>코스피</t>
        </is>
      </c>
      <c r="D7278" s="2" t="inlineStr">
        <is>
          <t>009320</t>
        </is>
      </c>
      <c r="E7278" s="3" t="inlineStr">
        <is>
          <t>임원ㆍ주요주주특정증권등소유상황보고서</t>
        </is>
      </c>
      <c r="F7278" s="3" t="inlineStr">
        <is>
          <t>이석호</t>
        </is>
      </c>
      <c r="G7278" s="2" t="inlineStr">
        <is>
          <t>20260528000407</t>
        </is>
      </c>
      <c r="H7278" s="8">
        <f>HYPERLINK("https://dart.fss.or.kr/dsaf001/main.do?rcpNo=20260528000407", "공시열람")</f>
        <v/>
      </c>
    </row>
    <row r="7279">
      <c r="A7279" s="2" t="inlineStr">
        <is>
          <t>2026-05-28</t>
        </is>
      </c>
      <c r="B7279" s="3" t="inlineStr">
        <is>
          <t>이뮨온시아</t>
        </is>
      </c>
      <c r="C7279" s="2" t="inlineStr">
        <is>
          <t>코스닥</t>
        </is>
      </c>
      <c r="D7279" s="2" t="inlineStr">
        <is>
          <t>424870</t>
        </is>
      </c>
      <c r="E7279" s="3" t="inlineStr">
        <is>
          <t>임원ㆍ주요주주특정증권등소유상황보고서</t>
        </is>
      </c>
      <c r="F7279" s="3" t="inlineStr">
        <is>
          <t>PAIK SOONMYUNG</t>
        </is>
      </c>
      <c r="G7279" s="2" t="inlineStr">
        <is>
          <t>20260528000397</t>
        </is>
      </c>
      <c r="H7279" s="8">
        <f>HYPERLINK("https://dart.fss.or.kr/dsaf001/main.do?rcpNo=20260528000397", "공시열람")</f>
        <v/>
      </c>
    </row>
    <row r="7280">
      <c r="A7280" s="2" t="inlineStr">
        <is>
          <t>2026-05-28 (정정: 2026-06-19)</t>
        </is>
      </c>
      <c r="B7280" s="3" t="inlineStr">
        <is>
          <t>그리드위즈</t>
        </is>
      </c>
      <c r="C7280" s="2" t="inlineStr">
        <is>
          <t>코스닥</t>
        </is>
      </c>
      <c r="D7280" s="2" t="inlineStr">
        <is>
          <t>453450</t>
        </is>
      </c>
      <c r="E7280" s="3" t="inlineStr">
        <is>
          <t>임원ㆍ주요주주특정증권등소유상황보고서 (정정: 20260619)</t>
        </is>
      </c>
      <c r="F7280" s="3" t="inlineStr">
        <is>
          <t>류준우</t>
        </is>
      </c>
      <c r="G7280" s="2" t="inlineStr">
        <is>
          <t>20260619000475</t>
        </is>
      </c>
      <c r="H7280" s="8">
        <f>HYPERLINK("https://dart.fss.or.kr/dsaf001/main.do?rcpNo=20260619000475", "공시열람")</f>
        <v/>
      </c>
    </row>
    <row r="7281">
      <c r="A7281" s="2" t="inlineStr">
        <is>
          <t>2026-05-28</t>
        </is>
      </c>
      <c r="B7281" s="3" t="inlineStr">
        <is>
          <t>대신증권</t>
        </is>
      </c>
      <c r="C7281" s="2" t="inlineStr">
        <is>
          <t>코스피</t>
        </is>
      </c>
      <c r="D7281" s="2" t="inlineStr">
        <is>
          <t>003540</t>
        </is>
      </c>
      <c r="E7281" s="3" t="inlineStr">
        <is>
          <t>투자설명서(일괄신고)</t>
        </is>
      </c>
      <c r="F7281" s="3" t="inlineStr">
        <is>
          <t>대신증권</t>
        </is>
      </c>
      <c r="G7281" s="2" t="inlineStr">
        <is>
          <t>20260528000389</t>
        </is>
      </c>
      <c r="H7281" s="8">
        <f>HYPERLINK("https://dart.fss.or.kr/dsaf001/main.do?rcpNo=20260528000389", "공시열람")</f>
        <v/>
      </c>
    </row>
    <row r="7282">
      <c r="A7282" s="2" t="inlineStr">
        <is>
          <t>2026-05-28</t>
        </is>
      </c>
      <c r="B7282" s="3" t="inlineStr">
        <is>
          <t>한화투자증권</t>
        </is>
      </c>
      <c r="C7282" s="2" t="inlineStr">
        <is>
          <t>코스피</t>
        </is>
      </c>
      <c r="D7282" s="2" t="inlineStr">
        <is>
          <t>003530</t>
        </is>
      </c>
      <c r="E7282" s="3" t="inlineStr">
        <is>
          <t>투자설명서(일괄신고)</t>
        </is>
      </c>
      <c r="F7282" s="3" t="inlineStr">
        <is>
          <t>한화투자증권</t>
        </is>
      </c>
      <c r="G7282" s="2" t="inlineStr">
        <is>
          <t>20260528000387</t>
        </is>
      </c>
      <c r="H7282" s="8">
        <f>HYPERLINK("https://dart.fss.or.kr/dsaf001/main.do?rcpNo=20260528000387", "공시열람")</f>
        <v/>
      </c>
    </row>
    <row r="7283">
      <c r="A7283" s="2" t="inlineStr">
        <is>
          <t>2026-05-28</t>
        </is>
      </c>
      <c r="B7283" s="3" t="inlineStr">
        <is>
          <t>한화투자증권</t>
        </is>
      </c>
      <c r="C7283" s="2" t="inlineStr">
        <is>
          <t>코스피</t>
        </is>
      </c>
      <c r="D7283" s="2" t="inlineStr">
        <is>
          <t>003530</t>
        </is>
      </c>
      <c r="E7283" s="3" t="inlineStr">
        <is>
          <t>투자설명서(일괄신고)</t>
        </is>
      </c>
      <c r="F7283" s="3" t="inlineStr">
        <is>
          <t>한화투자증권</t>
        </is>
      </c>
      <c r="G7283" s="2" t="inlineStr">
        <is>
          <t>20260528000379</t>
        </is>
      </c>
      <c r="H7283" s="8">
        <f>HYPERLINK("https://dart.fss.or.kr/dsaf001/main.do?rcpNo=20260528000379", "공시열람")</f>
        <v/>
      </c>
    </row>
    <row r="7284">
      <c r="A7284" s="2" t="inlineStr">
        <is>
          <t>2026-05-28</t>
        </is>
      </c>
      <c r="B7284" s="3" t="inlineStr">
        <is>
          <t>에스켐</t>
        </is>
      </c>
      <c r="C7284" s="2" t="inlineStr">
        <is>
          <t>코스닥</t>
        </is>
      </c>
      <c r="D7284" s="2" t="inlineStr">
        <is>
          <t>475660</t>
        </is>
      </c>
      <c r="E7284" s="3" t="inlineStr">
        <is>
          <t>임원ㆍ주요주주특정증권등소유상황보고서</t>
        </is>
      </c>
      <c r="F7284" s="3" t="inlineStr">
        <is>
          <t>이대원</t>
        </is>
      </c>
      <c r="G7284" s="2" t="inlineStr">
        <is>
          <t>20260528000376</t>
        </is>
      </c>
      <c r="H7284" s="8">
        <f>HYPERLINK("https://dart.fss.or.kr/dsaf001/main.do?rcpNo=20260528000376", "공시열람")</f>
        <v/>
      </c>
    </row>
    <row r="7285">
      <c r="A7285" s="2" t="inlineStr">
        <is>
          <t>2026-05-28</t>
        </is>
      </c>
      <c r="B7285" s="3" t="inlineStr">
        <is>
          <t>미창석유공업</t>
        </is>
      </c>
      <c r="C7285" s="2" t="inlineStr">
        <is>
          <t>코스피</t>
        </is>
      </c>
      <c r="D7285" s="2" t="inlineStr">
        <is>
          <t>003650</t>
        </is>
      </c>
      <c r="E7285" s="3" t="inlineStr">
        <is>
          <t xml:space="preserve">기업지배구조보고서공시              </t>
        </is>
      </c>
      <c r="F7285" s="3" t="inlineStr">
        <is>
          <t>미창석유공업</t>
        </is>
      </c>
      <c r="G7285" s="2" t="inlineStr">
        <is>
          <t>20260528800377</t>
        </is>
      </c>
      <c r="H7285" s="8">
        <f>HYPERLINK("https://dart.fss.or.kr/dsaf001/main.do?rcpNo=20260528800377", "공시열람")</f>
        <v/>
      </c>
    </row>
    <row r="7286">
      <c r="A7286" s="2" t="inlineStr">
        <is>
          <t>2026-05-28</t>
        </is>
      </c>
      <c r="B7286" s="3" t="inlineStr">
        <is>
          <t>한국토지신탁</t>
        </is>
      </c>
      <c r="C7286" s="2" t="inlineStr">
        <is>
          <t>코스피</t>
        </is>
      </c>
      <c r="D7286" s="2" t="inlineStr">
        <is>
          <t>034830</t>
        </is>
      </c>
      <c r="E7286" s="3" t="inlineStr">
        <is>
          <t xml:space="preserve">기업설명회(IR)개최(안내공시)              </t>
        </is>
      </c>
      <c r="F7286" s="3" t="inlineStr">
        <is>
          <t>한국토지신탁</t>
        </is>
      </c>
      <c r="G7286" s="2" t="inlineStr">
        <is>
          <t>20260528800371</t>
        </is>
      </c>
      <c r="H7286" s="8">
        <f>HYPERLINK("https://dart.fss.or.kr/dsaf001/main.do?rcpNo=20260528800371", "공시열람")</f>
        <v/>
      </c>
    </row>
    <row r="7287">
      <c r="A7287" s="2" t="inlineStr">
        <is>
          <t>2026-05-28</t>
        </is>
      </c>
      <c r="B7287" s="3" t="inlineStr">
        <is>
          <t>한농화성</t>
        </is>
      </c>
      <c r="C7287" s="2" t="inlineStr">
        <is>
          <t>코스피</t>
        </is>
      </c>
      <c r="D7287" s="2" t="inlineStr">
        <is>
          <t>011500</t>
        </is>
      </c>
      <c r="E7287" s="3" t="inlineStr">
        <is>
          <t xml:space="preserve">기업지배구조보고서공시              </t>
        </is>
      </c>
      <c r="F7287" s="3" t="inlineStr">
        <is>
          <t>한농화성</t>
        </is>
      </c>
      <c r="G7287" s="2" t="inlineStr">
        <is>
          <t>20260528800367</t>
        </is>
      </c>
      <c r="H7287" s="8">
        <f>HYPERLINK("https://dart.fss.or.kr/dsaf001/main.do?rcpNo=20260528800367", "공시열람")</f>
        <v/>
      </c>
    </row>
    <row r="7288">
      <c r="A7288" s="2" t="inlineStr">
        <is>
          <t>2026-05-28</t>
        </is>
      </c>
      <c r="B7288" s="3" t="inlineStr">
        <is>
          <t>프롬바이오</t>
        </is>
      </c>
      <c r="C7288" s="2" t="inlineStr">
        <is>
          <t>코스닥</t>
        </is>
      </c>
      <c r="D7288" s="2" t="inlineStr">
        <is>
          <t>377220</t>
        </is>
      </c>
      <c r="E7288" s="3" t="inlineStr">
        <is>
          <t xml:space="preserve">주식병합결정              </t>
        </is>
      </c>
      <c r="F7288" s="3" t="inlineStr">
        <is>
          <t>프롬바이오</t>
        </is>
      </c>
      <c r="G7288" s="2" t="inlineStr">
        <is>
          <t>20260528900357</t>
        </is>
      </c>
      <c r="H7288" s="8">
        <f>HYPERLINK("https://dart.fss.or.kr/dsaf001/main.do?rcpNo=20260528900357", "공시열람")</f>
        <v/>
      </c>
    </row>
    <row r="7289">
      <c r="A7289" s="2" t="inlineStr">
        <is>
          <t>2026-05-28</t>
        </is>
      </c>
      <c r="B7289" s="3" t="inlineStr">
        <is>
          <t>삼성카드</t>
        </is>
      </c>
      <c r="C7289" s="2" t="inlineStr">
        <is>
          <t>코스피</t>
        </is>
      </c>
      <c r="D7289" s="2" t="inlineStr">
        <is>
          <t>029780</t>
        </is>
      </c>
      <c r="E7289" s="3" t="inlineStr">
        <is>
          <t>증권발행실적보고서</t>
        </is>
      </c>
      <c r="F7289" s="3" t="inlineStr">
        <is>
          <t>삼성카드</t>
        </is>
      </c>
      <c r="G7289" s="2" t="inlineStr">
        <is>
          <t>20260528000312</t>
        </is>
      </c>
      <c r="H7289" s="8">
        <f>HYPERLINK("https://dart.fss.or.kr/dsaf001/main.do?rcpNo=20260528000312", "공시열람")</f>
        <v/>
      </c>
    </row>
    <row r="7290">
      <c r="A7290" s="2" t="inlineStr">
        <is>
          <t>2026-05-28</t>
        </is>
      </c>
      <c r="B7290" s="3" t="inlineStr">
        <is>
          <t>엔피</t>
        </is>
      </c>
      <c r="C7290" s="2" t="inlineStr">
        <is>
          <t>코스닥</t>
        </is>
      </c>
      <c r="D7290" s="2" t="inlineStr">
        <is>
          <t>291230</t>
        </is>
      </c>
      <c r="E7290" s="3" t="inlineStr">
        <is>
          <t>투자설명서</t>
        </is>
      </c>
      <c r="F7290" s="3" t="inlineStr">
        <is>
          <t>엔피</t>
        </is>
      </c>
      <c r="G7290" s="2" t="inlineStr">
        <is>
          <t>20260528000309</t>
        </is>
      </c>
      <c r="H7290" s="8">
        <f>HYPERLINK("https://dart.fss.or.kr/dsaf001/main.do?rcpNo=20260528000309", "공시열람")</f>
        <v/>
      </c>
    </row>
    <row r="7291">
      <c r="A7291" s="2" t="inlineStr">
        <is>
          <t>2026-05-28</t>
        </is>
      </c>
      <c r="B7291" s="3" t="inlineStr">
        <is>
          <t>삼성증권</t>
        </is>
      </c>
      <c r="C7291" s="2" t="inlineStr">
        <is>
          <t>코스피</t>
        </is>
      </c>
      <c r="D7291" s="2" t="inlineStr">
        <is>
          <t>016360</t>
        </is>
      </c>
      <c r="E7291" s="3" t="inlineStr">
        <is>
          <t>증권발행실적보고서</t>
        </is>
      </c>
      <c r="F7291" s="3" t="inlineStr">
        <is>
          <t>삼성증권</t>
        </is>
      </c>
      <c r="G7291" s="2" t="inlineStr">
        <is>
          <t>20260528000302</t>
        </is>
      </c>
      <c r="H7291" s="8">
        <f>HYPERLINK("https://dart.fss.or.kr/dsaf001/main.do?rcpNo=20260528000302", "공시열람")</f>
        <v/>
      </c>
    </row>
    <row r="7292">
      <c r="A7292" s="2" t="inlineStr">
        <is>
          <t>2026-05-28</t>
        </is>
      </c>
      <c r="B7292" s="3" t="inlineStr">
        <is>
          <t>삼성증권</t>
        </is>
      </c>
      <c r="C7292" s="2" t="inlineStr">
        <is>
          <t>코스피</t>
        </is>
      </c>
      <c r="D7292" s="2" t="inlineStr">
        <is>
          <t>016360</t>
        </is>
      </c>
      <c r="E7292" s="3" t="inlineStr">
        <is>
          <t>투자설명서(일괄신고)</t>
        </is>
      </c>
      <c r="F7292" s="3" t="inlineStr">
        <is>
          <t>삼성증권</t>
        </is>
      </c>
      <c r="G7292" s="2" t="inlineStr">
        <is>
          <t>20260528000301</t>
        </is>
      </c>
      <c r="H7292" s="8">
        <f>HYPERLINK("https://dart.fss.or.kr/dsaf001/main.do?rcpNo=20260528000301", "공시열람")</f>
        <v/>
      </c>
    </row>
    <row r="7293">
      <c r="A7293" s="2" t="inlineStr">
        <is>
          <t>2026-05-28</t>
        </is>
      </c>
      <c r="B7293" s="3" t="inlineStr">
        <is>
          <t>삼성에스디에스</t>
        </is>
      </c>
      <c r="C7293" s="2" t="inlineStr">
        <is>
          <t>코스피</t>
        </is>
      </c>
      <c r="D7293" s="2" t="inlineStr">
        <is>
          <t>018260</t>
        </is>
      </c>
      <c r="E7293" s="3" t="inlineStr">
        <is>
          <t>임원ㆍ주요주주특정증권등소유상황보고서</t>
        </is>
      </c>
      <c r="F7293" s="3" t="inlineStr">
        <is>
          <t>민대홍</t>
        </is>
      </c>
      <c r="G7293" s="2" t="inlineStr">
        <is>
          <t>20260528000299</t>
        </is>
      </c>
      <c r="H7293" s="8">
        <f>HYPERLINK("https://dart.fss.or.kr/dsaf001/main.do?rcpNo=20260528000299", "공시열람")</f>
        <v/>
      </c>
    </row>
    <row r="7294">
      <c r="A7294" s="2" t="inlineStr">
        <is>
          <t>2026-05-28</t>
        </is>
      </c>
      <c r="B7294" s="3" t="inlineStr">
        <is>
          <t>질경이</t>
        </is>
      </c>
      <c r="C7294" s="2" t="inlineStr">
        <is>
          <t>코넥스</t>
        </is>
      </c>
      <c r="D7294" s="2" t="inlineStr">
        <is>
          <t>233990</t>
        </is>
      </c>
      <c r="E7294" s="3" t="inlineStr">
        <is>
          <t>임원ㆍ주요주주특정증권등거래계획보고서</t>
        </is>
      </c>
      <c r="F7294" s="3" t="inlineStr">
        <is>
          <t>최원석</t>
        </is>
      </c>
      <c r="G7294" s="2" t="inlineStr">
        <is>
          <t>20260528000295</t>
        </is>
      </c>
      <c r="H7294" s="8">
        <f>HYPERLINK("https://dart.fss.or.kr/dsaf001/main.do?rcpNo=20260528000295", "공시열람")</f>
        <v/>
      </c>
    </row>
    <row r="7295">
      <c r="A7295" s="2" t="inlineStr">
        <is>
          <t>2026-05-28</t>
        </is>
      </c>
      <c r="B7295" s="3" t="inlineStr">
        <is>
          <t>BNK금융지주</t>
        </is>
      </c>
      <c r="C7295" s="2" t="inlineStr">
        <is>
          <t>코스피</t>
        </is>
      </c>
      <c r="D7295" s="2" t="inlineStr">
        <is>
          <t>138930</t>
        </is>
      </c>
      <c r="E7295" s="3" t="inlineStr">
        <is>
          <t>임원ㆍ주요주주특정증권등소유상황보고서</t>
        </is>
      </c>
      <c r="F7295" s="3" t="inlineStr">
        <is>
          <t>김태호</t>
        </is>
      </c>
      <c r="G7295" s="2" t="inlineStr">
        <is>
          <t>20260528000293</t>
        </is>
      </c>
      <c r="H7295" s="8">
        <f>HYPERLINK("https://dart.fss.or.kr/dsaf001/main.do?rcpNo=20260528000293", "공시열람")</f>
        <v/>
      </c>
    </row>
    <row r="7296">
      <c r="A7296" s="2" t="inlineStr">
        <is>
          <t>2026-05-28</t>
        </is>
      </c>
      <c r="B7296" s="3" t="inlineStr">
        <is>
          <t>대화제약</t>
        </is>
      </c>
      <c r="C7296" s="2" t="inlineStr">
        <is>
          <t>코스닥</t>
        </is>
      </c>
      <c r="D7296" s="2" t="inlineStr">
        <is>
          <t>067080</t>
        </is>
      </c>
      <c r="E7296" s="3" t="inlineStr">
        <is>
          <t>임원ㆍ주요주주특정증권등소유상황보고서</t>
        </is>
      </c>
      <c r="F7296" s="3" t="inlineStr">
        <is>
          <t>방신원</t>
        </is>
      </c>
      <c r="G7296" s="2" t="inlineStr">
        <is>
          <t>20260528000292</t>
        </is>
      </c>
      <c r="H7296" s="8">
        <f>HYPERLINK("https://dart.fss.or.kr/dsaf001/main.do?rcpNo=20260528000292", "공시열람")</f>
        <v/>
      </c>
    </row>
    <row r="7297">
      <c r="A7297" s="2" t="inlineStr">
        <is>
          <t>2026-05-28</t>
        </is>
      </c>
      <c r="B7297" s="3" t="inlineStr">
        <is>
          <t>BNK금융지주</t>
        </is>
      </c>
      <c r="C7297" s="2" t="inlineStr">
        <is>
          <t>코스피</t>
        </is>
      </c>
      <c r="D7297" s="2" t="inlineStr">
        <is>
          <t>138930</t>
        </is>
      </c>
      <c r="E7297" s="3" t="inlineStr">
        <is>
          <t>임원ㆍ주요주주특정증권등소유상황보고서</t>
        </is>
      </c>
      <c r="F7297" s="3" t="inlineStr">
        <is>
          <t>이광준</t>
        </is>
      </c>
      <c r="G7297" s="2" t="inlineStr">
        <is>
          <t>20260528000290</t>
        </is>
      </c>
      <c r="H7297" s="8">
        <f>HYPERLINK("https://dart.fss.or.kr/dsaf001/main.do?rcpNo=20260528000290", "공시열람")</f>
        <v/>
      </c>
    </row>
    <row r="7298">
      <c r="A7298" s="2" t="inlineStr">
        <is>
          <t>2026-05-28</t>
        </is>
      </c>
      <c r="B7298" s="3" t="inlineStr">
        <is>
          <t>BNK금융지주</t>
        </is>
      </c>
      <c r="C7298" s="2" t="inlineStr">
        <is>
          <t>코스피</t>
        </is>
      </c>
      <c r="D7298" s="2" t="inlineStr">
        <is>
          <t>138930</t>
        </is>
      </c>
      <c r="E7298" s="3" t="inlineStr">
        <is>
          <t>임원ㆍ주요주주특정증권등소유상황보고서</t>
        </is>
      </c>
      <c r="F7298" s="3" t="inlineStr">
        <is>
          <t>이동렬</t>
        </is>
      </c>
      <c r="G7298" s="2" t="inlineStr">
        <is>
          <t>20260528000288</t>
        </is>
      </c>
      <c r="H7298" s="8">
        <f>HYPERLINK("https://dart.fss.or.kr/dsaf001/main.do?rcpNo=20260528000288", "공시열람")</f>
        <v/>
      </c>
    </row>
    <row r="7299">
      <c r="A7299" s="2" t="inlineStr">
        <is>
          <t>2026-05-28</t>
        </is>
      </c>
      <c r="B7299" s="3" t="inlineStr">
        <is>
          <t>BNK금융지주</t>
        </is>
      </c>
      <c r="C7299" s="2" t="inlineStr">
        <is>
          <t>코스피</t>
        </is>
      </c>
      <c r="D7299" s="2" t="inlineStr">
        <is>
          <t>138930</t>
        </is>
      </c>
      <c r="E7299" s="3" t="inlineStr">
        <is>
          <t>임원ㆍ주요주주특정증권등소유상황보고서</t>
        </is>
      </c>
      <c r="F7299" s="3" t="inlineStr">
        <is>
          <t>김주성</t>
        </is>
      </c>
      <c r="G7299" s="2" t="inlineStr">
        <is>
          <t>20260528000285</t>
        </is>
      </c>
      <c r="H7299" s="8">
        <f>HYPERLINK("https://dart.fss.or.kr/dsaf001/main.do?rcpNo=20260528000285", "공시열람")</f>
        <v/>
      </c>
    </row>
    <row r="7300">
      <c r="A7300" s="2" t="inlineStr">
        <is>
          <t>2026-05-28</t>
        </is>
      </c>
      <c r="B7300" s="3" t="inlineStr">
        <is>
          <t>BNK금융지주</t>
        </is>
      </c>
      <c r="C7300" s="2" t="inlineStr">
        <is>
          <t>코스피</t>
        </is>
      </c>
      <c r="D7300" s="2" t="inlineStr">
        <is>
          <t>138930</t>
        </is>
      </c>
      <c r="E7300" s="3" t="inlineStr">
        <is>
          <t>임원ㆍ주요주주특정증권등소유상황보고서</t>
        </is>
      </c>
      <c r="F7300" s="3" t="inlineStr">
        <is>
          <t>이한창</t>
        </is>
      </c>
      <c r="G7300" s="2" t="inlineStr">
        <is>
          <t>20260528000284</t>
        </is>
      </c>
      <c r="H7300" s="8">
        <f>HYPERLINK("https://dart.fss.or.kr/dsaf001/main.do?rcpNo=20260528000284", "공시열람")</f>
        <v/>
      </c>
    </row>
    <row r="7301">
      <c r="A7301" s="2" t="inlineStr">
        <is>
          <t>2026-05-28 (정정: 2026-06-11)</t>
        </is>
      </c>
      <c r="B7301" s="3" t="inlineStr">
        <is>
          <t>대화제약</t>
        </is>
      </c>
      <c r="C7301" s="2" t="inlineStr">
        <is>
          <t>코스닥</t>
        </is>
      </c>
      <c r="D7301" s="2" t="inlineStr">
        <is>
          <t>067080</t>
        </is>
      </c>
      <c r="E7301" s="3" t="inlineStr">
        <is>
          <t>임원ㆍ주요주주특정증권등소유상황보고서 (정정: 20260611) (정정: 20260611)</t>
        </is>
      </c>
      <c r="F7301" s="3" t="inlineStr">
        <is>
          <t>김은석</t>
        </is>
      </c>
      <c r="G7301" s="2" t="inlineStr">
        <is>
          <t>20260611900358</t>
        </is>
      </c>
      <c r="H7301" s="8">
        <f>HYPERLINK("https://dart.fss.or.kr/dsaf001/main.do?rcpNo=20260611900358", "공시열람")</f>
        <v/>
      </c>
    </row>
    <row r="7302">
      <c r="A7302" s="2" t="inlineStr">
        <is>
          <t>2026-05-28</t>
        </is>
      </c>
      <c r="B7302" s="3" t="inlineStr">
        <is>
          <t>BNK금융지주</t>
        </is>
      </c>
      <c r="C7302" s="2" t="inlineStr">
        <is>
          <t>코스피</t>
        </is>
      </c>
      <c r="D7302" s="2" t="inlineStr">
        <is>
          <t>138930</t>
        </is>
      </c>
      <c r="E7302" s="3" t="inlineStr">
        <is>
          <t>임원ㆍ주요주주특정증권등소유상황보고서</t>
        </is>
      </c>
      <c r="F7302" s="3" t="inlineStr">
        <is>
          <t>홍명종</t>
        </is>
      </c>
      <c r="G7302" s="2" t="inlineStr">
        <is>
          <t>20260528000281</t>
        </is>
      </c>
      <c r="H7302" s="8">
        <f>HYPERLINK("https://dart.fss.or.kr/dsaf001/main.do?rcpNo=20260528000281", "공시열람")</f>
        <v/>
      </c>
    </row>
    <row r="7303">
      <c r="A7303" s="2" t="inlineStr">
        <is>
          <t>2026-05-28</t>
        </is>
      </c>
      <c r="B7303" s="3" t="inlineStr">
        <is>
          <t>BNK금융지주</t>
        </is>
      </c>
      <c r="C7303" s="2" t="inlineStr">
        <is>
          <t>코스피</t>
        </is>
      </c>
      <c r="D7303" s="2" t="inlineStr">
        <is>
          <t>138930</t>
        </is>
      </c>
      <c r="E7303" s="3" t="inlineStr">
        <is>
          <t>임원ㆍ주요주주특정증권등소유상황보고서</t>
        </is>
      </c>
      <c r="F7303" s="3" t="inlineStr">
        <is>
          <t>박성욱</t>
        </is>
      </c>
      <c r="G7303" s="2" t="inlineStr">
        <is>
          <t>20260528000274</t>
        </is>
      </c>
      <c r="H7303" s="8">
        <f>HYPERLINK("https://dart.fss.or.kr/dsaf001/main.do?rcpNo=20260528000274", "공시열람")</f>
        <v/>
      </c>
    </row>
    <row r="7304">
      <c r="A7304" s="2" t="inlineStr">
        <is>
          <t>2026-05-28</t>
        </is>
      </c>
      <c r="B7304" s="3" t="inlineStr">
        <is>
          <t>포스코DX</t>
        </is>
      </c>
      <c r="C7304" s="2" t="inlineStr">
        <is>
          <t>코스피</t>
        </is>
      </c>
      <c r="D7304" s="2" t="inlineStr">
        <is>
          <t>022100</t>
        </is>
      </c>
      <c r="E7304" s="3" t="inlineStr">
        <is>
          <t>대규모기업집단현황공시[연1회공시및1/4분기용(개별회사)]</t>
        </is>
      </c>
      <c r="F7304" s="3" t="inlineStr">
        <is>
          <t>포스코DX</t>
        </is>
      </c>
      <c r="G7304" s="2" t="inlineStr">
        <is>
          <t>20260528000269</t>
        </is>
      </c>
      <c r="H7304" s="8">
        <f>HYPERLINK("https://dart.fss.or.kr/dsaf001/main.do?rcpNo=20260528000269", "공시열람")</f>
        <v/>
      </c>
    </row>
    <row r="7305">
      <c r="A7305" s="2" t="inlineStr">
        <is>
          <t>2026-05-28</t>
        </is>
      </c>
      <c r="B7305" s="3" t="inlineStr">
        <is>
          <t>BNK금융지주</t>
        </is>
      </c>
      <c r="C7305" s="2" t="inlineStr">
        <is>
          <t>코스피</t>
        </is>
      </c>
      <c r="D7305" s="2" t="inlineStr">
        <is>
          <t>138930</t>
        </is>
      </c>
      <c r="E7305" s="3" t="inlineStr">
        <is>
          <t>임원ㆍ주요주주특정증권등소유상황보고서</t>
        </is>
      </c>
      <c r="F7305" s="3" t="inlineStr">
        <is>
          <t>강종훈</t>
        </is>
      </c>
      <c r="G7305" s="2" t="inlineStr">
        <is>
          <t>20260528000266</t>
        </is>
      </c>
      <c r="H7305" s="8">
        <f>HYPERLINK("https://dart.fss.or.kr/dsaf001/main.do?rcpNo=20260528000266", "공시열람")</f>
        <v/>
      </c>
    </row>
    <row r="7306">
      <c r="A7306" s="2" t="inlineStr">
        <is>
          <t>2026-05-28</t>
        </is>
      </c>
      <c r="B7306" s="3" t="inlineStr">
        <is>
          <t>키움증권</t>
        </is>
      </c>
      <c r="C7306" s="2" t="inlineStr">
        <is>
          <t>코스피</t>
        </is>
      </c>
      <c r="D7306" s="2" t="inlineStr">
        <is>
          <t>039490</t>
        </is>
      </c>
      <c r="E7306" s="3" t="inlineStr">
        <is>
          <t>일괄신고추가서류(파생결합증권-주가연계증권)</t>
        </is>
      </c>
      <c r="F7306" s="3" t="inlineStr">
        <is>
          <t>키움증권</t>
        </is>
      </c>
      <c r="G7306" s="2" t="inlineStr">
        <is>
          <t>20260528000262</t>
        </is>
      </c>
      <c r="H7306" s="8">
        <f>HYPERLINK("https://dart.fss.or.kr/dsaf001/main.do?rcpNo=20260528000262", "공시열람")</f>
        <v/>
      </c>
    </row>
    <row r="7307">
      <c r="A7307" s="2" t="inlineStr">
        <is>
          <t>2026-05-28</t>
        </is>
      </c>
      <c r="B7307" s="3" t="inlineStr">
        <is>
          <t>삼성증권</t>
        </is>
      </c>
      <c r="C7307" s="2" t="inlineStr">
        <is>
          <t>코스피</t>
        </is>
      </c>
      <c r="D7307" s="2" t="inlineStr">
        <is>
          <t>016360</t>
        </is>
      </c>
      <c r="E7307" s="3" t="inlineStr">
        <is>
          <t>일괄신고추가서류(파생결합증권-주가연계증권)</t>
        </is>
      </c>
      <c r="F7307" s="3" t="inlineStr">
        <is>
          <t>삼성증권</t>
        </is>
      </c>
      <c r="G7307" s="2" t="inlineStr">
        <is>
          <t>20260528000257</t>
        </is>
      </c>
      <c r="H7307" s="8">
        <f>HYPERLINK("https://dart.fss.or.kr/dsaf001/main.do?rcpNo=20260528000257", "공시열람")</f>
        <v/>
      </c>
    </row>
    <row r="7308">
      <c r="A7308" s="2" t="inlineStr">
        <is>
          <t>2026-05-28</t>
        </is>
      </c>
      <c r="B7308" s="3" t="inlineStr">
        <is>
          <t>키움증권</t>
        </is>
      </c>
      <c r="C7308" s="2" t="inlineStr">
        <is>
          <t>코스피</t>
        </is>
      </c>
      <c r="D7308" s="2" t="inlineStr">
        <is>
          <t>039490</t>
        </is>
      </c>
      <c r="E7308" s="3" t="inlineStr">
        <is>
          <t>일괄신고추가서류(파생결합사채-주가연계파생결합사채)</t>
        </is>
      </c>
      <c r="F7308" s="3" t="inlineStr">
        <is>
          <t>키움증권</t>
        </is>
      </c>
      <c r="G7308" s="2" t="inlineStr">
        <is>
          <t>20260528000253</t>
        </is>
      </c>
      <c r="H7308" s="8">
        <f>HYPERLINK("https://dart.fss.or.kr/dsaf001/main.do?rcpNo=20260528000253", "공시열람")</f>
        <v/>
      </c>
    </row>
    <row r="7309">
      <c r="A7309" s="2" t="inlineStr">
        <is>
          <t>2026-05-28</t>
        </is>
      </c>
      <c r="B7309" s="3" t="inlineStr">
        <is>
          <t>대신증권</t>
        </is>
      </c>
      <c r="C7309" s="2" t="inlineStr">
        <is>
          <t>코스피</t>
        </is>
      </c>
      <c r="D7309" s="2" t="inlineStr">
        <is>
          <t>003540</t>
        </is>
      </c>
      <c r="E7309" s="3" t="inlineStr">
        <is>
          <t>일괄신고추가서류(파생결합사채-주가연계파생결합사채)</t>
        </is>
      </c>
      <c r="F7309" s="3" t="inlineStr">
        <is>
          <t>대신증권</t>
        </is>
      </c>
      <c r="G7309" s="2" t="inlineStr">
        <is>
          <t>20260528000252</t>
        </is>
      </c>
      <c r="H7309" s="8">
        <f>HYPERLINK("https://dart.fss.or.kr/dsaf001/main.do?rcpNo=20260528000252", "공시열람")</f>
        <v/>
      </c>
    </row>
    <row r="7310">
      <c r="A7310" s="2" t="inlineStr">
        <is>
          <t>2026-05-28</t>
        </is>
      </c>
      <c r="B7310" s="3" t="inlineStr">
        <is>
          <t>POSCO홀딩스</t>
        </is>
      </c>
      <c r="C7310" s="2" t="inlineStr">
        <is>
          <t>코스피</t>
        </is>
      </c>
      <c r="D7310" s="2" t="inlineStr">
        <is>
          <t>005490</t>
        </is>
      </c>
      <c r="E7310" s="3" t="inlineStr">
        <is>
          <t>대규모기업집단현황공시[연1회(동일인용)]</t>
        </is>
      </c>
      <c r="F7310" s="3" t="inlineStr">
        <is>
          <t>POSCO홀딩스</t>
        </is>
      </c>
      <c r="G7310" s="2" t="inlineStr">
        <is>
          <t>20260528000245</t>
        </is>
      </c>
      <c r="H7310" s="8">
        <f>HYPERLINK("https://dart.fss.or.kr/dsaf001/main.do?rcpNo=20260528000245", "공시열람")</f>
        <v/>
      </c>
    </row>
    <row r="7311">
      <c r="A7311" s="2" t="inlineStr">
        <is>
          <t>2026-05-28</t>
        </is>
      </c>
      <c r="B7311" s="3" t="inlineStr">
        <is>
          <t>남선알미늄</t>
        </is>
      </c>
      <c r="C7311" s="2" t="inlineStr">
        <is>
          <t>코스피</t>
        </is>
      </c>
      <c r="D7311" s="2" t="inlineStr">
        <is>
          <t>008350</t>
        </is>
      </c>
      <c r="E7311" s="3" t="inlineStr">
        <is>
          <t xml:space="preserve">기업지배구조보고서공시              </t>
        </is>
      </c>
      <c r="F7311" s="3" t="inlineStr">
        <is>
          <t>남선알미늄</t>
        </is>
      </c>
      <c r="G7311" s="2" t="inlineStr">
        <is>
          <t>20260528800270</t>
        </is>
      </c>
      <c r="H7311" s="8">
        <f>HYPERLINK("https://dart.fss.or.kr/dsaf001/main.do?rcpNo=20260528800270", "공시열람")</f>
        <v/>
      </c>
    </row>
    <row r="7312">
      <c r="A7312" s="2" t="inlineStr">
        <is>
          <t>2026-05-28</t>
        </is>
      </c>
      <c r="B7312" s="3" t="inlineStr">
        <is>
          <t>한화투자증권</t>
        </is>
      </c>
      <c r="C7312" s="2" t="inlineStr">
        <is>
          <t>코스피</t>
        </is>
      </c>
      <c r="D7312" s="2" t="inlineStr">
        <is>
          <t>003530</t>
        </is>
      </c>
      <c r="E7312" s="3" t="inlineStr">
        <is>
          <t>일괄신고추가서류(파생결합증권-주가연계증권)</t>
        </is>
      </c>
      <c r="F7312" s="3" t="inlineStr">
        <is>
          <t>한화투자증권</t>
        </is>
      </c>
      <c r="G7312" s="2" t="inlineStr">
        <is>
          <t>20260528000242</t>
        </is>
      </c>
      <c r="H7312" s="8">
        <f>HYPERLINK("https://dart.fss.or.kr/dsaf001/main.do?rcpNo=20260528000242", "공시열람")</f>
        <v/>
      </c>
    </row>
    <row r="7313">
      <c r="A7313" s="2" t="inlineStr">
        <is>
          <t>2026-05-28</t>
        </is>
      </c>
      <c r="B7313" s="3" t="inlineStr">
        <is>
          <t>한화투자증권</t>
        </is>
      </c>
      <c r="C7313" s="2" t="inlineStr">
        <is>
          <t>코스피</t>
        </is>
      </c>
      <c r="D7313" s="2" t="inlineStr">
        <is>
          <t>003530</t>
        </is>
      </c>
      <c r="E7313" s="3" t="inlineStr">
        <is>
          <t>일괄신고추가서류(파생결합사채-주가연계파생결합사채)</t>
        </is>
      </c>
      <c r="F7313" s="3" t="inlineStr">
        <is>
          <t>한화투자증권</t>
        </is>
      </c>
      <c r="G7313" s="2" t="inlineStr">
        <is>
          <t>20260528000241</t>
        </is>
      </c>
      <c r="H7313" s="8">
        <f>HYPERLINK("https://dart.fss.or.kr/dsaf001/main.do?rcpNo=20260528000241", "공시열람")</f>
        <v/>
      </c>
    </row>
    <row r="7314">
      <c r="A7314" s="2" t="inlineStr">
        <is>
          <t>2026-05-28</t>
        </is>
      </c>
      <c r="B7314" s="3" t="inlineStr">
        <is>
          <t>BNK금융지주</t>
        </is>
      </c>
      <c r="C7314" s="2" t="inlineStr">
        <is>
          <t>코스피</t>
        </is>
      </c>
      <c r="D7314" s="2" t="inlineStr">
        <is>
          <t>138930</t>
        </is>
      </c>
      <c r="E7314" s="3" t="inlineStr">
        <is>
          <t>임원ㆍ주요주주특정증권등소유상황보고서</t>
        </is>
      </c>
      <c r="F7314" s="3" t="inlineStr">
        <is>
          <t>빈대인</t>
        </is>
      </c>
      <c r="G7314" s="2" t="inlineStr">
        <is>
          <t>20260528000239</t>
        </is>
      </c>
      <c r="H7314" s="8">
        <f>HYPERLINK("https://dart.fss.or.kr/dsaf001/main.do?rcpNo=20260528000239", "공시열람")</f>
        <v/>
      </c>
    </row>
    <row r="7315">
      <c r="A7315" s="2" t="inlineStr">
        <is>
          <t>2026-05-28</t>
        </is>
      </c>
      <c r="B7315" s="3" t="inlineStr">
        <is>
          <t>동원수산</t>
        </is>
      </c>
      <c r="C7315" s="2" t="inlineStr">
        <is>
          <t>코스피</t>
        </is>
      </c>
      <c r="D7315" s="2" t="inlineStr">
        <is>
          <t>030720</t>
        </is>
      </c>
      <c r="E7315" s="3" t="inlineStr">
        <is>
          <t xml:space="preserve">기업지배구조보고서공시              </t>
        </is>
      </c>
      <c r="F7315" s="3" t="inlineStr">
        <is>
          <t>동원수산</t>
        </is>
      </c>
      <c r="G7315" s="2" t="inlineStr">
        <is>
          <t>20260528800263</t>
        </is>
      </c>
      <c r="H7315" s="8">
        <f>HYPERLINK("https://dart.fss.or.kr/dsaf001/main.do?rcpNo=20260528800263", "공시열람")</f>
        <v/>
      </c>
    </row>
    <row r="7316">
      <c r="A7316" s="2" t="inlineStr">
        <is>
          <t>2026-05-28</t>
        </is>
      </c>
      <c r="B7316" s="3" t="inlineStr">
        <is>
          <t>마키나락스</t>
        </is>
      </c>
      <c r="C7316" s="2" t="inlineStr">
        <is>
          <t>코스닥</t>
        </is>
      </c>
      <c r="D7316" s="2" t="inlineStr">
        <is>
          <t>477850</t>
        </is>
      </c>
      <c r="E7316" s="3" t="inlineStr">
        <is>
          <t>임원ㆍ주요주주특정증권등소유상황보고서</t>
        </is>
      </c>
      <c r="F7316" s="3" t="inlineStr">
        <is>
          <t>심상우</t>
        </is>
      </c>
      <c r="G7316" s="2" t="inlineStr">
        <is>
          <t>20260528000215</t>
        </is>
      </c>
      <c r="H7316" s="8">
        <f>HYPERLINK("https://dart.fss.or.kr/dsaf001/main.do?rcpNo=20260528000215", "공시열람")</f>
        <v/>
      </c>
    </row>
    <row r="7317">
      <c r="A7317" s="2" t="inlineStr">
        <is>
          <t>2026-05-28</t>
        </is>
      </c>
      <c r="B7317" s="3" t="inlineStr">
        <is>
          <t>신성이엔지</t>
        </is>
      </c>
      <c r="C7317" s="2" t="inlineStr">
        <is>
          <t>코스피</t>
        </is>
      </c>
      <c r="D7317" s="2" t="inlineStr">
        <is>
          <t>011930</t>
        </is>
      </c>
      <c r="E7317" s="3" t="inlineStr">
        <is>
          <t xml:space="preserve">기업지배구조보고서공시              </t>
        </is>
      </c>
      <c r="F7317" s="3" t="inlineStr">
        <is>
          <t>신성이엔지</t>
        </is>
      </c>
      <c r="G7317" s="2" t="inlineStr">
        <is>
          <t>20260528800253</t>
        </is>
      </c>
      <c r="H7317" s="8">
        <f>HYPERLINK("https://dart.fss.or.kr/dsaf001/main.do?rcpNo=20260528800253", "공시열람")</f>
        <v/>
      </c>
    </row>
    <row r="7318">
      <c r="A7318" s="2" t="inlineStr">
        <is>
          <t>2026-05-28</t>
        </is>
      </c>
      <c r="B7318" s="3" t="inlineStr">
        <is>
          <t>일양약품</t>
        </is>
      </c>
      <c r="C7318" s="2" t="inlineStr">
        <is>
          <t>코스피</t>
        </is>
      </c>
      <c r="D7318" s="2" t="inlineStr">
        <is>
          <t>007570</t>
        </is>
      </c>
      <c r="E7318" s="3" t="inlineStr">
        <is>
          <t>임원ㆍ주요주주특정증권등소유상황보고서</t>
        </is>
      </c>
      <c r="F7318" s="3" t="inlineStr">
        <is>
          <t>정연찬</t>
        </is>
      </c>
      <c r="G7318" s="2" t="inlineStr">
        <is>
          <t>20260528000209</t>
        </is>
      </c>
      <c r="H7318" s="8">
        <f>HYPERLINK("https://dart.fss.or.kr/dsaf001/main.do?rcpNo=20260528000209", "공시열람")</f>
        <v/>
      </c>
    </row>
    <row r="7319">
      <c r="A7319" s="2" t="inlineStr">
        <is>
          <t>2026-05-28</t>
        </is>
      </c>
      <c r="B7319" s="3" t="inlineStr">
        <is>
          <t>DB증권</t>
        </is>
      </c>
      <c r="C7319" s="2" t="inlineStr">
        <is>
          <t>코스피</t>
        </is>
      </c>
      <c r="D7319" s="2" t="inlineStr">
        <is>
          <t>016610</t>
        </is>
      </c>
      <c r="E7319" s="3" t="inlineStr">
        <is>
          <t>투자설명서(일괄신고)</t>
        </is>
      </c>
      <c r="F7319" s="3" t="inlineStr">
        <is>
          <t>DB증권</t>
        </is>
      </c>
      <c r="G7319" s="2" t="inlineStr">
        <is>
          <t>20260528000207</t>
        </is>
      </c>
      <c r="H7319" s="8">
        <f>HYPERLINK("https://dart.fss.or.kr/dsaf001/main.do?rcpNo=20260528000207", "공시열람")</f>
        <v/>
      </c>
    </row>
    <row r="7320">
      <c r="A7320" s="2" t="inlineStr">
        <is>
          <t>2026-05-28</t>
        </is>
      </c>
      <c r="B7320" s="3" t="inlineStr">
        <is>
          <t>일양약품</t>
        </is>
      </c>
      <c r="C7320" s="2" t="inlineStr">
        <is>
          <t>코스피</t>
        </is>
      </c>
      <c r="D7320" s="2" t="inlineStr">
        <is>
          <t>007570</t>
        </is>
      </c>
      <c r="E7320" s="3" t="inlineStr">
        <is>
          <t>임원ㆍ주요주주특정증권등소유상황보고서</t>
        </is>
      </c>
      <c r="F7320" s="3" t="inlineStr">
        <is>
          <t>송화준</t>
        </is>
      </c>
      <c r="G7320" s="2" t="inlineStr">
        <is>
          <t>20260528000202</t>
        </is>
      </c>
      <c r="H7320" s="8">
        <f>HYPERLINK("https://dart.fss.or.kr/dsaf001/main.do?rcpNo=20260528000202", "공시열람")</f>
        <v/>
      </c>
    </row>
    <row r="7321">
      <c r="A7321" s="2" t="inlineStr">
        <is>
          <t>2026-05-28</t>
        </is>
      </c>
      <c r="B7321" s="3" t="inlineStr">
        <is>
          <t>교보증권</t>
        </is>
      </c>
      <c r="C7321" s="2" t="inlineStr">
        <is>
          <t>코스피</t>
        </is>
      </c>
      <c r="D7321" s="2" t="inlineStr">
        <is>
          <t>030610</t>
        </is>
      </c>
      <c r="E7321" s="3" t="inlineStr">
        <is>
          <t>투자설명서(일괄신고)</t>
        </is>
      </c>
      <c r="F7321" s="3" t="inlineStr">
        <is>
          <t>교보증권</t>
        </is>
      </c>
      <c r="G7321" s="2" t="inlineStr">
        <is>
          <t>20260528000186</t>
        </is>
      </c>
      <c r="H7321" s="8">
        <f>HYPERLINK("https://dart.fss.or.kr/dsaf001/main.do?rcpNo=20260528000186", "공시열람")</f>
        <v/>
      </c>
    </row>
    <row r="7322">
      <c r="A7322" s="2" t="inlineStr">
        <is>
          <t>2026-05-28</t>
        </is>
      </c>
      <c r="B7322" s="3" t="inlineStr">
        <is>
          <t>DB증권</t>
        </is>
      </c>
      <c r="C7322" s="2" t="inlineStr">
        <is>
          <t>코스피</t>
        </is>
      </c>
      <c r="D7322" s="2" t="inlineStr">
        <is>
          <t>016610</t>
        </is>
      </c>
      <c r="E7322" s="3" t="inlineStr">
        <is>
          <t>일괄신고추가서류(파생결합사채-주가연계파생결합사채)</t>
        </is>
      </c>
      <c r="F7322" s="3" t="inlineStr">
        <is>
          <t>DB증권</t>
        </is>
      </c>
      <c r="G7322" s="2" t="inlineStr">
        <is>
          <t>20260528000171</t>
        </is>
      </c>
      <c r="H7322" s="8">
        <f>HYPERLINK("https://dart.fss.or.kr/dsaf001/main.do?rcpNo=20260528000171", "공시열람")</f>
        <v/>
      </c>
    </row>
    <row r="7323">
      <c r="A7323" s="2" t="inlineStr">
        <is>
          <t>2026-05-28</t>
        </is>
      </c>
      <c r="B7323" s="3" t="inlineStr">
        <is>
          <t>탈로스</t>
        </is>
      </c>
      <c r="C7323" s="2" t="inlineStr">
        <is>
          <t>코넥스</t>
        </is>
      </c>
      <c r="D7323" s="2" t="inlineStr">
        <is>
          <t>434190</t>
        </is>
      </c>
      <c r="E7323" s="3" t="inlineStr">
        <is>
          <t xml:space="preserve">기업설명회(IR)개최              </t>
        </is>
      </c>
      <c r="F7323" s="3" t="inlineStr">
        <is>
          <t>탈로스</t>
        </is>
      </c>
      <c r="G7323" s="2" t="inlineStr">
        <is>
          <t>20260528600234</t>
        </is>
      </c>
      <c r="H7323" s="8">
        <f>HYPERLINK("https://dart.fss.or.kr/dsaf001/main.do?rcpNo=20260528600234", "공시열람")</f>
        <v/>
      </c>
    </row>
    <row r="7324">
      <c r="A7324" s="2" t="inlineStr">
        <is>
          <t>2026-05-28</t>
        </is>
      </c>
      <c r="B7324" s="3" t="inlineStr">
        <is>
          <t>KT밀리의서재</t>
        </is>
      </c>
      <c r="C7324" s="2" t="inlineStr">
        <is>
          <t>코스닥</t>
        </is>
      </c>
      <c r="D7324" s="2" t="inlineStr">
        <is>
          <t>418470</t>
        </is>
      </c>
      <c r="E7324" s="3" t="inlineStr">
        <is>
          <t>임원ㆍ주요주주특정증권등소유상황보고서</t>
        </is>
      </c>
      <c r="F7324" s="3" t="inlineStr">
        <is>
          <t>정재욱</t>
        </is>
      </c>
      <c r="G7324" s="2" t="inlineStr">
        <is>
          <t>20260528000160</t>
        </is>
      </c>
      <c r="H7324" s="8">
        <f>HYPERLINK("https://dart.fss.or.kr/dsaf001/main.do?rcpNo=20260528000160", "공시열람")</f>
        <v/>
      </c>
    </row>
    <row r="7325">
      <c r="A7325" s="2" t="inlineStr">
        <is>
          <t>2026-05-28</t>
        </is>
      </c>
      <c r="B7325" s="3" t="inlineStr">
        <is>
          <t>키움증권</t>
        </is>
      </c>
      <c r="C7325" s="2" t="inlineStr">
        <is>
          <t>코스피</t>
        </is>
      </c>
      <c r="D7325" s="2" t="inlineStr">
        <is>
          <t>039490</t>
        </is>
      </c>
      <c r="E7325" s="3" t="inlineStr">
        <is>
          <t>일괄신고추가서류(파생결합증권-주가연계증권)</t>
        </is>
      </c>
      <c r="F7325" s="3" t="inlineStr">
        <is>
          <t>키움증권</t>
        </is>
      </c>
      <c r="G7325" s="2" t="inlineStr">
        <is>
          <t>20260528000149</t>
        </is>
      </c>
      <c r="H7325" s="8">
        <f>HYPERLINK("https://dart.fss.or.kr/dsaf001/main.do?rcpNo=20260528000149", "공시열람")</f>
        <v/>
      </c>
    </row>
    <row r="7326">
      <c r="A7326" s="2" t="inlineStr">
        <is>
          <t>2026-05-28</t>
        </is>
      </c>
      <c r="B7326" s="3" t="inlineStr">
        <is>
          <t>키움증권</t>
        </is>
      </c>
      <c r="C7326" s="2" t="inlineStr">
        <is>
          <t>코스피</t>
        </is>
      </c>
      <c r="D7326" s="2" t="inlineStr">
        <is>
          <t>039490</t>
        </is>
      </c>
      <c r="E7326" s="3" t="inlineStr">
        <is>
          <t>일괄신고추가서류(파생결합사채-주가연계파생결합사채)</t>
        </is>
      </c>
      <c r="F7326" s="3" t="inlineStr">
        <is>
          <t>키움증권</t>
        </is>
      </c>
      <c r="G7326" s="2" t="inlineStr">
        <is>
          <t>20260528000139</t>
        </is>
      </c>
      <c r="H7326" s="8">
        <f>HYPERLINK("https://dart.fss.or.kr/dsaf001/main.do?rcpNo=20260528000139", "공시열람")</f>
        <v/>
      </c>
    </row>
    <row r="7327">
      <c r="A7327" s="2" t="inlineStr">
        <is>
          <t>2026-05-28</t>
        </is>
      </c>
      <c r="B7327" s="3" t="inlineStr">
        <is>
          <t>이화산업</t>
        </is>
      </c>
      <c r="C7327" s="2" t="inlineStr">
        <is>
          <t>코스피</t>
        </is>
      </c>
      <c r="D7327" s="2" t="inlineStr">
        <is>
          <t>000760</t>
        </is>
      </c>
      <c r="E7327" s="3" t="inlineStr">
        <is>
          <t xml:space="preserve">기업지배구조보고서공시              </t>
        </is>
      </c>
      <c r="F7327" s="3" t="inlineStr">
        <is>
          <t>이화산업</t>
        </is>
      </c>
      <c r="G7327" s="2" t="inlineStr">
        <is>
          <t>20260528800218</t>
        </is>
      </c>
      <c r="H7327" s="8">
        <f>HYPERLINK("https://dart.fss.or.kr/dsaf001/main.do?rcpNo=20260528800218", "공시열람")</f>
        <v/>
      </c>
    </row>
    <row r="7328">
      <c r="A7328" s="2" t="inlineStr">
        <is>
          <t>2026-05-28</t>
        </is>
      </c>
      <c r="B7328" s="3" t="inlineStr">
        <is>
          <t>모두투어</t>
        </is>
      </c>
      <c r="C7328" s="2" t="inlineStr">
        <is>
          <t>코스닥</t>
        </is>
      </c>
      <c r="D7328" s="2" t="inlineStr">
        <is>
          <t>080160</t>
        </is>
      </c>
      <c r="E7328" s="3" t="inlineStr">
        <is>
          <t>임원ㆍ주요주주특정증권등소유상황보고서</t>
        </is>
      </c>
      <c r="F7328" s="3" t="inlineStr">
        <is>
          <t>최성민</t>
        </is>
      </c>
      <c r="G7328" s="2" t="inlineStr">
        <is>
          <t>20260528000134</t>
        </is>
      </c>
      <c r="H7328" s="8">
        <f>HYPERLINK("https://dart.fss.or.kr/dsaf001/main.do?rcpNo=20260528000134", "공시열람")</f>
        <v/>
      </c>
    </row>
    <row r="7329">
      <c r="A7329" s="2" t="inlineStr">
        <is>
          <t>2026-05-28</t>
        </is>
      </c>
      <c r="B7329" s="3" t="inlineStr">
        <is>
          <t>질경이</t>
        </is>
      </c>
      <c r="C7329" s="2" t="inlineStr">
        <is>
          <t>코넥스</t>
        </is>
      </c>
      <c r="D7329" s="2" t="inlineStr">
        <is>
          <t>233990</t>
        </is>
      </c>
      <c r="E7329" s="3" t="inlineStr">
        <is>
          <t>임원ㆍ주요주주특정증권등거래계획철회보고서</t>
        </is>
      </c>
      <c r="F7329" s="3" t="inlineStr">
        <is>
          <t>최원석</t>
        </is>
      </c>
      <c r="G7329" s="2" t="inlineStr">
        <is>
          <t>20260528000132</t>
        </is>
      </c>
      <c r="H7329" s="8">
        <f>HYPERLINK("https://dart.fss.or.kr/dsaf001/main.do?rcpNo=20260528000132", "공시열람")</f>
        <v/>
      </c>
    </row>
    <row r="7330">
      <c r="A7330" s="2" t="inlineStr">
        <is>
          <t>2026-05-28</t>
        </is>
      </c>
      <c r="B7330" s="3" t="inlineStr">
        <is>
          <t>모두투어</t>
        </is>
      </c>
      <c r="C7330" s="2" t="inlineStr">
        <is>
          <t>코스닥</t>
        </is>
      </c>
      <c r="D7330" s="2" t="inlineStr">
        <is>
          <t>080160</t>
        </is>
      </c>
      <c r="E7330" s="3" t="inlineStr">
        <is>
          <t>임원ㆍ주요주주특정증권등소유상황보고서</t>
        </is>
      </c>
      <c r="F7330" s="3" t="inlineStr">
        <is>
          <t>이철용</t>
        </is>
      </c>
      <c r="G7330" s="2" t="inlineStr">
        <is>
          <t>20260528000129</t>
        </is>
      </c>
      <c r="H7330" s="8">
        <f>HYPERLINK("https://dart.fss.or.kr/dsaf001/main.do?rcpNo=20260528000129", "공시열람")</f>
        <v/>
      </c>
    </row>
    <row r="7331">
      <c r="A7331" s="2" t="inlineStr">
        <is>
          <t>2026-05-28</t>
        </is>
      </c>
      <c r="B7331" s="3" t="inlineStr">
        <is>
          <t>모두투어</t>
        </is>
      </c>
      <c r="C7331" s="2" t="inlineStr">
        <is>
          <t>코스닥</t>
        </is>
      </c>
      <c r="D7331" s="2" t="inlineStr">
        <is>
          <t>080160</t>
        </is>
      </c>
      <c r="E7331" s="3" t="inlineStr">
        <is>
          <t>임원ㆍ주요주주특정증권등소유상황보고서</t>
        </is>
      </c>
      <c r="F7331" s="3" t="inlineStr">
        <is>
          <t>이우연</t>
        </is>
      </c>
      <c r="G7331" s="2" t="inlineStr">
        <is>
          <t>20260528000121</t>
        </is>
      </c>
      <c r="H7331" s="8">
        <f>HYPERLINK("https://dart.fss.or.kr/dsaf001/main.do?rcpNo=20260528000121", "공시열람")</f>
        <v/>
      </c>
    </row>
    <row r="7332">
      <c r="A7332" s="2" t="inlineStr">
        <is>
          <t>2026-05-28 (정정: 2026-06-08)</t>
        </is>
      </c>
      <c r="B7332" s="3" t="inlineStr">
        <is>
          <t>신한지주</t>
        </is>
      </c>
      <c r="C7332" s="2" t="inlineStr">
        <is>
          <t>코스피</t>
        </is>
      </c>
      <c r="D7332" s="2" t="inlineStr">
        <is>
          <t>055550</t>
        </is>
      </c>
      <c r="E7332" s="3" t="inlineStr">
        <is>
          <t>기업설명회(IR)개최(안내공시)               (정정: 20260601) (정정: 20260608)</t>
        </is>
      </c>
      <c r="F7332" s="3" t="inlineStr">
        <is>
          <t>신한지주</t>
        </is>
      </c>
      <c r="G7332" s="2" t="inlineStr">
        <is>
          <t>20260608800996</t>
        </is>
      </c>
      <c r="H7332" s="8">
        <f>HYPERLINK("https://dart.fss.or.kr/dsaf001/main.do?rcpNo=20260608800996", "공시열람")</f>
        <v/>
      </c>
    </row>
    <row r="7333">
      <c r="A7333" s="2" t="inlineStr">
        <is>
          <t>2026-05-28</t>
        </is>
      </c>
      <c r="B7333" s="3" t="inlineStr">
        <is>
          <t>BGF</t>
        </is>
      </c>
      <c r="C7333" s="2" t="inlineStr">
        <is>
          <t>코스피</t>
        </is>
      </c>
      <c r="D7333" s="2" t="inlineStr">
        <is>
          <t>027410</t>
        </is>
      </c>
      <c r="E7333" s="3" t="inlineStr">
        <is>
          <t>대규모기업집단현황공시[연1회(동일인용)]</t>
        </is>
      </c>
      <c r="F7333" s="3" t="inlineStr">
        <is>
          <t>홍석조</t>
        </is>
      </c>
      <c r="G7333" s="2" t="inlineStr">
        <is>
          <t>20260528000114</t>
        </is>
      </c>
      <c r="H7333" s="8">
        <f>HYPERLINK("https://dart.fss.or.kr/dsaf001/main.do?rcpNo=20260528000114", "공시열람")</f>
        <v/>
      </c>
    </row>
    <row r="7334">
      <c r="A7334" s="2" t="inlineStr">
        <is>
          <t>2026-05-28</t>
        </is>
      </c>
      <c r="B7334" s="3" t="inlineStr">
        <is>
          <t>모두투어</t>
        </is>
      </c>
      <c r="C7334" s="2" t="inlineStr">
        <is>
          <t>코스닥</t>
        </is>
      </c>
      <c r="D7334" s="2" t="inlineStr">
        <is>
          <t>080160</t>
        </is>
      </c>
      <c r="E7334" s="3" t="inlineStr">
        <is>
          <t>임원ㆍ주요주주특정증권등소유상황보고서</t>
        </is>
      </c>
      <c r="F7334" s="3" t="inlineStr">
        <is>
          <t>염경수</t>
        </is>
      </c>
      <c r="G7334" s="2" t="inlineStr">
        <is>
          <t>20260528000112</t>
        </is>
      </c>
      <c r="H7334" s="8">
        <f>HYPERLINK("https://dart.fss.or.kr/dsaf001/main.do?rcpNo=20260528000112", "공시열람")</f>
        <v/>
      </c>
    </row>
    <row r="7335">
      <c r="A7335" s="2" t="inlineStr">
        <is>
          <t>2026-05-28</t>
        </is>
      </c>
      <c r="B7335" s="3" t="inlineStr">
        <is>
          <t>교보증권</t>
        </is>
      </c>
      <c r="C7335" s="2" t="inlineStr">
        <is>
          <t>코스피</t>
        </is>
      </c>
      <c r="D7335" s="2" t="inlineStr">
        <is>
          <t>030610</t>
        </is>
      </c>
      <c r="E7335" s="3" t="inlineStr">
        <is>
          <t>일괄신고추가서류(파생결합사채-주가연계파생결합사채)</t>
        </is>
      </c>
      <c r="F7335" s="3" t="inlineStr">
        <is>
          <t>교보증권</t>
        </is>
      </c>
      <c r="G7335" s="2" t="inlineStr">
        <is>
          <t>20260528000109</t>
        </is>
      </c>
      <c r="H7335" s="8">
        <f>HYPERLINK("https://dart.fss.or.kr/dsaf001/main.do?rcpNo=20260528000109", "공시열람")</f>
        <v/>
      </c>
    </row>
    <row r="7336">
      <c r="A7336" s="2" t="inlineStr">
        <is>
          <t>2026-05-28</t>
        </is>
      </c>
      <c r="B7336" s="3" t="inlineStr">
        <is>
          <t>산일전기</t>
        </is>
      </c>
      <c r="C7336" s="2" t="inlineStr">
        <is>
          <t>코스피</t>
        </is>
      </c>
      <c r="D7336" s="2" t="inlineStr">
        <is>
          <t>062040</t>
        </is>
      </c>
      <c r="E7336" s="3" t="inlineStr">
        <is>
          <t xml:space="preserve">기업지배구조보고서공시              </t>
        </is>
      </c>
      <c r="F7336" s="3" t="inlineStr">
        <is>
          <t>산일전기</t>
        </is>
      </c>
      <c r="G7336" s="2" t="inlineStr">
        <is>
          <t>20260528800188</t>
        </is>
      </c>
      <c r="H7336" s="8">
        <f>HYPERLINK("https://dart.fss.or.kr/dsaf001/main.do?rcpNo=20260528800188", "공시열람")</f>
        <v/>
      </c>
    </row>
    <row r="7337">
      <c r="A7337" s="2" t="inlineStr">
        <is>
          <t>2026-05-28</t>
        </is>
      </c>
      <c r="B7337" s="3" t="inlineStr">
        <is>
          <t>교보증권</t>
        </is>
      </c>
      <c r="C7337" s="2" t="inlineStr">
        <is>
          <t>코스피</t>
        </is>
      </c>
      <c r="D7337" s="2" t="inlineStr">
        <is>
          <t>030610</t>
        </is>
      </c>
      <c r="E7337" s="3" t="inlineStr">
        <is>
          <t>투자설명서(일괄신고)</t>
        </is>
      </c>
      <c r="F7337" s="3" t="inlineStr">
        <is>
          <t>교보증권</t>
        </is>
      </c>
      <c r="G7337" s="2" t="inlineStr">
        <is>
          <t>20260528000094</t>
        </is>
      </c>
      <c r="H7337" s="8">
        <f>HYPERLINK("https://dart.fss.or.kr/dsaf001/main.do?rcpNo=20260528000094", "공시열람")</f>
        <v/>
      </c>
    </row>
    <row r="7338">
      <c r="A7338" s="2" t="inlineStr">
        <is>
          <t>2026-05-28</t>
        </is>
      </c>
      <c r="B7338" s="3" t="inlineStr">
        <is>
          <t>교보증권</t>
        </is>
      </c>
      <c r="C7338" s="2" t="inlineStr">
        <is>
          <t>코스피</t>
        </is>
      </c>
      <c r="D7338" s="2" t="inlineStr">
        <is>
          <t>030610</t>
        </is>
      </c>
      <c r="E7338" s="3" t="inlineStr">
        <is>
          <t>투자설명서(일괄신고)</t>
        </is>
      </c>
      <c r="F7338" s="3" t="inlineStr">
        <is>
          <t>교보증권</t>
        </is>
      </c>
      <c r="G7338" s="2" t="inlineStr">
        <is>
          <t>20260528000092</t>
        </is>
      </c>
      <c r="H7338" s="8">
        <f>HYPERLINK("https://dart.fss.or.kr/dsaf001/main.do?rcpNo=20260528000092", "공시열람")</f>
        <v/>
      </c>
    </row>
    <row r="7339">
      <c r="A7339" s="2" t="inlineStr">
        <is>
          <t>2026-05-28</t>
        </is>
      </c>
      <c r="B7339" s="3" t="inlineStr">
        <is>
          <t>제일연마</t>
        </is>
      </c>
      <c r="C7339" s="2" t="inlineStr">
        <is>
          <t>코스피</t>
        </is>
      </c>
      <c r="D7339" s="2" t="inlineStr">
        <is>
          <t>001560</t>
        </is>
      </c>
      <c r="E7339" s="3" t="inlineStr">
        <is>
          <t xml:space="preserve">기업지배구조보고서공시              </t>
        </is>
      </c>
      <c r="F7339" s="3" t="inlineStr">
        <is>
          <t>제일연마</t>
        </is>
      </c>
      <c r="G7339" s="2" t="inlineStr">
        <is>
          <t>20260528800178</t>
        </is>
      </c>
      <c r="H7339" s="8">
        <f>HYPERLINK("https://dart.fss.or.kr/dsaf001/main.do?rcpNo=20260528800178", "공시열람")</f>
        <v/>
      </c>
    </row>
    <row r="7340">
      <c r="A7340" s="2" t="inlineStr">
        <is>
          <t>2026-05-28</t>
        </is>
      </c>
      <c r="B7340" s="3" t="inlineStr">
        <is>
          <t>신풍</t>
        </is>
      </c>
      <c r="C7340" s="2" t="inlineStr">
        <is>
          <t>코스피</t>
        </is>
      </c>
      <c r="D7340" s="2" t="inlineStr">
        <is>
          <t>002870</t>
        </is>
      </c>
      <c r="E7340" s="3" t="inlineStr">
        <is>
          <t xml:space="preserve">기업지배구조보고서공시              </t>
        </is>
      </c>
      <c r="F7340" s="3" t="inlineStr">
        <is>
          <t>신풍</t>
        </is>
      </c>
      <c r="G7340" s="2" t="inlineStr">
        <is>
          <t>20260528800168</t>
        </is>
      </c>
      <c r="H7340" s="8">
        <f>HYPERLINK("https://dart.fss.or.kr/dsaf001/main.do?rcpNo=20260528800168", "공시열람")</f>
        <v/>
      </c>
    </row>
    <row r="7341">
      <c r="A7341" s="2" t="inlineStr">
        <is>
          <t>2026-05-28</t>
        </is>
      </c>
      <c r="B7341" s="3" t="inlineStr">
        <is>
          <t>이오플로우</t>
        </is>
      </c>
      <c r="C7341" s="2" t="inlineStr">
        <is>
          <t>코스닥</t>
        </is>
      </c>
      <c r="D7341" s="2" t="inlineStr">
        <is>
          <t>294090</t>
        </is>
      </c>
      <c r="E7341" s="3" t="inlineStr">
        <is>
          <t>임원ㆍ주요주주특정증권등소유상황보고서</t>
        </is>
      </c>
      <c r="F7341" s="3" t="inlineStr">
        <is>
          <t>김성재</t>
        </is>
      </c>
      <c r="G7341" s="2" t="inlineStr">
        <is>
          <t>20260528000070</t>
        </is>
      </c>
      <c r="H7341" s="8">
        <f>HYPERLINK("https://dart.fss.or.kr/dsaf001/main.do?rcpNo=20260528000070", "공시열람")</f>
        <v/>
      </c>
    </row>
    <row r="7342">
      <c r="A7342" s="2" t="inlineStr">
        <is>
          <t>2026-05-28</t>
        </is>
      </c>
      <c r="B7342" s="3" t="inlineStr">
        <is>
          <t>교보증권</t>
        </is>
      </c>
      <c r="C7342" s="2" t="inlineStr">
        <is>
          <t>코스피</t>
        </is>
      </c>
      <c r="D7342" s="2" t="inlineStr">
        <is>
          <t>030610</t>
        </is>
      </c>
      <c r="E7342" s="3" t="inlineStr">
        <is>
          <t>일괄신고추가서류(파생결합증권-주가연계증권)</t>
        </is>
      </c>
      <c r="F7342" s="3" t="inlineStr">
        <is>
          <t>교보증권</t>
        </is>
      </c>
      <c r="G7342" s="2" t="inlineStr">
        <is>
          <t>20260528000067</t>
        </is>
      </c>
      <c r="H7342" s="8">
        <f>HYPERLINK("https://dart.fss.or.kr/dsaf001/main.do?rcpNo=20260528000067", "공시열람")</f>
        <v/>
      </c>
    </row>
    <row r="7343">
      <c r="A7343" s="2" t="inlineStr">
        <is>
          <t>2026-05-28</t>
        </is>
      </c>
      <c r="B7343" s="3" t="inlineStr">
        <is>
          <t>교보증권</t>
        </is>
      </c>
      <c r="C7343" s="2" t="inlineStr">
        <is>
          <t>코스피</t>
        </is>
      </c>
      <c r="D7343" s="2" t="inlineStr">
        <is>
          <t>030610</t>
        </is>
      </c>
      <c r="E7343" s="3" t="inlineStr">
        <is>
          <t>일괄신고추가서류(파생결합사채-주가연계파생결합사채)</t>
        </is>
      </c>
      <c r="F7343" s="3" t="inlineStr">
        <is>
          <t>교보증권</t>
        </is>
      </c>
      <c r="G7343" s="2" t="inlineStr">
        <is>
          <t>20260528000062</t>
        </is>
      </c>
      <c r="H7343" s="8">
        <f>HYPERLINK("https://dart.fss.or.kr/dsaf001/main.do?rcpNo=20260528000062", "공시열람")</f>
        <v/>
      </c>
    </row>
    <row r="7344">
      <c r="A7344" s="2" t="inlineStr">
        <is>
          <t>2026-05-28</t>
        </is>
      </c>
      <c r="B7344" s="3" t="inlineStr">
        <is>
          <t>자화전자</t>
        </is>
      </c>
      <c r="C7344" s="2" t="inlineStr">
        <is>
          <t>코스피</t>
        </is>
      </c>
      <c r="D7344" s="2" t="inlineStr">
        <is>
          <t>033240</t>
        </is>
      </c>
      <c r="E7344" s="3" t="inlineStr">
        <is>
          <t xml:space="preserve">기업지배구조보고서공시              </t>
        </is>
      </c>
      <c r="F7344" s="3" t="inlineStr">
        <is>
          <t>자화전자</t>
        </is>
      </c>
      <c r="G7344" s="2" t="inlineStr">
        <is>
          <t>20260528800153</t>
        </is>
      </c>
      <c r="H7344" s="8">
        <f>HYPERLINK("https://dart.fss.or.kr/dsaf001/main.do?rcpNo=20260528800153", "공시열람")</f>
        <v/>
      </c>
    </row>
    <row r="7345">
      <c r="A7345" s="2" t="inlineStr">
        <is>
          <t>2026-05-28</t>
        </is>
      </c>
      <c r="B7345" s="3" t="inlineStr">
        <is>
          <t>대신밸런스제20호스팩</t>
        </is>
      </c>
      <c r="C7345" s="2" t="inlineStr">
        <is>
          <t>코스닥</t>
        </is>
      </c>
      <c r="D7345" s="2" t="inlineStr">
        <is>
          <t>0134X0</t>
        </is>
      </c>
      <c r="E7345" s="3" t="inlineStr">
        <is>
          <t>증권발행실적보고서</t>
        </is>
      </c>
      <c r="F7345" s="3" t="inlineStr">
        <is>
          <t>대신밸런스제20호스팩</t>
        </is>
      </c>
      <c r="G7345" s="2" t="inlineStr">
        <is>
          <t>20260528000047</t>
        </is>
      </c>
      <c r="H7345" s="8">
        <f>HYPERLINK("https://dart.fss.or.kr/dsaf001/main.do?rcpNo=20260528000047", "공시열람")</f>
        <v/>
      </c>
    </row>
    <row r="7346">
      <c r="A7346" s="2" t="inlineStr">
        <is>
          <t>2026-05-28</t>
        </is>
      </c>
      <c r="B7346" s="3" t="inlineStr">
        <is>
          <t>우진플라임</t>
        </is>
      </c>
      <c r="C7346" s="2" t="inlineStr">
        <is>
          <t>코스피</t>
        </is>
      </c>
      <c r="D7346" s="2" t="inlineStr">
        <is>
          <t>049800</t>
        </is>
      </c>
      <c r="E7346" s="3" t="inlineStr">
        <is>
          <t xml:space="preserve">기업지배구조보고서공시              </t>
        </is>
      </c>
      <c r="F7346" s="3" t="inlineStr">
        <is>
          <t>우진플라임</t>
        </is>
      </c>
      <c r="G7346" s="2" t="inlineStr">
        <is>
          <t>20260528800143</t>
        </is>
      </c>
      <c r="H7346" s="8">
        <f>HYPERLINK("https://dart.fss.or.kr/dsaf001/main.do?rcpNo=20260528800143", "공시열람")</f>
        <v/>
      </c>
    </row>
    <row r="7347">
      <c r="A7347" s="2" t="inlineStr">
        <is>
          <t>2026-05-28</t>
        </is>
      </c>
      <c r="B7347" s="3" t="inlineStr">
        <is>
          <t>엘브이엠씨</t>
        </is>
      </c>
      <c r="C7347" s="2" t="inlineStr">
        <is>
          <t>코스피</t>
        </is>
      </c>
      <c r="D7347" s="2" t="inlineStr">
        <is>
          <t>900140</t>
        </is>
      </c>
      <c r="E7347" s="3" t="inlineStr">
        <is>
          <t xml:space="preserve">기업설명회(IR)개최(안내공시)              </t>
        </is>
      </c>
      <c r="F7347" s="3" t="inlineStr">
        <is>
          <t>엘브이엠씨</t>
        </is>
      </c>
      <c r="G7347" s="2" t="inlineStr">
        <is>
          <t>20260528800144</t>
        </is>
      </c>
      <c r="H7347" s="8">
        <f>HYPERLINK("https://dart.fss.or.kr/dsaf001/main.do?rcpNo=20260528800144", "공시열람")</f>
        <v/>
      </c>
    </row>
    <row r="7348">
      <c r="A7348" s="2" t="inlineStr">
        <is>
          <t>2026-05-28 (정정: 2026-06-04)</t>
        </is>
      </c>
      <c r="B7348" s="3" t="inlineStr">
        <is>
          <t>코렌텍</t>
        </is>
      </c>
      <c r="C7348" s="2" t="inlineStr">
        <is>
          <t>코스닥</t>
        </is>
      </c>
      <c r="D7348" s="2" t="inlineStr">
        <is>
          <t>104540</t>
        </is>
      </c>
      <c r="E7348" s="3" t="inlineStr">
        <is>
          <t>임원ㆍ주요주주특정증권등소유상황보고서 (정정: 20260604)</t>
        </is>
      </c>
      <c r="F7348" s="3" t="inlineStr">
        <is>
          <t>박형철</t>
        </is>
      </c>
      <c r="G7348" s="2" t="inlineStr">
        <is>
          <t>20260604000642</t>
        </is>
      </c>
      <c r="H7348" s="8">
        <f>HYPERLINK("https://dart.fss.or.kr/dsaf001/main.do?rcpNo=20260604000642", "공시열람")</f>
        <v/>
      </c>
    </row>
    <row r="7349">
      <c r="A7349" s="2" t="inlineStr">
        <is>
          <t>2026-05-28</t>
        </is>
      </c>
      <c r="B7349" s="3" t="inlineStr">
        <is>
          <t>LG디스플레이</t>
        </is>
      </c>
      <c r="C7349" s="2" t="inlineStr">
        <is>
          <t>코스피</t>
        </is>
      </c>
      <c r="D7349" s="2" t="inlineStr">
        <is>
          <t>034220</t>
        </is>
      </c>
      <c r="E7349" s="3" t="inlineStr">
        <is>
          <t xml:space="preserve">해외증권거래소등에신고한주요공시사항의국내신고              </t>
        </is>
      </c>
      <c r="F7349" s="3" t="inlineStr">
        <is>
          <t>LG디스플레이</t>
        </is>
      </c>
      <c r="G7349" s="2" t="inlineStr">
        <is>
          <t>20260528800124</t>
        </is>
      </c>
      <c r="H7349" s="8">
        <f>HYPERLINK("https://dart.fss.or.kr/dsaf001/main.do?rcpNo=20260528800124", "공시열람")</f>
        <v/>
      </c>
    </row>
    <row r="7350">
      <c r="A7350" s="2" t="inlineStr">
        <is>
          <t>2026-05-28</t>
        </is>
      </c>
      <c r="B7350" s="3" t="inlineStr">
        <is>
          <t>LG전자</t>
        </is>
      </c>
      <c r="C7350" s="2" t="inlineStr">
        <is>
          <t>코스피</t>
        </is>
      </c>
      <c r="D7350" s="2" t="inlineStr">
        <is>
          <t>066570</t>
        </is>
      </c>
      <c r="E7350" s="3" t="inlineStr">
        <is>
          <t>투자설명서</t>
        </is>
      </c>
      <c r="F7350" s="3" t="inlineStr">
        <is>
          <t>LG전자</t>
        </is>
      </c>
      <c r="G7350" s="2" t="inlineStr">
        <is>
          <t>20260528000019</t>
        </is>
      </c>
      <c r="H7350" s="8">
        <f>HYPERLINK("https://dart.fss.or.kr/dsaf001/main.do?rcpNo=20260528000019", "공시열람")</f>
        <v/>
      </c>
    </row>
    <row r="7351">
      <c r="A7351" s="2" t="inlineStr">
        <is>
          <t>2026-05-28</t>
        </is>
      </c>
      <c r="B7351" s="3" t="inlineStr">
        <is>
          <t>삼천리</t>
        </is>
      </c>
      <c r="C7351" s="2" t="inlineStr">
        <is>
          <t>코스피</t>
        </is>
      </c>
      <c r="D7351" s="2" t="inlineStr">
        <is>
          <t>004690</t>
        </is>
      </c>
      <c r="E7351" s="3" t="inlineStr">
        <is>
          <t>투자설명서</t>
        </is>
      </c>
      <c r="F7351" s="3" t="inlineStr">
        <is>
          <t>삼천리</t>
        </is>
      </c>
      <c r="G7351" s="2" t="inlineStr">
        <is>
          <t>20260528000014</t>
        </is>
      </c>
      <c r="H7351" s="8">
        <f>HYPERLINK("https://dart.fss.or.kr/dsaf001/main.do?rcpNo=20260528000014", "공시열람")</f>
        <v/>
      </c>
    </row>
    <row r="7352">
      <c r="A7352" s="2" t="inlineStr">
        <is>
          <t>2026-05-28</t>
        </is>
      </c>
      <c r="B7352" s="3" t="inlineStr">
        <is>
          <t>NICE평가정보</t>
        </is>
      </c>
      <c r="C7352" s="2" t="inlineStr">
        <is>
          <t>코스피</t>
        </is>
      </c>
      <c r="D7352" s="2" t="inlineStr">
        <is>
          <t>030190</t>
        </is>
      </c>
      <c r="E7352" s="3" t="inlineStr">
        <is>
          <t xml:space="preserve">기업지배구조보고서공시              </t>
        </is>
      </c>
      <c r="F7352" s="3" t="inlineStr">
        <is>
          <t>NICE평가정보</t>
        </is>
      </c>
      <c r="G7352" s="2" t="inlineStr">
        <is>
          <t>20260528800107</t>
        </is>
      </c>
      <c r="H7352" s="8">
        <f>HYPERLINK("https://dart.fss.or.kr/dsaf001/main.do?rcpNo=20260528800107", "공시열람")</f>
        <v/>
      </c>
    </row>
    <row r="7353">
      <c r="A7353" s="2" t="inlineStr">
        <is>
          <t>2026-05-28</t>
        </is>
      </c>
      <c r="B7353" s="3" t="inlineStr">
        <is>
          <t>POSCO홀딩스</t>
        </is>
      </c>
      <c r="C7353" s="2" t="inlineStr">
        <is>
          <t>코스피</t>
        </is>
      </c>
      <c r="D7353" s="2" t="inlineStr">
        <is>
          <t>005490</t>
        </is>
      </c>
      <c r="E7353" s="3" t="inlineStr">
        <is>
          <t xml:space="preserve">해외증권거래소등에신고한주요공시사항의국내신고              </t>
        </is>
      </c>
      <c r="F7353" s="3" t="inlineStr">
        <is>
          <t>POSCO홀딩스</t>
        </is>
      </c>
      <c r="G7353" s="2" t="inlineStr">
        <is>
          <t>20260528800058</t>
        </is>
      </c>
      <c r="H7353" s="8">
        <f>HYPERLINK("https://dart.fss.or.kr/dsaf001/main.do?rcpNo=20260528800058", "공시열람")</f>
        <v/>
      </c>
    </row>
    <row r="7354">
      <c r="A7354" s="2" t="inlineStr">
        <is>
          <t>2026-05-28</t>
        </is>
      </c>
      <c r="B7354" s="3" t="inlineStr">
        <is>
          <t>삼성증권</t>
        </is>
      </c>
      <c r="C7354" s="2" t="inlineStr">
        <is>
          <t>코스피</t>
        </is>
      </c>
      <c r="D7354" s="2" t="inlineStr">
        <is>
          <t>016360</t>
        </is>
      </c>
      <c r="E7354" s="3" t="inlineStr">
        <is>
          <t xml:space="preserve">타법인주식및출자증권취득결정              </t>
        </is>
      </c>
      <c r="F7354" s="3" t="inlineStr">
        <is>
          <t>삼성증권</t>
        </is>
      </c>
      <c r="G7354" s="2" t="inlineStr">
        <is>
          <t>20260528800002</t>
        </is>
      </c>
      <c r="H7354" s="8">
        <f>HYPERLINK("https://dart.fss.or.kr/dsaf001/main.do?rcpNo=20260528800002", "공시열람")</f>
        <v/>
      </c>
    </row>
    <row r="7355">
      <c r="A7355" s="2" t="inlineStr">
        <is>
          <t>2026-05-28</t>
        </is>
      </c>
      <c r="B7355" s="3" t="inlineStr">
        <is>
          <t>엔피</t>
        </is>
      </c>
      <c r="C7355" s="2" t="inlineStr">
        <is>
          <t>코스닥</t>
        </is>
      </c>
      <c r="D7355" s="2" t="inlineStr">
        <is>
          <t>291230</t>
        </is>
      </c>
      <c r="E7355" s="3" t="inlineStr">
        <is>
          <t>효력발생안내( 2026.5.15. 제출 증권신고서(합병) )</t>
        </is>
      </c>
      <c r="F7355" s="3" t="inlineStr">
        <is>
          <t>금융감독원</t>
        </is>
      </c>
      <c r="G7355" s="2" t="inlineStr">
        <is>
          <t>20260515100006</t>
        </is>
      </c>
      <c r="H7355" s="8">
        <f>HYPERLINK("https://dart.fss.or.kr/dsaf001/main.do?rcpNo=20260515100006", "공시열람")</f>
        <v/>
      </c>
    </row>
    <row r="7356">
      <c r="A7356" s="2" t="inlineStr">
        <is>
          <t>2026-05-28</t>
        </is>
      </c>
      <c r="B7356" s="3" t="inlineStr">
        <is>
          <t>티엘비</t>
        </is>
      </c>
      <c r="C7356" s="2" t="inlineStr">
        <is>
          <t>코스닥</t>
        </is>
      </c>
      <c r="D7356" s="2" t="inlineStr">
        <is>
          <t>356860</t>
        </is>
      </c>
      <c r="E7356" s="3" t="inlineStr">
        <is>
          <t>효력발생안내( 2026.5.12. 제출 증권신고서(지분증권) )</t>
        </is>
      </c>
      <c r="F7356" s="3" t="inlineStr">
        <is>
          <t>금융감독원</t>
        </is>
      </c>
      <c r="G7356" s="2" t="inlineStr">
        <is>
          <t>20260513100001</t>
        </is>
      </c>
      <c r="H7356" s="8">
        <f>HYPERLINK("https://dart.fss.or.kr/dsaf001/main.do?rcpNo=20260513100001", "공시열람")</f>
        <v/>
      </c>
    </row>
    <row r="7357">
      <c r="A7357" s="2" t="inlineStr">
        <is>
          <t>2026-05-29</t>
        </is>
      </c>
      <c r="B7357" s="3" t="inlineStr">
        <is>
          <t>CG인바이츠</t>
        </is>
      </c>
      <c r="C7357" s="2" t="inlineStr">
        <is>
          <t>코스닥</t>
        </is>
      </c>
      <c r="D7357" s="2" t="inlineStr">
        <is>
          <t>083790</t>
        </is>
      </c>
      <c r="E7357" s="3" t="inlineStr">
        <is>
          <t>불성실공시법인지정예고              (공시변경)</t>
        </is>
      </c>
      <c r="F7357" s="3" t="inlineStr">
        <is>
          <t>코스닥시장본부</t>
        </is>
      </c>
      <c r="G7357" s="2" t="inlineStr">
        <is>
          <t>20260529902181</t>
        </is>
      </c>
      <c r="H7357" s="8">
        <f>HYPERLINK("https://dart.fss.or.kr/dsaf001/main.do?rcpNo=20260529902181", "공시열람")</f>
        <v/>
      </c>
    </row>
    <row r="7358">
      <c r="A7358" s="2" t="inlineStr">
        <is>
          <t>2026-05-29</t>
        </is>
      </c>
      <c r="B7358" s="3" t="inlineStr">
        <is>
          <t>한울반도체</t>
        </is>
      </c>
      <c r="C7358" s="2" t="inlineStr">
        <is>
          <t>코스닥</t>
        </is>
      </c>
      <c r="D7358" s="2" t="inlineStr">
        <is>
          <t>320000</t>
        </is>
      </c>
      <c r="E7358" s="3" t="inlineStr">
        <is>
          <t>정정신고서제출요구( 2026.05.15. 제출 증권신고서(지분증권) )</t>
        </is>
      </c>
      <c r="F7358" s="3" t="inlineStr">
        <is>
          <t>금융감독원</t>
        </is>
      </c>
      <c r="G7358" s="2" t="inlineStr">
        <is>
          <t>20260529100006</t>
        </is>
      </c>
      <c r="H7358" s="8">
        <f>HYPERLINK("https://dart.fss.or.kr/dsaf001/main.do?rcpNo=20260529100006", "공시열람")</f>
        <v/>
      </c>
    </row>
    <row r="7359">
      <c r="A7359" s="2" t="inlineStr">
        <is>
          <t>2026-05-29</t>
        </is>
      </c>
      <c r="B7359" s="3" t="inlineStr">
        <is>
          <t>소룩스</t>
        </is>
      </c>
      <c r="C7359" s="2" t="inlineStr">
        <is>
          <t>코스닥</t>
        </is>
      </c>
      <c r="D7359" s="2" t="inlineStr">
        <is>
          <t>290690</t>
        </is>
      </c>
      <c r="E7359" s="3" t="inlineStr">
        <is>
          <t>주요사항보고서(자기전환사채만기전취득결정)</t>
        </is>
      </c>
      <c r="F7359" s="3" t="inlineStr">
        <is>
          <t>소룩스</t>
        </is>
      </c>
      <c r="G7359" s="2" t="inlineStr">
        <is>
          <t>20260529002373</t>
        </is>
      </c>
      <c r="H7359" s="8">
        <f>HYPERLINK("https://dart.fss.or.kr/dsaf001/main.do?rcpNo=20260529002373", "공시열람")</f>
        <v/>
      </c>
    </row>
    <row r="7360">
      <c r="A7360" s="2" t="inlineStr">
        <is>
          <t>2026-05-29 (정정: 2026-05-29)</t>
        </is>
      </c>
      <c r="B7360" s="3" t="inlineStr">
        <is>
          <t>소룩스</t>
        </is>
      </c>
      <c r="C7360" s="2" t="inlineStr">
        <is>
          <t>코스닥</t>
        </is>
      </c>
      <c r="D7360" s="2" t="inlineStr">
        <is>
          <t>290690</t>
        </is>
      </c>
      <c r="E7360" s="3" t="inlineStr">
        <is>
          <t>주요사항보고서(자기전환사채만기전취득결정) (정정: 20260529)</t>
        </is>
      </c>
      <c r="F7360" s="3" t="inlineStr">
        <is>
          <t>소룩스</t>
        </is>
      </c>
      <c r="G7360" s="2" t="inlineStr">
        <is>
          <t>20260529002325</t>
        </is>
      </c>
      <c r="H7360" s="8">
        <f>HYPERLINK("https://dart.fss.or.kr/dsaf001/main.do?rcpNo=20260529002325", "공시열람")</f>
        <v/>
      </c>
    </row>
    <row r="7361">
      <c r="A7361" s="2" t="inlineStr">
        <is>
          <t>2026-05-29</t>
        </is>
      </c>
      <c r="B7361" s="3" t="inlineStr">
        <is>
          <t>이수스페셜티케미컬</t>
        </is>
      </c>
      <c r="C7361" s="2" t="inlineStr">
        <is>
          <t>코스피</t>
        </is>
      </c>
      <c r="D7361" s="2" t="inlineStr">
        <is>
          <t>457190</t>
        </is>
      </c>
      <c r="E7361" s="3" t="inlineStr">
        <is>
          <t xml:space="preserve">기업지배구조보고서공시              </t>
        </is>
      </c>
      <c r="F7361" s="3" t="inlineStr">
        <is>
          <t>이수스페셜티케미컬</t>
        </is>
      </c>
      <c r="G7361" s="2" t="inlineStr">
        <is>
          <t>20260529802121</t>
        </is>
      </c>
      <c r="H7361" s="8">
        <f>HYPERLINK("https://dart.fss.or.kr/dsaf001/main.do?rcpNo=20260529802121", "공시열람")</f>
        <v/>
      </c>
    </row>
    <row r="7362">
      <c r="A7362" s="2" t="inlineStr">
        <is>
          <t>2026-05-29</t>
        </is>
      </c>
      <c r="B7362" s="3" t="inlineStr">
        <is>
          <t>시프트업</t>
        </is>
      </c>
      <c r="C7362" s="2" t="inlineStr">
        <is>
          <t>코스피</t>
        </is>
      </c>
      <c r="D7362" s="2" t="inlineStr">
        <is>
          <t>462870</t>
        </is>
      </c>
      <c r="E7362" s="3" t="inlineStr">
        <is>
          <t xml:space="preserve">기업지배구조보고서공시              </t>
        </is>
      </c>
      <c r="F7362" s="3" t="inlineStr">
        <is>
          <t>시프트업</t>
        </is>
      </c>
      <c r="G7362" s="2" t="inlineStr">
        <is>
          <t>20260529802123</t>
        </is>
      </c>
      <c r="H7362" s="8">
        <f>HYPERLINK("https://dart.fss.or.kr/dsaf001/main.do?rcpNo=20260529802123", "공시열람")</f>
        <v/>
      </c>
    </row>
    <row r="7363">
      <c r="A7363" s="2" t="inlineStr">
        <is>
          <t>2026-05-29</t>
        </is>
      </c>
      <c r="B7363" s="3" t="inlineStr">
        <is>
          <t>이리츠코크렙</t>
        </is>
      </c>
      <c r="C7363" s="2" t="inlineStr">
        <is>
          <t>코스피</t>
        </is>
      </c>
      <c r="D7363" s="2" t="inlineStr">
        <is>
          <t>088260</t>
        </is>
      </c>
      <c r="E7363" s="3" t="inlineStr">
        <is>
          <t xml:space="preserve">기업지배구조보고서공시              </t>
        </is>
      </c>
      <c r="F7363" s="3" t="inlineStr">
        <is>
          <t>이리츠코크렙</t>
        </is>
      </c>
      <c r="G7363" s="2" t="inlineStr">
        <is>
          <t>20260529802113</t>
        </is>
      </c>
      <c r="H7363" s="8">
        <f>HYPERLINK("https://dart.fss.or.kr/dsaf001/main.do?rcpNo=20260529802113", "공시열람")</f>
        <v/>
      </c>
    </row>
    <row r="7364">
      <c r="A7364" s="2" t="inlineStr">
        <is>
          <t>2026-05-29</t>
        </is>
      </c>
      <c r="B7364" s="3" t="inlineStr">
        <is>
          <t>블루산업개발</t>
        </is>
      </c>
      <c r="C7364" s="2" t="inlineStr">
        <is>
          <t>코스피</t>
        </is>
      </c>
      <c r="D7364" s="2" t="inlineStr">
        <is>
          <t>006740</t>
        </is>
      </c>
      <c r="E7364" s="3" t="inlineStr">
        <is>
          <t xml:space="preserve">단기차입금증가결정              </t>
        </is>
      </c>
      <c r="F7364" s="3" t="inlineStr">
        <is>
          <t>블루산업개발</t>
        </is>
      </c>
      <c r="G7364" s="2" t="inlineStr">
        <is>
          <t>20260529802098</t>
        </is>
      </c>
      <c r="H7364" s="8">
        <f>HYPERLINK("https://dart.fss.or.kr/dsaf001/main.do?rcpNo=20260529802098", "공시열람")</f>
        <v/>
      </c>
    </row>
    <row r="7365">
      <c r="A7365" s="2" t="inlineStr">
        <is>
          <t>2026-05-29</t>
        </is>
      </c>
      <c r="B7365" s="3" t="inlineStr">
        <is>
          <t>롯데지주</t>
        </is>
      </c>
      <c r="C7365" s="2" t="inlineStr">
        <is>
          <t>코스피</t>
        </is>
      </c>
      <c r="D7365" s="2" t="inlineStr">
        <is>
          <t>004990</t>
        </is>
      </c>
      <c r="E7365" s="3" t="inlineStr">
        <is>
          <t xml:space="preserve">기업지배구조보고서공시              </t>
        </is>
      </c>
      <c r="F7365" s="3" t="inlineStr">
        <is>
          <t>롯데지주</t>
        </is>
      </c>
      <c r="G7365" s="2" t="inlineStr">
        <is>
          <t>20260529802119</t>
        </is>
      </c>
      <c r="H7365" s="8">
        <f>HYPERLINK("https://dart.fss.or.kr/dsaf001/main.do?rcpNo=20260529802119", "공시열람")</f>
        <v/>
      </c>
    </row>
    <row r="7366">
      <c r="A7366" s="2" t="inlineStr">
        <is>
          <t>2026-05-29</t>
        </is>
      </c>
      <c r="B7366" s="3" t="inlineStr">
        <is>
          <t>코오롱생명과학</t>
        </is>
      </c>
      <c r="C7366" s="2" t="inlineStr">
        <is>
          <t>코스닥</t>
        </is>
      </c>
      <c r="D7366" s="2" t="inlineStr">
        <is>
          <t>102940</t>
        </is>
      </c>
      <c r="E7366" s="3" t="inlineStr">
        <is>
          <t>대규모기업집단현황공시[연1회공시및1/4분기용(개별회사)]</t>
        </is>
      </c>
      <c r="F7366" s="3" t="inlineStr">
        <is>
          <t>코오롱생명과학</t>
        </is>
      </c>
      <c r="G7366" s="2" t="inlineStr">
        <is>
          <t>20260529002365</t>
        </is>
      </c>
      <c r="H7366" s="8">
        <f>HYPERLINK("https://dart.fss.or.kr/dsaf001/main.do?rcpNo=20260529002365", "공시열람")</f>
        <v/>
      </c>
    </row>
    <row r="7367">
      <c r="A7367" s="2" t="inlineStr">
        <is>
          <t>2026-05-29</t>
        </is>
      </c>
      <c r="B7367" s="3" t="inlineStr">
        <is>
          <t>이지스밸류플러스리츠</t>
        </is>
      </c>
      <c r="C7367" s="2" t="inlineStr">
        <is>
          <t>코스피</t>
        </is>
      </c>
      <c r="D7367" s="2" t="inlineStr">
        <is>
          <t>334890</t>
        </is>
      </c>
      <c r="E7367" s="3" t="inlineStr">
        <is>
          <t xml:space="preserve">기업지배구조보고서공시              </t>
        </is>
      </c>
      <c r="F7367" s="3" t="inlineStr">
        <is>
          <t>이지스밸류플러스리츠</t>
        </is>
      </c>
      <c r="G7367" s="2" t="inlineStr">
        <is>
          <t>20260529802117</t>
        </is>
      </c>
      <c r="H7367" s="8">
        <f>HYPERLINK("https://dart.fss.or.kr/dsaf001/main.do?rcpNo=20260529802117", "공시열람")</f>
        <v/>
      </c>
    </row>
    <row r="7368">
      <c r="A7368" s="2" t="inlineStr">
        <is>
          <t>2026-05-29</t>
        </is>
      </c>
      <c r="B7368" s="3" t="inlineStr">
        <is>
          <t>케이티앤지</t>
        </is>
      </c>
      <c r="C7368" s="2" t="inlineStr">
        <is>
          <t>코스피</t>
        </is>
      </c>
      <c r="D7368" s="2" t="inlineStr">
        <is>
          <t>033780</t>
        </is>
      </c>
      <c r="E7368" s="3" t="inlineStr">
        <is>
          <t>대규모기업집단현황공시[연1회(동일인용)]</t>
        </is>
      </c>
      <c r="F7368" s="3" t="inlineStr">
        <is>
          <t>케이티앤지</t>
        </is>
      </c>
      <c r="G7368" s="2" t="inlineStr">
        <is>
          <t>20260529002361</t>
        </is>
      </c>
      <c r="H7368" s="8">
        <f>HYPERLINK("https://dart.fss.or.kr/dsaf001/main.do?rcpNo=20260529002361", "공시열람")</f>
        <v/>
      </c>
    </row>
    <row r="7369">
      <c r="A7369" s="2" t="inlineStr">
        <is>
          <t>2026-05-29</t>
        </is>
      </c>
      <c r="B7369" s="3" t="inlineStr">
        <is>
          <t>화일약품</t>
        </is>
      </c>
      <c r="C7369" s="2" t="inlineStr">
        <is>
          <t>코스닥</t>
        </is>
      </c>
      <c r="D7369" s="2" t="inlineStr">
        <is>
          <t>061250</t>
        </is>
      </c>
      <c r="E7369" s="3" t="inlineStr">
        <is>
          <t xml:space="preserve">중대재해관련형사처벌사실확인              </t>
        </is>
      </c>
      <c r="F7369" s="3" t="inlineStr">
        <is>
          <t>화일약품</t>
        </is>
      </c>
      <c r="G7369" s="2" t="inlineStr">
        <is>
          <t>20260529902110</t>
        </is>
      </c>
      <c r="H7369" s="8">
        <f>HYPERLINK("https://dart.fss.or.kr/dsaf001/main.do?rcpNo=20260529902110", "공시열람")</f>
        <v/>
      </c>
    </row>
    <row r="7370">
      <c r="A7370" s="2" t="inlineStr">
        <is>
          <t>2026-05-29</t>
        </is>
      </c>
      <c r="B7370" s="3" t="inlineStr">
        <is>
          <t>서울전자통신</t>
        </is>
      </c>
      <c r="C7370" s="2" t="inlineStr">
        <is>
          <t>코스닥</t>
        </is>
      </c>
      <c r="D7370" s="2" t="inlineStr">
        <is>
          <t>027040</t>
        </is>
      </c>
      <c r="E7370" s="3" t="inlineStr">
        <is>
          <t>임원ㆍ주요주주특정증권등소유상황보고서</t>
        </is>
      </c>
      <c r="F7370" s="3" t="inlineStr">
        <is>
          <t>에스이티 제2호 투자조합</t>
        </is>
      </c>
      <c r="G7370" s="2" t="inlineStr">
        <is>
          <t>20260529002359</t>
        </is>
      </c>
      <c r="H7370" s="8">
        <f>HYPERLINK("https://dart.fss.or.kr/dsaf001/main.do?rcpNo=20260529002359", "공시열람")</f>
        <v/>
      </c>
    </row>
    <row r="7371">
      <c r="A7371" s="2" t="inlineStr">
        <is>
          <t>2026-05-29 (정정: 2026-06-01)</t>
        </is>
      </c>
      <c r="B7371" s="3" t="inlineStr">
        <is>
          <t>삼성FN리츠</t>
        </is>
      </c>
      <c r="C7371" s="2" t="inlineStr">
        <is>
          <t>코스피</t>
        </is>
      </c>
      <c r="D7371" s="2" t="inlineStr">
        <is>
          <t>448730</t>
        </is>
      </c>
      <c r="E7371" s="3" t="inlineStr">
        <is>
          <t>기업지배구조보고서공시               (정정: 20260601)</t>
        </is>
      </c>
      <c r="F7371" s="3" t="inlineStr">
        <is>
          <t>삼성FN리츠</t>
        </is>
      </c>
      <c r="G7371" s="2" t="inlineStr">
        <is>
          <t>20260601001133</t>
        </is>
      </c>
      <c r="H7371" s="8">
        <f>HYPERLINK("https://dart.fss.or.kr/dsaf001/main.do?rcpNo=20260601001133", "공시열람")</f>
        <v/>
      </c>
    </row>
    <row r="7372">
      <c r="A7372" s="2" t="inlineStr">
        <is>
          <t>2026-05-29</t>
        </is>
      </c>
      <c r="B7372" s="3" t="inlineStr">
        <is>
          <t>서울전자통신</t>
        </is>
      </c>
      <c r="C7372" s="2" t="inlineStr">
        <is>
          <t>코스닥</t>
        </is>
      </c>
      <c r="D7372" s="2" t="inlineStr">
        <is>
          <t>027040</t>
        </is>
      </c>
      <c r="E7372" s="3" t="inlineStr">
        <is>
          <t>임원ㆍ주요주주특정증권등소유상황보고서</t>
        </is>
      </c>
      <c r="F7372" s="3" t="inlineStr">
        <is>
          <t>에스이티 제1호 투자조합</t>
        </is>
      </c>
      <c r="G7372" s="2" t="inlineStr">
        <is>
          <t>20260529002347</t>
        </is>
      </c>
      <c r="H7372" s="8">
        <f>HYPERLINK("https://dart.fss.or.kr/dsaf001/main.do?rcpNo=20260529002347", "공시열람")</f>
        <v/>
      </c>
    </row>
    <row r="7373">
      <c r="A7373" s="2" t="inlineStr">
        <is>
          <t>2026-05-29</t>
        </is>
      </c>
      <c r="B7373" s="3" t="inlineStr">
        <is>
          <t>신영증권</t>
        </is>
      </c>
      <c r="C7373" s="2" t="inlineStr">
        <is>
          <t>코스피</t>
        </is>
      </c>
      <c r="D7373" s="2" t="inlineStr">
        <is>
          <t>001720</t>
        </is>
      </c>
      <c r="E7373" s="3" t="inlineStr">
        <is>
          <t>증권발행실적보고서</t>
        </is>
      </c>
      <c r="F7373" s="3" t="inlineStr">
        <is>
          <t>신영증권</t>
        </is>
      </c>
      <c r="G7373" s="2" t="inlineStr">
        <is>
          <t>20260529002344</t>
        </is>
      </c>
      <c r="H7373" s="8">
        <f>HYPERLINK("https://dart.fss.or.kr/dsaf001/main.do?rcpNo=20260529002344", "공시열람")</f>
        <v/>
      </c>
    </row>
    <row r="7374">
      <c r="A7374" s="2" t="inlineStr">
        <is>
          <t>2026-05-29</t>
        </is>
      </c>
      <c r="B7374" s="3" t="inlineStr">
        <is>
          <t>한미글로벌</t>
        </is>
      </c>
      <c r="C7374" s="2" t="inlineStr">
        <is>
          <t>코스피</t>
        </is>
      </c>
      <c r="D7374" s="2" t="inlineStr">
        <is>
          <t>053690</t>
        </is>
      </c>
      <c r="E7374" s="3" t="inlineStr">
        <is>
          <t xml:space="preserve">기업지배구조보고서공시              </t>
        </is>
      </c>
      <c r="F7374" s="3" t="inlineStr">
        <is>
          <t>한미글로벌</t>
        </is>
      </c>
      <c r="G7374" s="2" t="inlineStr">
        <is>
          <t>20260529802086</t>
        </is>
      </c>
      <c r="H7374" s="8">
        <f>HYPERLINK("https://dart.fss.or.kr/dsaf001/main.do?rcpNo=20260529802086", "공시열람")</f>
        <v/>
      </c>
    </row>
    <row r="7375">
      <c r="A7375" s="2" t="inlineStr">
        <is>
          <t>2026-05-29</t>
        </is>
      </c>
      <c r="B7375" s="3" t="inlineStr">
        <is>
          <t>롯데케미칼</t>
        </is>
      </c>
      <c r="C7375" s="2" t="inlineStr">
        <is>
          <t>코스피</t>
        </is>
      </c>
      <c r="D7375" s="2" t="inlineStr">
        <is>
          <t>011170</t>
        </is>
      </c>
      <c r="E7375" s="3" t="inlineStr">
        <is>
          <t>대규모기업집단현황공시[연1회공시및1/4분기용(개별회사)]</t>
        </is>
      </c>
      <c r="F7375" s="3" t="inlineStr">
        <is>
          <t>롯데케미칼</t>
        </is>
      </c>
      <c r="G7375" s="2" t="inlineStr">
        <is>
          <t>20260529002343</t>
        </is>
      </c>
      <c r="H7375" s="8">
        <f>HYPERLINK("https://dart.fss.or.kr/dsaf001/main.do?rcpNo=20260529002343", "공시열람")</f>
        <v/>
      </c>
    </row>
    <row r="7376">
      <c r="A7376" s="2" t="inlineStr">
        <is>
          <t>2026-05-29</t>
        </is>
      </c>
      <c r="B7376" s="3" t="inlineStr">
        <is>
          <t>롯데쇼핑</t>
        </is>
      </c>
      <c r="C7376" s="2" t="inlineStr">
        <is>
          <t>코스피</t>
        </is>
      </c>
      <c r="D7376" s="2" t="inlineStr">
        <is>
          <t>023530</t>
        </is>
      </c>
      <c r="E7376" s="3" t="inlineStr">
        <is>
          <t>대규모기업집단현황공시[연1회공시및1/4분기용(개별회사)]</t>
        </is>
      </c>
      <c r="F7376" s="3" t="inlineStr">
        <is>
          <t>롯데쇼핑</t>
        </is>
      </c>
      <c r="G7376" s="2" t="inlineStr">
        <is>
          <t>20260529002340</t>
        </is>
      </c>
      <c r="H7376" s="8">
        <f>HYPERLINK("https://dart.fss.or.kr/dsaf001/main.do?rcpNo=20260529002340", "공시열람")</f>
        <v/>
      </c>
    </row>
    <row r="7377">
      <c r="A7377" s="2" t="inlineStr">
        <is>
          <t>2026-05-29</t>
        </is>
      </c>
      <c r="B7377" s="3" t="inlineStr">
        <is>
          <t>서울전자통신</t>
        </is>
      </c>
      <c r="C7377" s="2" t="inlineStr">
        <is>
          <t>코스닥</t>
        </is>
      </c>
      <c r="D7377" s="2" t="inlineStr">
        <is>
          <t>027040</t>
        </is>
      </c>
      <c r="E7377" s="3" t="inlineStr">
        <is>
          <t>임원ㆍ주요주주특정증권등소유상황보고서</t>
        </is>
      </c>
      <c r="F7377" s="3" t="inlineStr">
        <is>
          <t>다온인터내셔널</t>
        </is>
      </c>
      <c r="G7377" s="2" t="inlineStr">
        <is>
          <t>20260529002338</t>
        </is>
      </c>
      <c r="H7377" s="8">
        <f>HYPERLINK("https://dart.fss.or.kr/dsaf001/main.do?rcpNo=20260529002338", "공시열람")</f>
        <v/>
      </c>
    </row>
    <row r="7378">
      <c r="A7378" s="2" t="inlineStr">
        <is>
          <t>2026-05-29</t>
        </is>
      </c>
      <c r="B7378" s="3" t="inlineStr">
        <is>
          <t>광무</t>
        </is>
      </c>
      <c r="C7378" s="2" t="inlineStr">
        <is>
          <t>코스닥</t>
        </is>
      </c>
      <c r="D7378" s="2" t="inlineStr">
        <is>
          <t>029480</t>
        </is>
      </c>
      <c r="E7378" s="3" t="inlineStr">
        <is>
          <t xml:space="preserve">주권관련사채권의취득결정              </t>
        </is>
      </c>
      <c r="F7378" s="3" t="inlineStr">
        <is>
          <t>광무</t>
        </is>
      </c>
      <c r="G7378" s="2" t="inlineStr">
        <is>
          <t>20260529902024</t>
        </is>
      </c>
      <c r="H7378" s="8">
        <f>HYPERLINK("https://dart.fss.or.kr/dsaf001/main.do?rcpNo=20260529902024", "공시열람")</f>
        <v/>
      </c>
    </row>
    <row r="7379">
      <c r="A7379" s="2" t="inlineStr">
        <is>
          <t>2026-05-29</t>
        </is>
      </c>
      <c r="B7379" s="3" t="inlineStr">
        <is>
          <t>한화투자증권</t>
        </is>
      </c>
      <c r="C7379" s="2" t="inlineStr">
        <is>
          <t>코스피</t>
        </is>
      </c>
      <c r="D7379" s="2" t="inlineStr">
        <is>
          <t>003530</t>
        </is>
      </c>
      <c r="E7379" s="3" t="inlineStr">
        <is>
          <t>증권발행실적보고서</t>
        </is>
      </c>
      <c r="F7379" s="3" t="inlineStr">
        <is>
          <t>한화투자증권</t>
        </is>
      </c>
      <c r="G7379" s="2" t="inlineStr">
        <is>
          <t>20260529002330</t>
        </is>
      </c>
      <c r="H7379" s="8">
        <f>HYPERLINK("https://dart.fss.or.kr/dsaf001/main.do?rcpNo=20260529002330", "공시열람")</f>
        <v/>
      </c>
    </row>
    <row r="7380">
      <c r="A7380" s="2" t="inlineStr">
        <is>
          <t>2026-05-29</t>
        </is>
      </c>
      <c r="B7380" s="3" t="inlineStr">
        <is>
          <t>SK바이오사이언스</t>
        </is>
      </c>
      <c r="C7380" s="2" t="inlineStr">
        <is>
          <t>코스피</t>
        </is>
      </c>
      <c r="D7380" s="2" t="inlineStr">
        <is>
          <t>302440</t>
        </is>
      </c>
      <c r="E7380" s="3" t="inlineStr">
        <is>
          <t xml:space="preserve">기업지배구조보고서공시              </t>
        </is>
      </c>
      <c r="F7380" s="3" t="inlineStr">
        <is>
          <t>SK바이오사이언스</t>
        </is>
      </c>
      <c r="G7380" s="2" t="inlineStr">
        <is>
          <t>20260529802083</t>
        </is>
      </c>
      <c r="H7380" s="8">
        <f>HYPERLINK("https://dart.fss.or.kr/dsaf001/main.do?rcpNo=20260529802083", "공시열람")</f>
        <v/>
      </c>
    </row>
    <row r="7381">
      <c r="A7381" s="2" t="inlineStr">
        <is>
          <t>2026-05-29</t>
        </is>
      </c>
      <c r="B7381" s="3" t="inlineStr">
        <is>
          <t>광명전기</t>
        </is>
      </c>
      <c r="C7381" s="2" t="inlineStr">
        <is>
          <t>코스피</t>
        </is>
      </c>
      <c r="D7381" s="2" t="inlineStr">
        <is>
          <t>017040</t>
        </is>
      </c>
      <c r="E7381" s="3" t="inlineStr">
        <is>
          <t xml:space="preserve">소송등의판결ㆍ결정              </t>
        </is>
      </c>
      <c r="F7381" s="3" t="inlineStr">
        <is>
          <t>광명전기</t>
        </is>
      </c>
      <c r="G7381" s="2" t="inlineStr">
        <is>
          <t>20260529802079</t>
        </is>
      </c>
      <c r="H7381" s="8">
        <f>HYPERLINK("https://dart.fss.or.kr/dsaf001/main.do?rcpNo=20260529802079", "공시열람")</f>
        <v/>
      </c>
    </row>
    <row r="7382">
      <c r="A7382" s="2" t="inlineStr">
        <is>
          <t>2026-05-29</t>
        </is>
      </c>
      <c r="B7382" s="3" t="inlineStr">
        <is>
          <t>신영증권</t>
        </is>
      </c>
      <c r="C7382" s="2" t="inlineStr">
        <is>
          <t>코스피</t>
        </is>
      </c>
      <c r="D7382" s="2" t="inlineStr">
        <is>
          <t>001720</t>
        </is>
      </c>
      <c r="E7382" s="3" t="inlineStr">
        <is>
          <t>증권발행실적보고서</t>
        </is>
      </c>
      <c r="F7382" s="3" t="inlineStr">
        <is>
          <t>신영증권</t>
        </is>
      </c>
      <c r="G7382" s="2" t="inlineStr">
        <is>
          <t>20260529002326</t>
        </is>
      </c>
      <c r="H7382" s="8">
        <f>HYPERLINK("https://dart.fss.or.kr/dsaf001/main.do?rcpNo=20260529002326", "공시열람")</f>
        <v/>
      </c>
    </row>
    <row r="7383">
      <c r="A7383" s="2" t="inlineStr">
        <is>
          <t>2026-05-29</t>
        </is>
      </c>
      <c r="B7383" s="3" t="inlineStr">
        <is>
          <t>하이젠알앤엠</t>
        </is>
      </c>
      <c r="C7383" s="2" t="inlineStr">
        <is>
          <t>코스닥</t>
        </is>
      </c>
      <c r="D7383" s="2" t="inlineStr">
        <is>
          <t>160190</t>
        </is>
      </c>
      <c r="E7383" s="3" t="inlineStr">
        <is>
          <t>임원ㆍ주요주주특정증권등거래계획철회보고서</t>
        </is>
      </c>
      <c r="F7383" s="3" t="inlineStr">
        <is>
          <t>일신방직</t>
        </is>
      </c>
      <c r="G7383" s="2" t="inlineStr">
        <is>
          <t>20260529002319</t>
        </is>
      </c>
      <c r="H7383" s="8">
        <f>HYPERLINK("https://dart.fss.or.kr/dsaf001/main.do?rcpNo=20260529002319", "공시열람")</f>
        <v/>
      </c>
    </row>
    <row r="7384">
      <c r="A7384" s="2" t="inlineStr">
        <is>
          <t>2026-05-29 (정정: 2026-06-01)</t>
        </is>
      </c>
      <c r="B7384" s="3" t="inlineStr">
        <is>
          <t>웅진</t>
        </is>
      </c>
      <c r="C7384" s="2" t="inlineStr">
        <is>
          <t>코스피</t>
        </is>
      </c>
      <c r="D7384" s="2" t="inlineStr">
        <is>
          <t>016880</t>
        </is>
      </c>
      <c r="E7384" s="3" t="inlineStr">
        <is>
          <t>대규모기업집단현황공시[연1회(동일인용)] (정정: 20260601)</t>
        </is>
      </c>
      <c r="F7384" s="3" t="inlineStr">
        <is>
          <t>윤석금</t>
        </is>
      </c>
      <c r="G7384" s="2" t="inlineStr">
        <is>
          <t>20260601001948</t>
        </is>
      </c>
      <c r="H7384" s="8">
        <f>HYPERLINK("https://dart.fss.or.kr/dsaf001/main.do?rcpNo=20260601001948", "공시열람")</f>
        <v/>
      </c>
    </row>
    <row r="7385">
      <c r="A7385" s="2" t="inlineStr">
        <is>
          <t>2026-05-29</t>
        </is>
      </c>
      <c r="B7385" s="3" t="inlineStr">
        <is>
          <t>한미사이언스</t>
        </is>
      </c>
      <c r="C7385" s="2" t="inlineStr">
        <is>
          <t>코스피</t>
        </is>
      </c>
      <c r="D7385" s="2" t="inlineStr">
        <is>
          <t>008930</t>
        </is>
      </c>
      <c r="E7385" s="3" t="inlineStr">
        <is>
          <t>투자판단관련주요경영사항(자회사의 주요경영사항)              (HCP18034 개발을 위한 식약처(MFDS) 제3상 임상시험 계획 승인)</t>
        </is>
      </c>
      <c r="F7385" s="3" t="inlineStr">
        <is>
          <t>한미사이언스</t>
        </is>
      </c>
      <c r="G7385" s="2" t="inlineStr">
        <is>
          <t>20260529802064</t>
        </is>
      </c>
      <c r="H7385" s="8">
        <f>HYPERLINK("https://dart.fss.or.kr/dsaf001/main.do?rcpNo=20260529802064", "공시열람")</f>
        <v/>
      </c>
    </row>
    <row r="7386">
      <c r="A7386" s="2" t="inlineStr">
        <is>
          <t>2026-05-29</t>
        </is>
      </c>
      <c r="B7386" s="3" t="inlineStr">
        <is>
          <t>GS</t>
        </is>
      </c>
      <c r="C7386" s="2" t="inlineStr">
        <is>
          <t>코스피</t>
        </is>
      </c>
      <c r="D7386" s="2" t="inlineStr">
        <is>
          <t>078930</t>
        </is>
      </c>
      <c r="E7386" s="3" t="inlineStr">
        <is>
          <t xml:space="preserve">기업지배구조보고서공시              </t>
        </is>
      </c>
      <c r="F7386" s="3" t="inlineStr">
        <is>
          <t>GS</t>
        </is>
      </c>
      <c r="G7386" s="2" t="inlineStr">
        <is>
          <t>20260529802062</t>
        </is>
      </c>
      <c r="H7386" s="8">
        <f>HYPERLINK("https://dart.fss.or.kr/dsaf001/main.do?rcpNo=20260529802062", "공시열람")</f>
        <v/>
      </c>
    </row>
    <row r="7387">
      <c r="A7387" s="2" t="inlineStr">
        <is>
          <t>2026-05-29</t>
        </is>
      </c>
      <c r="B7387" s="3" t="inlineStr">
        <is>
          <t>한화투자증권</t>
        </is>
      </c>
      <c r="C7387" s="2" t="inlineStr">
        <is>
          <t>코스피</t>
        </is>
      </c>
      <c r="D7387" s="2" t="inlineStr">
        <is>
          <t>003530</t>
        </is>
      </c>
      <c r="E7387" s="3" t="inlineStr">
        <is>
          <t>투자설명서(일괄신고)</t>
        </is>
      </c>
      <c r="F7387" s="3" t="inlineStr">
        <is>
          <t>한화투자증권</t>
        </is>
      </c>
      <c r="G7387" s="2" t="inlineStr">
        <is>
          <t>20260529002313</t>
        </is>
      </c>
      <c r="H7387" s="8">
        <f>HYPERLINK("https://dart.fss.or.kr/dsaf001/main.do?rcpNo=20260529002313", "공시열람")</f>
        <v/>
      </c>
    </row>
    <row r="7388">
      <c r="A7388" s="2" t="inlineStr">
        <is>
          <t>2026-05-29</t>
        </is>
      </c>
      <c r="B7388" s="3" t="inlineStr">
        <is>
          <t>우성머티리얼스</t>
        </is>
      </c>
      <c r="C7388" s="2" t="inlineStr">
        <is>
          <t>코스피</t>
        </is>
      </c>
      <c r="D7388" s="2" t="inlineStr">
        <is>
          <t>011300</t>
        </is>
      </c>
      <c r="E7388" s="3" t="inlineStr">
        <is>
          <t>임원ㆍ주요주주특정증권등소유상황보고서</t>
        </is>
      </c>
      <c r="F7388" s="3" t="inlineStr">
        <is>
          <t>임종찬</t>
        </is>
      </c>
      <c r="G7388" s="2" t="inlineStr">
        <is>
          <t>20260529002312</t>
        </is>
      </c>
      <c r="H7388" s="8">
        <f>HYPERLINK("https://dart.fss.or.kr/dsaf001/main.do?rcpNo=20260529002312", "공시열람")</f>
        <v/>
      </c>
    </row>
    <row r="7389">
      <c r="A7389" s="2" t="inlineStr">
        <is>
          <t>2026-05-29</t>
        </is>
      </c>
      <c r="B7389" s="3" t="inlineStr">
        <is>
          <t>코오롱</t>
        </is>
      </c>
      <c r="C7389" s="2" t="inlineStr">
        <is>
          <t>코스피</t>
        </is>
      </c>
      <c r="D7389" s="2" t="inlineStr">
        <is>
          <t>002020</t>
        </is>
      </c>
      <c r="E7389" s="3" t="inlineStr">
        <is>
          <t>대규모기업집단현황공시[연1회공시및1/4분기용(대표회사)]</t>
        </is>
      </c>
      <c r="F7389" s="3" t="inlineStr">
        <is>
          <t>코오롱</t>
        </is>
      </c>
      <c r="G7389" s="2" t="inlineStr">
        <is>
          <t>20260529002311</t>
        </is>
      </c>
      <c r="H7389" s="8">
        <f>HYPERLINK("https://dart.fss.or.kr/dsaf001/main.do?rcpNo=20260529002311", "공시열람")</f>
        <v/>
      </c>
    </row>
    <row r="7390">
      <c r="A7390" s="2" t="inlineStr">
        <is>
          <t>2026-05-29</t>
        </is>
      </c>
      <c r="B7390" s="3" t="inlineStr">
        <is>
          <t>알엔티엑스</t>
        </is>
      </c>
      <c r="C7390" s="2" t="inlineStr">
        <is>
          <t>코스닥</t>
        </is>
      </c>
      <c r="D7390" s="2" t="inlineStr">
        <is>
          <t>123010</t>
        </is>
      </c>
      <c r="E7390" s="3" t="inlineStr">
        <is>
          <t>사외이사의선임ㆍ해임또는중도퇴임에관한신고</t>
        </is>
      </c>
      <c r="F7390" s="3" t="inlineStr">
        <is>
          <t>알엔티엑스</t>
        </is>
      </c>
      <c r="G7390" s="2" t="inlineStr">
        <is>
          <t>20260529002310</t>
        </is>
      </c>
      <c r="H7390" s="8">
        <f>HYPERLINK("https://dart.fss.or.kr/dsaf001/main.do?rcpNo=20260529002310", "공시열람")</f>
        <v/>
      </c>
    </row>
    <row r="7391">
      <c r="A7391" s="2" t="inlineStr">
        <is>
          <t>2026-05-29</t>
        </is>
      </c>
      <c r="B7391" s="3" t="inlineStr">
        <is>
          <t>한미약품</t>
        </is>
      </c>
      <c r="C7391" s="2" t="inlineStr">
        <is>
          <t>코스피</t>
        </is>
      </c>
      <c r="D7391" s="2" t="inlineStr">
        <is>
          <t>128940</t>
        </is>
      </c>
      <c r="E7391" s="3" t="inlineStr">
        <is>
          <t>투자판단관련주요경영사항              (HCP18034 개발을 위한 식약처(MFDS) 제3상 임상시험 계획 승인)</t>
        </is>
      </c>
      <c r="F7391" s="3" t="inlineStr">
        <is>
          <t>한미약품</t>
        </is>
      </c>
      <c r="G7391" s="2" t="inlineStr">
        <is>
          <t>20260529802039</t>
        </is>
      </c>
      <c r="H7391" s="8">
        <f>HYPERLINK("https://dart.fss.or.kr/dsaf001/main.do?rcpNo=20260529802039", "공시열람")</f>
        <v/>
      </c>
    </row>
    <row r="7392">
      <c r="A7392" s="2" t="inlineStr">
        <is>
          <t>2026-05-29</t>
        </is>
      </c>
      <c r="B7392" s="3" t="inlineStr">
        <is>
          <t>신영증권</t>
        </is>
      </c>
      <c r="C7392" s="2" t="inlineStr">
        <is>
          <t>코스피</t>
        </is>
      </c>
      <c r="D7392" s="2" t="inlineStr">
        <is>
          <t>001720</t>
        </is>
      </c>
      <c r="E7392" s="3" t="inlineStr">
        <is>
          <t>증권발행실적보고서</t>
        </is>
      </c>
      <c r="F7392" s="3" t="inlineStr">
        <is>
          <t>신영증권</t>
        </is>
      </c>
      <c r="G7392" s="2" t="inlineStr">
        <is>
          <t>20260529002307</t>
        </is>
      </c>
      <c r="H7392" s="8">
        <f>HYPERLINK("https://dart.fss.or.kr/dsaf001/main.do?rcpNo=20260529002307", "공시열람")</f>
        <v/>
      </c>
    </row>
    <row r="7393">
      <c r="A7393" s="2" t="inlineStr">
        <is>
          <t>2026-05-29</t>
        </is>
      </c>
      <c r="B7393" s="3" t="inlineStr">
        <is>
          <t>제이스로보틱스</t>
        </is>
      </c>
      <c r="C7393" s="2" t="inlineStr">
        <is>
          <t>코스닥</t>
        </is>
      </c>
      <c r="D7393" s="2" t="inlineStr">
        <is>
          <t>090470</t>
        </is>
      </c>
      <c r="E7393" s="3" t="inlineStr">
        <is>
          <t>불성실공시법인미지정              (지정유예)</t>
        </is>
      </c>
      <c r="F7393" s="3" t="inlineStr">
        <is>
          <t>코스닥시장본부</t>
        </is>
      </c>
      <c r="G7393" s="2" t="inlineStr">
        <is>
          <t>20260529902056</t>
        </is>
      </c>
      <c r="H7393" s="8">
        <f>HYPERLINK("https://dart.fss.or.kr/dsaf001/main.do?rcpNo=20260529902056", "공시열람")</f>
        <v/>
      </c>
    </row>
    <row r="7394">
      <c r="A7394" s="2" t="inlineStr">
        <is>
          <t>2026-05-29</t>
        </is>
      </c>
      <c r="B7394" s="3" t="inlineStr">
        <is>
          <t>웅진씽크빅</t>
        </is>
      </c>
      <c r="C7394" s="2" t="inlineStr">
        <is>
          <t>코스피</t>
        </is>
      </c>
      <c r="D7394" s="2" t="inlineStr">
        <is>
          <t>095720</t>
        </is>
      </c>
      <c r="E7394" s="3" t="inlineStr">
        <is>
          <t>대규모기업집단현황공시[연1회공시및1/4분기용(개별회사)]</t>
        </is>
      </c>
      <c r="F7394" s="3" t="inlineStr">
        <is>
          <t>웅진씽크빅</t>
        </is>
      </c>
      <c r="G7394" s="2" t="inlineStr">
        <is>
          <t>20260529002305</t>
        </is>
      </c>
      <c r="H7394" s="8">
        <f>HYPERLINK("https://dart.fss.or.kr/dsaf001/main.do?rcpNo=20260529002305", "공시열람")</f>
        <v/>
      </c>
    </row>
    <row r="7395">
      <c r="A7395" s="2" t="inlineStr">
        <is>
          <t>2026-05-29</t>
        </is>
      </c>
      <c r="B7395" s="3" t="inlineStr">
        <is>
          <t>KH바텍</t>
        </is>
      </c>
      <c r="C7395" s="2" t="inlineStr">
        <is>
          <t>코스닥</t>
        </is>
      </c>
      <c r="D7395" s="2" t="inlineStr">
        <is>
          <t>060720</t>
        </is>
      </c>
      <c r="E7395" s="3" t="inlineStr">
        <is>
          <t xml:space="preserve">기업설명회(IR)개최              </t>
        </is>
      </c>
      <c r="F7395" s="3" t="inlineStr">
        <is>
          <t>KH바텍</t>
        </is>
      </c>
      <c r="G7395" s="2" t="inlineStr">
        <is>
          <t>20260529902057</t>
        </is>
      </c>
      <c r="H7395" s="8">
        <f>HYPERLINK("https://dart.fss.or.kr/dsaf001/main.do?rcpNo=20260529902057", "공시열람")</f>
        <v/>
      </c>
    </row>
    <row r="7396">
      <c r="A7396" s="2" t="inlineStr">
        <is>
          <t>2026-05-29</t>
        </is>
      </c>
      <c r="B7396" s="3" t="inlineStr">
        <is>
          <t>시알홀딩스</t>
        </is>
      </c>
      <c r="C7396" s="2" t="inlineStr">
        <is>
          <t>코스피</t>
        </is>
      </c>
      <c r="D7396" s="2" t="inlineStr">
        <is>
          <t>000480</t>
        </is>
      </c>
      <c r="E7396" s="3" t="inlineStr">
        <is>
          <t xml:space="preserve">기업지배구조보고서공시              </t>
        </is>
      </c>
      <c r="F7396" s="3" t="inlineStr">
        <is>
          <t>시알홀딩스</t>
        </is>
      </c>
      <c r="G7396" s="2" t="inlineStr">
        <is>
          <t>20260529802048</t>
        </is>
      </c>
      <c r="H7396" s="8">
        <f>HYPERLINK("https://dart.fss.or.kr/dsaf001/main.do?rcpNo=20260529802048", "공시열람")</f>
        <v/>
      </c>
    </row>
    <row r="7397">
      <c r="A7397" s="2" t="inlineStr">
        <is>
          <t>2026-05-29</t>
        </is>
      </c>
      <c r="B7397" s="3" t="inlineStr">
        <is>
          <t>한화투자증권</t>
        </is>
      </c>
      <c r="C7397" s="2" t="inlineStr">
        <is>
          <t>코스피</t>
        </is>
      </c>
      <c r="D7397" s="2" t="inlineStr">
        <is>
          <t>003530</t>
        </is>
      </c>
      <c r="E7397" s="3" t="inlineStr">
        <is>
          <t>일괄신고추가서류(파생결합증권-주가연계증권)</t>
        </is>
      </c>
      <c r="F7397" s="3" t="inlineStr">
        <is>
          <t>한화투자증권</t>
        </is>
      </c>
      <c r="G7397" s="2" t="inlineStr">
        <is>
          <t>20260529002297</t>
        </is>
      </c>
      <c r="H7397" s="8">
        <f>HYPERLINK("https://dart.fss.or.kr/dsaf001/main.do?rcpNo=20260529002297", "공시열람")</f>
        <v/>
      </c>
    </row>
    <row r="7398">
      <c r="A7398" s="2" t="inlineStr">
        <is>
          <t>2026-05-29</t>
        </is>
      </c>
      <c r="B7398" s="3" t="inlineStr">
        <is>
          <t>HL D&amp;I</t>
        </is>
      </c>
      <c r="C7398" s="2" t="inlineStr">
        <is>
          <t>코스피</t>
        </is>
      </c>
      <c r="D7398" s="2" t="inlineStr">
        <is>
          <t>014790</t>
        </is>
      </c>
      <c r="E7398" s="3" t="inlineStr">
        <is>
          <t>대규모기업집단현황공시[연1회공시및1/4분기용(개별회사)]</t>
        </is>
      </c>
      <c r="F7398" s="3" t="inlineStr">
        <is>
          <t>HL D&amp;I</t>
        </is>
      </c>
      <c r="G7398" s="2" t="inlineStr">
        <is>
          <t>20260529002294</t>
        </is>
      </c>
      <c r="H7398" s="8">
        <f>HYPERLINK("https://dart.fss.or.kr/dsaf001/main.do?rcpNo=20260529002294", "공시열람")</f>
        <v/>
      </c>
    </row>
    <row r="7399">
      <c r="A7399" s="2" t="inlineStr">
        <is>
          <t>2026-05-29</t>
        </is>
      </c>
      <c r="B7399" s="3" t="inlineStr">
        <is>
          <t>마키나락스</t>
        </is>
      </c>
      <c r="C7399" s="2" t="inlineStr">
        <is>
          <t>코스닥</t>
        </is>
      </c>
      <c r="D7399" s="2" t="inlineStr">
        <is>
          <t>477850</t>
        </is>
      </c>
      <c r="E7399" s="3" t="inlineStr">
        <is>
          <t xml:space="preserve">주식매수선택권행사              </t>
        </is>
      </c>
      <c r="F7399" s="3" t="inlineStr">
        <is>
          <t>마키나락스</t>
        </is>
      </c>
      <c r="G7399" s="2" t="inlineStr">
        <is>
          <t>20260529902012</t>
        </is>
      </c>
      <c r="H7399" s="8">
        <f>HYPERLINK("https://dart.fss.or.kr/dsaf001/main.do?rcpNo=20260529902012", "공시열람")</f>
        <v/>
      </c>
    </row>
    <row r="7400">
      <c r="A7400" s="2" t="inlineStr">
        <is>
          <t>2026-05-29</t>
        </is>
      </c>
      <c r="B7400" s="3" t="inlineStr">
        <is>
          <t>테이팩스</t>
        </is>
      </c>
      <c r="C7400" s="2" t="inlineStr">
        <is>
          <t>코스피</t>
        </is>
      </c>
      <c r="D7400" s="2" t="inlineStr">
        <is>
          <t>055490</t>
        </is>
      </c>
      <c r="E7400" s="3" t="inlineStr">
        <is>
          <t xml:space="preserve">기업가치제고계획(자율공시)              </t>
        </is>
      </c>
      <c r="F7400" s="3" t="inlineStr">
        <is>
          <t>테이팩스</t>
        </is>
      </c>
      <c r="G7400" s="2" t="inlineStr">
        <is>
          <t>20260529802034</t>
        </is>
      </c>
      <c r="H7400" s="8">
        <f>HYPERLINK("https://dart.fss.or.kr/dsaf001/main.do?rcpNo=20260529802034", "공시열람")</f>
        <v/>
      </c>
    </row>
    <row r="7401">
      <c r="A7401" s="2" t="inlineStr">
        <is>
          <t>2026-05-29</t>
        </is>
      </c>
      <c r="B7401" s="3" t="inlineStr">
        <is>
          <t>HL D&amp;I</t>
        </is>
      </c>
      <c r="C7401" s="2" t="inlineStr">
        <is>
          <t>코스피</t>
        </is>
      </c>
      <c r="D7401" s="2" t="inlineStr">
        <is>
          <t>014790</t>
        </is>
      </c>
      <c r="E7401" s="3" t="inlineStr">
        <is>
          <t xml:space="preserve">기업지배구조보고서공시              </t>
        </is>
      </c>
      <c r="F7401" s="3" t="inlineStr">
        <is>
          <t>HL D&amp;I</t>
        </is>
      </c>
      <c r="G7401" s="2" t="inlineStr">
        <is>
          <t>20260529802011</t>
        </is>
      </c>
      <c r="H7401" s="8">
        <f>HYPERLINK("https://dart.fss.or.kr/dsaf001/main.do?rcpNo=20260529802011", "공시열람")</f>
        <v/>
      </c>
    </row>
    <row r="7402">
      <c r="A7402" s="2" t="inlineStr">
        <is>
          <t>2026-05-29</t>
        </is>
      </c>
      <c r="B7402" s="3" t="inlineStr">
        <is>
          <t>에이블씨엔씨</t>
        </is>
      </c>
      <c r="C7402" s="2" t="inlineStr">
        <is>
          <t>코스피</t>
        </is>
      </c>
      <c r="D7402" s="2" t="inlineStr">
        <is>
          <t>078520</t>
        </is>
      </c>
      <c r="E7402" s="3" t="inlineStr">
        <is>
          <t xml:space="preserve">기업지배구조보고서공시              </t>
        </is>
      </c>
      <c r="F7402" s="3" t="inlineStr">
        <is>
          <t>에이블씨엔씨</t>
        </is>
      </c>
      <c r="G7402" s="2" t="inlineStr">
        <is>
          <t>20260529802036</t>
        </is>
      </c>
      <c r="H7402" s="8">
        <f>HYPERLINK("https://dart.fss.or.kr/dsaf001/main.do?rcpNo=20260529802036", "공시열람")</f>
        <v/>
      </c>
    </row>
    <row r="7403">
      <c r="A7403" s="2" t="inlineStr">
        <is>
          <t>2026-05-29</t>
        </is>
      </c>
      <c r="B7403" s="3" t="inlineStr">
        <is>
          <t>폴라리스세원</t>
        </is>
      </c>
      <c r="C7403" s="2" t="inlineStr">
        <is>
          <t>코스닥</t>
        </is>
      </c>
      <c r="D7403" s="2" t="inlineStr">
        <is>
          <t>234100</t>
        </is>
      </c>
      <c r="E7403" s="3" t="inlineStr">
        <is>
          <t>임원ㆍ주요주주특정증권등소유상황보고서</t>
        </is>
      </c>
      <c r="F7403" s="3" t="inlineStr">
        <is>
          <t>폴라리스오피스</t>
        </is>
      </c>
      <c r="G7403" s="2" t="inlineStr">
        <is>
          <t>20260529002285</t>
        </is>
      </c>
      <c r="H7403" s="8">
        <f>HYPERLINK("https://dart.fss.or.kr/dsaf001/main.do?rcpNo=20260529002285", "공시열람")</f>
        <v/>
      </c>
    </row>
    <row r="7404">
      <c r="A7404" s="2" t="inlineStr">
        <is>
          <t>2026-05-29</t>
        </is>
      </c>
      <c r="B7404" s="3" t="inlineStr">
        <is>
          <t>DL이앤씨</t>
        </is>
      </c>
      <c r="C7404" s="2" t="inlineStr">
        <is>
          <t>코스피</t>
        </is>
      </c>
      <c r="D7404" s="2" t="inlineStr">
        <is>
          <t>375500</t>
        </is>
      </c>
      <c r="E7404" s="3" t="inlineStr">
        <is>
          <t>대규모기업집단현황공시[연1회공시및1/4분기용(개별회사)]</t>
        </is>
      </c>
      <c r="F7404" s="3" t="inlineStr">
        <is>
          <t>DL이앤씨</t>
        </is>
      </c>
      <c r="G7404" s="2" t="inlineStr">
        <is>
          <t>20260529002284</t>
        </is>
      </c>
      <c r="H7404" s="8">
        <f>HYPERLINK("https://dart.fss.or.kr/dsaf001/main.do?rcpNo=20260529002284", "공시열람")</f>
        <v/>
      </c>
    </row>
    <row r="7405">
      <c r="A7405" s="2" t="inlineStr">
        <is>
          <t>2026-05-29 (정정: 2026-06-01)</t>
        </is>
      </c>
      <c r="B7405" s="3" t="inlineStr">
        <is>
          <t>현대자동차</t>
        </is>
      </c>
      <c r="C7405" s="2" t="inlineStr">
        <is>
          <t>코스피</t>
        </is>
      </c>
      <c r="D7405" s="2" t="inlineStr">
        <is>
          <t>005380</t>
        </is>
      </c>
      <c r="E7405" s="3" t="inlineStr">
        <is>
          <t>기업가치제고계획(자율공시)              (2025년 이행현황) (정정: 20260601)</t>
        </is>
      </c>
      <c r="F7405" s="3" t="inlineStr">
        <is>
          <t>현대자동차</t>
        </is>
      </c>
      <c r="G7405" s="2" t="inlineStr">
        <is>
          <t>20260601001973</t>
        </is>
      </c>
      <c r="H7405" s="8">
        <f>HYPERLINK("https://dart.fss.or.kr/dsaf001/main.do?rcpNo=20260601001973", "공시열람")</f>
        <v/>
      </c>
    </row>
    <row r="7406">
      <c r="A7406" s="2" t="inlineStr">
        <is>
          <t>2026-05-29</t>
        </is>
      </c>
      <c r="B7406" s="3" t="inlineStr">
        <is>
          <t>엑스큐어</t>
        </is>
      </c>
      <c r="C7406" s="2" t="inlineStr">
        <is>
          <t>코스닥</t>
        </is>
      </c>
      <c r="D7406" s="2" t="inlineStr">
        <is>
          <t>070300</t>
        </is>
      </c>
      <c r="E7406" s="3" t="inlineStr">
        <is>
          <t xml:space="preserve">소속부변경              </t>
        </is>
      </c>
      <c r="F7406" s="3" t="inlineStr">
        <is>
          <t>코스닥시장본부</t>
        </is>
      </c>
      <c r="G7406" s="2" t="inlineStr">
        <is>
          <t>20260529901978</t>
        </is>
      </c>
      <c r="H7406" s="8">
        <f>HYPERLINK("https://dart.fss.or.kr/dsaf001/main.do?rcpNo=20260529901978", "공시열람")</f>
        <v/>
      </c>
    </row>
    <row r="7407">
      <c r="A7407" s="2" t="inlineStr">
        <is>
          <t>2026-05-29</t>
        </is>
      </c>
      <c r="B7407" s="3" t="inlineStr">
        <is>
          <t>효성티앤씨</t>
        </is>
      </c>
      <c r="C7407" s="2" t="inlineStr">
        <is>
          <t>코스피</t>
        </is>
      </c>
      <c r="D7407" s="2" t="inlineStr">
        <is>
          <t>298020</t>
        </is>
      </c>
      <c r="E7407" s="3" t="inlineStr">
        <is>
          <t xml:space="preserve">기업지배구조보고서공시              </t>
        </is>
      </c>
      <c r="F7407" s="3" t="inlineStr">
        <is>
          <t>효성티앤씨</t>
        </is>
      </c>
      <c r="G7407" s="2" t="inlineStr">
        <is>
          <t>20260529802018</t>
        </is>
      </c>
      <c r="H7407" s="8">
        <f>HYPERLINK("https://dart.fss.or.kr/dsaf001/main.do?rcpNo=20260529802018", "공시열람")</f>
        <v/>
      </c>
    </row>
    <row r="7408">
      <c r="A7408" s="2" t="inlineStr">
        <is>
          <t>2026-05-29</t>
        </is>
      </c>
      <c r="B7408" s="3" t="inlineStr">
        <is>
          <t>알엔티엑스</t>
        </is>
      </c>
      <c r="C7408" s="2" t="inlineStr">
        <is>
          <t>코스닥</t>
        </is>
      </c>
      <c r="D7408" s="2" t="inlineStr">
        <is>
          <t>123010</t>
        </is>
      </c>
      <c r="E7408" s="3" t="inlineStr">
        <is>
          <t>투자판단관련주요경영사항              (경영지배인 사임)</t>
        </is>
      </c>
      <c r="F7408" s="3" t="inlineStr">
        <is>
          <t>알엔티엑스</t>
        </is>
      </c>
      <c r="G7408" s="2" t="inlineStr">
        <is>
          <t>20260529902005</t>
        </is>
      </c>
      <c r="H7408" s="8">
        <f>HYPERLINK("https://dart.fss.or.kr/dsaf001/main.do?rcpNo=20260529902005", "공시열람")</f>
        <v/>
      </c>
    </row>
    <row r="7409">
      <c r="A7409" s="2" t="inlineStr">
        <is>
          <t>2026-05-29</t>
        </is>
      </c>
      <c r="B7409" s="3" t="inlineStr">
        <is>
          <t>씨씨에스</t>
        </is>
      </c>
      <c r="C7409" s="2" t="inlineStr">
        <is>
          <t>코스닥</t>
        </is>
      </c>
      <c r="D7409" s="2" t="inlineStr">
        <is>
          <t>066790</t>
        </is>
      </c>
      <c r="E7409" s="3" t="inlineStr">
        <is>
          <t>투자판단관련주요경영사항              (소액주주에 의한 [일시 이사의 직무를 행할자의 선임에 관한 재판요청서] 기각결정에 대한 즉시항고장 접수)</t>
        </is>
      </c>
      <c r="F7409" s="3" t="inlineStr">
        <is>
          <t>씨씨에스</t>
        </is>
      </c>
      <c r="G7409" s="2" t="inlineStr">
        <is>
          <t>20260529901877</t>
        </is>
      </c>
      <c r="H7409" s="8">
        <f>HYPERLINK("https://dart.fss.or.kr/dsaf001/main.do?rcpNo=20260529901877", "공시열람")</f>
        <v/>
      </c>
    </row>
    <row r="7410">
      <c r="A7410" s="2" t="inlineStr">
        <is>
          <t>2026-05-29 (정정: 2026-06-05)</t>
        </is>
      </c>
      <c r="B7410" s="3" t="inlineStr">
        <is>
          <t>대한항공</t>
        </is>
      </c>
      <c r="C7410" s="2" t="inlineStr">
        <is>
          <t>코스피</t>
        </is>
      </c>
      <c r="D7410" s="2" t="inlineStr">
        <is>
          <t>003490</t>
        </is>
      </c>
      <c r="E7410" s="3" t="inlineStr">
        <is>
          <t>증권신고서(채무증권) (정정: 20260601) (정정: 20260605)</t>
        </is>
      </c>
      <c r="F7410" s="3" t="inlineStr">
        <is>
          <t>대한항공</t>
        </is>
      </c>
      <c r="G7410" s="2" t="inlineStr">
        <is>
          <t>20260605000465</t>
        </is>
      </c>
      <c r="H7410" s="8">
        <f>HYPERLINK("https://dart.fss.or.kr/dsaf001/main.do?rcpNo=20260605000465", "공시열람")</f>
        <v/>
      </c>
    </row>
    <row r="7411">
      <c r="A7411" s="2" t="inlineStr">
        <is>
          <t>2026-05-29</t>
        </is>
      </c>
      <c r="B7411" s="3" t="inlineStr">
        <is>
          <t>신세계</t>
        </is>
      </c>
      <c r="C7411" s="2" t="inlineStr">
        <is>
          <t>코스피</t>
        </is>
      </c>
      <c r="D7411" s="2" t="inlineStr">
        <is>
          <t>004170</t>
        </is>
      </c>
      <c r="E7411" s="3" t="inlineStr">
        <is>
          <t>[발행조건확정]증권신고서(채무증권)</t>
        </is>
      </c>
      <c r="F7411" s="3" t="inlineStr">
        <is>
          <t>신세계</t>
        </is>
      </c>
      <c r="G7411" s="2" t="inlineStr">
        <is>
          <t>20260529002270</t>
        </is>
      </c>
      <c r="H7411" s="8">
        <f>HYPERLINK("https://dart.fss.or.kr/dsaf001/main.do?rcpNo=20260529002270", "공시열람")</f>
        <v/>
      </c>
    </row>
    <row r="7412">
      <c r="A7412" s="2" t="inlineStr">
        <is>
          <t>2026-05-29</t>
        </is>
      </c>
      <c r="B7412" s="3" t="inlineStr">
        <is>
          <t>옵투스제약</t>
        </is>
      </c>
      <c r="C7412" s="2" t="inlineStr">
        <is>
          <t>코스닥</t>
        </is>
      </c>
      <c r="D7412" s="2" t="inlineStr">
        <is>
          <t>131030</t>
        </is>
      </c>
      <c r="E7412" s="3" t="inlineStr">
        <is>
          <t>불성실공시법인미지정              (지정유예)</t>
        </is>
      </c>
      <c r="F7412" s="3" t="inlineStr">
        <is>
          <t>코스닥시장본부</t>
        </is>
      </c>
      <c r="G7412" s="2" t="inlineStr">
        <is>
          <t>20260529901993</t>
        </is>
      </c>
      <c r="H7412" s="8">
        <f>HYPERLINK("https://dart.fss.or.kr/dsaf001/main.do?rcpNo=20260529901993", "공시열람")</f>
        <v/>
      </c>
    </row>
    <row r="7413">
      <c r="A7413" s="2" t="inlineStr">
        <is>
          <t>2026-05-29</t>
        </is>
      </c>
      <c r="B7413" s="3" t="inlineStr">
        <is>
          <t>알엔티엑스</t>
        </is>
      </c>
      <c r="C7413" s="2" t="inlineStr">
        <is>
          <t>코스닥</t>
        </is>
      </c>
      <c r="D7413" s="2" t="inlineStr">
        <is>
          <t>123010</t>
        </is>
      </c>
      <c r="E7413" s="3" t="inlineStr">
        <is>
          <t xml:space="preserve">대표이사변경              </t>
        </is>
      </c>
      <c r="F7413" s="3" t="inlineStr">
        <is>
          <t>알엔티엑스</t>
        </is>
      </c>
      <c r="G7413" s="2" t="inlineStr">
        <is>
          <t>20260529901957</t>
        </is>
      </c>
      <c r="H7413" s="8">
        <f>HYPERLINK("https://dart.fss.or.kr/dsaf001/main.do?rcpNo=20260529901957", "공시열람")</f>
        <v/>
      </c>
    </row>
    <row r="7414">
      <c r="A7414" s="2" t="inlineStr">
        <is>
          <t>2026-05-29</t>
        </is>
      </c>
      <c r="B7414" s="3" t="inlineStr">
        <is>
          <t>해성디에스</t>
        </is>
      </c>
      <c r="C7414" s="2" t="inlineStr">
        <is>
          <t>코스피</t>
        </is>
      </c>
      <c r="D7414" s="2" t="inlineStr">
        <is>
          <t>195870</t>
        </is>
      </c>
      <c r="E7414" s="3" t="inlineStr">
        <is>
          <t xml:space="preserve">기업지배구조보고서공시              </t>
        </is>
      </c>
      <c r="F7414" s="3" t="inlineStr">
        <is>
          <t>해성디에스</t>
        </is>
      </c>
      <c r="G7414" s="2" t="inlineStr">
        <is>
          <t>20260529801999</t>
        </is>
      </c>
      <c r="H7414" s="8">
        <f>HYPERLINK("https://dart.fss.or.kr/dsaf001/main.do?rcpNo=20260529801999", "공시열람")</f>
        <v/>
      </c>
    </row>
    <row r="7415">
      <c r="A7415" s="2" t="inlineStr">
        <is>
          <t>2026-05-29</t>
        </is>
      </c>
      <c r="B7415" s="3" t="inlineStr">
        <is>
          <t>우성</t>
        </is>
      </c>
      <c r="C7415" s="2" t="inlineStr">
        <is>
          <t>코스피</t>
        </is>
      </c>
      <c r="D7415" s="2" t="inlineStr">
        <is>
          <t>006980</t>
        </is>
      </c>
      <c r="E7415" s="3" t="inlineStr">
        <is>
          <t xml:space="preserve">기업지배구조보고서공시              </t>
        </is>
      </c>
      <c r="F7415" s="3" t="inlineStr">
        <is>
          <t>우성</t>
        </is>
      </c>
      <c r="G7415" s="2" t="inlineStr">
        <is>
          <t>20260529802003</t>
        </is>
      </c>
      <c r="H7415" s="8">
        <f>HYPERLINK("https://dart.fss.or.kr/dsaf001/main.do?rcpNo=20260529802003", "공시열람")</f>
        <v/>
      </c>
    </row>
    <row r="7416">
      <c r="A7416" s="2" t="inlineStr">
        <is>
          <t>2026-05-29</t>
        </is>
      </c>
      <c r="B7416" s="3" t="inlineStr">
        <is>
          <t>지놈앤컴퍼니</t>
        </is>
      </c>
      <c r="C7416" s="2" t="inlineStr">
        <is>
          <t>코스닥</t>
        </is>
      </c>
      <c r="D7416" s="2" t="inlineStr">
        <is>
          <t>314130</t>
        </is>
      </c>
      <c r="E7416" s="3" t="inlineStr">
        <is>
          <t>임원ㆍ주요주주특정증권등소유상황보고서</t>
        </is>
      </c>
      <c r="F7416" s="3" t="inlineStr">
        <is>
          <t>차미영</t>
        </is>
      </c>
      <c r="G7416" s="2" t="inlineStr">
        <is>
          <t>20260529002262</t>
        </is>
      </c>
      <c r="H7416" s="8">
        <f>HYPERLINK("https://dart.fss.or.kr/dsaf001/main.do?rcpNo=20260529002262", "공시열람")</f>
        <v/>
      </c>
    </row>
    <row r="7417">
      <c r="A7417" s="2" t="inlineStr">
        <is>
          <t>2026-05-29</t>
        </is>
      </c>
      <c r="B7417" s="3" t="inlineStr">
        <is>
          <t>천보</t>
        </is>
      </c>
      <c r="C7417" s="2" t="inlineStr">
        <is>
          <t>코스닥</t>
        </is>
      </c>
      <c r="D7417" s="2" t="inlineStr">
        <is>
          <t>278280</t>
        </is>
      </c>
      <c r="E7417" s="3" t="inlineStr">
        <is>
          <t xml:space="preserve">증권발행결과(자율공시)(자회사의 주요경영사항)              </t>
        </is>
      </c>
      <c r="F7417" s="3" t="inlineStr">
        <is>
          <t>천보</t>
        </is>
      </c>
      <c r="G7417" s="2" t="inlineStr">
        <is>
          <t>20260529902004</t>
        </is>
      </c>
      <c r="H7417" s="8">
        <f>HYPERLINK("https://dart.fss.or.kr/dsaf001/main.do?rcpNo=20260529902004", "공시열람")</f>
        <v/>
      </c>
    </row>
    <row r="7418">
      <c r="A7418" s="2" t="inlineStr">
        <is>
          <t>2026-05-29</t>
        </is>
      </c>
      <c r="B7418" s="3" t="inlineStr">
        <is>
          <t>쿠쿠홈시스</t>
        </is>
      </c>
      <c r="C7418" s="2" t="inlineStr">
        <is>
          <t>코스피</t>
        </is>
      </c>
      <c r="D7418" s="2" t="inlineStr">
        <is>
          <t>284740</t>
        </is>
      </c>
      <c r="E7418" s="3" t="inlineStr">
        <is>
          <t xml:space="preserve">기업지배구조보고서공시              </t>
        </is>
      </c>
      <c r="F7418" s="3" t="inlineStr">
        <is>
          <t>쿠쿠홈시스</t>
        </is>
      </c>
      <c r="G7418" s="2" t="inlineStr">
        <is>
          <t>20260529801995</t>
        </is>
      </c>
      <c r="H7418" s="8">
        <f>HYPERLINK("https://dart.fss.or.kr/dsaf001/main.do?rcpNo=20260529801995", "공시열람")</f>
        <v/>
      </c>
    </row>
    <row r="7419">
      <c r="A7419" s="2" t="inlineStr">
        <is>
          <t>2026-05-29</t>
        </is>
      </c>
      <c r="B7419" s="3" t="inlineStr">
        <is>
          <t>SK케미칼</t>
        </is>
      </c>
      <c r="C7419" s="2" t="inlineStr">
        <is>
          <t>코스피</t>
        </is>
      </c>
      <c r="D7419" s="2" t="inlineStr">
        <is>
          <t>285130</t>
        </is>
      </c>
      <c r="E7419" s="3" t="inlineStr">
        <is>
          <t xml:space="preserve">기업지배구조보고서공시              </t>
        </is>
      </c>
      <c r="F7419" s="3" t="inlineStr">
        <is>
          <t>SK케미칼</t>
        </is>
      </c>
      <c r="G7419" s="2" t="inlineStr">
        <is>
          <t>20260529801967</t>
        </is>
      </c>
      <c r="H7419" s="8">
        <f>HYPERLINK("https://dart.fss.or.kr/dsaf001/main.do?rcpNo=20260529801967", "공시열람")</f>
        <v/>
      </c>
    </row>
    <row r="7420">
      <c r="A7420" s="2" t="inlineStr">
        <is>
          <t>2026-05-29</t>
        </is>
      </c>
      <c r="B7420" s="3" t="inlineStr">
        <is>
          <t>넥스틸</t>
        </is>
      </c>
      <c r="C7420" s="2" t="inlineStr">
        <is>
          <t>코스피</t>
        </is>
      </c>
      <c r="D7420" s="2" t="inlineStr">
        <is>
          <t>092790</t>
        </is>
      </c>
      <c r="E7420" s="3" t="inlineStr">
        <is>
          <t xml:space="preserve">기업지배구조보고서공시              </t>
        </is>
      </c>
      <c r="F7420" s="3" t="inlineStr">
        <is>
          <t>넥스틸</t>
        </is>
      </c>
      <c r="G7420" s="2" t="inlineStr">
        <is>
          <t>20260529801985</t>
        </is>
      </c>
      <c r="H7420" s="8">
        <f>HYPERLINK("https://dart.fss.or.kr/dsaf001/main.do?rcpNo=20260529801985", "공시열람")</f>
        <v/>
      </c>
    </row>
    <row r="7421">
      <c r="A7421" s="2" t="inlineStr">
        <is>
          <t>2026-05-29</t>
        </is>
      </c>
      <c r="B7421" s="3" t="inlineStr">
        <is>
          <t>한화투자증권</t>
        </is>
      </c>
      <c r="C7421" s="2" t="inlineStr">
        <is>
          <t>코스피</t>
        </is>
      </c>
      <c r="D7421" s="2" t="inlineStr">
        <is>
          <t>003530</t>
        </is>
      </c>
      <c r="E7421" s="3" t="inlineStr">
        <is>
          <t>증권발행실적보고서</t>
        </is>
      </c>
      <c r="F7421" s="3" t="inlineStr">
        <is>
          <t>한화투자증권</t>
        </is>
      </c>
      <c r="G7421" s="2" t="inlineStr">
        <is>
          <t>20260529002253</t>
        </is>
      </c>
      <c r="H7421" s="8">
        <f>HYPERLINK("https://dart.fss.or.kr/dsaf001/main.do?rcpNo=20260529002253", "공시열람")</f>
        <v/>
      </c>
    </row>
    <row r="7422">
      <c r="A7422" s="2" t="inlineStr">
        <is>
          <t>2026-05-29</t>
        </is>
      </c>
      <c r="B7422" s="3" t="inlineStr">
        <is>
          <t>현대해상</t>
        </is>
      </c>
      <c r="C7422" s="2" t="inlineStr">
        <is>
          <t>코스피</t>
        </is>
      </c>
      <c r="D7422" s="2" t="inlineStr">
        <is>
          <t>001450</t>
        </is>
      </c>
      <c r="E7422" s="3" t="inlineStr">
        <is>
          <t>대규모기업집단현황공시[연1회(동일인용)]</t>
        </is>
      </c>
      <c r="F7422" s="3" t="inlineStr">
        <is>
          <t>정몽윤</t>
        </is>
      </c>
      <c r="G7422" s="2" t="inlineStr">
        <is>
          <t>20260529002250</t>
        </is>
      </c>
      <c r="H7422" s="8">
        <f>HYPERLINK("https://dart.fss.or.kr/dsaf001/main.do?rcpNo=20260529002250", "공시열람")</f>
        <v/>
      </c>
    </row>
    <row r="7423">
      <c r="A7423" s="2" t="inlineStr">
        <is>
          <t>2026-05-29</t>
        </is>
      </c>
      <c r="B7423" s="3" t="inlineStr">
        <is>
          <t>SK하이닉스</t>
        </is>
      </c>
      <c r="C7423" s="2" t="inlineStr">
        <is>
          <t>코스피</t>
        </is>
      </c>
      <c r="D7423" s="2" t="inlineStr">
        <is>
          <t>000660</t>
        </is>
      </c>
      <c r="E7423" s="3" t="inlineStr">
        <is>
          <t xml:space="preserve">기업지배구조보고서공시              </t>
        </is>
      </c>
      <c r="F7423" s="3" t="inlineStr">
        <is>
          <t>SK하이닉스</t>
        </is>
      </c>
      <c r="G7423" s="2" t="inlineStr">
        <is>
          <t>20260529801972</t>
        </is>
      </c>
      <c r="H7423" s="8">
        <f>HYPERLINK("https://dart.fss.or.kr/dsaf001/main.do?rcpNo=20260529801972", "공시열람")</f>
        <v/>
      </c>
    </row>
    <row r="7424">
      <c r="A7424" s="2" t="inlineStr">
        <is>
          <t>2026-05-29</t>
        </is>
      </c>
      <c r="B7424" s="3" t="inlineStr">
        <is>
          <t>한화투자증권</t>
        </is>
      </c>
      <c r="C7424" s="2" t="inlineStr">
        <is>
          <t>코스피</t>
        </is>
      </c>
      <c r="D7424" s="2" t="inlineStr">
        <is>
          <t>003530</t>
        </is>
      </c>
      <c r="E7424" s="3" t="inlineStr">
        <is>
          <t>증권발행실적보고서</t>
        </is>
      </c>
      <c r="F7424" s="3" t="inlineStr">
        <is>
          <t>한화투자증권</t>
        </is>
      </c>
      <c r="G7424" s="2" t="inlineStr">
        <is>
          <t>20260529002245</t>
        </is>
      </c>
      <c r="H7424" s="8">
        <f>HYPERLINK("https://dart.fss.or.kr/dsaf001/main.do?rcpNo=20260529002245", "공시열람")</f>
        <v/>
      </c>
    </row>
    <row r="7425">
      <c r="A7425" s="2" t="inlineStr">
        <is>
          <t>2026-05-29</t>
        </is>
      </c>
      <c r="B7425" s="3" t="inlineStr">
        <is>
          <t>금호타이어</t>
        </is>
      </c>
      <c r="C7425" s="2" t="inlineStr">
        <is>
          <t>코스피</t>
        </is>
      </c>
      <c r="D7425" s="2" t="inlineStr">
        <is>
          <t>073240</t>
        </is>
      </c>
      <c r="E7425" s="3" t="inlineStr">
        <is>
          <t xml:space="preserve">기업지배구조보고서공시              </t>
        </is>
      </c>
      <c r="F7425" s="3" t="inlineStr">
        <is>
          <t>금호타이어</t>
        </is>
      </c>
      <c r="G7425" s="2" t="inlineStr">
        <is>
          <t>20260529801975</t>
        </is>
      </c>
      <c r="H7425" s="8">
        <f>HYPERLINK("https://dart.fss.or.kr/dsaf001/main.do?rcpNo=20260529801975", "공시열람")</f>
        <v/>
      </c>
    </row>
    <row r="7426">
      <c r="A7426" s="2" t="inlineStr">
        <is>
          <t>2026-05-29</t>
        </is>
      </c>
      <c r="B7426" s="3" t="inlineStr">
        <is>
          <t>HS효성</t>
        </is>
      </c>
      <c r="C7426" s="2" t="inlineStr">
        <is>
          <t>코스피</t>
        </is>
      </c>
      <c r="D7426" s="2" t="inlineStr">
        <is>
          <t>487570</t>
        </is>
      </c>
      <c r="E7426" s="3" t="inlineStr">
        <is>
          <t>대규모기업집단현황공시[연1회공시및1/4분기용(개별회사)]</t>
        </is>
      </c>
      <c r="F7426" s="3" t="inlineStr">
        <is>
          <t>HS효성</t>
        </is>
      </c>
      <c r="G7426" s="2" t="inlineStr">
        <is>
          <t>20260529002243</t>
        </is>
      </c>
      <c r="H7426" s="8">
        <f>HYPERLINK("https://dart.fss.or.kr/dsaf001/main.do?rcpNo=20260529002243", "공시열람")</f>
        <v/>
      </c>
    </row>
    <row r="7427">
      <c r="A7427" s="2" t="inlineStr">
        <is>
          <t>2026-05-29</t>
        </is>
      </c>
      <c r="B7427" s="3" t="inlineStr">
        <is>
          <t>지놈앤컴퍼니</t>
        </is>
      </c>
      <c r="C7427" s="2" t="inlineStr">
        <is>
          <t>코스닥</t>
        </is>
      </c>
      <c r="D7427" s="2" t="inlineStr">
        <is>
          <t>314130</t>
        </is>
      </c>
      <c r="E7427" s="3" t="inlineStr">
        <is>
          <t>임원ㆍ주요주주특정증권등소유상황보고서</t>
        </is>
      </c>
      <c r="F7427" s="3" t="inlineStr">
        <is>
          <t>박한수</t>
        </is>
      </c>
      <c r="G7427" s="2" t="inlineStr">
        <is>
          <t>20260529002242</t>
        </is>
      </c>
      <c r="H7427" s="8">
        <f>HYPERLINK("https://dart.fss.or.kr/dsaf001/main.do?rcpNo=20260529002242", "공시열람")</f>
        <v/>
      </c>
    </row>
    <row r="7428">
      <c r="A7428" s="2" t="inlineStr">
        <is>
          <t>2026-05-29</t>
        </is>
      </c>
      <c r="B7428" s="3" t="inlineStr">
        <is>
          <t>한화투자증권</t>
        </is>
      </c>
      <c r="C7428" s="2" t="inlineStr">
        <is>
          <t>코스피</t>
        </is>
      </c>
      <c r="D7428" s="2" t="inlineStr">
        <is>
          <t>003530</t>
        </is>
      </c>
      <c r="E7428" s="3" t="inlineStr">
        <is>
          <t>증권발행실적보고서</t>
        </is>
      </c>
      <c r="F7428" s="3" t="inlineStr">
        <is>
          <t>한화투자증권</t>
        </is>
      </c>
      <c r="G7428" s="2" t="inlineStr">
        <is>
          <t>20260529002239</t>
        </is>
      </c>
      <c r="H7428" s="8">
        <f>HYPERLINK("https://dart.fss.or.kr/dsaf001/main.do?rcpNo=20260529002239", "공시열람")</f>
        <v/>
      </c>
    </row>
    <row r="7429">
      <c r="A7429" s="2" t="inlineStr">
        <is>
          <t>2026-05-29</t>
        </is>
      </c>
      <c r="B7429" s="3" t="inlineStr">
        <is>
          <t>엔솔바이오사이언스</t>
        </is>
      </c>
      <c r="C7429" s="2" t="inlineStr">
        <is>
          <t>코넥스</t>
        </is>
      </c>
      <c r="D7429" s="2" t="inlineStr">
        <is>
          <t>140610</t>
        </is>
      </c>
      <c r="E7429" s="3" t="inlineStr">
        <is>
          <t xml:space="preserve">기업설명회(IR)개최결과              </t>
        </is>
      </c>
      <c r="F7429" s="3" t="inlineStr">
        <is>
          <t>엔솔바이오사이언스</t>
        </is>
      </c>
      <c r="G7429" s="2" t="inlineStr">
        <is>
          <t>20260529601893</t>
        </is>
      </c>
      <c r="H7429" s="8">
        <f>HYPERLINK("https://dart.fss.or.kr/dsaf001/main.do?rcpNo=20260529601893", "공시열람")</f>
        <v/>
      </c>
    </row>
    <row r="7430">
      <c r="A7430" s="2" t="inlineStr">
        <is>
          <t>2026-05-29</t>
        </is>
      </c>
      <c r="B7430" s="3" t="inlineStr">
        <is>
          <t>이지스레지던스리츠</t>
        </is>
      </c>
      <c r="C7430" s="2" t="inlineStr">
        <is>
          <t>코스피</t>
        </is>
      </c>
      <c r="D7430" s="2" t="inlineStr">
        <is>
          <t>350520</t>
        </is>
      </c>
      <c r="E7430" s="3" t="inlineStr">
        <is>
          <t>의결권대리행사권유참고서류</t>
        </is>
      </c>
      <c r="F7430" s="3" t="inlineStr">
        <is>
          <t>이지스레지던스리츠</t>
        </is>
      </c>
      <c r="G7430" s="2" t="inlineStr">
        <is>
          <t>20260529002237</t>
        </is>
      </c>
      <c r="H7430" s="8">
        <f>HYPERLINK("https://dart.fss.or.kr/dsaf001/main.do?rcpNo=20260529002237", "공시열람")</f>
        <v/>
      </c>
    </row>
    <row r="7431">
      <c r="A7431" s="2" t="inlineStr">
        <is>
          <t>2026-05-29</t>
        </is>
      </c>
      <c r="B7431" s="3" t="inlineStr">
        <is>
          <t>진원생명과학</t>
        </is>
      </c>
      <c r="C7431" s="2" t="inlineStr">
        <is>
          <t>코스피</t>
        </is>
      </c>
      <c r="D7431" s="2" t="inlineStr">
        <is>
          <t>011000</t>
        </is>
      </c>
      <c r="E7431" s="3" t="inlineStr">
        <is>
          <t>[기재정정]주요사항보고서(자기전환사채매도결정)</t>
        </is>
      </c>
      <c r="F7431" s="3" t="inlineStr">
        <is>
          <t>진원생명과학</t>
        </is>
      </c>
      <c r="G7431" s="2" t="inlineStr">
        <is>
          <t>20260529002157</t>
        </is>
      </c>
      <c r="H7431" s="8">
        <f>HYPERLINK("https://dart.fss.or.kr/dsaf001/main.do?rcpNo=20260529002157", "공시열람")</f>
        <v/>
      </c>
    </row>
    <row r="7432">
      <c r="A7432" s="2" t="inlineStr">
        <is>
          <t>2026-05-29</t>
        </is>
      </c>
      <c r="B7432" s="3" t="inlineStr">
        <is>
          <t>동방</t>
        </is>
      </c>
      <c r="C7432" s="2" t="inlineStr">
        <is>
          <t>코스피</t>
        </is>
      </c>
      <c r="D7432" s="2" t="inlineStr">
        <is>
          <t>004140</t>
        </is>
      </c>
      <c r="E7432" s="3" t="inlineStr">
        <is>
          <t xml:space="preserve">기업지배구조보고서공시              </t>
        </is>
      </c>
      <c r="F7432" s="3" t="inlineStr">
        <is>
          <t>동방</t>
        </is>
      </c>
      <c r="G7432" s="2" t="inlineStr">
        <is>
          <t>20260529801936</t>
        </is>
      </c>
      <c r="H7432" s="8">
        <f>HYPERLINK("https://dart.fss.or.kr/dsaf001/main.do?rcpNo=20260529801936", "공시열람")</f>
        <v/>
      </c>
    </row>
    <row r="7433">
      <c r="A7433" s="2" t="inlineStr">
        <is>
          <t>2026-05-29</t>
        </is>
      </c>
      <c r="B7433" s="3" t="inlineStr">
        <is>
          <t>지아이에스</t>
        </is>
      </c>
      <c r="C7433" s="2" t="inlineStr">
        <is>
          <t>코스닥</t>
        </is>
      </c>
      <c r="D7433" s="2" t="inlineStr">
        <is>
          <t>306620</t>
        </is>
      </c>
      <c r="E7433" s="3" t="inlineStr">
        <is>
          <t>신탁계약해지결과보고서</t>
        </is>
      </c>
      <c r="F7433" s="3" t="inlineStr">
        <is>
          <t>지아이에스</t>
        </is>
      </c>
      <c r="G7433" s="2" t="inlineStr">
        <is>
          <t>20260529002226</t>
        </is>
      </c>
      <c r="H7433" s="8">
        <f>HYPERLINK("https://dart.fss.or.kr/dsaf001/main.do?rcpNo=20260529002226", "공시열람")</f>
        <v/>
      </c>
    </row>
    <row r="7434">
      <c r="A7434" s="2" t="inlineStr">
        <is>
          <t>2026-05-29</t>
        </is>
      </c>
      <c r="B7434" s="3" t="inlineStr">
        <is>
          <t>해성디에스</t>
        </is>
      </c>
      <c r="C7434" s="2" t="inlineStr">
        <is>
          <t>코스피</t>
        </is>
      </c>
      <c r="D7434" s="2" t="inlineStr">
        <is>
          <t>195870</t>
        </is>
      </c>
      <c r="E7434" s="3" t="inlineStr">
        <is>
          <t>임원ㆍ주요주주특정증권등소유상황보고서</t>
        </is>
      </c>
      <c r="F7434" s="3" t="inlineStr">
        <is>
          <t>김남석</t>
        </is>
      </c>
      <c r="G7434" s="2" t="inlineStr">
        <is>
          <t>20260529002227</t>
        </is>
      </c>
      <c r="H7434" s="8">
        <f>HYPERLINK("https://dart.fss.or.kr/dsaf001/main.do?rcpNo=20260529002227", "공시열람")</f>
        <v/>
      </c>
    </row>
    <row r="7435">
      <c r="A7435" s="2" t="inlineStr">
        <is>
          <t>2026-05-29</t>
        </is>
      </c>
      <c r="B7435" s="3" t="inlineStr">
        <is>
          <t>대현</t>
        </is>
      </c>
      <c r="C7435" s="2" t="inlineStr">
        <is>
          <t>코스피</t>
        </is>
      </c>
      <c r="D7435" s="2" t="inlineStr">
        <is>
          <t>016090</t>
        </is>
      </c>
      <c r="E7435" s="3" t="inlineStr">
        <is>
          <t xml:space="preserve">기업지배구조보고서공시              </t>
        </is>
      </c>
      <c r="F7435" s="3" t="inlineStr">
        <is>
          <t>대현</t>
        </is>
      </c>
      <c r="G7435" s="2" t="inlineStr">
        <is>
          <t>20260529801955</t>
        </is>
      </c>
      <c r="H7435" s="8">
        <f>HYPERLINK("https://dart.fss.or.kr/dsaf001/main.do?rcpNo=20260529801955", "공시열람")</f>
        <v/>
      </c>
    </row>
    <row r="7436">
      <c r="A7436" s="2" t="inlineStr">
        <is>
          <t>2026-05-29</t>
        </is>
      </c>
      <c r="B7436" s="3" t="inlineStr">
        <is>
          <t>루미르</t>
        </is>
      </c>
      <c r="C7436" s="2" t="inlineStr">
        <is>
          <t>코스닥</t>
        </is>
      </c>
      <c r="D7436" s="2" t="inlineStr">
        <is>
          <t>474170</t>
        </is>
      </c>
      <c r="E7436" s="3" t="inlineStr">
        <is>
          <t>증권발행결과(자율공시)              (제2회차 CB)</t>
        </is>
      </c>
      <c r="F7436" s="3" t="inlineStr">
        <is>
          <t>루미르</t>
        </is>
      </c>
      <c r="G7436" s="2" t="inlineStr">
        <is>
          <t>20260529901878</t>
        </is>
      </c>
      <c r="H7436" s="8">
        <f>HYPERLINK("https://dart.fss.or.kr/dsaf001/main.do?rcpNo=20260529901878", "공시열람")</f>
        <v/>
      </c>
    </row>
    <row r="7437">
      <c r="A7437" s="2" t="inlineStr">
        <is>
          <t>2026-05-29</t>
        </is>
      </c>
      <c r="B7437" s="3" t="inlineStr">
        <is>
          <t>엘티씨</t>
        </is>
      </c>
      <c r="C7437" s="2" t="inlineStr">
        <is>
          <t>코스닥</t>
        </is>
      </c>
      <c r="D7437" s="2" t="inlineStr">
        <is>
          <t>170920</t>
        </is>
      </c>
      <c r="E7437" s="3" t="inlineStr">
        <is>
          <t>임원ㆍ주요주주특정증권등소유상황보고서</t>
        </is>
      </c>
      <c r="F7437" s="3" t="inlineStr">
        <is>
          <t>최호성</t>
        </is>
      </c>
      <c r="G7437" s="2" t="inlineStr">
        <is>
          <t>20260529002221</t>
        </is>
      </c>
      <c r="H7437" s="8">
        <f>HYPERLINK("https://dart.fss.or.kr/dsaf001/main.do?rcpNo=20260529002221", "공시열람")</f>
        <v/>
      </c>
    </row>
    <row r="7438">
      <c r="A7438" s="2" t="inlineStr">
        <is>
          <t>2026-05-29</t>
        </is>
      </c>
      <c r="B7438" s="3" t="inlineStr">
        <is>
          <t>효성중공업</t>
        </is>
      </c>
      <c r="C7438" s="2" t="inlineStr">
        <is>
          <t>코스피</t>
        </is>
      </c>
      <c r="D7438" s="2" t="inlineStr">
        <is>
          <t>298040</t>
        </is>
      </c>
      <c r="E7438" s="3" t="inlineStr">
        <is>
          <t>대규모기업집단현황공시[연1회공시및1/4분기용(개별회사)]</t>
        </is>
      </c>
      <c r="F7438" s="3" t="inlineStr">
        <is>
          <t>효성중공업</t>
        </is>
      </c>
      <c r="G7438" s="2" t="inlineStr">
        <is>
          <t>20260529002220</t>
        </is>
      </c>
      <c r="H7438" s="8">
        <f>HYPERLINK("https://dart.fss.or.kr/dsaf001/main.do?rcpNo=20260529002220", "공시열람")</f>
        <v/>
      </c>
    </row>
    <row r="7439">
      <c r="A7439" s="2" t="inlineStr">
        <is>
          <t>2026-05-29</t>
        </is>
      </c>
      <c r="B7439" s="3" t="inlineStr">
        <is>
          <t>선진</t>
        </is>
      </c>
      <c r="C7439" s="2" t="inlineStr">
        <is>
          <t>코스피</t>
        </is>
      </c>
      <c r="D7439" s="2" t="inlineStr">
        <is>
          <t>136490</t>
        </is>
      </c>
      <c r="E7439" s="3" t="inlineStr">
        <is>
          <t xml:space="preserve">기업지배구조보고서공시              </t>
        </is>
      </c>
      <c r="F7439" s="3" t="inlineStr">
        <is>
          <t>선진</t>
        </is>
      </c>
      <c r="G7439" s="2" t="inlineStr">
        <is>
          <t>20260529801952</t>
        </is>
      </c>
      <c r="H7439" s="8">
        <f>HYPERLINK("https://dart.fss.or.kr/dsaf001/main.do?rcpNo=20260529801952", "공시열람")</f>
        <v/>
      </c>
    </row>
    <row r="7440">
      <c r="A7440" s="2" t="inlineStr">
        <is>
          <t>2026-05-29 (정정: 2026-06-23)</t>
        </is>
      </c>
      <c r="B7440" s="3" t="inlineStr">
        <is>
          <t>이화공영</t>
        </is>
      </c>
      <c r="C7440" s="2" t="inlineStr">
        <is>
          <t>코스닥</t>
        </is>
      </c>
      <c r="D7440" s="2" t="inlineStr">
        <is>
          <t>001840</t>
        </is>
      </c>
      <c r="E7440" s="3" t="inlineStr">
        <is>
          <t>주주명부폐쇄기간또는기준일설정               (정정: 20260623)</t>
        </is>
      </c>
      <c r="F7440" s="3" t="inlineStr">
        <is>
          <t>이화공영</t>
        </is>
      </c>
      <c r="G7440" s="2" t="inlineStr">
        <is>
          <t>20260623900573</t>
        </is>
      </c>
      <c r="H7440" s="8">
        <f>HYPERLINK("https://dart.fss.or.kr/dsaf001/main.do?rcpNo=20260623900573", "공시열람")</f>
        <v/>
      </c>
    </row>
    <row r="7441">
      <c r="A7441" s="2" t="inlineStr">
        <is>
          <t>2026-05-29</t>
        </is>
      </c>
      <c r="B7441" s="3" t="inlineStr">
        <is>
          <t>우성머티리얼스</t>
        </is>
      </c>
      <c r="C7441" s="2" t="inlineStr">
        <is>
          <t>코스피</t>
        </is>
      </c>
      <c r="D7441" s="2" t="inlineStr">
        <is>
          <t>011300</t>
        </is>
      </c>
      <c r="E7441" s="3" t="inlineStr">
        <is>
          <t xml:space="preserve">기업지배구조보고서공시              </t>
        </is>
      </c>
      <c r="F7441" s="3" t="inlineStr">
        <is>
          <t>우성머티리얼스</t>
        </is>
      </c>
      <c r="G7441" s="2" t="inlineStr">
        <is>
          <t>20260529801911</t>
        </is>
      </c>
      <c r="H7441" s="8">
        <f>HYPERLINK("https://dart.fss.or.kr/dsaf001/main.do?rcpNo=20260529801911", "공시열람")</f>
        <v/>
      </c>
    </row>
    <row r="7442">
      <c r="A7442" s="2" t="inlineStr">
        <is>
          <t>2026-05-29</t>
        </is>
      </c>
      <c r="B7442" s="3" t="inlineStr">
        <is>
          <t>롯데관광개발</t>
        </is>
      </c>
      <c r="C7442" s="2" t="inlineStr">
        <is>
          <t>코스피</t>
        </is>
      </c>
      <c r="D7442" s="2" t="inlineStr">
        <is>
          <t>032350</t>
        </is>
      </c>
      <c r="E7442" s="3" t="inlineStr">
        <is>
          <t xml:space="preserve">기업지배구조보고서공시              </t>
        </is>
      </c>
      <c r="F7442" s="3" t="inlineStr">
        <is>
          <t>롯데관광개발</t>
        </is>
      </c>
      <c r="G7442" s="2" t="inlineStr">
        <is>
          <t>20260529800557</t>
        </is>
      </c>
      <c r="H7442" s="8">
        <f>HYPERLINK("https://dart.fss.or.kr/dsaf001/main.do?rcpNo=20260529800557", "공시열람")</f>
        <v/>
      </c>
    </row>
    <row r="7443">
      <c r="A7443" s="2" t="inlineStr">
        <is>
          <t>2026-05-29</t>
        </is>
      </c>
      <c r="B7443" s="3" t="inlineStr">
        <is>
          <t>효성티앤씨</t>
        </is>
      </c>
      <c r="C7443" s="2" t="inlineStr">
        <is>
          <t>코스피</t>
        </is>
      </c>
      <c r="D7443" s="2" t="inlineStr">
        <is>
          <t>298020</t>
        </is>
      </c>
      <c r="E7443" s="3" t="inlineStr">
        <is>
          <t>대규모기업집단현황공시[연1회공시및1/4분기용(개별회사)]</t>
        </is>
      </c>
      <c r="F7443" s="3" t="inlineStr">
        <is>
          <t>효성티앤씨</t>
        </is>
      </c>
      <c r="G7443" s="2" t="inlineStr">
        <is>
          <t>20260529002214</t>
        </is>
      </c>
      <c r="H7443" s="8">
        <f>HYPERLINK("https://dart.fss.or.kr/dsaf001/main.do?rcpNo=20260529002214", "공시열람")</f>
        <v/>
      </c>
    </row>
    <row r="7444">
      <c r="A7444" s="2" t="inlineStr">
        <is>
          <t>2026-05-29</t>
        </is>
      </c>
      <c r="B7444" s="3" t="inlineStr">
        <is>
          <t>HD현대마린엔진</t>
        </is>
      </c>
      <c r="C7444" s="2" t="inlineStr">
        <is>
          <t>코스피</t>
        </is>
      </c>
      <c r="D7444" s="2" t="inlineStr">
        <is>
          <t>071970</t>
        </is>
      </c>
      <c r="E7444" s="3" t="inlineStr">
        <is>
          <t xml:space="preserve">기업지배구조보고서공시              </t>
        </is>
      </c>
      <c r="F7444" s="3" t="inlineStr">
        <is>
          <t>HD현대마린엔진</t>
        </is>
      </c>
      <c r="G7444" s="2" t="inlineStr">
        <is>
          <t>20260529801938</t>
        </is>
      </c>
      <c r="H7444" s="8">
        <f>HYPERLINK("https://dart.fss.or.kr/dsaf001/main.do?rcpNo=20260529801938", "공시열람")</f>
        <v/>
      </c>
    </row>
    <row r="7445">
      <c r="A7445" s="2" t="inlineStr">
        <is>
          <t>2026-05-29</t>
        </is>
      </c>
      <c r="B7445" s="3" t="inlineStr">
        <is>
          <t>애경산업</t>
        </is>
      </c>
      <c r="C7445" s="2" t="inlineStr">
        <is>
          <t>코스피</t>
        </is>
      </c>
      <c r="D7445" s="2" t="inlineStr">
        <is>
          <t>018250</t>
        </is>
      </c>
      <c r="E7445" s="3" t="inlineStr">
        <is>
          <t xml:space="preserve">기업지배구조보고서공시              </t>
        </is>
      </c>
      <c r="F7445" s="3" t="inlineStr">
        <is>
          <t>애경산업</t>
        </is>
      </c>
      <c r="G7445" s="2" t="inlineStr">
        <is>
          <t>20260529801771</t>
        </is>
      </c>
      <c r="H7445" s="8">
        <f>HYPERLINK("https://dart.fss.or.kr/dsaf001/main.do?rcpNo=20260529801771", "공시열람")</f>
        <v/>
      </c>
    </row>
    <row r="7446">
      <c r="A7446" s="2" t="inlineStr">
        <is>
          <t>2026-05-29</t>
        </is>
      </c>
      <c r="B7446" s="3" t="inlineStr">
        <is>
          <t>진에어</t>
        </is>
      </c>
      <c r="C7446" s="2" t="inlineStr">
        <is>
          <t>코스피</t>
        </is>
      </c>
      <c r="D7446" s="2" t="inlineStr">
        <is>
          <t>272450</t>
        </is>
      </c>
      <c r="E7446" s="3" t="inlineStr">
        <is>
          <t xml:space="preserve">기업지배구조보고서공시              </t>
        </is>
      </c>
      <c r="F7446" s="3" t="inlineStr">
        <is>
          <t>진에어</t>
        </is>
      </c>
      <c r="G7446" s="2" t="inlineStr">
        <is>
          <t>20260529801913</t>
        </is>
      </c>
      <c r="H7446" s="8">
        <f>HYPERLINK("https://dart.fss.or.kr/dsaf001/main.do?rcpNo=20260529801913", "공시열람")</f>
        <v/>
      </c>
    </row>
    <row r="7447">
      <c r="A7447" s="2" t="inlineStr">
        <is>
          <t>2026-05-29</t>
        </is>
      </c>
      <c r="B7447" s="3" t="inlineStr">
        <is>
          <t>효성</t>
        </is>
      </c>
      <c r="C7447" s="2" t="inlineStr">
        <is>
          <t>코스피</t>
        </is>
      </c>
      <c r="D7447" s="2" t="inlineStr">
        <is>
          <t>004800</t>
        </is>
      </c>
      <c r="E7447" s="3" t="inlineStr">
        <is>
          <t>대규모기업집단현황공시[연1회(동일인용)]</t>
        </is>
      </c>
      <c r="F7447" s="3" t="inlineStr">
        <is>
          <t>조현준</t>
        </is>
      </c>
      <c r="G7447" s="2" t="inlineStr">
        <is>
          <t>20260529002206</t>
        </is>
      </c>
      <c r="H7447" s="8">
        <f>HYPERLINK("https://dart.fss.or.kr/dsaf001/main.do?rcpNo=20260529002206", "공시열람")</f>
        <v/>
      </c>
    </row>
    <row r="7448">
      <c r="A7448" s="2" t="inlineStr">
        <is>
          <t>2026-05-29</t>
        </is>
      </c>
      <c r="B7448" s="3" t="inlineStr">
        <is>
          <t>신화인터텍</t>
        </is>
      </c>
      <c r="C7448" s="2" t="inlineStr">
        <is>
          <t>코스닥</t>
        </is>
      </c>
      <c r="D7448" s="2" t="inlineStr">
        <is>
          <t>056700</t>
        </is>
      </c>
      <c r="E7448" s="3" t="inlineStr">
        <is>
          <t>대규모기업집단현황공시[연1회공시및1/4분기용(개별회사)]</t>
        </is>
      </c>
      <c r="F7448" s="3" t="inlineStr">
        <is>
          <t>신화인터텍</t>
        </is>
      </c>
      <c r="G7448" s="2" t="inlineStr">
        <is>
          <t>20260529002205</t>
        </is>
      </c>
      <c r="H7448" s="8">
        <f>HYPERLINK("https://dart.fss.or.kr/dsaf001/main.do?rcpNo=20260529002205", "공시열람")</f>
        <v/>
      </c>
    </row>
    <row r="7449">
      <c r="A7449" s="2" t="inlineStr">
        <is>
          <t>2026-05-29</t>
        </is>
      </c>
      <c r="B7449" s="3" t="inlineStr">
        <is>
          <t>SK리츠</t>
        </is>
      </c>
      <c r="C7449" s="2" t="inlineStr">
        <is>
          <t>코스피</t>
        </is>
      </c>
      <c r="D7449" s="2" t="inlineStr">
        <is>
          <t>395400</t>
        </is>
      </c>
      <c r="E7449" s="3" t="inlineStr">
        <is>
          <t xml:space="preserve">기업지배구조보고서공시              </t>
        </is>
      </c>
      <c r="F7449" s="3" t="inlineStr">
        <is>
          <t>SK리츠</t>
        </is>
      </c>
      <c r="G7449" s="2" t="inlineStr">
        <is>
          <t>20260529801806</t>
        </is>
      </c>
      <c r="H7449" s="8">
        <f>HYPERLINK("https://dart.fss.or.kr/dsaf001/main.do?rcpNo=20260529801806", "공시열람")</f>
        <v/>
      </c>
    </row>
    <row r="7450">
      <c r="A7450" s="2" t="inlineStr">
        <is>
          <t>2026-05-29</t>
        </is>
      </c>
      <c r="B7450" s="3" t="inlineStr">
        <is>
          <t>웅진</t>
        </is>
      </c>
      <c r="C7450" s="2" t="inlineStr">
        <is>
          <t>코스피</t>
        </is>
      </c>
      <c r="D7450" s="2" t="inlineStr">
        <is>
          <t>016880</t>
        </is>
      </c>
      <c r="E7450" s="3" t="inlineStr">
        <is>
          <t>대규모기업집단현황공시[연1회공시및1/4분기용(대표회사)]</t>
        </is>
      </c>
      <c r="F7450" s="3" t="inlineStr">
        <is>
          <t>웅진</t>
        </is>
      </c>
      <c r="G7450" s="2" t="inlineStr">
        <is>
          <t>20260529002199</t>
        </is>
      </c>
      <c r="H7450" s="8">
        <f>HYPERLINK("https://dart.fss.or.kr/dsaf001/main.do?rcpNo=20260529002199", "공시열람")</f>
        <v/>
      </c>
    </row>
    <row r="7451">
      <c r="A7451" s="2" t="inlineStr">
        <is>
          <t>2026-05-29</t>
        </is>
      </c>
      <c r="B7451" s="3" t="inlineStr">
        <is>
          <t>케이티앤지</t>
        </is>
      </c>
      <c r="C7451" s="2" t="inlineStr">
        <is>
          <t>코스피</t>
        </is>
      </c>
      <c r="D7451" s="2" t="inlineStr">
        <is>
          <t>033780</t>
        </is>
      </c>
      <c r="E7451" s="3" t="inlineStr">
        <is>
          <t xml:space="preserve">기업지배구조보고서공시              </t>
        </is>
      </c>
      <c r="F7451" s="3" t="inlineStr">
        <is>
          <t>케이티앤지</t>
        </is>
      </c>
      <c r="G7451" s="2" t="inlineStr">
        <is>
          <t>20260529801917</t>
        </is>
      </c>
      <c r="H7451" s="8">
        <f>HYPERLINK("https://dart.fss.or.kr/dsaf001/main.do?rcpNo=20260529801917", "공시열람")</f>
        <v/>
      </c>
    </row>
    <row r="7452">
      <c r="A7452" s="2" t="inlineStr">
        <is>
          <t>2026-05-29</t>
        </is>
      </c>
      <c r="B7452" s="3" t="inlineStr">
        <is>
          <t>LS에코에너지</t>
        </is>
      </c>
      <c r="C7452" s="2" t="inlineStr">
        <is>
          <t>코스피</t>
        </is>
      </c>
      <c r="D7452" s="2" t="inlineStr">
        <is>
          <t>229640</t>
        </is>
      </c>
      <c r="E7452" s="3" t="inlineStr">
        <is>
          <t xml:space="preserve">기업지배구조보고서공시              </t>
        </is>
      </c>
      <c r="F7452" s="3" t="inlineStr">
        <is>
          <t>LS에코에너지</t>
        </is>
      </c>
      <c r="G7452" s="2" t="inlineStr">
        <is>
          <t>20260529801921</t>
        </is>
      </c>
      <c r="H7452" s="8">
        <f>HYPERLINK("https://dart.fss.or.kr/dsaf001/main.do?rcpNo=20260529801921", "공시열람")</f>
        <v/>
      </c>
    </row>
    <row r="7453">
      <c r="A7453" s="2" t="inlineStr">
        <is>
          <t>2026-05-29</t>
        </is>
      </c>
      <c r="B7453" s="3" t="inlineStr">
        <is>
          <t>쿠쿠홀딩스</t>
        </is>
      </c>
      <c r="C7453" s="2" t="inlineStr">
        <is>
          <t>코스피</t>
        </is>
      </c>
      <c r="D7453" s="2" t="inlineStr">
        <is>
          <t>192400</t>
        </is>
      </c>
      <c r="E7453" s="3" t="inlineStr">
        <is>
          <t xml:space="preserve">기업지배구조보고서공시              </t>
        </is>
      </c>
      <c r="F7453" s="3" t="inlineStr">
        <is>
          <t>쿠쿠홀딩스</t>
        </is>
      </c>
      <c r="G7453" s="2" t="inlineStr">
        <is>
          <t>20260529801925</t>
        </is>
      </c>
      <c r="H7453" s="8">
        <f>HYPERLINK("https://dart.fss.or.kr/dsaf001/main.do?rcpNo=20260529801925", "공시열람")</f>
        <v/>
      </c>
    </row>
    <row r="7454">
      <c r="A7454" s="2" t="inlineStr">
        <is>
          <t>2026-05-29</t>
        </is>
      </c>
      <c r="B7454" s="3" t="inlineStr">
        <is>
          <t>롯데리츠</t>
        </is>
      </c>
      <c r="C7454" s="2" t="inlineStr">
        <is>
          <t>코스피</t>
        </is>
      </c>
      <c r="D7454" s="2" t="inlineStr">
        <is>
          <t>330590</t>
        </is>
      </c>
      <c r="E7454" s="3" t="inlineStr">
        <is>
          <t xml:space="preserve">기업지배구조보고서공시              </t>
        </is>
      </c>
      <c r="F7454" s="3" t="inlineStr">
        <is>
          <t>롯데리츠</t>
        </is>
      </c>
      <c r="G7454" s="2" t="inlineStr">
        <is>
          <t>20260529801890</t>
        </is>
      </c>
      <c r="H7454" s="8">
        <f>HYPERLINK("https://dart.fss.or.kr/dsaf001/main.do?rcpNo=20260529801890", "공시열람")</f>
        <v/>
      </c>
    </row>
    <row r="7455">
      <c r="A7455" s="2" t="inlineStr">
        <is>
          <t>2026-05-29</t>
        </is>
      </c>
      <c r="B7455" s="3" t="inlineStr">
        <is>
          <t>삼표시멘트</t>
        </is>
      </c>
      <c r="C7455" s="2" t="inlineStr">
        <is>
          <t>코스닥</t>
        </is>
      </c>
      <c r="D7455" s="2" t="inlineStr">
        <is>
          <t>038500</t>
        </is>
      </c>
      <c r="E7455" s="3" t="inlineStr">
        <is>
          <t>대규모기업집단현황공시[연1회공시및1/4분기용(개별회사)]</t>
        </is>
      </c>
      <c r="F7455" s="3" t="inlineStr">
        <is>
          <t>삼표시멘트</t>
        </is>
      </c>
      <c r="G7455" s="2" t="inlineStr">
        <is>
          <t>20260529002196</t>
        </is>
      </c>
      <c r="H7455" s="8">
        <f>HYPERLINK("https://dart.fss.or.kr/dsaf001/main.do?rcpNo=20260529002196", "공시열람")</f>
        <v/>
      </c>
    </row>
    <row r="7456">
      <c r="A7456" s="2" t="inlineStr">
        <is>
          <t>2026-05-29 (정정: 2026-06-15)</t>
        </is>
      </c>
      <c r="B7456" s="3" t="inlineStr">
        <is>
          <t>제이알글로벌리츠</t>
        </is>
      </c>
      <c r="C7456" s="2" t="inlineStr">
        <is>
          <t>코스피</t>
        </is>
      </c>
      <c r="D7456" s="2" t="inlineStr">
        <is>
          <t>348950</t>
        </is>
      </c>
      <c r="E7456" s="3" t="inlineStr">
        <is>
          <t>기업지배구조보고서공시               (정정: 20260615)</t>
        </is>
      </c>
      <c r="F7456" s="3" t="inlineStr">
        <is>
          <t>제이알글로벌리츠</t>
        </is>
      </c>
      <c r="G7456" s="2" t="inlineStr">
        <is>
          <t>20260615000406</t>
        </is>
      </c>
      <c r="H7456" s="8">
        <f>HYPERLINK("https://dart.fss.or.kr/dsaf001/main.do?rcpNo=20260615000406", "공시열람")</f>
        <v/>
      </c>
    </row>
    <row r="7457">
      <c r="A7457" s="2" t="inlineStr">
        <is>
          <t>2026-05-29</t>
        </is>
      </c>
      <c r="B7457" s="3" t="inlineStr">
        <is>
          <t>한화투자증권</t>
        </is>
      </c>
      <c r="C7457" s="2" t="inlineStr">
        <is>
          <t>코스피</t>
        </is>
      </c>
      <c r="D7457" s="2" t="inlineStr">
        <is>
          <t>003530</t>
        </is>
      </c>
      <c r="E7457" s="3" t="inlineStr">
        <is>
          <t>투자설명서(일괄신고)</t>
        </is>
      </c>
      <c r="F7457" s="3" t="inlineStr">
        <is>
          <t>한화투자증권</t>
        </is>
      </c>
      <c r="G7457" s="2" t="inlineStr">
        <is>
          <t>20260529002194</t>
        </is>
      </c>
      <c r="H7457" s="8">
        <f>HYPERLINK("https://dart.fss.or.kr/dsaf001/main.do?rcpNo=20260529002194", "공시열람")</f>
        <v/>
      </c>
    </row>
    <row r="7458">
      <c r="A7458" s="2" t="inlineStr">
        <is>
          <t>2026-05-29</t>
        </is>
      </c>
      <c r="B7458" s="3" t="inlineStr">
        <is>
          <t>셀트리온</t>
        </is>
      </c>
      <c r="C7458" s="2" t="inlineStr">
        <is>
          <t>코스피</t>
        </is>
      </c>
      <c r="D7458" s="2" t="inlineStr">
        <is>
          <t>068270</t>
        </is>
      </c>
      <c r="E7458" s="3" t="inlineStr">
        <is>
          <t xml:space="preserve">기업지배구조보고서공시              </t>
        </is>
      </c>
      <c r="F7458" s="3" t="inlineStr">
        <is>
          <t>셀트리온</t>
        </is>
      </c>
      <c r="G7458" s="2" t="inlineStr">
        <is>
          <t>20260529801659</t>
        </is>
      </c>
      <c r="H7458" s="8">
        <f>HYPERLINK("https://dart.fss.or.kr/dsaf001/main.do?rcpNo=20260529801659", "공시열람")</f>
        <v/>
      </c>
    </row>
    <row r="7459">
      <c r="A7459" s="2" t="inlineStr">
        <is>
          <t>2026-05-29</t>
        </is>
      </c>
      <c r="B7459" s="3" t="inlineStr">
        <is>
          <t>효성화학</t>
        </is>
      </c>
      <c r="C7459" s="2" t="inlineStr">
        <is>
          <t>코스피</t>
        </is>
      </c>
      <c r="D7459" s="2" t="inlineStr">
        <is>
          <t>298000</t>
        </is>
      </c>
      <c r="E7459" s="3" t="inlineStr">
        <is>
          <t>대규모기업집단현황공시[연1회공시및1/4분기용(개별회사)]</t>
        </is>
      </c>
      <c r="F7459" s="3" t="inlineStr">
        <is>
          <t>효성화학</t>
        </is>
      </c>
      <c r="G7459" s="2" t="inlineStr">
        <is>
          <t>20260529002192</t>
        </is>
      </c>
      <c r="H7459" s="8">
        <f>HYPERLINK("https://dart.fss.or.kr/dsaf001/main.do?rcpNo=20260529002192", "공시열람")</f>
        <v/>
      </c>
    </row>
    <row r="7460">
      <c r="A7460" s="2" t="inlineStr">
        <is>
          <t>2026-05-29</t>
        </is>
      </c>
      <c r="B7460" s="3" t="inlineStr">
        <is>
          <t>오스테오닉</t>
        </is>
      </c>
      <c r="C7460" s="2" t="inlineStr">
        <is>
          <t>코스닥</t>
        </is>
      </c>
      <c r="D7460" s="2" t="inlineStr">
        <is>
          <t>226400</t>
        </is>
      </c>
      <c r="E7460" s="3" t="inlineStr">
        <is>
          <t>의결권대리행사권유참고서류</t>
        </is>
      </c>
      <c r="F7460" s="3" t="inlineStr">
        <is>
          <t>오스테오닉</t>
        </is>
      </c>
      <c r="G7460" s="2" t="inlineStr">
        <is>
          <t>20260529002182</t>
        </is>
      </c>
      <c r="H7460" s="8">
        <f>HYPERLINK("https://dart.fss.or.kr/dsaf001/main.do?rcpNo=20260529002182", "공시열람")</f>
        <v/>
      </c>
    </row>
    <row r="7461">
      <c r="A7461" s="2" t="inlineStr">
        <is>
          <t>2026-05-29</t>
        </is>
      </c>
      <c r="B7461" s="3" t="inlineStr">
        <is>
          <t>GKL</t>
        </is>
      </c>
      <c r="C7461" s="2" t="inlineStr">
        <is>
          <t>코스피</t>
        </is>
      </c>
      <c r="D7461" s="2" t="inlineStr">
        <is>
          <t>114090</t>
        </is>
      </c>
      <c r="E7461" s="3" t="inlineStr">
        <is>
          <t xml:space="preserve">기업지배구조보고서공시              </t>
        </is>
      </c>
      <c r="F7461" s="3" t="inlineStr">
        <is>
          <t>GKL</t>
        </is>
      </c>
      <c r="G7461" s="2" t="inlineStr">
        <is>
          <t>20260529801841</t>
        </is>
      </c>
      <c r="H7461" s="8">
        <f>HYPERLINK("https://dart.fss.or.kr/dsaf001/main.do?rcpNo=20260529801841", "공시열람")</f>
        <v/>
      </c>
    </row>
    <row r="7462">
      <c r="A7462" s="2" t="inlineStr">
        <is>
          <t>2026-05-29 (정정: 2026-05-29)</t>
        </is>
      </c>
      <c r="B7462" s="3" t="inlineStr">
        <is>
          <t>미래에셋생명</t>
        </is>
      </c>
      <c r="C7462" s="2" t="inlineStr">
        <is>
          <t>코스피</t>
        </is>
      </c>
      <c r="D7462" s="2" t="inlineStr">
        <is>
          <t>085620</t>
        </is>
      </c>
      <c r="E7462" s="3" t="inlineStr">
        <is>
          <t>임원ㆍ주요주주특정증권등소유상황보고서 (정정: 20260529)</t>
        </is>
      </c>
      <c r="F7462" s="3" t="inlineStr">
        <is>
          <t>미래에셋자산운용</t>
        </is>
      </c>
      <c r="G7462" s="2" t="inlineStr">
        <is>
          <t>20260529001897</t>
        </is>
      </c>
      <c r="H7462" s="8">
        <f>HYPERLINK("https://dart.fss.or.kr/dsaf001/main.do?rcpNo=20260529001897", "공시열람")</f>
        <v/>
      </c>
    </row>
    <row r="7463">
      <c r="A7463" s="2" t="inlineStr">
        <is>
          <t>2026-05-29</t>
        </is>
      </c>
      <c r="B7463" s="3" t="inlineStr">
        <is>
          <t>코나솔</t>
        </is>
      </c>
      <c r="C7463" s="2" t="inlineStr">
        <is>
          <t>코넥스</t>
        </is>
      </c>
      <c r="D7463" s="2" t="inlineStr">
        <is>
          <t>176590</t>
        </is>
      </c>
      <c r="E7463" s="3" t="inlineStr">
        <is>
          <t xml:space="preserve">기업설명회(IR)개최결과              </t>
        </is>
      </c>
      <c r="F7463" s="3" t="inlineStr">
        <is>
          <t>코나솔</t>
        </is>
      </c>
      <c r="G7463" s="2" t="inlineStr">
        <is>
          <t>20260529601846</t>
        </is>
      </c>
      <c r="H7463" s="8">
        <f>HYPERLINK("https://dart.fss.or.kr/dsaf001/main.do?rcpNo=20260529601846", "공시열람")</f>
        <v/>
      </c>
    </row>
    <row r="7464">
      <c r="A7464" s="2" t="inlineStr">
        <is>
          <t>2026-05-29</t>
        </is>
      </c>
      <c r="B7464" s="3" t="inlineStr">
        <is>
          <t>대한화섬</t>
        </is>
      </c>
      <c r="C7464" s="2" t="inlineStr">
        <is>
          <t>코스피</t>
        </is>
      </c>
      <c r="D7464" s="2" t="inlineStr">
        <is>
          <t>003830</t>
        </is>
      </c>
      <c r="E7464" s="3" t="inlineStr">
        <is>
          <t xml:space="preserve">기업지배구조보고서공시              </t>
        </is>
      </c>
      <c r="F7464" s="3" t="inlineStr">
        <is>
          <t>대한화섬</t>
        </is>
      </c>
      <c r="G7464" s="2" t="inlineStr">
        <is>
          <t>20260529801886</t>
        </is>
      </c>
      <c r="H7464" s="8">
        <f>HYPERLINK("https://dart.fss.or.kr/dsaf001/main.do?rcpNo=20260529801886", "공시열람")</f>
        <v/>
      </c>
    </row>
    <row r="7465">
      <c r="A7465" s="2" t="inlineStr">
        <is>
          <t>2026-05-29</t>
        </is>
      </c>
      <c r="B7465" s="3" t="inlineStr">
        <is>
          <t>모아라이프플러스</t>
        </is>
      </c>
      <c r="C7465" s="2" t="inlineStr">
        <is>
          <t>코스닥</t>
        </is>
      </c>
      <c r="D7465" s="2" t="inlineStr">
        <is>
          <t>142760</t>
        </is>
      </c>
      <c r="E7465" s="3" t="inlineStr">
        <is>
          <t xml:space="preserve">전환사채(해외전환사채포함)발행후만기전사채취득              </t>
        </is>
      </c>
      <c r="F7465" s="3" t="inlineStr">
        <is>
          <t>모아라이프플러스</t>
        </is>
      </c>
      <c r="G7465" s="2" t="inlineStr">
        <is>
          <t>20260529901894</t>
        </is>
      </c>
      <c r="H7465" s="8">
        <f>HYPERLINK("https://dart.fss.or.kr/dsaf001/main.do?rcpNo=20260529901894", "공시열람")</f>
        <v/>
      </c>
    </row>
    <row r="7466">
      <c r="A7466" s="2" t="inlineStr">
        <is>
          <t>2026-05-29</t>
        </is>
      </c>
      <c r="B7466" s="3" t="inlineStr">
        <is>
          <t>대한항공</t>
        </is>
      </c>
      <c r="C7466" s="2" t="inlineStr">
        <is>
          <t>코스피</t>
        </is>
      </c>
      <c r="D7466" s="2" t="inlineStr">
        <is>
          <t>003490</t>
        </is>
      </c>
      <c r="E7466" s="3" t="inlineStr">
        <is>
          <t>대규모기업집단현황공시[연1회공시및1/4분기용(개별회사)]</t>
        </is>
      </c>
      <c r="F7466" s="3" t="inlineStr">
        <is>
          <t>대한항공</t>
        </is>
      </c>
      <c r="G7466" s="2" t="inlineStr">
        <is>
          <t>20260529002174</t>
        </is>
      </c>
      <c r="H7466" s="8">
        <f>HYPERLINK("https://dart.fss.or.kr/dsaf001/main.do?rcpNo=20260529002174", "공시열람")</f>
        <v/>
      </c>
    </row>
    <row r="7467">
      <c r="A7467" s="2" t="inlineStr">
        <is>
          <t>2026-05-29</t>
        </is>
      </c>
      <c r="B7467" s="3" t="inlineStr">
        <is>
          <t>이화공영</t>
        </is>
      </c>
      <c r="C7467" s="2" t="inlineStr">
        <is>
          <t>코스닥</t>
        </is>
      </c>
      <c r="D7467" s="2" t="inlineStr">
        <is>
          <t>001840</t>
        </is>
      </c>
      <c r="E7467" s="3" t="inlineStr">
        <is>
          <t>사외이사의선임ㆍ해임또는중도퇴임에관한신고</t>
        </is>
      </c>
      <c r="F7467" s="3" t="inlineStr">
        <is>
          <t>이화공영</t>
        </is>
      </c>
      <c r="G7467" s="2" t="inlineStr">
        <is>
          <t>20260529002170</t>
        </is>
      </c>
      <c r="H7467" s="8">
        <f>HYPERLINK("https://dart.fss.or.kr/dsaf001/main.do?rcpNo=20260529002170", "공시열람")</f>
        <v/>
      </c>
    </row>
    <row r="7468">
      <c r="A7468" s="2" t="inlineStr">
        <is>
          <t>2026-05-29</t>
        </is>
      </c>
      <c r="B7468" s="3" t="inlineStr">
        <is>
          <t>동성케미컬</t>
        </is>
      </c>
      <c r="C7468" s="2" t="inlineStr">
        <is>
          <t>코스피</t>
        </is>
      </c>
      <c r="D7468" s="2" t="inlineStr">
        <is>
          <t>102260</t>
        </is>
      </c>
      <c r="E7468" s="3" t="inlineStr">
        <is>
          <t xml:space="preserve">기업지배구조보고서공시              </t>
        </is>
      </c>
      <c r="F7468" s="3" t="inlineStr">
        <is>
          <t>동성케미컬</t>
        </is>
      </c>
      <c r="G7468" s="2" t="inlineStr">
        <is>
          <t>20260529800470</t>
        </is>
      </c>
      <c r="H7468" s="8">
        <f>HYPERLINK("https://dart.fss.or.kr/dsaf001/main.do?rcpNo=20260529800470", "공시열람")</f>
        <v/>
      </c>
    </row>
    <row r="7469">
      <c r="A7469" s="2" t="inlineStr">
        <is>
          <t>2026-05-29</t>
        </is>
      </c>
      <c r="B7469" s="3" t="inlineStr">
        <is>
          <t>HD현대마린솔루션</t>
        </is>
      </c>
      <c r="C7469" s="2" t="inlineStr">
        <is>
          <t>코스피</t>
        </is>
      </c>
      <c r="D7469" s="2" t="inlineStr">
        <is>
          <t>443060</t>
        </is>
      </c>
      <c r="E7469" s="3" t="inlineStr">
        <is>
          <t>대규모기업집단현황공시[연1회공시및1/4분기용(개별회사)]</t>
        </is>
      </c>
      <c r="F7469" s="3" t="inlineStr">
        <is>
          <t>HD현대마린솔루션</t>
        </is>
      </c>
      <c r="G7469" s="2" t="inlineStr">
        <is>
          <t>20260529002168</t>
        </is>
      </c>
      <c r="H7469" s="8">
        <f>HYPERLINK("https://dart.fss.or.kr/dsaf001/main.do?rcpNo=20260529002168", "공시열람")</f>
        <v/>
      </c>
    </row>
    <row r="7470">
      <c r="A7470" s="2" t="inlineStr">
        <is>
          <t>2026-05-29</t>
        </is>
      </c>
      <c r="B7470" s="3" t="inlineStr">
        <is>
          <t>현대모비스</t>
        </is>
      </c>
      <c r="C7470" s="2" t="inlineStr">
        <is>
          <t>코스피</t>
        </is>
      </c>
      <c r="D7470" s="2" t="inlineStr">
        <is>
          <t>012330</t>
        </is>
      </c>
      <c r="E7470" s="3" t="inlineStr">
        <is>
          <t>대규모기업집단현황공시[연1회공시및1/4분기용(개별회사)]</t>
        </is>
      </c>
      <c r="F7470" s="3" t="inlineStr">
        <is>
          <t>현대모비스</t>
        </is>
      </c>
      <c r="G7470" s="2" t="inlineStr">
        <is>
          <t>20260529002167</t>
        </is>
      </c>
      <c r="H7470" s="8">
        <f>HYPERLINK("https://dart.fss.or.kr/dsaf001/main.do?rcpNo=20260529002167", "공시열람")</f>
        <v/>
      </c>
    </row>
    <row r="7471">
      <c r="A7471" s="2" t="inlineStr">
        <is>
          <t>2026-05-29</t>
        </is>
      </c>
      <c r="B7471" s="3" t="inlineStr">
        <is>
          <t>원익머트리얼즈</t>
        </is>
      </c>
      <c r="C7471" s="2" t="inlineStr">
        <is>
          <t>코스닥</t>
        </is>
      </c>
      <c r="D7471" s="2" t="inlineStr">
        <is>
          <t>104830</t>
        </is>
      </c>
      <c r="E7471" s="3" t="inlineStr">
        <is>
          <t>대규모기업집단현황공시[연1회공시및1/4분기용(개별회사)]</t>
        </is>
      </c>
      <c r="F7471" s="3" t="inlineStr">
        <is>
          <t>원익머트리얼즈</t>
        </is>
      </c>
      <c r="G7471" s="2" t="inlineStr">
        <is>
          <t>20260529002162</t>
        </is>
      </c>
      <c r="H7471" s="8">
        <f>HYPERLINK("https://dart.fss.or.kr/dsaf001/main.do?rcpNo=20260529002162", "공시열람")</f>
        <v/>
      </c>
    </row>
    <row r="7472">
      <c r="A7472" s="2" t="inlineStr">
        <is>
          <t>2026-05-29</t>
        </is>
      </c>
      <c r="B7472" s="3" t="inlineStr">
        <is>
          <t>광동제약</t>
        </is>
      </c>
      <c r="C7472" s="2" t="inlineStr">
        <is>
          <t>코스피</t>
        </is>
      </c>
      <c r="D7472" s="2" t="inlineStr">
        <is>
          <t>009290</t>
        </is>
      </c>
      <c r="E7472" s="3" t="inlineStr">
        <is>
          <t xml:space="preserve">기업지배구조보고서공시              </t>
        </is>
      </c>
      <c r="F7472" s="3" t="inlineStr">
        <is>
          <t>광동제약</t>
        </is>
      </c>
      <c r="G7472" s="2" t="inlineStr">
        <is>
          <t>20260529801860</t>
        </is>
      </c>
      <c r="H7472" s="8">
        <f>HYPERLINK("https://dart.fss.or.kr/dsaf001/main.do?rcpNo=20260529801860", "공시열람")</f>
        <v/>
      </c>
    </row>
    <row r="7473">
      <c r="A7473" s="2" t="inlineStr">
        <is>
          <t>2026-05-29</t>
        </is>
      </c>
      <c r="B7473" s="3" t="inlineStr">
        <is>
          <t>두산</t>
        </is>
      </c>
      <c r="C7473" s="2" t="inlineStr">
        <is>
          <t>코스피</t>
        </is>
      </c>
      <c r="D7473" s="2" t="inlineStr">
        <is>
          <t>000150</t>
        </is>
      </c>
      <c r="E7473" s="3" t="inlineStr">
        <is>
          <t>대규모기업집단현황공시[연1회(동일인용)]</t>
        </is>
      </c>
      <c r="F7473" s="3" t="inlineStr">
        <is>
          <t>박정원</t>
        </is>
      </c>
      <c r="G7473" s="2" t="inlineStr">
        <is>
          <t>20260529002158</t>
        </is>
      </c>
      <c r="H7473" s="8">
        <f>HYPERLINK("https://dart.fss.or.kr/dsaf001/main.do?rcpNo=20260529002158", "공시열람")</f>
        <v/>
      </c>
    </row>
    <row r="7474">
      <c r="A7474" s="2" t="inlineStr">
        <is>
          <t>2026-05-29</t>
        </is>
      </c>
      <c r="B7474" s="3" t="inlineStr">
        <is>
          <t>보령</t>
        </is>
      </c>
      <c r="C7474" s="2" t="inlineStr">
        <is>
          <t>코스피</t>
        </is>
      </c>
      <c r="D7474" s="2" t="inlineStr">
        <is>
          <t>003850</t>
        </is>
      </c>
      <c r="E7474" s="3" t="inlineStr">
        <is>
          <t xml:space="preserve">기업지배구조보고서공시              </t>
        </is>
      </c>
      <c r="F7474" s="3" t="inlineStr">
        <is>
          <t>보령</t>
        </is>
      </c>
      <c r="G7474" s="2" t="inlineStr">
        <is>
          <t>20260529801779</t>
        </is>
      </c>
      <c r="H7474" s="8">
        <f>HYPERLINK("https://dart.fss.or.kr/dsaf001/main.do?rcpNo=20260529801779", "공시열람")</f>
        <v/>
      </c>
    </row>
    <row r="7475">
      <c r="A7475" s="2" t="inlineStr">
        <is>
          <t>2026-05-29</t>
        </is>
      </c>
      <c r="B7475" s="3" t="inlineStr">
        <is>
          <t>한화시스템</t>
        </is>
      </c>
      <c r="C7475" s="2" t="inlineStr">
        <is>
          <t>코스피</t>
        </is>
      </c>
      <c r="D7475" s="2" t="inlineStr">
        <is>
          <t>272210</t>
        </is>
      </c>
      <c r="E7475" s="3" t="inlineStr">
        <is>
          <t xml:space="preserve">기업지배구조보고서공시              </t>
        </is>
      </c>
      <c r="F7475" s="3" t="inlineStr">
        <is>
          <t>한화시스템</t>
        </is>
      </c>
      <c r="G7475" s="2" t="inlineStr">
        <is>
          <t>20260529801859</t>
        </is>
      </c>
      <c r="H7475" s="8">
        <f>HYPERLINK("https://dart.fss.or.kr/dsaf001/main.do?rcpNo=20260529801859", "공시열람")</f>
        <v/>
      </c>
    </row>
    <row r="7476">
      <c r="A7476" s="2" t="inlineStr">
        <is>
          <t>2026-05-29</t>
        </is>
      </c>
      <c r="B7476" s="3" t="inlineStr">
        <is>
          <t>효성</t>
        </is>
      </c>
      <c r="C7476" s="2" t="inlineStr">
        <is>
          <t>코스피</t>
        </is>
      </c>
      <c r="D7476" s="2" t="inlineStr">
        <is>
          <t>004800</t>
        </is>
      </c>
      <c r="E7476" s="3" t="inlineStr">
        <is>
          <t>대규모기업집단현황공시[연1회공시및1/4분기용(대표회사)]</t>
        </is>
      </c>
      <c r="F7476" s="3" t="inlineStr">
        <is>
          <t>효성</t>
        </is>
      </c>
      <c r="G7476" s="2" t="inlineStr">
        <is>
          <t>20260529002151</t>
        </is>
      </c>
      <c r="H7476" s="8">
        <f>HYPERLINK("https://dart.fss.or.kr/dsaf001/main.do?rcpNo=20260529002151", "공시열람")</f>
        <v/>
      </c>
    </row>
    <row r="7477">
      <c r="A7477" s="2" t="inlineStr">
        <is>
          <t>2026-05-29</t>
        </is>
      </c>
      <c r="B7477" s="3" t="inlineStr">
        <is>
          <t>SK디스커버리</t>
        </is>
      </c>
      <c r="C7477" s="2" t="inlineStr">
        <is>
          <t>코스피</t>
        </is>
      </c>
      <c r="D7477" s="2" t="inlineStr">
        <is>
          <t>006120</t>
        </is>
      </c>
      <c r="E7477" s="3" t="inlineStr">
        <is>
          <t>대규모기업집단현황공시[연1회공시및1/4분기용(개별회사)]</t>
        </is>
      </c>
      <c r="F7477" s="3" t="inlineStr">
        <is>
          <t>SK디스커버리</t>
        </is>
      </c>
      <c r="G7477" s="2" t="inlineStr">
        <is>
          <t>20260529002150</t>
        </is>
      </c>
      <c r="H7477" s="8">
        <f>HYPERLINK("https://dart.fss.or.kr/dsaf001/main.do?rcpNo=20260529002150", "공시열람")</f>
        <v/>
      </c>
    </row>
    <row r="7478">
      <c r="A7478" s="2" t="inlineStr">
        <is>
          <t>2026-05-29 (정정: 2026-05-29)</t>
        </is>
      </c>
      <c r="B7478" s="3" t="inlineStr">
        <is>
          <t>네오리진</t>
        </is>
      </c>
      <c r="C7478" s="2" t="inlineStr">
        <is>
          <t>코스닥</t>
        </is>
      </c>
      <c r="D7478" s="2" t="inlineStr">
        <is>
          <t>094860</t>
        </is>
      </c>
      <c r="E7478" s="3" t="inlineStr">
        <is>
          <t>기타주요경영사항              (타법인 주식 및 출자증권 취득결정 철회) (정정: 20260529)</t>
        </is>
      </c>
      <c r="F7478" s="3" t="inlineStr">
        <is>
          <t>네오리진</t>
        </is>
      </c>
      <c r="G7478" s="2" t="inlineStr">
        <is>
          <t>20260529901784</t>
        </is>
      </c>
      <c r="H7478" s="8">
        <f>HYPERLINK("https://dart.fss.or.kr/dsaf001/main.do?rcpNo=20260529901784", "공시열람")</f>
        <v/>
      </c>
    </row>
    <row r="7479">
      <c r="A7479" s="2" t="inlineStr">
        <is>
          <t>2026-05-29</t>
        </is>
      </c>
      <c r="B7479" s="3" t="inlineStr">
        <is>
          <t>소룩스</t>
        </is>
      </c>
      <c r="C7479" s="2" t="inlineStr">
        <is>
          <t>코스닥</t>
        </is>
      </c>
      <c r="D7479" s="2" t="inlineStr">
        <is>
          <t>290690</t>
        </is>
      </c>
      <c r="E7479" s="3" t="inlineStr">
        <is>
          <t>증권발행결과(자율공시)              (제8회차 CB)</t>
        </is>
      </c>
      <c r="F7479" s="3" t="inlineStr">
        <is>
          <t>소룩스</t>
        </is>
      </c>
      <c r="G7479" s="2" t="inlineStr">
        <is>
          <t>20260529901665</t>
        </is>
      </c>
      <c r="H7479" s="8">
        <f>HYPERLINK("https://dart.fss.or.kr/dsaf001/main.do?rcpNo=20260529901665", "공시열람")</f>
        <v/>
      </c>
    </row>
    <row r="7480">
      <c r="A7480" s="2" t="inlineStr">
        <is>
          <t>2026-05-29</t>
        </is>
      </c>
      <c r="B7480" s="3" t="inlineStr">
        <is>
          <t>대덕전자</t>
        </is>
      </c>
      <c r="C7480" s="2" t="inlineStr">
        <is>
          <t>코스피</t>
        </is>
      </c>
      <c r="D7480" s="2" t="inlineStr">
        <is>
          <t>353200</t>
        </is>
      </c>
      <c r="E7480" s="3" t="inlineStr">
        <is>
          <t xml:space="preserve">기업지배구조보고서공시              </t>
        </is>
      </c>
      <c r="F7480" s="3" t="inlineStr">
        <is>
          <t>대덕전자</t>
        </is>
      </c>
      <c r="G7480" s="2" t="inlineStr">
        <is>
          <t>20260529801849</t>
        </is>
      </c>
      <c r="H7480" s="8">
        <f>HYPERLINK("https://dart.fss.or.kr/dsaf001/main.do?rcpNo=20260529801849", "공시열람")</f>
        <v/>
      </c>
    </row>
    <row r="7481">
      <c r="A7481" s="2" t="inlineStr">
        <is>
          <t>2026-05-29</t>
        </is>
      </c>
      <c r="B7481" s="3" t="inlineStr">
        <is>
          <t>신영증권</t>
        </is>
      </c>
      <c r="C7481" s="2" t="inlineStr">
        <is>
          <t>코스피</t>
        </is>
      </c>
      <c r="D7481" s="2" t="inlineStr">
        <is>
          <t>001720</t>
        </is>
      </c>
      <c r="E7481" s="3" t="inlineStr">
        <is>
          <t>증권발행실적보고서</t>
        </is>
      </c>
      <c r="F7481" s="3" t="inlineStr">
        <is>
          <t>신영증권</t>
        </is>
      </c>
      <c r="G7481" s="2" t="inlineStr">
        <is>
          <t>20260529002145</t>
        </is>
      </c>
      <c r="H7481" s="8">
        <f>HYPERLINK("https://dart.fss.or.kr/dsaf001/main.do?rcpNo=20260529002145", "공시열람")</f>
        <v/>
      </c>
    </row>
    <row r="7482">
      <c r="A7482" s="2" t="inlineStr">
        <is>
          <t>2026-05-29</t>
        </is>
      </c>
      <c r="B7482" s="3" t="inlineStr">
        <is>
          <t>광주신세계</t>
        </is>
      </c>
      <c r="C7482" s="2" t="inlineStr">
        <is>
          <t>코스피</t>
        </is>
      </c>
      <c r="D7482" s="2" t="inlineStr">
        <is>
          <t>037710</t>
        </is>
      </c>
      <c r="E7482" s="3" t="inlineStr">
        <is>
          <t xml:space="preserve">기업지배구조보고서공시              </t>
        </is>
      </c>
      <c r="F7482" s="3" t="inlineStr">
        <is>
          <t>광주신세계</t>
        </is>
      </c>
      <c r="G7482" s="2" t="inlineStr">
        <is>
          <t>20260529801836</t>
        </is>
      </c>
      <c r="H7482" s="8">
        <f>HYPERLINK("https://dart.fss.or.kr/dsaf001/main.do?rcpNo=20260529801836", "공시열람")</f>
        <v/>
      </c>
    </row>
    <row r="7483">
      <c r="A7483" s="2" t="inlineStr">
        <is>
          <t>2026-05-29 (정정: 2026-06-08)</t>
        </is>
      </c>
      <c r="B7483" s="3" t="inlineStr">
        <is>
          <t>제이스코홀딩스</t>
        </is>
      </c>
      <c r="C7483" s="2" t="inlineStr">
        <is>
          <t>코스닥</t>
        </is>
      </c>
      <c r="D7483" s="2" t="inlineStr">
        <is>
          <t>023440</t>
        </is>
      </c>
      <c r="E7483" s="3" t="inlineStr">
        <is>
          <t>사외이사의선임ㆍ해임또는중도퇴임에관한신고 (정정: 20260608)</t>
        </is>
      </c>
      <c r="F7483" s="3" t="inlineStr">
        <is>
          <t>제이스코홀딩스</t>
        </is>
      </c>
      <c r="G7483" s="2" t="inlineStr">
        <is>
          <t>20260608900974</t>
        </is>
      </c>
      <c r="H7483" s="8">
        <f>HYPERLINK("https://dart.fss.or.kr/dsaf001/main.do?rcpNo=20260608900974", "공시열람")</f>
        <v/>
      </c>
    </row>
    <row r="7484">
      <c r="A7484" s="2" t="inlineStr">
        <is>
          <t>2026-05-29</t>
        </is>
      </c>
      <c r="B7484" s="3" t="inlineStr">
        <is>
          <t>HD현대마린솔루션</t>
        </is>
      </c>
      <c r="C7484" s="2" t="inlineStr">
        <is>
          <t>코스피</t>
        </is>
      </c>
      <c r="D7484" s="2" t="inlineStr">
        <is>
          <t>443060</t>
        </is>
      </c>
      <c r="E7484" s="3" t="inlineStr">
        <is>
          <t xml:space="preserve">기업지배구조보고서공시              </t>
        </is>
      </c>
      <c r="F7484" s="3" t="inlineStr">
        <is>
          <t>HD현대마린솔루션</t>
        </is>
      </c>
      <c r="G7484" s="2" t="inlineStr">
        <is>
          <t>20260529801481</t>
        </is>
      </c>
      <c r="H7484" s="8">
        <f>HYPERLINK("https://dart.fss.or.kr/dsaf001/main.do?rcpNo=20260529801481", "공시열람")</f>
        <v/>
      </c>
    </row>
    <row r="7485">
      <c r="A7485" s="2" t="inlineStr">
        <is>
          <t>2026-05-29</t>
        </is>
      </c>
      <c r="B7485" s="3" t="inlineStr">
        <is>
          <t>풀무원</t>
        </is>
      </c>
      <c r="C7485" s="2" t="inlineStr">
        <is>
          <t>코스피</t>
        </is>
      </c>
      <c r="D7485" s="2" t="inlineStr">
        <is>
          <t>017810</t>
        </is>
      </c>
      <c r="E7485" s="3" t="inlineStr">
        <is>
          <t xml:space="preserve">기업지배구조보고서공시              </t>
        </is>
      </c>
      <c r="F7485" s="3" t="inlineStr">
        <is>
          <t>풀무원</t>
        </is>
      </c>
      <c r="G7485" s="2" t="inlineStr">
        <is>
          <t>20260529800722</t>
        </is>
      </c>
      <c r="H7485" s="8">
        <f>HYPERLINK("https://dart.fss.or.kr/dsaf001/main.do?rcpNo=20260529800722", "공시열람")</f>
        <v/>
      </c>
    </row>
    <row r="7486">
      <c r="A7486" s="2" t="inlineStr">
        <is>
          <t>2026-05-29 (정정: 2026-06-10)</t>
        </is>
      </c>
      <c r="B7486" s="3" t="inlineStr">
        <is>
          <t>하이딥</t>
        </is>
      </c>
      <c r="C7486" s="2" t="inlineStr">
        <is>
          <t>코스닥</t>
        </is>
      </c>
      <c r="D7486" s="2" t="inlineStr">
        <is>
          <t>365590</t>
        </is>
      </c>
      <c r="E7486" s="3" t="inlineStr">
        <is>
          <t>임원ㆍ주요주주특정증권등소유상황보고서 (정정: 20260610) (정정: 20260610)</t>
        </is>
      </c>
      <c r="F7486" s="3" t="inlineStr">
        <is>
          <t>변문섭</t>
        </is>
      </c>
      <c r="G7486" s="2" t="inlineStr">
        <is>
          <t>20260610000221</t>
        </is>
      </c>
      <c r="H7486" s="8">
        <f>HYPERLINK("https://dart.fss.or.kr/dsaf001/main.do?rcpNo=20260610000221", "공시열람")</f>
        <v/>
      </c>
    </row>
    <row r="7487">
      <c r="A7487" s="2" t="inlineStr">
        <is>
          <t>2026-05-29</t>
        </is>
      </c>
      <c r="B7487" s="3" t="inlineStr">
        <is>
          <t>대한항공</t>
        </is>
      </c>
      <c r="C7487" s="2" t="inlineStr">
        <is>
          <t>코스피</t>
        </is>
      </c>
      <c r="D7487" s="2" t="inlineStr">
        <is>
          <t>003490</t>
        </is>
      </c>
      <c r="E7487" s="3" t="inlineStr">
        <is>
          <t xml:space="preserve">기업지배구조보고서공시              </t>
        </is>
      </c>
      <c r="F7487" s="3" t="inlineStr">
        <is>
          <t>대한항공</t>
        </is>
      </c>
      <c r="G7487" s="2" t="inlineStr">
        <is>
          <t>20260529801750</t>
        </is>
      </c>
      <c r="H7487" s="8">
        <f>HYPERLINK("https://dart.fss.or.kr/dsaf001/main.do?rcpNo=20260529801750", "공시열람")</f>
        <v/>
      </c>
    </row>
    <row r="7488">
      <c r="A7488" s="2" t="inlineStr">
        <is>
          <t>2026-05-29 (정정: 2026-05-29)</t>
        </is>
      </c>
      <c r="B7488" s="3" t="inlineStr">
        <is>
          <t>신세계I&amp;C</t>
        </is>
      </c>
      <c r="C7488" s="2" t="inlineStr">
        <is>
          <t>코스피</t>
        </is>
      </c>
      <c r="D7488" s="2" t="inlineStr">
        <is>
          <t>035510</t>
        </is>
      </c>
      <c r="E7488" s="3" t="inlineStr">
        <is>
          <t>기업지배구조보고서공시               (정정: 20260529)</t>
        </is>
      </c>
      <c r="F7488" s="3" t="inlineStr">
        <is>
          <t>신세계I&amp;C</t>
        </is>
      </c>
      <c r="G7488" s="2" t="inlineStr">
        <is>
          <t>20260529801787</t>
        </is>
      </c>
      <c r="H7488" s="8">
        <f>HYPERLINK("https://dart.fss.or.kr/dsaf001/main.do?rcpNo=20260529801787", "공시열람")</f>
        <v/>
      </c>
    </row>
    <row r="7489">
      <c r="A7489" s="2" t="inlineStr">
        <is>
          <t>2026-05-29</t>
        </is>
      </c>
      <c r="B7489" s="3" t="inlineStr">
        <is>
          <t>대신밸류리츠</t>
        </is>
      </c>
      <c r="C7489" s="2" t="inlineStr">
        <is>
          <t>코스피</t>
        </is>
      </c>
      <c r="D7489" s="2" t="inlineStr">
        <is>
          <t>0030R0</t>
        </is>
      </c>
      <c r="E7489" s="3" t="inlineStr">
        <is>
          <t xml:space="preserve">기업지배구조보고서공시              </t>
        </is>
      </c>
      <c r="F7489" s="3" t="inlineStr">
        <is>
          <t>대신밸류리츠</t>
        </is>
      </c>
      <c r="G7489" s="2" t="inlineStr">
        <is>
          <t>20260529801198</t>
        </is>
      </c>
      <c r="H7489" s="8">
        <f>HYPERLINK("https://dart.fss.or.kr/dsaf001/main.do?rcpNo=20260529801198", "공시열람")</f>
        <v/>
      </c>
    </row>
    <row r="7490">
      <c r="A7490" s="2" t="inlineStr">
        <is>
          <t>2026-05-29</t>
        </is>
      </c>
      <c r="B7490" s="3" t="inlineStr">
        <is>
          <t>현대비앤지스틸</t>
        </is>
      </c>
      <c r="C7490" s="2" t="inlineStr">
        <is>
          <t>코스피</t>
        </is>
      </c>
      <c r="D7490" s="2" t="inlineStr">
        <is>
          <t>004560</t>
        </is>
      </c>
      <c r="E7490" s="3" t="inlineStr">
        <is>
          <t>대규모기업집단현황공시[연1회공시및1/4분기용(개별회사)]</t>
        </is>
      </c>
      <c r="F7490" s="3" t="inlineStr">
        <is>
          <t>현대비앤지스틸</t>
        </is>
      </c>
      <c r="G7490" s="2" t="inlineStr">
        <is>
          <t>20260529002117</t>
        </is>
      </c>
      <c r="H7490" s="8">
        <f>HYPERLINK("https://dart.fss.or.kr/dsaf001/main.do?rcpNo=20260529002117", "공시열람")</f>
        <v/>
      </c>
    </row>
    <row r="7491">
      <c r="A7491" s="2" t="inlineStr">
        <is>
          <t>2026-05-29 (정정: 2026-06-01)</t>
        </is>
      </c>
      <c r="B7491" s="3" t="inlineStr">
        <is>
          <t>CJ</t>
        </is>
      </c>
      <c r="C7491" s="2" t="inlineStr">
        <is>
          <t>코스피</t>
        </is>
      </c>
      <c r="D7491" s="2" t="inlineStr">
        <is>
          <t>001040</t>
        </is>
      </c>
      <c r="E7491" s="3" t="inlineStr">
        <is>
          <t>단기차입금증가결정(자회사의 주요경영사항)               (정정: 20260601)</t>
        </is>
      </c>
      <c r="F7491" s="3" t="inlineStr">
        <is>
          <t>CJ</t>
        </is>
      </c>
      <c r="G7491" s="2" t="inlineStr">
        <is>
          <t>20260601001945</t>
        </is>
      </c>
      <c r="H7491" s="8">
        <f>HYPERLINK("https://dart.fss.or.kr/dsaf001/main.do?rcpNo=20260601001945", "공시열람")</f>
        <v/>
      </c>
    </row>
    <row r="7492">
      <c r="A7492" s="2" t="inlineStr">
        <is>
          <t>2026-05-29</t>
        </is>
      </c>
      <c r="B7492" s="3" t="inlineStr">
        <is>
          <t>HS효성</t>
        </is>
      </c>
      <c r="C7492" s="2" t="inlineStr">
        <is>
          <t>코스피</t>
        </is>
      </c>
      <c r="D7492" s="2" t="inlineStr">
        <is>
          <t>487570</t>
        </is>
      </c>
      <c r="E7492" s="3" t="inlineStr">
        <is>
          <t xml:space="preserve">기업지배구조보고서공시              </t>
        </is>
      </c>
      <c r="F7492" s="3" t="inlineStr">
        <is>
          <t>HS효성</t>
        </is>
      </c>
      <c r="G7492" s="2" t="inlineStr">
        <is>
          <t>20260529801830</t>
        </is>
      </c>
      <c r="H7492" s="8">
        <f>HYPERLINK("https://dart.fss.or.kr/dsaf001/main.do?rcpNo=20260529801830", "공시열람")</f>
        <v/>
      </c>
    </row>
    <row r="7493">
      <c r="A7493" s="2" t="inlineStr">
        <is>
          <t>2026-05-29</t>
        </is>
      </c>
      <c r="B7493" s="3" t="inlineStr">
        <is>
          <t>유나이티드</t>
        </is>
      </c>
      <c r="C7493" s="2" t="inlineStr">
        <is>
          <t>코스피</t>
        </is>
      </c>
      <c r="D7493" s="2" t="inlineStr">
        <is>
          <t>033270</t>
        </is>
      </c>
      <c r="E7493" s="3" t="inlineStr">
        <is>
          <t xml:space="preserve">기업지배구조보고서공시              </t>
        </is>
      </c>
      <c r="F7493" s="3" t="inlineStr">
        <is>
          <t>유나이티드</t>
        </is>
      </c>
      <c r="G7493" s="2" t="inlineStr">
        <is>
          <t>20260529801153</t>
        </is>
      </c>
      <c r="H7493" s="8">
        <f>HYPERLINK("https://dart.fss.or.kr/dsaf001/main.do?rcpNo=20260529801153", "공시열람")</f>
        <v/>
      </c>
    </row>
    <row r="7494">
      <c r="A7494" s="2" t="inlineStr">
        <is>
          <t>2026-05-29</t>
        </is>
      </c>
      <c r="B7494" s="3" t="inlineStr">
        <is>
          <t>유나이티드</t>
        </is>
      </c>
      <c r="C7494" s="2" t="inlineStr">
        <is>
          <t>코스피</t>
        </is>
      </c>
      <c r="D7494" s="2" t="inlineStr">
        <is>
          <t>033270</t>
        </is>
      </c>
      <c r="E7494" s="3" t="inlineStr">
        <is>
          <t xml:space="preserve">소송등의판결ㆍ결정(일정금액이상의청구)              </t>
        </is>
      </c>
      <c r="F7494" s="3" t="inlineStr">
        <is>
          <t>유나이티드</t>
        </is>
      </c>
      <c r="G7494" s="2" t="inlineStr">
        <is>
          <t>20260529801833</t>
        </is>
      </c>
      <c r="H7494" s="8">
        <f>HYPERLINK("https://dart.fss.or.kr/dsaf001/main.do?rcpNo=20260529801833", "공시열람")</f>
        <v/>
      </c>
    </row>
    <row r="7495">
      <c r="A7495" s="2" t="inlineStr">
        <is>
          <t>2026-05-29 (정정: 2026-06-11)</t>
        </is>
      </c>
      <c r="B7495" s="3" t="inlineStr">
        <is>
          <t>알엔투테크놀로지</t>
        </is>
      </c>
      <c r="C7495" s="2" t="inlineStr">
        <is>
          <t>코스닥</t>
        </is>
      </c>
      <c r="D7495" s="2" t="inlineStr">
        <is>
          <t>148250</t>
        </is>
      </c>
      <c r="E7495" s="3" t="inlineStr">
        <is>
          <t>임원ㆍ주요주주특정증권등소유상황보고서 (정정: 20260529) (정정: 20260611)</t>
        </is>
      </c>
      <c r="F7495" s="3" t="inlineStr">
        <is>
          <t>크로스1호조합</t>
        </is>
      </c>
      <c r="G7495" s="2" t="inlineStr">
        <is>
          <t>20260611900856</t>
        </is>
      </c>
      <c r="H7495" s="8">
        <f>HYPERLINK("https://dart.fss.or.kr/dsaf001/main.do?rcpNo=20260611900856", "공시열람")</f>
        <v/>
      </c>
    </row>
    <row r="7496">
      <c r="A7496" s="2" t="inlineStr">
        <is>
          <t>2026-05-29</t>
        </is>
      </c>
      <c r="B7496" s="3" t="inlineStr">
        <is>
          <t>플래티어</t>
        </is>
      </c>
      <c r="C7496" s="2" t="inlineStr">
        <is>
          <t>코스닥</t>
        </is>
      </c>
      <c r="D7496" s="2" t="inlineStr">
        <is>
          <t>367000</t>
        </is>
      </c>
      <c r="E7496" s="3" t="inlineStr">
        <is>
          <t>임원ㆍ주요주주특정증권등소유상황보고서</t>
        </is>
      </c>
      <c r="F7496" s="3" t="inlineStr">
        <is>
          <t>김명구</t>
        </is>
      </c>
      <c r="G7496" s="2" t="inlineStr">
        <is>
          <t>20260529002106</t>
        </is>
      </c>
      <c r="H7496" s="8">
        <f>HYPERLINK("https://dart.fss.or.kr/dsaf001/main.do?rcpNo=20260529002106", "공시열람")</f>
        <v/>
      </c>
    </row>
    <row r="7497">
      <c r="A7497" s="2" t="inlineStr">
        <is>
          <t>2026-05-29</t>
        </is>
      </c>
      <c r="B7497" s="3" t="inlineStr">
        <is>
          <t>HL D&amp;I</t>
        </is>
      </c>
      <c r="C7497" s="2" t="inlineStr">
        <is>
          <t>코스피</t>
        </is>
      </c>
      <c r="D7497" s="2" t="inlineStr">
        <is>
          <t>014790</t>
        </is>
      </c>
      <c r="E7497" s="3" t="inlineStr">
        <is>
          <t xml:space="preserve">기업가치제고계획(자율공시)              </t>
        </is>
      </c>
      <c r="F7497" s="3" t="inlineStr">
        <is>
          <t>HL D&amp;I</t>
        </is>
      </c>
      <c r="G7497" s="2" t="inlineStr">
        <is>
          <t>20260529801791</t>
        </is>
      </c>
      <c r="H7497" s="8">
        <f>HYPERLINK("https://dart.fss.or.kr/dsaf001/main.do?rcpNo=20260529801791", "공시열람")</f>
        <v/>
      </c>
    </row>
    <row r="7498">
      <c r="A7498" s="2" t="inlineStr">
        <is>
          <t>2026-05-29</t>
        </is>
      </c>
      <c r="B7498" s="3" t="inlineStr">
        <is>
          <t>와이즈넛</t>
        </is>
      </c>
      <c r="C7498" s="2" t="inlineStr">
        <is>
          <t>코스닥</t>
        </is>
      </c>
      <c r="D7498" s="2" t="inlineStr">
        <is>
          <t>096250</t>
        </is>
      </c>
      <c r="E7498" s="3" t="inlineStr">
        <is>
          <t xml:space="preserve">기업설명회(IR)개최              </t>
        </is>
      </c>
      <c r="F7498" s="3" t="inlineStr">
        <is>
          <t>와이즈넛</t>
        </is>
      </c>
      <c r="G7498" s="2" t="inlineStr">
        <is>
          <t>20260529901799</t>
        </is>
      </c>
      <c r="H7498" s="8">
        <f>HYPERLINK("https://dart.fss.or.kr/dsaf001/main.do?rcpNo=20260529901799", "공시열람")</f>
        <v/>
      </c>
    </row>
    <row r="7499">
      <c r="A7499" s="2" t="inlineStr">
        <is>
          <t>2026-05-29</t>
        </is>
      </c>
      <c r="B7499" s="3" t="inlineStr">
        <is>
          <t>현대제철</t>
        </is>
      </c>
      <c r="C7499" s="2" t="inlineStr">
        <is>
          <t>코스피</t>
        </is>
      </c>
      <c r="D7499" s="2" t="inlineStr">
        <is>
          <t>004020</t>
        </is>
      </c>
      <c r="E7499" s="3" t="inlineStr">
        <is>
          <t>대규모기업집단현황공시[연1회공시및1/4분기용(개별회사)]</t>
        </is>
      </c>
      <c r="F7499" s="3" t="inlineStr">
        <is>
          <t>현대제철</t>
        </is>
      </c>
      <c r="G7499" s="2" t="inlineStr">
        <is>
          <t>20260529002101</t>
        </is>
      </c>
      <c r="H7499" s="8">
        <f>HYPERLINK("https://dart.fss.or.kr/dsaf001/main.do?rcpNo=20260529002101", "공시열람")</f>
        <v/>
      </c>
    </row>
    <row r="7500">
      <c r="A7500" s="2" t="inlineStr">
        <is>
          <t>2026-05-29</t>
        </is>
      </c>
      <c r="B7500" s="3" t="inlineStr">
        <is>
          <t>풀무원</t>
        </is>
      </c>
      <c r="C7500" s="2" t="inlineStr">
        <is>
          <t>코스피</t>
        </is>
      </c>
      <c r="D7500" s="2" t="inlineStr">
        <is>
          <t>017810</t>
        </is>
      </c>
      <c r="E7500" s="3" t="inlineStr">
        <is>
          <t>임원ㆍ주요주주특정증권등소유상황보고서</t>
        </is>
      </c>
      <c r="F7500" s="3" t="inlineStr">
        <is>
          <t>남승우</t>
        </is>
      </c>
      <c r="G7500" s="2" t="inlineStr">
        <is>
          <t>20260529002100</t>
        </is>
      </c>
      <c r="H7500" s="8">
        <f>HYPERLINK("https://dart.fss.or.kr/dsaf001/main.do?rcpNo=20260529002100", "공시열람")</f>
        <v/>
      </c>
    </row>
    <row r="7501">
      <c r="A7501" s="2" t="inlineStr">
        <is>
          <t>2026-05-29</t>
        </is>
      </c>
      <c r="B7501" s="3" t="inlineStr">
        <is>
          <t>DL</t>
        </is>
      </c>
      <c r="C7501" s="2" t="inlineStr">
        <is>
          <t>코스피</t>
        </is>
      </c>
      <c r="D7501" s="2" t="inlineStr">
        <is>
          <t>000210</t>
        </is>
      </c>
      <c r="E7501" s="3" t="inlineStr">
        <is>
          <t xml:space="preserve">투자판단관련주요경영사항(자회사의 주요경영사항)              </t>
        </is>
      </c>
      <c r="F7501" s="3" t="inlineStr">
        <is>
          <t>DL</t>
        </is>
      </c>
      <c r="G7501" s="2" t="inlineStr">
        <is>
          <t>20260529801775</t>
        </is>
      </c>
      <c r="H7501" s="8">
        <f>HYPERLINK("https://dart.fss.or.kr/dsaf001/main.do?rcpNo=20260529801775", "공시열람")</f>
        <v/>
      </c>
    </row>
    <row r="7502">
      <c r="A7502" s="2" t="inlineStr">
        <is>
          <t>2026-05-29</t>
        </is>
      </c>
      <c r="B7502" s="3" t="inlineStr">
        <is>
          <t>SG세계물산</t>
        </is>
      </c>
      <c r="C7502" s="2" t="inlineStr">
        <is>
          <t>코스피</t>
        </is>
      </c>
      <c r="D7502" s="2" t="inlineStr">
        <is>
          <t>004060</t>
        </is>
      </c>
      <c r="E7502" s="3" t="inlineStr">
        <is>
          <t xml:space="preserve">기업지배구조보고서공시              </t>
        </is>
      </c>
      <c r="F7502" s="3" t="inlineStr">
        <is>
          <t>SG세계물산</t>
        </is>
      </c>
      <c r="G7502" s="2" t="inlineStr">
        <is>
          <t>20260529801413</t>
        </is>
      </c>
      <c r="H7502" s="8">
        <f>HYPERLINK("https://dart.fss.or.kr/dsaf001/main.do?rcpNo=20260529801413", "공시열람")</f>
        <v/>
      </c>
    </row>
    <row r="7503">
      <c r="A7503" s="2" t="inlineStr">
        <is>
          <t>2026-05-29</t>
        </is>
      </c>
      <c r="B7503" s="3" t="inlineStr">
        <is>
          <t>뉴파워프라즈마</t>
        </is>
      </c>
      <c r="C7503" s="2" t="inlineStr">
        <is>
          <t>코스닥</t>
        </is>
      </c>
      <c r="D7503" s="2" t="inlineStr">
        <is>
          <t>144960</t>
        </is>
      </c>
      <c r="E7503" s="3" t="inlineStr">
        <is>
          <t>교환청구권행사              (제1회차)</t>
        </is>
      </c>
      <c r="F7503" s="3" t="inlineStr">
        <is>
          <t>뉴파워프라즈마</t>
        </is>
      </c>
      <c r="G7503" s="2" t="inlineStr">
        <is>
          <t>20260529901725</t>
        </is>
      </c>
      <c r="H7503" s="8">
        <f>HYPERLINK("https://dart.fss.or.kr/dsaf001/main.do?rcpNo=20260529901725", "공시열람")</f>
        <v/>
      </c>
    </row>
    <row r="7504">
      <c r="A7504" s="2" t="inlineStr">
        <is>
          <t>2026-05-29</t>
        </is>
      </c>
      <c r="B7504" s="3" t="inlineStr">
        <is>
          <t>삼보모터스</t>
        </is>
      </c>
      <c r="C7504" s="2" t="inlineStr">
        <is>
          <t>코스닥</t>
        </is>
      </c>
      <c r="D7504" s="2" t="inlineStr">
        <is>
          <t>053700</t>
        </is>
      </c>
      <c r="E7504" s="3" t="inlineStr">
        <is>
          <t xml:space="preserve">전환청구권행사              </t>
        </is>
      </c>
      <c r="F7504" s="3" t="inlineStr">
        <is>
          <t>삼보모터스</t>
        </is>
      </c>
      <c r="G7504" s="2" t="inlineStr">
        <is>
          <t>20260529901804</t>
        </is>
      </c>
      <c r="H7504" s="8">
        <f>HYPERLINK("https://dart.fss.or.kr/dsaf001/main.do?rcpNo=20260529901804", "공시열람")</f>
        <v/>
      </c>
    </row>
    <row r="7505">
      <c r="A7505" s="2" t="inlineStr">
        <is>
          <t>2026-05-29</t>
        </is>
      </c>
      <c r="B7505" s="3" t="inlineStr">
        <is>
          <t>기아</t>
        </is>
      </c>
      <c r="C7505" s="2" t="inlineStr">
        <is>
          <t>코스피</t>
        </is>
      </c>
      <c r="D7505" s="2" t="inlineStr">
        <is>
          <t>000270</t>
        </is>
      </c>
      <c r="E7505" s="3" t="inlineStr">
        <is>
          <t>대규모기업집단현황공시[연1회공시및1/4분기용(개별회사)]</t>
        </is>
      </c>
      <c r="F7505" s="3" t="inlineStr">
        <is>
          <t>기아</t>
        </is>
      </c>
      <c r="G7505" s="2" t="inlineStr">
        <is>
          <t>20260529002091</t>
        </is>
      </c>
      <c r="H7505" s="8">
        <f>HYPERLINK("https://dart.fss.or.kr/dsaf001/main.do?rcpNo=20260529002091", "공시열람")</f>
        <v/>
      </c>
    </row>
    <row r="7506">
      <c r="A7506" s="2" t="inlineStr">
        <is>
          <t>2026-05-29</t>
        </is>
      </c>
      <c r="B7506" s="3" t="inlineStr">
        <is>
          <t>휴니드테크놀러지스</t>
        </is>
      </c>
      <c r="C7506" s="2" t="inlineStr">
        <is>
          <t>코스피</t>
        </is>
      </c>
      <c r="D7506" s="2" t="inlineStr">
        <is>
          <t>005870</t>
        </is>
      </c>
      <c r="E7506" s="3" t="inlineStr">
        <is>
          <t xml:space="preserve">기업지배구조보고서공시              </t>
        </is>
      </c>
      <c r="F7506" s="3" t="inlineStr">
        <is>
          <t>휴니드테크놀러지스</t>
        </is>
      </c>
      <c r="G7506" s="2" t="inlineStr">
        <is>
          <t>20260529801798</t>
        </is>
      </c>
      <c r="H7506" s="8">
        <f>HYPERLINK("https://dart.fss.or.kr/dsaf001/main.do?rcpNo=20260529801798", "공시열람")</f>
        <v/>
      </c>
    </row>
    <row r="7507">
      <c r="A7507" s="2" t="inlineStr">
        <is>
          <t>2026-05-29</t>
        </is>
      </c>
      <c r="B7507" s="3" t="inlineStr">
        <is>
          <t>한국공항</t>
        </is>
      </c>
      <c r="C7507" s="2" t="inlineStr">
        <is>
          <t>코스피</t>
        </is>
      </c>
      <c r="D7507" s="2" t="inlineStr">
        <is>
          <t>005430</t>
        </is>
      </c>
      <c r="E7507" s="3" t="inlineStr">
        <is>
          <t>대규모기업집단현황공시[연1회공시및1/4분기용(개별회사)]</t>
        </is>
      </c>
      <c r="F7507" s="3" t="inlineStr">
        <is>
          <t>한국공항</t>
        </is>
      </c>
      <c r="G7507" s="2" t="inlineStr">
        <is>
          <t>20260529002085</t>
        </is>
      </c>
      <c r="H7507" s="8">
        <f>HYPERLINK("https://dart.fss.or.kr/dsaf001/main.do?rcpNo=20260529002085", "공시열람")</f>
        <v/>
      </c>
    </row>
    <row r="7508">
      <c r="A7508" s="2" t="inlineStr">
        <is>
          <t>2026-05-29</t>
        </is>
      </c>
      <c r="B7508" s="3" t="inlineStr">
        <is>
          <t>DB증권</t>
        </is>
      </c>
      <c r="C7508" s="2" t="inlineStr">
        <is>
          <t>코스피</t>
        </is>
      </c>
      <c r="D7508" s="2" t="inlineStr">
        <is>
          <t>016610</t>
        </is>
      </c>
      <c r="E7508" s="3" t="inlineStr">
        <is>
          <t>증권발행실적보고서</t>
        </is>
      </c>
      <c r="F7508" s="3" t="inlineStr">
        <is>
          <t>DB증권</t>
        </is>
      </c>
      <c r="G7508" s="2" t="inlineStr">
        <is>
          <t>20260529002080</t>
        </is>
      </c>
      <c r="H7508" s="8">
        <f>HYPERLINK("https://dart.fss.or.kr/dsaf001/main.do?rcpNo=20260529002080", "공시열람")</f>
        <v/>
      </c>
    </row>
    <row r="7509">
      <c r="A7509" s="2" t="inlineStr">
        <is>
          <t>2026-05-29</t>
        </is>
      </c>
      <c r="B7509" s="3" t="inlineStr">
        <is>
          <t>한진</t>
        </is>
      </c>
      <c r="C7509" s="2" t="inlineStr">
        <is>
          <t>코스피</t>
        </is>
      </c>
      <c r="D7509" s="2" t="inlineStr">
        <is>
          <t>002320</t>
        </is>
      </c>
      <c r="E7509" s="3" t="inlineStr">
        <is>
          <t xml:space="preserve">기업지배구조보고서공시              </t>
        </is>
      </c>
      <c r="F7509" s="3" t="inlineStr">
        <is>
          <t>한진</t>
        </is>
      </c>
      <c r="G7509" s="2" t="inlineStr">
        <is>
          <t>20260529801794</t>
        </is>
      </c>
      <c r="H7509" s="8">
        <f>HYPERLINK("https://dart.fss.or.kr/dsaf001/main.do?rcpNo=20260529801794", "공시열람")</f>
        <v/>
      </c>
    </row>
    <row r="7510">
      <c r="A7510" s="2" t="inlineStr">
        <is>
          <t>2026-05-29</t>
        </is>
      </c>
      <c r="B7510" s="3" t="inlineStr">
        <is>
          <t>CJ CGV</t>
        </is>
      </c>
      <c r="C7510" s="2" t="inlineStr">
        <is>
          <t>코스피</t>
        </is>
      </c>
      <c r="D7510" s="2" t="inlineStr">
        <is>
          <t>079160</t>
        </is>
      </c>
      <c r="E7510" s="3" t="inlineStr">
        <is>
          <t xml:space="preserve">단기차입금증가결정              </t>
        </is>
      </c>
      <c r="F7510" s="3" t="inlineStr">
        <is>
          <t>CJ CGV</t>
        </is>
      </c>
      <c r="G7510" s="2" t="inlineStr">
        <is>
          <t>20260529801800</t>
        </is>
      </c>
      <c r="H7510" s="8">
        <f>HYPERLINK("https://dart.fss.or.kr/dsaf001/main.do?rcpNo=20260529801800", "공시열람")</f>
        <v/>
      </c>
    </row>
    <row r="7511">
      <c r="A7511" s="2" t="inlineStr">
        <is>
          <t>2026-05-29</t>
        </is>
      </c>
      <c r="B7511" s="3" t="inlineStr">
        <is>
          <t>SBS</t>
        </is>
      </c>
      <c r="C7511" s="2" t="inlineStr">
        <is>
          <t>코스피</t>
        </is>
      </c>
      <c r="D7511" s="2" t="inlineStr">
        <is>
          <t>034120</t>
        </is>
      </c>
      <c r="E7511" s="3" t="inlineStr">
        <is>
          <t xml:space="preserve">기업지배구조보고서공시              </t>
        </is>
      </c>
      <c r="F7511" s="3" t="inlineStr">
        <is>
          <t>SBS</t>
        </is>
      </c>
      <c r="G7511" s="2" t="inlineStr">
        <is>
          <t>20260529800332</t>
        </is>
      </c>
      <c r="H7511" s="8">
        <f>HYPERLINK("https://dart.fss.or.kr/dsaf001/main.do?rcpNo=20260529800332", "공시열람")</f>
        <v/>
      </c>
    </row>
    <row r="7512">
      <c r="A7512" s="2" t="inlineStr">
        <is>
          <t>2026-05-29</t>
        </is>
      </c>
      <c r="B7512" s="3" t="inlineStr">
        <is>
          <t>NH투자증권</t>
        </is>
      </c>
      <c r="C7512" s="2" t="inlineStr">
        <is>
          <t>코스피</t>
        </is>
      </c>
      <c r="D7512" s="2" t="inlineStr">
        <is>
          <t>005940</t>
        </is>
      </c>
      <c r="E7512" s="3" t="inlineStr">
        <is>
          <t>투자설명서(일괄신고)</t>
        </is>
      </c>
      <c r="F7512" s="3" t="inlineStr">
        <is>
          <t>NH투자증권</t>
        </is>
      </c>
      <c r="G7512" s="2" t="inlineStr">
        <is>
          <t>20260529002072</t>
        </is>
      </c>
      <c r="H7512" s="8">
        <f>HYPERLINK("https://dart.fss.or.kr/dsaf001/main.do?rcpNo=20260529002072", "공시열람")</f>
        <v/>
      </c>
    </row>
    <row r="7513">
      <c r="A7513" s="2" t="inlineStr">
        <is>
          <t>2026-05-29</t>
        </is>
      </c>
      <c r="B7513" s="3" t="inlineStr">
        <is>
          <t>현대자동차</t>
        </is>
      </c>
      <c r="C7513" s="2" t="inlineStr">
        <is>
          <t>코스피</t>
        </is>
      </c>
      <c r="D7513" s="2" t="inlineStr">
        <is>
          <t>005380</t>
        </is>
      </c>
      <c r="E7513" s="3" t="inlineStr">
        <is>
          <t>특수관계인으로부터기타유가증권매수</t>
        </is>
      </c>
      <c r="F7513" s="3" t="inlineStr">
        <is>
          <t>현대자동차</t>
        </is>
      </c>
      <c r="G7513" s="2" t="inlineStr">
        <is>
          <t>20260529002065</t>
        </is>
      </c>
      <c r="H7513" s="8">
        <f>HYPERLINK("https://dart.fss.or.kr/dsaf001/main.do?rcpNo=20260529002065", "공시열람")</f>
        <v/>
      </c>
    </row>
    <row r="7514">
      <c r="A7514" s="2" t="inlineStr">
        <is>
          <t>2026-05-29</t>
        </is>
      </c>
      <c r="B7514" s="3" t="inlineStr">
        <is>
          <t>엘에스일렉트릭</t>
        </is>
      </c>
      <c r="C7514" s="2" t="inlineStr">
        <is>
          <t>코스피</t>
        </is>
      </c>
      <c r="D7514" s="2" t="inlineStr">
        <is>
          <t>010120</t>
        </is>
      </c>
      <c r="E7514" s="3" t="inlineStr">
        <is>
          <t xml:space="preserve">기업지배구조보고서공시              </t>
        </is>
      </c>
      <c r="F7514" s="3" t="inlineStr">
        <is>
          <t>엘에스일렉트릭</t>
        </is>
      </c>
      <c r="G7514" s="2" t="inlineStr">
        <is>
          <t>20260529801373</t>
        </is>
      </c>
      <c r="H7514" s="8">
        <f>HYPERLINK("https://dart.fss.or.kr/dsaf001/main.do?rcpNo=20260529801373", "공시열람")</f>
        <v/>
      </c>
    </row>
    <row r="7515">
      <c r="A7515" s="2" t="inlineStr">
        <is>
          <t>2026-05-29</t>
        </is>
      </c>
      <c r="B7515" s="3" t="inlineStr">
        <is>
          <t>세기상사</t>
        </is>
      </c>
      <c r="C7515" s="2" t="inlineStr">
        <is>
          <t>코스피</t>
        </is>
      </c>
      <c r="D7515" s="2" t="inlineStr">
        <is>
          <t>002420</t>
        </is>
      </c>
      <c r="E7515" s="3" t="inlineStr">
        <is>
          <t xml:space="preserve">기업지배구조보고서공시              </t>
        </is>
      </c>
      <c r="F7515" s="3" t="inlineStr">
        <is>
          <t>세기상사</t>
        </is>
      </c>
      <c r="G7515" s="2" t="inlineStr">
        <is>
          <t>20260529801769</t>
        </is>
      </c>
      <c r="H7515" s="8">
        <f>HYPERLINK("https://dart.fss.or.kr/dsaf001/main.do?rcpNo=20260529801769", "공시열람")</f>
        <v/>
      </c>
    </row>
    <row r="7516">
      <c r="A7516" s="2" t="inlineStr">
        <is>
          <t>2026-05-29</t>
        </is>
      </c>
      <c r="B7516" s="3" t="inlineStr">
        <is>
          <t>이노션</t>
        </is>
      </c>
      <c r="C7516" s="2" t="inlineStr">
        <is>
          <t>코스피</t>
        </is>
      </c>
      <c r="D7516" s="2" t="inlineStr">
        <is>
          <t>214320</t>
        </is>
      </c>
      <c r="E7516" s="3" t="inlineStr">
        <is>
          <t>대규모기업집단현황공시[연1회공시및1/4분기용(개별회사)]</t>
        </is>
      </c>
      <c r="F7516" s="3" t="inlineStr">
        <is>
          <t>이노션</t>
        </is>
      </c>
      <c r="G7516" s="2" t="inlineStr">
        <is>
          <t>20260529002057</t>
        </is>
      </c>
      <c r="H7516" s="8">
        <f>HYPERLINK("https://dart.fss.or.kr/dsaf001/main.do?rcpNo=20260529002057", "공시열람")</f>
        <v/>
      </c>
    </row>
    <row r="7517">
      <c r="A7517" s="2" t="inlineStr">
        <is>
          <t>2026-05-29</t>
        </is>
      </c>
      <c r="B7517" s="3" t="inlineStr">
        <is>
          <t>현대차증권</t>
        </is>
      </c>
      <c r="C7517" s="2" t="inlineStr">
        <is>
          <t>코스피</t>
        </is>
      </c>
      <c r="D7517" s="2" t="inlineStr">
        <is>
          <t>001500</t>
        </is>
      </c>
      <c r="E7517" s="3" t="inlineStr">
        <is>
          <t>대규모기업집단현황공시[연1회공시및1/4분기용(개별회사)]</t>
        </is>
      </c>
      <c r="F7517" s="3" t="inlineStr">
        <is>
          <t>현대차증권</t>
        </is>
      </c>
      <c r="G7517" s="2" t="inlineStr">
        <is>
          <t>20260529002056</t>
        </is>
      </c>
      <c r="H7517" s="8">
        <f>HYPERLINK("https://dart.fss.or.kr/dsaf001/main.do?rcpNo=20260529002056", "공시열람")</f>
        <v/>
      </c>
    </row>
    <row r="7518">
      <c r="A7518" s="2" t="inlineStr">
        <is>
          <t>2026-05-29</t>
        </is>
      </c>
      <c r="B7518" s="3" t="inlineStr">
        <is>
          <t>HLB글로벌</t>
        </is>
      </c>
      <c r="C7518" s="2" t="inlineStr">
        <is>
          <t>코스피</t>
        </is>
      </c>
      <c r="D7518" s="2" t="inlineStr">
        <is>
          <t>003580</t>
        </is>
      </c>
      <c r="E7518" s="3" t="inlineStr">
        <is>
          <t xml:space="preserve">기업지배구조보고서공시              </t>
        </is>
      </c>
      <c r="F7518" s="3" t="inlineStr">
        <is>
          <t>HLB글로벌</t>
        </is>
      </c>
      <c r="G7518" s="2" t="inlineStr">
        <is>
          <t>20260529801767</t>
        </is>
      </c>
      <c r="H7518" s="8">
        <f>HYPERLINK("https://dart.fss.or.kr/dsaf001/main.do?rcpNo=20260529801767", "공시열람")</f>
        <v/>
      </c>
    </row>
    <row r="7519">
      <c r="A7519" s="2" t="inlineStr">
        <is>
          <t>2026-05-29</t>
        </is>
      </c>
      <c r="B7519" s="3" t="inlineStr">
        <is>
          <t>DL이앤씨</t>
        </is>
      </c>
      <c r="C7519" s="2" t="inlineStr">
        <is>
          <t>코스피</t>
        </is>
      </c>
      <c r="D7519" s="2" t="inlineStr">
        <is>
          <t>375500</t>
        </is>
      </c>
      <c r="E7519" s="3" t="inlineStr">
        <is>
          <t xml:space="preserve">투자판단관련주요경영사항              </t>
        </is>
      </c>
      <c r="F7519" s="3" t="inlineStr">
        <is>
          <t>DL이앤씨</t>
        </is>
      </c>
      <c r="G7519" s="2" t="inlineStr">
        <is>
          <t>20260529801693</t>
        </is>
      </c>
      <c r="H7519" s="8">
        <f>HYPERLINK("https://dart.fss.or.kr/dsaf001/main.do?rcpNo=20260529801693", "공시열람")</f>
        <v/>
      </c>
    </row>
    <row r="7520">
      <c r="A7520" s="2" t="inlineStr">
        <is>
          <t>2026-05-29</t>
        </is>
      </c>
      <c r="B7520" s="3" t="inlineStr">
        <is>
          <t>DB증권</t>
        </is>
      </c>
      <c r="C7520" s="2" t="inlineStr">
        <is>
          <t>코스피</t>
        </is>
      </c>
      <c r="D7520" s="2" t="inlineStr">
        <is>
          <t>016610</t>
        </is>
      </c>
      <c r="E7520" s="3" t="inlineStr">
        <is>
          <t>증권발행실적보고서</t>
        </is>
      </c>
      <c r="F7520" s="3" t="inlineStr">
        <is>
          <t>DB증권</t>
        </is>
      </c>
      <c r="G7520" s="2" t="inlineStr">
        <is>
          <t>20260529002047</t>
        </is>
      </c>
      <c r="H7520" s="8">
        <f>HYPERLINK("https://dart.fss.or.kr/dsaf001/main.do?rcpNo=20260529002047", "공시열람")</f>
        <v/>
      </c>
    </row>
    <row r="7521">
      <c r="A7521" s="2" t="inlineStr">
        <is>
          <t>2026-05-29</t>
        </is>
      </c>
      <c r="B7521" s="3" t="inlineStr">
        <is>
          <t>SBS</t>
        </is>
      </c>
      <c r="C7521" s="2" t="inlineStr">
        <is>
          <t>코스피</t>
        </is>
      </c>
      <c r="D7521" s="2" t="inlineStr">
        <is>
          <t>034120</t>
        </is>
      </c>
      <c r="E7521" s="3" t="inlineStr">
        <is>
          <t>대규모기업집단현황공시[연1회공시및1/4분기용(개별회사)]</t>
        </is>
      </c>
      <c r="F7521" s="3" t="inlineStr">
        <is>
          <t>SBS</t>
        </is>
      </c>
      <c r="G7521" s="2" t="inlineStr">
        <is>
          <t>20260529002042</t>
        </is>
      </c>
      <c r="H7521" s="8">
        <f>HYPERLINK("https://dart.fss.or.kr/dsaf001/main.do?rcpNo=20260529002042", "공시열람")</f>
        <v/>
      </c>
    </row>
    <row r="7522">
      <c r="A7522" s="2" t="inlineStr">
        <is>
          <t>2026-05-29</t>
        </is>
      </c>
      <c r="B7522" s="3" t="inlineStr">
        <is>
          <t>넥센타이어</t>
        </is>
      </c>
      <c r="C7522" s="2" t="inlineStr">
        <is>
          <t>코스피</t>
        </is>
      </c>
      <c r="D7522" s="2" t="inlineStr">
        <is>
          <t>002350</t>
        </is>
      </c>
      <c r="E7522" s="3" t="inlineStr">
        <is>
          <t xml:space="preserve">기업지배구조보고서공시              </t>
        </is>
      </c>
      <c r="F7522" s="3" t="inlineStr">
        <is>
          <t>넥센타이어</t>
        </is>
      </c>
      <c r="G7522" s="2" t="inlineStr">
        <is>
          <t>20260529801761</t>
        </is>
      </c>
      <c r="H7522" s="8">
        <f>HYPERLINK("https://dart.fss.or.kr/dsaf001/main.do?rcpNo=20260529801761", "공시열람")</f>
        <v/>
      </c>
    </row>
    <row r="7523">
      <c r="A7523" s="2" t="inlineStr">
        <is>
          <t>2026-05-29</t>
        </is>
      </c>
      <c r="B7523" s="3" t="inlineStr">
        <is>
          <t>현대오토에버</t>
        </is>
      </c>
      <c r="C7523" s="2" t="inlineStr">
        <is>
          <t>코스피</t>
        </is>
      </c>
      <c r="D7523" s="2" t="inlineStr">
        <is>
          <t>307950</t>
        </is>
      </c>
      <c r="E7523" s="3" t="inlineStr">
        <is>
          <t>대규모기업집단현황공시[연1회공시및1/4분기용(개별회사)]</t>
        </is>
      </c>
      <c r="F7523" s="3" t="inlineStr">
        <is>
          <t>현대오토에버</t>
        </is>
      </c>
      <c r="G7523" s="2" t="inlineStr">
        <is>
          <t>20260529002035</t>
        </is>
      </c>
      <c r="H7523" s="8">
        <f>HYPERLINK("https://dart.fss.or.kr/dsaf001/main.do?rcpNo=20260529002035", "공시열람")</f>
        <v/>
      </c>
    </row>
    <row r="7524">
      <c r="A7524" s="2" t="inlineStr">
        <is>
          <t>2026-05-29 (정정: 2026-06-08)</t>
        </is>
      </c>
      <c r="B7524" s="3" t="inlineStr">
        <is>
          <t>플래스크</t>
        </is>
      </c>
      <c r="C7524" s="2" t="inlineStr">
        <is>
          <t>코스닥</t>
        </is>
      </c>
      <c r="D7524" s="2" t="inlineStr">
        <is>
          <t>041590</t>
        </is>
      </c>
      <c r="E7524" s="3" t="inlineStr">
        <is>
          <t>주권관련사채권의취득결정               (정정: 20260608)</t>
        </is>
      </c>
      <c r="F7524" s="3" t="inlineStr">
        <is>
          <t>플래스크</t>
        </is>
      </c>
      <c r="G7524" s="2" t="inlineStr">
        <is>
          <t>20260608900793</t>
        </is>
      </c>
      <c r="H7524" s="8">
        <f>HYPERLINK("https://dart.fss.or.kr/dsaf001/main.do?rcpNo=20260608900793", "공시열람")</f>
        <v/>
      </c>
    </row>
    <row r="7525">
      <c r="A7525" s="2" t="inlineStr">
        <is>
          <t>2026-05-29</t>
        </is>
      </c>
      <c r="B7525" s="3" t="inlineStr">
        <is>
          <t>원익큐브</t>
        </is>
      </c>
      <c r="C7525" s="2" t="inlineStr">
        <is>
          <t>코스닥</t>
        </is>
      </c>
      <c r="D7525" s="2" t="inlineStr">
        <is>
          <t>014190</t>
        </is>
      </c>
      <c r="E7525" s="3" t="inlineStr">
        <is>
          <t>대규모기업집단현황공시[연1회공시및1/4분기용(개별회사)]</t>
        </is>
      </c>
      <c r="F7525" s="3" t="inlineStr">
        <is>
          <t>원익큐브</t>
        </is>
      </c>
      <c r="G7525" s="2" t="inlineStr">
        <is>
          <t>20260529002034</t>
        </is>
      </c>
      <c r="H7525" s="8">
        <f>HYPERLINK("https://dart.fss.or.kr/dsaf001/main.do?rcpNo=20260529002034", "공시열람")</f>
        <v/>
      </c>
    </row>
    <row r="7526">
      <c r="A7526" s="2" t="inlineStr">
        <is>
          <t>2026-05-29</t>
        </is>
      </c>
      <c r="B7526" s="3" t="inlineStr">
        <is>
          <t>태림포장</t>
        </is>
      </c>
      <c r="C7526" s="2" t="inlineStr">
        <is>
          <t>코스피</t>
        </is>
      </c>
      <c r="D7526" s="2" t="inlineStr">
        <is>
          <t>011280</t>
        </is>
      </c>
      <c r="E7526" s="3" t="inlineStr">
        <is>
          <t xml:space="preserve">기업지배구조보고서공시              </t>
        </is>
      </c>
      <c r="F7526" s="3" t="inlineStr">
        <is>
          <t>태림포장</t>
        </is>
      </c>
      <c r="G7526" s="2" t="inlineStr">
        <is>
          <t>20260529801752</t>
        </is>
      </c>
      <c r="H7526" s="8">
        <f>HYPERLINK("https://dart.fss.or.kr/dsaf001/main.do?rcpNo=20260529801752", "공시열람")</f>
        <v/>
      </c>
    </row>
    <row r="7527">
      <c r="A7527" s="2" t="inlineStr">
        <is>
          <t>2026-05-29</t>
        </is>
      </c>
      <c r="B7527" s="3" t="inlineStr">
        <is>
          <t>DB증권</t>
        </is>
      </c>
      <c r="C7527" s="2" t="inlineStr">
        <is>
          <t>코스피</t>
        </is>
      </c>
      <c r="D7527" s="2" t="inlineStr">
        <is>
          <t>016610</t>
        </is>
      </c>
      <c r="E7527" s="3" t="inlineStr">
        <is>
          <t>증권발행실적보고서</t>
        </is>
      </c>
      <c r="F7527" s="3" t="inlineStr">
        <is>
          <t>DB증권</t>
        </is>
      </c>
      <c r="G7527" s="2" t="inlineStr">
        <is>
          <t>20260529002030</t>
        </is>
      </c>
      <c r="H7527" s="8">
        <f>HYPERLINK("https://dart.fss.or.kr/dsaf001/main.do?rcpNo=20260529002030", "공시열람")</f>
        <v/>
      </c>
    </row>
    <row r="7528">
      <c r="A7528" s="2" t="inlineStr">
        <is>
          <t>2026-05-29</t>
        </is>
      </c>
      <c r="B7528" s="3" t="inlineStr">
        <is>
          <t>HS효성첨단소재</t>
        </is>
      </c>
      <c r="C7528" s="2" t="inlineStr">
        <is>
          <t>코스피</t>
        </is>
      </c>
      <c r="D7528" s="2" t="inlineStr">
        <is>
          <t>298050</t>
        </is>
      </c>
      <c r="E7528" s="3" t="inlineStr">
        <is>
          <t xml:space="preserve">기업지배구조보고서공시              </t>
        </is>
      </c>
      <c r="F7528" s="3" t="inlineStr">
        <is>
          <t>HS효성첨단소재</t>
        </is>
      </c>
      <c r="G7528" s="2" t="inlineStr">
        <is>
          <t>20260529801756</t>
        </is>
      </c>
      <c r="H7528" s="8">
        <f>HYPERLINK("https://dart.fss.or.kr/dsaf001/main.do?rcpNo=20260529801756", "공시열람")</f>
        <v/>
      </c>
    </row>
    <row r="7529">
      <c r="A7529" s="2" t="inlineStr">
        <is>
          <t>2026-05-29</t>
        </is>
      </c>
      <c r="B7529" s="3" t="inlineStr">
        <is>
          <t>HL홀딩스</t>
        </is>
      </c>
      <c r="C7529" s="2" t="inlineStr">
        <is>
          <t>코스피</t>
        </is>
      </c>
      <c r="D7529" s="2" t="inlineStr">
        <is>
          <t>060980</t>
        </is>
      </c>
      <c r="E7529" s="3" t="inlineStr">
        <is>
          <t>대규모기업집단현황공시[연1회(동일인용)]</t>
        </is>
      </c>
      <c r="F7529" s="3" t="inlineStr">
        <is>
          <t>정몽원</t>
        </is>
      </c>
      <c r="G7529" s="2" t="inlineStr">
        <is>
          <t>20260529002020</t>
        </is>
      </c>
      <c r="H7529" s="8">
        <f>HYPERLINK("https://dart.fss.or.kr/dsaf001/main.do?rcpNo=20260529002020", "공시열람")</f>
        <v/>
      </c>
    </row>
    <row r="7530">
      <c r="A7530" s="2" t="inlineStr">
        <is>
          <t>2026-05-29</t>
        </is>
      </c>
      <c r="B7530" s="3" t="inlineStr">
        <is>
          <t>다산솔루에타</t>
        </is>
      </c>
      <c r="C7530" s="2" t="inlineStr">
        <is>
          <t>코스닥</t>
        </is>
      </c>
      <c r="D7530" s="2" t="inlineStr">
        <is>
          <t>154040</t>
        </is>
      </c>
      <c r="E7530" s="3" t="inlineStr">
        <is>
          <t>임원ㆍ주요주주특정증권등거래계획보고서</t>
        </is>
      </c>
      <c r="F7530" s="3" t="inlineStr">
        <is>
          <t>퍼시픽블루</t>
        </is>
      </c>
      <c r="G7530" s="2" t="inlineStr">
        <is>
          <t>20260529002011</t>
        </is>
      </c>
      <c r="H7530" s="8">
        <f>HYPERLINK("https://dart.fss.or.kr/dsaf001/main.do?rcpNo=20260529002011", "공시열람")</f>
        <v/>
      </c>
    </row>
    <row r="7531">
      <c r="A7531" s="2" t="inlineStr">
        <is>
          <t>2026-05-29</t>
        </is>
      </c>
      <c r="B7531" s="3" t="inlineStr">
        <is>
          <t>국제약품</t>
        </is>
      </c>
      <c r="C7531" s="2" t="inlineStr">
        <is>
          <t>코스피</t>
        </is>
      </c>
      <c r="D7531" s="2" t="inlineStr">
        <is>
          <t>002720</t>
        </is>
      </c>
      <c r="E7531" s="3" t="inlineStr">
        <is>
          <t>임원ㆍ주요주주특정증권등소유상황보고서</t>
        </is>
      </c>
      <c r="F7531" s="3" t="inlineStr">
        <is>
          <t>김영관</t>
        </is>
      </c>
      <c r="G7531" s="2" t="inlineStr">
        <is>
          <t>20260529002008</t>
        </is>
      </c>
      <c r="H7531" s="8">
        <f>HYPERLINK("https://dart.fss.or.kr/dsaf001/main.do?rcpNo=20260529002008", "공시열람")</f>
        <v/>
      </c>
    </row>
    <row r="7532">
      <c r="A7532" s="2" t="inlineStr">
        <is>
          <t>2026-05-29</t>
        </is>
      </c>
      <c r="B7532" s="3" t="inlineStr">
        <is>
          <t>텔콘RF제약</t>
        </is>
      </c>
      <c r="C7532" s="2" t="inlineStr">
        <is>
          <t>코스닥</t>
        </is>
      </c>
      <c r="D7532" s="2" t="inlineStr">
        <is>
          <t>200230</t>
        </is>
      </c>
      <c r="E7532" s="3" t="inlineStr">
        <is>
          <t>주권매매거래정지              (주식의 병합, 분할 등 전자등록 변경, 말소)</t>
        </is>
      </c>
      <c r="F7532" s="3" t="inlineStr">
        <is>
          <t>코스닥시장본부</t>
        </is>
      </c>
      <c r="G7532" s="2" t="inlineStr">
        <is>
          <t>20260529901730</t>
        </is>
      </c>
      <c r="H7532" s="8">
        <f>HYPERLINK("https://dart.fss.or.kr/dsaf001/main.do?rcpNo=20260529901730", "공시열람")</f>
        <v/>
      </c>
    </row>
    <row r="7533">
      <c r="A7533" s="2" t="inlineStr">
        <is>
          <t>2026-05-29</t>
        </is>
      </c>
      <c r="B7533" s="3" t="inlineStr">
        <is>
          <t>한진</t>
        </is>
      </c>
      <c r="C7533" s="2" t="inlineStr">
        <is>
          <t>코스피</t>
        </is>
      </c>
      <c r="D7533" s="2" t="inlineStr">
        <is>
          <t>002320</t>
        </is>
      </c>
      <c r="E7533" s="3" t="inlineStr">
        <is>
          <t>대규모기업집단현황공시[연1회공시및1/4분기용(개별회사)]</t>
        </is>
      </c>
      <c r="F7533" s="3" t="inlineStr">
        <is>
          <t>한진</t>
        </is>
      </c>
      <c r="G7533" s="2" t="inlineStr">
        <is>
          <t>20260529002004</t>
        </is>
      </c>
      <c r="H7533" s="8">
        <f>HYPERLINK("https://dart.fss.or.kr/dsaf001/main.do?rcpNo=20260529002004", "공시열람")</f>
        <v/>
      </c>
    </row>
    <row r="7534">
      <c r="A7534" s="2" t="inlineStr">
        <is>
          <t>2026-05-29</t>
        </is>
      </c>
      <c r="B7534" s="3" t="inlineStr">
        <is>
          <t>셀트리온</t>
        </is>
      </c>
      <c r="C7534" s="2" t="inlineStr">
        <is>
          <t>코스피</t>
        </is>
      </c>
      <c r="D7534" s="2" t="inlineStr">
        <is>
          <t>068270</t>
        </is>
      </c>
      <c r="E7534" s="3" t="inlineStr">
        <is>
          <t>임원ㆍ주요주주특정증권등소유상황보고서</t>
        </is>
      </c>
      <c r="F7534" s="3" t="inlineStr">
        <is>
          <t>최병서</t>
        </is>
      </c>
      <c r="G7534" s="2" t="inlineStr">
        <is>
          <t>20260529002003</t>
        </is>
      </c>
      <c r="H7534" s="8">
        <f>HYPERLINK("https://dart.fss.or.kr/dsaf001/main.do?rcpNo=20260529002003", "공시열람")</f>
        <v/>
      </c>
    </row>
    <row r="7535">
      <c r="A7535" s="2" t="inlineStr">
        <is>
          <t>2026-05-29</t>
        </is>
      </c>
      <c r="B7535" s="3" t="inlineStr">
        <is>
          <t>다산솔루에타</t>
        </is>
      </c>
      <c r="C7535" s="2" t="inlineStr">
        <is>
          <t>코스닥</t>
        </is>
      </c>
      <c r="D7535" s="2" t="inlineStr">
        <is>
          <t>154040</t>
        </is>
      </c>
      <c r="E7535" s="3" t="inlineStr">
        <is>
          <t>임원ㆍ주요주주특정증권등거래계획보고서</t>
        </is>
      </c>
      <c r="F7535" s="3" t="inlineStr">
        <is>
          <t>다산인베스트</t>
        </is>
      </c>
      <c r="G7535" s="2" t="inlineStr">
        <is>
          <t>20260529001999</t>
        </is>
      </c>
      <c r="H7535" s="8">
        <f>HYPERLINK("https://dart.fss.or.kr/dsaf001/main.do?rcpNo=20260529001999", "공시열람")</f>
        <v/>
      </c>
    </row>
    <row r="7536">
      <c r="A7536" s="2" t="inlineStr">
        <is>
          <t>2026-05-29</t>
        </is>
      </c>
      <c r="B7536" s="3" t="inlineStr">
        <is>
          <t>핑거</t>
        </is>
      </c>
      <c r="C7536" s="2" t="inlineStr">
        <is>
          <t>코스닥</t>
        </is>
      </c>
      <c r="D7536" s="2" t="inlineStr">
        <is>
          <t>163730</t>
        </is>
      </c>
      <c r="E7536" s="3" t="inlineStr">
        <is>
          <t>임원ㆍ주요주주특정증권등소유상황보고서</t>
        </is>
      </c>
      <c r="F7536" s="3" t="inlineStr">
        <is>
          <t>박민수</t>
        </is>
      </c>
      <c r="G7536" s="2" t="inlineStr">
        <is>
          <t>20260529001997</t>
        </is>
      </c>
      <c r="H7536" s="8">
        <f>HYPERLINK("https://dart.fss.or.kr/dsaf001/main.do?rcpNo=20260529001997", "공시열람")</f>
        <v/>
      </c>
    </row>
    <row r="7537">
      <c r="A7537" s="2" t="inlineStr">
        <is>
          <t>2026-05-29</t>
        </is>
      </c>
      <c r="B7537" s="3" t="inlineStr">
        <is>
          <t>플래티어</t>
        </is>
      </c>
      <c r="C7537" s="2" t="inlineStr">
        <is>
          <t>코스닥</t>
        </is>
      </c>
      <c r="D7537" s="2" t="inlineStr">
        <is>
          <t>367000</t>
        </is>
      </c>
      <c r="E7537" s="3" t="inlineStr">
        <is>
          <t>임원ㆍ주요주주특정증권등소유상황보고서</t>
        </is>
      </c>
      <c r="F7537" s="3" t="inlineStr">
        <is>
          <t>김진성</t>
        </is>
      </c>
      <c r="G7537" s="2" t="inlineStr">
        <is>
          <t>20260529001996</t>
        </is>
      </c>
      <c r="H7537" s="8">
        <f>HYPERLINK("https://dart.fss.or.kr/dsaf001/main.do?rcpNo=20260529001996", "공시열람")</f>
        <v/>
      </c>
    </row>
    <row r="7538">
      <c r="A7538" s="2" t="inlineStr">
        <is>
          <t>2026-05-29</t>
        </is>
      </c>
      <c r="B7538" s="3" t="inlineStr">
        <is>
          <t>NH투자증권</t>
        </is>
      </c>
      <c r="C7538" s="2" t="inlineStr">
        <is>
          <t>코스피</t>
        </is>
      </c>
      <c r="D7538" s="2" t="inlineStr">
        <is>
          <t>005940</t>
        </is>
      </c>
      <c r="E7538" s="3" t="inlineStr">
        <is>
          <t>일괄신고추가서류(파생결합증권-주가연계증권)</t>
        </is>
      </c>
      <c r="F7538" s="3" t="inlineStr">
        <is>
          <t>NH투자증권</t>
        </is>
      </c>
      <c r="G7538" s="2" t="inlineStr">
        <is>
          <t>20260529001995</t>
        </is>
      </c>
      <c r="H7538" s="8">
        <f>HYPERLINK("https://dart.fss.or.kr/dsaf001/main.do?rcpNo=20260529001995", "공시열람")</f>
        <v/>
      </c>
    </row>
    <row r="7539">
      <c r="A7539" s="2" t="inlineStr">
        <is>
          <t>2026-05-29 (정정: 2026-06-01)</t>
        </is>
      </c>
      <c r="B7539" s="3" t="inlineStr">
        <is>
          <t>HD현대에너지솔루션</t>
        </is>
      </c>
      <c r="C7539" s="2" t="inlineStr">
        <is>
          <t>코스피</t>
        </is>
      </c>
      <c r="D7539" s="2" t="inlineStr">
        <is>
          <t>322000</t>
        </is>
      </c>
      <c r="E7539" s="3" t="inlineStr">
        <is>
          <t>기업지배구조보고서공시               (정정: 20260601)</t>
        </is>
      </c>
      <c r="F7539" s="3" t="inlineStr">
        <is>
          <t>HD현대에너지솔루션</t>
        </is>
      </c>
      <c r="G7539" s="2" t="inlineStr">
        <is>
          <t>20260601001746</t>
        </is>
      </c>
      <c r="H7539" s="8">
        <f>HYPERLINK("https://dart.fss.or.kr/dsaf001/main.do?rcpNo=20260601001746", "공시열람")</f>
        <v/>
      </c>
    </row>
    <row r="7540">
      <c r="A7540" s="2" t="inlineStr">
        <is>
          <t>2026-05-29</t>
        </is>
      </c>
      <c r="B7540" s="3" t="inlineStr">
        <is>
          <t>한창제지</t>
        </is>
      </c>
      <c r="C7540" s="2" t="inlineStr">
        <is>
          <t>코스피</t>
        </is>
      </c>
      <c r="D7540" s="2" t="inlineStr">
        <is>
          <t>009460</t>
        </is>
      </c>
      <c r="E7540" s="3" t="inlineStr">
        <is>
          <t xml:space="preserve">기업지배구조보고서공시              </t>
        </is>
      </c>
      <c r="F7540" s="3" t="inlineStr">
        <is>
          <t>한창제지</t>
        </is>
      </c>
      <c r="G7540" s="2" t="inlineStr">
        <is>
          <t>20260529801736</t>
        </is>
      </c>
      <c r="H7540" s="8">
        <f>HYPERLINK("https://dart.fss.or.kr/dsaf001/main.do?rcpNo=20260529801736", "공시열람")</f>
        <v/>
      </c>
    </row>
    <row r="7541">
      <c r="A7541" s="2" t="inlineStr">
        <is>
          <t>2026-05-29</t>
        </is>
      </c>
      <c r="B7541" s="3" t="inlineStr">
        <is>
          <t>이수화학</t>
        </is>
      </c>
      <c r="C7541" s="2" t="inlineStr">
        <is>
          <t>코스피</t>
        </is>
      </c>
      <c r="D7541" s="2" t="inlineStr">
        <is>
          <t>005950</t>
        </is>
      </c>
      <c r="E7541" s="3" t="inlineStr">
        <is>
          <t xml:space="preserve">기업지배구조보고서공시              </t>
        </is>
      </c>
      <c r="F7541" s="3" t="inlineStr">
        <is>
          <t>이수화학</t>
        </is>
      </c>
      <c r="G7541" s="2" t="inlineStr">
        <is>
          <t>20260529801732</t>
        </is>
      </c>
      <c r="H7541" s="8">
        <f>HYPERLINK("https://dart.fss.or.kr/dsaf001/main.do?rcpNo=20260529801732", "공시열람")</f>
        <v/>
      </c>
    </row>
    <row r="7542">
      <c r="A7542" s="2" t="inlineStr">
        <is>
          <t>2026-05-29</t>
        </is>
      </c>
      <c r="B7542" s="3" t="inlineStr">
        <is>
          <t>HPSP</t>
        </is>
      </c>
      <c r="C7542" s="2" t="inlineStr">
        <is>
          <t>코스닥</t>
        </is>
      </c>
      <c r="D7542" s="2" t="inlineStr">
        <is>
          <t>403870</t>
        </is>
      </c>
      <c r="E7542" s="3" t="inlineStr">
        <is>
          <t>자기주식처분결과보고서</t>
        </is>
      </c>
      <c r="F7542" s="3" t="inlineStr">
        <is>
          <t>HPSP</t>
        </is>
      </c>
      <c r="G7542" s="2" t="inlineStr">
        <is>
          <t>20260529001990</t>
        </is>
      </c>
      <c r="H7542" s="8">
        <f>HYPERLINK("https://dart.fss.or.kr/dsaf001/main.do?rcpNo=20260529001990", "공시열람")</f>
        <v/>
      </c>
    </row>
    <row r="7543">
      <c r="A7543" s="2" t="inlineStr">
        <is>
          <t>2026-05-29 (정정: 2026-06-15)</t>
        </is>
      </c>
      <c r="B7543" s="3" t="inlineStr">
        <is>
          <t>퓨쳐켐</t>
        </is>
      </c>
      <c r="C7543" s="2" t="inlineStr">
        <is>
          <t>코스닥</t>
        </is>
      </c>
      <c r="D7543" s="2" t="inlineStr">
        <is>
          <t>220100</t>
        </is>
      </c>
      <c r="E7543" s="3" t="inlineStr">
        <is>
          <t>증권신고서(지분증권) (정정: 20260615)</t>
        </is>
      </c>
      <c r="F7543" s="3" t="inlineStr">
        <is>
          <t>퓨쳐켐</t>
        </is>
      </c>
      <c r="G7543" s="2" t="inlineStr">
        <is>
          <t>20260615000339</t>
        </is>
      </c>
      <c r="H7543" s="8">
        <f>HYPERLINK("https://dart.fss.or.kr/dsaf001/main.do?rcpNo=20260615000339", "공시열람")</f>
        <v/>
      </c>
    </row>
    <row r="7544">
      <c r="A7544" s="2" t="inlineStr">
        <is>
          <t>2026-05-29 (정정: 2026-05-29)</t>
        </is>
      </c>
      <c r="B7544" s="3" t="inlineStr">
        <is>
          <t>엠로</t>
        </is>
      </c>
      <c r="C7544" s="2" t="inlineStr">
        <is>
          <t>코스닥</t>
        </is>
      </c>
      <c r="D7544" s="2" t="inlineStr">
        <is>
          <t>058970</t>
        </is>
      </c>
      <c r="E7544" s="3" t="inlineStr">
        <is>
          <t>주주명부폐쇄기간또는기준일설정               (정정: 20260529)</t>
        </is>
      </c>
      <c r="F7544" s="3" t="inlineStr">
        <is>
          <t>엠로</t>
        </is>
      </c>
      <c r="G7544" s="2" t="inlineStr">
        <is>
          <t>20260529001884</t>
        </is>
      </c>
      <c r="H7544" s="8">
        <f>HYPERLINK("https://dart.fss.or.kr/dsaf001/main.do?rcpNo=20260529001884", "공시열람")</f>
        <v/>
      </c>
    </row>
    <row r="7545">
      <c r="A7545" s="2" t="inlineStr">
        <is>
          <t>2026-05-29</t>
        </is>
      </c>
      <c r="B7545" s="3" t="inlineStr">
        <is>
          <t>솔루스첨단소재</t>
        </is>
      </c>
      <c r="C7545" s="2" t="inlineStr">
        <is>
          <t>코스피</t>
        </is>
      </c>
      <c r="D7545" s="2" t="inlineStr">
        <is>
          <t>336370</t>
        </is>
      </c>
      <c r="E7545" s="3" t="inlineStr">
        <is>
          <t xml:space="preserve">기업지배구조보고서공시              </t>
        </is>
      </c>
      <c r="F7545" s="3" t="inlineStr">
        <is>
          <t>솔루스첨단소재</t>
        </is>
      </c>
      <c r="G7545" s="2" t="inlineStr">
        <is>
          <t>20260529801723</t>
        </is>
      </c>
      <c r="H7545" s="8">
        <f>HYPERLINK("https://dart.fss.or.kr/dsaf001/main.do?rcpNo=20260529801723", "공시열람")</f>
        <v/>
      </c>
    </row>
    <row r="7546">
      <c r="A7546" s="2" t="inlineStr">
        <is>
          <t>2026-05-29</t>
        </is>
      </c>
      <c r="B7546" s="3" t="inlineStr">
        <is>
          <t>동서</t>
        </is>
      </c>
      <c r="C7546" s="2" t="inlineStr">
        <is>
          <t>코스피</t>
        </is>
      </c>
      <c r="D7546" s="2" t="inlineStr">
        <is>
          <t>026960</t>
        </is>
      </c>
      <c r="E7546" s="3" t="inlineStr">
        <is>
          <t xml:space="preserve">기업지배구조보고서공시              </t>
        </is>
      </c>
      <c r="F7546" s="3" t="inlineStr">
        <is>
          <t>동서</t>
        </is>
      </c>
      <c r="G7546" s="2" t="inlineStr">
        <is>
          <t>20260529801719</t>
        </is>
      </c>
      <c r="H7546" s="8">
        <f>HYPERLINK("https://dart.fss.or.kr/dsaf001/main.do?rcpNo=20260529801719", "공시열람")</f>
        <v/>
      </c>
    </row>
    <row r="7547">
      <c r="A7547" s="2" t="inlineStr">
        <is>
          <t>2026-05-29</t>
        </is>
      </c>
      <c r="B7547" s="3" t="inlineStr">
        <is>
          <t>세아제강지주</t>
        </is>
      </c>
      <c r="C7547" s="2" t="inlineStr">
        <is>
          <t>코스피</t>
        </is>
      </c>
      <c r="D7547" s="2" t="inlineStr">
        <is>
          <t>003030</t>
        </is>
      </c>
      <c r="E7547" s="3" t="inlineStr">
        <is>
          <t>대규모기업집단현황공시[연1회공시및1/4분기용(개별회사)]</t>
        </is>
      </c>
      <c r="F7547" s="3" t="inlineStr">
        <is>
          <t>세아제강지주</t>
        </is>
      </c>
      <c r="G7547" s="2" t="inlineStr">
        <is>
          <t>20260529001978</t>
        </is>
      </c>
      <c r="H7547" s="8">
        <f>HYPERLINK("https://dart.fss.or.kr/dsaf001/main.do?rcpNo=20260529001978", "공시열람")</f>
        <v/>
      </c>
    </row>
    <row r="7548">
      <c r="A7548" s="2" t="inlineStr">
        <is>
          <t>2026-05-29</t>
        </is>
      </c>
      <c r="B7548" s="3" t="inlineStr">
        <is>
          <t>교보증권</t>
        </is>
      </c>
      <c r="C7548" s="2" t="inlineStr">
        <is>
          <t>코스피</t>
        </is>
      </c>
      <c r="D7548" s="2" t="inlineStr">
        <is>
          <t>030610</t>
        </is>
      </c>
      <c r="E7548" s="3" t="inlineStr">
        <is>
          <t>투자설명서(일괄신고)</t>
        </is>
      </c>
      <c r="F7548" s="3" t="inlineStr">
        <is>
          <t>교보증권</t>
        </is>
      </c>
      <c r="G7548" s="2" t="inlineStr">
        <is>
          <t>20260529001975</t>
        </is>
      </c>
      <c r="H7548" s="8">
        <f>HYPERLINK("https://dart.fss.or.kr/dsaf001/main.do?rcpNo=20260529001975", "공시열람")</f>
        <v/>
      </c>
    </row>
    <row r="7549">
      <c r="A7549" s="2" t="inlineStr">
        <is>
          <t>2026-05-29</t>
        </is>
      </c>
      <c r="B7549" s="3" t="inlineStr">
        <is>
          <t>삼화콘덴서공업</t>
        </is>
      </c>
      <c r="C7549" s="2" t="inlineStr">
        <is>
          <t>코스피</t>
        </is>
      </c>
      <c r="D7549" s="2" t="inlineStr">
        <is>
          <t>001820</t>
        </is>
      </c>
      <c r="E7549" s="3" t="inlineStr">
        <is>
          <t xml:space="preserve">기업지배구조보고서공시              </t>
        </is>
      </c>
      <c r="F7549" s="3" t="inlineStr">
        <is>
          <t>삼화콘덴서공업</t>
        </is>
      </c>
      <c r="G7549" s="2" t="inlineStr">
        <is>
          <t>20260529801705</t>
        </is>
      </c>
      <c r="H7549" s="8">
        <f>HYPERLINK("https://dart.fss.or.kr/dsaf001/main.do?rcpNo=20260529801705", "공시열람")</f>
        <v/>
      </c>
    </row>
    <row r="7550">
      <c r="A7550" s="2" t="inlineStr">
        <is>
          <t>2026-05-29</t>
        </is>
      </c>
      <c r="B7550" s="3" t="inlineStr">
        <is>
          <t>현대위아</t>
        </is>
      </c>
      <c r="C7550" s="2" t="inlineStr">
        <is>
          <t>코스피</t>
        </is>
      </c>
      <c r="D7550" s="2" t="inlineStr">
        <is>
          <t>011210</t>
        </is>
      </c>
      <c r="E7550" s="3" t="inlineStr">
        <is>
          <t>대규모기업집단현황공시[연1회공시및1/4분기용(개별회사)]</t>
        </is>
      </c>
      <c r="F7550" s="3" t="inlineStr">
        <is>
          <t>현대위아</t>
        </is>
      </c>
      <c r="G7550" s="2" t="inlineStr">
        <is>
          <t>20260529001974</t>
        </is>
      </c>
      <c r="H7550" s="8">
        <f>HYPERLINK("https://dart.fss.or.kr/dsaf001/main.do?rcpNo=20260529001974", "공시열람")</f>
        <v/>
      </c>
    </row>
    <row r="7551">
      <c r="A7551" s="2" t="inlineStr">
        <is>
          <t>2026-05-29</t>
        </is>
      </c>
      <c r="B7551" s="3" t="inlineStr">
        <is>
          <t>자비스</t>
        </is>
      </c>
      <c r="C7551" s="2" t="inlineStr">
        <is>
          <t>코스닥</t>
        </is>
      </c>
      <c r="D7551" s="2" t="inlineStr">
        <is>
          <t>254120</t>
        </is>
      </c>
      <c r="E7551" s="3" t="inlineStr">
        <is>
          <t>주식매수선택권부여에관한신고</t>
        </is>
      </c>
      <c r="F7551" s="3" t="inlineStr">
        <is>
          <t>자비스</t>
        </is>
      </c>
      <c r="G7551" s="2" t="inlineStr">
        <is>
          <t>20260529001973</t>
        </is>
      </c>
      <c r="H7551" s="8">
        <f>HYPERLINK("https://dart.fss.or.kr/dsaf001/main.do?rcpNo=20260529001973", "공시열람")</f>
        <v/>
      </c>
    </row>
    <row r="7552">
      <c r="A7552" s="2" t="inlineStr">
        <is>
          <t>2026-05-29</t>
        </is>
      </c>
      <c r="B7552" s="3" t="inlineStr">
        <is>
          <t>한화투자증권</t>
        </is>
      </c>
      <c r="C7552" s="2" t="inlineStr">
        <is>
          <t>코스피</t>
        </is>
      </c>
      <c r="D7552" s="2" t="inlineStr">
        <is>
          <t>003530</t>
        </is>
      </c>
      <c r="E7552" s="3" t="inlineStr">
        <is>
          <t>증권발행실적보고서</t>
        </is>
      </c>
      <c r="F7552" s="3" t="inlineStr">
        <is>
          <t>한화투자증권</t>
        </is>
      </c>
      <c r="G7552" s="2" t="inlineStr">
        <is>
          <t>20260529001971</t>
        </is>
      </c>
      <c r="H7552" s="8">
        <f>HYPERLINK("https://dart.fss.or.kr/dsaf001/main.do?rcpNo=20260529001971", "공시열람")</f>
        <v/>
      </c>
    </row>
    <row r="7553">
      <c r="A7553" s="2" t="inlineStr">
        <is>
          <t>2026-05-29</t>
        </is>
      </c>
      <c r="B7553" s="3" t="inlineStr">
        <is>
          <t>현대글로비스</t>
        </is>
      </c>
      <c r="C7553" s="2" t="inlineStr">
        <is>
          <t>코스피</t>
        </is>
      </c>
      <c r="D7553" s="2" t="inlineStr">
        <is>
          <t>086280</t>
        </is>
      </c>
      <c r="E7553" s="3" t="inlineStr">
        <is>
          <t>대규모기업집단현황공시[연1회공시및1/4분기용(개별회사)]</t>
        </is>
      </c>
      <c r="F7553" s="3" t="inlineStr">
        <is>
          <t>현대글로비스</t>
        </is>
      </c>
      <c r="G7553" s="2" t="inlineStr">
        <is>
          <t>20260529001964</t>
        </is>
      </c>
      <c r="H7553" s="8">
        <f>HYPERLINK("https://dart.fss.or.kr/dsaf001/main.do?rcpNo=20260529001964", "공시열람")</f>
        <v/>
      </c>
    </row>
    <row r="7554">
      <c r="A7554" s="2" t="inlineStr">
        <is>
          <t>2026-05-29</t>
        </is>
      </c>
      <c r="B7554" s="3" t="inlineStr">
        <is>
          <t>오리콤</t>
        </is>
      </c>
      <c r="C7554" s="2" t="inlineStr">
        <is>
          <t>코스닥</t>
        </is>
      </c>
      <c r="D7554" s="2" t="inlineStr">
        <is>
          <t>010470</t>
        </is>
      </c>
      <c r="E7554" s="3" t="inlineStr">
        <is>
          <t>대규모기업집단현황공시[연1회공시및1/4분기용(개별회사)]</t>
        </is>
      </c>
      <c r="F7554" s="3" t="inlineStr">
        <is>
          <t>오리콤</t>
        </is>
      </c>
      <c r="G7554" s="2" t="inlineStr">
        <is>
          <t>20260529001961</t>
        </is>
      </c>
      <c r="H7554" s="8">
        <f>HYPERLINK("https://dart.fss.or.kr/dsaf001/main.do?rcpNo=20260529001961", "공시열람")</f>
        <v/>
      </c>
    </row>
    <row r="7555">
      <c r="A7555" s="2" t="inlineStr">
        <is>
          <t>2026-05-29</t>
        </is>
      </c>
      <c r="B7555" s="3" t="inlineStr">
        <is>
          <t>현대퓨처넷</t>
        </is>
      </c>
      <c r="C7555" s="2" t="inlineStr">
        <is>
          <t>코스피</t>
        </is>
      </c>
      <c r="D7555" s="2" t="inlineStr">
        <is>
          <t>126560</t>
        </is>
      </c>
      <c r="E7555" s="3" t="inlineStr">
        <is>
          <t xml:space="preserve">기업지배구조보고서공시              </t>
        </is>
      </c>
      <c r="F7555" s="3" t="inlineStr">
        <is>
          <t>현대퓨처넷</t>
        </is>
      </c>
      <c r="G7555" s="2" t="inlineStr">
        <is>
          <t>20260529801711</t>
        </is>
      </c>
      <c r="H7555" s="8">
        <f>HYPERLINK("https://dart.fss.or.kr/dsaf001/main.do?rcpNo=20260529801711", "공시열람")</f>
        <v/>
      </c>
    </row>
    <row r="7556">
      <c r="A7556" s="2" t="inlineStr">
        <is>
          <t>2026-05-29 (정정: 2026-06-09)</t>
        </is>
      </c>
      <c r="B7556" s="3" t="inlineStr">
        <is>
          <t>웰킵스하이텍</t>
        </is>
      </c>
      <c r="C7556" s="2" t="inlineStr">
        <is>
          <t>코스닥</t>
        </is>
      </c>
      <c r="D7556" s="2" t="inlineStr">
        <is>
          <t>043590</t>
        </is>
      </c>
      <c r="E7556" s="3" t="inlineStr">
        <is>
          <t>임원ㆍ주요주주특정증권등거래계획보고서 (정정: 20260609) (정정: 20260609)</t>
        </is>
      </c>
      <c r="F7556" s="3" t="inlineStr">
        <is>
          <t>웰킵스홀딩스</t>
        </is>
      </c>
      <c r="G7556" s="2" t="inlineStr">
        <is>
          <t>20260609000463</t>
        </is>
      </c>
      <c r="H7556" s="8">
        <f>HYPERLINK("https://dart.fss.or.kr/dsaf001/main.do?rcpNo=20260609000463", "공시열람")</f>
        <v/>
      </c>
    </row>
    <row r="7557">
      <c r="A7557" s="2" t="inlineStr">
        <is>
          <t>2026-05-29</t>
        </is>
      </c>
      <c r="B7557" s="3" t="inlineStr">
        <is>
          <t>대신증권</t>
        </is>
      </c>
      <c r="C7557" s="2" t="inlineStr">
        <is>
          <t>코스피</t>
        </is>
      </c>
      <c r="D7557" s="2" t="inlineStr">
        <is>
          <t>003540</t>
        </is>
      </c>
      <c r="E7557" s="3" t="inlineStr">
        <is>
          <t>증권발행실적보고서</t>
        </is>
      </c>
      <c r="F7557" s="3" t="inlineStr">
        <is>
          <t>대신증권</t>
        </is>
      </c>
      <c r="G7557" s="2" t="inlineStr">
        <is>
          <t>20260529001953</t>
        </is>
      </c>
      <c r="H7557" s="8">
        <f>HYPERLINK("https://dart.fss.or.kr/dsaf001/main.do?rcpNo=20260529001953", "공시열람")</f>
        <v/>
      </c>
    </row>
    <row r="7558">
      <c r="A7558" s="2" t="inlineStr">
        <is>
          <t>2026-05-29</t>
        </is>
      </c>
      <c r="B7558" s="3" t="inlineStr">
        <is>
          <t>셀레믹스</t>
        </is>
      </c>
      <c r="C7558" s="2" t="inlineStr">
        <is>
          <t>코스닥</t>
        </is>
      </c>
      <c r="D7558" s="2" t="inlineStr">
        <is>
          <t>331920</t>
        </is>
      </c>
      <c r="E7558" s="3" t="inlineStr">
        <is>
          <t xml:space="preserve">증권발행결과(자율공시)              </t>
        </is>
      </c>
      <c r="F7558" s="3" t="inlineStr">
        <is>
          <t>셀레믹스</t>
        </is>
      </c>
      <c r="G7558" s="2" t="inlineStr">
        <is>
          <t>20260529901714</t>
        </is>
      </c>
      <c r="H7558" s="8">
        <f>HYPERLINK("https://dart.fss.or.kr/dsaf001/main.do?rcpNo=20260529901714", "공시열람")</f>
        <v/>
      </c>
    </row>
    <row r="7559">
      <c r="A7559" s="2" t="inlineStr">
        <is>
          <t>2026-05-29</t>
        </is>
      </c>
      <c r="B7559" s="3" t="inlineStr">
        <is>
          <t>현대건설</t>
        </is>
      </c>
      <c r="C7559" s="2" t="inlineStr">
        <is>
          <t>코스피</t>
        </is>
      </c>
      <c r="D7559" s="2" t="inlineStr">
        <is>
          <t>000720</t>
        </is>
      </c>
      <c r="E7559" s="3" t="inlineStr">
        <is>
          <t>대규모기업집단현황공시[연1회공시및1/4분기용(개별회사)]</t>
        </is>
      </c>
      <c r="F7559" s="3" t="inlineStr">
        <is>
          <t>현대건설</t>
        </is>
      </c>
      <c r="G7559" s="2" t="inlineStr">
        <is>
          <t>20260529001950</t>
        </is>
      </c>
      <c r="H7559" s="8">
        <f>HYPERLINK("https://dart.fss.or.kr/dsaf001/main.do?rcpNo=20260529001950", "공시열람")</f>
        <v/>
      </c>
    </row>
    <row r="7560">
      <c r="A7560" s="2" t="inlineStr">
        <is>
          <t>2026-05-29</t>
        </is>
      </c>
      <c r="B7560" s="3" t="inlineStr">
        <is>
          <t>자비스</t>
        </is>
      </c>
      <c r="C7560" s="2" t="inlineStr">
        <is>
          <t>코스닥</t>
        </is>
      </c>
      <c r="D7560" s="2" t="inlineStr">
        <is>
          <t>254120</t>
        </is>
      </c>
      <c r="E7560" s="3" t="inlineStr">
        <is>
          <t>주식매수선택권부여에관한신고</t>
        </is>
      </c>
      <c r="F7560" s="3" t="inlineStr">
        <is>
          <t>자비스</t>
        </is>
      </c>
      <c r="G7560" s="2" t="inlineStr">
        <is>
          <t>20260529001949</t>
        </is>
      </c>
      <c r="H7560" s="8">
        <f>HYPERLINK("https://dart.fss.or.kr/dsaf001/main.do?rcpNo=20260529001949", "공시열람")</f>
        <v/>
      </c>
    </row>
    <row r="7561">
      <c r="A7561" s="2" t="inlineStr">
        <is>
          <t>2026-05-29</t>
        </is>
      </c>
      <c r="B7561" s="3" t="inlineStr">
        <is>
          <t>메리츠금융지주</t>
        </is>
      </c>
      <c r="C7561" s="2" t="inlineStr">
        <is>
          <t>코스피</t>
        </is>
      </c>
      <c r="D7561" s="2" t="inlineStr">
        <is>
          <t>138040</t>
        </is>
      </c>
      <c r="E7561" s="3" t="inlineStr">
        <is>
          <t>임원ㆍ주요주주특정증권등소유상황보고서</t>
        </is>
      </c>
      <c r="F7561" s="3" t="inlineStr">
        <is>
          <t>권동찬</t>
        </is>
      </c>
      <c r="G7561" s="2" t="inlineStr">
        <is>
          <t>20260529001946</t>
        </is>
      </c>
      <c r="H7561" s="8">
        <f>HYPERLINK("https://dart.fss.or.kr/dsaf001/main.do?rcpNo=20260529001946", "공시열람")</f>
        <v/>
      </c>
    </row>
    <row r="7562">
      <c r="A7562" s="2" t="inlineStr">
        <is>
          <t>2026-05-29</t>
        </is>
      </c>
      <c r="B7562" s="3" t="inlineStr">
        <is>
          <t>대신증권</t>
        </is>
      </c>
      <c r="C7562" s="2" t="inlineStr">
        <is>
          <t>코스피</t>
        </is>
      </c>
      <c r="D7562" s="2" t="inlineStr">
        <is>
          <t>003540</t>
        </is>
      </c>
      <c r="E7562" s="3" t="inlineStr">
        <is>
          <t>증권발행실적보고서</t>
        </is>
      </c>
      <c r="F7562" s="3" t="inlineStr">
        <is>
          <t>대신증권</t>
        </is>
      </c>
      <c r="G7562" s="2" t="inlineStr">
        <is>
          <t>20260529001943</t>
        </is>
      </c>
      <c r="H7562" s="8">
        <f>HYPERLINK("https://dart.fss.or.kr/dsaf001/main.do?rcpNo=20260529001943", "공시열람")</f>
        <v/>
      </c>
    </row>
    <row r="7563">
      <c r="A7563" s="2" t="inlineStr">
        <is>
          <t>2026-05-29</t>
        </is>
      </c>
      <c r="B7563" s="3" t="inlineStr">
        <is>
          <t>현대로템</t>
        </is>
      </c>
      <c r="C7563" s="2" t="inlineStr">
        <is>
          <t>코스피</t>
        </is>
      </c>
      <c r="D7563" s="2" t="inlineStr">
        <is>
          <t>064350</t>
        </is>
      </c>
      <c r="E7563" s="3" t="inlineStr">
        <is>
          <t>대규모기업집단현황공시[연1회공시및1/4분기용(개별회사)]</t>
        </is>
      </c>
      <c r="F7563" s="3" t="inlineStr">
        <is>
          <t>현대로템</t>
        </is>
      </c>
      <c r="G7563" s="2" t="inlineStr">
        <is>
          <t>20260529001941</t>
        </is>
      </c>
      <c r="H7563" s="8">
        <f>HYPERLINK("https://dart.fss.or.kr/dsaf001/main.do?rcpNo=20260529001941", "공시열람")</f>
        <v/>
      </c>
    </row>
    <row r="7564">
      <c r="A7564" s="2" t="inlineStr">
        <is>
          <t>2026-05-29</t>
        </is>
      </c>
      <c r="B7564" s="3" t="inlineStr">
        <is>
          <t>일진디스플</t>
        </is>
      </c>
      <c r="C7564" s="2" t="inlineStr">
        <is>
          <t>코스피</t>
        </is>
      </c>
      <c r="D7564" s="2" t="inlineStr">
        <is>
          <t>020760</t>
        </is>
      </c>
      <c r="E7564" s="3" t="inlineStr">
        <is>
          <t xml:space="preserve">기업지배구조보고서공시              </t>
        </is>
      </c>
      <c r="F7564" s="3" t="inlineStr">
        <is>
          <t>일진디스플</t>
        </is>
      </c>
      <c r="G7564" s="2" t="inlineStr">
        <is>
          <t>20260529801697</t>
        </is>
      </c>
      <c r="H7564" s="8">
        <f>HYPERLINK("https://dart.fss.or.kr/dsaf001/main.do?rcpNo=20260529801697", "공시열람")</f>
        <v/>
      </c>
    </row>
    <row r="7565">
      <c r="A7565" s="2" t="inlineStr">
        <is>
          <t>2026-05-29</t>
        </is>
      </c>
      <c r="B7565" s="3" t="inlineStr">
        <is>
          <t>교보증권</t>
        </is>
      </c>
      <c r="C7565" s="2" t="inlineStr">
        <is>
          <t>코스피</t>
        </is>
      </c>
      <c r="D7565" s="2" t="inlineStr">
        <is>
          <t>030610</t>
        </is>
      </c>
      <c r="E7565" s="3" t="inlineStr">
        <is>
          <t>대규모기업집단현황공시[연1회공시및1/4분기용(개별회사)]</t>
        </is>
      </c>
      <c r="F7565" s="3" t="inlineStr">
        <is>
          <t>교보증권</t>
        </is>
      </c>
      <c r="G7565" s="2" t="inlineStr">
        <is>
          <t>20260529001935</t>
        </is>
      </c>
      <c r="H7565" s="8">
        <f>HYPERLINK("https://dart.fss.or.kr/dsaf001/main.do?rcpNo=20260529001935", "공시열람")</f>
        <v/>
      </c>
    </row>
    <row r="7566">
      <c r="A7566" s="2" t="inlineStr">
        <is>
          <t>2026-05-29</t>
        </is>
      </c>
      <c r="B7566" s="3" t="inlineStr">
        <is>
          <t>금호건설</t>
        </is>
      </c>
      <c r="C7566" s="2" t="inlineStr">
        <is>
          <t>코스피</t>
        </is>
      </c>
      <c r="D7566" s="2" t="inlineStr">
        <is>
          <t>002990</t>
        </is>
      </c>
      <c r="E7566" s="3" t="inlineStr">
        <is>
          <t xml:space="preserve">기업지배구조보고서공시              </t>
        </is>
      </c>
      <c r="F7566" s="3" t="inlineStr">
        <is>
          <t>금호건설</t>
        </is>
      </c>
      <c r="G7566" s="2" t="inlineStr">
        <is>
          <t>20260529801677</t>
        </is>
      </c>
      <c r="H7566" s="8">
        <f>HYPERLINK("https://dart.fss.or.kr/dsaf001/main.do?rcpNo=20260529801677", "공시열람")</f>
        <v/>
      </c>
    </row>
    <row r="7567">
      <c r="A7567" s="2" t="inlineStr">
        <is>
          <t>2026-05-29</t>
        </is>
      </c>
      <c r="B7567" s="3" t="inlineStr">
        <is>
          <t>HD건설기계</t>
        </is>
      </c>
      <c r="C7567" s="2" t="inlineStr">
        <is>
          <t>코스피</t>
        </is>
      </c>
      <c r="D7567" s="2" t="inlineStr">
        <is>
          <t>267270</t>
        </is>
      </c>
      <c r="E7567" s="3" t="inlineStr">
        <is>
          <t xml:space="preserve">기업지배구조보고서공시              </t>
        </is>
      </c>
      <c r="F7567" s="3" t="inlineStr">
        <is>
          <t>HD건설기계</t>
        </is>
      </c>
      <c r="G7567" s="2" t="inlineStr">
        <is>
          <t>20260529801688</t>
        </is>
      </c>
      <c r="H7567" s="8">
        <f>HYPERLINK("https://dart.fss.or.kr/dsaf001/main.do?rcpNo=20260529801688", "공시열람")</f>
        <v/>
      </c>
    </row>
    <row r="7568">
      <c r="A7568" s="2" t="inlineStr">
        <is>
          <t>2026-05-29</t>
        </is>
      </c>
      <c r="B7568" s="3" t="inlineStr">
        <is>
          <t>환인제약</t>
        </is>
      </c>
      <c r="C7568" s="2" t="inlineStr">
        <is>
          <t>코스피</t>
        </is>
      </c>
      <c r="D7568" s="2" t="inlineStr">
        <is>
          <t>016580</t>
        </is>
      </c>
      <c r="E7568" s="3" t="inlineStr">
        <is>
          <t xml:space="preserve">기업지배구조보고서공시              </t>
        </is>
      </c>
      <c r="F7568" s="3" t="inlineStr">
        <is>
          <t>환인제약</t>
        </is>
      </c>
      <c r="G7568" s="2" t="inlineStr">
        <is>
          <t>20260529801667</t>
        </is>
      </c>
      <c r="H7568" s="8">
        <f>HYPERLINK("https://dart.fss.or.kr/dsaf001/main.do?rcpNo=20260529801667", "공시열람")</f>
        <v/>
      </c>
    </row>
    <row r="7569">
      <c r="A7569" s="2" t="inlineStr">
        <is>
          <t>2026-05-29</t>
        </is>
      </c>
      <c r="B7569" s="3" t="inlineStr">
        <is>
          <t>대신증권</t>
        </is>
      </c>
      <c r="C7569" s="2" t="inlineStr">
        <is>
          <t>코스피</t>
        </is>
      </c>
      <c r="D7569" s="2" t="inlineStr">
        <is>
          <t>003540</t>
        </is>
      </c>
      <c r="E7569" s="3" t="inlineStr">
        <is>
          <t>증권발행실적보고서</t>
        </is>
      </c>
      <c r="F7569" s="3" t="inlineStr">
        <is>
          <t>대신증권</t>
        </is>
      </c>
      <c r="G7569" s="2" t="inlineStr">
        <is>
          <t>20260529001928</t>
        </is>
      </c>
      <c r="H7569" s="8">
        <f>HYPERLINK("https://dart.fss.or.kr/dsaf001/main.do?rcpNo=20260529001928", "공시열람")</f>
        <v/>
      </c>
    </row>
    <row r="7570">
      <c r="A7570" s="2" t="inlineStr">
        <is>
          <t>2026-05-29</t>
        </is>
      </c>
      <c r="B7570" s="3" t="inlineStr">
        <is>
          <t>메리츠금융지주</t>
        </is>
      </c>
      <c r="C7570" s="2" t="inlineStr">
        <is>
          <t>코스피</t>
        </is>
      </c>
      <c r="D7570" s="2" t="inlineStr">
        <is>
          <t>138040</t>
        </is>
      </c>
      <c r="E7570" s="3" t="inlineStr">
        <is>
          <t>임원ㆍ주요주주특정증권등소유상황보고서</t>
        </is>
      </c>
      <c r="F7570" s="3" t="inlineStr">
        <is>
          <t>여은석</t>
        </is>
      </c>
      <c r="G7570" s="2" t="inlineStr">
        <is>
          <t>20260529001927</t>
        </is>
      </c>
      <c r="H7570" s="8">
        <f>HYPERLINK("https://dart.fss.or.kr/dsaf001/main.do?rcpNo=20260529001927", "공시열람")</f>
        <v/>
      </c>
    </row>
    <row r="7571">
      <c r="A7571" s="2" t="inlineStr">
        <is>
          <t>2026-05-29</t>
        </is>
      </c>
      <c r="B7571" s="3" t="inlineStr">
        <is>
          <t>DRB동일</t>
        </is>
      </c>
      <c r="C7571" s="2" t="inlineStr">
        <is>
          <t>코스피</t>
        </is>
      </c>
      <c r="D7571" s="2" t="inlineStr">
        <is>
          <t>004840</t>
        </is>
      </c>
      <c r="E7571" s="3" t="inlineStr">
        <is>
          <t xml:space="preserve">기업지배구조보고서공시              </t>
        </is>
      </c>
      <c r="F7571" s="3" t="inlineStr">
        <is>
          <t>DRB동일</t>
        </is>
      </c>
      <c r="G7571" s="2" t="inlineStr">
        <is>
          <t>20260529801692</t>
        </is>
      </c>
      <c r="H7571" s="8">
        <f>HYPERLINK("https://dart.fss.or.kr/dsaf001/main.do?rcpNo=20260529801692", "공시열람")</f>
        <v/>
      </c>
    </row>
    <row r="7572">
      <c r="A7572" s="2" t="inlineStr">
        <is>
          <t>2026-05-29 (정정: 2026-06-04)</t>
        </is>
      </c>
      <c r="B7572" s="3" t="inlineStr">
        <is>
          <t>SK디스커버리</t>
        </is>
      </c>
      <c r="C7572" s="2" t="inlineStr">
        <is>
          <t>코스피</t>
        </is>
      </c>
      <c r="D7572" s="2" t="inlineStr">
        <is>
          <t>006120</t>
        </is>
      </c>
      <c r="E7572" s="3" t="inlineStr">
        <is>
          <t>기업지배구조보고서공시               (정정: 20260529) (정정: 20260529) (정정: 20260604)</t>
        </is>
      </c>
      <c r="F7572" s="3" t="inlineStr">
        <is>
          <t>SK디스커버리</t>
        </is>
      </c>
      <c r="G7572" s="2" t="inlineStr">
        <is>
          <t>20260604800686</t>
        </is>
      </c>
      <c r="H7572" s="8">
        <f>HYPERLINK("https://dart.fss.or.kr/dsaf001/main.do?rcpNo=20260604800686", "공시열람")</f>
        <v/>
      </c>
    </row>
    <row r="7573">
      <c r="A7573" s="2" t="inlineStr">
        <is>
          <t>2026-05-29</t>
        </is>
      </c>
      <c r="B7573" s="3" t="inlineStr">
        <is>
          <t>세아제강</t>
        </is>
      </c>
      <c r="C7573" s="2" t="inlineStr">
        <is>
          <t>코스피</t>
        </is>
      </c>
      <c r="D7573" s="2" t="inlineStr">
        <is>
          <t>306200</t>
        </is>
      </c>
      <c r="E7573" s="3" t="inlineStr">
        <is>
          <t>대규모기업집단현황공시[연1회공시및1/4분기용(개별회사)]</t>
        </is>
      </c>
      <c r="F7573" s="3" t="inlineStr">
        <is>
          <t>세아제강</t>
        </is>
      </c>
      <c r="G7573" s="2" t="inlineStr">
        <is>
          <t>20260529001922</t>
        </is>
      </c>
      <c r="H7573" s="8">
        <f>HYPERLINK("https://dart.fss.or.kr/dsaf001/main.do?rcpNo=20260529001922", "공시열람")</f>
        <v/>
      </c>
    </row>
    <row r="7574">
      <c r="A7574" s="2" t="inlineStr">
        <is>
          <t>2026-05-29</t>
        </is>
      </c>
      <c r="B7574" s="3" t="inlineStr">
        <is>
          <t>한컴라이프케어</t>
        </is>
      </c>
      <c r="C7574" s="2" t="inlineStr">
        <is>
          <t>코스피</t>
        </is>
      </c>
      <c r="D7574" s="2" t="inlineStr">
        <is>
          <t>372910</t>
        </is>
      </c>
      <c r="E7574" s="3" t="inlineStr">
        <is>
          <t xml:space="preserve">기업지배구조보고서공시              </t>
        </is>
      </c>
      <c r="F7574" s="3" t="inlineStr">
        <is>
          <t>한컴라이프케어</t>
        </is>
      </c>
      <c r="G7574" s="2" t="inlineStr">
        <is>
          <t>20260529801671</t>
        </is>
      </c>
      <c r="H7574" s="8">
        <f>HYPERLINK("https://dart.fss.or.kr/dsaf001/main.do?rcpNo=20260529801671", "공시열람")</f>
        <v/>
      </c>
    </row>
    <row r="7575">
      <c r="A7575" s="2" t="inlineStr">
        <is>
          <t>2026-05-29</t>
        </is>
      </c>
      <c r="B7575" s="3" t="inlineStr">
        <is>
          <t>대신증권</t>
        </is>
      </c>
      <c r="C7575" s="2" t="inlineStr">
        <is>
          <t>코스피</t>
        </is>
      </c>
      <c r="D7575" s="2" t="inlineStr">
        <is>
          <t>003540</t>
        </is>
      </c>
      <c r="E7575" s="3" t="inlineStr">
        <is>
          <t>투자설명서(일괄신고)</t>
        </is>
      </c>
      <c r="F7575" s="3" t="inlineStr">
        <is>
          <t>대신증권</t>
        </is>
      </c>
      <c r="G7575" s="2" t="inlineStr">
        <is>
          <t>20260529001919</t>
        </is>
      </c>
      <c r="H7575" s="8">
        <f>HYPERLINK("https://dart.fss.or.kr/dsaf001/main.do?rcpNo=20260529001919", "공시열람")</f>
        <v/>
      </c>
    </row>
    <row r="7576">
      <c r="A7576" s="2" t="inlineStr">
        <is>
          <t>2026-05-29</t>
        </is>
      </c>
      <c r="B7576" s="3" t="inlineStr">
        <is>
          <t>신세계</t>
        </is>
      </c>
      <c r="C7576" s="2" t="inlineStr">
        <is>
          <t>코스피</t>
        </is>
      </c>
      <c r="D7576" s="2" t="inlineStr">
        <is>
          <t>004170</t>
        </is>
      </c>
      <c r="E7576" s="3" t="inlineStr">
        <is>
          <t xml:space="preserve">기업지배구조보고서공시              </t>
        </is>
      </c>
      <c r="F7576" s="3" t="inlineStr">
        <is>
          <t>신세계</t>
        </is>
      </c>
      <c r="G7576" s="2" t="inlineStr">
        <is>
          <t>20260529801673</t>
        </is>
      </c>
      <c r="H7576" s="8">
        <f>HYPERLINK("https://dart.fss.or.kr/dsaf001/main.do?rcpNo=20260529801673", "공시열람")</f>
        <v/>
      </c>
    </row>
    <row r="7577">
      <c r="A7577" s="2" t="inlineStr">
        <is>
          <t>2026-05-29</t>
        </is>
      </c>
      <c r="B7577" s="3" t="inlineStr">
        <is>
          <t>진에어</t>
        </is>
      </c>
      <c r="C7577" s="2" t="inlineStr">
        <is>
          <t>코스피</t>
        </is>
      </c>
      <c r="D7577" s="2" t="inlineStr">
        <is>
          <t>272450</t>
        </is>
      </c>
      <c r="E7577" s="3" t="inlineStr">
        <is>
          <t>대규모기업집단현황공시[연1회공시및1/4분기용(개별회사)]</t>
        </is>
      </c>
      <c r="F7577" s="3" t="inlineStr">
        <is>
          <t>진에어</t>
        </is>
      </c>
      <c r="G7577" s="2" t="inlineStr">
        <is>
          <t>20260529001916</t>
        </is>
      </c>
      <c r="H7577" s="8">
        <f>HYPERLINK("https://dart.fss.or.kr/dsaf001/main.do?rcpNo=20260529001916", "공시열람")</f>
        <v/>
      </c>
    </row>
    <row r="7578">
      <c r="A7578" s="2" t="inlineStr">
        <is>
          <t>2026-05-29</t>
        </is>
      </c>
      <c r="B7578" s="3" t="inlineStr">
        <is>
          <t>LX하우시스</t>
        </is>
      </c>
      <c r="C7578" s="2" t="inlineStr">
        <is>
          <t>코스피</t>
        </is>
      </c>
      <c r="D7578" s="2" t="inlineStr">
        <is>
          <t>108670</t>
        </is>
      </c>
      <c r="E7578" s="3" t="inlineStr">
        <is>
          <t>대규모기업집단현황공시[연1회공시및1/4분기용(개별회사)]</t>
        </is>
      </c>
      <c r="F7578" s="3" t="inlineStr">
        <is>
          <t>LX하우시스</t>
        </is>
      </c>
      <c r="G7578" s="2" t="inlineStr">
        <is>
          <t>20260529001910</t>
        </is>
      </c>
      <c r="H7578" s="8">
        <f>HYPERLINK("https://dart.fss.or.kr/dsaf001/main.do?rcpNo=20260529001910", "공시열람")</f>
        <v/>
      </c>
    </row>
    <row r="7579">
      <c r="A7579" s="2" t="inlineStr">
        <is>
          <t>2026-05-29</t>
        </is>
      </c>
      <c r="B7579" s="3" t="inlineStr">
        <is>
          <t>한국자산신탁</t>
        </is>
      </c>
      <c r="C7579" s="2" t="inlineStr">
        <is>
          <t>코스피</t>
        </is>
      </c>
      <c r="D7579" s="2" t="inlineStr">
        <is>
          <t>123890</t>
        </is>
      </c>
      <c r="E7579" s="3" t="inlineStr">
        <is>
          <t xml:space="preserve">기업지배구조보고서공시              </t>
        </is>
      </c>
      <c r="F7579" s="3" t="inlineStr">
        <is>
          <t>한국자산신탁</t>
        </is>
      </c>
      <c r="G7579" s="2" t="inlineStr">
        <is>
          <t>20260529801655</t>
        </is>
      </c>
      <c r="H7579" s="8">
        <f>HYPERLINK("https://dart.fss.or.kr/dsaf001/main.do?rcpNo=20260529801655", "공시열람")</f>
        <v/>
      </c>
    </row>
    <row r="7580">
      <c r="A7580" s="2" t="inlineStr">
        <is>
          <t>2026-05-29</t>
        </is>
      </c>
      <c r="B7580" s="3" t="inlineStr">
        <is>
          <t>쏘카</t>
        </is>
      </c>
      <c r="C7580" s="2" t="inlineStr">
        <is>
          <t>코스피</t>
        </is>
      </c>
      <c r="D7580" s="2" t="inlineStr">
        <is>
          <t>403550</t>
        </is>
      </c>
      <c r="E7580" s="3" t="inlineStr">
        <is>
          <t xml:space="preserve">기업지배구조보고서공시              </t>
        </is>
      </c>
      <c r="F7580" s="3" t="inlineStr">
        <is>
          <t>쏘카</t>
        </is>
      </c>
      <c r="G7580" s="2" t="inlineStr">
        <is>
          <t>20260529801662</t>
        </is>
      </c>
      <c r="H7580" s="8">
        <f>HYPERLINK("https://dart.fss.or.kr/dsaf001/main.do?rcpNo=20260529801662", "공시열람")</f>
        <v/>
      </c>
    </row>
    <row r="7581">
      <c r="A7581" s="2" t="inlineStr">
        <is>
          <t>2026-05-29</t>
        </is>
      </c>
      <c r="B7581" s="3" t="inlineStr">
        <is>
          <t>삼현</t>
        </is>
      </c>
      <c r="C7581" s="2" t="inlineStr">
        <is>
          <t>코스닥</t>
        </is>
      </c>
      <c r="D7581" s="2" t="inlineStr">
        <is>
          <t>437730</t>
        </is>
      </c>
      <c r="E7581" s="3" t="inlineStr">
        <is>
          <t xml:space="preserve">주주명부폐쇄기간또는기준일설정              </t>
        </is>
      </c>
      <c r="F7581" s="3" t="inlineStr">
        <is>
          <t>삼현</t>
        </is>
      </c>
      <c r="G7581" s="2" t="inlineStr">
        <is>
          <t>20260529901629</t>
        </is>
      </c>
      <c r="H7581" s="8">
        <f>HYPERLINK("https://dart.fss.or.kr/dsaf001/main.do?rcpNo=20260529901629", "공시열람")</f>
        <v/>
      </c>
    </row>
    <row r="7582">
      <c r="A7582" s="2" t="inlineStr">
        <is>
          <t>2026-05-29</t>
        </is>
      </c>
      <c r="B7582" s="3" t="inlineStr">
        <is>
          <t>세아베스틸지주</t>
        </is>
      </c>
      <c r="C7582" s="2" t="inlineStr">
        <is>
          <t>코스피</t>
        </is>
      </c>
      <c r="D7582" s="2" t="inlineStr">
        <is>
          <t>001430</t>
        </is>
      </c>
      <c r="E7582" s="3" t="inlineStr">
        <is>
          <t>대규모기업집단현황공시[연1회공시및1/4분기용(개별회사)]</t>
        </is>
      </c>
      <c r="F7582" s="3" t="inlineStr">
        <is>
          <t>세아베스틸지주</t>
        </is>
      </c>
      <c r="G7582" s="2" t="inlineStr">
        <is>
          <t>20260529001900</t>
        </is>
      </c>
      <c r="H7582" s="8">
        <f>HYPERLINK("https://dart.fss.or.kr/dsaf001/main.do?rcpNo=20260529001900", "공시열람")</f>
        <v/>
      </c>
    </row>
    <row r="7583">
      <c r="A7583" s="2" t="inlineStr">
        <is>
          <t>2026-05-29</t>
        </is>
      </c>
      <c r="B7583" s="3" t="inlineStr">
        <is>
          <t>마니커</t>
        </is>
      </c>
      <c r="C7583" s="2" t="inlineStr">
        <is>
          <t>코스피</t>
        </is>
      </c>
      <c r="D7583" s="2" t="inlineStr">
        <is>
          <t>027740</t>
        </is>
      </c>
      <c r="E7583" s="3" t="inlineStr">
        <is>
          <t xml:space="preserve">기업지배구조보고서공시              </t>
        </is>
      </c>
      <c r="F7583" s="3" t="inlineStr">
        <is>
          <t>마니커</t>
        </is>
      </c>
      <c r="G7583" s="2" t="inlineStr">
        <is>
          <t>20260529801631</t>
        </is>
      </c>
      <c r="H7583" s="8">
        <f>HYPERLINK("https://dart.fss.or.kr/dsaf001/main.do?rcpNo=20260529801631", "공시열람")</f>
        <v/>
      </c>
    </row>
    <row r="7584">
      <c r="A7584" s="2" t="inlineStr">
        <is>
          <t>2026-05-29</t>
        </is>
      </c>
      <c r="B7584" s="3" t="inlineStr">
        <is>
          <t>SK바이오사이언스</t>
        </is>
      </c>
      <c r="C7584" s="2" t="inlineStr">
        <is>
          <t>코스피</t>
        </is>
      </c>
      <c r="D7584" s="2" t="inlineStr">
        <is>
          <t>302440</t>
        </is>
      </c>
      <c r="E7584" s="3" t="inlineStr">
        <is>
          <t>대규모기업집단현황공시[연1회공시및1/4분기용(개별회사)]</t>
        </is>
      </c>
      <c r="F7584" s="3" t="inlineStr">
        <is>
          <t>SK바이오사이언스</t>
        </is>
      </c>
      <c r="G7584" s="2" t="inlineStr">
        <is>
          <t>20260529001889</t>
        </is>
      </c>
      <c r="H7584" s="8">
        <f>HYPERLINK("https://dart.fss.or.kr/dsaf001/main.do?rcpNo=20260529001889", "공시열람")</f>
        <v/>
      </c>
    </row>
    <row r="7585">
      <c r="A7585" s="2" t="inlineStr">
        <is>
          <t>2026-05-29</t>
        </is>
      </c>
      <c r="B7585" s="3" t="inlineStr">
        <is>
          <t>HD현대일렉트릭</t>
        </is>
      </c>
      <c r="C7585" s="2" t="inlineStr">
        <is>
          <t>코스피</t>
        </is>
      </c>
      <c r="D7585" s="2" t="inlineStr">
        <is>
          <t>267260</t>
        </is>
      </c>
      <c r="E7585" s="3" t="inlineStr">
        <is>
          <t xml:space="preserve">기업지배구조보고서공시              </t>
        </is>
      </c>
      <c r="F7585" s="3" t="inlineStr">
        <is>
          <t>HD현대일렉트릭</t>
        </is>
      </c>
      <c r="G7585" s="2" t="inlineStr">
        <is>
          <t>20260529801538</t>
        </is>
      </c>
      <c r="H7585" s="8">
        <f>HYPERLINK("https://dart.fss.or.kr/dsaf001/main.do?rcpNo=20260529801538", "공시열람")</f>
        <v/>
      </c>
    </row>
    <row r="7586">
      <c r="A7586" s="2" t="inlineStr">
        <is>
          <t>2026-05-29</t>
        </is>
      </c>
      <c r="B7586" s="3" t="inlineStr">
        <is>
          <t>동일고무벨트</t>
        </is>
      </c>
      <c r="C7586" s="2" t="inlineStr">
        <is>
          <t>코스피</t>
        </is>
      </c>
      <c r="D7586" s="2" t="inlineStr">
        <is>
          <t>163560</t>
        </is>
      </c>
      <c r="E7586" s="3" t="inlineStr">
        <is>
          <t xml:space="preserve">기업지배구조보고서공시              </t>
        </is>
      </c>
      <c r="F7586" s="3" t="inlineStr">
        <is>
          <t>동일고무벨트</t>
        </is>
      </c>
      <c r="G7586" s="2" t="inlineStr">
        <is>
          <t>20260529800613</t>
        </is>
      </c>
      <c r="H7586" s="8">
        <f>HYPERLINK("https://dart.fss.or.kr/dsaf001/main.do?rcpNo=20260529800613", "공시열람")</f>
        <v/>
      </c>
    </row>
    <row r="7587">
      <c r="A7587" s="2" t="inlineStr">
        <is>
          <t>2026-05-29</t>
        </is>
      </c>
      <c r="B7587" s="3" t="inlineStr">
        <is>
          <t>현대자동차</t>
        </is>
      </c>
      <c r="C7587" s="2" t="inlineStr">
        <is>
          <t>코스피</t>
        </is>
      </c>
      <c r="D7587" s="2" t="inlineStr">
        <is>
          <t>005380</t>
        </is>
      </c>
      <c r="E7587" s="3" t="inlineStr">
        <is>
          <t>대규모기업집단현황공시[연1회공시및1/4분기용(대표회사)]</t>
        </is>
      </c>
      <c r="F7587" s="3" t="inlineStr">
        <is>
          <t>현대자동차</t>
        </is>
      </c>
      <c r="G7587" s="2" t="inlineStr">
        <is>
          <t>20260529001880</t>
        </is>
      </c>
      <c r="H7587" s="8">
        <f>HYPERLINK("https://dart.fss.or.kr/dsaf001/main.do?rcpNo=20260529001880", "공시열람")</f>
        <v/>
      </c>
    </row>
    <row r="7588">
      <c r="A7588" s="2" t="inlineStr">
        <is>
          <t>2026-05-29</t>
        </is>
      </c>
      <c r="B7588" s="3" t="inlineStr">
        <is>
          <t>현대해상</t>
        </is>
      </c>
      <c r="C7588" s="2" t="inlineStr">
        <is>
          <t>코스피</t>
        </is>
      </c>
      <c r="D7588" s="2" t="inlineStr">
        <is>
          <t>001450</t>
        </is>
      </c>
      <c r="E7588" s="3" t="inlineStr">
        <is>
          <t>대규모기업집단현황공시[연1회공시및1/4분기용(대표회사)]</t>
        </is>
      </c>
      <c r="F7588" s="3" t="inlineStr">
        <is>
          <t>현대해상</t>
        </is>
      </c>
      <c r="G7588" s="2" t="inlineStr">
        <is>
          <t>20260529001868</t>
        </is>
      </c>
      <c r="H7588" s="8">
        <f>HYPERLINK("https://dart.fss.or.kr/dsaf001/main.do?rcpNo=20260529001868", "공시열람")</f>
        <v/>
      </c>
    </row>
    <row r="7589">
      <c r="A7589" s="2" t="inlineStr">
        <is>
          <t>2026-05-29</t>
        </is>
      </c>
      <c r="B7589" s="3" t="inlineStr">
        <is>
          <t>한국제지</t>
        </is>
      </c>
      <c r="C7589" s="2" t="inlineStr">
        <is>
          <t>코스피</t>
        </is>
      </c>
      <c r="D7589" s="2" t="inlineStr">
        <is>
          <t>027970</t>
        </is>
      </c>
      <c r="E7589" s="3" t="inlineStr">
        <is>
          <t xml:space="preserve">기업지배구조보고서공시              </t>
        </is>
      </c>
      <c r="F7589" s="3" t="inlineStr">
        <is>
          <t>한국제지</t>
        </is>
      </c>
      <c r="G7589" s="2" t="inlineStr">
        <is>
          <t>20260529801627</t>
        </is>
      </c>
      <c r="H7589" s="8">
        <f>HYPERLINK("https://dart.fss.or.kr/dsaf001/main.do?rcpNo=20260529801627", "공시열람")</f>
        <v/>
      </c>
    </row>
    <row r="7590">
      <c r="A7590" s="2" t="inlineStr">
        <is>
          <t>2026-05-29</t>
        </is>
      </c>
      <c r="B7590" s="3" t="inlineStr">
        <is>
          <t>한화투자증권</t>
        </is>
      </c>
      <c r="C7590" s="2" t="inlineStr">
        <is>
          <t>코스피</t>
        </is>
      </c>
      <c r="D7590" s="2" t="inlineStr">
        <is>
          <t>003530</t>
        </is>
      </c>
      <c r="E7590" s="3" t="inlineStr">
        <is>
          <t>증권발행실적보고서</t>
        </is>
      </c>
      <c r="F7590" s="3" t="inlineStr">
        <is>
          <t>한화투자증권</t>
        </is>
      </c>
      <c r="G7590" s="2" t="inlineStr">
        <is>
          <t>20260529001866</t>
        </is>
      </c>
      <c r="H7590" s="8">
        <f>HYPERLINK("https://dart.fss.or.kr/dsaf001/main.do?rcpNo=20260529001866", "공시열람")</f>
        <v/>
      </c>
    </row>
    <row r="7591">
      <c r="A7591" s="2" t="inlineStr">
        <is>
          <t>2026-05-29</t>
        </is>
      </c>
      <c r="B7591" s="3" t="inlineStr">
        <is>
          <t>휴마시스</t>
        </is>
      </c>
      <c r="C7591" s="2" t="inlineStr">
        <is>
          <t>코스닥</t>
        </is>
      </c>
      <c r="D7591" s="2" t="inlineStr">
        <is>
          <t>205470</t>
        </is>
      </c>
      <c r="E7591" s="3" t="inlineStr">
        <is>
          <t>임원ㆍ주요주주특정증권등소유상황보고서</t>
        </is>
      </c>
      <c r="F7591" s="3" t="inlineStr">
        <is>
          <t>인콘</t>
        </is>
      </c>
      <c r="G7591" s="2" t="inlineStr">
        <is>
          <t>20260529001867</t>
        </is>
      </c>
      <c r="H7591" s="8">
        <f>HYPERLINK("https://dart.fss.or.kr/dsaf001/main.do?rcpNo=20260529001867", "공시열람")</f>
        <v/>
      </c>
    </row>
    <row r="7592">
      <c r="A7592" s="2" t="inlineStr">
        <is>
          <t>2026-05-29</t>
        </is>
      </c>
      <c r="B7592" s="3" t="inlineStr">
        <is>
          <t>DB하이텍</t>
        </is>
      </c>
      <c r="C7592" s="2" t="inlineStr">
        <is>
          <t>코스피</t>
        </is>
      </c>
      <c r="D7592" s="2" t="inlineStr">
        <is>
          <t>000990</t>
        </is>
      </c>
      <c r="E7592" s="3" t="inlineStr">
        <is>
          <t>대규모기업집단현황공시[연1회공시및1/4분기용(개별회사)]</t>
        </is>
      </c>
      <c r="F7592" s="3" t="inlineStr">
        <is>
          <t>DB하이텍</t>
        </is>
      </c>
      <c r="G7592" s="2" t="inlineStr">
        <is>
          <t>20260529001864</t>
        </is>
      </c>
      <c r="H7592" s="8">
        <f>HYPERLINK("https://dart.fss.or.kr/dsaf001/main.do?rcpNo=20260529001864", "공시열람")</f>
        <v/>
      </c>
    </row>
    <row r="7593">
      <c r="A7593" s="2" t="inlineStr">
        <is>
          <t>2026-05-29</t>
        </is>
      </c>
      <c r="B7593" s="3" t="inlineStr">
        <is>
          <t>SK증권</t>
        </is>
      </c>
      <c r="C7593" s="2" t="inlineStr">
        <is>
          <t>코스피</t>
        </is>
      </c>
      <c r="D7593" s="2" t="inlineStr">
        <is>
          <t>001510</t>
        </is>
      </c>
      <c r="E7593" s="3" t="inlineStr">
        <is>
          <t>투자설명서(일괄신고)</t>
        </is>
      </c>
      <c r="F7593" s="3" t="inlineStr">
        <is>
          <t>SK증권</t>
        </is>
      </c>
      <c r="G7593" s="2" t="inlineStr">
        <is>
          <t>20260529001863</t>
        </is>
      </c>
      <c r="H7593" s="8">
        <f>HYPERLINK("https://dart.fss.or.kr/dsaf001/main.do?rcpNo=20260529001863", "공시열람")</f>
        <v/>
      </c>
    </row>
    <row r="7594">
      <c r="A7594" s="2" t="inlineStr">
        <is>
          <t>2026-05-29</t>
        </is>
      </c>
      <c r="B7594" s="3" t="inlineStr">
        <is>
          <t>교보증권</t>
        </is>
      </c>
      <c r="C7594" s="2" t="inlineStr">
        <is>
          <t>코스피</t>
        </is>
      </c>
      <c r="D7594" s="2" t="inlineStr">
        <is>
          <t>030610</t>
        </is>
      </c>
      <c r="E7594" s="3" t="inlineStr">
        <is>
          <t>증권발행실적보고서</t>
        </is>
      </c>
      <c r="F7594" s="3" t="inlineStr">
        <is>
          <t>교보증권</t>
        </is>
      </c>
      <c r="G7594" s="2" t="inlineStr">
        <is>
          <t>20260529001862</t>
        </is>
      </c>
      <c r="H7594" s="8">
        <f>HYPERLINK("https://dart.fss.or.kr/dsaf001/main.do?rcpNo=20260529001862", "공시열람")</f>
        <v/>
      </c>
    </row>
    <row r="7595">
      <c r="A7595" s="2" t="inlineStr">
        <is>
          <t>2026-05-29</t>
        </is>
      </c>
      <c r="B7595" s="3" t="inlineStr">
        <is>
          <t>엠로</t>
        </is>
      </c>
      <c r="C7595" s="2" t="inlineStr">
        <is>
          <t>코스닥</t>
        </is>
      </c>
      <c r="D7595" s="2" t="inlineStr">
        <is>
          <t>058970</t>
        </is>
      </c>
      <c r="E7595" s="3" t="inlineStr">
        <is>
          <t>[기재정정]주식매수선택권부여에관한신고</t>
        </is>
      </c>
      <c r="F7595" s="3" t="inlineStr">
        <is>
          <t>엠로</t>
        </is>
      </c>
      <c r="G7595" s="2" t="inlineStr">
        <is>
          <t>20260529001861</t>
        </is>
      </c>
      <c r="H7595" s="8">
        <f>HYPERLINK("https://dart.fss.or.kr/dsaf001/main.do?rcpNo=20260529001861", "공시열람")</f>
        <v/>
      </c>
    </row>
    <row r="7596">
      <c r="A7596" s="2" t="inlineStr">
        <is>
          <t>2026-05-29</t>
        </is>
      </c>
      <c r="B7596" s="3" t="inlineStr">
        <is>
          <t>SK증권</t>
        </is>
      </c>
      <c r="C7596" s="2" t="inlineStr">
        <is>
          <t>코스피</t>
        </is>
      </c>
      <c r="D7596" s="2" t="inlineStr">
        <is>
          <t>001510</t>
        </is>
      </c>
      <c r="E7596" s="3" t="inlineStr">
        <is>
          <t xml:space="preserve">지속가능경영보고서등관련사항(자율공시)              </t>
        </is>
      </c>
      <c r="F7596" s="3" t="inlineStr">
        <is>
          <t>SK증권</t>
        </is>
      </c>
      <c r="G7596" s="2" t="inlineStr">
        <is>
          <t>20260529801633</t>
        </is>
      </c>
      <c r="H7596" s="8">
        <f>HYPERLINK("https://dart.fss.or.kr/dsaf001/main.do?rcpNo=20260529801633", "공시열람")</f>
        <v/>
      </c>
    </row>
    <row r="7597">
      <c r="A7597" s="2" t="inlineStr">
        <is>
          <t>2026-05-29</t>
        </is>
      </c>
      <c r="B7597" s="3" t="inlineStr">
        <is>
          <t>한울반도체</t>
        </is>
      </c>
      <c r="C7597" s="2" t="inlineStr">
        <is>
          <t>코스닥</t>
        </is>
      </c>
      <c r="D7597" s="2" t="inlineStr">
        <is>
          <t>320000</t>
        </is>
      </c>
      <c r="E7597" s="3" t="inlineStr">
        <is>
          <t>임원ㆍ주요주주특정증권등소유상황보고서</t>
        </is>
      </c>
      <c r="F7597" s="3" t="inlineStr">
        <is>
          <t>김백산</t>
        </is>
      </c>
      <c r="G7597" s="2" t="inlineStr">
        <is>
          <t>20260529001860</t>
        </is>
      </c>
      <c r="H7597" s="8">
        <f>HYPERLINK("https://dart.fss.or.kr/dsaf001/main.do?rcpNo=20260529001860", "공시열람")</f>
        <v/>
      </c>
    </row>
    <row r="7598">
      <c r="A7598" s="2" t="inlineStr">
        <is>
          <t>2026-05-29</t>
        </is>
      </c>
      <c r="B7598" s="3" t="inlineStr">
        <is>
          <t>파라다이스</t>
        </is>
      </c>
      <c r="C7598" s="2" t="inlineStr">
        <is>
          <t>코스피</t>
        </is>
      </c>
      <c r="D7598" s="2" t="inlineStr">
        <is>
          <t>034230</t>
        </is>
      </c>
      <c r="E7598" s="3" t="inlineStr">
        <is>
          <t>대규모기업집단현황공시[연1회공시및1/4분기용(개별회사)]</t>
        </is>
      </c>
      <c r="F7598" s="3" t="inlineStr">
        <is>
          <t>파라다이스</t>
        </is>
      </c>
      <c r="G7598" s="2" t="inlineStr">
        <is>
          <t>20260529001855</t>
        </is>
      </c>
      <c r="H7598" s="8">
        <f>HYPERLINK("https://dart.fss.or.kr/dsaf001/main.do?rcpNo=20260529001855", "공시열람")</f>
        <v/>
      </c>
    </row>
    <row r="7599">
      <c r="A7599" s="2" t="inlineStr">
        <is>
          <t>2026-05-29</t>
        </is>
      </c>
      <c r="B7599" s="3" t="inlineStr">
        <is>
          <t>HLB생명과학</t>
        </is>
      </c>
      <c r="C7599" s="2" t="inlineStr">
        <is>
          <t>코스닥</t>
        </is>
      </c>
      <c r="D7599" s="2" t="inlineStr">
        <is>
          <t>067630</t>
        </is>
      </c>
      <c r="E7599" s="3" t="inlineStr">
        <is>
          <t>전환사채(해외전환사채포함)발행후만기전사채취득              (제13회차)</t>
        </is>
      </c>
      <c r="F7599" s="3" t="inlineStr">
        <is>
          <t>HLB생명과학</t>
        </is>
      </c>
      <c r="G7599" s="2" t="inlineStr">
        <is>
          <t>20260529901374</t>
        </is>
      </c>
      <c r="H7599" s="8">
        <f>HYPERLINK("https://dart.fss.or.kr/dsaf001/main.do?rcpNo=20260529901374", "공시열람")</f>
        <v/>
      </c>
    </row>
    <row r="7600">
      <c r="A7600" s="2" t="inlineStr">
        <is>
          <t>2026-05-29</t>
        </is>
      </c>
      <c r="B7600" s="3" t="inlineStr">
        <is>
          <t>신영증권</t>
        </is>
      </c>
      <c r="C7600" s="2" t="inlineStr">
        <is>
          <t>코스피</t>
        </is>
      </c>
      <c r="D7600" s="2" t="inlineStr">
        <is>
          <t>001720</t>
        </is>
      </c>
      <c r="E7600" s="3" t="inlineStr">
        <is>
          <t>투자설명서(일괄신고)</t>
        </is>
      </c>
      <c r="F7600" s="3" t="inlineStr">
        <is>
          <t>신영증권</t>
        </is>
      </c>
      <c r="G7600" s="2" t="inlineStr">
        <is>
          <t>20260529001847</t>
        </is>
      </c>
      <c r="H7600" s="8">
        <f>HYPERLINK("https://dart.fss.or.kr/dsaf001/main.do?rcpNo=20260529001847", "공시열람")</f>
        <v/>
      </c>
    </row>
    <row r="7601">
      <c r="A7601" s="2" t="inlineStr">
        <is>
          <t>2026-05-29</t>
        </is>
      </c>
      <c r="B7601" s="3" t="inlineStr">
        <is>
          <t>엘앤씨바이오</t>
        </is>
      </c>
      <c r="C7601" s="2" t="inlineStr">
        <is>
          <t>코스닥</t>
        </is>
      </c>
      <c r="D7601" s="2" t="inlineStr">
        <is>
          <t>290650</t>
        </is>
      </c>
      <c r="E7601" s="3" t="inlineStr">
        <is>
          <t>사외이사의선임ㆍ해임또는중도퇴임에관한신고</t>
        </is>
      </c>
      <c r="F7601" s="3" t="inlineStr">
        <is>
          <t>엘앤씨바이오</t>
        </is>
      </c>
      <c r="G7601" s="2" t="inlineStr">
        <is>
          <t>20260529001846</t>
        </is>
      </c>
      <c r="H7601" s="8">
        <f>HYPERLINK("https://dart.fss.or.kr/dsaf001/main.do?rcpNo=20260529001846", "공시열람")</f>
        <v/>
      </c>
    </row>
    <row r="7602">
      <c r="A7602" s="2" t="inlineStr">
        <is>
          <t>2026-05-29 (정정: 2026-06-02)</t>
        </is>
      </c>
      <c r="B7602" s="3" t="inlineStr">
        <is>
          <t>휴스틸</t>
        </is>
      </c>
      <c r="C7602" s="2" t="inlineStr">
        <is>
          <t>코스피</t>
        </is>
      </c>
      <c r="D7602" s="2" t="inlineStr">
        <is>
          <t>005010</t>
        </is>
      </c>
      <c r="E7602" s="3" t="inlineStr">
        <is>
          <t>기업지배구조보고서공시               (정정: 20260602)</t>
        </is>
      </c>
      <c r="F7602" s="3" t="inlineStr">
        <is>
          <t>휴스틸</t>
        </is>
      </c>
      <c r="G7602" s="2" t="inlineStr">
        <is>
          <t>20260602000398</t>
        </is>
      </c>
      <c r="H7602" s="8">
        <f>HYPERLINK("https://dart.fss.or.kr/dsaf001/main.do?rcpNo=20260602000398", "공시열람")</f>
        <v/>
      </c>
    </row>
    <row r="7603">
      <c r="A7603" s="2" t="inlineStr">
        <is>
          <t>2026-05-29 (정정: 2026-06-08)</t>
        </is>
      </c>
      <c r="B7603" s="3" t="inlineStr">
        <is>
          <t>효성화학</t>
        </is>
      </c>
      <c r="C7603" s="2" t="inlineStr">
        <is>
          <t>코스피</t>
        </is>
      </c>
      <c r="D7603" s="2" t="inlineStr">
        <is>
          <t>298000</t>
        </is>
      </c>
      <c r="E7603" s="3" t="inlineStr">
        <is>
          <t>기업지배구조보고서공시               (정정: 20260608)</t>
        </is>
      </c>
      <c r="F7603" s="3" t="inlineStr">
        <is>
          <t>효성화학</t>
        </is>
      </c>
      <c r="G7603" s="2" t="inlineStr">
        <is>
          <t>20260608800827</t>
        </is>
      </c>
      <c r="H7603" s="8">
        <f>HYPERLINK("https://dart.fss.or.kr/dsaf001/main.do?rcpNo=20260608800827", "공시열람")</f>
        <v/>
      </c>
    </row>
    <row r="7604">
      <c r="A7604" s="2" t="inlineStr">
        <is>
          <t>2026-05-29</t>
        </is>
      </c>
      <c r="B7604" s="3" t="inlineStr">
        <is>
          <t>웰킵스하이텍</t>
        </is>
      </c>
      <c r="C7604" s="2" t="inlineStr">
        <is>
          <t>코스닥</t>
        </is>
      </c>
      <c r="D7604" s="2" t="inlineStr">
        <is>
          <t>043590</t>
        </is>
      </c>
      <c r="E7604" s="3" t="inlineStr">
        <is>
          <t>임원ㆍ주요주주특정증권등소유상황보고서</t>
        </is>
      </c>
      <c r="F7604" s="3" t="inlineStr">
        <is>
          <t>웰킵스홀딩스</t>
        </is>
      </c>
      <c r="G7604" s="2" t="inlineStr">
        <is>
          <t>20260529001839</t>
        </is>
      </c>
      <c r="H7604" s="8">
        <f>HYPERLINK("https://dart.fss.or.kr/dsaf001/main.do?rcpNo=20260529001839", "공시열람")</f>
        <v/>
      </c>
    </row>
    <row r="7605">
      <c r="A7605" s="2" t="inlineStr">
        <is>
          <t>2026-05-29</t>
        </is>
      </c>
      <c r="B7605" s="3" t="inlineStr">
        <is>
          <t>대덕</t>
        </is>
      </c>
      <c r="C7605" s="2" t="inlineStr">
        <is>
          <t>코스피</t>
        </is>
      </c>
      <c r="D7605" s="2" t="inlineStr">
        <is>
          <t>008060</t>
        </is>
      </c>
      <c r="E7605" s="3" t="inlineStr">
        <is>
          <t xml:space="preserve">기업지배구조보고서공시              </t>
        </is>
      </c>
      <c r="F7605" s="3" t="inlineStr">
        <is>
          <t>대덕</t>
        </is>
      </c>
      <c r="G7605" s="2" t="inlineStr">
        <is>
          <t>20260529801608</t>
        </is>
      </c>
      <c r="H7605" s="8">
        <f>HYPERLINK("https://dart.fss.or.kr/dsaf001/main.do?rcpNo=20260529801608", "공시열람")</f>
        <v/>
      </c>
    </row>
    <row r="7606">
      <c r="A7606" s="2" t="inlineStr">
        <is>
          <t>2026-05-29</t>
        </is>
      </c>
      <c r="B7606" s="3" t="inlineStr">
        <is>
          <t>NH프라임리츠</t>
        </is>
      </c>
      <c r="C7606" s="2" t="inlineStr">
        <is>
          <t>코스피</t>
        </is>
      </c>
      <c r="D7606" s="2" t="inlineStr">
        <is>
          <t>338100</t>
        </is>
      </c>
      <c r="E7606" s="3" t="inlineStr">
        <is>
          <t xml:space="preserve">기업지배구조보고서공시              </t>
        </is>
      </c>
      <c r="F7606" s="3" t="inlineStr">
        <is>
          <t>NH프라임리츠</t>
        </is>
      </c>
      <c r="G7606" s="2" t="inlineStr">
        <is>
          <t>20260529801603</t>
        </is>
      </c>
      <c r="H7606" s="8">
        <f>HYPERLINK("https://dart.fss.or.kr/dsaf001/main.do?rcpNo=20260529801603", "공시열람")</f>
        <v/>
      </c>
    </row>
    <row r="7607">
      <c r="A7607" s="2" t="inlineStr">
        <is>
          <t>2026-05-29</t>
        </is>
      </c>
      <c r="B7607" s="3" t="inlineStr">
        <is>
          <t>HL만도</t>
        </is>
      </c>
      <c r="C7607" s="2" t="inlineStr">
        <is>
          <t>코스피</t>
        </is>
      </c>
      <c r="D7607" s="2" t="inlineStr">
        <is>
          <t>204320</t>
        </is>
      </c>
      <c r="E7607" s="3" t="inlineStr">
        <is>
          <t>대규모기업집단현황공시[연1회공시및1/4분기용(개별회사)]</t>
        </is>
      </c>
      <c r="F7607" s="3" t="inlineStr">
        <is>
          <t>HL만도</t>
        </is>
      </c>
      <c r="G7607" s="2" t="inlineStr">
        <is>
          <t>20260529001836</t>
        </is>
      </c>
      <c r="H7607" s="8">
        <f>HYPERLINK("https://dart.fss.or.kr/dsaf001/main.do?rcpNo=20260529001836", "공시열람")</f>
        <v/>
      </c>
    </row>
    <row r="7608">
      <c r="A7608" s="2" t="inlineStr">
        <is>
          <t>2026-05-29</t>
        </is>
      </c>
      <c r="B7608" s="3" t="inlineStr">
        <is>
          <t>AJ네트웍스</t>
        </is>
      </c>
      <c r="C7608" s="2" t="inlineStr">
        <is>
          <t>코스피</t>
        </is>
      </c>
      <c r="D7608" s="2" t="inlineStr">
        <is>
          <t>095570</t>
        </is>
      </c>
      <c r="E7608" s="3" t="inlineStr">
        <is>
          <t xml:space="preserve">기업지배구조보고서공시              </t>
        </is>
      </c>
      <c r="F7608" s="3" t="inlineStr">
        <is>
          <t>AJ네트웍스</t>
        </is>
      </c>
      <c r="G7608" s="2" t="inlineStr">
        <is>
          <t>20260529801524</t>
        </is>
      </c>
      <c r="H7608" s="8">
        <f>HYPERLINK("https://dart.fss.or.kr/dsaf001/main.do?rcpNo=20260529801524", "공시열람")</f>
        <v/>
      </c>
    </row>
    <row r="7609">
      <c r="A7609" s="2" t="inlineStr">
        <is>
          <t>2026-05-29</t>
        </is>
      </c>
      <c r="B7609" s="3" t="inlineStr">
        <is>
          <t>한화투자증권</t>
        </is>
      </c>
      <c r="C7609" s="2" t="inlineStr">
        <is>
          <t>코스피</t>
        </is>
      </c>
      <c r="D7609" s="2" t="inlineStr">
        <is>
          <t>003530</t>
        </is>
      </c>
      <c r="E7609" s="3" t="inlineStr">
        <is>
          <t>증권발행실적보고서</t>
        </is>
      </c>
      <c r="F7609" s="3" t="inlineStr">
        <is>
          <t>한화투자증권</t>
        </is>
      </c>
      <c r="G7609" s="2" t="inlineStr">
        <is>
          <t>20260529001833</t>
        </is>
      </c>
      <c r="H7609" s="8">
        <f>HYPERLINK("https://dart.fss.or.kr/dsaf001/main.do?rcpNo=20260529001833", "공시열람")</f>
        <v/>
      </c>
    </row>
    <row r="7610">
      <c r="A7610" s="2" t="inlineStr">
        <is>
          <t>2026-05-29</t>
        </is>
      </c>
      <c r="B7610" s="3" t="inlineStr">
        <is>
          <t>천일고속</t>
        </is>
      </c>
      <c r="C7610" s="2" t="inlineStr">
        <is>
          <t>코스피</t>
        </is>
      </c>
      <c r="D7610" s="2" t="inlineStr">
        <is>
          <t>000650</t>
        </is>
      </c>
      <c r="E7610" s="3" t="inlineStr">
        <is>
          <t xml:space="preserve">기업지배구조보고서공시              </t>
        </is>
      </c>
      <c r="F7610" s="3" t="inlineStr">
        <is>
          <t>천일고속</t>
        </is>
      </c>
      <c r="G7610" s="2" t="inlineStr">
        <is>
          <t>20260529801555</t>
        </is>
      </c>
      <c r="H7610" s="8">
        <f>HYPERLINK("https://dart.fss.or.kr/dsaf001/main.do?rcpNo=20260529801555", "공시열람")</f>
        <v/>
      </c>
    </row>
    <row r="7611">
      <c r="A7611" s="2" t="inlineStr">
        <is>
          <t>2026-05-29</t>
        </is>
      </c>
      <c r="B7611" s="3" t="inlineStr">
        <is>
          <t>사조동아원</t>
        </is>
      </c>
      <c r="C7611" s="2" t="inlineStr">
        <is>
          <t>코스피</t>
        </is>
      </c>
      <c r="D7611" s="2" t="inlineStr">
        <is>
          <t>008040</t>
        </is>
      </c>
      <c r="E7611" s="3" t="inlineStr">
        <is>
          <t>대규모기업집단현황공시[연1회공시및1/4분기용(개별회사)]</t>
        </is>
      </c>
      <c r="F7611" s="3" t="inlineStr">
        <is>
          <t>사조동아원</t>
        </is>
      </c>
      <c r="G7611" s="2" t="inlineStr">
        <is>
          <t>20260529001826</t>
        </is>
      </c>
      <c r="H7611" s="8">
        <f>HYPERLINK("https://dart.fss.or.kr/dsaf001/main.do?rcpNo=20260529001826", "공시열람")</f>
        <v/>
      </c>
    </row>
    <row r="7612">
      <c r="A7612" s="2" t="inlineStr">
        <is>
          <t>2026-05-29</t>
        </is>
      </c>
      <c r="B7612" s="3" t="inlineStr">
        <is>
          <t>한울반도체</t>
        </is>
      </c>
      <c r="C7612" s="2" t="inlineStr">
        <is>
          <t>코스닥</t>
        </is>
      </c>
      <c r="D7612" s="2" t="inlineStr">
        <is>
          <t>320000</t>
        </is>
      </c>
      <c r="E7612" s="3" t="inlineStr">
        <is>
          <t>임원ㆍ주요주주특정증권등소유상황보고서</t>
        </is>
      </c>
      <c r="F7612" s="3" t="inlineStr">
        <is>
          <t>김기원</t>
        </is>
      </c>
      <c r="G7612" s="2" t="inlineStr">
        <is>
          <t>20260529001824</t>
        </is>
      </c>
      <c r="H7612" s="8">
        <f>HYPERLINK("https://dart.fss.or.kr/dsaf001/main.do?rcpNo=20260529001824", "공시열람")</f>
        <v/>
      </c>
    </row>
    <row r="7613">
      <c r="A7613" s="2" t="inlineStr">
        <is>
          <t>2026-05-29</t>
        </is>
      </c>
      <c r="B7613" s="3" t="inlineStr">
        <is>
          <t>교보증권</t>
        </is>
      </c>
      <c r="C7613" s="2" t="inlineStr">
        <is>
          <t>코스피</t>
        </is>
      </c>
      <c r="D7613" s="2" t="inlineStr">
        <is>
          <t>030610</t>
        </is>
      </c>
      <c r="E7613" s="3" t="inlineStr">
        <is>
          <t>증권발행실적보고서</t>
        </is>
      </c>
      <c r="F7613" s="3" t="inlineStr">
        <is>
          <t>교보증권</t>
        </is>
      </c>
      <c r="G7613" s="2" t="inlineStr">
        <is>
          <t>20260529001823</t>
        </is>
      </c>
      <c r="H7613" s="8">
        <f>HYPERLINK("https://dart.fss.or.kr/dsaf001/main.do?rcpNo=20260529001823", "공시열람")</f>
        <v/>
      </c>
    </row>
    <row r="7614">
      <c r="A7614" s="2" t="inlineStr">
        <is>
          <t>2026-05-29</t>
        </is>
      </c>
      <c r="B7614" s="3" t="inlineStr">
        <is>
          <t>지니너스</t>
        </is>
      </c>
      <c r="C7614" s="2" t="inlineStr">
        <is>
          <t>코스닥</t>
        </is>
      </c>
      <c r="D7614" s="2" t="inlineStr">
        <is>
          <t>389030</t>
        </is>
      </c>
      <c r="E7614" s="3" t="inlineStr">
        <is>
          <t xml:space="preserve">전환청구권행사              </t>
        </is>
      </c>
      <c r="F7614" s="3" t="inlineStr">
        <is>
          <t>지니너스</t>
        </is>
      </c>
      <c r="G7614" s="2" t="inlineStr">
        <is>
          <t>20260529901601</t>
        </is>
      </c>
      <c r="H7614" s="8">
        <f>HYPERLINK("https://dart.fss.or.kr/dsaf001/main.do?rcpNo=20260529901601", "공시열람")</f>
        <v/>
      </c>
    </row>
    <row r="7615">
      <c r="A7615" s="2" t="inlineStr">
        <is>
          <t>2026-05-29 (정정: 2026-06-05)</t>
        </is>
      </c>
      <c r="B7615" s="3" t="inlineStr">
        <is>
          <t>전진건설로봇</t>
        </is>
      </c>
      <c r="C7615" s="2" t="inlineStr">
        <is>
          <t>코스피</t>
        </is>
      </c>
      <c r="D7615" s="2" t="inlineStr">
        <is>
          <t>079900</t>
        </is>
      </c>
      <c r="E7615" s="3" t="inlineStr">
        <is>
          <t>기업지배구조보고서공시               (정정: 20260605)</t>
        </is>
      </c>
      <c r="F7615" s="3" t="inlineStr">
        <is>
          <t>전진건설로봇</t>
        </is>
      </c>
      <c r="G7615" s="2" t="inlineStr">
        <is>
          <t>20260605000456</t>
        </is>
      </c>
      <c r="H7615" s="8">
        <f>HYPERLINK("https://dart.fss.or.kr/dsaf001/main.do?rcpNo=20260605000456", "공시열람")</f>
        <v/>
      </c>
    </row>
    <row r="7616">
      <c r="A7616" s="2" t="inlineStr">
        <is>
          <t>2026-05-29</t>
        </is>
      </c>
      <c r="B7616" s="3" t="inlineStr">
        <is>
          <t>다산네트웍스</t>
        </is>
      </c>
      <c r="C7616" s="2" t="inlineStr">
        <is>
          <t>코스닥</t>
        </is>
      </c>
      <c r="D7616" s="2" t="inlineStr">
        <is>
          <t>039560</t>
        </is>
      </c>
      <c r="E7616" s="3" t="inlineStr">
        <is>
          <t xml:space="preserve">기업설명회(IR)개최              </t>
        </is>
      </c>
      <c r="F7616" s="3" t="inlineStr">
        <is>
          <t>다산네트웍스</t>
        </is>
      </c>
      <c r="G7616" s="2" t="inlineStr">
        <is>
          <t>20260529901597</t>
        </is>
      </c>
      <c r="H7616" s="8">
        <f>HYPERLINK("https://dart.fss.or.kr/dsaf001/main.do?rcpNo=20260529901597", "공시열람")</f>
        <v/>
      </c>
    </row>
    <row r="7617">
      <c r="A7617" s="2" t="inlineStr">
        <is>
          <t>2026-05-29</t>
        </is>
      </c>
      <c r="B7617" s="3" t="inlineStr">
        <is>
          <t>아시아나IDT</t>
        </is>
      </c>
      <c r="C7617" s="2" t="inlineStr">
        <is>
          <t>코스피</t>
        </is>
      </c>
      <c r="D7617" s="2" t="inlineStr">
        <is>
          <t>267850</t>
        </is>
      </c>
      <c r="E7617" s="3" t="inlineStr">
        <is>
          <t>대규모기업집단현황공시[연1회공시및1/4분기용(개별회사)]</t>
        </is>
      </c>
      <c r="F7617" s="3" t="inlineStr">
        <is>
          <t>아시아나IDT</t>
        </is>
      </c>
      <c r="G7617" s="2" t="inlineStr">
        <is>
          <t>20260529001816</t>
        </is>
      </c>
      <c r="H7617" s="8">
        <f>HYPERLINK("https://dart.fss.or.kr/dsaf001/main.do?rcpNo=20260529001816", "공시열람")</f>
        <v/>
      </c>
    </row>
    <row r="7618">
      <c r="A7618" s="2" t="inlineStr">
        <is>
          <t>2026-05-29</t>
        </is>
      </c>
      <c r="B7618" s="3" t="inlineStr">
        <is>
          <t>키움증권</t>
        </is>
      </c>
      <c r="C7618" s="2" t="inlineStr">
        <is>
          <t>코스피</t>
        </is>
      </c>
      <c r="D7618" s="2" t="inlineStr">
        <is>
          <t>039490</t>
        </is>
      </c>
      <c r="E7618" s="3" t="inlineStr">
        <is>
          <t>증권발행실적보고서</t>
        </is>
      </c>
      <c r="F7618" s="3" t="inlineStr">
        <is>
          <t>키움증권</t>
        </is>
      </c>
      <c r="G7618" s="2" t="inlineStr">
        <is>
          <t>20260529001808</t>
        </is>
      </c>
      <c r="H7618" s="8">
        <f>HYPERLINK("https://dart.fss.or.kr/dsaf001/main.do?rcpNo=20260529001808", "공시열람")</f>
        <v/>
      </c>
    </row>
    <row r="7619">
      <c r="A7619" s="2" t="inlineStr">
        <is>
          <t>2026-05-29</t>
        </is>
      </c>
      <c r="B7619" s="3" t="inlineStr">
        <is>
          <t>한온시스템</t>
        </is>
      </c>
      <c r="C7619" s="2" t="inlineStr">
        <is>
          <t>코스피</t>
        </is>
      </c>
      <c r="D7619" s="2" t="inlineStr">
        <is>
          <t>018880</t>
        </is>
      </c>
      <c r="E7619" s="3" t="inlineStr">
        <is>
          <t xml:space="preserve">기업설명회(IR)개최(안내공시)              </t>
        </is>
      </c>
      <c r="F7619" s="3" t="inlineStr">
        <is>
          <t>한온시스템</t>
        </is>
      </c>
      <c r="G7619" s="2" t="inlineStr">
        <is>
          <t>20260529801514</t>
        </is>
      </c>
      <c r="H7619" s="8">
        <f>HYPERLINK("https://dart.fss.or.kr/dsaf001/main.do?rcpNo=20260529801514", "공시열람")</f>
        <v/>
      </c>
    </row>
    <row r="7620">
      <c r="A7620" s="2" t="inlineStr">
        <is>
          <t>2026-05-29 (정정: 2026-06-02)</t>
        </is>
      </c>
      <c r="B7620" s="3" t="inlineStr">
        <is>
          <t>현대엘리베이터</t>
        </is>
      </c>
      <c r="C7620" s="2" t="inlineStr">
        <is>
          <t>코스피</t>
        </is>
      </c>
      <c r="D7620" s="2" t="inlineStr">
        <is>
          <t>017800</t>
        </is>
      </c>
      <c r="E7620" s="3" t="inlineStr">
        <is>
          <t>기업지배구조보고서공시               (정정: 20260602)</t>
        </is>
      </c>
      <c r="F7620" s="3" t="inlineStr">
        <is>
          <t>현대엘리베이터</t>
        </is>
      </c>
      <c r="G7620" s="2" t="inlineStr">
        <is>
          <t>20260602800791</t>
        </is>
      </c>
      <c r="H7620" s="8">
        <f>HYPERLINK("https://dart.fss.or.kr/dsaf001/main.do?rcpNo=20260602800791", "공시열람")</f>
        <v/>
      </c>
    </row>
    <row r="7621">
      <c r="A7621" s="2" t="inlineStr">
        <is>
          <t>2026-05-29</t>
        </is>
      </c>
      <c r="B7621" s="3" t="inlineStr">
        <is>
          <t>DKME</t>
        </is>
      </c>
      <c r="C7621" s="2" t="inlineStr">
        <is>
          <t>코스피</t>
        </is>
      </c>
      <c r="D7621" s="2" t="inlineStr">
        <is>
          <t>015590</t>
        </is>
      </c>
      <c r="E7621" s="3" t="inlineStr">
        <is>
          <t xml:space="preserve">기업지배구조보고서공시              </t>
        </is>
      </c>
      <c r="F7621" s="3" t="inlineStr">
        <is>
          <t>DKME</t>
        </is>
      </c>
      <c r="G7621" s="2" t="inlineStr">
        <is>
          <t>20260529801582</t>
        </is>
      </c>
      <c r="H7621" s="8">
        <f>HYPERLINK("https://dart.fss.or.kr/dsaf001/main.do?rcpNo=20260529801582", "공시열람")</f>
        <v/>
      </c>
    </row>
    <row r="7622">
      <c r="A7622" s="2" t="inlineStr">
        <is>
          <t>2026-05-29</t>
        </is>
      </c>
      <c r="B7622" s="3" t="inlineStr">
        <is>
          <t>얼라인드</t>
        </is>
      </c>
      <c r="C7622" s="2" t="inlineStr">
        <is>
          <t>코스닥</t>
        </is>
      </c>
      <c r="D7622" s="2" t="inlineStr">
        <is>
          <t>238120</t>
        </is>
      </c>
      <c r="E7622" s="3" t="inlineStr">
        <is>
          <t>주요사항보고서(자기주식처분결정)</t>
        </is>
      </c>
      <c r="F7622" s="3" t="inlineStr">
        <is>
          <t>얼라인드</t>
        </is>
      </c>
      <c r="G7622" s="2" t="inlineStr">
        <is>
          <t>20260529001640</t>
        </is>
      </c>
      <c r="H7622" s="8">
        <f>HYPERLINK("https://dart.fss.or.kr/dsaf001/main.do?rcpNo=20260529001640", "공시열람")</f>
        <v/>
      </c>
    </row>
    <row r="7623">
      <c r="A7623" s="2" t="inlineStr">
        <is>
          <t>2026-05-29</t>
        </is>
      </c>
      <c r="B7623" s="3" t="inlineStr">
        <is>
          <t>계룡건설산업</t>
        </is>
      </c>
      <c r="C7623" s="2" t="inlineStr">
        <is>
          <t>코스피</t>
        </is>
      </c>
      <c r="D7623" s="2" t="inlineStr">
        <is>
          <t>013580</t>
        </is>
      </c>
      <c r="E7623" s="3" t="inlineStr">
        <is>
          <t xml:space="preserve">기업지배구조보고서공시              </t>
        </is>
      </c>
      <c r="F7623" s="3" t="inlineStr">
        <is>
          <t>계룡건설산업</t>
        </is>
      </c>
      <c r="G7623" s="2" t="inlineStr">
        <is>
          <t>20260529801581</t>
        </is>
      </c>
      <c r="H7623" s="8">
        <f>HYPERLINK("https://dart.fss.or.kr/dsaf001/main.do?rcpNo=20260529801581", "공시열람")</f>
        <v/>
      </c>
    </row>
    <row r="7624">
      <c r="A7624" s="2" t="inlineStr">
        <is>
          <t>2026-05-29</t>
        </is>
      </c>
      <c r="B7624" s="3" t="inlineStr">
        <is>
          <t>HD현대일렉트릭</t>
        </is>
      </c>
      <c r="C7624" s="2" t="inlineStr">
        <is>
          <t>코스피</t>
        </is>
      </c>
      <c r="D7624" s="2" t="inlineStr">
        <is>
          <t>267260</t>
        </is>
      </c>
      <c r="E7624" s="3" t="inlineStr">
        <is>
          <t>대규모기업집단현황공시[연1회공시및1/4분기용(개별회사)]</t>
        </is>
      </c>
      <c r="F7624" s="3" t="inlineStr">
        <is>
          <t>HD현대일렉트릭</t>
        </is>
      </c>
      <c r="G7624" s="2" t="inlineStr">
        <is>
          <t>20260529001795</t>
        </is>
      </c>
      <c r="H7624" s="8">
        <f>HYPERLINK("https://dart.fss.or.kr/dsaf001/main.do?rcpNo=20260529001795", "공시열람")</f>
        <v/>
      </c>
    </row>
    <row r="7625">
      <c r="A7625" s="2" t="inlineStr">
        <is>
          <t>2026-05-29</t>
        </is>
      </c>
      <c r="B7625" s="3" t="inlineStr">
        <is>
          <t>농심홀딩스</t>
        </is>
      </c>
      <c r="C7625" s="2" t="inlineStr">
        <is>
          <t>코스피</t>
        </is>
      </c>
      <c r="D7625" s="2" t="inlineStr">
        <is>
          <t>072710</t>
        </is>
      </c>
      <c r="E7625" s="3" t="inlineStr">
        <is>
          <t xml:space="preserve">기업지배구조보고서공시              </t>
        </is>
      </c>
      <c r="F7625" s="3" t="inlineStr">
        <is>
          <t>농심홀딩스</t>
        </is>
      </c>
      <c r="G7625" s="2" t="inlineStr">
        <is>
          <t>20260529801579</t>
        </is>
      </c>
      <c r="H7625" s="8">
        <f>HYPERLINK("https://dart.fss.or.kr/dsaf001/main.do?rcpNo=20260529801579", "공시열람")</f>
        <v/>
      </c>
    </row>
    <row r="7626">
      <c r="A7626" s="2" t="inlineStr">
        <is>
          <t>2026-05-29</t>
        </is>
      </c>
      <c r="B7626" s="3" t="inlineStr">
        <is>
          <t>SK증권</t>
        </is>
      </c>
      <c r="C7626" s="2" t="inlineStr">
        <is>
          <t>코스피</t>
        </is>
      </c>
      <c r="D7626" s="2" t="inlineStr">
        <is>
          <t>001510</t>
        </is>
      </c>
      <c r="E7626" s="3" t="inlineStr">
        <is>
          <t>일괄신고추가서류(파생결합사채-주가연계파생결합사채)</t>
        </is>
      </c>
      <c r="F7626" s="3" t="inlineStr">
        <is>
          <t>SK증권</t>
        </is>
      </c>
      <c r="G7626" s="2" t="inlineStr">
        <is>
          <t>20260529001793</t>
        </is>
      </c>
      <c r="H7626" s="8">
        <f>HYPERLINK("https://dart.fss.or.kr/dsaf001/main.do?rcpNo=20260529001793", "공시열람")</f>
        <v/>
      </c>
    </row>
    <row r="7627">
      <c r="A7627" s="2" t="inlineStr">
        <is>
          <t>2026-05-29</t>
        </is>
      </c>
      <c r="B7627" s="3" t="inlineStr">
        <is>
          <t>DGI</t>
        </is>
      </c>
      <c r="C7627" s="2" t="inlineStr">
        <is>
          <t>코스닥</t>
        </is>
      </c>
      <c r="D7627" s="2" t="inlineStr">
        <is>
          <t>099520</t>
        </is>
      </c>
      <c r="E7627" s="3" t="inlineStr">
        <is>
          <t>기타시장안내              (상장폐지 관련 이의신청서 접수)</t>
        </is>
      </c>
      <c r="F7627" s="3" t="inlineStr">
        <is>
          <t>코스닥시장본부</t>
        </is>
      </c>
      <c r="G7627" s="2" t="inlineStr">
        <is>
          <t>20260529901382</t>
        </is>
      </c>
      <c r="H7627" s="8">
        <f>HYPERLINK("https://dart.fss.or.kr/dsaf001/main.do?rcpNo=20260529901382", "공시열람")</f>
        <v/>
      </c>
    </row>
    <row r="7628">
      <c r="A7628" s="2" t="inlineStr">
        <is>
          <t>2026-05-29</t>
        </is>
      </c>
      <c r="B7628" s="3" t="inlineStr">
        <is>
          <t>파두</t>
        </is>
      </c>
      <c r="C7628" s="2" t="inlineStr">
        <is>
          <t>코스닥</t>
        </is>
      </c>
      <c r="D7628" s="2" t="inlineStr">
        <is>
          <t>440110</t>
        </is>
      </c>
      <c r="E7628" s="3" t="inlineStr">
        <is>
          <t>임원ㆍ주요주주특정증권등소유상황보고서</t>
        </is>
      </c>
      <c r="F7628" s="3" t="inlineStr">
        <is>
          <t>우영재</t>
        </is>
      </c>
      <c r="G7628" s="2" t="inlineStr">
        <is>
          <t>20260529001792</t>
        </is>
      </c>
      <c r="H7628" s="8">
        <f>HYPERLINK("https://dart.fss.or.kr/dsaf001/main.do?rcpNo=20260529001792", "공시열람")</f>
        <v/>
      </c>
    </row>
    <row r="7629">
      <c r="A7629" s="2" t="inlineStr">
        <is>
          <t>2026-05-29</t>
        </is>
      </c>
      <c r="B7629" s="3" t="inlineStr">
        <is>
          <t>제주항공</t>
        </is>
      </c>
      <c r="C7629" s="2" t="inlineStr">
        <is>
          <t>코스피</t>
        </is>
      </c>
      <c r="D7629" s="2" t="inlineStr">
        <is>
          <t>089590</t>
        </is>
      </c>
      <c r="E7629" s="3" t="inlineStr">
        <is>
          <t>대규모기업집단현황공시[연1회공시및1/4분기용(개별회사)]</t>
        </is>
      </c>
      <c r="F7629" s="3" t="inlineStr">
        <is>
          <t>제주항공</t>
        </is>
      </c>
      <c r="G7629" s="2" t="inlineStr">
        <is>
          <t>20260529001783</t>
        </is>
      </c>
      <c r="H7629" s="8">
        <f>HYPERLINK("https://dart.fss.or.kr/dsaf001/main.do?rcpNo=20260529001783", "공시열람")</f>
        <v/>
      </c>
    </row>
    <row r="7630">
      <c r="A7630" s="2" t="inlineStr">
        <is>
          <t>2026-05-29</t>
        </is>
      </c>
      <c r="B7630" s="3" t="inlineStr">
        <is>
          <t>세아홀딩스</t>
        </is>
      </c>
      <c r="C7630" s="2" t="inlineStr">
        <is>
          <t>코스피</t>
        </is>
      </c>
      <c r="D7630" s="2" t="inlineStr">
        <is>
          <t>058650</t>
        </is>
      </c>
      <c r="E7630" s="3" t="inlineStr">
        <is>
          <t>대규모기업집단현황공시[연1회공시및1/4분기용(대표회사)]</t>
        </is>
      </c>
      <c r="F7630" s="3" t="inlineStr">
        <is>
          <t>세아홀딩스</t>
        </is>
      </c>
      <c r="G7630" s="2" t="inlineStr">
        <is>
          <t>20260529001781</t>
        </is>
      </c>
      <c r="H7630" s="8">
        <f>HYPERLINK("https://dart.fss.or.kr/dsaf001/main.do?rcpNo=20260529001781", "공시열람")</f>
        <v/>
      </c>
    </row>
    <row r="7631">
      <c r="A7631" s="2" t="inlineStr">
        <is>
          <t>2026-05-29</t>
        </is>
      </c>
      <c r="B7631" s="3" t="inlineStr">
        <is>
          <t>신세계푸드</t>
        </is>
      </c>
      <c r="C7631" s="2" t="inlineStr">
        <is>
          <t>코스피</t>
        </is>
      </c>
      <c r="D7631" s="2" t="inlineStr">
        <is>
          <t>031440</t>
        </is>
      </c>
      <c r="E7631" s="3" t="inlineStr">
        <is>
          <t xml:space="preserve">기업지배구조보고서공시              </t>
        </is>
      </c>
      <c r="F7631" s="3" t="inlineStr">
        <is>
          <t>신세계푸드</t>
        </is>
      </c>
      <c r="G7631" s="2" t="inlineStr">
        <is>
          <t>20260529801559</t>
        </is>
      </c>
      <c r="H7631" s="8">
        <f>HYPERLINK("https://dart.fss.or.kr/dsaf001/main.do?rcpNo=20260529801559", "공시열람")</f>
        <v/>
      </c>
    </row>
    <row r="7632">
      <c r="A7632" s="2" t="inlineStr">
        <is>
          <t>2026-05-29</t>
        </is>
      </c>
      <c r="B7632" s="3" t="inlineStr">
        <is>
          <t>교보증권</t>
        </is>
      </c>
      <c r="C7632" s="2" t="inlineStr">
        <is>
          <t>코스피</t>
        </is>
      </c>
      <c r="D7632" s="2" t="inlineStr">
        <is>
          <t>030610</t>
        </is>
      </c>
      <c r="E7632" s="3" t="inlineStr">
        <is>
          <t>일괄신고추가서류(파생결합사채-주가연계파생결합사채)</t>
        </is>
      </c>
      <c r="F7632" s="3" t="inlineStr">
        <is>
          <t>교보증권</t>
        </is>
      </c>
      <c r="G7632" s="2" t="inlineStr">
        <is>
          <t>20260529001779</t>
        </is>
      </c>
      <c r="H7632" s="8">
        <f>HYPERLINK("https://dart.fss.or.kr/dsaf001/main.do?rcpNo=20260529001779", "공시열람")</f>
        <v/>
      </c>
    </row>
    <row r="7633">
      <c r="A7633" s="2" t="inlineStr">
        <is>
          <t>2026-05-29</t>
        </is>
      </c>
      <c r="B7633" s="3" t="inlineStr">
        <is>
          <t>한온시스템</t>
        </is>
      </c>
      <c r="C7633" s="2" t="inlineStr">
        <is>
          <t>코스피</t>
        </is>
      </c>
      <c r="D7633" s="2" t="inlineStr">
        <is>
          <t>018880</t>
        </is>
      </c>
      <c r="E7633" s="3" t="inlineStr">
        <is>
          <t xml:space="preserve">기업지배구조보고서공시              </t>
        </is>
      </c>
      <c r="F7633" s="3" t="inlineStr">
        <is>
          <t>한온시스템</t>
        </is>
      </c>
      <c r="G7633" s="2" t="inlineStr">
        <is>
          <t>20260529801568</t>
        </is>
      </c>
      <c r="H7633" s="8">
        <f>HYPERLINK("https://dart.fss.or.kr/dsaf001/main.do?rcpNo=20260529801568", "공시열람")</f>
        <v/>
      </c>
    </row>
    <row r="7634">
      <c r="A7634" s="2" t="inlineStr">
        <is>
          <t>2026-05-29</t>
        </is>
      </c>
      <c r="B7634" s="3" t="inlineStr">
        <is>
          <t>LX세미콘</t>
        </is>
      </c>
      <c r="C7634" s="2" t="inlineStr">
        <is>
          <t>코스피</t>
        </is>
      </c>
      <c r="D7634" s="2" t="inlineStr">
        <is>
          <t>108320</t>
        </is>
      </c>
      <c r="E7634" s="3" t="inlineStr">
        <is>
          <t>대규모기업집단현황공시[연1회공시및1/4분기용(개별회사)]</t>
        </is>
      </c>
      <c r="F7634" s="3" t="inlineStr">
        <is>
          <t>LX세미콘</t>
        </is>
      </c>
      <c r="G7634" s="2" t="inlineStr">
        <is>
          <t>20260529001776</t>
        </is>
      </c>
      <c r="H7634" s="8">
        <f>HYPERLINK("https://dart.fss.or.kr/dsaf001/main.do?rcpNo=20260529001776", "공시열람")</f>
        <v/>
      </c>
    </row>
    <row r="7635">
      <c r="A7635" s="2" t="inlineStr">
        <is>
          <t>2026-05-29</t>
        </is>
      </c>
      <c r="B7635" s="3" t="inlineStr">
        <is>
          <t>조일알미늄</t>
        </is>
      </c>
      <c r="C7635" s="2" t="inlineStr">
        <is>
          <t>코스피</t>
        </is>
      </c>
      <c r="D7635" s="2" t="inlineStr">
        <is>
          <t>018470</t>
        </is>
      </c>
      <c r="E7635" s="3" t="inlineStr">
        <is>
          <t xml:space="preserve">기업지배구조보고서공시              </t>
        </is>
      </c>
      <c r="F7635" s="3" t="inlineStr">
        <is>
          <t>조일알미늄</t>
        </is>
      </c>
      <c r="G7635" s="2" t="inlineStr">
        <is>
          <t>20260529800108</t>
        </is>
      </c>
      <c r="H7635" s="8">
        <f>HYPERLINK("https://dart.fss.or.kr/dsaf001/main.do?rcpNo=20260529800108", "공시열람")</f>
        <v/>
      </c>
    </row>
    <row r="7636">
      <c r="A7636" s="2" t="inlineStr">
        <is>
          <t>2026-05-29</t>
        </is>
      </c>
      <c r="B7636" s="3" t="inlineStr">
        <is>
          <t>팜스코</t>
        </is>
      </c>
      <c r="C7636" s="2" t="inlineStr">
        <is>
          <t>코스피</t>
        </is>
      </c>
      <c r="D7636" s="2" t="inlineStr">
        <is>
          <t>036580</t>
        </is>
      </c>
      <c r="E7636" s="3" t="inlineStr">
        <is>
          <t xml:space="preserve">기업지배구조보고서공시              </t>
        </is>
      </c>
      <c r="F7636" s="3" t="inlineStr">
        <is>
          <t>팜스코</t>
        </is>
      </c>
      <c r="G7636" s="2" t="inlineStr">
        <is>
          <t>20260529801521</t>
        </is>
      </c>
      <c r="H7636" s="8">
        <f>HYPERLINK("https://dart.fss.or.kr/dsaf001/main.do?rcpNo=20260529801521", "공시열람")</f>
        <v/>
      </c>
    </row>
    <row r="7637">
      <c r="A7637" s="2" t="inlineStr">
        <is>
          <t>2026-05-29</t>
        </is>
      </c>
      <c r="B7637" s="3" t="inlineStr">
        <is>
          <t>SK오션플랜트</t>
        </is>
      </c>
      <c r="C7637" s="2" t="inlineStr">
        <is>
          <t>코스피</t>
        </is>
      </c>
      <c r="D7637" s="2" t="inlineStr">
        <is>
          <t>100090</t>
        </is>
      </c>
      <c r="E7637" s="3" t="inlineStr">
        <is>
          <t xml:space="preserve">기업지배구조보고서공시              </t>
        </is>
      </c>
      <c r="F7637" s="3" t="inlineStr">
        <is>
          <t>SK오션플랜트</t>
        </is>
      </c>
      <c r="G7637" s="2" t="inlineStr">
        <is>
          <t>20260529801566</t>
        </is>
      </c>
      <c r="H7637" s="8">
        <f>HYPERLINK("https://dart.fss.or.kr/dsaf001/main.do?rcpNo=20260529801566", "공시열람")</f>
        <v/>
      </c>
    </row>
    <row r="7638">
      <c r="A7638" s="2" t="inlineStr">
        <is>
          <t>2026-05-29</t>
        </is>
      </c>
      <c r="B7638" s="3" t="inlineStr">
        <is>
          <t>이오플로우</t>
        </is>
      </c>
      <c r="C7638" s="2" t="inlineStr">
        <is>
          <t>코스닥</t>
        </is>
      </c>
      <c r="D7638" s="2" t="inlineStr">
        <is>
          <t>294090</t>
        </is>
      </c>
      <c r="E7638" s="3" t="inlineStr">
        <is>
          <t>소송등의판결ㆍ결정              (영업비밀보호법(“DTSA”)에 따른 영업비밀)</t>
        </is>
      </c>
      <c r="F7638" s="3" t="inlineStr">
        <is>
          <t>이오플로우</t>
        </is>
      </c>
      <c r="G7638" s="2" t="inlineStr">
        <is>
          <t>20260529901513</t>
        </is>
      </c>
      <c r="H7638" s="8">
        <f>HYPERLINK("https://dart.fss.or.kr/dsaf001/main.do?rcpNo=20260529901513", "공시열람")</f>
        <v/>
      </c>
    </row>
    <row r="7639">
      <c r="A7639" s="2" t="inlineStr">
        <is>
          <t>2026-05-29 (정정: 2026-06-26)</t>
        </is>
      </c>
      <c r="B7639" s="3" t="inlineStr">
        <is>
          <t>한진칼</t>
        </is>
      </c>
      <c r="C7639" s="2" t="inlineStr">
        <is>
          <t>코스피</t>
        </is>
      </c>
      <c r="D7639" s="2" t="inlineStr">
        <is>
          <t>180640</t>
        </is>
      </c>
      <c r="E7639" s="3" t="inlineStr">
        <is>
          <t>기업지배구조보고서공시               (정정: 20260626)</t>
        </is>
      </c>
      <c r="F7639" s="3" t="inlineStr">
        <is>
          <t>한진칼</t>
        </is>
      </c>
      <c r="G7639" s="2" t="inlineStr">
        <is>
          <t>20260626800031</t>
        </is>
      </c>
      <c r="H7639" s="8">
        <f>HYPERLINK("https://dart.fss.or.kr/dsaf001/main.do?rcpNo=20260626800031", "공시열람")</f>
        <v/>
      </c>
    </row>
    <row r="7640">
      <c r="A7640" s="2" t="inlineStr">
        <is>
          <t>2026-05-29</t>
        </is>
      </c>
      <c r="B7640" s="3" t="inlineStr">
        <is>
          <t>현대백화점</t>
        </is>
      </c>
      <c r="C7640" s="2" t="inlineStr">
        <is>
          <t>코스피</t>
        </is>
      </c>
      <c r="D7640" s="2" t="inlineStr">
        <is>
          <t>069960</t>
        </is>
      </c>
      <c r="E7640" s="3" t="inlineStr">
        <is>
          <t>대규모기업집단현황공시[연1회공시및1/4분기용(개별회사)]</t>
        </is>
      </c>
      <c r="F7640" s="3" t="inlineStr">
        <is>
          <t>현대백화점</t>
        </is>
      </c>
      <c r="G7640" s="2" t="inlineStr">
        <is>
          <t>20260529001768</t>
        </is>
      </c>
      <c r="H7640" s="8">
        <f>HYPERLINK("https://dart.fss.or.kr/dsaf001/main.do?rcpNo=20260529001768", "공시열람")</f>
        <v/>
      </c>
    </row>
    <row r="7641">
      <c r="A7641" s="2" t="inlineStr">
        <is>
          <t>2026-05-29</t>
        </is>
      </c>
      <c r="B7641" s="3" t="inlineStr">
        <is>
          <t>케이씨씨글라스</t>
        </is>
      </c>
      <c r="C7641" s="2" t="inlineStr">
        <is>
          <t>코스피</t>
        </is>
      </c>
      <c r="D7641" s="2" t="inlineStr">
        <is>
          <t>344820</t>
        </is>
      </c>
      <c r="E7641" s="3" t="inlineStr">
        <is>
          <t>대규모기업집단현황공시[연1회공시및1/4분기용(개별회사)]</t>
        </is>
      </c>
      <c r="F7641" s="3" t="inlineStr">
        <is>
          <t>케이씨씨글라스</t>
        </is>
      </c>
      <c r="G7641" s="2" t="inlineStr">
        <is>
          <t>20260529001765</t>
        </is>
      </c>
      <c r="H7641" s="8">
        <f>HYPERLINK("https://dart.fss.or.kr/dsaf001/main.do?rcpNo=20260529001765", "공시열람")</f>
        <v/>
      </c>
    </row>
    <row r="7642">
      <c r="A7642" s="2" t="inlineStr">
        <is>
          <t>2026-05-29</t>
        </is>
      </c>
      <c r="B7642" s="3" t="inlineStr">
        <is>
          <t>유진기업</t>
        </is>
      </c>
      <c r="C7642" s="2" t="inlineStr">
        <is>
          <t>코스닥</t>
        </is>
      </c>
      <c r="D7642" s="2" t="inlineStr">
        <is>
          <t>023410</t>
        </is>
      </c>
      <c r="E7642" s="3" t="inlineStr">
        <is>
          <t>대규모기업집단현황공시[연1회(동일인용)]</t>
        </is>
      </c>
      <c r="F7642" s="3" t="inlineStr">
        <is>
          <t>유경선</t>
        </is>
      </c>
      <c r="G7642" s="2" t="inlineStr">
        <is>
          <t>20260529001763</t>
        </is>
      </c>
      <c r="H7642" s="8">
        <f>HYPERLINK("https://dart.fss.or.kr/dsaf001/main.do?rcpNo=20260529001763", "공시열람")</f>
        <v/>
      </c>
    </row>
    <row r="7643">
      <c r="A7643" s="2" t="inlineStr">
        <is>
          <t>2026-05-29</t>
        </is>
      </c>
      <c r="B7643" s="3" t="inlineStr">
        <is>
          <t>키움증권</t>
        </is>
      </c>
      <c r="C7643" s="2" t="inlineStr">
        <is>
          <t>코스피</t>
        </is>
      </c>
      <c r="D7643" s="2" t="inlineStr">
        <is>
          <t>039490</t>
        </is>
      </c>
      <c r="E7643" s="3" t="inlineStr">
        <is>
          <t>증권발행실적보고서</t>
        </is>
      </c>
      <c r="F7643" s="3" t="inlineStr">
        <is>
          <t>키움증권</t>
        </is>
      </c>
      <c r="G7643" s="2" t="inlineStr">
        <is>
          <t>20260529001761</t>
        </is>
      </c>
      <c r="H7643" s="8">
        <f>HYPERLINK("https://dart.fss.or.kr/dsaf001/main.do?rcpNo=20260529001761", "공시열람")</f>
        <v/>
      </c>
    </row>
    <row r="7644">
      <c r="A7644" s="2" t="inlineStr">
        <is>
          <t>2026-05-29</t>
        </is>
      </c>
      <c r="B7644" s="3" t="inlineStr">
        <is>
          <t>키다리스튜디오</t>
        </is>
      </c>
      <c r="C7644" s="2" t="inlineStr">
        <is>
          <t>코스피</t>
        </is>
      </c>
      <c r="D7644" s="2" t="inlineStr">
        <is>
          <t>020120</t>
        </is>
      </c>
      <c r="E7644" s="3" t="inlineStr">
        <is>
          <t xml:space="preserve">기업지배구조보고서공시              </t>
        </is>
      </c>
      <c r="F7644" s="3" t="inlineStr">
        <is>
          <t>키다리스튜디오</t>
        </is>
      </c>
      <c r="G7644" s="2" t="inlineStr">
        <is>
          <t>20260529801546</t>
        </is>
      </c>
      <c r="H7644" s="8">
        <f>HYPERLINK("https://dart.fss.or.kr/dsaf001/main.do?rcpNo=20260529801546", "공시열람")</f>
        <v/>
      </c>
    </row>
    <row r="7645">
      <c r="A7645" s="2" t="inlineStr">
        <is>
          <t>2026-05-29</t>
        </is>
      </c>
      <c r="B7645" s="3" t="inlineStr">
        <is>
          <t>대성에너지</t>
        </is>
      </c>
      <c r="C7645" s="2" t="inlineStr">
        <is>
          <t>코스피</t>
        </is>
      </c>
      <c r="D7645" s="2" t="inlineStr">
        <is>
          <t>117580</t>
        </is>
      </c>
      <c r="E7645" s="3" t="inlineStr">
        <is>
          <t xml:space="preserve">기업지배구조보고서공시              </t>
        </is>
      </c>
      <c r="F7645" s="3" t="inlineStr">
        <is>
          <t>대성에너지</t>
        </is>
      </c>
      <c r="G7645" s="2" t="inlineStr">
        <is>
          <t>20260529801278</t>
        </is>
      </c>
      <c r="H7645" s="8">
        <f>HYPERLINK("https://dart.fss.or.kr/dsaf001/main.do?rcpNo=20260529801278", "공시열람")</f>
        <v/>
      </c>
    </row>
    <row r="7646">
      <c r="A7646" s="2" t="inlineStr">
        <is>
          <t>2026-05-29</t>
        </is>
      </c>
      <c r="B7646" s="3" t="inlineStr">
        <is>
          <t>케이티</t>
        </is>
      </c>
      <c r="C7646" s="2" t="inlineStr">
        <is>
          <t>코스피</t>
        </is>
      </c>
      <c r="D7646" s="2" t="inlineStr">
        <is>
          <t>030200</t>
        </is>
      </c>
      <c r="E7646" s="3" t="inlineStr">
        <is>
          <t>임원ㆍ주요주주특정증권등소유상황보고서</t>
        </is>
      </c>
      <c r="F7646" s="3" t="inlineStr">
        <is>
          <t>이승훈</t>
        </is>
      </c>
      <c r="G7646" s="2" t="inlineStr">
        <is>
          <t>20260529001758</t>
        </is>
      </c>
      <c r="H7646" s="8">
        <f>HYPERLINK("https://dart.fss.or.kr/dsaf001/main.do?rcpNo=20260529001758", "공시열람")</f>
        <v/>
      </c>
    </row>
    <row r="7647">
      <c r="A7647" s="2" t="inlineStr">
        <is>
          <t>2026-05-29</t>
        </is>
      </c>
      <c r="B7647" s="3" t="inlineStr">
        <is>
          <t>YG PLUS</t>
        </is>
      </c>
      <c r="C7647" s="2" t="inlineStr">
        <is>
          <t>코스피</t>
        </is>
      </c>
      <c r="D7647" s="2" t="inlineStr">
        <is>
          <t>037270</t>
        </is>
      </c>
      <c r="E7647" s="3" t="inlineStr">
        <is>
          <t xml:space="preserve">기업지배구조보고서공시              </t>
        </is>
      </c>
      <c r="F7647" s="3" t="inlineStr">
        <is>
          <t>YG PLUS</t>
        </is>
      </c>
      <c r="G7647" s="2" t="inlineStr">
        <is>
          <t>20260529801493</t>
        </is>
      </c>
      <c r="H7647" s="8">
        <f>HYPERLINK("https://dart.fss.or.kr/dsaf001/main.do?rcpNo=20260529801493", "공시열람")</f>
        <v/>
      </c>
    </row>
    <row r="7648">
      <c r="A7648" s="2" t="inlineStr">
        <is>
          <t>2026-05-29</t>
        </is>
      </c>
      <c r="B7648" s="3" t="inlineStr">
        <is>
          <t>더블유게임즈</t>
        </is>
      </c>
      <c r="C7648" s="2" t="inlineStr">
        <is>
          <t>코스피</t>
        </is>
      </c>
      <c r="D7648" s="2" t="inlineStr">
        <is>
          <t>192080</t>
        </is>
      </c>
      <c r="E7648" s="3" t="inlineStr">
        <is>
          <t xml:space="preserve">기업지배구조보고서공시              </t>
        </is>
      </c>
      <c r="F7648" s="3" t="inlineStr">
        <is>
          <t>더블유게임즈</t>
        </is>
      </c>
      <c r="G7648" s="2" t="inlineStr">
        <is>
          <t>20260529801542</t>
        </is>
      </c>
      <c r="H7648" s="8">
        <f>HYPERLINK("https://dart.fss.or.kr/dsaf001/main.do?rcpNo=20260529801542", "공시열람")</f>
        <v/>
      </c>
    </row>
    <row r="7649">
      <c r="A7649" s="2" t="inlineStr">
        <is>
          <t>2026-05-29</t>
        </is>
      </c>
      <c r="B7649" s="3" t="inlineStr">
        <is>
          <t>SIMPAC</t>
        </is>
      </c>
      <c r="C7649" s="2" t="inlineStr">
        <is>
          <t>코스피</t>
        </is>
      </c>
      <c r="D7649" s="2" t="inlineStr">
        <is>
          <t>009160</t>
        </is>
      </c>
      <c r="E7649" s="3" t="inlineStr">
        <is>
          <t>임원ㆍ주요주주특정증권등소유상황보고서</t>
        </is>
      </c>
      <c r="F7649" s="3" t="inlineStr">
        <is>
          <t>최민영</t>
        </is>
      </c>
      <c r="G7649" s="2" t="inlineStr">
        <is>
          <t>20260529001756</t>
        </is>
      </c>
      <c r="H7649" s="8">
        <f>HYPERLINK("https://dart.fss.or.kr/dsaf001/main.do?rcpNo=20260529001756", "공시열람")</f>
        <v/>
      </c>
    </row>
    <row r="7650">
      <c r="A7650" s="2" t="inlineStr">
        <is>
          <t>2026-05-29</t>
        </is>
      </c>
      <c r="B7650" s="3" t="inlineStr">
        <is>
          <t>퓨쳐켐</t>
        </is>
      </c>
      <c r="C7650" s="2" t="inlineStr">
        <is>
          <t>코스닥</t>
        </is>
      </c>
      <c r="D7650" s="2" t="inlineStr">
        <is>
          <t>220100</t>
        </is>
      </c>
      <c r="E7650" s="3" t="inlineStr">
        <is>
          <t>주권매매거래정지              (무상증자)</t>
        </is>
      </c>
      <c r="F7650" s="3" t="inlineStr">
        <is>
          <t>코스닥시장본부</t>
        </is>
      </c>
      <c r="G7650" s="2" t="inlineStr">
        <is>
          <t>20260529901518</t>
        </is>
      </c>
      <c r="H7650" s="8">
        <f>HYPERLINK("https://dart.fss.or.kr/dsaf001/main.do?rcpNo=20260529901518", "공시열람")</f>
        <v/>
      </c>
    </row>
    <row r="7651">
      <c r="A7651" s="2" t="inlineStr">
        <is>
          <t>2026-05-29</t>
        </is>
      </c>
      <c r="B7651" s="3" t="inlineStr">
        <is>
          <t>블루엠텍</t>
        </is>
      </c>
      <c r="C7651" s="2" t="inlineStr">
        <is>
          <t>코스닥</t>
        </is>
      </c>
      <c r="D7651" s="2" t="inlineStr">
        <is>
          <t>439580</t>
        </is>
      </c>
      <c r="E7651" s="3" t="inlineStr">
        <is>
          <t>임원ㆍ주요주주특정증권등소유상황보고서</t>
        </is>
      </c>
      <c r="F7651" s="3" t="inlineStr">
        <is>
          <t>연제량</t>
        </is>
      </c>
      <c r="G7651" s="2" t="inlineStr">
        <is>
          <t>20260529001747</t>
        </is>
      </c>
      <c r="H7651" s="8">
        <f>HYPERLINK("https://dart.fss.or.kr/dsaf001/main.do?rcpNo=20260529001747", "공시열람")</f>
        <v/>
      </c>
    </row>
    <row r="7652">
      <c r="A7652" s="2" t="inlineStr">
        <is>
          <t>2026-05-29</t>
        </is>
      </c>
      <c r="B7652" s="3" t="inlineStr">
        <is>
          <t>한솔케미칼</t>
        </is>
      </c>
      <c r="C7652" s="2" t="inlineStr">
        <is>
          <t>코스피</t>
        </is>
      </c>
      <c r="D7652" s="2" t="inlineStr">
        <is>
          <t>014680</t>
        </is>
      </c>
      <c r="E7652" s="3" t="inlineStr">
        <is>
          <t xml:space="preserve">기업지배구조보고서공시              </t>
        </is>
      </c>
      <c r="F7652" s="3" t="inlineStr">
        <is>
          <t>한솔케미칼</t>
        </is>
      </c>
      <c r="G7652" s="2" t="inlineStr">
        <is>
          <t>20260529801534</t>
        </is>
      </c>
      <c r="H7652" s="8">
        <f>HYPERLINK("https://dart.fss.or.kr/dsaf001/main.do?rcpNo=20260529801534", "공시열람")</f>
        <v/>
      </c>
    </row>
    <row r="7653">
      <c r="A7653" s="2" t="inlineStr">
        <is>
          <t>2026-05-29</t>
        </is>
      </c>
      <c r="B7653" s="3" t="inlineStr">
        <is>
          <t>이스타코</t>
        </is>
      </c>
      <c r="C7653" s="2" t="inlineStr">
        <is>
          <t>코스피</t>
        </is>
      </c>
      <c r="D7653" s="2" t="inlineStr">
        <is>
          <t>015020</t>
        </is>
      </c>
      <c r="E7653" s="3" t="inlineStr">
        <is>
          <t xml:space="preserve">기업지배구조보고서공시              </t>
        </is>
      </c>
      <c r="F7653" s="3" t="inlineStr">
        <is>
          <t>이스타코</t>
        </is>
      </c>
      <c r="G7653" s="2" t="inlineStr">
        <is>
          <t>20260529801528</t>
        </is>
      </c>
      <c r="H7653" s="8">
        <f>HYPERLINK("https://dart.fss.or.kr/dsaf001/main.do?rcpNo=20260529801528", "공시열람")</f>
        <v/>
      </c>
    </row>
    <row r="7654">
      <c r="A7654" s="2" t="inlineStr">
        <is>
          <t>2026-05-29</t>
        </is>
      </c>
      <c r="B7654" s="3" t="inlineStr">
        <is>
          <t>이엠앤아이</t>
        </is>
      </c>
      <c r="C7654" s="2" t="inlineStr">
        <is>
          <t>코스닥</t>
        </is>
      </c>
      <c r="D7654" s="2" t="inlineStr">
        <is>
          <t>083470</t>
        </is>
      </c>
      <c r="E7654" s="3" t="inlineStr">
        <is>
          <t xml:space="preserve">조회공시요구(현저한시황변동)에대한답변(미확정)              </t>
        </is>
      </c>
      <c r="F7654" s="3" t="inlineStr">
        <is>
          <t>이엠앤아이</t>
        </is>
      </c>
      <c r="G7654" s="2" t="inlineStr">
        <is>
          <t>20260529901487</t>
        </is>
      </c>
      <c r="H7654" s="8">
        <f>HYPERLINK("https://dart.fss.or.kr/dsaf001/main.do?rcpNo=20260529901487", "공시열람")</f>
        <v/>
      </c>
    </row>
    <row r="7655">
      <c r="A7655" s="2" t="inlineStr">
        <is>
          <t>2026-05-29</t>
        </is>
      </c>
      <c r="B7655" s="3" t="inlineStr">
        <is>
          <t>한국항공우주</t>
        </is>
      </c>
      <c r="C7655" s="2" t="inlineStr">
        <is>
          <t>코스피</t>
        </is>
      </c>
      <c r="D7655" s="2" t="inlineStr">
        <is>
          <t>047810</t>
        </is>
      </c>
      <c r="E7655" s="3" t="inlineStr">
        <is>
          <t>대규모기업집단현황공시[연1회(동일인용)]</t>
        </is>
      </c>
      <c r="F7655" s="3" t="inlineStr">
        <is>
          <t>한국항공우주</t>
        </is>
      </c>
      <c r="G7655" s="2" t="inlineStr">
        <is>
          <t>20260529001735</t>
        </is>
      </c>
      <c r="H7655" s="8">
        <f>HYPERLINK("https://dart.fss.or.kr/dsaf001/main.do?rcpNo=20260529001735", "공시열람")</f>
        <v/>
      </c>
    </row>
    <row r="7656">
      <c r="A7656" s="2" t="inlineStr">
        <is>
          <t>2026-05-29</t>
        </is>
      </c>
      <c r="B7656" s="3" t="inlineStr">
        <is>
          <t>SK네트웍스</t>
        </is>
      </c>
      <c r="C7656" s="2" t="inlineStr">
        <is>
          <t>코스피</t>
        </is>
      </c>
      <c r="D7656" s="2" t="inlineStr">
        <is>
          <t>001740</t>
        </is>
      </c>
      <c r="E7656" s="3" t="inlineStr">
        <is>
          <t>임원ㆍ주요주주특정증권등소유상황보고서</t>
        </is>
      </c>
      <c r="F7656" s="3" t="inlineStr">
        <is>
          <t>최신원</t>
        </is>
      </c>
      <c r="G7656" s="2" t="inlineStr">
        <is>
          <t>20260529001731</t>
        </is>
      </c>
      <c r="H7656" s="8">
        <f>HYPERLINK("https://dart.fss.or.kr/dsaf001/main.do?rcpNo=20260529001731", "공시열람")</f>
        <v/>
      </c>
    </row>
    <row r="7657">
      <c r="A7657" s="2" t="inlineStr">
        <is>
          <t>2026-05-29</t>
        </is>
      </c>
      <c r="B7657" s="3" t="inlineStr">
        <is>
          <t>인터지스</t>
        </is>
      </c>
      <c r="C7657" s="2" t="inlineStr">
        <is>
          <t>코스피</t>
        </is>
      </c>
      <c r="D7657" s="2" t="inlineStr">
        <is>
          <t>129260</t>
        </is>
      </c>
      <c r="E7657" s="3" t="inlineStr">
        <is>
          <t xml:space="preserve">기업지배구조보고서공시              </t>
        </is>
      </c>
      <c r="F7657" s="3" t="inlineStr">
        <is>
          <t>인터지스</t>
        </is>
      </c>
      <c r="G7657" s="2" t="inlineStr">
        <is>
          <t>20260529801395</t>
        </is>
      </c>
      <c r="H7657" s="8">
        <f>HYPERLINK("https://dart.fss.or.kr/dsaf001/main.do?rcpNo=20260529801395", "공시열람")</f>
        <v/>
      </c>
    </row>
    <row r="7658">
      <c r="A7658" s="2" t="inlineStr">
        <is>
          <t>2026-05-29</t>
        </is>
      </c>
      <c r="B7658" s="3" t="inlineStr">
        <is>
          <t>세진중공업</t>
        </is>
      </c>
      <c r="C7658" s="2" t="inlineStr">
        <is>
          <t>코스피</t>
        </is>
      </c>
      <c r="D7658" s="2" t="inlineStr">
        <is>
          <t>075580</t>
        </is>
      </c>
      <c r="E7658" s="3" t="inlineStr">
        <is>
          <t xml:space="preserve">기업지배구조보고서공시              </t>
        </is>
      </c>
      <c r="F7658" s="3" t="inlineStr">
        <is>
          <t>세진중공업</t>
        </is>
      </c>
      <c r="G7658" s="2" t="inlineStr">
        <is>
          <t>20260529801506</t>
        </is>
      </c>
      <c r="H7658" s="8">
        <f>HYPERLINK("https://dart.fss.or.kr/dsaf001/main.do?rcpNo=20260529801506", "공시열람")</f>
        <v/>
      </c>
    </row>
    <row r="7659">
      <c r="A7659" s="2" t="inlineStr">
        <is>
          <t>2026-05-29</t>
        </is>
      </c>
      <c r="B7659" s="3" t="inlineStr">
        <is>
          <t>신영증권</t>
        </is>
      </c>
      <c r="C7659" s="2" t="inlineStr">
        <is>
          <t>코스피</t>
        </is>
      </c>
      <c r="D7659" s="2" t="inlineStr">
        <is>
          <t>001720</t>
        </is>
      </c>
      <c r="E7659" s="3" t="inlineStr">
        <is>
          <t>일괄신고추가서류(파생결합증권-주가연계증권)</t>
        </is>
      </c>
      <c r="F7659" s="3" t="inlineStr">
        <is>
          <t>신영증권</t>
        </is>
      </c>
      <c r="G7659" s="2" t="inlineStr">
        <is>
          <t>20260529001724</t>
        </is>
      </c>
      <c r="H7659" s="8">
        <f>HYPERLINK("https://dart.fss.or.kr/dsaf001/main.do?rcpNo=20260529001724", "공시열람")</f>
        <v/>
      </c>
    </row>
    <row r="7660">
      <c r="A7660" s="2" t="inlineStr">
        <is>
          <t>2026-05-29</t>
        </is>
      </c>
      <c r="B7660" s="3" t="inlineStr">
        <is>
          <t>사조씨푸드</t>
        </is>
      </c>
      <c r="C7660" s="2" t="inlineStr">
        <is>
          <t>코스피</t>
        </is>
      </c>
      <c r="D7660" s="2" t="inlineStr">
        <is>
          <t>014710</t>
        </is>
      </c>
      <c r="E7660" s="3" t="inlineStr">
        <is>
          <t>대규모기업집단현황공시[연1회공시및1/4분기용(개별회사)]</t>
        </is>
      </c>
      <c r="F7660" s="3" t="inlineStr">
        <is>
          <t>사조씨푸드</t>
        </is>
      </c>
      <c r="G7660" s="2" t="inlineStr">
        <is>
          <t>20260529001723</t>
        </is>
      </c>
      <c r="H7660" s="8">
        <f>HYPERLINK("https://dart.fss.or.kr/dsaf001/main.do?rcpNo=20260529001723", "공시열람")</f>
        <v/>
      </c>
    </row>
    <row r="7661">
      <c r="A7661" s="2" t="inlineStr">
        <is>
          <t>2026-05-29</t>
        </is>
      </c>
      <c r="B7661" s="3" t="inlineStr">
        <is>
          <t>HD건설기계</t>
        </is>
      </c>
      <c r="C7661" s="2" t="inlineStr">
        <is>
          <t>코스피</t>
        </is>
      </c>
      <c r="D7661" s="2" t="inlineStr">
        <is>
          <t>267270</t>
        </is>
      </c>
      <c r="E7661" s="3" t="inlineStr">
        <is>
          <t>대규모기업집단현황공시[연1회공시및1/4분기용(개별회사)]</t>
        </is>
      </c>
      <c r="F7661" s="3" t="inlineStr">
        <is>
          <t>HD건설기계</t>
        </is>
      </c>
      <c r="G7661" s="2" t="inlineStr">
        <is>
          <t>20260529001722</t>
        </is>
      </c>
      <c r="H7661" s="8">
        <f>HYPERLINK("https://dart.fss.or.kr/dsaf001/main.do?rcpNo=20260529001722", "공시열람")</f>
        <v/>
      </c>
    </row>
    <row r="7662">
      <c r="A7662" s="2" t="inlineStr">
        <is>
          <t>2026-05-29</t>
        </is>
      </c>
      <c r="B7662" s="3" t="inlineStr">
        <is>
          <t>한국항공우주</t>
        </is>
      </c>
      <c r="C7662" s="2" t="inlineStr">
        <is>
          <t>코스피</t>
        </is>
      </c>
      <c r="D7662" s="2" t="inlineStr">
        <is>
          <t>047810</t>
        </is>
      </c>
      <c r="E7662" s="3" t="inlineStr">
        <is>
          <t>대규모기업집단현황공시[연1회공시및1/4분기용(대표회사)]</t>
        </is>
      </c>
      <c r="F7662" s="3" t="inlineStr">
        <is>
          <t>한국항공우주</t>
        </is>
      </c>
      <c r="G7662" s="2" t="inlineStr">
        <is>
          <t>20260529001720</t>
        </is>
      </c>
      <c r="H7662" s="8">
        <f>HYPERLINK("https://dart.fss.or.kr/dsaf001/main.do?rcpNo=20260529001720", "공시열람")</f>
        <v/>
      </c>
    </row>
    <row r="7663">
      <c r="A7663" s="2" t="inlineStr">
        <is>
          <t>2026-05-29</t>
        </is>
      </c>
      <c r="B7663" s="3" t="inlineStr">
        <is>
          <t>NH투자증권</t>
        </is>
      </c>
      <c r="C7663" s="2" t="inlineStr">
        <is>
          <t>코스피</t>
        </is>
      </c>
      <c r="D7663" s="2" t="inlineStr">
        <is>
          <t>005940</t>
        </is>
      </c>
      <c r="E7663" s="3" t="inlineStr">
        <is>
          <t>증권발행실적보고서</t>
        </is>
      </c>
      <c r="F7663" s="3" t="inlineStr">
        <is>
          <t>NH투자증권</t>
        </is>
      </c>
      <c r="G7663" s="2" t="inlineStr">
        <is>
          <t>20260529001719</t>
        </is>
      </c>
      <c r="H7663" s="8">
        <f>HYPERLINK("https://dart.fss.or.kr/dsaf001/main.do?rcpNo=20260529001719", "공시열람")</f>
        <v/>
      </c>
    </row>
    <row r="7664">
      <c r="A7664" s="2" t="inlineStr">
        <is>
          <t>2026-05-29</t>
        </is>
      </c>
      <c r="B7664" s="3" t="inlineStr">
        <is>
          <t>원익피앤이</t>
        </is>
      </c>
      <c r="C7664" s="2" t="inlineStr">
        <is>
          <t>코스닥</t>
        </is>
      </c>
      <c r="D7664" s="2" t="inlineStr">
        <is>
          <t>217820</t>
        </is>
      </c>
      <c r="E7664" s="3" t="inlineStr">
        <is>
          <t>대규모기업집단현황공시[연1회공시및1/4분기용(개별회사)]</t>
        </is>
      </c>
      <c r="F7664" s="3" t="inlineStr">
        <is>
          <t>원익피앤이</t>
        </is>
      </c>
      <c r="G7664" s="2" t="inlineStr">
        <is>
          <t>20260529001714</t>
        </is>
      </c>
      <c r="H7664" s="8">
        <f>HYPERLINK("https://dart.fss.or.kr/dsaf001/main.do?rcpNo=20260529001714", "공시열람")</f>
        <v/>
      </c>
    </row>
    <row r="7665">
      <c r="A7665" s="2" t="inlineStr">
        <is>
          <t>2026-05-29</t>
        </is>
      </c>
      <c r="B7665" s="3" t="inlineStr">
        <is>
          <t>신풍제약</t>
        </is>
      </c>
      <c r="C7665" s="2" t="inlineStr">
        <is>
          <t>코스피</t>
        </is>
      </c>
      <c r="D7665" s="2" t="inlineStr">
        <is>
          <t>019170</t>
        </is>
      </c>
      <c r="E7665" s="3" t="inlineStr">
        <is>
          <t xml:space="preserve">기업지배구조보고서공시              </t>
        </is>
      </c>
      <c r="F7665" s="3" t="inlineStr">
        <is>
          <t>신풍제약</t>
        </is>
      </c>
      <c r="G7665" s="2" t="inlineStr">
        <is>
          <t>20260529801365</t>
        </is>
      </c>
      <c r="H7665" s="8">
        <f>HYPERLINK("https://dart.fss.or.kr/dsaf001/main.do?rcpNo=20260529801365", "공시열람")</f>
        <v/>
      </c>
    </row>
    <row r="7666">
      <c r="A7666" s="2" t="inlineStr">
        <is>
          <t>2026-05-29</t>
        </is>
      </c>
      <c r="B7666" s="3" t="inlineStr">
        <is>
          <t>하이스틸</t>
        </is>
      </c>
      <c r="C7666" s="2" t="inlineStr">
        <is>
          <t>코스피</t>
        </is>
      </c>
      <c r="D7666" s="2" t="inlineStr">
        <is>
          <t>071090</t>
        </is>
      </c>
      <c r="E7666" s="3" t="inlineStr">
        <is>
          <t xml:space="preserve">기업지배구조보고서공시              </t>
        </is>
      </c>
      <c r="F7666" s="3" t="inlineStr">
        <is>
          <t>하이스틸</t>
        </is>
      </c>
      <c r="G7666" s="2" t="inlineStr">
        <is>
          <t>20260529801501</t>
        </is>
      </c>
      <c r="H7666" s="8">
        <f>HYPERLINK("https://dart.fss.or.kr/dsaf001/main.do?rcpNo=20260529801501", "공시열람")</f>
        <v/>
      </c>
    </row>
    <row r="7667">
      <c r="A7667" s="2" t="inlineStr">
        <is>
          <t>2026-05-29</t>
        </is>
      </c>
      <c r="B7667" s="3" t="inlineStr">
        <is>
          <t>ISC</t>
        </is>
      </c>
      <c r="C7667" s="2" t="inlineStr">
        <is>
          <t>코스닥</t>
        </is>
      </c>
      <c r="D7667" s="2" t="inlineStr">
        <is>
          <t>095340</t>
        </is>
      </c>
      <c r="E7667" s="3" t="inlineStr">
        <is>
          <t>대규모기업집단현황공시[연1회공시및1/4분기용(개별회사)]</t>
        </is>
      </c>
      <c r="F7667" s="3" t="inlineStr">
        <is>
          <t>ISC</t>
        </is>
      </c>
      <c r="G7667" s="2" t="inlineStr">
        <is>
          <t>20260529001706</t>
        </is>
      </c>
      <c r="H7667" s="8">
        <f>HYPERLINK("https://dart.fss.or.kr/dsaf001/main.do?rcpNo=20260529001706", "공시열람")</f>
        <v/>
      </c>
    </row>
    <row r="7668">
      <c r="A7668" s="2" t="inlineStr">
        <is>
          <t>2026-05-29</t>
        </is>
      </c>
      <c r="B7668" s="3" t="inlineStr">
        <is>
          <t>유안타증권</t>
        </is>
      </c>
      <c r="C7668" s="2" t="inlineStr">
        <is>
          <t>코스피</t>
        </is>
      </c>
      <c r="D7668" s="2" t="inlineStr">
        <is>
          <t>003470</t>
        </is>
      </c>
      <c r="E7668" s="3" t="inlineStr">
        <is>
          <t>투자설명서(일괄신고)</t>
        </is>
      </c>
      <c r="F7668" s="3" t="inlineStr">
        <is>
          <t>유안타증권</t>
        </is>
      </c>
      <c r="G7668" s="2" t="inlineStr">
        <is>
          <t>20260529001705</t>
        </is>
      </c>
      <c r="H7668" s="8">
        <f>HYPERLINK("https://dart.fss.or.kr/dsaf001/main.do?rcpNo=20260529001705", "공시열람")</f>
        <v/>
      </c>
    </row>
    <row r="7669">
      <c r="A7669" s="2" t="inlineStr">
        <is>
          <t>2026-05-29 (정정: 2026-05-29)</t>
        </is>
      </c>
      <c r="B7669" s="3" t="inlineStr">
        <is>
          <t>포스코인터내셔널</t>
        </is>
      </c>
      <c r="C7669" s="2" t="inlineStr">
        <is>
          <t>코스피</t>
        </is>
      </c>
      <c r="D7669" s="2" t="inlineStr">
        <is>
          <t>047050</t>
        </is>
      </c>
      <c r="E7669" s="3" t="inlineStr">
        <is>
          <t>기업지배구조보고서공시               (정정: 20260529) (정정: 20260529)</t>
        </is>
      </c>
      <c r="F7669" s="3" t="inlineStr">
        <is>
          <t>포스코인터내셔널</t>
        </is>
      </c>
      <c r="G7669" s="2" t="inlineStr">
        <is>
          <t>20260529000081</t>
        </is>
      </c>
      <c r="H7669" s="8">
        <f>HYPERLINK("https://dart.fss.or.kr/dsaf001/main.do?rcpNo=20260529000081", "공시열람")</f>
        <v/>
      </c>
    </row>
    <row r="7670">
      <c r="A7670" s="2" t="inlineStr">
        <is>
          <t>2026-05-29</t>
        </is>
      </c>
      <c r="B7670" s="3" t="inlineStr">
        <is>
          <t>교보증권</t>
        </is>
      </c>
      <c r="C7670" s="2" t="inlineStr">
        <is>
          <t>코스피</t>
        </is>
      </c>
      <c r="D7670" s="2" t="inlineStr">
        <is>
          <t>030610</t>
        </is>
      </c>
      <c r="E7670" s="3" t="inlineStr">
        <is>
          <t>증권발행실적보고서</t>
        </is>
      </c>
      <c r="F7670" s="3" t="inlineStr">
        <is>
          <t>교보증권</t>
        </is>
      </c>
      <c r="G7670" s="2" t="inlineStr">
        <is>
          <t>20260529001703</t>
        </is>
      </c>
      <c r="H7670" s="8">
        <f>HYPERLINK("https://dart.fss.or.kr/dsaf001/main.do?rcpNo=20260529001703", "공시열람")</f>
        <v/>
      </c>
    </row>
    <row r="7671">
      <c r="A7671" s="2" t="inlineStr">
        <is>
          <t>2026-05-29</t>
        </is>
      </c>
      <c r="B7671" s="3" t="inlineStr">
        <is>
          <t>프로이천</t>
        </is>
      </c>
      <c r="C7671" s="2" t="inlineStr">
        <is>
          <t>코스닥</t>
        </is>
      </c>
      <c r="D7671" s="2" t="inlineStr">
        <is>
          <t>321260</t>
        </is>
      </c>
      <c r="E7671" s="3" t="inlineStr">
        <is>
          <t xml:space="preserve">주주명부폐쇄기간또는기준일설정              </t>
        </is>
      </c>
      <c r="F7671" s="3" t="inlineStr">
        <is>
          <t>프로이천</t>
        </is>
      </c>
      <c r="G7671" s="2" t="inlineStr">
        <is>
          <t>20260529901507</t>
        </is>
      </c>
      <c r="H7671" s="8">
        <f>HYPERLINK("https://dart.fss.or.kr/dsaf001/main.do?rcpNo=20260529901507", "공시열람")</f>
        <v/>
      </c>
    </row>
    <row r="7672">
      <c r="A7672" s="2" t="inlineStr">
        <is>
          <t>2026-05-29</t>
        </is>
      </c>
      <c r="B7672" s="3" t="inlineStr">
        <is>
          <t>키움증권</t>
        </is>
      </c>
      <c r="C7672" s="2" t="inlineStr">
        <is>
          <t>코스피</t>
        </is>
      </c>
      <c r="D7672" s="2" t="inlineStr">
        <is>
          <t>039490</t>
        </is>
      </c>
      <c r="E7672" s="3" t="inlineStr">
        <is>
          <t>증권발행실적보고서</t>
        </is>
      </c>
      <c r="F7672" s="3" t="inlineStr">
        <is>
          <t>키움증권</t>
        </is>
      </c>
      <c r="G7672" s="2" t="inlineStr">
        <is>
          <t>20260529001702</t>
        </is>
      </c>
      <c r="H7672" s="8">
        <f>HYPERLINK("https://dart.fss.or.kr/dsaf001/main.do?rcpNo=20260529001702", "공시열람")</f>
        <v/>
      </c>
    </row>
    <row r="7673">
      <c r="A7673" s="2" t="inlineStr">
        <is>
          <t>2026-05-29</t>
        </is>
      </c>
      <c r="B7673" s="3" t="inlineStr">
        <is>
          <t>SGC E&amp;C</t>
        </is>
      </c>
      <c r="C7673" s="2" t="inlineStr">
        <is>
          <t>코스닥</t>
        </is>
      </c>
      <c r="D7673" s="2" t="inlineStr">
        <is>
          <t>016250</t>
        </is>
      </c>
      <c r="E7673" s="3" t="inlineStr">
        <is>
          <t>대규모기업집단현황공시[연1회공시및1/4분기용(개별회사)]</t>
        </is>
      </c>
      <c r="F7673" s="3" t="inlineStr">
        <is>
          <t>SGC E&amp;C</t>
        </is>
      </c>
      <c r="G7673" s="2" t="inlineStr">
        <is>
          <t>20260529001701</t>
        </is>
      </c>
      <c r="H7673" s="8">
        <f>HYPERLINK("https://dart.fss.or.kr/dsaf001/main.do?rcpNo=20260529001701", "공시열람")</f>
        <v/>
      </c>
    </row>
    <row r="7674">
      <c r="A7674" s="2" t="inlineStr">
        <is>
          <t>2026-05-29</t>
        </is>
      </c>
      <c r="B7674" s="3" t="inlineStr">
        <is>
          <t>DB증권</t>
        </is>
      </c>
      <c r="C7674" s="2" t="inlineStr">
        <is>
          <t>코스피</t>
        </is>
      </c>
      <c r="D7674" s="2" t="inlineStr">
        <is>
          <t>016610</t>
        </is>
      </c>
      <c r="E7674" s="3" t="inlineStr">
        <is>
          <t>대규모기업집단현황공시[연1회공시및1/4분기용(개별회사)]</t>
        </is>
      </c>
      <c r="F7674" s="3" t="inlineStr">
        <is>
          <t>DB증권</t>
        </is>
      </c>
      <c r="G7674" s="2" t="inlineStr">
        <is>
          <t>20260529001696</t>
        </is>
      </c>
      <c r="H7674" s="8">
        <f>HYPERLINK("https://dart.fss.or.kr/dsaf001/main.do?rcpNo=20260529001696", "공시열람")</f>
        <v/>
      </c>
    </row>
    <row r="7675">
      <c r="A7675" s="2" t="inlineStr">
        <is>
          <t>2026-05-29</t>
        </is>
      </c>
      <c r="B7675" s="3" t="inlineStr">
        <is>
          <t>SNT홀딩스</t>
        </is>
      </c>
      <c r="C7675" s="2" t="inlineStr">
        <is>
          <t>코스피</t>
        </is>
      </c>
      <c r="D7675" s="2" t="inlineStr">
        <is>
          <t>036530</t>
        </is>
      </c>
      <c r="E7675" s="3" t="inlineStr">
        <is>
          <t xml:space="preserve">기업지배구조보고서공시              </t>
        </is>
      </c>
      <c r="F7675" s="3" t="inlineStr">
        <is>
          <t>SNT홀딩스</t>
        </is>
      </c>
      <c r="G7675" s="2" t="inlineStr">
        <is>
          <t>20260529801484</t>
        </is>
      </c>
      <c r="H7675" s="8">
        <f>HYPERLINK("https://dart.fss.or.kr/dsaf001/main.do?rcpNo=20260529801484", "공시열람")</f>
        <v/>
      </c>
    </row>
    <row r="7676">
      <c r="A7676" s="2" t="inlineStr">
        <is>
          <t>2026-05-29</t>
        </is>
      </c>
      <c r="B7676" s="3" t="inlineStr">
        <is>
          <t>신영증권</t>
        </is>
      </c>
      <c r="C7676" s="2" t="inlineStr">
        <is>
          <t>코스피</t>
        </is>
      </c>
      <c r="D7676" s="2" t="inlineStr">
        <is>
          <t>001720</t>
        </is>
      </c>
      <c r="E7676" s="3" t="inlineStr">
        <is>
          <t xml:space="preserve">기업지배구조보고서공시(연차보고서)              </t>
        </is>
      </c>
      <c r="F7676" s="3" t="inlineStr">
        <is>
          <t>신영증권</t>
        </is>
      </c>
      <c r="G7676" s="2" t="inlineStr">
        <is>
          <t>20260529801485</t>
        </is>
      </c>
      <c r="H7676" s="8">
        <f>HYPERLINK("https://dart.fss.or.kr/dsaf001/main.do?rcpNo=20260529801485", "공시열람")</f>
        <v/>
      </c>
    </row>
    <row r="7677">
      <c r="A7677" s="2" t="inlineStr">
        <is>
          <t>2026-05-29</t>
        </is>
      </c>
      <c r="B7677" s="3" t="inlineStr">
        <is>
          <t>포스코스틸리온</t>
        </is>
      </c>
      <c r="C7677" s="2" t="inlineStr">
        <is>
          <t>코스피</t>
        </is>
      </c>
      <c r="D7677" s="2" t="inlineStr">
        <is>
          <t>058430</t>
        </is>
      </c>
      <c r="E7677" s="3" t="inlineStr">
        <is>
          <t xml:space="preserve">기업지배구조보고서공시              </t>
        </is>
      </c>
      <c r="F7677" s="3" t="inlineStr">
        <is>
          <t>포스코스틸리온</t>
        </is>
      </c>
      <c r="G7677" s="2" t="inlineStr">
        <is>
          <t>20260529801473</t>
        </is>
      </c>
      <c r="H7677" s="8">
        <f>HYPERLINK("https://dart.fss.or.kr/dsaf001/main.do?rcpNo=20260529801473", "공시열람")</f>
        <v/>
      </c>
    </row>
    <row r="7678">
      <c r="A7678" s="2" t="inlineStr">
        <is>
          <t>2026-05-29</t>
        </is>
      </c>
      <c r="B7678" s="3" t="inlineStr">
        <is>
          <t>남화산업</t>
        </is>
      </c>
      <c r="C7678" s="2" t="inlineStr">
        <is>
          <t>코스닥</t>
        </is>
      </c>
      <c r="D7678" s="2" t="inlineStr">
        <is>
          <t>111710</t>
        </is>
      </c>
      <c r="E7678" s="3" t="inlineStr">
        <is>
          <t>임원ㆍ주요주주특정증권등소유상황보고서</t>
        </is>
      </c>
      <c r="F7678" s="3" t="inlineStr">
        <is>
          <t>최현석</t>
        </is>
      </c>
      <c r="G7678" s="2" t="inlineStr">
        <is>
          <t>20260529001694</t>
        </is>
      </c>
      <c r="H7678" s="8">
        <f>HYPERLINK("https://dart.fss.or.kr/dsaf001/main.do?rcpNo=20260529001694", "공시열람")</f>
        <v/>
      </c>
    </row>
    <row r="7679">
      <c r="A7679" s="2" t="inlineStr">
        <is>
          <t>2026-05-29</t>
        </is>
      </c>
      <c r="B7679" s="3" t="inlineStr">
        <is>
          <t>교보증권</t>
        </is>
      </c>
      <c r="C7679" s="2" t="inlineStr">
        <is>
          <t>코스피</t>
        </is>
      </c>
      <c r="D7679" s="2" t="inlineStr">
        <is>
          <t>030610</t>
        </is>
      </c>
      <c r="E7679" s="3" t="inlineStr">
        <is>
          <t>증권발행실적보고서</t>
        </is>
      </c>
      <c r="F7679" s="3" t="inlineStr">
        <is>
          <t>교보증권</t>
        </is>
      </c>
      <c r="G7679" s="2" t="inlineStr">
        <is>
          <t>20260529001692</t>
        </is>
      </c>
      <c r="H7679" s="8">
        <f>HYPERLINK("https://dart.fss.or.kr/dsaf001/main.do?rcpNo=20260529001692", "공시열람")</f>
        <v/>
      </c>
    </row>
    <row r="7680">
      <c r="A7680" s="2" t="inlineStr">
        <is>
          <t>2026-05-29</t>
        </is>
      </c>
      <c r="B7680" s="3" t="inlineStr">
        <is>
          <t>HD현대마린엔진</t>
        </is>
      </c>
      <c r="C7680" s="2" t="inlineStr">
        <is>
          <t>코스피</t>
        </is>
      </c>
      <c r="D7680" s="2" t="inlineStr">
        <is>
          <t>071970</t>
        </is>
      </c>
      <c r="E7680" s="3" t="inlineStr">
        <is>
          <t>대규모기업집단현황공시[연1회공시및1/4분기용(개별회사)]</t>
        </is>
      </c>
      <c r="F7680" s="3" t="inlineStr">
        <is>
          <t>HD현대마린엔진</t>
        </is>
      </c>
      <c r="G7680" s="2" t="inlineStr">
        <is>
          <t>20260529001691</t>
        </is>
      </c>
      <c r="H7680" s="8">
        <f>HYPERLINK("https://dart.fss.or.kr/dsaf001/main.do?rcpNo=20260529001691", "공시열람")</f>
        <v/>
      </c>
    </row>
    <row r="7681">
      <c r="A7681" s="2" t="inlineStr">
        <is>
          <t>2026-05-29</t>
        </is>
      </c>
      <c r="B7681" s="3" t="inlineStr">
        <is>
          <t>키움증권</t>
        </is>
      </c>
      <c r="C7681" s="2" t="inlineStr">
        <is>
          <t>코스피</t>
        </is>
      </c>
      <c r="D7681" s="2" t="inlineStr">
        <is>
          <t>039490</t>
        </is>
      </c>
      <c r="E7681" s="3" t="inlineStr">
        <is>
          <t>증권발행실적보고서</t>
        </is>
      </c>
      <c r="F7681" s="3" t="inlineStr">
        <is>
          <t>키움증권</t>
        </is>
      </c>
      <c r="G7681" s="2" t="inlineStr">
        <is>
          <t>20260529001690</t>
        </is>
      </c>
      <c r="H7681" s="8">
        <f>HYPERLINK("https://dart.fss.or.kr/dsaf001/main.do?rcpNo=20260529001690", "공시열람")</f>
        <v/>
      </c>
    </row>
    <row r="7682">
      <c r="A7682" s="2" t="inlineStr">
        <is>
          <t>2026-05-29</t>
        </is>
      </c>
      <c r="B7682" s="3" t="inlineStr">
        <is>
          <t>한익스프레스</t>
        </is>
      </c>
      <c r="C7682" s="2" t="inlineStr">
        <is>
          <t>코스피</t>
        </is>
      </c>
      <c r="D7682" s="2" t="inlineStr">
        <is>
          <t>014130</t>
        </is>
      </c>
      <c r="E7682" s="3" t="inlineStr">
        <is>
          <t xml:space="preserve">기업지배구조보고서공시              </t>
        </is>
      </c>
      <c r="F7682" s="3" t="inlineStr">
        <is>
          <t>한익스프레스</t>
        </is>
      </c>
      <c r="G7682" s="2" t="inlineStr">
        <is>
          <t>20260529800097</t>
        </is>
      </c>
      <c r="H7682" s="8">
        <f>HYPERLINK("https://dart.fss.or.kr/dsaf001/main.do?rcpNo=20260529800097", "공시열람")</f>
        <v/>
      </c>
    </row>
    <row r="7683">
      <c r="A7683" s="2" t="inlineStr">
        <is>
          <t>2026-05-29 (정정: 2026-06-10)</t>
        </is>
      </c>
      <c r="B7683" s="3" t="inlineStr">
        <is>
          <t>YTN</t>
        </is>
      </c>
      <c r="C7683" s="2" t="inlineStr">
        <is>
          <t>코스닥</t>
        </is>
      </c>
      <c r="D7683" s="2" t="inlineStr">
        <is>
          <t>040300</t>
        </is>
      </c>
      <c r="E7683" s="3" t="inlineStr">
        <is>
          <t>대규모기업집단현황공시[연1회공시및1/4분기용(개별회사)] (정정: 20260610)</t>
        </is>
      </c>
      <c r="F7683" s="3" t="inlineStr">
        <is>
          <t>YTN</t>
        </is>
      </c>
      <c r="G7683" s="2" t="inlineStr">
        <is>
          <t>20260610900686</t>
        </is>
      </c>
      <c r="H7683" s="8">
        <f>HYPERLINK("https://dart.fss.or.kr/dsaf001/main.do?rcpNo=20260610900686", "공시열람")</f>
        <v/>
      </c>
    </row>
    <row r="7684">
      <c r="A7684" s="2" t="inlineStr">
        <is>
          <t>2026-05-29</t>
        </is>
      </c>
      <c r="B7684" s="3" t="inlineStr">
        <is>
          <t>LG헬로비전</t>
        </is>
      </c>
      <c r="C7684" s="2" t="inlineStr">
        <is>
          <t>코스피</t>
        </is>
      </c>
      <c r="D7684" s="2" t="inlineStr">
        <is>
          <t>037560</t>
        </is>
      </c>
      <c r="E7684" s="3" t="inlineStr">
        <is>
          <t xml:space="preserve">기업지배구조보고서공시              </t>
        </is>
      </c>
      <c r="F7684" s="3" t="inlineStr">
        <is>
          <t>LG헬로비전</t>
        </is>
      </c>
      <c r="G7684" s="2" t="inlineStr">
        <is>
          <t>20260529801475</t>
        </is>
      </c>
      <c r="H7684" s="8">
        <f>HYPERLINK("https://dart.fss.or.kr/dsaf001/main.do?rcpNo=20260529801475", "공시열람")</f>
        <v/>
      </c>
    </row>
    <row r="7685">
      <c r="A7685" s="2" t="inlineStr">
        <is>
          <t>2026-05-29</t>
        </is>
      </c>
      <c r="B7685" s="3" t="inlineStr">
        <is>
          <t>아시아나항공</t>
        </is>
      </c>
      <c r="C7685" s="2" t="inlineStr">
        <is>
          <t>코스피</t>
        </is>
      </c>
      <c r="D7685" s="2" t="inlineStr">
        <is>
          <t>020560</t>
        </is>
      </c>
      <c r="E7685" s="3" t="inlineStr">
        <is>
          <t>대규모기업집단현황공시[연1회공시및1/4분기용(개별회사)]</t>
        </is>
      </c>
      <c r="F7685" s="3" t="inlineStr">
        <is>
          <t>아시아나항공</t>
        </is>
      </c>
      <c r="G7685" s="2" t="inlineStr">
        <is>
          <t>20260529001683</t>
        </is>
      </c>
      <c r="H7685" s="8">
        <f>HYPERLINK("https://dart.fss.or.kr/dsaf001/main.do?rcpNo=20260529001683", "공시열람")</f>
        <v/>
      </c>
    </row>
    <row r="7686">
      <c r="A7686" s="2" t="inlineStr">
        <is>
          <t>2026-05-29</t>
        </is>
      </c>
      <c r="B7686" s="3" t="inlineStr">
        <is>
          <t>유안타증권</t>
        </is>
      </c>
      <c r="C7686" s="2" t="inlineStr">
        <is>
          <t>코스피</t>
        </is>
      </c>
      <c r="D7686" s="2" t="inlineStr">
        <is>
          <t>003470</t>
        </is>
      </c>
      <c r="E7686" s="3" t="inlineStr">
        <is>
          <t>일괄신고추가서류(파생결합사채-주가연계파생결합사채)</t>
        </is>
      </c>
      <c r="F7686" s="3" t="inlineStr">
        <is>
          <t>유안타증권</t>
        </is>
      </c>
      <c r="G7686" s="2" t="inlineStr">
        <is>
          <t>20260529001679</t>
        </is>
      </c>
      <c r="H7686" s="8">
        <f>HYPERLINK("https://dart.fss.or.kr/dsaf001/main.do?rcpNo=20260529001679", "공시열람")</f>
        <v/>
      </c>
    </row>
    <row r="7687">
      <c r="A7687" s="2" t="inlineStr">
        <is>
          <t>2026-05-29</t>
        </is>
      </c>
      <c r="B7687" s="3" t="inlineStr">
        <is>
          <t>에어부산</t>
        </is>
      </c>
      <c r="C7687" s="2" t="inlineStr">
        <is>
          <t>코스피</t>
        </is>
      </c>
      <c r="D7687" s="2" t="inlineStr">
        <is>
          <t>298690</t>
        </is>
      </c>
      <c r="E7687" s="3" t="inlineStr">
        <is>
          <t xml:space="preserve">기업지배구조보고서공시              </t>
        </is>
      </c>
      <c r="F7687" s="3" t="inlineStr">
        <is>
          <t>에어부산</t>
        </is>
      </c>
      <c r="G7687" s="2" t="inlineStr">
        <is>
          <t>20260529801467</t>
        </is>
      </c>
      <c r="H7687" s="8">
        <f>HYPERLINK("https://dart.fss.or.kr/dsaf001/main.do?rcpNo=20260529801467", "공시열람")</f>
        <v/>
      </c>
    </row>
    <row r="7688">
      <c r="A7688" s="2" t="inlineStr">
        <is>
          <t>2026-05-29</t>
        </is>
      </c>
      <c r="B7688" s="3" t="inlineStr">
        <is>
          <t>세방전지</t>
        </is>
      </c>
      <c r="C7688" s="2" t="inlineStr">
        <is>
          <t>코스피</t>
        </is>
      </c>
      <c r="D7688" s="2" t="inlineStr">
        <is>
          <t>004490</t>
        </is>
      </c>
      <c r="E7688" s="3" t="inlineStr">
        <is>
          <t xml:space="preserve">기업지배구조보고서공시              </t>
        </is>
      </c>
      <c r="F7688" s="3" t="inlineStr">
        <is>
          <t>세방전지</t>
        </is>
      </c>
      <c r="G7688" s="2" t="inlineStr">
        <is>
          <t>20260529801448</t>
        </is>
      </c>
      <c r="H7688" s="8">
        <f>HYPERLINK("https://dart.fss.or.kr/dsaf001/main.do?rcpNo=20260529801448", "공시열람")</f>
        <v/>
      </c>
    </row>
    <row r="7689">
      <c r="A7689" s="2" t="inlineStr">
        <is>
          <t>2026-05-29</t>
        </is>
      </c>
      <c r="B7689" s="3" t="inlineStr">
        <is>
          <t>한화비전</t>
        </is>
      </c>
      <c r="C7689" s="2" t="inlineStr">
        <is>
          <t>코스피</t>
        </is>
      </c>
      <c r="D7689" s="2" t="inlineStr">
        <is>
          <t>489790</t>
        </is>
      </c>
      <c r="E7689" s="3" t="inlineStr">
        <is>
          <t>대규모기업집단현황공시[연1회공시및1/4분기용(개별회사)]</t>
        </is>
      </c>
      <c r="F7689" s="3" t="inlineStr">
        <is>
          <t>한화비전</t>
        </is>
      </c>
      <c r="G7689" s="2" t="inlineStr">
        <is>
          <t>20260529001676</t>
        </is>
      </c>
      <c r="H7689" s="8">
        <f>HYPERLINK("https://dart.fss.or.kr/dsaf001/main.do?rcpNo=20260529001676", "공시열람")</f>
        <v/>
      </c>
    </row>
    <row r="7690">
      <c r="A7690" s="2" t="inlineStr">
        <is>
          <t>2026-05-29</t>
        </is>
      </c>
      <c r="B7690" s="3" t="inlineStr">
        <is>
          <t>두산퓨얼셀</t>
        </is>
      </c>
      <c r="C7690" s="2" t="inlineStr">
        <is>
          <t>코스피</t>
        </is>
      </c>
      <c r="D7690" s="2" t="inlineStr">
        <is>
          <t>336260</t>
        </is>
      </c>
      <c r="E7690" s="3" t="inlineStr">
        <is>
          <t xml:space="preserve">기업지배구조보고서공시              </t>
        </is>
      </c>
      <c r="F7690" s="3" t="inlineStr">
        <is>
          <t>두산퓨얼셀</t>
        </is>
      </c>
      <c r="G7690" s="2" t="inlineStr">
        <is>
          <t>20260529801457</t>
        </is>
      </c>
      <c r="H7690" s="8">
        <f>HYPERLINK("https://dart.fss.or.kr/dsaf001/main.do?rcpNo=20260529801457", "공시열람")</f>
        <v/>
      </c>
    </row>
    <row r="7691">
      <c r="A7691" s="2" t="inlineStr">
        <is>
          <t>2026-05-29</t>
        </is>
      </c>
      <c r="B7691" s="3" t="inlineStr">
        <is>
          <t>HD현대에너지솔루션</t>
        </is>
      </c>
      <c r="C7691" s="2" t="inlineStr">
        <is>
          <t>코스피</t>
        </is>
      </c>
      <c r="D7691" s="2" t="inlineStr">
        <is>
          <t>322000</t>
        </is>
      </c>
      <c r="E7691" s="3" t="inlineStr">
        <is>
          <t>대규모기업집단현황공시[연1회공시및1/4분기용(개별회사)]</t>
        </is>
      </c>
      <c r="F7691" s="3" t="inlineStr">
        <is>
          <t>HD현대에너지솔루션</t>
        </is>
      </c>
      <c r="G7691" s="2" t="inlineStr">
        <is>
          <t>20260529001674</t>
        </is>
      </c>
      <c r="H7691" s="8">
        <f>HYPERLINK("https://dart.fss.or.kr/dsaf001/main.do?rcpNo=20260529001674", "공시열람")</f>
        <v/>
      </c>
    </row>
    <row r="7692">
      <c r="A7692" s="2" t="inlineStr">
        <is>
          <t>2026-05-29</t>
        </is>
      </c>
      <c r="B7692" s="3" t="inlineStr">
        <is>
          <t>NH투자증권</t>
        </is>
      </c>
      <c r="C7692" s="2" t="inlineStr">
        <is>
          <t>코스피</t>
        </is>
      </c>
      <c r="D7692" s="2" t="inlineStr">
        <is>
          <t>005940</t>
        </is>
      </c>
      <c r="E7692" s="3" t="inlineStr">
        <is>
          <t>증권발행실적보고서</t>
        </is>
      </c>
      <c r="F7692" s="3" t="inlineStr">
        <is>
          <t>NH투자증권</t>
        </is>
      </c>
      <c r="G7692" s="2" t="inlineStr">
        <is>
          <t>20260529001671</t>
        </is>
      </c>
      <c r="H7692" s="8">
        <f>HYPERLINK("https://dart.fss.or.kr/dsaf001/main.do?rcpNo=20260529001671", "공시열람")</f>
        <v/>
      </c>
    </row>
    <row r="7693">
      <c r="A7693" s="2" t="inlineStr">
        <is>
          <t>2026-05-29</t>
        </is>
      </c>
      <c r="B7693" s="3" t="inlineStr">
        <is>
          <t>한화투자증권</t>
        </is>
      </c>
      <c r="C7693" s="2" t="inlineStr">
        <is>
          <t>코스피</t>
        </is>
      </c>
      <c r="D7693" s="2" t="inlineStr">
        <is>
          <t>003530</t>
        </is>
      </c>
      <c r="E7693" s="3" t="inlineStr">
        <is>
          <t>일괄신고추가서류(파생결합사채-주가연계파생결합사채)</t>
        </is>
      </c>
      <c r="F7693" s="3" t="inlineStr">
        <is>
          <t>한화투자증권</t>
        </is>
      </c>
      <c r="G7693" s="2" t="inlineStr">
        <is>
          <t>20260529001669</t>
        </is>
      </c>
      <c r="H7693" s="8">
        <f>HYPERLINK("https://dart.fss.or.kr/dsaf001/main.do?rcpNo=20260529001669", "공시열람")</f>
        <v/>
      </c>
    </row>
    <row r="7694">
      <c r="A7694" s="2" t="inlineStr">
        <is>
          <t>2026-05-29</t>
        </is>
      </c>
      <c r="B7694" s="3" t="inlineStr">
        <is>
          <t>씨아이테크</t>
        </is>
      </c>
      <c r="C7694" s="2" t="inlineStr">
        <is>
          <t>코스피</t>
        </is>
      </c>
      <c r="D7694" s="2" t="inlineStr">
        <is>
          <t>004920</t>
        </is>
      </c>
      <c r="E7694" s="3" t="inlineStr">
        <is>
          <t xml:space="preserve">기업지배구조보고서공시              </t>
        </is>
      </c>
      <c r="F7694" s="3" t="inlineStr">
        <is>
          <t>씨아이테크</t>
        </is>
      </c>
      <c r="G7694" s="2" t="inlineStr">
        <is>
          <t>20260529801433</t>
        </is>
      </c>
      <c r="H7694" s="8">
        <f>HYPERLINK("https://dart.fss.or.kr/dsaf001/main.do?rcpNo=20260529801433", "공시열람")</f>
        <v/>
      </c>
    </row>
    <row r="7695">
      <c r="A7695" s="2" t="inlineStr">
        <is>
          <t>2026-05-29</t>
        </is>
      </c>
      <c r="B7695" s="3" t="inlineStr">
        <is>
          <t>효성중공업</t>
        </is>
      </c>
      <c r="C7695" s="2" t="inlineStr">
        <is>
          <t>코스피</t>
        </is>
      </c>
      <c r="D7695" s="2" t="inlineStr">
        <is>
          <t>298040</t>
        </is>
      </c>
      <c r="E7695" s="3" t="inlineStr">
        <is>
          <t xml:space="preserve">기업지배구조보고서공시              </t>
        </is>
      </c>
      <c r="F7695" s="3" t="inlineStr">
        <is>
          <t>효성중공업</t>
        </is>
      </c>
      <c r="G7695" s="2" t="inlineStr">
        <is>
          <t>20260529801461</t>
        </is>
      </c>
      <c r="H7695" s="8">
        <f>HYPERLINK("https://dart.fss.or.kr/dsaf001/main.do?rcpNo=20260529801461", "공시열람")</f>
        <v/>
      </c>
    </row>
    <row r="7696">
      <c r="A7696" s="2" t="inlineStr">
        <is>
          <t>2026-05-29 (정정: 2026-05-29)</t>
        </is>
      </c>
      <c r="B7696" s="3" t="inlineStr">
        <is>
          <t>더존비즈온</t>
        </is>
      </c>
      <c r="C7696" s="2" t="inlineStr">
        <is>
          <t>코스피</t>
        </is>
      </c>
      <c r="D7696" s="2" t="inlineStr">
        <is>
          <t>012510</t>
        </is>
      </c>
      <c r="E7696" s="3" t="inlineStr">
        <is>
          <t>기업지배구조보고서공시               (정정: 20260529) (정정: 20260529)</t>
        </is>
      </c>
      <c r="F7696" s="3" t="inlineStr">
        <is>
          <t>더존비즈온</t>
        </is>
      </c>
      <c r="G7696" s="2" t="inlineStr">
        <is>
          <t>20260529801314</t>
        </is>
      </c>
      <c r="H7696" s="8">
        <f>HYPERLINK("https://dart.fss.or.kr/dsaf001/main.do?rcpNo=20260529801314", "공시열람")</f>
        <v/>
      </c>
    </row>
    <row r="7697">
      <c r="A7697" s="2" t="inlineStr">
        <is>
          <t>2026-05-29</t>
        </is>
      </c>
      <c r="B7697" s="3" t="inlineStr">
        <is>
          <t>SNT에너지</t>
        </is>
      </c>
      <c r="C7697" s="2" t="inlineStr">
        <is>
          <t>코스피</t>
        </is>
      </c>
      <c r="D7697" s="2" t="inlineStr">
        <is>
          <t>100840</t>
        </is>
      </c>
      <c r="E7697" s="3" t="inlineStr">
        <is>
          <t xml:space="preserve">기업지배구조보고서공시              </t>
        </is>
      </c>
      <c r="F7697" s="3" t="inlineStr">
        <is>
          <t>SNT에너지</t>
        </is>
      </c>
      <c r="G7697" s="2" t="inlineStr">
        <is>
          <t>20260529801446</t>
        </is>
      </c>
      <c r="H7697" s="8">
        <f>HYPERLINK("https://dart.fss.or.kr/dsaf001/main.do?rcpNo=20260529801446", "공시열람")</f>
        <v/>
      </c>
    </row>
    <row r="7698">
      <c r="A7698" s="2" t="inlineStr">
        <is>
          <t>2026-05-29</t>
        </is>
      </c>
      <c r="B7698" s="3" t="inlineStr">
        <is>
          <t>더본코리아</t>
        </is>
      </c>
      <c r="C7698" s="2" t="inlineStr">
        <is>
          <t>코스피</t>
        </is>
      </c>
      <c r="D7698" s="2" t="inlineStr">
        <is>
          <t>475560</t>
        </is>
      </c>
      <c r="E7698" s="3" t="inlineStr">
        <is>
          <t xml:space="preserve">기업지배구조보고서공시              </t>
        </is>
      </c>
      <c r="F7698" s="3" t="inlineStr">
        <is>
          <t>더본코리아</t>
        </is>
      </c>
      <c r="G7698" s="2" t="inlineStr">
        <is>
          <t>20260529801333</t>
        </is>
      </c>
      <c r="H7698" s="8">
        <f>HYPERLINK("https://dart.fss.or.kr/dsaf001/main.do?rcpNo=20260529801333", "공시열람")</f>
        <v/>
      </c>
    </row>
    <row r="7699">
      <c r="A7699" s="2" t="inlineStr">
        <is>
          <t>2026-05-29</t>
        </is>
      </c>
      <c r="B7699" s="3" t="inlineStr">
        <is>
          <t>유진증권</t>
        </is>
      </c>
      <c r="C7699" s="2" t="inlineStr">
        <is>
          <t>코스피</t>
        </is>
      </c>
      <c r="D7699" s="2" t="inlineStr">
        <is>
          <t>001200</t>
        </is>
      </c>
      <c r="E7699" s="3" t="inlineStr">
        <is>
          <t>대규모기업집단현황공시[연1회공시및1/4분기용(개별회사)]</t>
        </is>
      </c>
      <c r="F7699" s="3" t="inlineStr">
        <is>
          <t>유진증권</t>
        </is>
      </c>
      <c r="G7699" s="2" t="inlineStr">
        <is>
          <t>20260529001659</t>
        </is>
      </c>
      <c r="H7699" s="8">
        <f>HYPERLINK("https://dart.fss.or.kr/dsaf001/main.do?rcpNo=20260529001659", "공시열람")</f>
        <v/>
      </c>
    </row>
    <row r="7700">
      <c r="A7700" s="2" t="inlineStr">
        <is>
          <t>2026-05-29</t>
        </is>
      </c>
      <c r="B7700" s="3" t="inlineStr">
        <is>
          <t>이마트</t>
        </is>
      </c>
      <c r="C7700" s="2" t="inlineStr">
        <is>
          <t>코스피</t>
        </is>
      </c>
      <c r="D7700" s="2" t="inlineStr">
        <is>
          <t>139480</t>
        </is>
      </c>
      <c r="E7700" s="3" t="inlineStr">
        <is>
          <t xml:space="preserve">기업지배구조보고서공시              </t>
        </is>
      </c>
      <c r="F7700" s="3" t="inlineStr">
        <is>
          <t>이마트</t>
        </is>
      </c>
      <c r="G7700" s="2" t="inlineStr">
        <is>
          <t>20260529801437</t>
        </is>
      </c>
      <c r="H7700" s="8">
        <f>HYPERLINK("https://dart.fss.or.kr/dsaf001/main.do?rcpNo=20260529801437", "공시열람")</f>
        <v/>
      </c>
    </row>
    <row r="7701">
      <c r="A7701" s="2" t="inlineStr">
        <is>
          <t>2026-05-29</t>
        </is>
      </c>
      <c r="B7701" s="3" t="inlineStr">
        <is>
          <t>LX홀딩스</t>
        </is>
      </c>
      <c r="C7701" s="2" t="inlineStr">
        <is>
          <t>코스피</t>
        </is>
      </c>
      <c r="D7701" s="2" t="inlineStr">
        <is>
          <t>383800</t>
        </is>
      </c>
      <c r="E7701" s="3" t="inlineStr">
        <is>
          <t>대규모기업집단현황공시[연1회(동일인용)]</t>
        </is>
      </c>
      <c r="F7701" s="3" t="inlineStr">
        <is>
          <t>구본준</t>
        </is>
      </c>
      <c r="G7701" s="2" t="inlineStr">
        <is>
          <t>20260529001652</t>
        </is>
      </c>
      <c r="H7701" s="8">
        <f>HYPERLINK("https://dart.fss.or.kr/dsaf001/main.do?rcpNo=20260529001652", "공시열람")</f>
        <v/>
      </c>
    </row>
    <row r="7702">
      <c r="A7702" s="2" t="inlineStr">
        <is>
          <t>2026-05-29</t>
        </is>
      </c>
      <c r="B7702" s="3" t="inlineStr">
        <is>
          <t>원포유</t>
        </is>
      </c>
      <c r="C7702" s="2" t="inlineStr">
        <is>
          <t>코넥스</t>
        </is>
      </c>
      <c r="D7702" s="2" t="inlineStr">
        <is>
          <t>122830</t>
        </is>
      </c>
      <c r="E7702" s="3" t="inlineStr">
        <is>
          <t>임원ㆍ주요주주특정증권등소유상황보고서</t>
        </is>
      </c>
      <c r="F7702" s="3" t="inlineStr">
        <is>
          <t>전동호</t>
        </is>
      </c>
      <c r="G7702" s="2" t="inlineStr">
        <is>
          <t>20260529001651</t>
        </is>
      </c>
      <c r="H7702" s="8">
        <f>HYPERLINK("https://dart.fss.or.kr/dsaf001/main.do?rcpNo=20260529001651", "공시열람")</f>
        <v/>
      </c>
    </row>
    <row r="7703">
      <c r="A7703" s="2" t="inlineStr">
        <is>
          <t>2026-05-29</t>
        </is>
      </c>
      <c r="B7703" s="3" t="inlineStr">
        <is>
          <t>SNT다이내믹스</t>
        </is>
      </c>
      <c r="C7703" s="2" t="inlineStr">
        <is>
          <t>코스피</t>
        </is>
      </c>
      <c r="D7703" s="2" t="inlineStr">
        <is>
          <t>003570</t>
        </is>
      </c>
      <c r="E7703" s="3" t="inlineStr">
        <is>
          <t xml:space="preserve">기업지배구조보고서공시              </t>
        </is>
      </c>
      <c r="F7703" s="3" t="inlineStr">
        <is>
          <t>SNT다이내믹스</t>
        </is>
      </c>
      <c r="G7703" s="2" t="inlineStr">
        <is>
          <t>20260529801401</t>
        </is>
      </c>
      <c r="H7703" s="8">
        <f>HYPERLINK("https://dart.fss.or.kr/dsaf001/main.do?rcpNo=20260529801401", "공시열람")</f>
        <v/>
      </c>
    </row>
    <row r="7704">
      <c r="A7704" s="2" t="inlineStr">
        <is>
          <t>2026-05-29</t>
        </is>
      </c>
      <c r="B7704" s="3" t="inlineStr">
        <is>
          <t>SK네트웍스</t>
        </is>
      </c>
      <c r="C7704" s="2" t="inlineStr">
        <is>
          <t>코스피</t>
        </is>
      </c>
      <c r="D7704" s="2" t="inlineStr">
        <is>
          <t>001740</t>
        </is>
      </c>
      <c r="E7704" s="3" t="inlineStr">
        <is>
          <t xml:space="preserve">기업지배구조보고서공시              </t>
        </is>
      </c>
      <c r="F7704" s="3" t="inlineStr">
        <is>
          <t>SK네트웍스</t>
        </is>
      </c>
      <c r="G7704" s="2" t="inlineStr">
        <is>
          <t>20260529800495</t>
        </is>
      </c>
      <c r="H7704" s="8">
        <f>HYPERLINK("https://dart.fss.or.kr/dsaf001/main.do?rcpNo=20260529800495", "공시열람")</f>
        <v/>
      </c>
    </row>
    <row r="7705">
      <c r="A7705" s="2" t="inlineStr">
        <is>
          <t>2026-05-29</t>
        </is>
      </c>
      <c r="B7705" s="3" t="inlineStr">
        <is>
          <t>NH투자증권</t>
        </is>
      </c>
      <c r="C7705" s="2" t="inlineStr">
        <is>
          <t>코스피</t>
        </is>
      </c>
      <c r="D7705" s="2" t="inlineStr">
        <is>
          <t>005940</t>
        </is>
      </c>
      <c r="E7705" s="3" t="inlineStr">
        <is>
          <t>증권발행실적보고서</t>
        </is>
      </c>
      <c r="F7705" s="3" t="inlineStr">
        <is>
          <t>NH투자증권</t>
        </is>
      </c>
      <c r="G7705" s="2" t="inlineStr">
        <is>
          <t>20260529001646</t>
        </is>
      </c>
      <c r="H7705" s="8">
        <f>HYPERLINK("https://dart.fss.or.kr/dsaf001/main.do?rcpNo=20260529001646", "공시열람")</f>
        <v/>
      </c>
    </row>
    <row r="7706">
      <c r="A7706" s="2" t="inlineStr">
        <is>
          <t>2026-05-29</t>
        </is>
      </c>
      <c r="B7706" s="3" t="inlineStr">
        <is>
          <t>삼양사</t>
        </is>
      </c>
      <c r="C7706" s="2" t="inlineStr">
        <is>
          <t>코스피</t>
        </is>
      </c>
      <c r="D7706" s="2" t="inlineStr">
        <is>
          <t>145990</t>
        </is>
      </c>
      <c r="E7706" s="3" t="inlineStr">
        <is>
          <t xml:space="preserve">타법인주식및출자증권취득결정(종속회사의주요경영사항)              </t>
        </is>
      </c>
      <c r="F7706" s="3" t="inlineStr">
        <is>
          <t>삼양사</t>
        </is>
      </c>
      <c r="G7706" s="2" t="inlineStr">
        <is>
          <t>20260529801443</t>
        </is>
      </c>
      <c r="H7706" s="8">
        <f>HYPERLINK("https://dart.fss.or.kr/dsaf001/main.do?rcpNo=20260529801443", "공시열람")</f>
        <v/>
      </c>
    </row>
    <row r="7707">
      <c r="A7707" s="2" t="inlineStr">
        <is>
          <t>2026-05-29</t>
        </is>
      </c>
      <c r="B7707" s="3" t="inlineStr">
        <is>
          <t>레뷰코퍼레이션</t>
        </is>
      </c>
      <c r="C7707" s="2" t="inlineStr">
        <is>
          <t>코스닥</t>
        </is>
      </c>
      <c r="D7707" s="2" t="inlineStr">
        <is>
          <t>443250</t>
        </is>
      </c>
      <c r="E7707" s="3" t="inlineStr">
        <is>
          <t>신탁계약해지결과보고서</t>
        </is>
      </c>
      <c r="F7707" s="3" t="inlineStr">
        <is>
          <t>레뷰코퍼레이션</t>
        </is>
      </c>
      <c r="G7707" s="2" t="inlineStr">
        <is>
          <t>20260529001643</t>
        </is>
      </c>
      <c r="H7707" s="8">
        <f>HYPERLINK("https://dart.fss.or.kr/dsaf001/main.do?rcpNo=20260529001643", "공시열람")</f>
        <v/>
      </c>
    </row>
    <row r="7708">
      <c r="A7708" s="2" t="inlineStr">
        <is>
          <t>2026-05-29</t>
        </is>
      </c>
      <c r="B7708" s="3" t="inlineStr">
        <is>
          <t>SNT모티브</t>
        </is>
      </c>
      <c r="C7708" s="2" t="inlineStr">
        <is>
          <t>코스피</t>
        </is>
      </c>
      <c r="D7708" s="2" t="inlineStr">
        <is>
          <t>064960</t>
        </is>
      </c>
      <c r="E7708" s="3" t="inlineStr">
        <is>
          <t xml:space="preserve">기업지배구조보고서공시              </t>
        </is>
      </c>
      <c r="F7708" s="3" t="inlineStr">
        <is>
          <t>SNT모티브</t>
        </is>
      </c>
      <c r="G7708" s="2" t="inlineStr">
        <is>
          <t>20260529801226</t>
        </is>
      </c>
      <c r="H7708" s="8">
        <f>HYPERLINK("https://dart.fss.or.kr/dsaf001/main.do?rcpNo=20260529801226", "공시열람")</f>
        <v/>
      </c>
    </row>
    <row r="7709">
      <c r="A7709" s="2" t="inlineStr">
        <is>
          <t>2026-05-29</t>
        </is>
      </c>
      <c r="B7709" s="3" t="inlineStr">
        <is>
          <t>에어부산</t>
        </is>
      </c>
      <c r="C7709" s="2" t="inlineStr">
        <is>
          <t>코스피</t>
        </is>
      </c>
      <c r="D7709" s="2" t="inlineStr">
        <is>
          <t>298690</t>
        </is>
      </c>
      <c r="E7709" s="3" t="inlineStr">
        <is>
          <t>대규모기업집단현황공시[연1회공시및1/4분기용(개별회사)]</t>
        </is>
      </c>
      <c r="F7709" s="3" t="inlineStr">
        <is>
          <t>에어부산</t>
        </is>
      </c>
      <c r="G7709" s="2" t="inlineStr">
        <is>
          <t>20260529001639</t>
        </is>
      </c>
      <c r="H7709" s="8">
        <f>HYPERLINK("https://dart.fss.or.kr/dsaf001/main.do?rcpNo=20260529001639", "공시열람")</f>
        <v/>
      </c>
    </row>
    <row r="7710">
      <c r="A7710" s="2" t="inlineStr">
        <is>
          <t>2026-05-29</t>
        </is>
      </c>
      <c r="B7710" s="3" t="inlineStr">
        <is>
          <t>현대이지웰</t>
        </is>
      </c>
      <c r="C7710" s="2" t="inlineStr">
        <is>
          <t>코스닥</t>
        </is>
      </c>
      <c r="D7710" s="2" t="inlineStr">
        <is>
          <t>090850</t>
        </is>
      </c>
      <c r="E7710" s="3" t="inlineStr">
        <is>
          <t>대규모기업집단현황공시[연1회공시및1/4분기용(개별회사)]</t>
        </is>
      </c>
      <c r="F7710" s="3" t="inlineStr">
        <is>
          <t>현대이지웰</t>
        </is>
      </c>
      <c r="G7710" s="2" t="inlineStr">
        <is>
          <t>20260529001637</t>
        </is>
      </c>
      <c r="H7710" s="8">
        <f>HYPERLINK("https://dart.fss.or.kr/dsaf001/main.do?rcpNo=20260529001637", "공시열람")</f>
        <v/>
      </c>
    </row>
    <row r="7711">
      <c r="A7711" s="2" t="inlineStr">
        <is>
          <t>2026-05-29</t>
        </is>
      </c>
      <c r="B7711" s="3" t="inlineStr">
        <is>
          <t>LG생활건강</t>
        </is>
      </c>
      <c r="C7711" s="2" t="inlineStr">
        <is>
          <t>코스피</t>
        </is>
      </c>
      <c r="D7711" s="2" t="inlineStr">
        <is>
          <t>051900</t>
        </is>
      </c>
      <c r="E7711" s="3" t="inlineStr">
        <is>
          <t xml:space="preserve">기업지배구조보고서공시              </t>
        </is>
      </c>
      <c r="F7711" s="3" t="inlineStr">
        <is>
          <t>LG생활건강</t>
        </is>
      </c>
      <c r="G7711" s="2" t="inlineStr">
        <is>
          <t>20260529801408</t>
        </is>
      </c>
      <c r="H7711" s="8">
        <f>HYPERLINK("https://dart.fss.or.kr/dsaf001/main.do?rcpNo=20260529801408", "공시열람")</f>
        <v/>
      </c>
    </row>
    <row r="7712">
      <c r="A7712" s="2" t="inlineStr">
        <is>
          <t>2026-05-29</t>
        </is>
      </c>
      <c r="B7712" s="3" t="inlineStr">
        <is>
          <t>NH투자증권</t>
        </is>
      </c>
      <c r="C7712" s="2" t="inlineStr">
        <is>
          <t>코스피</t>
        </is>
      </c>
      <c r="D7712" s="2" t="inlineStr">
        <is>
          <t>005940</t>
        </is>
      </c>
      <c r="E7712" s="3" t="inlineStr">
        <is>
          <t>증권발행실적보고서</t>
        </is>
      </c>
      <c r="F7712" s="3" t="inlineStr">
        <is>
          <t>NH투자증권</t>
        </is>
      </c>
      <c r="G7712" s="2" t="inlineStr">
        <is>
          <t>20260529001636</t>
        </is>
      </c>
      <c r="H7712" s="8">
        <f>HYPERLINK("https://dart.fss.or.kr/dsaf001/main.do?rcpNo=20260529001636", "공시열람")</f>
        <v/>
      </c>
    </row>
    <row r="7713">
      <c r="A7713" s="2" t="inlineStr">
        <is>
          <t>2026-05-29</t>
        </is>
      </c>
      <c r="B7713" s="3" t="inlineStr">
        <is>
          <t>현대차증권</t>
        </is>
      </c>
      <c r="C7713" s="2" t="inlineStr">
        <is>
          <t>코스피</t>
        </is>
      </c>
      <c r="D7713" s="2" t="inlineStr">
        <is>
          <t>001500</t>
        </is>
      </c>
      <c r="E7713" s="3" t="inlineStr">
        <is>
          <t>증권발행실적보고서</t>
        </is>
      </c>
      <c r="F7713" s="3" t="inlineStr">
        <is>
          <t>현대차증권</t>
        </is>
      </c>
      <c r="G7713" s="2" t="inlineStr">
        <is>
          <t>20260529001635</t>
        </is>
      </c>
      <c r="H7713" s="8">
        <f>HYPERLINK("https://dart.fss.or.kr/dsaf001/main.do?rcpNo=20260529001635", "공시열람")</f>
        <v/>
      </c>
    </row>
    <row r="7714">
      <c r="A7714" s="2" t="inlineStr">
        <is>
          <t>2026-05-29</t>
        </is>
      </c>
      <c r="B7714" s="3" t="inlineStr">
        <is>
          <t>와이투솔루션</t>
        </is>
      </c>
      <c r="C7714" s="2" t="inlineStr">
        <is>
          <t>코스피</t>
        </is>
      </c>
      <c r="D7714" s="2" t="inlineStr">
        <is>
          <t>011690</t>
        </is>
      </c>
      <c r="E7714" s="3" t="inlineStr">
        <is>
          <t xml:space="preserve">기업지배구조보고서공시              </t>
        </is>
      </c>
      <c r="F7714" s="3" t="inlineStr">
        <is>
          <t>와이투솔루션</t>
        </is>
      </c>
      <c r="G7714" s="2" t="inlineStr">
        <is>
          <t>20260529801405</t>
        </is>
      </c>
      <c r="H7714" s="8">
        <f>HYPERLINK("https://dart.fss.or.kr/dsaf001/main.do?rcpNo=20260529801405", "공시열람")</f>
        <v/>
      </c>
    </row>
    <row r="7715">
      <c r="A7715" s="2" t="inlineStr">
        <is>
          <t>2026-05-29</t>
        </is>
      </c>
      <c r="B7715" s="3" t="inlineStr">
        <is>
          <t>삼성전자</t>
        </is>
      </c>
      <c r="C7715" s="2" t="inlineStr">
        <is>
          <t>코스피</t>
        </is>
      </c>
      <c r="D7715" s="2" t="inlineStr">
        <is>
          <t>005930</t>
        </is>
      </c>
      <c r="E7715" s="3" t="inlineStr">
        <is>
          <t>임원ㆍ주요주주특정증권등소유상황보고서</t>
        </is>
      </c>
      <c r="F7715" s="3" t="inlineStr">
        <is>
          <t>김경석</t>
        </is>
      </c>
      <c r="G7715" s="2" t="inlineStr">
        <is>
          <t>20260529001627</t>
        </is>
      </c>
      <c r="H7715" s="8">
        <f>HYPERLINK("https://dart.fss.or.kr/dsaf001/main.do?rcpNo=20260529001627", "공시열람")</f>
        <v/>
      </c>
    </row>
    <row r="7716">
      <c r="A7716" s="2" t="inlineStr">
        <is>
          <t>2026-05-29</t>
        </is>
      </c>
      <c r="B7716" s="3" t="inlineStr">
        <is>
          <t>부국증권</t>
        </is>
      </c>
      <c r="C7716" s="2" t="inlineStr">
        <is>
          <t>코스피</t>
        </is>
      </c>
      <c r="D7716" s="2" t="inlineStr">
        <is>
          <t>001270</t>
        </is>
      </c>
      <c r="E7716" s="3" t="inlineStr">
        <is>
          <t xml:space="preserve">기업지배구조보고서공시              </t>
        </is>
      </c>
      <c r="F7716" s="3" t="inlineStr">
        <is>
          <t>부국증권</t>
        </is>
      </c>
      <c r="G7716" s="2" t="inlineStr">
        <is>
          <t>20260529801379</t>
        </is>
      </c>
      <c r="H7716" s="8">
        <f>HYPERLINK("https://dart.fss.or.kr/dsaf001/main.do?rcpNo=20260529801379", "공시열람")</f>
        <v/>
      </c>
    </row>
    <row r="7717">
      <c r="A7717" s="2" t="inlineStr">
        <is>
          <t>2026-05-29</t>
        </is>
      </c>
      <c r="B7717" s="3" t="inlineStr">
        <is>
          <t>케이씨씨글라스</t>
        </is>
      </c>
      <c r="C7717" s="2" t="inlineStr">
        <is>
          <t>코스피</t>
        </is>
      </c>
      <c r="D7717" s="2" t="inlineStr">
        <is>
          <t>344820</t>
        </is>
      </c>
      <c r="E7717" s="3" t="inlineStr">
        <is>
          <t xml:space="preserve">기업지배구조보고서공시              </t>
        </is>
      </c>
      <c r="F7717" s="3" t="inlineStr">
        <is>
          <t>케이씨씨글라스</t>
        </is>
      </c>
      <c r="G7717" s="2" t="inlineStr">
        <is>
          <t>20260529801353</t>
        </is>
      </c>
      <c r="H7717" s="8">
        <f>HYPERLINK("https://dart.fss.or.kr/dsaf001/main.do?rcpNo=20260529801353", "공시열람")</f>
        <v/>
      </c>
    </row>
    <row r="7718">
      <c r="A7718" s="2" t="inlineStr">
        <is>
          <t>2026-05-29</t>
        </is>
      </c>
      <c r="B7718" s="3" t="inlineStr">
        <is>
          <t>카카오뱅크</t>
        </is>
      </c>
      <c r="C7718" s="2" t="inlineStr">
        <is>
          <t>코스피</t>
        </is>
      </c>
      <c r="D7718" s="2" t="inlineStr">
        <is>
          <t>323410</t>
        </is>
      </c>
      <c r="E7718" s="3" t="inlineStr">
        <is>
          <t>대규모기업집단현황공시[연1회공시및1/4분기용(개별회사)]</t>
        </is>
      </c>
      <c r="F7718" s="3" t="inlineStr">
        <is>
          <t>카카오뱅크</t>
        </is>
      </c>
      <c r="G7718" s="2" t="inlineStr">
        <is>
          <t>20260529001617</t>
        </is>
      </c>
      <c r="H7718" s="8">
        <f>HYPERLINK("https://dart.fss.or.kr/dsaf001/main.do?rcpNo=20260529001617", "공시열람")</f>
        <v/>
      </c>
    </row>
    <row r="7719">
      <c r="A7719" s="2" t="inlineStr">
        <is>
          <t>2026-05-29</t>
        </is>
      </c>
      <c r="B7719" s="3" t="inlineStr">
        <is>
          <t>금호전기</t>
        </is>
      </c>
      <c r="C7719" s="2" t="inlineStr">
        <is>
          <t>코스피</t>
        </is>
      </c>
      <c r="D7719" s="2" t="inlineStr">
        <is>
          <t>001210</t>
        </is>
      </c>
      <c r="E7719" s="3" t="inlineStr">
        <is>
          <t xml:space="preserve">기업지배구조보고서공시              </t>
        </is>
      </c>
      <c r="F7719" s="3" t="inlineStr">
        <is>
          <t>금호전기</t>
        </is>
      </c>
      <c r="G7719" s="2" t="inlineStr">
        <is>
          <t>20260529801397</t>
        </is>
      </c>
      <c r="H7719" s="8">
        <f>HYPERLINK("https://dart.fss.or.kr/dsaf001/main.do?rcpNo=20260529801397", "공시열람")</f>
        <v/>
      </c>
    </row>
    <row r="7720">
      <c r="A7720" s="2" t="inlineStr">
        <is>
          <t>2026-05-29</t>
        </is>
      </c>
      <c r="B7720" s="3" t="inlineStr">
        <is>
          <t>티플랙스</t>
        </is>
      </c>
      <c r="C7720" s="2" t="inlineStr">
        <is>
          <t>코스닥</t>
        </is>
      </c>
      <c r="D7720" s="2" t="inlineStr">
        <is>
          <t>081150</t>
        </is>
      </c>
      <c r="E7720" s="3" t="inlineStr">
        <is>
          <t>자기주식처분결과보고서</t>
        </is>
      </c>
      <c r="F7720" s="3" t="inlineStr">
        <is>
          <t>티플랙스</t>
        </is>
      </c>
      <c r="G7720" s="2" t="inlineStr">
        <is>
          <t>20260529001613</t>
        </is>
      </c>
      <c r="H7720" s="8">
        <f>HYPERLINK("https://dart.fss.or.kr/dsaf001/main.do?rcpNo=20260529001613", "공시열람")</f>
        <v/>
      </c>
    </row>
    <row r="7721">
      <c r="A7721" s="2" t="inlineStr">
        <is>
          <t>2026-05-29</t>
        </is>
      </c>
      <c r="B7721" s="3" t="inlineStr">
        <is>
          <t>SK네트웍스</t>
        </is>
      </c>
      <c r="C7721" s="2" t="inlineStr">
        <is>
          <t>코스피</t>
        </is>
      </c>
      <c r="D7721" s="2" t="inlineStr">
        <is>
          <t>001740</t>
        </is>
      </c>
      <c r="E7721" s="3" t="inlineStr">
        <is>
          <t>대규모기업집단현황공시[연1회공시및1/4분기용(개별회사)]</t>
        </is>
      </c>
      <c r="F7721" s="3" t="inlineStr">
        <is>
          <t>SK네트웍스</t>
        </is>
      </c>
      <c r="G7721" s="2" t="inlineStr">
        <is>
          <t>20260529001612</t>
        </is>
      </c>
      <c r="H7721" s="8">
        <f>HYPERLINK("https://dart.fss.or.kr/dsaf001/main.do?rcpNo=20260529001612", "공시열람")</f>
        <v/>
      </c>
    </row>
    <row r="7722">
      <c r="A7722" s="2" t="inlineStr">
        <is>
          <t>2026-05-29</t>
        </is>
      </c>
      <c r="B7722" s="3" t="inlineStr">
        <is>
          <t>하이브</t>
        </is>
      </c>
      <c r="C7722" s="2" t="inlineStr">
        <is>
          <t>코스피</t>
        </is>
      </c>
      <c r="D7722" s="2" t="inlineStr">
        <is>
          <t>352820</t>
        </is>
      </c>
      <c r="E7722" s="3" t="inlineStr">
        <is>
          <t xml:space="preserve">기업지배구조보고서공시              </t>
        </is>
      </c>
      <c r="F7722" s="3" t="inlineStr">
        <is>
          <t>하이브</t>
        </is>
      </c>
      <c r="G7722" s="2" t="inlineStr">
        <is>
          <t>20260529801390</t>
        </is>
      </c>
      <c r="H7722" s="8">
        <f>HYPERLINK("https://dart.fss.or.kr/dsaf001/main.do?rcpNo=20260529801390", "공시열람")</f>
        <v/>
      </c>
    </row>
    <row r="7723">
      <c r="A7723" s="2" t="inlineStr">
        <is>
          <t>2026-05-29</t>
        </is>
      </c>
      <c r="B7723" s="3" t="inlineStr">
        <is>
          <t>포니링크</t>
        </is>
      </c>
      <c r="C7723" s="2" t="inlineStr">
        <is>
          <t>코스닥</t>
        </is>
      </c>
      <c r="D7723" s="2" t="inlineStr">
        <is>
          <t>064800</t>
        </is>
      </c>
      <c r="E7723" s="3" t="inlineStr">
        <is>
          <t xml:space="preserve">전환사채(해외전환사채포함)발행후만기전사채취득              </t>
        </is>
      </c>
      <c r="F7723" s="3" t="inlineStr">
        <is>
          <t>포니링크</t>
        </is>
      </c>
      <c r="G7723" s="2" t="inlineStr">
        <is>
          <t>20260529901398</t>
        </is>
      </c>
      <c r="H7723" s="8">
        <f>HYPERLINK("https://dart.fss.or.kr/dsaf001/main.do?rcpNo=20260529901398", "공시열람")</f>
        <v/>
      </c>
    </row>
    <row r="7724">
      <c r="A7724" s="2" t="inlineStr">
        <is>
          <t>2026-05-29</t>
        </is>
      </c>
      <c r="B7724" s="3" t="inlineStr">
        <is>
          <t>명문제약</t>
        </is>
      </c>
      <c r="C7724" s="2" t="inlineStr">
        <is>
          <t>코스피</t>
        </is>
      </c>
      <c r="D7724" s="2" t="inlineStr">
        <is>
          <t>017180</t>
        </is>
      </c>
      <c r="E7724" s="3" t="inlineStr">
        <is>
          <t xml:space="preserve">기업지배구조보고서공시              </t>
        </is>
      </c>
      <c r="F7724" s="3" t="inlineStr">
        <is>
          <t>명문제약</t>
        </is>
      </c>
      <c r="G7724" s="2" t="inlineStr">
        <is>
          <t>20260529801387</t>
        </is>
      </c>
      <c r="H7724" s="8">
        <f>HYPERLINK("https://dart.fss.or.kr/dsaf001/main.do?rcpNo=20260529801387", "공시열람")</f>
        <v/>
      </c>
    </row>
    <row r="7725">
      <c r="A7725" s="2" t="inlineStr">
        <is>
          <t>2026-05-29</t>
        </is>
      </c>
      <c r="B7725" s="3" t="inlineStr">
        <is>
          <t>키움증권</t>
        </is>
      </c>
      <c r="C7725" s="2" t="inlineStr">
        <is>
          <t>코스피</t>
        </is>
      </c>
      <c r="D7725" s="2" t="inlineStr">
        <is>
          <t>039490</t>
        </is>
      </c>
      <c r="E7725" s="3" t="inlineStr">
        <is>
          <t>증권발행실적보고서</t>
        </is>
      </c>
      <c r="F7725" s="3" t="inlineStr">
        <is>
          <t>키움증권</t>
        </is>
      </c>
      <c r="G7725" s="2" t="inlineStr">
        <is>
          <t>20260529001603</t>
        </is>
      </c>
      <c r="H7725" s="8">
        <f>HYPERLINK("https://dart.fss.or.kr/dsaf001/main.do?rcpNo=20260529001603", "공시열람")</f>
        <v/>
      </c>
    </row>
    <row r="7726">
      <c r="A7726" s="2" t="inlineStr">
        <is>
          <t>2026-05-29</t>
        </is>
      </c>
      <c r="B7726" s="3" t="inlineStr">
        <is>
          <t>일진다이아</t>
        </is>
      </c>
      <c r="C7726" s="2" t="inlineStr">
        <is>
          <t>코스피</t>
        </is>
      </c>
      <c r="D7726" s="2" t="inlineStr">
        <is>
          <t>081000</t>
        </is>
      </c>
      <c r="E7726" s="3" t="inlineStr">
        <is>
          <t xml:space="preserve">기업지배구조보고서공시              </t>
        </is>
      </c>
      <c r="F7726" s="3" t="inlineStr">
        <is>
          <t>일진다이아</t>
        </is>
      </c>
      <c r="G7726" s="2" t="inlineStr">
        <is>
          <t>20260529801367</t>
        </is>
      </c>
      <c r="H7726" s="8">
        <f>HYPERLINK("https://dart.fss.or.kr/dsaf001/main.do?rcpNo=20260529801367", "공시열람")</f>
        <v/>
      </c>
    </row>
    <row r="7727">
      <c r="A7727" s="2" t="inlineStr">
        <is>
          <t>2026-05-29</t>
        </is>
      </c>
      <c r="B7727" s="3" t="inlineStr">
        <is>
          <t>현대바이오랜드</t>
        </is>
      </c>
      <c r="C7727" s="2" t="inlineStr">
        <is>
          <t>코스닥</t>
        </is>
      </c>
      <c r="D7727" s="2" t="inlineStr">
        <is>
          <t>052260</t>
        </is>
      </c>
      <c r="E7727" s="3" t="inlineStr">
        <is>
          <t>대규모기업집단현황공시[연1회공시및1/4분기용(개별회사)]</t>
        </is>
      </c>
      <c r="F7727" s="3" t="inlineStr">
        <is>
          <t>현대바이오랜드</t>
        </is>
      </c>
      <c r="G7727" s="2" t="inlineStr">
        <is>
          <t>20260529001601</t>
        </is>
      </c>
      <c r="H7727" s="8">
        <f>HYPERLINK("https://dart.fss.or.kr/dsaf001/main.do?rcpNo=20260529001601", "공시열람")</f>
        <v/>
      </c>
    </row>
    <row r="7728">
      <c r="A7728" s="2" t="inlineStr">
        <is>
          <t>2026-05-29</t>
        </is>
      </c>
      <c r="B7728" s="3" t="inlineStr">
        <is>
          <t>POSCO홀딩스</t>
        </is>
      </c>
      <c r="C7728" s="2" t="inlineStr">
        <is>
          <t>코스피</t>
        </is>
      </c>
      <c r="D7728" s="2" t="inlineStr">
        <is>
          <t>005490</t>
        </is>
      </c>
      <c r="E7728" s="3" t="inlineStr">
        <is>
          <t xml:space="preserve">기업지배구조보고서공시              </t>
        </is>
      </c>
      <c r="F7728" s="3" t="inlineStr">
        <is>
          <t>POSCO홀딩스</t>
        </is>
      </c>
      <c r="G7728" s="2" t="inlineStr">
        <is>
          <t>20260529801369</t>
        </is>
      </c>
      <c r="H7728" s="8">
        <f>HYPERLINK("https://dart.fss.or.kr/dsaf001/main.do?rcpNo=20260529801369", "공시열람")</f>
        <v/>
      </c>
    </row>
    <row r="7729">
      <c r="A7729" s="2" t="inlineStr">
        <is>
          <t>2026-05-29</t>
        </is>
      </c>
      <c r="B7729" s="3" t="inlineStr">
        <is>
          <t>키움증권</t>
        </is>
      </c>
      <c r="C7729" s="2" t="inlineStr">
        <is>
          <t>코스피</t>
        </is>
      </c>
      <c r="D7729" s="2" t="inlineStr">
        <is>
          <t>039490</t>
        </is>
      </c>
      <c r="E7729" s="3" t="inlineStr">
        <is>
          <t>증권발행실적보고서</t>
        </is>
      </c>
      <c r="F7729" s="3" t="inlineStr">
        <is>
          <t>키움증권</t>
        </is>
      </c>
      <c r="G7729" s="2" t="inlineStr">
        <is>
          <t>20260529001594</t>
        </is>
      </c>
      <c r="H7729" s="8">
        <f>HYPERLINK("https://dart.fss.or.kr/dsaf001/main.do?rcpNo=20260529001594", "공시열람")</f>
        <v/>
      </c>
    </row>
    <row r="7730">
      <c r="A7730" s="2" t="inlineStr">
        <is>
          <t>2026-05-29 (정정: 2026-06-08)</t>
        </is>
      </c>
      <c r="B7730" s="3" t="inlineStr">
        <is>
          <t>현대에버다임</t>
        </is>
      </c>
      <c r="C7730" s="2" t="inlineStr">
        <is>
          <t>코스닥</t>
        </is>
      </c>
      <c r="D7730" s="2" t="inlineStr">
        <is>
          <t>041440</t>
        </is>
      </c>
      <c r="E7730" s="3" t="inlineStr">
        <is>
          <t>대규모기업집단현황공시[연1회공시및1/4분기용(개별회사)] (정정: 20260608)</t>
        </is>
      </c>
      <c r="F7730" s="3" t="inlineStr">
        <is>
          <t>현대에버다임</t>
        </is>
      </c>
      <c r="G7730" s="2" t="inlineStr">
        <is>
          <t>20260608000442</t>
        </is>
      </c>
      <c r="H7730" s="8">
        <f>HYPERLINK("https://dart.fss.or.kr/dsaf001/main.do?rcpNo=20260608000442", "공시열람")</f>
        <v/>
      </c>
    </row>
    <row r="7731">
      <c r="A7731" s="2" t="inlineStr">
        <is>
          <t>2026-05-29</t>
        </is>
      </c>
      <c r="B7731" s="3" t="inlineStr">
        <is>
          <t>교보증권</t>
        </is>
      </c>
      <c r="C7731" s="2" t="inlineStr">
        <is>
          <t>코스피</t>
        </is>
      </c>
      <c r="D7731" s="2" t="inlineStr">
        <is>
          <t>030610</t>
        </is>
      </c>
      <c r="E7731" s="3" t="inlineStr">
        <is>
          <t>투자설명서(일괄신고)</t>
        </is>
      </c>
      <c r="F7731" s="3" t="inlineStr">
        <is>
          <t>교보증권</t>
        </is>
      </c>
      <c r="G7731" s="2" t="inlineStr">
        <is>
          <t>20260529001590</t>
        </is>
      </c>
      <c r="H7731" s="8">
        <f>HYPERLINK("https://dart.fss.or.kr/dsaf001/main.do?rcpNo=20260529001590", "공시열람")</f>
        <v/>
      </c>
    </row>
    <row r="7732">
      <c r="A7732" s="2" t="inlineStr">
        <is>
          <t>2026-05-29</t>
        </is>
      </c>
      <c r="B7732" s="3" t="inlineStr">
        <is>
          <t>한화오션</t>
        </is>
      </c>
      <c r="C7732" s="2" t="inlineStr">
        <is>
          <t>코스피</t>
        </is>
      </c>
      <c r="D7732" s="2" t="inlineStr">
        <is>
          <t>042660</t>
        </is>
      </c>
      <c r="E7732" s="3" t="inlineStr">
        <is>
          <t xml:space="preserve">기업지배구조보고서공시              </t>
        </is>
      </c>
      <c r="F7732" s="3" t="inlineStr">
        <is>
          <t>한화오션</t>
        </is>
      </c>
      <c r="G7732" s="2" t="inlineStr">
        <is>
          <t>20260529801371</t>
        </is>
      </c>
      <c r="H7732" s="8">
        <f>HYPERLINK("https://dart.fss.or.kr/dsaf001/main.do?rcpNo=20260529801371", "공시열람")</f>
        <v/>
      </c>
    </row>
    <row r="7733">
      <c r="A7733" s="2" t="inlineStr">
        <is>
          <t>2026-05-29</t>
        </is>
      </c>
      <c r="B7733" s="3" t="inlineStr">
        <is>
          <t>LX인터내셔널</t>
        </is>
      </c>
      <c r="C7733" s="2" t="inlineStr">
        <is>
          <t>코스피</t>
        </is>
      </c>
      <c r="D7733" s="2" t="inlineStr">
        <is>
          <t>001120</t>
        </is>
      </c>
      <c r="E7733" s="3" t="inlineStr">
        <is>
          <t>대규모기업집단현황공시[연1회공시및1/4분기용(개별회사)]</t>
        </is>
      </c>
      <c r="F7733" s="3" t="inlineStr">
        <is>
          <t>LX인터내셔널</t>
        </is>
      </c>
      <c r="G7733" s="2" t="inlineStr">
        <is>
          <t>20260529001582</t>
        </is>
      </c>
      <c r="H7733" s="8">
        <f>HYPERLINK("https://dart.fss.or.kr/dsaf001/main.do?rcpNo=20260529001582", "공시열람")</f>
        <v/>
      </c>
    </row>
    <row r="7734">
      <c r="A7734" s="2" t="inlineStr">
        <is>
          <t>2026-05-29</t>
        </is>
      </c>
      <c r="B7734" s="3" t="inlineStr">
        <is>
          <t>유진기업</t>
        </is>
      </c>
      <c r="C7734" s="2" t="inlineStr">
        <is>
          <t>코스닥</t>
        </is>
      </c>
      <c r="D7734" s="2" t="inlineStr">
        <is>
          <t>023410</t>
        </is>
      </c>
      <c r="E7734" s="3" t="inlineStr">
        <is>
          <t>대규모기업집단현황공시[연1회공시및1/4분기용(대표회사)]</t>
        </is>
      </c>
      <c r="F7734" s="3" t="inlineStr">
        <is>
          <t>유진기업</t>
        </is>
      </c>
      <c r="G7734" s="2" t="inlineStr">
        <is>
          <t>20260529001581</t>
        </is>
      </c>
      <c r="H7734" s="8">
        <f>HYPERLINK("https://dart.fss.or.kr/dsaf001/main.do?rcpNo=20260529001581", "공시열람")</f>
        <v/>
      </c>
    </row>
    <row r="7735">
      <c r="A7735" s="2" t="inlineStr">
        <is>
          <t>2026-05-29</t>
        </is>
      </c>
      <c r="B7735" s="3" t="inlineStr">
        <is>
          <t>대성홀딩스</t>
        </is>
      </c>
      <c r="C7735" s="2" t="inlineStr">
        <is>
          <t>코스피</t>
        </is>
      </c>
      <c r="D7735" s="2" t="inlineStr">
        <is>
          <t>016710</t>
        </is>
      </c>
      <c r="E7735" s="3" t="inlineStr">
        <is>
          <t xml:space="preserve">기업지배구조보고서공시              </t>
        </is>
      </c>
      <c r="F7735" s="3" t="inlineStr">
        <is>
          <t>대성홀딩스</t>
        </is>
      </c>
      <c r="G7735" s="2" t="inlineStr">
        <is>
          <t>20260529801360</t>
        </is>
      </c>
      <c r="H7735" s="8">
        <f>HYPERLINK("https://dart.fss.or.kr/dsaf001/main.do?rcpNo=20260529801360", "공시열람")</f>
        <v/>
      </c>
    </row>
    <row r="7736">
      <c r="A7736" s="2" t="inlineStr">
        <is>
          <t>2026-05-29</t>
        </is>
      </c>
      <c r="B7736" s="3" t="inlineStr">
        <is>
          <t>세아홀딩스</t>
        </is>
      </c>
      <c r="C7736" s="2" t="inlineStr">
        <is>
          <t>코스피</t>
        </is>
      </c>
      <c r="D7736" s="2" t="inlineStr">
        <is>
          <t>058650</t>
        </is>
      </c>
      <c r="E7736" s="3" t="inlineStr">
        <is>
          <t>대규모기업집단현황공시[연1회(동일인용)]</t>
        </is>
      </c>
      <c r="F7736" s="3" t="inlineStr">
        <is>
          <t>이순형(李舜珩)</t>
        </is>
      </c>
      <c r="G7736" s="2" t="inlineStr">
        <is>
          <t>20260529001580</t>
        </is>
      </c>
      <c r="H7736" s="8">
        <f>HYPERLINK("https://dart.fss.or.kr/dsaf001/main.do?rcpNo=20260529001580", "공시열람")</f>
        <v/>
      </c>
    </row>
    <row r="7737">
      <c r="A7737" s="2" t="inlineStr">
        <is>
          <t>2026-05-29</t>
        </is>
      </c>
      <c r="B7737" s="3" t="inlineStr">
        <is>
          <t>HL홀딩스</t>
        </is>
      </c>
      <c r="C7737" s="2" t="inlineStr">
        <is>
          <t>코스피</t>
        </is>
      </c>
      <c r="D7737" s="2" t="inlineStr">
        <is>
          <t>060980</t>
        </is>
      </c>
      <c r="E7737" s="3" t="inlineStr">
        <is>
          <t>대규모기업집단현황공시[연1회공시및1/4분기용(대표회사)]</t>
        </is>
      </c>
      <c r="F7737" s="3" t="inlineStr">
        <is>
          <t>HL홀딩스</t>
        </is>
      </c>
      <c r="G7737" s="2" t="inlineStr">
        <is>
          <t>20260529001579</t>
        </is>
      </c>
      <c r="H7737" s="8">
        <f>HYPERLINK("https://dart.fss.or.kr/dsaf001/main.do?rcpNo=20260529001579", "공시열람")</f>
        <v/>
      </c>
    </row>
    <row r="7738">
      <c r="A7738" s="2" t="inlineStr">
        <is>
          <t>2026-05-29</t>
        </is>
      </c>
      <c r="B7738" s="3" t="inlineStr">
        <is>
          <t>케이티스카이라이프</t>
        </is>
      </c>
      <c r="C7738" s="2" t="inlineStr">
        <is>
          <t>코스피</t>
        </is>
      </c>
      <c r="D7738" s="2" t="inlineStr">
        <is>
          <t>053210</t>
        </is>
      </c>
      <c r="E7738" s="3" t="inlineStr">
        <is>
          <t>대규모기업집단현황공시[연1회공시및1/4분기용(개별회사)]</t>
        </is>
      </c>
      <c r="F7738" s="3" t="inlineStr">
        <is>
          <t>케이티스카이라이프</t>
        </is>
      </c>
      <c r="G7738" s="2" t="inlineStr">
        <is>
          <t>20260529001577</t>
        </is>
      </c>
      <c r="H7738" s="8">
        <f>HYPERLINK("https://dart.fss.or.kr/dsaf001/main.do?rcpNo=20260529001577", "공시열람")</f>
        <v/>
      </c>
    </row>
    <row r="7739">
      <c r="A7739" s="2" t="inlineStr">
        <is>
          <t>2026-05-29</t>
        </is>
      </c>
      <c r="B7739" s="3" t="inlineStr">
        <is>
          <t>호전실업</t>
        </is>
      </c>
      <c r="C7739" s="2" t="inlineStr">
        <is>
          <t>코스피</t>
        </is>
      </c>
      <c r="D7739" s="2" t="inlineStr">
        <is>
          <t>111110</t>
        </is>
      </c>
      <c r="E7739" s="3" t="inlineStr">
        <is>
          <t xml:space="preserve">기업지배구조보고서공시              </t>
        </is>
      </c>
      <c r="F7739" s="3" t="inlineStr">
        <is>
          <t>호전실업</t>
        </is>
      </c>
      <c r="G7739" s="2" t="inlineStr">
        <is>
          <t>20260529801355</t>
        </is>
      </c>
      <c r="H7739" s="8">
        <f>HYPERLINK("https://dart.fss.or.kr/dsaf001/main.do?rcpNo=20260529801355", "공시열람")</f>
        <v/>
      </c>
    </row>
    <row r="7740">
      <c r="A7740" s="2" t="inlineStr">
        <is>
          <t>2026-05-29</t>
        </is>
      </c>
      <c r="B7740" s="3" t="inlineStr">
        <is>
          <t>기신정기</t>
        </is>
      </c>
      <c r="C7740" s="2" t="inlineStr">
        <is>
          <t>코스피</t>
        </is>
      </c>
      <c r="D7740" s="2" t="inlineStr">
        <is>
          <t>092440</t>
        </is>
      </c>
      <c r="E7740" s="3" t="inlineStr">
        <is>
          <t xml:space="preserve">기업지배구조보고서공시              </t>
        </is>
      </c>
      <c r="F7740" s="3" t="inlineStr">
        <is>
          <t>기신정기</t>
        </is>
      </c>
      <c r="G7740" s="2" t="inlineStr">
        <is>
          <t>20260529801362</t>
        </is>
      </c>
      <c r="H7740" s="8">
        <f>HYPERLINK("https://dart.fss.or.kr/dsaf001/main.do?rcpNo=20260529801362", "공시열람")</f>
        <v/>
      </c>
    </row>
    <row r="7741">
      <c r="A7741" s="2" t="inlineStr">
        <is>
          <t>2026-05-29</t>
        </is>
      </c>
      <c r="B7741" s="3" t="inlineStr">
        <is>
          <t>두산퓨얼셀</t>
        </is>
      </c>
      <c r="C7741" s="2" t="inlineStr">
        <is>
          <t>코스피</t>
        </is>
      </c>
      <c r="D7741" s="2" t="inlineStr">
        <is>
          <t>336260</t>
        </is>
      </c>
      <c r="E7741" s="3" t="inlineStr">
        <is>
          <t>대규모기업집단현황공시[연1회공시및1/4분기용(개별회사)]</t>
        </is>
      </c>
      <c r="F7741" s="3" t="inlineStr">
        <is>
          <t>두산퓨얼셀</t>
        </is>
      </c>
      <c r="G7741" s="2" t="inlineStr">
        <is>
          <t>20260529001574</t>
        </is>
      </c>
      <c r="H7741" s="8">
        <f>HYPERLINK("https://dart.fss.or.kr/dsaf001/main.do?rcpNo=20260529001574", "공시열람")</f>
        <v/>
      </c>
    </row>
    <row r="7742">
      <c r="A7742" s="2" t="inlineStr">
        <is>
          <t>2026-05-29</t>
        </is>
      </c>
      <c r="B7742" s="3" t="inlineStr">
        <is>
          <t>우신시스템</t>
        </is>
      </c>
      <c r="C7742" s="2" t="inlineStr">
        <is>
          <t>코스피</t>
        </is>
      </c>
      <c r="D7742" s="2" t="inlineStr">
        <is>
          <t>017370</t>
        </is>
      </c>
      <c r="E7742" s="3" t="inlineStr">
        <is>
          <t xml:space="preserve">기업지배구조보고서공시              </t>
        </is>
      </c>
      <c r="F7742" s="3" t="inlineStr">
        <is>
          <t>우신시스템</t>
        </is>
      </c>
      <c r="G7742" s="2" t="inlineStr">
        <is>
          <t>20260529801350</t>
        </is>
      </c>
      <c r="H7742" s="8">
        <f>HYPERLINK("https://dart.fss.or.kr/dsaf001/main.do?rcpNo=20260529801350", "공시열람")</f>
        <v/>
      </c>
    </row>
    <row r="7743">
      <c r="A7743" s="2" t="inlineStr">
        <is>
          <t>2026-05-29</t>
        </is>
      </c>
      <c r="B7743" s="3" t="inlineStr">
        <is>
          <t>까뮤이앤씨</t>
        </is>
      </c>
      <c r="C7743" s="2" t="inlineStr">
        <is>
          <t>코스피</t>
        </is>
      </c>
      <c r="D7743" s="2" t="inlineStr">
        <is>
          <t>013700</t>
        </is>
      </c>
      <c r="E7743" s="3" t="inlineStr">
        <is>
          <t xml:space="preserve">기업지배구조보고서공시              </t>
        </is>
      </c>
      <c r="F7743" s="3" t="inlineStr">
        <is>
          <t>까뮤이앤씨</t>
        </is>
      </c>
      <c r="G7743" s="2" t="inlineStr">
        <is>
          <t>20260529801357</t>
        </is>
      </c>
      <c r="H7743" s="8">
        <f>HYPERLINK("https://dart.fss.or.kr/dsaf001/main.do?rcpNo=20260529801357", "공시열람")</f>
        <v/>
      </c>
    </row>
    <row r="7744">
      <c r="A7744" s="2" t="inlineStr">
        <is>
          <t>2026-05-29</t>
        </is>
      </c>
      <c r="B7744" s="3" t="inlineStr">
        <is>
          <t>LG화학</t>
        </is>
      </c>
      <c r="C7744" s="2" t="inlineStr">
        <is>
          <t>코스피</t>
        </is>
      </c>
      <c r="D7744" s="2" t="inlineStr">
        <is>
          <t>051910</t>
        </is>
      </c>
      <c r="E7744" s="3" t="inlineStr">
        <is>
          <t xml:space="preserve">기업지배구조보고서공시              </t>
        </is>
      </c>
      <c r="F7744" s="3" t="inlineStr">
        <is>
          <t>LG화학</t>
        </is>
      </c>
      <c r="G7744" s="2" t="inlineStr">
        <is>
          <t>20260529801317</t>
        </is>
      </c>
      <c r="H7744" s="8">
        <f>HYPERLINK("https://dart.fss.or.kr/dsaf001/main.do?rcpNo=20260529801317", "공시열람")</f>
        <v/>
      </c>
    </row>
    <row r="7745">
      <c r="A7745" s="2" t="inlineStr">
        <is>
          <t>2026-05-29</t>
        </is>
      </c>
      <c r="B7745" s="3" t="inlineStr">
        <is>
          <t>KG스틸</t>
        </is>
      </c>
      <c r="C7745" s="2" t="inlineStr">
        <is>
          <t>코스피</t>
        </is>
      </c>
      <c r="D7745" s="2" t="inlineStr">
        <is>
          <t>016380</t>
        </is>
      </c>
      <c r="E7745" s="3" t="inlineStr">
        <is>
          <t xml:space="preserve">[첨부추가]기업지배구조보고서공시              </t>
        </is>
      </c>
      <c r="F7745" s="3" t="inlineStr">
        <is>
          <t>KG스틸</t>
        </is>
      </c>
      <c r="G7745" s="2" t="inlineStr">
        <is>
          <t>20260529801272</t>
        </is>
      </c>
      <c r="H7745" s="8">
        <f>HYPERLINK("https://dart.fss.or.kr/dsaf001/main.do?rcpNo=20260529801272", "공시열람")</f>
        <v/>
      </c>
    </row>
    <row r="7746">
      <c r="A7746" s="2" t="inlineStr">
        <is>
          <t>2026-05-29</t>
        </is>
      </c>
      <c r="B7746" s="3" t="inlineStr">
        <is>
          <t>KCC건설</t>
        </is>
      </c>
      <c r="C7746" s="2" t="inlineStr">
        <is>
          <t>코스닥</t>
        </is>
      </c>
      <c r="D7746" s="2" t="inlineStr">
        <is>
          <t>021320</t>
        </is>
      </c>
      <c r="E7746" s="3" t="inlineStr">
        <is>
          <t>대규모기업집단현황공시[연1회공시및1/4분기용(개별회사)]</t>
        </is>
      </c>
      <c r="F7746" s="3" t="inlineStr">
        <is>
          <t>KCC건설</t>
        </is>
      </c>
      <c r="G7746" s="2" t="inlineStr">
        <is>
          <t>20260529001568</t>
        </is>
      </c>
      <c r="H7746" s="8">
        <f>HYPERLINK("https://dart.fss.or.kr/dsaf001/main.do?rcpNo=20260529001568", "공시열람")</f>
        <v/>
      </c>
    </row>
    <row r="7747">
      <c r="A7747" s="2" t="inlineStr">
        <is>
          <t>2026-05-29</t>
        </is>
      </c>
      <c r="B7747" s="3" t="inlineStr">
        <is>
          <t>하나머티리얼즈</t>
        </is>
      </c>
      <c r="C7747" s="2" t="inlineStr">
        <is>
          <t>코스닥</t>
        </is>
      </c>
      <c r="D7747" s="2" t="inlineStr">
        <is>
          <t>166090</t>
        </is>
      </c>
      <c r="E7747" s="3" t="inlineStr">
        <is>
          <t>임원ㆍ주요주주특정증권등소유상황보고서</t>
        </is>
      </c>
      <c r="F7747" s="3" t="inlineStr">
        <is>
          <t>강동호</t>
        </is>
      </c>
      <c r="G7747" s="2" t="inlineStr">
        <is>
          <t>20260529001567</t>
        </is>
      </c>
      <c r="H7747" s="8">
        <f>HYPERLINK("https://dart.fss.or.kr/dsaf001/main.do?rcpNo=20260529001567", "공시열람")</f>
        <v/>
      </c>
    </row>
    <row r="7748">
      <c r="A7748" s="2" t="inlineStr">
        <is>
          <t>2026-05-29</t>
        </is>
      </c>
      <c r="B7748" s="3" t="inlineStr">
        <is>
          <t>삼화전기</t>
        </is>
      </c>
      <c r="C7748" s="2" t="inlineStr">
        <is>
          <t>코스피</t>
        </is>
      </c>
      <c r="D7748" s="2" t="inlineStr">
        <is>
          <t>009470</t>
        </is>
      </c>
      <c r="E7748" s="3" t="inlineStr">
        <is>
          <t xml:space="preserve">기업지배구조보고서공시              </t>
        </is>
      </c>
      <c r="F7748" s="3" t="inlineStr">
        <is>
          <t>삼화전기</t>
        </is>
      </c>
      <c r="G7748" s="2" t="inlineStr">
        <is>
          <t>20260529801334</t>
        </is>
      </c>
      <c r="H7748" s="8">
        <f>HYPERLINK("https://dart.fss.or.kr/dsaf001/main.do?rcpNo=20260529801334", "공시열람")</f>
        <v/>
      </c>
    </row>
    <row r="7749">
      <c r="A7749" s="2" t="inlineStr">
        <is>
          <t>2026-05-29</t>
        </is>
      </c>
      <c r="B7749" s="3" t="inlineStr">
        <is>
          <t>KG파이낸셜</t>
        </is>
      </c>
      <c r="C7749" s="2" t="inlineStr">
        <is>
          <t>코스닥</t>
        </is>
      </c>
      <c r="D7749" s="2" t="inlineStr">
        <is>
          <t>046440</t>
        </is>
      </c>
      <c r="E7749" s="3" t="inlineStr">
        <is>
          <t>대규모기업집단현황공시[연1회공시및1/4분기용(개별회사)]</t>
        </is>
      </c>
      <c r="F7749" s="3" t="inlineStr">
        <is>
          <t>KG파이낸셜</t>
        </is>
      </c>
      <c r="G7749" s="2" t="inlineStr">
        <is>
          <t>20260529001562</t>
        </is>
      </c>
      <c r="H7749" s="8">
        <f>HYPERLINK("https://dart.fss.or.kr/dsaf001/main.do?rcpNo=20260529001562", "공시열람")</f>
        <v/>
      </c>
    </row>
    <row r="7750">
      <c r="A7750" s="2" t="inlineStr">
        <is>
          <t>2026-05-29</t>
        </is>
      </c>
      <c r="B7750" s="3" t="inlineStr">
        <is>
          <t>일진홀딩스</t>
        </is>
      </c>
      <c r="C7750" s="2" t="inlineStr">
        <is>
          <t>코스피</t>
        </is>
      </c>
      <c r="D7750" s="2" t="inlineStr">
        <is>
          <t>015860</t>
        </is>
      </c>
      <c r="E7750" s="3" t="inlineStr">
        <is>
          <t xml:space="preserve">기업지배구조보고서공시              </t>
        </is>
      </c>
      <c r="F7750" s="3" t="inlineStr">
        <is>
          <t>일진홀딩스</t>
        </is>
      </c>
      <c r="G7750" s="2" t="inlineStr">
        <is>
          <t>20260529801343</t>
        </is>
      </c>
      <c r="H7750" s="8">
        <f>HYPERLINK("https://dart.fss.or.kr/dsaf001/main.do?rcpNo=20260529801343", "공시열람")</f>
        <v/>
      </c>
    </row>
    <row r="7751">
      <c r="A7751" s="2" t="inlineStr">
        <is>
          <t>2026-05-29</t>
        </is>
      </c>
      <c r="B7751" s="3" t="inlineStr">
        <is>
          <t>핀텔</t>
        </is>
      </c>
      <c r="C7751" s="2" t="inlineStr">
        <is>
          <t>코스닥</t>
        </is>
      </c>
      <c r="D7751" s="2" t="inlineStr">
        <is>
          <t>291810</t>
        </is>
      </c>
      <c r="E7751" s="3" t="inlineStr">
        <is>
          <t>임원ㆍ주요주주특정증권등소유상황보고서</t>
        </is>
      </c>
      <c r="F7751" s="3" t="inlineStr">
        <is>
          <t>김동기</t>
        </is>
      </c>
      <c r="G7751" s="2" t="inlineStr">
        <is>
          <t>20260529001560</t>
        </is>
      </c>
      <c r="H7751" s="8">
        <f>HYPERLINK("https://dart.fss.or.kr/dsaf001/main.do?rcpNo=20260529001560", "공시열람")</f>
        <v/>
      </c>
    </row>
    <row r="7752">
      <c r="A7752" s="2" t="inlineStr">
        <is>
          <t>2026-05-29</t>
        </is>
      </c>
      <c r="B7752" s="3" t="inlineStr">
        <is>
          <t>키움증권</t>
        </is>
      </c>
      <c r="C7752" s="2" t="inlineStr">
        <is>
          <t>코스피</t>
        </is>
      </c>
      <c r="D7752" s="2" t="inlineStr">
        <is>
          <t>039490</t>
        </is>
      </c>
      <c r="E7752" s="3" t="inlineStr">
        <is>
          <t>투자설명서(일괄신고)</t>
        </is>
      </c>
      <c r="F7752" s="3" t="inlineStr">
        <is>
          <t>키움증권</t>
        </is>
      </c>
      <c r="G7752" s="2" t="inlineStr">
        <is>
          <t>20260529001551</t>
        </is>
      </c>
      <c r="H7752" s="8">
        <f>HYPERLINK("https://dart.fss.or.kr/dsaf001/main.do?rcpNo=20260529001551", "공시열람")</f>
        <v/>
      </c>
    </row>
    <row r="7753">
      <c r="A7753" s="2" t="inlineStr">
        <is>
          <t>2026-05-29</t>
        </is>
      </c>
      <c r="B7753" s="3" t="inlineStr">
        <is>
          <t>삼양식품</t>
        </is>
      </c>
      <c r="C7753" s="2" t="inlineStr">
        <is>
          <t>코스피</t>
        </is>
      </c>
      <c r="D7753" s="2" t="inlineStr">
        <is>
          <t>003230</t>
        </is>
      </c>
      <c r="E7753" s="3" t="inlineStr">
        <is>
          <t xml:space="preserve">기업지배구조보고서공시              </t>
        </is>
      </c>
      <c r="F7753" s="3" t="inlineStr">
        <is>
          <t>삼양식품</t>
        </is>
      </c>
      <c r="G7753" s="2" t="inlineStr">
        <is>
          <t>20260529801318</t>
        </is>
      </c>
      <c r="H7753" s="8">
        <f>HYPERLINK("https://dart.fss.or.kr/dsaf001/main.do?rcpNo=20260529801318", "공시열람")</f>
        <v/>
      </c>
    </row>
    <row r="7754">
      <c r="A7754" s="2" t="inlineStr">
        <is>
          <t>2026-05-29</t>
        </is>
      </c>
      <c r="B7754" s="3" t="inlineStr">
        <is>
          <t>교보증권</t>
        </is>
      </c>
      <c r="C7754" s="2" t="inlineStr">
        <is>
          <t>코스피</t>
        </is>
      </c>
      <c r="D7754" s="2" t="inlineStr">
        <is>
          <t>030610</t>
        </is>
      </c>
      <c r="E7754" s="3" t="inlineStr">
        <is>
          <t>일괄신고추가서류(파생결합사채-주가연계파생결합사채)</t>
        </is>
      </c>
      <c r="F7754" s="3" t="inlineStr">
        <is>
          <t>교보증권</t>
        </is>
      </c>
      <c r="G7754" s="2" t="inlineStr">
        <is>
          <t>20260529001548</t>
        </is>
      </c>
      <c r="H7754" s="8">
        <f>HYPERLINK("https://dart.fss.or.kr/dsaf001/main.do?rcpNo=20260529001548", "공시열람")</f>
        <v/>
      </c>
    </row>
    <row r="7755">
      <c r="A7755" s="2" t="inlineStr">
        <is>
          <t>2026-05-29</t>
        </is>
      </c>
      <c r="B7755" s="3" t="inlineStr">
        <is>
          <t>삼일제약</t>
        </is>
      </c>
      <c r="C7755" s="2" t="inlineStr">
        <is>
          <t>코스피</t>
        </is>
      </c>
      <c r="D7755" s="2" t="inlineStr">
        <is>
          <t>000520</t>
        </is>
      </c>
      <c r="E7755" s="3" t="inlineStr">
        <is>
          <t xml:space="preserve">기업지배구조보고서공시              </t>
        </is>
      </c>
      <c r="F7755" s="3" t="inlineStr">
        <is>
          <t>삼일제약</t>
        </is>
      </c>
      <c r="G7755" s="2" t="inlineStr">
        <is>
          <t>20260529801313</t>
        </is>
      </c>
      <c r="H7755" s="8">
        <f>HYPERLINK("https://dart.fss.or.kr/dsaf001/main.do?rcpNo=20260529801313", "공시열람")</f>
        <v/>
      </c>
    </row>
    <row r="7756">
      <c r="A7756" s="2" t="inlineStr">
        <is>
          <t>2026-05-29</t>
        </is>
      </c>
      <c r="B7756" s="3" t="inlineStr">
        <is>
          <t>NH올원리츠</t>
        </is>
      </c>
      <c r="C7756" s="2" t="inlineStr">
        <is>
          <t>코스피</t>
        </is>
      </c>
      <c r="D7756" s="2" t="inlineStr">
        <is>
          <t>400760</t>
        </is>
      </c>
      <c r="E7756" s="3" t="inlineStr">
        <is>
          <t xml:space="preserve">기타경영사항(자율공시)              </t>
        </is>
      </c>
      <c r="F7756" s="3" t="inlineStr">
        <is>
          <t>NH올원리츠</t>
        </is>
      </c>
      <c r="G7756" s="2" t="inlineStr">
        <is>
          <t>20260529801308</t>
        </is>
      </c>
      <c r="H7756" s="8">
        <f>HYPERLINK("https://dart.fss.or.kr/dsaf001/main.do?rcpNo=20260529801308", "공시열람")</f>
        <v/>
      </c>
    </row>
    <row r="7757">
      <c r="A7757" s="2" t="inlineStr">
        <is>
          <t>2026-05-29</t>
        </is>
      </c>
      <c r="B7757" s="3" t="inlineStr">
        <is>
          <t>덴티움</t>
        </is>
      </c>
      <c r="C7757" s="2" t="inlineStr">
        <is>
          <t>코스피</t>
        </is>
      </c>
      <c r="D7757" s="2" t="inlineStr">
        <is>
          <t>145720</t>
        </is>
      </c>
      <c r="E7757" s="3" t="inlineStr">
        <is>
          <t xml:space="preserve">기업지배구조보고서공시              </t>
        </is>
      </c>
      <c r="F7757" s="3" t="inlineStr">
        <is>
          <t>덴티움</t>
        </is>
      </c>
      <c r="G7757" s="2" t="inlineStr">
        <is>
          <t>20260529801111</t>
        </is>
      </c>
      <c r="H7757" s="8">
        <f>HYPERLINK("https://dart.fss.or.kr/dsaf001/main.do?rcpNo=20260529801111", "공시열람")</f>
        <v/>
      </c>
    </row>
    <row r="7758">
      <c r="A7758" s="2" t="inlineStr">
        <is>
          <t>2026-05-29</t>
        </is>
      </c>
      <c r="B7758" s="3" t="inlineStr">
        <is>
          <t>OCI</t>
        </is>
      </c>
      <c r="C7758" s="2" t="inlineStr">
        <is>
          <t>코스피</t>
        </is>
      </c>
      <c r="D7758" s="2" t="inlineStr">
        <is>
          <t>456040</t>
        </is>
      </c>
      <c r="E7758" s="3" t="inlineStr">
        <is>
          <t xml:space="preserve">지속가능경영보고서등관련사항(자율공시)              </t>
        </is>
      </c>
      <c r="F7758" s="3" t="inlineStr">
        <is>
          <t>OCI</t>
        </is>
      </c>
      <c r="G7758" s="2" t="inlineStr">
        <is>
          <t>20260529801325</t>
        </is>
      </c>
      <c r="H7758" s="8">
        <f>HYPERLINK("https://dart.fss.or.kr/dsaf001/main.do?rcpNo=20260529801325", "공시열람")</f>
        <v/>
      </c>
    </row>
    <row r="7759">
      <c r="A7759" s="2" t="inlineStr">
        <is>
          <t>2026-05-29</t>
        </is>
      </c>
      <c r="B7759" s="3" t="inlineStr">
        <is>
          <t>키움증권</t>
        </is>
      </c>
      <c r="C7759" s="2" t="inlineStr">
        <is>
          <t>코스피</t>
        </is>
      </c>
      <c r="D7759" s="2" t="inlineStr">
        <is>
          <t>039490</t>
        </is>
      </c>
      <c r="E7759" s="3" t="inlineStr">
        <is>
          <t>투자설명서(일괄신고)</t>
        </is>
      </c>
      <c r="F7759" s="3" t="inlineStr">
        <is>
          <t>키움증권</t>
        </is>
      </c>
      <c r="G7759" s="2" t="inlineStr">
        <is>
          <t>20260529001542</t>
        </is>
      </c>
      <c r="H7759" s="8">
        <f>HYPERLINK("https://dart.fss.or.kr/dsaf001/main.do?rcpNo=20260529001542", "공시열람")</f>
        <v/>
      </c>
    </row>
    <row r="7760">
      <c r="A7760" s="2" t="inlineStr">
        <is>
          <t>2026-05-29</t>
        </is>
      </c>
      <c r="B7760" s="3" t="inlineStr">
        <is>
          <t>아시아나IDT</t>
        </is>
      </c>
      <c r="C7760" s="2" t="inlineStr">
        <is>
          <t>코스피</t>
        </is>
      </c>
      <c r="D7760" s="2" t="inlineStr">
        <is>
          <t>267850</t>
        </is>
      </c>
      <c r="E7760" s="3" t="inlineStr">
        <is>
          <t xml:space="preserve">기업지배구조보고서공시              </t>
        </is>
      </c>
      <c r="F7760" s="3" t="inlineStr">
        <is>
          <t>아시아나IDT</t>
        </is>
      </c>
      <c r="G7760" s="2" t="inlineStr">
        <is>
          <t>20260529801310</t>
        </is>
      </c>
      <c r="H7760" s="8">
        <f>HYPERLINK("https://dart.fss.or.kr/dsaf001/main.do?rcpNo=20260529801310", "공시열람")</f>
        <v/>
      </c>
    </row>
    <row r="7761">
      <c r="A7761" s="2" t="inlineStr">
        <is>
          <t>2026-05-29</t>
        </is>
      </c>
      <c r="B7761" s="3" t="inlineStr">
        <is>
          <t>유유제약</t>
        </is>
      </c>
      <c r="C7761" s="2" t="inlineStr">
        <is>
          <t>코스피</t>
        </is>
      </c>
      <c r="D7761" s="2" t="inlineStr">
        <is>
          <t>000220</t>
        </is>
      </c>
      <c r="E7761" s="3" t="inlineStr">
        <is>
          <t xml:space="preserve">기업지배구조보고서공시              </t>
        </is>
      </c>
      <c r="F7761" s="3" t="inlineStr">
        <is>
          <t>유유제약</t>
        </is>
      </c>
      <c r="G7761" s="2" t="inlineStr">
        <is>
          <t>20260529801094</t>
        </is>
      </c>
      <c r="H7761" s="8">
        <f>HYPERLINK("https://dart.fss.or.kr/dsaf001/main.do?rcpNo=20260529801094", "공시열람")</f>
        <v/>
      </c>
    </row>
    <row r="7762">
      <c r="A7762" s="2" t="inlineStr">
        <is>
          <t>2026-05-29</t>
        </is>
      </c>
      <c r="B7762" s="3" t="inlineStr">
        <is>
          <t>롯데리츠</t>
        </is>
      </c>
      <c r="C7762" s="2" t="inlineStr">
        <is>
          <t>코스피</t>
        </is>
      </c>
      <c r="D7762" s="2" t="inlineStr">
        <is>
          <t>330590</t>
        </is>
      </c>
      <c r="E7762" s="3" t="inlineStr">
        <is>
          <t>대규모기업집단현황공시[연1회공시및1/4분기용(개별회사)]</t>
        </is>
      </c>
      <c r="F7762" s="3" t="inlineStr">
        <is>
          <t>롯데리츠</t>
        </is>
      </c>
      <c r="G7762" s="2" t="inlineStr">
        <is>
          <t>20260529001534</t>
        </is>
      </c>
      <c r="H7762" s="8">
        <f>HYPERLINK("https://dart.fss.or.kr/dsaf001/main.do?rcpNo=20260529001534", "공시열람")</f>
        <v/>
      </c>
    </row>
    <row r="7763">
      <c r="A7763" s="2" t="inlineStr">
        <is>
          <t>2026-05-29</t>
        </is>
      </c>
      <c r="B7763" s="3" t="inlineStr">
        <is>
          <t>율촌화학</t>
        </is>
      </c>
      <c r="C7763" s="2" t="inlineStr">
        <is>
          <t>코스피</t>
        </is>
      </c>
      <c r="D7763" s="2" t="inlineStr">
        <is>
          <t>008730</t>
        </is>
      </c>
      <c r="E7763" s="3" t="inlineStr">
        <is>
          <t>대규모기업집단현황공시[연1회공시및1/4분기용(개별회사)]</t>
        </is>
      </c>
      <c r="F7763" s="3" t="inlineStr">
        <is>
          <t>율촌화학</t>
        </is>
      </c>
      <c r="G7763" s="2" t="inlineStr">
        <is>
          <t>20260529001533</t>
        </is>
      </c>
      <c r="H7763" s="8">
        <f>HYPERLINK("https://dart.fss.or.kr/dsaf001/main.do?rcpNo=20260529001533", "공시열람")</f>
        <v/>
      </c>
    </row>
    <row r="7764">
      <c r="A7764" s="2" t="inlineStr">
        <is>
          <t>2026-05-29</t>
        </is>
      </c>
      <c r="B7764" s="3" t="inlineStr">
        <is>
          <t>한화에어로스페이스</t>
        </is>
      </c>
      <c r="C7764" s="2" t="inlineStr">
        <is>
          <t>코스피</t>
        </is>
      </c>
      <c r="D7764" s="2" t="inlineStr">
        <is>
          <t>012450</t>
        </is>
      </c>
      <c r="E7764" s="3" t="inlineStr">
        <is>
          <t xml:space="preserve">기업지배구조보고서공시              </t>
        </is>
      </c>
      <c r="F7764" s="3" t="inlineStr">
        <is>
          <t>한화에어로스페이스</t>
        </is>
      </c>
      <c r="G7764" s="2" t="inlineStr">
        <is>
          <t>20260529801302</t>
        </is>
      </c>
      <c r="H7764" s="8">
        <f>HYPERLINK("https://dart.fss.or.kr/dsaf001/main.do?rcpNo=20260529801302", "공시열람")</f>
        <v/>
      </c>
    </row>
    <row r="7765">
      <c r="A7765" s="2" t="inlineStr">
        <is>
          <t>2026-05-29</t>
        </is>
      </c>
      <c r="B7765" s="3" t="inlineStr">
        <is>
          <t>율촌화학</t>
        </is>
      </c>
      <c r="C7765" s="2" t="inlineStr">
        <is>
          <t>코스피</t>
        </is>
      </c>
      <c r="D7765" s="2" t="inlineStr">
        <is>
          <t>008730</t>
        </is>
      </c>
      <c r="E7765" s="3" t="inlineStr">
        <is>
          <t xml:space="preserve">기업지배구조보고서공시              </t>
        </is>
      </c>
      <c r="F7765" s="3" t="inlineStr">
        <is>
          <t>율촌화학</t>
        </is>
      </c>
      <c r="G7765" s="2" t="inlineStr">
        <is>
          <t>20260529801306</t>
        </is>
      </c>
      <c r="H7765" s="8">
        <f>HYPERLINK("https://dart.fss.or.kr/dsaf001/main.do?rcpNo=20260529801306", "공시열람")</f>
        <v/>
      </c>
    </row>
    <row r="7766">
      <c r="A7766" s="2" t="inlineStr">
        <is>
          <t>2026-05-29</t>
        </is>
      </c>
      <c r="B7766" s="3" t="inlineStr">
        <is>
          <t>현대위아</t>
        </is>
      </c>
      <c r="C7766" s="2" t="inlineStr">
        <is>
          <t>코스피</t>
        </is>
      </c>
      <c r="D7766" s="2" t="inlineStr">
        <is>
          <t>011210</t>
        </is>
      </c>
      <c r="E7766" s="3" t="inlineStr">
        <is>
          <t xml:space="preserve">기업지배구조보고서공시              </t>
        </is>
      </c>
      <c r="F7766" s="3" t="inlineStr">
        <is>
          <t>현대위아</t>
        </is>
      </c>
      <c r="G7766" s="2" t="inlineStr">
        <is>
          <t>20260529801266</t>
        </is>
      </c>
      <c r="H7766" s="8">
        <f>HYPERLINK("https://dart.fss.or.kr/dsaf001/main.do?rcpNo=20260529801266", "공시열람")</f>
        <v/>
      </c>
    </row>
    <row r="7767">
      <c r="A7767" s="2" t="inlineStr">
        <is>
          <t>2026-05-29</t>
        </is>
      </c>
      <c r="B7767" s="3" t="inlineStr">
        <is>
          <t>HS애드</t>
        </is>
      </c>
      <c r="C7767" s="2" t="inlineStr">
        <is>
          <t>코스피</t>
        </is>
      </c>
      <c r="D7767" s="2" t="inlineStr">
        <is>
          <t>035000</t>
        </is>
      </c>
      <c r="E7767" s="3" t="inlineStr">
        <is>
          <t xml:space="preserve">기업지배구조보고서공시              </t>
        </is>
      </c>
      <c r="F7767" s="3" t="inlineStr">
        <is>
          <t>HS애드</t>
        </is>
      </c>
      <c r="G7767" s="2" t="inlineStr">
        <is>
          <t>20260529801294</t>
        </is>
      </c>
      <c r="H7767" s="8">
        <f>HYPERLINK("https://dart.fss.or.kr/dsaf001/main.do?rcpNo=20260529801294", "공시열람")</f>
        <v/>
      </c>
    </row>
    <row r="7768">
      <c r="A7768" s="2" t="inlineStr">
        <is>
          <t>2026-05-29</t>
        </is>
      </c>
      <c r="B7768" s="3" t="inlineStr">
        <is>
          <t>원익IPS</t>
        </is>
      </c>
      <c r="C7768" s="2" t="inlineStr">
        <is>
          <t>코스닥</t>
        </is>
      </c>
      <c r="D7768" s="2" t="inlineStr">
        <is>
          <t>240810</t>
        </is>
      </c>
      <c r="E7768" s="3" t="inlineStr">
        <is>
          <t>대규모기업집단현황공시[연1회공시및1/4분기용(개별회사)]</t>
        </is>
      </c>
      <c r="F7768" s="3" t="inlineStr">
        <is>
          <t>원익IPS</t>
        </is>
      </c>
      <c r="G7768" s="2" t="inlineStr">
        <is>
          <t>20260529001521</t>
        </is>
      </c>
      <c r="H7768" s="8">
        <f>HYPERLINK("https://dart.fss.or.kr/dsaf001/main.do?rcpNo=20260529001521", "공시열람")</f>
        <v/>
      </c>
    </row>
    <row r="7769">
      <c r="A7769" s="2" t="inlineStr">
        <is>
          <t>2026-05-29</t>
        </is>
      </c>
      <c r="B7769" s="3" t="inlineStr">
        <is>
          <t>DB</t>
        </is>
      </c>
      <c r="C7769" s="2" t="inlineStr">
        <is>
          <t>코스피</t>
        </is>
      </c>
      <c r="D7769" s="2" t="inlineStr">
        <is>
          <t>012030</t>
        </is>
      </c>
      <c r="E7769" s="3" t="inlineStr">
        <is>
          <t>대규모기업집단현황공시[연1회공시및1/4분기용(대표회사)]</t>
        </is>
      </c>
      <c r="F7769" s="3" t="inlineStr">
        <is>
          <t>DB</t>
        </is>
      </c>
      <c r="G7769" s="2" t="inlineStr">
        <is>
          <t>20260529001520</t>
        </is>
      </c>
      <c r="H7769" s="8">
        <f>HYPERLINK("https://dart.fss.or.kr/dsaf001/main.do?rcpNo=20260529001520", "공시열람")</f>
        <v/>
      </c>
    </row>
    <row r="7770">
      <c r="A7770" s="2" t="inlineStr">
        <is>
          <t>2026-05-29</t>
        </is>
      </c>
      <c r="B7770" s="3" t="inlineStr">
        <is>
          <t>지엠비코리아</t>
        </is>
      </c>
      <c r="C7770" s="2" t="inlineStr">
        <is>
          <t>코스피</t>
        </is>
      </c>
      <c r="D7770" s="2" t="inlineStr">
        <is>
          <t>013870</t>
        </is>
      </c>
      <c r="E7770" s="3" t="inlineStr">
        <is>
          <t xml:space="preserve">기업지배구조보고서공시              </t>
        </is>
      </c>
      <c r="F7770" s="3" t="inlineStr">
        <is>
          <t>지엠비코리아</t>
        </is>
      </c>
      <c r="G7770" s="2" t="inlineStr">
        <is>
          <t>20260529801296</t>
        </is>
      </c>
      <c r="H7770" s="8">
        <f>HYPERLINK("https://dart.fss.or.kr/dsaf001/main.do?rcpNo=20260529801296", "공시열람")</f>
        <v/>
      </c>
    </row>
    <row r="7771">
      <c r="A7771" s="2" t="inlineStr">
        <is>
          <t>2026-05-29</t>
        </is>
      </c>
      <c r="B7771" s="3" t="inlineStr">
        <is>
          <t>미래산업</t>
        </is>
      </c>
      <c r="C7771" s="2" t="inlineStr">
        <is>
          <t>코스피</t>
        </is>
      </c>
      <c r="D7771" s="2" t="inlineStr">
        <is>
          <t>025560</t>
        </is>
      </c>
      <c r="E7771" s="3" t="inlineStr">
        <is>
          <t xml:space="preserve">기업지배구조보고서공시              </t>
        </is>
      </c>
      <c r="F7771" s="3" t="inlineStr">
        <is>
          <t>미래산업</t>
        </is>
      </c>
      <c r="G7771" s="2" t="inlineStr">
        <is>
          <t>20260529801249</t>
        </is>
      </c>
      <c r="H7771" s="8">
        <f>HYPERLINK("https://dart.fss.or.kr/dsaf001/main.do?rcpNo=20260529801249", "공시열람")</f>
        <v/>
      </c>
    </row>
    <row r="7772">
      <c r="A7772" s="2" t="inlineStr">
        <is>
          <t>2026-05-29</t>
        </is>
      </c>
      <c r="B7772" s="3" t="inlineStr">
        <is>
          <t>한화투자증권</t>
        </is>
      </c>
      <c r="C7772" s="2" t="inlineStr">
        <is>
          <t>코스피</t>
        </is>
      </c>
      <c r="D7772" s="2" t="inlineStr">
        <is>
          <t>003530</t>
        </is>
      </c>
      <c r="E7772" s="3" t="inlineStr">
        <is>
          <t>대규모기업집단현황공시[연1회공시및1/4분기용(개별회사)]</t>
        </is>
      </c>
      <c r="F7772" s="3" t="inlineStr">
        <is>
          <t>한화투자증권</t>
        </is>
      </c>
      <c r="G7772" s="2" t="inlineStr">
        <is>
          <t>20260529001519</t>
        </is>
      </c>
      <c r="H7772" s="8">
        <f>HYPERLINK("https://dart.fss.or.kr/dsaf001/main.do?rcpNo=20260529001519", "공시열람")</f>
        <v/>
      </c>
    </row>
    <row r="7773">
      <c r="A7773" s="2" t="inlineStr">
        <is>
          <t>2026-05-29</t>
        </is>
      </c>
      <c r="B7773" s="3" t="inlineStr">
        <is>
          <t>현대리바트</t>
        </is>
      </c>
      <c r="C7773" s="2" t="inlineStr">
        <is>
          <t>코스피</t>
        </is>
      </c>
      <c r="D7773" s="2" t="inlineStr">
        <is>
          <t>079430</t>
        </is>
      </c>
      <c r="E7773" s="3" t="inlineStr">
        <is>
          <t xml:space="preserve">기업지배구조보고서공시              </t>
        </is>
      </c>
      <c r="F7773" s="3" t="inlineStr">
        <is>
          <t>현대리바트</t>
        </is>
      </c>
      <c r="G7773" s="2" t="inlineStr">
        <is>
          <t>20260529801288</t>
        </is>
      </c>
      <c r="H7773" s="8">
        <f>HYPERLINK("https://dart.fss.or.kr/dsaf001/main.do?rcpNo=20260529801288", "공시열람")</f>
        <v/>
      </c>
    </row>
    <row r="7774">
      <c r="A7774" s="2" t="inlineStr">
        <is>
          <t>2026-05-29</t>
        </is>
      </c>
      <c r="B7774" s="3" t="inlineStr">
        <is>
          <t>엠씨넥스</t>
        </is>
      </c>
      <c r="C7774" s="2" t="inlineStr">
        <is>
          <t>코스피</t>
        </is>
      </c>
      <c r="D7774" s="2" t="inlineStr">
        <is>
          <t>097520</t>
        </is>
      </c>
      <c r="E7774" s="3" t="inlineStr">
        <is>
          <t xml:space="preserve">기업지배구조보고서공시              </t>
        </is>
      </c>
      <c r="F7774" s="3" t="inlineStr">
        <is>
          <t>엠씨넥스</t>
        </is>
      </c>
      <c r="G7774" s="2" t="inlineStr">
        <is>
          <t>20260529801291</t>
        </is>
      </c>
      <c r="H7774" s="8">
        <f>HYPERLINK("https://dart.fss.or.kr/dsaf001/main.do?rcpNo=20260529801291", "공시열람")</f>
        <v/>
      </c>
    </row>
    <row r="7775">
      <c r="A7775" s="2" t="inlineStr">
        <is>
          <t>2026-05-29</t>
        </is>
      </c>
      <c r="B7775" s="3" t="inlineStr">
        <is>
          <t>서흥</t>
        </is>
      </c>
      <c r="C7775" s="2" t="inlineStr">
        <is>
          <t>코스피</t>
        </is>
      </c>
      <c r="D7775" s="2" t="inlineStr">
        <is>
          <t>008490</t>
        </is>
      </c>
      <c r="E7775" s="3" t="inlineStr">
        <is>
          <t xml:space="preserve">기업지배구조보고서공시              </t>
        </is>
      </c>
      <c r="F7775" s="3" t="inlineStr">
        <is>
          <t>서흥</t>
        </is>
      </c>
      <c r="G7775" s="2" t="inlineStr">
        <is>
          <t>20260529801273</t>
        </is>
      </c>
      <c r="H7775" s="8">
        <f>HYPERLINK("https://dart.fss.or.kr/dsaf001/main.do?rcpNo=20260529801273", "공시열람")</f>
        <v/>
      </c>
    </row>
    <row r="7776">
      <c r="A7776" s="2" t="inlineStr">
        <is>
          <t>2026-05-29</t>
        </is>
      </c>
      <c r="B7776" s="3" t="inlineStr">
        <is>
          <t>OCI홀딩스</t>
        </is>
      </c>
      <c r="C7776" s="2" t="inlineStr">
        <is>
          <t>코스피</t>
        </is>
      </c>
      <c r="D7776" s="2" t="inlineStr">
        <is>
          <t>010060</t>
        </is>
      </c>
      <c r="E7776" s="3" t="inlineStr">
        <is>
          <t xml:space="preserve">지속가능경영보고서등관련사항(자율공시)              </t>
        </is>
      </c>
      <c r="F7776" s="3" t="inlineStr">
        <is>
          <t>OCI홀딩스</t>
        </is>
      </c>
      <c r="G7776" s="2" t="inlineStr">
        <is>
          <t>20260529801292</t>
        </is>
      </c>
      <c r="H7776" s="8">
        <f>HYPERLINK("https://dart.fss.or.kr/dsaf001/main.do?rcpNo=20260529801292", "공시열람")</f>
        <v/>
      </c>
    </row>
    <row r="7777">
      <c r="A7777" s="2" t="inlineStr">
        <is>
          <t>2026-05-29</t>
        </is>
      </c>
      <c r="B7777" s="3" t="inlineStr">
        <is>
          <t>LX홀딩스</t>
        </is>
      </c>
      <c r="C7777" s="2" t="inlineStr">
        <is>
          <t>코스피</t>
        </is>
      </c>
      <c r="D7777" s="2" t="inlineStr">
        <is>
          <t>383800</t>
        </is>
      </c>
      <c r="E7777" s="3" t="inlineStr">
        <is>
          <t>대규모기업집단현황공시[연1회공시및1/4분기용(대표회사)]</t>
        </is>
      </c>
      <c r="F7777" s="3" t="inlineStr">
        <is>
          <t>LX홀딩스</t>
        </is>
      </c>
      <c r="G7777" s="2" t="inlineStr">
        <is>
          <t>20260529001509</t>
        </is>
      </c>
      <c r="H7777" s="8">
        <f>HYPERLINK("https://dart.fss.or.kr/dsaf001/main.do?rcpNo=20260529001509", "공시열람")</f>
        <v/>
      </c>
    </row>
    <row r="7778">
      <c r="A7778" s="2" t="inlineStr">
        <is>
          <t>2026-05-29</t>
        </is>
      </c>
      <c r="B7778" s="3" t="inlineStr">
        <is>
          <t>SK스퀘어</t>
        </is>
      </c>
      <c r="C7778" s="2" t="inlineStr">
        <is>
          <t>코스피</t>
        </is>
      </c>
      <c r="D7778" s="2" t="inlineStr">
        <is>
          <t>402340</t>
        </is>
      </c>
      <c r="E7778" s="3" t="inlineStr">
        <is>
          <t xml:space="preserve">기업지배구조보고서공시              </t>
        </is>
      </c>
      <c r="F7778" s="3" t="inlineStr">
        <is>
          <t>SK스퀘어</t>
        </is>
      </c>
      <c r="G7778" s="2" t="inlineStr">
        <is>
          <t>20260529801000</t>
        </is>
      </c>
      <c r="H7778" s="8">
        <f>HYPERLINK("https://dart.fss.or.kr/dsaf001/main.do?rcpNo=20260529801000", "공시열람")</f>
        <v/>
      </c>
    </row>
    <row r="7779">
      <c r="A7779" s="2" t="inlineStr">
        <is>
          <t>2026-05-29</t>
        </is>
      </c>
      <c r="B7779" s="3" t="inlineStr">
        <is>
          <t>루닛</t>
        </is>
      </c>
      <c r="C7779" s="2" t="inlineStr">
        <is>
          <t>코스닥</t>
        </is>
      </c>
      <c r="D7779" s="2" t="inlineStr">
        <is>
          <t>328130</t>
        </is>
      </c>
      <c r="E7779" s="3" t="inlineStr">
        <is>
          <t xml:space="preserve">지속가능경영보고서등관련사항(자율공시)              </t>
        </is>
      </c>
      <c r="F7779" s="3" t="inlineStr">
        <is>
          <t>루닛</t>
        </is>
      </c>
      <c r="G7779" s="2" t="inlineStr">
        <is>
          <t>20260529901258</t>
        </is>
      </c>
      <c r="H7779" s="8">
        <f>HYPERLINK("https://dart.fss.or.kr/dsaf001/main.do?rcpNo=20260529901258", "공시열람")</f>
        <v/>
      </c>
    </row>
    <row r="7780">
      <c r="A7780" s="2" t="inlineStr">
        <is>
          <t>2026-05-29</t>
        </is>
      </c>
      <c r="B7780" s="3" t="inlineStr">
        <is>
          <t>기아</t>
        </is>
      </c>
      <c r="C7780" s="2" t="inlineStr">
        <is>
          <t>코스피</t>
        </is>
      </c>
      <c r="D7780" s="2" t="inlineStr">
        <is>
          <t>000270</t>
        </is>
      </c>
      <c r="E7780" s="3" t="inlineStr">
        <is>
          <t xml:space="preserve">기업지배구조보고서공시              </t>
        </is>
      </c>
      <c r="F7780" s="3" t="inlineStr">
        <is>
          <t>기아</t>
        </is>
      </c>
      <c r="G7780" s="2" t="inlineStr">
        <is>
          <t>20260529800812</t>
        </is>
      </c>
      <c r="H7780" s="8">
        <f>HYPERLINK("https://dart.fss.or.kr/dsaf001/main.do?rcpNo=20260529800812", "공시열람")</f>
        <v/>
      </c>
    </row>
    <row r="7781">
      <c r="A7781" s="2" t="inlineStr">
        <is>
          <t>2026-05-29</t>
        </is>
      </c>
      <c r="B7781" s="3" t="inlineStr">
        <is>
          <t>하나금융지주</t>
        </is>
      </c>
      <c r="C7781" s="2" t="inlineStr">
        <is>
          <t>코스피</t>
        </is>
      </c>
      <c r="D7781" s="2" t="inlineStr">
        <is>
          <t>086790</t>
        </is>
      </c>
      <c r="E7781" s="3" t="inlineStr">
        <is>
          <t>증권발행실적보고서</t>
        </is>
      </c>
      <c r="F7781" s="3" t="inlineStr">
        <is>
          <t>하나금융지주</t>
        </is>
      </c>
      <c r="G7781" s="2" t="inlineStr">
        <is>
          <t>20260529001502</t>
        </is>
      </c>
      <c r="H7781" s="8">
        <f>HYPERLINK("https://dart.fss.or.kr/dsaf001/main.do?rcpNo=20260529001502", "공시열람")</f>
        <v/>
      </c>
    </row>
    <row r="7782">
      <c r="A7782" s="2" t="inlineStr">
        <is>
          <t>2026-05-29 (정정: 2026-06-01)</t>
        </is>
      </c>
      <c r="B7782" s="3" t="inlineStr">
        <is>
          <t>DN오토모티브</t>
        </is>
      </c>
      <c r="C7782" s="2" t="inlineStr">
        <is>
          <t>코스피</t>
        </is>
      </c>
      <c r="D7782" s="2" t="inlineStr">
        <is>
          <t>007340</t>
        </is>
      </c>
      <c r="E7782" s="3" t="inlineStr">
        <is>
          <t>대규모기업집단현황공시[연1회(동일인용)] (정정: 20260601)</t>
        </is>
      </c>
      <c r="F7782" s="3" t="inlineStr">
        <is>
          <t>김상헌</t>
        </is>
      </c>
      <c r="G7782" s="2" t="inlineStr">
        <is>
          <t>20260601000297</t>
        </is>
      </c>
      <c r="H7782" s="8">
        <f>HYPERLINK("https://dart.fss.or.kr/dsaf001/main.do?rcpNo=20260601000297", "공시열람")</f>
        <v/>
      </c>
    </row>
    <row r="7783">
      <c r="A7783" s="2" t="inlineStr">
        <is>
          <t>2026-05-29</t>
        </is>
      </c>
      <c r="B7783" s="3" t="inlineStr">
        <is>
          <t>사조오양</t>
        </is>
      </c>
      <c r="C7783" s="2" t="inlineStr">
        <is>
          <t>코스피</t>
        </is>
      </c>
      <c r="D7783" s="2" t="inlineStr">
        <is>
          <t>006090</t>
        </is>
      </c>
      <c r="E7783" s="3" t="inlineStr">
        <is>
          <t>임원ㆍ주요주주특정증권등소유상황보고서</t>
        </is>
      </c>
      <c r="F7783" s="3" t="inlineStr">
        <is>
          <t>주지홍</t>
        </is>
      </c>
      <c r="G7783" s="2" t="inlineStr">
        <is>
          <t>20260529001498</t>
        </is>
      </c>
      <c r="H7783" s="8">
        <f>HYPERLINK("https://dart.fss.or.kr/dsaf001/main.do?rcpNo=20260529001498", "공시열람")</f>
        <v/>
      </c>
    </row>
    <row r="7784">
      <c r="A7784" s="2" t="inlineStr">
        <is>
          <t>2026-05-29</t>
        </is>
      </c>
      <c r="B7784" s="3" t="inlineStr">
        <is>
          <t>삼원강재</t>
        </is>
      </c>
      <c r="C7784" s="2" t="inlineStr">
        <is>
          <t>코스피</t>
        </is>
      </c>
      <c r="D7784" s="2" t="inlineStr">
        <is>
          <t>023000</t>
        </is>
      </c>
      <c r="E7784" s="3" t="inlineStr">
        <is>
          <t xml:space="preserve">기업지배구조보고서공시              </t>
        </is>
      </c>
      <c r="F7784" s="3" t="inlineStr">
        <is>
          <t>삼원강재</t>
        </is>
      </c>
      <c r="G7784" s="2" t="inlineStr">
        <is>
          <t>20260529801260</t>
        </is>
      </c>
      <c r="H7784" s="8">
        <f>HYPERLINK("https://dart.fss.or.kr/dsaf001/main.do?rcpNo=20260529801260", "공시열람")</f>
        <v/>
      </c>
    </row>
    <row r="7785">
      <c r="A7785" s="2" t="inlineStr">
        <is>
          <t>2026-05-29</t>
        </is>
      </c>
      <c r="B7785" s="3" t="inlineStr">
        <is>
          <t>한화에어로스페이스</t>
        </is>
      </c>
      <c r="C7785" s="2" t="inlineStr">
        <is>
          <t>코스피</t>
        </is>
      </c>
      <c r="D7785" s="2" t="inlineStr">
        <is>
          <t>012450</t>
        </is>
      </c>
      <c r="E7785" s="3" t="inlineStr">
        <is>
          <t>대규모기업집단현황공시[연1회공시및1/4분기용(개별회사)]</t>
        </is>
      </c>
      <c r="F7785" s="3" t="inlineStr">
        <is>
          <t>한화에어로스페이스</t>
        </is>
      </c>
      <c r="G7785" s="2" t="inlineStr">
        <is>
          <t>20260529001494</t>
        </is>
      </c>
      <c r="H7785" s="8">
        <f>HYPERLINK("https://dart.fss.or.kr/dsaf001/main.do?rcpNo=20260529001494", "공시열람")</f>
        <v/>
      </c>
    </row>
    <row r="7786">
      <c r="A7786" s="2" t="inlineStr">
        <is>
          <t>2026-05-29</t>
        </is>
      </c>
      <c r="B7786" s="3" t="inlineStr">
        <is>
          <t>SKC</t>
        </is>
      </c>
      <c r="C7786" s="2" t="inlineStr">
        <is>
          <t>코스피</t>
        </is>
      </c>
      <c r="D7786" s="2" t="inlineStr">
        <is>
          <t>011790</t>
        </is>
      </c>
      <c r="E7786" s="3" t="inlineStr">
        <is>
          <t>임원ㆍ주요주주특정증권등소유상황보고서</t>
        </is>
      </c>
      <c r="F7786" s="3" t="inlineStr">
        <is>
          <t>SK</t>
        </is>
      </c>
      <c r="G7786" s="2" t="inlineStr">
        <is>
          <t>20260529001490</t>
        </is>
      </c>
      <c r="H7786" s="8">
        <f>HYPERLINK("https://dart.fss.or.kr/dsaf001/main.do?rcpNo=20260529001490", "공시열람")</f>
        <v/>
      </c>
    </row>
    <row r="7787">
      <c r="A7787" s="2" t="inlineStr">
        <is>
          <t>2026-05-29</t>
        </is>
      </c>
      <c r="B7787" s="3" t="inlineStr">
        <is>
          <t>일진하이솔루스</t>
        </is>
      </c>
      <c r="C7787" s="2" t="inlineStr">
        <is>
          <t>코스피</t>
        </is>
      </c>
      <c r="D7787" s="2" t="inlineStr">
        <is>
          <t>271940</t>
        </is>
      </c>
      <c r="E7787" s="3" t="inlineStr">
        <is>
          <t xml:space="preserve">기업지배구조보고서공시              </t>
        </is>
      </c>
      <c r="F7787" s="3" t="inlineStr">
        <is>
          <t>일진하이솔루스</t>
        </is>
      </c>
      <c r="G7787" s="2" t="inlineStr">
        <is>
          <t>20260529801238</t>
        </is>
      </c>
      <c r="H7787" s="8">
        <f>HYPERLINK("https://dart.fss.or.kr/dsaf001/main.do?rcpNo=20260529801238", "공시열람")</f>
        <v/>
      </c>
    </row>
    <row r="7788">
      <c r="A7788" s="2" t="inlineStr">
        <is>
          <t>2026-05-29</t>
        </is>
      </c>
      <c r="B7788" s="3" t="inlineStr">
        <is>
          <t>KG에코솔루션</t>
        </is>
      </c>
      <c r="C7788" s="2" t="inlineStr">
        <is>
          <t>코스닥</t>
        </is>
      </c>
      <c r="D7788" s="2" t="inlineStr">
        <is>
          <t>151860</t>
        </is>
      </c>
      <c r="E7788" s="3" t="inlineStr">
        <is>
          <t>대규모기업집단현황공시[연1회공시및1/4분기용(개별회사)]</t>
        </is>
      </c>
      <c r="F7788" s="3" t="inlineStr">
        <is>
          <t>KG에코솔루션</t>
        </is>
      </c>
      <c r="G7788" s="2" t="inlineStr">
        <is>
          <t>20260529001488</t>
        </is>
      </c>
      <c r="H7788" s="8">
        <f>HYPERLINK("https://dart.fss.or.kr/dsaf001/main.do?rcpNo=20260529001488", "공시열람")</f>
        <v/>
      </c>
    </row>
    <row r="7789">
      <c r="A7789" s="2" t="inlineStr">
        <is>
          <t>2026-05-29</t>
        </is>
      </c>
      <c r="B7789" s="3" t="inlineStr">
        <is>
          <t>OCI</t>
        </is>
      </c>
      <c r="C7789" s="2" t="inlineStr">
        <is>
          <t>코스피</t>
        </is>
      </c>
      <c r="D7789" s="2" t="inlineStr">
        <is>
          <t>456040</t>
        </is>
      </c>
      <c r="E7789" s="3" t="inlineStr">
        <is>
          <t xml:space="preserve">기업지배구조보고서공시              </t>
        </is>
      </c>
      <c r="F7789" s="3" t="inlineStr">
        <is>
          <t>OCI</t>
        </is>
      </c>
      <c r="G7789" s="2" t="inlineStr">
        <is>
          <t>20260529801244</t>
        </is>
      </c>
      <c r="H7789" s="8">
        <f>HYPERLINK("https://dart.fss.or.kr/dsaf001/main.do?rcpNo=20260529801244", "공시열람")</f>
        <v/>
      </c>
    </row>
    <row r="7790">
      <c r="A7790" s="2" t="inlineStr">
        <is>
          <t>2026-05-29</t>
        </is>
      </c>
      <c r="B7790" s="3" t="inlineStr">
        <is>
          <t>와이즈넛</t>
        </is>
      </c>
      <c r="C7790" s="2" t="inlineStr">
        <is>
          <t>코스닥</t>
        </is>
      </c>
      <c r="D7790" s="2" t="inlineStr">
        <is>
          <t>096250</t>
        </is>
      </c>
      <c r="E7790" s="3" t="inlineStr">
        <is>
          <t>임원ㆍ주요주주특정증권등소유상황보고서</t>
        </is>
      </c>
      <c r="F7790" s="3" t="inlineStr">
        <is>
          <t>장주연</t>
        </is>
      </c>
      <c r="G7790" s="2" t="inlineStr">
        <is>
          <t>20260529001480</t>
        </is>
      </c>
      <c r="H7790" s="8">
        <f>HYPERLINK("https://dart.fss.or.kr/dsaf001/main.do?rcpNo=20260529001480", "공시열람")</f>
        <v/>
      </c>
    </row>
    <row r="7791">
      <c r="A7791" s="2" t="inlineStr">
        <is>
          <t>2026-05-29 (정정: 2026-05-29)</t>
        </is>
      </c>
      <c r="B7791" s="3" t="inlineStr">
        <is>
          <t>SK가스</t>
        </is>
      </c>
      <c r="C7791" s="2" t="inlineStr">
        <is>
          <t>코스피</t>
        </is>
      </c>
      <c r="D7791" s="2" t="inlineStr">
        <is>
          <t>018670</t>
        </is>
      </c>
      <c r="E7791" s="3" t="inlineStr">
        <is>
          <t>기업지배구조보고서공시               (정정: 20260529)</t>
        </is>
      </c>
      <c r="F7791" s="3" t="inlineStr">
        <is>
          <t>SK가스</t>
        </is>
      </c>
      <c r="G7791" s="2" t="inlineStr">
        <is>
          <t>20260529001072</t>
        </is>
      </c>
      <c r="H7791" s="8">
        <f>HYPERLINK("https://dart.fss.or.kr/dsaf001/main.do?rcpNo=20260529001072", "공시열람")</f>
        <v/>
      </c>
    </row>
    <row r="7792">
      <c r="A7792" s="2" t="inlineStr">
        <is>
          <t>2026-05-29</t>
        </is>
      </c>
      <c r="B7792" s="3" t="inlineStr">
        <is>
          <t>에이피알</t>
        </is>
      </c>
      <c r="C7792" s="2" t="inlineStr">
        <is>
          <t>코스피</t>
        </is>
      </c>
      <c r="D7792" s="2" t="inlineStr">
        <is>
          <t>278470</t>
        </is>
      </c>
      <c r="E7792" s="3" t="inlineStr">
        <is>
          <t xml:space="preserve">기업지배구조보고서공시              </t>
        </is>
      </c>
      <c r="F7792" s="3" t="inlineStr">
        <is>
          <t>에이피알</t>
        </is>
      </c>
      <c r="G7792" s="2" t="inlineStr">
        <is>
          <t>20260529801251</t>
        </is>
      </c>
      <c r="H7792" s="8">
        <f>HYPERLINK("https://dart.fss.or.kr/dsaf001/main.do?rcpNo=20260529801251", "공시열람")</f>
        <v/>
      </c>
    </row>
    <row r="7793">
      <c r="A7793" s="2" t="inlineStr">
        <is>
          <t>2026-05-29</t>
        </is>
      </c>
      <c r="B7793" s="3" t="inlineStr">
        <is>
          <t>LIG아큐버</t>
        </is>
      </c>
      <c r="C7793" s="2" t="inlineStr">
        <is>
          <t>코스닥</t>
        </is>
      </c>
      <c r="D7793" s="2" t="inlineStr">
        <is>
          <t>073490</t>
        </is>
      </c>
      <c r="E7793" s="3" t="inlineStr">
        <is>
          <t>대규모기업집단현황공시[연1회공시및1/4분기용(개별회사)]</t>
        </is>
      </c>
      <c r="F7793" s="3" t="inlineStr">
        <is>
          <t>LIG아큐버</t>
        </is>
      </c>
      <c r="G7793" s="2" t="inlineStr">
        <is>
          <t>20260529001476</t>
        </is>
      </c>
      <c r="H7793" s="8">
        <f>HYPERLINK("https://dart.fss.or.kr/dsaf001/main.do?rcpNo=20260529001476", "공시열람")</f>
        <v/>
      </c>
    </row>
    <row r="7794">
      <c r="A7794" s="2" t="inlineStr">
        <is>
          <t>2026-05-29 (정정: 2026-05-29)</t>
        </is>
      </c>
      <c r="B7794" s="3" t="inlineStr">
        <is>
          <t>SK케미칼</t>
        </is>
      </c>
      <c r="C7794" s="2" t="inlineStr">
        <is>
          <t>코스피</t>
        </is>
      </c>
      <c r="D7794" s="2" t="inlineStr">
        <is>
          <t>285130</t>
        </is>
      </c>
      <c r="E7794" s="3" t="inlineStr">
        <is>
          <t>대규모기업집단현황공시[연1회공시및1/4분기용(개별회사)] (정정: 20260529)</t>
        </is>
      </c>
      <c r="F7794" s="3" t="inlineStr">
        <is>
          <t>SK케미칼</t>
        </is>
      </c>
      <c r="G7794" s="2" t="inlineStr">
        <is>
          <t>20260529801201</t>
        </is>
      </c>
      <c r="H7794" s="8">
        <f>HYPERLINK("https://dart.fss.or.kr/dsaf001/main.do?rcpNo=20260529801201", "공시열람")</f>
        <v/>
      </c>
    </row>
    <row r="7795">
      <c r="A7795" s="2" t="inlineStr">
        <is>
          <t>2026-05-29</t>
        </is>
      </c>
      <c r="B7795" s="3" t="inlineStr">
        <is>
          <t>유니크</t>
        </is>
      </c>
      <c r="C7795" s="2" t="inlineStr">
        <is>
          <t>코스닥</t>
        </is>
      </c>
      <c r="D7795" s="2" t="inlineStr">
        <is>
          <t>011320</t>
        </is>
      </c>
      <c r="E7795" s="3" t="inlineStr">
        <is>
          <t>임원ㆍ주요주주특정증권등소유상황보고서</t>
        </is>
      </c>
      <c r="F7795" s="3" t="inlineStr">
        <is>
          <t>안영구</t>
        </is>
      </c>
      <c r="G7795" s="2" t="inlineStr">
        <is>
          <t>20260529001472</t>
        </is>
      </c>
      <c r="H7795" s="8">
        <f>HYPERLINK("https://dart.fss.or.kr/dsaf001/main.do?rcpNo=20260529001472", "공시열람")</f>
        <v/>
      </c>
    </row>
    <row r="7796">
      <c r="A7796" s="2" t="inlineStr">
        <is>
          <t>2026-05-29</t>
        </is>
      </c>
      <c r="B7796" s="3" t="inlineStr">
        <is>
          <t>KG스틸</t>
        </is>
      </c>
      <c r="C7796" s="2" t="inlineStr">
        <is>
          <t>코스피</t>
        </is>
      </c>
      <c r="D7796" s="2" t="inlineStr">
        <is>
          <t>016380</t>
        </is>
      </c>
      <c r="E7796" s="3" t="inlineStr">
        <is>
          <t>대규모기업집단현황공시[연1회공시및1/4분기용(개별회사)]</t>
        </is>
      </c>
      <c r="F7796" s="3" t="inlineStr">
        <is>
          <t>KG스틸</t>
        </is>
      </c>
      <c r="G7796" s="2" t="inlineStr">
        <is>
          <t>20260529001470</t>
        </is>
      </c>
      <c r="H7796" s="8">
        <f>HYPERLINK("https://dart.fss.or.kr/dsaf001/main.do?rcpNo=20260529001470", "공시열람")</f>
        <v/>
      </c>
    </row>
    <row r="7797">
      <c r="A7797" s="2" t="inlineStr">
        <is>
          <t>2026-05-29</t>
        </is>
      </c>
      <c r="B7797" s="3" t="inlineStr">
        <is>
          <t>디와이</t>
        </is>
      </c>
      <c r="C7797" s="2" t="inlineStr">
        <is>
          <t>코스피</t>
        </is>
      </c>
      <c r="D7797" s="2" t="inlineStr">
        <is>
          <t>013570</t>
        </is>
      </c>
      <c r="E7797" s="3" t="inlineStr">
        <is>
          <t xml:space="preserve">기업지배구조보고서공시              </t>
        </is>
      </c>
      <c r="F7797" s="3" t="inlineStr">
        <is>
          <t>디와이</t>
        </is>
      </c>
      <c r="G7797" s="2" t="inlineStr">
        <is>
          <t>20260529800829</t>
        </is>
      </c>
      <c r="H7797" s="8">
        <f>HYPERLINK("https://dart.fss.or.kr/dsaf001/main.do?rcpNo=20260529800829", "공시열람")</f>
        <v/>
      </c>
    </row>
    <row r="7798">
      <c r="A7798" s="2" t="inlineStr">
        <is>
          <t>2026-05-29</t>
        </is>
      </c>
      <c r="B7798" s="3" t="inlineStr">
        <is>
          <t>선진</t>
        </is>
      </c>
      <c r="C7798" s="2" t="inlineStr">
        <is>
          <t>코스피</t>
        </is>
      </c>
      <c r="D7798" s="2" t="inlineStr">
        <is>
          <t>136490</t>
        </is>
      </c>
      <c r="E7798" s="3" t="inlineStr">
        <is>
          <t>대규모기업집단현황공시[연1회공시및1/4분기용(개별회사)]</t>
        </is>
      </c>
      <c r="F7798" s="3" t="inlineStr">
        <is>
          <t>선진</t>
        </is>
      </c>
      <c r="G7798" s="2" t="inlineStr">
        <is>
          <t>20260529001465</t>
        </is>
      </c>
      <c r="H7798" s="8">
        <f>HYPERLINK("https://dart.fss.or.kr/dsaf001/main.do?rcpNo=20260529001465", "공시열람")</f>
        <v/>
      </c>
    </row>
    <row r="7799">
      <c r="A7799" s="2" t="inlineStr">
        <is>
          <t>2026-05-29</t>
        </is>
      </c>
      <c r="B7799" s="3" t="inlineStr">
        <is>
          <t>두산로보틱스</t>
        </is>
      </c>
      <c r="C7799" s="2" t="inlineStr">
        <is>
          <t>코스피</t>
        </is>
      </c>
      <c r="D7799" s="2" t="inlineStr">
        <is>
          <t>454910</t>
        </is>
      </c>
      <c r="E7799" s="3" t="inlineStr">
        <is>
          <t>대규모기업집단현황공시[연1회공시및1/4분기용(개별회사)]</t>
        </is>
      </c>
      <c r="F7799" s="3" t="inlineStr">
        <is>
          <t>두산로보틱스</t>
        </is>
      </c>
      <c r="G7799" s="2" t="inlineStr">
        <is>
          <t>20260529001459</t>
        </is>
      </c>
      <c r="H7799" s="8">
        <f>HYPERLINK("https://dart.fss.or.kr/dsaf001/main.do?rcpNo=20260529001459", "공시열람")</f>
        <v/>
      </c>
    </row>
    <row r="7800">
      <c r="A7800" s="2" t="inlineStr">
        <is>
          <t>2026-05-29</t>
        </is>
      </c>
      <c r="B7800" s="3" t="inlineStr">
        <is>
          <t>DN오토모티브</t>
        </is>
      </c>
      <c r="C7800" s="2" t="inlineStr">
        <is>
          <t>코스피</t>
        </is>
      </c>
      <c r="D7800" s="2" t="inlineStr">
        <is>
          <t>007340</t>
        </is>
      </c>
      <c r="E7800" s="3" t="inlineStr">
        <is>
          <t>대규모기업집단현황공시[연1회공시및1/4분기용(대표회사)]</t>
        </is>
      </c>
      <c r="F7800" s="3" t="inlineStr">
        <is>
          <t>DN오토모티브</t>
        </is>
      </c>
      <c r="G7800" s="2" t="inlineStr">
        <is>
          <t>20260529001457</t>
        </is>
      </c>
      <c r="H7800" s="8">
        <f>HYPERLINK("https://dart.fss.or.kr/dsaf001/main.do?rcpNo=20260529001457", "공시열람")</f>
        <v/>
      </c>
    </row>
    <row r="7801">
      <c r="A7801" s="2" t="inlineStr">
        <is>
          <t>2026-05-29</t>
        </is>
      </c>
      <c r="B7801" s="3" t="inlineStr">
        <is>
          <t>잇츠한불</t>
        </is>
      </c>
      <c r="C7801" s="2" t="inlineStr">
        <is>
          <t>코스피</t>
        </is>
      </c>
      <c r="D7801" s="2" t="inlineStr">
        <is>
          <t>226320</t>
        </is>
      </c>
      <c r="E7801" s="3" t="inlineStr">
        <is>
          <t xml:space="preserve">기업지배구조보고서공시              </t>
        </is>
      </c>
      <c r="F7801" s="3" t="inlineStr">
        <is>
          <t>잇츠한불</t>
        </is>
      </c>
      <c r="G7801" s="2" t="inlineStr">
        <is>
          <t>20260529801214</t>
        </is>
      </c>
      <c r="H7801" s="8">
        <f>HYPERLINK("https://dart.fss.or.kr/dsaf001/main.do?rcpNo=20260529801214", "공시열람")</f>
        <v/>
      </c>
    </row>
    <row r="7802">
      <c r="A7802" s="2" t="inlineStr">
        <is>
          <t>2026-05-29</t>
        </is>
      </c>
      <c r="B7802" s="3" t="inlineStr">
        <is>
          <t>메타랩스</t>
        </is>
      </c>
      <c r="C7802" s="2" t="inlineStr">
        <is>
          <t>코스피</t>
        </is>
      </c>
      <c r="D7802" s="2" t="inlineStr">
        <is>
          <t>090370</t>
        </is>
      </c>
      <c r="E7802" s="3" t="inlineStr">
        <is>
          <t xml:space="preserve">기업지배구조보고서공시              </t>
        </is>
      </c>
      <c r="F7802" s="3" t="inlineStr">
        <is>
          <t>메타랩스</t>
        </is>
      </c>
      <c r="G7802" s="2" t="inlineStr">
        <is>
          <t>20260529801242</t>
        </is>
      </c>
      <c r="H7802" s="8">
        <f>HYPERLINK("https://dart.fss.or.kr/dsaf001/main.do?rcpNo=20260529801242", "공시열람")</f>
        <v/>
      </c>
    </row>
    <row r="7803">
      <c r="A7803" s="2" t="inlineStr">
        <is>
          <t>2026-05-29</t>
        </is>
      </c>
      <c r="B7803" s="3" t="inlineStr">
        <is>
          <t>교촌에프앤비</t>
        </is>
      </c>
      <c r="C7803" s="2" t="inlineStr">
        <is>
          <t>코스피</t>
        </is>
      </c>
      <c r="D7803" s="2" t="inlineStr">
        <is>
          <t>339770</t>
        </is>
      </c>
      <c r="E7803" s="3" t="inlineStr">
        <is>
          <t xml:space="preserve">기업지배구조보고서공시              </t>
        </is>
      </c>
      <c r="F7803" s="3" t="inlineStr">
        <is>
          <t>교촌에프앤비</t>
        </is>
      </c>
      <c r="G7803" s="2" t="inlineStr">
        <is>
          <t>20260529801236</t>
        </is>
      </c>
      <c r="H7803" s="8">
        <f>HYPERLINK("https://dart.fss.or.kr/dsaf001/main.do?rcpNo=20260529801236", "공시열람")</f>
        <v/>
      </c>
    </row>
    <row r="7804">
      <c r="A7804" s="2" t="inlineStr">
        <is>
          <t>2026-05-29</t>
        </is>
      </c>
      <c r="B7804" s="3" t="inlineStr">
        <is>
          <t>롯데하이마트</t>
        </is>
      </c>
      <c r="C7804" s="2" t="inlineStr">
        <is>
          <t>코스피</t>
        </is>
      </c>
      <c r="D7804" s="2" t="inlineStr">
        <is>
          <t>071840</t>
        </is>
      </c>
      <c r="E7804" s="3" t="inlineStr">
        <is>
          <t xml:space="preserve">기업지배구조보고서공시              </t>
        </is>
      </c>
      <c r="F7804" s="3" t="inlineStr">
        <is>
          <t>롯데하이마트</t>
        </is>
      </c>
      <c r="G7804" s="2" t="inlineStr">
        <is>
          <t>20260529801210</t>
        </is>
      </c>
      <c r="H7804" s="8">
        <f>HYPERLINK("https://dart.fss.or.kr/dsaf001/main.do?rcpNo=20260529801210", "공시열람")</f>
        <v/>
      </c>
    </row>
    <row r="7805">
      <c r="A7805" s="2" t="inlineStr">
        <is>
          <t>2026-05-29</t>
        </is>
      </c>
      <c r="B7805" s="3" t="inlineStr">
        <is>
          <t>롯데하이마트</t>
        </is>
      </c>
      <c r="C7805" s="2" t="inlineStr">
        <is>
          <t>코스피</t>
        </is>
      </c>
      <c r="D7805" s="2" t="inlineStr">
        <is>
          <t>071840</t>
        </is>
      </c>
      <c r="E7805" s="3" t="inlineStr">
        <is>
          <t>대규모기업집단현황공시[연1회공시및1/4분기용(개별회사)]</t>
        </is>
      </c>
      <c r="F7805" s="3" t="inlineStr">
        <is>
          <t>롯데하이마트</t>
        </is>
      </c>
      <c r="G7805" s="2" t="inlineStr">
        <is>
          <t>20260529001452</t>
        </is>
      </c>
      <c r="H7805" s="8">
        <f>HYPERLINK("https://dart.fss.or.kr/dsaf001/main.do?rcpNo=20260529001452", "공시열람")</f>
        <v/>
      </c>
    </row>
    <row r="7806">
      <c r="A7806" s="2" t="inlineStr">
        <is>
          <t>2026-05-29</t>
        </is>
      </c>
      <c r="B7806" s="3" t="inlineStr">
        <is>
          <t>샘표</t>
        </is>
      </c>
      <c r="C7806" s="2" t="inlineStr">
        <is>
          <t>코스피</t>
        </is>
      </c>
      <c r="D7806" s="2" t="inlineStr">
        <is>
          <t>007540</t>
        </is>
      </c>
      <c r="E7806" s="3" t="inlineStr">
        <is>
          <t xml:space="preserve">기업지배구조보고서공시              </t>
        </is>
      </c>
      <c r="F7806" s="3" t="inlineStr">
        <is>
          <t>샘표</t>
        </is>
      </c>
      <c r="G7806" s="2" t="inlineStr">
        <is>
          <t>20260529801228</t>
        </is>
      </c>
      <c r="H7806" s="8">
        <f>HYPERLINK("https://dart.fss.or.kr/dsaf001/main.do?rcpNo=20260529801228", "공시열람")</f>
        <v/>
      </c>
    </row>
    <row r="7807">
      <c r="A7807" s="2" t="inlineStr">
        <is>
          <t>2026-05-29</t>
        </is>
      </c>
      <c r="B7807" s="3" t="inlineStr">
        <is>
          <t>옵티팜</t>
        </is>
      </c>
      <c r="C7807" s="2" t="inlineStr">
        <is>
          <t>코스닥</t>
        </is>
      </c>
      <c r="D7807" s="2" t="inlineStr">
        <is>
          <t>153710</t>
        </is>
      </c>
      <c r="E7807" s="3" t="inlineStr">
        <is>
          <t>임원ㆍ주요주주특정증권등소유상황보고서</t>
        </is>
      </c>
      <c r="F7807" s="3" t="inlineStr">
        <is>
          <t>김현일</t>
        </is>
      </c>
      <c r="G7807" s="2" t="inlineStr">
        <is>
          <t>20260529001448</t>
        </is>
      </c>
      <c r="H7807" s="8">
        <f>HYPERLINK("https://dart.fss.or.kr/dsaf001/main.do?rcpNo=20260529001448", "공시열람")</f>
        <v/>
      </c>
    </row>
    <row r="7808">
      <c r="A7808" s="2" t="inlineStr">
        <is>
          <t>2026-05-29</t>
        </is>
      </c>
      <c r="B7808" s="3" t="inlineStr">
        <is>
          <t>LG유플러스</t>
        </is>
      </c>
      <c r="C7808" s="2" t="inlineStr">
        <is>
          <t>코스피</t>
        </is>
      </c>
      <c r="D7808" s="2" t="inlineStr">
        <is>
          <t>032640</t>
        </is>
      </c>
      <c r="E7808" s="3" t="inlineStr">
        <is>
          <t xml:space="preserve">기업지배구조보고서공시              </t>
        </is>
      </c>
      <c r="F7808" s="3" t="inlineStr">
        <is>
          <t>LG유플러스</t>
        </is>
      </c>
      <c r="G7808" s="2" t="inlineStr">
        <is>
          <t>20260529800786</t>
        </is>
      </c>
      <c r="H7808" s="8">
        <f>HYPERLINK("https://dart.fss.or.kr/dsaf001/main.do?rcpNo=20260529800786", "공시열람")</f>
        <v/>
      </c>
    </row>
    <row r="7809">
      <c r="A7809" s="2" t="inlineStr">
        <is>
          <t>2026-05-29</t>
        </is>
      </c>
      <c r="B7809" s="3" t="inlineStr">
        <is>
          <t>두산밥캣</t>
        </is>
      </c>
      <c r="C7809" s="2" t="inlineStr">
        <is>
          <t>코스피</t>
        </is>
      </c>
      <c r="D7809" s="2" t="inlineStr">
        <is>
          <t>241560</t>
        </is>
      </c>
      <c r="E7809" s="3" t="inlineStr">
        <is>
          <t>대규모기업집단현황공시[연1회공시및1/4분기용(개별회사)]</t>
        </is>
      </c>
      <c r="F7809" s="3" t="inlineStr">
        <is>
          <t>두산밥캣</t>
        </is>
      </c>
      <c r="G7809" s="2" t="inlineStr">
        <is>
          <t>20260529001445</t>
        </is>
      </c>
      <c r="H7809" s="8">
        <f>HYPERLINK("https://dart.fss.or.kr/dsaf001/main.do?rcpNo=20260529001445", "공시열람")</f>
        <v/>
      </c>
    </row>
    <row r="7810">
      <c r="A7810" s="2" t="inlineStr">
        <is>
          <t>2026-05-29</t>
        </is>
      </c>
      <c r="B7810" s="3" t="inlineStr">
        <is>
          <t>메타케어</t>
        </is>
      </c>
      <c r="C7810" s="2" t="inlineStr">
        <is>
          <t>코스피</t>
        </is>
      </c>
      <c r="D7810" s="2" t="inlineStr">
        <is>
          <t>118000</t>
        </is>
      </c>
      <c r="E7810" s="3" t="inlineStr">
        <is>
          <t xml:space="preserve">기업지배구조보고서공시              </t>
        </is>
      </c>
      <c r="F7810" s="3" t="inlineStr">
        <is>
          <t>메타케어</t>
        </is>
      </c>
      <c r="G7810" s="2" t="inlineStr">
        <is>
          <t>20260529800631</t>
        </is>
      </c>
      <c r="H7810" s="8">
        <f>HYPERLINK("https://dart.fss.or.kr/dsaf001/main.do?rcpNo=20260529800631", "공시열람")</f>
        <v/>
      </c>
    </row>
    <row r="7811">
      <c r="A7811" s="2" t="inlineStr">
        <is>
          <t>2026-05-29</t>
        </is>
      </c>
      <c r="B7811" s="3" t="inlineStr">
        <is>
          <t>SK텔레콤</t>
        </is>
      </c>
      <c r="C7811" s="2" t="inlineStr">
        <is>
          <t>코스피</t>
        </is>
      </c>
      <c r="D7811" s="2" t="inlineStr">
        <is>
          <t>017670</t>
        </is>
      </c>
      <c r="E7811" s="3" t="inlineStr">
        <is>
          <t>합병등종료보고서(주식의포괄적교환ㆍ이전)</t>
        </is>
      </c>
      <c r="F7811" s="3" t="inlineStr">
        <is>
          <t>SK텔레콤</t>
        </is>
      </c>
      <c r="G7811" s="2" t="inlineStr">
        <is>
          <t>20260529001444</t>
        </is>
      </c>
      <c r="H7811" s="8">
        <f>HYPERLINK("https://dart.fss.or.kr/dsaf001/main.do?rcpNo=20260529001444", "공시열람")</f>
        <v/>
      </c>
    </row>
    <row r="7812">
      <c r="A7812" s="2" t="inlineStr">
        <is>
          <t>2026-05-29</t>
        </is>
      </c>
      <c r="B7812" s="3" t="inlineStr">
        <is>
          <t>DN오토모티브</t>
        </is>
      </c>
      <c r="C7812" s="2" t="inlineStr">
        <is>
          <t>코스피</t>
        </is>
      </c>
      <c r="D7812" s="2" t="inlineStr">
        <is>
          <t>007340</t>
        </is>
      </c>
      <c r="E7812" s="3" t="inlineStr">
        <is>
          <t xml:space="preserve">기업지배구조보고서공시              </t>
        </is>
      </c>
      <c r="F7812" s="3" t="inlineStr">
        <is>
          <t>DN오토모티브</t>
        </is>
      </c>
      <c r="G7812" s="2" t="inlineStr">
        <is>
          <t>20260529801223</t>
        </is>
      </c>
      <c r="H7812" s="8">
        <f>HYPERLINK("https://dart.fss.or.kr/dsaf001/main.do?rcpNo=20260529801223", "공시열람")</f>
        <v/>
      </c>
    </row>
    <row r="7813">
      <c r="A7813" s="2" t="inlineStr">
        <is>
          <t>2026-05-29</t>
        </is>
      </c>
      <c r="B7813" s="3" t="inlineStr">
        <is>
          <t>NH투자증권</t>
        </is>
      </c>
      <c r="C7813" s="2" t="inlineStr">
        <is>
          <t>코스피</t>
        </is>
      </c>
      <c r="D7813" s="2" t="inlineStr">
        <is>
          <t>005940</t>
        </is>
      </c>
      <c r="E7813" s="3" t="inlineStr">
        <is>
          <t>증권발행실적보고서</t>
        </is>
      </c>
      <c r="F7813" s="3" t="inlineStr">
        <is>
          <t>NH투자증권</t>
        </is>
      </c>
      <c r="G7813" s="2" t="inlineStr">
        <is>
          <t>20260529001439</t>
        </is>
      </c>
      <c r="H7813" s="8">
        <f>HYPERLINK("https://dart.fss.or.kr/dsaf001/main.do?rcpNo=20260529001439", "공시열람")</f>
        <v/>
      </c>
    </row>
    <row r="7814">
      <c r="A7814" s="2" t="inlineStr">
        <is>
          <t>2026-05-29</t>
        </is>
      </c>
      <c r="B7814" s="3" t="inlineStr">
        <is>
          <t>깨끗한나라</t>
        </is>
      </c>
      <c r="C7814" s="2" t="inlineStr">
        <is>
          <t>코스피</t>
        </is>
      </c>
      <c r="D7814" s="2" t="inlineStr">
        <is>
          <t>004540</t>
        </is>
      </c>
      <c r="E7814" s="3" t="inlineStr">
        <is>
          <t xml:space="preserve">기업지배구조보고서공시              </t>
        </is>
      </c>
      <c r="F7814" s="3" t="inlineStr">
        <is>
          <t>깨끗한나라</t>
        </is>
      </c>
      <c r="G7814" s="2" t="inlineStr">
        <is>
          <t>20260529801211</t>
        </is>
      </c>
      <c r="H7814" s="8">
        <f>HYPERLINK("https://dart.fss.or.kr/dsaf001/main.do?rcpNo=20260529801211", "공시열람")</f>
        <v/>
      </c>
    </row>
    <row r="7815">
      <c r="A7815" s="2" t="inlineStr">
        <is>
          <t>2026-05-29</t>
        </is>
      </c>
      <c r="B7815" s="3" t="inlineStr">
        <is>
          <t>대우건설</t>
        </is>
      </c>
      <c r="C7815" s="2" t="inlineStr">
        <is>
          <t>코스피</t>
        </is>
      </c>
      <c r="D7815" s="2" t="inlineStr">
        <is>
          <t>047040</t>
        </is>
      </c>
      <c r="E7815" s="3" t="inlineStr">
        <is>
          <t xml:space="preserve">기업지배구조보고서공시              </t>
        </is>
      </c>
      <c r="F7815" s="3" t="inlineStr">
        <is>
          <t>대우건설</t>
        </is>
      </c>
      <c r="G7815" s="2" t="inlineStr">
        <is>
          <t>20260529801224</t>
        </is>
      </c>
      <c r="H7815" s="8">
        <f>HYPERLINK("https://dart.fss.or.kr/dsaf001/main.do?rcpNo=20260529801224", "공시열람")</f>
        <v/>
      </c>
    </row>
    <row r="7816">
      <c r="A7816" s="2" t="inlineStr">
        <is>
          <t>2026-05-29</t>
        </is>
      </c>
      <c r="B7816" s="3" t="inlineStr">
        <is>
          <t>원익홀딩스</t>
        </is>
      </c>
      <c r="C7816" s="2" t="inlineStr">
        <is>
          <t>코스닥</t>
        </is>
      </c>
      <c r="D7816" s="2" t="inlineStr">
        <is>
          <t>030530</t>
        </is>
      </c>
      <c r="E7816" s="3" t="inlineStr">
        <is>
          <t>대규모기업집단현황공시[연1회(동일인용)]</t>
        </is>
      </c>
      <c r="F7816" s="3" t="inlineStr">
        <is>
          <t>이용한</t>
        </is>
      </c>
      <c r="G7816" s="2" t="inlineStr">
        <is>
          <t>20260529001436</t>
        </is>
      </c>
      <c r="H7816" s="8">
        <f>HYPERLINK("https://dart.fss.or.kr/dsaf001/main.do?rcpNo=20260529001436", "공시열람")</f>
        <v/>
      </c>
    </row>
    <row r="7817">
      <c r="A7817" s="2" t="inlineStr">
        <is>
          <t>2026-05-29</t>
        </is>
      </c>
      <c r="B7817" s="3" t="inlineStr">
        <is>
          <t>HD현대중공업</t>
        </is>
      </c>
      <c r="C7817" s="2" t="inlineStr">
        <is>
          <t>코스피</t>
        </is>
      </c>
      <c r="D7817" s="2" t="inlineStr">
        <is>
          <t>329180</t>
        </is>
      </c>
      <c r="E7817" s="3" t="inlineStr">
        <is>
          <t>대규모기업집단현황공시[연1회공시및1/4분기용(개별회사)]</t>
        </is>
      </c>
      <c r="F7817" s="3" t="inlineStr">
        <is>
          <t>HD현대중공업</t>
        </is>
      </c>
      <c r="G7817" s="2" t="inlineStr">
        <is>
          <t>20260529001429</t>
        </is>
      </c>
      <c r="H7817" s="8">
        <f>HYPERLINK("https://dart.fss.or.kr/dsaf001/main.do?rcpNo=20260529001429", "공시열람")</f>
        <v/>
      </c>
    </row>
    <row r="7818">
      <c r="A7818" s="2" t="inlineStr">
        <is>
          <t>2026-05-29</t>
        </is>
      </c>
      <c r="B7818" s="3" t="inlineStr">
        <is>
          <t>대호에이엘</t>
        </is>
      </c>
      <c r="C7818" s="2" t="inlineStr">
        <is>
          <t>코스피</t>
        </is>
      </c>
      <c r="D7818" s="2" t="inlineStr">
        <is>
          <t>069460</t>
        </is>
      </c>
      <c r="E7818" s="3" t="inlineStr">
        <is>
          <t>[기재정정]의결권대리행사권유참고서류</t>
        </is>
      </c>
      <c r="F7818" s="3" t="inlineStr">
        <is>
          <t>이영섭</t>
        </is>
      </c>
      <c r="G7818" s="2" t="inlineStr">
        <is>
          <t>20260529001426</t>
        </is>
      </c>
      <c r="H7818" s="8">
        <f>HYPERLINK("https://dart.fss.or.kr/dsaf001/main.do?rcpNo=20260529001426", "공시열람")</f>
        <v/>
      </c>
    </row>
    <row r="7819">
      <c r="A7819" s="2" t="inlineStr">
        <is>
          <t>2026-05-29</t>
        </is>
      </c>
      <c r="B7819" s="3" t="inlineStr">
        <is>
          <t>샘표식품</t>
        </is>
      </c>
      <c r="C7819" s="2" t="inlineStr">
        <is>
          <t>코스피</t>
        </is>
      </c>
      <c r="D7819" s="2" t="inlineStr">
        <is>
          <t>248170</t>
        </is>
      </c>
      <c r="E7819" s="3" t="inlineStr">
        <is>
          <t xml:space="preserve">기업지배구조보고서공시              </t>
        </is>
      </c>
      <c r="F7819" s="3" t="inlineStr">
        <is>
          <t>샘표식품</t>
        </is>
      </c>
      <c r="G7819" s="2" t="inlineStr">
        <is>
          <t>20260529801182</t>
        </is>
      </c>
      <c r="H7819" s="8">
        <f>HYPERLINK("https://dart.fss.or.kr/dsaf001/main.do?rcpNo=20260529801182", "공시열람")</f>
        <v/>
      </c>
    </row>
    <row r="7820">
      <c r="A7820" s="2" t="inlineStr">
        <is>
          <t>2026-05-29</t>
        </is>
      </c>
      <c r="B7820" s="3" t="inlineStr">
        <is>
          <t>두산테스나</t>
        </is>
      </c>
      <c r="C7820" s="2" t="inlineStr">
        <is>
          <t>코스닥</t>
        </is>
      </c>
      <c r="D7820" s="2" t="inlineStr">
        <is>
          <t>131970</t>
        </is>
      </c>
      <c r="E7820" s="3" t="inlineStr">
        <is>
          <t>대규모기업집단현황공시[연1회공시및1/4분기용(개별회사)]</t>
        </is>
      </c>
      <c r="F7820" s="3" t="inlineStr">
        <is>
          <t>두산테스나</t>
        </is>
      </c>
      <c r="G7820" s="2" t="inlineStr">
        <is>
          <t>20260529001419</t>
        </is>
      </c>
      <c r="H7820" s="8">
        <f>HYPERLINK("https://dart.fss.or.kr/dsaf001/main.do?rcpNo=20260529001419", "공시열람")</f>
        <v/>
      </c>
    </row>
    <row r="7821">
      <c r="A7821" s="2" t="inlineStr">
        <is>
          <t>2026-05-29</t>
        </is>
      </c>
      <c r="B7821" s="3" t="inlineStr">
        <is>
          <t>현대자동차</t>
        </is>
      </c>
      <c r="C7821" s="2" t="inlineStr">
        <is>
          <t>코스피</t>
        </is>
      </c>
      <c r="D7821" s="2" t="inlineStr">
        <is>
          <t>005380</t>
        </is>
      </c>
      <c r="E7821" s="3" t="inlineStr">
        <is>
          <t>대규모기업집단현황공시[연1회(동일인용)]</t>
        </is>
      </c>
      <c r="F7821" s="3" t="inlineStr">
        <is>
          <t>정의선</t>
        </is>
      </c>
      <c r="G7821" s="2" t="inlineStr">
        <is>
          <t>20260529001416</t>
        </is>
      </c>
      <c r="H7821" s="8">
        <f>HYPERLINK("https://dart.fss.or.kr/dsaf001/main.do?rcpNo=20260529001416", "공시열람")</f>
        <v/>
      </c>
    </row>
    <row r="7822">
      <c r="A7822" s="2" t="inlineStr">
        <is>
          <t>2026-05-29</t>
        </is>
      </c>
      <c r="B7822" s="3" t="inlineStr">
        <is>
          <t>유진증권</t>
        </is>
      </c>
      <c r="C7822" s="2" t="inlineStr">
        <is>
          <t>코스피</t>
        </is>
      </c>
      <c r="D7822" s="2" t="inlineStr">
        <is>
          <t>001200</t>
        </is>
      </c>
      <c r="E7822" s="3" t="inlineStr">
        <is>
          <t>증권발행실적보고서</t>
        </is>
      </c>
      <c r="F7822" s="3" t="inlineStr">
        <is>
          <t>유진증권</t>
        </is>
      </c>
      <c r="G7822" s="2" t="inlineStr">
        <is>
          <t>20260529001413</t>
        </is>
      </c>
      <c r="H7822" s="8">
        <f>HYPERLINK("https://dart.fss.or.kr/dsaf001/main.do?rcpNo=20260529001413", "공시열람")</f>
        <v/>
      </c>
    </row>
    <row r="7823">
      <c r="A7823" s="2" t="inlineStr">
        <is>
          <t>2026-05-29</t>
        </is>
      </c>
      <c r="B7823" s="3" t="inlineStr">
        <is>
          <t>이월드</t>
        </is>
      </c>
      <c r="C7823" s="2" t="inlineStr">
        <is>
          <t>코스피</t>
        </is>
      </c>
      <c r="D7823" s="2" t="inlineStr">
        <is>
          <t>084680</t>
        </is>
      </c>
      <c r="E7823" s="3" t="inlineStr">
        <is>
          <t xml:space="preserve">기업지배구조보고서공시              </t>
        </is>
      </c>
      <c r="F7823" s="3" t="inlineStr">
        <is>
          <t>이월드</t>
        </is>
      </c>
      <c r="G7823" s="2" t="inlineStr">
        <is>
          <t>20260529800396</t>
        </is>
      </c>
      <c r="H7823" s="8">
        <f>HYPERLINK("https://dart.fss.or.kr/dsaf001/main.do?rcpNo=20260529800396", "공시열람")</f>
        <v/>
      </c>
    </row>
    <row r="7824">
      <c r="A7824" s="2" t="inlineStr">
        <is>
          <t>2026-05-29</t>
        </is>
      </c>
      <c r="B7824" s="3" t="inlineStr">
        <is>
          <t>현대지에프홀딩스</t>
        </is>
      </c>
      <c r="C7824" s="2" t="inlineStr">
        <is>
          <t>코스피</t>
        </is>
      </c>
      <c r="D7824" s="2" t="inlineStr">
        <is>
          <t>005440</t>
        </is>
      </c>
      <c r="E7824" s="3" t="inlineStr">
        <is>
          <t>대규모기업집단현황공시[연1회(동일인용)]</t>
        </is>
      </c>
      <c r="F7824" s="3" t="inlineStr">
        <is>
          <t>정지선</t>
        </is>
      </c>
      <c r="G7824" s="2" t="inlineStr">
        <is>
          <t>20260529001408</t>
        </is>
      </c>
      <c r="H7824" s="8">
        <f>HYPERLINK("https://dart.fss.or.kr/dsaf001/main.do?rcpNo=20260529001408", "공시열람")</f>
        <v/>
      </c>
    </row>
    <row r="7825">
      <c r="A7825" s="2" t="inlineStr">
        <is>
          <t>2026-05-29</t>
        </is>
      </c>
      <c r="B7825" s="3" t="inlineStr">
        <is>
          <t>효성</t>
        </is>
      </c>
      <c r="C7825" s="2" t="inlineStr">
        <is>
          <t>코스피</t>
        </is>
      </c>
      <c r="D7825" s="2" t="inlineStr">
        <is>
          <t>004800</t>
        </is>
      </c>
      <c r="E7825" s="3" t="inlineStr">
        <is>
          <t xml:space="preserve">기업지배구조보고서공시              </t>
        </is>
      </c>
      <c r="F7825" s="3" t="inlineStr">
        <is>
          <t>효성</t>
        </is>
      </c>
      <c r="G7825" s="2" t="inlineStr">
        <is>
          <t>20260529801128</t>
        </is>
      </c>
      <c r="H7825" s="8">
        <f>HYPERLINK("https://dart.fss.or.kr/dsaf001/main.do?rcpNo=20260529801128", "공시열람")</f>
        <v/>
      </c>
    </row>
    <row r="7826">
      <c r="A7826" s="2" t="inlineStr">
        <is>
          <t>2026-05-29</t>
        </is>
      </c>
      <c r="B7826" s="3" t="inlineStr">
        <is>
          <t>DB증권</t>
        </is>
      </c>
      <c r="C7826" s="2" t="inlineStr">
        <is>
          <t>코스피</t>
        </is>
      </c>
      <c r="D7826" s="2" t="inlineStr">
        <is>
          <t>016610</t>
        </is>
      </c>
      <c r="E7826" s="3" t="inlineStr">
        <is>
          <t>투자설명서(일괄신고)</t>
        </is>
      </c>
      <c r="F7826" s="3" t="inlineStr">
        <is>
          <t>DB증권</t>
        </is>
      </c>
      <c r="G7826" s="2" t="inlineStr">
        <is>
          <t>20260529001405</t>
        </is>
      </c>
      <c r="H7826" s="8">
        <f>HYPERLINK("https://dart.fss.or.kr/dsaf001/main.do?rcpNo=20260529001405", "공시열람")</f>
        <v/>
      </c>
    </row>
    <row r="7827">
      <c r="A7827" s="2" t="inlineStr">
        <is>
          <t>2026-05-29</t>
        </is>
      </c>
      <c r="B7827" s="3" t="inlineStr">
        <is>
          <t>한국가스공사</t>
        </is>
      </c>
      <c r="C7827" s="2" t="inlineStr">
        <is>
          <t>코스피</t>
        </is>
      </c>
      <c r="D7827" s="2" t="inlineStr">
        <is>
          <t>036460</t>
        </is>
      </c>
      <c r="E7827" s="3" t="inlineStr">
        <is>
          <t xml:space="preserve">기업지배구조보고서공시              </t>
        </is>
      </c>
      <c r="F7827" s="3" t="inlineStr">
        <is>
          <t>한국가스공사</t>
        </is>
      </c>
      <c r="G7827" s="2" t="inlineStr">
        <is>
          <t>20260529801189</t>
        </is>
      </c>
      <c r="H7827" s="8">
        <f>HYPERLINK("https://dart.fss.or.kr/dsaf001/main.do?rcpNo=20260529801189", "공시열람")</f>
        <v/>
      </c>
    </row>
    <row r="7828">
      <c r="A7828" s="2" t="inlineStr">
        <is>
          <t>2026-05-29</t>
        </is>
      </c>
      <c r="B7828" s="3" t="inlineStr">
        <is>
          <t>유티아이</t>
        </is>
      </c>
      <c r="C7828" s="2" t="inlineStr">
        <is>
          <t>코스닥</t>
        </is>
      </c>
      <c r="D7828" s="2" t="inlineStr">
        <is>
          <t>179900</t>
        </is>
      </c>
      <c r="E7828" s="3" t="inlineStr">
        <is>
          <t>증권발행결과(자율공시)              (제6회차 CB)</t>
        </is>
      </c>
      <c r="F7828" s="3" t="inlineStr">
        <is>
          <t>유티아이</t>
        </is>
      </c>
      <c r="G7828" s="2" t="inlineStr">
        <is>
          <t>20260529901145</t>
        </is>
      </c>
      <c r="H7828" s="8">
        <f>HYPERLINK("https://dart.fss.or.kr/dsaf001/main.do?rcpNo=20260529901145", "공시열람")</f>
        <v/>
      </c>
    </row>
    <row r="7829">
      <c r="A7829" s="2" t="inlineStr">
        <is>
          <t>2026-05-29</t>
        </is>
      </c>
      <c r="B7829" s="3" t="inlineStr">
        <is>
          <t>현대백화점</t>
        </is>
      </c>
      <c r="C7829" s="2" t="inlineStr">
        <is>
          <t>코스피</t>
        </is>
      </c>
      <c r="D7829" s="2" t="inlineStr">
        <is>
          <t>069960</t>
        </is>
      </c>
      <c r="E7829" s="3" t="inlineStr">
        <is>
          <t xml:space="preserve">기업지배구조보고서공시              </t>
        </is>
      </c>
      <c r="F7829" s="3" t="inlineStr">
        <is>
          <t>현대백화점</t>
        </is>
      </c>
      <c r="G7829" s="2" t="inlineStr">
        <is>
          <t>20260529801177</t>
        </is>
      </c>
      <c r="H7829" s="8">
        <f>HYPERLINK("https://dart.fss.or.kr/dsaf001/main.do?rcpNo=20260529801177", "공시열람")</f>
        <v/>
      </c>
    </row>
    <row r="7830">
      <c r="A7830" s="2" t="inlineStr">
        <is>
          <t>2026-05-29</t>
        </is>
      </c>
      <c r="B7830" s="3" t="inlineStr">
        <is>
          <t>현대홈쇼핑</t>
        </is>
      </c>
      <c r="C7830" s="2" t="inlineStr">
        <is>
          <t>코스피</t>
        </is>
      </c>
      <c r="D7830" s="2" t="inlineStr">
        <is>
          <t>057050</t>
        </is>
      </c>
      <c r="E7830" s="3" t="inlineStr">
        <is>
          <t xml:space="preserve">기업지배구조보고서공시              </t>
        </is>
      </c>
      <c r="F7830" s="3" t="inlineStr">
        <is>
          <t>현대홈쇼핑</t>
        </is>
      </c>
      <c r="G7830" s="2" t="inlineStr">
        <is>
          <t>20260529801130</t>
        </is>
      </c>
      <c r="H7830" s="8">
        <f>HYPERLINK("https://dart.fss.or.kr/dsaf001/main.do?rcpNo=20260529801130", "공시열람")</f>
        <v/>
      </c>
    </row>
    <row r="7831">
      <c r="A7831" s="2" t="inlineStr">
        <is>
          <t>2026-05-29</t>
        </is>
      </c>
      <c r="B7831" s="3" t="inlineStr">
        <is>
          <t>현대차증권</t>
        </is>
      </c>
      <c r="C7831" s="2" t="inlineStr">
        <is>
          <t>코스피</t>
        </is>
      </c>
      <c r="D7831" s="2" t="inlineStr">
        <is>
          <t>001500</t>
        </is>
      </c>
      <c r="E7831" s="3" t="inlineStr">
        <is>
          <t>증권발행실적보고서</t>
        </is>
      </c>
      <c r="F7831" s="3" t="inlineStr">
        <is>
          <t>현대차증권</t>
        </is>
      </c>
      <c r="G7831" s="2" t="inlineStr">
        <is>
          <t>20260529001391</t>
        </is>
      </c>
      <c r="H7831" s="8">
        <f>HYPERLINK("https://dart.fss.or.kr/dsaf001/main.do?rcpNo=20260529001391", "공시열람")</f>
        <v/>
      </c>
    </row>
    <row r="7832">
      <c r="A7832" s="2" t="inlineStr">
        <is>
          <t>2026-05-29</t>
        </is>
      </c>
      <c r="B7832" s="3" t="inlineStr">
        <is>
          <t>씨에스윈드</t>
        </is>
      </c>
      <c r="C7832" s="2" t="inlineStr">
        <is>
          <t>코스피</t>
        </is>
      </c>
      <c r="D7832" s="2" t="inlineStr">
        <is>
          <t>112610</t>
        </is>
      </c>
      <c r="E7832" s="3" t="inlineStr">
        <is>
          <t xml:space="preserve">기업지배구조보고서공시              </t>
        </is>
      </c>
      <c r="F7832" s="3" t="inlineStr">
        <is>
          <t>씨에스윈드</t>
        </is>
      </c>
      <c r="G7832" s="2" t="inlineStr">
        <is>
          <t>20260529801066</t>
        </is>
      </c>
      <c r="H7832" s="8">
        <f>HYPERLINK("https://dart.fss.or.kr/dsaf001/main.do?rcpNo=20260529801066", "공시열람")</f>
        <v/>
      </c>
    </row>
    <row r="7833">
      <c r="A7833" s="2" t="inlineStr">
        <is>
          <t>2026-05-29 (정정: 2026-06-08)</t>
        </is>
      </c>
      <c r="B7833" s="3" t="inlineStr">
        <is>
          <t>알로이스</t>
        </is>
      </c>
      <c r="C7833" s="2" t="inlineStr">
        <is>
          <t>코스닥</t>
        </is>
      </c>
      <c r="D7833" s="2" t="inlineStr">
        <is>
          <t>297570</t>
        </is>
      </c>
      <c r="E7833" s="3" t="inlineStr">
        <is>
          <t>의결권대리행사권유참고서류 (정정: 20260608)</t>
        </is>
      </c>
      <c r="F7833" s="3" t="inlineStr">
        <is>
          <t>권충식</t>
        </is>
      </c>
      <c r="G7833" s="2" t="inlineStr">
        <is>
          <t>20260608000468</t>
        </is>
      </c>
      <c r="H7833" s="8">
        <f>HYPERLINK("https://dart.fss.or.kr/dsaf001/main.do?rcpNo=20260608000468", "공시열람")</f>
        <v/>
      </c>
    </row>
    <row r="7834">
      <c r="A7834" s="2" t="inlineStr">
        <is>
          <t>2026-05-29</t>
        </is>
      </c>
      <c r="B7834" s="3" t="inlineStr">
        <is>
          <t>대원강업</t>
        </is>
      </c>
      <c r="C7834" s="2" t="inlineStr">
        <is>
          <t>코스피</t>
        </is>
      </c>
      <c r="D7834" s="2" t="inlineStr">
        <is>
          <t>000430</t>
        </is>
      </c>
      <c r="E7834" s="3" t="inlineStr">
        <is>
          <t>대규모기업집단현황공시[연1회공시및1/4분기용(개별회사)]</t>
        </is>
      </c>
      <c r="F7834" s="3" t="inlineStr">
        <is>
          <t>대원강업</t>
        </is>
      </c>
      <c r="G7834" s="2" t="inlineStr">
        <is>
          <t>20260529001384</t>
        </is>
      </c>
      <c r="H7834" s="8">
        <f>HYPERLINK("https://dart.fss.or.kr/dsaf001/main.do?rcpNo=20260529001384", "공시열람")</f>
        <v/>
      </c>
    </row>
    <row r="7835">
      <c r="A7835" s="2" t="inlineStr">
        <is>
          <t>2026-05-29</t>
        </is>
      </c>
      <c r="B7835" s="3" t="inlineStr">
        <is>
          <t>케이탑리츠</t>
        </is>
      </c>
      <c r="C7835" s="2" t="inlineStr">
        <is>
          <t>코스피</t>
        </is>
      </c>
      <c r="D7835" s="2" t="inlineStr">
        <is>
          <t>145270</t>
        </is>
      </c>
      <c r="E7835" s="3" t="inlineStr">
        <is>
          <t xml:space="preserve">기업지배구조보고서공시              </t>
        </is>
      </c>
      <c r="F7835" s="3" t="inlineStr">
        <is>
          <t>케이탑리츠</t>
        </is>
      </c>
      <c r="G7835" s="2" t="inlineStr">
        <is>
          <t>20260529801163</t>
        </is>
      </c>
      <c r="H7835" s="8">
        <f>HYPERLINK("https://dart.fss.or.kr/dsaf001/main.do?rcpNo=20260529801163", "공시열람")</f>
        <v/>
      </c>
    </row>
    <row r="7836">
      <c r="A7836" s="2" t="inlineStr">
        <is>
          <t>2026-05-29 (정정: 2026-06-17)</t>
        </is>
      </c>
      <c r="B7836" s="3" t="inlineStr">
        <is>
          <t>한솔테크닉스</t>
        </is>
      </c>
      <c r="C7836" s="2" t="inlineStr">
        <is>
          <t>코스피</t>
        </is>
      </c>
      <c r="D7836" s="2" t="inlineStr">
        <is>
          <t>004710</t>
        </is>
      </c>
      <c r="E7836" s="3" t="inlineStr">
        <is>
          <t>투자설명서 (정정: 20260605) (정정: 20260605) (정정: 20260617)</t>
        </is>
      </c>
      <c r="F7836" s="3" t="inlineStr">
        <is>
          <t>한솔테크닉스</t>
        </is>
      </c>
      <c r="G7836" s="2" t="inlineStr">
        <is>
          <t>20260617000425</t>
        </is>
      </c>
      <c r="H7836" s="8">
        <f>HYPERLINK("https://dart.fss.or.kr/dsaf001/main.do?rcpNo=20260617000425", "공시열람")</f>
        <v/>
      </c>
    </row>
    <row r="7837">
      <c r="A7837" s="2" t="inlineStr">
        <is>
          <t>2026-05-29</t>
        </is>
      </c>
      <c r="B7837" s="3" t="inlineStr">
        <is>
          <t>현대리바트</t>
        </is>
      </c>
      <c r="C7837" s="2" t="inlineStr">
        <is>
          <t>코스피</t>
        </is>
      </c>
      <c r="D7837" s="2" t="inlineStr">
        <is>
          <t>079430</t>
        </is>
      </c>
      <c r="E7837" s="3" t="inlineStr">
        <is>
          <t>대규모기업집단현황공시[연1회공시및1/4분기용(개별회사)]</t>
        </is>
      </c>
      <c r="F7837" s="3" t="inlineStr">
        <is>
          <t>현대리바트</t>
        </is>
      </c>
      <c r="G7837" s="2" t="inlineStr">
        <is>
          <t>20260529001374</t>
        </is>
      </c>
      <c r="H7837" s="8">
        <f>HYPERLINK("https://dart.fss.or.kr/dsaf001/main.do?rcpNo=20260529001374", "공시열람")</f>
        <v/>
      </c>
    </row>
    <row r="7838">
      <c r="A7838" s="2" t="inlineStr">
        <is>
          <t>2026-05-29</t>
        </is>
      </c>
      <c r="B7838" s="3" t="inlineStr">
        <is>
          <t>지누스</t>
        </is>
      </c>
      <c r="C7838" s="2" t="inlineStr">
        <is>
          <t>코스피</t>
        </is>
      </c>
      <c r="D7838" s="2" t="inlineStr">
        <is>
          <t>013890</t>
        </is>
      </c>
      <c r="E7838" s="3" t="inlineStr">
        <is>
          <t xml:space="preserve">기업지배구조보고서공시              </t>
        </is>
      </c>
      <c r="F7838" s="3" t="inlineStr">
        <is>
          <t>지누스</t>
        </is>
      </c>
      <c r="G7838" s="2" t="inlineStr">
        <is>
          <t>20260529801151</t>
        </is>
      </c>
      <c r="H7838" s="8">
        <f>HYPERLINK("https://dart.fss.or.kr/dsaf001/main.do?rcpNo=20260529801151", "공시열람")</f>
        <v/>
      </c>
    </row>
    <row r="7839">
      <c r="A7839" s="2" t="inlineStr">
        <is>
          <t>2026-05-29</t>
        </is>
      </c>
      <c r="B7839" s="3" t="inlineStr">
        <is>
          <t>현대코퍼레이션</t>
        </is>
      </c>
      <c r="C7839" s="2" t="inlineStr">
        <is>
          <t>코스피</t>
        </is>
      </c>
      <c r="D7839" s="2" t="inlineStr">
        <is>
          <t>011760</t>
        </is>
      </c>
      <c r="E7839" s="3" t="inlineStr">
        <is>
          <t xml:space="preserve">기업지배구조보고서공시              </t>
        </is>
      </c>
      <c r="F7839" s="3" t="inlineStr">
        <is>
          <t>현대코퍼레이션</t>
        </is>
      </c>
      <c r="G7839" s="2" t="inlineStr">
        <is>
          <t>20260529800742</t>
        </is>
      </c>
      <c r="H7839" s="8">
        <f>HYPERLINK("https://dart.fss.or.kr/dsaf001/main.do?rcpNo=20260529800742", "공시열람")</f>
        <v/>
      </c>
    </row>
    <row r="7840">
      <c r="A7840" s="2" t="inlineStr">
        <is>
          <t>2026-05-29</t>
        </is>
      </c>
      <c r="B7840" s="3" t="inlineStr">
        <is>
          <t>삼원강재</t>
        </is>
      </c>
      <c r="C7840" s="2" t="inlineStr">
        <is>
          <t>코스피</t>
        </is>
      </c>
      <c r="D7840" s="2" t="inlineStr">
        <is>
          <t>023000</t>
        </is>
      </c>
      <c r="E7840" s="3" t="inlineStr">
        <is>
          <t>대규모기업집단현황공시[연1회공시및1/4분기용(개별회사)]</t>
        </is>
      </c>
      <c r="F7840" s="3" t="inlineStr">
        <is>
          <t>삼원강재</t>
        </is>
      </c>
      <c r="G7840" s="2" t="inlineStr">
        <is>
          <t>20260529001368</t>
        </is>
      </c>
      <c r="H7840" s="8">
        <f>HYPERLINK("https://dart.fss.or.kr/dsaf001/main.do?rcpNo=20260529001368", "공시열람")</f>
        <v/>
      </c>
    </row>
    <row r="7841">
      <c r="A7841" s="2" t="inlineStr">
        <is>
          <t>2026-05-29</t>
        </is>
      </c>
      <c r="B7841" s="3" t="inlineStr">
        <is>
          <t>푸른저축은행</t>
        </is>
      </c>
      <c r="C7841" s="2" t="inlineStr">
        <is>
          <t>코스닥</t>
        </is>
      </c>
      <c r="D7841" s="2" t="inlineStr">
        <is>
          <t>007330</t>
        </is>
      </c>
      <c r="E7841" s="3" t="inlineStr">
        <is>
          <t>대규모기업집단현황공시[연1회공시및1/4분기용(개별회사)]</t>
        </is>
      </c>
      <c r="F7841" s="3" t="inlineStr">
        <is>
          <t>푸른저축은행</t>
        </is>
      </c>
      <c r="G7841" s="2" t="inlineStr">
        <is>
          <t>20260529001365</t>
        </is>
      </c>
      <c r="H7841" s="8">
        <f>HYPERLINK("https://dart.fss.or.kr/dsaf001/main.do?rcpNo=20260529001365", "공시열람")</f>
        <v/>
      </c>
    </row>
    <row r="7842">
      <c r="A7842" s="2" t="inlineStr">
        <is>
          <t>2026-05-29</t>
        </is>
      </c>
      <c r="B7842" s="3" t="inlineStr">
        <is>
          <t>태영건설</t>
        </is>
      </c>
      <c r="C7842" s="2" t="inlineStr">
        <is>
          <t>코스피</t>
        </is>
      </c>
      <c r="D7842" s="2" t="inlineStr">
        <is>
          <t>009410</t>
        </is>
      </c>
      <c r="E7842" s="3" t="inlineStr">
        <is>
          <t>대규모기업집단현황공시[연1회공시및1/4분기용(개별회사)]</t>
        </is>
      </c>
      <c r="F7842" s="3" t="inlineStr">
        <is>
          <t>태영건설</t>
        </is>
      </c>
      <c r="G7842" s="2" t="inlineStr">
        <is>
          <t>20260529001363</t>
        </is>
      </c>
      <c r="H7842" s="8">
        <f>HYPERLINK("https://dart.fss.or.kr/dsaf001/main.do?rcpNo=20260529001363", "공시열람")</f>
        <v/>
      </c>
    </row>
    <row r="7843">
      <c r="A7843" s="2" t="inlineStr">
        <is>
          <t>2026-05-29</t>
        </is>
      </c>
      <c r="B7843" s="3" t="inlineStr">
        <is>
          <t>상상인증권</t>
        </is>
      </c>
      <c r="C7843" s="2" t="inlineStr">
        <is>
          <t>코스피</t>
        </is>
      </c>
      <c r="D7843" s="2" t="inlineStr">
        <is>
          <t>001290</t>
        </is>
      </c>
      <c r="E7843" s="3" t="inlineStr">
        <is>
          <t xml:space="preserve">기업지배구조보고서공시              </t>
        </is>
      </c>
      <c r="F7843" s="3" t="inlineStr">
        <is>
          <t>상상인증권</t>
        </is>
      </c>
      <c r="G7843" s="2" t="inlineStr">
        <is>
          <t>20260529801155</t>
        </is>
      </c>
      <c r="H7843" s="8">
        <f>HYPERLINK("https://dart.fss.or.kr/dsaf001/main.do?rcpNo=20260529801155", "공시열람")</f>
        <v/>
      </c>
    </row>
    <row r="7844">
      <c r="A7844" s="2" t="inlineStr">
        <is>
          <t>2026-05-29</t>
        </is>
      </c>
      <c r="B7844" s="3" t="inlineStr">
        <is>
          <t>현대홈쇼핑</t>
        </is>
      </c>
      <c r="C7844" s="2" t="inlineStr">
        <is>
          <t>코스피</t>
        </is>
      </c>
      <c r="D7844" s="2" t="inlineStr">
        <is>
          <t>057050</t>
        </is>
      </c>
      <c r="E7844" s="3" t="inlineStr">
        <is>
          <t>대규모기업집단현황공시[연1회공시및1/4분기용(개별회사)]</t>
        </is>
      </c>
      <c r="F7844" s="3" t="inlineStr">
        <is>
          <t>현대홈쇼핑</t>
        </is>
      </c>
      <c r="G7844" s="2" t="inlineStr">
        <is>
          <t>20260529001359</t>
        </is>
      </c>
      <c r="H7844" s="8">
        <f>HYPERLINK("https://dart.fss.or.kr/dsaf001/main.do?rcpNo=20260529001359", "공시열람")</f>
        <v/>
      </c>
    </row>
    <row r="7845">
      <c r="A7845" s="2" t="inlineStr">
        <is>
          <t>2026-05-29</t>
        </is>
      </c>
      <c r="B7845" s="3" t="inlineStr">
        <is>
          <t>파인엠텍</t>
        </is>
      </c>
      <c r="C7845" s="2" t="inlineStr">
        <is>
          <t>코스닥</t>
        </is>
      </c>
      <c r="D7845" s="2" t="inlineStr">
        <is>
          <t>441270</t>
        </is>
      </c>
      <c r="E7845" s="3" t="inlineStr">
        <is>
          <t>증권발행결과(자율공시)              (제10회차 CB)</t>
        </is>
      </c>
      <c r="F7845" s="3" t="inlineStr">
        <is>
          <t>파인엠텍</t>
        </is>
      </c>
      <c r="G7845" s="2" t="inlineStr">
        <is>
          <t>20260529901143</t>
        </is>
      </c>
      <c r="H7845" s="8">
        <f>HYPERLINK("https://dart.fss.or.kr/dsaf001/main.do?rcpNo=20260529901143", "공시열람")</f>
        <v/>
      </c>
    </row>
    <row r="7846">
      <c r="A7846" s="2" t="inlineStr">
        <is>
          <t>2026-05-29</t>
        </is>
      </c>
      <c r="B7846" s="3" t="inlineStr">
        <is>
          <t>현대그린푸드</t>
        </is>
      </c>
      <c r="C7846" s="2" t="inlineStr">
        <is>
          <t>코스피</t>
        </is>
      </c>
      <c r="D7846" s="2" t="inlineStr">
        <is>
          <t>453340</t>
        </is>
      </c>
      <c r="E7846" s="3" t="inlineStr">
        <is>
          <t xml:space="preserve">기업지배구조보고서공시              </t>
        </is>
      </c>
      <c r="F7846" s="3" t="inlineStr">
        <is>
          <t>현대그린푸드</t>
        </is>
      </c>
      <c r="G7846" s="2" t="inlineStr">
        <is>
          <t>20260529801147</t>
        </is>
      </c>
      <c r="H7846" s="8">
        <f>HYPERLINK("https://dart.fss.or.kr/dsaf001/main.do?rcpNo=20260529801147", "공시열람")</f>
        <v/>
      </c>
    </row>
    <row r="7847">
      <c r="A7847" s="2" t="inlineStr">
        <is>
          <t>2026-05-29</t>
        </is>
      </c>
      <c r="B7847" s="3" t="inlineStr">
        <is>
          <t>유티아이</t>
        </is>
      </c>
      <c r="C7847" s="2" t="inlineStr">
        <is>
          <t>코스닥</t>
        </is>
      </c>
      <c r="D7847" s="2" t="inlineStr">
        <is>
          <t>179900</t>
        </is>
      </c>
      <c r="E7847" s="3" t="inlineStr">
        <is>
          <t>전환사채(해외전환사채포함)발행후만기전사채취득              (제1회사)</t>
        </is>
      </c>
      <c r="F7847" s="3" t="inlineStr">
        <is>
          <t>유티아이</t>
        </is>
      </c>
      <c r="G7847" s="2" t="inlineStr">
        <is>
          <t>20260529901107</t>
        </is>
      </c>
      <c r="H7847" s="8">
        <f>HYPERLINK("https://dart.fss.or.kr/dsaf001/main.do?rcpNo=20260529901107", "공시열람")</f>
        <v/>
      </c>
    </row>
    <row r="7848">
      <c r="A7848" s="2" t="inlineStr">
        <is>
          <t>2026-05-29</t>
        </is>
      </c>
      <c r="B7848" s="3" t="inlineStr">
        <is>
          <t>케이씨씨</t>
        </is>
      </c>
      <c r="C7848" s="2" t="inlineStr">
        <is>
          <t>코스피</t>
        </is>
      </c>
      <c r="D7848" s="2" t="inlineStr">
        <is>
          <t>002380</t>
        </is>
      </c>
      <c r="E7848" s="3" t="inlineStr">
        <is>
          <t>대규모기업집단현황공시[연1회공시및1/4분기용(대표회사)]</t>
        </is>
      </c>
      <c r="F7848" s="3" t="inlineStr">
        <is>
          <t>케이씨씨</t>
        </is>
      </c>
      <c r="G7848" s="2" t="inlineStr">
        <is>
          <t>20260529001352</t>
        </is>
      </c>
      <c r="H7848" s="8">
        <f>HYPERLINK("https://dart.fss.or.kr/dsaf001/main.do?rcpNo=20260529001352", "공시열람")</f>
        <v/>
      </c>
    </row>
    <row r="7849">
      <c r="A7849" s="2" t="inlineStr">
        <is>
          <t>2026-05-29</t>
        </is>
      </c>
      <c r="B7849" s="3" t="inlineStr">
        <is>
          <t>CS</t>
        </is>
      </c>
      <c r="C7849" s="2" t="inlineStr">
        <is>
          <t>코스닥</t>
        </is>
      </c>
      <c r="D7849" s="2" t="inlineStr">
        <is>
          <t>065770</t>
        </is>
      </c>
      <c r="E7849" s="3" t="inlineStr">
        <is>
          <t xml:space="preserve">증권발행결과(자율공시)              </t>
        </is>
      </c>
      <c r="F7849" s="3" t="inlineStr">
        <is>
          <t>CS</t>
        </is>
      </c>
      <c r="G7849" s="2" t="inlineStr">
        <is>
          <t>20260529901140</t>
        </is>
      </c>
      <c r="H7849" s="8">
        <f>HYPERLINK("https://dart.fss.or.kr/dsaf001/main.do?rcpNo=20260529901140", "공시열람")</f>
        <v/>
      </c>
    </row>
    <row r="7850">
      <c r="A7850" s="2" t="inlineStr">
        <is>
          <t>2026-05-29</t>
        </is>
      </c>
      <c r="B7850" s="3" t="inlineStr">
        <is>
          <t>현대그린푸드</t>
        </is>
      </c>
      <c r="C7850" s="2" t="inlineStr">
        <is>
          <t>코스피</t>
        </is>
      </c>
      <c r="D7850" s="2" t="inlineStr">
        <is>
          <t>453340</t>
        </is>
      </c>
      <c r="E7850" s="3" t="inlineStr">
        <is>
          <t>대규모기업집단현황공시[연1회공시및1/4분기용(개별회사)]</t>
        </is>
      </c>
      <c r="F7850" s="3" t="inlineStr">
        <is>
          <t>현대그린푸드</t>
        </is>
      </c>
      <c r="G7850" s="2" t="inlineStr">
        <is>
          <t>20260529001338</t>
        </is>
      </c>
      <c r="H7850" s="8">
        <f>HYPERLINK("https://dart.fss.or.kr/dsaf001/main.do?rcpNo=20260529001338", "공시열람")</f>
        <v/>
      </c>
    </row>
    <row r="7851">
      <c r="A7851" s="2" t="inlineStr">
        <is>
          <t>2026-05-29</t>
        </is>
      </c>
      <c r="B7851" s="3" t="inlineStr">
        <is>
          <t>지누스</t>
        </is>
      </c>
      <c r="C7851" s="2" t="inlineStr">
        <is>
          <t>코스피</t>
        </is>
      </c>
      <c r="D7851" s="2" t="inlineStr">
        <is>
          <t>013890</t>
        </is>
      </c>
      <c r="E7851" s="3" t="inlineStr">
        <is>
          <t>대규모기업집단현황공시[연1회공시및1/4분기용(개별회사)]</t>
        </is>
      </c>
      <c r="F7851" s="3" t="inlineStr">
        <is>
          <t>지누스</t>
        </is>
      </c>
      <c r="G7851" s="2" t="inlineStr">
        <is>
          <t>20260529001337</t>
        </is>
      </c>
      <c r="H7851" s="8">
        <f>HYPERLINK("https://dart.fss.or.kr/dsaf001/main.do?rcpNo=20260529001337", "공시열람")</f>
        <v/>
      </c>
    </row>
    <row r="7852">
      <c r="A7852" s="2" t="inlineStr">
        <is>
          <t>2026-05-29 (정정: 2026-06-01)</t>
        </is>
      </c>
      <c r="B7852" s="3" t="inlineStr">
        <is>
          <t>플루토스</t>
        </is>
      </c>
      <c r="C7852" s="2" t="inlineStr">
        <is>
          <t>코스닥</t>
        </is>
      </c>
      <c r="D7852" s="2" t="inlineStr">
        <is>
          <t>019570</t>
        </is>
      </c>
      <c r="E7852" s="3" t="inlineStr">
        <is>
          <t>증권발행결과(자율공시)               (정정: 20260601)</t>
        </is>
      </c>
      <c r="F7852" s="3" t="inlineStr">
        <is>
          <t>플루토스</t>
        </is>
      </c>
      <c r="G7852" s="2" t="inlineStr">
        <is>
          <t>20260601901489</t>
        </is>
      </c>
      <c r="H7852" s="8">
        <f>HYPERLINK("https://dart.fss.or.kr/dsaf001/main.do?rcpNo=20260601901489", "공시열람")</f>
        <v/>
      </c>
    </row>
    <row r="7853">
      <c r="A7853" s="2" t="inlineStr">
        <is>
          <t>2026-05-29</t>
        </is>
      </c>
      <c r="B7853" s="3" t="inlineStr">
        <is>
          <t>한섬</t>
        </is>
      </c>
      <c r="C7853" s="2" t="inlineStr">
        <is>
          <t>코스피</t>
        </is>
      </c>
      <c r="D7853" s="2" t="inlineStr">
        <is>
          <t>020000</t>
        </is>
      </c>
      <c r="E7853" s="3" t="inlineStr">
        <is>
          <t xml:space="preserve">기업지배구조보고서공시              </t>
        </is>
      </c>
      <c r="F7853" s="3" t="inlineStr">
        <is>
          <t>한섬</t>
        </is>
      </c>
      <c r="G7853" s="2" t="inlineStr">
        <is>
          <t>20260529801126</t>
        </is>
      </c>
      <c r="H7853" s="8">
        <f>HYPERLINK("https://dart.fss.or.kr/dsaf001/main.do?rcpNo=20260529801126", "공시열람")</f>
        <v/>
      </c>
    </row>
    <row r="7854">
      <c r="A7854" s="2" t="inlineStr">
        <is>
          <t>2026-05-29</t>
        </is>
      </c>
      <c r="B7854" s="3" t="inlineStr">
        <is>
          <t>미래에셋증권</t>
        </is>
      </c>
      <c r="C7854" s="2" t="inlineStr">
        <is>
          <t>코스피</t>
        </is>
      </c>
      <c r="D7854" s="2" t="inlineStr">
        <is>
          <t>006800</t>
        </is>
      </c>
      <c r="E7854" s="3" t="inlineStr">
        <is>
          <t>증권발행실적보고서</t>
        </is>
      </c>
      <c r="F7854" s="3" t="inlineStr">
        <is>
          <t>미래에셋증권</t>
        </is>
      </c>
      <c r="G7854" s="2" t="inlineStr">
        <is>
          <t>20260529001334</t>
        </is>
      </c>
      <c r="H7854" s="8">
        <f>HYPERLINK("https://dart.fss.or.kr/dsaf001/main.do?rcpNo=20260529001334", "공시열람")</f>
        <v/>
      </c>
    </row>
    <row r="7855">
      <c r="A7855" s="2" t="inlineStr">
        <is>
          <t>2026-05-29</t>
        </is>
      </c>
      <c r="B7855" s="3" t="inlineStr">
        <is>
          <t>현대퓨처넷</t>
        </is>
      </c>
      <c r="C7855" s="2" t="inlineStr">
        <is>
          <t>코스피</t>
        </is>
      </c>
      <c r="D7855" s="2" t="inlineStr">
        <is>
          <t>126560</t>
        </is>
      </c>
      <c r="E7855" s="3" t="inlineStr">
        <is>
          <t>대규모기업집단현황공시[연1회공시및1/4분기용(개별회사)]</t>
        </is>
      </c>
      <c r="F7855" s="3" t="inlineStr">
        <is>
          <t>현대퓨처넷</t>
        </is>
      </c>
      <c r="G7855" s="2" t="inlineStr">
        <is>
          <t>20260529001331</t>
        </is>
      </c>
      <c r="H7855" s="8">
        <f>HYPERLINK("https://dart.fss.or.kr/dsaf001/main.do?rcpNo=20260529001331", "공시열람")</f>
        <v/>
      </c>
    </row>
    <row r="7856">
      <c r="A7856" s="2" t="inlineStr">
        <is>
          <t>2026-05-29</t>
        </is>
      </c>
      <c r="B7856" s="3" t="inlineStr">
        <is>
          <t>우리금융지주</t>
        </is>
      </c>
      <c r="C7856" s="2" t="inlineStr">
        <is>
          <t>코스피</t>
        </is>
      </c>
      <c r="D7856" s="2" t="inlineStr">
        <is>
          <t>316140</t>
        </is>
      </c>
      <c r="E7856" s="3" t="inlineStr">
        <is>
          <t>증권발행실적보고서</t>
        </is>
      </c>
      <c r="F7856" s="3" t="inlineStr">
        <is>
          <t>우리금융지주</t>
        </is>
      </c>
      <c r="G7856" s="2" t="inlineStr">
        <is>
          <t>20260529001328</t>
        </is>
      </c>
      <c r="H7856" s="8">
        <f>HYPERLINK("https://dart.fss.or.kr/dsaf001/main.do?rcpNo=20260529001328", "공시열람")</f>
        <v/>
      </c>
    </row>
    <row r="7857">
      <c r="A7857" s="2" t="inlineStr">
        <is>
          <t>2026-05-29</t>
        </is>
      </c>
      <c r="B7857" s="3" t="inlineStr">
        <is>
          <t>스모트로닉</t>
        </is>
      </c>
      <c r="C7857" s="2" t="inlineStr">
        <is>
          <t>코스닥</t>
        </is>
      </c>
      <c r="D7857" s="2" t="inlineStr">
        <is>
          <t>066590</t>
        </is>
      </c>
      <c r="E7857" s="3" t="inlineStr">
        <is>
          <t>임원ㆍ주요주주특정증권등거래계획보고서</t>
        </is>
      </c>
      <c r="F7857" s="3" t="inlineStr">
        <is>
          <t>오트로닉</t>
        </is>
      </c>
      <c r="G7857" s="2" t="inlineStr">
        <is>
          <t>20260529001325</t>
        </is>
      </c>
      <c r="H7857" s="8">
        <f>HYPERLINK("https://dart.fss.or.kr/dsaf001/main.do?rcpNo=20260529001325", "공시열람")</f>
        <v/>
      </c>
    </row>
    <row r="7858">
      <c r="A7858" s="2" t="inlineStr">
        <is>
          <t>2026-05-29</t>
        </is>
      </c>
      <c r="B7858" s="3" t="inlineStr">
        <is>
          <t>HDC현대EP</t>
        </is>
      </c>
      <c r="C7858" s="2" t="inlineStr">
        <is>
          <t>코스피</t>
        </is>
      </c>
      <c r="D7858" s="2" t="inlineStr">
        <is>
          <t>089470</t>
        </is>
      </c>
      <c r="E7858" s="3" t="inlineStr">
        <is>
          <t xml:space="preserve">기업지배구조보고서공시              </t>
        </is>
      </c>
      <c r="F7858" s="3" t="inlineStr">
        <is>
          <t>HDC현대EP</t>
        </is>
      </c>
      <c r="G7858" s="2" t="inlineStr">
        <is>
          <t>20260529801121</t>
        </is>
      </c>
      <c r="H7858" s="8">
        <f>HYPERLINK("https://dart.fss.or.kr/dsaf001/main.do?rcpNo=20260529801121", "공시열람")</f>
        <v/>
      </c>
    </row>
    <row r="7859">
      <c r="A7859" s="2" t="inlineStr">
        <is>
          <t>2026-05-29</t>
        </is>
      </c>
      <c r="B7859" s="3" t="inlineStr">
        <is>
          <t>HD한국조선해양</t>
        </is>
      </c>
      <c r="C7859" s="2" t="inlineStr">
        <is>
          <t>코스피</t>
        </is>
      </c>
      <c r="D7859" s="2" t="inlineStr">
        <is>
          <t>009540</t>
        </is>
      </c>
      <c r="E7859" s="3" t="inlineStr">
        <is>
          <t>대규모기업집단현황공시[연1회공시및1/4분기용(대표회사)]</t>
        </is>
      </c>
      <c r="F7859" s="3" t="inlineStr">
        <is>
          <t>HD한국조선해양</t>
        </is>
      </c>
      <c r="G7859" s="2" t="inlineStr">
        <is>
          <t>20260529001318</t>
        </is>
      </c>
      <c r="H7859" s="8">
        <f>HYPERLINK("https://dart.fss.or.kr/dsaf001/main.do?rcpNo=20260529001318", "공시열람")</f>
        <v/>
      </c>
    </row>
    <row r="7860">
      <c r="A7860" s="2" t="inlineStr">
        <is>
          <t>2026-05-29</t>
        </is>
      </c>
      <c r="B7860" s="3" t="inlineStr">
        <is>
          <t>SK증권</t>
        </is>
      </c>
      <c r="C7860" s="2" t="inlineStr">
        <is>
          <t>코스피</t>
        </is>
      </c>
      <c r="D7860" s="2" t="inlineStr">
        <is>
          <t>001510</t>
        </is>
      </c>
      <c r="E7860" s="3" t="inlineStr">
        <is>
          <t>증권발행실적보고서</t>
        </is>
      </c>
      <c r="F7860" s="3" t="inlineStr">
        <is>
          <t>SK증권</t>
        </is>
      </c>
      <c r="G7860" s="2" t="inlineStr">
        <is>
          <t>20260529001314</t>
        </is>
      </c>
      <c r="H7860" s="8">
        <f>HYPERLINK("https://dart.fss.or.kr/dsaf001/main.do?rcpNo=20260529001314", "공시열람")</f>
        <v/>
      </c>
    </row>
    <row r="7861">
      <c r="A7861" s="2" t="inlineStr">
        <is>
          <t>2026-05-29</t>
        </is>
      </c>
      <c r="B7861" s="3" t="inlineStr">
        <is>
          <t>대우건설</t>
        </is>
      </c>
      <c r="C7861" s="2" t="inlineStr">
        <is>
          <t>코스피</t>
        </is>
      </c>
      <c r="D7861" s="2" t="inlineStr">
        <is>
          <t>047040</t>
        </is>
      </c>
      <c r="E7861" s="3" t="inlineStr">
        <is>
          <t>대규모기업집단현황공시[연1회공시및1/4분기용(개별회사)]</t>
        </is>
      </c>
      <c r="F7861" s="3" t="inlineStr">
        <is>
          <t>대우건설</t>
        </is>
      </c>
      <c r="G7861" s="2" t="inlineStr">
        <is>
          <t>20260529001312</t>
        </is>
      </c>
      <c r="H7861" s="8">
        <f>HYPERLINK("https://dart.fss.or.kr/dsaf001/main.do?rcpNo=20260529001312", "공시열람")</f>
        <v/>
      </c>
    </row>
    <row r="7862">
      <c r="A7862" s="2" t="inlineStr">
        <is>
          <t>2026-05-29</t>
        </is>
      </c>
      <c r="B7862" s="3" t="inlineStr">
        <is>
          <t>한섬</t>
        </is>
      </c>
      <c r="C7862" s="2" t="inlineStr">
        <is>
          <t>코스피</t>
        </is>
      </c>
      <c r="D7862" s="2" t="inlineStr">
        <is>
          <t>020000</t>
        </is>
      </c>
      <c r="E7862" s="3" t="inlineStr">
        <is>
          <t>대규모기업집단현황공시[연1회공시및1/4분기용(개별회사)]</t>
        </is>
      </c>
      <c r="F7862" s="3" t="inlineStr">
        <is>
          <t>한섬</t>
        </is>
      </c>
      <c r="G7862" s="2" t="inlineStr">
        <is>
          <t>20260529001306</t>
        </is>
      </c>
      <c r="H7862" s="8">
        <f>HYPERLINK("https://dart.fss.or.kr/dsaf001/main.do?rcpNo=20260529001306", "공시열람")</f>
        <v/>
      </c>
    </row>
    <row r="7863">
      <c r="A7863" s="2" t="inlineStr">
        <is>
          <t>2026-05-29</t>
        </is>
      </c>
      <c r="B7863" s="3" t="inlineStr">
        <is>
          <t>대원강업</t>
        </is>
      </c>
      <c r="C7863" s="2" t="inlineStr">
        <is>
          <t>코스피</t>
        </is>
      </c>
      <c r="D7863" s="2" t="inlineStr">
        <is>
          <t>000430</t>
        </is>
      </c>
      <c r="E7863" s="3" t="inlineStr">
        <is>
          <t xml:space="preserve">기업지배구조보고서공시              </t>
        </is>
      </c>
      <c r="F7863" s="3" t="inlineStr">
        <is>
          <t>대원강업</t>
        </is>
      </c>
      <c r="G7863" s="2" t="inlineStr">
        <is>
          <t>20260529801069</t>
        </is>
      </c>
      <c r="H7863" s="8">
        <f>HYPERLINK("https://dart.fss.or.kr/dsaf001/main.do?rcpNo=20260529801069", "공시열람")</f>
        <v/>
      </c>
    </row>
    <row r="7864">
      <c r="A7864" s="2" t="inlineStr">
        <is>
          <t>2026-05-29 (정정: 2026-06-01)</t>
        </is>
      </c>
      <c r="B7864" s="3" t="inlineStr">
        <is>
          <t>동원산업</t>
        </is>
      </c>
      <c r="C7864" s="2" t="inlineStr">
        <is>
          <t>코스피</t>
        </is>
      </c>
      <c r="D7864" s="2" t="inlineStr">
        <is>
          <t>006040</t>
        </is>
      </c>
      <c r="E7864" s="3" t="inlineStr">
        <is>
          <t>기업지배구조보고서공시               (정정: 20260601)</t>
        </is>
      </c>
      <c r="F7864" s="3" t="inlineStr">
        <is>
          <t>동원산업</t>
        </is>
      </c>
      <c r="G7864" s="2" t="inlineStr">
        <is>
          <t>20260601001468</t>
        </is>
      </c>
      <c r="H7864" s="8">
        <f>HYPERLINK("https://dart.fss.or.kr/dsaf001/main.do?rcpNo=20260601001468", "공시열람")</f>
        <v/>
      </c>
    </row>
    <row r="7865">
      <c r="A7865" s="2" t="inlineStr">
        <is>
          <t>2026-05-29</t>
        </is>
      </c>
      <c r="B7865" s="3" t="inlineStr">
        <is>
          <t>교보증권</t>
        </is>
      </c>
      <c r="C7865" s="2" t="inlineStr">
        <is>
          <t>코스피</t>
        </is>
      </c>
      <c r="D7865" s="2" t="inlineStr">
        <is>
          <t>030610</t>
        </is>
      </c>
      <c r="E7865" s="3" t="inlineStr">
        <is>
          <t>투자설명서(일괄신고)</t>
        </is>
      </c>
      <c r="F7865" s="3" t="inlineStr">
        <is>
          <t>교보증권</t>
        </is>
      </c>
      <c r="G7865" s="2" t="inlineStr">
        <is>
          <t>20260529001303</t>
        </is>
      </c>
      <c r="H7865" s="8">
        <f>HYPERLINK("https://dart.fss.or.kr/dsaf001/main.do?rcpNo=20260529001303", "공시열람")</f>
        <v/>
      </c>
    </row>
    <row r="7866">
      <c r="A7866" s="2" t="inlineStr">
        <is>
          <t>2026-05-29</t>
        </is>
      </c>
      <c r="B7866" s="3" t="inlineStr">
        <is>
          <t>피스피스스튜디오</t>
        </is>
      </c>
      <c r="C7866" s="2" t="inlineStr">
        <is>
          <t>코스닥</t>
        </is>
      </c>
      <c r="D7866" s="2" t="inlineStr">
        <is>
          <t>0117P0</t>
        </is>
      </c>
      <c r="E7866" s="3" t="inlineStr">
        <is>
          <t>증권발행실적보고서</t>
        </is>
      </c>
      <c r="F7866" s="3" t="inlineStr">
        <is>
          <t>피스피스스튜디오</t>
        </is>
      </c>
      <c r="G7866" s="2" t="inlineStr">
        <is>
          <t>20260529001298</t>
        </is>
      </c>
      <c r="H7866" s="8">
        <f>HYPERLINK("https://dart.fss.or.kr/dsaf001/main.do?rcpNo=20260529001298", "공시열람")</f>
        <v/>
      </c>
    </row>
    <row r="7867">
      <c r="A7867" s="2" t="inlineStr">
        <is>
          <t>2026-05-29</t>
        </is>
      </c>
      <c r="B7867" s="3" t="inlineStr">
        <is>
          <t>태광산업</t>
        </is>
      </c>
      <c r="C7867" s="2" t="inlineStr">
        <is>
          <t>코스피</t>
        </is>
      </c>
      <c r="D7867" s="2" t="inlineStr">
        <is>
          <t>003240</t>
        </is>
      </c>
      <c r="E7867" s="3" t="inlineStr">
        <is>
          <t xml:space="preserve">기업지배구조보고서공시              </t>
        </is>
      </c>
      <c r="F7867" s="3" t="inlineStr">
        <is>
          <t>태광산업</t>
        </is>
      </c>
      <c r="G7867" s="2" t="inlineStr">
        <is>
          <t>20260529801098</t>
        </is>
      </c>
      <c r="H7867" s="8">
        <f>HYPERLINK("https://dart.fss.or.kr/dsaf001/main.do?rcpNo=20260529801098", "공시열람")</f>
        <v/>
      </c>
    </row>
    <row r="7868">
      <c r="A7868" s="2" t="inlineStr">
        <is>
          <t>2026-05-29</t>
        </is>
      </c>
      <c r="B7868" s="3" t="inlineStr">
        <is>
          <t>예림당</t>
        </is>
      </c>
      <c r="C7868" s="2" t="inlineStr">
        <is>
          <t>코스닥</t>
        </is>
      </c>
      <c r="D7868" s="2" t="inlineStr">
        <is>
          <t>036000</t>
        </is>
      </c>
      <c r="E7868" s="3" t="inlineStr">
        <is>
          <t xml:space="preserve">중간(분기)배당을위한주주명부폐쇄(기준일)결정              </t>
        </is>
      </c>
      <c r="F7868" s="3" t="inlineStr">
        <is>
          <t>예림당</t>
        </is>
      </c>
      <c r="G7868" s="2" t="inlineStr">
        <is>
          <t>20260529901109</t>
        </is>
      </c>
      <c r="H7868" s="8">
        <f>HYPERLINK("https://dart.fss.or.kr/dsaf001/main.do?rcpNo=20260529901109", "공시열람")</f>
        <v/>
      </c>
    </row>
    <row r="7869">
      <c r="A7869" s="2" t="inlineStr">
        <is>
          <t>2026-05-29</t>
        </is>
      </c>
      <c r="B7869" s="3" t="inlineStr">
        <is>
          <t>태영건설</t>
        </is>
      </c>
      <c r="C7869" s="2" t="inlineStr">
        <is>
          <t>코스피</t>
        </is>
      </c>
      <c r="D7869" s="2" t="inlineStr">
        <is>
          <t>009410</t>
        </is>
      </c>
      <c r="E7869" s="3" t="inlineStr">
        <is>
          <t xml:space="preserve">기업지배구조보고서공시              </t>
        </is>
      </c>
      <c r="F7869" s="3" t="inlineStr">
        <is>
          <t>태영건설</t>
        </is>
      </c>
      <c r="G7869" s="2" t="inlineStr">
        <is>
          <t>20260529801078</t>
        </is>
      </c>
      <c r="H7869" s="8">
        <f>HYPERLINK("https://dart.fss.or.kr/dsaf001/main.do?rcpNo=20260529801078", "공시열람")</f>
        <v/>
      </c>
    </row>
    <row r="7870">
      <c r="A7870" s="2" t="inlineStr">
        <is>
          <t>2026-05-29</t>
        </is>
      </c>
      <c r="B7870" s="3" t="inlineStr">
        <is>
          <t>DB</t>
        </is>
      </c>
      <c r="C7870" s="2" t="inlineStr">
        <is>
          <t>코스피</t>
        </is>
      </c>
      <c r="D7870" s="2" t="inlineStr">
        <is>
          <t>012030</t>
        </is>
      </c>
      <c r="E7870" s="3" t="inlineStr">
        <is>
          <t>대규모기업집단현황공시[연1회(동일인용)]</t>
        </is>
      </c>
      <c r="F7870" s="3" t="inlineStr">
        <is>
          <t>김준기</t>
        </is>
      </c>
      <c r="G7870" s="2" t="inlineStr">
        <is>
          <t>20260529001290</t>
        </is>
      </c>
      <c r="H7870" s="8">
        <f>HYPERLINK("https://dart.fss.or.kr/dsaf001/main.do?rcpNo=20260529001290", "공시열람")</f>
        <v/>
      </c>
    </row>
    <row r="7871">
      <c r="A7871" s="2" t="inlineStr">
        <is>
          <t>2026-05-29</t>
        </is>
      </c>
      <c r="B7871" s="3" t="inlineStr">
        <is>
          <t>콘텐트리중앙</t>
        </is>
      </c>
      <c r="C7871" s="2" t="inlineStr">
        <is>
          <t>코스피</t>
        </is>
      </c>
      <c r="D7871" s="2" t="inlineStr">
        <is>
          <t>036420</t>
        </is>
      </c>
      <c r="E7871" s="3" t="inlineStr">
        <is>
          <t xml:space="preserve">기업지배구조보고서공시              </t>
        </is>
      </c>
      <c r="F7871" s="3" t="inlineStr">
        <is>
          <t>콘텐트리중앙</t>
        </is>
      </c>
      <c r="G7871" s="2" t="inlineStr">
        <is>
          <t>20260529801102</t>
        </is>
      </c>
      <c r="H7871" s="8">
        <f>HYPERLINK("https://dart.fss.or.kr/dsaf001/main.do?rcpNo=20260529801102", "공시열람")</f>
        <v/>
      </c>
    </row>
    <row r="7872">
      <c r="A7872" s="2" t="inlineStr">
        <is>
          <t>2026-05-29</t>
        </is>
      </c>
      <c r="B7872" s="3" t="inlineStr">
        <is>
          <t>DB증권</t>
        </is>
      </c>
      <c r="C7872" s="2" t="inlineStr">
        <is>
          <t>코스피</t>
        </is>
      </c>
      <c r="D7872" s="2" t="inlineStr">
        <is>
          <t>016610</t>
        </is>
      </c>
      <c r="E7872" s="3" t="inlineStr">
        <is>
          <t>일괄신고추가서류(파생결합사채-주가연계파생결합사채)</t>
        </is>
      </c>
      <c r="F7872" s="3" t="inlineStr">
        <is>
          <t>DB증권</t>
        </is>
      </c>
      <c r="G7872" s="2" t="inlineStr">
        <is>
          <t>20260529001289</t>
        </is>
      </c>
      <c r="H7872" s="8">
        <f>HYPERLINK("https://dart.fss.or.kr/dsaf001/main.do?rcpNo=20260529001289", "공시열람")</f>
        <v/>
      </c>
    </row>
    <row r="7873">
      <c r="A7873" s="2" t="inlineStr">
        <is>
          <t>2026-05-29</t>
        </is>
      </c>
      <c r="B7873" s="3" t="inlineStr">
        <is>
          <t>GS리테일</t>
        </is>
      </c>
      <c r="C7873" s="2" t="inlineStr">
        <is>
          <t>코스피</t>
        </is>
      </c>
      <c r="D7873" s="2" t="inlineStr">
        <is>
          <t>007070</t>
        </is>
      </c>
      <c r="E7873" s="3" t="inlineStr">
        <is>
          <t xml:space="preserve">기업지배구조보고서공시              </t>
        </is>
      </c>
      <c r="F7873" s="3" t="inlineStr">
        <is>
          <t>GS리테일</t>
        </is>
      </c>
      <c r="G7873" s="2" t="inlineStr">
        <is>
          <t>20260529801090</t>
        </is>
      </c>
      <c r="H7873" s="8">
        <f>HYPERLINK("https://dart.fss.or.kr/dsaf001/main.do?rcpNo=20260529801090", "공시열람")</f>
        <v/>
      </c>
    </row>
    <row r="7874">
      <c r="A7874" s="2" t="inlineStr">
        <is>
          <t>2026-05-29</t>
        </is>
      </c>
      <c r="B7874" s="3" t="inlineStr">
        <is>
          <t>한화오션</t>
        </is>
      </c>
      <c r="C7874" s="2" t="inlineStr">
        <is>
          <t>코스피</t>
        </is>
      </c>
      <c r="D7874" s="2" t="inlineStr">
        <is>
          <t>042660</t>
        </is>
      </c>
      <c r="E7874" s="3" t="inlineStr">
        <is>
          <t>대규모기업집단현황공시[연1회공시및1/4분기용(개별회사)]</t>
        </is>
      </c>
      <c r="F7874" s="3" t="inlineStr">
        <is>
          <t>한화오션</t>
        </is>
      </c>
      <c r="G7874" s="2" t="inlineStr">
        <is>
          <t>20260529001284</t>
        </is>
      </c>
      <c r="H7874" s="8">
        <f>HYPERLINK("https://dart.fss.or.kr/dsaf001/main.do?rcpNo=20260529001284", "공시열람")</f>
        <v/>
      </c>
    </row>
    <row r="7875">
      <c r="A7875" s="2" t="inlineStr">
        <is>
          <t>2026-05-29</t>
        </is>
      </c>
      <c r="B7875" s="3" t="inlineStr">
        <is>
          <t>현대지에프홀딩스</t>
        </is>
      </c>
      <c r="C7875" s="2" t="inlineStr">
        <is>
          <t>코스피</t>
        </is>
      </c>
      <c r="D7875" s="2" t="inlineStr">
        <is>
          <t>005440</t>
        </is>
      </c>
      <c r="E7875" s="3" t="inlineStr">
        <is>
          <t>대규모기업집단현황공시[연1회공시및1/4분기용(대표회사)]</t>
        </is>
      </c>
      <c r="F7875" s="3" t="inlineStr">
        <is>
          <t>현대지에프홀딩스</t>
        </is>
      </c>
      <c r="G7875" s="2" t="inlineStr">
        <is>
          <t>20260529001280</t>
        </is>
      </c>
      <c r="H7875" s="8">
        <f>HYPERLINK("https://dart.fss.or.kr/dsaf001/main.do?rcpNo=20260529001280", "공시열람")</f>
        <v/>
      </c>
    </row>
    <row r="7876">
      <c r="A7876" s="2" t="inlineStr">
        <is>
          <t>2026-05-29</t>
        </is>
      </c>
      <c r="B7876" s="3" t="inlineStr">
        <is>
          <t>SK증권</t>
        </is>
      </c>
      <c r="C7876" s="2" t="inlineStr">
        <is>
          <t>코스피</t>
        </is>
      </c>
      <c r="D7876" s="2" t="inlineStr">
        <is>
          <t>001510</t>
        </is>
      </c>
      <c r="E7876" s="3" t="inlineStr">
        <is>
          <t>증권발행실적보고서</t>
        </is>
      </c>
      <c r="F7876" s="3" t="inlineStr">
        <is>
          <t>SK증권</t>
        </is>
      </c>
      <c r="G7876" s="2" t="inlineStr">
        <is>
          <t>20260529001275</t>
        </is>
      </c>
      <c r="H7876" s="8">
        <f>HYPERLINK("https://dart.fss.or.kr/dsaf001/main.do?rcpNo=20260529001275", "공시열람")</f>
        <v/>
      </c>
    </row>
    <row r="7877">
      <c r="A7877" s="2" t="inlineStr">
        <is>
          <t>2026-05-29</t>
        </is>
      </c>
      <c r="B7877" s="3" t="inlineStr">
        <is>
          <t>BGF에코머티리얼즈</t>
        </is>
      </c>
      <c r="C7877" s="2" t="inlineStr">
        <is>
          <t>코스닥</t>
        </is>
      </c>
      <c r="D7877" s="2" t="inlineStr">
        <is>
          <t>126600</t>
        </is>
      </c>
      <c r="E7877" s="3" t="inlineStr">
        <is>
          <t>대규모기업집단현황공시[연1회공시및1/4분기용(개별회사)]</t>
        </is>
      </c>
      <c r="F7877" s="3" t="inlineStr">
        <is>
          <t>BGF에코머티리얼즈</t>
        </is>
      </c>
      <c r="G7877" s="2" t="inlineStr">
        <is>
          <t>20260529001273</t>
        </is>
      </c>
      <c r="H7877" s="8">
        <f>HYPERLINK("https://dart.fss.or.kr/dsaf001/main.do?rcpNo=20260529001273", "공시열람")</f>
        <v/>
      </c>
    </row>
    <row r="7878">
      <c r="A7878" s="2" t="inlineStr">
        <is>
          <t>2026-05-29</t>
        </is>
      </c>
      <c r="B7878" s="3" t="inlineStr">
        <is>
          <t>졸스</t>
        </is>
      </c>
      <c r="C7878" s="2" t="inlineStr">
        <is>
          <t>코스닥</t>
        </is>
      </c>
      <c r="D7878" s="2" t="inlineStr">
        <is>
          <t>018700</t>
        </is>
      </c>
      <c r="E7878" s="3" t="inlineStr">
        <is>
          <t>전환가액의조정              (제35회차)</t>
        </is>
      </c>
      <c r="F7878" s="3" t="inlineStr">
        <is>
          <t>졸스</t>
        </is>
      </c>
      <c r="G7878" s="2" t="inlineStr">
        <is>
          <t>20260529900963</t>
        </is>
      </c>
      <c r="H7878" s="8">
        <f>HYPERLINK("https://dart.fss.or.kr/dsaf001/main.do?rcpNo=20260529900963", "공시열람")</f>
        <v/>
      </c>
    </row>
    <row r="7879">
      <c r="A7879" s="2" t="inlineStr">
        <is>
          <t>2026-05-29</t>
        </is>
      </c>
      <c r="B7879" s="3" t="inlineStr">
        <is>
          <t>하림</t>
        </is>
      </c>
      <c r="C7879" s="2" t="inlineStr">
        <is>
          <t>코스닥</t>
        </is>
      </c>
      <c r="D7879" s="2" t="inlineStr">
        <is>
          <t>136480</t>
        </is>
      </c>
      <c r="E7879" s="3" t="inlineStr">
        <is>
          <t>대규모기업집단현황공시[연1회공시및1/4분기용(개별회사)]</t>
        </is>
      </c>
      <c r="F7879" s="3" t="inlineStr">
        <is>
          <t>하림</t>
        </is>
      </c>
      <c r="G7879" s="2" t="inlineStr">
        <is>
          <t>20260529001266</t>
        </is>
      </c>
      <c r="H7879" s="8">
        <f>HYPERLINK("https://dart.fss.or.kr/dsaf001/main.do?rcpNo=20260529001266", "공시열람")</f>
        <v/>
      </c>
    </row>
    <row r="7880">
      <c r="A7880" s="2" t="inlineStr">
        <is>
          <t>2026-05-29</t>
        </is>
      </c>
      <c r="B7880" s="3" t="inlineStr">
        <is>
          <t>케이씨씨</t>
        </is>
      </c>
      <c r="C7880" s="2" t="inlineStr">
        <is>
          <t>코스피</t>
        </is>
      </c>
      <c r="D7880" s="2" t="inlineStr">
        <is>
          <t>002380</t>
        </is>
      </c>
      <c r="E7880" s="3" t="inlineStr">
        <is>
          <t>대규모기업집단현황공시[연1회(동일인용)]</t>
        </is>
      </c>
      <c r="F7880" s="3" t="inlineStr">
        <is>
          <t>정몽진</t>
        </is>
      </c>
      <c r="G7880" s="2" t="inlineStr">
        <is>
          <t>20260529001265</t>
        </is>
      </c>
      <c r="H7880" s="8">
        <f>HYPERLINK("https://dart.fss.or.kr/dsaf001/main.do?rcpNo=20260529001265", "공시열람")</f>
        <v/>
      </c>
    </row>
    <row r="7881">
      <c r="A7881" s="2" t="inlineStr">
        <is>
          <t>2026-05-29</t>
        </is>
      </c>
      <c r="B7881" s="3" t="inlineStr">
        <is>
          <t>유니드</t>
        </is>
      </c>
      <c r="C7881" s="2" t="inlineStr">
        <is>
          <t>코스피</t>
        </is>
      </c>
      <c r="D7881" s="2" t="inlineStr">
        <is>
          <t>014830</t>
        </is>
      </c>
      <c r="E7881" s="3" t="inlineStr">
        <is>
          <t xml:space="preserve">기업지배구조보고서공시              </t>
        </is>
      </c>
      <c r="F7881" s="3" t="inlineStr">
        <is>
          <t>유니드</t>
        </is>
      </c>
      <c r="G7881" s="2" t="inlineStr">
        <is>
          <t>20260529801076</t>
        </is>
      </c>
      <c r="H7881" s="8">
        <f>HYPERLINK("https://dart.fss.or.kr/dsaf001/main.do?rcpNo=20260529801076", "공시열람")</f>
        <v/>
      </c>
    </row>
    <row r="7882">
      <c r="A7882" s="2" t="inlineStr">
        <is>
          <t>2026-05-29</t>
        </is>
      </c>
      <c r="B7882" s="3" t="inlineStr">
        <is>
          <t>현대글로비스</t>
        </is>
      </c>
      <c r="C7882" s="2" t="inlineStr">
        <is>
          <t>코스피</t>
        </is>
      </c>
      <c r="D7882" s="2" t="inlineStr">
        <is>
          <t>086280</t>
        </is>
      </c>
      <c r="E7882" s="3" t="inlineStr">
        <is>
          <t xml:space="preserve">기업지배구조보고서공시              </t>
        </is>
      </c>
      <c r="F7882" s="3" t="inlineStr">
        <is>
          <t>현대글로비스</t>
        </is>
      </c>
      <c r="G7882" s="2" t="inlineStr">
        <is>
          <t>20260529801058</t>
        </is>
      </c>
      <c r="H7882" s="8">
        <f>HYPERLINK("https://dart.fss.or.kr/dsaf001/main.do?rcpNo=20260529801058", "공시열람")</f>
        <v/>
      </c>
    </row>
    <row r="7883">
      <c r="A7883" s="2" t="inlineStr">
        <is>
          <t>2026-05-29</t>
        </is>
      </c>
      <c r="B7883" s="3" t="inlineStr">
        <is>
          <t>교보증권</t>
        </is>
      </c>
      <c r="C7883" s="2" t="inlineStr">
        <is>
          <t>코스피</t>
        </is>
      </c>
      <c r="D7883" s="2" t="inlineStr">
        <is>
          <t>030610</t>
        </is>
      </c>
      <c r="E7883" s="3" t="inlineStr">
        <is>
          <t>일괄신고추가서류(파생결합사채-주가연계파생결합사채)</t>
        </is>
      </c>
      <c r="F7883" s="3" t="inlineStr">
        <is>
          <t>교보증권</t>
        </is>
      </c>
      <c r="G7883" s="2" t="inlineStr">
        <is>
          <t>20260529001259</t>
        </is>
      </c>
      <c r="H7883" s="8">
        <f>HYPERLINK("https://dart.fss.or.kr/dsaf001/main.do?rcpNo=20260529001259", "공시열람")</f>
        <v/>
      </c>
    </row>
    <row r="7884">
      <c r="A7884" s="2" t="inlineStr">
        <is>
          <t>2026-05-29</t>
        </is>
      </c>
      <c r="B7884" s="3" t="inlineStr">
        <is>
          <t>SGC에너지</t>
        </is>
      </c>
      <c r="C7884" s="2" t="inlineStr">
        <is>
          <t>코스피</t>
        </is>
      </c>
      <c r="D7884" s="2" t="inlineStr">
        <is>
          <t>005090</t>
        </is>
      </c>
      <c r="E7884" s="3" t="inlineStr">
        <is>
          <t xml:space="preserve">기업지배구조보고서공시              </t>
        </is>
      </c>
      <c r="F7884" s="3" t="inlineStr">
        <is>
          <t>SGC에너지</t>
        </is>
      </c>
      <c r="G7884" s="2" t="inlineStr">
        <is>
          <t>20260529801074</t>
        </is>
      </c>
      <c r="H7884" s="8">
        <f>HYPERLINK("https://dart.fss.or.kr/dsaf001/main.do?rcpNo=20260529801074", "공시열람")</f>
        <v/>
      </c>
    </row>
    <row r="7885">
      <c r="A7885" s="2" t="inlineStr">
        <is>
          <t>2026-05-29</t>
        </is>
      </c>
      <c r="B7885" s="3" t="inlineStr">
        <is>
          <t>우진</t>
        </is>
      </c>
      <c r="C7885" s="2" t="inlineStr">
        <is>
          <t>코스피</t>
        </is>
      </c>
      <c r="D7885" s="2" t="inlineStr">
        <is>
          <t>105840</t>
        </is>
      </c>
      <c r="E7885" s="3" t="inlineStr">
        <is>
          <t xml:space="preserve">기업지배구조보고서공시              </t>
        </is>
      </c>
      <c r="F7885" s="3" t="inlineStr">
        <is>
          <t>우진</t>
        </is>
      </c>
      <c r="G7885" s="2" t="inlineStr">
        <is>
          <t>20260529801081</t>
        </is>
      </c>
      <c r="H7885" s="8">
        <f>HYPERLINK("https://dart.fss.or.kr/dsaf001/main.do?rcpNo=20260529801081", "공시열람")</f>
        <v/>
      </c>
    </row>
    <row r="7886">
      <c r="A7886" s="2" t="inlineStr">
        <is>
          <t>2026-05-29</t>
        </is>
      </c>
      <c r="B7886" s="3" t="inlineStr">
        <is>
          <t>경인전자</t>
        </is>
      </c>
      <c r="C7886" s="2" t="inlineStr">
        <is>
          <t>코스피</t>
        </is>
      </c>
      <c r="D7886" s="2" t="inlineStr">
        <is>
          <t>009140</t>
        </is>
      </c>
      <c r="E7886" s="3" t="inlineStr">
        <is>
          <t xml:space="preserve">기업지배구조보고서공시              </t>
        </is>
      </c>
      <c r="F7886" s="3" t="inlineStr">
        <is>
          <t>경인전자</t>
        </is>
      </c>
      <c r="G7886" s="2" t="inlineStr">
        <is>
          <t>20260529800645</t>
        </is>
      </c>
      <c r="H7886" s="8">
        <f>HYPERLINK("https://dart.fss.or.kr/dsaf001/main.do?rcpNo=20260529800645", "공시열람")</f>
        <v/>
      </c>
    </row>
    <row r="7887">
      <c r="A7887" s="2" t="inlineStr">
        <is>
          <t>2026-05-29</t>
        </is>
      </c>
      <c r="B7887" s="3" t="inlineStr">
        <is>
          <t>인선이엔티</t>
        </is>
      </c>
      <c r="C7887" s="2" t="inlineStr">
        <is>
          <t>코스닥</t>
        </is>
      </c>
      <c r="D7887" s="2" t="inlineStr">
        <is>
          <t>060150</t>
        </is>
      </c>
      <c r="E7887" s="3" t="inlineStr">
        <is>
          <t>대규모기업집단현황공시[연1회공시및1/4분기용(개별회사)]</t>
        </is>
      </c>
      <c r="F7887" s="3" t="inlineStr">
        <is>
          <t>인선이엔티</t>
        </is>
      </c>
      <c r="G7887" s="2" t="inlineStr">
        <is>
          <t>20260529001247</t>
        </is>
      </c>
      <c r="H7887" s="8">
        <f>HYPERLINK("https://dart.fss.or.kr/dsaf001/main.do?rcpNo=20260529001247", "공시열람")</f>
        <v/>
      </c>
    </row>
    <row r="7888">
      <c r="A7888" s="2" t="inlineStr">
        <is>
          <t>2026-05-29</t>
        </is>
      </c>
      <c r="B7888" s="3" t="inlineStr">
        <is>
          <t>삼영무역</t>
        </is>
      </c>
      <c r="C7888" s="2" t="inlineStr">
        <is>
          <t>코스피</t>
        </is>
      </c>
      <c r="D7888" s="2" t="inlineStr">
        <is>
          <t>002810</t>
        </is>
      </c>
      <c r="E7888" s="3" t="inlineStr">
        <is>
          <t xml:space="preserve">기업지배구조보고서공시              </t>
        </is>
      </c>
      <c r="F7888" s="3" t="inlineStr">
        <is>
          <t>삼영무역</t>
        </is>
      </c>
      <c r="G7888" s="2" t="inlineStr">
        <is>
          <t>20260529801064</t>
        </is>
      </c>
      <c r="H7888" s="8">
        <f>HYPERLINK("https://dart.fss.or.kr/dsaf001/main.do?rcpNo=20260529801064", "공시열람")</f>
        <v/>
      </c>
    </row>
    <row r="7889">
      <c r="A7889" s="2" t="inlineStr">
        <is>
          <t>2026-05-29</t>
        </is>
      </c>
      <c r="B7889" s="3" t="inlineStr">
        <is>
          <t>옵트론텍</t>
        </is>
      </c>
      <c r="C7889" s="2" t="inlineStr">
        <is>
          <t>코스닥</t>
        </is>
      </c>
      <c r="D7889" s="2" t="inlineStr">
        <is>
          <t>082210</t>
        </is>
      </c>
      <c r="E7889" s="3" t="inlineStr">
        <is>
          <t>증권발행결과(자율공시)              (제19회차 CB)</t>
        </is>
      </c>
      <c r="F7889" s="3" t="inlineStr">
        <is>
          <t>옵트론텍</t>
        </is>
      </c>
      <c r="G7889" s="2" t="inlineStr">
        <is>
          <t>20260529901021</t>
        </is>
      </c>
      <c r="H7889" s="8">
        <f>HYPERLINK("https://dart.fss.or.kr/dsaf001/main.do?rcpNo=20260529901021", "공시열람")</f>
        <v/>
      </c>
    </row>
    <row r="7890">
      <c r="A7890" s="2" t="inlineStr">
        <is>
          <t>2026-05-29</t>
        </is>
      </c>
      <c r="B7890" s="3" t="inlineStr">
        <is>
          <t>사조오양</t>
        </is>
      </c>
      <c r="C7890" s="2" t="inlineStr">
        <is>
          <t>코스피</t>
        </is>
      </c>
      <c r="D7890" s="2" t="inlineStr">
        <is>
          <t>006090</t>
        </is>
      </c>
      <c r="E7890" s="3" t="inlineStr">
        <is>
          <t>대규모기업집단현황공시[연1회공시및1/4분기용(개별회사)]</t>
        </is>
      </c>
      <c r="F7890" s="3" t="inlineStr">
        <is>
          <t>사조오양</t>
        </is>
      </c>
      <c r="G7890" s="2" t="inlineStr">
        <is>
          <t>20260529001237</t>
        </is>
      </c>
      <c r="H7890" s="8">
        <f>HYPERLINK("https://dart.fss.or.kr/dsaf001/main.do?rcpNo=20260529001237", "공시열람")</f>
        <v/>
      </c>
    </row>
    <row r="7891">
      <c r="A7891" s="2" t="inlineStr">
        <is>
          <t>2026-05-29</t>
        </is>
      </c>
      <c r="B7891" s="3" t="inlineStr">
        <is>
          <t>대성미생물</t>
        </is>
      </c>
      <c r="C7891" s="2" t="inlineStr">
        <is>
          <t>코스닥</t>
        </is>
      </c>
      <c r="D7891" s="2" t="inlineStr">
        <is>
          <t>036480</t>
        </is>
      </c>
      <c r="E7891" s="3" t="inlineStr">
        <is>
          <t>임원ㆍ주요주주특정증권등소유상황보고서</t>
        </is>
      </c>
      <c r="F7891" s="3" t="inlineStr">
        <is>
          <t>최승훈</t>
        </is>
      </c>
      <c r="G7891" s="2" t="inlineStr">
        <is>
          <t>20260529001235</t>
        </is>
      </c>
      <c r="H7891" s="8">
        <f>HYPERLINK("https://dart.fss.or.kr/dsaf001/main.do?rcpNo=20260529001235", "공시열람")</f>
        <v/>
      </c>
    </row>
    <row r="7892">
      <c r="A7892" s="2" t="inlineStr">
        <is>
          <t>2026-05-29</t>
        </is>
      </c>
      <c r="B7892" s="3" t="inlineStr">
        <is>
          <t>롯데웰푸드</t>
        </is>
      </c>
      <c r="C7892" s="2" t="inlineStr">
        <is>
          <t>코스피</t>
        </is>
      </c>
      <c r="D7892" s="2" t="inlineStr">
        <is>
          <t>280360</t>
        </is>
      </c>
      <c r="E7892" s="3" t="inlineStr">
        <is>
          <t>대규모기업집단현황공시[연1회공시및1/4분기용(개별회사)]</t>
        </is>
      </c>
      <c r="F7892" s="3" t="inlineStr">
        <is>
          <t>롯데웰푸드</t>
        </is>
      </c>
      <c r="G7892" s="2" t="inlineStr">
        <is>
          <t>20260529001231</t>
        </is>
      </c>
      <c r="H7892" s="8">
        <f>HYPERLINK("https://dart.fss.or.kr/dsaf001/main.do?rcpNo=20260529001231", "공시열람")</f>
        <v/>
      </c>
    </row>
    <row r="7893">
      <c r="A7893" s="2" t="inlineStr">
        <is>
          <t>2026-05-29</t>
        </is>
      </c>
      <c r="B7893" s="3" t="inlineStr">
        <is>
          <t>대구백화점</t>
        </is>
      </c>
      <c r="C7893" s="2" t="inlineStr">
        <is>
          <t>코스피</t>
        </is>
      </c>
      <c r="D7893" s="2" t="inlineStr">
        <is>
          <t>006370</t>
        </is>
      </c>
      <c r="E7893" s="3" t="inlineStr">
        <is>
          <t xml:space="preserve">기업지배구조보고서공시              </t>
        </is>
      </c>
      <c r="F7893" s="3" t="inlineStr">
        <is>
          <t>대구백화점</t>
        </is>
      </c>
      <c r="G7893" s="2" t="inlineStr">
        <is>
          <t>20260529801060</t>
        </is>
      </c>
      <c r="H7893" s="8">
        <f>HYPERLINK("https://dart.fss.or.kr/dsaf001/main.do?rcpNo=20260529801060", "공시열람")</f>
        <v/>
      </c>
    </row>
    <row r="7894">
      <c r="A7894" s="2" t="inlineStr">
        <is>
          <t>2026-05-29</t>
        </is>
      </c>
      <c r="B7894" s="3" t="inlineStr">
        <is>
          <t>유안타증권</t>
        </is>
      </c>
      <c r="C7894" s="2" t="inlineStr">
        <is>
          <t>코스피</t>
        </is>
      </c>
      <c r="D7894" s="2" t="inlineStr">
        <is>
          <t>003470</t>
        </is>
      </c>
      <c r="E7894" s="3" t="inlineStr">
        <is>
          <t>투자설명서(일괄신고)</t>
        </is>
      </c>
      <c r="F7894" s="3" t="inlineStr">
        <is>
          <t>유안타증권</t>
        </is>
      </c>
      <c r="G7894" s="2" t="inlineStr">
        <is>
          <t>20260529001223</t>
        </is>
      </c>
      <c r="H7894" s="8">
        <f>HYPERLINK("https://dart.fss.or.kr/dsaf001/main.do?rcpNo=20260529001223", "공시열람")</f>
        <v/>
      </c>
    </row>
    <row r="7895">
      <c r="A7895" s="2" t="inlineStr">
        <is>
          <t>2026-05-29</t>
        </is>
      </c>
      <c r="B7895" s="3" t="inlineStr">
        <is>
          <t>대성미생물</t>
        </is>
      </c>
      <c r="C7895" s="2" t="inlineStr">
        <is>
          <t>코스닥</t>
        </is>
      </c>
      <c r="D7895" s="2" t="inlineStr">
        <is>
          <t>036480</t>
        </is>
      </c>
      <c r="E7895" s="3" t="inlineStr">
        <is>
          <t>임원ㆍ주요주주특정증권등소유상황보고서</t>
        </is>
      </c>
      <c r="F7895" s="3" t="inlineStr">
        <is>
          <t>최승훈</t>
        </is>
      </c>
      <c r="G7895" s="2" t="inlineStr">
        <is>
          <t>20260529001220</t>
        </is>
      </c>
      <c r="H7895" s="8">
        <f>HYPERLINK("https://dart.fss.or.kr/dsaf001/main.do?rcpNo=20260529001220", "공시열람")</f>
        <v/>
      </c>
    </row>
    <row r="7896">
      <c r="A7896" s="2" t="inlineStr">
        <is>
          <t>2026-05-29</t>
        </is>
      </c>
      <c r="B7896" s="3" t="inlineStr">
        <is>
          <t>롯데쇼핑</t>
        </is>
      </c>
      <c r="C7896" s="2" t="inlineStr">
        <is>
          <t>코스피</t>
        </is>
      </c>
      <c r="D7896" s="2" t="inlineStr">
        <is>
          <t>023530</t>
        </is>
      </c>
      <c r="E7896" s="3" t="inlineStr">
        <is>
          <t xml:space="preserve">기업지배구조보고서공시              </t>
        </is>
      </c>
      <c r="F7896" s="3" t="inlineStr">
        <is>
          <t>롯데쇼핑</t>
        </is>
      </c>
      <c r="G7896" s="2" t="inlineStr">
        <is>
          <t>20260529801048</t>
        </is>
      </c>
      <c r="H7896" s="8">
        <f>HYPERLINK("https://dart.fss.or.kr/dsaf001/main.do?rcpNo=20260529801048", "공시열람")</f>
        <v/>
      </c>
    </row>
    <row r="7897">
      <c r="A7897" s="2" t="inlineStr">
        <is>
          <t>2026-05-29</t>
        </is>
      </c>
      <c r="B7897" s="3" t="inlineStr">
        <is>
          <t>롯데정밀화학</t>
        </is>
      </c>
      <c r="C7897" s="2" t="inlineStr">
        <is>
          <t>코스피</t>
        </is>
      </c>
      <c r="D7897" s="2" t="inlineStr">
        <is>
          <t>004000</t>
        </is>
      </c>
      <c r="E7897" s="3" t="inlineStr">
        <is>
          <t>대규모기업집단현황공시[연1회공시및1/4분기용(개별회사)]</t>
        </is>
      </c>
      <c r="F7897" s="3" t="inlineStr">
        <is>
          <t>롯데정밀화학</t>
        </is>
      </c>
      <c r="G7897" s="2" t="inlineStr">
        <is>
          <t>20260529001215</t>
        </is>
      </c>
      <c r="H7897" s="8">
        <f>HYPERLINK("https://dart.fss.or.kr/dsaf001/main.do?rcpNo=20260529001215", "공시열람")</f>
        <v/>
      </c>
    </row>
    <row r="7898">
      <c r="A7898" s="2" t="inlineStr">
        <is>
          <t>2026-05-29</t>
        </is>
      </c>
      <c r="B7898" s="3" t="inlineStr">
        <is>
          <t>미래에셋글로벌리츠</t>
        </is>
      </c>
      <c r="C7898" s="2" t="inlineStr">
        <is>
          <t>코스피</t>
        </is>
      </c>
      <c r="D7898" s="2" t="inlineStr">
        <is>
          <t>396690</t>
        </is>
      </c>
      <c r="E7898" s="3" t="inlineStr">
        <is>
          <t xml:space="preserve">부동산투자회사금전배당결정              </t>
        </is>
      </c>
      <c r="F7898" s="3" t="inlineStr">
        <is>
          <t>미래에셋글로벌리츠</t>
        </is>
      </c>
      <c r="G7898" s="2" t="inlineStr">
        <is>
          <t>20260529801018</t>
        </is>
      </c>
      <c r="H7898" s="8">
        <f>HYPERLINK("https://dart.fss.or.kr/dsaf001/main.do?rcpNo=20260529801018", "공시열람")</f>
        <v/>
      </c>
    </row>
    <row r="7899">
      <c r="A7899" s="2" t="inlineStr">
        <is>
          <t>2026-05-29</t>
        </is>
      </c>
      <c r="B7899" s="3" t="inlineStr">
        <is>
          <t>현대지에프홀딩스</t>
        </is>
      </c>
      <c r="C7899" s="2" t="inlineStr">
        <is>
          <t>코스피</t>
        </is>
      </c>
      <c r="D7899" s="2" t="inlineStr">
        <is>
          <t>005440</t>
        </is>
      </c>
      <c r="E7899" s="3" t="inlineStr">
        <is>
          <t xml:space="preserve">기업지배구조보고서공시              </t>
        </is>
      </c>
      <c r="F7899" s="3" t="inlineStr">
        <is>
          <t>현대지에프홀딩스</t>
        </is>
      </c>
      <c r="G7899" s="2" t="inlineStr">
        <is>
          <t>20260529800238</t>
        </is>
      </c>
      <c r="H7899" s="8">
        <f>HYPERLINK("https://dart.fss.or.kr/dsaf001/main.do?rcpNo=20260529800238", "공시열람")</f>
        <v/>
      </c>
    </row>
    <row r="7900">
      <c r="A7900" s="2" t="inlineStr">
        <is>
          <t>2026-05-29</t>
        </is>
      </c>
      <c r="B7900" s="3" t="inlineStr">
        <is>
          <t>보락</t>
        </is>
      </c>
      <c r="C7900" s="2" t="inlineStr">
        <is>
          <t>코스피</t>
        </is>
      </c>
      <c r="D7900" s="2" t="inlineStr">
        <is>
          <t>002760</t>
        </is>
      </c>
      <c r="E7900" s="3" t="inlineStr">
        <is>
          <t xml:space="preserve">기업지배구조보고서공시              </t>
        </is>
      </c>
      <c r="F7900" s="3" t="inlineStr">
        <is>
          <t>보락</t>
        </is>
      </c>
      <c r="G7900" s="2" t="inlineStr">
        <is>
          <t>20260529801028</t>
        </is>
      </c>
      <c r="H7900" s="8">
        <f>HYPERLINK("https://dart.fss.or.kr/dsaf001/main.do?rcpNo=20260529801028", "공시열람")</f>
        <v/>
      </c>
    </row>
    <row r="7901">
      <c r="A7901" s="2" t="inlineStr">
        <is>
          <t>2026-05-29</t>
        </is>
      </c>
      <c r="B7901" s="3" t="inlineStr">
        <is>
          <t>SGC에너지</t>
        </is>
      </c>
      <c r="C7901" s="2" t="inlineStr">
        <is>
          <t>코스피</t>
        </is>
      </c>
      <c r="D7901" s="2" t="inlineStr">
        <is>
          <t>005090</t>
        </is>
      </c>
      <c r="E7901" s="3" t="inlineStr">
        <is>
          <t>대규모기업집단현황공시[연1회공시및1/4분기용(개별회사)]</t>
        </is>
      </c>
      <c r="F7901" s="3" t="inlineStr">
        <is>
          <t>SGC에너지</t>
        </is>
      </c>
      <c r="G7901" s="2" t="inlineStr">
        <is>
          <t>20260529001189</t>
        </is>
      </c>
      <c r="H7901" s="8">
        <f>HYPERLINK("https://dart.fss.or.kr/dsaf001/main.do?rcpNo=20260529001189", "공시열람")</f>
        <v/>
      </c>
    </row>
    <row r="7902">
      <c r="A7902" s="2" t="inlineStr">
        <is>
          <t>2026-05-29</t>
        </is>
      </c>
      <c r="B7902" s="3" t="inlineStr">
        <is>
          <t>유안타증권</t>
        </is>
      </c>
      <c r="C7902" s="2" t="inlineStr">
        <is>
          <t>코스피</t>
        </is>
      </c>
      <c r="D7902" s="2" t="inlineStr">
        <is>
          <t>003470</t>
        </is>
      </c>
      <c r="E7902" s="3" t="inlineStr">
        <is>
          <t>일괄신고추가서류(파생결합증권-주가연계증권)</t>
        </is>
      </c>
      <c r="F7902" s="3" t="inlineStr">
        <is>
          <t>유안타증권</t>
        </is>
      </c>
      <c r="G7902" s="2" t="inlineStr">
        <is>
          <t>20260529001184</t>
        </is>
      </c>
      <c r="H7902" s="8">
        <f>HYPERLINK("https://dart.fss.or.kr/dsaf001/main.do?rcpNo=20260529001184", "공시열람")</f>
        <v/>
      </c>
    </row>
    <row r="7903">
      <c r="A7903" s="2" t="inlineStr">
        <is>
          <t>2026-05-29</t>
        </is>
      </c>
      <c r="B7903" s="3" t="inlineStr">
        <is>
          <t>위너스일렉</t>
        </is>
      </c>
      <c r="C7903" s="2" t="inlineStr">
        <is>
          <t>코스닥</t>
        </is>
      </c>
      <c r="D7903" s="2" t="inlineStr">
        <is>
          <t>479960</t>
        </is>
      </c>
      <c r="E7903" s="3" t="inlineStr">
        <is>
          <t>임원ㆍ주요주주특정증권등소유상황보고서</t>
        </is>
      </c>
      <c r="F7903" s="3" t="inlineStr">
        <is>
          <t>이인기</t>
        </is>
      </c>
      <c r="G7903" s="2" t="inlineStr">
        <is>
          <t>20260529001177</t>
        </is>
      </c>
      <c r="H7903" s="8">
        <f>HYPERLINK("https://dart.fss.or.kr/dsaf001/main.do?rcpNo=20260529001177", "공시열람")</f>
        <v/>
      </c>
    </row>
    <row r="7904">
      <c r="A7904" s="2" t="inlineStr">
        <is>
          <t>2026-05-29</t>
        </is>
      </c>
      <c r="B7904" s="3" t="inlineStr">
        <is>
          <t>롯데이노베이트</t>
        </is>
      </c>
      <c r="C7904" s="2" t="inlineStr">
        <is>
          <t>코스피</t>
        </is>
      </c>
      <c r="D7904" s="2" t="inlineStr">
        <is>
          <t>286940</t>
        </is>
      </c>
      <c r="E7904" s="3" t="inlineStr">
        <is>
          <t>대규모기업집단현황공시[연1회공시및1/4분기용(개별회사)]</t>
        </is>
      </c>
      <c r="F7904" s="3" t="inlineStr">
        <is>
          <t>롯데이노베이트</t>
        </is>
      </c>
      <c r="G7904" s="2" t="inlineStr">
        <is>
          <t>20260529001176</t>
        </is>
      </c>
      <c r="H7904" s="8">
        <f>HYPERLINK("https://dart.fss.or.kr/dsaf001/main.do?rcpNo=20260529001176", "공시열람")</f>
        <v/>
      </c>
    </row>
    <row r="7905">
      <c r="A7905" s="2" t="inlineStr">
        <is>
          <t>2026-05-29</t>
        </is>
      </c>
      <c r="B7905" s="3" t="inlineStr">
        <is>
          <t>KG이니시스</t>
        </is>
      </c>
      <c r="C7905" s="2" t="inlineStr">
        <is>
          <t>코스닥</t>
        </is>
      </c>
      <c r="D7905" s="2" t="inlineStr">
        <is>
          <t>035600</t>
        </is>
      </c>
      <c r="E7905" s="3" t="inlineStr">
        <is>
          <t>대규모기업집단현황공시[연1회공시및1/4분기용(개별회사)]</t>
        </is>
      </c>
      <c r="F7905" s="3" t="inlineStr">
        <is>
          <t>KG이니시스</t>
        </is>
      </c>
      <c r="G7905" s="2" t="inlineStr">
        <is>
          <t>20260529001171</t>
        </is>
      </c>
      <c r="H7905" s="8">
        <f>HYPERLINK("https://dart.fss.or.kr/dsaf001/main.do?rcpNo=20260529001171", "공시열람")</f>
        <v/>
      </c>
    </row>
    <row r="7906">
      <c r="A7906" s="2" t="inlineStr">
        <is>
          <t>2026-05-29</t>
        </is>
      </c>
      <c r="B7906" s="3" t="inlineStr">
        <is>
          <t>일동홀딩스</t>
        </is>
      </c>
      <c r="C7906" s="2" t="inlineStr">
        <is>
          <t>코스피</t>
        </is>
      </c>
      <c r="D7906" s="2" t="inlineStr">
        <is>
          <t>000230</t>
        </is>
      </c>
      <c r="E7906" s="3" t="inlineStr">
        <is>
          <t xml:space="preserve">기업지배구조보고서공시              </t>
        </is>
      </c>
      <c r="F7906" s="3" t="inlineStr">
        <is>
          <t>일동홀딩스</t>
        </is>
      </c>
      <c r="G7906" s="2" t="inlineStr">
        <is>
          <t>20260529800718</t>
        </is>
      </c>
      <c r="H7906" s="8">
        <f>HYPERLINK("https://dart.fss.or.kr/dsaf001/main.do?rcpNo=20260529800718", "공시열람")</f>
        <v/>
      </c>
    </row>
    <row r="7907">
      <c r="A7907" s="2" t="inlineStr">
        <is>
          <t>2026-05-29</t>
        </is>
      </c>
      <c r="B7907" s="3" t="inlineStr">
        <is>
          <t>케이씨티시</t>
        </is>
      </c>
      <c r="C7907" s="2" t="inlineStr">
        <is>
          <t>코스피</t>
        </is>
      </c>
      <c r="D7907" s="2" t="inlineStr">
        <is>
          <t>009070</t>
        </is>
      </c>
      <c r="E7907" s="3" t="inlineStr">
        <is>
          <t xml:space="preserve">기업지배구조보고서공시              </t>
        </is>
      </c>
      <c r="F7907" s="3" t="inlineStr">
        <is>
          <t>케이씨티시</t>
        </is>
      </c>
      <c r="G7907" s="2" t="inlineStr">
        <is>
          <t>20260529800996</t>
        </is>
      </c>
      <c r="H7907" s="8">
        <f>HYPERLINK("https://dart.fss.or.kr/dsaf001/main.do?rcpNo=20260529800996", "공시열람")</f>
        <v/>
      </c>
    </row>
    <row r="7908">
      <c r="A7908" s="2" t="inlineStr">
        <is>
          <t>2026-05-29</t>
        </is>
      </c>
      <c r="B7908" s="3" t="inlineStr">
        <is>
          <t>일동제약</t>
        </is>
      </c>
      <c r="C7908" s="2" t="inlineStr">
        <is>
          <t>코스피</t>
        </is>
      </c>
      <c r="D7908" s="2" t="inlineStr">
        <is>
          <t>249420</t>
        </is>
      </c>
      <c r="E7908" s="3" t="inlineStr">
        <is>
          <t xml:space="preserve">기업지배구조보고서공시              </t>
        </is>
      </c>
      <c r="F7908" s="3" t="inlineStr">
        <is>
          <t>일동제약</t>
        </is>
      </c>
      <c r="G7908" s="2" t="inlineStr">
        <is>
          <t>20260529801025</t>
        </is>
      </c>
      <c r="H7908" s="8">
        <f>HYPERLINK("https://dart.fss.or.kr/dsaf001/main.do?rcpNo=20260529801025", "공시열람")</f>
        <v/>
      </c>
    </row>
    <row r="7909">
      <c r="A7909" s="2" t="inlineStr">
        <is>
          <t>2026-05-29</t>
        </is>
      </c>
      <c r="B7909" s="3" t="inlineStr">
        <is>
          <t>사조대림</t>
        </is>
      </c>
      <c r="C7909" s="2" t="inlineStr">
        <is>
          <t>코스피</t>
        </is>
      </c>
      <c r="D7909" s="2" t="inlineStr">
        <is>
          <t>003960</t>
        </is>
      </c>
      <c r="E7909" s="3" t="inlineStr">
        <is>
          <t>대규모기업집단현황공시[연1회공시및1/4분기용(개별회사)]</t>
        </is>
      </c>
      <c r="F7909" s="3" t="inlineStr">
        <is>
          <t>사조대림</t>
        </is>
      </c>
      <c r="G7909" s="2" t="inlineStr">
        <is>
          <t>20260529001163</t>
        </is>
      </c>
      <c r="H7909" s="8">
        <f>HYPERLINK("https://dart.fss.or.kr/dsaf001/main.do?rcpNo=20260529001163", "공시열람")</f>
        <v/>
      </c>
    </row>
    <row r="7910">
      <c r="A7910" s="2" t="inlineStr">
        <is>
          <t>2026-05-29</t>
        </is>
      </c>
      <c r="B7910" s="3" t="inlineStr">
        <is>
          <t>케어랩스</t>
        </is>
      </c>
      <c r="C7910" s="2" t="inlineStr">
        <is>
          <t>코스닥</t>
        </is>
      </c>
      <c r="D7910" s="2" t="inlineStr">
        <is>
          <t>263700</t>
        </is>
      </c>
      <c r="E7910" s="3" t="inlineStr">
        <is>
          <t>대규모기업집단현황공시[연1회공시및1/4분기용(개별회사)]</t>
        </is>
      </c>
      <c r="F7910" s="3" t="inlineStr">
        <is>
          <t>케어랩스</t>
        </is>
      </c>
      <c r="G7910" s="2" t="inlineStr">
        <is>
          <t>20260529001161</t>
        </is>
      </c>
      <c r="H7910" s="8">
        <f>HYPERLINK("https://dart.fss.or.kr/dsaf001/main.do?rcpNo=20260529001161", "공시열람")</f>
        <v/>
      </c>
    </row>
    <row r="7911">
      <c r="A7911" s="2" t="inlineStr">
        <is>
          <t>2026-05-29</t>
        </is>
      </c>
      <c r="B7911" s="3" t="inlineStr">
        <is>
          <t>원익QnC</t>
        </is>
      </c>
      <c r="C7911" s="2" t="inlineStr">
        <is>
          <t>코스닥</t>
        </is>
      </c>
      <c r="D7911" s="2" t="inlineStr">
        <is>
          <t>074600</t>
        </is>
      </c>
      <c r="E7911" s="3" t="inlineStr">
        <is>
          <t>대규모기업집단현황공시[연1회공시및1/4분기용(개별회사)]</t>
        </is>
      </c>
      <c r="F7911" s="3" t="inlineStr">
        <is>
          <t>원익QnC</t>
        </is>
      </c>
      <c r="G7911" s="2" t="inlineStr">
        <is>
          <t>20260529001160</t>
        </is>
      </c>
      <c r="H7911" s="8">
        <f>HYPERLINK("https://dart.fss.or.kr/dsaf001/main.do?rcpNo=20260529001160", "공시열람")</f>
        <v/>
      </c>
    </row>
    <row r="7912">
      <c r="A7912" s="2" t="inlineStr">
        <is>
          <t>2026-05-29</t>
        </is>
      </c>
      <c r="B7912" s="3" t="inlineStr">
        <is>
          <t>NH올원리츠</t>
        </is>
      </c>
      <c r="C7912" s="2" t="inlineStr">
        <is>
          <t>코스피</t>
        </is>
      </c>
      <c r="D7912" s="2" t="inlineStr">
        <is>
          <t>400760</t>
        </is>
      </c>
      <c r="E7912" s="3" t="inlineStr">
        <is>
          <t xml:space="preserve">기업지배구조보고서공시              </t>
        </is>
      </c>
      <c r="F7912" s="3" t="inlineStr">
        <is>
          <t>NH올원리츠</t>
        </is>
      </c>
      <c r="G7912" s="2" t="inlineStr">
        <is>
          <t>20260529801003</t>
        </is>
      </c>
      <c r="H7912" s="8">
        <f>HYPERLINK("https://dart.fss.or.kr/dsaf001/main.do?rcpNo=20260529801003", "공시열람")</f>
        <v/>
      </c>
    </row>
    <row r="7913">
      <c r="A7913" s="2" t="inlineStr">
        <is>
          <t>2026-05-29</t>
        </is>
      </c>
      <c r="B7913" s="3" t="inlineStr">
        <is>
          <t>티에이치엔</t>
        </is>
      </c>
      <c r="C7913" s="2" t="inlineStr">
        <is>
          <t>코스피</t>
        </is>
      </c>
      <c r="D7913" s="2" t="inlineStr">
        <is>
          <t>019180</t>
        </is>
      </c>
      <c r="E7913" s="3" t="inlineStr">
        <is>
          <t xml:space="preserve">기업지배구조보고서공시              </t>
        </is>
      </c>
      <c r="F7913" s="3" t="inlineStr">
        <is>
          <t>티에이치엔</t>
        </is>
      </c>
      <c r="G7913" s="2" t="inlineStr">
        <is>
          <t>20260529800886</t>
        </is>
      </c>
      <c r="H7913" s="8">
        <f>HYPERLINK("https://dart.fss.or.kr/dsaf001/main.do?rcpNo=20260529800886", "공시열람")</f>
        <v/>
      </c>
    </row>
    <row r="7914">
      <c r="A7914" s="2" t="inlineStr">
        <is>
          <t>2026-05-29</t>
        </is>
      </c>
      <c r="B7914" s="3" t="inlineStr">
        <is>
          <t>NH투자증권</t>
        </is>
      </c>
      <c r="C7914" s="2" t="inlineStr">
        <is>
          <t>코스피</t>
        </is>
      </c>
      <c r="D7914" s="2" t="inlineStr">
        <is>
          <t>005940</t>
        </is>
      </c>
      <c r="E7914" s="3" t="inlineStr">
        <is>
          <t>증권발행실적보고서</t>
        </is>
      </c>
      <c r="F7914" s="3" t="inlineStr">
        <is>
          <t>NH투자증권</t>
        </is>
      </c>
      <c r="G7914" s="2" t="inlineStr">
        <is>
          <t>20260529001155</t>
        </is>
      </c>
      <c r="H7914" s="8">
        <f>HYPERLINK("https://dart.fss.or.kr/dsaf001/main.do?rcpNo=20260529001155", "공시열람")</f>
        <v/>
      </c>
    </row>
    <row r="7915">
      <c r="A7915" s="2" t="inlineStr">
        <is>
          <t>2026-05-29</t>
        </is>
      </c>
      <c r="B7915" s="3" t="inlineStr">
        <is>
          <t>크라운제과</t>
        </is>
      </c>
      <c r="C7915" s="2" t="inlineStr">
        <is>
          <t>코스피</t>
        </is>
      </c>
      <c r="D7915" s="2" t="inlineStr">
        <is>
          <t>264900</t>
        </is>
      </c>
      <c r="E7915" s="3" t="inlineStr">
        <is>
          <t xml:space="preserve">기업지배구조보고서공시              </t>
        </is>
      </c>
      <c r="F7915" s="3" t="inlineStr">
        <is>
          <t>크라운제과</t>
        </is>
      </c>
      <c r="G7915" s="2" t="inlineStr">
        <is>
          <t>20260529801009</t>
        </is>
      </c>
      <c r="H7915" s="8">
        <f>HYPERLINK("https://dart.fss.or.kr/dsaf001/main.do?rcpNo=20260529801009", "공시열람")</f>
        <v/>
      </c>
    </row>
    <row r="7916">
      <c r="A7916" s="2" t="inlineStr">
        <is>
          <t>2026-05-29</t>
        </is>
      </c>
      <c r="B7916" s="3" t="inlineStr">
        <is>
          <t>한국콜마</t>
        </is>
      </c>
      <c r="C7916" s="2" t="inlineStr">
        <is>
          <t>코스피</t>
        </is>
      </c>
      <c r="D7916" s="2" t="inlineStr">
        <is>
          <t>161890</t>
        </is>
      </c>
      <c r="E7916" s="3" t="inlineStr">
        <is>
          <t xml:space="preserve">기업지배구조보고서공시              </t>
        </is>
      </c>
      <c r="F7916" s="3" t="inlineStr">
        <is>
          <t>한국콜마</t>
        </is>
      </c>
      <c r="G7916" s="2" t="inlineStr">
        <is>
          <t>20260529800992</t>
        </is>
      </c>
      <c r="H7916" s="8">
        <f>HYPERLINK("https://dart.fss.or.kr/dsaf001/main.do?rcpNo=20260529800992", "공시열람")</f>
        <v/>
      </c>
    </row>
    <row r="7917">
      <c r="A7917" s="2" t="inlineStr">
        <is>
          <t>2026-05-29</t>
        </is>
      </c>
      <c r="B7917" s="3" t="inlineStr">
        <is>
          <t>나노엔텍</t>
        </is>
      </c>
      <c r="C7917" s="2" t="inlineStr">
        <is>
          <t>코스닥</t>
        </is>
      </c>
      <c r="D7917" s="2" t="inlineStr">
        <is>
          <t>039860</t>
        </is>
      </c>
      <c r="E7917" s="3" t="inlineStr">
        <is>
          <t>사외이사의선임ㆍ해임또는중도퇴임에관한신고</t>
        </is>
      </c>
      <c r="F7917" s="3" t="inlineStr">
        <is>
          <t>나노엔텍</t>
        </is>
      </c>
      <c r="G7917" s="2" t="inlineStr">
        <is>
          <t>20260529001147</t>
        </is>
      </c>
      <c r="H7917" s="8">
        <f>HYPERLINK("https://dart.fss.or.kr/dsaf001/main.do?rcpNo=20260529001147", "공시열람")</f>
        <v/>
      </c>
    </row>
    <row r="7918">
      <c r="A7918" s="2" t="inlineStr">
        <is>
          <t>2026-05-29</t>
        </is>
      </c>
      <c r="B7918" s="3" t="inlineStr">
        <is>
          <t>에스디바이오센서</t>
        </is>
      </c>
      <c r="C7918" s="2" t="inlineStr">
        <is>
          <t>코스피</t>
        </is>
      </c>
      <c r="D7918" s="2" t="inlineStr">
        <is>
          <t>137310</t>
        </is>
      </c>
      <c r="E7918" s="3" t="inlineStr">
        <is>
          <t xml:space="preserve">기업지배구조보고서공시              </t>
        </is>
      </c>
      <c r="F7918" s="3" t="inlineStr">
        <is>
          <t>에스디바이오센서</t>
        </is>
      </c>
      <c r="G7918" s="2" t="inlineStr">
        <is>
          <t>20260529800990</t>
        </is>
      </c>
      <c r="H7918" s="8">
        <f>HYPERLINK("https://dart.fss.or.kr/dsaf001/main.do?rcpNo=20260529800990", "공시열람")</f>
        <v/>
      </c>
    </row>
    <row r="7919">
      <c r="A7919" s="2" t="inlineStr">
        <is>
          <t>2026-05-29 (정정: 2026-06-15)</t>
        </is>
      </c>
      <c r="B7919" s="3" t="inlineStr">
        <is>
          <t>콘텐트리중앙</t>
        </is>
      </c>
      <c r="C7919" s="2" t="inlineStr">
        <is>
          <t>코스피</t>
        </is>
      </c>
      <c r="D7919" s="2" t="inlineStr">
        <is>
          <t>036420</t>
        </is>
      </c>
      <c r="E7919" s="3" t="inlineStr">
        <is>
          <t>대규모기업집단현황공시[연1회공시및1/4분기용(개별회사)] (정정: 20260615)</t>
        </is>
      </c>
      <c r="F7919" s="3" t="inlineStr">
        <is>
          <t>콘텐트리중앙</t>
        </is>
      </c>
      <c r="G7919" s="2" t="inlineStr">
        <is>
          <t>20260615800736</t>
        </is>
      </c>
      <c r="H7919" s="8">
        <f>HYPERLINK("https://dart.fss.or.kr/dsaf001/main.do?rcpNo=20260615800736", "공시열람")</f>
        <v/>
      </c>
    </row>
    <row r="7920">
      <c r="A7920" s="2" t="inlineStr">
        <is>
          <t>2026-05-29</t>
        </is>
      </c>
      <c r="B7920" s="3" t="inlineStr">
        <is>
          <t>KG모빌리티</t>
        </is>
      </c>
      <c r="C7920" s="2" t="inlineStr">
        <is>
          <t>코스피</t>
        </is>
      </c>
      <c r="D7920" s="2" t="inlineStr">
        <is>
          <t>003620</t>
        </is>
      </c>
      <c r="E7920" s="3" t="inlineStr">
        <is>
          <t>대규모기업집단현황공시[연1회공시및1/4분기용(개별회사)]</t>
        </is>
      </c>
      <c r="F7920" s="3" t="inlineStr">
        <is>
          <t>KG모빌리티</t>
        </is>
      </c>
      <c r="G7920" s="2" t="inlineStr">
        <is>
          <t>20260529001133</t>
        </is>
      </c>
      <c r="H7920" s="8">
        <f>HYPERLINK("https://dart.fss.or.kr/dsaf001/main.do?rcpNo=20260529001133", "공시열람")</f>
        <v/>
      </c>
    </row>
    <row r="7921">
      <c r="A7921" s="2" t="inlineStr">
        <is>
          <t>2026-05-29</t>
        </is>
      </c>
      <c r="B7921" s="3" t="inlineStr">
        <is>
          <t>크라운해태홀딩스</t>
        </is>
      </c>
      <c r="C7921" s="2" t="inlineStr">
        <is>
          <t>코스피</t>
        </is>
      </c>
      <c r="D7921" s="2" t="inlineStr">
        <is>
          <t>005740</t>
        </is>
      </c>
      <c r="E7921" s="3" t="inlineStr">
        <is>
          <t xml:space="preserve">기업지배구조보고서공시              </t>
        </is>
      </c>
      <c r="F7921" s="3" t="inlineStr">
        <is>
          <t>크라운해태홀딩스</t>
        </is>
      </c>
      <c r="G7921" s="2" t="inlineStr">
        <is>
          <t>20260529800955</t>
        </is>
      </c>
      <c r="H7921" s="8">
        <f>HYPERLINK("https://dart.fss.or.kr/dsaf001/main.do?rcpNo=20260529800955", "공시열람")</f>
        <v/>
      </c>
    </row>
    <row r="7922">
      <c r="A7922" s="2" t="inlineStr">
        <is>
          <t>2026-05-29</t>
        </is>
      </c>
      <c r="B7922" s="3" t="inlineStr">
        <is>
          <t>EMB</t>
        </is>
      </c>
      <c r="C7922" s="2" t="inlineStr">
        <is>
          <t>코넥스</t>
        </is>
      </c>
      <c r="D7922" s="2" t="inlineStr">
        <is>
          <t>278990</t>
        </is>
      </c>
      <c r="E7922" s="3" t="inlineStr">
        <is>
          <t xml:space="preserve">[첨부추가]주주명부폐쇄기간또는기준일설정              </t>
        </is>
      </c>
      <c r="F7922" s="3" t="inlineStr">
        <is>
          <t>EMB</t>
        </is>
      </c>
      <c r="G7922" s="2" t="inlineStr">
        <is>
          <t>20260529600881</t>
        </is>
      </c>
      <c r="H7922" s="8">
        <f>HYPERLINK("https://dart.fss.or.kr/dsaf001/main.do?rcpNo=20260529600881", "공시열람")</f>
        <v/>
      </c>
    </row>
    <row r="7923">
      <c r="A7923" s="2" t="inlineStr">
        <is>
          <t>2026-05-29</t>
        </is>
      </c>
      <c r="B7923" s="3" t="inlineStr">
        <is>
          <t>대성미생물</t>
        </is>
      </c>
      <c r="C7923" s="2" t="inlineStr">
        <is>
          <t>코스닥</t>
        </is>
      </c>
      <c r="D7923" s="2" t="inlineStr">
        <is>
          <t>036480</t>
        </is>
      </c>
      <c r="E7923" s="3" t="inlineStr">
        <is>
          <t>임원ㆍ주요주주특정증권등소유상황보고서</t>
        </is>
      </c>
      <c r="F7923" s="3" t="inlineStr">
        <is>
          <t>인실리코</t>
        </is>
      </c>
      <c r="G7923" s="2" t="inlineStr">
        <is>
          <t>20260529001126</t>
        </is>
      </c>
      <c r="H7923" s="8">
        <f>HYPERLINK("https://dart.fss.or.kr/dsaf001/main.do?rcpNo=20260529001126", "공시열람")</f>
        <v/>
      </c>
    </row>
    <row r="7924">
      <c r="A7924" s="2" t="inlineStr">
        <is>
          <t>2026-05-29</t>
        </is>
      </c>
      <c r="B7924" s="3" t="inlineStr">
        <is>
          <t>크로넥스</t>
        </is>
      </c>
      <c r="C7924" s="2" t="inlineStr">
        <is>
          <t>코넥스</t>
        </is>
      </c>
      <c r="D7924" s="2" t="inlineStr">
        <is>
          <t>215570</t>
        </is>
      </c>
      <c r="E7924" s="3" t="inlineStr">
        <is>
          <t>전환가액의조정              (제5회차)</t>
        </is>
      </c>
      <c r="F7924" s="3" t="inlineStr">
        <is>
          <t>크로넥스</t>
        </is>
      </c>
      <c r="G7924" s="2" t="inlineStr">
        <is>
          <t>20260529600944</t>
        </is>
      </c>
      <c r="H7924" s="8">
        <f>HYPERLINK("https://dart.fss.or.kr/dsaf001/main.do?rcpNo=20260529600944", "공시열람")</f>
        <v/>
      </c>
    </row>
    <row r="7925">
      <c r="A7925" s="2" t="inlineStr">
        <is>
          <t>2026-05-29</t>
        </is>
      </c>
      <c r="B7925" s="3" t="inlineStr">
        <is>
          <t>이엔플러스</t>
        </is>
      </c>
      <c r="C7925" s="2" t="inlineStr">
        <is>
          <t>코스피</t>
        </is>
      </c>
      <c r="D7925" s="2" t="inlineStr">
        <is>
          <t>074610</t>
        </is>
      </c>
      <c r="E7925" s="3" t="inlineStr">
        <is>
          <t xml:space="preserve">기업지배구조보고서공시              </t>
        </is>
      </c>
      <c r="F7925" s="3" t="inlineStr">
        <is>
          <t>이엔플러스</t>
        </is>
      </c>
      <c r="G7925" s="2" t="inlineStr">
        <is>
          <t>20260529800952</t>
        </is>
      </c>
      <c r="H7925" s="8">
        <f>HYPERLINK("https://dart.fss.or.kr/dsaf001/main.do?rcpNo=20260529800952", "공시열람")</f>
        <v/>
      </c>
    </row>
    <row r="7926">
      <c r="A7926" s="2" t="inlineStr">
        <is>
          <t>2026-05-29</t>
        </is>
      </c>
      <c r="B7926" s="3" t="inlineStr">
        <is>
          <t>형지엘리트</t>
        </is>
      </c>
      <c r="C7926" s="2" t="inlineStr">
        <is>
          <t>코스피</t>
        </is>
      </c>
      <c r="D7926" s="2" t="inlineStr">
        <is>
          <t>093240</t>
        </is>
      </c>
      <c r="E7926" s="3" t="inlineStr">
        <is>
          <t xml:space="preserve">기업지배구조보고서공시              </t>
        </is>
      </c>
      <c r="F7926" s="3" t="inlineStr">
        <is>
          <t>형지엘리트</t>
        </is>
      </c>
      <c r="G7926" s="2" t="inlineStr">
        <is>
          <t>20260529800975</t>
        </is>
      </c>
      <c r="H7926" s="8">
        <f>HYPERLINK("https://dart.fss.or.kr/dsaf001/main.do?rcpNo=20260529800975", "공시열람")</f>
        <v/>
      </c>
    </row>
    <row r="7927">
      <c r="A7927" s="2" t="inlineStr">
        <is>
          <t>2026-05-29</t>
        </is>
      </c>
      <c r="B7927" s="3" t="inlineStr">
        <is>
          <t>한국제지</t>
        </is>
      </c>
      <c r="C7927" s="2" t="inlineStr">
        <is>
          <t>코스피</t>
        </is>
      </c>
      <c r="D7927" s="2" t="inlineStr">
        <is>
          <t>027970</t>
        </is>
      </c>
      <c r="E7927" s="3" t="inlineStr">
        <is>
          <t xml:space="preserve">주주명부폐쇄기간또는기준일설정              </t>
        </is>
      </c>
      <c r="F7927" s="3" t="inlineStr">
        <is>
          <t>한국제지</t>
        </is>
      </c>
      <c r="G7927" s="2" t="inlineStr">
        <is>
          <t>20260529800937</t>
        </is>
      </c>
      <c r="H7927" s="8">
        <f>HYPERLINK("https://dart.fss.or.kr/dsaf001/main.do?rcpNo=20260529800937", "공시열람")</f>
        <v/>
      </c>
    </row>
    <row r="7928">
      <c r="A7928" s="2" t="inlineStr">
        <is>
          <t>2026-05-29 (정정: 2026-06-12)</t>
        </is>
      </c>
      <c r="B7928" s="3" t="inlineStr">
        <is>
          <t>한국제지</t>
        </is>
      </c>
      <c r="C7928" s="2" t="inlineStr">
        <is>
          <t>코스피</t>
        </is>
      </c>
      <c r="D7928" s="2" t="inlineStr">
        <is>
          <t>027970</t>
        </is>
      </c>
      <c r="E7928" s="3" t="inlineStr">
        <is>
          <t>주식병합결정               (정정: 20260612)</t>
        </is>
      </c>
      <c r="F7928" s="3" t="inlineStr">
        <is>
          <t>한국제지</t>
        </is>
      </c>
      <c r="G7928" s="2" t="inlineStr">
        <is>
          <t>20260612800887</t>
        </is>
      </c>
      <c r="H7928" s="8">
        <f>HYPERLINK("https://dart.fss.or.kr/dsaf001/main.do?rcpNo=20260612800887", "공시열람")</f>
        <v/>
      </c>
    </row>
    <row r="7929">
      <c r="A7929" s="2" t="inlineStr">
        <is>
          <t>2026-05-29</t>
        </is>
      </c>
      <c r="B7929" s="3" t="inlineStr">
        <is>
          <t>롯데웰푸드</t>
        </is>
      </c>
      <c r="C7929" s="2" t="inlineStr">
        <is>
          <t>코스피</t>
        </is>
      </c>
      <c r="D7929" s="2" t="inlineStr">
        <is>
          <t>280360</t>
        </is>
      </c>
      <c r="E7929" s="3" t="inlineStr">
        <is>
          <t xml:space="preserve">기업지배구조보고서공시              </t>
        </is>
      </c>
      <c r="F7929" s="3" t="inlineStr">
        <is>
          <t>롯데웰푸드</t>
        </is>
      </c>
      <c r="G7929" s="2" t="inlineStr">
        <is>
          <t>20260529800969</t>
        </is>
      </c>
      <c r="H7929" s="8">
        <f>HYPERLINK("https://dart.fss.or.kr/dsaf001/main.do?rcpNo=20260529800969", "공시열람")</f>
        <v/>
      </c>
    </row>
    <row r="7930">
      <c r="A7930" s="2" t="inlineStr">
        <is>
          <t>2026-05-29</t>
        </is>
      </c>
      <c r="B7930" s="3" t="inlineStr">
        <is>
          <t>SKC</t>
        </is>
      </c>
      <c r="C7930" s="2" t="inlineStr">
        <is>
          <t>코스피</t>
        </is>
      </c>
      <c r="D7930" s="2" t="inlineStr">
        <is>
          <t>011790</t>
        </is>
      </c>
      <c r="E7930" s="3" t="inlineStr">
        <is>
          <t>대규모기업집단현황공시[연1회공시및1/4분기용(개별회사)]</t>
        </is>
      </c>
      <c r="F7930" s="3" t="inlineStr">
        <is>
          <t>SKC</t>
        </is>
      </c>
      <c r="G7930" s="2" t="inlineStr">
        <is>
          <t>20260529001113</t>
        </is>
      </c>
      <c r="H7930" s="8">
        <f>HYPERLINK("https://dart.fss.or.kr/dsaf001/main.do?rcpNo=20260529001113", "공시열람")</f>
        <v/>
      </c>
    </row>
    <row r="7931">
      <c r="A7931" s="2" t="inlineStr">
        <is>
          <t>2026-05-29</t>
        </is>
      </c>
      <c r="B7931" s="3" t="inlineStr">
        <is>
          <t>한화시스템</t>
        </is>
      </c>
      <c r="C7931" s="2" t="inlineStr">
        <is>
          <t>코스피</t>
        </is>
      </c>
      <c r="D7931" s="2" t="inlineStr">
        <is>
          <t>272210</t>
        </is>
      </c>
      <c r="E7931" s="3" t="inlineStr">
        <is>
          <t>특수관계인과의수익증권거래</t>
        </is>
      </c>
      <c r="F7931" s="3" t="inlineStr">
        <is>
          <t>한화시스템</t>
        </is>
      </c>
      <c r="G7931" s="2" t="inlineStr">
        <is>
          <t>20260529001109</t>
        </is>
      </c>
      <c r="H7931" s="8">
        <f>HYPERLINK("https://dart.fss.or.kr/dsaf001/main.do?rcpNo=20260529001109", "공시열람")</f>
        <v/>
      </c>
    </row>
    <row r="7932">
      <c r="A7932" s="2" t="inlineStr">
        <is>
          <t>2026-05-29</t>
        </is>
      </c>
      <c r="B7932" s="3" t="inlineStr">
        <is>
          <t>원익</t>
        </is>
      </c>
      <c r="C7932" s="2" t="inlineStr">
        <is>
          <t>코스닥</t>
        </is>
      </c>
      <c r="D7932" s="2" t="inlineStr">
        <is>
          <t>032940</t>
        </is>
      </c>
      <c r="E7932" s="3" t="inlineStr">
        <is>
          <t>대규모기업집단현황공시[연1회공시및1/4분기용(개별회사)]</t>
        </is>
      </c>
      <c r="F7932" s="3" t="inlineStr">
        <is>
          <t>원익</t>
        </is>
      </c>
      <c r="G7932" s="2" t="inlineStr">
        <is>
          <t>20260529001107</t>
        </is>
      </c>
      <c r="H7932" s="8">
        <f>HYPERLINK("https://dart.fss.or.kr/dsaf001/main.do?rcpNo=20260529001107", "공시열람")</f>
        <v/>
      </c>
    </row>
    <row r="7933">
      <c r="A7933" s="2" t="inlineStr">
        <is>
          <t>2026-05-29</t>
        </is>
      </c>
      <c r="B7933" s="3" t="inlineStr">
        <is>
          <t>두산에너빌리티</t>
        </is>
      </c>
      <c r="C7933" s="2" t="inlineStr">
        <is>
          <t>코스피</t>
        </is>
      </c>
      <c r="D7933" s="2" t="inlineStr">
        <is>
          <t>034020</t>
        </is>
      </c>
      <c r="E7933" s="3" t="inlineStr">
        <is>
          <t>대규모기업집단현황공시[연1회공시및1/4분기용(개별회사)]</t>
        </is>
      </c>
      <c r="F7933" s="3" t="inlineStr">
        <is>
          <t>두산에너빌리티</t>
        </is>
      </c>
      <c r="G7933" s="2" t="inlineStr">
        <is>
          <t>20260529001106</t>
        </is>
      </c>
      <c r="H7933" s="8">
        <f>HYPERLINK("https://dart.fss.or.kr/dsaf001/main.do?rcpNo=20260529001106", "공시열람")</f>
        <v/>
      </c>
    </row>
    <row r="7934">
      <c r="A7934" s="2" t="inlineStr">
        <is>
          <t>2026-05-29</t>
        </is>
      </c>
      <c r="B7934" s="3" t="inlineStr">
        <is>
          <t>SK오션플랜트</t>
        </is>
      </c>
      <c r="C7934" s="2" t="inlineStr">
        <is>
          <t>코스피</t>
        </is>
      </c>
      <c r="D7934" s="2" t="inlineStr">
        <is>
          <t>100090</t>
        </is>
      </c>
      <c r="E7934" s="3" t="inlineStr">
        <is>
          <t>대규모기업집단현황공시[연1회공시및1/4분기용(개별회사)]</t>
        </is>
      </c>
      <c r="F7934" s="3" t="inlineStr">
        <is>
          <t>SK오션플랜트</t>
        </is>
      </c>
      <c r="G7934" s="2" t="inlineStr">
        <is>
          <t>20260529001104</t>
        </is>
      </c>
      <c r="H7934" s="8">
        <f>HYPERLINK("https://dart.fss.or.kr/dsaf001/main.do?rcpNo=20260529001104", "공시열람")</f>
        <v/>
      </c>
    </row>
    <row r="7935">
      <c r="A7935" s="2" t="inlineStr">
        <is>
          <t>2026-05-29</t>
        </is>
      </c>
      <c r="B7935" s="3" t="inlineStr">
        <is>
          <t>LG전자</t>
        </is>
      </c>
      <c r="C7935" s="2" t="inlineStr">
        <is>
          <t>코스피</t>
        </is>
      </c>
      <c r="D7935" s="2" t="inlineStr">
        <is>
          <t>066570</t>
        </is>
      </c>
      <c r="E7935" s="3" t="inlineStr">
        <is>
          <t xml:space="preserve">기업지배구조보고서공시              </t>
        </is>
      </c>
      <c r="F7935" s="3" t="inlineStr">
        <is>
          <t>LG전자</t>
        </is>
      </c>
      <c r="G7935" s="2" t="inlineStr">
        <is>
          <t>20260529800959</t>
        </is>
      </c>
      <c r="H7935" s="8">
        <f>HYPERLINK("https://dart.fss.or.kr/dsaf001/main.do?rcpNo=20260529800959", "공시열람")</f>
        <v/>
      </c>
    </row>
    <row r="7936">
      <c r="A7936" s="2" t="inlineStr">
        <is>
          <t>2026-05-29</t>
        </is>
      </c>
      <c r="B7936" s="3" t="inlineStr">
        <is>
          <t>일진전기</t>
        </is>
      </c>
      <c r="C7936" s="2" t="inlineStr">
        <is>
          <t>코스피</t>
        </is>
      </c>
      <c r="D7936" s="2" t="inlineStr">
        <is>
          <t>103590</t>
        </is>
      </c>
      <c r="E7936" s="3" t="inlineStr">
        <is>
          <t>임원ㆍ주요주주특정증권등소유상황보고서</t>
        </is>
      </c>
      <c r="F7936" s="3" t="inlineStr">
        <is>
          <t>유상석</t>
        </is>
      </c>
      <c r="G7936" s="2" t="inlineStr">
        <is>
          <t>20260529001096</t>
        </is>
      </c>
      <c r="H7936" s="8">
        <f>HYPERLINK("https://dart.fss.or.kr/dsaf001/main.do?rcpNo=20260529001096", "공시열람")</f>
        <v/>
      </c>
    </row>
    <row r="7937">
      <c r="A7937" s="2" t="inlineStr">
        <is>
          <t>2026-05-29</t>
        </is>
      </c>
      <c r="B7937" s="3" t="inlineStr">
        <is>
          <t>케이비아이동국실업</t>
        </is>
      </c>
      <c r="C7937" s="2" t="inlineStr">
        <is>
          <t>코스피</t>
        </is>
      </c>
      <c r="D7937" s="2" t="inlineStr">
        <is>
          <t>001620</t>
        </is>
      </c>
      <c r="E7937" s="3" t="inlineStr">
        <is>
          <t xml:space="preserve">기업지배구조보고서공시              </t>
        </is>
      </c>
      <c r="F7937" s="3" t="inlineStr">
        <is>
          <t>케이비아이동국실업</t>
        </is>
      </c>
      <c r="G7937" s="2" t="inlineStr">
        <is>
          <t>20260529800962</t>
        </is>
      </c>
      <c r="H7937" s="8">
        <f>HYPERLINK("https://dart.fss.or.kr/dsaf001/main.do?rcpNo=20260529800962", "공시열람")</f>
        <v/>
      </c>
    </row>
    <row r="7938">
      <c r="A7938" s="2" t="inlineStr">
        <is>
          <t>2026-05-29</t>
        </is>
      </c>
      <c r="B7938" s="3" t="inlineStr">
        <is>
          <t>롯데칠성음료</t>
        </is>
      </c>
      <c r="C7938" s="2" t="inlineStr">
        <is>
          <t>코스피</t>
        </is>
      </c>
      <c r="D7938" s="2" t="inlineStr">
        <is>
          <t>005300</t>
        </is>
      </c>
      <c r="E7938" s="3" t="inlineStr">
        <is>
          <t>대규모기업집단현황공시[연1회공시및1/4분기용(개별회사)]</t>
        </is>
      </c>
      <c r="F7938" s="3" t="inlineStr">
        <is>
          <t>롯데칠성음료</t>
        </is>
      </c>
      <c r="G7938" s="2" t="inlineStr">
        <is>
          <t>20260529001087</t>
        </is>
      </c>
      <c r="H7938" s="8">
        <f>HYPERLINK("https://dart.fss.or.kr/dsaf001/main.do?rcpNo=20260529001087", "공시열람")</f>
        <v/>
      </c>
    </row>
    <row r="7939">
      <c r="A7939" s="2" t="inlineStr">
        <is>
          <t>2026-05-29</t>
        </is>
      </c>
      <c r="B7939" s="3" t="inlineStr">
        <is>
          <t>펨트론</t>
        </is>
      </c>
      <c r="C7939" s="2" t="inlineStr">
        <is>
          <t>코스닥</t>
        </is>
      </c>
      <c r="D7939" s="2" t="inlineStr">
        <is>
          <t>168360</t>
        </is>
      </c>
      <c r="E7939" s="3" t="inlineStr">
        <is>
          <t>사외이사의선임ㆍ해임또는중도퇴임에관한신고</t>
        </is>
      </c>
      <c r="F7939" s="3" t="inlineStr">
        <is>
          <t>펨트론</t>
        </is>
      </c>
      <c r="G7939" s="2" t="inlineStr">
        <is>
          <t>20260529001084</t>
        </is>
      </c>
      <c r="H7939" s="8">
        <f>HYPERLINK("https://dart.fss.or.kr/dsaf001/main.do?rcpNo=20260529001084", "공시열람")</f>
        <v/>
      </c>
    </row>
    <row r="7940">
      <c r="A7940" s="2" t="inlineStr">
        <is>
          <t>2026-05-29</t>
        </is>
      </c>
      <c r="B7940" s="3" t="inlineStr">
        <is>
          <t>엠앤씨솔루션</t>
        </is>
      </c>
      <c r="C7940" s="2" t="inlineStr">
        <is>
          <t>코스피</t>
        </is>
      </c>
      <c r="D7940" s="2" t="inlineStr">
        <is>
          <t>484870</t>
        </is>
      </c>
      <c r="E7940" s="3" t="inlineStr">
        <is>
          <t xml:space="preserve">기업지배구조보고서공시              </t>
        </is>
      </c>
      <c r="F7940" s="3" t="inlineStr">
        <is>
          <t>엠앤씨솔루션</t>
        </is>
      </c>
      <c r="G7940" s="2" t="inlineStr">
        <is>
          <t>20260529800947</t>
        </is>
      </c>
      <c r="H7940" s="8">
        <f>HYPERLINK("https://dart.fss.or.kr/dsaf001/main.do?rcpNo=20260529800947", "공시열람")</f>
        <v/>
      </c>
    </row>
    <row r="7941">
      <c r="A7941" s="2" t="inlineStr">
        <is>
          <t>2026-05-29</t>
        </is>
      </c>
      <c r="B7941" s="3" t="inlineStr">
        <is>
          <t>케이티</t>
        </is>
      </c>
      <c r="C7941" s="2" t="inlineStr">
        <is>
          <t>코스피</t>
        </is>
      </c>
      <c r="D7941" s="2" t="inlineStr">
        <is>
          <t>030200</t>
        </is>
      </c>
      <c r="E7941" s="3" t="inlineStr">
        <is>
          <t xml:space="preserve">기업지배구조보고서공시              </t>
        </is>
      </c>
      <c r="F7941" s="3" t="inlineStr">
        <is>
          <t>케이티</t>
        </is>
      </c>
      <c r="G7941" s="2" t="inlineStr">
        <is>
          <t>20260529800920</t>
        </is>
      </c>
      <c r="H7941" s="8">
        <f>HYPERLINK("https://dart.fss.or.kr/dsaf001/main.do?rcpNo=20260529800920", "공시열람")</f>
        <v/>
      </c>
    </row>
    <row r="7942">
      <c r="A7942" s="2" t="inlineStr">
        <is>
          <t>2026-05-29</t>
        </is>
      </c>
      <c r="B7942" s="3" t="inlineStr">
        <is>
          <t>성창기업지주</t>
        </is>
      </c>
      <c r="C7942" s="2" t="inlineStr">
        <is>
          <t>코스피</t>
        </is>
      </c>
      <c r="D7942" s="2" t="inlineStr">
        <is>
          <t>000180</t>
        </is>
      </c>
      <c r="E7942" s="3" t="inlineStr">
        <is>
          <t xml:space="preserve">기업지배구조보고서공시              </t>
        </is>
      </c>
      <c r="F7942" s="3" t="inlineStr">
        <is>
          <t>성창기업지주</t>
        </is>
      </c>
      <c r="G7942" s="2" t="inlineStr">
        <is>
          <t>20260529800940</t>
        </is>
      </c>
      <c r="H7942" s="8">
        <f>HYPERLINK("https://dart.fss.or.kr/dsaf001/main.do?rcpNo=20260529800940", "공시열람")</f>
        <v/>
      </c>
    </row>
    <row r="7943">
      <c r="A7943" s="2" t="inlineStr">
        <is>
          <t>2026-05-29</t>
        </is>
      </c>
      <c r="B7943" s="3" t="inlineStr">
        <is>
          <t>한화리츠</t>
        </is>
      </c>
      <c r="C7943" s="2" t="inlineStr">
        <is>
          <t>코스피</t>
        </is>
      </c>
      <c r="D7943" s="2" t="inlineStr">
        <is>
          <t>451800</t>
        </is>
      </c>
      <c r="E7943" s="3" t="inlineStr">
        <is>
          <t>대규모기업집단현황공시[연1회공시및1/4분기용(개별회사)]</t>
        </is>
      </c>
      <c r="F7943" s="3" t="inlineStr">
        <is>
          <t>한화리츠</t>
        </is>
      </c>
      <c r="G7943" s="2" t="inlineStr">
        <is>
          <t>20260529001069</t>
        </is>
      </c>
      <c r="H7943" s="8">
        <f>HYPERLINK("https://dart.fss.or.kr/dsaf001/main.do?rcpNo=20260529001069", "공시열람")</f>
        <v/>
      </c>
    </row>
    <row r="7944">
      <c r="A7944" s="2" t="inlineStr">
        <is>
          <t>2026-05-29</t>
        </is>
      </c>
      <c r="B7944" s="3" t="inlineStr">
        <is>
          <t>한온시스템</t>
        </is>
      </c>
      <c r="C7944" s="2" t="inlineStr">
        <is>
          <t>코스피</t>
        </is>
      </c>
      <c r="D7944" s="2" t="inlineStr">
        <is>
          <t>018880</t>
        </is>
      </c>
      <c r="E7944" s="3" t="inlineStr">
        <is>
          <t>대규모기업집단현황공시[연1회공시및1/4분기용(개별회사)]</t>
        </is>
      </c>
      <c r="F7944" s="3" t="inlineStr">
        <is>
          <t>한온시스템</t>
        </is>
      </c>
      <c r="G7944" s="2" t="inlineStr">
        <is>
          <t>20260529001065</t>
        </is>
      </c>
      <c r="H7944" s="8">
        <f>HYPERLINK("https://dart.fss.or.kr/dsaf001/main.do?rcpNo=20260529001065", "공시열람")</f>
        <v/>
      </c>
    </row>
    <row r="7945">
      <c r="A7945" s="2" t="inlineStr">
        <is>
          <t>2026-05-29</t>
        </is>
      </c>
      <c r="B7945" s="3" t="inlineStr">
        <is>
          <t>KG케미칼</t>
        </is>
      </c>
      <c r="C7945" s="2" t="inlineStr">
        <is>
          <t>코스피</t>
        </is>
      </c>
      <c r="D7945" s="2" t="inlineStr">
        <is>
          <t>001390</t>
        </is>
      </c>
      <c r="E7945" s="3" t="inlineStr">
        <is>
          <t>대규모기업집단현황공시[연1회공시및1/4분기용(대표회사)]</t>
        </is>
      </c>
      <c r="F7945" s="3" t="inlineStr">
        <is>
          <t>KG케미칼</t>
        </is>
      </c>
      <c r="G7945" s="2" t="inlineStr">
        <is>
          <t>20260529001061</t>
        </is>
      </c>
      <c r="H7945" s="8">
        <f>HYPERLINK("https://dart.fss.or.kr/dsaf001/main.do?rcpNo=20260529001061", "공시열람")</f>
        <v/>
      </c>
    </row>
    <row r="7946">
      <c r="A7946" s="2" t="inlineStr">
        <is>
          <t>2026-05-29</t>
        </is>
      </c>
      <c r="B7946" s="3" t="inlineStr">
        <is>
          <t>남성</t>
        </is>
      </c>
      <c r="C7946" s="2" t="inlineStr">
        <is>
          <t>코스피</t>
        </is>
      </c>
      <c r="D7946" s="2" t="inlineStr">
        <is>
          <t>004270</t>
        </is>
      </c>
      <c r="E7946" s="3" t="inlineStr">
        <is>
          <t xml:space="preserve">기업지배구조보고서공시              </t>
        </is>
      </c>
      <c r="F7946" s="3" t="inlineStr">
        <is>
          <t>남성</t>
        </is>
      </c>
      <c r="G7946" s="2" t="inlineStr">
        <is>
          <t>20260529800934</t>
        </is>
      </c>
      <c r="H7946" s="8">
        <f>HYPERLINK("https://dart.fss.or.kr/dsaf001/main.do?rcpNo=20260529800934", "공시열람")</f>
        <v/>
      </c>
    </row>
    <row r="7947">
      <c r="A7947" s="2" t="inlineStr">
        <is>
          <t>2026-05-29</t>
        </is>
      </c>
      <c r="B7947" s="3" t="inlineStr">
        <is>
          <t>에코프로비엠</t>
        </is>
      </c>
      <c r="C7947" s="2" t="inlineStr">
        <is>
          <t>코스닥</t>
        </is>
      </c>
      <c r="D7947" s="2" t="inlineStr">
        <is>
          <t>247540</t>
        </is>
      </c>
      <c r="E7947" s="3" t="inlineStr">
        <is>
          <t>대규모기업집단현황공시[연1회공시및1/4분기용(개별회사)]</t>
        </is>
      </c>
      <c r="F7947" s="3" t="inlineStr">
        <is>
          <t>에코프로비엠</t>
        </is>
      </c>
      <c r="G7947" s="2" t="inlineStr">
        <is>
          <t>20260529001060</t>
        </is>
      </c>
      <c r="H7947" s="8">
        <f>HYPERLINK("https://dart.fss.or.kr/dsaf001/main.do?rcpNo=20260529001060", "공시열람")</f>
        <v/>
      </c>
    </row>
    <row r="7948">
      <c r="A7948" s="2" t="inlineStr">
        <is>
          <t>2026-05-29</t>
        </is>
      </c>
      <c r="B7948" s="3" t="inlineStr">
        <is>
          <t>한세예스24홀딩스</t>
        </is>
      </c>
      <c r="C7948" s="2" t="inlineStr">
        <is>
          <t>코스피</t>
        </is>
      </c>
      <c r="D7948" s="2" t="inlineStr">
        <is>
          <t>016450</t>
        </is>
      </c>
      <c r="E7948" s="3" t="inlineStr">
        <is>
          <t xml:space="preserve">기업지배구조보고서공시              </t>
        </is>
      </c>
      <c r="F7948" s="3" t="inlineStr">
        <is>
          <t>한세예스24홀딩스</t>
        </is>
      </c>
      <c r="G7948" s="2" t="inlineStr">
        <is>
          <t>20260529800932</t>
        </is>
      </c>
      <c r="H7948" s="8">
        <f>HYPERLINK("https://dart.fss.or.kr/dsaf001/main.do?rcpNo=20260529800932", "공시열람")</f>
        <v/>
      </c>
    </row>
    <row r="7949">
      <c r="A7949" s="2" t="inlineStr">
        <is>
          <t>2026-05-29</t>
        </is>
      </c>
      <c r="B7949" s="3" t="inlineStr">
        <is>
          <t>롯데렌탈</t>
        </is>
      </c>
      <c r="C7949" s="2" t="inlineStr">
        <is>
          <t>코스피</t>
        </is>
      </c>
      <c r="D7949" s="2" t="inlineStr">
        <is>
          <t>089860</t>
        </is>
      </c>
      <c r="E7949" s="3" t="inlineStr">
        <is>
          <t>대규모기업집단현황공시[연1회공시및1/4분기용(개별회사)]</t>
        </is>
      </c>
      <c r="F7949" s="3" t="inlineStr">
        <is>
          <t>롯데렌탈</t>
        </is>
      </c>
      <c r="G7949" s="2" t="inlineStr">
        <is>
          <t>20260529001052</t>
        </is>
      </c>
      <c r="H7949" s="8">
        <f>HYPERLINK("https://dart.fss.or.kr/dsaf001/main.do?rcpNo=20260529001052", "공시열람")</f>
        <v/>
      </c>
    </row>
    <row r="7950">
      <c r="A7950" s="2" t="inlineStr">
        <is>
          <t>2026-05-29</t>
        </is>
      </c>
      <c r="B7950" s="3" t="inlineStr">
        <is>
          <t>롯데에너지머티리얼즈</t>
        </is>
      </c>
      <c r="C7950" s="2" t="inlineStr">
        <is>
          <t>코스피</t>
        </is>
      </c>
      <c r="D7950" s="2" t="inlineStr">
        <is>
          <t>020150</t>
        </is>
      </c>
      <c r="E7950" s="3" t="inlineStr">
        <is>
          <t>대규모기업집단현황공시[연1회공시및1/4분기용(개별회사)]</t>
        </is>
      </c>
      <c r="F7950" s="3" t="inlineStr">
        <is>
          <t>롯데에너지머티리얼즈</t>
        </is>
      </c>
      <c r="G7950" s="2" t="inlineStr">
        <is>
          <t>20260529001050</t>
        </is>
      </c>
      <c r="H7950" s="8">
        <f>HYPERLINK("https://dart.fss.or.kr/dsaf001/main.do?rcpNo=20260529001050", "공시열람")</f>
        <v/>
      </c>
    </row>
    <row r="7951">
      <c r="A7951" s="2" t="inlineStr">
        <is>
          <t>2026-05-29</t>
        </is>
      </c>
      <c r="B7951" s="3" t="inlineStr">
        <is>
          <t>한화생명</t>
        </is>
      </c>
      <c r="C7951" s="2" t="inlineStr">
        <is>
          <t>코스피</t>
        </is>
      </c>
      <c r="D7951" s="2" t="inlineStr">
        <is>
          <t>088350</t>
        </is>
      </c>
      <c r="E7951" s="3" t="inlineStr">
        <is>
          <t>대규모기업집단현황공시[연1회공시및1/4분기용(개별회사)]</t>
        </is>
      </c>
      <c r="F7951" s="3" t="inlineStr">
        <is>
          <t>한화생명</t>
        </is>
      </c>
      <c r="G7951" s="2" t="inlineStr">
        <is>
          <t>20260529001046</t>
        </is>
      </c>
      <c r="H7951" s="8">
        <f>HYPERLINK("https://dart.fss.or.kr/dsaf001/main.do?rcpNo=20260529001046", "공시열람")</f>
        <v/>
      </c>
    </row>
    <row r="7952">
      <c r="A7952" s="2" t="inlineStr">
        <is>
          <t>2026-05-29</t>
        </is>
      </c>
      <c r="B7952" s="3" t="inlineStr">
        <is>
          <t>농심홀딩스</t>
        </is>
      </c>
      <c r="C7952" s="2" t="inlineStr">
        <is>
          <t>코스피</t>
        </is>
      </c>
      <c r="D7952" s="2" t="inlineStr">
        <is>
          <t>072710</t>
        </is>
      </c>
      <c r="E7952" s="3" t="inlineStr">
        <is>
          <t>대규모기업집단현황공시[연1회공시및1/4분기용(개별회사)]</t>
        </is>
      </c>
      <c r="F7952" s="3" t="inlineStr">
        <is>
          <t>농심홀딩스</t>
        </is>
      </c>
      <c r="G7952" s="2" t="inlineStr">
        <is>
          <t>20260529001045</t>
        </is>
      </c>
      <c r="H7952" s="8">
        <f>HYPERLINK("https://dart.fss.or.kr/dsaf001/main.do?rcpNo=20260529001045", "공시열람")</f>
        <v/>
      </c>
    </row>
    <row r="7953">
      <c r="A7953" s="2" t="inlineStr">
        <is>
          <t>2026-05-29</t>
        </is>
      </c>
      <c r="B7953" s="3" t="inlineStr">
        <is>
          <t>한화리츠</t>
        </is>
      </c>
      <c r="C7953" s="2" t="inlineStr">
        <is>
          <t>코스피</t>
        </is>
      </c>
      <c r="D7953" s="2" t="inlineStr">
        <is>
          <t>451800</t>
        </is>
      </c>
      <c r="E7953" s="3" t="inlineStr">
        <is>
          <t xml:space="preserve">기업지배구조보고서공시              </t>
        </is>
      </c>
      <c r="F7953" s="3" t="inlineStr">
        <is>
          <t>한화리츠</t>
        </is>
      </c>
      <c r="G7953" s="2" t="inlineStr">
        <is>
          <t>20260529800926</t>
        </is>
      </c>
      <c r="H7953" s="8">
        <f>HYPERLINK("https://dart.fss.or.kr/dsaf001/main.do?rcpNo=20260529800926", "공시열람")</f>
        <v/>
      </c>
    </row>
    <row r="7954">
      <c r="A7954" s="2" t="inlineStr">
        <is>
          <t>2026-05-29</t>
        </is>
      </c>
      <c r="B7954" s="3" t="inlineStr">
        <is>
          <t>위너스일렉</t>
        </is>
      </c>
      <c r="C7954" s="2" t="inlineStr">
        <is>
          <t>코스닥</t>
        </is>
      </c>
      <c r="D7954" s="2" t="inlineStr">
        <is>
          <t>479960</t>
        </is>
      </c>
      <c r="E7954" s="3" t="inlineStr">
        <is>
          <t>임원ㆍ주요주주특정증권등소유상황보고서</t>
        </is>
      </c>
      <c r="F7954" s="3" t="inlineStr">
        <is>
          <t>조용주</t>
        </is>
      </c>
      <c r="G7954" s="2" t="inlineStr">
        <is>
          <t>20260529001036</t>
        </is>
      </c>
      <c r="H7954" s="8">
        <f>HYPERLINK("https://dart.fss.or.kr/dsaf001/main.do?rcpNo=20260529001036", "공시열람")</f>
        <v/>
      </c>
    </row>
    <row r="7955">
      <c r="A7955" s="2" t="inlineStr">
        <is>
          <t>2026-05-29</t>
        </is>
      </c>
      <c r="B7955" s="3" t="inlineStr">
        <is>
          <t>아이에스동서</t>
        </is>
      </c>
      <c r="C7955" s="2" t="inlineStr">
        <is>
          <t>코스피</t>
        </is>
      </c>
      <c r="D7955" s="2" t="inlineStr">
        <is>
          <t>010780</t>
        </is>
      </c>
      <c r="E7955" s="3" t="inlineStr">
        <is>
          <t>대규모기업집단현황공시[연1회공시및1/4분기용(개별회사)]</t>
        </is>
      </c>
      <c r="F7955" s="3" t="inlineStr">
        <is>
          <t>아이에스동서</t>
        </is>
      </c>
      <c r="G7955" s="2" t="inlineStr">
        <is>
          <t>20260529001035</t>
        </is>
      </c>
      <c r="H7955" s="8">
        <f>HYPERLINK("https://dart.fss.or.kr/dsaf001/main.do?rcpNo=20260529001035", "공시열람")</f>
        <v/>
      </c>
    </row>
    <row r="7956">
      <c r="A7956" s="2" t="inlineStr">
        <is>
          <t>2026-05-29</t>
        </is>
      </c>
      <c r="B7956" s="3" t="inlineStr">
        <is>
          <t>한화솔루션</t>
        </is>
      </c>
      <c r="C7956" s="2" t="inlineStr">
        <is>
          <t>코스피</t>
        </is>
      </c>
      <c r="D7956" s="2" t="inlineStr">
        <is>
          <t>009830</t>
        </is>
      </c>
      <c r="E7956" s="3" t="inlineStr">
        <is>
          <t>대규모기업집단현황공시[연1회공시및1/4분기용(개별회사)]</t>
        </is>
      </c>
      <c r="F7956" s="3" t="inlineStr">
        <is>
          <t>한화솔루션</t>
        </is>
      </c>
      <c r="G7956" s="2" t="inlineStr">
        <is>
          <t>20260529001032</t>
        </is>
      </c>
      <c r="H7956" s="8">
        <f>HYPERLINK("https://dart.fss.or.kr/dsaf001/main.do?rcpNo=20260529001032", "공시열람")</f>
        <v/>
      </c>
    </row>
    <row r="7957">
      <c r="A7957" s="2" t="inlineStr">
        <is>
          <t>2026-05-29</t>
        </is>
      </c>
      <c r="B7957" s="3" t="inlineStr">
        <is>
          <t>서울도시가스</t>
        </is>
      </c>
      <c r="C7957" s="2" t="inlineStr">
        <is>
          <t>코스피</t>
        </is>
      </c>
      <c r="D7957" s="2" t="inlineStr">
        <is>
          <t>017390</t>
        </is>
      </c>
      <c r="E7957" s="3" t="inlineStr">
        <is>
          <t xml:space="preserve">기업지배구조보고서공시              </t>
        </is>
      </c>
      <c r="F7957" s="3" t="inlineStr">
        <is>
          <t>서울도시가스</t>
        </is>
      </c>
      <c r="G7957" s="2" t="inlineStr">
        <is>
          <t>20260529800844</t>
        </is>
      </c>
      <c r="H7957" s="8">
        <f>HYPERLINK("https://dart.fss.or.kr/dsaf001/main.do?rcpNo=20260529800844", "공시열람")</f>
        <v/>
      </c>
    </row>
    <row r="7958">
      <c r="A7958" s="2" t="inlineStr">
        <is>
          <t>2026-05-29</t>
        </is>
      </c>
      <c r="B7958" s="3" t="inlineStr">
        <is>
          <t>KG케미칼</t>
        </is>
      </c>
      <c r="C7958" s="2" t="inlineStr">
        <is>
          <t>코스피</t>
        </is>
      </c>
      <c r="D7958" s="2" t="inlineStr">
        <is>
          <t>001390</t>
        </is>
      </c>
      <c r="E7958" s="3" t="inlineStr">
        <is>
          <t>대규모기업집단현황공시[연1회(동일인용)]</t>
        </is>
      </c>
      <c r="F7958" s="3" t="inlineStr">
        <is>
          <t>곽재선</t>
        </is>
      </c>
      <c r="G7958" s="2" t="inlineStr">
        <is>
          <t>20260529001028</t>
        </is>
      </c>
      <c r="H7958" s="8">
        <f>HYPERLINK("https://dart.fss.or.kr/dsaf001/main.do?rcpNo=20260529001028", "공시열람")</f>
        <v/>
      </c>
    </row>
    <row r="7959">
      <c r="A7959" s="2" t="inlineStr">
        <is>
          <t>2026-05-29</t>
        </is>
      </c>
      <c r="B7959" s="3" t="inlineStr">
        <is>
          <t>아남전자</t>
        </is>
      </c>
      <c r="C7959" s="2" t="inlineStr">
        <is>
          <t>코스피</t>
        </is>
      </c>
      <c r="D7959" s="2" t="inlineStr">
        <is>
          <t>008700</t>
        </is>
      </c>
      <c r="E7959" s="3" t="inlineStr">
        <is>
          <t xml:space="preserve">기업지배구조보고서공시              </t>
        </is>
      </c>
      <c r="F7959" s="3" t="inlineStr">
        <is>
          <t>아남전자</t>
        </is>
      </c>
      <c r="G7959" s="2" t="inlineStr">
        <is>
          <t>20260529800909</t>
        </is>
      </c>
      <c r="H7959" s="8">
        <f>HYPERLINK("https://dart.fss.or.kr/dsaf001/main.do?rcpNo=20260529800909", "공시열람")</f>
        <v/>
      </c>
    </row>
    <row r="7960">
      <c r="A7960" s="2" t="inlineStr">
        <is>
          <t>2026-05-29</t>
        </is>
      </c>
      <c r="B7960" s="3" t="inlineStr">
        <is>
          <t>티케이케미칼</t>
        </is>
      </c>
      <c r="C7960" s="2" t="inlineStr">
        <is>
          <t>코스닥</t>
        </is>
      </c>
      <c r="D7960" s="2" t="inlineStr">
        <is>
          <t>104480</t>
        </is>
      </c>
      <c r="E7960" s="3" t="inlineStr">
        <is>
          <t>대규모기업집단현황공시[연1회공시및1/4분기용(개별회사)]</t>
        </is>
      </c>
      <c r="F7960" s="3" t="inlineStr">
        <is>
          <t>티케이케미칼</t>
        </is>
      </c>
      <c r="G7960" s="2" t="inlineStr">
        <is>
          <t>20260529001023</t>
        </is>
      </c>
      <c r="H7960" s="8">
        <f>HYPERLINK("https://dart.fss.or.kr/dsaf001/main.do?rcpNo=20260529001023", "공시열람")</f>
        <v/>
      </c>
    </row>
    <row r="7961">
      <c r="A7961" s="2" t="inlineStr">
        <is>
          <t>2026-05-29</t>
        </is>
      </c>
      <c r="B7961" s="3" t="inlineStr">
        <is>
          <t>SK리츠</t>
        </is>
      </c>
      <c r="C7961" s="2" t="inlineStr">
        <is>
          <t>코스피</t>
        </is>
      </c>
      <c r="D7961" s="2" t="inlineStr">
        <is>
          <t>395400</t>
        </is>
      </c>
      <c r="E7961" s="3" t="inlineStr">
        <is>
          <t>대규모기업집단현황공시[연1회공시및1/4분기용(개별회사)]</t>
        </is>
      </c>
      <c r="F7961" s="3" t="inlineStr">
        <is>
          <t>SK리츠</t>
        </is>
      </c>
      <c r="G7961" s="2" t="inlineStr">
        <is>
          <t>20260529001020</t>
        </is>
      </c>
      <c r="H7961" s="8">
        <f>HYPERLINK("https://dart.fss.or.kr/dsaf001/main.do?rcpNo=20260529001020", "공시열람")</f>
        <v/>
      </c>
    </row>
    <row r="7962">
      <c r="A7962" s="2" t="inlineStr">
        <is>
          <t>2026-05-29</t>
        </is>
      </c>
      <c r="B7962" s="3" t="inlineStr">
        <is>
          <t>대성미생물</t>
        </is>
      </c>
      <c r="C7962" s="2" t="inlineStr">
        <is>
          <t>코스닥</t>
        </is>
      </c>
      <c r="D7962" s="2" t="inlineStr">
        <is>
          <t>036480</t>
        </is>
      </c>
      <c r="E7962" s="3" t="inlineStr">
        <is>
          <t>임원ㆍ주요주주특정증권등소유상황보고서</t>
        </is>
      </c>
      <c r="F7962" s="3" t="inlineStr">
        <is>
          <t>인실리코</t>
        </is>
      </c>
      <c r="G7962" s="2" t="inlineStr">
        <is>
          <t>20260529001008</t>
        </is>
      </c>
      <c r="H7962" s="8">
        <f>HYPERLINK("https://dart.fss.or.kr/dsaf001/main.do?rcpNo=20260529001008", "공시열람")</f>
        <v/>
      </c>
    </row>
    <row r="7963">
      <c r="A7963" s="2" t="inlineStr">
        <is>
          <t>2026-05-29</t>
        </is>
      </c>
      <c r="B7963" s="3" t="inlineStr">
        <is>
          <t>한전KPS</t>
        </is>
      </c>
      <c r="C7963" s="2" t="inlineStr">
        <is>
          <t>코스피</t>
        </is>
      </c>
      <c r="D7963" s="2" t="inlineStr">
        <is>
          <t>051600</t>
        </is>
      </c>
      <c r="E7963" s="3" t="inlineStr">
        <is>
          <t xml:space="preserve">기업지배구조보고서공시              </t>
        </is>
      </c>
      <c r="F7963" s="3" t="inlineStr">
        <is>
          <t>한전KPS</t>
        </is>
      </c>
      <c r="G7963" s="2" t="inlineStr">
        <is>
          <t>20260529800907</t>
        </is>
      </c>
      <c r="H7963" s="8">
        <f>HYPERLINK("https://dart.fss.or.kr/dsaf001/main.do?rcpNo=20260529800907", "공시열람")</f>
        <v/>
      </c>
    </row>
    <row r="7964">
      <c r="A7964" s="2" t="inlineStr">
        <is>
          <t>2026-05-29</t>
        </is>
      </c>
      <c r="B7964" s="3" t="inlineStr">
        <is>
          <t>SK스퀘어</t>
        </is>
      </c>
      <c r="C7964" s="2" t="inlineStr">
        <is>
          <t>코스피</t>
        </is>
      </c>
      <c r="D7964" s="2" t="inlineStr">
        <is>
          <t>402340</t>
        </is>
      </c>
      <c r="E7964" s="3" t="inlineStr">
        <is>
          <t>대규모기업집단현황공시[연1회공시및1/4분기용(개별회사)]</t>
        </is>
      </c>
      <c r="F7964" s="3" t="inlineStr">
        <is>
          <t>SK스퀘어</t>
        </is>
      </c>
      <c r="G7964" s="2" t="inlineStr">
        <is>
          <t>20260529001004</t>
        </is>
      </c>
      <c r="H7964" s="8">
        <f>HYPERLINK("https://dart.fss.or.kr/dsaf001/main.do?rcpNo=20260529001004", "공시열람")</f>
        <v/>
      </c>
    </row>
    <row r="7965">
      <c r="A7965" s="2" t="inlineStr">
        <is>
          <t>2026-05-29</t>
        </is>
      </c>
      <c r="B7965" s="3" t="inlineStr">
        <is>
          <t>디어유</t>
        </is>
      </c>
      <c r="C7965" s="2" t="inlineStr">
        <is>
          <t>코스닥</t>
        </is>
      </c>
      <c r="D7965" s="2" t="inlineStr">
        <is>
          <t>376300</t>
        </is>
      </c>
      <c r="E7965" s="3" t="inlineStr">
        <is>
          <t>대규모기업집단현황공시[연1회공시및1/4분기용(개별회사)]</t>
        </is>
      </c>
      <c r="F7965" s="3" t="inlineStr">
        <is>
          <t>디어유</t>
        </is>
      </c>
      <c r="G7965" s="2" t="inlineStr">
        <is>
          <t>20260529000998</t>
        </is>
      </c>
      <c r="H7965" s="8">
        <f>HYPERLINK("https://dart.fss.or.kr/dsaf001/main.do?rcpNo=20260529000998", "공시열람")</f>
        <v/>
      </c>
    </row>
    <row r="7966">
      <c r="A7966" s="2" t="inlineStr">
        <is>
          <t>2026-05-29</t>
        </is>
      </c>
      <c r="B7966" s="3" t="inlineStr">
        <is>
          <t>코웨이</t>
        </is>
      </c>
      <c r="C7966" s="2" t="inlineStr">
        <is>
          <t>코스피</t>
        </is>
      </c>
      <c r="D7966" s="2" t="inlineStr">
        <is>
          <t>021240</t>
        </is>
      </c>
      <c r="E7966" s="3" t="inlineStr">
        <is>
          <t>대규모기업집단현황공시[연1회공시및1/4분기용(개별회사)]</t>
        </is>
      </c>
      <c r="F7966" s="3" t="inlineStr">
        <is>
          <t>코웨이</t>
        </is>
      </c>
      <c r="G7966" s="2" t="inlineStr">
        <is>
          <t>20260529000993</t>
        </is>
      </c>
      <c r="H7966" s="8">
        <f>HYPERLINK("https://dart.fss.or.kr/dsaf001/main.do?rcpNo=20260529000993", "공시열람")</f>
        <v/>
      </c>
    </row>
    <row r="7967">
      <c r="A7967" s="2" t="inlineStr">
        <is>
          <t>2026-05-29</t>
        </is>
      </c>
      <c r="B7967" s="3" t="inlineStr">
        <is>
          <t>SK하이닉스</t>
        </is>
      </c>
      <c r="C7967" s="2" t="inlineStr">
        <is>
          <t>코스피</t>
        </is>
      </c>
      <c r="D7967" s="2" t="inlineStr">
        <is>
          <t>000660</t>
        </is>
      </c>
      <c r="E7967" s="3" t="inlineStr">
        <is>
          <t>대규모기업집단현황공시[연1회공시및1/4분기용(개별회사)]</t>
        </is>
      </c>
      <c r="F7967" s="3" t="inlineStr">
        <is>
          <t>SK하이닉스</t>
        </is>
      </c>
      <c r="G7967" s="2" t="inlineStr">
        <is>
          <t>20260529000991</t>
        </is>
      </c>
      <c r="H7967" s="8">
        <f>HYPERLINK("https://dart.fss.or.kr/dsaf001/main.do?rcpNo=20260529000991", "공시열람")</f>
        <v/>
      </c>
    </row>
    <row r="7968">
      <c r="A7968" s="2" t="inlineStr">
        <is>
          <t>2026-05-29</t>
        </is>
      </c>
      <c r="B7968" s="3" t="inlineStr">
        <is>
          <t>DB증권</t>
        </is>
      </c>
      <c r="C7968" s="2" t="inlineStr">
        <is>
          <t>코스피</t>
        </is>
      </c>
      <c r="D7968" s="2" t="inlineStr">
        <is>
          <t>016610</t>
        </is>
      </c>
      <c r="E7968" s="3" t="inlineStr">
        <is>
          <t>임원ㆍ주요주주특정증권등소유상황보고서</t>
        </is>
      </c>
      <c r="F7968" s="3" t="inlineStr">
        <is>
          <t>유승우</t>
        </is>
      </c>
      <c r="G7968" s="2" t="inlineStr">
        <is>
          <t>20260529000988</t>
        </is>
      </c>
      <c r="H7968" s="8">
        <f>HYPERLINK("https://dart.fss.or.kr/dsaf001/main.do?rcpNo=20260529000988", "공시열람")</f>
        <v/>
      </c>
    </row>
    <row r="7969">
      <c r="A7969" s="2" t="inlineStr">
        <is>
          <t>2026-05-29</t>
        </is>
      </c>
      <c r="B7969" s="3" t="inlineStr">
        <is>
          <t>원익홀딩스</t>
        </is>
      </c>
      <c r="C7969" s="2" t="inlineStr">
        <is>
          <t>코스닥</t>
        </is>
      </c>
      <c r="D7969" s="2" t="inlineStr">
        <is>
          <t>030530</t>
        </is>
      </c>
      <c r="E7969" s="3" t="inlineStr">
        <is>
          <t>대규모기업집단현황공시[연1회공시및1/4분기용(대표회사)]</t>
        </is>
      </c>
      <c r="F7969" s="3" t="inlineStr">
        <is>
          <t>원익홀딩스</t>
        </is>
      </c>
      <c r="G7969" s="2" t="inlineStr">
        <is>
          <t>20260529000984</t>
        </is>
      </c>
      <c r="H7969" s="8">
        <f>HYPERLINK("https://dart.fss.or.kr/dsaf001/main.do?rcpNo=20260529000984", "공시열람")</f>
        <v/>
      </c>
    </row>
    <row r="7970">
      <c r="A7970" s="2" t="inlineStr">
        <is>
          <t>2026-05-29</t>
        </is>
      </c>
      <c r="B7970" s="3" t="inlineStr">
        <is>
          <t>부광약품</t>
        </is>
      </c>
      <c r="C7970" s="2" t="inlineStr">
        <is>
          <t>코스피</t>
        </is>
      </c>
      <c r="D7970" s="2" t="inlineStr">
        <is>
          <t>003000</t>
        </is>
      </c>
      <c r="E7970" s="3" t="inlineStr">
        <is>
          <t>대규모기업집단현황공시[연1회공시및1/4분기용(개별회사)]</t>
        </is>
      </c>
      <c r="F7970" s="3" t="inlineStr">
        <is>
          <t>부광약품</t>
        </is>
      </c>
      <c r="G7970" s="2" t="inlineStr">
        <is>
          <t>20260529000982</t>
        </is>
      </c>
      <c r="H7970" s="8">
        <f>HYPERLINK("https://dart.fss.or.kr/dsaf001/main.do?rcpNo=20260529000982", "공시열람")</f>
        <v/>
      </c>
    </row>
    <row r="7971">
      <c r="A7971" s="2" t="inlineStr">
        <is>
          <t>2026-05-29 (정정: 2026-06-01)</t>
        </is>
      </c>
      <c r="B7971" s="3" t="inlineStr">
        <is>
          <t>LIG디펜스앤에어로스페이스</t>
        </is>
      </c>
      <c r="C7971" s="2" t="inlineStr">
        <is>
          <t>코스피</t>
        </is>
      </c>
      <c r="D7971" s="2" t="inlineStr">
        <is>
          <t>079550</t>
        </is>
      </c>
      <c r="E7971" s="3" t="inlineStr">
        <is>
          <t>대규모기업집단현황공시[연1회공시및1/4분기용(개별회사)] (정정: 20260601)</t>
        </is>
      </c>
      <c r="F7971" s="3" t="inlineStr">
        <is>
          <t>LIG디펜스앤에어로스페이스</t>
        </is>
      </c>
      <c r="G7971" s="2" t="inlineStr">
        <is>
          <t>20260601002028</t>
        </is>
      </c>
      <c r="H7971" s="8">
        <f>HYPERLINK("https://dart.fss.or.kr/dsaf001/main.do?rcpNo=20260601002028", "공시열람")</f>
        <v/>
      </c>
    </row>
    <row r="7972">
      <c r="A7972" s="2" t="inlineStr">
        <is>
          <t>2026-05-29</t>
        </is>
      </c>
      <c r="B7972" s="3" t="inlineStr">
        <is>
          <t>빙그레</t>
        </is>
      </c>
      <c r="C7972" s="2" t="inlineStr">
        <is>
          <t>코스피</t>
        </is>
      </c>
      <c r="D7972" s="2" t="inlineStr">
        <is>
          <t>005180</t>
        </is>
      </c>
      <c r="E7972" s="3" t="inlineStr">
        <is>
          <t xml:space="preserve">기업지배구조보고서공시              </t>
        </is>
      </c>
      <c r="F7972" s="3" t="inlineStr">
        <is>
          <t>빙그레</t>
        </is>
      </c>
      <c r="G7972" s="2" t="inlineStr">
        <is>
          <t>20260529800889</t>
        </is>
      </c>
      <c r="H7972" s="8">
        <f>HYPERLINK("https://dart.fss.or.kr/dsaf001/main.do?rcpNo=20260529800889", "공시열람")</f>
        <v/>
      </c>
    </row>
    <row r="7973">
      <c r="A7973" s="2" t="inlineStr">
        <is>
          <t>2026-05-29</t>
        </is>
      </c>
      <c r="B7973" s="3" t="inlineStr">
        <is>
          <t>디씨엠</t>
        </is>
      </c>
      <c r="C7973" s="2" t="inlineStr">
        <is>
          <t>코스피</t>
        </is>
      </c>
      <c r="D7973" s="2" t="inlineStr">
        <is>
          <t>024090</t>
        </is>
      </c>
      <c r="E7973" s="3" t="inlineStr">
        <is>
          <t xml:space="preserve">기업지배구조보고서공시              </t>
        </is>
      </c>
      <c r="F7973" s="3" t="inlineStr">
        <is>
          <t>디씨엠</t>
        </is>
      </c>
      <c r="G7973" s="2" t="inlineStr">
        <is>
          <t>20260529800891</t>
        </is>
      </c>
      <c r="H7973" s="8">
        <f>HYPERLINK("https://dart.fss.or.kr/dsaf001/main.do?rcpNo=20260529800891", "공시열람")</f>
        <v/>
      </c>
    </row>
    <row r="7974">
      <c r="A7974" s="2" t="inlineStr">
        <is>
          <t>2026-05-29</t>
        </is>
      </c>
      <c r="B7974" s="3" t="inlineStr">
        <is>
          <t>롯데지주</t>
        </is>
      </c>
      <c r="C7974" s="2" t="inlineStr">
        <is>
          <t>코스피</t>
        </is>
      </c>
      <c r="D7974" s="2" t="inlineStr">
        <is>
          <t>004990</t>
        </is>
      </c>
      <c r="E7974" s="3" t="inlineStr">
        <is>
          <t>대규모기업집단현황공시[연1회공시및1/4분기용(대표회사)]</t>
        </is>
      </c>
      <c r="F7974" s="3" t="inlineStr">
        <is>
          <t>롯데지주</t>
        </is>
      </c>
      <c r="G7974" s="2" t="inlineStr">
        <is>
          <t>20260529000967</t>
        </is>
      </c>
      <c r="H7974" s="8">
        <f>HYPERLINK("https://dart.fss.or.kr/dsaf001/main.do?rcpNo=20260529000967", "공시열람")</f>
        <v/>
      </c>
    </row>
    <row r="7975">
      <c r="A7975" s="2" t="inlineStr">
        <is>
          <t>2026-05-29</t>
        </is>
      </c>
      <c r="B7975" s="3" t="inlineStr">
        <is>
          <t>동국씨엠</t>
        </is>
      </c>
      <c r="C7975" s="2" t="inlineStr">
        <is>
          <t>코스피</t>
        </is>
      </c>
      <c r="D7975" s="2" t="inlineStr">
        <is>
          <t>460850</t>
        </is>
      </c>
      <c r="E7975" s="3" t="inlineStr">
        <is>
          <t xml:space="preserve">기업지배구조보고서공시              </t>
        </is>
      </c>
      <c r="F7975" s="3" t="inlineStr">
        <is>
          <t>동국씨엠</t>
        </is>
      </c>
      <c r="G7975" s="2" t="inlineStr">
        <is>
          <t>20260529800777</t>
        </is>
      </c>
      <c r="H7975" s="8">
        <f>HYPERLINK("https://dart.fss.or.kr/dsaf001/main.do?rcpNo=20260529800777", "공시열람")</f>
        <v/>
      </c>
    </row>
    <row r="7976">
      <c r="A7976" s="2" t="inlineStr">
        <is>
          <t>2026-05-29</t>
        </is>
      </c>
      <c r="B7976" s="3" t="inlineStr">
        <is>
          <t>LIG디펜스앤에어로스페이스</t>
        </is>
      </c>
      <c r="C7976" s="2" t="inlineStr">
        <is>
          <t>코스피</t>
        </is>
      </c>
      <c r="D7976" s="2" t="inlineStr">
        <is>
          <t>079550</t>
        </is>
      </c>
      <c r="E7976" s="3" t="inlineStr">
        <is>
          <t xml:space="preserve">기업지배구조보고서공시              </t>
        </is>
      </c>
      <c r="F7976" s="3" t="inlineStr">
        <is>
          <t>LIG디펜스앤에어로스페이스</t>
        </is>
      </c>
      <c r="G7976" s="2" t="inlineStr">
        <is>
          <t>20260529800834</t>
        </is>
      </c>
      <c r="H7976" s="8">
        <f>HYPERLINK("https://dart.fss.or.kr/dsaf001/main.do?rcpNo=20260529800834", "공시열람")</f>
        <v/>
      </c>
    </row>
    <row r="7977">
      <c r="A7977" s="2" t="inlineStr">
        <is>
          <t>2026-05-29</t>
        </is>
      </c>
      <c r="B7977" s="3" t="inlineStr">
        <is>
          <t>일진전기</t>
        </is>
      </c>
      <c r="C7977" s="2" t="inlineStr">
        <is>
          <t>코스피</t>
        </is>
      </c>
      <c r="D7977" s="2" t="inlineStr">
        <is>
          <t>103590</t>
        </is>
      </c>
      <c r="E7977" s="3" t="inlineStr">
        <is>
          <t xml:space="preserve">기업지배구조보고서공시              </t>
        </is>
      </c>
      <c r="F7977" s="3" t="inlineStr">
        <is>
          <t>일진전기</t>
        </is>
      </c>
      <c r="G7977" s="2" t="inlineStr">
        <is>
          <t>20260529800875</t>
        </is>
      </c>
      <c r="H7977" s="8">
        <f>HYPERLINK("https://dart.fss.or.kr/dsaf001/main.do?rcpNo=20260529800875", "공시열람")</f>
        <v/>
      </c>
    </row>
    <row r="7978">
      <c r="A7978" s="2" t="inlineStr">
        <is>
          <t>2026-05-29</t>
        </is>
      </c>
      <c r="B7978" s="3" t="inlineStr">
        <is>
          <t>교보증권</t>
        </is>
      </c>
      <c r="C7978" s="2" t="inlineStr">
        <is>
          <t>코스피</t>
        </is>
      </c>
      <c r="D7978" s="2" t="inlineStr">
        <is>
          <t>030610</t>
        </is>
      </c>
      <c r="E7978" s="3" t="inlineStr">
        <is>
          <t>투자설명서(일괄신고)</t>
        </is>
      </c>
      <c r="F7978" s="3" t="inlineStr">
        <is>
          <t>교보증권</t>
        </is>
      </c>
      <c r="G7978" s="2" t="inlineStr">
        <is>
          <t>20260529000956</t>
        </is>
      </c>
      <c r="H7978" s="8">
        <f>HYPERLINK("https://dart.fss.or.kr/dsaf001/main.do?rcpNo=20260529000956", "공시열람")</f>
        <v/>
      </c>
    </row>
    <row r="7979">
      <c r="A7979" s="2" t="inlineStr">
        <is>
          <t>2026-05-29</t>
        </is>
      </c>
      <c r="B7979" s="3" t="inlineStr">
        <is>
          <t>삼성증권</t>
        </is>
      </c>
      <c r="C7979" s="2" t="inlineStr">
        <is>
          <t>코스피</t>
        </is>
      </c>
      <c r="D7979" s="2" t="inlineStr">
        <is>
          <t>016360</t>
        </is>
      </c>
      <c r="E7979" s="3" t="inlineStr">
        <is>
          <t>투자설명서(일괄신고)</t>
        </is>
      </c>
      <c r="F7979" s="3" t="inlineStr">
        <is>
          <t>삼성증권</t>
        </is>
      </c>
      <c r="G7979" s="2" t="inlineStr">
        <is>
          <t>20260529000955</t>
        </is>
      </c>
      <c r="H7979" s="8">
        <f>HYPERLINK("https://dart.fss.or.kr/dsaf001/main.do?rcpNo=20260529000955", "공시열람")</f>
        <v/>
      </c>
    </row>
    <row r="7980">
      <c r="A7980" s="2" t="inlineStr">
        <is>
          <t>2026-05-29</t>
        </is>
      </c>
      <c r="B7980" s="3" t="inlineStr">
        <is>
          <t>KT나스미디어</t>
        </is>
      </c>
      <c r="C7980" s="2" t="inlineStr">
        <is>
          <t>코스닥</t>
        </is>
      </c>
      <c r="D7980" s="2" t="inlineStr">
        <is>
          <t>089600</t>
        </is>
      </c>
      <c r="E7980" s="3" t="inlineStr">
        <is>
          <t>대규모기업집단현황공시[연1회공시및1/4분기용(개별회사)]</t>
        </is>
      </c>
      <c r="F7980" s="3" t="inlineStr">
        <is>
          <t>KT나스미디어</t>
        </is>
      </c>
      <c r="G7980" s="2" t="inlineStr">
        <is>
          <t>20260529000952</t>
        </is>
      </c>
      <c r="H7980" s="8">
        <f>HYPERLINK("https://dart.fss.or.kr/dsaf001/main.do?rcpNo=20260529000952", "공시열람")</f>
        <v/>
      </c>
    </row>
    <row r="7981">
      <c r="A7981" s="2" t="inlineStr">
        <is>
          <t>2026-05-29</t>
        </is>
      </c>
      <c r="B7981" s="3" t="inlineStr">
        <is>
          <t>DB증권</t>
        </is>
      </c>
      <c r="C7981" s="2" t="inlineStr">
        <is>
          <t>코스피</t>
        </is>
      </c>
      <c r="D7981" s="2" t="inlineStr">
        <is>
          <t>016610</t>
        </is>
      </c>
      <c r="E7981" s="3" t="inlineStr">
        <is>
          <t>임원ㆍ주요주주특정증권등소유상황보고서</t>
        </is>
      </c>
      <c r="F7981" s="3" t="inlineStr">
        <is>
          <t>류용동</t>
        </is>
      </c>
      <c r="G7981" s="2" t="inlineStr">
        <is>
          <t>20260529000951</t>
        </is>
      </c>
      <c r="H7981" s="8">
        <f>HYPERLINK("https://dart.fss.or.kr/dsaf001/main.do?rcpNo=20260529000951", "공시열람")</f>
        <v/>
      </c>
    </row>
    <row r="7982">
      <c r="A7982" s="2" t="inlineStr">
        <is>
          <t>2026-05-29</t>
        </is>
      </c>
      <c r="B7982" s="3" t="inlineStr">
        <is>
          <t>케이엔더블유</t>
        </is>
      </c>
      <c r="C7982" s="2" t="inlineStr">
        <is>
          <t>코스닥</t>
        </is>
      </c>
      <c r="D7982" s="2" t="inlineStr">
        <is>
          <t>105330</t>
        </is>
      </c>
      <c r="E7982" s="3" t="inlineStr">
        <is>
          <t>대규모기업집단현황공시[연1회공시및1/4분기용(개별회사)]</t>
        </is>
      </c>
      <c r="F7982" s="3" t="inlineStr">
        <is>
          <t>케이엔더블유</t>
        </is>
      </c>
      <c r="G7982" s="2" t="inlineStr">
        <is>
          <t>20260529000949</t>
        </is>
      </c>
      <c r="H7982" s="8">
        <f>HYPERLINK("https://dart.fss.or.kr/dsaf001/main.do?rcpNo=20260529000949", "공시열람")</f>
        <v/>
      </c>
    </row>
    <row r="7983">
      <c r="A7983" s="2" t="inlineStr">
        <is>
          <t>2026-05-29</t>
        </is>
      </c>
      <c r="B7983" s="3" t="inlineStr">
        <is>
          <t>디지털대성</t>
        </is>
      </c>
      <c r="C7983" s="2" t="inlineStr">
        <is>
          <t>코스닥</t>
        </is>
      </c>
      <c r="D7983" s="2" t="inlineStr">
        <is>
          <t>068930</t>
        </is>
      </c>
      <c r="E7983" s="3" t="inlineStr">
        <is>
          <t>주요사항보고서(자기주식처분결정)</t>
        </is>
      </c>
      <c r="F7983" s="3" t="inlineStr">
        <is>
          <t>디지털대성</t>
        </is>
      </c>
      <c r="G7983" s="2" t="inlineStr">
        <is>
          <t>20260529000892</t>
        </is>
      </c>
      <c r="H7983" s="8">
        <f>HYPERLINK("https://dart.fss.or.kr/dsaf001/main.do?rcpNo=20260529000892", "공시열람")</f>
        <v/>
      </c>
    </row>
    <row r="7984">
      <c r="A7984" s="2" t="inlineStr">
        <is>
          <t>2026-05-29</t>
        </is>
      </c>
      <c r="B7984" s="3" t="inlineStr">
        <is>
          <t>삼화네트웍스</t>
        </is>
      </c>
      <c r="C7984" s="2" t="inlineStr">
        <is>
          <t>코스닥</t>
        </is>
      </c>
      <c r="D7984" s="2" t="inlineStr">
        <is>
          <t>046390</t>
        </is>
      </c>
      <c r="E7984" s="3" t="inlineStr">
        <is>
          <t>[기재정정]주식매수선택권부여에관한신고</t>
        </is>
      </c>
      <c r="F7984" s="3" t="inlineStr">
        <is>
          <t>삼화네트웍스</t>
        </is>
      </c>
      <c r="G7984" s="2" t="inlineStr">
        <is>
          <t>20260529000944</t>
        </is>
      </c>
      <c r="H7984" s="8">
        <f>HYPERLINK("https://dart.fss.or.kr/dsaf001/main.do?rcpNo=20260529000944", "공시열람")</f>
        <v/>
      </c>
    </row>
    <row r="7985">
      <c r="A7985" s="2" t="inlineStr">
        <is>
          <t>2026-05-29</t>
        </is>
      </c>
      <c r="B7985" s="3" t="inlineStr">
        <is>
          <t>디지털대성</t>
        </is>
      </c>
      <c r="C7985" s="2" t="inlineStr">
        <is>
          <t>코스닥</t>
        </is>
      </c>
      <c r="D7985" s="2" t="inlineStr">
        <is>
          <t>068930</t>
        </is>
      </c>
      <c r="E7985" s="3" t="inlineStr">
        <is>
          <t xml:space="preserve">타법인주식및출자증권취득결정              </t>
        </is>
      </c>
      <c r="F7985" s="3" t="inlineStr">
        <is>
          <t>디지털대성</t>
        </is>
      </c>
      <c r="G7985" s="2" t="inlineStr">
        <is>
          <t>20260529900832</t>
        </is>
      </c>
      <c r="H7985" s="8">
        <f>HYPERLINK("https://dart.fss.or.kr/dsaf001/main.do?rcpNo=20260529900832", "공시열람")</f>
        <v/>
      </c>
    </row>
    <row r="7986">
      <c r="A7986" s="2" t="inlineStr">
        <is>
          <t>2026-05-29</t>
        </is>
      </c>
      <c r="B7986" s="3" t="inlineStr">
        <is>
          <t>대한제당</t>
        </is>
      </c>
      <c r="C7986" s="2" t="inlineStr">
        <is>
          <t>코스피</t>
        </is>
      </c>
      <c r="D7986" s="2" t="inlineStr">
        <is>
          <t>001790</t>
        </is>
      </c>
      <c r="E7986" s="3" t="inlineStr">
        <is>
          <t xml:space="preserve">기업지배구조보고서공시              </t>
        </is>
      </c>
      <c r="F7986" s="3" t="inlineStr">
        <is>
          <t>대한제당</t>
        </is>
      </c>
      <c r="G7986" s="2" t="inlineStr">
        <is>
          <t>20260529800854</t>
        </is>
      </c>
      <c r="H7986" s="8">
        <f>HYPERLINK("https://dart.fss.or.kr/dsaf001/main.do?rcpNo=20260529800854", "공시열람")</f>
        <v/>
      </c>
    </row>
    <row r="7987">
      <c r="A7987" s="2" t="inlineStr">
        <is>
          <t>2026-05-29</t>
        </is>
      </c>
      <c r="B7987" s="3" t="inlineStr">
        <is>
          <t>한국단자공업</t>
        </is>
      </c>
      <c r="C7987" s="2" t="inlineStr">
        <is>
          <t>코스피</t>
        </is>
      </c>
      <c r="D7987" s="2" t="inlineStr">
        <is>
          <t>025540</t>
        </is>
      </c>
      <c r="E7987" s="3" t="inlineStr">
        <is>
          <t xml:space="preserve">기업지배구조보고서공시              </t>
        </is>
      </c>
      <c r="F7987" s="3" t="inlineStr">
        <is>
          <t>한국단자공업</t>
        </is>
      </c>
      <c r="G7987" s="2" t="inlineStr">
        <is>
          <t>20260529800857</t>
        </is>
      </c>
      <c r="H7987" s="8">
        <f>HYPERLINK("https://dart.fss.or.kr/dsaf001/main.do?rcpNo=20260529800857", "공시열람")</f>
        <v/>
      </c>
    </row>
    <row r="7988">
      <c r="A7988" s="2" t="inlineStr">
        <is>
          <t>2026-05-29</t>
        </is>
      </c>
      <c r="B7988" s="3" t="inlineStr">
        <is>
          <t>조선내화</t>
        </is>
      </c>
      <c r="C7988" s="2" t="inlineStr">
        <is>
          <t>코스피</t>
        </is>
      </c>
      <c r="D7988" s="2" t="inlineStr">
        <is>
          <t>462520</t>
        </is>
      </c>
      <c r="E7988" s="3" t="inlineStr">
        <is>
          <t xml:space="preserve">기업지배구조보고서공시              </t>
        </is>
      </c>
      <c r="F7988" s="3" t="inlineStr">
        <is>
          <t>조선내화</t>
        </is>
      </c>
      <c r="G7988" s="2" t="inlineStr">
        <is>
          <t>20260529800860</t>
        </is>
      </c>
      <c r="H7988" s="8">
        <f>HYPERLINK("https://dart.fss.or.kr/dsaf001/main.do?rcpNo=20260529800860", "공시열람")</f>
        <v/>
      </c>
    </row>
    <row r="7989">
      <c r="A7989" s="2" t="inlineStr">
        <is>
          <t>2026-05-29</t>
        </is>
      </c>
      <c r="B7989" s="3" t="inlineStr">
        <is>
          <t>삼성증권</t>
        </is>
      </c>
      <c r="C7989" s="2" t="inlineStr">
        <is>
          <t>코스피</t>
        </is>
      </c>
      <c r="D7989" s="2" t="inlineStr">
        <is>
          <t>016360</t>
        </is>
      </c>
      <c r="E7989" s="3" t="inlineStr">
        <is>
          <t>일괄신고추가서류(파생결합사채-주가연계파생결합사채)</t>
        </is>
      </c>
      <c r="F7989" s="3" t="inlineStr">
        <is>
          <t>삼성증권</t>
        </is>
      </c>
      <c r="G7989" s="2" t="inlineStr">
        <is>
          <t>20260529000913</t>
        </is>
      </c>
      <c r="H7989" s="8">
        <f>HYPERLINK("https://dart.fss.or.kr/dsaf001/main.do?rcpNo=20260529000913", "공시열람")</f>
        <v/>
      </c>
    </row>
    <row r="7990">
      <c r="A7990" s="2" t="inlineStr">
        <is>
          <t>2026-05-29 (정정: 2026-05-29)</t>
        </is>
      </c>
      <c r="B7990" s="3" t="inlineStr">
        <is>
          <t>광명전기</t>
        </is>
      </c>
      <c r="C7990" s="2" t="inlineStr">
        <is>
          <t>코스피</t>
        </is>
      </c>
      <c r="D7990" s="2" t="inlineStr">
        <is>
          <t>017040</t>
        </is>
      </c>
      <c r="E7990" s="3" t="inlineStr">
        <is>
          <t>기업지배구조보고서공시               (정정: 20260529)</t>
        </is>
      </c>
      <c r="F7990" s="3" t="inlineStr">
        <is>
          <t>광명전기</t>
        </is>
      </c>
      <c r="G7990" s="2" t="inlineStr">
        <is>
          <t>20260529800706</t>
        </is>
      </c>
      <c r="H7990" s="8">
        <f>HYPERLINK("https://dart.fss.or.kr/dsaf001/main.do?rcpNo=20260529800706", "공시열람")</f>
        <v/>
      </c>
    </row>
    <row r="7991">
      <c r="A7991" s="2" t="inlineStr">
        <is>
          <t>2026-05-29</t>
        </is>
      </c>
      <c r="B7991" s="3" t="inlineStr">
        <is>
          <t>케이옥션</t>
        </is>
      </c>
      <c r="C7991" s="2" t="inlineStr">
        <is>
          <t>코스닥</t>
        </is>
      </c>
      <c r="D7991" s="2" t="inlineStr">
        <is>
          <t>102370</t>
        </is>
      </c>
      <c r="E7991" s="3" t="inlineStr">
        <is>
          <t>임원ㆍ주요주주특정증권등거래계획보고서</t>
        </is>
      </c>
      <c r="F7991" s="3" t="inlineStr">
        <is>
          <t>티에이어드바이저</t>
        </is>
      </c>
      <c r="G7991" s="2" t="inlineStr">
        <is>
          <t>20260529000901</t>
        </is>
      </c>
      <c r="H7991" s="8">
        <f>HYPERLINK("https://dart.fss.or.kr/dsaf001/main.do?rcpNo=20260529000901", "공시열람")</f>
        <v/>
      </c>
    </row>
    <row r="7992">
      <c r="A7992" s="2" t="inlineStr">
        <is>
          <t>2026-05-29</t>
        </is>
      </c>
      <c r="B7992" s="3" t="inlineStr">
        <is>
          <t>하이트진로</t>
        </is>
      </c>
      <c r="C7992" s="2" t="inlineStr">
        <is>
          <t>코스피</t>
        </is>
      </c>
      <c r="D7992" s="2" t="inlineStr">
        <is>
          <t>000080</t>
        </is>
      </c>
      <c r="E7992" s="3" t="inlineStr">
        <is>
          <t>임원ㆍ주요주주특정증권등소유상황보고서</t>
        </is>
      </c>
      <c r="F7992" s="3" t="inlineStr">
        <is>
          <t>박연규</t>
        </is>
      </c>
      <c r="G7992" s="2" t="inlineStr">
        <is>
          <t>20260529000900</t>
        </is>
      </c>
      <c r="H7992" s="8">
        <f>HYPERLINK("https://dart.fss.or.kr/dsaf001/main.do?rcpNo=20260529000900", "공시열람")</f>
        <v/>
      </c>
    </row>
    <row r="7993">
      <c r="A7993" s="2" t="inlineStr">
        <is>
          <t>2026-05-29</t>
        </is>
      </c>
      <c r="B7993" s="3" t="inlineStr">
        <is>
          <t>인디에프</t>
        </is>
      </c>
      <c r="C7993" s="2" t="inlineStr">
        <is>
          <t>코스피</t>
        </is>
      </c>
      <c r="D7993" s="2" t="inlineStr">
        <is>
          <t>014990</t>
        </is>
      </c>
      <c r="E7993" s="3" t="inlineStr">
        <is>
          <t xml:space="preserve">기업지배구조보고서공시              </t>
        </is>
      </c>
      <c r="F7993" s="3" t="inlineStr">
        <is>
          <t>인디에프</t>
        </is>
      </c>
      <c r="G7993" s="2" t="inlineStr">
        <is>
          <t>20260529800846</t>
        </is>
      </c>
      <c r="H7993" s="8">
        <f>HYPERLINK("https://dart.fss.or.kr/dsaf001/main.do?rcpNo=20260529800846", "공시열람")</f>
        <v/>
      </c>
    </row>
    <row r="7994">
      <c r="A7994" s="2" t="inlineStr">
        <is>
          <t>2026-05-29</t>
        </is>
      </c>
      <c r="B7994" s="3" t="inlineStr">
        <is>
          <t>대호에이엘</t>
        </is>
      </c>
      <c r="C7994" s="2" t="inlineStr">
        <is>
          <t>코스피</t>
        </is>
      </c>
      <c r="D7994" s="2" t="inlineStr">
        <is>
          <t>069460</t>
        </is>
      </c>
      <c r="E7994" s="3" t="inlineStr">
        <is>
          <t>의결권대리행사권유참고서류</t>
        </is>
      </c>
      <c r="F7994" s="3" t="inlineStr">
        <is>
          <t>이영섭</t>
        </is>
      </c>
      <c r="G7994" s="2" t="inlineStr">
        <is>
          <t>20260529000898</t>
        </is>
      </c>
      <c r="H7994" s="8">
        <f>HYPERLINK("https://dart.fss.or.kr/dsaf001/main.do?rcpNo=20260529000898", "공시열람")</f>
        <v/>
      </c>
    </row>
    <row r="7995">
      <c r="A7995" s="2" t="inlineStr">
        <is>
          <t>2026-05-29</t>
        </is>
      </c>
      <c r="B7995" s="3" t="inlineStr">
        <is>
          <t>하이트진로</t>
        </is>
      </c>
      <c r="C7995" s="2" t="inlineStr">
        <is>
          <t>코스피</t>
        </is>
      </c>
      <c r="D7995" s="2" t="inlineStr">
        <is>
          <t>000080</t>
        </is>
      </c>
      <c r="E7995" s="3" t="inlineStr">
        <is>
          <t>임원ㆍ주요주주특정증권등소유상황보고서</t>
        </is>
      </c>
      <c r="F7995" s="3" t="inlineStr">
        <is>
          <t>신민철</t>
        </is>
      </c>
      <c r="G7995" s="2" t="inlineStr">
        <is>
          <t>20260529000890</t>
        </is>
      </c>
      <c r="H7995" s="8">
        <f>HYPERLINK("https://dart.fss.or.kr/dsaf001/main.do?rcpNo=20260529000890", "공시열람")</f>
        <v/>
      </c>
    </row>
    <row r="7996">
      <c r="A7996" s="2" t="inlineStr">
        <is>
          <t>2026-05-29</t>
        </is>
      </c>
      <c r="B7996" s="3" t="inlineStr">
        <is>
          <t>경방</t>
        </is>
      </c>
      <c r="C7996" s="2" t="inlineStr">
        <is>
          <t>코스피</t>
        </is>
      </c>
      <c r="D7996" s="2" t="inlineStr">
        <is>
          <t>000050</t>
        </is>
      </c>
      <c r="E7996" s="3" t="inlineStr">
        <is>
          <t xml:space="preserve">기업지배구조보고서공시              </t>
        </is>
      </c>
      <c r="F7996" s="3" t="inlineStr">
        <is>
          <t>경방</t>
        </is>
      </c>
      <c r="G7996" s="2" t="inlineStr">
        <is>
          <t>20260529800819</t>
        </is>
      </c>
      <c r="H7996" s="8">
        <f>HYPERLINK("https://dart.fss.or.kr/dsaf001/main.do?rcpNo=20260529800819", "공시열람")</f>
        <v/>
      </c>
    </row>
    <row r="7997">
      <c r="A7997" s="2" t="inlineStr">
        <is>
          <t>2026-05-29</t>
        </is>
      </c>
      <c r="B7997" s="3" t="inlineStr">
        <is>
          <t>조선선재</t>
        </is>
      </c>
      <c r="C7997" s="2" t="inlineStr">
        <is>
          <t>코스피</t>
        </is>
      </c>
      <c r="D7997" s="2" t="inlineStr">
        <is>
          <t>120030</t>
        </is>
      </c>
      <c r="E7997" s="3" t="inlineStr">
        <is>
          <t xml:space="preserve">기업지배구조보고서공시              </t>
        </is>
      </c>
      <c r="F7997" s="3" t="inlineStr">
        <is>
          <t>조선선재</t>
        </is>
      </c>
      <c r="G7997" s="2" t="inlineStr">
        <is>
          <t>20260529800822</t>
        </is>
      </c>
      <c r="H7997" s="8">
        <f>HYPERLINK("https://dart.fss.or.kr/dsaf001/main.do?rcpNo=20260529800822", "공시열람")</f>
        <v/>
      </c>
    </row>
    <row r="7998">
      <c r="A7998" s="2" t="inlineStr">
        <is>
          <t>2026-05-29</t>
        </is>
      </c>
      <c r="B7998" s="3" t="inlineStr">
        <is>
          <t>제테마</t>
        </is>
      </c>
      <c r="C7998" s="2" t="inlineStr">
        <is>
          <t>코스닥</t>
        </is>
      </c>
      <c r="D7998" s="2" t="inlineStr">
        <is>
          <t>216080</t>
        </is>
      </c>
      <c r="E7998" s="3" t="inlineStr">
        <is>
          <t>투자판단관련주요경영사항(임상시험결과)              (제테마더톡신주100단위(JTM201) 중국 임상 3상 1단계 결과 )</t>
        </is>
      </c>
      <c r="F7998" s="3" t="inlineStr">
        <is>
          <t>제테마</t>
        </is>
      </c>
      <c r="G7998" s="2" t="inlineStr">
        <is>
          <t>20260529900749</t>
        </is>
      </c>
      <c r="H7998" s="8">
        <f>HYPERLINK("https://dart.fss.or.kr/dsaf001/main.do?rcpNo=20260529900749", "공시열람")</f>
        <v/>
      </c>
    </row>
    <row r="7999">
      <c r="A7999" s="2" t="inlineStr">
        <is>
          <t>2026-05-29</t>
        </is>
      </c>
      <c r="B7999" s="3" t="inlineStr">
        <is>
          <t>우진비앤지</t>
        </is>
      </c>
      <c r="C7999" s="2" t="inlineStr">
        <is>
          <t>코스닥</t>
        </is>
      </c>
      <c r="D7999" s="2" t="inlineStr">
        <is>
          <t>018620</t>
        </is>
      </c>
      <c r="E7999" s="3" t="inlineStr">
        <is>
          <t xml:space="preserve">주주명부폐쇄기간또는기준일설정              </t>
        </is>
      </c>
      <c r="F7999" s="3" t="inlineStr">
        <is>
          <t>우진비앤지</t>
        </is>
      </c>
      <c r="G7999" s="2" t="inlineStr">
        <is>
          <t>20260529900823</t>
        </is>
      </c>
      <c r="H7999" s="8">
        <f>HYPERLINK("https://dart.fss.or.kr/dsaf001/main.do?rcpNo=20260529900823", "공시열람")</f>
        <v/>
      </c>
    </row>
    <row r="8000">
      <c r="A8000" s="2" t="inlineStr">
        <is>
          <t>2026-05-29</t>
        </is>
      </c>
      <c r="B8000" s="3" t="inlineStr">
        <is>
          <t>하이트진로</t>
        </is>
      </c>
      <c r="C8000" s="2" t="inlineStr">
        <is>
          <t>코스피</t>
        </is>
      </c>
      <c r="D8000" s="2" t="inlineStr">
        <is>
          <t>000080</t>
        </is>
      </c>
      <c r="E8000" s="3" t="inlineStr">
        <is>
          <t>대규모기업집단현황공시[연1회공시및1/4분기용(개별회사)]</t>
        </is>
      </c>
      <c r="F8000" s="3" t="inlineStr">
        <is>
          <t>하이트진로</t>
        </is>
      </c>
      <c r="G8000" s="2" t="inlineStr">
        <is>
          <t>20260529000868</t>
        </is>
      </c>
      <c r="H8000" s="8">
        <f>HYPERLINK("https://dart.fss.or.kr/dsaf001/main.do?rcpNo=20260529000868", "공시열람")</f>
        <v/>
      </c>
    </row>
    <row r="8001">
      <c r="A8001" s="2" t="inlineStr">
        <is>
          <t>2026-05-29 (정정: 2026-06-01)</t>
        </is>
      </c>
      <c r="B8001" s="3" t="inlineStr">
        <is>
          <t>사조산업</t>
        </is>
      </c>
      <c r="C8001" s="2" t="inlineStr">
        <is>
          <t>코스피</t>
        </is>
      </c>
      <c r="D8001" s="2" t="inlineStr">
        <is>
          <t>007160</t>
        </is>
      </c>
      <c r="E8001" s="3" t="inlineStr">
        <is>
          <t>대규모기업집단현황공시[연1회(동일인용)] (정정: 20260601)</t>
        </is>
      </c>
      <c r="F8001" s="3" t="inlineStr">
        <is>
          <t>사조산업</t>
        </is>
      </c>
      <c r="G8001" s="2" t="inlineStr">
        <is>
          <t>20260601001345</t>
        </is>
      </c>
      <c r="H8001" s="8">
        <f>HYPERLINK("https://dart.fss.or.kr/dsaf001/main.do?rcpNo=20260601001345", "공시열람")</f>
        <v/>
      </c>
    </row>
    <row r="8002">
      <c r="A8002" s="2" t="inlineStr">
        <is>
          <t>2026-05-29</t>
        </is>
      </c>
      <c r="B8002" s="3" t="inlineStr">
        <is>
          <t>CS홀딩스</t>
        </is>
      </c>
      <c r="C8002" s="2" t="inlineStr">
        <is>
          <t>코스피</t>
        </is>
      </c>
      <c r="D8002" s="2" t="inlineStr">
        <is>
          <t>000590</t>
        </is>
      </c>
      <c r="E8002" s="3" t="inlineStr">
        <is>
          <t xml:space="preserve">기업지배구조보고서공시              </t>
        </is>
      </c>
      <c r="F8002" s="3" t="inlineStr">
        <is>
          <t>CS홀딩스</t>
        </is>
      </c>
      <c r="G8002" s="2" t="inlineStr">
        <is>
          <t>20260529800586</t>
        </is>
      </c>
      <c r="H8002" s="8">
        <f>HYPERLINK("https://dart.fss.or.kr/dsaf001/main.do?rcpNo=20260529800586", "공시열람")</f>
        <v/>
      </c>
    </row>
    <row r="8003">
      <c r="A8003" s="2" t="inlineStr">
        <is>
          <t>2026-05-29</t>
        </is>
      </c>
      <c r="B8003" s="3" t="inlineStr">
        <is>
          <t>한국무브넥스</t>
        </is>
      </c>
      <c r="C8003" s="2" t="inlineStr">
        <is>
          <t>코스피</t>
        </is>
      </c>
      <c r="D8003" s="2" t="inlineStr">
        <is>
          <t>010100</t>
        </is>
      </c>
      <c r="E8003" s="3" t="inlineStr">
        <is>
          <t xml:space="preserve">기업지배구조보고서공시              </t>
        </is>
      </c>
      <c r="F8003" s="3" t="inlineStr">
        <is>
          <t>한국무브넥스</t>
        </is>
      </c>
      <c r="G8003" s="2" t="inlineStr">
        <is>
          <t>20260529800618</t>
        </is>
      </c>
      <c r="H8003" s="8">
        <f>HYPERLINK("https://dart.fss.or.kr/dsaf001/main.do?rcpNo=20260529800618", "공시열람")</f>
        <v/>
      </c>
    </row>
    <row r="8004">
      <c r="A8004" s="2" t="inlineStr">
        <is>
          <t>2026-05-29</t>
        </is>
      </c>
      <c r="B8004" s="3" t="inlineStr">
        <is>
          <t>대원화성</t>
        </is>
      </c>
      <c r="C8004" s="2" t="inlineStr">
        <is>
          <t>코스피</t>
        </is>
      </c>
      <c r="D8004" s="2" t="inlineStr">
        <is>
          <t>024890</t>
        </is>
      </c>
      <c r="E8004" s="3" t="inlineStr">
        <is>
          <t xml:space="preserve">단기차입금증가결정              </t>
        </is>
      </c>
      <c r="F8004" s="3" t="inlineStr">
        <is>
          <t>대원화성</t>
        </is>
      </c>
      <c r="G8004" s="2" t="inlineStr">
        <is>
          <t>20260529800820</t>
        </is>
      </c>
      <c r="H8004" s="8">
        <f>HYPERLINK("https://dart.fss.or.kr/dsaf001/main.do?rcpNo=20260529800820", "공시열람")</f>
        <v/>
      </c>
    </row>
    <row r="8005">
      <c r="A8005" s="2" t="inlineStr">
        <is>
          <t>2026-05-29</t>
        </is>
      </c>
      <c r="B8005" s="3" t="inlineStr">
        <is>
          <t>오뚜기</t>
        </is>
      </c>
      <c r="C8005" s="2" t="inlineStr">
        <is>
          <t>코스피</t>
        </is>
      </c>
      <c r="D8005" s="2" t="inlineStr">
        <is>
          <t>007310</t>
        </is>
      </c>
      <c r="E8005" s="3" t="inlineStr">
        <is>
          <t xml:space="preserve">기업지배구조보고서공시              </t>
        </is>
      </c>
      <c r="F8005" s="3" t="inlineStr">
        <is>
          <t>오뚜기</t>
        </is>
      </c>
      <c r="G8005" s="2" t="inlineStr">
        <is>
          <t>20260529800816</t>
        </is>
      </c>
      <c r="H8005" s="8">
        <f>HYPERLINK("https://dart.fss.or.kr/dsaf001/main.do?rcpNo=20260529800816", "공시열람")</f>
        <v/>
      </c>
    </row>
    <row r="8006">
      <c r="A8006" s="2" t="inlineStr">
        <is>
          <t>2026-05-29</t>
        </is>
      </c>
      <c r="B8006" s="3" t="inlineStr">
        <is>
          <t>위너스일렉</t>
        </is>
      </c>
      <c r="C8006" s="2" t="inlineStr">
        <is>
          <t>코스닥</t>
        </is>
      </c>
      <c r="D8006" s="2" t="inlineStr">
        <is>
          <t>479960</t>
        </is>
      </c>
      <c r="E8006" s="3" t="inlineStr">
        <is>
          <t>임원ㆍ주요주주특정증권등소유상황보고서</t>
        </is>
      </c>
      <c r="F8006" s="3" t="inlineStr">
        <is>
          <t>김종여</t>
        </is>
      </c>
      <c r="G8006" s="2" t="inlineStr">
        <is>
          <t>20260529000859</t>
        </is>
      </c>
      <c r="H8006" s="8">
        <f>HYPERLINK("https://dart.fss.or.kr/dsaf001/main.do?rcpNo=20260529000859", "공시열람")</f>
        <v/>
      </c>
    </row>
    <row r="8007">
      <c r="A8007" s="2" t="inlineStr">
        <is>
          <t>2026-05-29</t>
        </is>
      </c>
      <c r="B8007" s="3" t="inlineStr">
        <is>
          <t>HLB</t>
        </is>
      </c>
      <c r="C8007" s="2" t="inlineStr">
        <is>
          <t>코스닥</t>
        </is>
      </c>
      <c r="D8007" s="2" t="inlineStr">
        <is>
          <t>028300</t>
        </is>
      </c>
      <c r="E8007" s="3" t="inlineStr">
        <is>
          <t xml:space="preserve">기업설명회(IR)개최              </t>
        </is>
      </c>
      <c r="F8007" s="3" t="inlineStr">
        <is>
          <t>HLB</t>
        </is>
      </c>
      <c r="G8007" s="2" t="inlineStr">
        <is>
          <t>20260529900809</t>
        </is>
      </c>
      <c r="H8007" s="8">
        <f>HYPERLINK("https://dart.fss.or.kr/dsaf001/main.do?rcpNo=20260529900809", "공시열람")</f>
        <v/>
      </c>
    </row>
    <row r="8008">
      <c r="A8008" s="2" t="inlineStr">
        <is>
          <t>2026-05-29</t>
        </is>
      </c>
      <c r="B8008" s="3" t="inlineStr">
        <is>
          <t>두산</t>
        </is>
      </c>
      <c r="C8008" s="2" t="inlineStr">
        <is>
          <t>코스피</t>
        </is>
      </c>
      <c r="D8008" s="2" t="inlineStr">
        <is>
          <t>000150</t>
        </is>
      </c>
      <c r="E8008" s="3" t="inlineStr">
        <is>
          <t>대규모기업집단현황공시[연1회공시및1/4분기용(대표회사)]</t>
        </is>
      </c>
      <c r="F8008" s="3" t="inlineStr">
        <is>
          <t>두산</t>
        </is>
      </c>
      <c r="G8008" s="2" t="inlineStr">
        <is>
          <t>20260529000845</t>
        </is>
      </c>
      <c r="H8008" s="8">
        <f>HYPERLINK("https://dart.fss.or.kr/dsaf001/main.do?rcpNo=20260529000845", "공시열람")</f>
        <v/>
      </c>
    </row>
    <row r="8009">
      <c r="A8009" s="2" t="inlineStr">
        <is>
          <t>2026-05-29</t>
        </is>
      </c>
      <c r="B8009" s="3" t="inlineStr">
        <is>
          <t>SK텔레콤</t>
        </is>
      </c>
      <c r="C8009" s="2" t="inlineStr">
        <is>
          <t>코스피</t>
        </is>
      </c>
      <c r="D8009" s="2" t="inlineStr">
        <is>
          <t>017670</t>
        </is>
      </c>
      <c r="E8009" s="3" t="inlineStr">
        <is>
          <t>대규모기업집단현황공시[연1회공시및1/4분기용(개별회사)]</t>
        </is>
      </c>
      <c r="F8009" s="3" t="inlineStr">
        <is>
          <t>SK텔레콤</t>
        </is>
      </c>
      <c r="G8009" s="2" t="inlineStr">
        <is>
          <t>20260529000844</t>
        </is>
      </c>
      <c r="H8009" s="8">
        <f>HYPERLINK("https://dart.fss.or.kr/dsaf001/main.do?rcpNo=20260529000844", "공시열람")</f>
        <v/>
      </c>
    </row>
    <row r="8010">
      <c r="A8010" s="2" t="inlineStr">
        <is>
          <t>2026-05-29</t>
        </is>
      </c>
      <c r="B8010" s="3" t="inlineStr">
        <is>
          <t>사조산업</t>
        </is>
      </c>
      <c r="C8010" s="2" t="inlineStr">
        <is>
          <t>코스피</t>
        </is>
      </c>
      <c r="D8010" s="2" t="inlineStr">
        <is>
          <t>007160</t>
        </is>
      </c>
      <c r="E8010" s="3" t="inlineStr">
        <is>
          <t>대규모기업집단현황공시[연1회공시및1/4분기용(대표회사)]</t>
        </is>
      </c>
      <c r="F8010" s="3" t="inlineStr">
        <is>
          <t>사조산업</t>
        </is>
      </c>
      <c r="G8010" s="2" t="inlineStr">
        <is>
          <t>20260529000839</t>
        </is>
      </c>
      <c r="H8010" s="8">
        <f>HYPERLINK("https://dart.fss.or.kr/dsaf001/main.do?rcpNo=20260529000839", "공시열람")</f>
        <v/>
      </c>
    </row>
    <row r="8011">
      <c r="A8011" s="2" t="inlineStr">
        <is>
          <t>2026-05-29</t>
        </is>
      </c>
      <c r="B8011" s="3" t="inlineStr">
        <is>
          <t>지니너스</t>
        </is>
      </c>
      <c r="C8011" s="2" t="inlineStr">
        <is>
          <t>코스닥</t>
        </is>
      </c>
      <c r="D8011" s="2" t="inlineStr">
        <is>
          <t>389030</t>
        </is>
      </c>
      <c r="E8011" s="3" t="inlineStr">
        <is>
          <t>임원ㆍ주요주주특정증권등소유상황보고서</t>
        </is>
      </c>
      <c r="F8011" s="3" t="inlineStr">
        <is>
          <t>박웅양</t>
        </is>
      </c>
      <c r="G8011" s="2" t="inlineStr">
        <is>
          <t>20260529000837</t>
        </is>
      </c>
      <c r="H8011" s="8">
        <f>HYPERLINK("https://dart.fss.or.kr/dsaf001/main.do?rcpNo=20260529000837", "공시열람")</f>
        <v/>
      </c>
    </row>
    <row r="8012">
      <c r="A8012" s="2" t="inlineStr">
        <is>
          <t>2026-05-29</t>
        </is>
      </c>
      <c r="B8012" s="3" t="inlineStr">
        <is>
          <t>대창</t>
        </is>
      </c>
      <c r="C8012" s="2" t="inlineStr">
        <is>
          <t>코스피</t>
        </is>
      </c>
      <c r="D8012" s="2" t="inlineStr">
        <is>
          <t>012800</t>
        </is>
      </c>
      <c r="E8012" s="3" t="inlineStr">
        <is>
          <t xml:space="preserve">기업지배구조보고서공시              </t>
        </is>
      </c>
      <c r="F8012" s="3" t="inlineStr">
        <is>
          <t>대창</t>
        </is>
      </c>
      <c r="G8012" s="2" t="inlineStr">
        <is>
          <t>20260529800770</t>
        </is>
      </c>
      <c r="H8012" s="8">
        <f>HYPERLINK("https://dart.fss.or.kr/dsaf001/main.do?rcpNo=20260529800770", "공시열람")</f>
        <v/>
      </c>
    </row>
    <row r="8013">
      <c r="A8013" s="2" t="inlineStr">
        <is>
          <t>2026-05-29</t>
        </is>
      </c>
      <c r="B8013" s="3" t="inlineStr">
        <is>
          <t>신흥</t>
        </is>
      </c>
      <c r="C8013" s="2" t="inlineStr">
        <is>
          <t>코스피</t>
        </is>
      </c>
      <c r="D8013" s="2" t="inlineStr">
        <is>
          <t>004080</t>
        </is>
      </c>
      <c r="E8013" s="3" t="inlineStr">
        <is>
          <t xml:space="preserve">기업지배구조보고서공시              </t>
        </is>
      </c>
      <c r="F8013" s="3" t="inlineStr">
        <is>
          <t>신흥</t>
        </is>
      </c>
      <c r="G8013" s="2" t="inlineStr">
        <is>
          <t>20260529800709</t>
        </is>
      </c>
      <c r="H8013" s="8">
        <f>HYPERLINK("https://dart.fss.or.kr/dsaf001/main.do?rcpNo=20260529800709", "공시열람")</f>
        <v/>
      </c>
    </row>
    <row r="8014">
      <c r="A8014" s="2" t="inlineStr">
        <is>
          <t>2026-05-29 (정정: 2026-06-12)</t>
        </is>
      </c>
      <c r="B8014" s="3" t="inlineStr">
        <is>
          <t>롯데렌탈</t>
        </is>
      </c>
      <c r="C8014" s="2" t="inlineStr">
        <is>
          <t>코스피</t>
        </is>
      </c>
      <c r="D8014" s="2" t="inlineStr">
        <is>
          <t>089860</t>
        </is>
      </c>
      <c r="E8014" s="3" t="inlineStr">
        <is>
          <t>기업지배구조보고서공시               (정정: 20260612)</t>
        </is>
      </c>
      <c r="F8014" s="3" t="inlineStr">
        <is>
          <t>롯데렌탈</t>
        </is>
      </c>
      <c r="G8014" s="2" t="inlineStr">
        <is>
          <t>20260612800664</t>
        </is>
      </c>
      <c r="H8014" s="8">
        <f>HYPERLINK("https://dart.fss.or.kr/dsaf001/main.do?rcpNo=20260612800664", "공시열람")</f>
        <v/>
      </c>
    </row>
    <row r="8015">
      <c r="A8015" s="2" t="inlineStr">
        <is>
          <t>2026-05-29</t>
        </is>
      </c>
      <c r="B8015" s="3" t="inlineStr">
        <is>
          <t>에이프로젠바이오로직스</t>
        </is>
      </c>
      <c r="C8015" s="2" t="inlineStr">
        <is>
          <t>코스피</t>
        </is>
      </c>
      <c r="D8015" s="2" t="inlineStr">
        <is>
          <t>003060</t>
        </is>
      </c>
      <c r="E8015" s="3" t="inlineStr">
        <is>
          <t xml:space="preserve">유상증자또는주식관련사채등의발행결과(자율공시)              </t>
        </is>
      </c>
      <c r="F8015" s="3" t="inlineStr">
        <is>
          <t>에이프로젠바이오로직스</t>
        </is>
      </c>
      <c r="G8015" s="2" t="inlineStr">
        <is>
          <t>20260529800784</t>
        </is>
      </c>
      <c r="H8015" s="8">
        <f>HYPERLINK("https://dart.fss.or.kr/dsaf001/main.do?rcpNo=20260529800784", "공시열람")</f>
        <v/>
      </c>
    </row>
    <row r="8016">
      <c r="A8016" s="2" t="inlineStr">
        <is>
          <t>2026-05-29</t>
        </is>
      </c>
      <c r="B8016" s="3" t="inlineStr">
        <is>
          <t>대교</t>
        </is>
      </c>
      <c r="C8016" s="2" t="inlineStr">
        <is>
          <t>코스피</t>
        </is>
      </c>
      <c r="D8016" s="2" t="inlineStr">
        <is>
          <t>019680</t>
        </is>
      </c>
      <c r="E8016" s="3" t="inlineStr">
        <is>
          <t xml:space="preserve">기업지배구조보고서공시              </t>
        </is>
      </c>
      <c r="F8016" s="3" t="inlineStr">
        <is>
          <t>대교</t>
        </is>
      </c>
      <c r="G8016" s="2" t="inlineStr">
        <is>
          <t>20260529800762</t>
        </is>
      </c>
      <c r="H8016" s="8">
        <f>HYPERLINK("https://dart.fss.or.kr/dsaf001/main.do?rcpNo=20260529800762", "공시열람")</f>
        <v/>
      </c>
    </row>
    <row r="8017">
      <c r="A8017" s="2" t="inlineStr">
        <is>
          <t>2026-05-29 (정정: 2026-06-12)</t>
        </is>
      </c>
      <c r="B8017" s="3" t="inlineStr">
        <is>
          <t>한솔제지</t>
        </is>
      </c>
      <c r="C8017" s="2" t="inlineStr">
        <is>
          <t>코스피</t>
        </is>
      </c>
      <c r="D8017" s="2" t="inlineStr">
        <is>
          <t>213500</t>
        </is>
      </c>
      <c r="E8017" s="3" t="inlineStr">
        <is>
          <t>기업지배구조보고서공시               (정정: 20260612)</t>
        </is>
      </c>
      <c r="F8017" s="3" t="inlineStr">
        <is>
          <t>한솔제지</t>
        </is>
      </c>
      <c r="G8017" s="2" t="inlineStr">
        <is>
          <t>20260612800863</t>
        </is>
      </c>
      <c r="H8017" s="8">
        <f>HYPERLINK("https://dart.fss.or.kr/dsaf001/main.do?rcpNo=20260612800863", "공시열람")</f>
        <v/>
      </c>
    </row>
    <row r="8018">
      <c r="A8018" s="2" t="inlineStr">
        <is>
          <t>2026-05-29</t>
        </is>
      </c>
      <c r="B8018" s="3" t="inlineStr">
        <is>
          <t>롯데정밀화학</t>
        </is>
      </c>
      <c r="C8018" s="2" t="inlineStr">
        <is>
          <t>코스피</t>
        </is>
      </c>
      <c r="D8018" s="2" t="inlineStr">
        <is>
          <t>004000</t>
        </is>
      </c>
      <c r="E8018" s="3" t="inlineStr">
        <is>
          <t xml:space="preserve">기업지배구조보고서공시              </t>
        </is>
      </c>
      <c r="F8018" s="3" t="inlineStr">
        <is>
          <t>롯데정밀화학</t>
        </is>
      </c>
      <c r="G8018" s="2" t="inlineStr">
        <is>
          <t>20260529800588</t>
        </is>
      </c>
      <c r="H8018" s="8">
        <f>HYPERLINK("https://dart.fss.or.kr/dsaf001/main.do?rcpNo=20260529800588", "공시열람")</f>
        <v/>
      </c>
    </row>
    <row r="8019">
      <c r="A8019" s="2" t="inlineStr">
        <is>
          <t>2026-05-29</t>
        </is>
      </c>
      <c r="B8019" s="3" t="inlineStr">
        <is>
          <t>키움증권</t>
        </is>
      </c>
      <c r="C8019" s="2" t="inlineStr">
        <is>
          <t>코스피</t>
        </is>
      </c>
      <c r="D8019" s="2" t="inlineStr">
        <is>
          <t>039490</t>
        </is>
      </c>
      <c r="E8019" s="3" t="inlineStr">
        <is>
          <t>일괄신고추가서류(파생결합사채-주가연계파생결합사채)</t>
        </is>
      </c>
      <c r="F8019" s="3" t="inlineStr">
        <is>
          <t>키움증권</t>
        </is>
      </c>
      <c r="G8019" s="2" t="inlineStr">
        <is>
          <t>20260529000811</t>
        </is>
      </c>
      <c r="H8019" s="8">
        <f>HYPERLINK("https://dart.fss.or.kr/dsaf001/main.do?rcpNo=20260529000811", "공시열람")</f>
        <v/>
      </c>
    </row>
    <row r="8020">
      <c r="A8020" s="2" t="inlineStr">
        <is>
          <t>2026-05-29</t>
        </is>
      </c>
      <c r="B8020" s="3" t="inlineStr">
        <is>
          <t>인지컨트롤스</t>
        </is>
      </c>
      <c r="C8020" s="2" t="inlineStr">
        <is>
          <t>코스피</t>
        </is>
      </c>
      <c r="D8020" s="2" t="inlineStr">
        <is>
          <t>023800</t>
        </is>
      </c>
      <c r="E8020" s="3" t="inlineStr">
        <is>
          <t xml:space="preserve">기업지배구조보고서공시              </t>
        </is>
      </c>
      <c r="F8020" s="3" t="inlineStr">
        <is>
          <t>인지컨트롤스</t>
        </is>
      </c>
      <c r="G8020" s="2" t="inlineStr">
        <is>
          <t>20260529800769</t>
        </is>
      </c>
      <c r="H8020" s="8">
        <f>HYPERLINK("https://dart.fss.or.kr/dsaf001/main.do?rcpNo=20260529800769", "공시열람")</f>
        <v/>
      </c>
    </row>
    <row r="8021">
      <c r="A8021" s="2" t="inlineStr">
        <is>
          <t>2026-05-29</t>
        </is>
      </c>
      <c r="B8021" s="3" t="inlineStr">
        <is>
          <t>KC코트렐</t>
        </is>
      </c>
      <c r="C8021" s="2" t="inlineStr">
        <is>
          <t>코스피</t>
        </is>
      </c>
      <c r="D8021" s="2" t="inlineStr">
        <is>
          <t>119650</t>
        </is>
      </c>
      <c r="E8021" s="3" t="inlineStr">
        <is>
          <t xml:space="preserve">기업지배구조보고서공시              </t>
        </is>
      </c>
      <c r="F8021" s="3" t="inlineStr">
        <is>
          <t>KC코트렐</t>
        </is>
      </c>
      <c r="G8021" s="2" t="inlineStr">
        <is>
          <t>20260529800720</t>
        </is>
      </c>
      <c r="H8021" s="8">
        <f>HYPERLINK("https://dart.fss.or.kr/dsaf001/main.do?rcpNo=20260529800720", "공시열람")</f>
        <v/>
      </c>
    </row>
    <row r="8022">
      <c r="A8022" s="2" t="inlineStr">
        <is>
          <t>2026-05-29</t>
        </is>
      </c>
      <c r="B8022" s="3" t="inlineStr">
        <is>
          <t>SM Life Design</t>
        </is>
      </c>
      <c r="C8022" s="2" t="inlineStr">
        <is>
          <t>코스닥</t>
        </is>
      </c>
      <c r="D8022" s="2" t="inlineStr">
        <is>
          <t>063440</t>
        </is>
      </c>
      <c r="E8022" s="3" t="inlineStr">
        <is>
          <t>임원ㆍ주요주주특정증권등소유상황보고서</t>
        </is>
      </c>
      <c r="F8022" s="3" t="inlineStr">
        <is>
          <t>남화민</t>
        </is>
      </c>
      <c r="G8022" s="2" t="inlineStr">
        <is>
          <t>20260529000788</t>
        </is>
      </c>
      <c r="H8022" s="8">
        <f>HYPERLINK("https://dart.fss.or.kr/dsaf001/main.do?rcpNo=20260529000788", "공시열람")</f>
        <v/>
      </c>
    </row>
    <row r="8023">
      <c r="A8023" s="2" t="inlineStr">
        <is>
          <t>2026-05-29</t>
        </is>
      </c>
      <c r="B8023" s="3" t="inlineStr">
        <is>
          <t>한솔로지스틱스</t>
        </is>
      </c>
      <c r="C8023" s="2" t="inlineStr">
        <is>
          <t>코스피</t>
        </is>
      </c>
      <c r="D8023" s="2" t="inlineStr">
        <is>
          <t>009180</t>
        </is>
      </c>
      <c r="E8023" s="3" t="inlineStr">
        <is>
          <t xml:space="preserve">기업지배구조보고서공시              </t>
        </is>
      </c>
      <c r="F8023" s="3" t="inlineStr">
        <is>
          <t>한솔로지스틱스</t>
        </is>
      </c>
      <c r="G8023" s="2" t="inlineStr">
        <is>
          <t>20260529800756</t>
        </is>
      </c>
      <c r="H8023" s="8">
        <f>HYPERLINK("https://dart.fss.or.kr/dsaf001/main.do?rcpNo=20260529800756", "공시열람")</f>
        <v/>
      </c>
    </row>
    <row r="8024">
      <c r="A8024" s="2" t="inlineStr">
        <is>
          <t>2026-05-29</t>
        </is>
      </c>
      <c r="B8024" s="3" t="inlineStr">
        <is>
          <t>코셈</t>
        </is>
      </c>
      <c r="C8024" s="2" t="inlineStr">
        <is>
          <t>코스닥</t>
        </is>
      </c>
      <c r="D8024" s="2" t="inlineStr">
        <is>
          <t>360350</t>
        </is>
      </c>
      <c r="E8024" s="3" t="inlineStr">
        <is>
          <t>신탁계약에의한취득상황보고서</t>
        </is>
      </c>
      <c r="F8024" s="3" t="inlineStr">
        <is>
          <t>코셈</t>
        </is>
      </c>
      <c r="G8024" s="2" t="inlineStr">
        <is>
          <t>20260529000779</t>
        </is>
      </c>
      <c r="H8024" s="8">
        <f>HYPERLINK("https://dart.fss.or.kr/dsaf001/main.do?rcpNo=20260529000779", "공시열람")</f>
        <v/>
      </c>
    </row>
    <row r="8025">
      <c r="A8025" s="2" t="inlineStr">
        <is>
          <t>2026-05-29</t>
        </is>
      </c>
      <c r="B8025" s="3" t="inlineStr">
        <is>
          <t>에코프로머티</t>
        </is>
      </c>
      <c r="C8025" s="2" t="inlineStr">
        <is>
          <t>코스피</t>
        </is>
      </c>
      <c r="D8025" s="2" t="inlineStr">
        <is>
          <t>450080</t>
        </is>
      </c>
      <c r="E8025" s="3" t="inlineStr">
        <is>
          <t xml:space="preserve">기업지배구조보고서공시              </t>
        </is>
      </c>
      <c r="F8025" s="3" t="inlineStr">
        <is>
          <t>에코프로머티</t>
        </is>
      </c>
      <c r="G8025" s="2" t="inlineStr">
        <is>
          <t>20260529800748</t>
        </is>
      </c>
      <c r="H8025" s="8">
        <f>HYPERLINK("https://dart.fss.or.kr/dsaf001/main.do?rcpNo=20260529800748", "공시열람")</f>
        <v/>
      </c>
    </row>
    <row r="8026">
      <c r="A8026" s="2" t="inlineStr">
        <is>
          <t>2026-05-29</t>
        </is>
      </c>
      <c r="B8026" s="3" t="inlineStr">
        <is>
          <t>DB증권</t>
        </is>
      </c>
      <c r="C8026" s="2" t="inlineStr">
        <is>
          <t>코스피</t>
        </is>
      </c>
      <c r="D8026" s="2" t="inlineStr">
        <is>
          <t>016610</t>
        </is>
      </c>
      <c r="E8026" s="3" t="inlineStr">
        <is>
          <t>투자설명서(일괄신고)</t>
        </is>
      </c>
      <c r="F8026" s="3" t="inlineStr">
        <is>
          <t>DB증권</t>
        </is>
      </c>
      <c r="G8026" s="2" t="inlineStr">
        <is>
          <t>20260529000776</t>
        </is>
      </c>
      <c r="H8026" s="8">
        <f>HYPERLINK("https://dart.fss.or.kr/dsaf001/main.do?rcpNo=20260529000776", "공시열람")</f>
        <v/>
      </c>
    </row>
    <row r="8027">
      <c r="A8027" s="2" t="inlineStr">
        <is>
          <t>2026-05-29</t>
        </is>
      </c>
      <c r="B8027" s="3" t="inlineStr">
        <is>
          <t>동국홀딩스</t>
        </is>
      </c>
      <c r="C8027" s="2" t="inlineStr">
        <is>
          <t>코스피</t>
        </is>
      </c>
      <c r="D8027" s="2" t="inlineStr">
        <is>
          <t>001230</t>
        </is>
      </c>
      <c r="E8027" s="3" t="inlineStr">
        <is>
          <t xml:space="preserve">기업지배구조보고서공시              </t>
        </is>
      </c>
      <c r="F8027" s="3" t="inlineStr">
        <is>
          <t>동국홀딩스</t>
        </is>
      </c>
      <c r="G8027" s="2" t="inlineStr">
        <is>
          <t>20260529800729</t>
        </is>
      </c>
      <c r="H8027" s="8">
        <f>HYPERLINK("https://dart.fss.or.kr/dsaf001/main.do?rcpNo=20260529800729", "공시열람")</f>
        <v/>
      </c>
    </row>
    <row r="8028">
      <c r="A8028" s="2" t="inlineStr">
        <is>
          <t>2026-05-29</t>
        </is>
      </c>
      <c r="B8028" s="3" t="inlineStr">
        <is>
          <t>한화엔진</t>
        </is>
      </c>
      <c r="C8028" s="2" t="inlineStr">
        <is>
          <t>코스피</t>
        </is>
      </c>
      <c r="D8028" s="2" t="inlineStr">
        <is>
          <t>082740</t>
        </is>
      </c>
      <c r="E8028" s="3" t="inlineStr">
        <is>
          <t>대규모기업집단현황공시[연1회공시및1/4분기용(개별회사)]</t>
        </is>
      </c>
      <c r="F8028" s="3" t="inlineStr">
        <is>
          <t>한화엔진</t>
        </is>
      </c>
      <c r="G8028" s="2" t="inlineStr">
        <is>
          <t>20260529000774</t>
        </is>
      </c>
      <c r="H8028" s="8">
        <f>HYPERLINK("https://dart.fss.or.kr/dsaf001/main.do?rcpNo=20260529000774", "공시열람")</f>
        <v/>
      </c>
    </row>
    <row r="8029">
      <c r="A8029" s="2" t="inlineStr">
        <is>
          <t>2026-05-29</t>
        </is>
      </c>
      <c r="B8029" s="3" t="inlineStr">
        <is>
          <t>지니너스</t>
        </is>
      </c>
      <c r="C8029" s="2" t="inlineStr">
        <is>
          <t>코스닥</t>
        </is>
      </c>
      <c r="D8029" s="2" t="inlineStr">
        <is>
          <t>389030</t>
        </is>
      </c>
      <c r="E8029" s="3" t="inlineStr">
        <is>
          <t>임원ㆍ주요주주특정증권등소유상황보고서</t>
        </is>
      </c>
      <c r="F8029" s="3" t="inlineStr">
        <is>
          <t>신성철</t>
        </is>
      </c>
      <c r="G8029" s="2" t="inlineStr">
        <is>
          <t>20260529000767</t>
        </is>
      </c>
      <c r="H8029" s="8">
        <f>HYPERLINK("https://dart.fss.or.kr/dsaf001/main.do?rcpNo=20260529000767", "공시열람")</f>
        <v/>
      </c>
    </row>
    <row r="8030">
      <c r="A8030" s="2" t="inlineStr">
        <is>
          <t>2026-05-29</t>
        </is>
      </c>
      <c r="B8030" s="3" t="inlineStr">
        <is>
          <t>BYC</t>
        </is>
      </c>
      <c r="C8030" s="2" t="inlineStr">
        <is>
          <t>코스피</t>
        </is>
      </c>
      <c r="D8030" s="2" t="inlineStr">
        <is>
          <t>001460</t>
        </is>
      </c>
      <c r="E8030" s="3" t="inlineStr">
        <is>
          <t xml:space="preserve">기업지배구조보고서공시              </t>
        </is>
      </c>
      <c r="F8030" s="3" t="inlineStr">
        <is>
          <t>BYC</t>
        </is>
      </c>
      <c r="G8030" s="2" t="inlineStr">
        <is>
          <t>20260529800465</t>
        </is>
      </c>
      <c r="H8030" s="8">
        <f>HYPERLINK("https://dart.fss.or.kr/dsaf001/main.do?rcpNo=20260529800465", "공시열람")</f>
        <v/>
      </c>
    </row>
    <row r="8031">
      <c r="A8031" s="2" t="inlineStr">
        <is>
          <t>2026-05-29</t>
        </is>
      </c>
      <c r="B8031" s="3" t="inlineStr">
        <is>
          <t>한세엠케이</t>
        </is>
      </c>
      <c r="C8031" s="2" t="inlineStr">
        <is>
          <t>코스피</t>
        </is>
      </c>
      <c r="D8031" s="2" t="inlineStr">
        <is>
          <t>069640</t>
        </is>
      </c>
      <c r="E8031" s="3" t="inlineStr">
        <is>
          <t xml:space="preserve">기업지배구조보고서공시              </t>
        </is>
      </c>
      <c r="F8031" s="3" t="inlineStr">
        <is>
          <t>한세엠케이</t>
        </is>
      </c>
      <c r="G8031" s="2" t="inlineStr">
        <is>
          <t>20260529800546</t>
        </is>
      </c>
      <c r="H8031" s="8">
        <f>HYPERLINK("https://dart.fss.or.kr/dsaf001/main.do?rcpNo=20260529800546", "공시열람")</f>
        <v/>
      </c>
    </row>
    <row r="8032">
      <c r="A8032" s="2" t="inlineStr">
        <is>
          <t>2026-05-29</t>
        </is>
      </c>
      <c r="B8032" s="3" t="inlineStr">
        <is>
          <t>지니너스</t>
        </is>
      </c>
      <c r="C8032" s="2" t="inlineStr">
        <is>
          <t>코스닥</t>
        </is>
      </c>
      <c r="D8032" s="2" t="inlineStr">
        <is>
          <t>389030</t>
        </is>
      </c>
      <c r="E8032" s="3" t="inlineStr">
        <is>
          <t>임원ㆍ주요주주특정증권등소유상황보고서</t>
        </is>
      </c>
      <c r="F8032" s="3" t="inlineStr">
        <is>
          <t>김관수</t>
        </is>
      </c>
      <c r="G8032" s="2" t="inlineStr">
        <is>
          <t>20260529000739</t>
        </is>
      </c>
      <c r="H8032" s="8">
        <f>HYPERLINK("https://dart.fss.or.kr/dsaf001/main.do?rcpNo=20260529000739", "공시열람")</f>
        <v/>
      </c>
    </row>
    <row r="8033">
      <c r="A8033" s="2" t="inlineStr">
        <is>
          <t>2026-05-29</t>
        </is>
      </c>
      <c r="B8033" s="3" t="inlineStr">
        <is>
          <t>에스테크엠</t>
        </is>
      </c>
      <c r="C8033" s="2" t="inlineStr">
        <is>
          <t>코넥스</t>
        </is>
      </c>
      <c r="D8033" s="2" t="inlineStr">
        <is>
          <t>0070X0</t>
        </is>
      </c>
      <c r="E8033" s="3" t="inlineStr">
        <is>
          <t xml:space="preserve">기업설명회(IR)개최              </t>
        </is>
      </c>
      <c r="F8033" s="3" t="inlineStr">
        <is>
          <t>에스테크엠</t>
        </is>
      </c>
      <c r="G8033" s="2" t="inlineStr">
        <is>
          <t>20260529600698</t>
        </is>
      </c>
      <c r="H8033" s="8">
        <f>HYPERLINK("https://dart.fss.or.kr/dsaf001/main.do?rcpNo=20260529600698", "공시열람")</f>
        <v/>
      </c>
    </row>
    <row r="8034">
      <c r="A8034" s="2" t="inlineStr">
        <is>
          <t>2026-05-29 (정정: 2026-06-01)</t>
        </is>
      </c>
      <c r="B8034" s="3" t="inlineStr">
        <is>
          <t>AK홀딩스</t>
        </is>
      </c>
      <c r="C8034" s="2" t="inlineStr">
        <is>
          <t>코스피</t>
        </is>
      </c>
      <c r="D8034" s="2" t="inlineStr">
        <is>
          <t>006840</t>
        </is>
      </c>
      <c r="E8034" s="3" t="inlineStr">
        <is>
          <t>기업지배구조보고서공시               (정정: 20260601)</t>
        </is>
      </c>
      <c r="F8034" s="3" t="inlineStr">
        <is>
          <t>AK홀딩스</t>
        </is>
      </c>
      <c r="G8034" s="2" t="inlineStr">
        <is>
          <t>20260601001391</t>
        </is>
      </c>
      <c r="H8034" s="8">
        <f>HYPERLINK("https://dart.fss.or.kr/dsaf001/main.do?rcpNo=20260601001391", "공시열람")</f>
        <v/>
      </c>
    </row>
    <row r="8035">
      <c r="A8035" s="2" t="inlineStr">
        <is>
          <t>2026-05-29</t>
        </is>
      </c>
      <c r="B8035" s="3" t="inlineStr">
        <is>
          <t>에이프로젠</t>
        </is>
      </c>
      <c r="C8035" s="2" t="inlineStr">
        <is>
          <t>코스피</t>
        </is>
      </c>
      <c r="D8035" s="2" t="inlineStr">
        <is>
          <t>007460</t>
        </is>
      </c>
      <c r="E8035" s="3" t="inlineStr">
        <is>
          <t xml:space="preserve">유상증자또는주식관련사채등의발행결과(자율공시)              </t>
        </is>
      </c>
      <c r="F8035" s="3" t="inlineStr">
        <is>
          <t>에이프로젠</t>
        </is>
      </c>
      <c r="G8035" s="2" t="inlineStr">
        <is>
          <t>20260529800695</t>
        </is>
      </c>
      <c r="H8035" s="8">
        <f>HYPERLINK("https://dart.fss.or.kr/dsaf001/main.do?rcpNo=20260529800695", "공시열람")</f>
        <v/>
      </c>
    </row>
    <row r="8036">
      <c r="A8036" s="2" t="inlineStr">
        <is>
          <t>2026-05-29</t>
        </is>
      </c>
      <c r="B8036" s="3" t="inlineStr">
        <is>
          <t>우정바이오</t>
        </is>
      </c>
      <c r="C8036" s="2" t="inlineStr">
        <is>
          <t>코스닥</t>
        </is>
      </c>
      <c r="D8036" s="2" t="inlineStr">
        <is>
          <t>215380</t>
        </is>
      </c>
      <c r="E8036" s="3" t="inlineStr">
        <is>
          <t xml:space="preserve">주주명부폐쇄기간또는기준일설정              </t>
        </is>
      </c>
      <c r="F8036" s="3" t="inlineStr">
        <is>
          <t>우정바이오</t>
        </is>
      </c>
      <c r="G8036" s="2" t="inlineStr">
        <is>
          <t>20260529900714</t>
        </is>
      </c>
      <c r="H8036" s="8">
        <f>HYPERLINK("https://dart.fss.or.kr/dsaf001/main.do?rcpNo=20260529900714", "공시열람")</f>
        <v/>
      </c>
    </row>
    <row r="8037">
      <c r="A8037" s="2" t="inlineStr">
        <is>
          <t>2026-05-29</t>
        </is>
      </c>
      <c r="B8037" s="3" t="inlineStr">
        <is>
          <t>두산</t>
        </is>
      </c>
      <c r="C8037" s="2" t="inlineStr">
        <is>
          <t>코스피</t>
        </is>
      </c>
      <c r="D8037" s="2" t="inlineStr">
        <is>
          <t>000150</t>
        </is>
      </c>
      <c r="E8037" s="3" t="inlineStr">
        <is>
          <t xml:space="preserve">기업지배구조보고서공시              </t>
        </is>
      </c>
      <c r="F8037" s="3" t="inlineStr">
        <is>
          <t>두산</t>
        </is>
      </c>
      <c r="G8037" s="2" t="inlineStr">
        <is>
          <t>20260529800691</t>
        </is>
      </c>
      <c r="H8037" s="8">
        <f>HYPERLINK("https://dart.fss.or.kr/dsaf001/main.do?rcpNo=20260529800691", "공시열람")</f>
        <v/>
      </c>
    </row>
    <row r="8038">
      <c r="A8038" s="2" t="inlineStr">
        <is>
          <t>2026-05-29 (정정: 2026-06-04)</t>
        </is>
      </c>
      <c r="B8038" s="3" t="inlineStr">
        <is>
          <t>SK가스</t>
        </is>
      </c>
      <c r="C8038" s="2" t="inlineStr">
        <is>
          <t>코스피</t>
        </is>
      </c>
      <c r="D8038" s="2" t="inlineStr">
        <is>
          <t>018670</t>
        </is>
      </c>
      <c r="E8038" s="3" t="inlineStr">
        <is>
          <t>대규모기업집단현황공시[연1회공시및1/4분기용(개별회사)] (정정: 20260604)</t>
        </is>
      </c>
      <c r="F8038" s="3" t="inlineStr">
        <is>
          <t>SK가스</t>
        </is>
      </c>
      <c r="G8038" s="2" t="inlineStr">
        <is>
          <t>20260604800676</t>
        </is>
      </c>
      <c r="H8038" s="8">
        <f>HYPERLINK("https://dart.fss.or.kr/dsaf001/main.do?rcpNo=20260604800676", "공시열람")</f>
        <v/>
      </c>
    </row>
    <row r="8039">
      <c r="A8039" s="2" t="inlineStr">
        <is>
          <t>2026-05-29</t>
        </is>
      </c>
      <c r="B8039" s="3" t="inlineStr">
        <is>
          <t>카카오페이</t>
        </is>
      </c>
      <c r="C8039" s="2" t="inlineStr">
        <is>
          <t>코스피</t>
        </is>
      </c>
      <c r="D8039" s="2" t="inlineStr">
        <is>
          <t>377300</t>
        </is>
      </c>
      <c r="E8039" s="3" t="inlineStr">
        <is>
          <t>대규모기업집단현황공시[연1회공시및1/4분기용(개별회사)]</t>
        </is>
      </c>
      <c r="F8039" s="3" t="inlineStr">
        <is>
          <t>카카오페이</t>
        </is>
      </c>
      <c r="G8039" s="2" t="inlineStr">
        <is>
          <t>20260529000725</t>
        </is>
      </c>
      <c r="H8039" s="8">
        <f>HYPERLINK("https://dart.fss.or.kr/dsaf001/main.do?rcpNo=20260529000725", "공시열람")</f>
        <v/>
      </c>
    </row>
    <row r="8040">
      <c r="A8040" s="2" t="inlineStr">
        <is>
          <t>2026-05-29</t>
        </is>
      </c>
      <c r="B8040" s="3" t="inlineStr">
        <is>
          <t>대신증권</t>
        </is>
      </c>
      <c r="C8040" s="2" t="inlineStr">
        <is>
          <t>코스피</t>
        </is>
      </c>
      <c r="D8040" s="2" t="inlineStr">
        <is>
          <t>003540</t>
        </is>
      </c>
      <c r="E8040" s="3" t="inlineStr">
        <is>
          <t>일괄신고추가서류(기타파생결합사채)</t>
        </is>
      </c>
      <c r="F8040" s="3" t="inlineStr">
        <is>
          <t>대신증권</t>
        </is>
      </c>
      <c r="G8040" s="2" t="inlineStr">
        <is>
          <t>20260529000723</t>
        </is>
      </c>
      <c r="H8040" s="8">
        <f>HYPERLINK("https://dart.fss.or.kr/dsaf001/main.do?rcpNo=20260529000723", "공시열람")</f>
        <v/>
      </c>
    </row>
    <row r="8041">
      <c r="A8041" s="2" t="inlineStr">
        <is>
          <t>2026-05-29</t>
        </is>
      </c>
      <c r="B8041" s="3" t="inlineStr">
        <is>
          <t>지니너스</t>
        </is>
      </c>
      <c r="C8041" s="2" t="inlineStr">
        <is>
          <t>코스닥</t>
        </is>
      </c>
      <c r="D8041" s="2" t="inlineStr">
        <is>
          <t>389030</t>
        </is>
      </c>
      <c r="E8041" s="3" t="inlineStr">
        <is>
          <t>임원ㆍ주요주주특정증권등소유상황보고서</t>
        </is>
      </c>
      <c r="F8041" s="3" t="inlineStr">
        <is>
          <t>노해성</t>
        </is>
      </c>
      <c r="G8041" s="2" t="inlineStr">
        <is>
          <t>20260529000721</t>
        </is>
      </c>
      <c r="H8041" s="8">
        <f>HYPERLINK("https://dart.fss.or.kr/dsaf001/main.do?rcpNo=20260529000721", "공시열람")</f>
        <v/>
      </c>
    </row>
    <row r="8042">
      <c r="A8042" s="2" t="inlineStr">
        <is>
          <t>2026-05-29</t>
        </is>
      </c>
      <c r="B8042" s="3" t="inlineStr">
        <is>
          <t>미래에셋증권</t>
        </is>
      </c>
      <c r="C8042" s="2" t="inlineStr">
        <is>
          <t>코스피</t>
        </is>
      </c>
      <c r="D8042" s="2" t="inlineStr">
        <is>
          <t>006800</t>
        </is>
      </c>
      <c r="E8042" s="3" t="inlineStr">
        <is>
          <t>증권발행실적보고서</t>
        </is>
      </c>
      <c r="F8042" s="3" t="inlineStr">
        <is>
          <t>미래에셋증권</t>
        </is>
      </c>
      <c r="G8042" s="2" t="inlineStr">
        <is>
          <t>20260529000720</t>
        </is>
      </c>
      <c r="H8042" s="8">
        <f>HYPERLINK("https://dart.fss.or.kr/dsaf001/main.do?rcpNo=20260529000720", "공시열람")</f>
        <v/>
      </c>
    </row>
    <row r="8043">
      <c r="A8043" s="2" t="inlineStr">
        <is>
          <t>2026-05-29</t>
        </is>
      </c>
      <c r="B8043" s="3" t="inlineStr">
        <is>
          <t>대신증권</t>
        </is>
      </c>
      <c r="C8043" s="2" t="inlineStr">
        <is>
          <t>코스피</t>
        </is>
      </c>
      <c r="D8043" s="2" t="inlineStr">
        <is>
          <t>003540</t>
        </is>
      </c>
      <c r="E8043" s="3" t="inlineStr">
        <is>
          <t>증권발행실적보고서</t>
        </is>
      </c>
      <c r="F8043" s="3" t="inlineStr">
        <is>
          <t>대신증권</t>
        </is>
      </c>
      <c r="G8043" s="2" t="inlineStr">
        <is>
          <t>20260529000708</t>
        </is>
      </c>
      <c r="H8043" s="8">
        <f>HYPERLINK("https://dart.fss.or.kr/dsaf001/main.do?rcpNo=20260529000708", "공시열람")</f>
        <v/>
      </c>
    </row>
    <row r="8044">
      <c r="A8044" s="2" t="inlineStr">
        <is>
          <t>2026-05-29</t>
        </is>
      </c>
      <c r="B8044" s="3" t="inlineStr">
        <is>
          <t>유진로봇</t>
        </is>
      </c>
      <c r="C8044" s="2" t="inlineStr">
        <is>
          <t>코스닥</t>
        </is>
      </c>
      <c r="D8044" s="2" t="inlineStr">
        <is>
          <t>056080</t>
        </is>
      </c>
      <c r="E8044" s="3" t="inlineStr">
        <is>
          <t xml:space="preserve">증권발행결과(자율공시)              </t>
        </is>
      </c>
      <c r="F8044" s="3" t="inlineStr">
        <is>
          <t>유진로봇</t>
        </is>
      </c>
      <c r="G8044" s="2" t="inlineStr">
        <is>
          <t>20260529900699</t>
        </is>
      </c>
      <c r="H8044" s="8">
        <f>HYPERLINK("https://dart.fss.or.kr/dsaf001/main.do?rcpNo=20260529900699", "공시열람")</f>
        <v/>
      </c>
    </row>
    <row r="8045">
      <c r="A8045" s="2" t="inlineStr">
        <is>
          <t>2026-05-29</t>
        </is>
      </c>
      <c r="B8045" s="3" t="inlineStr">
        <is>
          <t>교보증권</t>
        </is>
      </c>
      <c r="C8045" s="2" t="inlineStr">
        <is>
          <t>코스피</t>
        </is>
      </c>
      <c r="D8045" s="2" t="inlineStr">
        <is>
          <t>030610</t>
        </is>
      </c>
      <c r="E8045" s="3" t="inlineStr">
        <is>
          <t>일괄신고추가서류(파생결합사채-주가연계파생결합사채)</t>
        </is>
      </c>
      <c r="F8045" s="3" t="inlineStr">
        <is>
          <t>교보증권</t>
        </is>
      </c>
      <c r="G8045" s="2" t="inlineStr">
        <is>
          <t>20260529000701</t>
        </is>
      </c>
      <c r="H8045" s="8">
        <f>HYPERLINK("https://dart.fss.or.kr/dsaf001/main.do?rcpNo=20260529000701", "공시열람")</f>
        <v/>
      </c>
    </row>
    <row r="8046">
      <c r="A8046" s="2" t="inlineStr">
        <is>
          <t>2026-05-29</t>
        </is>
      </c>
      <c r="B8046" s="3" t="inlineStr">
        <is>
          <t>인크로스</t>
        </is>
      </c>
      <c r="C8046" s="2" t="inlineStr">
        <is>
          <t>코스닥</t>
        </is>
      </c>
      <c r="D8046" s="2" t="inlineStr">
        <is>
          <t>216050</t>
        </is>
      </c>
      <c r="E8046" s="3" t="inlineStr">
        <is>
          <t>대규모기업집단현황공시[연1회공시및1/4분기용(개별회사)]</t>
        </is>
      </c>
      <c r="F8046" s="3" t="inlineStr">
        <is>
          <t>인크로스</t>
        </is>
      </c>
      <c r="G8046" s="2" t="inlineStr">
        <is>
          <t>20260529000696</t>
        </is>
      </c>
      <c r="H8046" s="8">
        <f>HYPERLINK("https://dart.fss.or.kr/dsaf001/main.do?rcpNo=20260529000696", "공시열람")</f>
        <v/>
      </c>
    </row>
    <row r="8047">
      <c r="A8047" s="2" t="inlineStr">
        <is>
          <t>2026-05-29</t>
        </is>
      </c>
      <c r="B8047" s="3" t="inlineStr">
        <is>
          <t>에스케이바이오팜</t>
        </is>
      </c>
      <c r="C8047" s="2" t="inlineStr">
        <is>
          <t>코스피</t>
        </is>
      </c>
      <c r="D8047" s="2" t="inlineStr">
        <is>
          <t>326030</t>
        </is>
      </c>
      <c r="E8047" s="3" t="inlineStr">
        <is>
          <t>대규모기업집단현황공시[연1회공시및1/4분기용(개별회사)]</t>
        </is>
      </c>
      <c r="F8047" s="3" t="inlineStr">
        <is>
          <t>에스케이바이오팜</t>
        </is>
      </c>
      <c r="G8047" s="2" t="inlineStr">
        <is>
          <t>20260529000687</t>
        </is>
      </c>
      <c r="H8047" s="8">
        <f>HYPERLINK("https://dart.fss.or.kr/dsaf001/main.do?rcpNo=20260529000687", "공시열람")</f>
        <v/>
      </c>
    </row>
    <row r="8048">
      <c r="A8048" s="2" t="inlineStr">
        <is>
          <t>2026-05-29</t>
        </is>
      </c>
      <c r="B8048" s="3" t="inlineStr">
        <is>
          <t>태경케미컬</t>
        </is>
      </c>
      <c r="C8048" s="2" t="inlineStr">
        <is>
          <t>코스피</t>
        </is>
      </c>
      <c r="D8048" s="2" t="inlineStr">
        <is>
          <t>006890</t>
        </is>
      </c>
      <c r="E8048" s="3" t="inlineStr">
        <is>
          <t xml:space="preserve">기업지배구조보고서공시              </t>
        </is>
      </c>
      <c r="F8048" s="3" t="inlineStr">
        <is>
          <t>태경케미컬</t>
        </is>
      </c>
      <c r="G8048" s="2" t="inlineStr">
        <is>
          <t>20260529800602</t>
        </is>
      </c>
      <c r="H8048" s="8">
        <f>HYPERLINK("https://dart.fss.or.kr/dsaf001/main.do?rcpNo=20260529800602", "공시열람")</f>
        <v/>
      </c>
    </row>
    <row r="8049">
      <c r="A8049" s="2" t="inlineStr">
        <is>
          <t>2026-05-29</t>
        </is>
      </c>
      <c r="B8049" s="3" t="inlineStr">
        <is>
          <t>한화투자증권</t>
        </is>
      </c>
      <c r="C8049" s="2" t="inlineStr">
        <is>
          <t>코스피</t>
        </is>
      </c>
      <c r="D8049" s="2" t="inlineStr">
        <is>
          <t>003530</t>
        </is>
      </c>
      <c r="E8049" s="3" t="inlineStr">
        <is>
          <t>투자설명서(일괄신고)</t>
        </is>
      </c>
      <c r="F8049" s="3" t="inlineStr">
        <is>
          <t>한화투자증권</t>
        </is>
      </c>
      <c r="G8049" s="2" t="inlineStr">
        <is>
          <t>20260529000685</t>
        </is>
      </c>
      <c r="H8049" s="8">
        <f>HYPERLINK("https://dart.fss.or.kr/dsaf001/main.do?rcpNo=20260529000685", "공시열람")</f>
        <v/>
      </c>
    </row>
    <row r="8050">
      <c r="A8050" s="2" t="inlineStr">
        <is>
          <t>2026-05-29</t>
        </is>
      </c>
      <c r="B8050" s="3" t="inlineStr">
        <is>
          <t>NAVER</t>
        </is>
      </c>
      <c r="C8050" s="2" t="inlineStr">
        <is>
          <t>코스피</t>
        </is>
      </c>
      <c r="D8050" s="2" t="inlineStr">
        <is>
          <t>035420</t>
        </is>
      </c>
      <c r="E8050" s="3" t="inlineStr">
        <is>
          <t xml:space="preserve">기업지배구조보고서공시              </t>
        </is>
      </c>
      <c r="F8050" s="3" t="inlineStr">
        <is>
          <t>NAVER</t>
        </is>
      </c>
      <c r="G8050" s="2" t="inlineStr">
        <is>
          <t>20260529800258</t>
        </is>
      </c>
      <c r="H8050" s="8">
        <f>HYPERLINK("https://dart.fss.or.kr/dsaf001/main.do?rcpNo=20260529800258", "공시열람")</f>
        <v/>
      </c>
    </row>
    <row r="8051">
      <c r="A8051" s="2" t="inlineStr">
        <is>
          <t>2026-05-29</t>
        </is>
      </c>
      <c r="B8051" s="3" t="inlineStr">
        <is>
          <t>SK이노베이션</t>
        </is>
      </c>
      <c r="C8051" s="2" t="inlineStr">
        <is>
          <t>코스피</t>
        </is>
      </c>
      <c r="D8051" s="2" t="inlineStr">
        <is>
          <t>096770</t>
        </is>
      </c>
      <c r="E8051" s="3" t="inlineStr">
        <is>
          <t>대규모기업집단현황공시[연1회공시및1/4분기용(개별회사)]</t>
        </is>
      </c>
      <c r="F8051" s="3" t="inlineStr">
        <is>
          <t>SK이노베이션</t>
        </is>
      </c>
      <c r="G8051" s="2" t="inlineStr">
        <is>
          <t>20260529000680</t>
        </is>
      </c>
      <c r="H8051" s="8">
        <f>HYPERLINK("https://dart.fss.or.kr/dsaf001/main.do?rcpNo=20260529000680", "공시열람")</f>
        <v/>
      </c>
    </row>
    <row r="8052">
      <c r="A8052" s="2" t="inlineStr">
        <is>
          <t>2026-05-29</t>
        </is>
      </c>
      <c r="B8052" s="3" t="inlineStr">
        <is>
          <t>KPX홀딩스</t>
        </is>
      </c>
      <c r="C8052" s="2" t="inlineStr">
        <is>
          <t>코스피</t>
        </is>
      </c>
      <c r="D8052" s="2" t="inlineStr">
        <is>
          <t>092230</t>
        </is>
      </c>
      <c r="E8052" s="3" t="inlineStr">
        <is>
          <t xml:space="preserve">기업지배구조보고서공시              </t>
        </is>
      </c>
      <c r="F8052" s="3" t="inlineStr">
        <is>
          <t>KPX홀딩스</t>
        </is>
      </c>
      <c r="G8052" s="2" t="inlineStr">
        <is>
          <t>20260529800599</t>
        </is>
      </c>
      <c r="H8052" s="8">
        <f>HYPERLINK("https://dart.fss.or.kr/dsaf001/main.do?rcpNo=20260529800599", "공시열람")</f>
        <v/>
      </c>
    </row>
    <row r="8053">
      <c r="A8053" s="2" t="inlineStr">
        <is>
          <t>2026-05-29</t>
        </is>
      </c>
      <c r="B8053" s="3" t="inlineStr">
        <is>
          <t>한화시스템</t>
        </is>
      </c>
      <c r="C8053" s="2" t="inlineStr">
        <is>
          <t>코스피</t>
        </is>
      </c>
      <c r="D8053" s="2" t="inlineStr">
        <is>
          <t>272210</t>
        </is>
      </c>
      <c r="E8053" s="3" t="inlineStr">
        <is>
          <t>대규모기업집단현황공시[연1회공시및1/4분기용(개별회사)]</t>
        </is>
      </c>
      <c r="F8053" s="3" t="inlineStr">
        <is>
          <t>한화시스템</t>
        </is>
      </c>
      <c r="G8053" s="2" t="inlineStr">
        <is>
          <t>20260529000677</t>
        </is>
      </c>
      <c r="H8053" s="8">
        <f>HYPERLINK("https://dart.fss.or.kr/dsaf001/main.do?rcpNo=20260529000677", "공시열람")</f>
        <v/>
      </c>
    </row>
    <row r="8054">
      <c r="A8054" s="2" t="inlineStr">
        <is>
          <t>2026-05-29</t>
        </is>
      </c>
      <c r="B8054" s="3" t="inlineStr">
        <is>
          <t>동아지질</t>
        </is>
      </c>
      <c r="C8054" s="2" t="inlineStr">
        <is>
          <t>코스피</t>
        </is>
      </c>
      <c r="D8054" s="2" t="inlineStr">
        <is>
          <t>028100</t>
        </is>
      </c>
      <c r="E8054" s="3" t="inlineStr">
        <is>
          <t xml:space="preserve">기업지배구조보고서공시              </t>
        </is>
      </c>
      <c r="F8054" s="3" t="inlineStr">
        <is>
          <t>동아지질</t>
        </is>
      </c>
      <c r="G8054" s="2" t="inlineStr">
        <is>
          <t>20260529800642</t>
        </is>
      </c>
      <c r="H8054" s="8">
        <f>HYPERLINK("https://dart.fss.or.kr/dsaf001/main.do?rcpNo=20260529800642", "공시열람")</f>
        <v/>
      </c>
    </row>
    <row r="8055">
      <c r="A8055" s="2" t="inlineStr">
        <is>
          <t>2026-05-29</t>
        </is>
      </c>
      <c r="B8055" s="3" t="inlineStr">
        <is>
          <t>한일철강</t>
        </is>
      </c>
      <c r="C8055" s="2" t="inlineStr">
        <is>
          <t>코스피</t>
        </is>
      </c>
      <c r="D8055" s="2" t="inlineStr">
        <is>
          <t>002220</t>
        </is>
      </c>
      <c r="E8055" s="3" t="inlineStr">
        <is>
          <t xml:space="preserve">기업지배구조보고서공시              </t>
        </is>
      </c>
      <c r="F8055" s="3" t="inlineStr">
        <is>
          <t>한일철강</t>
        </is>
      </c>
      <c r="G8055" s="2" t="inlineStr">
        <is>
          <t>20260529800678</t>
        </is>
      </c>
      <c r="H8055" s="8">
        <f>HYPERLINK("https://dart.fss.or.kr/dsaf001/main.do?rcpNo=20260529800678", "공시열람")</f>
        <v/>
      </c>
    </row>
    <row r="8056">
      <c r="A8056" s="2" t="inlineStr">
        <is>
          <t>2026-05-29</t>
        </is>
      </c>
      <c r="B8056" s="3" t="inlineStr">
        <is>
          <t>SM Life Design</t>
        </is>
      </c>
      <c r="C8056" s="2" t="inlineStr">
        <is>
          <t>코스닥</t>
        </is>
      </c>
      <c r="D8056" s="2" t="inlineStr">
        <is>
          <t>063440</t>
        </is>
      </c>
      <c r="E8056" s="3" t="inlineStr">
        <is>
          <t>대규모기업집단현황공시[연1회공시및1/4분기용(개별회사)]</t>
        </is>
      </c>
      <c r="F8056" s="3" t="inlineStr">
        <is>
          <t>SM Life Design</t>
        </is>
      </c>
      <c r="G8056" s="2" t="inlineStr">
        <is>
          <t>20260529000669</t>
        </is>
      </c>
      <c r="H8056" s="8">
        <f>HYPERLINK("https://dart.fss.or.kr/dsaf001/main.do?rcpNo=20260529000669", "공시열람")</f>
        <v/>
      </c>
    </row>
    <row r="8057">
      <c r="A8057" s="2" t="inlineStr">
        <is>
          <t>2026-05-29</t>
        </is>
      </c>
      <c r="B8057" s="3" t="inlineStr">
        <is>
          <t>태경비케이</t>
        </is>
      </c>
      <c r="C8057" s="2" t="inlineStr">
        <is>
          <t>코스피</t>
        </is>
      </c>
      <c r="D8057" s="2" t="inlineStr">
        <is>
          <t>014580</t>
        </is>
      </c>
      <c r="E8057" s="3" t="inlineStr">
        <is>
          <t xml:space="preserve">기업지배구조보고서공시              </t>
        </is>
      </c>
      <c r="F8057" s="3" t="inlineStr">
        <is>
          <t>태경비케이</t>
        </is>
      </c>
      <c r="G8057" s="2" t="inlineStr">
        <is>
          <t>20260529800683</t>
        </is>
      </c>
      <c r="H8057" s="8">
        <f>HYPERLINK("https://dart.fss.or.kr/dsaf001/main.do?rcpNo=20260529800683", "공시열람")</f>
        <v/>
      </c>
    </row>
    <row r="8058">
      <c r="A8058" s="2" t="inlineStr">
        <is>
          <t>2026-05-29</t>
        </is>
      </c>
      <c r="B8058" s="3" t="inlineStr">
        <is>
          <t>나노캠텍</t>
        </is>
      </c>
      <c r="C8058" s="2" t="inlineStr">
        <is>
          <t>코스닥</t>
        </is>
      </c>
      <c r="D8058" s="2" t="inlineStr">
        <is>
          <t>091970</t>
        </is>
      </c>
      <c r="E8058" s="3" t="inlineStr">
        <is>
          <t>사외이사의선임ㆍ해임또는중도퇴임에관한신고</t>
        </is>
      </c>
      <c r="F8058" s="3" t="inlineStr">
        <is>
          <t>나노캠텍</t>
        </is>
      </c>
      <c r="G8058" s="2" t="inlineStr">
        <is>
          <t>20260529000666</t>
        </is>
      </c>
      <c r="H8058" s="8">
        <f>HYPERLINK("https://dart.fss.or.kr/dsaf001/main.do?rcpNo=20260529000666", "공시열람")</f>
        <v/>
      </c>
    </row>
    <row r="8059">
      <c r="A8059" s="2" t="inlineStr">
        <is>
          <t>2026-05-29</t>
        </is>
      </c>
      <c r="B8059" s="3" t="inlineStr">
        <is>
          <t>DB증권</t>
        </is>
      </c>
      <c r="C8059" s="2" t="inlineStr">
        <is>
          <t>코스피</t>
        </is>
      </c>
      <c r="D8059" s="2" t="inlineStr">
        <is>
          <t>016610</t>
        </is>
      </c>
      <c r="E8059" s="3" t="inlineStr">
        <is>
          <t>일괄신고추가서류(파생결합사채-주가연계파생결합사채)</t>
        </is>
      </c>
      <c r="F8059" s="3" t="inlineStr">
        <is>
          <t>DB증권</t>
        </is>
      </c>
      <c r="G8059" s="2" t="inlineStr">
        <is>
          <t>20260529000665</t>
        </is>
      </c>
      <c r="H8059" s="8">
        <f>HYPERLINK("https://dart.fss.or.kr/dsaf001/main.do?rcpNo=20260529000665", "공시열람")</f>
        <v/>
      </c>
    </row>
    <row r="8060">
      <c r="A8060" s="2" t="inlineStr">
        <is>
          <t>2026-05-29</t>
        </is>
      </c>
      <c r="B8060" s="3" t="inlineStr">
        <is>
          <t>지니너스</t>
        </is>
      </c>
      <c r="C8060" s="2" t="inlineStr">
        <is>
          <t>코스닥</t>
        </is>
      </c>
      <c r="D8060" s="2" t="inlineStr">
        <is>
          <t>389030</t>
        </is>
      </c>
      <c r="E8060" s="3" t="inlineStr">
        <is>
          <t>임원ㆍ주요주주특정증권등소유상황보고서</t>
        </is>
      </c>
      <c r="F8060" s="3" t="inlineStr">
        <is>
          <t>KIM JAEWON</t>
        </is>
      </c>
      <c r="G8060" s="2" t="inlineStr">
        <is>
          <t>20260529000663</t>
        </is>
      </c>
      <c r="H8060" s="8">
        <f>HYPERLINK("https://dart.fss.or.kr/dsaf001/main.do?rcpNo=20260529000663", "공시열람")</f>
        <v/>
      </c>
    </row>
    <row r="8061">
      <c r="A8061" s="2" t="inlineStr">
        <is>
          <t>2026-05-29</t>
        </is>
      </c>
      <c r="B8061" s="3" t="inlineStr">
        <is>
          <t>에코프로머티</t>
        </is>
      </c>
      <c r="C8061" s="2" t="inlineStr">
        <is>
          <t>코스피</t>
        </is>
      </c>
      <c r="D8061" s="2" t="inlineStr">
        <is>
          <t>450080</t>
        </is>
      </c>
      <c r="E8061" s="3" t="inlineStr">
        <is>
          <t>대규모기업집단현황공시[연1회공시및1/4분기용(개별회사)]</t>
        </is>
      </c>
      <c r="F8061" s="3" t="inlineStr">
        <is>
          <t>에코프로머티</t>
        </is>
      </c>
      <c r="G8061" s="2" t="inlineStr">
        <is>
          <t>20260529000658</t>
        </is>
      </c>
      <c r="H8061" s="8">
        <f>HYPERLINK("https://dart.fss.or.kr/dsaf001/main.do?rcpNo=20260529000658", "공시열람")</f>
        <v/>
      </c>
    </row>
    <row r="8062">
      <c r="A8062" s="2" t="inlineStr">
        <is>
          <t>2026-05-29</t>
        </is>
      </c>
      <c r="B8062" s="3" t="inlineStr">
        <is>
          <t>미래에셋증권</t>
        </is>
      </c>
      <c r="C8062" s="2" t="inlineStr">
        <is>
          <t>코스피</t>
        </is>
      </c>
      <c r="D8062" s="2" t="inlineStr">
        <is>
          <t>006800</t>
        </is>
      </c>
      <c r="E8062" s="3" t="inlineStr">
        <is>
          <t>투자설명서(일괄신고)</t>
        </is>
      </c>
      <c r="F8062" s="3" t="inlineStr">
        <is>
          <t>미래에셋증권</t>
        </is>
      </c>
      <c r="G8062" s="2" t="inlineStr">
        <is>
          <t>20260529000657</t>
        </is>
      </c>
      <c r="H8062" s="8">
        <f>HYPERLINK("https://dart.fss.or.kr/dsaf001/main.do?rcpNo=20260529000657", "공시열람")</f>
        <v/>
      </c>
    </row>
    <row r="8063">
      <c r="A8063" s="2" t="inlineStr">
        <is>
          <t>2026-05-29</t>
        </is>
      </c>
      <c r="B8063" s="3" t="inlineStr">
        <is>
          <t>동원시스템즈</t>
        </is>
      </c>
      <c r="C8063" s="2" t="inlineStr">
        <is>
          <t>코스피</t>
        </is>
      </c>
      <c r="D8063" s="2" t="inlineStr">
        <is>
          <t>014820</t>
        </is>
      </c>
      <c r="E8063" s="3" t="inlineStr">
        <is>
          <t xml:space="preserve">기업지배구조보고서공시              </t>
        </is>
      </c>
      <c r="F8063" s="3" t="inlineStr">
        <is>
          <t>동원시스템즈</t>
        </is>
      </c>
      <c r="G8063" s="2" t="inlineStr">
        <is>
          <t>20260529800659</t>
        </is>
      </c>
      <c r="H8063" s="8">
        <f>HYPERLINK("https://dart.fss.or.kr/dsaf001/main.do?rcpNo=20260529800659", "공시열람")</f>
        <v/>
      </c>
    </row>
    <row r="8064">
      <c r="A8064" s="2" t="inlineStr">
        <is>
          <t>2026-05-29</t>
        </is>
      </c>
      <c r="B8064" s="3" t="inlineStr">
        <is>
          <t>케이씨씨</t>
        </is>
      </c>
      <c r="C8064" s="2" t="inlineStr">
        <is>
          <t>코스피</t>
        </is>
      </c>
      <c r="D8064" s="2" t="inlineStr">
        <is>
          <t>002380</t>
        </is>
      </c>
      <c r="E8064" s="3" t="inlineStr">
        <is>
          <t xml:space="preserve">기업지배구조보고서공시              </t>
        </is>
      </c>
      <c r="F8064" s="3" t="inlineStr">
        <is>
          <t>케이씨씨</t>
        </is>
      </c>
      <c r="G8064" s="2" t="inlineStr">
        <is>
          <t>20260529800673</t>
        </is>
      </c>
      <c r="H8064" s="8">
        <f>HYPERLINK("https://dart.fss.or.kr/dsaf001/main.do?rcpNo=20260529800673", "공시열람")</f>
        <v/>
      </c>
    </row>
    <row r="8065">
      <c r="A8065" s="2" t="inlineStr">
        <is>
          <t>2026-05-29</t>
        </is>
      </c>
      <c r="B8065" s="3" t="inlineStr">
        <is>
          <t>동국제강</t>
        </is>
      </c>
      <c r="C8065" s="2" t="inlineStr">
        <is>
          <t>코스피</t>
        </is>
      </c>
      <c r="D8065" s="2" t="inlineStr">
        <is>
          <t>460860</t>
        </is>
      </c>
      <c r="E8065" s="3" t="inlineStr">
        <is>
          <t xml:space="preserve">기업지배구조보고서공시              </t>
        </is>
      </c>
      <c r="F8065" s="3" t="inlineStr">
        <is>
          <t>동국제강</t>
        </is>
      </c>
      <c r="G8065" s="2" t="inlineStr">
        <is>
          <t>20260529800420</t>
        </is>
      </c>
      <c r="H8065" s="8">
        <f>HYPERLINK("https://dart.fss.or.kr/dsaf001/main.do?rcpNo=20260529800420", "공시열람")</f>
        <v/>
      </c>
    </row>
    <row r="8066">
      <c r="A8066" s="2" t="inlineStr">
        <is>
          <t>2026-05-29</t>
        </is>
      </c>
      <c r="B8066" s="3" t="inlineStr">
        <is>
          <t>부산산업</t>
        </is>
      </c>
      <c r="C8066" s="2" t="inlineStr">
        <is>
          <t>코스피</t>
        </is>
      </c>
      <c r="D8066" s="2" t="inlineStr">
        <is>
          <t>011390</t>
        </is>
      </c>
      <c r="E8066" s="3" t="inlineStr">
        <is>
          <t xml:space="preserve">대표이사(대표집행임원)변경(안내공시)              </t>
        </is>
      </c>
      <c r="F8066" s="3" t="inlineStr">
        <is>
          <t>부산산업</t>
        </is>
      </c>
      <c r="G8066" s="2" t="inlineStr">
        <is>
          <t>20260529800674</t>
        </is>
      </c>
      <c r="H8066" s="8">
        <f>HYPERLINK("https://dart.fss.or.kr/dsaf001/main.do?rcpNo=20260529800674", "공시열람")</f>
        <v/>
      </c>
    </row>
    <row r="8067">
      <c r="A8067" s="2" t="inlineStr">
        <is>
          <t>2026-05-29</t>
        </is>
      </c>
      <c r="B8067" s="3" t="inlineStr">
        <is>
          <t>미래에셋증권</t>
        </is>
      </c>
      <c r="C8067" s="2" t="inlineStr">
        <is>
          <t>코스피</t>
        </is>
      </c>
      <c r="D8067" s="2" t="inlineStr">
        <is>
          <t>006800</t>
        </is>
      </c>
      <c r="E8067" s="3" t="inlineStr">
        <is>
          <t>투자설명서(일괄신고)</t>
        </is>
      </c>
      <c r="F8067" s="3" t="inlineStr">
        <is>
          <t>미래에셋증권</t>
        </is>
      </c>
      <c r="G8067" s="2" t="inlineStr">
        <is>
          <t>20260529000647</t>
        </is>
      </c>
      <c r="H8067" s="8">
        <f>HYPERLINK("https://dart.fss.or.kr/dsaf001/main.do?rcpNo=20260529000647", "공시열람")</f>
        <v/>
      </c>
    </row>
    <row r="8068">
      <c r="A8068" s="2" t="inlineStr">
        <is>
          <t>2026-05-29 (정정: 2026-06-26)</t>
        </is>
      </c>
      <c r="B8068" s="3" t="inlineStr">
        <is>
          <t>SK아이이테크놀로지</t>
        </is>
      </c>
      <c r="C8068" s="2" t="inlineStr">
        <is>
          <t>코스피</t>
        </is>
      </c>
      <c r="D8068" s="2" t="inlineStr">
        <is>
          <t>361610</t>
        </is>
      </c>
      <c r="E8068" s="3" t="inlineStr">
        <is>
          <t>대규모기업집단현황공시[연1회공시및1/4분기용(개별회사)] (정정: 20260626)</t>
        </is>
      </c>
      <c r="F8068" s="3" t="inlineStr">
        <is>
          <t>SK아이이테크놀로지</t>
        </is>
      </c>
      <c r="G8068" s="2" t="inlineStr">
        <is>
          <t>20260626800803</t>
        </is>
      </c>
      <c r="H8068" s="8">
        <f>HYPERLINK("https://dart.fss.or.kr/dsaf001/main.do?rcpNo=20260626800803", "공시열람")</f>
        <v/>
      </c>
    </row>
    <row r="8069">
      <c r="A8069" s="2" t="inlineStr">
        <is>
          <t>2026-05-29</t>
        </is>
      </c>
      <c r="B8069" s="3" t="inlineStr">
        <is>
          <t>키움증권</t>
        </is>
      </c>
      <c r="C8069" s="2" t="inlineStr">
        <is>
          <t>코스피</t>
        </is>
      </c>
      <c r="D8069" s="2" t="inlineStr">
        <is>
          <t>039490</t>
        </is>
      </c>
      <c r="E8069" s="3" t="inlineStr">
        <is>
          <t>일괄신고추가서류(파생결합사채-주가연계파생결합사채)</t>
        </is>
      </c>
      <c r="F8069" s="3" t="inlineStr">
        <is>
          <t>키움증권</t>
        </is>
      </c>
      <c r="G8069" s="2" t="inlineStr">
        <is>
          <t>20260529000639</t>
        </is>
      </c>
      <c r="H8069" s="8">
        <f>HYPERLINK("https://dart.fss.or.kr/dsaf001/main.do?rcpNo=20260529000639", "공시열람")</f>
        <v/>
      </c>
    </row>
    <row r="8070">
      <c r="A8070" s="2" t="inlineStr">
        <is>
          <t>2026-05-29</t>
        </is>
      </c>
      <c r="B8070" s="3" t="inlineStr">
        <is>
          <t>남선알미늄</t>
        </is>
      </c>
      <c r="C8070" s="2" t="inlineStr">
        <is>
          <t>코스피</t>
        </is>
      </c>
      <c r="D8070" s="2" t="inlineStr">
        <is>
          <t>008350</t>
        </is>
      </c>
      <c r="E8070" s="3" t="inlineStr">
        <is>
          <t>대규모기업집단현황공시[연1회공시및1/4분기용(개별회사)]</t>
        </is>
      </c>
      <c r="F8070" s="3" t="inlineStr">
        <is>
          <t>남선알미늄</t>
        </is>
      </c>
      <c r="G8070" s="2" t="inlineStr">
        <is>
          <t>20260529000636</t>
        </is>
      </c>
      <c r="H8070" s="8">
        <f>HYPERLINK("https://dart.fss.or.kr/dsaf001/main.do?rcpNo=20260529000636", "공시열람")</f>
        <v/>
      </c>
    </row>
    <row r="8071">
      <c r="A8071" s="2" t="inlineStr">
        <is>
          <t>2026-05-29</t>
        </is>
      </c>
      <c r="B8071" s="3" t="inlineStr">
        <is>
          <t>현대차증권</t>
        </is>
      </c>
      <c r="C8071" s="2" t="inlineStr">
        <is>
          <t>코스피</t>
        </is>
      </c>
      <c r="D8071" s="2" t="inlineStr">
        <is>
          <t>001500</t>
        </is>
      </c>
      <c r="E8071" s="3" t="inlineStr">
        <is>
          <t>증권발행실적보고서</t>
        </is>
      </c>
      <c r="F8071" s="3" t="inlineStr">
        <is>
          <t>현대차증권</t>
        </is>
      </c>
      <c r="G8071" s="2" t="inlineStr">
        <is>
          <t>20260529000635</t>
        </is>
      </c>
      <c r="H8071" s="8">
        <f>HYPERLINK("https://dart.fss.or.kr/dsaf001/main.do?rcpNo=20260529000635", "공시열람")</f>
        <v/>
      </c>
    </row>
    <row r="8072">
      <c r="A8072" s="2" t="inlineStr">
        <is>
          <t>2026-05-29</t>
        </is>
      </c>
      <c r="B8072" s="3" t="inlineStr">
        <is>
          <t>태경산업</t>
        </is>
      </c>
      <c r="C8072" s="2" t="inlineStr">
        <is>
          <t>코스피</t>
        </is>
      </c>
      <c r="D8072" s="2" t="inlineStr">
        <is>
          <t>015890</t>
        </is>
      </c>
      <c r="E8072" s="3" t="inlineStr">
        <is>
          <t xml:space="preserve">기업지배구조보고서공시              </t>
        </is>
      </c>
      <c r="F8072" s="3" t="inlineStr">
        <is>
          <t>태경산업</t>
        </is>
      </c>
      <c r="G8072" s="2" t="inlineStr">
        <is>
          <t>20260529800468</t>
        </is>
      </c>
      <c r="H8072" s="8">
        <f>HYPERLINK("https://dart.fss.or.kr/dsaf001/main.do?rcpNo=20260529800468", "공시열람")</f>
        <v/>
      </c>
    </row>
    <row r="8073">
      <c r="A8073" s="2" t="inlineStr">
        <is>
          <t>2026-05-29</t>
        </is>
      </c>
      <c r="B8073" s="3" t="inlineStr">
        <is>
          <t>비엠티</t>
        </is>
      </c>
      <c r="C8073" s="2" t="inlineStr">
        <is>
          <t>코스닥</t>
        </is>
      </c>
      <c r="D8073" s="2" t="inlineStr">
        <is>
          <t>086670</t>
        </is>
      </c>
      <c r="E8073" s="3" t="inlineStr">
        <is>
          <t>임원ㆍ주요주주특정증권등소유상황보고서</t>
        </is>
      </c>
      <c r="F8073" s="3" t="inlineStr">
        <is>
          <t>윤종찬</t>
        </is>
      </c>
      <c r="G8073" s="2" t="inlineStr">
        <is>
          <t>20260529000630</t>
        </is>
      </c>
      <c r="H8073" s="8">
        <f>HYPERLINK("https://dart.fss.or.kr/dsaf001/main.do?rcpNo=20260529000630", "공시열람")</f>
        <v/>
      </c>
    </row>
    <row r="8074">
      <c r="A8074" s="2" t="inlineStr">
        <is>
          <t>2026-05-29</t>
        </is>
      </c>
      <c r="B8074" s="3" t="inlineStr">
        <is>
          <t>KTcs</t>
        </is>
      </c>
      <c r="C8074" s="2" t="inlineStr">
        <is>
          <t>코스피</t>
        </is>
      </c>
      <c r="D8074" s="2" t="inlineStr">
        <is>
          <t>058850</t>
        </is>
      </c>
      <c r="E8074" s="3" t="inlineStr">
        <is>
          <t>대규모기업집단현황공시[연1회공시및1/4분기용(개별회사)]</t>
        </is>
      </c>
      <c r="F8074" s="3" t="inlineStr">
        <is>
          <t>KTcs</t>
        </is>
      </c>
      <c r="G8074" s="2" t="inlineStr">
        <is>
          <t>20260529000628</t>
        </is>
      </c>
      <c r="H8074" s="8">
        <f>HYPERLINK("https://dart.fss.or.kr/dsaf001/main.do?rcpNo=20260529000628", "공시열람")</f>
        <v/>
      </c>
    </row>
    <row r="8075">
      <c r="A8075" s="2" t="inlineStr">
        <is>
          <t>2026-05-29</t>
        </is>
      </c>
      <c r="B8075" s="3" t="inlineStr">
        <is>
          <t>나노캠텍</t>
        </is>
      </c>
      <c r="C8075" s="2" t="inlineStr">
        <is>
          <t>코스닥</t>
        </is>
      </c>
      <c r="D8075" s="2" t="inlineStr">
        <is>
          <t>091970</t>
        </is>
      </c>
      <c r="E8075" s="3" t="inlineStr">
        <is>
          <t xml:space="preserve">상호변경안내              </t>
        </is>
      </c>
      <c r="F8075" s="3" t="inlineStr">
        <is>
          <t>나노캠텍</t>
        </is>
      </c>
      <c r="G8075" s="2" t="inlineStr">
        <is>
          <t>20260529900619</t>
        </is>
      </c>
      <c r="H8075" s="8">
        <f>HYPERLINK("https://dart.fss.or.kr/dsaf001/main.do?rcpNo=20260529900619", "공시열람")</f>
        <v/>
      </c>
    </row>
    <row r="8076">
      <c r="A8076" s="2" t="inlineStr">
        <is>
          <t>2026-05-29</t>
        </is>
      </c>
      <c r="B8076" s="3" t="inlineStr">
        <is>
          <t>LX인터내셔널</t>
        </is>
      </c>
      <c r="C8076" s="2" t="inlineStr">
        <is>
          <t>코스피</t>
        </is>
      </c>
      <c r="D8076" s="2" t="inlineStr">
        <is>
          <t>001120</t>
        </is>
      </c>
      <c r="E8076" s="3" t="inlineStr">
        <is>
          <t xml:space="preserve">기업지배구조보고서공시              </t>
        </is>
      </c>
      <c r="F8076" s="3" t="inlineStr">
        <is>
          <t>LX인터내셔널</t>
        </is>
      </c>
      <c r="G8076" s="2" t="inlineStr">
        <is>
          <t>20260529800639</t>
        </is>
      </c>
      <c r="H8076" s="8">
        <f>HYPERLINK("https://dart.fss.or.kr/dsaf001/main.do?rcpNo=20260529800639", "공시열람")</f>
        <v/>
      </c>
    </row>
    <row r="8077">
      <c r="A8077" s="2" t="inlineStr">
        <is>
          <t>2026-05-29 (정정: 2026-06-11)</t>
        </is>
      </c>
      <c r="B8077" s="3" t="inlineStr">
        <is>
          <t>우진아이엔에스</t>
        </is>
      </c>
      <c r="C8077" s="2" t="inlineStr">
        <is>
          <t>코스피</t>
        </is>
      </c>
      <c r="D8077" s="2" t="inlineStr">
        <is>
          <t>010400</t>
        </is>
      </c>
      <c r="E8077" s="3" t="inlineStr">
        <is>
          <t>기업지배구조보고서공시               (정정: 20260611)</t>
        </is>
      </c>
      <c r="F8077" s="3" t="inlineStr">
        <is>
          <t>우진아이엔에스</t>
        </is>
      </c>
      <c r="G8077" s="2" t="inlineStr">
        <is>
          <t>20260611000442</t>
        </is>
      </c>
      <c r="H8077" s="8">
        <f>HYPERLINK("https://dart.fss.or.kr/dsaf001/main.do?rcpNo=20260611000442", "공시열람")</f>
        <v/>
      </c>
    </row>
    <row r="8078">
      <c r="A8078" s="2" t="inlineStr">
        <is>
          <t>2026-05-29</t>
        </is>
      </c>
      <c r="B8078" s="3" t="inlineStr">
        <is>
          <t>가온전선</t>
        </is>
      </c>
      <c r="C8078" s="2" t="inlineStr">
        <is>
          <t>코스피</t>
        </is>
      </c>
      <c r="D8078" s="2" t="inlineStr">
        <is>
          <t>000500</t>
        </is>
      </c>
      <c r="E8078" s="3" t="inlineStr">
        <is>
          <t xml:space="preserve">기업지배구조보고서공시              </t>
        </is>
      </c>
      <c r="F8078" s="3" t="inlineStr">
        <is>
          <t>가온전선</t>
        </is>
      </c>
      <c r="G8078" s="2" t="inlineStr">
        <is>
          <t>20260529800627</t>
        </is>
      </c>
      <c r="H8078" s="8">
        <f>HYPERLINK("https://dart.fss.or.kr/dsaf001/main.do?rcpNo=20260529800627", "공시열람")</f>
        <v/>
      </c>
    </row>
    <row r="8079">
      <c r="A8079" s="2" t="inlineStr">
        <is>
          <t>2026-05-29</t>
        </is>
      </c>
      <c r="B8079" s="3" t="inlineStr">
        <is>
          <t>미래에셋글로벌리츠</t>
        </is>
      </c>
      <c r="C8079" s="2" t="inlineStr">
        <is>
          <t>코스피</t>
        </is>
      </c>
      <c r="D8079" s="2" t="inlineStr">
        <is>
          <t>396690</t>
        </is>
      </c>
      <c r="E8079" s="3" t="inlineStr">
        <is>
          <t xml:space="preserve">기업지배구조보고서공시              </t>
        </is>
      </c>
      <c r="F8079" s="3" t="inlineStr">
        <is>
          <t>미래에셋글로벌리츠</t>
        </is>
      </c>
      <c r="G8079" s="2" t="inlineStr">
        <is>
          <t>20260529800623</t>
        </is>
      </c>
      <c r="H8079" s="8">
        <f>HYPERLINK("https://dart.fss.or.kr/dsaf001/main.do?rcpNo=20260529800623", "공시열람")</f>
        <v/>
      </c>
    </row>
    <row r="8080">
      <c r="A8080" s="2" t="inlineStr">
        <is>
          <t>2026-05-29</t>
        </is>
      </c>
      <c r="B8080" s="3" t="inlineStr">
        <is>
          <t>비트컴퓨터</t>
        </is>
      </c>
      <c r="C8080" s="2" t="inlineStr">
        <is>
          <t>코스닥</t>
        </is>
      </c>
      <c r="D8080" s="2" t="inlineStr">
        <is>
          <t>032850</t>
        </is>
      </c>
      <c r="E8080" s="3" t="inlineStr">
        <is>
          <t>자기주식취득결과보고서</t>
        </is>
      </c>
      <c r="F8080" s="3" t="inlineStr">
        <is>
          <t>비트컴퓨터</t>
        </is>
      </c>
      <c r="G8080" s="2" t="inlineStr">
        <is>
          <t>20260529000601</t>
        </is>
      </c>
      <c r="H8080" s="8">
        <f>HYPERLINK("https://dart.fss.or.kr/dsaf001/main.do?rcpNo=20260529000601", "공시열람")</f>
        <v/>
      </c>
    </row>
    <row r="8081">
      <c r="A8081" s="2" t="inlineStr">
        <is>
          <t>2026-05-29</t>
        </is>
      </c>
      <c r="B8081" s="3" t="inlineStr">
        <is>
          <t>한화투자증권</t>
        </is>
      </c>
      <c r="C8081" s="2" t="inlineStr">
        <is>
          <t>코스피</t>
        </is>
      </c>
      <c r="D8081" s="2" t="inlineStr">
        <is>
          <t>003530</t>
        </is>
      </c>
      <c r="E8081" s="3" t="inlineStr">
        <is>
          <t>일괄신고추가서류(기타파생결합사채)</t>
        </is>
      </c>
      <c r="F8081" s="3" t="inlineStr">
        <is>
          <t>한화투자증권</t>
        </is>
      </c>
      <c r="G8081" s="2" t="inlineStr">
        <is>
          <t>20260529000600</t>
        </is>
      </c>
      <c r="H8081" s="8">
        <f>HYPERLINK("https://dart.fss.or.kr/dsaf001/main.do?rcpNo=20260529000600", "공시열람")</f>
        <v/>
      </c>
    </row>
    <row r="8082">
      <c r="A8082" s="2" t="inlineStr">
        <is>
          <t>2026-05-29</t>
        </is>
      </c>
      <c r="B8082" s="3" t="inlineStr">
        <is>
          <t>미래에셋증권</t>
        </is>
      </c>
      <c r="C8082" s="2" t="inlineStr">
        <is>
          <t>코스피</t>
        </is>
      </c>
      <c r="D8082" s="2" t="inlineStr">
        <is>
          <t>006800</t>
        </is>
      </c>
      <c r="E8082" s="3" t="inlineStr">
        <is>
          <t>[발행조건확정]증권신고서(채무증권)</t>
        </is>
      </c>
      <c r="F8082" s="3" t="inlineStr">
        <is>
          <t>미래에셋증권</t>
        </is>
      </c>
      <c r="G8082" s="2" t="inlineStr">
        <is>
          <t>20260529000596</t>
        </is>
      </c>
      <c r="H8082" s="8">
        <f>HYPERLINK("https://dart.fss.or.kr/dsaf001/main.do?rcpNo=20260529000596", "공시열람")</f>
        <v/>
      </c>
    </row>
    <row r="8083">
      <c r="A8083" s="2" t="inlineStr">
        <is>
          <t>2026-05-29</t>
        </is>
      </c>
      <c r="B8083" s="3" t="inlineStr">
        <is>
          <t>애경케미칼</t>
        </is>
      </c>
      <c r="C8083" s="2" t="inlineStr">
        <is>
          <t>코스피</t>
        </is>
      </c>
      <c r="D8083" s="2" t="inlineStr">
        <is>
          <t>161000</t>
        </is>
      </c>
      <c r="E8083" s="3" t="inlineStr">
        <is>
          <t>대규모기업집단현황공시[연1회공시및1/4분기용(개별회사)]</t>
        </is>
      </c>
      <c r="F8083" s="3" t="inlineStr">
        <is>
          <t>애경케미칼</t>
        </is>
      </c>
      <c r="G8083" s="2" t="inlineStr">
        <is>
          <t>20260529000593</t>
        </is>
      </c>
      <c r="H8083" s="8">
        <f>HYPERLINK("https://dart.fss.or.kr/dsaf001/main.do?rcpNo=20260529000593", "공시열람")</f>
        <v/>
      </c>
    </row>
    <row r="8084">
      <c r="A8084" s="2" t="inlineStr">
        <is>
          <t>2026-05-29</t>
        </is>
      </c>
      <c r="B8084" s="3" t="inlineStr">
        <is>
          <t>미래에셋맵스리츠</t>
        </is>
      </c>
      <c r="C8084" s="2" t="inlineStr">
        <is>
          <t>코스피</t>
        </is>
      </c>
      <c r="D8084" s="2" t="inlineStr">
        <is>
          <t>357250</t>
        </is>
      </c>
      <c r="E8084" s="3" t="inlineStr">
        <is>
          <t xml:space="preserve">기업지배구조보고서공시              </t>
        </is>
      </c>
      <c r="F8084" s="3" t="inlineStr">
        <is>
          <t>미래에셋맵스리츠</t>
        </is>
      </c>
      <c r="G8084" s="2" t="inlineStr">
        <is>
          <t>20260529800615</t>
        </is>
      </c>
      <c r="H8084" s="8">
        <f>HYPERLINK("https://dart.fss.or.kr/dsaf001/main.do?rcpNo=20260529800615", "공시열람")</f>
        <v/>
      </c>
    </row>
    <row r="8085">
      <c r="A8085" s="2" t="inlineStr">
        <is>
          <t>2026-05-29</t>
        </is>
      </c>
      <c r="B8085" s="3" t="inlineStr">
        <is>
          <t>미래에셋증권</t>
        </is>
      </c>
      <c r="C8085" s="2" t="inlineStr">
        <is>
          <t>코스피</t>
        </is>
      </c>
      <c r="D8085" s="2" t="inlineStr">
        <is>
          <t>006800</t>
        </is>
      </c>
      <c r="E8085" s="3" t="inlineStr">
        <is>
          <t>일괄신고추가서류(파생결합사채-주가연계파생결합사채)</t>
        </is>
      </c>
      <c r="F8085" s="3" t="inlineStr">
        <is>
          <t>미래에셋증권</t>
        </is>
      </c>
      <c r="G8085" s="2" t="inlineStr">
        <is>
          <t>20260529000585</t>
        </is>
      </c>
      <c r="H8085" s="8">
        <f>HYPERLINK("https://dart.fss.or.kr/dsaf001/main.do?rcpNo=20260529000585", "공시열람")</f>
        <v/>
      </c>
    </row>
    <row r="8086">
      <c r="A8086" s="2" t="inlineStr">
        <is>
          <t>2026-05-29</t>
        </is>
      </c>
      <c r="B8086" s="3" t="inlineStr">
        <is>
          <t>미래에셋증권</t>
        </is>
      </c>
      <c r="C8086" s="2" t="inlineStr">
        <is>
          <t>코스피</t>
        </is>
      </c>
      <c r="D8086" s="2" t="inlineStr">
        <is>
          <t>006800</t>
        </is>
      </c>
      <c r="E8086" s="3" t="inlineStr">
        <is>
          <t>일괄신고추가서류(파생결합증권-주가연계증권)</t>
        </is>
      </c>
      <c r="F8086" s="3" t="inlineStr">
        <is>
          <t>미래에셋증권</t>
        </is>
      </c>
      <c r="G8086" s="2" t="inlineStr">
        <is>
          <t>20260529000583</t>
        </is>
      </c>
      <c r="H8086" s="8">
        <f>HYPERLINK("https://dart.fss.or.kr/dsaf001/main.do?rcpNo=20260529000583", "공시열람")</f>
        <v/>
      </c>
    </row>
    <row r="8087">
      <c r="A8087" s="2" t="inlineStr">
        <is>
          <t>2026-05-29</t>
        </is>
      </c>
      <c r="B8087" s="3" t="inlineStr">
        <is>
          <t>SK이터닉스</t>
        </is>
      </c>
      <c r="C8087" s="2" t="inlineStr">
        <is>
          <t>코스피</t>
        </is>
      </c>
      <c r="D8087" s="2" t="inlineStr">
        <is>
          <t>475150</t>
        </is>
      </c>
      <c r="E8087" s="3" t="inlineStr">
        <is>
          <t>대규모기업집단현황공시[연1회공시및1/4분기용(개별회사)]</t>
        </is>
      </c>
      <c r="F8087" s="3" t="inlineStr">
        <is>
          <t>SK이터닉스</t>
        </is>
      </c>
      <c r="G8087" s="2" t="inlineStr">
        <is>
          <t>20260529000582</t>
        </is>
      </c>
      <c r="H8087" s="8">
        <f>HYPERLINK("https://dart.fss.or.kr/dsaf001/main.do?rcpNo=20260529000582", "공시열람")</f>
        <v/>
      </c>
    </row>
    <row r="8088">
      <c r="A8088" s="2" t="inlineStr">
        <is>
          <t>2026-05-29</t>
        </is>
      </c>
      <c r="B8088" s="3" t="inlineStr">
        <is>
          <t>고려산업</t>
        </is>
      </c>
      <c r="C8088" s="2" t="inlineStr">
        <is>
          <t>코스피</t>
        </is>
      </c>
      <c r="D8088" s="2" t="inlineStr">
        <is>
          <t>002140</t>
        </is>
      </c>
      <c r="E8088" s="3" t="inlineStr">
        <is>
          <t xml:space="preserve">기업지배구조보고서공시              </t>
        </is>
      </c>
      <c r="F8088" s="3" t="inlineStr">
        <is>
          <t>고려산업</t>
        </is>
      </c>
      <c r="G8088" s="2" t="inlineStr">
        <is>
          <t>20260529800418</t>
        </is>
      </c>
      <c r="H8088" s="8">
        <f>HYPERLINK("https://dart.fss.or.kr/dsaf001/main.do?rcpNo=20260529800418", "공시열람")</f>
        <v/>
      </c>
    </row>
    <row r="8089">
      <c r="A8089" s="2" t="inlineStr">
        <is>
          <t>2026-05-29</t>
        </is>
      </c>
      <c r="B8089" s="3" t="inlineStr">
        <is>
          <t>동아쏘시오홀딩스</t>
        </is>
      </c>
      <c r="C8089" s="2" t="inlineStr">
        <is>
          <t>코스피</t>
        </is>
      </c>
      <c r="D8089" s="2" t="inlineStr">
        <is>
          <t>000640</t>
        </is>
      </c>
      <c r="E8089" s="3" t="inlineStr">
        <is>
          <t xml:space="preserve">기업지배구조보고서공시              </t>
        </is>
      </c>
      <c r="F8089" s="3" t="inlineStr">
        <is>
          <t>동아쏘시오홀딩스</t>
        </is>
      </c>
      <c r="G8089" s="2" t="inlineStr">
        <is>
          <t>20260529800319</t>
        </is>
      </c>
      <c r="H8089" s="8">
        <f>HYPERLINK("https://dart.fss.or.kr/dsaf001/main.do?rcpNo=20260529800319", "공시열람")</f>
        <v/>
      </c>
    </row>
    <row r="8090">
      <c r="A8090" s="2" t="inlineStr">
        <is>
          <t>2026-05-29</t>
        </is>
      </c>
      <c r="B8090" s="3" t="inlineStr">
        <is>
          <t>넷마블</t>
        </is>
      </c>
      <c r="C8090" s="2" t="inlineStr">
        <is>
          <t>코스피</t>
        </is>
      </c>
      <c r="D8090" s="2" t="inlineStr">
        <is>
          <t>251270</t>
        </is>
      </c>
      <c r="E8090" s="3" t="inlineStr">
        <is>
          <t>대규모기업집단현황공시[연1회공시및1/4분기용(대표회사)]</t>
        </is>
      </c>
      <c r="F8090" s="3" t="inlineStr">
        <is>
          <t>넷마블</t>
        </is>
      </c>
      <c r="G8090" s="2" t="inlineStr">
        <is>
          <t>20260529000562</t>
        </is>
      </c>
      <c r="H8090" s="8">
        <f>HYPERLINK("https://dart.fss.or.kr/dsaf001/main.do?rcpNo=20260529000562", "공시열람")</f>
        <v/>
      </c>
    </row>
    <row r="8091">
      <c r="A8091" s="2" t="inlineStr">
        <is>
          <t>2026-05-29</t>
        </is>
      </c>
      <c r="B8091" s="3" t="inlineStr">
        <is>
          <t>남해화학</t>
        </is>
      </c>
      <c r="C8091" s="2" t="inlineStr">
        <is>
          <t>코스피</t>
        </is>
      </c>
      <c r="D8091" s="2" t="inlineStr">
        <is>
          <t>025860</t>
        </is>
      </c>
      <c r="E8091" s="3" t="inlineStr">
        <is>
          <t>약관에의한금융거래시계열금융회사의거래상대방의공시</t>
        </is>
      </c>
      <c r="F8091" s="3" t="inlineStr">
        <is>
          <t>남해화학</t>
        </is>
      </c>
      <c r="G8091" s="2" t="inlineStr">
        <is>
          <t>20260529000561</t>
        </is>
      </c>
      <c r="H8091" s="8">
        <f>HYPERLINK("https://dart.fss.or.kr/dsaf001/main.do?rcpNo=20260529000561", "공시열람")</f>
        <v/>
      </c>
    </row>
    <row r="8092">
      <c r="A8092" s="2" t="inlineStr">
        <is>
          <t>2026-05-29</t>
        </is>
      </c>
      <c r="B8092" s="3" t="inlineStr">
        <is>
          <t>남해화학</t>
        </is>
      </c>
      <c r="C8092" s="2" t="inlineStr">
        <is>
          <t>코스피</t>
        </is>
      </c>
      <c r="D8092" s="2" t="inlineStr">
        <is>
          <t>025860</t>
        </is>
      </c>
      <c r="E8092" s="3" t="inlineStr">
        <is>
          <t xml:space="preserve">단기차입금증가결정              </t>
        </is>
      </c>
      <c r="F8092" s="3" t="inlineStr">
        <is>
          <t>남해화학</t>
        </is>
      </c>
      <c r="G8092" s="2" t="inlineStr">
        <is>
          <t>20260529800589</t>
        </is>
      </c>
      <c r="H8092" s="8">
        <f>HYPERLINK("https://dart.fss.or.kr/dsaf001/main.do?rcpNo=20260529800589", "공시열람")</f>
        <v/>
      </c>
    </row>
    <row r="8093">
      <c r="A8093" s="2" t="inlineStr">
        <is>
          <t>2026-05-29</t>
        </is>
      </c>
      <c r="B8093" s="3" t="inlineStr">
        <is>
          <t>BGF리테일</t>
        </is>
      </c>
      <c r="C8093" s="2" t="inlineStr">
        <is>
          <t>코스피</t>
        </is>
      </c>
      <c r="D8093" s="2" t="inlineStr">
        <is>
          <t>282330</t>
        </is>
      </c>
      <c r="E8093" s="3" t="inlineStr">
        <is>
          <t>대규모기업집단현황공시[연1회공시및1/4분기용(개별회사)]</t>
        </is>
      </c>
      <c r="F8093" s="3" t="inlineStr">
        <is>
          <t>BGF리테일</t>
        </is>
      </c>
      <c r="G8093" s="2" t="inlineStr">
        <is>
          <t>20260529000556</t>
        </is>
      </c>
      <c r="H8093" s="8">
        <f>HYPERLINK("https://dart.fss.or.kr/dsaf001/main.do?rcpNo=20260529000556", "공시열람")</f>
        <v/>
      </c>
    </row>
    <row r="8094">
      <c r="A8094" s="2" t="inlineStr">
        <is>
          <t>2026-05-29</t>
        </is>
      </c>
      <c r="B8094" s="3" t="inlineStr">
        <is>
          <t>넷마블</t>
        </is>
      </c>
      <c r="C8094" s="2" t="inlineStr">
        <is>
          <t>코스피</t>
        </is>
      </c>
      <c r="D8094" s="2" t="inlineStr">
        <is>
          <t>251270</t>
        </is>
      </c>
      <c r="E8094" s="3" t="inlineStr">
        <is>
          <t>대규모기업집단현황공시[연1회(동일인용)]</t>
        </is>
      </c>
      <c r="F8094" s="3" t="inlineStr">
        <is>
          <t>방준혁</t>
        </is>
      </c>
      <c r="G8094" s="2" t="inlineStr">
        <is>
          <t>20260529000554</t>
        </is>
      </c>
      <c r="H8094" s="8">
        <f>HYPERLINK("https://dart.fss.or.kr/dsaf001/main.do?rcpNo=20260529000554", "공시열람")</f>
        <v/>
      </c>
    </row>
    <row r="8095">
      <c r="A8095" s="2" t="inlineStr">
        <is>
          <t>2026-05-29</t>
        </is>
      </c>
      <c r="B8095" s="3" t="inlineStr">
        <is>
          <t>에넥스</t>
        </is>
      </c>
      <c r="C8095" s="2" t="inlineStr">
        <is>
          <t>코스피</t>
        </is>
      </c>
      <c r="D8095" s="2" t="inlineStr">
        <is>
          <t>011090</t>
        </is>
      </c>
      <c r="E8095" s="3" t="inlineStr">
        <is>
          <t xml:space="preserve">기업지배구조보고서공시              </t>
        </is>
      </c>
      <c r="F8095" s="3" t="inlineStr">
        <is>
          <t>에넥스</t>
        </is>
      </c>
      <c r="G8095" s="2" t="inlineStr">
        <is>
          <t>20260529800579</t>
        </is>
      </c>
      <c r="H8095" s="8">
        <f>HYPERLINK("https://dart.fss.or.kr/dsaf001/main.do?rcpNo=20260529800579", "공시열람")</f>
        <v/>
      </c>
    </row>
    <row r="8096">
      <c r="A8096" s="2" t="inlineStr">
        <is>
          <t>2026-05-29</t>
        </is>
      </c>
      <c r="B8096" s="3" t="inlineStr">
        <is>
          <t>주성코퍼레이션</t>
        </is>
      </c>
      <c r="C8096" s="2" t="inlineStr">
        <is>
          <t>코스피</t>
        </is>
      </c>
      <c r="D8096" s="2" t="inlineStr">
        <is>
          <t>109070</t>
        </is>
      </c>
      <c r="E8096" s="3" t="inlineStr">
        <is>
          <t xml:space="preserve">기업지배구조보고서공시              </t>
        </is>
      </c>
      <c r="F8096" s="3" t="inlineStr">
        <is>
          <t>주성코퍼레이션</t>
        </is>
      </c>
      <c r="G8096" s="2" t="inlineStr">
        <is>
          <t>20260529800584</t>
        </is>
      </c>
      <c r="H8096" s="8">
        <f>HYPERLINK("https://dart.fss.or.kr/dsaf001/main.do?rcpNo=20260529800584", "공시열람")</f>
        <v/>
      </c>
    </row>
    <row r="8097">
      <c r="A8097" s="2" t="inlineStr">
        <is>
          <t>2026-05-29</t>
        </is>
      </c>
      <c r="B8097" s="3" t="inlineStr">
        <is>
          <t>남해화학</t>
        </is>
      </c>
      <c r="C8097" s="2" t="inlineStr">
        <is>
          <t>코스피</t>
        </is>
      </c>
      <c r="D8097" s="2" t="inlineStr">
        <is>
          <t>025860</t>
        </is>
      </c>
      <c r="E8097" s="3" t="inlineStr">
        <is>
          <t>특수관계인으로부터자금차입</t>
        </is>
      </c>
      <c r="F8097" s="3" t="inlineStr">
        <is>
          <t>남해화학</t>
        </is>
      </c>
      <c r="G8097" s="2" t="inlineStr">
        <is>
          <t>20260529000541</t>
        </is>
      </c>
      <c r="H8097" s="8">
        <f>HYPERLINK("https://dart.fss.or.kr/dsaf001/main.do?rcpNo=20260529000541", "공시열람")</f>
        <v/>
      </c>
    </row>
    <row r="8098">
      <c r="A8098" s="2" t="inlineStr">
        <is>
          <t>2026-05-29</t>
        </is>
      </c>
      <c r="B8098" s="3" t="inlineStr">
        <is>
          <t>SK하이닉스</t>
        </is>
      </c>
      <c r="C8098" s="2" t="inlineStr">
        <is>
          <t>코스피</t>
        </is>
      </c>
      <c r="D8098" s="2" t="inlineStr">
        <is>
          <t>000660</t>
        </is>
      </c>
      <c r="E8098" s="3" t="inlineStr">
        <is>
          <t>[기재정정]특수관계인과의내부거래</t>
        </is>
      </c>
      <c r="F8098" s="3" t="inlineStr">
        <is>
          <t>SK하이닉스</t>
        </is>
      </c>
      <c r="G8098" s="2" t="inlineStr">
        <is>
          <t>20260529000534</t>
        </is>
      </c>
      <c r="H8098" s="8">
        <f>HYPERLINK("https://dart.fss.or.kr/dsaf001/main.do?rcpNo=20260529000534", "공시열람")</f>
        <v/>
      </c>
    </row>
    <row r="8099">
      <c r="A8099" s="2" t="inlineStr">
        <is>
          <t>2026-05-29</t>
        </is>
      </c>
      <c r="B8099" s="3" t="inlineStr">
        <is>
          <t>넥슨게임즈</t>
        </is>
      </c>
      <c r="C8099" s="2" t="inlineStr">
        <is>
          <t>코스닥</t>
        </is>
      </c>
      <c r="D8099" s="2" t="inlineStr">
        <is>
          <t>225570</t>
        </is>
      </c>
      <c r="E8099" s="3" t="inlineStr">
        <is>
          <t>대규모기업집단현황공시[연1회공시및1/4분기용(개별회사)]</t>
        </is>
      </c>
      <c r="F8099" s="3" t="inlineStr">
        <is>
          <t>넥슨게임즈</t>
        </is>
      </c>
      <c r="G8099" s="2" t="inlineStr">
        <is>
          <t>20260529000531</t>
        </is>
      </c>
      <c r="H8099" s="8">
        <f>HYPERLINK("https://dart.fss.or.kr/dsaf001/main.do?rcpNo=20260529000531", "공시열람")</f>
        <v/>
      </c>
    </row>
    <row r="8100">
      <c r="A8100" s="2" t="inlineStr">
        <is>
          <t>2026-05-29</t>
        </is>
      </c>
      <c r="B8100" s="3" t="inlineStr">
        <is>
          <t>삼립</t>
        </is>
      </c>
      <c r="C8100" s="2" t="inlineStr">
        <is>
          <t>코스피</t>
        </is>
      </c>
      <c r="D8100" s="2" t="inlineStr">
        <is>
          <t>005610</t>
        </is>
      </c>
      <c r="E8100" s="3" t="inlineStr">
        <is>
          <t xml:space="preserve">기업지배구조보고서공시              </t>
        </is>
      </c>
      <c r="F8100" s="3" t="inlineStr">
        <is>
          <t>삼립</t>
        </is>
      </c>
      <c r="G8100" s="2" t="inlineStr">
        <is>
          <t>20260529800562</t>
        </is>
      </c>
      <c r="H8100" s="8">
        <f>HYPERLINK("https://dart.fss.or.kr/dsaf001/main.do?rcpNo=20260529800562", "공시열람")</f>
        <v/>
      </c>
    </row>
    <row r="8101">
      <c r="A8101" s="2" t="inlineStr">
        <is>
          <t>2026-05-29</t>
        </is>
      </c>
      <c r="B8101" s="3" t="inlineStr">
        <is>
          <t>KISCO홀딩스</t>
        </is>
      </c>
      <c r="C8101" s="2" t="inlineStr">
        <is>
          <t>코스피</t>
        </is>
      </c>
      <c r="D8101" s="2" t="inlineStr">
        <is>
          <t>001940</t>
        </is>
      </c>
      <c r="E8101" s="3" t="inlineStr">
        <is>
          <t xml:space="preserve">기업지배구조보고서공시              </t>
        </is>
      </c>
      <c r="F8101" s="3" t="inlineStr">
        <is>
          <t>KISCO홀딩스</t>
        </is>
      </c>
      <c r="G8101" s="2" t="inlineStr">
        <is>
          <t>20260529800559</t>
        </is>
      </c>
      <c r="H8101" s="8">
        <f>HYPERLINK("https://dart.fss.or.kr/dsaf001/main.do?rcpNo=20260529800559", "공시열람")</f>
        <v/>
      </c>
    </row>
    <row r="8102">
      <c r="A8102" s="2" t="inlineStr">
        <is>
          <t>2026-05-29</t>
        </is>
      </c>
      <c r="B8102" s="3" t="inlineStr">
        <is>
          <t>대한제분</t>
        </is>
      </c>
      <c r="C8102" s="2" t="inlineStr">
        <is>
          <t>코스피</t>
        </is>
      </c>
      <c r="D8102" s="2" t="inlineStr">
        <is>
          <t>001130</t>
        </is>
      </c>
      <c r="E8102" s="3" t="inlineStr">
        <is>
          <t xml:space="preserve">기업지배구조보고서공시              </t>
        </is>
      </c>
      <c r="F8102" s="3" t="inlineStr">
        <is>
          <t>대한제분</t>
        </is>
      </c>
      <c r="G8102" s="2" t="inlineStr">
        <is>
          <t>20260529800554</t>
        </is>
      </c>
      <c r="H8102" s="8">
        <f>HYPERLINK("https://dart.fss.or.kr/dsaf001/main.do?rcpNo=20260529800554", "공시열람")</f>
        <v/>
      </c>
    </row>
    <row r="8103">
      <c r="A8103" s="2" t="inlineStr">
        <is>
          <t>2026-05-29</t>
        </is>
      </c>
      <c r="B8103" s="3" t="inlineStr">
        <is>
          <t>티케이지휴켐스</t>
        </is>
      </c>
      <c r="C8103" s="2" t="inlineStr">
        <is>
          <t>코스피</t>
        </is>
      </c>
      <c r="D8103" s="2" t="inlineStr">
        <is>
          <t>069260</t>
        </is>
      </c>
      <c r="E8103" s="3" t="inlineStr">
        <is>
          <t xml:space="preserve">기업지배구조보고서공시              </t>
        </is>
      </c>
      <c r="F8103" s="3" t="inlineStr">
        <is>
          <t>티케이지휴켐스</t>
        </is>
      </c>
      <c r="G8103" s="2" t="inlineStr">
        <is>
          <t>20260529800548</t>
        </is>
      </c>
      <c r="H8103" s="8">
        <f>HYPERLINK("https://dart.fss.or.kr/dsaf001/main.do?rcpNo=20260529800548", "공시열람")</f>
        <v/>
      </c>
    </row>
    <row r="8104">
      <c r="A8104" s="2" t="inlineStr">
        <is>
          <t>2026-05-29</t>
        </is>
      </c>
      <c r="B8104" s="3" t="inlineStr">
        <is>
          <t>이리츠코크렙</t>
        </is>
      </c>
      <c r="C8104" s="2" t="inlineStr">
        <is>
          <t>코스피</t>
        </is>
      </c>
      <c r="D8104" s="2" t="inlineStr">
        <is>
          <t>088260</t>
        </is>
      </c>
      <c r="E8104" s="3" t="inlineStr">
        <is>
          <t>대규모기업집단현황공시[연1회공시및1/4분기용(개별회사)]</t>
        </is>
      </c>
      <c r="F8104" s="3" t="inlineStr">
        <is>
          <t>이리츠코크렙</t>
        </is>
      </c>
      <c r="G8104" s="2" t="inlineStr">
        <is>
          <t>20260529000515</t>
        </is>
      </c>
      <c r="H8104" s="8">
        <f>HYPERLINK("https://dart.fss.or.kr/dsaf001/main.do?rcpNo=20260529000515", "공시열람")</f>
        <v/>
      </c>
    </row>
    <row r="8105">
      <c r="A8105" s="2" t="inlineStr">
        <is>
          <t>2026-05-29</t>
        </is>
      </c>
      <c r="B8105" s="3" t="inlineStr">
        <is>
          <t>포스코DX</t>
        </is>
      </c>
      <c r="C8105" s="2" t="inlineStr">
        <is>
          <t>코스피</t>
        </is>
      </c>
      <c r="D8105" s="2" t="inlineStr">
        <is>
          <t>022100</t>
        </is>
      </c>
      <c r="E8105" s="3" t="inlineStr">
        <is>
          <t xml:space="preserve">기업지배구조보고서공시              </t>
        </is>
      </c>
      <c r="F8105" s="3" t="inlineStr">
        <is>
          <t>포스코DX</t>
        </is>
      </c>
      <c r="G8105" s="2" t="inlineStr">
        <is>
          <t>20260529800498</t>
        </is>
      </c>
      <c r="H8105" s="8">
        <f>HYPERLINK("https://dart.fss.or.kr/dsaf001/main.do?rcpNo=20260529800498", "공시열람")</f>
        <v/>
      </c>
    </row>
    <row r="8106">
      <c r="A8106" s="2" t="inlineStr">
        <is>
          <t>2026-05-29</t>
        </is>
      </c>
      <c r="B8106" s="3" t="inlineStr">
        <is>
          <t>케이옥션</t>
        </is>
      </c>
      <c r="C8106" s="2" t="inlineStr">
        <is>
          <t>코스닥</t>
        </is>
      </c>
      <c r="D8106" s="2" t="inlineStr">
        <is>
          <t>102370</t>
        </is>
      </c>
      <c r="E8106" s="3" t="inlineStr">
        <is>
          <t>임원ㆍ주요주주특정증권등소유상황보고서</t>
        </is>
      </c>
      <c r="F8106" s="3" t="inlineStr">
        <is>
          <t>티에이어드바이저</t>
        </is>
      </c>
      <c r="G8106" s="2" t="inlineStr">
        <is>
          <t>20260529000502</t>
        </is>
      </c>
      <c r="H8106" s="8">
        <f>HYPERLINK("https://dart.fss.or.kr/dsaf001/main.do?rcpNo=20260529000502", "공시열람")</f>
        <v/>
      </c>
    </row>
    <row r="8107">
      <c r="A8107" s="2" t="inlineStr">
        <is>
          <t>2026-05-29</t>
        </is>
      </c>
      <c r="B8107" s="3" t="inlineStr">
        <is>
          <t>수산세보틱스</t>
        </is>
      </c>
      <c r="C8107" s="2" t="inlineStr">
        <is>
          <t>코스피</t>
        </is>
      </c>
      <c r="D8107" s="2" t="inlineStr">
        <is>
          <t>017550</t>
        </is>
      </c>
      <c r="E8107" s="3" t="inlineStr">
        <is>
          <t xml:space="preserve">기업지배구조보고서공시              </t>
        </is>
      </c>
      <c r="F8107" s="3" t="inlineStr">
        <is>
          <t>수산세보틱스</t>
        </is>
      </c>
      <c r="G8107" s="2" t="inlineStr">
        <is>
          <t>20260529800533</t>
        </is>
      </c>
      <c r="H8107" s="8">
        <f>HYPERLINK("https://dart.fss.or.kr/dsaf001/main.do?rcpNo=20260529800533", "공시열람")</f>
        <v/>
      </c>
    </row>
    <row r="8108">
      <c r="A8108" s="2" t="inlineStr">
        <is>
          <t>2026-05-29</t>
        </is>
      </c>
      <c r="B8108" s="3" t="inlineStr">
        <is>
          <t>에스엠</t>
        </is>
      </c>
      <c r="C8108" s="2" t="inlineStr">
        <is>
          <t>코스닥</t>
        </is>
      </c>
      <c r="D8108" s="2" t="inlineStr">
        <is>
          <t>041510</t>
        </is>
      </c>
      <c r="E8108" s="3" t="inlineStr">
        <is>
          <t>대규모기업집단현황공시[연1회공시및1/4분기용(개별회사)]</t>
        </is>
      </c>
      <c r="F8108" s="3" t="inlineStr">
        <is>
          <t>에스엠</t>
        </is>
      </c>
      <c r="G8108" s="2" t="inlineStr">
        <is>
          <t>20260529000499</t>
        </is>
      </c>
      <c r="H8108" s="8">
        <f>HYPERLINK("https://dart.fss.or.kr/dsaf001/main.do?rcpNo=20260529000499", "공시열람")</f>
        <v/>
      </c>
    </row>
    <row r="8109">
      <c r="A8109" s="2" t="inlineStr">
        <is>
          <t>2026-05-29</t>
        </is>
      </c>
      <c r="B8109" s="3" t="inlineStr">
        <is>
          <t>한화갤러리아</t>
        </is>
      </c>
      <c r="C8109" s="2" t="inlineStr">
        <is>
          <t>코스피</t>
        </is>
      </c>
      <c r="D8109" s="2" t="inlineStr">
        <is>
          <t>452260</t>
        </is>
      </c>
      <c r="E8109" s="3" t="inlineStr">
        <is>
          <t>대규모기업집단현황공시[연1회공시및1/4분기용(개별회사)]</t>
        </is>
      </c>
      <c r="F8109" s="3" t="inlineStr">
        <is>
          <t>한화갤러리아</t>
        </is>
      </c>
      <c r="G8109" s="2" t="inlineStr">
        <is>
          <t>20260529000493</t>
        </is>
      </c>
      <c r="H8109" s="8">
        <f>HYPERLINK("https://dart.fss.or.kr/dsaf001/main.do?rcpNo=20260529000493", "공시열람")</f>
        <v/>
      </c>
    </row>
    <row r="8110">
      <c r="A8110" s="2" t="inlineStr">
        <is>
          <t>2026-05-29</t>
        </is>
      </c>
      <c r="B8110" s="3" t="inlineStr">
        <is>
          <t>에스피소프트</t>
        </is>
      </c>
      <c r="C8110" s="2" t="inlineStr">
        <is>
          <t>코스닥</t>
        </is>
      </c>
      <c r="D8110" s="2" t="inlineStr">
        <is>
          <t>443670</t>
        </is>
      </c>
      <c r="E8110" s="3" t="inlineStr">
        <is>
          <t>신탁계약해지결과보고서</t>
        </is>
      </c>
      <c r="F8110" s="3" t="inlineStr">
        <is>
          <t>에스피소프트</t>
        </is>
      </c>
      <c r="G8110" s="2" t="inlineStr">
        <is>
          <t>20260529000491</t>
        </is>
      </c>
      <c r="H8110" s="8">
        <f>HYPERLINK("https://dart.fss.or.kr/dsaf001/main.do?rcpNo=20260529000491", "공시열람")</f>
        <v/>
      </c>
    </row>
    <row r="8111">
      <c r="A8111" s="2" t="inlineStr">
        <is>
          <t>2026-05-29</t>
        </is>
      </c>
      <c r="B8111" s="3" t="inlineStr">
        <is>
          <t>한국철강</t>
        </is>
      </c>
      <c r="C8111" s="2" t="inlineStr">
        <is>
          <t>코스피</t>
        </is>
      </c>
      <c r="D8111" s="2" t="inlineStr">
        <is>
          <t>104700</t>
        </is>
      </c>
      <c r="E8111" s="3" t="inlineStr">
        <is>
          <t xml:space="preserve">기업지배구조보고서공시              </t>
        </is>
      </c>
      <c r="F8111" s="3" t="inlineStr">
        <is>
          <t>한국철강</t>
        </is>
      </c>
      <c r="G8111" s="2" t="inlineStr">
        <is>
          <t>20260529800529</t>
        </is>
      </c>
      <c r="H8111" s="8">
        <f>HYPERLINK("https://dart.fss.or.kr/dsaf001/main.do?rcpNo=20260529800529", "공시열람")</f>
        <v/>
      </c>
    </row>
    <row r="8112">
      <c r="A8112" s="2" t="inlineStr">
        <is>
          <t>2026-05-29</t>
        </is>
      </c>
      <c r="B8112" s="3" t="inlineStr">
        <is>
          <t>삼영전자공업</t>
        </is>
      </c>
      <c r="C8112" s="2" t="inlineStr">
        <is>
          <t>코스피</t>
        </is>
      </c>
      <c r="D8112" s="2" t="inlineStr">
        <is>
          <t>005680</t>
        </is>
      </c>
      <c r="E8112" s="3" t="inlineStr">
        <is>
          <t xml:space="preserve">기업지배구조보고서공시              </t>
        </is>
      </c>
      <c r="F8112" s="3" t="inlineStr">
        <is>
          <t>삼영전자공업</t>
        </is>
      </c>
      <c r="G8112" s="2" t="inlineStr">
        <is>
          <t>20260529800526</t>
        </is>
      </c>
      <c r="H8112" s="8">
        <f>HYPERLINK("https://dart.fss.or.kr/dsaf001/main.do?rcpNo=20260529800526", "공시열람")</f>
        <v/>
      </c>
    </row>
    <row r="8113">
      <c r="A8113" s="2" t="inlineStr">
        <is>
          <t>2026-05-29</t>
        </is>
      </c>
      <c r="B8113" s="3" t="inlineStr">
        <is>
          <t>오비고</t>
        </is>
      </c>
      <c r="C8113" s="2" t="inlineStr">
        <is>
          <t>코스닥</t>
        </is>
      </c>
      <c r="D8113" s="2" t="inlineStr">
        <is>
          <t>352910</t>
        </is>
      </c>
      <c r="E8113" s="3" t="inlineStr">
        <is>
          <t>임원ㆍ주요주주특정증권등소유상황보고서</t>
        </is>
      </c>
      <c r="F8113" s="3" t="inlineStr">
        <is>
          <t>장영준</t>
        </is>
      </c>
      <c r="G8113" s="2" t="inlineStr">
        <is>
          <t>20260529000488</t>
        </is>
      </c>
      <c r="H8113" s="8">
        <f>HYPERLINK("https://dart.fss.or.kr/dsaf001/main.do?rcpNo=20260529000488", "공시열람")</f>
        <v/>
      </c>
    </row>
    <row r="8114">
      <c r="A8114" s="2" t="inlineStr">
        <is>
          <t>2026-05-29</t>
        </is>
      </c>
      <c r="B8114" s="3" t="inlineStr">
        <is>
          <t>모나용평</t>
        </is>
      </c>
      <c r="C8114" s="2" t="inlineStr">
        <is>
          <t>코스피</t>
        </is>
      </c>
      <c r="D8114" s="2" t="inlineStr">
        <is>
          <t>070960</t>
        </is>
      </c>
      <c r="E8114" s="3" t="inlineStr">
        <is>
          <t xml:space="preserve">기업지배구조보고서공시              </t>
        </is>
      </c>
      <c r="F8114" s="3" t="inlineStr">
        <is>
          <t>모나용평</t>
        </is>
      </c>
      <c r="G8114" s="2" t="inlineStr">
        <is>
          <t>20260529800523</t>
        </is>
      </c>
      <c r="H8114" s="8">
        <f>HYPERLINK("https://dart.fss.or.kr/dsaf001/main.do?rcpNo=20260529800523", "공시열람")</f>
        <v/>
      </c>
    </row>
    <row r="8115">
      <c r="A8115" s="2" t="inlineStr">
        <is>
          <t>2026-05-29</t>
        </is>
      </c>
      <c r="B8115" s="3" t="inlineStr">
        <is>
          <t>에쓰씨엔지니어링</t>
        </is>
      </c>
      <c r="C8115" s="2" t="inlineStr">
        <is>
          <t>코스피</t>
        </is>
      </c>
      <c r="D8115" s="2" t="inlineStr">
        <is>
          <t>023960</t>
        </is>
      </c>
      <c r="E8115" s="3" t="inlineStr">
        <is>
          <t>대규모기업집단현황공시[연1회공시및1/4분기용(개별회사)]</t>
        </is>
      </c>
      <c r="F8115" s="3" t="inlineStr">
        <is>
          <t>에쓰씨엔지니어링</t>
        </is>
      </c>
      <c r="G8115" s="2" t="inlineStr">
        <is>
          <t>20260529000478</t>
        </is>
      </c>
      <c r="H8115" s="8">
        <f>HYPERLINK("https://dart.fss.or.kr/dsaf001/main.do?rcpNo=20260529000478", "공시열람")</f>
        <v/>
      </c>
    </row>
    <row r="8116">
      <c r="A8116" s="2" t="inlineStr">
        <is>
          <t>2026-05-29</t>
        </is>
      </c>
      <c r="B8116" s="3" t="inlineStr">
        <is>
          <t>대신정보통신</t>
        </is>
      </c>
      <c r="C8116" s="2" t="inlineStr">
        <is>
          <t>코스닥</t>
        </is>
      </c>
      <c r="D8116" s="2" t="inlineStr">
        <is>
          <t>020180</t>
        </is>
      </c>
      <c r="E8116" s="3" t="inlineStr">
        <is>
          <t xml:space="preserve">매출액또는손익구조30%(대규모법인은15%)이상변동              </t>
        </is>
      </c>
      <c r="F8116" s="3" t="inlineStr">
        <is>
          <t>대신정보통신</t>
        </is>
      </c>
      <c r="G8116" s="2" t="inlineStr">
        <is>
          <t>20260529900447</t>
        </is>
      </c>
      <c r="H8116" s="8">
        <f>HYPERLINK("https://dart.fss.or.kr/dsaf001/main.do?rcpNo=20260529900447", "공시열람")</f>
        <v/>
      </c>
    </row>
    <row r="8117">
      <c r="A8117" s="2" t="inlineStr">
        <is>
          <t>2026-05-29</t>
        </is>
      </c>
      <c r="B8117" s="3" t="inlineStr">
        <is>
          <t>BGF</t>
        </is>
      </c>
      <c r="C8117" s="2" t="inlineStr">
        <is>
          <t>코스피</t>
        </is>
      </c>
      <c r="D8117" s="2" t="inlineStr">
        <is>
          <t>027410</t>
        </is>
      </c>
      <c r="E8117" s="3" t="inlineStr">
        <is>
          <t xml:space="preserve">기업지배구조보고서공시              </t>
        </is>
      </c>
      <c r="F8117" s="3" t="inlineStr">
        <is>
          <t>BGF</t>
        </is>
      </c>
      <c r="G8117" s="2" t="inlineStr">
        <is>
          <t>20260529800452</t>
        </is>
      </c>
      <c r="H8117" s="8">
        <f>HYPERLINK("https://dart.fss.or.kr/dsaf001/main.do?rcpNo=20260529800452", "공시열람")</f>
        <v/>
      </c>
    </row>
    <row r="8118">
      <c r="A8118" s="2" t="inlineStr">
        <is>
          <t>2026-05-29</t>
        </is>
      </c>
      <c r="B8118" s="3" t="inlineStr">
        <is>
          <t>DL</t>
        </is>
      </c>
      <c r="C8118" s="2" t="inlineStr">
        <is>
          <t>코스피</t>
        </is>
      </c>
      <c r="D8118" s="2" t="inlineStr">
        <is>
          <t>000210</t>
        </is>
      </c>
      <c r="E8118" s="3" t="inlineStr">
        <is>
          <t xml:space="preserve">기업지배구조보고서공시              </t>
        </is>
      </c>
      <c r="F8118" s="3" t="inlineStr">
        <is>
          <t>DL</t>
        </is>
      </c>
      <c r="G8118" s="2" t="inlineStr">
        <is>
          <t>20260529800512</t>
        </is>
      </c>
      <c r="H8118" s="8">
        <f>HYPERLINK("https://dart.fss.or.kr/dsaf001/main.do?rcpNo=20260529800512", "공시열람")</f>
        <v/>
      </c>
    </row>
    <row r="8119">
      <c r="A8119" s="2" t="inlineStr">
        <is>
          <t>2026-05-29</t>
        </is>
      </c>
      <c r="B8119" s="3" t="inlineStr">
        <is>
          <t>BGF리테일</t>
        </is>
      </c>
      <c r="C8119" s="2" t="inlineStr">
        <is>
          <t>코스피</t>
        </is>
      </c>
      <c r="D8119" s="2" t="inlineStr">
        <is>
          <t>282330</t>
        </is>
      </c>
      <c r="E8119" s="3" t="inlineStr">
        <is>
          <t xml:space="preserve">기업지배구조보고서공시              </t>
        </is>
      </c>
      <c r="F8119" s="3" t="inlineStr">
        <is>
          <t>BGF리테일</t>
        </is>
      </c>
      <c r="G8119" s="2" t="inlineStr">
        <is>
          <t>20260529800461</t>
        </is>
      </c>
      <c r="H8119" s="8">
        <f>HYPERLINK("https://dart.fss.or.kr/dsaf001/main.do?rcpNo=20260529800461", "공시열람")</f>
        <v/>
      </c>
    </row>
    <row r="8120">
      <c r="A8120" s="2" t="inlineStr">
        <is>
          <t>2026-05-29</t>
        </is>
      </c>
      <c r="B8120" s="3" t="inlineStr">
        <is>
          <t>AK홀딩스</t>
        </is>
      </c>
      <c r="C8120" s="2" t="inlineStr">
        <is>
          <t>코스피</t>
        </is>
      </c>
      <c r="D8120" s="2" t="inlineStr">
        <is>
          <t>006840</t>
        </is>
      </c>
      <c r="E8120" s="3" t="inlineStr">
        <is>
          <t>대규모기업집단현황공시[연1회(동일인용)]</t>
        </is>
      </c>
      <c r="F8120" s="3" t="inlineStr">
        <is>
          <t>장영신</t>
        </is>
      </c>
      <c r="G8120" s="2" t="inlineStr">
        <is>
          <t>20260529000453</t>
        </is>
      </c>
      <c r="H8120" s="8">
        <f>HYPERLINK("https://dart.fss.or.kr/dsaf001/main.do?rcpNo=20260529000453", "공시열람")</f>
        <v/>
      </c>
    </row>
    <row r="8121">
      <c r="A8121" s="2" t="inlineStr">
        <is>
          <t>2026-05-29</t>
        </is>
      </c>
      <c r="B8121" s="3" t="inlineStr">
        <is>
          <t>신흥</t>
        </is>
      </c>
      <c r="C8121" s="2" t="inlineStr">
        <is>
          <t>코스피</t>
        </is>
      </c>
      <c r="D8121" s="2" t="inlineStr">
        <is>
          <t>004080</t>
        </is>
      </c>
      <c r="E8121" s="3" t="inlineStr">
        <is>
          <t>임원ㆍ주요주주특정증권등소유상황보고서</t>
        </is>
      </c>
      <c r="F8121" s="3" t="inlineStr">
        <is>
          <t>서정인</t>
        </is>
      </c>
      <c r="G8121" s="2" t="inlineStr">
        <is>
          <t>20260529000450</t>
        </is>
      </c>
      <c r="H8121" s="8">
        <f>HYPERLINK("https://dart.fss.or.kr/dsaf001/main.do?rcpNo=20260529000450", "공시열람")</f>
        <v/>
      </c>
    </row>
    <row r="8122">
      <c r="A8122" s="2" t="inlineStr">
        <is>
          <t>2026-05-29</t>
        </is>
      </c>
      <c r="B8122" s="3" t="inlineStr">
        <is>
          <t>방림</t>
        </is>
      </c>
      <c r="C8122" s="2" t="inlineStr">
        <is>
          <t>코스피</t>
        </is>
      </c>
      <c r="D8122" s="2" t="inlineStr">
        <is>
          <t>003610</t>
        </is>
      </c>
      <c r="E8122" s="3" t="inlineStr">
        <is>
          <t xml:space="preserve">기업지배구조보고서공시              </t>
        </is>
      </c>
      <c r="F8122" s="3" t="inlineStr">
        <is>
          <t>방림</t>
        </is>
      </c>
      <c r="G8122" s="2" t="inlineStr">
        <is>
          <t>20260529800504</t>
        </is>
      </c>
      <c r="H8122" s="8">
        <f>HYPERLINK("https://dart.fss.or.kr/dsaf001/main.do?rcpNo=20260529800504", "공시열람")</f>
        <v/>
      </c>
    </row>
    <row r="8123">
      <c r="A8123" s="2" t="inlineStr">
        <is>
          <t>2026-05-29</t>
        </is>
      </c>
      <c r="B8123" s="3" t="inlineStr">
        <is>
          <t>이월드</t>
        </is>
      </c>
      <c r="C8123" s="2" t="inlineStr">
        <is>
          <t>코스피</t>
        </is>
      </c>
      <c r="D8123" s="2" t="inlineStr">
        <is>
          <t>084680</t>
        </is>
      </c>
      <c r="E8123" s="3" t="inlineStr">
        <is>
          <t>대규모기업집단현황공시[연1회공시및1/4분기용(개별회사)]</t>
        </is>
      </c>
      <c r="F8123" s="3" t="inlineStr">
        <is>
          <t>이월드</t>
        </is>
      </c>
      <c r="G8123" s="2" t="inlineStr">
        <is>
          <t>20260529000439</t>
        </is>
      </c>
      <c r="H8123" s="8">
        <f>HYPERLINK("https://dart.fss.or.kr/dsaf001/main.do?rcpNo=20260529000439", "공시열람")</f>
        <v/>
      </c>
    </row>
    <row r="8124">
      <c r="A8124" s="2" t="inlineStr">
        <is>
          <t>2026-05-29</t>
        </is>
      </c>
      <c r="B8124" s="3" t="inlineStr">
        <is>
          <t>신흥</t>
        </is>
      </c>
      <c r="C8124" s="2" t="inlineStr">
        <is>
          <t>코스피</t>
        </is>
      </c>
      <c r="D8124" s="2" t="inlineStr">
        <is>
          <t>004080</t>
        </is>
      </c>
      <c r="E8124" s="3" t="inlineStr">
        <is>
          <t>임원ㆍ주요주주특정증권등소유상황보고서</t>
        </is>
      </c>
      <c r="F8124" s="3" t="inlineStr">
        <is>
          <t>류정근</t>
        </is>
      </c>
      <c r="G8124" s="2" t="inlineStr">
        <is>
          <t>20260529000433</t>
        </is>
      </c>
      <c r="H8124" s="8">
        <f>HYPERLINK("https://dart.fss.or.kr/dsaf001/main.do?rcpNo=20260529000433", "공시열람")</f>
        <v/>
      </c>
    </row>
    <row r="8125">
      <c r="A8125" s="2" t="inlineStr">
        <is>
          <t>2026-05-29</t>
        </is>
      </c>
      <c r="B8125" s="3" t="inlineStr">
        <is>
          <t>한국카본</t>
        </is>
      </c>
      <c r="C8125" s="2" t="inlineStr">
        <is>
          <t>코스피</t>
        </is>
      </c>
      <c r="D8125" s="2" t="inlineStr">
        <is>
          <t>017960</t>
        </is>
      </c>
      <c r="E8125" s="3" t="inlineStr">
        <is>
          <t xml:space="preserve">기업지배구조보고서공시              </t>
        </is>
      </c>
      <c r="F8125" s="3" t="inlineStr">
        <is>
          <t>한국카본</t>
        </is>
      </c>
      <c r="G8125" s="2" t="inlineStr">
        <is>
          <t>20260529800489</t>
        </is>
      </c>
      <c r="H8125" s="8">
        <f>HYPERLINK("https://dart.fss.or.kr/dsaf001/main.do?rcpNo=20260529800489", "공시열람")</f>
        <v/>
      </c>
    </row>
    <row r="8126">
      <c r="A8126" s="2" t="inlineStr">
        <is>
          <t>2026-05-29</t>
        </is>
      </c>
      <c r="B8126" s="3" t="inlineStr">
        <is>
          <t>DL</t>
        </is>
      </c>
      <c r="C8126" s="2" t="inlineStr">
        <is>
          <t>코스피</t>
        </is>
      </c>
      <c r="D8126" s="2" t="inlineStr">
        <is>
          <t>000210</t>
        </is>
      </c>
      <c r="E8126" s="3" t="inlineStr">
        <is>
          <t>대규모기업집단현황공시[연1회(동일인용)]</t>
        </is>
      </c>
      <c r="F8126" s="3" t="inlineStr">
        <is>
          <t>이해욱</t>
        </is>
      </c>
      <c r="G8126" s="2" t="inlineStr">
        <is>
          <t>20260529000424</t>
        </is>
      </c>
      <c r="H8126" s="8">
        <f>HYPERLINK("https://dart.fss.or.kr/dsaf001/main.do?rcpNo=20260529000424", "공시열람")</f>
        <v/>
      </c>
    </row>
    <row r="8127">
      <c r="A8127" s="2" t="inlineStr">
        <is>
          <t>2026-05-29</t>
        </is>
      </c>
      <c r="B8127" s="3" t="inlineStr">
        <is>
          <t>인지소프트</t>
        </is>
      </c>
      <c r="C8127" s="2" t="inlineStr">
        <is>
          <t>코스닥</t>
        </is>
      </c>
      <c r="D8127" s="2" t="inlineStr">
        <is>
          <t>100030</t>
        </is>
      </c>
      <c r="E8127" s="3" t="inlineStr">
        <is>
          <t>임원ㆍ주요주주특정증권등소유상황보고서</t>
        </is>
      </c>
      <c r="F8127" s="3" t="inlineStr">
        <is>
          <t>김기홍</t>
        </is>
      </c>
      <c r="G8127" s="2" t="inlineStr">
        <is>
          <t>20260529000423</t>
        </is>
      </c>
      <c r="H8127" s="8">
        <f>HYPERLINK("https://dart.fss.or.kr/dsaf001/main.do?rcpNo=20260529000423", "공시열람")</f>
        <v/>
      </c>
    </row>
    <row r="8128">
      <c r="A8128" s="2" t="inlineStr">
        <is>
          <t>2026-05-29</t>
        </is>
      </c>
      <c r="B8128" s="3" t="inlineStr">
        <is>
          <t>신흥</t>
        </is>
      </c>
      <c r="C8128" s="2" t="inlineStr">
        <is>
          <t>코스피</t>
        </is>
      </c>
      <c r="D8128" s="2" t="inlineStr">
        <is>
          <t>004080</t>
        </is>
      </c>
      <c r="E8128" s="3" t="inlineStr">
        <is>
          <t>임원ㆍ주요주주특정증권등소유상황보고서</t>
        </is>
      </c>
      <c r="F8128" s="3" t="inlineStr">
        <is>
          <t>최천수</t>
        </is>
      </c>
      <c r="G8128" s="2" t="inlineStr">
        <is>
          <t>20260529000421</t>
        </is>
      </c>
      <c r="H8128" s="8">
        <f>HYPERLINK("https://dart.fss.or.kr/dsaf001/main.do?rcpNo=20260529000421", "공시열람")</f>
        <v/>
      </c>
    </row>
    <row r="8129">
      <c r="A8129" s="2" t="inlineStr">
        <is>
          <t>2026-05-29</t>
        </is>
      </c>
      <c r="B8129" s="3" t="inlineStr">
        <is>
          <t>제일테크노스</t>
        </is>
      </c>
      <c r="C8129" s="2" t="inlineStr">
        <is>
          <t>코스닥</t>
        </is>
      </c>
      <c r="D8129" s="2" t="inlineStr">
        <is>
          <t>038010</t>
        </is>
      </c>
      <c r="E8129" s="3" t="inlineStr">
        <is>
          <t xml:space="preserve">주주명부폐쇄기간또는기준일설정              </t>
        </is>
      </c>
      <c r="F8129" s="3" t="inlineStr">
        <is>
          <t>제일테크노스</t>
        </is>
      </c>
      <c r="G8129" s="2" t="inlineStr">
        <is>
          <t>20260529900487</t>
        </is>
      </c>
      <c r="H8129" s="8">
        <f>HYPERLINK("https://dart.fss.or.kr/dsaf001/main.do?rcpNo=20260529900487", "공시열람")</f>
        <v/>
      </c>
    </row>
    <row r="8130">
      <c r="A8130" s="2" t="inlineStr">
        <is>
          <t>2026-05-29</t>
        </is>
      </c>
      <c r="B8130" s="3" t="inlineStr">
        <is>
          <t>포스코퓨처엠</t>
        </is>
      </c>
      <c r="C8130" s="2" t="inlineStr">
        <is>
          <t>코스피</t>
        </is>
      </c>
      <c r="D8130" s="2" t="inlineStr">
        <is>
          <t>003670</t>
        </is>
      </c>
      <c r="E8130" s="3" t="inlineStr">
        <is>
          <t xml:space="preserve">기업지배구조보고서공시              </t>
        </is>
      </c>
      <c r="F8130" s="3" t="inlineStr">
        <is>
          <t>포스코퓨처엠</t>
        </is>
      </c>
      <c r="G8130" s="2" t="inlineStr">
        <is>
          <t>20260529800481</t>
        </is>
      </c>
      <c r="H8130" s="8">
        <f>HYPERLINK("https://dart.fss.or.kr/dsaf001/main.do?rcpNo=20260529800481", "공시열람")</f>
        <v/>
      </c>
    </row>
    <row r="8131">
      <c r="A8131" s="2" t="inlineStr">
        <is>
          <t>2026-05-29</t>
        </is>
      </c>
      <c r="B8131" s="3" t="inlineStr">
        <is>
          <t>명신산업</t>
        </is>
      </c>
      <c r="C8131" s="2" t="inlineStr">
        <is>
          <t>코스피</t>
        </is>
      </c>
      <c r="D8131" s="2" t="inlineStr">
        <is>
          <t>009900</t>
        </is>
      </c>
      <c r="E8131" s="3" t="inlineStr">
        <is>
          <t xml:space="preserve">기업지배구조보고서공시              </t>
        </is>
      </c>
      <c r="F8131" s="3" t="inlineStr">
        <is>
          <t>명신산업</t>
        </is>
      </c>
      <c r="G8131" s="2" t="inlineStr">
        <is>
          <t>20260529800475</t>
        </is>
      </c>
      <c r="H8131" s="8">
        <f>HYPERLINK("https://dart.fss.or.kr/dsaf001/main.do?rcpNo=20260529800475", "공시열람")</f>
        <v/>
      </c>
    </row>
    <row r="8132">
      <c r="A8132" s="2" t="inlineStr">
        <is>
          <t>2026-05-29</t>
        </is>
      </c>
      <c r="B8132" s="3" t="inlineStr">
        <is>
          <t>에코프로</t>
        </is>
      </c>
      <c r="C8132" s="2" t="inlineStr">
        <is>
          <t>코스닥</t>
        </is>
      </c>
      <c r="D8132" s="2" t="inlineStr">
        <is>
          <t>086520</t>
        </is>
      </c>
      <c r="E8132" s="3" t="inlineStr">
        <is>
          <t>대규모기업집단현황공시[연1회(동일인용)]</t>
        </is>
      </c>
      <c r="F8132" s="3" t="inlineStr">
        <is>
          <t>이동채</t>
        </is>
      </c>
      <c r="G8132" s="2" t="inlineStr">
        <is>
          <t>20260529000410</t>
        </is>
      </c>
      <c r="H8132" s="8">
        <f>HYPERLINK("https://dart.fss.or.kr/dsaf001/main.do?rcpNo=20260529000410", "공시열람")</f>
        <v/>
      </c>
    </row>
    <row r="8133">
      <c r="A8133" s="2" t="inlineStr">
        <is>
          <t>2026-05-29</t>
        </is>
      </c>
      <c r="B8133" s="3" t="inlineStr">
        <is>
          <t>SK디앤디</t>
        </is>
      </c>
      <c r="C8133" s="2" t="inlineStr">
        <is>
          <t>코스피</t>
        </is>
      </c>
      <c r="D8133" s="2" t="inlineStr">
        <is>
          <t>210980</t>
        </is>
      </c>
      <c r="E8133" s="3" t="inlineStr">
        <is>
          <t>대규모기업집단현황공시[연1회공시및1/4분기용(개별회사)]</t>
        </is>
      </c>
      <c r="F8133" s="3" t="inlineStr">
        <is>
          <t>SK디앤디</t>
        </is>
      </c>
      <c r="G8133" s="2" t="inlineStr">
        <is>
          <t>20260529000408</t>
        </is>
      </c>
      <c r="H8133" s="8">
        <f>HYPERLINK("https://dart.fss.or.kr/dsaf001/main.do?rcpNo=20260529000408", "공시열람")</f>
        <v/>
      </c>
    </row>
    <row r="8134">
      <c r="A8134" s="2" t="inlineStr">
        <is>
          <t>2026-05-29</t>
        </is>
      </c>
      <c r="B8134" s="3" t="inlineStr">
        <is>
          <t>농심</t>
        </is>
      </c>
      <c r="C8134" s="2" t="inlineStr">
        <is>
          <t>코스피</t>
        </is>
      </c>
      <c r="D8134" s="2" t="inlineStr">
        <is>
          <t>004370</t>
        </is>
      </c>
      <c r="E8134" s="3" t="inlineStr">
        <is>
          <t xml:space="preserve">기업지배구조보고서공시              </t>
        </is>
      </c>
      <c r="F8134" s="3" t="inlineStr">
        <is>
          <t>농심</t>
        </is>
      </c>
      <c r="G8134" s="2" t="inlineStr">
        <is>
          <t>20260529800458</t>
        </is>
      </c>
      <c r="H8134" s="8">
        <f>HYPERLINK("https://dart.fss.or.kr/dsaf001/main.do?rcpNo=20260529800458", "공시열람")</f>
        <v/>
      </c>
    </row>
    <row r="8135">
      <c r="A8135" s="2" t="inlineStr">
        <is>
          <t>2026-05-29</t>
        </is>
      </c>
      <c r="B8135" s="3" t="inlineStr">
        <is>
          <t>IPARK현대산업개발</t>
        </is>
      </c>
      <c r="C8135" s="2" t="inlineStr">
        <is>
          <t>코스피</t>
        </is>
      </c>
      <c r="D8135" s="2" t="inlineStr">
        <is>
          <t>294870</t>
        </is>
      </c>
      <c r="E8135" s="3" t="inlineStr">
        <is>
          <t>대규모기업집단현황공시[연1회공시및1/4분기용(개별회사)]</t>
        </is>
      </c>
      <c r="F8135" s="3" t="inlineStr">
        <is>
          <t>IPARK현대산업개발</t>
        </is>
      </c>
      <c r="G8135" s="2" t="inlineStr">
        <is>
          <t>20260529000406</t>
        </is>
      </c>
      <c r="H8135" s="8">
        <f>HYPERLINK("https://dart.fss.or.kr/dsaf001/main.do?rcpNo=20260529000406", "공시열람")</f>
        <v/>
      </c>
    </row>
    <row r="8136">
      <c r="A8136" s="2" t="inlineStr">
        <is>
          <t>2026-05-29</t>
        </is>
      </c>
      <c r="B8136" s="3" t="inlineStr">
        <is>
          <t>한화손해보험</t>
        </is>
      </c>
      <c r="C8136" s="2" t="inlineStr">
        <is>
          <t>코스피</t>
        </is>
      </c>
      <c r="D8136" s="2" t="inlineStr">
        <is>
          <t>000370</t>
        </is>
      </c>
      <c r="E8136" s="3" t="inlineStr">
        <is>
          <t>대규모기업집단현황공시[연1회공시및1/4분기용(개별회사)]</t>
        </is>
      </c>
      <c r="F8136" s="3" t="inlineStr">
        <is>
          <t>한화손해보험</t>
        </is>
      </c>
      <c r="G8136" s="2" t="inlineStr">
        <is>
          <t>20260529000405</t>
        </is>
      </c>
      <c r="H8136" s="8">
        <f>HYPERLINK("https://dart.fss.or.kr/dsaf001/main.do?rcpNo=20260529000405", "공시열람")</f>
        <v/>
      </c>
    </row>
    <row r="8137">
      <c r="A8137" s="2" t="inlineStr">
        <is>
          <t>2026-05-29</t>
        </is>
      </c>
      <c r="B8137" s="3" t="inlineStr">
        <is>
          <t>DL</t>
        </is>
      </c>
      <c r="C8137" s="2" t="inlineStr">
        <is>
          <t>코스피</t>
        </is>
      </c>
      <c r="D8137" s="2" t="inlineStr">
        <is>
          <t>000210</t>
        </is>
      </c>
      <c r="E8137" s="3" t="inlineStr">
        <is>
          <t>대규모기업집단현황공시[연1회공시및1/4분기용(대표회사)]</t>
        </is>
      </c>
      <c r="F8137" s="3" t="inlineStr">
        <is>
          <t>DL</t>
        </is>
      </c>
      <c r="G8137" s="2" t="inlineStr">
        <is>
          <t>20260529000400</t>
        </is>
      </c>
      <c r="H8137" s="8">
        <f>HYPERLINK("https://dart.fss.or.kr/dsaf001/main.do?rcpNo=20260529000400", "공시열람")</f>
        <v/>
      </c>
    </row>
    <row r="8138">
      <c r="A8138" s="2" t="inlineStr">
        <is>
          <t>2026-05-29</t>
        </is>
      </c>
      <c r="B8138" s="3" t="inlineStr">
        <is>
          <t>에스엠벡셀</t>
        </is>
      </c>
      <c r="C8138" s="2" t="inlineStr">
        <is>
          <t>코스피</t>
        </is>
      </c>
      <c r="D8138" s="2" t="inlineStr">
        <is>
          <t>010580</t>
        </is>
      </c>
      <c r="E8138" s="3" t="inlineStr">
        <is>
          <t xml:space="preserve">기업지배구조보고서공시              </t>
        </is>
      </c>
      <c r="F8138" s="3" t="inlineStr">
        <is>
          <t>에스엠벡셀</t>
        </is>
      </c>
      <c r="G8138" s="2" t="inlineStr">
        <is>
          <t>20260529800472</t>
        </is>
      </c>
      <c r="H8138" s="8">
        <f>HYPERLINK("https://dart.fss.or.kr/dsaf001/main.do?rcpNo=20260529800472", "공시열람")</f>
        <v/>
      </c>
    </row>
    <row r="8139">
      <c r="A8139" s="2" t="inlineStr">
        <is>
          <t>2026-05-29</t>
        </is>
      </c>
      <c r="B8139" s="3" t="inlineStr">
        <is>
          <t>유니켐</t>
        </is>
      </c>
      <c r="C8139" s="2" t="inlineStr">
        <is>
          <t>코스피</t>
        </is>
      </c>
      <c r="D8139" s="2" t="inlineStr">
        <is>
          <t>011330</t>
        </is>
      </c>
      <c r="E8139" s="3" t="inlineStr">
        <is>
          <t xml:space="preserve">기업지배구조보고서공시              </t>
        </is>
      </c>
      <c r="F8139" s="3" t="inlineStr">
        <is>
          <t>유니켐</t>
        </is>
      </c>
      <c r="G8139" s="2" t="inlineStr">
        <is>
          <t>20260529800462</t>
        </is>
      </c>
      <c r="H8139" s="8">
        <f>HYPERLINK("https://dart.fss.or.kr/dsaf001/main.do?rcpNo=20260529800462", "공시열람")</f>
        <v/>
      </c>
    </row>
    <row r="8140">
      <c r="A8140" s="2" t="inlineStr">
        <is>
          <t>2026-05-29 (정정: 2026-05-29)</t>
        </is>
      </c>
      <c r="B8140" s="3" t="inlineStr">
        <is>
          <t>제너셈</t>
        </is>
      </c>
      <c r="C8140" s="2" t="inlineStr">
        <is>
          <t>코스닥</t>
        </is>
      </c>
      <c r="D8140" s="2" t="inlineStr">
        <is>
          <t>217190</t>
        </is>
      </c>
      <c r="E8140" s="3" t="inlineStr">
        <is>
          <t>기업설명회(IR)개최               (정정: 20260529)</t>
        </is>
      </c>
      <c r="F8140" s="3" t="inlineStr">
        <is>
          <t>제너셈</t>
        </is>
      </c>
      <c r="G8140" s="2" t="inlineStr">
        <is>
          <t>20260529900415</t>
        </is>
      </c>
      <c r="H8140" s="8">
        <f>HYPERLINK("https://dart.fss.or.kr/dsaf001/main.do?rcpNo=20260529900415", "공시열람")</f>
        <v/>
      </c>
    </row>
    <row r="8141">
      <c r="A8141" s="2" t="inlineStr">
        <is>
          <t>2026-05-29</t>
        </is>
      </c>
      <c r="B8141" s="3" t="inlineStr">
        <is>
          <t>제너셈</t>
        </is>
      </c>
      <c r="C8141" s="2" t="inlineStr">
        <is>
          <t>코스닥</t>
        </is>
      </c>
      <c r="D8141" s="2" t="inlineStr">
        <is>
          <t>217190</t>
        </is>
      </c>
      <c r="E8141" s="3" t="inlineStr">
        <is>
          <t>의결권대리행사권유참고서류</t>
        </is>
      </c>
      <c r="F8141" s="3" t="inlineStr">
        <is>
          <t>제너셈</t>
        </is>
      </c>
      <c r="G8141" s="2" t="inlineStr">
        <is>
          <t>20260529000393</t>
        </is>
      </c>
      <c r="H8141" s="8">
        <f>HYPERLINK("https://dart.fss.or.kr/dsaf001/main.do?rcpNo=20260529000393", "공시열람")</f>
        <v/>
      </c>
    </row>
    <row r="8142">
      <c r="A8142" s="2" t="inlineStr">
        <is>
          <t>2026-05-29</t>
        </is>
      </c>
      <c r="B8142" s="3" t="inlineStr">
        <is>
          <t>신흥</t>
        </is>
      </c>
      <c r="C8142" s="2" t="inlineStr">
        <is>
          <t>코스피</t>
        </is>
      </c>
      <c r="D8142" s="2" t="inlineStr">
        <is>
          <t>004080</t>
        </is>
      </c>
      <c r="E8142" s="3" t="inlineStr">
        <is>
          <t>임원ㆍ주요주주특정증권등소유상황보고서</t>
        </is>
      </c>
      <c r="F8142" s="3" t="inlineStr">
        <is>
          <t>이용익</t>
        </is>
      </c>
      <c r="G8142" s="2" t="inlineStr">
        <is>
          <t>20260529000384</t>
        </is>
      </c>
      <c r="H8142" s="8">
        <f>HYPERLINK("https://dart.fss.or.kr/dsaf001/main.do?rcpNo=20260529000384", "공시열람")</f>
        <v/>
      </c>
    </row>
    <row r="8143">
      <c r="A8143" s="2" t="inlineStr">
        <is>
          <t>2026-05-29</t>
        </is>
      </c>
      <c r="B8143" s="3" t="inlineStr">
        <is>
          <t>대신정보통신</t>
        </is>
      </c>
      <c r="C8143" s="2" t="inlineStr">
        <is>
          <t>코스닥</t>
        </is>
      </c>
      <c r="D8143" s="2" t="inlineStr">
        <is>
          <t>020180</t>
        </is>
      </c>
      <c r="E8143" s="3" t="inlineStr">
        <is>
          <t xml:space="preserve">주식병합결정              </t>
        </is>
      </c>
      <c r="F8143" s="3" t="inlineStr">
        <is>
          <t>대신정보통신</t>
        </is>
      </c>
      <c r="G8143" s="2" t="inlineStr">
        <is>
          <t>20260529900449</t>
        </is>
      </c>
      <c r="H8143" s="8">
        <f>HYPERLINK("https://dart.fss.or.kr/dsaf001/main.do?rcpNo=20260529900449", "공시열람")</f>
        <v/>
      </c>
    </row>
    <row r="8144">
      <c r="A8144" s="2" t="inlineStr">
        <is>
          <t>2026-05-29</t>
        </is>
      </c>
      <c r="B8144" s="3" t="inlineStr">
        <is>
          <t>토니모리</t>
        </is>
      </c>
      <c r="C8144" s="2" t="inlineStr">
        <is>
          <t>코스피</t>
        </is>
      </c>
      <c r="D8144" s="2" t="inlineStr">
        <is>
          <t>214420</t>
        </is>
      </c>
      <c r="E8144" s="3" t="inlineStr">
        <is>
          <t xml:space="preserve">기업지배구조보고서공시              </t>
        </is>
      </c>
      <c r="F8144" s="3" t="inlineStr">
        <is>
          <t>토니모리</t>
        </is>
      </c>
      <c r="G8144" s="2" t="inlineStr">
        <is>
          <t>20260529800444</t>
        </is>
      </c>
      <c r="H8144" s="8">
        <f>HYPERLINK("https://dart.fss.or.kr/dsaf001/main.do?rcpNo=20260529800444", "공시열람")</f>
        <v/>
      </c>
    </row>
    <row r="8145">
      <c r="A8145" s="2" t="inlineStr">
        <is>
          <t>2026-05-29</t>
        </is>
      </c>
      <c r="B8145" s="3" t="inlineStr">
        <is>
          <t>HJ중공업</t>
        </is>
      </c>
      <c r="C8145" s="2" t="inlineStr">
        <is>
          <t>코스피</t>
        </is>
      </c>
      <c r="D8145" s="2" t="inlineStr">
        <is>
          <t>097230</t>
        </is>
      </c>
      <c r="E8145" s="3" t="inlineStr">
        <is>
          <t xml:space="preserve">기업지배구조보고서공시              </t>
        </is>
      </c>
      <c r="F8145" s="3" t="inlineStr">
        <is>
          <t>HJ중공업</t>
        </is>
      </c>
      <c r="G8145" s="2" t="inlineStr">
        <is>
          <t>20260529800272</t>
        </is>
      </c>
      <c r="H8145" s="8">
        <f>HYPERLINK("https://dart.fss.or.kr/dsaf001/main.do?rcpNo=20260529800272", "공시열람")</f>
        <v/>
      </c>
    </row>
    <row r="8146">
      <c r="A8146" s="2" t="inlineStr">
        <is>
          <t>2026-05-29</t>
        </is>
      </c>
      <c r="B8146" s="3" t="inlineStr">
        <is>
          <t>TYM</t>
        </is>
      </c>
      <c r="C8146" s="2" t="inlineStr">
        <is>
          <t>코스피</t>
        </is>
      </c>
      <c r="D8146" s="2" t="inlineStr">
        <is>
          <t>002900</t>
        </is>
      </c>
      <c r="E8146" s="3" t="inlineStr">
        <is>
          <t xml:space="preserve">기업지배구조보고서공시              </t>
        </is>
      </c>
      <c r="F8146" s="3" t="inlineStr">
        <is>
          <t>TYM</t>
        </is>
      </c>
      <c r="G8146" s="2" t="inlineStr">
        <is>
          <t>20260529800439</t>
        </is>
      </c>
      <c r="H8146" s="8">
        <f>HYPERLINK("https://dart.fss.or.kr/dsaf001/main.do?rcpNo=20260529800439", "공시열람")</f>
        <v/>
      </c>
    </row>
    <row r="8147">
      <c r="A8147" s="2" t="inlineStr">
        <is>
          <t>2026-05-29</t>
        </is>
      </c>
      <c r="B8147" s="3" t="inlineStr">
        <is>
          <t>SM C&amp;C</t>
        </is>
      </c>
      <c r="C8147" s="2" t="inlineStr">
        <is>
          <t>코스닥</t>
        </is>
      </c>
      <c r="D8147" s="2" t="inlineStr">
        <is>
          <t>048550</t>
        </is>
      </c>
      <c r="E8147" s="3" t="inlineStr">
        <is>
          <t>대규모기업집단현황공시[연1회공시및1/4분기용(개별회사)]</t>
        </is>
      </c>
      <c r="F8147" s="3" t="inlineStr">
        <is>
          <t>SM C&amp;C</t>
        </is>
      </c>
      <c r="G8147" s="2" t="inlineStr">
        <is>
          <t>20260529000362</t>
        </is>
      </c>
      <c r="H8147" s="8">
        <f>HYPERLINK("https://dart.fss.or.kr/dsaf001/main.do?rcpNo=20260529000362", "공시열람")</f>
        <v/>
      </c>
    </row>
    <row r="8148">
      <c r="A8148" s="2" t="inlineStr">
        <is>
          <t>2026-05-29</t>
        </is>
      </c>
      <c r="B8148" s="3" t="inlineStr">
        <is>
          <t>SK텔레콤</t>
        </is>
      </c>
      <c r="C8148" s="2" t="inlineStr">
        <is>
          <t>코스피</t>
        </is>
      </c>
      <c r="D8148" s="2" t="inlineStr">
        <is>
          <t>017670</t>
        </is>
      </c>
      <c r="E8148" s="3" t="inlineStr">
        <is>
          <t xml:space="preserve">기업지배구조보고서공시              </t>
        </is>
      </c>
      <c r="F8148" s="3" t="inlineStr">
        <is>
          <t>SK텔레콤</t>
        </is>
      </c>
      <c r="G8148" s="2" t="inlineStr">
        <is>
          <t>20260529800159</t>
        </is>
      </c>
      <c r="H8148" s="8">
        <f>HYPERLINK("https://dart.fss.or.kr/dsaf001/main.do?rcpNo=20260529800159", "공시열람")</f>
        <v/>
      </c>
    </row>
    <row r="8149">
      <c r="A8149" s="2" t="inlineStr">
        <is>
          <t>2026-05-29</t>
        </is>
      </c>
      <c r="B8149" s="3" t="inlineStr">
        <is>
          <t>OCI</t>
        </is>
      </c>
      <c r="C8149" s="2" t="inlineStr">
        <is>
          <t>코스피</t>
        </is>
      </c>
      <c r="D8149" s="2" t="inlineStr">
        <is>
          <t>456040</t>
        </is>
      </c>
      <c r="E8149" s="3" t="inlineStr">
        <is>
          <t>대규모기업집단현황공시[연1회공시및1/4분기용(개별회사)]</t>
        </is>
      </c>
      <c r="F8149" s="3" t="inlineStr">
        <is>
          <t>OCI</t>
        </is>
      </c>
      <c r="G8149" s="2" t="inlineStr">
        <is>
          <t>20260529000354</t>
        </is>
      </c>
      <c r="H8149" s="8">
        <f>HYPERLINK("https://dart.fss.or.kr/dsaf001/main.do?rcpNo=20260529000354", "공시열람")</f>
        <v/>
      </c>
    </row>
    <row r="8150">
      <c r="A8150" s="2" t="inlineStr">
        <is>
          <t>2026-05-29</t>
        </is>
      </c>
      <c r="B8150" s="3" t="inlineStr">
        <is>
          <t>경인양행</t>
        </is>
      </c>
      <c r="C8150" s="2" t="inlineStr">
        <is>
          <t>코스피</t>
        </is>
      </c>
      <c r="D8150" s="2" t="inlineStr">
        <is>
          <t>012610</t>
        </is>
      </c>
      <c r="E8150" s="3" t="inlineStr">
        <is>
          <t xml:space="preserve">기업지배구조보고서공시              </t>
        </is>
      </c>
      <c r="F8150" s="3" t="inlineStr">
        <is>
          <t>경인양행</t>
        </is>
      </c>
      <c r="G8150" s="2" t="inlineStr">
        <is>
          <t>20260529800071</t>
        </is>
      </c>
      <c r="H8150" s="8">
        <f>HYPERLINK("https://dart.fss.or.kr/dsaf001/main.do?rcpNo=20260529800071", "공시열람")</f>
        <v/>
      </c>
    </row>
    <row r="8151">
      <c r="A8151" s="2" t="inlineStr">
        <is>
          <t>2026-05-29</t>
        </is>
      </c>
      <c r="B8151" s="3" t="inlineStr">
        <is>
          <t>다이나믹디자인</t>
        </is>
      </c>
      <c r="C8151" s="2" t="inlineStr">
        <is>
          <t>코스피</t>
        </is>
      </c>
      <c r="D8151" s="2" t="inlineStr">
        <is>
          <t>145210</t>
        </is>
      </c>
      <c r="E8151" s="3" t="inlineStr">
        <is>
          <t xml:space="preserve">기업지배구조보고서공시              </t>
        </is>
      </c>
      <c r="F8151" s="3" t="inlineStr">
        <is>
          <t>다이나믹디자인</t>
        </is>
      </c>
      <c r="G8151" s="2" t="inlineStr">
        <is>
          <t>20260529800430</t>
        </is>
      </c>
      <c r="H8151" s="8">
        <f>HYPERLINK("https://dart.fss.or.kr/dsaf001/main.do?rcpNo=20260529800430", "공시열람")</f>
        <v/>
      </c>
    </row>
    <row r="8152">
      <c r="A8152" s="2" t="inlineStr">
        <is>
          <t>2026-05-29</t>
        </is>
      </c>
      <c r="B8152" s="3" t="inlineStr">
        <is>
          <t>한전기술</t>
        </is>
      </c>
      <c r="C8152" s="2" t="inlineStr">
        <is>
          <t>코스피</t>
        </is>
      </c>
      <c r="D8152" s="2" t="inlineStr">
        <is>
          <t>052690</t>
        </is>
      </c>
      <c r="E8152" s="3" t="inlineStr">
        <is>
          <t>사외이사의선임ㆍ해임또는중도퇴임에관한신고</t>
        </is>
      </c>
      <c r="F8152" s="3" t="inlineStr">
        <is>
          <t>한전기술</t>
        </is>
      </c>
      <c r="G8152" s="2" t="inlineStr">
        <is>
          <t>20260529000347</t>
        </is>
      </c>
      <c r="H8152" s="8">
        <f>HYPERLINK("https://dart.fss.or.kr/dsaf001/main.do?rcpNo=20260529000347", "공시열람")</f>
        <v/>
      </c>
    </row>
    <row r="8153">
      <c r="A8153" s="2" t="inlineStr">
        <is>
          <t>2026-05-29</t>
        </is>
      </c>
      <c r="B8153" s="3" t="inlineStr">
        <is>
          <t>LG화학</t>
        </is>
      </c>
      <c r="C8153" s="2" t="inlineStr">
        <is>
          <t>코스피</t>
        </is>
      </c>
      <c r="D8153" s="2" t="inlineStr">
        <is>
          <t>051910</t>
        </is>
      </c>
      <c r="E8153" s="3" t="inlineStr">
        <is>
          <t xml:space="preserve">기업설명회(IR)개최(안내공시)              </t>
        </is>
      </c>
      <c r="F8153" s="3" t="inlineStr">
        <is>
          <t>LG화학</t>
        </is>
      </c>
      <c r="G8153" s="2" t="inlineStr">
        <is>
          <t>20260529800434</t>
        </is>
      </c>
      <c r="H8153" s="8">
        <f>HYPERLINK("https://dart.fss.or.kr/dsaf001/main.do?rcpNo=20260529800434", "공시열람")</f>
        <v/>
      </c>
    </row>
    <row r="8154">
      <c r="A8154" s="2" t="inlineStr">
        <is>
          <t>2026-05-29</t>
        </is>
      </c>
      <c r="B8154" s="3" t="inlineStr">
        <is>
          <t>AK홀딩스</t>
        </is>
      </c>
      <c r="C8154" s="2" t="inlineStr">
        <is>
          <t>코스피</t>
        </is>
      </c>
      <c r="D8154" s="2" t="inlineStr">
        <is>
          <t>006840</t>
        </is>
      </c>
      <c r="E8154" s="3" t="inlineStr">
        <is>
          <t>대규모기업집단현황공시[연1회공시및1/4분기용(대표회사)]</t>
        </is>
      </c>
      <c r="F8154" s="3" t="inlineStr">
        <is>
          <t>AK홀딩스</t>
        </is>
      </c>
      <c r="G8154" s="2" t="inlineStr">
        <is>
          <t>20260529000345</t>
        </is>
      </c>
      <c r="H8154" s="8">
        <f>HYPERLINK("https://dart.fss.or.kr/dsaf001/main.do?rcpNo=20260529000345", "공시열람")</f>
        <v/>
      </c>
    </row>
    <row r="8155">
      <c r="A8155" s="2" t="inlineStr">
        <is>
          <t>2026-05-29</t>
        </is>
      </c>
      <c r="B8155" s="3" t="inlineStr">
        <is>
          <t>우진비앤지</t>
        </is>
      </c>
      <c r="C8155" s="2" t="inlineStr">
        <is>
          <t>코스닥</t>
        </is>
      </c>
      <c r="D8155" s="2" t="inlineStr">
        <is>
          <t>018620</t>
        </is>
      </c>
      <c r="E8155" s="3" t="inlineStr">
        <is>
          <t>주권매매거래정지              (무상증자)</t>
        </is>
      </c>
      <c r="F8155" s="3" t="inlineStr">
        <is>
          <t>코스닥시장본부</t>
        </is>
      </c>
      <c r="G8155" s="2" t="inlineStr">
        <is>
          <t>20260529900416</t>
        </is>
      </c>
      <c r="H8155" s="8">
        <f>HYPERLINK("https://dart.fss.or.kr/dsaf001/main.do?rcpNo=20260529900416", "공시열람")</f>
        <v/>
      </c>
    </row>
    <row r="8156">
      <c r="A8156" s="2" t="inlineStr">
        <is>
          <t>2026-05-29</t>
        </is>
      </c>
      <c r="B8156" s="3" t="inlineStr">
        <is>
          <t>교보증권</t>
        </is>
      </c>
      <c r="C8156" s="2" t="inlineStr">
        <is>
          <t>코스피</t>
        </is>
      </c>
      <c r="D8156" s="2" t="inlineStr">
        <is>
          <t>030610</t>
        </is>
      </c>
      <c r="E8156" s="3" t="inlineStr">
        <is>
          <t>투자설명서(일괄신고)</t>
        </is>
      </c>
      <c r="F8156" s="3" t="inlineStr">
        <is>
          <t>교보증권</t>
        </is>
      </c>
      <c r="G8156" s="2" t="inlineStr">
        <is>
          <t>20260529000340</t>
        </is>
      </c>
      <c r="H8156" s="8">
        <f>HYPERLINK("https://dart.fss.or.kr/dsaf001/main.do?rcpNo=20260529000340", "공시열람")</f>
        <v/>
      </c>
    </row>
    <row r="8157">
      <c r="A8157" s="2" t="inlineStr">
        <is>
          <t>2026-05-29</t>
        </is>
      </c>
      <c r="B8157" s="3" t="inlineStr">
        <is>
          <t>유니드</t>
        </is>
      </c>
      <c r="C8157" s="2" t="inlineStr">
        <is>
          <t>코스피</t>
        </is>
      </c>
      <c r="D8157" s="2" t="inlineStr">
        <is>
          <t>014830</t>
        </is>
      </c>
      <c r="E8157" s="3" t="inlineStr">
        <is>
          <t>대규모기업집단현황공시[연1회공시및1/4분기용(개별회사)]</t>
        </is>
      </c>
      <c r="F8157" s="3" t="inlineStr">
        <is>
          <t>유니드</t>
        </is>
      </c>
      <c r="G8157" s="2" t="inlineStr">
        <is>
          <t>20260529000333</t>
        </is>
      </c>
      <c r="H8157" s="8">
        <f>HYPERLINK("https://dart.fss.or.kr/dsaf001/main.do?rcpNo=20260529000333", "공시열람")</f>
        <v/>
      </c>
    </row>
    <row r="8158">
      <c r="A8158" s="2" t="inlineStr">
        <is>
          <t>2026-05-29</t>
        </is>
      </c>
      <c r="B8158" s="3" t="inlineStr">
        <is>
          <t>SK디앤디</t>
        </is>
      </c>
      <c r="C8158" s="2" t="inlineStr">
        <is>
          <t>코스피</t>
        </is>
      </c>
      <c r="D8158" s="2" t="inlineStr">
        <is>
          <t>210980</t>
        </is>
      </c>
      <c r="E8158" s="3" t="inlineStr">
        <is>
          <t xml:space="preserve">기업지배구조보고서공시              </t>
        </is>
      </c>
      <c r="F8158" s="3" t="inlineStr">
        <is>
          <t>SK디앤디</t>
        </is>
      </c>
      <c r="G8158" s="2" t="inlineStr">
        <is>
          <t>20260529800406</t>
        </is>
      </c>
      <c r="H8158" s="8">
        <f>HYPERLINK("https://dart.fss.or.kr/dsaf001/main.do?rcpNo=20260529800406", "공시열람")</f>
        <v/>
      </c>
    </row>
    <row r="8159">
      <c r="A8159" s="2" t="inlineStr">
        <is>
          <t>2026-05-29</t>
        </is>
      </c>
      <c r="B8159" s="3" t="inlineStr">
        <is>
          <t>교보증권</t>
        </is>
      </c>
      <c r="C8159" s="2" t="inlineStr">
        <is>
          <t>코스피</t>
        </is>
      </c>
      <c r="D8159" s="2" t="inlineStr">
        <is>
          <t>030610</t>
        </is>
      </c>
      <c r="E8159" s="3" t="inlineStr">
        <is>
          <t>일괄신고추가서류(파생결합증권-주가연계증권)</t>
        </is>
      </c>
      <c r="F8159" s="3" t="inlineStr">
        <is>
          <t>교보증권</t>
        </is>
      </c>
      <c r="G8159" s="2" t="inlineStr">
        <is>
          <t>20260529000327</t>
        </is>
      </c>
      <c r="H8159" s="8">
        <f>HYPERLINK("https://dart.fss.or.kr/dsaf001/main.do?rcpNo=20260529000327", "공시열람")</f>
        <v/>
      </c>
    </row>
    <row r="8160">
      <c r="A8160" s="2" t="inlineStr">
        <is>
          <t>2026-05-29</t>
        </is>
      </c>
      <c r="B8160" s="3" t="inlineStr">
        <is>
          <t>유니드비티플러스</t>
        </is>
      </c>
      <c r="C8160" s="2" t="inlineStr">
        <is>
          <t>코스피</t>
        </is>
      </c>
      <c r="D8160" s="2" t="inlineStr">
        <is>
          <t>446070</t>
        </is>
      </c>
      <c r="E8160" s="3" t="inlineStr">
        <is>
          <t>대규모기업집단현황공시[연1회공시및1/4분기용(개별회사)]</t>
        </is>
      </c>
      <c r="F8160" s="3" t="inlineStr">
        <is>
          <t>유니드비티플러스</t>
        </is>
      </c>
      <c r="G8160" s="2" t="inlineStr">
        <is>
          <t>20260529000325</t>
        </is>
      </c>
      <c r="H8160" s="8">
        <f>HYPERLINK("https://dart.fss.or.kr/dsaf001/main.do?rcpNo=20260529000325", "공시열람")</f>
        <v/>
      </c>
    </row>
    <row r="8161">
      <c r="A8161" s="2" t="inlineStr">
        <is>
          <t>2026-05-29</t>
        </is>
      </c>
      <c r="B8161" s="3" t="inlineStr">
        <is>
          <t>한화</t>
        </is>
      </c>
      <c r="C8161" s="2" t="inlineStr">
        <is>
          <t>코스피</t>
        </is>
      </c>
      <c r="D8161" s="2" t="inlineStr">
        <is>
          <t>000880</t>
        </is>
      </c>
      <c r="E8161" s="3" t="inlineStr">
        <is>
          <t>대규모기업집단현황공시[연1회(동일인용)]</t>
        </is>
      </c>
      <c r="F8161" s="3" t="inlineStr">
        <is>
          <t>김승연</t>
        </is>
      </c>
      <c r="G8161" s="2" t="inlineStr">
        <is>
          <t>20260529000315</t>
        </is>
      </c>
      <c r="H8161" s="8">
        <f>HYPERLINK("https://dart.fss.or.kr/dsaf001/main.do?rcpNo=20260529000315", "공시열람")</f>
        <v/>
      </c>
    </row>
    <row r="8162">
      <c r="A8162" s="2" t="inlineStr">
        <is>
          <t>2026-05-29</t>
        </is>
      </c>
      <c r="B8162" s="3" t="inlineStr">
        <is>
          <t>팜스코</t>
        </is>
      </c>
      <c r="C8162" s="2" t="inlineStr">
        <is>
          <t>코스피</t>
        </is>
      </c>
      <c r="D8162" s="2" t="inlineStr">
        <is>
          <t>036580</t>
        </is>
      </c>
      <c r="E8162" s="3" t="inlineStr">
        <is>
          <t>대규모기업집단현황공시[연1회공시및1/4분기용(개별회사)]</t>
        </is>
      </c>
      <c r="F8162" s="3" t="inlineStr">
        <is>
          <t>팜스코</t>
        </is>
      </c>
      <c r="G8162" s="2" t="inlineStr">
        <is>
          <t>20260529000313</t>
        </is>
      </c>
      <c r="H8162" s="8">
        <f>HYPERLINK("https://dart.fss.or.kr/dsaf001/main.do?rcpNo=20260529000313", "공시열람")</f>
        <v/>
      </c>
    </row>
    <row r="8163">
      <c r="A8163" s="2" t="inlineStr">
        <is>
          <t>2026-05-29</t>
        </is>
      </c>
      <c r="B8163" s="3" t="inlineStr">
        <is>
          <t>삼천리</t>
        </is>
      </c>
      <c r="C8163" s="2" t="inlineStr">
        <is>
          <t>코스피</t>
        </is>
      </c>
      <c r="D8163" s="2" t="inlineStr">
        <is>
          <t>004690</t>
        </is>
      </c>
      <c r="E8163" s="3" t="inlineStr">
        <is>
          <t xml:space="preserve">기업지배구조보고서공시              </t>
        </is>
      </c>
      <c r="F8163" s="3" t="inlineStr">
        <is>
          <t>삼천리</t>
        </is>
      </c>
      <c r="G8163" s="2" t="inlineStr">
        <is>
          <t>20260529800404</t>
        </is>
      </c>
      <c r="H8163" s="8">
        <f>HYPERLINK("https://dart.fss.or.kr/dsaf001/main.do?rcpNo=20260529800404", "공시열람")</f>
        <v/>
      </c>
    </row>
    <row r="8164">
      <c r="A8164" s="2" t="inlineStr">
        <is>
          <t>2026-05-29</t>
        </is>
      </c>
      <c r="B8164" s="3" t="inlineStr">
        <is>
          <t>OCI홀딩스</t>
        </is>
      </c>
      <c r="C8164" s="2" t="inlineStr">
        <is>
          <t>코스피</t>
        </is>
      </c>
      <c r="D8164" s="2" t="inlineStr">
        <is>
          <t>010060</t>
        </is>
      </c>
      <c r="E8164" s="3" t="inlineStr">
        <is>
          <t>대규모기업집단현황공시[연1회(동일인용)]</t>
        </is>
      </c>
      <c r="F8164" s="3" t="inlineStr">
        <is>
          <t>이우현</t>
        </is>
      </c>
      <c r="G8164" s="2" t="inlineStr">
        <is>
          <t>20260529000307</t>
        </is>
      </c>
      <c r="H8164" s="8">
        <f>HYPERLINK("https://dart.fss.or.kr/dsaf001/main.do?rcpNo=20260529000307", "공시열람")</f>
        <v/>
      </c>
    </row>
    <row r="8165">
      <c r="A8165" s="2" t="inlineStr">
        <is>
          <t>2026-05-29</t>
        </is>
      </c>
      <c r="B8165" s="3" t="inlineStr">
        <is>
          <t>HDC</t>
        </is>
      </c>
      <c r="C8165" s="2" t="inlineStr">
        <is>
          <t>코스피</t>
        </is>
      </c>
      <c r="D8165" s="2" t="inlineStr">
        <is>
          <t>012630</t>
        </is>
      </c>
      <c r="E8165" s="3" t="inlineStr">
        <is>
          <t>대규모기업집단현황공시[연1회(동일인용)]</t>
        </is>
      </c>
      <c r="F8165" s="3" t="inlineStr">
        <is>
          <t>정몽규</t>
        </is>
      </c>
      <c r="G8165" s="2" t="inlineStr">
        <is>
          <t>20260529000306</t>
        </is>
      </c>
      <c r="H8165" s="8">
        <f>HYPERLINK("https://dart.fss.or.kr/dsaf001/main.do?rcpNo=20260529000306", "공시열람")</f>
        <v/>
      </c>
    </row>
    <row r="8166">
      <c r="A8166" s="2" t="inlineStr">
        <is>
          <t>2026-05-29</t>
        </is>
      </c>
      <c r="B8166" s="3" t="inlineStr">
        <is>
          <t>SK</t>
        </is>
      </c>
      <c r="C8166" s="2" t="inlineStr">
        <is>
          <t>코스피</t>
        </is>
      </c>
      <c r="D8166" s="2" t="inlineStr">
        <is>
          <t>034730</t>
        </is>
      </c>
      <c r="E8166" s="3" t="inlineStr">
        <is>
          <t>대규모기업집단현황공시[연1회(동일인용)]</t>
        </is>
      </c>
      <c r="F8166" s="3" t="inlineStr">
        <is>
          <t>최태원</t>
        </is>
      </c>
      <c r="G8166" s="2" t="inlineStr">
        <is>
          <t>20260529000305</t>
        </is>
      </c>
      <c r="H8166" s="8">
        <f>HYPERLINK("https://dart.fss.or.kr/dsaf001/main.do?rcpNo=20260529000305", "공시열람")</f>
        <v/>
      </c>
    </row>
    <row r="8167">
      <c r="A8167" s="2" t="inlineStr">
        <is>
          <t>2026-05-29</t>
        </is>
      </c>
      <c r="B8167" s="3" t="inlineStr">
        <is>
          <t>HLB이노베이션</t>
        </is>
      </c>
      <c r="C8167" s="2" t="inlineStr">
        <is>
          <t>코스닥</t>
        </is>
      </c>
      <c r="D8167" s="2" t="inlineStr">
        <is>
          <t>024850</t>
        </is>
      </c>
      <c r="E8167" s="3" t="inlineStr">
        <is>
          <t xml:space="preserve">기업설명회(IR)개최              </t>
        </is>
      </c>
      <c r="F8167" s="3" t="inlineStr">
        <is>
          <t>HLB이노베이션</t>
        </is>
      </c>
      <c r="G8167" s="2" t="inlineStr">
        <is>
          <t>20260529900410</t>
        </is>
      </c>
      <c r="H8167" s="8">
        <f>HYPERLINK("https://dart.fss.or.kr/dsaf001/main.do?rcpNo=20260529900410", "공시열람")</f>
        <v/>
      </c>
    </row>
    <row r="8168">
      <c r="A8168" s="2" t="inlineStr">
        <is>
          <t>2026-05-29</t>
        </is>
      </c>
      <c r="B8168" s="3" t="inlineStr">
        <is>
          <t>교보증권</t>
        </is>
      </c>
      <c r="C8168" s="2" t="inlineStr">
        <is>
          <t>코스피</t>
        </is>
      </c>
      <c r="D8168" s="2" t="inlineStr">
        <is>
          <t>030610</t>
        </is>
      </c>
      <c r="E8168" s="3" t="inlineStr">
        <is>
          <t>투자설명서(일괄신고)</t>
        </is>
      </c>
      <c r="F8168" s="3" t="inlineStr">
        <is>
          <t>교보증권</t>
        </is>
      </c>
      <c r="G8168" s="2" t="inlineStr">
        <is>
          <t>20260529000295</t>
        </is>
      </c>
      <c r="H8168" s="8">
        <f>HYPERLINK("https://dart.fss.or.kr/dsaf001/main.do?rcpNo=20260529000295", "공시열람")</f>
        <v/>
      </c>
    </row>
    <row r="8169">
      <c r="A8169" s="2" t="inlineStr">
        <is>
          <t>2026-05-29</t>
        </is>
      </c>
      <c r="B8169" s="3" t="inlineStr">
        <is>
          <t>한화</t>
        </is>
      </c>
      <c r="C8169" s="2" t="inlineStr">
        <is>
          <t>코스피</t>
        </is>
      </c>
      <c r="D8169" s="2" t="inlineStr">
        <is>
          <t>000880</t>
        </is>
      </c>
      <c r="E8169" s="3" t="inlineStr">
        <is>
          <t>대규모기업집단현황공시[연1회공시및1/4분기용(대표회사)]</t>
        </is>
      </c>
      <c r="F8169" s="3" t="inlineStr">
        <is>
          <t>한화</t>
        </is>
      </c>
      <c r="G8169" s="2" t="inlineStr">
        <is>
          <t>20260529000294</t>
        </is>
      </c>
      <c r="H8169" s="8">
        <f>HYPERLINK("https://dart.fss.or.kr/dsaf001/main.do?rcpNo=20260529000294", "공시열람")</f>
        <v/>
      </c>
    </row>
    <row r="8170">
      <c r="A8170" s="2" t="inlineStr">
        <is>
          <t>2026-05-29</t>
        </is>
      </c>
      <c r="B8170" s="3" t="inlineStr">
        <is>
          <t>교보증권</t>
        </is>
      </c>
      <c r="C8170" s="2" t="inlineStr">
        <is>
          <t>코스피</t>
        </is>
      </c>
      <c r="D8170" s="2" t="inlineStr">
        <is>
          <t>030610</t>
        </is>
      </c>
      <c r="E8170" s="3" t="inlineStr">
        <is>
          <t>투자설명서(일괄신고)</t>
        </is>
      </c>
      <c r="F8170" s="3" t="inlineStr">
        <is>
          <t>교보증권</t>
        </is>
      </c>
      <c r="G8170" s="2" t="inlineStr">
        <is>
          <t>20260529000292</t>
        </is>
      </c>
      <c r="H8170" s="8">
        <f>HYPERLINK("https://dart.fss.or.kr/dsaf001/main.do?rcpNo=20260529000292", "공시열람")</f>
        <v/>
      </c>
    </row>
    <row r="8171">
      <c r="A8171" s="2" t="inlineStr">
        <is>
          <t>2026-05-29</t>
        </is>
      </c>
      <c r="B8171" s="3" t="inlineStr">
        <is>
          <t>위세아이텍</t>
        </is>
      </c>
      <c r="C8171" s="2" t="inlineStr">
        <is>
          <t>코스닥</t>
        </is>
      </c>
      <c r="D8171" s="2" t="inlineStr">
        <is>
          <t>065370</t>
        </is>
      </c>
      <c r="E8171" s="3" t="inlineStr">
        <is>
          <t>임원ㆍ주요주주특정증권등소유상황보고서</t>
        </is>
      </c>
      <c r="F8171" s="3" t="inlineStr">
        <is>
          <t>이제동</t>
        </is>
      </c>
      <c r="G8171" s="2" t="inlineStr">
        <is>
          <t>20260529000291</t>
        </is>
      </c>
      <c r="H8171" s="8">
        <f>HYPERLINK("https://dart.fss.or.kr/dsaf001/main.do?rcpNo=20260529000291", "공시열람")</f>
        <v/>
      </c>
    </row>
    <row r="8172">
      <c r="A8172" s="2" t="inlineStr">
        <is>
          <t>2026-05-29</t>
        </is>
      </c>
      <c r="B8172" s="3" t="inlineStr">
        <is>
          <t>우리엔터프라이즈</t>
        </is>
      </c>
      <c r="C8172" s="2" t="inlineStr">
        <is>
          <t>코스닥</t>
        </is>
      </c>
      <c r="D8172" s="2" t="inlineStr">
        <is>
          <t>037400</t>
        </is>
      </c>
      <c r="E8172" s="3" t="inlineStr">
        <is>
          <t>임원ㆍ주요주주특정증권등소유상황보고서</t>
        </is>
      </c>
      <c r="F8172" s="3" t="inlineStr">
        <is>
          <t>윤철주</t>
        </is>
      </c>
      <c r="G8172" s="2" t="inlineStr">
        <is>
          <t>20260529000288</t>
        </is>
      </c>
      <c r="H8172" s="8">
        <f>HYPERLINK("https://dart.fss.or.kr/dsaf001/main.do?rcpNo=20260529000288", "공시열람")</f>
        <v/>
      </c>
    </row>
    <row r="8173">
      <c r="A8173" s="2" t="inlineStr">
        <is>
          <t>2026-05-29</t>
        </is>
      </c>
      <c r="B8173" s="3" t="inlineStr">
        <is>
          <t>상신브레이크</t>
        </is>
      </c>
      <c r="C8173" s="2" t="inlineStr">
        <is>
          <t>코스피</t>
        </is>
      </c>
      <c r="D8173" s="2" t="inlineStr">
        <is>
          <t>041650</t>
        </is>
      </c>
      <c r="E8173" s="3" t="inlineStr">
        <is>
          <t xml:space="preserve">기업지배구조보고서공시              </t>
        </is>
      </c>
      <c r="F8173" s="3" t="inlineStr">
        <is>
          <t>상신브레이크</t>
        </is>
      </c>
      <c r="G8173" s="2" t="inlineStr">
        <is>
          <t>20260529800380</t>
        </is>
      </c>
      <c r="H8173" s="8">
        <f>HYPERLINK("https://dart.fss.or.kr/dsaf001/main.do?rcpNo=20260529800380", "공시열람")</f>
        <v/>
      </c>
    </row>
    <row r="8174">
      <c r="A8174" s="2" t="inlineStr">
        <is>
          <t>2026-05-29</t>
        </is>
      </c>
      <c r="B8174" s="3" t="inlineStr">
        <is>
          <t>INVENI</t>
        </is>
      </c>
      <c r="C8174" s="2" t="inlineStr">
        <is>
          <t>코스피</t>
        </is>
      </c>
      <c r="D8174" s="2" t="inlineStr">
        <is>
          <t>015360</t>
        </is>
      </c>
      <c r="E8174" s="3" t="inlineStr">
        <is>
          <t xml:space="preserve">기업지배구조보고서공시              </t>
        </is>
      </c>
      <c r="F8174" s="3" t="inlineStr">
        <is>
          <t>INVENI</t>
        </is>
      </c>
      <c r="G8174" s="2" t="inlineStr">
        <is>
          <t>20260529800387</t>
        </is>
      </c>
      <c r="H8174" s="8">
        <f>HYPERLINK("https://dart.fss.or.kr/dsaf001/main.do?rcpNo=20260529800387", "공시열람")</f>
        <v/>
      </c>
    </row>
    <row r="8175">
      <c r="A8175" s="2" t="inlineStr">
        <is>
          <t>2026-05-29</t>
        </is>
      </c>
      <c r="B8175" s="3" t="inlineStr">
        <is>
          <t>OCI홀딩스</t>
        </is>
      </c>
      <c r="C8175" s="2" t="inlineStr">
        <is>
          <t>코스피</t>
        </is>
      </c>
      <c r="D8175" s="2" t="inlineStr">
        <is>
          <t>010060</t>
        </is>
      </c>
      <c r="E8175" s="3" t="inlineStr">
        <is>
          <t>대규모기업집단현황공시[연1회공시및1/4분기용(대표회사)]</t>
        </is>
      </c>
      <c r="F8175" s="3" t="inlineStr">
        <is>
          <t>OCI홀딩스</t>
        </is>
      </c>
      <c r="G8175" s="2" t="inlineStr">
        <is>
          <t>20260529000283</t>
        </is>
      </c>
      <c r="H8175" s="8">
        <f>HYPERLINK("https://dart.fss.or.kr/dsaf001/main.do?rcpNo=20260529000283", "공시열람")</f>
        <v/>
      </c>
    </row>
    <row r="8176">
      <c r="A8176" s="2" t="inlineStr">
        <is>
          <t>2026-05-29</t>
        </is>
      </c>
      <c r="B8176" s="3" t="inlineStr">
        <is>
          <t>SK</t>
        </is>
      </c>
      <c r="C8176" s="2" t="inlineStr">
        <is>
          <t>코스피</t>
        </is>
      </c>
      <c r="D8176" s="2" t="inlineStr">
        <is>
          <t>034730</t>
        </is>
      </c>
      <c r="E8176" s="3" t="inlineStr">
        <is>
          <t>대규모기업집단현황공시[연1회공시및1/4분기용(대표회사)]</t>
        </is>
      </c>
      <c r="F8176" s="3" t="inlineStr">
        <is>
          <t>SK</t>
        </is>
      </c>
      <c r="G8176" s="2" t="inlineStr">
        <is>
          <t>20260529000281</t>
        </is>
      </c>
      <c r="H8176" s="8">
        <f>HYPERLINK("https://dart.fss.or.kr/dsaf001/main.do?rcpNo=20260529000281", "공시열람")</f>
        <v/>
      </c>
    </row>
    <row r="8177">
      <c r="A8177" s="2" t="inlineStr">
        <is>
          <t>2026-05-29</t>
        </is>
      </c>
      <c r="B8177" s="3" t="inlineStr">
        <is>
          <t>교보증권</t>
        </is>
      </c>
      <c r="C8177" s="2" t="inlineStr">
        <is>
          <t>코스피</t>
        </is>
      </c>
      <c r="D8177" s="2" t="inlineStr">
        <is>
          <t>030610</t>
        </is>
      </c>
      <c r="E8177" s="3" t="inlineStr">
        <is>
          <t>일괄신고추가서류(파생결합사채-주가연계파생결합사채)</t>
        </is>
      </c>
      <c r="F8177" s="3" t="inlineStr">
        <is>
          <t>교보증권</t>
        </is>
      </c>
      <c r="G8177" s="2" t="inlineStr">
        <is>
          <t>20260529000279</t>
        </is>
      </c>
      <c r="H8177" s="8">
        <f>HYPERLINK("https://dart.fss.or.kr/dsaf001/main.do?rcpNo=20260529000279", "공시열람")</f>
        <v/>
      </c>
    </row>
    <row r="8178">
      <c r="A8178" s="2" t="inlineStr">
        <is>
          <t>2026-05-29</t>
        </is>
      </c>
      <c r="B8178" s="3" t="inlineStr">
        <is>
          <t>HDC</t>
        </is>
      </c>
      <c r="C8178" s="2" t="inlineStr">
        <is>
          <t>코스피</t>
        </is>
      </c>
      <c r="D8178" s="2" t="inlineStr">
        <is>
          <t>012630</t>
        </is>
      </c>
      <c r="E8178" s="3" t="inlineStr">
        <is>
          <t>대규모기업집단현황공시[연1회공시및1/4분기용(대표회사)]</t>
        </is>
      </c>
      <c r="F8178" s="3" t="inlineStr">
        <is>
          <t>HDC</t>
        </is>
      </c>
      <c r="G8178" s="2" t="inlineStr">
        <is>
          <t>20260529000278</t>
        </is>
      </c>
      <c r="H8178" s="8">
        <f>HYPERLINK("https://dart.fss.or.kr/dsaf001/main.do?rcpNo=20260529000278", "공시열람")</f>
        <v/>
      </c>
    </row>
    <row r="8179">
      <c r="A8179" s="2" t="inlineStr">
        <is>
          <t>2026-05-29 (정정: 2026-06-05)</t>
        </is>
      </c>
      <c r="B8179" s="3" t="inlineStr">
        <is>
          <t>케이씨티시</t>
        </is>
      </c>
      <c r="C8179" s="2" t="inlineStr">
        <is>
          <t>코스피</t>
        </is>
      </c>
      <c r="D8179" s="2" t="inlineStr">
        <is>
          <t>009070</t>
        </is>
      </c>
      <c r="E8179" s="3" t="inlineStr">
        <is>
          <t>대규모기업집단현황공시[연1회공시및1/4분기용(개별회사)] (정정: 20260605)</t>
        </is>
      </c>
      <c r="F8179" s="3" t="inlineStr">
        <is>
          <t>케이씨티시</t>
        </is>
      </c>
      <c r="G8179" s="2" t="inlineStr">
        <is>
          <t>20260605800305</t>
        </is>
      </c>
      <c r="H8179" s="8">
        <f>HYPERLINK("https://dart.fss.or.kr/dsaf001/main.do?rcpNo=20260605800305", "공시열람")</f>
        <v/>
      </c>
    </row>
    <row r="8180">
      <c r="A8180" s="2" t="inlineStr">
        <is>
          <t>2026-05-29</t>
        </is>
      </c>
      <c r="B8180" s="3" t="inlineStr">
        <is>
          <t>멀티캠퍼스</t>
        </is>
      </c>
      <c r="C8180" s="2" t="inlineStr">
        <is>
          <t>코스닥</t>
        </is>
      </c>
      <c r="D8180" s="2" t="inlineStr">
        <is>
          <t>067280</t>
        </is>
      </c>
      <c r="E8180" s="3" t="inlineStr">
        <is>
          <t>임원ㆍ주요주주특정증권등소유상황보고서</t>
        </is>
      </c>
      <c r="F8180" s="3" t="inlineStr">
        <is>
          <t>안재우</t>
        </is>
      </c>
      <c r="G8180" s="2" t="inlineStr">
        <is>
          <t>20260529000261</t>
        </is>
      </c>
      <c r="H8180" s="8">
        <f>HYPERLINK("https://dart.fss.or.kr/dsaf001/main.do?rcpNo=20260529000261", "공시열람")</f>
        <v/>
      </c>
    </row>
    <row r="8181">
      <c r="A8181" s="2" t="inlineStr">
        <is>
          <t>2026-05-29</t>
        </is>
      </c>
      <c r="B8181" s="3" t="inlineStr">
        <is>
          <t>송원산업</t>
        </is>
      </c>
      <c r="C8181" s="2" t="inlineStr">
        <is>
          <t>코스피</t>
        </is>
      </c>
      <c r="D8181" s="2" t="inlineStr">
        <is>
          <t>004430</t>
        </is>
      </c>
      <c r="E8181" s="3" t="inlineStr">
        <is>
          <t xml:space="preserve">기업지배구조보고서공시              </t>
        </is>
      </c>
      <c r="F8181" s="3" t="inlineStr">
        <is>
          <t>송원산업</t>
        </is>
      </c>
      <c r="G8181" s="2" t="inlineStr">
        <is>
          <t>20260529800369</t>
        </is>
      </c>
      <c r="H8181" s="8">
        <f>HYPERLINK("https://dart.fss.or.kr/dsaf001/main.do?rcpNo=20260529800369", "공시열람")</f>
        <v/>
      </c>
    </row>
    <row r="8182">
      <c r="A8182" s="2" t="inlineStr">
        <is>
          <t>2026-05-29</t>
        </is>
      </c>
      <c r="B8182" s="3" t="inlineStr">
        <is>
          <t>한국전자홀딩스</t>
        </is>
      </c>
      <c r="C8182" s="2" t="inlineStr">
        <is>
          <t>코스피</t>
        </is>
      </c>
      <c r="D8182" s="2" t="inlineStr">
        <is>
          <t>006200</t>
        </is>
      </c>
      <c r="E8182" s="3" t="inlineStr">
        <is>
          <t xml:space="preserve">기업지배구조보고서공시              </t>
        </is>
      </c>
      <c r="F8182" s="3" t="inlineStr">
        <is>
          <t>한국전자홀딩스</t>
        </is>
      </c>
      <c r="G8182" s="2" t="inlineStr">
        <is>
          <t>20260529800366</t>
        </is>
      </c>
      <c r="H8182" s="8">
        <f>HYPERLINK("https://dart.fss.or.kr/dsaf001/main.do?rcpNo=20260529800366", "공시열람")</f>
        <v/>
      </c>
    </row>
    <row r="8183">
      <c r="A8183" s="2" t="inlineStr">
        <is>
          <t>2026-05-29 (정정: 2026-06-01)</t>
        </is>
      </c>
      <c r="B8183" s="3" t="inlineStr">
        <is>
          <t>하림지주</t>
        </is>
      </c>
      <c r="C8183" s="2" t="inlineStr">
        <is>
          <t>코스닥</t>
        </is>
      </c>
      <c r="D8183" s="2" t="inlineStr">
        <is>
          <t>003380</t>
        </is>
      </c>
      <c r="E8183" s="3" t="inlineStr">
        <is>
          <t>대규모기업집단현황공시[연1회공시및1/4분기용(대표회사)] (정정: 20260601)</t>
        </is>
      </c>
      <c r="F8183" s="3" t="inlineStr">
        <is>
          <t>하림지주</t>
        </is>
      </c>
      <c r="G8183" s="2" t="inlineStr">
        <is>
          <t>20260601001663</t>
        </is>
      </c>
      <c r="H8183" s="8">
        <f>HYPERLINK("https://dart.fss.or.kr/dsaf001/main.do?rcpNo=20260601001663", "공시열람")</f>
        <v/>
      </c>
    </row>
    <row r="8184">
      <c r="A8184" s="2" t="inlineStr">
        <is>
          <t>2026-05-29</t>
        </is>
      </c>
      <c r="B8184" s="3" t="inlineStr">
        <is>
          <t>금강공업</t>
        </is>
      </c>
      <c r="C8184" s="2" t="inlineStr">
        <is>
          <t>코스피</t>
        </is>
      </c>
      <c r="D8184" s="2" t="inlineStr">
        <is>
          <t>014280</t>
        </is>
      </c>
      <c r="E8184" s="3" t="inlineStr">
        <is>
          <t xml:space="preserve">기업지배구조보고서공시              </t>
        </is>
      </c>
      <c r="F8184" s="3" t="inlineStr">
        <is>
          <t>금강공업</t>
        </is>
      </c>
      <c r="G8184" s="2" t="inlineStr">
        <is>
          <t>20260529800364</t>
        </is>
      </c>
      <c r="H8184" s="8">
        <f>HYPERLINK("https://dart.fss.or.kr/dsaf001/main.do?rcpNo=20260529800364", "공시열람")</f>
        <v/>
      </c>
    </row>
    <row r="8185">
      <c r="A8185" s="2" t="inlineStr">
        <is>
          <t>2026-05-29</t>
        </is>
      </c>
      <c r="B8185" s="3" t="inlineStr">
        <is>
          <t>영풍</t>
        </is>
      </c>
      <c r="C8185" s="2" t="inlineStr">
        <is>
          <t>코스피</t>
        </is>
      </c>
      <c r="D8185" s="2" t="inlineStr">
        <is>
          <t>000670</t>
        </is>
      </c>
      <c r="E8185" s="3" t="inlineStr">
        <is>
          <t xml:space="preserve">기업지배구조보고서공시              </t>
        </is>
      </c>
      <c r="F8185" s="3" t="inlineStr">
        <is>
          <t>영풍</t>
        </is>
      </c>
      <c r="G8185" s="2" t="inlineStr">
        <is>
          <t>20260529800326</t>
        </is>
      </c>
      <c r="H8185" s="8">
        <f>HYPERLINK("https://dart.fss.or.kr/dsaf001/main.do?rcpNo=20260529800326", "공시열람")</f>
        <v/>
      </c>
    </row>
    <row r="8186">
      <c r="A8186" s="2" t="inlineStr">
        <is>
          <t>2026-05-29</t>
        </is>
      </c>
      <c r="B8186" s="3" t="inlineStr">
        <is>
          <t>케이티알파</t>
        </is>
      </c>
      <c r="C8186" s="2" t="inlineStr">
        <is>
          <t>코스닥</t>
        </is>
      </c>
      <c r="D8186" s="2" t="inlineStr">
        <is>
          <t>036030</t>
        </is>
      </c>
      <c r="E8186" s="3" t="inlineStr">
        <is>
          <t>대규모기업집단현황공시[연1회공시및1/4분기용(개별회사)]</t>
        </is>
      </c>
      <c r="F8186" s="3" t="inlineStr">
        <is>
          <t>케이티알파</t>
        </is>
      </c>
      <c r="G8186" s="2" t="inlineStr">
        <is>
          <t>20260529000245</t>
        </is>
      </c>
      <c r="H8186" s="8">
        <f>HYPERLINK("https://dart.fss.or.kr/dsaf001/main.do?rcpNo=20260529000245", "공시열람")</f>
        <v/>
      </c>
    </row>
    <row r="8187">
      <c r="A8187" s="2" t="inlineStr">
        <is>
          <t>2026-05-29</t>
        </is>
      </c>
      <c r="B8187" s="3" t="inlineStr">
        <is>
          <t>지앤비에스 에코</t>
        </is>
      </c>
      <c r="C8187" s="2" t="inlineStr">
        <is>
          <t>코스닥</t>
        </is>
      </c>
      <c r="D8187" s="2" t="inlineStr">
        <is>
          <t>382800</t>
        </is>
      </c>
      <c r="E8187" s="3" t="inlineStr">
        <is>
          <t xml:space="preserve">중간(분기)배당을위한주주명부폐쇄(기준일)결정              </t>
        </is>
      </c>
      <c r="F8187" s="3" t="inlineStr">
        <is>
          <t>지앤비에스 에코</t>
        </is>
      </c>
      <c r="G8187" s="2" t="inlineStr">
        <is>
          <t>20260529900359</t>
        </is>
      </c>
      <c r="H8187" s="8">
        <f>HYPERLINK("https://dart.fss.or.kr/dsaf001/main.do?rcpNo=20260529900359", "공시열람")</f>
        <v/>
      </c>
    </row>
    <row r="8188">
      <c r="A8188" s="2" t="inlineStr">
        <is>
          <t>2026-05-29</t>
        </is>
      </c>
      <c r="B8188" s="3" t="inlineStr">
        <is>
          <t>컴투스홀딩스</t>
        </is>
      </c>
      <c r="C8188" s="2" t="inlineStr">
        <is>
          <t>코스닥</t>
        </is>
      </c>
      <c r="D8188" s="2" t="inlineStr">
        <is>
          <t>063080</t>
        </is>
      </c>
      <c r="E8188" s="3" t="inlineStr">
        <is>
          <t xml:space="preserve">타법인주식및출자증권처분결정              </t>
        </is>
      </c>
      <c r="F8188" s="3" t="inlineStr">
        <is>
          <t>컴투스홀딩스</t>
        </is>
      </c>
      <c r="G8188" s="2" t="inlineStr">
        <is>
          <t>20260529900358</t>
        </is>
      </c>
      <c r="H8188" s="8">
        <f>HYPERLINK("https://dart.fss.or.kr/dsaf001/main.do?rcpNo=20260529900358", "공시열람")</f>
        <v/>
      </c>
    </row>
    <row r="8189">
      <c r="A8189" s="2" t="inlineStr">
        <is>
          <t>2026-05-29</t>
        </is>
      </c>
      <c r="B8189" s="3" t="inlineStr">
        <is>
          <t>대한유화</t>
        </is>
      </c>
      <c r="C8189" s="2" t="inlineStr">
        <is>
          <t>코스피</t>
        </is>
      </c>
      <c r="D8189" s="2" t="inlineStr">
        <is>
          <t>006650</t>
        </is>
      </c>
      <c r="E8189" s="3" t="inlineStr">
        <is>
          <t xml:space="preserve">기업지배구조보고서공시              </t>
        </is>
      </c>
      <c r="F8189" s="3" t="inlineStr">
        <is>
          <t>대한유화</t>
        </is>
      </c>
      <c r="G8189" s="2" t="inlineStr">
        <is>
          <t>20260529800353</t>
        </is>
      </c>
      <c r="H8189" s="8">
        <f>HYPERLINK("https://dart.fss.or.kr/dsaf001/main.do?rcpNo=20260529800353", "공시열람")</f>
        <v/>
      </c>
    </row>
    <row r="8190">
      <c r="A8190" s="2" t="inlineStr">
        <is>
          <t>2026-05-29</t>
        </is>
      </c>
      <c r="B8190" s="3" t="inlineStr">
        <is>
          <t>키이스트</t>
        </is>
      </c>
      <c r="C8190" s="2" t="inlineStr">
        <is>
          <t>코스닥</t>
        </is>
      </c>
      <c r="D8190" s="2" t="inlineStr">
        <is>
          <t>054780</t>
        </is>
      </c>
      <c r="E8190" s="3" t="inlineStr">
        <is>
          <t>대규모기업집단현황공시[연1회공시및1/4분기용(개별회사)]</t>
        </is>
      </c>
      <c r="F8190" s="3" t="inlineStr">
        <is>
          <t>키이스트</t>
        </is>
      </c>
      <c r="G8190" s="2" t="inlineStr">
        <is>
          <t>20260529000228</t>
        </is>
      </c>
      <c r="H8190" s="8">
        <f>HYPERLINK("https://dart.fss.or.kr/dsaf001/main.do?rcpNo=20260529000228", "공시열람")</f>
        <v/>
      </c>
    </row>
    <row r="8191">
      <c r="A8191" s="2" t="inlineStr">
        <is>
          <t>2026-05-29</t>
        </is>
      </c>
      <c r="B8191" s="3" t="inlineStr">
        <is>
          <t>유니드비티플러스</t>
        </is>
      </c>
      <c r="C8191" s="2" t="inlineStr">
        <is>
          <t>코스피</t>
        </is>
      </c>
      <c r="D8191" s="2" t="inlineStr">
        <is>
          <t>446070</t>
        </is>
      </c>
      <c r="E8191" s="3" t="inlineStr">
        <is>
          <t xml:space="preserve">기업지배구조보고서공시              </t>
        </is>
      </c>
      <c r="F8191" s="3" t="inlineStr">
        <is>
          <t>유니드비티플러스</t>
        </is>
      </c>
      <c r="G8191" s="2" t="inlineStr">
        <is>
          <t>20260529800347</t>
        </is>
      </c>
      <c r="H8191" s="8">
        <f>HYPERLINK("https://dart.fss.or.kr/dsaf001/main.do?rcpNo=20260529800347", "공시열람")</f>
        <v/>
      </c>
    </row>
    <row r="8192">
      <c r="A8192" s="2" t="inlineStr">
        <is>
          <t>2026-05-29</t>
        </is>
      </c>
      <c r="B8192" s="3" t="inlineStr">
        <is>
          <t>태광산업</t>
        </is>
      </c>
      <c r="C8192" s="2" t="inlineStr">
        <is>
          <t>코스피</t>
        </is>
      </c>
      <c r="D8192" s="2" t="inlineStr">
        <is>
          <t>003240</t>
        </is>
      </c>
      <c r="E8192" s="3" t="inlineStr">
        <is>
          <t>대규모기업집단현황공시[연1회(동일인용)]</t>
        </is>
      </c>
      <c r="F8192" s="3" t="inlineStr">
        <is>
          <t>이호진</t>
        </is>
      </c>
      <c r="G8192" s="2" t="inlineStr">
        <is>
          <t>20260529000223</t>
        </is>
      </c>
      <c r="H8192" s="8">
        <f>HYPERLINK("https://dart.fss.or.kr/dsaf001/main.do?rcpNo=20260529000223", "공시열람")</f>
        <v/>
      </c>
    </row>
    <row r="8193">
      <c r="A8193" s="2" t="inlineStr">
        <is>
          <t>2026-05-29</t>
        </is>
      </c>
      <c r="B8193" s="3" t="inlineStr">
        <is>
          <t>하림지주</t>
        </is>
      </c>
      <c r="C8193" s="2" t="inlineStr">
        <is>
          <t>코스닥</t>
        </is>
      </c>
      <c r="D8193" s="2" t="inlineStr">
        <is>
          <t>003380</t>
        </is>
      </c>
      <c r="E8193" s="3" t="inlineStr">
        <is>
          <t>대규모기업집단현황공시[연1회(동일인용)]</t>
        </is>
      </c>
      <c r="F8193" s="3" t="inlineStr">
        <is>
          <t>김홍국</t>
        </is>
      </c>
      <c r="G8193" s="2" t="inlineStr">
        <is>
          <t>20260529000221</t>
        </is>
      </c>
      <c r="H8193" s="8">
        <f>HYPERLINK("https://dart.fss.or.kr/dsaf001/main.do?rcpNo=20260529000221", "공시열람")</f>
        <v/>
      </c>
    </row>
    <row r="8194">
      <c r="A8194" s="2" t="inlineStr">
        <is>
          <t>2026-05-29</t>
        </is>
      </c>
      <c r="B8194" s="3" t="inlineStr">
        <is>
          <t>아이오바이오</t>
        </is>
      </c>
      <c r="C8194" s="2" t="inlineStr">
        <is>
          <t>코넥스</t>
        </is>
      </c>
      <c r="D8194" s="2" t="inlineStr">
        <is>
          <t>447690</t>
        </is>
      </c>
      <c r="E8194" s="3" t="inlineStr">
        <is>
          <t xml:space="preserve">기업설명회(IR)개최결과              </t>
        </is>
      </c>
      <c r="F8194" s="3" t="inlineStr">
        <is>
          <t>아이오바이오</t>
        </is>
      </c>
      <c r="G8194" s="2" t="inlineStr">
        <is>
          <t>20260529600334</t>
        </is>
      </c>
      <c r="H8194" s="8">
        <f>HYPERLINK("https://dart.fss.or.kr/dsaf001/main.do?rcpNo=20260529600334", "공시열람")</f>
        <v/>
      </c>
    </row>
    <row r="8195">
      <c r="A8195" s="2" t="inlineStr">
        <is>
          <t>2026-05-29</t>
        </is>
      </c>
      <c r="B8195" s="3" t="inlineStr">
        <is>
          <t>KB제33호스팩</t>
        </is>
      </c>
      <c r="C8195" s="2" t="inlineStr">
        <is>
          <t>코스닥</t>
        </is>
      </c>
      <c r="D8195" s="2" t="inlineStr">
        <is>
          <t>0072Z0</t>
        </is>
      </c>
      <c r="E8195" s="3" t="inlineStr">
        <is>
          <t>임원ㆍ주요주주특정증권등소유상황보고서</t>
        </is>
      </c>
      <c r="F8195" s="3" t="inlineStr">
        <is>
          <t>케이비증권</t>
        </is>
      </c>
      <c r="G8195" s="2" t="inlineStr">
        <is>
          <t>20260529000216</t>
        </is>
      </c>
      <c r="H8195" s="8">
        <f>HYPERLINK("https://dart.fss.or.kr/dsaf001/main.do?rcpNo=20260529000216", "공시열람")</f>
        <v/>
      </c>
    </row>
    <row r="8196">
      <c r="A8196" s="2" t="inlineStr">
        <is>
          <t>2026-05-29 (정정: 2026-06-24)</t>
        </is>
      </c>
      <c r="B8196" s="3" t="inlineStr">
        <is>
          <t>금양</t>
        </is>
      </c>
      <c r="C8196" s="2" t="inlineStr">
        <is>
          <t>코스피</t>
        </is>
      </c>
      <c r="D8196" s="2" t="inlineStr">
        <is>
          <t>001570</t>
        </is>
      </c>
      <c r="E8196" s="3" t="inlineStr">
        <is>
          <t>기업지배구조보고서공시               (정정: 20260608) (정정: 20260624)</t>
        </is>
      </c>
      <c r="F8196" s="3" t="inlineStr">
        <is>
          <t>금양</t>
        </is>
      </c>
      <c r="G8196" s="2" t="inlineStr">
        <is>
          <t>20260624800398</t>
        </is>
      </c>
      <c r="H8196" s="8">
        <f>HYPERLINK("https://dart.fss.or.kr/dsaf001/main.do?rcpNo=20260624800398", "공시열람")</f>
        <v/>
      </c>
    </row>
    <row r="8197">
      <c r="A8197" s="2" t="inlineStr">
        <is>
          <t>2026-05-29</t>
        </is>
      </c>
      <c r="B8197" s="3" t="inlineStr">
        <is>
          <t>미래에셋증권</t>
        </is>
      </c>
      <c r="C8197" s="2" t="inlineStr">
        <is>
          <t>코스피</t>
        </is>
      </c>
      <c r="D8197" s="2" t="inlineStr">
        <is>
          <t>006800</t>
        </is>
      </c>
      <c r="E8197" s="3" t="inlineStr">
        <is>
          <t>증권발행실적보고서</t>
        </is>
      </c>
      <c r="F8197" s="3" t="inlineStr">
        <is>
          <t>미래에셋증권</t>
        </is>
      </c>
      <c r="G8197" s="2" t="inlineStr">
        <is>
          <t>20260529000212</t>
        </is>
      </c>
      <c r="H8197" s="8">
        <f>HYPERLINK("https://dart.fss.or.kr/dsaf001/main.do?rcpNo=20260529000212", "공시열람")</f>
        <v/>
      </c>
    </row>
    <row r="8198">
      <c r="A8198" s="2" t="inlineStr">
        <is>
          <t>2026-05-29</t>
        </is>
      </c>
      <c r="B8198" s="3" t="inlineStr">
        <is>
          <t>BGF</t>
        </is>
      </c>
      <c r="C8198" s="2" t="inlineStr">
        <is>
          <t>코스피</t>
        </is>
      </c>
      <c r="D8198" s="2" t="inlineStr">
        <is>
          <t>027410</t>
        </is>
      </c>
      <c r="E8198" s="3" t="inlineStr">
        <is>
          <t>[기재정정]대규모기업집단현황공시[연1회공시및1/4분기용(대표회사)]</t>
        </is>
      </c>
      <c r="F8198" s="3" t="inlineStr">
        <is>
          <t>BGF</t>
        </is>
      </c>
      <c r="G8198" s="2" t="inlineStr">
        <is>
          <t>20260529000199</t>
        </is>
      </c>
      <c r="H8198" s="8">
        <f>HYPERLINK("https://dart.fss.or.kr/dsaf001/main.do?rcpNo=20260529000199", "공시열람")</f>
        <v/>
      </c>
    </row>
    <row r="8199">
      <c r="A8199" s="2" t="inlineStr">
        <is>
          <t>2026-05-29 (정정: 2026-06-05)</t>
        </is>
      </c>
      <c r="B8199" s="3" t="inlineStr">
        <is>
          <t>KT지니뮤직</t>
        </is>
      </c>
      <c r="C8199" s="2" t="inlineStr">
        <is>
          <t>코스닥</t>
        </is>
      </c>
      <c r="D8199" s="2" t="inlineStr">
        <is>
          <t>043610</t>
        </is>
      </c>
      <c r="E8199" s="3" t="inlineStr">
        <is>
          <t>대규모기업집단현황공시[연1회공시및1/4분기용(개별회사)] (정정: 20260605)</t>
        </is>
      </c>
      <c r="F8199" s="3" t="inlineStr">
        <is>
          <t>KT지니뮤직</t>
        </is>
      </c>
      <c r="G8199" s="2" t="inlineStr">
        <is>
          <t>20260605000121</t>
        </is>
      </c>
      <c r="H8199" s="8">
        <f>HYPERLINK("https://dart.fss.or.kr/dsaf001/main.do?rcpNo=20260605000121", "공시열람")</f>
        <v/>
      </c>
    </row>
    <row r="8200">
      <c r="A8200" s="2" t="inlineStr">
        <is>
          <t>2026-05-29</t>
        </is>
      </c>
      <c r="B8200" s="3" t="inlineStr">
        <is>
          <t>SK이터닉스</t>
        </is>
      </c>
      <c r="C8200" s="2" t="inlineStr">
        <is>
          <t>코스피</t>
        </is>
      </c>
      <c r="D8200" s="2" t="inlineStr">
        <is>
          <t>475150</t>
        </is>
      </c>
      <c r="E8200" s="3" t="inlineStr">
        <is>
          <t xml:space="preserve">투자판단관련주요경영사항              </t>
        </is>
      </c>
      <c r="F8200" s="3" t="inlineStr">
        <is>
          <t>SK이터닉스</t>
        </is>
      </c>
      <c r="G8200" s="2" t="inlineStr">
        <is>
          <t>20260529800288</t>
        </is>
      </c>
      <c r="H8200" s="8">
        <f>HYPERLINK("https://dart.fss.or.kr/dsaf001/main.do?rcpNo=20260529800288", "공시열람")</f>
        <v/>
      </c>
    </row>
    <row r="8201">
      <c r="A8201" s="2" t="inlineStr">
        <is>
          <t>2026-05-29</t>
        </is>
      </c>
      <c r="B8201" s="3" t="inlineStr">
        <is>
          <t>혜인</t>
        </is>
      </c>
      <c r="C8201" s="2" t="inlineStr">
        <is>
          <t>코스피</t>
        </is>
      </c>
      <c r="D8201" s="2" t="inlineStr">
        <is>
          <t>003010</t>
        </is>
      </c>
      <c r="E8201" s="3" t="inlineStr">
        <is>
          <t xml:space="preserve">[첨부추가]기업지배구조보고서공시              </t>
        </is>
      </c>
      <c r="F8201" s="3" t="inlineStr">
        <is>
          <t>혜인</t>
        </is>
      </c>
      <c r="G8201" s="2" t="inlineStr">
        <is>
          <t>20260529800248</t>
        </is>
      </c>
      <c r="H8201" s="8">
        <f>HYPERLINK("https://dart.fss.or.kr/dsaf001/main.do?rcpNo=20260529800248", "공시열람")</f>
        <v/>
      </c>
    </row>
    <row r="8202">
      <c r="A8202" s="2" t="inlineStr">
        <is>
          <t>2026-05-29</t>
        </is>
      </c>
      <c r="B8202" s="3" t="inlineStr">
        <is>
          <t>케이뱅크</t>
        </is>
      </c>
      <c r="C8202" s="2" t="inlineStr">
        <is>
          <t>코스피</t>
        </is>
      </c>
      <c r="D8202" s="2" t="inlineStr">
        <is>
          <t>279570</t>
        </is>
      </c>
      <c r="E8202" s="3" t="inlineStr">
        <is>
          <t>대규모기업집단현황공시[연1회공시및1/4분기용(개별회사)]</t>
        </is>
      </c>
      <c r="F8202" s="3" t="inlineStr">
        <is>
          <t>케이뱅크</t>
        </is>
      </c>
      <c r="G8202" s="2" t="inlineStr">
        <is>
          <t>20260529000176</t>
        </is>
      </c>
      <c r="H8202" s="8">
        <f>HYPERLINK("https://dart.fss.or.kr/dsaf001/main.do?rcpNo=20260529000176", "공시열람")</f>
        <v/>
      </c>
    </row>
    <row r="8203">
      <c r="A8203" s="2" t="inlineStr">
        <is>
          <t>2026-05-29</t>
        </is>
      </c>
      <c r="B8203" s="3" t="inlineStr">
        <is>
          <t>삼성출판사</t>
        </is>
      </c>
      <c r="C8203" s="2" t="inlineStr">
        <is>
          <t>코스피</t>
        </is>
      </c>
      <c r="D8203" s="2" t="inlineStr">
        <is>
          <t>068290</t>
        </is>
      </c>
      <c r="E8203" s="3" t="inlineStr">
        <is>
          <t xml:space="preserve">기업지배구조보고서공시              </t>
        </is>
      </c>
      <c r="F8203" s="3" t="inlineStr">
        <is>
          <t>삼성출판사</t>
        </is>
      </c>
      <c r="G8203" s="2" t="inlineStr">
        <is>
          <t>20260529800305</t>
        </is>
      </c>
      <c r="H8203" s="8">
        <f>HYPERLINK("https://dart.fss.or.kr/dsaf001/main.do?rcpNo=20260529800305", "공시열람")</f>
        <v/>
      </c>
    </row>
    <row r="8204">
      <c r="A8204" s="2" t="inlineStr">
        <is>
          <t>2026-05-29</t>
        </is>
      </c>
      <c r="B8204" s="3" t="inlineStr">
        <is>
          <t>씨티알모빌리티</t>
        </is>
      </c>
      <c r="C8204" s="2" t="inlineStr">
        <is>
          <t>코스피</t>
        </is>
      </c>
      <c r="D8204" s="2" t="inlineStr">
        <is>
          <t>308170</t>
        </is>
      </c>
      <c r="E8204" s="3" t="inlineStr">
        <is>
          <t xml:space="preserve">기업지배구조보고서공시              </t>
        </is>
      </c>
      <c r="F8204" s="3" t="inlineStr">
        <is>
          <t>씨티알모빌리티</t>
        </is>
      </c>
      <c r="G8204" s="2" t="inlineStr">
        <is>
          <t>20260529800317</t>
        </is>
      </c>
      <c r="H8204" s="8">
        <f>HYPERLINK("https://dart.fss.or.kr/dsaf001/main.do?rcpNo=20260529800317", "공시열람")</f>
        <v/>
      </c>
    </row>
    <row r="8205">
      <c r="A8205" s="2" t="inlineStr">
        <is>
          <t>2026-05-29</t>
        </is>
      </c>
      <c r="B8205" s="3" t="inlineStr">
        <is>
          <t>화신</t>
        </is>
      </c>
      <c r="C8205" s="2" t="inlineStr">
        <is>
          <t>코스피</t>
        </is>
      </c>
      <c r="D8205" s="2" t="inlineStr">
        <is>
          <t>010690</t>
        </is>
      </c>
      <c r="E8205" s="3" t="inlineStr">
        <is>
          <t xml:space="preserve">기업지배구조보고서공시              </t>
        </is>
      </c>
      <c r="F8205" s="3" t="inlineStr">
        <is>
          <t>화신</t>
        </is>
      </c>
      <c r="G8205" s="2" t="inlineStr">
        <is>
          <t>20260529800236</t>
        </is>
      </c>
      <c r="H8205" s="8">
        <f>HYPERLINK("https://dart.fss.or.kr/dsaf001/main.do?rcpNo=20260529800236", "공시열람")</f>
        <v/>
      </c>
    </row>
    <row r="8206">
      <c r="A8206" s="2" t="inlineStr">
        <is>
          <t>2026-05-29</t>
        </is>
      </c>
      <c r="B8206" s="3" t="inlineStr">
        <is>
          <t>에코프로</t>
        </is>
      </c>
      <c r="C8206" s="2" t="inlineStr">
        <is>
          <t>코스닥</t>
        </is>
      </c>
      <c r="D8206" s="2" t="inlineStr">
        <is>
          <t>086520</t>
        </is>
      </c>
      <c r="E8206" s="3" t="inlineStr">
        <is>
          <t>대규모기업집단현황공시[연1회공시및1/4분기용(대표회사)]</t>
        </is>
      </c>
      <c r="F8206" s="3" t="inlineStr">
        <is>
          <t>에코프로</t>
        </is>
      </c>
      <c r="G8206" s="2" t="inlineStr">
        <is>
          <t>20260529000163</t>
        </is>
      </c>
      <c r="H8206" s="8">
        <f>HYPERLINK("https://dart.fss.or.kr/dsaf001/main.do?rcpNo=20260529000163", "공시열람")</f>
        <v/>
      </c>
    </row>
    <row r="8207">
      <c r="A8207" s="2" t="inlineStr">
        <is>
          <t>2026-05-29</t>
        </is>
      </c>
      <c r="B8207" s="3" t="inlineStr">
        <is>
          <t>코아스</t>
        </is>
      </c>
      <c r="C8207" s="2" t="inlineStr">
        <is>
          <t>코스피</t>
        </is>
      </c>
      <c r="D8207" s="2" t="inlineStr">
        <is>
          <t>071950</t>
        </is>
      </c>
      <c r="E8207" s="3" t="inlineStr">
        <is>
          <t xml:space="preserve">기업지배구조보고서공시              </t>
        </is>
      </c>
      <c r="F8207" s="3" t="inlineStr">
        <is>
          <t>코아스</t>
        </is>
      </c>
      <c r="G8207" s="2" t="inlineStr">
        <is>
          <t>20260529800302</t>
        </is>
      </c>
      <c r="H8207" s="8">
        <f>HYPERLINK("https://dart.fss.or.kr/dsaf001/main.do?rcpNo=20260529800302", "공시열람")</f>
        <v/>
      </c>
    </row>
    <row r="8208">
      <c r="A8208" s="2" t="inlineStr">
        <is>
          <t>2026-05-29</t>
        </is>
      </c>
      <c r="B8208" s="3" t="inlineStr">
        <is>
          <t>KEC</t>
        </is>
      </c>
      <c r="C8208" s="2" t="inlineStr">
        <is>
          <t>코스피</t>
        </is>
      </c>
      <c r="D8208" s="2" t="inlineStr">
        <is>
          <t>092220</t>
        </is>
      </c>
      <c r="E8208" s="3" t="inlineStr">
        <is>
          <t xml:space="preserve">기업지배구조보고서공시              </t>
        </is>
      </c>
      <c r="F8208" s="3" t="inlineStr">
        <is>
          <t>KEC</t>
        </is>
      </c>
      <c r="G8208" s="2" t="inlineStr">
        <is>
          <t>20260529800299</t>
        </is>
      </c>
      <c r="H8208" s="8">
        <f>HYPERLINK("https://dart.fss.or.kr/dsaf001/main.do?rcpNo=20260529800299", "공시열람")</f>
        <v/>
      </c>
    </row>
    <row r="8209">
      <c r="A8209" s="2" t="inlineStr">
        <is>
          <t>2026-05-29</t>
        </is>
      </c>
      <c r="B8209" s="3" t="inlineStr">
        <is>
          <t>한솔홀딩스</t>
        </is>
      </c>
      <c r="C8209" s="2" t="inlineStr">
        <is>
          <t>코스피</t>
        </is>
      </c>
      <c r="D8209" s="2" t="inlineStr">
        <is>
          <t>004150</t>
        </is>
      </c>
      <c r="E8209" s="3" t="inlineStr">
        <is>
          <t xml:space="preserve">기업지배구조보고서공시              </t>
        </is>
      </c>
      <c r="F8209" s="3" t="inlineStr">
        <is>
          <t>한솔홀딩스</t>
        </is>
      </c>
      <c r="G8209" s="2" t="inlineStr">
        <is>
          <t>20260529800294</t>
        </is>
      </c>
      <c r="H8209" s="8">
        <f>HYPERLINK("https://dart.fss.or.kr/dsaf001/main.do?rcpNo=20260529800294", "공시열람")</f>
        <v/>
      </c>
    </row>
    <row r="8210">
      <c r="A8210" s="2" t="inlineStr">
        <is>
          <t>2026-05-29</t>
        </is>
      </c>
      <c r="B8210" s="3" t="inlineStr">
        <is>
          <t>코스모화학</t>
        </is>
      </c>
      <c r="C8210" s="2" t="inlineStr">
        <is>
          <t>코스피</t>
        </is>
      </c>
      <c r="D8210" s="2" t="inlineStr">
        <is>
          <t>005420</t>
        </is>
      </c>
      <c r="E8210" s="3" t="inlineStr">
        <is>
          <t xml:space="preserve">기업지배구조보고서공시              </t>
        </is>
      </c>
      <c r="F8210" s="3" t="inlineStr">
        <is>
          <t>코스모화학</t>
        </is>
      </c>
      <c r="G8210" s="2" t="inlineStr">
        <is>
          <t>20260529800297</t>
        </is>
      </c>
      <c r="H8210" s="8">
        <f>HYPERLINK("https://dart.fss.or.kr/dsaf001/main.do?rcpNo=20260529800297", "공시열람")</f>
        <v/>
      </c>
    </row>
    <row r="8211">
      <c r="A8211" s="2" t="inlineStr">
        <is>
          <t>2026-05-29</t>
        </is>
      </c>
      <c r="B8211" s="3" t="inlineStr">
        <is>
          <t>영보화학</t>
        </is>
      </c>
      <c r="C8211" s="2" t="inlineStr">
        <is>
          <t>코스피</t>
        </is>
      </c>
      <c r="D8211" s="2" t="inlineStr">
        <is>
          <t>014440</t>
        </is>
      </c>
      <c r="E8211" s="3" t="inlineStr">
        <is>
          <t xml:space="preserve">기업지배구조보고서공시              </t>
        </is>
      </c>
      <c r="F8211" s="3" t="inlineStr">
        <is>
          <t>영보화학</t>
        </is>
      </c>
      <c r="G8211" s="2" t="inlineStr">
        <is>
          <t>20260529800292</t>
        </is>
      </c>
      <c r="H8211" s="8">
        <f>HYPERLINK("https://dart.fss.or.kr/dsaf001/main.do?rcpNo=20260529800292", "공시열람")</f>
        <v/>
      </c>
    </row>
    <row r="8212">
      <c r="A8212" s="2" t="inlineStr">
        <is>
          <t>2026-05-29</t>
        </is>
      </c>
      <c r="B8212" s="3" t="inlineStr">
        <is>
          <t>미원화학</t>
        </is>
      </c>
      <c r="C8212" s="2" t="inlineStr">
        <is>
          <t>코스피</t>
        </is>
      </c>
      <c r="D8212" s="2" t="inlineStr">
        <is>
          <t>134380</t>
        </is>
      </c>
      <c r="E8212" s="3" t="inlineStr">
        <is>
          <t xml:space="preserve">기업지배구조보고서공시              </t>
        </is>
      </c>
      <c r="F8212" s="3" t="inlineStr">
        <is>
          <t>미원화학</t>
        </is>
      </c>
      <c r="G8212" s="2" t="inlineStr">
        <is>
          <t>20260529800287</t>
        </is>
      </c>
      <c r="H8212" s="8">
        <f>HYPERLINK("https://dart.fss.or.kr/dsaf001/main.do?rcpNo=20260529800287", "공시열람")</f>
        <v/>
      </c>
    </row>
    <row r="8213">
      <c r="A8213" s="2" t="inlineStr">
        <is>
          <t>2026-05-29</t>
        </is>
      </c>
      <c r="B8213" s="3" t="inlineStr">
        <is>
          <t>광전자</t>
        </is>
      </c>
      <c r="C8213" s="2" t="inlineStr">
        <is>
          <t>코스피</t>
        </is>
      </c>
      <c r="D8213" s="2" t="inlineStr">
        <is>
          <t>017900</t>
        </is>
      </c>
      <c r="E8213" s="3" t="inlineStr">
        <is>
          <t xml:space="preserve">기업지배구조보고서공시              </t>
        </is>
      </c>
      <c r="F8213" s="3" t="inlineStr">
        <is>
          <t>광전자</t>
        </is>
      </c>
      <c r="G8213" s="2" t="inlineStr">
        <is>
          <t>20260529800277</t>
        </is>
      </c>
      <c r="H8213" s="8">
        <f>HYPERLINK("https://dart.fss.or.kr/dsaf001/main.do?rcpNo=20260529800277", "공시열람")</f>
        <v/>
      </c>
    </row>
    <row r="8214">
      <c r="A8214" s="2" t="inlineStr">
        <is>
          <t>2026-05-29</t>
        </is>
      </c>
      <c r="B8214" s="3" t="inlineStr">
        <is>
          <t>KTis</t>
        </is>
      </c>
      <c r="C8214" s="2" t="inlineStr">
        <is>
          <t>코스피</t>
        </is>
      </c>
      <c r="D8214" s="2" t="inlineStr">
        <is>
          <t>058860</t>
        </is>
      </c>
      <c r="E8214" s="3" t="inlineStr">
        <is>
          <t>대규모기업집단현황공시[연1회공시및1/4분기용(개별회사)]</t>
        </is>
      </c>
      <c r="F8214" s="3" t="inlineStr">
        <is>
          <t>KTis</t>
        </is>
      </c>
      <c r="G8214" s="2" t="inlineStr">
        <is>
          <t>20260529000123</t>
        </is>
      </c>
      <c r="H8214" s="8">
        <f>HYPERLINK("https://dart.fss.or.kr/dsaf001/main.do?rcpNo=20260529000123", "공시열람")</f>
        <v/>
      </c>
    </row>
    <row r="8215">
      <c r="A8215" s="2" t="inlineStr">
        <is>
          <t>2026-05-29 (정정: 2026-06-02)</t>
        </is>
      </c>
      <c r="B8215" s="3" t="inlineStr">
        <is>
          <t>코스모신소재</t>
        </is>
      </c>
      <c r="C8215" s="2" t="inlineStr">
        <is>
          <t>코스피</t>
        </is>
      </c>
      <c r="D8215" s="2" t="inlineStr">
        <is>
          <t>005070</t>
        </is>
      </c>
      <c r="E8215" s="3" t="inlineStr">
        <is>
          <t>기업지배구조보고서공시               (정정: 20260602) (정정: 20260602)</t>
        </is>
      </c>
      <c r="F8215" s="3" t="inlineStr">
        <is>
          <t>코스모신소재</t>
        </is>
      </c>
      <c r="G8215" s="2" t="inlineStr">
        <is>
          <t>20260602000342</t>
        </is>
      </c>
      <c r="H8215" s="8">
        <f>HYPERLINK("https://dart.fss.or.kr/dsaf001/main.do?rcpNo=20260602000342", "공시열람")</f>
        <v/>
      </c>
    </row>
    <row r="8216">
      <c r="A8216" s="2" t="inlineStr">
        <is>
          <t>2026-05-29</t>
        </is>
      </c>
      <c r="B8216" s="3" t="inlineStr">
        <is>
          <t>한국토지신탁</t>
        </is>
      </c>
      <c r="C8216" s="2" t="inlineStr">
        <is>
          <t>코스피</t>
        </is>
      </c>
      <c r="D8216" s="2" t="inlineStr">
        <is>
          <t>034830</t>
        </is>
      </c>
      <c r="E8216" s="3" t="inlineStr">
        <is>
          <t xml:space="preserve">기업지배구조보고서공시              </t>
        </is>
      </c>
      <c r="F8216" s="3" t="inlineStr">
        <is>
          <t>한국토지신탁</t>
        </is>
      </c>
      <c r="G8216" s="2" t="inlineStr">
        <is>
          <t>20260529800191</t>
        </is>
      </c>
      <c r="H8216" s="8">
        <f>HYPERLINK("https://dart.fss.or.kr/dsaf001/main.do?rcpNo=20260529800191", "공시열람")</f>
        <v/>
      </c>
    </row>
    <row r="8217">
      <c r="A8217" s="2" t="inlineStr">
        <is>
          <t>2026-05-29</t>
        </is>
      </c>
      <c r="B8217" s="3" t="inlineStr">
        <is>
          <t>교보증권</t>
        </is>
      </c>
      <c r="C8217" s="2" t="inlineStr">
        <is>
          <t>코스피</t>
        </is>
      </c>
      <c r="D8217" s="2" t="inlineStr">
        <is>
          <t>030610</t>
        </is>
      </c>
      <c r="E8217" s="3" t="inlineStr">
        <is>
          <t>투자설명서(일괄신고)</t>
        </is>
      </c>
      <c r="F8217" s="3" t="inlineStr">
        <is>
          <t>교보증권</t>
        </is>
      </c>
      <c r="G8217" s="2" t="inlineStr">
        <is>
          <t>20260529000111</t>
        </is>
      </c>
      <c r="H8217" s="8">
        <f>HYPERLINK("https://dart.fss.or.kr/dsaf001/main.do?rcpNo=20260529000111", "공시열람")</f>
        <v/>
      </c>
    </row>
    <row r="8218">
      <c r="A8218" s="2" t="inlineStr">
        <is>
          <t>2026-05-29</t>
        </is>
      </c>
      <c r="B8218" s="3" t="inlineStr">
        <is>
          <t>한국쉘석유</t>
        </is>
      </c>
      <c r="C8218" s="2" t="inlineStr">
        <is>
          <t>코스피</t>
        </is>
      </c>
      <c r="D8218" s="2" t="inlineStr">
        <is>
          <t>002960</t>
        </is>
      </c>
      <c r="E8218" s="3" t="inlineStr">
        <is>
          <t xml:space="preserve">기업지배구조보고서공시              </t>
        </is>
      </c>
      <c r="F8218" s="3" t="inlineStr">
        <is>
          <t>한국쉘석유</t>
        </is>
      </c>
      <c r="G8218" s="2" t="inlineStr">
        <is>
          <t>20260529800263</t>
        </is>
      </c>
      <c r="H8218" s="8">
        <f>HYPERLINK("https://dart.fss.or.kr/dsaf001/main.do?rcpNo=20260529800263", "공시열람")</f>
        <v/>
      </c>
    </row>
    <row r="8219">
      <c r="A8219" s="2" t="inlineStr">
        <is>
          <t>2026-05-29</t>
        </is>
      </c>
      <c r="B8219" s="3" t="inlineStr">
        <is>
          <t>기업은행</t>
        </is>
      </c>
      <c r="C8219" s="2" t="inlineStr">
        <is>
          <t>코스피</t>
        </is>
      </c>
      <c r="D8219" s="2" t="inlineStr">
        <is>
          <t>024110</t>
        </is>
      </c>
      <c r="E8219" s="3" t="inlineStr">
        <is>
          <t xml:space="preserve">기업설명회(IR)개최(안내공시)              </t>
        </is>
      </c>
      <c r="F8219" s="3" t="inlineStr">
        <is>
          <t>기업은행</t>
        </is>
      </c>
      <c r="G8219" s="2" t="inlineStr">
        <is>
          <t>20260529800273</t>
        </is>
      </c>
      <c r="H8219" s="8">
        <f>HYPERLINK("https://dart.fss.or.kr/dsaf001/main.do?rcpNo=20260529800273", "공시열람")</f>
        <v/>
      </c>
    </row>
    <row r="8220">
      <c r="A8220" s="2" t="inlineStr">
        <is>
          <t>2026-05-29</t>
        </is>
      </c>
      <c r="B8220" s="3" t="inlineStr">
        <is>
          <t>한성기업</t>
        </is>
      </c>
      <c r="C8220" s="2" t="inlineStr">
        <is>
          <t>코스피</t>
        </is>
      </c>
      <c r="D8220" s="2" t="inlineStr">
        <is>
          <t>003680</t>
        </is>
      </c>
      <c r="E8220" s="3" t="inlineStr">
        <is>
          <t xml:space="preserve">기업지배구조보고서공시              </t>
        </is>
      </c>
      <c r="F8220" s="3" t="inlineStr">
        <is>
          <t>한성기업</t>
        </is>
      </c>
      <c r="G8220" s="2" t="inlineStr">
        <is>
          <t>20260529800266</t>
        </is>
      </c>
      <c r="H8220" s="8">
        <f>HYPERLINK("https://dart.fss.or.kr/dsaf001/main.do?rcpNo=20260529800266", "공시열람")</f>
        <v/>
      </c>
    </row>
    <row r="8221">
      <c r="A8221" s="2" t="inlineStr">
        <is>
          <t>2026-05-29</t>
        </is>
      </c>
      <c r="B8221" s="3" t="inlineStr">
        <is>
          <t>롯데에너지머티리얼즈</t>
        </is>
      </c>
      <c r="C8221" s="2" t="inlineStr">
        <is>
          <t>코스피</t>
        </is>
      </c>
      <c r="D8221" s="2" t="inlineStr">
        <is>
          <t>020150</t>
        </is>
      </c>
      <c r="E8221" s="3" t="inlineStr">
        <is>
          <t xml:space="preserve">기업지배구조보고서공시              </t>
        </is>
      </c>
      <c r="F8221" s="3" t="inlineStr">
        <is>
          <t>롯데에너지머티리얼즈</t>
        </is>
      </c>
      <c r="G8221" s="2" t="inlineStr">
        <is>
          <t>20260529800269</t>
        </is>
      </c>
      <c r="H8221" s="8">
        <f>HYPERLINK("https://dart.fss.or.kr/dsaf001/main.do?rcpNo=20260529800269", "공시열람")</f>
        <v/>
      </c>
    </row>
    <row r="8222">
      <c r="A8222" s="2" t="inlineStr">
        <is>
          <t>2026-05-29</t>
        </is>
      </c>
      <c r="B8222" s="3" t="inlineStr">
        <is>
          <t>HLB바이오스텝</t>
        </is>
      </c>
      <c r="C8222" s="2" t="inlineStr">
        <is>
          <t>코스닥</t>
        </is>
      </c>
      <c r="D8222" s="2" t="inlineStr">
        <is>
          <t>278650</t>
        </is>
      </c>
      <c r="E8222" s="3" t="inlineStr">
        <is>
          <t>임원ㆍ주요주주특정증권등소유상황보고서</t>
        </is>
      </c>
      <c r="F8222" s="3" t="inlineStr">
        <is>
          <t>백성진</t>
        </is>
      </c>
      <c r="G8222" s="2" t="inlineStr">
        <is>
          <t>20260529000103</t>
        </is>
      </c>
      <c r="H8222" s="8">
        <f>HYPERLINK("https://dart.fss.or.kr/dsaf001/main.do?rcpNo=20260529000103", "공시열람")</f>
        <v/>
      </c>
    </row>
    <row r="8223">
      <c r="A8223" s="2" t="inlineStr">
        <is>
          <t>2026-05-29</t>
        </is>
      </c>
      <c r="B8223" s="3" t="inlineStr">
        <is>
          <t>신도리코</t>
        </is>
      </c>
      <c r="C8223" s="2" t="inlineStr">
        <is>
          <t>코스피</t>
        </is>
      </c>
      <c r="D8223" s="2" t="inlineStr">
        <is>
          <t>029530</t>
        </is>
      </c>
      <c r="E8223" s="3" t="inlineStr">
        <is>
          <t xml:space="preserve">기업지배구조보고서공시              </t>
        </is>
      </c>
      <c r="F8223" s="3" t="inlineStr">
        <is>
          <t>신도리코</t>
        </is>
      </c>
      <c r="G8223" s="2" t="inlineStr">
        <is>
          <t>20260529800260</t>
        </is>
      </c>
      <c r="H8223" s="8">
        <f>HYPERLINK("https://dart.fss.or.kr/dsaf001/main.do?rcpNo=20260529800260", "공시열람")</f>
        <v/>
      </c>
    </row>
    <row r="8224">
      <c r="A8224" s="2" t="inlineStr">
        <is>
          <t>2026-05-29</t>
        </is>
      </c>
      <c r="B8224" s="3" t="inlineStr">
        <is>
          <t>포스코엠텍</t>
        </is>
      </c>
      <c r="C8224" s="2" t="inlineStr">
        <is>
          <t>코스닥</t>
        </is>
      </c>
      <c r="D8224" s="2" t="inlineStr">
        <is>
          <t>009520</t>
        </is>
      </c>
      <c r="E8224" s="3" t="inlineStr">
        <is>
          <t>대규모기업집단현황공시[연1회공시및1/4분기용(개별회사)]</t>
        </is>
      </c>
      <c r="F8224" s="3" t="inlineStr">
        <is>
          <t>포스코엠텍</t>
        </is>
      </c>
      <c r="G8224" s="2" t="inlineStr">
        <is>
          <t>20260529000096</t>
        </is>
      </c>
      <c r="H8224" s="8">
        <f>HYPERLINK("https://dart.fss.or.kr/dsaf001/main.do?rcpNo=20260529000096", "공시열람")</f>
        <v/>
      </c>
    </row>
    <row r="8225">
      <c r="A8225" s="2" t="inlineStr">
        <is>
          <t>2026-05-29</t>
        </is>
      </c>
      <c r="B8225" s="3" t="inlineStr">
        <is>
          <t>유바이오로직스</t>
        </is>
      </c>
      <c r="C8225" s="2" t="inlineStr">
        <is>
          <t>코스닥</t>
        </is>
      </c>
      <c r="D8225" s="2" t="inlineStr">
        <is>
          <t>206650</t>
        </is>
      </c>
      <c r="E8225" s="3" t="inlineStr">
        <is>
          <t xml:space="preserve">기업설명회(IR)개최              </t>
        </is>
      </c>
      <c r="F8225" s="3" t="inlineStr">
        <is>
          <t>유바이오로직스</t>
        </is>
      </c>
      <c r="G8225" s="2" t="inlineStr">
        <is>
          <t>20260529900243</t>
        </is>
      </c>
      <c r="H8225" s="8">
        <f>HYPERLINK("https://dart.fss.or.kr/dsaf001/main.do?rcpNo=20260529900243", "공시열람")</f>
        <v/>
      </c>
    </row>
    <row r="8226">
      <c r="A8226" s="2" t="inlineStr">
        <is>
          <t>2026-05-29</t>
        </is>
      </c>
      <c r="B8226" s="3" t="inlineStr">
        <is>
          <t>조광페인트</t>
        </is>
      </c>
      <c r="C8226" s="2" t="inlineStr">
        <is>
          <t>코스피</t>
        </is>
      </c>
      <c r="D8226" s="2" t="inlineStr">
        <is>
          <t>004910</t>
        </is>
      </c>
      <c r="E8226" s="3" t="inlineStr">
        <is>
          <t xml:space="preserve">기업지배구조보고서공시              </t>
        </is>
      </c>
      <c r="F8226" s="3" t="inlineStr">
        <is>
          <t>조광페인트</t>
        </is>
      </c>
      <c r="G8226" s="2" t="inlineStr">
        <is>
          <t>20260529800151</t>
        </is>
      </c>
      <c r="H8226" s="8">
        <f>HYPERLINK("https://dart.fss.or.kr/dsaf001/main.do?rcpNo=20260529800151", "공시열람")</f>
        <v/>
      </c>
    </row>
    <row r="8227">
      <c r="A8227" s="2" t="inlineStr">
        <is>
          <t>2026-05-29</t>
        </is>
      </c>
      <c r="B8227" s="3" t="inlineStr">
        <is>
          <t>GS글로벌</t>
        </is>
      </c>
      <c r="C8227" s="2" t="inlineStr">
        <is>
          <t>코스피</t>
        </is>
      </c>
      <c r="D8227" s="2" t="inlineStr">
        <is>
          <t>001250</t>
        </is>
      </c>
      <c r="E8227" s="3" t="inlineStr">
        <is>
          <t xml:space="preserve">기업지배구조보고서공시              </t>
        </is>
      </c>
      <c r="F8227" s="3" t="inlineStr">
        <is>
          <t>GS글로벌</t>
        </is>
      </c>
      <c r="G8227" s="2" t="inlineStr">
        <is>
          <t>20260529800231</t>
        </is>
      </c>
      <c r="H8227" s="8">
        <f>HYPERLINK("https://dart.fss.or.kr/dsaf001/main.do?rcpNo=20260529800231", "공시열람")</f>
        <v/>
      </c>
    </row>
    <row r="8228">
      <c r="A8228" s="2" t="inlineStr">
        <is>
          <t>2026-05-29 (정정: 2026-06-24)</t>
        </is>
      </c>
      <c r="B8228" s="3" t="inlineStr">
        <is>
          <t>SK이터닉스</t>
        </is>
      </c>
      <c r="C8228" s="2" t="inlineStr">
        <is>
          <t>코스피</t>
        </is>
      </c>
      <c r="D8228" s="2" t="inlineStr">
        <is>
          <t>475150</t>
        </is>
      </c>
      <c r="E8228" s="3" t="inlineStr">
        <is>
          <t>기업지배구조보고서공시               (정정: 20260624)</t>
        </is>
      </c>
      <c r="F8228" s="3" t="inlineStr">
        <is>
          <t>SK이터닉스</t>
        </is>
      </c>
      <c r="G8228" s="2" t="inlineStr">
        <is>
          <t>20260624000151</t>
        </is>
      </c>
      <c r="H8228" s="8">
        <f>HYPERLINK("https://dart.fss.or.kr/dsaf001/main.do?rcpNo=20260624000151", "공시열람")</f>
        <v/>
      </c>
    </row>
    <row r="8229">
      <c r="A8229" s="2" t="inlineStr">
        <is>
          <t>2026-05-29 (정정: 2026-06-02)</t>
        </is>
      </c>
      <c r="B8229" s="3" t="inlineStr">
        <is>
          <t>레이</t>
        </is>
      </c>
      <c r="C8229" s="2" t="inlineStr">
        <is>
          <t>코스닥</t>
        </is>
      </c>
      <c r="D8229" s="2" t="inlineStr">
        <is>
          <t>228670</t>
        </is>
      </c>
      <c r="E8229" s="3" t="inlineStr">
        <is>
          <t>사외이사의선임ㆍ해임또는중도퇴임에관한신고 (정정: 20260602)</t>
        </is>
      </c>
      <c r="F8229" s="3" t="inlineStr">
        <is>
          <t>레이</t>
        </is>
      </c>
      <c r="G8229" s="2" t="inlineStr">
        <is>
          <t>20260602000567</t>
        </is>
      </c>
      <c r="H8229" s="8">
        <f>HYPERLINK("https://dart.fss.or.kr/dsaf001/main.do?rcpNo=20260602000567", "공시열람")</f>
        <v/>
      </c>
    </row>
    <row r="8230">
      <c r="A8230" s="2" t="inlineStr">
        <is>
          <t>2026-05-29</t>
        </is>
      </c>
      <c r="B8230" s="3" t="inlineStr">
        <is>
          <t>금호석유화학</t>
        </is>
      </c>
      <c r="C8230" s="2" t="inlineStr">
        <is>
          <t>코스피</t>
        </is>
      </c>
      <c r="D8230" s="2" t="inlineStr">
        <is>
          <t>011780</t>
        </is>
      </c>
      <c r="E8230" s="3" t="inlineStr">
        <is>
          <t>대규모기업집단현황공시[연1회공시및1/4분기용(대표회사)]</t>
        </is>
      </c>
      <c r="F8230" s="3" t="inlineStr">
        <is>
          <t>금호석유화학</t>
        </is>
      </c>
      <c r="G8230" s="2" t="inlineStr">
        <is>
          <t>20260529000084</t>
        </is>
      </c>
      <c r="H8230" s="8">
        <f>HYPERLINK("https://dart.fss.or.kr/dsaf001/main.do?rcpNo=20260529000084", "공시열람")</f>
        <v/>
      </c>
    </row>
    <row r="8231">
      <c r="A8231" s="2" t="inlineStr">
        <is>
          <t>2026-05-29</t>
        </is>
      </c>
      <c r="B8231" s="3" t="inlineStr">
        <is>
          <t>교보증권</t>
        </is>
      </c>
      <c r="C8231" s="2" t="inlineStr">
        <is>
          <t>코스피</t>
        </is>
      </c>
      <c r="D8231" s="2" t="inlineStr">
        <is>
          <t>030610</t>
        </is>
      </c>
      <c r="E8231" s="3" t="inlineStr">
        <is>
          <t>일괄신고추가서류(파생결합사채-주가연계파생결합사채)</t>
        </is>
      </c>
      <c r="F8231" s="3" t="inlineStr">
        <is>
          <t>교보증권</t>
        </is>
      </c>
      <c r="G8231" s="2" t="inlineStr">
        <is>
          <t>20260529000080</t>
        </is>
      </c>
      <c r="H8231" s="8">
        <f>HYPERLINK("https://dart.fss.or.kr/dsaf001/main.do?rcpNo=20260529000080", "공시열람")</f>
        <v/>
      </c>
    </row>
    <row r="8232">
      <c r="A8232" s="2" t="inlineStr">
        <is>
          <t>2026-05-29</t>
        </is>
      </c>
      <c r="B8232" s="3" t="inlineStr">
        <is>
          <t>금호석유화학</t>
        </is>
      </c>
      <c r="C8232" s="2" t="inlineStr">
        <is>
          <t>코스피</t>
        </is>
      </c>
      <c r="D8232" s="2" t="inlineStr">
        <is>
          <t>011780</t>
        </is>
      </c>
      <c r="E8232" s="3" t="inlineStr">
        <is>
          <t>대규모기업집단현황공시[연1회(동일인용)]</t>
        </is>
      </c>
      <c r="F8232" s="3" t="inlineStr">
        <is>
          <t>박찬구</t>
        </is>
      </c>
      <c r="G8232" s="2" t="inlineStr">
        <is>
          <t>20260529000079</t>
        </is>
      </c>
      <c r="H8232" s="8">
        <f>HYPERLINK("https://dart.fss.or.kr/dsaf001/main.do?rcpNo=20260529000079", "공시열람")</f>
        <v/>
      </c>
    </row>
    <row r="8233">
      <c r="A8233" s="2" t="inlineStr">
        <is>
          <t>2026-05-29</t>
        </is>
      </c>
      <c r="B8233" s="3" t="inlineStr">
        <is>
          <t>교보증권</t>
        </is>
      </c>
      <c r="C8233" s="2" t="inlineStr">
        <is>
          <t>코스피</t>
        </is>
      </c>
      <c r="D8233" s="2" t="inlineStr">
        <is>
          <t>030610</t>
        </is>
      </c>
      <c r="E8233" s="3" t="inlineStr">
        <is>
          <t>일괄신고추가서류(파생결합증권-주가연계증권)</t>
        </is>
      </c>
      <c r="F8233" s="3" t="inlineStr">
        <is>
          <t>교보증권</t>
        </is>
      </c>
      <c r="G8233" s="2" t="inlineStr">
        <is>
          <t>20260529000078</t>
        </is>
      </c>
      <c r="H8233" s="8">
        <f>HYPERLINK("https://dart.fss.or.kr/dsaf001/main.do?rcpNo=20260529000078", "공시열람")</f>
        <v/>
      </c>
    </row>
    <row r="8234">
      <c r="A8234" s="2" t="inlineStr">
        <is>
          <t>2026-05-29</t>
        </is>
      </c>
      <c r="B8234" s="3" t="inlineStr">
        <is>
          <t>삼아알미늄</t>
        </is>
      </c>
      <c r="C8234" s="2" t="inlineStr">
        <is>
          <t>코스피</t>
        </is>
      </c>
      <c r="D8234" s="2" t="inlineStr">
        <is>
          <t>006110</t>
        </is>
      </c>
      <c r="E8234" s="3" t="inlineStr">
        <is>
          <t xml:space="preserve">기업지배구조보고서공시              </t>
        </is>
      </c>
      <c r="F8234" s="3" t="inlineStr">
        <is>
          <t>삼아알미늄</t>
        </is>
      </c>
      <c r="G8234" s="2" t="inlineStr">
        <is>
          <t>20260529800220</t>
        </is>
      </c>
      <c r="H8234" s="8">
        <f>HYPERLINK("https://dart.fss.or.kr/dsaf001/main.do?rcpNo=20260529800220", "공시열람")</f>
        <v/>
      </c>
    </row>
    <row r="8235">
      <c r="A8235" s="2" t="inlineStr">
        <is>
          <t>2026-05-29</t>
        </is>
      </c>
      <c r="B8235" s="3" t="inlineStr">
        <is>
          <t>미원에스씨</t>
        </is>
      </c>
      <c r="C8235" s="2" t="inlineStr">
        <is>
          <t>코스피</t>
        </is>
      </c>
      <c r="D8235" s="2" t="inlineStr">
        <is>
          <t>268280</t>
        </is>
      </c>
      <c r="E8235" s="3" t="inlineStr">
        <is>
          <t xml:space="preserve">기업지배구조보고서공시              </t>
        </is>
      </c>
      <c r="F8235" s="3" t="inlineStr">
        <is>
          <t>미원에스씨</t>
        </is>
      </c>
      <c r="G8235" s="2" t="inlineStr">
        <is>
          <t>20260529800199</t>
        </is>
      </c>
      <c r="H8235" s="8">
        <f>HYPERLINK("https://dart.fss.or.kr/dsaf001/main.do?rcpNo=20260529800199", "공시열람")</f>
        <v/>
      </c>
    </row>
    <row r="8236">
      <c r="A8236" s="2" t="inlineStr">
        <is>
          <t>2026-05-29</t>
        </is>
      </c>
      <c r="B8236" s="3" t="inlineStr">
        <is>
          <t>위너스일렉</t>
        </is>
      </c>
      <c r="C8236" s="2" t="inlineStr">
        <is>
          <t>코스닥</t>
        </is>
      </c>
      <c r="D8236" s="2" t="inlineStr">
        <is>
          <t>479960</t>
        </is>
      </c>
      <c r="E8236" s="3" t="inlineStr">
        <is>
          <t>임원ㆍ주요주주특정증권등소유상황보고서</t>
        </is>
      </c>
      <c r="F8236" s="3" t="inlineStr">
        <is>
          <t>민철현</t>
        </is>
      </c>
      <c r="G8236" s="2" t="inlineStr">
        <is>
          <t>20260529000074</t>
        </is>
      </c>
      <c r="H8236" s="8">
        <f>HYPERLINK("https://dart.fss.or.kr/dsaf001/main.do?rcpNo=20260529000074", "공시열람")</f>
        <v/>
      </c>
    </row>
    <row r="8237">
      <c r="A8237" s="2" t="inlineStr">
        <is>
          <t>2026-05-29</t>
        </is>
      </c>
      <c r="B8237" s="3" t="inlineStr">
        <is>
          <t>제이엘케이</t>
        </is>
      </c>
      <c r="C8237" s="2" t="inlineStr">
        <is>
          <t>코스닥</t>
        </is>
      </c>
      <c r="D8237" s="2" t="inlineStr">
        <is>
          <t>322510</t>
        </is>
      </c>
      <c r="E8237" s="3" t="inlineStr">
        <is>
          <t xml:space="preserve">기업설명회(IR)개최              </t>
        </is>
      </c>
      <c r="F8237" s="3" t="inlineStr">
        <is>
          <t>제이엘케이</t>
        </is>
      </c>
      <c r="G8237" s="2" t="inlineStr">
        <is>
          <t>20260529900214</t>
        </is>
      </c>
      <c r="H8237" s="8">
        <f>HYPERLINK("https://dart.fss.or.kr/dsaf001/main.do?rcpNo=20260529900214", "공시열람")</f>
        <v/>
      </c>
    </row>
    <row r="8238">
      <c r="A8238" s="2" t="inlineStr">
        <is>
          <t>2026-05-29</t>
        </is>
      </c>
      <c r="B8238" s="3" t="inlineStr">
        <is>
          <t>E1</t>
        </is>
      </c>
      <c r="C8238" s="2" t="inlineStr">
        <is>
          <t>코스피</t>
        </is>
      </c>
      <c r="D8238" s="2" t="inlineStr">
        <is>
          <t>017940</t>
        </is>
      </c>
      <c r="E8238" s="3" t="inlineStr">
        <is>
          <t xml:space="preserve">기업지배구조보고서공시              </t>
        </is>
      </c>
      <c r="F8238" s="3" t="inlineStr">
        <is>
          <t>E1</t>
        </is>
      </c>
      <c r="G8238" s="2" t="inlineStr">
        <is>
          <t>20260529800206</t>
        </is>
      </c>
      <c r="H8238" s="8">
        <f>HYPERLINK("https://dart.fss.or.kr/dsaf001/main.do?rcpNo=20260529800206", "공시열람")</f>
        <v/>
      </c>
    </row>
    <row r="8239">
      <c r="A8239" s="2" t="inlineStr">
        <is>
          <t>2026-05-29</t>
        </is>
      </c>
      <c r="B8239" s="3" t="inlineStr">
        <is>
          <t>성광벤드</t>
        </is>
      </c>
      <c r="C8239" s="2" t="inlineStr">
        <is>
          <t>코스닥</t>
        </is>
      </c>
      <c r="D8239" s="2" t="inlineStr">
        <is>
          <t>014620</t>
        </is>
      </c>
      <c r="E8239" s="3" t="inlineStr">
        <is>
          <t>임원ㆍ주요주주특정증권등소유상황보고서</t>
        </is>
      </c>
      <c r="F8239" s="3" t="inlineStr">
        <is>
          <t>김경조</t>
        </is>
      </c>
      <c r="G8239" s="2" t="inlineStr">
        <is>
          <t>20260529000071</t>
        </is>
      </c>
      <c r="H8239" s="8">
        <f>HYPERLINK("https://dart.fss.or.kr/dsaf001/main.do?rcpNo=20260529000071", "공시열람")</f>
        <v/>
      </c>
    </row>
    <row r="8240">
      <c r="A8240" s="2" t="inlineStr">
        <is>
          <t>2026-05-29</t>
        </is>
      </c>
      <c r="B8240" s="3" t="inlineStr">
        <is>
          <t>SG글로벌</t>
        </is>
      </c>
      <c r="C8240" s="2" t="inlineStr">
        <is>
          <t>코스피</t>
        </is>
      </c>
      <c r="D8240" s="2" t="inlineStr">
        <is>
          <t>001380</t>
        </is>
      </c>
      <c r="E8240" s="3" t="inlineStr">
        <is>
          <t xml:space="preserve">기업지배구조보고서공시              </t>
        </is>
      </c>
      <c r="F8240" s="3" t="inlineStr">
        <is>
          <t>SG글로벌</t>
        </is>
      </c>
      <c r="G8240" s="2" t="inlineStr">
        <is>
          <t>20260529800203</t>
        </is>
      </c>
      <c r="H8240" s="8">
        <f>HYPERLINK("https://dart.fss.or.kr/dsaf001/main.do?rcpNo=20260529800203", "공시열람")</f>
        <v/>
      </c>
    </row>
    <row r="8241">
      <c r="A8241" s="2" t="inlineStr">
        <is>
          <t>2026-05-29</t>
        </is>
      </c>
      <c r="B8241" s="3" t="inlineStr">
        <is>
          <t>대한뉴팜</t>
        </is>
      </c>
      <c r="C8241" s="2" t="inlineStr">
        <is>
          <t>코스닥</t>
        </is>
      </c>
      <c r="D8241" s="2" t="inlineStr">
        <is>
          <t>054670</t>
        </is>
      </c>
      <c r="E8241" s="3" t="inlineStr">
        <is>
          <t>임원ㆍ주요주주특정증권등소유상황보고서</t>
        </is>
      </c>
      <c r="F8241" s="3" t="inlineStr">
        <is>
          <t>이원석</t>
        </is>
      </c>
      <c r="G8241" s="2" t="inlineStr">
        <is>
          <t>20260529000062</t>
        </is>
      </c>
      <c r="H8241" s="8">
        <f>HYPERLINK("https://dart.fss.or.kr/dsaf001/main.do?rcpNo=20260529000062", "공시열람")</f>
        <v/>
      </c>
    </row>
    <row r="8242">
      <c r="A8242" s="2" t="inlineStr">
        <is>
          <t>2026-05-29</t>
        </is>
      </c>
      <c r="B8242" s="3" t="inlineStr">
        <is>
          <t>한화엔진</t>
        </is>
      </c>
      <c r="C8242" s="2" t="inlineStr">
        <is>
          <t>코스피</t>
        </is>
      </c>
      <c r="D8242" s="2" t="inlineStr">
        <is>
          <t>082740</t>
        </is>
      </c>
      <c r="E8242" s="3" t="inlineStr">
        <is>
          <t xml:space="preserve">[첨부추가]기업지배구조보고서공시              </t>
        </is>
      </c>
      <c r="F8242" s="3" t="inlineStr">
        <is>
          <t>한화엔진</t>
        </is>
      </c>
      <c r="G8242" s="2" t="inlineStr">
        <is>
          <t>20260529800050</t>
        </is>
      </c>
      <c r="H8242" s="8">
        <f>HYPERLINK("https://dart.fss.or.kr/dsaf001/main.do?rcpNo=20260529800050", "공시열람")</f>
        <v/>
      </c>
    </row>
    <row r="8243">
      <c r="A8243" s="2" t="inlineStr">
        <is>
          <t>2026-05-29</t>
        </is>
      </c>
      <c r="B8243" s="3" t="inlineStr">
        <is>
          <t>타임기술</t>
        </is>
      </c>
      <c r="C8243" s="2" t="inlineStr">
        <is>
          <t>코넥스</t>
        </is>
      </c>
      <c r="D8243" s="2" t="inlineStr">
        <is>
          <t>318660</t>
        </is>
      </c>
      <c r="E8243" s="3" t="inlineStr">
        <is>
          <t xml:space="preserve">기업설명회(IR)개최              </t>
        </is>
      </c>
      <c r="F8243" s="3" t="inlineStr">
        <is>
          <t>타임기술</t>
        </is>
      </c>
      <c r="G8243" s="2" t="inlineStr">
        <is>
          <t>20260529600197</t>
        </is>
      </c>
      <c r="H8243" s="8">
        <f>HYPERLINK("https://dart.fss.or.kr/dsaf001/main.do?rcpNo=20260529600197", "공시열람")</f>
        <v/>
      </c>
    </row>
    <row r="8244">
      <c r="A8244" s="2" t="inlineStr">
        <is>
          <t>2026-05-29</t>
        </is>
      </c>
      <c r="B8244" s="3" t="inlineStr">
        <is>
          <t>바이오노트</t>
        </is>
      </c>
      <c r="C8244" s="2" t="inlineStr">
        <is>
          <t>코스피</t>
        </is>
      </c>
      <c r="D8244" s="2" t="inlineStr">
        <is>
          <t>377740</t>
        </is>
      </c>
      <c r="E8244" s="3" t="inlineStr">
        <is>
          <t xml:space="preserve">기업지배구조보고서공시              </t>
        </is>
      </c>
      <c r="F8244" s="3" t="inlineStr">
        <is>
          <t>바이오노트</t>
        </is>
      </c>
      <c r="G8244" s="2" t="inlineStr">
        <is>
          <t>20260529800196</t>
        </is>
      </c>
      <c r="H8244" s="8">
        <f>HYPERLINK("https://dart.fss.or.kr/dsaf001/main.do?rcpNo=20260529800196", "공시열람")</f>
        <v/>
      </c>
    </row>
    <row r="8245">
      <c r="A8245" s="2" t="inlineStr">
        <is>
          <t>2026-05-29</t>
        </is>
      </c>
      <c r="B8245" s="3" t="inlineStr">
        <is>
          <t>디와이덕양</t>
        </is>
      </c>
      <c r="C8245" s="2" t="inlineStr">
        <is>
          <t>코스피</t>
        </is>
      </c>
      <c r="D8245" s="2" t="inlineStr">
        <is>
          <t>024900</t>
        </is>
      </c>
      <c r="E8245" s="3" t="inlineStr">
        <is>
          <t xml:space="preserve">기업지배구조보고서공시              </t>
        </is>
      </c>
      <c r="F8245" s="3" t="inlineStr">
        <is>
          <t>디와이덕양</t>
        </is>
      </c>
      <c r="G8245" s="2" t="inlineStr">
        <is>
          <t>20260529800193</t>
        </is>
      </c>
      <c r="H8245" s="8">
        <f>HYPERLINK("https://dart.fss.or.kr/dsaf001/main.do?rcpNo=20260529800193", "공시열람")</f>
        <v/>
      </c>
    </row>
    <row r="8246">
      <c r="A8246" s="2" t="inlineStr">
        <is>
          <t>2026-05-29</t>
        </is>
      </c>
      <c r="B8246" s="3" t="inlineStr">
        <is>
          <t>ESR켄달스퀘어리츠</t>
        </is>
      </c>
      <c r="C8246" s="2" t="inlineStr">
        <is>
          <t>코스피</t>
        </is>
      </c>
      <c r="D8246" s="2" t="inlineStr">
        <is>
          <t>365550</t>
        </is>
      </c>
      <c r="E8246" s="3" t="inlineStr">
        <is>
          <t xml:space="preserve">기업지배구조보고서공시              </t>
        </is>
      </c>
      <c r="F8246" s="3" t="inlineStr">
        <is>
          <t>ESR켄달스퀘어리츠</t>
        </is>
      </c>
      <c r="G8246" s="2" t="inlineStr">
        <is>
          <t>20260529800189</t>
        </is>
      </c>
      <c r="H8246" s="8">
        <f>HYPERLINK("https://dart.fss.or.kr/dsaf001/main.do?rcpNo=20260529800189", "공시열람")</f>
        <v/>
      </c>
    </row>
    <row r="8247">
      <c r="A8247" s="2" t="inlineStr">
        <is>
          <t>2026-05-29</t>
        </is>
      </c>
      <c r="B8247" s="3" t="inlineStr">
        <is>
          <t>비에이치</t>
        </is>
      </c>
      <c r="C8247" s="2" t="inlineStr">
        <is>
          <t>코스피</t>
        </is>
      </c>
      <c r="D8247" s="2" t="inlineStr">
        <is>
          <t>090460</t>
        </is>
      </c>
      <c r="E8247" s="3" t="inlineStr">
        <is>
          <t xml:space="preserve">기업지배구조보고서공시              </t>
        </is>
      </c>
      <c r="F8247" s="3" t="inlineStr">
        <is>
          <t>비에이치</t>
        </is>
      </c>
      <c r="G8247" s="2" t="inlineStr">
        <is>
          <t>20260529800187</t>
        </is>
      </c>
      <c r="H8247" s="8">
        <f>HYPERLINK("https://dart.fss.or.kr/dsaf001/main.do?rcpNo=20260529800187", "공시열람")</f>
        <v/>
      </c>
    </row>
    <row r="8248">
      <c r="A8248" s="2" t="inlineStr">
        <is>
          <t>2026-05-29</t>
        </is>
      </c>
      <c r="B8248" s="3" t="inlineStr">
        <is>
          <t>티엠씨</t>
        </is>
      </c>
      <c r="C8248" s="2" t="inlineStr">
        <is>
          <t>코스피</t>
        </is>
      </c>
      <c r="D8248" s="2" t="inlineStr">
        <is>
          <t>217590</t>
        </is>
      </c>
      <c r="E8248" s="3" t="inlineStr">
        <is>
          <t xml:space="preserve">기업지배구조보고서공시              </t>
        </is>
      </c>
      <c r="F8248" s="3" t="inlineStr">
        <is>
          <t>티엠씨</t>
        </is>
      </c>
      <c r="G8248" s="2" t="inlineStr">
        <is>
          <t>20260529800183</t>
        </is>
      </c>
      <c r="H8248" s="8">
        <f>HYPERLINK("https://dart.fss.or.kr/dsaf001/main.do?rcpNo=20260529800183", "공시열람")</f>
        <v/>
      </c>
    </row>
    <row r="8249">
      <c r="A8249" s="2" t="inlineStr">
        <is>
          <t>2026-05-29</t>
        </is>
      </c>
      <c r="B8249" s="3" t="inlineStr">
        <is>
          <t>경동인베스트</t>
        </is>
      </c>
      <c r="C8249" s="2" t="inlineStr">
        <is>
          <t>코스피</t>
        </is>
      </c>
      <c r="D8249" s="2" t="inlineStr">
        <is>
          <t>012320</t>
        </is>
      </c>
      <c r="E8249" s="3" t="inlineStr">
        <is>
          <t xml:space="preserve">기업지배구조보고서공시              </t>
        </is>
      </c>
      <c r="F8249" s="3" t="inlineStr">
        <is>
          <t>경동인베스트</t>
        </is>
      </c>
      <c r="G8249" s="2" t="inlineStr">
        <is>
          <t>20260529800140</t>
        </is>
      </c>
      <c r="H8249" s="8">
        <f>HYPERLINK("https://dart.fss.or.kr/dsaf001/main.do?rcpNo=20260529800140", "공시열람")</f>
        <v/>
      </c>
    </row>
    <row r="8250">
      <c r="A8250" s="2" t="inlineStr">
        <is>
          <t>2026-05-29 (정정: 2026-06-12)</t>
        </is>
      </c>
      <c r="B8250" s="3" t="inlineStr">
        <is>
          <t>드림어스컴퍼니</t>
        </is>
      </c>
      <c r="C8250" s="2" t="inlineStr">
        <is>
          <t>코스닥</t>
        </is>
      </c>
      <c r="D8250" s="2" t="inlineStr">
        <is>
          <t>060570</t>
        </is>
      </c>
      <c r="E8250" s="3" t="inlineStr">
        <is>
          <t>임원ㆍ주요주주특정증권등소유상황보고서 (정정: 20260612)</t>
        </is>
      </c>
      <c r="F8250" s="3" t="inlineStr">
        <is>
          <t>이새롬</t>
        </is>
      </c>
      <c r="G8250" s="2" t="inlineStr">
        <is>
          <t>20260612900416</t>
        </is>
      </c>
      <c r="H8250" s="8">
        <f>HYPERLINK("https://dart.fss.or.kr/dsaf001/main.do?rcpNo=20260612900416", "공시열람")</f>
        <v/>
      </c>
    </row>
    <row r="8251">
      <c r="A8251" s="2" t="inlineStr">
        <is>
          <t>2026-05-29</t>
        </is>
      </c>
      <c r="B8251" s="3" t="inlineStr">
        <is>
          <t>지역난방공사</t>
        </is>
      </c>
      <c r="C8251" s="2" t="inlineStr">
        <is>
          <t>코스피</t>
        </is>
      </c>
      <c r="D8251" s="2" t="inlineStr">
        <is>
          <t>071320</t>
        </is>
      </c>
      <c r="E8251" s="3" t="inlineStr">
        <is>
          <t xml:space="preserve">기업지배구조보고서공시              </t>
        </is>
      </c>
      <c r="F8251" s="3" t="inlineStr">
        <is>
          <t>지역난방공사</t>
        </is>
      </c>
      <c r="G8251" s="2" t="inlineStr">
        <is>
          <t>20260529800168</t>
        </is>
      </c>
      <c r="H8251" s="8">
        <f>HYPERLINK("https://dart.fss.or.kr/dsaf001/main.do?rcpNo=20260529800168", "공시열람")</f>
        <v/>
      </c>
    </row>
    <row r="8252">
      <c r="A8252" s="2" t="inlineStr">
        <is>
          <t>2026-05-29</t>
        </is>
      </c>
      <c r="B8252" s="3" t="inlineStr">
        <is>
          <t>한진중공업홀딩스</t>
        </is>
      </c>
      <c r="C8252" s="2" t="inlineStr">
        <is>
          <t>코스피</t>
        </is>
      </c>
      <c r="D8252" s="2" t="inlineStr">
        <is>
          <t>003480</t>
        </is>
      </c>
      <c r="E8252" s="3" t="inlineStr">
        <is>
          <t xml:space="preserve">기업지배구조보고서공시              </t>
        </is>
      </c>
      <c r="F8252" s="3" t="inlineStr">
        <is>
          <t>한진중공업홀딩스</t>
        </is>
      </c>
      <c r="G8252" s="2" t="inlineStr">
        <is>
          <t>20260529800157</t>
        </is>
      </c>
      <c r="H8252" s="8">
        <f>HYPERLINK("https://dart.fss.or.kr/dsaf001/main.do?rcpNo=20260529800157", "공시열람")</f>
        <v/>
      </c>
    </row>
    <row r="8253">
      <c r="A8253" s="2" t="inlineStr">
        <is>
          <t>2026-05-29</t>
        </is>
      </c>
      <c r="B8253" s="3" t="inlineStr">
        <is>
          <t>바이오노트</t>
        </is>
      </c>
      <c r="C8253" s="2" t="inlineStr">
        <is>
          <t>코스피</t>
        </is>
      </c>
      <c r="D8253" s="2" t="inlineStr">
        <is>
          <t>377740</t>
        </is>
      </c>
      <c r="E8253" s="3" t="inlineStr">
        <is>
          <t>임원ㆍ주요주주특정증권등소유상황보고서</t>
        </is>
      </c>
      <c r="F8253" s="3" t="inlineStr">
        <is>
          <t>박철세</t>
        </is>
      </c>
      <c r="G8253" s="2" t="inlineStr">
        <is>
          <t>20260529000041</t>
        </is>
      </c>
      <c r="H8253" s="8">
        <f>HYPERLINK("https://dart.fss.or.kr/dsaf001/main.do?rcpNo=20260529000041", "공시열람")</f>
        <v/>
      </c>
    </row>
    <row r="8254">
      <c r="A8254" s="2" t="inlineStr">
        <is>
          <t>2026-05-29</t>
        </is>
      </c>
      <c r="B8254" s="3" t="inlineStr">
        <is>
          <t>평화산업</t>
        </is>
      </c>
      <c r="C8254" s="2" t="inlineStr">
        <is>
          <t>코스피</t>
        </is>
      </c>
      <c r="D8254" s="2" t="inlineStr">
        <is>
          <t>090080</t>
        </is>
      </c>
      <c r="E8254" s="3" t="inlineStr">
        <is>
          <t>임원ㆍ주요주주특정증권등소유상황보고서</t>
        </is>
      </c>
      <c r="F8254" s="3" t="inlineStr">
        <is>
          <t>황순용</t>
        </is>
      </c>
      <c r="G8254" s="2" t="inlineStr">
        <is>
          <t>20260529000038</t>
        </is>
      </c>
      <c r="H8254" s="8">
        <f>HYPERLINK("https://dart.fss.or.kr/dsaf001/main.do?rcpNo=20260529000038", "공시열람")</f>
        <v/>
      </c>
    </row>
    <row r="8255">
      <c r="A8255" s="2" t="inlineStr">
        <is>
          <t>2026-05-29</t>
        </is>
      </c>
      <c r="B8255" s="3" t="inlineStr">
        <is>
          <t>포스코인터내셔널</t>
        </is>
      </c>
      <c r="C8255" s="2" t="inlineStr">
        <is>
          <t>코스피</t>
        </is>
      </c>
      <c r="D8255" s="2" t="inlineStr">
        <is>
          <t>047050</t>
        </is>
      </c>
      <c r="E8255" s="3" t="inlineStr">
        <is>
          <t>대규모기업집단현황공시[연1회공시및1/4분기용(개별회사)]</t>
        </is>
      </c>
      <c r="F8255" s="3" t="inlineStr">
        <is>
          <t>포스코인터내셔널</t>
        </is>
      </c>
      <c r="G8255" s="2" t="inlineStr">
        <is>
          <t>20260529000034</t>
        </is>
      </c>
      <c r="H8255" s="8">
        <f>HYPERLINK("https://dart.fss.or.kr/dsaf001/main.do?rcpNo=20260529000034", "공시열람")</f>
        <v/>
      </c>
    </row>
    <row r="8256">
      <c r="A8256" s="2" t="inlineStr">
        <is>
          <t>2026-05-29</t>
        </is>
      </c>
      <c r="B8256" s="3" t="inlineStr">
        <is>
          <t>프럼파스트</t>
        </is>
      </c>
      <c r="C8256" s="2" t="inlineStr">
        <is>
          <t>코스닥</t>
        </is>
      </c>
      <c r="D8256" s="2" t="inlineStr">
        <is>
          <t>035200</t>
        </is>
      </c>
      <c r="E8256" s="3" t="inlineStr">
        <is>
          <t>임원ㆍ주요주주특정증권등소유상황보고서</t>
        </is>
      </c>
      <c r="F8256" s="3" t="inlineStr">
        <is>
          <t>원연경</t>
        </is>
      </c>
      <c r="G8256" s="2" t="inlineStr">
        <is>
          <t>20260529000032</t>
        </is>
      </c>
      <c r="H8256" s="8">
        <f>HYPERLINK("https://dart.fss.or.kr/dsaf001/main.do?rcpNo=20260529000032", "공시열람")</f>
        <v/>
      </c>
    </row>
    <row r="8257">
      <c r="A8257" s="2" t="inlineStr">
        <is>
          <t>2026-05-29</t>
        </is>
      </c>
      <c r="B8257" s="3" t="inlineStr">
        <is>
          <t>황금에스티</t>
        </is>
      </c>
      <c r="C8257" s="2" t="inlineStr">
        <is>
          <t>코스피</t>
        </is>
      </c>
      <c r="D8257" s="2" t="inlineStr">
        <is>
          <t>032560</t>
        </is>
      </c>
      <c r="E8257" s="3" t="inlineStr">
        <is>
          <t xml:space="preserve">기업지배구조보고서공시              </t>
        </is>
      </c>
      <c r="F8257" s="3" t="inlineStr">
        <is>
          <t>황금에스티</t>
        </is>
      </c>
      <c r="G8257" s="2" t="inlineStr">
        <is>
          <t>20260529800148</t>
        </is>
      </c>
      <c r="H8257" s="8">
        <f>HYPERLINK("https://dart.fss.or.kr/dsaf001/main.do?rcpNo=20260529800148", "공시열람")</f>
        <v/>
      </c>
    </row>
    <row r="8258">
      <c r="A8258" s="2" t="inlineStr">
        <is>
          <t>2026-05-29</t>
        </is>
      </c>
      <c r="B8258" s="3" t="inlineStr">
        <is>
          <t>경동도시가스</t>
        </is>
      </c>
      <c r="C8258" s="2" t="inlineStr">
        <is>
          <t>코스피</t>
        </is>
      </c>
      <c r="D8258" s="2" t="inlineStr">
        <is>
          <t>267290</t>
        </is>
      </c>
      <c r="E8258" s="3" t="inlineStr">
        <is>
          <t xml:space="preserve">기업지배구조보고서공시              </t>
        </is>
      </c>
      <c r="F8258" s="3" t="inlineStr">
        <is>
          <t>경동도시가스</t>
        </is>
      </c>
      <c r="G8258" s="2" t="inlineStr">
        <is>
          <t>20260529800137</t>
        </is>
      </c>
      <c r="H8258" s="8">
        <f>HYPERLINK("https://dart.fss.or.kr/dsaf001/main.do?rcpNo=20260529800137", "공시열람")</f>
        <v/>
      </c>
    </row>
    <row r="8259">
      <c r="A8259" s="2" t="inlineStr">
        <is>
          <t>2026-05-29</t>
        </is>
      </c>
      <c r="B8259" s="3" t="inlineStr">
        <is>
          <t>유안타증권</t>
        </is>
      </c>
      <c r="C8259" s="2" t="inlineStr">
        <is>
          <t>코스피</t>
        </is>
      </c>
      <c r="D8259" s="2" t="inlineStr">
        <is>
          <t>003470</t>
        </is>
      </c>
      <c r="E8259" s="3" t="inlineStr">
        <is>
          <t>증권발행실적보고서</t>
        </is>
      </c>
      <c r="F8259" s="3" t="inlineStr">
        <is>
          <t>유안타증권</t>
        </is>
      </c>
      <c r="G8259" s="2" t="inlineStr">
        <is>
          <t>20260529000023</t>
        </is>
      </c>
      <c r="H8259" s="8">
        <f>HYPERLINK("https://dart.fss.or.kr/dsaf001/main.do?rcpNo=20260529000023", "공시열람")</f>
        <v/>
      </c>
    </row>
    <row r="8260">
      <c r="A8260" s="2" t="inlineStr">
        <is>
          <t>2026-05-29</t>
        </is>
      </c>
      <c r="B8260" s="3" t="inlineStr">
        <is>
          <t>하나금융지주</t>
        </is>
      </c>
      <c r="C8260" s="2" t="inlineStr">
        <is>
          <t>코스피</t>
        </is>
      </c>
      <c r="D8260" s="2" t="inlineStr">
        <is>
          <t>086790</t>
        </is>
      </c>
      <c r="E8260" s="3" t="inlineStr">
        <is>
          <t>투자설명서</t>
        </is>
      </c>
      <c r="F8260" s="3" t="inlineStr">
        <is>
          <t>하나금융지주</t>
        </is>
      </c>
      <c r="G8260" s="2" t="inlineStr">
        <is>
          <t>20260529000020</t>
        </is>
      </c>
      <c r="H8260" s="8">
        <f>HYPERLINK("https://dart.fss.or.kr/dsaf001/main.do?rcpNo=20260529000020", "공시열람")</f>
        <v/>
      </c>
    </row>
    <row r="8261">
      <c r="A8261" s="2" t="inlineStr">
        <is>
          <t>2026-05-29</t>
        </is>
      </c>
      <c r="B8261" s="3" t="inlineStr">
        <is>
          <t>고려제강</t>
        </is>
      </c>
      <c r="C8261" s="2" t="inlineStr">
        <is>
          <t>코스피</t>
        </is>
      </c>
      <c r="D8261" s="2" t="inlineStr">
        <is>
          <t>002240</t>
        </is>
      </c>
      <c r="E8261" s="3" t="inlineStr">
        <is>
          <t xml:space="preserve">기업지배구조보고서공시              </t>
        </is>
      </c>
      <c r="F8261" s="3" t="inlineStr">
        <is>
          <t>고려제강</t>
        </is>
      </c>
      <c r="G8261" s="2" t="inlineStr">
        <is>
          <t>20260529800117</t>
        </is>
      </c>
      <c r="H8261" s="8">
        <f>HYPERLINK("https://dart.fss.or.kr/dsaf001/main.do?rcpNo=20260529800117", "공시열람")</f>
        <v/>
      </c>
    </row>
    <row r="8262">
      <c r="A8262" s="2" t="inlineStr">
        <is>
          <t>2026-05-29</t>
        </is>
      </c>
      <c r="B8262" s="3" t="inlineStr">
        <is>
          <t>아진전자부품</t>
        </is>
      </c>
      <c r="C8262" s="2" t="inlineStr">
        <is>
          <t>코스피</t>
        </is>
      </c>
      <c r="D8262" s="2" t="inlineStr">
        <is>
          <t>009320</t>
        </is>
      </c>
      <c r="E8262" s="3" t="inlineStr">
        <is>
          <t xml:space="preserve">기업지배구조보고서공시              </t>
        </is>
      </c>
      <c r="F8262" s="3" t="inlineStr">
        <is>
          <t>아진전자부품</t>
        </is>
      </c>
      <c r="G8262" s="2" t="inlineStr">
        <is>
          <t>20260529800103</t>
        </is>
      </c>
      <c r="H8262" s="8">
        <f>HYPERLINK("https://dart.fss.or.kr/dsaf001/main.do?rcpNo=20260529800103", "공시열람")</f>
        <v/>
      </c>
    </row>
    <row r="8263">
      <c r="A8263" s="2" t="inlineStr">
        <is>
          <t>2026-05-29</t>
        </is>
      </c>
      <c r="B8263" s="3" t="inlineStr">
        <is>
          <t>대창단조</t>
        </is>
      </c>
      <c r="C8263" s="2" t="inlineStr">
        <is>
          <t>코스피</t>
        </is>
      </c>
      <c r="D8263" s="2" t="inlineStr">
        <is>
          <t>015230</t>
        </is>
      </c>
      <c r="E8263" s="3" t="inlineStr">
        <is>
          <t xml:space="preserve">기업지배구조보고서공시              </t>
        </is>
      </c>
      <c r="F8263" s="3" t="inlineStr">
        <is>
          <t>대창단조</t>
        </is>
      </c>
      <c r="G8263" s="2" t="inlineStr">
        <is>
          <t>20260529800014</t>
        </is>
      </c>
      <c r="H8263" s="8">
        <f>HYPERLINK("https://dart.fss.or.kr/dsaf001/main.do?rcpNo=20260529800014", "공시열람")</f>
        <v/>
      </c>
    </row>
    <row r="8264">
      <c r="A8264" s="2" t="inlineStr">
        <is>
          <t>2026-05-29 (정정: 2026-06-04)</t>
        </is>
      </c>
      <c r="B8264" s="3" t="inlineStr">
        <is>
          <t>삼천당제약</t>
        </is>
      </c>
      <c r="C8264" s="2" t="inlineStr">
        <is>
          <t>코스닥</t>
        </is>
      </c>
      <c r="D8264" s="2" t="inlineStr">
        <is>
          <t>000250</t>
        </is>
      </c>
      <c r="E8264" s="3" t="inlineStr">
        <is>
          <t>투자판단관련주요경영사항(임상시험계획승인신청등결정)              (제1형 당뇨병 환자를 대상으로 정상혈당 클램프 조건 및 식이 섭취 후, 경구용 인슐린 SCD0503과 피하 투여 인슐린 간의 상대적 생체이용률, 상대적 생물학적 효력 및 음식 영향 평가를 위한 임상시험) (정정: 20260604)</t>
        </is>
      </c>
      <c r="F8264" s="3" t="inlineStr">
        <is>
          <t>삼천당제약</t>
        </is>
      </c>
      <c r="G8264" s="2" t="inlineStr">
        <is>
          <t>20260602000573</t>
        </is>
      </c>
      <c r="H8264" s="8">
        <f>HYPERLINK("https://dart.fss.or.kr/dsaf001/main.do?rcpNo=20260602000573", "공시열람")</f>
        <v/>
      </c>
    </row>
    <row r="8265">
      <c r="A8265" s="2" t="inlineStr">
        <is>
          <t>2026-05-29</t>
        </is>
      </c>
      <c r="B8265" s="3" t="inlineStr">
        <is>
          <t>일정실업</t>
        </is>
      </c>
      <c r="C8265" s="2" t="inlineStr">
        <is>
          <t>코스피</t>
        </is>
      </c>
      <c r="D8265" s="2" t="inlineStr">
        <is>
          <t>008500</t>
        </is>
      </c>
      <c r="E8265" s="3" t="inlineStr">
        <is>
          <t xml:space="preserve">기업지배구조보고서공시              </t>
        </is>
      </c>
      <c r="F8265" s="3" t="inlineStr">
        <is>
          <t>일정실업</t>
        </is>
      </c>
      <c r="G8265" s="2" t="inlineStr">
        <is>
          <t>20260529800006</t>
        </is>
      </c>
      <c r="H8265" s="8">
        <f>HYPERLINK("https://dart.fss.or.kr/dsaf001/main.do?rcpNo=20260529800006", "공시열람")</f>
        <v/>
      </c>
    </row>
    <row r="8266">
      <c r="A8266" s="2" t="inlineStr">
        <is>
          <t>2026-05-29</t>
        </is>
      </c>
      <c r="B8266" s="3" t="inlineStr">
        <is>
          <t>한솔테크닉스</t>
        </is>
      </c>
      <c r="C8266" s="2" t="inlineStr">
        <is>
          <t>코스피</t>
        </is>
      </c>
      <c r="D8266" s="2" t="inlineStr">
        <is>
          <t>004710</t>
        </is>
      </c>
      <c r="E8266" s="3" t="inlineStr">
        <is>
          <t>효력발생안내( 2026.5.13. 제출 증권신고서(지분증권) )</t>
        </is>
      </c>
      <c r="F8266" s="3" t="inlineStr">
        <is>
          <t>금융감독원</t>
        </is>
      </c>
      <c r="G8266" s="2" t="inlineStr">
        <is>
          <t>20260514100019</t>
        </is>
      </c>
      <c r="H8266" s="8">
        <f>HYPERLINK("https://dart.fss.or.kr/dsaf001/main.do?rcpNo=20260514100019", "공시열람")</f>
        <v/>
      </c>
    </row>
    <row r="8267">
      <c r="A8267" s="2" t="inlineStr">
        <is>
          <t>2026-06-01 (정정: 2026-06-08)</t>
        </is>
      </c>
      <c r="B8267" s="3" t="inlineStr">
        <is>
          <t>센서뷰</t>
        </is>
      </c>
      <c r="C8267" s="2" t="inlineStr">
        <is>
          <t>코스닥</t>
        </is>
      </c>
      <c r="D8267" s="2" t="inlineStr">
        <is>
          <t>321370</t>
        </is>
      </c>
      <c r="E8267" s="3" t="inlineStr">
        <is>
          <t>정정신고서제출요구( 2026.05.18. 제출 증권신고서(지분증권) ) (정정: 20260608)</t>
        </is>
      </c>
      <c r="F8267" s="3" t="inlineStr">
        <is>
          <t>금융감독원</t>
        </is>
      </c>
      <c r="G8267" s="2" t="inlineStr">
        <is>
          <t>20260608000228</t>
        </is>
      </c>
      <c r="H8267" s="8">
        <f>HYPERLINK("https://dart.fss.or.kr/dsaf001/main.do?rcpNo=20260608000228", "공시열람")</f>
        <v/>
      </c>
    </row>
    <row r="8268">
      <c r="A8268" s="2" t="inlineStr">
        <is>
          <t>2026-06-01</t>
        </is>
      </c>
      <c r="B8268" s="3" t="inlineStr">
        <is>
          <t>툴젠</t>
        </is>
      </c>
      <c r="C8268" s="2" t="inlineStr">
        <is>
          <t>코스닥</t>
        </is>
      </c>
      <c r="D8268" s="2" t="inlineStr">
        <is>
          <t>199800</t>
        </is>
      </c>
      <c r="E8268" s="3" t="inlineStr">
        <is>
          <t>정정신고서제출요구( 2026.05.15. 제출 증권신고서(지분증권) )</t>
        </is>
      </c>
      <c r="F8268" s="3" t="inlineStr">
        <is>
          <t>금융감독원</t>
        </is>
      </c>
      <c r="G8268" s="2" t="inlineStr">
        <is>
          <t>20260601100051</t>
        </is>
      </c>
      <c r="H8268" s="8">
        <f>HYPERLINK("https://dart.fss.or.kr/dsaf001/main.do?rcpNo=20260601100051", "공시열람")</f>
        <v/>
      </c>
    </row>
    <row r="8269">
      <c r="A8269" s="2" t="inlineStr">
        <is>
          <t>2026-06-01 (정정: 2026-06-01)</t>
        </is>
      </c>
      <c r="B8269" s="3" t="inlineStr">
        <is>
          <t>동일산업</t>
        </is>
      </c>
      <c r="C8269" s="2" t="inlineStr">
        <is>
          <t>코스피</t>
        </is>
      </c>
      <c r="D8269" s="2" t="inlineStr">
        <is>
          <t>004890</t>
        </is>
      </c>
      <c r="E8269" s="3" t="inlineStr">
        <is>
          <t>[첨부추가]기업지배구조보고서공시               (정정: 20260601)</t>
        </is>
      </c>
      <c r="F8269" s="3" t="inlineStr">
        <is>
          <t>동일산업</t>
        </is>
      </c>
      <c r="G8269" s="2" t="inlineStr">
        <is>
          <t>20260601801969</t>
        </is>
      </c>
      <c r="H8269" s="8">
        <f>HYPERLINK("https://dart.fss.or.kr/dsaf001/main.do?rcpNo=20260601801969", "공시열람")</f>
        <v/>
      </c>
    </row>
    <row r="8270">
      <c r="A8270" s="2" t="inlineStr">
        <is>
          <t>2026-06-01</t>
        </is>
      </c>
      <c r="B8270" s="3" t="inlineStr">
        <is>
          <t>핸즈코퍼레이션</t>
        </is>
      </c>
      <c r="C8270" s="2" t="inlineStr">
        <is>
          <t>코스피</t>
        </is>
      </c>
      <c r="D8270" s="2" t="inlineStr">
        <is>
          <t>143210</t>
        </is>
      </c>
      <c r="E8270" s="3" t="inlineStr">
        <is>
          <t xml:space="preserve">기업지배구조보고서공시              </t>
        </is>
      </c>
      <c r="F8270" s="3" t="inlineStr">
        <is>
          <t>핸즈코퍼레이션</t>
        </is>
      </c>
      <c r="G8270" s="2" t="inlineStr">
        <is>
          <t>20260601801909</t>
        </is>
      </c>
      <c r="H8270" s="8">
        <f>HYPERLINK("https://dart.fss.or.kr/dsaf001/main.do?rcpNo=20260601801909", "공시열람")</f>
        <v/>
      </c>
    </row>
    <row r="8271">
      <c r="A8271" s="2" t="inlineStr">
        <is>
          <t>2026-06-01</t>
        </is>
      </c>
      <c r="B8271" s="3" t="inlineStr">
        <is>
          <t>올릭스</t>
        </is>
      </c>
      <c r="C8271" s="2" t="inlineStr">
        <is>
          <t>코스닥</t>
        </is>
      </c>
      <c r="D8271" s="2" t="inlineStr">
        <is>
          <t>226950</t>
        </is>
      </c>
      <c r="E8271" s="3" t="inlineStr">
        <is>
          <t xml:space="preserve">주주명부폐쇄기간또는기준일설정              </t>
        </is>
      </c>
      <c r="F8271" s="3" t="inlineStr">
        <is>
          <t>올릭스</t>
        </is>
      </c>
      <c r="G8271" s="2" t="inlineStr">
        <is>
          <t>20260601901937</t>
        </is>
      </c>
      <c r="H8271" s="8">
        <f>HYPERLINK("https://dart.fss.or.kr/dsaf001/main.do?rcpNo=20260601901937", "공시열람")</f>
        <v/>
      </c>
    </row>
    <row r="8272">
      <c r="A8272" s="2" t="inlineStr">
        <is>
          <t>2026-06-01</t>
        </is>
      </c>
      <c r="B8272" s="3" t="inlineStr">
        <is>
          <t>마스턴프리미어리츠</t>
        </is>
      </c>
      <c r="C8272" s="2" t="inlineStr">
        <is>
          <t>코스피</t>
        </is>
      </c>
      <c r="D8272" s="2" t="inlineStr">
        <is>
          <t>357430</t>
        </is>
      </c>
      <c r="E8272" s="3" t="inlineStr">
        <is>
          <t xml:space="preserve">기업지배구조보고서공시              </t>
        </is>
      </c>
      <c r="F8272" s="3" t="inlineStr">
        <is>
          <t>마스턴프리미어리츠</t>
        </is>
      </c>
      <c r="G8272" s="2" t="inlineStr">
        <is>
          <t>20260601801896</t>
        </is>
      </c>
      <c r="H8272" s="8">
        <f>HYPERLINK("https://dart.fss.or.kr/dsaf001/main.do?rcpNo=20260601801896", "공시열람")</f>
        <v/>
      </c>
    </row>
    <row r="8273">
      <c r="A8273" s="2" t="inlineStr">
        <is>
          <t>2026-06-01</t>
        </is>
      </c>
      <c r="B8273" s="3" t="inlineStr">
        <is>
          <t>웅진</t>
        </is>
      </c>
      <c r="C8273" s="2" t="inlineStr">
        <is>
          <t>코스피</t>
        </is>
      </c>
      <c r="D8273" s="2" t="inlineStr">
        <is>
          <t>016880</t>
        </is>
      </c>
      <c r="E8273" s="3" t="inlineStr">
        <is>
          <t xml:space="preserve">기업지배구조보고서공시              </t>
        </is>
      </c>
      <c r="F8273" s="3" t="inlineStr">
        <is>
          <t>웅진</t>
        </is>
      </c>
      <c r="G8273" s="2" t="inlineStr">
        <is>
          <t>20260601801898</t>
        </is>
      </c>
      <c r="H8273" s="8">
        <f>HYPERLINK("https://dart.fss.or.kr/dsaf001/main.do?rcpNo=20260601801898", "공시열람")</f>
        <v/>
      </c>
    </row>
    <row r="8274">
      <c r="A8274" s="2" t="inlineStr">
        <is>
          <t>2026-06-01</t>
        </is>
      </c>
      <c r="B8274" s="3" t="inlineStr">
        <is>
          <t>태광산업</t>
        </is>
      </c>
      <c r="C8274" s="2" t="inlineStr">
        <is>
          <t>코스피</t>
        </is>
      </c>
      <c r="D8274" s="2" t="inlineStr">
        <is>
          <t>003240</t>
        </is>
      </c>
      <c r="E8274" s="3" t="inlineStr">
        <is>
          <t>[기재정정]대규모기업집단현황공시[연1회공시및1/4분기용(대표회사)]</t>
        </is>
      </c>
      <c r="F8274" s="3" t="inlineStr">
        <is>
          <t>태광산업</t>
        </is>
      </c>
      <c r="G8274" s="2" t="inlineStr">
        <is>
          <t>20260601002033</t>
        </is>
      </c>
      <c r="H8274" s="8">
        <f>HYPERLINK("https://dart.fss.or.kr/dsaf001/main.do?rcpNo=20260601002033", "공시열람")</f>
        <v/>
      </c>
    </row>
    <row r="8275">
      <c r="A8275" s="2" t="inlineStr">
        <is>
          <t>2026-06-01</t>
        </is>
      </c>
      <c r="B8275" s="3" t="inlineStr">
        <is>
          <t>GS</t>
        </is>
      </c>
      <c r="C8275" s="2" t="inlineStr">
        <is>
          <t>코스피</t>
        </is>
      </c>
      <c r="D8275" s="2" t="inlineStr">
        <is>
          <t>078930</t>
        </is>
      </c>
      <c r="E8275" s="3" t="inlineStr">
        <is>
          <t>대규모기업집단현황공시[연1회(동일인용)]</t>
        </is>
      </c>
      <c r="F8275" s="3" t="inlineStr">
        <is>
          <t>허창수</t>
        </is>
      </c>
      <c r="G8275" s="2" t="inlineStr">
        <is>
          <t>20260601002032</t>
        </is>
      </c>
      <c r="H8275" s="8">
        <f>HYPERLINK("https://dart.fss.or.kr/dsaf001/main.do?rcpNo=20260601002032", "공시열람")</f>
        <v/>
      </c>
    </row>
    <row r="8276">
      <c r="A8276" s="2" t="inlineStr">
        <is>
          <t>2026-06-01 (정정: 2026-06-05)</t>
        </is>
      </c>
      <c r="B8276" s="3" t="inlineStr">
        <is>
          <t>상지건설</t>
        </is>
      </c>
      <c r="C8276" s="2" t="inlineStr">
        <is>
          <t>코스닥</t>
        </is>
      </c>
      <c r="D8276" s="2" t="inlineStr">
        <is>
          <t>042940</t>
        </is>
      </c>
      <c r="E8276" s="3" t="inlineStr">
        <is>
          <t>정정신고서제출요구( 2026.05.15. 제출 증권신고서(지분증권) ) (정정: 20260605)</t>
        </is>
      </c>
      <c r="F8276" s="3" t="inlineStr">
        <is>
          <t>금융감독원</t>
        </is>
      </c>
      <c r="G8276" s="2" t="inlineStr">
        <is>
          <t>20260605000572</t>
        </is>
      </c>
      <c r="H8276" s="8">
        <f>HYPERLINK("https://dart.fss.or.kr/dsaf001/main.do?rcpNo=20260605000572", "공시열람")</f>
        <v/>
      </c>
    </row>
    <row r="8277">
      <c r="A8277" s="2" t="inlineStr">
        <is>
          <t>2026-06-01</t>
        </is>
      </c>
      <c r="B8277" s="3" t="inlineStr">
        <is>
          <t>참엔지니어링</t>
        </is>
      </c>
      <c r="C8277" s="2" t="inlineStr">
        <is>
          <t>코스피</t>
        </is>
      </c>
      <c r="D8277" s="2" t="inlineStr">
        <is>
          <t>009310</t>
        </is>
      </c>
      <c r="E8277" s="3" t="inlineStr">
        <is>
          <t>기타시장안내              (상장적격성 실질심사 결과 안내)</t>
        </is>
      </c>
      <c r="F8277" s="3" t="inlineStr">
        <is>
          <t>유가증권시장본부</t>
        </is>
      </c>
      <c r="G8277" s="2" t="inlineStr">
        <is>
          <t>20260601801891</t>
        </is>
      </c>
      <c r="H8277" s="8">
        <f>HYPERLINK("https://dart.fss.or.kr/dsaf001/main.do?rcpNo=20260601801891", "공시열람")</f>
        <v/>
      </c>
    </row>
    <row r="8278">
      <c r="A8278" s="2" t="inlineStr">
        <is>
          <t>2026-06-01</t>
        </is>
      </c>
      <c r="B8278" s="3" t="inlineStr">
        <is>
          <t>오픈엣지테크놀로지</t>
        </is>
      </c>
      <c r="C8278" s="2" t="inlineStr">
        <is>
          <t>코스닥</t>
        </is>
      </c>
      <c r="D8278" s="2" t="inlineStr">
        <is>
          <t>394280</t>
        </is>
      </c>
      <c r="E8278" s="3" t="inlineStr">
        <is>
          <t xml:space="preserve">기업설명회(IR)개최              </t>
        </is>
      </c>
      <c r="F8278" s="3" t="inlineStr">
        <is>
          <t>오픈엣지테크놀로지</t>
        </is>
      </c>
      <c r="G8278" s="2" t="inlineStr">
        <is>
          <t>20260601901849</t>
        </is>
      </c>
      <c r="H8278" s="8">
        <f>HYPERLINK("https://dart.fss.or.kr/dsaf001/main.do?rcpNo=20260601901849", "공시열람")</f>
        <v/>
      </c>
    </row>
    <row r="8279">
      <c r="A8279" s="2" t="inlineStr">
        <is>
          <t>2026-06-01</t>
        </is>
      </c>
      <c r="B8279" s="3" t="inlineStr">
        <is>
          <t>LG</t>
        </is>
      </c>
      <c r="C8279" s="2" t="inlineStr">
        <is>
          <t>코스피</t>
        </is>
      </c>
      <c r="D8279" s="2" t="inlineStr">
        <is>
          <t>003550</t>
        </is>
      </c>
      <c r="E8279" s="3" t="inlineStr">
        <is>
          <t>대규모기업집단현황공시[연1회(동일인용)]</t>
        </is>
      </c>
      <c r="F8279" s="3" t="inlineStr">
        <is>
          <t>구광모</t>
        </is>
      </c>
      <c r="G8279" s="2" t="inlineStr">
        <is>
          <t>20260601002018</t>
        </is>
      </c>
      <c r="H8279" s="8">
        <f>HYPERLINK("https://dart.fss.or.kr/dsaf001/main.do?rcpNo=20260601002018", "공시열람")</f>
        <v/>
      </c>
    </row>
    <row r="8280">
      <c r="A8280" s="2" t="inlineStr">
        <is>
          <t>2026-06-01</t>
        </is>
      </c>
      <c r="B8280" s="3" t="inlineStr">
        <is>
          <t>두산로보틱스</t>
        </is>
      </c>
      <c r="C8280" s="2" t="inlineStr">
        <is>
          <t>코스피</t>
        </is>
      </c>
      <c r="D8280" s="2" t="inlineStr">
        <is>
          <t>454910</t>
        </is>
      </c>
      <c r="E8280" s="3" t="inlineStr">
        <is>
          <t xml:space="preserve">기업지배구조보고서공시              </t>
        </is>
      </c>
      <c r="F8280" s="3" t="inlineStr">
        <is>
          <t>두산로보틱스</t>
        </is>
      </c>
      <c r="G8280" s="2" t="inlineStr">
        <is>
          <t>20260601801885</t>
        </is>
      </c>
      <c r="H8280" s="8">
        <f>HYPERLINK("https://dart.fss.or.kr/dsaf001/main.do?rcpNo=20260601801885", "공시열람")</f>
        <v/>
      </c>
    </row>
    <row r="8281">
      <c r="A8281" s="2" t="inlineStr">
        <is>
          <t>2026-06-01</t>
        </is>
      </c>
      <c r="B8281" s="3" t="inlineStr">
        <is>
          <t>롯데지주</t>
        </is>
      </c>
      <c r="C8281" s="2" t="inlineStr">
        <is>
          <t>코스피</t>
        </is>
      </c>
      <c r="D8281" s="2" t="inlineStr">
        <is>
          <t>004990</t>
        </is>
      </c>
      <c r="E8281" s="3" t="inlineStr">
        <is>
          <t>[기재정정]대규모기업집단현황공시[연1회공시및1/4분기용(대표회사)]</t>
        </is>
      </c>
      <c r="F8281" s="3" t="inlineStr">
        <is>
          <t>롯데지주</t>
        </is>
      </c>
      <c r="G8281" s="2" t="inlineStr">
        <is>
          <t>20260601002010</t>
        </is>
      </c>
      <c r="H8281" s="8">
        <f>HYPERLINK("https://dart.fss.or.kr/dsaf001/main.do?rcpNo=20260601002010", "공시열람")</f>
        <v/>
      </c>
    </row>
    <row r="8282">
      <c r="A8282" s="2" t="inlineStr">
        <is>
          <t>2026-06-01</t>
        </is>
      </c>
      <c r="B8282" s="3" t="inlineStr">
        <is>
          <t>달바글로벌</t>
        </is>
      </c>
      <c r="C8282" s="2" t="inlineStr">
        <is>
          <t>코스피</t>
        </is>
      </c>
      <c r="D8282" s="2" t="inlineStr">
        <is>
          <t>483650</t>
        </is>
      </c>
      <c r="E8282" s="3" t="inlineStr">
        <is>
          <t xml:space="preserve">기업지배구조보고서공시              </t>
        </is>
      </c>
      <c r="F8282" s="3" t="inlineStr">
        <is>
          <t>달바글로벌</t>
        </is>
      </c>
      <c r="G8282" s="2" t="inlineStr">
        <is>
          <t>20260601801887</t>
        </is>
      </c>
      <c r="H8282" s="8">
        <f>HYPERLINK("https://dart.fss.or.kr/dsaf001/main.do?rcpNo=20260601801887", "공시열람")</f>
        <v/>
      </c>
    </row>
    <row r="8283">
      <c r="A8283" s="2" t="inlineStr">
        <is>
          <t>2026-06-01</t>
        </is>
      </c>
      <c r="B8283" s="3" t="inlineStr">
        <is>
          <t>GS건설</t>
        </is>
      </c>
      <c r="C8283" s="2" t="inlineStr">
        <is>
          <t>코스피</t>
        </is>
      </c>
      <c r="D8283" s="2" t="inlineStr">
        <is>
          <t>006360</t>
        </is>
      </c>
      <c r="E8283" s="3" t="inlineStr">
        <is>
          <t xml:space="preserve">투자판단관련주요경영사항              </t>
        </is>
      </c>
      <c r="F8283" s="3" t="inlineStr">
        <is>
          <t>GS건설</t>
        </is>
      </c>
      <c r="G8283" s="2" t="inlineStr">
        <is>
          <t>20260601801867</t>
        </is>
      </c>
      <c r="H8283" s="8">
        <f>HYPERLINK("https://dart.fss.or.kr/dsaf001/main.do?rcpNo=20260601801867", "공시열람")</f>
        <v/>
      </c>
    </row>
    <row r="8284">
      <c r="A8284" s="2" t="inlineStr">
        <is>
          <t>2026-06-01 (정정: 2026-06-04)</t>
        </is>
      </c>
      <c r="B8284" s="3" t="inlineStr">
        <is>
          <t>KG케미칼</t>
        </is>
      </c>
      <c r="C8284" s="2" t="inlineStr">
        <is>
          <t>코스피</t>
        </is>
      </c>
      <c r="D8284" s="2" t="inlineStr">
        <is>
          <t>001390</t>
        </is>
      </c>
      <c r="E8284" s="3" t="inlineStr">
        <is>
          <t>기업지배구조보고서공시               (정정: 20260604)</t>
        </is>
      </c>
      <c r="F8284" s="3" t="inlineStr">
        <is>
          <t>KG케미칼</t>
        </is>
      </c>
      <c r="G8284" s="2" t="inlineStr">
        <is>
          <t>20260604800244</t>
        </is>
      </c>
      <c r="H8284" s="8">
        <f>HYPERLINK("https://dart.fss.or.kr/dsaf001/main.do?rcpNo=20260604800244", "공시열람")</f>
        <v/>
      </c>
    </row>
    <row r="8285">
      <c r="A8285" s="2" t="inlineStr">
        <is>
          <t>2026-06-01 (정정: 2026-06-17)</t>
        </is>
      </c>
      <c r="B8285" s="3" t="inlineStr">
        <is>
          <t>한국선재</t>
        </is>
      </c>
      <c r="C8285" s="2" t="inlineStr">
        <is>
          <t>코스닥</t>
        </is>
      </c>
      <c r="D8285" s="2" t="inlineStr">
        <is>
          <t>025550</t>
        </is>
      </c>
      <c r="E8285" s="3" t="inlineStr">
        <is>
          <t>타법인주식및출자증권처분결정               (정정: 20260617)</t>
        </is>
      </c>
      <c r="F8285" s="3" t="inlineStr">
        <is>
          <t>한국선재</t>
        </is>
      </c>
      <c r="G8285" s="2" t="inlineStr">
        <is>
          <t>20260617900490</t>
        </is>
      </c>
      <c r="H8285" s="8">
        <f>HYPERLINK("https://dart.fss.or.kr/dsaf001/main.do?rcpNo=20260617900490", "공시열람")</f>
        <v/>
      </c>
    </row>
    <row r="8286">
      <c r="A8286" s="2" t="inlineStr">
        <is>
          <t>2026-06-01</t>
        </is>
      </c>
      <c r="B8286" s="3" t="inlineStr">
        <is>
          <t>DL이앤씨</t>
        </is>
      </c>
      <c r="C8286" s="2" t="inlineStr">
        <is>
          <t>코스피</t>
        </is>
      </c>
      <c r="D8286" s="2" t="inlineStr">
        <is>
          <t>375500</t>
        </is>
      </c>
      <c r="E8286" s="3" t="inlineStr">
        <is>
          <t xml:space="preserve">기업지배구조보고서공시              </t>
        </is>
      </c>
      <c r="F8286" s="3" t="inlineStr">
        <is>
          <t>DL이앤씨</t>
        </is>
      </c>
      <c r="G8286" s="2" t="inlineStr">
        <is>
          <t>20260601801881</t>
        </is>
      </c>
      <c r="H8286" s="8">
        <f>HYPERLINK("https://dart.fss.or.kr/dsaf001/main.do?rcpNo=20260601801881", "공시열람")</f>
        <v/>
      </c>
    </row>
    <row r="8287">
      <c r="A8287" s="2" t="inlineStr">
        <is>
          <t>2026-06-01</t>
        </is>
      </c>
      <c r="B8287" s="3" t="inlineStr">
        <is>
          <t>동양</t>
        </is>
      </c>
      <c r="C8287" s="2" t="inlineStr">
        <is>
          <t>코스피</t>
        </is>
      </c>
      <c r="D8287" s="2" t="inlineStr">
        <is>
          <t>001520</t>
        </is>
      </c>
      <c r="E8287" s="3" t="inlineStr">
        <is>
          <t xml:space="preserve">기업지배구조보고서공시              </t>
        </is>
      </c>
      <c r="F8287" s="3" t="inlineStr">
        <is>
          <t>동양</t>
        </is>
      </c>
      <c r="G8287" s="2" t="inlineStr">
        <is>
          <t>20260601801877</t>
        </is>
      </c>
      <c r="H8287" s="8">
        <f>HYPERLINK("https://dart.fss.or.kr/dsaf001/main.do?rcpNo=20260601801877", "공시열람")</f>
        <v/>
      </c>
    </row>
    <row r="8288">
      <c r="A8288" s="2" t="inlineStr">
        <is>
          <t>2026-06-01</t>
        </is>
      </c>
      <c r="B8288" s="3" t="inlineStr">
        <is>
          <t>모아데이타</t>
        </is>
      </c>
      <c r="C8288" s="2" t="inlineStr">
        <is>
          <t>코스닥</t>
        </is>
      </c>
      <c r="D8288" s="2" t="inlineStr">
        <is>
          <t>288980</t>
        </is>
      </c>
      <c r="E8288" s="3" t="inlineStr">
        <is>
          <t xml:space="preserve">주식병합결정              </t>
        </is>
      </c>
      <c r="F8288" s="3" t="inlineStr">
        <is>
          <t>모아데이타</t>
        </is>
      </c>
      <c r="G8288" s="2" t="inlineStr">
        <is>
          <t>20260601901875</t>
        </is>
      </c>
      <c r="H8288" s="8">
        <f>HYPERLINK("https://dart.fss.or.kr/dsaf001/main.do?rcpNo=20260601901875", "공시열람")</f>
        <v/>
      </c>
    </row>
    <row r="8289">
      <c r="A8289" s="2" t="inlineStr">
        <is>
          <t>2026-06-01</t>
        </is>
      </c>
      <c r="B8289" s="3" t="inlineStr">
        <is>
          <t>올릭스</t>
        </is>
      </c>
      <c r="C8289" s="2" t="inlineStr">
        <is>
          <t>코스닥</t>
        </is>
      </c>
      <c r="D8289" s="2" t="inlineStr">
        <is>
          <t>226950</t>
        </is>
      </c>
      <c r="E8289" s="3" t="inlineStr">
        <is>
          <t>임원ㆍ주요주주특정증권등소유상황보고서</t>
        </is>
      </c>
      <c r="F8289" s="3" t="inlineStr">
        <is>
          <t>KIM KELLY KYUNG MI</t>
        </is>
      </c>
      <c r="G8289" s="2" t="inlineStr">
        <is>
          <t>20260601002002</t>
        </is>
      </c>
      <c r="H8289" s="8">
        <f>HYPERLINK("https://dart.fss.or.kr/dsaf001/main.do?rcpNo=20260601002002", "공시열람")</f>
        <v/>
      </c>
    </row>
    <row r="8290">
      <c r="A8290" s="2" t="inlineStr">
        <is>
          <t>2026-06-01 (정정: 2026-06-02)</t>
        </is>
      </c>
      <c r="B8290" s="3" t="inlineStr">
        <is>
          <t>대한해운</t>
        </is>
      </c>
      <c r="C8290" s="2" t="inlineStr">
        <is>
          <t>코스피</t>
        </is>
      </c>
      <c r="D8290" s="2" t="inlineStr">
        <is>
          <t>005880</t>
        </is>
      </c>
      <c r="E8290" s="3" t="inlineStr">
        <is>
          <t>대규모기업집단현황공시[연1회(동일인용)] (정정: 20260602)</t>
        </is>
      </c>
      <c r="F8290" s="3" t="inlineStr">
        <is>
          <t>우오현</t>
        </is>
      </c>
      <c r="G8290" s="2" t="inlineStr">
        <is>
          <t>20260602800286</t>
        </is>
      </c>
      <c r="H8290" s="8">
        <f>HYPERLINK("https://dart.fss.or.kr/dsaf001/main.do?rcpNo=20260602800286", "공시열람")</f>
        <v/>
      </c>
    </row>
    <row r="8291">
      <c r="A8291" s="2" t="inlineStr">
        <is>
          <t>2026-06-01</t>
        </is>
      </c>
      <c r="B8291" s="3" t="inlineStr">
        <is>
          <t>NH투자증권</t>
        </is>
      </c>
      <c r="C8291" s="2" t="inlineStr">
        <is>
          <t>코스피</t>
        </is>
      </c>
      <c r="D8291" s="2" t="inlineStr">
        <is>
          <t>005940</t>
        </is>
      </c>
      <c r="E8291" s="3" t="inlineStr">
        <is>
          <t>투자설명서(일괄신고)</t>
        </is>
      </c>
      <c r="F8291" s="3" t="inlineStr">
        <is>
          <t>NH투자증권</t>
        </is>
      </c>
      <c r="G8291" s="2" t="inlineStr">
        <is>
          <t>20260601002000</t>
        </is>
      </c>
      <c r="H8291" s="8">
        <f>HYPERLINK("https://dart.fss.or.kr/dsaf001/main.do?rcpNo=20260601002000", "공시열람")</f>
        <v/>
      </c>
    </row>
    <row r="8292">
      <c r="A8292" s="2" t="inlineStr">
        <is>
          <t>2026-06-01</t>
        </is>
      </c>
      <c r="B8292" s="3" t="inlineStr">
        <is>
          <t>오리온</t>
        </is>
      </c>
      <c r="C8292" s="2" t="inlineStr">
        <is>
          <t>코스피</t>
        </is>
      </c>
      <c r="D8292" s="2" t="inlineStr">
        <is>
          <t>271560</t>
        </is>
      </c>
      <c r="E8292" s="3" t="inlineStr">
        <is>
          <t xml:space="preserve">기업지배구조보고서공시              </t>
        </is>
      </c>
      <c r="F8292" s="3" t="inlineStr">
        <is>
          <t>오리온</t>
        </is>
      </c>
      <c r="G8292" s="2" t="inlineStr">
        <is>
          <t>20260601801858</t>
        </is>
      </c>
      <c r="H8292" s="8">
        <f>HYPERLINK("https://dart.fss.or.kr/dsaf001/main.do?rcpNo=20260601801858", "공시열람")</f>
        <v/>
      </c>
    </row>
    <row r="8293">
      <c r="A8293" s="2" t="inlineStr">
        <is>
          <t>2026-06-01 (정정: 2026-06-05)</t>
        </is>
      </c>
      <c r="B8293" s="3" t="inlineStr">
        <is>
          <t>흥국화재</t>
        </is>
      </c>
      <c r="C8293" s="2" t="inlineStr">
        <is>
          <t>코스피</t>
        </is>
      </c>
      <c r="D8293" s="2" t="inlineStr">
        <is>
          <t>000540</t>
        </is>
      </c>
      <c r="E8293" s="3" t="inlineStr">
        <is>
          <t>대규모기업집단현황공시[연1회공시및1/4분기용(개별회사)] (정정: 20260605)</t>
        </is>
      </c>
      <c r="F8293" s="3" t="inlineStr">
        <is>
          <t>흥국화재</t>
        </is>
      </c>
      <c r="G8293" s="2" t="inlineStr">
        <is>
          <t>20260605000550</t>
        </is>
      </c>
      <c r="H8293" s="8">
        <f>HYPERLINK("https://dart.fss.or.kr/dsaf001/main.do?rcpNo=20260605000550", "공시열람")</f>
        <v/>
      </c>
    </row>
    <row r="8294">
      <c r="A8294" s="2" t="inlineStr">
        <is>
          <t>2026-06-01 (정정: 2026-06-19)</t>
        </is>
      </c>
      <c r="B8294" s="3" t="inlineStr">
        <is>
          <t>모아라이프플러스</t>
        </is>
      </c>
      <c r="C8294" s="2" t="inlineStr">
        <is>
          <t>코스닥</t>
        </is>
      </c>
      <c r="D8294" s="2" t="inlineStr">
        <is>
          <t>142760</t>
        </is>
      </c>
      <c r="E8294" s="3" t="inlineStr">
        <is>
          <t>주식병합결정               (정정: 20260601) (정정: 20260612) (정정: 20260619) (정정: 20260619)</t>
        </is>
      </c>
      <c r="F8294" s="3" t="inlineStr">
        <is>
          <t>모아라이프플러스</t>
        </is>
      </c>
      <c r="G8294" s="2" t="inlineStr">
        <is>
          <t>20260619900864</t>
        </is>
      </c>
      <c r="H8294" s="8">
        <f>HYPERLINK("https://dart.fss.or.kr/dsaf001/main.do?rcpNo=20260619900864", "공시열람")</f>
        <v/>
      </c>
    </row>
    <row r="8295">
      <c r="A8295" s="2" t="inlineStr">
        <is>
          <t>2026-06-01</t>
        </is>
      </c>
      <c r="B8295" s="3" t="inlineStr">
        <is>
          <t>올릭스</t>
        </is>
      </c>
      <c r="C8295" s="2" t="inlineStr">
        <is>
          <t>코스닥</t>
        </is>
      </c>
      <c r="D8295" s="2" t="inlineStr">
        <is>
          <t>226950</t>
        </is>
      </c>
      <c r="E8295" s="3" t="inlineStr">
        <is>
          <t>임원ㆍ주요주주특정증권등소유상황보고서</t>
        </is>
      </c>
      <c r="F8295" s="3" t="inlineStr">
        <is>
          <t>박준현</t>
        </is>
      </c>
      <c r="G8295" s="2" t="inlineStr">
        <is>
          <t>20260601001993</t>
        </is>
      </c>
      <c r="H8295" s="8">
        <f>HYPERLINK("https://dart.fss.or.kr/dsaf001/main.do?rcpNo=20260601001993", "공시열람")</f>
        <v/>
      </c>
    </row>
    <row r="8296">
      <c r="A8296" s="2" t="inlineStr">
        <is>
          <t>2026-06-01</t>
        </is>
      </c>
      <c r="B8296" s="3" t="inlineStr">
        <is>
          <t>롯데지주</t>
        </is>
      </c>
      <c r="C8296" s="2" t="inlineStr">
        <is>
          <t>코스피</t>
        </is>
      </c>
      <c r="D8296" s="2" t="inlineStr">
        <is>
          <t>004990</t>
        </is>
      </c>
      <c r="E8296" s="3" t="inlineStr">
        <is>
          <t>대규모기업집단현황공시[연1회(동일인용)]</t>
        </is>
      </c>
      <c r="F8296" s="3" t="inlineStr">
        <is>
          <t>신동빈</t>
        </is>
      </c>
      <c r="G8296" s="2" t="inlineStr">
        <is>
          <t>20260601001991</t>
        </is>
      </c>
      <c r="H8296" s="8">
        <f>HYPERLINK("https://dart.fss.or.kr/dsaf001/main.do?rcpNo=20260601001991", "공시열람")</f>
        <v/>
      </c>
    </row>
    <row r="8297">
      <c r="A8297" s="2" t="inlineStr">
        <is>
          <t>2026-06-01</t>
        </is>
      </c>
      <c r="B8297" s="3" t="inlineStr">
        <is>
          <t>우성머티리얼스</t>
        </is>
      </c>
      <c r="C8297" s="2" t="inlineStr">
        <is>
          <t>코스피</t>
        </is>
      </c>
      <c r="D8297" s="2" t="inlineStr">
        <is>
          <t>011300</t>
        </is>
      </c>
      <c r="E8297" s="3" t="inlineStr">
        <is>
          <t xml:space="preserve">전환가액ㆍ신주인수권행사가액ㆍ교환가액의조정(안내공시)              </t>
        </is>
      </c>
      <c r="F8297" s="3" t="inlineStr">
        <is>
          <t>우성머티리얼스</t>
        </is>
      </c>
      <c r="G8297" s="2" t="inlineStr">
        <is>
          <t>20260601801795</t>
        </is>
      </c>
      <c r="H8297" s="8">
        <f>HYPERLINK("https://dart.fss.or.kr/dsaf001/main.do?rcpNo=20260601801795", "공시열람")</f>
        <v/>
      </c>
    </row>
    <row r="8298">
      <c r="A8298" s="2" t="inlineStr">
        <is>
          <t>2026-06-01</t>
        </is>
      </c>
      <c r="B8298" s="3" t="inlineStr">
        <is>
          <t>라피치</t>
        </is>
      </c>
      <c r="C8298" s="2" t="inlineStr">
        <is>
          <t>코넥스</t>
        </is>
      </c>
      <c r="D8298" s="2" t="inlineStr">
        <is>
          <t>403360</t>
        </is>
      </c>
      <c r="E8298" s="3" t="inlineStr">
        <is>
          <t xml:space="preserve">기업설명회(IR)개최결과              </t>
        </is>
      </c>
      <c r="F8298" s="3" t="inlineStr">
        <is>
          <t>라피치</t>
        </is>
      </c>
      <c r="G8298" s="2" t="inlineStr">
        <is>
          <t>20260601601801</t>
        </is>
      </c>
      <c r="H8298" s="8">
        <f>HYPERLINK("https://dart.fss.or.kr/dsaf001/main.do?rcpNo=20260601601801", "공시열람")</f>
        <v/>
      </c>
    </row>
    <row r="8299">
      <c r="A8299" s="2" t="inlineStr">
        <is>
          <t>2026-06-01</t>
        </is>
      </c>
      <c r="B8299" s="3" t="inlineStr">
        <is>
          <t>올릭스</t>
        </is>
      </c>
      <c r="C8299" s="2" t="inlineStr">
        <is>
          <t>코스닥</t>
        </is>
      </c>
      <c r="D8299" s="2" t="inlineStr">
        <is>
          <t>226950</t>
        </is>
      </c>
      <c r="E8299" s="3" t="inlineStr">
        <is>
          <t>임원ㆍ주요주주특정증권등소유상황보고서</t>
        </is>
      </c>
      <c r="F8299" s="3" t="inlineStr">
        <is>
          <t>이동기</t>
        </is>
      </c>
      <c r="G8299" s="2" t="inlineStr">
        <is>
          <t>20260601001983</t>
        </is>
      </c>
      <c r="H8299" s="8">
        <f>HYPERLINK("https://dart.fss.or.kr/dsaf001/main.do?rcpNo=20260601001983", "공시열람")</f>
        <v/>
      </c>
    </row>
    <row r="8300">
      <c r="A8300" s="2" t="inlineStr">
        <is>
          <t>2026-06-01</t>
        </is>
      </c>
      <c r="B8300" s="3" t="inlineStr">
        <is>
          <t>아센디오</t>
        </is>
      </c>
      <c r="C8300" s="2" t="inlineStr">
        <is>
          <t>코스피</t>
        </is>
      </c>
      <c r="D8300" s="2" t="inlineStr">
        <is>
          <t>012170</t>
        </is>
      </c>
      <c r="E8300" s="3" t="inlineStr">
        <is>
          <t xml:space="preserve">기업지배구조보고서공시              </t>
        </is>
      </c>
      <c r="F8300" s="3" t="inlineStr">
        <is>
          <t>아센디오</t>
        </is>
      </c>
      <c r="G8300" s="2" t="inlineStr">
        <is>
          <t>20260601801835</t>
        </is>
      </c>
      <c r="H8300" s="8">
        <f>HYPERLINK("https://dart.fss.or.kr/dsaf001/main.do?rcpNo=20260601801835", "공시열람")</f>
        <v/>
      </c>
    </row>
    <row r="8301">
      <c r="A8301" s="2" t="inlineStr">
        <is>
          <t>2026-06-01 (정정: 2026-06-02)</t>
        </is>
      </c>
      <c r="B8301" s="3" t="inlineStr">
        <is>
          <t>SKC</t>
        </is>
      </c>
      <c r="C8301" s="2" t="inlineStr">
        <is>
          <t>코스피</t>
        </is>
      </c>
      <c r="D8301" s="2" t="inlineStr">
        <is>
          <t>011790</t>
        </is>
      </c>
      <c r="E8301" s="3" t="inlineStr">
        <is>
          <t>전환청구권ㆍ신주인수권ㆍ교환청구권행사               (정정: 20260602)</t>
        </is>
      </c>
      <c r="F8301" s="3" t="inlineStr">
        <is>
          <t>SKC</t>
        </is>
      </c>
      <c r="G8301" s="2" t="inlineStr">
        <is>
          <t>20260602000531</t>
        </is>
      </c>
      <c r="H8301" s="8">
        <f>HYPERLINK("https://dart.fss.or.kr/dsaf001/main.do?rcpNo=20260602000531", "공시열람")</f>
        <v/>
      </c>
    </row>
    <row r="8302">
      <c r="A8302" s="2" t="inlineStr">
        <is>
          <t>2026-06-01</t>
        </is>
      </c>
      <c r="B8302" s="3" t="inlineStr">
        <is>
          <t>삼성바이오로직스</t>
        </is>
      </c>
      <c r="C8302" s="2" t="inlineStr">
        <is>
          <t>코스피</t>
        </is>
      </c>
      <c r="D8302" s="2" t="inlineStr">
        <is>
          <t>207940</t>
        </is>
      </c>
      <c r="E8302" s="3" t="inlineStr">
        <is>
          <t xml:space="preserve">지속가능경영보고서등관련사항(자율공시)              </t>
        </is>
      </c>
      <c r="F8302" s="3" t="inlineStr">
        <is>
          <t>삼성바이오로직스</t>
        </is>
      </c>
      <c r="G8302" s="2" t="inlineStr">
        <is>
          <t>20260601801853</t>
        </is>
      </c>
      <c r="H8302" s="8">
        <f>HYPERLINK("https://dart.fss.or.kr/dsaf001/main.do?rcpNo=20260601801853", "공시열람")</f>
        <v/>
      </c>
    </row>
    <row r="8303">
      <c r="A8303" s="2" t="inlineStr">
        <is>
          <t>2026-06-01</t>
        </is>
      </c>
      <c r="B8303" s="3" t="inlineStr">
        <is>
          <t>에스엠벡셀</t>
        </is>
      </c>
      <c r="C8303" s="2" t="inlineStr">
        <is>
          <t>코스피</t>
        </is>
      </c>
      <c r="D8303" s="2" t="inlineStr">
        <is>
          <t>010580</t>
        </is>
      </c>
      <c r="E8303" s="3" t="inlineStr">
        <is>
          <t>대규모기업집단현황공시[연1회공시및1/4분기용(개별회사)]</t>
        </is>
      </c>
      <c r="F8303" s="3" t="inlineStr">
        <is>
          <t>에스엠벡셀</t>
        </is>
      </c>
      <c r="G8303" s="2" t="inlineStr">
        <is>
          <t>20260601001981</t>
        </is>
      </c>
      <c r="H8303" s="8">
        <f>HYPERLINK("https://dart.fss.or.kr/dsaf001/main.do?rcpNo=20260601001981", "공시열람")</f>
        <v/>
      </c>
    </row>
    <row r="8304">
      <c r="A8304" s="2" t="inlineStr">
        <is>
          <t>2026-06-01</t>
        </is>
      </c>
      <c r="B8304" s="3" t="inlineStr">
        <is>
          <t>소프트센</t>
        </is>
      </c>
      <c r="C8304" s="2" t="inlineStr">
        <is>
          <t>코스닥</t>
        </is>
      </c>
      <c r="D8304" s="2" t="inlineStr">
        <is>
          <t>032680</t>
        </is>
      </c>
      <c r="E8304" s="3" t="inlineStr">
        <is>
          <t>기타시장안내              (소프트센 1우선주 관리종목지정 우려예고)</t>
        </is>
      </c>
      <c r="F8304" s="3" t="inlineStr">
        <is>
          <t>코스닥시장본부</t>
        </is>
      </c>
      <c r="G8304" s="2" t="inlineStr">
        <is>
          <t>20260601901777</t>
        </is>
      </c>
      <c r="H8304" s="8">
        <f>HYPERLINK("https://dart.fss.or.kr/dsaf001/main.do?rcpNo=20260601901777", "공시열람")</f>
        <v/>
      </c>
    </row>
    <row r="8305">
      <c r="A8305" s="2" t="inlineStr">
        <is>
          <t>2026-06-01</t>
        </is>
      </c>
      <c r="B8305" s="3" t="inlineStr">
        <is>
          <t>코웨이</t>
        </is>
      </c>
      <c r="C8305" s="2" t="inlineStr">
        <is>
          <t>코스피</t>
        </is>
      </c>
      <c r="D8305" s="2" t="inlineStr">
        <is>
          <t>021240</t>
        </is>
      </c>
      <c r="E8305" s="3" t="inlineStr">
        <is>
          <t xml:space="preserve">기업지배구조보고서공시              </t>
        </is>
      </c>
      <c r="F8305" s="3" t="inlineStr">
        <is>
          <t>코웨이</t>
        </is>
      </c>
      <c r="G8305" s="2" t="inlineStr">
        <is>
          <t>20260601801844</t>
        </is>
      </c>
      <c r="H8305" s="8">
        <f>HYPERLINK("https://dart.fss.or.kr/dsaf001/main.do?rcpNo=20260601801844", "공시열람")</f>
        <v/>
      </c>
    </row>
    <row r="8306">
      <c r="A8306" s="2" t="inlineStr">
        <is>
          <t>2026-06-01</t>
        </is>
      </c>
      <c r="B8306" s="3" t="inlineStr">
        <is>
          <t>넷마블</t>
        </is>
      </c>
      <c r="C8306" s="2" t="inlineStr">
        <is>
          <t>코스피</t>
        </is>
      </c>
      <c r="D8306" s="2" t="inlineStr">
        <is>
          <t>251270</t>
        </is>
      </c>
      <c r="E8306" s="3" t="inlineStr">
        <is>
          <t xml:space="preserve">기업지배구조보고서공시              </t>
        </is>
      </c>
      <c r="F8306" s="3" t="inlineStr">
        <is>
          <t>넷마블</t>
        </is>
      </c>
      <c r="G8306" s="2" t="inlineStr">
        <is>
          <t>20260601801838</t>
        </is>
      </c>
      <c r="H8306" s="8">
        <f>HYPERLINK("https://dart.fss.or.kr/dsaf001/main.do?rcpNo=20260601801838", "공시열람")</f>
        <v/>
      </c>
    </row>
    <row r="8307">
      <c r="A8307" s="2" t="inlineStr">
        <is>
          <t>2026-06-01</t>
        </is>
      </c>
      <c r="B8307" s="3" t="inlineStr">
        <is>
          <t>만호제강</t>
        </is>
      </c>
      <c r="C8307" s="2" t="inlineStr">
        <is>
          <t>코스피</t>
        </is>
      </c>
      <c r="D8307" s="2" t="inlineStr">
        <is>
          <t>001080</t>
        </is>
      </c>
      <c r="E8307" s="3" t="inlineStr">
        <is>
          <t xml:space="preserve">기업지배구조보고서공시              </t>
        </is>
      </c>
      <c r="F8307" s="3" t="inlineStr">
        <is>
          <t>만호제강</t>
        </is>
      </c>
      <c r="G8307" s="2" t="inlineStr">
        <is>
          <t>20260601801841</t>
        </is>
      </c>
      <c r="H8307" s="8">
        <f>HYPERLINK("https://dart.fss.or.kr/dsaf001/main.do?rcpNo=20260601801841", "공시열람")</f>
        <v/>
      </c>
    </row>
    <row r="8308">
      <c r="A8308" s="2" t="inlineStr">
        <is>
          <t>2026-06-01</t>
        </is>
      </c>
      <c r="B8308" s="3" t="inlineStr">
        <is>
          <t>대주전자재료</t>
        </is>
      </c>
      <c r="C8308" s="2" t="inlineStr">
        <is>
          <t>코스닥</t>
        </is>
      </c>
      <c r="D8308" s="2" t="inlineStr">
        <is>
          <t>078600</t>
        </is>
      </c>
      <c r="E8308" s="3" t="inlineStr">
        <is>
          <t xml:space="preserve">전환청구권행사              </t>
        </is>
      </c>
      <c r="F8308" s="3" t="inlineStr">
        <is>
          <t>대주전자재료</t>
        </is>
      </c>
      <c r="G8308" s="2" t="inlineStr">
        <is>
          <t>20260601901847</t>
        </is>
      </c>
      <c r="H8308" s="8">
        <f>HYPERLINK("https://dart.fss.or.kr/dsaf001/main.do?rcpNo=20260601901847", "공시열람")</f>
        <v/>
      </c>
    </row>
    <row r="8309">
      <c r="A8309" s="2" t="inlineStr">
        <is>
          <t>2026-06-01</t>
        </is>
      </c>
      <c r="B8309" s="3" t="inlineStr">
        <is>
          <t>대주전자재료</t>
        </is>
      </c>
      <c r="C8309" s="2" t="inlineStr">
        <is>
          <t>코스닥</t>
        </is>
      </c>
      <c r="D8309" s="2" t="inlineStr">
        <is>
          <t>078600</t>
        </is>
      </c>
      <c r="E8309" s="3" t="inlineStr">
        <is>
          <t xml:space="preserve">전환청구권행사              </t>
        </is>
      </c>
      <c r="F8309" s="3" t="inlineStr">
        <is>
          <t>대주전자재료</t>
        </is>
      </c>
      <c r="G8309" s="2" t="inlineStr">
        <is>
          <t>20260601901842</t>
        </is>
      </c>
      <c r="H8309" s="8">
        <f>HYPERLINK("https://dart.fss.or.kr/dsaf001/main.do?rcpNo=20260601901842", "공시열람")</f>
        <v/>
      </c>
    </row>
    <row r="8310">
      <c r="A8310" s="2" t="inlineStr">
        <is>
          <t>2026-06-01</t>
        </is>
      </c>
      <c r="B8310" s="3" t="inlineStr">
        <is>
          <t>NH투자증권</t>
        </is>
      </c>
      <c r="C8310" s="2" t="inlineStr">
        <is>
          <t>코스피</t>
        </is>
      </c>
      <c r="D8310" s="2" t="inlineStr">
        <is>
          <t>005940</t>
        </is>
      </c>
      <c r="E8310" s="3" t="inlineStr">
        <is>
          <t>일괄신고추가서류(파생결합증권-주가연계증권)</t>
        </is>
      </c>
      <c r="F8310" s="3" t="inlineStr">
        <is>
          <t>NH투자증권</t>
        </is>
      </c>
      <c r="G8310" s="2" t="inlineStr">
        <is>
          <t>20260601001976</t>
        </is>
      </c>
      <c r="H8310" s="8">
        <f>HYPERLINK("https://dart.fss.or.kr/dsaf001/main.do?rcpNo=20260601001976", "공시열람")</f>
        <v/>
      </c>
    </row>
    <row r="8311">
      <c r="A8311" s="2" t="inlineStr">
        <is>
          <t>2026-06-01</t>
        </is>
      </c>
      <c r="B8311" s="3" t="inlineStr">
        <is>
          <t>유한양행</t>
        </is>
      </c>
      <c r="C8311" s="2" t="inlineStr">
        <is>
          <t>코스피</t>
        </is>
      </c>
      <c r="D8311" s="2" t="inlineStr">
        <is>
          <t>000100</t>
        </is>
      </c>
      <c r="E8311" s="3" t="inlineStr">
        <is>
          <t xml:space="preserve">기업지배구조보고서공시              </t>
        </is>
      </c>
      <c r="F8311" s="3" t="inlineStr">
        <is>
          <t>유한양행</t>
        </is>
      </c>
      <c r="G8311" s="2" t="inlineStr">
        <is>
          <t>20260601801831</t>
        </is>
      </c>
      <c r="H8311" s="8">
        <f>HYPERLINK("https://dart.fss.or.kr/dsaf001/main.do?rcpNo=20260601801831", "공시열람")</f>
        <v/>
      </c>
    </row>
    <row r="8312">
      <c r="A8312" s="2" t="inlineStr">
        <is>
          <t>2026-06-01</t>
        </is>
      </c>
      <c r="B8312" s="3" t="inlineStr">
        <is>
          <t>대신증권</t>
        </is>
      </c>
      <c r="C8312" s="2" t="inlineStr">
        <is>
          <t>코스피</t>
        </is>
      </c>
      <c r="D8312" s="2" t="inlineStr">
        <is>
          <t>003540</t>
        </is>
      </c>
      <c r="E8312" s="3" t="inlineStr">
        <is>
          <t>투자설명서(일괄신고)</t>
        </is>
      </c>
      <c r="F8312" s="3" t="inlineStr">
        <is>
          <t>대신증권</t>
        </is>
      </c>
      <c r="G8312" s="2" t="inlineStr">
        <is>
          <t>20260601001969</t>
        </is>
      </c>
      <c r="H8312" s="8">
        <f>HYPERLINK("https://dart.fss.or.kr/dsaf001/main.do?rcpNo=20260601001969", "공시열람")</f>
        <v/>
      </c>
    </row>
    <row r="8313">
      <c r="A8313" s="2" t="inlineStr">
        <is>
          <t>2026-06-01 (정정: 2026-06-25)</t>
        </is>
      </c>
      <c r="B8313" s="3" t="inlineStr">
        <is>
          <t>계양전기</t>
        </is>
      </c>
      <c r="C8313" s="2" t="inlineStr">
        <is>
          <t>코스피</t>
        </is>
      </c>
      <c r="D8313" s="2" t="inlineStr">
        <is>
          <t>012200</t>
        </is>
      </c>
      <c r="E8313" s="3" t="inlineStr">
        <is>
          <t>기업지배구조보고서공시               (정정: 20260602) (정정: 20260611) (정정: 20260625)</t>
        </is>
      </c>
      <c r="F8313" s="3" t="inlineStr">
        <is>
          <t>계양전기</t>
        </is>
      </c>
      <c r="G8313" s="2" t="inlineStr">
        <is>
          <t>20260625000578</t>
        </is>
      </c>
      <c r="H8313" s="8">
        <f>HYPERLINK("https://dart.fss.or.kr/dsaf001/main.do?rcpNo=20260625000578", "공시열람")</f>
        <v/>
      </c>
    </row>
    <row r="8314">
      <c r="A8314" s="2" t="inlineStr">
        <is>
          <t>2026-06-01 (정정: 2026-06-15)</t>
        </is>
      </c>
      <c r="B8314" s="3" t="inlineStr">
        <is>
          <t>LB세미콘</t>
        </is>
      </c>
      <c r="C8314" s="2" t="inlineStr">
        <is>
          <t>코스닥</t>
        </is>
      </c>
      <c r="D8314" s="2" t="inlineStr">
        <is>
          <t>061970</t>
        </is>
      </c>
      <c r="E8314" s="3" t="inlineStr">
        <is>
          <t>[기재정정]증권신고서(지분증권) (정정: 20260615)</t>
        </is>
      </c>
      <c r="F8314" s="3" t="inlineStr">
        <is>
          <t>LB세미콘</t>
        </is>
      </c>
      <c r="G8314" s="2" t="inlineStr">
        <is>
          <t>20260615000387</t>
        </is>
      </c>
      <c r="H8314" s="8">
        <f>HYPERLINK("https://dart.fss.or.kr/dsaf001/main.do?rcpNo=20260615000387", "공시열람")</f>
        <v/>
      </c>
    </row>
    <row r="8315">
      <c r="A8315" s="2" t="inlineStr">
        <is>
          <t>2026-06-01</t>
        </is>
      </c>
      <c r="B8315" s="3" t="inlineStr">
        <is>
          <t>대신증권</t>
        </is>
      </c>
      <c r="C8315" s="2" t="inlineStr">
        <is>
          <t>코스피</t>
        </is>
      </c>
      <c r="D8315" s="2" t="inlineStr">
        <is>
          <t>003540</t>
        </is>
      </c>
      <c r="E8315" s="3" t="inlineStr">
        <is>
          <t>일괄신고추가서류(기타파생결합사채)</t>
        </is>
      </c>
      <c r="F8315" s="3" t="inlineStr">
        <is>
          <t>대신증권</t>
        </is>
      </c>
      <c r="G8315" s="2" t="inlineStr">
        <is>
          <t>20260601001966</t>
        </is>
      </c>
      <c r="H8315" s="8">
        <f>HYPERLINK("https://dart.fss.or.kr/dsaf001/main.do?rcpNo=20260601001966", "공시열람")</f>
        <v/>
      </c>
    </row>
    <row r="8316">
      <c r="A8316" s="2" t="inlineStr">
        <is>
          <t>2026-06-01</t>
        </is>
      </c>
      <c r="B8316" s="3" t="inlineStr">
        <is>
          <t>대신증권</t>
        </is>
      </c>
      <c r="C8316" s="2" t="inlineStr">
        <is>
          <t>코스피</t>
        </is>
      </c>
      <c r="D8316" s="2" t="inlineStr">
        <is>
          <t>003540</t>
        </is>
      </c>
      <c r="E8316" s="3" t="inlineStr">
        <is>
          <t>투자설명서(일괄신고)</t>
        </is>
      </c>
      <c r="F8316" s="3" t="inlineStr">
        <is>
          <t>대신증권</t>
        </is>
      </c>
      <c r="G8316" s="2" t="inlineStr">
        <is>
          <t>20260601001965</t>
        </is>
      </c>
      <c r="H8316" s="8">
        <f>HYPERLINK("https://dart.fss.or.kr/dsaf001/main.do?rcpNo=20260601001965", "공시열람")</f>
        <v/>
      </c>
    </row>
    <row r="8317">
      <c r="A8317" s="2" t="inlineStr">
        <is>
          <t>2026-06-01 (정정: 2026-06-09)</t>
        </is>
      </c>
      <c r="B8317" s="3" t="inlineStr">
        <is>
          <t>미래에셋증권</t>
        </is>
      </c>
      <c r="C8317" s="2" t="inlineStr">
        <is>
          <t>코스피</t>
        </is>
      </c>
      <c r="D8317" s="2" t="inlineStr">
        <is>
          <t>006800</t>
        </is>
      </c>
      <c r="E8317" s="3" t="inlineStr">
        <is>
          <t>대규모기업집단현황공시[연1회공시및1/4분기용(개별회사)] (정정: 20260609)</t>
        </is>
      </c>
      <c r="F8317" s="3" t="inlineStr">
        <is>
          <t>미래에셋증권</t>
        </is>
      </c>
      <c r="G8317" s="2" t="inlineStr">
        <is>
          <t>20260609000355</t>
        </is>
      </c>
      <c r="H8317" s="8">
        <f>HYPERLINK("https://dart.fss.or.kr/dsaf001/main.do?rcpNo=20260609000355", "공시열람")</f>
        <v/>
      </c>
    </row>
    <row r="8318">
      <c r="A8318" s="2" t="inlineStr">
        <is>
          <t>2026-06-01</t>
        </is>
      </c>
      <c r="B8318" s="3" t="inlineStr">
        <is>
          <t>대한해운</t>
        </is>
      </c>
      <c r="C8318" s="2" t="inlineStr">
        <is>
          <t>코스피</t>
        </is>
      </c>
      <c r="D8318" s="2" t="inlineStr">
        <is>
          <t>005880</t>
        </is>
      </c>
      <c r="E8318" s="3" t="inlineStr">
        <is>
          <t>[기재정정]대규모기업집단현황공시[연1회공시및1/4분기용(대표회사)]</t>
        </is>
      </c>
      <c r="F8318" s="3" t="inlineStr">
        <is>
          <t>대한해운</t>
        </is>
      </c>
      <c r="G8318" s="2" t="inlineStr">
        <is>
          <t>20260601001961</t>
        </is>
      </c>
      <c r="H8318" s="8">
        <f>HYPERLINK("https://dart.fss.or.kr/dsaf001/main.do?rcpNo=20260601001961", "공시열람")</f>
        <v/>
      </c>
    </row>
    <row r="8319">
      <c r="A8319" s="2" t="inlineStr">
        <is>
          <t>2026-06-01</t>
        </is>
      </c>
      <c r="B8319" s="3" t="inlineStr">
        <is>
          <t>코이즈</t>
        </is>
      </c>
      <c r="C8319" s="2" t="inlineStr">
        <is>
          <t>코스닥</t>
        </is>
      </c>
      <c r="D8319" s="2" t="inlineStr">
        <is>
          <t>121850</t>
        </is>
      </c>
      <c r="E8319" s="3" t="inlineStr">
        <is>
          <t>증권발행결과(자율공시)              (제3회차 CB)</t>
        </is>
      </c>
      <c r="F8319" s="3" t="inlineStr">
        <is>
          <t>코이즈</t>
        </is>
      </c>
      <c r="G8319" s="2" t="inlineStr">
        <is>
          <t>20260601901800</t>
        </is>
      </c>
      <c r="H8319" s="8">
        <f>HYPERLINK("https://dart.fss.or.kr/dsaf001/main.do?rcpNo=20260601901800", "공시열람")</f>
        <v/>
      </c>
    </row>
    <row r="8320">
      <c r="A8320" s="2" t="inlineStr">
        <is>
          <t>2026-06-01</t>
        </is>
      </c>
      <c r="B8320" s="3" t="inlineStr">
        <is>
          <t>KCC건설</t>
        </is>
      </c>
      <c r="C8320" s="2" t="inlineStr">
        <is>
          <t>코스닥</t>
        </is>
      </c>
      <c r="D8320" s="2" t="inlineStr">
        <is>
          <t>021320</t>
        </is>
      </c>
      <c r="E8320" s="3" t="inlineStr">
        <is>
          <t xml:space="preserve">중대재해발생              </t>
        </is>
      </c>
      <c r="F8320" s="3" t="inlineStr">
        <is>
          <t>KCC건설</t>
        </is>
      </c>
      <c r="G8320" s="2" t="inlineStr">
        <is>
          <t>20260601901825</t>
        </is>
      </c>
      <c r="H8320" s="8">
        <f>HYPERLINK("https://dart.fss.or.kr/dsaf001/main.do?rcpNo=20260601901825", "공시열람")</f>
        <v/>
      </c>
    </row>
    <row r="8321">
      <c r="A8321" s="2" t="inlineStr">
        <is>
          <t>2026-06-01</t>
        </is>
      </c>
      <c r="B8321" s="3" t="inlineStr">
        <is>
          <t>대신증권</t>
        </is>
      </c>
      <c r="C8321" s="2" t="inlineStr">
        <is>
          <t>코스피</t>
        </is>
      </c>
      <c r="D8321" s="2" t="inlineStr">
        <is>
          <t>003540</t>
        </is>
      </c>
      <c r="E8321" s="3" t="inlineStr">
        <is>
          <t>일괄신고추가서류(파생결합사채-주가연계파생결합사채)</t>
        </is>
      </c>
      <c r="F8321" s="3" t="inlineStr">
        <is>
          <t>대신증권</t>
        </is>
      </c>
      <c r="G8321" s="2" t="inlineStr">
        <is>
          <t>20260601001958</t>
        </is>
      </c>
      <c r="H8321" s="8">
        <f>HYPERLINK("https://dart.fss.or.kr/dsaf001/main.do?rcpNo=20260601001958", "공시열람")</f>
        <v/>
      </c>
    </row>
    <row r="8322">
      <c r="A8322" s="2" t="inlineStr">
        <is>
          <t>2026-06-01</t>
        </is>
      </c>
      <c r="B8322" s="3" t="inlineStr">
        <is>
          <t>STX그린로지스</t>
        </is>
      </c>
      <c r="C8322" s="2" t="inlineStr">
        <is>
          <t>코스피</t>
        </is>
      </c>
      <c r="D8322" s="2" t="inlineStr">
        <is>
          <t>465770</t>
        </is>
      </c>
      <c r="E8322" s="3" t="inlineStr">
        <is>
          <t xml:space="preserve">기업지배구조보고서공시              </t>
        </is>
      </c>
      <c r="F8322" s="3" t="inlineStr">
        <is>
          <t>STX그린로지스</t>
        </is>
      </c>
      <c r="G8322" s="2" t="inlineStr">
        <is>
          <t>20260601801821</t>
        </is>
      </c>
      <c r="H8322" s="8">
        <f>HYPERLINK("https://dart.fss.or.kr/dsaf001/main.do?rcpNo=20260601801821", "공시열람")</f>
        <v/>
      </c>
    </row>
    <row r="8323">
      <c r="A8323" s="2" t="inlineStr">
        <is>
          <t>2026-06-01</t>
        </is>
      </c>
      <c r="B8323" s="3" t="inlineStr">
        <is>
          <t>한울반도체</t>
        </is>
      </c>
      <c r="C8323" s="2" t="inlineStr">
        <is>
          <t>코스닥</t>
        </is>
      </c>
      <c r="D8323" s="2" t="inlineStr">
        <is>
          <t>320000</t>
        </is>
      </c>
      <c r="E8323" s="3" t="inlineStr">
        <is>
          <t>전환가액의조정              (제3회차,제4회차)</t>
        </is>
      </c>
      <c r="F8323" s="3" t="inlineStr">
        <is>
          <t>한울반도체</t>
        </is>
      </c>
      <c r="G8323" s="2" t="inlineStr">
        <is>
          <t>20260601901804</t>
        </is>
      </c>
      <c r="H8323" s="8">
        <f>HYPERLINK("https://dart.fss.or.kr/dsaf001/main.do?rcpNo=20260601901804", "공시열람")</f>
        <v/>
      </c>
    </row>
    <row r="8324">
      <c r="A8324" s="2" t="inlineStr">
        <is>
          <t>2026-06-01</t>
        </is>
      </c>
      <c r="B8324" s="3" t="inlineStr">
        <is>
          <t>국일제지</t>
        </is>
      </c>
      <c r="C8324" s="2" t="inlineStr">
        <is>
          <t>코스닥</t>
        </is>
      </c>
      <c r="D8324" s="2" t="inlineStr">
        <is>
          <t>078130</t>
        </is>
      </c>
      <c r="E8324" s="3" t="inlineStr">
        <is>
          <t>대규모기업집단현황공시[연1회공시및1/4분기용(개별회사)]</t>
        </is>
      </c>
      <c r="F8324" s="3" t="inlineStr">
        <is>
          <t>국일제지</t>
        </is>
      </c>
      <c r="G8324" s="2" t="inlineStr">
        <is>
          <t>20260601001956</t>
        </is>
      </c>
      <c r="H8324" s="8">
        <f>HYPERLINK("https://dart.fss.or.kr/dsaf001/main.do?rcpNo=20260601001956", "공시열람")</f>
        <v/>
      </c>
    </row>
    <row r="8325">
      <c r="A8325" s="2" t="inlineStr">
        <is>
          <t>2026-06-01</t>
        </is>
      </c>
      <c r="B8325" s="3" t="inlineStr">
        <is>
          <t>한국화장품제조</t>
        </is>
      </c>
      <c r="C8325" s="2" t="inlineStr">
        <is>
          <t>코스피</t>
        </is>
      </c>
      <c r="D8325" s="2" t="inlineStr">
        <is>
          <t>003350</t>
        </is>
      </c>
      <c r="E8325" s="3" t="inlineStr">
        <is>
          <t xml:space="preserve">기업지배구조보고서공시              </t>
        </is>
      </c>
      <c r="F8325" s="3" t="inlineStr">
        <is>
          <t>한국화장품제조</t>
        </is>
      </c>
      <c r="G8325" s="2" t="inlineStr">
        <is>
          <t>20260601801799</t>
        </is>
      </c>
      <c r="H8325" s="8">
        <f>HYPERLINK("https://dart.fss.or.kr/dsaf001/main.do?rcpNo=20260601801799", "공시열람")</f>
        <v/>
      </c>
    </row>
    <row r="8326">
      <c r="A8326" s="2" t="inlineStr">
        <is>
          <t>2026-06-01</t>
        </is>
      </c>
      <c r="B8326" s="3" t="inlineStr">
        <is>
          <t>녹십자홀딩스</t>
        </is>
      </c>
      <c r="C8326" s="2" t="inlineStr">
        <is>
          <t>코스피</t>
        </is>
      </c>
      <c r="D8326" s="2" t="inlineStr">
        <is>
          <t>005250</t>
        </is>
      </c>
      <c r="E8326" s="3" t="inlineStr">
        <is>
          <t xml:space="preserve">기업지배구조보고서공시              </t>
        </is>
      </c>
      <c r="F8326" s="3" t="inlineStr">
        <is>
          <t>녹십자홀딩스</t>
        </is>
      </c>
      <c r="G8326" s="2" t="inlineStr">
        <is>
          <t>20260601801803</t>
        </is>
      </c>
      <c r="H8326" s="8">
        <f>HYPERLINK("https://dart.fss.or.kr/dsaf001/main.do?rcpNo=20260601801803", "공시열람")</f>
        <v/>
      </c>
    </row>
    <row r="8327">
      <c r="A8327" s="2" t="inlineStr">
        <is>
          <t>2026-06-01</t>
        </is>
      </c>
      <c r="B8327" s="3" t="inlineStr">
        <is>
          <t>아이티센씨티에스</t>
        </is>
      </c>
      <c r="C8327" s="2" t="inlineStr">
        <is>
          <t>코스피</t>
        </is>
      </c>
      <c r="D8327" s="2" t="inlineStr">
        <is>
          <t>031820</t>
        </is>
      </c>
      <c r="E8327" s="3" t="inlineStr">
        <is>
          <t xml:space="preserve">기업지배구조보고서공시              </t>
        </is>
      </c>
      <c r="F8327" s="3" t="inlineStr">
        <is>
          <t>아이티센씨티에스</t>
        </is>
      </c>
      <c r="G8327" s="2" t="inlineStr">
        <is>
          <t>20260601801786</t>
        </is>
      </c>
      <c r="H8327" s="8">
        <f>HYPERLINK("https://dart.fss.or.kr/dsaf001/main.do?rcpNo=20260601801786", "공시열람")</f>
        <v/>
      </c>
    </row>
    <row r="8328">
      <c r="A8328" s="2" t="inlineStr">
        <is>
          <t>2026-06-01</t>
        </is>
      </c>
      <c r="B8328" s="3" t="inlineStr">
        <is>
          <t>GS리테일</t>
        </is>
      </c>
      <c r="C8328" s="2" t="inlineStr">
        <is>
          <t>코스피</t>
        </is>
      </c>
      <c r="D8328" s="2" t="inlineStr">
        <is>
          <t>007070</t>
        </is>
      </c>
      <c r="E8328" s="3" t="inlineStr">
        <is>
          <t>대규모기업집단현황공시[연1회공시및1/4분기용(개별회사)]</t>
        </is>
      </c>
      <c r="F8328" s="3" t="inlineStr">
        <is>
          <t>GS리테일</t>
        </is>
      </c>
      <c r="G8328" s="2" t="inlineStr">
        <is>
          <t>20260601001942</t>
        </is>
      </c>
      <c r="H8328" s="8">
        <f>HYPERLINK("https://dart.fss.or.kr/dsaf001/main.do?rcpNo=20260601001942", "공시열람")</f>
        <v/>
      </c>
    </row>
    <row r="8329">
      <c r="A8329" s="2" t="inlineStr">
        <is>
          <t>2026-06-01</t>
        </is>
      </c>
      <c r="B8329" s="3" t="inlineStr">
        <is>
          <t>제주항공</t>
        </is>
      </c>
      <c r="C8329" s="2" t="inlineStr">
        <is>
          <t>코스피</t>
        </is>
      </c>
      <c r="D8329" s="2" t="inlineStr">
        <is>
          <t>089590</t>
        </is>
      </c>
      <c r="E8329" s="3" t="inlineStr">
        <is>
          <t xml:space="preserve">기업지배구조보고서공시              </t>
        </is>
      </c>
      <c r="F8329" s="3" t="inlineStr">
        <is>
          <t>제주항공</t>
        </is>
      </c>
      <c r="G8329" s="2" t="inlineStr">
        <is>
          <t>20260601801789</t>
        </is>
      </c>
      <c r="H8329" s="8">
        <f>HYPERLINK("https://dart.fss.or.kr/dsaf001/main.do?rcpNo=20260601801789", "공시열람")</f>
        <v/>
      </c>
    </row>
    <row r="8330">
      <c r="A8330" s="2" t="inlineStr">
        <is>
          <t>2026-06-01</t>
        </is>
      </c>
      <c r="B8330" s="3" t="inlineStr">
        <is>
          <t>삼양사</t>
        </is>
      </c>
      <c r="C8330" s="2" t="inlineStr">
        <is>
          <t>코스피</t>
        </is>
      </c>
      <c r="D8330" s="2" t="inlineStr">
        <is>
          <t>145990</t>
        </is>
      </c>
      <c r="E8330" s="3" t="inlineStr">
        <is>
          <t xml:space="preserve">기업지배구조보고서공시              </t>
        </is>
      </c>
      <c r="F8330" s="3" t="inlineStr">
        <is>
          <t>삼양사</t>
        </is>
      </c>
      <c r="G8330" s="2" t="inlineStr">
        <is>
          <t>20260601801791</t>
        </is>
      </c>
      <c r="H8330" s="8">
        <f>HYPERLINK("https://dart.fss.or.kr/dsaf001/main.do?rcpNo=20260601801791", "공시열람")</f>
        <v/>
      </c>
    </row>
    <row r="8331">
      <c r="A8331" s="2" t="inlineStr">
        <is>
          <t>2026-06-01</t>
        </is>
      </c>
      <c r="B8331" s="3" t="inlineStr">
        <is>
          <t>한화리츠</t>
        </is>
      </c>
      <c r="C8331" s="2" t="inlineStr">
        <is>
          <t>코스피</t>
        </is>
      </c>
      <c r="D8331" s="2" t="inlineStr">
        <is>
          <t>451800</t>
        </is>
      </c>
      <c r="E8331" s="3" t="inlineStr">
        <is>
          <t xml:space="preserve">부동산투자회사자산보관위탁계약변경              </t>
        </is>
      </c>
      <c r="F8331" s="3" t="inlineStr">
        <is>
          <t>한화리츠</t>
        </is>
      </c>
      <c r="G8331" s="2" t="inlineStr">
        <is>
          <t>20260601801720</t>
        </is>
      </c>
      <c r="H8331" s="8">
        <f>HYPERLINK("https://dart.fss.or.kr/dsaf001/main.do?rcpNo=20260601801720", "공시열람")</f>
        <v/>
      </c>
    </row>
    <row r="8332">
      <c r="A8332" s="2" t="inlineStr">
        <is>
          <t>2026-06-01</t>
        </is>
      </c>
      <c r="B8332" s="3" t="inlineStr">
        <is>
          <t>한화리츠</t>
        </is>
      </c>
      <c r="C8332" s="2" t="inlineStr">
        <is>
          <t>코스피</t>
        </is>
      </c>
      <c r="D8332" s="2" t="inlineStr">
        <is>
          <t>451800</t>
        </is>
      </c>
      <c r="E8332" s="3" t="inlineStr">
        <is>
          <t xml:space="preserve">부동산투자회사자산보관위탁계약체결              </t>
        </is>
      </c>
      <c r="F8332" s="3" t="inlineStr">
        <is>
          <t>한화리츠</t>
        </is>
      </c>
      <c r="G8332" s="2" t="inlineStr">
        <is>
          <t>20260601801714</t>
        </is>
      </c>
      <c r="H8332" s="8">
        <f>HYPERLINK("https://dart.fss.or.kr/dsaf001/main.do?rcpNo=20260601801714", "공시열람")</f>
        <v/>
      </c>
    </row>
    <row r="8333">
      <c r="A8333" s="2" t="inlineStr">
        <is>
          <t>2026-06-01</t>
        </is>
      </c>
      <c r="B8333" s="3" t="inlineStr">
        <is>
          <t>대한해운</t>
        </is>
      </c>
      <c r="C8333" s="2" t="inlineStr">
        <is>
          <t>코스피</t>
        </is>
      </c>
      <c r="D8333" s="2" t="inlineStr">
        <is>
          <t>005880</t>
        </is>
      </c>
      <c r="E8333" s="3" t="inlineStr">
        <is>
          <t xml:space="preserve">기업지배구조보고서공시              </t>
        </is>
      </c>
      <c r="F8333" s="3" t="inlineStr">
        <is>
          <t>대한해운</t>
        </is>
      </c>
      <c r="G8333" s="2" t="inlineStr">
        <is>
          <t>20260601801774</t>
        </is>
      </c>
      <c r="H8333" s="8">
        <f>HYPERLINK("https://dart.fss.or.kr/dsaf001/main.do?rcpNo=20260601801774", "공시열람")</f>
        <v/>
      </c>
    </row>
    <row r="8334">
      <c r="A8334" s="2" t="inlineStr">
        <is>
          <t>2026-06-01</t>
        </is>
      </c>
      <c r="B8334" s="3" t="inlineStr">
        <is>
          <t>프리티</t>
        </is>
      </c>
      <c r="C8334" s="2" t="inlineStr">
        <is>
          <t>코스피</t>
        </is>
      </c>
      <c r="D8334" s="2" t="inlineStr">
        <is>
          <t>006490</t>
        </is>
      </c>
      <c r="E8334" s="3" t="inlineStr">
        <is>
          <t xml:space="preserve">기업지배구조보고서공시              </t>
        </is>
      </c>
      <c r="F8334" s="3" t="inlineStr">
        <is>
          <t>프리티</t>
        </is>
      </c>
      <c r="G8334" s="2" t="inlineStr">
        <is>
          <t>20260601801782</t>
        </is>
      </c>
      <c r="H8334" s="8">
        <f>HYPERLINK("https://dart.fss.or.kr/dsaf001/main.do?rcpNo=20260601801782", "공시열람")</f>
        <v/>
      </c>
    </row>
    <row r="8335">
      <c r="A8335" s="2" t="inlineStr">
        <is>
          <t>2026-06-01</t>
        </is>
      </c>
      <c r="B8335" s="3" t="inlineStr">
        <is>
          <t>더네이쳐홀딩스</t>
        </is>
      </c>
      <c r="C8335" s="2" t="inlineStr">
        <is>
          <t>코스닥</t>
        </is>
      </c>
      <c r="D8335" s="2" t="inlineStr">
        <is>
          <t>298540</t>
        </is>
      </c>
      <c r="E8335" s="3" t="inlineStr">
        <is>
          <t>임원ㆍ주요주주특정증권등소유상황보고서</t>
        </is>
      </c>
      <c r="F8335" s="3" t="inlineStr">
        <is>
          <t>박영준</t>
        </is>
      </c>
      <c r="G8335" s="2" t="inlineStr">
        <is>
          <t>20260601001932</t>
        </is>
      </c>
      <c r="H8335" s="8">
        <f>HYPERLINK("https://dart.fss.or.kr/dsaf001/main.do?rcpNo=20260601001932", "공시열람")</f>
        <v/>
      </c>
    </row>
    <row r="8336">
      <c r="A8336" s="2" t="inlineStr">
        <is>
          <t>2026-06-01</t>
        </is>
      </c>
      <c r="B8336" s="3" t="inlineStr">
        <is>
          <t>TS인베스트먼트</t>
        </is>
      </c>
      <c r="C8336" s="2" t="inlineStr">
        <is>
          <t>코스닥</t>
        </is>
      </c>
      <c r="D8336" s="2" t="inlineStr">
        <is>
          <t>246690</t>
        </is>
      </c>
      <c r="E8336" s="3" t="inlineStr">
        <is>
          <t>주권매매거래정지              (주식의 병합, 분할 등 전자등록 변경, 말소)</t>
        </is>
      </c>
      <c r="F8336" s="3" t="inlineStr">
        <is>
          <t>코스닥시장본부</t>
        </is>
      </c>
      <c r="G8336" s="2" t="inlineStr">
        <is>
          <t>20260601901703</t>
        </is>
      </c>
      <c r="H8336" s="8">
        <f>HYPERLINK("https://dart.fss.or.kr/dsaf001/main.do?rcpNo=20260601901703", "공시열람")</f>
        <v/>
      </c>
    </row>
    <row r="8337">
      <c r="A8337" s="2" t="inlineStr">
        <is>
          <t>2026-06-01</t>
        </is>
      </c>
      <c r="B8337" s="3" t="inlineStr">
        <is>
          <t>롯데케미칼</t>
        </is>
      </c>
      <c r="C8337" s="2" t="inlineStr">
        <is>
          <t>코스피</t>
        </is>
      </c>
      <c r="D8337" s="2" t="inlineStr">
        <is>
          <t>011170</t>
        </is>
      </c>
      <c r="E8337" s="3" t="inlineStr">
        <is>
          <t xml:space="preserve">기업지배구조보고서공시              </t>
        </is>
      </c>
      <c r="F8337" s="3" t="inlineStr">
        <is>
          <t>롯데케미칼</t>
        </is>
      </c>
      <c r="G8337" s="2" t="inlineStr">
        <is>
          <t>20260601801150</t>
        </is>
      </c>
      <c r="H8337" s="8">
        <f>HYPERLINK("https://dart.fss.or.kr/dsaf001/main.do?rcpNo=20260601801150", "공시열람")</f>
        <v/>
      </c>
    </row>
    <row r="8338">
      <c r="A8338" s="2" t="inlineStr">
        <is>
          <t>2026-06-01</t>
        </is>
      </c>
      <c r="B8338" s="3" t="inlineStr">
        <is>
          <t>한국비티비</t>
        </is>
      </c>
      <c r="C8338" s="2" t="inlineStr">
        <is>
          <t>코스닥</t>
        </is>
      </c>
      <c r="D8338" s="2" t="inlineStr">
        <is>
          <t>219750</t>
        </is>
      </c>
      <c r="E8338" s="3" t="inlineStr">
        <is>
          <t>주권매매거래정지              (주식의 병합, 분할 등 전자등록 변경, 말소)</t>
        </is>
      </c>
      <c r="F8338" s="3" t="inlineStr">
        <is>
          <t>코스닥시장본부</t>
        </is>
      </c>
      <c r="G8338" s="2" t="inlineStr">
        <is>
          <t>20260601901619</t>
        </is>
      </c>
      <c r="H8338" s="8">
        <f>HYPERLINK("https://dart.fss.or.kr/dsaf001/main.do?rcpNo=20260601901619", "공시열람")</f>
        <v/>
      </c>
    </row>
    <row r="8339">
      <c r="A8339" s="2" t="inlineStr">
        <is>
          <t>2026-06-01</t>
        </is>
      </c>
      <c r="B8339" s="3" t="inlineStr">
        <is>
          <t>피앤씨테크</t>
        </is>
      </c>
      <c r="C8339" s="2" t="inlineStr">
        <is>
          <t>코스닥</t>
        </is>
      </c>
      <c r="D8339" s="2" t="inlineStr">
        <is>
          <t>237750</t>
        </is>
      </c>
      <c r="E8339" s="3" t="inlineStr">
        <is>
          <t xml:space="preserve">소송등의판결ㆍ결정              </t>
        </is>
      </c>
      <c r="F8339" s="3" t="inlineStr">
        <is>
          <t>피앤씨테크</t>
        </is>
      </c>
      <c r="G8339" s="2" t="inlineStr">
        <is>
          <t>20260601901775</t>
        </is>
      </c>
      <c r="H8339" s="8">
        <f>HYPERLINK("https://dart.fss.or.kr/dsaf001/main.do?rcpNo=20260601901775", "공시열람")</f>
        <v/>
      </c>
    </row>
    <row r="8340">
      <c r="A8340" s="2" t="inlineStr">
        <is>
          <t>2026-06-01</t>
        </is>
      </c>
      <c r="B8340" s="3" t="inlineStr">
        <is>
          <t>효성 ITX</t>
        </is>
      </c>
      <c r="C8340" s="2" t="inlineStr">
        <is>
          <t>코스피</t>
        </is>
      </c>
      <c r="D8340" s="2" t="inlineStr">
        <is>
          <t>094280</t>
        </is>
      </c>
      <c r="E8340" s="3" t="inlineStr">
        <is>
          <t xml:space="preserve">기업지배구조보고서공시              </t>
        </is>
      </c>
      <c r="F8340" s="3" t="inlineStr">
        <is>
          <t>효성 ITX</t>
        </is>
      </c>
      <c r="G8340" s="2" t="inlineStr">
        <is>
          <t>20260601801767</t>
        </is>
      </c>
      <c r="H8340" s="8">
        <f>HYPERLINK("https://dart.fss.or.kr/dsaf001/main.do?rcpNo=20260601801767", "공시열람")</f>
        <v/>
      </c>
    </row>
    <row r="8341">
      <c r="A8341" s="2" t="inlineStr">
        <is>
          <t>2026-06-01</t>
        </is>
      </c>
      <c r="B8341" s="3" t="inlineStr">
        <is>
          <t>대림통상</t>
        </is>
      </c>
      <c r="C8341" s="2" t="inlineStr">
        <is>
          <t>코스피</t>
        </is>
      </c>
      <c r="D8341" s="2" t="inlineStr">
        <is>
          <t>006570</t>
        </is>
      </c>
      <c r="E8341" s="3" t="inlineStr">
        <is>
          <t xml:space="preserve">기업지배구조보고서공시              </t>
        </is>
      </c>
      <c r="F8341" s="3" t="inlineStr">
        <is>
          <t>대림통상</t>
        </is>
      </c>
      <c r="G8341" s="2" t="inlineStr">
        <is>
          <t>20260601801772</t>
        </is>
      </c>
      <c r="H8341" s="8">
        <f>HYPERLINK("https://dart.fss.or.kr/dsaf001/main.do?rcpNo=20260601801772", "공시열람")</f>
        <v/>
      </c>
    </row>
    <row r="8342">
      <c r="A8342" s="2" t="inlineStr">
        <is>
          <t>2026-06-01</t>
        </is>
      </c>
      <c r="B8342" s="3" t="inlineStr">
        <is>
          <t>JW중외제약</t>
        </is>
      </c>
      <c r="C8342" s="2" t="inlineStr">
        <is>
          <t>코스피</t>
        </is>
      </c>
      <c r="D8342" s="2" t="inlineStr">
        <is>
          <t>001060</t>
        </is>
      </c>
      <c r="E8342" s="3" t="inlineStr">
        <is>
          <t xml:space="preserve">기업지배구조보고서공시              </t>
        </is>
      </c>
      <c r="F8342" s="3" t="inlineStr">
        <is>
          <t>JW중외제약</t>
        </is>
      </c>
      <c r="G8342" s="2" t="inlineStr">
        <is>
          <t>20260601801764</t>
        </is>
      </c>
      <c r="H8342" s="8">
        <f>HYPERLINK("https://dart.fss.or.kr/dsaf001/main.do?rcpNo=20260601801764", "공시열람")</f>
        <v/>
      </c>
    </row>
    <row r="8343">
      <c r="A8343" s="2" t="inlineStr">
        <is>
          <t>2026-06-01</t>
        </is>
      </c>
      <c r="B8343" s="3" t="inlineStr">
        <is>
          <t>한국화장품</t>
        </is>
      </c>
      <c r="C8343" s="2" t="inlineStr">
        <is>
          <t>코스피</t>
        </is>
      </c>
      <c r="D8343" s="2" t="inlineStr">
        <is>
          <t>123690</t>
        </is>
      </c>
      <c r="E8343" s="3" t="inlineStr">
        <is>
          <t xml:space="preserve">기업지배구조보고서공시              </t>
        </is>
      </c>
      <c r="F8343" s="3" t="inlineStr">
        <is>
          <t>한국화장품</t>
        </is>
      </c>
      <c r="G8343" s="2" t="inlineStr">
        <is>
          <t>20260601801761</t>
        </is>
      </c>
      <c r="H8343" s="8">
        <f>HYPERLINK("https://dart.fss.or.kr/dsaf001/main.do?rcpNo=20260601801761", "공시열람")</f>
        <v/>
      </c>
    </row>
    <row r="8344">
      <c r="A8344" s="2" t="inlineStr">
        <is>
          <t>2026-06-01</t>
        </is>
      </c>
      <c r="B8344" s="3" t="inlineStr">
        <is>
          <t>케이씨</t>
        </is>
      </c>
      <c r="C8344" s="2" t="inlineStr">
        <is>
          <t>코스피</t>
        </is>
      </c>
      <c r="D8344" s="2" t="inlineStr">
        <is>
          <t>029460</t>
        </is>
      </c>
      <c r="E8344" s="3" t="inlineStr">
        <is>
          <t xml:space="preserve">기업지배구조보고서공시              </t>
        </is>
      </c>
      <c r="F8344" s="3" t="inlineStr">
        <is>
          <t>케이씨</t>
        </is>
      </c>
      <c r="G8344" s="2" t="inlineStr">
        <is>
          <t>20260601801757</t>
        </is>
      </c>
      <c r="H8344" s="8">
        <f>HYPERLINK("https://dart.fss.or.kr/dsaf001/main.do?rcpNo=20260601801757", "공시열람")</f>
        <v/>
      </c>
    </row>
    <row r="8345">
      <c r="A8345" s="2" t="inlineStr">
        <is>
          <t>2026-06-01</t>
        </is>
      </c>
      <c r="B8345" s="3" t="inlineStr">
        <is>
          <t>대림바스</t>
        </is>
      </c>
      <c r="C8345" s="2" t="inlineStr">
        <is>
          <t>코스피</t>
        </is>
      </c>
      <c r="D8345" s="2" t="inlineStr">
        <is>
          <t>005750</t>
        </is>
      </c>
      <c r="E8345" s="3" t="inlineStr">
        <is>
          <t xml:space="preserve">기업지배구조보고서공시              </t>
        </is>
      </c>
      <c r="F8345" s="3" t="inlineStr">
        <is>
          <t>대림바스</t>
        </is>
      </c>
      <c r="G8345" s="2" t="inlineStr">
        <is>
          <t>20260601801754</t>
        </is>
      </c>
      <c r="H8345" s="8">
        <f>HYPERLINK("https://dart.fss.or.kr/dsaf001/main.do?rcpNo=20260601801754", "공시열람")</f>
        <v/>
      </c>
    </row>
    <row r="8346">
      <c r="A8346" s="2" t="inlineStr">
        <is>
          <t>2026-06-01</t>
        </is>
      </c>
      <c r="B8346" s="3" t="inlineStr">
        <is>
          <t>대한조선</t>
        </is>
      </c>
      <c r="C8346" s="2" t="inlineStr">
        <is>
          <t>코스피</t>
        </is>
      </c>
      <c r="D8346" s="2" t="inlineStr">
        <is>
          <t>439260</t>
        </is>
      </c>
      <c r="E8346" s="3" t="inlineStr">
        <is>
          <t xml:space="preserve">기업지배구조보고서공시              </t>
        </is>
      </c>
      <c r="F8346" s="3" t="inlineStr">
        <is>
          <t>대한조선</t>
        </is>
      </c>
      <c r="G8346" s="2" t="inlineStr">
        <is>
          <t>20260601801744</t>
        </is>
      </c>
      <c r="H8346" s="8">
        <f>HYPERLINK("https://dart.fss.or.kr/dsaf001/main.do?rcpNo=20260601801744", "공시열람")</f>
        <v/>
      </c>
    </row>
    <row r="8347">
      <c r="A8347" s="2" t="inlineStr">
        <is>
          <t>2026-06-01</t>
        </is>
      </c>
      <c r="B8347" s="3" t="inlineStr">
        <is>
          <t>LX하우시스</t>
        </is>
      </c>
      <c r="C8347" s="2" t="inlineStr">
        <is>
          <t>코스피</t>
        </is>
      </c>
      <c r="D8347" s="2" t="inlineStr">
        <is>
          <t>108670</t>
        </is>
      </c>
      <c r="E8347" s="3" t="inlineStr">
        <is>
          <t xml:space="preserve">기업지배구조보고서공시              </t>
        </is>
      </c>
      <c r="F8347" s="3" t="inlineStr">
        <is>
          <t>LX하우시스</t>
        </is>
      </c>
      <c r="G8347" s="2" t="inlineStr">
        <is>
          <t>20260601801748</t>
        </is>
      </c>
      <c r="H8347" s="8">
        <f>HYPERLINK("https://dart.fss.or.kr/dsaf001/main.do?rcpNo=20260601801748", "공시열람")</f>
        <v/>
      </c>
    </row>
    <row r="8348">
      <c r="A8348" s="2" t="inlineStr">
        <is>
          <t>2026-06-01 (정정: 2026-06-08)</t>
        </is>
      </c>
      <c r="B8348" s="3" t="inlineStr">
        <is>
          <t>삼성공조</t>
        </is>
      </c>
      <c r="C8348" s="2" t="inlineStr">
        <is>
          <t>코스피</t>
        </is>
      </c>
      <c r="D8348" s="2" t="inlineStr">
        <is>
          <t>006660</t>
        </is>
      </c>
      <c r="E8348" s="3" t="inlineStr">
        <is>
          <t>기업지배구조보고서공시               (정정: 20260608)</t>
        </is>
      </c>
      <c r="F8348" s="3" t="inlineStr">
        <is>
          <t>삼성공조</t>
        </is>
      </c>
      <c r="G8348" s="2" t="inlineStr">
        <is>
          <t>20260608000034</t>
        </is>
      </c>
      <c r="H8348" s="8">
        <f>HYPERLINK("https://dart.fss.or.kr/dsaf001/main.do?rcpNo=20260608000034", "공시열람")</f>
        <v/>
      </c>
    </row>
    <row r="8349">
      <c r="A8349" s="2" t="inlineStr">
        <is>
          <t>2026-06-01 (정정: 2026-06-02)</t>
        </is>
      </c>
      <c r="B8349" s="3" t="inlineStr">
        <is>
          <t>키움증권</t>
        </is>
      </c>
      <c r="C8349" s="2" t="inlineStr">
        <is>
          <t>코스피</t>
        </is>
      </c>
      <c r="D8349" s="2" t="inlineStr">
        <is>
          <t>039490</t>
        </is>
      </c>
      <c r="E8349" s="3" t="inlineStr">
        <is>
          <t>증권발행실적보고서 (정정: 20260601) (정정: 20260602)</t>
        </is>
      </c>
      <c r="F8349" s="3" t="inlineStr">
        <is>
          <t>키움증권</t>
        </is>
      </c>
      <c r="G8349" s="2" t="inlineStr">
        <is>
          <t>20260602000004</t>
        </is>
      </c>
      <c r="H8349" s="8">
        <f>HYPERLINK("https://dart.fss.or.kr/dsaf001/main.do?rcpNo=20260602000004", "공시열람")</f>
        <v/>
      </c>
    </row>
    <row r="8350">
      <c r="A8350" s="2" t="inlineStr">
        <is>
          <t>2026-06-01</t>
        </is>
      </c>
      <c r="B8350" s="3" t="inlineStr">
        <is>
          <t>삼성전기</t>
        </is>
      </c>
      <c r="C8350" s="2" t="inlineStr">
        <is>
          <t>코스피</t>
        </is>
      </c>
      <c r="D8350" s="2" t="inlineStr">
        <is>
          <t>009150</t>
        </is>
      </c>
      <c r="E8350" s="3" t="inlineStr">
        <is>
          <t xml:space="preserve">기업지배구조보고서공시              </t>
        </is>
      </c>
      <c r="F8350" s="3" t="inlineStr">
        <is>
          <t>삼성전기</t>
        </is>
      </c>
      <c r="G8350" s="2" t="inlineStr">
        <is>
          <t>20260601801740</t>
        </is>
      </c>
      <c r="H8350" s="8">
        <f>HYPERLINK("https://dart.fss.or.kr/dsaf001/main.do?rcpNo=20260601801740", "공시열람")</f>
        <v/>
      </c>
    </row>
    <row r="8351">
      <c r="A8351" s="2" t="inlineStr">
        <is>
          <t>2026-06-01</t>
        </is>
      </c>
      <c r="B8351" s="3" t="inlineStr">
        <is>
          <t>케이티스카이라이프</t>
        </is>
      </c>
      <c r="C8351" s="2" t="inlineStr">
        <is>
          <t>코스피</t>
        </is>
      </c>
      <c r="D8351" s="2" t="inlineStr">
        <is>
          <t>053210</t>
        </is>
      </c>
      <c r="E8351" s="3" t="inlineStr">
        <is>
          <t>임원ㆍ주요주주특정증권등소유상황보고서</t>
        </is>
      </c>
      <c r="F8351" s="3" t="inlineStr">
        <is>
          <t>지정용</t>
        </is>
      </c>
      <c r="G8351" s="2" t="inlineStr">
        <is>
          <t>20260601001891</t>
        </is>
      </c>
      <c r="H8351" s="8">
        <f>HYPERLINK("https://dart.fss.or.kr/dsaf001/main.do?rcpNo=20260601001891", "공시열람")</f>
        <v/>
      </c>
    </row>
    <row r="8352">
      <c r="A8352" s="2" t="inlineStr">
        <is>
          <t>2026-06-01</t>
        </is>
      </c>
      <c r="B8352" s="3" t="inlineStr">
        <is>
          <t>TS인베스트먼트</t>
        </is>
      </c>
      <c r="C8352" s="2" t="inlineStr">
        <is>
          <t>코스닥</t>
        </is>
      </c>
      <c r="D8352" s="2" t="inlineStr">
        <is>
          <t>246690</t>
        </is>
      </c>
      <c r="E8352" s="3" t="inlineStr">
        <is>
          <t>임원ㆍ주요주주특정증권등소유상황보고서</t>
        </is>
      </c>
      <c r="F8352" s="3" t="inlineStr">
        <is>
          <t>변기수</t>
        </is>
      </c>
      <c r="G8352" s="2" t="inlineStr">
        <is>
          <t>20260601001887</t>
        </is>
      </c>
      <c r="H8352" s="8">
        <f>HYPERLINK("https://dart.fss.or.kr/dsaf001/main.do?rcpNo=20260601001887", "공시열람")</f>
        <v/>
      </c>
    </row>
    <row r="8353">
      <c r="A8353" s="2" t="inlineStr">
        <is>
          <t>2026-06-01</t>
        </is>
      </c>
      <c r="B8353" s="3" t="inlineStr">
        <is>
          <t>아이에스동서</t>
        </is>
      </c>
      <c r="C8353" s="2" t="inlineStr">
        <is>
          <t>코스피</t>
        </is>
      </c>
      <c r="D8353" s="2" t="inlineStr">
        <is>
          <t>010780</t>
        </is>
      </c>
      <c r="E8353" s="3" t="inlineStr">
        <is>
          <t xml:space="preserve">기업지배구조보고서공시              </t>
        </is>
      </c>
      <c r="F8353" s="3" t="inlineStr">
        <is>
          <t>아이에스동서</t>
        </is>
      </c>
      <c r="G8353" s="2" t="inlineStr">
        <is>
          <t>20260601801732</t>
        </is>
      </c>
      <c r="H8353" s="8">
        <f>HYPERLINK("https://dart.fss.or.kr/dsaf001/main.do?rcpNo=20260601801732", "공시열람")</f>
        <v/>
      </c>
    </row>
    <row r="8354">
      <c r="A8354" s="2" t="inlineStr">
        <is>
          <t>2026-06-01</t>
        </is>
      </c>
      <c r="B8354" s="3" t="inlineStr">
        <is>
          <t>이지스레지던스리츠</t>
        </is>
      </c>
      <c r="C8354" s="2" t="inlineStr">
        <is>
          <t>코스피</t>
        </is>
      </c>
      <c r="D8354" s="2" t="inlineStr">
        <is>
          <t>350520</t>
        </is>
      </c>
      <c r="E8354" s="3" t="inlineStr">
        <is>
          <t xml:space="preserve">기업지배구조보고서공시              </t>
        </is>
      </c>
      <c r="F8354" s="3" t="inlineStr">
        <is>
          <t>이지스레지던스리츠</t>
        </is>
      </c>
      <c r="G8354" s="2" t="inlineStr">
        <is>
          <t>20260601801734</t>
        </is>
      </c>
      <c r="H8354" s="8">
        <f>HYPERLINK("https://dart.fss.or.kr/dsaf001/main.do?rcpNo=20260601801734", "공시열람")</f>
        <v/>
      </c>
    </row>
    <row r="8355">
      <c r="A8355" s="2" t="inlineStr">
        <is>
          <t>2026-06-01</t>
        </is>
      </c>
      <c r="B8355" s="3" t="inlineStr">
        <is>
          <t>키움증권</t>
        </is>
      </c>
      <c r="C8355" s="2" t="inlineStr">
        <is>
          <t>코스피</t>
        </is>
      </c>
      <c r="D8355" s="2" t="inlineStr">
        <is>
          <t>039490</t>
        </is>
      </c>
      <c r="E8355" s="3" t="inlineStr">
        <is>
          <t>증권발행실적보고서</t>
        </is>
      </c>
      <c r="F8355" s="3" t="inlineStr">
        <is>
          <t>키움증권</t>
        </is>
      </c>
      <c r="G8355" s="2" t="inlineStr">
        <is>
          <t>20260601001878</t>
        </is>
      </c>
      <c r="H8355" s="8">
        <f>HYPERLINK("https://dart.fss.or.kr/dsaf001/main.do?rcpNo=20260601001878", "공시열람")</f>
        <v/>
      </c>
    </row>
    <row r="8356">
      <c r="A8356" s="2" t="inlineStr">
        <is>
          <t>2026-06-01</t>
        </is>
      </c>
      <c r="B8356" s="3" t="inlineStr">
        <is>
          <t>한국첨단소재</t>
        </is>
      </c>
      <c r="C8356" s="2" t="inlineStr">
        <is>
          <t>코스닥</t>
        </is>
      </c>
      <c r="D8356" s="2" t="inlineStr">
        <is>
          <t>062970</t>
        </is>
      </c>
      <c r="E8356" s="3" t="inlineStr">
        <is>
          <t>의결권대리행사권유참고서류</t>
        </is>
      </c>
      <c r="F8356" s="3" t="inlineStr">
        <is>
          <t>한국첨단소재</t>
        </is>
      </c>
      <c r="G8356" s="2" t="inlineStr">
        <is>
          <t>20260601001875</t>
        </is>
      </c>
      <c r="H8356" s="8">
        <f>HYPERLINK("https://dart.fss.or.kr/dsaf001/main.do?rcpNo=20260601001875", "공시열람")</f>
        <v/>
      </c>
    </row>
    <row r="8357">
      <c r="A8357" s="2" t="inlineStr">
        <is>
          <t>2026-06-01</t>
        </is>
      </c>
      <c r="B8357" s="3" t="inlineStr">
        <is>
          <t>STX</t>
        </is>
      </c>
      <c r="C8357" s="2" t="inlineStr">
        <is>
          <t>코스피</t>
        </is>
      </c>
      <c r="D8357" s="2" t="inlineStr">
        <is>
          <t>011810</t>
        </is>
      </c>
      <c r="E8357" s="3" t="inlineStr">
        <is>
          <t xml:space="preserve">기업지배구조보고서공시              </t>
        </is>
      </c>
      <c r="F8357" s="3" t="inlineStr">
        <is>
          <t>STX</t>
        </is>
      </c>
      <c r="G8357" s="2" t="inlineStr">
        <is>
          <t>20260601801725</t>
        </is>
      </c>
      <c r="H8357" s="8">
        <f>HYPERLINK("https://dart.fss.or.kr/dsaf001/main.do?rcpNo=20260601801725", "공시열람")</f>
        <v/>
      </c>
    </row>
    <row r="8358">
      <c r="A8358" s="2" t="inlineStr">
        <is>
          <t>2026-06-01</t>
        </is>
      </c>
      <c r="B8358" s="3" t="inlineStr">
        <is>
          <t>NH투자증권</t>
        </is>
      </c>
      <c r="C8358" s="2" t="inlineStr">
        <is>
          <t>코스피</t>
        </is>
      </c>
      <c r="D8358" s="2" t="inlineStr">
        <is>
          <t>005940</t>
        </is>
      </c>
      <c r="E8358" s="3" t="inlineStr">
        <is>
          <t>투자설명서(일괄신고)</t>
        </is>
      </c>
      <c r="F8358" s="3" t="inlineStr">
        <is>
          <t>NH투자증권</t>
        </is>
      </c>
      <c r="G8358" s="2" t="inlineStr">
        <is>
          <t>20260601001871</t>
        </is>
      </c>
      <c r="H8358" s="8">
        <f>HYPERLINK("https://dart.fss.or.kr/dsaf001/main.do?rcpNo=20260601001871", "공시열람")</f>
        <v/>
      </c>
    </row>
    <row r="8359">
      <c r="A8359" s="2" t="inlineStr">
        <is>
          <t>2026-06-01</t>
        </is>
      </c>
      <c r="B8359" s="3" t="inlineStr">
        <is>
          <t>E1</t>
        </is>
      </c>
      <c r="C8359" s="2" t="inlineStr">
        <is>
          <t>코스피</t>
        </is>
      </c>
      <c r="D8359" s="2" t="inlineStr">
        <is>
          <t>017940</t>
        </is>
      </c>
      <c r="E8359" s="3" t="inlineStr">
        <is>
          <t xml:space="preserve">풍문또는보도에대한해명              </t>
        </is>
      </c>
      <c r="F8359" s="3" t="inlineStr">
        <is>
          <t>E1</t>
        </is>
      </c>
      <c r="G8359" s="2" t="inlineStr">
        <is>
          <t>20260601801698</t>
        </is>
      </c>
      <c r="H8359" s="8">
        <f>HYPERLINK("https://dart.fss.or.kr/dsaf001/main.do?rcpNo=20260601801698", "공시열람")</f>
        <v/>
      </c>
    </row>
    <row r="8360">
      <c r="A8360" s="2" t="inlineStr">
        <is>
          <t>2026-06-01</t>
        </is>
      </c>
      <c r="B8360" s="3" t="inlineStr">
        <is>
          <t>미래에셋생명</t>
        </is>
      </c>
      <c r="C8360" s="2" t="inlineStr">
        <is>
          <t>코스피</t>
        </is>
      </c>
      <c r="D8360" s="2" t="inlineStr">
        <is>
          <t>085620</t>
        </is>
      </c>
      <c r="E8360" s="3" t="inlineStr">
        <is>
          <t>대규모기업집단현황공시[연1회공시및1/4분기용(개별회사)]</t>
        </is>
      </c>
      <c r="F8360" s="3" t="inlineStr">
        <is>
          <t>미래에셋생명</t>
        </is>
      </c>
      <c r="G8360" s="2" t="inlineStr">
        <is>
          <t>20260601001869</t>
        </is>
      </c>
      <c r="H8360" s="8">
        <f>HYPERLINK("https://dart.fss.or.kr/dsaf001/main.do?rcpNo=20260601001869", "공시열람")</f>
        <v/>
      </c>
    </row>
    <row r="8361">
      <c r="A8361" s="2" t="inlineStr">
        <is>
          <t>2026-06-01</t>
        </is>
      </c>
      <c r="B8361" s="3" t="inlineStr">
        <is>
          <t>삼양홀딩스</t>
        </is>
      </c>
      <c r="C8361" s="2" t="inlineStr">
        <is>
          <t>코스피</t>
        </is>
      </c>
      <c r="D8361" s="2" t="inlineStr">
        <is>
          <t>000070</t>
        </is>
      </c>
      <c r="E8361" s="3" t="inlineStr">
        <is>
          <t xml:space="preserve">기업지배구조보고서공시              </t>
        </is>
      </c>
      <c r="F8361" s="3" t="inlineStr">
        <is>
          <t>삼양홀딩스</t>
        </is>
      </c>
      <c r="G8361" s="2" t="inlineStr">
        <is>
          <t>20260601801717</t>
        </is>
      </c>
      <c r="H8361" s="8">
        <f>HYPERLINK("https://dart.fss.or.kr/dsaf001/main.do?rcpNo=20260601801717", "공시열람")</f>
        <v/>
      </c>
    </row>
    <row r="8362">
      <c r="A8362" s="2" t="inlineStr">
        <is>
          <t>2026-06-01</t>
        </is>
      </c>
      <c r="B8362" s="3" t="inlineStr">
        <is>
          <t>에이프로젠</t>
        </is>
      </c>
      <c r="C8362" s="2" t="inlineStr">
        <is>
          <t>코스피</t>
        </is>
      </c>
      <c r="D8362" s="2" t="inlineStr">
        <is>
          <t>007460</t>
        </is>
      </c>
      <c r="E8362" s="3" t="inlineStr">
        <is>
          <t xml:space="preserve">기업지배구조보고서공시              </t>
        </is>
      </c>
      <c r="F8362" s="3" t="inlineStr">
        <is>
          <t>에이프로젠</t>
        </is>
      </c>
      <c r="G8362" s="2" t="inlineStr">
        <is>
          <t>20260601801701</t>
        </is>
      </c>
      <c r="H8362" s="8">
        <f>HYPERLINK("https://dart.fss.or.kr/dsaf001/main.do?rcpNo=20260601801701", "공시열람")</f>
        <v/>
      </c>
    </row>
    <row r="8363">
      <c r="A8363" s="2" t="inlineStr">
        <is>
          <t>2026-06-01</t>
        </is>
      </c>
      <c r="B8363" s="3" t="inlineStr">
        <is>
          <t>미래에셋생명</t>
        </is>
      </c>
      <c r="C8363" s="2" t="inlineStr">
        <is>
          <t>코스피</t>
        </is>
      </c>
      <c r="D8363" s="2" t="inlineStr">
        <is>
          <t>085620</t>
        </is>
      </c>
      <c r="E8363" s="3" t="inlineStr">
        <is>
          <t>특수관계인에대한출자</t>
        </is>
      </c>
      <c r="F8363" s="3" t="inlineStr">
        <is>
          <t>미래에셋생명</t>
        </is>
      </c>
      <c r="G8363" s="2" t="inlineStr">
        <is>
          <t>20260601001866</t>
        </is>
      </c>
      <c r="H8363" s="8">
        <f>HYPERLINK("https://dart.fss.or.kr/dsaf001/main.do?rcpNo=20260601001866", "공시열람")</f>
        <v/>
      </c>
    </row>
    <row r="8364">
      <c r="A8364" s="2" t="inlineStr">
        <is>
          <t>2026-06-01</t>
        </is>
      </c>
      <c r="B8364" s="3" t="inlineStr">
        <is>
          <t>대한해운</t>
        </is>
      </c>
      <c r="C8364" s="2" t="inlineStr">
        <is>
          <t>코스피</t>
        </is>
      </c>
      <c r="D8364" s="2" t="inlineStr">
        <is>
          <t>005880</t>
        </is>
      </c>
      <c r="E8364" s="3" t="inlineStr">
        <is>
          <t>[기재정정]대규모기업집단현황공시[연1회공시및1/4분기용(대표회사)]</t>
        </is>
      </c>
      <c r="F8364" s="3" t="inlineStr">
        <is>
          <t>대한해운</t>
        </is>
      </c>
      <c r="G8364" s="2" t="inlineStr">
        <is>
          <t>20260601001865</t>
        </is>
      </c>
      <c r="H8364" s="8">
        <f>HYPERLINK("https://dart.fss.or.kr/dsaf001/main.do?rcpNo=20260601001865", "공시열람")</f>
        <v/>
      </c>
    </row>
    <row r="8365">
      <c r="A8365" s="2" t="inlineStr">
        <is>
          <t>2026-06-01</t>
        </is>
      </c>
      <c r="B8365" s="3" t="inlineStr">
        <is>
          <t>미래에셋생명</t>
        </is>
      </c>
      <c r="C8365" s="2" t="inlineStr">
        <is>
          <t>코스피</t>
        </is>
      </c>
      <c r="D8365" s="2" t="inlineStr">
        <is>
          <t>085620</t>
        </is>
      </c>
      <c r="E8365" s="3" t="inlineStr">
        <is>
          <t>특수관계인과의수익증권거래</t>
        </is>
      </c>
      <c r="F8365" s="3" t="inlineStr">
        <is>
          <t>미래에셋생명</t>
        </is>
      </c>
      <c r="G8365" s="2" t="inlineStr">
        <is>
          <t>20260601001862</t>
        </is>
      </c>
      <c r="H8365" s="8">
        <f>HYPERLINK("https://dart.fss.or.kr/dsaf001/main.do?rcpNo=20260601001862", "공시열람")</f>
        <v/>
      </c>
    </row>
    <row r="8366">
      <c r="A8366" s="2" t="inlineStr">
        <is>
          <t>2026-06-01 (정정: 2026-06-02)</t>
        </is>
      </c>
      <c r="B8366" s="3" t="inlineStr">
        <is>
          <t>쇼박스</t>
        </is>
      </c>
      <c r="C8366" s="2" t="inlineStr">
        <is>
          <t>코스닥</t>
        </is>
      </c>
      <c r="D8366" s="2" t="inlineStr">
        <is>
          <t>086980</t>
        </is>
      </c>
      <c r="E8366" s="3" t="inlineStr">
        <is>
          <t>대규모기업집단현황공시[연1회공시및1/4분기용(개별회사)] (정정: 20260602)</t>
        </is>
      </c>
      <c r="F8366" s="3" t="inlineStr">
        <is>
          <t>쇼박스</t>
        </is>
      </c>
      <c r="G8366" s="2" t="inlineStr">
        <is>
          <t>20260602000448</t>
        </is>
      </c>
      <c r="H8366" s="8">
        <f>HYPERLINK("https://dart.fss.or.kr/dsaf001/main.do?rcpNo=20260602000448", "공시열람")</f>
        <v/>
      </c>
    </row>
    <row r="8367">
      <c r="A8367" s="2" t="inlineStr">
        <is>
          <t>2026-06-01</t>
        </is>
      </c>
      <c r="B8367" s="3" t="inlineStr">
        <is>
          <t>금호에이치티</t>
        </is>
      </c>
      <c r="C8367" s="2" t="inlineStr">
        <is>
          <t>코스피</t>
        </is>
      </c>
      <c r="D8367" s="2" t="inlineStr">
        <is>
          <t>214330</t>
        </is>
      </c>
      <c r="E8367" s="3" t="inlineStr">
        <is>
          <t xml:space="preserve">기업지배구조보고서공시              </t>
        </is>
      </c>
      <c r="F8367" s="3" t="inlineStr">
        <is>
          <t>금호에이치티</t>
        </is>
      </c>
      <c r="G8367" s="2" t="inlineStr">
        <is>
          <t>20260601800815</t>
        </is>
      </c>
      <c r="H8367" s="8">
        <f>HYPERLINK("https://dart.fss.or.kr/dsaf001/main.do?rcpNo=20260601800815", "공시열람")</f>
        <v/>
      </c>
    </row>
    <row r="8368">
      <c r="A8368" s="2" t="inlineStr">
        <is>
          <t>2026-06-01</t>
        </is>
      </c>
      <c r="B8368" s="3" t="inlineStr">
        <is>
          <t>파라텍</t>
        </is>
      </c>
      <c r="C8368" s="2" t="inlineStr">
        <is>
          <t>코스닥</t>
        </is>
      </c>
      <c r="D8368" s="2" t="inlineStr">
        <is>
          <t>033540</t>
        </is>
      </c>
      <c r="E8368" s="3" t="inlineStr">
        <is>
          <t>임원ㆍ주요주주특정증권등소유상황보고서</t>
        </is>
      </c>
      <c r="F8368" s="3" t="inlineStr">
        <is>
          <t>김선복</t>
        </is>
      </c>
      <c r="G8368" s="2" t="inlineStr">
        <is>
          <t>20260601001851</t>
        </is>
      </c>
      <c r="H8368" s="8">
        <f>HYPERLINK("https://dart.fss.or.kr/dsaf001/main.do?rcpNo=20260601001851", "공시열람")</f>
        <v/>
      </c>
    </row>
    <row r="8369">
      <c r="A8369" s="2" t="inlineStr">
        <is>
          <t>2026-06-01</t>
        </is>
      </c>
      <c r="B8369" s="3" t="inlineStr">
        <is>
          <t>NH투자증권</t>
        </is>
      </c>
      <c r="C8369" s="2" t="inlineStr">
        <is>
          <t>코스피</t>
        </is>
      </c>
      <c r="D8369" s="2" t="inlineStr">
        <is>
          <t>005940</t>
        </is>
      </c>
      <c r="E8369" s="3" t="inlineStr">
        <is>
          <t>일괄신고추가서류(파생결합증권-주가연계증권)</t>
        </is>
      </c>
      <c r="F8369" s="3" t="inlineStr">
        <is>
          <t>NH투자증권</t>
        </is>
      </c>
      <c r="G8369" s="2" t="inlineStr">
        <is>
          <t>20260601001849</t>
        </is>
      </c>
      <c r="H8369" s="8">
        <f>HYPERLINK("https://dart.fss.or.kr/dsaf001/main.do?rcpNo=20260601001849", "공시열람")</f>
        <v/>
      </c>
    </row>
    <row r="8370">
      <c r="A8370" s="2" t="inlineStr">
        <is>
          <t>2026-06-01</t>
        </is>
      </c>
      <c r="B8370" s="3" t="inlineStr">
        <is>
          <t>롯데칠성음료</t>
        </is>
      </c>
      <c r="C8370" s="2" t="inlineStr">
        <is>
          <t>코스피</t>
        </is>
      </c>
      <c r="D8370" s="2" t="inlineStr">
        <is>
          <t>005300</t>
        </is>
      </c>
      <c r="E8370" s="3" t="inlineStr">
        <is>
          <t xml:space="preserve">기업지배구조보고서공시              </t>
        </is>
      </c>
      <c r="F8370" s="3" t="inlineStr">
        <is>
          <t>롯데칠성음료</t>
        </is>
      </c>
      <c r="G8370" s="2" t="inlineStr">
        <is>
          <t>20260601801671</t>
        </is>
      </c>
      <c r="H8370" s="8">
        <f>HYPERLINK("https://dart.fss.or.kr/dsaf001/main.do?rcpNo=20260601801671", "공시열람")</f>
        <v/>
      </c>
    </row>
    <row r="8371">
      <c r="A8371" s="2" t="inlineStr">
        <is>
          <t>2026-06-01</t>
        </is>
      </c>
      <c r="B8371" s="3" t="inlineStr">
        <is>
          <t>삼양바이오팜</t>
        </is>
      </c>
      <c r="C8371" s="2" t="inlineStr">
        <is>
          <t>코스피</t>
        </is>
      </c>
      <c r="D8371" s="2" t="inlineStr">
        <is>
          <t>0120G0</t>
        </is>
      </c>
      <c r="E8371" s="3" t="inlineStr">
        <is>
          <t xml:space="preserve">기업지배구조보고서공시              </t>
        </is>
      </c>
      <c r="F8371" s="3" t="inlineStr">
        <is>
          <t>삼양바이오팜</t>
        </is>
      </c>
      <c r="G8371" s="2" t="inlineStr">
        <is>
          <t>20260601801690</t>
        </is>
      </c>
      <c r="H8371" s="8">
        <f>HYPERLINK("https://dart.fss.or.kr/dsaf001/main.do?rcpNo=20260601801690", "공시열람")</f>
        <v/>
      </c>
    </row>
    <row r="8372">
      <c r="A8372" s="2" t="inlineStr">
        <is>
          <t>2026-06-01</t>
        </is>
      </c>
      <c r="B8372" s="3" t="inlineStr">
        <is>
          <t>대양금속</t>
        </is>
      </c>
      <c r="C8372" s="2" t="inlineStr">
        <is>
          <t>코스피</t>
        </is>
      </c>
      <c r="D8372" s="2" t="inlineStr">
        <is>
          <t>009190</t>
        </is>
      </c>
      <c r="E8372" s="3" t="inlineStr">
        <is>
          <t xml:space="preserve">기업지배구조보고서공시              </t>
        </is>
      </c>
      <c r="F8372" s="3" t="inlineStr">
        <is>
          <t>대양금속</t>
        </is>
      </c>
      <c r="G8372" s="2" t="inlineStr">
        <is>
          <t>20260601801695</t>
        </is>
      </c>
      <c r="H8372" s="8">
        <f>HYPERLINK("https://dart.fss.or.kr/dsaf001/main.do?rcpNo=20260601801695", "공시열람")</f>
        <v/>
      </c>
    </row>
    <row r="8373">
      <c r="A8373" s="2" t="inlineStr">
        <is>
          <t>2026-06-01</t>
        </is>
      </c>
      <c r="B8373" s="3" t="inlineStr">
        <is>
          <t>태양금속공업</t>
        </is>
      </c>
      <c r="C8373" s="2" t="inlineStr">
        <is>
          <t>코스피</t>
        </is>
      </c>
      <c r="D8373" s="2" t="inlineStr">
        <is>
          <t>004100</t>
        </is>
      </c>
      <c r="E8373" s="3" t="inlineStr">
        <is>
          <t xml:space="preserve">기업지배구조보고서공시              </t>
        </is>
      </c>
      <c r="F8373" s="3" t="inlineStr">
        <is>
          <t>태양금속공업</t>
        </is>
      </c>
      <c r="G8373" s="2" t="inlineStr">
        <is>
          <t>20260601800664</t>
        </is>
      </c>
      <c r="H8373" s="8">
        <f>HYPERLINK("https://dart.fss.or.kr/dsaf001/main.do?rcpNo=20260601800664", "공시열람")</f>
        <v/>
      </c>
    </row>
    <row r="8374">
      <c r="A8374" s="2" t="inlineStr">
        <is>
          <t>2026-06-01</t>
        </is>
      </c>
      <c r="B8374" s="3" t="inlineStr">
        <is>
          <t>PKC</t>
        </is>
      </c>
      <c r="C8374" s="2" t="inlineStr">
        <is>
          <t>코스피</t>
        </is>
      </c>
      <c r="D8374" s="2" t="inlineStr">
        <is>
          <t>001340</t>
        </is>
      </c>
      <c r="E8374" s="3" t="inlineStr">
        <is>
          <t xml:space="preserve">전환가액ㆍ신주인수권행사가액ㆍ교환가액의조정(안내공시)              </t>
        </is>
      </c>
      <c r="F8374" s="3" t="inlineStr">
        <is>
          <t>PKC</t>
        </is>
      </c>
      <c r="G8374" s="2" t="inlineStr">
        <is>
          <t>20260601801677</t>
        </is>
      </c>
      <c r="H8374" s="8">
        <f>HYPERLINK("https://dart.fss.or.kr/dsaf001/main.do?rcpNo=20260601801677", "공시열람")</f>
        <v/>
      </c>
    </row>
    <row r="8375">
      <c r="A8375" s="2" t="inlineStr">
        <is>
          <t>2026-06-01</t>
        </is>
      </c>
      <c r="B8375" s="3" t="inlineStr">
        <is>
          <t>파라텍</t>
        </is>
      </c>
      <c r="C8375" s="2" t="inlineStr">
        <is>
          <t>코스닥</t>
        </is>
      </c>
      <c r="D8375" s="2" t="inlineStr">
        <is>
          <t>033540</t>
        </is>
      </c>
      <c r="E8375" s="3" t="inlineStr">
        <is>
          <t>임원ㆍ주요주주특정증권등소유상황보고서</t>
        </is>
      </c>
      <c r="F8375" s="3" t="inlineStr">
        <is>
          <t>박선기</t>
        </is>
      </c>
      <c r="G8375" s="2" t="inlineStr">
        <is>
          <t>20260601001845</t>
        </is>
      </c>
      <c r="H8375" s="8">
        <f>HYPERLINK("https://dart.fss.or.kr/dsaf001/main.do?rcpNo=20260601001845", "공시열람")</f>
        <v/>
      </c>
    </row>
    <row r="8376">
      <c r="A8376" s="2" t="inlineStr">
        <is>
          <t>2026-06-01</t>
        </is>
      </c>
      <c r="B8376" s="3" t="inlineStr">
        <is>
          <t>오리온</t>
        </is>
      </c>
      <c r="C8376" s="2" t="inlineStr">
        <is>
          <t>코스피</t>
        </is>
      </c>
      <c r="D8376" s="2" t="inlineStr">
        <is>
          <t>271560</t>
        </is>
      </c>
      <c r="E8376" s="3" t="inlineStr">
        <is>
          <t>대규모기업집단현황공시[연1회공시및1/4분기용(개별회사)]</t>
        </is>
      </c>
      <c r="F8376" s="3" t="inlineStr">
        <is>
          <t>오리온</t>
        </is>
      </c>
      <c r="G8376" s="2" t="inlineStr">
        <is>
          <t>20260601001843</t>
        </is>
      </c>
      <c r="H8376" s="8">
        <f>HYPERLINK("https://dart.fss.or.kr/dsaf001/main.do?rcpNo=20260601001843", "공시열람")</f>
        <v/>
      </c>
    </row>
    <row r="8377">
      <c r="A8377" s="2" t="inlineStr">
        <is>
          <t>2026-06-01</t>
        </is>
      </c>
      <c r="B8377" s="3" t="inlineStr">
        <is>
          <t>LG씨엔에스</t>
        </is>
      </c>
      <c r="C8377" s="2" t="inlineStr">
        <is>
          <t>코스피</t>
        </is>
      </c>
      <c r="D8377" s="2" t="inlineStr">
        <is>
          <t>064400</t>
        </is>
      </c>
      <c r="E8377" s="3" t="inlineStr">
        <is>
          <t xml:space="preserve">기업설명회(IR)개최(안내공시)              </t>
        </is>
      </c>
      <c r="F8377" s="3" t="inlineStr">
        <is>
          <t>LG씨엔에스</t>
        </is>
      </c>
      <c r="G8377" s="2" t="inlineStr">
        <is>
          <t>20260601801674</t>
        </is>
      </c>
      <c r="H8377" s="8">
        <f>HYPERLINK("https://dart.fss.or.kr/dsaf001/main.do?rcpNo=20260601801674", "공시열람")</f>
        <v/>
      </c>
    </row>
    <row r="8378">
      <c r="A8378" s="2" t="inlineStr">
        <is>
          <t>2026-06-01</t>
        </is>
      </c>
      <c r="B8378" s="3" t="inlineStr">
        <is>
          <t>유한양행</t>
        </is>
      </c>
      <c r="C8378" s="2" t="inlineStr">
        <is>
          <t>코스피</t>
        </is>
      </c>
      <c r="D8378" s="2" t="inlineStr">
        <is>
          <t>000100</t>
        </is>
      </c>
      <c r="E8378" s="3" t="inlineStr">
        <is>
          <t>임원ㆍ주요주주특정증권등소유상황보고서</t>
        </is>
      </c>
      <c r="F8378" s="3" t="inlineStr">
        <is>
          <t>이병만</t>
        </is>
      </c>
      <c r="G8378" s="2" t="inlineStr">
        <is>
          <t>20260601001839</t>
        </is>
      </c>
      <c r="H8378" s="8">
        <f>HYPERLINK("https://dart.fss.or.kr/dsaf001/main.do?rcpNo=20260601001839", "공시열람")</f>
        <v/>
      </c>
    </row>
    <row r="8379">
      <c r="A8379" s="2" t="inlineStr">
        <is>
          <t>2026-06-01</t>
        </is>
      </c>
      <c r="B8379" s="3" t="inlineStr">
        <is>
          <t>타조이엔터테인먼트</t>
        </is>
      </c>
      <c r="C8379" s="2" t="inlineStr">
        <is>
          <t>코넥스</t>
        </is>
      </c>
      <c r="D8379" s="2" t="inlineStr">
        <is>
          <t>476710</t>
        </is>
      </c>
      <c r="E8379" s="3" t="inlineStr">
        <is>
          <t xml:space="preserve">기업설명회(IR)개최결과              </t>
        </is>
      </c>
      <c r="F8379" s="3" t="inlineStr">
        <is>
          <t>타조이엔터테인먼트</t>
        </is>
      </c>
      <c r="G8379" s="2" t="inlineStr">
        <is>
          <t>20260601601610</t>
        </is>
      </c>
      <c r="H8379" s="8">
        <f>HYPERLINK("https://dart.fss.or.kr/dsaf001/main.do?rcpNo=20260601601610", "공시열람")</f>
        <v/>
      </c>
    </row>
    <row r="8380">
      <c r="A8380" s="2" t="inlineStr">
        <is>
          <t>2026-06-01 (정정: 2026-06-12)</t>
        </is>
      </c>
      <c r="B8380" s="3" t="inlineStr">
        <is>
          <t>무림P&amp;P</t>
        </is>
      </c>
      <c r="C8380" s="2" t="inlineStr">
        <is>
          <t>코스피</t>
        </is>
      </c>
      <c r="D8380" s="2" t="inlineStr">
        <is>
          <t>009580</t>
        </is>
      </c>
      <c r="E8380" s="3" t="inlineStr">
        <is>
          <t>기업지배구조보고서공시               (정정: 20260612)</t>
        </is>
      </c>
      <c r="F8380" s="3" t="inlineStr">
        <is>
          <t>무림P&amp;P</t>
        </is>
      </c>
      <c r="G8380" s="2" t="inlineStr">
        <is>
          <t>20260612801048</t>
        </is>
      </c>
      <c r="H8380" s="8">
        <f>HYPERLINK("https://dart.fss.or.kr/dsaf001/main.do?rcpNo=20260612801048", "공시열람")</f>
        <v/>
      </c>
    </row>
    <row r="8381">
      <c r="A8381" s="2" t="inlineStr">
        <is>
          <t>2026-06-01</t>
        </is>
      </c>
      <c r="B8381" s="3" t="inlineStr">
        <is>
          <t>삼성SDI</t>
        </is>
      </c>
      <c r="C8381" s="2" t="inlineStr">
        <is>
          <t>코스피</t>
        </is>
      </c>
      <c r="D8381" s="2" t="inlineStr">
        <is>
          <t>006400</t>
        </is>
      </c>
      <c r="E8381" s="3" t="inlineStr">
        <is>
          <t xml:space="preserve">기업지배구조보고서공시              </t>
        </is>
      </c>
      <c r="F8381" s="3" t="inlineStr">
        <is>
          <t>삼성SDI</t>
        </is>
      </c>
      <c r="G8381" s="2" t="inlineStr">
        <is>
          <t>20260601801676</t>
        </is>
      </c>
      <c r="H8381" s="8">
        <f>HYPERLINK("https://dart.fss.or.kr/dsaf001/main.do?rcpNo=20260601801676", "공시열람")</f>
        <v/>
      </c>
    </row>
    <row r="8382">
      <c r="A8382" s="2" t="inlineStr">
        <is>
          <t>2026-06-01</t>
        </is>
      </c>
      <c r="B8382" s="3" t="inlineStr">
        <is>
          <t>젬백스</t>
        </is>
      </c>
      <c r="C8382" s="2" t="inlineStr">
        <is>
          <t>코스닥</t>
        </is>
      </c>
      <c r="D8382" s="2" t="inlineStr">
        <is>
          <t>082270</t>
        </is>
      </c>
      <c r="E8382" s="3" t="inlineStr">
        <is>
          <t xml:space="preserve">증권발행결과(자율공시)              </t>
        </is>
      </c>
      <c r="F8382" s="3" t="inlineStr">
        <is>
          <t>젬백스</t>
        </is>
      </c>
      <c r="G8382" s="2" t="inlineStr">
        <is>
          <t>20260601901682</t>
        </is>
      </c>
      <c r="H8382" s="8">
        <f>HYPERLINK("https://dart.fss.or.kr/dsaf001/main.do?rcpNo=20260601901682", "공시열람")</f>
        <v/>
      </c>
    </row>
    <row r="8383">
      <c r="A8383" s="2" t="inlineStr">
        <is>
          <t>2026-06-01</t>
        </is>
      </c>
      <c r="B8383" s="3" t="inlineStr">
        <is>
          <t>에이플러스에셋</t>
        </is>
      </c>
      <c r="C8383" s="2" t="inlineStr">
        <is>
          <t>코스피</t>
        </is>
      </c>
      <c r="D8383" s="2" t="inlineStr">
        <is>
          <t>244920</t>
        </is>
      </c>
      <c r="E8383" s="3" t="inlineStr">
        <is>
          <t xml:space="preserve">기업지배구조보고서공시              </t>
        </is>
      </c>
      <c r="F8383" s="3" t="inlineStr">
        <is>
          <t>에이플러스에셋</t>
        </is>
      </c>
      <c r="G8383" s="2" t="inlineStr">
        <is>
          <t>20260601801613</t>
        </is>
      </c>
      <c r="H8383" s="8">
        <f>HYPERLINK("https://dart.fss.or.kr/dsaf001/main.do?rcpNo=20260601801613", "공시열람")</f>
        <v/>
      </c>
    </row>
    <row r="8384">
      <c r="A8384" s="2" t="inlineStr">
        <is>
          <t>2026-06-01</t>
        </is>
      </c>
      <c r="B8384" s="3" t="inlineStr">
        <is>
          <t>부광약품</t>
        </is>
      </c>
      <c r="C8384" s="2" t="inlineStr">
        <is>
          <t>코스피</t>
        </is>
      </c>
      <c r="D8384" s="2" t="inlineStr">
        <is>
          <t>003000</t>
        </is>
      </c>
      <c r="E8384" s="3" t="inlineStr">
        <is>
          <t xml:space="preserve">기업지배구조보고서공시              </t>
        </is>
      </c>
      <c r="F8384" s="3" t="inlineStr">
        <is>
          <t>부광약품</t>
        </is>
      </c>
      <c r="G8384" s="2" t="inlineStr">
        <is>
          <t>20260601801629</t>
        </is>
      </c>
      <c r="H8384" s="8">
        <f>HYPERLINK("https://dart.fss.or.kr/dsaf001/main.do?rcpNo=20260601801629", "공시열람")</f>
        <v/>
      </c>
    </row>
    <row r="8385">
      <c r="A8385" s="2" t="inlineStr">
        <is>
          <t>2026-06-01</t>
        </is>
      </c>
      <c r="B8385" s="3" t="inlineStr">
        <is>
          <t>SJG세종</t>
        </is>
      </c>
      <c r="C8385" s="2" t="inlineStr">
        <is>
          <t>코스피</t>
        </is>
      </c>
      <c r="D8385" s="2" t="inlineStr">
        <is>
          <t>033530</t>
        </is>
      </c>
      <c r="E8385" s="3" t="inlineStr">
        <is>
          <t xml:space="preserve">기업지배구조보고서공시              </t>
        </is>
      </c>
      <c r="F8385" s="3" t="inlineStr">
        <is>
          <t>SJG세종</t>
        </is>
      </c>
      <c r="G8385" s="2" t="inlineStr">
        <is>
          <t>20260601801624</t>
        </is>
      </c>
      <c r="H8385" s="8">
        <f>HYPERLINK("https://dart.fss.or.kr/dsaf001/main.do?rcpNo=20260601801624", "공시열람")</f>
        <v/>
      </c>
    </row>
    <row r="8386">
      <c r="A8386" s="2" t="inlineStr">
        <is>
          <t>2026-06-01 (정정: 2026-06-12)</t>
        </is>
      </c>
      <c r="B8386" s="3" t="inlineStr">
        <is>
          <t>무림페이퍼</t>
        </is>
      </c>
      <c r="C8386" s="2" t="inlineStr">
        <is>
          <t>코스피</t>
        </is>
      </c>
      <c r="D8386" s="2" t="inlineStr">
        <is>
          <t>009200</t>
        </is>
      </c>
      <c r="E8386" s="3" t="inlineStr">
        <is>
          <t>기업지배구조보고서공시               (정정: 20260612)</t>
        </is>
      </c>
      <c r="F8386" s="3" t="inlineStr">
        <is>
          <t>무림페이퍼</t>
        </is>
      </c>
      <c r="G8386" s="2" t="inlineStr">
        <is>
          <t>20260612801081</t>
        </is>
      </c>
      <c r="H8386" s="8">
        <f>HYPERLINK("https://dart.fss.or.kr/dsaf001/main.do?rcpNo=20260612801081", "공시열람")</f>
        <v/>
      </c>
    </row>
    <row r="8387">
      <c r="A8387" s="2" t="inlineStr">
        <is>
          <t>2026-06-01</t>
        </is>
      </c>
      <c r="B8387" s="3" t="inlineStr">
        <is>
          <t>엘앤에프</t>
        </is>
      </c>
      <c r="C8387" s="2" t="inlineStr">
        <is>
          <t>코스피</t>
        </is>
      </c>
      <c r="D8387" s="2" t="inlineStr">
        <is>
          <t>066970</t>
        </is>
      </c>
      <c r="E8387" s="3" t="inlineStr">
        <is>
          <t xml:space="preserve">기업지배구조보고서공시              </t>
        </is>
      </c>
      <c r="F8387" s="3" t="inlineStr">
        <is>
          <t>엘앤에프</t>
        </is>
      </c>
      <c r="G8387" s="2" t="inlineStr">
        <is>
          <t>20260601801625</t>
        </is>
      </c>
      <c r="H8387" s="8">
        <f>HYPERLINK("https://dart.fss.or.kr/dsaf001/main.do?rcpNo=20260601801625", "공시열람")</f>
        <v/>
      </c>
    </row>
    <row r="8388">
      <c r="A8388" s="2" t="inlineStr">
        <is>
          <t>2026-06-01 (정정: 2026-06-17)</t>
        </is>
      </c>
      <c r="B8388" s="3" t="inlineStr">
        <is>
          <t>동화약품</t>
        </is>
      </c>
      <c r="C8388" s="2" t="inlineStr">
        <is>
          <t>코스피</t>
        </is>
      </c>
      <c r="D8388" s="2" t="inlineStr">
        <is>
          <t>000020</t>
        </is>
      </c>
      <c r="E8388" s="3" t="inlineStr">
        <is>
          <t>기업지배구조보고서공시               (정정: 20260617)</t>
        </is>
      </c>
      <c r="F8388" s="3" t="inlineStr">
        <is>
          <t>동화약품</t>
        </is>
      </c>
      <c r="G8388" s="2" t="inlineStr">
        <is>
          <t>20260617000496</t>
        </is>
      </c>
      <c r="H8388" s="8">
        <f>HYPERLINK("https://dart.fss.or.kr/dsaf001/main.do?rcpNo=20260617000496", "공시열람")</f>
        <v/>
      </c>
    </row>
    <row r="8389">
      <c r="A8389" s="2" t="inlineStr">
        <is>
          <t>2026-06-01</t>
        </is>
      </c>
      <c r="B8389" s="3" t="inlineStr">
        <is>
          <t>동화기업</t>
        </is>
      </c>
      <c r="C8389" s="2" t="inlineStr">
        <is>
          <t>코스닥</t>
        </is>
      </c>
      <c r="D8389" s="2" t="inlineStr">
        <is>
          <t>025900</t>
        </is>
      </c>
      <c r="E8389" s="3" t="inlineStr">
        <is>
          <t>증권발행실적보고서</t>
        </is>
      </c>
      <c r="F8389" s="3" t="inlineStr">
        <is>
          <t>동화기업</t>
        </is>
      </c>
      <c r="G8389" s="2" t="inlineStr">
        <is>
          <t>20260601001821</t>
        </is>
      </c>
      <c r="H8389" s="8">
        <f>HYPERLINK("https://dart.fss.or.kr/dsaf001/main.do?rcpNo=20260601001821", "공시열람")</f>
        <v/>
      </c>
    </row>
    <row r="8390">
      <c r="A8390" s="2" t="inlineStr">
        <is>
          <t>2026-06-01</t>
        </is>
      </c>
      <c r="B8390" s="3" t="inlineStr">
        <is>
          <t>이노션</t>
        </is>
      </c>
      <c r="C8390" s="2" t="inlineStr">
        <is>
          <t>코스피</t>
        </is>
      </c>
      <c r="D8390" s="2" t="inlineStr">
        <is>
          <t>214320</t>
        </is>
      </c>
      <c r="E8390" s="3" t="inlineStr">
        <is>
          <t xml:space="preserve">기업지배구조보고서공시              </t>
        </is>
      </c>
      <c r="F8390" s="3" t="inlineStr">
        <is>
          <t>이노션</t>
        </is>
      </c>
      <c r="G8390" s="2" t="inlineStr">
        <is>
          <t>20260601801612</t>
        </is>
      </c>
      <c r="H8390" s="8">
        <f>HYPERLINK("https://dart.fss.or.kr/dsaf001/main.do?rcpNo=20260601801612", "공시열람")</f>
        <v/>
      </c>
    </row>
    <row r="8391">
      <c r="A8391" s="2" t="inlineStr">
        <is>
          <t>2026-06-01</t>
        </is>
      </c>
      <c r="B8391" s="3" t="inlineStr">
        <is>
          <t>풍산홀딩스</t>
        </is>
      </c>
      <c r="C8391" s="2" t="inlineStr">
        <is>
          <t>코스피</t>
        </is>
      </c>
      <c r="D8391" s="2" t="inlineStr">
        <is>
          <t>005810</t>
        </is>
      </c>
      <c r="E8391" s="3" t="inlineStr">
        <is>
          <t xml:space="preserve">기업지배구조보고서공시              </t>
        </is>
      </c>
      <c r="F8391" s="3" t="inlineStr">
        <is>
          <t>풍산홀딩스</t>
        </is>
      </c>
      <c r="G8391" s="2" t="inlineStr">
        <is>
          <t>20260601801609</t>
        </is>
      </c>
      <c r="H8391" s="8">
        <f>HYPERLINK("https://dart.fss.or.kr/dsaf001/main.do?rcpNo=20260601801609", "공시열람")</f>
        <v/>
      </c>
    </row>
    <row r="8392">
      <c r="A8392" s="2" t="inlineStr">
        <is>
          <t>2026-06-01</t>
        </is>
      </c>
      <c r="B8392" s="3" t="inlineStr">
        <is>
          <t>유티아이</t>
        </is>
      </c>
      <c r="C8392" s="2" t="inlineStr">
        <is>
          <t>코스닥</t>
        </is>
      </c>
      <c r="D8392" s="2" t="inlineStr">
        <is>
          <t>179900</t>
        </is>
      </c>
      <c r="E8392" s="3" t="inlineStr">
        <is>
          <t>전환사채(해외전환사채포함)발행후만기전사채취득              (제1회차)</t>
        </is>
      </c>
      <c r="F8392" s="3" t="inlineStr">
        <is>
          <t>유티아이</t>
        </is>
      </c>
      <c r="G8392" s="2" t="inlineStr">
        <is>
          <t>20260601901560</t>
        </is>
      </c>
      <c r="H8392" s="8">
        <f>HYPERLINK("https://dart.fss.or.kr/dsaf001/main.do?rcpNo=20260601901560", "공시열람")</f>
        <v/>
      </c>
    </row>
    <row r="8393">
      <c r="A8393" s="2" t="inlineStr">
        <is>
          <t>2026-06-01</t>
        </is>
      </c>
      <c r="B8393" s="3" t="inlineStr">
        <is>
          <t>티와이홀딩스</t>
        </is>
      </c>
      <c r="C8393" s="2" t="inlineStr">
        <is>
          <t>코스피</t>
        </is>
      </c>
      <c r="D8393" s="2" t="inlineStr">
        <is>
          <t>363280</t>
        </is>
      </c>
      <c r="E8393" s="3" t="inlineStr">
        <is>
          <t xml:space="preserve">기업지배구조보고서공시              </t>
        </is>
      </c>
      <c r="F8393" s="3" t="inlineStr">
        <is>
          <t>티와이홀딩스</t>
        </is>
      </c>
      <c r="G8393" s="2" t="inlineStr">
        <is>
          <t>20260601801615</t>
        </is>
      </c>
      <c r="H8393" s="8">
        <f>HYPERLINK("https://dart.fss.or.kr/dsaf001/main.do?rcpNo=20260601801615", "공시열람")</f>
        <v/>
      </c>
    </row>
    <row r="8394">
      <c r="A8394" s="2" t="inlineStr">
        <is>
          <t>2026-06-01</t>
        </is>
      </c>
      <c r="B8394" s="3" t="inlineStr">
        <is>
          <t>교보증권</t>
        </is>
      </c>
      <c r="C8394" s="2" t="inlineStr">
        <is>
          <t>코스피</t>
        </is>
      </c>
      <c r="D8394" s="2" t="inlineStr">
        <is>
          <t>030610</t>
        </is>
      </c>
      <c r="E8394" s="3" t="inlineStr">
        <is>
          <t>주요사항보고서(소송등의제기)</t>
        </is>
      </c>
      <c r="F8394" s="3" t="inlineStr">
        <is>
          <t>교보증권</t>
        </is>
      </c>
      <c r="G8394" s="2" t="inlineStr">
        <is>
          <t>20260601001737</t>
        </is>
      </c>
      <c r="H8394" s="8">
        <f>HYPERLINK("https://dart.fss.or.kr/dsaf001/main.do?rcpNo=20260601001737", "공시열람")</f>
        <v/>
      </c>
    </row>
    <row r="8395">
      <c r="A8395" s="2" t="inlineStr">
        <is>
          <t>2026-06-01</t>
        </is>
      </c>
      <c r="B8395" s="3" t="inlineStr">
        <is>
          <t>한양증권</t>
        </is>
      </c>
      <c r="C8395" s="2" t="inlineStr">
        <is>
          <t>코스피</t>
        </is>
      </c>
      <c r="D8395" s="2" t="inlineStr">
        <is>
          <t>001750</t>
        </is>
      </c>
      <c r="E8395" s="3" t="inlineStr">
        <is>
          <t xml:space="preserve">기업지배구조보고서공시              </t>
        </is>
      </c>
      <c r="F8395" s="3" t="inlineStr">
        <is>
          <t>한양증권</t>
        </is>
      </c>
      <c r="G8395" s="2" t="inlineStr">
        <is>
          <t>20260601801607</t>
        </is>
      </c>
      <c r="H8395" s="8">
        <f>HYPERLINK("https://dart.fss.or.kr/dsaf001/main.do?rcpNo=20260601801607", "공시열람")</f>
        <v/>
      </c>
    </row>
    <row r="8396">
      <c r="A8396" s="2" t="inlineStr">
        <is>
          <t>2026-06-01</t>
        </is>
      </c>
      <c r="B8396" s="3" t="inlineStr">
        <is>
          <t>아시아나항공</t>
        </is>
      </c>
      <c r="C8396" s="2" t="inlineStr">
        <is>
          <t>코스피</t>
        </is>
      </c>
      <c r="D8396" s="2" t="inlineStr">
        <is>
          <t>020560</t>
        </is>
      </c>
      <c r="E8396" s="3" t="inlineStr">
        <is>
          <t xml:space="preserve">기업지배구조보고서공시              </t>
        </is>
      </c>
      <c r="F8396" s="3" t="inlineStr">
        <is>
          <t>아시아나항공</t>
        </is>
      </c>
      <c r="G8396" s="2" t="inlineStr">
        <is>
          <t>20260601801590</t>
        </is>
      </c>
      <c r="H8396" s="8">
        <f>HYPERLINK("https://dart.fss.or.kr/dsaf001/main.do?rcpNo=20260601801590", "공시열람")</f>
        <v/>
      </c>
    </row>
    <row r="8397">
      <c r="A8397" s="2" t="inlineStr">
        <is>
          <t>2026-06-01</t>
        </is>
      </c>
      <c r="B8397" s="3" t="inlineStr">
        <is>
          <t>미래에셋벤처투자</t>
        </is>
      </c>
      <c r="C8397" s="2" t="inlineStr">
        <is>
          <t>코스닥</t>
        </is>
      </c>
      <c r="D8397" s="2" t="inlineStr">
        <is>
          <t>100790</t>
        </is>
      </c>
      <c r="E8397" s="3" t="inlineStr">
        <is>
          <t>대규모기업집단현황공시[연1회공시및1/4분기용(개별회사)]</t>
        </is>
      </c>
      <c r="F8397" s="3" t="inlineStr">
        <is>
          <t>미래에셋벤처투자</t>
        </is>
      </c>
      <c r="G8397" s="2" t="inlineStr">
        <is>
          <t>20260601001805</t>
        </is>
      </c>
      <c r="H8397" s="8">
        <f>HYPERLINK("https://dart.fss.or.kr/dsaf001/main.do?rcpNo=20260601001805", "공시열람")</f>
        <v/>
      </c>
    </row>
    <row r="8398">
      <c r="A8398" s="2" t="inlineStr">
        <is>
          <t>2026-06-01</t>
        </is>
      </c>
      <c r="B8398" s="3" t="inlineStr">
        <is>
          <t>율촌</t>
        </is>
      </c>
      <c r="C8398" s="2" t="inlineStr">
        <is>
          <t>코스닥</t>
        </is>
      </c>
      <c r="D8398" s="2" t="inlineStr">
        <is>
          <t>146060</t>
        </is>
      </c>
      <c r="E8398" s="3" t="inlineStr">
        <is>
          <t>증권발행결과(자율공시)              (제7회차 CB)</t>
        </is>
      </c>
      <c r="F8398" s="3" t="inlineStr">
        <is>
          <t>율촌</t>
        </is>
      </c>
      <c r="G8398" s="2" t="inlineStr">
        <is>
          <t>20260601901588</t>
        </is>
      </c>
      <c r="H8398" s="8">
        <f>HYPERLINK("https://dart.fss.or.kr/dsaf001/main.do?rcpNo=20260601901588", "공시열람")</f>
        <v/>
      </c>
    </row>
    <row r="8399">
      <c r="A8399" s="2" t="inlineStr">
        <is>
          <t>2026-06-01</t>
        </is>
      </c>
      <c r="B8399" s="3" t="inlineStr">
        <is>
          <t>디와이에이</t>
        </is>
      </c>
      <c r="C8399" s="2" t="inlineStr">
        <is>
          <t>코스피</t>
        </is>
      </c>
      <c r="D8399" s="2" t="inlineStr">
        <is>
          <t>002880</t>
        </is>
      </c>
      <c r="E8399" s="3" t="inlineStr">
        <is>
          <t xml:space="preserve">기업지배구조보고서공시              </t>
        </is>
      </c>
      <c r="F8399" s="3" t="inlineStr">
        <is>
          <t>디와이에이</t>
        </is>
      </c>
      <c r="G8399" s="2" t="inlineStr">
        <is>
          <t>20260601801595</t>
        </is>
      </c>
      <c r="H8399" s="8">
        <f>HYPERLINK("https://dart.fss.or.kr/dsaf001/main.do?rcpNo=20260601801595", "공시열람")</f>
        <v/>
      </c>
    </row>
    <row r="8400">
      <c r="A8400" s="2" t="inlineStr">
        <is>
          <t>2026-06-01 (정정: 2026-06-01)</t>
        </is>
      </c>
      <c r="B8400" s="3" t="inlineStr">
        <is>
          <t>페이퍼코리아</t>
        </is>
      </c>
      <c r="C8400" s="2" t="inlineStr">
        <is>
          <t>코스피</t>
        </is>
      </c>
      <c r="D8400" s="2" t="inlineStr">
        <is>
          <t>001020</t>
        </is>
      </c>
      <c r="E8400" s="3" t="inlineStr">
        <is>
          <t>기업지배구조보고서공시               (정정: 20260601)</t>
        </is>
      </c>
      <c r="F8400" s="3" t="inlineStr">
        <is>
          <t>페이퍼코리아</t>
        </is>
      </c>
      <c r="G8400" s="2" t="inlineStr">
        <is>
          <t>20260601801350</t>
        </is>
      </c>
      <c r="H8400" s="8">
        <f>HYPERLINK("https://dart.fss.or.kr/dsaf001/main.do?rcpNo=20260601801350", "공시열람")</f>
        <v/>
      </c>
    </row>
    <row r="8401">
      <c r="A8401" s="2" t="inlineStr">
        <is>
          <t>2026-06-01</t>
        </is>
      </c>
      <c r="B8401" s="3" t="inlineStr">
        <is>
          <t>롯데이노베이트</t>
        </is>
      </c>
      <c r="C8401" s="2" t="inlineStr">
        <is>
          <t>코스피</t>
        </is>
      </c>
      <c r="D8401" s="2" t="inlineStr">
        <is>
          <t>286940</t>
        </is>
      </c>
      <c r="E8401" s="3" t="inlineStr">
        <is>
          <t xml:space="preserve">기업지배구조보고서공시              </t>
        </is>
      </c>
      <c r="F8401" s="3" t="inlineStr">
        <is>
          <t>롯데이노베이트</t>
        </is>
      </c>
      <c r="G8401" s="2" t="inlineStr">
        <is>
          <t>20260601801562</t>
        </is>
      </c>
      <c r="H8401" s="8">
        <f>HYPERLINK("https://dart.fss.or.kr/dsaf001/main.do?rcpNo=20260601801562", "공시열람")</f>
        <v/>
      </c>
    </row>
    <row r="8402">
      <c r="A8402" s="2" t="inlineStr">
        <is>
          <t>2026-06-01</t>
        </is>
      </c>
      <c r="B8402" s="3" t="inlineStr">
        <is>
          <t>더라미</t>
        </is>
      </c>
      <c r="C8402" s="2" t="inlineStr">
        <is>
          <t>코스닥</t>
        </is>
      </c>
      <c r="D8402" s="2" t="inlineStr">
        <is>
          <t>032860</t>
        </is>
      </c>
      <c r="E8402" s="3" t="inlineStr">
        <is>
          <t xml:space="preserve">주주명부폐쇄기간또는기준일설정              </t>
        </is>
      </c>
      <c r="F8402" s="3" t="inlineStr">
        <is>
          <t>더라미</t>
        </is>
      </c>
      <c r="G8402" s="2" t="inlineStr">
        <is>
          <t>20260601901544</t>
        </is>
      </c>
      <c r="H8402" s="8">
        <f>HYPERLINK("https://dart.fss.or.kr/dsaf001/main.do?rcpNo=20260601901544", "공시열람")</f>
        <v/>
      </c>
    </row>
    <row r="8403">
      <c r="A8403" s="2" t="inlineStr">
        <is>
          <t>2026-06-01</t>
        </is>
      </c>
      <c r="B8403" s="3" t="inlineStr">
        <is>
          <t>더라미</t>
        </is>
      </c>
      <c r="C8403" s="2" t="inlineStr">
        <is>
          <t>코스닥</t>
        </is>
      </c>
      <c r="D8403" s="2" t="inlineStr">
        <is>
          <t>032860</t>
        </is>
      </c>
      <c r="E8403" s="3" t="inlineStr">
        <is>
          <t xml:space="preserve">주식병합결정              </t>
        </is>
      </c>
      <c r="F8403" s="3" t="inlineStr">
        <is>
          <t>더라미</t>
        </is>
      </c>
      <c r="G8403" s="2" t="inlineStr">
        <is>
          <t>20260601901526</t>
        </is>
      </c>
      <c r="H8403" s="8">
        <f>HYPERLINK("https://dart.fss.or.kr/dsaf001/main.do?rcpNo=20260601901526", "공시열람")</f>
        <v/>
      </c>
    </row>
    <row r="8404">
      <c r="A8404" s="2" t="inlineStr">
        <is>
          <t>2026-06-01</t>
        </is>
      </c>
      <c r="B8404" s="3" t="inlineStr">
        <is>
          <t>티웨이홀딩스</t>
        </is>
      </c>
      <c r="C8404" s="2" t="inlineStr">
        <is>
          <t>코스피</t>
        </is>
      </c>
      <c r="D8404" s="2" t="inlineStr">
        <is>
          <t>004870</t>
        </is>
      </c>
      <c r="E8404" s="3" t="inlineStr">
        <is>
          <t>대규모기업집단현황공시[연1회공시및1/4분기용(개별회사)]</t>
        </is>
      </c>
      <c r="F8404" s="3" t="inlineStr">
        <is>
          <t>티웨이홀딩스</t>
        </is>
      </c>
      <c r="G8404" s="2" t="inlineStr">
        <is>
          <t>20260601001798</t>
        </is>
      </c>
      <c r="H8404" s="8">
        <f>HYPERLINK("https://dart.fss.or.kr/dsaf001/main.do?rcpNo=20260601001798", "공시열람")</f>
        <v/>
      </c>
    </row>
    <row r="8405">
      <c r="A8405" s="2" t="inlineStr">
        <is>
          <t>2026-06-01</t>
        </is>
      </c>
      <c r="B8405" s="3" t="inlineStr">
        <is>
          <t>코퍼스코리아</t>
        </is>
      </c>
      <c r="C8405" s="2" t="inlineStr">
        <is>
          <t>코스닥</t>
        </is>
      </c>
      <c r="D8405" s="2" t="inlineStr">
        <is>
          <t>322780</t>
        </is>
      </c>
      <c r="E8405" s="3" t="inlineStr">
        <is>
          <t>임원ㆍ주요주주특정증권등소유상황보고서</t>
        </is>
      </c>
      <c r="F8405" s="3" t="inlineStr">
        <is>
          <t>홍혁기</t>
        </is>
      </c>
      <c r="G8405" s="2" t="inlineStr">
        <is>
          <t>20260601001792</t>
        </is>
      </c>
      <c r="H8405" s="8">
        <f>HYPERLINK("https://dart.fss.or.kr/dsaf001/main.do?rcpNo=20260601001792", "공시열람")</f>
        <v/>
      </c>
    </row>
    <row r="8406">
      <c r="A8406" s="2" t="inlineStr">
        <is>
          <t>2026-06-01</t>
        </is>
      </c>
      <c r="B8406" s="3" t="inlineStr">
        <is>
          <t>에스제이엠홀딩스</t>
        </is>
      </c>
      <c r="C8406" s="2" t="inlineStr">
        <is>
          <t>코스피</t>
        </is>
      </c>
      <c r="D8406" s="2" t="inlineStr">
        <is>
          <t>025530</t>
        </is>
      </c>
      <c r="E8406" s="3" t="inlineStr">
        <is>
          <t xml:space="preserve">기업지배구조보고서공시              </t>
        </is>
      </c>
      <c r="F8406" s="3" t="inlineStr">
        <is>
          <t>에스제이엠홀딩스</t>
        </is>
      </c>
      <c r="G8406" s="2" t="inlineStr">
        <is>
          <t>20260601801569</t>
        </is>
      </c>
      <c r="H8406" s="8">
        <f>HYPERLINK("https://dart.fss.or.kr/dsaf001/main.do?rcpNo=20260601801569", "공시열람")</f>
        <v/>
      </c>
    </row>
    <row r="8407">
      <c r="A8407" s="2" t="inlineStr">
        <is>
          <t>2026-06-01</t>
        </is>
      </c>
      <c r="B8407" s="3" t="inlineStr">
        <is>
          <t>바스칸바이오제약</t>
        </is>
      </c>
      <c r="C8407" s="2" t="inlineStr">
        <is>
          <t>코넥스</t>
        </is>
      </c>
      <c r="D8407" s="2" t="inlineStr">
        <is>
          <t>354390</t>
        </is>
      </c>
      <c r="E8407" s="3" t="inlineStr">
        <is>
          <t>대규모기업집단현황공시[연1회공시및1/4분기용(개별회사)]</t>
        </is>
      </c>
      <c r="F8407" s="3" t="inlineStr">
        <is>
          <t>바스칸바이오제약</t>
        </is>
      </c>
      <c r="G8407" s="2" t="inlineStr">
        <is>
          <t>20260601001789</t>
        </is>
      </c>
      <c r="H8407" s="8">
        <f>HYPERLINK("https://dart.fss.or.kr/dsaf001/main.do?rcpNo=20260601001789", "공시열람")</f>
        <v/>
      </c>
    </row>
    <row r="8408">
      <c r="A8408" s="2" t="inlineStr">
        <is>
          <t>2026-06-01</t>
        </is>
      </c>
      <c r="B8408" s="3" t="inlineStr">
        <is>
          <t>CJ대한통운</t>
        </is>
      </c>
      <c r="C8408" s="2" t="inlineStr">
        <is>
          <t>코스피</t>
        </is>
      </c>
      <c r="D8408" s="2" t="inlineStr">
        <is>
          <t>000120</t>
        </is>
      </c>
      <c r="E8408" s="3" t="inlineStr">
        <is>
          <t xml:space="preserve">기업지배구조보고서공시              </t>
        </is>
      </c>
      <c r="F8408" s="3" t="inlineStr">
        <is>
          <t>CJ대한통운</t>
        </is>
      </c>
      <c r="G8408" s="2" t="inlineStr">
        <is>
          <t>20260601801592</t>
        </is>
      </c>
      <c r="H8408" s="8">
        <f>HYPERLINK("https://dart.fss.or.kr/dsaf001/main.do?rcpNo=20260601801592", "공시열람")</f>
        <v/>
      </c>
    </row>
    <row r="8409">
      <c r="A8409" s="2" t="inlineStr">
        <is>
          <t>2026-06-01</t>
        </is>
      </c>
      <c r="B8409" s="3" t="inlineStr">
        <is>
          <t>LS</t>
        </is>
      </c>
      <c r="C8409" s="2" t="inlineStr">
        <is>
          <t>코스피</t>
        </is>
      </c>
      <c r="D8409" s="2" t="inlineStr">
        <is>
          <t>006260</t>
        </is>
      </c>
      <c r="E8409" s="3" t="inlineStr">
        <is>
          <t>대규모기업집단현황공시[연1회(동일인용)]</t>
        </is>
      </c>
      <c r="F8409" s="3" t="inlineStr">
        <is>
          <t>구자은</t>
        </is>
      </c>
      <c r="G8409" s="2" t="inlineStr">
        <is>
          <t>20260601001783</t>
        </is>
      </c>
      <c r="H8409" s="8">
        <f>HYPERLINK("https://dart.fss.or.kr/dsaf001/main.do?rcpNo=20260601001783", "공시열람")</f>
        <v/>
      </c>
    </row>
    <row r="8410">
      <c r="A8410" s="2" t="inlineStr">
        <is>
          <t>2026-06-01</t>
        </is>
      </c>
      <c r="B8410" s="3" t="inlineStr">
        <is>
          <t>케이뱅크</t>
        </is>
      </c>
      <c r="C8410" s="2" t="inlineStr">
        <is>
          <t>코스피</t>
        </is>
      </c>
      <c r="D8410" s="2" t="inlineStr">
        <is>
          <t>279570</t>
        </is>
      </c>
      <c r="E8410" s="3" t="inlineStr">
        <is>
          <t xml:space="preserve">기타안내사항(안내공시)              </t>
        </is>
      </c>
      <c r="F8410" s="3" t="inlineStr">
        <is>
          <t>케이뱅크</t>
        </is>
      </c>
      <c r="G8410" s="2" t="inlineStr">
        <is>
          <t>20260601801516</t>
        </is>
      </c>
      <c r="H8410" s="8">
        <f>HYPERLINK("https://dart.fss.or.kr/dsaf001/main.do?rcpNo=20260601801516", "공시열람")</f>
        <v/>
      </c>
    </row>
    <row r="8411">
      <c r="A8411" s="2" t="inlineStr">
        <is>
          <t>2026-06-01</t>
        </is>
      </c>
      <c r="B8411" s="3" t="inlineStr">
        <is>
          <t>풍산</t>
        </is>
      </c>
      <c r="C8411" s="2" t="inlineStr">
        <is>
          <t>코스피</t>
        </is>
      </c>
      <c r="D8411" s="2" t="inlineStr">
        <is>
          <t>103140</t>
        </is>
      </c>
      <c r="E8411" s="3" t="inlineStr">
        <is>
          <t xml:space="preserve">기업지배구조보고서공시              </t>
        </is>
      </c>
      <c r="F8411" s="3" t="inlineStr">
        <is>
          <t>풍산</t>
        </is>
      </c>
      <c r="G8411" s="2" t="inlineStr">
        <is>
          <t>20260601801572</t>
        </is>
      </c>
      <c r="H8411" s="8">
        <f>HYPERLINK("https://dart.fss.or.kr/dsaf001/main.do?rcpNo=20260601801572", "공시열람")</f>
        <v/>
      </c>
    </row>
    <row r="8412">
      <c r="A8412" s="2" t="inlineStr">
        <is>
          <t>2026-06-01 (정정: 2026-06-02)</t>
        </is>
      </c>
      <c r="B8412" s="3" t="inlineStr">
        <is>
          <t>대호에이엘</t>
        </is>
      </c>
      <c r="C8412" s="2" t="inlineStr">
        <is>
          <t>코스피</t>
        </is>
      </c>
      <c r="D8412" s="2" t="inlineStr">
        <is>
          <t>069460</t>
        </is>
      </c>
      <c r="E8412" s="3" t="inlineStr">
        <is>
          <t>기업지배구조보고서공시               (정정: 20260602)</t>
        </is>
      </c>
      <c r="F8412" s="3" t="inlineStr">
        <is>
          <t>대호에이엘</t>
        </is>
      </c>
      <c r="G8412" s="2" t="inlineStr">
        <is>
          <t>20260602000478</t>
        </is>
      </c>
      <c r="H8412" s="8">
        <f>HYPERLINK("https://dart.fss.or.kr/dsaf001/main.do?rcpNo=20260602000478", "공시열람")</f>
        <v/>
      </c>
    </row>
    <row r="8413">
      <c r="A8413" s="2" t="inlineStr">
        <is>
          <t>2026-06-01</t>
        </is>
      </c>
      <c r="B8413" s="3" t="inlineStr">
        <is>
          <t>효성</t>
        </is>
      </c>
      <c r="C8413" s="2" t="inlineStr">
        <is>
          <t>코스피</t>
        </is>
      </c>
      <c r="D8413" s="2" t="inlineStr">
        <is>
          <t>004800</t>
        </is>
      </c>
      <c r="E8413" s="3" t="inlineStr">
        <is>
          <t>[기재정정]대규모기업집단현황공시[연1회공시및1/4분기용(대표회사)]</t>
        </is>
      </c>
      <c r="F8413" s="3" t="inlineStr">
        <is>
          <t>효성</t>
        </is>
      </c>
      <c r="G8413" s="2" t="inlineStr">
        <is>
          <t>20260601001782</t>
        </is>
      </c>
      <c r="H8413" s="8">
        <f>HYPERLINK("https://dart.fss.or.kr/dsaf001/main.do?rcpNo=20260601001782", "공시열람")</f>
        <v/>
      </c>
    </row>
    <row r="8414">
      <c r="A8414" s="2" t="inlineStr">
        <is>
          <t>2026-06-01</t>
        </is>
      </c>
      <c r="B8414" s="3" t="inlineStr">
        <is>
          <t>한국특강</t>
        </is>
      </c>
      <c r="C8414" s="2" t="inlineStr">
        <is>
          <t>코스피</t>
        </is>
      </c>
      <c r="D8414" s="2" t="inlineStr">
        <is>
          <t>007280</t>
        </is>
      </c>
      <c r="E8414" s="3" t="inlineStr">
        <is>
          <t xml:space="preserve">기업지배구조보고서공시              </t>
        </is>
      </c>
      <c r="F8414" s="3" t="inlineStr">
        <is>
          <t>한국특강</t>
        </is>
      </c>
      <c r="G8414" s="2" t="inlineStr">
        <is>
          <t>20260601801583</t>
        </is>
      </c>
      <c r="H8414" s="8">
        <f>HYPERLINK("https://dart.fss.or.kr/dsaf001/main.do?rcpNo=20260601801583", "공시열람")</f>
        <v/>
      </c>
    </row>
    <row r="8415">
      <c r="A8415" s="2" t="inlineStr">
        <is>
          <t>2026-06-01</t>
        </is>
      </c>
      <c r="B8415" s="3" t="inlineStr">
        <is>
          <t>한화비전</t>
        </is>
      </c>
      <c r="C8415" s="2" t="inlineStr">
        <is>
          <t>코스피</t>
        </is>
      </c>
      <c r="D8415" s="2" t="inlineStr">
        <is>
          <t>489790</t>
        </is>
      </c>
      <c r="E8415" s="3" t="inlineStr">
        <is>
          <t xml:space="preserve">기업지배구조보고서공시              </t>
        </is>
      </c>
      <c r="F8415" s="3" t="inlineStr">
        <is>
          <t>한화비전</t>
        </is>
      </c>
      <c r="G8415" s="2" t="inlineStr">
        <is>
          <t>20260601801566</t>
        </is>
      </c>
      <c r="H8415" s="8">
        <f>HYPERLINK("https://dart.fss.or.kr/dsaf001/main.do?rcpNo=20260601801566", "공시열람")</f>
        <v/>
      </c>
    </row>
    <row r="8416">
      <c r="A8416" s="2" t="inlineStr">
        <is>
          <t>2026-06-01</t>
        </is>
      </c>
      <c r="B8416" s="3" t="inlineStr">
        <is>
          <t>HS효성첨단소재</t>
        </is>
      </c>
      <c r="C8416" s="2" t="inlineStr">
        <is>
          <t>코스피</t>
        </is>
      </c>
      <c r="D8416" s="2" t="inlineStr">
        <is>
          <t>298050</t>
        </is>
      </c>
      <c r="E8416" s="3" t="inlineStr">
        <is>
          <t>대규모기업집단현황공시[연1회공시및1/4분기용(개별회사)]</t>
        </is>
      </c>
      <c r="F8416" s="3" t="inlineStr">
        <is>
          <t>HS효성첨단소재</t>
        </is>
      </c>
      <c r="G8416" s="2" t="inlineStr">
        <is>
          <t>20260601001776</t>
        </is>
      </c>
      <c r="H8416" s="8">
        <f>HYPERLINK("https://dart.fss.or.kr/dsaf001/main.do?rcpNo=20260601001776", "공시열람")</f>
        <v/>
      </c>
    </row>
    <row r="8417">
      <c r="A8417" s="2" t="inlineStr">
        <is>
          <t>2026-06-01</t>
        </is>
      </c>
      <c r="B8417" s="3" t="inlineStr">
        <is>
          <t>솔루엠</t>
        </is>
      </c>
      <c r="C8417" s="2" t="inlineStr">
        <is>
          <t>코스피</t>
        </is>
      </c>
      <c r="D8417" s="2" t="inlineStr">
        <is>
          <t>248070</t>
        </is>
      </c>
      <c r="E8417" s="3" t="inlineStr">
        <is>
          <t>임원ㆍ주요주주특정증권등소유상황보고서</t>
        </is>
      </c>
      <c r="F8417" s="3" t="inlineStr">
        <is>
          <t>김재원</t>
        </is>
      </c>
      <c r="G8417" s="2" t="inlineStr">
        <is>
          <t>20260601001774</t>
        </is>
      </c>
      <c r="H8417" s="8">
        <f>HYPERLINK("https://dart.fss.or.kr/dsaf001/main.do?rcpNo=20260601001774", "공시열람")</f>
        <v/>
      </c>
    </row>
    <row r="8418">
      <c r="A8418" s="2" t="inlineStr">
        <is>
          <t>2026-06-01</t>
        </is>
      </c>
      <c r="B8418" s="3" t="inlineStr">
        <is>
          <t>동원금속</t>
        </is>
      </c>
      <c r="C8418" s="2" t="inlineStr">
        <is>
          <t>코스피</t>
        </is>
      </c>
      <c r="D8418" s="2" t="inlineStr">
        <is>
          <t>018500</t>
        </is>
      </c>
      <c r="E8418" s="3" t="inlineStr">
        <is>
          <t xml:space="preserve">기업지배구조보고서공시              </t>
        </is>
      </c>
      <c r="F8418" s="3" t="inlineStr">
        <is>
          <t>동원금속</t>
        </is>
      </c>
      <c r="G8418" s="2" t="inlineStr">
        <is>
          <t>20260601801577</t>
        </is>
      </c>
      <c r="H8418" s="8">
        <f>HYPERLINK("https://dart.fss.or.kr/dsaf001/main.do?rcpNo=20260601801577", "공시열람")</f>
        <v/>
      </c>
    </row>
    <row r="8419">
      <c r="A8419" s="2" t="inlineStr">
        <is>
          <t>2026-06-01</t>
        </is>
      </c>
      <c r="B8419" s="3" t="inlineStr">
        <is>
          <t>리가켐바이오</t>
        </is>
      </c>
      <c r="C8419" s="2" t="inlineStr">
        <is>
          <t>코스닥</t>
        </is>
      </c>
      <c r="D8419" s="2" t="inlineStr">
        <is>
          <t>141080</t>
        </is>
      </c>
      <c r="E8419" s="3" t="inlineStr">
        <is>
          <t>대규모기업집단현황공시[연1회공시및1/4분기용(개별회사)]</t>
        </is>
      </c>
      <c r="F8419" s="3" t="inlineStr">
        <is>
          <t>리가켐바이오</t>
        </is>
      </c>
      <c r="G8419" s="2" t="inlineStr">
        <is>
          <t>20260601001767</t>
        </is>
      </c>
      <c r="H8419" s="8">
        <f>HYPERLINK("https://dart.fss.or.kr/dsaf001/main.do?rcpNo=20260601001767", "공시열람")</f>
        <v/>
      </c>
    </row>
    <row r="8420">
      <c r="A8420" s="2" t="inlineStr">
        <is>
          <t>2026-06-01</t>
        </is>
      </c>
      <c r="B8420" s="3" t="inlineStr">
        <is>
          <t>소노스퀘어</t>
        </is>
      </c>
      <c r="C8420" s="2" t="inlineStr">
        <is>
          <t>코스닥</t>
        </is>
      </c>
      <c r="D8420" s="2" t="inlineStr">
        <is>
          <t>007720</t>
        </is>
      </c>
      <c r="E8420" s="3" t="inlineStr">
        <is>
          <t>대규모기업집단현황공시[연1회공시및1/4분기용(개별회사)]</t>
        </is>
      </c>
      <c r="F8420" s="3" t="inlineStr">
        <is>
          <t>소노스퀘어</t>
        </is>
      </c>
      <c r="G8420" s="2" t="inlineStr">
        <is>
          <t>20260601001766</t>
        </is>
      </c>
      <c r="H8420" s="8">
        <f>HYPERLINK("https://dart.fss.or.kr/dsaf001/main.do?rcpNo=20260601001766", "공시열람")</f>
        <v/>
      </c>
    </row>
    <row r="8421">
      <c r="A8421" s="2" t="inlineStr">
        <is>
          <t>2026-06-01</t>
        </is>
      </c>
      <c r="B8421" s="3" t="inlineStr">
        <is>
          <t>NH투자증권</t>
        </is>
      </c>
      <c r="C8421" s="2" t="inlineStr">
        <is>
          <t>코스피</t>
        </is>
      </c>
      <c r="D8421" s="2" t="inlineStr">
        <is>
          <t>005940</t>
        </is>
      </c>
      <c r="E8421" s="3" t="inlineStr">
        <is>
          <t>증권발행실적보고서</t>
        </is>
      </c>
      <c r="F8421" s="3" t="inlineStr">
        <is>
          <t>NH투자증권</t>
        </is>
      </c>
      <c r="G8421" s="2" t="inlineStr">
        <is>
          <t>20260601001756</t>
        </is>
      </c>
      <c r="H8421" s="8">
        <f>HYPERLINK("https://dart.fss.or.kr/dsaf001/main.do?rcpNo=20260601001756", "공시열람")</f>
        <v/>
      </c>
    </row>
    <row r="8422">
      <c r="A8422" s="2" t="inlineStr">
        <is>
          <t>2026-06-01</t>
        </is>
      </c>
      <c r="B8422" s="3" t="inlineStr">
        <is>
          <t>한미반도체</t>
        </is>
      </c>
      <c r="C8422" s="2" t="inlineStr">
        <is>
          <t>코스피</t>
        </is>
      </c>
      <c r="D8422" s="2" t="inlineStr">
        <is>
          <t>042700</t>
        </is>
      </c>
      <c r="E8422" s="3" t="inlineStr">
        <is>
          <t xml:space="preserve">기업지배구조보고서공시              </t>
        </is>
      </c>
      <c r="F8422" s="3" t="inlineStr">
        <is>
          <t>한미반도체</t>
        </is>
      </c>
      <c r="G8422" s="2" t="inlineStr">
        <is>
          <t>20260601801555</t>
        </is>
      </c>
      <c r="H8422" s="8">
        <f>HYPERLINK("https://dart.fss.or.kr/dsaf001/main.do?rcpNo=20260601801555", "공시열람")</f>
        <v/>
      </c>
    </row>
    <row r="8423">
      <c r="A8423" s="2" t="inlineStr">
        <is>
          <t>2026-06-01</t>
        </is>
      </c>
      <c r="B8423" s="3" t="inlineStr">
        <is>
          <t>오리온홀딩스</t>
        </is>
      </c>
      <c r="C8423" s="2" t="inlineStr">
        <is>
          <t>코스피</t>
        </is>
      </c>
      <c r="D8423" s="2" t="inlineStr">
        <is>
          <t>001800</t>
        </is>
      </c>
      <c r="E8423" s="3" t="inlineStr">
        <is>
          <t xml:space="preserve">기업지배구조보고서공시              </t>
        </is>
      </c>
      <c r="F8423" s="3" t="inlineStr">
        <is>
          <t>오리온홀딩스</t>
        </is>
      </c>
      <c r="G8423" s="2" t="inlineStr">
        <is>
          <t>20260601800629</t>
        </is>
      </c>
      <c r="H8423" s="8">
        <f>HYPERLINK("https://dart.fss.or.kr/dsaf001/main.do?rcpNo=20260601800629", "공시열람")</f>
        <v/>
      </c>
    </row>
    <row r="8424">
      <c r="A8424" s="2" t="inlineStr">
        <is>
          <t>2026-06-01</t>
        </is>
      </c>
      <c r="B8424" s="3" t="inlineStr">
        <is>
          <t>LS</t>
        </is>
      </c>
      <c r="C8424" s="2" t="inlineStr">
        <is>
          <t>코스피</t>
        </is>
      </c>
      <c r="D8424" s="2" t="inlineStr">
        <is>
          <t>006260</t>
        </is>
      </c>
      <c r="E8424" s="3" t="inlineStr">
        <is>
          <t xml:space="preserve">기업지배구조보고서공시              </t>
        </is>
      </c>
      <c r="F8424" s="3" t="inlineStr">
        <is>
          <t>LS</t>
        </is>
      </c>
      <c r="G8424" s="2" t="inlineStr">
        <is>
          <t>20260601801549</t>
        </is>
      </c>
      <c r="H8424" s="8">
        <f>HYPERLINK("https://dart.fss.or.kr/dsaf001/main.do?rcpNo=20260601801549", "공시열람")</f>
        <v/>
      </c>
    </row>
    <row r="8425">
      <c r="A8425" s="2" t="inlineStr">
        <is>
          <t>2026-06-01</t>
        </is>
      </c>
      <c r="B8425" s="3" t="inlineStr">
        <is>
          <t>코퍼스코리아</t>
        </is>
      </c>
      <c r="C8425" s="2" t="inlineStr">
        <is>
          <t>코스닥</t>
        </is>
      </c>
      <c r="D8425" s="2" t="inlineStr">
        <is>
          <t>322780</t>
        </is>
      </c>
      <c r="E8425" s="3" t="inlineStr">
        <is>
          <t>임원ㆍ주요주주특정증권등소유상황보고서</t>
        </is>
      </c>
      <c r="F8425" s="3" t="inlineStr">
        <is>
          <t>오영섭</t>
        </is>
      </c>
      <c r="G8425" s="2" t="inlineStr">
        <is>
          <t>20260601001749</t>
        </is>
      </c>
      <c r="H8425" s="8">
        <f>HYPERLINK("https://dart.fss.or.kr/dsaf001/main.do?rcpNo=20260601001749", "공시열람")</f>
        <v/>
      </c>
    </row>
    <row r="8426">
      <c r="A8426" s="2" t="inlineStr">
        <is>
          <t>2026-06-01</t>
        </is>
      </c>
      <c r="B8426" s="3" t="inlineStr">
        <is>
          <t>다우기술</t>
        </is>
      </c>
      <c r="C8426" s="2" t="inlineStr">
        <is>
          <t>코스피</t>
        </is>
      </c>
      <c r="D8426" s="2" t="inlineStr">
        <is>
          <t>023590</t>
        </is>
      </c>
      <c r="E8426" s="3" t="inlineStr">
        <is>
          <t xml:space="preserve">기업지배구조보고서공시              </t>
        </is>
      </c>
      <c r="F8426" s="3" t="inlineStr">
        <is>
          <t>다우기술</t>
        </is>
      </c>
      <c r="G8426" s="2" t="inlineStr">
        <is>
          <t>20260601801547</t>
        </is>
      </c>
      <c r="H8426" s="8">
        <f>HYPERLINK("https://dart.fss.or.kr/dsaf001/main.do?rcpNo=20260601801547", "공시열람")</f>
        <v/>
      </c>
    </row>
    <row r="8427">
      <c r="A8427" s="2" t="inlineStr">
        <is>
          <t>2026-06-01</t>
        </is>
      </c>
      <c r="B8427" s="3" t="inlineStr">
        <is>
          <t>삼성에스디에스</t>
        </is>
      </c>
      <c r="C8427" s="2" t="inlineStr">
        <is>
          <t>코스피</t>
        </is>
      </c>
      <c r="D8427" s="2" t="inlineStr">
        <is>
          <t>018260</t>
        </is>
      </c>
      <c r="E8427" s="3" t="inlineStr">
        <is>
          <t xml:space="preserve">기업지배구조보고서공시              </t>
        </is>
      </c>
      <c r="F8427" s="3" t="inlineStr">
        <is>
          <t>삼성에스디에스</t>
        </is>
      </c>
      <c r="G8427" s="2" t="inlineStr">
        <is>
          <t>20260601801551</t>
        </is>
      </c>
      <c r="H8427" s="8">
        <f>HYPERLINK("https://dart.fss.or.kr/dsaf001/main.do?rcpNo=20260601801551", "공시열람")</f>
        <v/>
      </c>
    </row>
    <row r="8428">
      <c r="A8428" s="2" t="inlineStr">
        <is>
          <t>2026-06-01</t>
        </is>
      </c>
      <c r="B8428" s="3" t="inlineStr">
        <is>
          <t>대영포장</t>
        </is>
      </c>
      <c r="C8428" s="2" t="inlineStr">
        <is>
          <t>코스피</t>
        </is>
      </c>
      <c r="D8428" s="2" t="inlineStr">
        <is>
          <t>014160</t>
        </is>
      </c>
      <c r="E8428" s="3" t="inlineStr">
        <is>
          <t xml:space="preserve">[첨부추가]기업지배구조보고서공시              </t>
        </is>
      </c>
      <c r="F8428" s="3" t="inlineStr">
        <is>
          <t>대영포장</t>
        </is>
      </c>
      <c r="G8428" s="2" t="inlineStr">
        <is>
          <t>20260601800655</t>
        </is>
      </c>
      <c r="H8428" s="8">
        <f>HYPERLINK("https://dart.fss.or.kr/dsaf001/main.do?rcpNo=20260601800655", "공시열람")</f>
        <v/>
      </c>
    </row>
    <row r="8429">
      <c r="A8429" s="2" t="inlineStr">
        <is>
          <t>2026-06-01</t>
        </is>
      </c>
      <c r="B8429" s="3" t="inlineStr">
        <is>
          <t>광진실업</t>
        </is>
      </c>
      <c r="C8429" s="2" t="inlineStr">
        <is>
          <t>코스닥</t>
        </is>
      </c>
      <c r="D8429" s="2" t="inlineStr">
        <is>
          <t>026910</t>
        </is>
      </c>
      <c r="E8429" s="3" t="inlineStr">
        <is>
          <t>[기재정정]증권발행결과(자율공시)              (제3자배정 유상증자)</t>
        </is>
      </c>
      <c r="F8429" s="3" t="inlineStr">
        <is>
          <t>광진실업</t>
        </is>
      </c>
      <c r="G8429" s="2" t="inlineStr">
        <is>
          <t>20260601901540</t>
        </is>
      </c>
      <c r="H8429" s="8">
        <f>HYPERLINK("https://dart.fss.or.kr/dsaf001/main.do?rcpNo=20260601901540", "공시열람")</f>
        <v/>
      </c>
    </row>
    <row r="8430">
      <c r="A8430" s="2" t="inlineStr">
        <is>
          <t>2026-06-01</t>
        </is>
      </c>
      <c r="B8430" s="3" t="inlineStr">
        <is>
          <t>이연제약</t>
        </is>
      </c>
      <c r="C8430" s="2" t="inlineStr">
        <is>
          <t>코스피</t>
        </is>
      </c>
      <c r="D8430" s="2" t="inlineStr">
        <is>
          <t>102460</t>
        </is>
      </c>
      <c r="E8430" s="3" t="inlineStr">
        <is>
          <t xml:space="preserve">기업지배구조보고서공시              </t>
        </is>
      </c>
      <c r="F8430" s="3" t="inlineStr">
        <is>
          <t>이연제약</t>
        </is>
      </c>
      <c r="G8430" s="2" t="inlineStr">
        <is>
          <t>20260601801535</t>
        </is>
      </c>
      <c r="H8430" s="8">
        <f>HYPERLINK("https://dart.fss.or.kr/dsaf001/main.do?rcpNo=20260601801535", "공시열람")</f>
        <v/>
      </c>
    </row>
    <row r="8431">
      <c r="A8431" s="2" t="inlineStr">
        <is>
          <t>2026-06-01</t>
        </is>
      </c>
      <c r="B8431" s="3" t="inlineStr">
        <is>
          <t>로보스타</t>
        </is>
      </c>
      <c r="C8431" s="2" t="inlineStr">
        <is>
          <t>코스닥</t>
        </is>
      </c>
      <c r="D8431" s="2" t="inlineStr">
        <is>
          <t>090360</t>
        </is>
      </c>
      <c r="E8431" s="3" t="inlineStr">
        <is>
          <t>대규모기업집단현황공시[연1회공시및1/4분기용(개별회사)]</t>
        </is>
      </c>
      <c r="F8431" s="3" t="inlineStr">
        <is>
          <t>로보스타</t>
        </is>
      </c>
      <c r="G8431" s="2" t="inlineStr">
        <is>
          <t>20260601001743</t>
        </is>
      </c>
      <c r="H8431" s="8">
        <f>HYPERLINK("https://dart.fss.or.kr/dsaf001/main.do?rcpNo=20260601001743", "공시열람")</f>
        <v/>
      </c>
    </row>
    <row r="8432">
      <c r="A8432" s="2" t="inlineStr">
        <is>
          <t>2026-06-01</t>
        </is>
      </c>
      <c r="B8432" s="3" t="inlineStr">
        <is>
          <t>오리온홀딩스</t>
        </is>
      </c>
      <c r="C8432" s="2" t="inlineStr">
        <is>
          <t>코스피</t>
        </is>
      </c>
      <c r="D8432" s="2" t="inlineStr">
        <is>
          <t>001800</t>
        </is>
      </c>
      <c r="E8432" s="3" t="inlineStr">
        <is>
          <t>대규모기업집단현황공시[연1회공시및1/4분기용(대표회사)]</t>
        </is>
      </c>
      <c r="F8432" s="3" t="inlineStr">
        <is>
          <t>오리온홀딩스</t>
        </is>
      </c>
      <c r="G8432" s="2" t="inlineStr">
        <is>
          <t>20260601001740</t>
        </is>
      </c>
      <c r="H8432" s="8">
        <f>HYPERLINK("https://dart.fss.or.kr/dsaf001/main.do?rcpNo=20260601001740", "공시열람")</f>
        <v/>
      </c>
    </row>
    <row r="8433">
      <c r="A8433" s="2" t="inlineStr">
        <is>
          <t>2026-06-01</t>
        </is>
      </c>
      <c r="B8433" s="3" t="inlineStr">
        <is>
          <t>에이루트</t>
        </is>
      </c>
      <c r="C8433" s="2" t="inlineStr">
        <is>
          <t>코스닥</t>
        </is>
      </c>
      <c r="D8433" s="2" t="inlineStr">
        <is>
          <t>096690</t>
        </is>
      </c>
      <c r="E8433" s="3" t="inlineStr">
        <is>
          <t>임원ㆍ주요주주특정증권등소유상황보고서</t>
        </is>
      </c>
      <c r="F8433" s="3" t="inlineStr">
        <is>
          <t>이대성</t>
        </is>
      </c>
      <c r="G8433" s="2" t="inlineStr">
        <is>
          <t>20260601001732</t>
        </is>
      </c>
      <c r="H8433" s="8">
        <f>HYPERLINK("https://dart.fss.or.kr/dsaf001/main.do?rcpNo=20260601001732", "공시열람")</f>
        <v/>
      </c>
    </row>
    <row r="8434">
      <c r="A8434" s="2" t="inlineStr">
        <is>
          <t>2026-06-01</t>
        </is>
      </c>
      <c r="B8434" s="3" t="inlineStr">
        <is>
          <t>현대코퍼레이션홀딩스</t>
        </is>
      </c>
      <c r="C8434" s="2" t="inlineStr">
        <is>
          <t>코스피</t>
        </is>
      </c>
      <c r="D8434" s="2" t="inlineStr">
        <is>
          <t>227840</t>
        </is>
      </c>
      <c r="E8434" s="3" t="inlineStr">
        <is>
          <t xml:space="preserve">기업지배구조보고서공시              </t>
        </is>
      </c>
      <c r="F8434" s="3" t="inlineStr">
        <is>
          <t>현대코퍼레이션홀딩스</t>
        </is>
      </c>
      <c r="G8434" s="2" t="inlineStr">
        <is>
          <t>20260601800333</t>
        </is>
      </c>
      <c r="H8434" s="8">
        <f>HYPERLINK("https://dart.fss.or.kr/dsaf001/main.do?rcpNo=20260601800333", "공시열람")</f>
        <v/>
      </c>
    </row>
    <row r="8435">
      <c r="A8435" s="2" t="inlineStr">
        <is>
          <t>2026-06-01</t>
        </is>
      </c>
      <c r="B8435" s="3" t="inlineStr">
        <is>
          <t>화천기계</t>
        </is>
      </c>
      <c r="C8435" s="2" t="inlineStr">
        <is>
          <t>코스피</t>
        </is>
      </c>
      <c r="D8435" s="2" t="inlineStr">
        <is>
          <t>010660</t>
        </is>
      </c>
      <c r="E8435" s="3" t="inlineStr">
        <is>
          <t xml:space="preserve">기업지배구조보고서공시              </t>
        </is>
      </c>
      <c r="F8435" s="3" t="inlineStr">
        <is>
          <t>화천기계</t>
        </is>
      </c>
      <c r="G8435" s="2" t="inlineStr">
        <is>
          <t>20260601801388</t>
        </is>
      </c>
      <c r="H8435" s="8">
        <f>HYPERLINK("https://dart.fss.or.kr/dsaf001/main.do?rcpNo=20260601801388", "공시열람")</f>
        <v/>
      </c>
    </row>
    <row r="8436">
      <c r="A8436" s="2" t="inlineStr">
        <is>
          <t>2026-06-01</t>
        </is>
      </c>
      <c r="B8436" s="3" t="inlineStr">
        <is>
          <t>폰드그룹</t>
        </is>
      </c>
      <c r="C8436" s="2" t="inlineStr">
        <is>
          <t>코스닥</t>
        </is>
      </c>
      <c r="D8436" s="2" t="inlineStr">
        <is>
          <t>472850</t>
        </is>
      </c>
      <c r="E8436" s="3" t="inlineStr">
        <is>
          <t>대규모기업집단현황공시[연1회공시및1/4분기용(개별회사)]</t>
        </is>
      </c>
      <c r="F8436" s="3" t="inlineStr">
        <is>
          <t>폰드그룹</t>
        </is>
      </c>
      <c r="G8436" s="2" t="inlineStr">
        <is>
          <t>20260601001726</t>
        </is>
      </c>
      <c r="H8436" s="8">
        <f>HYPERLINK("https://dart.fss.or.kr/dsaf001/main.do?rcpNo=20260601001726", "공시열람")</f>
        <v/>
      </c>
    </row>
    <row r="8437">
      <c r="A8437" s="2" t="inlineStr">
        <is>
          <t>2026-06-01</t>
        </is>
      </c>
      <c r="B8437" s="3" t="inlineStr">
        <is>
          <t>에이프로젠바이오로직스</t>
        </is>
      </c>
      <c r="C8437" s="2" t="inlineStr">
        <is>
          <t>코스피</t>
        </is>
      </c>
      <c r="D8437" s="2" t="inlineStr">
        <is>
          <t>003060</t>
        </is>
      </c>
      <c r="E8437" s="3" t="inlineStr">
        <is>
          <t xml:space="preserve">기업지배구조보고서공시              </t>
        </is>
      </c>
      <c r="F8437" s="3" t="inlineStr">
        <is>
          <t>에이프로젠바이오로직스</t>
        </is>
      </c>
      <c r="G8437" s="2" t="inlineStr">
        <is>
          <t>20260601801520</t>
        </is>
      </c>
      <c r="H8437" s="8">
        <f>HYPERLINK("https://dart.fss.or.kr/dsaf001/main.do?rcpNo=20260601801520", "공시열람")</f>
        <v/>
      </c>
    </row>
    <row r="8438">
      <c r="A8438" s="2" t="inlineStr">
        <is>
          <t>2026-06-01</t>
        </is>
      </c>
      <c r="B8438" s="3" t="inlineStr">
        <is>
          <t>남양유업</t>
        </is>
      </c>
      <c r="C8438" s="2" t="inlineStr">
        <is>
          <t>코스피</t>
        </is>
      </c>
      <c r="D8438" s="2" t="inlineStr">
        <is>
          <t>003920</t>
        </is>
      </c>
      <c r="E8438" s="3" t="inlineStr">
        <is>
          <t xml:space="preserve">기업지배구조보고서공시              </t>
        </is>
      </c>
      <c r="F8438" s="3" t="inlineStr">
        <is>
          <t>남양유업</t>
        </is>
      </c>
      <c r="G8438" s="2" t="inlineStr">
        <is>
          <t>20260601801515</t>
        </is>
      </c>
      <c r="H8438" s="8">
        <f>HYPERLINK("https://dart.fss.or.kr/dsaf001/main.do?rcpNo=20260601801515", "공시열람")</f>
        <v/>
      </c>
    </row>
    <row r="8439">
      <c r="A8439" s="2" t="inlineStr">
        <is>
          <t>2026-06-01</t>
        </is>
      </c>
      <c r="B8439" s="3" t="inlineStr">
        <is>
          <t>한일홀딩스</t>
        </is>
      </c>
      <c r="C8439" s="2" t="inlineStr">
        <is>
          <t>코스피</t>
        </is>
      </c>
      <c r="D8439" s="2" t="inlineStr">
        <is>
          <t>003300</t>
        </is>
      </c>
      <c r="E8439" s="3" t="inlineStr">
        <is>
          <t xml:space="preserve">기업지배구조보고서공시              </t>
        </is>
      </c>
      <c r="F8439" s="3" t="inlineStr">
        <is>
          <t>한일홀딩스</t>
        </is>
      </c>
      <c r="G8439" s="2" t="inlineStr">
        <is>
          <t>20260601801294</t>
        </is>
      </c>
      <c r="H8439" s="8">
        <f>HYPERLINK("https://dart.fss.or.kr/dsaf001/main.do?rcpNo=20260601801294", "공시열람")</f>
        <v/>
      </c>
    </row>
    <row r="8440">
      <c r="A8440" s="2" t="inlineStr">
        <is>
          <t>2026-06-01</t>
        </is>
      </c>
      <c r="B8440" s="3" t="inlineStr">
        <is>
          <t>신한알파리츠</t>
        </is>
      </c>
      <c r="C8440" s="2" t="inlineStr">
        <is>
          <t>코스피</t>
        </is>
      </c>
      <c r="D8440" s="2" t="inlineStr">
        <is>
          <t>293940</t>
        </is>
      </c>
      <c r="E8440" s="3" t="inlineStr">
        <is>
          <t xml:space="preserve">기업지배구조보고서공시              </t>
        </is>
      </c>
      <c r="F8440" s="3" t="inlineStr">
        <is>
          <t>신한알파리츠</t>
        </is>
      </c>
      <c r="G8440" s="2" t="inlineStr">
        <is>
          <t>20260601801513</t>
        </is>
      </c>
      <c r="H8440" s="8">
        <f>HYPERLINK("https://dart.fss.or.kr/dsaf001/main.do?rcpNo=20260601801513", "공시열람")</f>
        <v/>
      </c>
    </row>
    <row r="8441">
      <c r="A8441" s="2" t="inlineStr">
        <is>
          <t>2026-06-01</t>
        </is>
      </c>
      <c r="B8441" s="3" t="inlineStr">
        <is>
          <t>CJ ENM</t>
        </is>
      </c>
      <c r="C8441" s="2" t="inlineStr">
        <is>
          <t>코스닥</t>
        </is>
      </c>
      <c r="D8441" s="2" t="inlineStr">
        <is>
          <t>035760</t>
        </is>
      </c>
      <c r="E8441" s="3" t="inlineStr">
        <is>
          <t>대규모기업집단현황공시[연1회공시및1/4분기용(개별회사)]</t>
        </is>
      </c>
      <c r="F8441" s="3" t="inlineStr">
        <is>
          <t>CJ ENM</t>
        </is>
      </c>
      <c r="G8441" s="2" t="inlineStr">
        <is>
          <t>20260601001724</t>
        </is>
      </c>
      <c r="H8441" s="8">
        <f>HYPERLINK("https://dart.fss.or.kr/dsaf001/main.do?rcpNo=20260601001724", "공시열람")</f>
        <v/>
      </c>
    </row>
    <row r="8442">
      <c r="A8442" s="2" t="inlineStr">
        <is>
          <t>2026-06-01</t>
        </is>
      </c>
      <c r="B8442" s="3" t="inlineStr">
        <is>
          <t>다스코</t>
        </is>
      </c>
      <c r="C8442" s="2" t="inlineStr">
        <is>
          <t>코스피</t>
        </is>
      </c>
      <c r="D8442" s="2" t="inlineStr">
        <is>
          <t>058730</t>
        </is>
      </c>
      <c r="E8442" s="3" t="inlineStr">
        <is>
          <t xml:space="preserve">기업지배구조보고서공시              </t>
        </is>
      </c>
      <c r="F8442" s="3" t="inlineStr">
        <is>
          <t>다스코</t>
        </is>
      </c>
      <c r="G8442" s="2" t="inlineStr">
        <is>
          <t>20260601801510</t>
        </is>
      </c>
      <c r="H8442" s="8">
        <f>HYPERLINK("https://dart.fss.or.kr/dsaf001/main.do?rcpNo=20260601801510", "공시열람")</f>
        <v/>
      </c>
    </row>
    <row r="8443">
      <c r="A8443" s="2" t="inlineStr">
        <is>
          <t>2026-06-01</t>
        </is>
      </c>
      <c r="B8443" s="3" t="inlineStr">
        <is>
          <t>오리온홀딩스</t>
        </is>
      </c>
      <c r="C8443" s="2" t="inlineStr">
        <is>
          <t>코스피</t>
        </is>
      </c>
      <c r="D8443" s="2" t="inlineStr">
        <is>
          <t>001800</t>
        </is>
      </c>
      <c r="E8443" s="3" t="inlineStr">
        <is>
          <t>대규모기업집단현황공시[연1회(동일인용)]</t>
        </is>
      </c>
      <c r="F8443" s="3" t="inlineStr">
        <is>
          <t>담철곤</t>
        </is>
      </c>
      <c r="G8443" s="2" t="inlineStr">
        <is>
          <t>20260601001722</t>
        </is>
      </c>
      <c r="H8443" s="8">
        <f>HYPERLINK("https://dart.fss.or.kr/dsaf001/main.do?rcpNo=20260601001722", "공시열람")</f>
        <v/>
      </c>
    </row>
    <row r="8444">
      <c r="A8444" s="2" t="inlineStr">
        <is>
          <t>2026-06-01</t>
        </is>
      </c>
      <c r="B8444" s="3" t="inlineStr">
        <is>
          <t>미원상사</t>
        </is>
      </c>
      <c r="C8444" s="2" t="inlineStr">
        <is>
          <t>코스피</t>
        </is>
      </c>
      <c r="D8444" s="2" t="inlineStr">
        <is>
          <t>002840</t>
        </is>
      </c>
      <c r="E8444" s="3" t="inlineStr">
        <is>
          <t>자기주식취득결과보고서</t>
        </is>
      </c>
      <c r="F8444" s="3" t="inlineStr">
        <is>
          <t>미원상사</t>
        </is>
      </c>
      <c r="G8444" s="2" t="inlineStr">
        <is>
          <t>20260601001721</t>
        </is>
      </c>
      <c r="H8444" s="8">
        <f>HYPERLINK("https://dart.fss.or.kr/dsaf001/main.do?rcpNo=20260601001721", "공시열람")</f>
        <v/>
      </c>
    </row>
    <row r="8445">
      <c r="A8445" s="2" t="inlineStr">
        <is>
          <t>2026-06-01</t>
        </is>
      </c>
      <c r="B8445" s="3" t="inlineStr">
        <is>
          <t>인팩</t>
        </is>
      </c>
      <c r="C8445" s="2" t="inlineStr">
        <is>
          <t>코스피</t>
        </is>
      </c>
      <c r="D8445" s="2" t="inlineStr">
        <is>
          <t>023810</t>
        </is>
      </c>
      <c r="E8445" s="3" t="inlineStr">
        <is>
          <t xml:space="preserve">기업지배구조보고서공시              </t>
        </is>
      </c>
      <c r="F8445" s="3" t="inlineStr">
        <is>
          <t>인팩</t>
        </is>
      </c>
      <c r="G8445" s="2" t="inlineStr">
        <is>
          <t>20260601801365</t>
        </is>
      </c>
      <c r="H8445" s="8">
        <f>HYPERLINK("https://dart.fss.or.kr/dsaf001/main.do?rcpNo=20260601801365", "공시열람")</f>
        <v/>
      </c>
    </row>
    <row r="8446">
      <c r="A8446" s="2" t="inlineStr">
        <is>
          <t>2026-06-01</t>
        </is>
      </c>
      <c r="B8446" s="3" t="inlineStr">
        <is>
          <t>트리니티항공</t>
        </is>
      </c>
      <c r="C8446" s="2" t="inlineStr">
        <is>
          <t>코스피</t>
        </is>
      </c>
      <c r="D8446" s="2" t="inlineStr">
        <is>
          <t>091810</t>
        </is>
      </c>
      <c r="E8446" s="3" t="inlineStr">
        <is>
          <t>대규모기업집단현황공시[연1회공시및1/4분기용(개별회사)]</t>
        </is>
      </c>
      <c r="F8446" s="3" t="inlineStr">
        <is>
          <t>트리니티항공</t>
        </is>
      </c>
      <c r="G8446" s="2" t="inlineStr">
        <is>
          <t>20260601001719</t>
        </is>
      </c>
      <c r="H8446" s="8">
        <f>HYPERLINK("https://dart.fss.or.kr/dsaf001/main.do?rcpNo=20260601001719", "공시열람")</f>
        <v/>
      </c>
    </row>
    <row r="8447">
      <c r="A8447" s="2" t="inlineStr">
        <is>
          <t>2026-06-01</t>
        </is>
      </c>
      <c r="B8447" s="3" t="inlineStr">
        <is>
          <t>PKC</t>
        </is>
      </c>
      <c r="C8447" s="2" t="inlineStr">
        <is>
          <t>코스피</t>
        </is>
      </c>
      <c r="D8447" s="2" t="inlineStr">
        <is>
          <t>001340</t>
        </is>
      </c>
      <c r="E8447" s="3" t="inlineStr">
        <is>
          <t xml:space="preserve">기업지배구조보고서공시              </t>
        </is>
      </c>
      <c r="F8447" s="3" t="inlineStr">
        <is>
          <t>PKC</t>
        </is>
      </c>
      <c r="G8447" s="2" t="inlineStr">
        <is>
          <t>20260601801503</t>
        </is>
      </c>
      <c r="H8447" s="8">
        <f>HYPERLINK("https://dart.fss.or.kr/dsaf001/main.do?rcpNo=20260601801503", "공시열람")</f>
        <v/>
      </c>
    </row>
    <row r="8448">
      <c r="A8448" s="2" t="inlineStr">
        <is>
          <t>2026-06-01</t>
        </is>
      </c>
      <c r="B8448" s="3" t="inlineStr">
        <is>
          <t>모비릭스</t>
        </is>
      </c>
      <c r="C8448" s="2" t="inlineStr">
        <is>
          <t>코스닥</t>
        </is>
      </c>
      <c r="D8448" s="2" t="inlineStr">
        <is>
          <t>348030</t>
        </is>
      </c>
      <c r="E8448" s="3" t="inlineStr">
        <is>
          <t xml:space="preserve">주주명부폐쇄기간또는기준일설정              </t>
        </is>
      </c>
      <c r="F8448" s="3" t="inlineStr">
        <is>
          <t>모비릭스</t>
        </is>
      </c>
      <c r="G8448" s="2" t="inlineStr">
        <is>
          <t>20260601901508</t>
        </is>
      </c>
      <c r="H8448" s="8">
        <f>HYPERLINK("https://dart.fss.or.kr/dsaf001/main.do?rcpNo=20260601901508", "공시열람")</f>
        <v/>
      </c>
    </row>
    <row r="8449">
      <c r="A8449" s="2" t="inlineStr">
        <is>
          <t>2026-06-01</t>
        </is>
      </c>
      <c r="B8449" s="3" t="inlineStr">
        <is>
          <t>키움증권</t>
        </is>
      </c>
      <c r="C8449" s="2" t="inlineStr">
        <is>
          <t>코스피</t>
        </is>
      </c>
      <c r="D8449" s="2" t="inlineStr">
        <is>
          <t>039490</t>
        </is>
      </c>
      <c r="E8449" s="3" t="inlineStr">
        <is>
          <t>증권발행실적보고서</t>
        </is>
      </c>
      <c r="F8449" s="3" t="inlineStr">
        <is>
          <t>키움증권</t>
        </is>
      </c>
      <c r="G8449" s="2" t="inlineStr">
        <is>
          <t>20260601001715</t>
        </is>
      </c>
      <c r="H8449" s="8">
        <f>HYPERLINK("https://dart.fss.or.kr/dsaf001/main.do?rcpNo=20260601001715", "공시열람")</f>
        <v/>
      </c>
    </row>
    <row r="8450">
      <c r="A8450" s="2" t="inlineStr">
        <is>
          <t>2026-06-01 (정정: 2026-06-26)</t>
        </is>
      </c>
      <c r="B8450" s="3" t="inlineStr">
        <is>
          <t>한일시멘트</t>
        </is>
      </c>
      <c r="C8450" s="2" t="inlineStr">
        <is>
          <t>코스피</t>
        </is>
      </c>
      <c r="D8450" s="2" t="inlineStr">
        <is>
          <t>300720</t>
        </is>
      </c>
      <c r="E8450" s="3" t="inlineStr">
        <is>
          <t>기업지배구조보고서공시               (정정: 20260626)</t>
        </is>
      </c>
      <c r="F8450" s="3" t="inlineStr">
        <is>
          <t>한일시멘트</t>
        </is>
      </c>
      <c r="G8450" s="2" t="inlineStr">
        <is>
          <t>20260626800988</t>
        </is>
      </c>
      <c r="H8450" s="8">
        <f>HYPERLINK("https://dart.fss.or.kr/dsaf001/main.do?rcpNo=20260626800988", "공시열람")</f>
        <v/>
      </c>
    </row>
    <row r="8451">
      <c r="A8451" s="2" t="inlineStr">
        <is>
          <t>2026-06-01</t>
        </is>
      </c>
      <c r="B8451" s="3" t="inlineStr">
        <is>
          <t>한국수출포장공업</t>
        </is>
      </c>
      <c r="C8451" s="2" t="inlineStr">
        <is>
          <t>코스피</t>
        </is>
      </c>
      <c r="D8451" s="2" t="inlineStr">
        <is>
          <t>002200</t>
        </is>
      </c>
      <c r="E8451" s="3" t="inlineStr">
        <is>
          <t xml:space="preserve">기업지배구조보고서공시              </t>
        </is>
      </c>
      <c r="F8451" s="3" t="inlineStr">
        <is>
          <t>한국수출포장공업</t>
        </is>
      </c>
      <c r="G8451" s="2" t="inlineStr">
        <is>
          <t>20260601801499</t>
        </is>
      </c>
      <c r="H8451" s="8">
        <f>HYPERLINK("https://dart.fss.or.kr/dsaf001/main.do?rcpNo=20260601801499", "공시열람")</f>
        <v/>
      </c>
    </row>
    <row r="8452">
      <c r="A8452" s="2" t="inlineStr">
        <is>
          <t>2026-06-01</t>
        </is>
      </c>
      <c r="B8452" s="3" t="inlineStr">
        <is>
          <t>삼양패키징</t>
        </is>
      </c>
      <c r="C8452" s="2" t="inlineStr">
        <is>
          <t>코스피</t>
        </is>
      </c>
      <c r="D8452" s="2" t="inlineStr">
        <is>
          <t>272550</t>
        </is>
      </c>
      <c r="E8452" s="3" t="inlineStr">
        <is>
          <t xml:space="preserve">기업지배구조보고서공시              </t>
        </is>
      </c>
      <c r="F8452" s="3" t="inlineStr">
        <is>
          <t>삼양패키징</t>
        </is>
      </c>
      <c r="G8452" s="2" t="inlineStr">
        <is>
          <t>20260601801404</t>
        </is>
      </c>
      <c r="H8452" s="8">
        <f>HYPERLINK("https://dart.fss.or.kr/dsaf001/main.do?rcpNo=20260601801404", "공시열람")</f>
        <v/>
      </c>
    </row>
    <row r="8453">
      <c r="A8453" s="2" t="inlineStr">
        <is>
          <t>2026-06-01</t>
        </is>
      </c>
      <c r="B8453" s="3" t="inlineStr">
        <is>
          <t>삼익THK</t>
        </is>
      </c>
      <c r="C8453" s="2" t="inlineStr">
        <is>
          <t>코스피</t>
        </is>
      </c>
      <c r="D8453" s="2" t="inlineStr">
        <is>
          <t>004380</t>
        </is>
      </c>
      <c r="E8453" s="3" t="inlineStr">
        <is>
          <t xml:space="preserve">기업지배구조보고서공시              </t>
        </is>
      </c>
      <c r="F8453" s="3" t="inlineStr">
        <is>
          <t>삼익THK</t>
        </is>
      </c>
      <c r="G8453" s="2" t="inlineStr">
        <is>
          <t>20260601801488</t>
        </is>
      </c>
      <c r="H8453" s="8">
        <f>HYPERLINK("https://dart.fss.or.kr/dsaf001/main.do?rcpNo=20260601801488", "공시열람")</f>
        <v/>
      </c>
    </row>
    <row r="8454">
      <c r="A8454" s="2" t="inlineStr">
        <is>
          <t>2026-06-01</t>
        </is>
      </c>
      <c r="B8454" s="3" t="inlineStr">
        <is>
          <t>대한해운</t>
        </is>
      </c>
      <c r="C8454" s="2" t="inlineStr">
        <is>
          <t>코스피</t>
        </is>
      </c>
      <c r="D8454" s="2" t="inlineStr">
        <is>
          <t>005880</t>
        </is>
      </c>
      <c r="E8454" s="3" t="inlineStr">
        <is>
          <t>[기재정정]대규모기업집단현황공시[연1회공시및1/4분기용(대표회사)]</t>
        </is>
      </c>
      <c r="F8454" s="3" t="inlineStr">
        <is>
          <t>대한해운</t>
        </is>
      </c>
      <c r="G8454" s="2" t="inlineStr">
        <is>
          <t>20260601001707</t>
        </is>
      </c>
      <c r="H8454" s="8">
        <f>HYPERLINK("https://dart.fss.or.kr/dsaf001/main.do?rcpNo=20260601001707", "공시열람")</f>
        <v/>
      </c>
    </row>
    <row r="8455">
      <c r="A8455" s="2" t="inlineStr">
        <is>
          <t>2026-06-01</t>
        </is>
      </c>
      <c r="B8455" s="3" t="inlineStr">
        <is>
          <t>한국내화</t>
        </is>
      </c>
      <c r="C8455" s="2" t="inlineStr">
        <is>
          <t>코스피</t>
        </is>
      </c>
      <c r="D8455" s="2" t="inlineStr">
        <is>
          <t>010040</t>
        </is>
      </c>
      <c r="E8455" s="3" t="inlineStr">
        <is>
          <t xml:space="preserve">기업지배구조보고서공시              </t>
        </is>
      </c>
      <c r="F8455" s="3" t="inlineStr">
        <is>
          <t>한국내화</t>
        </is>
      </c>
      <c r="G8455" s="2" t="inlineStr">
        <is>
          <t>20260601801494</t>
        </is>
      </c>
      <c r="H8455" s="8">
        <f>HYPERLINK("https://dart.fss.or.kr/dsaf001/main.do?rcpNo=20260601801494", "공시열람")</f>
        <v/>
      </c>
    </row>
    <row r="8456">
      <c r="A8456" s="2" t="inlineStr">
        <is>
          <t>2026-06-01</t>
        </is>
      </c>
      <c r="B8456" s="3" t="inlineStr">
        <is>
          <t>애경산업</t>
        </is>
      </c>
      <c r="C8456" s="2" t="inlineStr">
        <is>
          <t>코스피</t>
        </is>
      </c>
      <c r="D8456" s="2" t="inlineStr">
        <is>
          <t>018250</t>
        </is>
      </c>
      <c r="E8456" s="3" t="inlineStr">
        <is>
          <t>대규모기업집단현황공시[연1회공시및1/4분기용(개별회사)]</t>
        </is>
      </c>
      <c r="F8456" s="3" t="inlineStr">
        <is>
          <t>애경산업</t>
        </is>
      </c>
      <c r="G8456" s="2" t="inlineStr">
        <is>
          <t>20260601001699</t>
        </is>
      </c>
      <c r="H8456" s="8">
        <f>HYPERLINK("https://dart.fss.or.kr/dsaf001/main.do?rcpNo=20260601001699", "공시열람")</f>
        <v/>
      </c>
    </row>
    <row r="8457">
      <c r="A8457" s="2" t="inlineStr">
        <is>
          <t>2026-06-01</t>
        </is>
      </c>
      <c r="B8457" s="3" t="inlineStr">
        <is>
          <t>동부건설</t>
        </is>
      </c>
      <c r="C8457" s="2" t="inlineStr">
        <is>
          <t>코스피</t>
        </is>
      </c>
      <c r="D8457" s="2" t="inlineStr">
        <is>
          <t>005960</t>
        </is>
      </c>
      <c r="E8457" s="3" t="inlineStr">
        <is>
          <t xml:space="preserve">기업지배구조보고서공시              </t>
        </is>
      </c>
      <c r="F8457" s="3" t="inlineStr">
        <is>
          <t>동부건설</t>
        </is>
      </c>
      <c r="G8457" s="2" t="inlineStr">
        <is>
          <t>20260601801473</t>
        </is>
      </c>
      <c r="H8457" s="8">
        <f>HYPERLINK("https://dart.fss.or.kr/dsaf001/main.do?rcpNo=20260601801473", "공시열람")</f>
        <v/>
      </c>
    </row>
    <row r="8458">
      <c r="A8458" s="2" t="inlineStr">
        <is>
          <t>2026-06-01</t>
        </is>
      </c>
      <c r="B8458" s="3" t="inlineStr">
        <is>
          <t>미원상사</t>
        </is>
      </c>
      <c r="C8458" s="2" t="inlineStr">
        <is>
          <t>코스피</t>
        </is>
      </c>
      <c r="D8458" s="2" t="inlineStr">
        <is>
          <t>002840</t>
        </is>
      </c>
      <c r="E8458" s="3" t="inlineStr">
        <is>
          <t xml:space="preserve">기업지배구조보고서공시              </t>
        </is>
      </c>
      <c r="F8458" s="3" t="inlineStr">
        <is>
          <t>미원상사</t>
        </is>
      </c>
      <c r="G8458" s="2" t="inlineStr">
        <is>
          <t>20260601801478</t>
        </is>
      </c>
      <c r="H8458" s="8">
        <f>HYPERLINK("https://dart.fss.or.kr/dsaf001/main.do?rcpNo=20260601801478", "공시열람")</f>
        <v/>
      </c>
    </row>
    <row r="8459">
      <c r="A8459" s="2" t="inlineStr">
        <is>
          <t>2026-06-01</t>
        </is>
      </c>
      <c r="B8459" s="3" t="inlineStr">
        <is>
          <t>삼성물산</t>
        </is>
      </c>
      <c r="C8459" s="2" t="inlineStr">
        <is>
          <t>코스피</t>
        </is>
      </c>
      <c r="D8459" s="2" t="inlineStr">
        <is>
          <t>028260</t>
        </is>
      </c>
      <c r="E8459" s="3" t="inlineStr">
        <is>
          <t>특수관계인에대한출자</t>
        </is>
      </c>
      <c r="F8459" s="3" t="inlineStr">
        <is>
          <t>삼성물산</t>
        </is>
      </c>
      <c r="G8459" s="2" t="inlineStr">
        <is>
          <t>20260601001697</t>
        </is>
      </c>
      <c r="H8459" s="8">
        <f>HYPERLINK("https://dart.fss.or.kr/dsaf001/main.do?rcpNo=20260601001697", "공시열람")</f>
        <v/>
      </c>
    </row>
    <row r="8460">
      <c r="A8460" s="2" t="inlineStr">
        <is>
          <t>2026-06-01</t>
        </is>
      </c>
      <c r="B8460" s="3" t="inlineStr">
        <is>
          <t>현대건설</t>
        </is>
      </c>
      <c r="C8460" s="2" t="inlineStr">
        <is>
          <t>코스피</t>
        </is>
      </c>
      <c r="D8460" s="2" t="inlineStr">
        <is>
          <t>000720</t>
        </is>
      </c>
      <c r="E8460" s="3" t="inlineStr">
        <is>
          <t xml:space="preserve">기업지배구조보고서공시              </t>
        </is>
      </c>
      <c r="F8460" s="3" t="inlineStr">
        <is>
          <t>현대건설</t>
        </is>
      </c>
      <c r="G8460" s="2" t="inlineStr">
        <is>
          <t>20260601801354</t>
        </is>
      </c>
      <c r="H8460" s="8">
        <f>HYPERLINK("https://dart.fss.or.kr/dsaf001/main.do?rcpNo=20260601801354", "공시열람")</f>
        <v/>
      </c>
    </row>
    <row r="8461">
      <c r="A8461" s="2" t="inlineStr">
        <is>
          <t>2026-06-01</t>
        </is>
      </c>
      <c r="B8461" s="3" t="inlineStr">
        <is>
          <t>휴젤</t>
        </is>
      </c>
      <c r="C8461" s="2" t="inlineStr">
        <is>
          <t>코스닥</t>
        </is>
      </c>
      <c r="D8461" s="2" t="inlineStr">
        <is>
          <t>145020</t>
        </is>
      </c>
      <c r="E8461" s="3" t="inlineStr">
        <is>
          <t>대규모기업집단현황공시[연1회공시및1/4분기용(개별회사)]</t>
        </is>
      </c>
      <c r="F8461" s="3" t="inlineStr">
        <is>
          <t>휴젤</t>
        </is>
      </c>
      <c r="G8461" s="2" t="inlineStr">
        <is>
          <t>20260601001695</t>
        </is>
      </c>
      <c r="H8461" s="8">
        <f>HYPERLINK("https://dart.fss.or.kr/dsaf001/main.do?rcpNo=20260601001695", "공시열람")</f>
        <v/>
      </c>
    </row>
    <row r="8462">
      <c r="A8462" s="2" t="inlineStr">
        <is>
          <t>2026-06-01</t>
        </is>
      </c>
      <c r="B8462" s="3" t="inlineStr">
        <is>
          <t>LG</t>
        </is>
      </c>
      <c r="C8462" s="2" t="inlineStr">
        <is>
          <t>코스피</t>
        </is>
      </c>
      <c r="D8462" s="2" t="inlineStr">
        <is>
          <t>003550</t>
        </is>
      </c>
      <c r="E8462" s="3" t="inlineStr">
        <is>
          <t xml:space="preserve">기업지배구조보고서공시              </t>
        </is>
      </c>
      <c r="F8462" s="3" t="inlineStr">
        <is>
          <t>LG</t>
        </is>
      </c>
      <c r="G8462" s="2" t="inlineStr">
        <is>
          <t>20260601801229</t>
        </is>
      </c>
      <c r="H8462" s="8">
        <f>HYPERLINK("https://dart.fss.or.kr/dsaf001/main.do?rcpNo=20260601801229", "공시열람")</f>
        <v/>
      </c>
    </row>
    <row r="8463">
      <c r="A8463" s="2" t="inlineStr">
        <is>
          <t>2026-06-01</t>
        </is>
      </c>
      <c r="B8463" s="3" t="inlineStr">
        <is>
          <t>F&amp;F</t>
        </is>
      </c>
      <c r="C8463" s="2" t="inlineStr">
        <is>
          <t>코스피</t>
        </is>
      </c>
      <c r="D8463" s="2" t="inlineStr">
        <is>
          <t>383220</t>
        </is>
      </c>
      <c r="E8463" s="3" t="inlineStr">
        <is>
          <t xml:space="preserve">기업지배구조보고서공시              </t>
        </is>
      </c>
      <c r="F8463" s="3" t="inlineStr">
        <is>
          <t>F&amp;F</t>
        </is>
      </c>
      <c r="G8463" s="2" t="inlineStr">
        <is>
          <t>20260601801461</t>
        </is>
      </c>
      <c r="H8463" s="8">
        <f>HYPERLINK("https://dart.fss.or.kr/dsaf001/main.do?rcpNo=20260601801461", "공시열람")</f>
        <v/>
      </c>
    </row>
    <row r="8464">
      <c r="A8464" s="2" t="inlineStr">
        <is>
          <t>2026-06-01</t>
        </is>
      </c>
      <c r="B8464" s="3" t="inlineStr">
        <is>
          <t>세아제강지주</t>
        </is>
      </c>
      <c r="C8464" s="2" t="inlineStr">
        <is>
          <t>코스피</t>
        </is>
      </c>
      <c r="D8464" s="2" t="inlineStr">
        <is>
          <t>003030</t>
        </is>
      </c>
      <c r="E8464" s="3" t="inlineStr">
        <is>
          <t xml:space="preserve">기업지배구조보고서공시              </t>
        </is>
      </c>
      <c r="F8464" s="3" t="inlineStr">
        <is>
          <t>세아제강지주</t>
        </is>
      </c>
      <c r="G8464" s="2" t="inlineStr">
        <is>
          <t>20260601801477</t>
        </is>
      </c>
      <c r="H8464" s="8">
        <f>HYPERLINK("https://dart.fss.or.kr/dsaf001/main.do?rcpNo=20260601801477", "공시열람")</f>
        <v/>
      </c>
    </row>
    <row r="8465">
      <c r="A8465" s="2" t="inlineStr">
        <is>
          <t>2026-06-01</t>
        </is>
      </c>
      <c r="B8465" s="3" t="inlineStr">
        <is>
          <t>플루토스</t>
        </is>
      </c>
      <c r="C8465" s="2" t="inlineStr">
        <is>
          <t>코스닥</t>
        </is>
      </c>
      <c r="D8465" s="2" t="inlineStr">
        <is>
          <t>019570</t>
        </is>
      </c>
      <c r="E8465" s="3" t="inlineStr">
        <is>
          <t xml:space="preserve">상호변경안내              </t>
        </is>
      </c>
      <c r="F8465" s="3" t="inlineStr">
        <is>
          <t>플루토스</t>
        </is>
      </c>
      <c r="G8465" s="2" t="inlineStr">
        <is>
          <t>20260601901482</t>
        </is>
      </c>
      <c r="H8465" s="8">
        <f>HYPERLINK("https://dart.fss.or.kr/dsaf001/main.do?rcpNo=20260601901482", "공시열람")</f>
        <v/>
      </c>
    </row>
    <row r="8466">
      <c r="A8466" s="2" t="inlineStr">
        <is>
          <t>2026-06-01</t>
        </is>
      </c>
      <c r="B8466" s="3" t="inlineStr">
        <is>
          <t>코오롱글로벌</t>
        </is>
      </c>
      <c r="C8466" s="2" t="inlineStr">
        <is>
          <t>코스피</t>
        </is>
      </c>
      <c r="D8466" s="2" t="inlineStr">
        <is>
          <t>003070</t>
        </is>
      </c>
      <c r="E8466" s="3" t="inlineStr">
        <is>
          <t xml:space="preserve">기업지배구조보고서공시              </t>
        </is>
      </c>
      <c r="F8466" s="3" t="inlineStr">
        <is>
          <t>코오롱글로벌</t>
        </is>
      </c>
      <c r="G8466" s="2" t="inlineStr">
        <is>
          <t>20260601801359</t>
        </is>
      </c>
      <c r="H8466" s="8">
        <f>HYPERLINK("https://dart.fss.or.kr/dsaf001/main.do?rcpNo=20260601801359", "공시열람")</f>
        <v/>
      </c>
    </row>
    <row r="8467">
      <c r="A8467" s="2" t="inlineStr">
        <is>
          <t>2026-06-01 (정정: 2026-06-25)</t>
        </is>
      </c>
      <c r="B8467" s="3" t="inlineStr">
        <is>
          <t>비상교육</t>
        </is>
      </c>
      <c r="C8467" s="2" t="inlineStr">
        <is>
          <t>코스피</t>
        </is>
      </c>
      <c r="D8467" s="2" t="inlineStr">
        <is>
          <t>100220</t>
        </is>
      </c>
      <c r="E8467" s="3" t="inlineStr">
        <is>
          <t>기업지배구조보고서공시               (정정: 20260625)</t>
        </is>
      </c>
      <c r="F8467" s="3" t="inlineStr">
        <is>
          <t>비상교육</t>
        </is>
      </c>
      <c r="G8467" s="2" t="inlineStr">
        <is>
          <t>20260625000299</t>
        </is>
      </c>
      <c r="H8467" s="8">
        <f>HYPERLINK("https://dart.fss.or.kr/dsaf001/main.do?rcpNo=20260625000299", "공시열람")</f>
        <v/>
      </c>
    </row>
    <row r="8468">
      <c r="A8468" s="2" t="inlineStr">
        <is>
          <t>2026-06-01</t>
        </is>
      </c>
      <c r="B8468" s="3" t="inlineStr">
        <is>
          <t>LX홀딩스</t>
        </is>
      </c>
      <c r="C8468" s="2" t="inlineStr">
        <is>
          <t>코스피</t>
        </is>
      </c>
      <c r="D8468" s="2" t="inlineStr">
        <is>
          <t>383800</t>
        </is>
      </c>
      <c r="E8468" s="3" t="inlineStr">
        <is>
          <t xml:space="preserve">기업지배구조보고서공시              </t>
        </is>
      </c>
      <c r="F8468" s="3" t="inlineStr">
        <is>
          <t>LX홀딩스</t>
        </is>
      </c>
      <c r="G8468" s="2" t="inlineStr">
        <is>
          <t>20260601801430</t>
        </is>
      </c>
      <c r="H8468" s="8">
        <f>HYPERLINK("https://dart.fss.or.kr/dsaf001/main.do?rcpNo=20260601801430", "공시열람")</f>
        <v/>
      </c>
    </row>
    <row r="8469">
      <c r="A8469" s="2" t="inlineStr">
        <is>
          <t>2026-06-01</t>
        </is>
      </c>
      <c r="B8469" s="3" t="inlineStr">
        <is>
          <t>세이브존I&amp;C</t>
        </is>
      </c>
      <c r="C8469" s="2" t="inlineStr">
        <is>
          <t>코스피</t>
        </is>
      </c>
      <c r="D8469" s="2" t="inlineStr">
        <is>
          <t>067830</t>
        </is>
      </c>
      <c r="E8469" s="3" t="inlineStr">
        <is>
          <t xml:space="preserve">기업지배구조보고서공시              </t>
        </is>
      </c>
      <c r="F8469" s="3" t="inlineStr">
        <is>
          <t>세이브존I&amp;C</t>
        </is>
      </c>
      <c r="G8469" s="2" t="inlineStr">
        <is>
          <t>20260601800282</t>
        </is>
      </c>
      <c r="H8469" s="8">
        <f>HYPERLINK("https://dart.fss.or.kr/dsaf001/main.do?rcpNo=20260601800282", "공시열람")</f>
        <v/>
      </c>
    </row>
    <row r="8470">
      <c r="A8470" s="2" t="inlineStr">
        <is>
          <t>2026-06-01</t>
        </is>
      </c>
      <c r="B8470" s="3" t="inlineStr">
        <is>
          <t>티사이언티픽</t>
        </is>
      </c>
      <c r="C8470" s="2" t="inlineStr">
        <is>
          <t>코스닥</t>
        </is>
      </c>
      <c r="D8470" s="2" t="inlineStr">
        <is>
          <t>057680</t>
        </is>
      </c>
      <c r="E8470" s="3" t="inlineStr">
        <is>
          <t xml:space="preserve">전환가액의조정              </t>
        </is>
      </c>
      <c r="F8470" s="3" t="inlineStr">
        <is>
          <t>티사이언티픽</t>
        </is>
      </c>
      <c r="G8470" s="2" t="inlineStr">
        <is>
          <t>20260601901469</t>
        </is>
      </c>
      <c r="H8470" s="8">
        <f>HYPERLINK("https://dart.fss.or.kr/dsaf001/main.do?rcpNo=20260601901469", "공시열람")</f>
        <v/>
      </c>
    </row>
    <row r="8471">
      <c r="A8471" s="2" t="inlineStr">
        <is>
          <t>2026-06-01</t>
        </is>
      </c>
      <c r="B8471" s="3" t="inlineStr">
        <is>
          <t>DB하이텍</t>
        </is>
      </c>
      <c r="C8471" s="2" t="inlineStr">
        <is>
          <t>코스피</t>
        </is>
      </c>
      <c r="D8471" s="2" t="inlineStr">
        <is>
          <t>000990</t>
        </is>
      </c>
      <c r="E8471" s="3" t="inlineStr">
        <is>
          <t xml:space="preserve">기업지배구조보고서공시              </t>
        </is>
      </c>
      <c r="F8471" s="3" t="inlineStr">
        <is>
          <t>DB하이텍</t>
        </is>
      </c>
      <c r="G8471" s="2" t="inlineStr">
        <is>
          <t>20260601801456</t>
        </is>
      </c>
      <c r="H8471" s="8">
        <f>HYPERLINK("https://dart.fss.or.kr/dsaf001/main.do?rcpNo=20260601801456", "공시열람")</f>
        <v/>
      </c>
    </row>
    <row r="8472">
      <c r="A8472" s="2" t="inlineStr">
        <is>
          <t>2026-06-01 (정정: 2026-06-19)</t>
        </is>
      </c>
      <c r="B8472" s="3" t="inlineStr">
        <is>
          <t>삼부토건</t>
        </is>
      </c>
      <c r="C8472" s="2" t="inlineStr">
        <is>
          <t>코스피</t>
        </is>
      </c>
      <c r="D8472" s="2" t="inlineStr">
        <is>
          <t>001470</t>
        </is>
      </c>
      <c r="E8472" s="3" t="inlineStr">
        <is>
          <t>기업지배구조보고서공시               (정정: 20260619)</t>
        </is>
      </c>
      <c r="F8472" s="3" t="inlineStr">
        <is>
          <t>삼부토건</t>
        </is>
      </c>
      <c r="G8472" s="2" t="inlineStr">
        <is>
          <t>20260619801006</t>
        </is>
      </c>
      <c r="H8472" s="8">
        <f>HYPERLINK("https://dart.fss.or.kr/dsaf001/main.do?rcpNo=20260619801006", "공시열람")</f>
        <v/>
      </c>
    </row>
    <row r="8473">
      <c r="A8473" s="2" t="inlineStr">
        <is>
          <t>2026-06-01</t>
        </is>
      </c>
      <c r="B8473" s="3" t="inlineStr">
        <is>
          <t>한신기계공업</t>
        </is>
      </c>
      <c r="C8473" s="2" t="inlineStr">
        <is>
          <t>코스피</t>
        </is>
      </c>
      <c r="D8473" s="2" t="inlineStr">
        <is>
          <t>011700</t>
        </is>
      </c>
      <c r="E8473" s="3" t="inlineStr">
        <is>
          <t xml:space="preserve">기업지배구조보고서공시              </t>
        </is>
      </c>
      <c r="F8473" s="3" t="inlineStr">
        <is>
          <t>한신기계공업</t>
        </is>
      </c>
      <c r="G8473" s="2" t="inlineStr">
        <is>
          <t>20260601801458</t>
        </is>
      </c>
      <c r="H8473" s="8">
        <f>HYPERLINK("https://dart.fss.or.kr/dsaf001/main.do?rcpNo=20260601801458", "공시열람")</f>
        <v/>
      </c>
    </row>
    <row r="8474">
      <c r="A8474" s="2" t="inlineStr">
        <is>
          <t>2026-06-01</t>
        </is>
      </c>
      <c r="B8474" s="3" t="inlineStr">
        <is>
          <t>신대양제지</t>
        </is>
      </c>
      <c r="C8474" s="2" t="inlineStr">
        <is>
          <t>코스피</t>
        </is>
      </c>
      <c r="D8474" s="2" t="inlineStr">
        <is>
          <t>016590</t>
        </is>
      </c>
      <c r="E8474" s="3" t="inlineStr">
        <is>
          <t xml:space="preserve">[첨부추가]기업지배구조보고서공시              </t>
        </is>
      </c>
      <c r="F8474" s="3" t="inlineStr">
        <is>
          <t>신대양제지</t>
        </is>
      </c>
      <c r="G8474" s="2" t="inlineStr">
        <is>
          <t>20260601800890</t>
        </is>
      </c>
      <c r="H8474" s="8">
        <f>HYPERLINK("https://dart.fss.or.kr/dsaf001/main.do?rcpNo=20260601800890", "공시열람")</f>
        <v/>
      </c>
    </row>
    <row r="8475">
      <c r="A8475" s="2" t="inlineStr">
        <is>
          <t>2026-06-01</t>
        </is>
      </c>
      <c r="B8475" s="3" t="inlineStr">
        <is>
          <t>NAVER</t>
        </is>
      </c>
      <c r="C8475" s="2" t="inlineStr">
        <is>
          <t>코스피</t>
        </is>
      </c>
      <c r="D8475" s="2" t="inlineStr">
        <is>
          <t>035420</t>
        </is>
      </c>
      <c r="E8475" s="3" t="inlineStr">
        <is>
          <t xml:space="preserve">기업설명회(IR)개최(안내공시)              </t>
        </is>
      </c>
      <c r="F8475" s="3" t="inlineStr">
        <is>
          <t>NAVER</t>
        </is>
      </c>
      <c r="G8475" s="2" t="inlineStr">
        <is>
          <t>20260601801465</t>
        </is>
      </c>
      <c r="H8475" s="8">
        <f>HYPERLINK("https://dart.fss.or.kr/dsaf001/main.do?rcpNo=20260601801465", "공시열람")</f>
        <v/>
      </c>
    </row>
    <row r="8476">
      <c r="A8476" s="2" t="inlineStr">
        <is>
          <t>2026-06-01</t>
        </is>
      </c>
      <c r="B8476" s="3" t="inlineStr">
        <is>
          <t>프로젠</t>
        </is>
      </c>
      <c r="C8476" s="2" t="inlineStr">
        <is>
          <t>코넥스</t>
        </is>
      </c>
      <c r="D8476" s="2" t="inlineStr">
        <is>
          <t>296160</t>
        </is>
      </c>
      <c r="E8476" s="3" t="inlineStr">
        <is>
          <t xml:space="preserve">기업설명회(IR)개최              </t>
        </is>
      </c>
      <c r="F8476" s="3" t="inlineStr">
        <is>
          <t>프로젠</t>
        </is>
      </c>
      <c r="G8476" s="2" t="inlineStr">
        <is>
          <t>20260601601432</t>
        </is>
      </c>
      <c r="H8476" s="8">
        <f>HYPERLINK("https://dart.fss.or.kr/dsaf001/main.do?rcpNo=20260601601432", "공시열람")</f>
        <v/>
      </c>
    </row>
    <row r="8477">
      <c r="A8477" s="2" t="inlineStr">
        <is>
          <t>2026-06-01</t>
        </is>
      </c>
      <c r="B8477" s="3" t="inlineStr">
        <is>
          <t>해태제과식품</t>
        </is>
      </c>
      <c r="C8477" s="2" t="inlineStr">
        <is>
          <t>코스피</t>
        </is>
      </c>
      <c r="D8477" s="2" t="inlineStr">
        <is>
          <t>101530</t>
        </is>
      </c>
      <c r="E8477" s="3" t="inlineStr">
        <is>
          <t xml:space="preserve">기업지배구조보고서공시              </t>
        </is>
      </c>
      <c r="F8477" s="3" t="inlineStr">
        <is>
          <t>해태제과식품</t>
        </is>
      </c>
      <c r="G8477" s="2" t="inlineStr">
        <is>
          <t>20260601801459</t>
        </is>
      </c>
      <c r="H8477" s="8">
        <f>HYPERLINK("https://dart.fss.or.kr/dsaf001/main.do?rcpNo=20260601801459", "공시열람")</f>
        <v/>
      </c>
    </row>
    <row r="8478">
      <c r="A8478" s="2" t="inlineStr">
        <is>
          <t>2026-06-01 (정정: 2026-06-02)</t>
        </is>
      </c>
      <c r="B8478" s="3" t="inlineStr">
        <is>
          <t>전방</t>
        </is>
      </c>
      <c r="C8478" s="2" t="inlineStr">
        <is>
          <t>코스피</t>
        </is>
      </c>
      <c r="D8478" s="2" t="inlineStr">
        <is>
          <t>000950</t>
        </is>
      </c>
      <c r="E8478" s="3" t="inlineStr">
        <is>
          <t>기업지배구조보고서공시               (정정: 20260602) (정정: 20260602)</t>
        </is>
      </c>
      <c r="F8478" s="3" t="inlineStr">
        <is>
          <t>전방</t>
        </is>
      </c>
      <c r="G8478" s="2" t="inlineStr">
        <is>
          <t>20260602000431</t>
        </is>
      </c>
      <c r="H8478" s="8">
        <f>HYPERLINK("https://dart.fss.or.kr/dsaf001/main.do?rcpNo=20260602000431", "공시열람")</f>
        <v/>
      </c>
    </row>
    <row r="8479">
      <c r="A8479" s="2" t="inlineStr">
        <is>
          <t>2026-06-01</t>
        </is>
      </c>
      <c r="B8479" s="3" t="inlineStr">
        <is>
          <t>HL홀딩스</t>
        </is>
      </c>
      <c r="C8479" s="2" t="inlineStr">
        <is>
          <t>코스피</t>
        </is>
      </c>
      <c r="D8479" s="2" t="inlineStr">
        <is>
          <t>060980</t>
        </is>
      </c>
      <c r="E8479" s="3" t="inlineStr">
        <is>
          <t xml:space="preserve">기업지배구조보고서공시              </t>
        </is>
      </c>
      <c r="F8479" s="3" t="inlineStr">
        <is>
          <t>HL홀딩스</t>
        </is>
      </c>
      <c r="G8479" s="2" t="inlineStr">
        <is>
          <t>20260601801202</t>
        </is>
      </c>
      <c r="H8479" s="8">
        <f>HYPERLINK("https://dart.fss.or.kr/dsaf001/main.do?rcpNo=20260601801202", "공시열람")</f>
        <v/>
      </c>
    </row>
    <row r="8480">
      <c r="A8480" s="2" t="inlineStr">
        <is>
          <t>2026-06-01</t>
        </is>
      </c>
      <c r="B8480" s="3" t="inlineStr">
        <is>
          <t>LS증권</t>
        </is>
      </c>
      <c r="C8480" s="2" t="inlineStr">
        <is>
          <t>코스닥</t>
        </is>
      </c>
      <c r="D8480" s="2" t="inlineStr">
        <is>
          <t>078020</t>
        </is>
      </c>
      <c r="E8480" s="3" t="inlineStr">
        <is>
          <t>[기재정정]대규모기업집단현황공시[연1회공시및1/4분기용(개별회사)]</t>
        </is>
      </c>
      <c r="F8480" s="3" t="inlineStr">
        <is>
          <t>LS증권</t>
        </is>
      </c>
      <c r="G8480" s="2" t="inlineStr">
        <is>
          <t>20260601001682</t>
        </is>
      </c>
      <c r="H8480" s="8">
        <f>HYPERLINK("https://dart.fss.or.kr/dsaf001/main.do?rcpNo=20260601001682", "공시열람")</f>
        <v/>
      </c>
    </row>
    <row r="8481">
      <c r="A8481" s="2" t="inlineStr">
        <is>
          <t>2026-06-01</t>
        </is>
      </c>
      <c r="B8481" s="3" t="inlineStr">
        <is>
          <t>프레스티지바이오파마</t>
        </is>
      </c>
      <c r="C8481" s="2" t="inlineStr">
        <is>
          <t>코스피</t>
        </is>
      </c>
      <c r="D8481" s="2" t="inlineStr">
        <is>
          <t>950210</t>
        </is>
      </c>
      <c r="E8481" s="3" t="inlineStr">
        <is>
          <t xml:space="preserve">기업지배구조보고서공시              </t>
        </is>
      </c>
      <c r="F8481" s="3" t="inlineStr">
        <is>
          <t>프레스티지바이오파마</t>
        </is>
      </c>
      <c r="G8481" s="2" t="inlineStr">
        <is>
          <t>20260601801436</t>
        </is>
      </c>
      <c r="H8481" s="8">
        <f>HYPERLINK("https://dart.fss.or.kr/dsaf001/main.do?rcpNo=20260601801436", "공시열람")</f>
        <v/>
      </c>
    </row>
    <row r="8482">
      <c r="A8482" s="2" t="inlineStr">
        <is>
          <t>2026-06-01</t>
        </is>
      </c>
      <c r="B8482" s="3" t="inlineStr">
        <is>
          <t>키움증권</t>
        </is>
      </c>
      <c r="C8482" s="2" t="inlineStr">
        <is>
          <t>코스피</t>
        </is>
      </c>
      <c r="D8482" s="2" t="inlineStr">
        <is>
          <t>039490</t>
        </is>
      </c>
      <c r="E8482" s="3" t="inlineStr">
        <is>
          <t>투자설명서(일괄신고)</t>
        </is>
      </c>
      <c r="F8482" s="3" t="inlineStr">
        <is>
          <t>키움증권</t>
        </is>
      </c>
      <c r="G8482" s="2" t="inlineStr">
        <is>
          <t>20260601001674</t>
        </is>
      </c>
      <c r="H8482" s="8">
        <f>HYPERLINK("https://dart.fss.or.kr/dsaf001/main.do?rcpNo=20260601001674", "공시열람")</f>
        <v/>
      </c>
    </row>
    <row r="8483">
      <c r="A8483" s="2" t="inlineStr">
        <is>
          <t>2026-06-01</t>
        </is>
      </c>
      <c r="B8483" s="3" t="inlineStr">
        <is>
          <t>신세계</t>
        </is>
      </c>
      <c r="C8483" s="2" t="inlineStr">
        <is>
          <t>코스피</t>
        </is>
      </c>
      <c r="D8483" s="2" t="inlineStr">
        <is>
          <t>004170</t>
        </is>
      </c>
      <c r="E8483" s="3" t="inlineStr">
        <is>
          <t>증권발행실적보고서</t>
        </is>
      </c>
      <c r="F8483" s="3" t="inlineStr">
        <is>
          <t>신세계</t>
        </is>
      </c>
      <c r="G8483" s="2" t="inlineStr">
        <is>
          <t>20260601001671</t>
        </is>
      </c>
      <c r="H8483" s="8">
        <f>HYPERLINK("https://dart.fss.or.kr/dsaf001/main.do?rcpNo=20260601001671", "공시열람")</f>
        <v/>
      </c>
    </row>
    <row r="8484">
      <c r="A8484" s="2" t="inlineStr">
        <is>
          <t>2026-06-01</t>
        </is>
      </c>
      <c r="B8484" s="3" t="inlineStr">
        <is>
          <t>트리니티항공</t>
        </is>
      </c>
      <c r="C8484" s="2" t="inlineStr">
        <is>
          <t>코스피</t>
        </is>
      </c>
      <c r="D8484" s="2" t="inlineStr">
        <is>
          <t>091810</t>
        </is>
      </c>
      <c r="E8484" s="3" t="inlineStr">
        <is>
          <t xml:space="preserve">기업지배구조보고서공시              </t>
        </is>
      </c>
      <c r="F8484" s="3" t="inlineStr">
        <is>
          <t>트리니티항공</t>
        </is>
      </c>
      <c r="G8484" s="2" t="inlineStr">
        <is>
          <t>20260601801376</t>
        </is>
      </c>
      <c r="H8484" s="8">
        <f>HYPERLINK("https://dart.fss.or.kr/dsaf001/main.do?rcpNo=20260601801376", "공시열람")</f>
        <v/>
      </c>
    </row>
    <row r="8485">
      <c r="A8485" s="2" t="inlineStr">
        <is>
          <t>2026-06-01</t>
        </is>
      </c>
      <c r="B8485" s="3" t="inlineStr">
        <is>
          <t>미래아이앤지</t>
        </is>
      </c>
      <c r="C8485" s="2" t="inlineStr">
        <is>
          <t>코스피</t>
        </is>
      </c>
      <c r="D8485" s="2" t="inlineStr">
        <is>
          <t>007120</t>
        </is>
      </c>
      <c r="E8485" s="3" t="inlineStr">
        <is>
          <t xml:space="preserve">기업지배구조보고서공시              </t>
        </is>
      </c>
      <c r="F8485" s="3" t="inlineStr">
        <is>
          <t>미래아이앤지</t>
        </is>
      </c>
      <c r="G8485" s="2" t="inlineStr">
        <is>
          <t>20260601801405</t>
        </is>
      </c>
      <c r="H8485" s="8">
        <f>HYPERLINK("https://dart.fss.or.kr/dsaf001/main.do?rcpNo=20260601801405", "공시열람")</f>
        <v/>
      </c>
    </row>
    <row r="8486">
      <c r="A8486" s="2" t="inlineStr">
        <is>
          <t>2026-06-01</t>
        </is>
      </c>
      <c r="B8486" s="3" t="inlineStr">
        <is>
          <t>시디즈</t>
        </is>
      </c>
      <c r="C8486" s="2" t="inlineStr">
        <is>
          <t>코스피</t>
        </is>
      </c>
      <c r="D8486" s="2" t="inlineStr">
        <is>
          <t>134790</t>
        </is>
      </c>
      <c r="E8486" s="3" t="inlineStr">
        <is>
          <t xml:space="preserve">기업지배구조보고서공시              </t>
        </is>
      </c>
      <c r="F8486" s="3" t="inlineStr">
        <is>
          <t>시디즈</t>
        </is>
      </c>
      <c r="G8486" s="2" t="inlineStr">
        <is>
          <t>20260601801443</t>
        </is>
      </c>
      <c r="H8486" s="8">
        <f>HYPERLINK("https://dart.fss.or.kr/dsaf001/main.do?rcpNo=20260601801443", "공시열람")</f>
        <v/>
      </c>
    </row>
    <row r="8487">
      <c r="A8487" s="2" t="inlineStr">
        <is>
          <t>2026-06-01</t>
        </is>
      </c>
      <c r="B8487" s="3" t="inlineStr">
        <is>
          <t>티웨이홀딩스</t>
        </is>
      </c>
      <c r="C8487" s="2" t="inlineStr">
        <is>
          <t>코스피</t>
        </is>
      </c>
      <c r="D8487" s="2" t="inlineStr">
        <is>
          <t>004870</t>
        </is>
      </c>
      <c r="E8487" s="3" t="inlineStr">
        <is>
          <t xml:space="preserve">기업지배구조보고서공시              </t>
        </is>
      </c>
      <c r="F8487" s="3" t="inlineStr">
        <is>
          <t>티웨이홀딩스</t>
        </is>
      </c>
      <c r="G8487" s="2" t="inlineStr">
        <is>
          <t>20260601801399</t>
        </is>
      </c>
      <c r="H8487" s="8">
        <f>HYPERLINK("https://dart.fss.or.kr/dsaf001/main.do?rcpNo=20260601801399", "공시열람")</f>
        <v/>
      </c>
    </row>
    <row r="8488">
      <c r="A8488" s="2" t="inlineStr">
        <is>
          <t>2026-06-01</t>
        </is>
      </c>
      <c r="B8488" s="3" t="inlineStr">
        <is>
          <t>에스원</t>
        </is>
      </c>
      <c r="C8488" s="2" t="inlineStr">
        <is>
          <t>코스피</t>
        </is>
      </c>
      <c r="D8488" s="2" t="inlineStr">
        <is>
          <t>012750</t>
        </is>
      </c>
      <c r="E8488" s="3" t="inlineStr">
        <is>
          <t>대규모기업집단현황공시[연1회공시및1/4분기용(개별회사)]</t>
        </is>
      </c>
      <c r="F8488" s="3" t="inlineStr">
        <is>
          <t>에스원</t>
        </is>
      </c>
      <c r="G8488" s="2" t="inlineStr">
        <is>
          <t>20260601001665</t>
        </is>
      </c>
      <c r="H8488" s="8">
        <f>HYPERLINK("https://dart.fss.or.kr/dsaf001/main.do?rcpNo=20260601001665", "공시열람")</f>
        <v/>
      </c>
    </row>
    <row r="8489">
      <c r="A8489" s="2" t="inlineStr">
        <is>
          <t>2026-06-01</t>
        </is>
      </c>
      <c r="B8489" s="3" t="inlineStr">
        <is>
          <t>피노</t>
        </is>
      </c>
      <c r="C8489" s="2" t="inlineStr">
        <is>
          <t>코스닥</t>
        </is>
      </c>
      <c r="D8489" s="2" t="inlineStr">
        <is>
          <t>033790</t>
        </is>
      </c>
      <c r="E8489" s="3" t="inlineStr">
        <is>
          <t>전환청구권행사              (제3회차)</t>
        </is>
      </c>
      <c r="F8489" s="3" t="inlineStr">
        <is>
          <t>피노</t>
        </is>
      </c>
      <c r="G8489" s="2" t="inlineStr">
        <is>
          <t>20260601901321</t>
        </is>
      </c>
      <c r="H8489" s="8">
        <f>HYPERLINK("https://dart.fss.or.kr/dsaf001/main.do?rcpNo=20260601901321", "공시열람")</f>
        <v/>
      </c>
    </row>
    <row r="8490">
      <c r="A8490" s="2" t="inlineStr">
        <is>
          <t>2026-06-01</t>
        </is>
      </c>
      <c r="B8490" s="3" t="inlineStr">
        <is>
          <t>HD한국조선해양</t>
        </is>
      </c>
      <c r="C8490" s="2" t="inlineStr">
        <is>
          <t>코스피</t>
        </is>
      </c>
      <c r="D8490" s="2" t="inlineStr">
        <is>
          <t>009540</t>
        </is>
      </c>
      <c r="E8490" s="3" t="inlineStr">
        <is>
          <t>[기재정정]대규모기업집단현황공시[연1회공시및1/4분기용(대표회사)]</t>
        </is>
      </c>
      <c r="F8490" s="3" t="inlineStr">
        <is>
          <t>HD한국조선해양</t>
        </is>
      </c>
      <c r="G8490" s="2" t="inlineStr">
        <is>
          <t>20260601001659</t>
        </is>
      </c>
      <c r="H8490" s="8">
        <f>HYPERLINK("https://dart.fss.or.kr/dsaf001/main.do?rcpNo=20260601001659", "공시열람")</f>
        <v/>
      </c>
    </row>
    <row r="8491">
      <c r="A8491" s="2" t="inlineStr">
        <is>
          <t>2026-06-01</t>
        </is>
      </c>
      <c r="B8491" s="3" t="inlineStr">
        <is>
          <t>DKME</t>
        </is>
      </c>
      <c r="C8491" s="2" t="inlineStr">
        <is>
          <t>코스피</t>
        </is>
      </c>
      <c r="D8491" s="2" t="inlineStr">
        <is>
          <t>015590</t>
        </is>
      </c>
      <c r="E8491" s="3" t="inlineStr">
        <is>
          <t xml:space="preserve">소송등의판결ㆍ결정              </t>
        </is>
      </c>
      <c r="F8491" s="3" t="inlineStr">
        <is>
          <t>DKME</t>
        </is>
      </c>
      <c r="G8491" s="2" t="inlineStr">
        <is>
          <t>20260601801339</t>
        </is>
      </c>
      <c r="H8491" s="8">
        <f>HYPERLINK("https://dart.fss.or.kr/dsaf001/main.do?rcpNo=20260601801339", "공시열람")</f>
        <v/>
      </c>
    </row>
    <row r="8492">
      <c r="A8492" s="2" t="inlineStr">
        <is>
          <t>2026-06-01</t>
        </is>
      </c>
      <c r="B8492" s="3" t="inlineStr">
        <is>
          <t>F&amp;F 홀딩스</t>
        </is>
      </c>
      <c r="C8492" s="2" t="inlineStr">
        <is>
          <t>코스피</t>
        </is>
      </c>
      <c r="D8492" s="2" t="inlineStr">
        <is>
          <t>007700</t>
        </is>
      </c>
      <c r="E8492" s="3" t="inlineStr">
        <is>
          <t xml:space="preserve">기업지배구조보고서공시              </t>
        </is>
      </c>
      <c r="F8492" s="3" t="inlineStr">
        <is>
          <t>F&amp;F 홀딩스</t>
        </is>
      </c>
      <c r="G8492" s="2" t="inlineStr">
        <is>
          <t>20260601801434</t>
        </is>
      </c>
      <c r="H8492" s="8">
        <f>HYPERLINK("https://dart.fss.or.kr/dsaf001/main.do?rcpNo=20260601801434", "공시열람")</f>
        <v/>
      </c>
    </row>
    <row r="8493">
      <c r="A8493" s="2" t="inlineStr">
        <is>
          <t>2026-06-01</t>
        </is>
      </c>
      <c r="B8493" s="3" t="inlineStr">
        <is>
          <t>대신증권</t>
        </is>
      </c>
      <c r="C8493" s="2" t="inlineStr">
        <is>
          <t>코스피</t>
        </is>
      </c>
      <c r="D8493" s="2" t="inlineStr">
        <is>
          <t>003540</t>
        </is>
      </c>
      <c r="E8493" s="3" t="inlineStr">
        <is>
          <t>증권발행실적보고서</t>
        </is>
      </c>
      <c r="F8493" s="3" t="inlineStr">
        <is>
          <t>대신증권</t>
        </is>
      </c>
      <c r="G8493" s="2" t="inlineStr">
        <is>
          <t>20260601001655</t>
        </is>
      </c>
      <c r="H8493" s="8">
        <f>HYPERLINK("https://dart.fss.or.kr/dsaf001/main.do?rcpNo=20260601001655", "공시열람")</f>
        <v/>
      </c>
    </row>
    <row r="8494">
      <c r="A8494" s="2" t="inlineStr">
        <is>
          <t>2026-06-01</t>
        </is>
      </c>
      <c r="B8494" s="3" t="inlineStr">
        <is>
          <t>트리니티항공</t>
        </is>
      </c>
      <c r="C8494" s="2" t="inlineStr">
        <is>
          <t>코스피</t>
        </is>
      </c>
      <c r="D8494" s="2" t="inlineStr">
        <is>
          <t>091810</t>
        </is>
      </c>
      <c r="E8494" s="3" t="inlineStr">
        <is>
          <t xml:space="preserve">불성실공시법인지정              </t>
        </is>
      </c>
      <c r="F8494" s="3" t="inlineStr">
        <is>
          <t>유가증권시장본부</t>
        </is>
      </c>
      <c r="G8494" s="2" t="inlineStr">
        <is>
          <t>20260601801361</t>
        </is>
      </c>
      <c r="H8494" s="8">
        <f>HYPERLINK("https://dart.fss.or.kr/dsaf001/main.do?rcpNo=20260601801361", "공시열람")</f>
        <v/>
      </c>
    </row>
    <row r="8495">
      <c r="A8495" s="2" t="inlineStr">
        <is>
          <t>2026-06-01</t>
        </is>
      </c>
      <c r="B8495" s="3" t="inlineStr">
        <is>
          <t>아스트</t>
        </is>
      </c>
      <c r="C8495" s="2" t="inlineStr">
        <is>
          <t>코스닥</t>
        </is>
      </c>
      <c r="D8495" s="2" t="inlineStr">
        <is>
          <t>067390</t>
        </is>
      </c>
      <c r="E8495" s="3" t="inlineStr">
        <is>
          <t>전환청구권행사              (제10회차)</t>
        </is>
      </c>
      <c r="F8495" s="3" t="inlineStr">
        <is>
          <t>아스트</t>
        </is>
      </c>
      <c r="G8495" s="2" t="inlineStr">
        <is>
          <t>20260601901382</t>
        </is>
      </c>
      <c r="H8495" s="8">
        <f>HYPERLINK("https://dart.fss.or.kr/dsaf001/main.do?rcpNo=20260601901382", "공시열람")</f>
        <v/>
      </c>
    </row>
    <row r="8496">
      <c r="A8496" s="2" t="inlineStr">
        <is>
          <t>2026-06-01</t>
        </is>
      </c>
      <c r="B8496" s="3" t="inlineStr">
        <is>
          <t>고려아연</t>
        </is>
      </c>
      <c r="C8496" s="2" t="inlineStr">
        <is>
          <t>코스피</t>
        </is>
      </c>
      <c r="D8496" s="2" t="inlineStr">
        <is>
          <t>010130</t>
        </is>
      </c>
      <c r="E8496" s="3" t="inlineStr">
        <is>
          <t xml:space="preserve">기업지배구조보고서공시              </t>
        </is>
      </c>
      <c r="F8496" s="3" t="inlineStr">
        <is>
          <t>고려아연</t>
        </is>
      </c>
      <c r="G8496" s="2" t="inlineStr">
        <is>
          <t>20260601800212</t>
        </is>
      </c>
      <c r="H8496" s="8">
        <f>HYPERLINK("https://dart.fss.or.kr/dsaf001/main.do?rcpNo=20260601800212", "공시열람")</f>
        <v/>
      </c>
    </row>
    <row r="8497">
      <c r="A8497" s="2" t="inlineStr">
        <is>
          <t>2026-06-01</t>
        </is>
      </c>
      <c r="B8497" s="3" t="inlineStr">
        <is>
          <t>아이마켓코리아</t>
        </is>
      </c>
      <c r="C8497" s="2" t="inlineStr">
        <is>
          <t>코스피</t>
        </is>
      </c>
      <c r="D8497" s="2" t="inlineStr">
        <is>
          <t>122900</t>
        </is>
      </c>
      <c r="E8497" s="3" t="inlineStr">
        <is>
          <t xml:space="preserve">기업지배구조보고서공시              </t>
        </is>
      </c>
      <c r="F8497" s="3" t="inlineStr">
        <is>
          <t>아이마켓코리아</t>
        </is>
      </c>
      <c r="G8497" s="2" t="inlineStr">
        <is>
          <t>20260601801396</t>
        </is>
      </c>
      <c r="H8497" s="8">
        <f>HYPERLINK("https://dart.fss.or.kr/dsaf001/main.do?rcpNo=20260601801396", "공시열람")</f>
        <v/>
      </c>
    </row>
    <row r="8498">
      <c r="A8498" s="2" t="inlineStr">
        <is>
          <t>2026-06-01</t>
        </is>
      </c>
      <c r="B8498" s="3" t="inlineStr">
        <is>
          <t>DB증권</t>
        </is>
      </c>
      <c r="C8498" s="2" t="inlineStr">
        <is>
          <t>코스피</t>
        </is>
      </c>
      <c r="D8498" s="2" t="inlineStr">
        <is>
          <t>016610</t>
        </is>
      </c>
      <c r="E8498" s="3" t="inlineStr">
        <is>
          <t>증권발행실적보고서</t>
        </is>
      </c>
      <c r="F8498" s="3" t="inlineStr">
        <is>
          <t>DB증권</t>
        </is>
      </c>
      <c r="G8498" s="2" t="inlineStr">
        <is>
          <t>20260601001650</t>
        </is>
      </c>
      <c r="H8498" s="8">
        <f>HYPERLINK("https://dart.fss.or.kr/dsaf001/main.do?rcpNo=20260601001650", "공시열람")</f>
        <v/>
      </c>
    </row>
    <row r="8499">
      <c r="A8499" s="2" t="inlineStr">
        <is>
          <t>2026-06-01</t>
        </is>
      </c>
      <c r="B8499" s="3" t="inlineStr">
        <is>
          <t>제일파마홀딩스</t>
        </is>
      </c>
      <c r="C8499" s="2" t="inlineStr">
        <is>
          <t>코스피</t>
        </is>
      </c>
      <c r="D8499" s="2" t="inlineStr">
        <is>
          <t>002620</t>
        </is>
      </c>
      <c r="E8499" s="3" t="inlineStr">
        <is>
          <t xml:space="preserve">기업지배구조보고서공시              </t>
        </is>
      </c>
      <c r="F8499" s="3" t="inlineStr">
        <is>
          <t>제일파마홀딩스</t>
        </is>
      </c>
      <c r="G8499" s="2" t="inlineStr">
        <is>
          <t>20260601801418</t>
        </is>
      </c>
      <c r="H8499" s="8">
        <f>HYPERLINK("https://dart.fss.or.kr/dsaf001/main.do?rcpNo=20260601801418", "공시열람")</f>
        <v/>
      </c>
    </row>
    <row r="8500">
      <c r="A8500" s="2" t="inlineStr">
        <is>
          <t>2026-06-01</t>
        </is>
      </c>
      <c r="B8500" s="3" t="inlineStr">
        <is>
          <t>대신증권</t>
        </is>
      </c>
      <c r="C8500" s="2" t="inlineStr">
        <is>
          <t>코스피</t>
        </is>
      </c>
      <c r="D8500" s="2" t="inlineStr">
        <is>
          <t>003540</t>
        </is>
      </c>
      <c r="E8500" s="3" t="inlineStr">
        <is>
          <t>증권발행실적보고서</t>
        </is>
      </c>
      <c r="F8500" s="3" t="inlineStr">
        <is>
          <t>대신증권</t>
        </is>
      </c>
      <c r="G8500" s="2" t="inlineStr">
        <is>
          <t>20260601001647</t>
        </is>
      </c>
      <c r="H8500" s="8">
        <f>HYPERLINK("https://dart.fss.or.kr/dsaf001/main.do?rcpNo=20260601001647", "공시열람")</f>
        <v/>
      </c>
    </row>
    <row r="8501">
      <c r="A8501" s="2" t="inlineStr">
        <is>
          <t>2026-06-01</t>
        </is>
      </c>
      <c r="B8501" s="3" t="inlineStr">
        <is>
          <t>하나투어</t>
        </is>
      </c>
      <c r="C8501" s="2" t="inlineStr">
        <is>
          <t>코스피</t>
        </is>
      </c>
      <c r="D8501" s="2" t="inlineStr">
        <is>
          <t>039130</t>
        </is>
      </c>
      <c r="E8501" s="3" t="inlineStr">
        <is>
          <t xml:space="preserve">기업지배구조보고서공시              </t>
        </is>
      </c>
      <c r="F8501" s="3" t="inlineStr">
        <is>
          <t>하나투어</t>
        </is>
      </c>
      <c r="G8501" s="2" t="inlineStr">
        <is>
          <t>20260601801408</t>
        </is>
      </c>
      <c r="H8501" s="8">
        <f>HYPERLINK("https://dart.fss.or.kr/dsaf001/main.do?rcpNo=20260601801408", "공시열람")</f>
        <v/>
      </c>
    </row>
    <row r="8502">
      <c r="A8502" s="2" t="inlineStr">
        <is>
          <t>2026-06-01</t>
        </is>
      </c>
      <c r="B8502" s="3" t="inlineStr">
        <is>
          <t>SIMPAC</t>
        </is>
      </c>
      <c r="C8502" s="2" t="inlineStr">
        <is>
          <t>코스피</t>
        </is>
      </c>
      <c r="D8502" s="2" t="inlineStr">
        <is>
          <t>009160</t>
        </is>
      </c>
      <c r="E8502" s="3" t="inlineStr">
        <is>
          <t xml:space="preserve">기업지배구조보고서공시              </t>
        </is>
      </c>
      <c r="F8502" s="3" t="inlineStr">
        <is>
          <t>SIMPAC</t>
        </is>
      </c>
      <c r="G8502" s="2" t="inlineStr">
        <is>
          <t>20260601801425</t>
        </is>
      </c>
      <c r="H8502" s="8">
        <f>HYPERLINK("https://dart.fss.or.kr/dsaf001/main.do?rcpNo=20260601801425", "공시열람")</f>
        <v/>
      </c>
    </row>
    <row r="8503">
      <c r="A8503" s="2" t="inlineStr">
        <is>
          <t>2026-06-01 (정정: 2026-06-09)</t>
        </is>
      </c>
      <c r="B8503" s="3" t="inlineStr">
        <is>
          <t>디와이디</t>
        </is>
      </c>
      <c r="C8503" s="2" t="inlineStr">
        <is>
          <t>코스닥</t>
        </is>
      </c>
      <c r="D8503" s="2" t="inlineStr">
        <is>
          <t>219550</t>
        </is>
      </c>
      <c r="E8503" s="3" t="inlineStr">
        <is>
          <t>전환가액의조정              (제7회차) (정정: 20260609)</t>
        </is>
      </c>
      <c r="F8503" s="3" t="inlineStr">
        <is>
          <t>디와이디</t>
        </is>
      </c>
      <c r="G8503" s="2" t="inlineStr">
        <is>
          <t>20260609000408</t>
        </is>
      </c>
      <c r="H8503" s="8">
        <f>HYPERLINK("https://dart.fss.or.kr/dsaf001/main.do?rcpNo=20260609000408", "공시열람")</f>
        <v/>
      </c>
    </row>
    <row r="8504">
      <c r="A8504" s="2" t="inlineStr">
        <is>
          <t>2026-06-01</t>
        </is>
      </c>
      <c r="B8504" s="3" t="inlineStr">
        <is>
          <t>현대자동차</t>
        </is>
      </c>
      <c r="C8504" s="2" t="inlineStr">
        <is>
          <t>코스피</t>
        </is>
      </c>
      <c r="D8504" s="2" t="inlineStr">
        <is>
          <t>005380</t>
        </is>
      </c>
      <c r="E8504" s="3" t="inlineStr">
        <is>
          <t xml:space="preserve">기업지배구조보고서공시              </t>
        </is>
      </c>
      <c r="F8504" s="3" t="inlineStr">
        <is>
          <t>현대자동차</t>
        </is>
      </c>
      <c r="G8504" s="2" t="inlineStr">
        <is>
          <t>20260601800966</t>
        </is>
      </c>
      <c r="H8504" s="8">
        <f>HYPERLINK("https://dart.fss.or.kr/dsaf001/main.do?rcpNo=20260601800966", "공시열람")</f>
        <v/>
      </c>
    </row>
    <row r="8505">
      <c r="A8505" s="2" t="inlineStr">
        <is>
          <t>2026-06-01</t>
        </is>
      </c>
      <c r="B8505" s="3" t="inlineStr">
        <is>
          <t>대주이엔티</t>
        </is>
      </c>
      <c r="C8505" s="2" t="inlineStr">
        <is>
          <t>코넥스</t>
        </is>
      </c>
      <c r="D8505" s="2" t="inlineStr">
        <is>
          <t>114920</t>
        </is>
      </c>
      <c r="E8505" s="3" t="inlineStr">
        <is>
          <t xml:space="preserve">기업설명회(IR)개최결과              </t>
        </is>
      </c>
      <c r="F8505" s="3" t="inlineStr">
        <is>
          <t>대주이엔티</t>
        </is>
      </c>
      <c r="G8505" s="2" t="inlineStr">
        <is>
          <t>20260601601348</t>
        </is>
      </c>
      <c r="H8505" s="8">
        <f>HYPERLINK("https://dart.fss.or.kr/dsaf001/main.do?rcpNo=20260601601348", "공시열람")</f>
        <v/>
      </c>
    </row>
    <row r="8506">
      <c r="A8506" s="2" t="inlineStr">
        <is>
          <t>2026-06-01</t>
        </is>
      </c>
      <c r="B8506" s="3" t="inlineStr">
        <is>
          <t>경보제약</t>
        </is>
      </c>
      <c r="C8506" s="2" t="inlineStr">
        <is>
          <t>코스피</t>
        </is>
      </c>
      <c r="D8506" s="2" t="inlineStr">
        <is>
          <t>214390</t>
        </is>
      </c>
      <c r="E8506" s="3" t="inlineStr">
        <is>
          <t xml:space="preserve">기업지배구조보고서공시              </t>
        </is>
      </c>
      <c r="F8506" s="3" t="inlineStr">
        <is>
          <t>경보제약</t>
        </is>
      </c>
      <c r="G8506" s="2" t="inlineStr">
        <is>
          <t>20260601801393</t>
        </is>
      </c>
      <c r="H8506" s="8">
        <f>HYPERLINK("https://dart.fss.or.kr/dsaf001/main.do?rcpNo=20260601801393", "공시열람")</f>
        <v/>
      </c>
    </row>
    <row r="8507">
      <c r="A8507" s="2" t="inlineStr">
        <is>
          <t>2026-06-01</t>
        </is>
      </c>
      <c r="B8507" s="3" t="inlineStr">
        <is>
          <t>현대모비스</t>
        </is>
      </c>
      <c r="C8507" s="2" t="inlineStr">
        <is>
          <t>코스피</t>
        </is>
      </c>
      <c r="D8507" s="2" t="inlineStr">
        <is>
          <t>012330</t>
        </is>
      </c>
      <c r="E8507" s="3" t="inlineStr">
        <is>
          <t xml:space="preserve">기업지배구조보고서공시              </t>
        </is>
      </c>
      <c r="F8507" s="3" t="inlineStr">
        <is>
          <t>현대모비스</t>
        </is>
      </c>
      <c r="G8507" s="2" t="inlineStr">
        <is>
          <t>20260601801380</t>
        </is>
      </c>
      <c r="H8507" s="8">
        <f>HYPERLINK("https://dart.fss.or.kr/dsaf001/main.do?rcpNo=20260601801380", "공시열람")</f>
        <v/>
      </c>
    </row>
    <row r="8508">
      <c r="A8508" s="2" t="inlineStr">
        <is>
          <t>2026-06-01</t>
        </is>
      </c>
      <c r="B8508" s="3" t="inlineStr">
        <is>
          <t>DB증권</t>
        </is>
      </c>
      <c r="C8508" s="2" t="inlineStr">
        <is>
          <t>코스피</t>
        </is>
      </c>
      <c r="D8508" s="2" t="inlineStr">
        <is>
          <t>016610</t>
        </is>
      </c>
      <c r="E8508" s="3" t="inlineStr">
        <is>
          <t>증권발행실적보고서</t>
        </is>
      </c>
      <c r="F8508" s="3" t="inlineStr">
        <is>
          <t>DB증권</t>
        </is>
      </c>
      <c r="G8508" s="2" t="inlineStr">
        <is>
          <t>20260601001636</t>
        </is>
      </c>
      <c r="H8508" s="8">
        <f>HYPERLINK("https://dart.fss.or.kr/dsaf001/main.do?rcpNo=20260601001636", "공시열람")</f>
        <v/>
      </c>
    </row>
    <row r="8509">
      <c r="A8509" s="2" t="inlineStr">
        <is>
          <t>2026-06-01</t>
        </is>
      </c>
      <c r="B8509" s="3" t="inlineStr">
        <is>
          <t>RF머트리얼즈</t>
        </is>
      </c>
      <c r="C8509" s="2" t="inlineStr">
        <is>
          <t>코스닥</t>
        </is>
      </c>
      <c r="D8509" s="2" t="inlineStr">
        <is>
          <t>327260</t>
        </is>
      </c>
      <c r="E8509" s="3" t="inlineStr">
        <is>
          <t>임원ㆍ주요주주특정증권등소유상황보고서</t>
        </is>
      </c>
      <c r="F8509" s="3" t="inlineStr">
        <is>
          <t>박근영</t>
        </is>
      </c>
      <c r="G8509" s="2" t="inlineStr">
        <is>
          <t>20260601001634</t>
        </is>
      </c>
      <c r="H8509" s="8">
        <f>HYPERLINK("https://dart.fss.or.kr/dsaf001/main.do?rcpNo=20260601001634", "공시열람")</f>
        <v/>
      </c>
    </row>
    <row r="8510">
      <c r="A8510" s="2" t="inlineStr">
        <is>
          <t>2026-06-01</t>
        </is>
      </c>
      <c r="B8510" s="3" t="inlineStr">
        <is>
          <t>대한해운</t>
        </is>
      </c>
      <c r="C8510" s="2" t="inlineStr">
        <is>
          <t>코스피</t>
        </is>
      </c>
      <c r="D8510" s="2" t="inlineStr">
        <is>
          <t>005880</t>
        </is>
      </c>
      <c r="E8510" s="3" t="inlineStr">
        <is>
          <t>[기재정정]대규모기업집단현황공시[연1회공시및1/4분기용(대표회사)]</t>
        </is>
      </c>
      <c r="F8510" s="3" t="inlineStr">
        <is>
          <t>대한해운</t>
        </is>
      </c>
      <c r="G8510" s="2" t="inlineStr">
        <is>
          <t>20260601001633</t>
        </is>
      </c>
      <c r="H8510" s="8">
        <f>HYPERLINK("https://dart.fss.or.kr/dsaf001/main.do?rcpNo=20260601001633", "공시열람")</f>
        <v/>
      </c>
    </row>
    <row r="8511">
      <c r="A8511" s="2" t="inlineStr">
        <is>
          <t>2026-06-01 (정정: 2026-06-15)</t>
        </is>
      </c>
      <c r="B8511" s="3" t="inlineStr">
        <is>
          <t>에치에프알</t>
        </is>
      </c>
      <c r="C8511" s="2" t="inlineStr">
        <is>
          <t>코스닥</t>
        </is>
      </c>
      <c r="D8511" s="2" t="inlineStr">
        <is>
          <t>230240</t>
        </is>
      </c>
      <c r="E8511" s="3" t="inlineStr">
        <is>
          <t>타법인주식및출자증권처분결정               (정정: 20260615)</t>
        </is>
      </c>
      <c r="F8511" s="3" t="inlineStr">
        <is>
          <t>에치에프알</t>
        </is>
      </c>
      <c r="G8511" s="2" t="inlineStr">
        <is>
          <t>20260615900434</t>
        </is>
      </c>
      <c r="H8511" s="8">
        <f>HYPERLINK("https://dart.fss.or.kr/dsaf001/main.do?rcpNo=20260615900434", "공시열람")</f>
        <v/>
      </c>
    </row>
    <row r="8512">
      <c r="A8512" s="2" t="inlineStr">
        <is>
          <t>2026-06-01</t>
        </is>
      </c>
      <c r="B8512" s="3" t="inlineStr">
        <is>
          <t>CS</t>
        </is>
      </c>
      <c r="C8512" s="2" t="inlineStr">
        <is>
          <t>코스닥</t>
        </is>
      </c>
      <c r="D8512" s="2" t="inlineStr">
        <is>
          <t>065770</t>
        </is>
      </c>
      <c r="E8512" s="3" t="inlineStr">
        <is>
          <t xml:space="preserve">대표이사변경              </t>
        </is>
      </c>
      <c r="F8512" s="3" t="inlineStr">
        <is>
          <t>CS</t>
        </is>
      </c>
      <c r="G8512" s="2" t="inlineStr">
        <is>
          <t>20260601901329</t>
        </is>
      </c>
      <c r="H8512" s="8">
        <f>HYPERLINK("https://dart.fss.or.kr/dsaf001/main.do?rcpNo=20260601901329", "공시열람")</f>
        <v/>
      </c>
    </row>
    <row r="8513">
      <c r="A8513" s="2" t="inlineStr">
        <is>
          <t>2026-06-01</t>
        </is>
      </c>
      <c r="B8513" s="3" t="inlineStr">
        <is>
          <t>고려아연</t>
        </is>
      </c>
      <c r="C8513" s="2" t="inlineStr">
        <is>
          <t>코스피</t>
        </is>
      </c>
      <c r="D8513" s="2" t="inlineStr">
        <is>
          <t>010130</t>
        </is>
      </c>
      <c r="E8513" s="3" t="inlineStr">
        <is>
          <t>사외이사의선임ㆍ해임또는중도퇴임에관한신고</t>
        </is>
      </c>
      <c r="F8513" s="3" t="inlineStr">
        <is>
          <t>고려아연</t>
        </is>
      </c>
      <c r="G8513" s="2" t="inlineStr">
        <is>
          <t>20260601001623</t>
        </is>
      </c>
      <c r="H8513" s="8">
        <f>HYPERLINK("https://dart.fss.or.kr/dsaf001/main.do?rcpNo=20260601001623", "공시열람")</f>
        <v/>
      </c>
    </row>
    <row r="8514">
      <c r="A8514" s="2" t="inlineStr">
        <is>
          <t>2026-06-01</t>
        </is>
      </c>
      <c r="B8514" s="3" t="inlineStr">
        <is>
          <t>웅진씽크빅</t>
        </is>
      </c>
      <c r="C8514" s="2" t="inlineStr">
        <is>
          <t>코스피</t>
        </is>
      </c>
      <c r="D8514" s="2" t="inlineStr">
        <is>
          <t>095720</t>
        </is>
      </c>
      <c r="E8514" s="3" t="inlineStr">
        <is>
          <t xml:space="preserve">기업지배구조보고서공시              </t>
        </is>
      </c>
      <c r="F8514" s="3" t="inlineStr">
        <is>
          <t>웅진씽크빅</t>
        </is>
      </c>
      <c r="G8514" s="2" t="inlineStr">
        <is>
          <t>20260601801390</t>
        </is>
      </c>
      <c r="H8514" s="8">
        <f>HYPERLINK("https://dart.fss.or.kr/dsaf001/main.do?rcpNo=20260601801390", "공시열람")</f>
        <v/>
      </c>
    </row>
    <row r="8515">
      <c r="A8515" s="2" t="inlineStr">
        <is>
          <t>2026-06-01</t>
        </is>
      </c>
      <c r="B8515" s="3" t="inlineStr">
        <is>
          <t>LF</t>
        </is>
      </c>
      <c r="C8515" s="2" t="inlineStr">
        <is>
          <t>코스피</t>
        </is>
      </c>
      <c r="D8515" s="2" t="inlineStr">
        <is>
          <t>093050</t>
        </is>
      </c>
      <c r="E8515" s="3" t="inlineStr">
        <is>
          <t xml:space="preserve">기업지배구조보고서공시              </t>
        </is>
      </c>
      <c r="F8515" s="3" t="inlineStr">
        <is>
          <t>LF</t>
        </is>
      </c>
      <c r="G8515" s="2" t="inlineStr">
        <is>
          <t>20260601801385</t>
        </is>
      </c>
      <c r="H8515" s="8">
        <f>HYPERLINK("https://dart.fss.or.kr/dsaf001/main.do?rcpNo=20260601801385", "공시열람")</f>
        <v/>
      </c>
    </row>
    <row r="8516">
      <c r="A8516" s="2" t="inlineStr">
        <is>
          <t>2026-06-01</t>
        </is>
      </c>
      <c r="B8516" s="3" t="inlineStr">
        <is>
          <t>NH투자증권</t>
        </is>
      </c>
      <c r="C8516" s="2" t="inlineStr">
        <is>
          <t>코스피</t>
        </is>
      </c>
      <c r="D8516" s="2" t="inlineStr">
        <is>
          <t>005940</t>
        </is>
      </c>
      <c r="E8516" s="3" t="inlineStr">
        <is>
          <t>투자설명서(일괄신고)</t>
        </is>
      </c>
      <c r="F8516" s="3" t="inlineStr">
        <is>
          <t>NH투자증권</t>
        </is>
      </c>
      <c r="G8516" s="2" t="inlineStr">
        <is>
          <t>20260601001617</t>
        </is>
      </c>
      <c r="H8516" s="8">
        <f>HYPERLINK("https://dart.fss.or.kr/dsaf001/main.do?rcpNo=20260601001617", "공시열람")</f>
        <v/>
      </c>
    </row>
    <row r="8517">
      <c r="A8517" s="2" t="inlineStr">
        <is>
          <t>2026-06-01</t>
        </is>
      </c>
      <c r="B8517" s="3" t="inlineStr">
        <is>
          <t>삼화전자공업</t>
        </is>
      </c>
      <c r="C8517" s="2" t="inlineStr">
        <is>
          <t>코스피</t>
        </is>
      </c>
      <c r="D8517" s="2" t="inlineStr">
        <is>
          <t>011230</t>
        </is>
      </c>
      <c r="E8517" s="3" t="inlineStr">
        <is>
          <t xml:space="preserve">기업지배구조보고서공시              </t>
        </is>
      </c>
      <c r="F8517" s="3" t="inlineStr">
        <is>
          <t>삼화전자공업</t>
        </is>
      </c>
      <c r="G8517" s="2" t="inlineStr">
        <is>
          <t>20260601801352</t>
        </is>
      </c>
      <c r="H8517" s="8">
        <f>HYPERLINK("https://dart.fss.or.kr/dsaf001/main.do?rcpNo=20260601801352", "공시열람")</f>
        <v/>
      </c>
    </row>
    <row r="8518">
      <c r="A8518" s="2" t="inlineStr">
        <is>
          <t>2026-06-01</t>
        </is>
      </c>
      <c r="B8518" s="3" t="inlineStr">
        <is>
          <t>RF머트리얼즈</t>
        </is>
      </c>
      <c r="C8518" s="2" t="inlineStr">
        <is>
          <t>코스닥</t>
        </is>
      </c>
      <c r="D8518" s="2" t="inlineStr">
        <is>
          <t>327260</t>
        </is>
      </c>
      <c r="E8518" s="3" t="inlineStr">
        <is>
          <t>임원ㆍ주요주주특정증권등소유상황보고서</t>
        </is>
      </c>
      <c r="F8518" s="3" t="inlineStr">
        <is>
          <t>김종기</t>
        </is>
      </c>
      <c r="G8518" s="2" t="inlineStr">
        <is>
          <t>20260601001614</t>
        </is>
      </c>
      <c r="H8518" s="8">
        <f>HYPERLINK("https://dart.fss.or.kr/dsaf001/main.do?rcpNo=20260601001614", "공시열람")</f>
        <v/>
      </c>
    </row>
    <row r="8519">
      <c r="A8519" s="2" t="inlineStr">
        <is>
          <t>2026-06-01</t>
        </is>
      </c>
      <c r="B8519" s="3" t="inlineStr">
        <is>
          <t>코오롱</t>
        </is>
      </c>
      <c r="C8519" s="2" t="inlineStr">
        <is>
          <t>코스피</t>
        </is>
      </c>
      <c r="D8519" s="2" t="inlineStr">
        <is>
          <t>002020</t>
        </is>
      </c>
      <c r="E8519" s="3" t="inlineStr">
        <is>
          <t xml:space="preserve">기업지배구조보고서공시              </t>
        </is>
      </c>
      <c r="F8519" s="3" t="inlineStr">
        <is>
          <t>코오롱</t>
        </is>
      </c>
      <c r="G8519" s="2" t="inlineStr">
        <is>
          <t>20260601801346</t>
        </is>
      </c>
      <c r="H8519" s="8">
        <f>HYPERLINK("https://dart.fss.or.kr/dsaf001/main.do?rcpNo=20260601801346", "공시열람")</f>
        <v/>
      </c>
    </row>
    <row r="8520">
      <c r="A8520" s="2" t="inlineStr">
        <is>
          <t>2026-06-01</t>
        </is>
      </c>
      <c r="B8520" s="3" t="inlineStr">
        <is>
          <t>현대자동차</t>
        </is>
      </c>
      <c r="C8520" s="2" t="inlineStr">
        <is>
          <t>코스피</t>
        </is>
      </c>
      <c r="D8520" s="2" t="inlineStr">
        <is>
          <t>005380</t>
        </is>
      </c>
      <c r="E8520" s="3" t="inlineStr">
        <is>
          <t xml:space="preserve">영업(잠정)실적(공정공시)              </t>
        </is>
      </c>
      <c r="F8520" s="3" t="inlineStr">
        <is>
          <t>현대자동차</t>
        </is>
      </c>
      <c r="G8520" s="2" t="inlineStr">
        <is>
          <t>20260601801279</t>
        </is>
      </c>
      <c r="H8520" s="8">
        <f>HYPERLINK("https://dart.fss.or.kr/dsaf001/main.do?rcpNo=20260601801279", "공시열람")</f>
        <v/>
      </c>
    </row>
    <row r="8521">
      <c r="A8521" s="2" t="inlineStr">
        <is>
          <t>2026-06-01</t>
        </is>
      </c>
      <c r="B8521" s="3" t="inlineStr">
        <is>
          <t>티케이케미칼</t>
        </is>
      </c>
      <c r="C8521" s="2" t="inlineStr">
        <is>
          <t>코스닥</t>
        </is>
      </c>
      <c r="D8521" s="2" t="inlineStr">
        <is>
          <t>104480</t>
        </is>
      </c>
      <c r="E8521" s="3" t="inlineStr">
        <is>
          <t>[기재정정]대규모기업집단현황공시[연1회공시및1/4분기용(개별회사)]</t>
        </is>
      </c>
      <c r="F8521" s="3" t="inlineStr">
        <is>
          <t>티케이케미칼</t>
        </is>
      </c>
      <c r="G8521" s="2" t="inlineStr">
        <is>
          <t>20260601001606</t>
        </is>
      </c>
      <c r="H8521" s="8">
        <f>HYPERLINK("https://dart.fss.or.kr/dsaf001/main.do?rcpNo=20260601001606", "공시열람")</f>
        <v/>
      </c>
    </row>
    <row r="8522">
      <c r="A8522" s="2" t="inlineStr">
        <is>
          <t>2026-06-01</t>
        </is>
      </c>
      <c r="B8522" s="3" t="inlineStr">
        <is>
          <t>카카오게임즈</t>
        </is>
      </c>
      <c r="C8522" s="2" t="inlineStr">
        <is>
          <t>코스닥</t>
        </is>
      </c>
      <c r="D8522" s="2" t="inlineStr">
        <is>
          <t>293490</t>
        </is>
      </c>
      <c r="E8522" s="3" t="inlineStr">
        <is>
          <t>대규모기업집단현황공시[연1회공시및1/4분기용(개별회사)]</t>
        </is>
      </c>
      <c r="F8522" s="3" t="inlineStr">
        <is>
          <t>카카오게임즈</t>
        </is>
      </c>
      <c r="G8522" s="2" t="inlineStr">
        <is>
          <t>20260601001605</t>
        </is>
      </c>
      <c r="H8522" s="8">
        <f>HYPERLINK("https://dart.fss.or.kr/dsaf001/main.do?rcpNo=20260601001605", "공시열람")</f>
        <v/>
      </c>
    </row>
    <row r="8523">
      <c r="A8523" s="2" t="inlineStr">
        <is>
          <t>2026-06-01</t>
        </is>
      </c>
      <c r="B8523" s="3" t="inlineStr">
        <is>
          <t>삼성화재해상보험</t>
        </is>
      </c>
      <c r="C8523" s="2" t="inlineStr">
        <is>
          <t>코스피</t>
        </is>
      </c>
      <c r="D8523" s="2" t="inlineStr">
        <is>
          <t>000810</t>
        </is>
      </c>
      <c r="E8523" s="3" t="inlineStr">
        <is>
          <t>대규모기업집단현황공시[연1회공시및1/4분기용(개별회사)]</t>
        </is>
      </c>
      <c r="F8523" s="3" t="inlineStr">
        <is>
          <t>삼성화재해상보험</t>
        </is>
      </c>
      <c r="G8523" s="2" t="inlineStr">
        <is>
          <t>20260601001601</t>
        </is>
      </c>
      <c r="H8523" s="8">
        <f>HYPERLINK("https://dart.fss.or.kr/dsaf001/main.do?rcpNo=20260601001601", "공시열람")</f>
        <v/>
      </c>
    </row>
    <row r="8524">
      <c r="A8524" s="2" t="inlineStr">
        <is>
          <t>2026-06-01</t>
        </is>
      </c>
      <c r="B8524" s="3" t="inlineStr">
        <is>
          <t>RF머트리얼즈</t>
        </is>
      </c>
      <c r="C8524" s="2" t="inlineStr">
        <is>
          <t>코스닥</t>
        </is>
      </c>
      <c r="D8524" s="2" t="inlineStr">
        <is>
          <t>327260</t>
        </is>
      </c>
      <c r="E8524" s="3" t="inlineStr">
        <is>
          <t>임원ㆍ주요주주특정증권등소유상황보고서</t>
        </is>
      </c>
      <c r="F8524" s="3" t="inlineStr">
        <is>
          <t>김시남</t>
        </is>
      </c>
      <c r="G8524" s="2" t="inlineStr">
        <is>
          <t>20260601001599</t>
        </is>
      </c>
      <c r="H8524" s="8">
        <f>HYPERLINK("https://dart.fss.or.kr/dsaf001/main.do?rcpNo=20260601001599", "공시열람")</f>
        <v/>
      </c>
    </row>
    <row r="8525">
      <c r="A8525" s="2" t="inlineStr">
        <is>
          <t>2026-06-01</t>
        </is>
      </c>
      <c r="B8525" s="3" t="inlineStr">
        <is>
          <t>다이나믹솔루션</t>
        </is>
      </c>
      <c r="C8525" s="2" t="inlineStr">
        <is>
          <t>코스닥</t>
        </is>
      </c>
      <c r="D8525" s="2" t="inlineStr">
        <is>
          <t>290660</t>
        </is>
      </c>
      <c r="E8525" s="3" t="inlineStr">
        <is>
          <t>주권매매거래정지              (주식의 병합, 분할 등 전자등록 변경, 말소)</t>
        </is>
      </c>
      <c r="F8525" s="3" t="inlineStr">
        <is>
          <t>코스닥시장본부</t>
        </is>
      </c>
      <c r="G8525" s="2" t="inlineStr">
        <is>
          <t>20260601901311</t>
        </is>
      </c>
      <c r="H8525" s="8">
        <f>HYPERLINK("https://dart.fss.or.kr/dsaf001/main.do?rcpNo=20260601901311", "공시열람")</f>
        <v/>
      </c>
    </row>
    <row r="8526">
      <c r="A8526" s="2" t="inlineStr">
        <is>
          <t>2026-06-01</t>
        </is>
      </c>
      <c r="B8526" s="3" t="inlineStr">
        <is>
          <t>HS화성</t>
        </is>
      </c>
      <c r="C8526" s="2" t="inlineStr">
        <is>
          <t>코스피</t>
        </is>
      </c>
      <c r="D8526" s="2" t="inlineStr">
        <is>
          <t>002460</t>
        </is>
      </c>
      <c r="E8526" s="3" t="inlineStr">
        <is>
          <t xml:space="preserve">기업지배구조보고서공시              </t>
        </is>
      </c>
      <c r="F8526" s="3" t="inlineStr">
        <is>
          <t>HS화성</t>
        </is>
      </c>
      <c r="G8526" s="2" t="inlineStr">
        <is>
          <t>20260601801363</t>
        </is>
      </c>
      <c r="H8526" s="8">
        <f>HYPERLINK("https://dart.fss.or.kr/dsaf001/main.do?rcpNo=20260601801363", "공시열람")</f>
        <v/>
      </c>
    </row>
    <row r="8527">
      <c r="A8527" s="2" t="inlineStr">
        <is>
          <t>2026-06-01</t>
        </is>
      </c>
      <c r="B8527" s="3" t="inlineStr">
        <is>
          <t>세아홀딩스</t>
        </is>
      </c>
      <c r="C8527" s="2" t="inlineStr">
        <is>
          <t>코스피</t>
        </is>
      </c>
      <c r="D8527" s="2" t="inlineStr">
        <is>
          <t>058650</t>
        </is>
      </c>
      <c r="E8527" s="3" t="inlineStr">
        <is>
          <t xml:space="preserve">기업지배구조보고서공시              </t>
        </is>
      </c>
      <c r="F8527" s="3" t="inlineStr">
        <is>
          <t>세아홀딩스</t>
        </is>
      </c>
      <c r="G8527" s="2" t="inlineStr">
        <is>
          <t>20260601801357</t>
        </is>
      </c>
      <c r="H8527" s="8">
        <f>HYPERLINK("https://dart.fss.or.kr/dsaf001/main.do?rcpNo=20260601801357", "공시열람")</f>
        <v/>
      </c>
    </row>
    <row r="8528">
      <c r="A8528" s="2" t="inlineStr">
        <is>
          <t>2026-06-01</t>
        </is>
      </c>
      <c r="B8528" s="3" t="inlineStr">
        <is>
          <t>코람코더원리츠</t>
        </is>
      </c>
      <c r="C8528" s="2" t="inlineStr">
        <is>
          <t>코스피</t>
        </is>
      </c>
      <c r="D8528" s="2" t="inlineStr">
        <is>
          <t>417310</t>
        </is>
      </c>
      <c r="E8528" s="3" t="inlineStr">
        <is>
          <t xml:space="preserve">기업지배구조보고서공시              </t>
        </is>
      </c>
      <c r="F8528" s="3" t="inlineStr">
        <is>
          <t>코람코더원리츠</t>
        </is>
      </c>
      <c r="G8528" s="2" t="inlineStr">
        <is>
          <t>20260601801333</t>
        </is>
      </c>
      <c r="H8528" s="8">
        <f>HYPERLINK("https://dart.fss.or.kr/dsaf001/main.do?rcpNo=20260601801333", "공시열람")</f>
        <v/>
      </c>
    </row>
    <row r="8529">
      <c r="A8529" s="2" t="inlineStr">
        <is>
          <t>2026-06-01</t>
        </is>
      </c>
      <c r="B8529" s="3" t="inlineStr">
        <is>
          <t>신원</t>
        </is>
      </c>
      <c r="C8529" s="2" t="inlineStr">
        <is>
          <t>코스피</t>
        </is>
      </c>
      <c r="D8529" s="2" t="inlineStr">
        <is>
          <t>009270</t>
        </is>
      </c>
      <c r="E8529" s="3" t="inlineStr">
        <is>
          <t xml:space="preserve">기업지배구조보고서공시              </t>
        </is>
      </c>
      <c r="F8529" s="3" t="inlineStr">
        <is>
          <t>신원</t>
        </is>
      </c>
      <c r="G8529" s="2" t="inlineStr">
        <is>
          <t>20260601801331</t>
        </is>
      </c>
      <c r="H8529" s="8">
        <f>HYPERLINK("https://dart.fss.or.kr/dsaf001/main.do?rcpNo=20260601801331", "공시열람")</f>
        <v/>
      </c>
    </row>
    <row r="8530">
      <c r="A8530" s="2" t="inlineStr">
        <is>
          <t>2026-06-01</t>
        </is>
      </c>
      <c r="B8530" s="3" t="inlineStr">
        <is>
          <t>삼성바이오로직스</t>
        </is>
      </c>
      <c r="C8530" s="2" t="inlineStr">
        <is>
          <t>코스피</t>
        </is>
      </c>
      <c r="D8530" s="2" t="inlineStr">
        <is>
          <t>207940</t>
        </is>
      </c>
      <c r="E8530" s="3" t="inlineStr">
        <is>
          <t>특수관계인에대한출자</t>
        </is>
      </c>
      <c r="F8530" s="3" t="inlineStr">
        <is>
          <t>삼성바이오로직스</t>
        </is>
      </c>
      <c r="G8530" s="2" t="inlineStr">
        <is>
          <t>20260601001592</t>
        </is>
      </c>
      <c r="H8530" s="8">
        <f>HYPERLINK("https://dart.fss.or.kr/dsaf001/main.do?rcpNo=20260601001592", "공시열람")</f>
        <v/>
      </c>
    </row>
    <row r="8531">
      <c r="A8531" s="2" t="inlineStr">
        <is>
          <t>2026-06-01 (정정: 2026-06-17)</t>
        </is>
      </c>
      <c r="B8531" s="3" t="inlineStr">
        <is>
          <t>오스코텍</t>
        </is>
      </c>
      <c r="C8531" s="2" t="inlineStr">
        <is>
          <t>코스닥</t>
        </is>
      </c>
      <c r="D8531" s="2" t="inlineStr">
        <is>
          <t>039200</t>
        </is>
      </c>
      <c r="E8531" s="3" t="inlineStr">
        <is>
          <t>투자판단관련주요경영사항              (SYK 저해제 후보물질 세비도플레닙(SKIO703) 기술수출 계약 체결) (정정: 20260617)</t>
        </is>
      </c>
      <c r="F8531" s="3" t="inlineStr">
        <is>
          <t>오스코텍</t>
        </is>
      </c>
      <c r="G8531" s="2" t="inlineStr">
        <is>
          <t>20260617900457</t>
        </is>
      </c>
      <c r="H8531" s="8">
        <f>HYPERLINK("https://dart.fss.or.kr/dsaf001/main.do?rcpNo=20260617900457", "공시열람")</f>
        <v/>
      </c>
    </row>
    <row r="8532">
      <c r="A8532" s="2" t="inlineStr">
        <is>
          <t>2026-06-01</t>
        </is>
      </c>
      <c r="B8532" s="3" t="inlineStr">
        <is>
          <t>텔코웨어</t>
        </is>
      </c>
      <c r="C8532" s="2" t="inlineStr">
        <is>
          <t>코스피</t>
        </is>
      </c>
      <c r="D8532" s="2" t="inlineStr">
        <is>
          <t>078000</t>
        </is>
      </c>
      <c r="E8532" s="3" t="inlineStr">
        <is>
          <t xml:space="preserve">기업지배구조보고서공시              </t>
        </is>
      </c>
      <c r="F8532" s="3" t="inlineStr">
        <is>
          <t>텔코웨어</t>
        </is>
      </c>
      <c r="G8532" s="2" t="inlineStr">
        <is>
          <t>20260601801324</t>
        </is>
      </c>
      <c r="H8532" s="8">
        <f>HYPERLINK("https://dart.fss.or.kr/dsaf001/main.do?rcpNo=20260601801324", "공시열람")</f>
        <v/>
      </c>
    </row>
    <row r="8533">
      <c r="A8533" s="2" t="inlineStr">
        <is>
          <t>2026-06-01</t>
        </is>
      </c>
      <c r="B8533" s="3" t="inlineStr">
        <is>
          <t>아티스트컴퍼니</t>
        </is>
      </c>
      <c r="C8533" s="2" t="inlineStr">
        <is>
          <t>코스닥</t>
        </is>
      </c>
      <c r="D8533" s="2" t="inlineStr">
        <is>
          <t>321820</t>
        </is>
      </c>
      <c r="E8533" s="3" t="inlineStr">
        <is>
          <t>주요사항보고서(타법인주식및출자증권양도결정)</t>
        </is>
      </c>
      <c r="F8533" s="3" t="inlineStr">
        <is>
          <t>아티스트컴퍼니</t>
        </is>
      </c>
      <c r="G8533" s="2" t="inlineStr">
        <is>
          <t>20260601001445</t>
        </is>
      </c>
      <c r="H8533" s="8">
        <f>HYPERLINK("https://dart.fss.or.kr/dsaf001/main.do?rcpNo=20260601001445", "공시열람")</f>
        <v/>
      </c>
    </row>
    <row r="8534">
      <c r="A8534" s="2" t="inlineStr">
        <is>
          <t>2026-06-01</t>
        </is>
      </c>
      <c r="B8534" s="3" t="inlineStr">
        <is>
          <t>대동</t>
        </is>
      </c>
      <c r="C8534" s="2" t="inlineStr">
        <is>
          <t>코스피</t>
        </is>
      </c>
      <c r="D8534" s="2" t="inlineStr">
        <is>
          <t>000490</t>
        </is>
      </c>
      <c r="E8534" s="3" t="inlineStr">
        <is>
          <t xml:space="preserve">기업지배구조보고서공시              </t>
        </is>
      </c>
      <c r="F8534" s="3" t="inlineStr">
        <is>
          <t>대동</t>
        </is>
      </c>
      <c r="G8534" s="2" t="inlineStr">
        <is>
          <t>20260601801337</t>
        </is>
      </c>
      <c r="H8534" s="8">
        <f>HYPERLINK("https://dart.fss.or.kr/dsaf001/main.do?rcpNo=20260601801337", "공시열람")</f>
        <v/>
      </c>
    </row>
    <row r="8535">
      <c r="A8535" s="2" t="inlineStr">
        <is>
          <t>2026-06-01 (정정: 2026-06-08)</t>
        </is>
      </c>
      <c r="B8535" s="3" t="inlineStr">
        <is>
          <t>광진실업</t>
        </is>
      </c>
      <c r="C8535" s="2" t="inlineStr">
        <is>
          <t>코스닥</t>
        </is>
      </c>
      <c r="D8535" s="2" t="inlineStr">
        <is>
          <t>026910</t>
        </is>
      </c>
      <c r="E8535" s="3" t="inlineStr">
        <is>
          <t>증권발행결과(자율공시)              (제3자배정 유상증자) (정정: 20260608)</t>
        </is>
      </c>
      <c r="F8535" s="3" t="inlineStr">
        <is>
          <t>광진실업</t>
        </is>
      </c>
      <c r="G8535" s="2" t="inlineStr">
        <is>
          <t>20260608900817</t>
        </is>
      </c>
      <c r="H8535" s="8">
        <f>HYPERLINK("https://dart.fss.or.kr/dsaf001/main.do?rcpNo=20260608900817", "공시열람")</f>
        <v/>
      </c>
    </row>
    <row r="8536">
      <c r="A8536" s="2" t="inlineStr">
        <is>
          <t>2026-06-01</t>
        </is>
      </c>
      <c r="B8536" s="3" t="inlineStr">
        <is>
          <t>플레이그램</t>
        </is>
      </c>
      <c r="C8536" s="2" t="inlineStr">
        <is>
          <t>코스피</t>
        </is>
      </c>
      <c r="D8536" s="2" t="inlineStr">
        <is>
          <t>009810</t>
        </is>
      </c>
      <c r="E8536" s="3" t="inlineStr">
        <is>
          <t xml:space="preserve">기업지배구조보고서공시              </t>
        </is>
      </c>
      <c r="F8536" s="3" t="inlineStr">
        <is>
          <t>플레이그램</t>
        </is>
      </c>
      <c r="G8536" s="2" t="inlineStr">
        <is>
          <t>20260601801341</t>
        </is>
      </c>
      <c r="H8536" s="8">
        <f>HYPERLINK("https://dart.fss.or.kr/dsaf001/main.do?rcpNo=20260601801341", "공시열람")</f>
        <v/>
      </c>
    </row>
    <row r="8537">
      <c r="A8537" s="2" t="inlineStr">
        <is>
          <t>2026-06-01</t>
        </is>
      </c>
      <c r="B8537" s="3" t="inlineStr">
        <is>
          <t>세아베스틸지주</t>
        </is>
      </c>
      <c r="C8537" s="2" t="inlineStr">
        <is>
          <t>코스피</t>
        </is>
      </c>
      <c r="D8537" s="2" t="inlineStr">
        <is>
          <t>001430</t>
        </is>
      </c>
      <c r="E8537" s="3" t="inlineStr">
        <is>
          <t xml:space="preserve">기업지배구조보고서공시              </t>
        </is>
      </c>
      <c r="F8537" s="3" t="inlineStr">
        <is>
          <t>세아베스틸지주</t>
        </is>
      </c>
      <c r="G8537" s="2" t="inlineStr">
        <is>
          <t>20260601801327</t>
        </is>
      </c>
      <c r="H8537" s="8">
        <f>HYPERLINK("https://dart.fss.or.kr/dsaf001/main.do?rcpNo=20260601801327", "공시열람")</f>
        <v/>
      </c>
    </row>
    <row r="8538">
      <c r="A8538" s="2" t="inlineStr">
        <is>
          <t>2026-06-01</t>
        </is>
      </c>
      <c r="B8538" s="3" t="inlineStr">
        <is>
          <t>셀트리온제약</t>
        </is>
      </c>
      <c r="C8538" s="2" t="inlineStr">
        <is>
          <t>코스닥</t>
        </is>
      </c>
      <c r="D8538" s="2" t="inlineStr">
        <is>
          <t>068760</t>
        </is>
      </c>
      <c r="E8538" s="3" t="inlineStr">
        <is>
          <t>대규모기업집단현황공시[연1회공시및1/4분기용(개별회사)]</t>
        </is>
      </c>
      <c r="F8538" s="3" t="inlineStr">
        <is>
          <t>셀트리온제약</t>
        </is>
      </c>
      <c r="G8538" s="2" t="inlineStr">
        <is>
          <t>20260601001583</t>
        </is>
      </c>
      <c r="H8538" s="8">
        <f>HYPERLINK("https://dart.fss.or.kr/dsaf001/main.do?rcpNo=20260601001583", "공시열람")</f>
        <v/>
      </c>
    </row>
    <row r="8539">
      <c r="A8539" s="2" t="inlineStr">
        <is>
          <t>2026-06-01</t>
        </is>
      </c>
      <c r="B8539" s="3" t="inlineStr">
        <is>
          <t>신영와코루</t>
        </is>
      </c>
      <c r="C8539" s="2" t="inlineStr">
        <is>
          <t>코스피</t>
        </is>
      </c>
      <c r="D8539" s="2" t="inlineStr">
        <is>
          <t>005800</t>
        </is>
      </c>
      <c r="E8539" s="3" t="inlineStr">
        <is>
          <t xml:space="preserve">기업지배구조보고서공시              </t>
        </is>
      </c>
      <c r="F8539" s="3" t="inlineStr">
        <is>
          <t>신영와코루</t>
        </is>
      </c>
      <c r="G8539" s="2" t="inlineStr">
        <is>
          <t>20260601801328</t>
        </is>
      </c>
      <c r="H8539" s="8">
        <f>HYPERLINK("https://dart.fss.or.kr/dsaf001/main.do?rcpNo=20260601801328", "공시열람")</f>
        <v/>
      </c>
    </row>
    <row r="8540">
      <c r="A8540" s="2" t="inlineStr">
        <is>
          <t>2026-06-01</t>
        </is>
      </c>
      <c r="B8540" s="3" t="inlineStr">
        <is>
          <t>코오롱</t>
        </is>
      </c>
      <c r="C8540" s="2" t="inlineStr">
        <is>
          <t>코스피</t>
        </is>
      </c>
      <c r="D8540" s="2" t="inlineStr">
        <is>
          <t>002020</t>
        </is>
      </c>
      <c r="E8540" s="3" t="inlineStr">
        <is>
          <t>대규모기업집단현황공시[연1회(동일인용)]</t>
        </is>
      </c>
      <c r="F8540" s="3" t="inlineStr">
        <is>
          <t>이웅열</t>
        </is>
      </c>
      <c r="G8540" s="2" t="inlineStr">
        <is>
          <t>20260601001580</t>
        </is>
      </c>
      <c r="H8540" s="8">
        <f>HYPERLINK("https://dart.fss.or.kr/dsaf001/main.do?rcpNo=20260601001580", "공시열람")</f>
        <v/>
      </c>
    </row>
    <row r="8541">
      <c r="A8541" s="2" t="inlineStr">
        <is>
          <t>2026-06-01</t>
        </is>
      </c>
      <c r="B8541" s="3" t="inlineStr">
        <is>
          <t>RF머트리얼즈</t>
        </is>
      </c>
      <c r="C8541" s="2" t="inlineStr">
        <is>
          <t>코스닥</t>
        </is>
      </c>
      <c r="D8541" s="2" t="inlineStr">
        <is>
          <t>327260</t>
        </is>
      </c>
      <c r="E8541" s="3" t="inlineStr">
        <is>
          <t>임원ㆍ주요주주특정증권등소유상황보고서</t>
        </is>
      </c>
      <c r="F8541" s="3" t="inlineStr">
        <is>
          <t>김주현</t>
        </is>
      </c>
      <c r="G8541" s="2" t="inlineStr">
        <is>
          <t>20260601001577</t>
        </is>
      </c>
      <c r="H8541" s="8">
        <f>HYPERLINK("https://dart.fss.or.kr/dsaf001/main.do?rcpNo=20260601001577", "공시열람")</f>
        <v/>
      </c>
    </row>
    <row r="8542">
      <c r="A8542" s="2" t="inlineStr">
        <is>
          <t>2026-06-01</t>
        </is>
      </c>
      <c r="B8542" s="3" t="inlineStr">
        <is>
          <t>갤럭시아에스엠</t>
        </is>
      </c>
      <c r="C8542" s="2" t="inlineStr">
        <is>
          <t>코스피</t>
        </is>
      </c>
      <c r="D8542" s="2" t="inlineStr">
        <is>
          <t>011420</t>
        </is>
      </c>
      <c r="E8542" s="3" t="inlineStr">
        <is>
          <t xml:space="preserve">기업지배구조보고서공시              </t>
        </is>
      </c>
      <c r="F8542" s="3" t="inlineStr">
        <is>
          <t>갤럭시아에스엠</t>
        </is>
      </c>
      <c r="G8542" s="2" t="inlineStr">
        <is>
          <t>20260601800924</t>
        </is>
      </c>
      <c r="H8542" s="8">
        <f>HYPERLINK("https://dart.fss.or.kr/dsaf001/main.do?rcpNo=20260601800924", "공시열람")</f>
        <v/>
      </c>
    </row>
    <row r="8543">
      <c r="A8543" s="2" t="inlineStr">
        <is>
          <t>2026-06-01</t>
        </is>
      </c>
      <c r="B8543" s="3" t="inlineStr">
        <is>
          <t>그린케미칼</t>
        </is>
      </c>
      <c r="C8543" s="2" t="inlineStr">
        <is>
          <t>코스피</t>
        </is>
      </c>
      <c r="D8543" s="2" t="inlineStr">
        <is>
          <t>083420</t>
        </is>
      </c>
      <c r="E8543" s="3" t="inlineStr">
        <is>
          <t xml:space="preserve">기업지배구조보고서공시              </t>
        </is>
      </c>
      <c r="F8543" s="3" t="inlineStr">
        <is>
          <t>그린케미칼</t>
        </is>
      </c>
      <c r="G8543" s="2" t="inlineStr">
        <is>
          <t>20260601801089</t>
        </is>
      </c>
      <c r="H8543" s="8">
        <f>HYPERLINK("https://dart.fss.or.kr/dsaf001/main.do?rcpNo=20260601801089", "공시열람")</f>
        <v/>
      </c>
    </row>
    <row r="8544">
      <c r="A8544" s="2" t="inlineStr">
        <is>
          <t>2026-06-01</t>
        </is>
      </c>
      <c r="B8544" s="3" t="inlineStr">
        <is>
          <t>윙입푸드</t>
        </is>
      </c>
      <c r="C8544" s="2" t="inlineStr">
        <is>
          <t>코스닥</t>
        </is>
      </c>
      <c r="D8544" s="2" t="inlineStr">
        <is>
          <t>900340</t>
        </is>
      </c>
      <c r="E8544" s="3" t="inlineStr">
        <is>
          <t>주권매매거래정지해제              (주식병합(무액면주식) 주권 변경상장)</t>
        </is>
      </c>
      <c r="F8544" s="3" t="inlineStr">
        <is>
          <t>코스닥시장본부</t>
        </is>
      </c>
      <c r="G8544" s="2" t="inlineStr">
        <is>
          <t>20260601901302</t>
        </is>
      </c>
      <c r="H8544" s="8">
        <f>HYPERLINK("https://dart.fss.or.kr/dsaf001/main.do?rcpNo=20260601901302", "공시열람")</f>
        <v/>
      </c>
    </row>
    <row r="8545">
      <c r="A8545" s="2" t="inlineStr">
        <is>
          <t>2026-06-01</t>
        </is>
      </c>
      <c r="B8545" s="3" t="inlineStr">
        <is>
          <t>티웨이홀딩스</t>
        </is>
      </c>
      <c r="C8545" s="2" t="inlineStr">
        <is>
          <t>코스피</t>
        </is>
      </c>
      <c r="D8545" s="2" t="inlineStr">
        <is>
          <t>004870</t>
        </is>
      </c>
      <c r="E8545" s="3" t="inlineStr">
        <is>
          <t>대규모기업집단현황공시[연1회공시및1/4분기용(개별회사)]</t>
        </is>
      </c>
      <c r="F8545" s="3" t="inlineStr">
        <is>
          <t>티웨이홀딩스</t>
        </is>
      </c>
      <c r="G8545" s="2" t="inlineStr">
        <is>
          <t>20260601001567</t>
        </is>
      </c>
      <c r="H8545" s="8">
        <f>HYPERLINK("https://dart.fss.or.kr/dsaf001/main.do?rcpNo=20260601001567", "공시열람")</f>
        <v/>
      </c>
    </row>
    <row r="8546">
      <c r="A8546" s="2" t="inlineStr">
        <is>
          <t>2026-06-01</t>
        </is>
      </c>
      <c r="B8546" s="3" t="inlineStr">
        <is>
          <t>유니온머티리얼</t>
        </is>
      </c>
      <c r="C8546" s="2" t="inlineStr">
        <is>
          <t>코스피</t>
        </is>
      </c>
      <c r="D8546" s="2" t="inlineStr">
        <is>
          <t>047400</t>
        </is>
      </c>
      <c r="E8546" s="3" t="inlineStr">
        <is>
          <t xml:space="preserve">기업지배구조보고서공시              </t>
        </is>
      </c>
      <c r="F8546" s="3" t="inlineStr">
        <is>
          <t>유니온머티리얼</t>
        </is>
      </c>
      <c r="G8546" s="2" t="inlineStr">
        <is>
          <t>20260601801315</t>
        </is>
      </c>
      <c r="H8546" s="8">
        <f>HYPERLINK("https://dart.fss.or.kr/dsaf001/main.do?rcpNo=20260601801315", "공시열람")</f>
        <v/>
      </c>
    </row>
    <row r="8547">
      <c r="A8547" s="2" t="inlineStr">
        <is>
          <t>2026-06-01</t>
        </is>
      </c>
      <c r="B8547" s="3" t="inlineStr">
        <is>
          <t>화인베스틸</t>
        </is>
      </c>
      <c r="C8547" s="2" t="inlineStr">
        <is>
          <t>코스피</t>
        </is>
      </c>
      <c r="D8547" s="2" t="inlineStr">
        <is>
          <t>133820</t>
        </is>
      </c>
      <c r="E8547" s="3" t="inlineStr">
        <is>
          <t xml:space="preserve">기업지배구조보고서공시              </t>
        </is>
      </c>
      <c r="F8547" s="3" t="inlineStr">
        <is>
          <t>화인베스틸</t>
        </is>
      </c>
      <c r="G8547" s="2" t="inlineStr">
        <is>
          <t>20260601801307</t>
        </is>
      </c>
      <c r="H8547" s="8">
        <f>HYPERLINK("https://dart.fss.or.kr/dsaf001/main.do?rcpNo=20260601801307", "공시열람")</f>
        <v/>
      </c>
    </row>
    <row r="8548">
      <c r="A8548" s="2" t="inlineStr">
        <is>
          <t>2026-06-01</t>
        </is>
      </c>
      <c r="B8548" s="3" t="inlineStr">
        <is>
          <t>삼성제약</t>
        </is>
      </c>
      <c r="C8548" s="2" t="inlineStr">
        <is>
          <t>코스피</t>
        </is>
      </c>
      <c r="D8548" s="2" t="inlineStr">
        <is>
          <t>001360</t>
        </is>
      </c>
      <c r="E8548" s="3" t="inlineStr">
        <is>
          <t xml:space="preserve">기업지배구조보고서공시              </t>
        </is>
      </c>
      <c r="F8548" s="3" t="inlineStr">
        <is>
          <t>삼성제약</t>
        </is>
      </c>
      <c r="G8548" s="2" t="inlineStr">
        <is>
          <t>20260601801286</t>
        </is>
      </c>
      <c r="H8548" s="8">
        <f>HYPERLINK("https://dart.fss.or.kr/dsaf001/main.do?rcpNo=20260601801286", "공시열람")</f>
        <v/>
      </c>
    </row>
    <row r="8549">
      <c r="A8549" s="2" t="inlineStr">
        <is>
          <t>2026-06-01</t>
        </is>
      </c>
      <c r="B8549" s="3" t="inlineStr">
        <is>
          <t>RF머트리얼즈</t>
        </is>
      </c>
      <c r="C8549" s="2" t="inlineStr">
        <is>
          <t>코스닥</t>
        </is>
      </c>
      <c r="D8549" s="2" t="inlineStr">
        <is>
          <t>327260</t>
        </is>
      </c>
      <c r="E8549" s="3" t="inlineStr">
        <is>
          <t>임원ㆍ주요주주특정증권등소유상황보고서</t>
        </is>
      </c>
      <c r="F8549" s="3" t="inlineStr">
        <is>
          <t>남동우</t>
        </is>
      </c>
      <c r="G8549" s="2" t="inlineStr">
        <is>
          <t>20260601001557</t>
        </is>
      </c>
      <c r="H8549" s="8">
        <f>HYPERLINK("https://dart.fss.or.kr/dsaf001/main.do?rcpNo=20260601001557", "공시열람")</f>
        <v/>
      </c>
    </row>
    <row r="8550">
      <c r="A8550" s="2" t="inlineStr">
        <is>
          <t>2026-06-01</t>
        </is>
      </c>
      <c r="B8550" s="3" t="inlineStr">
        <is>
          <t>삼성바이오로직스</t>
        </is>
      </c>
      <c r="C8550" s="2" t="inlineStr">
        <is>
          <t>코스피</t>
        </is>
      </c>
      <c r="D8550" s="2" t="inlineStr">
        <is>
          <t>207940</t>
        </is>
      </c>
      <c r="E8550" s="3" t="inlineStr">
        <is>
          <t xml:space="preserve">기업지배구조보고서공시              </t>
        </is>
      </c>
      <c r="F8550" s="3" t="inlineStr">
        <is>
          <t>삼성바이오로직스</t>
        </is>
      </c>
      <c r="G8550" s="2" t="inlineStr">
        <is>
          <t>20260601801243</t>
        </is>
      </c>
      <c r="H8550" s="8">
        <f>HYPERLINK("https://dart.fss.or.kr/dsaf001/main.do?rcpNo=20260601801243", "공시열람")</f>
        <v/>
      </c>
    </row>
    <row r="8551">
      <c r="A8551" s="2" t="inlineStr">
        <is>
          <t>2026-06-01</t>
        </is>
      </c>
      <c r="B8551" s="3" t="inlineStr">
        <is>
          <t>녹십자</t>
        </is>
      </c>
      <c r="C8551" s="2" t="inlineStr">
        <is>
          <t>코스피</t>
        </is>
      </c>
      <c r="D8551" s="2" t="inlineStr">
        <is>
          <t>006280</t>
        </is>
      </c>
      <c r="E8551" s="3" t="inlineStr">
        <is>
          <t xml:space="preserve">기업지배구조보고서공시              </t>
        </is>
      </c>
      <c r="F8551" s="3" t="inlineStr">
        <is>
          <t>녹십자</t>
        </is>
      </c>
      <c r="G8551" s="2" t="inlineStr">
        <is>
          <t>20260601801289</t>
        </is>
      </c>
      <c r="H8551" s="8">
        <f>HYPERLINK("https://dart.fss.or.kr/dsaf001/main.do?rcpNo=20260601801289", "공시열람")</f>
        <v/>
      </c>
    </row>
    <row r="8552">
      <c r="A8552" s="2" t="inlineStr">
        <is>
          <t>2026-06-01</t>
        </is>
      </c>
      <c r="B8552" s="3" t="inlineStr">
        <is>
          <t>서연</t>
        </is>
      </c>
      <c r="C8552" s="2" t="inlineStr">
        <is>
          <t>코스피</t>
        </is>
      </c>
      <c r="D8552" s="2" t="inlineStr">
        <is>
          <t>007860</t>
        </is>
      </c>
      <c r="E8552" s="3" t="inlineStr">
        <is>
          <t xml:space="preserve">기업지배구조보고서공시              </t>
        </is>
      </c>
      <c r="F8552" s="3" t="inlineStr">
        <is>
          <t>서연</t>
        </is>
      </c>
      <c r="G8552" s="2" t="inlineStr">
        <is>
          <t>20260601801269</t>
        </is>
      </c>
      <c r="H8552" s="8">
        <f>HYPERLINK("https://dart.fss.or.kr/dsaf001/main.do?rcpNo=20260601801269", "공시열람")</f>
        <v/>
      </c>
    </row>
    <row r="8553">
      <c r="A8553" s="2" t="inlineStr">
        <is>
          <t>2026-06-01</t>
        </is>
      </c>
      <c r="B8553" s="3" t="inlineStr">
        <is>
          <t>팜젠사이언스</t>
        </is>
      </c>
      <c r="C8553" s="2" t="inlineStr">
        <is>
          <t>코스피</t>
        </is>
      </c>
      <c r="D8553" s="2" t="inlineStr">
        <is>
          <t>004720</t>
        </is>
      </c>
      <c r="E8553" s="3" t="inlineStr">
        <is>
          <t xml:space="preserve">기업지배구조보고서공시              </t>
        </is>
      </c>
      <c r="F8553" s="3" t="inlineStr">
        <is>
          <t>팜젠사이언스</t>
        </is>
      </c>
      <c r="G8553" s="2" t="inlineStr">
        <is>
          <t>20260601801262</t>
        </is>
      </c>
      <c r="H8553" s="8">
        <f>HYPERLINK("https://dart.fss.or.kr/dsaf001/main.do?rcpNo=20260601801262", "공시열람")</f>
        <v/>
      </c>
    </row>
    <row r="8554">
      <c r="A8554" s="2" t="inlineStr">
        <is>
          <t>2026-06-01</t>
        </is>
      </c>
      <c r="B8554" s="3" t="inlineStr">
        <is>
          <t>맵스리얼티</t>
        </is>
      </c>
      <c r="C8554" s="2" t="inlineStr">
        <is>
          <t>코스피</t>
        </is>
      </c>
      <c r="D8554" s="2" t="inlineStr">
        <is>
          <t>094800</t>
        </is>
      </c>
      <c r="E8554" s="3" t="inlineStr">
        <is>
          <t>임원ㆍ주요주주특정증권등소유상황보고서</t>
        </is>
      </c>
      <c r="F8554" s="3" t="inlineStr">
        <is>
          <t>미래에셋생명</t>
        </is>
      </c>
      <c r="G8554" s="2" t="inlineStr">
        <is>
          <t>20260601001551</t>
        </is>
      </c>
      <c r="H8554" s="8">
        <f>HYPERLINK("https://dart.fss.or.kr/dsaf001/main.do?rcpNo=20260601001551", "공시열람")</f>
        <v/>
      </c>
    </row>
    <row r="8555">
      <c r="A8555" s="2" t="inlineStr">
        <is>
          <t>2026-06-01</t>
        </is>
      </c>
      <c r="B8555" s="3" t="inlineStr">
        <is>
          <t>종근당홀딩스</t>
        </is>
      </c>
      <c r="C8555" s="2" t="inlineStr">
        <is>
          <t>코스피</t>
        </is>
      </c>
      <c r="D8555" s="2" t="inlineStr">
        <is>
          <t>001630</t>
        </is>
      </c>
      <c r="E8555" s="3" t="inlineStr">
        <is>
          <t xml:space="preserve">기업지배구조보고서공시              </t>
        </is>
      </c>
      <c r="F8555" s="3" t="inlineStr">
        <is>
          <t>종근당홀딩스</t>
        </is>
      </c>
      <c r="G8555" s="2" t="inlineStr">
        <is>
          <t>20260601801195</t>
        </is>
      </c>
      <c r="H8555" s="8">
        <f>HYPERLINK("https://dart.fss.or.kr/dsaf001/main.do?rcpNo=20260601801195", "공시열람")</f>
        <v/>
      </c>
    </row>
    <row r="8556">
      <c r="A8556" s="2" t="inlineStr">
        <is>
          <t>2026-06-01</t>
        </is>
      </c>
      <c r="B8556" s="3" t="inlineStr">
        <is>
          <t>극동유화</t>
        </is>
      </c>
      <c r="C8556" s="2" t="inlineStr">
        <is>
          <t>코스피</t>
        </is>
      </c>
      <c r="D8556" s="2" t="inlineStr">
        <is>
          <t>014530</t>
        </is>
      </c>
      <c r="E8556" s="3" t="inlineStr">
        <is>
          <t xml:space="preserve">기업지배구조보고서공시              </t>
        </is>
      </c>
      <c r="F8556" s="3" t="inlineStr">
        <is>
          <t>극동유화</t>
        </is>
      </c>
      <c r="G8556" s="2" t="inlineStr">
        <is>
          <t>20260601801304</t>
        </is>
      </c>
      <c r="H8556" s="8">
        <f>HYPERLINK("https://dart.fss.or.kr/dsaf001/main.do?rcpNo=20260601801304", "공시열람")</f>
        <v/>
      </c>
    </row>
    <row r="8557">
      <c r="A8557" s="2" t="inlineStr">
        <is>
          <t>2026-06-01</t>
        </is>
      </c>
      <c r="B8557" s="3" t="inlineStr">
        <is>
          <t>서연이화</t>
        </is>
      </c>
      <c r="C8557" s="2" t="inlineStr">
        <is>
          <t>코스피</t>
        </is>
      </c>
      <c r="D8557" s="2" t="inlineStr">
        <is>
          <t>200880</t>
        </is>
      </c>
      <c r="E8557" s="3" t="inlineStr">
        <is>
          <t xml:space="preserve">기업지배구조보고서공시              </t>
        </is>
      </c>
      <c r="F8557" s="3" t="inlineStr">
        <is>
          <t>서연이화</t>
        </is>
      </c>
      <c r="G8557" s="2" t="inlineStr">
        <is>
          <t>20260601801292</t>
        </is>
      </c>
      <c r="H8557" s="8">
        <f>HYPERLINK("https://dart.fss.or.kr/dsaf001/main.do?rcpNo=20260601801292", "공시열람")</f>
        <v/>
      </c>
    </row>
    <row r="8558">
      <c r="A8558" s="2" t="inlineStr">
        <is>
          <t>2026-06-01</t>
        </is>
      </c>
      <c r="B8558" s="3" t="inlineStr">
        <is>
          <t>셀트리온</t>
        </is>
      </c>
      <c r="C8558" s="2" t="inlineStr">
        <is>
          <t>코스피</t>
        </is>
      </c>
      <c r="D8558" s="2" t="inlineStr">
        <is>
          <t>068270</t>
        </is>
      </c>
      <c r="E8558" s="3" t="inlineStr">
        <is>
          <t>대규모기업집단현황공시[연1회공시및1/4분기용(개별회사)]</t>
        </is>
      </c>
      <c r="F8558" s="3" t="inlineStr">
        <is>
          <t>셀트리온</t>
        </is>
      </c>
      <c r="G8558" s="2" t="inlineStr">
        <is>
          <t>20260601001543</t>
        </is>
      </c>
      <c r="H8558" s="8">
        <f>HYPERLINK("https://dart.fss.or.kr/dsaf001/main.do?rcpNo=20260601001543", "공시열람")</f>
        <v/>
      </c>
    </row>
    <row r="8559">
      <c r="A8559" s="2" t="inlineStr">
        <is>
          <t>2026-06-01</t>
        </is>
      </c>
      <c r="B8559" s="3" t="inlineStr">
        <is>
          <t>백산</t>
        </is>
      </c>
      <c r="C8559" s="2" t="inlineStr">
        <is>
          <t>코스피</t>
        </is>
      </c>
      <c r="D8559" s="2" t="inlineStr">
        <is>
          <t>035150</t>
        </is>
      </c>
      <c r="E8559" s="3" t="inlineStr">
        <is>
          <t xml:space="preserve">기업지배구조보고서공시              </t>
        </is>
      </c>
      <c r="F8559" s="3" t="inlineStr">
        <is>
          <t>백산</t>
        </is>
      </c>
      <c r="G8559" s="2" t="inlineStr">
        <is>
          <t>20260601800295</t>
        </is>
      </c>
      <c r="H8559" s="8">
        <f>HYPERLINK("https://dart.fss.or.kr/dsaf001/main.do?rcpNo=20260601800295", "공시열람")</f>
        <v/>
      </c>
    </row>
    <row r="8560">
      <c r="A8560" s="2" t="inlineStr">
        <is>
          <t>2026-06-01</t>
        </is>
      </c>
      <c r="B8560" s="3" t="inlineStr">
        <is>
          <t>진흥기업</t>
        </is>
      </c>
      <c r="C8560" s="2" t="inlineStr">
        <is>
          <t>코스피</t>
        </is>
      </c>
      <c r="D8560" s="2" t="inlineStr">
        <is>
          <t>002780</t>
        </is>
      </c>
      <c r="E8560" s="3" t="inlineStr">
        <is>
          <t>대규모기업집단현황공시[연1회공시및1/4분기용(개별회사)]</t>
        </is>
      </c>
      <c r="F8560" s="3" t="inlineStr">
        <is>
          <t>진흥기업</t>
        </is>
      </c>
      <c r="G8560" s="2" t="inlineStr">
        <is>
          <t>20260601001542</t>
        </is>
      </c>
      <c r="H8560" s="8">
        <f>HYPERLINK("https://dart.fss.or.kr/dsaf001/main.do?rcpNo=20260601001542", "공시열람")</f>
        <v/>
      </c>
    </row>
    <row r="8561">
      <c r="A8561" s="2" t="inlineStr">
        <is>
          <t>2026-06-01</t>
        </is>
      </c>
      <c r="B8561" s="3" t="inlineStr">
        <is>
          <t>효성중공업</t>
        </is>
      </c>
      <c r="C8561" s="2" t="inlineStr">
        <is>
          <t>코스피</t>
        </is>
      </c>
      <c r="D8561" s="2" t="inlineStr">
        <is>
          <t>298040</t>
        </is>
      </c>
      <c r="E8561" s="3" t="inlineStr">
        <is>
          <t>임원ㆍ주요주주특정증권등소유상황보고서</t>
        </is>
      </c>
      <c r="F8561" s="3" t="inlineStr">
        <is>
          <t>국민연금공단</t>
        </is>
      </c>
      <c r="G8561" s="2" t="inlineStr">
        <is>
          <t>20260601001541</t>
        </is>
      </c>
      <c r="H8561" s="8">
        <f>HYPERLINK("https://dart.fss.or.kr/dsaf001/main.do?rcpNo=20260601001541", "공시열람")</f>
        <v/>
      </c>
    </row>
    <row r="8562">
      <c r="A8562" s="2" t="inlineStr">
        <is>
          <t>2026-06-01</t>
        </is>
      </c>
      <c r="B8562" s="3" t="inlineStr">
        <is>
          <t>NC</t>
        </is>
      </c>
      <c r="C8562" s="2" t="inlineStr">
        <is>
          <t>코스피</t>
        </is>
      </c>
      <c r="D8562" s="2" t="inlineStr">
        <is>
          <t>036570</t>
        </is>
      </c>
      <c r="E8562" s="3" t="inlineStr">
        <is>
          <t xml:space="preserve">기업지배구조보고서공시              </t>
        </is>
      </c>
      <c r="F8562" s="3" t="inlineStr">
        <is>
          <t>NC</t>
        </is>
      </c>
      <c r="G8562" s="2" t="inlineStr">
        <is>
          <t>20260601801259</t>
        </is>
      </c>
      <c r="H8562" s="8">
        <f>HYPERLINK("https://dart.fss.or.kr/dsaf001/main.do?rcpNo=20260601801259", "공시열람")</f>
        <v/>
      </c>
    </row>
    <row r="8563">
      <c r="A8563" s="2" t="inlineStr">
        <is>
          <t>2026-06-01</t>
        </is>
      </c>
      <c r="B8563" s="3" t="inlineStr">
        <is>
          <t>유안타증권</t>
        </is>
      </c>
      <c r="C8563" s="2" t="inlineStr">
        <is>
          <t>코스피</t>
        </is>
      </c>
      <c r="D8563" s="2" t="inlineStr">
        <is>
          <t>003470</t>
        </is>
      </c>
      <c r="E8563" s="3" t="inlineStr">
        <is>
          <t>임원ㆍ주요주주특정증권등소유상황보고서</t>
        </is>
      </c>
      <c r="F8563" s="3" t="inlineStr">
        <is>
          <t>최해호</t>
        </is>
      </c>
      <c r="G8563" s="2" t="inlineStr">
        <is>
          <t>20260601001534</t>
        </is>
      </c>
      <c r="H8563" s="8">
        <f>HYPERLINK("https://dart.fss.or.kr/dsaf001/main.do?rcpNo=20260601001534", "공시열람")</f>
        <v/>
      </c>
    </row>
    <row r="8564">
      <c r="A8564" s="2" t="inlineStr">
        <is>
          <t>2026-06-01</t>
        </is>
      </c>
      <c r="B8564" s="3" t="inlineStr">
        <is>
          <t>NH투자증권</t>
        </is>
      </c>
      <c r="C8564" s="2" t="inlineStr">
        <is>
          <t>코스피</t>
        </is>
      </c>
      <c r="D8564" s="2" t="inlineStr">
        <is>
          <t>005940</t>
        </is>
      </c>
      <c r="E8564" s="3" t="inlineStr">
        <is>
          <t>일괄신고추가서류(파생결합증권-주가연계증권)</t>
        </is>
      </c>
      <c r="F8564" s="3" t="inlineStr">
        <is>
          <t>NH투자증권</t>
        </is>
      </c>
      <c r="G8564" s="2" t="inlineStr">
        <is>
          <t>20260601001524</t>
        </is>
      </c>
      <c r="H8564" s="8">
        <f>HYPERLINK("https://dart.fss.or.kr/dsaf001/main.do?rcpNo=20260601001524", "공시열람")</f>
        <v/>
      </c>
    </row>
    <row r="8565">
      <c r="A8565" s="2" t="inlineStr">
        <is>
          <t>2026-06-01</t>
        </is>
      </c>
      <c r="B8565" s="3" t="inlineStr">
        <is>
          <t>파라다이스</t>
        </is>
      </c>
      <c r="C8565" s="2" t="inlineStr">
        <is>
          <t>코스피</t>
        </is>
      </c>
      <c r="D8565" s="2" t="inlineStr">
        <is>
          <t>034230</t>
        </is>
      </c>
      <c r="E8565" s="3" t="inlineStr">
        <is>
          <t xml:space="preserve">기업지배구조보고서공시              </t>
        </is>
      </c>
      <c r="F8565" s="3" t="inlineStr">
        <is>
          <t>파라다이스</t>
        </is>
      </c>
      <c r="G8565" s="2" t="inlineStr">
        <is>
          <t>20260601801251</t>
        </is>
      </c>
      <c r="H8565" s="8">
        <f>HYPERLINK("https://dart.fss.or.kr/dsaf001/main.do?rcpNo=20260601801251", "공시열람")</f>
        <v/>
      </c>
    </row>
    <row r="8566">
      <c r="A8566" s="2" t="inlineStr">
        <is>
          <t>2026-06-01</t>
        </is>
      </c>
      <c r="B8566" s="3" t="inlineStr">
        <is>
          <t>진흥기업</t>
        </is>
      </c>
      <c r="C8566" s="2" t="inlineStr">
        <is>
          <t>코스피</t>
        </is>
      </c>
      <c r="D8566" s="2" t="inlineStr">
        <is>
          <t>002780</t>
        </is>
      </c>
      <c r="E8566" s="3" t="inlineStr">
        <is>
          <t xml:space="preserve">기업지배구조보고서공시              </t>
        </is>
      </c>
      <c r="F8566" s="3" t="inlineStr">
        <is>
          <t>진흥기업</t>
        </is>
      </c>
      <c r="G8566" s="2" t="inlineStr">
        <is>
          <t>20260601801275</t>
        </is>
      </c>
      <c r="H8566" s="8">
        <f>HYPERLINK("https://dart.fss.or.kr/dsaf001/main.do?rcpNo=20260601801275", "공시열람")</f>
        <v/>
      </c>
    </row>
    <row r="8567">
      <c r="A8567" s="2" t="inlineStr">
        <is>
          <t>2026-06-01</t>
        </is>
      </c>
      <c r="B8567" s="3" t="inlineStr">
        <is>
          <t>CJ 바이오사이언스</t>
        </is>
      </c>
      <c r="C8567" s="2" t="inlineStr">
        <is>
          <t>코스닥</t>
        </is>
      </c>
      <c r="D8567" s="2" t="inlineStr">
        <is>
          <t>311690</t>
        </is>
      </c>
      <c r="E8567" s="3" t="inlineStr">
        <is>
          <t>대규모기업집단현황공시[연1회공시및1/4분기용(개별회사)]</t>
        </is>
      </c>
      <c r="F8567" s="3" t="inlineStr">
        <is>
          <t>CJ 바이오사이언스</t>
        </is>
      </c>
      <c r="G8567" s="2" t="inlineStr">
        <is>
          <t>20260601001514</t>
        </is>
      </c>
      <c r="H8567" s="8">
        <f>HYPERLINK("https://dart.fss.or.kr/dsaf001/main.do?rcpNo=20260601001514", "공시열람")</f>
        <v/>
      </c>
    </row>
    <row r="8568">
      <c r="A8568" s="2" t="inlineStr">
        <is>
          <t>2026-06-01</t>
        </is>
      </c>
      <c r="B8568" s="3" t="inlineStr">
        <is>
          <t>삼양바이오팜</t>
        </is>
      </c>
      <c r="C8568" s="2" t="inlineStr">
        <is>
          <t>코스피</t>
        </is>
      </c>
      <c r="D8568" s="2" t="inlineStr">
        <is>
          <t>0120G0</t>
        </is>
      </c>
      <c r="E8568" s="3" t="inlineStr">
        <is>
          <t>대규모기업집단현황공시[연1회공시및1/4분기용(개별회사)]</t>
        </is>
      </c>
      <c r="F8568" s="3" t="inlineStr">
        <is>
          <t>삼양바이오팜</t>
        </is>
      </c>
      <c r="G8568" s="2" t="inlineStr">
        <is>
          <t>20260601001512</t>
        </is>
      </c>
      <c r="H8568" s="8">
        <f>HYPERLINK("https://dart.fss.or.kr/dsaf001/main.do?rcpNo=20260601001512", "공시열람")</f>
        <v/>
      </c>
    </row>
    <row r="8569">
      <c r="A8569" s="2" t="inlineStr">
        <is>
          <t>2026-06-01</t>
        </is>
      </c>
      <c r="B8569" s="3" t="inlineStr">
        <is>
          <t>동아에스티</t>
        </is>
      </c>
      <c r="C8569" s="2" t="inlineStr">
        <is>
          <t>코스피</t>
        </is>
      </c>
      <c r="D8569" s="2" t="inlineStr">
        <is>
          <t>170900</t>
        </is>
      </c>
      <c r="E8569" s="3" t="inlineStr">
        <is>
          <t xml:space="preserve">기업지배구조보고서공시              </t>
        </is>
      </c>
      <c r="F8569" s="3" t="inlineStr">
        <is>
          <t>동아에스티</t>
        </is>
      </c>
      <c r="G8569" s="2" t="inlineStr">
        <is>
          <t>20260601801255</t>
        </is>
      </c>
      <c r="H8569" s="8">
        <f>HYPERLINK("https://dart.fss.or.kr/dsaf001/main.do?rcpNo=20260601801255", "공시열람")</f>
        <v/>
      </c>
    </row>
    <row r="8570">
      <c r="A8570" s="2" t="inlineStr">
        <is>
          <t>2026-06-01</t>
        </is>
      </c>
      <c r="B8570" s="3" t="inlineStr">
        <is>
          <t>RF머트리얼즈</t>
        </is>
      </c>
      <c r="C8570" s="2" t="inlineStr">
        <is>
          <t>코스닥</t>
        </is>
      </c>
      <c r="D8570" s="2" t="inlineStr">
        <is>
          <t>327260</t>
        </is>
      </c>
      <c r="E8570" s="3" t="inlineStr">
        <is>
          <t>임원ㆍ주요주주특정증권등소유상황보고서</t>
        </is>
      </c>
      <c r="F8570" s="3" t="inlineStr">
        <is>
          <t>RFHIC</t>
        </is>
      </c>
      <c r="G8570" s="2" t="inlineStr">
        <is>
          <t>20260601001510</t>
        </is>
      </c>
      <c r="H8570" s="8">
        <f>HYPERLINK("https://dart.fss.or.kr/dsaf001/main.do?rcpNo=20260601001510", "공시열람")</f>
        <v/>
      </c>
    </row>
    <row r="8571">
      <c r="A8571" s="2" t="inlineStr">
        <is>
          <t>2026-06-01</t>
        </is>
      </c>
      <c r="B8571" s="3" t="inlineStr">
        <is>
          <t>디앤디플랫폼리츠</t>
        </is>
      </c>
      <c r="C8571" s="2" t="inlineStr">
        <is>
          <t>코스피</t>
        </is>
      </c>
      <c r="D8571" s="2" t="inlineStr">
        <is>
          <t>377190</t>
        </is>
      </c>
      <c r="E8571" s="3" t="inlineStr">
        <is>
          <t xml:space="preserve">기업지배구조보고서공시              </t>
        </is>
      </c>
      <c r="F8571" s="3" t="inlineStr">
        <is>
          <t>디앤디플랫폼리츠</t>
        </is>
      </c>
      <c r="G8571" s="2" t="inlineStr">
        <is>
          <t>20260601801191</t>
        </is>
      </c>
      <c r="H8571" s="8">
        <f>HYPERLINK("https://dart.fss.or.kr/dsaf001/main.do?rcpNo=20260601801191", "공시열람")</f>
        <v/>
      </c>
    </row>
    <row r="8572">
      <c r="A8572" s="2" t="inlineStr">
        <is>
          <t>2026-06-01</t>
        </is>
      </c>
      <c r="B8572" s="3" t="inlineStr">
        <is>
          <t>일양약품</t>
        </is>
      </c>
      <c r="C8572" s="2" t="inlineStr">
        <is>
          <t>코스피</t>
        </is>
      </c>
      <c r="D8572" s="2" t="inlineStr">
        <is>
          <t>007570</t>
        </is>
      </c>
      <c r="E8572" s="3" t="inlineStr">
        <is>
          <t xml:space="preserve">기업지배구조보고서공시              </t>
        </is>
      </c>
      <c r="F8572" s="3" t="inlineStr">
        <is>
          <t>일양약품</t>
        </is>
      </c>
      <c r="G8572" s="2" t="inlineStr">
        <is>
          <t>20260601800214</t>
        </is>
      </c>
      <c r="H8572" s="8">
        <f>HYPERLINK("https://dart.fss.or.kr/dsaf001/main.do?rcpNo=20260601800214", "공시열람")</f>
        <v/>
      </c>
    </row>
    <row r="8573">
      <c r="A8573" s="2" t="inlineStr">
        <is>
          <t>2026-06-01</t>
        </is>
      </c>
      <c r="B8573" s="3" t="inlineStr">
        <is>
          <t>CJ</t>
        </is>
      </c>
      <c r="C8573" s="2" t="inlineStr">
        <is>
          <t>코스피</t>
        </is>
      </c>
      <c r="D8573" s="2" t="inlineStr">
        <is>
          <t>001040</t>
        </is>
      </c>
      <c r="E8573" s="3" t="inlineStr">
        <is>
          <t xml:space="preserve">기업지배구조보고서공시              </t>
        </is>
      </c>
      <c r="F8573" s="3" t="inlineStr">
        <is>
          <t>CJ</t>
        </is>
      </c>
      <c r="G8573" s="2" t="inlineStr">
        <is>
          <t>20260601801252</t>
        </is>
      </c>
      <c r="H8573" s="8">
        <f>HYPERLINK("https://dart.fss.or.kr/dsaf001/main.do?rcpNo=20260601801252", "공시열람")</f>
        <v/>
      </c>
    </row>
    <row r="8574">
      <c r="A8574" s="2" t="inlineStr">
        <is>
          <t>2026-06-01</t>
        </is>
      </c>
      <c r="B8574" s="3" t="inlineStr">
        <is>
          <t>SKC</t>
        </is>
      </c>
      <c r="C8574" s="2" t="inlineStr">
        <is>
          <t>코스피</t>
        </is>
      </c>
      <c r="D8574" s="2" t="inlineStr">
        <is>
          <t>011790</t>
        </is>
      </c>
      <c r="E8574" s="3" t="inlineStr">
        <is>
          <t xml:space="preserve">기업지배구조보고서공시              </t>
        </is>
      </c>
      <c r="F8574" s="3" t="inlineStr">
        <is>
          <t>SKC</t>
        </is>
      </c>
      <c r="G8574" s="2" t="inlineStr">
        <is>
          <t>20260601801240</t>
        </is>
      </c>
      <c r="H8574" s="8">
        <f>HYPERLINK("https://dart.fss.or.kr/dsaf001/main.do?rcpNo=20260601801240", "공시열람")</f>
        <v/>
      </c>
    </row>
    <row r="8575">
      <c r="A8575" s="2" t="inlineStr">
        <is>
          <t>2026-06-01</t>
        </is>
      </c>
      <c r="B8575" s="3" t="inlineStr">
        <is>
          <t>스틱인베스트먼트</t>
        </is>
      </c>
      <c r="C8575" s="2" t="inlineStr">
        <is>
          <t>코스피</t>
        </is>
      </c>
      <c r="D8575" s="2" t="inlineStr">
        <is>
          <t>026890</t>
        </is>
      </c>
      <c r="E8575" s="3" t="inlineStr">
        <is>
          <t xml:space="preserve">기업지배구조보고서공시              </t>
        </is>
      </c>
      <c r="F8575" s="3" t="inlineStr">
        <is>
          <t>스틱인베스트먼트</t>
        </is>
      </c>
      <c r="G8575" s="2" t="inlineStr">
        <is>
          <t>20260601801245</t>
        </is>
      </c>
      <c r="H8575" s="8">
        <f>HYPERLINK("https://dart.fss.or.kr/dsaf001/main.do?rcpNo=20260601801245", "공시열람")</f>
        <v/>
      </c>
    </row>
    <row r="8576">
      <c r="A8576" s="2" t="inlineStr">
        <is>
          <t>2026-06-01</t>
        </is>
      </c>
      <c r="B8576" s="3" t="inlineStr">
        <is>
          <t>에이피알</t>
        </is>
      </c>
      <c r="C8576" s="2" t="inlineStr">
        <is>
          <t>코스피</t>
        </is>
      </c>
      <c r="D8576" s="2" t="inlineStr">
        <is>
          <t>278470</t>
        </is>
      </c>
      <c r="E8576" s="3" t="inlineStr">
        <is>
          <t xml:space="preserve">기업설명회(IR)개최(안내공시)              </t>
        </is>
      </c>
      <c r="F8576" s="3" t="inlineStr">
        <is>
          <t>에이피알</t>
        </is>
      </c>
      <c r="G8576" s="2" t="inlineStr">
        <is>
          <t>20260601801143</t>
        </is>
      </c>
      <c r="H8576" s="8">
        <f>HYPERLINK("https://dart.fss.or.kr/dsaf001/main.do?rcpNo=20260601801143", "공시열람")</f>
        <v/>
      </c>
    </row>
    <row r="8577">
      <c r="A8577" s="2" t="inlineStr">
        <is>
          <t>2026-06-01</t>
        </is>
      </c>
      <c r="B8577" s="3" t="inlineStr">
        <is>
          <t>대한방직</t>
        </is>
      </c>
      <c r="C8577" s="2" t="inlineStr">
        <is>
          <t>코스피</t>
        </is>
      </c>
      <c r="D8577" s="2" t="inlineStr">
        <is>
          <t>001070</t>
        </is>
      </c>
      <c r="E8577" s="3" t="inlineStr">
        <is>
          <t xml:space="preserve">기업지배구조보고서공시              </t>
        </is>
      </c>
      <c r="F8577" s="3" t="inlineStr">
        <is>
          <t>대한방직</t>
        </is>
      </c>
      <c r="G8577" s="2" t="inlineStr">
        <is>
          <t>20260601800848</t>
        </is>
      </c>
      <c r="H8577" s="8">
        <f>HYPERLINK("https://dart.fss.or.kr/dsaf001/main.do?rcpNo=20260601800848", "공시열람")</f>
        <v/>
      </c>
    </row>
    <row r="8578">
      <c r="A8578" s="2" t="inlineStr">
        <is>
          <t>2026-06-01</t>
        </is>
      </c>
      <c r="B8578" s="3" t="inlineStr">
        <is>
          <t>씨에스윈드</t>
        </is>
      </c>
      <c r="C8578" s="2" t="inlineStr">
        <is>
          <t>코스피</t>
        </is>
      </c>
      <c r="D8578" s="2" t="inlineStr">
        <is>
          <t>112610</t>
        </is>
      </c>
      <c r="E8578" s="3" t="inlineStr">
        <is>
          <t>임원ㆍ주요주주특정증권등소유상황보고서</t>
        </is>
      </c>
      <c r="F8578" s="3" t="inlineStr">
        <is>
          <t>국민연금공단</t>
        </is>
      </c>
      <c r="G8578" s="2" t="inlineStr">
        <is>
          <t>20260601001504</t>
        </is>
      </c>
      <c r="H8578" s="8">
        <f>HYPERLINK("https://dart.fss.or.kr/dsaf001/main.do?rcpNo=20260601001504", "공시열람")</f>
        <v/>
      </c>
    </row>
    <row r="8579">
      <c r="A8579" s="2" t="inlineStr">
        <is>
          <t>2026-06-01</t>
        </is>
      </c>
      <c r="B8579" s="3" t="inlineStr">
        <is>
          <t>신영증권</t>
        </is>
      </c>
      <c r="C8579" s="2" t="inlineStr">
        <is>
          <t>코스피</t>
        </is>
      </c>
      <c r="D8579" s="2" t="inlineStr">
        <is>
          <t>001720</t>
        </is>
      </c>
      <c r="E8579" s="3" t="inlineStr">
        <is>
          <t>임원ㆍ주요주주특정증권등소유상황보고서</t>
        </is>
      </c>
      <c r="F8579" s="3" t="inlineStr">
        <is>
          <t>원종석</t>
        </is>
      </c>
      <c r="G8579" s="2" t="inlineStr">
        <is>
          <t>20260601001495</t>
        </is>
      </c>
      <c r="H8579" s="8">
        <f>HYPERLINK("https://dart.fss.or.kr/dsaf001/main.do?rcpNo=20260601001495", "공시열람")</f>
        <v/>
      </c>
    </row>
    <row r="8580">
      <c r="A8580" s="2" t="inlineStr">
        <is>
          <t>2026-06-01</t>
        </is>
      </c>
      <c r="B8580" s="3" t="inlineStr">
        <is>
          <t>금호석유화학</t>
        </is>
      </c>
      <c r="C8580" s="2" t="inlineStr">
        <is>
          <t>코스피</t>
        </is>
      </c>
      <c r="D8580" s="2" t="inlineStr">
        <is>
          <t>011780</t>
        </is>
      </c>
      <c r="E8580" s="3" t="inlineStr">
        <is>
          <t>임원ㆍ주요주주특정증권등소유상황보고서</t>
        </is>
      </c>
      <c r="F8580" s="3" t="inlineStr">
        <is>
          <t>국민연금공단</t>
        </is>
      </c>
      <c r="G8580" s="2" t="inlineStr">
        <is>
          <t>20260601001491</t>
        </is>
      </c>
      <c r="H8580" s="8">
        <f>HYPERLINK("https://dart.fss.or.kr/dsaf001/main.do?rcpNo=20260601001491", "공시열람")</f>
        <v/>
      </c>
    </row>
    <row r="8581">
      <c r="A8581" s="2" t="inlineStr">
        <is>
          <t>2026-06-01</t>
        </is>
      </c>
      <c r="B8581" s="3" t="inlineStr">
        <is>
          <t>HL만도</t>
        </is>
      </c>
      <c r="C8581" s="2" t="inlineStr">
        <is>
          <t>코스피</t>
        </is>
      </c>
      <c r="D8581" s="2" t="inlineStr">
        <is>
          <t>204320</t>
        </is>
      </c>
      <c r="E8581" s="3" t="inlineStr">
        <is>
          <t xml:space="preserve">기업지배구조보고서공시              </t>
        </is>
      </c>
      <c r="F8581" s="3" t="inlineStr">
        <is>
          <t>HL만도</t>
        </is>
      </c>
      <c r="G8581" s="2" t="inlineStr">
        <is>
          <t>20260601801225</t>
        </is>
      </c>
      <c r="H8581" s="8">
        <f>HYPERLINK("https://dart.fss.or.kr/dsaf001/main.do?rcpNo=20260601801225", "공시열람")</f>
        <v/>
      </c>
    </row>
    <row r="8582">
      <c r="A8582" s="2" t="inlineStr">
        <is>
          <t>2026-06-01</t>
        </is>
      </c>
      <c r="B8582" s="3" t="inlineStr">
        <is>
          <t>덕성</t>
        </is>
      </c>
      <c r="C8582" s="2" t="inlineStr">
        <is>
          <t>코스피</t>
        </is>
      </c>
      <c r="D8582" s="2" t="inlineStr">
        <is>
          <t>004830</t>
        </is>
      </c>
      <c r="E8582" s="3" t="inlineStr">
        <is>
          <t xml:space="preserve">기업지배구조보고서공시              </t>
        </is>
      </c>
      <c r="F8582" s="3" t="inlineStr">
        <is>
          <t>덕성</t>
        </is>
      </c>
      <c r="G8582" s="2" t="inlineStr">
        <is>
          <t>20260601801205</t>
        </is>
      </c>
      <c r="H8582" s="8">
        <f>HYPERLINK("https://dart.fss.or.kr/dsaf001/main.do?rcpNo=20260601801205", "공시열람")</f>
        <v/>
      </c>
    </row>
    <row r="8583">
      <c r="A8583" s="2" t="inlineStr">
        <is>
          <t>2026-06-01</t>
        </is>
      </c>
      <c r="B8583" s="3" t="inlineStr">
        <is>
          <t>노루홀딩스</t>
        </is>
      </c>
      <c r="C8583" s="2" t="inlineStr">
        <is>
          <t>코스피</t>
        </is>
      </c>
      <c r="D8583" s="2" t="inlineStr">
        <is>
          <t>000320</t>
        </is>
      </c>
      <c r="E8583" s="3" t="inlineStr">
        <is>
          <t xml:space="preserve">기업지배구조보고서공시              </t>
        </is>
      </c>
      <c r="F8583" s="3" t="inlineStr">
        <is>
          <t>노루홀딩스</t>
        </is>
      </c>
      <c r="G8583" s="2" t="inlineStr">
        <is>
          <t>20260601801232</t>
        </is>
      </c>
      <c r="H8583" s="8">
        <f>HYPERLINK("https://dart.fss.or.kr/dsaf001/main.do?rcpNo=20260601801232", "공시열람")</f>
        <v/>
      </c>
    </row>
    <row r="8584">
      <c r="A8584" s="2" t="inlineStr">
        <is>
          <t>2026-06-01</t>
        </is>
      </c>
      <c r="B8584" s="3" t="inlineStr">
        <is>
          <t>CJ</t>
        </is>
      </c>
      <c r="C8584" s="2" t="inlineStr">
        <is>
          <t>코스피</t>
        </is>
      </c>
      <c r="D8584" s="2" t="inlineStr">
        <is>
          <t>001040</t>
        </is>
      </c>
      <c r="E8584" s="3" t="inlineStr">
        <is>
          <t>대규모기업집단현황공시[연1회(동일인용)]</t>
        </is>
      </c>
      <c r="F8584" s="3" t="inlineStr">
        <is>
          <t>이재현</t>
        </is>
      </c>
      <c r="G8584" s="2" t="inlineStr">
        <is>
          <t>20260601001483</t>
        </is>
      </c>
      <c r="H8584" s="8">
        <f>HYPERLINK("https://dart.fss.or.kr/dsaf001/main.do?rcpNo=20260601001483", "공시열람")</f>
        <v/>
      </c>
    </row>
    <row r="8585">
      <c r="A8585" s="2" t="inlineStr">
        <is>
          <t>2026-06-01 (정정: 2026-06-01)</t>
        </is>
      </c>
      <c r="B8585" s="3" t="inlineStr">
        <is>
          <t>이노스페이스</t>
        </is>
      </c>
      <c r="C8585" s="2" t="inlineStr">
        <is>
          <t>코스닥</t>
        </is>
      </c>
      <c r="D8585" s="2" t="inlineStr">
        <is>
          <t>462350</t>
        </is>
      </c>
      <c r="E8585" s="3" t="inlineStr">
        <is>
          <t>유상증자최종발행가액확정              (주주배정후 실권주 일반공모) (정정: 20260601)</t>
        </is>
      </c>
      <c r="F8585" s="3" t="inlineStr">
        <is>
          <t>이노스페이스</t>
        </is>
      </c>
      <c r="G8585" s="2" t="inlineStr">
        <is>
          <t>20260601001406</t>
        </is>
      </c>
      <c r="H8585" s="8">
        <f>HYPERLINK("https://dart.fss.or.kr/dsaf001/main.do?rcpNo=20260601001406", "공시열람")</f>
        <v/>
      </c>
    </row>
    <row r="8586">
      <c r="A8586" s="2" t="inlineStr">
        <is>
          <t>2026-06-01</t>
        </is>
      </c>
      <c r="B8586" s="3" t="inlineStr">
        <is>
          <t>한미약품</t>
        </is>
      </c>
      <c r="C8586" s="2" t="inlineStr">
        <is>
          <t>코스피</t>
        </is>
      </c>
      <c r="D8586" s="2" t="inlineStr">
        <is>
          <t>128940</t>
        </is>
      </c>
      <c r="E8586" s="3" t="inlineStr">
        <is>
          <t>임원ㆍ주요주주특정증권등소유상황보고서</t>
        </is>
      </c>
      <c r="F8586" s="3" t="inlineStr">
        <is>
          <t>국민연금공단</t>
        </is>
      </c>
      <c r="G8586" s="2" t="inlineStr">
        <is>
          <t>20260601001481</t>
        </is>
      </c>
      <c r="H8586" s="8">
        <f>HYPERLINK("https://dart.fss.or.kr/dsaf001/main.do?rcpNo=20260601001481", "공시열람")</f>
        <v/>
      </c>
    </row>
    <row r="8587">
      <c r="A8587" s="2" t="inlineStr">
        <is>
          <t>2026-06-01</t>
        </is>
      </c>
      <c r="B8587" s="3" t="inlineStr">
        <is>
          <t>제일약품</t>
        </is>
      </c>
      <c r="C8587" s="2" t="inlineStr">
        <is>
          <t>코스피</t>
        </is>
      </c>
      <c r="D8587" s="2" t="inlineStr">
        <is>
          <t>271980</t>
        </is>
      </c>
      <c r="E8587" s="3" t="inlineStr">
        <is>
          <t xml:space="preserve">기업지배구조보고서공시              </t>
        </is>
      </c>
      <c r="F8587" s="3" t="inlineStr">
        <is>
          <t>제일약품</t>
        </is>
      </c>
      <c r="G8587" s="2" t="inlineStr">
        <is>
          <t>20260601801220</t>
        </is>
      </c>
      <c r="H8587" s="8">
        <f>HYPERLINK("https://dart.fss.or.kr/dsaf001/main.do?rcpNo=20260601801220", "공시열람")</f>
        <v/>
      </c>
    </row>
    <row r="8588">
      <c r="A8588" s="2" t="inlineStr">
        <is>
          <t>2026-06-01</t>
        </is>
      </c>
      <c r="B8588" s="3" t="inlineStr">
        <is>
          <t>사조오양</t>
        </is>
      </c>
      <c r="C8588" s="2" t="inlineStr">
        <is>
          <t>코스피</t>
        </is>
      </c>
      <c r="D8588" s="2" t="inlineStr">
        <is>
          <t>006090</t>
        </is>
      </c>
      <c r="E8588" s="3" t="inlineStr">
        <is>
          <t xml:space="preserve">기업지배구조보고서공시              </t>
        </is>
      </c>
      <c r="F8588" s="3" t="inlineStr">
        <is>
          <t>사조오양</t>
        </is>
      </c>
      <c r="G8588" s="2" t="inlineStr">
        <is>
          <t>20260601801227</t>
        </is>
      </c>
      <c r="H8588" s="8">
        <f>HYPERLINK("https://dart.fss.or.kr/dsaf001/main.do?rcpNo=20260601801227", "공시열람")</f>
        <v/>
      </c>
    </row>
    <row r="8589">
      <c r="A8589" s="2" t="inlineStr">
        <is>
          <t>2026-06-01</t>
        </is>
      </c>
      <c r="B8589" s="3" t="inlineStr">
        <is>
          <t>HMM</t>
        </is>
      </c>
      <c r="C8589" s="2" t="inlineStr">
        <is>
          <t>코스피</t>
        </is>
      </c>
      <c r="D8589" s="2" t="inlineStr">
        <is>
          <t>011200</t>
        </is>
      </c>
      <c r="E8589" s="3" t="inlineStr">
        <is>
          <t xml:space="preserve">기업지배구조보고서공시              </t>
        </is>
      </c>
      <c r="F8589" s="3" t="inlineStr">
        <is>
          <t>HMM</t>
        </is>
      </c>
      <c r="G8589" s="2" t="inlineStr">
        <is>
          <t>20260601801058</t>
        </is>
      </c>
      <c r="H8589" s="8">
        <f>HYPERLINK("https://dart.fss.or.kr/dsaf001/main.do?rcpNo=20260601801058", "공시열람")</f>
        <v/>
      </c>
    </row>
    <row r="8590">
      <c r="A8590" s="2" t="inlineStr">
        <is>
          <t>2026-06-01</t>
        </is>
      </c>
      <c r="B8590" s="3" t="inlineStr">
        <is>
          <t>선도전기</t>
        </is>
      </c>
      <c r="C8590" s="2" t="inlineStr">
        <is>
          <t>코스피</t>
        </is>
      </c>
      <c r="D8590" s="2" t="inlineStr">
        <is>
          <t>007610</t>
        </is>
      </c>
      <c r="E8590" s="3" t="inlineStr">
        <is>
          <t xml:space="preserve">기업지배구조보고서공시              </t>
        </is>
      </c>
      <c r="F8590" s="3" t="inlineStr">
        <is>
          <t>선도전기</t>
        </is>
      </c>
      <c r="G8590" s="2" t="inlineStr">
        <is>
          <t>20260601801070</t>
        </is>
      </c>
      <c r="H8590" s="8">
        <f>HYPERLINK("https://dart.fss.or.kr/dsaf001/main.do?rcpNo=20260601801070", "공시열람")</f>
        <v/>
      </c>
    </row>
    <row r="8591">
      <c r="A8591" s="2" t="inlineStr">
        <is>
          <t>2026-06-01</t>
        </is>
      </c>
      <c r="B8591" s="3" t="inlineStr">
        <is>
          <t>기아</t>
        </is>
      </c>
      <c r="C8591" s="2" t="inlineStr">
        <is>
          <t>코스피</t>
        </is>
      </c>
      <c r="D8591" s="2" t="inlineStr">
        <is>
          <t>000270</t>
        </is>
      </c>
      <c r="E8591" s="3" t="inlineStr">
        <is>
          <t xml:space="preserve">영업(잠정)실적(공정공시)              </t>
        </is>
      </c>
      <c r="F8591" s="3" t="inlineStr">
        <is>
          <t>기아</t>
        </is>
      </c>
      <c r="G8591" s="2" t="inlineStr">
        <is>
          <t>20260601801132</t>
        </is>
      </c>
      <c r="H8591" s="8">
        <f>HYPERLINK("https://dart.fss.or.kr/dsaf001/main.do?rcpNo=20260601801132", "공시열람")</f>
        <v/>
      </c>
    </row>
    <row r="8592">
      <c r="A8592" s="2" t="inlineStr">
        <is>
          <t>2026-06-01</t>
        </is>
      </c>
      <c r="B8592" s="3" t="inlineStr">
        <is>
          <t>E8</t>
        </is>
      </c>
      <c r="C8592" s="2" t="inlineStr">
        <is>
          <t>코스닥</t>
        </is>
      </c>
      <c r="D8592" s="2" t="inlineStr">
        <is>
          <t>418620</t>
        </is>
      </c>
      <c r="E8592" s="3" t="inlineStr">
        <is>
          <t>임원ㆍ주요주주특정증권등소유상황보고서</t>
        </is>
      </c>
      <c r="F8592" s="3" t="inlineStr">
        <is>
          <t>이호선</t>
        </is>
      </c>
      <c r="G8592" s="2" t="inlineStr">
        <is>
          <t>20260601001474</t>
        </is>
      </c>
      <c r="H8592" s="8">
        <f>HYPERLINK("https://dart.fss.or.kr/dsaf001/main.do?rcpNo=20260601001474", "공시열람")</f>
        <v/>
      </c>
    </row>
    <row r="8593">
      <c r="A8593" s="2" t="inlineStr">
        <is>
          <t>2026-06-01</t>
        </is>
      </c>
      <c r="B8593" s="3" t="inlineStr">
        <is>
          <t>DYP</t>
        </is>
      </c>
      <c r="C8593" s="2" t="inlineStr">
        <is>
          <t>코스피</t>
        </is>
      </c>
      <c r="D8593" s="2" t="inlineStr">
        <is>
          <t>092780</t>
        </is>
      </c>
      <c r="E8593" s="3" t="inlineStr">
        <is>
          <t xml:space="preserve">기업지배구조보고서공시              </t>
        </is>
      </c>
      <c r="F8593" s="3" t="inlineStr">
        <is>
          <t>DYP</t>
        </is>
      </c>
      <c r="G8593" s="2" t="inlineStr">
        <is>
          <t>20260601801006</t>
        </is>
      </c>
      <c r="H8593" s="8">
        <f>HYPERLINK("https://dart.fss.or.kr/dsaf001/main.do?rcpNo=20260601801006", "공시열람")</f>
        <v/>
      </c>
    </row>
    <row r="8594">
      <c r="A8594" s="2" t="inlineStr">
        <is>
          <t>2026-06-01</t>
        </is>
      </c>
      <c r="B8594" s="3" t="inlineStr">
        <is>
          <t>주연테크</t>
        </is>
      </c>
      <c r="C8594" s="2" t="inlineStr">
        <is>
          <t>코스피</t>
        </is>
      </c>
      <c r="D8594" s="2" t="inlineStr">
        <is>
          <t>044380</t>
        </is>
      </c>
      <c r="E8594" s="3" t="inlineStr">
        <is>
          <t xml:space="preserve">기업지배구조보고서공시              </t>
        </is>
      </c>
      <c r="F8594" s="3" t="inlineStr">
        <is>
          <t>주연테크</t>
        </is>
      </c>
      <c r="G8594" s="2" t="inlineStr">
        <is>
          <t>20260601800920</t>
        </is>
      </c>
      <c r="H8594" s="8">
        <f>HYPERLINK("https://dart.fss.or.kr/dsaf001/main.do?rcpNo=20260601800920", "공시열람")</f>
        <v/>
      </c>
    </row>
    <row r="8595">
      <c r="A8595" s="2" t="inlineStr">
        <is>
          <t>2026-06-01</t>
        </is>
      </c>
      <c r="B8595" s="3" t="inlineStr">
        <is>
          <t>CJ CGV</t>
        </is>
      </c>
      <c r="C8595" s="2" t="inlineStr">
        <is>
          <t>코스피</t>
        </is>
      </c>
      <c r="D8595" s="2" t="inlineStr">
        <is>
          <t>079160</t>
        </is>
      </c>
      <c r="E8595" s="3" t="inlineStr">
        <is>
          <t xml:space="preserve">기업지배구조보고서공시              </t>
        </is>
      </c>
      <c r="F8595" s="3" t="inlineStr">
        <is>
          <t>CJ CGV</t>
        </is>
      </c>
      <c r="G8595" s="2" t="inlineStr">
        <is>
          <t>20260601800438</t>
        </is>
      </c>
      <c r="H8595" s="8">
        <f>HYPERLINK("https://dart.fss.or.kr/dsaf001/main.do?rcpNo=20260601800438", "공시열람")</f>
        <v/>
      </c>
    </row>
    <row r="8596">
      <c r="A8596" s="2" t="inlineStr">
        <is>
          <t>2026-06-01</t>
        </is>
      </c>
      <c r="B8596" s="3" t="inlineStr">
        <is>
          <t>LIG디펜스앤에어로스페이스</t>
        </is>
      </c>
      <c r="C8596" s="2" t="inlineStr">
        <is>
          <t>코스피</t>
        </is>
      </c>
      <c r="D8596" s="2" t="inlineStr">
        <is>
          <t>079550</t>
        </is>
      </c>
      <c r="E8596" s="3" t="inlineStr">
        <is>
          <t>임원ㆍ주요주주특정증권등소유상황보고서</t>
        </is>
      </c>
      <c r="F8596" s="3" t="inlineStr">
        <is>
          <t>국민연금공단</t>
        </is>
      </c>
      <c r="G8596" s="2" t="inlineStr">
        <is>
          <t>20260601001472</t>
        </is>
      </c>
      <c r="H8596" s="8">
        <f>HYPERLINK("https://dart.fss.or.kr/dsaf001/main.do?rcpNo=20260601001472", "공시열람")</f>
        <v/>
      </c>
    </row>
    <row r="8597">
      <c r="A8597" s="2" t="inlineStr">
        <is>
          <t>2026-06-01 (정정: 2026-06-01)</t>
        </is>
      </c>
      <c r="B8597" s="3" t="inlineStr">
        <is>
          <t>자이에스앤디</t>
        </is>
      </c>
      <c r="C8597" s="2" t="inlineStr">
        <is>
          <t>코스피</t>
        </is>
      </c>
      <c r="D8597" s="2" t="inlineStr">
        <is>
          <t>317400</t>
        </is>
      </c>
      <c r="E8597" s="3" t="inlineStr">
        <is>
          <t>기업지배구조보고서공시               (정정: 20260601)</t>
        </is>
      </c>
      <c r="F8597" s="3" t="inlineStr">
        <is>
          <t>자이에스앤디</t>
        </is>
      </c>
      <c r="G8597" s="2" t="inlineStr">
        <is>
          <t>20260601001247</t>
        </is>
      </c>
      <c r="H8597" s="8">
        <f>HYPERLINK("https://dart.fss.or.kr/dsaf001/main.do?rcpNo=20260601001247", "공시열람")</f>
        <v/>
      </c>
    </row>
    <row r="8598">
      <c r="A8598" s="2" t="inlineStr">
        <is>
          <t>2026-06-01</t>
        </is>
      </c>
      <c r="B8598" s="3" t="inlineStr">
        <is>
          <t>DB손해보험</t>
        </is>
      </c>
      <c r="C8598" s="2" t="inlineStr">
        <is>
          <t>코스피</t>
        </is>
      </c>
      <c r="D8598" s="2" t="inlineStr">
        <is>
          <t>005830</t>
        </is>
      </c>
      <c r="E8598" s="3" t="inlineStr">
        <is>
          <t>대규모기업집단현황공시[연1회공시및1/4분기용(개별회사)]</t>
        </is>
      </c>
      <c r="F8598" s="3" t="inlineStr">
        <is>
          <t>DB손해보험</t>
        </is>
      </c>
      <c r="G8598" s="2" t="inlineStr">
        <is>
          <t>20260601001470</t>
        </is>
      </c>
      <c r="H8598" s="8">
        <f>HYPERLINK("https://dart.fss.or.kr/dsaf001/main.do?rcpNo=20260601001470", "공시열람")</f>
        <v/>
      </c>
    </row>
    <row r="8599">
      <c r="A8599" s="2" t="inlineStr">
        <is>
          <t>2026-06-01</t>
        </is>
      </c>
      <c r="B8599" s="3" t="inlineStr">
        <is>
          <t>HL만도</t>
        </is>
      </c>
      <c r="C8599" s="2" t="inlineStr">
        <is>
          <t>코스피</t>
        </is>
      </c>
      <c r="D8599" s="2" t="inlineStr">
        <is>
          <t>204320</t>
        </is>
      </c>
      <c r="E8599" s="3" t="inlineStr">
        <is>
          <t>임원ㆍ주요주주특정증권등소유상황보고서</t>
        </is>
      </c>
      <c r="F8599" s="3" t="inlineStr">
        <is>
          <t>국민연금공단</t>
        </is>
      </c>
      <c r="G8599" s="2" t="inlineStr">
        <is>
          <t>20260601001463</t>
        </is>
      </c>
      <c r="H8599" s="8">
        <f>HYPERLINK("https://dart.fss.or.kr/dsaf001/main.do?rcpNo=20260601001463", "공시열람")</f>
        <v/>
      </c>
    </row>
    <row r="8600">
      <c r="A8600" s="2" t="inlineStr">
        <is>
          <t>2026-06-01</t>
        </is>
      </c>
      <c r="B8600" s="3" t="inlineStr">
        <is>
          <t>화승알앤에이</t>
        </is>
      </c>
      <c r="C8600" s="2" t="inlineStr">
        <is>
          <t>코스피</t>
        </is>
      </c>
      <c r="D8600" s="2" t="inlineStr">
        <is>
          <t>378850</t>
        </is>
      </c>
      <c r="E8600" s="3" t="inlineStr">
        <is>
          <t xml:space="preserve">기업지배구조보고서공시              </t>
        </is>
      </c>
      <c r="F8600" s="3" t="inlineStr">
        <is>
          <t>화승알앤에이</t>
        </is>
      </c>
      <c r="G8600" s="2" t="inlineStr">
        <is>
          <t>20260601801213</t>
        </is>
      </c>
      <c r="H8600" s="8">
        <f>HYPERLINK("https://dart.fss.or.kr/dsaf001/main.do?rcpNo=20260601801213", "공시열람")</f>
        <v/>
      </c>
    </row>
    <row r="8601">
      <c r="A8601" s="2" t="inlineStr">
        <is>
          <t>2026-06-01</t>
        </is>
      </c>
      <c r="B8601" s="3" t="inlineStr">
        <is>
          <t>넵튠</t>
        </is>
      </c>
      <c r="C8601" s="2" t="inlineStr">
        <is>
          <t>코스닥</t>
        </is>
      </c>
      <c r="D8601" s="2" t="inlineStr">
        <is>
          <t>217270</t>
        </is>
      </c>
      <c r="E8601" s="3" t="inlineStr">
        <is>
          <t>대규모기업집단현황공시[연1회공시및1/4분기용(개별회사)]</t>
        </is>
      </c>
      <c r="F8601" s="3" t="inlineStr">
        <is>
          <t>넵튠</t>
        </is>
      </c>
      <c r="G8601" s="2" t="inlineStr">
        <is>
          <t>20260601001460</t>
        </is>
      </c>
      <c r="H8601" s="8">
        <f>HYPERLINK("https://dart.fss.or.kr/dsaf001/main.do?rcpNo=20260601001460", "공시열람")</f>
        <v/>
      </c>
    </row>
    <row r="8602">
      <c r="A8602" s="2" t="inlineStr">
        <is>
          <t>2026-06-01</t>
        </is>
      </c>
      <c r="B8602" s="3" t="inlineStr">
        <is>
          <t>삼영</t>
        </is>
      </c>
      <c r="C8602" s="2" t="inlineStr">
        <is>
          <t>코스피</t>
        </is>
      </c>
      <c r="D8602" s="2" t="inlineStr">
        <is>
          <t>003720</t>
        </is>
      </c>
      <c r="E8602" s="3" t="inlineStr">
        <is>
          <t xml:space="preserve">기업지배구조보고서공시              </t>
        </is>
      </c>
      <c r="F8602" s="3" t="inlineStr">
        <is>
          <t>삼영</t>
        </is>
      </c>
      <c r="G8602" s="2" t="inlineStr">
        <is>
          <t>20260601801023</t>
        </is>
      </c>
      <c r="H8602" s="8">
        <f>HYPERLINK("https://dart.fss.or.kr/dsaf001/main.do?rcpNo=20260601801023", "공시열람")</f>
        <v/>
      </c>
    </row>
    <row r="8603">
      <c r="A8603" s="2" t="inlineStr">
        <is>
          <t>2026-06-01</t>
        </is>
      </c>
      <c r="B8603" s="3" t="inlineStr">
        <is>
          <t>금호석유화학</t>
        </is>
      </c>
      <c r="C8603" s="2" t="inlineStr">
        <is>
          <t>코스피</t>
        </is>
      </c>
      <c r="D8603" s="2" t="inlineStr">
        <is>
          <t>011780</t>
        </is>
      </c>
      <c r="E8603" s="3" t="inlineStr">
        <is>
          <t>임원ㆍ주요주주특정증권등소유상황보고서</t>
        </is>
      </c>
      <c r="F8603" s="3" t="inlineStr">
        <is>
          <t>국민연금공단</t>
        </is>
      </c>
      <c r="G8603" s="2" t="inlineStr">
        <is>
          <t>20260601001457</t>
        </is>
      </c>
      <c r="H8603" s="8">
        <f>HYPERLINK("https://dart.fss.or.kr/dsaf001/main.do?rcpNo=20260601001457", "공시열람")</f>
        <v/>
      </c>
    </row>
    <row r="8604">
      <c r="A8604" s="2" t="inlineStr">
        <is>
          <t>2026-06-01 (정정: 2026-06-23)</t>
        </is>
      </c>
      <c r="B8604" s="3" t="inlineStr">
        <is>
          <t>유일에너테크</t>
        </is>
      </c>
      <c r="C8604" s="2" t="inlineStr">
        <is>
          <t>코스닥</t>
        </is>
      </c>
      <c r="D8604" s="2" t="inlineStr">
        <is>
          <t>340930</t>
        </is>
      </c>
      <c r="E8604" s="3" t="inlineStr">
        <is>
          <t>임원ㆍ주요주주특정증권등소유상황보고서 (정정: 20260623)</t>
        </is>
      </c>
      <c r="F8604" s="3" t="inlineStr">
        <is>
          <t>이강수</t>
        </is>
      </c>
      <c r="G8604" s="2" t="inlineStr">
        <is>
          <t>20260623000191</t>
        </is>
      </c>
      <c r="H8604" s="8">
        <f>HYPERLINK("https://dart.fss.or.kr/dsaf001/main.do?rcpNo=20260623000191", "공시열람")</f>
        <v/>
      </c>
    </row>
    <row r="8605">
      <c r="A8605" s="2" t="inlineStr">
        <is>
          <t>2026-06-01</t>
        </is>
      </c>
      <c r="B8605" s="3" t="inlineStr">
        <is>
          <t>현대코퍼레이션</t>
        </is>
      </c>
      <c r="C8605" s="2" t="inlineStr">
        <is>
          <t>코스피</t>
        </is>
      </c>
      <c r="D8605" s="2" t="inlineStr">
        <is>
          <t>011760</t>
        </is>
      </c>
      <c r="E8605" s="3" t="inlineStr">
        <is>
          <t>임원ㆍ주요주주특정증권등소유상황보고서</t>
        </is>
      </c>
      <c r="F8605" s="3" t="inlineStr">
        <is>
          <t>현대코퍼레이션홀딩스</t>
        </is>
      </c>
      <c r="G8605" s="2" t="inlineStr">
        <is>
          <t>20260601001451</t>
        </is>
      </c>
      <c r="H8605" s="8">
        <f>HYPERLINK("https://dart.fss.or.kr/dsaf001/main.do?rcpNo=20260601001451", "공시열람")</f>
        <v/>
      </c>
    </row>
    <row r="8606">
      <c r="A8606" s="2" t="inlineStr">
        <is>
          <t>2026-06-01</t>
        </is>
      </c>
      <c r="B8606" s="3" t="inlineStr">
        <is>
          <t>DB</t>
        </is>
      </c>
      <c r="C8606" s="2" t="inlineStr">
        <is>
          <t>코스피</t>
        </is>
      </c>
      <c r="D8606" s="2" t="inlineStr">
        <is>
          <t>012030</t>
        </is>
      </c>
      <c r="E8606" s="3" t="inlineStr">
        <is>
          <t xml:space="preserve">기업지배구조보고서공시              </t>
        </is>
      </c>
      <c r="F8606" s="3" t="inlineStr">
        <is>
          <t>DB</t>
        </is>
      </c>
      <c r="G8606" s="2" t="inlineStr">
        <is>
          <t>20260601801174</t>
        </is>
      </c>
      <c r="H8606" s="8">
        <f>HYPERLINK("https://dart.fss.or.kr/dsaf001/main.do?rcpNo=20260601801174", "공시열람")</f>
        <v/>
      </c>
    </row>
    <row r="8607">
      <c r="A8607" s="2" t="inlineStr">
        <is>
          <t>2026-06-01</t>
        </is>
      </c>
      <c r="B8607" s="3" t="inlineStr">
        <is>
          <t>사조동아원</t>
        </is>
      </c>
      <c r="C8607" s="2" t="inlineStr">
        <is>
          <t>코스피</t>
        </is>
      </c>
      <c r="D8607" s="2" t="inlineStr">
        <is>
          <t>008040</t>
        </is>
      </c>
      <c r="E8607" s="3" t="inlineStr">
        <is>
          <t xml:space="preserve">기업지배구조보고서공시              </t>
        </is>
      </c>
      <c r="F8607" s="3" t="inlineStr">
        <is>
          <t>사조동아원</t>
        </is>
      </c>
      <c r="G8607" s="2" t="inlineStr">
        <is>
          <t>20260601801170</t>
        </is>
      </c>
      <c r="H8607" s="8">
        <f>HYPERLINK("https://dart.fss.or.kr/dsaf001/main.do?rcpNo=20260601801170", "공시열람")</f>
        <v/>
      </c>
    </row>
    <row r="8608">
      <c r="A8608" s="2" t="inlineStr">
        <is>
          <t>2026-06-01</t>
        </is>
      </c>
      <c r="B8608" s="3" t="inlineStr">
        <is>
          <t>효성티앤씨</t>
        </is>
      </c>
      <c r="C8608" s="2" t="inlineStr">
        <is>
          <t>코스피</t>
        </is>
      </c>
      <c r="D8608" s="2" t="inlineStr">
        <is>
          <t>298020</t>
        </is>
      </c>
      <c r="E8608" s="3" t="inlineStr">
        <is>
          <t>임원ㆍ주요주주특정증권등소유상황보고서</t>
        </is>
      </c>
      <c r="F8608" s="3" t="inlineStr">
        <is>
          <t>국민연금공단</t>
        </is>
      </c>
      <c r="G8608" s="2" t="inlineStr">
        <is>
          <t>20260601001447</t>
        </is>
      </c>
      <c r="H8608" s="8">
        <f>HYPERLINK("https://dart.fss.or.kr/dsaf001/main.do?rcpNo=20260601001447", "공시열람")</f>
        <v/>
      </c>
    </row>
    <row r="8609">
      <c r="A8609" s="2" t="inlineStr">
        <is>
          <t>2026-06-01</t>
        </is>
      </c>
      <c r="B8609" s="3" t="inlineStr">
        <is>
          <t>한솔홈데코</t>
        </is>
      </c>
      <c r="C8609" s="2" t="inlineStr">
        <is>
          <t>코스피</t>
        </is>
      </c>
      <c r="D8609" s="2" t="inlineStr">
        <is>
          <t>025750</t>
        </is>
      </c>
      <c r="E8609" s="3" t="inlineStr">
        <is>
          <t xml:space="preserve">기업지배구조보고서공시              </t>
        </is>
      </c>
      <c r="F8609" s="3" t="inlineStr">
        <is>
          <t>한솔홈데코</t>
        </is>
      </c>
      <c r="G8609" s="2" t="inlineStr">
        <is>
          <t>20260601801179</t>
        </is>
      </c>
      <c r="H8609" s="8">
        <f>HYPERLINK("https://dart.fss.or.kr/dsaf001/main.do?rcpNo=20260601801179", "공시열람")</f>
        <v/>
      </c>
    </row>
    <row r="8610">
      <c r="A8610" s="2" t="inlineStr">
        <is>
          <t>2026-06-01</t>
        </is>
      </c>
      <c r="B8610" s="3" t="inlineStr">
        <is>
          <t>호텔신라</t>
        </is>
      </c>
      <c r="C8610" s="2" t="inlineStr">
        <is>
          <t>코스피</t>
        </is>
      </c>
      <c r="D8610" s="2" t="inlineStr">
        <is>
          <t>008770</t>
        </is>
      </c>
      <c r="E8610" s="3" t="inlineStr">
        <is>
          <t xml:space="preserve">기업지배구조보고서공시              </t>
        </is>
      </c>
      <c r="F8610" s="3" t="inlineStr">
        <is>
          <t>호텔신라</t>
        </is>
      </c>
      <c r="G8610" s="2" t="inlineStr">
        <is>
          <t>20260601801184</t>
        </is>
      </c>
      <c r="H8610" s="8">
        <f>HYPERLINK("https://dart.fss.or.kr/dsaf001/main.do?rcpNo=20260601801184", "공시열람")</f>
        <v/>
      </c>
    </row>
    <row r="8611">
      <c r="A8611" s="2" t="inlineStr">
        <is>
          <t>2026-06-01</t>
        </is>
      </c>
      <c r="B8611" s="3" t="inlineStr">
        <is>
          <t>CJ제일제당</t>
        </is>
      </c>
      <c r="C8611" s="2" t="inlineStr">
        <is>
          <t>코스피</t>
        </is>
      </c>
      <c r="D8611" s="2" t="inlineStr">
        <is>
          <t>097950</t>
        </is>
      </c>
      <c r="E8611" s="3" t="inlineStr">
        <is>
          <t xml:space="preserve">기업지배구조보고서공시              </t>
        </is>
      </c>
      <c r="F8611" s="3" t="inlineStr">
        <is>
          <t>CJ제일제당</t>
        </is>
      </c>
      <c r="G8611" s="2" t="inlineStr">
        <is>
          <t>20260601800352</t>
        </is>
      </c>
      <c r="H8611" s="8">
        <f>HYPERLINK("https://dart.fss.or.kr/dsaf001/main.do?rcpNo=20260601800352", "공시열람")</f>
        <v/>
      </c>
    </row>
    <row r="8612">
      <c r="A8612" s="2" t="inlineStr">
        <is>
          <t>2026-06-01</t>
        </is>
      </c>
      <c r="B8612" s="3" t="inlineStr">
        <is>
          <t>부국철강</t>
        </is>
      </c>
      <c r="C8612" s="2" t="inlineStr">
        <is>
          <t>코스피</t>
        </is>
      </c>
      <c r="D8612" s="2" t="inlineStr">
        <is>
          <t>026940</t>
        </is>
      </c>
      <c r="E8612" s="3" t="inlineStr">
        <is>
          <t xml:space="preserve">기업지배구조보고서공시              </t>
        </is>
      </c>
      <c r="F8612" s="3" t="inlineStr">
        <is>
          <t>부국철강</t>
        </is>
      </c>
      <c r="G8612" s="2" t="inlineStr">
        <is>
          <t>20260601801182</t>
        </is>
      </c>
      <c r="H8612" s="8">
        <f>HYPERLINK("https://dart.fss.or.kr/dsaf001/main.do?rcpNo=20260601801182", "공시열람")</f>
        <v/>
      </c>
    </row>
    <row r="8613">
      <c r="A8613" s="2" t="inlineStr">
        <is>
          <t>2026-06-01</t>
        </is>
      </c>
      <c r="B8613" s="3" t="inlineStr">
        <is>
          <t>삼양식품</t>
        </is>
      </c>
      <c r="C8613" s="2" t="inlineStr">
        <is>
          <t>코스피</t>
        </is>
      </c>
      <c r="D8613" s="2" t="inlineStr">
        <is>
          <t>003230</t>
        </is>
      </c>
      <c r="E8613" s="3" t="inlineStr">
        <is>
          <t>임원ㆍ주요주주특정증권등소유상황보고서</t>
        </is>
      </c>
      <c r="F8613" s="3" t="inlineStr">
        <is>
          <t>국민연금공단</t>
        </is>
      </c>
      <c r="G8613" s="2" t="inlineStr">
        <is>
          <t>20260601001437</t>
        </is>
      </c>
      <c r="H8613" s="8">
        <f>HYPERLINK("https://dart.fss.or.kr/dsaf001/main.do?rcpNo=20260601001437", "공시열람")</f>
        <v/>
      </c>
    </row>
    <row r="8614">
      <c r="A8614" s="2" t="inlineStr">
        <is>
          <t>2026-06-01</t>
        </is>
      </c>
      <c r="B8614" s="3" t="inlineStr">
        <is>
          <t>한독</t>
        </is>
      </c>
      <c r="C8614" s="2" t="inlineStr">
        <is>
          <t>코스피</t>
        </is>
      </c>
      <c r="D8614" s="2" t="inlineStr">
        <is>
          <t>002390</t>
        </is>
      </c>
      <c r="E8614" s="3" t="inlineStr">
        <is>
          <t xml:space="preserve">기업지배구조보고서공시              </t>
        </is>
      </c>
      <c r="F8614" s="3" t="inlineStr">
        <is>
          <t>한독</t>
        </is>
      </c>
      <c r="G8614" s="2" t="inlineStr">
        <is>
          <t>20260601800201</t>
        </is>
      </c>
      <c r="H8614" s="8">
        <f>HYPERLINK("https://dart.fss.or.kr/dsaf001/main.do?rcpNo=20260601800201", "공시열람")</f>
        <v/>
      </c>
    </row>
    <row r="8615">
      <c r="A8615" s="2" t="inlineStr">
        <is>
          <t>2026-06-01 (정정: 2026-06-01)</t>
        </is>
      </c>
      <c r="B8615" s="3" t="inlineStr">
        <is>
          <t>애경케미칼</t>
        </is>
      </c>
      <c r="C8615" s="2" t="inlineStr">
        <is>
          <t>코스피</t>
        </is>
      </c>
      <c r="D8615" s="2" t="inlineStr">
        <is>
          <t>161000</t>
        </is>
      </c>
      <c r="E8615" s="3" t="inlineStr">
        <is>
          <t>[기재정정]주식매수선택권부여에관한신고 (정정: 20260601)</t>
        </is>
      </c>
      <c r="F8615" s="3" t="inlineStr">
        <is>
          <t>애경케미칼</t>
        </is>
      </c>
      <c r="G8615" s="2" t="inlineStr">
        <is>
          <t>20260601001392</t>
        </is>
      </c>
      <c r="H8615" s="8">
        <f>HYPERLINK("https://dart.fss.or.kr/dsaf001/main.do?rcpNo=20260601001392", "공시열람")</f>
        <v/>
      </c>
    </row>
    <row r="8616">
      <c r="A8616" s="2" t="inlineStr">
        <is>
          <t>2026-06-01</t>
        </is>
      </c>
      <c r="B8616" s="3" t="inlineStr">
        <is>
          <t>KG모빌리티</t>
        </is>
      </c>
      <c r="C8616" s="2" t="inlineStr">
        <is>
          <t>코스피</t>
        </is>
      </c>
      <c r="D8616" s="2" t="inlineStr">
        <is>
          <t>003620</t>
        </is>
      </c>
      <c r="E8616" s="3" t="inlineStr">
        <is>
          <t xml:space="preserve">영업(잠정)실적(공정공시)              </t>
        </is>
      </c>
      <c r="F8616" s="3" t="inlineStr">
        <is>
          <t>KG모빌리티</t>
        </is>
      </c>
      <c r="G8616" s="2" t="inlineStr">
        <is>
          <t>20260601801104</t>
        </is>
      </c>
      <c r="H8616" s="8">
        <f>HYPERLINK("https://dart.fss.or.kr/dsaf001/main.do?rcpNo=20260601801104", "공시열람")</f>
        <v/>
      </c>
    </row>
    <row r="8617">
      <c r="A8617" s="2" t="inlineStr">
        <is>
          <t>2026-06-01</t>
        </is>
      </c>
      <c r="B8617" s="3" t="inlineStr">
        <is>
          <t>KBI동양철관</t>
        </is>
      </c>
      <c r="C8617" s="2" t="inlineStr">
        <is>
          <t>코스피</t>
        </is>
      </c>
      <c r="D8617" s="2" t="inlineStr">
        <is>
          <t>008970</t>
        </is>
      </c>
      <c r="E8617" s="3" t="inlineStr">
        <is>
          <t xml:space="preserve">기업지배구조보고서공시              </t>
        </is>
      </c>
      <c r="F8617" s="3" t="inlineStr">
        <is>
          <t>KBI동양철관</t>
        </is>
      </c>
      <c r="G8617" s="2" t="inlineStr">
        <is>
          <t>20260601801118</t>
        </is>
      </c>
      <c r="H8617" s="8">
        <f>HYPERLINK("https://dart.fss.or.kr/dsaf001/main.do?rcpNo=20260601801118", "공시열람")</f>
        <v/>
      </c>
    </row>
    <row r="8618">
      <c r="A8618" s="2" t="inlineStr">
        <is>
          <t>2026-06-01</t>
        </is>
      </c>
      <c r="B8618" s="3" t="inlineStr">
        <is>
          <t>명인제약</t>
        </is>
      </c>
      <c r="C8618" s="2" t="inlineStr">
        <is>
          <t>코스피</t>
        </is>
      </c>
      <c r="D8618" s="2" t="inlineStr">
        <is>
          <t>317450</t>
        </is>
      </c>
      <c r="E8618" s="3" t="inlineStr">
        <is>
          <t xml:space="preserve">기업지배구조보고서공시              </t>
        </is>
      </c>
      <c r="F8618" s="3" t="inlineStr">
        <is>
          <t>명인제약</t>
        </is>
      </c>
      <c r="G8618" s="2" t="inlineStr">
        <is>
          <t>20260601801166</t>
        </is>
      </c>
      <c r="H8618" s="8">
        <f>HYPERLINK("https://dart.fss.or.kr/dsaf001/main.do?rcpNo=20260601801166", "공시열람")</f>
        <v/>
      </c>
    </row>
    <row r="8619">
      <c r="A8619" s="2" t="inlineStr">
        <is>
          <t>2026-06-01</t>
        </is>
      </c>
      <c r="B8619" s="3" t="inlineStr">
        <is>
          <t>엘브이엠씨</t>
        </is>
      </c>
      <c r="C8619" s="2" t="inlineStr">
        <is>
          <t>코스피</t>
        </is>
      </c>
      <c r="D8619" s="2" t="inlineStr">
        <is>
          <t>900140</t>
        </is>
      </c>
      <c r="E8619" s="3" t="inlineStr">
        <is>
          <t xml:space="preserve">기업지배구조보고서공시              </t>
        </is>
      </c>
      <c r="F8619" s="3" t="inlineStr">
        <is>
          <t>엘브이엠씨</t>
        </is>
      </c>
      <c r="G8619" s="2" t="inlineStr">
        <is>
          <t>20260601801168</t>
        </is>
      </c>
      <c r="H8619" s="8">
        <f>HYPERLINK("https://dart.fss.or.kr/dsaf001/main.do?rcpNo=20260601801168", "공시열람")</f>
        <v/>
      </c>
    </row>
    <row r="8620">
      <c r="A8620" s="2" t="inlineStr">
        <is>
          <t>2026-06-01</t>
        </is>
      </c>
      <c r="B8620" s="3" t="inlineStr">
        <is>
          <t>디와이파워</t>
        </is>
      </c>
      <c r="C8620" s="2" t="inlineStr">
        <is>
          <t>코스피</t>
        </is>
      </c>
      <c r="D8620" s="2" t="inlineStr">
        <is>
          <t>210540</t>
        </is>
      </c>
      <c r="E8620" s="3" t="inlineStr">
        <is>
          <t xml:space="preserve">기업지배구조보고서공시              </t>
        </is>
      </c>
      <c r="F8620" s="3" t="inlineStr">
        <is>
          <t>디와이파워</t>
        </is>
      </c>
      <c r="G8620" s="2" t="inlineStr">
        <is>
          <t>20260601800862</t>
        </is>
      </c>
      <c r="H8620" s="8">
        <f>HYPERLINK("https://dart.fss.or.kr/dsaf001/main.do?rcpNo=20260601800862", "공시열람")</f>
        <v/>
      </c>
    </row>
    <row r="8621">
      <c r="A8621" s="2" t="inlineStr">
        <is>
          <t>2026-06-01</t>
        </is>
      </c>
      <c r="B8621" s="3" t="inlineStr">
        <is>
          <t>CJ대한통운</t>
        </is>
      </c>
      <c r="C8621" s="2" t="inlineStr">
        <is>
          <t>코스피</t>
        </is>
      </c>
      <c r="D8621" s="2" t="inlineStr">
        <is>
          <t>000120</t>
        </is>
      </c>
      <c r="E8621" s="3" t="inlineStr">
        <is>
          <t>대규모기업집단현황공시[연1회공시및1/4분기용(개별회사)]</t>
        </is>
      </c>
      <c r="F8621" s="3" t="inlineStr">
        <is>
          <t>CJ대한통운</t>
        </is>
      </c>
      <c r="G8621" s="2" t="inlineStr">
        <is>
          <t>20260601001422</t>
        </is>
      </c>
      <c r="H8621" s="8">
        <f>HYPERLINK("https://dart.fss.or.kr/dsaf001/main.do?rcpNo=20260601001422", "공시열람")</f>
        <v/>
      </c>
    </row>
    <row r="8622">
      <c r="A8622" s="2" t="inlineStr">
        <is>
          <t>2026-06-01</t>
        </is>
      </c>
      <c r="B8622" s="3" t="inlineStr">
        <is>
          <t>효성 ITX</t>
        </is>
      </c>
      <c r="C8622" s="2" t="inlineStr">
        <is>
          <t>코스피</t>
        </is>
      </c>
      <c r="D8622" s="2" t="inlineStr">
        <is>
          <t>094280</t>
        </is>
      </c>
      <c r="E8622" s="3" t="inlineStr">
        <is>
          <t>대규모기업집단현황공시[연1회공시및1/4분기용(개별회사)]</t>
        </is>
      </c>
      <c r="F8622" s="3" t="inlineStr">
        <is>
          <t>효성 ITX</t>
        </is>
      </c>
      <c r="G8622" s="2" t="inlineStr">
        <is>
          <t>20260601001413</t>
        </is>
      </c>
      <c r="H8622" s="8">
        <f>HYPERLINK("https://dart.fss.or.kr/dsaf001/main.do?rcpNo=20260601001413", "공시열람")</f>
        <v/>
      </c>
    </row>
    <row r="8623">
      <c r="A8623" s="2" t="inlineStr">
        <is>
          <t>2026-06-01</t>
        </is>
      </c>
      <c r="B8623" s="3" t="inlineStr">
        <is>
          <t>심텍</t>
        </is>
      </c>
      <c r="C8623" s="2" t="inlineStr">
        <is>
          <t>코스닥</t>
        </is>
      </c>
      <c r="D8623" s="2" t="inlineStr">
        <is>
          <t>222800</t>
        </is>
      </c>
      <c r="E8623" s="3" t="inlineStr">
        <is>
          <t>임원ㆍ주요주주특정증권등소유상황보고서</t>
        </is>
      </c>
      <c r="F8623" s="3" t="inlineStr">
        <is>
          <t>심텍홀딩스</t>
        </is>
      </c>
      <c r="G8623" s="2" t="inlineStr">
        <is>
          <t>20260601001412</t>
        </is>
      </c>
      <c r="H8623" s="8">
        <f>HYPERLINK("https://dart.fss.or.kr/dsaf001/main.do?rcpNo=20260601001412", "공시열람")</f>
        <v/>
      </c>
    </row>
    <row r="8624">
      <c r="A8624" s="2" t="inlineStr">
        <is>
          <t>2026-06-01</t>
        </is>
      </c>
      <c r="B8624" s="3" t="inlineStr">
        <is>
          <t>NHN</t>
        </is>
      </c>
      <c r="C8624" s="2" t="inlineStr">
        <is>
          <t>코스피</t>
        </is>
      </c>
      <c r="D8624" s="2" t="inlineStr">
        <is>
          <t>181710</t>
        </is>
      </c>
      <c r="E8624" s="3" t="inlineStr">
        <is>
          <t xml:space="preserve">기업지배구조보고서공시              </t>
        </is>
      </c>
      <c r="F8624" s="3" t="inlineStr">
        <is>
          <t>NHN</t>
        </is>
      </c>
      <c r="G8624" s="2" t="inlineStr">
        <is>
          <t>20260601801159</t>
        </is>
      </c>
      <c r="H8624" s="8">
        <f>HYPERLINK("https://dart.fss.or.kr/dsaf001/main.do?rcpNo=20260601801159", "공시열람")</f>
        <v/>
      </c>
    </row>
    <row r="8625">
      <c r="A8625" s="2" t="inlineStr">
        <is>
          <t>2026-06-01 (정정: 2026-06-04)</t>
        </is>
      </c>
      <c r="B8625" s="3" t="inlineStr">
        <is>
          <t>CJ CGV</t>
        </is>
      </c>
      <c r="C8625" s="2" t="inlineStr">
        <is>
          <t>코스피</t>
        </is>
      </c>
      <c r="D8625" s="2" t="inlineStr">
        <is>
          <t>079160</t>
        </is>
      </c>
      <c r="E8625" s="3" t="inlineStr">
        <is>
          <t>대규모기업집단현황공시[연1회공시및1/4분기용(개별회사)] (정정: 20260604)</t>
        </is>
      </c>
      <c r="F8625" s="3" t="inlineStr">
        <is>
          <t>CJ CGV</t>
        </is>
      </c>
      <c r="G8625" s="2" t="inlineStr">
        <is>
          <t>20260604000492</t>
        </is>
      </c>
      <c r="H8625" s="8">
        <f>HYPERLINK("https://dart.fss.or.kr/dsaf001/main.do?rcpNo=20260604000492", "공시열람")</f>
        <v/>
      </c>
    </row>
    <row r="8626">
      <c r="A8626" s="2" t="inlineStr">
        <is>
          <t>2026-06-01</t>
        </is>
      </c>
      <c r="B8626" s="3" t="inlineStr">
        <is>
          <t>디아이동일</t>
        </is>
      </c>
      <c r="C8626" s="2" t="inlineStr">
        <is>
          <t>코스피</t>
        </is>
      </c>
      <c r="D8626" s="2" t="inlineStr">
        <is>
          <t>001530</t>
        </is>
      </c>
      <c r="E8626" s="3" t="inlineStr">
        <is>
          <t xml:space="preserve">기업지배구조보고서공시              </t>
        </is>
      </c>
      <c r="F8626" s="3" t="inlineStr">
        <is>
          <t>디아이동일</t>
        </is>
      </c>
      <c r="G8626" s="2" t="inlineStr">
        <is>
          <t>20260601801153</t>
        </is>
      </c>
      <c r="H8626" s="8">
        <f>HYPERLINK("https://dart.fss.or.kr/dsaf001/main.do?rcpNo=20260601801153", "공시열람")</f>
        <v/>
      </c>
    </row>
    <row r="8627">
      <c r="A8627" s="2" t="inlineStr">
        <is>
          <t>2026-06-01</t>
        </is>
      </c>
      <c r="B8627" s="3" t="inlineStr">
        <is>
          <t>진원생명과학</t>
        </is>
      </c>
      <c r="C8627" s="2" t="inlineStr">
        <is>
          <t>코스피</t>
        </is>
      </c>
      <c r="D8627" s="2" t="inlineStr">
        <is>
          <t>011000</t>
        </is>
      </c>
      <c r="E8627" s="3" t="inlineStr">
        <is>
          <t xml:space="preserve">기업지배구조보고서공시              </t>
        </is>
      </c>
      <c r="F8627" s="3" t="inlineStr">
        <is>
          <t>진원생명과학</t>
        </is>
      </c>
      <c r="G8627" s="2" t="inlineStr">
        <is>
          <t>20260601801156</t>
        </is>
      </c>
      <c r="H8627" s="8">
        <f>HYPERLINK("https://dart.fss.or.kr/dsaf001/main.do?rcpNo=20260601801156", "공시열람")</f>
        <v/>
      </c>
    </row>
    <row r="8628">
      <c r="A8628" s="2" t="inlineStr">
        <is>
          <t>2026-06-01 (정정: 2026-06-08)</t>
        </is>
      </c>
      <c r="B8628" s="3" t="inlineStr">
        <is>
          <t>이노스페이스</t>
        </is>
      </c>
      <c r="C8628" s="2" t="inlineStr">
        <is>
          <t>코스닥</t>
        </is>
      </c>
      <c r="D8628" s="2" t="inlineStr">
        <is>
          <t>462350</t>
        </is>
      </c>
      <c r="E8628" s="3" t="inlineStr">
        <is>
          <t>[발행조건확정]증권신고서(지분증권) (정정: 20260608)</t>
        </is>
      </c>
      <c r="F8628" s="3" t="inlineStr">
        <is>
          <t>이노스페이스</t>
        </is>
      </c>
      <c r="G8628" s="2" t="inlineStr">
        <is>
          <t>20260608000262</t>
        </is>
      </c>
      <c r="H8628" s="8">
        <f>HYPERLINK("https://dart.fss.or.kr/dsaf001/main.do?rcpNo=20260608000262", "공시열람")</f>
        <v/>
      </c>
    </row>
    <row r="8629">
      <c r="A8629" s="2" t="inlineStr">
        <is>
          <t>2026-06-01</t>
        </is>
      </c>
      <c r="B8629" s="3" t="inlineStr">
        <is>
          <t>동양고속</t>
        </is>
      </c>
      <c r="C8629" s="2" t="inlineStr">
        <is>
          <t>코스피</t>
        </is>
      </c>
      <c r="D8629" s="2" t="inlineStr">
        <is>
          <t>084670</t>
        </is>
      </c>
      <c r="E8629" s="3" t="inlineStr">
        <is>
          <t xml:space="preserve">기업지배구조보고서공시              </t>
        </is>
      </c>
      <c r="F8629" s="3" t="inlineStr">
        <is>
          <t>동양고속</t>
        </is>
      </c>
      <c r="G8629" s="2" t="inlineStr">
        <is>
          <t>20260601800978</t>
        </is>
      </c>
      <c r="H8629" s="8">
        <f>HYPERLINK("https://dart.fss.or.kr/dsaf001/main.do?rcpNo=20260601800978", "공시열람")</f>
        <v/>
      </c>
    </row>
    <row r="8630">
      <c r="A8630" s="2" t="inlineStr">
        <is>
          <t>2026-06-01</t>
        </is>
      </c>
      <c r="B8630" s="3" t="inlineStr">
        <is>
          <t>서연탑메탈</t>
        </is>
      </c>
      <c r="C8630" s="2" t="inlineStr">
        <is>
          <t>코스닥</t>
        </is>
      </c>
      <c r="D8630" s="2" t="inlineStr">
        <is>
          <t>019770</t>
        </is>
      </c>
      <c r="E8630" s="3" t="inlineStr">
        <is>
          <t>임원ㆍ주요주주특정증권등소유상황보고서</t>
        </is>
      </c>
      <c r="F8630" s="3" t="inlineStr">
        <is>
          <t>유경내</t>
        </is>
      </c>
      <c r="G8630" s="2" t="inlineStr">
        <is>
          <t>20260601001398</t>
        </is>
      </c>
      <c r="H8630" s="8">
        <f>HYPERLINK("https://dart.fss.or.kr/dsaf001/main.do?rcpNo=20260601001398", "공시열람")</f>
        <v/>
      </c>
    </row>
    <row r="8631">
      <c r="A8631" s="2" t="inlineStr">
        <is>
          <t>2026-06-01</t>
        </is>
      </c>
      <c r="B8631" s="3" t="inlineStr">
        <is>
          <t>CJ제일제당</t>
        </is>
      </c>
      <c r="C8631" s="2" t="inlineStr">
        <is>
          <t>코스피</t>
        </is>
      </c>
      <c r="D8631" s="2" t="inlineStr">
        <is>
          <t>097950</t>
        </is>
      </c>
      <c r="E8631" s="3" t="inlineStr">
        <is>
          <t>대규모기업집단현황공시[연1회공시및1/4분기용(개별회사)]</t>
        </is>
      </c>
      <c r="F8631" s="3" t="inlineStr">
        <is>
          <t>CJ제일제당</t>
        </is>
      </c>
      <c r="G8631" s="2" t="inlineStr">
        <is>
          <t>20260601001389</t>
        </is>
      </c>
      <c r="H8631" s="8">
        <f>HYPERLINK("https://dart.fss.or.kr/dsaf001/main.do?rcpNo=20260601001389", "공시열람")</f>
        <v/>
      </c>
    </row>
    <row r="8632">
      <c r="A8632" s="2" t="inlineStr">
        <is>
          <t>2026-06-01</t>
        </is>
      </c>
      <c r="B8632" s="3" t="inlineStr">
        <is>
          <t>진원생명과학</t>
        </is>
      </c>
      <c r="C8632" s="2" t="inlineStr">
        <is>
          <t>코스피</t>
        </is>
      </c>
      <c r="D8632" s="2" t="inlineStr">
        <is>
          <t>011000</t>
        </is>
      </c>
      <c r="E8632" s="3" t="inlineStr">
        <is>
          <t>[첨부정정]의결권대리행사권유참고서류</t>
        </is>
      </c>
      <c r="F8632" s="3" t="inlineStr">
        <is>
          <t>진원생명과학</t>
        </is>
      </c>
      <c r="G8632" s="2" t="inlineStr">
        <is>
          <t>20260601001387</t>
        </is>
      </c>
      <c r="H8632" s="8">
        <f>HYPERLINK("https://dart.fss.or.kr/dsaf001/main.do?rcpNo=20260601001387", "공시열람")</f>
        <v/>
      </c>
    </row>
    <row r="8633">
      <c r="A8633" s="2" t="inlineStr">
        <is>
          <t>2026-06-01</t>
        </is>
      </c>
      <c r="B8633" s="3" t="inlineStr">
        <is>
          <t>세원정공</t>
        </is>
      </c>
      <c r="C8633" s="2" t="inlineStr">
        <is>
          <t>코스피</t>
        </is>
      </c>
      <c r="D8633" s="2" t="inlineStr">
        <is>
          <t>021820</t>
        </is>
      </c>
      <c r="E8633" s="3" t="inlineStr">
        <is>
          <t xml:space="preserve">기업지배구조보고서공시              </t>
        </is>
      </c>
      <c r="F8633" s="3" t="inlineStr">
        <is>
          <t>세원정공</t>
        </is>
      </c>
      <c r="G8633" s="2" t="inlineStr">
        <is>
          <t>20260601801012</t>
        </is>
      </c>
      <c r="H8633" s="8">
        <f>HYPERLINK("https://dart.fss.or.kr/dsaf001/main.do?rcpNo=20260601801012", "공시열람")</f>
        <v/>
      </c>
    </row>
    <row r="8634">
      <c r="A8634" s="2" t="inlineStr">
        <is>
          <t>2026-06-01</t>
        </is>
      </c>
      <c r="B8634" s="3" t="inlineStr">
        <is>
          <t>CJ씨푸드</t>
        </is>
      </c>
      <c r="C8634" s="2" t="inlineStr">
        <is>
          <t>코스피</t>
        </is>
      </c>
      <c r="D8634" s="2" t="inlineStr">
        <is>
          <t>011150</t>
        </is>
      </c>
      <c r="E8634" s="3" t="inlineStr">
        <is>
          <t>대규모기업집단현황공시[연1회공시및1/4분기용(개별회사)]</t>
        </is>
      </c>
      <c r="F8634" s="3" t="inlineStr">
        <is>
          <t>CJ씨푸드</t>
        </is>
      </c>
      <c r="G8634" s="2" t="inlineStr">
        <is>
          <t>20260601001386</t>
        </is>
      </c>
      <c r="H8634" s="8">
        <f>HYPERLINK("https://dart.fss.or.kr/dsaf001/main.do?rcpNo=20260601001386", "공시열람")</f>
        <v/>
      </c>
    </row>
    <row r="8635">
      <c r="A8635" s="2" t="inlineStr">
        <is>
          <t>2026-06-01</t>
        </is>
      </c>
      <c r="B8635" s="3" t="inlineStr">
        <is>
          <t>대한해운</t>
        </is>
      </c>
      <c r="C8635" s="2" t="inlineStr">
        <is>
          <t>코스피</t>
        </is>
      </c>
      <c r="D8635" s="2" t="inlineStr">
        <is>
          <t>005880</t>
        </is>
      </c>
      <c r="E8635" s="3" t="inlineStr">
        <is>
          <t>[기재정정]대규모기업집단현황공시[연1회공시및1/4분기용(대표회사)]</t>
        </is>
      </c>
      <c r="F8635" s="3" t="inlineStr">
        <is>
          <t>대한해운</t>
        </is>
      </c>
      <c r="G8635" s="2" t="inlineStr">
        <is>
          <t>20260601001378</t>
        </is>
      </c>
      <c r="H8635" s="8">
        <f>HYPERLINK("https://dart.fss.or.kr/dsaf001/main.do?rcpNo=20260601001378", "공시열람")</f>
        <v/>
      </c>
    </row>
    <row r="8636">
      <c r="A8636" s="2" t="inlineStr">
        <is>
          <t>2026-06-01 (정정: 2026-06-01)</t>
        </is>
      </c>
      <c r="B8636" s="3" t="inlineStr">
        <is>
          <t>루닛</t>
        </is>
      </c>
      <c r="C8636" s="2" t="inlineStr">
        <is>
          <t>코스닥</t>
        </is>
      </c>
      <c r="D8636" s="2" t="inlineStr">
        <is>
          <t>328130</t>
        </is>
      </c>
      <c r="E8636" s="3" t="inlineStr">
        <is>
          <t>전환사채(해외전환사채포함)발행후만기전사채취득              (제2회차) (정정: 20260601)</t>
        </is>
      </c>
      <c r="F8636" s="3" t="inlineStr">
        <is>
          <t>루닛</t>
        </is>
      </c>
      <c r="G8636" s="2" t="inlineStr">
        <is>
          <t>20260601901065</t>
        </is>
      </c>
      <c r="H8636" s="8">
        <f>HYPERLINK("https://dart.fss.or.kr/dsaf001/main.do?rcpNo=20260601901065", "공시열람")</f>
        <v/>
      </c>
    </row>
    <row r="8637">
      <c r="A8637" s="2" t="inlineStr">
        <is>
          <t>2026-06-01 (정정: 2026-06-01)</t>
        </is>
      </c>
      <c r="B8637" s="3" t="inlineStr">
        <is>
          <t>보령</t>
        </is>
      </c>
      <c r="C8637" s="2" t="inlineStr">
        <is>
          <t>코스피</t>
        </is>
      </c>
      <c r="D8637" s="2" t="inlineStr">
        <is>
          <t>003850</t>
        </is>
      </c>
      <c r="E8637" s="3" t="inlineStr">
        <is>
          <t>지속가능경영보고서등관련사항(자율공시)               (정정: 20260601)</t>
        </is>
      </c>
      <c r="F8637" s="3" t="inlineStr">
        <is>
          <t>보령</t>
        </is>
      </c>
      <c r="G8637" s="2" t="inlineStr">
        <is>
          <t>20260601800006</t>
        </is>
      </c>
      <c r="H8637" s="8">
        <f>HYPERLINK("https://dart.fss.or.kr/dsaf001/main.do?rcpNo=20260601800006", "공시열람")</f>
        <v/>
      </c>
    </row>
    <row r="8638">
      <c r="A8638" s="2" t="inlineStr">
        <is>
          <t>2026-06-01</t>
        </is>
      </c>
      <c r="B8638" s="3" t="inlineStr">
        <is>
          <t>유니온</t>
        </is>
      </c>
      <c r="C8638" s="2" t="inlineStr">
        <is>
          <t>코스피</t>
        </is>
      </c>
      <c r="D8638" s="2" t="inlineStr">
        <is>
          <t>000910</t>
        </is>
      </c>
      <c r="E8638" s="3" t="inlineStr">
        <is>
          <t>임원ㆍ주요주주특정증권등소유상황보고서</t>
        </is>
      </c>
      <c r="F8638" s="3" t="inlineStr">
        <is>
          <t>이건영</t>
        </is>
      </c>
      <c r="G8638" s="2" t="inlineStr">
        <is>
          <t>20260601001373</t>
        </is>
      </c>
      <c r="H8638" s="8">
        <f>HYPERLINK("https://dart.fss.or.kr/dsaf001/main.do?rcpNo=20260601001373", "공시열람")</f>
        <v/>
      </c>
    </row>
    <row r="8639">
      <c r="A8639" s="2" t="inlineStr">
        <is>
          <t>2026-06-01</t>
        </is>
      </c>
      <c r="B8639" s="3" t="inlineStr">
        <is>
          <t>LG에너지솔루션</t>
        </is>
      </c>
      <c r="C8639" s="2" t="inlineStr">
        <is>
          <t>코스피</t>
        </is>
      </c>
      <c r="D8639" s="2" t="inlineStr">
        <is>
          <t>373220</t>
        </is>
      </c>
      <c r="E8639" s="3" t="inlineStr">
        <is>
          <t>대규모기업집단현황공시[연1회공시및1/4분기용(개별회사)]</t>
        </is>
      </c>
      <c r="F8639" s="3" t="inlineStr">
        <is>
          <t>LG에너지솔루션</t>
        </is>
      </c>
      <c r="G8639" s="2" t="inlineStr">
        <is>
          <t>20260601001372</t>
        </is>
      </c>
      <c r="H8639" s="8">
        <f>HYPERLINK("https://dart.fss.or.kr/dsaf001/main.do?rcpNo=20260601001372", "공시열람")</f>
        <v/>
      </c>
    </row>
    <row r="8640">
      <c r="A8640" s="2" t="inlineStr">
        <is>
          <t>2026-06-01</t>
        </is>
      </c>
      <c r="B8640" s="3" t="inlineStr">
        <is>
          <t>한선엔지니어링</t>
        </is>
      </c>
      <c r="C8640" s="2" t="inlineStr">
        <is>
          <t>코스닥</t>
        </is>
      </c>
      <c r="D8640" s="2" t="inlineStr">
        <is>
          <t>452280</t>
        </is>
      </c>
      <c r="E8640" s="3" t="inlineStr">
        <is>
          <t>임원ㆍ주요주주특정증권등거래계획보고서</t>
        </is>
      </c>
      <c r="F8640" s="3" t="inlineStr">
        <is>
          <t>한국선재</t>
        </is>
      </c>
      <c r="G8640" s="2" t="inlineStr">
        <is>
          <t>20260601001369</t>
        </is>
      </c>
      <c r="H8640" s="8">
        <f>HYPERLINK("https://dart.fss.or.kr/dsaf001/main.do?rcpNo=20260601001369", "공시열람")</f>
        <v/>
      </c>
    </row>
    <row r="8641">
      <c r="A8641" s="2" t="inlineStr">
        <is>
          <t>2026-06-01</t>
        </is>
      </c>
      <c r="B8641" s="3" t="inlineStr">
        <is>
          <t>LG유플러스</t>
        </is>
      </c>
      <c r="C8641" s="2" t="inlineStr">
        <is>
          <t>코스피</t>
        </is>
      </c>
      <c r="D8641" s="2" t="inlineStr">
        <is>
          <t>032640</t>
        </is>
      </c>
      <c r="E8641" s="3" t="inlineStr">
        <is>
          <t>대규모기업집단현황공시[연1회공시및1/4분기용(개별회사)]</t>
        </is>
      </c>
      <c r="F8641" s="3" t="inlineStr">
        <is>
          <t>LG유플러스</t>
        </is>
      </c>
      <c r="G8641" s="2" t="inlineStr">
        <is>
          <t>20260601001368</t>
        </is>
      </c>
      <c r="H8641" s="8">
        <f>HYPERLINK("https://dart.fss.or.kr/dsaf001/main.do?rcpNo=20260601001368", "공시열람")</f>
        <v/>
      </c>
    </row>
    <row r="8642">
      <c r="A8642" s="2" t="inlineStr">
        <is>
          <t>2026-06-01 (정정: 2026-06-01)</t>
        </is>
      </c>
      <c r="B8642" s="3" t="inlineStr">
        <is>
          <t>애경케미칼</t>
        </is>
      </c>
      <c r="C8642" s="2" t="inlineStr">
        <is>
          <t>코스피</t>
        </is>
      </c>
      <c r="D8642" s="2" t="inlineStr">
        <is>
          <t>161000</t>
        </is>
      </c>
      <c r="E8642" s="3" t="inlineStr">
        <is>
          <t>[기재정정]주식매수선택권부여에관한신고 (정정: 20260601)</t>
        </is>
      </c>
      <c r="F8642" s="3" t="inlineStr">
        <is>
          <t>애경케미칼</t>
        </is>
      </c>
      <c r="G8642" s="2" t="inlineStr">
        <is>
          <t>20260601001295</t>
        </is>
      </c>
      <c r="H8642" s="8">
        <f>HYPERLINK("https://dart.fss.or.kr/dsaf001/main.do?rcpNo=20260601001295", "공시열람")</f>
        <v/>
      </c>
    </row>
    <row r="8643">
      <c r="A8643" s="2" t="inlineStr">
        <is>
          <t>2026-06-01</t>
        </is>
      </c>
      <c r="B8643" s="3" t="inlineStr">
        <is>
          <t>유안타증권</t>
        </is>
      </c>
      <c r="C8643" s="2" t="inlineStr">
        <is>
          <t>코스피</t>
        </is>
      </c>
      <c r="D8643" s="2" t="inlineStr">
        <is>
          <t>003470</t>
        </is>
      </c>
      <c r="E8643" s="3" t="inlineStr">
        <is>
          <t>증권발행실적보고서</t>
        </is>
      </c>
      <c r="F8643" s="3" t="inlineStr">
        <is>
          <t>유안타증권</t>
        </is>
      </c>
      <c r="G8643" s="2" t="inlineStr">
        <is>
          <t>20260601001360</t>
        </is>
      </c>
      <c r="H8643" s="8">
        <f>HYPERLINK("https://dart.fss.or.kr/dsaf001/main.do?rcpNo=20260601001360", "공시열람")</f>
        <v/>
      </c>
    </row>
    <row r="8644">
      <c r="A8644" s="2" t="inlineStr">
        <is>
          <t>2026-06-01</t>
        </is>
      </c>
      <c r="B8644" s="3" t="inlineStr">
        <is>
          <t>갤럭시아에스엠</t>
        </is>
      </c>
      <c r="C8644" s="2" t="inlineStr">
        <is>
          <t>코스피</t>
        </is>
      </c>
      <c r="D8644" s="2" t="inlineStr">
        <is>
          <t>011420</t>
        </is>
      </c>
      <c r="E8644" s="3" t="inlineStr">
        <is>
          <t>대규모기업집단현황공시[연1회공시및1/4분기용(개별회사)]</t>
        </is>
      </c>
      <c r="F8644" s="3" t="inlineStr">
        <is>
          <t>갤럭시아에스엠</t>
        </is>
      </c>
      <c r="G8644" s="2" t="inlineStr">
        <is>
          <t>20260601001359</t>
        </is>
      </c>
      <c r="H8644" s="8">
        <f>HYPERLINK("https://dart.fss.or.kr/dsaf001/main.do?rcpNo=20260601001359", "공시열람")</f>
        <v/>
      </c>
    </row>
    <row r="8645">
      <c r="A8645" s="2" t="inlineStr">
        <is>
          <t>2026-06-01</t>
        </is>
      </c>
      <c r="B8645" s="3" t="inlineStr">
        <is>
          <t>화승코퍼레이션</t>
        </is>
      </c>
      <c r="C8645" s="2" t="inlineStr">
        <is>
          <t>코스피</t>
        </is>
      </c>
      <c r="D8645" s="2" t="inlineStr">
        <is>
          <t>013520</t>
        </is>
      </c>
      <c r="E8645" s="3" t="inlineStr">
        <is>
          <t xml:space="preserve">기업지배구조보고서공시              </t>
        </is>
      </c>
      <c r="F8645" s="3" t="inlineStr">
        <is>
          <t>화승코퍼레이션</t>
        </is>
      </c>
      <c r="G8645" s="2" t="inlineStr">
        <is>
          <t>20260601801102</t>
        </is>
      </c>
      <c r="H8645" s="8">
        <f>HYPERLINK("https://dart.fss.or.kr/dsaf001/main.do?rcpNo=20260601801102", "공시열람")</f>
        <v/>
      </c>
    </row>
    <row r="8646">
      <c r="A8646" s="2" t="inlineStr">
        <is>
          <t>2026-06-01</t>
        </is>
      </c>
      <c r="B8646" s="3" t="inlineStr">
        <is>
          <t>한화</t>
        </is>
      </c>
      <c r="C8646" s="2" t="inlineStr">
        <is>
          <t>코스피</t>
        </is>
      </c>
      <c r="D8646" s="2" t="inlineStr">
        <is>
          <t>000880</t>
        </is>
      </c>
      <c r="E8646" s="3" t="inlineStr">
        <is>
          <t>임원ㆍ주요주주특정증권등소유상황보고서</t>
        </is>
      </c>
      <c r="F8646" s="3" t="inlineStr">
        <is>
          <t>김윤해</t>
        </is>
      </c>
      <c r="G8646" s="2" t="inlineStr">
        <is>
          <t>20260601001350</t>
        </is>
      </c>
      <c r="H8646" s="8">
        <f>HYPERLINK("https://dart.fss.or.kr/dsaf001/main.do?rcpNo=20260601001350", "공시열람")</f>
        <v/>
      </c>
    </row>
    <row r="8647">
      <c r="A8647" s="2" t="inlineStr">
        <is>
          <t>2026-06-01</t>
        </is>
      </c>
      <c r="B8647" s="3" t="inlineStr">
        <is>
          <t>비케이홀딩스</t>
        </is>
      </c>
      <c r="C8647" s="2" t="inlineStr">
        <is>
          <t>코스닥</t>
        </is>
      </c>
      <c r="D8647" s="2" t="inlineStr">
        <is>
          <t>050090</t>
        </is>
      </c>
      <c r="E8647" s="3" t="inlineStr">
        <is>
          <t>임원ㆍ주요주주특정증권등소유상황보고서</t>
        </is>
      </c>
      <c r="F8647" s="3" t="inlineStr">
        <is>
          <t>한국문화진흥</t>
        </is>
      </c>
      <c r="G8647" s="2" t="inlineStr">
        <is>
          <t>20260601001349</t>
        </is>
      </c>
      <c r="H8647" s="8">
        <f>HYPERLINK("https://dart.fss.or.kr/dsaf001/main.do?rcpNo=20260601001349", "공시열람")</f>
        <v/>
      </c>
    </row>
    <row r="8648">
      <c r="A8648" s="2" t="inlineStr">
        <is>
          <t>2026-06-01 (정정: 2026-06-11)</t>
        </is>
      </c>
      <c r="B8648" s="3" t="inlineStr">
        <is>
          <t>LG화학</t>
        </is>
      </c>
      <c r="C8648" s="2" t="inlineStr">
        <is>
          <t>코스피</t>
        </is>
      </c>
      <c r="D8648" s="2" t="inlineStr">
        <is>
          <t>051910</t>
        </is>
      </c>
      <c r="E8648" s="3" t="inlineStr">
        <is>
          <t>대규모기업집단현황공시[연1회공시및1/4분기용(개별회사)] (정정: 20260611)</t>
        </is>
      </c>
      <c r="F8648" s="3" t="inlineStr">
        <is>
          <t>LG화학</t>
        </is>
      </c>
      <c r="G8648" s="2" t="inlineStr">
        <is>
          <t>20260611000509</t>
        </is>
      </c>
      <c r="H8648" s="8">
        <f>HYPERLINK("https://dart.fss.or.kr/dsaf001/main.do?rcpNo=20260611000509", "공시열람")</f>
        <v/>
      </c>
    </row>
    <row r="8649">
      <c r="A8649" s="2" t="inlineStr">
        <is>
          <t>2026-06-01</t>
        </is>
      </c>
      <c r="B8649" s="3" t="inlineStr">
        <is>
          <t>LG이노텍</t>
        </is>
      </c>
      <c r="C8649" s="2" t="inlineStr">
        <is>
          <t>코스피</t>
        </is>
      </c>
      <c r="D8649" s="2" t="inlineStr">
        <is>
          <t>011070</t>
        </is>
      </c>
      <c r="E8649" s="3" t="inlineStr">
        <is>
          <t>대규모기업집단현황공시[연1회공시및1/4분기용(개별회사)]</t>
        </is>
      </c>
      <c r="F8649" s="3" t="inlineStr">
        <is>
          <t>LG이노텍</t>
        </is>
      </c>
      <c r="G8649" s="2" t="inlineStr">
        <is>
          <t>20260601001343</t>
        </is>
      </c>
      <c r="H8649" s="8">
        <f>HYPERLINK("https://dart.fss.or.kr/dsaf001/main.do?rcpNo=20260601001343", "공시열람")</f>
        <v/>
      </c>
    </row>
    <row r="8650">
      <c r="A8650" s="2" t="inlineStr">
        <is>
          <t>2026-06-01</t>
        </is>
      </c>
      <c r="B8650" s="3" t="inlineStr">
        <is>
          <t>체시스</t>
        </is>
      </c>
      <c r="C8650" s="2" t="inlineStr">
        <is>
          <t>코스피</t>
        </is>
      </c>
      <c r="D8650" s="2" t="inlineStr">
        <is>
          <t>033250</t>
        </is>
      </c>
      <c r="E8650" s="3" t="inlineStr">
        <is>
          <t xml:space="preserve">기업지배구조보고서공시              </t>
        </is>
      </c>
      <c r="F8650" s="3" t="inlineStr">
        <is>
          <t>체시스</t>
        </is>
      </c>
      <c r="G8650" s="2" t="inlineStr">
        <is>
          <t>20260601801112</t>
        </is>
      </c>
      <c r="H8650" s="8">
        <f>HYPERLINK("https://dart.fss.or.kr/dsaf001/main.do?rcpNo=20260601801112", "공시열람")</f>
        <v/>
      </c>
    </row>
    <row r="8651">
      <c r="A8651" s="2" t="inlineStr">
        <is>
          <t>2026-06-01</t>
        </is>
      </c>
      <c r="B8651" s="3" t="inlineStr">
        <is>
          <t>롯데관광개발</t>
        </is>
      </c>
      <c r="C8651" s="2" t="inlineStr">
        <is>
          <t>코스피</t>
        </is>
      </c>
      <c r="D8651" s="2" t="inlineStr">
        <is>
          <t>032350</t>
        </is>
      </c>
      <c r="E8651" s="3" t="inlineStr">
        <is>
          <t xml:space="preserve">연결재무제표기준영업(잠정)실적(공정공시)              </t>
        </is>
      </c>
      <c r="F8651" s="3" t="inlineStr">
        <is>
          <t>롯데관광개발</t>
        </is>
      </c>
      <c r="G8651" s="2" t="inlineStr">
        <is>
          <t>20260601801049</t>
        </is>
      </c>
      <c r="H8651" s="8">
        <f>HYPERLINK("https://dart.fss.or.kr/dsaf001/main.do?rcpNo=20260601801049", "공시열람")</f>
        <v/>
      </c>
    </row>
    <row r="8652">
      <c r="A8652" s="2" t="inlineStr">
        <is>
          <t>2026-06-01</t>
        </is>
      </c>
      <c r="B8652" s="3" t="inlineStr">
        <is>
          <t>비비안</t>
        </is>
      </c>
      <c r="C8652" s="2" t="inlineStr">
        <is>
          <t>코스피</t>
        </is>
      </c>
      <c r="D8652" s="2" t="inlineStr">
        <is>
          <t>002070</t>
        </is>
      </c>
      <c r="E8652" s="3" t="inlineStr">
        <is>
          <t xml:space="preserve">기업지배구조보고서공시              </t>
        </is>
      </c>
      <c r="F8652" s="3" t="inlineStr">
        <is>
          <t>비비안</t>
        </is>
      </c>
      <c r="G8652" s="2" t="inlineStr">
        <is>
          <t>20260601801110</t>
        </is>
      </c>
      <c r="H8652" s="8">
        <f>HYPERLINK("https://dart.fss.or.kr/dsaf001/main.do?rcpNo=20260601801110", "공시열람")</f>
        <v/>
      </c>
    </row>
    <row r="8653">
      <c r="A8653" s="2" t="inlineStr">
        <is>
          <t>2026-06-01</t>
        </is>
      </c>
      <c r="B8653" s="3" t="inlineStr">
        <is>
          <t>유화증권</t>
        </is>
      </c>
      <c r="C8653" s="2" t="inlineStr">
        <is>
          <t>코스피</t>
        </is>
      </c>
      <c r="D8653" s="2" t="inlineStr">
        <is>
          <t>003460</t>
        </is>
      </c>
      <c r="E8653" s="3" t="inlineStr">
        <is>
          <t xml:space="preserve">기업지배구조보고서공시              </t>
        </is>
      </c>
      <c r="F8653" s="3" t="inlineStr">
        <is>
          <t>유화증권</t>
        </is>
      </c>
      <c r="G8653" s="2" t="inlineStr">
        <is>
          <t>20260601801106</t>
        </is>
      </c>
      <c r="H8653" s="8">
        <f>HYPERLINK("https://dart.fss.or.kr/dsaf001/main.do?rcpNo=20260601801106", "공시열람")</f>
        <v/>
      </c>
    </row>
    <row r="8654">
      <c r="A8654" s="2" t="inlineStr">
        <is>
          <t>2026-06-01</t>
        </is>
      </c>
      <c r="B8654" s="3" t="inlineStr">
        <is>
          <t>강원랜드</t>
        </is>
      </c>
      <c r="C8654" s="2" t="inlineStr">
        <is>
          <t>코스피</t>
        </is>
      </c>
      <c r="D8654" s="2" t="inlineStr">
        <is>
          <t>035250</t>
        </is>
      </c>
      <c r="E8654" s="3" t="inlineStr">
        <is>
          <t xml:space="preserve">기업지배구조보고서공시              </t>
        </is>
      </c>
      <c r="F8654" s="3" t="inlineStr">
        <is>
          <t>강원랜드</t>
        </is>
      </c>
      <c r="G8654" s="2" t="inlineStr">
        <is>
          <t>20260601801098</t>
        </is>
      </c>
      <c r="H8654" s="8">
        <f>HYPERLINK("https://dart.fss.or.kr/dsaf001/main.do?rcpNo=20260601801098", "공시열람")</f>
        <v/>
      </c>
    </row>
    <row r="8655">
      <c r="A8655" s="2" t="inlineStr">
        <is>
          <t>2026-06-01</t>
        </is>
      </c>
      <c r="B8655" s="3" t="inlineStr">
        <is>
          <t>LG씨엔에스</t>
        </is>
      </c>
      <c r="C8655" s="2" t="inlineStr">
        <is>
          <t>코스피</t>
        </is>
      </c>
      <c r="D8655" s="2" t="inlineStr">
        <is>
          <t>064400</t>
        </is>
      </c>
      <c r="E8655" s="3" t="inlineStr">
        <is>
          <t>대규모기업집단현황공시[연1회공시및1/4분기용(개별회사)]</t>
        </is>
      </c>
      <c r="F8655" s="3" t="inlineStr">
        <is>
          <t>LG씨엔에스</t>
        </is>
      </c>
      <c r="G8655" s="2" t="inlineStr">
        <is>
          <t>20260601001319</t>
        </is>
      </c>
      <c r="H8655" s="8">
        <f>HYPERLINK("https://dart.fss.or.kr/dsaf001/main.do?rcpNo=20260601001319", "공시열람")</f>
        <v/>
      </c>
    </row>
    <row r="8656">
      <c r="A8656" s="2" t="inlineStr">
        <is>
          <t>2026-06-01</t>
        </is>
      </c>
      <c r="B8656" s="3" t="inlineStr">
        <is>
          <t>LS네트웍스</t>
        </is>
      </c>
      <c r="C8656" s="2" t="inlineStr">
        <is>
          <t>코스피</t>
        </is>
      </c>
      <c r="D8656" s="2" t="inlineStr">
        <is>
          <t>000680</t>
        </is>
      </c>
      <c r="E8656" s="3" t="inlineStr">
        <is>
          <t xml:space="preserve">기업지배구조보고서공시              </t>
        </is>
      </c>
      <c r="F8656" s="3" t="inlineStr">
        <is>
          <t>LS네트웍스</t>
        </is>
      </c>
      <c r="G8656" s="2" t="inlineStr">
        <is>
          <t>20260601800377</t>
        </is>
      </c>
      <c r="H8656" s="8">
        <f>HYPERLINK("https://dart.fss.or.kr/dsaf001/main.do?rcpNo=20260601800377", "공시열람")</f>
        <v/>
      </c>
    </row>
    <row r="8657">
      <c r="A8657" s="2" t="inlineStr">
        <is>
          <t>2026-06-01</t>
        </is>
      </c>
      <c r="B8657" s="3" t="inlineStr">
        <is>
          <t>DSR제강</t>
        </is>
      </c>
      <c r="C8657" s="2" t="inlineStr">
        <is>
          <t>코스피</t>
        </is>
      </c>
      <c r="D8657" s="2" t="inlineStr">
        <is>
          <t>069730</t>
        </is>
      </c>
      <c r="E8657" s="3" t="inlineStr">
        <is>
          <t xml:space="preserve">기업지배구조보고서공시              </t>
        </is>
      </c>
      <c r="F8657" s="3" t="inlineStr">
        <is>
          <t>DSR제강</t>
        </is>
      </c>
      <c r="G8657" s="2" t="inlineStr">
        <is>
          <t>20260601801080</t>
        </is>
      </c>
      <c r="H8657" s="8">
        <f>HYPERLINK("https://dart.fss.or.kr/dsaf001/main.do?rcpNo=20260601801080", "공시열람")</f>
        <v/>
      </c>
    </row>
    <row r="8658">
      <c r="A8658" s="2" t="inlineStr">
        <is>
          <t>2026-06-01</t>
        </is>
      </c>
      <c r="B8658" s="3" t="inlineStr">
        <is>
          <t>종근당</t>
        </is>
      </c>
      <c r="C8658" s="2" t="inlineStr">
        <is>
          <t>코스피</t>
        </is>
      </c>
      <c r="D8658" s="2" t="inlineStr">
        <is>
          <t>185750</t>
        </is>
      </c>
      <c r="E8658" s="3" t="inlineStr">
        <is>
          <t xml:space="preserve">기업지배구조보고서공시              </t>
        </is>
      </c>
      <c r="F8658" s="3" t="inlineStr">
        <is>
          <t>종근당</t>
        </is>
      </c>
      <c r="G8658" s="2" t="inlineStr">
        <is>
          <t>20260601800818</t>
        </is>
      </c>
      <c r="H8658" s="8">
        <f>HYPERLINK("https://dart.fss.or.kr/dsaf001/main.do?rcpNo=20260601800818", "공시열람")</f>
        <v/>
      </c>
    </row>
    <row r="8659">
      <c r="A8659" s="2" t="inlineStr">
        <is>
          <t>2026-06-01</t>
        </is>
      </c>
      <c r="B8659" s="3" t="inlineStr">
        <is>
          <t>케이티스카이라이프</t>
        </is>
      </c>
      <c r="C8659" s="2" t="inlineStr">
        <is>
          <t>코스피</t>
        </is>
      </c>
      <c r="D8659" s="2" t="inlineStr">
        <is>
          <t>053210</t>
        </is>
      </c>
      <c r="E8659" s="3" t="inlineStr">
        <is>
          <t xml:space="preserve">기업지배구조보고서공시              </t>
        </is>
      </c>
      <c r="F8659" s="3" t="inlineStr">
        <is>
          <t>케이티스카이라이프</t>
        </is>
      </c>
      <c r="G8659" s="2" t="inlineStr">
        <is>
          <t>20260601800992</t>
        </is>
      </c>
      <c r="H8659" s="8">
        <f>HYPERLINK("https://dart.fss.or.kr/dsaf001/main.do?rcpNo=20260601800992", "공시열람")</f>
        <v/>
      </c>
    </row>
    <row r="8660">
      <c r="A8660" s="2" t="inlineStr">
        <is>
          <t>2026-06-01</t>
        </is>
      </c>
      <c r="B8660" s="3" t="inlineStr">
        <is>
          <t>LG전자</t>
        </is>
      </c>
      <c r="C8660" s="2" t="inlineStr">
        <is>
          <t>코스피</t>
        </is>
      </c>
      <c r="D8660" s="2" t="inlineStr">
        <is>
          <t>066570</t>
        </is>
      </c>
      <c r="E8660" s="3" t="inlineStr">
        <is>
          <t>대규모기업집단현황공시[연1회공시및1/4분기용(개별회사)]</t>
        </is>
      </c>
      <c r="F8660" s="3" t="inlineStr">
        <is>
          <t>LG전자</t>
        </is>
      </c>
      <c r="G8660" s="2" t="inlineStr">
        <is>
          <t>20260601001308</t>
        </is>
      </c>
      <c r="H8660" s="8">
        <f>HYPERLINK("https://dart.fss.or.kr/dsaf001/main.do?rcpNo=20260601001308", "공시열람")</f>
        <v/>
      </c>
    </row>
    <row r="8661">
      <c r="A8661" s="2" t="inlineStr">
        <is>
          <t>2026-06-01</t>
        </is>
      </c>
      <c r="B8661" s="3" t="inlineStr">
        <is>
          <t>노루페인트</t>
        </is>
      </c>
      <c r="C8661" s="2" t="inlineStr">
        <is>
          <t>코스피</t>
        </is>
      </c>
      <c r="D8661" s="2" t="inlineStr">
        <is>
          <t>090350</t>
        </is>
      </c>
      <c r="E8661" s="3" t="inlineStr">
        <is>
          <t xml:space="preserve">기업지배구조보고서공시              </t>
        </is>
      </c>
      <c r="F8661" s="3" t="inlineStr">
        <is>
          <t>노루페인트</t>
        </is>
      </c>
      <c r="G8661" s="2" t="inlineStr">
        <is>
          <t>20260601800668</t>
        </is>
      </c>
      <c r="H8661" s="8">
        <f>HYPERLINK("https://dart.fss.or.kr/dsaf001/main.do?rcpNo=20260601800668", "공시열람")</f>
        <v/>
      </c>
    </row>
    <row r="8662">
      <c r="A8662" s="2" t="inlineStr">
        <is>
          <t>2026-06-01</t>
        </is>
      </c>
      <c r="B8662" s="3" t="inlineStr">
        <is>
          <t>덕양에너젠</t>
        </is>
      </c>
      <c r="C8662" s="2" t="inlineStr">
        <is>
          <t>코스닥</t>
        </is>
      </c>
      <c r="D8662" s="2" t="inlineStr">
        <is>
          <t>0001A0</t>
        </is>
      </c>
      <c r="E8662" s="3" t="inlineStr">
        <is>
          <t>전환청구권행사              (제2회차)</t>
        </is>
      </c>
      <c r="F8662" s="3" t="inlineStr">
        <is>
          <t>덕양에너젠</t>
        </is>
      </c>
      <c r="G8662" s="2" t="inlineStr">
        <is>
          <t>20260601901048</t>
        </is>
      </c>
      <c r="H8662" s="8">
        <f>HYPERLINK("https://dart.fss.or.kr/dsaf001/main.do?rcpNo=20260601901048", "공시열람")</f>
        <v/>
      </c>
    </row>
    <row r="8663">
      <c r="A8663" s="2" t="inlineStr">
        <is>
          <t>2026-06-01</t>
        </is>
      </c>
      <c r="B8663" s="3" t="inlineStr">
        <is>
          <t>에쓰씨엔지니어링</t>
        </is>
      </c>
      <c r="C8663" s="2" t="inlineStr">
        <is>
          <t>코스피</t>
        </is>
      </c>
      <c r="D8663" s="2" t="inlineStr">
        <is>
          <t>023960</t>
        </is>
      </c>
      <c r="E8663" s="3" t="inlineStr">
        <is>
          <t xml:space="preserve">기업지배구조보고서공시              </t>
        </is>
      </c>
      <c r="F8663" s="3" t="inlineStr">
        <is>
          <t>에쓰씨엔지니어링</t>
        </is>
      </c>
      <c r="G8663" s="2" t="inlineStr">
        <is>
          <t>20260601800266</t>
        </is>
      </c>
      <c r="H8663" s="8">
        <f>HYPERLINK("https://dart.fss.or.kr/dsaf001/main.do?rcpNo=20260601800266", "공시열람")</f>
        <v/>
      </c>
    </row>
    <row r="8664">
      <c r="A8664" s="2" t="inlineStr">
        <is>
          <t>2026-06-01</t>
        </is>
      </c>
      <c r="B8664" s="3" t="inlineStr">
        <is>
          <t>이수페타시스</t>
        </is>
      </c>
      <c r="C8664" s="2" t="inlineStr">
        <is>
          <t>코스피</t>
        </is>
      </c>
      <c r="D8664" s="2" t="inlineStr">
        <is>
          <t>007660</t>
        </is>
      </c>
      <c r="E8664" s="3" t="inlineStr">
        <is>
          <t xml:space="preserve">기업지배구조보고서공시              </t>
        </is>
      </c>
      <c r="F8664" s="3" t="inlineStr">
        <is>
          <t>이수페타시스</t>
        </is>
      </c>
      <c r="G8664" s="2" t="inlineStr">
        <is>
          <t>20260601801047</t>
        </is>
      </c>
      <c r="H8664" s="8">
        <f>HYPERLINK("https://dart.fss.or.kr/dsaf001/main.do?rcpNo=20260601801047", "공시열람")</f>
        <v/>
      </c>
    </row>
    <row r="8665">
      <c r="A8665" s="2" t="inlineStr">
        <is>
          <t>2026-06-01</t>
        </is>
      </c>
      <c r="B8665" s="3" t="inlineStr">
        <is>
          <t>서울제약</t>
        </is>
      </c>
      <c r="C8665" s="2" t="inlineStr">
        <is>
          <t>코스닥</t>
        </is>
      </c>
      <c r="D8665" s="2" t="inlineStr">
        <is>
          <t>018680</t>
        </is>
      </c>
      <c r="E8665" s="3" t="inlineStr">
        <is>
          <t>대규모기업집단현황공시[연1회공시및1/4분기용(개별회사)]</t>
        </is>
      </c>
      <c r="F8665" s="3" t="inlineStr">
        <is>
          <t>서울제약</t>
        </is>
      </c>
      <c r="G8665" s="2" t="inlineStr">
        <is>
          <t>20260601001292</t>
        </is>
      </c>
      <c r="H8665" s="8">
        <f>HYPERLINK("https://dart.fss.or.kr/dsaf001/main.do?rcpNo=20260601001292", "공시열람")</f>
        <v/>
      </c>
    </row>
    <row r="8666">
      <c r="A8666" s="2" t="inlineStr">
        <is>
          <t>2026-06-01</t>
        </is>
      </c>
      <c r="B8666" s="3" t="inlineStr">
        <is>
          <t>CJ프레시웨이</t>
        </is>
      </c>
      <c r="C8666" s="2" t="inlineStr">
        <is>
          <t>코스닥</t>
        </is>
      </c>
      <c r="D8666" s="2" t="inlineStr">
        <is>
          <t>051500</t>
        </is>
      </c>
      <c r="E8666" s="3" t="inlineStr">
        <is>
          <t>대규모기업집단현황공시[연1회공시및1/4분기용(개별회사)]</t>
        </is>
      </c>
      <c r="F8666" s="3" t="inlineStr">
        <is>
          <t>CJ프레시웨이</t>
        </is>
      </c>
      <c r="G8666" s="2" t="inlineStr">
        <is>
          <t>20260601001290</t>
        </is>
      </c>
      <c r="H8666" s="8">
        <f>HYPERLINK("https://dart.fss.or.kr/dsaf001/main.do?rcpNo=20260601001290", "공시열람")</f>
        <v/>
      </c>
    </row>
    <row r="8667">
      <c r="A8667" s="2" t="inlineStr">
        <is>
          <t>2026-06-01</t>
        </is>
      </c>
      <c r="B8667" s="3" t="inlineStr">
        <is>
          <t>신세계인터내셔날</t>
        </is>
      </c>
      <c r="C8667" s="2" t="inlineStr">
        <is>
          <t>코스피</t>
        </is>
      </c>
      <c r="D8667" s="2" t="inlineStr">
        <is>
          <t>031430</t>
        </is>
      </c>
      <c r="E8667" s="3" t="inlineStr">
        <is>
          <t xml:space="preserve">기업지배구조보고서공시              </t>
        </is>
      </c>
      <c r="F8667" s="3" t="inlineStr">
        <is>
          <t>신세계인터내셔날</t>
        </is>
      </c>
      <c r="G8667" s="2" t="inlineStr">
        <is>
          <t>20260601801051</t>
        </is>
      </c>
      <c r="H8667" s="8">
        <f>HYPERLINK("https://dart.fss.or.kr/dsaf001/main.do?rcpNo=20260601801051", "공시열람")</f>
        <v/>
      </c>
    </row>
    <row r="8668">
      <c r="A8668" s="2" t="inlineStr">
        <is>
          <t>2026-06-01</t>
        </is>
      </c>
      <c r="B8668" s="3" t="inlineStr">
        <is>
          <t>현대비앤지스틸</t>
        </is>
      </c>
      <c r="C8668" s="2" t="inlineStr">
        <is>
          <t>코스피</t>
        </is>
      </c>
      <c r="D8668" s="2" t="inlineStr">
        <is>
          <t>004560</t>
        </is>
      </c>
      <c r="E8668" s="3" t="inlineStr">
        <is>
          <t xml:space="preserve">기업지배구조보고서공시              </t>
        </is>
      </c>
      <c r="F8668" s="3" t="inlineStr">
        <is>
          <t>현대비앤지스틸</t>
        </is>
      </c>
      <c r="G8668" s="2" t="inlineStr">
        <is>
          <t>20260601801068</t>
        </is>
      </c>
      <c r="H8668" s="8">
        <f>HYPERLINK("https://dart.fss.or.kr/dsaf001/main.do?rcpNo=20260601801068", "공시열람")</f>
        <v/>
      </c>
    </row>
    <row r="8669">
      <c r="A8669" s="2" t="inlineStr">
        <is>
          <t>2026-06-01 (정정: 2026-06-25)</t>
        </is>
      </c>
      <c r="B8669" s="3" t="inlineStr">
        <is>
          <t>한창</t>
        </is>
      </c>
      <c r="C8669" s="2" t="inlineStr">
        <is>
          <t>코스피</t>
        </is>
      </c>
      <c r="D8669" s="2" t="inlineStr">
        <is>
          <t>005110</t>
        </is>
      </c>
      <c r="E8669" s="3" t="inlineStr">
        <is>
          <t>기업지배구조보고서공시               (정정: 20260625) (정정: 20260625)</t>
        </is>
      </c>
      <c r="F8669" s="3" t="inlineStr">
        <is>
          <t>한창</t>
        </is>
      </c>
      <c r="G8669" s="2" t="inlineStr">
        <is>
          <t>20260625000261</t>
        </is>
      </c>
      <c r="H8669" s="8">
        <f>HYPERLINK("https://dart.fss.or.kr/dsaf001/main.do?rcpNo=20260625000261", "공시열람")</f>
        <v/>
      </c>
    </row>
    <row r="8670">
      <c r="A8670" s="2" t="inlineStr">
        <is>
          <t>2026-06-01</t>
        </is>
      </c>
      <c r="B8670" s="3" t="inlineStr">
        <is>
          <t>HS애드</t>
        </is>
      </c>
      <c r="C8670" s="2" t="inlineStr">
        <is>
          <t>코스피</t>
        </is>
      </c>
      <c r="D8670" s="2" t="inlineStr">
        <is>
          <t>035000</t>
        </is>
      </c>
      <c r="E8670" s="3" t="inlineStr">
        <is>
          <t>대규모기업집단현황공시[연1회공시및1/4분기용(개별회사)]</t>
        </is>
      </c>
      <c r="F8670" s="3" t="inlineStr">
        <is>
          <t>HS애드</t>
        </is>
      </c>
      <c r="G8670" s="2" t="inlineStr">
        <is>
          <t>20260601001282</t>
        </is>
      </c>
      <c r="H8670" s="8">
        <f>HYPERLINK("https://dart.fss.or.kr/dsaf001/main.do?rcpNo=20260601001282", "공시열람")</f>
        <v/>
      </c>
    </row>
    <row r="8671">
      <c r="A8671" s="2" t="inlineStr">
        <is>
          <t>2026-06-01</t>
        </is>
      </c>
      <c r="B8671" s="3" t="inlineStr">
        <is>
          <t>오리엔트바이오</t>
        </is>
      </c>
      <c r="C8671" s="2" t="inlineStr">
        <is>
          <t>코스피</t>
        </is>
      </c>
      <c r="D8671" s="2" t="inlineStr">
        <is>
          <t>002630</t>
        </is>
      </c>
      <c r="E8671" s="3" t="inlineStr">
        <is>
          <t xml:space="preserve">기업지배구조보고서공시              </t>
        </is>
      </c>
      <c r="F8671" s="3" t="inlineStr">
        <is>
          <t>오리엔트바이오</t>
        </is>
      </c>
      <c r="G8671" s="2" t="inlineStr">
        <is>
          <t>20260601801059</t>
        </is>
      </c>
      <c r="H8671" s="8">
        <f>HYPERLINK("https://dart.fss.or.kr/dsaf001/main.do?rcpNo=20260601801059", "공시열람")</f>
        <v/>
      </c>
    </row>
    <row r="8672">
      <c r="A8672" s="2" t="inlineStr">
        <is>
          <t>2026-06-01</t>
        </is>
      </c>
      <c r="B8672" s="3" t="inlineStr">
        <is>
          <t>LG헬로비전</t>
        </is>
      </c>
      <c r="C8672" s="2" t="inlineStr">
        <is>
          <t>코스피</t>
        </is>
      </c>
      <c r="D8672" s="2" t="inlineStr">
        <is>
          <t>037560</t>
        </is>
      </c>
      <c r="E8672" s="3" t="inlineStr">
        <is>
          <t>대규모기업집단현황공시[연1회공시및1/4분기용(개별회사)]</t>
        </is>
      </c>
      <c r="F8672" s="3" t="inlineStr">
        <is>
          <t>LG헬로비전</t>
        </is>
      </c>
      <c r="G8672" s="2" t="inlineStr">
        <is>
          <t>20260601001272</t>
        </is>
      </c>
      <c r="H8672" s="8">
        <f>HYPERLINK("https://dart.fss.or.kr/dsaf001/main.do?rcpNo=20260601001272", "공시열람")</f>
        <v/>
      </c>
    </row>
    <row r="8673">
      <c r="A8673" s="2" t="inlineStr">
        <is>
          <t>2026-06-01</t>
        </is>
      </c>
      <c r="B8673" s="3" t="inlineStr">
        <is>
          <t>유니온</t>
        </is>
      </c>
      <c r="C8673" s="2" t="inlineStr">
        <is>
          <t>코스피</t>
        </is>
      </c>
      <c r="D8673" s="2" t="inlineStr">
        <is>
          <t>000910</t>
        </is>
      </c>
      <c r="E8673" s="3" t="inlineStr">
        <is>
          <t xml:space="preserve">기업지배구조보고서공시              </t>
        </is>
      </c>
      <c r="F8673" s="3" t="inlineStr">
        <is>
          <t>유니온</t>
        </is>
      </c>
      <c r="G8673" s="2" t="inlineStr">
        <is>
          <t>20260601801045</t>
        </is>
      </c>
      <c r="H8673" s="8">
        <f>HYPERLINK("https://dart.fss.or.kr/dsaf001/main.do?rcpNo=20260601801045", "공시열람")</f>
        <v/>
      </c>
    </row>
    <row r="8674">
      <c r="A8674" s="2" t="inlineStr">
        <is>
          <t>2026-06-01</t>
        </is>
      </c>
      <c r="B8674" s="3" t="inlineStr">
        <is>
          <t>LG디스플레이</t>
        </is>
      </c>
      <c r="C8674" s="2" t="inlineStr">
        <is>
          <t>코스피</t>
        </is>
      </c>
      <c r="D8674" s="2" t="inlineStr">
        <is>
          <t>034220</t>
        </is>
      </c>
      <c r="E8674" s="3" t="inlineStr">
        <is>
          <t>대규모기업집단현황공시[연1회공시및1/4분기용(개별회사)]</t>
        </is>
      </c>
      <c r="F8674" s="3" t="inlineStr">
        <is>
          <t>LG디스플레이</t>
        </is>
      </c>
      <c r="G8674" s="2" t="inlineStr">
        <is>
          <t>20260601001267</t>
        </is>
      </c>
      <c r="H8674" s="8">
        <f>HYPERLINK("https://dart.fss.or.kr/dsaf001/main.do?rcpNo=20260601001267", "공시열람")</f>
        <v/>
      </c>
    </row>
    <row r="8675">
      <c r="A8675" s="2" t="inlineStr">
        <is>
          <t>2026-06-01</t>
        </is>
      </c>
      <c r="B8675" s="3" t="inlineStr">
        <is>
          <t>스튜디오드래곤</t>
        </is>
      </c>
      <c r="C8675" s="2" t="inlineStr">
        <is>
          <t>코스닥</t>
        </is>
      </c>
      <c r="D8675" s="2" t="inlineStr">
        <is>
          <t>253450</t>
        </is>
      </c>
      <c r="E8675" s="3" t="inlineStr">
        <is>
          <t>대규모기업집단현황공시[연1회공시및1/4분기용(개별회사)]</t>
        </is>
      </c>
      <c r="F8675" s="3" t="inlineStr">
        <is>
          <t>스튜디오드래곤</t>
        </is>
      </c>
      <c r="G8675" s="2" t="inlineStr">
        <is>
          <t>20260601001265</t>
        </is>
      </c>
      <c r="H8675" s="8">
        <f>HYPERLINK("https://dart.fss.or.kr/dsaf001/main.do?rcpNo=20260601001265", "공시열람")</f>
        <v/>
      </c>
    </row>
    <row r="8676">
      <c r="A8676" s="2" t="inlineStr">
        <is>
          <t>2026-06-01</t>
        </is>
      </c>
      <c r="B8676" s="3" t="inlineStr">
        <is>
          <t>한국미라클피플사</t>
        </is>
      </c>
      <c r="C8676" s="2" t="inlineStr">
        <is>
          <t>코넥스</t>
        </is>
      </c>
      <c r="D8676" s="2" t="inlineStr">
        <is>
          <t>331660</t>
        </is>
      </c>
      <c r="E8676" s="3" t="inlineStr">
        <is>
          <t xml:space="preserve">기업설명회(IR)개최              </t>
        </is>
      </c>
      <c r="F8676" s="3" t="inlineStr">
        <is>
          <t>한국미라클피플사</t>
        </is>
      </c>
      <c r="G8676" s="2" t="inlineStr">
        <is>
          <t>20260601601043</t>
        </is>
      </c>
      <c r="H8676" s="8">
        <f>HYPERLINK("https://dart.fss.or.kr/dsaf001/main.do?rcpNo=20260601601043", "공시열람")</f>
        <v/>
      </c>
    </row>
    <row r="8677">
      <c r="A8677" s="2" t="inlineStr">
        <is>
          <t>2026-06-01</t>
        </is>
      </c>
      <c r="B8677" s="3" t="inlineStr">
        <is>
          <t>원포유</t>
        </is>
      </c>
      <c r="C8677" s="2" t="inlineStr">
        <is>
          <t>코넥스</t>
        </is>
      </c>
      <c r="D8677" s="2" t="inlineStr">
        <is>
          <t>122830</t>
        </is>
      </c>
      <c r="E8677" s="3" t="inlineStr">
        <is>
          <t xml:space="preserve">기업설명회(IR)개최              </t>
        </is>
      </c>
      <c r="F8677" s="3" t="inlineStr">
        <is>
          <t>원포유</t>
        </is>
      </c>
      <c r="G8677" s="2" t="inlineStr">
        <is>
          <t>20260601601009</t>
        </is>
      </c>
      <c r="H8677" s="8">
        <f>HYPERLINK("https://dart.fss.or.kr/dsaf001/main.do?rcpNo=20260601601009", "공시열람")</f>
        <v/>
      </c>
    </row>
    <row r="8678">
      <c r="A8678" s="2" t="inlineStr">
        <is>
          <t>2026-06-01 (정정: 2026-06-16)</t>
        </is>
      </c>
      <c r="B8678" s="3" t="inlineStr">
        <is>
          <t>알엔티엑스</t>
        </is>
      </c>
      <c r="C8678" s="2" t="inlineStr">
        <is>
          <t>코스닥</t>
        </is>
      </c>
      <c r="D8678" s="2" t="inlineStr">
        <is>
          <t>123010</t>
        </is>
      </c>
      <c r="E8678" s="3" t="inlineStr">
        <is>
          <t>주주명부폐쇄기간또는기준일설정               (정정: 20260615) (정정: 20260616)</t>
        </is>
      </c>
      <c r="F8678" s="3" t="inlineStr">
        <is>
          <t>알엔티엑스</t>
        </is>
      </c>
      <c r="G8678" s="2" t="inlineStr">
        <is>
          <t>20260616900003</t>
        </is>
      </c>
      <c r="H8678" s="8">
        <f>HYPERLINK("https://dart.fss.or.kr/dsaf001/main.do?rcpNo=20260616900003", "공시열람")</f>
        <v/>
      </c>
    </row>
    <row r="8679">
      <c r="A8679" s="2" t="inlineStr">
        <is>
          <t>2026-06-01</t>
        </is>
      </c>
      <c r="B8679" s="3" t="inlineStr">
        <is>
          <t>SUN&amp;L</t>
        </is>
      </c>
      <c r="C8679" s="2" t="inlineStr">
        <is>
          <t>코스피</t>
        </is>
      </c>
      <c r="D8679" s="2" t="inlineStr">
        <is>
          <t>002820</t>
        </is>
      </c>
      <c r="E8679" s="3" t="inlineStr">
        <is>
          <t xml:space="preserve">기업지배구조보고서공시              </t>
        </is>
      </c>
      <c r="F8679" s="3" t="inlineStr">
        <is>
          <t>SUN&amp;L</t>
        </is>
      </c>
      <c r="G8679" s="2" t="inlineStr">
        <is>
          <t>20260601801055</t>
        </is>
      </c>
      <c r="H8679" s="8">
        <f>HYPERLINK("https://dart.fss.or.kr/dsaf001/main.do?rcpNo=20260601801055", "공시열람")</f>
        <v/>
      </c>
    </row>
    <row r="8680">
      <c r="A8680" s="2" t="inlineStr">
        <is>
          <t>2026-06-01</t>
        </is>
      </c>
      <c r="B8680" s="3" t="inlineStr">
        <is>
          <t>루켄테크놀러지스</t>
        </is>
      </c>
      <c r="C8680" s="2" t="inlineStr">
        <is>
          <t>코넥스</t>
        </is>
      </c>
      <c r="D8680" s="2" t="inlineStr">
        <is>
          <t>162120</t>
        </is>
      </c>
      <c r="E8680" s="3" t="inlineStr">
        <is>
          <t xml:space="preserve">기업설명회(IR)개최              </t>
        </is>
      </c>
      <c r="F8680" s="3" t="inlineStr">
        <is>
          <t>루켄테크놀러지스</t>
        </is>
      </c>
      <c r="G8680" s="2" t="inlineStr">
        <is>
          <t>20260601601008</t>
        </is>
      </c>
      <c r="H8680" s="8">
        <f>HYPERLINK("https://dart.fss.or.kr/dsaf001/main.do?rcpNo=20260601601008", "공시열람")</f>
        <v/>
      </c>
    </row>
    <row r="8681">
      <c r="A8681" s="2" t="inlineStr">
        <is>
          <t>2026-06-01</t>
        </is>
      </c>
      <c r="B8681" s="3" t="inlineStr">
        <is>
          <t>대상홀딩스</t>
        </is>
      </c>
      <c r="C8681" s="2" t="inlineStr">
        <is>
          <t>코스피</t>
        </is>
      </c>
      <c r="D8681" s="2" t="inlineStr">
        <is>
          <t>084690</t>
        </is>
      </c>
      <c r="E8681" s="3" t="inlineStr">
        <is>
          <t xml:space="preserve">기업지배구조보고서공시              </t>
        </is>
      </c>
      <c r="F8681" s="3" t="inlineStr">
        <is>
          <t>대상홀딩스</t>
        </is>
      </c>
      <c r="G8681" s="2" t="inlineStr">
        <is>
          <t>20260601801038</t>
        </is>
      </c>
      <c r="H8681" s="8">
        <f>HYPERLINK("https://dart.fss.or.kr/dsaf001/main.do?rcpNo=20260601801038", "공시열람")</f>
        <v/>
      </c>
    </row>
    <row r="8682">
      <c r="A8682" s="2" t="inlineStr">
        <is>
          <t>2026-06-01</t>
        </is>
      </c>
      <c r="B8682" s="3" t="inlineStr">
        <is>
          <t>LG생활건강</t>
        </is>
      </c>
      <c r="C8682" s="2" t="inlineStr">
        <is>
          <t>코스피</t>
        </is>
      </c>
      <c r="D8682" s="2" t="inlineStr">
        <is>
          <t>051900</t>
        </is>
      </c>
      <c r="E8682" s="3" t="inlineStr">
        <is>
          <t>대규모기업집단현황공시[연1회공시및1/4분기용(개별회사)]</t>
        </is>
      </c>
      <c r="F8682" s="3" t="inlineStr">
        <is>
          <t>LG생활건강</t>
        </is>
      </c>
      <c r="G8682" s="2" t="inlineStr">
        <is>
          <t>20260601001244</t>
        </is>
      </c>
      <c r="H8682" s="8">
        <f>HYPERLINK("https://dart.fss.or.kr/dsaf001/main.do?rcpNo=20260601001244", "공시열람")</f>
        <v/>
      </c>
    </row>
    <row r="8683">
      <c r="A8683" s="2" t="inlineStr">
        <is>
          <t>2026-06-01</t>
        </is>
      </c>
      <c r="B8683" s="3" t="inlineStr">
        <is>
          <t>대웅</t>
        </is>
      </c>
      <c r="C8683" s="2" t="inlineStr">
        <is>
          <t>코스피</t>
        </is>
      </c>
      <c r="D8683" s="2" t="inlineStr">
        <is>
          <t>003090</t>
        </is>
      </c>
      <c r="E8683" s="3" t="inlineStr">
        <is>
          <t xml:space="preserve">기업지배구조보고서공시              </t>
        </is>
      </c>
      <c r="F8683" s="3" t="inlineStr">
        <is>
          <t>대웅</t>
        </is>
      </c>
      <c r="G8683" s="2" t="inlineStr">
        <is>
          <t>20260601801042</t>
        </is>
      </c>
      <c r="H8683" s="8">
        <f>HYPERLINK("https://dart.fss.or.kr/dsaf001/main.do?rcpNo=20260601801042", "공시열람")</f>
        <v/>
      </c>
    </row>
    <row r="8684">
      <c r="A8684" s="2" t="inlineStr">
        <is>
          <t>2026-06-01</t>
        </is>
      </c>
      <c r="B8684" s="3" t="inlineStr">
        <is>
          <t>금비</t>
        </is>
      </c>
      <c r="C8684" s="2" t="inlineStr">
        <is>
          <t>코스피</t>
        </is>
      </c>
      <c r="D8684" s="2" t="inlineStr">
        <is>
          <t>008870</t>
        </is>
      </c>
      <c r="E8684" s="3" t="inlineStr">
        <is>
          <t xml:space="preserve">기업지배구조보고서공시              </t>
        </is>
      </c>
      <c r="F8684" s="3" t="inlineStr">
        <is>
          <t>금비</t>
        </is>
      </c>
      <c r="G8684" s="2" t="inlineStr">
        <is>
          <t>20260601800407</t>
        </is>
      </c>
      <c r="H8684" s="8">
        <f>HYPERLINK("https://dart.fss.or.kr/dsaf001/main.do?rcpNo=20260601800407", "공시열람")</f>
        <v/>
      </c>
    </row>
    <row r="8685">
      <c r="A8685" s="2" t="inlineStr">
        <is>
          <t>2026-06-01</t>
        </is>
      </c>
      <c r="B8685" s="3" t="inlineStr">
        <is>
          <t>태림포장</t>
        </is>
      </c>
      <c r="C8685" s="2" t="inlineStr">
        <is>
          <t>코스피</t>
        </is>
      </c>
      <c r="D8685" s="2" t="inlineStr">
        <is>
          <t>011280</t>
        </is>
      </c>
      <c r="E8685" s="3" t="inlineStr">
        <is>
          <t>대규모기업집단현황공시[연1회공시및1/4분기용(개별회사)]</t>
        </is>
      </c>
      <c r="F8685" s="3" t="inlineStr">
        <is>
          <t>태림포장</t>
        </is>
      </c>
      <c r="G8685" s="2" t="inlineStr">
        <is>
          <t>20260601001237</t>
        </is>
      </c>
      <c r="H8685" s="8">
        <f>HYPERLINK("https://dart.fss.or.kr/dsaf001/main.do?rcpNo=20260601001237", "공시열람")</f>
        <v/>
      </c>
    </row>
    <row r="8686">
      <c r="A8686" s="2" t="inlineStr">
        <is>
          <t>2026-06-01</t>
        </is>
      </c>
      <c r="B8686" s="3" t="inlineStr">
        <is>
          <t>KPX케미칼</t>
        </is>
      </c>
      <c r="C8686" s="2" t="inlineStr">
        <is>
          <t>코스피</t>
        </is>
      </c>
      <c r="D8686" s="2" t="inlineStr">
        <is>
          <t>025000</t>
        </is>
      </c>
      <c r="E8686" s="3" t="inlineStr">
        <is>
          <t xml:space="preserve">기업지배구조보고서공시              </t>
        </is>
      </c>
      <c r="F8686" s="3" t="inlineStr">
        <is>
          <t>KPX케미칼</t>
        </is>
      </c>
      <c r="G8686" s="2" t="inlineStr">
        <is>
          <t>20260601801017</t>
        </is>
      </c>
      <c r="H8686" s="8">
        <f>HYPERLINK("https://dart.fss.or.kr/dsaf001/main.do?rcpNo=20260601801017", "공시열람")</f>
        <v/>
      </c>
    </row>
    <row r="8687">
      <c r="A8687" s="2" t="inlineStr">
        <is>
          <t>2026-06-01</t>
        </is>
      </c>
      <c r="B8687" s="3" t="inlineStr">
        <is>
          <t>카프로</t>
        </is>
      </c>
      <c r="C8687" s="2" t="inlineStr">
        <is>
          <t>코스피</t>
        </is>
      </c>
      <c r="D8687" s="2" t="inlineStr">
        <is>
          <t>006380</t>
        </is>
      </c>
      <c r="E8687" s="3" t="inlineStr">
        <is>
          <t xml:space="preserve">기업지배구조보고서공시              </t>
        </is>
      </c>
      <c r="F8687" s="3" t="inlineStr">
        <is>
          <t>카프로</t>
        </is>
      </c>
      <c r="G8687" s="2" t="inlineStr">
        <is>
          <t>20260601801034</t>
        </is>
      </c>
      <c r="H8687" s="8">
        <f>HYPERLINK("https://dart.fss.or.kr/dsaf001/main.do?rcpNo=20260601801034", "공시열람")</f>
        <v/>
      </c>
    </row>
    <row r="8688">
      <c r="A8688" s="2" t="inlineStr">
        <is>
          <t>2026-06-01</t>
        </is>
      </c>
      <c r="B8688" s="3" t="inlineStr">
        <is>
          <t>사조씨푸드</t>
        </is>
      </c>
      <c r="C8688" s="2" t="inlineStr">
        <is>
          <t>코스피</t>
        </is>
      </c>
      <c r="D8688" s="2" t="inlineStr">
        <is>
          <t>014710</t>
        </is>
      </c>
      <c r="E8688" s="3" t="inlineStr">
        <is>
          <t xml:space="preserve">기업지배구조보고서공시              </t>
        </is>
      </c>
      <c r="F8688" s="3" t="inlineStr">
        <is>
          <t>사조씨푸드</t>
        </is>
      </c>
      <c r="G8688" s="2" t="inlineStr">
        <is>
          <t>20260601801032</t>
        </is>
      </c>
      <c r="H8688" s="8">
        <f>HYPERLINK("https://dart.fss.or.kr/dsaf001/main.do?rcpNo=20260601801032", "공시열람")</f>
        <v/>
      </c>
    </row>
    <row r="8689">
      <c r="A8689" s="2" t="inlineStr">
        <is>
          <t>2026-06-01</t>
        </is>
      </c>
      <c r="B8689" s="3" t="inlineStr">
        <is>
          <t>한국앤컴퍼니</t>
        </is>
      </c>
      <c r="C8689" s="2" t="inlineStr">
        <is>
          <t>코스피</t>
        </is>
      </c>
      <c r="D8689" s="2" t="inlineStr">
        <is>
          <t>000240</t>
        </is>
      </c>
      <c r="E8689" s="3" t="inlineStr">
        <is>
          <t>대규모기업집단현황공시[연1회(동일인용)]</t>
        </is>
      </c>
      <c r="F8689" s="3" t="inlineStr">
        <is>
          <t>한국앤컴퍼니</t>
        </is>
      </c>
      <c r="G8689" s="2" t="inlineStr">
        <is>
          <t>20260601001230</t>
        </is>
      </c>
      <c r="H8689" s="8">
        <f>HYPERLINK("https://dart.fss.or.kr/dsaf001/main.do?rcpNo=20260601001230", "공시열람")</f>
        <v/>
      </c>
    </row>
    <row r="8690">
      <c r="A8690" s="2" t="inlineStr">
        <is>
          <t>2026-06-01</t>
        </is>
      </c>
      <c r="B8690" s="3" t="inlineStr">
        <is>
          <t>대웅제약</t>
        </is>
      </c>
      <c r="C8690" s="2" t="inlineStr">
        <is>
          <t>코스피</t>
        </is>
      </c>
      <c r="D8690" s="2" t="inlineStr">
        <is>
          <t>069620</t>
        </is>
      </c>
      <c r="E8690" s="3" t="inlineStr">
        <is>
          <t xml:space="preserve">기업지배구조보고서공시              </t>
        </is>
      </c>
      <c r="F8690" s="3" t="inlineStr">
        <is>
          <t>대웅제약</t>
        </is>
      </c>
      <c r="G8690" s="2" t="inlineStr">
        <is>
          <t>20260601801021</t>
        </is>
      </c>
      <c r="H8690" s="8">
        <f>HYPERLINK("https://dart.fss.or.kr/dsaf001/main.do?rcpNo=20260601801021", "공시열람")</f>
        <v/>
      </c>
    </row>
    <row r="8691">
      <c r="A8691" s="2" t="inlineStr">
        <is>
          <t>2026-06-01</t>
        </is>
      </c>
      <c r="B8691" s="3" t="inlineStr">
        <is>
          <t>에스에스알</t>
        </is>
      </c>
      <c r="C8691" s="2" t="inlineStr">
        <is>
          <t>코스닥</t>
        </is>
      </c>
      <c r="D8691" s="2" t="inlineStr">
        <is>
          <t>275630</t>
        </is>
      </c>
      <c r="E8691" s="3" t="inlineStr">
        <is>
          <t>임원ㆍ주요주주특정증권등소유상황보고서</t>
        </is>
      </c>
      <c r="F8691" s="3" t="inlineStr">
        <is>
          <t>지란지교시큐리티</t>
        </is>
      </c>
      <c r="G8691" s="2" t="inlineStr">
        <is>
          <t>20260601001225</t>
        </is>
      </c>
      <c r="H8691" s="8">
        <f>HYPERLINK("https://dart.fss.or.kr/dsaf001/main.do?rcpNo=20260601001225", "공시열람")</f>
        <v/>
      </c>
    </row>
    <row r="8692">
      <c r="A8692" s="2" t="inlineStr">
        <is>
          <t>2026-06-01</t>
        </is>
      </c>
      <c r="B8692" s="3" t="inlineStr">
        <is>
          <t>한화투자증권</t>
        </is>
      </c>
      <c r="C8692" s="2" t="inlineStr">
        <is>
          <t>코스피</t>
        </is>
      </c>
      <c r="D8692" s="2" t="inlineStr">
        <is>
          <t>003530</t>
        </is>
      </c>
      <c r="E8692" s="3" t="inlineStr">
        <is>
          <t>증권발행실적보고서</t>
        </is>
      </c>
      <c r="F8692" s="3" t="inlineStr">
        <is>
          <t>한화투자증권</t>
        </is>
      </c>
      <c r="G8692" s="2" t="inlineStr">
        <is>
          <t>20260601001224</t>
        </is>
      </c>
      <c r="H8692" s="8">
        <f>HYPERLINK("https://dart.fss.or.kr/dsaf001/main.do?rcpNo=20260601001224", "공시열람")</f>
        <v/>
      </c>
    </row>
    <row r="8693">
      <c r="A8693" s="2" t="inlineStr">
        <is>
          <t>2026-06-01</t>
        </is>
      </c>
      <c r="B8693" s="3" t="inlineStr">
        <is>
          <t>이구산업</t>
        </is>
      </c>
      <c r="C8693" s="2" t="inlineStr">
        <is>
          <t>코스피</t>
        </is>
      </c>
      <c r="D8693" s="2" t="inlineStr">
        <is>
          <t>025820</t>
        </is>
      </c>
      <c r="E8693" s="3" t="inlineStr">
        <is>
          <t xml:space="preserve">기업지배구조보고서공시              </t>
        </is>
      </c>
      <c r="F8693" s="3" t="inlineStr">
        <is>
          <t>이구산업</t>
        </is>
      </c>
      <c r="G8693" s="2" t="inlineStr">
        <is>
          <t>20260601800272</t>
        </is>
      </c>
      <c r="H8693" s="8">
        <f>HYPERLINK("https://dart.fss.or.kr/dsaf001/main.do?rcpNo=20260601800272", "공시열람")</f>
        <v/>
      </c>
    </row>
    <row r="8694">
      <c r="A8694" s="2" t="inlineStr">
        <is>
          <t>2026-06-01</t>
        </is>
      </c>
      <c r="B8694" s="3" t="inlineStr">
        <is>
          <t>한국공항</t>
        </is>
      </c>
      <c r="C8694" s="2" t="inlineStr">
        <is>
          <t>코스피</t>
        </is>
      </c>
      <c r="D8694" s="2" t="inlineStr">
        <is>
          <t>005430</t>
        </is>
      </c>
      <c r="E8694" s="3" t="inlineStr">
        <is>
          <t xml:space="preserve">기업지배구조보고서공시              </t>
        </is>
      </c>
      <c r="F8694" s="3" t="inlineStr">
        <is>
          <t>한국공항</t>
        </is>
      </c>
      <c r="G8694" s="2" t="inlineStr">
        <is>
          <t>20260601801014</t>
        </is>
      </c>
      <c r="H8694" s="8">
        <f>HYPERLINK("https://dart.fss.or.kr/dsaf001/main.do?rcpNo=20260601801014", "공시열람")</f>
        <v/>
      </c>
    </row>
    <row r="8695">
      <c r="A8695" s="2" t="inlineStr">
        <is>
          <t>2026-06-01</t>
        </is>
      </c>
      <c r="B8695" s="3" t="inlineStr">
        <is>
          <t>한국앤컴퍼니</t>
        </is>
      </c>
      <c r="C8695" s="2" t="inlineStr">
        <is>
          <t>코스피</t>
        </is>
      </c>
      <c r="D8695" s="2" t="inlineStr">
        <is>
          <t>000240</t>
        </is>
      </c>
      <c r="E8695" s="3" t="inlineStr">
        <is>
          <t>대규모기업집단현황공시[연1회공시및1/4분기용(대표회사)]</t>
        </is>
      </c>
      <c r="F8695" s="3" t="inlineStr">
        <is>
          <t>한국앤컴퍼니</t>
        </is>
      </c>
      <c r="G8695" s="2" t="inlineStr">
        <is>
          <t>20260601001219</t>
        </is>
      </c>
      <c r="H8695" s="8">
        <f>HYPERLINK("https://dart.fss.or.kr/dsaf001/main.do?rcpNo=20260601001219", "공시열람")</f>
        <v/>
      </c>
    </row>
    <row r="8696">
      <c r="A8696" s="2" t="inlineStr">
        <is>
          <t>2026-06-01</t>
        </is>
      </c>
      <c r="B8696" s="3" t="inlineStr">
        <is>
          <t>한화투자증권</t>
        </is>
      </c>
      <c r="C8696" s="2" t="inlineStr">
        <is>
          <t>코스피</t>
        </is>
      </c>
      <c r="D8696" s="2" t="inlineStr">
        <is>
          <t>003530</t>
        </is>
      </c>
      <c r="E8696" s="3" t="inlineStr">
        <is>
          <t>증권발행실적보고서</t>
        </is>
      </c>
      <c r="F8696" s="3" t="inlineStr">
        <is>
          <t>한화투자증권</t>
        </is>
      </c>
      <c r="G8696" s="2" t="inlineStr">
        <is>
          <t>20260601001216</t>
        </is>
      </c>
      <c r="H8696" s="8">
        <f>HYPERLINK("https://dart.fss.or.kr/dsaf001/main.do?rcpNo=20260601001216", "공시열람")</f>
        <v/>
      </c>
    </row>
    <row r="8697">
      <c r="A8697" s="2" t="inlineStr">
        <is>
          <t>2026-06-01</t>
        </is>
      </c>
      <c r="B8697" s="3" t="inlineStr">
        <is>
          <t>LG</t>
        </is>
      </c>
      <c r="C8697" s="2" t="inlineStr">
        <is>
          <t>코스피</t>
        </is>
      </c>
      <c r="D8697" s="2" t="inlineStr">
        <is>
          <t>003550</t>
        </is>
      </c>
      <c r="E8697" s="3" t="inlineStr">
        <is>
          <t>대규모기업집단현황공시[연1회공시및1/4분기용(대표회사)]</t>
        </is>
      </c>
      <c r="F8697" s="3" t="inlineStr">
        <is>
          <t>LG</t>
        </is>
      </c>
      <c r="G8697" s="2" t="inlineStr">
        <is>
          <t>20260601001213</t>
        </is>
      </c>
      <c r="H8697" s="8">
        <f>HYPERLINK("https://dart.fss.or.kr/dsaf001/main.do?rcpNo=20260601001213", "공시열람")</f>
        <v/>
      </c>
    </row>
    <row r="8698">
      <c r="A8698" s="2" t="inlineStr">
        <is>
          <t>2026-06-01</t>
        </is>
      </c>
      <c r="B8698" s="3" t="inlineStr">
        <is>
          <t>현대약품</t>
        </is>
      </c>
      <c r="C8698" s="2" t="inlineStr">
        <is>
          <t>코스피</t>
        </is>
      </c>
      <c r="D8698" s="2" t="inlineStr">
        <is>
          <t>004310</t>
        </is>
      </c>
      <c r="E8698" s="3" t="inlineStr">
        <is>
          <t xml:space="preserve">기업지배구조보고서공시              </t>
        </is>
      </c>
      <c r="F8698" s="3" t="inlineStr">
        <is>
          <t>현대약품</t>
        </is>
      </c>
      <c r="G8698" s="2" t="inlineStr">
        <is>
          <t>20260601800985</t>
        </is>
      </c>
      <c r="H8698" s="8">
        <f>HYPERLINK("https://dart.fss.or.kr/dsaf001/main.do?rcpNo=20260601800985", "공시열람")</f>
        <v/>
      </c>
    </row>
    <row r="8699">
      <c r="A8699" s="2" t="inlineStr">
        <is>
          <t>2026-06-01</t>
        </is>
      </c>
      <c r="B8699" s="3" t="inlineStr">
        <is>
          <t>퍼시스</t>
        </is>
      </c>
      <c r="C8699" s="2" t="inlineStr">
        <is>
          <t>코스피</t>
        </is>
      </c>
      <c r="D8699" s="2" t="inlineStr">
        <is>
          <t>016800</t>
        </is>
      </c>
      <c r="E8699" s="3" t="inlineStr">
        <is>
          <t xml:space="preserve">기업지배구조보고서공시              </t>
        </is>
      </c>
      <c r="F8699" s="3" t="inlineStr">
        <is>
          <t>퍼시스</t>
        </is>
      </c>
      <c r="G8699" s="2" t="inlineStr">
        <is>
          <t>20260601800999</t>
        </is>
      </c>
      <c r="H8699" s="8">
        <f>HYPERLINK("https://dart.fss.or.kr/dsaf001/main.do?rcpNo=20260601800999", "공시열람")</f>
        <v/>
      </c>
    </row>
    <row r="8700">
      <c r="A8700" s="2" t="inlineStr">
        <is>
          <t>2026-06-01</t>
        </is>
      </c>
      <c r="B8700" s="3" t="inlineStr">
        <is>
          <t>한올바이오파마</t>
        </is>
      </c>
      <c r="C8700" s="2" t="inlineStr">
        <is>
          <t>코스피</t>
        </is>
      </c>
      <c r="D8700" s="2" t="inlineStr">
        <is>
          <t>009420</t>
        </is>
      </c>
      <c r="E8700" s="3" t="inlineStr">
        <is>
          <t xml:space="preserve">기업지배구조보고서공시              </t>
        </is>
      </c>
      <c r="F8700" s="3" t="inlineStr">
        <is>
          <t>한올바이오파마</t>
        </is>
      </c>
      <c r="G8700" s="2" t="inlineStr">
        <is>
          <t>20260601801003</t>
        </is>
      </c>
      <c r="H8700" s="8">
        <f>HYPERLINK("https://dart.fss.or.kr/dsaf001/main.do?rcpNo=20260601801003", "공시열람")</f>
        <v/>
      </c>
    </row>
    <row r="8701">
      <c r="A8701" s="2" t="inlineStr">
        <is>
          <t>2026-06-01</t>
        </is>
      </c>
      <c r="B8701" s="3" t="inlineStr">
        <is>
          <t>미트박스</t>
        </is>
      </c>
      <c r="C8701" s="2" t="inlineStr">
        <is>
          <t>코스닥</t>
        </is>
      </c>
      <c r="D8701" s="2" t="inlineStr">
        <is>
          <t>475460</t>
        </is>
      </c>
      <c r="E8701" s="3" t="inlineStr">
        <is>
          <t>임원ㆍ주요주주특정증권등소유상황보고서</t>
        </is>
      </c>
      <c r="F8701" s="3" t="inlineStr">
        <is>
          <t>장준희</t>
        </is>
      </c>
      <c r="G8701" s="2" t="inlineStr">
        <is>
          <t>20260601001207</t>
        </is>
      </c>
      <c r="H8701" s="8">
        <f>HYPERLINK("https://dart.fss.or.kr/dsaf001/main.do?rcpNo=20260601001207", "공시열람")</f>
        <v/>
      </c>
    </row>
    <row r="8702">
      <c r="A8702" s="2" t="inlineStr">
        <is>
          <t>2026-06-01</t>
        </is>
      </c>
      <c r="B8702" s="3" t="inlineStr">
        <is>
          <t>삼성E&amp;A</t>
        </is>
      </c>
      <c r="C8702" s="2" t="inlineStr">
        <is>
          <t>코스피</t>
        </is>
      </c>
      <c r="D8702" s="2" t="inlineStr">
        <is>
          <t>028050</t>
        </is>
      </c>
      <c r="E8702" s="3" t="inlineStr">
        <is>
          <t xml:space="preserve">기업지배구조보고서공시              </t>
        </is>
      </c>
      <c r="F8702" s="3" t="inlineStr">
        <is>
          <t>삼성E&amp;A</t>
        </is>
      </c>
      <c r="G8702" s="2" t="inlineStr">
        <is>
          <t>20260601800997</t>
        </is>
      </c>
      <c r="H8702" s="8">
        <f>HYPERLINK("https://dart.fss.or.kr/dsaf001/main.do?rcpNo=20260601800997", "공시열람")</f>
        <v/>
      </c>
    </row>
    <row r="8703">
      <c r="A8703" s="2" t="inlineStr">
        <is>
          <t>2026-06-01</t>
        </is>
      </c>
      <c r="B8703" s="3" t="inlineStr">
        <is>
          <t>NH투자증권</t>
        </is>
      </c>
      <c r="C8703" s="2" t="inlineStr">
        <is>
          <t>코스피</t>
        </is>
      </c>
      <c r="D8703" s="2" t="inlineStr">
        <is>
          <t>005940</t>
        </is>
      </c>
      <c r="E8703" s="3" t="inlineStr">
        <is>
          <t>대규모기업집단현황공시[연1회공시및1/4분기용(개별회사)]</t>
        </is>
      </c>
      <c r="F8703" s="3" t="inlineStr">
        <is>
          <t>NH투자증권</t>
        </is>
      </c>
      <c r="G8703" s="2" t="inlineStr">
        <is>
          <t>20260601001206</t>
        </is>
      </c>
      <c r="H8703" s="8">
        <f>HYPERLINK("https://dart.fss.or.kr/dsaf001/main.do?rcpNo=20260601001206", "공시열람")</f>
        <v/>
      </c>
    </row>
    <row r="8704">
      <c r="A8704" s="2" t="inlineStr">
        <is>
          <t>2026-06-01</t>
        </is>
      </c>
      <c r="B8704" s="3" t="inlineStr">
        <is>
          <t>미트박스</t>
        </is>
      </c>
      <c r="C8704" s="2" t="inlineStr">
        <is>
          <t>코스닥</t>
        </is>
      </c>
      <c r="D8704" s="2" t="inlineStr">
        <is>
          <t>475460</t>
        </is>
      </c>
      <c r="E8704" s="3" t="inlineStr">
        <is>
          <t>임원ㆍ주요주주특정증권등소유상황보고서</t>
        </is>
      </c>
      <c r="F8704" s="3" t="inlineStr">
        <is>
          <t>임경봉</t>
        </is>
      </c>
      <c r="G8704" s="2" t="inlineStr">
        <is>
          <t>20260601001203</t>
        </is>
      </c>
      <c r="H8704" s="8">
        <f>HYPERLINK("https://dart.fss.or.kr/dsaf001/main.do?rcpNo=20260601001203", "공시열람")</f>
        <v/>
      </c>
    </row>
    <row r="8705">
      <c r="A8705" s="2" t="inlineStr">
        <is>
          <t>2026-06-01</t>
        </is>
      </c>
      <c r="B8705" s="3" t="inlineStr">
        <is>
          <t>손오공</t>
        </is>
      </c>
      <c r="C8705" s="2" t="inlineStr">
        <is>
          <t>코스닥</t>
        </is>
      </c>
      <c r="D8705" s="2" t="inlineStr">
        <is>
          <t>066910</t>
        </is>
      </c>
      <c r="E8705" s="3" t="inlineStr">
        <is>
          <t xml:space="preserve">해산사유발생(종속회사의주요경영사항)              </t>
        </is>
      </c>
      <c r="F8705" s="3" t="inlineStr">
        <is>
          <t>손오공</t>
        </is>
      </c>
      <c r="G8705" s="2" t="inlineStr">
        <is>
          <t>20260601901000</t>
        </is>
      </c>
      <c r="H8705" s="8">
        <f>HYPERLINK("https://dart.fss.or.kr/dsaf001/main.do?rcpNo=20260601901000", "공시열람")</f>
        <v/>
      </c>
    </row>
    <row r="8706">
      <c r="A8706" s="2" t="inlineStr">
        <is>
          <t>2026-06-01</t>
        </is>
      </c>
      <c r="B8706" s="3" t="inlineStr">
        <is>
          <t>삼성물산</t>
        </is>
      </c>
      <c r="C8706" s="2" t="inlineStr">
        <is>
          <t>코스피</t>
        </is>
      </c>
      <c r="D8706" s="2" t="inlineStr">
        <is>
          <t>028260</t>
        </is>
      </c>
      <c r="E8706" s="3" t="inlineStr">
        <is>
          <t>대규모기업집단현황공시[연1회공시및1/4분기용(개별회사)]</t>
        </is>
      </c>
      <c r="F8706" s="3" t="inlineStr">
        <is>
          <t>삼성물산</t>
        </is>
      </c>
      <c r="G8706" s="2" t="inlineStr">
        <is>
          <t>20260601001202</t>
        </is>
      </c>
      <c r="H8706" s="8">
        <f>HYPERLINK("https://dart.fss.or.kr/dsaf001/main.do?rcpNo=20260601001202", "공시열람")</f>
        <v/>
      </c>
    </row>
    <row r="8707">
      <c r="A8707" s="2" t="inlineStr">
        <is>
          <t>2026-06-01</t>
        </is>
      </c>
      <c r="B8707" s="3" t="inlineStr">
        <is>
          <t>NH투자증권</t>
        </is>
      </c>
      <c r="C8707" s="2" t="inlineStr">
        <is>
          <t>코스피</t>
        </is>
      </c>
      <c r="D8707" s="2" t="inlineStr">
        <is>
          <t>005940</t>
        </is>
      </c>
      <c r="E8707" s="3" t="inlineStr">
        <is>
          <t>투자설명서(일괄신고)</t>
        </is>
      </c>
      <c r="F8707" s="3" t="inlineStr">
        <is>
          <t>NH투자증권</t>
        </is>
      </c>
      <c r="G8707" s="2" t="inlineStr">
        <is>
          <t>20260601001196</t>
        </is>
      </c>
      <c r="H8707" s="8">
        <f>HYPERLINK("https://dart.fss.or.kr/dsaf001/main.do?rcpNo=20260601001196", "공시열람")</f>
        <v/>
      </c>
    </row>
    <row r="8708">
      <c r="A8708" s="2" t="inlineStr">
        <is>
          <t>2026-06-01</t>
        </is>
      </c>
      <c r="B8708" s="3" t="inlineStr">
        <is>
          <t>팬오션</t>
        </is>
      </c>
      <c r="C8708" s="2" t="inlineStr">
        <is>
          <t>코스피</t>
        </is>
      </c>
      <c r="D8708" s="2" t="inlineStr">
        <is>
          <t>028670</t>
        </is>
      </c>
      <c r="E8708" s="3" t="inlineStr">
        <is>
          <t xml:space="preserve">기업지배구조보고서공시              </t>
        </is>
      </c>
      <c r="F8708" s="3" t="inlineStr">
        <is>
          <t>팬오션</t>
        </is>
      </c>
      <c r="G8708" s="2" t="inlineStr">
        <is>
          <t>20260601800981</t>
        </is>
      </c>
      <c r="H8708" s="8">
        <f>HYPERLINK("https://dart.fss.or.kr/dsaf001/main.do?rcpNo=20260601800981", "공시열람")</f>
        <v/>
      </c>
    </row>
    <row r="8709">
      <c r="A8709" s="2" t="inlineStr">
        <is>
          <t>2026-06-01</t>
        </is>
      </c>
      <c r="B8709" s="3" t="inlineStr">
        <is>
          <t>국도화학</t>
        </is>
      </c>
      <c r="C8709" s="2" t="inlineStr">
        <is>
          <t>코스피</t>
        </is>
      </c>
      <c r="D8709" s="2" t="inlineStr">
        <is>
          <t>007690</t>
        </is>
      </c>
      <c r="E8709" s="3" t="inlineStr">
        <is>
          <t xml:space="preserve">기업지배구조보고서공시              </t>
        </is>
      </c>
      <c r="F8709" s="3" t="inlineStr">
        <is>
          <t>국도화학</t>
        </is>
      </c>
      <c r="G8709" s="2" t="inlineStr">
        <is>
          <t>20260601800941</t>
        </is>
      </c>
      <c r="H8709" s="8">
        <f>HYPERLINK("https://dart.fss.or.kr/dsaf001/main.do?rcpNo=20260601800941", "공시열람")</f>
        <v/>
      </c>
    </row>
    <row r="8710">
      <c r="A8710" s="2" t="inlineStr">
        <is>
          <t>2026-06-01</t>
        </is>
      </c>
      <c r="B8710" s="3" t="inlineStr">
        <is>
          <t>에스제이엠</t>
        </is>
      </c>
      <c r="C8710" s="2" t="inlineStr">
        <is>
          <t>코스피</t>
        </is>
      </c>
      <c r="D8710" s="2" t="inlineStr">
        <is>
          <t>123700</t>
        </is>
      </c>
      <c r="E8710" s="3" t="inlineStr">
        <is>
          <t xml:space="preserve">기업지배구조보고서공시              </t>
        </is>
      </c>
      <c r="F8710" s="3" t="inlineStr">
        <is>
          <t>에스제이엠</t>
        </is>
      </c>
      <c r="G8710" s="2" t="inlineStr">
        <is>
          <t>20260601800913</t>
        </is>
      </c>
      <c r="H8710" s="8">
        <f>HYPERLINK("https://dart.fss.or.kr/dsaf001/main.do?rcpNo=20260601800913", "공시열람")</f>
        <v/>
      </c>
    </row>
    <row r="8711">
      <c r="A8711" s="2" t="inlineStr">
        <is>
          <t>2026-06-01</t>
        </is>
      </c>
      <c r="B8711" s="3" t="inlineStr">
        <is>
          <t>손오공</t>
        </is>
      </c>
      <c r="C8711" s="2" t="inlineStr">
        <is>
          <t>코스닥</t>
        </is>
      </c>
      <c r="D8711" s="2" t="inlineStr">
        <is>
          <t>066910</t>
        </is>
      </c>
      <c r="E8711" s="3" t="inlineStr">
        <is>
          <t xml:space="preserve">주주명부폐쇄기간또는기준일설정              </t>
        </is>
      </c>
      <c r="F8711" s="3" t="inlineStr">
        <is>
          <t>손오공</t>
        </is>
      </c>
      <c r="G8711" s="2" t="inlineStr">
        <is>
          <t>20260601900991</t>
        </is>
      </c>
      <c r="H8711" s="8">
        <f>HYPERLINK("https://dart.fss.or.kr/dsaf001/main.do?rcpNo=20260601900991", "공시열람")</f>
        <v/>
      </c>
    </row>
    <row r="8712">
      <c r="A8712" s="2" t="inlineStr">
        <is>
          <t>2026-06-01</t>
        </is>
      </c>
      <c r="B8712" s="3" t="inlineStr">
        <is>
          <t>코스맥스비티아이</t>
        </is>
      </c>
      <c r="C8712" s="2" t="inlineStr">
        <is>
          <t>코스피</t>
        </is>
      </c>
      <c r="D8712" s="2" t="inlineStr">
        <is>
          <t>044820</t>
        </is>
      </c>
      <c r="E8712" s="3" t="inlineStr">
        <is>
          <t xml:space="preserve">기업지배구조보고서공시              </t>
        </is>
      </c>
      <c r="F8712" s="3" t="inlineStr">
        <is>
          <t>코스맥스비티아이</t>
        </is>
      </c>
      <c r="G8712" s="2" t="inlineStr">
        <is>
          <t>20260601800983</t>
        </is>
      </c>
      <c r="H8712" s="8">
        <f>HYPERLINK("https://dart.fss.or.kr/dsaf001/main.do?rcpNo=20260601800983", "공시열람")</f>
        <v/>
      </c>
    </row>
    <row r="8713">
      <c r="A8713" s="2" t="inlineStr">
        <is>
          <t>2026-06-01</t>
        </is>
      </c>
      <c r="B8713" s="3" t="inlineStr">
        <is>
          <t>미트박스</t>
        </is>
      </c>
      <c r="C8713" s="2" t="inlineStr">
        <is>
          <t>코스닥</t>
        </is>
      </c>
      <c r="D8713" s="2" t="inlineStr">
        <is>
          <t>475460</t>
        </is>
      </c>
      <c r="E8713" s="3" t="inlineStr">
        <is>
          <t>임원ㆍ주요주주특정증권등소유상황보고서</t>
        </is>
      </c>
      <c r="F8713" s="3" t="inlineStr">
        <is>
          <t>윤희성</t>
        </is>
      </c>
      <c r="G8713" s="2" t="inlineStr">
        <is>
          <t>20260601001189</t>
        </is>
      </c>
      <c r="H8713" s="8">
        <f>HYPERLINK("https://dart.fss.or.kr/dsaf001/main.do?rcpNo=20260601001189", "공시열람")</f>
        <v/>
      </c>
    </row>
    <row r="8714">
      <c r="A8714" s="2" t="inlineStr">
        <is>
          <t>2026-06-01</t>
        </is>
      </c>
      <c r="B8714" s="3" t="inlineStr">
        <is>
          <t>아이엠티</t>
        </is>
      </c>
      <c r="C8714" s="2" t="inlineStr">
        <is>
          <t>코스닥</t>
        </is>
      </c>
      <c r="D8714" s="2" t="inlineStr">
        <is>
          <t>451220</t>
        </is>
      </c>
      <c r="E8714" s="3" t="inlineStr">
        <is>
          <t>신주인수권부사채(해외신주인수권부사채포함)발행후만기전사채취득              (제4회차)</t>
        </is>
      </c>
      <c r="F8714" s="3" t="inlineStr">
        <is>
          <t>아이엠티</t>
        </is>
      </c>
      <c r="G8714" s="2" t="inlineStr">
        <is>
          <t>20260601900958</t>
        </is>
      </c>
      <c r="H8714" s="8">
        <f>HYPERLINK("https://dart.fss.or.kr/dsaf001/main.do?rcpNo=20260601900958", "공시열람")</f>
        <v/>
      </c>
    </row>
    <row r="8715">
      <c r="A8715" s="2" t="inlineStr">
        <is>
          <t>2026-06-01</t>
        </is>
      </c>
      <c r="B8715" s="3" t="inlineStr">
        <is>
          <t>코다코</t>
        </is>
      </c>
      <c r="C8715" s="2" t="inlineStr">
        <is>
          <t>코스닥</t>
        </is>
      </c>
      <c r="D8715" s="2" t="inlineStr">
        <is>
          <t>046070</t>
        </is>
      </c>
      <c r="E8715" s="3" t="inlineStr">
        <is>
          <t>사외이사의선임ㆍ해임또는중도퇴임에관한신고</t>
        </is>
      </c>
      <c r="F8715" s="3" t="inlineStr">
        <is>
          <t>코다코</t>
        </is>
      </c>
      <c r="G8715" s="2" t="inlineStr">
        <is>
          <t>20260601001188</t>
        </is>
      </c>
      <c r="H8715" s="8">
        <f>HYPERLINK("https://dart.fss.or.kr/dsaf001/main.do?rcpNo=20260601001188", "공시열람")</f>
        <v/>
      </c>
    </row>
    <row r="8716">
      <c r="A8716" s="2" t="inlineStr">
        <is>
          <t>2026-06-01</t>
        </is>
      </c>
      <c r="B8716" s="3" t="inlineStr">
        <is>
          <t>모나리자</t>
        </is>
      </c>
      <c r="C8716" s="2" t="inlineStr">
        <is>
          <t>코스피</t>
        </is>
      </c>
      <c r="D8716" s="2" t="inlineStr">
        <is>
          <t>012690</t>
        </is>
      </c>
      <c r="E8716" s="3" t="inlineStr">
        <is>
          <t xml:space="preserve">기업지배구조보고서공시              </t>
        </is>
      </c>
      <c r="F8716" s="3" t="inlineStr">
        <is>
          <t>모나리자</t>
        </is>
      </c>
      <c r="G8716" s="2" t="inlineStr">
        <is>
          <t>20260601800960</t>
        </is>
      </c>
      <c r="H8716" s="8">
        <f>HYPERLINK("https://dart.fss.or.kr/dsaf001/main.do?rcpNo=20260601800960", "공시열람")</f>
        <v/>
      </c>
    </row>
    <row r="8717">
      <c r="A8717" s="2" t="inlineStr">
        <is>
          <t>2026-06-01</t>
        </is>
      </c>
      <c r="B8717" s="3" t="inlineStr">
        <is>
          <t>온코닉테라퓨틱스</t>
        </is>
      </c>
      <c r="C8717" s="2" t="inlineStr">
        <is>
          <t>코스닥</t>
        </is>
      </c>
      <c r="D8717" s="2" t="inlineStr">
        <is>
          <t>476060</t>
        </is>
      </c>
      <c r="E8717" s="3" t="inlineStr">
        <is>
          <t>투자판단관련주요경영사항(임상시험계획변경승인신청)              (자큐보정(JP-1366)(자스타프라잔시트르산염) 기반 삼제요법의 헬리코박터 파일로리 양성 환자 대상 유효성 및 안전성 평가를 위한 제3상 임상시험계획승인(변경승인) 신청)</t>
        </is>
      </c>
      <c r="F8717" s="3" t="inlineStr">
        <is>
          <t>온코닉테라퓨틱스</t>
        </is>
      </c>
      <c r="G8717" s="2" t="inlineStr">
        <is>
          <t>20260601900904</t>
        </is>
      </c>
      <c r="H8717" s="8">
        <f>HYPERLINK("https://dart.fss.or.kr/dsaf001/main.do?rcpNo=20260601900904", "공시열람")</f>
        <v/>
      </c>
    </row>
    <row r="8718">
      <c r="A8718" s="2" t="inlineStr">
        <is>
          <t>2026-06-01</t>
        </is>
      </c>
      <c r="B8718" s="3" t="inlineStr">
        <is>
          <t>인천도시가스</t>
        </is>
      </c>
      <c r="C8718" s="2" t="inlineStr">
        <is>
          <t>코스피</t>
        </is>
      </c>
      <c r="D8718" s="2" t="inlineStr">
        <is>
          <t>034590</t>
        </is>
      </c>
      <c r="E8718" s="3" t="inlineStr">
        <is>
          <t xml:space="preserve">기업지배구조보고서공시              </t>
        </is>
      </c>
      <c r="F8718" s="3" t="inlineStr">
        <is>
          <t>인천도시가스</t>
        </is>
      </c>
      <c r="G8718" s="2" t="inlineStr">
        <is>
          <t>20260601800949</t>
        </is>
      </c>
      <c r="H8718" s="8">
        <f>HYPERLINK("https://dart.fss.or.kr/dsaf001/main.do?rcpNo=20260601800949", "공시열람")</f>
        <v/>
      </c>
    </row>
    <row r="8719">
      <c r="A8719" s="2" t="inlineStr">
        <is>
          <t>2026-06-01</t>
        </is>
      </c>
      <c r="B8719" s="3" t="inlineStr">
        <is>
          <t>삼성전자</t>
        </is>
      </c>
      <c r="C8719" s="2" t="inlineStr">
        <is>
          <t>코스피</t>
        </is>
      </c>
      <c r="D8719" s="2" t="inlineStr">
        <is>
          <t>005930</t>
        </is>
      </c>
      <c r="E8719" s="3" t="inlineStr">
        <is>
          <t>대규모기업집단현황공시[연1회(동일인용)]</t>
        </is>
      </c>
      <c r="F8719" s="3" t="inlineStr">
        <is>
          <t>이재용</t>
        </is>
      </c>
      <c r="G8719" s="2" t="inlineStr">
        <is>
          <t>20260601001179</t>
        </is>
      </c>
      <c r="H8719" s="8">
        <f>HYPERLINK("https://dart.fss.or.kr/dsaf001/main.do?rcpNo=20260601001179", "공시열람")</f>
        <v/>
      </c>
    </row>
    <row r="8720">
      <c r="A8720" s="2" t="inlineStr">
        <is>
          <t>2026-06-01</t>
        </is>
      </c>
      <c r="B8720" s="3" t="inlineStr">
        <is>
          <t>미트박스</t>
        </is>
      </c>
      <c r="C8720" s="2" t="inlineStr">
        <is>
          <t>코스닥</t>
        </is>
      </c>
      <c r="D8720" s="2" t="inlineStr">
        <is>
          <t>475460</t>
        </is>
      </c>
      <c r="E8720" s="3" t="inlineStr">
        <is>
          <t>임원ㆍ주요주주특정증권등소유상황보고서</t>
        </is>
      </c>
      <c r="F8720" s="3" t="inlineStr">
        <is>
          <t>이재성</t>
        </is>
      </c>
      <c r="G8720" s="2" t="inlineStr">
        <is>
          <t>20260601001178</t>
        </is>
      </c>
      <c r="H8720" s="8">
        <f>HYPERLINK("https://dart.fss.or.kr/dsaf001/main.do?rcpNo=20260601001178", "공시열람")</f>
        <v/>
      </c>
    </row>
    <row r="8721">
      <c r="A8721" s="2" t="inlineStr">
        <is>
          <t>2026-06-01</t>
        </is>
      </c>
      <c r="B8721" s="3" t="inlineStr">
        <is>
          <t>신송홀딩스</t>
        </is>
      </c>
      <c r="C8721" s="2" t="inlineStr">
        <is>
          <t>코스피</t>
        </is>
      </c>
      <c r="D8721" s="2" t="inlineStr">
        <is>
          <t>006880</t>
        </is>
      </c>
      <c r="E8721" s="3" t="inlineStr">
        <is>
          <t xml:space="preserve">기업지배구조보고서공시              </t>
        </is>
      </c>
      <c r="F8721" s="3" t="inlineStr">
        <is>
          <t>신송홀딩스</t>
        </is>
      </c>
      <c r="G8721" s="2" t="inlineStr">
        <is>
          <t>20260601800972</t>
        </is>
      </c>
      <c r="H8721" s="8">
        <f>HYPERLINK("https://dart.fss.or.kr/dsaf001/main.do?rcpNo=20260601800972", "공시열람")</f>
        <v/>
      </c>
    </row>
    <row r="8722">
      <c r="A8722" s="2" t="inlineStr">
        <is>
          <t>2026-06-01</t>
        </is>
      </c>
      <c r="B8722" s="3" t="inlineStr">
        <is>
          <t>OCI홀딩스</t>
        </is>
      </c>
      <c r="C8722" s="2" t="inlineStr">
        <is>
          <t>코스피</t>
        </is>
      </c>
      <c r="D8722" s="2" t="inlineStr">
        <is>
          <t>010060</t>
        </is>
      </c>
      <c r="E8722" s="3" t="inlineStr">
        <is>
          <t xml:space="preserve">기업지배구조보고서공시              </t>
        </is>
      </c>
      <c r="F8722" s="3" t="inlineStr">
        <is>
          <t>OCI홀딩스</t>
        </is>
      </c>
      <c r="G8722" s="2" t="inlineStr">
        <is>
          <t>20260601800968</t>
        </is>
      </c>
      <c r="H8722" s="8">
        <f>HYPERLINK("https://dart.fss.or.kr/dsaf001/main.do?rcpNo=20260601800968", "공시열람")</f>
        <v/>
      </c>
    </row>
    <row r="8723">
      <c r="A8723" s="2" t="inlineStr">
        <is>
          <t>2026-06-01</t>
        </is>
      </c>
      <c r="B8723" s="3" t="inlineStr">
        <is>
          <t>엔피씨</t>
        </is>
      </c>
      <c r="C8723" s="2" t="inlineStr">
        <is>
          <t>코스피</t>
        </is>
      </c>
      <c r="D8723" s="2" t="inlineStr">
        <is>
          <t>004250</t>
        </is>
      </c>
      <c r="E8723" s="3" t="inlineStr">
        <is>
          <t xml:space="preserve">기업지배구조보고서공시              </t>
        </is>
      </c>
      <c r="F8723" s="3" t="inlineStr">
        <is>
          <t>엔피씨</t>
        </is>
      </c>
      <c r="G8723" s="2" t="inlineStr">
        <is>
          <t>20260601800962</t>
        </is>
      </c>
      <c r="H8723" s="8">
        <f>HYPERLINK("https://dart.fss.or.kr/dsaf001/main.do?rcpNo=20260601800962", "공시열람")</f>
        <v/>
      </c>
    </row>
    <row r="8724">
      <c r="A8724" s="2" t="inlineStr">
        <is>
          <t>2026-06-01</t>
        </is>
      </c>
      <c r="B8724" s="3" t="inlineStr">
        <is>
          <t>GS건설</t>
        </is>
      </c>
      <c r="C8724" s="2" t="inlineStr">
        <is>
          <t>코스피</t>
        </is>
      </c>
      <c r="D8724" s="2" t="inlineStr">
        <is>
          <t>006360</t>
        </is>
      </c>
      <c r="E8724" s="3" t="inlineStr">
        <is>
          <t>대규모기업집단현황공시[연1회공시및1/4분기용(개별회사)]</t>
        </is>
      </c>
      <c r="F8724" s="3" t="inlineStr">
        <is>
          <t>GS건설</t>
        </is>
      </c>
      <c r="G8724" s="2" t="inlineStr">
        <is>
          <t>20260601001172</t>
        </is>
      </c>
      <c r="H8724" s="8">
        <f>HYPERLINK("https://dart.fss.or.kr/dsaf001/main.do?rcpNo=20260601001172", "공시열람")</f>
        <v/>
      </c>
    </row>
    <row r="8725">
      <c r="A8725" s="2" t="inlineStr">
        <is>
          <t>2026-06-01</t>
        </is>
      </c>
      <c r="B8725" s="3" t="inlineStr">
        <is>
          <t>자이에스앤디</t>
        </is>
      </c>
      <c r="C8725" s="2" t="inlineStr">
        <is>
          <t>코스피</t>
        </is>
      </c>
      <c r="D8725" s="2" t="inlineStr">
        <is>
          <t>317400</t>
        </is>
      </c>
      <c r="E8725" s="3" t="inlineStr">
        <is>
          <t>대규모기업집단현황공시[연1회공시및1/4분기용(개별회사)]</t>
        </is>
      </c>
      <c r="F8725" s="3" t="inlineStr">
        <is>
          <t>자이에스앤디</t>
        </is>
      </c>
      <c r="G8725" s="2" t="inlineStr">
        <is>
          <t>20260601001171</t>
        </is>
      </c>
      <c r="H8725" s="8">
        <f>HYPERLINK("https://dart.fss.or.kr/dsaf001/main.do?rcpNo=20260601001171", "공시열람")</f>
        <v/>
      </c>
    </row>
    <row r="8726">
      <c r="A8726" s="2" t="inlineStr">
        <is>
          <t>2026-06-01</t>
        </is>
      </c>
      <c r="B8726" s="3" t="inlineStr">
        <is>
          <t>TP</t>
        </is>
      </c>
      <c r="C8726" s="2" t="inlineStr">
        <is>
          <t>코스피</t>
        </is>
      </c>
      <c r="D8726" s="2" t="inlineStr">
        <is>
          <t>007980</t>
        </is>
      </c>
      <c r="E8726" s="3" t="inlineStr">
        <is>
          <t xml:space="preserve">기업지배구조보고서공시              </t>
        </is>
      </c>
      <c r="F8726" s="3" t="inlineStr">
        <is>
          <t>TP</t>
        </is>
      </c>
      <c r="G8726" s="2" t="inlineStr">
        <is>
          <t>20260601800951</t>
        </is>
      </c>
      <c r="H8726" s="8">
        <f>HYPERLINK("https://dart.fss.or.kr/dsaf001/main.do?rcpNo=20260601800951", "공시열람")</f>
        <v/>
      </c>
    </row>
    <row r="8727">
      <c r="A8727" s="2" t="inlineStr">
        <is>
          <t>2026-06-01</t>
        </is>
      </c>
      <c r="B8727" s="3" t="inlineStr">
        <is>
          <t>평화홀딩스</t>
        </is>
      </c>
      <c r="C8727" s="2" t="inlineStr">
        <is>
          <t>코스피</t>
        </is>
      </c>
      <c r="D8727" s="2" t="inlineStr">
        <is>
          <t>010770</t>
        </is>
      </c>
      <c r="E8727" s="3" t="inlineStr">
        <is>
          <t xml:space="preserve">기업지배구조보고서공시              </t>
        </is>
      </c>
      <c r="F8727" s="3" t="inlineStr">
        <is>
          <t>평화홀딩스</t>
        </is>
      </c>
      <c r="G8727" s="2" t="inlineStr">
        <is>
          <t>20260601800636</t>
        </is>
      </c>
      <c r="H8727" s="8">
        <f>HYPERLINK("https://dart.fss.or.kr/dsaf001/main.do?rcpNo=20260601800636", "공시열람")</f>
        <v/>
      </c>
    </row>
    <row r="8728">
      <c r="A8728" s="2" t="inlineStr">
        <is>
          <t>2026-06-01</t>
        </is>
      </c>
      <c r="B8728" s="3" t="inlineStr">
        <is>
          <t>에스케이바이오팜</t>
        </is>
      </c>
      <c r="C8728" s="2" t="inlineStr">
        <is>
          <t>코스피</t>
        </is>
      </c>
      <c r="D8728" s="2" t="inlineStr">
        <is>
          <t>326030</t>
        </is>
      </c>
      <c r="E8728" s="3" t="inlineStr">
        <is>
          <t xml:space="preserve">기업지배구조보고서공시              </t>
        </is>
      </c>
      <c r="F8728" s="3" t="inlineStr">
        <is>
          <t>에스케이바이오팜</t>
        </is>
      </c>
      <c r="G8728" s="2" t="inlineStr">
        <is>
          <t>20260601800947</t>
        </is>
      </c>
      <c r="H8728" s="8">
        <f>HYPERLINK("https://dart.fss.or.kr/dsaf001/main.do?rcpNo=20260601800947", "공시열람")</f>
        <v/>
      </c>
    </row>
    <row r="8729">
      <c r="A8729" s="2" t="inlineStr">
        <is>
          <t>2026-06-01 (정정: 2026-06-17)</t>
        </is>
      </c>
      <c r="B8729" s="3" t="inlineStr">
        <is>
          <t>KC그린홀딩스</t>
        </is>
      </c>
      <c r="C8729" s="2" t="inlineStr">
        <is>
          <t>코스피</t>
        </is>
      </c>
      <c r="D8729" s="2" t="inlineStr">
        <is>
          <t>009440</t>
        </is>
      </c>
      <c r="E8729" s="3" t="inlineStr">
        <is>
          <t>기업지배구조보고서공시               (정정: 20260617)</t>
        </is>
      </c>
      <c r="F8729" s="3" t="inlineStr">
        <is>
          <t>KC그린홀딩스</t>
        </is>
      </c>
      <c r="G8729" s="2" t="inlineStr">
        <is>
          <t>20260617800549</t>
        </is>
      </c>
      <c r="H8729" s="8">
        <f>HYPERLINK("https://dart.fss.or.kr/dsaf001/main.do?rcpNo=20260617800549", "공시열람")</f>
        <v/>
      </c>
    </row>
    <row r="8730">
      <c r="A8730" s="2" t="inlineStr">
        <is>
          <t>2026-06-01</t>
        </is>
      </c>
      <c r="B8730" s="3" t="inlineStr">
        <is>
          <t>벽산</t>
        </is>
      </c>
      <c r="C8730" s="2" t="inlineStr">
        <is>
          <t>코스피</t>
        </is>
      </c>
      <c r="D8730" s="2" t="inlineStr">
        <is>
          <t>007210</t>
        </is>
      </c>
      <c r="E8730" s="3" t="inlineStr">
        <is>
          <t xml:space="preserve">기업지배구조보고서공시              </t>
        </is>
      </c>
      <c r="F8730" s="3" t="inlineStr">
        <is>
          <t>벽산</t>
        </is>
      </c>
      <c r="G8730" s="2" t="inlineStr">
        <is>
          <t>20260601800939</t>
        </is>
      </c>
      <c r="H8730" s="8">
        <f>HYPERLINK("https://dart.fss.or.kr/dsaf001/main.do?rcpNo=20260601800939", "공시열람")</f>
        <v/>
      </c>
    </row>
    <row r="8731">
      <c r="A8731" s="2" t="inlineStr">
        <is>
          <t>2026-06-01</t>
        </is>
      </c>
      <c r="B8731" s="3" t="inlineStr">
        <is>
          <t>미트박스</t>
        </is>
      </c>
      <c r="C8731" s="2" t="inlineStr">
        <is>
          <t>코스닥</t>
        </is>
      </c>
      <c r="D8731" s="2" t="inlineStr">
        <is>
          <t>475460</t>
        </is>
      </c>
      <c r="E8731" s="3" t="inlineStr">
        <is>
          <t>임원ㆍ주요주주특정증권등소유상황보고서</t>
        </is>
      </c>
      <c r="F8731" s="3" t="inlineStr">
        <is>
          <t>김만섭</t>
        </is>
      </c>
      <c r="G8731" s="2" t="inlineStr">
        <is>
          <t>20260601001159</t>
        </is>
      </c>
      <c r="H8731" s="8">
        <f>HYPERLINK("https://dart.fss.or.kr/dsaf001/main.do?rcpNo=20260601001159", "공시열람")</f>
        <v/>
      </c>
    </row>
    <row r="8732">
      <c r="A8732" s="2" t="inlineStr">
        <is>
          <t>2026-06-01</t>
        </is>
      </c>
      <c r="B8732" s="3" t="inlineStr">
        <is>
          <t>금호석유화학</t>
        </is>
      </c>
      <c r="C8732" s="2" t="inlineStr">
        <is>
          <t>코스피</t>
        </is>
      </c>
      <c r="D8732" s="2" t="inlineStr">
        <is>
          <t>011780</t>
        </is>
      </c>
      <c r="E8732" s="3" t="inlineStr">
        <is>
          <t xml:space="preserve">기업지배구조보고서공시              </t>
        </is>
      </c>
      <c r="F8732" s="3" t="inlineStr">
        <is>
          <t>금호석유화학</t>
        </is>
      </c>
      <c r="G8732" s="2" t="inlineStr">
        <is>
          <t>20260601800927</t>
        </is>
      </c>
      <c r="H8732" s="8">
        <f>HYPERLINK("https://dart.fss.or.kr/dsaf001/main.do?rcpNo=20260601800927", "공시열람")</f>
        <v/>
      </c>
    </row>
    <row r="8733">
      <c r="A8733" s="2" t="inlineStr">
        <is>
          <t>2026-06-01</t>
        </is>
      </c>
      <c r="B8733" s="3" t="inlineStr">
        <is>
          <t>평화산업</t>
        </is>
      </c>
      <c r="C8733" s="2" t="inlineStr">
        <is>
          <t>코스피</t>
        </is>
      </c>
      <c r="D8733" s="2" t="inlineStr">
        <is>
          <t>090080</t>
        </is>
      </c>
      <c r="E8733" s="3" t="inlineStr">
        <is>
          <t xml:space="preserve">기업지배구조보고서공시              </t>
        </is>
      </c>
      <c r="F8733" s="3" t="inlineStr">
        <is>
          <t>평화산업</t>
        </is>
      </c>
      <c r="G8733" s="2" t="inlineStr">
        <is>
          <t>20260601800882</t>
        </is>
      </c>
      <c r="H8733" s="8">
        <f>HYPERLINK("https://dart.fss.or.kr/dsaf001/main.do?rcpNo=20260601800882", "공시열람")</f>
        <v/>
      </c>
    </row>
    <row r="8734">
      <c r="A8734" s="2" t="inlineStr">
        <is>
          <t>2026-06-01</t>
        </is>
      </c>
      <c r="B8734" s="3" t="inlineStr">
        <is>
          <t>미트박스</t>
        </is>
      </c>
      <c r="C8734" s="2" t="inlineStr">
        <is>
          <t>코스닥</t>
        </is>
      </c>
      <c r="D8734" s="2" t="inlineStr">
        <is>
          <t>475460</t>
        </is>
      </c>
      <c r="E8734" s="3" t="inlineStr">
        <is>
          <t>임원ㆍ주요주주특정증권등소유상황보고서</t>
        </is>
      </c>
      <c r="F8734" s="3" t="inlineStr">
        <is>
          <t>정재호</t>
        </is>
      </c>
      <c r="G8734" s="2" t="inlineStr">
        <is>
          <t>20260601001155</t>
        </is>
      </c>
      <c r="H8734" s="8">
        <f>HYPERLINK("https://dart.fss.or.kr/dsaf001/main.do?rcpNo=20260601001155", "공시열람")</f>
        <v/>
      </c>
    </row>
    <row r="8735">
      <c r="A8735" s="2" t="inlineStr">
        <is>
          <t>2026-06-01 (정정: 2026-06-04)</t>
        </is>
      </c>
      <c r="B8735" s="3" t="inlineStr">
        <is>
          <t>CJ</t>
        </is>
      </c>
      <c r="C8735" s="2" t="inlineStr">
        <is>
          <t>코스피</t>
        </is>
      </c>
      <c r="D8735" s="2" t="inlineStr">
        <is>
          <t>001040</t>
        </is>
      </c>
      <c r="E8735" s="3" t="inlineStr">
        <is>
          <t>대규모기업집단현황공시[연1회공시및1/4분기용(대표회사)] (정정: 20260604)</t>
        </is>
      </c>
      <c r="F8735" s="3" t="inlineStr">
        <is>
          <t>CJ</t>
        </is>
      </c>
      <c r="G8735" s="2" t="inlineStr">
        <is>
          <t>20260604800628</t>
        </is>
      </c>
      <c r="H8735" s="8">
        <f>HYPERLINK("https://dart.fss.or.kr/dsaf001/main.do?rcpNo=20260604800628", "공시열람")</f>
        <v/>
      </c>
    </row>
    <row r="8736">
      <c r="A8736" s="2" t="inlineStr">
        <is>
          <t>2026-06-01</t>
        </is>
      </c>
      <c r="B8736" s="3" t="inlineStr">
        <is>
          <t>엑사이엔씨</t>
        </is>
      </c>
      <c r="C8736" s="2" t="inlineStr">
        <is>
          <t>코스닥</t>
        </is>
      </c>
      <c r="D8736" s="2" t="inlineStr">
        <is>
          <t>054940</t>
        </is>
      </c>
      <c r="E8736" s="3" t="inlineStr">
        <is>
          <t xml:space="preserve">주식병합결정              </t>
        </is>
      </c>
      <c r="F8736" s="3" t="inlineStr">
        <is>
          <t>엑사이엔씨</t>
        </is>
      </c>
      <c r="G8736" s="2" t="inlineStr">
        <is>
          <t>20260601900944</t>
        </is>
      </c>
      <c r="H8736" s="8">
        <f>HYPERLINK("https://dart.fss.or.kr/dsaf001/main.do?rcpNo=20260601900944", "공시열람")</f>
        <v/>
      </c>
    </row>
    <row r="8737">
      <c r="A8737" s="2" t="inlineStr">
        <is>
          <t>2026-06-01</t>
        </is>
      </c>
      <c r="B8737" s="3" t="inlineStr">
        <is>
          <t>NH투자증권</t>
        </is>
      </c>
      <c r="C8737" s="2" t="inlineStr">
        <is>
          <t>코스피</t>
        </is>
      </c>
      <c r="D8737" s="2" t="inlineStr">
        <is>
          <t>005940</t>
        </is>
      </c>
      <c r="E8737" s="3" t="inlineStr">
        <is>
          <t>일괄신고추가서류(파생결합증권-주가연계증권)</t>
        </is>
      </c>
      <c r="F8737" s="3" t="inlineStr">
        <is>
          <t>NH투자증권</t>
        </is>
      </c>
      <c r="G8737" s="2" t="inlineStr">
        <is>
          <t>20260601001151</t>
        </is>
      </c>
      <c r="H8737" s="8">
        <f>HYPERLINK("https://dart.fss.or.kr/dsaf001/main.do?rcpNo=20260601001151", "공시열람")</f>
        <v/>
      </c>
    </row>
    <row r="8738">
      <c r="A8738" s="2" t="inlineStr">
        <is>
          <t>2026-06-01</t>
        </is>
      </c>
      <c r="B8738" s="3" t="inlineStr">
        <is>
          <t>애경케미칼</t>
        </is>
      </c>
      <c r="C8738" s="2" t="inlineStr">
        <is>
          <t>코스피</t>
        </is>
      </c>
      <c r="D8738" s="2" t="inlineStr">
        <is>
          <t>161000</t>
        </is>
      </c>
      <c r="E8738" s="3" t="inlineStr">
        <is>
          <t xml:space="preserve">대표이사(대표집행임원)변경(안내공시)              </t>
        </is>
      </c>
      <c r="F8738" s="3" t="inlineStr">
        <is>
          <t>애경케미칼</t>
        </is>
      </c>
      <c r="G8738" s="2" t="inlineStr">
        <is>
          <t>20260601800937</t>
        </is>
      </c>
      <c r="H8738" s="8">
        <f>HYPERLINK("https://dart.fss.or.kr/dsaf001/main.do?rcpNo=20260601800937", "공시열람")</f>
        <v/>
      </c>
    </row>
    <row r="8739">
      <c r="A8739" s="2" t="inlineStr">
        <is>
          <t>2026-06-01</t>
        </is>
      </c>
      <c r="B8739" s="3" t="inlineStr">
        <is>
          <t>디아이</t>
        </is>
      </c>
      <c r="C8739" s="2" t="inlineStr">
        <is>
          <t>코스피</t>
        </is>
      </c>
      <c r="D8739" s="2" t="inlineStr">
        <is>
          <t>003160</t>
        </is>
      </c>
      <c r="E8739" s="3" t="inlineStr">
        <is>
          <t xml:space="preserve">기업지배구조보고서공시              </t>
        </is>
      </c>
      <c r="F8739" s="3" t="inlineStr">
        <is>
          <t>디아이</t>
        </is>
      </c>
      <c r="G8739" s="2" t="inlineStr">
        <is>
          <t>20260601800493</t>
        </is>
      </c>
      <c r="H8739" s="8">
        <f>HYPERLINK("https://dart.fss.or.kr/dsaf001/main.do?rcpNo=20260601800493", "공시열람")</f>
        <v/>
      </c>
    </row>
    <row r="8740">
      <c r="A8740" s="2" t="inlineStr">
        <is>
          <t>2026-06-01</t>
        </is>
      </c>
      <c r="B8740" s="3" t="inlineStr">
        <is>
          <t>미트박스</t>
        </is>
      </c>
      <c r="C8740" s="2" t="inlineStr">
        <is>
          <t>코스닥</t>
        </is>
      </c>
      <c r="D8740" s="2" t="inlineStr">
        <is>
          <t>475460</t>
        </is>
      </c>
      <c r="E8740" s="3" t="inlineStr">
        <is>
          <t>임원ㆍ주요주주특정증권등소유상황보고서</t>
        </is>
      </c>
      <c r="F8740" s="3" t="inlineStr">
        <is>
          <t>천용헌</t>
        </is>
      </c>
      <c r="G8740" s="2" t="inlineStr">
        <is>
          <t>20260601001147</t>
        </is>
      </c>
      <c r="H8740" s="8">
        <f>HYPERLINK("https://dart.fss.or.kr/dsaf001/main.do?rcpNo=20260601001147", "공시열람")</f>
        <v/>
      </c>
    </row>
    <row r="8741">
      <c r="A8741" s="2" t="inlineStr">
        <is>
          <t>2026-06-01</t>
        </is>
      </c>
      <c r="B8741" s="3" t="inlineStr">
        <is>
          <t>교보증권</t>
        </is>
      </c>
      <c r="C8741" s="2" t="inlineStr">
        <is>
          <t>코스피</t>
        </is>
      </c>
      <c r="D8741" s="2" t="inlineStr">
        <is>
          <t>030610</t>
        </is>
      </c>
      <c r="E8741" s="3" t="inlineStr">
        <is>
          <t>증권발행실적보고서</t>
        </is>
      </c>
      <c r="F8741" s="3" t="inlineStr">
        <is>
          <t>교보증권</t>
        </is>
      </c>
      <c r="G8741" s="2" t="inlineStr">
        <is>
          <t>20260601001144</t>
        </is>
      </c>
      <c r="H8741" s="8">
        <f>HYPERLINK("https://dart.fss.or.kr/dsaf001/main.do?rcpNo=20260601001144", "공시열람")</f>
        <v/>
      </c>
    </row>
    <row r="8742">
      <c r="A8742" s="2" t="inlineStr">
        <is>
          <t>2026-06-01</t>
        </is>
      </c>
      <c r="B8742" s="3" t="inlineStr">
        <is>
          <t>세방</t>
        </is>
      </c>
      <c r="C8742" s="2" t="inlineStr">
        <is>
          <t>코스피</t>
        </is>
      </c>
      <c r="D8742" s="2" t="inlineStr">
        <is>
          <t>004360</t>
        </is>
      </c>
      <c r="E8742" s="3" t="inlineStr">
        <is>
          <t xml:space="preserve">기업지배구조보고서공시              </t>
        </is>
      </c>
      <c r="F8742" s="3" t="inlineStr">
        <is>
          <t>세방</t>
        </is>
      </c>
      <c r="G8742" s="2" t="inlineStr">
        <is>
          <t>20260601800932</t>
        </is>
      </c>
      <c r="H8742" s="8">
        <f>HYPERLINK("https://dart.fss.or.kr/dsaf001/main.do?rcpNo=20260601800932", "공시열람")</f>
        <v/>
      </c>
    </row>
    <row r="8743">
      <c r="A8743" s="2" t="inlineStr">
        <is>
          <t>2026-06-01</t>
        </is>
      </c>
      <c r="B8743" s="3" t="inlineStr">
        <is>
          <t>한국전력공사</t>
        </is>
      </c>
      <c r="C8743" s="2" t="inlineStr">
        <is>
          <t>코스피</t>
        </is>
      </c>
      <c r="D8743" s="2" t="inlineStr">
        <is>
          <t>015760</t>
        </is>
      </c>
      <c r="E8743" s="3" t="inlineStr">
        <is>
          <t xml:space="preserve">기업지배구조보고서공시              </t>
        </is>
      </c>
      <c r="F8743" s="3" t="inlineStr">
        <is>
          <t>한국전력공사</t>
        </is>
      </c>
      <c r="G8743" s="2" t="inlineStr">
        <is>
          <t>20260601800915</t>
        </is>
      </c>
      <c r="H8743" s="8">
        <f>HYPERLINK("https://dart.fss.or.kr/dsaf001/main.do?rcpNo=20260601800915", "공시열람")</f>
        <v/>
      </c>
    </row>
    <row r="8744">
      <c r="A8744" s="2" t="inlineStr">
        <is>
          <t>2026-06-01</t>
        </is>
      </c>
      <c r="B8744" s="3" t="inlineStr">
        <is>
          <t>에스원</t>
        </is>
      </c>
      <c r="C8744" s="2" t="inlineStr">
        <is>
          <t>코스피</t>
        </is>
      </c>
      <c r="D8744" s="2" t="inlineStr">
        <is>
          <t>012750</t>
        </is>
      </c>
      <c r="E8744" s="3" t="inlineStr">
        <is>
          <t xml:space="preserve">기업지배구조보고서공시              </t>
        </is>
      </c>
      <c r="F8744" s="3" t="inlineStr">
        <is>
          <t>에스원</t>
        </is>
      </c>
      <c r="G8744" s="2" t="inlineStr">
        <is>
          <t>20260601800922</t>
        </is>
      </c>
      <c r="H8744" s="8">
        <f>HYPERLINK("https://dart.fss.or.kr/dsaf001/main.do?rcpNo=20260601800922", "공시열람")</f>
        <v/>
      </c>
    </row>
    <row r="8745">
      <c r="A8745" s="2" t="inlineStr">
        <is>
          <t>2026-06-01</t>
        </is>
      </c>
      <c r="B8745" s="3" t="inlineStr">
        <is>
          <t>진양폴리우레탄</t>
        </is>
      </c>
      <c r="C8745" s="2" t="inlineStr">
        <is>
          <t>코스피</t>
        </is>
      </c>
      <c r="D8745" s="2" t="inlineStr">
        <is>
          <t>010640</t>
        </is>
      </c>
      <c r="E8745" s="3" t="inlineStr">
        <is>
          <t xml:space="preserve">기업지배구조보고서공시              </t>
        </is>
      </c>
      <c r="F8745" s="3" t="inlineStr">
        <is>
          <t>진양폴리우레탄</t>
        </is>
      </c>
      <c r="G8745" s="2" t="inlineStr">
        <is>
          <t>20260601800910</t>
        </is>
      </c>
      <c r="H8745" s="8">
        <f>HYPERLINK("https://dart.fss.or.kr/dsaf001/main.do?rcpNo=20260601800910", "공시열람")</f>
        <v/>
      </c>
    </row>
    <row r="8746">
      <c r="A8746" s="2" t="inlineStr">
        <is>
          <t>2026-06-01</t>
        </is>
      </c>
      <c r="B8746" s="3" t="inlineStr">
        <is>
          <t>블루산업개발</t>
        </is>
      </c>
      <c r="C8746" s="2" t="inlineStr">
        <is>
          <t>코스피</t>
        </is>
      </c>
      <c r="D8746" s="2" t="inlineStr">
        <is>
          <t>006740</t>
        </is>
      </c>
      <c r="E8746" s="3" t="inlineStr">
        <is>
          <t xml:space="preserve">기업지배구조보고서공시              </t>
        </is>
      </c>
      <c r="F8746" s="3" t="inlineStr">
        <is>
          <t>블루산업개발</t>
        </is>
      </c>
      <c r="G8746" s="2" t="inlineStr">
        <is>
          <t>20260601800428</t>
        </is>
      </c>
      <c r="H8746" s="8">
        <f>HYPERLINK("https://dart.fss.or.kr/dsaf001/main.do?rcpNo=20260601800428", "공시열람")</f>
        <v/>
      </c>
    </row>
    <row r="8747">
      <c r="A8747" s="2" t="inlineStr">
        <is>
          <t>2026-06-01</t>
        </is>
      </c>
      <c r="B8747" s="3" t="inlineStr">
        <is>
          <t>동일제강</t>
        </is>
      </c>
      <c r="C8747" s="2" t="inlineStr">
        <is>
          <t>코스피</t>
        </is>
      </c>
      <c r="D8747" s="2" t="inlineStr">
        <is>
          <t>002690</t>
        </is>
      </c>
      <c r="E8747" s="3" t="inlineStr">
        <is>
          <t xml:space="preserve">기업지배구조보고서공시              </t>
        </is>
      </c>
      <c r="F8747" s="3" t="inlineStr">
        <is>
          <t>동일제강</t>
        </is>
      </c>
      <c r="G8747" s="2" t="inlineStr">
        <is>
          <t>20260601800884</t>
        </is>
      </c>
      <c r="H8747" s="8">
        <f>HYPERLINK("https://dart.fss.or.kr/dsaf001/main.do?rcpNo=20260601800884", "공시열람")</f>
        <v/>
      </c>
    </row>
    <row r="8748">
      <c r="A8748" s="2" t="inlineStr">
        <is>
          <t>2026-06-01</t>
        </is>
      </c>
      <c r="B8748" s="3" t="inlineStr">
        <is>
          <t>코리아써키트</t>
        </is>
      </c>
      <c r="C8748" s="2" t="inlineStr">
        <is>
          <t>코스피</t>
        </is>
      </c>
      <c r="D8748" s="2" t="inlineStr">
        <is>
          <t>007810</t>
        </is>
      </c>
      <c r="E8748" s="3" t="inlineStr">
        <is>
          <t xml:space="preserve">기업지배구조보고서공시              </t>
        </is>
      </c>
      <c r="F8748" s="3" t="inlineStr">
        <is>
          <t>코리아써키트</t>
        </is>
      </c>
      <c r="G8748" s="2" t="inlineStr">
        <is>
          <t>20260601800900</t>
        </is>
      </c>
      <c r="H8748" s="8">
        <f>HYPERLINK("https://dart.fss.or.kr/dsaf001/main.do?rcpNo=20260601800900", "공시열람")</f>
        <v/>
      </c>
    </row>
    <row r="8749">
      <c r="A8749" s="2" t="inlineStr">
        <is>
          <t>2026-06-01</t>
        </is>
      </c>
      <c r="B8749" s="3" t="inlineStr">
        <is>
          <t>교보증권</t>
        </is>
      </c>
      <c r="C8749" s="2" t="inlineStr">
        <is>
          <t>코스피</t>
        </is>
      </c>
      <c r="D8749" s="2" t="inlineStr">
        <is>
          <t>030610</t>
        </is>
      </c>
      <c r="E8749" s="3" t="inlineStr">
        <is>
          <t>증권발행실적보고서</t>
        </is>
      </c>
      <c r="F8749" s="3" t="inlineStr">
        <is>
          <t>교보증권</t>
        </is>
      </c>
      <c r="G8749" s="2" t="inlineStr">
        <is>
          <t>20260601001094</t>
        </is>
      </c>
      <c r="H8749" s="8">
        <f>HYPERLINK("https://dart.fss.or.kr/dsaf001/main.do?rcpNo=20260601001094", "공시열람")</f>
        <v/>
      </c>
    </row>
    <row r="8750">
      <c r="A8750" s="2" t="inlineStr">
        <is>
          <t>2026-06-01</t>
        </is>
      </c>
      <c r="B8750" s="3" t="inlineStr">
        <is>
          <t>한신공영</t>
        </is>
      </c>
      <c r="C8750" s="2" t="inlineStr">
        <is>
          <t>코스피</t>
        </is>
      </c>
      <c r="D8750" s="2" t="inlineStr">
        <is>
          <t>004960</t>
        </is>
      </c>
      <c r="E8750" s="3" t="inlineStr">
        <is>
          <t xml:space="preserve">기업지배구조보고서공시              </t>
        </is>
      </c>
      <c r="F8750" s="3" t="inlineStr">
        <is>
          <t>한신공영</t>
        </is>
      </c>
      <c r="G8750" s="2" t="inlineStr">
        <is>
          <t>20260601800898</t>
        </is>
      </c>
      <c r="H8750" s="8">
        <f>HYPERLINK("https://dart.fss.or.kr/dsaf001/main.do?rcpNo=20260601800898", "공시열람")</f>
        <v/>
      </c>
    </row>
    <row r="8751">
      <c r="A8751" s="2" t="inlineStr">
        <is>
          <t>2026-06-01 (정정: 2026-06-01)</t>
        </is>
      </c>
      <c r="B8751" s="3" t="inlineStr">
        <is>
          <t>크래프톤</t>
        </is>
      </c>
      <c r="C8751" s="2" t="inlineStr">
        <is>
          <t>코스피</t>
        </is>
      </c>
      <c r="D8751" s="2" t="inlineStr">
        <is>
          <t>259960</t>
        </is>
      </c>
      <c r="E8751" s="3" t="inlineStr">
        <is>
          <t>대규모기업집단현황공시[연1회(동일인용)] (정정: 20260601)</t>
        </is>
      </c>
      <c r="F8751" s="3" t="inlineStr">
        <is>
          <t>장병규</t>
        </is>
      </c>
      <c r="G8751" s="2" t="inlineStr">
        <is>
          <t>20260601000959</t>
        </is>
      </c>
      <c r="H8751" s="8">
        <f>HYPERLINK("https://dart.fss.or.kr/dsaf001/main.do?rcpNo=20260601000959", "공시열람")</f>
        <v/>
      </c>
    </row>
    <row r="8752">
      <c r="A8752" s="2" t="inlineStr">
        <is>
          <t>2026-06-01</t>
        </is>
      </c>
      <c r="B8752" s="3" t="inlineStr">
        <is>
          <t>진양산업</t>
        </is>
      </c>
      <c r="C8752" s="2" t="inlineStr">
        <is>
          <t>코스피</t>
        </is>
      </c>
      <c r="D8752" s="2" t="inlineStr">
        <is>
          <t>003780</t>
        </is>
      </c>
      <c r="E8752" s="3" t="inlineStr">
        <is>
          <t xml:space="preserve">기업지배구조보고서공시              </t>
        </is>
      </c>
      <c r="F8752" s="3" t="inlineStr">
        <is>
          <t>진양산업</t>
        </is>
      </c>
      <c r="G8752" s="2" t="inlineStr">
        <is>
          <t>20260601800877</t>
        </is>
      </c>
      <c r="H8752" s="8">
        <f>HYPERLINK("https://dart.fss.or.kr/dsaf001/main.do?rcpNo=20260601800877", "공시열람")</f>
        <v/>
      </c>
    </row>
    <row r="8753">
      <c r="A8753" s="2" t="inlineStr">
        <is>
          <t>2026-06-01</t>
        </is>
      </c>
      <c r="B8753" s="3" t="inlineStr">
        <is>
          <t>영화금속</t>
        </is>
      </c>
      <c r="C8753" s="2" t="inlineStr">
        <is>
          <t>코스피</t>
        </is>
      </c>
      <c r="D8753" s="2" t="inlineStr">
        <is>
          <t>012280</t>
        </is>
      </c>
      <c r="E8753" s="3" t="inlineStr">
        <is>
          <t xml:space="preserve">기업지배구조보고서공시              </t>
        </is>
      </c>
      <c r="F8753" s="3" t="inlineStr">
        <is>
          <t>영화금속</t>
        </is>
      </c>
      <c r="G8753" s="2" t="inlineStr">
        <is>
          <t>20260601800880</t>
        </is>
      </c>
      <c r="H8753" s="8">
        <f>HYPERLINK("https://dart.fss.or.kr/dsaf001/main.do?rcpNo=20260601800880", "공시열람")</f>
        <v/>
      </c>
    </row>
    <row r="8754">
      <c r="A8754" s="2" t="inlineStr">
        <is>
          <t>2026-06-01</t>
        </is>
      </c>
      <c r="B8754" s="3" t="inlineStr">
        <is>
          <t>동방아그로</t>
        </is>
      </c>
      <c r="C8754" s="2" t="inlineStr">
        <is>
          <t>코스피</t>
        </is>
      </c>
      <c r="D8754" s="2" t="inlineStr">
        <is>
          <t>007590</t>
        </is>
      </c>
      <c r="E8754" s="3" t="inlineStr">
        <is>
          <t xml:space="preserve">기업지배구조보고서공시              </t>
        </is>
      </c>
      <c r="F8754" s="3" t="inlineStr">
        <is>
          <t>동방아그로</t>
        </is>
      </c>
      <c r="G8754" s="2" t="inlineStr">
        <is>
          <t>20260601800901</t>
        </is>
      </c>
      <c r="H8754" s="8">
        <f>HYPERLINK("https://dart.fss.or.kr/dsaf001/main.do?rcpNo=20260601800901", "공시열람")</f>
        <v/>
      </c>
    </row>
    <row r="8755">
      <c r="A8755" s="2" t="inlineStr">
        <is>
          <t>2026-06-01</t>
        </is>
      </c>
      <c r="B8755" s="3" t="inlineStr">
        <is>
          <t>에코볼트</t>
        </is>
      </c>
      <c r="C8755" s="2" t="inlineStr">
        <is>
          <t>코스닥</t>
        </is>
      </c>
      <c r="D8755" s="2" t="inlineStr">
        <is>
          <t>097780</t>
        </is>
      </c>
      <c r="E8755" s="3" t="inlineStr">
        <is>
          <t>임원ㆍ주요주주특정증권등소유상황보고서</t>
        </is>
      </c>
      <c r="F8755" s="3" t="inlineStr">
        <is>
          <t>오성첨단소재</t>
        </is>
      </c>
      <c r="G8755" s="2" t="inlineStr">
        <is>
          <t>20260601001083</t>
        </is>
      </c>
      <c r="H8755" s="8">
        <f>HYPERLINK("https://dart.fss.or.kr/dsaf001/main.do?rcpNo=20260601001083", "공시열람")</f>
        <v/>
      </c>
    </row>
    <row r="8756">
      <c r="A8756" s="2" t="inlineStr">
        <is>
          <t>2026-06-01</t>
        </is>
      </c>
      <c r="B8756" s="3" t="inlineStr">
        <is>
          <t>하이젠알앤엠</t>
        </is>
      </c>
      <c r="C8756" s="2" t="inlineStr">
        <is>
          <t>코스닥</t>
        </is>
      </c>
      <c r="D8756" s="2" t="inlineStr">
        <is>
          <t>160190</t>
        </is>
      </c>
      <c r="E8756" s="3" t="inlineStr">
        <is>
          <t>임원ㆍ주요주주특정증권등소유상황보고서</t>
        </is>
      </c>
      <c r="F8756" s="3" t="inlineStr">
        <is>
          <t>일신방직</t>
        </is>
      </c>
      <c r="G8756" s="2" t="inlineStr">
        <is>
          <t>20260601001080</t>
        </is>
      </c>
      <c r="H8756" s="8">
        <f>HYPERLINK("https://dart.fss.or.kr/dsaf001/main.do?rcpNo=20260601001080", "공시열람")</f>
        <v/>
      </c>
    </row>
    <row r="8757">
      <c r="A8757" s="2" t="inlineStr">
        <is>
          <t>2026-06-01</t>
        </is>
      </c>
      <c r="B8757" s="3" t="inlineStr">
        <is>
          <t>대상</t>
        </is>
      </c>
      <c r="C8757" s="2" t="inlineStr">
        <is>
          <t>코스피</t>
        </is>
      </c>
      <c r="D8757" s="2" t="inlineStr">
        <is>
          <t>001680</t>
        </is>
      </c>
      <c r="E8757" s="3" t="inlineStr">
        <is>
          <t xml:space="preserve">기업지배구조보고서공시              </t>
        </is>
      </c>
      <c r="F8757" s="3" t="inlineStr">
        <is>
          <t>대상</t>
        </is>
      </c>
      <c r="G8757" s="2" t="inlineStr">
        <is>
          <t>20260601800888</t>
        </is>
      </c>
      <c r="H8757" s="8">
        <f>HYPERLINK("https://dart.fss.or.kr/dsaf001/main.do?rcpNo=20260601800888", "공시열람")</f>
        <v/>
      </c>
    </row>
    <row r="8758">
      <c r="A8758" s="2" t="inlineStr">
        <is>
          <t>2026-06-01</t>
        </is>
      </c>
      <c r="B8758" s="3" t="inlineStr">
        <is>
          <t>일성아이에스</t>
        </is>
      </c>
      <c r="C8758" s="2" t="inlineStr">
        <is>
          <t>코스피</t>
        </is>
      </c>
      <c r="D8758" s="2" t="inlineStr">
        <is>
          <t>003120</t>
        </is>
      </c>
      <c r="E8758" s="3" t="inlineStr">
        <is>
          <t xml:space="preserve">기업지배구조보고서공시              </t>
        </is>
      </c>
      <c r="F8758" s="3" t="inlineStr">
        <is>
          <t>일성아이에스</t>
        </is>
      </c>
      <c r="G8758" s="2" t="inlineStr">
        <is>
          <t>20260601800887</t>
        </is>
      </c>
      <c r="H8758" s="8">
        <f>HYPERLINK("https://dart.fss.or.kr/dsaf001/main.do?rcpNo=20260601800887", "공시열람")</f>
        <v/>
      </c>
    </row>
    <row r="8759">
      <c r="A8759" s="2" t="inlineStr">
        <is>
          <t>2026-06-01</t>
        </is>
      </c>
      <c r="B8759" s="3" t="inlineStr">
        <is>
          <t>레이언스</t>
        </is>
      </c>
      <c r="C8759" s="2" t="inlineStr">
        <is>
          <t>코스닥</t>
        </is>
      </c>
      <c r="D8759" s="2" t="inlineStr">
        <is>
          <t>228850</t>
        </is>
      </c>
      <c r="E8759" s="3" t="inlineStr">
        <is>
          <t xml:space="preserve">대표이사변경              </t>
        </is>
      </c>
      <c r="F8759" s="3" t="inlineStr">
        <is>
          <t>레이언스</t>
        </is>
      </c>
      <c r="G8759" s="2" t="inlineStr">
        <is>
          <t>20260601900843</t>
        </is>
      </c>
      <c r="H8759" s="8">
        <f>HYPERLINK("https://dart.fss.or.kr/dsaf001/main.do?rcpNo=20260601900843", "공시열람")</f>
        <v/>
      </c>
    </row>
    <row r="8760">
      <c r="A8760" s="2" t="inlineStr">
        <is>
          <t>2026-06-01</t>
        </is>
      </c>
      <c r="B8760" s="3" t="inlineStr">
        <is>
          <t>신라교역</t>
        </is>
      </c>
      <c r="C8760" s="2" t="inlineStr">
        <is>
          <t>코스피</t>
        </is>
      </c>
      <c r="D8760" s="2" t="inlineStr">
        <is>
          <t>004970</t>
        </is>
      </c>
      <c r="E8760" s="3" t="inlineStr">
        <is>
          <t xml:space="preserve">기업지배구조보고서공시              </t>
        </is>
      </c>
      <c r="F8760" s="3" t="inlineStr">
        <is>
          <t>신라교역</t>
        </is>
      </c>
      <c r="G8760" s="2" t="inlineStr">
        <is>
          <t>20260601800362</t>
        </is>
      </c>
      <c r="H8760" s="8">
        <f>HYPERLINK("https://dart.fss.or.kr/dsaf001/main.do?rcpNo=20260601800362", "공시열람")</f>
        <v/>
      </c>
    </row>
    <row r="8761">
      <c r="A8761" s="2" t="inlineStr">
        <is>
          <t>2026-06-01</t>
        </is>
      </c>
      <c r="B8761" s="3" t="inlineStr">
        <is>
          <t>에스엘</t>
        </is>
      </c>
      <c r="C8761" s="2" t="inlineStr">
        <is>
          <t>코스피</t>
        </is>
      </c>
      <c r="D8761" s="2" t="inlineStr">
        <is>
          <t>005850</t>
        </is>
      </c>
      <c r="E8761" s="3" t="inlineStr">
        <is>
          <t xml:space="preserve">기업지배구조보고서공시              </t>
        </is>
      </c>
      <c r="F8761" s="3" t="inlineStr">
        <is>
          <t>에스엘</t>
        </is>
      </c>
      <c r="G8761" s="2" t="inlineStr">
        <is>
          <t>20260601800866</t>
        </is>
      </c>
      <c r="H8761" s="8">
        <f>HYPERLINK("https://dart.fss.or.kr/dsaf001/main.do?rcpNo=20260601800866", "공시열람")</f>
        <v/>
      </c>
    </row>
    <row r="8762">
      <c r="A8762" s="2" t="inlineStr">
        <is>
          <t>2026-06-01</t>
        </is>
      </c>
      <c r="B8762" s="3" t="inlineStr">
        <is>
          <t>GS글로벌</t>
        </is>
      </c>
      <c r="C8762" s="2" t="inlineStr">
        <is>
          <t>코스피</t>
        </is>
      </c>
      <c r="D8762" s="2" t="inlineStr">
        <is>
          <t>001250</t>
        </is>
      </c>
      <c r="E8762" s="3" t="inlineStr">
        <is>
          <t>대규모기업집단현황공시[연1회공시및1/4분기용(개별회사)]</t>
        </is>
      </c>
      <c r="F8762" s="3" t="inlineStr">
        <is>
          <t>GS글로벌</t>
        </is>
      </c>
      <c r="G8762" s="2" t="inlineStr">
        <is>
          <t>20260601001065</t>
        </is>
      </c>
      <c r="H8762" s="8">
        <f>HYPERLINK("https://dart.fss.or.kr/dsaf001/main.do?rcpNo=20260601001065", "공시열람")</f>
        <v/>
      </c>
    </row>
    <row r="8763">
      <c r="A8763" s="2" t="inlineStr">
        <is>
          <t>2026-06-01</t>
        </is>
      </c>
      <c r="B8763" s="3" t="inlineStr">
        <is>
          <t>교보증권</t>
        </is>
      </c>
      <c r="C8763" s="2" t="inlineStr">
        <is>
          <t>코스피</t>
        </is>
      </c>
      <c r="D8763" s="2" t="inlineStr">
        <is>
          <t>030610</t>
        </is>
      </c>
      <c r="E8763" s="3" t="inlineStr">
        <is>
          <t>증권발행실적보고서</t>
        </is>
      </c>
      <c r="F8763" s="3" t="inlineStr">
        <is>
          <t>교보증권</t>
        </is>
      </c>
      <c r="G8763" s="2" t="inlineStr">
        <is>
          <t>20260601001064</t>
        </is>
      </c>
      <c r="H8763" s="8">
        <f>HYPERLINK("https://dart.fss.or.kr/dsaf001/main.do?rcpNo=20260601001064", "공시열람")</f>
        <v/>
      </c>
    </row>
    <row r="8764">
      <c r="A8764" s="2" t="inlineStr">
        <is>
          <t>2026-06-01</t>
        </is>
      </c>
      <c r="B8764" s="3" t="inlineStr">
        <is>
          <t>엑사이엔씨</t>
        </is>
      </c>
      <c r="C8764" s="2" t="inlineStr">
        <is>
          <t>코스닥</t>
        </is>
      </c>
      <c r="D8764" s="2" t="inlineStr">
        <is>
          <t>054940</t>
        </is>
      </c>
      <c r="E8764" s="3" t="inlineStr">
        <is>
          <t xml:space="preserve">주주명부폐쇄기간또는기준일설정              </t>
        </is>
      </c>
      <c r="F8764" s="3" t="inlineStr">
        <is>
          <t>엑사이엔씨</t>
        </is>
      </c>
      <c r="G8764" s="2" t="inlineStr">
        <is>
          <t>20260601900872</t>
        </is>
      </c>
      <c r="H8764" s="8">
        <f>HYPERLINK("https://dart.fss.or.kr/dsaf001/main.do?rcpNo=20260601900872", "공시열람")</f>
        <v/>
      </c>
    </row>
    <row r="8765">
      <c r="A8765" s="2" t="inlineStr">
        <is>
          <t>2026-06-01</t>
        </is>
      </c>
      <c r="B8765" s="3" t="inlineStr">
        <is>
          <t>신한글로벌액티브리츠</t>
        </is>
      </c>
      <c r="C8765" s="2" t="inlineStr">
        <is>
          <t>코스피</t>
        </is>
      </c>
      <c r="D8765" s="2" t="inlineStr">
        <is>
          <t>481850</t>
        </is>
      </c>
      <c r="E8765" s="3" t="inlineStr">
        <is>
          <t xml:space="preserve">기업지배구조보고서공시              </t>
        </is>
      </c>
      <c r="F8765" s="3" t="inlineStr">
        <is>
          <t>신한글로벌액티브리츠</t>
        </is>
      </c>
      <c r="G8765" s="2" t="inlineStr">
        <is>
          <t>20260601800868</t>
        </is>
      </c>
      <c r="H8765" s="8">
        <f>HYPERLINK("https://dart.fss.or.kr/dsaf001/main.do?rcpNo=20260601800868", "공시열람")</f>
        <v/>
      </c>
    </row>
    <row r="8766">
      <c r="A8766" s="2" t="inlineStr">
        <is>
          <t>2026-06-01</t>
        </is>
      </c>
      <c r="B8766" s="3" t="inlineStr">
        <is>
          <t>가온전선</t>
        </is>
      </c>
      <c r="C8766" s="2" t="inlineStr">
        <is>
          <t>코스피</t>
        </is>
      </c>
      <c r="D8766" s="2" t="inlineStr">
        <is>
          <t>000500</t>
        </is>
      </c>
      <c r="E8766" s="3" t="inlineStr">
        <is>
          <t>임원ㆍ주요주주특정증권등소유상황보고서</t>
        </is>
      </c>
      <c r="F8766" s="3" t="inlineStr">
        <is>
          <t>정현</t>
        </is>
      </c>
      <c r="G8766" s="2" t="inlineStr">
        <is>
          <t>20260601001051</t>
        </is>
      </c>
      <c r="H8766" s="8">
        <f>HYPERLINK("https://dart.fss.or.kr/dsaf001/main.do?rcpNo=20260601001051", "공시열람")</f>
        <v/>
      </c>
    </row>
    <row r="8767">
      <c r="A8767" s="2" t="inlineStr">
        <is>
          <t>2026-06-01</t>
        </is>
      </c>
      <c r="B8767" s="3" t="inlineStr">
        <is>
          <t>고려아연</t>
        </is>
      </c>
      <c r="C8767" s="2" t="inlineStr">
        <is>
          <t>코스피</t>
        </is>
      </c>
      <c r="D8767" s="2" t="inlineStr">
        <is>
          <t>010130</t>
        </is>
      </c>
      <c r="E8767" s="3" t="inlineStr">
        <is>
          <t>대규모기업집단현황공시[연1회공시및1/4분기용(개별회사)]</t>
        </is>
      </c>
      <c r="F8767" s="3" t="inlineStr">
        <is>
          <t>고려아연</t>
        </is>
      </c>
      <c r="G8767" s="2" t="inlineStr">
        <is>
          <t>20260601001046</t>
        </is>
      </c>
      <c r="H8767" s="8">
        <f>HYPERLINK("https://dart.fss.or.kr/dsaf001/main.do?rcpNo=20260601001046", "공시열람")</f>
        <v/>
      </c>
    </row>
    <row r="8768">
      <c r="A8768" s="2" t="inlineStr">
        <is>
          <t>2026-06-01</t>
        </is>
      </c>
      <c r="B8768" s="3" t="inlineStr">
        <is>
          <t>바이오프로테크</t>
        </is>
      </c>
      <c r="C8768" s="2" t="inlineStr">
        <is>
          <t>코넥스</t>
        </is>
      </c>
      <c r="D8768" s="2" t="inlineStr">
        <is>
          <t>199290</t>
        </is>
      </c>
      <c r="E8768" s="3" t="inlineStr">
        <is>
          <t xml:space="preserve">기업설명회(IR)개최              </t>
        </is>
      </c>
      <c r="F8768" s="3" t="inlineStr">
        <is>
          <t>바이오프로테크</t>
        </is>
      </c>
      <c r="G8768" s="2" t="inlineStr">
        <is>
          <t>20260601600860</t>
        </is>
      </c>
      <c r="H8768" s="8">
        <f>HYPERLINK("https://dart.fss.or.kr/dsaf001/main.do?rcpNo=20260601600860", "공시열람")</f>
        <v/>
      </c>
    </row>
    <row r="8769">
      <c r="A8769" s="2" t="inlineStr">
        <is>
          <t>2026-06-01</t>
        </is>
      </c>
      <c r="B8769" s="3" t="inlineStr">
        <is>
          <t>TCC스틸</t>
        </is>
      </c>
      <c r="C8769" s="2" t="inlineStr">
        <is>
          <t>코스피</t>
        </is>
      </c>
      <c r="D8769" s="2" t="inlineStr">
        <is>
          <t>002710</t>
        </is>
      </c>
      <c r="E8769" s="3" t="inlineStr">
        <is>
          <t xml:space="preserve">기업지배구조보고서공시              </t>
        </is>
      </c>
      <c r="F8769" s="3" t="inlineStr">
        <is>
          <t>TCC스틸</t>
        </is>
      </c>
      <c r="G8769" s="2" t="inlineStr">
        <is>
          <t>20260601800859</t>
        </is>
      </c>
      <c r="H8769" s="8">
        <f>HYPERLINK("https://dart.fss.or.kr/dsaf001/main.do?rcpNo=20260601800859", "공시열람")</f>
        <v/>
      </c>
    </row>
    <row r="8770">
      <c r="A8770" s="2" t="inlineStr">
        <is>
          <t>2026-06-01</t>
        </is>
      </c>
      <c r="B8770" s="3" t="inlineStr">
        <is>
          <t>진양화학</t>
        </is>
      </c>
      <c r="C8770" s="2" t="inlineStr">
        <is>
          <t>코스피</t>
        </is>
      </c>
      <c r="D8770" s="2" t="inlineStr">
        <is>
          <t>051630</t>
        </is>
      </c>
      <c r="E8770" s="3" t="inlineStr">
        <is>
          <t xml:space="preserve">기업지배구조보고서공시              </t>
        </is>
      </c>
      <c r="F8770" s="3" t="inlineStr">
        <is>
          <t>진양화학</t>
        </is>
      </c>
      <c r="G8770" s="2" t="inlineStr">
        <is>
          <t>20260601800853</t>
        </is>
      </c>
      <c r="H8770" s="8">
        <f>HYPERLINK("https://dart.fss.or.kr/dsaf001/main.do?rcpNo=20260601800853", "공시열람")</f>
        <v/>
      </c>
    </row>
    <row r="8771">
      <c r="A8771" s="2" t="inlineStr">
        <is>
          <t>2026-06-01</t>
        </is>
      </c>
      <c r="B8771" s="3" t="inlineStr">
        <is>
          <t>LS에코에너지</t>
        </is>
      </c>
      <c r="C8771" s="2" t="inlineStr">
        <is>
          <t>코스피</t>
        </is>
      </c>
      <c r="D8771" s="2" t="inlineStr">
        <is>
          <t>229640</t>
        </is>
      </c>
      <c r="E8771" s="3" t="inlineStr">
        <is>
          <t>대규모기업집단현황공시[연1회공시및1/4분기용(개별회사)]</t>
        </is>
      </c>
      <c r="F8771" s="3" t="inlineStr">
        <is>
          <t>LS에코에너지</t>
        </is>
      </c>
      <c r="G8771" s="2" t="inlineStr">
        <is>
          <t>20260601001031</t>
        </is>
      </c>
      <c r="H8771" s="8">
        <f>HYPERLINK("https://dart.fss.or.kr/dsaf001/main.do?rcpNo=20260601001031", "공시열람")</f>
        <v/>
      </c>
    </row>
    <row r="8772">
      <c r="A8772" s="2" t="inlineStr">
        <is>
          <t>2026-06-01</t>
        </is>
      </c>
      <c r="B8772" s="3" t="inlineStr">
        <is>
          <t>옵트론텍</t>
        </is>
      </c>
      <c r="C8772" s="2" t="inlineStr">
        <is>
          <t>코스닥</t>
        </is>
      </c>
      <c r="D8772" s="2" t="inlineStr">
        <is>
          <t>082210</t>
        </is>
      </c>
      <c r="E8772" s="3" t="inlineStr">
        <is>
          <t>전환사채(해외전환사채포함)발행후만기전사채취득              (제15회차)</t>
        </is>
      </c>
      <c r="F8772" s="3" t="inlineStr">
        <is>
          <t>옵트론텍</t>
        </is>
      </c>
      <c r="G8772" s="2" t="inlineStr">
        <is>
          <t>20260601900780</t>
        </is>
      </c>
      <c r="H8772" s="8">
        <f>HYPERLINK("https://dart.fss.or.kr/dsaf001/main.do?rcpNo=20260601900780", "공시열람")</f>
        <v/>
      </c>
    </row>
    <row r="8773">
      <c r="A8773" s="2" t="inlineStr">
        <is>
          <t>2026-06-01</t>
        </is>
      </c>
      <c r="B8773" s="3" t="inlineStr">
        <is>
          <t>이엠티</t>
        </is>
      </c>
      <c r="C8773" s="2" t="inlineStr">
        <is>
          <t>코넥스</t>
        </is>
      </c>
      <c r="D8773" s="2" t="inlineStr">
        <is>
          <t>232530</t>
        </is>
      </c>
      <c r="E8773" s="3" t="inlineStr">
        <is>
          <t xml:space="preserve">기업설명회(IR)개최              </t>
        </is>
      </c>
      <c r="F8773" s="3" t="inlineStr">
        <is>
          <t>이엠티</t>
        </is>
      </c>
      <c r="G8773" s="2" t="inlineStr">
        <is>
          <t>20260601600827</t>
        </is>
      </c>
      <c r="H8773" s="8">
        <f>HYPERLINK("https://dart.fss.or.kr/dsaf001/main.do?rcpNo=20260601600827", "공시열람")</f>
        <v/>
      </c>
    </row>
    <row r="8774">
      <c r="A8774" s="2" t="inlineStr">
        <is>
          <t>2026-06-01</t>
        </is>
      </c>
      <c r="B8774" s="3" t="inlineStr">
        <is>
          <t>교보증권</t>
        </is>
      </c>
      <c r="C8774" s="2" t="inlineStr">
        <is>
          <t>코스피</t>
        </is>
      </c>
      <c r="D8774" s="2" t="inlineStr">
        <is>
          <t>030610</t>
        </is>
      </c>
      <c r="E8774" s="3" t="inlineStr">
        <is>
          <t>증권발행실적보고서</t>
        </is>
      </c>
      <c r="F8774" s="3" t="inlineStr">
        <is>
          <t>교보증권</t>
        </is>
      </c>
      <c r="G8774" s="2" t="inlineStr">
        <is>
          <t>20260601001029</t>
        </is>
      </c>
      <c r="H8774" s="8">
        <f>HYPERLINK("https://dart.fss.or.kr/dsaf001/main.do?rcpNo=20260601001029", "공시열람")</f>
        <v/>
      </c>
    </row>
    <row r="8775">
      <c r="A8775" s="2" t="inlineStr">
        <is>
          <t>2026-06-01</t>
        </is>
      </c>
      <c r="B8775" s="3" t="inlineStr">
        <is>
          <t>와이즈버즈</t>
        </is>
      </c>
      <c r="C8775" s="2" t="inlineStr">
        <is>
          <t>코스닥</t>
        </is>
      </c>
      <c r="D8775" s="2" t="inlineStr">
        <is>
          <t>273060</t>
        </is>
      </c>
      <c r="E8775" s="3" t="inlineStr">
        <is>
          <t>대규모기업집단현황공시[연1회공시및1/4분기용(개별회사)]</t>
        </is>
      </c>
      <c r="F8775" s="3" t="inlineStr">
        <is>
          <t>와이즈버즈</t>
        </is>
      </c>
      <c r="G8775" s="2" t="inlineStr">
        <is>
          <t>20260601001026</t>
        </is>
      </c>
      <c r="H8775" s="8">
        <f>HYPERLINK("https://dart.fss.or.kr/dsaf001/main.do?rcpNo=20260601001026", "공시열람")</f>
        <v/>
      </c>
    </row>
    <row r="8776">
      <c r="A8776" s="2" t="inlineStr">
        <is>
          <t>2026-06-01</t>
        </is>
      </c>
      <c r="B8776" s="3" t="inlineStr">
        <is>
          <t>동인기연</t>
        </is>
      </c>
      <c r="C8776" s="2" t="inlineStr">
        <is>
          <t>코스피</t>
        </is>
      </c>
      <c r="D8776" s="2" t="inlineStr">
        <is>
          <t>111380</t>
        </is>
      </c>
      <c r="E8776" s="3" t="inlineStr">
        <is>
          <t xml:space="preserve">기업지배구조보고서공시              </t>
        </is>
      </c>
      <c r="F8776" s="3" t="inlineStr">
        <is>
          <t>동인기연</t>
        </is>
      </c>
      <c r="G8776" s="2" t="inlineStr">
        <is>
          <t>20260601800846</t>
        </is>
      </c>
      <c r="H8776" s="8">
        <f>HYPERLINK("https://dart.fss.or.kr/dsaf001/main.do?rcpNo=20260601800846", "공시열람")</f>
        <v/>
      </c>
    </row>
    <row r="8777">
      <c r="A8777" s="2" t="inlineStr">
        <is>
          <t>2026-06-01</t>
        </is>
      </c>
      <c r="B8777" s="3" t="inlineStr">
        <is>
          <t>HDC</t>
        </is>
      </c>
      <c r="C8777" s="2" t="inlineStr">
        <is>
          <t>코스피</t>
        </is>
      </c>
      <c r="D8777" s="2" t="inlineStr">
        <is>
          <t>012630</t>
        </is>
      </c>
      <c r="E8777" s="3" t="inlineStr">
        <is>
          <t xml:space="preserve">기업지배구조보고서공시              </t>
        </is>
      </c>
      <c r="F8777" s="3" t="inlineStr">
        <is>
          <t>HDC</t>
        </is>
      </c>
      <c r="G8777" s="2" t="inlineStr">
        <is>
          <t>20260601800829</t>
        </is>
      </c>
      <c r="H8777" s="8">
        <f>HYPERLINK("https://dart.fss.or.kr/dsaf001/main.do?rcpNo=20260601800829", "공시열람")</f>
        <v/>
      </c>
    </row>
    <row r="8778">
      <c r="A8778" s="2" t="inlineStr">
        <is>
          <t>2026-06-01</t>
        </is>
      </c>
      <c r="B8778" s="3" t="inlineStr">
        <is>
          <t>삼일씨엔에스</t>
        </is>
      </c>
      <c r="C8778" s="2" t="inlineStr">
        <is>
          <t>코스피</t>
        </is>
      </c>
      <c r="D8778" s="2" t="inlineStr">
        <is>
          <t>004440</t>
        </is>
      </c>
      <c r="E8778" s="3" t="inlineStr">
        <is>
          <t xml:space="preserve">기업지배구조보고서공시              </t>
        </is>
      </c>
      <c r="F8778" s="3" t="inlineStr">
        <is>
          <t>삼일씨엔에스</t>
        </is>
      </c>
      <c r="G8778" s="2" t="inlineStr">
        <is>
          <t>20260601800838</t>
        </is>
      </c>
      <c r="H8778" s="8">
        <f>HYPERLINK("https://dart.fss.or.kr/dsaf001/main.do?rcpNo=20260601800838", "공시열람")</f>
        <v/>
      </c>
    </row>
    <row r="8779">
      <c r="A8779" s="2" t="inlineStr">
        <is>
          <t>2026-06-01</t>
        </is>
      </c>
      <c r="B8779" s="3" t="inlineStr">
        <is>
          <t>크래프톤</t>
        </is>
      </c>
      <c r="C8779" s="2" t="inlineStr">
        <is>
          <t>코스피</t>
        </is>
      </c>
      <c r="D8779" s="2" t="inlineStr">
        <is>
          <t>259960</t>
        </is>
      </c>
      <c r="E8779" s="3" t="inlineStr">
        <is>
          <t xml:space="preserve">기업지배구조보고서공시              </t>
        </is>
      </c>
      <c r="F8779" s="3" t="inlineStr">
        <is>
          <t>크래프톤</t>
        </is>
      </c>
      <c r="G8779" s="2" t="inlineStr">
        <is>
          <t>20260601800831</t>
        </is>
      </c>
      <c r="H8779" s="8">
        <f>HYPERLINK("https://dart.fss.or.kr/dsaf001/main.do?rcpNo=20260601800831", "공시열람")</f>
        <v/>
      </c>
    </row>
    <row r="8780">
      <c r="A8780" s="2" t="inlineStr">
        <is>
          <t>2026-06-01</t>
        </is>
      </c>
      <c r="B8780" s="3" t="inlineStr">
        <is>
          <t>LG에너지솔루션</t>
        </is>
      </c>
      <c r="C8780" s="2" t="inlineStr">
        <is>
          <t>코스피</t>
        </is>
      </c>
      <c r="D8780" s="2" t="inlineStr">
        <is>
          <t>373220</t>
        </is>
      </c>
      <c r="E8780" s="3" t="inlineStr">
        <is>
          <t xml:space="preserve">기업지배구조보고서공시              </t>
        </is>
      </c>
      <c r="F8780" s="3" t="inlineStr">
        <is>
          <t>LG에너지솔루션</t>
        </is>
      </c>
      <c r="G8780" s="2" t="inlineStr">
        <is>
          <t>20260601800822</t>
        </is>
      </c>
      <c r="H8780" s="8">
        <f>HYPERLINK("https://dart.fss.or.kr/dsaf001/main.do?rcpNo=20260601800822", "공시열람")</f>
        <v/>
      </c>
    </row>
    <row r="8781">
      <c r="A8781" s="2" t="inlineStr">
        <is>
          <t>2026-06-01</t>
        </is>
      </c>
      <c r="B8781" s="3" t="inlineStr">
        <is>
          <t>일정실업</t>
        </is>
      </c>
      <c r="C8781" s="2" t="inlineStr">
        <is>
          <t>코스피</t>
        </is>
      </c>
      <c r="D8781" s="2" t="inlineStr">
        <is>
          <t>008500</t>
        </is>
      </c>
      <c r="E8781" s="3" t="inlineStr">
        <is>
          <t xml:space="preserve">기업가치제고계획예고(안내공시)              </t>
        </is>
      </c>
      <c r="F8781" s="3" t="inlineStr">
        <is>
          <t>일정실업</t>
        </is>
      </c>
      <c r="G8781" s="2" t="inlineStr">
        <is>
          <t>20260601800832</t>
        </is>
      </c>
      <c r="H8781" s="8">
        <f>HYPERLINK("https://dart.fss.or.kr/dsaf001/main.do?rcpNo=20260601800832", "공시열람")</f>
        <v/>
      </c>
    </row>
    <row r="8782">
      <c r="A8782" s="2" t="inlineStr">
        <is>
          <t>2026-06-01</t>
        </is>
      </c>
      <c r="B8782" s="3" t="inlineStr">
        <is>
          <t>신세계I&amp;C</t>
        </is>
      </c>
      <c r="C8782" s="2" t="inlineStr">
        <is>
          <t>코스피</t>
        </is>
      </c>
      <c r="D8782" s="2" t="inlineStr">
        <is>
          <t>035510</t>
        </is>
      </c>
      <c r="E8782" s="3" t="inlineStr">
        <is>
          <t>대규모기업집단현황공시[연1회공시및1/4분기용(개별회사)]</t>
        </is>
      </c>
      <c r="F8782" s="3" t="inlineStr">
        <is>
          <t>신세계I&amp;C</t>
        </is>
      </c>
      <c r="G8782" s="2" t="inlineStr">
        <is>
          <t>20260601001012</t>
        </is>
      </c>
      <c r="H8782" s="8">
        <f>HYPERLINK("https://dart.fss.or.kr/dsaf001/main.do?rcpNo=20260601001012", "공시열람")</f>
        <v/>
      </c>
    </row>
    <row r="8783">
      <c r="A8783" s="2" t="inlineStr">
        <is>
          <t>2026-06-01</t>
        </is>
      </c>
      <c r="B8783" s="3" t="inlineStr">
        <is>
          <t>한국종합기술</t>
        </is>
      </c>
      <c r="C8783" s="2" t="inlineStr">
        <is>
          <t>코스피</t>
        </is>
      </c>
      <c r="D8783" s="2" t="inlineStr">
        <is>
          <t>023350</t>
        </is>
      </c>
      <c r="E8783" s="3" t="inlineStr">
        <is>
          <t xml:space="preserve">기업지배구조보고서공시              </t>
        </is>
      </c>
      <c r="F8783" s="3" t="inlineStr">
        <is>
          <t>한국종합기술</t>
        </is>
      </c>
      <c r="G8783" s="2" t="inlineStr">
        <is>
          <t>20260601800836</t>
        </is>
      </c>
      <c r="H8783" s="8">
        <f>HYPERLINK("https://dart.fss.or.kr/dsaf001/main.do?rcpNo=20260601800836", "공시열람")</f>
        <v/>
      </c>
    </row>
    <row r="8784">
      <c r="A8784" s="2" t="inlineStr">
        <is>
          <t>2026-06-01</t>
        </is>
      </c>
      <c r="B8784" s="3" t="inlineStr">
        <is>
          <t>미원홀딩스</t>
        </is>
      </c>
      <c r="C8784" s="2" t="inlineStr">
        <is>
          <t>코스피</t>
        </is>
      </c>
      <c r="D8784" s="2" t="inlineStr">
        <is>
          <t>107590</t>
        </is>
      </c>
      <c r="E8784" s="3" t="inlineStr">
        <is>
          <t xml:space="preserve">기업지배구조보고서공시              </t>
        </is>
      </c>
      <c r="F8784" s="3" t="inlineStr">
        <is>
          <t>미원홀딩스</t>
        </is>
      </c>
      <c r="G8784" s="2" t="inlineStr">
        <is>
          <t>20260601800824</t>
        </is>
      </c>
      <c r="H8784" s="8">
        <f>HYPERLINK("https://dart.fss.or.kr/dsaf001/main.do?rcpNo=20260601800824", "공시열람")</f>
        <v/>
      </c>
    </row>
    <row r="8785">
      <c r="A8785" s="2" t="inlineStr">
        <is>
          <t>2026-06-01</t>
        </is>
      </c>
      <c r="B8785" s="3" t="inlineStr">
        <is>
          <t>삼성에피스홀딩스</t>
        </is>
      </c>
      <c r="C8785" s="2" t="inlineStr">
        <is>
          <t>코스피</t>
        </is>
      </c>
      <c r="D8785" s="2" t="inlineStr">
        <is>
          <t>0126Z0</t>
        </is>
      </c>
      <c r="E8785" s="3" t="inlineStr">
        <is>
          <t>대규모기업집단현황공시[연1회공시및1/4분기용(개별회사)]</t>
        </is>
      </c>
      <c r="F8785" s="3" t="inlineStr">
        <is>
          <t>삼성에피스홀딩스</t>
        </is>
      </c>
      <c r="G8785" s="2" t="inlineStr">
        <is>
          <t>20260601000979</t>
        </is>
      </c>
      <c r="H8785" s="8">
        <f>HYPERLINK("https://dart.fss.or.kr/dsaf001/main.do?rcpNo=20260601000979", "공시열람")</f>
        <v/>
      </c>
    </row>
    <row r="8786">
      <c r="A8786" s="2" t="inlineStr">
        <is>
          <t>2026-06-01</t>
        </is>
      </c>
      <c r="B8786" s="3" t="inlineStr">
        <is>
          <t>모다이노칩</t>
        </is>
      </c>
      <c r="C8786" s="2" t="inlineStr">
        <is>
          <t>코스닥</t>
        </is>
      </c>
      <c r="D8786" s="2" t="inlineStr">
        <is>
          <t>080420</t>
        </is>
      </c>
      <c r="E8786" s="3" t="inlineStr">
        <is>
          <t>대규모기업집단현황공시[연1회공시및1/4분기용(개별회사)]</t>
        </is>
      </c>
      <c r="F8786" s="3" t="inlineStr">
        <is>
          <t>모다이노칩</t>
        </is>
      </c>
      <c r="G8786" s="2" t="inlineStr">
        <is>
          <t>20260601000977</t>
        </is>
      </c>
      <c r="H8786" s="8">
        <f>HYPERLINK("https://dart.fss.or.kr/dsaf001/main.do?rcpNo=20260601000977", "공시열람")</f>
        <v/>
      </c>
    </row>
    <row r="8787">
      <c r="A8787" s="2" t="inlineStr">
        <is>
          <t>2026-06-01</t>
        </is>
      </c>
      <c r="B8787" s="3" t="inlineStr">
        <is>
          <t>아세아</t>
        </is>
      </c>
      <c r="C8787" s="2" t="inlineStr">
        <is>
          <t>코스피</t>
        </is>
      </c>
      <c r="D8787" s="2" t="inlineStr">
        <is>
          <t>002030</t>
        </is>
      </c>
      <c r="E8787" s="3" t="inlineStr">
        <is>
          <t xml:space="preserve">기업지배구조보고서공시              </t>
        </is>
      </c>
      <c r="F8787" s="3" t="inlineStr">
        <is>
          <t>아세아</t>
        </is>
      </c>
      <c r="G8787" s="2" t="inlineStr">
        <is>
          <t>20260601800784</t>
        </is>
      </c>
      <c r="H8787" s="8">
        <f>HYPERLINK("https://dart.fss.or.kr/dsaf001/main.do?rcpNo=20260601800784", "공시열람")</f>
        <v/>
      </c>
    </row>
    <row r="8788">
      <c r="A8788" s="2" t="inlineStr">
        <is>
          <t>2026-06-01</t>
        </is>
      </c>
      <c r="B8788" s="3" t="inlineStr">
        <is>
          <t>현대제철</t>
        </is>
      </c>
      <c r="C8788" s="2" t="inlineStr">
        <is>
          <t>코스피</t>
        </is>
      </c>
      <c r="D8788" s="2" t="inlineStr">
        <is>
          <t>004020</t>
        </is>
      </c>
      <c r="E8788" s="3" t="inlineStr">
        <is>
          <t xml:space="preserve">기업지배구조보고서공시              </t>
        </is>
      </c>
      <c r="F8788" s="3" t="inlineStr">
        <is>
          <t>현대제철</t>
        </is>
      </c>
      <c r="G8788" s="2" t="inlineStr">
        <is>
          <t>20260601800813</t>
        </is>
      </c>
      <c r="H8788" s="8">
        <f>HYPERLINK("https://dart.fss.or.kr/dsaf001/main.do?rcpNo=20260601800813", "공시열람")</f>
        <v/>
      </c>
    </row>
    <row r="8789">
      <c r="A8789" s="2" t="inlineStr">
        <is>
          <t>2026-06-01</t>
        </is>
      </c>
      <c r="B8789" s="3" t="inlineStr">
        <is>
          <t>SGC에너지</t>
        </is>
      </c>
      <c r="C8789" s="2" t="inlineStr">
        <is>
          <t>코스피</t>
        </is>
      </c>
      <c r="D8789" s="2" t="inlineStr">
        <is>
          <t>005090</t>
        </is>
      </c>
      <c r="E8789" s="3" t="inlineStr">
        <is>
          <t xml:space="preserve">기업설명회(IR)개최(안내공시)              </t>
        </is>
      </c>
      <c r="F8789" s="3" t="inlineStr">
        <is>
          <t>SGC에너지</t>
        </is>
      </c>
      <c r="G8789" s="2" t="inlineStr">
        <is>
          <t>20260601800805</t>
        </is>
      </c>
      <c r="H8789" s="8">
        <f>HYPERLINK("https://dart.fss.or.kr/dsaf001/main.do?rcpNo=20260601800805", "공시열람")</f>
        <v/>
      </c>
    </row>
    <row r="8790">
      <c r="A8790" s="2" t="inlineStr">
        <is>
          <t>2026-06-01</t>
        </is>
      </c>
      <c r="B8790" s="3" t="inlineStr">
        <is>
          <t>뉴로핏</t>
        </is>
      </c>
      <c r="C8790" s="2" t="inlineStr">
        <is>
          <t>코스닥</t>
        </is>
      </c>
      <c r="D8790" s="2" t="inlineStr">
        <is>
          <t>380550</t>
        </is>
      </c>
      <c r="E8790" s="3" t="inlineStr">
        <is>
          <t>임원ㆍ주요주주특정증권등소유상황보고서</t>
        </is>
      </c>
      <c r="F8790" s="3" t="inlineStr">
        <is>
          <t>빈준길</t>
        </is>
      </c>
      <c r="G8790" s="2" t="inlineStr">
        <is>
          <t>20260601000964</t>
        </is>
      </c>
      <c r="H8790" s="8">
        <f>HYPERLINK("https://dart.fss.or.kr/dsaf001/main.do?rcpNo=20260601000964", "공시열람")</f>
        <v/>
      </c>
    </row>
    <row r="8791">
      <c r="A8791" s="2" t="inlineStr">
        <is>
          <t>2026-06-01</t>
        </is>
      </c>
      <c r="B8791" s="3" t="inlineStr">
        <is>
          <t>남해화학</t>
        </is>
      </c>
      <c r="C8791" s="2" t="inlineStr">
        <is>
          <t>코스피</t>
        </is>
      </c>
      <c r="D8791" s="2" t="inlineStr">
        <is>
          <t>025860</t>
        </is>
      </c>
      <c r="E8791" s="3" t="inlineStr">
        <is>
          <t xml:space="preserve">기업지배구조보고서공시              </t>
        </is>
      </c>
      <c r="F8791" s="3" t="inlineStr">
        <is>
          <t>남해화학</t>
        </is>
      </c>
      <c r="G8791" s="2" t="inlineStr">
        <is>
          <t>20260601800788</t>
        </is>
      </c>
      <c r="H8791" s="8">
        <f>HYPERLINK("https://dart.fss.or.kr/dsaf001/main.do?rcpNo=20260601800788", "공시열람")</f>
        <v/>
      </c>
    </row>
    <row r="8792">
      <c r="A8792" s="2" t="inlineStr">
        <is>
          <t>2026-06-01</t>
        </is>
      </c>
      <c r="B8792" s="3" t="inlineStr">
        <is>
          <t>SYTS</t>
        </is>
      </c>
      <c r="C8792" s="2" t="inlineStr">
        <is>
          <t>코스피</t>
        </is>
      </c>
      <c r="D8792" s="2" t="inlineStr">
        <is>
          <t>002170</t>
        </is>
      </c>
      <c r="E8792" s="3" t="inlineStr">
        <is>
          <t>대규모기업집단현황공시[연1회공시및1/4분기용(개별회사)]</t>
        </is>
      </c>
      <c r="F8792" s="3" t="inlineStr">
        <is>
          <t>SYTS</t>
        </is>
      </c>
      <c r="G8792" s="2" t="inlineStr">
        <is>
          <t>20260601000955</t>
        </is>
      </c>
      <c r="H8792" s="8">
        <f>HYPERLINK("https://dart.fss.or.kr/dsaf001/main.do?rcpNo=20260601000955", "공시열람")</f>
        <v/>
      </c>
    </row>
    <row r="8793">
      <c r="A8793" s="2" t="inlineStr">
        <is>
          <t>2026-06-01</t>
        </is>
      </c>
      <c r="B8793" s="3" t="inlineStr">
        <is>
          <t>뉴로핏</t>
        </is>
      </c>
      <c r="C8793" s="2" t="inlineStr">
        <is>
          <t>코스닥</t>
        </is>
      </c>
      <c r="D8793" s="2" t="inlineStr">
        <is>
          <t>380550</t>
        </is>
      </c>
      <c r="E8793" s="3" t="inlineStr">
        <is>
          <t>임원ㆍ주요주주특정증권등소유상황보고서</t>
        </is>
      </c>
      <c r="F8793" s="3" t="inlineStr">
        <is>
          <t>김동현</t>
        </is>
      </c>
      <c r="G8793" s="2" t="inlineStr">
        <is>
          <t>20260601000947</t>
        </is>
      </c>
      <c r="H8793" s="8">
        <f>HYPERLINK("https://dart.fss.or.kr/dsaf001/main.do?rcpNo=20260601000947", "공시열람")</f>
        <v/>
      </c>
    </row>
    <row r="8794">
      <c r="A8794" s="2" t="inlineStr">
        <is>
          <t>2026-06-01</t>
        </is>
      </c>
      <c r="B8794" s="3" t="inlineStr">
        <is>
          <t>신한서부티엔디리츠</t>
        </is>
      </c>
      <c r="C8794" s="2" t="inlineStr">
        <is>
          <t>코스피</t>
        </is>
      </c>
      <c r="D8794" s="2" t="inlineStr">
        <is>
          <t>404990</t>
        </is>
      </c>
      <c r="E8794" s="3" t="inlineStr">
        <is>
          <t xml:space="preserve">기업지배구조보고서공시              </t>
        </is>
      </c>
      <c r="F8794" s="3" t="inlineStr">
        <is>
          <t>신한서부티엔디리츠</t>
        </is>
      </c>
      <c r="G8794" s="2" t="inlineStr">
        <is>
          <t>20260601800793</t>
        </is>
      </c>
      <c r="H8794" s="8">
        <f>HYPERLINK("https://dart.fss.or.kr/dsaf001/main.do?rcpNo=20260601800793", "공시열람")</f>
        <v/>
      </c>
    </row>
    <row r="8795">
      <c r="A8795" s="2" t="inlineStr">
        <is>
          <t>2026-06-01</t>
        </is>
      </c>
      <c r="B8795" s="3" t="inlineStr">
        <is>
          <t>GS피앤엘</t>
        </is>
      </c>
      <c r="C8795" s="2" t="inlineStr">
        <is>
          <t>코스피</t>
        </is>
      </c>
      <c r="D8795" s="2" t="inlineStr">
        <is>
          <t>499790</t>
        </is>
      </c>
      <c r="E8795" s="3" t="inlineStr">
        <is>
          <t>대규모기업집단현황공시[연1회공시및1/4분기용(개별회사)]</t>
        </is>
      </c>
      <c r="F8795" s="3" t="inlineStr">
        <is>
          <t>GS피앤엘</t>
        </is>
      </c>
      <c r="G8795" s="2" t="inlineStr">
        <is>
          <t>20260601000941</t>
        </is>
      </c>
      <c r="H8795" s="8">
        <f>HYPERLINK("https://dart.fss.or.kr/dsaf001/main.do?rcpNo=20260601000941", "공시열람")</f>
        <v/>
      </c>
    </row>
    <row r="8796">
      <c r="A8796" s="2" t="inlineStr">
        <is>
          <t>2026-06-01</t>
        </is>
      </c>
      <c r="B8796" s="3" t="inlineStr">
        <is>
          <t>NH농우바이오</t>
        </is>
      </c>
      <c r="C8796" s="2" t="inlineStr">
        <is>
          <t>코스닥</t>
        </is>
      </c>
      <c r="D8796" s="2" t="inlineStr">
        <is>
          <t>054050</t>
        </is>
      </c>
      <c r="E8796" s="3" t="inlineStr">
        <is>
          <t xml:space="preserve">기업설명회(IR)개최              </t>
        </is>
      </c>
      <c r="F8796" s="3" t="inlineStr">
        <is>
          <t>NH농우바이오</t>
        </is>
      </c>
      <c r="G8796" s="2" t="inlineStr">
        <is>
          <t>20260601900797</t>
        </is>
      </c>
      <c r="H8796" s="8">
        <f>HYPERLINK("https://dart.fss.or.kr/dsaf001/main.do?rcpNo=20260601900797", "공시열람")</f>
        <v/>
      </c>
    </row>
    <row r="8797">
      <c r="A8797" s="2" t="inlineStr">
        <is>
          <t>2026-06-01 (정정: 2026-06-15)</t>
        </is>
      </c>
      <c r="B8797" s="3" t="inlineStr">
        <is>
          <t>부산주공</t>
        </is>
      </c>
      <c r="C8797" s="2" t="inlineStr">
        <is>
          <t>코스피</t>
        </is>
      </c>
      <c r="D8797" s="2" t="inlineStr">
        <is>
          <t>005030</t>
        </is>
      </c>
      <c r="E8797" s="3" t="inlineStr">
        <is>
          <t>기업지배구조보고서공시               (정정: 20260615)</t>
        </is>
      </c>
      <c r="F8797" s="3" t="inlineStr">
        <is>
          <t>부산주공</t>
        </is>
      </c>
      <c r="G8797" s="2" t="inlineStr">
        <is>
          <t>20260615000191</t>
        </is>
      </c>
      <c r="H8797" s="8">
        <f>HYPERLINK("https://dart.fss.or.kr/dsaf001/main.do?rcpNo=20260615000191", "공시열람")</f>
        <v/>
      </c>
    </row>
    <row r="8798">
      <c r="A8798" s="2" t="inlineStr">
        <is>
          <t>2026-06-01</t>
        </is>
      </c>
      <c r="B8798" s="3" t="inlineStr">
        <is>
          <t>엔케이</t>
        </is>
      </c>
      <c r="C8798" s="2" t="inlineStr">
        <is>
          <t>코스피</t>
        </is>
      </c>
      <c r="D8798" s="2" t="inlineStr">
        <is>
          <t>085310</t>
        </is>
      </c>
      <c r="E8798" s="3" t="inlineStr">
        <is>
          <t xml:space="preserve">기업지배구조보고서공시              </t>
        </is>
      </c>
      <c r="F8798" s="3" t="inlineStr">
        <is>
          <t>엔케이</t>
        </is>
      </c>
      <c r="G8798" s="2" t="inlineStr">
        <is>
          <t>20260601800786</t>
        </is>
      </c>
      <c r="H8798" s="8">
        <f>HYPERLINK("https://dart.fss.or.kr/dsaf001/main.do?rcpNo=20260601800786", "공시열람")</f>
        <v/>
      </c>
    </row>
    <row r="8799">
      <c r="A8799" s="2" t="inlineStr">
        <is>
          <t>2026-06-01</t>
        </is>
      </c>
      <c r="B8799" s="3" t="inlineStr">
        <is>
          <t>서원</t>
        </is>
      </c>
      <c r="C8799" s="2" t="inlineStr">
        <is>
          <t>코스피</t>
        </is>
      </c>
      <c r="D8799" s="2" t="inlineStr">
        <is>
          <t>021050</t>
        </is>
      </c>
      <c r="E8799" s="3" t="inlineStr">
        <is>
          <t xml:space="preserve">기업지배구조보고서공시              </t>
        </is>
      </c>
      <c r="F8799" s="3" t="inlineStr">
        <is>
          <t>서원</t>
        </is>
      </c>
      <c r="G8799" s="2" t="inlineStr">
        <is>
          <t>20260601800779</t>
        </is>
      </c>
      <c r="H8799" s="8">
        <f>HYPERLINK("https://dart.fss.or.kr/dsaf001/main.do?rcpNo=20260601800779", "공시열람")</f>
        <v/>
      </c>
    </row>
    <row r="8800">
      <c r="A8800" s="2" t="inlineStr">
        <is>
          <t>2026-06-01</t>
        </is>
      </c>
      <c r="B8800" s="3" t="inlineStr">
        <is>
          <t>세아제강</t>
        </is>
      </c>
      <c r="C8800" s="2" t="inlineStr">
        <is>
          <t>코스피</t>
        </is>
      </c>
      <c r="D8800" s="2" t="inlineStr">
        <is>
          <t>306200</t>
        </is>
      </c>
      <c r="E8800" s="3" t="inlineStr">
        <is>
          <t xml:space="preserve">기업지배구조보고서공시              </t>
        </is>
      </c>
      <c r="F8800" s="3" t="inlineStr">
        <is>
          <t>세아제강</t>
        </is>
      </c>
      <c r="G8800" s="2" t="inlineStr">
        <is>
          <t>20260601800774</t>
        </is>
      </c>
      <c r="H8800" s="8">
        <f>HYPERLINK("https://dart.fss.or.kr/dsaf001/main.do?rcpNo=20260601800774", "공시열람")</f>
        <v/>
      </c>
    </row>
    <row r="8801">
      <c r="A8801" s="2" t="inlineStr">
        <is>
          <t>2026-06-01</t>
        </is>
      </c>
      <c r="B8801" s="3" t="inlineStr">
        <is>
          <t>한화솔루션</t>
        </is>
      </c>
      <c r="C8801" s="2" t="inlineStr">
        <is>
          <t>코스피</t>
        </is>
      </c>
      <c r="D8801" s="2" t="inlineStr">
        <is>
          <t>009830</t>
        </is>
      </c>
      <c r="E8801" s="3" t="inlineStr">
        <is>
          <t xml:space="preserve">기업지배구조보고서공시              </t>
        </is>
      </c>
      <c r="F8801" s="3" t="inlineStr">
        <is>
          <t>한화솔루션</t>
        </is>
      </c>
      <c r="G8801" s="2" t="inlineStr">
        <is>
          <t>20260601800782</t>
        </is>
      </c>
      <c r="H8801" s="8">
        <f>HYPERLINK("https://dart.fss.or.kr/dsaf001/main.do?rcpNo=20260601800782", "공시열람")</f>
        <v/>
      </c>
    </row>
    <row r="8802">
      <c r="A8802" s="2" t="inlineStr">
        <is>
          <t>2026-06-01</t>
        </is>
      </c>
      <c r="B8802" s="3" t="inlineStr">
        <is>
          <t>GS</t>
        </is>
      </c>
      <c r="C8802" s="2" t="inlineStr">
        <is>
          <t>코스피</t>
        </is>
      </c>
      <c r="D8802" s="2" t="inlineStr">
        <is>
          <t>078930</t>
        </is>
      </c>
      <c r="E8802" s="3" t="inlineStr">
        <is>
          <t>대규모기업집단현황공시[연1회(동일인용)]</t>
        </is>
      </c>
      <c r="F8802" s="3" t="inlineStr">
        <is>
          <t>허창수</t>
        </is>
      </c>
      <c r="G8802" s="2" t="inlineStr">
        <is>
          <t>20260601000918</t>
        </is>
      </c>
      <c r="H8802" s="8">
        <f>HYPERLINK("https://dart.fss.or.kr/dsaf001/main.do?rcpNo=20260601000918", "공시열람")</f>
        <v/>
      </c>
    </row>
    <row r="8803">
      <c r="A8803" s="2" t="inlineStr">
        <is>
          <t>2026-06-01</t>
        </is>
      </c>
      <c r="B8803" s="3" t="inlineStr">
        <is>
          <t>로젠</t>
        </is>
      </c>
      <c r="C8803" s="2" t="inlineStr">
        <is>
          <t>코스닥</t>
        </is>
      </c>
      <c r="D8803" s="2" t="inlineStr">
        <is>
          <t>033290</t>
        </is>
      </c>
      <c r="E8803" s="3" t="inlineStr">
        <is>
          <t>대규모기업집단현황공시[연1회공시및1/4분기용(개별회사)]</t>
        </is>
      </c>
      <c r="F8803" s="3" t="inlineStr">
        <is>
          <t>로젠</t>
        </is>
      </c>
      <c r="G8803" s="2" t="inlineStr">
        <is>
          <t>20260601000914</t>
        </is>
      </c>
      <c r="H8803" s="8">
        <f>HYPERLINK("https://dart.fss.or.kr/dsaf001/main.do?rcpNo=20260601000914", "공시열람")</f>
        <v/>
      </c>
    </row>
    <row r="8804">
      <c r="A8804" s="2" t="inlineStr">
        <is>
          <t>2026-06-01</t>
        </is>
      </c>
      <c r="B8804" s="3" t="inlineStr">
        <is>
          <t>대원화성</t>
        </is>
      </c>
      <c r="C8804" s="2" t="inlineStr">
        <is>
          <t>코스피</t>
        </is>
      </c>
      <c r="D8804" s="2" t="inlineStr">
        <is>
          <t>024890</t>
        </is>
      </c>
      <c r="E8804" s="3" t="inlineStr">
        <is>
          <t xml:space="preserve">기업지배구조보고서공시              </t>
        </is>
      </c>
      <c r="F8804" s="3" t="inlineStr">
        <is>
          <t>대원화성</t>
        </is>
      </c>
      <c r="G8804" s="2" t="inlineStr">
        <is>
          <t>20260601800777</t>
        </is>
      </c>
      <c r="H8804" s="8">
        <f>HYPERLINK("https://dart.fss.or.kr/dsaf001/main.do?rcpNo=20260601800777", "공시열람")</f>
        <v/>
      </c>
    </row>
    <row r="8805">
      <c r="A8805" s="2" t="inlineStr">
        <is>
          <t>2026-06-01</t>
        </is>
      </c>
      <c r="B8805" s="3" t="inlineStr">
        <is>
          <t>한국항공우주</t>
        </is>
      </c>
      <c r="C8805" s="2" t="inlineStr">
        <is>
          <t>코스피</t>
        </is>
      </c>
      <c r="D8805" s="2" t="inlineStr">
        <is>
          <t>047810</t>
        </is>
      </c>
      <c r="E8805" s="3" t="inlineStr">
        <is>
          <t xml:space="preserve">기업지배구조보고서공시              </t>
        </is>
      </c>
      <c r="F8805" s="3" t="inlineStr">
        <is>
          <t>한국항공우주</t>
        </is>
      </c>
      <c r="G8805" s="2" t="inlineStr">
        <is>
          <t>20260601800612</t>
        </is>
      </c>
      <c r="H8805" s="8">
        <f>HYPERLINK("https://dart.fss.or.kr/dsaf001/main.do?rcpNo=20260601800612", "공시열람")</f>
        <v/>
      </c>
    </row>
    <row r="8806">
      <c r="A8806" s="2" t="inlineStr">
        <is>
          <t>2026-06-01</t>
        </is>
      </c>
      <c r="B8806" s="3" t="inlineStr">
        <is>
          <t>동성제약</t>
        </is>
      </c>
      <c r="C8806" s="2" t="inlineStr">
        <is>
          <t>코스피</t>
        </is>
      </c>
      <c r="D8806" s="2" t="inlineStr">
        <is>
          <t>002210</t>
        </is>
      </c>
      <c r="E8806" s="3" t="inlineStr">
        <is>
          <t xml:space="preserve">[첨부추가]기업지배구조보고서공시              </t>
        </is>
      </c>
      <c r="F8806" s="3" t="inlineStr">
        <is>
          <t>동성제약</t>
        </is>
      </c>
      <c r="G8806" s="2" t="inlineStr">
        <is>
          <t>20260601800757</t>
        </is>
      </c>
      <c r="H8806" s="8">
        <f>HYPERLINK("https://dart.fss.or.kr/dsaf001/main.do?rcpNo=20260601800757", "공시열람")</f>
        <v/>
      </c>
    </row>
    <row r="8807">
      <c r="A8807" s="2" t="inlineStr">
        <is>
          <t>2026-06-01</t>
        </is>
      </c>
      <c r="B8807" s="3" t="inlineStr">
        <is>
          <t>HD현대중공업</t>
        </is>
      </c>
      <c r="C8807" s="2" t="inlineStr">
        <is>
          <t>코스피</t>
        </is>
      </c>
      <c r="D8807" s="2" t="inlineStr">
        <is>
          <t>329180</t>
        </is>
      </c>
      <c r="E8807" s="3" t="inlineStr">
        <is>
          <t xml:space="preserve">기업지배구조보고서공시              </t>
        </is>
      </c>
      <c r="F8807" s="3" t="inlineStr">
        <is>
          <t>HD현대중공업</t>
        </is>
      </c>
      <c r="G8807" s="2" t="inlineStr">
        <is>
          <t>20260601800769</t>
        </is>
      </c>
      <c r="H8807" s="8">
        <f>HYPERLINK("https://dart.fss.or.kr/dsaf001/main.do?rcpNo=20260601800769", "공시열람")</f>
        <v/>
      </c>
    </row>
    <row r="8808">
      <c r="A8808" s="2" t="inlineStr">
        <is>
          <t>2026-06-01</t>
        </is>
      </c>
      <c r="B8808" s="3" t="inlineStr">
        <is>
          <t>국제약품</t>
        </is>
      </c>
      <c r="C8808" s="2" t="inlineStr">
        <is>
          <t>코스피</t>
        </is>
      </c>
      <c r="D8808" s="2" t="inlineStr">
        <is>
          <t>002720</t>
        </is>
      </c>
      <c r="E8808" s="3" t="inlineStr">
        <is>
          <t xml:space="preserve">기업지배구조보고서공시              </t>
        </is>
      </c>
      <c r="F8808" s="3" t="inlineStr">
        <is>
          <t>국제약품</t>
        </is>
      </c>
      <c r="G8808" s="2" t="inlineStr">
        <is>
          <t>20260601800771</t>
        </is>
      </c>
      <c r="H8808" s="8">
        <f>HYPERLINK("https://dart.fss.or.kr/dsaf001/main.do?rcpNo=20260601800771", "공시열람")</f>
        <v/>
      </c>
    </row>
    <row r="8809">
      <c r="A8809" s="2" t="inlineStr">
        <is>
          <t>2026-06-01</t>
        </is>
      </c>
      <c r="B8809" s="3" t="inlineStr">
        <is>
          <t>미래에셋증권</t>
        </is>
      </c>
      <c r="C8809" s="2" t="inlineStr">
        <is>
          <t>코스피</t>
        </is>
      </c>
      <c r="D8809" s="2" t="inlineStr">
        <is>
          <t>006800</t>
        </is>
      </c>
      <c r="E8809" s="3" t="inlineStr">
        <is>
          <t>증권발행실적보고서</t>
        </is>
      </c>
      <c r="F8809" s="3" t="inlineStr">
        <is>
          <t>미래에셋증권</t>
        </is>
      </c>
      <c r="G8809" s="2" t="inlineStr">
        <is>
          <t>20260601000902</t>
        </is>
      </c>
      <c r="H8809" s="8">
        <f>HYPERLINK("https://dart.fss.or.kr/dsaf001/main.do?rcpNo=20260601000902", "공시열람")</f>
        <v/>
      </c>
    </row>
    <row r="8810">
      <c r="A8810" s="2" t="inlineStr">
        <is>
          <t>2026-06-01</t>
        </is>
      </c>
      <c r="B8810" s="3" t="inlineStr">
        <is>
          <t>유수홀딩스</t>
        </is>
      </c>
      <c r="C8810" s="2" t="inlineStr">
        <is>
          <t>코스피</t>
        </is>
      </c>
      <c r="D8810" s="2" t="inlineStr">
        <is>
          <t>000700</t>
        </is>
      </c>
      <c r="E8810" s="3" t="inlineStr">
        <is>
          <t xml:space="preserve">기업지배구조보고서공시              </t>
        </is>
      </c>
      <c r="F8810" s="3" t="inlineStr">
        <is>
          <t>유수홀딩스</t>
        </is>
      </c>
      <c r="G8810" s="2" t="inlineStr">
        <is>
          <t>20260601800764</t>
        </is>
      </c>
      <c r="H8810" s="8">
        <f>HYPERLINK("https://dart.fss.or.kr/dsaf001/main.do?rcpNo=20260601800764", "공시열람")</f>
        <v/>
      </c>
    </row>
    <row r="8811">
      <c r="A8811" s="2" t="inlineStr">
        <is>
          <t>2026-06-01</t>
        </is>
      </c>
      <c r="B8811" s="3" t="inlineStr">
        <is>
          <t>NH투자증권</t>
        </is>
      </c>
      <c r="C8811" s="2" t="inlineStr">
        <is>
          <t>코스피</t>
        </is>
      </c>
      <c r="D8811" s="2" t="inlineStr">
        <is>
          <t>005940</t>
        </is>
      </c>
      <c r="E8811" s="3" t="inlineStr">
        <is>
          <t>증권발행실적보고서</t>
        </is>
      </c>
      <c r="F8811" s="3" t="inlineStr">
        <is>
          <t>NH투자증권</t>
        </is>
      </c>
      <c r="G8811" s="2" t="inlineStr">
        <is>
          <t>20260601000889</t>
        </is>
      </c>
      <c r="H8811" s="8">
        <f>HYPERLINK("https://dart.fss.or.kr/dsaf001/main.do?rcpNo=20260601000889", "공시열람")</f>
        <v/>
      </c>
    </row>
    <row r="8812">
      <c r="A8812" s="2" t="inlineStr">
        <is>
          <t>2026-06-01 (정정: 2026-06-05)</t>
        </is>
      </c>
      <c r="B8812" s="3" t="inlineStr">
        <is>
          <t>한솔테크닉스</t>
        </is>
      </c>
      <c r="C8812" s="2" t="inlineStr">
        <is>
          <t>코스피</t>
        </is>
      </c>
      <c r="D8812" s="2" t="inlineStr">
        <is>
          <t>004710</t>
        </is>
      </c>
      <c r="E8812" s="3" t="inlineStr">
        <is>
          <t>기업지배구조보고서공시               (정정: 20260605)</t>
        </is>
      </c>
      <c r="F8812" s="3" t="inlineStr">
        <is>
          <t>한솔테크닉스</t>
        </is>
      </c>
      <c r="G8812" s="2" t="inlineStr">
        <is>
          <t>20260605000492</t>
        </is>
      </c>
      <c r="H8812" s="8">
        <f>HYPERLINK("https://dart.fss.or.kr/dsaf001/main.do?rcpNo=20260605000492", "공시열람")</f>
        <v/>
      </c>
    </row>
    <row r="8813">
      <c r="A8813" s="2" t="inlineStr">
        <is>
          <t>2026-06-01</t>
        </is>
      </c>
      <c r="B8813" s="3" t="inlineStr">
        <is>
          <t>JW생명과학</t>
        </is>
      </c>
      <c r="C8813" s="2" t="inlineStr">
        <is>
          <t>코스피</t>
        </is>
      </c>
      <c r="D8813" s="2" t="inlineStr">
        <is>
          <t>234080</t>
        </is>
      </c>
      <c r="E8813" s="3" t="inlineStr">
        <is>
          <t xml:space="preserve">기업지배구조보고서공시              </t>
        </is>
      </c>
      <c r="F8813" s="3" t="inlineStr">
        <is>
          <t>JW생명과학</t>
        </is>
      </c>
      <c r="G8813" s="2" t="inlineStr">
        <is>
          <t>20260601800753</t>
        </is>
      </c>
      <c r="H8813" s="8">
        <f>HYPERLINK("https://dart.fss.or.kr/dsaf001/main.do?rcpNo=20260601800753", "공시열람")</f>
        <v/>
      </c>
    </row>
    <row r="8814">
      <c r="A8814" s="2" t="inlineStr">
        <is>
          <t>2026-06-01</t>
        </is>
      </c>
      <c r="B8814" s="3" t="inlineStr">
        <is>
          <t>영원무역</t>
        </is>
      </c>
      <c r="C8814" s="2" t="inlineStr">
        <is>
          <t>코스피</t>
        </is>
      </c>
      <c r="D8814" s="2" t="inlineStr">
        <is>
          <t>111770</t>
        </is>
      </c>
      <c r="E8814" s="3" t="inlineStr">
        <is>
          <t xml:space="preserve">기업지배구조보고서공시              </t>
        </is>
      </c>
      <c r="F8814" s="3" t="inlineStr">
        <is>
          <t>영원무역</t>
        </is>
      </c>
      <c r="G8814" s="2" t="inlineStr">
        <is>
          <t>20260601800749</t>
        </is>
      </c>
      <c r="H8814" s="8">
        <f>HYPERLINK("https://dart.fss.or.kr/dsaf001/main.do?rcpNo=20260601800749", "공시열람")</f>
        <v/>
      </c>
    </row>
    <row r="8815">
      <c r="A8815" s="2" t="inlineStr">
        <is>
          <t>2026-06-01</t>
        </is>
      </c>
      <c r="B8815" s="3" t="inlineStr">
        <is>
          <t>신세계인터내셔날</t>
        </is>
      </c>
      <c r="C8815" s="2" t="inlineStr">
        <is>
          <t>코스피</t>
        </is>
      </c>
      <c r="D8815" s="2" t="inlineStr">
        <is>
          <t>031430</t>
        </is>
      </c>
      <c r="E8815" s="3" t="inlineStr">
        <is>
          <t>대규모기업집단현황공시[연1회공시및1/4분기용(개별회사)]</t>
        </is>
      </c>
      <c r="F8815" s="3" t="inlineStr">
        <is>
          <t>신세계인터내셔날</t>
        </is>
      </c>
      <c r="G8815" s="2" t="inlineStr">
        <is>
          <t>20260601000880</t>
        </is>
      </c>
      <c r="H8815" s="8">
        <f>HYPERLINK("https://dart.fss.or.kr/dsaf001/main.do?rcpNo=20260601000880", "공시열람")</f>
        <v/>
      </c>
    </row>
    <row r="8816">
      <c r="A8816" s="2" t="inlineStr">
        <is>
          <t>2026-06-01</t>
        </is>
      </c>
      <c r="B8816" s="3" t="inlineStr">
        <is>
          <t>일성건설</t>
        </is>
      </c>
      <c r="C8816" s="2" t="inlineStr">
        <is>
          <t>코스피</t>
        </is>
      </c>
      <c r="D8816" s="2" t="inlineStr">
        <is>
          <t>013360</t>
        </is>
      </c>
      <c r="E8816" s="3" t="inlineStr">
        <is>
          <t xml:space="preserve">기업지배구조보고서공시              </t>
        </is>
      </c>
      <c r="F8816" s="3" t="inlineStr">
        <is>
          <t>일성건설</t>
        </is>
      </c>
      <c r="G8816" s="2" t="inlineStr">
        <is>
          <t>20260601800735</t>
        </is>
      </c>
      <c r="H8816" s="8">
        <f>HYPERLINK("https://dart.fss.or.kr/dsaf001/main.do?rcpNo=20260601800735", "공시열람")</f>
        <v/>
      </c>
    </row>
    <row r="8817">
      <c r="A8817" s="2" t="inlineStr">
        <is>
          <t>2026-06-01</t>
        </is>
      </c>
      <c r="B8817" s="3" t="inlineStr">
        <is>
          <t>SB성보</t>
        </is>
      </c>
      <c r="C8817" s="2" t="inlineStr">
        <is>
          <t>코스피</t>
        </is>
      </c>
      <c r="D8817" s="2" t="inlineStr">
        <is>
          <t>003080</t>
        </is>
      </c>
      <c r="E8817" s="3" t="inlineStr">
        <is>
          <t xml:space="preserve">기업지배구조보고서공시              </t>
        </is>
      </c>
      <c r="F8817" s="3" t="inlineStr">
        <is>
          <t>SB성보</t>
        </is>
      </c>
      <c r="G8817" s="2" t="inlineStr">
        <is>
          <t>20260601800743</t>
        </is>
      </c>
      <c r="H8817" s="8">
        <f>HYPERLINK("https://dart.fss.or.kr/dsaf001/main.do?rcpNo=20260601800743", "공시열람")</f>
        <v/>
      </c>
    </row>
    <row r="8818">
      <c r="A8818" s="2" t="inlineStr">
        <is>
          <t>2026-06-01</t>
        </is>
      </c>
      <c r="B8818" s="3" t="inlineStr">
        <is>
          <t>다우기술</t>
        </is>
      </c>
      <c r="C8818" s="2" t="inlineStr">
        <is>
          <t>코스피</t>
        </is>
      </c>
      <c r="D8818" s="2" t="inlineStr">
        <is>
          <t>023590</t>
        </is>
      </c>
      <c r="E8818" s="3" t="inlineStr">
        <is>
          <t>대규모기업집단현황공시[연1회공시및1/4분기용(개별회사)]</t>
        </is>
      </c>
      <c r="F8818" s="3" t="inlineStr">
        <is>
          <t>다우기술</t>
        </is>
      </c>
      <c r="G8818" s="2" t="inlineStr">
        <is>
          <t>20260601000872</t>
        </is>
      </c>
      <c r="H8818" s="8">
        <f>HYPERLINK("https://dart.fss.or.kr/dsaf001/main.do?rcpNo=20260601000872", "공시열람")</f>
        <v/>
      </c>
    </row>
    <row r="8819">
      <c r="A8819" s="2" t="inlineStr">
        <is>
          <t>2026-06-01</t>
        </is>
      </c>
      <c r="B8819" s="3" t="inlineStr">
        <is>
          <t>조이웍스앤코</t>
        </is>
      </c>
      <c r="C8819" s="2" t="inlineStr">
        <is>
          <t>코스닥</t>
        </is>
      </c>
      <c r="D8819" s="2" t="inlineStr">
        <is>
          <t>309930</t>
        </is>
      </c>
      <c r="E8819" s="3" t="inlineStr">
        <is>
          <t>임원ㆍ주요주주특정증권등소유상황보고서</t>
        </is>
      </c>
      <c r="F8819" s="3" t="inlineStr">
        <is>
          <t>이문기</t>
        </is>
      </c>
      <c r="G8819" s="2" t="inlineStr">
        <is>
          <t>20260601000869</t>
        </is>
      </c>
      <c r="H8819" s="8">
        <f>HYPERLINK("https://dart.fss.or.kr/dsaf001/main.do?rcpNo=20260601000869", "공시열람")</f>
        <v/>
      </c>
    </row>
    <row r="8820">
      <c r="A8820" s="2" t="inlineStr">
        <is>
          <t>2026-06-01</t>
        </is>
      </c>
      <c r="B8820" s="3" t="inlineStr">
        <is>
          <t>신세계푸드</t>
        </is>
      </c>
      <c r="C8820" s="2" t="inlineStr">
        <is>
          <t>코스피</t>
        </is>
      </c>
      <c r="D8820" s="2" t="inlineStr">
        <is>
          <t>031440</t>
        </is>
      </c>
      <c r="E8820" s="3" t="inlineStr">
        <is>
          <t>대규모기업집단현황공시[연1회공시및1/4분기용(개별회사)]</t>
        </is>
      </c>
      <c r="F8820" s="3" t="inlineStr">
        <is>
          <t>신세계푸드</t>
        </is>
      </c>
      <c r="G8820" s="2" t="inlineStr">
        <is>
          <t>20260601000857</t>
        </is>
      </c>
      <c r="H8820" s="8">
        <f>HYPERLINK("https://dart.fss.or.kr/dsaf001/main.do?rcpNo=20260601000857", "공시열람")</f>
        <v/>
      </c>
    </row>
    <row r="8821">
      <c r="A8821" s="2" t="inlineStr">
        <is>
          <t>2026-06-01 (정정: 2026-06-10)</t>
        </is>
      </c>
      <c r="B8821" s="3" t="inlineStr">
        <is>
          <t>한국석유공업</t>
        </is>
      </c>
      <c r="C8821" s="2" t="inlineStr">
        <is>
          <t>코스피</t>
        </is>
      </c>
      <c r="D8821" s="2" t="inlineStr">
        <is>
          <t>004090</t>
        </is>
      </c>
      <c r="E8821" s="3" t="inlineStr">
        <is>
          <t>기업지배구조보고서공시               (정정: 20260610)</t>
        </is>
      </c>
      <c r="F8821" s="3" t="inlineStr">
        <is>
          <t>한국석유공업</t>
        </is>
      </c>
      <c r="G8821" s="2" t="inlineStr">
        <is>
          <t>20260610000489</t>
        </is>
      </c>
      <c r="H8821" s="8">
        <f>HYPERLINK("https://dart.fss.or.kr/dsaf001/main.do?rcpNo=20260610000489", "공시열람")</f>
        <v/>
      </c>
    </row>
    <row r="8822">
      <c r="A8822" s="2" t="inlineStr">
        <is>
          <t>2026-06-01</t>
        </is>
      </c>
      <c r="B8822" s="3" t="inlineStr">
        <is>
          <t>광주신세계</t>
        </is>
      </c>
      <c r="C8822" s="2" t="inlineStr">
        <is>
          <t>코스피</t>
        </is>
      </c>
      <c r="D8822" s="2" t="inlineStr">
        <is>
          <t>037710</t>
        </is>
      </c>
      <c r="E8822" s="3" t="inlineStr">
        <is>
          <t>대규모기업집단현황공시[연1회공시및1/4분기용(개별회사)]</t>
        </is>
      </c>
      <c r="F8822" s="3" t="inlineStr">
        <is>
          <t>광주신세계</t>
        </is>
      </c>
      <c r="G8822" s="2" t="inlineStr">
        <is>
          <t>20260601000855</t>
        </is>
      </c>
      <c r="H8822" s="8">
        <f>HYPERLINK("https://dart.fss.or.kr/dsaf001/main.do?rcpNo=20260601000855", "공시열람")</f>
        <v/>
      </c>
    </row>
    <row r="8823">
      <c r="A8823" s="2" t="inlineStr">
        <is>
          <t>2026-06-01</t>
        </is>
      </c>
      <c r="B8823" s="3" t="inlineStr">
        <is>
          <t>조이웍스앤코</t>
        </is>
      </c>
      <c r="C8823" s="2" t="inlineStr">
        <is>
          <t>코스닥</t>
        </is>
      </c>
      <c r="D8823" s="2" t="inlineStr">
        <is>
          <t>309930</t>
        </is>
      </c>
      <c r="E8823" s="3" t="inlineStr">
        <is>
          <t>임원ㆍ주요주주특정증권등소유상황보고서</t>
        </is>
      </c>
      <c r="F8823" s="3" t="inlineStr">
        <is>
          <t>조성환</t>
        </is>
      </c>
      <c r="G8823" s="2" t="inlineStr">
        <is>
          <t>20260601000853</t>
        </is>
      </c>
      <c r="H8823" s="8">
        <f>HYPERLINK("https://dart.fss.or.kr/dsaf001/main.do?rcpNo=20260601000853", "공시열람")</f>
        <v/>
      </c>
    </row>
    <row r="8824">
      <c r="A8824" s="2" t="inlineStr">
        <is>
          <t>2026-06-01</t>
        </is>
      </c>
      <c r="B8824" s="3" t="inlineStr">
        <is>
          <t>LG이노텍</t>
        </is>
      </c>
      <c r="C8824" s="2" t="inlineStr">
        <is>
          <t>코스피</t>
        </is>
      </c>
      <c r="D8824" s="2" t="inlineStr">
        <is>
          <t>011070</t>
        </is>
      </c>
      <c r="E8824" s="3" t="inlineStr">
        <is>
          <t xml:space="preserve">기업지배구조보고서공시              </t>
        </is>
      </c>
      <c r="F8824" s="3" t="inlineStr">
        <is>
          <t>LG이노텍</t>
        </is>
      </c>
      <c r="G8824" s="2" t="inlineStr">
        <is>
          <t>20260601800727</t>
        </is>
      </c>
      <c r="H8824" s="8">
        <f>HYPERLINK("https://dart.fss.or.kr/dsaf001/main.do?rcpNo=20260601800727", "공시열람")</f>
        <v/>
      </c>
    </row>
    <row r="8825">
      <c r="A8825" s="2" t="inlineStr">
        <is>
          <t>2026-06-01</t>
        </is>
      </c>
      <c r="B8825" s="3" t="inlineStr">
        <is>
          <t>케이엠제약</t>
        </is>
      </c>
      <c r="C8825" s="2" t="inlineStr">
        <is>
          <t>코스닥</t>
        </is>
      </c>
      <c r="D8825" s="2" t="inlineStr">
        <is>
          <t>225430</t>
        </is>
      </c>
      <c r="E8825" s="3" t="inlineStr">
        <is>
          <t>임원ㆍ주요주주특정증권등소유상황보고서</t>
        </is>
      </c>
      <c r="F8825" s="3" t="inlineStr">
        <is>
          <t>임영애</t>
        </is>
      </c>
      <c r="G8825" s="2" t="inlineStr">
        <is>
          <t>20260601000849</t>
        </is>
      </c>
      <c r="H8825" s="8">
        <f>HYPERLINK("https://dart.fss.or.kr/dsaf001/main.do?rcpNo=20260601000849", "공시열람")</f>
        <v/>
      </c>
    </row>
    <row r="8826">
      <c r="A8826" s="2" t="inlineStr">
        <is>
          <t>2026-06-01</t>
        </is>
      </c>
      <c r="B8826" s="3" t="inlineStr">
        <is>
          <t>디에이피</t>
        </is>
      </c>
      <c r="C8826" s="2" t="inlineStr">
        <is>
          <t>코스닥</t>
        </is>
      </c>
      <c r="D8826" s="2" t="inlineStr">
        <is>
          <t>066900</t>
        </is>
      </c>
      <c r="E8826" s="3" t="inlineStr">
        <is>
          <t>대규모기업집단현황공시[연1회공시및1/4분기용(개별회사)]</t>
        </is>
      </c>
      <c r="F8826" s="3" t="inlineStr">
        <is>
          <t>디에이피</t>
        </is>
      </c>
      <c r="G8826" s="2" t="inlineStr">
        <is>
          <t>20260601000846</t>
        </is>
      </c>
      <c r="H8826" s="8">
        <f>HYPERLINK("https://dart.fss.or.kr/dsaf001/main.do?rcpNo=20260601000846", "공시열람")</f>
        <v/>
      </c>
    </row>
    <row r="8827">
      <c r="A8827" s="2" t="inlineStr">
        <is>
          <t>2026-06-01</t>
        </is>
      </c>
      <c r="B8827" s="3" t="inlineStr">
        <is>
          <t>원림</t>
        </is>
      </c>
      <c r="C8827" s="2" t="inlineStr">
        <is>
          <t>코스피</t>
        </is>
      </c>
      <c r="D8827" s="2" t="inlineStr">
        <is>
          <t>005820</t>
        </is>
      </c>
      <c r="E8827" s="3" t="inlineStr">
        <is>
          <t xml:space="preserve">기업지배구조보고서공시              </t>
        </is>
      </c>
      <c r="F8827" s="3" t="inlineStr">
        <is>
          <t>원림</t>
        </is>
      </c>
      <c r="G8827" s="2" t="inlineStr">
        <is>
          <t>20260601800730</t>
        </is>
      </c>
      <c r="H8827" s="8">
        <f>HYPERLINK("https://dart.fss.or.kr/dsaf001/main.do?rcpNo=20260601800730", "공시열람")</f>
        <v/>
      </c>
    </row>
    <row r="8828">
      <c r="A8828" s="2" t="inlineStr">
        <is>
          <t>2026-06-01</t>
        </is>
      </c>
      <c r="B8828" s="3" t="inlineStr">
        <is>
          <t>이마트</t>
        </is>
      </c>
      <c r="C8828" s="2" t="inlineStr">
        <is>
          <t>코스피</t>
        </is>
      </c>
      <c r="D8828" s="2" t="inlineStr">
        <is>
          <t>139480</t>
        </is>
      </c>
      <c r="E8828" s="3" t="inlineStr">
        <is>
          <t>대규모기업집단현황공시[연1회공시및1/4분기용(개별회사)]</t>
        </is>
      </c>
      <c r="F8828" s="3" t="inlineStr">
        <is>
          <t>이마트</t>
        </is>
      </c>
      <c r="G8828" s="2" t="inlineStr">
        <is>
          <t>20260601000843</t>
        </is>
      </c>
      <c r="H8828" s="8">
        <f>HYPERLINK("https://dart.fss.or.kr/dsaf001/main.do?rcpNo=20260601000843", "공시열람")</f>
        <v/>
      </c>
    </row>
    <row r="8829">
      <c r="A8829" s="2" t="inlineStr">
        <is>
          <t>2026-06-01</t>
        </is>
      </c>
      <c r="B8829" s="3" t="inlineStr">
        <is>
          <t>영원무역홀딩스</t>
        </is>
      </c>
      <c r="C8829" s="2" t="inlineStr">
        <is>
          <t>코스피</t>
        </is>
      </c>
      <c r="D8829" s="2" t="inlineStr">
        <is>
          <t>009970</t>
        </is>
      </c>
      <c r="E8829" s="3" t="inlineStr">
        <is>
          <t xml:space="preserve">기업지배구조보고서공시              </t>
        </is>
      </c>
      <c r="F8829" s="3" t="inlineStr">
        <is>
          <t>영원무역홀딩스</t>
        </is>
      </c>
      <c r="G8829" s="2" t="inlineStr">
        <is>
          <t>20260601800724</t>
        </is>
      </c>
      <c r="H8829" s="8">
        <f>HYPERLINK("https://dart.fss.or.kr/dsaf001/main.do?rcpNo=20260601800724", "공시열람")</f>
        <v/>
      </c>
    </row>
    <row r="8830">
      <c r="A8830" s="2" t="inlineStr">
        <is>
          <t>2026-06-01</t>
        </is>
      </c>
      <c r="B8830" s="3" t="inlineStr">
        <is>
          <t>동남합성</t>
        </is>
      </c>
      <c r="C8830" s="2" t="inlineStr">
        <is>
          <t>코스피</t>
        </is>
      </c>
      <c r="D8830" s="2" t="inlineStr">
        <is>
          <t>023450</t>
        </is>
      </c>
      <c r="E8830" s="3" t="inlineStr">
        <is>
          <t xml:space="preserve">기업지배구조보고서공시              </t>
        </is>
      </c>
      <c r="F8830" s="3" t="inlineStr">
        <is>
          <t>동남합성</t>
        </is>
      </c>
      <c r="G8830" s="2" t="inlineStr">
        <is>
          <t>20260601800712</t>
        </is>
      </c>
      <c r="H8830" s="8">
        <f>HYPERLINK("https://dart.fss.or.kr/dsaf001/main.do?rcpNo=20260601800712", "공시열람")</f>
        <v/>
      </c>
    </row>
    <row r="8831">
      <c r="A8831" s="2" t="inlineStr">
        <is>
          <t>2026-06-01</t>
        </is>
      </c>
      <c r="B8831" s="3" t="inlineStr">
        <is>
          <t>삼성FN리츠</t>
        </is>
      </c>
      <c r="C8831" s="2" t="inlineStr">
        <is>
          <t>코스피</t>
        </is>
      </c>
      <c r="D8831" s="2" t="inlineStr">
        <is>
          <t>448730</t>
        </is>
      </c>
      <c r="E8831" s="3" t="inlineStr">
        <is>
          <t>대규모기업집단현황공시[연1회공시및1/4분기용(개별회사)]</t>
        </is>
      </c>
      <c r="F8831" s="3" t="inlineStr">
        <is>
          <t>삼성FN리츠</t>
        </is>
      </c>
      <c r="G8831" s="2" t="inlineStr">
        <is>
          <t>20260601000841</t>
        </is>
      </c>
      <c r="H8831" s="8">
        <f>HYPERLINK("https://dart.fss.or.kr/dsaf001/main.do?rcpNo=20260601000841", "공시열람")</f>
        <v/>
      </c>
    </row>
    <row r="8832">
      <c r="A8832" s="2" t="inlineStr">
        <is>
          <t>2026-06-01</t>
        </is>
      </c>
      <c r="B8832" s="3" t="inlineStr">
        <is>
          <t>진양홀딩스</t>
        </is>
      </c>
      <c r="C8832" s="2" t="inlineStr">
        <is>
          <t>코스피</t>
        </is>
      </c>
      <c r="D8832" s="2" t="inlineStr">
        <is>
          <t>100250</t>
        </is>
      </c>
      <c r="E8832" s="3" t="inlineStr">
        <is>
          <t xml:space="preserve">기업지배구조보고서공시              </t>
        </is>
      </c>
      <c r="F8832" s="3" t="inlineStr">
        <is>
          <t>진양홀딩스</t>
        </is>
      </c>
      <c r="G8832" s="2" t="inlineStr">
        <is>
          <t>20260601800714</t>
        </is>
      </c>
      <c r="H8832" s="8">
        <f>HYPERLINK("https://dart.fss.or.kr/dsaf001/main.do?rcpNo=20260601800714", "공시열람")</f>
        <v/>
      </c>
    </row>
    <row r="8833">
      <c r="A8833" s="2" t="inlineStr">
        <is>
          <t>2026-06-01</t>
        </is>
      </c>
      <c r="B8833" s="3" t="inlineStr">
        <is>
          <t>JW홀딩스</t>
        </is>
      </c>
      <c r="C8833" s="2" t="inlineStr">
        <is>
          <t>코스피</t>
        </is>
      </c>
      <c r="D8833" s="2" t="inlineStr">
        <is>
          <t>096760</t>
        </is>
      </c>
      <c r="E8833" s="3" t="inlineStr">
        <is>
          <t xml:space="preserve">기업지배구조보고서공시              </t>
        </is>
      </c>
      <c r="F8833" s="3" t="inlineStr">
        <is>
          <t>JW홀딩스</t>
        </is>
      </c>
      <c r="G8833" s="2" t="inlineStr">
        <is>
          <t>20260601800718</t>
        </is>
      </c>
      <c r="H8833" s="8">
        <f>HYPERLINK("https://dart.fss.or.kr/dsaf001/main.do?rcpNo=20260601800718", "공시열람")</f>
        <v/>
      </c>
    </row>
    <row r="8834">
      <c r="A8834" s="2" t="inlineStr">
        <is>
          <t>2026-06-01</t>
        </is>
      </c>
      <c r="B8834" s="3" t="inlineStr">
        <is>
          <t>삼양엔씨켐</t>
        </is>
      </c>
      <c r="C8834" s="2" t="inlineStr">
        <is>
          <t>코스닥</t>
        </is>
      </c>
      <c r="D8834" s="2" t="inlineStr">
        <is>
          <t>482630</t>
        </is>
      </c>
      <c r="E8834" s="3" t="inlineStr">
        <is>
          <t>대규모기업집단현황공시[연1회공시및1/4분기용(개별회사)]</t>
        </is>
      </c>
      <c r="F8834" s="3" t="inlineStr">
        <is>
          <t>삼양엔씨켐</t>
        </is>
      </c>
      <c r="G8834" s="2" t="inlineStr">
        <is>
          <t>20260601000835</t>
        </is>
      </c>
      <c r="H8834" s="8">
        <f>HYPERLINK("https://dart.fss.or.kr/dsaf001/main.do?rcpNo=20260601000835", "공시열람")</f>
        <v/>
      </c>
    </row>
    <row r="8835">
      <c r="A8835" s="2" t="inlineStr">
        <is>
          <t>2026-06-01</t>
        </is>
      </c>
      <c r="B8835" s="3" t="inlineStr">
        <is>
          <t>조이웍스앤코</t>
        </is>
      </c>
      <c r="C8835" s="2" t="inlineStr">
        <is>
          <t>코스닥</t>
        </is>
      </c>
      <c r="D8835" s="2" t="inlineStr">
        <is>
          <t>309930</t>
        </is>
      </c>
      <c r="E8835" s="3" t="inlineStr">
        <is>
          <t>임원ㆍ주요주주특정증권등소유상황보고서</t>
        </is>
      </c>
      <c r="F8835" s="3" t="inlineStr">
        <is>
          <t>조이웍스</t>
        </is>
      </c>
      <c r="G8835" s="2" t="inlineStr">
        <is>
          <t>20260601000832</t>
        </is>
      </c>
      <c r="H8835" s="8">
        <f>HYPERLINK("https://dart.fss.or.kr/dsaf001/main.do?rcpNo=20260601000832", "공시열람")</f>
        <v/>
      </c>
    </row>
    <row r="8836">
      <c r="A8836" s="2" t="inlineStr">
        <is>
          <t>2026-06-01</t>
        </is>
      </c>
      <c r="B8836" s="3" t="inlineStr">
        <is>
          <t>아세아제지</t>
        </is>
      </c>
      <c r="C8836" s="2" t="inlineStr">
        <is>
          <t>코스피</t>
        </is>
      </c>
      <c r="D8836" s="2" t="inlineStr">
        <is>
          <t>002310</t>
        </is>
      </c>
      <c r="E8836" s="3" t="inlineStr">
        <is>
          <t xml:space="preserve">기업지배구조보고서공시              </t>
        </is>
      </c>
      <c r="F8836" s="3" t="inlineStr">
        <is>
          <t>아세아제지</t>
        </is>
      </c>
      <c r="G8836" s="2" t="inlineStr">
        <is>
          <t>20260601800716</t>
        </is>
      </c>
      <c r="H8836" s="8">
        <f>HYPERLINK("https://dart.fss.or.kr/dsaf001/main.do?rcpNo=20260601800716", "공시열람")</f>
        <v/>
      </c>
    </row>
    <row r="8837">
      <c r="A8837" s="2" t="inlineStr">
        <is>
          <t>2026-06-01</t>
        </is>
      </c>
      <c r="B8837" s="3" t="inlineStr">
        <is>
          <t>에이치와이티씨</t>
        </is>
      </c>
      <c r="C8837" s="2" t="inlineStr">
        <is>
          <t>코스닥</t>
        </is>
      </c>
      <c r="D8837" s="2" t="inlineStr">
        <is>
          <t>148930</t>
        </is>
      </c>
      <c r="E8837" s="3" t="inlineStr">
        <is>
          <t>임원ㆍ주요주주특정증권등소유상황보고서</t>
        </is>
      </c>
      <c r="F8837" s="3" t="inlineStr">
        <is>
          <t>김승준</t>
        </is>
      </c>
      <c r="G8837" s="2" t="inlineStr">
        <is>
          <t>20260601000828</t>
        </is>
      </c>
      <c r="H8837" s="8">
        <f>HYPERLINK("https://dart.fss.or.kr/dsaf001/main.do?rcpNo=20260601000828", "공시열람")</f>
        <v/>
      </c>
    </row>
    <row r="8838">
      <c r="A8838" s="2" t="inlineStr">
        <is>
          <t>2026-06-01</t>
        </is>
      </c>
      <c r="B8838" s="3" t="inlineStr">
        <is>
          <t>HD현대</t>
        </is>
      </c>
      <c r="C8838" s="2" t="inlineStr">
        <is>
          <t>코스피</t>
        </is>
      </c>
      <c r="D8838" s="2" t="inlineStr">
        <is>
          <t>267250</t>
        </is>
      </c>
      <c r="E8838" s="3" t="inlineStr">
        <is>
          <t xml:space="preserve">기업지배구조보고서공시              </t>
        </is>
      </c>
      <c r="F8838" s="3" t="inlineStr">
        <is>
          <t>HD현대</t>
        </is>
      </c>
      <c r="G8838" s="2" t="inlineStr">
        <is>
          <t>20260601800698</t>
        </is>
      </c>
      <c r="H8838" s="8">
        <f>HYPERLINK("https://dart.fss.or.kr/dsaf001/main.do?rcpNo=20260601800698", "공시열람")</f>
        <v/>
      </c>
    </row>
    <row r="8839">
      <c r="A8839" s="2" t="inlineStr">
        <is>
          <t>2026-06-01</t>
        </is>
      </c>
      <c r="B8839" s="3" t="inlineStr">
        <is>
          <t>E1</t>
        </is>
      </c>
      <c r="C8839" s="2" t="inlineStr">
        <is>
          <t>코스피</t>
        </is>
      </c>
      <c r="D8839" s="2" t="inlineStr">
        <is>
          <t>017940</t>
        </is>
      </c>
      <c r="E8839" s="3" t="inlineStr">
        <is>
          <t>대규모기업집단현황공시[연1회공시및1/4분기용(개별회사)]</t>
        </is>
      </c>
      <c r="F8839" s="3" t="inlineStr">
        <is>
          <t>E1</t>
        </is>
      </c>
      <c r="G8839" s="2" t="inlineStr">
        <is>
          <t>20260601000823</t>
        </is>
      </c>
      <c r="H8839" s="8">
        <f>HYPERLINK("https://dart.fss.or.kr/dsaf001/main.do?rcpNo=20260601000823", "공시열람")</f>
        <v/>
      </c>
    </row>
    <row r="8840">
      <c r="A8840" s="2" t="inlineStr">
        <is>
          <t>2026-06-01</t>
        </is>
      </c>
      <c r="B8840" s="3" t="inlineStr">
        <is>
          <t>HD한국조선해양</t>
        </is>
      </c>
      <c r="C8840" s="2" t="inlineStr">
        <is>
          <t>코스피</t>
        </is>
      </c>
      <c r="D8840" s="2" t="inlineStr">
        <is>
          <t>009540</t>
        </is>
      </c>
      <c r="E8840" s="3" t="inlineStr">
        <is>
          <t xml:space="preserve">기업지배구조보고서공시              </t>
        </is>
      </c>
      <c r="F8840" s="3" t="inlineStr">
        <is>
          <t>HD한국조선해양</t>
        </is>
      </c>
      <c r="G8840" s="2" t="inlineStr">
        <is>
          <t>20260601800634</t>
        </is>
      </c>
      <c r="H8840" s="8">
        <f>HYPERLINK("https://dart.fss.or.kr/dsaf001/main.do?rcpNo=20260601800634", "공시열람")</f>
        <v/>
      </c>
    </row>
    <row r="8841">
      <c r="A8841" s="2" t="inlineStr">
        <is>
          <t>2026-06-01</t>
        </is>
      </c>
      <c r="B8841" s="3" t="inlineStr">
        <is>
          <t>삼성카드</t>
        </is>
      </c>
      <c r="C8841" s="2" t="inlineStr">
        <is>
          <t>코스피</t>
        </is>
      </c>
      <c r="D8841" s="2" t="inlineStr">
        <is>
          <t>029780</t>
        </is>
      </c>
      <c r="E8841" s="3" t="inlineStr">
        <is>
          <t>대규모기업집단현황공시[연1회공시및1/4분기용(개별회사)]</t>
        </is>
      </c>
      <c r="F8841" s="3" t="inlineStr">
        <is>
          <t>삼성카드</t>
        </is>
      </c>
      <c r="G8841" s="2" t="inlineStr">
        <is>
          <t>20260601000817</t>
        </is>
      </c>
      <c r="H8841" s="8">
        <f>HYPERLINK("https://dart.fss.or.kr/dsaf001/main.do?rcpNo=20260601000817", "공시열람")</f>
        <v/>
      </c>
    </row>
    <row r="8842">
      <c r="A8842" s="2" t="inlineStr">
        <is>
          <t>2026-06-01</t>
        </is>
      </c>
      <c r="B8842" s="3" t="inlineStr">
        <is>
          <t>KTis</t>
        </is>
      </c>
      <c r="C8842" s="2" t="inlineStr">
        <is>
          <t>코스피</t>
        </is>
      </c>
      <c r="D8842" s="2" t="inlineStr">
        <is>
          <t>058860</t>
        </is>
      </c>
      <c r="E8842" s="3" t="inlineStr">
        <is>
          <t xml:space="preserve">기업지배구조보고서공시              </t>
        </is>
      </c>
      <c r="F8842" s="3" t="inlineStr">
        <is>
          <t>KTis</t>
        </is>
      </c>
      <c r="G8842" s="2" t="inlineStr">
        <is>
          <t>20260601800610</t>
        </is>
      </c>
      <c r="H8842" s="8">
        <f>HYPERLINK("https://dart.fss.or.kr/dsaf001/main.do?rcpNo=20260601800610", "공시열람")</f>
        <v/>
      </c>
    </row>
    <row r="8843">
      <c r="A8843" s="2" t="inlineStr">
        <is>
          <t>2026-06-01</t>
        </is>
      </c>
      <c r="B8843" s="3" t="inlineStr">
        <is>
          <t>코스맥스</t>
        </is>
      </c>
      <c r="C8843" s="2" t="inlineStr">
        <is>
          <t>코스피</t>
        </is>
      </c>
      <c r="D8843" s="2" t="inlineStr">
        <is>
          <t>192820</t>
        </is>
      </c>
      <c r="E8843" s="3" t="inlineStr">
        <is>
          <t xml:space="preserve">기업지배구조보고서공시              </t>
        </is>
      </c>
      <c r="F8843" s="3" t="inlineStr">
        <is>
          <t>코스맥스</t>
        </is>
      </c>
      <c r="G8843" s="2" t="inlineStr">
        <is>
          <t>20260601800703</t>
        </is>
      </c>
      <c r="H8843" s="8">
        <f>HYPERLINK("https://dart.fss.or.kr/dsaf001/main.do?rcpNo=20260601800703", "공시열람")</f>
        <v/>
      </c>
    </row>
    <row r="8844">
      <c r="A8844" s="2" t="inlineStr">
        <is>
          <t>2026-06-01</t>
        </is>
      </c>
      <c r="B8844" s="3" t="inlineStr">
        <is>
          <t>삼정펄프</t>
        </is>
      </c>
      <c r="C8844" s="2" t="inlineStr">
        <is>
          <t>코스피</t>
        </is>
      </c>
      <c r="D8844" s="2" t="inlineStr">
        <is>
          <t>009770</t>
        </is>
      </c>
      <c r="E8844" s="3" t="inlineStr">
        <is>
          <t xml:space="preserve">기업지배구조보고서공시              </t>
        </is>
      </c>
      <c r="F8844" s="3" t="inlineStr">
        <is>
          <t>삼정펄프</t>
        </is>
      </c>
      <c r="G8844" s="2" t="inlineStr">
        <is>
          <t>20260601800687</t>
        </is>
      </c>
      <c r="H8844" s="8">
        <f>HYPERLINK("https://dart.fss.or.kr/dsaf001/main.do?rcpNo=20260601800687", "공시열람")</f>
        <v/>
      </c>
    </row>
    <row r="8845">
      <c r="A8845" s="2" t="inlineStr">
        <is>
          <t>2026-06-01</t>
        </is>
      </c>
      <c r="B8845" s="3" t="inlineStr">
        <is>
          <t>수산인더스트리</t>
        </is>
      </c>
      <c r="C8845" s="2" t="inlineStr">
        <is>
          <t>코스피</t>
        </is>
      </c>
      <c r="D8845" s="2" t="inlineStr">
        <is>
          <t>126720</t>
        </is>
      </c>
      <c r="E8845" s="3" t="inlineStr">
        <is>
          <t xml:space="preserve">기업지배구조보고서공시              </t>
        </is>
      </c>
      <c r="F8845" s="3" t="inlineStr">
        <is>
          <t>수산인더스트리</t>
        </is>
      </c>
      <c r="G8845" s="2" t="inlineStr">
        <is>
          <t>20260601800484</t>
        </is>
      </c>
      <c r="H8845" s="8">
        <f>HYPERLINK("https://dart.fss.or.kr/dsaf001/main.do?rcpNo=20260601800484", "공시열람")</f>
        <v/>
      </c>
    </row>
    <row r="8846">
      <c r="A8846" s="2" t="inlineStr">
        <is>
          <t>2026-06-01</t>
        </is>
      </c>
      <c r="B8846" s="3" t="inlineStr">
        <is>
          <t>케이엠제약</t>
        </is>
      </c>
      <c r="C8846" s="2" t="inlineStr">
        <is>
          <t>코스닥</t>
        </is>
      </c>
      <c r="D8846" s="2" t="inlineStr">
        <is>
          <t>225430</t>
        </is>
      </c>
      <c r="E8846" s="3" t="inlineStr">
        <is>
          <t>임원ㆍ주요주주특정증권등소유상황보고서</t>
        </is>
      </c>
      <c r="F8846" s="3" t="inlineStr">
        <is>
          <t>강일모</t>
        </is>
      </c>
      <c r="G8846" s="2" t="inlineStr">
        <is>
          <t>20260601000812</t>
        </is>
      </c>
      <c r="H8846" s="8">
        <f>HYPERLINK("https://dart.fss.or.kr/dsaf001/main.do?rcpNo=20260601000812", "공시열람")</f>
        <v/>
      </c>
    </row>
    <row r="8847">
      <c r="A8847" s="2" t="inlineStr">
        <is>
          <t>2026-06-01</t>
        </is>
      </c>
      <c r="B8847" s="3" t="inlineStr">
        <is>
          <t>한미사이언스</t>
        </is>
      </c>
      <c r="C8847" s="2" t="inlineStr">
        <is>
          <t>코스피</t>
        </is>
      </c>
      <c r="D8847" s="2" t="inlineStr">
        <is>
          <t>008930</t>
        </is>
      </c>
      <c r="E8847" s="3" t="inlineStr">
        <is>
          <t xml:space="preserve">기업지배구조보고서공시              </t>
        </is>
      </c>
      <c r="F8847" s="3" t="inlineStr">
        <is>
          <t>한미사이언스</t>
        </is>
      </c>
      <c r="G8847" s="2" t="inlineStr">
        <is>
          <t>20260601800700</t>
        </is>
      </c>
      <c r="H8847" s="8">
        <f>HYPERLINK("https://dart.fss.or.kr/dsaf001/main.do?rcpNo=20260601800700", "공시열람")</f>
        <v/>
      </c>
    </row>
    <row r="8848">
      <c r="A8848" s="2" t="inlineStr">
        <is>
          <t>2026-06-01</t>
        </is>
      </c>
      <c r="B8848" s="3" t="inlineStr">
        <is>
          <t>아세아시멘트</t>
        </is>
      </c>
      <c r="C8848" s="2" t="inlineStr">
        <is>
          <t>코스피</t>
        </is>
      </c>
      <c r="D8848" s="2" t="inlineStr">
        <is>
          <t>183190</t>
        </is>
      </c>
      <c r="E8848" s="3" t="inlineStr">
        <is>
          <t xml:space="preserve">기업지배구조보고서공시              </t>
        </is>
      </c>
      <c r="F8848" s="3" t="inlineStr">
        <is>
          <t>아세아시멘트</t>
        </is>
      </c>
      <c r="G8848" s="2" t="inlineStr">
        <is>
          <t>20260601800693</t>
        </is>
      </c>
      <c r="H8848" s="8">
        <f>HYPERLINK("https://dart.fss.or.kr/dsaf001/main.do?rcpNo=20260601800693", "공시열람")</f>
        <v/>
      </c>
    </row>
    <row r="8849">
      <c r="A8849" s="2" t="inlineStr">
        <is>
          <t>2026-06-01</t>
        </is>
      </c>
      <c r="B8849" s="3" t="inlineStr">
        <is>
          <t>SP삼화</t>
        </is>
      </c>
      <c r="C8849" s="2" t="inlineStr">
        <is>
          <t>코스피</t>
        </is>
      </c>
      <c r="D8849" s="2" t="inlineStr">
        <is>
          <t>000390</t>
        </is>
      </c>
      <c r="E8849" s="3" t="inlineStr">
        <is>
          <t xml:space="preserve">기업지배구조보고서공시              </t>
        </is>
      </c>
      <c r="F8849" s="3" t="inlineStr">
        <is>
          <t>SP삼화</t>
        </is>
      </c>
      <c r="G8849" s="2" t="inlineStr">
        <is>
          <t>20260601800678</t>
        </is>
      </c>
      <c r="H8849" s="8">
        <f>HYPERLINK("https://dart.fss.or.kr/dsaf001/main.do?rcpNo=20260601800678", "공시열람")</f>
        <v/>
      </c>
    </row>
    <row r="8850">
      <c r="A8850" s="2" t="inlineStr">
        <is>
          <t>2026-06-01</t>
        </is>
      </c>
      <c r="B8850" s="3" t="inlineStr">
        <is>
          <t>IPARK현대산업개발</t>
        </is>
      </c>
      <c r="C8850" s="2" t="inlineStr">
        <is>
          <t>코스피</t>
        </is>
      </c>
      <c r="D8850" s="2" t="inlineStr">
        <is>
          <t>294870</t>
        </is>
      </c>
      <c r="E8850" s="3" t="inlineStr">
        <is>
          <t xml:space="preserve">기업지배구조보고서공시              </t>
        </is>
      </c>
      <c r="F8850" s="3" t="inlineStr">
        <is>
          <t>IPARK현대산업개발</t>
        </is>
      </c>
      <c r="G8850" s="2" t="inlineStr">
        <is>
          <t>20260601800692</t>
        </is>
      </c>
      <c r="H8850" s="8">
        <f>HYPERLINK("https://dart.fss.or.kr/dsaf001/main.do?rcpNo=20260601800692", "공시열람")</f>
        <v/>
      </c>
    </row>
    <row r="8851">
      <c r="A8851" s="2" t="inlineStr">
        <is>
          <t>2026-06-01</t>
        </is>
      </c>
      <c r="B8851" s="3" t="inlineStr">
        <is>
          <t>영흥</t>
        </is>
      </c>
      <c r="C8851" s="2" t="inlineStr">
        <is>
          <t>코스피</t>
        </is>
      </c>
      <c r="D8851" s="2" t="inlineStr">
        <is>
          <t>012160</t>
        </is>
      </c>
      <c r="E8851" s="3" t="inlineStr">
        <is>
          <t xml:space="preserve">기업지배구조보고서공시              </t>
        </is>
      </c>
      <c r="F8851" s="3" t="inlineStr">
        <is>
          <t>영흥</t>
        </is>
      </c>
      <c r="G8851" s="2" t="inlineStr">
        <is>
          <t>20260601800689</t>
        </is>
      </c>
      <c r="H8851" s="8">
        <f>HYPERLINK("https://dart.fss.or.kr/dsaf001/main.do?rcpNo=20260601800689", "공시열람")</f>
        <v/>
      </c>
    </row>
    <row r="8852">
      <c r="A8852" s="2" t="inlineStr">
        <is>
          <t>2026-06-01</t>
        </is>
      </c>
      <c r="B8852" s="3" t="inlineStr">
        <is>
          <t>신세계</t>
        </is>
      </c>
      <c r="C8852" s="2" t="inlineStr">
        <is>
          <t>코스피</t>
        </is>
      </c>
      <c r="D8852" s="2" t="inlineStr">
        <is>
          <t>004170</t>
        </is>
      </c>
      <c r="E8852" s="3" t="inlineStr">
        <is>
          <t>대규모기업집단현황공시[연1회공시및1/4분기용(대표회사)]</t>
        </is>
      </c>
      <c r="F8852" s="3" t="inlineStr">
        <is>
          <t>신세계</t>
        </is>
      </c>
      <c r="G8852" s="2" t="inlineStr">
        <is>
          <t>20260601000798</t>
        </is>
      </c>
      <c r="H8852" s="8">
        <f>HYPERLINK("https://dart.fss.or.kr/dsaf001/main.do?rcpNo=20260601000798", "공시열람")</f>
        <v/>
      </c>
    </row>
    <row r="8853">
      <c r="A8853" s="2" t="inlineStr">
        <is>
          <t>2026-06-01</t>
        </is>
      </c>
      <c r="B8853" s="3" t="inlineStr">
        <is>
          <t>한화갤러리아</t>
        </is>
      </c>
      <c r="C8853" s="2" t="inlineStr">
        <is>
          <t>코스피</t>
        </is>
      </c>
      <c r="D8853" s="2" t="inlineStr">
        <is>
          <t>452260</t>
        </is>
      </c>
      <c r="E8853" s="3" t="inlineStr">
        <is>
          <t xml:space="preserve">기업지배구조보고서공시              </t>
        </is>
      </c>
      <c r="F8853" s="3" t="inlineStr">
        <is>
          <t>한화갤러리아</t>
        </is>
      </c>
      <c r="G8853" s="2" t="inlineStr">
        <is>
          <t>20260601800672</t>
        </is>
      </c>
      <c r="H8853" s="8">
        <f>HYPERLINK("https://dart.fss.or.kr/dsaf001/main.do?rcpNo=20260601800672", "공시열람")</f>
        <v/>
      </c>
    </row>
    <row r="8854">
      <c r="A8854" s="2" t="inlineStr">
        <is>
          <t>2026-06-01</t>
        </is>
      </c>
      <c r="B8854" s="3" t="inlineStr">
        <is>
          <t>한미약품</t>
        </is>
      </c>
      <c r="C8854" s="2" t="inlineStr">
        <is>
          <t>코스피</t>
        </is>
      </c>
      <c r="D8854" s="2" t="inlineStr">
        <is>
          <t>128940</t>
        </is>
      </c>
      <c r="E8854" s="3" t="inlineStr">
        <is>
          <t xml:space="preserve">기업지배구조보고서공시              </t>
        </is>
      </c>
      <c r="F8854" s="3" t="inlineStr">
        <is>
          <t>한미약품</t>
        </is>
      </c>
      <c r="G8854" s="2" t="inlineStr">
        <is>
          <t>20260601800683</t>
        </is>
      </c>
      <c r="H8854" s="8">
        <f>HYPERLINK("https://dart.fss.or.kr/dsaf001/main.do?rcpNo=20260601800683", "공시열람")</f>
        <v/>
      </c>
    </row>
    <row r="8855">
      <c r="A8855" s="2" t="inlineStr">
        <is>
          <t>2026-06-01</t>
        </is>
      </c>
      <c r="B8855" s="3" t="inlineStr">
        <is>
          <t>키움증권</t>
        </is>
      </c>
      <c r="C8855" s="2" t="inlineStr">
        <is>
          <t>코스피</t>
        </is>
      </c>
      <c r="D8855" s="2" t="inlineStr">
        <is>
          <t>039490</t>
        </is>
      </c>
      <c r="E8855" s="3" t="inlineStr">
        <is>
          <t>일괄신고추가서류(파생결합사채-주가연계파생결합사채)</t>
        </is>
      </c>
      <c r="F8855" s="3" t="inlineStr">
        <is>
          <t>키움증권</t>
        </is>
      </c>
      <c r="G8855" s="2" t="inlineStr">
        <is>
          <t>20260601000785</t>
        </is>
      </c>
      <c r="H8855" s="8">
        <f>HYPERLINK("https://dart.fss.or.kr/dsaf001/main.do?rcpNo=20260601000785", "공시열람")</f>
        <v/>
      </c>
    </row>
    <row r="8856">
      <c r="A8856" s="2" t="inlineStr">
        <is>
          <t>2026-06-01</t>
        </is>
      </c>
      <c r="B8856" s="3" t="inlineStr">
        <is>
          <t>HDC랩스</t>
        </is>
      </c>
      <c r="C8856" s="2" t="inlineStr">
        <is>
          <t>코스피</t>
        </is>
      </c>
      <c r="D8856" s="2" t="inlineStr">
        <is>
          <t>039570</t>
        </is>
      </c>
      <c r="E8856" s="3" t="inlineStr">
        <is>
          <t>대규모기업집단현황공시[연1회공시및1/4분기용(개별회사)]</t>
        </is>
      </c>
      <c r="F8856" s="3" t="inlineStr">
        <is>
          <t>HDC랩스</t>
        </is>
      </c>
      <c r="G8856" s="2" t="inlineStr">
        <is>
          <t>20260601000783</t>
        </is>
      </c>
      <c r="H8856" s="8">
        <f>HYPERLINK("https://dart.fss.or.kr/dsaf001/main.do?rcpNo=20260601000783", "공시열람")</f>
        <v/>
      </c>
    </row>
    <row r="8857">
      <c r="A8857" s="2" t="inlineStr">
        <is>
          <t>2026-06-01</t>
        </is>
      </c>
      <c r="B8857" s="3" t="inlineStr">
        <is>
          <t>삼양케이씨아이</t>
        </is>
      </c>
      <c r="C8857" s="2" t="inlineStr">
        <is>
          <t>코스닥</t>
        </is>
      </c>
      <c r="D8857" s="2" t="inlineStr">
        <is>
          <t>036670</t>
        </is>
      </c>
      <c r="E8857" s="3" t="inlineStr">
        <is>
          <t>대규모기업집단현황공시[연1회공시및1/4분기용(개별회사)]</t>
        </is>
      </c>
      <c r="F8857" s="3" t="inlineStr">
        <is>
          <t>삼양케이씨아이</t>
        </is>
      </c>
      <c r="G8857" s="2" t="inlineStr">
        <is>
          <t>20260601000779</t>
        </is>
      </c>
      <c r="H8857" s="8">
        <f>HYPERLINK("https://dart.fss.or.kr/dsaf001/main.do?rcpNo=20260601000779", "공시열람")</f>
        <v/>
      </c>
    </row>
    <row r="8858">
      <c r="A8858" s="2" t="inlineStr">
        <is>
          <t>2026-06-01</t>
        </is>
      </c>
      <c r="B8858" s="3" t="inlineStr">
        <is>
          <t>가온전선</t>
        </is>
      </c>
      <c r="C8858" s="2" t="inlineStr">
        <is>
          <t>코스피</t>
        </is>
      </c>
      <c r="D8858" s="2" t="inlineStr">
        <is>
          <t>000500</t>
        </is>
      </c>
      <c r="E8858" s="3" t="inlineStr">
        <is>
          <t>대규모기업집단현황공시[연1회공시및1/4분기용(개별회사)]</t>
        </is>
      </c>
      <c r="F8858" s="3" t="inlineStr">
        <is>
          <t>가온전선</t>
        </is>
      </c>
      <c r="G8858" s="2" t="inlineStr">
        <is>
          <t>20260601000778</t>
        </is>
      </c>
      <c r="H8858" s="8">
        <f>HYPERLINK("https://dart.fss.or.kr/dsaf001/main.do?rcpNo=20260601000778", "공시열람")</f>
        <v/>
      </c>
    </row>
    <row r="8859">
      <c r="A8859" s="2" t="inlineStr">
        <is>
          <t>2026-06-01</t>
        </is>
      </c>
      <c r="B8859" s="3" t="inlineStr">
        <is>
          <t>특수건설</t>
        </is>
      </c>
      <c r="C8859" s="2" t="inlineStr">
        <is>
          <t>코스닥</t>
        </is>
      </c>
      <c r="D8859" s="2" t="inlineStr">
        <is>
          <t>026150</t>
        </is>
      </c>
      <c r="E8859" s="3" t="inlineStr">
        <is>
          <t xml:space="preserve">전환사채(해외전환사채포함)발행후만기전사채취득              </t>
        </is>
      </c>
      <c r="F8859" s="3" t="inlineStr">
        <is>
          <t>특수건설</t>
        </is>
      </c>
      <c r="G8859" s="2" t="inlineStr">
        <is>
          <t>20260601900659</t>
        </is>
      </c>
      <c r="H8859" s="8">
        <f>HYPERLINK("https://dart.fss.or.kr/dsaf001/main.do?rcpNo=20260601900659", "공시열람")</f>
        <v/>
      </c>
    </row>
    <row r="8860">
      <c r="A8860" s="2" t="inlineStr">
        <is>
          <t>2026-06-01</t>
        </is>
      </c>
      <c r="B8860" s="3" t="inlineStr">
        <is>
          <t>지오엘리먼트</t>
        </is>
      </c>
      <c r="C8860" s="2" t="inlineStr">
        <is>
          <t>코스닥</t>
        </is>
      </c>
      <c r="D8860" s="2" t="inlineStr">
        <is>
          <t>311320</t>
        </is>
      </c>
      <c r="E8860" s="3" t="inlineStr">
        <is>
          <t>주식매수선택권부여에관한신고</t>
        </is>
      </c>
      <c r="F8860" s="3" t="inlineStr">
        <is>
          <t>지오엘리먼트</t>
        </is>
      </c>
      <c r="G8860" s="2" t="inlineStr">
        <is>
          <t>20260601000775</t>
        </is>
      </c>
      <c r="H8860" s="8">
        <f>HYPERLINK("https://dart.fss.or.kr/dsaf001/main.do?rcpNo=20260601000775", "공시열람")</f>
        <v/>
      </c>
    </row>
    <row r="8861">
      <c r="A8861" s="2" t="inlineStr">
        <is>
          <t>2026-06-01</t>
        </is>
      </c>
      <c r="B8861" s="3" t="inlineStr">
        <is>
          <t>삼양사</t>
        </is>
      </c>
      <c r="C8861" s="2" t="inlineStr">
        <is>
          <t>코스피</t>
        </is>
      </c>
      <c r="D8861" s="2" t="inlineStr">
        <is>
          <t>145990</t>
        </is>
      </c>
      <c r="E8861" s="3" t="inlineStr">
        <is>
          <t>대규모기업집단현황공시[연1회공시및1/4분기용(개별회사)]</t>
        </is>
      </c>
      <c r="F8861" s="3" t="inlineStr">
        <is>
          <t>삼양사</t>
        </is>
      </c>
      <c r="G8861" s="2" t="inlineStr">
        <is>
          <t>20260601000772</t>
        </is>
      </c>
      <c r="H8861" s="8">
        <f>HYPERLINK("https://dart.fss.or.kr/dsaf001/main.do?rcpNo=20260601000772", "공시열람")</f>
        <v/>
      </c>
    </row>
    <row r="8862">
      <c r="A8862" s="2" t="inlineStr">
        <is>
          <t>2026-06-01</t>
        </is>
      </c>
      <c r="B8862" s="3" t="inlineStr">
        <is>
          <t>GS</t>
        </is>
      </c>
      <c r="C8862" s="2" t="inlineStr">
        <is>
          <t>코스피</t>
        </is>
      </c>
      <c r="D8862" s="2" t="inlineStr">
        <is>
          <t>078930</t>
        </is>
      </c>
      <c r="E8862" s="3" t="inlineStr">
        <is>
          <t>대규모기업집단현황공시[연1회공시및1/4분기용(대표회사)]</t>
        </is>
      </c>
      <c r="F8862" s="3" t="inlineStr">
        <is>
          <t>GS</t>
        </is>
      </c>
      <c r="G8862" s="2" t="inlineStr">
        <is>
          <t>20260601000769</t>
        </is>
      </c>
      <c r="H8862" s="8">
        <f>HYPERLINK("https://dart.fss.or.kr/dsaf001/main.do?rcpNo=20260601000769", "공시열람")</f>
        <v/>
      </c>
    </row>
    <row r="8863">
      <c r="A8863" s="2" t="inlineStr">
        <is>
          <t>2026-06-01</t>
        </is>
      </c>
      <c r="B8863" s="3" t="inlineStr">
        <is>
          <t>아모레퍼시픽</t>
        </is>
      </c>
      <c r="C8863" s="2" t="inlineStr">
        <is>
          <t>코스피</t>
        </is>
      </c>
      <c r="D8863" s="2" t="inlineStr">
        <is>
          <t>090430</t>
        </is>
      </c>
      <c r="E8863" s="3" t="inlineStr">
        <is>
          <t>대규모기업집단현황공시[연1회공시및1/4분기용(개별회사)]</t>
        </is>
      </c>
      <c r="F8863" s="3" t="inlineStr">
        <is>
          <t>아모레퍼시픽</t>
        </is>
      </c>
      <c r="G8863" s="2" t="inlineStr">
        <is>
          <t>20260601000768</t>
        </is>
      </c>
      <c r="H8863" s="8">
        <f>HYPERLINK("https://dart.fss.or.kr/dsaf001/main.do?rcpNo=20260601000768", "공시열람")</f>
        <v/>
      </c>
    </row>
    <row r="8864">
      <c r="A8864" s="2" t="inlineStr">
        <is>
          <t>2026-06-01</t>
        </is>
      </c>
      <c r="B8864" s="3" t="inlineStr">
        <is>
          <t>LS증권</t>
        </is>
      </c>
      <c r="C8864" s="2" t="inlineStr">
        <is>
          <t>코스닥</t>
        </is>
      </c>
      <c r="D8864" s="2" t="inlineStr">
        <is>
          <t>078020</t>
        </is>
      </c>
      <c r="E8864" s="3" t="inlineStr">
        <is>
          <t>대규모기업집단현황공시[연1회공시및1/4분기용(개별회사)]</t>
        </is>
      </c>
      <c r="F8864" s="3" t="inlineStr">
        <is>
          <t>LS증권</t>
        </is>
      </c>
      <c r="G8864" s="2" t="inlineStr">
        <is>
          <t>20260601000765</t>
        </is>
      </c>
      <c r="H8864" s="8">
        <f>HYPERLINK("https://dart.fss.or.kr/dsaf001/main.do?rcpNo=20260601000765", "공시열람")</f>
        <v/>
      </c>
    </row>
    <row r="8865">
      <c r="A8865" s="2" t="inlineStr">
        <is>
          <t>2026-06-01</t>
        </is>
      </c>
      <c r="B8865" s="3" t="inlineStr">
        <is>
          <t>한국타이어앤테크놀로지</t>
        </is>
      </c>
      <c r="C8865" s="2" t="inlineStr">
        <is>
          <t>코스피</t>
        </is>
      </c>
      <c r="D8865" s="2" t="inlineStr">
        <is>
          <t>161390</t>
        </is>
      </c>
      <c r="E8865" s="3" t="inlineStr">
        <is>
          <t xml:space="preserve">기업지배구조보고서공시              </t>
        </is>
      </c>
      <c r="F8865" s="3" t="inlineStr">
        <is>
          <t>한국타이어앤테크놀로지</t>
        </is>
      </c>
      <c r="G8865" s="2" t="inlineStr">
        <is>
          <t>20260601800641</t>
        </is>
      </c>
      <c r="H8865" s="8">
        <f>HYPERLINK("https://dart.fss.or.kr/dsaf001/main.do?rcpNo=20260601800641", "공시열람")</f>
        <v/>
      </c>
    </row>
    <row r="8866">
      <c r="A8866" s="2" t="inlineStr">
        <is>
          <t>2026-06-01</t>
        </is>
      </c>
      <c r="B8866" s="3" t="inlineStr">
        <is>
          <t>삼성에피스홀딩스</t>
        </is>
      </c>
      <c r="C8866" s="2" t="inlineStr">
        <is>
          <t>코스피</t>
        </is>
      </c>
      <c r="D8866" s="2" t="inlineStr">
        <is>
          <t>0126Z0</t>
        </is>
      </c>
      <c r="E8866" s="3" t="inlineStr">
        <is>
          <t xml:space="preserve">기업지배구조보고서공시              </t>
        </is>
      </c>
      <c r="F8866" s="3" t="inlineStr">
        <is>
          <t>삼성에피스홀딩스</t>
        </is>
      </c>
      <c r="G8866" s="2" t="inlineStr">
        <is>
          <t>20260601800643</t>
        </is>
      </c>
      <c r="H8866" s="8">
        <f>HYPERLINK("https://dart.fss.or.kr/dsaf001/main.do?rcpNo=20260601800643", "공시열람")</f>
        <v/>
      </c>
    </row>
    <row r="8867">
      <c r="A8867" s="2" t="inlineStr">
        <is>
          <t>2026-06-01</t>
        </is>
      </c>
      <c r="B8867" s="3" t="inlineStr">
        <is>
          <t>NH투자증권</t>
        </is>
      </c>
      <c r="C8867" s="2" t="inlineStr">
        <is>
          <t>코스피</t>
        </is>
      </c>
      <c r="D8867" s="2" t="inlineStr">
        <is>
          <t>005940</t>
        </is>
      </c>
      <c r="E8867" s="3" t="inlineStr">
        <is>
          <t>투자설명서(일괄신고)</t>
        </is>
      </c>
      <c r="F8867" s="3" t="inlineStr">
        <is>
          <t>NH투자증권</t>
        </is>
      </c>
      <c r="G8867" s="2" t="inlineStr">
        <is>
          <t>20260601000758</t>
        </is>
      </c>
      <c r="H8867" s="8">
        <f>HYPERLINK("https://dart.fss.or.kr/dsaf001/main.do?rcpNo=20260601000758", "공시열람")</f>
        <v/>
      </c>
    </row>
    <row r="8868">
      <c r="A8868" s="2" t="inlineStr">
        <is>
          <t>2026-06-01</t>
        </is>
      </c>
      <c r="B8868" s="3" t="inlineStr">
        <is>
          <t>손오공</t>
        </is>
      </c>
      <c r="C8868" s="2" t="inlineStr">
        <is>
          <t>코스닥</t>
        </is>
      </c>
      <c r="D8868" s="2" t="inlineStr">
        <is>
          <t>066910</t>
        </is>
      </c>
      <c r="E8868" s="3" t="inlineStr">
        <is>
          <t>임원ㆍ주요주주특정증권등소유상황보고서</t>
        </is>
      </c>
      <c r="F8868" s="3" t="inlineStr">
        <is>
          <t>에이치케이모빌리티컴퍼니</t>
        </is>
      </c>
      <c r="G8868" s="2" t="inlineStr">
        <is>
          <t>20260601000752</t>
        </is>
      </c>
      <c r="H8868" s="8">
        <f>HYPERLINK("https://dart.fss.or.kr/dsaf001/main.do?rcpNo=20260601000752", "공시열람")</f>
        <v/>
      </c>
    </row>
    <row r="8869">
      <c r="A8869" s="2" t="inlineStr">
        <is>
          <t>2026-06-01</t>
        </is>
      </c>
      <c r="B8869" s="3" t="inlineStr">
        <is>
          <t>지오엘리먼트</t>
        </is>
      </c>
      <c r="C8869" s="2" t="inlineStr">
        <is>
          <t>코스닥</t>
        </is>
      </c>
      <c r="D8869" s="2" t="inlineStr">
        <is>
          <t>311320</t>
        </is>
      </c>
      <c r="E8869" s="3" t="inlineStr">
        <is>
          <t>사외이사의선임ㆍ해임또는중도퇴임에관한신고</t>
        </is>
      </c>
      <c r="F8869" s="3" t="inlineStr">
        <is>
          <t>지오엘리먼트</t>
        </is>
      </c>
      <c r="G8869" s="2" t="inlineStr">
        <is>
          <t>20260601000749</t>
        </is>
      </c>
      <c r="H8869" s="8">
        <f>HYPERLINK("https://dart.fss.or.kr/dsaf001/main.do?rcpNo=20260601000749", "공시열람")</f>
        <v/>
      </c>
    </row>
    <row r="8870">
      <c r="A8870" s="2" t="inlineStr">
        <is>
          <t>2026-06-01</t>
        </is>
      </c>
      <c r="B8870" s="3" t="inlineStr">
        <is>
          <t>일신석재</t>
        </is>
      </c>
      <c r="C8870" s="2" t="inlineStr">
        <is>
          <t>코스피</t>
        </is>
      </c>
      <c r="D8870" s="2" t="inlineStr">
        <is>
          <t>007110</t>
        </is>
      </c>
      <c r="E8870" s="3" t="inlineStr">
        <is>
          <t xml:space="preserve">기업지배구조보고서공시              </t>
        </is>
      </c>
      <c r="F8870" s="3" t="inlineStr">
        <is>
          <t>일신석재</t>
        </is>
      </c>
      <c r="G8870" s="2" t="inlineStr">
        <is>
          <t>20260601800631</t>
        </is>
      </c>
      <c r="H8870" s="8">
        <f>HYPERLINK("https://dart.fss.or.kr/dsaf001/main.do?rcpNo=20260601800631", "공시열람")</f>
        <v/>
      </c>
    </row>
    <row r="8871">
      <c r="A8871" s="2" t="inlineStr">
        <is>
          <t>2026-06-01</t>
        </is>
      </c>
      <c r="B8871" s="3" t="inlineStr">
        <is>
          <t>갤럭시아머니트리</t>
        </is>
      </c>
      <c r="C8871" s="2" t="inlineStr">
        <is>
          <t>코스닥</t>
        </is>
      </c>
      <c r="D8871" s="2" t="inlineStr">
        <is>
          <t>094480</t>
        </is>
      </c>
      <c r="E8871" s="3" t="inlineStr">
        <is>
          <t>대규모기업집단현황공시[연1회공시및1/4분기용(개별회사)]</t>
        </is>
      </c>
      <c r="F8871" s="3" t="inlineStr">
        <is>
          <t>갤럭시아머니트리</t>
        </is>
      </c>
      <c r="G8871" s="2" t="inlineStr">
        <is>
          <t>20260601000745</t>
        </is>
      </c>
      <c r="H8871" s="8">
        <f>HYPERLINK("https://dart.fss.or.kr/dsaf001/main.do?rcpNo=20260601000745", "공시열람")</f>
        <v/>
      </c>
    </row>
    <row r="8872">
      <c r="A8872" s="2" t="inlineStr">
        <is>
          <t>2026-06-01</t>
        </is>
      </c>
      <c r="B8872" s="3" t="inlineStr">
        <is>
          <t>현대오토에버</t>
        </is>
      </c>
      <c r="C8872" s="2" t="inlineStr">
        <is>
          <t>코스피</t>
        </is>
      </c>
      <c r="D8872" s="2" t="inlineStr">
        <is>
          <t>307950</t>
        </is>
      </c>
      <c r="E8872" s="3" t="inlineStr">
        <is>
          <t xml:space="preserve">기업지배구조보고서공시              </t>
        </is>
      </c>
      <c r="F8872" s="3" t="inlineStr">
        <is>
          <t>현대오토에버</t>
        </is>
      </c>
      <c r="G8872" s="2" t="inlineStr">
        <is>
          <t>20260601800625</t>
        </is>
      </c>
      <c r="H8872" s="8">
        <f>HYPERLINK("https://dart.fss.or.kr/dsaf001/main.do?rcpNo=20260601800625", "공시열람")</f>
        <v/>
      </c>
    </row>
    <row r="8873">
      <c r="A8873" s="2" t="inlineStr">
        <is>
          <t>2026-06-01</t>
        </is>
      </c>
      <c r="B8873" s="3" t="inlineStr">
        <is>
          <t>LX세미콘</t>
        </is>
      </c>
      <c r="C8873" s="2" t="inlineStr">
        <is>
          <t>코스피</t>
        </is>
      </c>
      <c r="D8873" s="2" t="inlineStr">
        <is>
          <t>108320</t>
        </is>
      </c>
      <c r="E8873" s="3" t="inlineStr">
        <is>
          <t xml:space="preserve">기업지배구조보고서공시              </t>
        </is>
      </c>
      <c r="F8873" s="3" t="inlineStr">
        <is>
          <t>LX세미콘</t>
        </is>
      </c>
      <c r="G8873" s="2" t="inlineStr">
        <is>
          <t>20260601800621</t>
        </is>
      </c>
      <c r="H8873" s="8">
        <f>HYPERLINK("https://dart.fss.or.kr/dsaf001/main.do?rcpNo=20260601800621", "공시열람")</f>
        <v/>
      </c>
    </row>
    <row r="8874">
      <c r="A8874" s="2" t="inlineStr">
        <is>
          <t>2026-06-01</t>
        </is>
      </c>
      <c r="B8874" s="3" t="inlineStr">
        <is>
          <t>삼양패키징</t>
        </is>
      </c>
      <c r="C8874" s="2" t="inlineStr">
        <is>
          <t>코스피</t>
        </is>
      </c>
      <c r="D8874" s="2" t="inlineStr">
        <is>
          <t>272550</t>
        </is>
      </c>
      <c r="E8874" s="3" t="inlineStr">
        <is>
          <t>대규모기업집단현황공시[연1회공시및1/4분기용(개별회사)]</t>
        </is>
      </c>
      <c r="F8874" s="3" t="inlineStr">
        <is>
          <t>삼양패키징</t>
        </is>
      </c>
      <c r="G8874" s="2" t="inlineStr">
        <is>
          <t>20260601000740</t>
        </is>
      </c>
      <c r="H8874" s="8">
        <f>HYPERLINK("https://dart.fss.or.kr/dsaf001/main.do?rcpNo=20260601000740", "공시열람")</f>
        <v/>
      </c>
    </row>
    <row r="8875">
      <c r="A8875" s="2" t="inlineStr">
        <is>
          <t>2026-06-01 (정정: 2026-06-02)</t>
        </is>
      </c>
      <c r="B8875" s="3" t="inlineStr">
        <is>
          <t>휴비스</t>
        </is>
      </c>
      <c r="C8875" s="2" t="inlineStr">
        <is>
          <t>코스피</t>
        </is>
      </c>
      <c r="D8875" s="2" t="inlineStr">
        <is>
          <t>079980</t>
        </is>
      </c>
      <c r="E8875" s="3" t="inlineStr">
        <is>
          <t>기업지배구조보고서공시               (정정: 20260602)</t>
        </is>
      </c>
      <c r="F8875" s="3" t="inlineStr">
        <is>
          <t>휴비스</t>
        </is>
      </c>
      <c r="G8875" s="2" t="inlineStr">
        <is>
          <t>20260602000382</t>
        </is>
      </c>
      <c r="H8875" s="8">
        <f>HYPERLINK("https://dart.fss.or.kr/dsaf001/main.do?rcpNo=20260602000382", "공시열람")</f>
        <v/>
      </c>
    </row>
    <row r="8876">
      <c r="A8876" s="2" t="inlineStr">
        <is>
          <t>2026-06-01</t>
        </is>
      </c>
      <c r="B8876" s="3" t="inlineStr">
        <is>
          <t>LS네트웍스</t>
        </is>
      </c>
      <c r="C8876" s="2" t="inlineStr">
        <is>
          <t>코스피</t>
        </is>
      </c>
      <c r="D8876" s="2" t="inlineStr">
        <is>
          <t>000680</t>
        </is>
      </c>
      <c r="E8876" s="3" t="inlineStr">
        <is>
          <t>대규모기업집단현황공시[연1회공시및1/4분기용(개별회사)]</t>
        </is>
      </c>
      <c r="F8876" s="3" t="inlineStr">
        <is>
          <t>LS네트웍스</t>
        </is>
      </c>
      <c r="G8876" s="2" t="inlineStr">
        <is>
          <t>20260601000738</t>
        </is>
      </c>
      <c r="H8876" s="8">
        <f>HYPERLINK("https://dart.fss.or.kr/dsaf001/main.do?rcpNo=20260601000738", "공시열람")</f>
        <v/>
      </c>
    </row>
    <row r="8877">
      <c r="A8877" s="2" t="inlineStr">
        <is>
          <t>2026-06-01</t>
        </is>
      </c>
      <c r="B8877" s="3" t="inlineStr">
        <is>
          <t>파미셀</t>
        </is>
      </c>
      <c r="C8877" s="2" t="inlineStr">
        <is>
          <t>코스피</t>
        </is>
      </c>
      <c r="D8877" s="2" t="inlineStr">
        <is>
          <t>005690</t>
        </is>
      </c>
      <c r="E8877" s="3" t="inlineStr">
        <is>
          <t xml:space="preserve">기업지배구조보고서공시              </t>
        </is>
      </c>
      <c r="F8877" s="3" t="inlineStr">
        <is>
          <t>파미셀</t>
        </is>
      </c>
      <c r="G8877" s="2" t="inlineStr">
        <is>
          <t>20260601800607</t>
        </is>
      </c>
      <c r="H8877" s="8">
        <f>HYPERLINK("https://dart.fss.or.kr/dsaf001/main.do?rcpNo=20260601800607", "공시열람")</f>
        <v/>
      </c>
    </row>
    <row r="8878">
      <c r="A8878" s="2" t="inlineStr">
        <is>
          <t>2026-06-01</t>
        </is>
      </c>
      <c r="B8878" s="3" t="inlineStr">
        <is>
          <t>흥아해운</t>
        </is>
      </c>
      <c r="C8878" s="2" t="inlineStr">
        <is>
          <t>코스피</t>
        </is>
      </c>
      <c r="D8878" s="2" t="inlineStr">
        <is>
          <t>003280</t>
        </is>
      </c>
      <c r="E8878" s="3" t="inlineStr">
        <is>
          <t xml:space="preserve">기업지배구조보고서공시              </t>
        </is>
      </c>
      <c r="F8878" s="3" t="inlineStr">
        <is>
          <t>흥아해운</t>
        </is>
      </c>
      <c r="G8878" s="2" t="inlineStr">
        <is>
          <t>20260601800617</t>
        </is>
      </c>
      <c r="H8878" s="8">
        <f>HYPERLINK("https://dart.fss.or.kr/dsaf001/main.do?rcpNo=20260601800617", "공시열람")</f>
        <v/>
      </c>
    </row>
    <row r="8879">
      <c r="A8879" s="2" t="inlineStr">
        <is>
          <t>2026-06-01</t>
        </is>
      </c>
      <c r="B8879" s="3" t="inlineStr">
        <is>
          <t>아모레퍼시픽홀딩스</t>
        </is>
      </c>
      <c r="C8879" s="2" t="inlineStr">
        <is>
          <t>코스피</t>
        </is>
      </c>
      <c r="D8879" s="2" t="inlineStr">
        <is>
          <t>002790</t>
        </is>
      </c>
      <c r="E8879" s="3" t="inlineStr">
        <is>
          <t>대규모기업집단현황공시[연1회공시및1/4분기용(대표회사)]</t>
        </is>
      </c>
      <c r="F8879" s="3" t="inlineStr">
        <is>
          <t>아모레퍼시픽홀딩스</t>
        </is>
      </c>
      <c r="G8879" s="2" t="inlineStr">
        <is>
          <t>20260601000726</t>
        </is>
      </c>
      <c r="H8879" s="8">
        <f>HYPERLINK("https://dart.fss.or.kr/dsaf001/main.do?rcpNo=20260601000726", "공시열람")</f>
        <v/>
      </c>
    </row>
    <row r="8880">
      <c r="A8880" s="2" t="inlineStr">
        <is>
          <t>2026-06-01</t>
        </is>
      </c>
      <c r="B8880" s="3" t="inlineStr">
        <is>
          <t>삼양홀딩스</t>
        </is>
      </c>
      <c r="C8880" s="2" t="inlineStr">
        <is>
          <t>코스피</t>
        </is>
      </c>
      <c r="D8880" s="2" t="inlineStr">
        <is>
          <t>000070</t>
        </is>
      </c>
      <c r="E8880" s="3" t="inlineStr">
        <is>
          <t>대규모기업집단현황공시[연1회(동일인용)]</t>
        </is>
      </c>
      <c r="F8880" s="3" t="inlineStr">
        <is>
          <t>김윤</t>
        </is>
      </c>
      <c r="G8880" s="2" t="inlineStr">
        <is>
          <t>20260601000725</t>
        </is>
      </c>
      <c r="H8880" s="8">
        <f>HYPERLINK("https://dart.fss.or.kr/dsaf001/main.do?rcpNo=20260601000725", "공시열람")</f>
        <v/>
      </c>
    </row>
    <row r="8881">
      <c r="A8881" s="2" t="inlineStr">
        <is>
          <t>2026-06-01</t>
        </is>
      </c>
      <c r="B8881" s="3" t="inlineStr">
        <is>
          <t>삼성물산</t>
        </is>
      </c>
      <c r="C8881" s="2" t="inlineStr">
        <is>
          <t>코스피</t>
        </is>
      </c>
      <c r="D8881" s="2" t="inlineStr">
        <is>
          <t>028260</t>
        </is>
      </c>
      <c r="E8881" s="3" t="inlineStr">
        <is>
          <t xml:space="preserve">기업지배구조보고서공시              </t>
        </is>
      </c>
      <c r="F8881" s="3" t="inlineStr">
        <is>
          <t>삼성물산</t>
        </is>
      </c>
      <c r="G8881" s="2" t="inlineStr">
        <is>
          <t>20260601800248</t>
        </is>
      </c>
      <c r="H8881" s="8">
        <f>HYPERLINK("https://dart.fss.or.kr/dsaf001/main.do?rcpNo=20260601800248", "공시열람")</f>
        <v/>
      </c>
    </row>
    <row r="8882">
      <c r="A8882" s="2" t="inlineStr">
        <is>
          <t>2026-06-01 (정정: 2026-06-04)</t>
        </is>
      </c>
      <c r="B8882" s="3" t="inlineStr">
        <is>
          <t>한국자산신탁</t>
        </is>
      </c>
      <c r="C8882" s="2" t="inlineStr">
        <is>
          <t>코스피</t>
        </is>
      </c>
      <c r="D8882" s="2" t="inlineStr">
        <is>
          <t>123890</t>
        </is>
      </c>
      <c r="E8882" s="3" t="inlineStr">
        <is>
          <t>대규모기업집단현황공시[연1회공시및1/4분기용(개별회사)] (정정: 20260604)</t>
        </is>
      </c>
      <c r="F8882" s="3" t="inlineStr">
        <is>
          <t>한국자산신탁</t>
        </is>
      </c>
      <c r="G8882" s="2" t="inlineStr">
        <is>
          <t>20260604800622</t>
        </is>
      </c>
      <c r="H8882" s="8">
        <f>HYPERLINK("https://dart.fss.or.kr/dsaf001/main.do?rcpNo=20260604800622", "공시열람")</f>
        <v/>
      </c>
    </row>
    <row r="8883">
      <c r="A8883" s="2" t="inlineStr">
        <is>
          <t>2026-06-01</t>
        </is>
      </c>
      <c r="B8883" s="3" t="inlineStr">
        <is>
          <t>대원제약</t>
        </is>
      </c>
      <c r="C8883" s="2" t="inlineStr">
        <is>
          <t>코스피</t>
        </is>
      </c>
      <c r="D8883" s="2" t="inlineStr">
        <is>
          <t>003220</t>
        </is>
      </c>
      <c r="E8883" s="3" t="inlineStr">
        <is>
          <t xml:space="preserve">기업지배구조보고서공시              </t>
        </is>
      </c>
      <c r="F8883" s="3" t="inlineStr">
        <is>
          <t>대원제약</t>
        </is>
      </c>
      <c r="G8883" s="2" t="inlineStr">
        <is>
          <t>20260601800594</t>
        </is>
      </c>
      <c r="H8883" s="8">
        <f>HYPERLINK("https://dart.fss.or.kr/dsaf001/main.do?rcpNo=20260601800594", "공시열람")</f>
        <v/>
      </c>
    </row>
    <row r="8884">
      <c r="A8884" s="2" t="inlineStr">
        <is>
          <t>2026-06-01</t>
        </is>
      </c>
      <c r="B8884" s="3" t="inlineStr">
        <is>
          <t>신일전자</t>
        </is>
      </c>
      <c r="C8884" s="2" t="inlineStr">
        <is>
          <t>코스피</t>
        </is>
      </c>
      <c r="D8884" s="2" t="inlineStr">
        <is>
          <t>002700</t>
        </is>
      </c>
      <c r="E8884" s="3" t="inlineStr">
        <is>
          <t xml:space="preserve">기업지배구조보고서공시              </t>
        </is>
      </c>
      <c r="F8884" s="3" t="inlineStr">
        <is>
          <t>신일전자</t>
        </is>
      </c>
      <c r="G8884" s="2" t="inlineStr">
        <is>
          <t>20260601800598</t>
        </is>
      </c>
      <c r="H8884" s="8">
        <f>HYPERLINK("https://dart.fss.or.kr/dsaf001/main.do?rcpNo=20260601800598", "공시열람")</f>
        <v/>
      </c>
    </row>
    <row r="8885">
      <c r="A8885" s="2" t="inlineStr">
        <is>
          <t>2026-06-01</t>
        </is>
      </c>
      <c r="B8885" s="3" t="inlineStr">
        <is>
          <t>흥아해운</t>
        </is>
      </c>
      <c r="C8885" s="2" t="inlineStr">
        <is>
          <t>코스피</t>
        </is>
      </c>
      <c r="D8885" s="2" t="inlineStr">
        <is>
          <t>003280</t>
        </is>
      </c>
      <c r="E8885" s="3" t="inlineStr">
        <is>
          <t>대규모기업집단현황공시[연1회공시및1/4분기용(개별회사)]</t>
        </is>
      </c>
      <c r="F8885" s="3" t="inlineStr">
        <is>
          <t>흥아해운</t>
        </is>
      </c>
      <c r="G8885" s="2" t="inlineStr">
        <is>
          <t>20260601000699</t>
        </is>
      </c>
      <c r="H8885" s="8">
        <f>HYPERLINK("https://dart.fss.or.kr/dsaf001/main.do?rcpNo=20260601000699", "공시열람")</f>
        <v/>
      </c>
    </row>
    <row r="8886">
      <c r="A8886" s="2" t="inlineStr">
        <is>
          <t>2026-06-01</t>
        </is>
      </c>
      <c r="B8886" s="3" t="inlineStr">
        <is>
          <t>보해양조</t>
        </is>
      </c>
      <c r="C8886" s="2" t="inlineStr">
        <is>
          <t>코스피</t>
        </is>
      </c>
      <c r="D8886" s="2" t="inlineStr">
        <is>
          <t>000890</t>
        </is>
      </c>
      <c r="E8886" s="3" t="inlineStr">
        <is>
          <t xml:space="preserve">기업지배구조보고서공시              </t>
        </is>
      </c>
      <c r="F8886" s="3" t="inlineStr">
        <is>
          <t>보해양조</t>
        </is>
      </c>
      <c r="G8886" s="2" t="inlineStr">
        <is>
          <t>20260601800581</t>
        </is>
      </c>
      <c r="H8886" s="8">
        <f>HYPERLINK("https://dart.fss.or.kr/dsaf001/main.do?rcpNo=20260601800581", "공시열람")</f>
        <v/>
      </c>
    </row>
    <row r="8887">
      <c r="A8887" s="2" t="inlineStr">
        <is>
          <t>2026-06-01</t>
        </is>
      </c>
      <c r="B8887" s="3" t="inlineStr">
        <is>
          <t>SYTS</t>
        </is>
      </c>
      <c r="C8887" s="2" t="inlineStr">
        <is>
          <t>코스피</t>
        </is>
      </c>
      <c r="D8887" s="2" t="inlineStr">
        <is>
          <t>002170</t>
        </is>
      </c>
      <c r="E8887" s="3" t="inlineStr">
        <is>
          <t xml:space="preserve">기업지배구조보고서공시              </t>
        </is>
      </c>
      <c r="F8887" s="3" t="inlineStr">
        <is>
          <t>SYTS</t>
        </is>
      </c>
      <c r="G8887" s="2" t="inlineStr">
        <is>
          <t>20260601800590</t>
        </is>
      </c>
      <c r="H8887" s="8">
        <f>HYPERLINK("https://dart.fss.or.kr/dsaf001/main.do?rcpNo=20260601800590", "공시열람")</f>
        <v/>
      </c>
    </row>
    <row r="8888">
      <c r="A8888" s="2" t="inlineStr">
        <is>
          <t>2026-06-01</t>
        </is>
      </c>
      <c r="B8888" s="3" t="inlineStr">
        <is>
          <t>GS건설</t>
        </is>
      </c>
      <c r="C8888" s="2" t="inlineStr">
        <is>
          <t>코스피</t>
        </is>
      </c>
      <c r="D8888" s="2" t="inlineStr">
        <is>
          <t>006360</t>
        </is>
      </c>
      <c r="E8888" s="3" t="inlineStr">
        <is>
          <t xml:space="preserve">투자판단관련주요경영사항              </t>
        </is>
      </c>
      <c r="F8888" s="3" t="inlineStr">
        <is>
          <t>GS건설</t>
        </is>
      </c>
      <c r="G8888" s="2" t="inlineStr">
        <is>
          <t>20260601800575</t>
        </is>
      </c>
      <c r="H8888" s="8">
        <f>HYPERLINK("https://dart.fss.or.kr/dsaf001/main.do?rcpNo=20260601800575", "공시열람")</f>
        <v/>
      </c>
    </row>
    <row r="8889">
      <c r="A8889" s="2" t="inlineStr">
        <is>
          <t>2026-06-01</t>
        </is>
      </c>
      <c r="B8889" s="3" t="inlineStr">
        <is>
          <t>삼일제약</t>
        </is>
      </c>
      <c r="C8889" s="2" t="inlineStr">
        <is>
          <t>코스피</t>
        </is>
      </c>
      <c r="D8889" s="2" t="inlineStr">
        <is>
          <t>000520</t>
        </is>
      </c>
      <c r="E8889" s="3" t="inlineStr">
        <is>
          <t>임원ㆍ주요주주특정증권등소유상황보고서</t>
        </is>
      </c>
      <c r="F8889" s="3" t="inlineStr">
        <is>
          <t>한병익</t>
        </is>
      </c>
      <c r="G8889" s="2" t="inlineStr">
        <is>
          <t>20260601000695</t>
        </is>
      </c>
      <c r="H8889" s="8">
        <f>HYPERLINK("https://dart.fss.or.kr/dsaf001/main.do?rcpNo=20260601000695", "공시열람")</f>
        <v/>
      </c>
    </row>
    <row r="8890">
      <c r="A8890" s="2" t="inlineStr">
        <is>
          <t>2026-06-01</t>
        </is>
      </c>
      <c r="B8890" s="3" t="inlineStr">
        <is>
          <t>LS마린솔루션</t>
        </is>
      </c>
      <c r="C8890" s="2" t="inlineStr">
        <is>
          <t>코스닥</t>
        </is>
      </c>
      <c r="D8890" s="2" t="inlineStr">
        <is>
          <t>060370</t>
        </is>
      </c>
      <c r="E8890" s="3" t="inlineStr">
        <is>
          <t>대규모기업집단현황공시[연1회공시및1/4분기용(개별회사)]</t>
        </is>
      </c>
      <c r="F8890" s="3" t="inlineStr">
        <is>
          <t>LS마린솔루션</t>
        </is>
      </c>
      <c r="G8890" s="2" t="inlineStr">
        <is>
          <t>20260601000684</t>
        </is>
      </c>
      <c r="H8890" s="8">
        <f>HYPERLINK("https://dart.fss.or.kr/dsaf001/main.do?rcpNo=20260601000684", "공시열람")</f>
        <v/>
      </c>
    </row>
    <row r="8891">
      <c r="A8891" s="2" t="inlineStr">
        <is>
          <t>2026-06-01</t>
        </is>
      </c>
      <c r="B8891" s="3" t="inlineStr">
        <is>
          <t>HDC현대EP</t>
        </is>
      </c>
      <c r="C8891" s="2" t="inlineStr">
        <is>
          <t>코스피</t>
        </is>
      </c>
      <c r="D8891" s="2" t="inlineStr">
        <is>
          <t>089470</t>
        </is>
      </c>
      <c r="E8891" s="3" t="inlineStr">
        <is>
          <t>대규모기업집단현황공시[연1회공시및1/4분기용(개별회사)]</t>
        </is>
      </c>
      <c r="F8891" s="3" t="inlineStr">
        <is>
          <t>HDC현대EP</t>
        </is>
      </c>
      <c r="G8891" s="2" t="inlineStr">
        <is>
          <t>20260601000681</t>
        </is>
      </c>
      <c r="H8891" s="8">
        <f>HYPERLINK("https://dart.fss.or.kr/dsaf001/main.do?rcpNo=20260601000681", "공시열람")</f>
        <v/>
      </c>
    </row>
    <row r="8892">
      <c r="A8892" s="2" t="inlineStr">
        <is>
          <t>2026-06-01</t>
        </is>
      </c>
      <c r="B8892" s="3" t="inlineStr">
        <is>
          <t>동양</t>
        </is>
      </c>
      <c r="C8892" s="2" t="inlineStr">
        <is>
          <t>코스피</t>
        </is>
      </c>
      <c r="D8892" s="2" t="inlineStr">
        <is>
          <t>001520</t>
        </is>
      </c>
      <c r="E8892" s="3" t="inlineStr">
        <is>
          <t>대규모기업집단현황공시[연1회공시및1/4분기용(개별회사)]</t>
        </is>
      </c>
      <c r="F8892" s="3" t="inlineStr">
        <is>
          <t>동양</t>
        </is>
      </c>
      <c r="G8892" s="2" t="inlineStr">
        <is>
          <t>20260601000680</t>
        </is>
      </c>
      <c r="H8892" s="8">
        <f>HYPERLINK("https://dart.fss.or.kr/dsaf001/main.do?rcpNo=20260601000680", "공시열람")</f>
        <v/>
      </c>
    </row>
    <row r="8893">
      <c r="A8893" s="2" t="inlineStr">
        <is>
          <t>2026-06-01</t>
        </is>
      </c>
      <c r="B8893" s="3" t="inlineStr">
        <is>
          <t>다우데이타</t>
        </is>
      </c>
      <c r="C8893" s="2" t="inlineStr">
        <is>
          <t>코스닥</t>
        </is>
      </c>
      <c r="D8893" s="2" t="inlineStr">
        <is>
          <t>032190</t>
        </is>
      </c>
      <c r="E8893" s="3" t="inlineStr">
        <is>
          <t>대규모기업집단현황공시[연1회(동일인용)]</t>
        </is>
      </c>
      <c r="F8893" s="3" t="inlineStr">
        <is>
          <t>김익래</t>
        </is>
      </c>
      <c r="G8893" s="2" t="inlineStr">
        <is>
          <t>20260601000679</t>
        </is>
      </c>
      <c r="H8893" s="8">
        <f>HYPERLINK("https://dart.fss.or.kr/dsaf001/main.do?rcpNo=20260601000679", "공시열람")</f>
        <v/>
      </c>
    </row>
    <row r="8894">
      <c r="A8894" s="2" t="inlineStr">
        <is>
          <t>2026-06-01</t>
        </is>
      </c>
      <c r="B8894" s="3" t="inlineStr">
        <is>
          <t>KZ정밀</t>
        </is>
      </c>
      <c r="C8894" s="2" t="inlineStr">
        <is>
          <t>코스닥</t>
        </is>
      </c>
      <c r="D8894" s="2" t="inlineStr">
        <is>
          <t>036560</t>
        </is>
      </c>
      <c r="E8894" s="3" t="inlineStr">
        <is>
          <t>대규모기업집단현황공시[연1회공시및1/4분기용(개별회사)]</t>
        </is>
      </c>
      <c r="F8894" s="3" t="inlineStr">
        <is>
          <t>KZ정밀</t>
        </is>
      </c>
      <c r="G8894" s="2" t="inlineStr">
        <is>
          <t>20260601000676</t>
        </is>
      </c>
      <c r="H8894" s="8">
        <f>HYPERLINK("https://dart.fss.or.kr/dsaf001/main.do?rcpNo=20260601000676", "공시열람")</f>
        <v/>
      </c>
    </row>
    <row r="8895">
      <c r="A8895" s="2" t="inlineStr">
        <is>
          <t>2026-06-01</t>
        </is>
      </c>
      <c r="B8895" s="3" t="inlineStr">
        <is>
          <t>동성제약</t>
        </is>
      </c>
      <c r="C8895" s="2" t="inlineStr">
        <is>
          <t>코스피</t>
        </is>
      </c>
      <c r="D8895" s="2" t="inlineStr">
        <is>
          <t>002210</t>
        </is>
      </c>
      <c r="E8895" s="3" t="inlineStr">
        <is>
          <t>대규모기업집단현황공시[연1회공시및1/4분기용(개별회사)]</t>
        </is>
      </c>
      <c r="F8895" s="3" t="inlineStr">
        <is>
          <t>동성제약</t>
        </is>
      </c>
      <c r="G8895" s="2" t="inlineStr">
        <is>
          <t>20260601000675</t>
        </is>
      </c>
      <c r="H8895" s="8">
        <f>HYPERLINK("https://dart.fss.or.kr/dsaf001/main.do?rcpNo=20260601000675", "공시열람")</f>
        <v/>
      </c>
    </row>
    <row r="8896">
      <c r="A8896" s="2" t="inlineStr">
        <is>
          <t>2026-06-01</t>
        </is>
      </c>
      <c r="B8896" s="3" t="inlineStr">
        <is>
          <t>삼양홀딩스</t>
        </is>
      </c>
      <c r="C8896" s="2" t="inlineStr">
        <is>
          <t>코스피</t>
        </is>
      </c>
      <c r="D8896" s="2" t="inlineStr">
        <is>
          <t>000070</t>
        </is>
      </c>
      <c r="E8896" s="3" t="inlineStr">
        <is>
          <t>대규모기업집단현황공시[연1회공시및1/4분기용(대표회사)]</t>
        </is>
      </c>
      <c r="F8896" s="3" t="inlineStr">
        <is>
          <t>삼양홀딩스</t>
        </is>
      </c>
      <c r="G8896" s="2" t="inlineStr">
        <is>
          <t>20260601000674</t>
        </is>
      </c>
      <c r="H8896" s="8">
        <f>HYPERLINK("https://dart.fss.or.kr/dsaf001/main.do?rcpNo=20260601000674", "공시열람")</f>
        <v/>
      </c>
    </row>
    <row r="8897">
      <c r="A8897" s="2" t="inlineStr">
        <is>
          <t>2026-06-01 (정정: 2026-06-04)</t>
        </is>
      </c>
      <c r="B8897" s="3" t="inlineStr">
        <is>
          <t>LS머트리얼즈</t>
        </is>
      </c>
      <c r="C8897" s="2" t="inlineStr">
        <is>
          <t>코스닥</t>
        </is>
      </c>
      <c r="D8897" s="2" t="inlineStr">
        <is>
          <t>417200</t>
        </is>
      </c>
      <c r="E8897" s="3" t="inlineStr">
        <is>
          <t>대규모기업집단현황공시[연1회공시및1/4분기용(개별회사)] (정정: 20260604)</t>
        </is>
      </c>
      <c r="F8897" s="3" t="inlineStr">
        <is>
          <t>LS머트리얼즈</t>
        </is>
      </c>
      <c r="G8897" s="2" t="inlineStr">
        <is>
          <t>20260604000337</t>
        </is>
      </c>
      <c r="H8897" s="8">
        <f>HYPERLINK("https://dart.fss.or.kr/dsaf001/main.do?rcpNo=20260604000337", "공시열람")</f>
        <v/>
      </c>
    </row>
    <row r="8898">
      <c r="A8898" s="2" t="inlineStr">
        <is>
          <t>2026-06-01</t>
        </is>
      </c>
      <c r="B8898" s="3" t="inlineStr">
        <is>
          <t>DSR</t>
        </is>
      </c>
      <c r="C8898" s="2" t="inlineStr">
        <is>
          <t>코스피</t>
        </is>
      </c>
      <c r="D8898" s="2" t="inlineStr">
        <is>
          <t>155660</t>
        </is>
      </c>
      <c r="E8898" s="3" t="inlineStr">
        <is>
          <t xml:space="preserve">기업지배구조보고서공시              </t>
        </is>
      </c>
      <c r="F8898" s="3" t="inlineStr">
        <is>
          <t>DSR</t>
        </is>
      </c>
      <c r="G8898" s="2" t="inlineStr">
        <is>
          <t>20260601800491</t>
        </is>
      </c>
      <c r="H8898" s="8">
        <f>HYPERLINK("https://dart.fss.or.kr/dsaf001/main.do?rcpNo=20260601800491", "공시열람")</f>
        <v/>
      </c>
    </row>
    <row r="8899">
      <c r="A8899" s="2" t="inlineStr">
        <is>
          <t>2026-06-01</t>
        </is>
      </c>
      <c r="B8899" s="3" t="inlineStr">
        <is>
          <t>케이카</t>
        </is>
      </c>
      <c r="C8899" s="2" t="inlineStr">
        <is>
          <t>코스피</t>
        </is>
      </c>
      <c r="D8899" s="2" t="inlineStr">
        <is>
          <t>381970</t>
        </is>
      </c>
      <c r="E8899" s="3" t="inlineStr">
        <is>
          <t xml:space="preserve">기업지배구조보고서공시              </t>
        </is>
      </c>
      <c r="F8899" s="3" t="inlineStr">
        <is>
          <t>케이카</t>
        </is>
      </c>
      <c r="G8899" s="2" t="inlineStr">
        <is>
          <t>20260601800564</t>
        </is>
      </c>
      <c r="H8899" s="8">
        <f>HYPERLINK("https://dart.fss.or.kr/dsaf001/main.do?rcpNo=20260601800564", "공시열람")</f>
        <v/>
      </c>
    </row>
    <row r="8900">
      <c r="A8900" s="2" t="inlineStr">
        <is>
          <t>2026-06-01</t>
        </is>
      </c>
      <c r="B8900" s="3" t="inlineStr">
        <is>
          <t>아모레퍼시픽홀딩스</t>
        </is>
      </c>
      <c r="C8900" s="2" t="inlineStr">
        <is>
          <t>코스피</t>
        </is>
      </c>
      <c r="D8900" s="2" t="inlineStr">
        <is>
          <t>002790</t>
        </is>
      </c>
      <c r="E8900" s="3" t="inlineStr">
        <is>
          <t>대규모기업집단현황공시[연1회(동일인용)]</t>
        </is>
      </c>
      <c r="F8900" s="3" t="inlineStr">
        <is>
          <t>서경배</t>
        </is>
      </c>
      <c r="G8900" s="2" t="inlineStr">
        <is>
          <t>20260601000663</t>
        </is>
      </c>
      <c r="H8900" s="8">
        <f>HYPERLINK("https://dart.fss.or.kr/dsaf001/main.do?rcpNo=20260601000663", "공시열람")</f>
        <v/>
      </c>
    </row>
    <row r="8901">
      <c r="A8901" s="2" t="inlineStr">
        <is>
          <t>2026-06-01</t>
        </is>
      </c>
      <c r="B8901" s="3" t="inlineStr">
        <is>
          <t>SK</t>
        </is>
      </c>
      <c r="C8901" s="2" t="inlineStr">
        <is>
          <t>코스피</t>
        </is>
      </c>
      <c r="D8901" s="2" t="inlineStr">
        <is>
          <t>034730</t>
        </is>
      </c>
      <c r="E8901" s="3" t="inlineStr">
        <is>
          <t xml:space="preserve">기업지배구조보고서공시              </t>
        </is>
      </c>
      <c r="F8901" s="3" t="inlineStr">
        <is>
          <t>SK</t>
        </is>
      </c>
      <c r="G8901" s="2" t="inlineStr">
        <is>
          <t>20260601800567</t>
        </is>
      </c>
      <c r="H8901" s="8">
        <f>HYPERLINK("https://dart.fss.or.kr/dsaf001/main.do?rcpNo=20260601800567", "공시열람")</f>
        <v/>
      </c>
    </row>
    <row r="8902">
      <c r="A8902" s="2" t="inlineStr">
        <is>
          <t>2026-06-01</t>
        </is>
      </c>
      <c r="B8902" s="3" t="inlineStr">
        <is>
          <t>대동스틸</t>
        </is>
      </c>
      <c r="C8902" s="2" t="inlineStr">
        <is>
          <t>코스닥</t>
        </is>
      </c>
      <c r="D8902" s="2" t="inlineStr">
        <is>
          <t>048470</t>
        </is>
      </c>
      <c r="E8902" s="3" t="inlineStr">
        <is>
          <t xml:space="preserve">대표이사변경              </t>
        </is>
      </c>
      <c r="F8902" s="3" t="inlineStr">
        <is>
          <t>대동스틸</t>
        </is>
      </c>
      <c r="G8902" s="2" t="inlineStr">
        <is>
          <t>20260601900522</t>
        </is>
      </c>
      <c r="H8902" s="8">
        <f>HYPERLINK("https://dart.fss.or.kr/dsaf001/main.do?rcpNo=20260601900522", "공시열람")</f>
        <v/>
      </c>
    </row>
    <row r="8903">
      <c r="A8903" s="2" t="inlineStr">
        <is>
          <t>2026-06-01</t>
        </is>
      </c>
      <c r="B8903" s="3" t="inlineStr">
        <is>
          <t>포인트모바일</t>
        </is>
      </c>
      <c r="C8903" s="2" t="inlineStr">
        <is>
          <t>코스닥</t>
        </is>
      </c>
      <c r="D8903" s="2" t="inlineStr">
        <is>
          <t>318020</t>
        </is>
      </c>
      <c r="E8903" s="3" t="inlineStr">
        <is>
          <t>임원ㆍ주요주주특정증권등소유상황보고서</t>
        </is>
      </c>
      <c r="F8903" s="3" t="inlineStr">
        <is>
          <t>강삼권</t>
        </is>
      </c>
      <c r="G8903" s="2" t="inlineStr">
        <is>
          <t>20260601000656</t>
        </is>
      </c>
      <c r="H8903" s="8">
        <f>HYPERLINK("https://dart.fss.or.kr/dsaf001/main.do?rcpNo=20260601000656", "공시열람")</f>
        <v/>
      </c>
    </row>
    <row r="8904">
      <c r="A8904" s="2" t="inlineStr">
        <is>
          <t>2026-06-01</t>
        </is>
      </c>
      <c r="B8904" s="3" t="inlineStr">
        <is>
          <t>문배철강</t>
        </is>
      </c>
      <c r="C8904" s="2" t="inlineStr">
        <is>
          <t>코스피</t>
        </is>
      </c>
      <c r="D8904" s="2" t="inlineStr">
        <is>
          <t>008420</t>
        </is>
      </c>
      <c r="E8904" s="3" t="inlineStr">
        <is>
          <t xml:space="preserve">기업지배구조보고서공시              </t>
        </is>
      </c>
      <c r="F8904" s="3" t="inlineStr">
        <is>
          <t>문배철강</t>
        </is>
      </c>
      <c r="G8904" s="2" t="inlineStr">
        <is>
          <t>20260601800559</t>
        </is>
      </c>
      <c r="H8904" s="8">
        <f>HYPERLINK("https://dart.fss.or.kr/dsaf001/main.do?rcpNo=20260601800559", "공시열람")</f>
        <v/>
      </c>
    </row>
    <row r="8905">
      <c r="A8905" s="2" t="inlineStr">
        <is>
          <t>2026-06-01 (정정: 2026-06-02)</t>
        </is>
      </c>
      <c r="B8905" s="3" t="inlineStr">
        <is>
          <t>인터지스</t>
        </is>
      </c>
      <c r="C8905" s="2" t="inlineStr">
        <is>
          <t>코스피</t>
        </is>
      </c>
      <c r="D8905" s="2" t="inlineStr">
        <is>
          <t>129260</t>
        </is>
      </c>
      <c r="E8905" s="3" t="inlineStr">
        <is>
          <t>대규모기업집단현황공시[연1회공시및1/4분기용(개별회사)] (정정: 20260602)</t>
        </is>
      </c>
      <c r="F8905" s="3" t="inlineStr">
        <is>
          <t>인터지스</t>
        </is>
      </c>
      <c r="G8905" s="2" t="inlineStr">
        <is>
          <t>20260601002043</t>
        </is>
      </c>
      <c r="H8905" s="8">
        <f>HYPERLINK("https://dart.fss.or.kr/dsaf001/main.do?rcpNo=20260601002043", "공시열람")</f>
        <v/>
      </c>
    </row>
    <row r="8906">
      <c r="A8906" s="2" t="inlineStr">
        <is>
          <t>2026-06-01</t>
        </is>
      </c>
      <c r="B8906" s="3" t="inlineStr">
        <is>
          <t>에어레인</t>
        </is>
      </c>
      <c r="C8906" s="2" t="inlineStr">
        <is>
          <t>코스닥</t>
        </is>
      </c>
      <c r="D8906" s="2" t="inlineStr">
        <is>
          <t>163280</t>
        </is>
      </c>
      <c r="E8906" s="3" t="inlineStr">
        <is>
          <t>임원ㆍ주요주주특정증권등소유상황보고서</t>
        </is>
      </c>
      <c r="F8906" s="3" t="inlineStr">
        <is>
          <t>위정욱</t>
        </is>
      </c>
      <c r="G8906" s="2" t="inlineStr">
        <is>
          <t>20260601000651</t>
        </is>
      </c>
      <c r="H8906" s="8">
        <f>HYPERLINK("https://dart.fss.or.kr/dsaf001/main.do?rcpNo=20260601000651", "공시열람")</f>
        <v/>
      </c>
    </row>
    <row r="8907">
      <c r="A8907" s="2" t="inlineStr">
        <is>
          <t>2026-06-01</t>
        </is>
      </c>
      <c r="B8907" s="3" t="inlineStr">
        <is>
          <t>남해화학</t>
        </is>
      </c>
      <c r="C8907" s="2" t="inlineStr">
        <is>
          <t>코스피</t>
        </is>
      </c>
      <c r="D8907" s="2" t="inlineStr">
        <is>
          <t>025860</t>
        </is>
      </c>
      <c r="E8907" s="3" t="inlineStr">
        <is>
          <t>대규모기업집단현황공시[연1회공시및1/4분기용(개별회사)]</t>
        </is>
      </c>
      <c r="F8907" s="3" t="inlineStr">
        <is>
          <t>남해화학</t>
        </is>
      </c>
      <c r="G8907" s="2" t="inlineStr">
        <is>
          <t>20260601000650</t>
        </is>
      </c>
      <c r="H8907" s="8">
        <f>HYPERLINK("https://dart.fss.or.kr/dsaf001/main.do?rcpNo=20260601000650", "공시열람")</f>
        <v/>
      </c>
    </row>
    <row r="8908">
      <c r="A8908" s="2" t="inlineStr">
        <is>
          <t>2026-06-01</t>
        </is>
      </c>
      <c r="B8908" s="3" t="inlineStr">
        <is>
          <t>티엔엔터테인먼트</t>
        </is>
      </c>
      <c r="C8908" s="2" t="inlineStr">
        <is>
          <t>코스닥</t>
        </is>
      </c>
      <c r="D8908" s="2" t="inlineStr">
        <is>
          <t>131100</t>
        </is>
      </c>
      <c r="E8908" s="3" t="inlineStr">
        <is>
          <t>대규모기업집단현황공시[연1회공시및1/4분기용(개별회사)]</t>
        </is>
      </c>
      <c r="F8908" s="3" t="inlineStr">
        <is>
          <t>티엔엔터테인먼트</t>
        </is>
      </c>
      <c r="G8908" s="2" t="inlineStr">
        <is>
          <t>20260601000645</t>
        </is>
      </c>
      <c r="H8908" s="8">
        <f>HYPERLINK("https://dart.fss.or.kr/dsaf001/main.do?rcpNo=20260601000645", "공시열람")</f>
        <v/>
      </c>
    </row>
    <row r="8909">
      <c r="A8909" s="2" t="inlineStr">
        <is>
          <t>2026-06-01</t>
        </is>
      </c>
      <c r="B8909" s="3" t="inlineStr">
        <is>
          <t>동국씨엠</t>
        </is>
      </c>
      <c r="C8909" s="2" t="inlineStr">
        <is>
          <t>코스피</t>
        </is>
      </c>
      <c r="D8909" s="2" t="inlineStr">
        <is>
          <t>460850</t>
        </is>
      </c>
      <c r="E8909" s="3" t="inlineStr">
        <is>
          <t>대규모기업집단현황공시[연1회공시및1/4분기용(개별회사)]</t>
        </is>
      </c>
      <c r="F8909" s="3" t="inlineStr">
        <is>
          <t>동국씨엠</t>
        </is>
      </c>
      <c r="G8909" s="2" t="inlineStr">
        <is>
          <t>20260601000644</t>
        </is>
      </c>
      <c r="H8909" s="8">
        <f>HYPERLINK("https://dart.fss.or.kr/dsaf001/main.do?rcpNo=20260601000644", "공시열람")</f>
        <v/>
      </c>
    </row>
    <row r="8910">
      <c r="A8910" s="2" t="inlineStr">
        <is>
          <t>2026-06-01</t>
        </is>
      </c>
      <c r="B8910" s="3" t="inlineStr">
        <is>
          <t>다우데이타</t>
        </is>
      </c>
      <c r="C8910" s="2" t="inlineStr">
        <is>
          <t>코스닥</t>
        </is>
      </c>
      <c r="D8910" s="2" t="inlineStr">
        <is>
          <t>032190</t>
        </is>
      </c>
      <c r="E8910" s="3" t="inlineStr">
        <is>
          <t>대규모기업집단현황공시[연1회공시및1/4분기용(개별회사)]</t>
        </is>
      </c>
      <c r="F8910" s="3" t="inlineStr">
        <is>
          <t>다우데이타</t>
        </is>
      </c>
      <c r="G8910" s="2" t="inlineStr">
        <is>
          <t>20260601000643</t>
        </is>
      </c>
      <c r="H8910" s="8">
        <f>HYPERLINK("https://dart.fss.or.kr/dsaf001/main.do?rcpNo=20260601000643", "공시열람")</f>
        <v/>
      </c>
    </row>
    <row r="8911">
      <c r="A8911" s="2" t="inlineStr">
        <is>
          <t>2026-06-01</t>
        </is>
      </c>
      <c r="B8911" s="3" t="inlineStr">
        <is>
          <t>한국타이어앤테크놀로지</t>
        </is>
      </c>
      <c r="C8911" s="2" t="inlineStr">
        <is>
          <t>코스피</t>
        </is>
      </c>
      <c r="D8911" s="2" t="inlineStr">
        <is>
          <t>161390</t>
        </is>
      </c>
      <c r="E8911" s="3" t="inlineStr">
        <is>
          <t>대규모기업집단현황공시[연1회공시및1/4분기용(개별회사)]</t>
        </is>
      </c>
      <c r="F8911" s="3" t="inlineStr">
        <is>
          <t>한국타이어앤테크놀로지</t>
        </is>
      </c>
      <c r="G8911" s="2" t="inlineStr">
        <is>
          <t>20260601000641</t>
        </is>
      </c>
      <c r="H8911" s="8">
        <f>HYPERLINK("https://dart.fss.or.kr/dsaf001/main.do?rcpNo=20260601000641", "공시열람")</f>
        <v/>
      </c>
    </row>
    <row r="8912">
      <c r="A8912" s="2" t="inlineStr">
        <is>
          <t>2026-06-01</t>
        </is>
      </c>
      <c r="B8912" s="3" t="inlineStr">
        <is>
          <t>GS건설</t>
        </is>
      </c>
      <c r="C8912" s="2" t="inlineStr">
        <is>
          <t>코스피</t>
        </is>
      </c>
      <c r="D8912" s="2" t="inlineStr">
        <is>
          <t>006360</t>
        </is>
      </c>
      <c r="E8912" s="3" t="inlineStr">
        <is>
          <t xml:space="preserve">투자판단관련주요경영사항              </t>
        </is>
      </c>
      <c r="F8912" s="3" t="inlineStr">
        <is>
          <t>GS건설</t>
        </is>
      </c>
      <c r="G8912" s="2" t="inlineStr">
        <is>
          <t>20260601800545</t>
        </is>
      </c>
      <c r="H8912" s="8">
        <f>HYPERLINK("https://dart.fss.or.kr/dsaf001/main.do?rcpNo=20260601800545", "공시열람")</f>
        <v/>
      </c>
    </row>
    <row r="8913">
      <c r="A8913" s="2" t="inlineStr">
        <is>
          <t>2026-06-01</t>
        </is>
      </c>
      <c r="B8913" s="3" t="inlineStr">
        <is>
          <t>HK이노엔</t>
        </is>
      </c>
      <c r="C8913" s="2" t="inlineStr">
        <is>
          <t>코스닥</t>
        </is>
      </c>
      <c r="D8913" s="2" t="inlineStr">
        <is>
          <t>195940</t>
        </is>
      </c>
      <c r="E8913" s="3" t="inlineStr">
        <is>
          <t>대규모기업집단현황공시[연1회공시및1/4분기용(개별회사)]</t>
        </is>
      </c>
      <c r="F8913" s="3" t="inlineStr">
        <is>
          <t>HK이노엔</t>
        </is>
      </c>
      <c r="G8913" s="2" t="inlineStr">
        <is>
          <t>20260601000635</t>
        </is>
      </c>
      <c r="H8913" s="8">
        <f>HYPERLINK("https://dart.fss.or.kr/dsaf001/main.do?rcpNo=20260601000635", "공시열람")</f>
        <v/>
      </c>
    </row>
    <row r="8914">
      <c r="A8914" s="2" t="inlineStr">
        <is>
          <t>2026-06-01</t>
        </is>
      </c>
      <c r="B8914" s="3" t="inlineStr">
        <is>
          <t>NI스틸</t>
        </is>
      </c>
      <c r="C8914" s="2" t="inlineStr">
        <is>
          <t>코스피</t>
        </is>
      </c>
      <c r="D8914" s="2" t="inlineStr">
        <is>
          <t>008260</t>
        </is>
      </c>
      <c r="E8914" s="3" t="inlineStr">
        <is>
          <t xml:space="preserve">기업지배구조보고서공시              </t>
        </is>
      </c>
      <c r="F8914" s="3" t="inlineStr">
        <is>
          <t>NI스틸</t>
        </is>
      </c>
      <c r="G8914" s="2" t="inlineStr">
        <is>
          <t>20260601800551</t>
        </is>
      </c>
      <c r="H8914" s="8">
        <f>HYPERLINK("https://dart.fss.or.kr/dsaf001/main.do?rcpNo=20260601800551", "공시열람")</f>
        <v/>
      </c>
    </row>
    <row r="8915">
      <c r="A8915" s="2" t="inlineStr">
        <is>
          <t>2026-06-01</t>
        </is>
      </c>
      <c r="B8915" s="3" t="inlineStr">
        <is>
          <t>WISCOM</t>
        </is>
      </c>
      <c r="C8915" s="2" t="inlineStr">
        <is>
          <t>코스피</t>
        </is>
      </c>
      <c r="D8915" s="2" t="inlineStr">
        <is>
          <t>024070</t>
        </is>
      </c>
      <c r="E8915" s="3" t="inlineStr">
        <is>
          <t xml:space="preserve">기업지배구조보고서공시              </t>
        </is>
      </c>
      <c r="F8915" s="3" t="inlineStr">
        <is>
          <t>WISCOM</t>
        </is>
      </c>
      <c r="G8915" s="2" t="inlineStr">
        <is>
          <t>20260601800543</t>
        </is>
      </c>
      <c r="H8915" s="8">
        <f>HYPERLINK("https://dart.fss.or.kr/dsaf001/main.do?rcpNo=20260601800543", "공시열람")</f>
        <v/>
      </c>
    </row>
    <row r="8916">
      <c r="A8916" s="2" t="inlineStr">
        <is>
          <t>2026-06-01</t>
        </is>
      </c>
      <c r="B8916" s="3" t="inlineStr">
        <is>
          <t>삼성전기</t>
        </is>
      </c>
      <c r="C8916" s="2" t="inlineStr">
        <is>
          <t>코스피</t>
        </is>
      </c>
      <c r="D8916" s="2" t="inlineStr">
        <is>
          <t>009150</t>
        </is>
      </c>
      <c r="E8916" s="3" t="inlineStr">
        <is>
          <t>대규모기업집단현황공시[연1회공시및1/4분기용(개별회사)]</t>
        </is>
      </c>
      <c r="F8916" s="3" t="inlineStr">
        <is>
          <t>삼성전기</t>
        </is>
      </c>
      <c r="G8916" s="2" t="inlineStr">
        <is>
          <t>20260601000627</t>
        </is>
      </c>
      <c r="H8916" s="8">
        <f>HYPERLINK("https://dart.fss.or.kr/dsaf001/main.do?rcpNo=20260601000627", "공시열람")</f>
        <v/>
      </c>
    </row>
    <row r="8917">
      <c r="A8917" s="2" t="inlineStr">
        <is>
          <t>2026-06-01</t>
        </is>
      </c>
      <c r="B8917" s="3" t="inlineStr">
        <is>
          <t>NH농우바이오</t>
        </is>
      </c>
      <c r="C8917" s="2" t="inlineStr">
        <is>
          <t>코스닥</t>
        </is>
      </c>
      <c r="D8917" s="2" t="inlineStr">
        <is>
          <t>054050</t>
        </is>
      </c>
      <c r="E8917" s="3" t="inlineStr">
        <is>
          <t>대규모기업집단현황공시[연1회공시및1/4분기용(개별회사)]</t>
        </is>
      </c>
      <c r="F8917" s="3" t="inlineStr">
        <is>
          <t>NH농우바이오</t>
        </is>
      </c>
      <c r="G8917" s="2" t="inlineStr">
        <is>
          <t>20260601000623</t>
        </is>
      </c>
      <c r="H8917" s="8">
        <f>HYPERLINK("https://dart.fss.or.kr/dsaf001/main.do?rcpNo=20260601000623", "공시열람")</f>
        <v/>
      </c>
    </row>
    <row r="8918">
      <c r="A8918" s="2" t="inlineStr">
        <is>
          <t>2026-06-01</t>
        </is>
      </c>
      <c r="B8918" s="3" t="inlineStr">
        <is>
          <t>헝셩그룹</t>
        </is>
      </c>
      <c r="C8918" s="2" t="inlineStr">
        <is>
          <t>코스닥</t>
        </is>
      </c>
      <c r="D8918" s="2" t="inlineStr">
        <is>
          <t>900270</t>
        </is>
      </c>
      <c r="E8918" s="3" t="inlineStr">
        <is>
          <t xml:space="preserve">주식병합결정              </t>
        </is>
      </c>
      <c r="F8918" s="3" t="inlineStr">
        <is>
          <t>헝셩그룹</t>
        </is>
      </c>
      <c r="G8918" s="2" t="inlineStr">
        <is>
          <t>20260601900511</t>
        </is>
      </c>
      <c r="H8918" s="8">
        <f>HYPERLINK("https://dart.fss.or.kr/dsaf001/main.do?rcpNo=20260601900511", "공시열람")</f>
        <v/>
      </c>
    </row>
    <row r="8919">
      <c r="A8919" s="2" t="inlineStr">
        <is>
          <t>2026-06-01</t>
        </is>
      </c>
      <c r="B8919" s="3" t="inlineStr">
        <is>
          <t>헝셩그룹</t>
        </is>
      </c>
      <c r="C8919" s="2" t="inlineStr">
        <is>
          <t>코스닥</t>
        </is>
      </c>
      <c r="D8919" s="2" t="inlineStr">
        <is>
          <t>900270</t>
        </is>
      </c>
      <c r="E8919" s="3" t="inlineStr">
        <is>
          <t xml:space="preserve">주주명부폐쇄기간또는기준일설정              </t>
        </is>
      </c>
      <c r="F8919" s="3" t="inlineStr">
        <is>
          <t>헝셩그룹</t>
        </is>
      </c>
      <c r="G8919" s="2" t="inlineStr">
        <is>
          <t>20260601900498</t>
        </is>
      </c>
      <c r="H8919" s="8">
        <f>HYPERLINK("https://dart.fss.or.kr/dsaf001/main.do?rcpNo=20260601900498", "공시열람")</f>
        <v/>
      </c>
    </row>
    <row r="8920">
      <c r="A8920" s="2" t="inlineStr">
        <is>
          <t>2026-06-01</t>
        </is>
      </c>
      <c r="B8920" s="3" t="inlineStr">
        <is>
          <t>대성산업</t>
        </is>
      </c>
      <c r="C8920" s="2" t="inlineStr">
        <is>
          <t>코스피</t>
        </is>
      </c>
      <c r="D8920" s="2" t="inlineStr">
        <is>
          <t>128820</t>
        </is>
      </c>
      <c r="E8920" s="3" t="inlineStr">
        <is>
          <t xml:space="preserve">기업지배구조보고서공시              </t>
        </is>
      </c>
      <c r="F8920" s="3" t="inlineStr">
        <is>
          <t>대성산업</t>
        </is>
      </c>
      <c r="G8920" s="2" t="inlineStr">
        <is>
          <t>20260601800533</t>
        </is>
      </c>
      <c r="H8920" s="8">
        <f>HYPERLINK("https://dart.fss.or.kr/dsaf001/main.do?rcpNo=20260601800533", "공시열람")</f>
        <v/>
      </c>
    </row>
    <row r="8921">
      <c r="A8921" s="2" t="inlineStr">
        <is>
          <t>2026-06-01</t>
        </is>
      </c>
      <c r="B8921" s="3" t="inlineStr">
        <is>
          <t>한국주철관공업</t>
        </is>
      </c>
      <c r="C8921" s="2" t="inlineStr">
        <is>
          <t>코스피</t>
        </is>
      </c>
      <c r="D8921" s="2" t="inlineStr">
        <is>
          <t>000970</t>
        </is>
      </c>
      <c r="E8921" s="3" t="inlineStr">
        <is>
          <t xml:space="preserve">기업지배구조보고서공시              </t>
        </is>
      </c>
      <c r="F8921" s="3" t="inlineStr">
        <is>
          <t>한국주철관공업</t>
        </is>
      </c>
      <c r="G8921" s="2" t="inlineStr">
        <is>
          <t>20260601800536</t>
        </is>
      </c>
      <c r="H8921" s="8">
        <f>HYPERLINK("https://dart.fss.or.kr/dsaf001/main.do?rcpNo=20260601800536", "공시열람")</f>
        <v/>
      </c>
    </row>
    <row r="8922">
      <c r="A8922" s="2" t="inlineStr">
        <is>
          <t>2026-06-01</t>
        </is>
      </c>
      <c r="B8922" s="3" t="inlineStr">
        <is>
          <t>하이트진로홀딩스</t>
        </is>
      </c>
      <c r="C8922" s="2" t="inlineStr">
        <is>
          <t>코스피</t>
        </is>
      </c>
      <c r="D8922" s="2" t="inlineStr">
        <is>
          <t>000140</t>
        </is>
      </c>
      <c r="E8922" s="3" t="inlineStr">
        <is>
          <t>대규모기업집단현황공시[연1회(동일인용)]</t>
        </is>
      </c>
      <c r="F8922" s="3" t="inlineStr">
        <is>
          <t>박문덕</t>
        </is>
      </c>
      <c r="G8922" s="2" t="inlineStr">
        <is>
          <t>20260601000605</t>
        </is>
      </c>
      <c r="H8922" s="8">
        <f>HYPERLINK("https://dart.fss.or.kr/dsaf001/main.do?rcpNo=20260601000605", "공시열람")</f>
        <v/>
      </c>
    </row>
    <row r="8923">
      <c r="A8923" s="2" t="inlineStr">
        <is>
          <t>2026-06-01</t>
        </is>
      </c>
      <c r="B8923" s="3" t="inlineStr">
        <is>
          <t>태원물산</t>
        </is>
      </c>
      <c r="C8923" s="2" t="inlineStr">
        <is>
          <t>코스피</t>
        </is>
      </c>
      <c r="D8923" s="2" t="inlineStr">
        <is>
          <t>001420</t>
        </is>
      </c>
      <c r="E8923" s="3" t="inlineStr">
        <is>
          <t xml:space="preserve">기업지배구조보고서공시              </t>
        </is>
      </c>
      <c r="F8923" s="3" t="inlineStr">
        <is>
          <t>태원물산</t>
        </is>
      </c>
      <c r="G8923" s="2" t="inlineStr">
        <is>
          <t>20260601800521</t>
        </is>
      </c>
      <c r="H8923" s="8">
        <f>HYPERLINK("https://dart.fss.or.kr/dsaf001/main.do?rcpNo=20260601800521", "공시열람")</f>
        <v/>
      </c>
    </row>
    <row r="8924">
      <c r="A8924" s="2" t="inlineStr">
        <is>
          <t>2026-06-01 (정정: 2026-06-02)</t>
        </is>
      </c>
      <c r="B8924" s="3" t="inlineStr">
        <is>
          <t>HD건설기계</t>
        </is>
      </c>
      <c r="C8924" s="2" t="inlineStr">
        <is>
          <t>코스피</t>
        </is>
      </c>
      <c r="D8924" s="2" t="inlineStr">
        <is>
          <t>267270</t>
        </is>
      </c>
      <c r="E8924" s="3" t="inlineStr">
        <is>
          <t>지속가능경영보고서등관련사항(자율공시)               (정정: 20260602) (정정: 20260602)</t>
        </is>
      </c>
      <c r="F8924" s="3" t="inlineStr">
        <is>
          <t>HD건설기계</t>
        </is>
      </c>
      <c r="G8924" s="2" t="inlineStr">
        <is>
          <t>20260602000456</t>
        </is>
      </c>
      <c r="H8924" s="8">
        <f>HYPERLINK("https://dart.fss.or.kr/dsaf001/main.do?rcpNo=20260602000456", "공시열람")</f>
        <v/>
      </c>
    </row>
    <row r="8925">
      <c r="A8925" s="2" t="inlineStr">
        <is>
          <t>2026-06-01</t>
        </is>
      </c>
      <c r="B8925" s="3" t="inlineStr">
        <is>
          <t>KB금융</t>
        </is>
      </c>
      <c r="C8925" s="2" t="inlineStr">
        <is>
          <t>코스피</t>
        </is>
      </c>
      <c r="D8925" s="2" t="inlineStr">
        <is>
          <t>105560</t>
        </is>
      </c>
      <c r="E8925" s="3" t="inlineStr">
        <is>
          <t>임원ㆍ주요주주특정증권등소유상황보고서</t>
        </is>
      </c>
      <c r="F8925" s="3" t="inlineStr">
        <is>
          <t>박선현</t>
        </is>
      </c>
      <c r="G8925" s="2" t="inlineStr">
        <is>
          <t>20260601000584</t>
        </is>
      </c>
      <c r="H8925" s="8">
        <f>HYPERLINK("https://dart.fss.or.kr/dsaf001/main.do?rcpNo=20260601000584", "공시열람")</f>
        <v/>
      </c>
    </row>
    <row r="8926">
      <c r="A8926" s="2" t="inlineStr">
        <is>
          <t>2026-06-01</t>
        </is>
      </c>
      <c r="B8926" s="3" t="inlineStr">
        <is>
          <t>KR모터스</t>
        </is>
      </c>
      <c r="C8926" s="2" t="inlineStr">
        <is>
          <t>코스피</t>
        </is>
      </c>
      <c r="D8926" s="2" t="inlineStr">
        <is>
          <t>000040</t>
        </is>
      </c>
      <c r="E8926" s="3" t="inlineStr">
        <is>
          <t xml:space="preserve">기업지배구조보고서공시              </t>
        </is>
      </c>
      <c r="F8926" s="3" t="inlineStr">
        <is>
          <t>KR모터스</t>
        </is>
      </c>
      <c r="G8926" s="2" t="inlineStr">
        <is>
          <t>20260601800475</t>
        </is>
      </c>
      <c r="H8926" s="8">
        <f>HYPERLINK("https://dart.fss.or.kr/dsaf001/main.do?rcpNo=20260601800475", "공시열람")</f>
        <v/>
      </c>
    </row>
    <row r="8927">
      <c r="A8927" s="2" t="inlineStr">
        <is>
          <t>2026-06-01</t>
        </is>
      </c>
      <c r="B8927" s="3" t="inlineStr">
        <is>
          <t>삼호개발</t>
        </is>
      </c>
      <c r="C8927" s="2" t="inlineStr">
        <is>
          <t>코스피</t>
        </is>
      </c>
      <c r="D8927" s="2" t="inlineStr">
        <is>
          <t>010960</t>
        </is>
      </c>
      <c r="E8927" s="3" t="inlineStr">
        <is>
          <t xml:space="preserve">기업지배구조보고서공시              </t>
        </is>
      </c>
      <c r="F8927" s="3" t="inlineStr">
        <is>
          <t>삼호개발</t>
        </is>
      </c>
      <c r="G8927" s="2" t="inlineStr">
        <is>
          <t>20260601800513</t>
        </is>
      </c>
      <c r="H8927" s="8">
        <f>HYPERLINK("https://dart.fss.or.kr/dsaf001/main.do?rcpNo=20260601800513", "공시열람")</f>
        <v/>
      </c>
    </row>
    <row r="8928">
      <c r="A8928" s="2" t="inlineStr">
        <is>
          <t>2026-06-01</t>
        </is>
      </c>
      <c r="B8928" s="3" t="inlineStr">
        <is>
          <t>에코프로에이치엔</t>
        </is>
      </c>
      <c r="C8928" s="2" t="inlineStr">
        <is>
          <t>코스닥</t>
        </is>
      </c>
      <c r="D8928" s="2" t="inlineStr">
        <is>
          <t>383310</t>
        </is>
      </c>
      <c r="E8928" s="3" t="inlineStr">
        <is>
          <t>대규모기업집단현황공시[연1회공시및1/4분기용(개별회사)]</t>
        </is>
      </c>
      <c r="F8928" s="3" t="inlineStr">
        <is>
          <t>에코프로에이치엔</t>
        </is>
      </c>
      <c r="G8928" s="2" t="inlineStr">
        <is>
          <t>20260601000576</t>
        </is>
      </c>
      <c r="H8928" s="8">
        <f>HYPERLINK("https://dart.fss.or.kr/dsaf001/main.do?rcpNo=20260601000576", "공시열람")</f>
        <v/>
      </c>
    </row>
    <row r="8929">
      <c r="A8929" s="2" t="inlineStr">
        <is>
          <t>2026-06-01</t>
        </is>
      </c>
      <c r="B8929" s="3" t="inlineStr">
        <is>
          <t>신세계</t>
        </is>
      </c>
      <c r="C8929" s="2" t="inlineStr">
        <is>
          <t>코스피</t>
        </is>
      </c>
      <c r="D8929" s="2" t="inlineStr">
        <is>
          <t>004170</t>
        </is>
      </c>
      <c r="E8929" s="3" t="inlineStr">
        <is>
          <t>대규모기업집단현황공시[연1회(동일인용)]</t>
        </is>
      </c>
      <c r="F8929" s="3" t="inlineStr">
        <is>
          <t>이명희</t>
        </is>
      </c>
      <c r="G8929" s="2" t="inlineStr">
        <is>
          <t>20260601000575</t>
        </is>
      </c>
      <c r="H8929" s="8">
        <f>HYPERLINK("https://dart.fss.or.kr/dsaf001/main.do?rcpNo=20260601000575", "공시열람")</f>
        <v/>
      </c>
    </row>
    <row r="8930">
      <c r="A8930" s="2" t="inlineStr">
        <is>
          <t>2026-06-01</t>
        </is>
      </c>
      <c r="B8930" s="3" t="inlineStr">
        <is>
          <t>코오롱글로벌</t>
        </is>
      </c>
      <c r="C8930" s="2" t="inlineStr">
        <is>
          <t>코스피</t>
        </is>
      </c>
      <c r="D8930" s="2" t="inlineStr">
        <is>
          <t>003070</t>
        </is>
      </c>
      <c r="E8930" s="3" t="inlineStr">
        <is>
          <t>대규모기업집단현황공시[연1회공시및1/4분기용(개별회사)]</t>
        </is>
      </c>
      <c r="F8930" s="3" t="inlineStr">
        <is>
          <t>코오롱글로벌</t>
        </is>
      </c>
      <c r="G8930" s="2" t="inlineStr">
        <is>
          <t>20260601000568</t>
        </is>
      </c>
      <c r="H8930" s="8">
        <f>HYPERLINK("https://dart.fss.or.kr/dsaf001/main.do?rcpNo=20260601000568", "공시열람")</f>
        <v/>
      </c>
    </row>
    <row r="8931">
      <c r="A8931" s="2" t="inlineStr">
        <is>
          <t>2026-06-01</t>
        </is>
      </c>
      <c r="B8931" s="3" t="inlineStr">
        <is>
          <t>이건산업</t>
        </is>
      </c>
      <c r="C8931" s="2" t="inlineStr">
        <is>
          <t>코스피</t>
        </is>
      </c>
      <c r="D8931" s="2" t="inlineStr">
        <is>
          <t>008250</t>
        </is>
      </c>
      <c r="E8931" s="3" t="inlineStr">
        <is>
          <t xml:space="preserve">기업지배구조보고서공시              </t>
        </is>
      </c>
      <c r="F8931" s="3" t="inlineStr">
        <is>
          <t>이건산업</t>
        </is>
      </c>
      <c r="G8931" s="2" t="inlineStr">
        <is>
          <t>20260601800505</t>
        </is>
      </c>
      <c r="H8931" s="8">
        <f>HYPERLINK("https://dart.fss.or.kr/dsaf001/main.do?rcpNo=20260601800505", "공시열람")</f>
        <v/>
      </c>
    </row>
    <row r="8932">
      <c r="A8932" s="2" t="inlineStr">
        <is>
          <t>2026-06-01</t>
        </is>
      </c>
      <c r="B8932" s="3" t="inlineStr">
        <is>
          <t>우정바이오</t>
        </is>
      </c>
      <c r="C8932" s="2" t="inlineStr">
        <is>
          <t>코스닥</t>
        </is>
      </c>
      <c r="D8932" s="2" t="inlineStr">
        <is>
          <t>215380</t>
        </is>
      </c>
      <c r="E8932" s="3" t="inlineStr">
        <is>
          <t>대규모기업집단현황공시[연1회공시및1/4분기용(개별회사)]</t>
        </is>
      </c>
      <c r="F8932" s="3" t="inlineStr">
        <is>
          <t>우정바이오</t>
        </is>
      </c>
      <c r="G8932" s="2" t="inlineStr">
        <is>
          <t>20260601000561</t>
        </is>
      </c>
      <c r="H8932" s="8">
        <f>HYPERLINK("https://dart.fss.or.kr/dsaf001/main.do?rcpNo=20260601000561", "공시열람")</f>
        <v/>
      </c>
    </row>
    <row r="8933">
      <c r="A8933" s="2" t="inlineStr">
        <is>
          <t>2026-06-01</t>
        </is>
      </c>
      <c r="B8933" s="3" t="inlineStr">
        <is>
          <t>빛과전자</t>
        </is>
      </c>
      <c r="C8933" s="2" t="inlineStr">
        <is>
          <t>코스닥</t>
        </is>
      </c>
      <c r="D8933" s="2" t="inlineStr">
        <is>
          <t>069540</t>
        </is>
      </c>
      <c r="E8933" s="3" t="inlineStr">
        <is>
          <t>사외이사의선임ㆍ해임또는중도퇴임에관한신고</t>
        </is>
      </c>
      <c r="F8933" s="3" t="inlineStr">
        <is>
          <t>빛과전자</t>
        </is>
      </c>
      <c r="G8933" s="2" t="inlineStr">
        <is>
          <t>20260601000560</t>
        </is>
      </c>
      <c r="H8933" s="8">
        <f>HYPERLINK("https://dart.fss.or.kr/dsaf001/main.do?rcpNo=20260601000560", "공시열람")</f>
        <v/>
      </c>
    </row>
    <row r="8934">
      <c r="A8934" s="2" t="inlineStr">
        <is>
          <t>2026-06-01</t>
        </is>
      </c>
      <c r="B8934" s="3" t="inlineStr">
        <is>
          <t>HMM</t>
        </is>
      </c>
      <c r="C8934" s="2" t="inlineStr">
        <is>
          <t>코스피</t>
        </is>
      </c>
      <c r="D8934" s="2" t="inlineStr">
        <is>
          <t>011200</t>
        </is>
      </c>
      <c r="E8934" s="3" t="inlineStr">
        <is>
          <t>대규모기업집단현황공시[연1회공시및1/4분기용(대표회사)]</t>
        </is>
      </c>
      <c r="F8934" s="3" t="inlineStr">
        <is>
          <t>HMM</t>
        </is>
      </c>
      <c r="G8934" s="2" t="inlineStr">
        <is>
          <t>20260601000553</t>
        </is>
      </c>
      <c r="H8934" s="8">
        <f>HYPERLINK("https://dart.fss.or.kr/dsaf001/main.do?rcpNo=20260601000553", "공시열람")</f>
        <v/>
      </c>
    </row>
    <row r="8935">
      <c r="A8935" s="2" t="inlineStr">
        <is>
          <t>2026-06-01</t>
        </is>
      </c>
      <c r="B8935" s="3" t="inlineStr">
        <is>
          <t>초록뱀미디어</t>
        </is>
      </c>
      <c r="C8935" s="2" t="inlineStr">
        <is>
          <t>코스닥</t>
        </is>
      </c>
      <c r="D8935" s="2" t="inlineStr">
        <is>
          <t>047820</t>
        </is>
      </c>
      <c r="E8935" s="3" t="inlineStr">
        <is>
          <t>대규모기업집단현황공시[연1회공시및1/4분기용(개별회사)]</t>
        </is>
      </c>
      <c r="F8935" s="3" t="inlineStr">
        <is>
          <t>초록뱀미디어</t>
        </is>
      </c>
      <c r="G8935" s="2" t="inlineStr">
        <is>
          <t>20260601000549</t>
        </is>
      </c>
      <c r="H8935" s="8">
        <f>HYPERLINK("https://dart.fss.or.kr/dsaf001/main.do?rcpNo=20260601000549", "공시열람")</f>
        <v/>
      </c>
    </row>
    <row r="8936">
      <c r="A8936" s="2" t="inlineStr">
        <is>
          <t>2026-06-01</t>
        </is>
      </c>
      <c r="B8936" s="3" t="inlineStr">
        <is>
          <t>HMM</t>
        </is>
      </c>
      <c r="C8936" s="2" t="inlineStr">
        <is>
          <t>코스피</t>
        </is>
      </c>
      <c r="D8936" s="2" t="inlineStr">
        <is>
          <t>011200</t>
        </is>
      </c>
      <c r="E8936" s="3" t="inlineStr">
        <is>
          <t>대규모기업집단현황공시[연1회(동일인용)]</t>
        </is>
      </c>
      <c r="F8936" s="3" t="inlineStr">
        <is>
          <t>HMM</t>
        </is>
      </c>
      <c r="G8936" s="2" t="inlineStr">
        <is>
          <t>20260601000548</t>
        </is>
      </c>
      <c r="H8936" s="8">
        <f>HYPERLINK("https://dart.fss.or.kr/dsaf001/main.do?rcpNo=20260601000548", "공시열람")</f>
        <v/>
      </c>
    </row>
    <row r="8937">
      <c r="A8937" s="2" t="inlineStr">
        <is>
          <t>2026-06-01</t>
        </is>
      </c>
      <c r="B8937" s="3" t="inlineStr">
        <is>
          <t>후성</t>
        </is>
      </c>
      <c r="C8937" s="2" t="inlineStr">
        <is>
          <t>코스피</t>
        </is>
      </c>
      <c r="D8937" s="2" t="inlineStr">
        <is>
          <t>093370</t>
        </is>
      </c>
      <c r="E8937" s="3" t="inlineStr">
        <is>
          <t xml:space="preserve">기업지배구조보고서공시              </t>
        </is>
      </c>
      <c r="F8937" s="3" t="inlineStr">
        <is>
          <t>후성</t>
        </is>
      </c>
      <c r="G8937" s="2" t="inlineStr">
        <is>
          <t>20260601800487</t>
        </is>
      </c>
      <c r="H8937" s="8">
        <f>HYPERLINK("https://dart.fss.or.kr/dsaf001/main.do?rcpNo=20260601800487", "공시열람")</f>
        <v/>
      </c>
    </row>
    <row r="8938">
      <c r="A8938" s="2" t="inlineStr">
        <is>
          <t>2026-06-01</t>
        </is>
      </c>
      <c r="B8938" s="3" t="inlineStr">
        <is>
          <t>삼성중공업</t>
        </is>
      </c>
      <c r="C8938" s="2" t="inlineStr">
        <is>
          <t>코스피</t>
        </is>
      </c>
      <c r="D8938" s="2" t="inlineStr">
        <is>
          <t>010140</t>
        </is>
      </c>
      <c r="E8938" s="3" t="inlineStr">
        <is>
          <t xml:space="preserve">기업지배구조보고서공시              </t>
        </is>
      </c>
      <c r="F8938" s="3" t="inlineStr">
        <is>
          <t>삼성중공업</t>
        </is>
      </c>
      <c r="G8938" s="2" t="inlineStr">
        <is>
          <t>20260601800392</t>
        </is>
      </c>
      <c r="H8938" s="8">
        <f>HYPERLINK("https://dart.fss.or.kr/dsaf001/main.do?rcpNo=20260601800392", "공시열람")</f>
        <v/>
      </c>
    </row>
    <row r="8939">
      <c r="A8939" s="2" t="inlineStr">
        <is>
          <t>2026-06-01</t>
        </is>
      </c>
      <c r="B8939" s="3" t="inlineStr">
        <is>
          <t>삼성바이오로직스</t>
        </is>
      </c>
      <c r="C8939" s="2" t="inlineStr">
        <is>
          <t>코스피</t>
        </is>
      </c>
      <c r="D8939" s="2" t="inlineStr">
        <is>
          <t>207940</t>
        </is>
      </c>
      <c r="E8939" s="3" t="inlineStr">
        <is>
          <t>대규모기업집단현황공시[연1회공시및1/4분기용(개별회사)]</t>
        </is>
      </c>
      <c r="F8939" s="3" t="inlineStr">
        <is>
          <t>삼성바이오로직스</t>
        </is>
      </c>
      <c r="G8939" s="2" t="inlineStr">
        <is>
          <t>20260601000535</t>
        </is>
      </c>
      <c r="H8939" s="8">
        <f>HYPERLINK("https://dart.fss.or.kr/dsaf001/main.do?rcpNo=20260601000535", "공시열람")</f>
        <v/>
      </c>
    </row>
    <row r="8940">
      <c r="A8940" s="2" t="inlineStr">
        <is>
          <t>2026-06-01</t>
        </is>
      </c>
      <c r="B8940" s="3" t="inlineStr">
        <is>
          <t>엘에스일렉트릭</t>
        </is>
      </c>
      <c r="C8940" s="2" t="inlineStr">
        <is>
          <t>코스피</t>
        </is>
      </c>
      <c r="D8940" s="2" t="inlineStr">
        <is>
          <t>010120</t>
        </is>
      </c>
      <c r="E8940" s="3" t="inlineStr">
        <is>
          <t>대규모기업집단현황공시[연1회공시및1/4분기용(개별회사)]</t>
        </is>
      </c>
      <c r="F8940" s="3" t="inlineStr">
        <is>
          <t>엘에스일렉트릭</t>
        </is>
      </c>
      <c r="G8940" s="2" t="inlineStr">
        <is>
          <t>20260601000529</t>
        </is>
      </c>
      <c r="H8940" s="8">
        <f>HYPERLINK("https://dart.fss.or.kr/dsaf001/main.do?rcpNo=20260601000529", "공시열람")</f>
        <v/>
      </c>
    </row>
    <row r="8941">
      <c r="A8941" s="2" t="inlineStr">
        <is>
          <t>2026-06-01</t>
        </is>
      </c>
      <c r="B8941" s="3" t="inlineStr">
        <is>
          <t>유니켐</t>
        </is>
      </c>
      <c r="C8941" s="2" t="inlineStr">
        <is>
          <t>코스피</t>
        </is>
      </c>
      <c r="D8941" s="2" t="inlineStr">
        <is>
          <t>011330</t>
        </is>
      </c>
      <c r="E8941" s="3" t="inlineStr">
        <is>
          <t xml:space="preserve">대표이사(대표집행임원)변경(안내공시)              </t>
        </is>
      </c>
      <c r="F8941" s="3" t="inlineStr">
        <is>
          <t>유니켐</t>
        </is>
      </c>
      <c r="G8941" s="2" t="inlineStr">
        <is>
          <t>20260601800478</t>
        </is>
      </c>
      <c r="H8941" s="8">
        <f>HYPERLINK("https://dart.fss.or.kr/dsaf001/main.do?rcpNo=20260601800478", "공시열람")</f>
        <v/>
      </c>
    </row>
    <row r="8942">
      <c r="A8942" s="2" t="inlineStr">
        <is>
          <t>2026-06-01</t>
        </is>
      </c>
      <c r="B8942" s="3" t="inlineStr">
        <is>
          <t>삼익악기</t>
        </is>
      </c>
      <c r="C8942" s="2" t="inlineStr">
        <is>
          <t>코스피</t>
        </is>
      </c>
      <c r="D8942" s="2" t="inlineStr">
        <is>
          <t>002450</t>
        </is>
      </c>
      <c r="E8942" s="3" t="inlineStr">
        <is>
          <t xml:space="preserve">기업지배구조보고서공시              </t>
        </is>
      </c>
      <c r="F8942" s="3" t="inlineStr">
        <is>
          <t>삼익악기</t>
        </is>
      </c>
      <c r="G8942" s="2" t="inlineStr">
        <is>
          <t>20260601800473</t>
        </is>
      </c>
      <c r="H8942" s="8">
        <f>HYPERLINK("https://dart.fss.or.kr/dsaf001/main.do?rcpNo=20260601800473", "공시열람")</f>
        <v/>
      </c>
    </row>
    <row r="8943">
      <c r="A8943" s="2" t="inlineStr">
        <is>
          <t>2026-06-01</t>
        </is>
      </c>
      <c r="B8943" s="3" t="inlineStr">
        <is>
          <t>유성기업</t>
        </is>
      </c>
      <c r="C8943" s="2" t="inlineStr">
        <is>
          <t>코스피</t>
        </is>
      </c>
      <c r="D8943" s="2" t="inlineStr">
        <is>
          <t>002920</t>
        </is>
      </c>
      <c r="E8943" s="3" t="inlineStr">
        <is>
          <t xml:space="preserve">기업지배구조보고서공시              </t>
        </is>
      </c>
      <c r="F8943" s="3" t="inlineStr">
        <is>
          <t>유성기업</t>
        </is>
      </c>
      <c r="G8943" s="2" t="inlineStr">
        <is>
          <t>20260601800477</t>
        </is>
      </c>
      <c r="H8943" s="8">
        <f>HYPERLINK("https://dart.fss.or.kr/dsaf001/main.do?rcpNo=20260601800477", "공시열람")</f>
        <v/>
      </c>
    </row>
    <row r="8944">
      <c r="A8944" s="2" t="inlineStr">
        <is>
          <t>2026-06-01</t>
        </is>
      </c>
      <c r="B8944" s="3" t="inlineStr">
        <is>
          <t>코오롱인더</t>
        </is>
      </c>
      <c r="C8944" s="2" t="inlineStr">
        <is>
          <t>코스피</t>
        </is>
      </c>
      <c r="D8944" s="2" t="inlineStr">
        <is>
          <t>120110</t>
        </is>
      </c>
      <c r="E8944" s="3" t="inlineStr">
        <is>
          <t>대규모기업집단현황공시[연1회공시및1/4분기용(개별회사)]</t>
        </is>
      </c>
      <c r="F8944" s="3" t="inlineStr">
        <is>
          <t>코오롱인더</t>
        </is>
      </c>
      <c r="G8944" s="2" t="inlineStr">
        <is>
          <t>20260601000524</t>
        </is>
      </c>
      <c r="H8944" s="8">
        <f>HYPERLINK("https://dart.fss.or.kr/dsaf001/main.do?rcpNo=20260601000524", "공시열람")</f>
        <v/>
      </c>
    </row>
    <row r="8945">
      <c r="A8945" s="2" t="inlineStr">
        <is>
          <t>2026-06-01</t>
        </is>
      </c>
      <c r="B8945" s="3" t="inlineStr">
        <is>
          <t>한국앤컴퍼니</t>
        </is>
      </c>
      <c r="C8945" s="2" t="inlineStr">
        <is>
          <t>코스피</t>
        </is>
      </c>
      <c r="D8945" s="2" t="inlineStr">
        <is>
          <t>000240</t>
        </is>
      </c>
      <c r="E8945" s="3" t="inlineStr">
        <is>
          <t xml:space="preserve">기업지배구조보고서공시              </t>
        </is>
      </c>
      <c r="F8945" s="3" t="inlineStr">
        <is>
          <t>한국앤컴퍼니</t>
        </is>
      </c>
      <c r="G8945" s="2" t="inlineStr">
        <is>
          <t>20260601800465</t>
        </is>
      </c>
      <c r="H8945" s="8">
        <f>HYPERLINK("https://dart.fss.or.kr/dsaf001/main.do?rcpNo=20260601800465", "공시열람")</f>
        <v/>
      </c>
    </row>
    <row r="8946">
      <c r="A8946" s="2" t="inlineStr">
        <is>
          <t>2026-06-01</t>
        </is>
      </c>
      <c r="B8946" s="3" t="inlineStr">
        <is>
          <t>조광피혁</t>
        </is>
      </c>
      <c r="C8946" s="2" t="inlineStr">
        <is>
          <t>코스피</t>
        </is>
      </c>
      <c r="D8946" s="2" t="inlineStr">
        <is>
          <t>004700</t>
        </is>
      </c>
      <c r="E8946" s="3" t="inlineStr">
        <is>
          <t xml:space="preserve">기업지배구조보고서공시              </t>
        </is>
      </c>
      <c r="F8946" s="3" t="inlineStr">
        <is>
          <t>조광피혁</t>
        </is>
      </c>
      <c r="G8946" s="2" t="inlineStr">
        <is>
          <t>20260601800461</t>
        </is>
      </c>
      <c r="H8946" s="8">
        <f>HYPERLINK("https://dart.fss.or.kr/dsaf001/main.do?rcpNo=20260601800461", "공시열람")</f>
        <v/>
      </c>
    </row>
    <row r="8947">
      <c r="A8947" s="2" t="inlineStr">
        <is>
          <t>2026-06-01</t>
        </is>
      </c>
      <c r="B8947" s="3" t="inlineStr">
        <is>
          <t>INVENI</t>
        </is>
      </c>
      <c r="C8947" s="2" t="inlineStr">
        <is>
          <t>코스피</t>
        </is>
      </c>
      <c r="D8947" s="2" t="inlineStr">
        <is>
          <t>015360</t>
        </is>
      </c>
      <c r="E8947" s="3" t="inlineStr">
        <is>
          <t>대규모기업집단현황공시[연1회공시및1/4분기용(개별회사)]</t>
        </is>
      </c>
      <c r="F8947" s="3" t="inlineStr">
        <is>
          <t>INVENI</t>
        </is>
      </c>
      <c r="G8947" s="2" t="inlineStr">
        <is>
          <t>20260601000498</t>
        </is>
      </c>
      <c r="H8947" s="8">
        <f>HYPERLINK("https://dart.fss.or.kr/dsaf001/main.do?rcpNo=20260601000498", "공시열람")</f>
        <v/>
      </c>
    </row>
    <row r="8948">
      <c r="A8948" s="2" t="inlineStr">
        <is>
          <t>2026-06-01</t>
        </is>
      </c>
      <c r="B8948" s="3" t="inlineStr">
        <is>
          <t>사람인</t>
        </is>
      </c>
      <c r="C8948" s="2" t="inlineStr">
        <is>
          <t>코스닥</t>
        </is>
      </c>
      <c r="D8948" s="2" t="inlineStr">
        <is>
          <t>143240</t>
        </is>
      </c>
      <c r="E8948" s="3" t="inlineStr">
        <is>
          <t>대규모기업집단현황공시[연1회공시및1/4분기용(개별회사)]</t>
        </is>
      </c>
      <c r="F8948" s="3" t="inlineStr">
        <is>
          <t>사람인</t>
        </is>
      </c>
      <c r="G8948" s="2" t="inlineStr">
        <is>
          <t>20260601000492</t>
        </is>
      </c>
      <c r="H8948" s="8">
        <f>HYPERLINK("https://dart.fss.or.kr/dsaf001/main.do?rcpNo=20260601000492", "공시열람")</f>
        <v/>
      </c>
    </row>
    <row r="8949">
      <c r="A8949" s="2" t="inlineStr">
        <is>
          <t>2026-06-01</t>
        </is>
      </c>
      <c r="B8949" s="3" t="inlineStr">
        <is>
          <t>대성미생물</t>
        </is>
      </c>
      <c r="C8949" s="2" t="inlineStr">
        <is>
          <t>코스닥</t>
        </is>
      </c>
      <c r="D8949" s="2" t="inlineStr">
        <is>
          <t>036480</t>
        </is>
      </c>
      <c r="E8949" s="3" t="inlineStr">
        <is>
          <t>임원ㆍ주요주주특정증권등소유상황보고서</t>
        </is>
      </c>
      <c r="F8949" s="3" t="inlineStr">
        <is>
          <t>인실리코</t>
        </is>
      </c>
      <c r="G8949" s="2" t="inlineStr">
        <is>
          <t>20260601000469</t>
        </is>
      </c>
      <c r="H8949" s="8">
        <f>HYPERLINK("https://dart.fss.or.kr/dsaf001/main.do?rcpNo=20260601000469", "공시열람")</f>
        <v/>
      </c>
    </row>
    <row r="8950">
      <c r="A8950" s="2" t="inlineStr">
        <is>
          <t>2026-06-01</t>
        </is>
      </c>
      <c r="B8950" s="3" t="inlineStr">
        <is>
          <t>하이트진로홀딩스</t>
        </is>
      </c>
      <c r="C8950" s="2" t="inlineStr">
        <is>
          <t>코스피</t>
        </is>
      </c>
      <c r="D8950" s="2" t="inlineStr">
        <is>
          <t>000140</t>
        </is>
      </c>
      <c r="E8950" s="3" t="inlineStr">
        <is>
          <t>대규모기업집단현황공시[연1회공시및1/4분기용(대표회사)]</t>
        </is>
      </c>
      <c r="F8950" s="3" t="inlineStr">
        <is>
          <t>하이트진로홀딩스</t>
        </is>
      </c>
      <c r="G8950" s="2" t="inlineStr">
        <is>
          <t>20260601000468</t>
        </is>
      </c>
      <c r="H8950" s="8">
        <f>HYPERLINK("https://dart.fss.or.kr/dsaf001/main.do?rcpNo=20260601000468", "공시열람")</f>
        <v/>
      </c>
    </row>
    <row r="8951">
      <c r="A8951" s="2" t="inlineStr">
        <is>
          <t>2026-06-01</t>
        </is>
      </c>
      <c r="B8951" s="3" t="inlineStr">
        <is>
          <t>한국콜마</t>
        </is>
      </c>
      <c r="C8951" s="2" t="inlineStr">
        <is>
          <t>코스피</t>
        </is>
      </c>
      <c r="D8951" s="2" t="inlineStr">
        <is>
          <t>161890</t>
        </is>
      </c>
      <c r="E8951" s="3" t="inlineStr">
        <is>
          <t>대규모기업집단현황공시[연1회공시및1/4분기용(개별회사)]</t>
        </is>
      </c>
      <c r="F8951" s="3" t="inlineStr">
        <is>
          <t>한국콜마</t>
        </is>
      </c>
      <c r="G8951" s="2" t="inlineStr">
        <is>
          <t>20260601000467</t>
        </is>
      </c>
      <c r="H8951" s="8">
        <f>HYPERLINK("https://dart.fss.or.kr/dsaf001/main.do?rcpNo=20260601000467", "공시열람")</f>
        <v/>
      </c>
    </row>
    <row r="8952">
      <c r="A8952" s="2" t="inlineStr">
        <is>
          <t>2026-06-01</t>
        </is>
      </c>
      <c r="B8952" s="3" t="inlineStr">
        <is>
          <t>화천기공</t>
        </is>
      </c>
      <c r="C8952" s="2" t="inlineStr">
        <is>
          <t>코스피</t>
        </is>
      </c>
      <c r="D8952" s="2" t="inlineStr">
        <is>
          <t>000850</t>
        </is>
      </c>
      <c r="E8952" s="3" t="inlineStr">
        <is>
          <t xml:space="preserve">기업지배구조보고서공시              </t>
        </is>
      </c>
      <c r="F8952" s="3" t="inlineStr">
        <is>
          <t>화천기공</t>
        </is>
      </c>
      <c r="G8952" s="2" t="inlineStr">
        <is>
          <t>20260601800446</t>
        </is>
      </c>
      <c r="H8952" s="8">
        <f>HYPERLINK("https://dart.fss.or.kr/dsaf001/main.do?rcpNo=20260601800446", "공시열람")</f>
        <v/>
      </c>
    </row>
    <row r="8953">
      <c r="A8953" s="2" t="inlineStr">
        <is>
          <t>2026-06-01</t>
        </is>
      </c>
      <c r="B8953" s="3" t="inlineStr">
        <is>
          <t>동원시스템즈</t>
        </is>
      </c>
      <c r="C8953" s="2" t="inlineStr">
        <is>
          <t>코스피</t>
        </is>
      </c>
      <c r="D8953" s="2" t="inlineStr">
        <is>
          <t>014820</t>
        </is>
      </c>
      <c r="E8953" s="3" t="inlineStr">
        <is>
          <t>대규모기업집단현황공시[연1회공시및1/4분기용(개별회사)]</t>
        </is>
      </c>
      <c r="F8953" s="3" t="inlineStr">
        <is>
          <t>동원시스템즈</t>
        </is>
      </c>
      <c r="G8953" s="2" t="inlineStr">
        <is>
          <t>20260601000464</t>
        </is>
      </c>
      <c r="H8953" s="8">
        <f>HYPERLINK("https://dart.fss.or.kr/dsaf001/main.do?rcpNo=20260601000464", "공시열람")</f>
        <v/>
      </c>
    </row>
    <row r="8954">
      <c r="A8954" s="2" t="inlineStr">
        <is>
          <t>2026-06-01</t>
        </is>
      </c>
      <c r="B8954" s="3" t="inlineStr">
        <is>
          <t>하이트진로홀딩스</t>
        </is>
      </c>
      <c r="C8954" s="2" t="inlineStr">
        <is>
          <t>코스피</t>
        </is>
      </c>
      <c r="D8954" s="2" t="inlineStr">
        <is>
          <t>000140</t>
        </is>
      </c>
      <c r="E8954" s="3" t="inlineStr">
        <is>
          <t xml:space="preserve">기업지배구조보고서공시              </t>
        </is>
      </c>
      <c r="F8954" s="3" t="inlineStr">
        <is>
          <t>하이트진로홀딩스</t>
        </is>
      </c>
      <c r="G8954" s="2" t="inlineStr">
        <is>
          <t>20260601800440</t>
        </is>
      </c>
      <c r="H8954" s="8">
        <f>HYPERLINK("https://dart.fss.or.kr/dsaf001/main.do?rcpNo=20260601800440", "공시열람")</f>
        <v/>
      </c>
    </row>
    <row r="8955">
      <c r="A8955" s="2" t="inlineStr">
        <is>
          <t>2026-06-01</t>
        </is>
      </c>
      <c r="B8955" s="3" t="inlineStr">
        <is>
          <t>콜마비앤에이치</t>
        </is>
      </c>
      <c r="C8955" s="2" t="inlineStr">
        <is>
          <t>코스닥</t>
        </is>
      </c>
      <c r="D8955" s="2" t="inlineStr">
        <is>
          <t>200130</t>
        </is>
      </c>
      <c r="E8955" s="3" t="inlineStr">
        <is>
          <t>대규모기업집단현황공시[연1회공시및1/4분기용(개별회사)]</t>
        </is>
      </c>
      <c r="F8955" s="3" t="inlineStr">
        <is>
          <t>콜마비앤에이치</t>
        </is>
      </c>
      <c r="G8955" s="2" t="inlineStr">
        <is>
          <t>20260601000459</t>
        </is>
      </c>
      <c r="H8955" s="8">
        <f>HYPERLINK("https://dart.fss.or.kr/dsaf001/main.do?rcpNo=20260601000459", "공시열람")</f>
        <v/>
      </c>
    </row>
    <row r="8956">
      <c r="A8956" s="2" t="inlineStr">
        <is>
          <t>2026-06-01</t>
        </is>
      </c>
      <c r="B8956" s="3" t="inlineStr">
        <is>
          <t>강남제비스코</t>
        </is>
      </c>
      <c r="C8956" s="2" t="inlineStr">
        <is>
          <t>코스피</t>
        </is>
      </c>
      <c r="D8956" s="2" t="inlineStr">
        <is>
          <t>000860</t>
        </is>
      </c>
      <c r="E8956" s="3" t="inlineStr">
        <is>
          <t xml:space="preserve">기업지배구조보고서공시              </t>
        </is>
      </c>
      <c r="F8956" s="3" t="inlineStr">
        <is>
          <t>강남제비스코</t>
        </is>
      </c>
      <c r="G8956" s="2" t="inlineStr">
        <is>
          <t>20260601800432</t>
        </is>
      </c>
      <c r="H8956" s="8">
        <f>HYPERLINK("https://dart.fss.or.kr/dsaf001/main.do?rcpNo=20260601800432", "공시열람")</f>
        <v/>
      </c>
    </row>
    <row r="8957">
      <c r="A8957" s="2" t="inlineStr">
        <is>
          <t>2026-06-01</t>
        </is>
      </c>
      <c r="B8957" s="3" t="inlineStr">
        <is>
          <t>범양건영</t>
        </is>
      </c>
      <c r="C8957" s="2" t="inlineStr">
        <is>
          <t>코스피</t>
        </is>
      </c>
      <c r="D8957" s="2" t="inlineStr">
        <is>
          <t>002410</t>
        </is>
      </c>
      <c r="E8957" s="3" t="inlineStr">
        <is>
          <t xml:space="preserve">기업지배구조보고서공시              </t>
        </is>
      </c>
      <c r="F8957" s="3" t="inlineStr">
        <is>
          <t>범양건영</t>
        </is>
      </c>
      <c r="G8957" s="2" t="inlineStr">
        <is>
          <t>20260601800430</t>
        </is>
      </c>
      <c r="H8957" s="8">
        <f>HYPERLINK("https://dart.fss.or.kr/dsaf001/main.do?rcpNo=20260601800430", "공시열람")</f>
        <v/>
      </c>
    </row>
    <row r="8958">
      <c r="A8958" s="2" t="inlineStr">
        <is>
          <t>2026-06-01</t>
        </is>
      </c>
      <c r="B8958" s="3" t="inlineStr">
        <is>
          <t>키다리스튜디오</t>
        </is>
      </c>
      <c r="C8958" s="2" t="inlineStr">
        <is>
          <t>코스피</t>
        </is>
      </c>
      <c r="D8958" s="2" t="inlineStr">
        <is>
          <t>020120</t>
        </is>
      </c>
      <c r="E8958" s="3" t="inlineStr">
        <is>
          <t>대규모기업집단현황공시[연1회공시및1/4분기용(개별회사)]</t>
        </is>
      </c>
      <c r="F8958" s="3" t="inlineStr">
        <is>
          <t>키다리스튜디오</t>
        </is>
      </c>
      <c r="G8958" s="2" t="inlineStr">
        <is>
          <t>20260601000451</t>
        </is>
      </c>
      <c r="H8958" s="8">
        <f>HYPERLINK("https://dart.fss.or.kr/dsaf001/main.do?rcpNo=20260601000451", "공시열람")</f>
        <v/>
      </c>
    </row>
    <row r="8959">
      <c r="A8959" s="2" t="inlineStr">
        <is>
          <t>2026-06-01</t>
        </is>
      </c>
      <c r="B8959" s="3" t="inlineStr">
        <is>
          <t>동원산업</t>
        </is>
      </c>
      <c r="C8959" s="2" t="inlineStr">
        <is>
          <t>코스피</t>
        </is>
      </c>
      <c r="D8959" s="2" t="inlineStr">
        <is>
          <t>006040</t>
        </is>
      </c>
      <c r="E8959" s="3" t="inlineStr">
        <is>
          <t>대규모기업집단현황공시[연1회(동일인용)]</t>
        </is>
      </c>
      <c r="F8959" s="3" t="inlineStr">
        <is>
          <t>김남정</t>
        </is>
      </c>
      <c r="G8959" s="2" t="inlineStr">
        <is>
          <t>20260601000448</t>
        </is>
      </c>
      <c r="H8959" s="8">
        <f>HYPERLINK("https://dart.fss.or.kr/dsaf001/main.do?rcpNo=20260601000448", "공시열람")</f>
        <v/>
      </c>
    </row>
    <row r="8960">
      <c r="A8960" s="2" t="inlineStr">
        <is>
          <t>2026-06-01</t>
        </is>
      </c>
      <c r="B8960" s="3" t="inlineStr">
        <is>
          <t>코리아써키트</t>
        </is>
      </c>
      <c r="C8960" s="2" t="inlineStr">
        <is>
          <t>코스피</t>
        </is>
      </c>
      <c r="D8960" s="2" t="inlineStr">
        <is>
          <t>007810</t>
        </is>
      </c>
      <c r="E8960" s="3" t="inlineStr">
        <is>
          <t>대규모기업집단현황공시[연1회공시및1/4분기용(개별회사)]</t>
        </is>
      </c>
      <c r="F8960" s="3" t="inlineStr">
        <is>
          <t>코리아써키트</t>
        </is>
      </c>
      <c r="G8960" s="2" t="inlineStr">
        <is>
          <t>20260601000441</t>
        </is>
      </c>
      <c r="H8960" s="8">
        <f>HYPERLINK("https://dart.fss.or.kr/dsaf001/main.do?rcpNo=20260601000441", "공시열람")</f>
        <v/>
      </c>
    </row>
    <row r="8961">
      <c r="A8961" s="2" t="inlineStr">
        <is>
          <t>2026-06-01</t>
        </is>
      </c>
      <c r="B8961" s="3" t="inlineStr">
        <is>
          <t>아주스틸</t>
        </is>
      </c>
      <c r="C8961" s="2" t="inlineStr">
        <is>
          <t>코스피</t>
        </is>
      </c>
      <c r="D8961" s="2" t="inlineStr">
        <is>
          <t>139990</t>
        </is>
      </c>
      <c r="E8961" s="3" t="inlineStr">
        <is>
          <t xml:space="preserve">기업지배구조보고서공시              </t>
        </is>
      </c>
      <c r="F8961" s="3" t="inlineStr">
        <is>
          <t>아주스틸</t>
        </is>
      </c>
      <c r="G8961" s="2" t="inlineStr">
        <is>
          <t>20260601800425</t>
        </is>
      </c>
      <c r="H8961" s="8">
        <f>HYPERLINK("https://dart.fss.or.kr/dsaf001/main.do?rcpNo=20260601800425", "공시열람")</f>
        <v/>
      </c>
    </row>
    <row r="8962">
      <c r="A8962" s="2" t="inlineStr">
        <is>
          <t>2026-06-01</t>
        </is>
      </c>
      <c r="B8962" s="3" t="inlineStr">
        <is>
          <t>일진파워</t>
        </is>
      </c>
      <c r="C8962" s="2" t="inlineStr">
        <is>
          <t>코스닥</t>
        </is>
      </c>
      <c r="D8962" s="2" t="inlineStr">
        <is>
          <t>094820</t>
        </is>
      </c>
      <c r="E8962" s="3" t="inlineStr">
        <is>
          <t>임원ㆍ주요주주특정증권등소유상황보고서</t>
        </is>
      </c>
      <c r="F8962" s="3" t="inlineStr">
        <is>
          <t>이상업</t>
        </is>
      </c>
      <c r="G8962" s="2" t="inlineStr">
        <is>
          <t>20260601000435</t>
        </is>
      </c>
      <c r="H8962" s="8">
        <f>HYPERLINK("https://dart.fss.or.kr/dsaf001/main.do?rcpNo=20260601000435", "공시열람")</f>
        <v/>
      </c>
    </row>
    <row r="8963">
      <c r="A8963" s="2" t="inlineStr">
        <is>
          <t>2026-06-01</t>
        </is>
      </c>
      <c r="B8963" s="3" t="inlineStr">
        <is>
          <t>삼성중공업</t>
        </is>
      </c>
      <c r="C8963" s="2" t="inlineStr">
        <is>
          <t>코스피</t>
        </is>
      </c>
      <c r="D8963" s="2" t="inlineStr">
        <is>
          <t>010140</t>
        </is>
      </c>
      <c r="E8963" s="3" t="inlineStr">
        <is>
          <t>대규모기업집단현황공시[연1회공시및1/4분기용(개별회사)]</t>
        </is>
      </c>
      <c r="F8963" s="3" t="inlineStr">
        <is>
          <t>삼성중공업</t>
        </is>
      </c>
      <c r="G8963" s="2" t="inlineStr">
        <is>
          <t>20260601000434</t>
        </is>
      </c>
      <c r="H8963" s="8">
        <f>HYPERLINK("https://dart.fss.or.kr/dsaf001/main.do?rcpNo=20260601000434", "공시열람")</f>
        <v/>
      </c>
    </row>
    <row r="8964">
      <c r="A8964" s="2" t="inlineStr">
        <is>
          <t>2026-06-01</t>
        </is>
      </c>
      <c r="B8964" s="3" t="inlineStr">
        <is>
          <t>한국정보인증</t>
        </is>
      </c>
      <c r="C8964" s="2" t="inlineStr">
        <is>
          <t>코스닥</t>
        </is>
      </c>
      <c r="D8964" s="2" t="inlineStr">
        <is>
          <t>053300</t>
        </is>
      </c>
      <c r="E8964" s="3" t="inlineStr">
        <is>
          <t>대규모기업집단현황공시[연1회공시및1/4분기용(개별회사)]</t>
        </is>
      </c>
      <c r="F8964" s="3" t="inlineStr">
        <is>
          <t>한국정보인증</t>
        </is>
      </c>
      <c r="G8964" s="2" t="inlineStr">
        <is>
          <t>20260601000432</t>
        </is>
      </c>
      <c r="H8964" s="8">
        <f>HYPERLINK("https://dart.fss.or.kr/dsaf001/main.do?rcpNo=20260601000432", "공시열람")</f>
        <v/>
      </c>
    </row>
    <row r="8965">
      <c r="A8965" s="2" t="inlineStr">
        <is>
          <t>2026-06-01 (정정: 2026-06-23)</t>
        </is>
      </c>
      <c r="B8965" s="3" t="inlineStr">
        <is>
          <t>LS</t>
        </is>
      </c>
      <c r="C8965" s="2" t="inlineStr">
        <is>
          <t>코스피</t>
        </is>
      </c>
      <c r="D8965" s="2" t="inlineStr">
        <is>
          <t>006260</t>
        </is>
      </c>
      <c r="E8965" s="3" t="inlineStr">
        <is>
          <t>대규모기업집단현황공시[연1회공시및1/4분기용(대표회사)] (정정: 20260623)</t>
        </is>
      </c>
      <c r="F8965" s="3" t="inlineStr">
        <is>
          <t>LS</t>
        </is>
      </c>
      <c r="G8965" s="2" t="inlineStr">
        <is>
          <t>20260623800714</t>
        </is>
      </c>
      <c r="H8965" s="8">
        <f>HYPERLINK("https://dart.fss.or.kr/dsaf001/main.do?rcpNo=20260623800714", "공시열람")</f>
        <v/>
      </c>
    </row>
    <row r="8966">
      <c r="A8966" s="2" t="inlineStr">
        <is>
          <t>2026-06-01</t>
        </is>
      </c>
      <c r="B8966" s="3" t="inlineStr">
        <is>
          <t>에코볼트</t>
        </is>
      </c>
      <c r="C8966" s="2" t="inlineStr">
        <is>
          <t>코스닥</t>
        </is>
      </c>
      <c r="D8966" s="2" t="inlineStr">
        <is>
          <t>097780</t>
        </is>
      </c>
      <c r="E8966" s="3" t="inlineStr">
        <is>
          <t>임원ㆍ주요주주특정증권등소유상황보고서</t>
        </is>
      </c>
      <c r="F8966" s="3" t="inlineStr">
        <is>
          <t>정기도</t>
        </is>
      </c>
      <c r="G8966" s="2" t="inlineStr">
        <is>
          <t>20260601000427</t>
        </is>
      </c>
      <c r="H8966" s="8">
        <f>HYPERLINK("https://dart.fss.or.kr/dsaf001/main.do?rcpNo=20260601000427", "공시열람")</f>
        <v/>
      </c>
    </row>
    <row r="8967">
      <c r="A8967" s="2" t="inlineStr">
        <is>
          <t>2026-06-01</t>
        </is>
      </c>
      <c r="B8967" s="3" t="inlineStr">
        <is>
          <t>사조산업</t>
        </is>
      </c>
      <c r="C8967" s="2" t="inlineStr">
        <is>
          <t>코스피</t>
        </is>
      </c>
      <c r="D8967" s="2" t="inlineStr">
        <is>
          <t>007160</t>
        </is>
      </c>
      <c r="E8967" s="3" t="inlineStr">
        <is>
          <t xml:space="preserve">기업지배구조보고서공시              </t>
        </is>
      </c>
      <c r="F8967" s="3" t="inlineStr">
        <is>
          <t>사조산업</t>
        </is>
      </c>
      <c r="G8967" s="2" t="inlineStr">
        <is>
          <t>20260601800418</t>
        </is>
      </c>
      <c r="H8967" s="8">
        <f>HYPERLINK("https://dart.fss.or.kr/dsaf001/main.do?rcpNo=20260601800418", "공시열람")</f>
        <v/>
      </c>
    </row>
    <row r="8968">
      <c r="A8968" s="2" t="inlineStr">
        <is>
          <t>2026-06-01 (정정: 2026-06-11)</t>
        </is>
      </c>
      <c r="B8968" s="3" t="inlineStr">
        <is>
          <t>에코볼트</t>
        </is>
      </c>
      <c r="C8968" s="2" t="inlineStr">
        <is>
          <t>코스닥</t>
        </is>
      </c>
      <c r="D8968" s="2" t="inlineStr">
        <is>
          <t>097780</t>
        </is>
      </c>
      <c r="E8968" s="3" t="inlineStr">
        <is>
          <t>임원ㆍ주요주주특정증권등소유상황보고서 (정정: 20260611)</t>
        </is>
      </c>
      <c r="F8968" s="3" t="inlineStr">
        <is>
          <t>한재관</t>
        </is>
      </c>
      <c r="G8968" s="2" t="inlineStr">
        <is>
          <t>20260611000608</t>
        </is>
      </c>
      <c r="H8968" s="8">
        <f>HYPERLINK("https://dart.fss.or.kr/dsaf001/main.do?rcpNo=20260611000608", "공시열람")</f>
        <v/>
      </c>
    </row>
    <row r="8969">
      <c r="A8969" s="2" t="inlineStr">
        <is>
          <t>2026-06-01</t>
        </is>
      </c>
      <c r="B8969" s="3" t="inlineStr">
        <is>
          <t>STX엔진</t>
        </is>
      </c>
      <c r="C8969" s="2" t="inlineStr">
        <is>
          <t>코스피</t>
        </is>
      </c>
      <c r="D8969" s="2" t="inlineStr">
        <is>
          <t>077970</t>
        </is>
      </c>
      <c r="E8969" s="3" t="inlineStr">
        <is>
          <t xml:space="preserve">기업지배구조보고서공시              </t>
        </is>
      </c>
      <c r="F8969" s="3" t="inlineStr">
        <is>
          <t>STX엔진</t>
        </is>
      </c>
      <c r="G8969" s="2" t="inlineStr">
        <is>
          <t>20260601800414</t>
        </is>
      </c>
      <c r="H8969" s="8">
        <f>HYPERLINK("https://dart.fss.or.kr/dsaf001/main.do?rcpNo=20260601800414", "공시열람")</f>
        <v/>
      </c>
    </row>
    <row r="8970">
      <c r="A8970" s="2" t="inlineStr">
        <is>
          <t>2026-06-01</t>
        </is>
      </c>
      <c r="B8970" s="3" t="inlineStr">
        <is>
          <t>코람코라이프인프라리츠</t>
        </is>
      </c>
      <c r="C8970" s="2" t="inlineStr">
        <is>
          <t>코스피</t>
        </is>
      </c>
      <c r="D8970" s="2" t="inlineStr">
        <is>
          <t>357120</t>
        </is>
      </c>
      <c r="E8970" s="3" t="inlineStr">
        <is>
          <t xml:space="preserve">기업지배구조보고서공시              </t>
        </is>
      </c>
      <c r="F8970" s="3" t="inlineStr">
        <is>
          <t>코람코라이프인프라리츠</t>
        </is>
      </c>
      <c r="G8970" s="2" t="inlineStr">
        <is>
          <t>20260601800412</t>
        </is>
      </c>
      <c r="H8970" s="8">
        <f>HYPERLINK("https://dart.fss.or.kr/dsaf001/main.do?rcpNo=20260601800412", "공시열람")</f>
        <v/>
      </c>
    </row>
    <row r="8971">
      <c r="A8971" s="2" t="inlineStr">
        <is>
          <t>2026-06-01</t>
        </is>
      </c>
      <c r="B8971" s="3" t="inlineStr">
        <is>
          <t>삼성생명</t>
        </is>
      </c>
      <c r="C8971" s="2" t="inlineStr">
        <is>
          <t>코스피</t>
        </is>
      </c>
      <c r="D8971" s="2" t="inlineStr">
        <is>
          <t>032830</t>
        </is>
      </c>
      <c r="E8971" s="3" t="inlineStr">
        <is>
          <t>대규모기업집단현황공시[연1회공시및1/4분기용(개별회사)]</t>
        </is>
      </c>
      <c r="F8971" s="3" t="inlineStr">
        <is>
          <t>삼성생명</t>
        </is>
      </c>
      <c r="G8971" s="2" t="inlineStr">
        <is>
          <t>20260601000416</t>
        </is>
      </c>
      <c r="H8971" s="8">
        <f>HYPERLINK("https://dart.fss.or.kr/dsaf001/main.do?rcpNo=20260601000416", "공시열람")</f>
        <v/>
      </c>
    </row>
    <row r="8972">
      <c r="A8972" s="2" t="inlineStr">
        <is>
          <t>2026-06-01</t>
        </is>
      </c>
      <c r="B8972" s="3" t="inlineStr">
        <is>
          <t>삼성E&amp;A</t>
        </is>
      </c>
      <c r="C8972" s="2" t="inlineStr">
        <is>
          <t>코스피</t>
        </is>
      </c>
      <c r="D8972" s="2" t="inlineStr">
        <is>
          <t>028050</t>
        </is>
      </c>
      <c r="E8972" s="3" t="inlineStr">
        <is>
          <t>대규모기업집단현황공시[연1회공시및1/4분기용(개별회사)]</t>
        </is>
      </c>
      <c r="F8972" s="3" t="inlineStr">
        <is>
          <t>삼성E&amp;A</t>
        </is>
      </c>
      <c r="G8972" s="2" t="inlineStr">
        <is>
          <t>20260601000405</t>
        </is>
      </c>
      <c r="H8972" s="8">
        <f>HYPERLINK("https://dart.fss.or.kr/dsaf001/main.do?rcpNo=20260601000405", "공시열람")</f>
        <v/>
      </c>
    </row>
    <row r="8973">
      <c r="A8973" s="2" t="inlineStr">
        <is>
          <t>2026-06-01</t>
        </is>
      </c>
      <c r="B8973" s="3" t="inlineStr">
        <is>
          <t>호텔신라</t>
        </is>
      </c>
      <c r="C8973" s="2" t="inlineStr">
        <is>
          <t>코스피</t>
        </is>
      </c>
      <c r="D8973" s="2" t="inlineStr">
        <is>
          <t>008770</t>
        </is>
      </c>
      <c r="E8973" s="3" t="inlineStr">
        <is>
          <t xml:space="preserve">기업설명회(IR)개최(안내공시)              </t>
        </is>
      </c>
      <c r="F8973" s="3" t="inlineStr">
        <is>
          <t>호텔신라</t>
        </is>
      </c>
      <c r="G8973" s="2" t="inlineStr">
        <is>
          <t>20260601800405</t>
        </is>
      </c>
      <c r="H8973" s="8">
        <f>HYPERLINK("https://dart.fss.or.kr/dsaf001/main.do?rcpNo=20260601800405", "공시열람")</f>
        <v/>
      </c>
    </row>
    <row r="8974">
      <c r="A8974" s="2" t="inlineStr">
        <is>
          <t>2026-06-01</t>
        </is>
      </c>
      <c r="B8974" s="3" t="inlineStr">
        <is>
          <t>SH에너지화학</t>
        </is>
      </c>
      <c r="C8974" s="2" t="inlineStr">
        <is>
          <t>코스피</t>
        </is>
      </c>
      <c r="D8974" s="2" t="inlineStr">
        <is>
          <t>002360</t>
        </is>
      </c>
      <c r="E8974" s="3" t="inlineStr">
        <is>
          <t xml:space="preserve">기업지배구조보고서공시              </t>
        </is>
      </c>
      <c r="F8974" s="3" t="inlineStr">
        <is>
          <t>SH에너지화학</t>
        </is>
      </c>
      <c r="G8974" s="2" t="inlineStr">
        <is>
          <t>20260601800314</t>
        </is>
      </c>
      <c r="H8974" s="8">
        <f>HYPERLINK("https://dart.fss.or.kr/dsaf001/main.do?rcpNo=20260601800314", "공시열람")</f>
        <v/>
      </c>
    </row>
    <row r="8975">
      <c r="A8975" s="2" t="inlineStr">
        <is>
          <t>2026-06-01</t>
        </is>
      </c>
      <c r="B8975" s="3" t="inlineStr">
        <is>
          <t>콜마홀딩스</t>
        </is>
      </c>
      <c r="C8975" s="2" t="inlineStr">
        <is>
          <t>코스피</t>
        </is>
      </c>
      <c r="D8975" s="2" t="inlineStr">
        <is>
          <t>024720</t>
        </is>
      </c>
      <c r="E8975" s="3" t="inlineStr">
        <is>
          <t>대규모기업집단현황공시[연1회(동일인용)]</t>
        </is>
      </c>
      <c r="F8975" s="3" t="inlineStr">
        <is>
          <t>윤상현</t>
        </is>
      </c>
      <c r="G8975" s="2" t="inlineStr">
        <is>
          <t>20260601000392</t>
        </is>
      </c>
      <c r="H8975" s="8">
        <f>HYPERLINK("https://dart.fss.or.kr/dsaf001/main.do?rcpNo=20260601000392", "공시열람")</f>
        <v/>
      </c>
    </row>
    <row r="8976">
      <c r="A8976" s="2" t="inlineStr">
        <is>
          <t>2026-06-01</t>
        </is>
      </c>
      <c r="B8976" s="3" t="inlineStr">
        <is>
          <t>대한화섬</t>
        </is>
      </c>
      <c r="C8976" s="2" t="inlineStr">
        <is>
          <t>코스피</t>
        </is>
      </c>
      <c r="D8976" s="2" t="inlineStr">
        <is>
          <t>003830</t>
        </is>
      </c>
      <c r="E8976" s="3" t="inlineStr">
        <is>
          <t>대규모기업집단현황공시[연1회공시및1/4분기용(개별회사)]</t>
        </is>
      </c>
      <c r="F8976" s="3" t="inlineStr">
        <is>
          <t>대한화섬</t>
        </is>
      </c>
      <c r="G8976" s="2" t="inlineStr">
        <is>
          <t>20260601000386</t>
        </is>
      </c>
      <c r="H8976" s="8">
        <f>HYPERLINK("https://dart.fss.or.kr/dsaf001/main.do?rcpNo=20260601000386", "공시열람")</f>
        <v/>
      </c>
    </row>
    <row r="8977">
      <c r="A8977" s="2" t="inlineStr">
        <is>
          <t>2026-06-01</t>
        </is>
      </c>
      <c r="B8977" s="3" t="inlineStr">
        <is>
          <t>대성미생물</t>
        </is>
      </c>
      <c r="C8977" s="2" t="inlineStr">
        <is>
          <t>코스닥</t>
        </is>
      </c>
      <c r="D8977" s="2" t="inlineStr">
        <is>
          <t>036480</t>
        </is>
      </c>
      <c r="E8977" s="3" t="inlineStr">
        <is>
          <t>임원ㆍ주요주주특정증권등소유상황보고서</t>
        </is>
      </c>
      <c r="F8977" s="3" t="inlineStr">
        <is>
          <t>최승훈</t>
        </is>
      </c>
      <c r="G8977" s="2" t="inlineStr">
        <is>
          <t>20260601000385</t>
        </is>
      </c>
      <c r="H8977" s="8">
        <f>HYPERLINK("https://dart.fss.or.kr/dsaf001/main.do?rcpNo=20260601000385", "공시열람")</f>
        <v/>
      </c>
    </row>
    <row r="8978">
      <c r="A8978" s="2" t="inlineStr">
        <is>
          <t>2026-06-01</t>
        </is>
      </c>
      <c r="B8978" s="3" t="inlineStr">
        <is>
          <t>HD현대</t>
        </is>
      </c>
      <c r="C8978" s="2" t="inlineStr">
        <is>
          <t>코스피</t>
        </is>
      </c>
      <c r="D8978" s="2" t="inlineStr">
        <is>
          <t>267250</t>
        </is>
      </c>
      <c r="E8978" s="3" t="inlineStr">
        <is>
          <t>대규모기업집단현황공시[연1회공시및1/4분기용(개별회사)]</t>
        </is>
      </c>
      <c r="F8978" s="3" t="inlineStr">
        <is>
          <t>HD현대</t>
        </is>
      </c>
      <c r="G8978" s="2" t="inlineStr">
        <is>
          <t>20260601000383</t>
        </is>
      </c>
      <c r="H8978" s="8">
        <f>HYPERLINK("https://dart.fss.or.kr/dsaf001/main.do?rcpNo=20260601000383", "공시열람")</f>
        <v/>
      </c>
    </row>
    <row r="8979">
      <c r="A8979" s="2" t="inlineStr">
        <is>
          <t>2026-06-01</t>
        </is>
      </c>
      <c r="B8979" s="3" t="inlineStr">
        <is>
          <t>풍원정밀</t>
        </is>
      </c>
      <c r="C8979" s="2" t="inlineStr">
        <is>
          <t>코스닥</t>
        </is>
      </c>
      <c r="D8979" s="2" t="inlineStr">
        <is>
          <t>371950</t>
        </is>
      </c>
      <c r="E8979" s="3" t="inlineStr">
        <is>
          <t>주요사항보고서(전환사채매수선택권행사자지정)</t>
        </is>
      </c>
      <c r="F8979" s="3" t="inlineStr">
        <is>
          <t>풍원정밀</t>
        </is>
      </c>
      <c r="G8979" s="2" t="inlineStr">
        <is>
          <t>20260601000382</t>
        </is>
      </c>
      <c r="H8979" s="8">
        <f>HYPERLINK("https://dart.fss.or.kr/dsaf001/main.do?rcpNo=20260601000382", "공시열람")</f>
        <v/>
      </c>
    </row>
    <row r="8980">
      <c r="A8980" s="2" t="inlineStr">
        <is>
          <t>2026-06-01</t>
        </is>
      </c>
      <c r="B8980" s="3" t="inlineStr">
        <is>
          <t>CJ씨푸드</t>
        </is>
      </c>
      <c r="C8980" s="2" t="inlineStr">
        <is>
          <t>코스피</t>
        </is>
      </c>
      <c r="D8980" s="2" t="inlineStr">
        <is>
          <t>011150</t>
        </is>
      </c>
      <c r="E8980" s="3" t="inlineStr">
        <is>
          <t xml:space="preserve">기업지배구조보고서공시              </t>
        </is>
      </c>
      <c r="F8980" s="3" t="inlineStr">
        <is>
          <t>CJ씨푸드</t>
        </is>
      </c>
      <c r="G8980" s="2" t="inlineStr">
        <is>
          <t>20260601800399</t>
        </is>
      </c>
      <c r="H8980" s="8">
        <f>HYPERLINK("https://dart.fss.or.kr/dsaf001/main.do?rcpNo=20260601800399", "공시열람")</f>
        <v/>
      </c>
    </row>
    <row r="8981">
      <c r="A8981" s="2" t="inlineStr">
        <is>
          <t>2026-06-01</t>
        </is>
      </c>
      <c r="B8981" s="3" t="inlineStr">
        <is>
          <t>유니퀘스트</t>
        </is>
      </c>
      <c r="C8981" s="2" t="inlineStr">
        <is>
          <t>코스피</t>
        </is>
      </c>
      <c r="D8981" s="2" t="inlineStr">
        <is>
          <t>077500</t>
        </is>
      </c>
      <c r="E8981" s="3" t="inlineStr">
        <is>
          <t xml:space="preserve">기업지배구조보고서공시              </t>
        </is>
      </c>
      <c r="F8981" s="3" t="inlineStr">
        <is>
          <t>유니퀘스트</t>
        </is>
      </c>
      <c r="G8981" s="2" t="inlineStr">
        <is>
          <t>20260601800386</t>
        </is>
      </c>
      <c r="H8981" s="8">
        <f>HYPERLINK("https://dart.fss.or.kr/dsaf001/main.do?rcpNo=20260601800386", "공시열람")</f>
        <v/>
      </c>
    </row>
    <row r="8982">
      <c r="A8982" s="2" t="inlineStr">
        <is>
          <t>2026-06-01</t>
        </is>
      </c>
      <c r="B8982" s="3" t="inlineStr">
        <is>
          <t>DH오토웨어</t>
        </is>
      </c>
      <c r="C8982" s="2" t="inlineStr">
        <is>
          <t>코스닥</t>
        </is>
      </c>
      <c r="D8982" s="2" t="inlineStr">
        <is>
          <t>025440</t>
        </is>
      </c>
      <c r="E8982" s="3" t="inlineStr">
        <is>
          <t>사외이사의선임ㆍ해임또는중도퇴임에관한신고</t>
        </is>
      </c>
      <c r="F8982" s="3" t="inlineStr">
        <is>
          <t>DH오토웨어</t>
        </is>
      </c>
      <c r="G8982" s="2" t="inlineStr">
        <is>
          <t>20260601000377</t>
        </is>
      </c>
      <c r="H8982" s="8">
        <f>HYPERLINK("https://dart.fss.or.kr/dsaf001/main.do?rcpNo=20260601000377", "공시열람")</f>
        <v/>
      </c>
    </row>
    <row r="8983">
      <c r="A8983" s="2" t="inlineStr">
        <is>
          <t>2026-06-01</t>
        </is>
      </c>
      <c r="B8983" s="3" t="inlineStr">
        <is>
          <t>시그네틱스</t>
        </is>
      </c>
      <c r="C8983" s="2" t="inlineStr">
        <is>
          <t>코스닥</t>
        </is>
      </c>
      <c r="D8983" s="2" t="inlineStr">
        <is>
          <t>033170</t>
        </is>
      </c>
      <c r="E8983" s="3" t="inlineStr">
        <is>
          <t>대규모기업집단현황공시[연1회공시및1/4분기용(개별회사)]</t>
        </is>
      </c>
      <c r="F8983" s="3" t="inlineStr">
        <is>
          <t>시그네틱스</t>
        </is>
      </c>
      <c r="G8983" s="2" t="inlineStr">
        <is>
          <t>20260601000371</t>
        </is>
      </c>
      <c r="H8983" s="8">
        <f>HYPERLINK("https://dart.fss.or.kr/dsaf001/main.do?rcpNo=20260601000371", "공시열람")</f>
        <v/>
      </c>
    </row>
    <row r="8984">
      <c r="A8984" s="2" t="inlineStr">
        <is>
          <t>2026-06-01</t>
        </is>
      </c>
      <c r="B8984" s="3" t="inlineStr">
        <is>
          <t>인터플렉스</t>
        </is>
      </c>
      <c r="C8984" s="2" t="inlineStr">
        <is>
          <t>코스닥</t>
        </is>
      </c>
      <c r="D8984" s="2" t="inlineStr">
        <is>
          <t>051370</t>
        </is>
      </c>
      <c r="E8984" s="3" t="inlineStr">
        <is>
          <t>대규모기업집단현황공시[연1회공시및1/4분기용(개별회사)]</t>
        </is>
      </c>
      <c r="F8984" s="3" t="inlineStr">
        <is>
          <t>인터플렉스</t>
        </is>
      </c>
      <c r="G8984" s="2" t="inlineStr">
        <is>
          <t>20260601000370</t>
        </is>
      </c>
      <c r="H8984" s="8">
        <f>HYPERLINK("https://dart.fss.or.kr/dsaf001/main.do?rcpNo=20260601000370", "공시열람")</f>
        <v/>
      </c>
    </row>
    <row r="8985">
      <c r="A8985" s="2" t="inlineStr">
        <is>
          <t>2026-06-01</t>
        </is>
      </c>
      <c r="B8985" s="3" t="inlineStr">
        <is>
          <t>동원산업</t>
        </is>
      </c>
      <c r="C8985" s="2" t="inlineStr">
        <is>
          <t>코스피</t>
        </is>
      </c>
      <c r="D8985" s="2" t="inlineStr">
        <is>
          <t>006040</t>
        </is>
      </c>
      <c r="E8985" s="3" t="inlineStr">
        <is>
          <t>대규모기업집단현황공시[연1회공시및1/4분기용(대표회사)]</t>
        </is>
      </c>
      <c r="F8985" s="3" t="inlineStr">
        <is>
          <t>동원산업</t>
        </is>
      </c>
      <c r="G8985" s="2" t="inlineStr">
        <is>
          <t>20260601000367</t>
        </is>
      </c>
      <c r="H8985" s="8">
        <f>HYPERLINK("https://dart.fss.or.kr/dsaf001/main.do?rcpNo=20260601000367", "공시열람")</f>
        <v/>
      </c>
    </row>
    <row r="8986">
      <c r="A8986" s="2" t="inlineStr">
        <is>
          <t>2026-06-01</t>
        </is>
      </c>
      <c r="B8986" s="3" t="inlineStr">
        <is>
          <t>퍼스텍</t>
        </is>
      </c>
      <c r="C8986" s="2" t="inlineStr">
        <is>
          <t>코스피</t>
        </is>
      </c>
      <c r="D8986" s="2" t="inlineStr">
        <is>
          <t>010820</t>
        </is>
      </c>
      <c r="E8986" s="3" t="inlineStr">
        <is>
          <t xml:space="preserve">기업지배구조보고서공시              </t>
        </is>
      </c>
      <c r="F8986" s="3" t="inlineStr">
        <is>
          <t>퍼스텍</t>
        </is>
      </c>
      <c r="G8986" s="2" t="inlineStr">
        <is>
          <t>20260601800388</t>
        </is>
      </c>
      <c r="H8986" s="8">
        <f>HYPERLINK("https://dart.fss.or.kr/dsaf001/main.do?rcpNo=20260601800388", "공시열람")</f>
        <v/>
      </c>
    </row>
    <row r="8987">
      <c r="A8987" s="2" t="inlineStr">
        <is>
          <t>2026-06-01</t>
        </is>
      </c>
      <c r="B8987" s="3" t="inlineStr">
        <is>
          <t>호텔신라</t>
        </is>
      </c>
      <c r="C8987" s="2" t="inlineStr">
        <is>
          <t>코스피</t>
        </is>
      </c>
      <c r="D8987" s="2" t="inlineStr">
        <is>
          <t>008770</t>
        </is>
      </c>
      <c r="E8987" s="3" t="inlineStr">
        <is>
          <t>대규모기업집단현황공시[연1회공시및1/4분기용(개별회사)]</t>
        </is>
      </c>
      <c r="F8987" s="3" t="inlineStr">
        <is>
          <t>호텔신라</t>
        </is>
      </c>
      <c r="G8987" s="2" t="inlineStr">
        <is>
          <t>20260601000364</t>
        </is>
      </c>
      <c r="H8987" s="8">
        <f>HYPERLINK("https://dart.fss.or.kr/dsaf001/main.do?rcpNo=20260601000364", "공시열람")</f>
        <v/>
      </c>
    </row>
    <row r="8988">
      <c r="A8988" s="2" t="inlineStr">
        <is>
          <t>2026-06-01</t>
        </is>
      </c>
      <c r="B8988" s="3" t="inlineStr">
        <is>
          <t>콜마홀딩스</t>
        </is>
      </c>
      <c r="C8988" s="2" t="inlineStr">
        <is>
          <t>코스피</t>
        </is>
      </c>
      <c r="D8988" s="2" t="inlineStr">
        <is>
          <t>024720</t>
        </is>
      </c>
      <c r="E8988" s="3" t="inlineStr">
        <is>
          <t xml:space="preserve">기업지배구조보고서공시              </t>
        </is>
      </c>
      <c r="F8988" s="3" t="inlineStr">
        <is>
          <t>콜마홀딩스</t>
        </is>
      </c>
      <c r="G8988" s="2" t="inlineStr">
        <is>
          <t>20260601800382</t>
        </is>
      </c>
      <c r="H8988" s="8">
        <f>HYPERLINK("https://dart.fss.or.kr/dsaf001/main.do?rcpNo=20260601800382", "공시열람")</f>
        <v/>
      </c>
    </row>
    <row r="8989">
      <c r="A8989" s="2" t="inlineStr">
        <is>
          <t>2026-06-01</t>
        </is>
      </c>
      <c r="B8989" s="3" t="inlineStr">
        <is>
          <t>삼진제약</t>
        </is>
      </c>
      <c r="C8989" s="2" t="inlineStr">
        <is>
          <t>코스피</t>
        </is>
      </c>
      <c r="D8989" s="2" t="inlineStr">
        <is>
          <t>005500</t>
        </is>
      </c>
      <c r="E8989" s="3" t="inlineStr">
        <is>
          <t xml:space="preserve">기업지배구조보고서공시              </t>
        </is>
      </c>
      <c r="F8989" s="3" t="inlineStr">
        <is>
          <t>삼진제약</t>
        </is>
      </c>
      <c r="G8989" s="2" t="inlineStr">
        <is>
          <t>20260601800379</t>
        </is>
      </c>
      <c r="H8989" s="8">
        <f>HYPERLINK("https://dart.fss.or.kr/dsaf001/main.do?rcpNo=20260601800379", "공시열람")</f>
        <v/>
      </c>
    </row>
    <row r="8990">
      <c r="A8990" s="2" t="inlineStr">
        <is>
          <t>2026-06-01</t>
        </is>
      </c>
      <c r="B8990" s="3" t="inlineStr">
        <is>
          <t>키움증권</t>
        </is>
      </c>
      <c r="C8990" s="2" t="inlineStr">
        <is>
          <t>코스피</t>
        </is>
      </c>
      <c r="D8990" s="2" t="inlineStr">
        <is>
          <t>039490</t>
        </is>
      </c>
      <c r="E8990" s="3" t="inlineStr">
        <is>
          <t>대규모기업집단현황공시[연1회공시및1/4분기용(대표회사)]</t>
        </is>
      </c>
      <c r="F8990" s="3" t="inlineStr">
        <is>
          <t>키움증권</t>
        </is>
      </c>
      <c r="G8990" s="2" t="inlineStr">
        <is>
          <t>20260601000359</t>
        </is>
      </c>
      <c r="H8990" s="8">
        <f>HYPERLINK("https://dart.fss.or.kr/dsaf001/main.do?rcpNo=20260601000359", "공시열람")</f>
        <v/>
      </c>
    </row>
    <row r="8991">
      <c r="A8991" s="2" t="inlineStr">
        <is>
          <t>2026-06-01</t>
        </is>
      </c>
      <c r="B8991" s="3" t="inlineStr">
        <is>
          <t>조흥</t>
        </is>
      </c>
      <c r="C8991" s="2" t="inlineStr">
        <is>
          <t>코스피</t>
        </is>
      </c>
      <c r="D8991" s="2" t="inlineStr">
        <is>
          <t>002600</t>
        </is>
      </c>
      <c r="E8991" s="3" t="inlineStr">
        <is>
          <t xml:space="preserve">기업지배구조보고서공시              </t>
        </is>
      </c>
      <c r="F8991" s="3" t="inlineStr">
        <is>
          <t>조흥</t>
        </is>
      </c>
      <c r="G8991" s="2" t="inlineStr">
        <is>
          <t>20260601800027</t>
        </is>
      </c>
      <c r="H8991" s="8">
        <f>HYPERLINK("https://dart.fss.or.kr/dsaf001/main.do?rcpNo=20260601800027", "공시열람")</f>
        <v/>
      </c>
    </row>
    <row r="8992">
      <c r="A8992" s="2" t="inlineStr">
        <is>
          <t>2026-06-01</t>
        </is>
      </c>
      <c r="B8992" s="3" t="inlineStr">
        <is>
          <t>모바일어플라이언스</t>
        </is>
      </c>
      <c r="C8992" s="2" t="inlineStr">
        <is>
          <t>코스닥</t>
        </is>
      </c>
      <c r="D8992" s="2" t="inlineStr">
        <is>
          <t>087260</t>
        </is>
      </c>
      <c r="E8992" s="3" t="inlineStr">
        <is>
          <t>사외이사의선임ㆍ해임또는중도퇴임에관한신고</t>
        </is>
      </c>
      <c r="F8992" s="3" t="inlineStr">
        <is>
          <t>모바일어플라이언스</t>
        </is>
      </c>
      <c r="G8992" s="2" t="inlineStr">
        <is>
          <t>20260601000358</t>
        </is>
      </c>
      <c r="H8992" s="8">
        <f>HYPERLINK("https://dart.fss.or.kr/dsaf001/main.do?rcpNo=20260601000358", "공시열람")</f>
        <v/>
      </c>
    </row>
    <row r="8993">
      <c r="A8993" s="2" t="inlineStr">
        <is>
          <t>2026-06-01</t>
        </is>
      </c>
      <c r="B8993" s="3" t="inlineStr">
        <is>
          <t>부스타</t>
        </is>
      </c>
      <c r="C8993" s="2" t="inlineStr">
        <is>
          <t>코스닥</t>
        </is>
      </c>
      <c r="D8993" s="2" t="inlineStr">
        <is>
          <t>008470</t>
        </is>
      </c>
      <c r="E8993" s="3" t="inlineStr">
        <is>
          <t>임원ㆍ주요주주특정증권등소유상황보고서</t>
        </is>
      </c>
      <c r="F8993" s="3" t="inlineStr">
        <is>
          <t>유덕기</t>
        </is>
      </c>
      <c r="G8993" s="2" t="inlineStr">
        <is>
          <t>20260601000356</t>
        </is>
      </c>
      <c r="H8993" s="8">
        <f>HYPERLINK("https://dart.fss.or.kr/dsaf001/main.do?rcpNo=20260601000356", "공시열람")</f>
        <v/>
      </c>
    </row>
    <row r="8994">
      <c r="A8994" s="2" t="inlineStr">
        <is>
          <t>2026-06-01</t>
        </is>
      </c>
      <c r="B8994" s="3" t="inlineStr">
        <is>
          <t>하나제약</t>
        </is>
      </c>
      <c r="C8994" s="2" t="inlineStr">
        <is>
          <t>코스피</t>
        </is>
      </c>
      <c r="D8994" s="2" t="inlineStr">
        <is>
          <t>293480</t>
        </is>
      </c>
      <c r="E8994" s="3" t="inlineStr">
        <is>
          <t xml:space="preserve">기업지배구조보고서공시              </t>
        </is>
      </c>
      <c r="F8994" s="3" t="inlineStr">
        <is>
          <t>하나제약</t>
        </is>
      </c>
      <c r="G8994" s="2" t="inlineStr">
        <is>
          <t>20260601800372</t>
        </is>
      </c>
      <c r="H8994" s="8">
        <f>HYPERLINK("https://dart.fss.or.kr/dsaf001/main.do?rcpNo=20260601800372", "공시열람")</f>
        <v/>
      </c>
    </row>
    <row r="8995">
      <c r="A8995" s="2" t="inlineStr">
        <is>
          <t>2026-06-01</t>
        </is>
      </c>
      <c r="B8995" s="3" t="inlineStr">
        <is>
          <t>넥센</t>
        </is>
      </c>
      <c r="C8995" s="2" t="inlineStr">
        <is>
          <t>코스피</t>
        </is>
      </c>
      <c r="D8995" s="2" t="inlineStr">
        <is>
          <t>005720</t>
        </is>
      </c>
      <c r="E8995" s="3" t="inlineStr">
        <is>
          <t xml:space="preserve">기업지배구조보고서공시              </t>
        </is>
      </c>
      <c r="F8995" s="3" t="inlineStr">
        <is>
          <t>넥센</t>
        </is>
      </c>
      <c r="G8995" s="2" t="inlineStr">
        <is>
          <t>20260601800370</t>
        </is>
      </c>
      <c r="H8995" s="8">
        <f>HYPERLINK("https://dart.fss.or.kr/dsaf001/main.do?rcpNo=20260601800370", "공시열람")</f>
        <v/>
      </c>
    </row>
    <row r="8996">
      <c r="A8996" s="2" t="inlineStr">
        <is>
          <t>2026-06-01</t>
        </is>
      </c>
      <c r="B8996" s="3" t="inlineStr">
        <is>
          <t>영풍</t>
        </is>
      </c>
      <c r="C8996" s="2" t="inlineStr">
        <is>
          <t>코스피</t>
        </is>
      </c>
      <c r="D8996" s="2" t="inlineStr">
        <is>
          <t>000670</t>
        </is>
      </c>
      <c r="E8996" s="3" t="inlineStr">
        <is>
          <t>대규모기업집단현황공시[연1회(동일인용)]</t>
        </is>
      </c>
      <c r="F8996" s="3" t="inlineStr">
        <is>
          <t>장형진</t>
        </is>
      </c>
      <c r="G8996" s="2" t="inlineStr">
        <is>
          <t>20260601000354</t>
        </is>
      </c>
      <c r="H8996" s="8">
        <f>HYPERLINK("https://dart.fss.or.kr/dsaf001/main.do?rcpNo=20260601000354", "공시열람")</f>
        <v/>
      </c>
    </row>
    <row r="8997">
      <c r="A8997" s="2" t="inlineStr">
        <is>
          <t>2026-06-01</t>
        </is>
      </c>
      <c r="B8997" s="3" t="inlineStr">
        <is>
          <t>콜마홀딩스</t>
        </is>
      </c>
      <c r="C8997" s="2" t="inlineStr">
        <is>
          <t>코스피</t>
        </is>
      </c>
      <c r="D8997" s="2" t="inlineStr">
        <is>
          <t>024720</t>
        </is>
      </c>
      <c r="E8997" s="3" t="inlineStr">
        <is>
          <t>대규모기업집단현황공시[연1회공시및1/4분기용(대표회사)]</t>
        </is>
      </c>
      <c r="F8997" s="3" t="inlineStr">
        <is>
          <t>콜마홀딩스</t>
        </is>
      </c>
      <c r="G8997" s="2" t="inlineStr">
        <is>
          <t>20260601000353</t>
        </is>
      </c>
      <c r="H8997" s="8">
        <f>HYPERLINK("https://dart.fss.or.kr/dsaf001/main.do?rcpNo=20260601000353", "공시열람")</f>
        <v/>
      </c>
    </row>
    <row r="8998">
      <c r="A8998" s="2" t="inlineStr">
        <is>
          <t>2026-06-01</t>
        </is>
      </c>
      <c r="B8998" s="3" t="inlineStr">
        <is>
          <t>태광산업</t>
        </is>
      </c>
      <c r="C8998" s="2" t="inlineStr">
        <is>
          <t>코스피</t>
        </is>
      </c>
      <c r="D8998" s="2" t="inlineStr">
        <is>
          <t>003240</t>
        </is>
      </c>
      <c r="E8998" s="3" t="inlineStr">
        <is>
          <t>대규모기업집단현황공시[연1회공시및1/4분기용(대표회사)]</t>
        </is>
      </c>
      <c r="F8998" s="3" t="inlineStr">
        <is>
          <t>태광산업</t>
        </is>
      </c>
      <c r="G8998" s="2" t="inlineStr">
        <is>
          <t>20260601000351</t>
        </is>
      </c>
      <c r="H8998" s="8">
        <f>HYPERLINK("https://dart.fss.or.kr/dsaf001/main.do?rcpNo=20260601000351", "공시열람")</f>
        <v/>
      </c>
    </row>
    <row r="8999">
      <c r="A8999" s="2" t="inlineStr">
        <is>
          <t>2026-06-01</t>
        </is>
      </c>
      <c r="B8999" s="3" t="inlineStr">
        <is>
          <t>멀티캠퍼스</t>
        </is>
      </c>
      <c r="C8999" s="2" t="inlineStr">
        <is>
          <t>코스닥</t>
        </is>
      </c>
      <c r="D8999" s="2" t="inlineStr">
        <is>
          <t>067280</t>
        </is>
      </c>
      <c r="E8999" s="3" t="inlineStr">
        <is>
          <t>대규모기업집단현황공시[연1회공시및1/4분기용(개별회사)]</t>
        </is>
      </c>
      <c r="F8999" s="3" t="inlineStr">
        <is>
          <t>멀티캠퍼스</t>
        </is>
      </c>
      <c r="G8999" s="2" t="inlineStr">
        <is>
          <t>20260601000343</t>
        </is>
      </c>
      <c r="H8999" s="8">
        <f>HYPERLINK("https://dart.fss.or.kr/dsaf001/main.do?rcpNo=20260601000343", "공시열람")</f>
        <v/>
      </c>
    </row>
    <row r="9000">
      <c r="A9000" s="2" t="inlineStr">
        <is>
          <t>2026-06-01</t>
        </is>
      </c>
      <c r="B9000" s="3" t="inlineStr">
        <is>
          <t>인디에프</t>
        </is>
      </c>
      <c r="C9000" s="2" t="inlineStr">
        <is>
          <t>코스피</t>
        </is>
      </c>
      <c r="D9000" s="2" t="inlineStr">
        <is>
          <t>014990</t>
        </is>
      </c>
      <c r="E9000" s="3" t="inlineStr">
        <is>
          <t>대규모기업집단현황공시[연1회공시및1/4분기용(개별회사)]</t>
        </is>
      </c>
      <c r="F9000" s="3" t="inlineStr">
        <is>
          <t>인디에프</t>
        </is>
      </c>
      <c r="G9000" s="2" t="inlineStr">
        <is>
          <t>20260601000340</t>
        </is>
      </c>
      <c r="H9000" s="8">
        <f>HYPERLINK("https://dart.fss.or.kr/dsaf001/main.do?rcpNo=20260601000340", "공시열람")</f>
        <v/>
      </c>
    </row>
    <row r="9001">
      <c r="A9001" s="2" t="inlineStr">
        <is>
          <t>2026-06-01</t>
        </is>
      </c>
      <c r="B9001" s="3" t="inlineStr">
        <is>
          <t>종근당바이오</t>
        </is>
      </c>
      <c r="C9001" s="2" t="inlineStr">
        <is>
          <t>코스피</t>
        </is>
      </c>
      <c r="D9001" s="2" t="inlineStr">
        <is>
          <t>063160</t>
        </is>
      </c>
      <c r="E9001" s="3" t="inlineStr">
        <is>
          <t xml:space="preserve">기업지배구조보고서공시              </t>
        </is>
      </c>
      <c r="F9001" s="3" t="inlineStr">
        <is>
          <t>종근당바이오</t>
        </is>
      </c>
      <c r="G9001" s="2" t="inlineStr">
        <is>
          <t>20260601800354</t>
        </is>
      </c>
      <c r="H9001" s="8">
        <f>HYPERLINK("https://dart.fss.or.kr/dsaf001/main.do?rcpNo=20260601800354", "공시열람")</f>
        <v/>
      </c>
    </row>
    <row r="9002">
      <c r="A9002" s="2" t="inlineStr">
        <is>
          <t>2026-06-01</t>
        </is>
      </c>
      <c r="B9002" s="3" t="inlineStr">
        <is>
          <t>영풍</t>
        </is>
      </c>
      <c r="C9002" s="2" t="inlineStr">
        <is>
          <t>코스피</t>
        </is>
      </c>
      <c r="D9002" s="2" t="inlineStr">
        <is>
          <t>000670</t>
        </is>
      </c>
      <c r="E9002" s="3" t="inlineStr">
        <is>
          <t>대규모기업집단현황공시[연1회공시및1/4분기용(대표회사)]</t>
        </is>
      </c>
      <c r="F9002" s="3" t="inlineStr">
        <is>
          <t>영풍</t>
        </is>
      </c>
      <c r="G9002" s="2" t="inlineStr">
        <is>
          <t>20260601000332</t>
        </is>
      </c>
      <c r="H9002" s="8">
        <f>HYPERLINK("https://dart.fss.or.kr/dsaf001/main.do?rcpNo=20260601000332", "공시열람")</f>
        <v/>
      </c>
    </row>
    <row r="9003">
      <c r="A9003" s="2" t="inlineStr">
        <is>
          <t>2026-06-01</t>
        </is>
      </c>
      <c r="B9003" s="3" t="inlineStr">
        <is>
          <t>GS건설</t>
        </is>
      </c>
      <c r="C9003" s="2" t="inlineStr">
        <is>
          <t>코스피</t>
        </is>
      </c>
      <c r="D9003" s="2" t="inlineStr">
        <is>
          <t>006360</t>
        </is>
      </c>
      <c r="E9003" s="3" t="inlineStr">
        <is>
          <t xml:space="preserve">기업지배구조보고서공시              </t>
        </is>
      </c>
      <c r="F9003" s="3" t="inlineStr">
        <is>
          <t>GS건설</t>
        </is>
      </c>
      <c r="G9003" s="2" t="inlineStr">
        <is>
          <t>20260601800328</t>
        </is>
      </c>
      <c r="H9003" s="8">
        <f>HYPERLINK("https://dart.fss.or.kr/dsaf001/main.do?rcpNo=20260601800328", "공시열람")</f>
        <v/>
      </c>
    </row>
    <row r="9004">
      <c r="A9004" s="2" t="inlineStr">
        <is>
          <t>2026-06-01</t>
        </is>
      </c>
      <c r="B9004" s="3" t="inlineStr">
        <is>
          <t>GS피앤엘</t>
        </is>
      </c>
      <c r="C9004" s="2" t="inlineStr">
        <is>
          <t>코스피</t>
        </is>
      </c>
      <c r="D9004" s="2" t="inlineStr">
        <is>
          <t>499790</t>
        </is>
      </c>
      <c r="E9004" s="3" t="inlineStr">
        <is>
          <t xml:space="preserve">기업지배구조보고서공시              </t>
        </is>
      </c>
      <c r="F9004" s="3" t="inlineStr">
        <is>
          <t>GS피앤엘</t>
        </is>
      </c>
      <c r="G9004" s="2" t="inlineStr">
        <is>
          <t>20260601800341</t>
        </is>
      </c>
      <c r="H9004" s="8">
        <f>HYPERLINK("https://dart.fss.or.kr/dsaf001/main.do?rcpNo=20260601800341", "공시열람")</f>
        <v/>
      </c>
    </row>
    <row r="9005">
      <c r="A9005" s="2" t="inlineStr">
        <is>
          <t>2026-06-01 (정정: 2026-06-02)</t>
        </is>
      </c>
      <c r="B9005" s="3" t="inlineStr">
        <is>
          <t>지엔코</t>
        </is>
      </c>
      <c r="C9005" s="2" t="inlineStr">
        <is>
          <t>코스닥</t>
        </is>
      </c>
      <c r="D9005" s="2" t="inlineStr">
        <is>
          <t>065060</t>
        </is>
      </c>
      <c r="E9005" s="3" t="inlineStr">
        <is>
          <t>대규모기업집단현황공시[연1회공시및1/4분기용(개별회사)] (정정: 20260602)</t>
        </is>
      </c>
      <c r="F9005" s="3" t="inlineStr">
        <is>
          <t>지엔코</t>
        </is>
      </c>
      <c r="G9005" s="2" t="inlineStr">
        <is>
          <t>20260601002045</t>
        </is>
      </c>
      <c r="H9005" s="8">
        <f>HYPERLINK("https://dart.fss.or.kr/dsaf001/main.do?rcpNo=20260601002045", "공시열람")</f>
        <v/>
      </c>
    </row>
    <row r="9006">
      <c r="A9006" s="2" t="inlineStr">
        <is>
          <t>2026-06-01</t>
        </is>
      </c>
      <c r="B9006" s="3" t="inlineStr">
        <is>
          <t>크래프톤</t>
        </is>
      </c>
      <c r="C9006" s="2" t="inlineStr">
        <is>
          <t>코스피</t>
        </is>
      </c>
      <c r="D9006" s="2" t="inlineStr">
        <is>
          <t>259960</t>
        </is>
      </c>
      <c r="E9006" s="3" t="inlineStr">
        <is>
          <t>대규모기업집단현황공시[연1회공시및1/4분기용(대표회사)]</t>
        </is>
      </c>
      <c r="F9006" s="3" t="inlineStr">
        <is>
          <t>크래프톤</t>
        </is>
      </c>
      <c r="G9006" s="2" t="inlineStr">
        <is>
          <t>20260601000313</t>
        </is>
      </c>
      <c r="H9006" s="8">
        <f>HYPERLINK("https://dart.fss.or.kr/dsaf001/main.do?rcpNo=20260601000313", "공시열람")</f>
        <v/>
      </c>
    </row>
    <row r="9007">
      <c r="A9007" s="2" t="inlineStr">
        <is>
          <t>2026-06-01</t>
        </is>
      </c>
      <c r="B9007" s="3" t="inlineStr">
        <is>
          <t>아주스틸</t>
        </is>
      </c>
      <c r="C9007" s="2" t="inlineStr">
        <is>
          <t>코스피</t>
        </is>
      </c>
      <c r="D9007" s="2" t="inlineStr">
        <is>
          <t>139990</t>
        </is>
      </c>
      <c r="E9007" s="3" t="inlineStr">
        <is>
          <t>대규모기업집단현황공시[연1회공시및1/4분기용(개별회사)]</t>
        </is>
      </c>
      <c r="F9007" s="3" t="inlineStr">
        <is>
          <t>아주스틸</t>
        </is>
      </c>
      <c r="G9007" s="2" t="inlineStr">
        <is>
          <t>20260601000311</t>
        </is>
      </c>
      <c r="H9007" s="8">
        <f>HYPERLINK("https://dart.fss.or.kr/dsaf001/main.do?rcpNo=20260601000311", "공시열람")</f>
        <v/>
      </c>
    </row>
    <row r="9008">
      <c r="A9008" s="2" t="inlineStr">
        <is>
          <t>2026-06-01</t>
        </is>
      </c>
      <c r="B9008" s="3" t="inlineStr">
        <is>
          <t>참엔지니어링</t>
        </is>
      </c>
      <c r="C9008" s="2" t="inlineStr">
        <is>
          <t>코스피</t>
        </is>
      </c>
      <c r="D9008" s="2" t="inlineStr">
        <is>
          <t>009310</t>
        </is>
      </c>
      <c r="E9008" s="3" t="inlineStr">
        <is>
          <t xml:space="preserve">기업지배구조보고서공시              </t>
        </is>
      </c>
      <c r="F9008" s="3" t="inlineStr">
        <is>
          <t>참엔지니어링</t>
        </is>
      </c>
      <c r="G9008" s="2" t="inlineStr">
        <is>
          <t>20260601800345</t>
        </is>
      </c>
      <c r="H9008" s="8">
        <f>HYPERLINK("https://dart.fss.or.kr/dsaf001/main.do?rcpNo=20260601800345", "공시열람")</f>
        <v/>
      </c>
    </row>
    <row r="9009">
      <c r="A9009" s="2" t="inlineStr">
        <is>
          <t>2026-06-01</t>
        </is>
      </c>
      <c r="B9009" s="3" t="inlineStr">
        <is>
          <t>한국주강</t>
        </is>
      </c>
      <c r="C9009" s="2" t="inlineStr">
        <is>
          <t>코스피</t>
        </is>
      </c>
      <c r="D9009" s="2" t="inlineStr">
        <is>
          <t>025890</t>
        </is>
      </c>
      <c r="E9009" s="3" t="inlineStr">
        <is>
          <t xml:space="preserve">기업지배구조보고서공시              </t>
        </is>
      </c>
      <c r="F9009" s="3" t="inlineStr">
        <is>
          <t>한국주강</t>
        </is>
      </c>
      <c r="G9009" s="2" t="inlineStr">
        <is>
          <t>20260601800343</t>
        </is>
      </c>
      <c r="H9009" s="8">
        <f>HYPERLINK("https://dart.fss.or.kr/dsaf001/main.do?rcpNo=20260601800343", "공시열람")</f>
        <v/>
      </c>
    </row>
    <row r="9010">
      <c r="A9010" s="2" t="inlineStr">
        <is>
          <t>2026-06-01 (정정: 2026-06-04)</t>
        </is>
      </c>
      <c r="B9010" s="3" t="inlineStr">
        <is>
          <t>HD현대</t>
        </is>
      </c>
      <c r="C9010" s="2" t="inlineStr">
        <is>
          <t>코스피</t>
        </is>
      </c>
      <c r="D9010" s="2" t="inlineStr">
        <is>
          <t>267250</t>
        </is>
      </c>
      <c r="E9010" s="3" t="inlineStr">
        <is>
          <t>대규모기업집단현황공시[연1회(동일인용)] (정정: 20260604)</t>
        </is>
      </c>
      <c r="F9010" s="3" t="inlineStr">
        <is>
          <t>정몽준</t>
        </is>
      </c>
      <c r="G9010" s="2" t="inlineStr">
        <is>
          <t>20260604800617</t>
        </is>
      </c>
      <c r="H9010" s="8">
        <f>HYPERLINK("https://dart.fss.or.kr/dsaf001/main.do?rcpNo=20260604800617", "공시열람")</f>
        <v/>
      </c>
    </row>
    <row r="9011">
      <c r="A9011" s="2" t="inlineStr">
        <is>
          <t>2026-06-01</t>
        </is>
      </c>
      <c r="B9011" s="3" t="inlineStr">
        <is>
          <t>더코디</t>
        </is>
      </c>
      <c r="C9011" s="2" t="inlineStr">
        <is>
          <t>코스닥</t>
        </is>
      </c>
      <c r="D9011" s="2" t="inlineStr">
        <is>
          <t>224060</t>
        </is>
      </c>
      <c r="E9011" s="3" t="inlineStr">
        <is>
          <t>전환가액의조정              (제9회차)</t>
        </is>
      </c>
      <c r="F9011" s="3" t="inlineStr">
        <is>
          <t>더코디</t>
        </is>
      </c>
      <c r="G9011" s="2" t="inlineStr">
        <is>
          <t>20260601900316</t>
        </is>
      </c>
      <c r="H9011" s="8">
        <f>HYPERLINK("https://dart.fss.or.kr/dsaf001/main.do?rcpNo=20260601900316", "공시열람")</f>
        <v/>
      </c>
    </row>
    <row r="9012">
      <c r="A9012" s="2" t="inlineStr">
        <is>
          <t>2026-06-01</t>
        </is>
      </c>
      <c r="B9012" s="3" t="inlineStr">
        <is>
          <t>삼화왕관</t>
        </is>
      </c>
      <c r="C9012" s="2" t="inlineStr">
        <is>
          <t>코스피</t>
        </is>
      </c>
      <c r="D9012" s="2" t="inlineStr">
        <is>
          <t>004450</t>
        </is>
      </c>
      <c r="E9012" s="3" t="inlineStr">
        <is>
          <t xml:space="preserve">기업지배구조보고서공시              </t>
        </is>
      </c>
      <c r="F9012" s="3" t="inlineStr">
        <is>
          <t>삼화왕관</t>
        </is>
      </c>
      <c r="G9012" s="2" t="inlineStr">
        <is>
          <t>20260601800331</t>
        </is>
      </c>
      <c r="H9012" s="8">
        <f>HYPERLINK("https://dart.fss.or.kr/dsaf001/main.do?rcpNo=20260601800331", "공시열람")</f>
        <v/>
      </c>
    </row>
    <row r="9013">
      <c r="A9013" s="2" t="inlineStr">
        <is>
          <t>2026-06-01</t>
        </is>
      </c>
      <c r="B9013" s="3" t="inlineStr">
        <is>
          <t>알루코</t>
        </is>
      </c>
      <c r="C9013" s="2" t="inlineStr">
        <is>
          <t>코스피</t>
        </is>
      </c>
      <c r="D9013" s="2" t="inlineStr">
        <is>
          <t>001780</t>
        </is>
      </c>
      <c r="E9013" s="3" t="inlineStr">
        <is>
          <t xml:space="preserve">기업지배구조보고서공시              </t>
        </is>
      </c>
      <c r="F9013" s="3" t="inlineStr">
        <is>
          <t>알루코</t>
        </is>
      </c>
      <c r="G9013" s="2" t="inlineStr">
        <is>
          <t>20260601800326</t>
        </is>
      </c>
      <c r="H9013" s="8">
        <f>HYPERLINK("https://dart.fss.or.kr/dsaf001/main.do?rcpNo=20260601800326", "공시열람")</f>
        <v/>
      </c>
    </row>
    <row r="9014">
      <c r="A9014" s="2" t="inlineStr">
        <is>
          <t>2026-06-01</t>
        </is>
      </c>
      <c r="B9014" s="3" t="inlineStr">
        <is>
          <t>동국제강</t>
        </is>
      </c>
      <c r="C9014" s="2" t="inlineStr">
        <is>
          <t>코스피</t>
        </is>
      </c>
      <c r="D9014" s="2" t="inlineStr">
        <is>
          <t>460860</t>
        </is>
      </c>
      <c r="E9014" s="3" t="inlineStr">
        <is>
          <t>대규모기업집단현황공시[연1회공시및1/4분기용(개별회사)]</t>
        </is>
      </c>
      <c r="F9014" s="3" t="inlineStr">
        <is>
          <t>동국제강</t>
        </is>
      </c>
      <c r="G9014" s="2" t="inlineStr">
        <is>
          <t>20260601000281</t>
        </is>
      </c>
      <c r="H9014" s="8">
        <f>HYPERLINK("https://dart.fss.or.kr/dsaf001/main.do?rcpNo=20260601000281", "공시열람")</f>
        <v/>
      </c>
    </row>
    <row r="9015">
      <c r="A9015" s="2" t="inlineStr">
        <is>
          <t>2026-06-01</t>
        </is>
      </c>
      <c r="B9015" s="3" t="inlineStr">
        <is>
          <t>두올</t>
        </is>
      </c>
      <c r="C9015" s="2" t="inlineStr">
        <is>
          <t>코스피</t>
        </is>
      </c>
      <c r="D9015" s="2" t="inlineStr">
        <is>
          <t>016740</t>
        </is>
      </c>
      <c r="E9015" s="3" t="inlineStr">
        <is>
          <t xml:space="preserve">기업지배구조보고서공시              </t>
        </is>
      </c>
      <c r="F9015" s="3" t="inlineStr">
        <is>
          <t>두올</t>
        </is>
      </c>
      <c r="G9015" s="2" t="inlineStr">
        <is>
          <t>20260601800321</t>
        </is>
      </c>
      <c r="H9015" s="8">
        <f>HYPERLINK("https://dart.fss.or.kr/dsaf001/main.do?rcpNo=20260601800321", "공시열람")</f>
        <v/>
      </c>
    </row>
    <row r="9016">
      <c r="A9016" s="2" t="inlineStr">
        <is>
          <t>2026-06-01</t>
        </is>
      </c>
      <c r="B9016" s="3" t="inlineStr">
        <is>
          <t>테이팩스</t>
        </is>
      </c>
      <c r="C9016" s="2" t="inlineStr">
        <is>
          <t>코스피</t>
        </is>
      </c>
      <c r="D9016" s="2" t="inlineStr">
        <is>
          <t>055490</t>
        </is>
      </c>
      <c r="E9016" s="3" t="inlineStr">
        <is>
          <t xml:space="preserve">기업지배구조보고서공시              </t>
        </is>
      </c>
      <c r="F9016" s="3" t="inlineStr">
        <is>
          <t>테이팩스</t>
        </is>
      </c>
      <c r="G9016" s="2" t="inlineStr">
        <is>
          <t>20260601800319</t>
        </is>
      </c>
      <c r="H9016" s="8">
        <f>HYPERLINK("https://dart.fss.or.kr/dsaf001/main.do?rcpNo=20260601800319", "공시열람")</f>
        <v/>
      </c>
    </row>
    <row r="9017">
      <c r="A9017" s="2" t="inlineStr">
        <is>
          <t>2026-06-01</t>
        </is>
      </c>
      <c r="B9017" s="3" t="inlineStr">
        <is>
          <t>삼일제약</t>
        </is>
      </c>
      <c r="C9017" s="2" t="inlineStr">
        <is>
          <t>코스피</t>
        </is>
      </c>
      <c r="D9017" s="2" t="inlineStr">
        <is>
          <t>000520</t>
        </is>
      </c>
      <c r="E9017" s="3" t="inlineStr">
        <is>
          <t>임원ㆍ주요주주특정증권등소유상황보고서</t>
        </is>
      </c>
      <c r="F9017" s="3" t="inlineStr">
        <is>
          <t>유담향</t>
        </is>
      </c>
      <c r="G9017" s="2" t="inlineStr">
        <is>
          <t>20260601000269</t>
        </is>
      </c>
      <c r="H9017" s="8">
        <f>HYPERLINK("https://dart.fss.or.kr/dsaf001/main.do?rcpNo=20260601000269", "공시열람")</f>
        <v/>
      </c>
    </row>
    <row r="9018">
      <c r="A9018" s="2" t="inlineStr">
        <is>
          <t>2026-06-01</t>
        </is>
      </c>
      <c r="B9018" s="3" t="inlineStr">
        <is>
          <t>제일기획</t>
        </is>
      </c>
      <c r="C9018" s="2" t="inlineStr">
        <is>
          <t>코스피</t>
        </is>
      </c>
      <c r="D9018" s="2" t="inlineStr">
        <is>
          <t>030000</t>
        </is>
      </c>
      <c r="E9018" s="3" t="inlineStr">
        <is>
          <t xml:space="preserve">기업지배구조보고서공시              </t>
        </is>
      </c>
      <c r="F9018" s="3" t="inlineStr">
        <is>
          <t>제일기획</t>
        </is>
      </c>
      <c r="G9018" s="2" t="inlineStr">
        <is>
          <t>20260601800309</t>
        </is>
      </c>
      <c r="H9018" s="8">
        <f>HYPERLINK("https://dart.fss.or.kr/dsaf001/main.do?rcpNo=20260601800309", "공시열람")</f>
        <v/>
      </c>
    </row>
    <row r="9019">
      <c r="A9019" s="2" t="inlineStr">
        <is>
          <t>2026-06-01</t>
        </is>
      </c>
      <c r="B9019" s="3" t="inlineStr">
        <is>
          <t>모토닉</t>
        </is>
      </c>
      <c r="C9019" s="2" t="inlineStr">
        <is>
          <t>코스피</t>
        </is>
      </c>
      <c r="D9019" s="2" t="inlineStr">
        <is>
          <t>009680</t>
        </is>
      </c>
      <c r="E9019" s="3" t="inlineStr">
        <is>
          <t xml:space="preserve">기업지배구조보고서공시              </t>
        </is>
      </c>
      <c r="F9019" s="3" t="inlineStr">
        <is>
          <t>모토닉</t>
        </is>
      </c>
      <c r="G9019" s="2" t="inlineStr">
        <is>
          <t>20260601800306</t>
        </is>
      </c>
      <c r="H9019" s="8">
        <f>HYPERLINK("https://dart.fss.or.kr/dsaf001/main.do?rcpNo=20260601800306", "공시열람")</f>
        <v/>
      </c>
    </row>
    <row r="9020">
      <c r="A9020" s="2" t="inlineStr">
        <is>
          <t>2026-06-01</t>
        </is>
      </c>
      <c r="B9020" s="3" t="inlineStr">
        <is>
          <t>제일기획</t>
        </is>
      </c>
      <c r="C9020" s="2" t="inlineStr">
        <is>
          <t>코스피</t>
        </is>
      </c>
      <c r="D9020" s="2" t="inlineStr">
        <is>
          <t>030000</t>
        </is>
      </c>
      <c r="E9020" s="3" t="inlineStr">
        <is>
          <t>대규모기업집단현황공시[연1회공시및1/4분기용(개별회사)]</t>
        </is>
      </c>
      <c r="F9020" s="3" t="inlineStr">
        <is>
          <t>제일기획</t>
        </is>
      </c>
      <c r="G9020" s="2" t="inlineStr">
        <is>
          <t>20260601000268</t>
        </is>
      </c>
      <c r="H9020" s="8">
        <f>HYPERLINK("https://dart.fss.or.kr/dsaf001/main.do?rcpNo=20260601000268", "공시열람")</f>
        <v/>
      </c>
    </row>
    <row r="9021">
      <c r="A9021" s="2" t="inlineStr">
        <is>
          <t>2026-06-01</t>
        </is>
      </c>
      <c r="B9021" s="3" t="inlineStr">
        <is>
          <t>동국홀딩스</t>
        </is>
      </c>
      <c r="C9021" s="2" t="inlineStr">
        <is>
          <t>코스피</t>
        </is>
      </c>
      <c r="D9021" s="2" t="inlineStr">
        <is>
          <t>001230</t>
        </is>
      </c>
      <c r="E9021" s="3" t="inlineStr">
        <is>
          <t>대규모기업집단현황공시[연1회(동일인용)]</t>
        </is>
      </c>
      <c r="F9021" s="3" t="inlineStr">
        <is>
          <t>장세주</t>
        </is>
      </c>
      <c r="G9021" s="2" t="inlineStr">
        <is>
          <t>20260601000265</t>
        </is>
      </c>
      <c r="H9021" s="8">
        <f>HYPERLINK("https://dart.fss.or.kr/dsaf001/main.do?rcpNo=20260601000265", "공시열람")</f>
        <v/>
      </c>
    </row>
    <row r="9022">
      <c r="A9022" s="2" t="inlineStr">
        <is>
          <t>2026-06-01</t>
        </is>
      </c>
      <c r="B9022" s="3" t="inlineStr">
        <is>
          <t>팬오션</t>
        </is>
      </c>
      <c r="C9022" s="2" t="inlineStr">
        <is>
          <t>코스피</t>
        </is>
      </c>
      <c r="D9022" s="2" t="inlineStr">
        <is>
          <t>028670</t>
        </is>
      </c>
      <c r="E9022" s="3" t="inlineStr">
        <is>
          <t>대규모기업집단현황공시[연1회공시및1/4분기용(개별회사)]</t>
        </is>
      </c>
      <c r="F9022" s="3" t="inlineStr">
        <is>
          <t>팬오션</t>
        </is>
      </c>
      <c r="G9022" s="2" t="inlineStr">
        <is>
          <t>20260601000260</t>
        </is>
      </c>
      <c r="H9022" s="8">
        <f>HYPERLINK("https://dart.fss.or.kr/dsaf001/main.do?rcpNo=20260601000260", "공시열람")</f>
        <v/>
      </c>
    </row>
    <row r="9023">
      <c r="A9023" s="2" t="inlineStr">
        <is>
          <t>2026-06-01</t>
        </is>
      </c>
      <c r="B9023" s="3" t="inlineStr">
        <is>
          <t>NH투자증권</t>
        </is>
      </c>
      <c r="C9023" s="2" t="inlineStr">
        <is>
          <t>코스피</t>
        </is>
      </c>
      <c r="D9023" s="2" t="inlineStr">
        <is>
          <t>005940</t>
        </is>
      </c>
      <c r="E9023" s="3" t="inlineStr">
        <is>
          <t>투자설명서(일괄신고)</t>
        </is>
      </c>
      <c r="F9023" s="3" t="inlineStr">
        <is>
          <t>NH투자증권</t>
        </is>
      </c>
      <c r="G9023" s="2" t="inlineStr">
        <is>
          <t>20260601000259</t>
        </is>
      </c>
      <c r="H9023" s="8">
        <f>HYPERLINK("https://dart.fss.or.kr/dsaf001/main.do?rcpNo=20260601000259", "공시열람")</f>
        <v/>
      </c>
    </row>
    <row r="9024">
      <c r="A9024" s="2" t="inlineStr">
        <is>
          <t>2026-06-01</t>
        </is>
      </c>
      <c r="B9024" s="3" t="inlineStr">
        <is>
          <t>LG씨엔에스</t>
        </is>
      </c>
      <c r="C9024" s="2" t="inlineStr">
        <is>
          <t>코스피</t>
        </is>
      </c>
      <c r="D9024" s="2" t="inlineStr">
        <is>
          <t>064400</t>
        </is>
      </c>
      <c r="E9024" s="3" t="inlineStr">
        <is>
          <t xml:space="preserve">기업지배구조보고서공시              </t>
        </is>
      </c>
      <c r="F9024" s="3" t="inlineStr">
        <is>
          <t>LG씨엔에스</t>
        </is>
      </c>
      <c r="G9024" s="2" t="inlineStr">
        <is>
          <t>20260601800307</t>
        </is>
      </c>
      <c r="H9024" s="8">
        <f>HYPERLINK("https://dart.fss.or.kr/dsaf001/main.do?rcpNo=20260601800307", "공시열람")</f>
        <v/>
      </c>
    </row>
    <row r="9025">
      <c r="A9025" s="2" t="inlineStr">
        <is>
          <t>2026-06-01</t>
        </is>
      </c>
      <c r="B9025" s="3" t="inlineStr">
        <is>
          <t>삼성증권</t>
        </is>
      </c>
      <c r="C9025" s="2" t="inlineStr">
        <is>
          <t>코스피</t>
        </is>
      </c>
      <c r="D9025" s="2" t="inlineStr">
        <is>
          <t>016360</t>
        </is>
      </c>
      <c r="E9025" s="3" t="inlineStr">
        <is>
          <t>대규모기업집단현황공시[연1회공시및1/4분기용(개별회사)]</t>
        </is>
      </c>
      <c r="F9025" s="3" t="inlineStr">
        <is>
          <t>삼성증권</t>
        </is>
      </c>
      <c r="G9025" s="2" t="inlineStr">
        <is>
          <t>20260601000254</t>
        </is>
      </c>
      <c r="H9025" s="8">
        <f>HYPERLINK("https://dart.fss.or.kr/dsaf001/main.do?rcpNo=20260601000254", "공시열람")</f>
        <v/>
      </c>
    </row>
    <row r="9026">
      <c r="A9026" s="2" t="inlineStr">
        <is>
          <t>2026-06-01</t>
        </is>
      </c>
      <c r="B9026" s="3" t="inlineStr">
        <is>
          <t>크레오에스지</t>
        </is>
      </c>
      <c r="C9026" s="2" t="inlineStr">
        <is>
          <t>코스닥</t>
        </is>
      </c>
      <c r="D9026" s="2" t="inlineStr">
        <is>
          <t>040350</t>
        </is>
      </c>
      <c r="E9026" s="3" t="inlineStr">
        <is>
          <t>대규모기업집단현황공시[연1회공시및1/4분기용(개별회사)]</t>
        </is>
      </c>
      <c r="F9026" s="3" t="inlineStr">
        <is>
          <t>크레오에스지</t>
        </is>
      </c>
      <c r="G9026" s="2" t="inlineStr">
        <is>
          <t>20260601000252</t>
        </is>
      </c>
      <c r="H9026" s="8">
        <f>HYPERLINK("https://dart.fss.or.kr/dsaf001/main.do?rcpNo=20260601000252", "공시열람")</f>
        <v/>
      </c>
    </row>
    <row r="9027">
      <c r="A9027" s="2" t="inlineStr">
        <is>
          <t>2026-06-01</t>
        </is>
      </c>
      <c r="B9027" s="3" t="inlineStr">
        <is>
          <t>삼성에스디에스</t>
        </is>
      </c>
      <c r="C9027" s="2" t="inlineStr">
        <is>
          <t>코스피</t>
        </is>
      </c>
      <c r="D9027" s="2" t="inlineStr">
        <is>
          <t>018260</t>
        </is>
      </c>
      <c r="E9027" s="3" t="inlineStr">
        <is>
          <t>대규모기업집단현황공시[연1회공시및1/4분기용(개별회사)]</t>
        </is>
      </c>
      <c r="F9027" s="3" t="inlineStr">
        <is>
          <t>삼성에스디에스</t>
        </is>
      </c>
      <c r="G9027" s="2" t="inlineStr">
        <is>
          <t>20260601000249</t>
        </is>
      </c>
      <c r="H9027" s="8">
        <f>HYPERLINK("https://dart.fss.or.kr/dsaf001/main.do?rcpNo=20260601000249", "공시열람")</f>
        <v/>
      </c>
    </row>
    <row r="9028">
      <c r="A9028" s="2" t="inlineStr">
        <is>
          <t>2026-06-01</t>
        </is>
      </c>
      <c r="B9028" s="3" t="inlineStr">
        <is>
          <t>큐로홀딩스</t>
        </is>
      </c>
      <c r="C9028" s="2" t="inlineStr">
        <is>
          <t>코스닥</t>
        </is>
      </c>
      <c r="D9028" s="2" t="inlineStr">
        <is>
          <t>051780</t>
        </is>
      </c>
      <c r="E9028" s="3" t="inlineStr">
        <is>
          <t>대규모기업집단현황공시[연1회공시및1/4분기용(개별회사)]</t>
        </is>
      </c>
      <c r="F9028" s="3" t="inlineStr">
        <is>
          <t>큐로홀딩스</t>
        </is>
      </c>
      <c r="G9028" s="2" t="inlineStr">
        <is>
          <t>20260601000248</t>
        </is>
      </c>
      <c r="H9028" s="8">
        <f>HYPERLINK("https://dart.fss.or.kr/dsaf001/main.do?rcpNo=20260601000248", "공시열람")</f>
        <v/>
      </c>
    </row>
    <row r="9029">
      <c r="A9029" s="2" t="inlineStr">
        <is>
          <t>2026-06-01</t>
        </is>
      </c>
      <c r="B9029" s="3" t="inlineStr">
        <is>
          <t>KB스타리츠</t>
        </is>
      </c>
      <c r="C9029" s="2" t="inlineStr">
        <is>
          <t>코스피</t>
        </is>
      </c>
      <c r="D9029" s="2" t="inlineStr">
        <is>
          <t>432320</t>
        </is>
      </c>
      <c r="E9029" s="3" t="inlineStr">
        <is>
          <t xml:space="preserve">기업지배구조보고서공시              </t>
        </is>
      </c>
      <c r="F9029" s="3" t="inlineStr">
        <is>
          <t>KB스타리츠</t>
        </is>
      </c>
      <c r="G9029" s="2" t="inlineStr">
        <is>
          <t>20260601800300</t>
        </is>
      </c>
      <c r="H9029" s="8">
        <f>HYPERLINK("https://dart.fss.or.kr/dsaf001/main.do?rcpNo=20260601800300", "공시열람")</f>
        <v/>
      </c>
    </row>
    <row r="9030">
      <c r="A9030" s="2" t="inlineStr">
        <is>
          <t>2026-06-01</t>
        </is>
      </c>
      <c r="B9030" s="3" t="inlineStr">
        <is>
          <t>큐캐피탈</t>
        </is>
      </c>
      <c r="C9030" s="2" t="inlineStr">
        <is>
          <t>코스닥</t>
        </is>
      </c>
      <c r="D9030" s="2" t="inlineStr">
        <is>
          <t>016600</t>
        </is>
      </c>
      <c r="E9030" s="3" t="inlineStr">
        <is>
          <t>대규모기업집단현황공시[연1회(동일인용)]</t>
        </is>
      </c>
      <c r="F9030" s="3" t="inlineStr">
        <is>
          <t>권경훈</t>
        </is>
      </c>
      <c r="G9030" s="2" t="inlineStr">
        <is>
          <t>20260601000244</t>
        </is>
      </c>
      <c r="H9030" s="8">
        <f>HYPERLINK("https://dart.fss.or.kr/dsaf001/main.do?rcpNo=20260601000244", "공시열람")</f>
        <v/>
      </c>
    </row>
    <row r="9031">
      <c r="A9031" s="2" t="inlineStr">
        <is>
          <t>2026-06-01</t>
        </is>
      </c>
      <c r="B9031" s="3" t="inlineStr">
        <is>
          <t>삼성SDI</t>
        </is>
      </c>
      <c r="C9031" s="2" t="inlineStr">
        <is>
          <t>코스피</t>
        </is>
      </c>
      <c r="D9031" s="2" t="inlineStr">
        <is>
          <t>006400</t>
        </is>
      </c>
      <c r="E9031" s="3" t="inlineStr">
        <is>
          <t>대규모기업집단현황공시[연1회공시및1/4분기용(개별회사)]</t>
        </is>
      </c>
      <c r="F9031" s="3" t="inlineStr">
        <is>
          <t>삼성SDI</t>
        </is>
      </c>
      <c r="G9031" s="2" t="inlineStr">
        <is>
          <t>20260601000241</t>
        </is>
      </c>
      <c r="H9031" s="8">
        <f>HYPERLINK("https://dart.fss.or.kr/dsaf001/main.do?rcpNo=20260601000241", "공시열람")</f>
        <v/>
      </c>
    </row>
    <row r="9032">
      <c r="A9032" s="2" t="inlineStr">
        <is>
          <t>2026-06-01</t>
        </is>
      </c>
      <c r="B9032" s="3" t="inlineStr">
        <is>
          <t>디아이씨</t>
        </is>
      </c>
      <c r="C9032" s="2" t="inlineStr">
        <is>
          <t>코스피</t>
        </is>
      </c>
      <c r="D9032" s="2" t="inlineStr">
        <is>
          <t>092200</t>
        </is>
      </c>
      <c r="E9032" s="3" t="inlineStr">
        <is>
          <t xml:space="preserve">기업지배구조보고서공시              </t>
        </is>
      </c>
      <c r="F9032" s="3" t="inlineStr">
        <is>
          <t>디아이씨</t>
        </is>
      </c>
      <c r="G9032" s="2" t="inlineStr">
        <is>
          <t>20260601800298</t>
        </is>
      </c>
      <c r="H9032" s="8">
        <f>HYPERLINK("https://dart.fss.or.kr/dsaf001/main.do?rcpNo=20260601800298", "공시열람")</f>
        <v/>
      </c>
    </row>
    <row r="9033">
      <c r="A9033" s="2" t="inlineStr">
        <is>
          <t>2026-06-01</t>
        </is>
      </c>
      <c r="B9033" s="3" t="inlineStr">
        <is>
          <t>MH에탄올</t>
        </is>
      </c>
      <c r="C9033" s="2" t="inlineStr">
        <is>
          <t>코스피</t>
        </is>
      </c>
      <c r="D9033" s="2" t="inlineStr">
        <is>
          <t>023150</t>
        </is>
      </c>
      <c r="E9033" s="3" t="inlineStr">
        <is>
          <t xml:space="preserve">기업지배구조보고서공시              </t>
        </is>
      </c>
      <c r="F9033" s="3" t="inlineStr">
        <is>
          <t>MH에탄올</t>
        </is>
      </c>
      <c r="G9033" s="2" t="inlineStr">
        <is>
          <t>20260601800289</t>
        </is>
      </c>
      <c r="H9033" s="8">
        <f>HYPERLINK("https://dart.fss.or.kr/dsaf001/main.do?rcpNo=20260601800289", "공시열람")</f>
        <v/>
      </c>
    </row>
    <row r="9034">
      <c r="A9034" s="2" t="inlineStr">
        <is>
          <t>2026-06-01</t>
        </is>
      </c>
      <c r="B9034" s="3" t="inlineStr">
        <is>
          <t>한화</t>
        </is>
      </c>
      <c r="C9034" s="2" t="inlineStr">
        <is>
          <t>코스피</t>
        </is>
      </c>
      <c r="D9034" s="2" t="inlineStr">
        <is>
          <t>000880</t>
        </is>
      </c>
      <c r="E9034" s="3" t="inlineStr">
        <is>
          <t xml:space="preserve">기업지배구조보고서공시              </t>
        </is>
      </c>
      <c r="F9034" s="3" t="inlineStr">
        <is>
          <t>한화</t>
        </is>
      </c>
      <c r="G9034" s="2" t="inlineStr">
        <is>
          <t>20260601800124</t>
        </is>
      </c>
      <c r="H9034" s="8">
        <f>HYPERLINK("https://dart.fss.or.kr/dsaf001/main.do?rcpNo=20260601800124", "공시열람")</f>
        <v/>
      </c>
    </row>
    <row r="9035">
      <c r="A9035" s="2" t="inlineStr">
        <is>
          <t>2026-06-01</t>
        </is>
      </c>
      <c r="B9035" s="3" t="inlineStr">
        <is>
          <t>NAVER</t>
        </is>
      </c>
      <c r="C9035" s="2" t="inlineStr">
        <is>
          <t>코스피</t>
        </is>
      </c>
      <c r="D9035" s="2" t="inlineStr">
        <is>
          <t>035420</t>
        </is>
      </c>
      <c r="E9035" s="3" t="inlineStr">
        <is>
          <t>[기재정정]대규모기업집단현황공시[연1회공시및1/4분기용(대표회사)]</t>
        </is>
      </c>
      <c r="F9035" s="3" t="inlineStr">
        <is>
          <t>NAVER</t>
        </is>
      </c>
      <c r="G9035" s="2" t="inlineStr">
        <is>
          <t>20260601000228</t>
        </is>
      </c>
      <c r="H9035" s="8">
        <f>HYPERLINK("https://dart.fss.or.kr/dsaf001/main.do?rcpNo=20260601000228", "공시열람")</f>
        <v/>
      </c>
    </row>
    <row r="9036">
      <c r="A9036" s="2" t="inlineStr">
        <is>
          <t>2026-06-01</t>
        </is>
      </c>
      <c r="B9036" s="3" t="inlineStr">
        <is>
          <t>DH오토넥스</t>
        </is>
      </c>
      <c r="C9036" s="2" t="inlineStr">
        <is>
          <t>코스피</t>
        </is>
      </c>
      <c r="D9036" s="2" t="inlineStr">
        <is>
          <t>000300</t>
        </is>
      </c>
      <c r="E9036" s="3" t="inlineStr">
        <is>
          <t xml:space="preserve">기업지배구조보고서공시              </t>
        </is>
      </c>
      <c r="F9036" s="3" t="inlineStr">
        <is>
          <t>DH오토넥스</t>
        </is>
      </c>
      <c r="G9036" s="2" t="inlineStr">
        <is>
          <t>20260601800225</t>
        </is>
      </c>
      <c r="H9036" s="8">
        <f>HYPERLINK("https://dart.fss.or.kr/dsaf001/main.do?rcpNo=20260601800225", "공시열람")</f>
        <v/>
      </c>
    </row>
    <row r="9037">
      <c r="A9037" s="2" t="inlineStr">
        <is>
          <t>2026-06-01</t>
        </is>
      </c>
      <c r="B9037" s="3" t="inlineStr">
        <is>
          <t>NH투자증권</t>
        </is>
      </c>
      <c r="C9037" s="2" t="inlineStr">
        <is>
          <t>코스피</t>
        </is>
      </c>
      <c r="D9037" s="2" t="inlineStr">
        <is>
          <t>005940</t>
        </is>
      </c>
      <c r="E9037" s="3" t="inlineStr">
        <is>
          <t>일괄신고추가서류(파생결합사채-주가연계파생결합사채)</t>
        </is>
      </c>
      <c r="F9037" s="3" t="inlineStr">
        <is>
          <t>NH투자증권</t>
        </is>
      </c>
      <c r="G9037" s="2" t="inlineStr">
        <is>
          <t>20260601000224</t>
        </is>
      </c>
      <c r="H9037" s="8">
        <f>HYPERLINK("https://dart.fss.or.kr/dsaf001/main.do?rcpNo=20260601000224", "공시열람")</f>
        <v/>
      </c>
    </row>
    <row r="9038">
      <c r="A9038" s="2" t="inlineStr">
        <is>
          <t>2026-06-01</t>
        </is>
      </c>
      <c r="B9038" s="3" t="inlineStr">
        <is>
          <t>동국홀딩스</t>
        </is>
      </c>
      <c r="C9038" s="2" t="inlineStr">
        <is>
          <t>코스피</t>
        </is>
      </c>
      <c r="D9038" s="2" t="inlineStr">
        <is>
          <t>001230</t>
        </is>
      </c>
      <c r="E9038" s="3" t="inlineStr">
        <is>
          <t>대규모기업집단현황공시[연1회공시및1/4분기용(대표회사)]</t>
        </is>
      </c>
      <c r="F9038" s="3" t="inlineStr">
        <is>
          <t>동국홀딩스</t>
        </is>
      </c>
      <c r="G9038" s="2" t="inlineStr">
        <is>
          <t>20260601000221</t>
        </is>
      </c>
      <c r="H9038" s="8">
        <f>HYPERLINK("https://dart.fss.or.kr/dsaf001/main.do?rcpNo=20260601000221", "공시열람")</f>
        <v/>
      </c>
    </row>
    <row r="9039">
      <c r="A9039" s="2" t="inlineStr">
        <is>
          <t>2026-06-01</t>
        </is>
      </c>
      <c r="B9039" s="3" t="inlineStr">
        <is>
          <t>큐캐피탈</t>
        </is>
      </c>
      <c r="C9039" s="2" t="inlineStr">
        <is>
          <t>코스닥</t>
        </is>
      </c>
      <c r="D9039" s="2" t="inlineStr">
        <is>
          <t>016600</t>
        </is>
      </c>
      <c r="E9039" s="3" t="inlineStr">
        <is>
          <t>대규모기업집단현황공시[연1회공시및1/4분기용(대표회사)]</t>
        </is>
      </c>
      <c r="F9039" s="3" t="inlineStr">
        <is>
          <t>큐캐피탈</t>
        </is>
      </c>
      <c r="G9039" s="2" t="inlineStr">
        <is>
          <t>20260601000203</t>
        </is>
      </c>
      <c r="H9039" s="8">
        <f>HYPERLINK("https://dart.fss.or.kr/dsaf001/main.do?rcpNo=20260601000203", "공시열람")</f>
        <v/>
      </c>
    </row>
    <row r="9040">
      <c r="A9040" s="2" t="inlineStr">
        <is>
          <t>2026-06-01</t>
        </is>
      </c>
      <c r="B9040" s="3" t="inlineStr">
        <is>
          <t>에어레인</t>
        </is>
      </c>
      <c r="C9040" s="2" t="inlineStr">
        <is>
          <t>코스닥</t>
        </is>
      </c>
      <c r="D9040" s="2" t="inlineStr">
        <is>
          <t>163280</t>
        </is>
      </c>
      <c r="E9040" s="3" t="inlineStr">
        <is>
          <t>임원ㆍ주요주주특정증권등소유상황보고서</t>
        </is>
      </c>
      <c r="F9040" s="3" t="inlineStr">
        <is>
          <t>하성용</t>
        </is>
      </c>
      <c r="G9040" s="2" t="inlineStr">
        <is>
          <t>20260601000195</t>
        </is>
      </c>
      <c r="H9040" s="8">
        <f>HYPERLINK("https://dart.fss.or.kr/dsaf001/main.do?rcpNo=20260601000195", "공시열람")</f>
        <v/>
      </c>
    </row>
    <row r="9041">
      <c r="A9041" s="2" t="inlineStr">
        <is>
          <t>2026-06-01</t>
        </is>
      </c>
      <c r="B9041" s="3" t="inlineStr">
        <is>
          <t>모나미</t>
        </is>
      </c>
      <c r="C9041" s="2" t="inlineStr">
        <is>
          <t>코스피</t>
        </is>
      </c>
      <c r="D9041" s="2" t="inlineStr">
        <is>
          <t>005360</t>
        </is>
      </c>
      <c r="E9041" s="3" t="inlineStr">
        <is>
          <t xml:space="preserve">기업지배구조보고서공시              </t>
        </is>
      </c>
      <c r="F9041" s="3" t="inlineStr">
        <is>
          <t>모나미</t>
        </is>
      </c>
      <c r="G9041" s="2" t="inlineStr">
        <is>
          <t>20260601800270</t>
        </is>
      </c>
      <c r="H9041" s="8">
        <f>HYPERLINK("https://dart.fss.or.kr/dsaf001/main.do?rcpNo=20260601800270", "공시열람")</f>
        <v/>
      </c>
    </row>
    <row r="9042">
      <c r="A9042" s="2" t="inlineStr">
        <is>
          <t>2026-06-01</t>
        </is>
      </c>
      <c r="B9042" s="3" t="inlineStr">
        <is>
          <t>사조대림</t>
        </is>
      </c>
      <c r="C9042" s="2" t="inlineStr">
        <is>
          <t>코스피</t>
        </is>
      </c>
      <c r="D9042" s="2" t="inlineStr">
        <is>
          <t>003960</t>
        </is>
      </c>
      <c r="E9042" s="3" t="inlineStr">
        <is>
          <t xml:space="preserve">기업지배구조보고서공시              </t>
        </is>
      </c>
      <c r="F9042" s="3" t="inlineStr">
        <is>
          <t>사조대림</t>
        </is>
      </c>
      <c r="G9042" s="2" t="inlineStr">
        <is>
          <t>20260601800274</t>
        </is>
      </c>
      <c r="H9042" s="8">
        <f>HYPERLINK("https://dart.fss.or.kr/dsaf001/main.do?rcpNo=20260601800274", "공시열람")</f>
        <v/>
      </c>
    </row>
    <row r="9043">
      <c r="A9043" s="2" t="inlineStr">
        <is>
          <t>2026-06-01</t>
        </is>
      </c>
      <c r="B9043" s="3" t="inlineStr">
        <is>
          <t>경동나비엔</t>
        </is>
      </c>
      <c r="C9043" s="2" t="inlineStr">
        <is>
          <t>코스피</t>
        </is>
      </c>
      <c r="D9043" s="2" t="inlineStr">
        <is>
          <t>009450</t>
        </is>
      </c>
      <c r="E9043" s="3" t="inlineStr">
        <is>
          <t xml:space="preserve">기업지배구조보고서공시              </t>
        </is>
      </c>
      <c r="F9043" s="3" t="inlineStr">
        <is>
          <t>경동나비엔</t>
        </is>
      </c>
      <c r="G9043" s="2" t="inlineStr">
        <is>
          <t>20260601800262</t>
        </is>
      </c>
      <c r="H9043" s="8">
        <f>HYPERLINK("https://dart.fss.or.kr/dsaf001/main.do?rcpNo=20260601800262", "공시열람")</f>
        <v/>
      </c>
    </row>
    <row r="9044">
      <c r="A9044" s="2" t="inlineStr">
        <is>
          <t>2026-06-01</t>
        </is>
      </c>
      <c r="B9044" s="3" t="inlineStr">
        <is>
          <t>삼성전자</t>
        </is>
      </c>
      <c r="C9044" s="2" t="inlineStr">
        <is>
          <t>코스피</t>
        </is>
      </c>
      <c r="D9044" s="2" t="inlineStr">
        <is>
          <t>005930</t>
        </is>
      </c>
      <c r="E9044" s="3" t="inlineStr">
        <is>
          <t xml:space="preserve">기업지배구조보고서공시              </t>
        </is>
      </c>
      <c r="F9044" s="3" t="inlineStr">
        <is>
          <t>삼성전자</t>
        </is>
      </c>
      <c r="G9044" s="2" t="inlineStr">
        <is>
          <t>20260601800268</t>
        </is>
      </c>
      <c r="H9044" s="8">
        <f>HYPERLINK("https://dart.fss.or.kr/dsaf001/main.do?rcpNo=20260601800268", "공시열람")</f>
        <v/>
      </c>
    </row>
    <row r="9045">
      <c r="A9045" s="2" t="inlineStr">
        <is>
          <t>2026-06-01</t>
        </is>
      </c>
      <c r="B9045" s="3" t="inlineStr">
        <is>
          <t>KSS해운</t>
        </is>
      </c>
      <c r="C9045" s="2" t="inlineStr">
        <is>
          <t>코스피</t>
        </is>
      </c>
      <c r="D9045" s="2" t="inlineStr">
        <is>
          <t>044450</t>
        </is>
      </c>
      <c r="E9045" s="3" t="inlineStr">
        <is>
          <t xml:space="preserve">기업지배구조보고서공시              </t>
        </is>
      </c>
      <c r="F9045" s="3" t="inlineStr">
        <is>
          <t>KSS해운</t>
        </is>
      </c>
      <c r="G9045" s="2" t="inlineStr">
        <is>
          <t>20260601800150</t>
        </is>
      </c>
      <c r="H9045" s="8">
        <f>HYPERLINK("https://dart.fss.or.kr/dsaf001/main.do?rcpNo=20260601800150", "공시열람")</f>
        <v/>
      </c>
    </row>
    <row r="9046">
      <c r="A9046" s="2" t="inlineStr">
        <is>
          <t>2026-06-01</t>
        </is>
      </c>
      <c r="B9046" s="3" t="inlineStr">
        <is>
          <t>삼성전자</t>
        </is>
      </c>
      <c r="C9046" s="2" t="inlineStr">
        <is>
          <t>코스피</t>
        </is>
      </c>
      <c r="D9046" s="2" t="inlineStr">
        <is>
          <t>005930</t>
        </is>
      </c>
      <c r="E9046" s="3" t="inlineStr">
        <is>
          <t>대규모기업집단현황공시[연1회공시및1/4분기용(대표회사)]</t>
        </is>
      </c>
      <c r="F9046" s="3" t="inlineStr">
        <is>
          <t>삼성전자</t>
        </is>
      </c>
      <c r="G9046" s="2" t="inlineStr">
        <is>
          <t>20260601000172</t>
        </is>
      </c>
      <c r="H9046" s="8">
        <f>HYPERLINK("https://dart.fss.or.kr/dsaf001/main.do?rcpNo=20260601000172", "공시열람")</f>
        <v/>
      </c>
    </row>
    <row r="9047">
      <c r="A9047" s="2" t="inlineStr">
        <is>
          <t>2026-06-01</t>
        </is>
      </c>
      <c r="B9047" s="3" t="inlineStr">
        <is>
          <t>신영증권</t>
        </is>
      </c>
      <c r="C9047" s="2" t="inlineStr">
        <is>
          <t>코스피</t>
        </is>
      </c>
      <c r="D9047" s="2" t="inlineStr">
        <is>
          <t>001720</t>
        </is>
      </c>
      <c r="E9047" s="3" t="inlineStr">
        <is>
          <t>증권발행실적보고서</t>
        </is>
      </c>
      <c r="F9047" s="3" t="inlineStr">
        <is>
          <t>신영증권</t>
        </is>
      </c>
      <c r="G9047" s="2" t="inlineStr">
        <is>
          <t>20260601000165</t>
        </is>
      </c>
      <c r="H9047" s="8">
        <f>HYPERLINK("https://dart.fss.or.kr/dsaf001/main.do?rcpNo=20260601000165", "공시열람")</f>
        <v/>
      </c>
    </row>
    <row r="9048">
      <c r="A9048" s="2" t="inlineStr">
        <is>
          <t>2026-06-01</t>
        </is>
      </c>
      <c r="B9048" s="3" t="inlineStr">
        <is>
          <t>에이엔피</t>
        </is>
      </c>
      <c r="C9048" s="2" t="inlineStr">
        <is>
          <t>코스피</t>
        </is>
      </c>
      <c r="D9048" s="2" t="inlineStr">
        <is>
          <t>015260</t>
        </is>
      </c>
      <c r="E9048" s="3" t="inlineStr">
        <is>
          <t xml:space="preserve">기업지배구조보고서공시              </t>
        </is>
      </c>
      <c r="F9048" s="3" t="inlineStr">
        <is>
          <t>에이엔피</t>
        </is>
      </c>
      <c r="G9048" s="2" t="inlineStr">
        <is>
          <t>20260601800256</t>
        </is>
      </c>
      <c r="H9048" s="8">
        <f>HYPERLINK("https://dart.fss.or.kr/dsaf001/main.do?rcpNo=20260601800256", "공시열람")</f>
        <v/>
      </c>
    </row>
    <row r="9049">
      <c r="A9049" s="2" t="inlineStr">
        <is>
          <t>2026-06-01</t>
        </is>
      </c>
      <c r="B9049" s="3" t="inlineStr">
        <is>
          <t>코오롱인더</t>
        </is>
      </c>
      <c r="C9049" s="2" t="inlineStr">
        <is>
          <t>코스피</t>
        </is>
      </c>
      <c r="D9049" s="2" t="inlineStr">
        <is>
          <t>120110</t>
        </is>
      </c>
      <c r="E9049" s="3" t="inlineStr">
        <is>
          <t xml:space="preserve">기업지배구조보고서공시              </t>
        </is>
      </c>
      <c r="F9049" s="3" t="inlineStr">
        <is>
          <t>코오롱인더</t>
        </is>
      </c>
      <c r="G9049" s="2" t="inlineStr">
        <is>
          <t>20260601800258</t>
        </is>
      </c>
      <c r="H9049" s="8">
        <f>HYPERLINK("https://dart.fss.or.kr/dsaf001/main.do?rcpNo=20260601800258", "공시열람")</f>
        <v/>
      </c>
    </row>
    <row r="9050">
      <c r="A9050" s="2" t="inlineStr">
        <is>
          <t>2026-06-01</t>
        </is>
      </c>
      <c r="B9050" s="3" t="inlineStr">
        <is>
          <t>진도</t>
        </is>
      </c>
      <c r="C9050" s="2" t="inlineStr">
        <is>
          <t>코스피</t>
        </is>
      </c>
      <c r="D9050" s="2" t="inlineStr">
        <is>
          <t>088790</t>
        </is>
      </c>
      <c r="E9050" s="3" t="inlineStr">
        <is>
          <t xml:space="preserve">기업지배구조보고서공시              </t>
        </is>
      </c>
      <c r="F9050" s="3" t="inlineStr">
        <is>
          <t>진도</t>
        </is>
      </c>
      <c r="G9050" s="2" t="inlineStr">
        <is>
          <t>20260601800251</t>
        </is>
      </c>
      <c r="H9050" s="8">
        <f>HYPERLINK("https://dart.fss.or.kr/dsaf001/main.do?rcpNo=20260601800251", "공시열람")</f>
        <v/>
      </c>
    </row>
    <row r="9051">
      <c r="A9051" s="2" t="inlineStr">
        <is>
          <t>2026-06-01</t>
        </is>
      </c>
      <c r="B9051" s="3" t="inlineStr">
        <is>
          <t>HDC랩스</t>
        </is>
      </c>
      <c r="C9051" s="2" t="inlineStr">
        <is>
          <t>코스피</t>
        </is>
      </c>
      <c r="D9051" s="2" t="inlineStr">
        <is>
          <t>039570</t>
        </is>
      </c>
      <c r="E9051" s="3" t="inlineStr">
        <is>
          <t xml:space="preserve">기업지배구조보고서공시              </t>
        </is>
      </c>
      <c r="F9051" s="3" t="inlineStr">
        <is>
          <t>HDC랩스</t>
        </is>
      </c>
      <c r="G9051" s="2" t="inlineStr">
        <is>
          <t>20260601800246</t>
        </is>
      </c>
      <c r="H9051" s="8">
        <f>HYPERLINK("https://dart.fss.or.kr/dsaf001/main.do?rcpNo=20260601800246", "공시열람")</f>
        <v/>
      </c>
    </row>
    <row r="9052">
      <c r="A9052" s="2" t="inlineStr">
        <is>
          <t>2026-06-01</t>
        </is>
      </c>
      <c r="B9052" s="3" t="inlineStr">
        <is>
          <t>유엔젤</t>
        </is>
      </c>
      <c r="C9052" s="2" t="inlineStr">
        <is>
          <t>코스피</t>
        </is>
      </c>
      <c r="D9052" s="2" t="inlineStr">
        <is>
          <t>072130</t>
        </is>
      </c>
      <c r="E9052" s="3" t="inlineStr">
        <is>
          <t xml:space="preserve">기업지배구조보고서공시              </t>
        </is>
      </c>
      <c r="F9052" s="3" t="inlineStr">
        <is>
          <t>유엔젤</t>
        </is>
      </c>
      <c r="G9052" s="2" t="inlineStr">
        <is>
          <t>20260601800241</t>
        </is>
      </c>
      <c r="H9052" s="8">
        <f>HYPERLINK("https://dart.fss.or.kr/dsaf001/main.do?rcpNo=20260601800241", "공시열람")</f>
        <v/>
      </c>
    </row>
    <row r="9053">
      <c r="A9053" s="2" t="inlineStr">
        <is>
          <t>2026-06-01</t>
        </is>
      </c>
      <c r="B9053" s="3" t="inlineStr">
        <is>
          <t>에이치피오</t>
        </is>
      </c>
      <c r="C9053" s="2" t="inlineStr">
        <is>
          <t>코스닥</t>
        </is>
      </c>
      <c r="D9053" s="2" t="inlineStr">
        <is>
          <t>357230</t>
        </is>
      </c>
      <c r="E9053" s="3" t="inlineStr">
        <is>
          <t>자기주식취득결과보고서</t>
        </is>
      </c>
      <c r="F9053" s="3" t="inlineStr">
        <is>
          <t>에이치피오</t>
        </is>
      </c>
      <c r="G9053" s="2" t="inlineStr">
        <is>
          <t>20260601000127</t>
        </is>
      </c>
      <c r="H9053" s="8">
        <f>HYPERLINK("https://dart.fss.or.kr/dsaf001/main.do?rcpNo=20260601000127", "공시열람")</f>
        <v/>
      </c>
    </row>
    <row r="9054">
      <c r="A9054" s="2" t="inlineStr">
        <is>
          <t>2026-06-01</t>
        </is>
      </c>
      <c r="B9054" s="3" t="inlineStr">
        <is>
          <t>화승엔터프라이즈</t>
        </is>
      </c>
      <c r="C9054" s="2" t="inlineStr">
        <is>
          <t>코스피</t>
        </is>
      </c>
      <c r="D9054" s="2" t="inlineStr">
        <is>
          <t>241590</t>
        </is>
      </c>
      <c r="E9054" s="3" t="inlineStr">
        <is>
          <t xml:space="preserve">기업지배구조보고서공시              </t>
        </is>
      </c>
      <c r="F9054" s="3" t="inlineStr">
        <is>
          <t>화승엔터프라이즈</t>
        </is>
      </c>
      <c r="G9054" s="2" t="inlineStr">
        <is>
          <t>20260601800238</t>
        </is>
      </c>
      <c r="H9054" s="8">
        <f>HYPERLINK("https://dart.fss.or.kr/dsaf001/main.do?rcpNo=20260601800238", "공시열람")</f>
        <v/>
      </c>
    </row>
    <row r="9055">
      <c r="A9055" s="2" t="inlineStr">
        <is>
          <t>2026-06-01</t>
        </is>
      </c>
      <c r="B9055" s="3" t="inlineStr">
        <is>
          <t>화승인더스트리</t>
        </is>
      </c>
      <c r="C9055" s="2" t="inlineStr">
        <is>
          <t>코스피</t>
        </is>
      </c>
      <c r="D9055" s="2" t="inlineStr">
        <is>
          <t>006060</t>
        </is>
      </c>
      <c r="E9055" s="3" t="inlineStr">
        <is>
          <t xml:space="preserve">기업지배구조보고서공시              </t>
        </is>
      </c>
      <c r="F9055" s="3" t="inlineStr">
        <is>
          <t>화승인더스트리</t>
        </is>
      </c>
      <c r="G9055" s="2" t="inlineStr">
        <is>
          <t>20260601800223</t>
        </is>
      </c>
      <c r="H9055" s="8">
        <f>HYPERLINK("https://dart.fss.or.kr/dsaf001/main.do?rcpNo=20260601800223", "공시열람")</f>
        <v/>
      </c>
    </row>
    <row r="9056">
      <c r="A9056" s="2" t="inlineStr">
        <is>
          <t>2026-06-01 (정정: 2026-06-08)</t>
        </is>
      </c>
      <c r="B9056" s="3" t="inlineStr">
        <is>
          <t>NH농우바이오</t>
        </is>
      </c>
      <c r="C9056" s="2" t="inlineStr">
        <is>
          <t>코스닥</t>
        </is>
      </c>
      <c r="D9056" s="2" t="inlineStr">
        <is>
          <t>054050</t>
        </is>
      </c>
      <c r="E9056" s="3" t="inlineStr">
        <is>
          <t>기업설명회(IR)개최               (정정: 20260608)</t>
        </is>
      </c>
      <c r="F9056" s="3" t="inlineStr">
        <is>
          <t>NH농우바이오</t>
        </is>
      </c>
      <c r="G9056" s="2" t="inlineStr">
        <is>
          <t>20260608000196</t>
        </is>
      </c>
      <c r="H9056" s="8">
        <f>HYPERLINK("https://dart.fss.or.kr/dsaf001/main.do?rcpNo=20260608000196", "공시열람")</f>
        <v/>
      </c>
    </row>
    <row r="9057">
      <c r="A9057" s="2" t="inlineStr">
        <is>
          <t>2026-06-01</t>
        </is>
      </c>
      <c r="B9057" s="3" t="inlineStr">
        <is>
          <t>영진약품</t>
        </is>
      </c>
      <c r="C9057" s="2" t="inlineStr">
        <is>
          <t>코스피</t>
        </is>
      </c>
      <c r="D9057" s="2" t="inlineStr">
        <is>
          <t>003520</t>
        </is>
      </c>
      <c r="E9057" s="3" t="inlineStr">
        <is>
          <t>대규모기업집단현황공시[연1회공시및1/4분기용(개별회사)]</t>
        </is>
      </c>
      <c r="F9057" s="3" t="inlineStr">
        <is>
          <t>영진약품</t>
        </is>
      </c>
      <c r="G9057" s="2" t="inlineStr">
        <is>
          <t>20260601000112</t>
        </is>
      </c>
      <c r="H9057" s="8">
        <f>HYPERLINK("https://dart.fss.or.kr/dsaf001/main.do?rcpNo=20260601000112", "공시열람")</f>
        <v/>
      </c>
    </row>
    <row r="9058">
      <c r="A9058" s="2" t="inlineStr">
        <is>
          <t>2026-06-01</t>
        </is>
      </c>
      <c r="B9058" s="3" t="inlineStr">
        <is>
          <t>드림텍</t>
        </is>
      </c>
      <c r="C9058" s="2" t="inlineStr">
        <is>
          <t>코스피</t>
        </is>
      </c>
      <c r="D9058" s="2" t="inlineStr">
        <is>
          <t>192650</t>
        </is>
      </c>
      <c r="E9058" s="3" t="inlineStr">
        <is>
          <t xml:space="preserve">기업지배구조보고서공시              </t>
        </is>
      </c>
      <c r="F9058" s="3" t="inlineStr">
        <is>
          <t>드림텍</t>
        </is>
      </c>
      <c r="G9058" s="2" t="inlineStr">
        <is>
          <t>20260601800235</t>
        </is>
      </c>
      <c r="H9058" s="8">
        <f>HYPERLINK("https://dart.fss.or.kr/dsaf001/main.do?rcpNo=20260601800235", "공시열람")</f>
        <v/>
      </c>
    </row>
    <row r="9059">
      <c r="A9059" s="2" t="inlineStr">
        <is>
          <t>2026-06-01</t>
        </is>
      </c>
      <c r="B9059" s="3" t="inlineStr">
        <is>
          <t>농심</t>
        </is>
      </c>
      <c r="C9059" s="2" t="inlineStr">
        <is>
          <t>코스피</t>
        </is>
      </c>
      <c r="D9059" s="2" t="inlineStr">
        <is>
          <t>004370</t>
        </is>
      </c>
      <c r="E9059" s="3" t="inlineStr">
        <is>
          <t>동일인등출자계열회사와의상품ㆍ용역거래변경</t>
        </is>
      </c>
      <c r="F9059" s="3" t="inlineStr">
        <is>
          <t>농심</t>
        </is>
      </c>
      <c r="G9059" s="2" t="inlineStr">
        <is>
          <t>20260601000100</t>
        </is>
      </c>
      <c r="H9059" s="8">
        <f>HYPERLINK("https://dart.fss.or.kr/dsaf001/main.do?rcpNo=20260601000100", "공시열람")</f>
        <v/>
      </c>
    </row>
    <row r="9060">
      <c r="A9060" s="2" t="inlineStr">
        <is>
          <t>2026-06-01</t>
        </is>
      </c>
      <c r="B9060" s="3" t="inlineStr">
        <is>
          <t>미래에셋증권</t>
        </is>
      </c>
      <c r="C9060" s="2" t="inlineStr">
        <is>
          <t>코스피</t>
        </is>
      </c>
      <c r="D9060" s="2" t="inlineStr">
        <is>
          <t>006800</t>
        </is>
      </c>
      <c r="E9060" s="3" t="inlineStr">
        <is>
          <t>증권발행실적보고서</t>
        </is>
      </c>
      <c r="F9060" s="3" t="inlineStr">
        <is>
          <t>미래에셋증권</t>
        </is>
      </c>
      <c r="G9060" s="2" t="inlineStr">
        <is>
          <t>20260601000096</t>
        </is>
      </c>
      <c r="H9060" s="8">
        <f>HYPERLINK("https://dart.fss.or.kr/dsaf001/main.do?rcpNo=20260601000096", "공시열람")</f>
        <v/>
      </c>
    </row>
    <row r="9061">
      <c r="A9061" s="2" t="inlineStr">
        <is>
          <t>2026-06-01 (정정: 2026-06-08)</t>
        </is>
      </c>
      <c r="B9061" s="3" t="inlineStr">
        <is>
          <t>메리츠제2호스팩</t>
        </is>
      </c>
      <c r="C9061" s="2" t="inlineStr">
        <is>
          <t>코스닥</t>
        </is>
      </c>
      <c r="D9061" s="2" t="inlineStr">
        <is>
          <t>0165X0</t>
        </is>
      </c>
      <c r="E9061" s="3" t="inlineStr">
        <is>
          <t>투자설명서 (정정: 20260608) (정정: 20260608)</t>
        </is>
      </c>
      <c r="F9061" s="3" t="inlineStr">
        <is>
          <t>메리츠제2호스팩</t>
        </is>
      </c>
      <c r="G9061" s="2" t="inlineStr">
        <is>
          <t>20260608000164</t>
        </is>
      </c>
      <c r="H9061" s="8">
        <f>HYPERLINK("https://dart.fss.or.kr/dsaf001/main.do?rcpNo=20260608000164", "공시열람")</f>
        <v/>
      </c>
    </row>
    <row r="9062">
      <c r="A9062" s="2" t="inlineStr">
        <is>
          <t>2026-06-01</t>
        </is>
      </c>
      <c r="B9062" s="3" t="inlineStr">
        <is>
          <t>DS단석</t>
        </is>
      </c>
      <c r="C9062" s="2" t="inlineStr">
        <is>
          <t>코스피</t>
        </is>
      </c>
      <c r="D9062" s="2" t="inlineStr">
        <is>
          <t>017860</t>
        </is>
      </c>
      <c r="E9062" s="3" t="inlineStr">
        <is>
          <t xml:space="preserve">기업지배구조보고서공시              </t>
        </is>
      </c>
      <c r="F9062" s="3" t="inlineStr">
        <is>
          <t>DS단석</t>
        </is>
      </c>
      <c r="G9062" s="2" t="inlineStr">
        <is>
          <t>20260601800216</t>
        </is>
      </c>
      <c r="H9062" s="8">
        <f>HYPERLINK("https://dart.fss.or.kr/dsaf001/main.do?rcpNo=20260601800216", "공시열람")</f>
        <v/>
      </c>
    </row>
    <row r="9063">
      <c r="A9063" s="2" t="inlineStr">
        <is>
          <t>2026-06-01</t>
        </is>
      </c>
      <c r="B9063" s="3" t="inlineStr">
        <is>
          <t>아이센스</t>
        </is>
      </c>
      <c r="C9063" s="2" t="inlineStr">
        <is>
          <t>코스닥</t>
        </is>
      </c>
      <c r="D9063" s="2" t="inlineStr">
        <is>
          <t>099190</t>
        </is>
      </c>
      <c r="E9063" s="3" t="inlineStr">
        <is>
          <t>임원ㆍ주요주주특정증권등소유상황보고서</t>
        </is>
      </c>
      <c r="F9063" s="3" t="inlineStr">
        <is>
          <t>남학현</t>
        </is>
      </c>
      <c r="G9063" s="2" t="inlineStr">
        <is>
          <t>20260601000073</t>
        </is>
      </c>
      <c r="H9063" s="8">
        <f>HYPERLINK("https://dart.fss.or.kr/dsaf001/main.do?rcpNo=20260601000073", "공시열람")</f>
        <v/>
      </c>
    </row>
    <row r="9064">
      <c r="A9064" s="2" t="inlineStr">
        <is>
          <t>2026-06-01</t>
        </is>
      </c>
      <c r="B9064" s="3" t="inlineStr">
        <is>
          <t>알톤</t>
        </is>
      </c>
      <c r="C9064" s="2" t="inlineStr">
        <is>
          <t>코스닥</t>
        </is>
      </c>
      <c r="D9064" s="2" t="inlineStr">
        <is>
          <t>123750</t>
        </is>
      </c>
      <c r="E9064" s="3" t="inlineStr">
        <is>
          <t>임원ㆍ주요주주특정증권등거래계획보고서</t>
        </is>
      </c>
      <c r="F9064" s="3" t="inlineStr">
        <is>
          <t>이녹스</t>
        </is>
      </c>
      <c r="G9064" s="2" t="inlineStr">
        <is>
          <t>20260601000069</t>
        </is>
      </c>
      <c r="H9064" s="8">
        <f>HYPERLINK("https://dart.fss.or.kr/dsaf001/main.do?rcpNo=20260601000069", "공시열람")</f>
        <v/>
      </c>
    </row>
    <row r="9065">
      <c r="A9065" s="2" t="inlineStr">
        <is>
          <t>2026-06-01</t>
        </is>
      </c>
      <c r="B9065" s="3" t="inlineStr">
        <is>
          <t>파로스아이바이오</t>
        </is>
      </c>
      <c r="C9065" s="2" t="inlineStr">
        <is>
          <t>코스닥</t>
        </is>
      </c>
      <c r="D9065" s="2" t="inlineStr">
        <is>
          <t>388870</t>
        </is>
      </c>
      <c r="E9065" s="3" t="inlineStr">
        <is>
          <t>기타경영사항(자율공시)              ([국책과제 선정] 보건복지부 주관 2026년도 구조기반 AI 신약개발지원 사업 협약 체결)</t>
        </is>
      </c>
      <c r="F9065" s="3" t="inlineStr">
        <is>
          <t>파로스아이바이오</t>
        </is>
      </c>
      <c r="G9065" s="2" t="inlineStr">
        <is>
          <t>20260601900155</t>
        </is>
      </c>
      <c r="H9065" s="8">
        <f>HYPERLINK("https://dart.fss.or.kr/dsaf001/main.do?rcpNo=20260601900155", "공시열람")</f>
        <v/>
      </c>
    </row>
    <row r="9066">
      <c r="A9066" s="2" t="inlineStr">
        <is>
          <t>2026-06-01</t>
        </is>
      </c>
      <c r="B9066" s="3" t="inlineStr">
        <is>
          <t>남광토건</t>
        </is>
      </c>
      <c r="C9066" s="2" t="inlineStr">
        <is>
          <t>코스피</t>
        </is>
      </c>
      <c r="D9066" s="2" t="inlineStr">
        <is>
          <t>001260</t>
        </is>
      </c>
      <c r="E9066" s="3" t="inlineStr">
        <is>
          <t xml:space="preserve">기업지배구조보고서공시              </t>
        </is>
      </c>
      <c r="F9066" s="3" t="inlineStr">
        <is>
          <t>남광토건</t>
        </is>
      </c>
      <c r="G9066" s="2" t="inlineStr">
        <is>
          <t>20260601800169</t>
        </is>
      </c>
      <c r="H9066" s="8">
        <f>HYPERLINK("https://dart.fss.or.kr/dsaf001/main.do?rcpNo=20260601800169", "공시열람")</f>
        <v/>
      </c>
    </row>
    <row r="9067">
      <c r="A9067" s="2" t="inlineStr">
        <is>
          <t>2026-06-01</t>
        </is>
      </c>
      <c r="B9067" s="3" t="inlineStr">
        <is>
          <t>한미반도체</t>
        </is>
      </c>
      <c r="C9067" s="2" t="inlineStr">
        <is>
          <t>코스피</t>
        </is>
      </c>
      <c r="D9067" s="2" t="inlineStr">
        <is>
          <t>042700</t>
        </is>
      </c>
      <c r="E9067" s="3" t="inlineStr">
        <is>
          <t xml:space="preserve">기업설명회(IR)개최(안내공시)              </t>
        </is>
      </c>
      <c r="F9067" s="3" t="inlineStr">
        <is>
          <t>한미반도체</t>
        </is>
      </c>
      <c r="G9067" s="2" t="inlineStr">
        <is>
          <t>20260601800176</t>
        </is>
      </c>
      <c r="H9067" s="8">
        <f>HYPERLINK("https://dart.fss.or.kr/dsaf001/main.do?rcpNo=20260601800176", "공시열람")</f>
        <v/>
      </c>
    </row>
    <row r="9068">
      <c r="A9068" s="2" t="inlineStr">
        <is>
          <t>2026-06-01</t>
        </is>
      </c>
      <c r="B9068" s="3" t="inlineStr">
        <is>
          <t>NH투자증권</t>
        </is>
      </c>
      <c r="C9068" s="2" t="inlineStr">
        <is>
          <t>코스피</t>
        </is>
      </c>
      <c r="D9068" s="2" t="inlineStr">
        <is>
          <t>005940</t>
        </is>
      </c>
      <c r="E9068" s="3" t="inlineStr">
        <is>
          <t>일괄신고추가서류(파생결합증권-주가연계증권)</t>
        </is>
      </c>
      <c r="F9068" s="3" t="inlineStr">
        <is>
          <t>NH투자증권</t>
        </is>
      </c>
      <c r="G9068" s="2" t="inlineStr">
        <is>
          <t>20260601000049</t>
        </is>
      </c>
      <c r="H9068" s="8">
        <f>HYPERLINK("https://dart.fss.or.kr/dsaf001/main.do?rcpNo=20260601000049", "공시열람")</f>
        <v/>
      </c>
    </row>
    <row r="9069">
      <c r="A9069" s="2" t="inlineStr">
        <is>
          <t>2026-06-01</t>
        </is>
      </c>
      <c r="B9069" s="3" t="inlineStr">
        <is>
          <t>NH투자증권</t>
        </is>
      </c>
      <c r="C9069" s="2" t="inlineStr">
        <is>
          <t>코스피</t>
        </is>
      </c>
      <c r="D9069" s="2" t="inlineStr">
        <is>
          <t>005940</t>
        </is>
      </c>
      <c r="E9069" s="3" t="inlineStr">
        <is>
          <t>투자설명서(일괄신고)</t>
        </is>
      </c>
      <c r="F9069" s="3" t="inlineStr">
        <is>
          <t>NH투자증권</t>
        </is>
      </c>
      <c r="G9069" s="2" t="inlineStr">
        <is>
          <t>20260601000046</t>
        </is>
      </c>
      <c r="H9069" s="8">
        <f>HYPERLINK("https://dart.fss.or.kr/dsaf001/main.do?rcpNo=20260601000046", "공시열람")</f>
        <v/>
      </c>
    </row>
    <row r="9070">
      <c r="A9070" s="2" t="inlineStr">
        <is>
          <t>2026-06-01</t>
        </is>
      </c>
      <c r="B9070" s="3" t="inlineStr">
        <is>
          <t>대한제강</t>
        </is>
      </c>
      <c r="C9070" s="2" t="inlineStr">
        <is>
          <t>코스피</t>
        </is>
      </c>
      <c r="D9070" s="2" t="inlineStr">
        <is>
          <t>084010</t>
        </is>
      </c>
      <c r="E9070" s="3" t="inlineStr">
        <is>
          <t xml:space="preserve">기업지배구조보고서공시              </t>
        </is>
      </c>
      <c r="F9070" s="3" t="inlineStr">
        <is>
          <t>대한제강</t>
        </is>
      </c>
      <c r="G9070" s="2" t="inlineStr">
        <is>
          <t>20260601800038</t>
        </is>
      </c>
      <c r="H9070" s="8">
        <f>HYPERLINK("https://dart.fss.or.kr/dsaf001/main.do?rcpNo=20260601800038", "공시열람")</f>
        <v/>
      </c>
    </row>
    <row r="9071">
      <c r="A9071" s="2" t="inlineStr">
        <is>
          <t>2026-06-01</t>
        </is>
      </c>
      <c r="B9071" s="3" t="inlineStr">
        <is>
          <t>티비에이치글로벌</t>
        </is>
      </c>
      <c r="C9071" s="2" t="inlineStr">
        <is>
          <t>코스피</t>
        </is>
      </c>
      <c r="D9071" s="2" t="inlineStr">
        <is>
          <t>084870</t>
        </is>
      </c>
      <c r="E9071" s="3" t="inlineStr">
        <is>
          <t xml:space="preserve">기업지배구조보고서공시              </t>
        </is>
      </c>
      <c r="F9071" s="3" t="inlineStr">
        <is>
          <t>티비에이치글로벌</t>
        </is>
      </c>
      <c r="G9071" s="2" t="inlineStr">
        <is>
          <t>20260601800140</t>
        </is>
      </c>
      <c r="H9071" s="8">
        <f>HYPERLINK("https://dart.fss.or.kr/dsaf001/main.do?rcpNo=20260601800140", "공시열람")</f>
        <v/>
      </c>
    </row>
    <row r="9072">
      <c r="A9072" s="2" t="inlineStr">
        <is>
          <t>2026-06-01</t>
        </is>
      </c>
      <c r="B9072" s="3" t="inlineStr">
        <is>
          <t>현대건설</t>
        </is>
      </c>
      <c r="C9072" s="2" t="inlineStr">
        <is>
          <t>코스피</t>
        </is>
      </c>
      <c r="D9072" s="2" t="inlineStr">
        <is>
          <t>000720</t>
        </is>
      </c>
      <c r="E9072" s="3" t="inlineStr">
        <is>
          <t xml:space="preserve">투자판단관련주요경영사항              </t>
        </is>
      </c>
      <c r="F9072" s="3" t="inlineStr">
        <is>
          <t>현대건설</t>
        </is>
      </c>
      <c r="G9072" s="2" t="inlineStr">
        <is>
          <t>20260601800132</t>
        </is>
      </c>
      <c r="H9072" s="8">
        <f>HYPERLINK("https://dart.fss.or.kr/dsaf001/main.do?rcpNo=20260601800132", "공시열람")</f>
        <v/>
      </c>
    </row>
    <row r="9073">
      <c r="A9073" s="2" t="inlineStr">
        <is>
          <t>2026-06-01</t>
        </is>
      </c>
      <c r="B9073" s="3" t="inlineStr">
        <is>
          <t>NH투자증권</t>
        </is>
      </c>
      <c r="C9073" s="2" t="inlineStr">
        <is>
          <t>코스피</t>
        </is>
      </c>
      <c r="D9073" s="2" t="inlineStr">
        <is>
          <t>005940</t>
        </is>
      </c>
      <c r="E9073" s="3" t="inlineStr">
        <is>
          <t>일괄신고추가서류(파생결합사채-주가연계파생결합사채)</t>
        </is>
      </c>
      <c r="F9073" s="3" t="inlineStr">
        <is>
          <t>NH투자증권</t>
        </is>
      </c>
      <c r="G9073" s="2" t="inlineStr">
        <is>
          <t>20260601000039</t>
        </is>
      </c>
      <c r="H9073" s="8">
        <f>HYPERLINK("https://dart.fss.or.kr/dsaf001/main.do?rcpNo=20260601000039", "공시열람")</f>
        <v/>
      </c>
    </row>
    <row r="9074">
      <c r="A9074" s="2" t="inlineStr">
        <is>
          <t>2026-06-01</t>
        </is>
      </c>
      <c r="B9074" s="3" t="inlineStr">
        <is>
          <t>대창단조</t>
        </is>
      </c>
      <c r="C9074" s="2" t="inlineStr">
        <is>
          <t>코스피</t>
        </is>
      </c>
      <c r="D9074" s="2" t="inlineStr">
        <is>
          <t>015230</t>
        </is>
      </c>
      <c r="E9074" s="3" t="inlineStr">
        <is>
          <t>임원ㆍ주요주주특정증권등소유상황보고서</t>
        </is>
      </c>
      <c r="F9074" s="3" t="inlineStr">
        <is>
          <t>박권일</t>
        </is>
      </c>
      <c r="G9074" s="2" t="inlineStr">
        <is>
          <t>20260601000034</t>
        </is>
      </c>
      <c r="H9074" s="8">
        <f>HYPERLINK("https://dart.fss.or.kr/dsaf001/main.do?rcpNo=20260601000034", "공시열람")</f>
        <v/>
      </c>
    </row>
    <row r="9075">
      <c r="A9075" s="2" t="inlineStr">
        <is>
          <t>2026-06-01</t>
        </is>
      </c>
      <c r="B9075" s="3" t="inlineStr">
        <is>
          <t>두산에너빌리티</t>
        </is>
      </c>
      <c r="C9075" s="2" t="inlineStr">
        <is>
          <t>코스피</t>
        </is>
      </c>
      <c r="D9075" s="2" t="inlineStr">
        <is>
          <t>034020</t>
        </is>
      </c>
      <c r="E9075" s="3" t="inlineStr">
        <is>
          <t xml:space="preserve">기업지배구조보고서공시              </t>
        </is>
      </c>
      <c r="F9075" s="3" t="inlineStr">
        <is>
          <t>두산에너빌리티</t>
        </is>
      </c>
      <c r="G9075" s="2" t="inlineStr">
        <is>
          <t>20260601800137</t>
        </is>
      </c>
      <c r="H9075" s="8">
        <f>HYPERLINK("https://dart.fss.or.kr/dsaf001/main.do?rcpNo=20260601800137", "공시열람")</f>
        <v/>
      </c>
    </row>
    <row r="9076">
      <c r="A9076" s="2" t="inlineStr">
        <is>
          <t>2026-06-01</t>
        </is>
      </c>
      <c r="B9076" s="3" t="inlineStr">
        <is>
          <t>신세계</t>
        </is>
      </c>
      <c r="C9076" s="2" t="inlineStr">
        <is>
          <t>코스피</t>
        </is>
      </c>
      <c r="D9076" s="2" t="inlineStr">
        <is>
          <t>004170</t>
        </is>
      </c>
      <c r="E9076" s="3" t="inlineStr">
        <is>
          <t>투자설명서</t>
        </is>
      </c>
      <c r="F9076" s="3" t="inlineStr">
        <is>
          <t>신세계</t>
        </is>
      </c>
      <c r="G9076" s="2" t="inlineStr">
        <is>
          <t>20260601000027</t>
        </is>
      </c>
      <c r="H9076" s="8">
        <f>HYPERLINK("https://dart.fss.or.kr/dsaf001/main.do?rcpNo=20260601000027", "공시열람")</f>
        <v/>
      </c>
    </row>
    <row r="9077">
      <c r="A9077" s="2" t="inlineStr">
        <is>
          <t>2026-06-01</t>
        </is>
      </c>
      <c r="B9077" s="3" t="inlineStr">
        <is>
          <t>모델솔루션</t>
        </is>
      </c>
      <c r="C9077" s="2" t="inlineStr">
        <is>
          <t>코스닥</t>
        </is>
      </c>
      <c r="D9077" s="2" t="inlineStr">
        <is>
          <t>417970</t>
        </is>
      </c>
      <c r="E9077" s="3" t="inlineStr">
        <is>
          <t>대규모기업집단현황공시[연1회공시및1/4분기용(개별회사)]</t>
        </is>
      </c>
      <c r="F9077" s="3" t="inlineStr">
        <is>
          <t>모델솔루션</t>
        </is>
      </c>
      <c r="G9077" s="2" t="inlineStr">
        <is>
          <t>20260601000022</t>
        </is>
      </c>
      <c r="H9077" s="8">
        <f>HYPERLINK("https://dart.fss.or.kr/dsaf001/main.do?rcpNo=20260601000022", "공시열람")</f>
        <v/>
      </c>
    </row>
    <row r="9078">
      <c r="A9078" s="2" t="inlineStr">
        <is>
          <t>2026-06-01</t>
        </is>
      </c>
      <c r="B9078" s="3" t="inlineStr">
        <is>
          <t>KG모빌리티</t>
        </is>
      </c>
      <c r="C9078" s="2" t="inlineStr">
        <is>
          <t>코스피</t>
        </is>
      </c>
      <c r="D9078" s="2" t="inlineStr">
        <is>
          <t>003620</t>
        </is>
      </c>
      <c r="E9078" s="3" t="inlineStr">
        <is>
          <t xml:space="preserve">기업지배구조보고서공시              </t>
        </is>
      </c>
      <c r="F9078" s="3" t="inlineStr">
        <is>
          <t>KG모빌리티</t>
        </is>
      </c>
      <c r="G9078" s="2" t="inlineStr">
        <is>
          <t>20260601800118</t>
        </is>
      </c>
      <c r="H9078" s="8">
        <f>HYPERLINK("https://dart.fss.or.kr/dsaf001/main.do?rcpNo=20260601800118", "공시열람")</f>
        <v/>
      </c>
    </row>
    <row r="9079">
      <c r="A9079" s="2" t="inlineStr">
        <is>
          <t>2026-06-01</t>
        </is>
      </c>
      <c r="B9079" s="3" t="inlineStr">
        <is>
          <t>동화기업</t>
        </is>
      </c>
      <c r="C9079" s="2" t="inlineStr">
        <is>
          <t>코스닥</t>
        </is>
      </c>
      <c r="D9079" s="2" t="inlineStr">
        <is>
          <t>025900</t>
        </is>
      </c>
      <c r="E9079" s="3" t="inlineStr">
        <is>
          <t>투자설명서</t>
        </is>
      </c>
      <c r="F9079" s="3" t="inlineStr">
        <is>
          <t>동화기업</t>
        </is>
      </c>
      <c r="G9079" s="2" t="inlineStr">
        <is>
          <t>20260601000017</t>
        </is>
      </c>
      <c r="H9079" s="8">
        <f>HYPERLINK("https://dart.fss.or.kr/dsaf001/main.do?rcpNo=20260601000017", "공시열람")</f>
        <v/>
      </c>
    </row>
    <row r="9080">
      <c r="A9080" s="2" t="inlineStr">
        <is>
          <t>2026-06-01</t>
        </is>
      </c>
      <c r="B9080" s="3" t="inlineStr">
        <is>
          <t>부산산업</t>
        </is>
      </c>
      <c r="C9080" s="2" t="inlineStr">
        <is>
          <t>코스피</t>
        </is>
      </c>
      <c r="D9080" s="2" t="inlineStr">
        <is>
          <t>011390</t>
        </is>
      </c>
      <c r="E9080" s="3" t="inlineStr">
        <is>
          <t>기업지배구조보고서공시</t>
        </is>
      </c>
      <c r="F9080" s="3" t="inlineStr">
        <is>
          <t>부산산업</t>
        </is>
      </c>
      <c r="G9080" s="2" t="inlineStr">
        <is>
          <t>20260601800079</t>
        </is>
      </c>
      <c r="H9080" s="8">
        <f>HYPERLINK("https://dart.fss.or.kr/dsaf001/main.do?rcpNo=20260601800079", "공시열람")</f>
        <v/>
      </c>
    </row>
    <row r="9081">
      <c r="A9081" s="2" t="inlineStr">
        <is>
          <t>2026-06-01</t>
        </is>
      </c>
      <c r="B9081" s="3" t="inlineStr">
        <is>
          <t>한미사이언스</t>
        </is>
      </c>
      <c r="C9081" s="2" t="inlineStr">
        <is>
          <t>코스피</t>
        </is>
      </c>
      <c r="D9081" s="2" t="inlineStr">
        <is>
          <t>008930</t>
        </is>
      </c>
      <c r="E9081" s="3" t="inlineStr">
        <is>
          <t>투자판단관련주요경영사항(자회사의 주요경영사항)              (소네페글루타이드 (Sonefpeglutide; LAPS GLP2 agonist; HM15912) 기술이전 계약 체결)</t>
        </is>
      </c>
      <c r="F9081" s="3" t="inlineStr">
        <is>
          <t>한미사이언스</t>
        </is>
      </c>
      <c r="G9081" s="2" t="inlineStr">
        <is>
          <t>20260601800024</t>
        </is>
      </c>
      <c r="H9081" s="8">
        <f>HYPERLINK("https://dart.fss.or.kr/dsaf001/main.do?rcpNo=20260601800024", "공시열람")</f>
        <v/>
      </c>
    </row>
    <row r="9082">
      <c r="A9082" s="2" t="inlineStr">
        <is>
          <t>2026-06-01</t>
        </is>
      </c>
      <c r="B9082" s="3" t="inlineStr">
        <is>
          <t>한미약품</t>
        </is>
      </c>
      <c r="C9082" s="2" t="inlineStr">
        <is>
          <t>코스피</t>
        </is>
      </c>
      <c r="D9082" s="2" t="inlineStr">
        <is>
          <t>128940</t>
        </is>
      </c>
      <c r="E9082" s="3" t="inlineStr">
        <is>
          <t>투자판단관련주요경영사항              (소네페글루타이드 (Sonefpeglutide; LAPS GLP2 agonist; HM15912) 기술이전 계약 체결)</t>
        </is>
      </c>
      <c r="F9082" s="3" t="inlineStr">
        <is>
          <t>한미약품</t>
        </is>
      </c>
      <c r="G9082" s="2" t="inlineStr">
        <is>
          <t>20260601800011</t>
        </is>
      </c>
      <c r="H9082" s="8">
        <f>HYPERLINK("https://dart.fss.or.kr/dsaf001/main.do?rcpNo=20260601800011", "공시열람")</f>
        <v/>
      </c>
    </row>
    <row r="9083">
      <c r="A9083" s="2" t="inlineStr">
        <is>
          <t>2026-06-01</t>
        </is>
      </c>
      <c r="B9083" s="3" t="inlineStr">
        <is>
          <t>삼성전자</t>
        </is>
      </c>
      <c r="C9083" s="2" t="inlineStr">
        <is>
          <t>코스피</t>
        </is>
      </c>
      <c r="D9083" s="2" t="inlineStr">
        <is>
          <t>005930</t>
        </is>
      </c>
      <c r="E9083" s="3" t="inlineStr">
        <is>
          <t>임원ㆍ주요주주특정증권등소유상황보고서</t>
        </is>
      </c>
      <c r="F9083" s="3" t="inlineStr">
        <is>
          <t>하지훈</t>
        </is>
      </c>
      <c r="G9083" s="2" t="inlineStr">
        <is>
          <t>20260601000001</t>
        </is>
      </c>
      <c r="H9083" s="8">
        <f>HYPERLINK("https://dart.fss.or.kr/dsaf001/main.do?rcpNo=20260601000001", "공시열람")</f>
        <v/>
      </c>
    </row>
    <row r="9084">
      <c r="A9084" s="2" t="inlineStr">
        <is>
          <t>2026-06-02</t>
        </is>
      </c>
      <c r="B9084" s="3" t="inlineStr">
        <is>
          <t>한국첨단소재</t>
        </is>
      </c>
      <c r="C9084" s="2" t="inlineStr">
        <is>
          <t>코스닥</t>
        </is>
      </c>
      <c r="D9084" s="2" t="inlineStr">
        <is>
          <t>062970</t>
        </is>
      </c>
      <c r="E9084" s="3" t="inlineStr">
        <is>
          <t xml:space="preserve">타법인주식및출자증권취득결정              </t>
        </is>
      </c>
      <c r="F9084" s="3" t="inlineStr">
        <is>
          <t>한국첨단소재</t>
        </is>
      </c>
      <c r="G9084" s="2" t="inlineStr">
        <is>
          <t>20260602900924</t>
        </is>
      </c>
      <c r="H9084" s="8">
        <f>HYPERLINK("https://dart.fss.or.kr/dsaf001/main.do?rcpNo=20260602900924", "공시열람")</f>
        <v/>
      </c>
    </row>
    <row r="9085">
      <c r="A9085" s="2" t="inlineStr">
        <is>
          <t>2026-06-02</t>
        </is>
      </c>
      <c r="B9085" s="3" t="inlineStr">
        <is>
          <t>부광약품</t>
        </is>
      </c>
      <c r="C9085" s="2" t="inlineStr">
        <is>
          <t>코스피</t>
        </is>
      </c>
      <c r="D9085" s="2" t="inlineStr">
        <is>
          <t>003000</t>
        </is>
      </c>
      <c r="E9085" s="3" t="inlineStr">
        <is>
          <t>투자판단관련주요경영사항              ((라투다정의 추가 적응증 3상 임상시험계획(IND) 승인)</t>
        </is>
      </c>
      <c r="F9085" s="3" t="inlineStr">
        <is>
          <t>부광약품</t>
        </is>
      </c>
      <c r="G9085" s="2" t="inlineStr">
        <is>
          <t>20260602800918</t>
        </is>
      </c>
      <c r="H9085" s="8">
        <f>HYPERLINK("https://dart.fss.or.kr/dsaf001/main.do?rcpNo=20260602800918", "공시열람")</f>
        <v/>
      </c>
    </row>
    <row r="9086">
      <c r="A9086" s="2" t="inlineStr">
        <is>
          <t>2026-06-02</t>
        </is>
      </c>
      <c r="B9086" s="3" t="inlineStr">
        <is>
          <t>하이드로리튬</t>
        </is>
      </c>
      <c r="C9086" s="2" t="inlineStr">
        <is>
          <t>코스닥</t>
        </is>
      </c>
      <c r="D9086" s="2" t="inlineStr">
        <is>
          <t>101670</t>
        </is>
      </c>
      <c r="E9086" s="3" t="inlineStr">
        <is>
          <t xml:space="preserve">소송등의제기ㆍ신청(일정금액이상의청구)              </t>
        </is>
      </c>
      <c r="F9086" s="3" t="inlineStr">
        <is>
          <t>하이드로리튬</t>
        </is>
      </c>
      <c r="G9086" s="2" t="inlineStr">
        <is>
          <t>20260602900867</t>
        </is>
      </c>
      <c r="H9086" s="8">
        <f>HYPERLINK("https://dart.fss.or.kr/dsaf001/main.do?rcpNo=20260602900867", "공시열람")</f>
        <v/>
      </c>
    </row>
    <row r="9087">
      <c r="A9087" s="2" t="inlineStr">
        <is>
          <t>2026-06-02</t>
        </is>
      </c>
      <c r="B9087" s="3" t="inlineStr">
        <is>
          <t>나노실리칸첨단소재</t>
        </is>
      </c>
      <c r="C9087" s="2" t="inlineStr">
        <is>
          <t>코스닥</t>
        </is>
      </c>
      <c r="D9087" s="2" t="inlineStr">
        <is>
          <t>286750</t>
        </is>
      </c>
      <c r="E9087" s="3" t="inlineStr">
        <is>
          <t>주요사항보고서(자기전환사채매도결정)</t>
        </is>
      </c>
      <c r="F9087" s="3" t="inlineStr">
        <is>
          <t>나노실리칸첨단소재</t>
        </is>
      </c>
      <c r="G9087" s="2" t="inlineStr">
        <is>
          <t>20260602000569</t>
        </is>
      </c>
      <c r="H9087" s="8">
        <f>HYPERLINK("https://dart.fss.or.kr/dsaf001/main.do?rcpNo=20260602000569", "공시열람")</f>
        <v/>
      </c>
    </row>
    <row r="9088">
      <c r="A9088" s="2" t="inlineStr">
        <is>
          <t>2026-06-02</t>
        </is>
      </c>
      <c r="B9088" s="3" t="inlineStr">
        <is>
          <t>비덴트</t>
        </is>
      </c>
      <c r="C9088" s="2" t="inlineStr">
        <is>
          <t>코스닥</t>
        </is>
      </c>
      <c r="D9088" s="2" t="inlineStr">
        <is>
          <t>121800</t>
        </is>
      </c>
      <c r="E9088" s="3" t="inlineStr">
        <is>
          <t>주권매매거래정지기간변경              (상장폐지사유 발생)</t>
        </is>
      </c>
      <c r="F9088" s="3" t="inlineStr">
        <is>
          <t>코스닥시장본부</t>
        </is>
      </c>
      <c r="G9088" s="2" t="inlineStr">
        <is>
          <t>20260602900871</t>
        </is>
      </c>
      <c r="H9088" s="8">
        <f>HYPERLINK("https://dart.fss.or.kr/dsaf001/main.do?rcpNo=20260602900871", "공시열람")</f>
        <v/>
      </c>
    </row>
    <row r="9089">
      <c r="A9089" s="2" t="inlineStr">
        <is>
          <t>2026-06-02</t>
        </is>
      </c>
      <c r="B9089" s="3" t="inlineStr">
        <is>
          <t>광명전기</t>
        </is>
      </c>
      <c r="C9089" s="2" t="inlineStr">
        <is>
          <t>코스피</t>
        </is>
      </c>
      <c r="D9089" s="2" t="inlineStr">
        <is>
          <t>017040</t>
        </is>
      </c>
      <c r="E9089" s="3" t="inlineStr">
        <is>
          <t xml:space="preserve">소송등의판결ㆍ결정              </t>
        </is>
      </c>
      <c r="F9089" s="3" t="inlineStr">
        <is>
          <t>광명전기</t>
        </is>
      </c>
      <c r="G9089" s="2" t="inlineStr">
        <is>
          <t>20260602800852</t>
        </is>
      </c>
      <c r="H9089" s="8">
        <f>HYPERLINK("https://dart.fss.or.kr/dsaf001/main.do?rcpNo=20260602800852", "공시열람")</f>
        <v/>
      </c>
    </row>
    <row r="9090">
      <c r="A9090" s="2" t="inlineStr">
        <is>
          <t>2026-06-02</t>
        </is>
      </c>
      <c r="B9090" s="3" t="inlineStr">
        <is>
          <t>휴림로봇</t>
        </is>
      </c>
      <c r="C9090" s="2" t="inlineStr">
        <is>
          <t>코스닥</t>
        </is>
      </c>
      <c r="D9090" s="2" t="inlineStr">
        <is>
          <t>090710</t>
        </is>
      </c>
      <c r="E9090" s="3" t="inlineStr">
        <is>
          <t>유상증자또는주식관련사채등의청약결과(자율공시)              (일반공모증자-소액공모)</t>
        </is>
      </c>
      <c r="F9090" s="3" t="inlineStr">
        <is>
          <t>휴림로봇</t>
        </is>
      </c>
      <c r="G9090" s="2" t="inlineStr">
        <is>
          <t>20260602900826</t>
        </is>
      </c>
      <c r="H9090" s="8">
        <f>HYPERLINK("https://dart.fss.or.kr/dsaf001/main.do?rcpNo=20260602900826", "공시열람")</f>
        <v/>
      </c>
    </row>
    <row r="9091">
      <c r="A9091" s="2" t="inlineStr">
        <is>
          <t>2026-06-02</t>
        </is>
      </c>
      <c r="B9091" s="3" t="inlineStr">
        <is>
          <t>비덴트</t>
        </is>
      </c>
      <c r="C9091" s="2" t="inlineStr">
        <is>
          <t>코스닥</t>
        </is>
      </c>
      <c r="D9091" s="2" t="inlineStr">
        <is>
          <t>121800</t>
        </is>
      </c>
      <c r="E9091" s="3" t="inlineStr">
        <is>
          <t>기타시장안내              (코스닥시장위원회 심의·의결 결과 등 안내)</t>
        </is>
      </c>
      <c r="F9091" s="3" t="inlineStr">
        <is>
          <t>코스닥시장본부</t>
        </is>
      </c>
      <c r="G9091" s="2" t="inlineStr">
        <is>
          <t>20260602900859</t>
        </is>
      </c>
      <c r="H9091" s="8">
        <f>HYPERLINK("https://dart.fss.or.kr/dsaf001/main.do?rcpNo=20260602900859", "공시열람")</f>
        <v/>
      </c>
    </row>
    <row r="9092">
      <c r="A9092" s="2" t="inlineStr">
        <is>
          <t>2026-06-02</t>
        </is>
      </c>
      <c r="B9092" s="3" t="inlineStr">
        <is>
          <t>KG케미칼</t>
        </is>
      </c>
      <c r="C9092" s="2" t="inlineStr">
        <is>
          <t>코스피</t>
        </is>
      </c>
      <c r="D9092" s="2" t="inlineStr">
        <is>
          <t>001390</t>
        </is>
      </c>
      <c r="E9092" s="3" t="inlineStr">
        <is>
          <t xml:space="preserve">기업설명회(IR)개최(안내공시)              </t>
        </is>
      </c>
      <c r="F9092" s="3" t="inlineStr">
        <is>
          <t>KG케미칼</t>
        </is>
      </c>
      <c r="G9092" s="2" t="inlineStr">
        <is>
          <t>20260602800864</t>
        </is>
      </c>
      <c r="H9092" s="8">
        <f>HYPERLINK("https://dart.fss.or.kr/dsaf001/main.do?rcpNo=20260602800864", "공시열람")</f>
        <v/>
      </c>
    </row>
    <row r="9093">
      <c r="A9093" s="2" t="inlineStr">
        <is>
          <t>2026-06-02</t>
        </is>
      </c>
      <c r="B9093" s="3" t="inlineStr">
        <is>
          <t>달바글로벌</t>
        </is>
      </c>
      <c r="C9093" s="2" t="inlineStr">
        <is>
          <t>코스피</t>
        </is>
      </c>
      <c r="D9093" s="2" t="inlineStr">
        <is>
          <t>483650</t>
        </is>
      </c>
      <c r="E9093" s="3" t="inlineStr">
        <is>
          <t>주식매수선택권부여에관한신고</t>
        </is>
      </c>
      <c r="F9093" s="3" t="inlineStr">
        <is>
          <t>달바글로벌</t>
        </is>
      </c>
      <c r="G9093" s="2" t="inlineStr">
        <is>
          <t>20260602000564</t>
        </is>
      </c>
      <c r="H9093" s="8">
        <f>HYPERLINK("https://dart.fss.or.kr/dsaf001/main.do?rcpNo=20260602000564", "공시열람")</f>
        <v/>
      </c>
    </row>
    <row r="9094">
      <c r="A9094" s="2" t="inlineStr">
        <is>
          <t>2026-06-02 (정정: 2026-06-10)</t>
        </is>
      </c>
      <c r="B9094" s="3" t="inlineStr">
        <is>
          <t>온코닉테라퓨틱스</t>
        </is>
      </c>
      <c r="C9094" s="2" t="inlineStr">
        <is>
          <t>코스닥</t>
        </is>
      </c>
      <c r="D9094" s="2" t="inlineStr">
        <is>
          <t>476060</t>
        </is>
      </c>
      <c r="E9094" s="3" t="inlineStr">
        <is>
          <t>투자판단관련주요경영사항(임상시험계획변경승인)              (자큐보구강붕해정(JLP-2302)의 비위관투여 시 약동학 및 안전성 비교 평가를 위한 제1상 임상시험계획승인(변경승인)) (정정: 20260610)</t>
        </is>
      </c>
      <c r="F9094" s="3" t="inlineStr">
        <is>
          <t>온코닉테라퓨틱스</t>
        </is>
      </c>
      <c r="G9094" s="2" t="inlineStr">
        <is>
          <t>20260610900586</t>
        </is>
      </c>
      <c r="H9094" s="8">
        <f>HYPERLINK("https://dart.fss.or.kr/dsaf001/main.do?rcpNo=20260610900586", "공시열람")</f>
        <v/>
      </c>
    </row>
    <row r="9095">
      <c r="A9095" s="2" t="inlineStr">
        <is>
          <t>2026-06-02</t>
        </is>
      </c>
      <c r="B9095" s="3" t="inlineStr">
        <is>
          <t>엠앤씨솔루션</t>
        </is>
      </c>
      <c r="C9095" s="2" t="inlineStr">
        <is>
          <t>코스피</t>
        </is>
      </c>
      <c r="D9095" s="2" t="inlineStr">
        <is>
          <t>484870</t>
        </is>
      </c>
      <c r="E9095" s="3" t="inlineStr">
        <is>
          <t xml:space="preserve">기업설명회(IR)개최(안내공시)              </t>
        </is>
      </c>
      <c r="F9095" s="3" t="inlineStr">
        <is>
          <t>엠앤씨솔루션</t>
        </is>
      </c>
      <c r="G9095" s="2" t="inlineStr">
        <is>
          <t>20260602800827</t>
        </is>
      </c>
      <c r="H9095" s="8">
        <f>HYPERLINK("https://dart.fss.or.kr/dsaf001/main.do?rcpNo=20260602800827", "공시열람")</f>
        <v/>
      </c>
    </row>
    <row r="9096">
      <c r="A9096" s="2" t="inlineStr">
        <is>
          <t>2026-06-02</t>
        </is>
      </c>
      <c r="B9096" s="3" t="inlineStr">
        <is>
          <t>하나마이크론</t>
        </is>
      </c>
      <c r="C9096" s="2" t="inlineStr">
        <is>
          <t>코스닥</t>
        </is>
      </c>
      <c r="D9096" s="2" t="inlineStr">
        <is>
          <t>067310</t>
        </is>
      </c>
      <c r="E9096" s="3" t="inlineStr">
        <is>
          <t>임원ㆍ주요주주특정증권등소유상황보고서</t>
        </is>
      </c>
      <c r="F9096" s="3" t="inlineStr">
        <is>
          <t>김진석</t>
        </is>
      </c>
      <c r="G9096" s="2" t="inlineStr">
        <is>
          <t>20260602000559</t>
        </is>
      </c>
      <c r="H9096" s="8">
        <f>HYPERLINK("https://dart.fss.or.kr/dsaf001/main.do?rcpNo=20260602000559", "공시열람")</f>
        <v/>
      </c>
    </row>
    <row r="9097">
      <c r="A9097" s="2" t="inlineStr">
        <is>
          <t>2026-06-02</t>
        </is>
      </c>
      <c r="B9097" s="3" t="inlineStr">
        <is>
          <t>KG스틸</t>
        </is>
      </c>
      <c r="C9097" s="2" t="inlineStr">
        <is>
          <t>코스피</t>
        </is>
      </c>
      <c r="D9097" s="2" t="inlineStr">
        <is>
          <t>016380</t>
        </is>
      </c>
      <c r="E9097" s="3" t="inlineStr">
        <is>
          <t xml:space="preserve">기업설명회(IR)개최(안내공시)              </t>
        </is>
      </c>
      <c r="F9097" s="3" t="inlineStr">
        <is>
          <t>KG스틸</t>
        </is>
      </c>
      <c r="G9097" s="2" t="inlineStr">
        <is>
          <t>20260602800846</t>
        </is>
      </c>
      <c r="H9097" s="8">
        <f>HYPERLINK("https://dart.fss.or.kr/dsaf001/main.do?rcpNo=20260602800846", "공시열람")</f>
        <v/>
      </c>
    </row>
    <row r="9098">
      <c r="A9098" s="2" t="inlineStr">
        <is>
          <t>2026-06-02</t>
        </is>
      </c>
      <c r="B9098" s="3" t="inlineStr">
        <is>
          <t>솔루믹스</t>
        </is>
      </c>
      <c r="C9098" s="2" t="inlineStr">
        <is>
          <t>코넥스</t>
        </is>
      </c>
      <c r="D9098" s="2" t="inlineStr">
        <is>
          <t>238500</t>
        </is>
      </c>
      <c r="E9098" s="3" t="inlineStr">
        <is>
          <t>기타시장안내              (상장공시위원회 속개 결정 안내)</t>
        </is>
      </c>
      <c r="F9098" s="3" t="inlineStr">
        <is>
          <t>코넥스시장</t>
        </is>
      </c>
      <c r="G9098" s="2" t="inlineStr">
        <is>
          <t>20260602600837</t>
        </is>
      </c>
      <c r="H9098" s="8">
        <f>HYPERLINK("https://dart.fss.or.kr/dsaf001/main.do?rcpNo=20260602600837", "공시열람")</f>
        <v/>
      </c>
    </row>
    <row r="9099">
      <c r="A9099" s="2" t="inlineStr">
        <is>
          <t>2026-06-02</t>
        </is>
      </c>
      <c r="B9099" s="3" t="inlineStr">
        <is>
          <t>오건에코텍</t>
        </is>
      </c>
      <c r="C9099" s="2" t="inlineStr">
        <is>
          <t>코넥스</t>
        </is>
      </c>
      <c r="D9099" s="2" t="inlineStr">
        <is>
          <t>212310</t>
        </is>
      </c>
      <c r="E9099" s="3" t="inlineStr">
        <is>
          <t>기타시장안내              (상장공시위원회 속개 결정 안내)</t>
        </is>
      </c>
      <c r="F9099" s="3" t="inlineStr">
        <is>
          <t>코넥스시장</t>
        </is>
      </c>
      <c r="G9099" s="2" t="inlineStr">
        <is>
          <t>20260602600835</t>
        </is>
      </c>
      <c r="H9099" s="8">
        <f>HYPERLINK("https://dart.fss.or.kr/dsaf001/main.do?rcpNo=20260602600835", "공시열람")</f>
        <v/>
      </c>
    </row>
    <row r="9100">
      <c r="A9100" s="2" t="inlineStr">
        <is>
          <t>2026-06-02</t>
        </is>
      </c>
      <c r="B9100" s="3" t="inlineStr">
        <is>
          <t>KTcs</t>
        </is>
      </c>
      <c r="C9100" s="2" t="inlineStr">
        <is>
          <t>코스피</t>
        </is>
      </c>
      <c r="D9100" s="2" t="inlineStr">
        <is>
          <t>058850</t>
        </is>
      </c>
      <c r="E9100" s="3" t="inlineStr">
        <is>
          <t>임원ㆍ주요주주특정증권등소유상황보고서</t>
        </is>
      </c>
      <c r="F9100" s="3" t="inlineStr">
        <is>
          <t>신연수</t>
        </is>
      </c>
      <c r="G9100" s="2" t="inlineStr">
        <is>
          <t>20260602000552</t>
        </is>
      </c>
      <c r="H9100" s="8">
        <f>HYPERLINK("https://dart.fss.or.kr/dsaf001/main.do?rcpNo=20260602000552", "공시열람")</f>
        <v/>
      </c>
    </row>
    <row r="9101">
      <c r="A9101" s="2" t="inlineStr">
        <is>
          <t>2026-06-02</t>
        </is>
      </c>
      <c r="B9101" s="3" t="inlineStr">
        <is>
          <t>대산F&amp;B</t>
        </is>
      </c>
      <c r="C9101" s="2" t="inlineStr">
        <is>
          <t>코스닥</t>
        </is>
      </c>
      <c r="D9101" s="2" t="inlineStr">
        <is>
          <t>065150</t>
        </is>
      </c>
      <c r="E9101" s="3" t="inlineStr">
        <is>
          <t>기타시장안내              (개선기간 종료에 따른 상장폐지 여부 결정 안내 )</t>
        </is>
      </c>
      <c r="F9101" s="3" t="inlineStr">
        <is>
          <t>코스닥시장본부</t>
        </is>
      </c>
      <c r="G9101" s="2" t="inlineStr">
        <is>
          <t>20260602900845</t>
        </is>
      </c>
      <c r="H9101" s="8">
        <f>HYPERLINK("https://dart.fss.or.kr/dsaf001/main.do?rcpNo=20260602900845", "공시열람")</f>
        <v/>
      </c>
    </row>
    <row r="9102">
      <c r="A9102" s="2" t="inlineStr">
        <is>
          <t>2026-06-02 (정정: 2026-06-05)</t>
        </is>
      </c>
      <c r="B9102" s="3" t="inlineStr">
        <is>
          <t>제주반도체</t>
        </is>
      </c>
      <c r="C9102" s="2" t="inlineStr">
        <is>
          <t>코스닥</t>
        </is>
      </c>
      <c r="D9102" s="2" t="inlineStr">
        <is>
          <t>080220</t>
        </is>
      </c>
      <c r="E9102" s="3" t="inlineStr">
        <is>
          <t>의결권대리행사권유참고서류 (정정: 20260604) (정정: 20260605)</t>
        </is>
      </c>
      <c r="F9102" s="3" t="inlineStr">
        <is>
          <t>제주반도체</t>
        </is>
      </c>
      <c r="G9102" s="2" t="inlineStr">
        <is>
          <t>20260605000174</t>
        </is>
      </c>
      <c r="H9102" s="8">
        <f>HYPERLINK("https://dart.fss.or.kr/dsaf001/main.do?rcpNo=20260605000174", "공시열람")</f>
        <v/>
      </c>
    </row>
    <row r="9103">
      <c r="A9103" s="2" t="inlineStr">
        <is>
          <t>2026-06-02</t>
        </is>
      </c>
      <c r="B9103" s="3" t="inlineStr">
        <is>
          <t>사토시홀딩스</t>
        </is>
      </c>
      <c r="C9103" s="2" t="inlineStr">
        <is>
          <t>코스닥</t>
        </is>
      </c>
      <c r="D9103" s="2" t="inlineStr">
        <is>
          <t>223310</t>
        </is>
      </c>
      <c r="E9103" s="3" t="inlineStr">
        <is>
          <t xml:space="preserve">타법인주식및출자증권처분결정              </t>
        </is>
      </c>
      <c r="F9103" s="3" t="inlineStr">
        <is>
          <t>사토시홀딩스</t>
        </is>
      </c>
      <c r="G9103" s="2" t="inlineStr">
        <is>
          <t>20260602900830</t>
        </is>
      </c>
      <c r="H9103" s="8">
        <f>HYPERLINK("https://dart.fss.or.kr/dsaf001/main.do?rcpNo=20260602900830", "공시열람")</f>
        <v/>
      </c>
    </row>
    <row r="9104">
      <c r="A9104" s="2" t="inlineStr">
        <is>
          <t>2026-06-02</t>
        </is>
      </c>
      <c r="B9104" s="3" t="inlineStr">
        <is>
          <t>하나마이크론</t>
        </is>
      </c>
      <c r="C9104" s="2" t="inlineStr">
        <is>
          <t>코스닥</t>
        </is>
      </c>
      <c r="D9104" s="2" t="inlineStr">
        <is>
          <t>067310</t>
        </is>
      </c>
      <c r="E9104" s="3" t="inlineStr">
        <is>
          <t>임원ㆍ주요주주특정증권등소유상황보고서</t>
        </is>
      </c>
      <c r="F9104" s="3" t="inlineStr">
        <is>
          <t>최창호</t>
        </is>
      </c>
      <c r="G9104" s="2" t="inlineStr">
        <is>
          <t>20260602000545</t>
        </is>
      </c>
      <c r="H9104" s="8">
        <f>HYPERLINK("https://dart.fss.or.kr/dsaf001/main.do?rcpNo=20260602000545", "공시열람")</f>
        <v/>
      </c>
    </row>
    <row r="9105">
      <c r="A9105" s="2" t="inlineStr">
        <is>
          <t>2026-06-02</t>
        </is>
      </c>
      <c r="B9105" s="3" t="inlineStr">
        <is>
          <t>하나마이크론</t>
        </is>
      </c>
      <c r="C9105" s="2" t="inlineStr">
        <is>
          <t>코스닥</t>
        </is>
      </c>
      <c r="D9105" s="2" t="inlineStr">
        <is>
          <t>067310</t>
        </is>
      </c>
      <c r="E9105" s="3" t="inlineStr">
        <is>
          <t>임원ㆍ주요주주특정증권등소유상황보고서</t>
        </is>
      </c>
      <c r="F9105" s="3" t="inlineStr">
        <is>
          <t>이동철</t>
        </is>
      </c>
      <c r="G9105" s="2" t="inlineStr">
        <is>
          <t>20260602000539</t>
        </is>
      </c>
      <c r="H9105" s="8">
        <f>HYPERLINK("https://dart.fss.or.kr/dsaf001/main.do?rcpNo=20260602000539", "공시열람")</f>
        <v/>
      </c>
    </row>
    <row r="9106">
      <c r="A9106" s="2" t="inlineStr">
        <is>
          <t>2026-06-02</t>
        </is>
      </c>
      <c r="B9106" s="3" t="inlineStr">
        <is>
          <t>팡스카이</t>
        </is>
      </c>
      <c r="C9106" s="2" t="inlineStr">
        <is>
          <t>코넥스</t>
        </is>
      </c>
      <c r="D9106" s="2" t="inlineStr">
        <is>
          <t>266350</t>
        </is>
      </c>
      <c r="E9106" s="3" t="inlineStr">
        <is>
          <t>주권매매거래정지해제              (상장폐지에 따른 정리매매 개시)</t>
        </is>
      </c>
      <c r="F9106" s="3" t="inlineStr">
        <is>
          <t>코넥스시장</t>
        </is>
      </c>
      <c r="G9106" s="2" t="inlineStr">
        <is>
          <t>20260602600815</t>
        </is>
      </c>
      <c r="H9106" s="8">
        <f>HYPERLINK("https://dart.fss.or.kr/dsaf001/main.do?rcpNo=20260602600815", "공시열람")</f>
        <v/>
      </c>
    </row>
    <row r="9107">
      <c r="A9107" s="2" t="inlineStr">
        <is>
          <t>2026-06-02</t>
        </is>
      </c>
      <c r="B9107" s="3" t="inlineStr">
        <is>
          <t>디앤디플랫폼리츠</t>
        </is>
      </c>
      <c r="C9107" s="2" t="inlineStr">
        <is>
          <t>코스피</t>
        </is>
      </c>
      <c r="D9107" s="2" t="inlineStr">
        <is>
          <t>377190</t>
        </is>
      </c>
      <c r="E9107" s="3" t="inlineStr">
        <is>
          <t xml:space="preserve">감사보고서제출              </t>
        </is>
      </c>
      <c r="F9107" s="3" t="inlineStr">
        <is>
          <t>디앤디플랫폼리츠</t>
        </is>
      </c>
      <c r="G9107" s="2" t="inlineStr">
        <is>
          <t>20260602800820</t>
        </is>
      </c>
      <c r="H9107" s="8">
        <f>HYPERLINK("https://dart.fss.or.kr/dsaf001/main.do?rcpNo=20260602800820", "공시열람")</f>
        <v/>
      </c>
    </row>
    <row r="9108">
      <c r="A9108" s="2" t="inlineStr">
        <is>
          <t>2026-06-02</t>
        </is>
      </c>
      <c r="B9108" s="3" t="inlineStr">
        <is>
          <t>팡스카이</t>
        </is>
      </c>
      <c r="C9108" s="2" t="inlineStr">
        <is>
          <t>코넥스</t>
        </is>
      </c>
      <c r="D9108" s="2" t="inlineStr">
        <is>
          <t>266350</t>
        </is>
      </c>
      <c r="E9108" s="3" t="inlineStr">
        <is>
          <t>기타시장안내              (코넥스시장 상장공시위원회 심의 결과 등 안내 )</t>
        </is>
      </c>
      <c r="F9108" s="3" t="inlineStr">
        <is>
          <t>코넥스시장</t>
        </is>
      </c>
      <c r="G9108" s="2" t="inlineStr">
        <is>
          <t>20260602600812</t>
        </is>
      </c>
      <c r="H9108" s="8">
        <f>HYPERLINK("https://dart.fss.or.kr/dsaf001/main.do?rcpNo=20260602600812", "공시열람")</f>
        <v/>
      </c>
    </row>
    <row r="9109">
      <c r="A9109" s="2" t="inlineStr">
        <is>
          <t>2026-06-02</t>
        </is>
      </c>
      <c r="B9109" s="3" t="inlineStr">
        <is>
          <t>현대건설</t>
        </is>
      </c>
      <c r="C9109" s="2" t="inlineStr">
        <is>
          <t>코스피</t>
        </is>
      </c>
      <c r="D9109" s="2" t="inlineStr">
        <is>
          <t>000720</t>
        </is>
      </c>
      <c r="E9109" s="3" t="inlineStr">
        <is>
          <t xml:space="preserve">기업설명회(IR)개최(안내공시)              </t>
        </is>
      </c>
      <c r="F9109" s="3" t="inlineStr">
        <is>
          <t>현대건설</t>
        </is>
      </c>
      <c r="G9109" s="2" t="inlineStr">
        <is>
          <t>20260602800825</t>
        </is>
      </c>
      <c r="H9109" s="8">
        <f>HYPERLINK("https://dart.fss.or.kr/dsaf001/main.do?rcpNo=20260602800825", "공시열람")</f>
        <v/>
      </c>
    </row>
    <row r="9110">
      <c r="A9110" s="2" t="inlineStr">
        <is>
          <t>2026-06-02</t>
        </is>
      </c>
      <c r="B9110" s="3" t="inlineStr">
        <is>
          <t>하나금융지주</t>
        </is>
      </c>
      <c r="C9110" s="2" t="inlineStr">
        <is>
          <t>코스피</t>
        </is>
      </c>
      <c r="D9110" s="2" t="inlineStr">
        <is>
          <t>086790</t>
        </is>
      </c>
      <c r="E9110" s="3" t="inlineStr">
        <is>
          <t>임원ㆍ주요주주특정증권등소유상황보고서</t>
        </is>
      </c>
      <c r="F9110" s="3" t="inlineStr">
        <is>
          <t>박동문</t>
        </is>
      </c>
      <c r="G9110" s="2" t="inlineStr">
        <is>
          <t>20260602000524</t>
        </is>
      </c>
      <c r="H9110" s="8">
        <f>HYPERLINK("https://dart.fss.or.kr/dsaf001/main.do?rcpNo=20260602000524", "공시열람")</f>
        <v/>
      </c>
    </row>
    <row r="9111">
      <c r="A9111" s="2" t="inlineStr">
        <is>
          <t>2026-06-02 (정정: 2026-06-02)</t>
        </is>
      </c>
      <c r="B9111" s="3" t="inlineStr">
        <is>
          <t>동양</t>
        </is>
      </c>
      <c r="C9111" s="2" t="inlineStr">
        <is>
          <t>코스피</t>
        </is>
      </c>
      <c r="D9111" s="2" t="inlineStr">
        <is>
          <t>001520</t>
        </is>
      </c>
      <c r="E9111" s="3" t="inlineStr">
        <is>
          <t>임원ㆍ주요주주특정증권등소유상황보고서 (정정: 20260602)</t>
        </is>
      </c>
      <c r="F9111" s="3" t="inlineStr">
        <is>
          <t>황이석</t>
        </is>
      </c>
      <c r="G9111" s="2" t="inlineStr">
        <is>
          <t>20260602800736</t>
        </is>
      </c>
      <c r="H9111" s="8">
        <f>HYPERLINK("https://dart.fss.or.kr/dsaf001/main.do?rcpNo=20260602800736", "공시열람")</f>
        <v/>
      </c>
    </row>
    <row r="9112">
      <c r="A9112" s="2" t="inlineStr">
        <is>
          <t>2026-06-02</t>
        </is>
      </c>
      <c r="B9112" s="3" t="inlineStr">
        <is>
          <t>BNK금융지주</t>
        </is>
      </c>
      <c r="C9112" s="2" t="inlineStr">
        <is>
          <t>코스피</t>
        </is>
      </c>
      <c r="D9112" s="2" t="inlineStr">
        <is>
          <t>138930</t>
        </is>
      </c>
      <c r="E9112" s="3" t="inlineStr">
        <is>
          <t xml:space="preserve">횡령ㆍ배임사실확인(자회사의 주요경영사항)              </t>
        </is>
      </c>
      <c r="F9112" s="3" t="inlineStr">
        <is>
          <t>BNK금융지주</t>
        </is>
      </c>
      <c r="G9112" s="2" t="inlineStr">
        <is>
          <t>20260602800778</t>
        </is>
      </c>
      <c r="H9112" s="8">
        <f>HYPERLINK("https://dart.fss.or.kr/dsaf001/main.do?rcpNo=20260602800778", "공시열람")</f>
        <v/>
      </c>
    </row>
    <row r="9113">
      <c r="A9113" s="2" t="inlineStr">
        <is>
          <t>2026-06-02</t>
        </is>
      </c>
      <c r="B9113" s="3" t="inlineStr">
        <is>
          <t>DB손해보험</t>
        </is>
      </c>
      <c r="C9113" s="2" t="inlineStr">
        <is>
          <t>코스피</t>
        </is>
      </c>
      <c r="D9113" s="2" t="inlineStr">
        <is>
          <t>005830</t>
        </is>
      </c>
      <c r="E9113" s="3" t="inlineStr">
        <is>
          <t>[발행조건확정]증권신고서(채무증권)</t>
        </is>
      </c>
      <c r="F9113" s="3" t="inlineStr">
        <is>
          <t>DB손해보험</t>
        </is>
      </c>
      <c r="G9113" s="2" t="inlineStr">
        <is>
          <t>20260602000515</t>
        </is>
      </c>
      <c r="H9113" s="8">
        <f>HYPERLINK("https://dart.fss.or.kr/dsaf001/main.do?rcpNo=20260602000515", "공시열람")</f>
        <v/>
      </c>
    </row>
    <row r="9114">
      <c r="A9114" s="2" t="inlineStr">
        <is>
          <t>2026-06-02</t>
        </is>
      </c>
      <c r="B9114" s="3" t="inlineStr">
        <is>
          <t>나노실리칸첨단소재</t>
        </is>
      </c>
      <c r="C9114" s="2" t="inlineStr">
        <is>
          <t>코스닥</t>
        </is>
      </c>
      <c r="D9114" s="2" t="inlineStr">
        <is>
          <t>286750</t>
        </is>
      </c>
      <c r="E9114" s="3" t="inlineStr">
        <is>
          <t>전환사채(해외전환사채포함)발행후만기전사채취득              (제1회차 CB)</t>
        </is>
      </c>
      <c r="F9114" s="3" t="inlineStr">
        <is>
          <t>나노실리칸첨단소재</t>
        </is>
      </c>
      <c r="G9114" s="2" t="inlineStr">
        <is>
          <t>20260602900748</t>
        </is>
      </c>
      <c r="H9114" s="8">
        <f>HYPERLINK("https://dart.fss.or.kr/dsaf001/main.do?rcpNo=20260602900748", "공시열람")</f>
        <v/>
      </c>
    </row>
    <row r="9115">
      <c r="A9115" s="2" t="inlineStr">
        <is>
          <t>2026-06-02</t>
        </is>
      </c>
      <c r="B9115" s="3" t="inlineStr">
        <is>
          <t>동양</t>
        </is>
      </c>
      <c r="C9115" s="2" t="inlineStr">
        <is>
          <t>코스피</t>
        </is>
      </c>
      <c r="D9115" s="2" t="inlineStr">
        <is>
          <t>001520</t>
        </is>
      </c>
      <c r="E9115" s="3" t="inlineStr">
        <is>
          <t>임원ㆍ주요주주특정증권등소유상황보고서</t>
        </is>
      </c>
      <c r="F9115" s="3" t="inlineStr">
        <is>
          <t>조승범</t>
        </is>
      </c>
      <c r="G9115" s="2" t="inlineStr">
        <is>
          <t>20260602000511</t>
        </is>
      </c>
      <c r="H9115" s="8">
        <f>HYPERLINK("https://dart.fss.or.kr/dsaf001/main.do?rcpNo=20260602000511", "공시열람")</f>
        <v/>
      </c>
    </row>
    <row r="9116">
      <c r="A9116" s="2" t="inlineStr">
        <is>
          <t>2026-06-02</t>
        </is>
      </c>
      <c r="B9116" s="3" t="inlineStr">
        <is>
          <t>일정실업</t>
        </is>
      </c>
      <c r="C9116" s="2" t="inlineStr">
        <is>
          <t>코스피</t>
        </is>
      </c>
      <c r="D9116" s="2" t="inlineStr">
        <is>
          <t>008500</t>
        </is>
      </c>
      <c r="E9116" s="3" t="inlineStr">
        <is>
          <t xml:space="preserve">투자유의안내              </t>
        </is>
      </c>
      <c r="F9116" s="3" t="inlineStr">
        <is>
          <t>유가증권시장본부</t>
        </is>
      </c>
      <c r="G9116" s="2" t="inlineStr">
        <is>
          <t>20260602800783</t>
        </is>
      </c>
      <c r="H9116" s="8">
        <f>HYPERLINK("https://dart.fss.or.kr/dsaf001/main.do?rcpNo=20260602800783", "공시열람")</f>
        <v/>
      </c>
    </row>
    <row r="9117">
      <c r="A9117" s="2" t="inlineStr">
        <is>
          <t>2026-06-02</t>
        </is>
      </c>
      <c r="B9117" s="3" t="inlineStr">
        <is>
          <t>다우기술</t>
        </is>
      </c>
      <c r="C9117" s="2" t="inlineStr">
        <is>
          <t>코스피</t>
        </is>
      </c>
      <c r="D9117" s="2" t="inlineStr">
        <is>
          <t>023590</t>
        </is>
      </c>
      <c r="E9117" s="3" t="inlineStr">
        <is>
          <t xml:space="preserve">주주명부폐쇄기간또는기준일설정              </t>
        </is>
      </c>
      <c r="F9117" s="3" t="inlineStr">
        <is>
          <t>다우기술</t>
        </is>
      </c>
      <c r="G9117" s="2" t="inlineStr">
        <is>
          <t>20260602800760</t>
        </is>
      </c>
      <c r="H9117" s="8">
        <f>HYPERLINK("https://dart.fss.or.kr/dsaf001/main.do?rcpNo=20260602800760", "공시열람")</f>
        <v/>
      </c>
    </row>
    <row r="9118">
      <c r="A9118" s="2" t="inlineStr">
        <is>
          <t>2026-06-02</t>
        </is>
      </c>
      <c r="B9118" s="3" t="inlineStr">
        <is>
          <t>플라즈맵</t>
        </is>
      </c>
      <c r="C9118" s="2" t="inlineStr">
        <is>
          <t>코스닥</t>
        </is>
      </c>
      <c r="D9118" s="2" t="inlineStr">
        <is>
          <t>405000</t>
        </is>
      </c>
      <c r="E9118" s="3" t="inlineStr">
        <is>
          <t>임원ㆍ주요주주특정증권등소유상황보고서</t>
        </is>
      </c>
      <c r="F9118" s="3" t="inlineStr">
        <is>
          <t>임유봉</t>
        </is>
      </c>
      <c r="G9118" s="2" t="inlineStr">
        <is>
          <t>20260602000502</t>
        </is>
      </c>
      <c r="H9118" s="8">
        <f>HYPERLINK("https://dart.fss.or.kr/dsaf001/main.do?rcpNo=20260602000502", "공시열람")</f>
        <v/>
      </c>
    </row>
    <row r="9119">
      <c r="A9119" s="2" t="inlineStr">
        <is>
          <t>2026-06-02</t>
        </is>
      </c>
      <c r="B9119" s="3" t="inlineStr">
        <is>
          <t>한솔케미칼</t>
        </is>
      </c>
      <c r="C9119" s="2" t="inlineStr">
        <is>
          <t>코스피</t>
        </is>
      </c>
      <c r="D9119" s="2" t="inlineStr">
        <is>
          <t>014680</t>
        </is>
      </c>
      <c r="E9119" s="3" t="inlineStr">
        <is>
          <t>임원ㆍ주요주주특정증권등소유상황보고서</t>
        </is>
      </c>
      <c r="F9119" s="3" t="inlineStr">
        <is>
          <t>김진복</t>
        </is>
      </c>
      <c r="G9119" s="2" t="inlineStr">
        <is>
          <t>20260602000501</t>
        </is>
      </c>
      <c r="H9119" s="8">
        <f>HYPERLINK("https://dart.fss.or.kr/dsaf001/main.do?rcpNo=20260602000501", "공시열람")</f>
        <v/>
      </c>
    </row>
    <row r="9120">
      <c r="A9120" s="2" t="inlineStr">
        <is>
          <t>2026-06-02</t>
        </is>
      </c>
      <c r="B9120" s="3" t="inlineStr">
        <is>
          <t>이엔셀</t>
        </is>
      </c>
      <c r="C9120" s="2" t="inlineStr">
        <is>
          <t>코스닥</t>
        </is>
      </c>
      <c r="D9120" s="2" t="inlineStr">
        <is>
          <t>456070</t>
        </is>
      </c>
      <c r="E9120" s="3" t="inlineStr">
        <is>
          <t xml:space="preserve">기업설명회(IR)개최              </t>
        </is>
      </c>
      <c r="F9120" s="3" t="inlineStr">
        <is>
          <t>이엔셀</t>
        </is>
      </c>
      <c r="G9120" s="2" t="inlineStr">
        <is>
          <t>20260602900758</t>
        </is>
      </c>
      <c r="H9120" s="8">
        <f>HYPERLINK("https://dart.fss.or.kr/dsaf001/main.do?rcpNo=20260602900758", "공시열람")</f>
        <v/>
      </c>
    </row>
    <row r="9121">
      <c r="A9121" s="2" t="inlineStr">
        <is>
          <t>2026-06-02</t>
        </is>
      </c>
      <c r="B9121" s="3" t="inlineStr">
        <is>
          <t>KTcs</t>
        </is>
      </c>
      <c r="C9121" s="2" t="inlineStr">
        <is>
          <t>코스피</t>
        </is>
      </c>
      <c r="D9121" s="2" t="inlineStr">
        <is>
          <t>058850</t>
        </is>
      </c>
      <c r="E9121" s="3" t="inlineStr">
        <is>
          <t>임원ㆍ주요주주특정증권등소유상황보고서</t>
        </is>
      </c>
      <c r="F9121" s="3" t="inlineStr">
        <is>
          <t>조현민</t>
        </is>
      </c>
      <c r="G9121" s="2" t="inlineStr">
        <is>
          <t>20260602000500</t>
        </is>
      </c>
      <c r="H9121" s="8">
        <f>HYPERLINK("https://dart.fss.or.kr/dsaf001/main.do?rcpNo=20260602000500", "공시열람")</f>
        <v/>
      </c>
    </row>
    <row r="9122">
      <c r="A9122" s="2" t="inlineStr">
        <is>
          <t>2026-06-02</t>
        </is>
      </c>
      <c r="B9122" s="3" t="inlineStr">
        <is>
          <t>파두</t>
        </is>
      </c>
      <c r="C9122" s="2" t="inlineStr">
        <is>
          <t>코스닥</t>
        </is>
      </c>
      <c r="D9122" s="2" t="inlineStr">
        <is>
          <t>440110</t>
        </is>
      </c>
      <c r="E9122" s="3" t="inlineStr">
        <is>
          <t>임원ㆍ주요주주특정증권등소유상황보고서</t>
        </is>
      </c>
      <c r="F9122" s="3" t="inlineStr">
        <is>
          <t>정상용</t>
        </is>
      </c>
      <c r="G9122" s="2" t="inlineStr">
        <is>
          <t>20260602000499</t>
        </is>
      </c>
      <c r="H9122" s="8">
        <f>HYPERLINK("https://dart.fss.or.kr/dsaf001/main.do?rcpNo=20260602000499", "공시열람")</f>
        <v/>
      </c>
    </row>
    <row r="9123">
      <c r="A9123" s="2" t="inlineStr">
        <is>
          <t>2026-06-02</t>
        </is>
      </c>
      <c r="B9123" s="3" t="inlineStr">
        <is>
          <t>LG에너지솔루션</t>
        </is>
      </c>
      <c r="C9123" s="2" t="inlineStr">
        <is>
          <t>코스피</t>
        </is>
      </c>
      <c r="D9123" s="2" t="inlineStr">
        <is>
          <t>373220</t>
        </is>
      </c>
      <c r="E9123" s="3" t="inlineStr">
        <is>
          <t>임원ㆍ주요주주특정증권등소유상황보고서</t>
        </is>
      </c>
      <c r="F9123" s="3" t="inlineStr">
        <is>
          <t>이상현</t>
        </is>
      </c>
      <c r="G9123" s="2" t="inlineStr">
        <is>
          <t>20260602000497</t>
        </is>
      </c>
      <c r="H9123" s="8">
        <f>HYPERLINK("https://dart.fss.or.kr/dsaf001/main.do?rcpNo=20260602000497", "공시열람")</f>
        <v/>
      </c>
    </row>
    <row r="9124">
      <c r="A9124" s="2" t="inlineStr">
        <is>
          <t>2026-06-02</t>
        </is>
      </c>
      <c r="B9124" s="3" t="inlineStr">
        <is>
          <t>파라텍</t>
        </is>
      </c>
      <c r="C9124" s="2" t="inlineStr">
        <is>
          <t>코스닥</t>
        </is>
      </c>
      <c r="D9124" s="2" t="inlineStr">
        <is>
          <t>033540</t>
        </is>
      </c>
      <c r="E9124" s="3" t="inlineStr">
        <is>
          <t>임원ㆍ주요주주특정증권등소유상황보고서</t>
        </is>
      </c>
      <c r="F9124" s="3" t="inlineStr">
        <is>
          <t>김선복</t>
        </is>
      </c>
      <c r="G9124" s="2" t="inlineStr">
        <is>
          <t>20260602000493</t>
        </is>
      </c>
      <c r="H9124" s="8">
        <f>HYPERLINK("https://dart.fss.or.kr/dsaf001/main.do?rcpNo=20260602000493", "공시열람")</f>
        <v/>
      </c>
    </row>
    <row r="9125">
      <c r="A9125" s="2" t="inlineStr">
        <is>
          <t>2026-06-02</t>
        </is>
      </c>
      <c r="B9125" s="3" t="inlineStr">
        <is>
          <t>파라텍</t>
        </is>
      </c>
      <c r="C9125" s="2" t="inlineStr">
        <is>
          <t>코스닥</t>
        </is>
      </c>
      <c r="D9125" s="2" t="inlineStr">
        <is>
          <t>033540</t>
        </is>
      </c>
      <c r="E9125" s="3" t="inlineStr">
        <is>
          <t>임원ㆍ주요주주특정증권등소유상황보고서</t>
        </is>
      </c>
      <c r="F9125" s="3" t="inlineStr">
        <is>
          <t>박선기</t>
        </is>
      </c>
      <c r="G9125" s="2" t="inlineStr">
        <is>
          <t>20260602000488</t>
        </is>
      </c>
      <c r="H9125" s="8">
        <f>HYPERLINK("https://dart.fss.or.kr/dsaf001/main.do?rcpNo=20260602000488", "공시열람")</f>
        <v/>
      </c>
    </row>
    <row r="9126">
      <c r="A9126" s="2" t="inlineStr">
        <is>
          <t>2026-06-02</t>
        </is>
      </c>
      <c r="B9126" s="3" t="inlineStr">
        <is>
          <t>엔젠바이오</t>
        </is>
      </c>
      <c r="C9126" s="2" t="inlineStr">
        <is>
          <t>코스닥</t>
        </is>
      </c>
      <c r="D9126" s="2" t="inlineStr">
        <is>
          <t>354200</t>
        </is>
      </c>
      <c r="E9126" s="3" t="inlineStr">
        <is>
          <t>정정신고서제출요구( 2026.05.19. 제출 증권신고서(지분증권) )</t>
        </is>
      </c>
      <c r="F9126" s="3" t="inlineStr">
        <is>
          <t>금융감독원</t>
        </is>
      </c>
      <c r="G9126" s="2" t="inlineStr">
        <is>
          <t>20260602100002</t>
        </is>
      </c>
      <c r="H9126" s="8">
        <f>HYPERLINK("https://dart.fss.or.kr/dsaf001/main.do?rcpNo=20260602100002", "공시열람")</f>
        <v/>
      </c>
    </row>
    <row r="9127">
      <c r="A9127" s="2" t="inlineStr">
        <is>
          <t>2026-06-02</t>
        </is>
      </c>
      <c r="B9127" s="3" t="inlineStr">
        <is>
          <t>크로넥스</t>
        </is>
      </c>
      <c r="C9127" s="2" t="inlineStr">
        <is>
          <t>코넥스</t>
        </is>
      </c>
      <c r="D9127" s="2" t="inlineStr">
        <is>
          <t>215570</t>
        </is>
      </c>
      <c r="E9127" s="3" t="inlineStr">
        <is>
          <t xml:space="preserve">지정자문인선임계약의변경              </t>
        </is>
      </c>
      <c r="F9127" s="3" t="inlineStr">
        <is>
          <t>크로넥스</t>
        </is>
      </c>
      <c r="G9127" s="2" t="inlineStr">
        <is>
          <t>20260602600682</t>
        </is>
      </c>
      <c r="H9127" s="8">
        <f>HYPERLINK("https://dart.fss.or.kr/dsaf001/main.do?rcpNo=20260602600682", "공시열람")</f>
        <v/>
      </c>
    </row>
    <row r="9128">
      <c r="A9128" s="2" t="inlineStr">
        <is>
          <t>2026-06-02</t>
        </is>
      </c>
      <c r="B9128" s="3" t="inlineStr">
        <is>
          <t>소룩스</t>
        </is>
      </c>
      <c r="C9128" s="2" t="inlineStr">
        <is>
          <t>코스닥</t>
        </is>
      </c>
      <c r="D9128" s="2" t="inlineStr">
        <is>
          <t>290690</t>
        </is>
      </c>
      <c r="E9128" s="3" t="inlineStr">
        <is>
          <t>주요사항보고서(자기전환사채매도결정)</t>
        </is>
      </c>
      <c r="F9128" s="3" t="inlineStr">
        <is>
          <t>소룩스</t>
        </is>
      </c>
      <c r="G9128" s="2" t="inlineStr">
        <is>
          <t>20260602000411</t>
        </is>
      </c>
      <c r="H9128" s="8">
        <f>HYPERLINK("https://dart.fss.or.kr/dsaf001/main.do?rcpNo=20260602000411", "공시열람")</f>
        <v/>
      </c>
    </row>
    <row r="9129">
      <c r="A9129" s="2" t="inlineStr">
        <is>
          <t>2026-06-02</t>
        </is>
      </c>
      <c r="B9129" s="3" t="inlineStr">
        <is>
          <t>삼성물산</t>
        </is>
      </c>
      <c r="C9129" s="2" t="inlineStr">
        <is>
          <t>코스피</t>
        </is>
      </c>
      <c r="D9129" s="2" t="inlineStr">
        <is>
          <t>028260</t>
        </is>
      </c>
      <c r="E9129" s="3" t="inlineStr">
        <is>
          <t xml:space="preserve">기업설명회(IR)개최(안내공시)              </t>
        </is>
      </c>
      <c r="F9129" s="3" t="inlineStr">
        <is>
          <t>삼성물산</t>
        </is>
      </c>
      <c r="G9129" s="2" t="inlineStr">
        <is>
          <t>20260602800688</t>
        </is>
      </c>
      <c r="H9129" s="8">
        <f>HYPERLINK("https://dart.fss.or.kr/dsaf001/main.do?rcpNo=20260602800688", "공시열람")</f>
        <v/>
      </c>
    </row>
    <row r="9130">
      <c r="A9130" s="2" t="inlineStr">
        <is>
          <t>2026-06-02</t>
        </is>
      </c>
      <c r="B9130" s="3" t="inlineStr">
        <is>
          <t>대신증권</t>
        </is>
      </c>
      <c r="C9130" s="2" t="inlineStr">
        <is>
          <t>코스피</t>
        </is>
      </c>
      <c r="D9130" s="2" t="inlineStr">
        <is>
          <t>003540</t>
        </is>
      </c>
      <c r="E9130" s="3" t="inlineStr">
        <is>
          <t>투자설명서(일괄신고)</t>
        </is>
      </c>
      <c r="F9130" s="3" t="inlineStr">
        <is>
          <t>대신증권</t>
        </is>
      </c>
      <c r="G9130" s="2" t="inlineStr">
        <is>
          <t>20260602000470</t>
        </is>
      </c>
      <c r="H9130" s="8">
        <f>HYPERLINK("https://dart.fss.or.kr/dsaf001/main.do?rcpNo=20260602000470", "공시열람")</f>
        <v/>
      </c>
    </row>
    <row r="9131">
      <c r="A9131" s="2" t="inlineStr">
        <is>
          <t>2026-06-02</t>
        </is>
      </c>
      <c r="B9131" s="3" t="inlineStr">
        <is>
          <t>큐로셀</t>
        </is>
      </c>
      <c r="C9131" s="2" t="inlineStr">
        <is>
          <t>코스닥</t>
        </is>
      </c>
      <c r="D9131" s="2" t="inlineStr">
        <is>
          <t>372320</t>
        </is>
      </c>
      <c r="E9131" s="3" t="inlineStr">
        <is>
          <t>임원ㆍ주요주주특정증권등소유상황보고서</t>
        </is>
      </c>
      <c r="F9131" s="3" t="inlineStr">
        <is>
          <t>박진경</t>
        </is>
      </c>
      <c r="G9131" s="2" t="inlineStr">
        <is>
          <t>20260602000468</t>
        </is>
      </c>
      <c r="H9131" s="8">
        <f>HYPERLINK("https://dart.fss.or.kr/dsaf001/main.do?rcpNo=20260602000468", "공시열람")</f>
        <v/>
      </c>
    </row>
    <row r="9132">
      <c r="A9132" s="2" t="inlineStr">
        <is>
          <t>2026-06-02</t>
        </is>
      </c>
      <c r="B9132" s="3" t="inlineStr">
        <is>
          <t>NICE</t>
        </is>
      </c>
      <c r="C9132" s="2" t="inlineStr">
        <is>
          <t>코스피</t>
        </is>
      </c>
      <c r="D9132" s="2" t="inlineStr">
        <is>
          <t>034310</t>
        </is>
      </c>
      <c r="E9132" s="3" t="inlineStr">
        <is>
          <t xml:space="preserve">타법인주식및출자증권취득결정(종속회사의주요경영사항)              </t>
        </is>
      </c>
      <c r="F9132" s="3" t="inlineStr">
        <is>
          <t>NICE</t>
        </is>
      </c>
      <c r="G9132" s="2" t="inlineStr">
        <is>
          <t>20260602800729</t>
        </is>
      </c>
      <c r="H9132" s="8">
        <f>HYPERLINK("https://dart.fss.or.kr/dsaf001/main.do?rcpNo=20260602800729", "공시열람")</f>
        <v/>
      </c>
    </row>
    <row r="9133">
      <c r="A9133" s="2" t="inlineStr">
        <is>
          <t>2026-06-02</t>
        </is>
      </c>
      <c r="B9133" s="3" t="inlineStr">
        <is>
          <t>오에스피</t>
        </is>
      </c>
      <c r="C9133" s="2" t="inlineStr">
        <is>
          <t>코스닥</t>
        </is>
      </c>
      <c r="D9133" s="2" t="inlineStr">
        <is>
          <t>368970</t>
        </is>
      </c>
      <c r="E9133" s="3" t="inlineStr">
        <is>
          <t>소액공모실적보고서</t>
        </is>
      </c>
      <c r="F9133" s="3" t="inlineStr">
        <is>
          <t>오에스피</t>
        </is>
      </c>
      <c r="G9133" s="2" t="inlineStr">
        <is>
          <t>20260602000464</t>
        </is>
      </c>
      <c r="H9133" s="8">
        <f>HYPERLINK("https://dart.fss.or.kr/dsaf001/main.do?rcpNo=20260602000464", "공시열람")</f>
        <v/>
      </c>
    </row>
    <row r="9134">
      <c r="A9134" s="2" t="inlineStr">
        <is>
          <t>2026-06-02</t>
        </is>
      </c>
      <c r="B9134" s="3" t="inlineStr">
        <is>
          <t>롯데케미칼</t>
        </is>
      </c>
      <c r="C9134" s="2" t="inlineStr">
        <is>
          <t>코스피</t>
        </is>
      </c>
      <c r="D9134" s="2" t="inlineStr">
        <is>
          <t>011170</t>
        </is>
      </c>
      <c r="E9134" s="3" t="inlineStr">
        <is>
          <t>합병등종료보고서(분할)</t>
        </is>
      </c>
      <c r="F9134" s="3" t="inlineStr">
        <is>
          <t>롯데케미칼</t>
        </is>
      </c>
      <c r="G9134" s="2" t="inlineStr">
        <is>
          <t>20260602000463</t>
        </is>
      </c>
      <c r="H9134" s="8">
        <f>HYPERLINK("https://dart.fss.or.kr/dsaf001/main.do?rcpNo=20260602000463", "공시열람")</f>
        <v/>
      </c>
    </row>
    <row r="9135">
      <c r="A9135" s="2" t="inlineStr">
        <is>
          <t>2026-06-02</t>
        </is>
      </c>
      <c r="B9135" s="3" t="inlineStr">
        <is>
          <t>한창제지</t>
        </is>
      </c>
      <c r="C9135" s="2" t="inlineStr">
        <is>
          <t>코스피</t>
        </is>
      </c>
      <c r="D9135" s="2" t="inlineStr">
        <is>
          <t>009460</t>
        </is>
      </c>
      <c r="E9135" s="3" t="inlineStr">
        <is>
          <t>임원ㆍ주요주주특정증권등거래계획보고서</t>
        </is>
      </c>
      <c r="F9135" s="3" t="inlineStr">
        <is>
          <t>KIM JOONYOUNG</t>
        </is>
      </c>
      <c r="G9135" s="2" t="inlineStr">
        <is>
          <t>20260602000451</t>
        </is>
      </c>
      <c r="H9135" s="8">
        <f>HYPERLINK("https://dart.fss.or.kr/dsaf001/main.do?rcpNo=20260602000451", "공시열람")</f>
        <v/>
      </c>
    </row>
    <row r="9136">
      <c r="A9136" s="2" t="inlineStr">
        <is>
          <t>2026-06-02</t>
        </is>
      </c>
      <c r="B9136" s="3" t="inlineStr">
        <is>
          <t>대신증권</t>
        </is>
      </c>
      <c r="C9136" s="2" t="inlineStr">
        <is>
          <t>코스피</t>
        </is>
      </c>
      <c r="D9136" s="2" t="inlineStr">
        <is>
          <t>003540</t>
        </is>
      </c>
      <c r="E9136" s="3" t="inlineStr">
        <is>
          <t>일괄신고추가서류(파생결합사채-주가연계파생결합사채)</t>
        </is>
      </c>
      <c r="F9136" s="3" t="inlineStr">
        <is>
          <t>대신증권</t>
        </is>
      </c>
      <c r="G9136" s="2" t="inlineStr">
        <is>
          <t>20260602000449</t>
        </is>
      </c>
      <c r="H9136" s="8">
        <f>HYPERLINK("https://dart.fss.or.kr/dsaf001/main.do?rcpNo=20260602000449", "공시열람")</f>
        <v/>
      </c>
    </row>
    <row r="9137">
      <c r="A9137" s="2" t="inlineStr">
        <is>
          <t>2026-06-02</t>
        </is>
      </c>
      <c r="B9137" s="3" t="inlineStr">
        <is>
          <t>롯데케미칼</t>
        </is>
      </c>
      <c r="C9137" s="2" t="inlineStr">
        <is>
          <t>코스피</t>
        </is>
      </c>
      <c r="D9137" s="2" t="inlineStr">
        <is>
          <t>011170</t>
        </is>
      </c>
      <c r="E9137" s="3" t="inlineStr">
        <is>
          <t>특수관계인에대한자금대여</t>
        </is>
      </c>
      <c r="F9137" s="3" t="inlineStr">
        <is>
          <t>롯데케미칼</t>
        </is>
      </c>
      <c r="G9137" s="2" t="inlineStr">
        <is>
          <t>20260602000446</t>
        </is>
      </c>
      <c r="H9137" s="8">
        <f>HYPERLINK("https://dart.fss.or.kr/dsaf001/main.do?rcpNo=20260602000446", "공시열람")</f>
        <v/>
      </c>
    </row>
    <row r="9138">
      <c r="A9138" s="2" t="inlineStr">
        <is>
          <t>2026-06-02</t>
        </is>
      </c>
      <c r="B9138" s="3" t="inlineStr">
        <is>
          <t>삼성물산</t>
        </is>
      </c>
      <c r="C9138" s="2" t="inlineStr">
        <is>
          <t>코스피</t>
        </is>
      </c>
      <c r="D9138" s="2" t="inlineStr">
        <is>
          <t>028260</t>
        </is>
      </c>
      <c r="E9138" s="3" t="inlineStr">
        <is>
          <t>임원ㆍ주요주주특정증권등소유상황보고서</t>
        </is>
      </c>
      <c r="F9138" s="3" t="inlineStr">
        <is>
          <t>권한길</t>
        </is>
      </c>
      <c r="G9138" s="2" t="inlineStr">
        <is>
          <t>20260602000445</t>
        </is>
      </c>
      <c r="H9138" s="8">
        <f>HYPERLINK("https://dart.fss.or.kr/dsaf001/main.do?rcpNo=20260602000445", "공시열람")</f>
        <v/>
      </c>
    </row>
    <row r="9139">
      <c r="A9139" s="2" t="inlineStr">
        <is>
          <t>2026-06-02</t>
        </is>
      </c>
      <c r="B9139" s="3" t="inlineStr">
        <is>
          <t>엄지하우스</t>
        </is>
      </c>
      <c r="C9139" s="2" t="inlineStr">
        <is>
          <t>코넥스</t>
        </is>
      </c>
      <c r="D9139" s="2" t="inlineStr">
        <is>
          <t>224810</t>
        </is>
      </c>
      <c r="E9139" s="3" t="inlineStr">
        <is>
          <t>임원ㆍ주요주주특정증권등소유상황보고서</t>
        </is>
      </c>
      <c r="F9139" s="3" t="inlineStr">
        <is>
          <t>정석환</t>
        </is>
      </c>
      <c r="G9139" s="2" t="inlineStr">
        <is>
          <t>20260602000441</t>
        </is>
      </c>
      <c r="H9139" s="8">
        <f>HYPERLINK("https://dart.fss.or.kr/dsaf001/main.do?rcpNo=20260602000441", "공시열람")</f>
        <v/>
      </c>
    </row>
    <row r="9140">
      <c r="A9140" s="2" t="inlineStr">
        <is>
          <t>2026-06-02</t>
        </is>
      </c>
      <c r="B9140" s="3" t="inlineStr">
        <is>
          <t>SK리츠</t>
        </is>
      </c>
      <c r="C9140" s="2" t="inlineStr">
        <is>
          <t>코스피</t>
        </is>
      </c>
      <c r="D9140" s="2" t="inlineStr">
        <is>
          <t>395400</t>
        </is>
      </c>
      <c r="E9140" s="3" t="inlineStr">
        <is>
          <t>특수관계인에대한부동산임대</t>
        </is>
      </c>
      <c r="F9140" s="3" t="inlineStr">
        <is>
          <t>SK리츠</t>
        </is>
      </c>
      <c r="G9140" s="2" t="inlineStr">
        <is>
          <t>20260602000440</t>
        </is>
      </c>
      <c r="H9140" s="8">
        <f>HYPERLINK("https://dart.fss.or.kr/dsaf001/main.do?rcpNo=20260602000440", "공시열람")</f>
        <v/>
      </c>
    </row>
    <row r="9141">
      <c r="A9141" s="2" t="inlineStr">
        <is>
          <t>2026-06-02 (정정: 2026-06-02)</t>
        </is>
      </c>
      <c r="B9141" s="3" t="inlineStr">
        <is>
          <t>롯데케미칼</t>
        </is>
      </c>
      <c r="C9141" s="2" t="inlineStr">
        <is>
          <t>코스피</t>
        </is>
      </c>
      <c r="D9141" s="2" t="inlineStr">
        <is>
          <t>011170</t>
        </is>
      </c>
      <c r="E9141" s="3" t="inlineStr">
        <is>
          <t>특수관계인에대한담보제공 (정정: 20260602)</t>
        </is>
      </c>
      <c r="F9141" s="3" t="inlineStr">
        <is>
          <t>롯데케미칼</t>
        </is>
      </c>
      <c r="G9141" s="2" t="inlineStr">
        <is>
          <t>20260602000429</t>
        </is>
      </c>
      <c r="H9141" s="8">
        <f>HYPERLINK("https://dart.fss.or.kr/dsaf001/main.do?rcpNo=20260602000429", "공시열람")</f>
        <v/>
      </c>
    </row>
    <row r="9142">
      <c r="A9142" s="2" t="inlineStr">
        <is>
          <t>2026-06-02</t>
        </is>
      </c>
      <c r="B9142" s="3" t="inlineStr">
        <is>
          <t>SK리츠</t>
        </is>
      </c>
      <c r="C9142" s="2" t="inlineStr">
        <is>
          <t>코스피</t>
        </is>
      </c>
      <c r="D9142" s="2" t="inlineStr">
        <is>
          <t>395400</t>
        </is>
      </c>
      <c r="E9142" s="3" t="inlineStr">
        <is>
          <t>의결권대리행사권유참고서류</t>
        </is>
      </c>
      <c r="F9142" s="3" t="inlineStr">
        <is>
          <t>SK리츠</t>
        </is>
      </c>
      <c r="G9142" s="2" t="inlineStr">
        <is>
          <t>20260602000437</t>
        </is>
      </c>
      <c r="H9142" s="8">
        <f>HYPERLINK("https://dart.fss.or.kr/dsaf001/main.do?rcpNo=20260602000437", "공시열람")</f>
        <v/>
      </c>
    </row>
    <row r="9143">
      <c r="A9143" s="2" t="inlineStr">
        <is>
          <t>2026-06-02</t>
        </is>
      </c>
      <c r="B9143" s="3" t="inlineStr">
        <is>
          <t>보해양조</t>
        </is>
      </c>
      <c r="C9143" s="2" t="inlineStr">
        <is>
          <t>코스피</t>
        </is>
      </c>
      <c r="D9143" s="2" t="inlineStr">
        <is>
          <t>000890</t>
        </is>
      </c>
      <c r="E9143" s="3" t="inlineStr">
        <is>
          <t>임원ㆍ주요주주특정증권등소유상황보고서</t>
        </is>
      </c>
      <c r="F9143" s="3" t="inlineStr">
        <is>
          <t>최지만</t>
        </is>
      </c>
      <c r="G9143" s="2" t="inlineStr">
        <is>
          <t>20260602000436</t>
        </is>
      </c>
      <c r="H9143" s="8">
        <f>HYPERLINK("https://dart.fss.or.kr/dsaf001/main.do?rcpNo=20260602000436", "공시열람")</f>
        <v/>
      </c>
    </row>
    <row r="9144">
      <c r="A9144" s="2" t="inlineStr">
        <is>
          <t>2026-06-02</t>
        </is>
      </c>
      <c r="B9144" s="3" t="inlineStr">
        <is>
          <t>한창제지</t>
        </is>
      </c>
      <c r="C9144" s="2" t="inlineStr">
        <is>
          <t>코스피</t>
        </is>
      </c>
      <c r="D9144" s="2" t="inlineStr">
        <is>
          <t>009460</t>
        </is>
      </c>
      <c r="E9144" s="3" t="inlineStr">
        <is>
          <t>임원ㆍ주요주주특정증권등거래계획철회보고서</t>
        </is>
      </c>
      <c r="F9144" s="3" t="inlineStr">
        <is>
          <t>KIM JOONYOUNG</t>
        </is>
      </c>
      <c r="G9144" s="2" t="inlineStr">
        <is>
          <t>20260602000434</t>
        </is>
      </c>
      <c r="H9144" s="8">
        <f>HYPERLINK("https://dart.fss.or.kr/dsaf001/main.do?rcpNo=20260602000434", "공시열람")</f>
        <v/>
      </c>
    </row>
    <row r="9145">
      <c r="A9145" s="2" t="inlineStr">
        <is>
          <t>2026-06-02</t>
        </is>
      </c>
      <c r="B9145" s="3" t="inlineStr">
        <is>
          <t>플리토</t>
        </is>
      </c>
      <c r="C9145" s="2" t="inlineStr">
        <is>
          <t>코스닥</t>
        </is>
      </c>
      <c r="D9145" s="2" t="inlineStr">
        <is>
          <t>300080</t>
        </is>
      </c>
      <c r="E9145" s="3" t="inlineStr">
        <is>
          <t>주식매수선택권부여에관한신고</t>
        </is>
      </c>
      <c r="F9145" s="3" t="inlineStr">
        <is>
          <t>플리토</t>
        </is>
      </c>
      <c r="G9145" s="2" t="inlineStr">
        <is>
          <t>20260602000426</t>
        </is>
      </c>
      <c r="H9145" s="8">
        <f>HYPERLINK("https://dart.fss.or.kr/dsaf001/main.do?rcpNo=20260602000426", "공시열람")</f>
        <v/>
      </c>
    </row>
    <row r="9146">
      <c r="A9146" s="2" t="inlineStr">
        <is>
          <t>2026-06-02</t>
        </is>
      </c>
      <c r="B9146" s="3" t="inlineStr">
        <is>
          <t>옵트론텍</t>
        </is>
      </c>
      <c r="C9146" s="2" t="inlineStr">
        <is>
          <t>코스닥</t>
        </is>
      </c>
      <c r="D9146" s="2" t="inlineStr">
        <is>
          <t>082210</t>
        </is>
      </c>
      <c r="E9146" s="3" t="inlineStr">
        <is>
          <t>임원ㆍ주요주주특정증권등소유상황보고서</t>
        </is>
      </c>
      <c r="F9146" s="3" t="inlineStr">
        <is>
          <t>CHOISANGHO,CORP.</t>
        </is>
      </c>
      <c r="G9146" s="2" t="inlineStr">
        <is>
          <t>20260602000423</t>
        </is>
      </c>
      <c r="H9146" s="8">
        <f>HYPERLINK("https://dart.fss.or.kr/dsaf001/main.do?rcpNo=20260602000423", "공시열람")</f>
        <v/>
      </c>
    </row>
    <row r="9147">
      <c r="A9147" s="2" t="inlineStr">
        <is>
          <t>2026-06-02</t>
        </is>
      </c>
      <c r="B9147" s="3" t="inlineStr">
        <is>
          <t>삼성전자</t>
        </is>
      </c>
      <c r="C9147" s="2" t="inlineStr">
        <is>
          <t>코스피</t>
        </is>
      </c>
      <c r="D9147" s="2" t="inlineStr">
        <is>
          <t>005930</t>
        </is>
      </c>
      <c r="E9147" s="3" t="inlineStr">
        <is>
          <t>[기재정정]임원ㆍ주요주주특정증권등소유상황보고서</t>
        </is>
      </c>
      <c r="F9147" s="3" t="inlineStr">
        <is>
          <t>김경석</t>
        </is>
      </c>
      <c r="G9147" s="2" t="inlineStr">
        <is>
          <t>20260602000421</t>
        </is>
      </c>
      <c r="H9147" s="8">
        <f>HYPERLINK("https://dart.fss.or.kr/dsaf001/main.do?rcpNo=20260602000421", "공시열람")</f>
        <v/>
      </c>
    </row>
    <row r="9148">
      <c r="A9148" s="2" t="inlineStr">
        <is>
          <t>2026-06-02</t>
        </is>
      </c>
      <c r="B9148" s="3" t="inlineStr">
        <is>
          <t>하나제약</t>
        </is>
      </c>
      <c r="C9148" s="2" t="inlineStr">
        <is>
          <t>코스피</t>
        </is>
      </c>
      <c r="D9148" s="2" t="inlineStr">
        <is>
          <t>293480</t>
        </is>
      </c>
      <c r="E9148" s="3" t="inlineStr">
        <is>
          <t>임원ㆍ주요주주특정증권등소유상황보고서</t>
        </is>
      </c>
      <c r="F9148" s="3" t="inlineStr">
        <is>
          <t>조혜림</t>
        </is>
      </c>
      <c r="G9148" s="2" t="inlineStr">
        <is>
          <t>20260602000420</t>
        </is>
      </c>
      <c r="H9148" s="8">
        <f>HYPERLINK("https://dart.fss.or.kr/dsaf001/main.do?rcpNo=20260602000420", "공시열람")</f>
        <v/>
      </c>
    </row>
    <row r="9149">
      <c r="A9149" s="2" t="inlineStr">
        <is>
          <t>2026-06-02</t>
        </is>
      </c>
      <c r="B9149" s="3" t="inlineStr">
        <is>
          <t>나노신소재</t>
        </is>
      </c>
      <c r="C9149" s="2" t="inlineStr">
        <is>
          <t>코스닥</t>
        </is>
      </c>
      <c r="D9149" s="2" t="inlineStr">
        <is>
          <t>121600</t>
        </is>
      </c>
      <c r="E9149" s="3" t="inlineStr">
        <is>
          <t>주요사항보고서(자기주식처분결정)</t>
        </is>
      </c>
      <c r="F9149" s="3" t="inlineStr">
        <is>
          <t>나노신소재</t>
        </is>
      </c>
      <c r="G9149" s="2" t="inlineStr">
        <is>
          <t>20260602000387</t>
        </is>
      </c>
      <c r="H9149" s="8">
        <f>HYPERLINK("https://dart.fss.or.kr/dsaf001/main.do?rcpNo=20260602000387", "공시열람")</f>
        <v/>
      </c>
    </row>
    <row r="9150">
      <c r="A9150" s="2" t="inlineStr">
        <is>
          <t>2026-06-02</t>
        </is>
      </c>
      <c r="B9150" s="3" t="inlineStr">
        <is>
          <t>하나제약</t>
        </is>
      </c>
      <c r="C9150" s="2" t="inlineStr">
        <is>
          <t>코스피</t>
        </is>
      </c>
      <c r="D9150" s="2" t="inlineStr">
        <is>
          <t>293480</t>
        </is>
      </c>
      <c r="E9150" s="3" t="inlineStr">
        <is>
          <t>임원ㆍ주요주주특정증권등소유상황보고서</t>
        </is>
      </c>
      <c r="F9150" s="3" t="inlineStr">
        <is>
          <t>조예림</t>
        </is>
      </c>
      <c r="G9150" s="2" t="inlineStr">
        <is>
          <t>20260602000415</t>
        </is>
      </c>
      <c r="H9150" s="8">
        <f>HYPERLINK("https://dart.fss.or.kr/dsaf001/main.do?rcpNo=20260602000415", "공시열람")</f>
        <v/>
      </c>
    </row>
    <row r="9151">
      <c r="A9151" s="2" t="inlineStr">
        <is>
          <t>2026-06-02</t>
        </is>
      </c>
      <c r="B9151" s="3" t="inlineStr">
        <is>
          <t>삼영에스앤씨</t>
        </is>
      </c>
      <c r="C9151" s="2" t="inlineStr">
        <is>
          <t>코스닥</t>
        </is>
      </c>
      <c r="D9151" s="2" t="inlineStr">
        <is>
          <t>361670</t>
        </is>
      </c>
      <c r="E9151" s="3" t="inlineStr">
        <is>
          <t xml:space="preserve">주주명부폐쇄기간또는기준일설정              </t>
        </is>
      </c>
      <c r="F9151" s="3" t="inlineStr">
        <is>
          <t>삼영에스앤씨</t>
        </is>
      </c>
      <c r="G9151" s="2" t="inlineStr">
        <is>
          <t>20260602900644</t>
        </is>
      </c>
      <c r="H9151" s="8">
        <f>HYPERLINK("https://dart.fss.or.kr/dsaf001/main.do?rcpNo=20260602900644", "공시열람")</f>
        <v/>
      </c>
    </row>
    <row r="9152">
      <c r="A9152" s="2" t="inlineStr">
        <is>
          <t>2026-06-02</t>
        </is>
      </c>
      <c r="B9152" s="3" t="inlineStr">
        <is>
          <t>오에스피</t>
        </is>
      </c>
      <c r="C9152" s="2" t="inlineStr">
        <is>
          <t>코스닥</t>
        </is>
      </c>
      <c r="D9152" s="2" t="inlineStr">
        <is>
          <t>368970</t>
        </is>
      </c>
      <c r="E9152" s="3" t="inlineStr">
        <is>
          <t>증권발행결과(자율공시)              (제3자배정 유상증자)</t>
        </is>
      </c>
      <c r="F9152" s="3" t="inlineStr">
        <is>
          <t>오에스피</t>
        </is>
      </c>
      <c r="G9152" s="2" t="inlineStr">
        <is>
          <t>20260602900628</t>
        </is>
      </c>
      <c r="H9152" s="8">
        <f>HYPERLINK("https://dart.fss.or.kr/dsaf001/main.do?rcpNo=20260602900628", "공시열람")</f>
        <v/>
      </c>
    </row>
    <row r="9153">
      <c r="A9153" s="2" t="inlineStr">
        <is>
          <t>2026-06-02</t>
        </is>
      </c>
      <c r="B9153" s="3" t="inlineStr">
        <is>
          <t>나이스정보통신</t>
        </is>
      </c>
      <c r="C9153" s="2" t="inlineStr">
        <is>
          <t>코스닥</t>
        </is>
      </c>
      <c r="D9153" s="2" t="inlineStr">
        <is>
          <t>036800</t>
        </is>
      </c>
      <c r="E9153" s="3" t="inlineStr">
        <is>
          <t xml:space="preserve">타법인주식및출자증권취득결정              </t>
        </is>
      </c>
      <c r="F9153" s="3" t="inlineStr">
        <is>
          <t>나이스정보통신</t>
        </is>
      </c>
      <c r="G9153" s="2" t="inlineStr">
        <is>
          <t>20260602900592</t>
        </is>
      </c>
      <c r="H9153" s="8">
        <f>HYPERLINK("https://dart.fss.or.kr/dsaf001/main.do?rcpNo=20260602900592", "공시열람")</f>
        <v/>
      </c>
    </row>
    <row r="9154">
      <c r="A9154" s="2" t="inlineStr">
        <is>
          <t>2026-06-02</t>
        </is>
      </c>
      <c r="B9154" s="3" t="inlineStr">
        <is>
          <t>효성중공업</t>
        </is>
      </c>
      <c r="C9154" s="2" t="inlineStr">
        <is>
          <t>코스피</t>
        </is>
      </c>
      <c r="D9154" s="2" t="inlineStr">
        <is>
          <t>298040</t>
        </is>
      </c>
      <c r="E9154" s="3" t="inlineStr">
        <is>
          <t>사외이사의선임ㆍ해임또는중도퇴임에관한신고</t>
        </is>
      </c>
      <c r="F9154" s="3" t="inlineStr">
        <is>
          <t>효성중공업</t>
        </is>
      </c>
      <c r="G9154" s="2" t="inlineStr">
        <is>
          <t>20260602000410</t>
        </is>
      </c>
      <c r="H9154" s="8">
        <f>HYPERLINK("https://dart.fss.or.kr/dsaf001/main.do?rcpNo=20260602000410", "공시열람")</f>
        <v/>
      </c>
    </row>
    <row r="9155">
      <c r="A9155" s="2" t="inlineStr">
        <is>
          <t>2026-06-02</t>
        </is>
      </c>
      <c r="B9155" s="3" t="inlineStr">
        <is>
          <t>SIMPAC</t>
        </is>
      </c>
      <c r="C9155" s="2" t="inlineStr">
        <is>
          <t>코스피</t>
        </is>
      </c>
      <c r="D9155" s="2" t="inlineStr">
        <is>
          <t>009160</t>
        </is>
      </c>
      <c r="E9155" s="3" t="inlineStr">
        <is>
          <t>임원ㆍ주요주주특정증권등소유상황보고서</t>
        </is>
      </c>
      <c r="F9155" s="3" t="inlineStr">
        <is>
          <t>최민찬</t>
        </is>
      </c>
      <c r="G9155" s="2" t="inlineStr">
        <is>
          <t>20260602000403</t>
        </is>
      </c>
      <c r="H9155" s="8">
        <f>HYPERLINK("https://dart.fss.or.kr/dsaf001/main.do?rcpNo=20260602000403", "공시열람")</f>
        <v/>
      </c>
    </row>
    <row r="9156">
      <c r="A9156" s="2" t="inlineStr">
        <is>
          <t>2026-06-02 (정정: 2026-06-26)</t>
        </is>
      </c>
      <c r="B9156" s="3" t="inlineStr">
        <is>
          <t>엑시큐어하이트론</t>
        </is>
      </c>
      <c r="C9156" s="2" t="inlineStr">
        <is>
          <t>코스피</t>
        </is>
      </c>
      <c r="D9156" s="2" t="inlineStr">
        <is>
          <t>019490</t>
        </is>
      </c>
      <c r="E9156" s="3" t="inlineStr">
        <is>
          <t>기업지배구조보고서공시               (정정: 20260624) (정정: 20260626)</t>
        </is>
      </c>
      <c r="F9156" s="3" t="inlineStr">
        <is>
          <t>엑시큐어하이트론</t>
        </is>
      </c>
      <c r="G9156" s="2" t="inlineStr">
        <is>
          <t>20260626000508</t>
        </is>
      </c>
      <c r="H9156" s="8">
        <f>HYPERLINK("https://dart.fss.or.kr/dsaf001/main.do?rcpNo=20260626000508", "공시열람")</f>
        <v/>
      </c>
    </row>
    <row r="9157">
      <c r="A9157" s="2" t="inlineStr">
        <is>
          <t>2026-06-02</t>
        </is>
      </c>
      <c r="B9157" s="3" t="inlineStr">
        <is>
          <t>알엔티엑스</t>
        </is>
      </c>
      <c r="C9157" s="2" t="inlineStr">
        <is>
          <t>코스닥</t>
        </is>
      </c>
      <c r="D9157" s="2" t="inlineStr">
        <is>
          <t>123010</t>
        </is>
      </c>
      <c r="E9157" s="3" t="inlineStr">
        <is>
          <t>임원ㆍ주요주주특정증권등소유상황보고서</t>
        </is>
      </c>
      <c r="F9157" s="3" t="inlineStr">
        <is>
          <t>위드윈투자조합91호</t>
        </is>
      </c>
      <c r="G9157" s="2" t="inlineStr">
        <is>
          <t>20260602000400</t>
        </is>
      </c>
      <c r="H9157" s="8">
        <f>HYPERLINK("https://dart.fss.or.kr/dsaf001/main.do?rcpNo=20260602000400", "공시열람")</f>
        <v/>
      </c>
    </row>
    <row r="9158">
      <c r="A9158" s="2" t="inlineStr">
        <is>
          <t>2026-06-02</t>
        </is>
      </c>
      <c r="B9158" s="3" t="inlineStr">
        <is>
          <t>소룩스</t>
        </is>
      </c>
      <c r="C9158" s="2" t="inlineStr">
        <is>
          <t>코스닥</t>
        </is>
      </c>
      <c r="D9158" s="2" t="inlineStr">
        <is>
          <t>290690</t>
        </is>
      </c>
      <c r="E9158" s="3" t="inlineStr">
        <is>
          <t>전환청구권행사              (제3회차 CB)</t>
        </is>
      </c>
      <c r="F9158" s="3" t="inlineStr">
        <is>
          <t>소룩스</t>
        </is>
      </c>
      <c r="G9158" s="2" t="inlineStr">
        <is>
          <t>20260602900568</t>
        </is>
      </c>
      <c r="H9158" s="8">
        <f>HYPERLINK("https://dart.fss.or.kr/dsaf001/main.do?rcpNo=20260602900568", "공시열람")</f>
        <v/>
      </c>
    </row>
    <row r="9159">
      <c r="A9159" s="2" t="inlineStr">
        <is>
          <t>2026-06-02 (정정: 2026-06-16)</t>
        </is>
      </c>
      <c r="B9159" s="3" t="inlineStr">
        <is>
          <t>한국정보통신</t>
        </is>
      </c>
      <c r="C9159" s="2" t="inlineStr">
        <is>
          <t>코스닥</t>
        </is>
      </c>
      <c r="D9159" s="2" t="inlineStr">
        <is>
          <t>025770</t>
        </is>
      </c>
      <c r="E9159" s="3" t="inlineStr">
        <is>
          <t>주요사항보고서(자기주식처분결정) (정정: 20260616)</t>
        </is>
      </c>
      <c r="F9159" s="3" t="inlineStr">
        <is>
          <t>한국정보통신</t>
        </is>
      </c>
      <c r="G9159" s="2" t="inlineStr">
        <is>
          <t>20260616900482</t>
        </is>
      </c>
      <c r="H9159" s="8">
        <f>HYPERLINK("https://dart.fss.or.kr/dsaf001/main.do?rcpNo=20260616900482", "공시열람")</f>
        <v/>
      </c>
    </row>
    <row r="9160">
      <c r="A9160" s="2" t="inlineStr">
        <is>
          <t>2026-06-02</t>
        </is>
      </c>
      <c r="B9160" s="3" t="inlineStr">
        <is>
          <t>플루토스</t>
        </is>
      </c>
      <c r="C9160" s="2" t="inlineStr">
        <is>
          <t>코스닥</t>
        </is>
      </c>
      <c r="D9160" s="2" t="inlineStr">
        <is>
          <t>019570</t>
        </is>
      </c>
      <c r="E9160" s="3" t="inlineStr">
        <is>
          <t xml:space="preserve">대표이사변경              </t>
        </is>
      </c>
      <c r="F9160" s="3" t="inlineStr">
        <is>
          <t>플루토스</t>
        </is>
      </c>
      <c r="G9160" s="2" t="inlineStr">
        <is>
          <t>20260602900608</t>
        </is>
      </c>
      <c r="H9160" s="8">
        <f>HYPERLINK("https://dart.fss.or.kr/dsaf001/main.do?rcpNo=20260602900608", "공시열람")</f>
        <v/>
      </c>
    </row>
    <row r="9161">
      <c r="A9161" s="2" t="inlineStr">
        <is>
          <t>2026-06-02</t>
        </is>
      </c>
      <c r="B9161" s="3" t="inlineStr">
        <is>
          <t>엠아이큐브솔루션</t>
        </is>
      </c>
      <c r="C9161" s="2" t="inlineStr">
        <is>
          <t>코스닥</t>
        </is>
      </c>
      <c r="D9161" s="2" t="inlineStr">
        <is>
          <t>373170</t>
        </is>
      </c>
      <c r="E9161" s="3" t="inlineStr">
        <is>
          <t xml:space="preserve">주주명부폐쇄기간또는기준일설정              </t>
        </is>
      </c>
      <c r="F9161" s="3" t="inlineStr">
        <is>
          <t>엠아이큐브솔루션</t>
        </is>
      </c>
      <c r="G9161" s="2" t="inlineStr">
        <is>
          <t>20260602900563</t>
        </is>
      </c>
      <c r="H9161" s="8">
        <f>HYPERLINK("https://dart.fss.or.kr/dsaf001/main.do?rcpNo=20260602900563", "공시열람")</f>
        <v/>
      </c>
    </row>
    <row r="9162">
      <c r="A9162" s="2" t="inlineStr">
        <is>
          <t>2026-06-02</t>
        </is>
      </c>
      <c r="B9162" s="3" t="inlineStr">
        <is>
          <t>유니슨</t>
        </is>
      </c>
      <c r="C9162" s="2" t="inlineStr">
        <is>
          <t>코스닥</t>
        </is>
      </c>
      <c r="D9162" s="2" t="inlineStr">
        <is>
          <t>018000</t>
        </is>
      </c>
      <c r="E9162" s="3" t="inlineStr">
        <is>
          <t>임원ㆍ주요주주특정증권등소유상황보고서</t>
        </is>
      </c>
      <c r="F9162" s="3" t="inlineStr">
        <is>
          <t>명운산업개발</t>
        </is>
      </c>
      <c r="G9162" s="2" t="inlineStr">
        <is>
          <t>20260602000389</t>
        </is>
      </c>
      <c r="H9162" s="8">
        <f>HYPERLINK("https://dart.fss.or.kr/dsaf001/main.do?rcpNo=20260602000389", "공시열람")</f>
        <v/>
      </c>
    </row>
    <row r="9163">
      <c r="A9163" s="2" t="inlineStr">
        <is>
          <t>2026-06-02</t>
        </is>
      </c>
      <c r="B9163" s="3" t="inlineStr">
        <is>
          <t>형지I&amp;C</t>
        </is>
      </c>
      <c r="C9163" s="2" t="inlineStr">
        <is>
          <t>코스닥</t>
        </is>
      </c>
      <c r="D9163" s="2" t="inlineStr">
        <is>
          <t>011080</t>
        </is>
      </c>
      <c r="E9163" s="3" t="inlineStr">
        <is>
          <t>권리락              (유상증자)</t>
        </is>
      </c>
      <c r="F9163" s="3" t="inlineStr">
        <is>
          <t>코스닥시장본부</t>
        </is>
      </c>
      <c r="G9163" s="2" t="inlineStr">
        <is>
          <t>20260602900597</t>
        </is>
      </c>
      <c r="H9163" s="8">
        <f>HYPERLINK("https://dart.fss.or.kr/dsaf001/main.do?rcpNo=20260602900597", "공시열람")</f>
        <v/>
      </c>
    </row>
    <row r="9164">
      <c r="A9164" s="2" t="inlineStr">
        <is>
          <t>2026-06-02</t>
        </is>
      </c>
      <c r="B9164" s="3" t="inlineStr">
        <is>
          <t>키움증권</t>
        </is>
      </c>
      <c r="C9164" s="2" t="inlineStr">
        <is>
          <t>코스피</t>
        </is>
      </c>
      <c r="D9164" s="2" t="inlineStr">
        <is>
          <t>039490</t>
        </is>
      </c>
      <c r="E9164" s="3" t="inlineStr">
        <is>
          <t>투자설명서(일괄신고)</t>
        </is>
      </c>
      <c r="F9164" s="3" t="inlineStr">
        <is>
          <t>키움증권</t>
        </is>
      </c>
      <c r="G9164" s="2" t="inlineStr">
        <is>
          <t>20260602000384</t>
        </is>
      </c>
      <c r="H9164" s="8">
        <f>HYPERLINK("https://dart.fss.or.kr/dsaf001/main.do?rcpNo=20260602000384", "공시열람")</f>
        <v/>
      </c>
    </row>
    <row r="9165">
      <c r="A9165" s="2" t="inlineStr">
        <is>
          <t>2026-06-02</t>
        </is>
      </c>
      <c r="B9165" s="3" t="inlineStr">
        <is>
          <t>아주IB투자</t>
        </is>
      </c>
      <c r="C9165" s="2" t="inlineStr">
        <is>
          <t>코스닥</t>
        </is>
      </c>
      <c r="D9165" s="2" t="inlineStr">
        <is>
          <t>027360</t>
        </is>
      </c>
      <c r="E9165" s="3" t="inlineStr">
        <is>
          <t>임원ㆍ주요주주특정증권등소유상황보고서</t>
        </is>
      </c>
      <c r="F9165" s="3" t="inlineStr">
        <is>
          <t>아주</t>
        </is>
      </c>
      <c r="G9165" s="2" t="inlineStr">
        <is>
          <t>20260602000383</t>
        </is>
      </c>
      <c r="H9165" s="8">
        <f>HYPERLINK("https://dart.fss.or.kr/dsaf001/main.do?rcpNo=20260602000383", "공시열람")</f>
        <v/>
      </c>
    </row>
    <row r="9166">
      <c r="A9166" s="2" t="inlineStr">
        <is>
          <t>2026-06-02</t>
        </is>
      </c>
      <c r="B9166" s="3" t="inlineStr">
        <is>
          <t>메가터치</t>
        </is>
      </c>
      <c r="C9166" s="2" t="inlineStr">
        <is>
          <t>코스닥</t>
        </is>
      </c>
      <c r="D9166" s="2" t="inlineStr">
        <is>
          <t>446540</t>
        </is>
      </c>
      <c r="E9166" s="3" t="inlineStr">
        <is>
          <t>임원ㆍ주요주주특정증권등소유상황보고서</t>
        </is>
      </c>
      <c r="F9166" s="3" t="inlineStr">
        <is>
          <t>최우용</t>
        </is>
      </c>
      <c r="G9166" s="2" t="inlineStr">
        <is>
          <t>20260602000381</t>
        </is>
      </c>
      <c r="H9166" s="8">
        <f>HYPERLINK("https://dart.fss.or.kr/dsaf001/main.do?rcpNo=20260602000381", "공시열람")</f>
        <v/>
      </c>
    </row>
    <row r="9167">
      <c r="A9167" s="2" t="inlineStr">
        <is>
          <t>2026-06-02</t>
        </is>
      </c>
      <c r="B9167" s="3" t="inlineStr">
        <is>
          <t>나이스정보통신</t>
        </is>
      </c>
      <c r="C9167" s="2" t="inlineStr">
        <is>
          <t>코스닥</t>
        </is>
      </c>
      <c r="D9167" s="2" t="inlineStr">
        <is>
          <t>036800</t>
        </is>
      </c>
      <c r="E9167" s="3" t="inlineStr">
        <is>
          <t xml:space="preserve">주주명부폐쇄기간또는기준일설정              </t>
        </is>
      </c>
      <c r="F9167" s="3" t="inlineStr">
        <is>
          <t>나이스정보통신</t>
        </is>
      </c>
      <c r="G9167" s="2" t="inlineStr">
        <is>
          <t>20260602900595</t>
        </is>
      </c>
      <c r="H9167" s="8">
        <f>HYPERLINK("https://dart.fss.or.kr/dsaf001/main.do?rcpNo=20260602900595", "공시열람")</f>
        <v/>
      </c>
    </row>
    <row r="9168">
      <c r="A9168" s="2" t="inlineStr">
        <is>
          <t>2026-06-02</t>
        </is>
      </c>
      <c r="B9168" s="3" t="inlineStr">
        <is>
          <t>코스모로보틱스</t>
        </is>
      </c>
      <c r="C9168" s="2" t="inlineStr">
        <is>
          <t>코스닥</t>
        </is>
      </c>
      <c r="D9168" s="2" t="inlineStr">
        <is>
          <t>439960</t>
        </is>
      </c>
      <c r="E9168" s="3" t="inlineStr">
        <is>
          <t>임원ㆍ주요주주특정증권등소유상황보고서</t>
        </is>
      </c>
      <c r="F9168" s="3" t="inlineStr">
        <is>
          <t>엔비에이치캐피탈</t>
        </is>
      </c>
      <c r="G9168" s="2" t="inlineStr">
        <is>
          <t>20260602000373</t>
        </is>
      </c>
      <c r="H9168" s="8">
        <f>HYPERLINK("https://dart.fss.or.kr/dsaf001/main.do?rcpNo=20260602000373", "공시열람")</f>
        <v/>
      </c>
    </row>
    <row r="9169">
      <c r="A9169" s="2" t="inlineStr">
        <is>
          <t>2026-06-02</t>
        </is>
      </c>
      <c r="B9169" s="3" t="inlineStr">
        <is>
          <t>현대차증권</t>
        </is>
      </c>
      <c r="C9169" s="2" t="inlineStr">
        <is>
          <t>코스피</t>
        </is>
      </c>
      <c r="D9169" s="2" t="inlineStr">
        <is>
          <t>001500</t>
        </is>
      </c>
      <c r="E9169" s="3" t="inlineStr">
        <is>
          <t>투자설명서(일괄신고)</t>
        </is>
      </c>
      <c r="F9169" s="3" t="inlineStr">
        <is>
          <t>현대차증권</t>
        </is>
      </c>
      <c r="G9169" s="2" t="inlineStr">
        <is>
          <t>20260602000372</t>
        </is>
      </c>
      <c r="H9169" s="8">
        <f>HYPERLINK("https://dart.fss.or.kr/dsaf001/main.do?rcpNo=20260602000372", "공시열람")</f>
        <v/>
      </c>
    </row>
    <row r="9170">
      <c r="A9170" s="2" t="inlineStr">
        <is>
          <t>2026-06-02</t>
        </is>
      </c>
      <c r="B9170" s="3" t="inlineStr">
        <is>
          <t>대신증권</t>
        </is>
      </c>
      <c r="C9170" s="2" t="inlineStr">
        <is>
          <t>코스피</t>
        </is>
      </c>
      <c r="D9170" s="2" t="inlineStr">
        <is>
          <t>003540</t>
        </is>
      </c>
      <c r="E9170" s="3" t="inlineStr">
        <is>
          <t>증권발행실적보고서</t>
        </is>
      </c>
      <c r="F9170" s="3" t="inlineStr">
        <is>
          <t>대신증권</t>
        </is>
      </c>
      <c r="G9170" s="2" t="inlineStr">
        <is>
          <t>20260602000369</t>
        </is>
      </c>
      <c r="H9170" s="8">
        <f>HYPERLINK("https://dart.fss.or.kr/dsaf001/main.do?rcpNo=20260602000369", "공시열람")</f>
        <v/>
      </c>
    </row>
    <row r="9171">
      <c r="A9171" s="2" t="inlineStr">
        <is>
          <t>2026-06-02</t>
        </is>
      </c>
      <c r="B9171" s="3" t="inlineStr">
        <is>
          <t>씨엑스아이</t>
        </is>
      </c>
      <c r="C9171" s="2" t="inlineStr">
        <is>
          <t>코스닥</t>
        </is>
      </c>
      <c r="D9171" s="2" t="inlineStr">
        <is>
          <t>900120</t>
        </is>
      </c>
      <c r="E9171" s="3" t="inlineStr">
        <is>
          <t>사외이사의선임ㆍ해임또는중도퇴임에관한신고</t>
        </is>
      </c>
      <c r="F9171" s="3" t="inlineStr">
        <is>
          <t>씨엑스아이</t>
        </is>
      </c>
      <c r="G9171" s="2" t="inlineStr">
        <is>
          <t>20260602000368</t>
        </is>
      </c>
      <c r="H9171" s="8">
        <f>HYPERLINK("https://dart.fss.or.kr/dsaf001/main.do?rcpNo=20260602000368", "공시열람")</f>
        <v/>
      </c>
    </row>
    <row r="9172">
      <c r="A9172" s="2" t="inlineStr">
        <is>
          <t>2026-06-02</t>
        </is>
      </c>
      <c r="B9172" s="3" t="inlineStr">
        <is>
          <t>포스뱅크</t>
        </is>
      </c>
      <c r="C9172" s="2" t="inlineStr">
        <is>
          <t>코스닥</t>
        </is>
      </c>
      <c r="D9172" s="2" t="inlineStr">
        <is>
          <t>105760</t>
        </is>
      </c>
      <c r="E9172" s="3" t="inlineStr">
        <is>
          <t>임원ㆍ주요주주특정증권등소유상황보고서</t>
        </is>
      </c>
      <c r="F9172" s="3" t="inlineStr">
        <is>
          <t>이종선</t>
        </is>
      </c>
      <c r="G9172" s="2" t="inlineStr">
        <is>
          <t>20260602000365</t>
        </is>
      </c>
      <c r="H9172" s="8">
        <f>HYPERLINK("https://dart.fss.or.kr/dsaf001/main.do?rcpNo=20260602000365", "공시열람")</f>
        <v/>
      </c>
    </row>
    <row r="9173">
      <c r="A9173" s="2" t="inlineStr">
        <is>
          <t>2026-06-02</t>
        </is>
      </c>
      <c r="B9173" s="3" t="inlineStr">
        <is>
          <t>에어부산</t>
        </is>
      </c>
      <c r="C9173" s="2" t="inlineStr">
        <is>
          <t>코스피</t>
        </is>
      </c>
      <c r="D9173" s="2" t="inlineStr">
        <is>
          <t>298690</t>
        </is>
      </c>
      <c r="E9173" s="3" t="inlineStr">
        <is>
          <t xml:space="preserve">풍문또는보도에대한해명(미확정)              </t>
        </is>
      </c>
      <c r="F9173" s="3" t="inlineStr">
        <is>
          <t>에어부산</t>
        </is>
      </c>
      <c r="G9173" s="2" t="inlineStr">
        <is>
          <t>20260602800550</t>
        </is>
      </c>
      <c r="H9173" s="8">
        <f>HYPERLINK("https://dart.fss.or.kr/dsaf001/main.do?rcpNo=20260602800550", "공시열람")</f>
        <v/>
      </c>
    </row>
    <row r="9174">
      <c r="A9174" s="2" t="inlineStr">
        <is>
          <t>2026-06-02</t>
        </is>
      </c>
      <c r="B9174" s="3" t="inlineStr">
        <is>
          <t>아이씨티케이</t>
        </is>
      </c>
      <c r="C9174" s="2" t="inlineStr">
        <is>
          <t>코스닥</t>
        </is>
      </c>
      <c r="D9174" s="2" t="inlineStr">
        <is>
          <t>456010</t>
        </is>
      </c>
      <c r="E9174" s="3" t="inlineStr">
        <is>
          <t>전환청구권행사              (제5회차)</t>
        </is>
      </c>
      <c r="F9174" s="3" t="inlineStr">
        <is>
          <t>아이씨티케이</t>
        </is>
      </c>
      <c r="G9174" s="2" t="inlineStr">
        <is>
          <t>20260602900560</t>
        </is>
      </c>
      <c r="H9174" s="8">
        <f>HYPERLINK("https://dart.fss.or.kr/dsaf001/main.do?rcpNo=20260602900560", "공시열람")</f>
        <v/>
      </c>
    </row>
    <row r="9175">
      <c r="A9175" s="2" t="inlineStr">
        <is>
          <t>2026-06-02</t>
        </is>
      </c>
      <c r="B9175" s="3" t="inlineStr">
        <is>
          <t>진에어</t>
        </is>
      </c>
      <c r="C9175" s="2" t="inlineStr">
        <is>
          <t>코스피</t>
        </is>
      </c>
      <c r="D9175" s="2" t="inlineStr">
        <is>
          <t>272450</t>
        </is>
      </c>
      <c r="E9175" s="3" t="inlineStr">
        <is>
          <t xml:space="preserve">풍문또는보도에대한해명(미확정)              </t>
        </is>
      </c>
      <c r="F9175" s="3" t="inlineStr">
        <is>
          <t>진에어</t>
        </is>
      </c>
      <c r="G9175" s="2" t="inlineStr">
        <is>
          <t>20260602800567</t>
        </is>
      </c>
      <c r="H9175" s="8">
        <f>HYPERLINK("https://dart.fss.or.kr/dsaf001/main.do?rcpNo=20260602800567", "공시열람")</f>
        <v/>
      </c>
    </row>
    <row r="9176">
      <c r="A9176" s="2" t="inlineStr">
        <is>
          <t>2026-06-02 (정정: 2026-06-05)</t>
        </is>
      </c>
      <c r="B9176" s="3" t="inlineStr">
        <is>
          <t>더콘텐츠온</t>
        </is>
      </c>
      <c r="C9176" s="2" t="inlineStr">
        <is>
          <t>코넥스</t>
        </is>
      </c>
      <c r="D9176" s="2" t="inlineStr">
        <is>
          <t>302920</t>
        </is>
      </c>
      <c r="E9176" s="3" t="inlineStr">
        <is>
          <t>기업설명회(IR)개최               (정정: 20260605)</t>
        </is>
      </c>
      <c r="F9176" s="3" t="inlineStr">
        <is>
          <t>더콘텐츠온</t>
        </is>
      </c>
      <c r="G9176" s="2" t="inlineStr">
        <is>
          <t>20260605600203</t>
        </is>
      </c>
      <c r="H9176" s="8">
        <f>HYPERLINK("https://dart.fss.or.kr/dsaf001/main.do?rcpNo=20260605600203", "공시열람")</f>
        <v/>
      </c>
    </row>
    <row r="9177">
      <c r="A9177" s="2" t="inlineStr">
        <is>
          <t>2026-06-02</t>
        </is>
      </c>
      <c r="B9177" s="3" t="inlineStr">
        <is>
          <t>현대차증권</t>
        </is>
      </c>
      <c r="C9177" s="2" t="inlineStr">
        <is>
          <t>코스피</t>
        </is>
      </c>
      <c r="D9177" s="2" t="inlineStr">
        <is>
          <t>001500</t>
        </is>
      </c>
      <c r="E9177" s="3" t="inlineStr">
        <is>
          <t>일괄신고추가서류(기타파생결합사채)</t>
        </is>
      </c>
      <c r="F9177" s="3" t="inlineStr">
        <is>
          <t>현대차증권</t>
        </is>
      </c>
      <c r="G9177" s="2" t="inlineStr">
        <is>
          <t>20260602000357</t>
        </is>
      </c>
      <c r="H9177" s="8">
        <f>HYPERLINK("https://dart.fss.or.kr/dsaf001/main.do?rcpNo=20260602000357", "공시열람")</f>
        <v/>
      </c>
    </row>
    <row r="9178">
      <c r="A9178" s="2" t="inlineStr">
        <is>
          <t>2026-06-02</t>
        </is>
      </c>
      <c r="B9178" s="3" t="inlineStr">
        <is>
          <t>미래에셋증권</t>
        </is>
      </c>
      <c r="C9178" s="2" t="inlineStr">
        <is>
          <t>코스피</t>
        </is>
      </c>
      <c r="D9178" s="2" t="inlineStr">
        <is>
          <t>006800</t>
        </is>
      </c>
      <c r="E9178" s="3" t="inlineStr">
        <is>
          <t>투자설명서(일괄신고)</t>
        </is>
      </c>
      <c r="F9178" s="3" t="inlineStr">
        <is>
          <t>미래에셋증권</t>
        </is>
      </c>
      <c r="G9178" s="2" t="inlineStr">
        <is>
          <t>20260602000356</t>
        </is>
      </c>
      <c r="H9178" s="8">
        <f>HYPERLINK("https://dart.fss.or.kr/dsaf001/main.do?rcpNo=20260602000356", "공시열람")</f>
        <v/>
      </c>
    </row>
    <row r="9179">
      <c r="A9179" s="2" t="inlineStr">
        <is>
          <t>2026-06-02</t>
        </is>
      </c>
      <c r="B9179" s="3" t="inlineStr">
        <is>
          <t>미래에셋증권</t>
        </is>
      </c>
      <c r="C9179" s="2" t="inlineStr">
        <is>
          <t>코스피</t>
        </is>
      </c>
      <c r="D9179" s="2" t="inlineStr">
        <is>
          <t>006800</t>
        </is>
      </c>
      <c r="E9179" s="3" t="inlineStr">
        <is>
          <t>일괄신고추가서류(파생결합사채-주가연계파생결합사채)</t>
        </is>
      </c>
      <c r="F9179" s="3" t="inlineStr">
        <is>
          <t>미래에셋증권</t>
        </is>
      </c>
      <c r="G9179" s="2" t="inlineStr">
        <is>
          <t>20260602000354</t>
        </is>
      </c>
      <c r="H9179" s="8">
        <f>HYPERLINK("https://dart.fss.or.kr/dsaf001/main.do?rcpNo=20260602000354", "공시열람")</f>
        <v/>
      </c>
    </row>
    <row r="9180">
      <c r="A9180" s="2" t="inlineStr">
        <is>
          <t>2026-06-02</t>
        </is>
      </c>
      <c r="B9180" s="3" t="inlineStr">
        <is>
          <t>씨엔알리서치</t>
        </is>
      </c>
      <c r="C9180" s="2" t="inlineStr">
        <is>
          <t>코스닥</t>
        </is>
      </c>
      <c r="D9180" s="2" t="inlineStr">
        <is>
          <t>359090</t>
        </is>
      </c>
      <c r="E9180" s="3" t="inlineStr">
        <is>
          <t>주권매매거래정지              (주식의 병합, 분할 등 전자등록 변경, 말소)</t>
        </is>
      </c>
      <c r="F9180" s="3" t="inlineStr">
        <is>
          <t>코스닥시장본부</t>
        </is>
      </c>
      <c r="G9180" s="2" t="inlineStr">
        <is>
          <t>20260602900540</t>
        </is>
      </c>
      <c r="H9180" s="8">
        <f>HYPERLINK("https://dart.fss.or.kr/dsaf001/main.do?rcpNo=20260602900540", "공시열람")</f>
        <v/>
      </c>
    </row>
    <row r="9181">
      <c r="A9181" s="2" t="inlineStr">
        <is>
          <t>2026-06-02 (정정: 2026-06-02)</t>
        </is>
      </c>
      <c r="B9181" s="3" t="inlineStr">
        <is>
          <t>한화</t>
        </is>
      </c>
      <c r="C9181" s="2" t="inlineStr">
        <is>
          <t>코스피</t>
        </is>
      </c>
      <c r="D9181" s="2" t="inlineStr">
        <is>
          <t>000880</t>
        </is>
      </c>
      <c r="E9181" s="3" t="inlineStr">
        <is>
          <t>특수관계인에대한출자 (정정: 20260602)</t>
        </is>
      </c>
      <c r="F9181" s="3" t="inlineStr">
        <is>
          <t>한화</t>
        </is>
      </c>
      <c r="G9181" s="2" t="inlineStr">
        <is>
          <t>20260602000191</t>
        </is>
      </c>
      <c r="H9181" s="8">
        <f>HYPERLINK("https://dart.fss.or.kr/dsaf001/main.do?rcpNo=20260602000191", "공시열람")</f>
        <v/>
      </c>
    </row>
    <row r="9182">
      <c r="A9182" s="2" t="inlineStr">
        <is>
          <t>2026-06-02</t>
        </is>
      </c>
      <c r="B9182" s="3" t="inlineStr">
        <is>
          <t>일신바이오</t>
        </is>
      </c>
      <c r="C9182" s="2" t="inlineStr">
        <is>
          <t>코스닥</t>
        </is>
      </c>
      <c r="D9182" s="2" t="inlineStr">
        <is>
          <t>068330</t>
        </is>
      </c>
      <c r="E9182" s="3" t="inlineStr">
        <is>
          <t>임원ㆍ주요주주특정증권등소유상황보고서</t>
        </is>
      </c>
      <c r="F9182" s="3" t="inlineStr">
        <is>
          <t>홍중기</t>
        </is>
      </c>
      <c r="G9182" s="2" t="inlineStr">
        <is>
          <t>20260602000351</t>
        </is>
      </c>
      <c r="H9182" s="8">
        <f>HYPERLINK("https://dart.fss.or.kr/dsaf001/main.do?rcpNo=20260602000351", "공시열람")</f>
        <v/>
      </c>
    </row>
    <row r="9183">
      <c r="A9183" s="2" t="inlineStr">
        <is>
          <t>2026-06-02</t>
        </is>
      </c>
      <c r="B9183" s="3" t="inlineStr">
        <is>
          <t>키움증권</t>
        </is>
      </c>
      <c r="C9183" s="2" t="inlineStr">
        <is>
          <t>코스피</t>
        </is>
      </c>
      <c r="D9183" s="2" t="inlineStr">
        <is>
          <t>039490</t>
        </is>
      </c>
      <c r="E9183" s="3" t="inlineStr">
        <is>
          <t>일괄신고추가서류(파생결합사채-주가연계파생결합사채)</t>
        </is>
      </c>
      <c r="F9183" s="3" t="inlineStr">
        <is>
          <t>키움증권</t>
        </is>
      </c>
      <c r="G9183" s="2" t="inlineStr">
        <is>
          <t>20260602000349</t>
        </is>
      </c>
      <c r="H9183" s="8">
        <f>HYPERLINK("https://dart.fss.or.kr/dsaf001/main.do?rcpNo=20260602000349", "공시열람")</f>
        <v/>
      </c>
    </row>
    <row r="9184">
      <c r="A9184" s="2" t="inlineStr">
        <is>
          <t>2026-06-02</t>
        </is>
      </c>
      <c r="B9184" s="3" t="inlineStr">
        <is>
          <t>현대차증권</t>
        </is>
      </c>
      <c r="C9184" s="2" t="inlineStr">
        <is>
          <t>코스피</t>
        </is>
      </c>
      <c r="D9184" s="2" t="inlineStr">
        <is>
          <t>001500</t>
        </is>
      </c>
      <c r="E9184" s="3" t="inlineStr">
        <is>
          <t>투자설명서(일괄신고)</t>
        </is>
      </c>
      <c r="F9184" s="3" t="inlineStr">
        <is>
          <t>현대차증권</t>
        </is>
      </c>
      <c r="G9184" s="2" t="inlineStr">
        <is>
          <t>20260602000347</t>
        </is>
      </c>
      <c r="H9184" s="8">
        <f>HYPERLINK("https://dart.fss.or.kr/dsaf001/main.do?rcpNo=20260602000347", "공시열람")</f>
        <v/>
      </c>
    </row>
    <row r="9185">
      <c r="A9185" s="2" t="inlineStr">
        <is>
          <t>2026-06-02</t>
        </is>
      </c>
      <c r="B9185" s="3" t="inlineStr">
        <is>
          <t>노을</t>
        </is>
      </c>
      <c r="C9185" s="2" t="inlineStr">
        <is>
          <t>코스닥</t>
        </is>
      </c>
      <c r="D9185" s="2" t="inlineStr">
        <is>
          <t>376930</t>
        </is>
      </c>
      <c r="E9185" s="3" t="inlineStr">
        <is>
          <t xml:space="preserve">주주명부폐쇄기간또는기준일설정              </t>
        </is>
      </c>
      <c r="F9185" s="3" t="inlineStr">
        <is>
          <t>노을</t>
        </is>
      </c>
      <c r="G9185" s="2" t="inlineStr">
        <is>
          <t>20260602900546</t>
        </is>
      </c>
      <c r="H9185" s="8">
        <f>HYPERLINK("https://dart.fss.or.kr/dsaf001/main.do?rcpNo=20260602900546", "공시열람")</f>
        <v/>
      </c>
    </row>
    <row r="9186">
      <c r="A9186" s="2" t="inlineStr">
        <is>
          <t>2026-06-02</t>
        </is>
      </c>
      <c r="B9186" s="3" t="inlineStr">
        <is>
          <t>선바이오</t>
        </is>
      </c>
      <c r="C9186" s="2" t="inlineStr">
        <is>
          <t>코스닥</t>
        </is>
      </c>
      <c r="D9186" s="2" t="inlineStr">
        <is>
          <t>067370</t>
        </is>
      </c>
      <c r="E9186" s="3" t="inlineStr">
        <is>
          <t>임원ㆍ주요주주특정증권등소유상황보고서</t>
        </is>
      </c>
      <c r="F9186" s="3" t="inlineStr">
        <is>
          <t>노광</t>
        </is>
      </c>
      <c r="G9186" s="2" t="inlineStr">
        <is>
          <t>20260602000344</t>
        </is>
      </c>
      <c r="H9186" s="8">
        <f>HYPERLINK("https://dart.fss.or.kr/dsaf001/main.do?rcpNo=20260602000344", "공시열람")</f>
        <v/>
      </c>
    </row>
    <row r="9187">
      <c r="A9187" s="2" t="inlineStr">
        <is>
          <t>2026-06-02</t>
        </is>
      </c>
      <c r="B9187" s="3" t="inlineStr">
        <is>
          <t>다산네트웍스</t>
        </is>
      </c>
      <c r="C9187" s="2" t="inlineStr">
        <is>
          <t>코스닥</t>
        </is>
      </c>
      <c r="D9187" s="2" t="inlineStr">
        <is>
          <t>039560</t>
        </is>
      </c>
      <c r="E9187" s="3" t="inlineStr">
        <is>
          <t xml:space="preserve">기업설명회(IR)개최              </t>
        </is>
      </c>
      <c r="F9187" s="3" t="inlineStr">
        <is>
          <t>다산네트웍스</t>
        </is>
      </c>
      <c r="G9187" s="2" t="inlineStr">
        <is>
          <t>20260602900541</t>
        </is>
      </c>
      <c r="H9187" s="8">
        <f>HYPERLINK("https://dart.fss.or.kr/dsaf001/main.do?rcpNo=20260602900541", "공시열람")</f>
        <v/>
      </c>
    </row>
    <row r="9188">
      <c r="A9188" s="2" t="inlineStr">
        <is>
          <t>2026-06-02 (정정: 2026-06-12)</t>
        </is>
      </c>
      <c r="B9188" s="3" t="inlineStr">
        <is>
          <t>대우건설</t>
        </is>
      </c>
      <c r="C9188" s="2" t="inlineStr">
        <is>
          <t>코스피</t>
        </is>
      </c>
      <c r="D9188" s="2" t="inlineStr">
        <is>
          <t>047040</t>
        </is>
      </c>
      <c r="E9188" s="3" t="inlineStr">
        <is>
          <t>풍문또는보도에대한해명(미확정)               (정정: 20260612)</t>
        </is>
      </c>
      <c r="F9188" s="3" t="inlineStr">
        <is>
          <t>대우건설</t>
        </is>
      </c>
      <c r="G9188" s="2" t="inlineStr">
        <is>
          <t>20260612800723</t>
        </is>
      </c>
      <c r="H9188" s="8">
        <f>HYPERLINK("https://dart.fss.or.kr/dsaf001/main.do?rcpNo=20260612800723", "공시열람")</f>
        <v/>
      </c>
    </row>
    <row r="9189">
      <c r="A9189" s="2" t="inlineStr">
        <is>
          <t>2026-06-02</t>
        </is>
      </c>
      <c r="B9189" s="3" t="inlineStr">
        <is>
          <t>삼영이엔씨</t>
        </is>
      </c>
      <c r="C9189" s="2" t="inlineStr">
        <is>
          <t>코스닥</t>
        </is>
      </c>
      <c r="D9189" s="2" t="inlineStr">
        <is>
          <t>065570</t>
        </is>
      </c>
      <c r="E9189" s="3" t="inlineStr">
        <is>
          <t>기타시장안내              (기업심사위원회 개최기한 연장안내)</t>
        </is>
      </c>
      <c r="F9189" s="3" t="inlineStr">
        <is>
          <t>코스닥시장본부</t>
        </is>
      </c>
      <c r="G9189" s="2" t="inlineStr">
        <is>
          <t>20260602900485</t>
        </is>
      </c>
      <c r="H9189" s="8">
        <f>HYPERLINK("https://dart.fss.or.kr/dsaf001/main.do?rcpNo=20260602900485", "공시열람")</f>
        <v/>
      </c>
    </row>
    <row r="9190">
      <c r="A9190" s="2" t="inlineStr">
        <is>
          <t>2026-06-02</t>
        </is>
      </c>
      <c r="B9190" s="3" t="inlineStr">
        <is>
          <t>NICE</t>
        </is>
      </c>
      <c r="C9190" s="2" t="inlineStr">
        <is>
          <t>코스피</t>
        </is>
      </c>
      <c r="D9190" s="2" t="inlineStr">
        <is>
          <t>034310</t>
        </is>
      </c>
      <c r="E9190" s="3" t="inlineStr">
        <is>
          <t xml:space="preserve">타법인주식및출자증권처분결정              </t>
        </is>
      </c>
      <c r="F9190" s="3" t="inlineStr">
        <is>
          <t>NICE</t>
        </is>
      </c>
      <c r="G9190" s="2" t="inlineStr">
        <is>
          <t>20260602800538</t>
        </is>
      </c>
      <c r="H9190" s="8">
        <f>HYPERLINK("https://dart.fss.or.kr/dsaf001/main.do?rcpNo=20260602800538", "공시열람")</f>
        <v/>
      </c>
    </row>
    <row r="9191">
      <c r="A9191" s="2" t="inlineStr">
        <is>
          <t>2026-06-02</t>
        </is>
      </c>
      <c r="B9191" s="3" t="inlineStr">
        <is>
          <t>현대차증권</t>
        </is>
      </c>
      <c r="C9191" s="2" t="inlineStr">
        <is>
          <t>코스피</t>
        </is>
      </c>
      <c r="D9191" s="2" t="inlineStr">
        <is>
          <t>001500</t>
        </is>
      </c>
      <c r="E9191" s="3" t="inlineStr">
        <is>
          <t>투자설명서(일괄신고)</t>
        </is>
      </c>
      <c r="F9191" s="3" t="inlineStr">
        <is>
          <t>현대차증권</t>
        </is>
      </c>
      <c r="G9191" s="2" t="inlineStr">
        <is>
          <t>20260602000338</t>
        </is>
      </c>
      <c r="H9191" s="8">
        <f>HYPERLINK("https://dart.fss.or.kr/dsaf001/main.do?rcpNo=20260602000338", "공시열람")</f>
        <v/>
      </c>
    </row>
    <row r="9192">
      <c r="A9192" s="2" t="inlineStr">
        <is>
          <t>2026-06-02</t>
        </is>
      </c>
      <c r="B9192" s="3" t="inlineStr">
        <is>
          <t>서울반도체</t>
        </is>
      </c>
      <c r="C9192" s="2" t="inlineStr">
        <is>
          <t>코스닥</t>
        </is>
      </c>
      <c r="D9192" s="2" t="inlineStr">
        <is>
          <t>046890</t>
        </is>
      </c>
      <c r="E9192" s="3" t="inlineStr">
        <is>
          <t>의결권대리행사권유참고서류</t>
        </is>
      </c>
      <c r="F9192" s="3" t="inlineStr">
        <is>
          <t>서울반도체</t>
        </is>
      </c>
      <c r="G9192" s="2" t="inlineStr">
        <is>
          <t>20260602000332</t>
        </is>
      </c>
      <c r="H9192" s="8">
        <f>HYPERLINK("https://dart.fss.or.kr/dsaf001/main.do?rcpNo=20260602000332", "공시열람")</f>
        <v/>
      </c>
    </row>
    <row r="9193">
      <c r="A9193" s="2" t="inlineStr">
        <is>
          <t>2026-06-02</t>
        </is>
      </c>
      <c r="B9193" s="3" t="inlineStr">
        <is>
          <t>미래에셋증권</t>
        </is>
      </c>
      <c r="C9193" s="2" t="inlineStr">
        <is>
          <t>코스피</t>
        </is>
      </c>
      <c r="D9193" s="2" t="inlineStr">
        <is>
          <t>006800</t>
        </is>
      </c>
      <c r="E9193" s="3" t="inlineStr">
        <is>
          <t>특수관계인과의수익증권거래</t>
        </is>
      </c>
      <c r="F9193" s="3" t="inlineStr">
        <is>
          <t>미래에셋증권</t>
        </is>
      </c>
      <c r="G9193" s="2" t="inlineStr">
        <is>
          <t>20260602000330</t>
        </is>
      </c>
      <c r="H9193" s="8">
        <f>HYPERLINK("https://dart.fss.or.kr/dsaf001/main.do?rcpNo=20260602000330", "공시열람")</f>
        <v/>
      </c>
    </row>
    <row r="9194">
      <c r="A9194" s="2" t="inlineStr">
        <is>
          <t>2026-06-02</t>
        </is>
      </c>
      <c r="B9194" s="3" t="inlineStr">
        <is>
          <t>한전KPS</t>
        </is>
      </c>
      <c r="C9194" s="2" t="inlineStr">
        <is>
          <t>코스피</t>
        </is>
      </c>
      <c r="D9194" s="2" t="inlineStr">
        <is>
          <t>051600</t>
        </is>
      </c>
      <c r="E9194" s="3" t="inlineStr">
        <is>
          <t xml:space="preserve">풍문또는보도에대한해명(미확정)              </t>
        </is>
      </c>
      <c r="F9194" s="3" t="inlineStr">
        <is>
          <t>한전KPS</t>
        </is>
      </c>
      <c r="G9194" s="2" t="inlineStr">
        <is>
          <t>20260602800466</t>
        </is>
      </c>
      <c r="H9194" s="8">
        <f>HYPERLINK("https://dart.fss.or.kr/dsaf001/main.do?rcpNo=20260602800466", "공시열람")</f>
        <v/>
      </c>
    </row>
    <row r="9195">
      <c r="A9195" s="2" t="inlineStr">
        <is>
          <t>2026-06-02</t>
        </is>
      </c>
      <c r="B9195" s="3" t="inlineStr">
        <is>
          <t>KG에코솔루션</t>
        </is>
      </c>
      <c r="C9195" s="2" t="inlineStr">
        <is>
          <t>코스닥</t>
        </is>
      </c>
      <c r="D9195" s="2" t="inlineStr">
        <is>
          <t>151860</t>
        </is>
      </c>
      <c r="E9195" s="3" t="inlineStr">
        <is>
          <t xml:space="preserve">기업설명회(IR)개최              </t>
        </is>
      </c>
      <c r="F9195" s="3" t="inlineStr">
        <is>
          <t>KG에코솔루션</t>
        </is>
      </c>
      <c r="G9195" s="2" t="inlineStr">
        <is>
          <t>20260602900518</t>
        </is>
      </c>
      <c r="H9195" s="8">
        <f>HYPERLINK("https://dart.fss.or.kr/dsaf001/main.do?rcpNo=20260602900518", "공시열람")</f>
        <v/>
      </c>
    </row>
    <row r="9196">
      <c r="A9196" s="2" t="inlineStr">
        <is>
          <t>2026-06-02</t>
        </is>
      </c>
      <c r="B9196" s="3" t="inlineStr">
        <is>
          <t>현대차증권</t>
        </is>
      </c>
      <c r="C9196" s="2" t="inlineStr">
        <is>
          <t>코스피</t>
        </is>
      </c>
      <c r="D9196" s="2" t="inlineStr">
        <is>
          <t>001500</t>
        </is>
      </c>
      <c r="E9196" s="3" t="inlineStr">
        <is>
          <t>투자설명서(일괄신고)</t>
        </is>
      </c>
      <c r="F9196" s="3" t="inlineStr">
        <is>
          <t>현대차증권</t>
        </is>
      </c>
      <c r="G9196" s="2" t="inlineStr">
        <is>
          <t>20260602000328</t>
        </is>
      </c>
      <c r="H9196" s="8">
        <f>HYPERLINK("https://dart.fss.or.kr/dsaf001/main.do?rcpNo=20260602000328", "공시열람")</f>
        <v/>
      </c>
    </row>
    <row r="9197">
      <c r="A9197" s="2" t="inlineStr">
        <is>
          <t>2026-06-02</t>
        </is>
      </c>
      <c r="B9197" s="3" t="inlineStr">
        <is>
          <t>KTcs</t>
        </is>
      </c>
      <c r="C9197" s="2" t="inlineStr">
        <is>
          <t>코스피</t>
        </is>
      </c>
      <c r="D9197" s="2" t="inlineStr">
        <is>
          <t>058850</t>
        </is>
      </c>
      <c r="E9197" s="3" t="inlineStr">
        <is>
          <t>임원ㆍ주요주주특정증권등소유상황보고서</t>
        </is>
      </c>
      <c r="F9197" s="3" t="inlineStr">
        <is>
          <t>이창호</t>
        </is>
      </c>
      <c r="G9197" s="2" t="inlineStr">
        <is>
          <t>20260602000324</t>
        </is>
      </c>
      <c r="H9197" s="8">
        <f>HYPERLINK("https://dart.fss.or.kr/dsaf001/main.do?rcpNo=20260602000324", "공시열람")</f>
        <v/>
      </c>
    </row>
    <row r="9198">
      <c r="A9198" s="2" t="inlineStr">
        <is>
          <t>2026-06-02</t>
        </is>
      </c>
      <c r="B9198" s="3" t="inlineStr">
        <is>
          <t>KG스틸</t>
        </is>
      </c>
      <c r="C9198" s="2" t="inlineStr">
        <is>
          <t>코스피</t>
        </is>
      </c>
      <c r="D9198" s="2" t="inlineStr">
        <is>
          <t>016380</t>
        </is>
      </c>
      <c r="E9198" s="3" t="inlineStr">
        <is>
          <t>합병등종료보고서(합병)</t>
        </is>
      </c>
      <c r="F9198" s="3" t="inlineStr">
        <is>
          <t>KG스틸</t>
        </is>
      </c>
      <c r="G9198" s="2" t="inlineStr">
        <is>
          <t>20260602000322</t>
        </is>
      </c>
      <c r="H9198" s="8">
        <f>HYPERLINK("https://dart.fss.or.kr/dsaf001/main.do?rcpNo=20260602000322", "공시열람")</f>
        <v/>
      </c>
    </row>
    <row r="9199">
      <c r="A9199" s="2" t="inlineStr">
        <is>
          <t>2026-06-02</t>
        </is>
      </c>
      <c r="B9199" s="3" t="inlineStr">
        <is>
          <t>엑스플러스</t>
        </is>
      </c>
      <c r="C9199" s="2" t="inlineStr">
        <is>
          <t>코스닥</t>
        </is>
      </c>
      <c r="D9199" s="2" t="inlineStr">
        <is>
          <t>373200</t>
        </is>
      </c>
      <c r="E9199" s="3" t="inlineStr">
        <is>
          <t>[기재정정]기타경영사항(자율공시)              (제2회차 CB 취득후 재매각)</t>
        </is>
      </c>
      <c r="F9199" s="3" t="inlineStr">
        <is>
          <t>엑스플러스</t>
        </is>
      </c>
      <c r="G9199" s="2" t="inlineStr">
        <is>
          <t>20260602900486</t>
        </is>
      </c>
      <c r="H9199" s="8">
        <f>HYPERLINK("https://dart.fss.or.kr/dsaf001/main.do?rcpNo=20260602900486", "공시열람")</f>
        <v/>
      </c>
    </row>
    <row r="9200">
      <c r="A9200" s="2" t="inlineStr">
        <is>
          <t>2026-06-02</t>
        </is>
      </c>
      <c r="B9200" s="3" t="inlineStr">
        <is>
          <t>엑스플러스</t>
        </is>
      </c>
      <c r="C9200" s="2" t="inlineStr">
        <is>
          <t>코스닥</t>
        </is>
      </c>
      <c r="D9200" s="2" t="inlineStr">
        <is>
          <t>373200</t>
        </is>
      </c>
      <c r="E9200" s="3" t="inlineStr">
        <is>
          <t>[기재정정]기타경영사항(자율공시)              (제3회차 BW 취득후 재매각)</t>
        </is>
      </c>
      <c r="F9200" s="3" t="inlineStr">
        <is>
          <t>엑스플러스</t>
        </is>
      </c>
      <c r="G9200" s="2" t="inlineStr">
        <is>
          <t>20260602900490</t>
        </is>
      </c>
      <c r="H9200" s="8">
        <f>HYPERLINK("https://dart.fss.or.kr/dsaf001/main.do?rcpNo=20260602900490", "공시열람")</f>
        <v/>
      </c>
    </row>
    <row r="9201">
      <c r="A9201" s="2" t="inlineStr">
        <is>
          <t>2026-06-02</t>
        </is>
      </c>
      <c r="B9201" s="3" t="inlineStr">
        <is>
          <t>현대차증권</t>
        </is>
      </c>
      <c r="C9201" s="2" t="inlineStr">
        <is>
          <t>코스피</t>
        </is>
      </c>
      <c r="D9201" s="2" t="inlineStr">
        <is>
          <t>001500</t>
        </is>
      </c>
      <c r="E9201" s="3" t="inlineStr">
        <is>
          <t>투자설명서(일괄신고)</t>
        </is>
      </c>
      <c r="F9201" s="3" t="inlineStr">
        <is>
          <t>현대차증권</t>
        </is>
      </c>
      <c r="G9201" s="2" t="inlineStr">
        <is>
          <t>20260602000310</t>
        </is>
      </c>
      <c r="H9201" s="8">
        <f>HYPERLINK("https://dart.fss.or.kr/dsaf001/main.do?rcpNo=20260602000310", "공시열람")</f>
        <v/>
      </c>
    </row>
    <row r="9202">
      <c r="A9202" s="2" t="inlineStr">
        <is>
          <t>2026-06-02</t>
        </is>
      </c>
      <c r="B9202" s="3" t="inlineStr">
        <is>
          <t>키움증권</t>
        </is>
      </c>
      <c r="C9202" s="2" t="inlineStr">
        <is>
          <t>코스피</t>
        </is>
      </c>
      <c r="D9202" s="2" t="inlineStr">
        <is>
          <t>039490</t>
        </is>
      </c>
      <c r="E9202" s="3" t="inlineStr">
        <is>
          <t>투자설명서(일괄신고)</t>
        </is>
      </c>
      <c r="F9202" s="3" t="inlineStr">
        <is>
          <t>키움증권</t>
        </is>
      </c>
      <c r="G9202" s="2" t="inlineStr">
        <is>
          <t>20260602000308</t>
        </is>
      </c>
      <c r="H9202" s="8">
        <f>HYPERLINK("https://dart.fss.or.kr/dsaf001/main.do?rcpNo=20260602000308", "공시열람")</f>
        <v/>
      </c>
    </row>
    <row r="9203">
      <c r="A9203" s="2" t="inlineStr">
        <is>
          <t>2026-06-02</t>
        </is>
      </c>
      <c r="B9203" s="3" t="inlineStr">
        <is>
          <t>삼익THK</t>
        </is>
      </c>
      <c r="C9203" s="2" t="inlineStr">
        <is>
          <t>코스피</t>
        </is>
      </c>
      <c r="D9203" s="2" t="inlineStr">
        <is>
          <t>004380</t>
        </is>
      </c>
      <c r="E9203" s="3" t="inlineStr">
        <is>
          <t>임원ㆍ주요주주특정증권등소유상황보고서</t>
        </is>
      </c>
      <c r="F9203" s="3" t="inlineStr">
        <is>
          <t>류영수</t>
        </is>
      </c>
      <c r="G9203" s="2" t="inlineStr">
        <is>
          <t>20260602000307</t>
        </is>
      </c>
      <c r="H9203" s="8">
        <f>HYPERLINK("https://dart.fss.or.kr/dsaf001/main.do?rcpNo=20260602000307", "공시열람")</f>
        <v/>
      </c>
    </row>
    <row r="9204">
      <c r="A9204" s="2" t="inlineStr">
        <is>
          <t>2026-06-02</t>
        </is>
      </c>
      <c r="B9204" s="3" t="inlineStr">
        <is>
          <t>파인텍</t>
        </is>
      </c>
      <c r="C9204" s="2" t="inlineStr">
        <is>
          <t>코스닥</t>
        </is>
      </c>
      <c r="D9204" s="2" t="inlineStr">
        <is>
          <t>131760</t>
        </is>
      </c>
      <c r="E9204" s="3" t="inlineStr">
        <is>
          <t>임원ㆍ주요주주특정증권등소유상황보고서</t>
        </is>
      </c>
      <c r="F9204" s="3" t="inlineStr">
        <is>
          <t>송상호</t>
        </is>
      </c>
      <c r="G9204" s="2" t="inlineStr">
        <is>
          <t>20260602000306</t>
        </is>
      </c>
      <c r="H9204" s="8">
        <f>HYPERLINK("https://dart.fss.or.kr/dsaf001/main.do?rcpNo=20260602000306", "공시열람")</f>
        <v/>
      </c>
    </row>
    <row r="9205">
      <c r="A9205" s="2" t="inlineStr">
        <is>
          <t>2026-06-02</t>
        </is>
      </c>
      <c r="B9205" s="3" t="inlineStr">
        <is>
          <t>키움증권</t>
        </is>
      </c>
      <c r="C9205" s="2" t="inlineStr">
        <is>
          <t>코스피</t>
        </is>
      </c>
      <c r="D9205" s="2" t="inlineStr">
        <is>
          <t>039490</t>
        </is>
      </c>
      <c r="E9205" s="3" t="inlineStr">
        <is>
          <t>투자설명서(일괄신고)</t>
        </is>
      </c>
      <c r="F9205" s="3" t="inlineStr">
        <is>
          <t>키움증권</t>
        </is>
      </c>
      <c r="G9205" s="2" t="inlineStr">
        <is>
          <t>20260602000303</t>
        </is>
      </c>
      <c r="H9205" s="8">
        <f>HYPERLINK("https://dart.fss.or.kr/dsaf001/main.do?rcpNo=20260602000303", "공시열람")</f>
        <v/>
      </c>
    </row>
    <row r="9206">
      <c r="A9206" s="2" t="inlineStr">
        <is>
          <t>2026-06-02</t>
        </is>
      </c>
      <c r="B9206" s="3" t="inlineStr">
        <is>
          <t>파인텍</t>
        </is>
      </c>
      <c r="C9206" s="2" t="inlineStr">
        <is>
          <t>코스닥</t>
        </is>
      </c>
      <c r="D9206" s="2" t="inlineStr">
        <is>
          <t>131760</t>
        </is>
      </c>
      <c r="E9206" s="3" t="inlineStr">
        <is>
          <t>임원ㆍ주요주주특정증권등소유상황보고서</t>
        </is>
      </c>
      <c r="F9206" s="3" t="inlineStr">
        <is>
          <t>박창욱</t>
        </is>
      </c>
      <c r="G9206" s="2" t="inlineStr">
        <is>
          <t>20260602000302</t>
        </is>
      </c>
      <c r="H9206" s="8">
        <f>HYPERLINK("https://dart.fss.or.kr/dsaf001/main.do?rcpNo=20260602000302", "공시열람")</f>
        <v/>
      </c>
    </row>
    <row r="9207">
      <c r="A9207" s="2" t="inlineStr">
        <is>
          <t>2026-06-02</t>
        </is>
      </c>
      <c r="B9207" s="3" t="inlineStr">
        <is>
          <t>크래프톤</t>
        </is>
      </c>
      <c r="C9207" s="2" t="inlineStr">
        <is>
          <t>코스피</t>
        </is>
      </c>
      <c r="D9207" s="2" t="inlineStr">
        <is>
          <t>259960</t>
        </is>
      </c>
      <c r="E9207" s="3" t="inlineStr">
        <is>
          <t>자기주식처분결과보고서</t>
        </is>
      </c>
      <c r="F9207" s="3" t="inlineStr">
        <is>
          <t>크래프톤</t>
        </is>
      </c>
      <c r="G9207" s="2" t="inlineStr">
        <is>
          <t>20260602000301</t>
        </is>
      </c>
      <c r="H9207" s="8">
        <f>HYPERLINK("https://dart.fss.or.kr/dsaf001/main.do?rcpNo=20260602000301", "공시열람")</f>
        <v/>
      </c>
    </row>
    <row r="9208">
      <c r="A9208" s="2" t="inlineStr">
        <is>
          <t>2026-06-02</t>
        </is>
      </c>
      <c r="B9208" s="3" t="inlineStr">
        <is>
          <t>메이슨캐피탈</t>
        </is>
      </c>
      <c r="C9208" s="2" t="inlineStr">
        <is>
          <t>코스닥</t>
        </is>
      </c>
      <c r="D9208" s="2" t="inlineStr">
        <is>
          <t>021880</t>
        </is>
      </c>
      <c r="E9208" s="3" t="inlineStr">
        <is>
          <t>주권매매거래정지              (주식의 병합, 분할 등 전자등록 변경, 말소)</t>
        </is>
      </c>
      <c r="F9208" s="3" t="inlineStr">
        <is>
          <t>코스닥시장본부</t>
        </is>
      </c>
      <c r="G9208" s="2" t="inlineStr">
        <is>
          <t>20260602900467</t>
        </is>
      </c>
      <c r="H9208" s="8">
        <f>HYPERLINK("https://dart.fss.or.kr/dsaf001/main.do?rcpNo=20260602900467", "공시열람")</f>
        <v/>
      </c>
    </row>
    <row r="9209">
      <c r="A9209" s="2" t="inlineStr">
        <is>
          <t>2026-06-02</t>
        </is>
      </c>
      <c r="B9209" s="3" t="inlineStr">
        <is>
          <t>노을</t>
        </is>
      </c>
      <c r="C9209" s="2" t="inlineStr">
        <is>
          <t>코스닥</t>
        </is>
      </c>
      <c r="D9209" s="2" t="inlineStr">
        <is>
          <t>376930</t>
        </is>
      </c>
      <c r="E9209" s="3" t="inlineStr">
        <is>
          <t xml:space="preserve">주식병합결정              </t>
        </is>
      </c>
      <c r="F9209" s="3" t="inlineStr">
        <is>
          <t>노을</t>
        </is>
      </c>
      <c r="G9209" s="2" t="inlineStr">
        <is>
          <t>20260602900478</t>
        </is>
      </c>
      <c r="H9209" s="8">
        <f>HYPERLINK("https://dart.fss.or.kr/dsaf001/main.do?rcpNo=20260602900478", "공시열람")</f>
        <v/>
      </c>
    </row>
    <row r="9210">
      <c r="A9210" s="2" t="inlineStr">
        <is>
          <t>2026-06-02</t>
        </is>
      </c>
      <c r="B9210" s="3" t="inlineStr">
        <is>
          <t>키움증권</t>
        </is>
      </c>
      <c r="C9210" s="2" t="inlineStr">
        <is>
          <t>코스피</t>
        </is>
      </c>
      <c r="D9210" s="2" t="inlineStr">
        <is>
          <t>039490</t>
        </is>
      </c>
      <c r="E9210" s="3" t="inlineStr">
        <is>
          <t>투자설명서(일괄신고)</t>
        </is>
      </c>
      <c r="F9210" s="3" t="inlineStr">
        <is>
          <t>키움증권</t>
        </is>
      </c>
      <c r="G9210" s="2" t="inlineStr">
        <is>
          <t>20260602000298</t>
        </is>
      </c>
      <c r="H9210" s="8">
        <f>HYPERLINK("https://dart.fss.or.kr/dsaf001/main.do?rcpNo=20260602000298", "공시열람")</f>
        <v/>
      </c>
    </row>
    <row r="9211">
      <c r="A9211" s="2" t="inlineStr">
        <is>
          <t>2026-06-02</t>
        </is>
      </c>
      <c r="B9211" s="3" t="inlineStr">
        <is>
          <t>파인텍</t>
        </is>
      </c>
      <c r="C9211" s="2" t="inlineStr">
        <is>
          <t>코스닥</t>
        </is>
      </c>
      <c r="D9211" s="2" t="inlineStr">
        <is>
          <t>131760</t>
        </is>
      </c>
      <c r="E9211" s="3" t="inlineStr">
        <is>
          <t>임원ㆍ주요주주특정증권등소유상황보고서</t>
        </is>
      </c>
      <c r="F9211" s="3" t="inlineStr">
        <is>
          <t>박중철</t>
        </is>
      </c>
      <c r="G9211" s="2" t="inlineStr">
        <is>
          <t>20260602000297</t>
        </is>
      </c>
      <c r="H9211" s="8">
        <f>HYPERLINK("https://dart.fss.or.kr/dsaf001/main.do?rcpNo=20260602000297", "공시열람")</f>
        <v/>
      </c>
    </row>
    <row r="9212">
      <c r="A9212" s="2" t="inlineStr">
        <is>
          <t>2026-06-02</t>
        </is>
      </c>
      <c r="B9212" s="3" t="inlineStr">
        <is>
          <t>파라다이스</t>
        </is>
      </c>
      <c r="C9212" s="2" t="inlineStr">
        <is>
          <t>코스피</t>
        </is>
      </c>
      <c r="D9212" s="2" t="inlineStr">
        <is>
          <t>034230</t>
        </is>
      </c>
      <c r="E9212" s="3" t="inlineStr">
        <is>
          <t xml:space="preserve">연결재무제표기준영업(잠정)실적(공정공시)              </t>
        </is>
      </c>
      <c r="F9212" s="3" t="inlineStr">
        <is>
          <t>파라다이스</t>
        </is>
      </c>
      <c r="G9212" s="2" t="inlineStr">
        <is>
          <t>20260602800435</t>
        </is>
      </c>
      <c r="H9212" s="8">
        <f>HYPERLINK("https://dart.fss.or.kr/dsaf001/main.do?rcpNo=20260602800435", "공시열람")</f>
        <v/>
      </c>
    </row>
    <row r="9213">
      <c r="A9213" s="2" t="inlineStr">
        <is>
          <t>2026-06-02</t>
        </is>
      </c>
      <c r="B9213" s="3" t="inlineStr">
        <is>
          <t>보원케미칼</t>
        </is>
      </c>
      <c r="C9213" s="2" t="inlineStr">
        <is>
          <t>코스닥</t>
        </is>
      </c>
      <c r="D9213" s="2" t="inlineStr">
        <is>
          <t>0010F0</t>
        </is>
      </c>
      <c r="E9213" s="3" t="inlineStr">
        <is>
          <t>임원ㆍ주요주주특정증권등소유상황보고서</t>
        </is>
      </c>
      <c r="F9213" s="3" t="inlineStr">
        <is>
          <t>이현용</t>
        </is>
      </c>
      <c r="G9213" s="2" t="inlineStr">
        <is>
          <t>20260602000295</t>
        </is>
      </c>
      <c r="H9213" s="8">
        <f>HYPERLINK("https://dart.fss.or.kr/dsaf001/main.do?rcpNo=20260602000295", "공시열람")</f>
        <v/>
      </c>
    </row>
    <row r="9214">
      <c r="A9214" s="2" t="inlineStr">
        <is>
          <t>2026-06-02</t>
        </is>
      </c>
      <c r="B9214" s="3" t="inlineStr">
        <is>
          <t>파인텍</t>
        </is>
      </c>
      <c r="C9214" s="2" t="inlineStr">
        <is>
          <t>코스닥</t>
        </is>
      </c>
      <c r="D9214" s="2" t="inlineStr">
        <is>
          <t>131760</t>
        </is>
      </c>
      <c r="E9214" s="3" t="inlineStr">
        <is>
          <t>임원ㆍ주요주주특정증권등소유상황보고서</t>
        </is>
      </c>
      <c r="F9214" s="3" t="inlineStr">
        <is>
          <t>박광휘</t>
        </is>
      </c>
      <c r="G9214" s="2" t="inlineStr">
        <is>
          <t>20260602000294</t>
        </is>
      </c>
      <c r="H9214" s="8">
        <f>HYPERLINK("https://dart.fss.or.kr/dsaf001/main.do?rcpNo=20260602000294", "공시열람")</f>
        <v/>
      </c>
    </row>
    <row r="9215">
      <c r="A9215" s="2" t="inlineStr">
        <is>
          <t>2026-06-02</t>
        </is>
      </c>
      <c r="B9215" s="3" t="inlineStr">
        <is>
          <t>파인텍</t>
        </is>
      </c>
      <c r="C9215" s="2" t="inlineStr">
        <is>
          <t>코스닥</t>
        </is>
      </c>
      <c r="D9215" s="2" t="inlineStr">
        <is>
          <t>131760</t>
        </is>
      </c>
      <c r="E9215" s="3" t="inlineStr">
        <is>
          <t>임원ㆍ주요주주특정증권등소유상황보고서</t>
        </is>
      </c>
      <c r="F9215" s="3" t="inlineStr">
        <is>
          <t>김상태</t>
        </is>
      </c>
      <c r="G9215" s="2" t="inlineStr">
        <is>
          <t>20260602000292</t>
        </is>
      </c>
      <c r="H9215" s="8">
        <f>HYPERLINK("https://dart.fss.or.kr/dsaf001/main.do?rcpNo=20260602000292", "공시열람")</f>
        <v/>
      </c>
    </row>
    <row r="9216">
      <c r="A9216" s="2" t="inlineStr">
        <is>
          <t>2026-06-02</t>
        </is>
      </c>
      <c r="B9216" s="3" t="inlineStr">
        <is>
          <t>대신밸류리츠</t>
        </is>
      </c>
      <c r="C9216" s="2" t="inlineStr">
        <is>
          <t>코스피</t>
        </is>
      </c>
      <c r="D9216" s="2" t="inlineStr">
        <is>
          <t>0030R0</t>
        </is>
      </c>
      <c r="E9216" s="3" t="inlineStr">
        <is>
          <t>임원ㆍ주요주주특정증권등소유상황보고서</t>
        </is>
      </c>
      <c r="F9216" s="3" t="inlineStr">
        <is>
          <t>대신증권</t>
        </is>
      </c>
      <c r="G9216" s="2" t="inlineStr">
        <is>
          <t>20260602000291</t>
        </is>
      </c>
      <c r="H9216" s="8">
        <f>HYPERLINK("https://dart.fss.or.kr/dsaf001/main.do?rcpNo=20260602000291", "공시열람")</f>
        <v/>
      </c>
    </row>
    <row r="9217">
      <c r="A9217" s="2" t="inlineStr">
        <is>
          <t>2026-06-02</t>
        </is>
      </c>
      <c r="B9217" s="3" t="inlineStr">
        <is>
          <t>파인텍</t>
        </is>
      </c>
      <c r="C9217" s="2" t="inlineStr">
        <is>
          <t>코스닥</t>
        </is>
      </c>
      <c r="D9217" s="2" t="inlineStr">
        <is>
          <t>131760</t>
        </is>
      </c>
      <c r="E9217" s="3" t="inlineStr">
        <is>
          <t>임원ㆍ주요주주특정증권등소유상황보고서</t>
        </is>
      </c>
      <c r="F9217" s="3" t="inlineStr">
        <is>
          <t>김기호</t>
        </is>
      </c>
      <c r="G9217" s="2" t="inlineStr">
        <is>
          <t>20260602000290</t>
        </is>
      </c>
      <c r="H9217" s="8">
        <f>HYPERLINK("https://dart.fss.or.kr/dsaf001/main.do?rcpNo=20260602000290", "공시열람")</f>
        <v/>
      </c>
    </row>
    <row r="9218">
      <c r="A9218" s="2" t="inlineStr">
        <is>
          <t>2026-06-02</t>
        </is>
      </c>
      <c r="B9218" s="3" t="inlineStr">
        <is>
          <t>보로노이</t>
        </is>
      </c>
      <c r="C9218" s="2" t="inlineStr">
        <is>
          <t>코스닥</t>
        </is>
      </c>
      <c r="D9218" s="2" t="inlineStr">
        <is>
          <t>310210</t>
        </is>
      </c>
      <c r="E9218" s="3" t="inlineStr">
        <is>
          <t xml:space="preserve">기업설명회(IR)개최              </t>
        </is>
      </c>
      <c r="F9218" s="3" t="inlineStr">
        <is>
          <t>보로노이</t>
        </is>
      </c>
      <c r="G9218" s="2" t="inlineStr">
        <is>
          <t>20260602900459</t>
        </is>
      </c>
      <c r="H9218" s="8">
        <f>HYPERLINK("https://dart.fss.or.kr/dsaf001/main.do?rcpNo=20260602900459", "공시열람")</f>
        <v/>
      </c>
    </row>
    <row r="9219">
      <c r="A9219" s="2" t="inlineStr">
        <is>
          <t>2026-06-02</t>
        </is>
      </c>
      <c r="B9219" s="3" t="inlineStr">
        <is>
          <t>SK리츠</t>
        </is>
      </c>
      <c r="C9219" s="2" t="inlineStr">
        <is>
          <t>코스피</t>
        </is>
      </c>
      <c r="D9219" s="2" t="inlineStr">
        <is>
          <t>395400</t>
        </is>
      </c>
      <c r="E9219" s="3" t="inlineStr">
        <is>
          <t xml:space="preserve">부동산투자회사부동산임대              </t>
        </is>
      </c>
      <c r="F9219" s="3" t="inlineStr">
        <is>
          <t>SK리츠</t>
        </is>
      </c>
      <c r="G9219" s="2" t="inlineStr">
        <is>
          <t>20260602800429</t>
        </is>
      </c>
      <c r="H9219" s="8">
        <f>HYPERLINK("https://dart.fss.or.kr/dsaf001/main.do?rcpNo=20260602800429", "공시열람")</f>
        <v/>
      </c>
    </row>
    <row r="9220">
      <c r="A9220" s="2" t="inlineStr">
        <is>
          <t>2026-06-02</t>
        </is>
      </c>
      <c r="B9220" s="3" t="inlineStr">
        <is>
          <t>한글과컴퓨터</t>
        </is>
      </c>
      <c r="C9220" s="2" t="inlineStr">
        <is>
          <t>코스닥</t>
        </is>
      </c>
      <c r="D9220" s="2" t="inlineStr">
        <is>
          <t>030520</t>
        </is>
      </c>
      <c r="E9220" s="3" t="inlineStr">
        <is>
          <t>임원ㆍ주요주주특정증권등소유상황보고서</t>
        </is>
      </c>
      <c r="F9220" s="3" t="inlineStr">
        <is>
          <t>정지환</t>
        </is>
      </c>
      <c r="G9220" s="2" t="inlineStr">
        <is>
          <t>20260602000289</t>
        </is>
      </c>
      <c r="H9220" s="8">
        <f>HYPERLINK("https://dart.fss.or.kr/dsaf001/main.do?rcpNo=20260602000289", "공시열람")</f>
        <v/>
      </c>
    </row>
    <row r="9221">
      <c r="A9221" s="2" t="inlineStr">
        <is>
          <t>2026-06-02</t>
        </is>
      </c>
      <c r="B9221" s="3" t="inlineStr">
        <is>
          <t>KG스틸</t>
        </is>
      </c>
      <c r="C9221" s="2" t="inlineStr">
        <is>
          <t>코스피</t>
        </is>
      </c>
      <c r="D9221" s="2" t="inlineStr">
        <is>
          <t>016380</t>
        </is>
      </c>
      <c r="E9221" s="3" t="inlineStr">
        <is>
          <t>합병등종료보고서(합병)</t>
        </is>
      </c>
      <c r="F9221" s="3" t="inlineStr">
        <is>
          <t>KG스틸</t>
        </is>
      </c>
      <c r="G9221" s="2" t="inlineStr">
        <is>
          <t>20260602000284</t>
        </is>
      </c>
      <c r="H9221" s="8">
        <f>HYPERLINK("https://dart.fss.or.kr/dsaf001/main.do?rcpNo=20260602000284", "공시열람")</f>
        <v/>
      </c>
    </row>
    <row r="9222">
      <c r="A9222" s="2" t="inlineStr">
        <is>
          <t>2026-06-02</t>
        </is>
      </c>
      <c r="B9222" s="3" t="inlineStr">
        <is>
          <t>파인텍</t>
        </is>
      </c>
      <c r="C9222" s="2" t="inlineStr">
        <is>
          <t>코스닥</t>
        </is>
      </c>
      <c r="D9222" s="2" t="inlineStr">
        <is>
          <t>131760</t>
        </is>
      </c>
      <c r="E9222" s="3" t="inlineStr">
        <is>
          <t>임원ㆍ주요주주특정증권등소유상황보고서</t>
        </is>
      </c>
      <c r="F9222" s="3" t="inlineStr">
        <is>
          <t>강원일</t>
        </is>
      </c>
      <c r="G9222" s="2" t="inlineStr">
        <is>
          <t>20260602000283</t>
        </is>
      </c>
      <c r="H9222" s="8">
        <f>HYPERLINK("https://dart.fss.or.kr/dsaf001/main.do?rcpNo=20260602000283", "공시열람")</f>
        <v/>
      </c>
    </row>
    <row r="9223">
      <c r="A9223" s="2" t="inlineStr">
        <is>
          <t>2026-06-02</t>
        </is>
      </c>
      <c r="B9223" s="3" t="inlineStr">
        <is>
          <t>캔버스엔</t>
        </is>
      </c>
      <c r="C9223" s="2" t="inlineStr">
        <is>
          <t>코스닥</t>
        </is>
      </c>
      <c r="D9223" s="2" t="inlineStr">
        <is>
          <t>210120</t>
        </is>
      </c>
      <c r="E9223" s="3" t="inlineStr">
        <is>
          <t xml:space="preserve">주주명부폐쇄기간또는기준일설정              </t>
        </is>
      </c>
      <c r="F9223" s="3" t="inlineStr">
        <is>
          <t>캔버스엔</t>
        </is>
      </c>
      <c r="G9223" s="2" t="inlineStr">
        <is>
          <t>20260602900427</t>
        </is>
      </c>
      <c r="H9223" s="8">
        <f>HYPERLINK("https://dart.fss.or.kr/dsaf001/main.do?rcpNo=20260602900427", "공시열람")</f>
        <v/>
      </c>
    </row>
    <row r="9224">
      <c r="A9224" s="2" t="inlineStr">
        <is>
          <t>2026-06-02</t>
        </is>
      </c>
      <c r="B9224" s="3" t="inlineStr">
        <is>
          <t>아셈스</t>
        </is>
      </c>
      <c r="C9224" s="2" t="inlineStr">
        <is>
          <t>코스닥</t>
        </is>
      </c>
      <c r="D9224" s="2" t="inlineStr">
        <is>
          <t>136410</t>
        </is>
      </c>
      <c r="E9224" s="3" t="inlineStr">
        <is>
          <t>신탁계약해지결과보고서</t>
        </is>
      </c>
      <c r="F9224" s="3" t="inlineStr">
        <is>
          <t>아셈스</t>
        </is>
      </c>
      <c r="G9224" s="2" t="inlineStr">
        <is>
          <t>20260602000281</t>
        </is>
      </c>
      <c r="H9224" s="8">
        <f>HYPERLINK("https://dart.fss.or.kr/dsaf001/main.do?rcpNo=20260602000281", "공시열람")</f>
        <v/>
      </c>
    </row>
    <row r="9225">
      <c r="A9225" s="2" t="inlineStr">
        <is>
          <t>2026-06-02</t>
        </is>
      </c>
      <c r="B9225" s="3" t="inlineStr">
        <is>
          <t>현대차증권</t>
        </is>
      </c>
      <c r="C9225" s="2" t="inlineStr">
        <is>
          <t>코스피</t>
        </is>
      </c>
      <c r="D9225" s="2" t="inlineStr">
        <is>
          <t>001500</t>
        </is>
      </c>
      <c r="E9225" s="3" t="inlineStr">
        <is>
          <t>일괄신고추가서류(파생결합사채-주가연계파생결합사채)</t>
        </is>
      </c>
      <c r="F9225" s="3" t="inlineStr">
        <is>
          <t>현대차증권</t>
        </is>
      </c>
      <c r="G9225" s="2" t="inlineStr">
        <is>
          <t>20260602000279</t>
        </is>
      </c>
      <c r="H9225" s="8">
        <f>HYPERLINK("https://dart.fss.or.kr/dsaf001/main.do?rcpNo=20260602000279", "공시열람")</f>
        <v/>
      </c>
    </row>
    <row r="9226">
      <c r="A9226" s="2" t="inlineStr">
        <is>
          <t>2026-06-02</t>
        </is>
      </c>
      <c r="B9226" s="3" t="inlineStr">
        <is>
          <t>KG파이낸셜</t>
        </is>
      </c>
      <c r="C9226" s="2" t="inlineStr">
        <is>
          <t>코스닥</t>
        </is>
      </c>
      <c r="D9226" s="2" t="inlineStr">
        <is>
          <t>046440</t>
        </is>
      </c>
      <c r="E9226" s="3" t="inlineStr">
        <is>
          <t xml:space="preserve">기업설명회(IR)개최              </t>
        </is>
      </c>
      <c r="F9226" s="3" t="inlineStr">
        <is>
          <t>KG파이낸셜</t>
        </is>
      </c>
      <c r="G9226" s="2" t="inlineStr">
        <is>
          <t>20260602900445</t>
        </is>
      </c>
      <c r="H9226" s="8">
        <f>HYPERLINK("https://dart.fss.or.kr/dsaf001/main.do?rcpNo=20260602900445", "공시열람")</f>
        <v/>
      </c>
    </row>
    <row r="9227">
      <c r="A9227" s="2" t="inlineStr">
        <is>
          <t>2026-06-02</t>
        </is>
      </c>
      <c r="B9227" s="3" t="inlineStr">
        <is>
          <t>한글과컴퓨터</t>
        </is>
      </c>
      <c r="C9227" s="2" t="inlineStr">
        <is>
          <t>코스닥</t>
        </is>
      </c>
      <c r="D9227" s="2" t="inlineStr">
        <is>
          <t>030520</t>
        </is>
      </c>
      <c r="E9227" s="3" t="inlineStr">
        <is>
          <t>임원ㆍ주요주주특정증권등소유상황보고서</t>
        </is>
      </c>
      <c r="F9227" s="3" t="inlineStr">
        <is>
          <t>진성식</t>
        </is>
      </c>
      <c r="G9227" s="2" t="inlineStr">
        <is>
          <t>20260602000276</t>
        </is>
      </c>
      <c r="H9227" s="8">
        <f>HYPERLINK("https://dart.fss.or.kr/dsaf001/main.do?rcpNo=20260602000276", "공시열람")</f>
        <v/>
      </c>
    </row>
    <row r="9228">
      <c r="A9228" s="2" t="inlineStr">
        <is>
          <t>2026-06-02</t>
        </is>
      </c>
      <c r="B9228" s="3" t="inlineStr">
        <is>
          <t>아티스트스튜디오</t>
        </is>
      </c>
      <c r="C9228" s="2" t="inlineStr">
        <is>
          <t>코스닥</t>
        </is>
      </c>
      <c r="D9228" s="2" t="inlineStr">
        <is>
          <t>200350</t>
        </is>
      </c>
      <c r="E9228" s="3" t="inlineStr">
        <is>
          <t>임원ㆍ주요주주특정증권등거래계획보고서</t>
        </is>
      </c>
      <c r="F9228" s="3" t="inlineStr">
        <is>
          <t>이정재</t>
        </is>
      </c>
      <c r="G9228" s="2" t="inlineStr">
        <is>
          <t>20260602000272</t>
        </is>
      </c>
      <c r="H9228" s="8">
        <f>HYPERLINK("https://dart.fss.or.kr/dsaf001/main.do?rcpNo=20260602000272", "공시열람")</f>
        <v/>
      </c>
    </row>
    <row r="9229">
      <c r="A9229" s="2" t="inlineStr">
        <is>
          <t>2026-06-02</t>
        </is>
      </c>
      <c r="B9229" s="3" t="inlineStr">
        <is>
          <t>아티스트스튜디오</t>
        </is>
      </c>
      <c r="C9229" s="2" t="inlineStr">
        <is>
          <t>코스닥</t>
        </is>
      </c>
      <c r="D9229" s="2" t="inlineStr">
        <is>
          <t>200350</t>
        </is>
      </c>
      <c r="E9229" s="3" t="inlineStr">
        <is>
          <t>임원ㆍ주요주주특정증권등거래계획보고서</t>
        </is>
      </c>
      <c r="F9229" s="3" t="inlineStr">
        <is>
          <t>아티스트컴퍼니</t>
        </is>
      </c>
      <c r="G9229" s="2" t="inlineStr">
        <is>
          <t>20260602000270</t>
        </is>
      </c>
      <c r="H9229" s="8">
        <f>HYPERLINK("https://dart.fss.or.kr/dsaf001/main.do?rcpNo=20260602000270", "공시열람")</f>
        <v/>
      </c>
    </row>
    <row r="9230">
      <c r="A9230" s="2" t="inlineStr">
        <is>
          <t>2026-06-02</t>
        </is>
      </c>
      <c r="B9230" s="3" t="inlineStr">
        <is>
          <t>라파스</t>
        </is>
      </c>
      <c r="C9230" s="2" t="inlineStr">
        <is>
          <t>코스닥</t>
        </is>
      </c>
      <c r="D9230" s="2" t="inlineStr">
        <is>
          <t>214260</t>
        </is>
      </c>
      <c r="E9230" s="3" t="inlineStr">
        <is>
          <t>임원ㆍ주요주주특정증권등소유상황보고서</t>
        </is>
      </c>
      <c r="F9230" s="3" t="inlineStr">
        <is>
          <t>하기완</t>
        </is>
      </c>
      <c r="G9230" s="2" t="inlineStr">
        <is>
          <t>20260602000266</t>
        </is>
      </c>
      <c r="H9230" s="8">
        <f>HYPERLINK("https://dart.fss.or.kr/dsaf001/main.do?rcpNo=20260602000266", "공시열람")</f>
        <v/>
      </c>
    </row>
    <row r="9231">
      <c r="A9231" s="2" t="inlineStr">
        <is>
          <t>2026-06-02</t>
        </is>
      </c>
      <c r="B9231" s="3" t="inlineStr">
        <is>
          <t>기아</t>
        </is>
      </c>
      <c r="C9231" s="2" t="inlineStr">
        <is>
          <t>코스피</t>
        </is>
      </c>
      <c r="D9231" s="2" t="inlineStr">
        <is>
          <t>000270</t>
        </is>
      </c>
      <c r="E9231" s="3" t="inlineStr">
        <is>
          <t xml:space="preserve">기업설명회(IR)개최(안내공시)              </t>
        </is>
      </c>
      <c r="F9231" s="3" t="inlineStr">
        <is>
          <t>기아</t>
        </is>
      </c>
      <c r="G9231" s="2" t="inlineStr">
        <is>
          <t>20260602800432</t>
        </is>
      </c>
      <c r="H9231" s="8">
        <f>HYPERLINK("https://dart.fss.or.kr/dsaf001/main.do?rcpNo=20260602800432", "공시열람")</f>
        <v/>
      </c>
    </row>
    <row r="9232">
      <c r="A9232" s="2" t="inlineStr">
        <is>
          <t>2026-06-02</t>
        </is>
      </c>
      <c r="B9232" s="3" t="inlineStr">
        <is>
          <t>씨큐브</t>
        </is>
      </c>
      <c r="C9232" s="2" t="inlineStr">
        <is>
          <t>코스닥</t>
        </is>
      </c>
      <c r="D9232" s="2" t="inlineStr">
        <is>
          <t>101240</t>
        </is>
      </c>
      <c r="E9232" s="3" t="inlineStr">
        <is>
          <t>임원ㆍ주요주주특정증권등소유상황보고서</t>
        </is>
      </c>
      <c r="F9232" s="3" t="inlineStr">
        <is>
          <t>스타치얼코퍼레이션</t>
        </is>
      </c>
      <c r="G9232" s="2" t="inlineStr">
        <is>
          <t>20260602000259</t>
        </is>
      </c>
      <c r="H9232" s="8">
        <f>HYPERLINK("https://dart.fss.or.kr/dsaf001/main.do?rcpNo=20260602000259", "공시열람")</f>
        <v/>
      </c>
    </row>
    <row r="9233">
      <c r="A9233" s="2" t="inlineStr">
        <is>
          <t>2026-06-02</t>
        </is>
      </c>
      <c r="B9233" s="3" t="inlineStr">
        <is>
          <t>제이엔케이글로벌</t>
        </is>
      </c>
      <c r="C9233" s="2" t="inlineStr">
        <is>
          <t>코스닥</t>
        </is>
      </c>
      <c r="D9233" s="2" t="inlineStr">
        <is>
          <t>126880</t>
        </is>
      </c>
      <c r="E9233" s="3" t="inlineStr">
        <is>
          <t>임원ㆍ주요주주특정증권등소유상황보고서</t>
        </is>
      </c>
      <c r="F9233" s="3" t="inlineStr">
        <is>
          <t>최창윤</t>
        </is>
      </c>
      <c r="G9233" s="2" t="inlineStr">
        <is>
          <t>20260602000255</t>
        </is>
      </c>
      <c r="H9233" s="8">
        <f>HYPERLINK("https://dart.fss.or.kr/dsaf001/main.do?rcpNo=20260602000255", "공시열람")</f>
        <v/>
      </c>
    </row>
    <row r="9234">
      <c r="A9234" s="2" t="inlineStr">
        <is>
          <t>2026-06-02</t>
        </is>
      </c>
      <c r="B9234" s="3" t="inlineStr">
        <is>
          <t>NH투자증권</t>
        </is>
      </c>
      <c r="C9234" s="2" t="inlineStr">
        <is>
          <t>코스피</t>
        </is>
      </c>
      <c r="D9234" s="2" t="inlineStr">
        <is>
          <t>005940</t>
        </is>
      </c>
      <c r="E9234" s="3" t="inlineStr">
        <is>
          <t>투자설명서(일괄신고)</t>
        </is>
      </c>
      <c r="F9234" s="3" t="inlineStr">
        <is>
          <t>NH투자증권</t>
        </is>
      </c>
      <c r="G9234" s="2" t="inlineStr">
        <is>
          <t>20260602000250</t>
        </is>
      </c>
      <c r="H9234" s="8">
        <f>HYPERLINK("https://dart.fss.or.kr/dsaf001/main.do?rcpNo=20260602000250", "공시열람")</f>
        <v/>
      </c>
    </row>
    <row r="9235">
      <c r="A9235" s="2" t="inlineStr">
        <is>
          <t>2026-06-02 (정정: 2026-06-25)</t>
        </is>
      </c>
      <c r="B9235" s="3" t="inlineStr">
        <is>
          <t>넥사다이내믹스</t>
        </is>
      </c>
      <c r="C9235" s="2" t="inlineStr">
        <is>
          <t>코스닥</t>
        </is>
      </c>
      <c r="D9235" s="2" t="inlineStr">
        <is>
          <t>351320</t>
        </is>
      </c>
      <c r="E9235" s="3" t="inlineStr">
        <is>
          <t>주주명부폐쇄기간또는기준일설정               (정정: 20260625)</t>
        </is>
      </c>
      <c r="F9235" s="3" t="inlineStr">
        <is>
          <t>넥사다이내믹스</t>
        </is>
      </c>
      <c r="G9235" s="2" t="inlineStr">
        <is>
          <t>20260625900648</t>
        </is>
      </c>
      <c r="H9235" s="8">
        <f>HYPERLINK("https://dart.fss.or.kr/dsaf001/main.do?rcpNo=20260625900648", "공시열람")</f>
        <v/>
      </c>
    </row>
    <row r="9236">
      <c r="A9236" s="2" t="inlineStr">
        <is>
          <t>2026-06-02</t>
        </is>
      </c>
      <c r="B9236" s="3" t="inlineStr">
        <is>
          <t>파루</t>
        </is>
      </c>
      <c r="C9236" s="2" t="inlineStr">
        <is>
          <t>코스닥</t>
        </is>
      </c>
      <c r="D9236" s="2" t="inlineStr">
        <is>
          <t>043200</t>
        </is>
      </c>
      <c r="E9236" s="3" t="inlineStr">
        <is>
          <t xml:space="preserve">주식병합결정              </t>
        </is>
      </c>
      <c r="F9236" s="3" t="inlineStr">
        <is>
          <t>파루</t>
        </is>
      </c>
      <c r="G9236" s="2" t="inlineStr">
        <is>
          <t>20260602900413</t>
        </is>
      </c>
      <c r="H9236" s="8">
        <f>HYPERLINK("https://dart.fss.or.kr/dsaf001/main.do?rcpNo=20260602900413", "공시열람")</f>
        <v/>
      </c>
    </row>
    <row r="9237">
      <c r="A9237" s="2" t="inlineStr">
        <is>
          <t>2026-06-02</t>
        </is>
      </c>
      <c r="B9237" s="3" t="inlineStr">
        <is>
          <t>KG이니시스</t>
        </is>
      </c>
      <c r="C9237" s="2" t="inlineStr">
        <is>
          <t>코스닥</t>
        </is>
      </c>
      <c r="D9237" s="2" t="inlineStr">
        <is>
          <t>035600</t>
        </is>
      </c>
      <c r="E9237" s="3" t="inlineStr">
        <is>
          <t xml:space="preserve">기업설명회(IR)개최              </t>
        </is>
      </c>
      <c r="F9237" s="3" t="inlineStr">
        <is>
          <t>KG이니시스</t>
        </is>
      </c>
      <c r="G9237" s="2" t="inlineStr">
        <is>
          <t>20260602900411</t>
        </is>
      </c>
      <c r="H9237" s="8">
        <f>HYPERLINK("https://dart.fss.or.kr/dsaf001/main.do?rcpNo=20260602900411", "공시열람")</f>
        <v/>
      </c>
    </row>
    <row r="9238">
      <c r="A9238" s="2" t="inlineStr">
        <is>
          <t>2026-06-02</t>
        </is>
      </c>
      <c r="B9238" s="3" t="inlineStr">
        <is>
          <t>파루</t>
        </is>
      </c>
      <c r="C9238" s="2" t="inlineStr">
        <is>
          <t>코스닥</t>
        </is>
      </c>
      <c r="D9238" s="2" t="inlineStr">
        <is>
          <t>043200</t>
        </is>
      </c>
      <c r="E9238" s="3" t="inlineStr">
        <is>
          <t xml:space="preserve">주주명부폐쇄기간또는기준일설정              </t>
        </is>
      </c>
      <c r="F9238" s="3" t="inlineStr">
        <is>
          <t>파루</t>
        </is>
      </c>
      <c r="G9238" s="2" t="inlineStr">
        <is>
          <t>20260602900407</t>
        </is>
      </c>
      <c r="H9238" s="8">
        <f>HYPERLINK("https://dart.fss.or.kr/dsaf001/main.do?rcpNo=20260602900407", "공시열람")</f>
        <v/>
      </c>
    </row>
    <row r="9239">
      <c r="A9239" s="2" t="inlineStr">
        <is>
          <t>2026-06-02</t>
        </is>
      </c>
      <c r="B9239" s="3" t="inlineStr">
        <is>
          <t>현대차증권</t>
        </is>
      </c>
      <c r="C9239" s="2" t="inlineStr">
        <is>
          <t>코스피</t>
        </is>
      </c>
      <c r="D9239" s="2" t="inlineStr">
        <is>
          <t>001500</t>
        </is>
      </c>
      <c r="E9239" s="3" t="inlineStr">
        <is>
          <t>일괄신고추가서류(기타파생결합사채)</t>
        </is>
      </c>
      <c r="F9239" s="3" t="inlineStr">
        <is>
          <t>현대차증권</t>
        </is>
      </c>
      <c r="G9239" s="2" t="inlineStr">
        <is>
          <t>20260602000247</t>
        </is>
      </c>
      <c r="H9239" s="8">
        <f>HYPERLINK("https://dart.fss.or.kr/dsaf001/main.do?rcpNo=20260602000247", "공시열람")</f>
        <v/>
      </c>
    </row>
    <row r="9240">
      <c r="A9240" s="2" t="inlineStr">
        <is>
          <t>2026-06-02</t>
        </is>
      </c>
      <c r="B9240" s="3" t="inlineStr">
        <is>
          <t>효성오앤비</t>
        </is>
      </c>
      <c r="C9240" s="2" t="inlineStr">
        <is>
          <t>코스닥</t>
        </is>
      </c>
      <c r="D9240" s="2" t="inlineStr">
        <is>
          <t>097870</t>
        </is>
      </c>
      <c r="E9240" s="3" t="inlineStr">
        <is>
          <t>의결권대리행사권유참고서류</t>
        </is>
      </c>
      <c r="F9240" s="3" t="inlineStr">
        <is>
          <t>효성오앤비</t>
        </is>
      </c>
      <c r="G9240" s="2" t="inlineStr">
        <is>
          <t>20260602000245</t>
        </is>
      </c>
      <c r="H9240" s="8">
        <f>HYPERLINK("https://dart.fss.or.kr/dsaf001/main.do?rcpNo=20260602000245", "공시열람")</f>
        <v/>
      </c>
    </row>
    <row r="9241">
      <c r="A9241" s="2" t="inlineStr">
        <is>
          <t>2026-06-02</t>
        </is>
      </c>
      <c r="B9241" s="3" t="inlineStr">
        <is>
          <t>아모레퍼시픽</t>
        </is>
      </c>
      <c r="C9241" s="2" t="inlineStr">
        <is>
          <t>코스피</t>
        </is>
      </c>
      <c r="D9241" s="2" t="inlineStr">
        <is>
          <t>090430</t>
        </is>
      </c>
      <c r="E9241" s="3" t="inlineStr">
        <is>
          <t xml:space="preserve">기업설명회(IR)개최(안내공시)              </t>
        </is>
      </c>
      <c r="F9241" s="3" t="inlineStr">
        <is>
          <t>아모레퍼시픽</t>
        </is>
      </c>
      <c r="G9241" s="2" t="inlineStr">
        <is>
          <t>20260602800397</t>
        </is>
      </c>
      <c r="H9241" s="8">
        <f>HYPERLINK("https://dart.fss.or.kr/dsaf001/main.do?rcpNo=20260602800397", "공시열람")</f>
        <v/>
      </c>
    </row>
    <row r="9242">
      <c r="A9242" s="2" t="inlineStr">
        <is>
          <t>2026-06-02</t>
        </is>
      </c>
      <c r="B9242" s="3" t="inlineStr">
        <is>
          <t>KG에코솔루션</t>
        </is>
      </c>
      <c r="C9242" s="2" t="inlineStr">
        <is>
          <t>코스닥</t>
        </is>
      </c>
      <c r="D9242" s="2" t="inlineStr">
        <is>
          <t>151860</t>
        </is>
      </c>
      <c r="E9242" s="3" t="inlineStr">
        <is>
          <t xml:space="preserve">주요사항보고서(자기주식처분결정)(자회사의 주요경영사항)              </t>
        </is>
      </c>
      <c r="F9242" s="3" t="inlineStr">
        <is>
          <t>KG에코솔루션</t>
        </is>
      </c>
      <c r="G9242" s="2" t="inlineStr">
        <is>
          <t>20260602900383</t>
        </is>
      </c>
      <c r="H9242" s="8">
        <f>HYPERLINK("https://dart.fss.or.kr/dsaf001/main.do?rcpNo=20260602900383", "공시열람")</f>
        <v/>
      </c>
    </row>
    <row r="9243">
      <c r="A9243" s="2" t="inlineStr">
        <is>
          <t>2026-06-02</t>
        </is>
      </c>
      <c r="B9243" s="3" t="inlineStr">
        <is>
          <t>미래에셋증권</t>
        </is>
      </c>
      <c r="C9243" s="2" t="inlineStr">
        <is>
          <t>코스피</t>
        </is>
      </c>
      <c r="D9243" s="2" t="inlineStr">
        <is>
          <t>006800</t>
        </is>
      </c>
      <c r="E9243" s="3" t="inlineStr">
        <is>
          <t>투자설명서(일괄신고)</t>
        </is>
      </c>
      <c r="F9243" s="3" t="inlineStr">
        <is>
          <t>미래에셋증권</t>
        </is>
      </c>
      <c r="G9243" s="2" t="inlineStr">
        <is>
          <t>20260602000240</t>
        </is>
      </c>
      <c r="H9243" s="8">
        <f>HYPERLINK("https://dart.fss.or.kr/dsaf001/main.do?rcpNo=20260602000240", "공시열람")</f>
        <v/>
      </c>
    </row>
    <row r="9244">
      <c r="A9244" s="2" t="inlineStr">
        <is>
          <t>2026-06-02</t>
        </is>
      </c>
      <c r="B9244" s="3" t="inlineStr">
        <is>
          <t>DKME</t>
        </is>
      </c>
      <c r="C9244" s="2" t="inlineStr">
        <is>
          <t>코스피</t>
        </is>
      </c>
      <c r="D9244" s="2" t="inlineStr">
        <is>
          <t>015590</t>
        </is>
      </c>
      <c r="E9244" s="3" t="inlineStr">
        <is>
          <t xml:space="preserve">소송등의판결ㆍ결정              </t>
        </is>
      </c>
      <c r="F9244" s="3" t="inlineStr">
        <is>
          <t>DKME</t>
        </is>
      </c>
      <c r="G9244" s="2" t="inlineStr">
        <is>
          <t>20260602800354</t>
        </is>
      </c>
      <c r="H9244" s="8">
        <f>HYPERLINK("https://dart.fss.or.kr/dsaf001/main.do?rcpNo=20260602800354", "공시열람")</f>
        <v/>
      </c>
    </row>
    <row r="9245">
      <c r="A9245" s="2" t="inlineStr">
        <is>
          <t>2026-06-02</t>
        </is>
      </c>
      <c r="B9245" s="3" t="inlineStr">
        <is>
          <t>태광산업</t>
        </is>
      </c>
      <c r="C9245" s="2" t="inlineStr">
        <is>
          <t>코스피</t>
        </is>
      </c>
      <c r="D9245" s="2" t="inlineStr">
        <is>
          <t>003240</t>
        </is>
      </c>
      <c r="E9245" s="3" t="inlineStr">
        <is>
          <t xml:space="preserve">풍문또는보도에대한해명(미확정)              </t>
        </is>
      </c>
      <c r="F9245" s="3" t="inlineStr">
        <is>
          <t>태광산업</t>
        </is>
      </c>
      <c r="G9245" s="2" t="inlineStr">
        <is>
          <t>20260602800382</t>
        </is>
      </c>
      <c r="H9245" s="8">
        <f>HYPERLINK("https://dart.fss.or.kr/dsaf001/main.do?rcpNo=20260602800382", "공시열람")</f>
        <v/>
      </c>
    </row>
    <row r="9246">
      <c r="A9246" s="2" t="inlineStr">
        <is>
          <t>2026-06-02</t>
        </is>
      </c>
      <c r="B9246" s="3" t="inlineStr">
        <is>
          <t>미래에셋증권</t>
        </is>
      </c>
      <c r="C9246" s="2" t="inlineStr">
        <is>
          <t>코스피</t>
        </is>
      </c>
      <c r="D9246" s="2" t="inlineStr">
        <is>
          <t>006800</t>
        </is>
      </c>
      <c r="E9246" s="3" t="inlineStr">
        <is>
          <t>일괄신고추가서류(파생결합사채-주가연계파생결합사채)</t>
        </is>
      </c>
      <c r="F9246" s="3" t="inlineStr">
        <is>
          <t>미래에셋증권</t>
        </is>
      </c>
      <c r="G9246" s="2" t="inlineStr">
        <is>
          <t>20260602000236</t>
        </is>
      </c>
      <c r="H9246" s="8">
        <f>HYPERLINK("https://dart.fss.or.kr/dsaf001/main.do?rcpNo=20260602000236", "공시열람")</f>
        <v/>
      </c>
    </row>
    <row r="9247">
      <c r="A9247" s="2" t="inlineStr">
        <is>
          <t>2026-06-02</t>
        </is>
      </c>
      <c r="B9247" s="3" t="inlineStr">
        <is>
          <t>KG스틸</t>
        </is>
      </c>
      <c r="C9247" s="2" t="inlineStr">
        <is>
          <t>코스피</t>
        </is>
      </c>
      <c r="D9247" s="2" t="inlineStr">
        <is>
          <t>016380</t>
        </is>
      </c>
      <c r="E9247" s="3" t="inlineStr">
        <is>
          <t>주요사항보고서(자기주식처분결정)</t>
        </is>
      </c>
      <c r="F9247" s="3" t="inlineStr">
        <is>
          <t>KG스틸</t>
        </is>
      </c>
      <c r="G9247" s="2" t="inlineStr">
        <is>
          <t>20260602000209</t>
        </is>
      </c>
      <c r="H9247" s="8">
        <f>HYPERLINK("https://dart.fss.or.kr/dsaf001/main.do?rcpNo=20260602000209", "공시열람")</f>
        <v/>
      </c>
    </row>
    <row r="9248">
      <c r="A9248" s="2" t="inlineStr">
        <is>
          <t>2026-06-02</t>
        </is>
      </c>
      <c r="B9248" s="3" t="inlineStr">
        <is>
          <t>휴메딕스</t>
        </is>
      </c>
      <c r="C9248" s="2" t="inlineStr">
        <is>
          <t>코스닥</t>
        </is>
      </c>
      <c r="D9248" s="2" t="inlineStr">
        <is>
          <t>200670</t>
        </is>
      </c>
      <c r="E9248" s="3" t="inlineStr">
        <is>
          <t xml:space="preserve">기업설명회(IR)개최              </t>
        </is>
      </c>
      <c r="F9248" s="3" t="inlineStr">
        <is>
          <t>휴메딕스</t>
        </is>
      </c>
      <c r="G9248" s="2" t="inlineStr">
        <is>
          <t>20260602900381</t>
        </is>
      </c>
      <c r="H9248" s="8">
        <f>HYPERLINK("https://dart.fss.or.kr/dsaf001/main.do?rcpNo=20260602900381", "공시열람")</f>
        <v/>
      </c>
    </row>
    <row r="9249">
      <c r="A9249" s="2" t="inlineStr">
        <is>
          <t>2026-06-02</t>
        </is>
      </c>
      <c r="B9249" s="3" t="inlineStr">
        <is>
          <t>현대차증권</t>
        </is>
      </c>
      <c r="C9249" s="2" t="inlineStr">
        <is>
          <t>코스피</t>
        </is>
      </c>
      <c r="D9249" s="2" t="inlineStr">
        <is>
          <t>001500</t>
        </is>
      </c>
      <c r="E9249" s="3" t="inlineStr">
        <is>
          <t>일괄신고추가서류(파생결합사채-주가연계파생결합사채)</t>
        </is>
      </c>
      <c r="F9249" s="3" t="inlineStr">
        <is>
          <t>현대차증권</t>
        </is>
      </c>
      <c r="G9249" s="2" t="inlineStr">
        <is>
          <t>20260602000228</t>
        </is>
      </c>
      <c r="H9249" s="8">
        <f>HYPERLINK("https://dart.fss.or.kr/dsaf001/main.do?rcpNo=20260602000228", "공시열람")</f>
        <v/>
      </c>
    </row>
    <row r="9250">
      <c r="A9250" s="2" t="inlineStr">
        <is>
          <t>2026-06-02</t>
        </is>
      </c>
      <c r="B9250" s="3" t="inlineStr">
        <is>
          <t>공구우먼</t>
        </is>
      </c>
      <c r="C9250" s="2" t="inlineStr">
        <is>
          <t>코스닥</t>
        </is>
      </c>
      <c r="D9250" s="2" t="inlineStr">
        <is>
          <t>366030</t>
        </is>
      </c>
      <c r="E9250" s="3" t="inlineStr">
        <is>
          <t>임원ㆍ주요주주특정증권등소유상황보고서</t>
        </is>
      </c>
      <c r="F9250" s="3" t="inlineStr">
        <is>
          <t>김주영</t>
        </is>
      </c>
      <c r="G9250" s="2" t="inlineStr">
        <is>
          <t>20260602000224</t>
        </is>
      </c>
      <c r="H9250" s="8">
        <f>HYPERLINK("https://dart.fss.or.kr/dsaf001/main.do?rcpNo=20260602000224", "공시열람")</f>
        <v/>
      </c>
    </row>
    <row r="9251">
      <c r="A9251" s="2" t="inlineStr">
        <is>
          <t>2026-06-02</t>
        </is>
      </c>
      <c r="B9251" s="3" t="inlineStr">
        <is>
          <t>마녀공장</t>
        </is>
      </c>
      <c r="C9251" s="2" t="inlineStr">
        <is>
          <t>코스닥</t>
        </is>
      </c>
      <c r="D9251" s="2" t="inlineStr">
        <is>
          <t>439090</t>
        </is>
      </c>
      <c r="E9251" s="3" t="inlineStr">
        <is>
          <t>신탁계약해지결과보고서</t>
        </is>
      </c>
      <c r="F9251" s="3" t="inlineStr">
        <is>
          <t>마녀공장</t>
        </is>
      </c>
      <c r="G9251" s="2" t="inlineStr">
        <is>
          <t>20260602000221</t>
        </is>
      </c>
      <c r="H9251" s="8">
        <f>HYPERLINK("https://dart.fss.or.kr/dsaf001/main.do?rcpNo=20260602000221", "공시열람")</f>
        <v/>
      </c>
    </row>
    <row r="9252">
      <c r="A9252" s="2" t="inlineStr">
        <is>
          <t>2026-06-02</t>
        </is>
      </c>
      <c r="B9252" s="3" t="inlineStr">
        <is>
          <t>삼미금속</t>
        </is>
      </c>
      <c r="C9252" s="2" t="inlineStr">
        <is>
          <t>코스닥</t>
        </is>
      </c>
      <c r="D9252" s="2" t="inlineStr">
        <is>
          <t>012210</t>
        </is>
      </c>
      <c r="E9252" s="3" t="inlineStr">
        <is>
          <t>임원ㆍ주요주주특정증권등거래계획보고서</t>
        </is>
      </c>
      <c r="F9252" s="3" t="inlineStr">
        <is>
          <t>금강공업</t>
        </is>
      </c>
      <c r="G9252" s="2" t="inlineStr">
        <is>
          <t>20260602000218</t>
        </is>
      </c>
      <c r="H9252" s="8">
        <f>HYPERLINK("https://dart.fss.or.kr/dsaf001/main.do?rcpNo=20260602000218", "공시열람")</f>
        <v/>
      </c>
    </row>
    <row r="9253">
      <c r="A9253" s="2" t="inlineStr">
        <is>
          <t>2026-06-02</t>
        </is>
      </c>
      <c r="B9253" s="3" t="inlineStr">
        <is>
          <t>미래에셋증권</t>
        </is>
      </c>
      <c r="C9253" s="2" t="inlineStr">
        <is>
          <t>코스피</t>
        </is>
      </c>
      <c r="D9253" s="2" t="inlineStr">
        <is>
          <t>006800</t>
        </is>
      </c>
      <c r="E9253" s="3" t="inlineStr">
        <is>
          <t>투자설명서(일괄신고)</t>
        </is>
      </c>
      <c r="F9253" s="3" t="inlineStr">
        <is>
          <t>미래에셋증권</t>
        </is>
      </c>
      <c r="G9253" s="2" t="inlineStr">
        <is>
          <t>20260602000215</t>
        </is>
      </c>
      <c r="H9253" s="8">
        <f>HYPERLINK("https://dart.fss.or.kr/dsaf001/main.do?rcpNo=20260602000215", "공시열람")</f>
        <v/>
      </c>
    </row>
    <row r="9254">
      <c r="A9254" s="2" t="inlineStr">
        <is>
          <t>2026-06-02</t>
        </is>
      </c>
      <c r="B9254" s="3" t="inlineStr">
        <is>
          <t>에이럭스</t>
        </is>
      </c>
      <c r="C9254" s="2" t="inlineStr">
        <is>
          <t>코스닥</t>
        </is>
      </c>
      <c r="D9254" s="2" t="inlineStr">
        <is>
          <t>475580</t>
        </is>
      </c>
      <c r="E9254" s="3" t="inlineStr">
        <is>
          <t xml:space="preserve">타법인주식및출자증권취득결정(종속회사의주요경영사항)              </t>
        </is>
      </c>
      <c r="F9254" s="3" t="inlineStr">
        <is>
          <t>에이럭스</t>
        </is>
      </c>
      <c r="G9254" s="2" t="inlineStr">
        <is>
          <t>20260602900341</t>
        </is>
      </c>
      <c r="H9254" s="8">
        <f>HYPERLINK("https://dart.fss.or.kr/dsaf001/main.do?rcpNo=20260602900341", "공시열람")</f>
        <v/>
      </c>
    </row>
    <row r="9255">
      <c r="A9255" s="2" t="inlineStr">
        <is>
          <t>2026-06-02 (정정: 2026-06-04)</t>
        </is>
      </c>
      <c r="B9255" s="3" t="inlineStr">
        <is>
          <t>한화투자증권</t>
        </is>
      </c>
      <c r="C9255" s="2" t="inlineStr">
        <is>
          <t>코스피</t>
        </is>
      </c>
      <c r="D9255" s="2" t="inlineStr">
        <is>
          <t>003530</t>
        </is>
      </c>
      <c r="E9255" s="3" t="inlineStr">
        <is>
          <t>증권발행실적보고서 (정정: 20260604)</t>
        </is>
      </c>
      <c r="F9255" s="3" t="inlineStr">
        <is>
          <t>한화투자증권</t>
        </is>
      </c>
      <c r="G9255" s="2" t="inlineStr">
        <is>
          <t>20260604000648</t>
        </is>
      </c>
      <c r="H9255" s="8">
        <f>HYPERLINK("https://dart.fss.or.kr/dsaf001/main.do?rcpNo=20260604000648", "공시열람")</f>
        <v/>
      </c>
    </row>
    <row r="9256">
      <c r="A9256" s="2" t="inlineStr">
        <is>
          <t>2026-06-02</t>
        </is>
      </c>
      <c r="B9256" s="3" t="inlineStr">
        <is>
          <t>미래에셋증권</t>
        </is>
      </c>
      <c r="C9256" s="2" t="inlineStr">
        <is>
          <t>코스피</t>
        </is>
      </c>
      <c r="D9256" s="2" t="inlineStr">
        <is>
          <t>006800</t>
        </is>
      </c>
      <c r="E9256" s="3" t="inlineStr">
        <is>
          <t>일괄신고추가서류(파생결합사채-주가연계파생결합사채)</t>
        </is>
      </c>
      <c r="F9256" s="3" t="inlineStr">
        <is>
          <t>미래에셋증권</t>
        </is>
      </c>
      <c r="G9256" s="2" t="inlineStr">
        <is>
          <t>20260602000211</t>
        </is>
      </c>
      <c r="H9256" s="8">
        <f>HYPERLINK("https://dart.fss.or.kr/dsaf001/main.do?rcpNo=20260602000211", "공시열람")</f>
        <v/>
      </c>
    </row>
    <row r="9257">
      <c r="A9257" s="2" t="inlineStr">
        <is>
          <t>2026-06-02</t>
        </is>
      </c>
      <c r="B9257" s="3" t="inlineStr">
        <is>
          <t>킵스파마</t>
        </is>
      </c>
      <c r="C9257" s="2" t="inlineStr">
        <is>
          <t>코스닥</t>
        </is>
      </c>
      <c r="D9257" s="2" t="inlineStr">
        <is>
          <t>256940</t>
        </is>
      </c>
      <c r="E9257" s="3" t="inlineStr">
        <is>
          <t xml:space="preserve">기업설명회(IR)개최              </t>
        </is>
      </c>
      <c r="F9257" s="3" t="inlineStr">
        <is>
          <t>킵스파마</t>
        </is>
      </c>
      <c r="G9257" s="2" t="inlineStr">
        <is>
          <t>20260602900356</t>
        </is>
      </c>
      <c r="H9257" s="8">
        <f>HYPERLINK("https://dart.fss.or.kr/dsaf001/main.do?rcpNo=20260602900356", "공시열람")</f>
        <v/>
      </c>
    </row>
    <row r="9258">
      <c r="A9258" s="2" t="inlineStr">
        <is>
          <t>2026-06-02</t>
        </is>
      </c>
      <c r="B9258" s="3" t="inlineStr">
        <is>
          <t>교보증권</t>
        </is>
      </c>
      <c r="C9258" s="2" t="inlineStr">
        <is>
          <t>코스피</t>
        </is>
      </c>
      <c r="D9258" s="2" t="inlineStr">
        <is>
          <t>030610</t>
        </is>
      </c>
      <c r="E9258" s="3" t="inlineStr">
        <is>
          <t>투자설명서(일괄신고)</t>
        </is>
      </c>
      <c r="F9258" s="3" t="inlineStr">
        <is>
          <t>교보증권</t>
        </is>
      </c>
      <c r="G9258" s="2" t="inlineStr">
        <is>
          <t>20260602000204</t>
        </is>
      </c>
      <c r="H9258" s="8">
        <f>HYPERLINK("https://dart.fss.or.kr/dsaf001/main.do?rcpNo=20260602000204", "공시열람")</f>
        <v/>
      </c>
    </row>
    <row r="9259">
      <c r="A9259" s="2" t="inlineStr">
        <is>
          <t>2026-06-02</t>
        </is>
      </c>
      <c r="B9259" s="3" t="inlineStr">
        <is>
          <t>동원산업</t>
        </is>
      </c>
      <c r="C9259" s="2" t="inlineStr">
        <is>
          <t>코스피</t>
        </is>
      </c>
      <c r="D9259" s="2" t="inlineStr">
        <is>
          <t>006040</t>
        </is>
      </c>
      <c r="E9259" s="3" t="inlineStr">
        <is>
          <t>특수관계인에대한담보제공</t>
        </is>
      </c>
      <c r="F9259" s="3" t="inlineStr">
        <is>
          <t>동원산업</t>
        </is>
      </c>
      <c r="G9259" s="2" t="inlineStr">
        <is>
          <t>20260602000200</t>
        </is>
      </c>
      <c r="H9259" s="8">
        <f>HYPERLINK("https://dart.fss.or.kr/dsaf001/main.do?rcpNo=20260602000200", "공시열람")</f>
        <v/>
      </c>
    </row>
    <row r="9260">
      <c r="A9260" s="2" t="inlineStr">
        <is>
          <t>2026-06-02</t>
        </is>
      </c>
      <c r="B9260" s="3" t="inlineStr">
        <is>
          <t>INVENI</t>
        </is>
      </c>
      <c r="C9260" s="2" t="inlineStr">
        <is>
          <t>코스피</t>
        </is>
      </c>
      <c r="D9260" s="2" t="inlineStr">
        <is>
          <t>015360</t>
        </is>
      </c>
      <c r="E9260" s="3" t="inlineStr">
        <is>
          <t>임원ㆍ주요주주특정증권등소유상황보고서</t>
        </is>
      </c>
      <c r="F9260" s="3" t="inlineStr">
        <is>
          <t>구자은</t>
        </is>
      </c>
      <c r="G9260" s="2" t="inlineStr">
        <is>
          <t>20260602000179</t>
        </is>
      </c>
      <c r="H9260" s="8">
        <f>HYPERLINK("https://dart.fss.or.kr/dsaf001/main.do?rcpNo=20260602000179", "공시열람")</f>
        <v/>
      </c>
    </row>
    <row r="9261">
      <c r="A9261" s="2" t="inlineStr">
        <is>
          <t>2026-06-02</t>
        </is>
      </c>
      <c r="B9261" s="3" t="inlineStr">
        <is>
          <t>로지스몬</t>
        </is>
      </c>
      <c r="C9261" s="2" t="inlineStr">
        <is>
          <t>코넥스</t>
        </is>
      </c>
      <c r="D9261" s="2" t="inlineStr">
        <is>
          <t>223220</t>
        </is>
      </c>
      <c r="E9261" s="3" t="inlineStr">
        <is>
          <t xml:space="preserve">기업설명회(IR)개최              </t>
        </is>
      </c>
      <c r="F9261" s="3" t="inlineStr">
        <is>
          <t>로지스몬</t>
        </is>
      </c>
      <c r="G9261" s="2" t="inlineStr">
        <is>
          <t>20260602600307</t>
        </is>
      </c>
      <c r="H9261" s="8">
        <f>HYPERLINK("https://dart.fss.or.kr/dsaf001/main.do?rcpNo=20260602600307", "공시열람")</f>
        <v/>
      </c>
    </row>
    <row r="9262">
      <c r="A9262" s="2" t="inlineStr">
        <is>
          <t>2026-06-02</t>
        </is>
      </c>
      <c r="B9262" s="3" t="inlineStr">
        <is>
          <t>유안타증권</t>
        </is>
      </c>
      <c r="C9262" s="2" t="inlineStr">
        <is>
          <t>코스피</t>
        </is>
      </c>
      <c r="D9262" s="2" t="inlineStr">
        <is>
          <t>003470</t>
        </is>
      </c>
      <c r="E9262" s="3" t="inlineStr">
        <is>
          <t>투자설명서(일괄신고)</t>
        </is>
      </c>
      <c r="F9262" s="3" t="inlineStr">
        <is>
          <t>유안타증권</t>
        </is>
      </c>
      <c r="G9262" s="2" t="inlineStr">
        <is>
          <t>20260602000170</t>
        </is>
      </c>
      <c r="H9262" s="8">
        <f>HYPERLINK("https://dart.fss.or.kr/dsaf001/main.do?rcpNo=20260602000170", "공시열람")</f>
        <v/>
      </c>
    </row>
    <row r="9263">
      <c r="A9263" s="2" t="inlineStr">
        <is>
          <t>2026-06-02</t>
        </is>
      </c>
      <c r="B9263" s="3" t="inlineStr">
        <is>
          <t>미래에셋증권</t>
        </is>
      </c>
      <c r="C9263" s="2" t="inlineStr">
        <is>
          <t>코스피</t>
        </is>
      </c>
      <c r="D9263" s="2" t="inlineStr">
        <is>
          <t>006800</t>
        </is>
      </c>
      <c r="E9263" s="3" t="inlineStr">
        <is>
          <t>투자설명서(일괄신고)</t>
        </is>
      </c>
      <c r="F9263" s="3" t="inlineStr">
        <is>
          <t>미래에셋증권</t>
        </is>
      </c>
      <c r="G9263" s="2" t="inlineStr">
        <is>
          <t>20260602000169</t>
        </is>
      </c>
      <c r="H9263" s="8">
        <f>HYPERLINK("https://dart.fss.or.kr/dsaf001/main.do?rcpNo=20260602000169", "공시열람")</f>
        <v/>
      </c>
    </row>
    <row r="9264">
      <c r="A9264" s="2" t="inlineStr">
        <is>
          <t>2026-06-02</t>
        </is>
      </c>
      <c r="B9264" s="3" t="inlineStr">
        <is>
          <t>미래에셋증권</t>
        </is>
      </c>
      <c r="C9264" s="2" t="inlineStr">
        <is>
          <t>코스피</t>
        </is>
      </c>
      <c r="D9264" s="2" t="inlineStr">
        <is>
          <t>006800</t>
        </is>
      </c>
      <c r="E9264" s="3" t="inlineStr">
        <is>
          <t>투자설명서(일괄신고)</t>
        </is>
      </c>
      <c r="F9264" s="3" t="inlineStr">
        <is>
          <t>미래에셋증권</t>
        </is>
      </c>
      <c r="G9264" s="2" t="inlineStr">
        <is>
          <t>20260602000165</t>
        </is>
      </c>
      <c r="H9264" s="8">
        <f>HYPERLINK("https://dart.fss.or.kr/dsaf001/main.do?rcpNo=20260602000165", "공시열람")</f>
        <v/>
      </c>
    </row>
    <row r="9265">
      <c r="A9265" s="2" t="inlineStr">
        <is>
          <t>2026-06-02</t>
        </is>
      </c>
      <c r="B9265" s="3" t="inlineStr">
        <is>
          <t>미래에셋증권</t>
        </is>
      </c>
      <c r="C9265" s="2" t="inlineStr">
        <is>
          <t>코스피</t>
        </is>
      </c>
      <c r="D9265" s="2" t="inlineStr">
        <is>
          <t>006800</t>
        </is>
      </c>
      <c r="E9265" s="3" t="inlineStr">
        <is>
          <t>일괄신고추가서류(파생결합사채-주가연계파생결합사채)</t>
        </is>
      </c>
      <c r="F9265" s="3" t="inlineStr">
        <is>
          <t>미래에셋증권</t>
        </is>
      </c>
      <c r="G9265" s="2" t="inlineStr">
        <is>
          <t>20260602000163</t>
        </is>
      </c>
      <c r="H9265" s="8">
        <f>HYPERLINK("https://dart.fss.or.kr/dsaf001/main.do?rcpNo=20260602000163", "공시열람")</f>
        <v/>
      </c>
    </row>
    <row r="9266">
      <c r="A9266" s="2" t="inlineStr">
        <is>
          <t>2026-06-02</t>
        </is>
      </c>
      <c r="B9266" s="3" t="inlineStr">
        <is>
          <t>키움증권</t>
        </is>
      </c>
      <c r="C9266" s="2" t="inlineStr">
        <is>
          <t>코스피</t>
        </is>
      </c>
      <c r="D9266" s="2" t="inlineStr">
        <is>
          <t>039490</t>
        </is>
      </c>
      <c r="E9266" s="3" t="inlineStr">
        <is>
          <t>일괄신고추가서류(파생결합사채-주가연계파생결합사채)</t>
        </is>
      </c>
      <c r="F9266" s="3" t="inlineStr">
        <is>
          <t>키움증권</t>
        </is>
      </c>
      <c r="G9266" s="2" t="inlineStr">
        <is>
          <t>20260602000162</t>
        </is>
      </c>
      <c r="H9266" s="8">
        <f>HYPERLINK("https://dart.fss.or.kr/dsaf001/main.do?rcpNo=20260602000162", "공시열람")</f>
        <v/>
      </c>
    </row>
    <row r="9267">
      <c r="A9267" s="2" t="inlineStr">
        <is>
          <t>2026-06-02</t>
        </is>
      </c>
      <c r="B9267" s="3" t="inlineStr">
        <is>
          <t>교보증권</t>
        </is>
      </c>
      <c r="C9267" s="2" t="inlineStr">
        <is>
          <t>코스피</t>
        </is>
      </c>
      <c r="D9267" s="2" t="inlineStr">
        <is>
          <t>030610</t>
        </is>
      </c>
      <c r="E9267" s="3" t="inlineStr">
        <is>
          <t>일괄신고추가서류(파생결합사채-주가연계파생결합사채)</t>
        </is>
      </c>
      <c r="F9267" s="3" t="inlineStr">
        <is>
          <t>교보증권</t>
        </is>
      </c>
      <c r="G9267" s="2" t="inlineStr">
        <is>
          <t>20260602000161</t>
        </is>
      </c>
      <c r="H9267" s="8">
        <f>HYPERLINK("https://dart.fss.or.kr/dsaf001/main.do?rcpNo=20260602000161", "공시열람")</f>
        <v/>
      </c>
    </row>
    <row r="9268">
      <c r="A9268" s="2" t="inlineStr">
        <is>
          <t>2026-06-02</t>
        </is>
      </c>
      <c r="B9268" s="3" t="inlineStr">
        <is>
          <t>노드메이슨</t>
        </is>
      </c>
      <c r="C9268" s="2" t="inlineStr">
        <is>
          <t>코넥스</t>
        </is>
      </c>
      <c r="D9268" s="2" t="inlineStr">
        <is>
          <t>317860</t>
        </is>
      </c>
      <c r="E9268" s="3" t="inlineStr">
        <is>
          <t xml:space="preserve">기업설명회(IR)개최결과              </t>
        </is>
      </c>
      <c r="F9268" s="3" t="inlineStr">
        <is>
          <t>노드메이슨</t>
        </is>
      </c>
      <c r="G9268" s="2" t="inlineStr">
        <is>
          <t>20260602600296</t>
        </is>
      </c>
      <c r="H9268" s="8">
        <f>HYPERLINK("https://dart.fss.or.kr/dsaf001/main.do?rcpNo=20260602600296", "공시열람")</f>
        <v/>
      </c>
    </row>
    <row r="9269">
      <c r="A9269" s="2" t="inlineStr">
        <is>
          <t>2026-06-02</t>
        </is>
      </c>
      <c r="B9269" s="3" t="inlineStr">
        <is>
          <t>에코프로비엠</t>
        </is>
      </c>
      <c r="C9269" s="2" t="inlineStr">
        <is>
          <t>코스닥</t>
        </is>
      </c>
      <c r="D9269" s="2" t="inlineStr">
        <is>
          <t>247540</t>
        </is>
      </c>
      <c r="E9269" s="3" t="inlineStr">
        <is>
          <t xml:space="preserve">기업설명회(IR)개최              </t>
        </is>
      </c>
      <c r="F9269" s="3" t="inlineStr">
        <is>
          <t>에코프로비엠</t>
        </is>
      </c>
      <c r="G9269" s="2" t="inlineStr">
        <is>
          <t>20260602900301</t>
        </is>
      </c>
      <c r="H9269" s="8">
        <f>HYPERLINK("https://dart.fss.or.kr/dsaf001/main.do?rcpNo=20260602900301", "공시열람")</f>
        <v/>
      </c>
    </row>
    <row r="9270">
      <c r="A9270" s="2" t="inlineStr">
        <is>
          <t>2026-06-02</t>
        </is>
      </c>
      <c r="B9270" s="3" t="inlineStr">
        <is>
          <t>미래에셋증권</t>
        </is>
      </c>
      <c r="C9270" s="2" t="inlineStr">
        <is>
          <t>코스피</t>
        </is>
      </c>
      <c r="D9270" s="2" t="inlineStr">
        <is>
          <t>006800</t>
        </is>
      </c>
      <c r="E9270" s="3" t="inlineStr">
        <is>
          <t>일괄신고추가서류(파생결합증권-주가연계증권)</t>
        </is>
      </c>
      <c r="F9270" s="3" t="inlineStr">
        <is>
          <t>미래에셋증권</t>
        </is>
      </c>
      <c r="G9270" s="2" t="inlineStr">
        <is>
          <t>20260602000156</t>
        </is>
      </c>
      <c r="H9270" s="8">
        <f>HYPERLINK("https://dart.fss.or.kr/dsaf001/main.do?rcpNo=20260602000156", "공시열람")</f>
        <v/>
      </c>
    </row>
    <row r="9271">
      <c r="A9271" s="2" t="inlineStr">
        <is>
          <t>2026-06-02</t>
        </is>
      </c>
      <c r="B9271" s="3" t="inlineStr">
        <is>
          <t>유안타증권</t>
        </is>
      </c>
      <c r="C9271" s="2" t="inlineStr">
        <is>
          <t>코스피</t>
        </is>
      </c>
      <c r="D9271" s="2" t="inlineStr">
        <is>
          <t>003470</t>
        </is>
      </c>
      <c r="E9271" s="3" t="inlineStr">
        <is>
          <t>일괄신고추가서류(파생결합사채-주가연계파생결합사채)</t>
        </is>
      </c>
      <c r="F9271" s="3" t="inlineStr">
        <is>
          <t>유안타증권</t>
        </is>
      </c>
      <c r="G9271" s="2" t="inlineStr">
        <is>
          <t>20260602000154</t>
        </is>
      </c>
      <c r="H9271" s="8">
        <f>HYPERLINK("https://dart.fss.or.kr/dsaf001/main.do?rcpNo=20260602000154", "공시열람")</f>
        <v/>
      </c>
    </row>
    <row r="9272">
      <c r="A9272" s="2" t="inlineStr">
        <is>
          <t>2026-06-02</t>
        </is>
      </c>
      <c r="B9272" s="3" t="inlineStr">
        <is>
          <t>삼성전자</t>
        </is>
      </c>
      <c r="C9272" s="2" t="inlineStr">
        <is>
          <t>코스피</t>
        </is>
      </c>
      <c r="D9272" s="2" t="inlineStr">
        <is>
          <t>005930</t>
        </is>
      </c>
      <c r="E9272" s="3" t="inlineStr">
        <is>
          <t>임원ㆍ주요주주특정증권등소유상황보고서</t>
        </is>
      </c>
      <c r="F9272" s="3" t="inlineStr">
        <is>
          <t>최인수</t>
        </is>
      </c>
      <c r="G9272" s="2" t="inlineStr">
        <is>
          <t>20260602000150</t>
        </is>
      </c>
      <c r="H9272" s="8">
        <f>HYPERLINK("https://dart.fss.or.kr/dsaf001/main.do?rcpNo=20260602000150", "공시열람")</f>
        <v/>
      </c>
    </row>
    <row r="9273">
      <c r="A9273" s="2" t="inlineStr">
        <is>
          <t>2026-06-02</t>
        </is>
      </c>
      <c r="B9273" s="3" t="inlineStr">
        <is>
          <t>현대차증권</t>
        </is>
      </c>
      <c r="C9273" s="2" t="inlineStr">
        <is>
          <t>코스피</t>
        </is>
      </c>
      <c r="D9273" s="2" t="inlineStr">
        <is>
          <t>001500</t>
        </is>
      </c>
      <c r="E9273" s="3" t="inlineStr">
        <is>
          <t>일괄신고추가서류(기타파생결합사채)</t>
        </is>
      </c>
      <c r="F9273" s="3" t="inlineStr">
        <is>
          <t>현대차증권</t>
        </is>
      </c>
      <c r="G9273" s="2" t="inlineStr">
        <is>
          <t>20260602000148</t>
        </is>
      </c>
      <c r="H9273" s="8">
        <f>HYPERLINK("https://dart.fss.or.kr/dsaf001/main.do?rcpNo=20260602000148", "공시열람")</f>
        <v/>
      </c>
    </row>
    <row r="9274">
      <c r="A9274" s="2" t="inlineStr">
        <is>
          <t>2026-06-02</t>
        </is>
      </c>
      <c r="B9274" s="3" t="inlineStr">
        <is>
          <t>신영증권</t>
        </is>
      </c>
      <c r="C9274" s="2" t="inlineStr">
        <is>
          <t>코스피</t>
        </is>
      </c>
      <c r="D9274" s="2" t="inlineStr">
        <is>
          <t>001720</t>
        </is>
      </c>
      <c r="E9274" s="3" t="inlineStr">
        <is>
          <t>투자설명서(일괄신고)</t>
        </is>
      </c>
      <c r="F9274" s="3" t="inlineStr">
        <is>
          <t>신영증권</t>
        </is>
      </c>
      <c r="G9274" s="2" t="inlineStr">
        <is>
          <t>20260602000144</t>
        </is>
      </c>
      <c r="H9274" s="8">
        <f>HYPERLINK("https://dart.fss.or.kr/dsaf001/main.do?rcpNo=20260602000144", "공시열람")</f>
        <v/>
      </c>
    </row>
    <row r="9275">
      <c r="A9275" s="2" t="inlineStr">
        <is>
          <t>2026-06-02</t>
        </is>
      </c>
      <c r="B9275" s="3" t="inlineStr">
        <is>
          <t>원익머트리얼즈</t>
        </is>
      </c>
      <c r="C9275" s="2" t="inlineStr">
        <is>
          <t>코스닥</t>
        </is>
      </c>
      <c r="D9275" s="2" t="inlineStr">
        <is>
          <t>104830</t>
        </is>
      </c>
      <c r="E9275" s="3" t="inlineStr">
        <is>
          <t xml:space="preserve">지속가능경영보고서등관련사항(자율공시)              </t>
        </is>
      </c>
      <c r="F9275" s="3" t="inlineStr">
        <is>
          <t>원익머트리얼즈</t>
        </is>
      </c>
      <c r="G9275" s="2" t="inlineStr">
        <is>
          <t>20260602900279</t>
        </is>
      </c>
      <c r="H9275" s="8">
        <f>HYPERLINK("https://dart.fss.or.kr/dsaf001/main.do?rcpNo=20260602900279", "공시열람")</f>
        <v/>
      </c>
    </row>
    <row r="9276">
      <c r="A9276" s="2" t="inlineStr">
        <is>
          <t>2026-06-02</t>
        </is>
      </c>
      <c r="B9276" s="3" t="inlineStr">
        <is>
          <t>삼성증권</t>
        </is>
      </c>
      <c r="C9276" s="2" t="inlineStr">
        <is>
          <t>코스피</t>
        </is>
      </c>
      <c r="D9276" s="2" t="inlineStr">
        <is>
          <t>016360</t>
        </is>
      </c>
      <c r="E9276" s="3" t="inlineStr">
        <is>
          <t>투자설명서(일괄신고)</t>
        </is>
      </c>
      <c r="F9276" s="3" t="inlineStr">
        <is>
          <t>삼성증권</t>
        </is>
      </c>
      <c r="G9276" s="2" t="inlineStr">
        <is>
          <t>20260602000139</t>
        </is>
      </c>
      <c r="H9276" s="8">
        <f>HYPERLINK("https://dart.fss.or.kr/dsaf001/main.do?rcpNo=20260602000139", "공시열람")</f>
        <v/>
      </c>
    </row>
    <row r="9277">
      <c r="A9277" s="2" t="inlineStr">
        <is>
          <t>2026-06-02</t>
        </is>
      </c>
      <c r="B9277" s="3" t="inlineStr">
        <is>
          <t>오토앤</t>
        </is>
      </c>
      <c r="C9277" s="2" t="inlineStr">
        <is>
          <t>코스닥</t>
        </is>
      </c>
      <c r="D9277" s="2" t="inlineStr">
        <is>
          <t>353590</t>
        </is>
      </c>
      <c r="E9277" s="3" t="inlineStr">
        <is>
          <t>임원ㆍ주요주주특정증권등소유상황보고서</t>
        </is>
      </c>
      <c r="F9277" s="3" t="inlineStr">
        <is>
          <t>최찬욱</t>
        </is>
      </c>
      <c r="G9277" s="2" t="inlineStr">
        <is>
          <t>20260602000138</t>
        </is>
      </c>
      <c r="H9277" s="8">
        <f>HYPERLINK("https://dart.fss.or.kr/dsaf001/main.do?rcpNo=20260602000138", "공시열람")</f>
        <v/>
      </c>
    </row>
    <row r="9278">
      <c r="A9278" s="2" t="inlineStr">
        <is>
          <t>2026-06-02</t>
        </is>
      </c>
      <c r="B9278" s="3" t="inlineStr">
        <is>
          <t>토비스</t>
        </is>
      </c>
      <c r="C9278" s="2" t="inlineStr">
        <is>
          <t>코스닥</t>
        </is>
      </c>
      <c r="D9278" s="2" t="inlineStr">
        <is>
          <t>051360</t>
        </is>
      </c>
      <c r="E9278" s="3" t="inlineStr">
        <is>
          <t>사외이사의선임ㆍ해임또는중도퇴임에관한신고</t>
        </is>
      </c>
      <c r="F9278" s="3" t="inlineStr">
        <is>
          <t>토비스</t>
        </is>
      </c>
      <c r="G9278" s="2" t="inlineStr">
        <is>
          <t>20260602000137</t>
        </is>
      </c>
      <c r="H9278" s="8">
        <f>HYPERLINK("https://dart.fss.or.kr/dsaf001/main.do?rcpNo=20260602000137", "공시열람")</f>
        <v/>
      </c>
    </row>
    <row r="9279">
      <c r="A9279" s="2" t="inlineStr">
        <is>
          <t>2026-06-02</t>
        </is>
      </c>
      <c r="B9279" s="3" t="inlineStr">
        <is>
          <t>한국주철관공업</t>
        </is>
      </c>
      <c r="C9279" s="2" t="inlineStr">
        <is>
          <t>코스피</t>
        </is>
      </c>
      <c r="D9279" s="2" t="inlineStr">
        <is>
          <t>000970</t>
        </is>
      </c>
      <c r="E9279" s="3" t="inlineStr">
        <is>
          <t>임원ㆍ주요주주특정증권등소유상황보고서</t>
        </is>
      </c>
      <c r="F9279" s="3" t="inlineStr">
        <is>
          <t>김태형</t>
        </is>
      </c>
      <c r="G9279" s="2" t="inlineStr">
        <is>
          <t>20260602000135</t>
        </is>
      </c>
      <c r="H9279" s="8">
        <f>HYPERLINK("https://dart.fss.or.kr/dsaf001/main.do?rcpNo=20260602000135", "공시열람")</f>
        <v/>
      </c>
    </row>
    <row r="9280">
      <c r="A9280" s="2" t="inlineStr">
        <is>
          <t>2026-06-02</t>
        </is>
      </c>
      <c r="B9280" s="3" t="inlineStr">
        <is>
          <t>삼성증권</t>
        </is>
      </c>
      <c r="C9280" s="2" t="inlineStr">
        <is>
          <t>코스피</t>
        </is>
      </c>
      <c r="D9280" s="2" t="inlineStr">
        <is>
          <t>016360</t>
        </is>
      </c>
      <c r="E9280" s="3" t="inlineStr">
        <is>
          <t>일괄신고추가서류(파생결합증권-주가연계증권)</t>
        </is>
      </c>
      <c r="F9280" s="3" t="inlineStr">
        <is>
          <t>삼성증권</t>
        </is>
      </c>
      <c r="G9280" s="2" t="inlineStr">
        <is>
          <t>20260602000134</t>
        </is>
      </c>
      <c r="H9280" s="8">
        <f>HYPERLINK("https://dart.fss.or.kr/dsaf001/main.do?rcpNo=20260602000134", "공시열람")</f>
        <v/>
      </c>
    </row>
    <row r="9281">
      <c r="A9281" s="2" t="inlineStr">
        <is>
          <t>2026-06-02</t>
        </is>
      </c>
      <c r="B9281" s="3" t="inlineStr">
        <is>
          <t>유안타증권</t>
        </is>
      </c>
      <c r="C9281" s="2" t="inlineStr">
        <is>
          <t>코스피</t>
        </is>
      </c>
      <c r="D9281" s="2" t="inlineStr">
        <is>
          <t>003470</t>
        </is>
      </c>
      <c r="E9281" s="3" t="inlineStr">
        <is>
          <t>투자설명서(일괄신고)</t>
        </is>
      </c>
      <c r="F9281" s="3" t="inlineStr">
        <is>
          <t>유안타증권</t>
        </is>
      </c>
      <c r="G9281" s="2" t="inlineStr">
        <is>
          <t>20260602000133</t>
        </is>
      </c>
      <c r="H9281" s="8">
        <f>HYPERLINK("https://dart.fss.or.kr/dsaf001/main.do?rcpNo=20260602000133", "공시열람")</f>
        <v/>
      </c>
    </row>
    <row r="9282">
      <c r="A9282" s="2" t="inlineStr">
        <is>
          <t>2026-06-02</t>
        </is>
      </c>
      <c r="B9282" s="3" t="inlineStr">
        <is>
          <t>NH투자증권</t>
        </is>
      </c>
      <c r="C9282" s="2" t="inlineStr">
        <is>
          <t>코스피</t>
        </is>
      </c>
      <c r="D9282" s="2" t="inlineStr">
        <is>
          <t>005940</t>
        </is>
      </c>
      <c r="E9282" s="3" t="inlineStr">
        <is>
          <t>일괄신고추가서류(파생결합사채-주가연계파생결합사채)</t>
        </is>
      </c>
      <c r="F9282" s="3" t="inlineStr">
        <is>
          <t>NH투자증권</t>
        </is>
      </c>
      <c r="G9282" s="2" t="inlineStr">
        <is>
          <t>20260602000132</t>
        </is>
      </c>
      <c r="H9282" s="8">
        <f>HYPERLINK("https://dart.fss.or.kr/dsaf001/main.do?rcpNo=20260602000132", "공시열람")</f>
        <v/>
      </c>
    </row>
    <row r="9283">
      <c r="A9283" s="2" t="inlineStr">
        <is>
          <t>2026-06-02</t>
        </is>
      </c>
      <c r="B9283" s="3" t="inlineStr">
        <is>
          <t>선광</t>
        </is>
      </c>
      <c r="C9283" s="2" t="inlineStr">
        <is>
          <t>코스닥</t>
        </is>
      </c>
      <c r="D9283" s="2" t="inlineStr">
        <is>
          <t>003100</t>
        </is>
      </c>
      <c r="E9283" s="3" t="inlineStr">
        <is>
          <t>임원ㆍ주요주주특정증권등거래계획보고서</t>
        </is>
      </c>
      <c r="F9283" s="3" t="inlineStr">
        <is>
          <t>심장식</t>
        </is>
      </c>
      <c r="G9283" s="2" t="inlineStr">
        <is>
          <t>20260602000131</t>
        </is>
      </c>
      <c r="H9283" s="8">
        <f>HYPERLINK("https://dart.fss.or.kr/dsaf001/main.do?rcpNo=20260602000131", "공시열람")</f>
        <v/>
      </c>
    </row>
    <row r="9284">
      <c r="A9284" s="2" t="inlineStr">
        <is>
          <t>2026-06-02</t>
        </is>
      </c>
      <c r="B9284" s="3" t="inlineStr">
        <is>
          <t>한중엔시에스</t>
        </is>
      </c>
      <c r="C9284" s="2" t="inlineStr">
        <is>
          <t>코스닥</t>
        </is>
      </c>
      <c r="D9284" s="2" t="inlineStr">
        <is>
          <t>107640</t>
        </is>
      </c>
      <c r="E9284" s="3" t="inlineStr">
        <is>
          <t xml:space="preserve">주주명부폐쇄기간또는기준일설정              </t>
        </is>
      </c>
      <c r="F9284" s="3" t="inlineStr">
        <is>
          <t>한중엔시에스</t>
        </is>
      </c>
      <c r="G9284" s="2" t="inlineStr">
        <is>
          <t>20260602900261</t>
        </is>
      </c>
      <c r="H9284" s="8">
        <f>HYPERLINK("https://dart.fss.or.kr/dsaf001/main.do?rcpNo=20260602900261", "공시열람")</f>
        <v/>
      </c>
    </row>
    <row r="9285">
      <c r="A9285" s="2" t="inlineStr">
        <is>
          <t>2026-06-02</t>
        </is>
      </c>
      <c r="B9285" s="3" t="inlineStr">
        <is>
          <t>동양</t>
        </is>
      </c>
      <c r="C9285" s="2" t="inlineStr">
        <is>
          <t>코스피</t>
        </is>
      </c>
      <c r="D9285" s="2" t="inlineStr">
        <is>
          <t>001520</t>
        </is>
      </c>
      <c r="E9285" s="3" t="inlineStr">
        <is>
          <t xml:space="preserve">주식병합결정              </t>
        </is>
      </c>
      <c r="F9285" s="3" t="inlineStr">
        <is>
          <t>동양</t>
        </is>
      </c>
      <c r="G9285" s="2" t="inlineStr">
        <is>
          <t>20260602800244</t>
        </is>
      </c>
      <c r="H9285" s="8">
        <f>HYPERLINK("https://dart.fss.or.kr/dsaf001/main.do?rcpNo=20260602800244", "공시열람")</f>
        <v/>
      </c>
    </row>
    <row r="9286">
      <c r="A9286" s="2" t="inlineStr">
        <is>
          <t>2026-06-02</t>
        </is>
      </c>
      <c r="B9286" s="3" t="inlineStr">
        <is>
          <t>동양</t>
        </is>
      </c>
      <c r="C9286" s="2" t="inlineStr">
        <is>
          <t>코스피</t>
        </is>
      </c>
      <c r="D9286" s="2" t="inlineStr">
        <is>
          <t>001520</t>
        </is>
      </c>
      <c r="E9286" s="3" t="inlineStr">
        <is>
          <t xml:space="preserve">매매거래정지및정지해제(중요내용공시)              </t>
        </is>
      </c>
      <c r="F9286" s="3" t="inlineStr">
        <is>
          <t>유가증권시장본부</t>
        </is>
      </c>
      <c r="G9286" s="2" t="inlineStr">
        <is>
          <t>20260602800249</t>
        </is>
      </c>
      <c r="H9286" s="8">
        <f>HYPERLINK("https://dart.fss.or.kr/dsaf001/main.do?rcpNo=20260602800249", "공시열람")</f>
        <v/>
      </c>
    </row>
    <row r="9287">
      <c r="A9287" s="2" t="inlineStr">
        <is>
          <t>2026-06-02</t>
        </is>
      </c>
      <c r="B9287" s="3" t="inlineStr">
        <is>
          <t>파커스</t>
        </is>
      </c>
      <c r="C9287" s="2" t="inlineStr">
        <is>
          <t>코스닥</t>
        </is>
      </c>
      <c r="D9287" s="2" t="inlineStr">
        <is>
          <t>065690</t>
        </is>
      </c>
      <c r="E9287" s="3" t="inlineStr">
        <is>
          <t>신탁계약해지결과보고서</t>
        </is>
      </c>
      <c r="F9287" s="3" t="inlineStr">
        <is>
          <t>파커스</t>
        </is>
      </c>
      <c r="G9287" s="2" t="inlineStr">
        <is>
          <t>20260602000126</t>
        </is>
      </c>
      <c r="H9287" s="8">
        <f>HYPERLINK("https://dart.fss.or.kr/dsaf001/main.do?rcpNo=20260602000126", "공시열람")</f>
        <v/>
      </c>
    </row>
    <row r="9288">
      <c r="A9288" s="2" t="inlineStr">
        <is>
          <t>2026-06-02</t>
        </is>
      </c>
      <c r="B9288" s="3" t="inlineStr">
        <is>
          <t>루미르</t>
        </is>
      </c>
      <c r="C9288" s="2" t="inlineStr">
        <is>
          <t>코스닥</t>
        </is>
      </c>
      <c r="D9288" s="2" t="inlineStr">
        <is>
          <t>474170</t>
        </is>
      </c>
      <c r="E9288" s="3" t="inlineStr">
        <is>
          <t xml:space="preserve">기업설명회(IR)개최              </t>
        </is>
      </c>
      <c r="F9288" s="3" t="inlineStr">
        <is>
          <t>루미르</t>
        </is>
      </c>
      <c r="G9288" s="2" t="inlineStr">
        <is>
          <t>20260602900228</t>
        </is>
      </c>
      <c r="H9288" s="8">
        <f>HYPERLINK("https://dart.fss.or.kr/dsaf001/main.do?rcpNo=20260602900228", "공시열람")</f>
        <v/>
      </c>
    </row>
    <row r="9289">
      <c r="A9289" s="2" t="inlineStr">
        <is>
          <t>2026-06-02</t>
        </is>
      </c>
      <c r="B9289" s="3" t="inlineStr">
        <is>
          <t>형지I&amp;C</t>
        </is>
      </c>
      <c r="C9289" s="2" t="inlineStr">
        <is>
          <t>코스닥</t>
        </is>
      </c>
      <c r="D9289" s="2" t="inlineStr">
        <is>
          <t>011080</t>
        </is>
      </c>
      <c r="E9289" s="3" t="inlineStr">
        <is>
          <t>투자설명서</t>
        </is>
      </c>
      <c r="F9289" s="3" t="inlineStr">
        <is>
          <t>형지I&amp;C</t>
        </is>
      </c>
      <c r="G9289" s="2" t="inlineStr">
        <is>
          <t>20260602000119</t>
        </is>
      </c>
      <c r="H9289" s="8">
        <f>HYPERLINK("https://dart.fss.or.kr/dsaf001/main.do?rcpNo=20260602000119", "공시열람")</f>
        <v/>
      </c>
    </row>
    <row r="9290">
      <c r="A9290" s="2" t="inlineStr">
        <is>
          <t>2026-06-02</t>
        </is>
      </c>
      <c r="B9290" s="3" t="inlineStr">
        <is>
          <t>형지I&amp;C</t>
        </is>
      </c>
      <c r="C9290" s="2" t="inlineStr">
        <is>
          <t>코스닥</t>
        </is>
      </c>
      <c r="D9290" s="2" t="inlineStr">
        <is>
          <t>011080</t>
        </is>
      </c>
      <c r="E9290" s="3" t="inlineStr">
        <is>
          <t>[발행조건확정]증권신고서(지분증권)</t>
        </is>
      </c>
      <c r="F9290" s="3" t="inlineStr">
        <is>
          <t>형지I&amp;C</t>
        </is>
      </c>
      <c r="G9290" s="2" t="inlineStr">
        <is>
          <t>20260602000115</t>
        </is>
      </c>
      <c r="H9290" s="8">
        <f>HYPERLINK("https://dart.fss.or.kr/dsaf001/main.do?rcpNo=20260602000115", "공시열람")</f>
        <v/>
      </c>
    </row>
    <row r="9291">
      <c r="A9291" s="2" t="inlineStr">
        <is>
          <t>2026-06-02</t>
        </is>
      </c>
      <c r="B9291" s="3" t="inlineStr">
        <is>
          <t>유안타증권</t>
        </is>
      </c>
      <c r="C9291" s="2" t="inlineStr">
        <is>
          <t>코스피</t>
        </is>
      </c>
      <c r="D9291" s="2" t="inlineStr">
        <is>
          <t>003470</t>
        </is>
      </c>
      <c r="E9291" s="3" t="inlineStr">
        <is>
          <t>일괄신고추가서류(파생결합증권-주가연계증권)</t>
        </is>
      </c>
      <c r="F9291" s="3" t="inlineStr">
        <is>
          <t>유안타증권</t>
        </is>
      </c>
      <c r="G9291" s="2" t="inlineStr">
        <is>
          <t>20260602000114</t>
        </is>
      </c>
      <c r="H9291" s="8">
        <f>HYPERLINK("https://dart.fss.or.kr/dsaf001/main.do?rcpNo=20260602000114", "공시열람")</f>
        <v/>
      </c>
    </row>
    <row r="9292">
      <c r="A9292" s="2" t="inlineStr">
        <is>
          <t>2026-06-02</t>
        </is>
      </c>
      <c r="B9292" s="3" t="inlineStr">
        <is>
          <t>키움증권</t>
        </is>
      </c>
      <c r="C9292" s="2" t="inlineStr">
        <is>
          <t>코스피</t>
        </is>
      </c>
      <c r="D9292" s="2" t="inlineStr">
        <is>
          <t>039490</t>
        </is>
      </c>
      <c r="E9292" s="3" t="inlineStr">
        <is>
          <t>일괄신고추가서류(파생결합사채-주가연계파생결합사채)</t>
        </is>
      </c>
      <c r="F9292" s="3" t="inlineStr">
        <is>
          <t>키움증권</t>
        </is>
      </c>
      <c r="G9292" s="2" t="inlineStr">
        <is>
          <t>20260602000112</t>
        </is>
      </c>
      <c r="H9292" s="8">
        <f>HYPERLINK("https://dart.fss.or.kr/dsaf001/main.do?rcpNo=20260602000112", "공시열람")</f>
        <v/>
      </c>
    </row>
    <row r="9293">
      <c r="A9293" s="2" t="inlineStr">
        <is>
          <t>2026-06-02</t>
        </is>
      </c>
      <c r="B9293" s="3" t="inlineStr">
        <is>
          <t>삼성생명</t>
        </is>
      </c>
      <c r="C9293" s="2" t="inlineStr">
        <is>
          <t>코스피</t>
        </is>
      </c>
      <c r="D9293" s="2" t="inlineStr">
        <is>
          <t>032830</t>
        </is>
      </c>
      <c r="E9293" s="3" t="inlineStr">
        <is>
          <t>특수관계인과의수익증권거래</t>
        </is>
      </c>
      <c r="F9293" s="3" t="inlineStr">
        <is>
          <t>삼성생명</t>
        </is>
      </c>
      <c r="G9293" s="2" t="inlineStr">
        <is>
          <t>20260602000108</t>
        </is>
      </c>
      <c r="H9293" s="8">
        <f>HYPERLINK("https://dart.fss.or.kr/dsaf001/main.do?rcpNo=20260602000108", "공시열람")</f>
        <v/>
      </c>
    </row>
    <row r="9294">
      <c r="A9294" s="2" t="inlineStr">
        <is>
          <t>2026-06-02</t>
        </is>
      </c>
      <c r="B9294" s="3" t="inlineStr">
        <is>
          <t>iM금융지주</t>
        </is>
      </c>
      <c r="C9294" s="2" t="inlineStr">
        <is>
          <t>코스피</t>
        </is>
      </c>
      <c r="D9294" s="2" t="inlineStr">
        <is>
          <t>139130</t>
        </is>
      </c>
      <c r="E9294" s="3" t="inlineStr">
        <is>
          <t>임원ㆍ주요주주특정증권등소유상황보고서</t>
        </is>
      </c>
      <c r="F9294" s="3" t="inlineStr">
        <is>
          <t>이창영</t>
        </is>
      </c>
      <c r="G9294" s="2" t="inlineStr">
        <is>
          <t>20260602000104</t>
        </is>
      </c>
      <c r="H9294" s="8">
        <f>HYPERLINK("https://dart.fss.or.kr/dsaf001/main.do?rcpNo=20260602000104", "공시열람")</f>
        <v/>
      </c>
    </row>
    <row r="9295">
      <c r="A9295" s="2" t="inlineStr">
        <is>
          <t>2026-06-02</t>
        </is>
      </c>
      <c r="B9295" s="3" t="inlineStr">
        <is>
          <t>씨어스</t>
        </is>
      </c>
      <c r="C9295" s="2" t="inlineStr">
        <is>
          <t>코스닥</t>
        </is>
      </c>
      <c r="D9295" s="2" t="inlineStr">
        <is>
          <t>458870</t>
        </is>
      </c>
      <c r="E9295" s="3" t="inlineStr">
        <is>
          <t xml:space="preserve">기업설명회(IR)개최              </t>
        </is>
      </c>
      <c r="F9295" s="3" t="inlineStr">
        <is>
          <t>씨어스</t>
        </is>
      </c>
      <c r="G9295" s="2" t="inlineStr">
        <is>
          <t>20260602900206</t>
        </is>
      </c>
      <c r="H9295" s="8">
        <f>HYPERLINK("https://dart.fss.or.kr/dsaf001/main.do?rcpNo=20260602900206", "공시열람")</f>
        <v/>
      </c>
    </row>
    <row r="9296">
      <c r="A9296" s="2" t="inlineStr">
        <is>
          <t>2026-06-02</t>
        </is>
      </c>
      <c r="B9296" s="3" t="inlineStr">
        <is>
          <t>디알텍</t>
        </is>
      </c>
      <c r="C9296" s="2" t="inlineStr">
        <is>
          <t>코스닥</t>
        </is>
      </c>
      <c r="D9296" s="2" t="inlineStr">
        <is>
          <t>214680</t>
        </is>
      </c>
      <c r="E9296" s="3" t="inlineStr">
        <is>
          <t>임원ㆍ주요주주특정증권등소유상황보고서</t>
        </is>
      </c>
      <c r="F9296" s="3" t="inlineStr">
        <is>
          <t>안성현</t>
        </is>
      </c>
      <c r="G9296" s="2" t="inlineStr">
        <is>
          <t>20260602000100</t>
        </is>
      </c>
      <c r="H9296" s="8">
        <f>HYPERLINK("https://dart.fss.or.kr/dsaf001/main.do?rcpNo=20260602000100", "공시열람")</f>
        <v/>
      </c>
    </row>
    <row r="9297">
      <c r="A9297" s="2" t="inlineStr">
        <is>
          <t>2026-06-02</t>
        </is>
      </c>
      <c r="B9297" s="3" t="inlineStr">
        <is>
          <t>에스트래픽</t>
        </is>
      </c>
      <c r="C9297" s="2" t="inlineStr">
        <is>
          <t>코스닥</t>
        </is>
      </c>
      <c r="D9297" s="2" t="inlineStr">
        <is>
          <t>234300</t>
        </is>
      </c>
      <c r="E9297" s="3" t="inlineStr">
        <is>
          <t>임원ㆍ주요주주특정증권등소유상황보고서</t>
        </is>
      </c>
      <c r="F9297" s="3" t="inlineStr">
        <is>
          <t>이장한</t>
        </is>
      </c>
      <c r="G9297" s="2" t="inlineStr">
        <is>
          <t>20260602000098</t>
        </is>
      </c>
      <c r="H9297" s="8">
        <f>HYPERLINK("https://dart.fss.or.kr/dsaf001/main.do?rcpNo=20260602000098", "공시열람")</f>
        <v/>
      </c>
    </row>
    <row r="9298">
      <c r="A9298" s="2" t="inlineStr">
        <is>
          <t>2026-06-02</t>
        </is>
      </c>
      <c r="B9298" s="3" t="inlineStr">
        <is>
          <t>대성미생물</t>
        </is>
      </c>
      <c r="C9298" s="2" t="inlineStr">
        <is>
          <t>코스닥</t>
        </is>
      </c>
      <c r="D9298" s="2" t="inlineStr">
        <is>
          <t>036480</t>
        </is>
      </c>
      <c r="E9298" s="3" t="inlineStr">
        <is>
          <t>임원ㆍ주요주주특정증권등소유상황보고서</t>
        </is>
      </c>
      <c r="F9298" s="3" t="inlineStr">
        <is>
          <t>인실리코</t>
        </is>
      </c>
      <c r="G9298" s="2" t="inlineStr">
        <is>
          <t>20260602000091</t>
        </is>
      </c>
      <c r="H9298" s="8">
        <f>HYPERLINK("https://dart.fss.or.kr/dsaf001/main.do?rcpNo=20260602000091", "공시열람")</f>
        <v/>
      </c>
    </row>
    <row r="9299">
      <c r="A9299" s="2" t="inlineStr">
        <is>
          <t>2026-06-02</t>
        </is>
      </c>
      <c r="B9299" s="3" t="inlineStr">
        <is>
          <t>LG씨엔에스</t>
        </is>
      </c>
      <c r="C9299" s="2" t="inlineStr">
        <is>
          <t>코스피</t>
        </is>
      </c>
      <c r="D9299" s="2" t="inlineStr">
        <is>
          <t>064400</t>
        </is>
      </c>
      <c r="E9299" s="3" t="inlineStr">
        <is>
          <t xml:space="preserve">기업설명회(IR)개최(안내공시)              </t>
        </is>
      </c>
      <c r="F9299" s="3" t="inlineStr">
        <is>
          <t>LG씨엔에스</t>
        </is>
      </c>
      <c r="G9299" s="2" t="inlineStr">
        <is>
          <t>20260602800191</t>
        </is>
      </c>
      <c r="H9299" s="8">
        <f>HYPERLINK("https://dart.fss.or.kr/dsaf001/main.do?rcpNo=20260602800191", "공시열람")</f>
        <v/>
      </c>
    </row>
    <row r="9300">
      <c r="A9300" s="2" t="inlineStr">
        <is>
          <t>2026-06-02</t>
        </is>
      </c>
      <c r="B9300" s="3" t="inlineStr">
        <is>
          <t>LF</t>
        </is>
      </c>
      <c r="C9300" s="2" t="inlineStr">
        <is>
          <t>코스피</t>
        </is>
      </c>
      <c r="D9300" s="2" t="inlineStr">
        <is>
          <t>093050</t>
        </is>
      </c>
      <c r="E9300" s="3" t="inlineStr">
        <is>
          <t xml:space="preserve">기업설명회(IR)개최(안내공시)              </t>
        </is>
      </c>
      <c r="F9300" s="3" t="inlineStr">
        <is>
          <t>LF</t>
        </is>
      </c>
      <c r="G9300" s="2" t="inlineStr">
        <is>
          <t>20260602800190</t>
        </is>
      </c>
      <c r="H9300" s="8">
        <f>HYPERLINK("https://dart.fss.or.kr/dsaf001/main.do?rcpNo=20260602800190", "공시열람")</f>
        <v/>
      </c>
    </row>
    <row r="9301">
      <c r="A9301" s="2" t="inlineStr">
        <is>
          <t>2026-06-02</t>
        </is>
      </c>
      <c r="B9301" s="3" t="inlineStr">
        <is>
          <t>형지I&amp;C</t>
        </is>
      </c>
      <c r="C9301" s="2" t="inlineStr">
        <is>
          <t>코스닥</t>
        </is>
      </c>
      <c r="D9301" s="2" t="inlineStr">
        <is>
          <t>011080</t>
        </is>
      </c>
      <c r="E9301" s="3" t="inlineStr">
        <is>
          <t xml:space="preserve">유상증자1차발행가액결정              </t>
        </is>
      </c>
      <c r="F9301" s="3" t="inlineStr">
        <is>
          <t>형지I&amp;C</t>
        </is>
      </c>
      <c r="G9301" s="2" t="inlineStr">
        <is>
          <t>20260602900189</t>
        </is>
      </c>
      <c r="H9301" s="8">
        <f>HYPERLINK("https://dart.fss.or.kr/dsaf001/main.do?rcpNo=20260602900189", "공시열람")</f>
        <v/>
      </c>
    </row>
    <row r="9302">
      <c r="A9302" s="2" t="inlineStr">
        <is>
          <t>2026-06-02</t>
        </is>
      </c>
      <c r="B9302" s="3" t="inlineStr">
        <is>
          <t>신영증권</t>
        </is>
      </c>
      <c r="C9302" s="2" t="inlineStr">
        <is>
          <t>코스피</t>
        </is>
      </c>
      <c r="D9302" s="2" t="inlineStr">
        <is>
          <t>001720</t>
        </is>
      </c>
      <c r="E9302" s="3" t="inlineStr">
        <is>
          <t>일괄신고추가서류(파생결합증권-주가연계증권)</t>
        </is>
      </c>
      <c r="F9302" s="3" t="inlineStr">
        <is>
          <t>신영증권</t>
        </is>
      </c>
      <c r="G9302" s="2" t="inlineStr">
        <is>
          <t>20260602000082</t>
        </is>
      </c>
      <c r="H9302" s="8">
        <f>HYPERLINK("https://dart.fss.or.kr/dsaf001/main.do?rcpNo=20260602000082", "공시열람")</f>
        <v/>
      </c>
    </row>
    <row r="9303">
      <c r="A9303" s="2" t="inlineStr">
        <is>
          <t>2026-06-02</t>
        </is>
      </c>
      <c r="B9303" s="3" t="inlineStr">
        <is>
          <t>키움증권</t>
        </is>
      </c>
      <c r="C9303" s="2" t="inlineStr">
        <is>
          <t>코스피</t>
        </is>
      </c>
      <c r="D9303" s="2" t="inlineStr">
        <is>
          <t>039490</t>
        </is>
      </c>
      <c r="E9303" s="3" t="inlineStr">
        <is>
          <t>일괄신고추가서류(파생결합사채-주가연계파생결합사채)</t>
        </is>
      </c>
      <c r="F9303" s="3" t="inlineStr">
        <is>
          <t>키움증권</t>
        </is>
      </c>
      <c r="G9303" s="2" t="inlineStr">
        <is>
          <t>20260602000080</t>
        </is>
      </c>
      <c r="H9303" s="8">
        <f>HYPERLINK("https://dart.fss.or.kr/dsaf001/main.do?rcpNo=20260602000080", "공시열람")</f>
        <v/>
      </c>
    </row>
    <row r="9304">
      <c r="A9304" s="2" t="inlineStr">
        <is>
          <t>2026-06-02</t>
        </is>
      </c>
      <c r="B9304" s="3" t="inlineStr">
        <is>
          <t>이엠텍</t>
        </is>
      </c>
      <c r="C9304" s="2" t="inlineStr">
        <is>
          <t>코스닥</t>
        </is>
      </c>
      <c r="D9304" s="2" t="inlineStr">
        <is>
          <t>091120</t>
        </is>
      </c>
      <c r="E9304" s="3" t="inlineStr">
        <is>
          <t>임원ㆍ주요주주특정증권등소유상황보고서</t>
        </is>
      </c>
      <c r="F9304" s="3" t="inlineStr">
        <is>
          <t>최동규</t>
        </is>
      </c>
      <c r="G9304" s="2" t="inlineStr">
        <is>
          <t>20260602000078</t>
        </is>
      </c>
      <c r="H9304" s="8">
        <f>HYPERLINK("https://dart.fss.or.kr/dsaf001/main.do?rcpNo=20260602000078", "공시열람")</f>
        <v/>
      </c>
    </row>
    <row r="9305">
      <c r="A9305" s="2" t="inlineStr">
        <is>
          <t>2026-06-02</t>
        </is>
      </c>
      <c r="B9305" s="3" t="inlineStr">
        <is>
          <t>웨이버스</t>
        </is>
      </c>
      <c r="C9305" s="2" t="inlineStr">
        <is>
          <t>코스닥</t>
        </is>
      </c>
      <c r="D9305" s="2" t="inlineStr">
        <is>
          <t>336060</t>
        </is>
      </c>
      <c r="E9305" s="3" t="inlineStr">
        <is>
          <t>임원ㆍ주요주주특정증권등소유상황보고서</t>
        </is>
      </c>
      <c r="F9305" s="3" t="inlineStr">
        <is>
          <t>김학성</t>
        </is>
      </c>
      <c r="G9305" s="2" t="inlineStr">
        <is>
          <t>20260602000065</t>
        </is>
      </c>
      <c r="H9305" s="8">
        <f>HYPERLINK("https://dart.fss.or.kr/dsaf001/main.do?rcpNo=20260602000065", "공시열람")</f>
        <v/>
      </c>
    </row>
    <row r="9306">
      <c r="A9306" s="2" t="inlineStr">
        <is>
          <t>2026-06-02</t>
        </is>
      </c>
      <c r="B9306" s="3" t="inlineStr">
        <is>
          <t>강스템바이오텍</t>
        </is>
      </c>
      <c r="C9306" s="2" t="inlineStr">
        <is>
          <t>코스닥</t>
        </is>
      </c>
      <c r="D9306" s="2" t="inlineStr">
        <is>
          <t>217730</t>
        </is>
      </c>
      <c r="E9306" s="3" t="inlineStr">
        <is>
          <t xml:space="preserve">기업설명회(IR)개최              </t>
        </is>
      </c>
      <c r="F9306" s="3" t="inlineStr">
        <is>
          <t>강스템바이오텍</t>
        </is>
      </c>
      <c r="G9306" s="2" t="inlineStr">
        <is>
          <t>20260602900170</t>
        </is>
      </c>
      <c r="H9306" s="8">
        <f>HYPERLINK("https://dart.fss.or.kr/dsaf001/main.do?rcpNo=20260602900170", "공시열람")</f>
        <v/>
      </c>
    </row>
    <row r="9307">
      <c r="A9307" s="2" t="inlineStr">
        <is>
          <t>2026-06-02</t>
        </is>
      </c>
      <c r="B9307" s="3" t="inlineStr">
        <is>
          <t>대림바스</t>
        </is>
      </c>
      <c r="C9307" s="2" t="inlineStr">
        <is>
          <t>코스피</t>
        </is>
      </c>
      <c r="D9307" s="2" t="inlineStr">
        <is>
          <t>005750</t>
        </is>
      </c>
      <c r="E9307" s="3" t="inlineStr">
        <is>
          <t xml:space="preserve">[기재정정]기업지배구조보고서공시              </t>
        </is>
      </c>
      <c r="F9307" s="3" t="inlineStr">
        <is>
          <t>대림바스</t>
        </is>
      </c>
      <c r="G9307" s="2" t="inlineStr">
        <is>
          <t>20260602800160</t>
        </is>
      </c>
      <c r="H9307" s="8">
        <f>HYPERLINK("https://dart.fss.or.kr/dsaf001/main.do?rcpNo=20260602800160", "공시열람")</f>
        <v/>
      </c>
    </row>
    <row r="9308">
      <c r="A9308" s="2" t="inlineStr">
        <is>
          <t>2026-06-02</t>
        </is>
      </c>
      <c r="B9308" s="3" t="inlineStr">
        <is>
          <t>대림바스</t>
        </is>
      </c>
      <c r="C9308" s="2" t="inlineStr">
        <is>
          <t>코스피</t>
        </is>
      </c>
      <c r="D9308" s="2" t="inlineStr">
        <is>
          <t>005750</t>
        </is>
      </c>
      <c r="E9308" s="3" t="inlineStr">
        <is>
          <t xml:space="preserve">[기재정정]기업지배구조보고서공시              </t>
        </is>
      </c>
      <c r="F9308" s="3" t="inlineStr">
        <is>
          <t>대림바스</t>
        </is>
      </c>
      <c r="G9308" s="2" t="inlineStr">
        <is>
          <t>20260602800154</t>
        </is>
      </c>
      <c r="H9308" s="8">
        <f>HYPERLINK("https://dart.fss.or.kr/dsaf001/main.do?rcpNo=20260602800154", "공시열람")</f>
        <v/>
      </c>
    </row>
    <row r="9309">
      <c r="A9309" s="2" t="inlineStr">
        <is>
          <t>2026-06-02</t>
        </is>
      </c>
      <c r="B9309" s="3" t="inlineStr">
        <is>
          <t>DS단석</t>
        </is>
      </c>
      <c r="C9309" s="2" t="inlineStr">
        <is>
          <t>코스피</t>
        </is>
      </c>
      <c r="D9309" s="2" t="inlineStr">
        <is>
          <t>017860</t>
        </is>
      </c>
      <c r="E9309" s="3" t="inlineStr">
        <is>
          <t>임원ㆍ주요주주특정증권등소유상황보고서</t>
        </is>
      </c>
      <c r="F9309" s="3" t="inlineStr">
        <is>
          <t>한수현</t>
        </is>
      </c>
      <c r="G9309" s="2" t="inlineStr">
        <is>
          <t>20260602000042</t>
        </is>
      </c>
      <c r="H9309" s="8">
        <f>HYPERLINK("https://dart.fss.or.kr/dsaf001/main.do?rcpNo=20260602000042", "공시열람")</f>
        <v/>
      </c>
    </row>
    <row r="9310">
      <c r="A9310" s="2" t="inlineStr">
        <is>
          <t>2026-06-02</t>
        </is>
      </c>
      <c r="B9310" s="3" t="inlineStr">
        <is>
          <t>웨이비스</t>
        </is>
      </c>
      <c r="C9310" s="2" t="inlineStr">
        <is>
          <t>코스닥</t>
        </is>
      </c>
      <c r="D9310" s="2" t="inlineStr">
        <is>
          <t>289930</t>
        </is>
      </c>
      <c r="E9310" s="3" t="inlineStr">
        <is>
          <t>임원ㆍ주요주주특정증권등소유상황보고서</t>
        </is>
      </c>
      <c r="F9310" s="3" t="inlineStr">
        <is>
          <t>조헌욱</t>
        </is>
      </c>
      <c r="G9310" s="2" t="inlineStr">
        <is>
          <t>20260602000026</t>
        </is>
      </c>
      <c r="H9310" s="8">
        <f>HYPERLINK("https://dart.fss.or.kr/dsaf001/main.do?rcpNo=20260602000026", "공시열람")</f>
        <v/>
      </c>
    </row>
    <row r="9311">
      <c r="A9311" s="2" t="inlineStr">
        <is>
          <t>2026-06-02</t>
        </is>
      </c>
      <c r="B9311" s="3" t="inlineStr">
        <is>
          <t>위츠</t>
        </is>
      </c>
      <c r="C9311" s="2" t="inlineStr">
        <is>
          <t>코스닥</t>
        </is>
      </c>
      <c r="D9311" s="2" t="inlineStr">
        <is>
          <t>459100</t>
        </is>
      </c>
      <c r="E9311" s="3" t="inlineStr">
        <is>
          <t>임원ㆍ주요주주특정증권등소유상황보고서</t>
        </is>
      </c>
      <c r="F9311" s="3" t="inlineStr">
        <is>
          <t>강진상</t>
        </is>
      </c>
      <c r="G9311" s="2" t="inlineStr">
        <is>
          <t>20260602000007</t>
        </is>
      </c>
      <c r="H9311" s="8">
        <f>HYPERLINK("https://dart.fss.or.kr/dsaf001/main.do?rcpNo=20260602000007", "공시열람")</f>
        <v/>
      </c>
    </row>
    <row r="9312">
      <c r="A9312" s="2" t="inlineStr">
        <is>
          <t>2026-06-02</t>
        </is>
      </c>
      <c r="B9312" s="3" t="inlineStr">
        <is>
          <t>디앤디파마텍</t>
        </is>
      </c>
      <c r="C9312" s="2" t="inlineStr">
        <is>
          <t>코스닥</t>
        </is>
      </c>
      <c r="D9312" s="2" t="inlineStr">
        <is>
          <t>347850</t>
        </is>
      </c>
      <c r="E9312" s="3" t="inlineStr">
        <is>
          <t xml:space="preserve">기업설명회(IR)개최              </t>
        </is>
      </c>
      <c r="F9312" s="3" t="inlineStr">
        <is>
          <t>디앤디파마텍</t>
        </is>
      </c>
      <c r="G9312" s="2" t="inlineStr">
        <is>
          <t>20260602900077</t>
        </is>
      </c>
      <c r="H9312" s="8">
        <f>HYPERLINK("https://dart.fss.or.kr/dsaf001/main.do?rcpNo=20260602900077", "공시열람")</f>
        <v/>
      </c>
    </row>
    <row r="9313">
      <c r="A9313" s="2" t="inlineStr">
        <is>
          <t>2026-06-02</t>
        </is>
      </c>
      <c r="B9313" s="3" t="inlineStr">
        <is>
          <t>유진증권</t>
        </is>
      </c>
      <c r="C9313" s="2" t="inlineStr">
        <is>
          <t>코스피</t>
        </is>
      </c>
      <c r="D9313" s="2" t="inlineStr">
        <is>
          <t>001200</t>
        </is>
      </c>
      <c r="E9313" s="3" t="inlineStr">
        <is>
          <t>증권발행실적보고서</t>
        </is>
      </c>
      <c r="F9313" s="3" t="inlineStr">
        <is>
          <t>유진증권</t>
        </is>
      </c>
      <c r="G9313" s="2" t="inlineStr">
        <is>
          <t>20260602000006</t>
        </is>
      </c>
      <c r="H9313" s="8">
        <f>HYPERLINK("https://dart.fss.or.kr/dsaf001/main.do?rcpNo=20260602000006", "공시열람")</f>
        <v/>
      </c>
    </row>
    <row r="9314">
      <c r="A9314" s="2" t="inlineStr">
        <is>
          <t>2026-06-02 (정정: 2026-06-04)</t>
        </is>
      </c>
      <c r="B9314" s="3" t="inlineStr">
        <is>
          <t>한화</t>
        </is>
      </c>
      <c r="C9314" s="2" t="inlineStr">
        <is>
          <t>코스피</t>
        </is>
      </c>
      <c r="D9314" s="2" t="inlineStr">
        <is>
          <t>000880</t>
        </is>
      </c>
      <c r="E9314" s="3" t="inlineStr">
        <is>
          <t>중대재해발생(종속회사의주요경영사항)               (정정: 20260604)</t>
        </is>
      </c>
      <c r="F9314" s="3" t="inlineStr">
        <is>
          <t>한화</t>
        </is>
      </c>
      <c r="G9314" s="2" t="inlineStr">
        <is>
          <t>20260604000183</t>
        </is>
      </c>
      <c r="H9314" s="8">
        <f>HYPERLINK("https://dart.fss.or.kr/dsaf001/main.do?rcpNo=20260604000183", "공시열람")</f>
        <v/>
      </c>
    </row>
    <row r="9315">
      <c r="A9315" s="2" t="inlineStr">
        <is>
          <t>2026-06-02</t>
        </is>
      </c>
      <c r="B9315" s="3" t="inlineStr">
        <is>
          <t>한화에어로스페이스</t>
        </is>
      </c>
      <c r="C9315" s="2" t="inlineStr">
        <is>
          <t>코스피</t>
        </is>
      </c>
      <c r="D9315" s="2" t="inlineStr">
        <is>
          <t>012450</t>
        </is>
      </c>
      <c r="E9315" s="3" t="inlineStr">
        <is>
          <t xml:space="preserve">생산중단              </t>
        </is>
      </c>
      <c r="F9315" s="3" t="inlineStr">
        <is>
          <t>한화에어로스페이스</t>
        </is>
      </c>
      <c r="G9315" s="2" t="inlineStr">
        <is>
          <t>20260602800007</t>
        </is>
      </c>
      <c r="H9315" s="8">
        <f>HYPERLINK("https://dart.fss.or.kr/dsaf001/main.do?rcpNo=20260602800007", "공시열람")</f>
        <v/>
      </c>
    </row>
    <row r="9316">
      <c r="A9316" s="2" t="inlineStr">
        <is>
          <t>2026-06-02</t>
        </is>
      </c>
      <c r="B9316" s="3" t="inlineStr">
        <is>
          <t>갤럭시아에스엠</t>
        </is>
      </c>
      <c r="C9316" s="2" t="inlineStr">
        <is>
          <t>코스피</t>
        </is>
      </c>
      <c r="D9316" s="2" t="inlineStr">
        <is>
          <t>011420</t>
        </is>
      </c>
      <c r="E9316" s="3" t="inlineStr">
        <is>
          <t>주요사항보고서(타법인주식및출자증권양수결정)</t>
        </is>
      </c>
      <c r="F9316" s="3" t="inlineStr">
        <is>
          <t>갤럭시아에스엠</t>
        </is>
      </c>
      <c r="G9316" s="2" t="inlineStr">
        <is>
          <t>20260602000001</t>
        </is>
      </c>
      <c r="H9316" s="8">
        <f>HYPERLINK("https://dart.fss.or.kr/dsaf001/main.do?rcpNo=20260602000001", "공시열람")</f>
        <v/>
      </c>
    </row>
    <row r="9317">
      <c r="A9317" s="2" t="inlineStr">
        <is>
          <t>2026-06-02</t>
        </is>
      </c>
      <c r="B9317" s="3" t="inlineStr">
        <is>
          <t>한화에어로스페이스</t>
        </is>
      </c>
      <c r="C9317" s="2" t="inlineStr">
        <is>
          <t>코스피</t>
        </is>
      </c>
      <c r="D9317" s="2" t="inlineStr">
        <is>
          <t>012450</t>
        </is>
      </c>
      <c r="E9317" s="3" t="inlineStr">
        <is>
          <t xml:space="preserve">중대재해발생              </t>
        </is>
      </c>
      <c r="F9317" s="3" t="inlineStr">
        <is>
          <t>한화에어로스페이스</t>
        </is>
      </c>
      <c r="G9317" s="2" t="inlineStr">
        <is>
          <t>20260602800003</t>
        </is>
      </c>
      <c r="H9317" s="8">
        <f>HYPERLINK("https://dart.fss.or.kr/dsaf001/main.do?rcpNo=20260602800003", "공시열람")</f>
        <v/>
      </c>
    </row>
    <row r="9318">
      <c r="A9318" s="2" t="inlineStr">
        <is>
          <t>2026-06-02</t>
        </is>
      </c>
      <c r="B9318" s="3" t="inlineStr">
        <is>
          <t>형지I&amp;C</t>
        </is>
      </c>
      <c r="C9318" s="2" t="inlineStr">
        <is>
          <t>코스닥</t>
        </is>
      </c>
      <c r="D9318" s="2" t="inlineStr">
        <is>
          <t>011080</t>
        </is>
      </c>
      <c r="E9318" s="3" t="inlineStr">
        <is>
          <t>효력발생안내( 2026.5.15. 제출 증권신고서(지분증권) )</t>
        </is>
      </c>
      <c r="F9318" s="3" t="inlineStr">
        <is>
          <t>금융감독원</t>
        </is>
      </c>
      <c r="G9318" s="2" t="inlineStr">
        <is>
          <t>20260515100008</t>
        </is>
      </c>
      <c r="H9318" s="8">
        <f>HYPERLINK("https://dart.fss.or.kr/dsaf001/main.do?rcpNo=20260515100008", "공시열람")</f>
        <v/>
      </c>
    </row>
    <row r="9319">
      <c r="A9319" s="2" t="inlineStr">
        <is>
          <t>2026-06-04</t>
        </is>
      </c>
      <c r="B9319" s="3" t="inlineStr">
        <is>
          <t>투비소프트</t>
        </is>
      </c>
      <c r="C9319" s="2" t="inlineStr">
        <is>
          <t>코스닥</t>
        </is>
      </c>
      <c r="D9319" s="2" t="inlineStr">
        <is>
          <t>079970</t>
        </is>
      </c>
      <c r="E9319" s="3" t="inlineStr">
        <is>
          <t>주권매매거래정지해제              (상장폐지에 따른 정리매매 개시)</t>
        </is>
      </c>
      <c r="F9319" s="3" t="inlineStr">
        <is>
          <t>코스닥시장본부</t>
        </is>
      </c>
      <c r="G9319" s="2" t="inlineStr">
        <is>
          <t>20260604900901</t>
        </is>
      </c>
      <c r="H9319" s="8">
        <f>HYPERLINK("https://dart.fss.or.kr/dsaf001/main.do?rcpNo=20260604900901", "공시열람")</f>
        <v/>
      </c>
    </row>
    <row r="9320">
      <c r="A9320" s="2" t="inlineStr">
        <is>
          <t>2026-06-04</t>
        </is>
      </c>
      <c r="B9320" s="3" t="inlineStr">
        <is>
          <t>투비소프트</t>
        </is>
      </c>
      <c r="C9320" s="2" t="inlineStr">
        <is>
          <t>코스닥</t>
        </is>
      </c>
      <c r="D9320" s="2" t="inlineStr">
        <is>
          <t>079970</t>
        </is>
      </c>
      <c r="E9320" s="3" t="inlineStr">
        <is>
          <t>기타시장안내              (기업심사위원회 심의·의결 결과 안내)</t>
        </is>
      </c>
      <c r="F9320" s="3" t="inlineStr">
        <is>
          <t>코스닥시장본부</t>
        </is>
      </c>
      <c r="G9320" s="2" t="inlineStr">
        <is>
          <t>20260604900899</t>
        </is>
      </c>
      <c r="H9320" s="8">
        <f>HYPERLINK("https://dart.fss.or.kr/dsaf001/main.do?rcpNo=20260604900899", "공시열람")</f>
        <v/>
      </c>
    </row>
    <row r="9321">
      <c r="A9321" s="2" t="inlineStr">
        <is>
          <t>2026-06-04</t>
        </is>
      </c>
      <c r="B9321" s="3" t="inlineStr">
        <is>
          <t>이오플로우</t>
        </is>
      </c>
      <c r="C9321" s="2" t="inlineStr">
        <is>
          <t>코스닥</t>
        </is>
      </c>
      <c r="D9321" s="2" t="inlineStr">
        <is>
          <t>294090</t>
        </is>
      </c>
      <c r="E9321" s="3" t="inlineStr">
        <is>
          <t>기타시장안내              (기업심사위원회 개최 결과 및 심의속행 결정 안내)</t>
        </is>
      </c>
      <c r="F9321" s="3" t="inlineStr">
        <is>
          <t>코스닥시장본부</t>
        </is>
      </c>
      <c r="G9321" s="2" t="inlineStr">
        <is>
          <t>20260604900892</t>
        </is>
      </c>
      <c r="H9321" s="8">
        <f>HYPERLINK("https://dart.fss.or.kr/dsaf001/main.do?rcpNo=20260604900892", "공시열람")</f>
        <v/>
      </c>
    </row>
    <row r="9322">
      <c r="A9322" s="2" t="inlineStr">
        <is>
          <t>2026-06-04 (정정: 2026-06-15)</t>
        </is>
      </c>
      <c r="B9322" s="3" t="inlineStr">
        <is>
          <t>제일엠앤에스</t>
        </is>
      </c>
      <c r="C9322" s="2" t="inlineStr">
        <is>
          <t>코스닥</t>
        </is>
      </c>
      <c r="D9322" s="2" t="inlineStr">
        <is>
          <t>412540</t>
        </is>
      </c>
      <c r="E9322" s="3" t="inlineStr">
        <is>
          <t>기타시장안내              (기업심사위원회 개최 결과 및 심의속행 결정 안내) (정정: 20260604) (정정: 20260615) (정정: 20260615)</t>
        </is>
      </c>
      <c r="F9322" s="3" t="inlineStr">
        <is>
          <t>코스닥시장본부</t>
        </is>
      </c>
      <c r="G9322" s="2" t="inlineStr">
        <is>
          <t>20260615000296</t>
        </is>
      </c>
      <c r="H9322" s="8">
        <f>HYPERLINK("https://dart.fss.or.kr/dsaf001/main.do?rcpNo=20260615000296", "공시열람")</f>
        <v/>
      </c>
    </row>
    <row r="9323">
      <c r="A9323" s="2" t="inlineStr">
        <is>
          <t>2026-06-04</t>
        </is>
      </c>
      <c r="B9323" s="3" t="inlineStr">
        <is>
          <t>달바글로벌</t>
        </is>
      </c>
      <c r="C9323" s="2" t="inlineStr">
        <is>
          <t>코스피</t>
        </is>
      </c>
      <c r="D9323" s="2" t="inlineStr">
        <is>
          <t>483650</t>
        </is>
      </c>
      <c r="E9323" s="3" t="inlineStr">
        <is>
          <t>주요사항보고서(자기주식처분결정)</t>
        </is>
      </c>
      <c r="F9323" s="3" t="inlineStr">
        <is>
          <t>달바글로벌</t>
        </is>
      </c>
      <c r="G9323" s="2" t="inlineStr">
        <is>
          <t>20260604000651</t>
        </is>
      </c>
      <c r="H9323" s="8">
        <f>HYPERLINK("https://dart.fss.or.kr/dsaf001/main.do?rcpNo=20260604000651", "공시열람")</f>
        <v/>
      </c>
    </row>
    <row r="9324">
      <c r="A9324" s="2" t="inlineStr">
        <is>
          <t>2026-06-04</t>
        </is>
      </c>
      <c r="B9324" s="3" t="inlineStr">
        <is>
          <t>KG에코솔루션</t>
        </is>
      </c>
      <c r="C9324" s="2" t="inlineStr">
        <is>
          <t>코스닥</t>
        </is>
      </c>
      <c r="D9324" s="2" t="inlineStr">
        <is>
          <t>151860</t>
        </is>
      </c>
      <c r="E9324" s="3" t="inlineStr">
        <is>
          <t xml:space="preserve">타법인주식및출자증권처분결정(자회사의 주요경영사항)              </t>
        </is>
      </c>
      <c r="F9324" s="3" t="inlineStr">
        <is>
          <t>KG에코솔루션</t>
        </is>
      </c>
      <c r="G9324" s="2" t="inlineStr">
        <is>
          <t>20260604900844</t>
        </is>
      </c>
      <c r="H9324" s="8">
        <f>HYPERLINK("https://dart.fss.or.kr/dsaf001/main.do?rcpNo=20260604900844", "공시열람")</f>
        <v/>
      </c>
    </row>
    <row r="9325">
      <c r="A9325" s="2" t="inlineStr">
        <is>
          <t>2026-06-04</t>
        </is>
      </c>
      <c r="B9325" s="3" t="inlineStr">
        <is>
          <t>퓨쳐켐</t>
        </is>
      </c>
      <c r="C9325" s="2" t="inlineStr">
        <is>
          <t>코스닥</t>
        </is>
      </c>
      <c r="D9325" s="2" t="inlineStr">
        <is>
          <t>220100</t>
        </is>
      </c>
      <c r="E9325" s="3" t="inlineStr">
        <is>
          <t>투자판단관련주요경영사항              (전립선암 진단 방사성의약품 FC303 공동개발 기술이전 계약 해지 및 권리 반환)</t>
        </is>
      </c>
      <c r="F9325" s="3" t="inlineStr">
        <is>
          <t>퓨쳐켐</t>
        </is>
      </c>
      <c r="G9325" s="2" t="inlineStr">
        <is>
          <t>20260604900841</t>
        </is>
      </c>
      <c r="H9325" s="8">
        <f>HYPERLINK("https://dart.fss.or.kr/dsaf001/main.do?rcpNo=20260604900841", "공시열람")</f>
        <v/>
      </c>
    </row>
    <row r="9326">
      <c r="A9326" s="2" t="inlineStr">
        <is>
          <t>2026-06-04 (정정: 2026-06-26)</t>
        </is>
      </c>
      <c r="B9326" s="3" t="inlineStr">
        <is>
          <t>STX</t>
        </is>
      </c>
      <c r="C9326" s="2" t="inlineStr">
        <is>
          <t>코스피</t>
        </is>
      </c>
      <c r="D9326" s="2" t="inlineStr">
        <is>
          <t>011810</t>
        </is>
      </c>
      <c r="E9326" s="3" t="inlineStr">
        <is>
          <t>투자판단관련주요경영사항               (정정: 20260605) (정정: 20260626)</t>
        </is>
      </c>
      <c r="F9326" s="3" t="inlineStr">
        <is>
          <t>STX</t>
        </is>
      </c>
      <c r="G9326" s="2" t="inlineStr">
        <is>
          <t>20260626800911</t>
        </is>
      </c>
      <c r="H9326" s="8">
        <f>HYPERLINK("https://dart.fss.or.kr/dsaf001/main.do?rcpNo=20260626800911", "공시열람")</f>
        <v/>
      </c>
    </row>
    <row r="9327">
      <c r="A9327" s="2" t="inlineStr">
        <is>
          <t>2026-06-04</t>
        </is>
      </c>
      <c r="B9327" s="3" t="inlineStr">
        <is>
          <t>KG스틸</t>
        </is>
      </c>
      <c r="C9327" s="2" t="inlineStr">
        <is>
          <t>코스피</t>
        </is>
      </c>
      <c r="D9327" s="2" t="inlineStr">
        <is>
          <t>016380</t>
        </is>
      </c>
      <c r="E9327" s="3" t="inlineStr">
        <is>
          <t xml:space="preserve">타법인주식및출자증권처분결정              </t>
        </is>
      </c>
      <c r="F9327" s="3" t="inlineStr">
        <is>
          <t>KG스틸</t>
        </is>
      </c>
      <c r="G9327" s="2" t="inlineStr">
        <is>
          <t>20260604800842</t>
        </is>
      </c>
      <c r="H9327" s="8">
        <f>HYPERLINK("https://dart.fss.or.kr/dsaf001/main.do?rcpNo=20260604800842", "공시열람")</f>
        <v/>
      </c>
    </row>
    <row r="9328">
      <c r="A9328" s="2" t="inlineStr">
        <is>
          <t>2026-06-04</t>
        </is>
      </c>
      <c r="B9328" s="3" t="inlineStr">
        <is>
          <t>씨엑스아이</t>
        </is>
      </c>
      <c r="C9328" s="2" t="inlineStr">
        <is>
          <t>코스닥</t>
        </is>
      </c>
      <c r="D9328" s="2" t="inlineStr">
        <is>
          <t>900120</t>
        </is>
      </c>
      <c r="E9328" s="3" t="inlineStr">
        <is>
          <t xml:space="preserve">감자완료              </t>
        </is>
      </c>
      <c r="F9328" s="3" t="inlineStr">
        <is>
          <t>씨엑스아이</t>
        </is>
      </c>
      <c r="G9328" s="2" t="inlineStr">
        <is>
          <t>20260604900824</t>
        </is>
      </c>
      <c r="H9328" s="8">
        <f>HYPERLINK("https://dart.fss.or.kr/dsaf001/main.do?rcpNo=20260604900824", "공시열람")</f>
        <v/>
      </c>
    </row>
    <row r="9329">
      <c r="A9329" s="2" t="inlineStr">
        <is>
          <t>2026-06-04</t>
        </is>
      </c>
      <c r="B9329" s="3" t="inlineStr">
        <is>
          <t>제넥신</t>
        </is>
      </c>
      <c r="C9329" s="2" t="inlineStr">
        <is>
          <t>코스닥</t>
        </is>
      </c>
      <c r="D9329" s="2" t="inlineStr">
        <is>
          <t>095700</t>
        </is>
      </c>
      <c r="E9329" s="3" t="inlineStr">
        <is>
          <t>투자판단관련주요경영사항              (에페사프리필드시린지주(GX-E4) 한국 품목허가 신청결과)</t>
        </is>
      </c>
      <c r="F9329" s="3" t="inlineStr">
        <is>
          <t>제넥신</t>
        </is>
      </c>
      <c r="G9329" s="2" t="inlineStr">
        <is>
          <t>20260604900820</t>
        </is>
      </c>
      <c r="H9329" s="8">
        <f>HYPERLINK("https://dart.fss.or.kr/dsaf001/main.do?rcpNo=20260604900820", "공시열람")</f>
        <v/>
      </c>
    </row>
    <row r="9330">
      <c r="A9330" s="2" t="inlineStr">
        <is>
          <t>2026-06-04</t>
        </is>
      </c>
      <c r="B9330" s="3" t="inlineStr">
        <is>
          <t>서울전자통신</t>
        </is>
      </c>
      <c r="C9330" s="2" t="inlineStr">
        <is>
          <t>코스닥</t>
        </is>
      </c>
      <c r="D9330" s="2" t="inlineStr">
        <is>
          <t>027040</t>
        </is>
      </c>
      <c r="E9330" s="3" t="inlineStr">
        <is>
          <t>합병등종료보고서(자산양수도)</t>
        </is>
      </c>
      <c r="F9330" s="3" t="inlineStr">
        <is>
          <t>서울전자통신</t>
        </is>
      </c>
      <c r="G9330" s="2" t="inlineStr">
        <is>
          <t>20260604000640</t>
        </is>
      </c>
      <c r="H9330" s="8">
        <f>HYPERLINK("https://dart.fss.or.kr/dsaf001/main.do?rcpNo=20260604000640", "공시열람")</f>
        <v/>
      </c>
    </row>
    <row r="9331">
      <c r="A9331" s="2" t="inlineStr">
        <is>
          <t>2026-06-04 (정정: 2026-06-04)</t>
        </is>
      </c>
      <c r="B9331" s="3" t="inlineStr">
        <is>
          <t>서울전자통신</t>
        </is>
      </c>
      <c r="C9331" s="2" t="inlineStr">
        <is>
          <t>코스닥</t>
        </is>
      </c>
      <c r="D9331" s="2" t="inlineStr">
        <is>
          <t>027040</t>
        </is>
      </c>
      <c r="E9331" s="3" t="inlineStr">
        <is>
          <t>주요사항보고서(타법인주식및출자증권양도결정) (정정: 20260604)</t>
        </is>
      </c>
      <c r="F9331" s="3" t="inlineStr">
        <is>
          <t>서울전자통신</t>
        </is>
      </c>
      <c r="G9331" s="2" t="inlineStr">
        <is>
          <t>20260604900753</t>
        </is>
      </c>
      <c r="H9331" s="8">
        <f>HYPERLINK("https://dart.fss.or.kr/dsaf001/main.do?rcpNo=20260604900753", "공시열람")</f>
        <v/>
      </c>
    </row>
    <row r="9332">
      <c r="A9332" s="2" t="inlineStr">
        <is>
          <t>2026-06-04</t>
        </is>
      </c>
      <c r="B9332" s="3" t="inlineStr">
        <is>
          <t>미래에셋증권</t>
        </is>
      </c>
      <c r="C9332" s="2" t="inlineStr">
        <is>
          <t>코스피</t>
        </is>
      </c>
      <c r="D9332" s="2" t="inlineStr">
        <is>
          <t>006800</t>
        </is>
      </c>
      <c r="E9332" s="3" t="inlineStr">
        <is>
          <t>투자설명서(일괄신고)</t>
        </is>
      </c>
      <c r="F9332" s="3" t="inlineStr">
        <is>
          <t>미래에셋증권</t>
        </is>
      </c>
      <c r="G9332" s="2" t="inlineStr">
        <is>
          <t>20260604000636</t>
        </is>
      </c>
      <c r="H9332" s="8">
        <f>HYPERLINK("https://dart.fss.or.kr/dsaf001/main.do?rcpNo=20260604000636", "공시열람")</f>
        <v/>
      </c>
    </row>
    <row r="9333">
      <c r="A9333" s="2" t="inlineStr">
        <is>
          <t>2026-06-04</t>
        </is>
      </c>
      <c r="B9333" s="3" t="inlineStr">
        <is>
          <t>미래에셋증권</t>
        </is>
      </c>
      <c r="C9333" s="2" t="inlineStr">
        <is>
          <t>코스피</t>
        </is>
      </c>
      <c r="D9333" s="2" t="inlineStr">
        <is>
          <t>006800</t>
        </is>
      </c>
      <c r="E9333" s="3" t="inlineStr">
        <is>
          <t>일괄신고추가서류</t>
        </is>
      </c>
      <c r="F9333" s="3" t="inlineStr">
        <is>
          <t>미래에셋증권</t>
        </is>
      </c>
      <c r="G9333" s="2" t="inlineStr">
        <is>
          <t>20260604000633</t>
        </is>
      </c>
      <c r="H9333" s="8">
        <f>HYPERLINK("https://dart.fss.or.kr/dsaf001/main.do?rcpNo=20260604000633", "공시열람")</f>
        <v/>
      </c>
    </row>
    <row r="9334">
      <c r="A9334" s="2" t="inlineStr">
        <is>
          <t>2026-06-04 (정정: 2026-06-04)</t>
        </is>
      </c>
      <c r="B9334" s="3" t="inlineStr">
        <is>
          <t>애드바이오텍</t>
        </is>
      </c>
      <c r="C9334" s="2" t="inlineStr">
        <is>
          <t>코스닥</t>
        </is>
      </c>
      <c r="D9334" s="2" t="inlineStr">
        <is>
          <t>179530</t>
        </is>
      </c>
      <c r="E9334" s="3" t="inlineStr">
        <is>
          <t>증권발행결과(자율공시)               (정정: 20260604)</t>
        </is>
      </c>
      <c r="F9334" s="3" t="inlineStr">
        <is>
          <t>애드바이오텍</t>
        </is>
      </c>
      <c r="G9334" s="2" t="inlineStr">
        <is>
          <t>20260604900637</t>
        </is>
      </c>
      <c r="H9334" s="8">
        <f>HYPERLINK("https://dart.fss.or.kr/dsaf001/main.do?rcpNo=20260604900637", "공시열람")</f>
        <v/>
      </c>
    </row>
    <row r="9335">
      <c r="A9335" s="2" t="inlineStr">
        <is>
          <t>2026-06-04 (정정: 2026-06-08)</t>
        </is>
      </c>
      <c r="B9335" s="3" t="inlineStr">
        <is>
          <t>코오롱</t>
        </is>
      </c>
      <c r="C9335" s="2" t="inlineStr">
        <is>
          <t>코스피</t>
        </is>
      </c>
      <c r="D9335" s="2" t="inlineStr">
        <is>
          <t>002020</t>
        </is>
      </c>
      <c r="E9335" s="3" t="inlineStr">
        <is>
          <t>타법인주식및출자증권취득결정(자율공시)(자회사의 주요경영사항)               (정정: 20260608)</t>
        </is>
      </c>
      <c r="F9335" s="3" t="inlineStr">
        <is>
          <t>코오롱</t>
        </is>
      </c>
      <c r="G9335" s="2" t="inlineStr">
        <is>
          <t>20260608800820</t>
        </is>
      </c>
      <c r="H9335" s="8">
        <f>HYPERLINK("https://dart.fss.or.kr/dsaf001/main.do?rcpNo=20260608800820", "공시열람")</f>
        <v/>
      </c>
    </row>
    <row r="9336">
      <c r="A9336" s="2" t="inlineStr">
        <is>
          <t>2026-06-04</t>
        </is>
      </c>
      <c r="B9336" s="3" t="inlineStr">
        <is>
          <t>동성제약</t>
        </is>
      </c>
      <c r="C9336" s="2" t="inlineStr">
        <is>
          <t>코스피</t>
        </is>
      </c>
      <c r="D9336" s="2" t="inlineStr">
        <is>
          <t>002210</t>
        </is>
      </c>
      <c r="E9336" s="3" t="inlineStr">
        <is>
          <t>[기재정정]대규모기업집단현황공시[연1회공시및1/4분기용(개별회사)]</t>
        </is>
      </c>
      <c r="F9336" s="3" t="inlineStr">
        <is>
          <t>동성제약</t>
        </is>
      </c>
      <c r="G9336" s="2" t="inlineStr">
        <is>
          <t>20260604000630</t>
        </is>
      </c>
      <c r="H9336" s="8">
        <f>HYPERLINK("https://dart.fss.or.kr/dsaf001/main.do?rcpNo=20260604000630", "공시열람")</f>
        <v/>
      </c>
    </row>
    <row r="9337">
      <c r="A9337" s="2" t="inlineStr">
        <is>
          <t>2026-06-04</t>
        </is>
      </c>
      <c r="B9337" s="3" t="inlineStr">
        <is>
          <t>공구우먼</t>
        </is>
      </c>
      <c r="C9337" s="2" t="inlineStr">
        <is>
          <t>코스닥</t>
        </is>
      </c>
      <c r="D9337" s="2" t="inlineStr">
        <is>
          <t>366030</t>
        </is>
      </c>
      <c r="E9337" s="3" t="inlineStr">
        <is>
          <t>주식매수선택권부여에관한신고</t>
        </is>
      </c>
      <c r="F9337" s="3" t="inlineStr">
        <is>
          <t>공구우먼</t>
        </is>
      </c>
      <c r="G9337" s="2" t="inlineStr">
        <is>
          <t>20260604000629</t>
        </is>
      </c>
      <c r="H9337" s="8">
        <f>HYPERLINK("https://dart.fss.or.kr/dsaf001/main.do?rcpNo=20260604000629", "공시열람")</f>
        <v/>
      </c>
    </row>
    <row r="9338">
      <c r="A9338" s="2" t="inlineStr">
        <is>
          <t>2026-06-04</t>
        </is>
      </c>
      <c r="B9338" s="3" t="inlineStr">
        <is>
          <t>제이엔케이글로벌</t>
        </is>
      </c>
      <c r="C9338" s="2" t="inlineStr">
        <is>
          <t>코스닥</t>
        </is>
      </c>
      <c r="D9338" s="2" t="inlineStr">
        <is>
          <t>126880</t>
        </is>
      </c>
      <c r="E9338" s="3" t="inlineStr">
        <is>
          <t>임원ㆍ주요주주특정증권등소유상황보고서</t>
        </is>
      </c>
      <c r="F9338" s="3" t="inlineStr">
        <is>
          <t>김방희</t>
        </is>
      </c>
      <c r="G9338" s="2" t="inlineStr">
        <is>
          <t>20260604000624</t>
        </is>
      </c>
      <c r="H9338" s="8">
        <f>HYPERLINK("https://dart.fss.or.kr/dsaf001/main.do?rcpNo=20260604000624", "공시열람")</f>
        <v/>
      </c>
    </row>
    <row r="9339">
      <c r="A9339" s="2" t="inlineStr">
        <is>
          <t>2026-06-04</t>
        </is>
      </c>
      <c r="B9339" s="3" t="inlineStr">
        <is>
          <t>핸디소프트</t>
        </is>
      </c>
      <c r="C9339" s="2" t="inlineStr">
        <is>
          <t>코스닥</t>
        </is>
      </c>
      <c r="D9339" s="2" t="inlineStr">
        <is>
          <t>220180</t>
        </is>
      </c>
      <c r="E9339" s="3" t="inlineStr">
        <is>
          <t xml:space="preserve">주주명부폐쇄기간또는기준일설정              </t>
        </is>
      </c>
      <c r="F9339" s="3" t="inlineStr">
        <is>
          <t>핸디소프트</t>
        </is>
      </c>
      <c r="G9339" s="2" t="inlineStr">
        <is>
          <t>20260604900771</t>
        </is>
      </c>
      <c r="H9339" s="8">
        <f>HYPERLINK("https://dart.fss.or.kr/dsaf001/main.do?rcpNo=20260604900771", "공시열람")</f>
        <v/>
      </c>
    </row>
    <row r="9340">
      <c r="A9340" s="2" t="inlineStr">
        <is>
          <t>2026-06-04</t>
        </is>
      </c>
      <c r="B9340" s="3" t="inlineStr">
        <is>
          <t>씨앤지하이테크</t>
        </is>
      </c>
      <c r="C9340" s="2" t="inlineStr">
        <is>
          <t>코스닥</t>
        </is>
      </c>
      <c r="D9340" s="2" t="inlineStr">
        <is>
          <t>264660</t>
        </is>
      </c>
      <c r="E9340" s="3" t="inlineStr">
        <is>
          <t xml:space="preserve">타법인주식및출자증권처분결정              </t>
        </is>
      </c>
      <c r="F9340" s="3" t="inlineStr">
        <is>
          <t>씨앤지하이테크</t>
        </is>
      </c>
      <c r="G9340" s="2" t="inlineStr">
        <is>
          <t>20260604900769</t>
        </is>
      </c>
      <c r="H9340" s="8">
        <f>HYPERLINK("https://dart.fss.or.kr/dsaf001/main.do?rcpNo=20260604900769", "공시열람")</f>
        <v/>
      </c>
    </row>
    <row r="9341">
      <c r="A9341" s="2" t="inlineStr">
        <is>
          <t>2026-06-04</t>
        </is>
      </c>
      <c r="B9341" s="3" t="inlineStr">
        <is>
          <t>알비더블유</t>
        </is>
      </c>
      <c r="C9341" s="2" t="inlineStr">
        <is>
          <t>코스닥</t>
        </is>
      </c>
      <c r="D9341" s="2" t="inlineStr">
        <is>
          <t>361570</t>
        </is>
      </c>
      <c r="E9341" s="3" t="inlineStr">
        <is>
          <t>임원ㆍ주요주주특정증권등소유상황보고서</t>
        </is>
      </c>
      <c r="F9341" s="3" t="inlineStr">
        <is>
          <t>김진우</t>
        </is>
      </c>
      <c r="G9341" s="2" t="inlineStr">
        <is>
          <t>20260604000620</t>
        </is>
      </c>
      <c r="H9341" s="8">
        <f>HYPERLINK("https://dart.fss.or.kr/dsaf001/main.do?rcpNo=20260604000620", "공시열람")</f>
        <v/>
      </c>
    </row>
    <row r="9342">
      <c r="A9342" s="2" t="inlineStr">
        <is>
          <t>2026-06-04</t>
        </is>
      </c>
      <c r="B9342" s="3" t="inlineStr">
        <is>
          <t>JB금융지주</t>
        </is>
      </c>
      <c r="C9342" s="2" t="inlineStr">
        <is>
          <t>코스피</t>
        </is>
      </c>
      <c r="D9342" s="2" t="inlineStr">
        <is>
          <t>175330</t>
        </is>
      </c>
      <c r="E9342" s="3" t="inlineStr">
        <is>
          <t>투자설명서(일괄신고)</t>
        </is>
      </c>
      <c r="F9342" s="3" t="inlineStr">
        <is>
          <t>JB금융지주</t>
        </is>
      </c>
      <c r="G9342" s="2" t="inlineStr">
        <is>
          <t>20260604000619</t>
        </is>
      </c>
      <c r="H9342" s="8">
        <f>HYPERLINK("https://dart.fss.or.kr/dsaf001/main.do?rcpNo=20260604000619", "공시열람")</f>
        <v/>
      </c>
    </row>
    <row r="9343">
      <c r="A9343" s="2" t="inlineStr">
        <is>
          <t>2026-06-04</t>
        </is>
      </c>
      <c r="B9343" s="3" t="inlineStr">
        <is>
          <t>JB금융지주</t>
        </is>
      </c>
      <c r="C9343" s="2" t="inlineStr">
        <is>
          <t>코스피</t>
        </is>
      </c>
      <c r="D9343" s="2" t="inlineStr">
        <is>
          <t>175330</t>
        </is>
      </c>
      <c r="E9343" s="3" t="inlineStr">
        <is>
          <t>일괄신고추가서류</t>
        </is>
      </c>
      <c r="F9343" s="3" t="inlineStr">
        <is>
          <t>JB금융지주</t>
        </is>
      </c>
      <c r="G9343" s="2" t="inlineStr">
        <is>
          <t>20260604000609</t>
        </is>
      </c>
      <c r="H9343" s="8">
        <f>HYPERLINK("https://dart.fss.or.kr/dsaf001/main.do?rcpNo=20260604000609", "공시열람")</f>
        <v/>
      </c>
    </row>
    <row r="9344">
      <c r="A9344" s="2" t="inlineStr">
        <is>
          <t>2026-06-04</t>
        </is>
      </c>
      <c r="B9344" s="3" t="inlineStr">
        <is>
          <t>공구우먼</t>
        </is>
      </c>
      <c r="C9344" s="2" t="inlineStr">
        <is>
          <t>코스닥</t>
        </is>
      </c>
      <c r="D9344" s="2" t="inlineStr">
        <is>
          <t>366030</t>
        </is>
      </c>
      <c r="E9344" s="3" t="inlineStr">
        <is>
          <t>사외이사의선임ㆍ해임또는중도퇴임에관한신고</t>
        </is>
      </c>
      <c r="F9344" s="3" t="inlineStr">
        <is>
          <t>공구우먼</t>
        </is>
      </c>
      <c r="G9344" s="2" t="inlineStr">
        <is>
          <t>20260604000607</t>
        </is>
      </c>
      <c r="H9344" s="8">
        <f>HYPERLINK("https://dart.fss.or.kr/dsaf001/main.do?rcpNo=20260604000607", "공시열람")</f>
        <v/>
      </c>
    </row>
    <row r="9345">
      <c r="A9345" s="2" t="inlineStr">
        <is>
          <t>2026-06-04</t>
        </is>
      </c>
      <c r="B9345" s="3" t="inlineStr">
        <is>
          <t>천보</t>
        </is>
      </c>
      <c r="C9345" s="2" t="inlineStr">
        <is>
          <t>코스닥</t>
        </is>
      </c>
      <c r="D9345" s="2" t="inlineStr">
        <is>
          <t>278280</t>
        </is>
      </c>
      <c r="E9345" s="3" t="inlineStr">
        <is>
          <t xml:space="preserve">전환청구권행사              </t>
        </is>
      </c>
      <c r="F9345" s="3" t="inlineStr">
        <is>
          <t>천보</t>
        </is>
      </c>
      <c r="G9345" s="2" t="inlineStr">
        <is>
          <t>20260604900749</t>
        </is>
      </c>
      <c r="H9345" s="8">
        <f>HYPERLINK("https://dart.fss.or.kr/dsaf001/main.do?rcpNo=20260604900749", "공시열람")</f>
        <v/>
      </c>
    </row>
    <row r="9346">
      <c r="A9346" s="2" t="inlineStr">
        <is>
          <t>2026-06-04</t>
        </is>
      </c>
      <c r="B9346" s="3" t="inlineStr">
        <is>
          <t>대신증권</t>
        </is>
      </c>
      <c r="C9346" s="2" t="inlineStr">
        <is>
          <t>코스피</t>
        </is>
      </c>
      <c r="D9346" s="2" t="inlineStr">
        <is>
          <t>003540</t>
        </is>
      </c>
      <c r="E9346" s="3" t="inlineStr">
        <is>
          <t>투자설명서(일괄신고)</t>
        </is>
      </c>
      <c r="F9346" s="3" t="inlineStr">
        <is>
          <t>대신증권</t>
        </is>
      </c>
      <c r="G9346" s="2" t="inlineStr">
        <is>
          <t>20260604000606</t>
        </is>
      </c>
      <c r="H9346" s="8">
        <f>HYPERLINK("https://dart.fss.or.kr/dsaf001/main.do?rcpNo=20260604000606", "공시열람")</f>
        <v/>
      </c>
    </row>
    <row r="9347">
      <c r="A9347" s="2" t="inlineStr">
        <is>
          <t>2026-06-04</t>
        </is>
      </c>
      <c r="B9347" s="3" t="inlineStr">
        <is>
          <t>그린생명과학</t>
        </is>
      </c>
      <c r="C9347" s="2" t="inlineStr">
        <is>
          <t>코스닥</t>
        </is>
      </c>
      <c r="D9347" s="2" t="inlineStr">
        <is>
          <t>114450</t>
        </is>
      </c>
      <c r="E9347" s="3" t="inlineStr">
        <is>
          <t>자기주식처분결과보고서</t>
        </is>
      </c>
      <c r="F9347" s="3" t="inlineStr">
        <is>
          <t>그린생명과학</t>
        </is>
      </c>
      <c r="G9347" s="2" t="inlineStr">
        <is>
          <t>20260604000605</t>
        </is>
      </c>
      <c r="H9347" s="8">
        <f>HYPERLINK("https://dart.fss.or.kr/dsaf001/main.do?rcpNo=20260604000605", "공시열람")</f>
        <v/>
      </c>
    </row>
    <row r="9348">
      <c r="A9348" s="2" t="inlineStr">
        <is>
          <t>2026-06-04</t>
        </is>
      </c>
      <c r="B9348" s="3" t="inlineStr">
        <is>
          <t>공구우먼</t>
        </is>
      </c>
      <c r="C9348" s="2" t="inlineStr">
        <is>
          <t>코스닥</t>
        </is>
      </c>
      <c r="D9348" s="2" t="inlineStr">
        <is>
          <t>366030</t>
        </is>
      </c>
      <c r="E9348" s="3" t="inlineStr">
        <is>
          <t xml:space="preserve">대표이사변경              </t>
        </is>
      </c>
      <c r="F9348" s="3" t="inlineStr">
        <is>
          <t>공구우먼</t>
        </is>
      </c>
      <c r="G9348" s="2" t="inlineStr">
        <is>
          <t>20260604900704</t>
        </is>
      </c>
      <c r="H9348" s="8">
        <f>HYPERLINK("https://dart.fss.or.kr/dsaf001/main.do?rcpNo=20260604900704", "공시열람")</f>
        <v/>
      </c>
    </row>
    <row r="9349">
      <c r="A9349" s="2" t="inlineStr">
        <is>
          <t>2026-06-04</t>
        </is>
      </c>
      <c r="B9349" s="3" t="inlineStr">
        <is>
          <t>국영지앤엠</t>
        </is>
      </c>
      <c r="C9349" s="2" t="inlineStr">
        <is>
          <t>코스닥</t>
        </is>
      </c>
      <c r="D9349" s="2" t="inlineStr">
        <is>
          <t>006050</t>
        </is>
      </c>
      <c r="E9349" s="3" t="inlineStr">
        <is>
          <t>임원ㆍ주요주주특정증권등소유상황보고서</t>
        </is>
      </c>
      <c r="F9349" s="3" t="inlineStr">
        <is>
          <t>김정숙</t>
        </is>
      </c>
      <c r="G9349" s="2" t="inlineStr">
        <is>
          <t>20260604000604</t>
        </is>
      </c>
      <c r="H9349" s="8">
        <f>HYPERLINK("https://dart.fss.or.kr/dsaf001/main.do?rcpNo=20260604000604", "공시열람")</f>
        <v/>
      </c>
    </row>
    <row r="9350">
      <c r="A9350" s="2" t="inlineStr">
        <is>
          <t>2026-06-04</t>
        </is>
      </c>
      <c r="B9350" s="3" t="inlineStr">
        <is>
          <t>한화투자증권</t>
        </is>
      </c>
      <c r="C9350" s="2" t="inlineStr">
        <is>
          <t>코스피</t>
        </is>
      </c>
      <c r="D9350" s="2" t="inlineStr">
        <is>
          <t>003530</t>
        </is>
      </c>
      <c r="E9350" s="3" t="inlineStr">
        <is>
          <t>투자설명서(일괄신고)</t>
        </is>
      </c>
      <c r="F9350" s="3" t="inlineStr">
        <is>
          <t>한화투자증권</t>
        </is>
      </c>
      <c r="G9350" s="2" t="inlineStr">
        <is>
          <t>20260604000603</t>
        </is>
      </c>
      <c r="H9350" s="8">
        <f>HYPERLINK("https://dart.fss.or.kr/dsaf001/main.do?rcpNo=20260604000603", "공시열람")</f>
        <v/>
      </c>
    </row>
    <row r="9351">
      <c r="A9351" s="2" t="inlineStr">
        <is>
          <t>2026-06-04 (정정: 2026-06-10)</t>
        </is>
      </c>
      <c r="B9351" s="3" t="inlineStr">
        <is>
          <t>NH투자증권</t>
        </is>
      </c>
      <c r="C9351" s="2" t="inlineStr">
        <is>
          <t>코스피</t>
        </is>
      </c>
      <c r="D9351" s="2" t="inlineStr">
        <is>
          <t>005940</t>
        </is>
      </c>
      <c r="E9351" s="3" t="inlineStr">
        <is>
          <t>투자설명서(일괄신고) (정정: 20260610)</t>
        </is>
      </c>
      <c r="F9351" s="3" t="inlineStr">
        <is>
          <t>NH투자증권</t>
        </is>
      </c>
      <c r="G9351" s="2" t="inlineStr">
        <is>
          <t>20260610000555</t>
        </is>
      </c>
      <c r="H9351" s="8">
        <f>HYPERLINK("https://dart.fss.or.kr/dsaf001/main.do?rcpNo=20260610000555", "공시열람")</f>
        <v/>
      </c>
    </row>
    <row r="9352">
      <c r="A9352" s="2" t="inlineStr">
        <is>
          <t>2026-06-04</t>
        </is>
      </c>
      <c r="B9352" s="3" t="inlineStr">
        <is>
          <t>서부T&amp;D</t>
        </is>
      </c>
      <c r="C9352" s="2" t="inlineStr">
        <is>
          <t>코스닥</t>
        </is>
      </c>
      <c r="D9352" s="2" t="inlineStr">
        <is>
          <t>006730</t>
        </is>
      </c>
      <c r="E9352" s="3" t="inlineStr">
        <is>
          <t>임원ㆍ주요주주특정증권등소유상황보고서</t>
        </is>
      </c>
      <c r="F9352" s="3" t="inlineStr">
        <is>
          <t>승만호</t>
        </is>
      </c>
      <c r="G9352" s="2" t="inlineStr">
        <is>
          <t>20260604000599</t>
        </is>
      </c>
      <c r="H9352" s="8">
        <f>HYPERLINK("https://dart.fss.or.kr/dsaf001/main.do?rcpNo=20260604000599", "공시열람")</f>
        <v/>
      </c>
    </row>
    <row r="9353">
      <c r="A9353" s="2" t="inlineStr">
        <is>
          <t>2026-06-04</t>
        </is>
      </c>
      <c r="B9353" s="3" t="inlineStr">
        <is>
          <t>한화투자증권</t>
        </is>
      </c>
      <c r="C9353" s="2" t="inlineStr">
        <is>
          <t>코스피</t>
        </is>
      </c>
      <c r="D9353" s="2" t="inlineStr">
        <is>
          <t>003530</t>
        </is>
      </c>
      <c r="E9353" s="3" t="inlineStr">
        <is>
          <t>일괄신고추가서류(파생결합사채-주가연계파생결합사채)</t>
        </is>
      </c>
      <c r="F9353" s="3" t="inlineStr">
        <is>
          <t>한화투자증권</t>
        </is>
      </c>
      <c r="G9353" s="2" t="inlineStr">
        <is>
          <t>20260604000596</t>
        </is>
      </c>
      <c r="H9353" s="8">
        <f>HYPERLINK("https://dart.fss.or.kr/dsaf001/main.do?rcpNo=20260604000596", "공시열람")</f>
        <v/>
      </c>
    </row>
    <row r="9354">
      <c r="A9354" s="2" t="inlineStr">
        <is>
          <t>2026-06-04</t>
        </is>
      </c>
      <c r="B9354" s="3" t="inlineStr">
        <is>
          <t>코람코라이프인프라리츠</t>
        </is>
      </c>
      <c r="C9354" s="2" t="inlineStr">
        <is>
          <t>코스피</t>
        </is>
      </c>
      <c r="D9354" s="2" t="inlineStr">
        <is>
          <t>357120</t>
        </is>
      </c>
      <c r="E9354" s="3" t="inlineStr">
        <is>
          <t>임원ㆍ주요주주특정증권등소유상황보고서</t>
        </is>
      </c>
      <c r="F9354" s="3" t="inlineStr">
        <is>
          <t>미래에셋자산운용</t>
        </is>
      </c>
      <c r="G9354" s="2" t="inlineStr">
        <is>
          <t>20260604000594</t>
        </is>
      </c>
      <c r="H9354" s="8">
        <f>HYPERLINK("https://dart.fss.or.kr/dsaf001/main.do?rcpNo=20260604000594", "공시열람")</f>
        <v/>
      </c>
    </row>
    <row r="9355">
      <c r="A9355" s="2" t="inlineStr">
        <is>
          <t>2026-06-04</t>
        </is>
      </c>
      <c r="B9355" s="3" t="inlineStr">
        <is>
          <t>이지스밸류플러스리츠</t>
        </is>
      </c>
      <c r="C9355" s="2" t="inlineStr">
        <is>
          <t>코스피</t>
        </is>
      </c>
      <c r="D9355" s="2" t="inlineStr">
        <is>
          <t>334890</t>
        </is>
      </c>
      <c r="E9355" s="3" t="inlineStr">
        <is>
          <t>임원ㆍ주요주주특정증권등소유상황보고서</t>
        </is>
      </c>
      <c r="F9355" s="3" t="inlineStr">
        <is>
          <t>미래에셋자산운용</t>
        </is>
      </c>
      <c r="G9355" s="2" t="inlineStr">
        <is>
          <t>20260604000593</t>
        </is>
      </c>
      <c r="H9355" s="8">
        <f>HYPERLINK("https://dart.fss.or.kr/dsaf001/main.do?rcpNo=20260604000593", "공시열람")</f>
        <v/>
      </c>
    </row>
    <row r="9356">
      <c r="A9356" s="2" t="inlineStr">
        <is>
          <t>2026-06-04 (정정: 2026-06-08)</t>
        </is>
      </c>
      <c r="B9356" s="3" t="inlineStr">
        <is>
          <t>이리츠코크렙</t>
        </is>
      </c>
      <c r="C9356" s="2" t="inlineStr">
        <is>
          <t>코스피</t>
        </is>
      </c>
      <c r="D9356" s="2" t="inlineStr">
        <is>
          <t>088260</t>
        </is>
      </c>
      <c r="E9356" s="3" t="inlineStr">
        <is>
          <t>임원ㆍ주요주주특정증권등소유상황보고서 (정정: 20260608)</t>
        </is>
      </c>
      <c r="F9356" s="3" t="inlineStr">
        <is>
          <t>미래에셋자산운용</t>
        </is>
      </c>
      <c r="G9356" s="2" t="inlineStr">
        <is>
          <t>20260608800848</t>
        </is>
      </c>
      <c r="H9356" s="8">
        <f>HYPERLINK("https://dart.fss.or.kr/dsaf001/main.do?rcpNo=20260608800848", "공시열람")</f>
        <v/>
      </c>
    </row>
    <row r="9357">
      <c r="A9357" s="2" t="inlineStr">
        <is>
          <t>2026-06-04</t>
        </is>
      </c>
      <c r="B9357" s="3" t="inlineStr">
        <is>
          <t>신한알파리츠</t>
        </is>
      </c>
      <c r="C9357" s="2" t="inlineStr">
        <is>
          <t>코스피</t>
        </is>
      </c>
      <c r="D9357" s="2" t="inlineStr">
        <is>
          <t>293940</t>
        </is>
      </c>
      <c r="E9357" s="3" t="inlineStr">
        <is>
          <t>임원ㆍ주요주주특정증권등소유상황보고서</t>
        </is>
      </c>
      <c r="F9357" s="3" t="inlineStr">
        <is>
          <t>미래에셋자산운용</t>
        </is>
      </c>
      <c r="G9357" s="2" t="inlineStr">
        <is>
          <t>20260604000591</t>
        </is>
      </c>
      <c r="H9357" s="8">
        <f>HYPERLINK("https://dart.fss.or.kr/dsaf001/main.do?rcpNo=20260604000591", "공시열람")</f>
        <v/>
      </c>
    </row>
    <row r="9358">
      <c r="A9358" s="2" t="inlineStr">
        <is>
          <t>2026-06-04</t>
        </is>
      </c>
      <c r="B9358" s="3" t="inlineStr">
        <is>
          <t>롯데리츠</t>
        </is>
      </c>
      <c r="C9358" s="2" t="inlineStr">
        <is>
          <t>코스피</t>
        </is>
      </c>
      <c r="D9358" s="2" t="inlineStr">
        <is>
          <t>330590</t>
        </is>
      </c>
      <c r="E9358" s="3" t="inlineStr">
        <is>
          <t>임원ㆍ주요주주특정증권등소유상황보고서</t>
        </is>
      </c>
      <c r="F9358" s="3" t="inlineStr">
        <is>
          <t>미래에셋자산운용</t>
        </is>
      </c>
      <c r="G9358" s="2" t="inlineStr">
        <is>
          <t>20260604000590</t>
        </is>
      </c>
      <c r="H9358" s="8">
        <f>HYPERLINK("https://dart.fss.or.kr/dsaf001/main.do?rcpNo=20260604000590", "공시열람")</f>
        <v/>
      </c>
    </row>
    <row r="9359">
      <c r="A9359" s="2" t="inlineStr">
        <is>
          <t>2026-06-04</t>
        </is>
      </c>
      <c r="B9359" s="3" t="inlineStr">
        <is>
          <t>DB하이텍</t>
        </is>
      </c>
      <c r="C9359" s="2" t="inlineStr">
        <is>
          <t>코스피</t>
        </is>
      </c>
      <c r="D9359" s="2" t="inlineStr">
        <is>
          <t>000990</t>
        </is>
      </c>
      <c r="E9359" s="3" t="inlineStr">
        <is>
          <t>임원ㆍ주요주주특정증권등소유상황보고서</t>
        </is>
      </c>
      <c r="F9359" s="3" t="inlineStr">
        <is>
          <t>미래에셋자산운용</t>
        </is>
      </c>
      <c r="G9359" s="2" t="inlineStr">
        <is>
          <t>20260604000589</t>
        </is>
      </c>
      <c r="H9359" s="8">
        <f>HYPERLINK("https://dart.fss.or.kr/dsaf001/main.do?rcpNo=20260604000589", "공시열람")</f>
        <v/>
      </c>
    </row>
    <row r="9360">
      <c r="A9360" s="2" t="inlineStr">
        <is>
          <t>2026-06-04</t>
        </is>
      </c>
      <c r="B9360" s="3" t="inlineStr">
        <is>
          <t>NH투자증권</t>
        </is>
      </c>
      <c r="C9360" s="2" t="inlineStr">
        <is>
          <t>코스피</t>
        </is>
      </c>
      <c r="D9360" s="2" t="inlineStr">
        <is>
          <t>005940</t>
        </is>
      </c>
      <c r="E9360" s="3" t="inlineStr">
        <is>
          <t>투자설명서(일괄신고)</t>
        </is>
      </c>
      <c r="F9360" s="3" t="inlineStr">
        <is>
          <t>NH투자증권</t>
        </is>
      </c>
      <c r="G9360" s="2" t="inlineStr">
        <is>
          <t>20260604000588</t>
        </is>
      </c>
      <c r="H9360" s="8">
        <f>HYPERLINK("https://dart.fss.or.kr/dsaf001/main.do?rcpNo=20260604000588", "공시열람")</f>
        <v/>
      </c>
    </row>
    <row r="9361">
      <c r="A9361" s="2" t="inlineStr">
        <is>
          <t>2026-06-04</t>
        </is>
      </c>
      <c r="B9361" s="3" t="inlineStr">
        <is>
          <t>한화리츠</t>
        </is>
      </c>
      <c r="C9361" s="2" t="inlineStr">
        <is>
          <t>코스피</t>
        </is>
      </c>
      <c r="D9361" s="2" t="inlineStr">
        <is>
          <t>451800</t>
        </is>
      </c>
      <c r="E9361" s="3" t="inlineStr">
        <is>
          <t>임원ㆍ주요주주특정증권등소유상황보고서</t>
        </is>
      </c>
      <c r="F9361" s="3" t="inlineStr">
        <is>
          <t>미래에셋자산운용</t>
        </is>
      </c>
      <c r="G9361" s="2" t="inlineStr">
        <is>
          <t>20260604000587</t>
        </is>
      </c>
      <c r="H9361" s="8">
        <f>HYPERLINK("https://dart.fss.or.kr/dsaf001/main.do?rcpNo=20260604000587", "공시열람")</f>
        <v/>
      </c>
    </row>
    <row r="9362">
      <c r="A9362" s="2" t="inlineStr">
        <is>
          <t>2026-06-04</t>
        </is>
      </c>
      <c r="B9362" s="3" t="inlineStr">
        <is>
          <t>삼성FN리츠</t>
        </is>
      </c>
      <c r="C9362" s="2" t="inlineStr">
        <is>
          <t>코스피</t>
        </is>
      </c>
      <c r="D9362" s="2" t="inlineStr">
        <is>
          <t>448730</t>
        </is>
      </c>
      <c r="E9362" s="3" t="inlineStr">
        <is>
          <t>임원ㆍ주요주주특정증권등소유상황보고서</t>
        </is>
      </c>
      <c r="F9362" s="3" t="inlineStr">
        <is>
          <t>미래에셋자산운용</t>
        </is>
      </c>
      <c r="G9362" s="2" t="inlineStr">
        <is>
          <t>20260604000586</t>
        </is>
      </c>
      <c r="H9362" s="8">
        <f>HYPERLINK("https://dart.fss.or.kr/dsaf001/main.do?rcpNo=20260604000586", "공시열람")</f>
        <v/>
      </c>
    </row>
    <row r="9363">
      <c r="A9363" s="2" t="inlineStr">
        <is>
          <t>2026-06-04</t>
        </is>
      </c>
      <c r="B9363" s="3" t="inlineStr">
        <is>
          <t>코람코더원리츠</t>
        </is>
      </c>
      <c r="C9363" s="2" t="inlineStr">
        <is>
          <t>코스피</t>
        </is>
      </c>
      <c r="D9363" s="2" t="inlineStr">
        <is>
          <t>417310</t>
        </is>
      </c>
      <c r="E9363" s="3" t="inlineStr">
        <is>
          <t>임원ㆍ주요주주특정증권등소유상황보고서</t>
        </is>
      </c>
      <c r="F9363" s="3" t="inlineStr">
        <is>
          <t>미래에셋자산운용</t>
        </is>
      </c>
      <c r="G9363" s="2" t="inlineStr">
        <is>
          <t>20260604000585</t>
        </is>
      </c>
      <c r="H9363" s="8">
        <f>HYPERLINK("https://dart.fss.or.kr/dsaf001/main.do?rcpNo=20260604000585", "공시열람")</f>
        <v/>
      </c>
    </row>
    <row r="9364">
      <c r="A9364" s="2" t="inlineStr">
        <is>
          <t>2026-06-04 (정정: 2026-06-18)</t>
        </is>
      </c>
      <c r="B9364" s="3" t="inlineStr">
        <is>
          <t>서부T&amp;D</t>
        </is>
      </c>
      <c r="C9364" s="2" t="inlineStr">
        <is>
          <t>코스닥</t>
        </is>
      </c>
      <c r="D9364" s="2" t="inlineStr">
        <is>
          <t>006730</t>
        </is>
      </c>
      <c r="E9364" s="3" t="inlineStr">
        <is>
          <t>임원ㆍ주요주주특정증권등소유상황보고서 (정정: 20260608) (정정: 20260618)</t>
        </is>
      </c>
      <c r="F9364" s="3" t="inlineStr">
        <is>
          <t>엠와이에이치</t>
        </is>
      </c>
      <c r="G9364" s="2" t="inlineStr">
        <is>
          <t>20260618900822</t>
        </is>
      </c>
      <c r="H9364" s="8">
        <f>HYPERLINK("https://dart.fss.or.kr/dsaf001/main.do?rcpNo=20260618900822", "공시열람")</f>
        <v/>
      </c>
    </row>
    <row r="9365">
      <c r="A9365" s="2" t="inlineStr">
        <is>
          <t>2026-06-04</t>
        </is>
      </c>
      <c r="B9365" s="3" t="inlineStr">
        <is>
          <t>신한서부티엔디리츠</t>
        </is>
      </c>
      <c r="C9365" s="2" t="inlineStr">
        <is>
          <t>코스피</t>
        </is>
      </c>
      <c r="D9365" s="2" t="inlineStr">
        <is>
          <t>404990</t>
        </is>
      </c>
      <c r="E9365" s="3" t="inlineStr">
        <is>
          <t>임원ㆍ주요주주특정증권등소유상황보고서</t>
        </is>
      </c>
      <c r="F9365" s="3" t="inlineStr">
        <is>
          <t>미래에셋자산운용</t>
        </is>
      </c>
      <c r="G9365" s="2" t="inlineStr">
        <is>
          <t>20260604000583</t>
        </is>
      </c>
      <c r="H9365" s="8">
        <f>HYPERLINK("https://dart.fss.or.kr/dsaf001/main.do?rcpNo=20260604000583", "공시열람")</f>
        <v/>
      </c>
    </row>
    <row r="9366">
      <c r="A9366" s="2" t="inlineStr">
        <is>
          <t>2026-06-04</t>
        </is>
      </c>
      <c r="B9366" s="3" t="inlineStr">
        <is>
          <t>SK리츠</t>
        </is>
      </c>
      <c r="C9366" s="2" t="inlineStr">
        <is>
          <t>코스피</t>
        </is>
      </c>
      <c r="D9366" s="2" t="inlineStr">
        <is>
          <t>395400</t>
        </is>
      </c>
      <c r="E9366" s="3" t="inlineStr">
        <is>
          <t>임원ㆍ주요주주특정증권등소유상황보고서</t>
        </is>
      </c>
      <c r="F9366" s="3" t="inlineStr">
        <is>
          <t>미래에셋자산운용</t>
        </is>
      </c>
      <c r="G9366" s="2" t="inlineStr">
        <is>
          <t>20260604000582</t>
        </is>
      </c>
      <c r="H9366" s="8">
        <f>HYPERLINK("https://dart.fss.or.kr/dsaf001/main.do?rcpNo=20260604000582", "공시열람")</f>
        <v/>
      </c>
    </row>
    <row r="9367">
      <c r="A9367" s="2" t="inlineStr">
        <is>
          <t>2026-06-04</t>
        </is>
      </c>
      <c r="B9367" s="3" t="inlineStr">
        <is>
          <t>디앤디플랫폼리츠</t>
        </is>
      </c>
      <c r="C9367" s="2" t="inlineStr">
        <is>
          <t>코스피</t>
        </is>
      </c>
      <c r="D9367" s="2" t="inlineStr">
        <is>
          <t>377190</t>
        </is>
      </c>
      <c r="E9367" s="3" t="inlineStr">
        <is>
          <t>임원ㆍ주요주주특정증권등소유상황보고서</t>
        </is>
      </c>
      <c r="F9367" s="3" t="inlineStr">
        <is>
          <t>미래에셋자산운용</t>
        </is>
      </c>
      <c r="G9367" s="2" t="inlineStr">
        <is>
          <t>20260604000580</t>
        </is>
      </c>
      <c r="H9367" s="8">
        <f>HYPERLINK("https://dart.fss.or.kr/dsaf001/main.do?rcpNo=20260604000580", "공시열람")</f>
        <v/>
      </c>
    </row>
    <row r="9368">
      <c r="A9368" s="2" t="inlineStr">
        <is>
          <t>2026-06-04</t>
        </is>
      </c>
      <c r="B9368" s="3" t="inlineStr">
        <is>
          <t>ESR켄달스퀘어리츠</t>
        </is>
      </c>
      <c r="C9368" s="2" t="inlineStr">
        <is>
          <t>코스피</t>
        </is>
      </c>
      <c r="D9368" s="2" t="inlineStr">
        <is>
          <t>365550</t>
        </is>
      </c>
      <c r="E9368" s="3" t="inlineStr">
        <is>
          <t>임원ㆍ주요주주특정증권등소유상황보고서</t>
        </is>
      </c>
      <c r="F9368" s="3" t="inlineStr">
        <is>
          <t>미래에셋자산운용</t>
        </is>
      </c>
      <c r="G9368" s="2" t="inlineStr">
        <is>
          <t>20260604000579</t>
        </is>
      </c>
      <c r="H9368" s="8">
        <f>HYPERLINK("https://dart.fss.or.kr/dsaf001/main.do?rcpNo=20260604000579", "공시열람")</f>
        <v/>
      </c>
    </row>
    <row r="9369">
      <c r="A9369" s="2" t="inlineStr">
        <is>
          <t>2026-06-04</t>
        </is>
      </c>
      <c r="B9369" s="3" t="inlineStr">
        <is>
          <t>하나마이크론</t>
        </is>
      </c>
      <c r="C9369" s="2" t="inlineStr">
        <is>
          <t>코스닥</t>
        </is>
      </c>
      <c r="D9369" s="2" t="inlineStr">
        <is>
          <t>067310</t>
        </is>
      </c>
      <c r="E9369" s="3" t="inlineStr">
        <is>
          <t>임원ㆍ주요주주특정증권등소유상황보고서</t>
        </is>
      </c>
      <c r="F9369" s="3" t="inlineStr">
        <is>
          <t>이웅희</t>
        </is>
      </c>
      <c r="G9369" s="2" t="inlineStr">
        <is>
          <t>20260604000578</t>
        </is>
      </c>
      <c r="H9369" s="8">
        <f>HYPERLINK("https://dart.fss.or.kr/dsaf001/main.do?rcpNo=20260604000578", "공시열람")</f>
        <v/>
      </c>
    </row>
    <row r="9370">
      <c r="A9370" s="2" t="inlineStr">
        <is>
          <t>2026-06-04</t>
        </is>
      </c>
      <c r="B9370" s="3" t="inlineStr">
        <is>
          <t>썸에이지</t>
        </is>
      </c>
      <c r="C9370" s="2" t="inlineStr">
        <is>
          <t>코스닥</t>
        </is>
      </c>
      <c r="D9370" s="2" t="inlineStr">
        <is>
          <t>208640</t>
        </is>
      </c>
      <c r="E9370" s="3" t="inlineStr">
        <is>
          <t>주권매매거래정지              (주식의 병합, 분할 등 전자등록 변경, 말소)</t>
        </is>
      </c>
      <c r="F9370" s="3" t="inlineStr">
        <is>
          <t>코스닥시장본부</t>
        </is>
      </c>
      <c r="G9370" s="2" t="inlineStr">
        <is>
          <t>20260604900542</t>
        </is>
      </c>
      <c r="H9370" s="8">
        <f>HYPERLINK("https://dart.fss.or.kr/dsaf001/main.do?rcpNo=20260604900542", "공시열람")</f>
        <v/>
      </c>
    </row>
    <row r="9371">
      <c r="A9371" s="2" t="inlineStr">
        <is>
          <t>2026-06-04</t>
        </is>
      </c>
      <c r="B9371" s="3" t="inlineStr">
        <is>
          <t>젝시믹스</t>
        </is>
      </c>
      <c r="C9371" s="2" t="inlineStr">
        <is>
          <t>코스닥</t>
        </is>
      </c>
      <c r="D9371" s="2" t="inlineStr">
        <is>
          <t>337930</t>
        </is>
      </c>
      <c r="E9371" s="3" t="inlineStr">
        <is>
          <t>전환사채(해외전환사채포함)발행후만기전사채취득              (제1회차)</t>
        </is>
      </c>
      <c r="F9371" s="3" t="inlineStr">
        <is>
          <t>젝시믹스</t>
        </is>
      </c>
      <c r="G9371" s="2" t="inlineStr">
        <is>
          <t>20260604900681</t>
        </is>
      </c>
      <c r="H9371" s="8">
        <f>HYPERLINK("https://dart.fss.or.kr/dsaf001/main.do?rcpNo=20260604900681", "공시열람")</f>
        <v/>
      </c>
    </row>
    <row r="9372">
      <c r="A9372" s="2" t="inlineStr">
        <is>
          <t>2026-06-04</t>
        </is>
      </c>
      <c r="B9372" s="3" t="inlineStr">
        <is>
          <t>HLB테라퓨틱스</t>
        </is>
      </c>
      <c r="C9372" s="2" t="inlineStr">
        <is>
          <t>코스닥</t>
        </is>
      </c>
      <c r="D9372" s="2" t="inlineStr">
        <is>
          <t>115450</t>
        </is>
      </c>
      <c r="E9372" s="3" t="inlineStr">
        <is>
          <t xml:space="preserve">전환가액의조정              </t>
        </is>
      </c>
      <c r="F9372" s="3" t="inlineStr">
        <is>
          <t>HLB테라퓨틱스</t>
        </is>
      </c>
      <c r="G9372" s="2" t="inlineStr">
        <is>
          <t>20260604900710</t>
        </is>
      </c>
      <c r="H9372" s="8">
        <f>HYPERLINK("https://dart.fss.or.kr/dsaf001/main.do?rcpNo=20260604900710", "공시열람")</f>
        <v/>
      </c>
    </row>
    <row r="9373">
      <c r="A9373" s="2" t="inlineStr">
        <is>
          <t>2026-06-04</t>
        </is>
      </c>
      <c r="B9373" s="3" t="inlineStr">
        <is>
          <t>한화투자증권</t>
        </is>
      </c>
      <c r="C9373" s="2" t="inlineStr">
        <is>
          <t>코스피</t>
        </is>
      </c>
      <c r="D9373" s="2" t="inlineStr">
        <is>
          <t>003530</t>
        </is>
      </c>
      <c r="E9373" s="3" t="inlineStr">
        <is>
          <t>투자설명서(일괄신고)</t>
        </is>
      </c>
      <c r="F9373" s="3" t="inlineStr">
        <is>
          <t>한화투자증권</t>
        </is>
      </c>
      <c r="G9373" s="2" t="inlineStr">
        <is>
          <t>20260604000570</t>
        </is>
      </c>
      <c r="H9373" s="8">
        <f>HYPERLINK("https://dart.fss.or.kr/dsaf001/main.do?rcpNo=20260604000570", "공시열람")</f>
        <v/>
      </c>
    </row>
    <row r="9374">
      <c r="A9374" s="2" t="inlineStr">
        <is>
          <t>2026-06-04</t>
        </is>
      </c>
      <c r="B9374" s="3" t="inlineStr">
        <is>
          <t>팡스카이</t>
        </is>
      </c>
      <c r="C9374" s="2" t="inlineStr">
        <is>
          <t>코넥스</t>
        </is>
      </c>
      <c r="D9374" s="2" t="inlineStr">
        <is>
          <t>266350</t>
        </is>
      </c>
      <c r="E9374" s="3" t="inlineStr">
        <is>
          <t>기타시장안내              (정리매매 보류 관련)</t>
        </is>
      </c>
      <c r="F9374" s="3" t="inlineStr">
        <is>
          <t>코넥스시장</t>
        </is>
      </c>
      <c r="G9374" s="2" t="inlineStr">
        <is>
          <t>20260604600688</t>
        </is>
      </c>
      <c r="H9374" s="8">
        <f>HYPERLINK("https://dart.fss.or.kr/dsaf001/main.do?rcpNo=20260604600688", "공시열람")</f>
        <v/>
      </c>
    </row>
    <row r="9375">
      <c r="A9375" s="2" t="inlineStr">
        <is>
          <t>2026-06-04</t>
        </is>
      </c>
      <c r="B9375" s="3" t="inlineStr">
        <is>
          <t>팡스카이</t>
        </is>
      </c>
      <c r="C9375" s="2" t="inlineStr">
        <is>
          <t>코넥스</t>
        </is>
      </c>
      <c r="D9375" s="2" t="inlineStr">
        <is>
          <t>266350</t>
        </is>
      </c>
      <c r="E9375" s="3" t="inlineStr">
        <is>
          <t xml:space="preserve">주권매매거래정지              </t>
        </is>
      </c>
      <c r="F9375" s="3" t="inlineStr">
        <is>
          <t>코넥스시장</t>
        </is>
      </c>
      <c r="G9375" s="2" t="inlineStr">
        <is>
          <t>20260604600685</t>
        </is>
      </c>
      <c r="H9375" s="8">
        <f>HYPERLINK("https://dart.fss.or.kr/dsaf001/main.do?rcpNo=20260604600685", "공시열람")</f>
        <v/>
      </c>
    </row>
    <row r="9376">
      <c r="A9376" s="2" t="inlineStr">
        <is>
          <t>2026-06-04</t>
        </is>
      </c>
      <c r="B9376" s="3" t="inlineStr">
        <is>
          <t>대신증권</t>
        </is>
      </c>
      <c r="C9376" s="2" t="inlineStr">
        <is>
          <t>코스피</t>
        </is>
      </c>
      <c r="D9376" s="2" t="inlineStr">
        <is>
          <t>003540</t>
        </is>
      </c>
      <c r="E9376" s="3" t="inlineStr">
        <is>
          <t>일괄신고추가서류(파생결합사채-주가연계파생결합사채)</t>
        </is>
      </c>
      <c r="F9376" s="3" t="inlineStr">
        <is>
          <t>대신증권</t>
        </is>
      </c>
      <c r="G9376" s="2" t="inlineStr">
        <is>
          <t>20260604000569</t>
        </is>
      </c>
      <c r="H9376" s="8">
        <f>HYPERLINK("https://dart.fss.or.kr/dsaf001/main.do?rcpNo=20260604000569", "공시열람")</f>
        <v/>
      </c>
    </row>
    <row r="9377">
      <c r="A9377" s="2" t="inlineStr">
        <is>
          <t>2026-06-04</t>
        </is>
      </c>
      <c r="B9377" s="3" t="inlineStr">
        <is>
          <t>신일제약</t>
        </is>
      </c>
      <c r="C9377" s="2" t="inlineStr">
        <is>
          <t>코스닥</t>
        </is>
      </c>
      <c r="D9377" s="2" t="inlineStr">
        <is>
          <t>012790</t>
        </is>
      </c>
      <c r="E9377" s="3" t="inlineStr">
        <is>
          <t>임원ㆍ주요주주특정증권등소유상황보고서</t>
        </is>
      </c>
      <c r="F9377" s="3" t="inlineStr">
        <is>
          <t>박종창</t>
        </is>
      </c>
      <c r="G9377" s="2" t="inlineStr">
        <is>
          <t>20260604000565</t>
        </is>
      </c>
      <c r="H9377" s="8">
        <f>HYPERLINK("https://dart.fss.or.kr/dsaf001/main.do?rcpNo=20260604000565", "공시열람")</f>
        <v/>
      </c>
    </row>
    <row r="9378">
      <c r="A9378" s="2" t="inlineStr">
        <is>
          <t>2026-06-04</t>
        </is>
      </c>
      <c r="B9378" s="3" t="inlineStr">
        <is>
          <t>코오롱</t>
        </is>
      </c>
      <c r="C9378" s="2" t="inlineStr">
        <is>
          <t>코스피</t>
        </is>
      </c>
      <c r="D9378" s="2" t="inlineStr">
        <is>
          <t>002020</t>
        </is>
      </c>
      <c r="E9378" s="3" t="inlineStr">
        <is>
          <t xml:space="preserve">타법인주식및출자증권취득결정(자회사의 주요경영사항)              </t>
        </is>
      </c>
      <c r="F9378" s="3" t="inlineStr">
        <is>
          <t>코오롱</t>
        </is>
      </c>
      <c r="G9378" s="2" t="inlineStr">
        <is>
          <t>20260604800656</t>
        </is>
      </c>
      <c r="H9378" s="8">
        <f>HYPERLINK("https://dart.fss.or.kr/dsaf001/main.do?rcpNo=20260604800656", "공시열람")</f>
        <v/>
      </c>
    </row>
    <row r="9379">
      <c r="A9379" s="2" t="inlineStr">
        <is>
          <t>2026-06-04</t>
        </is>
      </c>
      <c r="B9379" s="3" t="inlineStr">
        <is>
          <t>HC홈센타</t>
        </is>
      </c>
      <c r="C9379" s="2" t="inlineStr">
        <is>
          <t>코스닥</t>
        </is>
      </c>
      <c r="D9379" s="2" t="inlineStr">
        <is>
          <t>060560</t>
        </is>
      </c>
      <c r="E9379" s="3" t="inlineStr">
        <is>
          <t>임원ㆍ주요주주특정증권등소유상황보고서</t>
        </is>
      </c>
      <c r="F9379" s="3" t="inlineStr">
        <is>
          <t>에이치씨파트너스</t>
        </is>
      </c>
      <c r="G9379" s="2" t="inlineStr">
        <is>
          <t>20260604000554</t>
        </is>
      </c>
      <c r="H9379" s="8">
        <f>HYPERLINK("https://dart.fss.or.kr/dsaf001/main.do?rcpNo=20260604000554", "공시열람")</f>
        <v/>
      </c>
    </row>
    <row r="9380">
      <c r="A9380" s="2" t="inlineStr">
        <is>
          <t>2026-06-04</t>
        </is>
      </c>
      <c r="B9380" s="3" t="inlineStr">
        <is>
          <t>NHN</t>
        </is>
      </c>
      <c r="C9380" s="2" t="inlineStr">
        <is>
          <t>코스피</t>
        </is>
      </c>
      <c r="D9380" s="2" t="inlineStr">
        <is>
          <t>181710</t>
        </is>
      </c>
      <c r="E9380" s="3" t="inlineStr">
        <is>
          <t>자기주식취득결과보고서</t>
        </is>
      </c>
      <c r="F9380" s="3" t="inlineStr">
        <is>
          <t>NHN</t>
        </is>
      </c>
      <c r="G9380" s="2" t="inlineStr">
        <is>
          <t>20260604000548</t>
        </is>
      </c>
      <c r="H9380" s="8">
        <f>HYPERLINK("https://dart.fss.or.kr/dsaf001/main.do?rcpNo=20260604000548", "공시열람")</f>
        <v/>
      </c>
    </row>
    <row r="9381">
      <c r="A9381" s="2" t="inlineStr">
        <is>
          <t>2026-06-04</t>
        </is>
      </c>
      <c r="B9381" s="3" t="inlineStr">
        <is>
          <t>NHN</t>
        </is>
      </c>
      <c r="C9381" s="2" t="inlineStr">
        <is>
          <t>코스피</t>
        </is>
      </c>
      <c r="D9381" s="2" t="inlineStr">
        <is>
          <t>181710</t>
        </is>
      </c>
      <c r="E9381" s="3" t="inlineStr">
        <is>
          <t>임원ㆍ주요주주특정증권등거래계획보고서</t>
        </is>
      </c>
      <c r="F9381" s="3" t="inlineStr">
        <is>
          <t>제이엘씨파트너스</t>
        </is>
      </c>
      <c r="G9381" s="2" t="inlineStr">
        <is>
          <t>20260604000546</t>
        </is>
      </c>
      <c r="H9381" s="8">
        <f>HYPERLINK("https://dart.fss.or.kr/dsaf001/main.do?rcpNo=20260604000546", "공시열람")</f>
        <v/>
      </c>
    </row>
    <row r="9382">
      <c r="A9382" s="2" t="inlineStr">
        <is>
          <t>2026-06-04</t>
        </is>
      </c>
      <c r="B9382" s="3" t="inlineStr">
        <is>
          <t>유안타증권</t>
        </is>
      </c>
      <c r="C9382" s="2" t="inlineStr">
        <is>
          <t>코스피</t>
        </is>
      </c>
      <c r="D9382" s="2" t="inlineStr">
        <is>
          <t>003470</t>
        </is>
      </c>
      <c r="E9382" s="3" t="inlineStr">
        <is>
          <t>임원ㆍ주요주주특정증권등소유상황보고서</t>
        </is>
      </c>
      <c r="F9382" s="3" t="inlineStr">
        <is>
          <t>뤄즈펑</t>
        </is>
      </c>
      <c r="G9382" s="2" t="inlineStr">
        <is>
          <t>20260604000541</t>
        </is>
      </c>
      <c r="H9382" s="8">
        <f>HYPERLINK("https://dart.fss.or.kr/dsaf001/main.do?rcpNo=20260604000541", "공시열람")</f>
        <v/>
      </c>
    </row>
    <row r="9383">
      <c r="A9383" s="2" t="inlineStr">
        <is>
          <t>2026-06-04</t>
        </is>
      </c>
      <c r="B9383" s="3" t="inlineStr">
        <is>
          <t>한화투자증권</t>
        </is>
      </c>
      <c r="C9383" s="2" t="inlineStr">
        <is>
          <t>코스피</t>
        </is>
      </c>
      <c r="D9383" s="2" t="inlineStr">
        <is>
          <t>003530</t>
        </is>
      </c>
      <c r="E9383" s="3" t="inlineStr">
        <is>
          <t>일괄신고추가서류(파생결합사채-주가연계파생결합사채)</t>
        </is>
      </c>
      <c r="F9383" s="3" t="inlineStr">
        <is>
          <t>한화투자증권</t>
        </is>
      </c>
      <c r="G9383" s="2" t="inlineStr">
        <is>
          <t>20260604000539</t>
        </is>
      </c>
      <c r="H9383" s="8">
        <f>HYPERLINK("https://dart.fss.or.kr/dsaf001/main.do?rcpNo=20260604000539", "공시열람")</f>
        <v/>
      </c>
    </row>
    <row r="9384">
      <c r="A9384" s="2" t="inlineStr">
        <is>
          <t>2026-06-04</t>
        </is>
      </c>
      <c r="B9384" s="3" t="inlineStr">
        <is>
          <t>에이루트</t>
        </is>
      </c>
      <c r="C9384" s="2" t="inlineStr">
        <is>
          <t>코스닥</t>
        </is>
      </c>
      <c r="D9384" s="2" t="inlineStr">
        <is>
          <t>096690</t>
        </is>
      </c>
      <c r="E9384" s="3" t="inlineStr">
        <is>
          <t>임원ㆍ주요주주특정증권등소유상황보고서</t>
        </is>
      </c>
      <c r="F9384" s="3" t="inlineStr">
        <is>
          <t>서문동군</t>
        </is>
      </c>
      <c r="G9384" s="2" t="inlineStr">
        <is>
          <t>20260604000538</t>
        </is>
      </c>
      <c r="H9384" s="8">
        <f>HYPERLINK("https://dart.fss.or.kr/dsaf001/main.do?rcpNo=20260604000538", "공시열람")</f>
        <v/>
      </c>
    </row>
    <row r="9385">
      <c r="A9385" s="2" t="inlineStr">
        <is>
          <t>2026-06-04</t>
        </is>
      </c>
      <c r="B9385" s="3" t="inlineStr">
        <is>
          <t>대신증권</t>
        </is>
      </c>
      <c r="C9385" s="2" t="inlineStr">
        <is>
          <t>코스피</t>
        </is>
      </c>
      <c r="D9385" s="2" t="inlineStr">
        <is>
          <t>003540</t>
        </is>
      </c>
      <c r="E9385" s="3" t="inlineStr">
        <is>
          <t>증권발행실적보고서</t>
        </is>
      </c>
      <c r="F9385" s="3" t="inlineStr">
        <is>
          <t>대신증권</t>
        </is>
      </c>
      <c r="G9385" s="2" t="inlineStr">
        <is>
          <t>20260604000535</t>
        </is>
      </c>
      <c r="H9385" s="8">
        <f>HYPERLINK("https://dart.fss.or.kr/dsaf001/main.do?rcpNo=20260604000535", "공시열람")</f>
        <v/>
      </c>
    </row>
    <row r="9386">
      <c r="A9386" s="2" t="inlineStr">
        <is>
          <t>2026-06-04</t>
        </is>
      </c>
      <c r="B9386" s="3" t="inlineStr">
        <is>
          <t>NH투자증권</t>
        </is>
      </c>
      <c r="C9386" s="2" t="inlineStr">
        <is>
          <t>코스피</t>
        </is>
      </c>
      <c r="D9386" s="2" t="inlineStr">
        <is>
          <t>005940</t>
        </is>
      </c>
      <c r="E9386" s="3" t="inlineStr">
        <is>
          <t>증권신고서(채무증권)</t>
        </is>
      </c>
      <c r="F9386" s="3" t="inlineStr">
        <is>
          <t>NH투자증권</t>
        </is>
      </c>
      <c r="G9386" s="2" t="inlineStr">
        <is>
          <t>20260604000534</t>
        </is>
      </c>
      <c r="H9386" s="8">
        <f>HYPERLINK("https://dart.fss.or.kr/dsaf001/main.do?rcpNo=20260604000534", "공시열람")</f>
        <v/>
      </c>
    </row>
    <row r="9387">
      <c r="A9387" s="2" t="inlineStr">
        <is>
          <t>2026-06-04</t>
        </is>
      </c>
      <c r="B9387" s="3" t="inlineStr">
        <is>
          <t>삼영전자공업</t>
        </is>
      </c>
      <c r="C9387" s="2" t="inlineStr">
        <is>
          <t>코스피</t>
        </is>
      </c>
      <c r="D9387" s="2" t="inlineStr">
        <is>
          <t>005680</t>
        </is>
      </c>
      <c r="E9387" s="3" t="inlineStr">
        <is>
          <t xml:space="preserve">불성실공시법인지정예고              </t>
        </is>
      </c>
      <c r="F9387" s="3" t="inlineStr">
        <is>
          <t>유가증권시장본부</t>
        </is>
      </c>
      <c r="G9387" s="2" t="inlineStr">
        <is>
          <t>20260604800623</t>
        </is>
      </c>
      <c r="H9387" s="8">
        <f>HYPERLINK("https://dart.fss.or.kr/dsaf001/main.do?rcpNo=20260604800623", "공시열람")</f>
        <v/>
      </c>
    </row>
    <row r="9388">
      <c r="A9388" s="2" t="inlineStr">
        <is>
          <t>2026-06-04</t>
        </is>
      </c>
      <c r="B9388" s="3" t="inlineStr">
        <is>
          <t>한국항공우주</t>
        </is>
      </c>
      <c r="C9388" s="2" t="inlineStr">
        <is>
          <t>코스피</t>
        </is>
      </c>
      <c r="D9388" s="2" t="inlineStr">
        <is>
          <t>047810</t>
        </is>
      </c>
      <c r="E9388" s="3" t="inlineStr">
        <is>
          <t>임원ㆍ주요주주특정증권등소유상황보고서</t>
        </is>
      </c>
      <c r="F9388" s="3" t="inlineStr">
        <is>
          <t>최인수</t>
        </is>
      </c>
      <c r="G9388" s="2" t="inlineStr">
        <is>
          <t>20260604000531</t>
        </is>
      </c>
      <c r="H9388" s="8">
        <f>HYPERLINK("https://dart.fss.or.kr/dsaf001/main.do?rcpNo=20260604000531", "공시열람")</f>
        <v/>
      </c>
    </row>
    <row r="9389">
      <c r="A9389" s="2" t="inlineStr">
        <is>
          <t>2026-06-04</t>
        </is>
      </c>
      <c r="B9389" s="3" t="inlineStr">
        <is>
          <t>공구우먼</t>
        </is>
      </c>
      <c r="C9389" s="2" t="inlineStr">
        <is>
          <t>코스닥</t>
        </is>
      </c>
      <c r="D9389" s="2" t="inlineStr">
        <is>
          <t>366030</t>
        </is>
      </c>
      <c r="E9389" s="3" t="inlineStr">
        <is>
          <t xml:space="preserve">상호변경안내              </t>
        </is>
      </c>
      <c r="F9389" s="3" t="inlineStr">
        <is>
          <t>공구우먼</t>
        </is>
      </c>
      <c r="G9389" s="2" t="inlineStr">
        <is>
          <t>20260604900653</t>
        </is>
      </c>
      <c r="H9389" s="8">
        <f>HYPERLINK("https://dart.fss.or.kr/dsaf001/main.do?rcpNo=20260604900653", "공시열람")</f>
        <v/>
      </c>
    </row>
    <row r="9390">
      <c r="A9390" s="2" t="inlineStr">
        <is>
          <t>2026-06-04</t>
        </is>
      </c>
      <c r="B9390" s="3" t="inlineStr">
        <is>
          <t>대신증권</t>
        </is>
      </c>
      <c r="C9390" s="2" t="inlineStr">
        <is>
          <t>코스피</t>
        </is>
      </c>
      <c r="D9390" s="2" t="inlineStr">
        <is>
          <t>003540</t>
        </is>
      </c>
      <c r="E9390" s="3" t="inlineStr">
        <is>
          <t>투자설명서(일괄신고)</t>
        </is>
      </c>
      <c r="F9390" s="3" t="inlineStr">
        <is>
          <t>대신증권</t>
        </is>
      </c>
      <c r="G9390" s="2" t="inlineStr">
        <is>
          <t>20260604000529</t>
        </is>
      </c>
      <c r="H9390" s="8">
        <f>HYPERLINK("https://dart.fss.or.kr/dsaf001/main.do?rcpNo=20260604000529", "공시열람")</f>
        <v/>
      </c>
    </row>
    <row r="9391">
      <c r="A9391" s="2" t="inlineStr">
        <is>
          <t>2026-06-04</t>
        </is>
      </c>
      <c r="B9391" s="3" t="inlineStr">
        <is>
          <t>삼양식품</t>
        </is>
      </c>
      <c r="C9391" s="2" t="inlineStr">
        <is>
          <t>코스피</t>
        </is>
      </c>
      <c r="D9391" s="2" t="inlineStr">
        <is>
          <t>003230</t>
        </is>
      </c>
      <c r="E9391" s="3" t="inlineStr">
        <is>
          <t>임원ㆍ주요주주특정증권등거래계획보고서</t>
        </is>
      </c>
      <c r="F9391" s="3" t="inlineStr">
        <is>
          <t>전병우</t>
        </is>
      </c>
      <c r="G9391" s="2" t="inlineStr">
        <is>
          <t>20260604000528</t>
        </is>
      </c>
      <c r="H9391" s="8">
        <f>HYPERLINK("https://dart.fss.or.kr/dsaf001/main.do?rcpNo=20260604000528", "공시열람")</f>
        <v/>
      </c>
    </row>
    <row r="9392">
      <c r="A9392" s="2" t="inlineStr">
        <is>
          <t>2026-06-04</t>
        </is>
      </c>
      <c r="B9392" s="3" t="inlineStr">
        <is>
          <t>한국항공우주</t>
        </is>
      </c>
      <c r="C9392" s="2" t="inlineStr">
        <is>
          <t>코스피</t>
        </is>
      </c>
      <c r="D9392" s="2" t="inlineStr">
        <is>
          <t>047810</t>
        </is>
      </c>
      <c r="E9392" s="3" t="inlineStr">
        <is>
          <t>임원ㆍ주요주주특정증권등소유상황보고서</t>
        </is>
      </c>
      <c r="F9392" s="3" t="inlineStr">
        <is>
          <t>김종문</t>
        </is>
      </c>
      <c r="G9392" s="2" t="inlineStr">
        <is>
          <t>20260604000524</t>
        </is>
      </c>
      <c r="H9392" s="8">
        <f>HYPERLINK("https://dart.fss.or.kr/dsaf001/main.do?rcpNo=20260604000524", "공시열람")</f>
        <v/>
      </c>
    </row>
    <row r="9393">
      <c r="A9393" s="2" t="inlineStr">
        <is>
          <t>2026-06-04</t>
        </is>
      </c>
      <c r="B9393" s="3" t="inlineStr">
        <is>
          <t>삼양식품</t>
        </is>
      </c>
      <c r="C9393" s="2" t="inlineStr">
        <is>
          <t>코스피</t>
        </is>
      </c>
      <c r="D9393" s="2" t="inlineStr">
        <is>
          <t>003230</t>
        </is>
      </c>
      <c r="E9393" s="3" t="inlineStr">
        <is>
          <t>임원ㆍ주요주주특정증권등거래계획보고서</t>
        </is>
      </c>
      <c r="F9393" s="3" t="inlineStr">
        <is>
          <t>김정수</t>
        </is>
      </c>
      <c r="G9393" s="2" t="inlineStr">
        <is>
          <t>20260604000523</t>
        </is>
      </c>
      <c r="H9393" s="8">
        <f>HYPERLINK("https://dart.fss.or.kr/dsaf001/main.do?rcpNo=20260604000523", "공시열람")</f>
        <v/>
      </c>
    </row>
    <row r="9394">
      <c r="A9394" s="2" t="inlineStr">
        <is>
          <t>2026-06-04</t>
        </is>
      </c>
      <c r="B9394" s="3" t="inlineStr">
        <is>
          <t>삼성카드</t>
        </is>
      </c>
      <c r="C9394" s="2" t="inlineStr">
        <is>
          <t>코스피</t>
        </is>
      </c>
      <c r="D9394" s="2" t="inlineStr">
        <is>
          <t>029780</t>
        </is>
      </c>
      <c r="E9394" s="3" t="inlineStr">
        <is>
          <t>투자설명서(일괄신고)</t>
        </is>
      </c>
      <c r="F9394" s="3" t="inlineStr">
        <is>
          <t>삼성카드</t>
        </is>
      </c>
      <c r="G9394" s="2" t="inlineStr">
        <is>
          <t>20260604000522</t>
        </is>
      </c>
      <c r="H9394" s="8">
        <f>HYPERLINK("https://dart.fss.or.kr/dsaf001/main.do?rcpNo=20260604000522", "공시열람")</f>
        <v/>
      </c>
    </row>
    <row r="9395">
      <c r="A9395" s="2" t="inlineStr">
        <is>
          <t>2026-06-04</t>
        </is>
      </c>
      <c r="B9395" s="3" t="inlineStr">
        <is>
          <t>NH투자증권</t>
        </is>
      </c>
      <c r="C9395" s="2" t="inlineStr">
        <is>
          <t>코스피</t>
        </is>
      </c>
      <c r="D9395" s="2" t="inlineStr">
        <is>
          <t>005940</t>
        </is>
      </c>
      <c r="E9395" s="3" t="inlineStr">
        <is>
          <t>일괄신고추가서류(파생결합증권-주가연계증권)</t>
        </is>
      </c>
      <c r="F9395" s="3" t="inlineStr">
        <is>
          <t>NH투자증권</t>
        </is>
      </c>
      <c r="G9395" s="2" t="inlineStr">
        <is>
          <t>20260604000521</t>
        </is>
      </c>
      <c r="H9395" s="8">
        <f>HYPERLINK("https://dart.fss.or.kr/dsaf001/main.do?rcpNo=20260604000521", "공시열람")</f>
        <v/>
      </c>
    </row>
    <row r="9396">
      <c r="A9396" s="2" t="inlineStr">
        <is>
          <t>2026-06-04</t>
        </is>
      </c>
      <c r="B9396" s="3" t="inlineStr">
        <is>
          <t>에이루트</t>
        </is>
      </c>
      <c r="C9396" s="2" t="inlineStr">
        <is>
          <t>코스닥</t>
        </is>
      </c>
      <c r="D9396" s="2" t="inlineStr">
        <is>
          <t>096690</t>
        </is>
      </c>
      <c r="E9396" s="3" t="inlineStr">
        <is>
          <t>임원ㆍ주요주주특정증권등소유상황보고서</t>
        </is>
      </c>
      <c r="F9396" s="3" t="inlineStr">
        <is>
          <t>이대성</t>
        </is>
      </c>
      <c r="G9396" s="2" t="inlineStr">
        <is>
          <t>20260604000514</t>
        </is>
      </c>
      <c r="H9396" s="8">
        <f>HYPERLINK("https://dart.fss.or.kr/dsaf001/main.do?rcpNo=20260604000514", "공시열람")</f>
        <v/>
      </c>
    </row>
    <row r="9397">
      <c r="A9397" s="2" t="inlineStr">
        <is>
          <t>2026-06-04</t>
        </is>
      </c>
      <c r="B9397" s="3" t="inlineStr">
        <is>
          <t>삼성카드</t>
        </is>
      </c>
      <c r="C9397" s="2" t="inlineStr">
        <is>
          <t>코스피</t>
        </is>
      </c>
      <c r="D9397" s="2" t="inlineStr">
        <is>
          <t>029780</t>
        </is>
      </c>
      <c r="E9397" s="3" t="inlineStr">
        <is>
          <t>일괄신고추가서류</t>
        </is>
      </c>
      <c r="F9397" s="3" t="inlineStr">
        <is>
          <t>삼성카드</t>
        </is>
      </c>
      <c r="G9397" s="2" t="inlineStr">
        <is>
          <t>20260604000512</t>
        </is>
      </c>
      <c r="H9397" s="8">
        <f>HYPERLINK("https://dart.fss.or.kr/dsaf001/main.do?rcpNo=20260604000512", "공시열람")</f>
        <v/>
      </c>
    </row>
    <row r="9398">
      <c r="A9398" s="2" t="inlineStr">
        <is>
          <t>2026-06-04</t>
        </is>
      </c>
      <c r="B9398" s="3" t="inlineStr">
        <is>
          <t>롯데쇼핑</t>
        </is>
      </c>
      <c r="C9398" s="2" t="inlineStr">
        <is>
          <t>코스피</t>
        </is>
      </c>
      <c r="D9398" s="2" t="inlineStr">
        <is>
          <t>023530</t>
        </is>
      </c>
      <c r="E9398" s="3" t="inlineStr">
        <is>
          <t>[발행조건확정]증권신고서(채무증권)</t>
        </is>
      </c>
      <c r="F9398" s="3" t="inlineStr">
        <is>
          <t>롯데쇼핑</t>
        </is>
      </c>
      <c r="G9398" s="2" t="inlineStr">
        <is>
          <t>20260604000510</t>
        </is>
      </c>
      <c r="H9398" s="8">
        <f>HYPERLINK("https://dart.fss.or.kr/dsaf001/main.do?rcpNo=20260604000510", "공시열람")</f>
        <v/>
      </c>
    </row>
    <row r="9399">
      <c r="A9399" s="2" t="inlineStr">
        <is>
          <t>2026-06-04</t>
        </is>
      </c>
      <c r="B9399" s="3" t="inlineStr">
        <is>
          <t>대신증권</t>
        </is>
      </c>
      <c r="C9399" s="2" t="inlineStr">
        <is>
          <t>코스피</t>
        </is>
      </c>
      <c r="D9399" s="2" t="inlineStr">
        <is>
          <t>003540</t>
        </is>
      </c>
      <c r="E9399" s="3" t="inlineStr">
        <is>
          <t>일괄신고추가서류(파생결합사채-주가연계파생결합사채)</t>
        </is>
      </c>
      <c r="F9399" s="3" t="inlineStr">
        <is>
          <t>대신증권</t>
        </is>
      </c>
      <c r="G9399" s="2" t="inlineStr">
        <is>
          <t>20260604000504</t>
        </is>
      </c>
      <c r="H9399" s="8">
        <f>HYPERLINK("https://dart.fss.or.kr/dsaf001/main.do?rcpNo=20260604000504", "공시열람")</f>
        <v/>
      </c>
    </row>
    <row r="9400">
      <c r="A9400" s="2" t="inlineStr">
        <is>
          <t>2026-06-04</t>
        </is>
      </c>
      <c r="B9400" s="3" t="inlineStr">
        <is>
          <t>네오위즈</t>
        </is>
      </c>
      <c r="C9400" s="2" t="inlineStr">
        <is>
          <t>코스닥</t>
        </is>
      </c>
      <c r="D9400" s="2" t="inlineStr">
        <is>
          <t>095660</t>
        </is>
      </c>
      <c r="E9400" s="3" t="inlineStr">
        <is>
          <t>임원ㆍ주요주주특정증권등소유상황보고서</t>
        </is>
      </c>
      <c r="F9400" s="3" t="inlineStr">
        <is>
          <t>배태근</t>
        </is>
      </c>
      <c r="G9400" s="2" t="inlineStr">
        <is>
          <t>20260604000501</t>
        </is>
      </c>
      <c r="H9400" s="8">
        <f>HYPERLINK("https://dart.fss.or.kr/dsaf001/main.do?rcpNo=20260604000501", "공시열람")</f>
        <v/>
      </c>
    </row>
    <row r="9401">
      <c r="A9401" s="2" t="inlineStr">
        <is>
          <t>2026-06-04</t>
        </is>
      </c>
      <c r="B9401" s="3" t="inlineStr">
        <is>
          <t>티이엠씨씨엔에스</t>
        </is>
      </c>
      <c r="C9401" s="2" t="inlineStr">
        <is>
          <t>코스닥</t>
        </is>
      </c>
      <c r="D9401" s="2" t="inlineStr">
        <is>
          <t>241790</t>
        </is>
      </c>
      <c r="E9401" s="3" t="inlineStr">
        <is>
          <t>임원ㆍ주요주주특정증권등소유상황보고서</t>
        </is>
      </c>
      <c r="F9401" s="3" t="inlineStr">
        <is>
          <t>유원양</t>
        </is>
      </c>
      <c r="G9401" s="2" t="inlineStr">
        <is>
          <t>20260604000490</t>
        </is>
      </c>
      <c r="H9401" s="8">
        <f>HYPERLINK("https://dart.fss.or.kr/dsaf001/main.do?rcpNo=20260604000490", "공시열람")</f>
        <v/>
      </c>
    </row>
    <row r="9402">
      <c r="A9402" s="2" t="inlineStr">
        <is>
          <t>2026-06-04</t>
        </is>
      </c>
      <c r="B9402" s="3" t="inlineStr">
        <is>
          <t>NH투자증권</t>
        </is>
      </c>
      <c r="C9402" s="2" t="inlineStr">
        <is>
          <t>코스피</t>
        </is>
      </c>
      <c r="D9402" s="2" t="inlineStr">
        <is>
          <t>005940</t>
        </is>
      </c>
      <c r="E9402" s="3" t="inlineStr">
        <is>
          <t>일괄신고추가서류(파생결합사채-주가연계파생결합사채)</t>
        </is>
      </c>
      <c r="F9402" s="3" t="inlineStr">
        <is>
          <t>NH투자증권</t>
        </is>
      </c>
      <c r="G9402" s="2" t="inlineStr">
        <is>
          <t>20260604000485</t>
        </is>
      </c>
      <c r="H9402" s="8">
        <f>HYPERLINK("https://dart.fss.or.kr/dsaf001/main.do?rcpNo=20260604000485", "공시열람")</f>
        <v/>
      </c>
    </row>
    <row r="9403">
      <c r="A9403" s="2" t="inlineStr">
        <is>
          <t>2026-06-04</t>
        </is>
      </c>
      <c r="B9403" s="3" t="inlineStr">
        <is>
          <t>자연과환경</t>
        </is>
      </c>
      <c r="C9403" s="2" t="inlineStr">
        <is>
          <t>코스닥</t>
        </is>
      </c>
      <c r="D9403" s="2" t="inlineStr">
        <is>
          <t>043910</t>
        </is>
      </c>
      <c r="E9403" s="3" t="inlineStr">
        <is>
          <t>임원ㆍ주요주주특정증권등소유상황보고서</t>
        </is>
      </c>
      <c r="F9403" s="3" t="inlineStr">
        <is>
          <t>이병용</t>
        </is>
      </c>
      <c r="G9403" s="2" t="inlineStr">
        <is>
          <t>20260604000482</t>
        </is>
      </c>
      <c r="H9403" s="8">
        <f>HYPERLINK("https://dart.fss.or.kr/dsaf001/main.do?rcpNo=20260604000482", "공시열람")</f>
        <v/>
      </c>
    </row>
    <row r="9404">
      <c r="A9404" s="2" t="inlineStr">
        <is>
          <t>2026-06-04</t>
        </is>
      </c>
      <c r="B9404" s="3" t="inlineStr">
        <is>
          <t>카카오페이</t>
        </is>
      </c>
      <c r="C9404" s="2" t="inlineStr">
        <is>
          <t>코스피</t>
        </is>
      </c>
      <c r="D9404" s="2" t="inlineStr">
        <is>
          <t>377300</t>
        </is>
      </c>
      <c r="E9404" s="3" t="inlineStr">
        <is>
          <t xml:space="preserve">기업설명회(IR)개최(안내공시)              </t>
        </is>
      </c>
      <c r="F9404" s="3" t="inlineStr">
        <is>
          <t>카카오페이</t>
        </is>
      </c>
      <c r="G9404" s="2" t="inlineStr">
        <is>
          <t>20260604800588</t>
        </is>
      </c>
      <c r="H9404" s="8">
        <f>HYPERLINK("https://dart.fss.or.kr/dsaf001/main.do?rcpNo=20260604800588", "공시열람")</f>
        <v/>
      </c>
    </row>
    <row r="9405">
      <c r="A9405" s="2" t="inlineStr">
        <is>
          <t>2026-06-04</t>
        </is>
      </c>
      <c r="B9405" s="3" t="inlineStr">
        <is>
          <t>티엔엔터테인먼트</t>
        </is>
      </c>
      <c r="C9405" s="2" t="inlineStr">
        <is>
          <t>코스닥</t>
        </is>
      </c>
      <c r="D9405" s="2" t="inlineStr">
        <is>
          <t>131100</t>
        </is>
      </c>
      <c r="E9405" s="3" t="inlineStr">
        <is>
          <t xml:space="preserve">주주명부폐쇄기간또는기준일설정              </t>
        </is>
      </c>
      <c r="F9405" s="3" t="inlineStr">
        <is>
          <t>티엔엔터테인먼트</t>
        </is>
      </c>
      <c r="G9405" s="2" t="inlineStr">
        <is>
          <t>20260604900545</t>
        </is>
      </c>
      <c r="H9405" s="8">
        <f>HYPERLINK("https://dart.fss.or.kr/dsaf001/main.do?rcpNo=20260604900545", "공시열람")</f>
        <v/>
      </c>
    </row>
    <row r="9406">
      <c r="A9406" s="2" t="inlineStr">
        <is>
          <t>2026-06-04</t>
        </is>
      </c>
      <c r="B9406" s="3" t="inlineStr">
        <is>
          <t>티엔엔터테인먼트</t>
        </is>
      </c>
      <c r="C9406" s="2" t="inlineStr">
        <is>
          <t>코스닥</t>
        </is>
      </c>
      <c r="D9406" s="2" t="inlineStr">
        <is>
          <t>131100</t>
        </is>
      </c>
      <c r="E9406" s="3" t="inlineStr">
        <is>
          <t xml:space="preserve">주식병합결정              </t>
        </is>
      </c>
      <c r="F9406" s="3" t="inlineStr">
        <is>
          <t>티엔엔터테인먼트</t>
        </is>
      </c>
      <c r="G9406" s="2" t="inlineStr">
        <is>
          <t>20260604900536</t>
        </is>
      </c>
      <c r="H9406" s="8">
        <f>HYPERLINK("https://dart.fss.or.kr/dsaf001/main.do?rcpNo=20260604900536", "공시열람")</f>
        <v/>
      </c>
    </row>
    <row r="9407">
      <c r="A9407" s="2" t="inlineStr">
        <is>
          <t>2026-06-04</t>
        </is>
      </c>
      <c r="B9407" s="3" t="inlineStr">
        <is>
          <t>피엠티</t>
        </is>
      </c>
      <c r="C9407" s="2" t="inlineStr">
        <is>
          <t>코스닥</t>
        </is>
      </c>
      <c r="D9407" s="2" t="inlineStr">
        <is>
          <t>147760</t>
        </is>
      </c>
      <c r="E9407" s="3" t="inlineStr">
        <is>
          <t>임원ㆍ주요주주특정증권등소유상황보고서</t>
        </is>
      </c>
      <c r="F9407" s="3" t="inlineStr">
        <is>
          <t>프로텍</t>
        </is>
      </c>
      <c r="G9407" s="2" t="inlineStr">
        <is>
          <t>20260604000475</t>
        </is>
      </c>
      <c r="H9407" s="8">
        <f>HYPERLINK("https://dart.fss.or.kr/dsaf001/main.do?rcpNo=20260604000475", "공시열람")</f>
        <v/>
      </c>
    </row>
    <row r="9408">
      <c r="A9408" s="2" t="inlineStr">
        <is>
          <t>2026-06-04</t>
        </is>
      </c>
      <c r="B9408" s="3" t="inlineStr">
        <is>
          <t>저스템</t>
        </is>
      </c>
      <c r="C9408" s="2" t="inlineStr">
        <is>
          <t>코스닥</t>
        </is>
      </c>
      <c r="D9408" s="2" t="inlineStr">
        <is>
          <t>417840</t>
        </is>
      </c>
      <c r="E9408" s="3" t="inlineStr">
        <is>
          <t>임원ㆍ주요주주특정증권등소유상황보고서</t>
        </is>
      </c>
      <c r="F9408" s="3" t="inlineStr">
        <is>
          <t>김선식</t>
        </is>
      </c>
      <c r="G9408" s="2" t="inlineStr">
        <is>
          <t>20260604000474</t>
        </is>
      </c>
      <c r="H9408" s="8">
        <f>HYPERLINK("https://dart.fss.or.kr/dsaf001/main.do?rcpNo=20260604000474", "공시열람")</f>
        <v/>
      </c>
    </row>
    <row r="9409">
      <c r="A9409" s="2" t="inlineStr">
        <is>
          <t>2026-06-04</t>
        </is>
      </c>
      <c r="B9409" s="3" t="inlineStr">
        <is>
          <t>HLB이노베이션</t>
        </is>
      </c>
      <c r="C9409" s="2" t="inlineStr">
        <is>
          <t>코스닥</t>
        </is>
      </c>
      <c r="D9409" s="2" t="inlineStr">
        <is>
          <t>024850</t>
        </is>
      </c>
      <c r="E9409" s="3" t="inlineStr">
        <is>
          <t>임원ㆍ주요주주특정증권등소유상황보고서</t>
        </is>
      </c>
      <c r="F9409" s="3" t="inlineStr">
        <is>
          <t>YOON JONG SUN</t>
        </is>
      </c>
      <c r="G9409" s="2" t="inlineStr">
        <is>
          <t>20260604000473</t>
        </is>
      </c>
      <c r="H9409" s="8">
        <f>HYPERLINK("https://dart.fss.or.kr/dsaf001/main.do?rcpNo=20260604000473", "공시열람")</f>
        <v/>
      </c>
    </row>
    <row r="9410">
      <c r="A9410" s="2" t="inlineStr">
        <is>
          <t>2026-06-04</t>
        </is>
      </c>
      <c r="B9410" s="3" t="inlineStr">
        <is>
          <t>기가비스</t>
        </is>
      </c>
      <c r="C9410" s="2" t="inlineStr">
        <is>
          <t>코스닥</t>
        </is>
      </c>
      <c r="D9410" s="2" t="inlineStr">
        <is>
          <t>420770</t>
        </is>
      </c>
      <c r="E9410" s="3" t="inlineStr">
        <is>
          <t>임원ㆍ주요주주특정증권등소유상황보고서</t>
        </is>
      </c>
      <c r="F9410" s="3" t="inlineStr">
        <is>
          <t>윤기섭</t>
        </is>
      </c>
      <c r="G9410" s="2" t="inlineStr">
        <is>
          <t>20260604000472</t>
        </is>
      </c>
      <c r="H9410" s="8">
        <f>HYPERLINK("https://dart.fss.or.kr/dsaf001/main.do?rcpNo=20260604000472", "공시열람")</f>
        <v/>
      </c>
    </row>
    <row r="9411">
      <c r="A9411" s="2" t="inlineStr">
        <is>
          <t>2026-06-04</t>
        </is>
      </c>
      <c r="B9411" s="3" t="inlineStr">
        <is>
          <t>한화투자증권</t>
        </is>
      </c>
      <c r="C9411" s="2" t="inlineStr">
        <is>
          <t>코스피</t>
        </is>
      </c>
      <c r="D9411" s="2" t="inlineStr">
        <is>
          <t>003530</t>
        </is>
      </c>
      <c r="E9411" s="3" t="inlineStr">
        <is>
          <t>투자설명서(일괄신고)</t>
        </is>
      </c>
      <c r="F9411" s="3" t="inlineStr">
        <is>
          <t>한화투자증권</t>
        </is>
      </c>
      <c r="G9411" s="2" t="inlineStr">
        <is>
          <t>20260604000470</t>
        </is>
      </c>
      <c r="H9411" s="8">
        <f>HYPERLINK("https://dart.fss.or.kr/dsaf001/main.do?rcpNo=20260604000470", "공시열람")</f>
        <v/>
      </c>
    </row>
    <row r="9412">
      <c r="A9412" s="2" t="inlineStr">
        <is>
          <t>2026-06-04</t>
        </is>
      </c>
      <c r="B9412" s="3" t="inlineStr">
        <is>
          <t>헝셩그룹</t>
        </is>
      </c>
      <c r="C9412" s="2" t="inlineStr">
        <is>
          <t>코스닥</t>
        </is>
      </c>
      <c r="D9412" s="2" t="inlineStr">
        <is>
          <t>900270</t>
        </is>
      </c>
      <c r="E9412" s="3" t="inlineStr">
        <is>
          <t>전환청구권행사              (제3회차)</t>
        </is>
      </c>
      <c r="F9412" s="3" t="inlineStr">
        <is>
          <t>헝셩그룹</t>
        </is>
      </c>
      <c r="G9412" s="2" t="inlineStr">
        <is>
          <t>20260604900558</t>
        </is>
      </c>
      <c r="H9412" s="8">
        <f>HYPERLINK("https://dart.fss.or.kr/dsaf001/main.do?rcpNo=20260604900558", "공시열람")</f>
        <v/>
      </c>
    </row>
    <row r="9413">
      <c r="A9413" s="2" t="inlineStr">
        <is>
          <t>2026-06-04</t>
        </is>
      </c>
      <c r="B9413" s="3" t="inlineStr">
        <is>
          <t>고려신용정보</t>
        </is>
      </c>
      <c r="C9413" s="2" t="inlineStr">
        <is>
          <t>코스닥</t>
        </is>
      </c>
      <c r="D9413" s="2" t="inlineStr">
        <is>
          <t>049720</t>
        </is>
      </c>
      <c r="E9413" s="3" t="inlineStr">
        <is>
          <t xml:space="preserve">중간(분기)배당을위한주주명부폐쇄(기준일)결정              </t>
        </is>
      </c>
      <c r="F9413" s="3" t="inlineStr">
        <is>
          <t>고려신용정보</t>
        </is>
      </c>
      <c r="G9413" s="2" t="inlineStr">
        <is>
          <t>20260604900579</t>
        </is>
      </c>
      <c r="H9413" s="8">
        <f>HYPERLINK("https://dart.fss.or.kr/dsaf001/main.do?rcpNo=20260604900579", "공시열람")</f>
        <v/>
      </c>
    </row>
    <row r="9414">
      <c r="A9414" s="2" t="inlineStr">
        <is>
          <t>2026-06-04</t>
        </is>
      </c>
      <c r="B9414" s="3" t="inlineStr">
        <is>
          <t>코스텍시스템</t>
        </is>
      </c>
      <c r="C9414" s="2" t="inlineStr">
        <is>
          <t>코넥스</t>
        </is>
      </c>
      <c r="D9414" s="2" t="inlineStr">
        <is>
          <t>169670</t>
        </is>
      </c>
      <c r="E9414" s="3" t="inlineStr">
        <is>
          <t xml:space="preserve">대표이사변경              </t>
        </is>
      </c>
      <c r="F9414" s="3" t="inlineStr">
        <is>
          <t>코스텍시스템</t>
        </is>
      </c>
      <c r="G9414" s="2" t="inlineStr">
        <is>
          <t>20260604600549</t>
        </is>
      </c>
      <c r="H9414" s="8">
        <f>HYPERLINK("https://dart.fss.or.kr/dsaf001/main.do?rcpNo=20260604600549", "공시열람")</f>
        <v/>
      </c>
    </row>
    <row r="9415">
      <c r="A9415" s="2" t="inlineStr">
        <is>
          <t>2026-06-04 (정정: 2026-06-16)</t>
        </is>
      </c>
      <c r="B9415" s="3" t="inlineStr">
        <is>
          <t>한국알콜</t>
        </is>
      </c>
      <c r="C9415" s="2" t="inlineStr">
        <is>
          <t>코스닥</t>
        </is>
      </c>
      <c r="D9415" s="2" t="inlineStr">
        <is>
          <t>017890</t>
        </is>
      </c>
      <c r="E9415" s="3" t="inlineStr">
        <is>
          <t>주주명부폐쇄기간또는기준일설정               (정정: 20260616)</t>
        </is>
      </c>
      <c r="F9415" s="3" t="inlineStr">
        <is>
          <t>한국알콜</t>
        </is>
      </c>
      <c r="G9415" s="2" t="inlineStr">
        <is>
          <t>20260616900502</t>
        </is>
      </c>
      <c r="H9415" s="8">
        <f>HYPERLINK("https://dart.fss.or.kr/dsaf001/main.do?rcpNo=20260616900502", "공시열람")</f>
        <v/>
      </c>
    </row>
    <row r="9416">
      <c r="A9416" s="2" t="inlineStr">
        <is>
          <t>2026-06-04</t>
        </is>
      </c>
      <c r="B9416" s="3" t="inlineStr">
        <is>
          <t>한화리츠</t>
        </is>
      </c>
      <c r="C9416" s="2" t="inlineStr">
        <is>
          <t>코스피</t>
        </is>
      </c>
      <c r="D9416" s="2" t="inlineStr">
        <is>
          <t>451800</t>
        </is>
      </c>
      <c r="E9416" s="3" t="inlineStr">
        <is>
          <t xml:space="preserve">부동산투자회사자금차입              </t>
        </is>
      </c>
      <c r="F9416" s="3" t="inlineStr">
        <is>
          <t>한화리츠</t>
        </is>
      </c>
      <c r="G9416" s="2" t="inlineStr">
        <is>
          <t>20260604800520</t>
        </is>
      </c>
      <c r="H9416" s="8">
        <f>HYPERLINK("https://dart.fss.or.kr/dsaf001/main.do?rcpNo=20260604800520", "공시열람")</f>
        <v/>
      </c>
    </row>
    <row r="9417">
      <c r="A9417" s="2" t="inlineStr">
        <is>
          <t>2026-06-04</t>
        </is>
      </c>
      <c r="B9417" s="3" t="inlineStr">
        <is>
          <t>메디포스트</t>
        </is>
      </c>
      <c r="C9417" s="2" t="inlineStr">
        <is>
          <t>코스닥</t>
        </is>
      </c>
      <c r="D9417" s="2" t="inlineStr">
        <is>
          <t>078160</t>
        </is>
      </c>
      <c r="E9417" s="3" t="inlineStr">
        <is>
          <t xml:space="preserve">타법인주식및출자증권취득결정              </t>
        </is>
      </c>
      <c r="F9417" s="3" t="inlineStr">
        <is>
          <t>메디포스트</t>
        </is>
      </c>
      <c r="G9417" s="2" t="inlineStr">
        <is>
          <t>20260604900535</t>
        </is>
      </c>
      <c r="H9417" s="8">
        <f>HYPERLINK("https://dart.fss.or.kr/dsaf001/main.do?rcpNo=20260604900535", "공시열람")</f>
        <v/>
      </c>
    </row>
    <row r="9418">
      <c r="A9418" s="2" t="inlineStr">
        <is>
          <t>2026-06-04</t>
        </is>
      </c>
      <c r="B9418" s="3" t="inlineStr">
        <is>
          <t>아이비김영</t>
        </is>
      </c>
      <c r="C9418" s="2" t="inlineStr">
        <is>
          <t>코스닥</t>
        </is>
      </c>
      <c r="D9418" s="2" t="inlineStr">
        <is>
          <t>339950</t>
        </is>
      </c>
      <c r="E9418" s="3" t="inlineStr">
        <is>
          <t>합병등종료보고서(합병)</t>
        </is>
      </c>
      <c r="F9418" s="3" t="inlineStr">
        <is>
          <t>아이비김영</t>
        </is>
      </c>
      <c r="G9418" s="2" t="inlineStr">
        <is>
          <t>20260604000457</t>
        </is>
      </c>
      <c r="H9418" s="8">
        <f>HYPERLINK("https://dart.fss.or.kr/dsaf001/main.do?rcpNo=20260604000457", "공시열람")</f>
        <v/>
      </c>
    </row>
    <row r="9419">
      <c r="A9419" s="2" t="inlineStr">
        <is>
          <t>2026-06-04</t>
        </is>
      </c>
      <c r="B9419" s="3" t="inlineStr">
        <is>
          <t>비트맥스</t>
        </is>
      </c>
      <c r="C9419" s="2" t="inlineStr">
        <is>
          <t>코스닥</t>
        </is>
      </c>
      <c r="D9419" s="2" t="inlineStr">
        <is>
          <t>377030</t>
        </is>
      </c>
      <c r="E9419" s="3" t="inlineStr">
        <is>
          <t>증권발행결과(자율공시)              (제7회차 CB)</t>
        </is>
      </c>
      <c r="F9419" s="3" t="inlineStr">
        <is>
          <t>비트맥스</t>
        </is>
      </c>
      <c r="G9419" s="2" t="inlineStr">
        <is>
          <t>20260604900524</t>
        </is>
      </c>
      <c r="H9419" s="8">
        <f>HYPERLINK("https://dart.fss.or.kr/dsaf001/main.do?rcpNo=20260604900524", "공시열람")</f>
        <v/>
      </c>
    </row>
    <row r="9420">
      <c r="A9420" s="2" t="inlineStr">
        <is>
          <t>2026-06-04</t>
        </is>
      </c>
      <c r="B9420" s="3" t="inlineStr">
        <is>
          <t>코렌텍</t>
        </is>
      </c>
      <c r="C9420" s="2" t="inlineStr">
        <is>
          <t>코스닥</t>
        </is>
      </c>
      <c r="D9420" s="2" t="inlineStr">
        <is>
          <t>104540</t>
        </is>
      </c>
      <c r="E9420" s="3" t="inlineStr">
        <is>
          <t>임원ㆍ주요주주특정증권등소유상황보고서</t>
        </is>
      </c>
      <c r="F9420" s="3" t="inlineStr">
        <is>
          <t>선두훈</t>
        </is>
      </c>
      <c r="G9420" s="2" t="inlineStr">
        <is>
          <t>20260604000454</t>
        </is>
      </c>
      <c r="H9420" s="8">
        <f>HYPERLINK("https://dart.fss.or.kr/dsaf001/main.do?rcpNo=20260604000454", "공시열람")</f>
        <v/>
      </c>
    </row>
    <row r="9421">
      <c r="A9421" s="2" t="inlineStr">
        <is>
          <t>2026-06-04</t>
        </is>
      </c>
      <c r="B9421" s="3" t="inlineStr">
        <is>
          <t>두산</t>
        </is>
      </c>
      <c r="C9421" s="2" t="inlineStr">
        <is>
          <t>코스피</t>
        </is>
      </c>
      <c r="D9421" s="2" t="inlineStr">
        <is>
          <t>000150</t>
        </is>
      </c>
      <c r="E9421" s="3" t="inlineStr">
        <is>
          <t>임원ㆍ주요주주특정증권등소유상황보고서</t>
        </is>
      </c>
      <c r="F9421" s="3" t="inlineStr">
        <is>
          <t>박명석</t>
        </is>
      </c>
      <c r="G9421" s="2" t="inlineStr">
        <is>
          <t>20260604000448</t>
        </is>
      </c>
      <c r="H9421" s="8">
        <f>HYPERLINK("https://dart.fss.or.kr/dsaf001/main.do?rcpNo=20260604000448", "공시열람")</f>
        <v/>
      </c>
    </row>
    <row r="9422">
      <c r="A9422" s="2" t="inlineStr">
        <is>
          <t>2026-06-04</t>
        </is>
      </c>
      <c r="B9422" s="3" t="inlineStr">
        <is>
          <t>대호에이엘</t>
        </is>
      </c>
      <c r="C9422" s="2" t="inlineStr">
        <is>
          <t>코스피</t>
        </is>
      </c>
      <c r="D9422" s="2" t="inlineStr">
        <is>
          <t>069460</t>
        </is>
      </c>
      <c r="E9422" s="3" t="inlineStr">
        <is>
          <t>의결권대리행사권유참고서류</t>
        </is>
      </c>
      <c r="F9422" s="3" t="inlineStr">
        <is>
          <t>이상인</t>
        </is>
      </c>
      <c r="G9422" s="2" t="inlineStr">
        <is>
          <t>20260604000445</t>
        </is>
      </c>
      <c r="H9422" s="8">
        <f>HYPERLINK("https://dart.fss.or.kr/dsaf001/main.do?rcpNo=20260604000445", "공시열람")</f>
        <v/>
      </c>
    </row>
    <row r="9423">
      <c r="A9423" s="2" t="inlineStr">
        <is>
          <t>2026-06-04</t>
        </is>
      </c>
      <c r="B9423" s="3" t="inlineStr">
        <is>
          <t>지니언스</t>
        </is>
      </c>
      <c r="C9423" s="2" t="inlineStr">
        <is>
          <t>코스닥</t>
        </is>
      </c>
      <c r="D9423" s="2" t="inlineStr">
        <is>
          <t>263860</t>
        </is>
      </c>
      <c r="E9423" s="3" t="inlineStr">
        <is>
          <t>임원ㆍ주요주주특정증권등소유상황보고서</t>
        </is>
      </c>
      <c r="F9423" s="3" t="inlineStr">
        <is>
          <t>김규석</t>
        </is>
      </c>
      <c r="G9423" s="2" t="inlineStr">
        <is>
          <t>20260604000436</t>
        </is>
      </c>
      <c r="H9423" s="8">
        <f>HYPERLINK("https://dart.fss.or.kr/dsaf001/main.do?rcpNo=20260604000436", "공시열람")</f>
        <v/>
      </c>
    </row>
    <row r="9424">
      <c r="A9424" s="2" t="inlineStr">
        <is>
          <t>2026-06-04</t>
        </is>
      </c>
      <c r="B9424" s="3" t="inlineStr">
        <is>
          <t>슈피겐코리아</t>
        </is>
      </c>
      <c r="C9424" s="2" t="inlineStr">
        <is>
          <t>코스닥</t>
        </is>
      </c>
      <c r="D9424" s="2" t="inlineStr">
        <is>
          <t>192440</t>
        </is>
      </c>
      <c r="E9424" s="3" t="inlineStr">
        <is>
          <t>임원ㆍ주요주주특정증권등소유상황보고서</t>
        </is>
      </c>
      <c r="F9424" s="3" t="inlineStr">
        <is>
          <t>김대영</t>
        </is>
      </c>
      <c r="G9424" s="2" t="inlineStr">
        <is>
          <t>20260604000433</t>
        </is>
      </c>
      <c r="H9424" s="8">
        <f>HYPERLINK("https://dart.fss.or.kr/dsaf001/main.do?rcpNo=20260604000433", "공시열람")</f>
        <v/>
      </c>
    </row>
    <row r="9425">
      <c r="A9425" s="2" t="inlineStr">
        <is>
          <t>2026-06-04</t>
        </is>
      </c>
      <c r="B9425" s="3" t="inlineStr">
        <is>
          <t>HD현대일렉트릭</t>
        </is>
      </c>
      <c r="C9425" s="2" t="inlineStr">
        <is>
          <t>코스피</t>
        </is>
      </c>
      <c r="D9425" s="2" t="inlineStr">
        <is>
          <t>267260</t>
        </is>
      </c>
      <c r="E9425" s="3" t="inlineStr">
        <is>
          <t>임원ㆍ주요주주특정증권등소유상황보고서</t>
        </is>
      </c>
      <c r="F9425" s="3" t="inlineStr">
        <is>
          <t>HD현대</t>
        </is>
      </c>
      <c r="G9425" s="2" t="inlineStr">
        <is>
          <t>20260604000431</t>
        </is>
      </c>
      <c r="H9425" s="8">
        <f>HYPERLINK("https://dart.fss.or.kr/dsaf001/main.do?rcpNo=20260604000431", "공시열람")</f>
        <v/>
      </c>
    </row>
    <row r="9426">
      <c r="A9426" s="2" t="inlineStr">
        <is>
          <t>2026-06-04</t>
        </is>
      </c>
      <c r="B9426" s="3" t="inlineStr">
        <is>
          <t>슈프리마</t>
        </is>
      </c>
      <c r="C9426" s="2" t="inlineStr">
        <is>
          <t>코스닥</t>
        </is>
      </c>
      <c r="D9426" s="2" t="inlineStr">
        <is>
          <t>236200</t>
        </is>
      </c>
      <c r="E9426" s="3" t="inlineStr">
        <is>
          <t xml:space="preserve">주주명부폐쇄기간또는기준일설정              </t>
        </is>
      </c>
      <c r="F9426" s="3" t="inlineStr">
        <is>
          <t>슈프리마</t>
        </is>
      </c>
      <c r="G9426" s="2" t="inlineStr">
        <is>
          <t>20260604900533</t>
        </is>
      </c>
      <c r="H9426" s="8">
        <f>HYPERLINK("https://dart.fss.or.kr/dsaf001/main.do?rcpNo=20260604900533", "공시열람")</f>
        <v/>
      </c>
    </row>
    <row r="9427">
      <c r="A9427" s="2" t="inlineStr">
        <is>
          <t>2026-06-04</t>
        </is>
      </c>
      <c r="B9427" s="3" t="inlineStr">
        <is>
          <t>하이드로리튬</t>
        </is>
      </c>
      <c r="C9427" s="2" t="inlineStr">
        <is>
          <t>코스닥</t>
        </is>
      </c>
      <c r="D9427" s="2" t="inlineStr">
        <is>
          <t>101670</t>
        </is>
      </c>
      <c r="E9427" s="3" t="inlineStr">
        <is>
          <t>기타경영사항(자율공시)              (강제집행정지신청 법원결정)</t>
        </is>
      </c>
      <c r="F9427" s="3" t="inlineStr">
        <is>
          <t>하이드로리튬</t>
        </is>
      </c>
      <c r="G9427" s="2" t="inlineStr">
        <is>
          <t>20260604900489</t>
        </is>
      </c>
      <c r="H9427" s="8">
        <f>HYPERLINK("https://dart.fss.or.kr/dsaf001/main.do?rcpNo=20260604900489", "공시열람")</f>
        <v/>
      </c>
    </row>
    <row r="9428">
      <c r="A9428" s="2" t="inlineStr">
        <is>
          <t>2026-06-04</t>
        </is>
      </c>
      <c r="B9428" s="3" t="inlineStr">
        <is>
          <t>키움증권</t>
        </is>
      </c>
      <c r="C9428" s="2" t="inlineStr">
        <is>
          <t>코스피</t>
        </is>
      </c>
      <c r="D9428" s="2" t="inlineStr">
        <is>
          <t>039490</t>
        </is>
      </c>
      <c r="E9428" s="3" t="inlineStr">
        <is>
          <t>투자설명서(일괄신고)</t>
        </is>
      </c>
      <c r="F9428" s="3" t="inlineStr">
        <is>
          <t>키움증권</t>
        </is>
      </c>
      <c r="G9428" s="2" t="inlineStr">
        <is>
          <t>20260604000427</t>
        </is>
      </c>
      <c r="H9428" s="8">
        <f>HYPERLINK("https://dart.fss.or.kr/dsaf001/main.do?rcpNo=20260604000427", "공시열람")</f>
        <v/>
      </c>
    </row>
    <row r="9429">
      <c r="A9429" s="2" t="inlineStr">
        <is>
          <t>2026-06-04</t>
        </is>
      </c>
      <c r="B9429" s="3" t="inlineStr">
        <is>
          <t>넷마블</t>
        </is>
      </c>
      <c r="C9429" s="2" t="inlineStr">
        <is>
          <t>코스피</t>
        </is>
      </c>
      <c r="D9429" s="2" t="inlineStr">
        <is>
          <t>251270</t>
        </is>
      </c>
      <c r="E9429" s="3" t="inlineStr">
        <is>
          <t xml:space="preserve">유형자산처분결정              </t>
        </is>
      </c>
      <c r="F9429" s="3" t="inlineStr">
        <is>
          <t>넷마블</t>
        </is>
      </c>
      <c r="G9429" s="2" t="inlineStr">
        <is>
          <t>20260604800529</t>
        </is>
      </c>
      <c r="H9429" s="8">
        <f>HYPERLINK("https://dart.fss.or.kr/dsaf001/main.do?rcpNo=20260604800529", "공시열람")</f>
        <v/>
      </c>
    </row>
    <row r="9430">
      <c r="A9430" s="2" t="inlineStr">
        <is>
          <t>2026-06-04 (정정: 2026-06-24)</t>
        </is>
      </c>
      <c r="B9430" s="3" t="inlineStr">
        <is>
          <t>알에프텍</t>
        </is>
      </c>
      <c r="C9430" s="2" t="inlineStr">
        <is>
          <t>코스닥</t>
        </is>
      </c>
      <c r="D9430" s="2" t="inlineStr">
        <is>
          <t>061040</t>
        </is>
      </c>
      <c r="E9430" s="3" t="inlineStr">
        <is>
          <t>임원ㆍ주요주주특정증권등소유상황보고서 (정정: 20260611) (정정: 20260624)</t>
        </is>
      </c>
      <c r="F9430" s="3" t="inlineStr">
        <is>
          <t>오성첨단소재</t>
        </is>
      </c>
      <c r="G9430" s="2" t="inlineStr">
        <is>
          <t>20260624000493</t>
        </is>
      </c>
      <c r="H9430" s="8">
        <f>HYPERLINK("https://dart.fss.or.kr/dsaf001/main.do?rcpNo=20260624000493", "공시열람")</f>
        <v/>
      </c>
    </row>
    <row r="9431">
      <c r="A9431" s="2" t="inlineStr">
        <is>
          <t>2026-06-04</t>
        </is>
      </c>
      <c r="B9431" s="3" t="inlineStr">
        <is>
          <t>신영증권</t>
        </is>
      </c>
      <c r="C9431" s="2" t="inlineStr">
        <is>
          <t>코스피</t>
        </is>
      </c>
      <c r="D9431" s="2" t="inlineStr">
        <is>
          <t>001720</t>
        </is>
      </c>
      <c r="E9431" s="3" t="inlineStr">
        <is>
          <t>의결권대리행사권유참고서류</t>
        </is>
      </c>
      <c r="F9431" s="3" t="inlineStr">
        <is>
          <t>신영증권</t>
        </is>
      </c>
      <c r="G9431" s="2" t="inlineStr">
        <is>
          <t>20260604000416</t>
        </is>
      </c>
      <c r="H9431" s="8">
        <f>HYPERLINK("https://dart.fss.or.kr/dsaf001/main.do?rcpNo=20260604000416", "공시열람")</f>
        <v/>
      </c>
    </row>
    <row r="9432">
      <c r="A9432" s="2" t="inlineStr">
        <is>
          <t>2026-06-04</t>
        </is>
      </c>
      <c r="B9432" s="3" t="inlineStr">
        <is>
          <t>팡스카이</t>
        </is>
      </c>
      <c r="C9432" s="2" t="inlineStr">
        <is>
          <t>코넥스</t>
        </is>
      </c>
      <c r="D9432" s="2" t="inlineStr">
        <is>
          <t>266350</t>
        </is>
      </c>
      <c r="E9432" s="3" t="inlineStr">
        <is>
          <t>기타주요경영사항(자율공시)              (상장폐지결정등효력정지 가처분신청의 건)</t>
        </is>
      </c>
      <c r="F9432" s="3" t="inlineStr">
        <is>
          <t>팡스카이</t>
        </is>
      </c>
      <c r="G9432" s="2" t="inlineStr">
        <is>
          <t>20260604600479</t>
        </is>
      </c>
      <c r="H9432" s="8">
        <f>HYPERLINK("https://dart.fss.or.kr/dsaf001/main.do?rcpNo=20260604600479", "공시열람")</f>
        <v/>
      </c>
    </row>
    <row r="9433">
      <c r="A9433" s="2" t="inlineStr">
        <is>
          <t>2026-06-04</t>
        </is>
      </c>
      <c r="B9433" s="3" t="inlineStr">
        <is>
          <t>우정바이오</t>
        </is>
      </c>
      <c r="C9433" s="2" t="inlineStr">
        <is>
          <t>코스닥</t>
        </is>
      </c>
      <c r="D9433" s="2" t="inlineStr">
        <is>
          <t>215380</t>
        </is>
      </c>
      <c r="E9433" s="3" t="inlineStr">
        <is>
          <t>임원ㆍ주요주주특정증권등소유상황보고서</t>
        </is>
      </c>
      <c r="F9433" s="3" t="inlineStr">
        <is>
          <t>함석희</t>
        </is>
      </c>
      <c r="G9433" s="2" t="inlineStr">
        <is>
          <t>20260604000402</t>
        </is>
      </c>
      <c r="H9433" s="8">
        <f>HYPERLINK("https://dart.fss.or.kr/dsaf001/main.do?rcpNo=20260604000402", "공시열람")</f>
        <v/>
      </c>
    </row>
    <row r="9434">
      <c r="A9434" s="2" t="inlineStr">
        <is>
          <t>2026-06-04 (정정: 2026-06-09)</t>
        </is>
      </c>
      <c r="B9434" s="3" t="inlineStr">
        <is>
          <t>에이비엘바이오</t>
        </is>
      </c>
      <c r="C9434" s="2" t="inlineStr">
        <is>
          <t>코스닥</t>
        </is>
      </c>
      <c r="D9434" s="2" t="inlineStr">
        <is>
          <t>298380</t>
        </is>
      </c>
      <c r="E9434" s="3" t="inlineStr">
        <is>
          <t>투자판단관련주요경영사항(임상시험계획변경승인신청)              (이중항체 면역항암제 ABL503의 제1상 임상시험계획 (IND) 변경승인 신청) (정정: 20260609)</t>
        </is>
      </c>
      <c r="F9434" s="3" t="inlineStr">
        <is>
          <t>에이비엘바이오</t>
        </is>
      </c>
      <c r="G9434" s="2" t="inlineStr">
        <is>
          <t>20260609900417</t>
        </is>
      </c>
      <c r="H9434" s="8">
        <f>HYPERLINK("https://dart.fss.or.kr/dsaf001/main.do?rcpNo=20260609900417", "공시열람")</f>
        <v/>
      </c>
    </row>
    <row r="9435">
      <c r="A9435" s="2" t="inlineStr">
        <is>
          <t>2026-06-04</t>
        </is>
      </c>
      <c r="B9435" s="3" t="inlineStr">
        <is>
          <t>코스텍시스템</t>
        </is>
      </c>
      <c r="C9435" s="2" t="inlineStr">
        <is>
          <t>코넥스</t>
        </is>
      </c>
      <c r="D9435" s="2" t="inlineStr">
        <is>
          <t>169670</t>
        </is>
      </c>
      <c r="E9435" s="3" t="inlineStr">
        <is>
          <t xml:space="preserve">기업설명회(IR)개최              </t>
        </is>
      </c>
      <c r="F9435" s="3" t="inlineStr">
        <is>
          <t>코스텍시스템</t>
        </is>
      </c>
      <c r="G9435" s="2" t="inlineStr">
        <is>
          <t>20260604600498</t>
        </is>
      </c>
      <c r="H9435" s="8">
        <f>HYPERLINK("https://dart.fss.or.kr/dsaf001/main.do?rcpNo=20260604600498", "공시열람")</f>
        <v/>
      </c>
    </row>
    <row r="9436">
      <c r="A9436" s="2" t="inlineStr">
        <is>
          <t>2026-06-04</t>
        </is>
      </c>
      <c r="B9436" s="3" t="inlineStr">
        <is>
          <t>SK케미칼</t>
        </is>
      </c>
      <c r="C9436" s="2" t="inlineStr">
        <is>
          <t>코스피</t>
        </is>
      </c>
      <c r="D9436" s="2" t="inlineStr">
        <is>
          <t>285130</t>
        </is>
      </c>
      <c r="E9436" s="3" t="inlineStr">
        <is>
          <t>임원ㆍ주요주주특정증권등소유상황보고서</t>
        </is>
      </c>
      <c r="F9436" s="3" t="inlineStr">
        <is>
          <t>정해욱</t>
        </is>
      </c>
      <c r="G9436" s="2" t="inlineStr">
        <is>
          <t>20260604000396</t>
        </is>
      </c>
      <c r="H9436" s="8">
        <f>HYPERLINK("https://dart.fss.or.kr/dsaf001/main.do?rcpNo=20260604000396", "공시열람")</f>
        <v/>
      </c>
    </row>
    <row r="9437">
      <c r="A9437" s="2" t="inlineStr">
        <is>
          <t>2026-06-04</t>
        </is>
      </c>
      <c r="B9437" s="3" t="inlineStr">
        <is>
          <t>삼현</t>
        </is>
      </c>
      <c r="C9437" s="2" t="inlineStr">
        <is>
          <t>코스닥</t>
        </is>
      </c>
      <c r="D9437" s="2" t="inlineStr">
        <is>
          <t>437730</t>
        </is>
      </c>
      <c r="E9437" s="3" t="inlineStr">
        <is>
          <t>자기주식취득결과보고서</t>
        </is>
      </c>
      <c r="F9437" s="3" t="inlineStr">
        <is>
          <t>삼현</t>
        </is>
      </c>
      <c r="G9437" s="2" t="inlineStr">
        <is>
          <t>20260604000393</t>
        </is>
      </c>
      <c r="H9437" s="8">
        <f>HYPERLINK("https://dart.fss.or.kr/dsaf001/main.do?rcpNo=20260604000393", "공시열람")</f>
        <v/>
      </c>
    </row>
    <row r="9438">
      <c r="A9438" s="2" t="inlineStr">
        <is>
          <t>2026-06-04</t>
        </is>
      </c>
      <c r="B9438" s="3" t="inlineStr">
        <is>
          <t>슈프리마에이치큐</t>
        </is>
      </c>
      <c r="C9438" s="2" t="inlineStr">
        <is>
          <t>코스닥</t>
        </is>
      </c>
      <c r="D9438" s="2" t="inlineStr">
        <is>
          <t>094840</t>
        </is>
      </c>
      <c r="E9438" s="3" t="inlineStr">
        <is>
          <t xml:space="preserve">주주명부폐쇄기간또는기준일설정              </t>
        </is>
      </c>
      <c r="F9438" s="3" t="inlineStr">
        <is>
          <t>슈프리마에이치큐</t>
        </is>
      </c>
      <c r="G9438" s="2" t="inlineStr">
        <is>
          <t>20260604900502</t>
        </is>
      </c>
      <c r="H9438" s="8">
        <f>HYPERLINK("https://dart.fss.or.kr/dsaf001/main.do?rcpNo=20260604900502", "공시열람")</f>
        <v/>
      </c>
    </row>
    <row r="9439">
      <c r="A9439" s="2" t="inlineStr">
        <is>
          <t>2026-06-04</t>
        </is>
      </c>
      <c r="B9439" s="3" t="inlineStr">
        <is>
          <t>SOOP</t>
        </is>
      </c>
      <c r="C9439" s="2" t="inlineStr">
        <is>
          <t>코스닥</t>
        </is>
      </c>
      <c r="D9439" s="2" t="inlineStr">
        <is>
          <t>067160</t>
        </is>
      </c>
      <c r="E9439" s="3" t="inlineStr">
        <is>
          <t>임원ㆍ주요주주특정증권등소유상황보고서</t>
        </is>
      </c>
      <c r="F9439" s="3" t="inlineStr">
        <is>
          <t>최영우</t>
        </is>
      </c>
      <c r="G9439" s="2" t="inlineStr">
        <is>
          <t>20260604000388</t>
        </is>
      </c>
      <c r="H9439" s="8">
        <f>HYPERLINK("https://dart.fss.or.kr/dsaf001/main.do?rcpNo=20260604000388", "공시열람")</f>
        <v/>
      </c>
    </row>
    <row r="9440">
      <c r="A9440" s="2" t="inlineStr">
        <is>
          <t>2026-06-04</t>
        </is>
      </c>
      <c r="B9440" s="3" t="inlineStr">
        <is>
          <t>SOOP</t>
        </is>
      </c>
      <c r="C9440" s="2" t="inlineStr">
        <is>
          <t>코스닥</t>
        </is>
      </c>
      <c r="D9440" s="2" t="inlineStr">
        <is>
          <t>067160</t>
        </is>
      </c>
      <c r="E9440" s="3" t="inlineStr">
        <is>
          <t>임원ㆍ주요주주특정증권등소유상황보고서</t>
        </is>
      </c>
      <c r="F9440" s="3" t="inlineStr">
        <is>
          <t>이민원</t>
        </is>
      </c>
      <c r="G9440" s="2" t="inlineStr">
        <is>
          <t>20260604000385</t>
        </is>
      </c>
      <c r="H9440" s="8">
        <f>HYPERLINK("https://dart.fss.or.kr/dsaf001/main.do?rcpNo=20260604000385", "공시열람")</f>
        <v/>
      </c>
    </row>
    <row r="9441">
      <c r="A9441" s="2" t="inlineStr">
        <is>
          <t>2026-06-04</t>
        </is>
      </c>
      <c r="B9441" s="3" t="inlineStr">
        <is>
          <t>SOOP</t>
        </is>
      </c>
      <c r="C9441" s="2" t="inlineStr">
        <is>
          <t>코스닥</t>
        </is>
      </c>
      <c r="D9441" s="2" t="inlineStr">
        <is>
          <t>067160</t>
        </is>
      </c>
      <c r="E9441" s="3" t="inlineStr">
        <is>
          <t>임원ㆍ주요주주특정증권등소유상황보고서</t>
        </is>
      </c>
      <c r="F9441" s="3" t="inlineStr">
        <is>
          <t>최동근</t>
        </is>
      </c>
      <c r="G9441" s="2" t="inlineStr">
        <is>
          <t>20260604000373</t>
        </is>
      </c>
      <c r="H9441" s="8">
        <f>HYPERLINK("https://dart.fss.or.kr/dsaf001/main.do?rcpNo=20260604000373", "공시열람")</f>
        <v/>
      </c>
    </row>
    <row r="9442">
      <c r="A9442" s="2" t="inlineStr">
        <is>
          <t>2026-06-04</t>
        </is>
      </c>
      <c r="B9442" s="3" t="inlineStr">
        <is>
          <t>SOOP</t>
        </is>
      </c>
      <c r="C9442" s="2" t="inlineStr">
        <is>
          <t>코스닥</t>
        </is>
      </c>
      <c r="D9442" s="2" t="inlineStr">
        <is>
          <t>067160</t>
        </is>
      </c>
      <c r="E9442" s="3" t="inlineStr">
        <is>
          <t>임원ㆍ주요주주특정증권등소유상황보고서</t>
        </is>
      </c>
      <c r="F9442" s="3" t="inlineStr">
        <is>
          <t>이병호</t>
        </is>
      </c>
      <c r="G9442" s="2" t="inlineStr">
        <is>
          <t>20260604000365</t>
        </is>
      </c>
      <c r="H9442" s="8">
        <f>HYPERLINK("https://dart.fss.or.kr/dsaf001/main.do?rcpNo=20260604000365", "공시열람")</f>
        <v/>
      </c>
    </row>
    <row r="9443">
      <c r="A9443" s="2" t="inlineStr">
        <is>
          <t>2026-06-04</t>
        </is>
      </c>
      <c r="B9443" s="3" t="inlineStr">
        <is>
          <t>위즈코프</t>
        </is>
      </c>
      <c r="C9443" s="2" t="inlineStr">
        <is>
          <t>코스닥</t>
        </is>
      </c>
      <c r="D9443" s="2" t="inlineStr">
        <is>
          <t>038620</t>
        </is>
      </c>
      <c r="E9443" s="3" t="inlineStr">
        <is>
          <t>임원ㆍ주요주주특정증권등소유상황보고서</t>
        </is>
      </c>
      <c r="F9443" s="3" t="inlineStr">
        <is>
          <t>에스에이치에셋</t>
        </is>
      </c>
      <c r="G9443" s="2" t="inlineStr">
        <is>
          <t>20260604000363</t>
        </is>
      </c>
      <c r="H9443" s="8">
        <f>HYPERLINK("https://dart.fss.or.kr/dsaf001/main.do?rcpNo=20260604000363", "공시열람")</f>
        <v/>
      </c>
    </row>
    <row r="9444">
      <c r="A9444" s="2" t="inlineStr">
        <is>
          <t>2026-06-04</t>
        </is>
      </c>
      <c r="B9444" s="3" t="inlineStr">
        <is>
          <t>키움증권</t>
        </is>
      </c>
      <c r="C9444" s="2" t="inlineStr">
        <is>
          <t>코스피</t>
        </is>
      </c>
      <c r="D9444" s="2" t="inlineStr">
        <is>
          <t>039490</t>
        </is>
      </c>
      <c r="E9444" s="3" t="inlineStr">
        <is>
          <t>투자설명서(일괄신고)</t>
        </is>
      </c>
      <c r="F9444" s="3" t="inlineStr">
        <is>
          <t>키움증권</t>
        </is>
      </c>
      <c r="G9444" s="2" t="inlineStr">
        <is>
          <t>20260604000360</t>
        </is>
      </c>
      <c r="H9444" s="8">
        <f>HYPERLINK("https://dart.fss.or.kr/dsaf001/main.do?rcpNo=20260604000360", "공시열람")</f>
        <v/>
      </c>
    </row>
    <row r="9445">
      <c r="A9445" s="2" t="inlineStr">
        <is>
          <t>2026-06-04</t>
        </is>
      </c>
      <c r="B9445" s="3" t="inlineStr">
        <is>
          <t>남화산업</t>
        </is>
      </c>
      <c r="C9445" s="2" t="inlineStr">
        <is>
          <t>코스닥</t>
        </is>
      </c>
      <c r="D9445" s="2" t="inlineStr">
        <is>
          <t>111710</t>
        </is>
      </c>
      <c r="E9445" s="3" t="inlineStr">
        <is>
          <t>임원ㆍ주요주주특정증권등소유상황보고서</t>
        </is>
      </c>
      <c r="F9445" s="3" t="inlineStr">
        <is>
          <t>최현석</t>
        </is>
      </c>
      <c r="G9445" s="2" t="inlineStr">
        <is>
          <t>20260604000357</t>
        </is>
      </c>
      <c r="H9445" s="8">
        <f>HYPERLINK("https://dart.fss.or.kr/dsaf001/main.do?rcpNo=20260604000357", "공시열람")</f>
        <v/>
      </c>
    </row>
    <row r="9446">
      <c r="A9446" s="2" t="inlineStr">
        <is>
          <t>2026-06-04</t>
        </is>
      </c>
      <c r="B9446" s="3" t="inlineStr">
        <is>
          <t>탑머티리얼</t>
        </is>
      </c>
      <c r="C9446" s="2" t="inlineStr">
        <is>
          <t>코스닥</t>
        </is>
      </c>
      <c r="D9446" s="2" t="inlineStr">
        <is>
          <t>360070</t>
        </is>
      </c>
      <c r="E9446" s="3" t="inlineStr">
        <is>
          <t>임원ㆍ주요주주특정증권등소유상황보고서</t>
        </is>
      </c>
      <c r="F9446" s="3" t="inlineStr">
        <is>
          <t>정태균</t>
        </is>
      </c>
      <c r="G9446" s="2" t="inlineStr">
        <is>
          <t>20260604000351</t>
        </is>
      </c>
      <c r="H9446" s="8">
        <f>HYPERLINK("https://dart.fss.or.kr/dsaf001/main.do?rcpNo=20260604000351", "공시열람")</f>
        <v/>
      </c>
    </row>
    <row r="9447">
      <c r="A9447" s="2" t="inlineStr">
        <is>
          <t>2026-06-04</t>
        </is>
      </c>
      <c r="B9447" s="3" t="inlineStr">
        <is>
          <t>솔루엠</t>
        </is>
      </c>
      <c r="C9447" s="2" t="inlineStr">
        <is>
          <t>코스피</t>
        </is>
      </c>
      <c r="D9447" s="2" t="inlineStr">
        <is>
          <t>248070</t>
        </is>
      </c>
      <c r="E9447" s="3" t="inlineStr">
        <is>
          <t xml:space="preserve">기업설명회(IR)개최(안내공시)              </t>
        </is>
      </c>
      <c r="F9447" s="3" t="inlineStr">
        <is>
          <t>솔루엠</t>
        </is>
      </c>
      <c r="G9447" s="2" t="inlineStr">
        <is>
          <t>20260604800446</t>
        </is>
      </c>
      <c r="H9447" s="8">
        <f>HYPERLINK("https://dart.fss.or.kr/dsaf001/main.do?rcpNo=20260604800446", "공시열람")</f>
        <v/>
      </c>
    </row>
    <row r="9448">
      <c r="A9448" s="2" t="inlineStr">
        <is>
          <t>2026-06-04</t>
        </is>
      </c>
      <c r="B9448" s="3" t="inlineStr">
        <is>
          <t>키움증권</t>
        </is>
      </c>
      <c r="C9448" s="2" t="inlineStr">
        <is>
          <t>코스피</t>
        </is>
      </c>
      <c r="D9448" s="2" t="inlineStr">
        <is>
          <t>039490</t>
        </is>
      </c>
      <c r="E9448" s="3" t="inlineStr">
        <is>
          <t>일괄신고추가서류(파생결합사채-주가연계파생결합사채)</t>
        </is>
      </c>
      <c r="F9448" s="3" t="inlineStr">
        <is>
          <t>키움증권</t>
        </is>
      </c>
      <c r="G9448" s="2" t="inlineStr">
        <is>
          <t>20260604000348</t>
        </is>
      </c>
      <c r="H9448" s="8">
        <f>HYPERLINK("https://dart.fss.or.kr/dsaf001/main.do?rcpNo=20260604000348", "공시열람")</f>
        <v/>
      </c>
    </row>
    <row r="9449">
      <c r="A9449" s="2" t="inlineStr">
        <is>
          <t>2026-06-04</t>
        </is>
      </c>
      <c r="B9449" s="3" t="inlineStr">
        <is>
          <t>현대엘리베이터</t>
        </is>
      </c>
      <c r="C9449" s="2" t="inlineStr">
        <is>
          <t>코스피</t>
        </is>
      </c>
      <c r="D9449" s="2" t="inlineStr">
        <is>
          <t>017800</t>
        </is>
      </c>
      <c r="E9449" s="3" t="inlineStr">
        <is>
          <t xml:space="preserve">타법인주식및출자증권처분결정              </t>
        </is>
      </c>
      <c r="F9449" s="3" t="inlineStr">
        <is>
          <t>현대엘리베이터</t>
        </is>
      </c>
      <c r="G9449" s="2" t="inlineStr">
        <is>
          <t>20260604800476</t>
        </is>
      </c>
      <c r="H9449" s="8">
        <f>HYPERLINK("https://dart.fss.or.kr/dsaf001/main.do?rcpNo=20260604800476", "공시열람")</f>
        <v/>
      </c>
    </row>
    <row r="9450">
      <c r="A9450" s="2" t="inlineStr">
        <is>
          <t>2026-06-04</t>
        </is>
      </c>
      <c r="B9450" s="3" t="inlineStr">
        <is>
          <t>현대무벡스</t>
        </is>
      </c>
      <c r="C9450" s="2" t="inlineStr">
        <is>
          <t>코스닥</t>
        </is>
      </c>
      <c r="D9450" s="2" t="inlineStr">
        <is>
          <t>319400</t>
        </is>
      </c>
      <c r="E9450" s="3" t="inlineStr">
        <is>
          <t>임원ㆍ주요주주특정증권등거래계획보고서</t>
        </is>
      </c>
      <c r="F9450" s="3" t="inlineStr">
        <is>
          <t>현대엘리베이터</t>
        </is>
      </c>
      <c r="G9450" s="2" t="inlineStr">
        <is>
          <t>20260604000343</t>
        </is>
      </c>
      <c r="H9450" s="8">
        <f>HYPERLINK("https://dart.fss.or.kr/dsaf001/main.do?rcpNo=20260604000343", "공시열람")</f>
        <v/>
      </c>
    </row>
    <row r="9451">
      <c r="A9451" s="2" t="inlineStr">
        <is>
          <t>2026-06-04</t>
        </is>
      </c>
      <c r="B9451" s="3" t="inlineStr">
        <is>
          <t>DB증권</t>
        </is>
      </c>
      <c r="C9451" s="2" t="inlineStr">
        <is>
          <t>코스피</t>
        </is>
      </c>
      <c r="D9451" s="2" t="inlineStr">
        <is>
          <t>016610</t>
        </is>
      </c>
      <c r="E9451" s="3" t="inlineStr">
        <is>
          <t>투자설명서(일괄신고)</t>
        </is>
      </c>
      <c r="F9451" s="3" t="inlineStr">
        <is>
          <t>DB증권</t>
        </is>
      </c>
      <c r="G9451" s="2" t="inlineStr">
        <is>
          <t>20260604000331</t>
        </is>
      </c>
      <c r="H9451" s="8">
        <f>HYPERLINK("https://dart.fss.or.kr/dsaf001/main.do?rcpNo=20260604000331", "공시열람")</f>
        <v/>
      </c>
    </row>
    <row r="9452">
      <c r="A9452" s="2" t="inlineStr">
        <is>
          <t>2026-06-04</t>
        </is>
      </c>
      <c r="B9452" s="3" t="inlineStr">
        <is>
          <t>키움증권</t>
        </is>
      </c>
      <c r="C9452" s="2" t="inlineStr">
        <is>
          <t>코스피</t>
        </is>
      </c>
      <c r="D9452" s="2" t="inlineStr">
        <is>
          <t>039490</t>
        </is>
      </c>
      <c r="E9452" s="3" t="inlineStr">
        <is>
          <t>투자설명서(일괄신고)</t>
        </is>
      </c>
      <c r="F9452" s="3" t="inlineStr">
        <is>
          <t>키움증권</t>
        </is>
      </c>
      <c r="G9452" s="2" t="inlineStr">
        <is>
          <t>20260604000328</t>
        </is>
      </c>
      <c r="H9452" s="8">
        <f>HYPERLINK("https://dart.fss.or.kr/dsaf001/main.do?rcpNo=20260604000328", "공시열람")</f>
        <v/>
      </c>
    </row>
    <row r="9453">
      <c r="A9453" s="2" t="inlineStr">
        <is>
          <t>2026-06-04</t>
        </is>
      </c>
      <c r="B9453" s="3" t="inlineStr">
        <is>
          <t>DB증권</t>
        </is>
      </c>
      <c r="C9453" s="2" t="inlineStr">
        <is>
          <t>코스피</t>
        </is>
      </c>
      <c r="D9453" s="2" t="inlineStr">
        <is>
          <t>016610</t>
        </is>
      </c>
      <c r="E9453" s="3" t="inlineStr">
        <is>
          <t>투자설명서(일괄신고)</t>
        </is>
      </c>
      <c r="F9453" s="3" t="inlineStr">
        <is>
          <t>DB증권</t>
        </is>
      </c>
      <c r="G9453" s="2" t="inlineStr">
        <is>
          <t>20260604000325</t>
        </is>
      </c>
      <c r="H9453" s="8">
        <f>HYPERLINK("https://dart.fss.or.kr/dsaf001/main.do?rcpNo=20260604000325", "공시열람")</f>
        <v/>
      </c>
    </row>
    <row r="9454">
      <c r="A9454" s="2" t="inlineStr">
        <is>
          <t>2026-06-04</t>
        </is>
      </c>
      <c r="B9454" s="3" t="inlineStr">
        <is>
          <t>키움증권</t>
        </is>
      </c>
      <c r="C9454" s="2" t="inlineStr">
        <is>
          <t>코스피</t>
        </is>
      </c>
      <c r="D9454" s="2" t="inlineStr">
        <is>
          <t>039490</t>
        </is>
      </c>
      <c r="E9454" s="3" t="inlineStr">
        <is>
          <t>투자설명서(일괄신고)</t>
        </is>
      </c>
      <c r="F9454" s="3" t="inlineStr">
        <is>
          <t>키움증권</t>
        </is>
      </c>
      <c r="G9454" s="2" t="inlineStr">
        <is>
          <t>20260604000324</t>
        </is>
      </c>
      <c r="H9454" s="8">
        <f>HYPERLINK("https://dart.fss.or.kr/dsaf001/main.do?rcpNo=20260604000324", "공시열람")</f>
        <v/>
      </c>
    </row>
    <row r="9455">
      <c r="A9455" s="2" t="inlineStr">
        <is>
          <t>2026-06-04</t>
        </is>
      </c>
      <c r="B9455" s="3" t="inlineStr">
        <is>
          <t>키움증권</t>
        </is>
      </c>
      <c r="C9455" s="2" t="inlineStr">
        <is>
          <t>코스피</t>
        </is>
      </c>
      <c r="D9455" s="2" t="inlineStr">
        <is>
          <t>039490</t>
        </is>
      </c>
      <c r="E9455" s="3" t="inlineStr">
        <is>
          <t>투자설명서(일괄신고)</t>
        </is>
      </c>
      <c r="F9455" s="3" t="inlineStr">
        <is>
          <t>키움증권</t>
        </is>
      </c>
      <c r="G9455" s="2" t="inlineStr">
        <is>
          <t>20260604000307</t>
        </is>
      </c>
      <c r="H9455" s="8">
        <f>HYPERLINK("https://dart.fss.or.kr/dsaf001/main.do?rcpNo=20260604000307", "공시열람")</f>
        <v/>
      </c>
    </row>
    <row r="9456">
      <c r="A9456" s="2" t="inlineStr">
        <is>
          <t>2026-06-04</t>
        </is>
      </c>
      <c r="B9456" s="3" t="inlineStr">
        <is>
          <t>한독</t>
        </is>
      </c>
      <c r="C9456" s="2" t="inlineStr">
        <is>
          <t>코스피</t>
        </is>
      </c>
      <c r="D9456" s="2" t="inlineStr">
        <is>
          <t>002390</t>
        </is>
      </c>
      <c r="E9456" s="3" t="inlineStr">
        <is>
          <t>임원ㆍ주요주주특정증권등소유상황보고서</t>
        </is>
      </c>
      <c r="F9456" s="3" t="inlineStr">
        <is>
          <t>와이앤에스인터내셔날</t>
        </is>
      </c>
      <c r="G9456" s="2" t="inlineStr">
        <is>
          <t>20260604000304</t>
        </is>
      </c>
      <c r="H9456" s="8">
        <f>HYPERLINK("https://dart.fss.or.kr/dsaf001/main.do?rcpNo=20260604000304", "공시열람")</f>
        <v/>
      </c>
    </row>
    <row r="9457">
      <c r="A9457" s="2" t="inlineStr">
        <is>
          <t>2026-06-04</t>
        </is>
      </c>
      <c r="B9457" s="3" t="inlineStr">
        <is>
          <t>DB증권</t>
        </is>
      </c>
      <c r="C9457" s="2" t="inlineStr">
        <is>
          <t>코스피</t>
        </is>
      </c>
      <c r="D9457" s="2" t="inlineStr">
        <is>
          <t>016610</t>
        </is>
      </c>
      <c r="E9457" s="3" t="inlineStr">
        <is>
          <t>일괄신고추가서류(기타파생결합사채)</t>
        </is>
      </c>
      <c r="F9457" s="3" t="inlineStr">
        <is>
          <t>DB증권</t>
        </is>
      </c>
      <c r="G9457" s="2" t="inlineStr">
        <is>
          <t>20260604000298</t>
        </is>
      </c>
      <c r="H9457" s="8">
        <f>HYPERLINK("https://dart.fss.or.kr/dsaf001/main.do?rcpNo=20260604000298", "공시열람")</f>
        <v/>
      </c>
    </row>
    <row r="9458">
      <c r="A9458" s="2" t="inlineStr">
        <is>
          <t>2026-06-04</t>
        </is>
      </c>
      <c r="B9458" s="3" t="inlineStr">
        <is>
          <t>GST</t>
        </is>
      </c>
      <c r="C9458" s="2" t="inlineStr">
        <is>
          <t>코스닥</t>
        </is>
      </c>
      <c r="D9458" s="2" t="inlineStr">
        <is>
          <t>083450</t>
        </is>
      </c>
      <c r="E9458" s="3" t="inlineStr">
        <is>
          <t>임원ㆍ주요주주특정증권등소유상황보고서</t>
        </is>
      </c>
      <c r="F9458" s="3" t="inlineStr">
        <is>
          <t>석종욱</t>
        </is>
      </c>
      <c r="G9458" s="2" t="inlineStr">
        <is>
          <t>20260604000296</t>
        </is>
      </c>
      <c r="H9458" s="8">
        <f>HYPERLINK("https://dart.fss.or.kr/dsaf001/main.do?rcpNo=20260604000296", "공시열람")</f>
        <v/>
      </c>
    </row>
    <row r="9459">
      <c r="A9459" s="2" t="inlineStr">
        <is>
          <t>2026-06-04 (정정: 2026-06-05)</t>
        </is>
      </c>
      <c r="B9459" s="3" t="inlineStr">
        <is>
          <t>디와이씨</t>
        </is>
      </c>
      <c r="C9459" s="2" t="inlineStr">
        <is>
          <t>코스닥</t>
        </is>
      </c>
      <c r="D9459" s="2" t="inlineStr">
        <is>
          <t>310870</t>
        </is>
      </c>
      <c r="E9459" s="3" t="inlineStr">
        <is>
          <t>증권발행결과(자율공시)               (정정: 20260605)</t>
        </is>
      </c>
      <c r="F9459" s="3" t="inlineStr">
        <is>
          <t>디와이씨</t>
        </is>
      </c>
      <c r="G9459" s="2" t="inlineStr">
        <is>
          <t>20260605000533</t>
        </is>
      </c>
      <c r="H9459" s="8">
        <f>HYPERLINK("https://dart.fss.or.kr/dsaf001/main.do?rcpNo=20260605000533", "공시열람")</f>
        <v/>
      </c>
    </row>
    <row r="9460">
      <c r="A9460" s="2" t="inlineStr">
        <is>
          <t>2026-06-04</t>
        </is>
      </c>
      <c r="B9460" s="3" t="inlineStr">
        <is>
          <t>우정바이오</t>
        </is>
      </c>
      <c r="C9460" s="2" t="inlineStr">
        <is>
          <t>코스닥</t>
        </is>
      </c>
      <c r="D9460" s="2" t="inlineStr">
        <is>
          <t>215380</t>
        </is>
      </c>
      <c r="E9460" s="3" t="inlineStr">
        <is>
          <t>임원ㆍ주요주주특정증권등소유상황보고서</t>
        </is>
      </c>
      <c r="F9460" s="3" t="inlineStr">
        <is>
          <t>이상수</t>
        </is>
      </c>
      <c r="G9460" s="2" t="inlineStr">
        <is>
          <t>20260604000295</t>
        </is>
      </c>
      <c r="H9460" s="8">
        <f>HYPERLINK("https://dart.fss.or.kr/dsaf001/main.do?rcpNo=20260604000295", "공시열람")</f>
        <v/>
      </c>
    </row>
    <row r="9461">
      <c r="A9461" s="2" t="inlineStr">
        <is>
          <t>2026-06-04</t>
        </is>
      </c>
      <c r="B9461" s="3" t="inlineStr">
        <is>
          <t>삼성증권</t>
        </is>
      </c>
      <c r="C9461" s="2" t="inlineStr">
        <is>
          <t>코스피</t>
        </is>
      </c>
      <c r="D9461" s="2" t="inlineStr">
        <is>
          <t>016360</t>
        </is>
      </c>
      <c r="E9461" s="3" t="inlineStr">
        <is>
          <t>증권발행실적보고서</t>
        </is>
      </c>
      <c r="F9461" s="3" t="inlineStr">
        <is>
          <t>삼성증권</t>
        </is>
      </c>
      <c r="G9461" s="2" t="inlineStr">
        <is>
          <t>20260604000293</t>
        </is>
      </c>
      <c r="H9461" s="8">
        <f>HYPERLINK("https://dart.fss.or.kr/dsaf001/main.do?rcpNo=20260604000293", "공시열람")</f>
        <v/>
      </c>
    </row>
    <row r="9462">
      <c r="A9462" s="2" t="inlineStr">
        <is>
          <t>2026-06-04</t>
        </is>
      </c>
      <c r="B9462" s="3" t="inlineStr">
        <is>
          <t>바이오인프라생명과학</t>
        </is>
      </c>
      <c r="C9462" s="2" t="inlineStr">
        <is>
          <t>코넥스</t>
        </is>
      </c>
      <c r="D9462" s="2" t="inlineStr">
        <is>
          <t>266470</t>
        </is>
      </c>
      <c r="E9462" s="3" t="inlineStr">
        <is>
          <t xml:space="preserve">본점소재지변경              </t>
        </is>
      </c>
      <c r="F9462" s="3" t="inlineStr">
        <is>
          <t>바이오인프라생명과학</t>
        </is>
      </c>
      <c r="G9462" s="2" t="inlineStr">
        <is>
          <t>20260604600403</t>
        </is>
      </c>
      <c r="H9462" s="8">
        <f>HYPERLINK("https://dart.fss.or.kr/dsaf001/main.do?rcpNo=20260604600403", "공시열람")</f>
        <v/>
      </c>
    </row>
    <row r="9463">
      <c r="A9463" s="2" t="inlineStr">
        <is>
          <t>2026-06-04</t>
        </is>
      </c>
      <c r="B9463" s="3" t="inlineStr">
        <is>
          <t>오토앤</t>
        </is>
      </c>
      <c r="C9463" s="2" t="inlineStr">
        <is>
          <t>코스닥</t>
        </is>
      </c>
      <c r="D9463" s="2" t="inlineStr">
        <is>
          <t>353590</t>
        </is>
      </c>
      <c r="E9463" s="3" t="inlineStr">
        <is>
          <t>임원ㆍ주요주주특정증권등소유상황보고서</t>
        </is>
      </c>
      <c r="F9463" s="3" t="inlineStr">
        <is>
          <t>이승창</t>
        </is>
      </c>
      <c r="G9463" s="2" t="inlineStr">
        <is>
          <t>20260604000290</t>
        </is>
      </c>
      <c r="H9463" s="8">
        <f>HYPERLINK("https://dart.fss.or.kr/dsaf001/main.do?rcpNo=20260604000290", "공시열람")</f>
        <v/>
      </c>
    </row>
    <row r="9464">
      <c r="A9464" s="2" t="inlineStr">
        <is>
          <t>2026-06-04</t>
        </is>
      </c>
      <c r="B9464" s="3" t="inlineStr">
        <is>
          <t>키움증권</t>
        </is>
      </c>
      <c r="C9464" s="2" t="inlineStr">
        <is>
          <t>코스피</t>
        </is>
      </c>
      <c r="D9464" s="2" t="inlineStr">
        <is>
          <t>039490</t>
        </is>
      </c>
      <c r="E9464" s="3" t="inlineStr">
        <is>
          <t>일괄신고추가서류(파생결합사채-주가연계파생결합사채)</t>
        </is>
      </c>
      <c r="F9464" s="3" t="inlineStr">
        <is>
          <t>키움증권</t>
        </is>
      </c>
      <c r="G9464" s="2" t="inlineStr">
        <is>
          <t>20260604000287</t>
        </is>
      </c>
      <c r="H9464" s="8">
        <f>HYPERLINK("https://dart.fss.or.kr/dsaf001/main.do?rcpNo=20260604000287", "공시열람")</f>
        <v/>
      </c>
    </row>
    <row r="9465">
      <c r="A9465" s="2" t="inlineStr">
        <is>
          <t>2026-06-04 (정정: 2026-06-08)</t>
        </is>
      </c>
      <c r="B9465" s="3" t="inlineStr">
        <is>
          <t>레이</t>
        </is>
      </c>
      <c r="C9465" s="2" t="inlineStr">
        <is>
          <t>코스닥</t>
        </is>
      </c>
      <c r="D9465" s="2" t="inlineStr">
        <is>
          <t>228670</t>
        </is>
      </c>
      <c r="E9465" s="3" t="inlineStr">
        <is>
          <t>임원ㆍ주요주주특정증권등소유상황보고서 (정정: 20260608) (정정: 20260608)</t>
        </is>
      </c>
      <c r="F9465" s="3" t="inlineStr">
        <is>
          <t>김규희</t>
        </is>
      </c>
      <c r="G9465" s="2" t="inlineStr">
        <is>
          <t>20260608000146</t>
        </is>
      </c>
      <c r="H9465" s="8">
        <f>HYPERLINK("https://dart.fss.or.kr/dsaf001/main.do?rcpNo=20260608000146", "공시열람")</f>
        <v/>
      </c>
    </row>
    <row r="9466">
      <c r="A9466" s="2" t="inlineStr">
        <is>
          <t>2026-06-04</t>
        </is>
      </c>
      <c r="B9466" s="3" t="inlineStr">
        <is>
          <t>디오</t>
        </is>
      </c>
      <c r="C9466" s="2" t="inlineStr">
        <is>
          <t>코스닥</t>
        </is>
      </c>
      <c r="D9466" s="2" t="inlineStr">
        <is>
          <t>039840</t>
        </is>
      </c>
      <c r="E9466" s="3" t="inlineStr">
        <is>
          <t>신탁계약에의한취득상황보고서</t>
        </is>
      </c>
      <c r="F9466" s="3" t="inlineStr">
        <is>
          <t>디오</t>
        </is>
      </c>
      <c r="G9466" s="2" t="inlineStr">
        <is>
          <t>20260604000284</t>
        </is>
      </c>
      <c r="H9466" s="8">
        <f>HYPERLINK("https://dart.fss.or.kr/dsaf001/main.do?rcpNo=20260604000284", "공시열람")</f>
        <v/>
      </c>
    </row>
    <row r="9467">
      <c r="A9467" s="2" t="inlineStr">
        <is>
          <t>2026-06-04</t>
        </is>
      </c>
      <c r="B9467" s="3" t="inlineStr">
        <is>
          <t>키움증권</t>
        </is>
      </c>
      <c r="C9467" s="2" t="inlineStr">
        <is>
          <t>코스피</t>
        </is>
      </c>
      <c r="D9467" s="2" t="inlineStr">
        <is>
          <t>039490</t>
        </is>
      </c>
      <c r="E9467" s="3" t="inlineStr">
        <is>
          <t>투자설명서(일괄신고)</t>
        </is>
      </c>
      <c r="F9467" s="3" t="inlineStr">
        <is>
          <t>키움증권</t>
        </is>
      </c>
      <c r="G9467" s="2" t="inlineStr">
        <is>
          <t>20260604000283</t>
        </is>
      </c>
      <c r="H9467" s="8">
        <f>HYPERLINK("https://dart.fss.or.kr/dsaf001/main.do?rcpNo=20260604000283", "공시열람")</f>
        <v/>
      </c>
    </row>
    <row r="9468">
      <c r="A9468" s="2" t="inlineStr">
        <is>
          <t>2026-06-04</t>
        </is>
      </c>
      <c r="B9468" s="3" t="inlineStr">
        <is>
          <t>소프트캠프</t>
        </is>
      </c>
      <c r="C9468" s="2" t="inlineStr">
        <is>
          <t>코스닥</t>
        </is>
      </c>
      <c r="D9468" s="2" t="inlineStr">
        <is>
          <t>258790</t>
        </is>
      </c>
      <c r="E9468" s="3" t="inlineStr">
        <is>
          <t>임원ㆍ주요주주특정증권등소유상황보고서</t>
        </is>
      </c>
      <c r="F9468" s="3" t="inlineStr">
        <is>
          <t>배환국</t>
        </is>
      </c>
      <c r="G9468" s="2" t="inlineStr">
        <is>
          <t>20260604000280</t>
        </is>
      </c>
      <c r="H9468" s="8">
        <f>HYPERLINK("https://dart.fss.or.kr/dsaf001/main.do?rcpNo=20260604000280", "공시열람")</f>
        <v/>
      </c>
    </row>
    <row r="9469">
      <c r="A9469" s="2" t="inlineStr">
        <is>
          <t>2026-06-04</t>
        </is>
      </c>
      <c r="B9469" s="3" t="inlineStr">
        <is>
          <t>에이치엔에스하이텍</t>
        </is>
      </c>
      <c r="C9469" s="2" t="inlineStr">
        <is>
          <t>코스닥</t>
        </is>
      </c>
      <c r="D9469" s="2" t="inlineStr">
        <is>
          <t>044990</t>
        </is>
      </c>
      <c r="E9469" s="3" t="inlineStr">
        <is>
          <t>임원ㆍ주요주주특정증권등소유상황보고서</t>
        </is>
      </c>
      <c r="F9469" s="3" t="inlineStr">
        <is>
          <t>김영운</t>
        </is>
      </c>
      <c r="G9469" s="2" t="inlineStr">
        <is>
          <t>20260604000274</t>
        </is>
      </c>
      <c r="H9469" s="8">
        <f>HYPERLINK("https://dart.fss.or.kr/dsaf001/main.do?rcpNo=20260604000274", "공시열람")</f>
        <v/>
      </c>
    </row>
    <row r="9470">
      <c r="A9470" s="2" t="inlineStr">
        <is>
          <t>2026-06-04</t>
        </is>
      </c>
      <c r="B9470" s="3" t="inlineStr">
        <is>
          <t>소프트캠프</t>
        </is>
      </c>
      <c r="C9470" s="2" t="inlineStr">
        <is>
          <t>코스닥</t>
        </is>
      </c>
      <c r="D9470" s="2" t="inlineStr">
        <is>
          <t>258790</t>
        </is>
      </c>
      <c r="E9470" s="3" t="inlineStr">
        <is>
          <t>임원ㆍ주요주주특정증권등소유상황보고서</t>
        </is>
      </c>
      <c r="F9470" s="3" t="inlineStr">
        <is>
          <t>황성익</t>
        </is>
      </c>
      <c r="G9470" s="2" t="inlineStr">
        <is>
          <t>20260604000271</t>
        </is>
      </c>
      <c r="H9470" s="8">
        <f>HYPERLINK("https://dart.fss.or.kr/dsaf001/main.do?rcpNo=20260604000271", "공시열람")</f>
        <v/>
      </c>
    </row>
    <row r="9471">
      <c r="A9471" s="2" t="inlineStr">
        <is>
          <t>2026-06-04</t>
        </is>
      </c>
      <c r="B9471" s="3" t="inlineStr">
        <is>
          <t>소프트캠프</t>
        </is>
      </c>
      <c r="C9471" s="2" t="inlineStr">
        <is>
          <t>코스닥</t>
        </is>
      </c>
      <c r="D9471" s="2" t="inlineStr">
        <is>
          <t>258790</t>
        </is>
      </c>
      <c r="E9471" s="3" t="inlineStr">
        <is>
          <t>임원ㆍ주요주주특정증권등소유상황보고서</t>
        </is>
      </c>
      <c r="F9471" s="3" t="inlineStr">
        <is>
          <t>강홍석</t>
        </is>
      </c>
      <c r="G9471" s="2" t="inlineStr">
        <is>
          <t>20260604000266</t>
        </is>
      </c>
      <c r="H9471" s="8">
        <f>HYPERLINK("https://dart.fss.or.kr/dsaf001/main.do?rcpNo=20260604000266", "공시열람")</f>
        <v/>
      </c>
    </row>
    <row r="9472">
      <c r="A9472" s="2" t="inlineStr">
        <is>
          <t>2026-06-04</t>
        </is>
      </c>
      <c r="B9472" s="3" t="inlineStr">
        <is>
          <t>에이치엔에스하이텍</t>
        </is>
      </c>
      <c r="C9472" s="2" t="inlineStr">
        <is>
          <t>코스닥</t>
        </is>
      </c>
      <c r="D9472" s="2" t="inlineStr">
        <is>
          <t>044990</t>
        </is>
      </c>
      <c r="E9472" s="3" t="inlineStr">
        <is>
          <t>임원ㆍ주요주주특정증권등소유상황보고서</t>
        </is>
      </c>
      <c r="F9472" s="3" t="inlineStr">
        <is>
          <t>배의호</t>
        </is>
      </c>
      <c r="G9472" s="2" t="inlineStr">
        <is>
          <t>20260604000264</t>
        </is>
      </c>
      <c r="H9472" s="8">
        <f>HYPERLINK("https://dart.fss.or.kr/dsaf001/main.do?rcpNo=20260604000264", "공시열람")</f>
        <v/>
      </c>
    </row>
    <row r="9473">
      <c r="A9473" s="2" t="inlineStr">
        <is>
          <t>2026-06-04</t>
        </is>
      </c>
      <c r="B9473" s="3" t="inlineStr">
        <is>
          <t>소프트캠프</t>
        </is>
      </c>
      <c r="C9473" s="2" t="inlineStr">
        <is>
          <t>코스닥</t>
        </is>
      </c>
      <c r="D9473" s="2" t="inlineStr">
        <is>
          <t>258790</t>
        </is>
      </c>
      <c r="E9473" s="3" t="inlineStr">
        <is>
          <t>임원ㆍ주요주주특정증권등소유상황보고서</t>
        </is>
      </c>
      <c r="F9473" s="3" t="inlineStr">
        <is>
          <t>임성택</t>
        </is>
      </c>
      <c r="G9473" s="2" t="inlineStr">
        <is>
          <t>20260604000261</t>
        </is>
      </c>
      <c r="H9473" s="8">
        <f>HYPERLINK("https://dart.fss.or.kr/dsaf001/main.do?rcpNo=20260604000261", "공시열람")</f>
        <v/>
      </c>
    </row>
    <row r="9474">
      <c r="A9474" s="2" t="inlineStr">
        <is>
          <t>2026-06-04</t>
        </is>
      </c>
      <c r="B9474" s="3" t="inlineStr">
        <is>
          <t>일동제약</t>
        </is>
      </c>
      <c r="C9474" s="2" t="inlineStr">
        <is>
          <t>코스피</t>
        </is>
      </c>
      <c r="D9474" s="2" t="inlineStr">
        <is>
          <t>249420</t>
        </is>
      </c>
      <c r="E9474" s="3" t="inlineStr">
        <is>
          <t xml:space="preserve">지속가능경영보고서등관련사항(자율공시)              </t>
        </is>
      </c>
      <c r="F9474" s="3" t="inlineStr">
        <is>
          <t>일동제약</t>
        </is>
      </c>
      <c r="G9474" s="2" t="inlineStr">
        <is>
          <t>20260604800391</t>
        </is>
      </c>
      <c r="H9474" s="8">
        <f>HYPERLINK("https://dart.fss.or.kr/dsaf001/main.do?rcpNo=20260604800391", "공시열람")</f>
        <v/>
      </c>
    </row>
    <row r="9475">
      <c r="A9475" s="2" t="inlineStr">
        <is>
          <t>2026-06-04</t>
        </is>
      </c>
      <c r="B9475" s="3" t="inlineStr">
        <is>
          <t>소프트캠프</t>
        </is>
      </c>
      <c r="C9475" s="2" t="inlineStr">
        <is>
          <t>코스닥</t>
        </is>
      </c>
      <c r="D9475" s="2" t="inlineStr">
        <is>
          <t>258790</t>
        </is>
      </c>
      <c r="E9475" s="3" t="inlineStr">
        <is>
          <t>임원ㆍ주요주주특정증권등소유상황보고서</t>
        </is>
      </c>
      <c r="F9475" s="3" t="inlineStr">
        <is>
          <t>조영갑</t>
        </is>
      </c>
      <c r="G9475" s="2" t="inlineStr">
        <is>
          <t>20260604000254</t>
        </is>
      </c>
      <c r="H9475" s="8">
        <f>HYPERLINK("https://dart.fss.or.kr/dsaf001/main.do?rcpNo=20260604000254", "공시열람")</f>
        <v/>
      </c>
    </row>
    <row r="9476">
      <c r="A9476" s="2" t="inlineStr">
        <is>
          <t>2026-06-04</t>
        </is>
      </c>
      <c r="B9476" s="3" t="inlineStr">
        <is>
          <t>키움증권</t>
        </is>
      </c>
      <c r="C9476" s="2" t="inlineStr">
        <is>
          <t>코스피</t>
        </is>
      </c>
      <c r="D9476" s="2" t="inlineStr">
        <is>
          <t>039490</t>
        </is>
      </c>
      <c r="E9476" s="3" t="inlineStr">
        <is>
          <t>일괄신고추가서류(파생결합사채-주가연계파생결합사채)</t>
        </is>
      </c>
      <c r="F9476" s="3" t="inlineStr">
        <is>
          <t>키움증권</t>
        </is>
      </c>
      <c r="G9476" s="2" t="inlineStr">
        <is>
          <t>20260604000251</t>
        </is>
      </c>
      <c r="H9476" s="8">
        <f>HYPERLINK("https://dart.fss.or.kr/dsaf001/main.do?rcpNo=20260604000251", "공시열람")</f>
        <v/>
      </c>
    </row>
    <row r="9477">
      <c r="A9477" s="2" t="inlineStr">
        <is>
          <t>2026-06-04</t>
        </is>
      </c>
      <c r="B9477" s="3" t="inlineStr">
        <is>
          <t>키움증권</t>
        </is>
      </c>
      <c r="C9477" s="2" t="inlineStr">
        <is>
          <t>코스피</t>
        </is>
      </c>
      <c r="D9477" s="2" t="inlineStr">
        <is>
          <t>039490</t>
        </is>
      </c>
      <c r="E9477" s="3" t="inlineStr">
        <is>
          <t>일괄신고추가서류(파생결합증권-주가연계증권)</t>
        </is>
      </c>
      <c r="F9477" s="3" t="inlineStr">
        <is>
          <t>키움증권</t>
        </is>
      </c>
      <c r="G9477" s="2" t="inlineStr">
        <is>
          <t>20260604000249</t>
        </is>
      </c>
      <c r="H9477" s="8">
        <f>HYPERLINK("https://dart.fss.or.kr/dsaf001/main.do?rcpNo=20260604000249", "공시열람")</f>
        <v/>
      </c>
    </row>
    <row r="9478">
      <c r="A9478" s="2" t="inlineStr">
        <is>
          <t>2026-06-04</t>
        </is>
      </c>
      <c r="B9478" s="3" t="inlineStr">
        <is>
          <t>소프트캠프</t>
        </is>
      </c>
      <c r="C9478" s="2" t="inlineStr">
        <is>
          <t>코스닥</t>
        </is>
      </c>
      <c r="D9478" s="2" t="inlineStr">
        <is>
          <t>258790</t>
        </is>
      </c>
      <c r="E9478" s="3" t="inlineStr">
        <is>
          <t>임원ㆍ주요주주특정증권등소유상황보고서</t>
        </is>
      </c>
      <c r="F9478" s="3" t="inlineStr">
        <is>
          <t>강대원</t>
        </is>
      </c>
      <c r="G9478" s="2" t="inlineStr">
        <is>
          <t>20260604000248</t>
        </is>
      </c>
      <c r="H9478" s="8">
        <f>HYPERLINK("https://dart.fss.or.kr/dsaf001/main.do?rcpNo=20260604000248", "공시열람")</f>
        <v/>
      </c>
    </row>
    <row r="9479">
      <c r="A9479" s="2" t="inlineStr">
        <is>
          <t>2026-06-04</t>
        </is>
      </c>
      <c r="B9479" s="3" t="inlineStr">
        <is>
          <t>소프트캠프</t>
        </is>
      </c>
      <c r="C9479" s="2" t="inlineStr">
        <is>
          <t>코스닥</t>
        </is>
      </c>
      <c r="D9479" s="2" t="inlineStr">
        <is>
          <t>258790</t>
        </is>
      </c>
      <c r="E9479" s="3" t="inlineStr">
        <is>
          <t>임원ㆍ주요주주특정증권등소유상황보고서</t>
        </is>
      </c>
      <c r="F9479" s="3" t="inlineStr">
        <is>
          <t>오정훈</t>
        </is>
      </c>
      <c r="G9479" s="2" t="inlineStr">
        <is>
          <t>20260604000245</t>
        </is>
      </c>
      <c r="H9479" s="8">
        <f>HYPERLINK("https://dart.fss.or.kr/dsaf001/main.do?rcpNo=20260604000245", "공시열람")</f>
        <v/>
      </c>
    </row>
    <row r="9480">
      <c r="A9480" s="2" t="inlineStr">
        <is>
          <t>2026-06-04</t>
        </is>
      </c>
      <c r="B9480" s="3" t="inlineStr">
        <is>
          <t>소프트캠프</t>
        </is>
      </c>
      <c r="C9480" s="2" t="inlineStr">
        <is>
          <t>코스닥</t>
        </is>
      </c>
      <c r="D9480" s="2" t="inlineStr">
        <is>
          <t>258790</t>
        </is>
      </c>
      <c r="E9480" s="3" t="inlineStr">
        <is>
          <t>임원ㆍ주요주주특정증권등소유상황보고서</t>
        </is>
      </c>
      <c r="F9480" s="3" t="inlineStr">
        <is>
          <t>김두철</t>
        </is>
      </c>
      <c r="G9480" s="2" t="inlineStr">
        <is>
          <t>20260604000242</t>
        </is>
      </c>
      <c r="H9480" s="8">
        <f>HYPERLINK("https://dart.fss.or.kr/dsaf001/main.do?rcpNo=20260604000242", "공시열람")</f>
        <v/>
      </c>
    </row>
    <row r="9481">
      <c r="A9481" s="2" t="inlineStr">
        <is>
          <t>2026-06-04</t>
        </is>
      </c>
      <c r="B9481" s="3" t="inlineStr">
        <is>
          <t>케이티스카이라이프</t>
        </is>
      </c>
      <c r="C9481" s="2" t="inlineStr">
        <is>
          <t>코스피</t>
        </is>
      </c>
      <c r="D9481" s="2" t="inlineStr">
        <is>
          <t>053210</t>
        </is>
      </c>
      <c r="E9481" s="3" t="inlineStr">
        <is>
          <t>임원ㆍ주요주주특정증권등소유상황보고서</t>
        </is>
      </c>
      <c r="F9481" s="3" t="inlineStr">
        <is>
          <t>오성민</t>
        </is>
      </c>
      <c r="G9481" s="2" t="inlineStr">
        <is>
          <t>20260604000239</t>
        </is>
      </c>
      <c r="H9481" s="8">
        <f>HYPERLINK("https://dart.fss.or.kr/dsaf001/main.do?rcpNo=20260604000239", "공시열람")</f>
        <v/>
      </c>
    </row>
    <row r="9482">
      <c r="A9482" s="2" t="inlineStr">
        <is>
          <t>2026-06-04</t>
        </is>
      </c>
      <c r="B9482" s="3" t="inlineStr">
        <is>
          <t>소프트캠프</t>
        </is>
      </c>
      <c r="C9482" s="2" t="inlineStr">
        <is>
          <t>코스닥</t>
        </is>
      </c>
      <c r="D9482" s="2" t="inlineStr">
        <is>
          <t>258790</t>
        </is>
      </c>
      <c r="E9482" s="3" t="inlineStr">
        <is>
          <t>임원ㆍ주요주주특정증권등소유상황보고서</t>
        </is>
      </c>
      <c r="F9482" s="3" t="inlineStr">
        <is>
          <t>김성학</t>
        </is>
      </c>
      <c r="G9482" s="2" t="inlineStr">
        <is>
          <t>20260604000238</t>
        </is>
      </c>
      <c r="H9482" s="8">
        <f>HYPERLINK("https://dart.fss.or.kr/dsaf001/main.do?rcpNo=20260604000238", "공시열람")</f>
        <v/>
      </c>
    </row>
    <row r="9483">
      <c r="A9483" s="2" t="inlineStr">
        <is>
          <t>2026-06-04</t>
        </is>
      </c>
      <c r="B9483" s="3" t="inlineStr">
        <is>
          <t>케이티스카이라이프</t>
        </is>
      </c>
      <c r="C9483" s="2" t="inlineStr">
        <is>
          <t>코스피</t>
        </is>
      </c>
      <c r="D9483" s="2" t="inlineStr">
        <is>
          <t>053210</t>
        </is>
      </c>
      <c r="E9483" s="3" t="inlineStr">
        <is>
          <t>임원ㆍ주요주주특정증권등소유상황보고서</t>
        </is>
      </c>
      <c r="F9483" s="3" t="inlineStr">
        <is>
          <t>김상균</t>
        </is>
      </c>
      <c r="G9483" s="2" t="inlineStr">
        <is>
          <t>20260604000231</t>
        </is>
      </c>
      <c r="H9483" s="8">
        <f>HYPERLINK("https://dart.fss.or.kr/dsaf001/main.do?rcpNo=20260604000231", "공시열람")</f>
        <v/>
      </c>
    </row>
    <row r="9484">
      <c r="A9484" s="2" t="inlineStr">
        <is>
          <t>2026-06-04</t>
        </is>
      </c>
      <c r="B9484" s="3" t="inlineStr">
        <is>
          <t>한화투자증권</t>
        </is>
      </c>
      <c r="C9484" s="2" t="inlineStr">
        <is>
          <t>코스피</t>
        </is>
      </c>
      <c r="D9484" s="2" t="inlineStr">
        <is>
          <t>003530</t>
        </is>
      </c>
      <c r="E9484" s="3" t="inlineStr">
        <is>
          <t>일괄신고추가서류(파생결합사채-주가연계파생결합사채)</t>
        </is>
      </c>
      <c r="F9484" s="3" t="inlineStr">
        <is>
          <t>한화투자증권</t>
        </is>
      </c>
      <c r="G9484" s="2" t="inlineStr">
        <is>
          <t>20260604000229</t>
        </is>
      </c>
      <c r="H9484" s="8">
        <f>HYPERLINK("https://dart.fss.or.kr/dsaf001/main.do?rcpNo=20260604000229", "공시열람")</f>
        <v/>
      </c>
    </row>
    <row r="9485">
      <c r="A9485" s="2" t="inlineStr">
        <is>
          <t>2026-06-04</t>
        </is>
      </c>
      <c r="B9485" s="3" t="inlineStr">
        <is>
          <t>DB증권</t>
        </is>
      </c>
      <c r="C9485" s="2" t="inlineStr">
        <is>
          <t>코스피</t>
        </is>
      </c>
      <c r="D9485" s="2" t="inlineStr">
        <is>
          <t>016610</t>
        </is>
      </c>
      <c r="E9485" s="3" t="inlineStr">
        <is>
          <t>일괄신고추가서류(파생결합사채-주가연계파생결합사채)</t>
        </is>
      </c>
      <c r="F9485" s="3" t="inlineStr">
        <is>
          <t>DB증권</t>
        </is>
      </c>
      <c r="G9485" s="2" t="inlineStr">
        <is>
          <t>20260604000228</t>
        </is>
      </c>
      <c r="H9485" s="8">
        <f>HYPERLINK("https://dart.fss.or.kr/dsaf001/main.do?rcpNo=20260604000228", "공시열람")</f>
        <v/>
      </c>
    </row>
    <row r="9486">
      <c r="A9486" s="2" t="inlineStr">
        <is>
          <t>2026-06-04</t>
        </is>
      </c>
      <c r="B9486" s="3" t="inlineStr">
        <is>
          <t>대한화섬</t>
        </is>
      </c>
      <c r="C9486" s="2" t="inlineStr">
        <is>
          <t>코스피</t>
        </is>
      </c>
      <c r="D9486" s="2" t="inlineStr">
        <is>
          <t>003830</t>
        </is>
      </c>
      <c r="E9486" s="3" t="inlineStr">
        <is>
          <t>[기재정정]대규모기업집단현황공시[연1회공시및1/4분기용(개별회사)]</t>
        </is>
      </c>
      <c r="F9486" s="3" t="inlineStr">
        <is>
          <t>대한화섬</t>
        </is>
      </c>
      <c r="G9486" s="2" t="inlineStr">
        <is>
          <t>20260604000223</t>
        </is>
      </c>
      <c r="H9486" s="8">
        <f>HYPERLINK("https://dart.fss.or.kr/dsaf001/main.do?rcpNo=20260604000223", "공시열람")</f>
        <v/>
      </c>
    </row>
    <row r="9487">
      <c r="A9487" s="2" t="inlineStr">
        <is>
          <t>2026-06-04</t>
        </is>
      </c>
      <c r="B9487" s="3" t="inlineStr">
        <is>
          <t>태웅로직스</t>
        </is>
      </c>
      <c r="C9487" s="2" t="inlineStr">
        <is>
          <t>코스닥</t>
        </is>
      </c>
      <c r="D9487" s="2" t="inlineStr">
        <is>
          <t>124560</t>
        </is>
      </c>
      <c r="E9487" s="3" t="inlineStr">
        <is>
          <t>투자판단관련주요경영사항              ((주)이투마스 지분인수를 위한 양해각서(MOU)체결)</t>
        </is>
      </c>
      <c r="F9487" s="3" t="inlineStr">
        <is>
          <t>태웅로직스</t>
        </is>
      </c>
      <c r="G9487" s="2" t="inlineStr">
        <is>
          <t>20260604900347</t>
        </is>
      </c>
      <c r="H9487" s="8">
        <f>HYPERLINK("https://dart.fss.or.kr/dsaf001/main.do?rcpNo=20260604900347", "공시열람")</f>
        <v/>
      </c>
    </row>
    <row r="9488">
      <c r="A9488" s="2" t="inlineStr">
        <is>
          <t>2026-06-04</t>
        </is>
      </c>
      <c r="B9488" s="3" t="inlineStr">
        <is>
          <t>성우</t>
        </is>
      </c>
      <c r="C9488" s="2" t="inlineStr">
        <is>
          <t>코스닥</t>
        </is>
      </c>
      <c r="D9488" s="2" t="inlineStr">
        <is>
          <t>458650</t>
        </is>
      </c>
      <c r="E9488" s="3" t="inlineStr">
        <is>
          <t xml:space="preserve">주주명부폐쇄기간또는기준일설정              </t>
        </is>
      </c>
      <c r="F9488" s="3" t="inlineStr">
        <is>
          <t>성우</t>
        </is>
      </c>
      <c r="G9488" s="2" t="inlineStr">
        <is>
          <t>20260604900349</t>
        </is>
      </c>
      <c r="H9488" s="8">
        <f>HYPERLINK("https://dart.fss.or.kr/dsaf001/main.do?rcpNo=20260604900349", "공시열람")</f>
        <v/>
      </c>
    </row>
    <row r="9489">
      <c r="A9489" s="2" t="inlineStr">
        <is>
          <t>2026-06-04</t>
        </is>
      </c>
      <c r="B9489" s="3" t="inlineStr">
        <is>
          <t>HD현대마린엔진</t>
        </is>
      </c>
      <c r="C9489" s="2" t="inlineStr">
        <is>
          <t>코스피</t>
        </is>
      </c>
      <c r="D9489" s="2" t="inlineStr">
        <is>
          <t>071970</t>
        </is>
      </c>
      <c r="E9489" s="3" t="inlineStr">
        <is>
          <t>임원ㆍ주요주주특정증권등소유상황보고서</t>
        </is>
      </c>
      <c r="F9489" s="3" t="inlineStr">
        <is>
          <t>이용화</t>
        </is>
      </c>
      <c r="G9489" s="2" t="inlineStr">
        <is>
          <t>20260604000212</t>
        </is>
      </c>
      <c r="H9489" s="8">
        <f>HYPERLINK("https://dart.fss.or.kr/dsaf001/main.do?rcpNo=20260604000212", "공시열람")</f>
        <v/>
      </c>
    </row>
    <row r="9490">
      <c r="A9490" s="2" t="inlineStr">
        <is>
          <t>2026-06-04 (정정: 2026-06-22)</t>
        </is>
      </c>
      <c r="B9490" s="3" t="inlineStr">
        <is>
          <t>티에스넥스젠</t>
        </is>
      </c>
      <c r="C9490" s="2" t="inlineStr">
        <is>
          <t>코스닥</t>
        </is>
      </c>
      <c r="D9490" s="2" t="inlineStr">
        <is>
          <t>043220</t>
        </is>
      </c>
      <c r="E9490" s="3" t="inlineStr">
        <is>
          <t>전환청구권행사              (제12회차) (정정: 20260622)</t>
        </is>
      </c>
      <c r="F9490" s="3" t="inlineStr">
        <is>
          <t>티에스넥스젠</t>
        </is>
      </c>
      <c r="G9490" s="2" t="inlineStr">
        <is>
          <t>20260622900843</t>
        </is>
      </c>
      <c r="H9490" s="8">
        <f>HYPERLINK("https://dart.fss.or.kr/dsaf001/main.do?rcpNo=20260622900843", "공시열람")</f>
        <v/>
      </c>
    </row>
    <row r="9491">
      <c r="A9491" s="2" t="inlineStr">
        <is>
          <t>2026-06-04</t>
        </is>
      </c>
      <c r="B9491" s="3" t="inlineStr">
        <is>
          <t>소프트캠프</t>
        </is>
      </c>
      <c r="C9491" s="2" t="inlineStr">
        <is>
          <t>코스닥</t>
        </is>
      </c>
      <c r="D9491" s="2" t="inlineStr">
        <is>
          <t>258790</t>
        </is>
      </c>
      <c r="E9491" s="3" t="inlineStr">
        <is>
          <t>임원ㆍ주요주주특정증권등소유상황보고서</t>
        </is>
      </c>
      <c r="F9491" s="3" t="inlineStr">
        <is>
          <t>하정호</t>
        </is>
      </c>
      <c r="G9491" s="2" t="inlineStr">
        <is>
          <t>20260604000208</t>
        </is>
      </c>
      <c r="H9491" s="8">
        <f>HYPERLINK("https://dart.fss.or.kr/dsaf001/main.do?rcpNo=20260604000208", "공시열람")</f>
        <v/>
      </c>
    </row>
    <row r="9492">
      <c r="A9492" s="2" t="inlineStr">
        <is>
          <t>2026-06-04 (정정: 2026-06-08)</t>
        </is>
      </c>
      <c r="B9492" s="3" t="inlineStr">
        <is>
          <t>케이피엠테크</t>
        </is>
      </c>
      <c r="C9492" s="2" t="inlineStr">
        <is>
          <t>코스닥</t>
        </is>
      </c>
      <c r="D9492" s="2" t="inlineStr">
        <is>
          <t>042040</t>
        </is>
      </c>
      <c r="E9492" s="3" t="inlineStr">
        <is>
          <t>감자완료               (정정: 20260608)</t>
        </is>
      </c>
      <c r="F9492" s="3" t="inlineStr">
        <is>
          <t>케이피엠테크</t>
        </is>
      </c>
      <c r="G9492" s="2" t="inlineStr">
        <is>
          <t>20260608900835</t>
        </is>
      </c>
      <c r="H9492" s="8">
        <f>HYPERLINK("https://dart.fss.or.kr/dsaf001/main.do?rcpNo=20260608900835", "공시열람")</f>
        <v/>
      </c>
    </row>
    <row r="9493">
      <c r="A9493" s="2" t="inlineStr">
        <is>
          <t>2026-06-04</t>
        </is>
      </c>
      <c r="B9493" s="3" t="inlineStr">
        <is>
          <t>세나테크놀로지</t>
        </is>
      </c>
      <c r="C9493" s="2" t="inlineStr">
        <is>
          <t>코스닥</t>
        </is>
      </c>
      <c r="D9493" s="2" t="inlineStr">
        <is>
          <t>061090</t>
        </is>
      </c>
      <c r="E9493" s="3" t="inlineStr">
        <is>
          <t>신탁계약해지결과보고서</t>
        </is>
      </c>
      <c r="F9493" s="3" t="inlineStr">
        <is>
          <t>세나테크놀로지</t>
        </is>
      </c>
      <c r="G9493" s="2" t="inlineStr">
        <is>
          <t>20260604000202</t>
        </is>
      </c>
      <c r="H9493" s="8">
        <f>HYPERLINK("https://dart.fss.or.kr/dsaf001/main.do?rcpNo=20260604000202", "공시열람")</f>
        <v/>
      </c>
    </row>
    <row r="9494">
      <c r="A9494" s="2" t="inlineStr">
        <is>
          <t>2026-06-04</t>
        </is>
      </c>
      <c r="B9494" s="3" t="inlineStr">
        <is>
          <t>코닉오토메이션</t>
        </is>
      </c>
      <c r="C9494" s="2" t="inlineStr">
        <is>
          <t>코스닥</t>
        </is>
      </c>
      <c r="D9494" s="2" t="inlineStr">
        <is>
          <t>391710</t>
        </is>
      </c>
      <c r="E9494" s="3" t="inlineStr">
        <is>
          <t xml:space="preserve">주주명부폐쇄기간또는기준일설정              </t>
        </is>
      </c>
      <c r="F9494" s="3" t="inlineStr">
        <is>
          <t>코닉오토메이션</t>
        </is>
      </c>
      <c r="G9494" s="2" t="inlineStr">
        <is>
          <t>20260604900341</t>
        </is>
      </c>
      <c r="H9494" s="8">
        <f>HYPERLINK("https://dart.fss.or.kr/dsaf001/main.do?rcpNo=20260604900341", "공시열람")</f>
        <v/>
      </c>
    </row>
    <row r="9495">
      <c r="A9495" s="2" t="inlineStr">
        <is>
          <t>2026-06-04</t>
        </is>
      </c>
      <c r="B9495" s="3" t="inlineStr">
        <is>
          <t>HLB</t>
        </is>
      </c>
      <c r="C9495" s="2" t="inlineStr">
        <is>
          <t>코스닥</t>
        </is>
      </c>
      <c r="D9495" s="2" t="inlineStr">
        <is>
          <t>028300</t>
        </is>
      </c>
      <c r="E9495" s="3" t="inlineStr">
        <is>
          <t xml:space="preserve">기업설명회(IR)개최              </t>
        </is>
      </c>
      <c r="F9495" s="3" t="inlineStr">
        <is>
          <t>HLB</t>
        </is>
      </c>
      <c r="G9495" s="2" t="inlineStr">
        <is>
          <t>20260604900352</t>
        </is>
      </c>
      <c r="H9495" s="8">
        <f>HYPERLINK("https://dart.fss.or.kr/dsaf001/main.do?rcpNo=20260604900352", "공시열람")</f>
        <v/>
      </c>
    </row>
    <row r="9496">
      <c r="A9496" s="2" t="inlineStr">
        <is>
          <t>2026-06-04</t>
        </is>
      </c>
      <c r="B9496" s="3" t="inlineStr">
        <is>
          <t>KTis</t>
        </is>
      </c>
      <c r="C9496" s="2" t="inlineStr">
        <is>
          <t>코스피</t>
        </is>
      </c>
      <c r="D9496" s="2" t="inlineStr">
        <is>
          <t>058860</t>
        </is>
      </c>
      <c r="E9496" s="3" t="inlineStr">
        <is>
          <t>임원ㆍ주요주주특정증권등소유상황보고서</t>
        </is>
      </c>
      <c r="F9496" s="3" t="inlineStr">
        <is>
          <t>윤영균</t>
        </is>
      </c>
      <c r="G9496" s="2" t="inlineStr">
        <is>
          <t>20260604000199</t>
        </is>
      </c>
      <c r="H9496" s="8">
        <f>HYPERLINK("https://dart.fss.or.kr/dsaf001/main.do?rcpNo=20260604000199", "공시열람")</f>
        <v/>
      </c>
    </row>
    <row r="9497">
      <c r="A9497" s="2" t="inlineStr">
        <is>
          <t>2026-06-04 (정정: 2026-06-08)</t>
        </is>
      </c>
      <c r="B9497" s="3" t="inlineStr">
        <is>
          <t>GKL</t>
        </is>
      </c>
      <c r="C9497" s="2" t="inlineStr">
        <is>
          <t>코스피</t>
        </is>
      </c>
      <c r="D9497" s="2" t="inlineStr">
        <is>
          <t>114090</t>
        </is>
      </c>
      <c r="E9497" s="3" t="inlineStr">
        <is>
          <t>영업(잠정)실적(공정공시)               (정정: 20260608)</t>
        </is>
      </c>
      <c r="F9497" s="3" t="inlineStr">
        <is>
          <t>GKL</t>
        </is>
      </c>
      <c r="G9497" s="2" t="inlineStr">
        <is>
          <t>20260608000223</t>
        </is>
      </c>
      <c r="H9497" s="8">
        <f>HYPERLINK("https://dart.fss.or.kr/dsaf001/main.do?rcpNo=20260608000223", "공시열람")</f>
        <v/>
      </c>
    </row>
    <row r="9498">
      <c r="A9498" s="2" t="inlineStr">
        <is>
          <t>2026-06-04</t>
        </is>
      </c>
      <c r="B9498" s="3" t="inlineStr">
        <is>
          <t>케이씨씨</t>
        </is>
      </c>
      <c r="C9498" s="2" t="inlineStr">
        <is>
          <t>코스피</t>
        </is>
      </c>
      <c r="D9498" s="2" t="inlineStr">
        <is>
          <t>002380</t>
        </is>
      </c>
      <c r="E9498" s="3" t="inlineStr">
        <is>
          <t xml:space="preserve">정보보호현황(자율공시)              </t>
        </is>
      </c>
      <c r="F9498" s="3" t="inlineStr">
        <is>
          <t>케이씨씨</t>
        </is>
      </c>
      <c r="G9498" s="2" t="inlineStr">
        <is>
          <t>20260604800339</t>
        </is>
      </c>
      <c r="H9498" s="8">
        <f>HYPERLINK("https://dart.fss.or.kr/dsaf001/main.do?rcpNo=20260604800339", "공시열람")</f>
        <v/>
      </c>
    </row>
    <row r="9499">
      <c r="A9499" s="2" t="inlineStr">
        <is>
          <t>2026-06-04</t>
        </is>
      </c>
      <c r="B9499" s="3" t="inlineStr">
        <is>
          <t>한화투자증권</t>
        </is>
      </c>
      <c r="C9499" s="2" t="inlineStr">
        <is>
          <t>코스피</t>
        </is>
      </c>
      <c r="D9499" s="2" t="inlineStr">
        <is>
          <t>003530</t>
        </is>
      </c>
      <c r="E9499" s="3" t="inlineStr">
        <is>
          <t>투자설명서(일괄신고)</t>
        </is>
      </c>
      <c r="F9499" s="3" t="inlineStr">
        <is>
          <t>한화투자증권</t>
        </is>
      </c>
      <c r="G9499" s="2" t="inlineStr">
        <is>
          <t>20260604000198</t>
        </is>
      </c>
      <c r="H9499" s="8">
        <f>HYPERLINK("https://dart.fss.or.kr/dsaf001/main.do?rcpNo=20260604000198", "공시열람")</f>
        <v/>
      </c>
    </row>
    <row r="9500">
      <c r="A9500" s="2" t="inlineStr">
        <is>
          <t>2026-06-04</t>
        </is>
      </c>
      <c r="B9500" s="3" t="inlineStr">
        <is>
          <t>에스앤더블류</t>
        </is>
      </c>
      <c r="C9500" s="2" t="inlineStr">
        <is>
          <t>코스닥</t>
        </is>
      </c>
      <c r="D9500" s="2" t="inlineStr">
        <is>
          <t>103230</t>
        </is>
      </c>
      <c r="E9500" s="3" t="inlineStr">
        <is>
          <t xml:space="preserve">주주명부폐쇄기간또는기준일설정              </t>
        </is>
      </c>
      <c r="F9500" s="3" t="inlineStr">
        <is>
          <t>에스앤더블류</t>
        </is>
      </c>
      <c r="G9500" s="2" t="inlineStr">
        <is>
          <t>20260604900324</t>
        </is>
      </c>
      <c r="H9500" s="8">
        <f>HYPERLINK("https://dart.fss.or.kr/dsaf001/main.do?rcpNo=20260604900324", "공시열람")</f>
        <v/>
      </c>
    </row>
    <row r="9501">
      <c r="A9501" s="2" t="inlineStr">
        <is>
          <t>2026-06-04</t>
        </is>
      </c>
      <c r="B9501" s="3" t="inlineStr">
        <is>
          <t>KTis</t>
        </is>
      </c>
      <c r="C9501" s="2" t="inlineStr">
        <is>
          <t>코스피</t>
        </is>
      </c>
      <c r="D9501" s="2" t="inlineStr">
        <is>
          <t>058860</t>
        </is>
      </c>
      <c r="E9501" s="3" t="inlineStr">
        <is>
          <t>임원ㆍ주요주주특정증권등소유상황보고서</t>
        </is>
      </c>
      <c r="F9501" s="3" t="inlineStr">
        <is>
          <t>양율모</t>
        </is>
      </c>
      <c r="G9501" s="2" t="inlineStr">
        <is>
          <t>20260604000195</t>
        </is>
      </c>
      <c r="H9501" s="8">
        <f>HYPERLINK("https://dart.fss.or.kr/dsaf001/main.do?rcpNo=20260604000195", "공시열람")</f>
        <v/>
      </c>
    </row>
    <row r="9502">
      <c r="A9502" s="2" t="inlineStr">
        <is>
          <t>2026-06-04</t>
        </is>
      </c>
      <c r="B9502" s="3" t="inlineStr">
        <is>
          <t>한국유니온제약</t>
        </is>
      </c>
      <c r="C9502" s="2" t="inlineStr">
        <is>
          <t>코스닥</t>
        </is>
      </c>
      <c r="D9502" s="2" t="inlineStr">
        <is>
          <t>080720</t>
        </is>
      </c>
      <c r="E9502" s="3" t="inlineStr">
        <is>
          <t>임원ㆍ주요주주특정증권등소유상황보고서</t>
        </is>
      </c>
      <c r="F9502" s="3" t="inlineStr">
        <is>
          <t>부광약품</t>
        </is>
      </c>
      <c r="G9502" s="2" t="inlineStr">
        <is>
          <t>20260604000193</t>
        </is>
      </c>
      <c r="H9502" s="8">
        <f>HYPERLINK("https://dart.fss.or.kr/dsaf001/main.do?rcpNo=20260604000193", "공시열람")</f>
        <v/>
      </c>
    </row>
    <row r="9503">
      <c r="A9503" s="2" t="inlineStr">
        <is>
          <t>2026-06-04</t>
        </is>
      </c>
      <c r="B9503" s="3" t="inlineStr">
        <is>
          <t>HD현대마린엔진</t>
        </is>
      </c>
      <c r="C9503" s="2" t="inlineStr">
        <is>
          <t>코스피</t>
        </is>
      </c>
      <c r="D9503" s="2" t="inlineStr">
        <is>
          <t>071970</t>
        </is>
      </c>
      <c r="E9503" s="3" t="inlineStr">
        <is>
          <t>임원ㆍ주요주주특정증권등소유상황보고서</t>
        </is>
      </c>
      <c r="F9503" s="3" t="inlineStr">
        <is>
          <t>유정대</t>
        </is>
      </c>
      <c r="G9503" s="2" t="inlineStr">
        <is>
          <t>20260604000192</t>
        </is>
      </c>
      <c r="H9503" s="8">
        <f>HYPERLINK("https://dart.fss.or.kr/dsaf001/main.do?rcpNo=20260604000192", "공시열람")</f>
        <v/>
      </c>
    </row>
    <row r="9504">
      <c r="A9504" s="2" t="inlineStr">
        <is>
          <t>2026-06-04</t>
        </is>
      </c>
      <c r="B9504" s="3" t="inlineStr">
        <is>
          <t>오에스피</t>
        </is>
      </c>
      <c r="C9504" s="2" t="inlineStr">
        <is>
          <t>코스닥</t>
        </is>
      </c>
      <c r="D9504" s="2" t="inlineStr">
        <is>
          <t>368970</t>
        </is>
      </c>
      <c r="E9504" s="3" t="inlineStr">
        <is>
          <t xml:space="preserve">주주명부폐쇄기간또는기준일설정              </t>
        </is>
      </c>
      <c r="F9504" s="3" t="inlineStr">
        <is>
          <t>오에스피</t>
        </is>
      </c>
      <c r="G9504" s="2" t="inlineStr">
        <is>
          <t>20260604900309</t>
        </is>
      </c>
      <c r="H9504" s="8">
        <f>HYPERLINK("https://dart.fss.or.kr/dsaf001/main.do?rcpNo=20260604900309", "공시열람")</f>
        <v/>
      </c>
    </row>
    <row r="9505">
      <c r="A9505" s="2" t="inlineStr">
        <is>
          <t>2026-06-04</t>
        </is>
      </c>
      <c r="B9505" s="3" t="inlineStr">
        <is>
          <t>디오</t>
        </is>
      </c>
      <c r="C9505" s="2" t="inlineStr">
        <is>
          <t>코스닥</t>
        </is>
      </c>
      <c r="D9505" s="2" t="inlineStr">
        <is>
          <t>039840</t>
        </is>
      </c>
      <c r="E9505" s="3" t="inlineStr">
        <is>
          <t xml:space="preserve">기업설명회(IR)개최              </t>
        </is>
      </c>
      <c r="F9505" s="3" t="inlineStr">
        <is>
          <t>디오</t>
        </is>
      </c>
      <c r="G9505" s="2" t="inlineStr">
        <is>
          <t>20260604900334</t>
        </is>
      </c>
      <c r="H9505" s="8">
        <f>HYPERLINK("https://dart.fss.or.kr/dsaf001/main.do?rcpNo=20260604900334", "공시열람")</f>
        <v/>
      </c>
    </row>
    <row r="9506">
      <c r="A9506" s="2" t="inlineStr">
        <is>
          <t>2026-06-04</t>
        </is>
      </c>
      <c r="B9506" s="3" t="inlineStr">
        <is>
          <t>DB증권</t>
        </is>
      </c>
      <c r="C9506" s="2" t="inlineStr">
        <is>
          <t>코스피</t>
        </is>
      </c>
      <c r="D9506" s="2" t="inlineStr">
        <is>
          <t>016610</t>
        </is>
      </c>
      <c r="E9506" s="3" t="inlineStr">
        <is>
          <t>투자설명서(일괄신고)</t>
        </is>
      </c>
      <c r="F9506" s="3" t="inlineStr">
        <is>
          <t>DB증권</t>
        </is>
      </c>
      <c r="G9506" s="2" t="inlineStr">
        <is>
          <t>20260604000186</t>
        </is>
      </c>
      <c r="H9506" s="8">
        <f>HYPERLINK("https://dart.fss.or.kr/dsaf001/main.do?rcpNo=20260604000186", "공시열람")</f>
        <v/>
      </c>
    </row>
    <row r="9507">
      <c r="A9507" s="2" t="inlineStr">
        <is>
          <t>2026-06-04</t>
        </is>
      </c>
      <c r="B9507" s="3" t="inlineStr">
        <is>
          <t>네오티스</t>
        </is>
      </c>
      <c r="C9507" s="2" t="inlineStr">
        <is>
          <t>코스닥</t>
        </is>
      </c>
      <c r="D9507" s="2" t="inlineStr">
        <is>
          <t>085910</t>
        </is>
      </c>
      <c r="E9507" s="3" t="inlineStr">
        <is>
          <t xml:space="preserve">증권발행결과(자율공시)              </t>
        </is>
      </c>
      <c r="F9507" s="3" t="inlineStr">
        <is>
          <t>네오티스</t>
        </is>
      </c>
      <c r="G9507" s="2" t="inlineStr">
        <is>
          <t>20260604900328</t>
        </is>
      </c>
      <c r="H9507" s="8">
        <f>HYPERLINK("https://dart.fss.or.kr/dsaf001/main.do?rcpNo=20260604900328", "공시열람")</f>
        <v/>
      </c>
    </row>
    <row r="9508">
      <c r="A9508" s="2" t="inlineStr">
        <is>
          <t>2026-06-04</t>
        </is>
      </c>
      <c r="B9508" s="3" t="inlineStr">
        <is>
          <t>키움증권</t>
        </is>
      </c>
      <c r="C9508" s="2" t="inlineStr">
        <is>
          <t>코스피</t>
        </is>
      </c>
      <c r="D9508" s="2" t="inlineStr">
        <is>
          <t>039490</t>
        </is>
      </c>
      <c r="E9508" s="3" t="inlineStr">
        <is>
          <t>투자설명서(일괄신고)</t>
        </is>
      </c>
      <c r="F9508" s="3" t="inlineStr">
        <is>
          <t>키움증권</t>
        </is>
      </c>
      <c r="G9508" s="2" t="inlineStr">
        <is>
          <t>20260604000185</t>
        </is>
      </c>
      <c r="H9508" s="8">
        <f>HYPERLINK("https://dart.fss.or.kr/dsaf001/main.do?rcpNo=20260604000185", "공시열람")</f>
        <v/>
      </c>
    </row>
    <row r="9509">
      <c r="A9509" s="2" t="inlineStr">
        <is>
          <t>2026-06-04</t>
        </is>
      </c>
      <c r="B9509" s="3" t="inlineStr">
        <is>
          <t>한세실업</t>
        </is>
      </c>
      <c r="C9509" s="2" t="inlineStr">
        <is>
          <t>코스피</t>
        </is>
      </c>
      <c r="D9509" s="2" t="inlineStr">
        <is>
          <t>105630</t>
        </is>
      </c>
      <c r="E9509" s="3" t="inlineStr">
        <is>
          <t>임원ㆍ주요주주특정증권등소유상황보고서</t>
        </is>
      </c>
      <c r="F9509" s="3" t="inlineStr">
        <is>
          <t>김미경</t>
        </is>
      </c>
      <c r="G9509" s="2" t="inlineStr">
        <is>
          <t>20260604000182</t>
        </is>
      </c>
      <c r="H9509" s="8">
        <f>HYPERLINK("https://dart.fss.or.kr/dsaf001/main.do?rcpNo=20260604000182", "공시열람")</f>
        <v/>
      </c>
    </row>
    <row r="9510">
      <c r="A9510" s="2" t="inlineStr">
        <is>
          <t>2026-06-04</t>
        </is>
      </c>
      <c r="B9510" s="3" t="inlineStr">
        <is>
          <t>와이바이오로직스</t>
        </is>
      </c>
      <c r="C9510" s="2" t="inlineStr">
        <is>
          <t>코스닥</t>
        </is>
      </c>
      <c r="D9510" s="2" t="inlineStr">
        <is>
          <t>338840</t>
        </is>
      </c>
      <c r="E9510" s="3" t="inlineStr">
        <is>
          <t>임원ㆍ주요주주특정증권등소유상황보고서</t>
        </is>
      </c>
      <c r="F9510" s="3" t="inlineStr">
        <is>
          <t>박영우</t>
        </is>
      </c>
      <c r="G9510" s="2" t="inlineStr">
        <is>
          <t>20260604000173</t>
        </is>
      </c>
      <c r="H9510" s="8">
        <f>HYPERLINK("https://dart.fss.or.kr/dsaf001/main.do?rcpNo=20260604000173", "공시열람")</f>
        <v/>
      </c>
    </row>
    <row r="9511">
      <c r="A9511" s="2" t="inlineStr">
        <is>
          <t>2026-06-04</t>
        </is>
      </c>
      <c r="B9511" s="3" t="inlineStr">
        <is>
          <t>삼성증권</t>
        </is>
      </c>
      <c r="C9511" s="2" t="inlineStr">
        <is>
          <t>코스피</t>
        </is>
      </c>
      <c r="D9511" s="2" t="inlineStr">
        <is>
          <t>016360</t>
        </is>
      </c>
      <c r="E9511" s="3" t="inlineStr">
        <is>
          <t>증권발행실적보고서</t>
        </is>
      </c>
      <c r="F9511" s="3" t="inlineStr">
        <is>
          <t>삼성증권</t>
        </is>
      </c>
      <c r="G9511" s="2" t="inlineStr">
        <is>
          <t>20260604000171</t>
        </is>
      </c>
      <c r="H9511" s="8">
        <f>HYPERLINK("https://dart.fss.or.kr/dsaf001/main.do?rcpNo=20260604000171", "공시열람")</f>
        <v/>
      </c>
    </row>
    <row r="9512">
      <c r="A9512" s="2" t="inlineStr">
        <is>
          <t>2026-06-04 (정정: 2026-06-26)</t>
        </is>
      </c>
      <c r="B9512" s="3" t="inlineStr">
        <is>
          <t>나라셀라</t>
        </is>
      </c>
      <c r="C9512" s="2" t="inlineStr">
        <is>
          <t>코스닥</t>
        </is>
      </c>
      <c r="D9512" s="2" t="inlineStr">
        <is>
          <t>405920</t>
        </is>
      </c>
      <c r="E9512" s="3" t="inlineStr">
        <is>
          <t>임원ㆍ주요주주특정증권등소유상황보고서 (정정: 20260626)</t>
        </is>
      </c>
      <c r="F9512" s="3" t="inlineStr">
        <is>
          <t>송재영</t>
        </is>
      </c>
      <c r="G9512" s="2" t="inlineStr">
        <is>
          <t>20260626900182</t>
        </is>
      </c>
      <c r="H9512" s="8">
        <f>HYPERLINK("https://dart.fss.or.kr/dsaf001/main.do?rcpNo=20260626900182", "공시열람")</f>
        <v/>
      </c>
    </row>
    <row r="9513">
      <c r="A9513" s="2" t="inlineStr">
        <is>
          <t>2026-06-04</t>
        </is>
      </c>
      <c r="B9513" s="3" t="inlineStr">
        <is>
          <t>한화투자증권</t>
        </is>
      </c>
      <c r="C9513" s="2" t="inlineStr">
        <is>
          <t>코스피</t>
        </is>
      </c>
      <c r="D9513" s="2" t="inlineStr">
        <is>
          <t>003530</t>
        </is>
      </c>
      <c r="E9513" s="3" t="inlineStr">
        <is>
          <t>투자설명서(일괄신고)</t>
        </is>
      </c>
      <c r="F9513" s="3" t="inlineStr">
        <is>
          <t>한화투자증권</t>
        </is>
      </c>
      <c r="G9513" s="2" t="inlineStr">
        <is>
          <t>20260604000169</t>
        </is>
      </c>
      <c r="H9513" s="8">
        <f>HYPERLINK("https://dart.fss.or.kr/dsaf001/main.do?rcpNo=20260604000169", "공시열람")</f>
        <v/>
      </c>
    </row>
    <row r="9514">
      <c r="A9514" s="2" t="inlineStr">
        <is>
          <t>2026-06-04</t>
        </is>
      </c>
      <c r="B9514" s="3" t="inlineStr">
        <is>
          <t>휴비츠</t>
        </is>
      </c>
      <c r="C9514" s="2" t="inlineStr">
        <is>
          <t>코스닥</t>
        </is>
      </c>
      <c r="D9514" s="2" t="inlineStr">
        <is>
          <t>065510</t>
        </is>
      </c>
      <c r="E9514" s="3" t="inlineStr">
        <is>
          <t>신탁계약해지결과보고서</t>
        </is>
      </c>
      <c r="F9514" s="3" t="inlineStr">
        <is>
          <t>휴비츠</t>
        </is>
      </c>
      <c r="G9514" s="2" t="inlineStr">
        <is>
          <t>20260604000168</t>
        </is>
      </c>
      <c r="H9514" s="8">
        <f>HYPERLINK("https://dart.fss.or.kr/dsaf001/main.do?rcpNo=20260604000168", "공시열람")</f>
        <v/>
      </c>
    </row>
    <row r="9515">
      <c r="A9515" s="2" t="inlineStr">
        <is>
          <t>2026-06-04</t>
        </is>
      </c>
      <c r="B9515" s="3" t="inlineStr">
        <is>
          <t>팬오션</t>
        </is>
      </c>
      <c r="C9515" s="2" t="inlineStr">
        <is>
          <t>코스피</t>
        </is>
      </c>
      <c r="D9515" s="2" t="inlineStr">
        <is>
          <t>028670</t>
        </is>
      </c>
      <c r="E9515" s="3" t="inlineStr">
        <is>
          <t>임원ㆍ주요주주특정증권등소유상황보고서</t>
        </is>
      </c>
      <c r="F9515" s="3" t="inlineStr">
        <is>
          <t>안중호</t>
        </is>
      </c>
      <c r="G9515" s="2" t="inlineStr">
        <is>
          <t>20260604000164</t>
        </is>
      </c>
      <c r="H9515" s="8">
        <f>HYPERLINK("https://dart.fss.or.kr/dsaf001/main.do?rcpNo=20260604000164", "공시열람")</f>
        <v/>
      </c>
    </row>
    <row r="9516">
      <c r="A9516" s="2" t="inlineStr">
        <is>
          <t>2026-06-04</t>
        </is>
      </c>
      <c r="B9516" s="3" t="inlineStr">
        <is>
          <t>교보증권</t>
        </is>
      </c>
      <c r="C9516" s="2" t="inlineStr">
        <is>
          <t>코스피</t>
        </is>
      </c>
      <c r="D9516" s="2" t="inlineStr">
        <is>
          <t>030610</t>
        </is>
      </c>
      <c r="E9516" s="3" t="inlineStr">
        <is>
          <t>투자설명서(일괄신고)</t>
        </is>
      </c>
      <c r="F9516" s="3" t="inlineStr">
        <is>
          <t>교보증권</t>
        </is>
      </c>
      <c r="G9516" s="2" t="inlineStr">
        <is>
          <t>20260604000160</t>
        </is>
      </c>
      <c r="H9516" s="8">
        <f>HYPERLINK("https://dart.fss.or.kr/dsaf001/main.do?rcpNo=20260604000160", "공시열람")</f>
        <v/>
      </c>
    </row>
    <row r="9517">
      <c r="A9517" s="2" t="inlineStr">
        <is>
          <t>2026-06-04</t>
        </is>
      </c>
      <c r="B9517" s="3" t="inlineStr">
        <is>
          <t>삼익제약</t>
        </is>
      </c>
      <c r="C9517" s="2" t="inlineStr">
        <is>
          <t>코스닥</t>
        </is>
      </c>
      <c r="D9517" s="2" t="inlineStr">
        <is>
          <t>014950</t>
        </is>
      </c>
      <c r="E9517" s="3" t="inlineStr">
        <is>
          <t>임원ㆍ주요주주특정증권등소유상황보고서</t>
        </is>
      </c>
      <c r="F9517" s="3" t="inlineStr">
        <is>
          <t>권영이</t>
        </is>
      </c>
      <c r="G9517" s="2" t="inlineStr">
        <is>
          <t>20260604000155</t>
        </is>
      </c>
      <c r="H9517" s="8">
        <f>HYPERLINK("https://dart.fss.or.kr/dsaf001/main.do?rcpNo=20260604000155", "공시열람")</f>
        <v/>
      </c>
    </row>
    <row r="9518">
      <c r="A9518" s="2" t="inlineStr">
        <is>
          <t>2026-06-04</t>
        </is>
      </c>
      <c r="B9518" s="3" t="inlineStr">
        <is>
          <t>포커스에이아이</t>
        </is>
      </c>
      <c r="C9518" s="2" t="inlineStr">
        <is>
          <t>코스닥</t>
        </is>
      </c>
      <c r="D9518" s="2" t="inlineStr">
        <is>
          <t>331380</t>
        </is>
      </c>
      <c r="E9518" s="3" t="inlineStr">
        <is>
          <t>증권발행결과(자율공시)              (제3자배정 유상증자)</t>
        </is>
      </c>
      <c r="F9518" s="3" t="inlineStr">
        <is>
          <t>포커스에이아이</t>
        </is>
      </c>
      <c r="G9518" s="2" t="inlineStr">
        <is>
          <t>20260604900277</t>
        </is>
      </c>
      <c r="H9518" s="8">
        <f>HYPERLINK("https://dart.fss.or.kr/dsaf001/main.do?rcpNo=20260604900277", "공시열람")</f>
        <v/>
      </c>
    </row>
    <row r="9519">
      <c r="A9519" s="2" t="inlineStr">
        <is>
          <t>2026-06-04</t>
        </is>
      </c>
      <c r="B9519" s="3" t="inlineStr">
        <is>
          <t>파로스아이바이오</t>
        </is>
      </c>
      <c r="C9519" s="2" t="inlineStr">
        <is>
          <t>코스닥</t>
        </is>
      </c>
      <c r="D9519" s="2" t="inlineStr">
        <is>
          <t>388870</t>
        </is>
      </c>
      <c r="E9519" s="3" t="inlineStr">
        <is>
          <t>임원ㆍ주요주주특정증권등소유상황보고서</t>
        </is>
      </c>
      <c r="F9519" s="3" t="inlineStr">
        <is>
          <t>윤정혁</t>
        </is>
      </c>
      <c r="G9519" s="2" t="inlineStr">
        <is>
          <t>20260604000150</t>
        </is>
      </c>
      <c r="H9519" s="8">
        <f>HYPERLINK("https://dart.fss.or.kr/dsaf001/main.do?rcpNo=20260604000150", "공시열람")</f>
        <v/>
      </c>
    </row>
    <row r="9520">
      <c r="A9520" s="2" t="inlineStr">
        <is>
          <t>2026-06-04</t>
        </is>
      </c>
      <c r="B9520" s="3" t="inlineStr">
        <is>
          <t>공구우먼</t>
        </is>
      </c>
      <c r="C9520" s="2" t="inlineStr">
        <is>
          <t>코스닥</t>
        </is>
      </c>
      <c r="D9520" s="2" t="inlineStr">
        <is>
          <t>366030</t>
        </is>
      </c>
      <c r="E9520" s="3" t="inlineStr">
        <is>
          <t>임원ㆍ주요주주특정증권등소유상황보고서</t>
        </is>
      </c>
      <c r="F9520" s="3" t="inlineStr">
        <is>
          <t>씨씨지모뉴먼트홀딩스</t>
        </is>
      </c>
      <c r="G9520" s="2" t="inlineStr">
        <is>
          <t>20260604000149</t>
        </is>
      </c>
      <c r="H9520" s="8">
        <f>HYPERLINK("https://dart.fss.or.kr/dsaf001/main.do?rcpNo=20260604000149", "공시열람")</f>
        <v/>
      </c>
    </row>
    <row r="9521">
      <c r="A9521" s="2" t="inlineStr">
        <is>
          <t>2026-06-04</t>
        </is>
      </c>
      <c r="B9521" s="3" t="inlineStr">
        <is>
          <t>삼성증권</t>
        </is>
      </c>
      <c r="C9521" s="2" t="inlineStr">
        <is>
          <t>코스피</t>
        </is>
      </c>
      <c r="D9521" s="2" t="inlineStr">
        <is>
          <t>016360</t>
        </is>
      </c>
      <c r="E9521" s="3" t="inlineStr">
        <is>
          <t>투자설명서(일괄신고)</t>
        </is>
      </c>
      <c r="F9521" s="3" t="inlineStr">
        <is>
          <t>삼성증권</t>
        </is>
      </c>
      <c r="G9521" s="2" t="inlineStr">
        <is>
          <t>20260604000131</t>
        </is>
      </c>
      <c r="H9521" s="8">
        <f>HYPERLINK("https://dart.fss.or.kr/dsaf001/main.do?rcpNo=20260604000131", "공시열람")</f>
        <v/>
      </c>
    </row>
    <row r="9522">
      <c r="A9522" s="2" t="inlineStr">
        <is>
          <t>2026-06-04</t>
        </is>
      </c>
      <c r="B9522" s="3" t="inlineStr">
        <is>
          <t>한화에어로스페이스</t>
        </is>
      </c>
      <c r="C9522" s="2" t="inlineStr">
        <is>
          <t>코스피</t>
        </is>
      </c>
      <c r="D9522" s="2" t="inlineStr">
        <is>
          <t>012450</t>
        </is>
      </c>
      <c r="E9522" s="3" t="inlineStr">
        <is>
          <t xml:space="preserve">기타경영사항(자율공시)              </t>
        </is>
      </c>
      <c r="F9522" s="3" t="inlineStr">
        <is>
          <t>한화에어로스페이스</t>
        </is>
      </c>
      <c r="G9522" s="2" t="inlineStr">
        <is>
          <t>20260604800266</t>
        </is>
      </c>
      <c r="H9522" s="8">
        <f>HYPERLINK("https://dart.fss.or.kr/dsaf001/main.do?rcpNo=20260604800266", "공시열람")</f>
        <v/>
      </c>
    </row>
    <row r="9523">
      <c r="A9523" s="2" t="inlineStr">
        <is>
          <t>2026-06-04</t>
        </is>
      </c>
      <c r="B9523" s="3" t="inlineStr">
        <is>
          <t>케이아이엔엑스</t>
        </is>
      </c>
      <c r="C9523" s="2" t="inlineStr">
        <is>
          <t>코스닥</t>
        </is>
      </c>
      <c r="D9523" s="2" t="inlineStr">
        <is>
          <t>093320</t>
        </is>
      </c>
      <c r="E9523" s="3" t="inlineStr">
        <is>
          <t>임원ㆍ주요주주특정증권등소유상황보고서</t>
        </is>
      </c>
      <c r="F9523" s="3" t="inlineStr">
        <is>
          <t>TheMiriStrategicEmergingMarketsFundLP</t>
        </is>
      </c>
      <c r="G9523" s="2" t="inlineStr">
        <is>
          <t>20260604000128</t>
        </is>
      </c>
      <c r="H9523" s="8">
        <f>HYPERLINK("https://dart.fss.or.kr/dsaf001/main.do?rcpNo=20260604000128", "공시열람")</f>
        <v/>
      </c>
    </row>
    <row r="9524">
      <c r="A9524" s="2" t="inlineStr">
        <is>
          <t>2026-06-04</t>
        </is>
      </c>
      <c r="B9524" s="3" t="inlineStr">
        <is>
          <t>뉴보텍</t>
        </is>
      </c>
      <c r="C9524" s="2" t="inlineStr">
        <is>
          <t>코스닥</t>
        </is>
      </c>
      <c r="D9524" s="2" t="inlineStr">
        <is>
          <t>060260</t>
        </is>
      </c>
      <c r="E9524" s="3" t="inlineStr">
        <is>
          <t>임원ㆍ주요주주특정증권등소유상황보고서</t>
        </is>
      </c>
      <c r="F9524" s="3" t="inlineStr">
        <is>
          <t>황문기</t>
        </is>
      </c>
      <c r="G9524" s="2" t="inlineStr">
        <is>
          <t>20260604000127</t>
        </is>
      </c>
      <c r="H9524" s="8">
        <f>HYPERLINK("https://dart.fss.or.kr/dsaf001/main.do?rcpNo=20260604000127", "공시열람")</f>
        <v/>
      </c>
    </row>
    <row r="9525">
      <c r="A9525" s="2" t="inlineStr">
        <is>
          <t>2026-06-04</t>
        </is>
      </c>
      <c r="B9525" s="3" t="inlineStr">
        <is>
          <t>뉴보텍</t>
        </is>
      </c>
      <c r="C9525" s="2" t="inlineStr">
        <is>
          <t>코스닥</t>
        </is>
      </c>
      <c r="D9525" s="2" t="inlineStr">
        <is>
          <t>060260</t>
        </is>
      </c>
      <c r="E9525" s="3" t="inlineStr">
        <is>
          <t>임원ㆍ주요주주특정증권등소유상황보고서</t>
        </is>
      </c>
      <c r="F9525" s="3" t="inlineStr">
        <is>
          <t>에코</t>
        </is>
      </c>
      <c r="G9525" s="2" t="inlineStr">
        <is>
          <t>20260604000122</t>
        </is>
      </c>
      <c r="H9525" s="8">
        <f>HYPERLINK("https://dart.fss.or.kr/dsaf001/main.do?rcpNo=20260604000122", "공시열람")</f>
        <v/>
      </c>
    </row>
    <row r="9526">
      <c r="A9526" s="2" t="inlineStr">
        <is>
          <t>2026-06-04 (정정: 2026-06-04)</t>
        </is>
      </c>
      <c r="B9526" s="3" t="inlineStr">
        <is>
          <t>피엠티</t>
        </is>
      </c>
      <c r="C9526" s="2" t="inlineStr">
        <is>
          <t>코스닥</t>
        </is>
      </c>
      <c r="D9526" s="2" t="inlineStr">
        <is>
          <t>147760</t>
        </is>
      </c>
      <c r="E9526" s="3" t="inlineStr">
        <is>
          <t>임원ㆍ주요주주특정증권등소유상황보고서 (정정: 20260604)</t>
        </is>
      </c>
      <c r="F9526" s="3" t="inlineStr">
        <is>
          <t>오태엽</t>
        </is>
      </c>
      <c r="G9526" s="2" t="inlineStr">
        <is>
          <t>20260604000057</t>
        </is>
      </c>
      <c r="H9526" s="8">
        <f>HYPERLINK("https://dart.fss.or.kr/dsaf001/main.do?rcpNo=20260604000057", "공시열람")</f>
        <v/>
      </c>
    </row>
    <row r="9527">
      <c r="A9527" s="2" t="inlineStr">
        <is>
          <t>2026-06-04</t>
        </is>
      </c>
      <c r="B9527" s="3" t="inlineStr">
        <is>
          <t>대원화성</t>
        </is>
      </c>
      <c r="C9527" s="2" t="inlineStr">
        <is>
          <t>코스피</t>
        </is>
      </c>
      <c r="D9527" s="2" t="inlineStr">
        <is>
          <t>024890</t>
        </is>
      </c>
      <c r="E9527" s="3" t="inlineStr">
        <is>
          <t xml:space="preserve">주주명부폐쇄기간또는기준일설정              </t>
        </is>
      </c>
      <c r="F9527" s="3" t="inlineStr">
        <is>
          <t>대원화성</t>
        </is>
      </c>
      <c r="G9527" s="2" t="inlineStr">
        <is>
          <t>20260604800260</t>
        </is>
      </c>
      <c r="H9527" s="8">
        <f>HYPERLINK("https://dart.fss.or.kr/dsaf001/main.do?rcpNo=20260604800260", "공시열람")</f>
        <v/>
      </c>
    </row>
    <row r="9528">
      <c r="A9528" s="2" t="inlineStr">
        <is>
          <t>2026-06-04</t>
        </is>
      </c>
      <c r="B9528" s="3" t="inlineStr">
        <is>
          <t>닷밀</t>
        </is>
      </c>
      <c r="C9528" s="2" t="inlineStr">
        <is>
          <t>코스닥</t>
        </is>
      </c>
      <c r="D9528" s="2" t="inlineStr">
        <is>
          <t>464580</t>
        </is>
      </c>
      <c r="E9528" s="3" t="inlineStr">
        <is>
          <t xml:space="preserve">기업설명회(IR)개최              </t>
        </is>
      </c>
      <c r="F9528" s="3" t="inlineStr">
        <is>
          <t>닷밀</t>
        </is>
      </c>
      <c r="G9528" s="2" t="inlineStr">
        <is>
          <t>20260604900241</t>
        </is>
      </c>
      <c r="H9528" s="8">
        <f>HYPERLINK("https://dart.fss.or.kr/dsaf001/main.do?rcpNo=20260604900241", "공시열람")</f>
        <v/>
      </c>
    </row>
    <row r="9529">
      <c r="A9529" s="2" t="inlineStr">
        <is>
          <t>2026-06-04 (정정: 2026-06-10)</t>
        </is>
      </c>
      <c r="B9529" s="3" t="inlineStr">
        <is>
          <t>풍원정밀</t>
        </is>
      </c>
      <c r="C9529" s="2" t="inlineStr">
        <is>
          <t>코스닥</t>
        </is>
      </c>
      <c r="D9529" s="2" t="inlineStr">
        <is>
          <t>371950</t>
        </is>
      </c>
      <c r="E9529" s="3" t="inlineStr">
        <is>
          <t>자산재평가실시결정(자율공시)               (정정: 20260610)</t>
        </is>
      </c>
      <c r="F9529" s="3" t="inlineStr">
        <is>
          <t>풍원정밀</t>
        </is>
      </c>
      <c r="G9529" s="2" t="inlineStr">
        <is>
          <t>20260610900193</t>
        </is>
      </c>
      <c r="H9529" s="8">
        <f>HYPERLINK("https://dart.fss.or.kr/dsaf001/main.do?rcpNo=20260610900193", "공시열람")</f>
        <v/>
      </c>
    </row>
    <row r="9530">
      <c r="A9530" s="2" t="inlineStr">
        <is>
          <t>2026-06-04</t>
        </is>
      </c>
      <c r="B9530" s="3" t="inlineStr">
        <is>
          <t>키움증권</t>
        </is>
      </c>
      <c r="C9530" s="2" t="inlineStr">
        <is>
          <t>코스피</t>
        </is>
      </c>
      <c r="D9530" s="2" t="inlineStr">
        <is>
          <t>039490</t>
        </is>
      </c>
      <c r="E9530" s="3" t="inlineStr">
        <is>
          <t>일괄신고추가서류(파생결합사채-주가연계파생결합사채)</t>
        </is>
      </c>
      <c r="F9530" s="3" t="inlineStr">
        <is>
          <t>키움증권</t>
        </is>
      </c>
      <c r="G9530" s="2" t="inlineStr">
        <is>
          <t>20260604000113</t>
        </is>
      </c>
      <c r="H9530" s="8">
        <f>HYPERLINK("https://dart.fss.or.kr/dsaf001/main.do?rcpNo=20260604000113", "공시열람")</f>
        <v/>
      </c>
    </row>
    <row r="9531">
      <c r="A9531" s="2" t="inlineStr">
        <is>
          <t>2026-06-04</t>
        </is>
      </c>
      <c r="B9531" s="3" t="inlineStr">
        <is>
          <t>한화투자증권</t>
        </is>
      </c>
      <c r="C9531" s="2" t="inlineStr">
        <is>
          <t>코스피</t>
        </is>
      </c>
      <c r="D9531" s="2" t="inlineStr">
        <is>
          <t>003530</t>
        </is>
      </c>
      <c r="E9531" s="3" t="inlineStr">
        <is>
          <t>일괄신고추가서류(파생결합사채-주가연계파생결합사채)</t>
        </is>
      </c>
      <c r="F9531" s="3" t="inlineStr">
        <is>
          <t>한화투자증권</t>
        </is>
      </c>
      <c r="G9531" s="2" t="inlineStr">
        <is>
          <t>20260604000111</t>
        </is>
      </c>
      <c r="H9531" s="8">
        <f>HYPERLINK("https://dart.fss.or.kr/dsaf001/main.do?rcpNo=20260604000111", "공시열람")</f>
        <v/>
      </c>
    </row>
    <row r="9532">
      <c r="A9532" s="2" t="inlineStr">
        <is>
          <t>2026-06-04</t>
        </is>
      </c>
      <c r="B9532" s="3" t="inlineStr">
        <is>
          <t>엔피케이</t>
        </is>
      </c>
      <c r="C9532" s="2" t="inlineStr">
        <is>
          <t>코스닥</t>
        </is>
      </c>
      <c r="D9532" s="2" t="inlineStr">
        <is>
          <t>048830</t>
        </is>
      </c>
      <c r="E9532" s="3" t="inlineStr">
        <is>
          <t>임원ㆍ주요주주특정증권등소유상황보고서</t>
        </is>
      </c>
      <c r="F9532" s="3" t="inlineStr">
        <is>
          <t>최상건</t>
        </is>
      </c>
      <c r="G9532" s="2" t="inlineStr">
        <is>
          <t>20260604000109</t>
        </is>
      </c>
      <c r="H9532" s="8">
        <f>HYPERLINK("https://dart.fss.or.kr/dsaf001/main.do?rcpNo=20260604000109", "공시열람")</f>
        <v/>
      </c>
    </row>
    <row r="9533">
      <c r="A9533" s="2" t="inlineStr">
        <is>
          <t>2026-06-04</t>
        </is>
      </c>
      <c r="B9533" s="3" t="inlineStr">
        <is>
          <t>iM금융지주</t>
        </is>
      </c>
      <c r="C9533" s="2" t="inlineStr">
        <is>
          <t>코스피</t>
        </is>
      </c>
      <c r="D9533" s="2" t="inlineStr">
        <is>
          <t>139130</t>
        </is>
      </c>
      <c r="E9533" s="3" t="inlineStr">
        <is>
          <t>임원ㆍ주요주주특정증권등소유상황보고서</t>
        </is>
      </c>
      <c r="F9533" s="3" t="inlineStr">
        <is>
          <t>성현탁</t>
        </is>
      </c>
      <c r="G9533" s="2" t="inlineStr">
        <is>
          <t>20260604000106</t>
        </is>
      </c>
      <c r="H9533" s="8">
        <f>HYPERLINK("https://dart.fss.or.kr/dsaf001/main.do?rcpNo=20260604000106", "공시열람")</f>
        <v/>
      </c>
    </row>
    <row r="9534">
      <c r="A9534" s="2" t="inlineStr">
        <is>
          <t>2026-06-04</t>
        </is>
      </c>
      <c r="B9534" s="3" t="inlineStr">
        <is>
          <t>현대건설</t>
        </is>
      </c>
      <c r="C9534" s="2" t="inlineStr">
        <is>
          <t>코스피</t>
        </is>
      </c>
      <c r="D9534" s="2" t="inlineStr">
        <is>
          <t>000720</t>
        </is>
      </c>
      <c r="E9534" s="3" t="inlineStr">
        <is>
          <t>임원ㆍ주요주주특정증권등소유상황보고서</t>
        </is>
      </c>
      <c r="F9534" s="3" t="inlineStr">
        <is>
          <t>이형석</t>
        </is>
      </c>
      <c r="G9534" s="2" t="inlineStr">
        <is>
          <t>20260604000101</t>
        </is>
      </c>
      <c r="H9534" s="8">
        <f>HYPERLINK("https://dart.fss.or.kr/dsaf001/main.do?rcpNo=20260604000101", "공시열람")</f>
        <v/>
      </c>
    </row>
    <row r="9535">
      <c r="A9535" s="2" t="inlineStr">
        <is>
          <t>2026-06-04</t>
        </is>
      </c>
      <c r="B9535" s="3" t="inlineStr">
        <is>
          <t>오에스피</t>
        </is>
      </c>
      <c r="C9535" s="2" t="inlineStr">
        <is>
          <t>코스닥</t>
        </is>
      </c>
      <c r="D9535" s="2" t="inlineStr">
        <is>
          <t>368970</t>
        </is>
      </c>
      <c r="E9535" s="3" t="inlineStr">
        <is>
          <t>주권매매거래정지              (무상증자)</t>
        </is>
      </c>
      <c r="F9535" s="3" t="inlineStr">
        <is>
          <t>코스닥시장본부</t>
        </is>
      </c>
      <c r="G9535" s="2" t="inlineStr">
        <is>
          <t>20260604900233</t>
        </is>
      </c>
      <c r="H9535" s="8">
        <f>HYPERLINK("https://dart.fss.or.kr/dsaf001/main.do?rcpNo=20260604900233", "공시열람")</f>
        <v/>
      </c>
    </row>
    <row r="9536">
      <c r="A9536" s="2" t="inlineStr">
        <is>
          <t>2026-06-04</t>
        </is>
      </c>
      <c r="B9536" s="3" t="inlineStr">
        <is>
          <t>한화투자증권</t>
        </is>
      </c>
      <c r="C9536" s="2" t="inlineStr">
        <is>
          <t>코스피</t>
        </is>
      </c>
      <c r="D9536" s="2" t="inlineStr">
        <is>
          <t>003530</t>
        </is>
      </c>
      <c r="E9536" s="3" t="inlineStr">
        <is>
          <t>투자설명서(일괄신고)</t>
        </is>
      </c>
      <c r="F9536" s="3" t="inlineStr">
        <is>
          <t>한화투자증권</t>
        </is>
      </c>
      <c r="G9536" s="2" t="inlineStr">
        <is>
          <t>20260604000100</t>
        </is>
      </c>
      <c r="H9536" s="8">
        <f>HYPERLINK("https://dart.fss.or.kr/dsaf001/main.do?rcpNo=20260604000100", "공시열람")</f>
        <v/>
      </c>
    </row>
    <row r="9537">
      <c r="A9537" s="2" t="inlineStr">
        <is>
          <t>2026-06-04</t>
        </is>
      </c>
      <c r="B9537" s="3" t="inlineStr">
        <is>
          <t>교보증권</t>
        </is>
      </c>
      <c r="C9537" s="2" t="inlineStr">
        <is>
          <t>코스피</t>
        </is>
      </c>
      <c r="D9537" s="2" t="inlineStr">
        <is>
          <t>030610</t>
        </is>
      </c>
      <c r="E9537" s="3" t="inlineStr">
        <is>
          <t>일괄신고추가서류(파생결합사채-주가연계파생결합사채)</t>
        </is>
      </c>
      <c r="F9537" s="3" t="inlineStr">
        <is>
          <t>교보증권</t>
        </is>
      </c>
      <c r="G9537" s="2" t="inlineStr">
        <is>
          <t>20260604000097</t>
        </is>
      </c>
      <c r="H9537" s="8">
        <f>HYPERLINK("https://dart.fss.or.kr/dsaf001/main.do?rcpNo=20260604000097", "공시열람")</f>
        <v/>
      </c>
    </row>
    <row r="9538">
      <c r="A9538" s="2" t="inlineStr">
        <is>
          <t>2026-06-04</t>
        </is>
      </c>
      <c r="B9538" s="3" t="inlineStr">
        <is>
          <t>대성미생물</t>
        </is>
      </c>
      <c r="C9538" s="2" t="inlineStr">
        <is>
          <t>코스닥</t>
        </is>
      </c>
      <c r="D9538" s="2" t="inlineStr">
        <is>
          <t>036480</t>
        </is>
      </c>
      <c r="E9538" s="3" t="inlineStr">
        <is>
          <t>임원ㆍ주요주주특정증권등소유상황보고서</t>
        </is>
      </c>
      <c r="F9538" s="3" t="inlineStr">
        <is>
          <t>인실리코</t>
        </is>
      </c>
      <c r="G9538" s="2" t="inlineStr">
        <is>
          <t>20260604000093</t>
        </is>
      </c>
      <c r="H9538" s="8">
        <f>HYPERLINK("https://dart.fss.or.kr/dsaf001/main.do?rcpNo=20260604000093", "공시열람")</f>
        <v/>
      </c>
    </row>
    <row r="9539">
      <c r="A9539" s="2" t="inlineStr">
        <is>
          <t>2026-06-04</t>
        </is>
      </c>
      <c r="B9539" s="3" t="inlineStr">
        <is>
          <t>키움증권</t>
        </is>
      </c>
      <c r="C9539" s="2" t="inlineStr">
        <is>
          <t>코스피</t>
        </is>
      </c>
      <c r="D9539" s="2" t="inlineStr">
        <is>
          <t>039490</t>
        </is>
      </c>
      <c r="E9539" s="3" t="inlineStr">
        <is>
          <t>일괄신고추가서류(파생결합사채-주가연계파생결합사채)</t>
        </is>
      </c>
      <c r="F9539" s="3" t="inlineStr">
        <is>
          <t>키움증권</t>
        </is>
      </c>
      <c r="G9539" s="2" t="inlineStr">
        <is>
          <t>20260604000090</t>
        </is>
      </c>
      <c r="H9539" s="8">
        <f>HYPERLINK("https://dart.fss.or.kr/dsaf001/main.do?rcpNo=20260604000090", "공시열람")</f>
        <v/>
      </c>
    </row>
    <row r="9540">
      <c r="A9540" s="2" t="inlineStr">
        <is>
          <t>2026-06-04</t>
        </is>
      </c>
      <c r="B9540" s="3" t="inlineStr">
        <is>
          <t>한화투자증권</t>
        </is>
      </c>
      <c r="C9540" s="2" t="inlineStr">
        <is>
          <t>코스피</t>
        </is>
      </c>
      <c r="D9540" s="2" t="inlineStr">
        <is>
          <t>003530</t>
        </is>
      </c>
      <c r="E9540" s="3" t="inlineStr">
        <is>
          <t>일괄신고추가서류(파생결합증권-주가연계증권)</t>
        </is>
      </c>
      <c r="F9540" s="3" t="inlineStr">
        <is>
          <t>한화투자증권</t>
        </is>
      </c>
      <c r="G9540" s="2" t="inlineStr">
        <is>
          <t>20260604000088</t>
        </is>
      </c>
      <c r="H9540" s="8">
        <f>HYPERLINK("https://dart.fss.or.kr/dsaf001/main.do?rcpNo=20260604000088", "공시열람")</f>
        <v/>
      </c>
    </row>
    <row r="9541">
      <c r="A9541" s="2" t="inlineStr">
        <is>
          <t>2026-06-04</t>
        </is>
      </c>
      <c r="B9541" s="3" t="inlineStr">
        <is>
          <t>한화투자증권</t>
        </is>
      </c>
      <c r="C9541" s="2" t="inlineStr">
        <is>
          <t>코스피</t>
        </is>
      </c>
      <c r="D9541" s="2" t="inlineStr">
        <is>
          <t>003530</t>
        </is>
      </c>
      <c r="E9541" s="3" t="inlineStr">
        <is>
          <t>투자설명서(일괄신고)</t>
        </is>
      </c>
      <c r="F9541" s="3" t="inlineStr">
        <is>
          <t>한화투자증권</t>
        </is>
      </c>
      <c r="G9541" s="2" t="inlineStr">
        <is>
          <t>20260604000087</t>
        </is>
      </c>
      <c r="H9541" s="8">
        <f>HYPERLINK("https://dart.fss.or.kr/dsaf001/main.do?rcpNo=20260604000087", "공시열람")</f>
        <v/>
      </c>
    </row>
    <row r="9542">
      <c r="A9542" s="2" t="inlineStr">
        <is>
          <t>2026-06-04</t>
        </is>
      </c>
      <c r="B9542" s="3" t="inlineStr">
        <is>
          <t>삼성전자</t>
        </is>
      </c>
      <c r="C9542" s="2" t="inlineStr">
        <is>
          <t>코스피</t>
        </is>
      </c>
      <c r="D9542" s="2" t="inlineStr">
        <is>
          <t>005930</t>
        </is>
      </c>
      <c r="E9542" s="3" t="inlineStr">
        <is>
          <t>임원ㆍ주요주주특정증권등소유상황보고서</t>
        </is>
      </c>
      <c r="F9542" s="3" t="inlineStr">
        <is>
          <t>이헌</t>
        </is>
      </c>
      <c r="G9542" s="2" t="inlineStr">
        <is>
          <t>20260604000077</t>
        </is>
      </c>
      <c r="H9542" s="8">
        <f>HYPERLINK("https://dart.fss.or.kr/dsaf001/main.do?rcpNo=20260604000077", "공시열람")</f>
        <v/>
      </c>
    </row>
    <row r="9543">
      <c r="A9543" s="2" t="inlineStr">
        <is>
          <t>2026-06-04</t>
        </is>
      </c>
      <c r="B9543" s="3" t="inlineStr">
        <is>
          <t>DB증권</t>
        </is>
      </c>
      <c r="C9543" s="2" t="inlineStr">
        <is>
          <t>코스피</t>
        </is>
      </c>
      <c r="D9543" s="2" t="inlineStr">
        <is>
          <t>016610</t>
        </is>
      </c>
      <c r="E9543" s="3" t="inlineStr">
        <is>
          <t>일괄신고추가서류(파생결합사채-주가연계파생결합사채)</t>
        </is>
      </c>
      <c r="F9543" s="3" t="inlineStr">
        <is>
          <t>DB증권</t>
        </is>
      </c>
      <c r="G9543" s="2" t="inlineStr">
        <is>
          <t>20260604000075</t>
        </is>
      </c>
      <c r="H9543" s="8">
        <f>HYPERLINK("https://dart.fss.or.kr/dsaf001/main.do?rcpNo=20260604000075", "공시열람")</f>
        <v/>
      </c>
    </row>
    <row r="9544">
      <c r="A9544" s="2" t="inlineStr">
        <is>
          <t>2026-06-04</t>
        </is>
      </c>
      <c r="B9544" s="3" t="inlineStr">
        <is>
          <t>교보증권</t>
        </is>
      </c>
      <c r="C9544" s="2" t="inlineStr">
        <is>
          <t>코스피</t>
        </is>
      </c>
      <c r="D9544" s="2" t="inlineStr">
        <is>
          <t>030610</t>
        </is>
      </c>
      <c r="E9544" s="3" t="inlineStr">
        <is>
          <t>투자설명서(일괄신고)</t>
        </is>
      </c>
      <c r="F9544" s="3" t="inlineStr">
        <is>
          <t>교보증권</t>
        </is>
      </c>
      <c r="G9544" s="2" t="inlineStr">
        <is>
          <t>20260604000073</t>
        </is>
      </c>
      <c r="H9544" s="8">
        <f>HYPERLINK("https://dart.fss.or.kr/dsaf001/main.do?rcpNo=20260604000073", "공시열람")</f>
        <v/>
      </c>
    </row>
    <row r="9545">
      <c r="A9545" s="2" t="inlineStr">
        <is>
          <t>2026-06-04</t>
        </is>
      </c>
      <c r="B9545" s="3" t="inlineStr">
        <is>
          <t>남양유업</t>
        </is>
      </c>
      <c r="C9545" s="2" t="inlineStr">
        <is>
          <t>코스피</t>
        </is>
      </c>
      <c r="D9545" s="2" t="inlineStr">
        <is>
          <t>003920</t>
        </is>
      </c>
      <c r="E9545" s="3" t="inlineStr">
        <is>
          <t>임원ㆍ주요주주특정증권등소유상황보고서</t>
        </is>
      </c>
      <c r="F9545" s="3" t="inlineStr">
        <is>
          <t>한앤코유업홀딩스</t>
        </is>
      </c>
      <c r="G9545" s="2" t="inlineStr">
        <is>
          <t>20260604000072</t>
        </is>
      </c>
      <c r="H9545" s="8">
        <f>HYPERLINK("https://dart.fss.or.kr/dsaf001/main.do?rcpNo=20260604000072", "공시열람")</f>
        <v/>
      </c>
    </row>
    <row r="9546">
      <c r="A9546" s="2" t="inlineStr">
        <is>
          <t>2026-06-04</t>
        </is>
      </c>
      <c r="B9546" s="3" t="inlineStr">
        <is>
          <t>교보증권</t>
        </is>
      </c>
      <c r="C9546" s="2" t="inlineStr">
        <is>
          <t>코스피</t>
        </is>
      </c>
      <c r="D9546" s="2" t="inlineStr">
        <is>
          <t>030610</t>
        </is>
      </c>
      <c r="E9546" s="3" t="inlineStr">
        <is>
          <t>일괄신고추가서류(파생결합사채-주가연계파생결합사채)</t>
        </is>
      </c>
      <c r="F9546" s="3" t="inlineStr">
        <is>
          <t>교보증권</t>
        </is>
      </c>
      <c r="G9546" s="2" t="inlineStr">
        <is>
          <t>20260604000071</t>
        </is>
      </c>
      <c r="H9546" s="8">
        <f>HYPERLINK("https://dart.fss.or.kr/dsaf001/main.do?rcpNo=20260604000071", "공시열람")</f>
        <v/>
      </c>
    </row>
    <row r="9547">
      <c r="A9547" s="2" t="inlineStr">
        <is>
          <t>2026-06-04</t>
        </is>
      </c>
      <c r="B9547" s="3" t="inlineStr">
        <is>
          <t>이퓨쳐</t>
        </is>
      </c>
      <c r="C9547" s="2" t="inlineStr">
        <is>
          <t>코스닥</t>
        </is>
      </c>
      <c r="D9547" s="2" t="inlineStr">
        <is>
          <t>134060</t>
        </is>
      </c>
      <c r="E9547" s="3" t="inlineStr">
        <is>
          <t>임원ㆍ주요주주특정증권등소유상황보고서</t>
        </is>
      </c>
      <c r="F9547" s="3" t="inlineStr">
        <is>
          <t>이기현</t>
        </is>
      </c>
      <c r="G9547" s="2" t="inlineStr">
        <is>
          <t>20260604000066</t>
        </is>
      </c>
      <c r="H9547" s="8">
        <f>HYPERLINK("https://dart.fss.or.kr/dsaf001/main.do?rcpNo=20260604000066", "공시열람")</f>
        <v/>
      </c>
    </row>
    <row r="9548">
      <c r="A9548" s="2" t="inlineStr">
        <is>
          <t>2026-06-04</t>
        </is>
      </c>
      <c r="B9548" s="3" t="inlineStr">
        <is>
          <t>한화투자증권</t>
        </is>
      </c>
      <c r="C9548" s="2" t="inlineStr">
        <is>
          <t>코스피</t>
        </is>
      </c>
      <c r="D9548" s="2" t="inlineStr">
        <is>
          <t>003530</t>
        </is>
      </c>
      <c r="E9548" s="3" t="inlineStr">
        <is>
          <t>일괄신고추가서류(파생결합사채-주가연계파생결합사채)</t>
        </is>
      </c>
      <c r="F9548" s="3" t="inlineStr">
        <is>
          <t>한화투자증권</t>
        </is>
      </c>
      <c r="G9548" s="2" t="inlineStr">
        <is>
          <t>20260604000064</t>
        </is>
      </c>
      <c r="H9548" s="8">
        <f>HYPERLINK("https://dart.fss.or.kr/dsaf001/main.do?rcpNo=20260604000064", "공시열람")</f>
        <v/>
      </c>
    </row>
    <row r="9549">
      <c r="A9549" s="2" t="inlineStr">
        <is>
          <t>2026-06-04</t>
        </is>
      </c>
      <c r="B9549" s="3" t="inlineStr">
        <is>
          <t>키움증권</t>
        </is>
      </c>
      <c r="C9549" s="2" t="inlineStr">
        <is>
          <t>코스피</t>
        </is>
      </c>
      <c r="D9549" s="2" t="inlineStr">
        <is>
          <t>039490</t>
        </is>
      </c>
      <c r="E9549" s="3" t="inlineStr">
        <is>
          <t>일괄신고추가서류(파생결합증권-주가연계증권)</t>
        </is>
      </c>
      <c r="F9549" s="3" t="inlineStr">
        <is>
          <t>키움증권</t>
        </is>
      </c>
      <c r="G9549" s="2" t="inlineStr">
        <is>
          <t>20260604000062</t>
        </is>
      </c>
      <c r="H9549" s="8">
        <f>HYPERLINK("https://dart.fss.or.kr/dsaf001/main.do?rcpNo=20260604000062", "공시열람")</f>
        <v/>
      </c>
    </row>
    <row r="9550">
      <c r="A9550" s="2" t="inlineStr">
        <is>
          <t>2026-06-04</t>
        </is>
      </c>
      <c r="B9550" s="3" t="inlineStr">
        <is>
          <t>HS애드</t>
        </is>
      </c>
      <c r="C9550" s="2" t="inlineStr">
        <is>
          <t>코스피</t>
        </is>
      </c>
      <c r="D9550" s="2" t="inlineStr">
        <is>
          <t>035000</t>
        </is>
      </c>
      <c r="E9550" s="3" t="inlineStr">
        <is>
          <t>임원ㆍ주요주주특정증권등소유상황보고서</t>
        </is>
      </c>
      <c r="F9550" s="3" t="inlineStr">
        <is>
          <t>카벤디쉬스퀘어홀딩비.브이.</t>
        </is>
      </c>
      <c r="G9550" s="2" t="inlineStr">
        <is>
          <t>20260604000060</t>
        </is>
      </c>
      <c r="H9550" s="8">
        <f>HYPERLINK("https://dart.fss.or.kr/dsaf001/main.do?rcpNo=20260604000060", "공시열람")</f>
        <v/>
      </c>
    </row>
    <row r="9551">
      <c r="A9551" s="2" t="inlineStr">
        <is>
          <t>2026-06-04</t>
        </is>
      </c>
      <c r="B9551" s="3" t="inlineStr">
        <is>
          <t>한화투자증권</t>
        </is>
      </c>
      <c r="C9551" s="2" t="inlineStr">
        <is>
          <t>코스피</t>
        </is>
      </c>
      <c r="D9551" s="2" t="inlineStr">
        <is>
          <t>003530</t>
        </is>
      </c>
      <c r="E9551" s="3" t="inlineStr">
        <is>
          <t>일괄신고추가서류(기타파생결합사채)</t>
        </is>
      </c>
      <c r="F9551" s="3" t="inlineStr">
        <is>
          <t>한화투자증권</t>
        </is>
      </c>
      <c r="G9551" s="2" t="inlineStr">
        <is>
          <t>20260604000050</t>
        </is>
      </c>
      <c r="H9551" s="8">
        <f>HYPERLINK("https://dart.fss.or.kr/dsaf001/main.do?rcpNo=20260604000050", "공시열람")</f>
        <v/>
      </c>
    </row>
    <row r="9552">
      <c r="A9552" s="2" t="inlineStr">
        <is>
          <t>2026-06-04</t>
        </is>
      </c>
      <c r="B9552" s="3" t="inlineStr">
        <is>
          <t>교보증권</t>
        </is>
      </c>
      <c r="C9552" s="2" t="inlineStr">
        <is>
          <t>코스피</t>
        </is>
      </c>
      <c r="D9552" s="2" t="inlineStr">
        <is>
          <t>030610</t>
        </is>
      </c>
      <c r="E9552" s="3" t="inlineStr">
        <is>
          <t>투자설명서(일괄신고)</t>
        </is>
      </c>
      <c r="F9552" s="3" t="inlineStr">
        <is>
          <t>교보증권</t>
        </is>
      </c>
      <c r="G9552" s="2" t="inlineStr">
        <is>
          <t>20260604000048</t>
        </is>
      </c>
      <c r="H9552" s="8">
        <f>HYPERLINK("https://dart.fss.or.kr/dsaf001/main.do?rcpNo=20260604000048", "공시열람")</f>
        <v/>
      </c>
    </row>
    <row r="9553">
      <c r="A9553" s="2" t="inlineStr">
        <is>
          <t>2026-06-04</t>
        </is>
      </c>
      <c r="B9553" s="3" t="inlineStr">
        <is>
          <t>라온피플</t>
        </is>
      </c>
      <c r="C9553" s="2" t="inlineStr">
        <is>
          <t>코스닥</t>
        </is>
      </c>
      <c r="D9553" s="2" t="inlineStr">
        <is>
          <t>300120</t>
        </is>
      </c>
      <c r="E9553" s="3" t="inlineStr">
        <is>
          <t>임원ㆍ주요주주특정증권등소유상황보고서</t>
        </is>
      </c>
      <c r="F9553" s="3" t="inlineStr">
        <is>
          <t>정은정</t>
        </is>
      </c>
      <c r="G9553" s="2" t="inlineStr">
        <is>
          <t>20260604000046</t>
        </is>
      </c>
      <c r="H9553" s="8">
        <f>HYPERLINK("https://dart.fss.or.kr/dsaf001/main.do?rcpNo=20260604000046", "공시열람")</f>
        <v/>
      </c>
    </row>
    <row r="9554">
      <c r="A9554" s="2" t="inlineStr">
        <is>
          <t>2026-06-04</t>
        </is>
      </c>
      <c r="B9554" s="3" t="inlineStr">
        <is>
          <t>바이오다인</t>
        </is>
      </c>
      <c r="C9554" s="2" t="inlineStr">
        <is>
          <t>코스닥</t>
        </is>
      </c>
      <c r="D9554" s="2" t="inlineStr">
        <is>
          <t>314930</t>
        </is>
      </c>
      <c r="E9554" s="3" t="inlineStr">
        <is>
          <t>임원ㆍ주요주주특정증권등소유상황보고서</t>
        </is>
      </c>
      <c r="F9554" s="3" t="inlineStr">
        <is>
          <t>임욱빈</t>
        </is>
      </c>
      <c r="G9554" s="2" t="inlineStr">
        <is>
          <t>20260604000045</t>
        </is>
      </c>
      <c r="H9554" s="8">
        <f>HYPERLINK("https://dart.fss.or.kr/dsaf001/main.do?rcpNo=20260604000045", "공시열람")</f>
        <v/>
      </c>
    </row>
    <row r="9555">
      <c r="A9555" s="2" t="inlineStr">
        <is>
          <t>2026-06-04</t>
        </is>
      </c>
      <c r="B9555" s="3" t="inlineStr">
        <is>
          <t>교보증권</t>
        </is>
      </c>
      <c r="C9555" s="2" t="inlineStr">
        <is>
          <t>코스피</t>
        </is>
      </c>
      <c r="D9555" s="2" t="inlineStr">
        <is>
          <t>030610</t>
        </is>
      </c>
      <c r="E9555" s="3" t="inlineStr">
        <is>
          <t>일괄신고추가서류(파생결합사채-주가연계파생결합사채)</t>
        </is>
      </c>
      <c r="F9555" s="3" t="inlineStr">
        <is>
          <t>교보증권</t>
        </is>
      </c>
      <c r="G9555" s="2" t="inlineStr">
        <is>
          <t>20260604000042</t>
        </is>
      </c>
      <c r="H9555" s="8">
        <f>HYPERLINK("https://dart.fss.or.kr/dsaf001/main.do?rcpNo=20260604000042", "공시열람")</f>
        <v/>
      </c>
    </row>
    <row r="9556">
      <c r="A9556" s="2" t="inlineStr">
        <is>
          <t>2026-06-04</t>
        </is>
      </c>
      <c r="B9556" s="3" t="inlineStr">
        <is>
          <t>교보증권</t>
        </is>
      </c>
      <c r="C9556" s="2" t="inlineStr">
        <is>
          <t>코스피</t>
        </is>
      </c>
      <c r="D9556" s="2" t="inlineStr">
        <is>
          <t>030610</t>
        </is>
      </c>
      <c r="E9556" s="3" t="inlineStr">
        <is>
          <t>투자설명서(일괄신고)</t>
        </is>
      </c>
      <c r="F9556" s="3" t="inlineStr">
        <is>
          <t>교보증권</t>
        </is>
      </c>
      <c r="G9556" s="2" t="inlineStr">
        <is>
          <t>20260604000038</t>
        </is>
      </c>
      <c r="H9556" s="8">
        <f>HYPERLINK("https://dart.fss.or.kr/dsaf001/main.do?rcpNo=20260604000038", "공시열람")</f>
        <v/>
      </c>
    </row>
    <row r="9557">
      <c r="A9557" s="2" t="inlineStr">
        <is>
          <t>2026-06-04</t>
        </is>
      </c>
      <c r="B9557" s="3" t="inlineStr">
        <is>
          <t>클래시스</t>
        </is>
      </c>
      <c r="C9557" s="2" t="inlineStr">
        <is>
          <t>코스닥</t>
        </is>
      </c>
      <c r="D9557" s="2" t="inlineStr">
        <is>
          <t>214150</t>
        </is>
      </c>
      <c r="E9557" s="3" t="inlineStr">
        <is>
          <t xml:space="preserve">기업설명회(IR)개최              </t>
        </is>
      </c>
      <c r="F9557" s="3" t="inlineStr">
        <is>
          <t>클래시스</t>
        </is>
      </c>
      <c r="G9557" s="2" t="inlineStr">
        <is>
          <t>20260604900168</t>
        </is>
      </c>
      <c r="H9557" s="8">
        <f>HYPERLINK("https://dart.fss.or.kr/dsaf001/main.do?rcpNo=20260604900168", "공시열람")</f>
        <v/>
      </c>
    </row>
    <row r="9558">
      <c r="A9558" s="2" t="inlineStr">
        <is>
          <t>2026-06-04</t>
        </is>
      </c>
      <c r="B9558" s="3" t="inlineStr">
        <is>
          <t>교보증권</t>
        </is>
      </c>
      <c r="C9558" s="2" t="inlineStr">
        <is>
          <t>코스피</t>
        </is>
      </c>
      <c r="D9558" s="2" t="inlineStr">
        <is>
          <t>030610</t>
        </is>
      </c>
      <c r="E9558" s="3" t="inlineStr">
        <is>
          <t>증권발행실적보고서</t>
        </is>
      </c>
      <c r="F9558" s="3" t="inlineStr">
        <is>
          <t>교보증권</t>
        </is>
      </c>
      <c r="G9558" s="2" t="inlineStr">
        <is>
          <t>20260604000036</t>
        </is>
      </c>
      <c r="H9558" s="8">
        <f>HYPERLINK("https://dart.fss.or.kr/dsaf001/main.do?rcpNo=20260604000036", "공시열람")</f>
        <v/>
      </c>
    </row>
    <row r="9559">
      <c r="A9559" s="2" t="inlineStr">
        <is>
          <t>2026-06-04</t>
        </is>
      </c>
      <c r="B9559" s="3" t="inlineStr">
        <is>
          <t>교보증권</t>
        </is>
      </c>
      <c r="C9559" s="2" t="inlineStr">
        <is>
          <t>코스피</t>
        </is>
      </c>
      <c r="D9559" s="2" t="inlineStr">
        <is>
          <t>030610</t>
        </is>
      </c>
      <c r="E9559" s="3" t="inlineStr">
        <is>
          <t>일괄신고추가서류(파생결합사채-주가연계파생결합사채)</t>
        </is>
      </c>
      <c r="F9559" s="3" t="inlineStr">
        <is>
          <t>교보증권</t>
        </is>
      </c>
      <c r="G9559" s="2" t="inlineStr">
        <is>
          <t>20260604000034</t>
        </is>
      </c>
      <c r="H9559" s="8">
        <f>HYPERLINK("https://dart.fss.or.kr/dsaf001/main.do?rcpNo=20260604000034", "공시열람")</f>
        <v/>
      </c>
    </row>
    <row r="9560">
      <c r="A9560" s="2" t="inlineStr">
        <is>
          <t>2026-06-04</t>
        </is>
      </c>
      <c r="B9560" s="3" t="inlineStr">
        <is>
          <t>동원수산</t>
        </is>
      </c>
      <c r="C9560" s="2" t="inlineStr">
        <is>
          <t>코스피</t>
        </is>
      </c>
      <c r="D9560" s="2" t="inlineStr">
        <is>
          <t>030720</t>
        </is>
      </c>
      <c r="E9560" s="3" t="inlineStr">
        <is>
          <t>임원ㆍ주요주주특정증권등소유상황보고서</t>
        </is>
      </c>
      <c r="F9560" s="3" t="inlineStr">
        <is>
          <t>왕기철</t>
        </is>
      </c>
      <c r="G9560" s="2" t="inlineStr">
        <is>
          <t>20260604000032</t>
        </is>
      </c>
      <c r="H9560" s="8">
        <f>HYPERLINK("https://dart.fss.or.kr/dsaf001/main.do?rcpNo=20260604000032", "공시열람")</f>
        <v/>
      </c>
    </row>
    <row r="9561">
      <c r="A9561" s="2" t="inlineStr">
        <is>
          <t>2026-06-04</t>
        </is>
      </c>
      <c r="B9561" s="3" t="inlineStr">
        <is>
          <t>삼성증권</t>
        </is>
      </c>
      <c r="C9561" s="2" t="inlineStr">
        <is>
          <t>코스피</t>
        </is>
      </c>
      <c r="D9561" s="2" t="inlineStr">
        <is>
          <t>016360</t>
        </is>
      </c>
      <c r="E9561" s="3" t="inlineStr">
        <is>
          <t>일괄신고추가서류(파생결합증권-주가연계증권)</t>
        </is>
      </c>
      <c r="F9561" s="3" t="inlineStr">
        <is>
          <t>삼성증권</t>
        </is>
      </c>
      <c r="G9561" s="2" t="inlineStr">
        <is>
          <t>20260604000031</t>
        </is>
      </c>
      <c r="H9561" s="8">
        <f>HYPERLINK("https://dart.fss.or.kr/dsaf001/main.do?rcpNo=20260604000031", "공시열람")</f>
        <v/>
      </c>
    </row>
    <row r="9562">
      <c r="A9562" s="2" t="inlineStr">
        <is>
          <t>2026-06-04</t>
        </is>
      </c>
      <c r="B9562" s="3" t="inlineStr">
        <is>
          <t>평화산업</t>
        </is>
      </c>
      <c r="C9562" s="2" t="inlineStr">
        <is>
          <t>코스피</t>
        </is>
      </c>
      <c r="D9562" s="2" t="inlineStr">
        <is>
          <t>090080</t>
        </is>
      </c>
      <c r="E9562" s="3" t="inlineStr">
        <is>
          <t>임원ㆍ주요주주특정증권등소유상황보고서</t>
        </is>
      </c>
      <c r="F9562" s="3" t="inlineStr">
        <is>
          <t>성길주</t>
        </is>
      </c>
      <c r="G9562" s="2" t="inlineStr">
        <is>
          <t>20260604000029</t>
        </is>
      </c>
      <c r="H9562" s="8">
        <f>HYPERLINK("https://dart.fss.or.kr/dsaf001/main.do?rcpNo=20260604000029", "공시열람")</f>
        <v/>
      </c>
    </row>
    <row r="9563">
      <c r="A9563" s="2" t="inlineStr">
        <is>
          <t>2026-06-04</t>
        </is>
      </c>
      <c r="B9563" s="3" t="inlineStr">
        <is>
          <t>범한퓨얼셀</t>
        </is>
      </c>
      <c r="C9563" s="2" t="inlineStr">
        <is>
          <t>코스닥</t>
        </is>
      </c>
      <c r="D9563" s="2" t="inlineStr">
        <is>
          <t>382900</t>
        </is>
      </c>
      <c r="E9563" s="3" t="inlineStr">
        <is>
          <t>임원ㆍ주요주주특정증권등소유상황보고서</t>
        </is>
      </c>
      <c r="F9563" s="3" t="inlineStr">
        <is>
          <t>황순심</t>
        </is>
      </c>
      <c r="G9563" s="2" t="inlineStr">
        <is>
          <t>20260604000028</t>
        </is>
      </c>
      <c r="H9563" s="8">
        <f>HYPERLINK("https://dart.fss.or.kr/dsaf001/main.do?rcpNo=20260604000028", "공시열람")</f>
        <v/>
      </c>
    </row>
    <row r="9564">
      <c r="A9564" s="2" t="inlineStr">
        <is>
          <t>2026-06-04</t>
        </is>
      </c>
      <c r="B9564" s="3" t="inlineStr">
        <is>
          <t>티비에이치글로벌</t>
        </is>
      </c>
      <c r="C9564" s="2" t="inlineStr">
        <is>
          <t>코스피</t>
        </is>
      </c>
      <c r="D9564" s="2" t="inlineStr">
        <is>
          <t>084870</t>
        </is>
      </c>
      <c r="E9564" s="3" t="inlineStr">
        <is>
          <t>임원ㆍ주요주주특정증권등소유상황보고서</t>
        </is>
      </c>
      <c r="F9564" s="3" t="inlineStr">
        <is>
          <t>금강레저산업</t>
        </is>
      </c>
      <c r="G9564" s="2" t="inlineStr">
        <is>
          <t>20260604000027</t>
        </is>
      </c>
      <c r="H9564" s="8">
        <f>HYPERLINK("https://dart.fss.or.kr/dsaf001/main.do?rcpNo=20260604000027", "공시열람")</f>
        <v/>
      </c>
    </row>
    <row r="9565">
      <c r="A9565" s="2" t="inlineStr">
        <is>
          <t>2026-06-04</t>
        </is>
      </c>
      <c r="B9565" s="3" t="inlineStr">
        <is>
          <t>엠에프씨</t>
        </is>
      </c>
      <c r="C9565" s="2" t="inlineStr">
        <is>
          <t>코스닥</t>
        </is>
      </c>
      <c r="D9565" s="2" t="inlineStr">
        <is>
          <t>432980</t>
        </is>
      </c>
      <c r="E9565" s="3" t="inlineStr">
        <is>
          <t>임원ㆍ주요주주특정증권등소유상황보고서</t>
        </is>
      </c>
      <c r="F9565" s="3" t="inlineStr">
        <is>
          <t>홍문기</t>
        </is>
      </c>
      <c r="G9565" s="2" t="inlineStr">
        <is>
          <t>20260604000026</t>
        </is>
      </c>
      <c r="H9565" s="8">
        <f>HYPERLINK("https://dart.fss.or.kr/dsaf001/main.do?rcpNo=20260604000026", "공시열람")</f>
        <v/>
      </c>
    </row>
    <row r="9566">
      <c r="A9566" s="2" t="inlineStr">
        <is>
          <t>2026-06-04</t>
        </is>
      </c>
      <c r="B9566" s="3" t="inlineStr">
        <is>
          <t>라온피플</t>
        </is>
      </c>
      <c r="C9566" s="2" t="inlineStr">
        <is>
          <t>코스닥</t>
        </is>
      </c>
      <c r="D9566" s="2" t="inlineStr">
        <is>
          <t>300120</t>
        </is>
      </c>
      <c r="E9566" s="3" t="inlineStr">
        <is>
          <t>임원ㆍ주요주주특정증권등소유상황보고서</t>
        </is>
      </c>
      <c r="F9566" s="3" t="inlineStr">
        <is>
          <t>윤기욱</t>
        </is>
      </c>
      <c r="G9566" s="2" t="inlineStr">
        <is>
          <t>20260604000025</t>
        </is>
      </c>
      <c r="H9566" s="8">
        <f>HYPERLINK("https://dart.fss.or.kr/dsaf001/main.do?rcpNo=20260604000025", "공시열람")</f>
        <v/>
      </c>
    </row>
    <row r="9567">
      <c r="A9567" s="2" t="inlineStr">
        <is>
          <t>2026-06-04</t>
        </is>
      </c>
      <c r="B9567" s="3" t="inlineStr">
        <is>
          <t>대신밸류리츠</t>
        </is>
      </c>
      <c r="C9567" s="2" t="inlineStr">
        <is>
          <t>코스피</t>
        </is>
      </c>
      <c r="D9567" s="2" t="inlineStr">
        <is>
          <t>0030R0</t>
        </is>
      </c>
      <c r="E9567" s="3" t="inlineStr">
        <is>
          <t xml:space="preserve">기타경영사항(자율공시)              </t>
        </is>
      </c>
      <c r="F9567" s="3" t="inlineStr">
        <is>
          <t>대신밸류리츠</t>
        </is>
      </c>
      <c r="G9567" s="2" t="inlineStr">
        <is>
          <t>20260604800133</t>
        </is>
      </c>
      <c r="H9567" s="8">
        <f>HYPERLINK("https://dart.fss.or.kr/dsaf001/main.do?rcpNo=20260604800133", "공시열람")</f>
        <v/>
      </c>
    </row>
    <row r="9568">
      <c r="A9568" s="2" t="inlineStr">
        <is>
          <t>2026-06-04</t>
        </is>
      </c>
      <c r="B9568" s="3" t="inlineStr">
        <is>
          <t>교보증권</t>
        </is>
      </c>
      <c r="C9568" s="2" t="inlineStr">
        <is>
          <t>코스피</t>
        </is>
      </c>
      <c r="D9568" s="2" t="inlineStr">
        <is>
          <t>030610</t>
        </is>
      </c>
      <c r="E9568" s="3" t="inlineStr">
        <is>
          <t>투자설명서(일괄신고)</t>
        </is>
      </c>
      <c r="F9568" s="3" t="inlineStr">
        <is>
          <t>교보증권</t>
        </is>
      </c>
      <c r="G9568" s="2" t="inlineStr">
        <is>
          <t>20260604000020</t>
        </is>
      </c>
      <c r="H9568" s="8">
        <f>HYPERLINK("https://dart.fss.or.kr/dsaf001/main.do?rcpNo=20260604000020", "공시열람")</f>
        <v/>
      </c>
    </row>
    <row r="9569">
      <c r="A9569" s="2" t="inlineStr">
        <is>
          <t>2026-06-04</t>
        </is>
      </c>
      <c r="B9569" s="3" t="inlineStr">
        <is>
          <t>교보증권</t>
        </is>
      </c>
      <c r="C9569" s="2" t="inlineStr">
        <is>
          <t>코스피</t>
        </is>
      </c>
      <c r="D9569" s="2" t="inlineStr">
        <is>
          <t>030610</t>
        </is>
      </c>
      <c r="E9569" s="3" t="inlineStr">
        <is>
          <t>투자설명서(일괄신고)</t>
        </is>
      </c>
      <c r="F9569" s="3" t="inlineStr">
        <is>
          <t>교보증권</t>
        </is>
      </c>
      <c r="G9569" s="2" t="inlineStr">
        <is>
          <t>20260604000018</t>
        </is>
      </c>
      <c r="H9569" s="8">
        <f>HYPERLINK("https://dart.fss.or.kr/dsaf001/main.do?rcpNo=20260604000018", "공시열람")</f>
        <v/>
      </c>
    </row>
    <row r="9570">
      <c r="A9570" s="2" t="inlineStr">
        <is>
          <t>2026-06-04</t>
        </is>
      </c>
      <c r="B9570" s="3" t="inlineStr">
        <is>
          <t>교보증권</t>
        </is>
      </c>
      <c r="C9570" s="2" t="inlineStr">
        <is>
          <t>코스피</t>
        </is>
      </c>
      <c r="D9570" s="2" t="inlineStr">
        <is>
          <t>030610</t>
        </is>
      </c>
      <c r="E9570" s="3" t="inlineStr">
        <is>
          <t>일괄신고추가서류(파생결합증권-주가연계증권)</t>
        </is>
      </c>
      <c r="F9570" s="3" t="inlineStr">
        <is>
          <t>교보증권</t>
        </is>
      </c>
      <c r="G9570" s="2" t="inlineStr">
        <is>
          <t>20260604000012</t>
        </is>
      </c>
      <c r="H9570" s="8">
        <f>HYPERLINK("https://dart.fss.or.kr/dsaf001/main.do?rcpNo=20260604000012", "공시열람")</f>
        <v/>
      </c>
    </row>
    <row r="9571">
      <c r="A9571" s="2" t="inlineStr">
        <is>
          <t>2026-06-04</t>
        </is>
      </c>
      <c r="B9571" s="3" t="inlineStr">
        <is>
          <t>교보증권</t>
        </is>
      </c>
      <c r="C9571" s="2" t="inlineStr">
        <is>
          <t>코스피</t>
        </is>
      </c>
      <c r="D9571" s="2" t="inlineStr">
        <is>
          <t>030610</t>
        </is>
      </c>
      <c r="E9571" s="3" t="inlineStr">
        <is>
          <t>일괄신고추가서류(파생결합사채-주가연계파생결합사채)</t>
        </is>
      </c>
      <c r="F9571" s="3" t="inlineStr">
        <is>
          <t>교보증권</t>
        </is>
      </c>
      <c r="G9571" s="2" t="inlineStr">
        <is>
          <t>20260604000011</t>
        </is>
      </c>
      <c r="H9571" s="8">
        <f>HYPERLINK("https://dart.fss.or.kr/dsaf001/main.do?rcpNo=20260604000011", "공시열람")</f>
        <v/>
      </c>
    </row>
    <row r="9572">
      <c r="A9572" s="2" t="inlineStr">
        <is>
          <t>2026-06-04</t>
        </is>
      </c>
      <c r="B9572" s="3" t="inlineStr">
        <is>
          <t>그래피</t>
        </is>
      </c>
      <c r="C9572" s="2" t="inlineStr">
        <is>
          <t>코스닥</t>
        </is>
      </c>
      <c r="D9572" s="2" t="inlineStr">
        <is>
          <t>318060</t>
        </is>
      </c>
      <c r="E9572" s="3" t="inlineStr">
        <is>
          <t xml:space="preserve">조회공시요구(풍문또는보도)에대한답변(미확정)              </t>
        </is>
      </c>
      <c r="F9572" s="3" t="inlineStr">
        <is>
          <t>그래피</t>
        </is>
      </c>
      <c r="G9572" s="2" t="inlineStr">
        <is>
          <t>20260604900113</t>
        </is>
      </c>
      <c r="H9572" s="8">
        <f>HYPERLINK("https://dart.fss.or.kr/dsaf001/main.do?rcpNo=20260604900113", "공시열람")</f>
        <v/>
      </c>
    </row>
    <row r="9573">
      <c r="A9573" s="2" t="inlineStr">
        <is>
          <t>2026-06-04</t>
        </is>
      </c>
      <c r="B9573" s="3" t="inlineStr">
        <is>
          <t>KG모빌리티</t>
        </is>
      </c>
      <c r="C9573" s="2" t="inlineStr">
        <is>
          <t>코스피</t>
        </is>
      </c>
      <c r="D9573" s="2" t="inlineStr">
        <is>
          <t>003620</t>
        </is>
      </c>
      <c r="E9573" s="3" t="inlineStr">
        <is>
          <t xml:space="preserve">기업설명회(IR)개최(안내공시)              </t>
        </is>
      </c>
      <c r="F9573" s="3" t="inlineStr">
        <is>
          <t>KG모빌리티</t>
        </is>
      </c>
      <c r="G9573" s="2" t="inlineStr">
        <is>
          <t>20260604800112</t>
        </is>
      </c>
      <c r="H9573" s="8">
        <f>HYPERLINK("https://dart.fss.or.kr/dsaf001/main.do?rcpNo=20260604800112", "공시열람")</f>
        <v/>
      </c>
    </row>
    <row r="9574">
      <c r="A9574" s="2" t="inlineStr">
        <is>
          <t>2026-06-04</t>
        </is>
      </c>
      <c r="B9574" s="3" t="inlineStr">
        <is>
          <t>이마트</t>
        </is>
      </c>
      <c r="C9574" s="2" t="inlineStr">
        <is>
          <t>코스피</t>
        </is>
      </c>
      <c r="D9574" s="2" t="inlineStr">
        <is>
          <t>139480</t>
        </is>
      </c>
      <c r="E9574" s="3" t="inlineStr">
        <is>
          <t>투자설명서</t>
        </is>
      </c>
      <c r="F9574" s="3" t="inlineStr">
        <is>
          <t>이마트</t>
        </is>
      </c>
      <c r="G9574" s="2" t="inlineStr">
        <is>
          <t>20260604000007</t>
        </is>
      </c>
      <c r="H9574" s="8">
        <f>HYPERLINK("https://dart.fss.or.kr/dsaf001/main.do?rcpNo=20260604000007", "공시열람")</f>
        <v/>
      </c>
    </row>
    <row r="9575">
      <c r="A9575" s="2" t="inlineStr">
        <is>
          <t>2026-06-04</t>
        </is>
      </c>
      <c r="B9575" s="3" t="inlineStr">
        <is>
          <t>메타바이오메드</t>
        </is>
      </c>
      <c r="C9575" s="2" t="inlineStr">
        <is>
          <t>코스닥</t>
        </is>
      </c>
      <c r="D9575" s="2" t="inlineStr">
        <is>
          <t>059210</t>
        </is>
      </c>
      <c r="E9575" s="3" t="inlineStr">
        <is>
          <t>임원ㆍ주요주주특정증권등소유상황보고서</t>
        </is>
      </c>
      <c r="F9575" s="3" t="inlineStr">
        <is>
          <t>윤종필</t>
        </is>
      </c>
      <c r="G9575" s="2" t="inlineStr">
        <is>
          <t>20260604000004</t>
        </is>
      </c>
      <c r="H9575" s="8">
        <f>HYPERLINK("https://dart.fss.or.kr/dsaf001/main.do?rcpNo=20260604000004", "공시열람")</f>
        <v/>
      </c>
    </row>
    <row r="9576">
      <c r="A9576" s="2" t="inlineStr">
        <is>
          <t>2026-06-04</t>
        </is>
      </c>
      <c r="B9576" s="3" t="inlineStr">
        <is>
          <t>한국첨단소재</t>
        </is>
      </c>
      <c r="C9576" s="2" t="inlineStr">
        <is>
          <t>코스닥</t>
        </is>
      </c>
      <c r="D9576" s="2" t="inlineStr">
        <is>
          <t>062970</t>
        </is>
      </c>
      <c r="E9576" s="3" t="inlineStr">
        <is>
          <t>주요사항보고서(타법인주식및출자증권양수결정)</t>
        </is>
      </c>
      <c r="F9576" s="3" t="inlineStr">
        <is>
          <t>한국첨단소재</t>
        </is>
      </c>
      <c r="G9576" s="2" t="inlineStr">
        <is>
          <t>20260604000001</t>
        </is>
      </c>
      <c r="H9576" s="8">
        <f>HYPERLINK("https://dart.fss.or.kr/dsaf001/main.do?rcpNo=20260604000001", "공시열람")</f>
        <v/>
      </c>
    </row>
    <row r="9577">
      <c r="A9577" s="2" t="inlineStr">
        <is>
          <t>2026-06-04</t>
        </is>
      </c>
      <c r="B9577" s="3" t="inlineStr">
        <is>
          <t>에코마케팅</t>
        </is>
      </c>
      <c r="C9577" s="2" t="inlineStr">
        <is>
          <t>코스닥</t>
        </is>
      </c>
      <c r="D9577" s="2" t="inlineStr">
        <is>
          <t>230360</t>
        </is>
      </c>
      <c r="E9577" s="3" t="inlineStr">
        <is>
          <t xml:space="preserve">대표집행임원변경              </t>
        </is>
      </c>
      <c r="F9577" s="3" t="inlineStr">
        <is>
          <t>에코마케팅</t>
        </is>
      </c>
      <c r="G9577" s="2" t="inlineStr">
        <is>
          <t>20260604900003</t>
        </is>
      </c>
      <c r="H9577" s="8">
        <f>HYPERLINK("https://dart.fss.or.kr/dsaf001/main.do?rcpNo=20260604900003", "공시열람")</f>
        <v/>
      </c>
    </row>
    <row r="9578">
      <c r="A9578" s="2" t="inlineStr">
        <is>
          <t>2026-06-04</t>
        </is>
      </c>
      <c r="B9578" s="3" t="inlineStr">
        <is>
          <t>이마트</t>
        </is>
      </c>
      <c r="C9578" s="2" t="inlineStr">
        <is>
          <t>코스피</t>
        </is>
      </c>
      <c r="D9578" s="2" t="inlineStr">
        <is>
          <t>139480</t>
        </is>
      </c>
      <c r="E9578" s="3" t="inlineStr">
        <is>
          <t>효력발생안내( 2026.5.21. 제출 증권신고서(주식의포괄적교환ㆍ이전) )</t>
        </is>
      </c>
      <c r="F9578" s="3" t="inlineStr">
        <is>
          <t>금융감독원</t>
        </is>
      </c>
      <c r="G9578" s="2" t="inlineStr">
        <is>
          <t>20260521100060</t>
        </is>
      </c>
      <c r="H9578" s="8">
        <f>HYPERLINK("https://dart.fss.or.kr/dsaf001/main.do?rcpNo=20260521100060", "공시열람")</f>
        <v/>
      </c>
    </row>
    <row r="9579">
      <c r="A9579" s="2" t="inlineStr">
        <is>
          <t>2026-06-04 (정정: 2026-06-17)</t>
        </is>
      </c>
      <c r="B9579" s="3" t="inlineStr">
        <is>
          <t>피엠티</t>
        </is>
      </c>
      <c r="C9579" s="2" t="inlineStr">
        <is>
          <t>코스닥</t>
        </is>
      </c>
      <c r="D9579" s="2" t="inlineStr">
        <is>
          <t>147760</t>
        </is>
      </c>
      <c r="E9579" s="3" t="inlineStr">
        <is>
          <t>효력발생안내( 2026.5.18. 제출 증권신고서(지분증권) ) (정정: 20260617)</t>
        </is>
      </c>
      <c r="F9579" s="3" t="inlineStr">
        <is>
          <t>금융감독원</t>
        </is>
      </c>
      <c r="G9579" s="2" t="inlineStr">
        <is>
          <t>20260617000230</t>
        </is>
      </c>
      <c r="H9579" s="8">
        <f>HYPERLINK("https://dart.fss.or.kr/dsaf001/main.do?rcpNo=20260617000230", "공시열람")</f>
        <v/>
      </c>
    </row>
    <row r="9580">
      <c r="A9580" s="2" t="inlineStr">
        <is>
          <t>2026-06-04</t>
        </is>
      </c>
      <c r="B9580" s="3" t="inlineStr">
        <is>
          <t>온타이드</t>
        </is>
      </c>
      <c r="C9580" s="2" t="inlineStr">
        <is>
          <t>코스피</t>
        </is>
      </c>
      <c r="D9580" s="2" t="inlineStr">
        <is>
          <t>005320</t>
        </is>
      </c>
      <c r="E9580" s="3" t="inlineStr">
        <is>
          <t>임원ㆍ주요주주특정증권등소유상황보고서</t>
        </is>
      </c>
      <c r="F9580" s="3" t="inlineStr">
        <is>
          <t>약진통상</t>
        </is>
      </c>
      <c r="G9580" s="2" t="inlineStr">
        <is>
          <t>20260602000572</t>
        </is>
      </c>
      <c r="H9580" s="8">
        <f>HYPERLINK("https://dart.fss.or.kr/dsaf001/main.do?rcpNo=20260602000572", "공시열람")</f>
        <v/>
      </c>
    </row>
    <row r="9581">
      <c r="A9581" s="2" t="inlineStr">
        <is>
          <t>2026-06-05</t>
        </is>
      </c>
      <c r="B9581" s="3" t="inlineStr">
        <is>
          <t>핀텔</t>
        </is>
      </c>
      <c r="C9581" s="2" t="inlineStr">
        <is>
          <t>코스닥</t>
        </is>
      </c>
      <c r="D9581" s="2" t="inlineStr">
        <is>
          <t>291810</t>
        </is>
      </c>
      <c r="E9581" s="3" t="inlineStr">
        <is>
          <t>불성실공시법인지정              (공시번복 4건)</t>
        </is>
      </c>
      <c r="F9581" s="3" t="inlineStr">
        <is>
          <t>코스닥시장본부</t>
        </is>
      </c>
      <c r="G9581" s="2" t="inlineStr">
        <is>
          <t>20260605900966</t>
        </is>
      </c>
      <c r="H9581" s="8">
        <f>HYPERLINK("https://dart.fss.or.kr/dsaf001/main.do?rcpNo=20260605900966", "공시열람")</f>
        <v/>
      </c>
    </row>
    <row r="9582">
      <c r="A9582" s="2" t="inlineStr">
        <is>
          <t>2026-06-05</t>
        </is>
      </c>
      <c r="B9582" s="3" t="inlineStr">
        <is>
          <t>서울전자통신</t>
        </is>
      </c>
      <c r="C9582" s="2" t="inlineStr">
        <is>
          <t>코스닥</t>
        </is>
      </c>
      <c r="D9582" s="2" t="inlineStr">
        <is>
          <t>027040</t>
        </is>
      </c>
      <c r="E9582" s="3" t="inlineStr">
        <is>
          <t xml:space="preserve">소송등의판결ㆍ결정(일정금액이상의청구)              </t>
        </is>
      </c>
      <c r="F9582" s="3" t="inlineStr">
        <is>
          <t>서울전자통신</t>
        </is>
      </c>
      <c r="G9582" s="2" t="inlineStr">
        <is>
          <t>20260605900910</t>
        </is>
      </c>
      <c r="H9582" s="8">
        <f>HYPERLINK("https://dart.fss.or.kr/dsaf001/main.do?rcpNo=20260605900910", "공시열람")</f>
        <v/>
      </c>
    </row>
    <row r="9583">
      <c r="A9583" s="2" t="inlineStr">
        <is>
          <t>2026-06-05</t>
        </is>
      </c>
      <c r="B9583" s="3" t="inlineStr">
        <is>
          <t>다원시스</t>
        </is>
      </c>
      <c r="C9583" s="2" t="inlineStr">
        <is>
          <t>코스닥</t>
        </is>
      </c>
      <c r="D9583" s="2" t="inlineStr">
        <is>
          <t>068240</t>
        </is>
      </c>
      <c r="E9583" s="3" t="inlineStr">
        <is>
          <t>불성실공시법인지정예고              (공시번복 6건, 공시불이행 1건, 공시변경 1건)</t>
        </is>
      </c>
      <c r="F9583" s="3" t="inlineStr">
        <is>
          <t>코스닥시장본부</t>
        </is>
      </c>
      <c r="G9583" s="2" t="inlineStr">
        <is>
          <t>20260605900928</t>
        </is>
      </c>
      <c r="H9583" s="8">
        <f>HYPERLINK("https://dart.fss.or.kr/dsaf001/main.do?rcpNo=20260605900928", "공시열람")</f>
        <v/>
      </c>
    </row>
    <row r="9584">
      <c r="A9584" s="2" t="inlineStr">
        <is>
          <t>2026-06-05 (정정: 2026-06-18)</t>
        </is>
      </c>
      <c r="B9584" s="3" t="inlineStr">
        <is>
          <t>비트플래닛</t>
        </is>
      </c>
      <c r="C9584" s="2" t="inlineStr">
        <is>
          <t>코스닥</t>
        </is>
      </c>
      <c r="D9584" s="2" t="inlineStr">
        <is>
          <t>049470</t>
        </is>
      </c>
      <c r="E9584" s="3" t="inlineStr">
        <is>
          <t>주요사항보고서(유형자산양수결정) (정정: 20260618)</t>
        </is>
      </c>
      <c r="F9584" s="3" t="inlineStr">
        <is>
          <t>비트플래닛</t>
        </is>
      </c>
      <c r="G9584" s="2" t="inlineStr">
        <is>
          <t>20260617000510</t>
        </is>
      </c>
      <c r="H9584" s="8">
        <f>HYPERLINK("https://dart.fss.or.kr/dsaf001/main.do?rcpNo=20260617000510", "공시열람")</f>
        <v/>
      </c>
    </row>
    <row r="9585">
      <c r="A9585" s="2" t="inlineStr">
        <is>
          <t>2026-06-05</t>
        </is>
      </c>
      <c r="B9585" s="3" t="inlineStr">
        <is>
          <t>나인테크</t>
        </is>
      </c>
      <c r="C9585" s="2" t="inlineStr">
        <is>
          <t>코스닥</t>
        </is>
      </c>
      <c r="D9585" s="2" t="inlineStr">
        <is>
          <t>267320</t>
        </is>
      </c>
      <c r="E9585" s="3" t="inlineStr">
        <is>
          <t>주요사항보고서(제3자의전환사채매수선택권행사)</t>
        </is>
      </c>
      <c r="F9585" s="3" t="inlineStr">
        <is>
          <t>나인테크</t>
        </is>
      </c>
      <c r="G9585" s="2" t="inlineStr">
        <is>
          <t>20260605000666</t>
        </is>
      </c>
      <c r="H9585" s="8">
        <f>HYPERLINK("https://dart.fss.or.kr/dsaf001/main.do?rcpNo=20260605000666", "공시열람")</f>
        <v/>
      </c>
    </row>
    <row r="9586">
      <c r="A9586" s="2" t="inlineStr">
        <is>
          <t>2026-06-05 (정정: 2026-06-11)</t>
        </is>
      </c>
      <c r="B9586" s="3" t="inlineStr">
        <is>
          <t>케이티스카이라이프</t>
        </is>
      </c>
      <c r="C9586" s="2" t="inlineStr">
        <is>
          <t>코스피</t>
        </is>
      </c>
      <c r="D9586" s="2" t="inlineStr">
        <is>
          <t>053210</t>
        </is>
      </c>
      <c r="E9586" s="3" t="inlineStr">
        <is>
          <t>증권신고서(채무증권) (정정: 20260611)</t>
        </is>
      </c>
      <c r="F9586" s="3" t="inlineStr">
        <is>
          <t>케이티스카이라이프</t>
        </is>
      </c>
      <c r="G9586" s="2" t="inlineStr">
        <is>
          <t>20260611000599</t>
        </is>
      </c>
      <c r="H9586" s="8">
        <f>HYPERLINK("https://dart.fss.or.kr/dsaf001/main.do?rcpNo=20260611000599", "공시열람")</f>
        <v/>
      </c>
    </row>
    <row r="9587">
      <c r="A9587" s="2" t="inlineStr">
        <is>
          <t>2026-06-05 (정정: 2026-06-24)</t>
        </is>
      </c>
      <c r="B9587" s="3" t="inlineStr">
        <is>
          <t>나인테크</t>
        </is>
      </c>
      <c r="C9587" s="2" t="inlineStr">
        <is>
          <t>코스닥</t>
        </is>
      </c>
      <c r="D9587" s="2" t="inlineStr">
        <is>
          <t>267320</t>
        </is>
      </c>
      <c r="E9587" s="3" t="inlineStr">
        <is>
          <t>주요사항보고서(전환사채매수선택권행사자지정) (정정: 20260624)</t>
        </is>
      </c>
      <c r="F9587" s="3" t="inlineStr">
        <is>
          <t>나인테크</t>
        </is>
      </c>
      <c r="G9587" s="2" t="inlineStr">
        <is>
          <t>20260624000269</t>
        </is>
      </c>
      <c r="H9587" s="8">
        <f>HYPERLINK("https://dart.fss.or.kr/dsaf001/main.do?rcpNo=20260624000269", "공시열람")</f>
        <v/>
      </c>
    </row>
    <row r="9588">
      <c r="A9588" s="2" t="inlineStr">
        <is>
          <t>2026-06-05</t>
        </is>
      </c>
      <c r="B9588" s="3" t="inlineStr">
        <is>
          <t>다원시스</t>
        </is>
      </c>
      <c r="C9588" s="2" t="inlineStr">
        <is>
          <t>코스닥</t>
        </is>
      </c>
      <c r="D9588" s="2" t="inlineStr">
        <is>
          <t>068240</t>
        </is>
      </c>
      <c r="E9588" s="3" t="inlineStr">
        <is>
          <t>주권매매거래정지기간변경              (상장적격성 실질심사 대상 결정)</t>
        </is>
      </c>
      <c r="F9588" s="3" t="inlineStr">
        <is>
          <t>코스닥시장본부</t>
        </is>
      </c>
      <c r="G9588" s="2" t="inlineStr">
        <is>
          <t>20260605900917</t>
        </is>
      </c>
      <c r="H9588" s="8">
        <f>HYPERLINK("https://dart.fss.or.kr/dsaf001/main.do?rcpNo=20260605900917", "공시열람")</f>
        <v/>
      </c>
    </row>
    <row r="9589">
      <c r="A9589" s="2" t="inlineStr">
        <is>
          <t>2026-06-05</t>
        </is>
      </c>
      <c r="B9589" s="3" t="inlineStr">
        <is>
          <t>휴림에이텍</t>
        </is>
      </c>
      <c r="C9589" s="2" t="inlineStr">
        <is>
          <t>코스닥</t>
        </is>
      </c>
      <c r="D9589" s="2" t="inlineStr">
        <is>
          <t>078590</t>
        </is>
      </c>
      <c r="E9589" s="3" t="inlineStr">
        <is>
          <t xml:space="preserve">주주명부폐쇄기간또는기준일설정              </t>
        </is>
      </c>
      <c r="F9589" s="3" t="inlineStr">
        <is>
          <t>휴림에이텍</t>
        </is>
      </c>
      <c r="G9589" s="2" t="inlineStr">
        <is>
          <t>20260605900880</t>
        </is>
      </c>
      <c r="H9589" s="8">
        <f>HYPERLINK("https://dart.fss.or.kr/dsaf001/main.do?rcpNo=20260605900880", "공시열람")</f>
        <v/>
      </c>
    </row>
    <row r="9590">
      <c r="A9590" s="2" t="inlineStr">
        <is>
          <t>2026-06-05</t>
        </is>
      </c>
      <c r="B9590" s="3" t="inlineStr">
        <is>
          <t>아이에이</t>
        </is>
      </c>
      <c r="C9590" s="2" t="inlineStr">
        <is>
          <t>코스닥</t>
        </is>
      </c>
      <c r="D9590" s="2" t="inlineStr">
        <is>
          <t>038880</t>
        </is>
      </c>
      <c r="E9590" s="3" t="inlineStr">
        <is>
          <t>주권매매거래정지              (주식의 병합, 분할 등 전자등록 변경, 말소)</t>
        </is>
      </c>
      <c r="F9590" s="3" t="inlineStr">
        <is>
          <t>코스닥시장본부</t>
        </is>
      </c>
      <c r="G9590" s="2" t="inlineStr">
        <is>
          <t>20260605900878</t>
        </is>
      </c>
      <c r="H9590" s="8">
        <f>HYPERLINK("https://dart.fss.or.kr/dsaf001/main.do?rcpNo=20260605900878", "공시열람")</f>
        <v/>
      </c>
    </row>
    <row r="9591">
      <c r="A9591" s="2" t="inlineStr">
        <is>
          <t>2026-06-05</t>
        </is>
      </c>
      <c r="B9591" s="3" t="inlineStr">
        <is>
          <t>로보티즈</t>
        </is>
      </c>
      <c r="C9591" s="2" t="inlineStr">
        <is>
          <t>코스닥</t>
        </is>
      </c>
      <c r="D9591" s="2" t="inlineStr">
        <is>
          <t>108490</t>
        </is>
      </c>
      <c r="E9591" s="3" t="inlineStr">
        <is>
          <t>임원ㆍ주요주주특정증권등소유상황보고서</t>
        </is>
      </c>
      <c r="F9591" s="3" t="inlineStr">
        <is>
          <t>김세형</t>
        </is>
      </c>
      <c r="G9591" s="2" t="inlineStr">
        <is>
          <t>20260605000659</t>
        </is>
      </c>
      <c r="H9591" s="8">
        <f>HYPERLINK("https://dart.fss.or.kr/dsaf001/main.do?rcpNo=20260605000659", "공시열람")</f>
        <v/>
      </c>
    </row>
    <row r="9592">
      <c r="A9592" s="2" t="inlineStr">
        <is>
          <t>2026-06-05</t>
        </is>
      </c>
      <c r="B9592" s="3" t="inlineStr">
        <is>
          <t>진양제약</t>
        </is>
      </c>
      <c r="C9592" s="2" t="inlineStr">
        <is>
          <t>코스닥</t>
        </is>
      </c>
      <c r="D9592" s="2" t="inlineStr">
        <is>
          <t>007370</t>
        </is>
      </c>
      <c r="E9592" s="3" t="inlineStr">
        <is>
          <t>임원ㆍ주요주주특정증권등소유상황보고서</t>
        </is>
      </c>
      <c r="F9592" s="3" t="inlineStr">
        <is>
          <t>최윤환</t>
        </is>
      </c>
      <c r="G9592" s="2" t="inlineStr">
        <is>
          <t>20260605000658</t>
        </is>
      </c>
      <c r="H9592" s="8">
        <f>HYPERLINK("https://dart.fss.or.kr/dsaf001/main.do?rcpNo=20260605000658", "공시열람")</f>
        <v/>
      </c>
    </row>
    <row r="9593">
      <c r="A9593" s="2" t="inlineStr">
        <is>
          <t>2026-06-05</t>
        </is>
      </c>
      <c r="B9593" s="3" t="inlineStr">
        <is>
          <t>코스메카코리아</t>
        </is>
      </c>
      <c r="C9593" s="2" t="inlineStr">
        <is>
          <t>코스닥</t>
        </is>
      </c>
      <c r="D9593" s="2" t="inlineStr">
        <is>
          <t>241710</t>
        </is>
      </c>
      <c r="E9593" s="3" t="inlineStr">
        <is>
          <t>[첨부정정]주요사항보고서(유형자산양수결정)</t>
        </is>
      </c>
      <c r="F9593" s="3" t="inlineStr">
        <is>
          <t>코스메카코리아</t>
        </is>
      </c>
      <c r="G9593" s="2" t="inlineStr">
        <is>
          <t>20260605000640</t>
        </is>
      </c>
      <c r="H9593" s="8">
        <f>HYPERLINK("https://dart.fss.or.kr/dsaf001/main.do?rcpNo=20260605000640", "공시열람")</f>
        <v/>
      </c>
    </row>
    <row r="9594">
      <c r="A9594" s="2" t="inlineStr">
        <is>
          <t>2026-06-05</t>
        </is>
      </c>
      <c r="B9594" s="3" t="inlineStr">
        <is>
          <t>뉴로메카</t>
        </is>
      </c>
      <c r="C9594" s="2" t="inlineStr">
        <is>
          <t>코스닥</t>
        </is>
      </c>
      <c r="D9594" s="2" t="inlineStr">
        <is>
          <t>348340</t>
        </is>
      </c>
      <c r="E9594" s="3" t="inlineStr">
        <is>
          <t>임원ㆍ주요주주특정증권등거래계획보고서</t>
        </is>
      </c>
      <c r="F9594" s="3" t="inlineStr">
        <is>
          <t>박종훈</t>
        </is>
      </c>
      <c r="G9594" s="2" t="inlineStr">
        <is>
          <t>20260605000648</t>
        </is>
      </c>
      <c r="H9594" s="8">
        <f>HYPERLINK("https://dart.fss.or.kr/dsaf001/main.do?rcpNo=20260605000648", "공시열람")</f>
        <v/>
      </c>
    </row>
    <row r="9595">
      <c r="A9595" s="2" t="inlineStr">
        <is>
          <t>2026-06-05</t>
        </is>
      </c>
      <c r="B9595" s="3" t="inlineStr">
        <is>
          <t>키움증권</t>
        </is>
      </c>
      <c r="C9595" s="2" t="inlineStr">
        <is>
          <t>코스피</t>
        </is>
      </c>
      <c r="D9595" s="2" t="inlineStr">
        <is>
          <t>039490</t>
        </is>
      </c>
      <c r="E9595" s="3" t="inlineStr">
        <is>
          <t>증권발행실적보고서</t>
        </is>
      </c>
      <c r="F9595" s="3" t="inlineStr">
        <is>
          <t>키움증권</t>
        </is>
      </c>
      <c r="G9595" s="2" t="inlineStr">
        <is>
          <t>20260605000642</t>
        </is>
      </c>
      <c r="H9595" s="8">
        <f>HYPERLINK("https://dart.fss.or.kr/dsaf001/main.do?rcpNo=20260605000642", "공시열람")</f>
        <v/>
      </c>
    </row>
    <row r="9596">
      <c r="A9596" s="2" t="inlineStr">
        <is>
          <t>2026-06-05</t>
        </is>
      </c>
      <c r="B9596" s="3" t="inlineStr">
        <is>
          <t>SIMPAC</t>
        </is>
      </c>
      <c r="C9596" s="2" t="inlineStr">
        <is>
          <t>코스피</t>
        </is>
      </c>
      <c r="D9596" s="2" t="inlineStr">
        <is>
          <t>009160</t>
        </is>
      </c>
      <c r="E9596" s="3" t="inlineStr">
        <is>
          <t>임원ㆍ주요주주특정증권등소유상황보고서</t>
        </is>
      </c>
      <c r="F9596" s="3" t="inlineStr">
        <is>
          <t>최민찬</t>
        </is>
      </c>
      <c r="G9596" s="2" t="inlineStr">
        <is>
          <t>20260605000641</t>
        </is>
      </c>
      <c r="H9596" s="8">
        <f>HYPERLINK("https://dart.fss.or.kr/dsaf001/main.do?rcpNo=20260605000641", "공시열람")</f>
        <v/>
      </c>
    </row>
    <row r="9597">
      <c r="A9597" s="2" t="inlineStr">
        <is>
          <t>2026-06-05</t>
        </is>
      </c>
      <c r="B9597" s="3" t="inlineStr">
        <is>
          <t>웅진씽크빅</t>
        </is>
      </c>
      <c r="C9597" s="2" t="inlineStr">
        <is>
          <t>코스피</t>
        </is>
      </c>
      <c r="D9597" s="2" t="inlineStr">
        <is>
          <t>095720</t>
        </is>
      </c>
      <c r="E9597" s="3" t="inlineStr">
        <is>
          <t>임원ㆍ주요주주특정증권등소유상황보고서</t>
        </is>
      </c>
      <c r="F9597" s="3" t="inlineStr">
        <is>
          <t>곽태호</t>
        </is>
      </c>
      <c r="G9597" s="2" t="inlineStr">
        <is>
          <t>20260605000637</t>
        </is>
      </c>
      <c r="H9597" s="8">
        <f>HYPERLINK("https://dart.fss.or.kr/dsaf001/main.do?rcpNo=20260605000637", "공시열람")</f>
        <v/>
      </c>
    </row>
    <row r="9598">
      <c r="A9598" s="2" t="inlineStr">
        <is>
          <t>2026-06-05</t>
        </is>
      </c>
      <c r="B9598" s="3" t="inlineStr">
        <is>
          <t>웅진씽크빅</t>
        </is>
      </c>
      <c r="C9598" s="2" t="inlineStr">
        <is>
          <t>코스피</t>
        </is>
      </c>
      <c r="D9598" s="2" t="inlineStr">
        <is>
          <t>095720</t>
        </is>
      </c>
      <c r="E9598" s="3" t="inlineStr">
        <is>
          <t>임원ㆍ주요주주특정증권등소유상황보고서</t>
        </is>
      </c>
      <c r="F9598" s="3" t="inlineStr">
        <is>
          <t>임한우</t>
        </is>
      </c>
      <c r="G9598" s="2" t="inlineStr">
        <is>
          <t>20260605000635</t>
        </is>
      </c>
      <c r="H9598" s="8">
        <f>HYPERLINK("https://dart.fss.or.kr/dsaf001/main.do?rcpNo=20260605000635", "공시열람")</f>
        <v/>
      </c>
    </row>
    <row r="9599">
      <c r="A9599" s="2" t="inlineStr">
        <is>
          <t>2026-06-05</t>
        </is>
      </c>
      <c r="B9599" s="3" t="inlineStr">
        <is>
          <t>한양증권</t>
        </is>
      </c>
      <c r="C9599" s="2" t="inlineStr">
        <is>
          <t>코스피</t>
        </is>
      </c>
      <c r="D9599" s="2" t="inlineStr">
        <is>
          <t>001750</t>
        </is>
      </c>
      <c r="E9599" s="3" t="inlineStr">
        <is>
          <t>임원ㆍ주요주주특정증권등소유상황보고서</t>
        </is>
      </c>
      <c r="F9599" s="3" t="inlineStr">
        <is>
          <t>김병철</t>
        </is>
      </c>
      <c r="G9599" s="2" t="inlineStr">
        <is>
          <t>20260605000634</t>
        </is>
      </c>
      <c r="H9599" s="8">
        <f>HYPERLINK("https://dart.fss.or.kr/dsaf001/main.do?rcpNo=20260605000634", "공시열람")</f>
        <v/>
      </c>
    </row>
    <row r="9600">
      <c r="A9600" s="2" t="inlineStr">
        <is>
          <t>2026-06-05</t>
        </is>
      </c>
      <c r="B9600" s="3" t="inlineStr">
        <is>
          <t>웅진씽크빅</t>
        </is>
      </c>
      <c r="C9600" s="2" t="inlineStr">
        <is>
          <t>코스피</t>
        </is>
      </c>
      <c r="D9600" s="2" t="inlineStr">
        <is>
          <t>095720</t>
        </is>
      </c>
      <c r="E9600" s="3" t="inlineStr">
        <is>
          <t>임원ㆍ주요주주특정증권등소유상황보고서</t>
        </is>
      </c>
      <c r="F9600" s="3" t="inlineStr">
        <is>
          <t>안경숙</t>
        </is>
      </c>
      <c r="G9600" s="2" t="inlineStr">
        <is>
          <t>20260605000629</t>
        </is>
      </c>
      <c r="H9600" s="8">
        <f>HYPERLINK("https://dart.fss.or.kr/dsaf001/main.do?rcpNo=20260605000629", "공시열람")</f>
        <v/>
      </c>
    </row>
    <row r="9601">
      <c r="A9601" s="2" t="inlineStr">
        <is>
          <t>2026-06-05</t>
        </is>
      </c>
      <c r="B9601" s="3" t="inlineStr">
        <is>
          <t>한화투자증권</t>
        </is>
      </c>
      <c r="C9601" s="2" t="inlineStr">
        <is>
          <t>코스피</t>
        </is>
      </c>
      <c r="D9601" s="2" t="inlineStr">
        <is>
          <t>003530</t>
        </is>
      </c>
      <c r="E9601" s="3" t="inlineStr">
        <is>
          <t>증권발행실적보고서</t>
        </is>
      </c>
      <c r="F9601" s="3" t="inlineStr">
        <is>
          <t>한화투자증권</t>
        </is>
      </c>
      <c r="G9601" s="2" t="inlineStr">
        <is>
          <t>20260605000628</t>
        </is>
      </c>
      <c r="H9601" s="8">
        <f>HYPERLINK("https://dart.fss.or.kr/dsaf001/main.do?rcpNo=20260605000628", "공시열람")</f>
        <v/>
      </c>
    </row>
    <row r="9602">
      <c r="A9602" s="2" t="inlineStr">
        <is>
          <t>2026-06-05</t>
        </is>
      </c>
      <c r="B9602" s="3" t="inlineStr">
        <is>
          <t>웅진씽크빅</t>
        </is>
      </c>
      <c r="C9602" s="2" t="inlineStr">
        <is>
          <t>코스피</t>
        </is>
      </c>
      <c r="D9602" s="2" t="inlineStr">
        <is>
          <t>095720</t>
        </is>
      </c>
      <c r="E9602" s="3" t="inlineStr">
        <is>
          <t>임원ㆍ주요주주특정증권등소유상황보고서</t>
        </is>
      </c>
      <c r="F9602" s="3" t="inlineStr">
        <is>
          <t>최일동</t>
        </is>
      </c>
      <c r="G9602" s="2" t="inlineStr">
        <is>
          <t>20260605000626</t>
        </is>
      </c>
      <c r="H9602" s="8">
        <f>HYPERLINK("https://dart.fss.or.kr/dsaf001/main.do?rcpNo=20260605000626", "공시열람")</f>
        <v/>
      </c>
    </row>
    <row r="9603">
      <c r="A9603" s="2" t="inlineStr">
        <is>
          <t>2026-06-05</t>
        </is>
      </c>
      <c r="B9603" s="3" t="inlineStr">
        <is>
          <t>KG케미칼</t>
        </is>
      </c>
      <c r="C9603" s="2" t="inlineStr">
        <is>
          <t>코스피</t>
        </is>
      </c>
      <c r="D9603" s="2" t="inlineStr">
        <is>
          <t>001390</t>
        </is>
      </c>
      <c r="E9603" s="3" t="inlineStr">
        <is>
          <t xml:space="preserve">타법인주식및출자증권처분결정(종속회사의주요경영사항)              </t>
        </is>
      </c>
      <c r="F9603" s="3" t="inlineStr">
        <is>
          <t>KG케미칼</t>
        </is>
      </c>
      <c r="G9603" s="2" t="inlineStr">
        <is>
          <t>20260605800874</t>
        </is>
      </c>
      <c r="H9603" s="8">
        <f>HYPERLINK("https://dart.fss.or.kr/dsaf001/main.do?rcpNo=20260605800874", "공시열람")</f>
        <v/>
      </c>
    </row>
    <row r="9604">
      <c r="A9604" s="2" t="inlineStr">
        <is>
          <t>2026-06-05</t>
        </is>
      </c>
      <c r="B9604" s="3" t="inlineStr">
        <is>
          <t>한화투자증권</t>
        </is>
      </c>
      <c r="C9604" s="2" t="inlineStr">
        <is>
          <t>코스피</t>
        </is>
      </c>
      <c r="D9604" s="2" t="inlineStr">
        <is>
          <t>003530</t>
        </is>
      </c>
      <c r="E9604" s="3" t="inlineStr">
        <is>
          <t>증권발행실적보고서</t>
        </is>
      </c>
      <c r="F9604" s="3" t="inlineStr">
        <is>
          <t>한화투자증권</t>
        </is>
      </c>
      <c r="G9604" s="2" t="inlineStr">
        <is>
          <t>20260605000623</t>
        </is>
      </c>
      <c r="H9604" s="8">
        <f>HYPERLINK("https://dart.fss.or.kr/dsaf001/main.do?rcpNo=20260605000623", "공시열람")</f>
        <v/>
      </c>
    </row>
    <row r="9605">
      <c r="A9605" s="2" t="inlineStr">
        <is>
          <t>2026-06-05</t>
        </is>
      </c>
      <c r="B9605" s="3" t="inlineStr">
        <is>
          <t>지투지바이오</t>
        </is>
      </c>
      <c r="C9605" s="2" t="inlineStr">
        <is>
          <t>코스닥</t>
        </is>
      </c>
      <c r="D9605" s="2" t="inlineStr">
        <is>
          <t>456160</t>
        </is>
      </c>
      <c r="E9605" s="3" t="inlineStr">
        <is>
          <t>임원ㆍ주요주주특정증권등소유상황보고서</t>
        </is>
      </c>
      <c r="F9605" s="3" t="inlineStr">
        <is>
          <t>이종미</t>
        </is>
      </c>
      <c r="G9605" s="2" t="inlineStr">
        <is>
          <t>20260605000622</t>
        </is>
      </c>
      <c r="H9605" s="8">
        <f>HYPERLINK("https://dart.fss.or.kr/dsaf001/main.do?rcpNo=20260605000622", "공시열람")</f>
        <v/>
      </c>
    </row>
    <row r="9606">
      <c r="A9606" s="2" t="inlineStr">
        <is>
          <t>2026-06-05</t>
        </is>
      </c>
      <c r="B9606" s="3" t="inlineStr">
        <is>
          <t>에코프로머티</t>
        </is>
      </c>
      <c r="C9606" s="2" t="inlineStr">
        <is>
          <t>코스피</t>
        </is>
      </c>
      <c r="D9606" s="2" t="inlineStr">
        <is>
          <t>450080</t>
        </is>
      </c>
      <c r="E9606" s="3" t="inlineStr">
        <is>
          <t>임원ㆍ주요주주특정증권등거래계획철회보고서</t>
        </is>
      </c>
      <c r="F9606" s="3" t="inlineStr">
        <is>
          <t>김수연</t>
        </is>
      </c>
      <c r="G9606" s="2" t="inlineStr">
        <is>
          <t>20260605000621</t>
        </is>
      </c>
      <c r="H9606" s="8">
        <f>HYPERLINK("https://dart.fss.or.kr/dsaf001/main.do?rcpNo=20260605000621", "공시열람")</f>
        <v/>
      </c>
    </row>
    <row r="9607">
      <c r="A9607" s="2" t="inlineStr">
        <is>
          <t>2026-06-05</t>
        </is>
      </c>
      <c r="B9607" s="3" t="inlineStr">
        <is>
          <t>웅진씽크빅</t>
        </is>
      </c>
      <c r="C9607" s="2" t="inlineStr">
        <is>
          <t>코스피</t>
        </is>
      </c>
      <c r="D9607" s="2" t="inlineStr">
        <is>
          <t>095720</t>
        </is>
      </c>
      <c r="E9607" s="3" t="inlineStr">
        <is>
          <t>임원ㆍ주요주주특정증권등소유상황보고서</t>
        </is>
      </c>
      <c r="F9607" s="3" t="inlineStr">
        <is>
          <t>웅진</t>
        </is>
      </c>
      <c r="G9607" s="2" t="inlineStr">
        <is>
          <t>20260605000616</t>
        </is>
      </c>
      <c r="H9607" s="8">
        <f>HYPERLINK("https://dart.fss.or.kr/dsaf001/main.do?rcpNo=20260605000616", "공시열람")</f>
        <v/>
      </c>
    </row>
    <row r="9608">
      <c r="A9608" s="2" t="inlineStr">
        <is>
          <t>2026-06-05</t>
        </is>
      </c>
      <c r="B9608" s="3" t="inlineStr">
        <is>
          <t>한화투자증권</t>
        </is>
      </c>
      <c r="C9608" s="2" t="inlineStr">
        <is>
          <t>코스피</t>
        </is>
      </c>
      <c r="D9608" s="2" t="inlineStr">
        <is>
          <t>003530</t>
        </is>
      </c>
      <c r="E9608" s="3" t="inlineStr">
        <is>
          <t>투자설명서(일괄신고)</t>
        </is>
      </c>
      <c r="F9608" s="3" t="inlineStr">
        <is>
          <t>한화투자증권</t>
        </is>
      </c>
      <c r="G9608" s="2" t="inlineStr">
        <is>
          <t>20260605000615</t>
        </is>
      </c>
      <c r="H9608" s="8">
        <f>HYPERLINK("https://dart.fss.or.kr/dsaf001/main.do?rcpNo=20260605000615", "공시열람")</f>
        <v/>
      </c>
    </row>
    <row r="9609">
      <c r="A9609" s="2" t="inlineStr">
        <is>
          <t>2026-06-05</t>
        </is>
      </c>
      <c r="B9609" s="3" t="inlineStr">
        <is>
          <t>한화투자증권</t>
        </is>
      </c>
      <c r="C9609" s="2" t="inlineStr">
        <is>
          <t>코스피</t>
        </is>
      </c>
      <c r="D9609" s="2" t="inlineStr">
        <is>
          <t>003530</t>
        </is>
      </c>
      <c r="E9609" s="3" t="inlineStr">
        <is>
          <t>일괄신고추가서류(파생결합사채-주가연계파생결합사채)</t>
        </is>
      </c>
      <c r="F9609" s="3" t="inlineStr">
        <is>
          <t>한화투자증권</t>
        </is>
      </c>
      <c r="G9609" s="2" t="inlineStr">
        <is>
          <t>20260605000614</t>
        </is>
      </c>
      <c r="H9609" s="8">
        <f>HYPERLINK("https://dart.fss.or.kr/dsaf001/main.do?rcpNo=20260605000614", "공시열람")</f>
        <v/>
      </c>
    </row>
    <row r="9610">
      <c r="A9610" s="2" t="inlineStr">
        <is>
          <t>2026-06-05</t>
        </is>
      </c>
      <c r="B9610" s="3" t="inlineStr">
        <is>
          <t>대호에이엘</t>
        </is>
      </c>
      <c r="C9610" s="2" t="inlineStr">
        <is>
          <t>코스피</t>
        </is>
      </c>
      <c r="D9610" s="2" t="inlineStr">
        <is>
          <t>069460</t>
        </is>
      </c>
      <c r="E9610" s="3" t="inlineStr">
        <is>
          <t>[기재정정]의결권대리행사권유참고서류</t>
        </is>
      </c>
      <c r="F9610" s="3" t="inlineStr">
        <is>
          <t>이영섭</t>
        </is>
      </c>
      <c r="G9610" s="2" t="inlineStr">
        <is>
          <t>20260605000611</t>
        </is>
      </c>
      <c r="H9610" s="8">
        <f>HYPERLINK("https://dart.fss.or.kr/dsaf001/main.do?rcpNo=20260605000611", "공시열람")</f>
        <v/>
      </c>
    </row>
    <row r="9611">
      <c r="A9611" s="2" t="inlineStr">
        <is>
          <t>2026-06-05</t>
        </is>
      </c>
      <c r="B9611" s="3" t="inlineStr">
        <is>
          <t>코닉오토메이션</t>
        </is>
      </c>
      <c r="C9611" s="2" t="inlineStr">
        <is>
          <t>코스닥</t>
        </is>
      </c>
      <c r="D9611" s="2" t="inlineStr">
        <is>
          <t>391710</t>
        </is>
      </c>
      <c r="E9611" s="3" t="inlineStr">
        <is>
          <t>투자판단관련주요경영사항              ([국책과제 선정] 상용면적 페로브스카이트/결정질 실리콘 탠덤 모듈 기술개발 및 실증 사업(기후에너지환경부))</t>
        </is>
      </c>
      <c r="F9611" s="3" t="inlineStr">
        <is>
          <t>코닉오토메이션</t>
        </is>
      </c>
      <c r="G9611" s="2" t="inlineStr">
        <is>
          <t>20260605900813</t>
        </is>
      </c>
      <c r="H9611" s="8">
        <f>HYPERLINK("https://dart.fss.or.kr/dsaf001/main.do?rcpNo=20260605900813", "공시열람")</f>
        <v/>
      </c>
    </row>
    <row r="9612">
      <c r="A9612" s="2" t="inlineStr">
        <is>
          <t>2026-06-05</t>
        </is>
      </c>
      <c r="B9612" s="3" t="inlineStr">
        <is>
          <t>대림통상</t>
        </is>
      </c>
      <c r="C9612" s="2" t="inlineStr">
        <is>
          <t>코스피</t>
        </is>
      </c>
      <c r="D9612" s="2" t="inlineStr">
        <is>
          <t>006570</t>
        </is>
      </c>
      <c r="E9612" s="3" t="inlineStr">
        <is>
          <t>임원ㆍ주요주주특정증권등소유상황보고서</t>
        </is>
      </c>
      <c r="F9612" s="3" t="inlineStr">
        <is>
          <t>디앤디파트너스</t>
        </is>
      </c>
      <c r="G9612" s="2" t="inlineStr">
        <is>
          <t>20260605000603</t>
        </is>
      </c>
      <c r="H9612" s="8">
        <f>HYPERLINK("https://dart.fss.or.kr/dsaf001/main.do?rcpNo=20260605000603", "공시열람")</f>
        <v/>
      </c>
    </row>
    <row r="9613">
      <c r="A9613" s="2" t="inlineStr">
        <is>
          <t>2026-06-05</t>
        </is>
      </c>
      <c r="B9613" s="3" t="inlineStr">
        <is>
          <t>코미코</t>
        </is>
      </c>
      <c r="C9613" s="2" t="inlineStr">
        <is>
          <t>코스닥</t>
        </is>
      </c>
      <c r="D9613" s="2" t="inlineStr">
        <is>
          <t>183300</t>
        </is>
      </c>
      <c r="E9613" s="3" t="inlineStr">
        <is>
          <t>기업가치제고계획(자율공시)              (2025년 이행현황)</t>
        </is>
      </c>
      <c r="F9613" s="3" t="inlineStr">
        <is>
          <t>코미코</t>
        </is>
      </c>
      <c r="G9613" s="2" t="inlineStr">
        <is>
          <t>20260605900810</t>
        </is>
      </c>
      <c r="H9613" s="8">
        <f>HYPERLINK("https://dart.fss.or.kr/dsaf001/main.do?rcpNo=20260605900810", "공시열람")</f>
        <v/>
      </c>
    </row>
    <row r="9614">
      <c r="A9614" s="2" t="inlineStr">
        <is>
          <t>2026-06-05</t>
        </is>
      </c>
      <c r="B9614" s="3" t="inlineStr">
        <is>
          <t>SK증권</t>
        </is>
      </c>
      <c r="C9614" s="2" t="inlineStr">
        <is>
          <t>코스피</t>
        </is>
      </c>
      <c r="D9614" s="2" t="inlineStr">
        <is>
          <t>001510</t>
        </is>
      </c>
      <c r="E9614" s="3" t="inlineStr">
        <is>
          <t>투자설명서(일괄신고)</t>
        </is>
      </c>
      <c r="F9614" s="3" t="inlineStr">
        <is>
          <t>SK증권</t>
        </is>
      </c>
      <c r="G9614" s="2" t="inlineStr">
        <is>
          <t>20260605000600</t>
        </is>
      </c>
      <c r="H9614" s="8">
        <f>HYPERLINK("https://dart.fss.or.kr/dsaf001/main.do?rcpNo=20260605000600", "공시열람")</f>
        <v/>
      </c>
    </row>
    <row r="9615">
      <c r="A9615" s="2" t="inlineStr">
        <is>
          <t>2026-06-05 (정정: 2026-06-08)</t>
        </is>
      </c>
      <c r="B9615" s="3" t="inlineStr">
        <is>
          <t>미래에셋증권</t>
        </is>
      </c>
      <c r="C9615" s="2" t="inlineStr">
        <is>
          <t>코스피</t>
        </is>
      </c>
      <c r="D9615" s="2" t="inlineStr">
        <is>
          <t>006800</t>
        </is>
      </c>
      <c r="E9615" s="3" t="inlineStr">
        <is>
          <t>증권발행실적보고서 (정정: 20260605) (정정: 20260608)</t>
        </is>
      </c>
      <c r="F9615" s="3" t="inlineStr">
        <is>
          <t>미래에셋증권</t>
        </is>
      </c>
      <c r="G9615" s="2" t="inlineStr">
        <is>
          <t>20260608000004</t>
        </is>
      </c>
      <c r="H9615" s="8">
        <f>HYPERLINK("https://dart.fss.or.kr/dsaf001/main.do?rcpNo=20260608000004", "공시열람")</f>
        <v/>
      </c>
    </row>
    <row r="9616">
      <c r="A9616" s="2" t="inlineStr">
        <is>
          <t>2026-06-05</t>
        </is>
      </c>
      <c r="B9616" s="3" t="inlineStr">
        <is>
          <t>유진로봇</t>
        </is>
      </c>
      <c r="C9616" s="2" t="inlineStr">
        <is>
          <t>코스닥</t>
        </is>
      </c>
      <c r="D9616" s="2" t="inlineStr">
        <is>
          <t>056080</t>
        </is>
      </c>
      <c r="E9616" s="3" t="inlineStr">
        <is>
          <t>임원ㆍ주요주주특정증권등소유상황보고서</t>
        </is>
      </c>
      <c r="F9616" s="3" t="inlineStr">
        <is>
          <t>IMANTOAG</t>
        </is>
      </c>
      <c r="G9616" s="2" t="inlineStr">
        <is>
          <t>20260605000596</t>
        </is>
      </c>
      <c r="H9616" s="8">
        <f>HYPERLINK("https://dart.fss.or.kr/dsaf001/main.do?rcpNo=20260605000596", "공시열람")</f>
        <v/>
      </c>
    </row>
    <row r="9617">
      <c r="A9617" s="2" t="inlineStr">
        <is>
          <t>2026-06-05</t>
        </is>
      </c>
      <c r="B9617" s="3" t="inlineStr">
        <is>
          <t>한화투자증권</t>
        </is>
      </c>
      <c r="C9617" s="2" t="inlineStr">
        <is>
          <t>코스피</t>
        </is>
      </c>
      <c r="D9617" s="2" t="inlineStr">
        <is>
          <t>003530</t>
        </is>
      </c>
      <c r="E9617" s="3" t="inlineStr">
        <is>
          <t>증권발행실적보고서</t>
        </is>
      </c>
      <c r="F9617" s="3" t="inlineStr">
        <is>
          <t>한화투자증권</t>
        </is>
      </c>
      <c r="G9617" s="2" t="inlineStr">
        <is>
          <t>20260605000595</t>
        </is>
      </c>
      <c r="H9617" s="8">
        <f>HYPERLINK("https://dart.fss.or.kr/dsaf001/main.do?rcpNo=20260605000595", "공시열람")</f>
        <v/>
      </c>
    </row>
    <row r="9618">
      <c r="A9618" s="2" t="inlineStr">
        <is>
          <t>2026-06-05 (정정: 2026-06-08)</t>
        </is>
      </c>
      <c r="B9618" s="3" t="inlineStr">
        <is>
          <t>토탈소프트</t>
        </is>
      </c>
      <c r="C9618" s="2" t="inlineStr">
        <is>
          <t>코스닥</t>
        </is>
      </c>
      <c r="D9618" s="2" t="inlineStr">
        <is>
          <t>045340</t>
        </is>
      </c>
      <c r="E9618" s="3" t="inlineStr">
        <is>
          <t>자기주식취득결과보고서 (정정: 20260608)</t>
        </is>
      </c>
      <c r="F9618" s="3" t="inlineStr">
        <is>
          <t>토탈소프트</t>
        </is>
      </c>
      <c r="G9618" s="2" t="inlineStr">
        <is>
          <t>20260608000215</t>
        </is>
      </c>
      <c r="H9618" s="8">
        <f>HYPERLINK("https://dart.fss.or.kr/dsaf001/main.do?rcpNo=20260608000215", "공시열람")</f>
        <v/>
      </c>
    </row>
    <row r="9619">
      <c r="A9619" s="2" t="inlineStr">
        <is>
          <t>2026-06-05</t>
        </is>
      </c>
      <c r="B9619" s="3" t="inlineStr">
        <is>
          <t>동양</t>
        </is>
      </c>
      <c r="C9619" s="2" t="inlineStr">
        <is>
          <t>코스피</t>
        </is>
      </c>
      <c r="D9619" s="2" t="inlineStr">
        <is>
          <t>001520</t>
        </is>
      </c>
      <c r="E9619" s="3" t="inlineStr">
        <is>
          <t>의결권대리행사권유참고서류</t>
        </is>
      </c>
      <c r="F9619" s="3" t="inlineStr">
        <is>
          <t>동양</t>
        </is>
      </c>
      <c r="G9619" s="2" t="inlineStr">
        <is>
          <t>20260605000592</t>
        </is>
      </c>
      <c r="H9619" s="8">
        <f>HYPERLINK("https://dart.fss.or.kr/dsaf001/main.do?rcpNo=20260605000592", "공시열람")</f>
        <v/>
      </c>
    </row>
    <row r="9620">
      <c r="A9620" s="2" t="inlineStr">
        <is>
          <t>2026-06-05</t>
        </is>
      </c>
      <c r="B9620" s="3" t="inlineStr">
        <is>
          <t>삼성전자</t>
        </is>
      </c>
      <c r="C9620" s="2" t="inlineStr">
        <is>
          <t>코스피</t>
        </is>
      </c>
      <c r="D9620" s="2" t="inlineStr">
        <is>
          <t>005930</t>
        </is>
      </c>
      <c r="E9620" s="3" t="inlineStr">
        <is>
          <t>임원ㆍ주요주주특정증권등소유상황보고서</t>
        </is>
      </c>
      <c r="F9620" s="3" t="inlineStr">
        <is>
          <t>윤장현</t>
        </is>
      </c>
      <c r="G9620" s="2" t="inlineStr">
        <is>
          <t>20260605000586</t>
        </is>
      </c>
      <c r="H9620" s="8">
        <f>HYPERLINK("https://dart.fss.or.kr/dsaf001/main.do?rcpNo=20260605000586", "공시열람")</f>
        <v/>
      </c>
    </row>
    <row r="9621">
      <c r="A9621" s="2" t="inlineStr">
        <is>
          <t>2026-06-05</t>
        </is>
      </c>
      <c r="B9621" s="3" t="inlineStr">
        <is>
          <t>다원시스</t>
        </is>
      </c>
      <c r="C9621" s="2" t="inlineStr">
        <is>
          <t>코스닥</t>
        </is>
      </c>
      <c r="D9621" s="2" t="inlineStr">
        <is>
          <t>068240</t>
        </is>
      </c>
      <c r="E9621" s="3" t="inlineStr">
        <is>
          <t>기타시장안내              (상장적격성 실질심사 대상 결정 )</t>
        </is>
      </c>
      <c r="F9621" s="3" t="inlineStr">
        <is>
          <t>코스닥시장본부</t>
        </is>
      </c>
      <c r="G9621" s="2" t="inlineStr">
        <is>
          <t>20260605900794</t>
        </is>
      </c>
      <c r="H9621" s="8">
        <f>HYPERLINK("https://dart.fss.or.kr/dsaf001/main.do?rcpNo=20260605900794", "공시열람")</f>
        <v/>
      </c>
    </row>
    <row r="9622">
      <c r="A9622" s="2" t="inlineStr">
        <is>
          <t>2026-06-05</t>
        </is>
      </c>
      <c r="B9622" s="3" t="inlineStr">
        <is>
          <t>한화투자증권</t>
        </is>
      </c>
      <c r="C9622" s="2" t="inlineStr">
        <is>
          <t>코스피</t>
        </is>
      </c>
      <c r="D9622" s="2" t="inlineStr">
        <is>
          <t>003530</t>
        </is>
      </c>
      <c r="E9622" s="3" t="inlineStr">
        <is>
          <t>투자설명서(일괄신고)</t>
        </is>
      </c>
      <c r="F9622" s="3" t="inlineStr">
        <is>
          <t>한화투자증권</t>
        </is>
      </c>
      <c r="G9622" s="2" t="inlineStr">
        <is>
          <t>20260605000573</t>
        </is>
      </c>
      <c r="H9622" s="8">
        <f>HYPERLINK("https://dart.fss.or.kr/dsaf001/main.do?rcpNo=20260605000573", "공시열람")</f>
        <v/>
      </c>
    </row>
    <row r="9623">
      <c r="A9623" s="2" t="inlineStr">
        <is>
          <t>2026-06-05 (정정: 2026-06-15)</t>
        </is>
      </c>
      <c r="B9623" s="3" t="inlineStr">
        <is>
          <t>호전실업</t>
        </is>
      </c>
      <c r="C9623" s="2" t="inlineStr">
        <is>
          <t>코스피</t>
        </is>
      </c>
      <c r="D9623" s="2" t="inlineStr">
        <is>
          <t>111110</t>
        </is>
      </c>
      <c r="E9623" s="3" t="inlineStr">
        <is>
          <t>임원ㆍ주요주주특정증권등소유상황보고서 (정정: 20260615)</t>
        </is>
      </c>
      <c r="F9623" s="3" t="inlineStr">
        <is>
          <t>이승희</t>
        </is>
      </c>
      <c r="G9623" s="2" t="inlineStr">
        <is>
          <t>20260615800435</t>
        </is>
      </c>
      <c r="H9623" s="8">
        <f>HYPERLINK("https://dart.fss.or.kr/dsaf001/main.do?rcpNo=20260615800435", "공시열람")</f>
        <v/>
      </c>
    </row>
    <row r="9624">
      <c r="A9624" s="2" t="inlineStr">
        <is>
          <t>2026-06-05</t>
        </is>
      </c>
      <c r="B9624" s="3" t="inlineStr">
        <is>
          <t>젠큐릭스</t>
        </is>
      </c>
      <c r="C9624" s="2" t="inlineStr">
        <is>
          <t>코스닥</t>
        </is>
      </c>
      <c r="D9624" s="2" t="inlineStr">
        <is>
          <t>229000</t>
        </is>
      </c>
      <c r="E9624" s="3" t="inlineStr">
        <is>
          <t>임원ㆍ주요주주특정증권등소유상황보고서</t>
        </is>
      </c>
      <c r="F9624" s="3" t="inlineStr">
        <is>
          <t>황금민</t>
        </is>
      </c>
      <c r="G9624" s="2" t="inlineStr">
        <is>
          <t>20260605000568</t>
        </is>
      </c>
      <c r="H9624" s="8">
        <f>HYPERLINK("https://dart.fss.or.kr/dsaf001/main.do?rcpNo=20260605000568", "공시열람")</f>
        <v/>
      </c>
    </row>
    <row r="9625">
      <c r="A9625" s="2" t="inlineStr">
        <is>
          <t>2026-06-05</t>
        </is>
      </c>
      <c r="B9625" s="3" t="inlineStr">
        <is>
          <t>크레버스</t>
        </is>
      </c>
      <c r="C9625" s="2" t="inlineStr">
        <is>
          <t>코스닥</t>
        </is>
      </c>
      <c r="D9625" s="2" t="inlineStr">
        <is>
          <t>096240</t>
        </is>
      </c>
      <c r="E9625" s="3" t="inlineStr">
        <is>
          <t>의결권대리행사권유참고서류</t>
        </is>
      </c>
      <c r="F9625" s="3" t="inlineStr">
        <is>
          <t>크레버스</t>
        </is>
      </c>
      <c r="G9625" s="2" t="inlineStr">
        <is>
          <t>20260605000567</t>
        </is>
      </c>
      <c r="H9625" s="8">
        <f>HYPERLINK("https://dart.fss.or.kr/dsaf001/main.do?rcpNo=20260605000567", "공시열람")</f>
        <v/>
      </c>
    </row>
    <row r="9626">
      <c r="A9626" s="2" t="inlineStr">
        <is>
          <t>2026-06-05</t>
        </is>
      </c>
      <c r="B9626" s="3" t="inlineStr">
        <is>
          <t>인벤티지랩</t>
        </is>
      </c>
      <c r="C9626" s="2" t="inlineStr">
        <is>
          <t>코스닥</t>
        </is>
      </c>
      <c r="D9626" s="2" t="inlineStr">
        <is>
          <t>389470</t>
        </is>
      </c>
      <c r="E9626" s="3" t="inlineStr">
        <is>
          <t>임원ㆍ주요주주특정증권등소유상황보고서</t>
        </is>
      </c>
      <c r="F9626" s="3" t="inlineStr">
        <is>
          <t>송순호</t>
        </is>
      </c>
      <c r="G9626" s="2" t="inlineStr">
        <is>
          <t>20260605000566</t>
        </is>
      </c>
      <c r="H9626" s="8">
        <f>HYPERLINK("https://dart.fss.or.kr/dsaf001/main.do?rcpNo=20260605000566", "공시열람")</f>
        <v/>
      </c>
    </row>
    <row r="9627">
      <c r="A9627" s="2" t="inlineStr">
        <is>
          <t>2026-06-05</t>
        </is>
      </c>
      <c r="B9627" s="3" t="inlineStr">
        <is>
          <t>인텍플러스</t>
        </is>
      </c>
      <c r="C9627" s="2" t="inlineStr">
        <is>
          <t>코스닥</t>
        </is>
      </c>
      <c r="D9627" s="2" t="inlineStr">
        <is>
          <t>064290</t>
        </is>
      </c>
      <c r="E9627" s="3" t="inlineStr">
        <is>
          <t xml:space="preserve">전환사채(해외전환사채포함)발행후만기전사채취득              </t>
        </is>
      </c>
      <c r="F9627" s="3" t="inlineStr">
        <is>
          <t>인텍플러스</t>
        </is>
      </c>
      <c r="G9627" s="2" t="inlineStr">
        <is>
          <t>20260605900786</t>
        </is>
      </c>
      <c r="H9627" s="8">
        <f>HYPERLINK("https://dart.fss.or.kr/dsaf001/main.do?rcpNo=20260605900786", "공시열람")</f>
        <v/>
      </c>
    </row>
    <row r="9628">
      <c r="A9628" s="2" t="inlineStr">
        <is>
          <t>2026-06-05</t>
        </is>
      </c>
      <c r="B9628" s="3" t="inlineStr">
        <is>
          <t>에임드바이오</t>
        </is>
      </c>
      <c r="C9628" s="2" t="inlineStr">
        <is>
          <t>코스닥</t>
        </is>
      </c>
      <c r="D9628" s="2" t="inlineStr">
        <is>
          <t>0009K0</t>
        </is>
      </c>
      <c r="E9628" s="3" t="inlineStr">
        <is>
          <t xml:space="preserve">주주명부폐쇄기간또는기준일설정              </t>
        </is>
      </c>
      <c r="F9628" s="3" t="inlineStr">
        <is>
          <t>에임드바이오</t>
        </is>
      </c>
      <c r="G9628" s="2" t="inlineStr">
        <is>
          <t>20260605900763</t>
        </is>
      </c>
      <c r="H9628" s="8">
        <f>HYPERLINK("https://dart.fss.or.kr/dsaf001/main.do?rcpNo=20260605900763", "공시열람")</f>
        <v/>
      </c>
    </row>
    <row r="9629">
      <c r="A9629" s="2" t="inlineStr">
        <is>
          <t>2026-06-05</t>
        </is>
      </c>
      <c r="B9629" s="3" t="inlineStr">
        <is>
          <t>DB증권</t>
        </is>
      </c>
      <c r="C9629" s="2" t="inlineStr">
        <is>
          <t>코스피</t>
        </is>
      </c>
      <c r="D9629" s="2" t="inlineStr">
        <is>
          <t>016610</t>
        </is>
      </c>
      <c r="E9629" s="3" t="inlineStr">
        <is>
          <t>임원ㆍ주요주주특정증권등소유상황보고서</t>
        </is>
      </c>
      <c r="F9629" s="3" t="inlineStr">
        <is>
          <t>류용동</t>
        </is>
      </c>
      <c r="G9629" s="2" t="inlineStr">
        <is>
          <t>20260605000560</t>
        </is>
      </c>
      <c r="H9629" s="8">
        <f>HYPERLINK("https://dart.fss.or.kr/dsaf001/main.do?rcpNo=20260605000560", "공시열람")</f>
        <v/>
      </c>
    </row>
    <row r="9630">
      <c r="A9630" s="2" t="inlineStr">
        <is>
          <t>2026-06-05</t>
        </is>
      </c>
      <c r="B9630" s="3" t="inlineStr">
        <is>
          <t>소룩스</t>
        </is>
      </c>
      <c r="C9630" s="2" t="inlineStr">
        <is>
          <t>코스닥</t>
        </is>
      </c>
      <c r="D9630" s="2" t="inlineStr">
        <is>
          <t>290690</t>
        </is>
      </c>
      <c r="E9630" s="3" t="inlineStr">
        <is>
          <t>증권발행결과(자율공시)              (제9회차 CB)</t>
        </is>
      </c>
      <c r="F9630" s="3" t="inlineStr">
        <is>
          <t>소룩스</t>
        </is>
      </c>
      <c r="G9630" s="2" t="inlineStr">
        <is>
          <t>20260605900755</t>
        </is>
      </c>
      <c r="H9630" s="8">
        <f>HYPERLINK("https://dart.fss.or.kr/dsaf001/main.do?rcpNo=20260605900755", "공시열람")</f>
        <v/>
      </c>
    </row>
    <row r="9631">
      <c r="A9631" s="2" t="inlineStr">
        <is>
          <t>2026-06-05</t>
        </is>
      </c>
      <c r="B9631" s="3" t="inlineStr">
        <is>
          <t>일정실업</t>
        </is>
      </c>
      <c r="C9631" s="2" t="inlineStr">
        <is>
          <t>코스피</t>
        </is>
      </c>
      <c r="D9631" s="2" t="inlineStr">
        <is>
          <t>008500</t>
        </is>
      </c>
      <c r="E9631" s="3" t="inlineStr">
        <is>
          <t xml:space="preserve">기업가치제고계획(자율공시)              </t>
        </is>
      </c>
      <c r="F9631" s="3" t="inlineStr">
        <is>
          <t>일정실업</t>
        </is>
      </c>
      <c r="G9631" s="2" t="inlineStr">
        <is>
          <t>20260605800738</t>
        </is>
      </c>
      <c r="H9631" s="8">
        <f>HYPERLINK("https://dart.fss.or.kr/dsaf001/main.do?rcpNo=20260605800738", "공시열람")</f>
        <v/>
      </c>
    </row>
    <row r="9632">
      <c r="A9632" s="2" t="inlineStr">
        <is>
          <t>2026-06-05</t>
        </is>
      </c>
      <c r="B9632" s="3" t="inlineStr">
        <is>
          <t>에이프로</t>
        </is>
      </c>
      <c r="C9632" s="2" t="inlineStr">
        <is>
          <t>코스닥</t>
        </is>
      </c>
      <c r="D9632" s="2" t="inlineStr">
        <is>
          <t>262260</t>
        </is>
      </c>
      <c r="E9632" s="3" t="inlineStr">
        <is>
          <t xml:space="preserve">주주명부폐쇄기간또는기준일설정              </t>
        </is>
      </c>
      <c r="F9632" s="3" t="inlineStr">
        <is>
          <t>에이프로</t>
        </is>
      </c>
      <c r="G9632" s="2" t="inlineStr">
        <is>
          <t>20260605900761</t>
        </is>
      </c>
      <c r="H9632" s="8">
        <f>HYPERLINK("https://dart.fss.or.kr/dsaf001/main.do?rcpNo=20260605900761", "공시열람")</f>
        <v/>
      </c>
    </row>
    <row r="9633">
      <c r="A9633" s="2" t="inlineStr">
        <is>
          <t>2026-06-05</t>
        </is>
      </c>
      <c r="B9633" s="3" t="inlineStr">
        <is>
          <t>아리바이오LAB</t>
        </is>
      </c>
      <c r="C9633" s="2" t="inlineStr">
        <is>
          <t>코스닥</t>
        </is>
      </c>
      <c r="D9633" s="2" t="inlineStr">
        <is>
          <t>261780</t>
        </is>
      </c>
      <c r="E9633" s="3" t="inlineStr">
        <is>
          <t xml:space="preserve">증권발행결과(자율공시)              </t>
        </is>
      </c>
      <c r="F9633" s="3" t="inlineStr">
        <is>
          <t>아리바이오LAB</t>
        </is>
      </c>
      <c r="G9633" s="2" t="inlineStr">
        <is>
          <t>20260605900751</t>
        </is>
      </c>
      <c r="H9633" s="8">
        <f>HYPERLINK("https://dart.fss.or.kr/dsaf001/main.do?rcpNo=20260605900751", "공시열람")</f>
        <v/>
      </c>
    </row>
    <row r="9634">
      <c r="A9634" s="2" t="inlineStr">
        <is>
          <t>2026-06-05</t>
        </is>
      </c>
      <c r="B9634" s="3" t="inlineStr">
        <is>
          <t>씨케이솔루션</t>
        </is>
      </c>
      <c r="C9634" s="2" t="inlineStr">
        <is>
          <t>코스피</t>
        </is>
      </c>
      <c r="D9634" s="2" t="inlineStr">
        <is>
          <t>480370</t>
        </is>
      </c>
      <c r="E9634" s="3" t="inlineStr">
        <is>
          <t xml:space="preserve">주주명부폐쇄기간또는기준일설정              </t>
        </is>
      </c>
      <c r="F9634" s="3" t="inlineStr">
        <is>
          <t>씨케이솔루션</t>
        </is>
      </c>
      <c r="G9634" s="2" t="inlineStr">
        <is>
          <t>20260605800744</t>
        </is>
      </c>
      <c r="H9634" s="8">
        <f>HYPERLINK("https://dart.fss.or.kr/dsaf001/main.do?rcpNo=20260605800744", "공시열람")</f>
        <v/>
      </c>
    </row>
    <row r="9635">
      <c r="A9635" s="2" t="inlineStr">
        <is>
          <t>2026-06-05</t>
        </is>
      </c>
      <c r="B9635" s="3" t="inlineStr">
        <is>
          <t>유안타증권</t>
        </is>
      </c>
      <c r="C9635" s="2" t="inlineStr">
        <is>
          <t>코스피</t>
        </is>
      </c>
      <c r="D9635" s="2" t="inlineStr">
        <is>
          <t>003470</t>
        </is>
      </c>
      <c r="E9635" s="3" t="inlineStr">
        <is>
          <t>임원ㆍ주요주주특정증권등소유상황보고서</t>
        </is>
      </c>
      <c r="F9635" s="3" t="inlineStr">
        <is>
          <t>장성철</t>
        </is>
      </c>
      <c r="G9635" s="2" t="inlineStr">
        <is>
          <t>20260605000536</t>
        </is>
      </c>
      <c r="H9635" s="8">
        <f>HYPERLINK("https://dart.fss.or.kr/dsaf001/main.do?rcpNo=20260605000536", "공시열람")</f>
        <v/>
      </c>
    </row>
    <row r="9636">
      <c r="A9636" s="2" t="inlineStr">
        <is>
          <t>2026-06-05</t>
        </is>
      </c>
      <c r="B9636" s="3" t="inlineStr">
        <is>
          <t>엣지파운드리</t>
        </is>
      </c>
      <c r="C9636" s="2" t="inlineStr">
        <is>
          <t>코스닥</t>
        </is>
      </c>
      <c r="D9636" s="2" t="inlineStr">
        <is>
          <t>105550</t>
        </is>
      </c>
      <c r="E9636" s="3" t="inlineStr">
        <is>
          <t>사외이사의선임ㆍ해임또는중도퇴임에관한신고</t>
        </is>
      </c>
      <c r="F9636" s="3" t="inlineStr">
        <is>
          <t>엣지파운드리</t>
        </is>
      </c>
      <c r="G9636" s="2" t="inlineStr">
        <is>
          <t>20260605000530</t>
        </is>
      </c>
      <c r="H9636" s="8">
        <f>HYPERLINK("https://dart.fss.or.kr/dsaf001/main.do?rcpNo=20260605000530", "공시열람")</f>
        <v/>
      </c>
    </row>
    <row r="9637">
      <c r="A9637" s="2" t="inlineStr">
        <is>
          <t>2026-06-05</t>
        </is>
      </c>
      <c r="B9637" s="3" t="inlineStr">
        <is>
          <t>한국특강</t>
        </is>
      </c>
      <c r="C9637" s="2" t="inlineStr">
        <is>
          <t>코스피</t>
        </is>
      </c>
      <c r="D9637" s="2" t="inlineStr">
        <is>
          <t>007280</t>
        </is>
      </c>
      <c r="E9637" s="3" t="inlineStr">
        <is>
          <t>임원ㆍ주요주주특정증권등소유상황보고서</t>
        </is>
      </c>
      <c r="F9637" s="3" t="inlineStr">
        <is>
          <t>하람로지스</t>
        </is>
      </c>
      <c r="G9637" s="2" t="inlineStr">
        <is>
          <t>20260605000528</t>
        </is>
      </c>
      <c r="H9637" s="8">
        <f>HYPERLINK("https://dart.fss.or.kr/dsaf001/main.do?rcpNo=20260605000528", "공시열람")</f>
        <v/>
      </c>
    </row>
    <row r="9638">
      <c r="A9638" s="2" t="inlineStr">
        <is>
          <t>2026-06-05</t>
        </is>
      </c>
      <c r="B9638" s="3" t="inlineStr">
        <is>
          <t>인투셀</t>
        </is>
      </c>
      <c r="C9638" s="2" t="inlineStr">
        <is>
          <t>코스닥</t>
        </is>
      </c>
      <c r="D9638" s="2" t="inlineStr">
        <is>
          <t>287840</t>
        </is>
      </c>
      <c r="E9638" s="3" t="inlineStr">
        <is>
          <t>임원ㆍ주요주주특정증권등소유상황보고서</t>
        </is>
      </c>
      <c r="F9638" s="3" t="inlineStr">
        <is>
          <t>이향숙</t>
        </is>
      </c>
      <c r="G9638" s="2" t="inlineStr">
        <is>
          <t>20260605000524</t>
        </is>
      </c>
      <c r="H9638" s="8">
        <f>HYPERLINK("https://dart.fss.or.kr/dsaf001/main.do?rcpNo=20260605000524", "공시열람")</f>
        <v/>
      </c>
    </row>
    <row r="9639">
      <c r="A9639" s="2" t="inlineStr">
        <is>
          <t>2026-06-05</t>
        </is>
      </c>
      <c r="B9639" s="3" t="inlineStr">
        <is>
          <t>동아에스티</t>
        </is>
      </c>
      <c r="C9639" s="2" t="inlineStr">
        <is>
          <t>코스피</t>
        </is>
      </c>
      <c r="D9639" s="2" t="inlineStr">
        <is>
          <t>170900</t>
        </is>
      </c>
      <c r="E9639" s="3" t="inlineStr">
        <is>
          <t xml:space="preserve">지속가능경영보고서등관련사항(자율공시)              </t>
        </is>
      </c>
      <c r="F9639" s="3" t="inlineStr">
        <is>
          <t>동아에스티</t>
        </is>
      </c>
      <c r="G9639" s="2" t="inlineStr">
        <is>
          <t>20260605800724</t>
        </is>
      </c>
      <c r="H9639" s="8">
        <f>HYPERLINK("https://dart.fss.or.kr/dsaf001/main.do?rcpNo=20260605800724", "공시열람")</f>
        <v/>
      </c>
    </row>
    <row r="9640">
      <c r="A9640" s="2" t="inlineStr">
        <is>
          <t>2026-06-05</t>
        </is>
      </c>
      <c r="B9640" s="3" t="inlineStr">
        <is>
          <t>HS효성첨단소재</t>
        </is>
      </c>
      <c r="C9640" s="2" t="inlineStr">
        <is>
          <t>코스피</t>
        </is>
      </c>
      <c r="D9640" s="2" t="inlineStr">
        <is>
          <t>298050</t>
        </is>
      </c>
      <c r="E9640" s="3" t="inlineStr">
        <is>
          <t>임원ㆍ주요주주특정증권등소유상황보고서</t>
        </is>
      </c>
      <c r="F9640" s="3" t="inlineStr">
        <is>
          <t>HS효성</t>
        </is>
      </c>
      <c r="G9640" s="2" t="inlineStr">
        <is>
          <t>20260605000520</t>
        </is>
      </c>
      <c r="H9640" s="8">
        <f>HYPERLINK("https://dart.fss.or.kr/dsaf001/main.do?rcpNo=20260605000520", "공시열람")</f>
        <v/>
      </c>
    </row>
    <row r="9641">
      <c r="A9641" s="2" t="inlineStr">
        <is>
          <t>2026-06-05</t>
        </is>
      </c>
      <c r="B9641" s="3" t="inlineStr">
        <is>
          <t>인투셀</t>
        </is>
      </c>
      <c r="C9641" s="2" t="inlineStr">
        <is>
          <t>코스닥</t>
        </is>
      </c>
      <c r="D9641" s="2" t="inlineStr">
        <is>
          <t>287840</t>
        </is>
      </c>
      <c r="E9641" s="3" t="inlineStr">
        <is>
          <t>임원ㆍ주요주주특정증권등소유상황보고서</t>
        </is>
      </c>
      <c r="F9641" s="3" t="inlineStr">
        <is>
          <t>김선영</t>
        </is>
      </c>
      <c r="G9641" s="2" t="inlineStr">
        <is>
          <t>20260605000518</t>
        </is>
      </c>
      <c r="H9641" s="8">
        <f>HYPERLINK("https://dart.fss.or.kr/dsaf001/main.do?rcpNo=20260605000518", "공시열람")</f>
        <v/>
      </c>
    </row>
    <row r="9642">
      <c r="A9642" s="2" t="inlineStr">
        <is>
          <t>2026-06-05</t>
        </is>
      </c>
      <c r="B9642" s="3" t="inlineStr">
        <is>
          <t>태광산업</t>
        </is>
      </c>
      <c r="C9642" s="2" t="inlineStr">
        <is>
          <t>코스피</t>
        </is>
      </c>
      <c r="D9642" s="2" t="inlineStr">
        <is>
          <t>003240</t>
        </is>
      </c>
      <c r="E9642" s="3" t="inlineStr">
        <is>
          <t>[기재정정]대규모기업집단현황공시[연1회공시및1/4분기용(대표회사)]</t>
        </is>
      </c>
      <c r="F9642" s="3" t="inlineStr">
        <is>
          <t>태광산업</t>
        </is>
      </c>
      <c r="G9642" s="2" t="inlineStr">
        <is>
          <t>20260605000517</t>
        </is>
      </c>
      <c r="H9642" s="8">
        <f>HYPERLINK("https://dart.fss.or.kr/dsaf001/main.do?rcpNo=20260605000517", "공시열람")</f>
        <v/>
      </c>
    </row>
    <row r="9643">
      <c r="A9643" s="2" t="inlineStr">
        <is>
          <t>2026-06-05</t>
        </is>
      </c>
      <c r="B9643" s="3" t="inlineStr">
        <is>
          <t>한화투자증권</t>
        </is>
      </c>
      <c r="C9643" s="2" t="inlineStr">
        <is>
          <t>코스피</t>
        </is>
      </c>
      <c r="D9643" s="2" t="inlineStr">
        <is>
          <t>003530</t>
        </is>
      </c>
      <c r="E9643" s="3" t="inlineStr">
        <is>
          <t>증권발행실적보고서</t>
        </is>
      </c>
      <c r="F9643" s="3" t="inlineStr">
        <is>
          <t>한화투자증권</t>
        </is>
      </c>
      <c r="G9643" s="2" t="inlineStr">
        <is>
          <t>20260605000516</t>
        </is>
      </c>
      <c r="H9643" s="8">
        <f>HYPERLINK("https://dart.fss.or.kr/dsaf001/main.do?rcpNo=20260605000516", "공시열람")</f>
        <v/>
      </c>
    </row>
    <row r="9644">
      <c r="A9644" s="2" t="inlineStr">
        <is>
          <t>2026-06-05</t>
        </is>
      </c>
      <c r="B9644" s="3" t="inlineStr">
        <is>
          <t>이렘</t>
        </is>
      </c>
      <c r="C9644" s="2" t="inlineStr">
        <is>
          <t>코스닥</t>
        </is>
      </c>
      <c r="D9644" s="2" t="inlineStr">
        <is>
          <t>009730</t>
        </is>
      </c>
      <c r="E9644" s="3" t="inlineStr">
        <is>
          <t>[정정제출요구]증권신고서(지분증권)</t>
        </is>
      </c>
      <c r="F9644" s="3" t="inlineStr">
        <is>
          <t>이렘</t>
        </is>
      </c>
      <c r="G9644" s="2" t="inlineStr">
        <is>
          <t>20260605000508</t>
        </is>
      </c>
      <c r="H9644" s="8">
        <f>HYPERLINK("https://dart.fss.or.kr/dsaf001/main.do?rcpNo=20260605000508", "공시열람")</f>
        <v/>
      </c>
    </row>
    <row r="9645">
      <c r="A9645" s="2" t="inlineStr">
        <is>
          <t>2026-06-05</t>
        </is>
      </c>
      <c r="B9645" s="3" t="inlineStr">
        <is>
          <t>미래에셋증권</t>
        </is>
      </c>
      <c r="C9645" s="2" t="inlineStr">
        <is>
          <t>코스피</t>
        </is>
      </c>
      <c r="D9645" s="2" t="inlineStr">
        <is>
          <t>006800</t>
        </is>
      </c>
      <c r="E9645" s="3" t="inlineStr">
        <is>
          <t>증권발행실적보고서</t>
        </is>
      </c>
      <c r="F9645" s="3" t="inlineStr">
        <is>
          <t>미래에셋증권</t>
        </is>
      </c>
      <c r="G9645" s="2" t="inlineStr">
        <is>
          <t>20260605000502</t>
        </is>
      </c>
      <c r="H9645" s="8">
        <f>HYPERLINK("https://dart.fss.or.kr/dsaf001/main.do?rcpNo=20260605000502", "공시열람")</f>
        <v/>
      </c>
    </row>
    <row r="9646">
      <c r="A9646" s="2" t="inlineStr">
        <is>
          <t>2026-06-05</t>
        </is>
      </c>
      <c r="B9646" s="3" t="inlineStr">
        <is>
          <t>애드바이오텍</t>
        </is>
      </c>
      <c r="C9646" s="2" t="inlineStr">
        <is>
          <t>코스닥</t>
        </is>
      </c>
      <c r="D9646" s="2" t="inlineStr">
        <is>
          <t>179530</t>
        </is>
      </c>
      <c r="E9646" s="3" t="inlineStr">
        <is>
          <t>임원ㆍ주요주주특정증권등소유상황보고서</t>
        </is>
      </c>
      <c r="F9646" s="3" t="inlineStr">
        <is>
          <t>비케이파트너스투자조합1호</t>
        </is>
      </c>
      <c r="G9646" s="2" t="inlineStr">
        <is>
          <t>20260605000499</t>
        </is>
      </c>
      <c r="H9646" s="8">
        <f>HYPERLINK("https://dart.fss.or.kr/dsaf001/main.do?rcpNo=20260605000499", "공시열람")</f>
        <v/>
      </c>
    </row>
    <row r="9647">
      <c r="A9647" s="2" t="inlineStr">
        <is>
          <t>2026-06-05</t>
        </is>
      </c>
      <c r="B9647" s="3" t="inlineStr">
        <is>
          <t>MDS테크</t>
        </is>
      </c>
      <c r="C9647" s="2" t="inlineStr">
        <is>
          <t>코스닥</t>
        </is>
      </c>
      <c r="D9647" s="2" t="inlineStr">
        <is>
          <t>086960</t>
        </is>
      </c>
      <c r="E9647" s="3" t="inlineStr">
        <is>
          <t>주요사항보고서(제3자의전환사채매수선택권행사)</t>
        </is>
      </c>
      <c r="F9647" s="3" t="inlineStr">
        <is>
          <t>MDS테크</t>
        </is>
      </c>
      <c r="G9647" s="2" t="inlineStr">
        <is>
          <t>20260605000497</t>
        </is>
      </c>
      <c r="H9647" s="8">
        <f>HYPERLINK("https://dart.fss.or.kr/dsaf001/main.do?rcpNo=20260605000497", "공시열람")</f>
        <v/>
      </c>
    </row>
    <row r="9648">
      <c r="A9648" s="2" t="inlineStr">
        <is>
          <t>2026-06-05</t>
        </is>
      </c>
      <c r="B9648" s="3" t="inlineStr">
        <is>
          <t>휴마시스</t>
        </is>
      </c>
      <c r="C9648" s="2" t="inlineStr">
        <is>
          <t>코스닥</t>
        </is>
      </c>
      <c r="D9648" s="2" t="inlineStr">
        <is>
          <t>205470</t>
        </is>
      </c>
      <c r="E9648" s="3" t="inlineStr">
        <is>
          <t>임원ㆍ주요주주특정증권등소유상황보고서</t>
        </is>
      </c>
      <c r="F9648" s="3" t="inlineStr">
        <is>
          <t>인콘</t>
        </is>
      </c>
      <c r="G9648" s="2" t="inlineStr">
        <is>
          <t>20260605000496</t>
        </is>
      </c>
      <c r="H9648" s="8">
        <f>HYPERLINK("https://dart.fss.or.kr/dsaf001/main.do?rcpNo=20260605000496", "공시열람")</f>
        <v/>
      </c>
    </row>
    <row r="9649">
      <c r="A9649" s="2" t="inlineStr">
        <is>
          <t>2026-06-05</t>
        </is>
      </c>
      <c r="B9649" s="3" t="inlineStr">
        <is>
          <t>휴림로봇</t>
        </is>
      </c>
      <c r="C9649" s="2" t="inlineStr">
        <is>
          <t>코스닥</t>
        </is>
      </c>
      <c r="D9649" s="2" t="inlineStr">
        <is>
          <t>090710</t>
        </is>
      </c>
      <c r="E9649" s="3" t="inlineStr">
        <is>
          <t>소액공모실적보고서</t>
        </is>
      </c>
      <c r="F9649" s="3" t="inlineStr">
        <is>
          <t>휴림로봇</t>
        </is>
      </c>
      <c r="G9649" s="2" t="inlineStr">
        <is>
          <t>20260605000495</t>
        </is>
      </c>
      <c r="H9649" s="8">
        <f>HYPERLINK("https://dart.fss.or.kr/dsaf001/main.do?rcpNo=20260605000495", "공시열람")</f>
        <v/>
      </c>
    </row>
    <row r="9650">
      <c r="A9650" s="2" t="inlineStr">
        <is>
          <t>2026-06-05</t>
        </is>
      </c>
      <c r="B9650" s="3" t="inlineStr">
        <is>
          <t>광주신세계</t>
        </is>
      </c>
      <c r="C9650" s="2" t="inlineStr">
        <is>
          <t>코스피</t>
        </is>
      </c>
      <c r="D9650" s="2" t="inlineStr">
        <is>
          <t>037710</t>
        </is>
      </c>
      <c r="E9650" s="3" t="inlineStr">
        <is>
          <t xml:space="preserve">풍문또는보도에대한해명(미확정)              </t>
        </is>
      </c>
      <c r="F9650" s="3" t="inlineStr">
        <is>
          <t>광주신세계</t>
        </is>
      </c>
      <c r="G9650" s="2" t="inlineStr">
        <is>
          <t>20260605800656</t>
        </is>
      </c>
      <c r="H9650" s="8">
        <f>HYPERLINK("https://dart.fss.or.kr/dsaf001/main.do?rcpNo=20260605800656", "공시열람")</f>
        <v/>
      </c>
    </row>
    <row r="9651">
      <c r="A9651" s="2" t="inlineStr">
        <is>
          <t>2026-06-05</t>
        </is>
      </c>
      <c r="B9651" s="3" t="inlineStr">
        <is>
          <t>미래에셋증권</t>
        </is>
      </c>
      <c r="C9651" s="2" t="inlineStr">
        <is>
          <t>코스피</t>
        </is>
      </c>
      <c r="D9651" s="2" t="inlineStr">
        <is>
          <t>006800</t>
        </is>
      </c>
      <c r="E9651" s="3" t="inlineStr">
        <is>
          <t>증권발행실적보고서</t>
        </is>
      </c>
      <c r="F9651" s="3" t="inlineStr">
        <is>
          <t>미래에셋증권</t>
        </is>
      </c>
      <c r="G9651" s="2" t="inlineStr">
        <is>
          <t>20260605000493</t>
        </is>
      </c>
      <c r="H9651" s="8">
        <f>HYPERLINK("https://dart.fss.or.kr/dsaf001/main.do?rcpNo=20260605000493", "공시열람")</f>
        <v/>
      </c>
    </row>
    <row r="9652">
      <c r="A9652" s="2" t="inlineStr">
        <is>
          <t>2026-06-05</t>
        </is>
      </c>
      <c r="B9652" s="3" t="inlineStr">
        <is>
          <t>태광산업</t>
        </is>
      </c>
      <c r="C9652" s="2" t="inlineStr">
        <is>
          <t>코스피</t>
        </is>
      </c>
      <c r="D9652" s="2" t="inlineStr">
        <is>
          <t>003240</t>
        </is>
      </c>
      <c r="E9652" s="3" t="inlineStr">
        <is>
          <t>[기재정정]대규모기업집단현황공시[연1회공시및1/4분기용(대표회사)]</t>
        </is>
      </c>
      <c r="F9652" s="3" t="inlineStr">
        <is>
          <t>태광산업</t>
        </is>
      </c>
      <c r="G9652" s="2" t="inlineStr">
        <is>
          <t>20260605000489</t>
        </is>
      </c>
      <c r="H9652" s="8">
        <f>HYPERLINK("https://dart.fss.or.kr/dsaf001/main.do?rcpNo=20260605000489", "공시열람")</f>
        <v/>
      </c>
    </row>
    <row r="9653">
      <c r="A9653" s="2" t="inlineStr">
        <is>
          <t>2026-06-05</t>
        </is>
      </c>
      <c r="B9653" s="3" t="inlineStr">
        <is>
          <t>에이프로젠바이오로직스</t>
        </is>
      </c>
      <c r="C9653" s="2" t="inlineStr">
        <is>
          <t>코스피</t>
        </is>
      </c>
      <c r="D9653" s="2" t="inlineStr">
        <is>
          <t>003060</t>
        </is>
      </c>
      <c r="E9653" s="3" t="inlineStr">
        <is>
          <t>임원ㆍ주요주주특정증권등소유상황보고서</t>
        </is>
      </c>
      <c r="F9653" s="3" t="inlineStr">
        <is>
          <t>에이프로젠</t>
        </is>
      </c>
      <c r="G9653" s="2" t="inlineStr">
        <is>
          <t>20260605000486</t>
        </is>
      </c>
      <c r="H9653" s="8">
        <f>HYPERLINK("https://dart.fss.or.kr/dsaf001/main.do?rcpNo=20260605000486", "공시열람")</f>
        <v/>
      </c>
    </row>
    <row r="9654">
      <c r="A9654" s="2" t="inlineStr">
        <is>
          <t>2026-06-05</t>
        </is>
      </c>
      <c r="B9654" s="3" t="inlineStr">
        <is>
          <t>필에너지</t>
        </is>
      </c>
      <c r="C9654" s="2" t="inlineStr">
        <is>
          <t>코스닥</t>
        </is>
      </c>
      <c r="D9654" s="2" t="inlineStr">
        <is>
          <t>378340</t>
        </is>
      </c>
      <c r="E9654" s="3" t="inlineStr">
        <is>
          <t>임원ㆍ주요주주특정증권등소유상황보고서</t>
        </is>
      </c>
      <c r="F9654" s="3" t="inlineStr">
        <is>
          <t>김동우</t>
        </is>
      </c>
      <c r="G9654" s="2" t="inlineStr">
        <is>
          <t>20260605000484</t>
        </is>
      </c>
      <c r="H9654" s="8">
        <f>HYPERLINK("https://dart.fss.or.kr/dsaf001/main.do?rcpNo=20260605000484", "공시열람")</f>
        <v/>
      </c>
    </row>
    <row r="9655">
      <c r="A9655" s="2" t="inlineStr">
        <is>
          <t>2026-06-05</t>
        </is>
      </c>
      <c r="B9655" s="3" t="inlineStr">
        <is>
          <t>엑스큐어</t>
        </is>
      </c>
      <c r="C9655" s="2" t="inlineStr">
        <is>
          <t>코스닥</t>
        </is>
      </c>
      <c r="D9655" s="2" t="inlineStr">
        <is>
          <t>070300</t>
        </is>
      </c>
      <c r="E9655" s="3" t="inlineStr">
        <is>
          <t xml:space="preserve">주주명부폐쇄기간또는기준일설정              </t>
        </is>
      </c>
      <c r="F9655" s="3" t="inlineStr">
        <is>
          <t>엑스큐어</t>
        </is>
      </c>
      <c r="G9655" s="2" t="inlineStr">
        <is>
          <t>20260605900680</t>
        </is>
      </c>
      <c r="H9655" s="8">
        <f>HYPERLINK("https://dart.fss.or.kr/dsaf001/main.do?rcpNo=20260605900680", "공시열람")</f>
        <v/>
      </c>
    </row>
    <row r="9656">
      <c r="A9656" s="2" t="inlineStr">
        <is>
          <t>2026-06-05</t>
        </is>
      </c>
      <c r="B9656" s="3" t="inlineStr">
        <is>
          <t>다이나믹솔루션</t>
        </is>
      </c>
      <c r="C9656" s="2" t="inlineStr">
        <is>
          <t>코스닥</t>
        </is>
      </c>
      <c r="D9656" s="2" t="inlineStr">
        <is>
          <t>290660</t>
        </is>
      </c>
      <c r="E9656" s="3" t="inlineStr">
        <is>
          <t>주요사항보고서(유형자산양수결정)</t>
        </is>
      </c>
      <c r="F9656" s="3" t="inlineStr">
        <is>
          <t>다이나믹솔루션</t>
        </is>
      </c>
      <c r="G9656" s="2" t="inlineStr">
        <is>
          <t>20260605000450</t>
        </is>
      </c>
      <c r="H9656" s="8">
        <f>HYPERLINK("https://dart.fss.or.kr/dsaf001/main.do?rcpNo=20260605000450", "공시열람")</f>
        <v/>
      </c>
    </row>
    <row r="9657">
      <c r="A9657" s="2" t="inlineStr">
        <is>
          <t>2026-06-05</t>
        </is>
      </c>
      <c r="B9657" s="3" t="inlineStr">
        <is>
          <t>아이마켓코리아</t>
        </is>
      </c>
      <c r="C9657" s="2" t="inlineStr">
        <is>
          <t>코스피</t>
        </is>
      </c>
      <c r="D9657" s="2" t="inlineStr">
        <is>
          <t>122900</t>
        </is>
      </c>
      <c r="E9657" s="3" t="inlineStr">
        <is>
          <t xml:space="preserve">기업설명회(IR)개최(안내공시)              </t>
        </is>
      </c>
      <c r="F9657" s="3" t="inlineStr">
        <is>
          <t>아이마켓코리아</t>
        </is>
      </c>
      <c r="G9657" s="2" t="inlineStr">
        <is>
          <t>20260605800678</t>
        </is>
      </c>
      <c r="H9657" s="8">
        <f>HYPERLINK("https://dart.fss.or.kr/dsaf001/main.do?rcpNo=20260605800678", "공시열람")</f>
        <v/>
      </c>
    </row>
    <row r="9658">
      <c r="A9658" s="2" t="inlineStr">
        <is>
          <t>2026-06-05</t>
        </is>
      </c>
      <c r="B9658" s="3" t="inlineStr">
        <is>
          <t>휴림로봇</t>
        </is>
      </c>
      <c r="C9658" s="2" t="inlineStr">
        <is>
          <t>코스닥</t>
        </is>
      </c>
      <c r="D9658" s="2" t="inlineStr">
        <is>
          <t>090710</t>
        </is>
      </c>
      <c r="E9658" s="3" t="inlineStr">
        <is>
          <t>증권발행결과(자율공시)              (일반공모증자-소액공모)</t>
        </is>
      </c>
      <c r="F9658" s="3" t="inlineStr">
        <is>
          <t>휴림로봇</t>
        </is>
      </c>
      <c r="G9658" s="2" t="inlineStr">
        <is>
          <t>20260605900621</t>
        </is>
      </c>
      <c r="H9658" s="8">
        <f>HYPERLINK("https://dart.fss.or.kr/dsaf001/main.do?rcpNo=20260605900621", "공시열람")</f>
        <v/>
      </c>
    </row>
    <row r="9659">
      <c r="A9659" s="2" t="inlineStr">
        <is>
          <t>2026-06-05</t>
        </is>
      </c>
      <c r="B9659" s="3" t="inlineStr">
        <is>
          <t>아이마켓코리아</t>
        </is>
      </c>
      <c r="C9659" s="2" t="inlineStr">
        <is>
          <t>코스피</t>
        </is>
      </c>
      <c r="D9659" s="2" t="inlineStr">
        <is>
          <t>122900</t>
        </is>
      </c>
      <c r="E9659" s="3" t="inlineStr">
        <is>
          <t xml:space="preserve">기업설명회(IR)개최(안내공시)              </t>
        </is>
      </c>
      <c r="F9659" s="3" t="inlineStr">
        <is>
          <t>아이마켓코리아</t>
        </is>
      </c>
      <c r="G9659" s="2" t="inlineStr">
        <is>
          <t>20260605800672</t>
        </is>
      </c>
      <c r="H9659" s="8">
        <f>HYPERLINK("https://dart.fss.or.kr/dsaf001/main.do?rcpNo=20260605800672", "공시열람")</f>
        <v/>
      </c>
    </row>
    <row r="9660">
      <c r="A9660" s="2" t="inlineStr">
        <is>
          <t>2026-06-05 (정정: 2026-06-12)</t>
        </is>
      </c>
      <c r="B9660" s="3" t="inlineStr">
        <is>
          <t>세종메디칼</t>
        </is>
      </c>
      <c r="C9660" s="2" t="inlineStr">
        <is>
          <t>코스닥</t>
        </is>
      </c>
      <c r="D9660" s="2" t="inlineStr">
        <is>
          <t>258830</t>
        </is>
      </c>
      <c r="E9660" s="3" t="inlineStr">
        <is>
          <t>불성실공시법인지정예고              (공시번복) (정정: 20260612)</t>
        </is>
      </c>
      <c r="F9660" s="3" t="inlineStr">
        <is>
          <t>코스닥시장본부</t>
        </is>
      </c>
      <c r="G9660" s="2" t="inlineStr">
        <is>
          <t>20260612901024</t>
        </is>
      </c>
      <c r="H9660" s="8">
        <f>HYPERLINK("https://dart.fss.or.kr/dsaf001/main.do?rcpNo=20260612901024", "공시열람")</f>
        <v/>
      </c>
    </row>
    <row r="9661">
      <c r="A9661" s="2" t="inlineStr">
        <is>
          <t>2026-06-05</t>
        </is>
      </c>
      <c r="B9661" s="3" t="inlineStr">
        <is>
          <t>앱토크롬</t>
        </is>
      </c>
      <c r="C9661" s="2" t="inlineStr">
        <is>
          <t>코스닥</t>
        </is>
      </c>
      <c r="D9661" s="2" t="inlineStr">
        <is>
          <t>109960</t>
        </is>
      </c>
      <c r="E9661" s="3" t="inlineStr">
        <is>
          <t>임원ㆍ주요주주특정증권등소유상황보고서</t>
        </is>
      </c>
      <c r="F9661" s="3" t="inlineStr">
        <is>
          <t>지베이스</t>
        </is>
      </c>
      <c r="G9661" s="2" t="inlineStr">
        <is>
          <t>20260605000480</t>
        </is>
      </c>
      <c r="H9661" s="8">
        <f>HYPERLINK("https://dart.fss.or.kr/dsaf001/main.do?rcpNo=20260605000480", "공시열람")</f>
        <v/>
      </c>
    </row>
    <row r="9662">
      <c r="A9662" s="2" t="inlineStr">
        <is>
          <t>2026-06-05</t>
        </is>
      </c>
      <c r="B9662" s="3" t="inlineStr">
        <is>
          <t>SK증권</t>
        </is>
      </c>
      <c r="C9662" s="2" t="inlineStr">
        <is>
          <t>코스피</t>
        </is>
      </c>
      <c r="D9662" s="2" t="inlineStr">
        <is>
          <t>001510</t>
        </is>
      </c>
      <c r="E9662" s="3" t="inlineStr">
        <is>
          <t>일괄신고추가서류(파생결합사채-주가연계파생결합사채)</t>
        </is>
      </c>
      <c r="F9662" s="3" t="inlineStr">
        <is>
          <t>SK증권</t>
        </is>
      </c>
      <c r="G9662" s="2" t="inlineStr">
        <is>
          <t>20260605000479</t>
        </is>
      </c>
      <c r="H9662" s="8">
        <f>HYPERLINK("https://dart.fss.or.kr/dsaf001/main.do?rcpNo=20260605000479", "공시열람")</f>
        <v/>
      </c>
    </row>
    <row r="9663">
      <c r="A9663" s="2" t="inlineStr">
        <is>
          <t>2026-06-05</t>
        </is>
      </c>
      <c r="B9663" s="3" t="inlineStr">
        <is>
          <t>대한항공</t>
        </is>
      </c>
      <c r="C9663" s="2" t="inlineStr">
        <is>
          <t>코스피</t>
        </is>
      </c>
      <c r="D9663" s="2" t="inlineStr">
        <is>
          <t>003490</t>
        </is>
      </c>
      <c r="E9663" s="3" t="inlineStr">
        <is>
          <t>[발행조건확정]증권신고서(채무증권)</t>
        </is>
      </c>
      <c r="F9663" s="3" t="inlineStr">
        <is>
          <t>대한항공</t>
        </is>
      </c>
      <c r="G9663" s="2" t="inlineStr">
        <is>
          <t>20260605000473</t>
        </is>
      </c>
      <c r="H9663" s="8">
        <f>HYPERLINK("https://dart.fss.or.kr/dsaf001/main.do?rcpNo=20260605000473", "공시열람")</f>
        <v/>
      </c>
    </row>
    <row r="9664">
      <c r="A9664" s="2" t="inlineStr">
        <is>
          <t>2026-06-05</t>
        </is>
      </c>
      <c r="B9664" s="3" t="inlineStr">
        <is>
          <t>대신증권</t>
        </is>
      </c>
      <c r="C9664" s="2" t="inlineStr">
        <is>
          <t>코스피</t>
        </is>
      </c>
      <c r="D9664" s="2" t="inlineStr">
        <is>
          <t>003540</t>
        </is>
      </c>
      <c r="E9664" s="3" t="inlineStr">
        <is>
          <t>증권발행실적보고서</t>
        </is>
      </c>
      <c r="F9664" s="3" t="inlineStr">
        <is>
          <t>대신증권</t>
        </is>
      </c>
      <c r="G9664" s="2" t="inlineStr">
        <is>
          <t>20260605000472</t>
        </is>
      </c>
      <c r="H9664" s="8">
        <f>HYPERLINK("https://dart.fss.or.kr/dsaf001/main.do?rcpNo=20260605000472", "공시열람")</f>
        <v/>
      </c>
    </row>
    <row r="9665">
      <c r="A9665" s="2" t="inlineStr">
        <is>
          <t>2026-06-05</t>
        </is>
      </c>
      <c r="B9665" s="3" t="inlineStr">
        <is>
          <t>캔버스엔</t>
        </is>
      </c>
      <c r="C9665" s="2" t="inlineStr">
        <is>
          <t>코스닥</t>
        </is>
      </c>
      <c r="D9665" s="2" t="inlineStr">
        <is>
          <t>210120</t>
        </is>
      </c>
      <c r="E9665" s="3" t="inlineStr">
        <is>
          <t>주권매매거래정지              (주식의 병합, 분할 등 전자등록 변경, 말소)</t>
        </is>
      </c>
      <c r="F9665" s="3" t="inlineStr">
        <is>
          <t>코스닥시장본부</t>
        </is>
      </c>
      <c r="G9665" s="2" t="inlineStr">
        <is>
          <t>20260605900653</t>
        </is>
      </c>
      <c r="H9665" s="8">
        <f>HYPERLINK("https://dart.fss.or.kr/dsaf001/main.do?rcpNo=20260605900653", "공시열람")</f>
        <v/>
      </c>
    </row>
    <row r="9666">
      <c r="A9666" s="2" t="inlineStr">
        <is>
          <t>2026-06-05</t>
        </is>
      </c>
      <c r="B9666" s="3" t="inlineStr">
        <is>
          <t>필에너지</t>
        </is>
      </c>
      <c r="C9666" s="2" t="inlineStr">
        <is>
          <t>코스닥</t>
        </is>
      </c>
      <c r="D9666" s="2" t="inlineStr">
        <is>
          <t>378340</t>
        </is>
      </c>
      <c r="E9666" s="3" t="inlineStr">
        <is>
          <t>임원ㆍ주요주주특정증권등소유상황보고서</t>
        </is>
      </c>
      <c r="F9666" s="3" t="inlineStr">
        <is>
          <t>황지상</t>
        </is>
      </c>
      <c r="G9666" s="2" t="inlineStr">
        <is>
          <t>20260605000470</t>
        </is>
      </c>
      <c r="H9666" s="8">
        <f>HYPERLINK("https://dart.fss.or.kr/dsaf001/main.do?rcpNo=20260605000470", "공시열람")</f>
        <v/>
      </c>
    </row>
    <row r="9667">
      <c r="A9667" s="2" t="inlineStr">
        <is>
          <t>2026-06-05</t>
        </is>
      </c>
      <c r="B9667" s="3" t="inlineStr">
        <is>
          <t>대신증권</t>
        </is>
      </c>
      <c r="C9667" s="2" t="inlineStr">
        <is>
          <t>코스피</t>
        </is>
      </c>
      <c r="D9667" s="2" t="inlineStr">
        <is>
          <t>003540</t>
        </is>
      </c>
      <c r="E9667" s="3" t="inlineStr">
        <is>
          <t>투자설명서(일괄신고)</t>
        </is>
      </c>
      <c r="F9667" s="3" t="inlineStr">
        <is>
          <t>대신증권</t>
        </is>
      </c>
      <c r="G9667" s="2" t="inlineStr">
        <is>
          <t>20260605000468</t>
        </is>
      </c>
      <c r="H9667" s="8">
        <f>HYPERLINK("https://dart.fss.or.kr/dsaf001/main.do?rcpNo=20260605000468", "공시열람")</f>
        <v/>
      </c>
    </row>
    <row r="9668">
      <c r="A9668" s="2" t="inlineStr">
        <is>
          <t>2026-06-05</t>
        </is>
      </c>
      <c r="B9668" s="3" t="inlineStr">
        <is>
          <t>대신증권</t>
        </is>
      </c>
      <c r="C9668" s="2" t="inlineStr">
        <is>
          <t>코스피</t>
        </is>
      </c>
      <c r="D9668" s="2" t="inlineStr">
        <is>
          <t>003540</t>
        </is>
      </c>
      <c r="E9668" s="3" t="inlineStr">
        <is>
          <t>투자설명서(일괄신고)</t>
        </is>
      </c>
      <c r="F9668" s="3" t="inlineStr">
        <is>
          <t>대신증권</t>
        </is>
      </c>
      <c r="G9668" s="2" t="inlineStr">
        <is>
          <t>20260605000464</t>
        </is>
      </c>
      <c r="H9668" s="8">
        <f>HYPERLINK("https://dart.fss.or.kr/dsaf001/main.do?rcpNo=20260605000464", "공시열람")</f>
        <v/>
      </c>
    </row>
    <row r="9669">
      <c r="A9669" s="2" t="inlineStr">
        <is>
          <t>2026-06-05</t>
        </is>
      </c>
      <c r="B9669" s="3" t="inlineStr">
        <is>
          <t>신세계푸드</t>
        </is>
      </c>
      <c r="C9669" s="2" t="inlineStr">
        <is>
          <t>코스피</t>
        </is>
      </c>
      <c r="D9669" s="2" t="inlineStr">
        <is>
          <t>031440</t>
        </is>
      </c>
      <c r="E9669" s="3" t="inlineStr">
        <is>
          <t>의결권대리행사권유참고서류</t>
        </is>
      </c>
      <c r="F9669" s="3" t="inlineStr">
        <is>
          <t>신세계푸드</t>
        </is>
      </c>
      <c r="G9669" s="2" t="inlineStr">
        <is>
          <t>20260605000462</t>
        </is>
      </c>
      <c r="H9669" s="8">
        <f>HYPERLINK("https://dart.fss.or.kr/dsaf001/main.do?rcpNo=20260605000462", "공시열람")</f>
        <v/>
      </c>
    </row>
    <row r="9670">
      <c r="A9670" s="2" t="inlineStr">
        <is>
          <t>2026-06-05</t>
        </is>
      </c>
      <c r="B9670" s="3" t="inlineStr">
        <is>
          <t>기가레인</t>
        </is>
      </c>
      <c r="C9670" s="2" t="inlineStr">
        <is>
          <t>코스닥</t>
        </is>
      </c>
      <c r="D9670" s="2" t="inlineStr">
        <is>
          <t>049080</t>
        </is>
      </c>
      <c r="E9670" s="3" t="inlineStr">
        <is>
          <t>주권매매거래정지              (주식의 병합, 분할 등 전자등록 변경, 말소)</t>
        </is>
      </c>
      <c r="F9670" s="3" t="inlineStr">
        <is>
          <t>코스닥시장본부</t>
        </is>
      </c>
      <c r="G9670" s="2" t="inlineStr">
        <is>
          <t>20260605900626</t>
        </is>
      </c>
      <c r="H9670" s="8">
        <f>HYPERLINK("https://dart.fss.or.kr/dsaf001/main.do?rcpNo=20260605900626", "공시열람")</f>
        <v/>
      </c>
    </row>
    <row r="9671">
      <c r="A9671" s="2" t="inlineStr">
        <is>
          <t>2026-06-05</t>
        </is>
      </c>
      <c r="B9671" s="3" t="inlineStr">
        <is>
          <t>한화리츠</t>
        </is>
      </c>
      <c r="C9671" s="2" t="inlineStr">
        <is>
          <t>코스피</t>
        </is>
      </c>
      <c r="D9671" s="2" t="inlineStr">
        <is>
          <t>451800</t>
        </is>
      </c>
      <c r="E9671" s="3" t="inlineStr">
        <is>
          <t>합병등종료보고서(자산양수도)</t>
        </is>
      </c>
      <c r="F9671" s="3" t="inlineStr">
        <is>
          <t>한화리츠</t>
        </is>
      </c>
      <c r="G9671" s="2" t="inlineStr">
        <is>
          <t>20260605000461</t>
        </is>
      </c>
      <c r="H9671" s="8">
        <f>HYPERLINK("https://dart.fss.or.kr/dsaf001/main.do?rcpNo=20260605000461", "공시열람")</f>
        <v/>
      </c>
    </row>
    <row r="9672">
      <c r="A9672" s="2" t="inlineStr">
        <is>
          <t>2026-06-05</t>
        </is>
      </c>
      <c r="B9672" s="3" t="inlineStr">
        <is>
          <t>바이오프로테크</t>
        </is>
      </c>
      <c r="C9672" s="2" t="inlineStr">
        <is>
          <t>코넥스</t>
        </is>
      </c>
      <c r="D9672" s="2" t="inlineStr">
        <is>
          <t>199290</t>
        </is>
      </c>
      <c r="E9672" s="3" t="inlineStr">
        <is>
          <t>임원ㆍ주요주주특정증권등소유상황보고서</t>
        </is>
      </c>
      <c r="F9672" s="3" t="inlineStr">
        <is>
          <t>이병탁</t>
        </is>
      </c>
      <c r="G9672" s="2" t="inlineStr">
        <is>
          <t>20260605000460</t>
        </is>
      </c>
      <c r="H9672" s="8">
        <f>HYPERLINK("https://dart.fss.or.kr/dsaf001/main.do?rcpNo=20260605000460", "공시열람")</f>
        <v/>
      </c>
    </row>
    <row r="9673">
      <c r="A9673" s="2" t="inlineStr">
        <is>
          <t>2026-06-05</t>
        </is>
      </c>
      <c r="B9673" s="3" t="inlineStr">
        <is>
          <t>카카오뱅크</t>
        </is>
      </c>
      <c r="C9673" s="2" t="inlineStr">
        <is>
          <t>코스피</t>
        </is>
      </c>
      <c r="D9673" s="2" t="inlineStr">
        <is>
          <t>323410</t>
        </is>
      </c>
      <c r="E9673" s="3" t="inlineStr">
        <is>
          <t>임원ㆍ주요주주특정증권등소유상황보고서</t>
        </is>
      </c>
      <c r="F9673" s="3" t="inlineStr">
        <is>
          <t>노승진</t>
        </is>
      </c>
      <c r="G9673" s="2" t="inlineStr">
        <is>
          <t>20260605000458</t>
        </is>
      </c>
      <c r="H9673" s="8">
        <f>HYPERLINK("https://dart.fss.or.kr/dsaf001/main.do?rcpNo=20260605000458", "공시열람")</f>
        <v/>
      </c>
    </row>
    <row r="9674">
      <c r="A9674" s="2" t="inlineStr">
        <is>
          <t>2026-06-05</t>
        </is>
      </c>
      <c r="B9674" s="3" t="inlineStr">
        <is>
          <t>국제약품</t>
        </is>
      </c>
      <c r="C9674" s="2" t="inlineStr">
        <is>
          <t>코스피</t>
        </is>
      </c>
      <c r="D9674" s="2" t="inlineStr">
        <is>
          <t>002720</t>
        </is>
      </c>
      <c r="E9674" s="3" t="inlineStr">
        <is>
          <t>임원ㆍ주요주주특정증권등소유상황보고서</t>
        </is>
      </c>
      <c r="F9674" s="3" t="inlineStr">
        <is>
          <t>김성규</t>
        </is>
      </c>
      <c r="G9674" s="2" t="inlineStr">
        <is>
          <t>20260605000455</t>
        </is>
      </c>
      <c r="H9674" s="8">
        <f>HYPERLINK("https://dart.fss.or.kr/dsaf001/main.do?rcpNo=20260605000455", "공시열람")</f>
        <v/>
      </c>
    </row>
    <row r="9675">
      <c r="A9675" s="2" t="inlineStr">
        <is>
          <t>2026-06-05</t>
        </is>
      </c>
      <c r="B9675" s="3" t="inlineStr">
        <is>
          <t>한화투자증권</t>
        </is>
      </c>
      <c r="C9675" s="2" t="inlineStr">
        <is>
          <t>코스피</t>
        </is>
      </c>
      <c r="D9675" s="2" t="inlineStr">
        <is>
          <t>003530</t>
        </is>
      </c>
      <c r="E9675" s="3" t="inlineStr">
        <is>
          <t>증권발행실적보고서</t>
        </is>
      </c>
      <c r="F9675" s="3" t="inlineStr">
        <is>
          <t>한화투자증권</t>
        </is>
      </c>
      <c r="G9675" s="2" t="inlineStr">
        <is>
          <t>20260605000452</t>
        </is>
      </c>
      <c r="H9675" s="8">
        <f>HYPERLINK("https://dart.fss.or.kr/dsaf001/main.do?rcpNo=20260605000452", "공시열람")</f>
        <v/>
      </c>
    </row>
    <row r="9676">
      <c r="A9676" s="2" t="inlineStr">
        <is>
          <t>2026-06-05</t>
        </is>
      </c>
      <c r="B9676" s="3" t="inlineStr">
        <is>
          <t>티비씨</t>
        </is>
      </c>
      <c r="C9676" s="2" t="inlineStr">
        <is>
          <t>코스닥</t>
        </is>
      </c>
      <c r="D9676" s="2" t="inlineStr">
        <is>
          <t>033830</t>
        </is>
      </c>
      <c r="E9676" s="3" t="inlineStr">
        <is>
          <t>주권매매거래정지              (주식의 병합, 분할 등 전자등록 변경, 말소)</t>
        </is>
      </c>
      <c r="F9676" s="3" t="inlineStr">
        <is>
          <t>코스닥시장본부</t>
        </is>
      </c>
      <c r="G9676" s="2" t="inlineStr">
        <is>
          <t>20260605900616</t>
        </is>
      </c>
      <c r="H9676" s="8">
        <f>HYPERLINK("https://dart.fss.or.kr/dsaf001/main.do?rcpNo=20260605900616", "공시열람")</f>
        <v/>
      </c>
    </row>
    <row r="9677">
      <c r="A9677" s="2" t="inlineStr">
        <is>
          <t>2026-06-05</t>
        </is>
      </c>
      <c r="B9677" s="3" t="inlineStr">
        <is>
          <t>엘앤씨바이오</t>
        </is>
      </c>
      <c r="C9677" s="2" t="inlineStr">
        <is>
          <t>코스닥</t>
        </is>
      </c>
      <c r="D9677" s="2" t="inlineStr">
        <is>
          <t>290650</t>
        </is>
      </c>
      <c r="E9677" s="3" t="inlineStr">
        <is>
          <t>임원ㆍ주요주주특정증권등소유상황보고서</t>
        </is>
      </c>
      <c r="F9677" s="3" t="inlineStr">
        <is>
          <t>나우아이비19호펀드</t>
        </is>
      </c>
      <c r="G9677" s="2" t="inlineStr">
        <is>
          <t>20260605000448</t>
        </is>
      </c>
      <c r="H9677" s="8">
        <f>HYPERLINK("https://dart.fss.or.kr/dsaf001/main.do?rcpNo=20260605000448", "공시열람")</f>
        <v/>
      </c>
    </row>
    <row r="9678">
      <c r="A9678" s="2" t="inlineStr">
        <is>
          <t>2026-06-05</t>
        </is>
      </c>
      <c r="B9678" s="3" t="inlineStr">
        <is>
          <t>IBKS제23호스팩</t>
        </is>
      </c>
      <c r="C9678" s="2" t="inlineStr">
        <is>
          <t>코스닥</t>
        </is>
      </c>
      <c r="D9678" s="2" t="inlineStr">
        <is>
          <t>467930</t>
        </is>
      </c>
      <c r="E9678" s="3" t="inlineStr">
        <is>
          <t xml:space="preserve">기타시장안내(관리종목지정우려종목)              </t>
        </is>
      </c>
      <c r="F9678" s="3" t="inlineStr">
        <is>
          <t>코스닥시장본부</t>
        </is>
      </c>
      <c r="G9678" s="2" t="inlineStr">
        <is>
          <t>20260605900613</t>
        </is>
      </c>
      <c r="H9678" s="8">
        <f>HYPERLINK("https://dart.fss.or.kr/dsaf001/main.do?rcpNo=20260605900613", "공시열람")</f>
        <v/>
      </c>
    </row>
    <row r="9679">
      <c r="A9679" s="2" t="inlineStr">
        <is>
          <t>2026-06-05</t>
        </is>
      </c>
      <c r="B9679" s="3" t="inlineStr">
        <is>
          <t>매일유업</t>
        </is>
      </c>
      <c r="C9679" s="2" t="inlineStr">
        <is>
          <t>코스닥</t>
        </is>
      </c>
      <c r="D9679" s="2" t="inlineStr">
        <is>
          <t>267980</t>
        </is>
      </c>
      <c r="E9679" s="3" t="inlineStr">
        <is>
          <t xml:space="preserve">주주명부폐쇄기간또는기준일설정              </t>
        </is>
      </c>
      <c r="F9679" s="3" t="inlineStr">
        <is>
          <t>매일유업</t>
        </is>
      </c>
      <c r="G9679" s="2" t="inlineStr">
        <is>
          <t>20260605900632</t>
        </is>
      </c>
      <c r="H9679" s="8">
        <f>HYPERLINK("https://dart.fss.or.kr/dsaf001/main.do?rcpNo=20260605900632", "공시열람")</f>
        <v/>
      </c>
    </row>
    <row r="9680">
      <c r="A9680" s="2" t="inlineStr">
        <is>
          <t>2026-06-05</t>
        </is>
      </c>
      <c r="B9680" s="3" t="inlineStr">
        <is>
          <t>코웨이</t>
        </is>
      </c>
      <c r="C9680" s="2" t="inlineStr">
        <is>
          <t>코스피</t>
        </is>
      </c>
      <c r="D9680" s="2" t="inlineStr">
        <is>
          <t>021240</t>
        </is>
      </c>
      <c r="E9680" s="3" t="inlineStr">
        <is>
          <t>임원ㆍ주요주주특정증권등소유상황보고서</t>
        </is>
      </c>
      <c r="F9680" s="3" t="inlineStr">
        <is>
          <t>방준혁</t>
        </is>
      </c>
      <c r="G9680" s="2" t="inlineStr">
        <is>
          <t>20260605000446</t>
        </is>
      </c>
      <c r="H9680" s="8">
        <f>HYPERLINK("https://dart.fss.or.kr/dsaf001/main.do?rcpNo=20260605000446", "공시열람")</f>
        <v/>
      </c>
    </row>
    <row r="9681">
      <c r="A9681" s="2" t="inlineStr">
        <is>
          <t>2026-06-05</t>
        </is>
      </c>
      <c r="B9681" s="3" t="inlineStr">
        <is>
          <t>다이나믹솔루션</t>
        </is>
      </c>
      <c r="C9681" s="2" t="inlineStr">
        <is>
          <t>코스닥</t>
        </is>
      </c>
      <c r="D9681" s="2" t="inlineStr">
        <is>
          <t>290660</t>
        </is>
      </c>
      <c r="E9681" s="3" t="inlineStr">
        <is>
          <t xml:space="preserve">증권발행결과(자율공시)              </t>
        </is>
      </c>
      <c r="F9681" s="3" t="inlineStr">
        <is>
          <t>다이나믹솔루션</t>
        </is>
      </c>
      <c r="G9681" s="2" t="inlineStr">
        <is>
          <t>20260605900624</t>
        </is>
      </c>
      <c r="H9681" s="8">
        <f>HYPERLINK("https://dart.fss.or.kr/dsaf001/main.do?rcpNo=20260605900624", "공시열람")</f>
        <v/>
      </c>
    </row>
    <row r="9682">
      <c r="A9682" s="2" t="inlineStr">
        <is>
          <t>2026-06-05</t>
        </is>
      </c>
      <c r="B9682" s="3" t="inlineStr">
        <is>
          <t>와이즈버즈</t>
        </is>
      </c>
      <c r="C9682" s="2" t="inlineStr">
        <is>
          <t>코스닥</t>
        </is>
      </c>
      <c r="D9682" s="2" t="inlineStr">
        <is>
          <t>273060</t>
        </is>
      </c>
      <c r="E9682" s="3" t="inlineStr">
        <is>
          <t xml:space="preserve">주주명부폐쇄기간또는기준일설정              </t>
        </is>
      </c>
      <c r="F9682" s="3" t="inlineStr">
        <is>
          <t>와이즈버즈</t>
        </is>
      </c>
      <c r="G9682" s="2" t="inlineStr">
        <is>
          <t>20260605900620</t>
        </is>
      </c>
      <c r="H9682" s="8">
        <f>HYPERLINK("https://dart.fss.or.kr/dsaf001/main.do?rcpNo=20260605900620", "공시열람")</f>
        <v/>
      </c>
    </row>
    <row r="9683">
      <c r="A9683" s="2" t="inlineStr">
        <is>
          <t>2026-06-05</t>
        </is>
      </c>
      <c r="B9683" s="3" t="inlineStr">
        <is>
          <t>JB금융지주</t>
        </is>
      </c>
      <c r="C9683" s="2" t="inlineStr">
        <is>
          <t>코스피</t>
        </is>
      </c>
      <c r="D9683" s="2" t="inlineStr">
        <is>
          <t>175330</t>
        </is>
      </c>
      <c r="E9683" s="3" t="inlineStr">
        <is>
          <t>증권발행실적보고서</t>
        </is>
      </c>
      <c r="F9683" s="3" t="inlineStr">
        <is>
          <t>JB금융지주</t>
        </is>
      </c>
      <c r="G9683" s="2" t="inlineStr">
        <is>
          <t>20260605000440</t>
        </is>
      </c>
      <c r="H9683" s="8">
        <f>HYPERLINK("https://dart.fss.or.kr/dsaf001/main.do?rcpNo=20260605000440", "공시열람")</f>
        <v/>
      </c>
    </row>
    <row r="9684">
      <c r="A9684" s="2" t="inlineStr">
        <is>
          <t>2026-06-05</t>
        </is>
      </c>
      <c r="B9684" s="3" t="inlineStr">
        <is>
          <t>계룡건설산업</t>
        </is>
      </c>
      <c r="C9684" s="2" t="inlineStr">
        <is>
          <t>코스피</t>
        </is>
      </c>
      <c r="D9684" s="2" t="inlineStr">
        <is>
          <t>013580</t>
        </is>
      </c>
      <c r="E9684" s="3" t="inlineStr">
        <is>
          <t>임원ㆍ주요주주특정증권등소유상황보고서</t>
        </is>
      </c>
      <c r="F9684" s="3" t="inlineStr">
        <is>
          <t>이승찬</t>
        </is>
      </c>
      <c r="G9684" s="2" t="inlineStr">
        <is>
          <t>20260605000439</t>
        </is>
      </c>
      <c r="H9684" s="8">
        <f>HYPERLINK("https://dart.fss.or.kr/dsaf001/main.do?rcpNo=20260605000439", "공시열람")</f>
        <v/>
      </c>
    </row>
    <row r="9685">
      <c r="A9685" s="2" t="inlineStr">
        <is>
          <t>2026-06-05</t>
        </is>
      </c>
      <c r="B9685" s="3" t="inlineStr">
        <is>
          <t>대한약품</t>
        </is>
      </c>
      <c r="C9685" s="2" t="inlineStr">
        <is>
          <t>코스닥</t>
        </is>
      </c>
      <c r="D9685" s="2" t="inlineStr">
        <is>
          <t>023910</t>
        </is>
      </c>
      <c r="E9685" s="3" t="inlineStr">
        <is>
          <t>임원ㆍ주요주주특정증권등소유상황보고서</t>
        </is>
      </c>
      <c r="F9685" s="3" t="inlineStr">
        <is>
          <t>이윤우</t>
        </is>
      </c>
      <c r="G9685" s="2" t="inlineStr">
        <is>
          <t>20260605000436</t>
        </is>
      </c>
      <c r="H9685" s="8">
        <f>HYPERLINK("https://dart.fss.or.kr/dsaf001/main.do?rcpNo=20260605000436", "공시열람")</f>
        <v/>
      </c>
    </row>
    <row r="9686">
      <c r="A9686" s="2" t="inlineStr">
        <is>
          <t>2026-06-05</t>
        </is>
      </c>
      <c r="B9686" s="3" t="inlineStr">
        <is>
          <t>하이퍼코퍼레이션</t>
        </is>
      </c>
      <c r="C9686" s="2" t="inlineStr">
        <is>
          <t>코스닥</t>
        </is>
      </c>
      <c r="D9686" s="2" t="inlineStr">
        <is>
          <t>065650</t>
        </is>
      </c>
      <c r="E9686" s="3" t="inlineStr">
        <is>
          <t xml:space="preserve">주주명부폐쇄기간또는기준일설정              </t>
        </is>
      </c>
      <c r="F9686" s="3" t="inlineStr">
        <is>
          <t>하이퍼코퍼레이션</t>
        </is>
      </c>
      <c r="G9686" s="2" t="inlineStr">
        <is>
          <t>20260605900591</t>
        </is>
      </c>
      <c r="H9686" s="8">
        <f>HYPERLINK("https://dart.fss.or.kr/dsaf001/main.do?rcpNo=20260605900591", "공시열람")</f>
        <v/>
      </c>
    </row>
    <row r="9687">
      <c r="A9687" s="2" t="inlineStr">
        <is>
          <t>2026-06-05</t>
        </is>
      </c>
      <c r="B9687" s="3" t="inlineStr">
        <is>
          <t>대신증권</t>
        </is>
      </c>
      <c r="C9687" s="2" t="inlineStr">
        <is>
          <t>코스피</t>
        </is>
      </c>
      <c r="D9687" s="2" t="inlineStr">
        <is>
          <t>003540</t>
        </is>
      </c>
      <c r="E9687" s="3" t="inlineStr">
        <is>
          <t>일괄신고추가서류(기타파생결합사채)</t>
        </is>
      </c>
      <c r="F9687" s="3" t="inlineStr">
        <is>
          <t>대신증권</t>
        </is>
      </c>
      <c r="G9687" s="2" t="inlineStr">
        <is>
          <t>20260605000433</t>
        </is>
      </c>
      <c r="H9687" s="8">
        <f>HYPERLINK("https://dart.fss.or.kr/dsaf001/main.do?rcpNo=20260605000433", "공시열람")</f>
        <v/>
      </c>
    </row>
    <row r="9688">
      <c r="A9688" s="2" t="inlineStr">
        <is>
          <t>2026-06-05</t>
        </is>
      </c>
      <c r="B9688" s="3" t="inlineStr">
        <is>
          <t>대신증권</t>
        </is>
      </c>
      <c r="C9688" s="2" t="inlineStr">
        <is>
          <t>코스피</t>
        </is>
      </c>
      <c r="D9688" s="2" t="inlineStr">
        <is>
          <t>003540</t>
        </is>
      </c>
      <c r="E9688" s="3" t="inlineStr">
        <is>
          <t>일괄신고추가서류(파생결합사채-주가연계파생결합사채)</t>
        </is>
      </c>
      <c r="F9688" s="3" t="inlineStr">
        <is>
          <t>대신증권</t>
        </is>
      </c>
      <c r="G9688" s="2" t="inlineStr">
        <is>
          <t>20260605000431</t>
        </is>
      </c>
      <c r="H9688" s="8">
        <f>HYPERLINK("https://dart.fss.or.kr/dsaf001/main.do?rcpNo=20260605000431", "공시열람")</f>
        <v/>
      </c>
    </row>
    <row r="9689">
      <c r="A9689" s="2" t="inlineStr">
        <is>
          <t>2026-06-05</t>
        </is>
      </c>
      <c r="B9689" s="3" t="inlineStr">
        <is>
          <t>알엔티엑스</t>
        </is>
      </c>
      <c r="C9689" s="2" t="inlineStr">
        <is>
          <t>코스닥</t>
        </is>
      </c>
      <c r="D9689" s="2" t="inlineStr">
        <is>
          <t>123010</t>
        </is>
      </c>
      <c r="E9689" s="3" t="inlineStr">
        <is>
          <t xml:space="preserve">전환청구권행사              </t>
        </is>
      </c>
      <c r="F9689" s="3" t="inlineStr">
        <is>
          <t>알엔티엑스</t>
        </is>
      </c>
      <c r="G9689" s="2" t="inlineStr">
        <is>
          <t>20260605900598</t>
        </is>
      </c>
      <c r="H9689" s="8">
        <f>HYPERLINK("https://dart.fss.or.kr/dsaf001/main.do?rcpNo=20260605900598", "공시열람")</f>
        <v/>
      </c>
    </row>
    <row r="9690">
      <c r="A9690" s="2" t="inlineStr">
        <is>
          <t>2026-06-05</t>
        </is>
      </c>
      <c r="B9690" s="3" t="inlineStr">
        <is>
          <t>한화투자증권</t>
        </is>
      </c>
      <c r="C9690" s="2" t="inlineStr">
        <is>
          <t>코스피</t>
        </is>
      </c>
      <c r="D9690" s="2" t="inlineStr">
        <is>
          <t>003530</t>
        </is>
      </c>
      <c r="E9690" s="3" t="inlineStr">
        <is>
          <t>일괄신고추가서류(파생결합증권-주가연계증권)</t>
        </is>
      </c>
      <c r="F9690" s="3" t="inlineStr">
        <is>
          <t>한화투자증권</t>
        </is>
      </c>
      <c r="G9690" s="2" t="inlineStr">
        <is>
          <t>20260605000428</t>
        </is>
      </c>
      <c r="H9690" s="8">
        <f>HYPERLINK("https://dart.fss.or.kr/dsaf001/main.do?rcpNo=20260605000428", "공시열람")</f>
        <v/>
      </c>
    </row>
    <row r="9691">
      <c r="A9691" s="2" t="inlineStr">
        <is>
          <t>2026-06-05</t>
        </is>
      </c>
      <c r="B9691" s="3" t="inlineStr">
        <is>
          <t>SK증권</t>
        </is>
      </c>
      <c r="C9691" s="2" t="inlineStr">
        <is>
          <t>코스피</t>
        </is>
      </c>
      <c r="D9691" s="2" t="inlineStr">
        <is>
          <t>001510</t>
        </is>
      </c>
      <c r="E9691" s="3" t="inlineStr">
        <is>
          <t>증권발행실적보고서</t>
        </is>
      </c>
      <c r="F9691" s="3" t="inlineStr">
        <is>
          <t>SK증권</t>
        </is>
      </c>
      <c r="G9691" s="2" t="inlineStr">
        <is>
          <t>20260605000424</t>
        </is>
      </c>
      <c r="H9691" s="8">
        <f>HYPERLINK("https://dart.fss.or.kr/dsaf001/main.do?rcpNo=20260605000424", "공시열람")</f>
        <v/>
      </c>
    </row>
    <row r="9692">
      <c r="A9692" s="2" t="inlineStr">
        <is>
          <t>2026-06-05</t>
        </is>
      </c>
      <c r="B9692" s="3" t="inlineStr">
        <is>
          <t>디와이</t>
        </is>
      </c>
      <c r="C9692" s="2" t="inlineStr">
        <is>
          <t>코스피</t>
        </is>
      </c>
      <c r="D9692" s="2" t="inlineStr">
        <is>
          <t>013570</t>
        </is>
      </c>
      <c r="E9692" s="3" t="inlineStr">
        <is>
          <t>임원ㆍ주요주주특정증권등소유상황보고서</t>
        </is>
      </c>
      <c r="F9692" s="3" t="inlineStr">
        <is>
          <t>김진호</t>
        </is>
      </c>
      <c r="G9692" s="2" t="inlineStr">
        <is>
          <t>20260605000423</t>
        </is>
      </c>
      <c r="H9692" s="8">
        <f>HYPERLINK("https://dart.fss.or.kr/dsaf001/main.do?rcpNo=20260605000423", "공시열람")</f>
        <v/>
      </c>
    </row>
    <row r="9693">
      <c r="A9693" s="2" t="inlineStr">
        <is>
          <t>2026-06-05</t>
        </is>
      </c>
      <c r="B9693" s="3" t="inlineStr">
        <is>
          <t>동성케미컬</t>
        </is>
      </c>
      <c r="C9693" s="2" t="inlineStr">
        <is>
          <t>코스피</t>
        </is>
      </c>
      <c r="D9693" s="2" t="inlineStr">
        <is>
          <t>102260</t>
        </is>
      </c>
      <c r="E9693" s="3" t="inlineStr">
        <is>
          <t xml:space="preserve">주주명부폐쇄기간또는기준일설정              </t>
        </is>
      </c>
      <c r="F9693" s="3" t="inlineStr">
        <is>
          <t>동성케미컬</t>
        </is>
      </c>
      <c r="G9693" s="2" t="inlineStr">
        <is>
          <t>20260605800572</t>
        </is>
      </c>
      <c r="H9693" s="8">
        <f>HYPERLINK("https://dart.fss.or.kr/dsaf001/main.do?rcpNo=20260605800572", "공시열람")</f>
        <v/>
      </c>
    </row>
    <row r="9694">
      <c r="A9694" s="2" t="inlineStr">
        <is>
          <t>2026-06-05</t>
        </is>
      </c>
      <c r="B9694" s="3" t="inlineStr">
        <is>
          <t>비트맥스</t>
        </is>
      </c>
      <c r="C9694" s="2" t="inlineStr">
        <is>
          <t>코스닥</t>
        </is>
      </c>
      <c r="D9694" s="2" t="inlineStr">
        <is>
          <t>377030</t>
        </is>
      </c>
      <c r="E9694" s="3" t="inlineStr">
        <is>
          <t>주요사항보고서(자기전환사채만기전취득결정)</t>
        </is>
      </c>
      <c r="F9694" s="3" t="inlineStr">
        <is>
          <t>비트맥스</t>
        </is>
      </c>
      <c r="G9694" s="2" t="inlineStr">
        <is>
          <t>20260605000392</t>
        </is>
      </c>
      <c r="H9694" s="8">
        <f>HYPERLINK("https://dart.fss.or.kr/dsaf001/main.do?rcpNo=20260605000392", "공시열람")</f>
        <v/>
      </c>
    </row>
    <row r="9695">
      <c r="A9695" s="2" t="inlineStr">
        <is>
          <t>2026-06-05</t>
        </is>
      </c>
      <c r="B9695" s="3" t="inlineStr">
        <is>
          <t>기아</t>
        </is>
      </c>
      <c r="C9695" s="2" t="inlineStr">
        <is>
          <t>코스피</t>
        </is>
      </c>
      <c r="D9695" s="2" t="inlineStr">
        <is>
          <t>000270</t>
        </is>
      </c>
      <c r="E9695" s="3" t="inlineStr">
        <is>
          <t>의결권대리행사권유참고서류</t>
        </is>
      </c>
      <c r="F9695" s="3" t="inlineStr">
        <is>
          <t>기아</t>
        </is>
      </c>
      <c r="G9695" s="2" t="inlineStr">
        <is>
          <t>20260605000416</t>
        </is>
      </c>
      <c r="H9695" s="8">
        <f>HYPERLINK("https://dart.fss.or.kr/dsaf001/main.do?rcpNo=20260605000416", "공시열람")</f>
        <v/>
      </c>
    </row>
    <row r="9696">
      <c r="A9696" s="2" t="inlineStr">
        <is>
          <t>2026-06-05</t>
        </is>
      </c>
      <c r="B9696" s="3" t="inlineStr">
        <is>
          <t>아티스트컴퍼니</t>
        </is>
      </c>
      <c r="C9696" s="2" t="inlineStr">
        <is>
          <t>코스닥</t>
        </is>
      </c>
      <c r="D9696" s="2" t="inlineStr">
        <is>
          <t>321820</t>
        </is>
      </c>
      <c r="E9696" s="3" t="inlineStr">
        <is>
          <t xml:space="preserve">주주명부폐쇄기간또는기준일설정              </t>
        </is>
      </c>
      <c r="F9696" s="3" t="inlineStr">
        <is>
          <t>아티스트컴퍼니</t>
        </is>
      </c>
      <c r="G9696" s="2" t="inlineStr">
        <is>
          <t>20260605900584</t>
        </is>
      </c>
      <c r="H9696" s="8">
        <f>HYPERLINK("https://dart.fss.or.kr/dsaf001/main.do?rcpNo=20260605900584", "공시열람")</f>
        <v/>
      </c>
    </row>
    <row r="9697">
      <c r="A9697" s="2" t="inlineStr">
        <is>
          <t>2026-06-05</t>
        </is>
      </c>
      <c r="B9697" s="3" t="inlineStr">
        <is>
          <t>삼성카드</t>
        </is>
      </c>
      <c r="C9697" s="2" t="inlineStr">
        <is>
          <t>코스피</t>
        </is>
      </c>
      <c r="D9697" s="2" t="inlineStr">
        <is>
          <t>029780</t>
        </is>
      </c>
      <c r="E9697" s="3" t="inlineStr">
        <is>
          <t>증권발행실적보고서</t>
        </is>
      </c>
      <c r="F9697" s="3" t="inlineStr">
        <is>
          <t>삼성카드</t>
        </is>
      </c>
      <c r="G9697" s="2" t="inlineStr">
        <is>
          <t>20260605000412</t>
        </is>
      </c>
      <c r="H9697" s="8">
        <f>HYPERLINK("https://dart.fss.or.kr/dsaf001/main.do?rcpNo=20260605000412", "공시열람")</f>
        <v/>
      </c>
    </row>
    <row r="9698">
      <c r="A9698" s="2" t="inlineStr">
        <is>
          <t>2026-06-05</t>
        </is>
      </c>
      <c r="B9698" s="3" t="inlineStr">
        <is>
          <t>코웨이</t>
        </is>
      </c>
      <c r="C9698" s="2" t="inlineStr">
        <is>
          <t>코스피</t>
        </is>
      </c>
      <c r="D9698" s="2" t="inlineStr">
        <is>
          <t>021240</t>
        </is>
      </c>
      <c r="E9698" s="3" t="inlineStr">
        <is>
          <t>임원ㆍ주요주주특정증권등소유상황보고서</t>
        </is>
      </c>
      <c r="F9698" s="3" t="inlineStr">
        <is>
          <t>넷마블</t>
        </is>
      </c>
      <c r="G9698" s="2" t="inlineStr">
        <is>
          <t>20260605000411</t>
        </is>
      </c>
      <c r="H9698" s="8">
        <f>HYPERLINK("https://dart.fss.or.kr/dsaf001/main.do?rcpNo=20260605000411", "공시열람")</f>
        <v/>
      </c>
    </row>
    <row r="9699">
      <c r="A9699" s="2" t="inlineStr">
        <is>
          <t>2026-06-05</t>
        </is>
      </c>
      <c r="B9699" s="3" t="inlineStr">
        <is>
          <t>심텍</t>
        </is>
      </c>
      <c r="C9699" s="2" t="inlineStr">
        <is>
          <t>코스닥</t>
        </is>
      </c>
      <c r="D9699" s="2" t="inlineStr">
        <is>
          <t>222800</t>
        </is>
      </c>
      <c r="E9699" s="3" t="inlineStr">
        <is>
          <t>주요사항보고서(제3자의전환사채매수선택권행사)</t>
        </is>
      </c>
      <c r="F9699" s="3" t="inlineStr">
        <is>
          <t>심텍</t>
        </is>
      </c>
      <c r="G9699" s="2" t="inlineStr">
        <is>
          <t>20260605000408</t>
        </is>
      </c>
      <c r="H9699" s="8">
        <f>HYPERLINK("https://dart.fss.or.kr/dsaf001/main.do?rcpNo=20260605000408", "공시열람")</f>
        <v/>
      </c>
    </row>
    <row r="9700">
      <c r="A9700" s="2" t="inlineStr">
        <is>
          <t>2026-06-05 (정정: 2026-06-23)</t>
        </is>
      </c>
      <c r="B9700" s="3" t="inlineStr">
        <is>
          <t>심텍홀딩스</t>
        </is>
      </c>
      <c r="C9700" s="2" t="inlineStr">
        <is>
          <t>코스닥</t>
        </is>
      </c>
      <c r="D9700" s="2" t="inlineStr">
        <is>
          <t>036710</t>
        </is>
      </c>
      <c r="E9700" s="3" t="inlineStr">
        <is>
          <t>주권관련사채권의취득결정               (정정: 20260622) (정정: 20260623)</t>
        </is>
      </c>
      <c r="F9700" s="3" t="inlineStr">
        <is>
          <t>심텍홀딩스</t>
        </is>
      </c>
      <c r="G9700" s="2" t="inlineStr">
        <is>
          <t>20260623900686</t>
        </is>
      </c>
      <c r="H9700" s="8">
        <f>HYPERLINK("https://dart.fss.or.kr/dsaf001/main.do?rcpNo=20260623900686", "공시열람")</f>
        <v/>
      </c>
    </row>
    <row r="9701">
      <c r="A9701" s="2" t="inlineStr">
        <is>
          <t>2026-06-05</t>
        </is>
      </c>
      <c r="B9701" s="3" t="inlineStr">
        <is>
          <t>올리패스</t>
        </is>
      </c>
      <c r="C9701" s="2" t="inlineStr">
        <is>
          <t>코스닥</t>
        </is>
      </c>
      <c r="D9701" s="2" t="inlineStr">
        <is>
          <t>244460</t>
        </is>
      </c>
      <c r="E9701" s="3" t="inlineStr">
        <is>
          <t>기타시장안내              (회생절차 개시결정 관련 시장안내)</t>
        </is>
      </c>
      <c r="F9701" s="3" t="inlineStr">
        <is>
          <t>코스닥시장본부</t>
        </is>
      </c>
      <c r="G9701" s="2" t="inlineStr">
        <is>
          <t>20260605900540</t>
        </is>
      </c>
      <c r="H9701" s="8">
        <f>HYPERLINK("https://dart.fss.or.kr/dsaf001/main.do?rcpNo=20260605900540", "공시열람")</f>
        <v/>
      </c>
    </row>
    <row r="9702">
      <c r="A9702" s="2" t="inlineStr">
        <is>
          <t>2026-06-05</t>
        </is>
      </c>
      <c r="B9702" s="3" t="inlineStr">
        <is>
          <t>유한양행</t>
        </is>
      </c>
      <c r="C9702" s="2" t="inlineStr">
        <is>
          <t>코스피</t>
        </is>
      </c>
      <c r="D9702" s="2" t="inlineStr">
        <is>
          <t>000100</t>
        </is>
      </c>
      <c r="E9702" s="3" t="inlineStr">
        <is>
          <t xml:space="preserve">기업설명회(IR)개최(안내공시)              </t>
        </is>
      </c>
      <c r="F9702" s="3" t="inlineStr">
        <is>
          <t>유한양행</t>
        </is>
      </c>
      <c r="G9702" s="2" t="inlineStr">
        <is>
          <t>20260605800555</t>
        </is>
      </c>
      <c r="H9702" s="8">
        <f>HYPERLINK("https://dart.fss.or.kr/dsaf001/main.do?rcpNo=20260605800555", "공시열람")</f>
        <v/>
      </c>
    </row>
    <row r="9703">
      <c r="A9703" s="2" t="inlineStr">
        <is>
          <t>2026-06-05</t>
        </is>
      </c>
      <c r="B9703" s="3" t="inlineStr">
        <is>
          <t>올리패스</t>
        </is>
      </c>
      <c r="C9703" s="2" t="inlineStr">
        <is>
          <t>코스닥</t>
        </is>
      </c>
      <c r="D9703" s="2" t="inlineStr">
        <is>
          <t>244460</t>
        </is>
      </c>
      <c r="E9703" s="3" t="inlineStr">
        <is>
          <t xml:space="preserve">회생절차개시결정              </t>
        </is>
      </c>
      <c r="F9703" s="3" t="inlineStr">
        <is>
          <t>올리패스</t>
        </is>
      </c>
      <c r="G9703" s="2" t="inlineStr">
        <is>
          <t>20260605900519</t>
        </is>
      </c>
      <c r="H9703" s="8">
        <f>HYPERLINK("https://dart.fss.or.kr/dsaf001/main.do?rcpNo=20260605900519", "공시열람")</f>
        <v/>
      </c>
    </row>
    <row r="9704">
      <c r="A9704" s="2" t="inlineStr">
        <is>
          <t>2026-06-05</t>
        </is>
      </c>
      <c r="B9704" s="3" t="inlineStr">
        <is>
          <t>삼미금속</t>
        </is>
      </c>
      <c r="C9704" s="2" t="inlineStr">
        <is>
          <t>코스닥</t>
        </is>
      </c>
      <c r="D9704" s="2" t="inlineStr">
        <is>
          <t>012210</t>
        </is>
      </c>
      <c r="E9704" s="3" t="inlineStr">
        <is>
          <t>전환청구권행사              (제1회차)</t>
        </is>
      </c>
      <c r="F9704" s="3" t="inlineStr">
        <is>
          <t>삼미금속</t>
        </is>
      </c>
      <c r="G9704" s="2" t="inlineStr">
        <is>
          <t>20260605900528</t>
        </is>
      </c>
      <c r="H9704" s="8">
        <f>HYPERLINK("https://dart.fss.or.kr/dsaf001/main.do?rcpNo=20260605900528", "공시열람")</f>
        <v/>
      </c>
    </row>
    <row r="9705">
      <c r="A9705" s="2" t="inlineStr">
        <is>
          <t>2026-06-05</t>
        </is>
      </c>
      <c r="B9705" s="3" t="inlineStr">
        <is>
          <t>대신정보통신</t>
        </is>
      </c>
      <c r="C9705" s="2" t="inlineStr">
        <is>
          <t>코스닥</t>
        </is>
      </c>
      <c r="D9705" s="2" t="inlineStr">
        <is>
          <t>020180</t>
        </is>
      </c>
      <c r="E9705" s="3" t="inlineStr">
        <is>
          <t>의결권대리행사권유참고서류</t>
        </is>
      </c>
      <c r="F9705" s="3" t="inlineStr">
        <is>
          <t>대신정보통신</t>
        </is>
      </c>
      <c r="G9705" s="2" t="inlineStr">
        <is>
          <t>20260605000389</t>
        </is>
      </c>
      <c r="H9705" s="8">
        <f>HYPERLINK("https://dart.fss.or.kr/dsaf001/main.do?rcpNo=20260605000389", "공시열람")</f>
        <v/>
      </c>
    </row>
    <row r="9706">
      <c r="A9706" s="2" t="inlineStr">
        <is>
          <t>2026-06-05</t>
        </is>
      </c>
      <c r="B9706" s="3" t="inlineStr">
        <is>
          <t>대동스틸</t>
        </is>
      </c>
      <c r="C9706" s="2" t="inlineStr">
        <is>
          <t>코스닥</t>
        </is>
      </c>
      <c r="D9706" s="2" t="inlineStr">
        <is>
          <t>048470</t>
        </is>
      </c>
      <c r="E9706" s="3" t="inlineStr">
        <is>
          <t>임원ㆍ주요주주특정증권등소유상황보고서</t>
        </is>
      </c>
      <c r="F9706" s="3" t="inlineStr">
        <is>
          <t>임지현</t>
        </is>
      </c>
      <c r="G9706" s="2" t="inlineStr">
        <is>
          <t>20260605000388</t>
        </is>
      </c>
      <c r="H9706" s="8">
        <f>HYPERLINK("https://dart.fss.or.kr/dsaf001/main.do?rcpNo=20260605000388", "공시열람")</f>
        <v/>
      </c>
    </row>
    <row r="9707">
      <c r="A9707" s="2" t="inlineStr">
        <is>
          <t>2026-06-05</t>
        </is>
      </c>
      <c r="B9707" s="3" t="inlineStr">
        <is>
          <t>유한양행</t>
        </is>
      </c>
      <c r="C9707" s="2" t="inlineStr">
        <is>
          <t>코스피</t>
        </is>
      </c>
      <c r="D9707" s="2" t="inlineStr">
        <is>
          <t>000100</t>
        </is>
      </c>
      <c r="E9707" s="3" t="inlineStr">
        <is>
          <t xml:space="preserve">기업설명회(IR)개최(안내공시)              </t>
        </is>
      </c>
      <c r="F9707" s="3" t="inlineStr">
        <is>
          <t>유한양행</t>
        </is>
      </c>
      <c r="G9707" s="2" t="inlineStr">
        <is>
          <t>20260605800545</t>
        </is>
      </c>
      <c r="H9707" s="8">
        <f>HYPERLINK("https://dart.fss.or.kr/dsaf001/main.do?rcpNo=20260605800545", "공시열람")</f>
        <v/>
      </c>
    </row>
    <row r="9708">
      <c r="A9708" s="2" t="inlineStr">
        <is>
          <t>2026-06-05</t>
        </is>
      </c>
      <c r="B9708" s="3" t="inlineStr">
        <is>
          <t>안국약품</t>
        </is>
      </c>
      <c r="C9708" s="2" t="inlineStr">
        <is>
          <t>코스닥</t>
        </is>
      </c>
      <c r="D9708" s="2" t="inlineStr">
        <is>
          <t>001540</t>
        </is>
      </c>
      <c r="E9708" s="3" t="inlineStr">
        <is>
          <t xml:space="preserve">생산재개(자율공시)              </t>
        </is>
      </c>
      <c r="F9708" s="3" t="inlineStr">
        <is>
          <t>안국약품</t>
        </is>
      </c>
      <c r="G9708" s="2" t="inlineStr">
        <is>
          <t>20260605900542</t>
        </is>
      </c>
      <c r="H9708" s="8">
        <f>HYPERLINK("https://dart.fss.or.kr/dsaf001/main.do?rcpNo=20260605900542", "공시열람")</f>
        <v/>
      </c>
    </row>
    <row r="9709">
      <c r="A9709" s="2" t="inlineStr">
        <is>
          <t>2026-06-05</t>
        </is>
      </c>
      <c r="B9709" s="3" t="inlineStr">
        <is>
          <t>대동스틸</t>
        </is>
      </c>
      <c r="C9709" s="2" t="inlineStr">
        <is>
          <t>코스닥</t>
        </is>
      </c>
      <c r="D9709" s="2" t="inlineStr">
        <is>
          <t>048470</t>
        </is>
      </c>
      <c r="E9709" s="3" t="inlineStr">
        <is>
          <t>임원ㆍ주요주주특정증권등소유상황보고서</t>
        </is>
      </c>
      <c r="F9709" s="3" t="inlineStr">
        <is>
          <t>임주희</t>
        </is>
      </c>
      <c r="G9709" s="2" t="inlineStr">
        <is>
          <t>20260605000380</t>
        </is>
      </c>
      <c r="H9709" s="8">
        <f>HYPERLINK("https://dart.fss.or.kr/dsaf001/main.do?rcpNo=20260605000380", "공시열람")</f>
        <v/>
      </c>
    </row>
    <row r="9710">
      <c r="A9710" s="2" t="inlineStr">
        <is>
          <t>2026-06-05</t>
        </is>
      </c>
      <c r="B9710" s="3" t="inlineStr">
        <is>
          <t>레뷰코퍼레이션</t>
        </is>
      </c>
      <c r="C9710" s="2" t="inlineStr">
        <is>
          <t>코스닥</t>
        </is>
      </c>
      <c r="D9710" s="2" t="inlineStr">
        <is>
          <t>443250</t>
        </is>
      </c>
      <c r="E9710" s="3" t="inlineStr">
        <is>
          <t xml:space="preserve">중간(분기)배당을위한주주명부폐쇄(기준일)결정              </t>
        </is>
      </c>
      <c r="F9710" s="3" t="inlineStr">
        <is>
          <t>레뷰코퍼레이션</t>
        </is>
      </c>
      <c r="G9710" s="2" t="inlineStr">
        <is>
          <t>20260605900501</t>
        </is>
      </c>
      <c r="H9710" s="8">
        <f>HYPERLINK("https://dart.fss.or.kr/dsaf001/main.do?rcpNo=20260605900501", "공시열람")</f>
        <v/>
      </c>
    </row>
    <row r="9711">
      <c r="A9711" s="2" t="inlineStr">
        <is>
          <t>2026-06-05</t>
        </is>
      </c>
      <c r="B9711" s="3" t="inlineStr">
        <is>
          <t>한화투자증권</t>
        </is>
      </c>
      <c r="C9711" s="2" t="inlineStr">
        <is>
          <t>코스피</t>
        </is>
      </c>
      <c r="D9711" s="2" t="inlineStr">
        <is>
          <t>003530</t>
        </is>
      </c>
      <c r="E9711" s="3" t="inlineStr">
        <is>
          <t>투자설명서(일괄신고)</t>
        </is>
      </c>
      <c r="F9711" s="3" t="inlineStr">
        <is>
          <t>한화투자증권</t>
        </is>
      </c>
      <c r="G9711" s="2" t="inlineStr">
        <is>
          <t>20260605000371</t>
        </is>
      </c>
      <c r="H9711" s="8">
        <f>HYPERLINK("https://dart.fss.or.kr/dsaf001/main.do?rcpNo=20260605000371", "공시열람")</f>
        <v/>
      </c>
    </row>
    <row r="9712">
      <c r="A9712" s="2" t="inlineStr">
        <is>
          <t>2026-06-05</t>
        </is>
      </c>
      <c r="B9712" s="3" t="inlineStr">
        <is>
          <t>교보증권</t>
        </is>
      </c>
      <c r="C9712" s="2" t="inlineStr">
        <is>
          <t>코스피</t>
        </is>
      </c>
      <c r="D9712" s="2" t="inlineStr">
        <is>
          <t>030610</t>
        </is>
      </c>
      <c r="E9712" s="3" t="inlineStr">
        <is>
          <t>증권발행실적보고서</t>
        </is>
      </c>
      <c r="F9712" s="3" t="inlineStr">
        <is>
          <t>교보증권</t>
        </is>
      </c>
      <c r="G9712" s="2" t="inlineStr">
        <is>
          <t>20260605000370</t>
        </is>
      </c>
      <c r="H9712" s="8">
        <f>HYPERLINK("https://dart.fss.or.kr/dsaf001/main.do?rcpNo=20260605000370", "공시열람")</f>
        <v/>
      </c>
    </row>
    <row r="9713">
      <c r="A9713" s="2" t="inlineStr">
        <is>
          <t>2026-06-05</t>
        </is>
      </c>
      <c r="B9713" s="3" t="inlineStr">
        <is>
          <t>팬오션</t>
        </is>
      </c>
      <c r="C9713" s="2" t="inlineStr">
        <is>
          <t>코스피</t>
        </is>
      </c>
      <c r="D9713" s="2" t="inlineStr">
        <is>
          <t>028670</t>
        </is>
      </c>
      <c r="E9713" s="3" t="inlineStr">
        <is>
          <t>임원ㆍ주요주주특정증권등소유상황보고서</t>
        </is>
      </c>
      <c r="F9713" s="3" t="inlineStr">
        <is>
          <t>김영주</t>
        </is>
      </c>
      <c r="G9713" s="2" t="inlineStr">
        <is>
          <t>20260605000369</t>
        </is>
      </c>
      <c r="H9713" s="8">
        <f>HYPERLINK("https://dart.fss.or.kr/dsaf001/main.do?rcpNo=20260605000369", "공시열람")</f>
        <v/>
      </c>
    </row>
    <row r="9714">
      <c r="A9714" s="2" t="inlineStr">
        <is>
          <t>2026-06-05</t>
        </is>
      </c>
      <c r="B9714" s="3" t="inlineStr">
        <is>
          <t>NH투자증권</t>
        </is>
      </c>
      <c r="C9714" s="2" t="inlineStr">
        <is>
          <t>코스피</t>
        </is>
      </c>
      <c r="D9714" s="2" t="inlineStr">
        <is>
          <t>005940</t>
        </is>
      </c>
      <c r="E9714" s="3" t="inlineStr">
        <is>
          <t>증권발행실적보고서</t>
        </is>
      </c>
      <c r="F9714" s="3" t="inlineStr">
        <is>
          <t>NH투자증권</t>
        </is>
      </c>
      <c r="G9714" s="2" t="inlineStr">
        <is>
          <t>20260605000366</t>
        </is>
      </c>
      <c r="H9714" s="8">
        <f>HYPERLINK("https://dart.fss.or.kr/dsaf001/main.do?rcpNo=20260605000366", "공시열람")</f>
        <v/>
      </c>
    </row>
    <row r="9715">
      <c r="A9715" s="2" t="inlineStr">
        <is>
          <t>2026-06-05</t>
        </is>
      </c>
      <c r="B9715" s="3" t="inlineStr">
        <is>
          <t>투비소프트</t>
        </is>
      </c>
      <c r="C9715" s="2" t="inlineStr">
        <is>
          <t>코스닥</t>
        </is>
      </c>
      <c r="D9715" s="2" t="inlineStr">
        <is>
          <t>079970</t>
        </is>
      </c>
      <c r="E9715" s="3" t="inlineStr">
        <is>
          <t>주권매매거래정지              (투자자 보호)</t>
        </is>
      </c>
      <c r="F9715" s="3" t="inlineStr">
        <is>
          <t>코스닥시장본부</t>
        </is>
      </c>
      <c r="G9715" s="2" t="inlineStr">
        <is>
          <t>20260605900505</t>
        </is>
      </c>
      <c r="H9715" s="8">
        <f>HYPERLINK("https://dart.fss.or.kr/dsaf001/main.do?rcpNo=20260605900505", "공시열람")</f>
        <v/>
      </c>
    </row>
    <row r="9716">
      <c r="A9716" s="2" t="inlineStr">
        <is>
          <t>2026-06-05</t>
        </is>
      </c>
      <c r="B9716" s="3" t="inlineStr">
        <is>
          <t>케일럼</t>
        </is>
      </c>
      <c r="C9716" s="2" t="inlineStr">
        <is>
          <t>코스닥</t>
        </is>
      </c>
      <c r="D9716" s="2" t="inlineStr">
        <is>
          <t>258610</t>
        </is>
      </c>
      <c r="E9716" s="3" t="inlineStr">
        <is>
          <t>임원ㆍ주요주주특정증권등거래계획보고서</t>
        </is>
      </c>
      <c r="F9716" s="3" t="inlineStr">
        <is>
          <t>티엠씨</t>
        </is>
      </c>
      <c r="G9716" s="2" t="inlineStr">
        <is>
          <t>20260605000363</t>
        </is>
      </c>
      <c r="H9716" s="8">
        <f>HYPERLINK("https://dart.fss.or.kr/dsaf001/main.do?rcpNo=20260605000363", "공시열람")</f>
        <v/>
      </c>
    </row>
    <row r="9717">
      <c r="A9717" s="2" t="inlineStr">
        <is>
          <t>2026-06-05</t>
        </is>
      </c>
      <c r="B9717" s="3" t="inlineStr">
        <is>
          <t>투비소프트</t>
        </is>
      </c>
      <c r="C9717" s="2" t="inlineStr">
        <is>
          <t>코스닥</t>
        </is>
      </c>
      <c r="D9717" s="2" t="inlineStr">
        <is>
          <t>079970</t>
        </is>
      </c>
      <c r="E9717" s="3" t="inlineStr">
        <is>
          <t>기타시장안내              (정리매매 보류 관련)</t>
        </is>
      </c>
      <c r="F9717" s="3" t="inlineStr">
        <is>
          <t>코스닥시장본부</t>
        </is>
      </c>
      <c r="G9717" s="2" t="inlineStr">
        <is>
          <t>20260605900493</t>
        </is>
      </c>
      <c r="H9717" s="8">
        <f>HYPERLINK("https://dart.fss.or.kr/dsaf001/main.do?rcpNo=20260605900493", "공시열람")</f>
        <v/>
      </c>
    </row>
    <row r="9718">
      <c r="A9718" s="2" t="inlineStr">
        <is>
          <t>2026-06-05</t>
        </is>
      </c>
      <c r="B9718" s="3" t="inlineStr">
        <is>
          <t>투비소프트</t>
        </is>
      </c>
      <c r="C9718" s="2" t="inlineStr">
        <is>
          <t>코스닥</t>
        </is>
      </c>
      <c r="D9718" s="2" t="inlineStr">
        <is>
          <t>079970</t>
        </is>
      </c>
      <c r="E9718" s="3" t="inlineStr">
        <is>
          <t>기타경영사항(자율공시)              (상장폐지결정 효력정지 가처분신청)</t>
        </is>
      </c>
      <c r="F9718" s="3" t="inlineStr">
        <is>
          <t>투비소프트</t>
        </is>
      </c>
      <c r="G9718" s="2" t="inlineStr">
        <is>
          <t>20260605900468</t>
        </is>
      </c>
      <c r="H9718" s="8">
        <f>HYPERLINK("https://dart.fss.or.kr/dsaf001/main.do?rcpNo=20260605900468", "공시열람")</f>
        <v/>
      </c>
    </row>
    <row r="9719">
      <c r="A9719" s="2" t="inlineStr">
        <is>
          <t>2026-06-05</t>
        </is>
      </c>
      <c r="B9719" s="3" t="inlineStr">
        <is>
          <t>키움증권</t>
        </is>
      </c>
      <c r="C9719" s="2" t="inlineStr">
        <is>
          <t>코스피</t>
        </is>
      </c>
      <c r="D9719" s="2" t="inlineStr">
        <is>
          <t>039490</t>
        </is>
      </c>
      <c r="E9719" s="3" t="inlineStr">
        <is>
          <t>증권발행실적보고서</t>
        </is>
      </c>
      <c r="F9719" s="3" t="inlineStr">
        <is>
          <t>키움증권</t>
        </is>
      </c>
      <c r="G9719" s="2" t="inlineStr">
        <is>
          <t>20260605000361</t>
        </is>
      </c>
      <c r="H9719" s="8">
        <f>HYPERLINK("https://dart.fss.or.kr/dsaf001/main.do?rcpNo=20260605000361", "공시열람")</f>
        <v/>
      </c>
    </row>
    <row r="9720">
      <c r="A9720" s="2" t="inlineStr">
        <is>
          <t>2026-06-05</t>
        </is>
      </c>
      <c r="B9720" s="3" t="inlineStr">
        <is>
          <t>케일럼</t>
        </is>
      </c>
      <c r="C9720" s="2" t="inlineStr">
        <is>
          <t>코스닥</t>
        </is>
      </c>
      <c r="D9720" s="2" t="inlineStr">
        <is>
          <t>258610</t>
        </is>
      </c>
      <c r="E9720" s="3" t="inlineStr">
        <is>
          <t>임원ㆍ주요주주특정증권등거래계획보고서</t>
        </is>
      </c>
      <c r="F9720" s="3" t="inlineStr">
        <is>
          <t>그린테크시스템</t>
        </is>
      </c>
      <c r="G9720" s="2" t="inlineStr">
        <is>
          <t>20260605000360</t>
        </is>
      </c>
      <c r="H9720" s="8">
        <f>HYPERLINK("https://dart.fss.or.kr/dsaf001/main.do?rcpNo=20260605000360", "공시열람")</f>
        <v/>
      </c>
    </row>
    <row r="9721">
      <c r="A9721" s="2" t="inlineStr">
        <is>
          <t>2026-06-05</t>
        </is>
      </c>
      <c r="B9721" s="3" t="inlineStr">
        <is>
          <t>삼일제약</t>
        </is>
      </c>
      <c r="C9721" s="2" t="inlineStr">
        <is>
          <t>코스피</t>
        </is>
      </c>
      <c r="D9721" s="2" t="inlineStr">
        <is>
          <t>000520</t>
        </is>
      </c>
      <c r="E9721" s="3" t="inlineStr">
        <is>
          <t>임원ㆍ주요주주특정증권등소유상황보고서</t>
        </is>
      </c>
      <c r="F9721" s="3" t="inlineStr">
        <is>
          <t>김영대</t>
        </is>
      </c>
      <c r="G9721" s="2" t="inlineStr">
        <is>
          <t>20260605000358</t>
        </is>
      </c>
      <c r="H9721" s="8">
        <f>HYPERLINK("https://dart.fss.or.kr/dsaf001/main.do?rcpNo=20260605000358", "공시열람")</f>
        <v/>
      </c>
    </row>
    <row r="9722">
      <c r="A9722" s="2" t="inlineStr">
        <is>
          <t>2026-06-05</t>
        </is>
      </c>
      <c r="B9722" s="3" t="inlineStr">
        <is>
          <t>교보증권</t>
        </is>
      </c>
      <c r="C9722" s="2" t="inlineStr">
        <is>
          <t>코스피</t>
        </is>
      </c>
      <c r="D9722" s="2" t="inlineStr">
        <is>
          <t>030610</t>
        </is>
      </c>
      <c r="E9722" s="3" t="inlineStr">
        <is>
          <t>증권발행실적보고서</t>
        </is>
      </c>
      <c r="F9722" s="3" t="inlineStr">
        <is>
          <t>교보증권</t>
        </is>
      </c>
      <c r="G9722" s="2" t="inlineStr">
        <is>
          <t>20260605000357</t>
        </is>
      </c>
      <c r="H9722" s="8">
        <f>HYPERLINK("https://dart.fss.or.kr/dsaf001/main.do?rcpNo=20260605000357", "공시열람")</f>
        <v/>
      </c>
    </row>
    <row r="9723">
      <c r="A9723" s="2" t="inlineStr">
        <is>
          <t>2026-06-05</t>
        </is>
      </c>
      <c r="B9723" s="3" t="inlineStr">
        <is>
          <t>현대차증권</t>
        </is>
      </c>
      <c r="C9723" s="2" t="inlineStr">
        <is>
          <t>코스피</t>
        </is>
      </c>
      <c r="D9723" s="2" t="inlineStr">
        <is>
          <t>001500</t>
        </is>
      </c>
      <c r="E9723" s="3" t="inlineStr">
        <is>
          <t>증권발행실적보고서</t>
        </is>
      </c>
      <c r="F9723" s="3" t="inlineStr">
        <is>
          <t>현대차증권</t>
        </is>
      </c>
      <c r="G9723" s="2" t="inlineStr">
        <is>
          <t>20260605000355</t>
        </is>
      </c>
      <c r="H9723" s="8">
        <f>HYPERLINK("https://dart.fss.or.kr/dsaf001/main.do?rcpNo=20260605000355", "공시열람")</f>
        <v/>
      </c>
    </row>
    <row r="9724">
      <c r="A9724" s="2" t="inlineStr">
        <is>
          <t>2026-06-05</t>
        </is>
      </c>
      <c r="B9724" s="3" t="inlineStr">
        <is>
          <t>키움증권</t>
        </is>
      </c>
      <c r="C9724" s="2" t="inlineStr">
        <is>
          <t>코스피</t>
        </is>
      </c>
      <c r="D9724" s="2" t="inlineStr">
        <is>
          <t>039490</t>
        </is>
      </c>
      <c r="E9724" s="3" t="inlineStr">
        <is>
          <t>증권발행실적보고서</t>
        </is>
      </c>
      <c r="F9724" s="3" t="inlineStr">
        <is>
          <t>키움증권</t>
        </is>
      </c>
      <c r="G9724" s="2" t="inlineStr">
        <is>
          <t>20260605000352</t>
        </is>
      </c>
      <c r="H9724" s="8">
        <f>HYPERLINK("https://dart.fss.or.kr/dsaf001/main.do?rcpNo=20260605000352", "공시열람")</f>
        <v/>
      </c>
    </row>
    <row r="9725">
      <c r="A9725" s="2" t="inlineStr">
        <is>
          <t>2026-06-05</t>
        </is>
      </c>
      <c r="B9725" s="3" t="inlineStr">
        <is>
          <t>삼성카드</t>
        </is>
      </c>
      <c r="C9725" s="2" t="inlineStr">
        <is>
          <t>코스피</t>
        </is>
      </c>
      <c r="D9725" s="2" t="inlineStr">
        <is>
          <t>029780</t>
        </is>
      </c>
      <c r="E9725" s="3" t="inlineStr">
        <is>
          <t xml:space="preserve">풍문또는보도에대한해명(미확정)              </t>
        </is>
      </c>
      <c r="F9725" s="3" t="inlineStr">
        <is>
          <t>삼성카드</t>
        </is>
      </c>
      <c r="G9725" s="2" t="inlineStr">
        <is>
          <t>20260605800481</t>
        </is>
      </c>
      <c r="H9725" s="8">
        <f>HYPERLINK("https://dart.fss.or.kr/dsaf001/main.do?rcpNo=20260605800481", "공시열람")</f>
        <v/>
      </c>
    </row>
    <row r="9726">
      <c r="A9726" s="2" t="inlineStr">
        <is>
          <t>2026-06-05</t>
        </is>
      </c>
      <c r="B9726" s="3" t="inlineStr">
        <is>
          <t>미원홀딩스</t>
        </is>
      </c>
      <c r="C9726" s="2" t="inlineStr">
        <is>
          <t>코스피</t>
        </is>
      </c>
      <c r="D9726" s="2" t="inlineStr">
        <is>
          <t>107590</t>
        </is>
      </c>
      <c r="E9726" s="3" t="inlineStr">
        <is>
          <t>임원ㆍ주요주주특정증권등소유상황보고서</t>
        </is>
      </c>
      <c r="F9726" s="3" t="inlineStr">
        <is>
          <t>미화물류</t>
        </is>
      </c>
      <c r="G9726" s="2" t="inlineStr">
        <is>
          <t>20260605000350</t>
        </is>
      </c>
      <c r="H9726" s="8">
        <f>HYPERLINK("https://dart.fss.or.kr/dsaf001/main.do?rcpNo=20260605000350", "공시열람")</f>
        <v/>
      </c>
    </row>
    <row r="9727">
      <c r="A9727" s="2" t="inlineStr">
        <is>
          <t>2026-06-05</t>
        </is>
      </c>
      <c r="B9727" s="3" t="inlineStr">
        <is>
          <t>키움증권</t>
        </is>
      </c>
      <c r="C9727" s="2" t="inlineStr">
        <is>
          <t>코스피</t>
        </is>
      </c>
      <c r="D9727" s="2" t="inlineStr">
        <is>
          <t>039490</t>
        </is>
      </c>
      <c r="E9727" s="3" t="inlineStr">
        <is>
          <t>증권발행실적보고서</t>
        </is>
      </c>
      <c r="F9727" s="3" t="inlineStr">
        <is>
          <t>키움증권</t>
        </is>
      </c>
      <c r="G9727" s="2" t="inlineStr">
        <is>
          <t>20260605000349</t>
        </is>
      </c>
      <c r="H9727" s="8">
        <f>HYPERLINK("https://dart.fss.or.kr/dsaf001/main.do?rcpNo=20260605000349", "공시열람")</f>
        <v/>
      </c>
    </row>
    <row r="9728">
      <c r="A9728" s="2" t="inlineStr">
        <is>
          <t>2026-06-05</t>
        </is>
      </c>
      <c r="B9728" s="3" t="inlineStr">
        <is>
          <t>교보증권</t>
        </is>
      </c>
      <c r="C9728" s="2" t="inlineStr">
        <is>
          <t>코스피</t>
        </is>
      </c>
      <c r="D9728" s="2" t="inlineStr">
        <is>
          <t>030610</t>
        </is>
      </c>
      <c r="E9728" s="3" t="inlineStr">
        <is>
          <t>증권발행실적보고서</t>
        </is>
      </c>
      <c r="F9728" s="3" t="inlineStr">
        <is>
          <t>교보증권</t>
        </is>
      </c>
      <c r="G9728" s="2" t="inlineStr">
        <is>
          <t>20260605000348</t>
        </is>
      </c>
      <c r="H9728" s="8">
        <f>HYPERLINK("https://dart.fss.or.kr/dsaf001/main.do?rcpNo=20260605000348", "공시열람")</f>
        <v/>
      </c>
    </row>
    <row r="9729">
      <c r="A9729" s="2" t="inlineStr">
        <is>
          <t>2026-06-05</t>
        </is>
      </c>
      <c r="B9729" s="3" t="inlineStr">
        <is>
          <t>링크드</t>
        </is>
      </c>
      <c r="C9729" s="2" t="inlineStr">
        <is>
          <t>코스닥</t>
        </is>
      </c>
      <c r="D9729" s="2" t="inlineStr">
        <is>
          <t>193250</t>
        </is>
      </c>
      <c r="E9729" s="3" t="inlineStr">
        <is>
          <t>주요사항보고서(타법인주식및출자증권양도결정)</t>
        </is>
      </c>
      <c r="F9729" s="3" t="inlineStr">
        <is>
          <t>링크드</t>
        </is>
      </c>
      <c r="G9729" s="2" t="inlineStr">
        <is>
          <t>20260605000316</t>
        </is>
      </c>
      <c r="H9729" s="8">
        <f>HYPERLINK("https://dart.fss.or.kr/dsaf001/main.do?rcpNo=20260605000316", "공시열람")</f>
        <v/>
      </c>
    </row>
    <row r="9730">
      <c r="A9730" s="2" t="inlineStr">
        <is>
          <t>2026-06-05</t>
        </is>
      </c>
      <c r="B9730" s="3" t="inlineStr">
        <is>
          <t>디아이</t>
        </is>
      </c>
      <c r="C9730" s="2" t="inlineStr">
        <is>
          <t>코스피</t>
        </is>
      </c>
      <c r="D9730" s="2" t="inlineStr">
        <is>
          <t>003160</t>
        </is>
      </c>
      <c r="E9730" s="3" t="inlineStr">
        <is>
          <t xml:space="preserve">기업설명회(IR)개최(안내공시)              </t>
        </is>
      </c>
      <c r="F9730" s="3" t="inlineStr">
        <is>
          <t>디아이</t>
        </is>
      </c>
      <c r="G9730" s="2" t="inlineStr">
        <is>
          <t>20260605800494</t>
        </is>
      </c>
      <c r="H9730" s="8">
        <f>HYPERLINK("https://dart.fss.or.kr/dsaf001/main.do?rcpNo=20260605800494", "공시열람")</f>
        <v/>
      </c>
    </row>
    <row r="9731">
      <c r="A9731" s="2" t="inlineStr">
        <is>
          <t>2026-06-05</t>
        </is>
      </c>
      <c r="B9731" s="3" t="inlineStr">
        <is>
          <t>NH투자증권</t>
        </is>
      </c>
      <c r="C9731" s="2" t="inlineStr">
        <is>
          <t>코스피</t>
        </is>
      </c>
      <c r="D9731" s="2" t="inlineStr">
        <is>
          <t>005940</t>
        </is>
      </c>
      <c r="E9731" s="3" t="inlineStr">
        <is>
          <t>증권발행실적보고서</t>
        </is>
      </c>
      <c r="F9731" s="3" t="inlineStr">
        <is>
          <t>NH투자증권</t>
        </is>
      </c>
      <c r="G9731" s="2" t="inlineStr">
        <is>
          <t>20260605000336</t>
        </is>
      </c>
      <c r="H9731" s="8">
        <f>HYPERLINK("https://dart.fss.or.kr/dsaf001/main.do?rcpNo=20260605000336", "공시열람")</f>
        <v/>
      </c>
    </row>
    <row r="9732">
      <c r="A9732" s="2" t="inlineStr">
        <is>
          <t>2026-06-05</t>
        </is>
      </c>
      <c r="B9732" s="3" t="inlineStr">
        <is>
          <t>옵트론텍</t>
        </is>
      </c>
      <c r="C9732" s="2" t="inlineStr">
        <is>
          <t>코스닥</t>
        </is>
      </c>
      <c r="D9732" s="2" t="inlineStr">
        <is>
          <t>082210</t>
        </is>
      </c>
      <c r="E9732" s="3" t="inlineStr">
        <is>
          <t xml:space="preserve">주주명부폐쇄기간또는기준일설정              </t>
        </is>
      </c>
      <c r="F9732" s="3" t="inlineStr">
        <is>
          <t>옵트론텍</t>
        </is>
      </c>
      <c r="G9732" s="2" t="inlineStr">
        <is>
          <t>20260605900465</t>
        </is>
      </c>
      <c r="H9732" s="8">
        <f>HYPERLINK("https://dart.fss.or.kr/dsaf001/main.do?rcpNo=20260605900465", "공시열람")</f>
        <v/>
      </c>
    </row>
    <row r="9733">
      <c r="A9733" s="2" t="inlineStr">
        <is>
          <t>2026-06-05</t>
        </is>
      </c>
      <c r="B9733" s="3" t="inlineStr">
        <is>
          <t>NH투자증권</t>
        </is>
      </c>
      <c r="C9733" s="2" t="inlineStr">
        <is>
          <t>코스피</t>
        </is>
      </c>
      <c r="D9733" s="2" t="inlineStr">
        <is>
          <t>005940</t>
        </is>
      </c>
      <c r="E9733" s="3" t="inlineStr">
        <is>
          <t>증권발행실적보고서</t>
        </is>
      </c>
      <c r="F9733" s="3" t="inlineStr">
        <is>
          <t>NH투자증권</t>
        </is>
      </c>
      <c r="G9733" s="2" t="inlineStr">
        <is>
          <t>20260605000333</t>
        </is>
      </c>
      <c r="H9733" s="8">
        <f>HYPERLINK("https://dart.fss.or.kr/dsaf001/main.do?rcpNo=20260605000333", "공시열람")</f>
        <v/>
      </c>
    </row>
    <row r="9734">
      <c r="A9734" s="2" t="inlineStr">
        <is>
          <t>2026-06-05</t>
        </is>
      </c>
      <c r="B9734" s="3" t="inlineStr">
        <is>
          <t>현대차증권</t>
        </is>
      </c>
      <c r="C9734" s="2" t="inlineStr">
        <is>
          <t>코스피</t>
        </is>
      </c>
      <c r="D9734" s="2" t="inlineStr">
        <is>
          <t>001500</t>
        </is>
      </c>
      <c r="E9734" s="3" t="inlineStr">
        <is>
          <t>투자설명서(일괄신고)</t>
        </is>
      </c>
      <c r="F9734" s="3" t="inlineStr">
        <is>
          <t>현대차증권</t>
        </is>
      </c>
      <c r="G9734" s="2" t="inlineStr">
        <is>
          <t>20260605000332</t>
        </is>
      </c>
      <c r="H9734" s="8">
        <f>HYPERLINK("https://dart.fss.or.kr/dsaf001/main.do?rcpNo=20260605000332", "공시열람")</f>
        <v/>
      </c>
    </row>
    <row r="9735">
      <c r="A9735" s="2" t="inlineStr">
        <is>
          <t>2026-06-05</t>
        </is>
      </c>
      <c r="B9735" s="3" t="inlineStr">
        <is>
          <t>DB증권</t>
        </is>
      </c>
      <c r="C9735" s="2" t="inlineStr">
        <is>
          <t>코스피</t>
        </is>
      </c>
      <c r="D9735" s="2" t="inlineStr">
        <is>
          <t>016610</t>
        </is>
      </c>
      <c r="E9735" s="3" t="inlineStr">
        <is>
          <t>증권발행실적보고서</t>
        </is>
      </c>
      <c r="F9735" s="3" t="inlineStr">
        <is>
          <t>DB증권</t>
        </is>
      </c>
      <c r="G9735" s="2" t="inlineStr">
        <is>
          <t>20260605000329</t>
        </is>
      </c>
      <c r="H9735" s="8">
        <f>HYPERLINK("https://dart.fss.or.kr/dsaf001/main.do?rcpNo=20260605000329", "공시열람")</f>
        <v/>
      </c>
    </row>
    <row r="9736">
      <c r="A9736" s="2" t="inlineStr">
        <is>
          <t>2026-06-05</t>
        </is>
      </c>
      <c r="B9736" s="3" t="inlineStr">
        <is>
          <t>전진바이오팜</t>
        </is>
      </c>
      <c r="C9736" s="2" t="inlineStr">
        <is>
          <t>코스닥</t>
        </is>
      </c>
      <c r="D9736" s="2" t="inlineStr">
        <is>
          <t>110020</t>
        </is>
      </c>
      <c r="E9736" s="3" t="inlineStr">
        <is>
          <t>임원ㆍ주요주주특정증권등소유상황보고서</t>
        </is>
      </c>
      <c r="F9736" s="3" t="inlineStr">
        <is>
          <t>이태훈</t>
        </is>
      </c>
      <c r="G9736" s="2" t="inlineStr">
        <is>
          <t>20260605000327</t>
        </is>
      </c>
      <c r="H9736" s="8">
        <f>HYPERLINK("https://dart.fss.or.kr/dsaf001/main.do?rcpNo=20260605000327", "공시열람")</f>
        <v/>
      </c>
    </row>
    <row r="9737">
      <c r="A9737" s="2" t="inlineStr">
        <is>
          <t>2026-06-05</t>
        </is>
      </c>
      <c r="B9737" s="3" t="inlineStr">
        <is>
          <t>한미반도체</t>
        </is>
      </c>
      <c r="C9737" s="2" t="inlineStr">
        <is>
          <t>코스피</t>
        </is>
      </c>
      <c r="D9737" s="2" t="inlineStr">
        <is>
          <t>042700</t>
        </is>
      </c>
      <c r="E9737" s="3" t="inlineStr">
        <is>
          <t xml:space="preserve">기업설명회(IR)개최(안내공시)              </t>
        </is>
      </c>
      <c r="F9737" s="3" t="inlineStr">
        <is>
          <t>한미반도체</t>
        </is>
      </c>
      <c r="G9737" s="2" t="inlineStr">
        <is>
          <t>20260605800483</t>
        </is>
      </c>
      <c r="H9737" s="8">
        <f>HYPERLINK("https://dart.fss.or.kr/dsaf001/main.do?rcpNo=20260605800483", "공시열람")</f>
        <v/>
      </c>
    </row>
    <row r="9738">
      <c r="A9738" s="2" t="inlineStr">
        <is>
          <t>2026-06-05</t>
        </is>
      </c>
      <c r="B9738" s="3" t="inlineStr">
        <is>
          <t>NH투자증권</t>
        </is>
      </c>
      <c r="C9738" s="2" t="inlineStr">
        <is>
          <t>코스피</t>
        </is>
      </c>
      <c r="D9738" s="2" t="inlineStr">
        <is>
          <t>005940</t>
        </is>
      </c>
      <c r="E9738" s="3" t="inlineStr">
        <is>
          <t>증권발행실적보고서</t>
        </is>
      </c>
      <c r="F9738" s="3" t="inlineStr">
        <is>
          <t>NH투자증권</t>
        </is>
      </c>
      <c r="G9738" s="2" t="inlineStr">
        <is>
          <t>20260605000324</t>
        </is>
      </c>
      <c r="H9738" s="8">
        <f>HYPERLINK("https://dart.fss.or.kr/dsaf001/main.do?rcpNo=20260605000324", "공시열람")</f>
        <v/>
      </c>
    </row>
    <row r="9739">
      <c r="A9739" s="2" t="inlineStr">
        <is>
          <t>2026-06-05</t>
        </is>
      </c>
      <c r="B9739" s="3" t="inlineStr">
        <is>
          <t>미원홀딩스</t>
        </is>
      </c>
      <c r="C9739" s="2" t="inlineStr">
        <is>
          <t>코스피</t>
        </is>
      </c>
      <c r="D9739" s="2" t="inlineStr">
        <is>
          <t>107590</t>
        </is>
      </c>
      <c r="E9739" s="3" t="inlineStr">
        <is>
          <t>임원ㆍ주요주주특정증권등소유상황보고서</t>
        </is>
      </c>
      <c r="F9739" s="3" t="inlineStr">
        <is>
          <t>김정돈</t>
        </is>
      </c>
      <c r="G9739" s="2" t="inlineStr">
        <is>
          <t>20260605000321</t>
        </is>
      </c>
      <c r="H9739" s="8">
        <f>HYPERLINK("https://dart.fss.or.kr/dsaf001/main.do?rcpNo=20260605000321", "공시열람")</f>
        <v/>
      </c>
    </row>
    <row r="9740">
      <c r="A9740" s="2" t="inlineStr">
        <is>
          <t>2026-06-05</t>
        </is>
      </c>
      <c r="B9740" s="3" t="inlineStr">
        <is>
          <t>키움증권</t>
        </is>
      </c>
      <c r="C9740" s="2" t="inlineStr">
        <is>
          <t>코스피</t>
        </is>
      </c>
      <c r="D9740" s="2" t="inlineStr">
        <is>
          <t>039490</t>
        </is>
      </c>
      <c r="E9740" s="3" t="inlineStr">
        <is>
          <t>투자설명서(일괄신고)</t>
        </is>
      </c>
      <c r="F9740" s="3" t="inlineStr">
        <is>
          <t>키움증권</t>
        </is>
      </c>
      <c r="G9740" s="2" t="inlineStr">
        <is>
          <t>20260605000319</t>
        </is>
      </c>
      <c r="H9740" s="8">
        <f>HYPERLINK("https://dart.fss.or.kr/dsaf001/main.do?rcpNo=20260605000319", "공시열람")</f>
        <v/>
      </c>
    </row>
    <row r="9741">
      <c r="A9741" s="2" t="inlineStr">
        <is>
          <t>2026-06-05</t>
        </is>
      </c>
      <c r="B9741" s="3" t="inlineStr">
        <is>
          <t>한미반도체</t>
        </is>
      </c>
      <c r="C9741" s="2" t="inlineStr">
        <is>
          <t>코스피</t>
        </is>
      </c>
      <c r="D9741" s="2" t="inlineStr">
        <is>
          <t>042700</t>
        </is>
      </c>
      <c r="E9741" s="3" t="inlineStr">
        <is>
          <t xml:space="preserve">기업설명회(IR)개최(안내공시)              </t>
        </is>
      </c>
      <c r="F9741" s="3" t="inlineStr">
        <is>
          <t>한미반도체</t>
        </is>
      </c>
      <c r="G9741" s="2" t="inlineStr">
        <is>
          <t>20260605800477</t>
        </is>
      </c>
      <c r="H9741" s="8">
        <f>HYPERLINK("https://dart.fss.or.kr/dsaf001/main.do?rcpNo=20260605800477", "공시열람")</f>
        <v/>
      </c>
    </row>
    <row r="9742">
      <c r="A9742" s="2" t="inlineStr">
        <is>
          <t>2026-06-05</t>
        </is>
      </c>
      <c r="B9742" s="3" t="inlineStr">
        <is>
          <t>키움증권</t>
        </is>
      </c>
      <c r="C9742" s="2" t="inlineStr">
        <is>
          <t>코스피</t>
        </is>
      </c>
      <c r="D9742" s="2" t="inlineStr">
        <is>
          <t>039490</t>
        </is>
      </c>
      <c r="E9742" s="3" t="inlineStr">
        <is>
          <t>투자설명서(일괄신고)</t>
        </is>
      </c>
      <c r="F9742" s="3" t="inlineStr">
        <is>
          <t>키움증권</t>
        </is>
      </c>
      <c r="G9742" s="2" t="inlineStr">
        <is>
          <t>20260605000311</t>
        </is>
      </c>
      <c r="H9742" s="8">
        <f>HYPERLINK("https://dart.fss.or.kr/dsaf001/main.do?rcpNo=20260605000311", "공시열람")</f>
        <v/>
      </c>
    </row>
    <row r="9743">
      <c r="A9743" s="2" t="inlineStr">
        <is>
          <t>2026-06-05</t>
        </is>
      </c>
      <c r="B9743" s="3" t="inlineStr">
        <is>
          <t>HLB이노베이션</t>
        </is>
      </c>
      <c r="C9743" s="2" t="inlineStr">
        <is>
          <t>코스닥</t>
        </is>
      </c>
      <c r="D9743" s="2" t="inlineStr">
        <is>
          <t>024850</t>
        </is>
      </c>
      <c r="E9743" s="3" t="inlineStr">
        <is>
          <t xml:space="preserve">기업설명회(IR)개최              </t>
        </is>
      </c>
      <c r="F9743" s="3" t="inlineStr">
        <is>
          <t>HLB이노베이션</t>
        </is>
      </c>
      <c r="G9743" s="2" t="inlineStr">
        <is>
          <t>20260605900467</t>
        </is>
      </c>
      <c r="H9743" s="8">
        <f>HYPERLINK("https://dart.fss.or.kr/dsaf001/main.do?rcpNo=20260605900467", "공시열람")</f>
        <v/>
      </c>
    </row>
    <row r="9744">
      <c r="A9744" s="2" t="inlineStr">
        <is>
          <t>2026-06-05</t>
        </is>
      </c>
      <c r="B9744" s="3" t="inlineStr">
        <is>
          <t>한화투자증권</t>
        </is>
      </c>
      <c r="C9744" s="2" t="inlineStr">
        <is>
          <t>코스피</t>
        </is>
      </c>
      <c r="D9744" s="2" t="inlineStr">
        <is>
          <t>003530</t>
        </is>
      </c>
      <c r="E9744" s="3" t="inlineStr">
        <is>
          <t>일괄신고추가서류(파생결합증권-주가연계증권)</t>
        </is>
      </c>
      <c r="F9744" s="3" t="inlineStr">
        <is>
          <t>한화투자증권</t>
        </is>
      </c>
      <c r="G9744" s="2" t="inlineStr">
        <is>
          <t>20260605000308</t>
        </is>
      </c>
      <c r="H9744" s="8">
        <f>HYPERLINK("https://dart.fss.or.kr/dsaf001/main.do?rcpNo=20260605000308", "공시열람")</f>
        <v/>
      </c>
    </row>
    <row r="9745">
      <c r="A9745" s="2" t="inlineStr">
        <is>
          <t>2026-06-05</t>
        </is>
      </c>
      <c r="B9745" s="3" t="inlineStr">
        <is>
          <t>현대차증권</t>
        </is>
      </c>
      <c r="C9745" s="2" t="inlineStr">
        <is>
          <t>코스피</t>
        </is>
      </c>
      <c r="D9745" s="2" t="inlineStr">
        <is>
          <t>001500</t>
        </is>
      </c>
      <c r="E9745" s="3" t="inlineStr">
        <is>
          <t>일괄신고추가서류(파생결합증권-주가연계증권)</t>
        </is>
      </c>
      <c r="F9745" s="3" t="inlineStr">
        <is>
          <t>현대차증권</t>
        </is>
      </c>
      <c r="G9745" s="2" t="inlineStr">
        <is>
          <t>20260605000306</t>
        </is>
      </c>
      <c r="H9745" s="8">
        <f>HYPERLINK("https://dart.fss.or.kr/dsaf001/main.do?rcpNo=20260605000306", "공시열람")</f>
        <v/>
      </c>
    </row>
    <row r="9746">
      <c r="A9746" s="2" t="inlineStr">
        <is>
          <t>2026-06-05</t>
        </is>
      </c>
      <c r="B9746" s="3" t="inlineStr">
        <is>
          <t>NH투자증권</t>
        </is>
      </c>
      <c r="C9746" s="2" t="inlineStr">
        <is>
          <t>코스피</t>
        </is>
      </c>
      <c r="D9746" s="2" t="inlineStr">
        <is>
          <t>005940</t>
        </is>
      </c>
      <c r="E9746" s="3" t="inlineStr">
        <is>
          <t>증권발행실적보고서</t>
        </is>
      </c>
      <c r="F9746" s="3" t="inlineStr">
        <is>
          <t>NH투자증권</t>
        </is>
      </c>
      <c r="G9746" s="2" t="inlineStr">
        <is>
          <t>20260605000302</t>
        </is>
      </c>
      <c r="H9746" s="8">
        <f>HYPERLINK("https://dart.fss.or.kr/dsaf001/main.do?rcpNo=20260605000302", "공시열람")</f>
        <v/>
      </c>
    </row>
    <row r="9747">
      <c r="A9747" s="2" t="inlineStr">
        <is>
          <t>2026-06-05</t>
        </is>
      </c>
      <c r="B9747" s="3" t="inlineStr">
        <is>
          <t>스맥</t>
        </is>
      </c>
      <c r="C9747" s="2" t="inlineStr">
        <is>
          <t>코스닥</t>
        </is>
      </c>
      <c r="D9747" s="2" t="inlineStr">
        <is>
          <t>099440</t>
        </is>
      </c>
      <c r="E9747" s="3" t="inlineStr">
        <is>
          <t xml:space="preserve">기업설명회(IR)개최              </t>
        </is>
      </c>
      <c r="F9747" s="3" t="inlineStr">
        <is>
          <t>스맥</t>
        </is>
      </c>
      <c r="G9747" s="2" t="inlineStr">
        <is>
          <t>20260605900456</t>
        </is>
      </c>
      <c r="H9747" s="8">
        <f>HYPERLINK("https://dart.fss.or.kr/dsaf001/main.do?rcpNo=20260605900456", "공시열람")</f>
        <v/>
      </c>
    </row>
    <row r="9748">
      <c r="A9748" s="2" t="inlineStr">
        <is>
          <t>2026-06-05</t>
        </is>
      </c>
      <c r="B9748" s="3" t="inlineStr">
        <is>
          <t>스맥</t>
        </is>
      </c>
      <c r="C9748" s="2" t="inlineStr">
        <is>
          <t>코스닥</t>
        </is>
      </c>
      <c r="D9748" s="2" t="inlineStr">
        <is>
          <t>099440</t>
        </is>
      </c>
      <c r="E9748" s="3" t="inlineStr">
        <is>
          <t>임원ㆍ주요주주특정증권등소유상황보고서</t>
        </is>
      </c>
      <c r="F9748" s="3" t="inlineStr">
        <is>
          <t>최영섭</t>
        </is>
      </c>
      <c r="G9748" s="2" t="inlineStr">
        <is>
          <t>20260605000299</t>
        </is>
      </c>
      <c r="H9748" s="8">
        <f>HYPERLINK("https://dart.fss.or.kr/dsaf001/main.do?rcpNo=20260605000299", "공시열람")</f>
        <v/>
      </c>
    </row>
    <row r="9749">
      <c r="A9749" s="2" t="inlineStr">
        <is>
          <t>2026-06-05</t>
        </is>
      </c>
      <c r="B9749" s="3" t="inlineStr">
        <is>
          <t>지아이이노베이션</t>
        </is>
      </c>
      <c r="C9749" s="2" t="inlineStr">
        <is>
          <t>코스닥</t>
        </is>
      </c>
      <c r="D9749" s="2" t="inlineStr">
        <is>
          <t>358570</t>
        </is>
      </c>
      <c r="E9749" s="3" t="inlineStr">
        <is>
          <t>임원ㆍ주요주주특정증권등소유상황보고서</t>
        </is>
      </c>
      <c r="F9749" s="3" t="inlineStr">
        <is>
          <t>김국환</t>
        </is>
      </c>
      <c r="G9749" s="2" t="inlineStr">
        <is>
          <t>20260605000296</t>
        </is>
      </c>
      <c r="H9749" s="8">
        <f>HYPERLINK("https://dart.fss.or.kr/dsaf001/main.do?rcpNo=20260605000296", "공시열람")</f>
        <v/>
      </c>
    </row>
    <row r="9750">
      <c r="A9750" s="2" t="inlineStr">
        <is>
          <t>2026-06-05</t>
        </is>
      </c>
      <c r="B9750" s="3" t="inlineStr">
        <is>
          <t>스맥</t>
        </is>
      </c>
      <c r="C9750" s="2" t="inlineStr">
        <is>
          <t>코스닥</t>
        </is>
      </c>
      <c r="D9750" s="2" t="inlineStr">
        <is>
          <t>099440</t>
        </is>
      </c>
      <c r="E9750" s="3" t="inlineStr">
        <is>
          <t>임원ㆍ주요주주특정증권등소유상황보고서</t>
        </is>
      </c>
      <c r="F9750" s="3" t="inlineStr">
        <is>
          <t>권오혁</t>
        </is>
      </c>
      <c r="G9750" s="2" t="inlineStr">
        <is>
          <t>20260605000295</t>
        </is>
      </c>
      <c r="H9750" s="8">
        <f>HYPERLINK("https://dart.fss.or.kr/dsaf001/main.do?rcpNo=20260605000295", "공시열람")</f>
        <v/>
      </c>
    </row>
    <row r="9751">
      <c r="A9751" s="2" t="inlineStr">
        <is>
          <t>2026-06-05</t>
        </is>
      </c>
      <c r="B9751" s="3" t="inlineStr">
        <is>
          <t>NH투자증권</t>
        </is>
      </c>
      <c r="C9751" s="2" t="inlineStr">
        <is>
          <t>코스피</t>
        </is>
      </c>
      <c r="D9751" s="2" t="inlineStr">
        <is>
          <t>005940</t>
        </is>
      </c>
      <c r="E9751" s="3" t="inlineStr">
        <is>
          <t>증권발행실적보고서</t>
        </is>
      </c>
      <c r="F9751" s="3" t="inlineStr">
        <is>
          <t>NH투자증권</t>
        </is>
      </c>
      <c r="G9751" s="2" t="inlineStr">
        <is>
          <t>20260605000290</t>
        </is>
      </c>
      <c r="H9751" s="8">
        <f>HYPERLINK("https://dart.fss.or.kr/dsaf001/main.do?rcpNo=20260605000290", "공시열람")</f>
        <v/>
      </c>
    </row>
    <row r="9752">
      <c r="A9752" s="2" t="inlineStr">
        <is>
          <t>2026-06-05</t>
        </is>
      </c>
      <c r="B9752" s="3" t="inlineStr">
        <is>
          <t>코렌텍</t>
        </is>
      </c>
      <c r="C9752" s="2" t="inlineStr">
        <is>
          <t>코스닥</t>
        </is>
      </c>
      <c r="D9752" s="2" t="inlineStr">
        <is>
          <t>104540</t>
        </is>
      </c>
      <c r="E9752" s="3" t="inlineStr">
        <is>
          <t>임원ㆍ주요주주특정증권등소유상황보고서</t>
        </is>
      </c>
      <c r="F9752" s="3" t="inlineStr">
        <is>
          <t>박형철</t>
        </is>
      </c>
      <c r="G9752" s="2" t="inlineStr">
        <is>
          <t>20260605000289</t>
        </is>
      </c>
      <c r="H9752" s="8">
        <f>HYPERLINK("https://dart.fss.or.kr/dsaf001/main.do?rcpNo=20260605000289", "공시열람")</f>
        <v/>
      </c>
    </row>
    <row r="9753">
      <c r="A9753" s="2" t="inlineStr">
        <is>
          <t>2026-06-05</t>
        </is>
      </c>
      <c r="B9753" s="3" t="inlineStr">
        <is>
          <t>지아이이노베이션</t>
        </is>
      </c>
      <c r="C9753" s="2" t="inlineStr">
        <is>
          <t>코스닥</t>
        </is>
      </c>
      <c r="D9753" s="2" t="inlineStr">
        <is>
          <t>358570</t>
        </is>
      </c>
      <c r="E9753" s="3" t="inlineStr">
        <is>
          <t>임원ㆍ주요주주특정증권등소유상황보고서</t>
        </is>
      </c>
      <c r="F9753" s="3" t="inlineStr">
        <is>
          <t>조영규</t>
        </is>
      </c>
      <c r="G9753" s="2" t="inlineStr">
        <is>
          <t>20260605000288</t>
        </is>
      </c>
      <c r="H9753" s="8">
        <f>HYPERLINK("https://dart.fss.or.kr/dsaf001/main.do?rcpNo=20260605000288", "공시열람")</f>
        <v/>
      </c>
    </row>
    <row r="9754">
      <c r="A9754" s="2" t="inlineStr">
        <is>
          <t>2026-06-05</t>
        </is>
      </c>
      <c r="B9754" s="3" t="inlineStr">
        <is>
          <t>코스메카코리아</t>
        </is>
      </c>
      <c r="C9754" s="2" t="inlineStr">
        <is>
          <t>코스닥</t>
        </is>
      </c>
      <c r="D9754" s="2" t="inlineStr">
        <is>
          <t>241710</t>
        </is>
      </c>
      <c r="E9754" s="3" t="inlineStr">
        <is>
          <t>주요사항보고서(유형자산양수결정)</t>
        </is>
      </c>
      <c r="F9754" s="3" t="inlineStr">
        <is>
          <t>코스메카코리아</t>
        </is>
      </c>
      <c r="G9754" s="2" t="inlineStr">
        <is>
          <t>20260605000279</t>
        </is>
      </c>
      <c r="H9754" s="8">
        <f>HYPERLINK("https://dart.fss.or.kr/dsaf001/main.do?rcpNo=20260605000279", "공시열람")</f>
        <v/>
      </c>
    </row>
    <row r="9755">
      <c r="A9755" s="2" t="inlineStr">
        <is>
          <t>2026-06-05</t>
        </is>
      </c>
      <c r="B9755" s="3" t="inlineStr">
        <is>
          <t>미래산업</t>
        </is>
      </c>
      <c r="C9755" s="2" t="inlineStr">
        <is>
          <t>코스피</t>
        </is>
      </c>
      <c r="D9755" s="2" t="inlineStr">
        <is>
          <t>025560</t>
        </is>
      </c>
      <c r="E9755" s="3" t="inlineStr">
        <is>
          <t>의결권대리행사권유참고서류</t>
        </is>
      </c>
      <c r="F9755" s="3" t="inlineStr">
        <is>
          <t>미래산업</t>
        </is>
      </c>
      <c r="G9755" s="2" t="inlineStr">
        <is>
          <t>20260605000286</t>
        </is>
      </c>
      <c r="H9755" s="8">
        <f>HYPERLINK("https://dart.fss.or.kr/dsaf001/main.do?rcpNo=20260605000286", "공시열람")</f>
        <v/>
      </c>
    </row>
    <row r="9756">
      <c r="A9756" s="2" t="inlineStr">
        <is>
          <t>2026-06-05</t>
        </is>
      </c>
      <c r="B9756" s="3" t="inlineStr">
        <is>
          <t>지아이이노베이션</t>
        </is>
      </c>
      <c r="C9756" s="2" t="inlineStr">
        <is>
          <t>코스닥</t>
        </is>
      </c>
      <c r="D9756" s="2" t="inlineStr">
        <is>
          <t>358570</t>
        </is>
      </c>
      <c r="E9756" s="3" t="inlineStr">
        <is>
          <t>임원ㆍ주요주주특정증권등소유상황보고서</t>
        </is>
      </c>
      <c r="F9756" s="3" t="inlineStr">
        <is>
          <t>윤나리</t>
        </is>
      </c>
      <c r="G9756" s="2" t="inlineStr">
        <is>
          <t>20260605000285</t>
        </is>
      </c>
      <c r="H9756" s="8">
        <f>HYPERLINK("https://dart.fss.or.kr/dsaf001/main.do?rcpNo=20260605000285", "공시열람")</f>
        <v/>
      </c>
    </row>
    <row r="9757">
      <c r="A9757" s="2" t="inlineStr">
        <is>
          <t>2026-06-05</t>
        </is>
      </c>
      <c r="B9757" s="3" t="inlineStr">
        <is>
          <t>DB증권</t>
        </is>
      </c>
      <c r="C9757" s="2" t="inlineStr">
        <is>
          <t>코스피</t>
        </is>
      </c>
      <c r="D9757" s="2" t="inlineStr">
        <is>
          <t>016610</t>
        </is>
      </c>
      <c r="E9757" s="3" t="inlineStr">
        <is>
          <t>증권발행실적보고서</t>
        </is>
      </c>
      <c r="F9757" s="3" t="inlineStr">
        <is>
          <t>DB증권</t>
        </is>
      </c>
      <c r="G9757" s="2" t="inlineStr">
        <is>
          <t>20260605000283</t>
        </is>
      </c>
      <c r="H9757" s="8">
        <f>HYPERLINK("https://dart.fss.or.kr/dsaf001/main.do?rcpNo=20260605000283", "공시열람")</f>
        <v/>
      </c>
    </row>
    <row r="9758">
      <c r="A9758" s="2" t="inlineStr">
        <is>
          <t>2026-06-05</t>
        </is>
      </c>
      <c r="B9758" s="3" t="inlineStr">
        <is>
          <t>미래에셋증권</t>
        </is>
      </c>
      <c r="C9758" s="2" t="inlineStr">
        <is>
          <t>코스피</t>
        </is>
      </c>
      <c r="D9758" s="2" t="inlineStr">
        <is>
          <t>006800</t>
        </is>
      </c>
      <c r="E9758" s="3" t="inlineStr">
        <is>
          <t>투자설명서(일괄신고)</t>
        </is>
      </c>
      <c r="F9758" s="3" t="inlineStr">
        <is>
          <t>미래에셋증권</t>
        </is>
      </c>
      <c r="G9758" s="2" t="inlineStr">
        <is>
          <t>20260605000282</t>
        </is>
      </c>
      <c r="H9758" s="8">
        <f>HYPERLINK("https://dart.fss.or.kr/dsaf001/main.do?rcpNo=20260605000282", "공시열람")</f>
        <v/>
      </c>
    </row>
    <row r="9759">
      <c r="A9759" s="2" t="inlineStr">
        <is>
          <t>2026-06-05</t>
        </is>
      </c>
      <c r="B9759" s="3" t="inlineStr">
        <is>
          <t>DB증권</t>
        </is>
      </c>
      <c r="C9759" s="2" t="inlineStr">
        <is>
          <t>코스피</t>
        </is>
      </c>
      <c r="D9759" s="2" t="inlineStr">
        <is>
          <t>016610</t>
        </is>
      </c>
      <c r="E9759" s="3" t="inlineStr">
        <is>
          <t>증권발행실적보고서</t>
        </is>
      </c>
      <c r="F9759" s="3" t="inlineStr">
        <is>
          <t>DB증권</t>
        </is>
      </c>
      <c r="G9759" s="2" t="inlineStr">
        <is>
          <t>20260605000281</t>
        </is>
      </c>
      <c r="H9759" s="8">
        <f>HYPERLINK("https://dart.fss.or.kr/dsaf001/main.do?rcpNo=20260605000281", "공시열람")</f>
        <v/>
      </c>
    </row>
    <row r="9760">
      <c r="A9760" s="2" t="inlineStr">
        <is>
          <t>2026-06-05</t>
        </is>
      </c>
      <c r="B9760" s="3" t="inlineStr">
        <is>
          <t>교보증권</t>
        </is>
      </c>
      <c r="C9760" s="2" t="inlineStr">
        <is>
          <t>코스피</t>
        </is>
      </c>
      <c r="D9760" s="2" t="inlineStr">
        <is>
          <t>030610</t>
        </is>
      </c>
      <c r="E9760" s="3" t="inlineStr">
        <is>
          <t>증권발행실적보고서</t>
        </is>
      </c>
      <c r="F9760" s="3" t="inlineStr">
        <is>
          <t>교보증권</t>
        </is>
      </c>
      <c r="G9760" s="2" t="inlineStr">
        <is>
          <t>20260605000278</t>
        </is>
      </c>
      <c r="H9760" s="8">
        <f>HYPERLINK("https://dart.fss.or.kr/dsaf001/main.do?rcpNo=20260605000278", "공시열람")</f>
        <v/>
      </c>
    </row>
    <row r="9761">
      <c r="A9761" s="2" t="inlineStr">
        <is>
          <t>2026-06-05</t>
        </is>
      </c>
      <c r="B9761" s="3" t="inlineStr">
        <is>
          <t>미래에셋증권</t>
        </is>
      </c>
      <c r="C9761" s="2" t="inlineStr">
        <is>
          <t>코스피</t>
        </is>
      </c>
      <c r="D9761" s="2" t="inlineStr">
        <is>
          <t>006800</t>
        </is>
      </c>
      <c r="E9761" s="3" t="inlineStr">
        <is>
          <t>투자설명서(일괄신고)</t>
        </is>
      </c>
      <c r="F9761" s="3" t="inlineStr">
        <is>
          <t>미래에셋증권</t>
        </is>
      </c>
      <c r="G9761" s="2" t="inlineStr">
        <is>
          <t>20260605000277</t>
        </is>
      </c>
      <c r="H9761" s="8">
        <f>HYPERLINK("https://dart.fss.or.kr/dsaf001/main.do?rcpNo=20260605000277", "공시열람")</f>
        <v/>
      </c>
    </row>
    <row r="9762">
      <c r="A9762" s="2" t="inlineStr">
        <is>
          <t>2026-06-05</t>
        </is>
      </c>
      <c r="B9762" s="3" t="inlineStr">
        <is>
          <t>DB증권</t>
        </is>
      </c>
      <c r="C9762" s="2" t="inlineStr">
        <is>
          <t>코스피</t>
        </is>
      </c>
      <c r="D9762" s="2" t="inlineStr">
        <is>
          <t>016610</t>
        </is>
      </c>
      <c r="E9762" s="3" t="inlineStr">
        <is>
          <t>증권발행실적보고서</t>
        </is>
      </c>
      <c r="F9762" s="3" t="inlineStr">
        <is>
          <t>DB증권</t>
        </is>
      </c>
      <c r="G9762" s="2" t="inlineStr">
        <is>
          <t>20260605000276</t>
        </is>
      </c>
      <c r="H9762" s="8">
        <f>HYPERLINK("https://dart.fss.or.kr/dsaf001/main.do?rcpNo=20260605000276", "공시열람")</f>
        <v/>
      </c>
    </row>
    <row r="9763">
      <c r="A9763" s="2" t="inlineStr">
        <is>
          <t>2026-06-05</t>
        </is>
      </c>
      <c r="B9763" s="3" t="inlineStr">
        <is>
          <t>교보증권</t>
        </is>
      </c>
      <c r="C9763" s="2" t="inlineStr">
        <is>
          <t>코스피</t>
        </is>
      </c>
      <c r="D9763" s="2" t="inlineStr">
        <is>
          <t>030610</t>
        </is>
      </c>
      <c r="E9763" s="3" t="inlineStr">
        <is>
          <t>증권발행실적보고서</t>
        </is>
      </c>
      <c r="F9763" s="3" t="inlineStr">
        <is>
          <t>교보증권</t>
        </is>
      </c>
      <c r="G9763" s="2" t="inlineStr">
        <is>
          <t>20260605000273</t>
        </is>
      </c>
      <c r="H9763" s="8">
        <f>HYPERLINK("https://dart.fss.or.kr/dsaf001/main.do?rcpNo=20260605000273", "공시열람")</f>
        <v/>
      </c>
    </row>
    <row r="9764">
      <c r="A9764" s="2" t="inlineStr">
        <is>
          <t>2026-06-05</t>
        </is>
      </c>
      <c r="B9764" s="3" t="inlineStr">
        <is>
          <t>교보증권</t>
        </is>
      </c>
      <c r="C9764" s="2" t="inlineStr">
        <is>
          <t>코스피</t>
        </is>
      </c>
      <c r="D9764" s="2" t="inlineStr">
        <is>
          <t>030610</t>
        </is>
      </c>
      <c r="E9764" s="3" t="inlineStr">
        <is>
          <t>증권발행실적보고서</t>
        </is>
      </c>
      <c r="F9764" s="3" t="inlineStr">
        <is>
          <t>교보증권</t>
        </is>
      </c>
      <c r="G9764" s="2" t="inlineStr">
        <is>
          <t>20260605000269</t>
        </is>
      </c>
      <c r="H9764" s="8">
        <f>HYPERLINK("https://dart.fss.or.kr/dsaf001/main.do?rcpNo=20260605000269", "공시열람")</f>
        <v/>
      </c>
    </row>
    <row r="9765">
      <c r="A9765" s="2" t="inlineStr">
        <is>
          <t>2026-06-05</t>
        </is>
      </c>
      <c r="B9765" s="3" t="inlineStr">
        <is>
          <t>삼성증권</t>
        </is>
      </c>
      <c r="C9765" s="2" t="inlineStr">
        <is>
          <t>코스피</t>
        </is>
      </c>
      <c r="D9765" s="2" t="inlineStr">
        <is>
          <t>016360</t>
        </is>
      </c>
      <c r="E9765" s="3" t="inlineStr">
        <is>
          <t>투자설명서(일괄신고)</t>
        </is>
      </c>
      <c r="F9765" s="3" t="inlineStr">
        <is>
          <t>삼성증권</t>
        </is>
      </c>
      <c r="G9765" s="2" t="inlineStr">
        <is>
          <t>20260605000261</t>
        </is>
      </c>
      <c r="H9765" s="8">
        <f>HYPERLINK("https://dart.fss.or.kr/dsaf001/main.do?rcpNo=20260605000261", "공시열람")</f>
        <v/>
      </c>
    </row>
    <row r="9766">
      <c r="A9766" s="2" t="inlineStr">
        <is>
          <t>2026-06-05 (정정: 2026-06-15)</t>
        </is>
      </c>
      <c r="B9766" s="3" t="inlineStr">
        <is>
          <t>인터로조</t>
        </is>
      </c>
      <c r="C9766" s="2" t="inlineStr">
        <is>
          <t>코스닥</t>
        </is>
      </c>
      <c r="D9766" s="2" t="inlineStr">
        <is>
          <t>119610</t>
        </is>
      </c>
      <c r="E9766" s="3" t="inlineStr">
        <is>
          <t>임원ㆍ주요주주특정증권등소유상황보고서 (정정: 20260615)</t>
        </is>
      </c>
      <c r="F9766" s="3" t="inlineStr">
        <is>
          <t>김용직</t>
        </is>
      </c>
      <c r="G9766" s="2" t="inlineStr">
        <is>
          <t>20260615000326</t>
        </is>
      </c>
      <c r="H9766" s="8">
        <f>HYPERLINK("https://dart.fss.or.kr/dsaf001/main.do?rcpNo=20260615000326", "공시열람")</f>
        <v/>
      </c>
    </row>
    <row r="9767">
      <c r="A9767" s="2" t="inlineStr">
        <is>
          <t>2026-06-05</t>
        </is>
      </c>
      <c r="B9767" s="3" t="inlineStr">
        <is>
          <t>한솔테크닉스</t>
        </is>
      </c>
      <c r="C9767" s="2" t="inlineStr">
        <is>
          <t>코스피</t>
        </is>
      </c>
      <c r="D9767" s="2" t="inlineStr">
        <is>
          <t>004710</t>
        </is>
      </c>
      <c r="E9767" s="3" t="inlineStr">
        <is>
          <t>[발행조건확정]증권신고서(지분증권)</t>
        </is>
      </c>
      <c r="F9767" s="3" t="inlineStr">
        <is>
          <t>한솔테크닉스</t>
        </is>
      </c>
      <c r="G9767" s="2" t="inlineStr">
        <is>
          <t>20260605000254</t>
        </is>
      </c>
      <c r="H9767" s="8">
        <f>HYPERLINK("https://dart.fss.or.kr/dsaf001/main.do?rcpNo=20260605000254", "공시열람")</f>
        <v/>
      </c>
    </row>
    <row r="9768">
      <c r="A9768" s="2" t="inlineStr">
        <is>
          <t>2026-06-05</t>
        </is>
      </c>
      <c r="B9768" s="3" t="inlineStr">
        <is>
          <t>미래에셋증권</t>
        </is>
      </c>
      <c r="C9768" s="2" t="inlineStr">
        <is>
          <t>코스피</t>
        </is>
      </c>
      <c r="D9768" s="2" t="inlineStr">
        <is>
          <t>006800</t>
        </is>
      </c>
      <c r="E9768" s="3" t="inlineStr">
        <is>
          <t>일괄신고추가서류(파생결합사채-주가연계파생결합사채)</t>
        </is>
      </c>
      <c r="F9768" s="3" t="inlineStr">
        <is>
          <t>미래에셋증권</t>
        </is>
      </c>
      <c r="G9768" s="2" t="inlineStr">
        <is>
          <t>20260605000253</t>
        </is>
      </c>
      <c r="H9768" s="8">
        <f>HYPERLINK("https://dart.fss.or.kr/dsaf001/main.do?rcpNo=20260605000253", "공시열람")</f>
        <v/>
      </c>
    </row>
    <row r="9769">
      <c r="A9769" s="2" t="inlineStr">
        <is>
          <t>2026-06-05</t>
        </is>
      </c>
      <c r="B9769" s="3" t="inlineStr">
        <is>
          <t>미래에셋증권</t>
        </is>
      </c>
      <c r="C9769" s="2" t="inlineStr">
        <is>
          <t>코스피</t>
        </is>
      </c>
      <c r="D9769" s="2" t="inlineStr">
        <is>
          <t>006800</t>
        </is>
      </c>
      <c r="E9769" s="3" t="inlineStr">
        <is>
          <t>일괄신고추가서류(파생결합증권-주가연계증권)</t>
        </is>
      </c>
      <c r="F9769" s="3" t="inlineStr">
        <is>
          <t>미래에셋증권</t>
        </is>
      </c>
      <c r="G9769" s="2" t="inlineStr">
        <is>
          <t>20260605000252</t>
        </is>
      </c>
      <c r="H9769" s="8">
        <f>HYPERLINK("https://dart.fss.or.kr/dsaf001/main.do?rcpNo=20260605000252", "공시열람")</f>
        <v/>
      </c>
    </row>
    <row r="9770">
      <c r="A9770" s="2" t="inlineStr">
        <is>
          <t>2026-06-05</t>
        </is>
      </c>
      <c r="B9770" s="3" t="inlineStr">
        <is>
          <t>씨씨에스</t>
        </is>
      </c>
      <c r="C9770" s="2" t="inlineStr">
        <is>
          <t>코스닥</t>
        </is>
      </c>
      <c r="D9770" s="2" t="inlineStr">
        <is>
          <t>066790</t>
        </is>
      </c>
      <c r="E9770" s="3" t="inlineStr">
        <is>
          <t>[첨부정정]주요사항보고서(감자결정)</t>
        </is>
      </c>
      <c r="F9770" s="3" t="inlineStr">
        <is>
          <t>씨씨에스</t>
        </is>
      </c>
      <c r="G9770" s="2" t="inlineStr">
        <is>
          <t>20260605000243</t>
        </is>
      </c>
      <c r="H9770" s="8">
        <f>HYPERLINK("https://dart.fss.or.kr/dsaf001/main.do?rcpNo=20260605000243", "공시열람")</f>
        <v/>
      </c>
    </row>
    <row r="9771">
      <c r="A9771" s="2" t="inlineStr">
        <is>
          <t>2026-06-05</t>
        </is>
      </c>
      <c r="B9771" s="3" t="inlineStr">
        <is>
          <t>평화산업</t>
        </is>
      </c>
      <c r="C9771" s="2" t="inlineStr">
        <is>
          <t>코스피</t>
        </is>
      </c>
      <c r="D9771" s="2" t="inlineStr">
        <is>
          <t>090080</t>
        </is>
      </c>
      <c r="E9771" s="3" t="inlineStr">
        <is>
          <t>임원ㆍ주요주주특정증권등소유상황보고서</t>
        </is>
      </c>
      <c r="F9771" s="3" t="inlineStr">
        <is>
          <t>황보철</t>
        </is>
      </c>
      <c r="G9771" s="2" t="inlineStr">
        <is>
          <t>20260605000239</t>
        </is>
      </c>
      <c r="H9771" s="8">
        <f>HYPERLINK("https://dart.fss.or.kr/dsaf001/main.do?rcpNo=20260605000239", "공시열람")</f>
        <v/>
      </c>
    </row>
    <row r="9772">
      <c r="A9772" s="2" t="inlineStr">
        <is>
          <t>2026-06-05</t>
        </is>
      </c>
      <c r="B9772" s="3" t="inlineStr">
        <is>
          <t>유안타증권</t>
        </is>
      </c>
      <c r="C9772" s="2" t="inlineStr">
        <is>
          <t>코스피</t>
        </is>
      </c>
      <c r="D9772" s="2" t="inlineStr">
        <is>
          <t>003470</t>
        </is>
      </c>
      <c r="E9772" s="3" t="inlineStr">
        <is>
          <t>증권발행실적보고서</t>
        </is>
      </c>
      <c r="F9772" s="3" t="inlineStr">
        <is>
          <t>유안타증권</t>
        </is>
      </c>
      <c r="G9772" s="2" t="inlineStr">
        <is>
          <t>20260605000237</t>
        </is>
      </c>
      <c r="H9772" s="8">
        <f>HYPERLINK("https://dart.fss.or.kr/dsaf001/main.do?rcpNo=20260605000237", "공시열람")</f>
        <v/>
      </c>
    </row>
    <row r="9773">
      <c r="A9773" s="2" t="inlineStr">
        <is>
          <t>2026-06-05</t>
        </is>
      </c>
      <c r="B9773" s="3" t="inlineStr">
        <is>
          <t>삼성증권</t>
        </is>
      </c>
      <c r="C9773" s="2" t="inlineStr">
        <is>
          <t>코스피</t>
        </is>
      </c>
      <c r="D9773" s="2" t="inlineStr">
        <is>
          <t>016360</t>
        </is>
      </c>
      <c r="E9773" s="3" t="inlineStr">
        <is>
          <t>일괄신고추가서류(파생결합사채-주가연계파생결합사채)</t>
        </is>
      </c>
      <c r="F9773" s="3" t="inlineStr">
        <is>
          <t>삼성증권</t>
        </is>
      </c>
      <c r="G9773" s="2" t="inlineStr">
        <is>
          <t>20260605000232</t>
        </is>
      </c>
      <c r="H9773" s="8">
        <f>HYPERLINK("https://dart.fss.or.kr/dsaf001/main.do?rcpNo=20260605000232", "공시열람")</f>
        <v/>
      </c>
    </row>
    <row r="9774">
      <c r="A9774" s="2" t="inlineStr">
        <is>
          <t>2026-06-05</t>
        </is>
      </c>
      <c r="B9774" s="3" t="inlineStr">
        <is>
          <t>인디에프</t>
        </is>
      </c>
      <c r="C9774" s="2" t="inlineStr">
        <is>
          <t>코스피</t>
        </is>
      </c>
      <c r="D9774" s="2" t="inlineStr">
        <is>
          <t>014990</t>
        </is>
      </c>
      <c r="E9774" s="3" t="inlineStr">
        <is>
          <t>임원ㆍ주요주주특정증권등소유상황보고서</t>
        </is>
      </c>
      <c r="F9774" s="3" t="inlineStr">
        <is>
          <t>김지숙</t>
        </is>
      </c>
      <c r="G9774" s="2" t="inlineStr">
        <is>
          <t>20260605000231</t>
        </is>
      </c>
      <c r="H9774" s="8">
        <f>HYPERLINK("https://dart.fss.or.kr/dsaf001/main.do?rcpNo=20260605000231", "공시열람")</f>
        <v/>
      </c>
    </row>
    <row r="9775">
      <c r="A9775" s="2" t="inlineStr">
        <is>
          <t>2026-06-05</t>
        </is>
      </c>
      <c r="B9775" s="3" t="inlineStr">
        <is>
          <t>삼성전기</t>
        </is>
      </c>
      <c r="C9775" s="2" t="inlineStr">
        <is>
          <t>코스피</t>
        </is>
      </c>
      <c r="D9775" s="2" t="inlineStr">
        <is>
          <t>009150</t>
        </is>
      </c>
      <c r="E9775" s="3" t="inlineStr">
        <is>
          <t>임원ㆍ주요주주특정증권등소유상황보고서</t>
        </is>
      </c>
      <c r="F9775" s="3" t="inlineStr">
        <is>
          <t>국민연금공단</t>
        </is>
      </c>
      <c r="G9775" s="2" t="inlineStr">
        <is>
          <t>20260605000224</t>
        </is>
      </c>
      <c r="H9775" s="8">
        <f>HYPERLINK("https://dart.fss.or.kr/dsaf001/main.do?rcpNo=20260605000224", "공시열람")</f>
        <v/>
      </c>
    </row>
    <row r="9776">
      <c r="A9776" s="2" t="inlineStr">
        <is>
          <t>2026-06-05</t>
        </is>
      </c>
      <c r="B9776" s="3" t="inlineStr">
        <is>
          <t>달바글로벌</t>
        </is>
      </c>
      <c r="C9776" s="2" t="inlineStr">
        <is>
          <t>코스피</t>
        </is>
      </c>
      <c r="D9776" s="2" t="inlineStr">
        <is>
          <t>483650</t>
        </is>
      </c>
      <c r="E9776" s="3" t="inlineStr">
        <is>
          <t>임원ㆍ주요주주특정증권등소유상황보고서</t>
        </is>
      </c>
      <c r="F9776" s="3" t="inlineStr">
        <is>
          <t>국민연금공단</t>
        </is>
      </c>
      <c r="G9776" s="2" t="inlineStr">
        <is>
          <t>20260605000221</t>
        </is>
      </c>
      <c r="H9776" s="8">
        <f>HYPERLINK("https://dart.fss.or.kr/dsaf001/main.do?rcpNo=20260605000221", "공시열람")</f>
        <v/>
      </c>
    </row>
    <row r="9777">
      <c r="A9777" s="2" t="inlineStr">
        <is>
          <t>2026-06-05</t>
        </is>
      </c>
      <c r="B9777" s="3" t="inlineStr">
        <is>
          <t>엔케이</t>
        </is>
      </c>
      <c r="C9777" s="2" t="inlineStr">
        <is>
          <t>코스피</t>
        </is>
      </c>
      <c r="D9777" s="2" t="inlineStr">
        <is>
          <t>085310</t>
        </is>
      </c>
      <c r="E9777" s="3" t="inlineStr">
        <is>
          <t>임원ㆍ주요주주특정증권등소유상황보고서</t>
        </is>
      </c>
      <c r="F9777" s="3" t="inlineStr">
        <is>
          <t>더세이프티</t>
        </is>
      </c>
      <c r="G9777" s="2" t="inlineStr">
        <is>
          <t>20260605000219</t>
        </is>
      </c>
      <c r="H9777" s="8">
        <f>HYPERLINK("https://dart.fss.or.kr/dsaf001/main.do?rcpNo=20260605000219", "공시열람")</f>
        <v/>
      </c>
    </row>
    <row r="9778">
      <c r="A9778" s="2" t="inlineStr">
        <is>
          <t>2026-06-05</t>
        </is>
      </c>
      <c r="B9778" s="3" t="inlineStr">
        <is>
          <t>네이처셀</t>
        </is>
      </c>
      <c r="C9778" s="2" t="inlineStr">
        <is>
          <t>코스닥</t>
        </is>
      </c>
      <c r="D9778" s="2" t="inlineStr">
        <is>
          <t>007390</t>
        </is>
      </c>
      <c r="E9778" s="3" t="inlineStr">
        <is>
          <t xml:space="preserve">기업설명회(IR)개최              </t>
        </is>
      </c>
      <c r="F9778" s="3" t="inlineStr">
        <is>
          <t>네이처셀</t>
        </is>
      </c>
      <c r="G9778" s="2" t="inlineStr">
        <is>
          <t>20260605900356</t>
        </is>
      </c>
      <c r="H9778" s="8">
        <f>HYPERLINK("https://dart.fss.or.kr/dsaf001/main.do?rcpNo=20260605900356", "공시열람")</f>
        <v/>
      </c>
    </row>
    <row r="9779">
      <c r="A9779" s="2" t="inlineStr">
        <is>
          <t>2026-06-05</t>
        </is>
      </c>
      <c r="B9779" s="3" t="inlineStr">
        <is>
          <t>한미약품</t>
        </is>
      </c>
      <c r="C9779" s="2" t="inlineStr">
        <is>
          <t>코스피</t>
        </is>
      </c>
      <c r="D9779" s="2" t="inlineStr">
        <is>
          <t>128940</t>
        </is>
      </c>
      <c r="E9779" s="3" t="inlineStr">
        <is>
          <t>임원ㆍ주요주주특정증권등소유상황보고서</t>
        </is>
      </c>
      <c r="F9779" s="3" t="inlineStr">
        <is>
          <t>국민연금공단</t>
        </is>
      </c>
      <c r="G9779" s="2" t="inlineStr">
        <is>
          <t>20260605000217</t>
        </is>
      </c>
      <c r="H9779" s="8">
        <f>HYPERLINK("https://dart.fss.or.kr/dsaf001/main.do?rcpNo=20260605000217", "공시열람")</f>
        <v/>
      </c>
    </row>
    <row r="9780">
      <c r="A9780" s="2" t="inlineStr">
        <is>
          <t>2026-06-05</t>
        </is>
      </c>
      <c r="B9780" s="3" t="inlineStr">
        <is>
          <t>대한유화</t>
        </is>
      </c>
      <c r="C9780" s="2" t="inlineStr">
        <is>
          <t>코스피</t>
        </is>
      </c>
      <c r="D9780" s="2" t="inlineStr">
        <is>
          <t>006650</t>
        </is>
      </c>
      <c r="E9780" s="3" t="inlineStr">
        <is>
          <t>임원ㆍ주요주주특정증권등소유상황보고서</t>
        </is>
      </c>
      <c r="F9780" s="3" t="inlineStr">
        <is>
          <t>국민연금공단</t>
        </is>
      </c>
      <c r="G9780" s="2" t="inlineStr">
        <is>
          <t>20260605000215</t>
        </is>
      </c>
      <c r="H9780" s="8">
        <f>HYPERLINK("https://dart.fss.or.kr/dsaf001/main.do?rcpNo=20260605000215", "공시열람")</f>
        <v/>
      </c>
    </row>
    <row r="9781">
      <c r="A9781" s="2" t="inlineStr">
        <is>
          <t>2026-06-05</t>
        </is>
      </c>
      <c r="B9781" s="3" t="inlineStr">
        <is>
          <t>코어라인소프트</t>
        </is>
      </c>
      <c r="C9781" s="2" t="inlineStr">
        <is>
          <t>코스닥</t>
        </is>
      </c>
      <c r="D9781" s="2" t="inlineStr">
        <is>
          <t>384470</t>
        </is>
      </c>
      <c r="E9781" s="3" t="inlineStr">
        <is>
          <t>임원ㆍ주요주주특정증권등소유상황보고서</t>
        </is>
      </c>
      <c r="F9781" s="3" t="inlineStr">
        <is>
          <t>정우석</t>
        </is>
      </c>
      <c r="G9781" s="2" t="inlineStr">
        <is>
          <t>20260605000209</t>
        </is>
      </c>
      <c r="H9781" s="8">
        <f>HYPERLINK("https://dart.fss.or.kr/dsaf001/main.do?rcpNo=20260605000209", "공시열람")</f>
        <v/>
      </c>
    </row>
    <row r="9782">
      <c r="A9782" s="2" t="inlineStr">
        <is>
          <t>2026-06-05</t>
        </is>
      </c>
      <c r="B9782" s="3" t="inlineStr">
        <is>
          <t>씨큐브</t>
        </is>
      </c>
      <c r="C9782" s="2" t="inlineStr">
        <is>
          <t>코스닥</t>
        </is>
      </c>
      <c r="D9782" s="2" t="inlineStr">
        <is>
          <t>101240</t>
        </is>
      </c>
      <c r="E9782" s="3" t="inlineStr">
        <is>
          <t>임원ㆍ주요주주특정증권등소유상황보고서</t>
        </is>
      </c>
      <c r="F9782" s="3" t="inlineStr">
        <is>
          <t>스타치얼코퍼레이션</t>
        </is>
      </c>
      <c r="G9782" s="2" t="inlineStr">
        <is>
          <t>20260605000205</t>
        </is>
      </c>
      <c r="H9782" s="8">
        <f>HYPERLINK("https://dart.fss.or.kr/dsaf001/main.do?rcpNo=20260605000205", "공시열람")</f>
        <v/>
      </c>
    </row>
    <row r="9783">
      <c r="A9783" s="2" t="inlineStr">
        <is>
          <t>2026-06-05 (정정: 2026-06-10)</t>
        </is>
      </c>
      <c r="B9783" s="3" t="inlineStr">
        <is>
          <t>KB금융</t>
        </is>
      </c>
      <c r="C9783" s="2" t="inlineStr">
        <is>
          <t>코스피</t>
        </is>
      </c>
      <c r="D9783" s="2" t="inlineStr">
        <is>
          <t>105560</t>
        </is>
      </c>
      <c r="E9783" s="3" t="inlineStr">
        <is>
          <t>기업설명회(IR)개최(안내공시)               (정정: 20260610)</t>
        </is>
      </c>
      <c r="F9783" s="3" t="inlineStr">
        <is>
          <t>KB금융</t>
        </is>
      </c>
      <c r="G9783" s="2" t="inlineStr">
        <is>
          <t>20260610000235</t>
        </is>
      </c>
      <c r="H9783" s="8">
        <f>HYPERLINK("https://dart.fss.or.kr/dsaf001/main.do?rcpNo=20260610000235", "공시열람")</f>
        <v/>
      </c>
    </row>
    <row r="9784">
      <c r="A9784" s="2" t="inlineStr">
        <is>
          <t>2026-06-05</t>
        </is>
      </c>
      <c r="B9784" s="3" t="inlineStr">
        <is>
          <t>키움증권</t>
        </is>
      </c>
      <c r="C9784" s="2" t="inlineStr">
        <is>
          <t>코스피</t>
        </is>
      </c>
      <c r="D9784" s="2" t="inlineStr">
        <is>
          <t>039490</t>
        </is>
      </c>
      <c r="E9784" s="3" t="inlineStr">
        <is>
          <t>증권발행실적보고서</t>
        </is>
      </c>
      <c r="F9784" s="3" t="inlineStr">
        <is>
          <t>키움증권</t>
        </is>
      </c>
      <c r="G9784" s="2" t="inlineStr">
        <is>
          <t>20260605000203</t>
        </is>
      </c>
      <c r="H9784" s="8">
        <f>HYPERLINK("https://dart.fss.or.kr/dsaf001/main.do?rcpNo=20260605000203", "공시열람")</f>
        <v/>
      </c>
    </row>
    <row r="9785">
      <c r="A9785" s="2" t="inlineStr">
        <is>
          <t>2026-06-05</t>
        </is>
      </c>
      <c r="B9785" s="3" t="inlineStr">
        <is>
          <t>대산F&amp;B</t>
        </is>
      </c>
      <c r="C9785" s="2" t="inlineStr">
        <is>
          <t>코스닥</t>
        </is>
      </c>
      <c r="D9785" s="2" t="inlineStr">
        <is>
          <t>065150</t>
        </is>
      </c>
      <c r="E9785" s="3" t="inlineStr">
        <is>
          <t>임원ㆍ주요주주특정증권등소유상황보고서</t>
        </is>
      </c>
      <c r="F9785" s="3" t="inlineStr">
        <is>
          <t>김상욱</t>
        </is>
      </c>
      <c r="G9785" s="2" t="inlineStr">
        <is>
          <t>20260605000199</t>
        </is>
      </c>
      <c r="H9785" s="8">
        <f>HYPERLINK("https://dart.fss.or.kr/dsaf001/main.do?rcpNo=20260605000199", "공시열람")</f>
        <v/>
      </c>
    </row>
    <row r="9786">
      <c r="A9786" s="2" t="inlineStr">
        <is>
          <t>2026-06-05</t>
        </is>
      </c>
      <c r="B9786" s="3" t="inlineStr">
        <is>
          <t>오비고</t>
        </is>
      </c>
      <c r="C9786" s="2" t="inlineStr">
        <is>
          <t>코스닥</t>
        </is>
      </c>
      <c r="D9786" s="2" t="inlineStr">
        <is>
          <t>352910</t>
        </is>
      </c>
      <c r="E9786" s="3" t="inlineStr">
        <is>
          <t>임원ㆍ주요주주특정증권등소유상황보고서</t>
        </is>
      </c>
      <c r="F9786" s="3" t="inlineStr">
        <is>
          <t>장영준</t>
        </is>
      </c>
      <c r="G9786" s="2" t="inlineStr">
        <is>
          <t>20260605000197</t>
        </is>
      </c>
      <c r="H9786" s="8">
        <f>HYPERLINK("https://dart.fss.or.kr/dsaf001/main.do?rcpNo=20260605000197", "공시열람")</f>
        <v/>
      </c>
    </row>
    <row r="9787">
      <c r="A9787" s="2" t="inlineStr">
        <is>
          <t>2026-06-05</t>
        </is>
      </c>
      <c r="B9787" s="3" t="inlineStr">
        <is>
          <t>금호에이치티</t>
        </is>
      </c>
      <c r="C9787" s="2" t="inlineStr">
        <is>
          <t>코스피</t>
        </is>
      </c>
      <c r="D9787" s="2" t="inlineStr">
        <is>
          <t>214330</t>
        </is>
      </c>
      <c r="E9787" s="3" t="inlineStr">
        <is>
          <t>임원ㆍ주요주주특정증권등소유상황보고서</t>
        </is>
      </c>
      <c r="F9787" s="3" t="inlineStr">
        <is>
          <t>김두인</t>
        </is>
      </c>
      <c r="G9787" s="2" t="inlineStr">
        <is>
          <t>20260605000196</t>
        </is>
      </c>
      <c r="H9787" s="8">
        <f>HYPERLINK("https://dart.fss.or.kr/dsaf001/main.do?rcpNo=20260605000196", "공시열람")</f>
        <v/>
      </c>
    </row>
    <row r="9788">
      <c r="A9788" s="2" t="inlineStr">
        <is>
          <t>2026-06-05</t>
        </is>
      </c>
      <c r="B9788" s="3" t="inlineStr">
        <is>
          <t>모비릭스</t>
        </is>
      </c>
      <c r="C9788" s="2" t="inlineStr">
        <is>
          <t>코스닥</t>
        </is>
      </c>
      <c r="D9788" s="2" t="inlineStr">
        <is>
          <t>348030</t>
        </is>
      </c>
      <c r="E9788" s="3" t="inlineStr">
        <is>
          <t>임원ㆍ주요주주특정증권등소유상황보고서</t>
        </is>
      </c>
      <c r="F9788" s="3" t="inlineStr">
        <is>
          <t>이남일</t>
        </is>
      </c>
      <c r="G9788" s="2" t="inlineStr">
        <is>
          <t>20260605000193</t>
        </is>
      </c>
      <c r="H9788" s="8">
        <f>HYPERLINK("https://dart.fss.or.kr/dsaf001/main.do?rcpNo=20260605000193", "공시열람")</f>
        <v/>
      </c>
    </row>
    <row r="9789">
      <c r="A9789" s="2" t="inlineStr">
        <is>
          <t>2026-06-05 (정정: 2026-06-12)</t>
        </is>
      </c>
      <c r="B9789" s="3" t="inlineStr">
        <is>
          <t>엔피케이</t>
        </is>
      </c>
      <c r="C9789" s="2" t="inlineStr">
        <is>
          <t>코스닥</t>
        </is>
      </c>
      <c r="D9789" s="2" t="inlineStr">
        <is>
          <t>048830</t>
        </is>
      </c>
      <c r="E9789" s="3" t="inlineStr">
        <is>
          <t>임원ㆍ주요주주특정증권등소유상황보고서 (정정: 20260612)</t>
        </is>
      </c>
      <c r="F9789" s="3" t="inlineStr">
        <is>
          <t>최상건</t>
        </is>
      </c>
      <c r="G9789" s="2" t="inlineStr">
        <is>
          <t>20260612000368</t>
        </is>
      </c>
      <c r="H9789" s="8">
        <f>HYPERLINK("https://dart.fss.or.kr/dsaf001/main.do?rcpNo=20260612000368", "공시열람")</f>
        <v/>
      </c>
    </row>
    <row r="9790">
      <c r="A9790" s="2" t="inlineStr">
        <is>
          <t>2026-06-05</t>
        </is>
      </c>
      <c r="B9790" s="3" t="inlineStr">
        <is>
          <t>한솔홀딩스</t>
        </is>
      </c>
      <c r="C9790" s="2" t="inlineStr">
        <is>
          <t>코스피</t>
        </is>
      </c>
      <c r="D9790" s="2" t="inlineStr">
        <is>
          <t>004150</t>
        </is>
      </c>
      <c r="E9790" s="3" t="inlineStr">
        <is>
          <t xml:space="preserve">유형자산처분결정(자회사의 주요경영사항)              </t>
        </is>
      </c>
      <c r="F9790" s="3" t="inlineStr">
        <is>
          <t>한솔홀딩스</t>
        </is>
      </c>
      <c r="G9790" s="2" t="inlineStr">
        <is>
          <t>20260605800336</t>
        </is>
      </c>
      <c r="H9790" s="8">
        <f>HYPERLINK("https://dart.fss.or.kr/dsaf001/main.do?rcpNo=20260605800336", "공시열람")</f>
        <v/>
      </c>
    </row>
    <row r="9791">
      <c r="A9791" s="2" t="inlineStr">
        <is>
          <t>2026-06-05</t>
        </is>
      </c>
      <c r="B9791" s="3" t="inlineStr">
        <is>
          <t>한솔테크닉스</t>
        </is>
      </c>
      <c r="C9791" s="2" t="inlineStr">
        <is>
          <t>코스피</t>
        </is>
      </c>
      <c r="D9791" s="2" t="inlineStr">
        <is>
          <t>004710</t>
        </is>
      </c>
      <c r="E9791" s="3" t="inlineStr">
        <is>
          <t xml:space="preserve">유형자산처분결정              </t>
        </is>
      </c>
      <c r="F9791" s="3" t="inlineStr">
        <is>
          <t>한솔테크닉스</t>
        </is>
      </c>
      <c r="G9791" s="2" t="inlineStr">
        <is>
          <t>20260605800335</t>
        </is>
      </c>
      <c r="H9791" s="8">
        <f>HYPERLINK("https://dart.fss.or.kr/dsaf001/main.do?rcpNo=20260605800335", "공시열람")</f>
        <v/>
      </c>
    </row>
    <row r="9792">
      <c r="A9792" s="2" t="inlineStr">
        <is>
          <t>2026-06-05</t>
        </is>
      </c>
      <c r="B9792" s="3" t="inlineStr">
        <is>
          <t>지아이이노베이션</t>
        </is>
      </c>
      <c r="C9792" s="2" t="inlineStr">
        <is>
          <t>코스닥</t>
        </is>
      </c>
      <c r="D9792" s="2" t="inlineStr">
        <is>
          <t>358570</t>
        </is>
      </c>
      <c r="E9792" s="3" t="inlineStr">
        <is>
          <t>임원ㆍ주요주주특정증권등소유상황보고서</t>
        </is>
      </c>
      <c r="F9792" s="3" t="inlineStr">
        <is>
          <t>김제이</t>
        </is>
      </c>
      <c r="G9792" s="2" t="inlineStr">
        <is>
          <t>20260605000188</t>
        </is>
      </c>
      <c r="H9792" s="8">
        <f>HYPERLINK("https://dart.fss.or.kr/dsaf001/main.do?rcpNo=20260605000188", "공시열람")</f>
        <v/>
      </c>
    </row>
    <row r="9793">
      <c r="A9793" s="2" t="inlineStr">
        <is>
          <t>2026-06-05</t>
        </is>
      </c>
      <c r="B9793" s="3" t="inlineStr">
        <is>
          <t>지아이이노베이션</t>
        </is>
      </c>
      <c r="C9793" s="2" t="inlineStr">
        <is>
          <t>코스닥</t>
        </is>
      </c>
      <c r="D9793" s="2" t="inlineStr">
        <is>
          <t>358570</t>
        </is>
      </c>
      <c r="E9793" s="3" t="inlineStr">
        <is>
          <t>임원ㆍ주요주주특정증권등소유상황보고서</t>
        </is>
      </c>
      <c r="F9793" s="3" t="inlineStr">
        <is>
          <t>박승범</t>
        </is>
      </c>
      <c r="G9793" s="2" t="inlineStr">
        <is>
          <t>20260605000187</t>
        </is>
      </c>
      <c r="H9793" s="8">
        <f>HYPERLINK("https://dart.fss.or.kr/dsaf001/main.do?rcpNo=20260605000187", "공시열람")</f>
        <v/>
      </c>
    </row>
    <row r="9794">
      <c r="A9794" s="2" t="inlineStr">
        <is>
          <t>2026-06-05</t>
        </is>
      </c>
      <c r="B9794" s="3" t="inlineStr">
        <is>
          <t>지아이이노베이션</t>
        </is>
      </c>
      <c r="C9794" s="2" t="inlineStr">
        <is>
          <t>코스닥</t>
        </is>
      </c>
      <c r="D9794" s="2" t="inlineStr">
        <is>
          <t>358570</t>
        </is>
      </c>
      <c r="E9794" s="3" t="inlineStr">
        <is>
          <t>임원ㆍ주요주주특정증권등소유상황보고서</t>
        </is>
      </c>
      <c r="F9794" s="3" t="inlineStr">
        <is>
          <t>김찬미</t>
        </is>
      </c>
      <c r="G9794" s="2" t="inlineStr">
        <is>
          <t>20260605000185</t>
        </is>
      </c>
      <c r="H9794" s="8">
        <f>HYPERLINK("https://dart.fss.or.kr/dsaf001/main.do?rcpNo=20260605000185", "공시열람")</f>
        <v/>
      </c>
    </row>
    <row r="9795">
      <c r="A9795" s="2" t="inlineStr">
        <is>
          <t>2026-06-05</t>
        </is>
      </c>
      <c r="B9795" s="3" t="inlineStr">
        <is>
          <t>제주반도체</t>
        </is>
      </c>
      <c r="C9795" s="2" t="inlineStr">
        <is>
          <t>코스닥</t>
        </is>
      </c>
      <c r="D9795" s="2" t="inlineStr">
        <is>
          <t>080220</t>
        </is>
      </c>
      <c r="E9795" s="3" t="inlineStr">
        <is>
          <t>[첨부정정]의결권대리행사권유참고서류</t>
        </is>
      </c>
      <c r="F9795" s="3" t="inlineStr">
        <is>
          <t>제주반도체</t>
        </is>
      </c>
      <c r="G9795" s="2" t="inlineStr">
        <is>
          <t>20260605000184</t>
        </is>
      </c>
      <c r="H9795" s="8">
        <f>HYPERLINK("https://dart.fss.or.kr/dsaf001/main.do?rcpNo=20260605000184", "공시열람")</f>
        <v/>
      </c>
    </row>
    <row r="9796">
      <c r="A9796" s="2" t="inlineStr">
        <is>
          <t>2026-06-05</t>
        </is>
      </c>
      <c r="B9796" s="3" t="inlineStr">
        <is>
          <t>와이랩</t>
        </is>
      </c>
      <c r="C9796" s="2" t="inlineStr">
        <is>
          <t>코스닥</t>
        </is>
      </c>
      <c r="D9796" s="2" t="inlineStr">
        <is>
          <t>432430</t>
        </is>
      </c>
      <c r="E9796" s="3" t="inlineStr">
        <is>
          <t>임원ㆍ주요주주특정증권등소유상황보고서</t>
        </is>
      </c>
      <c r="F9796" s="3" t="inlineStr">
        <is>
          <t>윤지영</t>
        </is>
      </c>
      <c r="G9796" s="2" t="inlineStr">
        <is>
          <t>20260605000181</t>
        </is>
      </c>
      <c r="H9796" s="8">
        <f>HYPERLINK("https://dart.fss.or.kr/dsaf001/main.do?rcpNo=20260605000181", "공시열람")</f>
        <v/>
      </c>
    </row>
    <row r="9797">
      <c r="A9797" s="2" t="inlineStr">
        <is>
          <t>2026-06-05</t>
        </is>
      </c>
      <c r="B9797" s="3" t="inlineStr">
        <is>
          <t>보원케미칼</t>
        </is>
      </c>
      <c r="C9797" s="2" t="inlineStr">
        <is>
          <t>코스닥</t>
        </is>
      </c>
      <c r="D9797" s="2" t="inlineStr">
        <is>
          <t>0010F0</t>
        </is>
      </c>
      <c r="E9797" s="3" t="inlineStr">
        <is>
          <t>임원ㆍ주요주주특정증권등소유상황보고서</t>
        </is>
      </c>
      <c r="F9797" s="3" t="inlineStr">
        <is>
          <t>장희진</t>
        </is>
      </c>
      <c r="G9797" s="2" t="inlineStr">
        <is>
          <t>20260605000179</t>
        </is>
      </c>
      <c r="H9797" s="8">
        <f>HYPERLINK("https://dart.fss.or.kr/dsaf001/main.do?rcpNo=20260605000179", "공시열람")</f>
        <v/>
      </c>
    </row>
    <row r="9798">
      <c r="A9798" s="2" t="inlineStr">
        <is>
          <t>2026-06-05</t>
        </is>
      </c>
      <c r="B9798" s="3" t="inlineStr">
        <is>
          <t>인디에프</t>
        </is>
      </c>
      <c r="C9798" s="2" t="inlineStr">
        <is>
          <t>코스피</t>
        </is>
      </c>
      <c r="D9798" s="2" t="inlineStr">
        <is>
          <t>014990</t>
        </is>
      </c>
      <c r="E9798" s="3" t="inlineStr">
        <is>
          <t>임원ㆍ주요주주특정증권등소유상황보고서</t>
        </is>
      </c>
      <c r="F9798" s="3" t="inlineStr">
        <is>
          <t>김한수</t>
        </is>
      </c>
      <c r="G9798" s="2" t="inlineStr">
        <is>
          <t>20260605000178</t>
        </is>
      </c>
      <c r="H9798" s="8">
        <f>HYPERLINK("https://dart.fss.or.kr/dsaf001/main.do?rcpNo=20260605000178", "공시열람")</f>
        <v/>
      </c>
    </row>
    <row r="9799">
      <c r="A9799" s="2" t="inlineStr">
        <is>
          <t>2026-06-05</t>
        </is>
      </c>
      <c r="B9799" s="3" t="inlineStr">
        <is>
          <t>미원상사</t>
        </is>
      </c>
      <c r="C9799" s="2" t="inlineStr">
        <is>
          <t>코스피</t>
        </is>
      </c>
      <c r="D9799" s="2" t="inlineStr">
        <is>
          <t>002840</t>
        </is>
      </c>
      <c r="E9799" s="3" t="inlineStr">
        <is>
          <t>임원ㆍ주요주주특정증권등소유상황보고서</t>
        </is>
      </c>
      <c r="F9799" s="3" t="inlineStr">
        <is>
          <t>염영진</t>
        </is>
      </c>
      <c r="G9799" s="2" t="inlineStr">
        <is>
          <t>20260605000173</t>
        </is>
      </c>
      <c r="H9799" s="8">
        <f>HYPERLINK("https://dart.fss.or.kr/dsaf001/main.do?rcpNo=20260605000173", "공시열람")</f>
        <v/>
      </c>
    </row>
    <row r="9800">
      <c r="A9800" s="2" t="inlineStr">
        <is>
          <t>2026-06-05</t>
        </is>
      </c>
      <c r="B9800" s="3" t="inlineStr">
        <is>
          <t>우듬지팜</t>
        </is>
      </c>
      <c r="C9800" s="2" t="inlineStr">
        <is>
          <t>코스닥</t>
        </is>
      </c>
      <c r="D9800" s="2" t="inlineStr">
        <is>
          <t>403490</t>
        </is>
      </c>
      <c r="E9800" s="3" t="inlineStr">
        <is>
          <t>임원ㆍ주요주주특정증권등소유상황보고서</t>
        </is>
      </c>
      <c r="F9800" s="3" t="inlineStr">
        <is>
          <t>김호연</t>
        </is>
      </c>
      <c r="G9800" s="2" t="inlineStr">
        <is>
          <t>20260605000172</t>
        </is>
      </c>
      <c r="H9800" s="8">
        <f>HYPERLINK("https://dart.fss.or.kr/dsaf001/main.do?rcpNo=20260605000172", "공시열람")</f>
        <v/>
      </c>
    </row>
    <row r="9801">
      <c r="A9801" s="2" t="inlineStr">
        <is>
          <t>2026-06-05</t>
        </is>
      </c>
      <c r="B9801" s="3" t="inlineStr">
        <is>
          <t>그리티</t>
        </is>
      </c>
      <c r="C9801" s="2" t="inlineStr">
        <is>
          <t>코스닥</t>
        </is>
      </c>
      <c r="D9801" s="2" t="inlineStr">
        <is>
          <t>204020</t>
        </is>
      </c>
      <c r="E9801" s="3" t="inlineStr">
        <is>
          <t>임원ㆍ주요주주특정증권등소유상황보고서</t>
        </is>
      </c>
      <c r="F9801" s="3" t="inlineStr">
        <is>
          <t>문영우</t>
        </is>
      </c>
      <c r="G9801" s="2" t="inlineStr">
        <is>
          <t>20260605000168</t>
        </is>
      </c>
      <c r="H9801" s="8">
        <f>HYPERLINK("https://dart.fss.or.kr/dsaf001/main.do?rcpNo=20260605000168", "공시열람")</f>
        <v/>
      </c>
    </row>
    <row r="9802">
      <c r="A9802" s="2" t="inlineStr">
        <is>
          <t>2026-06-05</t>
        </is>
      </c>
      <c r="B9802" s="3" t="inlineStr">
        <is>
          <t>EMB</t>
        </is>
      </c>
      <c r="C9802" s="2" t="inlineStr">
        <is>
          <t>코넥스</t>
        </is>
      </c>
      <c r="D9802" s="2" t="inlineStr">
        <is>
          <t>278990</t>
        </is>
      </c>
      <c r="E9802" s="3" t="inlineStr">
        <is>
          <t>임원ㆍ주요주주특정증권등소유상황보고서</t>
        </is>
      </c>
      <c r="F9802" s="3" t="inlineStr">
        <is>
          <t>박관련</t>
        </is>
      </c>
      <c r="G9802" s="2" t="inlineStr">
        <is>
          <t>20260605000156</t>
        </is>
      </c>
      <c r="H9802" s="8">
        <f>HYPERLINK("https://dart.fss.or.kr/dsaf001/main.do?rcpNo=20260605000156", "공시열람")</f>
        <v/>
      </c>
    </row>
    <row r="9803">
      <c r="A9803" s="2" t="inlineStr">
        <is>
          <t>2026-06-05</t>
        </is>
      </c>
      <c r="B9803" s="3" t="inlineStr">
        <is>
          <t>팬오션</t>
        </is>
      </c>
      <c r="C9803" s="2" t="inlineStr">
        <is>
          <t>코스피</t>
        </is>
      </c>
      <c r="D9803" s="2" t="inlineStr">
        <is>
          <t>028670</t>
        </is>
      </c>
      <c r="E9803" s="3" t="inlineStr">
        <is>
          <t>임원ㆍ주요주주특정증권등소유상황보고서</t>
        </is>
      </c>
      <c r="F9803" s="3" t="inlineStr">
        <is>
          <t>신재호</t>
        </is>
      </c>
      <c r="G9803" s="2" t="inlineStr">
        <is>
          <t>20260605000155</t>
        </is>
      </c>
      <c r="H9803" s="8">
        <f>HYPERLINK("https://dart.fss.or.kr/dsaf001/main.do?rcpNo=20260605000155", "공시열람")</f>
        <v/>
      </c>
    </row>
    <row r="9804">
      <c r="A9804" s="2" t="inlineStr">
        <is>
          <t>2026-06-05</t>
        </is>
      </c>
      <c r="B9804" s="3" t="inlineStr">
        <is>
          <t>인바이오</t>
        </is>
      </c>
      <c r="C9804" s="2" t="inlineStr">
        <is>
          <t>코스닥</t>
        </is>
      </c>
      <c r="D9804" s="2" t="inlineStr">
        <is>
          <t>352940</t>
        </is>
      </c>
      <c r="E9804" s="3" t="inlineStr">
        <is>
          <t>임원ㆍ주요주주특정증권등소유상황보고서</t>
        </is>
      </c>
      <c r="F9804" s="3" t="inlineStr">
        <is>
          <t>이혁재</t>
        </is>
      </c>
      <c r="G9804" s="2" t="inlineStr">
        <is>
          <t>20260605000153</t>
        </is>
      </c>
      <c r="H9804" s="8">
        <f>HYPERLINK("https://dart.fss.or.kr/dsaf001/main.do?rcpNo=20260605000153", "공시열람")</f>
        <v/>
      </c>
    </row>
    <row r="9805">
      <c r="A9805" s="2" t="inlineStr">
        <is>
          <t>2026-06-05</t>
        </is>
      </c>
      <c r="B9805" s="3" t="inlineStr">
        <is>
          <t>디앤디파마텍</t>
        </is>
      </c>
      <c r="C9805" s="2" t="inlineStr">
        <is>
          <t>코스닥</t>
        </is>
      </c>
      <c r="D9805" s="2" t="inlineStr">
        <is>
          <t>347850</t>
        </is>
      </c>
      <c r="E9805" s="3" t="inlineStr">
        <is>
          <t xml:space="preserve">기업설명회(IR)개최              </t>
        </is>
      </c>
      <c r="F9805" s="3" t="inlineStr">
        <is>
          <t>디앤디파마텍</t>
        </is>
      </c>
      <c r="G9805" s="2" t="inlineStr">
        <is>
          <t>20260605900268</t>
        </is>
      </c>
      <c r="H9805" s="8">
        <f>HYPERLINK("https://dart.fss.or.kr/dsaf001/main.do?rcpNo=20260605900268", "공시열람")</f>
        <v/>
      </c>
    </row>
    <row r="9806">
      <c r="A9806" s="2" t="inlineStr">
        <is>
          <t>2026-06-05</t>
        </is>
      </c>
      <c r="B9806" s="3" t="inlineStr">
        <is>
          <t>SK디앤디</t>
        </is>
      </c>
      <c r="C9806" s="2" t="inlineStr">
        <is>
          <t>코스피</t>
        </is>
      </c>
      <c r="D9806" s="2" t="inlineStr">
        <is>
          <t>210980</t>
        </is>
      </c>
      <c r="E9806" s="3" t="inlineStr">
        <is>
          <t xml:space="preserve">주주명부폐쇄기간또는기준일설정              </t>
        </is>
      </c>
      <c r="F9806" s="3" t="inlineStr">
        <is>
          <t>SK디앤디</t>
        </is>
      </c>
      <c r="G9806" s="2" t="inlineStr">
        <is>
          <t>20260605800271</t>
        </is>
      </c>
      <c r="H9806" s="8">
        <f>HYPERLINK("https://dart.fss.or.kr/dsaf001/main.do?rcpNo=20260605800271", "공시열람")</f>
        <v/>
      </c>
    </row>
    <row r="9807">
      <c r="A9807" s="2" t="inlineStr">
        <is>
          <t>2026-06-05</t>
        </is>
      </c>
      <c r="B9807" s="3" t="inlineStr">
        <is>
          <t>조광페인트</t>
        </is>
      </c>
      <c r="C9807" s="2" t="inlineStr">
        <is>
          <t>코스피</t>
        </is>
      </c>
      <c r="D9807" s="2" t="inlineStr">
        <is>
          <t>004910</t>
        </is>
      </c>
      <c r="E9807" s="3" t="inlineStr">
        <is>
          <t>임원ㆍ주요주주특정증권등소유상황보고서</t>
        </is>
      </c>
      <c r="F9807" s="3" t="inlineStr">
        <is>
          <t>박석주</t>
        </is>
      </c>
      <c r="G9807" s="2" t="inlineStr">
        <is>
          <t>20260605000140</t>
        </is>
      </c>
      <c r="H9807" s="8">
        <f>HYPERLINK("https://dart.fss.or.kr/dsaf001/main.do?rcpNo=20260605000140", "공시열람")</f>
        <v/>
      </c>
    </row>
    <row r="9808">
      <c r="A9808" s="2" t="inlineStr">
        <is>
          <t>2026-06-05</t>
        </is>
      </c>
      <c r="B9808" s="3" t="inlineStr">
        <is>
          <t>코렌텍</t>
        </is>
      </c>
      <c r="C9808" s="2" t="inlineStr">
        <is>
          <t>코스닥</t>
        </is>
      </c>
      <c r="D9808" s="2" t="inlineStr">
        <is>
          <t>104540</t>
        </is>
      </c>
      <c r="E9808" s="3" t="inlineStr">
        <is>
          <t>임원ㆍ주요주주특정증권등소유상황보고서</t>
        </is>
      </c>
      <c r="F9808" s="3" t="inlineStr">
        <is>
          <t>박형철</t>
        </is>
      </c>
      <c r="G9808" s="2" t="inlineStr">
        <is>
          <t>20260605000139</t>
        </is>
      </c>
      <c r="H9808" s="8">
        <f>HYPERLINK("https://dart.fss.or.kr/dsaf001/main.do?rcpNo=20260605000139", "공시열람")</f>
        <v/>
      </c>
    </row>
    <row r="9809">
      <c r="A9809" s="2" t="inlineStr">
        <is>
          <t>2026-06-05 (정정: 2026-06-15)</t>
        </is>
      </c>
      <c r="B9809" s="3" t="inlineStr">
        <is>
          <t>시너지이노베이션</t>
        </is>
      </c>
      <c r="C9809" s="2" t="inlineStr">
        <is>
          <t>코스닥</t>
        </is>
      </c>
      <c r="D9809" s="2" t="inlineStr">
        <is>
          <t>048870</t>
        </is>
      </c>
      <c r="E9809" s="3" t="inlineStr">
        <is>
          <t>기타경영사항(자율공시)              (자기사채(제14회차 전환사채) 소각 결정의 건) (정정: 20260615)</t>
        </is>
      </c>
      <c r="F9809" s="3" t="inlineStr">
        <is>
          <t>시너지이노베이션</t>
        </is>
      </c>
      <c r="G9809" s="2" t="inlineStr">
        <is>
          <t>20260615000292</t>
        </is>
      </c>
      <c r="H9809" s="8">
        <f>HYPERLINK("https://dart.fss.or.kr/dsaf001/main.do?rcpNo=20260615000292", "공시열람")</f>
        <v/>
      </c>
    </row>
    <row r="9810">
      <c r="A9810" s="2" t="inlineStr">
        <is>
          <t>2026-06-05</t>
        </is>
      </c>
      <c r="B9810" s="3" t="inlineStr">
        <is>
          <t>iM금융지주</t>
        </is>
      </c>
      <c r="C9810" s="2" t="inlineStr">
        <is>
          <t>코스피</t>
        </is>
      </c>
      <c r="D9810" s="2" t="inlineStr">
        <is>
          <t>139130</t>
        </is>
      </c>
      <c r="E9810" s="3" t="inlineStr">
        <is>
          <t>임원ㆍ주요주주특정증권등소유상황보고서</t>
        </is>
      </c>
      <c r="F9810" s="3" t="inlineStr">
        <is>
          <t>천병규</t>
        </is>
      </c>
      <c r="G9810" s="2" t="inlineStr">
        <is>
          <t>20260605000127</t>
        </is>
      </c>
      <c r="H9810" s="8">
        <f>HYPERLINK("https://dart.fss.or.kr/dsaf001/main.do?rcpNo=20260605000127", "공시열람")</f>
        <v/>
      </c>
    </row>
    <row r="9811">
      <c r="A9811" s="2" t="inlineStr">
        <is>
          <t>2026-06-05</t>
        </is>
      </c>
      <c r="B9811" s="3" t="inlineStr">
        <is>
          <t>태성</t>
        </is>
      </c>
      <c r="C9811" s="2" t="inlineStr">
        <is>
          <t>코스닥</t>
        </is>
      </c>
      <c r="D9811" s="2" t="inlineStr">
        <is>
          <t>323280</t>
        </is>
      </c>
      <c r="E9811" s="3" t="inlineStr">
        <is>
          <t xml:space="preserve">주주명부폐쇄기간또는기준일설정              </t>
        </is>
      </c>
      <c r="F9811" s="3" t="inlineStr">
        <is>
          <t>태성</t>
        </is>
      </c>
      <c r="G9811" s="2" t="inlineStr">
        <is>
          <t>20260605900256</t>
        </is>
      </c>
      <c r="H9811" s="8">
        <f>HYPERLINK("https://dart.fss.or.kr/dsaf001/main.do?rcpNo=20260605900256", "공시열람")</f>
        <v/>
      </c>
    </row>
    <row r="9812">
      <c r="A9812" s="2" t="inlineStr">
        <is>
          <t>2026-06-05</t>
        </is>
      </c>
      <c r="B9812" s="3" t="inlineStr">
        <is>
          <t>패션플랫폼</t>
        </is>
      </c>
      <c r="C9812" s="2" t="inlineStr">
        <is>
          <t>코스닥</t>
        </is>
      </c>
      <c r="D9812" s="2" t="inlineStr">
        <is>
          <t>225590</t>
        </is>
      </c>
      <c r="E9812" s="3" t="inlineStr">
        <is>
          <t>임원ㆍ주요주주특정증권등소유상황보고서</t>
        </is>
      </c>
      <c r="F9812" s="3" t="inlineStr">
        <is>
          <t>메이븐에프씨</t>
        </is>
      </c>
      <c r="G9812" s="2" t="inlineStr">
        <is>
          <t>20260605000124</t>
        </is>
      </c>
      <c r="H9812" s="8">
        <f>HYPERLINK("https://dart.fss.or.kr/dsaf001/main.do?rcpNo=20260605000124", "공시열람")</f>
        <v/>
      </c>
    </row>
    <row r="9813">
      <c r="A9813" s="2" t="inlineStr">
        <is>
          <t>2026-06-05</t>
        </is>
      </c>
      <c r="B9813" s="3" t="inlineStr">
        <is>
          <t>교보증권</t>
        </is>
      </c>
      <c r="C9813" s="2" t="inlineStr">
        <is>
          <t>코스피</t>
        </is>
      </c>
      <c r="D9813" s="2" t="inlineStr">
        <is>
          <t>030610</t>
        </is>
      </c>
      <c r="E9813" s="3" t="inlineStr">
        <is>
          <t>투자설명서(일괄신고)</t>
        </is>
      </c>
      <c r="F9813" s="3" t="inlineStr">
        <is>
          <t>교보증권</t>
        </is>
      </c>
      <c r="G9813" s="2" t="inlineStr">
        <is>
          <t>20260605000119</t>
        </is>
      </c>
      <c r="H9813" s="8">
        <f>HYPERLINK("https://dart.fss.or.kr/dsaf001/main.do?rcpNo=20260605000119", "공시열람")</f>
        <v/>
      </c>
    </row>
    <row r="9814">
      <c r="A9814" s="2" t="inlineStr">
        <is>
          <t>2026-06-05</t>
        </is>
      </c>
      <c r="B9814" s="3" t="inlineStr">
        <is>
          <t>코셋</t>
        </is>
      </c>
      <c r="C9814" s="2" t="inlineStr">
        <is>
          <t>코넥스</t>
        </is>
      </c>
      <c r="D9814" s="2" t="inlineStr">
        <is>
          <t>189350</t>
        </is>
      </c>
      <c r="E9814" s="3" t="inlineStr">
        <is>
          <t xml:space="preserve">기업설명회(IR)개최              </t>
        </is>
      </c>
      <c r="F9814" s="3" t="inlineStr">
        <is>
          <t>코셋</t>
        </is>
      </c>
      <c r="G9814" s="2" t="inlineStr">
        <is>
          <t>20260605600228</t>
        </is>
      </c>
      <c r="H9814" s="8">
        <f>HYPERLINK("https://dart.fss.or.kr/dsaf001/main.do?rcpNo=20260605600228", "공시열람")</f>
        <v/>
      </c>
    </row>
    <row r="9815">
      <c r="A9815" s="2" t="inlineStr">
        <is>
          <t>2026-06-05</t>
        </is>
      </c>
      <c r="B9815" s="3" t="inlineStr">
        <is>
          <t>로젠</t>
        </is>
      </c>
      <c r="C9815" s="2" t="inlineStr">
        <is>
          <t>코스닥</t>
        </is>
      </c>
      <c r="D9815" s="2" t="inlineStr">
        <is>
          <t>033290</t>
        </is>
      </c>
      <c r="E9815" s="3" t="inlineStr">
        <is>
          <t xml:space="preserve">기업설명회(IR)개최              </t>
        </is>
      </c>
      <c r="F9815" s="3" t="inlineStr">
        <is>
          <t>로젠</t>
        </is>
      </c>
      <c r="G9815" s="2" t="inlineStr">
        <is>
          <t>20260605900226</t>
        </is>
      </c>
      <c r="H9815" s="8">
        <f>HYPERLINK("https://dart.fss.or.kr/dsaf001/main.do?rcpNo=20260605900226", "공시열람")</f>
        <v/>
      </c>
    </row>
    <row r="9816">
      <c r="A9816" s="2" t="inlineStr">
        <is>
          <t>2026-06-05</t>
        </is>
      </c>
      <c r="B9816" s="3" t="inlineStr">
        <is>
          <t>모다이노칩</t>
        </is>
      </c>
      <c r="C9816" s="2" t="inlineStr">
        <is>
          <t>코스닥</t>
        </is>
      </c>
      <c r="D9816" s="2" t="inlineStr">
        <is>
          <t>080420</t>
        </is>
      </c>
      <c r="E9816" s="3" t="inlineStr">
        <is>
          <t xml:space="preserve">기업설명회(IR)개최              </t>
        </is>
      </c>
      <c r="F9816" s="3" t="inlineStr">
        <is>
          <t>모다이노칩</t>
        </is>
      </c>
      <c r="G9816" s="2" t="inlineStr">
        <is>
          <t>20260605900216</t>
        </is>
      </c>
      <c r="H9816" s="8">
        <f>HYPERLINK("https://dart.fss.or.kr/dsaf001/main.do?rcpNo=20260605900216", "공시열람")</f>
        <v/>
      </c>
    </row>
    <row r="9817">
      <c r="A9817" s="2" t="inlineStr">
        <is>
          <t>2026-06-05</t>
        </is>
      </c>
      <c r="B9817" s="3" t="inlineStr">
        <is>
          <t>오상자이엘</t>
        </is>
      </c>
      <c r="C9817" s="2" t="inlineStr">
        <is>
          <t>코스닥</t>
        </is>
      </c>
      <c r="D9817" s="2" t="inlineStr">
        <is>
          <t>053980</t>
        </is>
      </c>
      <c r="E9817" s="3" t="inlineStr">
        <is>
          <t>임원ㆍ주요주주특정증권등소유상황보고서</t>
        </is>
      </c>
      <c r="F9817" s="3" t="inlineStr">
        <is>
          <t>김선기</t>
        </is>
      </c>
      <c r="G9817" s="2" t="inlineStr">
        <is>
          <t>20260605000105</t>
        </is>
      </c>
      <c r="H9817" s="8">
        <f>HYPERLINK("https://dart.fss.or.kr/dsaf001/main.do?rcpNo=20260605000105", "공시열람")</f>
        <v/>
      </c>
    </row>
    <row r="9818">
      <c r="A9818" s="2" t="inlineStr">
        <is>
          <t>2026-06-05</t>
        </is>
      </c>
      <c r="B9818" s="3" t="inlineStr">
        <is>
          <t>교보증권</t>
        </is>
      </c>
      <c r="C9818" s="2" t="inlineStr">
        <is>
          <t>코스피</t>
        </is>
      </c>
      <c r="D9818" s="2" t="inlineStr">
        <is>
          <t>030610</t>
        </is>
      </c>
      <c r="E9818" s="3" t="inlineStr">
        <is>
          <t>일괄신고추가서류(파생결합사채-주가연계파생결합사채)</t>
        </is>
      </c>
      <c r="F9818" s="3" t="inlineStr">
        <is>
          <t>교보증권</t>
        </is>
      </c>
      <c r="G9818" s="2" t="inlineStr">
        <is>
          <t>20260605000104</t>
        </is>
      </c>
      <c r="H9818" s="8">
        <f>HYPERLINK("https://dart.fss.or.kr/dsaf001/main.do?rcpNo=20260605000104", "공시열람")</f>
        <v/>
      </c>
    </row>
    <row r="9819">
      <c r="A9819" s="2" t="inlineStr">
        <is>
          <t>2026-06-05</t>
        </is>
      </c>
      <c r="B9819" s="3" t="inlineStr">
        <is>
          <t>선바이오</t>
        </is>
      </c>
      <c r="C9819" s="2" t="inlineStr">
        <is>
          <t>코스닥</t>
        </is>
      </c>
      <c r="D9819" s="2" t="inlineStr">
        <is>
          <t>067370</t>
        </is>
      </c>
      <c r="E9819" s="3" t="inlineStr">
        <is>
          <t>전환가액의조정              (제4회차)</t>
        </is>
      </c>
      <c r="F9819" s="3" t="inlineStr">
        <is>
          <t>선바이오</t>
        </is>
      </c>
      <c r="G9819" s="2" t="inlineStr">
        <is>
          <t>20260605900204</t>
        </is>
      </c>
      <c r="H9819" s="8">
        <f>HYPERLINK("https://dart.fss.or.kr/dsaf001/main.do?rcpNo=20260605900204", "공시열람")</f>
        <v/>
      </c>
    </row>
    <row r="9820">
      <c r="A9820" s="2" t="inlineStr">
        <is>
          <t>2026-06-05</t>
        </is>
      </c>
      <c r="B9820" s="3" t="inlineStr">
        <is>
          <t>키움증권</t>
        </is>
      </c>
      <c r="C9820" s="2" t="inlineStr">
        <is>
          <t>코스피</t>
        </is>
      </c>
      <c r="D9820" s="2" t="inlineStr">
        <is>
          <t>039490</t>
        </is>
      </c>
      <c r="E9820" s="3" t="inlineStr">
        <is>
          <t>일괄신고추가서류(파생결합사채-주가연계파생결합사채)</t>
        </is>
      </c>
      <c r="F9820" s="3" t="inlineStr">
        <is>
          <t>키움증권</t>
        </is>
      </c>
      <c r="G9820" s="2" t="inlineStr">
        <is>
          <t>20260605000089</t>
        </is>
      </c>
      <c r="H9820" s="8">
        <f>HYPERLINK("https://dart.fss.or.kr/dsaf001/main.do?rcpNo=20260605000089", "공시열람")</f>
        <v/>
      </c>
    </row>
    <row r="9821">
      <c r="A9821" s="2" t="inlineStr">
        <is>
          <t>2026-06-05</t>
        </is>
      </c>
      <c r="B9821" s="3" t="inlineStr">
        <is>
          <t>HLB제넥스</t>
        </is>
      </c>
      <c r="C9821" s="2" t="inlineStr">
        <is>
          <t>코스닥</t>
        </is>
      </c>
      <c r="D9821" s="2" t="inlineStr">
        <is>
          <t>187420</t>
        </is>
      </c>
      <c r="E9821" s="3" t="inlineStr">
        <is>
          <t>임원ㆍ주요주주특정증권등소유상황보고서</t>
        </is>
      </c>
      <c r="F9821" s="3" t="inlineStr">
        <is>
          <t>진양곤</t>
        </is>
      </c>
      <c r="G9821" s="2" t="inlineStr">
        <is>
          <t>20260605000088</t>
        </is>
      </c>
      <c r="H9821" s="8">
        <f>HYPERLINK("https://dart.fss.or.kr/dsaf001/main.do?rcpNo=20260605000088", "공시열람")</f>
        <v/>
      </c>
    </row>
    <row r="9822">
      <c r="A9822" s="2" t="inlineStr">
        <is>
          <t>2026-06-05</t>
        </is>
      </c>
      <c r="B9822" s="3" t="inlineStr">
        <is>
          <t>HLB테라퓨틱스</t>
        </is>
      </c>
      <c r="C9822" s="2" t="inlineStr">
        <is>
          <t>코스닥</t>
        </is>
      </c>
      <c r="D9822" s="2" t="inlineStr">
        <is>
          <t>115450</t>
        </is>
      </c>
      <c r="E9822" s="3" t="inlineStr">
        <is>
          <t>임원ㆍ주요주주특정증권등소유상황보고서</t>
        </is>
      </c>
      <c r="F9822" s="3" t="inlineStr">
        <is>
          <t>진양곤</t>
        </is>
      </c>
      <c r="G9822" s="2" t="inlineStr">
        <is>
          <t>20260605000087</t>
        </is>
      </c>
      <c r="H9822" s="8">
        <f>HYPERLINK("https://dart.fss.or.kr/dsaf001/main.do?rcpNo=20260605000087", "공시열람")</f>
        <v/>
      </c>
    </row>
    <row r="9823">
      <c r="A9823" s="2" t="inlineStr">
        <is>
          <t>2026-06-05</t>
        </is>
      </c>
      <c r="B9823" s="3" t="inlineStr">
        <is>
          <t>비트컴퓨터</t>
        </is>
      </c>
      <c r="C9823" s="2" t="inlineStr">
        <is>
          <t>코스닥</t>
        </is>
      </c>
      <c r="D9823" s="2" t="inlineStr">
        <is>
          <t>032850</t>
        </is>
      </c>
      <c r="E9823" s="3" t="inlineStr">
        <is>
          <t>임원ㆍ주요주주특정증권등소유상황보고서</t>
        </is>
      </c>
      <c r="F9823" s="3" t="inlineStr">
        <is>
          <t>조재석</t>
        </is>
      </c>
      <c r="G9823" s="2" t="inlineStr">
        <is>
          <t>20260605000084</t>
        </is>
      </c>
      <c r="H9823" s="8">
        <f>HYPERLINK("https://dart.fss.or.kr/dsaf001/main.do?rcpNo=20260605000084", "공시열람")</f>
        <v/>
      </c>
    </row>
    <row r="9824">
      <c r="A9824" s="2" t="inlineStr">
        <is>
          <t>2026-06-05</t>
        </is>
      </c>
      <c r="B9824" s="3" t="inlineStr">
        <is>
          <t>한화투자증권</t>
        </is>
      </c>
      <c r="C9824" s="2" t="inlineStr">
        <is>
          <t>코스피</t>
        </is>
      </c>
      <c r="D9824" s="2" t="inlineStr">
        <is>
          <t>003530</t>
        </is>
      </c>
      <c r="E9824" s="3" t="inlineStr">
        <is>
          <t>투자설명서(일괄신고)</t>
        </is>
      </c>
      <c r="F9824" s="3" t="inlineStr">
        <is>
          <t>한화투자증권</t>
        </is>
      </c>
      <c r="G9824" s="2" t="inlineStr">
        <is>
          <t>20260605000083</t>
        </is>
      </c>
      <c r="H9824" s="8">
        <f>HYPERLINK("https://dart.fss.or.kr/dsaf001/main.do?rcpNo=20260605000083", "공시열람")</f>
        <v/>
      </c>
    </row>
    <row r="9825">
      <c r="A9825" s="2" t="inlineStr">
        <is>
          <t>2026-06-05</t>
        </is>
      </c>
      <c r="B9825" s="3" t="inlineStr">
        <is>
          <t>교보증권</t>
        </is>
      </c>
      <c r="C9825" s="2" t="inlineStr">
        <is>
          <t>코스피</t>
        </is>
      </c>
      <c r="D9825" s="2" t="inlineStr">
        <is>
          <t>030610</t>
        </is>
      </c>
      <c r="E9825" s="3" t="inlineStr">
        <is>
          <t>투자설명서(일괄신고)</t>
        </is>
      </c>
      <c r="F9825" s="3" t="inlineStr">
        <is>
          <t>교보증권</t>
        </is>
      </c>
      <c r="G9825" s="2" t="inlineStr">
        <is>
          <t>20260605000081</t>
        </is>
      </c>
      <c r="H9825" s="8">
        <f>HYPERLINK("https://dart.fss.or.kr/dsaf001/main.do?rcpNo=20260605000081", "공시열람")</f>
        <v/>
      </c>
    </row>
    <row r="9826">
      <c r="A9826" s="2" t="inlineStr">
        <is>
          <t>2026-06-05</t>
        </is>
      </c>
      <c r="B9826" s="3" t="inlineStr">
        <is>
          <t>교보증권</t>
        </is>
      </c>
      <c r="C9826" s="2" t="inlineStr">
        <is>
          <t>코스피</t>
        </is>
      </c>
      <c r="D9826" s="2" t="inlineStr">
        <is>
          <t>030610</t>
        </is>
      </c>
      <c r="E9826" s="3" t="inlineStr">
        <is>
          <t>투자설명서(일괄신고)</t>
        </is>
      </c>
      <c r="F9826" s="3" t="inlineStr">
        <is>
          <t>교보증권</t>
        </is>
      </c>
      <c r="G9826" s="2" t="inlineStr">
        <is>
          <t>20260605000080</t>
        </is>
      </c>
      <c r="H9826" s="8">
        <f>HYPERLINK("https://dart.fss.or.kr/dsaf001/main.do?rcpNo=20260605000080", "공시열람")</f>
        <v/>
      </c>
    </row>
    <row r="9827">
      <c r="A9827" s="2" t="inlineStr">
        <is>
          <t>2026-06-05</t>
        </is>
      </c>
      <c r="B9827" s="3" t="inlineStr">
        <is>
          <t>한화투자증권</t>
        </is>
      </c>
      <c r="C9827" s="2" t="inlineStr">
        <is>
          <t>코스피</t>
        </is>
      </c>
      <c r="D9827" s="2" t="inlineStr">
        <is>
          <t>003530</t>
        </is>
      </c>
      <c r="E9827" s="3" t="inlineStr">
        <is>
          <t>일괄신고추가서류(기타파생결합사채)</t>
        </is>
      </c>
      <c r="F9827" s="3" t="inlineStr">
        <is>
          <t>한화투자증권</t>
        </is>
      </c>
      <c r="G9827" s="2" t="inlineStr">
        <is>
          <t>20260605000075</t>
        </is>
      </c>
      <c r="H9827" s="8">
        <f>HYPERLINK("https://dart.fss.or.kr/dsaf001/main.do?rcpNo=20260605000075", "공시열람")</f>
        <v/>
      </c>
    </row>
    <row r="9828">
      <c r="A9828" s="2" t="inlineStr">
        <is>
          <t>2026-06-05</t>
        </is>
      </c>
      <c r="B9828" s="3" t="inlineStr">
        <is>
          <t>키움증권</t>
        </is>
      </c>
      <c r="C9828" s="2" t="inlineStr">
        <is>
          <t>코스피</t>
        </is>
      </c>
      <c r="D9828" s="2" t="inlineStr">
        <is>
          <t>039490</t>
        </is>
      </c>
      <c r="E9828" s="3" t="inlineStr">
        <is>
          <t>일괄신고추가서류(파생결합증권-주가연계증권)</t>
        </is>
      </c>
      <c r="F9828" s="3" t="inlineStr">
        <is>
          <t>키움증권</t>
        </is>
      </c>
      <c r="G9828" s="2" t="inlineStr">
        <is>
          <t>20260605000074</t>
        </is>
      </c>
      <c r="H9828" s="8">
        <f>HYPERLINK("https://dart.fss.or.kr/dsaf001/main.do?rcpNo=20260605000074", "공시열람")</f>
        <v/>
      </c>
    </row>
    <row r="9829">
      <c r="A9829" s="2" t="inlineStr">
        <is>
          <t>2026-06-05</t>
        </is>
      </c>
      <c r="B9829" s="3" t="inlineStr">
        <is>
          <t>삼성전자</t>
        </is>
      </c>
      <c r="C9829" s="2" t="inlineStr">
        <is>
          <t>코스피</t>
        </is>
      </c>
      <c r="D9829" s="2" t="inlineStr">
        <is>
          <t>005930</t>
        </is>
      </c>
      <c r="E9829" s="3" t="inlineStr">
        <is>
          <t>임원ㆍ주요주주특정증권등소유상황보고서</t>
        </is>
      </c>
      <c r="F9829" s="3" t="inlineStr">
        <is>
          <t>김이수</t>
        </is>
      </c>
      <c r="G9829" s="2" t="inlineStr">
        <is>
          <t>20260605000073</t>
        </is>
      </c>
      <c r="H9829" s="8">
        <f>HYPERLINK("https://dart.fss.or.kr/dsaf001/main.do?rcpNo=20260605000073", "공시열람")</f>
        <v/>
      </c>
    </row>
    <row r="9830">
      <c r="A9830" s="2" t="inlineStr">
        <is>
          <t>2026-06-05</t>
        </is>
      </c>
      <c r="B9830" s="3" t="inlineStr">
        <is>
          <t>신영와코루</t>
        </is>
      </c>
      <c r="C9830" s="2" t="inlineStr">
        <is>
          <t>코스피</t>
        </is>
      </c>
      <c r="D9830" s="2" t="inlineStr">
        <is>
          <t>005800</t>
        </is>
      </c>
      <c r="E9830" s="3" t="inlineStr">
        <is>
          <t xml:space="preserve">[기재정정]기업지배구조보고서공시              </t>
        </is>
      </c>
      <c r="F9830" s="3" t="inlineStr">
        <is>
          <t>신영와코루</t>
        </is>
      </c>
      <c r="G9830" s="2" t="inlineStr">
        <is>
          <t>20260605800163</t>
        </is>
      </c>
      <c r="H9830" s="8">
        <f>HYPERLINK("https://dart.fss.or.kr/dsaf001/main.do?rcpNo=20260605800163", "공시열람")</f>
        <v/>
      </c>
    </row>
    <row r="9831">
      <c r="A9831" s="2" t="inlineStr">
        <is>
          <t>2026-06-05</t>
        </is>
      </c>
      <c r="B9831" s="3" t="inlineStr">
        <is>
          <t>교보증권</t>
        </is>
      </c>
      <c r="C9831" s="2" t="inlineStr">
        <is>
          <t>코스피</t>
        </is>
      </c>
      <c r="D9831" s="2" t="inlineStr">
        <is>
          <t>030610</t>
        </is>
      </c>
      <c r="E9831" s="3" t="inlineStr">
        <is>
          <t>일괄신고추가서류(파생결합사채-주가연계파생결합사채)</t>
        </is>
      </c>
      <c r="F9831" s="3" t="inlineStr">
        <is>
          <t>교보증권</t>
        </is>
      </c>
      <c r="G9831" s="2" t="inlineStr">
        <is>
          <t>20260605000071</t>
        </is>
      </c>
      <c r="H9831" s="8">
        <f>HYPERLINK("https://dart.fss.or.kr/dsaf001/main.do?rcpNo=20260605000071", "공시열람")</f>
        <v/>
      </c>
    </row>
    <row r="9832">
      <c r="A9832" s="2" t="inlineStr">
        <is>
          <t>2026-06-05</t>
        </is>
      </c>
      <c r="B9832" s="3" t="inlineStr">
        <is>
          <t>한솔테크닉스</t>
        </is>
      </c>
      <c r="C9832" s="2" t="inlineStr">
        <is>
          <t>코스피</t>
        </is>
      </c>
      <c r="D9832" s="2" t="inlineStr">
        <is>
          <t>004710</t>
        </is>
      </c>
      <c r="E9832" s="3" t="inlineStr">
        <is>
          <t xml:space="preserve">유상증자신주발행가액(안내공시)              </t>
        </is>
      </c>
      <c r="F9832" s="3" t="inlineStr">
        <is>
          <t>한솔테크닉스</t>
        </is>
      </c>
      <c r="G9832" s="2" t="inlineStr">
        <is>
          <t>20260605800164</t>
        </is>
      </c>
      <c r="H9832" s="8">
        <f>HYPERLINK("https://dart.fss.or.kr/dsaf001/main.do?rcpNo=20260605800164", "공시열람")</f>
        <v/>
      </c>
    </row>
    <row r="9833">
      <c r="A9833" s="2" t="inlineStr">
        <is>
          <t>2026-06-05</t>
        </is>
      </c>
      <c r="B9833" s="3" t="inlineStr">
        <is>
          <t>교보증권</t>
        </is>
      </c>
      <c r="C9833" s="2" t="inlineStr">
        <is>
          <t>코스피</t>
        </is>
      </c>
      <c r="D9833" s="2" t="inlineStr">
        <is>
          <t>030610</t>
        </is>
      </c>
      <c r="E9833" s="3" t="inlineStr">
        <is>
          <t>투자설명서(일괄신고)</t>
        </is>
      </c>
      <c r="F9833" s="3" t="inlineStr">
        <is>
          <t>교보증권</t>
        </is>
      </c>
      <c r="G9833" s="2" t="inlineStr">
        <is>
          <t>20260605000068</t>
        </is>
      </c>
      <c r="H9833" s="8">
        <f>HYPERLINK("https://dart.fss.or.kr/dsaf001/main.do?rcpNo=20260605000068", "공시열람")</f>
        <v/>
      </c>
    </row>
    <row r="9834">
      <c r="A9834" s="2" t="inlineStr">
        <is>
          <t>2026-06-05</t>
        </is>
      </c>
      <c r="B9834" s="3" t="inlineStr">
        <is>
          <t>교보증권</t>
        </is>
      </c>
      <c r="C9834" s="2" t="inlineStr">
        <is>
          <t>코스피</t>
        </is>
      </c>
      <c r="D9834" s="2" t="inlineStr">
        <is>
          <t>030610</t>
        </is>
      </c>
      <c r="E9834" s="3" t="inlineStr">
        <is>
          <t>일괄신고추가서류(파생결합증권-주가연계증권)</t>
        </is>
      </c>
      <c r="F9834" s="3" t="inlineStr">
        <is>
          <t>교보증권</t>
        </is>
      </c>
      <c r="G9834" s="2" t="inlineStr">
        <is>
          <t>20260605000066</t>
        </is>
      </c>
      <c r="H9834" s="8">
        <f>HYPERLINK("https://dart.fss.or.kr/dsaf001/main.do?rcpNo=20260605000066", "공시열람")</f>
        <v/>
      </c>
    </row>
    <row r="9835">
      <c r="A9835" s="2" t="inlineStr">
        <is>
          <t>2026-06-05</t>
        </is>
      </c>
      <c r="B9835" s="3" t="inlineStr">
        <is>
          <t>케이씨텍</t>
        </is>
      </c>
      <c r="C9835" s="2" t="inlineStr">
        <is>
          <t>코스피</t>
        </is>
      </c>
      <c r="D9835" s="2" t="inlineStr">
        <is>
          <t>281820</t>
        </is>
      </c>
      <c r="E9835" s="3" t="inlineStr">
        <is>
          <t>임원ㆍ주요주주특정증권등소유상황보고서</t>
        </is>
      </c>
      <c r="F9835" s="3" t="inlineStr">
        <is>
          <t>정의훈</t>
        </is>
      </c>
      <c r="G9835" s="2" t="inlineStr">
        <is>
          <t>20260605000063</t>
        </is>
      </c>
      <c r="H9835" s="8">
        <f>HYPERLINK("https://dart.fss.or.kr/dsaf001/main.do?rcpNo=20260605000063", "공시열람")</f>
        <v/>
      </c>
    </row>
    <row r="9836">
      <c r="A9836" s="2" t="inlineStr">
        <is>
          <t>2026-06-05</t>
        </is>
      </c>
      <c r="B9836" s="3" t="inlineStr">
        <is>
          <t>교보증권</t>
        </is>
      </c>
      <c r="C9836" s="2" t="inlineStr">
        <is>
          <t>코스피</t>
        </is>
      </c>
      <c r="D9836" s="2" t="inlineStr">
        <is>
          <t>030610</t>
        </is>
      </c>
      <c r="E9836" s="3" t="inlineStr">
        <is>
          <t>일괄신고추가서류(기타파생결합사채)</t>
        </is>
      </c>
      <c r="F9836" s="3" t="inlineStr">
        <is>
          <t>교보증권</t>
        </is>
      </c>
      <c r="G9836" s="2" t="inlineStr">
        <is>
          <t>20260605000062</t>
        </is>
      </c>
      <c r="H9836" s="8">
        <f>HYPERLINK("https://dart.fss.or.kr/dsaf001/main.do?rcpNo=20260605000062", "공시열람")</f>
        <v/>
      </c>
    </row>
    <row r="9837">
      <c r="A9837" s="2" t="inlineStr">
        <is>
          <t>2026-06-05</t>
        </is>
      </c>
      <c r="B9837" s="3" t="inlineStr">
        <is>
          <t>삼성전자</t>
        </is>
      </c>
      <c r="C9837" s="2" t="inlineStr">
        <is>
          <t>코스피</t>
        </is>
      </c>
      <c r="D9837" s="2" t="inlineStr">
        <is>
          <t>005930</t>
        </is>
      </c>
      <c r="E9837" s="3" t="inlineStr">
        <is>
          <t>임원ㆍ주요주주특정증권등소유상황보고서</t>
        </is>
      </c>
      <c r="F9837" s="3" t="inlineStr">
        <is>
          <t>이지훈</t>
        </is>
      </c>
      <c r="G9837" s="2" t="inlineStr">
        <is>
          <t>20260605000061</t>
        </is>
      </c>
      <c r="H9837" s="8">
        <f>HYPERLINK("https://dart.fss.or.kr/dsaf001/main.do?rcpNo=20260605000061", "공시열람")</f>
        <v/>
      </c>
    </row>
    <row r="9838">
      <c r="A9838" s="2" t="inlineStr">
        <is>
          <t>2026-06-05</t>
        </is>
      </c>
      <c r="B9838" s="3" t="inlineStr">
        <is>
          <t>ISC</t>
        </is>
      </c>
      <c r="C9838" s="2" t="inlineStr">
        <is>
          <t>코스닥</t>
        </is>
      </c>
      <c r="D9838" s="2" t="inlineStr">
        <is>
          <t>095340</t>
        </is>
      </c>
      <c r="E9838" s="3" t="inlineStr">
        <is>
          <t xml:space="preserve">기업설명회(IR)개최              </t>
        </is>
      </c>
      <c r="F9838" s="3" t="inlineStr">
        <is>
          <t>ISC</t>
        </is>
      </c>
      <c r="G9838" s="2" t="inlineStr">
        <is>
          <t>20260605900155</t>
        </is>
      </c>
      <c r="H9838" s="8">
        <f>HYPERLINK("https://dart.fss.or.kr/dsaf001/main.do?rcpNo=20260605900155", "공시열람")</f>
        <v/>
      </c>
    </row>
    <row r="9839">
      <c r="A9839" s="2" t="inlineStr">
        <is>
          <t>2026-06-05</t>
        </is>
      </c>
      <c r="B9839" s="3" t="inlineStr">
        <is>
          <t>팬오션</t>
        </is>
      </c>
      <c r="C9839" s="2" t="inlineStr">
        <is>
          <t>코스피</t>
        </is>
      </c>
      <c r="D9839" s="2" t="inlineStr">
        <is>
          <t>028670</t>
        </is>
      </c>
      <c r="E9839" s="3" t="inlineStr">
        <is>
          <t>임원ㆍ주요주주특정증권등소유상황보고서</t>
        </is>
      </c>
      <c r="F9839" s="3" t="inlineStr">
        <is>
          <t>성제용</t>
        </is>
      </c>
      <c r="G9839" s="2" t="inlineStr">
        <is>
          <t>20260605000049</t>
        </is>
      </c>
      <c r="H9839" s="8">
        <f>HYPERLINK("https://dart.fss.or.kr/dsaf001/main.do?rcpNo=20260605000049", "공시열람")</f>
        <v/>
      </c>
    </row>
    <row r="9840">
      <c r="A9840" s="2" t="inlineStr">
        <is>
          <t>2026-06-05</t>
        </is>
      </c>
      <c r="B9840" s="3" t="inlineStr">
        <is>
          <t>교보증권</t>
        </is>
      </c>
      <c r="C9840" s="2" t="inlineStr">
        <is>
          <t>코스피</t>
        </is>
      </c>
      <c r="D9840" s="2" t="inlineStr">
        <is>
          <t>030610</t>
        </is>
      </c>
      <c r="E9840" s="3" t="inlineStr">
        <is>
          <t>투자설명서(일괄신고)</t>
        </is>
      </c>
      <c r="F9840" s="3" t="inlineStr">
        <is>
          <t>교보증권</t>
        </is>
      </c>
      <c r="G9840" s="2" t="inlineStr">
        <is>
          <t>20260605000045</t>
        </is>
      </c>
      <c r="H9840" s="8">
        <f>HYPERLINK("https://dart.fss.or.kr/dsaf001/main.do?rcpNo=20260605000045", "공시열람")</f>
        <v/>
      </c>
    </row>
    <row r="9841">
      <c r="A9841" s="2" t="inlineStr">
        <is>
          <t>2026-06-05</t>
        </is>
      </c>
      <c r="B9841" s="3" t="inlineStr">
        <is>
          <t>오리온</t>
        </is>
      </c>
      <c r="C9841" s="2" t="inlineStr">
        <is>
          <t>코스피</t>
        </is>
      </c>
      <c r="D9841" s="2" t="inlineStr">
        <is>
          <t>271560</t>
        </is>
      </c>
      <c r="E9841" s="3" t="inlineStr">
        <is>
          <t xml:space="preserve">기업설명회(IR)개최(안내공시)              </t>
        </is>
      </c>
      <c r="F9841" s="3" t="inlineStr">
        <is>
          <t>오리온</t>
        </is>
      </c>
      <c r="G9841" s="2" t="inlineStr">
        <is>
          <t>20260605800146</t>
        </is>
      </c>
      <c r="H9841" s="8">
        <f>HYPERLINK("https://dart.fss.or.kr/dsaf001/main.do?rcpNo=20260605800146", "공시열람")</f>
        <v/>
      </c>
    </row>
    <row r="9842">
      <c r="A9842" s="2" t="inlineStr">
        <is>
          <t>2026-06-05</t>
        </is>
      </c>
      <c r="B9842" s="3" t="inlineStr">
        <is>
          <t>교보증권</t>
        </is>
      </c>
      <c r="C9842" s="2" t="inlineStr">
        <is>
          <t>코스피</t>
        </is>
      </c>
      <c r="D9842" s="2" t="inlineStr">
        <is>
          <t>030610</t>
        </is>
      </c>
      <c r="E9842" s="3" t="inlineStr">
        <is>
          <t>일괄신고추가서류(파생결합사채-주가연계파생결합사채)</t>
        </is>
      </c>
      <c r="F9842" s="3" t="inlineStr">
        <is>
          <t>교보증권</t>
        </is>
      </c>
      <c r="G9842" s="2" t="inlineStr">
        <is>
          <t>20260605000044</t>
        </is>
      </c>
      <c r="H9842" s="8">
        <f>HYPERLINK("https://dart.fss.or.kr/dsaf001/main.do?rcpNo=20260605000044", "공시열람")</f>
        <v/>
      </c>
    </row>
    <row r="9843">
      <c r="A9843" s="2" t="inlineStr">
        <is>
          <t>2026-06-05</t>
        </is>
      </c>
      <c r="B9843" s="3" t="inlineStr">
        <is>
          <t>현대차증권</t>
        </is>
      </c>
      <c r="C9843" s="2" t="inlineStr">
        <is>
          <t>코스피</t>
        </is>
      </c>
      <c r="D9843" s="2" t="inlineStr">
        <is>
          <t>001500</t>
        </is>
      </c>
      <c r="E9843" s="3" t="inlineStr">
        <is>
          <t>증권발행실적보고서</t>
        </is>
      </c>
      <c r="F9843" s="3" t="inlineStr">
        <is>
          <t>현대차증권</t>
        </is>
      </c>
      <c r="G9843" s="2" t="inlineStr">
        <is>
          <t>20260605000037</t>
        </is>
      </c>
      <c r="H9843" s="8">
        <f>HYPERLINK("https://dart.fss.or.kr/dsaf001/main.do?rcpNo=20260605000037", "공시열람")</f>
        <v/>
      </c>
    </row>
    <row r="9844">
      <c r="A9844" s="2" t="inlineStr">
        <is>
          <t>2026-06-05</t>
        </is>
      </c>
      <c r="B9844" s="3" t="inlineStr">
        <is>
          <t>유안타증권</t>
        </is>
      </c>
      <c r="C9844" s="2" t="inlineStr">
        <is>
          <t>코스피</t>
        </is>
      </c>
      <c r="D9844" s="2" t="inlineStr">
        <is>
          <t>003470</t>
        </is>
      </c>
      <c r="E9844" s="3" t="inlineStr">
        <is>
          <t>증권발행실적보고서</t>
        </is>
      </c>
      <c r="F9844" s="3" t="inlineStr">
        <is>
          <t>유안타증권</t>
        </is>
      </c>
      <c r="G9844" s="2" t="inlineStr">
        <is>
          <t>20260605000029</t>
        </is>
      </c>
      <c r="H9844" s="8">
        <f>HYPERLINK("https://dart.fss.or.kr/dsaf001/main.do?rcpNo=20260605000029", "공시열람")</f>
        <v/>
      </c>
    </row>
    <row r="9845">
      <c r="A9845" s="2" t="inlineStr">
        <is>
          <t>2026-06-05</t>
        </is>
      </c>
      <c r="B9845" s="3" t="inlineStr">
        <is>
          <t>동국산업</t>
        </is>
      </c>
      <c r="C9845" s="2" t="inlineStr">
        <is>
          <t>코스닥</t>
        </is>
      </c>
      <c r="D9845" s="2" t="inlineStr">
        <is>
          <t>005160</t>
        </is>
      </c>
      <c r="E9845" s="3" t="inlineStr">
        <is>
          <t>임원ㆍ주요주주특정증권등소유상황보고서</t>
        </is>
      </c>
      <c r="F9845" s="3" t="inlineStr">
        <is>
          <t>이원휘</t>
        </is>
      </c>
      <c r="G9845" s="2" t="inlineStr">
        <is>
          <t>20260605000015</t>
        </is>
      </c>
      <c r="H9845" s="8">
        <f>HYPERLINK("https://dart.fss.or.kr/dsaf001/main.do?rcpNo=20260605000015", "공시열람")</f>
        <v/>
      </c>
    </row>
    <row r="9846">
      <c r="A9846" s="2" t="inlineStr">
        <is>
          <t>2026-06-05</t>
        </is>
      </c>
      <c r="B9846" s="3" t="inlineStr">
        <is>
          <t>미래에셋증권</t>
        </is>
      </c>
      <c r="C9846" s="2" t="inlineStr">
        <is>
          <t>코스피</t>
        </is>
      </c>
      <c r="D9846" s="2" t="inlineStr">
        <is>
          <t>006800</t>
        </is>
      </c>
      <c r="E9846" s="3" t="inlineStr">
        <is>
          <t>투자설명서</t>
        </is>
      </c>
      <c r="F9846" s="3" t="inlineStr">
        <is>
          <t>미래에셋증권</t>
        </is>
      </c>
      <c r="G9846" s="2" t="inlineStr">
        <is>
          <t>20260605000003</t>
        </is>
      </c>
      <c r="H9846" s="8">
        <f>HYPERLINK("https://dart.fss.or.kr/dsaf001/main.do?rcpNo=20260605000003", "공시열람")</f>
        <v/>
      </c>
    </row>
    <row r="9847">
      <c r="A9847" s="2" t="inlineStr">
        <is>
          <t>2026-06-05</t>
        </is>
      </c>
      <c r="B9847" s="3" t="inlineStr">
        <is>
          <t>RF머트리얼즈</t>
        </is>
      </c>
      <c r="C9847" s="2" t="inlineStr">
        <is>
          <t>코스닥</t>
        </is>
      </c>
      <c r="D9847" s="2" t="inlineStr">
        <is>
          <t>327260</t>
        </is>
      </c>
      <c r="E9847" s="3" t="inlineStr">
        <is>
          <t>효력발생안내( 2026.5.19. 제출 증권신고서(지분증권) )</t>
        </is>
      </c>
      <c r="F9847" s="3" t="inlineStr">
        <is>
          <t>금융감독원</t>
        </is>
      </c>
      <c r="G9847" s="2" t="inlineStr">
        <is>
          <t>20260519100002</t>
        </is>
      </c>
      <c r="H9847" s="8">
        <f>HYPERLINK("https://dart.fss.or.kr/dsaf001/main.do?rcpNo=20260519100002", "공시열람")</f>
        <v/>
      </c>
    </row>
    <row r="9848">
      <c r="A9848" s="2" t="inlineStr">
        <is>
          <t>2026-06-05</t>
        </is>
      </c>
      <c r="B9848" s="3" t="inlineStr">
        <is>
          <t>HL홀딩스</t>
        </is>
      </c>
      <c r="C9848" s="2" t="inlineStr">
        <is>
          <t>코스피</t>
        </is>
      </c>
      <c r="D9848" s="2" t="inlineStr">
        <is>
          <t>060980</t>
        </is>
      </c>
      <c r="E9848" s="3" t="inlineStr">
        <is>
          <t>임원ㆍ주요주주특정증권등소유상황보고서</t>
        </is>
      </c>
      <c r="F9848" s="3" t="inlineStr">
        <is>
          <t>정지연</t>
        </is>
      </c>
      <c r="G9848" s="2" t="inlineStr">
        <is>
          <t>20260604000652</t>
        </is>
      </c>
      <c r="H9848" s="8">
        <f>HYPERLINK("https://dart.fss.or.kr/dsaf001/main.do?rcpNo=20260604000652", "공시열람")</f>
        <v/>
      </c>
    </row>
    <row r="9849">
      <c r="A9849" s="2" t="inlineStr">
        <is>
          <t>2026-06-05</t>
        </is>
      </c>
      <c r="B9849" s="3" t="inlineStr">
        <is>
          <t>공구우먼</t>
        </is>
      </c>
      <c r="C9849" s="2" t="inlineStr">
        <is>
          <t>코스닥</t>
        </is>
      </c>
      <c r="D9849" s="2" t="inlineStr">
        <is>
          <t>366030</t>
        </is>
      </c>
      <c r="E9849" s="3" t="inlineStr">
        <is>
          <t>임원ㆍ주요주주특정증권등소유상황보고서</t>
        </is>
      </c>
      <c r="F9849" s="3" t="inlineStr">
        <is>
          <t>티에스 2018-12 M&amp;A 투자조합</t>
        </is>
      </c>
      <c r="G9849" s="2" t="inlineStr">
        <is>
          <t>20260604000667</t>
        </is>
      </c>
      <c r="H9849" s="8">
        <f>HYPERLINK("https://dart.fss.or.kr/dsaf001/main.do?rcpNo=20260604000667", "공시열람")</f>
        <v/>
      </c>
    </row>
    <row r="9850">
      <c r="A9850" s="2" t="inlineStr">
        <is>
          <t>2026-06-05</t>
        </is>
      </c>
      <c r="B9850" s="3" t="inlineStr">
        <is>
          <t>워트</t>
        </is>
      </c>
      <c r="C9850" s="2" t="inlineStr">
        <is>
          <t>코스닥</t>
        </is>
      </c>
      <c r="D9850" s="2" t="inlineStr">
        <is>
          <t>396470</t>
        </is>
      </c>
      <c r="E9850" s="3" t="inlineStr">
        <is>
          <t>임원ㆍ주요주주특정증권등소유상황보고서</t>
        </is>
      </c>
      <c r="F9850" s="3" t="inlineStr">
        <is>
          <t>양귀철</t>
        </is>
      </c>
      <c r="G9850" s="2" t="inlineStr">
        <is>
          <t>20260604000660</t>
        </is>
      </c>
      <c r="H9850" s="8">
        <f>HYPERLINK("https://dart.fss.or.kr/dsaf001/main.do?rcpNo=20260604000660", "공시열람")</f>
        <v/>
      </c>
    </row>
    <row r="9851">
      <c r="A9851" s="2" t="inlineStr">
        <is>
          <t>2026-06-08</t>
        </is>
      </c>
      <c r="B9851" s="3" t="inlineStr">
        <is>
          <t>모바일어플라이언스</t>
        </is>
      </c>
      <c r="C9851" s="2" t="inlineStr">
        <is>
          <t>코스닥</t>
        </is>
      </c>
      <c r="D9851" s="2" t="inlineStr">
        <is>
          <t>087260</t>
        </is>
      </c>
      <c r="E9851" s="3" t="inlineStr">
        <is>
          <t>조회공시요구(풍문또는보도)              (대표 등 주요 경영진 횡령·배임 피소설)</t>
        </is>
      </c>
      <c r="F9851" s="3" t="inlineStr">
        <is>
          <t>코스닥시장본부</t>
        </is>
      </c>
      <c r="G9851" s="2" t="inlineStr">
        <is>
          <t>20260608901071</t>
        </is>
      </c>
      <c r="H9851" s="8">
        <f>HYPERLINK("https://dart.fss.or.kr/dsaf001/main.do?rcpNo=20260608901071", "공시열람")</f>
        <v/>
      </c>
    </row>
    <row r="9852">
      <c r="A9852" s="2" t="inlineStr">
        <is>
          <t>2026-06-08</t>
        </is>
      </c>
      <c r="B9852" s="3" t="inlineStr">
        <is>
          <t>셀피글로벌</t>
        </is>
      </c>
      <c r="C9852" s="2" t="inlineStr">
        <is>
          <t>코스닥</t>
        </is>
      </c>
      <c r="D9852" s="2" t="inlineStr">
        <is>
          <t>068940</t>
        </is>
      </c>
      <c r="E9852" s="3" t="inlineStr">
        <is>
          <t>주권매매거래정지기간변경              (투자자보호)</t>
        </is>
      </c>
      <c r="F9852" s="3" t="inlineStr">
        <is>
          <t>코스닥시장본부</t>
        </is>
      </c>
      <c r="G9852" s="2" t="inlineStr">
        <is>
          <t>20260608901066</t>
        </is>
      </c>
      <c r="H9852" s="8">
        <f>HYPERLINK("https://dart.fss.or.kr/dsaf001/main.do?rcpNo=20260608901066", "공시열람")</f>
        <v/>
      </c>
    </row>
    <row r="9853">
      <c r="A9853" s="2" t="inlineStr">
        <is>
          <t>2026-06-08</t>
        </is>
      </c>
      <c r="B9853" s="3" t="inlineStr">
        <is>
          <t>셀피글로벌</t>
        </is>
      </c>
      <c r="C9853" s="2" t="inlineStr">
        <is>
          <t>코스닥</t>
        </is>
      </c>
      <c r="D9853" s="2" t="inlineStr">
        <is>
          <t>068940</t>
        </is>
      </c>
      <c r="E9853" s="3" t="inlineStr">
        <is>
          <t>기타시장안내              (정리매매 보류 관련)</t>
        </is>
      </c>
      <c r="F9853" s="3" t="inlineStr">
        <is>
          <t>코스닥시장본부</t>
        </is>
      </c>
      <c r="G9853" s="2" t="inlineStr">
        <is>
          <t>20260608901068</t>
        </is>
      </c>
      <c r="H9853" s="8">
        <f>HYPERLINK("https://dart.fss.or.kr/dsaf001/main.do?rcpNo=20260608901068", "공시열람")</f>
        <v/>
      </c>
    </row>
    <row r="9854">
      <c r="A9854" s="2" t="inlineStr">
        <is>
          <t>2026-06-08</t>
        </is>
      </c>
      <c r="B9854" s="3" t="inlineStr">
        <is>
          <t>셀레스트라</t>
        </is>
      </c>
      <c r="C9854" s="2" t="inlineStr">
        <is>
          <t>코스닥</t>
        </is>
      </c>
      <c r="D9854" s="2" t="inlineStr">
        <is>
          <t>352770</t>
        </is>
      </c>
      <c r="E9854" s="3" t="inlineStr">
        <is>
          <t>주권매매거래정지해제              (상장폐지에 따른 정리매매 개시)</t>
        </is>
      </c>
      <c r="F9854" s="3" t="inlineStr">
        <is>
          <t>코스닥시장본부</t>
        </is>
      </c>
      <c r="G9854" s="2" t="inlineStr">
        <is>
          <t>20260608901060</t>
        </is>
      </c>
      <c r="H9854" s="8">
        <f>HYPERLINK("https://dart.fss.or.kr/dsaf001/main.do?rcpNo=20260608901060", "공시열람")</f>
        <v/>
      </c>
    </row>
    <row r="9855">
      <c r="A9855" s="2" t="inlineStr">
        <is>
          <t>2026-06-08</t>
        </is>
      </c>
      <c r="B9855" s="3" t="inlineStr">
        <is>
          <t>셀레스트라</t>
        </is>
      </c>
      <c r="C9855" s="2" t="inlineStr">
        <is>
          <t>코스닥</t>
        </is>
      </c>
      <c r="D9855" s="2" t="inlineStr">
        <is>
          <t>352770</t>
        </is>
      </c>
      <c r="E9855" s="3" t="inlineStr">
        <is>
          <t>기타시장안내              (기업심사위원회 심의·의결 결과 안내)</t>
        </is>
      </c>
      <c r="F9855" s="3" t="inlineStr">
        <is>
          <t>코스닥시장본부</t>
        </is>
      </c>
      <c r="G9855" s="2" t="inlineStr">
        <is>
          <t>20260608901062</t>
        </is>
      </c>
      <c r="H9855" s="8">
        <f>HYPERLINK("https://dart.fss.or.kr/dsaf001/main.do?rcpNo=20260608901062", "공시열람")</f>
        <v/>
      </c>
    </row>
    <row r="9856">
      <c r="A9856" s="2" t="inlineStr">
        <is>
          <t>2026-06-08</t>
        </is>
      </c>
      <c r="B9856" s="3" t="inlineStr">
        <is>
          <t>티에스넥스젠</t>
        </is>
      </c>
      <c r="C9856" s="2" t="inlineStr">
        <is>
          <t>코스닥</t>
        </is>
      </c>
      <c r="D9856" s="2" t="inlineStr">
        <is>
          <t>043220</t>
        </is>
      </c>
      <c r="E9856" s="3" t="inlineStr">
        <is>
          <t>주권매매거래정지해제              (상장폐지에 따른 정리매매 개시)</t>
        </is>
      </c>
      <c r="F9856" s="3" t="inlineStr">
        <is>
          <t>코스닥시장본부</t>
        </is>
      </c>
      <c r="G9856" s="2" t="inlineStr">
        <is>
          <t>20260608901053</t>
        </is>
      </c>
      <c r="H9856" s="8">
        <f>HYPERLINK("https://dart.fss.or.kr/dsaf001/main.do?rcpNo=20260608901053", "공시열람")</f>
        <v/>
      </c>
    </row>
    <row r="9857">
      <c r="A9857" s="2" t="inlineStr">
        <is>
          <t>2026-06-08</t>
        </is>
      </c>
      <c r="B9857" s="3" t="inlineStr">
        <is>
          <t>티에스넥스젠</t>
        </is>
      </c>
      <c r="C9857" s="2" t="inlineStr">
        <is>
          <t>코스닥</t>
        </is>
      </c>
      <c r="D9857" s="2" t="inlineStr">
        <is>
          <t>043220</t>
        </is>
      </c>
      <c r="E9857" s="3" t="inlineStr">
        <is>
          <t>기타시장안내              (기업심사위원회 심의·의결 결과 안내)</t>
        </is>
      </c>
      <c r="F9857" s="3" t="inlineStr">
        <is>
          <t>코스닥시장본부</t>
        </is>
      </c>
      <c r="G9857" s="2" t="inlineStr">
        <is>
          <t>20260608901046</t>
        </is>
      </c>
      <c r="H9857" s="8">
        <f>HYPERLINK("https://dart.fss.or.kr/dsaf001/main.do?rcpNo=20260608901046", "공시열람")</f>
        <v/>
      </c>
    </row>
    <row r="9858">
      <c r="A9858" s="2" t="inlineStr">
        <is>
          <t>2026-06-08</t>
        </is>
      </c>
      <c r="B9858" s="3" t="inlineStr">
        <is>
          <t>셀피글로벌</t>
        </is>
      </c>
      <c r="C9858" s="2" t="inlineStr">
        <is>
          <t>코스닥</t>
        </is>
      </c>
      <c r="D9858" s="2" t="inlineStr">
        <is>
          <t>068940</t>
        </is>
      </c>
      <c r="E9858" s="3" t="inlineStr">
        <is>
          <t>기타경영사항(자율공시)              (상장폐지결정 등 효력정지가처분신청 인용결정)</t>
        </is>
      </c>
      <c r="F9858" s="3" t="inlineStr">
        <is>
          <t>셀피글로벌</t>
        </is>
      </c>
      <c r="G9858" s="2" t="inlineStr">
        <is>
          <t>20260608901022</t>
        </is>
      </c>
      <c r="H9858" s="8">
        <f>HYPERLINK("https://dart.fss.or.kr/dsaf001/main.do?rcpNo=20260608901022", "공시열람")</f>
        <v/>
      </c>
    </row>
    <row r="9859">
      <c r="A9859" s="2" t="inlineStr">
        <is>
          <t>2026-06-08</t>
        </is>
      </c>
      <c r="B9859" s="3" t="inlineStr">
        <is>
          <t>파라택시스코리아</t>
        </is>
      </c>
      <c r="C9859" s="2" t="inlineStr">
        <is>
          <t>코스닥</t>
        </is>
      </c>
      <c r="D9859" s="2" t="inlineStr">
        <is>
          <t>288330</t>
        </is>
      </c>
      <c r="E9859" s="3" t="inlineStr">
        <is>
          <t>기타시장안내              (개선계획서 제출)</t>
        </is>
      </c>
      <c r="F9859" s="3" t="inlineStr">
        <is>
          <t>코스닥시장본부</t>
        </is>
      </c>
      <c r="G9859" s="2" t="inlineStr">
        <is>
          <t>20260608901044</t>
        </is>
      </c>
      <c r="H9859" s="8">
        <f>HYPERLINK("https://dart.fss.or.kr/dsaf001/main.do?rcpNo=20260608901044", "공시열람")</f>
        <v/>
      </c>
    </row>
    <row r="9860">
      <c r="A9860" s="2" t="inlineStr">
        <is>
          <t>2026-06-08</t>
        </is>
      </c>
      <c r="B9860" s="3" t="inlineStr">
        <is>
          <t>SV인베스트먼트</t>
        </is>
      </c>
      <c r="C9860" s="2" t="inlineStr">
        <is>
          <t>코스닥</t>
        </is>
      </c>
      <c r="D9860" s="2" t="inlineStr">
        <is>
          <t>289080</t>
        </is>
      </c>
      <c r="E9860" s="3" t="inlineStr">
        <is>
          <t>의결권대리행사권유참고서류</t>
        </is>
      </c>
      <c r="F9860" s="3" t="inlineStr">
        <is>
          <t>SV인베스트먼트</t>
        </is>
      </c>
      <c r="G9860" s="2" t="inlineStr">
        <is>
          <t>20260608000470</t>
        </is>
      </c>
      <c r="H9860" s="8">
        <f>HYPERLINK("https://dart.fss.or.kr/dsaf001/main.do?rcpNo=20260608000470", "공시열람")</f>
        <v/>
      </c>
    </row>
    <row r="9861">
      <c r="A9861" s="2" t="inlineStr">
        <is>
          <t>2026-06-08</t>
        </is>
      </c>
      <c r="B9861" s="3" t="inlineStr">
        <is>
          <t>OCI홀딩스</t>
        </is>
      </c>
      <c r="C9861" s="2" t="inlineStr">
        <is>
          <t>코스피</t>
        </is>
      </c>
      <c r="D9861" s="2" t="inlineStr">
        <is>
          <t>010060</t>
        </is>
      </c>
      <c r="E9861" s="3" t="inlineStr">
        <is>
          <t xml:space="preserve">중대재해발생(자회사의 주요경영사항)              </t>
        </is>
      </c>
      <c r="F9861" s="3" t="inlineStr">
        <is>
          <t>OCI홀딩스</t>
        </is>
      </c>
      <c r="G9861" s="2" t="inlineStr">
        <is>
          <t>20260608801017</t>
        </is>
      </c>
      <c r="H9861" s="8">
        <f>HYPERLINK("https://dart.fss.or.kr/dsaf001/main.do?rcpNo=20260608801017", "공시열람")</f>
        <v/>
      </c>
    </row>
    <row r="9862">
      <c r="A9862" s="2" t="inlineStr">
        <is>
          <t>2026-06-08</t>
        </is>
      </c>
      <c r="B9862" s="3" t="inlineStr">
        <is>
          <t>한전기술</t>
        </is>
      </c>
      <c r="C9862" s="2" t="inlineStr">
        <is>
          <t>코스피</t>
        </is>
      </c>
      <c r="D9862" s="2" t="inlineStr">
        <is>
          <t>052690</t>
        </is>
      </c>
      <c r="E9862" s="3" t="inlineStr">
        <is>
          <t xml:space="preserve">주주명부폐쇄기간또는기준일설정              </t>
        </is>
      </c>
      <c r="F9862" s="3" t="inlineStr">
        <is>
          <t>한전기술</t>
        </is>
      </c>
      <c r="G9862" s="2" t="inlineStr">
        <is>
          <t>20260608800972</t>
        </is>
      </c>
      <c r="H9862" s="8">
        <f>HYPERLINK("https://dart.fss.or.kr/dsaf001/main.do?rcpNo=20260608800972", "공시열람")</f>
        <v/>
      </c>
    </row>
    <row r="9863">
      <c r="A9863" s="2" t="inlineStr">
        <is>
          <t>2026-06-08</t>
        </is>
      </c>
      <c r="B9863" s="3" t="inlineStr">
        <is>
          <t>아이로보틱스</t>
        </is>
      </c>
      <c r="C9863" s="2" t="inlineStr">
        <is>
          <t>코스닥</t>
        </is>
      </c>
      <c r="D9863" s="2" t="inlineStr">
        <is>
          <t>066430</t>
        </is>
      </c>
      <c r="E9863" s="3" t="inlineStr">
        <is>
          <t xml:space="preserve">조회공시요구(현저한시황변동)              </t>
        </is>
      </c>
      <c r="F9863" s="3" t="inlineStr">
        <is>
          <t>코스닥시장본부</t>
        </is>
      </c>
      <c r="G9863" s="2" t="inlineStr">
        <is>
          <t>20260608901015</t>
        </is>
      </c>
      <c r="H9863" s="8">
        <f>HYPERLINK("https://dart.fss.or.kr/dsaf001/main.do?rcpNo=20260608901015", "공시열람")</f>
        <v/>
      </c>
    </row>
    <row r="9864">
      <c r="A9864" s="2" t="inlineStr">
        <is>
          <t>2026-06-08</t>
        </is>
      </c>
      <c r="B9864" s="3" t="inlineStr">
        <is>
          <t>OCI</t>
        </is>
      </c>
      <c r="C9864" s="2" t="inlineStr">
        <is>
          <t>코스피</t>
        </is>
      </c>
      <c r="D9864" s="2" t="inlineStr">
        <is>
          <t>456040</t>
        </is>
      </c>
      <c r="E9864" s="3" t="inlineStr">
        <is>
          <t xml:space="preserve">중대재해발생              </t>
        </is>
      </c>
      <c r="F9864" s="3" t="inlineStr">
        <is>
          <t>OCI</t>
        </is>
      </c>
      <c r="G9864" s="2" t="inlineStr">
        <is>
          <t>20260608801006</t>
        </is>
      </c>
      <c r="H9864" s="8">
        <f>HYPERLINK("https://dart.fss.or.kr/dsaf001/main.do?rcpNo=20260608801006", "공시열람")</f>
        <v/>
      </c>
    </row>
    <row r="9865">
      <c r="A9865" s="2" t="inlineStr">
        <is>
          <t>2026-06-08</t>
        </is>
      </c>
      <c r="B9865" s="3" t="inlineStr">
        <is>
          <t>아이윈</t>
        </is>
      </c>
      <c r="C9865" s="2" t="inlineStr">
        <is>
          <t>코스닥</t>
        </is>
      </c>
      <c r="D9865" s="2" t="inlineStr">
        <is>
          <t>090150</t>
        </is>
      </c>
      <c r="E9865" s="3" t="inlineStr">
        <is>
          <t>의결권대리행사권유참고서류</t>
        </is>
      </c>
      <c r="F9865" s="3" t="inlineStr">
        <is>
          <t>아이윈</t>
        </is>
      </c>
      <c r="G9865" s="2" t="inlineStr">
        <is>
          <t>20260608000460</t>
        </is>
      </c>
      <c r="H9865" s="8">
        <f>HYPERLINK("https://dart.fss.or.kr/dsaf001/main.do?rcpNo=20260608000460", "공시열람")</f>
        <v/>
      </c>
    </row>
    <row r="9866">
      <c r="A9866" s="2" t="inlineStr">
        <is>
          <t>2026-06-08</t>
        </is>
      </c>
      <c r="B9866" s="3" t="inlineStr">
        <is>
          <t>알로이스</t>
        </is>
      </c>
      <c r="C9866" s="2" t="inlineStr">
        <is>
          <t>코스닥</t>
        </is>
      </c>
      <c r="D9866" s="2" t="inlineStr">
        <is>
          <t>297570</t>
        </is>
      </c>
      <c r="E9866" s="3" t="inlineStr">
        <is>
          <t>임원ㆍ주요주주특정증권등소유상황보고서</t>
        </is>
      </c>
      <c r="F9866" s="3" t="inlineStr">
        <is>
          <t>권충식</t>
        </is>
      </c>
      <c r="G9866" s="2" t="inlineStr">
        <is>
          <t>20260608000459</t>
        </is>
      </c>
      <c r="H9866" s="8">
        <f>HYPERLINK("https://dart.fss.or.kr/dsaf001/main.do?rcpNo=20260608000459", "공시열람")</f>
        <v/>
      </c>
    </row>
    <row r="9867">
      <c r="A9867" s="2" t="inlineStr">
        <is>
          <t>2026-06-08</t>
        </is>
      </c>
      <c r="B9867" s="3" t="inlineStr">
        <is>
          <t>경남제약</t>
        </is>
      </c>
      <c r="C9867" s="2" t="inlineStr">
        <is>
          <t>코스닥</t>
        </is>
      </c>
      <c r="D9867" s="2" t="inlineStr">
        <is>
          <t>053950</t>
        </is>
      </c>
      <c r="E9867" s="3" t="inlineStr">
        <is>
          <t>정정신고서제출요구( 2026.05.21. 제출 증권신고서(지분증권) )</t>
        </is>
      </c>
      <c r="F9867" s="3" t="inlineStr">
        <is>
          <t>금융감독원</t>
        </is>
      </c>
      <c r="G9867" s="2" t="inlineStr">
        <is>
          <t>20260608100024</t>
        </is>
      </c>
      <c r="H9867" s="8">
        <f>HYPERLINK("https://dart.fss.or.kr/dsaf001/main.do?rcpNo=20260608100024", "공시열람")</f>
        <v/>
      </c>
    </row>
    <row r="9868">
      <c r="A9868" s="2" t="inlineStr">
        <is>
          <t>2026-06-08</t>
        </is>
      </c>
      <c r="B9868" s="3" t="inlineStr">
        <is>
          <t>크레오에스지</t>
        </is>
      </c>
      <c r="C9868" s="2" t="inlineStr">
        <is>
          <t>코스닥</t>
        </is>
      </c>
      <c r="D9868" s="2" t="inlineStr">
        <is>
          <t>040350</t>
        </is>
      </c>
      <c r="E9868" s="3" t="inlineStr">
        <is>
          <t xml:space="preserve">조회공시요구(현저한시황변동)              </t>
        </is>
      </c>
      <c r="F9868" s="3" t="inlineStr">
        <is>
          <t>코스닥시장본부</t>
        </is>
      </c>
      <c r="G9868" s="2" t="inlineStr">
        <is>
          <t>20260608900984</t>
        </is>
      </c>
      <c r="H9868" s="8">
        <f>HYPERLINK("https://dart.fss.or.kr/dsaf001/main.do?rcpNo=20260608900984", "공시열람")</f>
        <v/>
      </c>
    </row>
    <row r="9869">
      <c r="A9869" s="2" t="inlineStr">
        <is>
          <t>2026-06-08 (정정: 2026-06-09)</t>
        </is>
      </c>
      <c r="B9869" s="3" t="inlineStr">
        <is>
          <t>핀텔</t>
        </is>
      </c>
      <c r="C9869" s="2" t="inlineStr">
        <is>
          <t>코스닥</t>
        </is>
      </c>
      <c r="D9869" s="2" t="inlineStr">
        <is>
          <t>291810</t>
        </is>
      </c>
      <c r="E9869" s="3" t="inlineStr">
        <is>
          <t>조회공시요구(현저한시황변동)               (정정: 20260609)</t>
        </is>
      </c>
      <c r="F9869" s="3" t="inlineStr">
        <is>
          <t>코스닥시장본부</t>
        </is>
      </c>
      <c r="G9869" s="2" t="inlineStr">
        <is>
          <t>20260609900884</t>
        </is>
      </c>
      <c r="H9869" s="8">
        <f>HYPERLINK("https://dart.fss.or.kr/dsaf001/main.do?rcpNo=20260609900884", "공시열람")</f>
        <v/>
      </c>
    </row>
    <row r="9870">
      <c r="A9870" s="2" t="inlineStr">
        <is>
          <t>2026-06-08</t>
        </is>
      </c>
      <c r="B9870" s="3" t="inlineStr">
        <is>
          <t>손오공</t>
        </is>
      </c>
      <c r="C9870" s="2" t="inlineStr">
        <is>
          <t>코스닥</t>
        </is>
      </c>
      <c r="D9870" s="2" t="inlineStr">
        <is>
          <t>066910</t>
        </is>
      </c>
      <c r="E9870" s="3" t="inlineStr">
        <is>
          <t>주권매매거래정지해제              (액면병합 주권 변경상장)</t>
        </is>
      </c>
      <c r="F9870" s="3" t="inlineStr">
        <is>
          <t>코스닥시장본부</t>
        </is>
      </c>
      <c r="G9870" s="2" t="inlineStr">
        <is>
          <t>20260608900959</t>
        </is>
      </c>
      <c r="H9870" s="8">
        <f>HYPERLINK("https://dart.fss.or.kr/dsaf001/main.do?rcpNo=20260608900959", "공시열람")</f>
        <v/>
      </c>
    </row>
    <row r="9871">
      <c r="A9871" s="2" t="inlineStr">
        <is>
          <t>2026-06-08</t>
        </is>
      </c>
      <c r="B9871" s="3" t="inlineStr">
        <is>
          <t>아즈텍WB</t>
        </is>
      </c>
      <c r="C9871" s="2" t="inlineStr">
        <is>
          <t>코스닥</t>
        </is>
      </c>
      <c r="D9871" s="2" t="inlineStr">
        <is>
          <t>032080</t>
        </is>
      </c>
      <c r="E9871" s="3" t="inlineStr">
        <is>
          <t>임원ㆍ주요주주특정증권등소유상황보고서</t>
        </is>
      </c>
      <c r="F9871" s="3" t="inlineStr">
        <is>
          <t>제원아이엔씨</t>
        </is>
      </c>
      <c r="G9871" s="2" t="inlineStr">
        <is>
          <t>20260608000448</t>
        </is>
      </c>
      <c r="H9871" s="8">
        <f>HYPERLINK("https://dart.fss.or.kr/dsaf001/main.do?rcpNo=20260608000448", "공시열람")</f>
        <v/>
      </c>
    </row>
    <row r="9872">
      <c r="A9872" s="2" t="inlineStr">
        <is>
          <t>2026-06-08</t>
        </is>
      </c>
      <c r="B9872" s="3" t="inlineStr">
        <is>
          <t>에코마케팅</t>
        </is>
      </c>
      <c r="C9872" s="2" t="inlineStr">
        <is>
          <t>코스닥</t>
        </is>
      </c>
      <c r="D9872" s="2" t="inlineStr">
        <is>
          <t>230360</t>
        </is>
      </c>
      <c r="E9872" s="3" t="inlineStr">
        <is>
          <t>주권매매거래정지              (주식의 병합, 분할 등 전자등록 변경, 말소)</t>
        </is>
      </c>
      <c r="F9872" s="3" t="inlineStr">
        <is>
          <t>코스닥시장본부</t>
        </is>
      </c>
      <c r="G9872" s="2" t="inlineStr">
        <is>
          <t>20260608900933</t>
        </is>
      </c>
      <c r="H9872" s="8">
        <f>HYPERLINK("https://dart.fss.or.kr/dsaf001/main.do?rcpNo=20260608900933", "공시열람")</f>
        <v/>
      </c>
    </row>
    <row r="9873">
      <c r="A9873" s="2" t="inlineStr">
        <is>
          <t>2026-06-08</t>
        </is>
      </c>
      <c r="B9873" s="3" t="inlineStr">
        <is>
          <t>SK디스커버리</t>
        </is>
      </c>
      <c r="C9873" s="2" t="inlineStr">
        <is>
          <t>코스피</t>
        </is>
      </c>
      <c r="D9873" s="2" t="inlineStr">
        <is>
          <t>006120</t>
        </is>
      </c>
      <c r="E9873" s="3" t="inlineStr">
        <is>
          <t>신탁계약에의한취득상황보고서</t>
        </is>
      </c>
      <c r="F9873" s="3" t="inlineStr">
        <is>
          <t>SK디스커버리</t>
        </is>
      </c>
      <c r="G9873" s="2" t="inlineStr">
        <is>
          <t>20260608000445</t>
        </is>
      </c>
      <c r="H9873" s="8">
        <f>HYPERLINK("https://dart.fss.or.kr/dsaf001/main.do?rcpNo=20260608000445", "공시열람")</f>
        <v/>
      </c>
    </row>
    <row r="9874">
      <c r="A9874" s="2" t="inlineStr">
        <is>
          <t>2026-06-08</t>
        </is>
      </c>
      <c r="B9874" s="3" t="inlineStr">
        <is>
          <t>KCC건설</t>
        </is>
      </c>
      <c r="C9874" s="2" t="inlineStr">
        <is>
          <t>코스닥</t>
        </is>
      </c>
      <c r="D9874" s="2" t="inlineStr">
        <is>
          <t>021320</t>
        </is>
      </c>
      <c r="E9874" s="3" t="inlineStr">
        <is>
          <t xml:space="preserve">중대재해발생              </t>
        </is>
      </c>
      <c r="F9874" s="3" t="inlineStr">
        <is>
          <t>KCC건설</t>
        </is>
      </c>
      <c r="G9874" s="2" t="inlineStr">
        <is>
          <t>20260608900971</t>
        </is>
      </c>
      <c r="H9874" s="8">
        <f>HYPERLINK("https://dart.fss.or.kr/dsaf001/main.do?rcpNo=20260608900971", "공시열람")</f>
        <v/>
      </c>
    </row>
    <row r="9875">
      <c r="A9875" s="2" t="inlineStr">
        <is>
          <t>2026-06-08</t>
        </is>
      </c>
      <c r="B9875" s="3" t="inlineStr">
        <is>
          <t>유니슨</t>
        </is>
      </c>
      <c r="C9875" s="2" t="inlineStr">
        <is>
          <t>코스닥</t>
        </is>
      </c>
      <c r="D9875" s="2" t="inlineStr">
        <is>
          <t>018000</t>
        </is>
      </c>
      <c r="E9875" s="3" t="inlineStr">
        <is>
          <t>증권발행결과(자율공시)              (제18회차 CB)</t>
        </is>
      </c>
      <c r="F9875" s="3" t="inlineStr">
        <is>
          <t>유니슨</t>
        </is>
      </c>
      <c r="G9875" s="2" t="inlineStr">
        <is>
          <t>20260608900960</t>
        </is>
      </c>
      <c r="H9875" s="8">
        <f>HYPERLINK("https://dart.fss.or.kr/dsaf001/main.do?rcpNo=20260608900960", "공시열람")</f>
        <v/>
      </c>
    </row>
    <row r="9876">
      <c r="A9876" s="2" t="inlineStr">
        <is>
          <t>2026-06-08 (정정: 2026-06-18)</t>
        </is>
      </c>
      <c r="B9876" s="3" t="inlineStr">
        <is>
          <t>클로봇</t>
        </is>
      </c>
      <c r="C9876" s="2" t="inlineStr">
        <is>
          <t>코스닥</t>
        </is>
      </c>
      <c r="D9876" s="2" t="inlineStr">
        <is>
          <t>466100</t>
        </is>
      </c>
      <c r="E9876" s="3" t="inlineStr">
        <is>
          <t>소송등의제기ㆍ신청(일정금액이상의청구)               (정정: 20260618)</t>
        </is>
      </c>
      <c r="F9876" s="3" t="inlineStr">
        <is>
          <t>클로봇</t>
        </is>
      </c>
      <c r="G9876" s="2" t="inlineStr">
        <is>
          <t>20260618000356</t>
        </is>
      </c>
      <c r="H9876" s="8">
        <f>HYPERLINK("https://dart.fss.or.kr/dsaf001/main.do?rcpNo=20260618000356", "공시열람")</f>
        <v/>
      </c>
    </row>
    <row r="9877">
      <c r="A9877" s="2" t="inlineStr">
        <is>
          <t>2026-06-08</t>
        </is>
      </c>
      <c r="B9877" s="3" t="inlineStr">
        <is>
          <t>성호전자</t>
        </is>
      </c>
      <c r="C9877" s="2" t="inlineStr">
        <is>
          <t>코스닥</t>
        </is>
      </c>
      <c r="D9877" s="2" t="inlineStr">
        <is>
          <t>043260</t>
        </is>
      </c>
      <c r="E9877" s="3" t="inlineStr">
        <is>
          <t>임원ㆍ주요주주특정증권등소유상황보고서</t>
        </is>
      </c>
      <c r="F9877" s="3" t="inlineStr">
        <is>
          <t>서룡전자</t>
        </is>
      </c>
      <c r="G9877" s="2" t="inlineStr">
        <is>
          <t>20260608000437</t>
        </is>
      </c>
      <c r="H9877" s="8">
        <f>HYPERLINK("https://dart.fss.or.kr/dsaf001/main.do?rcpNo=20260608000437", "공시열람")</f>
        <v/>
      </c>
    </row>
    <row r="9878">
      <c r="A9878" s="2" t="inlineStr">
        <is>
          <t>2026-06-08</t>
        </is>
      </c>
      <c r="B9878" s="3" t="inlineStr">
        <is>
          <t>THE CUBE&amp;</t>
        </is>
      </c>
      <c r="C9878" s="2" t="inlineStr">
        <is>
          <t>코스닥</t>
        </is>
      </c>
      <c r="D9878" s="2" t="inlineStr">
        <is>
          <t>013720</t>
        </is>
      </c>
      <c r="E9878" s="3" t="inlineStr">
        <is>
          <t xml:space="preserve">조회공시요구(현저한시황변동)              </t>
        </is>
      </c>
      <c r="F9878" s="3" t="inlineStr">
        <is>
          <t>코스닥시장본부</t>
        </is>
      </c>
      <c r="G9878" s="2" t="inlineStr">
        <is>
          <t>20260608900950</t>
        </is>
      </c>
      <c r="H9878" s="8">
        <f>HYPERLINK("https://dart.fss.or.kr/dsaf001/main.do?rcpNo=20260608900950", "공시열람")</f>
        <v/>
      </c>
    </row>
    <row r="9879">
      <c r="A9879" s="2" t="inlineStr">
        <is>
          <t>2026-06-08</t>
        </is>
      </c>
      <c r="B9879" s="3" t="inlineStr">
        <is>
          <t>씨메스로보틱스</t>
        </is>
      </c>
      <c r="C9879" s="2" t="inlineStr">
        <is>
          <t>코스닥</t>
        </is>
      </c>
      <c r="D9879" s="2" t="inlineStr">
        <is>
          <t>475400</t>
        </is>
      </c>
      <c r="E9879" s="3" t="inlineStr">
        <is>
          <t>임원ㆍ주요주주특정증권등소유상황보고서</t>
        </is>
      </c>
      <c r="F9879" s="3" t="inlineStr">
        <is>
          <t>김명종</t>
        </is>
      </c>
      <c r="G9879" s="2" t="inlineStr">
        <is>
          <t>20260608000432</t>
        </is>
      </c>
      <c r="H9879" s="8">
        <f>HYPERLINK("https://dart.fss.or.kr/dsaf001/main.do?rcpNo=20260608000432", "공시열람")</f>
        <v/>
      </c>
    </row>
    <row r="9880">
      <c r="A9880" s="2" t="inlineStr">
        <is>
          <t>2026-06-08</t>
        </is>
      </c>
      <c r="B9880" s="3" t="inlineStr">
        <is>
          <t>지아이이노베이션</t>
        </is>
      </c>
      <c r="C9880" s="2" t="inlineStr">
        <is>
          <t>코스닥</t>
        </is>
      </c>
      <c r="D9880" s="2" t="inlineStr">
        <is>
          <t>358570</t>
        </is>
      </c>
      <c r="E9880" s="3" t="inlineStr">
        <is>
          <t>투자판단관련주요경영사항(임상시험계획변경승인신청)              (진행성 또는 전이성 고형암 시험대상자를 대상으로 GI108 단일 요법의 안전성, 내약성, 약동학 및 치료효과를 평가하기 위한 제1/2a상 임상시험 계획 변경승인신청)</t>
        </is>
      </c>
      <c r="F9880" s="3" t="inlineStr">
        <is>
          <t>지아이이노베이션</t>
        </is>
      </c>
      <c r="G9880" s="2" t="inlineStr">
        <is>
          <t>20260608900888</t>
        </is>
      </c>
      <c r="H9880" s="8">
        <f>HYPERLINK("https://dart.fss.or.kr/dsaf001/main.do?rcpNo=20260608900888", "공시열람")</f>
        <v/>
      </c>
    </row>
    <row r="9881">
      <c r="A9881" s="2" t="inlineStr">
        <is>
          <t>2026-06-08</t>
        </is>
      </c>
      <c r="B9881" s="3" t="inlineStr">
        <is>
          <t>KG스틸</t>
        </is>
      </c>
      <c r="C9881" s="2" t="inlineStr">
        <is>
          <t>코스피</t>
        </is>
      </c>
      <c r="D9881" s="2" t="inlineStr">
        <is>
          <t>016380</t>
        </is>
      </c>
      <c r="E9881" s="3" t="inlineStr">
        <is>
          <t>자기주식처분결과보고서</t>
        </is>
      </c>
      <c r="F9881" s="3" t="inlineStr">
        <is>
          <t>KG스틸</t>
        </is>
      </c>
      <c r="G9881" s="2" t="inlineStr">
        <is>
          <t>20260608000431</t>
        </is>
      </c>
      <c r="H9881" s="8">
        <f>HYPERLINK("https://dart.fss.or.kr/dsaf001/main.do?rcpNo=20260608000431", "공시열람")</f>
        <v/>
      </c>
    </row>
    <row r="9882">
      <c r="A9882" s="2" t="inlineStr">
        <is>
          <t>2026-06-08</t>
        </is>
      </c>
      <c r="B9882" s="3" t="inlineStr">
        <is>
          <t>글로벌텍스프리</t>
        </is>
      </c>
      <c r="C9882" s="2" t="inlineStr">
        <is>
          <t>코스닥</t>
        </is>
      </c>
      <c r="D9882" s="2" t="inlineStr">
        <is>
          <t>204620</t>
        </is>
      </c>
      <c r="E9882" s="3" t="inlineStr">
        <is>
          <t>임원ㆍ주요주주특정증권등소유상황보고서</t>
        </is>
      </c>
      <c r="F9882" s="3" t="inlineStr">
        <is>
          <t>제이에스아이홀딩스</t>
        </is>
      </c>
      <c r="G9882" s="2" t="inlineStr">
        <is>
          <t>20260608000430</t>
        </is>
      </c>
      <c r="H9882" s="8">
        <f>HYPERLINK("https://dart.fss.or.kr/dsaf001/main.do?rcpNo=20260608000430", "공시열람")</f>
        <v/>
      </c>
    </row>
    <row r="9883">
      <c r="A9883" s="2" t="inlineStr">
        <is>
          <t>2026-06-08</t>
        </is>
      </c>
      <c r="B9883" s="3" t="inlineStr">
        <is>
          <t>알로이스</t>
        </is>
      </c>
      <c r="C9883" s="2" t="inlineStr">
        <is>
          <t>코스닥</t>
        </is>
      </c>
      <c r="D9883" s="2" t="inlineStr">
        <is>
          <t>297570</t>
        </is>
      </c>
      <c r="E9883" s="3" t="inlineStr">
        <is>
          <t>임원ㆍ주요주주특정증권등소유상황보고서</t>
        </is>
      </c>
      <c r="F9883" s="3" t="inlineStr">
        <is>
          <t>로아앤코홀딩스</t>
        </is>
      </c>
      <c r="G9883" s="2" t="inlineStr">
        <is>
          <t>20260608000429</t>
        </is>
      </c>
      <c r="H9883" s="8">
        <f>HYPERLINK("https://dart.fss.or.kr/dsaf001/main.do?rcpNo=20260608000429", "공시열람")</f>
        <v/>
      </c>
    </row>
    <row r="9884">
      <c r="A9884" s="2" t="inlineStr">
        <is>
          <t>2026-06-08</t>
        </is>
      </c>
      <c r="B9884" s="3" t="inlineStr">
        <is>
          <t>신영증권</t>
        </is>
      </c>
      <c r="C9884" s="2" t="inlineStr">
        <is>
          <t>코스피</t>
        </is>
      </c>
      <c r="D9884" s="2" t="inlineStr">
        <is>
          <t>001720</t>
        </is>
      </c>
      <c r="E9884" s="3" t="inlineStr">
        <is>
          <t>증권발행실적보고서</t>
        </is>
      </c>
      <c r="F9884" s="3" t="inlineStr">
        <is>
          <t>신영증권</t>
        </is>
      </c>
      <c r="G9884" s="2" t="inlineStr">
        <is>
          <t>20260608000426</t>
        </is>
      </c>
      <c r="H9884" s="8">
        <f>HYPERLINK("https://dart.fss.or.kr/dsaf001/main.do?rcpNo=20260608000426", "공시열람")</f>
        <v/>
      </c>
    </row>
    <row r="9885">
      <c r="A9885" s="2" t="inlineStr">
        <is>
          <t>2026-06-08</t>
        </is>
      </c>
      <c r="B9885" s="3" t="inlineStr">
        <is>
          <t>파크시스템스</t>
        </is>
      </c>
      <c r="C9885" s="2" t="inlineStr">
        <is>
          <t>코스닥</t>
        </is>
      </c>
      <c r="D9885" s="2" t="inlineStr">
        <is>
          <t>140860</t>
        </is>
      </c>
      <c r="E9885" s="3" t="inlineStr">
        <is>
          <t xml:space="preserve">증권발행결과(자율공시)              </t>
        </is>
      </c>
      <c r="F9885" s="3" t="inlineStr">
        <is>
          <t>파크시스템스</t>
        </is>
      </c>
      <c r="G9885" s="2" t="inlineStr">
        <is>
          <t>20260608900938</t>
        </is>
      </c>
      <c r="H9885" s="8">
        <f>HYPERLINK("https://dart.fss.or.kr/dsaf001/main.do?rcpNo=20260608900938", "공시열람")</f>
        <v/>
      </c>
    </row>
    <row r="9886">
      <c r="A9886" s="2" t="inlineStr">
        <is>
          <t>2026-06-08</t>
        </is>
      </c>
      <c r="B9886" s="3" t="inlineStr">
        <is>
          <t>유안타증권</t>
        </is>
      </c>
      <c r="C9886" s="2" t="inlineStr">
        <is>
          <t>코스피</t>
        </is>
      </c>
      <c r="D9886" s="2" t="inlineStr">
        <is>
          <t>003470</t>
        </is>
      </c>
      <c r="E9886" s="3" t="inlineStr">
        <is>
          <t>임원ㆍ주요주주특정증권등소유상황보고서</t>
        </is>
      </c>
      <c r="F9886" s="3" t="inlineStr">
        <is>
          <t>박호영</t>
        </is>
      </c>
      <c r="G9886" s="2" t="inlineStr">
        <is>
          <t>20260608000424</t>
        </is>
      </c>
      <c r="H9886" s="8">
        <f>HYPERLINK("https://dart.fss.or.kr/dsaf001/main.do?rcpNo=20260608000424", "공시열람")</f>
        <v/>
      </c>
    </row>
    <row r="9887">
      <c r="A9887" s="2" t="inlineStr">
        <is>
          <t>2026-06-08</t>
        </is>
      </c>
      <c r="B9887" s="3" t="inlineStr">
        <is>
          <t>위지트</t>
        </is>
      </c>
      <c r="C9887" s="2" t="inlineStr">
        <is>
          <t>코스닥</t>
        </is>
      </c>
      <c r="D9887" s="2" t="inlineStr">
        <is>
          <t>036090</t>
        </is>
      </c>
      <c r="E9887" s="3" t="inlineStr">
        <is>
          <t>임원ㆍ주요주주특정증권등소유상황보고서</t>
        </is>
      </c>
      <c r="F9887" s="3" t="inlineStr">
        <is>
          <t>제이에스아이홀딩스</t>
        </is>
      </c>
      <c r="G9887" s="2" t="inlineStr">
        <is>
          <t>20260608000423</t>
        </is>
      </c>
      <c r="H9887" s="8">
        <f>HYPERLINK("https://dart.fss.or.kr/dsaf001/main.do?rcpNo=20260608000423", "공시열람")</f>
        <v/>
      </c>
    </row>
    <row r="9888">
      <c r="A9888" s="2" t="inlineStr">
        <is>
          <t>2026-06-08</t>
        </is>
      </c>
      <c r="B9888" s="3" t="inlineStr">
        <is>
          <t>위지트</t>
        </is>
      </c>
      <c r="C9888" s="2" t="inlineStr">
        <is>
          <t>코스닥</t>
        </is>
      </c>
      <c r="D9888" s="2" t="inlineStr">
        <is>
          <t>036090</t>
        </is>
      </c>
      <c r="E9888" s="3" t="inlineStr">
        <is>
          <t>임원ㆍ주요주주특정증권등소유상황보고서</t>
        </is>
      </c>
      <c r="F9888" s="3" t="inlineStr">
        <is>
          <t>김상우</t>
        </is>
      </c>
      <c r="G9888" s="2" t="inlineStr">
        <is>
          <t>20260608000418</t>
        </is>
      </c>
      <c r="H9888" s="8">
        <f>HYPERLINK("https://dart.fss.or.kr/dsaf001/main.do?rcpNo=20260608000418", "공시열람")</f>
        <v/>
      </c>
    </row>
    <row r="9889">
      <c r="A9889" s="2" t="inlineStr">
        <is>
          <t>2026-06-08 (정정: 2026-06-12)</t>
        </is>
      </c>
      <c r="B9889" s="3" t="inlineStr">
        <is>
          <t>썸에이지</t>
        </is>
      </c>
      <c r="C9889" s="2" t="inlineStr">
        <is>
          <t>코스닥</t>
        </is>
      </c>
      <c r="D9889" s="2" t="inlineStr">
        <is>
          <t>208640</t>
        </is>
      </c>
      <c r="E9889" s="3" t="inlineStr">
        <is>
          <t>정정신고서제출요구( 2026.05.22. 제출 증권신고서(지분증권) ) (정정: 20260612)</t>
        </is>
      </c>
      <c r="F9889" s="3" t="inlineStr">
        <is>
          <t>금융감독원</t>
        </is>
      </c>
      <c r="G9889" s="2" t="inlineStr">
        <is>
          <t>20260612000569</t>
        </is>
      </c>
      <c r="H9889" s="8">
        <f>HYPERLINK("https://dart.fss.or.kr/dsaf001/main.do?rcpNo=20260612000569", "공시열람")</f>
        <v/>
      </c>
    </row>
    <row r="9890">
      <c r="A9890" s="2" t="inlineStr">
        <is>
          <t>2026-06-08</t>
        </is>
      </c>
      <c r="B9890" s="3" t="inlineStr">
        <is>
          <t>이수화학</t>
        </is>
      </c>
      <c r="C9890" s="2" t="inlineStr">
        <is>
          <t>코스피</t>
        </is>
      </c>
      <c r="D9890" s="2" t="inlineStr">
        <is>
          <t>005950</t>
        </is>
      </c>
      <c r="E9890" s="3" t="inlineStr">
        <is>
          <t xml:space="preserve">기타안내사항(안내공시)              </t>
        </is>
      </c>
      <c r="F9890" s="3" t="inlineStr">
        <is>
          <t>이수화학</t>
        </is>
      </c>
      <c r="G9890" s="2" t="inlineStr">
        <is>
          <t>20260608800923</t>
        </is>
      </c>
      <c r="H9890" s="8">
        <f>HYPERLINK("https://dart.fss.or.kr/dsaf001/main.do?rcpNo=20260608800923", "공시열람")</f>
        <v/>
      </c>
    </row>
    <row r="9891">
      <c r="A9891" s="2" t="inlineStr">
        <is>
          <t>2026-06-08</t>
        </is>
      </c>
      <c r="B9891" s="3" t="inlineStr">
        <is>
          <t>에이전트AI</t>
        </is>
      </c>
      <c r="C9891" s="2" t="inlineStr">
        <is>
          <t>코스닥</t>
        </is>
      </c>
      <c r="D9891" s="2" t="inlineStr">
        <is>
          <t>060900</t>
        </is>
      </c>
      <c r="E9891" s="3" t="inlineStr">
        <is>
          <t>정정신고서제출요구( 2026.05.21. 제출 증권신고서(지분증권) )</t>
        </is>
      </c>
      <c r="F9891" s="3" t="inlineStr">
        <is>
          <t>금융감독원</t>
        </is>
      </c>
      <c r="G9891" s="2" t="inlineStr">
        <is>
          <t>20260608100022</t>
        </is>
      </c>
      <c r="H9891" s="8">
        <f>HYPERLINK("https://dart.fss.or.kr/dsaf001/main.do?rcpNo=20260608100022", "공시열람")</f>
        <v/>
      </c>
    </row>
    <row r="9892">
      <c r="A9892" s="2" t="inlineStr">
        <is>
          <t>2026-06-08</t>
        </is>
      </c>
      <c r="B9892" s="3" t="inlineStr">
        <is>
          <t>씨메스로보틱스</t>
        </is>
      </c>
      <c r="C9892" s="2" t="inlineStr">
        <is>
          <t>코스닥</t>
        </is>
      </c>
      <c r="D9892" s="2" t="inlineStr">
        <is>
          <t>475400</t>
        </is>
      </c>
      <c r="E9892" s="3" t="inlineStr">
        <is>
          <t>임원ㆍ주요주주특정증권등소유상황보고서</t>
        </is>
      </c>
      <c r="F9892" s="3" t="inlineStr">
        <is>
          <t>임현상</t>
        </is>
      </c>
      <c r="G9892" s="2" t="inlineStr">
        <is>
          <t>20260608000414</t>
        </is>
      </c>
      <c r="H9892" s="8">
        <f>HYPERLINK("https://dart.fss.or.kr/dsaf001/main.do?rcpNo=20260608000414", "공시열람")</f>
        <v/>
      </c>
    </row>
    <row r="9893">
      <c r="A9893" s="2" t="inlineStr">
        <is>
          <t>2026-06-08</t>
        </is>
      </c>
      <c r="B9893" s="3" t="inlineStr">
        <is>
          <t>미래산업</t>
        </is>
      </c>
      <c r="C9893" s="2" t="inlineStr">
        <is>
          <t>코스피</t>
        </is>
      </c>
      <c r="D9893" s="2" t="inlineStr">
        <is>
          <t>025560</t>
        </is>
      </c>
      <c r="E9893" s="3" t="inlineStr">
        <is>
          <t>주요사항보고서(타법인주식및출자증권양수결정)</t>
        </is>
      </c>
      <c r="F9893" s="3" t="inlineStr">
        <is>
          <t>미래산업</t>
        </is>
      </c>
      <c r="G9893" s="2" t="inlineStr">
        <is>
          <t>20260608000398</t>
        </is>
      </c>
      <c r="H9893" s="8">
        <f>HYPERLINK("https://dart.fss.or.kr/dsaf001/main.do?rcpNo=20260608000398", "공시열람")</f>
        <v/>
      </c>
    </row>
    <row r="9894">
      <c r="A9894" s="2" t="inlineStr">
        <is>
          <t>2026-06-08</t>
        </is>
      </c>
      <c r="B9894" s="3" t="inlineStr">
        <is>
          <t>위지트</t>
        </is>
      </c>
      <c r="C9894" s="2" t="inlineStr">
        <is>
          <t>코스닥</t>
        </is>
      </c>
      <c r="D9894" s="2" t="inlineStr">
        <is>
          <t>036090</t>
        </is>
      </c>
      <c r="E9894" s="3" t="inlineStr">
        <is>
          <t>임원ㆍ주요주주특정증권등소유상황보고서</t>
        </is>
      </c>
      <c r="F9894" s="3" t="inlineStr">
        <is>
          <t>김문수</t>
        </is>
      </c>
      <c r="G9894" s="2" t="inlineStr">
        <is>
          <t>20260608000411</t>
        </is>
      </c>
      <c r="H9894" s="8">
        <f>HYPERLINK("https://dart.fss.or.kr/dsaf001/main.do?rcpNo=20260608000411", "공시열람")</f>
        <v/>
      </c>
    </row>
    <row r="9895">
      <c r="A9895" s="2" t="inlineStr">
        <is>
          <t>2026-06-08</t>
        </is>
      </c>
      <c r="B9895" s="3" t="inlineStr">
        <is>
          <t>위지트</t>
        </is>
      </c>
      <c r="C9895" s="2" t="inlineStr">
        <is>
          <t>코스닥</t>
        </is>
      </c>
      <c r="D9895" s="2" t="inlineStr">
        <is>
          <t>036090</t>
        </is>
      </c>
      <c r="E9895" s="3" t="inlineStr">
        <is>
          <t>[기재정정]임원ㆍ주요주주특정증권등소유상황보고서</t>
        </is>
      </c>
      <c r="F9895" s="3" t="inlineStr">
        <is>
          <t>김문수</t>
        </is>
      </c>
      <c r="G9895" s="2" t="inlineStr">
        <is>
          <t>20260608000410</t>
        </is>
      </c>
      <c r="H9895" s="8">
        <f>HYPERLINK("https://dart.fss.or.kr/dsaf001/main.do?rcpNo=20260608000410", "공시열람")</f>
        <v/>
      </c>
    </row>
    <row r="9896">
      <c r="A9896" s="2" t="inlineStr">
        <is>
          <t>2026-06-08</t>
        </is>
      </c>
      <c r="B9896" s="3" t="inlineStr">
        <is>
          <t>씨메스로보틱스</t>
        </is>
      </c>
      <c r="C9896" s="2" t="inlineStr">
        <is>
          <t>코스닥</t>
        </is>
      </c>
      <c r="D9896" s="2" t="inlineStr">
        <is>
          <t>475400</t>
        </is>
      </c>
      <c r="E9896" s="3" t="inlineStr">
        <is>
          <t>임원ㆍ주요주주특정증권등소유상황보고서</t>
        </is>
      </c>
      <c r="F9896" s="3" t="inlineStr">
        <is>
          <t>서동균</t>
        </is>
      </c>
      <c r="G9896" s="2" t="inlineStr">
        <is>
          <t>20260608000406</t>
        </is>
      </c>
      <c r="H9896" s="8">
        <f>HYPERLINK("https://dart.fss.or.kr/dsaf001/main.do?rcpNo=20260608000406", "공시열람")</f>
        <v/>
      </c>
    </row>
    <row r="9897">
      <c r="A9897" s="2" t="inlineStr">
        <is>
          <t>2026-06-08</t>
        </is>
      </c>
      <c r="B9897" s="3" t="inlineStr">
        <is>
          <t>오텍</t>
        </is>
      </c>
      <c r="C9897" s="2" t="inlineStr">
        <is>
          <t>코스닥</t>
        </is>
      </c>
      <c r="D9897" s="2" t="inlineStr">
        <is>
          <t>067170</t>
        </is>
      </c>
      <c r="E9897" s="3" t="inlineStr">
        <is>
          <t>임원ㆍ주요주주특정증권등소유상황보고서</t>
        </is>
      </c>
      <c r="F9897" s="3" t="inlineStr">
        <is>
          <t>강신욱</t>
        </is>
      </c>
      <c r="G9897" s="2" t="inlineStr">
        <is>
          <t>20260608000404</t>
        </is>
      </c>
      <c r="H9897" s="8">
        <f>HYPERLINK("https://dart.fss.or.kr/dsaf001/main.do?rcpNo=20260608000404", "공시열람")</f>
        <v/>
      </c>
    </row>
    <row r="9898">
      <c r="A9898" s="2" t="inlineStr">
        <is>
          <t>2026-06-08</t>
        </is>
      </c>
      <c r="B9898" s="3" t="inlineStr">
        <is>
          <t>DH오토리드</t>
        </is>
      </c>
      <c r="C9898" s="2" t="inlineStr">
        <is>
          <t>코스닥</t>
        </is>
      </c>
      <c r="D9898" s="2" t="inlineStr">
        <is>
          <t>290120</t>
        </is>
      </c>
      <c r="E9898" s="3" t="inlineStr">
        <is>
          <t xml:space="preserve">전환사채(해외전환사채포함)발행후만기전사채취득              </t>
        </is>
      </c>
      <c r="F9898" s="3" t="inlineStr">
        <is>
          <t>DH오토리드</t>
        </is>
      </c>
      <c r="G9898" s="2" t="inlineStr">
        <is>
          <t>20260608900912</t>
        </is>
      </c>
      <c r="H9898" s="8">
        <f>HYPERLINK("https://dart.fss.or.kr/dsaf001/main.do?rcpNo=20260608900912", "공시열람")</f>
        <v/>
      </c>
    </row>
    <row r="9899">
      <c r="A9899" s="2" t="inlineStr">
        <is>
          <t>2026-06-08</t>
        </is>
      </c>
      <c r="B9899" s="3" t="inlineStr">
        <is>
          <t>오텍</t>
        </is>
      </c>
      <c r="C9899" s="2" t="inlineStr">
        <is>
          <t>코스닥</t>
        </is>
      </c>
      <c r="D9899" s="2" t="inlineStr">
        <is>
          <t>067170</t>
        </is>
      </c>
      <c r="E9899" s="3" t="inlineStr">
        <is>
          <t>임원ㆍ주요주주특정증권등소유상황보고서</t>
        </is>
      </c>
      <c r="F9899" s="3" t="inlineStr">
        <is>
          <t>강성희</t>
        </is>
      </c>
      <c r="G9899" s="2" t="inlineStr">
        <is>
          <t>20260608000401</t>
        </is>
      </c>
      <c r="H9899" s="8">
        <f>HYPERLINK("https://dart.fss.or.kr/dsaf001/main.do?rcpNo=20260608000401", "공시열람")</f>
        <v/>
      </c>
    </row>
    <row r="9900">
      <c r="A9900" s="2" t="inlineStr">
        <is>
          <t>2026-06-08</t>
        </is>
      </c>
      <c r="B9900" s="3" t="inlineStr">
        <is>
          <t>미래에셋생명</t>
        </is>
      </c>
      <c r="C9900" s="2" t="inlineStr">
        <is>
          <t>코스피</t>
        </is>
      </c>
      <c r="D9900" s="2" t="inlineStr">
        <is>
          <t>085620</t>
        </is>
      </c>
      <c r="E9900" s="3" t="inlineStr">
        <is>
          <t>임원ㆍ주요주주특정증권등소유상황보고서</t>
        </is>
      </c>
      <c r="F9900" s="3" t="inlineStr">
        <is>
          <t>미래에셋자산운용</t>
        </is>
      </c>
      <c r="G9900" s="2" t="inlineStr">
        <is>
          <t>20260608000399</t>
        </is>
      </c>
      <c r="H9900" s="8">
        <f>HYPERLINK("https://dart.fss.or.kr/dsaf001/main.do?rcpNo=20260608000399", "공시열람")</f>
        <v/>
      </c>
    </row>
    <row r="9901">
      <c r="A9901" s="2" t="inlineStr">
        <is>
          <t>2026-06-08</t>
        </is>
      </c>
      <c r="B9901" s="3" t="inlineStr">
        <is>
          <t>씨메스로보틱스</t>
        </is>
      </c>
      <c r="C9901" s="2" t="inlineStr">
        <is>
          <t>코스닥</t>
        </is>
      </c>
      <c r="D9901" s="2" t="inlineStr">
        <is>
          <t>475400</t>
        </is>
      </c>
      <c r="E9901" s="3" t="inlineStr">
        <is>
          <t>임원ㆍ주요주주특정증권등소유상황보고서</t>
        </is>
      </c>
      <c r="F9901" s="3" t="inlineStr">
        <is>
          <t>강성남</t>
        </is>
      </c>
      <c r="G9901" s="2" t="inlineStr">
        <is>
          <t>20260608000395</t>
        </is>
      </c>
      <c r="H9901" s="8">
        <f>HYPERLINK("https://dart.fss.or.kr/dsaf001/main.do?rcpNo=20260608000395", "공시열람")</f>
        <v/>
      </c>
    </row>
    <row r="9902">
      <c r="A9902" s="2" t="inlineStr">
        <is>
          <t>2026-06-08</t>
        </is>
      </c>
      <c r="B9902" s="3" t="inlineStr">
        <is>
          <t>미스토홀딩스</t>
        </is>
      </c>
      <c r="C9902" s="2" t="inlineStr">
        <is>
          <t>코스피</t>
        </is>
      </c>
      <c r="D9902" s="2" t="inlineStr">
        <is>
          <t>081660</t>
        </is>
      </c>
      <c r="E9902" s="3" t="inlineStr">
        <is>
          <t xml:space="preserve">타법인주식및출자증권처분결정(자회사의 주요경영사항)              </t>
        </is>
      </c>
      <c r="F9902" s="3" t="inlineStr">
        <is>
          <t>미스토홀딩스</t>
        </is>
      </c>
      <c r="G9902" s="2" t="inlineStr">
        <is>
          <t>20260608800890</t>
        </is>
      </c>
      <c r="H9902" s="8">
        <f>HYPERLINK("https://dart.fss.or.kr/dsaf001/main.do?rcpNo=20260608800890", "공시열람")</f>
        <v/>
      </c>
    </row>
    <row r="9903">
      <c r="A9903" s="2" t="inlineStr">
        <is>
          <t>2026-06-08</t>
        </is>
      </c>
      <c r="B9903" s="3" t="inlineStr">
        <is>
          <t>인포뱅크</t>
        </is>
      </c>
      <c r="C9903" s="2" t="inlineStr">
        <is>
          <t>코스닥</t>
        </is>
      </c>
      <c r="D9903" s="2" t="inlineStr">
        <is>
          <t>039290</t>
        </is>
      </c>
      <c r="E9903" s="3" t="inlineStr">
        <is>
          <t xml:space="preserve">기업설명회(IR)개최              </t>
        </is>
      </c>
      <c r="F9903" s="3" t="inlineStr">
        <is>
          <t>인포뱅크</t>
        </is>
      </c>
      <c r="G9903" s="2" t="inlineStr">
        <is>
          <t>20260608900883</t>
        </is>
      </c>
      <c r="H9903" s="8">
        <f>HYPERLINK("https://dart.fss.or.kr/dsaf001/main.do?rcpNo=20260608900883", "공시열람")</f>
        <v/>
      </c>
    </row>
    <row r="9904">
      <c r="A9904" s="2" t="inlineStr">
        <is>
          <t>2026-06-08</t>
        </is>
      </c>
      <c r="B9904" s="3" t="inlineStr">
        <is>
          <t>씨메스로보틱스</t>
        </is>
      </c>
      <c r="C9904" s="2" t="inlineStr">
        <is>
          <t>코스닥</t>
        </is>
      </c>
      <c r="D9904" s="2" t="inlineStr">
        <is>
          <t>475400</t>
        </is>
      </c>
      <c r="E9904" s="3" t="inlineStr">
        <is>
          <t>임원ㆍ주요주주특정증권등소유상황보고서</t>
        </is>
      </c>
      <c r="F9904" s="3" t="inlineStr">
        <is>
          <t>박준규</t>
        </is>
      </c>
      <c r="G9904" s="2" t="inlineStr">
        <is>
          <t>20260608000388</t>
        </is>
      </c>
      <c r="H9904" s="8">
        <f>HYPERLINK("https://dart.fss.or.kr/dsaf001/main.do?rcpNo=20260608000388", "공시열람")</f>
        <v/>
      </c>
    </row>
    <row r="9905">
      <c r="A9905" s="2" t="inlineStr">
        <is>
          <t>2026-06-08</t>
        </is>
      </c>
      <c r="B9905" s="3" t="inlineStr">
        <is>
          <t>DXVX</t>
        </is>
      </c>
      <c r="C9905" s="2" t="inlineStr">
        <is>
          <t>코스닥</t>
        </is>
      </c>
      <c r="D9905" s="2" t="inlineStr">
        <is>
          <t>180400</t>
        </is>
      </c>
      <c r="E9905" s="3" t="inlineStr">
        <is>
          <t>임원ㆍ주요주주특정증권등소유상황보고서</t>
        </is>
      </c>
      <c r="F9905" s="3" t="inlineStr">
        <is>
          <t>이용구</t>
        </is>
      </c>
      <c r="G9905" s="2" t="inlineStr">
        <is>
          <t>20260608000380</t>
        </is>
      </c>
      <c r="H9905" s="8">
        <f>HYPERLINK("https://dart.fss.or.kr/dsaf001/main.do?rcpNo=20260608000380", "공시열람")</f>
        <v/>
      </c>
    </row>
    <row r="9906">
      <c r="A9906" s="2" t="inlineStr">
        <is>
          <t>2026-06-08</t>
        </is>
      </c>
      <c r="B9906" s="3" t="inlineStr">
        <is>
          <t>사이냅소프트</t>
        </is>
      </c>
      <c r="C9906" s="2" t="inlineStr">
        <is>
          <t>코스닥</t>
        </is>
      </c>
      <c r="D9906" s="2" t="inlineStr">
        <is>
          <t>466410</t>
        </is>
      </c>
      <c r="E9906" s="3" t="inlineStr">
        <is>
          <t>임원ㆍ주요주주특정증권등소유상황보고서</t>
        </is>
      </c>
      <c r="F9906" s="3" t="inlineStr">
        <is>
          <t>전경헌</t>
        </is>
      </c>
      <c r="G9906" s="2" t="inlineStr">
        <is>
          <t>20260608000378</t>
        </is>
      </c>
      <c r="H9906" s="8">
        <f>HYPERLINK("https://dart.fss.or.kr/dsaf001/main.do?rcpNo=20260608000378", "공시열람")</f>
        <v/>
      </c>
    </row>
    <row r="9907">
      <c r="A9907" s="2" t="inlineStr">
        <is>
          <t>2026-06-08 (정정: 2026-06-17)</t>
        </is>
      </c>
      <c r="B9907" s="3" t="inlineStr">
        <is>
          <t>씨메스로보틱스</t>
        </is>
      </c>
      <c r="C9907" s="2" t="inlineStr">
        <is>
          <t>코스닥</t>
        </is>
      </c>
      <c r="D9907" s="2" t="inlineStr">
        <is>
          <t>475400</t>
        </is>
      </c>
      <c r="E9907" s="3" t="inlineStr">
        <is>
          <t>임원ㆍ주요주주특정증권등소유상황보고서 (정정: 20260617)</t>
        </is>
      </c>
      <c r="F9907" s="3" t="inlineStr">
        <is>
          <t>김현우</t>
        </is>
      </c>
      <c r="G9907" s="2" t="inlineStr">
        <is>
          <t>20260617000463</t>
        </is>
      </c>
      <c r="H9907" s="8">
        <f>HYPERLINK("https://dart.fss.or.kr/dsaf001/main.do?rcpNo=20260617000463", "공시열람")</f>
        <v/>
      </c>
    </row>
    <row r="9908">
      <c r="A9908" s="2" t="inlineStr">
        <is>
          <t>2026-06-08</t>
        </is>
      </c>
      <c r="B9908" s="3" t="inlineStr">
        <is>
          <t>아이엘</t>
        </is>
      </c>
      <c r="C9908" s="2" t="inlineStr">
        <is>
          <t>코스닥</t>
        </is>
      </c>
      <c r="D9908" s="2" t="inlineStr">
        <is>
          <t>307180</t>
        </is>
      </c>
      <c r="E9908" s="3" t="inlineStr">
        <is>
          <t xml:space="preserve">증권발행결과(자율공시)              </t>
        </is>
      </c>
      <c r="F9908" s="3" t="inlineStr">
        <is>
          <t>아이엘</t>
        </is>
      </c>
      <c r="G9908" s="2" t="inlineStr">
        <is>
          <t>20260608900862</t>
        </is>
      </c>
      <c r="H9908" s="8">
        <f>HYPERLINK("https://dart.fss.or.kr/dsaf001/main.do?rcpNo=20260608900862", "공시열람")</f>
        <v/>
      </c>
    </row>
    <row r="9909">
      <c r="A9909" s="2" t="inlineStr">
        <is>
          <t>2026-06-08</t>
        </is>
      </c>
      <c r="B9909" s="3" t="inlineStr">
        <is>
          <t>우리엔터프라이즈</t>
        </is>
      </c>
      <c r="C9909" s="2" t="inlineStr">
        <is>
          <t>코스닥</t>
        </is>
      </c>
      <c r="D9909" s="2" t="inlineStr">
        <is>
          <t>037400</t>
        </is>
      </c>
      <c r="E9909" s="3" t="inlineStr">
        <is>
          <t xml:space="preserve">주주명부폐쇄기간또는기준일설정              </t>
        </is>
      </c>
      <c r="F9909" s="3" t="inlineStr">
        <is>
          <t>우리엔터프라이즈</t>
        </is>
      </c>
      <c r="G9909" s="2" t="inlineStr">
        <is>
          <t>20260608900861</t>
        </is>
      </c>
      <c r="H9909" s="8">
        <f>HYPERLINK("https://dart.fss.or.kr/dsaf001/main.do?rcpNo=20260608900861", "공시열람")</f>
        <v/>
      </c>
    </row>
    <row r="9910">
      <c r="A9910" s="2" t="inlineStr">
        <is>
          <t>2026-06-08</t>
        </is>
      </c>
      <c r="B9910" s="3" t="inlineStr">
        <is>
          <t>쓰리에이로직스</t>
        </is>
      </c>
      <c r="C9910" s="2" t="inlineStr">
        <is>
          <t>코스닥</t>
        </is>
      </c>
      <c r="D9910" s="2" t="inlineStr">
        <is>
          <t>177900</t>
        </is>
      </c>
      <c r="E9910" s="3" t="inlineStr">
        <is>
          <t>임원ㆍ주요주주특정증권등소유상황보고서</t>
        </is>
      </c>
      <c r="F9910" s="3" t="inlineStr">
        <is>
          <t>채석병</t>
        </is>
      </c>
      <c r="G9910" s="2" t="inlineStr">
        <is>
          <t>20260608000367</t>
        </is>
      </c>
      <c r="H9910" s="8">
        <f>HYPERLINK("https://dart.fss.or.kr/dsaf001/main.do?rcpNo=20260608000367", "공시열람")</f>
        <v/>
      </c>
    </row>
    <row r="9911">
      <c r="A9911" s="2" t="inlineStr">
        <is>
          <t>2026-06-08</t>
        </is>
      </c>
      <c r="B9911" s="3" t="inlineStr">
        <is>
          <t>현대차증권</t>
        </is>
      </c>
      <c r="C9911" s="2" t="inlineStr">
        <is>
          <t>코스피</t>
        </is>
      </c>
      <c r="D9911" s="2" t="inlineStr">
        <is>
          <t>001500</t>
        </is>
      </c>
      <c r="E9911" s="3" t="inlineStr">
        <is>
          <t>투자설명서(일괄신고)</t>
        </is>
      </c>
      <c r="F9911" s="3" t="inlineStr">
        <is>
          <t>현대차증권</t>
        </is>
      </c>
      <c r="G9911" s="2" t="inlineStr">
        <is>
          <t>20260608000366</t>
        </is>
      </c>
      <c r="H9911" s="8">
        <f>HYPERLINK("https://dart.fss.or.kr/dsaf001/main.do?rcpNo=20260608000366", "공시열람")</f>
        <v/>
      </c>
    </row>
    <row r="9912">
      <c r="A9912" s="2" t="inlineStr">
        <is>
          <t>2026-06-08</t>
        </is>
      </c>
      <c r="B9912" s="3" t="inlineStr">
        <is>
          <t>한울반도체</t>
        </is>
      </c>
      <c r="C9912" s="2" t="inlineStr">
        <is>
          <t>코스닥</t>
        </is>
      </c>
      <c r="D9912" s="2" t="inlineStr">
        <is>
          <t>320000</t>
        </is>
      </c>
      <c r="E9912" s="3" t="inlineStr">
        <is>
          <t>임원ㆍ주요주주특정증권등소유상황보고서</t>
        </is>
      </c>
      <c r="F9912" s="3" t="inlineStr">
        <is>
          <t>한울소재과학</t>
        </is>
      </c>
      <c r="G9912" s="2" t="inlineStr">
        <is>
          <t>20260608000365</t>
        </is>
      </c>
      <c r="H9912" s="8">
        <f>HYPERLINK("https://dart.fss.or.kr/dsaf001/main.do?rcpNo=20260608000365", "공시열람")</f>
        <v/>
      </c>
    </row>
    <row r="9913">
      <c r="A9913" s="2" t="inlineStr">
        <is>
          <t>2026-06-08</t>
        </is>
      </c>
      <c r="B9913" s="3" t="inlineStr">
        <is>
          <t>솔루엠</t>
        </is>
      </c>
      <c r="C9913" s="2" t="inlineStr">
        <is>
          <t>코스피</t>
        </is>
      </c>
      <c r="D9913" s="2" t="inlineStr">
        <is>
          <t>248070</t>
        </is>
      </c>
      <c r="E9913" s="3" t="inlineStr">
        <is>
          <t>임원ㆍ주요주주특정증권등소유상황보고서</t>
        </is>
      </c>
      <c r="F9913" s="3" t="inlineStr">
        <is>
          <t>전성호</t>
        </is>
      </c>
      <c r="G9913" s="2" t="inlineStr">
        <is>
          <t>20260608000363</t>
        </is>
      </c>
      <c r="H9913" s="8">
        <f>HYPERLINK("https://dart.fss.or.kr/dsaf001/main.do?rcpNo=20260608000363", "공시열람")</f>
        <v/>
      </c>
    </row>
    <row r="9914">
      <c r="A9914" s="2" t="inlineStr">
        <is>
          <t>2026-06-08</t>
        </is>
      </c>
      <c r="B9914" s="3" t="inlineStr">
        <is>
          <t>쓰리에이로직스</t>
        </is>
      </c>
      <c r="C9914" s="2" t="inlineStr">
        <is>
          <t>코스닥</t>
        </is>
      </c>
      <c r="D9914" s="2" t="inlineStr">
        <is>
          <t>177900</t>
        </is>
      </c>
      <c r="E9914" s="3" t="inlineStr">
        <is>
          <t>임원ㆍ주요주주특정증권등소유상황보고서</t>
        </is>
      </c>
      <c r="F9914" s="3" t="inlineStr">
        <is>
          <t>유신선</t>
        </is>
      </c>
      <c r="G9914" s="2" t="inlineStr">
        <is>
          <t>20260608000358</t>
        </is>
      </c>
      <c r="H9914" s="8">
        <f>HYPERLINK("https://dart.fss.or.kr/dsaf001/main.do?rcpNo=20260608000358", "공시열람")</f>
        <v/>
      </c>
    </row>
    <row r="9915">
      <c r="A9915" s="2" t="inlineStr">
        <is>
          <t>2026-06-08</t>
        </is>
      </c>
      <c r="B9915" s="3" t="inlineStr">
        <is>
          <t>JB금융지주</t>
        </is>
      </c>
      <c r="C9915" s="2" t="inlineStr">
        <is>
          <t>코스피</t>
        </is>
      </c>
      <c r="D9915" s="2" t="inlineStr">
        <is>
          <t>175330</t>
        </is>
      </c>
      <c r="E9915" s="3" t="inlineStr">
        <is>
          <t>일괄신고서</t>
        </is>
      </c>
      <c r="F9915" s="3" t="inlineStr">
        <is>
          <t>JB금융지주</t>
        </is>
      </c>
      <c r="G9915" s="2" t="inlineStr">
        <is>
          <t>20260608000357</t>
        </is>
      </c>
      <c r="H9915" s="8">
        <f>HYPERLINK("https://dart.fss.or.kr/dsaf001/main.do?rcpNo=20260608000357", "공시열람")</f>
        <v/>
      </c>
    </row>
    <row r="9916">
      <c r="A9916" s="2" t="inlineStr">
        <is>
          <t>2026-06-08</t>
        </is>
      </c>
      <c r="B9916" s="3" t="inlineStr">
        <is>
          <t>쓰리에이로직스</t>
        </is>
      </c>
      <c r="C9916" s="2" t="inlineStr">
        <is>
          <t>코스닥</t>
        </is>
      </c>
      <c r="D9916" s="2" t="inlineStr">
        <is>
          <t>177900</t>
        </is>
      </c>
      <c r="E9916" s="3" t="inlineStr">
        <is>
          <t>임원ㆍ주요주주특정증권등소유상황보고서</t>
        </is>
      </c>
      <c r="F9916" s="3" t="inlineStr">
        <is>
          <t>김성완</t>
        </is>
      </c>
      <c r="G9916" s="2" t="inlineStr">
        <is>
          <t>20260608000353</t>
        </is>
      </c>
      <c r="H9916" s="8">
        <f>HYPERLINK("https://dart.fss.or.kr/dsaf001/main.do?rcpNo=20260608000353", "공시열람")</f>
        <v/>
      </c>
    </row>
    <row r="9917">
      <c r="A9917" s="2" t="inlineStr">
        <is>
          <t>2026-06-08</t>
        </is>
      </c>
      <c r="B9917" s="3" t="inlineStr">
        <is>
          <t>DXVX</t>
        </is>
      </c>
      <c r="C9917" s="2" t="inlineStr">
        <is>
          <t>코스닥</t>
        </is>
      </c>
      <c r="D9917" s="2" t="inlineStr">
        <is>
          <t>180400</t>
        </is>
      </c>
      <c r="E9917" s="3" t="inlineStr">
        <is>
          <t>임원ㆍ주요주주특정증권등소유상황보고서</t>
        </is>
      </c>
      <c r="F9917" s="3" t="inlineStr">
        <is>
          <t>이주환</t>
        </is>
      </c>
      <c r="G9917" s="2" t="inlineStr">
        <is>
          <t>20260608000352</t>
        </is>
      </c>
      <c r="H9917" s="8">
        <f>HYPERLINK("https://dart.fss.or.kr/dsaf001/main.do?rcpNo=20260608000352", "공시열람")</f>
        <v/>
      </c>
    </row>
    <row r="9918">
      <c r="A9918" s="2" t="inlineStr">
        <is>
          <t>2026-06-08</t>
        </is>
      </c>
      <c r="B9918" s="3" t="inlineStr">
        <is>
          <t>쓰리에이로직스</t>
        </is>
      </c>
      <c r="C9918" s="2" t="inlineStr">
        <is>
          <t>코스닥</t>
        </is>
      </c>
      <c r="D9918" s="2" t="inlineStr">
        <is>
          <t>177900</t>
        </is>
      </c>
      <c r="E9918" s="3" t="inlineStr">
        <is>
          <t>임원ㆍ주요주주특정증권등소유상황보고서</t>
        </is>
      </c>
      <c r="F9918" s="3" t="inlineStr">
        <is>
          <t>강우철</t>
        </is>
      </c>
      <c r="G9918" s="2" t="inlineStr">
        <is>
          <t>20260608000351</t>
        </is>
      </c>
      <c r="H9918" s="8">
        <f>HYPERLINK("https://dart.fss.or.kr/dsaf001/main.do?rcpNo=20260608000351", "공시열람")</f>
        <v/>
      </c>
    </row>
    <row r="9919">
      <c r="A9919" s="2" t="inlineStr">
        <is>
          <t>2026-06-08</t>
        </is>
      </c>
      <c r="B9919" s="3" t="inlineStr">
        <is>
          <t>인터지스</t>
        </is>
      </c>
      <c r="C9919" s="2" t="inlineStr">
        <is>
          <t>코스피</t>
        </is>
      </c>
      <c r="D9919" s="2" t="inlineStr">
        <is>
          <t>129260</t>
        </is>
      </c>
      <c r="E9919" s="3" t="inlineStr">
        <is>
          <t>임원ㆍ주요주주특정증권등소유상황보고서</t>
        </is>
      </c>
      <c r="F9919" s="3" t="inlineStr">
        <is>
          <t>박성도</t>
        </is>
      </c>
      <c r="G9919" s="2" t="inlineStr">
        <is>
          <t>20260608000339</t>
        </is>
      </c>
      <c r="H9919" s="8">
        <f>HYPERLINK("https://dart.fss.or.kr/dsaf001/main.do?rcpNo=20260608000339", "공시열람")</f>
        <v/>
      </c>
    </row>
    <row r="9920">
      <c r="A9920" s="2" t="inlineStr">
        <is>
          <t>2026-06-08</t>
        </is>
      </c>
      <c r="B9920" s="3" t="inlineStr">
        <is>
          <t>선진뷰티사이언스</t>
        </is>
      </c>
      <c r="C9920" s="2" t="inlineStr">
        <is>
          <t>코스닥</t>
        </is>
      </c>
      <c r="D9920" s="2" t="inlineStr">
        <is>
          <t>086710</t>
        </is>
      </c>
      <c r="E9920" s="3" t="inlineStr">
        <is>
          <t>임원ㆍ주요주주특정증권등소유상황보고서</t>
        </is>
      </c>
      <c r="F9920" s="3" t="inlineStr">
        <is>
          <t>이성호</t>
        </is>
      </c>
      <c r="G9920" s="2" t="inlineStr">
        <is>
          <t>20260608000336</t>
        </is>
      </c>
      <c r="H9920" s="8">
        <f>HYPERLINK("https://dart.fss.or.kr/dsaf001/main.do?rcpNo=20260608000336", "공시열람")</f>
        <v/>
      </c>
    </row>
    <row r="9921">
      <c r="A9921" s="2" t="inlineStr">
        <is>
          <t>2026-06-08</t>
        </is>
      </c>
      <c r="B9921" s="3" t="inlineStr">
        <is>
          <t>우리바이오</t>
        </is>
      </c>
      <c r="C9921" s="2" t="inlineStr">
        <is>
          <t>코스닥</t>
        </is>
      </c>
      <c r="D9921" s="2" t="inlineStr">
        <is>
          <t>082850</t>
        </is>
      </c>
      <c r="E9921" s="3" t="inlineStr">
        <is>
          <t xml:space="preserve">주주명부폐쇄기간또는기준일설정              </t>
        </is>
      </c>
      <c r="F9921" s="3" t="inlineStr">
        <is>
          <t>우리바이오</t>
        </is>
      </c>
      <c r="G9921" s="2" t="inlineStr">
        <is>
          <t>20260608900815</t>
        </is>
      </c>
      <c r="H9921" s="8">
        <f>HYPERLINK("https://dart.fss.or.kr/dsaf001/main.do?rcpNo=20260608900815", "공시열람")</f>
        <v/>
      </c>
    </row>
    <row r="9922">
      <c r="A9922" s="2" t="inlineStr">
        <is>
          <t>2026-06-08</t>
        </is>
      </c>
      <c r="B9922" s="3" t="inlineStr">
        <is>
          <t>SK리츠</t>
        </is>
      </c>
      <c r="C9922" s="2" t="inlineStr">
        <is>
          <t>코스피</t>
        </is>
      </c>
      <c r="D9922" s="2" t="inlineStr">
        <is>
          <t>395400</t>
        </is>
      </c>
      <c r="E9922" s="3" t="inlineStr">
        <is>
          <t xml:space="preserve">부동산투자회사자금차입              </t>
        </is>
      </c>
      <c r="F9922" s="3" t="inlineStr">
        <is>
          <t>SK리츠</t>
        </is>
      </c>
      <c r="G9922" s="2" t="inlineStr">
        <is>
          <t>20260608800784</t>
        </is>
      </c>
      <c r="H9922" s="8">
        <f>HYPERLINK("https://dart.fss.or.kr/dsaf001/main.do?rcpNo=20260608800784", "공시열람")</f>
        <v/>
      </c>
    </row>
    <row r="9923">
      <c r="A9923" s="2" t="inlineStr">
        <is>
          <t>2026-06-08</t>
        </is>
      </c>
      <c r="B9923" s="3" t="inlineStr">
        <is>
          <t>공구우먼</t>
        </is>
      </c>
      <c r="C9923" s="2" t="inlineStr">
        <is>
          <t>코스닥</t>
        </is>
      </c>
      <c r="D9923" s="2" t="inlineStr">
        <is>
          <t>366030</t>
        </is>
      </c>
      <c r="E9923" s="3" t="inlineStr">
        <is>
          <t>임원ㆍ주요주주특정증권등거래계획보고서</t>
        </is>
      </c>
      <c r="F9923" s="3" t="inlineStr">
        <is>
          <t>김주영</t>
        </is>
      </c>
      <c r="G9923" s="2" t="inlineStr">
        <is>
          <t>20260608000331</t>
        </is>
      </c>
      <c r="H9923" s="8">
        <f>HYPERLINK("https://dart.fss.or.kr/dsaf001/main.do?rcpNo=20260608000331", "공시열람")</f>
        <v/>
      </c>
    </row>
    <row r="9924">
      <c r="A9924" s="2" t="inlineStr">
        <is>
          <t>2026-06-08</t>
        </is>
      </c>
      <c r="B9924" s="3" t="inlineStr">
        <is>
          <t>우리이앤엘하루틴</t>
        </is>
      </c>
      <c r="C9924" s="2" t="inlineStr">
        <is>
          <t>코스닥</t>
        </is>
      </c>
      <c r="D9924" s="2" t="inlineStr">
        <is>
          <t>153490</t>
        </is>
      </c>
      <c r="E9924" s="3" t="inlineStr">
        <is>
          <t xml:space="preserve">주주명부폐쇄기간또는기준일설정              </t>
        </is>
      </c>
      <c r="F9924" s="3" t="inlineStr">
        <is>
          <t>우리이앤엘하루틴</t>
        </is>
      </c>
      <c r="G9924" s="2" t="inlineStr">
        <is>
          <t>20260608900811</t>
        </is>
      </c>
      <c r="H9924" s="8">
        <f>HYPERLINK("https://dart.fss.or.kr/dsaf001/main.do?rcpNo=20260608900811", "공시열람")</f>
        <v/>
      </c>
    </row>
    <row r="9925">
      <c r="A9925" s="2" t="inlineStr">
        <is>
          <t>2026-06-08</t>
        </is>
      </c>
      <c r="B9925" s="3" t="inlineStr">
        <is>
          <t>한화리츠</t>
        </is>
      </c>
      <c r="C9925" s="2" t="inlineStr">
        <is>
          <t>코스피</t>
        </is>
      </c>
      <c r="D9925" s="2" t="inlineStr">
        <is>
          <t>451800</t>
        </is>
      </c>
      <c r="E9925" s="3" t="inlineStr">
        <is>
          <t xml:space="preserve">부동산투자회사금전배당결정              </t>
        </is>
      </c>
      <c r="F9925" s="3" t="inlineStr">
        <is>
          <t>한화리츠</t>
        </is>
      </c>
      <c r="G9925" s="2" t="inlineStr">
        <is>
          <t>20260608800786</t>
        </is>
      </c>
      <c r="H9925" s="8">
        <f>HYPERLINK("https://dart.fss.or.kr/dsaf001/main.do?rcpNo=20260608800786", "공시열람")</f>
        <v/>
      </c>
    </row>
    <row r="9926">
      <c r="A9926" s="2" t="inlineStr">
        <is>
          <t>2026-06-08</t>
        </is>
      </c>
      <c r="B9926" s="3" t="inlineStr">
        <is>
          <t>크래프톤</t>
        </is>
      </c>
      <c r="C9926" s="2" t="inlineStr">
        <is>
          <t>코스피</t>
        </is>
      </c>
      <c r="D9926" s="2" t="inlineStr">
        <is>
          <t>259960</t>
        </is>
      </c>
      <c r="E9926" s="3" t="inlineStr">
        <is>
          <t>임원ㆍ주요주주특정증권등소유상황보고서</t>
        </is>
      </c>
      <c r="F9926" s="3" t="inlineStr">
        <is>
          <t>오진호</t>
        </is>
      </c>
      <c r="G9926" s="2" t="inlineStr">
        <is>
          <t>20260608000329</t>
        </is>
      </c>
      <c r="H9926" s="8">
        <f>HYPERLINK("https://dart.fss.or.kr/dsaf001/main.do?rcpNo=20260608000329", "공시열람")</f>
        <v/>
      </c>
    </row>
    <row r="9927">
      <c r="A9927" s="2" t="inlineStr">
        <is>
          <t>2026-06-08</t>
        </is>
      </c>
      <c r="B9927" s="3" t="inlineStr">
        <is>
          <t>한화리츠</t>
        </is>
      </c>
      <c r="C9927" s="2" t="inlineStr">
        <is>
          <t>코스피</t>
        </is>
      </c>
      <c r="D9927" s="2" t="inlineStr">
        <is>
          <t>451800</t>
        </is>
      </c>
      <c r="E9927" s="3" t="inlineStr">
        <is>
          <t xml:space="preserve">매출액또는손익구조30%(대규모법인은15%)이상변경              </t>
        </is>
      </c>
      <c r="F9927" s="3" t="inlineStr">
        <is>
          <t>한화리츠</t>
        </is>
      </c>
      <c r="G9927" s="2" t="inlineStr">
        <is>
          <t>20260608800783</t>
        </is>
      </c>
      <c r="H9927" s="8">
        <f>HYPERLINK("https://dart.fss.or.kr/dsaf001/main.do?rcpNo=20260608800783", "공시열람")</f>
        <v/>
      </c>
    </row>
    <row r="9928">
      <c r="A9928" s="2" t="inlineStr">
        <is>
          <t>2026-06-08</t>
        </is>
      </c>
      <c r="B9928" s="3" t="inlineStr">
        <is>
          <t>크래프톤</t>
        </is>
      </c>
      <c r="C9928" s="2" t="inlineStr">
        <is>
          <t>코스피</t>
        </is>
      </c>
      <c r="D9928" s="2" t="inlineStr">
        <is>
          <t>259960</t>
        </is>
      </c>
      <c r="E9928" s="3" t="inlineStr">
        <is>
          <t>임원ㆍ주요주주특정증권등소유상황보고서</t>
        </is>
      </c>
      <c r="F9928" s="3" t="inlineStr">
        <is>
          <t>Ko Thomas Woonyoung</t>
        </is>
      </c>
      <c r="G9928" s="2" t="inlineStr">
        <is>
          <t>20260608000318</t>
        </is>
      </c>
      <c r="H9928" s="8">
        <f>HYPERLINK("https://dart.fss.or.kr/dsaf001/main.do?rcpNo=20260608000318", "공시열람")</f>
        <v/>
      </c>
    </row>
    <row r="9929">
      <c r="A9929" s="2" t="inlineStr">
        <is>
          <t>2026-06-08</t>
        </is>
      </c>
      <c r="B9929" s="3" t="inlineStr">
        <is>
          <t>엔켐</t>
        </is>
      </c>
      <c r="C9929" s="2" t="inlineStr">
        <is>
          <t>코스닥</t>
        </is>
      </c>
      <c r="D9929" s="2" t="inlineStr">
        <is>
          <t>348370</t>
        </is>
      </c>
      <c r="E9929" s="3" t="inlineStr">
        <is>
          <t>전환가액의조정              (제13회차)</t>
        </is>
      </c>
      <c r="F9929" s="3" t="inlineStr">
        <is>
          <t>엔켐</t>
        </is>
      </c>
      <c r="G9929" s="2" t="inlineStr">
        <is>
          <t>20260608900730</t>
        </is>
      </c>
      <c r="H9929" s="8">
        <f>HYPERLINK("https://dart.fss.or.kr/dsaf001/main.do?rcpNo=20260608900730", "공시열람")</f>
        <v/>
      </c>
    </row>
    <row r="9930">
      <c r="A9930" s="2" t="inlineStr">
        <is>
          <t>2026-06-08</t>
        </is>
      </c>
      <c r="B9930" s="3" t="inlineStr">
        <is>
          <t>원익큐브</t>
        </is>
      </c>
      <c r="C9930" s="2" t="inlineStr">
        <is>
          <t>코스닥</t>
        </is>
      </c>
      <c r="D9930" s="2" t="inlineStr">
        <is>
          <t>014190</t>
        </is>
      </c>
      <c r="E9930" s="3" t="inlineStr">
        <is>
          <t>임원ㆍ주요주주특정증권등소유상황보고서</t>
        </is>
      </c>
      <c r="F9930" s="3" t="inlineStr">
        <is>
          <t>양지용</t>
        </is>
      </c>
      <c r="G9930" s="2" t="inlineStr">
        <is>
          <t>20260608000316</t>
        </is>
      </c>
      <c r="H9930" s="8">
        <f>HYPERLINK("https://dart.fss.or.kr/dsaf001/main.do?rcpNo=20260608000316", "공시열람")</f>
        <v/>
      </c>
    </row>
    <row r="9931">
      <c r="A9931" s="2" t="inlineStr">
        <is>
          <t>2026-06-08</t>
        </is>
      </c>
      <c r="B9931" s="3" t="inlineStr">
        <is>
          <t>사조오양</t>
        </is>
      </c>
      <c r="C9931" s="2" t="inlineStr">
        <is>
          <t>코스피</t>
        </is>
      </c>
      <c r="D9931" s="2" t="inlineStr">
        <is>
          <t>006090</t>
        </is>
      </c>
      <c r="E9931" s="3" t="inlineStr">
        <is>
          <t>임원ㆍ주요주주특정증권등소유상황보고서</t>
        </is>
      </c>
      <c r="F9931" s="3" t="inlineStr">
        <is>
          <t>주지홍</t>
        </is>
      </c>
      <c r="G9931" s="2" t="inlineStr">
        <is>
          <t>20260608000315</t>
        </is>
      </c>
      <c r="H9931" s="8">
        <f>HYPERLINK("https://dart.fss.or.kr/dsaf001/main.do?rcpNo=20260608000315", "공시열람")</f>
        <v/>
      </c>
    </row>
    <row r="9932">
      <c r="A9932" s="2" t="inlineStr">
        <is>
          <t>2026-06-08</t>
        </is>
      </c>
      <c r="B9932" s="3" t="inlineStr">
        <is>
          <t>아시아경제</t>
        </is>
      </c>
      <c r="C9932" s="2" t="inlineStr">
        <is>
          <t>코스닥</t>
        </is>
      </c>
      <c r="D9932" s="2" t="inlineStr">
        <is>
          <t>127710</t>
        </is>
      </c>
      <c r="E9932" s="3" t="inlineStr">
        <is>
          <t>신탁계약에의한취득상황보고서</t>
        </is>
      </c>
      <c r="F9932" s="3" t="inlineStr">
        <is>
          <t>아시아경제</t>
        </is>
      </c>
      <c r="G9932" s="2" t="inlineStr">
        <is>
          <t>20260608000312</t>
        </is>
      </c>
      <c r="H9932" s="8">
        <f>HYPERLINK("https://dart.fss.or.kr/dsaf001/main.do?rcpNo=20260608000312", "공시열람")</f>
        <v/>
      </c>
    </row>
    <row r="9933">
      <c r="A9933" s="2" t="inlineStr">
        <is>
          <t>2026-06-08</t>
        </is>
      </c>
      <c r="B9933" s="3" t="inlineStr">
        <is>
          <t>퀀타매트릭스</t>
        </is>
      </c>
      <c r="C9933" s="2" t="inlineStr">
        <is>
          <t>코스닥</t>
        </is>
      </c>
      <c r="D9933" s="2" t="inlineStr">
        <is>
          <t>317690</t>
        </is>
      </c>
      <c r="E9933" s="3" t="inlineStr">
        <is>
          <t xml:space="preserve">전환사채(해외전환사채포함)발행후만기전사채취득              </t>
        </is>
      </c>
      <c r="F9933" s="3" t="inlineStr">
        <is>
          <t>퀀타매트릭스</t>
        </is>
      </c>
      <c r="G9933" s="2" t="inlineStr">
        <is>
          <t>20260608900788</t>
        </is>
      </c>
      <c r="H9933" s="8">
        <f>HYPERLINK("https://dart.fss.or.kr/dsaf001/main.do?rcpNo=20260608900788", "공시열람")</f>
        <v/>
      </c>
    </row>
    <row r="9934">
      <c r="A9934" s="2" t="inlineStr">
        <is>
          <t>2026-06-08</t>
        </is>
      </c>
      <c r="B9934" s="3" t="inlineStr">
        <is>
          <t>NH투자증권</t>
        </is>
      </c>
      <c r="C9934" s="2" t="inlineStr">
        <is>
          <t>코스피</t>
        </is>
      </c>
      <c r="D9934" s="2" t="inlineStr">
        <is>
          <t>005940</t>
        </is>
      </c>
      <c r="E9934" s="3" t="inlineStr">
        <is>
          <t>증권발행실적보고서</t>
        </is>
      </c>
      <c r="F9934" s="3" t="inlineStr">
        <is>
          <t>NH투자증권</t>
        </is>
      </c>
      <c r="G9934" s="2" t="inlineStr">
        <is>
          <t>20260608000307</t>
        </is>
      </c>
      <c r="H9934" s="8">
        <f>HYPERLINK("https://dart.fss.or.kr/dsaf001/main.do?rcpNo=20260608000307", "공시열람")</f>
        <v/>
      </c>
    </row>
    <row r="9935">
      <c r="A9935" s="2" t="inlineStr">
        <is>
          <t>2026-06-08</t>
        </is>
      </c>
      <c r="B9935" s="3" t="inlineStr">
        <is>
          <t>NH투자증권</t>
        </is>
      </c>
      <c r="C9935" s="2" t="inlineStr">
        <is>
          <t>코스피</t>
        </is>
      </c>
      <c r="D9935" s="2" t="inlineStr">
        <is>
          <t>005940</t>
        </is>
      </c>
      <c r="E9935" s="3" t="inlineStr">
        <is>
          <t>투자설명서(일괄신고)</t>
        </is>
      </c>
      <c r="F9935" s="3" t="inlineStr">
        <is>
          <t>NH투자증권</t>
        </is>
      </c>
      <c r="G9935" s="2" t="inlineStr">
        <is>
          <t>20260608000305</t>
        </is>
      </c>
      <c r="H9935" s="8">
        <f>HYPERLINK("https://dart.fss.or.kr/dsaf001/main.do?rcpNo=20260608000305", "공시열람")</f>
        <v/>
      </c>
    </row>
    <row r="9936">
      <c r="A9936" s="2" t="inlineStr">
        <is>
          <t>2026-06-08</t>
        </is>
      </c>
      <c r="B9936" s="3" t="inlineStr">
        <is>
          <t>우리엔터프라이즈</t>
        </is>
      </c>
      <c r="C9936" s="2" t="inlineStr">
        <is>
          <t>코스닥</t>
        </is>
      </c>
      <c r="D9936" s="2" t="inlineStr">
        <is>
          <t>037400</t>
        </is>
      </c>
      <c r="E9936" s="3" t="inlineStr">
        <is>
          <t xml:space="preserve">주식병합결정              </t>
        </is>
      </c>
      <c r="F9936" s="3" t="inlineStr">
        <is>
          <t>우리엔터프라이즈</t>
        </is>
      </c>
      <c r="G9936" s="2" t="inlineStr">
        <is>
          <t>20260608900776</t>
        </is>
      </c>
      <c r="H9936" s="8">
        <f>HYPERLINK("https://dart.fss.or.kr/dsaf001/main.do?rcpNo=20260608900776", "공시열람")</f>
        <v/>
      </c>
    </row>
    <row r="9937">
      <c r="A9937" s="2" t="inlineStr">
        <is>
          <t>2026-06-08</t>
        </is>
      </c>
      <c r="B9937" s="3" t="inlineStr">
        <is>
          <t>풍원정밀</t>
        </is>
      </c>
      <c r="C9937" s="2" t="inlineStr">
        <is>
          <t>코스닥</t>
        </is>
      </c>
      <c r="D9937" s="2" t="inlineStr">
        <is>
          <t>371950</t>
        </is>
      </c>
      <c r="E9937" s="3" t="inlineStr">
        <is>
          <t>[기재정정]임원ㆍ주요주주특정증권등소유상황보고서</t>
        </is>
      </c>
      <c r="F9937" s="3" t="inlineStr">
        <is>
          <t>유명훈</t>
        </is>
      </c>
      <c r="G9937" s="2" t="inlineStr">
        <is>
          <t>20260608000303</t>
        </is>
      </c>
      <c r="H9937" s="8">
        <f>HYPERLINK("https://dart.fss.or.kr/dsaf001/main.do?rcpNo=20260608000303", "공시열람")</f>
        <v/>
      </c>
    </row>
    <row r="9938">
      <c r="A9938" s="2" t="inlineStr">
        <is>
          <t>2026-06-08</t>
        </is>
      </c>
      <c r="B9938" s="3" t="inlineStr">
        <is>
          <t>보로노이</t>
        </is>
      </c>
      <c r="C9938" s="2" t="inlineStr">
        <is>
          <t>코스닥</t>
        </is>
      </c>
      <c r="D9938" s="2" t="inlineStr">
        <is>
          <t>310210</t>
        </is>
      </c>
      <c r="E9938" s="3" t="inlineStr">
        <is>
          <t>임원ㆍ주요주주특정증권등소유상황보고서</t>
        </is>
      </c>
      <c r="F9938" s="3" t="inlineStr">
        <is>
          <t>이상진</t>
        </is>
      </c>
      <c r="G9938" s="2" t="inlineStr">
        <is>
          <t>20260608000302</t>
        </is>
      </c>
      <c r="H9938" s="8">
        <f>HYPERLINK("https://dart.fss.or.kr/dsaf001/main.do?rcpNo=20260608000302", "공시열람")</f>
        <v/>
      </c>
    </row>
    <row r="9939">
      <c r="A9939" s="2" t="inlineStr">
        <is>
          <t>2026-06-08</t>
        </is>
      </c>
      <c r="B9939" s="3" t="inlineStr">
        <is>
          <t>케이엠</t>
        </is>
      </c>
      <c r="C9939" s="2" t="inlineStr">
        <is>
          <t>코스닥</t>
        </is>
      </c>
      <c r="D9939" s="2" t="inlineStr">
        <is>
          <t>083550</t>
        </is>
      </c>
      <c r="E9939" s="3" t="inlineStr">
        <is>
          <t>임원ㆍ주요주주특정증권등거래계획보고서</t>
        </is>
      </c>
      <c r="F9939" s="3" t="inlineStr">
        <is>
          <t>신지훈</t>
        </is>
      </c>
      <c r="G9939" s="2" t="inlineStr">
        <is>
          <t>20260608000301</t>
        </is>
      </c>
      <c r="H9939" s="8">
        <f>HYPERLINK("https://dart.fss.or.kr/dsaf001/main.do?rcpNo=20260608000301", "공시열람")</f>
        <v/>
      </c>
    </row>
    <row r="9940">
      <c r="A9940" s="2" t="inlineStr">
        <is>
          <t>2026-06-08</t>
        </is>
      </c>
      <c r="B9940" s="3" t="inlineStr">
        <is>
          <t>우리바이오</t>
        </is>
      </c>
      <c r="C9940" s="2" t="inlineStr">
        <is>
          <t>코스닥</t>
        </is>
      </c>
      <c r="D9940" s="2" t="inlineStr">
        <is>
          <t>082850</t>
        </is>
      </c>
      <c r="E9940" s="3" t="inlineStr">
        <is>
          <t xml:space="preserve">주식병합결정              </t>
        </is>
      </c>
      <c r="F9940" s="3" t="inlineStr">
        <is>
          <t>우리바이오</t>
        </is>
      </c>
      <c r="G9940" s="2" t="inlineStr">
        <is>
          <t>20260608900766</t>
        </is>
      </c>
      <c r="H9940" s="8">
        <f>HYPERLINK("https://dart.fss.or.kr/dsaf001/main.do?rcpNo=20260608900766", "공시열람")</f>
        <v/>
      </c>
    </row>
    <row r="9941">
      <c r="A9941" s="2" t="inlineStr">
        <is>
          <t>2026-06-08</t>
        </is>
      </c>
      <c r="B9941" s="3" t="inlineStr">
        <is>
          <t>HLB생명과학</t>
        </is>
      </c>
      <c r="C9941" s="2" t="inlineStr">
        <is>
          <t>코스닥</t>
        </is>
      </c>
      <c r="D9941" s="2" t="inlineStr">
        <is>
          <t>067630</t>
        </is>
      </c>
      <c r="E9941" s="3" t="inlineStr">
        <is>
          <t>증권발행결과(자율공시)              (제17회차 CB)</t>
        </is>
      </c>
      <c r="F9941" s="3" t="inlineStr">
        <is>
          <t>HLB생명과학</t>
        </is>
      </c>
      <c r="G9941" s="2" t="inlineStr">
        <is>
          <t>20260608900752</t>
        </is>
      </c>
      <c r="H9941" s="8">
        <f>HYPERLINK("https://dart.fss.or.kr/dsaf001/main.do?rcpNo=20260608900752", "공시열람")</f>
        <v/>
      </c>
    </row>
    <row r="9942">
      <c r="A9942" s="2" t="inlineStr">
        <is>
          <t>2026-06-08</t>
        </is>
      </c>
      <c r="B9942" s="3" t="inlineStr">
        <is>
          <t>아즈텍WB</t>
        </is>
      </c>
      <c r="C9942" s="2" t="inlineStr">
        <is>
          <t>코스닥</t>
        </is>
      </c>
      <c r="D9942" s="2" t="inlineStr">
        <is>
          <t>032080</t>
        </is>
      </c>
      <c r="E9942" s="3" t="inlineStr">
        <is>
          <t>임원ㆍ주요주주특정증권등소유상황보고서</t>
        </is>
      </c>
      <c r="F9942" s="3" t="inlineStr">
        <is>
          <t>유송코퍼레이션</t>
        </is>
      </c>
      <c r="G9942" s="2" t="inlineStr">
        <is>
          <t>20260608000297</t>
        </is>
      </c>
      <c r="H9942" s="8">
        <f>HYPERLINK("https://dart.fss.or.kr/dsaf001/main.do?rcpNo=20260608000297", "공시열람")</f>
        <v/>
      </c>
    </row>
    <row r="9943">
      <c r="A9943" s="2" t="inlineStr">
        <is>
          <t>2026-06-08</t>
        </is>
      </c>
      <c r="B9943" s="3" t="inlineStr">
        <is>
          <t>KB스타리츠</t>
        </is>
      </c>
      <c r="C9943" s="2" t="inlineStr">
        <is>
          <t>코스피</t>
        </is>
      </c>
      <c r="D9943" s="2" t="inlineStr">
        <is>
          <t>432320</t>
        </is>
      </c>
      <c r="E9943" s="3" t="inlineStr">
        <is>
          <t xml:space="preserve">타법인주식및출자증권취득결정              </t>
        </is>
      </c>
      <c r="F9943" s="3" t="inlineStr">
        <is>
          <t>KB스타리츠</t>
        </is>
      </c>
      <c r="G9943" s="2" t="inlineStr">
        <is>
          <t>20260608800727</t>
        </is>
      </c>
      <c r="H9943" s="8">
        <f>HYPERLINK("https://dart.fss.or.kr/dsaf001/main.do?rcpNo=20260608800727", "공시열람")</f>
        <v/>
      </c>
    </row>
    <row r="9944">
      <c r="A9944" s="2" t="inlineStr">
        <is>
          <t>2026-06-08</t>
        </is>
      </c>
      <c r="B9944" s="3" t="inlineStr">
        <is>
          <t>BYC</t>
        </is>
      </c>
      <c r="C9944" s="2" t="inlineStr">
        <is>
          <t>코스피</t>
        </is>
      </c>
      <c r="D9944" s="2" t="inlineStr">
        <is>
          <t>001460</t>
        </is>
      </c>
      <c r="E9944" s="3" t="inlineStr">
        <is>
          <t>임원ㆍ주요주주특정증권등소유상황보고서</t>
        </is>
      </c>
      <c r="F9944" s="3" t="inlineStr">
        <is>
          <t>한승홀딩스</t>
        </is>
      </c>
      <c r="G9944" s="2" t="inlineStr">
        <is>
          <t>20260608000295</t>
        </is>
      </c>
      <c r="H9944" s="8">
        <f>HYPERLINK("https://dart.fss.or.kr/dsaf001/main.do?rcpNo=20260608000295", "공시열람")</f>
        <v/>
      </c>
    </row>
    <row r="9945">
      <c r="A9945" s="2" t="inlineStr">
        <is>
          <t>2026-06-08</t>
        </is>
      </c>
      <c r="B9945" s="3" t="inlineStr">
        <is>
          <t>우리이앤엘하루틴</t>
        </is>
      </c>
      <c r="C9945" s="2" t="inlineStr">
        <is>
          <t>코스닥</t>
        </is>
      </c>
      <c r="D9945" s="2" t="inlineStr">
        <is>
          <t>153490</t>
        </is>
      </c>
      <c r="E9945" s="3" t="inlineStr">
        <is>
          <t xml:space="preserve">주식병합결정              </t>
        </is>
      </c>
      <c r="F9945" s="3" t="inlineStr">
        <is>
          <t>우리이앤엘하루틴</t>
        </is>
      </c>
      <c r="G9945" s="2" t="inlineStr">
        <is>
          <t>20260608900757</t>
        </is>
      </c>
      <c r="H9945" s="8">
        <f>HYPERLINK("https://dart.fss.or.kr/dsaf001/main.do?rcpNo=20260608900757", "공시열람")</f>
        <v/>
      </c>
    </row>
    <row r="9946">
      <c r="A9946" s="2" t="inlineStr">
        <is>
          <t>2026-06-08</t>
        </is>
      </c>
      <c r="B9946" s="3" t="inlineStr">
        <is>
          <t>에이루트</t>
        </is>
      </c>
      <c r="C9946" s="2" t="inlineStr">
        <is>
          <t>코스닥</t>
        </is>
      </c>
      <c r="D9946" s="2" t="inlineStr">
        <is>
          <t>096690</t>
        </is>
      </c>
      <c r="E9946" s="3" t="inlineStr">
        <is>
          <t>임원ㆍ주요주주특정증권등소유상황보고서</t>
        </is>
      </c>
      <c r="F9946" s="3" t="inlineStr">
        <is>
          <t>서문동군</t>
        </is>
      </c>
      <c r="G9946" s="2" t="inlineStr">
        <is>
          <t>20260608000292</t>
        </is>
      </c>
      <c r="H9946" s="8">
        <f>HYPERLINK("https://dart.fss.or.kr/dsaf001/main.do?rcpNo=20260608000292", "공시열람")</f>
        <v/>
      </c>
    </row>
    <row r="9947">
      <c r="A9947" s="2" t="inlineStr">
        <is>
          <t>2026-06-08</t>
        </is>
      </c>
      <c r="B9947" s="3" t="inlineStr">
        <is>
          <t>크래프톤</t>
        </is>
      </c>
      <c r="C9947" s="2" t="inlineStr">
        <is>
          <t>코스피</t>
        </is>
      </c>
      <c r="D9947" s="2" t="inlineStr">
        <is>
          <t>259960</t>
        </is>
      </c>
      <c r="E9947" s="3" t="inlineStr">
        <is>
          <t>임원ㆍ주요주주특정증권등소유상황보고서</t>
        </is>
      </c>
      <c r="F9947" s="3" t="inlineStr">
        <is>
          <t>이강욱</t>
        </is>
      </c>
      <c r="G9947" s="2" t="inlineStr">
        <is>
          <t>20260608000289</t>
        </is>
      </c>
      <c r="H9947" s="8">
        <f>HYPERLINK("https://dart.fss.or.kr/dsaf001/main.do?rcpNo=20260608000289", "공시열람")</f>
        <v/>
      </c>
    </row>
    <row r="9948">
      <c r="A9948" s="2" t="inlineStr">
        <is>
          <t>2026-06-08</t>
        </is>
      </c>
      <c r="B9948" s="3" t="inlineStr">
        <is>
          <t>BYC</t>
        </is>
      </c>
      <c r="C9948" s="2" t="inlineStr">
        <is>
          <t>코스피</t>
        </is>
      </c>
      <c r="D9948" s="2" t="inlineStr">
        <is>
          <t>001460</t>
        </is>
      </c>
      <c r="E9948" s="3" t="inlineStr">
        <is>
          <t>임원ㆍ주요주주특정증권등소유상황보고서</t>
        </is>
      </c>
      <c r="F9948" s="3" t="inlineStr">
        <is>
          <t>김대환</t>
        </is>
      </c>
      <c r="G9948" s="2" t="inlineStr">
        <is>
          <t>20260608000287</t>
        </is>
      </c>
      <c r="H9948" s="8">
        <f>HYPERLINK("https://dart.fss.or.kr/dsaf001/main.do?rcpNo=20260608000287", "공시열람")</f>
        <v/>
      </c>
    </row>
    <row r="9949">
      <c r="A9949" s="2" t="inlineStr">
        <is>
          <t>2026-06-08</t>
        </is>
      </c>
      <c r="B9949" s="3" t="inlineStr">
        <is>
          <t>도화엔지니어링</t>
        </is>
      </c>
      <c r="C9949" s="2" t="inlineStr">
        <is>
          <t>코스피</t>
        </is>
      </c>
      <c r="D9949" s="2" t="inlineStr">
        <is>
          <t>002150</t>
        </is>
      </c>
      <c r="E9949" s="3" t="inlineStr">
        <is>
          <t>임원ㆍ주요주주특정증권등소유상황보고서</t>
        </is>
      </c>
      <c r="F9949" s="3" t="inlineStr">
        <is>
          <t>김덕구</t>
        </is>
      </c>
      <c r="G9949" s="2" t="inlineStr">
        <is>
          <t>20260608000285</t>
        </is>
      </c>
      <c r="H9949" s="8">
        <f>HYPERLINK("https://dart.fss.or.kr/dsaf001/main.do?rcpNo=20260608000285", "공시열람")</f>
        <v/>
      </c>
    </row>
    <row r="9950">
      <c r="A9950" s="2" t="inlineStr">
        <is>
          <t>2026-06-08</t>
        </is>
      </c>
      <c r="B9950" s="3" t="inlineStr">
        <is>
          <t>케이엠</t>
        </is>
      </c>
      <c r="C9950" s="2" t="inlineStr">
        <is>
          <t>코스닥</t>
        </is>
      </c>
      <c r="D9950" s="2" t="inlineStr">
        <is>
          <t>083550</t>
        </is>
      </c>
      <c r="E9950" s="3" t="inlineStr">
        <is>
          <t>임원ㆍ주요주주특정증권등거래계획보고서</t>
        </is>
      </c>
      <c r="F9950" s="3" t="inlineStr">
        <is>
          <t>신병순</t>
        </is>
      </c>
      <c r="G9950" s="2" t="inlineStr">
        <is>
          <t>20260608000284</t>
        </is>
      </c>
      <c r="H9950" s="8">
        <f>HYPERLINK("https://dart.fss.or.kr/dsaf001/main.do?rcpNo=20260608000284", "공시열람")</f>
        <v/>
      </c>
    </row>
    <row r="9951">
      <c r="A9951" s="2" t="inlineStr">
        <is>
          <t>2026-06-08</t>
        </is>
      </c>
      <c r="B9951" s="3" t="inlineStr">
        <is>
          <t>NH투자증권</t>
        </is>
      </c>
      <c r="C9951" s="2" t="inlineStr">
        <is>
          <t>코스피</t>
        </is>
      </c>
      <c r="D9951" s="2" t="inlineStr">
        <is>
          <t>005940</t>
        </is>
      </c>
      <c r="E9951" s="3" t="inlineStr">
        <is>
          <t>일괄신고추가서류(파생결합증권-주가연계증권)</t>
        </is>
      </c>
      <c r="F9951" s="3" t="inlineStr">
        <is>
          <t>NH투자증권</t>
        </is>
      </c>
      <c r="G9951" s="2" t="inlineStr">
        <is>
          <t>20260608000283</t>
        </is>
      </c>
      <c r="H9951" s="8">
        <f>HYPERLINK("https://dart.fss.or.kr/dsaf001/main.do?rcpNo=20260608000283", "공시열람")</f>
        <v/>
      </c>
    </row>
    <row r="9952">
      <c r="A9952" s="2" t="inlineStr">
        <is>
          <t>2026-06-08</t>
        </is>
      </c>
      <c r="B9952" s="3" t="inlineStr">
        <is>
          <t>보로노이</t>
        </is>
      </c>
      <c r="C9952" s="2" t="inlineStr">
        <is>
          <t>코스닥</t>
        </is>
      </c>
      <c r="D9952" s="2" t="inlineStr">
        <is>
          <t>310210</t>
        </is>
      </c>
      <c r="E9952" s="3" t="inlineStr">
        <is>
          <t>임원ㆍ주요주주특정증권등소유상황보고서</t>
        </is>
      </c>
      <c r="F9952" s="3" t="inlineStr">
        <is>
          <t>김성환</t>
        </is>
      </c>
      <c r="G9952" s="2" t="inlineStr">
        <is>
          <t>20260608000280</t>
        </is>
      </c>
      <c r="H9952" s="8">
        <f>HYPERLINK("https://dart.fss.or.kr/dsaf001/main.do?rcpNo=20260608000280", "공시열람")</f>
        <v/>
      </c>
    </row>
    <row r="9953">
      <c r="A9953" s="2" t="inlineStr">
        <is>
          <t>2026-06-08</t>
        </is>
      </c>
      <c r="B9953" s="3" t="inlineStr">
        <is>
          <t>풍원정밀</t>
        </is>
      </c>
      <c r="C9953" s="2" t="inlineStr">
        <is>
          <t>코스닥</t>
        </is>
      </c>
      <c r="D9953" s="2" t="inlineStr">
        <is>
          <t>371950</t>
        </is>
      </c>
      <c r="E9953" s="3" t="inlineStr">
        <is>
          <t>임원ㆍ주요주주특정증권등소유상황보고서</t>
        </is>
      </c>
      <c r="F9953" s="3" t="inlineStr">
        <is>
          <t>유명훈</t>
        </is>
      </c>
      <c r="G9953" s="2" t="inlineStr">
        <is>
          <t>20260608000275</t>
        </is>
      </c>
      <c r="H9953" s="8">
        <f>HYPERLINK("https://dart.fss.or.kr/dsaf001/main.do?rcpNo=20260608000275", "공시열람")</f>
        <v/>
      </c>
    </row>
    <row r="9954">
      <c r="A9954" s="2" t="inlineStr">
        <is>
          <t>2026-06-08</t>
        </is>
      </c>
      <c r="B9954" s="3" t="inlineStr">
        <is>
          <t>SK텔레콤</t>
        </is>
      </c>
      <c r="C9954" s="2" t="inlineStr">
        <is>
          <t>코스피</t>
        </is>
      </c>
      <c r="D9954" s="2" t="inlineStr">
        <is>
          <t>017670</t>
        </is>
      </c>
      <c r="E9954" s="3" t="inlineStr">
        <is>
          <t xml:space="preserve">풍문또는보도에대한해명              </t>
        </is>
      </c>
      <c r="F9954" s="3" t="inlineStr">
        <is>
          <t>SK텔레콤</t>
        </is>
      </c>
      <c r="G9954" s="2" t="inlineStr">
        <is>
          <t>20260608800721</t>
        </is>
      </c>
      <c r="H9954" s="8">
        <f>HYPERLINK("https://dart.fss.or.kr/dsaf001/main.do?rcpNo=20260608800721", "공시열람")</f>
        <v/>
      </c>
    </row>
    <row r="9955">
      <c r="A9955" s="2" t="inlineStr">
        <is>
          <t>2026-06-08</t>
        </is>
      </c>
      <c r="B9955" s="3" t="inlineStr">
        <is>
          <t>디에이치엑스컴퍼니</t>
        </is>
      </c>
      <c r="C9955" s="2" t="inlineStr">
        <is>
          <t>코스닥</t>
        </is>
      </c>
      <c r="D9955" s="2" t="inlineStr">
        <is>
          <t>031860</t>
        </is>
      </c>
      <c r="E9955" s="3" t="inlineStr">
        <is>
          <t xml:space="preserve">조회공시요구(현저한시황변동)에대한답변(미확정)              </t>
        </is>
      </c>
      <c r="F9955" s="3" t="inlineStr">
        <is>
          <t>디에이치엑스컴퍼니</t>
        </is>
      </c>
      <c r="G9955" s="2" t="inlineStr">
        <is>
          <t>20260608900669</t>
        </is>
      </c>
      <c r="H9955" s="8">
        <f>HYPERLINK("https://dart.fss.or.kr/dsaf001/main.do?rcpNo=20260608900669", "공시열람")</f>
        <v/>
      </c>
    </row>
    <row r="9956">
      <c r="A9956" s="2" t="inlineStr">
        <is>
          <t>2026-06-08</t>
        </is>
      </c>
      <c r="B9956" s="3" t="inlineStr">
        <is>
          <t>하이퍼코퍼레이션</t>
        </is>
      </c>
      <c r="C9956" s="2" t="inlineStr">
        <is>
          <t>코스닥</t>
        </is>
      </c>
      <c r="D9956" s="2" t="inlineStr">
        <is>
          <t>065650</t>
        </is>
      </c>
      <c r="E9956" s="3" t="inlineStr">
        <is>
          <t>주권매매거래정지해제              (액면병합 주권 변경상장)</t>
        </is>
      </c>
      <c r="F9956" s="3" t="inlineStr">
        <is>
          <t>코스닥시장본부</t>
        </is>
      </c>
      <c r="G9956" s="2" t="inlineStr">
        <is>
          <t>20260608900704</t>
        </is>
      </c>
      <c r="H9956" s="8">
        <f>HYPERLINK("https://dart.fss.or.kr/dsaf001/main.do?rcpNo=20260608900704", "공시열람")</f>
        <v/>
      </c>
    </row>
    <row r="9957">
      <c r="A9957" s="2" t="inlineStr">
        <is>
          <t>2026-06-08</t>
        </is>
      </c>
      <c r="B9957" s="3" t="inlineStr">
        <is>
          <t>크래프톤</t>
        </is>
      </c>
      <c r="C9957" s="2" t="inlineStr">
        <is>
          <t>코스피</t>
        </is>
      </c>
      <c r="D9957" s="2" t="inlineStr">
        <is>
          <t>259960</t>
        </is>
      </c>
      <c r="E9957" s="3" t="inlineStr">
        <is>
          <t>임원ㆍ주요주주특정증권등소유상황보고서</t>
        </is>
      </c>
      <c r="F9957" s="3" t="inlineStr">
        <is>
          <t>배동근</t>
        </is>
      </c>
      <c r="G9957" s="2" t="inlineStr">
        <is>
          <t>20260608000271</t>
        </is>
      </c>
      <c r="H9957" s="8">
        <f>HYPERLINK("https://dart.fss.or.kr/dsaf001/main.do?rcpNo=20260608000271", "공시열람")</f>
        <v/>
      </c>
    </row>
    <row r="9958">
      <c r="A9958" s="2" t="inlineStr">
        <is>
          <t>2026-06-08</t>
        </is>
      </c>
      <c r="B9958" s="3" t="inlineStr">
        <is>
          <t>엘브이엠씨</t>
        </is>
      </c>
      <c r="C9958" s="2" t="inlineStr">
        <is>
          <t>코스피</t>
        </is>
      </c>
      <c r="D9958" s="2" t="inlineStr">
        <is>
          <t>900140</t>
        </is>
      </c>
      <c r="E9958" s="3" t="inlineStr">
        <is>
          <t xml:space="preserve">전환가액ㆍ신주인수권행사가액ㆍ교환가액의조정(안내공시)              </t>
        </is>
      </c>
      <c r="F9958" s="3" t="inlineStr">
        <is>
          <t>엘브이엠씨</t>
        </is>
      </c>
      <c r="G9958" s="2" t="inlineStr">
        <is>
          <t>20260608800702</t>
        </is>
      </c>
      <c r="H9958" s="8">
        <f>HYPERLINK("https://dart.fss.or.kr/dsaf001/main.do?rcpNo=20260608800702", "공시열람")</f>
        <v/>
      </c>
    </row>
    <row r="9959">
      <c r="A9959" s="2" t="inlineStr">
        <is>
          <t>2026-06-08</t>
        </is>
      </c>
      <c r="B9959" s="3" t="inlineStr">
        <is>
          <t>크래프톤</t>
        </is>
      </c>
      <c r="C9959" s="2" t="inlineStr">
        <is>
          <t>코스피</t>
        </is>
      </c>
      <c r="D9959" s="2" t="inlineStr">
        <is>
          <t>259960</t>
        </is>
      </c>
      <c r="E9959" s="3" t="inlineStr">
        <is>
          <t>임원ㆍ주요주주특정증권등소유상황보고서</t>
        </is>
      </c>
      <c r="F9959" s="3" t="inlineStr">
        <is>
          <t>장병규</t>
        </is>
      </c>
      <c r="G9959" s="2" t="inlineStr">
        <is>
          <t>20260608000265</t>
        </is>
      </c>
      <c r="H9959" s="8">
        <f>HYPERLINK("https://dart.fss.or.kr/dsaf001/main.do?rcpNo=20260608000265", "공시열람")</f>
        <v/>
      </c>
    </row>
    <row r="9960">
      <c r="A9960" s="2" t="inlineStr">
        <is>
          <t>2026-06-08</t>
        </is>
      </c>
      <c r="B9960" s="3" t="inlineStr">
        <is>
          <t>HLB파나진</t>
        </is>
      </c>
      <c r="C9960" s="2" t="inlineStr">
        <is>
          <t>코스닥</t>
        </is>
      </c>
      <c r="D9960" s="2" t="inlineStr">
        <is>
          <t>046210</t>
        </is>
      </c>
      <c r="E9960" s="3" t="inlineStr">
        <is>
          <t>임원ㆍ주요주주특정증권등소유상황보고서</t>
        </is>
      </c>
      <c r="F9960" s="3" t="inlineStr">
        <is>
          <t>박재진</t>
        </is>
      </c>
      <c r="G9960" s="2" t="inlineStr">
        <is>
          <t>20260608000263</t>
        </is>
      </c>
      <c r="H9960" s="8">
        <f>HYPERLINK("https://dart.fss.or.kr/dsaf001/main.do?rcpNo=20260608000263", "공시열람")</f>
        <v/>
      </c>
    </row>
    <row r="9961">
      <c r="A9961" s="2" t="inlineStr">
        <is>
          <t>2026-06-08</t>
        </is>
      </c>
      <c r="B9961" s="3" t="inlineStr">
        <is>
          <t>알로이스</t>
        </is>
      </c>
      <c r="C9961" s="2" t="inlineStr">
        <is>
          <t>코스닥</t>
        </is>
      </c>
      <c r="D9961" s="2" t="inlineStr">
        <is>
          <t>297570</t>
        </is>
      </c>
      <c r="E9961" s="3" t="inlineStr">
        <is>
          <t xml:space="preserve">소송등의판결ㆍ결정              </t>
        </is>
      </c>
      <c r="F9961" s="3" t="inlineStr">
        <is>
          <t>알로이스</t>
        </is>
      </c>
      <c r="G9961" s="2" t="inlineStr">
        <is>
          <t>20260608900703</t>
        </is>
      </c>
      <c r="H9961" s="8">
        <f>HYPERLINK("https://dart.fss.or.kr/dsaf001/main.do?rcpNo=20260608900703", "공시열람")</f>
        <v/>
      </c>
    </row>
    <row r="9962">
      <c r="A9962" s="2" t="inlineStr">
        <is>
          <t>2026-06-08</t>
        </is>
      </c>
      <c r="B9962" s="3" t="inlineStr">
        <is>
          <t>알로이스</t>
        </is>
      </c>
      <c r="C9962" s="2" t="inlineStr">
        <is>
          <t>코스닥</t>
        </is>
      </c>
      <c r="D9962" s="2" t="inlineStr">
        <is>
          <t>297570</t>
        </is>
      </c>
      <c r="E9962" s="3" t="inlineStr">
        <is>
          <t xml:space="preserve">소송등의판결ㆍ결정              </t>
        </is>
      </c>
      <c r="F9962" s="3" t="inlineStr">
        <is>
          <t>알로이스</t>
        </is>
      </c>
      <c r="G9962" s="2" t="inlineStr">
        <is>
          <t>20260608900698</t>
        </is>
      </c>
      <c r="H9962" s="8">
        <f>HYPERLINK("https://dart.fss.or.kr/dsaf001/main.do?rcpNo=20260608900698", "공시열람")</f>
        <v/>
      </c>
    </row>
    <row r="9963">
      <c r="A9963" s="2" t="inlineStr">
        <is>
          <t>2026-06-08</t>
        </is>
      </c>
      <c r="B9963" s="3" t="inlineStr">
        <is>
          <t>DB증권</t>
        </is>
      </c>
      <c r="C9963" s="2" t="inlineStr">
        <is>
          <t>코스피</t>
        </is>
      </c>
      <c r="D9963" s="2" t="inlineStr">
        <is>
          <t>016610</t>
        </is>
      </c>
      <c r="E9963" s="3" t="inlineStr">
        <is>
          <t>증권발행실적보고서</t>
        </is>
      </c>
      <c r="F9963" s="3" t="inlineStr">
        <is>
          <t>DB증권</t>
        </is>
      </c>
      <c r="G9963" s="2" t="inlineStr">
        <is>
          <t>20260608000261</t>
        </is>
      </c>
      <c r="H9963" s="8">
        <f>HYPERLINK("https://dart.fss.or.kr/dsaf001/main.do?rcpNo=20260608000261", "공시열람")</f>
        <v/>
      </c>
    </row>
    <row r="9964">
      <c r="A9964" s="2" t="inlineStr">
        <is>
          <t>2026-06-08</t>
        </is>
      </c>
      <c r="B9964" s="3" t="inlineStr">
        <is>
          <t>알로이스</t>
        </is>
      </c>
      <c r="C9964" s="2" t="inlineStr">
        <is>
          <t>코스닥</t>
        </is>
      </c>
      <c r="D9964" s="2" t="inlineStr">
        <is>
          <t>297570</t>
        </is>
      </c>
      <c r="E9964" s="3" t="inlineStr">
        <is>
          <t xml:space="preserve">소송등의판결ㆍ결정              </t>
        </is>
      </c>
      <c r="F9964" s="3" t="inlineStr">
        <is>
          <t>알로이스</t>
        </is>
      </c>
      <c r="G9964" s="2" t="inlineStr">
        <is>
          <t>20260608900693</t>
        </is>
      </c>
      <c r="H9964" s="8">
        <f>HYPERLINK("https://dart.fss.or.kr/dsaf001/main.do?rcpNo=20260608900693", "공시열람")</f>
        <v/>
      </c>
    </row>
    <row r="9965">
      <c r="A9965" s="2" t="inlineStr">
        <is>
          <t>2026-06-08</t>
        </is>
      </c>
      <c r="B9965" s="3" t="inlineStr">
        <is>
          <t>알로이스</t>
        </is>
      </c>
      <c r="C9965" s="2" t="inlineStr">
        <is>
          <t>코스닥</t>
        </is>
      </c>
      <c r="D9965" s="2" t="inlineStr">
        <is>
          <t>297570</t>
        </is>
      </c>
      <c r="E9965" s="3" t="inlineStr">
        <is>
          <t xml:space="preserve">소송등의판결ㆍ결정              </t>
        </is>
      </c>
      <c r="F9965" s="3" t="inlineStr">
        <is>
          <t>알로이스</t>
        </is>
      </c>
      <c r="G9965" s="2" t="inlineStr">
        <is>
          <t>20260608900691</t>
        </is>
      </c>
      <c r="H9965" s="8">
        <f>HYPERLINK("https://dart.fss.or.kr/dsaf001/main.do?rcpNo=20260608900691", "공시열람")</f>
        <v/>
      </c>
    </row>
    <row r="9966">
      <c r="A9966" s="2" t="inlineStr">
        <is>
          <t>2026-06-08</t>
        </is>
      </c>
      <c r="B9966" s="3" t="inlineStr">
        <is>
          <t>현대차증권</t>
        </is>
      </c>
      <c r="C9966" s="2" t="inlineStr">
        <is>
          <t>코스피</t>
        </is>
      </c>
      <c r="D9966" s="2" t="inlineStr">
        <is>
          <t>001500</t>
        </is>
      </c>
      <c r="E9966" s="3" t="inlineStr">
        <is>
          <t>일괄신고추가서류(기타파생결합사채)</t>
        </is>
      </c>
      <c r="F9966" s="3" t="inlineStr">
        <is>
          <t>현대차증권</t>
        </is>
      </c>
      <c r="G9966" s="2" t="inlineStr">
        <is>
          <t>20260608000259</t>
        </is>
      </c>
      <c r="H9966" s="8">
        <f>HYPERLINK("https://dart.fss.or.kr/dsaf001/main.do?rcpNo=20260608000259", "공시열람")</f>
        <v/>
      </c>
    </row>
    <row r="9967">
      <c r="A9967" s="2" t="inlineStr">
        <is>
          <t>2026-06-08</t>
        </is>
      </c>
      <c r="B9967" s="3" t="inlineStr">
        <is>
          <t>서연탑메탈</t>
        </is>
      </c>
      <c r="C9967" s="2" t="inlineStr">
        <is>
          <t>코스닥</t>
        </is>
      </c>
      <c r="D9967" s="2" t="inlineStr">
        <is>
          <t>019770</t>
        </is>
      </c>
      <c r="E9967" s="3" t="inlineStr">
        <is>
          <t>임원ㆍ주요주주특정증권등소유상황보고서</t>
        </is>
      </c>
      <c r="F9967" s="3" t="inlineStr">
        <is>
          <t>최원재</t>
        </is>
      </c>
      <c r="G9967" s="2" t="inlineStr">
        <is>
          <t>20260608000257</t>
        </is>
      </c>
      <c r="H9967" s="8">
        <f>HYPERLINK("https://dart.fss.or.kr/dsaf001/main.do?rcpNo=20260608000257", "공시열람")</f>
        <v/>
      </c>
    </row>
    <row r="9968">
      <c r="A9968" s="2" t="inlineStr">
        <is>
          <t>2026-06-08</t>
        </is>
      </c>
      <c r="B9968" s="3" t="inlineStr">
        <is>
          <t>알로이스</t>
        </is>
      </c>
      <c r="C9968" s="2" t="inlineStr">
        <is>
          <t>코스닥</t>
        </is>
      </c>
      <c r="D9968" s="2" t="inlineStr">
        <is>
          <t>297570</t>
        </is>
      </c>
      <c r="E9968" s="3" t="inlineStr">
        <is>
          <t xml:space="preserve">소송등의판결ㆍ결정              </t>
        </is>
      </c>
      <c r="F9968" s="3" t="inlineStr">
        <is>
          <t>알로이스</t>
        </is>
      </c>
      <c r="G9968" s="2" t="inlineStr">
        <is>
          <t>20260608900685</t>
        </is>
      </c>
      <c r="H9968" s="8">
        <f>HYPERLINK("https://dart.fss.or.kr/dsaf001/main.do?rcpNo=20260608900685", "공시열람")</f>
        <v/>
      </c>
    </row>
    <row r="9969">
      <c r="A9969" s="2" t="inlineStr">
        <is>
          <t>2026-06-08</t>
        </is>
      </c>
      <c r="B9969" s="3" t="inlineStr">
        <is>
          <t>두산로보틱스</t>
        </is>
      </c>
      <c r="C9969" s="2" t="inlineStr">
        <is>
          <t>코스피</t>
        </is>
      </c>
      <c r="D9969" s="2" t="inlineStr">
        <is>
          <t>454910</t>
        </is>
      </c>
      <c r="E9969" s="3" t="inlineStr">
        <is>
          <t xml:space="preserve">기업설명회(IR)개최(안내공시)              </t>
        </is>
      </c>
      <c r="F9969" s="3" t="inlineStr">
        <is>
          <t>두산로보틱스</t>
        </is>
      </c>
      <c r="G9969" s="2" t="inlineStr">
        <is>
          <t>20260608800672</t>
        </is>
      </c>
      <c r="H9969" s="8">
        <f>HYPERLINK("https://dart.fss.or.kr/dsaf001/main.do?rcpNo=20260608800672", "공시열람")</f>
        <v/>
      </c>
    </row>
    <row r="9970">
      <c r="A9970" s="2" t="inlineStr">
        <is>
          <t>2026-06-08</t>
        </is>
      </c>
      <c r="B9970" s="3" t="inlineStr">
        <is>
          <t>대신증권</t>
        </is>
      </c>
      <c r="C9970" s="2" t="inlineStr">
        <is>
          <t>코스피</t>
        </is>
      </c>
      <c r="D9970" s="2" t="inlineStr">
        <is>
          <t>003540</t>
        </is>
      </c>
      <c r="E9970" s="3" t="inlineStr">
        <is>
          <t>증권발행실적보고서</t>
        </is>
      </c>
      <c r="F9970" s="3" t="inlineStr">
        <is>
          <t>대신증권</t>
        </is>
      </c>
      <c r="G9970" s="2" t="inlineStr">
        <is>
          <t>20260608000254</t>
        </is>
      </c>
      <c r="H9970" s="8">
        <f>HYPERLINK("https://dart.fss.or.kr/dsaf001/main.do?rcpNo=20260608000254", "공시열람")</f>
        <v/>
      </c>
    </row>
    <row r="9971">
      <c r="A9971" s="2" t="inlineStr">
        <is>
          <t>2026-06-08</t>
        </is>
      </c>
      <c r="B9971" s="3" t="inlineStr">
        <is>
          <t>대신증권</t>
        </is>
      </c>
      <c r="C9971" s="2" t="inlineStr">
        <is>
          <t>코스피</t>
        </is>
      </c>
      <c r="D9971" s="2" t="inlineStr">
        <is>
          <t>003540</t>
        </is>
      </c>
      <c r="E9971" s="3" t="inlineStr">
        <is>
          <t>증권발행실적보고서</t>
        </is>
      </c>
      <c r="F9971" s="3" t="inlineStr">
        <is>
          <t>대신증권</t>
        </is>
      </c>
      <c r="G9971" s="2" t="inlineStr">
        <is>
          <t>20260608000250</t>
        </is>
      </c>
      <c r="H9971" s="8">
        <f>HYPERLINK("https://dart.fss.or.kr/dsaf001/main.do?rcpNo=20260608000250", "공시열람")</f>
        <v/>
      </c>
    </row>
    <row r="9972">
      <c r="A9972" s="2" t="inlineStr">
        <is>
          <t>2026-06-08</t>
        </is>
      </c>
      <c r="B9972" s="3" t="inlineStr">
        <is>
          <t>KSS해운</t>
        </is>
      </c>
      <c r="C9972" s="2" t="inlineStr">
        <is>
          <t>코스피</t>
        </is>
      </c>
      <c r="D9972" s="2" t="inlineStr">
        <is>
          <t>044450</t>
        </is>
      </c>
      <c r="E9972" s="3" t="inlineStr">
        <is>
          <t>임원ㆍ주요주주특정증권등소유상황보고서</t>
        </is>
      </c>
      <c r="F9972" s="3" t="inlineStr">
        <is>
          <t>케이에스에스해운우리사주조합</t>
        </is>
      </c>
      <c r="G9972" s="2" t="inlineStr">
        <is>
          <t>20260608000249</t>
        </is>
      </c>
      <c r="H9972" s="8">
        <f>HYPERLINK("https://dart.fss.or.kr/dsaf001/main.do?rcpNo=20260608000249", "공시열람")</f>
        <v/>
      </c>
    </row>
    <row r="9973">
      <c r="A9973" s="2" t="inlineStr">
        <is>
          <t>2026-06-08</t>
        </is>
      </c>
      <c r="B9973" s="3" t="inlineStr">
        <is>
          <t>에이비온</t>
        </is>
      </c>
      <c r="C9973" s="2" t="inlineStr">
        <is>
          <t>코스닥</t>
        </is>
      </c>
      <c r="D9973" s="2" t="inlineStr">
        <is>
          <t>203400</t>
        </is>
      </c>
      <c r="E9973" s="3" t="inlineStr">
        <is>
          <t>임원ㆍ주요주주특정증권등소유상황보고서</t>
        </is>
      </c>
      <c r="F9973" s="3" t="inlineStr">
        <is>
          <t>신영기</t>
        </is>
      </c>
      <c r="G9973" s="2" t="inlineStr">
        <is>
          <t>20260608000248</t>
        </is>
      </c>
      <c r="H9973" s="8">
        <f>HYPERLINK("https://dart.fss.or.kr/dsaf001/main.do?rcpNo=20260608000248", "공시열람")</f>
        <v/>
      </c>
    </row>
    <row r="9974">
      <c r="A9974" s="2" t="inlineStr">
        <is>
          <t>2026-06-08</t>
        </is>
      </c>
      <c r="B9974" s="3" t="inlineStr">
        <is>
          <t>네패스</t>
        </is>
      </c>
      <c r="C9974" s="2" t="inlineStr">
        <is>
          <t>코스닥</t>
        </is>
      </c>
      <c r="D9974" s="2" t="inlineStr">
        <is>
          <t>033640</t>
        </is>
      </c>
      <c r="E9974" s="3" t="inlineStr">
        <is>
          <t>임원ㆍ주요주주특정증권등소유상황보고서</t>
        </is>
      </c>
      <c r="F9974" s="3" t="inlineStr">
        <is>
          <t>백종식</t>
        </is>
      </c>
      <c r="G9974" s="2" t="inlineStr">
        <is>
          <t>20260608000247</t>
        </is>
      </c>
      <c r="H9974" s="8">
        <f>HYPERLINK("https://dart.fss.or.kr/dsaf001/main.do?rcpNo=20260608000247", "공시열람")</f>
        <v/>
      </c>
    </row>
    <row r="9975">
      <c r="A9975" s="2" t="inlineStr">
        <is>
          <t>2026-06-08</t>
        </is>
      </c>
      <c r="B9975" s="3" t="inlineStr">
        <is>
          <t>누보</t>
        </is>
      </c>
      <c r="C9975" s="2" t="inlineStr">
        <is>
          <t>코스닥</t>
        </is>
      </c>
      <c r="D9975" s="2" t="inlineStr">
        <is>
          <t>332290</t>
        </is>
      </c>
      <c r="E9975" s="3" t="inlineStr">
        <is>
          <t>임원ㆍ주요주주특정증권등소유상황보고서</t>
        </is>
      </c>
      <c r="F9975" s="3" t="inlineStr">
        <is>
          <t>배형욱</t>
        </is>
      </c>
      <c r="G9975" s="2" t="inlineStr">
        <is>
          <t>20260608000245</t>
        </is>
      </c>
      <c r="H9975" s="8">
        <f>HYPERLINK("https://dart.fss.or.kr/dsaf001/main.do?rcpNo=20260608000245", "공시열람")</f>
        <v/>
      </c>
    </row>
    <row r="9976">
      <c r="A9976" s="2" t="inlineStr">
        <is>
          <t>2026-06-08</t>
        </is>
      </c>
      <c r="B9976" s="3" t="inlineStr">
        <is>
          <t>키움증권</t>
        </is>
      </c>
      <c r="C9976" s="2" t="inlineStr">
        <is>
          <t>코스피</t>
        </is>
      </c>
      <c r="D9976" s="2" t="inlineStr">
        <is>
          <t>039490</t>
        </is>
      </c>
      <c r="E9976" s="3" t="inlineStr">
        <is>
          <t>증권발행실적보고서</t>
        </is>
      </c>
      <c r="F9976" s="3" t="inlineStr">
        <is>
          <t>키움증권</t>
        </is>
      </c>
      <c r="G9976" s="2" t="inlineStr">
        <is>
          <t>20260608000244</t>
        </is>
      </c>
      <c r="H9976" s="8">
        <f>HYPERLINK("https://dart.fss.or.kr/dsaf001/main.do?rcpNo=20260608000244", "공시열람")</f>
        <v/>
      </c>
    </row>
    <row r="9977">
      <c r="A9977" s="2" t="inlineStr">
        <is>
          <t>2026-06-08</t>
        </is>
      </c>
      <c r="B9977" s="3" t="inlineStr">
        <is>
          <t>엔비알모션</t>
        </is>
      </c>
      <c r="C9977" s="2" t="inlineStr">
        <is>
          <t>코스닥</t>
        </is>
      </c>
      <c r="D9977" s="2" t="inlineStr">
        <is>
          <t>0004V0</t>
        </is>
      </c>
      <c r="E9977" s="3" t="inlineStr">
        <is>
          <t>전환청구권행사              (제1회차)</t>
        </is>
      </c>
      <c r="F9977" s="3" t="inlineStr">
        <is>
          <t>엔비알모션</t>
        </is>
      </c>
      <c r="G9977" s="2" t="inlineStr">
        <is>
          <t>20260608900632</t>
        </is>
      </c>
      <c r="H9977" s="8">
        <f>HYPERLINK("https://dart.fss.or.kr/dsaf001/main.do?rcpNo=20260608900632", "공시열람")</f>
        <v/>
      </c>
    </row>
    <row r="9978">
      <c r="A9978" s="2" t="inlineStr">
        <is>
          <t>2026-06-08</t>
        </is>
      </c>
      <c r="B9978" s="3" t="inlineStr">
        <is>
          <t>에너토크</t>
        </is>
      </c>
      <c r="C9978" s="2" t="inlineStr">
        <is>
          <t>코스닥</t>
        </is>
      </c>
      <c r="D9978" s="2" t="inlineStr">
        <is>
          <t>019990</t>
        </is>
      </c>
      <c r="E9978" s="3" t="inlineStr">
        <is>
          <t xml:space="preserve">주주명부폐쇄기간또는기준일설정              </t>
        </is>
      </c>
      <c r="F9978" s="3" t="inlineStr">
        <is>
          <t>에너토크</t>
        </is>
      </c>
      <c r="G9978" s="2" t="inlineStr">
        <is>
          <t>20260608900651</t>
        </is>
      </c>
      <c r="H9978" s="8">
        <f>HYPERLINK("https://dart.fss.or.kr/dsaf001/main.do?rcpNo=20260608900651", "공시열람")</f>
        <v/>
      </c>
    </row>
    <row r="9979">
      <c r="A9979" s="2" t="inlineStr">
        <is>
          <t>2026-06-08</t>
        </is>
      </c>
      <c r="B9979" s="3" t="inlineStr">
        <is>
          <t>지엠비코리아</t>
        </is>
      </c>
      <c r="C9979" s="2" t="inlineStr">
        <is>
          <t>코스피</t>
        </is>
      </c>
      <c r="D9979" s="2" t="inlineStr">
        <is>
          <t>013870</t>
        </is>
      </c>
      <c r="E9979" s="3" t="inlineStr">
        <is>
          <t>임원ㆍ주요주주특정증권등소유상황보고서</t>
        </is>
      </c>
      <c r="F9979" s="3" t="inlineStr">
        <is>
          <t>황석보</t>
        </is>
      </c>
      <c r="G9979" s="2" t="inlineStr">
        <is>
          <t>20260608000234</t>
        </is>
      </c>
      <c r="H9979" s="8">
        <f>HYPERLINK("https://dart.fss.or.kr/dsaf001/main.do?rcpNo=20260608000234", "공시열람")</f>
        <v/>
      </c>
    </row>
    <row r="9980">
      <c r="A9980" s="2" t="inlineStr">
        <is>
          <t>2026-06-08</t>
        </is>
      </c>
      <c r="B9980" s="3" t="inlineStr">
        <is>
          <t>에스에이티</t>
        </is>
      </c>
      <c r="C9980" s="2" t="inlineStr">
        <is>
          <t>코스닥</t>
        </is>
      </c>
      <c r="D9980" s="2" t="inlineStr">
        <is>
          <t>060540</t>
        </is>
      </c>
      <c r="E9980" s="3" t="inlineStr">
        <is>
          <t>임원ㆍ주요주주특정증권등소유상황보고서</t>
        </is>
      </c>
      <c r="F9980" s="3" t="inlineStr">
        <is>
          <t>김희창</t>
        </is>
      </c>
      <c r="G9980" s="2" t="inlineStr">
        <is>
          <t>20260608000231</t>
        </is>
      </c>
      <c r="H9980" s="8">
        <f>HYPERLINK("https://dart.fss.or.kr/dsaf001/main.do?rcpNo=20260608000231", "공시열람")</f>
        <v/>
      </c>
    </row>
    <row r="9981">
      <c r="A9981" s="2" t="inlineStr">
        <is>
          <t>2026-06-08</t>
        </is>
      </c>
      <c r="B9981" s="3" t="inlineStr">
        <is>
          <t>메리츠제2호스팩</t>
        </is>
      </c>
      <c r="C9981" s="2" t="inlineStr">
        <is>
          <t>코스닥</t>
        </is>
      </c>
      <c r="D9981" s="2" t="inlineStr">
        <is>
          <t>0165X0</t>
        </is>
      </c>
      <c r="E9981" s="3" t="inlineStr">
        <is>
          <t>[발행조건확정]증권신고서(지분증권)</t>
        </is>
      </c>
      <c r="F9981" s="3" t="inlineStr">
        <is>
          <t>메리츠제2호스팩</t>
        </is>
      </c>
      <c r="G9981" s="2" t="inlineStr">
        <is>
          <t>20260608000229</t>
        </is>
      </c>
      <c r="H9981" s="8">
        <f>HYPERLINK("https://dart.fss.or.kr/dsaf001/main.do?rcpNo=20260608000229", "공시열람")</f>
        <v/>
      </c>
    </row>
    <row r="9982">
      <c r="A9982" s="2" t="inlineStr">
        <is>
          <t>2026-06-08 (정정: 2026-06-12)</t>
        </is>
      </c>
      <c r="B9982" s="3" t="inlineStr">
        <is>
          <t>뉴보텍</t>
        </is>
      </c>
      <c r="C9982" s="2" t="inlineStr">
        <is>
          <t>코스닥</t>
        </is>
      </c>
      <c r="D9982" s="2" t="inlineStr">
        <is>
          <t>060260</t>
        </is>
      </c>
      <c r="E9982" s="3" t="inlineStr">
        <is>
          <t>대표이사변경               (정정: 20260612)</t>
        </is>
      </c>
      <c r="F9982" s="3" t="inlineStr">
        <is>
          <t>뉴보텍</t>
        </is>
      </c>
      <c r="G9982" s="2" t="inlineStr">
        <is>
          <t>20260612900774</t>
        </is>
      </c>
      <c r="H9982" s="8">
        <f>HYPERLINK("https://dart.fss.or.kr/dsaf001/main.do?rcpNo=20260612900774", "공시열람")</f>
        <v/>
      </c>
    </row>
    <row r="9983">
      <c r="A9983" s="2" t="inlineStr">
        <is>
          <t>2026-06-08</t>
        </is>
      </c>
      <c r="B9983" s="3" t="inlineStr">
        <is>
          <t>토탈소프트</t>
        </is>
      </c>
      <c r="C9983" s="2" t="inlineStr">
        <is>
          <t>코스닥</t>
        </is>
      </c>
      <c r="D9983" s="2" t="inlineStr">
        <is>
          <t>045340</t>
        </is>
      </c>
      <c r="E9983" s="3" t="inlineStr">
        <is>
          <t>신탁계약에의한취득상황보고서</t>
        </is>
      </c>
      <c r="F9983" s="3" t="inlineStr">
        <is>
          <t>토탈소프트</t>
        </is>
      </c>
      <c r="G9983" s="2" t="inlineStr">
        <is>
          <t>20260608000220</t>
        </is>
      </c>
      <c r="H9983" s="8">
        <f>HYPERLINK("https://dart.fss.or.kr/dsaf001/main.do?rcpNo=20260608000220", "공시열람")</f>
        <v/>
      </c>
    </row>
    <row r="9984">
      <c r="A9984" s="2" t="inlineStr">
        <is>
          <t>2026-06-08</t>
        </is>
      </c>
      <c r="B9984" s="3" t="inlineStr">
        <is>
          <t>다산네트웍스</t>
        </is>
      </c>
      <c r="C9984" s="2" t="inlineStr">
        <is>
          <t>코스닥</t>
        </is>
      </c>
      <c r="D9984" s="2" t="inlineStr">
        <is>
          <t>039560</t>
        </is>
      </c>
      <c r="E9984" s="3" t="inlineStr">
        <is>
          <t>의결권대리행사권유참고서류</t>
        </is>
      </c>
      <c r="F9984" s="3" t="inlineStr">
        <is>
          <t>컨두잇</t>
        </is>
      </c>
      <c r="G9984" s="2" t="inlineStr">
        <is>
          <t>20260608000219</t>
        </is>
      </c>
      <c r="H9984" s="8">
        <f>HYPERLINK("https://dart.fss.or.kr/dsaf001/main.do?rcpNo=20260608000219", "공시열람")</f>
        <v/>
      </c>
    </row>
    <row r="9985">
      <c r="A9985" s="2" t="inlineStr">
        <is>
          <t>2026-06-08</t>
        </is>
      </c>
      <c r="B9985" s="3" t="inlineStr">
        <is>
          <t>NH투자증권</t>
        </is>
      </c>
      <c r="C9985" s="2" t="inlineStr">
        <is>
          <t>코스피</t>
        </is>
      </c>
      <c r="D9985" s="2" t="inlineStr">
        <is>
          <t>005940</t>
        </is>
      </c>
      <c r="E9985" s="3" t="inlineStr">
        <is>
          <t>투자설명서(일괄신고)</t>
        </is>
      </c>
      <c r="F9985" s="3" t="inlineStr">
        <is>
          <t>NH투자증권</t>
        </is>
      </c>
      <c r="G9985" s="2" t="inlineStr">
        <is>
          <t>20260608000218</t>
        </is>
      </c>
      <c r="H9985" s="8">
        <f>HYPERLINK("https://dart.fss.or.kr/dsaf001/main.do?rcpNo=20260608000218", "공시열람")</f>
        <v/>
      </c>
    </row>
    <row r="9986">
      <c r="A9986" s="2" t="inlineStr">
        <is>
          <t>2026-06-08</t>
        </is>
      </c>
      <c r="B9986" s="3" t="inlineStr">
        <is>
          <t>키움증권</t>
        </is>
      </c>
      <c r="C9986" s="2" t="inlineStr">
        <is>
          <t>코스피</t>
        </is>
      </c>
      <c r="D9986" s="2" t="inlineStr">
        <is>
          <t>039490</t>
        </is>
      </c>
      <c r="E9986" s="3" t="inlineStr">
        <is>
          <t>증권발행실적보고서</t>
        </is>
      </c>
      <c r="F9986" s="3" t="inlineStr">
        <is>
          <t>키움증권</t>
        </is>
      </c>
      <c r="G9986" s="2" t="inlineStr">
        <is>
          <t>20260608000217</t>
        </is>
      </c>
      <c r="H9986" s="8">
        <f>HYPERLINK("https://dart.fss.or.kr/dsaf001/main.do?rcpNo=20260608000217", "공시열람")</f>
        <v/>
      </c>
    </row>
    <row r="9987">
      <c r="A9987" s="2" t="inlineStr">
        <is>
          <t>2026-06-08</t>
        </is>
      </c>
      <c r="B9987" s="3" t="inlineStr">
        <is>
          <t>케이엠더블유</t>
        </is>
      </c>
      <c r="C9987" s="2" t="inlineStr">
        <is>
          <t>코스닥</t>
        </is>
      </c>
      <c r="D9987" s="2" t="inlineStr">
        <is>
          <t>032500</t>
        </is>
      </c>
      <c r="E9987" s="3" t="inlineStr">
        <is>
          <t xml:space="preserve">기업설명회(IR)개최              </t>
        </is>
      </c>
      <c r="F9987" s="3" t="inlineStr">
        <is>
          <t>케이엠더블유</t>
        </is>
      </c>
      <c r="G9987" s="2" t="inlineStr">
        <is>
          <t>20260608900599</t>
        </is>
      </c>
      <c r="H9987" s="8">
        <f>HYPERLINK("https://dart.fss.or.kr/dsaf001/main.do?rcpNo=20260608900599", "공시열람")</f>
        <v/>
      </c>
    </row>
    <row r="9988">
      <c r="A9988" s="2" t="inlineStr">
        <is>
          <t>2026-06-08</t>
        </is>
      </c>
      <c r="B9988" s="3" t="inlineStr">
        <is>
          <t>키움증권</t>
        </is>
      </c>
      <c r="C9988" s="2" t="inlineStr">
        <is>
          <t>코스피</t>
        </is>
      </c>
      <c r="D9988" s="2" t="inlineStr">
        <is>
          <t>039490</t>
        </is>
      </c>
      <c r="E9988" s="3" t="inlineStr">
        <is>
          <t>증권발행실적보고서</t>
        </is>
      </c>
      <c r="F9988" s="3" t="inlineStr">
        <is>
          <t>키움증권</t>
        </is>
      </c>
      <c r="G9988" s="2" t="inlineStr">
        <is>
          <t>20260608000216</t>
        </is>
      </c>
      <c r="H9988" s="8">
        <f>HYPERLINK("https://dart.fss.or.kr/dsaf001/main.do?rcpNo=20260608000216", "공시열람")</f>
        <v/>
      </c>
    </row>
    <row r="9989">
      <c r="A9989" s="2" t="inlineStr">
        <is>
          <t>2026-06-08</t>
        </is>
      </c>
      <c r="B9989" s="3" t="inlineStr">
        <is>
          <t>키움증권</t>
        </is>
      </c>
      <c r="C9989" s="2" t="inlineStr">
        <is>
          <t>코스피</t>
        </is>
      </c>
      <c r="D9989" s="2" t="inlineStr">
        <is>
          <t>039490</t>
        </is>
      </c>
      <c r="E9989" s="3" t="inlineStr">
        <is>
          <t>증권발행실적보고서</t>
        </is>
      </c>
      <c r="F9989" s="3" t="inlineStr">
        <is>
          <t>키움증권</t>
        </is>
      </c>
      <c r="G9989" s="2" t="inlineStr">
        <is>
          <t>20260608000213</t>
        </is>
      </c>
      <c r="H9989" s="8">
        <f>HYPERLINK("https://dart.fss.or.kr/dsaf001/main.do?rcpNo=20260608000213", "공시열람")</f>
        <v/>
      </c>
    </row>
    <row r="9990">
      <c r="A9990" s="2" t="inlineStr">
        <is>
          <t>2026-06-08</t>
        </is>
      </c>
      <c r="B9990" s="3" t="inlineStr">
        <is>
          <t>GRT</t>
        </is>
      </c>
      <c r="C9990" s="2" t="inlineStr">
        <is>
          <t>코스닥</t>
        </is>
      </c>
      <c r="D9990" s="2" t="inlineStr">
        <is>
          <t>900290</t>
        </is>
      </c>
      <c r="E9990" s="3" t="inlineStr">
        <is>
          <t xml:space="preserve">외국지주회사의자회사편입ㆍ탈퇴              </t>
        </is>
      </c>
      <c r="F9990" s="3" t="inlineStr">
        <is>
          <t>GRT</t>
        </is>
      </c>
      <c r="G9990" s="2" t="inlineStr">
        <is>
          <t>20260608900577</t>
        </is>
      </c>
      <c r="H9990" s="8">
        <f>HYPERLINK("https://dart.fss.or.kr/dsaf001/main.do?rcpNo=20260608900577", "공시열람")</f>
        <v/>
      </c>
    </row>
    <row r="9991">
      <c r="A9991" s="2" t="inlineStr">
        <is>
          <t>2026-06-08</t>
        </is>
      </c>
      <c r="B9991" s="3" t="inlineStr">
        <is>
          <t>NH투자증권</t>
        </is>
      </c>
      <c r="C9991" s="2" t="inlineStr">
        <is>
          <t>코스피</t>
        </is>
      </c>
      <c r="D9991" s="2" t="inlineStr">
        <is>
          <t>005940</t>
        </is>
      </c>
      <c r="E9991" s="3" t="inlineStr">
        <is>
          <t>일괄신고추가서류(파생결합증권-주가연계증권)</t>
        </is>
      </c>
      <c r="F9991" s="3" t="inlineStr">
        <is>
          <t>NH투자증권</t>
        </is>
      </c>
      <c r="G9991" s="2" t="inlineStr">
        <is>
          <t>20260608000209</t>
        </is>
      </c>
      <c r="H9991" s="8">
        <f>HYPERLINK("https://dart.fss.or.kr/dsaf001/main.do?rcpNo=20260608000209", "공시열람")</f>
        <v/>
      </c>
    </row>
    <row r="9992">
      <c r="A9992" s="2" t="inlineStr">
        <is>
          <t>2026-06-08</t>
        </is>
      </c>
      <c r="B9992" s="3" t="inlineStr">
        <is>
          <t>키움증권</t>
        </is>
      </c>
      <c r="C9992" s="2" t="inlineStr">
        <is>
          <t>코스피</t>
        </is>
      </c>
      <c r="D9992" s="2" t="inlineStr">
        <is>
          <t>039490</t>
        </is>
      </c>
      <c r="E9992" s="3" t="inlineStr">
        <is>
          <t>증권발행실적보고서</t>
        </is>
      </c>
      <c r="F9992" s="3" t="inlineStr">
        <is>
          <t>키움증권</t>
        </is>
      </c>
      <c r="G9992" s="2" t="inlineStr">
        <is>
          <t>20260608000206</t>
        </is>
      </c>
      <c r="H9992" s="8">
        <f>HYPERLINK("https://dart.fss.or.kr/dsaf001/main.do?rcpNo=20260608000206", "공시열람")</f>
        <v/>
      </c>
    </row>
    <row r="9993">
      <c r="A9993" s="2" t="inlineStr">
        <is>
          <t>2026-06-08</t>
        </is>
      </c>
      <c r="B9993" s="3" t="inlineStr">
        <is>
          <t>제이케이시냅스</t>
        </is>
      </c>
      <c r="C9993" s="2" t="inlineStr">
        <is>
          <t>코스닥</t>
        </is>
      </c>
      <c r="D9993" s="2" t="inlineStr">
        <is>
          <t>060230</t>
        </is>
      </c>
      <c r="E9993" s="3" t="inlineStr">
        <is>
          <t>전환가액의조정              (제30회차)</t>
        </is>
      </c>
      <c r="F9993" s="3" t="inlineStr">
        <is>
          <t>제이케이시냅스</t>
        </is>
      </c>
      <c r="G9993" s="2" t="inlineStr">
        <is>
          <t>20260608900569</t>
        </is>
      </c>
      <c r="H9993" s="8">
        <f>HYPERLINK("https://dart.fss.or.kr/dsaf001/main.do?rcpNo=20260608900569", "공시열람")</f>
        <v/>
      </c>
    </row>
    <row r="9994">
      <c r="A9994" s="2" t="inlineStr">
        <is>
          <t>2026-06-08</t>
        </is>
      </c>
      <c r="B9994" s="3" t="inlineStr">
        <is>
          <t>셀레믹스</t>
        </is>
      </c>
      <c r="C9994" s="2" t="inlineStr">
        <is>
          <t>코스닥</t>
        </is>
      </c>
      <c r="D9994" s="2" t="inlineStr">
        <is>
          <t>331920</t>
        </is>
      </c>
      <c r="E9994" s="3" t="inlineStr">
        <is>
          <t>임원ㆍ주요주주특정증권등소유상황보고서</t>
        </is>
      </c>
      <c r="F9994" s="3" t="inlineStr">
        <is>
          <t>이상석</t>
        </is>
      </c>
      <c r="G9994" s="2" t="inlineStr">
        <is>
          <t>20260608000198</t>
        </is>
      </c>
      <c r="H9994" s="8">
        <f>HYPERLINK("https://dart.fss.or.kr/dsaf001/main.do?rcpNo=20260608000198", "공시열람")</f>
        <v/>
      </c>
    </row>
    <row r="9995">
      <c r="A9995" s="2" t="inlineStr">
        <is>
          <t>2026-06-08</t>
        </is>
      </c>
      <c r="B9995" s="3" t="inlineStr">
        <is>
          <t>KTcs</t>
        </is>
      </c>
      <c r="C9995" s="2" t="inlineStr">
        <is>
          <t>코스피</t>
        </is>
      </c>
      <c r="D9995" s="2" t="inlineStr">
        <is>
          <t>058850</t>
        </is>
      </c>
      <c r="E9995" s="3" t="inlineStr">
        <is>
          <t>임원ㆍ주요주주특정증권등소유상황보고서</t>
        </is>
      </c>
      <c r="F9995" s="3" t="inlineStr">
        <is>
          <t>이창호</t>
        </is>
      </c>
      <c r="G9995" s="2" t="inlineStr">
        <is>
          <t>20260608000193</t>
        </is>
      </c>
      <c r="H9995" s="8">
        <f>HYPERLINK("https://dart.fss.or.kr/dsaf001/main.do?rcpNo=20260608000193", "공시열람")</f>
        <v/>
      </c>
    </row>
    <row r="9996">
      <c r="A9996" s="2" t="inlineStr">
        <is>
          <t>2026-06-08</t>
        </is>
      </c>
      <c r="B9996" s="3" t="inlineStr">
        <is>
          <t>한화투자증권</t>
        </is>
      </c>
      <c r="C9996" s="2" t="inlineStr">
        <is>
          <t>코스피</t>
        </is>
      </c>
      <c r="D9996" s="2" t="inlineStr">
        <is>
          <t>003530</t>
        </is>
      </c>
      <c r="E9996" s="3" t="inlineStr">
        <is>
          <t>증권발행실적보고서</t>
        </is>
      </c>
      <c r="F9996" s="3" t="inlineStr">
        <is>
          <t>한화투자증권</t>
        </is>
      </c>
      <c r="G9996" s="2" t="inlineStr">
        <is>
          <t>20260608000191</t>
        </is>
      </c>
      <c r="H9996" s="8">
        <f>HYPERLINK("https://dart.fss.or.kr/dsaf001/main.do?rcpNo=20260608000191", "공시열람")</f>
        <v/>
      </c>
    </row>
    <row r="9997">
      <c r="A9997" s="2" t="inlineStr">
        <is>
          <t>2026-06-08</t>
        </is>
      </c>
      <c r="B9997" s="3" t="inlineStr">
        <is>
          <t>교보증권</t>
        </is>
      </c>
      <c r="C9997" s="2" t="inlineStr">
        <is>
          <t>코스피</t>
        </is>
      </c>
      <c r="D9997" s="2" t="inlineStr">
        <is>
          <t>030610</t>
        </is>
      </c>
      <c r="E9997" s="3" t="inlineStr">
        <is>
          <t>증권발행실적보고서</t>
        </is>
      </c>
      <c r="F9997" s="3" t="inlineStr">
        <is>
          <t>교보증권</t>
        </is>
      </c>
      <c r="G9997" s="2" t="inlineStr">
        <is>
          <t>20260608000190</t>
        </is>
      </c>
      <c r="H9997" s="8">
        <f>HYPERLINK("https://dart.fss.or.kr/dsaf001/main.do?rcpNo=20260608000190", "공시열람")</f>
        <v/>
      </c>
    </row>
    <row r="9998">
      <c r="A9998" s="2" t="inlineStr">
        <is>
          <t>2026-06-08</t>
        </is>
      </c>
      <c r="B9998" s="3" t="inlineStr">
        <is>
          <t>이노스페이스</t>
        </is>
      </c>
      <c r="C9998" s="2" t="inlineStr">
        <is>
          <t>코스닥</t>
        </is>
      </c>
      <c r="D9998" s="2" t="inlineStr">
        <is>
          <t>462350</t>
        </is>
      </c>
      <c r="E9998" s="3" t="inlineStr">
        <is>
          <t xml:space="preserve">유상증자또는주식관련사채등의청약결과(자율공시)              </t>
        </is>
      </c>
      <c r="F9998" s="3" t="inlineStr">
        <is>
          <t>이노스페이스</t>
        </is>
      </c>
      <c r="G9998" s="2" t="inlineStr">
        <is>
          <t>20260608900525</t>
        </is>
      </c>
      <c r="H9998" s="8">
        <f>HYPERLINK("https://dart.fss.or.kr/dsaf001/main.do?rcpNo=20260608900525", "공시열람")</f>
        <v/>
      </c>
    </row>
    <row r="9999">
      <c r="A9999" s="2" t="inlineStr">
        <is>
          <t>2026-06-08</t>
        </is>
      </c>
      <c r="B9999" s="3" t="inlineStr">
        <is>
          <t>AP시스템</t>
        </is>
      </c>
      <c r="C9999" s="2" t="inlineStr">
        <is>
          <t>코스닥</t>
        </is>
      </c>
      <c r="D9999" s="2" t="inlineStr">
        <is>
          <t>265520</t>
        </is>
      </c>
      <c r="E9999" s="3" t="inlineStr">
        <is>
          <t xml:space="preserve">기업설명회(IR)개최              </t>
        </is>
      </c>
      <c r="F9999" s="3" t="inlineStr">
        <is>
          <t>AP시스템</t>
        </is>
      </c>
      <c r="G9999" s="2" t="inlineStr">
        <is>
          <t>20260608900558</t>
        </is>
      </c>
      <c r="H9999" s="8">
        <f>HYPERLINK("https://dart.fss.or.kr/dsaf001/main.do?rcpNo=20260608900558", "공시열람")</f>
        <v/>
      </c>
    </row>
    <row r="10000">
      <c r="A10000" s="2" t="inlineStr">
        <is>
          <t>2026-06-08</t>
        </is>
      </c>
      <c r="B10000" s="3" t="inlineStr">
        <is>
          <t>한화투자증권</t>
        </is>
      </c>
      <c r="C10000" s="2" t="inlineStr">
        <is>
          <t>코스피</t>
        </is>
      </c>
      <c r="D10000" s="2" t="inlineStr">
        <is>
          <t>003530</t>
        </is>
      </c>
      <c r="E10000" s="3" t="inlineStr">
        <is>
          <t>증권발행실적보고서</t>
        </is>
      </c>
      <c r="F10000" s="3" t="inlineStr">
        <is>
          <t>한화투자증권</t>
        </is>
      </c>
      <c r="G10000" s="2" t="inlineStr">
        <is>
          <t>20260608000189</t>
        </is>
      </c>
      <c r="H10000" s="8">
        <f>HYPERLINK("https://dart.fss.or.kr/dsaf001/main.do?rcpNo=20260608000189", "공시열람")</f>
        <v/>
      </c>
    </row>
    <row r="10001">
      <c r="A10001" s="2" t="inlineStr">
        <is>
          <t>2026-06-08</t>
        </is>
      </c>
      <c r="B10001" s="3" t="inlineStr">
        <is>
          <t>하이젠알앤엠</t>
        </is>
      </c>
      <c r="C10001" s="2" t="inlineStr">
        <is>
          <t>코스닥</t>
        </is>
      </c>
      <c r="D10001" s="2" t="inlineStr">
        <is>
          <t>160190</t>
        </is>
      </c>
      <c r="E10001" s="3" t="inlineStr">
        <is>
          <t>의결권대리행사권유참고서류</t>
        </is>
      </c>
      <c r="F10001" s="3" t="inlineStr">
        <is>
          <t>하이젠알앤엠</t>
        </is>
      </c>
      <c r="G10001" s="2" t="inlineStr">
        <is>
          <t>20260608000188</t>
        </is>
      </c>
      <c r="H10001" s="8">
        <f>HYPERLINK("https://dart.fss.or.kr/dsaf001/main.do?rcpNo=20260608000188", "공시열람")</f>
        <v/>
      </c>
    </row>
    <row r="10002">
      <c r="A10002" s="2" t="inlineStr">
        <is>
          <t>2026-06-08</t>
        </is>
      </c>
      <c r="B10002" s="3" t="inlineStr">
        <is>
          <t>미래에셋증권</t>
        </is>
      </c>
      <c r="C10002" s="2" t="inlineStr">
        <is>
          <t>코스피</t>
        </is>
      </c>
      <c r="D10002" s="2" t="inlineStr">
        <is>
          <t>006800</t>
        </is>
      </c>
      <c r="E10002" s="3" t="inlineStr">
        <is>
          <t>투자설명서(일괄신고)</t>
        </is>
      </c>
      <c r="F10002" s="3" t="inlineStr">
        <is>
          <t>미래에셋증권</t>
        </is>
      </c>
      <c r="G10002" s="2" t="inlineStr">
        <is>
          <t>20260608000187</t>
        </is>
      </c>
      <c r="H10002" s="8">
        <f>HYPERLINK("https://dart.fss.or.kr/dsaf001/main.do?rcpNo=20260608000187", "공시열람")</f>
        <v/>
      </c>
    </row>
    <row r="10003">
      <c r="A10003" s="2" t="inlineStr">
        <is>
          <t>2026-06-08</t>
        </is>
      </c>
      <c r="B10003" s="3" t="inlineStr">
        <is>
          <t>미래에셋증권</t>
        </is>
      </c>
      <c r="C10003" s="2" t="inlineStr">
        <is>
          <t>코스피</t>
        </is>
      </c>
      <c r="D10003" s="2" t="inlineStr">
        <is>
          <t>006800</t>
        </is>
      </c>
      <c r="E10003" s="3" t="inlineStr">
        <is>
          <t>임원ㆍ주요주주특정증권등소유상황보고서</t>
        </is>
      </c>
      <c r="F10003" s="3" t="inlineStr">
        <is>
          <t>신성철</t>
        </is>
      </c>
      <c r="G10003" s="2" t="inlineStr">
        <is>
          <t>20260608000185</t>
        </is>
      </c>
      <c r="H10003" s="8">
        <f>HYPERLINK("https://dart.fss.or.kr/dsaf001/main.do?rcpNo=20260608000185", "공시열람")</f>
        <v/>
      </c>
    </row>
    <row r="10004">
      <c r="A10004" s="2" t="inlineStr">
        <is>
          <t>2026-06-08</t>
        </is>
      </c>
      <c r="B10004" s="3" t="inlineStr">
        <is>
          <t>교보증권</t>
        </is>
      </c>
      <c r="C10004" s="2" t="inlineStr">
        <is>
          <t>코스피</t>
        </is>
      </c>
      <c r="D10004" s="2" t="inlineStr">
        <is>
          <t>030610</t>
        </is>
      </c>
      <c r="E10004" s="3" t="inlineStr">
        <is>
          <t>증권발행실적보고서</t>
        </is>
      </c>
      <c r="F10004" s="3" t="inlineStr">
        <is>
          <t>교보증권</t>
        </is>
      </c>
      <c r="G10004" s="2" t="inlineStr">
        <is>
          <t>20260608000183</t>
        </is>
      </c>
      <c r="H10004" s="8">
        <f>HYPERLINK("https://dart.fss.or.kr/dsaf001/main.do?rcpNo=20260608000183", "공시열람")</f>
        <v/>
      </c>
    </row>
    <row r="10005">
      <c r="A10005" s="2" t="inlineStr">
        <is>
          <t>2026-06-08</t>
        </is>
      </c>
      <c r="B10005" s="3" t="inlineStr">
        <is>
          <t>셀레믹스</t>
        </is>
      </c>
      <c r="C10005" s="2" t="inlineStr">
        <is>
          <t>코스닥</t>
        </is>
      </c>
      <c r="D10005" s="2" t="inlineStr">
        <is>
          <t>331920</t>
        </is>
      </c>
      <c r="E10005" s="3" t="inlineStr">
        <is>
          <t>임원ㆍ주요주주특정증권등소유상황보고서</t>
        </is>
      </c>
      <c r="F10005" s="3" t="inlineStr">
        <is>
          <t>이용훈</t>
        </is>
      </c>
      <c r="G10005" s="2" t="inlineStr">
        <is>
          <t>20260608000182</t>
        </is>
      </c>
      <c r="H10005" s="8">
        <f>HYPERLINK("https://dart.fss.or.kr/dsaf001/main.do?rcpNo=20260608000182", "공시열람")</f>
        <v/>
      </c>
    </row>
    <row r="10006">
      <c r="A10006" s="2" t="inlineStr">
        <is>
          <t>2026-06-08</t>
        </is>
      </c>
      <c r="B10006" s="3" t="inlineStr">
        <is>
          <t>신영증권</t>
        </is>
      </c>
      <c r="C10006" s="2" t="inlineStr">
        <is>
          <t>코스피</t>
        </is>
      </c>
      <c r="D10006" s="2" t="inlineStr">
        <is>
          <t>001720</t>
        </is>
      </c>
      <c r="E10006" s="3" t="inlineStr">
        <is>
          <t>투자설명서(일괄신고)</t>
        </is>
      </c>
      <c r="F10006" s="3" t="inlineStr">
        <is>
          <t>신영증권</t>
        </is>
      </c>
      <c r="G10006" s="2" t="inlineStr">
        <is>
          <t>20260608000180</t>
        </is>
      </c>
      <c r="H10006" s="8">
        <f>HYPERLINK("https://dart.fss.or.kr/dsaf001/main.do?rcpNo=20260608000180", "공시열람")</f>
        <v/>
      </c>
    </row>
    <row r="10007">
      <c r="A10007" s="2" t="inlineStr">
        <is>
          <t>2026-06-08</t>
        </is>
      </c>
      <c r="B10007" s="3" t="inlineStr">
        <is>
          <t>셀레믹스</t>
        </is>
      </c>
      <c r="C10007" s="2" t="inlineStr">
        <is>
          <t>코스닥</t>
        </is>
      </c>
      <c r="D10007" s="2" t="inlineStr">
        <is>
          <t>331920</t>
        </is>
      </c>
      <c r="E10007" s="3" t="inlineStr">
        <is>
          <t>임원ㆍ주요주주특정증권등소유상황보고서</t>
        </is>
      </c>
      <c r="F10007" s="3" t="inlineStr">
        <is>
          <t>수피젠 신기술투자조합1호</t>
        </is>
      </c>
      <c r="G10007" s="2" t="inlineStr">
        <is>
          <t>20260608000179</t>
        </is>
      </c>
      <c r="H10007" s="8">
        <f>HYPERLINK("https://dart.fss.or.kr/dsaf001/main.do?rcpNo=20260608000179", "공시열람")</f>
        <v/>
      </c>
    </row>
    <row r="10008">
      <c r="A10008" s="2" t="inlineStr">
        <is>
          <t>2026-06-08</t>
        </is>
      </c>
      <c r="B10008" s="3" t="inlineStr">
        <is>
          <t>바이오인프라</t>
        </is>
      </c>
      <c r="C10008" s="2" t="inlineStr">
        <is>
          <t>코스닥</t>
        </is>
      </c>
      <c r="D10008" s="2" t="inlineStr">
        <is>
          <t>199730</t>
        </is>
      </c>
      <c r="E10008" s="3" t="inlineStr">
        <is>
          <t>임원ㆍ주요주주특정증권등소유상황보고서</t>
        </is>
      </c>
      <c r="F10008" s="3" t="inlineStr">
        <is>
          <t>이영국</t>
        </is>
      </c>
      <c r="G10008" s="2" t="inlineStr">
        <is>
          <t>20260608000176</t>
        </is>
      </c>
      <c r="H10008" s="8">
        <f>HYPERLINK("https://dart.fss.or.kr/dsaf001/main.do?rcpNo=20260608000176", "공시열람")</f>
        <v/>
      </c>
    </row>
    <row r="10009">
      <c r="A10009" s="2" t="inlineStr">
        <is>
          <t>2026-06-08</t>
        </is>
      </c>
      <c r="B10009" s="3" t="inlineStr">
        <is>
          <t>교보증권</t>
        </is>
      </c>
      <c r="C10009" s="2" t="inlineStr">
        <is>
          <t>코스피</t>
        </is>
      </c>
      <c r="D10009" s="2" t="inlineStr">
        <is>
          <t>030610</t>
        </is>
      </c>
      <c r="E10009" s="3" t="inlineStr">
        <is>
          <t>증권발행실적보고서</t>
        </is>
      </c>
      <c r="F10009" s="3" t="inlineStr">
        <is>
          <t>교보증권</t>
        </is>
      </c>
      <c r="G10009" s="2" t="inlineStr">
        <is>
          <t>20260608000174</t>
        </is>
      </c>
      <c r="H10009" s="8">
        <f>HYPERLINK("https://dart.fss.or.kr/dsaf001/main.do?rcpNo=20260608000174", "공시열람")</f>
        <v/>
      </c>
    </row>
    <row r="10010">
      <c r="A10010" s="2" t="inlineStr">
        <is>
          <t>2026-06-08</t>
        </is>
      </c>
      <c r="B10010" s="3" t="inlineStr">
        <is>
          <t>삼화네트웍스</t>
        </is>
      </c>
      <c r="C10010" s="2" t="inlineStr">
        <is>
          <t>코스닥</t>
        </is>
      </c>
      <c r="D10010" s="2" t="inlineStr">
        <is>
          <t>046390</t>
        </is>
      </c>
      <c r="E10010" s="3" t="inlineStr">
        <is>
          <t>임원ㆍ주요주주특정증권등소유상황보고서</t>
        </is>
      </c>
      <c r="F10010" s="3" t="inlineStr">
        <is>
          <t>이기승</t>
        </is>
      </c>
      <c r="G10010" s="2" t="inlineStr">
        <is>
          <t>20260608000172</t>
        </is>
      </c>
      <c r="H10010" s="8">
        <f>HYPERLINK("https://dart.fss.or.kr/dsaf001/main.do?rcpNo=20260608000172", "공시열람")</f>
        <v/>
      </c>
    </row>
    <row r="10011">
      <c r="A10011" s="2" t="inlineStr">
        <is>
          <t>2026-06-08</t>
        </is>
      </c>
      <c r="B10011" s="3" t="inlineStr">
        <is>
          <t>NH투자증권</t>
        </is>
      </c>
      <c r="C10011" s="2" t="inlineStr">
        <is>
          <t>코스피</t>
        </is>
      </c>
      <c r="D10011" s="2" t="inlineStr">
        <is>
          <t>005940</t>
        </is>
      </c>
      <c r="E10011" s="3" t="inlineStr">
        <is>
          <t>투자설명서(일괄신고)</t>
        </is>
      </c>
      <c r="F10011" s="3" t="inlineStr">
        <is>
          <t>NH투자증권</t>
        </is>
      </c>
      <c r="G10011" s="2" t="inlineStr">
        <is>
          <t>20260608000170</t>
        </is>
      </c>
      <c r="H10011" s="8">
        <f>HYPERLINK("https://dart.fss.or.kr/dsaf001/main.do?rcpNo=20260608000170", "공시열람")</f>
        <v/>
      </c>
    </row>
    <row r="10012">
      <c r="A10012" s="2" t="inlineStr">
        <is>
          <t>2026-06-08</t>
        </is>
      </c>
      <c r="B10012" s="3" t="inlineStr">
        <is>
          <t>교보증권</t>
        </is>
      </c>
      <c r="C10012" s="2" t="inlineStr">
        <is>
          <t>코스피</t>
        </is>
      </c>
      <c r="D10012" s="2" t="inlineStr">
        <is>
          <t>030610</t>
        </is>
      </c>
      <c r="E10012" s="3" t="inlineStr">
        <is>
          <t>증권발행실적보고서</t>
        </is>
      </c>
      <c r="F10012" s="3" t="inlineStr">
        <is>
          <t>교보증권</t>
        </is>
      </c>
      <c r="G10012" s="2" t="inlineStr">
        <is>
          <t>20260608000169</t>
        </is>
      </c>
      <c r="H10012" s="8">
        <f>HYPERLINK("https://dart.fss.or.kr/dsaf001/main.do?rcpNo=20260608000169", "공시열람")</f>
        <v/>
      </c>
    </row>
    <row r="10013">
      <c r="A10013" s="2" t="inlineStr">
        <is>
          <t>2026-06-08</t>
        </is>
      </c>
      <c r="B10013" s="3" t="inlineStr">
        <is>
          <t>NH투자증권</t>
        </is>
      </c>
      <c r="C10013" s="2" t="inlineStr">
        <is>
          <t>코스피</t>
        </is>
      </c>
      <c r="D10013" s="2" t="inlineStr">
        <is>
          <t>005940</t>
        </is>
      </c>
      <c r="E10013" s="3" t="inlineStr">
        <is>
          <t>투자설명서(일괄신고)</t>
        </is>
      </c>
      <c r="F10013" s="3" t="inlineStr">
        <is>
          <t>NH투자증권</t>
        </is>
      </c>
      <c r="G10013" s="2" t="inlineStr">
        <is>
          <t>20260608000167</t>
        </is>
      </c>
      <c r="H10013" s="8">
        <f>HYPERLINK("https://dart.fss.or.kr/dsaf001/main.do?rcpNo=20260608000167", "공시열람")</f>
        <v/>
      </c>
    </row>
    <row r="10014">
      <c r="A10014" s="2" t="inlineStr">
        <is>
          <t>2026-06-08</t>
        </is>
      </c>
      <c r="B10014" s="3" t="inlineStr">
        <is>
          <t>미래에셋증권</t>
        </is>
      </c>
      <c r="C10014" s="2" t="inlineStr">
        <is>
          <t>코스피</t>
        </is>
      </c>
      <c r="D10014" s="2" t="inlineStr">
        <is>
          <t>006800</t>
        </is>
      </c>
      <c r="E10014" s="3" t="inlineStr">
        <is>
          <t>일괄신고추가서류(파생결합증권-주식워런트증권)</t>
        </is>
      </c>
      <c r="F10014" s="3" t="inlineStr">
        <is>
          <t>미래에셋증권</t>
        </is>
      </c>
      <c r="G10014" s="2" t="inlineStr">
        <is>
          <t>20260608000165</t>
        </is>
      </c>
      <c r="H10014" s="8">
        <f>HYPERLINK("https://dart.fss.or.kr/dsaf001/main.do?rcpNo=20260608000165", "공시열람")</f>
        <v/>
      </c>
    </row>
    <row r="10015">
      <c r="A10015" s="2" t="inlineStr">
        <is>
          <t>2026-06-08</t>
        </is>
      </c>
      <c r="B10015" s="3" t="inlineStr">
        <is>
          <t>메리츠제2호스팩</t>
        </is>
      </c>
      <c r="C10015" s="2" t="inlineStr">
        <is>
          <t>코스닥</t>
        </is>
      </c>
      <c r="D10015" s="2" t="inlineStr">
        <is>
          <t>0165X0</t>
        </is>
      </c>
      <c r="E10015" s="3" t="inlineStr">
        <is>
          <t>[발행조건확정]증권신고서(지분증권)</t>
        </is>
      </c>
      <c r="F10015" s="3" t="inlineStr">
        <is>
          <t>메리츠제2호스팩</t>
        </is>
      </c>
      <c r="G10015" s="2" t="inlineStr">
        <is>
          <t>20260608000163</t>
        </is>
      </c>
      <c r="H10015" s="8">
        <f>HYPERLINK("https://dart.fss.or.kr/dsaf001/main.do?rcpNo=20260608000163", "공시열람")</f>
        <v/>
      </c>
    </row>
    <row r="10016">
      <c r="A10016" s="2" t="inlineStr">
        <is>
          <t>2026-06-08</t>
        </is>
      </c>
      <c r="B10016" s="3" t="inlineStr">
        <is>
          <t>미래에셋증권</t>
        </is>
      </c>
      <c r="C10016" s="2" t="inlineStr">
        <is>
          <t>코스피</t>
        </is>
      </c>
      <c r="D10016" s="2" t="inlineStr">
        <is>
          <t>006800</t>
        </is>
      </c>
      <c r="E10016" s="3" t="inlineStr">
        <is>
          <t>투자설명서(일괄신고)</t>
        </is>
      </c>
      <c r="F10016" s="3" t="inlineStr">
        <is>
          <t>미래에셋증권</t>
        </is>
      </c>
      <c r="G10016" s="2" t="inlineStr">
        <is>
          <t>20260608000157</t>
        </is>
      </c>
      <c r="H10016" s="8">
        <f>HYPERLINK("https://dart.fss.or.kr/dsaf001/main.do?rcpNo=20260608000157", "공시열람")</f>
        <v/>
      </c>
    </row>
    <row r="10017">
      <c r="A10017" s="2" t="inlineStr">
        <is>
          <t>2026-06-08</t>
        </is>
      </c>
      <c r="B10017" s="3" t="inlineStr">
        <is>
          <t>성일하이텍</t>
        </is>
      </c>
      <c r="C10017" s="2" t="inlineStr">
        <is>
          <t>코스닥</t>
        </is>
      </c>
      <c r="D10017" s="2" t="inlineStr">
        <is>
          <t>365340</t>
        </is>
      </c>
      <c r="E10017" s="3" t="inlineStr">
        <is>
          <t xml:space="preserve">주주명부폐쇄기간또는기준일설정              </t>
        </is>
      </c>
      <c r="F10017" s="3" t="inlineStr">
        <is>
          <t>성일하이텍</t>
        </is>
      </c>
      <c r="G10017" s="2" t="inlineStr">
        <is>
          <t>20260608900478</t>
        </is>
      </c>
      <c r="H10017" s="8">
        <f>HYPERLINK("https://dart.fss.or.kr/dsaf001/main.do?rcpNo=20260608900478", "공시열람")</f>
        <v/>
      </c>
    </row>
    <row r="10018">
      <c r="A10018" s="2" t="inlineStr">
        <is>
          <t>2026-06-08 (정정: 2026-06-16)</t>
        </is>
      </c>
      <c r="B10018" s="3" t="inlineStr">
        <is>
          <t>베셀</t>
        </is>
      </c>
      <c r="C10018" s="2" t="inlineStr">
        <is>
          <t>코스닥</t>
        </is>
      </c>
      <c r="D10018" s="2" t="inlineStr">
        <is>
          <t>177350</t>
        </is>
      </c>
      <c r="E10018" s="3" t="inlineStr">
        <is>
          <t>의결권대리행사권유참고서류 (정정: 20260616)</t>
        </is>
      </c>
      <c r="F10018" s="3" t="inlineStr">
        <is>
          <t>베셀</t>
        </is>
      </c>
      <c r="G10018" s="2" t="inlineStr">
        <is>
          <t>20260616900649</t>
        </is>
      </c>
      <c r="H10018" s="8">
        <f>HYPERLINK("https://dart.fss.or.kr/dsaf001/main.do?rcpNo=20260616900649", "공시열람")</f>
        <v/>
      </c>
    </row>
    <row r="10019">
      <c r="A10019" s="2" t="inlineStr">
        <is>
          <t>2026-06-08</t>
        </is>
      </c>
      <c r="B10019" s="3" t="inlineStr">
        <is>
          <t>유라클</t>
        </is>
      </c>
      <c r="C10019" s="2" t="inlineStr">
        <is>
          <t>코스닥</t>
        </is>
      </c>
      <c r="D10019" s="2" t="inlineStr">
        <is>
          <t>088340</t>
        </is>
      </c>
      <c r="E10019" s="3" t="inlineStr">
        <is>
          <t>임원ㆍ주요주주특정증권등소유상황보고서</t>
        </is>
      </c>
      <c r="F10019" s="3" t="inlineStr">
        <is>
          <t>조준희</t>
        </is>
      </c>
      <c r="G10019" s="2" t="inlineStr">
        <is>
          <t>20260608000149</t>
        </is>
      </c>
      <c r="H10019" s="8">
        <f>HYPERLINK("https://dart.fss.or.kr/dsaf001/main.do?rcpNo=20260608000149", "공시열람")</f>
        <v/>
      </c>
    </row>
    <row r="10020">
      <c r="A10020" s="2" t="inlineStr">
        <is>
          <t>2026-06-08</t>
        </is>
      </c>
      <c r="B10020" s="3" t="inlineStr">
        <is>
          <t>LX인터내셔널</t>
        </is>
      </c>
      <c r="C10020" s="2" t="inlineStr">
        <is>
          <t>코스피</t>
        </is>
      </c>
      <c r="D10020" s="2" t="inlineStr">
        <is>
          <t>001120</t>
        </is>
      </c>
      <c r="E10020" s="3" t="inlineStr">
        <is>
          <t xml:space="preserve">기업설명회(IR)개최(안내공시)              </t>
        </is>
      </c>
      <c r="F10020" s="3" t="inlineStr">
        <is>
          <t>LX인터내셔널</t>
        </is>
      </c>
      <c r="G10020" s="2" t="inlineStr">
        <is>
          <t>20260608800499</t>
        </is>
      </c>
      <c r="H10020" s="8">
        <f>HYPERLINK("https://dart.fss.or.kr/dsaf001/main.do?rcpNo=20260608800499", "공시열람")</f>
        <v/>
      </c>
    </row>
    <row r="10021">
      <c r="A10021" s="2" t="inlineStr">
        <is>
          <t>2026-06-08</t>
        </is>
      </c>
      <c r="B10021" s="3" t="inlineStr">
        <is>
          <t>미래에셋증권</t>
        </is>
      </c>
      <c r="C10021" s="2" t="inlineStr">
        <is>
          <t>코스피</t>
        </is>
      </c>
      <c r="D10021" s="2" t="inlineStr">
        <is>
          <t>006800</t>
        </is>
      </c>
      <c r="E10021" s="3" t="inlineStr">
        <is>
          <t>투자설명서(일괄신고)</t>
        </is>
      </c>
      <c r="F10021" s="3" t="inlineStr">
        <is>
          <t>미래에셋증권</t>
        </is>
      </c>
      <c r="G10021" s="2" t="inlineStr">
        <is>
          <t>20260608000145</t>
        </is>
      </c>
      <c r="H10021" s="8">
        <f>HYPERLINK("https://dart.fss.or.kr/dsaf001/main.do?rcpNo=20260608000145", "공시열람")</f>
        <v/>
      </c>
    </row>
    <row r="10022">
      <c r="A10022" s="2" t="inlineStr">
        <is>
          <t>2026-06-08</t>
        </is>
      </c>
      <c r="B10022" s="3" t="inlineStr">
        <is>
          <t>호텔신라</t>
        </is>
      </c>
      <c r="C10022" s="2" t="inlineStr">
        <is>
          <t>코스피</t>
        </is>
      </c>
      <c r="D10022" s="2" t="inlineStr">
        <is>
          <t>008770</t>
        </is>
      </c>
      <c r="E10022" s="3" t="inlineStr">
        <is>
          <t xml:space="preserve">기업설명회(IR)개최(안내공시)              </t>
        </is>
      </c>
      <c r="F10022" s="3" t="inlineStr">
        <is>
          <t>호텔신라</t>
        </is>
      </c>
      <c r="G10022" s="2" t="inlineStr">
        <is>
          <t>20260608800491</t>
        </is>
      </c>
      <c r="H10022" s="8">
        <f>HYPERLINK("https://dart.fss.or.kr/dsaf001/main.do?rcpNo=20260608800491", "공시열람")</f>
        <v/>
      </c>
    </row>
    <row r="10023">
      <c r="A10023" s="2" t="inlineStr">
        <is>
          <t>2026-06-08</t>
        </is>
      </c>
      <c r="B10023" s="3" t="inlineStr">
        <is>
          <t>티앤알바이오팹</t>
        </is>
      </c>
      <c r="C10023" s="2" t="inlineStr">
        <is>
          <t>코스닥</t>
        </is>
      </c>
      <c r="D10023" s="2" t="inlineStr">
        <is>
          <t>246710</t>
        </is>
      </c>
      <c r="E10023" s="3" t="inlineStr">
        <is>
          <t>임원ㆍ주요주주특정증권등소유상황보고서</t>
        </is>
      </c>
      <c r="F10023" s="3" t="inlineStr">
        <is>
          <t>김현정</t>
        </is>
      </c>
      <c r="G10023" s="2" t="inlineStr">
        <is>
          <t>20260608000143</t>
        </is>
      </c>
      <c r="H10023" s="8">
        <f>HYPERLINK("https://dart.fss.or.kr/dsaf001/main.do?rcpNo=20260608000143", "공시열람")</f>
        <v/>
      </c>
    </row>
    <row r="10024">
      <c r="A10024" s="2" t="inlineStr">
        <is>
          <t>2026-06-08</t>
        </is>
      </c>
      <c r="B10024" s="3" t="inlineStr">
        <is>
          <t>SH에너지화학</t>
        </is>
      </c>
      <c r="C10024" s="2" t="inlineStr">
        <is>
          <t>코스피</t>
        </is>
      </c>
      <c r="D10024" s="2" t="inlineStr">
        <is>
          <t>002360</t>
        </is>
      </c>
      <c r="E10024" s="3" t="inlineStr">
        <is>
          <t>임원ㆍ주요주주특정증권등소유상황보고서</t>
        </is>
      </c>
      <c r="F10024" s="3" t="inlineStr">
        <is>
          <t>최찬욱</t>
        </is>
      </c>
      <c r="G10024" s="2" t="inlineStr">
        <is>
          <t>20260608000141</t>
        </is>
      </c>
      <c r="H10024" s="8">
        <f>HYPERLINK("https://dart.fss.or.kr/dsaf001/main.do?rcpNo=20260608000141", "공시열람")</f>
        <v/>
      </c>
    </row>
    <row r="10025">
      <c r="A10025" s="2" t="inlineStr">
        <is>
          <t>2026-06-08</t>
        </is>
      </c>
      <c r="B10025" s="3" t="inlineStr">
        <is>
          <t>휴온스글로벌</t>
        </is>
      </c>
      <c r="C10025" s="2" t="inlineStr">
        <is>
          <t>코스닥</t>
        </is>
      </c>
      <c r="D10025" s="2" t="inlineStr">
        <is>
          <t>084110</t>
        </is>
      </c>
      <c r="E10025" s="3" t="inlineStr">
        <is>
          <t>수시공시의무관련사항(공정공시)              (주주가치 제고를 위한 현물배당 계획 안내)</t>
        </is>
      </c>
      <c r="F10025" s="3" t="inlineStr">
        <is>
          <t>휴온스글로벌</t>
        </is>
      </c>
      <c r="G10025" s="2" t="inlineStr">
        <is>
          <t>20260608900476</t>
        </is>
      </c>
      <c r="H10025" s="8">
        <f>HYPERLINK("https://dart.fss.or.kr/dsaf001/main.do?rcpNo=20260608900476", "공시열람")</f>
        <v/>
      </c>
    </row>
    <row r="10026">
      <c r="A10026" s="2" t="inlineStr">
        <is>
          <t>2026-06-08</t>
        </is>
      </c>
      <c r="B10026" s="3" t="inlineStr">
        <is>
          <t>바이브컴퍼니</t>
        </is>
      </c>
      <c r="C10026" s="2" t="inlineStr">
        <is>
          <t>코스닥</t>
        </is>
      </c>
      <c r="D10026" s="2" t="inlineStr">
        <is>
          <t>301300</t>
        </is>
      </c>
      <c r="E10026" s="3" t="inlineStr">
        <is>
          <t xml:space="preserve">전환사채(해외전환사채포함)발행후만기전사채취득              </t>
        </is>
      </c>
      <c r="F10026" s="3" t="inlineStr">
        <is>
          <t>바이브컴퍼니</t>
        </is>
      </c>
      <c r="G10026" s="2" t="inlineStr">
        <is>
          <t>20260608900482</t>
        </is>
      </c>
      <c r="H10026" s="8">
        <f>HYPERLINK("https://dart.fss.or.kr/dsaf001/main.do?rcpNo=20260608900482", "공시열람")</f>
        <v/>
      </c>
    </row>
    <row r="10027">
      <c r="A10027" s="2" t="inlineStr">
        <is>
          <t>2026-06-08</t>
        </is>
      </c>
      <c r="B10027" s="3" t="inlineStr">
        <is>
          <t>삼화네트웍스</t>
        </is>
      </c>
      <c r="C10027" s="2" t="inlineStr">
        <is>
          <t>코스닥</t>
        </is>
      </c>
      <c r="D10027" s="2" t="inlineStr">
        <is>
          <t>046390</t>
        </is>
      </c>
      <c r="E10027" s="3" t="inlineStr">
        <is>
          <t>임원ㆍ주요주주특정증권등소유상황보고서</t>
        </is>
      </c>
      <c r="F10027" s="3" t="inlineStr">
        <is>
          <t>신상윤</t>
        </is>
      </c>
      <c r="G10027" s="2" t="inlineStr">
        <is>
          <t>20260608000136</t>
        </is>
      </c>
      <c r="H10027" s="8">
        <f>HYPERLINK("https://dart.fss.or.kr/dsaf001/main.do?rcpNo=20260608000136", "공시열람")</f>
        <v/>
      </c>
    </row>
    <row r="10028">
      <c r="A10028" s="2" t="inlineStr">
        <is>
          <t>2026-06-08</t>
        </is>
      </c>
      <c r="B10028" s="3" t="inlineStr">
        <is>
          <t>NH투자증권</t>
        </is>
      </c>
      <c r="C10028" s="2" t="inlineStr">
        <is>
          <t>코스피</t>
        </is>
      </c>
      <c r="D10028" s="2" t="inlineStr">
        <is>
          <t>005940</t>
        </is>
      </c>
      <c r="E10028" s="3" t="inlineStr">
        <is>
          <t>일괄신고추가서류(파생결합증권-주가연계증권)</t>
        </is>
      </c>
      <c r="F10028" s="3" t="inlineStr">
        <is>
          <t>NH투자증권</t>
        </is>
      </c>
      <c r="G10028" s="2" t="inlineStr">
        <is>
          <t>20260608000135</t>
        </is>
      </c>
      <c r="H10028" s="8">
        <f>HYPERLINK("https://dart.fss.or.kr/dsaf001/main.do?rcpNo=20260608000135", "공시열람")</f>
        <v/>
      </c>
    </row>
    <row r="10029">
      <c r="A10029" s="2" t="inlineStr">
        <is>
          <t>2026-06-08</t>
        </is>
      </c>
      <c r="B10029" s="3" t="inlineStr">
        <is>
          <t>삼화네트웍스</t>
        </is>
      </c>
      <c r="C10029" s="2" t="inlineStr">
        <is>
          <t>코스닥</t>
        </is>
      </c>
      <c r="D10029" s="2" t="inlineStr">
        <is>
          <t>046390</t>
        </is>
      </c>
      <c r="E10029" s="3" t="inlineStr">
        <is>
          <t>임원ㆍ주요주주특정증권등소유상황보고서</t>
        </is>
      </c>
      <c r="F10029" s="3" t="inlineStr">
        <is>
          <t>안제현</t>
        </is>
      </c>
      <c r="G10029" s="2" t="inlineStr">
        <is>
          <t>20260608000134</t>
        </is>
      </c>
      <c r="H10029" s="8">
        <f>HYPERLINK("https://dart.fss.or.kr/dsaf001/main.do?rcpNo=20260608000134", "공시열람")</f>
        <v/>
      </c>
    </row>
    <row r="10030">
      <c r="A10030" s="2" t="inlineStr">
        <is>
          <t>2026-06-08</t>
        </is>
      </c>
      <c r="B10030" s="3" t="inlineStr">
        <is>
          <t>베셀</t>
        </is>
      </c>
      <c r="C10030" s="2" t="inlineStr">
        <is>
          <t>코스닥</t>
        </is>
      </c>
      <c r="D10030" s="2" t="inlineStr">
        <is>
          <t>177350</t>
        </is>
      </c>
      <c r="E10030" s="3" t="inlineStr">
        <is>
          <t xml:space="preserve">주식병합결정              </t>
        </is>
      </c>
      <c r="F10030" s="3" t="inlineStr">
        <is>
          <t>베셀</t>
        </is>
      </c>
      <c r="G10030" s="2" t="inlineStr">
        <is>
          <t>20260608900469</t>
        </is>
      </c>
      <c r="H10030" s="8">
        <f>HYPERLINK("https://dart.fss.or.kr/dsaf001/main.do?rcpNo=20260608900469", "공시열람")</f>
        <v/>
      </c>
    </row>
    <row r="10031">
      <c r="A10031" s="2" t="inlineStr">
        <is>
          <t>2026-06-08</t>
        </is>
      </c>
      <c r="B10031" s="3" t="inlineStr">
        <is>
          <t>멤레이비티</t>
        </is>
      </c>
      <c r="C10031" s="2" t="inlineStr">
        <is>
          <t>코스닥</t>
        </is>
      </c>
      <c r="D10031" s="2" t="inlineStr">
        <is>
          <t>072770</t>
        </is>
      </c>
      <c r="E10031" s="3" t="inlineStr">
        <is>
          <t xml:space="preserve">주주명부폐쇄기간또는기준일설정              </t>
        </is>
      </c>
      <c r="F10031" s="3" t="inlineStr">
        <is>
          <t>멤레이비티</t>
        </is>
      </c>
      <c r="G10031" s="2" t="inlineStr">
        <is>
          <t>20260608900470</t>
        </is>
      </c>
      <c r="H10031" s="8">
        <f>HYPERLINK("https://dart.fss.or.kr/dsaf001/main.do?rcpNo=20260608900470", "공시열람")</f>
        <v/>
      </c>
    </row>
    <row r="10032">
      <c r="A10032" s="2" t="inlineStr">
        <is>
          <t>2026-06-08</t>
        </is>
      </c>
      <c r="B10032" s="3" t="inlineStr">
        <is>
          <t>이엠텍</t>
        </is>
      </c>
      <c r="C10032" s="2" t="inlineStr">
        <is>
          <t>코스닥</t>
        </is>
      </c>
      <c r="D10032" s="2" t="inlineStr">
        <is>
          <t>091120</t>
        </is>
      </c>
      <c r="E10032" s="3" t="inlineStr">
        <is>
          <t>임원ㆍ주요주주특정증권등소유상황보고서</t>
        </is>
      </c>
      <c r="F10032" s="3" t="inlineStr">
        <is>
          <t>이진우</t>
        </is>
      </c>
      <c r="G10032" s="2" t="inlineStr">
        <is>
          <t>20260608000129</t>
        </is>
      </c>
      <c r="H10032" s="8">
        <f>HYPERLINK("https://dart.fss.or.kr/dsaf001/main.do?rcpNo=20260608000129", "공시열람")</f>
        <v/>
      </c>
    </row>
    <row r="10033">
      <c r="A10033" s="2" t="inlineStr">
        <is>
          <t>2026-06-08</t>
        </is>
      </c>
      <c r="B10033" s="3" t="inlineStr">
        <is>
          <t>신영증권</t>
        </is>
      </c>
      <c r="C10033" s="2" t="inlineStr">
        <is>
          <t>코스피</t>
        </is>
      </c>
      <c r="D10033" s="2" t="inlineStr">
        <is>
          <t>001720</t>
        </is>
      </c>
      <c r="E10033" s="3" t="inlineStr">
        <is>
          <t>일괄신고추가서류(파생결합사채-주가연계파생결합사채)</t>
        </is>
      </c>
      <c r="F10033" s="3" t="inlineStr">
        <is>
          <t>신영증권</t>
        </is>
      </c>
      <c r="G10033" s="2" t="inlineStr">
        <is>
          <t>20260608000128</t>
        </is>
      </c>
      <c r="H10033" s="8">
        <f>HYPERLINK("https://dart.fss.or.kr/dsaf001/main.do?rcpNo=20260608000128", "공시열람")</f>
        <v/>
      </c>
    </row>
    <row r="10034">
      <c r="A10034" s="2" t="inlineStr">
        <is>
          <t>2026-06-08</t>
        </is>
      </c>
      <c r="B10034" s="3" t="inlineStr">
        <is>
          <t>삼화네트웍스</t>
        </is>
      </c>
      <c r="C10034" s="2" t="inlineStr">
        <is>
          <t>코스닥</t>
        </is>
      </c>
      <c r="D10034" s="2" t="inlineStr">
        <is>
          <t>046390</t>
        </is>
      </c>
      <c r="E10034" s="3" t="inlineStr">
        <is>
          <t>임원ㆍ주요주주특정증권등소유상황보고서</t>
        </is>
      </c>
      <c r="F10034" s="3" t="inlineStr">
        <is>
          <t>신재은</t>
        </is>
      </c>
      <c r="G10034" s="2" t="inlineStr">
        <is>
          <t>20260608000127</t>
        </is>
      </c>
      <c r="H10034" s="8">
        <f>HYPERLINK("https://dart.fss.or.kr/dsaf001/main.do?rcpNo=20260608000127", "공시열람")</f>
        <v/>
      </c>
    </row>
    <row r="10035">
      <c r="A10035" s="2" t="inlineStr">
        <is>
          <t>2026-06-08</t>
        </is>
      </c>
      <c r="B10035" s="3" t="inlineStr">
        <is>
          <t>미래에셋증권</t>
        </is>
      </c>
      <c r="C10035" s="2" t="inlineStr">
        <is>
          <t>코스피</t>
        </is>
      </c>
      <c r="D10035" s="2" t="inlineStr">
        <is>
          <t>006800</t>
        </is>
      </c>
      <c r="E10035" s="3" t="inlineStr">
        <is>
          <t>일괄신고추가서류(파생결합증권-주식워런트증권)</t>
        </is>
      </c>
      <c r="F10035" s="3" t="inlineStr">
        <is>
          <t>미래에셋증권</t>
        </is>
      </c>
      <c r="G10035" s="2" t="inlineStr">
        <is>
          <t>20260608000124</t>
        </is>
      </c>
      <c r="H10035" s="8">
        <f>HYPERLINK("https://dart.fss.or.kr/dsaf001/main.do?rcpNo=20260608000124", "공시열람")</f>
        <v/>
      </c>
    </row>
    <row r="10036">
      <c r="A10036" s="2" t="inlineStr">
        <is>
          <t>2026-06-08</t>
        </is>
      </c>
      <c r="B10036" s="3" t="inlineStr">
        <is>
          <t>한화투자증권</t>
        </is>
      </c>
      <c r="C10036" s="2" t="inlineStr">
        <is>
          <t>코스피</t>
        </is>
      </c>
      <c r="D10036" s="2" t="inlineStr">
        <is>
          <t>003530</t>
        </is>
      </c>
      <c r="E10036" s="3" t="inlineStr">
        <is>
          <t>증권발행실적보고서</t>
        </is>
      </c>
      <c r="F10036" s="3" t="inlineStr">
        <is>
          <t>한화투자증권</t>
        </is>
      </c>
      <c r="G10036" s="2" t="inlineStr">
        <is>
          <t>20260608000123</t>
        </is>
      </c>
      <c r="H10036" s="8">
        <f>HYPERLINK("https://dart.fss.or.kr/dsaf001/main.do?rcpNo=20260608000123", "공시열람")</f>
        <v/>
      </c>
    </row>
    <row r="10037">
      <c r="A10037" s="2" t="inlineStr">
        <is>
          <t>2026-06-08</t>
        </is>
      </c>
      <c r="B10037" s="3" t="inlineStr">
        <is>
          <t>NH투자증권</t>
        </is>
      </c>
      <c r="C10037" s="2" t="inlineStr">
        <is>
          <t>코스피</t>
        </is>
      </c>
      <c r="D10037" s="2" t="inlineStr">
        <is>
          <t>005940</t>
        </is>
      </c>
      <c r="E10037" s="3" t="inlineStr">
        <is>
          <t>일괄신고추가서류(파생결합증권-주가연계증권)</t>
        </is>
      </c>
      <c r="F10037" s="3" t="inlineStr">
        <is>
          <t>NH투자증권</t>
        </is>
      </c>
      <c r="G10037" s="2" t="inlineStr">
        <is>
          <t>20260608000122</t>
        </is>
      </c>
      <c r="H10037" s="8">
        <f>HYPERLINK("https://dart.fss.or.kr/dsaf001/main.do?rcpNo=20260608000122", "공시열람")</f>
        <v/>
      </c>
    </row>
    <row r="10038">
      <c r="A10038" s="2" t="inlineStr">
        <is>
          <t>2026-06-08</t>
        </is>
      </c>
      <c r="B10038" s="3" t="inlineStr">
        <is>
          <t>NH투자증권</t>
        </is>
      </c>
      <c r="C10038" s="2" t="inlineStr">
        <is>
          <t>코스피</t>
        </is>
      </c>
      <c r="D10038" s="2" t="inlineStr">
        <is>
          <t>005940</t>
        </is>
      </c>
      <c r="E10038" s="3" t="inlineStr">
        <is>
          <t>투자설명서(일괄신고)</t>
        </is>
      </c>
      <c r="F10038" s="3" t="inlineStr">
        <is>
          <t>NH투자증권</t>
        </is>
      </c>
      <c r="G10038" s="2" t="inlineStr">
        <is>
          <t>20260608000115</t>
        </is>
      </c>
      <c r="H10038" s="8">
        <f>HYPERLINK("https://dart.fss.or.kr/dsaf001/main.do?rcpNo=20260608000115", "공시열람")</f>
        <v/>
      </c>
    </row>
    <row r="10039">
      <c r="A10039" s="2" t="inlineStr">
        <is>
          <t>2026-06-08</t>
        </is>
      </c>
      <c r="B10039" s="3" t="inlineStr">
        <is>
          <t>효성오앤비</t>
        </is>
      </c>
      <c r="C10039" s="2" t="inlineStr">
        <is>
          <t>코스닥</t>
        </is>
      </c>
      <c r="D10039" s="2" t="inlineStr">
        <is>
          <t>097870</t>
        </is>
      </c>
      <c r="E10039" s="3" t="inlineStr">
        <is>
          <t xml:space="preserve">주주명부폐쇄기간또는기준일설정              </t>
        </is>
      </c>
      <c r="F10039" s="3" t="inlineStr">
        <is>
          <t>효성오앤비</t>
        </is>
      </c>
      <c r="G10039" s="2" t="inlineStr">
        <is>
          <t>20260608900444</t>
        </is>
      </c>
      <c r="H10039" s="8">
        <f>HYPERLINK("https://dart.fss.or.kr/dsaf001/main.do?rcpNo=20260608900444", "공시열람")</f>
        <v/>
      </c>
    </row>
    <row r="10040">
      <c r="A10040" s="2" t="inlineStr">
        <is>
          <t>2026-06-08</t>
        </is>
      </c>
      <c r="B10040" s="3" t="inlineStr">
        <is>
          <t>NH투자증권</t>
        </is>
      </c>
      <c r="C10040" s="2" t="inlineStr">
        <is>
          <t>코스피</t>
        </is>
      </c>
      <c r="D10040" s="2" t="inlineStr">
        <is>
          <t>005940</t>
        </is>
      </c>
      <c r="E10040" s="3" t="inlineStr">
        <is>
          <t>투자설명서(일괄신고)</t>
        </is>
      </c>
      <c r="F10040" s="3" t="inlineStr">
        <is>
          <t>NH투자증권</t>
        </is>
      </c>
      <c r="G10040" s="2" t="inlineStr">
        <is>
          <t>20260608000114</t>
        </is>
      </c>
      <c r="H10040" s="8">
        <f>HYPERLINK("https://dart.fss.or.kr/dsaf001/main.do?rcpNo=20260608000114", "공시열람")</f>
        <v/>
      </c>
    </row>
    <row r="10041">
      <c r="A10041" s="2" t="inlineStr">
        <is>
          <t>2026-06-08</t>
        </is>
      </c>
      <c r="B10041" s="3" t="inlineStr">
        <is>
          <t>미래에셋증권</t>
        </is>
      </c>
      <c r="C10041" s="2" t="inlineStr">
        <is>
          <t>코스피</t>
        </is>
      </c>
      <c r="D10041" s="2" t="inlineStr">
        <is>
          <t>006800</t>
        </is>
      </c>
      <c r="E10041" s="3" t="inlineStr">
        <is>
          <t>일괄신고추가서류(파생결합사채-주가연계파생결합사채)</t>
        </is>
      </c>
      <c r="F10041" s="3" t="inlineStr">
        <is>
          <t>미래에셋증권</t>
        </is>
      </c>
      <c r="G10041" s="2" t="inlineStr">
        <is>
          <t>20260608000112</t>
        </is>
      </c>
      <c r="H10041" s="8">
        <f>HYPERLINK("https://dart.fss.or.kr/dsaf001/main.do?rcpNo=20260608000112", "공시열람")</f>
        <v/>
      </c>
    </row>
    <row r="10042">
      <c r="A10042" s="2" t="inlineStr">
        <is>
          <t>2026-06-08</t>
        </is>
      </c>
      <c r="B10042" s="3" t="inlineStr">
        <is>
          <t>대창단조</t>
        </is>
      </c>
      <c r="C10042" s="2" t="inlineStr">
        <is>
          <t>코스피</t>
        </is>
      </c>
      <c r="D10042" s="2" t="inlineStr">
        <is>
          <t>015230</t>
        </is>
      </c>
      <c r="E10042" s="3" t="inlineStr">
        <is>
          <t>임원ㆍ주요주주특정증권등거래계획보고서</t>
        </is>
      </c>
      <c r="F10042" s="3" t="inlineStr">
        <is>
          <t>박안식</t>
        </is>
      </c>
      <c r="G10042" s="2" t="inlineStr">
        <is>
          <t>20260608000110</t>
        </is>
      </c>
      <c r="H10042" s="8">
        <f>HYPERLINK("https://dart.fss.or.kr/dsaf001/main.do?rcpNo=20260608000110", "공시열람")</f>
        <v/>
      </c>
    </row>
    <row r="10043">
      <c r="A10043" s="2" t="inlineStr">
        <is>
          <t>2026-06-08</t>
        </is>
      </c>
      <c r="B10043" s="3" t="inlineStr">
        <is>
          <t>에스켐</t>
        </is>
      </c>
      <c r="C10043" s="2" t="inlineStr">
        <is>
          <t>코스닥</t>
        </is>
      </c>
      <c r="D10043" s="2" t="inlineStr">
        <is>
          <t>475660</t>
        </is>
      </c>
      <c r="E10043" s="3" t="inlineStr">
        <is>
          <t>임원ㆍ주요주주특정증권등소유상황보고서</t>
        </is>
      </c>
      <c r="F10043" s="3" t="inlineStr">
        <is>
          <t>이대원</t>
        </is>
      </c>
      <c r="G10043" s="2" t="inlineStr">
        <is>
          <t>20260608000108</t>
        </is>
      </c>
      <c r="H10043" s="8">
        <f>HYPERLINK("https://dart.fss.or.kr/dsaf001/main.do?rcpNo=20260608000108", "공시열람")</f>
        <v/>
      </c>
    </row>
    <row r="10044">
      <c r="A10044" s="2" t="inlineStr">
        <is>
          <t>2026-06-08</t>
        </is>
      </c>
      <c r="B10044" s="3" t="inlineStr">
        <is>
          <t>기가비스</t>
        </is>
      </c>
      <c r="C10044" s="2" t="inlineStr">
        <is>
          <t>코스닥</t>
        </is>
      </c>
      <c r="D10044" s="2" t="inlineStr">
        <is>
          <t>420770</t>
        </is>
      </c>
      <c r="E10044" s="3" t="inlineStr">
        <is>
          <t>임원ㆍ주요주주특정증권등소유상황보고서</t>
        </is>
      </c>
      <c r="F10044" s="3" t="inlineStr">
        <is>
          <t>김종준</t>
        </is>
      </c>
      <c r="G10044" s="2" t="inlineStr">
        <is>
          <t>20260608000099</t>
        </is>
      </c>
      <c r="H10044" s="8">
        <f>HYPERLINK("https://dart.fss.or.kr/dsaf001/main.do?rcpNo=20260608000099", "공시열람")</f>
        <v/>
      </c>
    </row>
    <row r="10045">
      <c r="A10045" s="2" t="inlineStr">
        <is>
          <t>2026-06-08</t>
        </is>
      </c>
      <c r="B10045" s="3" t="inlineStr">
        <is>
          <t>삼익제약</t>
        </is>
      </c>
      <c r="C10045" s="2" t="inlineStr">
        <is>
          <t>코스닥</t>
        </is>
      </c>
      <c r="D10045" s="2" t="inlineStr">
        <is>
          <t>014950</t>
        </is>
      </c>
      <c r="E10045" s="3" t="inlineStr">
        <is>
          <t>임원ㆍ주요주주특정증권등소유상황보고서</t>
        </is>
      </c>
      <c r="F10045" s="3" t="inlineStr">
        <is>
          <t>권영이</t>
        </is>
      </c>
      <c r="G10045" s="2" t="inlineStr">
        <is>
          <t>20260608000098</t>
        </is>
      </c>
      <c r="H10045" s="8">
        <f>HYPERLINK("https://dart.fss.or.kr/dsaf001/main.do?rcpNo=20260608000098", "공시열람")</f>
        <v/>
      </c>
    </row>
    <row r="10046">
      <c r="A10046" s="2" t="inlineStr">
        <is>
          <t>2026-06-08</t>
        </is>
      </c>
      <c r="B10046" s="3" t="inlineStr">
        <is>
          <t>우진</t>
        </is>
      </c>
      <c r="C10046" s="2" t="inlineStr">
        <is>
          <t>코스피</t>
        </is>
      </c>
      <c r="D10046" s="2" t="inlineStr">
        <is>
          <t>105840</t>
        </is>
      </c>
      <c r="E10046" s="3" t="inlineStr">
        <is>
          <t xml:space="preserve">현금ㆍ현물배당결정              </t>
        </is>
      </c>
      <c r="F10046" s="3" t="inlineStr">
        <is>
          <t>우진</t>
        </is>
      </c>
      <c r="G10046" s="2" t="inlineStr">
        <is>
          <t>20260608800425</t>
        </is>
      </c>
      <c r="H10046" s="8">
        <f>HYPERLINK("https://dart.fss.or.kr/dsaf001/main.do?rcpNo=20260608800425", "공시열람")</f>
        <v/>
      </c>
    </row>
    <row r="10047">
      <c r="A10047" s="2" t="inlineStr">
        <is>
          <t>2026-06-08</t>
        </is>
      </c>
      <c r="B10047" s="3" t="inlineStr">
        <is>
          <t>우진</t>
        </is>
      </c>
      <c r="C10047" s="2" t="inlineStr">
        <is>
          <t>코스피</t>
        </is>
      </c>
      <c r="D10047" s="2" t="inlineStr">
        <is>
          <t>105840</t>
        </is>
      </c>
      <c r="E10047" s="3" t="inlineStr">
        <is>
          <t xml:space="preserve">현금ㆍ현물배당을위한주주명부폐쇄(기준일)결정              </t>
        </is>
      </c>
      <c r="F10047" s="3" t="inlineStr">
        <is>
          <t>우진</t>
        </is>
      </c>
      <c r="G10047" s="2" t="inlineStr">
        <is>
          <t>20260608800423</t>
        </is>
      </c>
      <c r="H10047" s="8">
        <f>HYPERLINK("https://dart.fss.or.kr/dsaf001/main.do?rcpNo=20260608800423", "공시열람")</f>
        <v/>
      </c>
    </row>
    <row r="10048">
      <c r="A10048" s="2" t="inlineStr">
        <is>
          <t>2026-06-08</t>
        </is>
      </c>
      <c r="B10048" s="3" t="inlineStr">
        <is>
          <t>씨티케이</t>
        </is>
      </c>
      <c r="C10048" s="2" t="inlineStr">
        <is>
          <t>코스닥</t>
        </is>
      </c>
      <c r="D10048" s="2" t="inlineStr">
        <is>
          <t>260930</t>
        </is>
      </c>
      <c r="E10048" s="3" t="inlineStr">
        <is>
          <t>임원ㆍ주요주주특정증권등소유상황보고서</t>
        </is>
      </c>
      <c r="F10048" s="3" t="inlineStr">
        <is>
          <t>이종호</t>
        </is>
      </c>
      <c r="G10048" s="2" t="inlineStr">
        <is>
          <t>20260608000097</t>
        </is>
      </c>
      <c r="H10048" s="8">
        <f>HYPERLINK("https://dart.fss.or.kr/dsaf001/main.do?rcpNo=20260608000097", "공시열람")</f>
        <v/>
      </c>
    </row>
    <row r="10049">
      <c r="A10049" s="2" t="inlineStr">
        <is>
          <t>2026-06-08</t>
        </is>
      </c>
      <c r="B10049" s="3" t="inlineStr">
        <is>
          <t>삼화네트웍스</t>
        </is>
      </c>
      <c r="C10049" s="2" t="inlineStr">
        <is>
          <t>코스닥</t>
        </is>
      </c>
      <c r="D10049" s="2" t="inlineStr">
        <is>
          <t>046390</t>
        </is>
      </c>
      <c r="E10049" s="3" t="inlineStr">
        <is>
          <t>신탁계약에의한취득상황보고서</t>
        </is>
      </c>
      <c r="F10049" s="3" t="inlineStr">
        <is>
          <t>삼화네트웍스</t>
        </is>
      </c>
      <c r="G10049" s="2" t="inlineStr">
        <is>
          <t>20260608000096</t>
        </is>
      </c>
      <c r="H10049" s="8">
        <f>HYPERLINK("https://dart.fss.or.kr/dsaf001/main.do?rcpNo=20260608000096", "공시열람")</f>
        <v/>
      </c>
    </row>
    <row r="10050">
      <c r="A10050" s="2" t="inlineStr">
        <is>
          <t>2026-06-08</t>
        </is>
      </c>
      <c r="B10050" s="3" t="inlineStr">
        <is>
          <t>오토앤</t>
        </is>
      </c>
      <c r="C10050" s="2" t="inlineStr">
        <is>
          <t>코스닥</t>
        </is>
      </c>
      <c r="D10050" s="2" t="inlineStr">
        <is>
          <t>353590</t>
        </is>
      </c>
      <c r="E10050" s="3" t="inlineStr">
        <is>
          <t>임원ㆍ주요주주특정증권등소유상황보고서</t>
        </is>
      </c>
      <c r="F10050" s="3" t="inlineStr">
        <is>
          <t>이재엽</t>
        </is>
      </c>
      <c r="G10050" s="2" t="inlineStr">
        <is>
          <t>20260608000095</t>
        </is>
      </c>
      <c r="H10050" s="8">
        <f>HYPERLINK("https://dart.fss.or.kr/dsaf001/main.do?rcpNo=20260608000095", "공시열람")</f>
        <v/>
      </c>
    </row>
    <row r="10051">
      <c r="A10051" s="2" t="inlineStr">
        <is>
          <t>2026-06-08</t>
        </is>
      </c>
      <c r="B10051" s="3" t="inlineStr">
        <is>
          <t>휴니드테크놀러지스</t>
        </is>
      </c>
      <c r="C10051" s="2" t="inlineStr">
        <is>
          <t>코스피</t>
        </is>
      </c>
      <c r="D10051" s="2" t="inlineStr">
        <is>
          <t>005870</t>
        </is>
      </c>
      <c r="E10051" s="3" t="inlineStr">
        <is>
          <t xml:space="preserve">[첨부정정]기업지배구조보고서공시              </t>
        </is>
      </c>
      <c r="F10051" s="3" t="inlineStr">
        <is>
          <t>휴니드테크놀러지스</t>
        </is>
      </c>
      <c r="G10051" s="2" t="inlineStr">
        <is>
          <t>20260608800415</t>
        </is>
      </c>
      <c r="H10051" s="8">
        <f>HYPERLINK("https://dart.fss.or.kr/dsaf001/main.do?rcpNo=20260608800415", "공시열람")</f>
        <v/>
      </c>
    </row>
    <row r="10052">
      <c r="A10052" s="2" t="inlineStr">
        <is>
          <t>2026-06-08</t>
        </is>
      </c>
      <c r="B10052" s="3" t="inlineStr">
        <is>
          <t>큐렉소</t>
        </is>
      </c>
      <c r="C10052" s="2" t="inlineStr">
        <is>
          <t>코스닥</t>
        </is>
      </c>
      <c r="D10052" s="2" t="inlineStr">
        <is>
          <t>060280</t>
        </is>
      </c>
      <c r="E10052" s="3" t="inlineStr">
        <is>
          <t>임원ㆍ주요주주특정증권등소유상황보고서</t>
        </is>
      </c>
      <c r="F10052" s="3" t="inlineStr">
        <is>
          <t>이상훈</t>
        </is>
      </c>
      <c r="G10052" s="2" t="inlineStr">
        <is>
          <t>20260608000086</t>
        </is>
      </c>
      <c r="H10052" s="8">
        <f>HYPERLINK("https://dart.fss.or.kr/dsaf001/main.do?rcpNo=20260608000086", "공시열람")</f>
        <v/>
      </c>
    </row>
    <row r="10053">
      <c r="A10053" s="2" t="inlineStr">
        <is>
          <t>2026-06-08 (정정: 2026-06-15)</t>
        </is>
      </c>
      <c r="B10053" s="3" t="inlineStr">
        <is>
          <t>파이온엑스</t>
        </is>
      </c>
      <c r="C10053" s="2" t="inlineStr">
        <is>
          <t>코스닥</t>
        </is>
      </c>
      <c r="D10053" s="2" t="inlineStr">
        <is>
          <t>900100</t>
        </is>
      </c>
      <c r="E10053" s="3" t="inlineStr">
        <is>
          <t>조회공시요구(현저한시황변동)에대한답변(미확정)               (정정: 20260615)</t>
        </is>
      </c>
      <c r="F10053" s="3" t="inlineStr">
        <is>
          <t>파이온엑스</t>
        </is>
      </c>
      <c r="G10053" s="2" t="inlineStr">
        <is>
          <t>20260615900360</t>
        </is>
      </c>
      <c r="H10053" s="8">
        <f>HYPERLINK("https://dart.fss.or.kr/dsaf001/main.do?rcpNo=20260615900360", "공시열람")</f>
        <v/>
      </c>
    </row>
    <row r="10054">
      <c r="A10054" s="2" t="inlineStr">
        <is>
          <t>2026-06-08</t>
        </is>
      </c>
      <c r="B10054" s="3" t="inlineStr">
        <is>
          <t>iM금융지주</t>
        </is>
      </c>
      <c r="C10054" s="2" t="inlineStr">
        <is>
          <t>코스피</t>
        </is>
      </c>
      <c r="D10054" s="2" t="inlineStr">
        <is>
          <t>139130</t>
        </is>
      </c>
      <c r="E10054" s="3" t="inlineStr">
        <is>
          <t>임원ㆍ주요주주특정증권등소유상황보고서</t>
        </is>
      </c>
      <c r="F10054" s="3" t="inlineStr">
        <is>
          <t>이선모</t>
        </is>
      </c>
      <c r="G10054" s="2" t="inlineStr">
        <is>
          <t>20260608000080</t>
        </is>
      </c>
      <c r="H10054" s="8">
        <f>HYPERLINK("https://dart.fss.or.kr/dsaf001/main.do?rcpNo=20260608000080", "공시열람")</f>
        <v/>
      </c>
    </row>
    <row r="10055">
      <c r="A10055" s="2" t="inlineStr">
        <is>
          <t>2026-06-08</t>
        </is>
      </c>
      <c r="B10055" s="3" t="inlineStr">
        <is>
          <t>하이트진로</t>
        </is>
      </c>
      <c r="C10055" s="2" t="inlineStr">
        <is>
          <t>코스피</t>
        </is>
      </c>
      <c r="D10055" s="2" t="inlineStr">
        <is>
          <t>000080</t>
        </is>
      </c>
      <c r="E10055" s="3" t="inlineStr">
        <is>
          <t>임원ㆍ주요주주특정증권등소유상황보고서</t>
        </is>
      </c>
      <c r="F10055" s="3" t="inlineStr">
        <is>
          <t>하재헌</t>
        </is>
      </c>
      <c r="G10055" s="2" t="inlineStr">
        <is>
          <t>20260608000073</t>
        </is>
      </c>
      <c r="H10055" s="8">
        <f>HYPERLINK("https://dart.fss.or.kr/dsaf001/main.do?rcpNo=20260608000073", "공시열람")</f>
        <v/>
      </c>
    </row>
    <row r="10056">
      <c r="A10056" s="2" t="inlineStr">
        <is>
          <t>2026-06-08</t>
        </is>
      </c>
      <c r="B10056" s="3" t="inlineStr">
        <is>
          <t>하이트진로</t>
        </is>
      </c>
      <c r="C10056" s="2" t="inlineStr">
        <is>
          <t>코스피</t>
        </is>
      </c>
      <c r="D10056" s="2" t="inlineStr">
        <is>
          <t>000080</t>
        </is>
      </c>
      <c r="E10056" s="3" t="inlineStr">
        <is>
          <t>임원ㆍ주요주주특정증권등소유상황보고서</t>
        </is>
      </c>
      <c r="F10056" s="3" t="inlineStr">
        <is>
          <t>박재우</t>
        </is>
      </c>
      <c r="G10056" s="2" t="inlineStr">
        <is>
          <t>20260608000070</t>
        </is>
      </c>
      <c r="H10056" s="8">
        <f>HYPERLINK("https://dart.fss.or.kr/dsaf001/main.do?rcpNo=20260608000070", "공시열람")</f>
        <v/>
      </c>
    </row>
    <row r="10057">
      <c r="A10057" s="2" t="inlineStr">
        <is>
          <t>2026-06-08</t>
        </is>
      </c>
      <c r="B10057" s="3" t="inlineStr">
        <is>
          <t>하이트진로</t>
        </is>
      </c>
      <c r="C10057" s="2" t="inlineStr">
        <is>
          <t>코스피</t>
        </is>
      </c>
      <c r="D10057" s="2" t="inlineStr">
        <is>
          <t>000080</t>
        </is>
      </c>
      <c r="E10057" s="3" t="inlineStr">
        <is>
          <t>임원ㆍ주요주주특정증권등소유상황보고서</t>
        </is>
      </c>
      <c r="F10057" s="3" t="inlineStr">
        <is>
          <t>백명규</t>
        </is>
      </c>
      <c r="G10057" s="2" t="inlineStr">
        <is>
          <t>20260608000066</t>
        </is>
      </c>
      <c r="H10057" s="8">
        <f>HYPERLINK("https://dart.fss.or.kr/dsaf001/main.do?rcpNo=20260608000066", "공시열람")</f>
        <v/>
      </c>
    </row>
    <row r="10058">
      <c r="A10058" s="2" t="inlineStr">
        <is>
          <t>2026-06-08</t>
        </is>
      </c>
      <c r="B10058" s="3" t="inlineStr">
        <is>
          <t>NH투자증권</t>
        </is>
      </c>
      <c r="C10058" s="2" t="inlineStr">
        <is>
          <t>코스피</t>
        </is>
      </c>
      <c r="D10058" s="2" t="inlineStr">
        <is>
          <t>005940</t>
        </is>
      </c>
      <c r="E10058" s="3" t="inlineStr">
        <is>
          <t>일괄신고추가서류(파생결합증권-주가연계증권)</t>
        </is>
      </c>
      <c r="F10058" s="3" t="inlineStr">
        <is>
          <t>NH투자증권</t>
        </is>
      </c>
      <c r="G10058" s="2" t="inlineStr">
        <is>
          <t>20260608000065</t>
        </is>
      </c>
      <c r="H10058" s="8">
        <f>HYPERLINK("https://dart.fss.or.kr/dsaf001/main.do?rcpNo=20260608000065", "공시열람")</f>
        <v/>
      </c>
    </row>
    <row r="10059">
      <c r="A10059" s="2" t="inlineStr">
        <is>
          <t>2026-06-08</t>
        </is>
      </c>
      <c r="B10059" s="3" t="inlineStr">
        <is>
          <t>INVENI</t>
        </is>
      </c>
      <c r="C10059" s="2" t="inlineStr">
        <is>
          <t>코스피</t>
        </is>
      </c>
      <c r="D10059" s="2" t="inlineStr">
        <is>
          <t>015360</t>
        </is>
      </c>
      <c r="E10059" s="3" t="inlineStr">
        <is>
          <t>임원ㆍ주요주주특정증권등소유상황보고서</t>
        </is>
      </c>
      <c r="F10059" s="3" t="inlineStr">
        <is>
          <t>구자은</t>
        </is>
      </c>
      <c r="G10059" s="2" t="inlineStr">
        <is>
          <t>20260608000060</t>
        </is>
      </c>
      <c r="H10059" s="8">
        <f>HYPERLINK("https://dart.fss.or.kr/dsaf001/main.do?rcpNo=20260608000060", "공시열람")</f>
        <v/>
      </c>
    </row>
    <row r="10060">
      <c r="A10060" s="2" t="inlineStr">
        <is>
          <t>2026-06-08</t>
        </is>
      </c>
      <c r="B10060" s="3" t="inlineStr">
        <is>
          <t>NH투자증권</t>
        </is>
      </c>
      <c r="C10060" s="2" t="inlineStr">
        <is>
          <t>코스피</t>
        </is>
      </c>
      <c r="D10060" s="2" t="inlineStr">
        <is>
          <t>005940</t>
        </is>
      </c>
      <c r="E10060" s="3" t="inlineStr">
        <is>
          <t>일괄신고추가서류(파생결합사채-주가연계파생결합사채)</t>
        </is>
      </c>
      <c r="F10060" s="3" t="inlineStr">
        <is>
          <t>NH투자증권</t>
        </is>
      </c>
      <c r="G10060" s="2" t="inlineStr">
        <is>
          <t>20260608000057</t>
        </is>
      </c>
      <c r="H10060" s="8">
        <f>HYPERLINK("https://dart.fss.or.kr/dsaf001/main.do?rcpNo=20260608000057", "공시열람")</f>
        <v/>
      </c>
    </row>
    <row r="10061">
      <c r="A10061" s="2" t="inlineStr">
        <is>
          <t>2026-06-08</t>
        </is>
      </c>
      <c r="B10061" s="3" t="inlineStr">
        <is>
          <t>키움증권</t>
        </is>
      </c>
      <c r="C10061" s="2" t="inlineStr">
        <is>
          <t>코스피</t>
        </is>
      </c>
      <c r="D10061" s="2" t="inlineStr">
        <is>
          <t>039490</t>
        </is>
      </c>
      <c r="E10061" s="3" t="inlineStr">
        <is>
          <t>증권발행실적보고서</t>
        </is>
      </c>
      <c r="F10061" s="3" t="inlineStr">
        <is>
          <t>키움증권</t>
        </is>
      </c>
      <c r="G10061" s="2" t="inlineStr">
        <is>
          <t>20260608000052</t>
        </is>
      </c>
      <c r="H10061" s="8">
        <f>HYPERLINK("https://dart.fss.or.kr/dsaf001/main.do?rcpNo=20260608000052", "공시열람")</f>
        <v/>
      </c>
    </row>
    <row r="10062">
      <c r="A10062" s="2" t="inlineStr">
        <is>
          <t>2026-06-08</t>
        </is>
      </c>
      <c r="B10062" s="3" t="inlineStr">
        <is>
          <t>티쓰리</t>
        </is>
      </c>
      <c r="C10062" s="2" t="inlineStr">
        <is>
          <t>코스닥</t>
        </is>
      </c>
      <c r="D10062" s="2" t="inlineStr">
        <is>
          <t>204610</t>
        </is>
      </c>
      <c r="E10062" s="3" t="inlineStr">
        <is>
          <t xml:space="preserve">기업설명회(IR)개최              </t>
        </is>
      </c>
      <c r="F10062" s="3" t="inlineStr">
        <is>
          <t>티쓰리</t>
        </is>
      </c>
      <c r="G10062" s="2" t="inlineStr">
        <is>
          <t>20260608900374</t>
        </is>
      </c>
      <c r="H10062" s="8">
        <f>HYPERLINK("https://dart.fss.or.kr/dsaf001/main.do?rcpNo=20260608900374", "공시열람")</f>
        <v/>
      </c>
    </row>
    <row r="10063">
      <c r="A10063" s="2" t="inlineStr">
        <is>
          <t>2026-06-08</t>
        </is>
      </c>
      <c r="B10063" s="3" t="inlineStr">
        <is>
          <t>한화손해보험</t>
        </is>
      </c>
      <c r="C10063" s="2" t="inlineStr">
        <is>
          <t>코스피</t>
        </is>
      </c>
      <c r="D10063" s="2" t="inlineStr">
        <is>
          <t>000370</t>
        </is>
      </c>
      <c r="E10063" s="3" t="inlineStr">
        <is>
          <t>임원ㆍ주요주주특정증권등소유상황보고서</t>
        </is>
      </c>
      <c r="F10063" s="3" t="inlineStr">
        <is>
          <t>유종목</t>
        </is>
      </c>
      <c r="G10063" s="2" t="inlineStr">
        <is>
          <t>20260608000033</t>
        </is>
      </c>
      <c r="H10063" s="8">
        <f>HYPERLINK("https://dart.fss.or.kr/dsaf001/main.do?rcpNo=20260608000033", "공시열람")</f>
        <v/>
      </c>
    </row>
    <row r="10064">
      <c r="A10064" s="2" t="inlineStr">
        <is>
          <t>2026-06-08</t>
        </is>
      </c>
      <c r="B10064" s="3" t="inlineStr">
        <is>
          <t>NH투자증권</t>
        </is>
      </c>
      <c r="C10064" s="2" t="inlineStr">
        <is>
          <t>코스피</t>
        </is>
      </c>
      <c r="D10064" s="2" t="inlineStr">
        <is>
          <t>005940</t>
        </is>
      </c>
      <c r="E10064" s="3" t="inlineStr">
        <is>
          <t>증권발행실적보고서</t>
        </is>
      </c>
      <c r="F10064" s="3" t="inlineStr">
        <is>
          <t>NH투자증권</t>
        </is>
      </c>
      <c r="G10064" s="2" t="inlineStr">
        <is>
          <t>20260608000031</t>
        </is>
      </c>
      <c r="H10064" s="8">
        <f>HYPERLINK("https://dart.fss.or.kr/dsaf001/main.do?rcpNo=20260608000031", "공시열람")</f>
        <v/>
      </c>
    </row>
    <row r="10065">
      <c r="A10065" s="2" t="inlineStr">
        <is>
          <t>2026-06-08</t>
        </is>
      </c>
      <c r="B10065" s="3" t="inlineStr">
        <is>
          <t>네오위즈</t>
        </is>
      </c>
      <c r="C10065" s="2" t="inlineStr">
        <is>
          <t>코스닥</t>
        </is>
      </c>
      <c r="D10065" s="2" t="inlineStr">
        <is>
          <t>095660</t>
        </is>
      </c>
      <c r="E10065" s="3" t="inlineStr">
        <is>
          <t>수시공시의무관련사항(공정공시)              (대표이사 변경(내정)에 관한 사항)</t>
        </is>
      </c>
      <c r="F10065" s="3" t="inlineStr">
        <is>
          <t>네오위즈</t>
        </is>
      </c>
      <c r="G10065" s="2" t="inlineStr">
        <is>
          <t>20260608900218</t>
        </is>
      </c>
      <c r="H10065" s="8">
        <f>HYPERLINK("https://dart.fss.or.kr/dsaf001/main.do?rcpNo=20260608900218", "공시열람")</f>
        <v/>
      </c>
    </row>
    <row r="10066">
      <c r="A10066" s="2" t="inlineStr">
        <is>
          <t>2026-06-08</t>
        </is>
      </c>
      <c r="B10066" s="3" t="inlineStr">
        <is>
          <t>HLB바이오스텝</t>
        </is>
      </c>
      <c r="C10066" s="2" t="inlineStr">
        <is>
          <t>코스닥</t>
        </is>
      </c>
      <c r="D10066" s="2" t="inlineStr">
        <is>
          <t>278650</t>
        </is>
      </c>
      <c r="E10066" s="3" t="inlineStr">
        <is>
          <t>임원ㆍ주요주주특정증권등소유상황보고서</t>
        </is>
      </c>
      <c r="F10066" s="3" t="inlineStr">
        <is>
          <t>이형석</t>
        </is>
      </c>
      <c r="G10066" s="2" t="inlineStr">
        <is>
          <t>20260608000027</t>
        </is>
      </c>
      <c r="H10066" s="8">
        <f>HYPERLINK("https://dart.fss.or.kr/dsaf001/main.do?rcpNo=20260608000027", "공시열람")</f>
        <v/>
      </c>
    </row>
    <row r="10067">
      <c r="A10067" s="2" t="inlineStr">
        <is>
          <t>2026-06-08</t>
        </is>
      </c>
      <c r="B10067" s="3" t="inlineStr">
        <is>
          <t>한화손해보험</t>
        </is>
      </c>
      <c r="C10067" s="2" t="inlineStr">
        <is>
          <t>코스피</t>
        </is>
      </c>
      <c r="D10067" s="2" t="inlineStr">
        <is>
          <t>000370</t>
        </is>
      </c>
      <c r="E10067" s="3" t="inlineStr">
        <is>
          <t>임원ㆍ주요주주특정증권등소유상황보고서</t>
        </is>
      </c>
      <c r="F10067" s="3" t="inlineStr">
        <is>
          <t>최원혁</t>
        </is>
      </c>
      <c r="G10067" s="2" t="inlineStr">
        <is>
          <t>20260608000025</t>
        </is>
      </c>
      <c r="H10067" s="8">
        <f>HYPERLINK("https://dart.fss.or.kr/dsaf001/main.do?rcpNo=20260608000025", "공시열람")</f>
        <v/>
      </c>
    </row>
    <row r="10068">
      <c r="A10068" s="2" t="inlineStr">
        <is>
          <t>2026-06-08</t>
        </is>
      </c>
      <c r="B10068" s="3" t="inlineStr">
        <is>
          <t>한화손해보험</t>
        </is>
      </c>
      <c r="C10068" s="2" t="inlineStr">
        <is>
          <t>코스피</t>
        </is>
      </c>
      <c r="D10068" s="2" t="inlineStr">
        <is>
          <t>000370</t>
        </is>
      </c>
      <c r="E10068" s="3" t="inlineStr">
        <is>
          <t>임원ㆍ주요주주특정증권등소유상황보고서</t>
        </is>
      </c>
      <c r="F10068" s="3" t="inlineStr">
        <is>
          <t>이동현</t>
        </is>
      </c>
      <c r="G10068" s="2" t="inlineStr">
        <is>
          <t>20260608000022</t>
        </is>
      </c>
      <c r="H10068" s="8">
        <f>HYPERLINK("https://dart.fss.or.kr/dsaf001/main.do?rcpNo=20260608000022", "공시열람")</f>
        <v/>
      </c>
    </row>
    <row r="10069">
      <c r="A10069" s="2" t="inlineStr">
        <is>
          <t>2026-06-08</t>
        </is>
      </c>
      <c r="B10069" s="3" t="inlineStr">
        <is>
          <t>현대그린푸드</t>
        </is>
      </c>
      <c r="C10069" s="2" t="inlineStr">
        <is>
          <t>코스피</t>
        </is>
      </c>
      <c r="D10069" s="2" t="inlineStr">
        <is>
          <t>453340</t>
        </is>
      </c>
      <c r="E10069" s="3" t="inlineStr">
        <is>
          <t xml:space="preserve">기업설명회(IR)개최(안내공시)              </t>
        </is>
      </c>
      <c r="F10069" s="3" t="inlineStr">
        <is>
          <t>현대그린푸드</t>
        </is>
      </c>
      <c r="G10069" s="2" t="inlineStr">
        <is>
          <t>20260608800232</t>
        </is>
      </c>
      <c r="H10069" s="8">
        <f>HYPERLINK("https://dart.fss.or.kr/dsaf001/main.do?rcpNo=20260608800232", "공시열람")</f>
        <v/>
      </c>
    </row>
    <row r="10070">
      <c r="A10070" s="2" t="inlineStr">
        <is>
          <t>2026-06-08</t>
        </is>
      </c>
      <c r="B10070" s="3" t="inlineStr">
        <is>
          <t>교보증권</t>
        </is>
      </c>
      <c r="C10070" s="2" t="inlineStr">
        <is>
          <t>코스피</t>
        </is>
      </c>
      <c r="D10070" s="2" t="inlineStr">
        <is>
          <t>030610</t>
        </is>
      </c>
      <c r="E10070" s="3" t="inlineStr">
        <is>
          <t>투자설명서(일괄신고)</t>
        </is>
      </c>
      <c r="F10070" s="3" t="inlineStr">
        <is>
          <t>교보증권</t>
        </is>
      </c>
      <c r="G10070" s="2" t="inlineStr">
        <is>
          <t>20260608000019</t>
        </is>
      </c>
      <c r="H10070" s="8">
        <f>HYPERLINK("https://dart.fss.or.kr/dsaf001/main.do?rcpNo=20260608000019", "공시열람")</f>
        <v/>
      </c>
    </row>
    <row r="10071">
      <c r="A10071" s="2" t="inlineStr">
        <is>
          <t>2026-06-08</t>
        </is>
      </c>
      <c r="B10071" s="3" t="inlineStr">
        <is>
          <t>교보증권</t>
        </is>
      </c>
      <c r="C10071" s="2" t="inlineStr">
        <is>
          <t>코스피</t>
        </is>
      </c>
      <c r="D10071" s="2" t="inlineStr">
        <is>
          <t>030610</t>
        </is>
      </c>
      <c r="E10071" s="3" t="inlineStr">
        <is>
          <t>투자설명서(일괄신고)</t>
        </is>
      </c>
      <c r="F10071" s="3" t="inlineStr">
        <is>
          <t>교보증권</t>
        </is>
      </c>
      <c r="G10071" s="2" t="inlineStr">
        <is>
          <t>20260608000018</t>
        </is>
      </c>
      <c r="H10071" s="8">
        <f>HYPERLINK("https://dart.fss.or.kr/dsaf001/main.do?rcpNo=20260608000018", "공시열람")</f>
        <v/>
      </c>
    </row>
    <row r="10072">
      <c r="A10072" s="2" t="inlineStr">
        <is>
          <t>2026-06-08</t>
        </is>
      </c>
      <c r="B10072" s="3" t="inlineStr">
        <is>
          <t>교보증권</t>
        </is>
      </c>
      <c r="C10072" s="2" t="inlineStr">
        <is>
          <t>코스피</t>
        </is>
      </c>
      <c r="D10072" s="2" t="inlineStr">
        <is>
          <t>030610</t>
        </is>
      </c>
      <c r="E10072" s="3" t="inlineStr">
        <is>
          <t>일괄신고추가서류(파생결합증권-주가연계증권)</t>
        </is>
      </c>
      <c r="F10072" s="3" t="inlineStr">
        <is>
          <t>교보증권</t>
        </is>
      </c>
      <c r="G10072" s="2" t="inlineStr">
        <is>
          <t>20260608000017</t>
        </is>
      </c>
      <c r="H10072" s="8">
        <f>HYPERLINK("https://dart.fss.or.kr/dsaf001/main.do?rcpNo=20260608000017", "공시열람")</f>
        <v/>
      </c>
    </row>
    <row r="10073">
      <c r="A10073" s="2" t="inlineStr">
        <is>
          <t>2026-06-08</t>
        </is>
      </c>
      <c r="B10073" s="3" t="inlineStr">
        <is>
          <t>교보증권</t>
        </is>
      </c>
      <c r="C10073" s="2" t="inlineStr">
        <is>
          <t>코스피</t>
        </is>
      </c>
      <c r="D10073" s="2" t="inlineStr">
        <is>
          <t>030610</t>
        </is>
      </c>
      <c r="E10073" s="3" t="inlineStr">
        <is>
          <t>투자설명서(일괄신고)</t>
        </is>
      </c>
      <c r="F10073" s="3" t="inlineStr">
        <is>
          <t>교보증권</t>
        </is>
      </c>
      <c r="G10073" s="2" t="inlineStr">
        <is>
          <t>20260608000016</t>
        </is>
      </c>
      <c r="H10073" s="8">
        <f>HYPERLINK("https://dart.fss.or.kr/dsaf001/main.do?rcpNo=20260608000016", "공시열람")</f>
        <v/>
      </c>
    </row>
    <row r="10074">
      <c r="A10074" s="2" t="inlineStr">
        <is>
          <t>2026-06-08</t>
        </is>
      </c>
      <c r="B10074" s="3" t="inlineStr">
        <is>
          <t>한화손해보험</t>
        </is>
      </c>
      <c r="C10074" s="2" t="inlineStr">
        <is>
          <t>코스피</t>
        </is>
      </c>
      <c r="D10074" s="2" t="inlineStr">
        <is>
          <t>000370</t>
        </is>
      </c>
      <c r="E10074" s="3" t="inlineStr">
        <is>
          <t>임원ㆍ주요주주특정증권등소유상황보고서</t>
        </is>
      </c>
      <c r="F10074" s="3" t="inlineStr">
        <is>
          <t>임현빈</t>
        </is>
      </c>
      <c r="G10074" s="2" t="inlineStr">
        <is>
          <t>20260608000014</t>
        </is>
      </c>
      <c r="H10074" s="8">
        <f>HYPERLINK("https://dart.fss.or.kr/dsaf001/main.do?rcpNo=20260608000014", "공시열람")</f>
        <v/>
      </c>
    </row>
    <row r="10075">
      <c r="A10075" s="2" t="inlineStr">
        <is>
          <t>2026-06-08</t>
        </is>
      </c>
      <c r="B10075" s="3" t="inlineStr">
        <is>
          <t>교보증권</t>
        </is>
      </c>
      <c r="C10075" s="2" t="inlineStr">
        <is>
          <t>코스피</t>
        </is>
      </c>
      <c r="D10075" s="2" t="inlineStr">
        <is>
          <t>030610</t>
        </is>
      </c>
      <c r="E10075" s="3" t="inlineStr">
        <is>
          <t>일괄신고추가서류(파생결합사채-주가연계파생결합사채)</t>
        </is>
      </c>
      <c r="F10075" s="3" t="inlineStr">
        <is>
          <t>교보증권</t>
        </is>
      </c>
      <c r="G10075" s="2" t="inlineStr">
        <is>
          <t>20260608000013</t>
        </is>
      </c>
      <c r="H10075" s="8">
        <f>HYPERLINK("https://dart.fss.or.kr/dsaf001/main.do?rcpNo=20260608000013", "공시열람")</f>
        <v/>
      </c>
    </row>
    <row r="10076">
      <c r="A10076" s="2" t="inlineStr">
        <is>
          <t>2026-06-08</t>
        </is>
      </c>
      <c r="B10076" s="3" t="inlineStr">
        <is>
          <t>한화손해보험</t>
        </is>
      </c>
      <c r="C10076" s="2" t="inlineStr">
        <is>
          <t>코스피</t>
        </is>
      </c>
      <c r="D10076" s="2" t="inlineStr">
        <is>
          <t>000370</t>
        </is>
      </c>
      <c r="E10076" s="3" t="inlineStr">
        <is>
          <t>임원ㆍ주요주주특정증권등소유상황보고서</t>
        </is>
      </c>
      <c r="F10076" s="3" t="inlineStr">
        <is>
          <t>전두성</t>
        </is>
      </c>
      <c r="G10076" s="2" t="inlineStr">
        <is>
          <t>20260608000010</t>
        </is>
      </c>
      <c r="H10076" s="8">
        <f>HYPERLINK("https://dart.fss.or.kr/dsaf001/main.do?rcpNo=20260608000010", "공시열람")</f>
        <v/>
      </c>
    </row>
    <row r="10077">
      <c r="A10077" s="2" t="inlineStr">
        <is>
          <t>2026-06-08</t>
        </is>
      </c>
      <c r="B10077" s="3" t="inlineStr">
        <is>
          <t>교보증권</t>
        </is>
      </c>
      <c r="C10077" s="2" t="inlineStr">
        <is>
          <t>코스피</t>
        </is>
      </c>
      <c r="D10077" s="2" t="inlineStr">
        <is>
          <t>030610</t>
        </is>
      </c>
      <c r="E10077" s="3" t="inlineStr">
        <is>
          <t>일괄신고추가서류(파생결합증권-주가연계증권)</t>
        </is>
      </c>
      <c r="F10077" s="3" t="inlineStr">
        <is>
          <t>교보증권</t>
        </is>
      </c>
      <c r="G10077" s="2" t="inlineStr">
        <is>
          <t>20260608000009</t>
        </is>
      </c>
      <c r="H10077" s="8">
        <f>HYPERLINK("https://dart.fss.or.kr/dsaf001/main.do?rcpNo=20260608000009", "공시열람")</f>
        <v/>
      </c>
    </row>
    <row r="10078">
      <c r="A10078" s="2" t="inlineStr">
        <is>
          <t>2026-06-08</t>
        </is>
      </c>
      <c r="B10078" s="3" t="inlineStr">
        <is>
          <t>미래에셋증권</t>
        </is>
      </c>
      <c r="C10078" s="2" t="inlineStr">
        <is>
          <t>코스피</t>
        </is>
      </c>
      <c r="D10078" s="2" t="inlineStr">
        <is>
          <t>006800</t>
        </is>
      </c>
      <c r="E10078" s="3" t="inlineStr">
        <is>
          <t>증권발행실적보고서</t>
        </is>
      </c>
      <c r="F10078" s="3" t="inlineStr">
        <is>
          <t>미래에셋증권</t>
        </is>
      </c>
      <c r="G10078" s="2" t="inlineStr">
        <is>
          <t>20260608000007</t>
        </is>
      </c>
      <c r="H10078" s="8">
        <f>HYPERLINK("https://dart.fss.or.kr/dsaf001/main.do?rcpNo=20260608000007", "공시열람")</f>
        <v/>
      </c>
    </row>
    <row r="10079">
      <c r="A10079" s="2" t="inlineStr">
        <is>
          <t>2026-06-08</t>
        </is>
      </c>
      <c r="B10079" s="3" t="inlineStr">
        <is>
          <t>한화</t>
        </is>
      </c>
      <c r="C10079" s="2" t="inlineStr">
        <is>
          <t>코스피</t>
        </is>
      </c>
      <c r="D10079" s="2" t="inlineStr">
        <is>
          <t>000880</t>
        </is>
      </c>
      <c r="E10079" s="3" t="inlineStr">
        <is>
          <t>투자설명서</t>
        </is>
      </c>
      <c r="F10079" s="3" t="inlineStr">
        <is>
          <t>한화</t>
        </is>
      </c>
      <c r="G10079" s="2" t="inlineStr">
        <is>
          <t>20260608000003</t>
        </is>
      </c>
      <c r="H10079" s="8">
        <f>HYPERLINK("https://dart.fss.or.kr/dsaf001/main.do?rcpNo=20260608000003", "공시열람")</f>
        <v/>
      </c>
    </row>
    <row r="10080">
      <c r="A10080" s="2" t="inlineStr">
        <is>
          <t>2026-06-08</t>
        </is>
      </c>
      <c r="B10080" s="3" t="inlineStr">
        <is>
          <t>삼성전자</t>
        </is>
      </c>
      <c r="C10080" s="2" t="inlineStr">
        <is>
          <t>코스피</t>
        </is>
      </c>
      <c r="D10080" s="2" t="inlineStr">
        <is>
          <t>005930</t>
        </is>
      </c>
      <c r="E10080" s="3" t="inlineStr">
        <is>
          <t>임원ㆍ주요주주특정증권등소유상황보고서</t>
        </is>
      </c>
      <c r="F10080" s="3" t="inlineStr">
        <is>
          <t>박태훈</t>
        </is>
      </c>
      <c r="G10080" s="2" t="inlineStr">
        <is>
          <t>20260608000002</t>
        </is>
      </c>
      <c r="H10080" s="8">
        <f>HYPERLINK("https://dart.fss.or.kr/dsaf001/main.do?rcpNo=20260608000002", "공시열람")</f>
        <v/>
      </c>
    </row>
    <row r="10081">
      <c r="A10081" s="2" t="inlineStr">
        <is>
          <t>2026-06-08</t>
        </is>
      </c>
      <c r="B10081" s="3" t="inlineStr">
        <is>
          <t>NAVER</t>
        </is>
      </c>
      <c r="C10081" s="2" t="inlineStr">
        <is>
          <t>코스피</t>
        </is>
      </c>
      <c r="D10081" s="2" t="inlineStr">
        <is>
          <t>035420</t>
        </is>
      </c>
      <c r="E10081" s="3" t="inlineStr">
        <is>
          <t xml:space="preserve">장래사업ㆍ경영계획(공정공시)              </t>
        </is>
      </c>
      <c r="F10081" s="3" t="inlineStr">
        <is>
          <t>NAVER</t>
        </is>
      </c>
      <c r="G10081" s="2" t="inlineStr">
        <is>
          <t>20260608800036</t>
        </is>
      </c>
      <c r="H10081" s="8">
        <f>HYPERLINK("https://dart.fss.or.kr/dsaf001/main.do?rcpNo=20260608800036", "공시열람")</f>
        <v/>
      </c>
    </row>
    <row r="10082">
      <c r="A10082" s="2" t="inlineStr">
        <is>
          <t>2026-06-08 (정정: 2026-06-15)</t>
        </is>
      </c>
      <c r="B10082" s="3" t="inlineStr">
        <is>
          <t>뉴인텍</t>
        </is>
      </c>
      <c r="C10082" s="2" t="inlineStr">
        <is>
          <t>코스닥</t>
        </is>
      </c>
      <c r="D10082" s="2" t="inlineStr">
        <is>
          <t>012340</t>
        </is>
      </c>
      <c r="E10082" s="3" t="inlineStr">
        <is>
          <t>효력발생안내( 2026.5.20. 제출 증권신고서(지분증권) ) (정정: 20260615)</t>
        </is>
      </c>
      <c r="F10082" s="3" t="inlineStr">
        <is>
          <t>금융감독원</t>
        </is>
      </c>
      <c r="G10082" s="2" t="inlineStr">
        <is>
          <t>20260615000447</t>
        </is>
      </c>
      <c r="H10082" s="8">
        <f>HYPERLINK("https://dart.fss.or.kr/dsaf001/main.do?rcpNo=20260615000447", "공시열람")</f>
        <v/>
      </c>
    </row>
    <row r="10083">
      <c r="A10083" s="2" t="inlineStr">
        <is>
          <t>2026-06-08</t>
        </is>
      </c>
      <c r="B10083" s="3" t="inlineStr">
        <is>
          <t>한화</t>
        </is>
      </c>
      <c r="C10083" s="2" t="inlineStr">
        <is>
          <t>코스피</t>
        </is>
      </c>
      <c r="D10083" s="2" t="inlineStr">
        <is>
          <t>000880</t>
        </is>
      </c>
      <c r="E10083" s="3" t="inlineStr">
        <is>
          <t>효력발생안내( 2026.5.26. 제출 증권신고서(분할) )</t>
        </is>
      </c>
      <c r="F10083" s="3" t="inlineStr">
        <is>
          <t>금융감독원</t>
        </is>
      </c>
      <c r="G10083" s="2" t="inlineStr">
        <is>
          <t>20260526100050</t>
        </is>
      </c>
      <c r="H10083" s="8">
        <f>HYPERLINK("https://dart.fss.or.kr/dsaf001/main.do?rcpNo=20260526100050", "공시열람")</f>
        <v/>
      </c>
    </row>
    <row r="10084">
      <c r="A10084" s="2" t="inlineStr">
        <is>
          <t>2026-06-09</t>
        </is>
      </c>
      <c r="B10084" s="3" t="inlineStr">
        <is>
          <t>KG파이낸셜</t>
        </is>
      </c>
      <c r="C10084" s="2" t="inlineStr">
        <is>
          <t>코스닥</t>
        </is>
      </c>
      <c r="D10084" s="2" t="inlineStr">
        <is>
          <t>046440</t>
        </is>
      </c>
      <c r="E10084" s="3" t="inlineStr">
        <is>
          <t xml:space="preserve">조회공시요구(풍문또는보도)              </t>
        </is>
      </c>
      <c r="F10084" s="3" t="inlineStr">
        <is>
          <t>코스닥시장본부</t>
        </is>
      </c>
      <c r="G10084" s="2" t="inlineStr">
        <is>
          <t>20260609900883</t>
        </is>
      </c>
      <c r="H10084" s="8">
        <f>HYPERLINK("https://dart.fss.or.kr/dsaf001/main.do?rcpNo=20260609900883", "공시열람")</f>
        <v/>
      </c>
    </row>
    <row r="10085">
      <c r="A10085" s="2" t="inlineStr">
        <is>
          <t>2026-06-09</t>
        </is>
      </c>
      <c r="B10085" s="3" t="inlineStr">
        <is>
          <t>KG스틸</t>
        </is>
      </c>
      <c r="C10085" s="2" t="inlineStr">
        <is>
          <t>코스피</t>
        </is>
      </c>
      <c r="D10085" s="2" t="inlineStr">
        <is>
          <t>016380</t>
        </is>
      </c>
      <c r="E10085" s="3" t="inlineStr">
        <is>
          <t xml:space="preserve">풍문또는보도에대한해명(미확정)              </t>
        </is>
      </c>
      <c r="F10085" s="3" t="inlineStr">
        <is>
          <t>KG스틸</t>
        </is>
      </c>
      <c r="G10085" s="2" t="inlineStr">
        <is>
          <t>20260609800880</t>
        </is>
      </c>
      <c r="H10085" s="8">
        <f>HYPERLINK("https://dart.fss.or.kr/dsaf001/main.do?rcpNo=20260609800880", "공시열람")</f>
        <v/>
      </c>
    </row>
    <row r="10086">
      <c r="A10086" s="2" t="inlineStr">
        <is>
          <t>2026-06-09</t>
        </is>
      </c>
      <c r="B10086" s="3" t="inlineStr">
        <is>
          <t>KG케미칼</t>
        </is>
      </c>
      <c r="C10086" s="2" t="inlineStr">
        <is>
          <t>코스피</t>
        </is>
      </c>
      <c r="D10086" s="2" t="inlineStr">
        <is>
          <t>001390</t>
        </is>
      </c>
      <c r="E10086" s="3" t="inlineStr">
        <is>
          <t xml:space="preserve">풍문또는보도에대한해명(미확정)              </t>
        </is>
      </c>
      <c r="F10086" s="3" t="inlineStr">
        <is>
          <t>KG케미칼</t>
        </is>
      </c>
      <c r="G10086" s="2" t="inlineStr">
        <is>
          <t>20260609800879</t>
        </is>
      </c>
      <c r="H10086" s="8">
        <f>HYPERLINK("https://dart.fss.or.kr/dsaf001/main.do?rcpNo=20260609800879", "공시열람")</f>
        <v/>
      </c>
    </row>
    <row r="10087">
      <c r="A10087" s="2" t="inlineStr">
        <is>
          <t>2026-06-09</t>
        </is>
      </c>
      <c r="B10087" s="3" t="inlineStr">
        <is>
          <t>KG에코솔루션</t>
        </is>
      </c>
      <c r="C10087" s="2" t="inlineStr">
        <is>
          <t>코스닥</t>
        </is>
      </c>
      <c r="D10087" s="2" t="inlineStr">
        <is>
          <t>151860</t>
        </is>
      </c>
      <c r="E10087" s="3" t="inlineStr">
        <is>
          <t xml:space="preserve">풍문또는보도에대한해명(미확정)              </t>
        </is>
      </c>
      <c r="F10087" s="3" t="inlineStr">
        <is>
          <t>KG에코솔루션</t>
        </is>
      </c>
      <c r="G10087" s="2" t="inlineStr">
        <is>
          <t>20260609900878</t>
        </is>
      </c>
      <c r="H10087" s="8">
        <f>HYPERLINK("https://dart.fss.or.kr/dsaf001/main.do?rcpNo=20260609900878", "공시열람")</f>
        <v/>
      </c>
    </row>
    <row r="10088">
      <c r="A10088" s="2" t="inlineStr">
        <is>
          <t>2026-06-09</t>
        </is>
      </c>
      <c r="B10088" s="3" t="inlineStr">
        <is>
          <t>KG이니시스</t>
        </is>
      </c>
      <c r="C10088" s="2" t="inlineStr">
        <is>
          <t>코스닥</t>
        </is>
      </c>
      <c r="D10088" s="2" t="inlineStr">
        <is>
          <t>035600</t>
        </is>
      </c>
      <c r="E10088" s="3" t="inlineStr">
        <is>
          <t xml:space="preserve">풍문또는보도에대한해명(미확정)              </t>
        </is>
      </c>
      <c r="F10088" s="3" t="inlineStr">
        <is>
          <t>KG이니시스</t>
        </is>
      </c>
      <c r="G10088" s="2" t="inlineStr">
        <is>
          <t>20260609900877</t>
        </is>
      </c>
      <c r="H10088" s="8">
        <f>HYPERLINK("https://dart.fss.or.kr/dsaf001/main.do?rcpNo=20260609900877", "공시열람")</f>
        <v/>
      </c>
    </row>
    <row r="10089">
      <c r="A10089" s="2" t="inlineStr">
        <is>
          <t>2026-06-09</t>
        </is>
      </c>
      <c r="B10089" s="3" t="inlineStr">
        <is>
          <t>CG인바이츠</t>
        </is>
      </c>
      <c r="C10089" s="2" t="inlineStr">
        <is>
          <t>코스닥</t>
        </is>
      </c>
      <c r="D10089" s="2" t="inlineStr">
        <is>
          <t>083790</t>
        </is>
      </c>
      <c r="E10089" s="3" t="inlineStr">
        <is>
          <t>소송등의판결ㆍ결정(일정금액이상의청구)              (약정금)</t>
        </is>
      </c>
      <c r="F10089" s="3" t="inlineStr">
        <is>
          <t>CG인바이츠</t>
        </is>
      </c>
      <c r="G10089" s="2" t="inlineStr">
        <is>
          <t>20260609900859</t>
        </is>
      </c>
      <c r="H10089" s="8">
        <f>HYPERLINK("https://dart.fss.or.kr/dsaf001/main.do?rcpNo=20260609900859", "공시열람")</f>
        <v/>
      </c>
    </row>
    <row r="10090">
      <c r="A10090" s="2" t="inlineStr">
        <is>
          <t>2026-06-09 (정정: 2026-06-09)</t>
        </is>
      </c>
      <c r="B10090" s="3" t="inlineStr">
        <is>
          <t>성호전자</t>
        </is>
      </c>
      <c r="C10090" s="2" t="inlineStr">
        <is>
          <t>코스닥</t>
        </is>
      </c>
      <c r="D10090" s="2" t="inlineStr">
        <is>
          <t>043260</t>
        </is>
      </c>
      <c r="E10090" s="3" t="inlineStr">
        <is>
          <t>주요사항보고서(자기전환사채만기전취득결정) (정정: 20260609)</t>
        </is>
      </c>
      <c r="F10090" s="3" t="inlineStr">
        <is>
          <t>성호전자</t>
        </is>
      </c>
      <c r="G10090" s="2" t="inlineStr">
        <is>
          <t>20260609000348</t>
        </is>
      </c>
      <c r="H10090" s="8">
        <f>HYPERLINK("https://dart.fss.or.kr/dsaf001/main.do?rcpNo=20260609000348", "공시열람")</f>
        <v/>
      </c>
    </row>
    <row r="10091">
      <c r="A10091" s="2" t="inlineStr">
        <is>
          <t>2026-06-09</t>
        </is>
      </c>
      <c r="B10091" s="3" t="inlineStr">
        <is>
          <t>엑스플러스</t>
        </is>
      </c>
      <c r="C10091" s="2" t="inlineStr">
        <is>
          <t>코스닥</t>
        </is>
      </c>
      <c r="D10091" s="2" t="inlineStr">
        <is>
          <t>373200</t>
        </is>
      </c>
      <c r="E10091" s="3" t="inlineStr">
        <is>
          <t>불성실공시법인지정예고              (공시불이행)</t>
        </is>
      </c>
      <c r="F10091" s="3" t="inlineStr">
        <is>
          <t>코스닥시장본부</t>
        </is>
      </c>
      <c r="G10091" s="2" t="inlineStr">
        <is>
          <t>20260609900848</t>
        </is>
      </c>
      <c r="H10091" s="8">
        <f>HYPERLINK("https://dart.fss.or.kr/dsaf001/main.do?rcpNo=20260609900848", "공시열람")</f>
        <v/>
      </c>
    </row>
    <row r="10092">
      <c r="A10092" s="2" t="inlineStr">
        <is>
          <t>2026-06-09</t>
        </is>
      </c>
      <c r="B10092" s="3" t="inlineStr">
        <is>
          <t>모바일어플라이언스</t>
        </is>
      </c>
      <c r="C10092" s="2" t="inlineStr">
        <is>
          <t>코스닥</t>
        </is>
      </c>
      <c r="D10092" s="2" t="inlineStr">
        <is>
          <t>087260</t>
        </is>
      </c>
      <c r="E10092" s="3" t="inlineStr">
        <is>
          <t xml:space="preserve">조회공시요구(풍문또는보도)에대한답변(미확정)              </t>
        </is>
      </c>
      <c r="F10092" s="3" t="inlineStr">
        <is>
          <t>모바일어플라이언스</t>
        </is>
      </c>
      <c r="G10092" s="2" t="inlineStr">
        <is>
          <t>20260609900843</t>
        </is>
      </c>
      <c r="H10092" s="8">
        <f>HYPERLINK("https://dart.fss.or.kr/dsaf001/main.do?rcpNo=20260609900843", "공시열람")</f>
        <v/>
      </c>
    </row>
    <row r="10093">
      <c r="A10093" s="2" t="inlineStr">
        <is>
          <t>2026-06-09</t>
        </is>
      </c>
      <c r="B10093" s="3" t="inlineStr">
        <is>
          <t>KG모빌리티</t>
        </is>
      </c>
      <c r="C10093" s="2" t="inlineStr">
        <is>
          <t>코스피</t>
        </is>
      </c>
      <c r="D10093" s="2" t="inlineStr">
        <is>
          <t>003620</t>
        </is>
      </c>
      <c r="E10093" s="3" t="inlineStr">
        <is>
          <t xml:space="preserve">조회공시요구(풍문또는보도)              </t>
        </is>
      </c>
      <c r="F10093" s="3" t="inlineStr">
        <is>
          <t>유가증권시장본부</t>
        </is>
      </c>
      <c r="G10093" s="2" t="inlineStr">
        <is>
          <t>20260609800829</t>
        </is>
      </c>
      <c r="H10093" s="8">
        <f>HYPERLINK("https://dart.fss.or.kr/dsaf001/main.do?rcpNo=20260609800829", "공시열람")</f>
        <v/>
      </c>
    </row>
    <row r="10094">
      <c r="A10094" s="2" t="inlineStr">
        <is>
          <t>2026-06-09</t>
        </is>
      </c>
      <c r="B10094" s="3" t="inlineStr">
        <is>
          <t>네오이뮨텍</t>
        </is>
      </c>
      <c r="C10094" s="2" t="inlineStr">
        <is>
          <t>코스닥</t>
        </is>
      </c>
      <c r="D10094" s="2" t="inlineStr">
        <is>
          <t>950220</t>
        </is>
      </c>
      <c r="E10094" s="3" t="inlineStr">
        <is>
          <t>주권매매거래정지해제              (액면병합 주권 변경상장)</t>
        </is>
      </c>
      <c r="F10094" s="3" t="inlineStr">
        <is>
          <t>코스닥시장본부</t>
        </is>
      </c>
      <c r="G10094" s="2" t="inlineStr">
        <is>
          <t>20260609900832</t>
        </is>
      </c>
      <c r="H10094" s="8">
        <f>HYPERLINK("https://dart.fss.or.kr/dsaf001/main.do?rcpNo=20260609900832", "공시열람")</f>
        <v/>
      </c>
    </row>
    <row r="10095">
      <c r="A10095" s="2" t="inlineStr">
        <is>
          <t>2026-06-09</t>
        </is>
      </c>
      <c r="B10095" s="3" t="inlineStr">
        <is>
          <t>우정바이오</t>
        </is>
      </c>
      <c r="C10095" s="2" t="inlineStr">
        <is>
          <t>코스닥</t>
        </is>
      </c>
      <c r="D10095" s="2" t="inlineStr">
        <is>
          <t>215380</t>
        </is>
      </c>
      <c r="E10095" s="3" t="inlineStr">
        <is>
          <t xml:space="preserve">전환가액의조정              </t>
        </is>
      </c>
      <c r="F10095" s="3" t="inlineStr">
        <is>
          <t>우정바이오</t>
        </is>
      </c>
      <c r="G10095" s="2" t="inlineStr">
        <is>
          <t>20260609900836</t>
        </is>
      </c>
      <c r="H10095" s="8">
        <f>HYPERLINK("https://dart.fss.or.kr/dsaf001/main.do?rcpNo=20260609900836", "공시열람")</f>
        <v/>
      </c>
    </row>
    <row r="10096">
      <c r="A10096" s="2" t="inlineStr">
        <is>
          <t>2026-06-09</t>
        </is>
      </c>
      <c r="B10096" s="3" t="inlineStr">
        <is>
          <t>토마토시스템</t>
        </is>
      </c>
      <c r="C10096" s="2" t="inlineStr">
        <is>
          <t>코스닥</t>
        </is>
      </c>
      <c r="D10096" s="2" t="inlineStr">
        <is>
          <t>393210</t>
        </is>
      </c>
      <c r="E10096" s="3" t="inlineStr">
        <is>
          <t>임원ㆍ주요주주특정증권등소유상황보고서</t>
        </is>
      </c>
      <c r="F10096" s="3" t="inlineStr">
        <is>
          <t>박성준</t>
        </is>
      </c>
      <c r="G10096" s="2" t="inlineStr">
        <is>
          <t>20260609000530</t>
        </is>
      </c>
      <c r="H10096" s="8">
        <f>HYPERLINK("https://dart.fss.or.kr/dsaf001/main.do?rcpNo=20260609000530", "공시열람")</f>
        <v/>
      </c>
    </row>
    <row r="10097">
      <c r="A10097" s="2" t="inlineStr">
        <is>
          <t>2026-06-09 (정정: 2026-06-26)</t>
        </is>
      </c>
      <c r="B10097" s="3" t="inlineStr">
        <is>
          <t>웰킵스하이텍</t>
        </is>
      </c>
      <c r="C10097" s="2" t="inlineStr">
        <is>
          <t>코스닥</t>
        </is>
      </c>
      <c r="D10097" s="2" t="inlineStr">
        <is>
          <t>043590</t>
        </is>
      </c>
      <c r="E10097" s="3" t="inlineStr">
        <is>
          <t>임원ㆍ주요주주특정증권등소유상황보고서 (정정: 20260626)</t>
        </is>
      </c>
      <c r="F10097" s="3" t="inlineStr">
        <is>
          <t>피앤티디홀딩스</t>
        </is>
      </c>
      <c r="G10097" s="2" t="inlineStr">
        <is>
          <t>20260626000482</t>
        </is>
      </c>
      <c r="H10097" s="8">
        <f>HYPERLINK("https://dart.fss.or.kr/dsaf001/main.do?rcpNo=20260626000482", "공시열람")</f>
        <v/>
      </c>
    </row>
    <row r="10098">
      <c r="A10098" s="2" t="inlineStr">
        <is>
          <t>2026-06-09</t>
        </is>
      </c>
      <c r="B10098" s="3" t="inlineStr">
        <is>
          <t>싸이토젠</t>
        </is>
      </c>
      <c r="C10098" s="2" t="inlineStr">
        <is>
          <t>코스닥</t>
        </is>
      </c>
      <c r="D10098" s="2" t="inlineStr">
        <is>
          <t>217330</t>
        </is>
      </c>
      <c r="E10098" s="3" t="inlineStr">
        <is>
          <t>[기재정정]주식매수선택권부여에관한신고</t>
        </is>
      </c>
      <c r="F10098" s="3" t="inlineStr">
        <is>
          <t>싸이토젠</t>
        </is>
      </c>
      <c r="G10098" s="2" t="inlineStr">
        <is>
          <t>20260609000518</t>
        </is>
      </c>
      <c r="H10098" s="8">
        <f>HYPERLINK("https://dart.fss.or.kr/dsaf001/main.do?rcpNo=20260609000518", "공시열람")</f>
        <v/>
      </c>
    </row>
    <row r="10099">
      <c r="A10099" s="2" t="inlineStr">
        <is>
          <t>2026-06-09</t>
        </is>
      </c>
      <c r="B10099" s="3" t="inlineStr">
        <is>
          <t>한샘</t>
        </is>
      </c>
      <c r="C10099" s="2" t="inlineStr">
        <is>
          <t>코스피</t>
        </is>
      </c>
      <c r="D10099" s="2" t="inlineStr">
        <is>
          <t>009240</t>
        </is>
      </c>
      <c r="E10099" s="3" t="inlineStr">
        <is>
          <t xml:space="preserve">현금ㆍ현물배당을위한주주명부폐쇄(기준일)결정              </t>
        </is>
      </c>
      <c r="F10099" s="3" t="inlineStr">
        <is>
          <t>한샘</t>
        </is>
      </c>
      <c r="G10099" s="2" t="inlineStr">
        <is>
          <t>20260609800816</t>
        </is>
      </c>
      <c r="H10099" s="8">
        <f>HYPERLINK("https://dart.fss.or.kr/dsaf001/main.do?rcpNo=20260609800816", "공시열람")</f>
        <v/>
      </c>
    </row>
    <row r="10100">
      <c r="A10100" s="2" t="inlineStr">
        <is>
          <t>2026-06-09</t>
        </is>
      </c>
      <c r="B10100" s="3" t="inlineStr">
        <is>
          <t>엠젠솔루션</t>
        </is>
      </c>
      <c r="C10100" s="2" t="inlineStr">
        <is>
          <t>코스닥</t>
        </is>
      </c>
      <c r="D10100" s="2" t="inlineStr">
        <is>
          <t>032790</t>
        </is>
      </c>
      <c r="E10100" s="3" t="inlineStr">
        <is>
          <t>증권발행결과(자율공시)              (제24회차 CB)</t>
        </is>
      </c>
      <c r="F10100" s="3" t="inlineStr">
        <is>
          <t>엠젠솔루션</t>
        </is>
      </c>
      <c r="G10100" s="2" t="inlineStr">
        <is>
          <t>20260609900800</t>
        </is>
      </c>
      <c r="H10100" s="8">
        <f>HYPERLINK("https://dart.fss.or.kr/dsaf001/main.do?rcpNo=20260609900800", "공시열람")</f>
        <v/>
      </c>
    </row>
    <row r="10101">
      <c r="A10101" s="2" t="inlineStr">
        <is>
          <t>2026-06-09</t>
        </is>
      </c>
      <c r="B10101" s="3" t="inlineStr">
        <is>
          <t>롯데쇼핑</t>
        </is>
      </c>
      <c r="C10101" s="2" t="inlineStr">
        <is>
          <t>코스피</t>
        </is>
      </c>
      <c r="D10101" s="2" t="inlineStr">
        <is>
          <t>023530</t>
        </is>
      </c>
      <c r="E10101" s="3" t="inlineStr">
        <is>
          <t>[발행조건확정]증권신고서(채무증권)</t>
        </is>
      </c>
      <c r="F10101" s="3" t="inlineStr">
        <is>
          <t>롯데쇼핑</t>
        </is>
      </c>
      <c r="G10101" s="2" t="inlineStr">
        <is>
          <t>20260609000513</t>
        </is>
      </c>
      <c r="H10101" s="8">
        <f>HYPERLINK("https://dart.fss.or.kr/dsaf001/main.do?rcpNo=20260609000513", "공시열람")</f>
        <v/>
      </c>
    </row>
    <row r="10102">
      <c r="A10102" s="2" t="inlineStr">
        <is>
          <t>2026-06-09</t>
        </is>
      </c>
      <c r="B10102" s="3" t="inlineStr">
        <is>
          <t>프로브잇</t>
        </is>
      </c>
      <c r="C10102" s="2" t="inlineStr">
        <is>
          <t>코스닥</t>
        </is>
      </c>
      <c r="D10102" s="2" t="inlineStr">
        <is>
          <t>227100</t>
        </is>
      </c>
      <c r="E10102" s="3" t="inlineStr">
        <is>
          <t>연결감사보고서 (2025.12)</t>
        </is>
      </c>
      <c r="F10102" s="3" t="inlineStr">
        <is>
          <t>삼정회계법인</t>
        </is>
      </c>
      <c r="G10102" s="2" t="inlineStr">
        <is>
          <t>20260609000510</t>
        </is>
      </c>
      <c r="H10102" s="8">
        <f>HYPERLINK("https://dart.fss.or.kr/dsaf001/main.do?rcpNo=20260609000510", "공시열람")</f>
        <v/>
      </c>
    </row>
    <row r="10103">
      <c r="A10103" s="2" t="inlineStr">
        <is>
          <t>2026-06-09</t>
        </is>
      </c>
      <c r="B10103" s="3" t="inlineStr">
        <is>
          <t>프로브잇</t>
        </is>
      </c>
      <c r="C10103" s="2" t="inlineStr">
        <is>
          <t>코스닥</t>
        </is>
      </c>
      <c r="D10103" s="2" t="inlineStr">
        <is>
          <t>227100</t>
        </is>
      </c>
      <c r="E10103" s="3" t="inlineStr">
        <is>
          <t>감사보고서 (2025.12)</t>
        </is>
      </c>
      <c r="F10103" s="3" t="inlineStr">
        <is>
          <t>삼정회계법인</t>
        </is>
      </c>
      <c r="G10103" s="2" t="inlineStr">
        <is>
          <t>20260609000508</t>
        </is>
      </c>
      <c r="H10103" s="8">
        <f>HYPERLINK("https://dart.fss.or.kr/dsaf001/main.do?rcpNo=20260609000508", "공시열람")</f>
        <v/>
      </c>
    </row>
    <row r="10104">
      <c r="A10104" s="2" t="inlineStr">
        <is>
          <t>2026-06-09</t>
        </is>
      </c>
      <c r="B10104" s="3" t="inlineStr">
        <is>
          <t>핀텔</t>
        </is>
      </c>
      <c r="C10104" s="2" t="inlineStr">
        <is>
          <t>코스닥</t>
        </is>
      </c>
      <c r="D10104" s="2" t="inlineStr">
        <is>
          <t>291810</t>
        </is>
      </c>
      <c r="E10104" s="3" t="inlineStr">
        <is>
          <t xml:space="preserve">조회공시요구(현저한시황변동)에대한답변(미확정)              </t>
        </is>
      </c>
      <c r="F10104" s="3" t="inlineStr">
        <is>
          <t>핀텔</t>
        </is>
      </c>
      <c r="G10104" s="2" t="inlineStr">
        <is>
          <t>20260609900753</t>
        </is>
      </c>
      <c r="H10104" s="8">
        <f>HYPERLINK("https://dart.fss.or.kr/dsaf001/main.do?rcpNo=20260609900753", "공시열람")</f>
        <v/>
      </c>
    </row>
    <row r="10105">
      <c r="A10105" s="2" t="inlineStr">
        <is>
          <t>2026-06-09</t>
        </is>
      </c>
      <c r="B10105" s="3" t="inlineStr">
        <is>
          <t>더핑크퐁컴퍼니</t>
        </is>
      </c>
      <c r="C10105" s="2" t="inlineStr">
        <is>
          <t>코스닥</t>
        </is>
      </c>
      <c r="D10105" s="2" t="inlineStr">
        <is>
          <t>403850</t>
        </is>
      </c>
      <c r="E10105" s="3" t="inlineStr">
        <is>
          <t>임원ㆍ주요주주특정증권등소유상황보고서</t>
        </is>
      </c>
      <c r="F10105" s="3" t="inlineStr">
        <is>
          <t>김민석</t>
        </is>
      </c>
      <c r="G10105" s="2" t="inlineStr">
        <is>
          <t>20260609000506</t>
        </is>
      </c>
      <c r="H10105" s="8">
        <f>HYPERLINK("https://dart.fss.or.kr/dsaf001/main.do?rcpNo=20260609000506", "공시열람")</f>
        <v/>
      </c>
    </row>
    <row r="10106">
      <c r="A10106" s="2" t="inlineStr">
        <is>
          <t>2026-06-09</t>
        </is>
      </c>
      <c r="B10106" s="3" t="inlineStr">
        <is>
          <t>뉴보텍</t>
        </is>
      </c>
      <c r="C10106" s="2" t="inlineStr">
        <is>
          <t>코스닥</t>
        </is>
      </c>
      <c r="D10106" s="2" t="inlineStr">
        <is>
          <t>060260</t>
        </is>
      </c>
      <c r="E10106" s="3" t="inlineStr">
        <is>
          <t>임원ㆍ주요주주특정증권등소유상황보고서</t>
        </is>
      </c>
      <c r="F10106" s="3" t="inlineStr">
        <is>
          <t>김길표</t>
        </is>
      </c>
      <c r="G10106" s="2" t="inlineStr">
        <is>
          <t>20260609000505</t>
        </is>
      </c>
      <c r="H10106" s="8">
        <f>HYPERLINK("https://dart.fss.or.kr/dsaf001/main.do?rcpNo=20260609000505", "공시열람")</f>
        <v/>
      </c>
    </row>
    <row r="10107">
      <c r="A10107" s="2" t="inlineStr">
        <is>
          <t>2026-06-09</t>
        </is>
      </c>
      <c r="B10107" s="3" t="inlineStr">
        <is>
          <t>컬러레이</t>
        </is>
      </c>
      <c r="C10107" s="2" t="inlineStr">
        <is>
          <t>코스닥</t>
        </is>
      </c>
      <c r="D10107" s="2" t="inlineStr">
        <is>
          <t>900310</t>
        </is>
      </c>
      <c r="E10107" s="3" t="inlineStr">
        <is>
          <t>주권매매거래정지해제              (주식병합(무액면주식) 주권 변경상장)</t>
        </is>
      </c>
      <c r="F10107" s="3" t="inlineStr">
        <is>
          <t>코스닥시장본부</t>
        </is>
      </c>
      <c r="G10107" s="2" t="inlineStr">
        <is>
          <t>20260609900775</t>
        </is>
      </c>
      <c r="H10107" s="8">
        <f>HYPERLINK("https://dart.fss.or.kr/dsaf001/main.do?rcpNo=20260609900775", "공시열람")</f>
        <v/>
      </c>
    </row>
    <row r="10108">
      <c r="A10108" s="2" t="inlineStr">
        <is>
          <t>2026-06-09</t>
        </is>
      </c>
      <c r="B10108" s="3" t="inlineStr">
        <is>
          <t>하이로닉</t>
        </is>
      </c>
      <c r="C10108" s="2" t="inlineStr">
        <is>
          <t>코스닥</t>
        </is>
      </c>
      <c r="D10108" s="2" t="inlineStr">
        <is>
          <t>149980</t>
        </is>
      </c>
      <c r="E10108" s="3" t="inlineStr">
        <is>
          <t xml:space="preserve">중간(분기)배당을위한주주명부폐쇄(기준일)결정              </t>
        </is>
      </c>
      <c r="F10108" s="3" t="inlineStr">
        <is>
          <t>하이로닉</t>
        </is>
      </c>
      <c r="G10108" s="2" t="inlineStr">
        <is>
          <t>20260609900776</t>
        </is>
      </c>
      <c r="H10108" s="8">
        <f>HYPERLINK("https://dart.fss.or.kr/dsaf001/main.do?rcpNo=20260609900776", "공시열람")</f>
        <v/>
      </c>
    </row>
    <row r="10109">
      <c r="A10109" s="2" t="inlineStr">
        <is>
          <t>2026-06-09</t>
        </is>
      </c>
      <c r="B10109" s="3" t="inlineStr">
        <is>
          <t>플레이그램</t>
        </is>
      </c>
      <c r="C10109" s="2" t="inlineStr">
        <is>
          <t>코스피</t>
        </is>
      </c>
      <c r="D10109" s="2" t="inlineStr">
        <is>
          <t>009810</t>
        </is>
      </c>
      <c r="E10109" s="3" t="inlineStr">
        <is>
          <t xml:space="preserve">주주명부폐쇄기간또는기준일설정              </t>
        </is>
      </c>
      <c r="F10109" s="3" t="inlineStr">
        <is>
          <t>플레이그램</t>
        </is>
      </c>
      <c r="G10109" s="2" t="inlineStr">
        <is>
          <t>20260609800778</t>
        </is>
      </c>
      <c r="H10109" s="8">
        <f>HYPERLINK("https://dart.fss.or.kr/dsaf001/main.do?rcpNo=20260609800778", "공시열람")</f>
        <v/>
      </c>
    </row>
    <row r="10110">
      <c r="A10110" s="2" t="inlineStr">
        <is>
          <t>2026-06-09</t>
        </is>
      </c>
      <c r="B10110" s="3" t="inlineStr">
        <is>
          <t>DB손해보험</t>
        </is>
      </c>
      <c r="C10110" s="2" t="inlineStr">
        <is>
          <t>코스피</t>
        </is>
      </c>
      <c r="D10110" s="2" t="inlineStr">
        <is>
          <t>005830</t>
        </is>
      </c>
      <c r="E10110" s="3" t="inlineStr">
        <is>
          <t>증권발행실적보고서</t>
        </is>
      </c>
      <c r="F10110" s="3" t="inlineStr">
        <is>
          <t>DB손해보험</t>
        </is>
      </c>
      <c r="G10110" s="2" t="inlineStr">
        <is>
          <t>20260609000493</t>
        </is>
      </c>
      <c r="H10110" s="8">
        <f>HYPERLINK("https://dart.fss.or.kr/dsaf001/main.do?rcpNo=20260609000493", "공시열람")</f>
        <v/>
      </c>
    </row>
    <row r="10111">
      <c r="A10111" s="2" t="inlineStr">
        <is>
          <t>2026-06-09</t>
        </is>
      </c>
      <c r="B10111" s="3" t="inlineStr">
        <is>
          <t>디와이에이</t>
        </is>
      </c>
      <c r="C10111" s="2" t="inlineStr">
        <is>
          <t>코스피</t>
        </is>
      </c>
      <c r="D10111" s="2" t="inlineStr">
        <is>
          <t>002880</t>
        </is>
      </c>
      <c r="E10111" s="3" t="inlineStr">
        <is>
          <t>임원ㆍ주요주주특정증권등소유상황보고서</t>
        </is>
      </c>
      <c r="F10111" s="3" t="inlineStr">
        <is>
          <t>푸른산수목원</t>
        </is>
      </c>
      <c r="G10111" s="2" t="inlineStr">
        <is>
          <t>20260609000492</t>
        </is>
      </c>
      <c r="H10111" s="8">
        <f>HYPERLINK("https://dart.fss.or.kr/dsaf001/main.do?rcpNo=20260609000492", "공시열람")</f>
        <v/>
      </c>
    </row>
    <row r="10112">
      <c r="A10112" s="2" t="inlineStr">
        <is>
          <t>2026-06-09 (정정: 2026-06-12)</t>
        </is>
      </c>
      <c r="B10112" s="3" t="inlineStr">
        <is>
          <t>인바이츠바이오코아</t>
        </is>
      </c>
      <c r="C10112" s="2" t="inlineStr">
        <is>
          <t>코넥스</t>
        </is>
      </c>
      <c r="D10112" s="2" t="inlineStr">
        <is>
          <t>216400</t>
        </is>
      </c>
      <c r="E10112" s="3" t="inlineStr">
        <is>
          <t>기업설명회(IR)개최               (정정: 20260612)</t>
        </is>
      </c>
      <c r="F10112" s="3" t="inlineStr">
        <is>
          <t>인바이츠바이오코아</t>
        </is>
      </c>
      <c r="G10112" s="2" t="inlineStr">
        <is>
          <t>20260612000200</t>
        </is>
      </c>
      <c r="H10112" s="8">
        <f>HYPERLINK("https://dart.fss.or.kr/dsaf001/main.do?rcpNo=20260612000200", "공시열람")</f>
        <v/>
      </c>
    </row>
    <row r="10113">
      <c r="A10113" s="2" t="inlineStr">
        <is>
          <t>2026-06-09</t>
        </is>
      </c>
      <c r="B10113" s="3" t="inlineStr">
        <is>
          <t>지엠비코리아</t>
        </is>
      </c>
      <c r="C10113" s="2" t="inlineStr">
        <is>
          <t>코스피</t>
        </is>
      </c>
      <c r="D10113" s="2" t="inlineStr">
        <is>
          <t>013870</t>
        </is>
      </c>
      <c r="E10113" s="3" t="inlineStr">
        <is>
          <t>임원ㆍ주요주주특정증권등소유상황보고서</t>
        </is>
      </c>
      <c r="F10113" s="3" t="inlineStr">
        <is>
          <t>차제민</t>
        </is>
      </c>
      <c r="G10113" s="2" t="inlineStr">
        <is>
          <t>20260609000490</t>
        </is>
      </c>
      <c r="H10113" s="8">
        <f>HYPERLINK("https://dart.fss.or.kr/dsaf001/main.do?rcpNo=20260609000490", "공시열람")</f>
        <v/>
      </c>
    </row>
    <row r="10114">
      <c r="A10114" s="2" t="inlineStr">
        <is>
          <t>2026-06-09</t>
        </is>
      </c>
      <c r="B10114" s="3" t="inlineStr">
        <is>
          <t>파라텍</t>
        </is>
      </c>
      <c r="C10114" s="2" t="inlineStr">
        <is>
          <t>코스닥</t>
        </is>
      </c>
      <c r="D10114" s="2" t="inlineStr">
        <is>
          <t>033540</t>
        </is>
      </c>
      <c r="E10114" s="3" t="inlineStr">
        <is>
          <t>의결권대리행사권유참고서류</t>
        </is>
      </c>
      <c r="F10114" s="3" t="inlineStr">
        <is>
          <t>파라텍</t>
        </is>
      </c>
      <c r="G10114" s="2" t="inlineStr">
        <is>
          <t>20260609000488</t>
        </is>
      </c>
      <c r="H10114" s="8">
        <f>HYPERLINK("https://dart.fss.or.kr/dsaf001/main.do?rcpNo=20260609000488", "공시열람")</f>
        <v/>
      </c>
    </row>
    <row r="10115">
      <c r="A10115" s="2" t="inlineStr">
        <is>
          <t>2026-06-09</t>
        </is>
      </c>
      <c r="B10115" s="3" t="inlineStr">
        <is>
          <t>스피어</t>
        </is>
      </c>
      <c r="C10115" s="2" t="inlineStr">
        <is>
          <t>코스닥</t>
        </is>
      </c>
      <c r="D10115" s="2" t="inlineStr">
        <is>
          <t>347700</t>
        </is>
      </c>
      <c r="E10115" s="3" t="inlineStr">
        <is>
          <t>사외이사의선임ㆍ해임또는중도퇴임에관한신고</t>
        </is>
      </c>
      <c r="F10115" s="3" t="inlineStr">
        <is>
          <t>스피어</t>
        </is>
      </c>
      <c r="G10115" s="2" t="inlineStr">
        <is>
          <t>20260609000486</t>
        </is>
      </c>
      <c r="H10115" s="8">
        <f>HYPERLINK("https://dart.fss.or.kr/dsaf001/main.do?rcpNo=20260609000486", "공시열람")</f>
        <v/>
      </c>
    </row>
    <row r="10116">
      <c r="A10116" s="2" t="inlineStr">
        <is>
          <t>2026-06-09</t>
        </is>
      </c>
      <c r="B10116" s="3" t="inlineStr">
        <is>
          <t>한화투자증권</t>
        </is>
      </c>
      <c r="C10116" s="2" t="inlineStr">
        <is>
          <t>코스피</t>
        </is>
      </c>
      <c r="D10116" s="2" t="inlineStr">
        <is>
          <t>003530</t>
        </is>
      </c>
      <c r="E10116" s="3" t="inlineStr">
        <is>
          <t>투자설명서(일괄신고)</t>
        </is>
      </c>
      <c r="F10116" s="3" t="inlineStr">
        <is>
          <t>한화투자증권</t>
        </is>
      </c>
      <c r="G10116" s="2" t="inlineStr">
        <is>
          <t>20260609000482</t>
        </is>
      </c>
      <c r="H10116" s="8">
        <f>HYPERLINK("https://dart.fss.or.kr/dsaf001/main.do?rcpNo=20260609000482", "공시열람")</f>
        <v/>
      </c>
    </row>
    <row r="10117">
      <c r="A10117" s="2" t="inlineStr">
        <is>
          <t>2026-06-09</t>
        </is>
      </c>
      <c r="B10117" s="3" t="inlineStr">
        <is>
          <t>케이씨씨글라스</t>
        </is>
      </c>
      <c r="C10117" s="2" t="inlineStr">
        <is>
          <t>코스피</t>
        </is>
      </c>
      <c r="D10117" s="2" t="inlineStr">
        <is>
          <t>344820</t>
        </is>
      </c>
      <c r="E10117" s="3" t="inlineStr">
        <is>
          <t>임원ㆍ주요주주특정증권등소유상황보고서</t>
        </is>
      </c>
      <c r="F10117" s="3" t="inlineStr">
        <is>
          <t>현재훈</t>
        </is>
      </c>
      <c r="G10117" s="2" t="inlineStr">
        <is>
          <t>20260609000481</t>
        </is>
      </c>
      <c r="H10117" s="8">
        <f>HYPERLINK("https://dart.fss.or.kr/dsaf001/main.do?rcpNo=20260609000481", "공시열람")</f>
        <v/>
      </c>
    </row>
    <row r="10118">
      <c r="A10118" s="2" t="inlineStr">
        <is>
          <t>2026-06-09</t>
        </is>
      </c>
      <c r="B10118" s="3" t="inlineStr">
        <is>
          <t>한화투자증권</t>
        </is>
      </c>
      <c r="C10118" s="2" t="inlineStr">
        <is>
          <t>코스피</t>
        </is>
      </c>
      <c r="D10118" s="2" t="inlineStr">
        <is>
          <t>003530</t>
        </is>
      </c>
      <c r="E10118" s="3" t="inlineStr">
        <is>
          <t>일괄신고추가서류(파생결합사채-주가연계파생결합사채)</t>
        </is>
      </c>
      <c r="F10118" s="3" t="inlineStr">
        <is>
          <t>한화투자증권</t>
        </is>
      </c>
      <c r="G10118" s="2" t="inlineStr">
        <is>
          <t>20260609000476</t>
        </is>
      </c>
      <c r="H10118" s="8">
        <f>HYPERLINK("https://dart.fss.or.kr/dsaf001/main.do?rcpNo=20260609000476", "공시열람")</f>
        <v/>
      </c>
    </row>
    <row r="10119">
      <c r="A10119" s="2" t="inlineStr">
        <is>
          <t>2026-06-09</t>
        </is>
      </c>
      <c r="B10119" s="3" t="inlineStr">
        <is>
          <t>아진전자부품</t>
        </is>
      </c>
      <c r="C10119" s="2" t="inlineStr">
        <is>
          <t>코스피</t>
        </is>
      </c>
      <c r="D10119" s="2" t="inlineStr">
        <is>
          <t>009320</t>
        </is>
      </c>
      <c r="E10119" s="3" t="inlineStr">
        <is>
          <t>임원ㆍ주요주주특정증권등소유상황보고서</t>
        </is>
      </c>
      <c r="F10119" s="3" t="inlineStr">
        <is>
          <t>아진카인텍</t>
        </is>
      </c>
      <c r="G10119" s="2" t="inlineStr">
        <is>
          <t>20260609000473</t>
        </is>
      </c>
      <c r="H10119" s="8">
        <f>HYPERLINK("https://dart.fss.or.kr/dsaf001/main.do?rcpNo=20260609000473", "공시열람")</f>
        <v/>
      </c>
    </row>
    <row r="10120">
      <c r="A10120" s="2" t="inlineStr">
        <is>
          <t>2026-06-09</t>
        </is>
      </c>
      <c r="B10120" s="3" t="inlineStr">
        <is>
          <t>크리스탈신소재</t>
        </is>
      </c>
      <c r="C10120" s="2" t="inlineStr">
        <is>
          <t>코스닥</t>
        </is>
      </c>
      <c r="D10120" s="2" t="inlineStr">
        <is>
          <t>900250</t>
        </is>
      </c>
      <c r="E10120" s="3" t="inlineStr">
        <is>
          <t>임원ㆍ주요주주특정증권등소유상황보고서</t>
        </is>
      </c>
      <c r="F10120" s="3" t="inlineStr">
        <is>
          <t>DAI ZHONGQIU</t>
        </is>
      </c>
      <c r="G10120" s="2" t="inlineStr">
        <is>
          <t>20260609000472</t>
        </is>
      </c>
      <c r="H10120" s="8">
        <f>HYPERLINK("https://dart.fss.or.kr/dsaf001/main.do?rcpNo=20260609000472", "공시열람")</f>
        <v/>
      </c>
    </row>
    <row r="10121">
      <c r="A10121" s="2" t="inlineStr">
        <is>
          <t>2026-06-09</t>
        </is>
      </c>
      <c r="B10121" s="3" t="inlineStr">
        <is>
          <t>하이로닉</t>
        </is>
      </c>
      <c r="C10121" s="2" t="inlineStr">
        <is>
          <t>코스닥</t>
        </is>
      </c>
      <c r="D10121" s="2" t="inlineStr">
        <is>
          <t>149980</t>
        </is>
      </c>
      <c r="E10121" s="3" t="inlineStr">
        <is>
          <t>주식매수선택권부여에관한신고</t>
        </is>
      </c>
      <c r="F10121" s="3" t="inlineStr">
        <is>
          <t>하이로닉</t>
        </is>
      </c>
      <c r="G10121" s="2" t="inlineStr">
        <is>
          <t>20260609000471</t>
        </is>
      </c>
      <c r="H10121" s="8">
        <f>HYPERLINK("https://dart.fss.or.kr/dsaf001/main.do?rcpNo=20260609000471", "공시열람")</f>
        <v/>
      </c>
    </row>
    <row r="10122">
      <c r="A10122" s="2" t="inlineStr">
        <is>
          <t>2026-06-09</t>
        </is>
      </c>
      <c r="B10122" s="3" t="inlineStr">
        <is>
          <t>풍전약품</t>
        </is>
      </c>
      <c r="C10122" s="2" t="inlineStr">
        <is>
          <t>코스닥</t>
        </is>
      </c>
      <c r="D10122" s="2" t="inlineStr">
        <is>
          <t>298060</t>
        </is>
      </c>
      <c r="E10122" s="3" t="inlineStr">
        <is>
          <t>임원ㆍ주요주주특정증권등소유상황보고서</t>
        </is>
      </c>
      <c r="F10122" s="3" t="inlineStr">
        <is>
          <t>김유정</t>
        </is>
      </c>
      <c r="G10122" s="2" t="inlineStr">
        <is>
          <t>20260609000467</t>
        </is>
      </c>
      <c r="H10122" s="8">
        <f>HYPERLINK("https://dart.fss.or.kr/dsaf001/main.do?rcpNo=20260609000467", "공시열람")</f>
        <v/>
      </c>
    </row>
    <row r="10123">
      <c r="A10123" s="2" t="inlineStr">
        <is>
          <t>2026-06-09</t>
        </is>
      </c>
      <c r="B10123" s="3" t="inlineStr">
        <is>
          <t>SK하이닉스</t>
        </is>
      </c>
      <c r="C10123" s="2" t="inlineStr">
        <is>
          <t>코스피</t>
        </is>
      </c>
      <c r="D10123" s="2" t="inlineStr">
        <is>
          <t>000660</t>
        </is>
      </c>
      <c r="E10123" s="3" t="inlineStr">
        <is>
          <t>임원ㆍ주요주주특정증권등소유상황보고서</t>
        </is>
      </c>
      <c r="F10123" s="3" t="inlineStr">
        <is>
          <t>강춘호</t>
        </is>
      </c>
      <c r="G10123" s="2" t="inlineStr">
        <is>
          <t>20260609000465</t>
        </is>
      </c>
      <c r="H10123" s="8">
        <f>HYPERLINK("https://dart.fss.or.kr/dsaf001/main.do?rcpNo=20260609000465", "공시열람")</f>
        <v/>
      </c>
    </row>
    <row r="10124">
      <c r="A10124" s="2" t="inlineStr">
        <is>
          <t>2026-06-09</t>
        </is>
      </c>
      <c r="B10124" s="3" t="inlineStr">
        <is>
          <t>이오플로우</t>
        </is>
      </c>
      <c r="C10124" s="2" t="inlineStr">
        <is>
          <t>코스닥</t>
        </is>
      </c>
      <c r="D10124" s="2" t="inlineStr">
        <is>
          <t>294090</t>
        </is>
      </c>
      <c r="E10124" s="3" t="inlineStr">
        <is>
          <t>기타시장안내              (실질심사 대상여부 결정을 위한 조사기간 연장 안내)</t>
        </is>
      </c>
      <c r="F10124" s="3" t="inlineStr">
        <is>
          <t>코스닥시장본부</t>
        </is>
      </c>
      <c r="G10124" s="2" t="inlineStr">
        <is>
          <t>20260609900730</t>
        </is>
      </c>
      <c r="H10124" s="8">
        <f>HYPERLINK("https://dart.fss.or.kr/dsaf001/main.do?rcpNo=20260609900730", "공시열람")</f>
        <v/>
      </c>
    </row>
    <row r="10125">
      <c r="A10125" s="2" t="inlineStr">
        <is>
          <t>2026-06-09</t>
        </is>
      </c>
      <c r="B10125" s="3" t="inlineStr">
        <is>
          <t>SK하이닉스</t>
        </is>
      </c>
      <c r="C10125" s="2" t="inlineStr">
        <is>
          <t>코스피</t>
        </is>
      </c>
      <c r="D10125" s="2" t="inlineStr">
        <is>
          <t>000660</t>
        </is>
      </c>
      <c r="E10125" s="3" t="inlineStr">
        <is>
          <t>임원ㆍ주요주주특정증권등소유상황보고서</t>
        </is>
      </c>
      <c r="F10125" s="3" t="inlineStr">
        <is>
          <t>김주선</t>
        </is>
      </c>
      <c r="G10125" s="2" t="inlineStr">
        <is>
          <t>20260609000462</t>
        </is>
      </c>
      <c r="H10125" s="8">
        <f>HYPERLINK("https://dart.fss.or.kr/dsaf001/main.do?rcpNo=20260609000462", "공시열람")</f>
        <v/>
      </c>
    </row>
    <row r="10126">
      <c r="A10126" s="2" t="inlineStr">
        <is>
          <t>2026-06-09</t>
        </is>
      </c>
      <c r="B10126" s="3" t="inlineStr">
        <is>
          <t>금강철강</t>
        </is>
      </c>
      <c r="C10126" s="2" t="inlineStr">
        <is>
          <t>코스닥</t>
        </is>
      </c>
      <c r="D10126" s="2" t="inlineStr">
        <is>
          <t>053260</t>
        </is>
      </c>
      <c r="E10126" s="3" t="inlineStr">
        <is>
          <t xml:space="preserve">소송등의판결ㆍ결정              </t>
        </is>
      </c>
      <c r="F10126" s="3" t="inlineStr">
        <is>
          <t>금강철강</t>
        </is>
      </c>
      <c r="G10126" s="2" t="inlineStr">
        <is>
          <t>20260609900733</t>
        </is>
      </c>
      <c r="H10126" s="8">
        <f>HYPERLINK("https://dart.fss.or.kr/dsaf001/main.do?rcpNo=20260609900733", "공시열람")</f>
        <v/>
      </c>
    </row>
    <row r="10127">
      <c r="A10127" s="2" t="inlineStr">
        <is>
          <t>2026-06-09</t>
        </is>
      </c>
      <c r="B10127" s="3" t="inlineStr">
        <is>
          <t>한샘</t>
        </is>
      </c>
      <c r="C10127" s="2" t="inlineStr">
        <is>
          <t>코스피</t>
        </is>
      </c>
      <c r="D10127" s="2" t="inlineStr">
        <is>
          <t>009240</t>
        </is>
      </c>
      <c r="E10127" s="3" t="inlineStr">
        <is>
          <t xml:space="preserve">수시공시의무관련사항(공정공시)              </t>
        </is>
      </c>
      <c r="F10127" s="3" t="inlineStr">
        <is>
          <t>한샘</t>
        </is>
      </c>
      <c r="G10127" s="2" t="inlineStr">
        <is>
          <t>20260609800694</t>
        </is>
      </c>
      <c r="H10127" s="8">
        <f>HYPERLINK("https://dart.fss.or.kr/dsaf001/main.do?rcpNo=20260609800694", "공시열람")</f>
        <v/>
      </c>
    </row>
    <row r="10128">
      <c r="A10128" s="2" t="inlineStr">
        <is>
          <t>2026-06-09</t>
        </is>
      </c>
      <c r="B10128" s="3" t="inlineStr">
        <is>
          <t>SK하이닉스</t>
        </is>
      </c>
      <c r="C10128" s="2" t="inlineStr">
        <is>
          <t>코스피</t>
        </is>
      </c>
      <c r="D10128" s="2" t="inlineStr">
        <is>
          <t>000660</t>
        </is>
      </c>
      <c r="E10128" s="3" t="inlineStr">
        <is>
          <t>임원ㆍ주요주주특정증권등소유상황보고서</t>
        </is>
      </c>
      <c r="F10128" s="3" t="inlineStr">
        <is>
          <t>최준기</t>
        </is>
      </c>
      <c r="G10128" s="2" t="inlineStr">
        <is>
          <t>20260609000459</t>
        </is>
      </c>
      <c r="H10128" s="8">
        <f>HYPERLINK("https://dart.fss.or.kr/dsaf001/main.do?rcpNo=20260609000459", "공시열람")</f>
        <v/>
      </c>
    </row>
    <row r="10129">
      <c r="A10129" s="2" t="inlineStr">
        <is>
          <t>2026-06-09</t>
        </is>
      </c>
      <c r="B10129" s="3" t="inlineStr">
        <is>
          <t>아이오바이오</t>
        </is>
      </c>
      <c r="C10129" s="2" t="inlineStr">
        <is>
          <t>코넥스</t>
        </is>
      </c>
      <c r="D10129" s="2" t="inlineStr">
        <is>
          <t>447690</t>
        </is>
      </c>
      <c r="E10129" s="3" t="inlineStr">
        <is>
          <t>임원ㆍ주요주주특정증권등소유상황보고서</t>
        </is>
      </c>
      <c r="F10129" s="3" t="inlineStr">
        <is>
          <t>DSC인베스트먼트</t>
        </is>
      </c>
      <c r="G10129" s="2" t="inlineStr">
        <is>
          <t>20260609000458</t>
        </is>
      </c>
      <c r="H10129" s="8">
        <f>HYPERLINK("https://dart.fss.or.kr/dsaf001/main.do?rcpNo=20260609000458", "공시열람")</f>
        <v/>
      </c>
    </row>
    <row r="10130">
      <c r="A10130" s="2" t="inlineStr">
        <is>
          <t>2026-06-09</t>
        </is>
      </c>
      <c r="B10130" s="3" t="inlineStr">
        <is>
          <t>SK하이닉스</t>
        </is>
      </c>
      <c r="C10130" s="2" t="inlineStr">
        <is>
          <t>코스피</t>
        </is>
      </c>
      <c r="D10130" s="2" t="inlineStr">
        <is>
          <t>000660</t>
        </is>
      </c>
      <c r="E10130" s="3" t="inlineStr">
        <is>
          <t>임원ㆍ주요주주특정증권등소유상황보고서</t>
        </is>
      </c>
      <c r="F10130" s="3" t="inlineStr">
        <is>
          <t>주영표</t>
        </is>
      </c>
      <c r="G10130" s="2" t="inlineStr">
        <is>
          <t>20260609000454</t>
        </is>
      </c>
      <c r="H10130" s="8">
        <f>HYPERLINK("https://dart.fss.or.kr/dsaf001/main.do?rcpNo=20260609000454", "공시열람")</f>
        <v/>
      </c>
    </row>
    <row r="10131">
      <c r="A10131" s="2" t="inlineStr">
        <is>
          <t>2026-06-09</t>
        </is>
      </c>
      <c r="B10131" s="3" t="inlineStr">
        <is>
          <t>오름테라퓨틱</t>
        </is>
      </c>
      <c r="C10131" s="2" t="inlineStr">
        <is>
          <t>코스닥</t>
        </is>
      </c>
      <c r="D10131" s="2" t="inlineStr">
        <is>
          <t>475830</t>
        </is>
      </c>
      <c r="E10131" s="3" t="inlineStr">
        <is>
          <t>임원ㆍ주요주주특정증권등소유상황보고서</t>
        </is>
      </c>
      <c r="F10131" s="3" t="inlineStr">
        <is>
          <t>PETER UNNAM PARK</t>
        </is>
      </c>
      <c r="G10131" s="2" t="inlineStr">
        <is>
          <t>20260609000452</t>
        </is>
      </c>
      <c r="H10131" s="8">
        <f>HYPERLINK("https://dart.fss.or.kr/dsaf001/main.do?rcpNo=20260609000452", "공시열람")</f>
        <v/>
      </c>
    </row>
    <row r="10132">
      <c r="A10132" s="2" t="inlineStr">
        <is>
          <t>2026-06-09</t>
        </is>
      </c>
      <c r="B10132" s="3" t="inlineStr">
        <is>
          <t>셀레스트라</t>
        </is>
      </c>
      <c r="C10132" s="2" t="inlineStr">
        <is>
          <t>코스닥</t>
        </is>
      </c>
      <c r="D10132" s="2" t="inlineStr">
        <is>
          <t>352770</t>
        </is>
      </c>
      <c r="E10132" s="3" t="inlineStr">
        <is>
          <t>주권매매거래정지              (투자자 보호)</t>
        </is>
      </c>
      <c r="F10132" s="3" t="inlineStr">
        <is>
          <t>코스닥시장본부</t>
        </is>
      </c>
      <c r="G10132" s="2" t="inlineStr">
        <is>
          <t>20260609900676</t>
        </is>
      </c>
      <c r="H10132" s="8">
        <f>HYPERLINK("https://dart.fss.or.kr/dsaf001/main.do?rcpNo=20260609900676", "공시열람")</f>
        <v/>
      </c>
    </row>
    <row r="10133">
      <c r="A10133" s="2" t="inlineStr">
        <is>
          <t>2026-06-09</t>
        </is>
      </c>
      <c r="B10133" s="3" t="inlineStr">
        <is>
          <t>셀레스트라</t>
        </is>
      </c>
      <c r="C10133" s="2" t="inlineStr">
        <is>
          <t>코스닥</t>
        </is>
      </c>
      <c r="D10133" s="2" t="inlineStr">
        <is>
          <t>352770</t>
        </is>
      </c>
      <c r="E10133" s="3" t="inlineStr">
        <is>
          <t>기타시장안내              (정리매매 보류 관련)</t>
        </is>
      </c>
      <c r="F10133" s="3" t="inlineStr">
        <is>
          <t>코스닥시장본부</t>
        </is>
      </c>
      <c r="G10133" s="2" t="inlineStr">
        <is>
          <t>20260609900639</t>
        </is>
      </c>
      <c r="H10133" s="8">
        <f>HYPERLINK("https://dart.fss.or.kr/dsaf001/main.do?rcpNo=20260609900639", "공시열람")</f>
        <v/>
      </c>
    </row>
    <row r="10134">
      <c r="A10134" s="2" t="inlineStr">
        <is>
          <t>2026-06-09</t>
        </is>
      </c>
      <c r="B10134" s="3" t="inlineStr">
        <is>
          <t>SK하이닉스</t>
        </is>
      </c>
      <c r="C10134" s="2" t="inlineStr">
        <is>
          <t>코스피</t>
        </is>
      </c>
      <c r="D10134" s="2" t="inlineStr">
        <is>
          <t>000660</t>
        </is>
      </c>
      <c r="E10134" s="3" t="inlineStr">
        <is>
          <t>임원ㆍ주요주주특정증권등소유상황보고서</t>
        </is>
      </c>
      <c r="F10134" s="3" t="inlineStr">
        <is>
          <t>김현중</t>
        </is>
      </c>
      <c r="G10134" s="2" t="inlineStr">
        <is>
          <t>20260609000450</t>
        </is>
      </c>
      <c r="H10134" s="8">
        <f>HYPERLINK("https://dart.fss.or.kr/dsaf001/main.do?rcpNo=20260609000450", "공시열람")</f>
        <v/>
      </c>
    </row>
    <row r="10135">
      <c r="A10135" s="2" t="inlineStr">
        <is>
          <t>2026-06-09 (정정: 2026-06-11)</t>
        </is>
      </c>
      <c r="B10135" s="3" t="inlineStr">
        <is>
          <t>셀레스트라</t>
        </is>
      </c>
      <c r="C10135" s="2" t="inlineStr">
        <is>
          <t>코스닥</t>
        </is>
      </c>
      <c r="D10135" s="2" t="inlineStr">
        <is>
          <t>352770</t>
        </is>
      </c>
      <c r="E10135" s="3" t="inlineStr">
        <is>
          <t>기타경영사항(자율공시)              (상장폐지결정등 효력정지 가처분 신청) (정정: 20260611)</t>
        </is>
      </c>
      <c r="F10135" s="3" t="inlineStr">
        <is>
          <t>셀레스트라</t>
        </is>
      </c>
      <c r="G10135" s="2" t="inlineStr">
        <is>
          <t>20260611900195</t>
        </is>
      </c>
      <c r="H10135" s="8">
        <f>HYPERLINK("https://dart.fss.or.kr/dsaf001/main.do?rcpNo=20260611900195", "공시열람")</f>
        <v/>
      </c>
    </row>
    <row r="10136">
      <c r="A10136" s="2" t="inlineStr">
        <is>
          <t>2026-06-09</t>
        </is>
      </c>
      <c r="B10136" s="3" t="inlineStr">
        <is>
          <t>삼성카드</t>
        </is>
      </c>
      <c r="C10136" s="2" t="inlineStr">
        <is>
          <t>코스피</t>
        </is>
      </c>
      <c r="D10136" s="2" t="inlineStr">
        <is>
          <t>029780</t>
        </is>
      </c>
      <c r="E10136" s="3" t="inlineStr">
        <is>
          <t>임원ㆍ주요주주특정증권등소유상황보고서</t>
        </is>
      </c>
      <c r="F10136" s="3" t="inlineStr">
        <is>
          <t>김현주</t>
        </is>
      </c>
      <c r="G10136" s="2" t="inlineStr">
        <is>
          <t>20260609000448</t>
        </is>
      </c>
      <c r="H10136" s="8">
        <f>HYPERLINK("https://dart.fss.or.kr/dsaf001/main.do?rcpNo=20260609000448", "공시열람")</f>
        <v/>
      </c>
    </row>
    <row r="10137">
      <c r="A10137" s="2" t="inlineStr">
        <is>
          <t>2026-06-09</t>
        </is>
      </c>
      <c r="B10137" s="3" t="inlineStr">
        <is>
          <t>기업은행</t>
        </is>
      </c>
      <c r="C10137" s="2" t="inlineStr">
        <is>
          <t>코스피</t>
        </is>
      </c>
      <c r="D10137" s="2" t="inlineStr">
        <is>
          <t>024110</t>
        </is>
      </c>
      <c r="E10137" s="3" t="inlineStr">
        <is>
          <t xml:space="preserve">기업설명회(IR)개최(안내공시)              </t>
        </is>
      </c>
      <c r="F10137" s="3" t="inlineStr">
        <is>
          <t>기업은행</t>
        </is>
      </c>
      <c r="G10137" s="2" t="inlineStr">
        <is>
          <t>20260609800677</t>
        </is>
      </c>
      <c r="H10137" s="8">
        <f>HYPERLINK("https://dart.fss.or.kr/dsaf001/main.do?rcpNo=20260609800677", "공시열람")</f>
        <v/>
      </c>
    </row>
    <row r="10138">
      <c r="A10138" s="2" t="inlineStr">
        <is>
          <t>2026-06-09</t>
        </is>
      </c>
      <c r="B10138" s="3" t="inlineStr">
        <is>
          <t>코람코더원리츠</t>
        </is>
      </c>
      <c r="C10138" s="2" t="inlineStr">
        <is>
          <t>코스피</t>
        </is>
      </c>
      <c r="D10138" s="2" t="inlineStr">
        <is>
          <t>417310</t>
        </is>
      </c>
      <c r="E10138" s="3" t="inlineStr">
        <is>
          <t>합병등종료보고서(자산양수도)</t>
        </is>
      </c>
      <c r="F10138" s="3" t="inlineStr">
        <is>
          <t>코람코더원리츠</t>
        </is>
      </c>
      <c r="G10138" s="2" t="inlineStr">
        <is>
          <t>20260609000441</t>
        </is>
      </c>
      <c r="H10138" s="8">
        <f>HYPERLINK("https://dart.fss.or.kr/dsaf001/main.do?rcpNo=20260609000441", "공시열람")</f>
        <v/>
      </c>
    </row>
    <row r="10139">
      <c r="A10139" s="2" t="inlineStr">
        <is>
          <t>2026-06-09</t>
        </is>
      </c>
      <c r="B10139" s="3" t="inlineStr">
        <is>
          <t>우진비앤지</t>
        </is>
      </c>
      <c r="C10139" s="2" t="inlineStr">
        <is>
          <t>코스닥</t>
        </is>
      </c>
      <c r="D10139" s="2" t="inlineStr">
        <is>
          <t>018620</t>
        </is>
      </c>
      <c r="E10139" s="3" t="inlineStr">
        <is>
          <t>임원ㆍ주요주주특정증권등거래계획보고서</t>
        </is>
      </c>
      <c r="F10139" s="3" t="inlineStr">
        <is>
          <t>강석진</t>
        </is>
      </c>
      <c r="G10139" s="2" t="inlineStr">
        <is>
          <t>20260609000440</t>
        </is>
      </c>
      <c r="H10139" s="8">
        <f>HYPERLINK("https://dart.fss.or.kr/dsaf001/main.do?rcpNo=20260609000440", "공시열람")</f>
        <v/>
      </c>
    </row>
    <row r="10140">
      <c r="A10140" s="2" t="inlineStr">
        <is>
          <t>2026-06-09</t>
        </is>
      </c>
      <c r="B10140" s="3" t="inlineStr">
        <is>
          <t>오름테라퓨틱</t>
        </is>
      </c>
      <c r="C10140" s="2" t="inlineStr">
        <is>
          <t>코스닥</t>
        </is>
      </c>
      <c r="D10140" s="2" t="inlineStr">
        <is>
          <t>475830</t>
        </is>
      </c>
      <c r="E10140" s="3" t="inlineStr">
        <is>
          <t>임원ㆍ주요주주특정증권등소유상황보고서</t>
        </is>
      </c>
      <c r="F10140" s="3" t="inlineStr">
        <is>
          <t>김병우</t>
        </is>
      </c>
      <c r="G10140" s="2" t="inlineStr">
        <is>
          <t>20260609000436</t>
        </is>
      </c>
      <c r="H10140" s="8">
        <f>HYPERLINK("https://dart.fss.or.kr/dsaf001/main.do?rcpNo=20260609000436", "공시열람")</f>
        <v/>
      </c>
    </row>
    <row r="10141">
      <c r="A10141" s="2" t="inlineStr">
        <is>
          <t>2026-06-09</t>
        </is>
      </c>
      <c r="B10141" s="3" t="inlineStr">
        <is>
          <t>FSN</t>
        </is>
      </c>
      <c r="C10141" s="2" t="inlineStr">
        <is>
          <t>코스닥</t>
        </is>
      </c>
      <c r="D10141" s="2" t="inlineStr">
        <is>
          <t>214270</t>
        </is>
      </c>
      <c r="E10141" s="3" t="inlineStr">
        <is>
          <t>임원ㆍ주요주주특정증권등소유상황보고서</t>
        </is>
      </c>
      <c r="F10141" s="3" t="inlineStr">
        <is>
          <t>김제성</t>
        </is>
      </c>
      <c r="G10141" s="2" t="inlineStr">
        <is>
          <t>20260609000434</t>
        </is>
      </c>
      <c r="H10141" s="8">
        <f>HYPERLINK("https://dart.fss.or.kr/dsaf001/main.do?rcpNo=20260609000434", "공시열람")</f>
        <v/>
      </c>
    </row>
    <row r="10142">
      <c r="A10142" s="2" t="inlineStr">
        <is>
          <t>2026-06-09</t>
        </is>
      </c>
      <c r="B10142" s="3" t="inlineStr">
        <is>
          <t>CG인바이츠</t>
        </is>
      </c>
      <c r="C10142" s="2" t="inlineStr">
        <is>
          <t>코스닥</t>
        </is>
      </c>
      <c r="D10142" s="2" t="inlineStr">
        <is>
          <t>083790</t>
        </is>
      </c>
      <c r="E10142" s="3" t="inlineStr">
        <is>
          <t>임원ㆍ주요주주특정증권등소유상황보고서</t>
        </is>
      </c>
      <c r="F10142" s="3" t="inlineStr">
        <is>
          <t>이호영</t>
        </is>
      </c>
      <c r="G10142" s="2" t="inlineStr">
        <is>
          <t>20260609000433</t>
        </is>
      </c>
      <c r="H10142" s="8">
        <f>HYPERLINK("https://dart.fss.or.kr/dsaf001/main.do?rcpNo=20260609000433", "공시열람")</f>
        <v/>
      </c>
    </row>
    <row r="10143">
      <c r="A10143" s="2" t="inlineStr">
        <is>
          <t>2026-06-09</t>
        </is>
      </c>
      <c r="B10143" s="3" t="inlineStr">
        <is>
          <t>크레오에스지</t>
        </is>
      </c>
      <c r="C10143" s="2" t="inlineStr">
        <is>
          <t>코스닥</t>
        </is>
      </c>
      <c r="D10143" s="2" t="inlineStr">
        <is>
          <t>040350</t>
        </is>
      </c>
      <c r="E10143" s="3" t="inlineStr">
        <is>
          <t xml:space="preserve">조회공시요구(현저한시황변동)에대한답변(미확정)              </t>
        </is>
      </c>
      <c r="F10143" s="3" t="inlineStr">
        <is>
          <t>크레오에스지</t>
        </is>
      </c>
      <c r="G10143" s="2" t="inlineStr">
        <is>
          <t>20260609900625</t>
        </is>
      </c>
      <c r="H10143" s="8">
        <f>HYPERLINK("https://dart.fss.or.kr/dsaf001/main.do?rcpNo=20260609900625", "공시열람")</f>
        <v/>
      </c>
    </row>
    <row r="10144">
      <c r="A10144" s="2" t="inlineStr">
        <is>
          <t>2026-06-09</t>
        </is>
      </c>
      <c r="B10144" s="3" t="inlineStr">
        <is>
          <t>기업은행</t>
        </is>
      </c>
      <c r="C10144" s="2" t="inlineStr">
        <is>
          <t>코스피</t>
        </is>
      </c>
      <c r="D10144" s="2" t="inlineStr">
        <is>
          <t>024110</t>
        </is>
      </c>
      <c r="E10144" s="3" t="inlineStr">
        <is>
          <t xml:space="preserve">기업설명회(IR)개최(안내공시)              </t>
        </is>
      </c>
      <c r="F10144" s="3" t="inlineStr">
        <is>
          <t>기업은행</t>
        </is>
      </c>
      <c r="G10144" s="2" t="inlineStr">
        <is>
          <t>20260609800656</t>
        </is>
      </c>
      <c r="H10144" s="8">
        <f>HYPERLINK("https://dart.fss.or.kr/dsaf001/main.do?rcpNo=20260609800656", "공시열람")</f>
        <v/>
      </c>
    </row>
    <row r="10145">
      <c r="A10145" s="2" t="inlineStr">
        <is>
          <t>2026-06-09</t>
        </is>
      </c>
      <c r="B10145" s="3" t="inlineStr">
        <is>
          <t>피플바이오</t>
        </is>
      </c>
      <c r="C10145" s="2" t="inlineStr">
        <is>
          <t>코스닥</t>
        </is>
      </c>
      <c r="D10145" s="2" t="inlineStr">
        <is>
          <t>304840</t>
        </is>
      </c>
      <c r="E10145" s="3" t="inlineStr">
        <is>
          <t xml:space="preserve">주주명부폐쇄기간또는기준일설정              </t>
        </is>
      </c>
      <c r="F10145" s="3" t="inlineStr">
        <is>
          <t>피플바이오</t>
        </is>
      </c>
      <c r="G10145" s="2" t="inlineStr">
        <is>
          <t>20260609900546</t>
        </is>
      </c>
      <c r="H10145" s="8">
        <f>HYPERLINK("https://dart.fss.or.kr/dsaf001/main.do?rcpNo=20260609900546", "공시열람")</f>
        <v/>
      </c>
    </row>
    <row r="10146">
      <c r="A10146" s="2" t="inlineStr">
        <is>
          <t>2026-06-09 (정정: 2026-06-24)</t>
        </is>
      </c>
      <c r="B10146" s="3" t="inlineStr">
        <is>
          <t>피플바이오</t>
        </is>
      </c>
      <c r="C10146" s="2" t="inlineStr">
        <is>
          <t>코스닥</t>
        </is>
      </c>
      <c r="D10146" s="2" t="inlineStr">
        <is>
          <t>304840</t>
        </is>
      </c>
      <c r="E10146" s="3" t="inlineStr">
        <is>
          <t>주식병합결정               (정정: 20260624)</t>
        </is>
      </c>
      <c r="F10146" s="3" t="inlineStr">
        <is>
          <t>피플바이오</t>
        </is>
      </c>
      <c r="G10146" s="2" t="inlineStr">
        <is>
          <t>20260624000392</t>
        </is>
      </c>
      <c r="H10146" s="8">
        <f>HYPERLINK("https://dart.fss.or.kr/dsaf001/main.do?rcpNo=20260624000392", "공시열람")</f>
        <v/>
      </c>
    </row>
    <row r="10147">
      <c r="A10147" s="2" t="inlineStr">
        <is>
          <t>2026-06-09</t>
        </is>
      </c>
      <c r="B10147" s="3" t="inlineStr">
        <is>
          <t>한국정밀기계</t>
        </is>
      </c>
      <c r="C10147" s="2" t="inlineStr">
        <is>
          <t>코스닥</t>
        </is>
      </c>
      <c r="D10147" s="2" t="inlineStr">
        <is>
          <t>101680</t>
        </is>
      </c>
      <c r="E10147" s="3" t="inlineStr">
        <is>
          <t>임원ㆍ주요주주특정증권등소유상황보고서</t>
        </is>
      </c>
      <c r="F10147" s="3" t="inlineStr">
        <is>
          <t>박수길</t>
        </is>
      </c>
      <c r="G10147" s="2" t="inlineStr">
        <is>
          <t>20260609000427</t>
        </is>
      </c>
      <c r="H10147" s="8">
        <f>HYPERLINK("https://dart.fss.or.kr/dsaf001/main.do?rcpNo=20260609000427", "공시열람")</f>
        <v/>
      </c>
    </row>
    <row r="10148">
      <c r="A10148" s="2" t="inlineStr">
        <is>
          <t>2026-06-09</t>
        </is>
      </c>
      <c r="B10148" s="3" t="inlineStr">
        <is>
          <t>FSN</t>
        </is>
      </c>
      <c r="C10148" s="2" t="inlineStr">
        <is>
          <t>코스닥</t>
        </is>
      </c>
      <c r="D10148" s="2" t="inlineStr">
        <is>
          <t>214270</t>
        </is>
      </c>
      <c r="E10148" s="3" t="inlineStr">
        <is>
          <t>임원ㆍ주요주주특정증권등소유상황보고서</t>
        </is>
      </c>
      <c r="F10148" s="3" t="inlineStr">
        <is>
          <t>김경호</t>
        </is>
      </c>
      <c r="G10148" s="2" t="inlineStr">
        <is>
          <t>20260609000425</t>
        </is>
      </c>
      <c r="H10148" s="8">
        <f>HYPERLINK("https://dart.fss.or.kr/dsaf001/main.do?rcpNo=20260609000425", "공시열람")</f>
        <v/>
      </c>
    </row>
    <row r="10149">
      <c r="A10149" s="2" t="inlineStr">
        <is>
          <t>2026-06-09</t>
        </is>
      </c>
      <c r="B10149" s="3" t="inlineStr">
        <is>
          <t>DSC인베스트먼트</t>
        </is>
      </c>
      <c r="C10149" s="2" t="inlineStr">
        <is>
          <t>코스닥</t>
        </is>
      </c>
      <c r="D10149" s="2" t="inlineStr">
        <is>
          <t>241520</t>
        </is>
      </c>
      <c r="E10149" s="3" t="inlineStr">
        <is>
          <t>임원ㆍ주요주주특정증권등소유상황보고서</t>
        </is>
      </c>
      <c r="F10149" s="3" t="inlineStr">
        <is>
          <t>신동원</t>
        </is>
      </c>
      <c r="G10149" s="2" t="inlineStr">
        <is>
          <t>20260609000424</t>
        </is>
      </c>
      <c r="H10149" s="8">
        <f>HYPERLINK("https://dart.fss.or.kr/dsaf001/main.do?rcpNo=20260609000424", "공시열람")</f>
        <v/>
      </c>
    </row>
    <row r="10150">
      <c r="A10150" s="2" t="inlineStr">
        <is>
          <t>2026-06-09 (정정: 2026-06-11)</t>
        </is>
      </c>
      <c r="B10150" s="3" t="inlineStr">
        <is>
          <t>앱튼</t>
        </is>
      </c>
      <c r="C10150" s="2" t="inlineStr">
        <is>
          <t>코스닥</t>
        </is>
      </c>
      <c r="D10150" s="2" t="inlineStr">
        <is>
          <t>270520</t>
        </is>
      </c>
      <c r="E10150" s="3" t="inlineStr">
        <is>
          <t>전환가액의조정              (제6회차, 제7회차 CB) (정정: 20260611) (정정: 20260611)</t>
        </is>
      </c>
      <c r="F10150" s="3" t="inlineStr">
        <is>
          <t>앱튼</t>
        </is>
      </c>
      <c r="G10150" s="2" t="inlineStr">
        <is>
          <t>20260611900523</t>
        </is>
      </c>
      <c r="H10150" s="8">
        <f>HYPERLINK("https://dart.fss.or.kr/dsaf001/main.do?rcpNo=20260611900523", "공시열람")</f>
        <v/>
      </c>
    </row>
    <row r="10151">
      <c r="A10151" s="2" t="inlineStr">
        <is>
          <t>2026-06-09</t>
        </is>
      </c>
      <c r="B10151" s="3" t="inlineStr">
        <is>
          <t>우진비앤지</t>
        </is>
      </c>
      <c r="C10151" s="2" t="inlineStr">
        <is>
          <t>코스닥</t>
        </is>
      </c>
      <c r="D10151" s="2" t="inlineStr">
        <is>
          <t>018620</t>
        </is>
      </c>
      <c r="E10151" s="3" t="inlineStr">
        <is>
          <t>임원ㆍ주요주주특정증권등거래계획보고서</t>
        </is>
      </c>
      <c r="F10151" s="3" t="inlineStr">
        <is>
          <t>강재구</t>
        </is>
      </c>
      <c r="G10151" s="2" t="inlineStr">
        <is>
          <t>20260609000419</t>
        </is>
      </c>
      <c r="H10151" s="8">
        <f>HYPERLINK("https://dart.fss.or.kr/dsaf001/main.do?rcpNo=20260609000419", "공시열람")</f>
        <v/>
      </c>
    </row>
    <row r="10152">
      <c r="A10152" s="2" t="inlineStr">
        <is>
          <t>2026-06-09</t>
        </is>
      </c>
      <c r="B10152" s="3" t="inlineStr">
        <is>
          <t>저스템</t>
        </is>
      </c>
      <c r="C10152" s="2" t="inlineStr">
        <is>
          <t>코스닥</t>
        </is>
      </c>
      <c r="D10152" s="2" t="inlineStr">
        <is>
          <t>417840</t>
        </is>
      </c>
      <c r="E10152" s="3" t="inlineStr">
        <is>
          <t>임원ㆍ주요주주특정증권등소유상황보고서</t>
        </is>
      </c>
      <c r="F10152" s="3" t="inlineStr">
        <is>
          <t>임진수</t>
        </is>
      </c>
      <c r="G10152" s="2" t="inlineStr">
        <is>
          <t>20260609000417</t>
        </is>
      </c>
      <c r="H10152" s="8">
        <f>HYPERLINK("https://dart.fss.or.kr/dsaf001/main.do?rcpNo=20260609000417", "공시열람")</f>
        <v/>
      </c>
    </row>
    <row r="10153">
      <c r="A10153" s="2" t="inlineStr">
        <is>
          <t>2026-06-09</t>
        </is>
      </c>
      <c r="B10153" s="3" t="inlineStr">
        <is>
          <t>삼성카드</t>
        </is>
      </c>
      <c r="C10153" s="2" t="inlineStr">
        <is>
          <t>코스피</t>
        </is>
      </c>
      <c r="D10153" s="2" t="inlineStr">
        <is>
          <t>029780</t>
        </is>
      </c>
      <c r="E10153" s="3" t="inlineStr">
        <is>
          <t>임원ㆍ주요주주특정증권등소유상황보고서</t>
        </is>
      </c>
      <c r="F10153" s="3" t="inlineStr">
        <is>
          <t>김태선</t>
        </is>
      </c>
      <c r="G10153" s="2" t="inlineStr">
        <is>
          <t>20260609000416</t>
        </is>
      </c>
      <c r="H10153" s="8">
        <f>HYPERLINK("https://dart.fss.or.kr/dsaf001/main.do?rcpNo=20260609000416", "공시열람")</f>
        <v/>
      </c>
    </row>
    <row r="10154">
      <c r="A10154" s="2" t="inlineStr">
        <is>
          <t>2026-06-09</t>
        </is>
      </c>
      <c r="B10154" s="3" t="inlineStr">
        <is>
          <t>저스템</t>
        </is>
      </c>
      <c r="C10154" s="2" t="inlineStr">
        <is>
          <t>코스닥</t>
        </is>
      </c>
      <c r="D10154" s="2" t="inlineStr">
        <is>
          <t>417840</t>
        </is>
      </c>
      <c r="E10154" s="3" t="inlineStr">
        <is>
          <t>임원ㆍ주요주주특정증권등소유상황보고서</t>
        </is>
      </c>
      <c r="F10154" s="3" t="inlineStr">
        <is>
          <t>배도인</t>
        </is>
      </c>
      <c r="G10154" s="2" t="inlineStr">
        <is>
          <t>20260609000411</t>
        </is>
      </c>
      <c r="H10154" s="8">
        <f>HYPERLINK("https://dart.fss.or.kr/dsaf001/main.do?rcpNo=20260609000411", "공시열람")</f>
        <v/>
      </c>
    </row>
    <row r="10155">
      <c r="A10155" s="2" t="inlineStr">
        <is>
          <t>2026-06-09</t>
        </is>
      </c>
      <c r="B10155" s="3" t="inlineStr">
        <is>
          <t>FSN</t>
        </is>
      </c>
      <c r="C10155" s="2" t="inlineStr">
        <is>
          <t>코스닥</t>
        </is>
      </c>
      <c r="D10155" s="2" t="inlineStr">
        <is>
          <t>214270</t>
        </is>
      </c>
      <c r="E10155" s="3" t="inlineStr">
        <is>
          <t>임원ㆍ주요주주특정증권등소유상황보고서</t>
        </is>
      </c>
      <c r="F10155" s="3" t="inlineStr">
        <is>
          <t>서정교</t>
        </is>
      </c>
      <c r="G10155" s="2" t="inlineStr">
        <is>
          <t>20260609000410</t>
        </is>
      </c>
      <c r="H10155" s="8">
        <f>HYPERLINK("https://dart.fss.or.kr/dsaf001/main.do?rcpNo=20260609000410", "공시열람")</f>
        <v/>
      </c>
    </row>
    <row r="10156">
      <c r="A10156" s="2" t="inlineStr">
        <is>
          <t>2026-06-09</t>
        </is>
      </c>
      <c r="B10156" s="3" t="inlineStr">
        <is>
          <t>신세계</t>
        </is>
      </c>
      <c r="C10156" s="2" t="inlineStr">
        <is>
          <t>코스피</t>
        </is>
      </c>
      <c r="D10156" s="2" t="inlineStr">
        <is>
          <t>004170</t>
        </is>
      </c>
      <c r="E10156" s="3" t="inlineStr">
        <is>
          <t xml:space="preserve">영업(잠정)실적(공정공시)              </t>
        </is>
      </c>
      <c r="F10156" s="3" t="inlineStr">
        <is>
          <t>신세계</t>
        </is>
      </c>
      <c r="G10156" s="2" t="inlineStr">
        <is>
          <t>20260609800606</t>
        </is>
      </c>
      <c r="H10156" s="8">
        <f>HYPERLINK("https://dart.fss.or.kr/dsaf001/main.do?rcpNo=20260609800606", "공시열람")</f>
        <v/>
      </c>
    </row>
    <row r="10157">
      <c r="A10157" s="2" t="inlineStr">
        <is>
          <t>2026-06-09</t>
        </is>
      </c>
      <c r="B10157" s="3" t="inlineStr">
        <is>
          <t>광주신세계</t>
        </is>
      </c>
      <c r="C10157" s="2" t="inlineStr">
        <is>
          <t>코스피</t>
        </is>
      </c>
      <c r="D10157" s="2" t="inlineStr">
        <is>
          <t>037710</t>
        </is>
      </c>
      <c r="E10157" s="3" t="inlineStr">
        <is>
          <t xml:space="preserve">영업(잠정)실적(공정공시)              </t>
        </is>
      </c>
      <c r="F10157" s="3" t="inlineStr">
        <is>
          <t>광주신세계</t>
        </is>
      </c>
      <c r="G10157" s="2" t="inlineStr">
        <is>
          <t>20260609800549</t>
        </is>
      </c>
      <c r="H10157" s="8">
        <f>HYPERLINK("https://dart.fss.or.kr/dsaf001/main.do?rcpNo=20260609800549", "공시열람")</f>
        <v/>
      </c>
    </row>
    <row r="10158">
      <c r="A10158" s="2" t="inlineStr">
        <is>
          <t>2026-06-09</t>
        </is>
      </c>
      <c r="B10158" s="3" t="inlineStr">
        <is>
          <t>미스토홀딩스</t>
        </is>
      </c>
      <c r="C10158" s="2" t="inlineStr">
        <is>
          <t>코스피</t>
        </is>
      </c>
      <c r="D10158" s="2" t="inlineStr">
        <is>
          <t>081660</t>
        </is>
      </c>
      <c r="E10158" s="3" t="inlineStr">
        <is>
          <t xml:space="preserve">기업설명회(IR)개최(안내공시)              </t>
        </is>
      </c>
      <c r="F10158" s="3" t="inlineStr">
        <is>
          <t>미스토홀딩스</t>
        </is>
      </c>
      <c r="G10158" s="2" t="inlineStr">
        <is>
          <t>20260609800624</t>
        </is>
      </c>
      <c r="H10158" s="8">
        <f>HYPERLINK("https://dart.fss.or.kr/dsaf001/main.do?rcpNo=20260609800624", "공시열람")</f>
        <v/>
      </c>
    </row>
    <row r="10159">
      <c r="A10159" s="2" t="inlineStr">
        <is>
          <t>2026-06-09</t>
        </is>
      </c>
      <c r="B10159" s="3" t="inlineStr">
        <is>
          <t>CG인바이츠</t>
        </is>
      </c>
      <c r="C10159" s="2" t="inlineStr">
        <is>
          <t>코스닥</t>
        </is>
      </c>
      <c r="D10159" s="2" t="inlineStr">
        <is>
          <t>083790</t>
        </is>
      </c>
      <c r="E10159" s="3" t="inlineStr">
        <is>
          <t>임원ㆍ주요주주특정증권등소유상황보고서</t>
        </is>
      </c>
      <c r="F10159" s="3" t="inlineStr">
        <is>
          <t>신호종</t>
        </is>
      </c>
      <c r="G10159" s="2" t="inlineStr">
        <is>
          <t>20260609000398</t>
        </is>
      </c>
      <c r="H10159" s="8">
        <f>HYPERLINK("https://dart.fss.or.kr/dsaf001/main.do?rcpNo=20260609000398", "공시열람")</f>
        <v/>
      </c>
    </row>
    <row r="10160">
      <c r="A10160" s="2" t="inlineStr">
        <is>
          <t>2026-06-09</t>
        </is>
      </c>
      <c r="B10160" s="3" t="inlineStr">
        <is>
          <t>저스템</t>
        </is>
      </c>
      <c r="C10160" s="2" t="inlineStr">
        <is>
          <t>코스닥</t>
        </is>
      </c>
      <c r="D10160" s="2" t="inlineStr">
        <is>
          <t>417840</t>
        </is>
      </c>
      <c r="E10160" s="3" t="inlineStr">
        <is>
          <t>임원ㆍ주요주주특정증권등소유상황보고서</t>
        </is>
      </c>
      <c r="F10160" s="3" t="inlineStr">
        <is>
          <t>나동근</t>
        </is>
      </c>
      <c r="G10160" s="2" t="inlineStr">
        <is>
          <t>20260609000397</t>
        </is>
      </c>
      <c r="H10160" s="8">
        <f>HYPERLINK("https://dart.fss.or.kr/dsaf001/main.do?rcpNo=20260609000397", "공시열람")</f>
        <v/>
      </c>
    </row>
    <row r="10161">
      <c r="A10161" s="2" t="inlineStr">
        <is>
          <t>2026-06-09</t>
        </is>
      </c>
      <c r="B10161" s="3" t="inlineStr">
        <is>
          <t>저스템</t>
        </is>
      </c>
      <c r="C10161" s="2" t="inlineStr">
        <is>
          <t>코스닥</t>
        </is>
      </c>
      <c r="D10161" s="2" t="inlineStr">
        <is>
          <t>417840</t>
        </is>
      </c>
      <c r="E10161" s="3" t="inlineStr">
        <is>
          <t>임원ㆍ주요주주특정증권등소유상황보고서</t>
        </is>
      </c>
      <c r="F10161" s="3" t="inlineStr">
        <is>
          <t>조광희</t>
        </is>
      </c>
      <c r="G10161" s="2" t="inlineStr">
        <is>
          <t>20260609000388</t>
        </is>
      </c>
      <c r="H10161" s="8">
        <f>HYPERLINK("https://dart.fss.or.kr/dsaf001/main.do?rcpNo=20260609000388", "공시열람")</f>
        <v/>
      </c>
    </row>
    <row r="10162">
      <c r="A10162" s="2" t="inlineStr">
        <is>
          <t>2026-06-09</t>
        </is>
      </c>
      <c r="B10162" s="3" t="inlineStr">
        <is>
          <t>한익스프레스</t>
        </is>
      </c>
      <c r="C10162" s="2" t="inlineStr">
        <is>
          <t>코스피</t>
        </is>
      </c>
      <c r="D10162" s="2" t="inlineStr">
        <is>
          <t>014130</t>
        </is>
      </c>
      <c r="E10162" s="3" t="inlineStr">
        <is>
          <t>임원ㆍ주요주주특정증권등소유상황보고서</t>
        </is>
      </c>
      <c r="F10162" s="3" t="inlineStr">
        <is>
          <t>Lee Drew Sukhwan 이석환</t>
        </is>
      </c>
      <c r="G10162" s="2" t="inlineStr">
        <is>
          <t>20260609000384</t>
        </is>
      </c>
      <c r="H10162" s="8">
        <f>HYPERLINK("https://dart.fss.or.kr/dsaf001/main.do?rcpNo=20260609000384", "공시열람")</f>
        <v/>
      </c>
    </row>
    <row r="10163">
      <c r="A10163" s="2" t="inlineStr">
        <is>
          <t>2026-06-09</t>
        </is>
      </c>
      <c r="B10163" s="3" t="inlineStr">
        <is>
          <t>티에스넥스젠</t>
        </is>
      </c>
      <c r="C10163" s="2" t="inlineStr">
        <is>
          <t>코스닥</t>
        </is>
      </c>
      <c r="D10163" s="2" t="inlineStr">
        <is>
          <t>043220</t>
        </is>
      </c>
      <c r="E10163" s="3" t="inlineStr">
        <is>
          <t>주권매매거래정지              (투자자 보호)</t>
        </is>
      </c>
      <c r="F10163" s="3" t="inlineStr">
        <is>
          <t>코스닥시장본부</t>
        </is>
      </c>
      <c r="G10163" s="2" t="inlineStr">
        <is>
          <t>20260609900542</t>
        </is>
      </c>
      <c r="H10163" s="8">
        <f>HYPERLINK("https://dart.fss.or.kr/dsaf001/main.do?rcpNo=20260609900542", "공시열람")</f>
        <v/>
      </c>
    </row>
    <row r="10164">
      <c r="A10164" s="2" t="inlineStr">
        <is>
          <t>2026-06-09 (정정: 2026-06-09)</t>
        </is>
      </c>
      <c r="B10164" s="3" t="inlineStr">
        <is>
          <t>차바이오텍</t>
        </is>
      </c>
      <c r="C10164" s="2" t="inlineStr">
        <is>
          <t>코스닥</t>
        </is>
      </c>
      <c r="D10164" s="2" t="inlineStr">
        <is>
          <t>085660</t>
        </is>
      </c>
      <c r="E10164" s="3" t="inlineStr">
        <is>
          <t>임원ㆍ주요주주특정증권등소유상황보고서 (정정: 20260609)</t>
        </is>
      </c>
      <c r="F10164" s="3" t="inlineStr">
        <is>
          <t>장경호</t>
        </is>
      </c>
      <c r="G10164" s="2" t="inlineStr">
        <is>
          <t>20260609000370</t>
        </is>
      </c>
      <c r="H10164" s="8">
        <f>HYPERLINK("https://dart.fss.or.kr/dsaf001/main.do?rcpNo=20260609000370", "공시열람")</f>
        <v/>
      </c>
    </row>
    <row r="10165">
      <c r="A10165" s="2" t="inlineStr">
        <is>
          <t>2026-06-09</t>
        </is>
      </c>
      <c r="B10165" s="3" t="inlineStr">
        <is>
          <t>티에스넥스젠</t>
        </is>
      </c>
      <c r="C10165" s="2" t="inlineStr">
        <is>
          <t>코스닥</t>
        </is>
      </c>
      <c r="D10165" s="2" t="inlineStr">
        <is>
          <t>043220</t>
        </is>
      </c>
      <c r="E10165" s="3" t="inlineStr">
        <is>
          <t>기타시장안내              (정리매매 보류 관련)</t>
        </is>
      </c>
      <c r="F10165" s="3" t="inlineStr">
        <is>
          <t>코스닥시장본부</t>
        </is>
      </c>
      <c r="G10165" s="2" t="inlineStr">
        <is>
          <t>20260609900536</t>
        </is>
      </c>
      <c r="H10165" s="8">
        <f>HYPERLINK("https://dart.fss.or.kr/dsaf001/main.do?rcpNo=20260609900536", "공시열람")</f>
        <v/>
      </c>
    </row>
    <row r="10166">
      <c r="A10166" s="2" t="inlineStr">
        <is>
          <t>2026-06-09</t>
        </is>
      </c>
      <c r="B10166" s="3" t="inlineStr">
        <is>
          <t>티에스넥스젠</t>
        </is>
      </c>
      <c r="C10166" s="2" t="inlineStr">
        <is>
          <t>코스닥</t>
        </is>
      </c>
      <c r="D10166" s="2" t="inlineStr">
        <is>
          <t>043220</t>
        </is>
      </c>
      <c r="E10166" s="3" t="inlineStr">
        <is>
          <t>기타경영사항(자율공시)              (상장폐지결정 효력정지 가처분 신청)</t>
        </is>
      </c>
      <c r="F10166" s="3" t="inlineStr">
        <is>
          <t>티에스넥스젠</t>
        </is>
      </c>
      <c r="G10166" s="2" t="inlineStr">
        <is>
          <t>20260609900527</t>
        </is>
      </c>
      <c r="H10166" s="8">
        <f>HYPERLINK("https://dart.fss.or.kr/dsaf001/main.do?rcpNo=20260609900527", "공시열람")</f>
        <v/>
      </c>
    </row>
    <row r="10167">
      <c r="A10167" s="2" t="inlineStr">
        <is>
          <t>2026-06-09</t>
        </is>
      </c>
      <c r="B10167" s="3" t="inlineStr">
        <is>
          <t>HLB파나진</t>
        </is>
      </c>
      <c r="C10167" s="2" t="inlineStr">
        <is>
          <t>코스닥</t>
        </is>
      </c>
      <c r="D10167" s="2" t="inlineStr">
        <is>
          <t>046210</t>
        </is>
      </c>
      <c r="E10167" s="3" t="inlineStr">
        <is>
          <t>임원ㆍ주요주주특정증권등소유상황보고서</t>
        </is>
      </c>
      <c r="F10167" s="3" t="inlineStr">
        <is>
          <t>박기웅</t>
        </is>
      </c>
      <c r="G10167" s="2" t="inlineStr">
        <is>
          <t>20260609000379</t>
        </is>
      </c>
      <c r="H10167" s="8">
        <f>HYPERLINK("https://dart.fss.or.kr/dsaf001/main.do?rcpNo=20260609000379", "공시열람")</f>
        <v/>
      </c>
    </row>
    <row r="10168">
      <c r="A10168" s="2" t="inlineStr">
        <is>
          <t>2026-06-09</t>
        </is>
      </c>
      <c r="B10168" s="3" t="inlineStr">
        <is>
          <t>싸이토젠</t>
        </is>
      </c>
      <c r="C10168" s="2" t="inlineStr">
        <is>
          <t>코스닥</t>
        </is>
      </c>
      <c r="D10168" s="2" t="inlineStr">
        <is>
          <t>217330</t>
        </is>
      </c>
      <c r="E10168" s="3" t="inlineStr">
        <is>
          <t xml:space="preserve">주주명부폐쇄기간또는기준일설정              </t>
        </is>
      </c>
      <c r="F10168" s="3" t="inlineStr">
        <is>
          <t>싸이토젠</t>
        </is>
      </c>
      <c r="G10168" s="2" t="inlineStr">
        <is>
          <t>20260609900529</t>
        </is>
      </c>
      <c r="H10168" s="8">
        <f>HYPERLINK("https://dart.fss.or.kr/dsaf001/main.do?rcpNo=20260609900529", "공시열람")</f>
        <v/>
      </c>
    </row>
    <row r="10169">
      <c r="A10169" s="2" t="inlineStr">
        <is>
          <t>2026-06-09</t>
        </is>
      </c>
      <c r="B10169" s="3" t="inlineStr">
        <is>
          <t>E8</t>
        </is>
      </c>
      <c r="C10169" s="2" t="inlineStr">
        <is>
          <t>코스닥</t>
        </is>
      </c>
      <c r="D10169" s="2" t="inlineStr">
        <is>
          <t>418620</t>
        </is>
      </c>
      <c r="E10169" s="3" t="inlineStr">
        <is>
          <t>투자판단관련주요경영사항              (국책과제 선정(BIM 활용 디지털트윈 기반 건물에너지 관리 시뮬레이터 개발 및 실증))</t>
        </is>
      </c>
      <c r="F10169" s="3" t="inlineStr">
        <is>
          <t>E8</t>
        </is>
      </c>
      <c r="G10169" s="2" t="inlineStr">
        <is>
          <t>20260609900514</t>
        </is>
      </c>
      <c r="H10169" s="8">
        <f>HYPERLINK("https://dart.fss.or.kr/dsaf001/main.do?rcpNo=20260609900514", "공시열람")</f>
        <v/>
      </c>
    </row>
    <row r="10170">
      <c r="A10170" s="2" t="inlineStr">
        <is>
          <t>2026-06-09</t>
        </is>
      </c>
      <c r="B10170" s="3" t="inlineStr">
        <is>
          <t>미래에셋증권</t>
        </is>
      </c>
      <c r="C10170" s="2" t="inlineStr">
        <is>
          <t>코스피</t>
        </is>
      </c>
      <c r="D10170" s="2" t="inlineStr">
        <is>
          <t>006800</t>
        </is>
      </c>
      <c r="E10170" s="3" t="inlineStr">
        <is>
          <t>증권발행실적보고서</t>
        </is>
      </c>
      <c r="F10170" s="3" t="inlineStr">
        <is>
          <t>미래에셋증권</t>
        </is>
      </c>
      <c r="G10170" s="2" t="inlineStr">
        <is>
          <t>20260609000376</t>
        </is>
      </c>
      <c r="H10170" s="8">
        <f>HYPERLINK("https://dart.fss.or.kr/dsaf001/main.do?rcpNo=20260609000376", "공시열람")</f>
        <v/>
      </c>
    </row>
    <row r="10171">
      <c r="A10171" s="2" t="inlineStr">
        <is>
          <t>2026-06-09</t>
        </is>
      </c>
      <c r="B10171" s="3" t="inlineStr">
        <is>
          <t>텔콘RF제약</t>
        </is>
      </c>
      <c r="C10171" s="2" t="inlineStr">
        <is>
          <t>코스닥</t>
        </is>
      </c>
      <c r="D10171" s="2" t="inlineStr">
        <is>
          <t>200230</t>
        </is>
      </c>
      <c r="E10171" s="3" t="inlineStr">
        <is>
          <t xml:space="preserve">감자완료              </t>
        </is>
      </c>
      <c r="F10171" s="3" t="inlineStr">
        <is>
          <t>텔콘RF제약</t>
        </is>
      </c>
      <c r="G10171" s="2" t="inlineStr">
        <is>
          <t>20260609900577</t>
        </is>
      </c>
      <c r="H10171" s="8">
        <f>HYPERLINK("https://dart.fss.or.kr/dsaf001/main.do?rcpNo=20260609900577", "공시열람")</f>
        <v/>
      </c>
    </row>
    <row r="10172">
      <c r="A10172" s="2" t="inlineStr">
        <is>
          <t>2026-06-09</t>
        </is>
      </c>
      <c r="B10172" s="3" t="inlineStr">
        <is>
          <t>대신증권</t>
        </is>
      </c>
      <c r="C10172" s="2" t="inlineStr">
        <is>
          <t>코스피</t>
        </is>
      </c>
      <c r="D10172" s="2" t="inlineStr">
        <is>
          <t>003540</t>
        </is>
      </c>
      <c r="E10172" s="3" t="inlineStr">
        <is>
          <t>증권발행실적보고서</t>
        </is>
      </c>
      <c r="F10172" s="3" t="inlineStr">
        <is>
          <t>대신증권</t>
        </is>
      </c>
      <c r="G10172" s="2" t="inlineStr">
        <is>
          <t>20260609000373</t>
        </is>
      </c>
      <c r="H10172" s="8">
        <f>HYPERLINK("https://dart.fss.or.kr/dsaf001/main.do?rcpNo=20260609000373", "공시열람")</f>
        <v/>
      </c>
    </row>
    <row r="10173">
      <c r="A10173" s="2" t="inlineStr">
        <is>
          <t>2026-06-09</t>
        </is>
      </c>
      <c r="B10173" s="3" t="inlineStr">
        <is>
          <t>대림통상</t>
        </is>
      </c>
      <c r="C10173" s="2" t="inlineStr">
        <is>
          <t>코스피</t>
        </is>
      </c>
      <c r="D10173" s="2" t="inlineStr">
        <is>
          <t>006570</t>
        </is>
      </c>
      <c r="E10173" s="3" t="inlineStr">
        <is>
          <t>임원ㆍ주요주주특정증권등소유상황보고서</t>
        </is>
      </c>
      <c r="F10173" s="3" t="inlineStr">
        <is>
          <t>디앤디파트너스</t>
        </is>
      </c>
      <c r="G10173" s="2" t="inlineStr">
        <is>
          <t>20260609000372</t>
        </is>
      </c>
      <c r="H10173" s="8">
        <f>HYPERLINK("https://dart.fss.or.kr/dsaf001/main.do?rcpNo=20260609000372", "공시열람")</f>
        <v/>
      </c>
    </row>
    <row r="10174">
      <c r="A10174" s="2" t="inlineStr">
        <is>
          <t>2026-06-09</t>
        </is>
      </c>
      <c r="B10174" s="3" t="inlineStr">
        <is>
          <t>슈프리마</t>
        </is>
      </c>
      <c r="C10174" s="2" t="inlineStr">
        <is>
          <t>코스닥</t>
        </is>
      </c>
      <c r="D10174" s="2" t="inlineStr">
        <is>
          <t>236200</t>
        </is>
      </c>
      <c r="E10174" s="3" t="inlineStr">
        <is>
          <t xml:space="preserve">주주명부폐쇄기간또는기준일설정              </t>
        </is>
      </c>
      <c r="F10174" s="3" t="inlineStr">
        <is>
          <t>슈프리마</t>
        </is>
      </c>
      <c r="G10174" s="2" t="inlineStr">
        <is>
          <t>20260609900571</t>
        </is>
      </c>
      <c r="H10174" s="8">
        <f>HYPERLINK("https://dart.fss.or.kr/dsaf001/main.do?rcpNo=20260609900571", "공시열람")</f>
        <v/>
      </c>
    </row>
    <row r="10175">
      <c r="A10175" s="2" t="inlineStr">
        <is>
          <t>2026-06-09</t>
        </is>
      </c>
      <c r="B10175" s="3" t="inlineStr">
        <is>
          <t>사토시홀딩스</t>
        </is>
      </c>
      <c r="C10175" s="2" t="inlineStr">
        <is>
          <t>코스닥</t>
        </is>
      </c>
      <c r="D10175" s="2" t="inlineStr">
        <is>
          <t>223310</t>
        </is>
      </c>
      <c r="E10175" s="3" t="inlineStr">
        <is>
          <t>전환가액의조정              (제12회차)</t>
        </is>
      </c>
      <c r="F10175" s="3" t="inlineStr">
        <is>
          <t>사토시홀딩스</t>
        </is>
      </c>
      <c r="G10175" s="2" t="inlineStr">
        <is>
          <t>20260609900492</t>
        </is>
      </c>
      <c r="H10175" s="8">
        <f>HYPERLINK("https://dart.fss.or.kr/dsaf001/main.do?rcpNo=20260609900492", "공시열람")</f>
        <v/>
      </c>
    </row>
    <row r="10176">
      <c r="A10176" s="2" t="inlineStr">
        <is>
          <t>2026-06-09</t>
        </is>
      </c>
      <c r="B10176" s="3" t="inlineStr">
        <is>
          <t>삼익악기</t>
        </is>
      </c>
      <c r="C10176" s="2" t="inlineStr">
        <is>
          <t>코스피</t>
        </is>
      </c>
      <c r="D10176" s="2" t="inlineStr">
        <is>
          <t>002450</t>
        </is>
      </c>
      <c r="E10176" s="3" t="inlineStr">
        <is>
          <t>임원ㆍ주요주주특정증권등소유상황보고서</t>
        </is>
      </c>
      <c r="F10176" s="3" t="inlineStr">
        <is>
          <t>재단법인 삼익문화재단</t>
        </is>
      </c>
      <c r="G10176" s="2" t="inlineStr">
        <is>
          <t>20260609000367</t>
        </is>
      </c>
      <c r="H10176" s="8">
        <f>HYPERLINK("https://dart.fss.or.kr/dsaf001/main.do?rcpNo=20260609000367", "공시열람")</f>
        <v/>
      </c>
    </row>
    <row r="10177">
      <c r="A10177" s="2" t="inlineStr">
        <is>
          <t>2026-06-09</t>
        </is>
      </c>
      <c r="B10177" s="3" t="inlineStr">
        <is>
          <t>KR모터스</t>
        </is>
      </c>
      <c r="C10177" s="2" t="inlineStr">
        <is>
          <t>코스피</t>
        </is>
      </c>
      <c r="D10177" s="2" t="inlineStr">
        <is>
          <t>000040</t>
        </is>
      </c>
      <c r="E10177" s="3" t="inlineStr">
        <is>
          <t xml:space="preserve">조회공시요구(풍문또는보도)에대한답변(부인)              </t>
        </is>
      </c>
      <c r="F10177" s="3" t="inlineStr">
        <is>
          <t>KR모터스</t>
        </is>
      </c>
      <c r="G10177" s="2" t="inlineStr">
        <is>
          <t>20260609800559</t>
        </is>
      </c>
      <c r="H10177" s="8">
        <f>HYPERLINK("https://dart.fss.or.kr/dsaf001/main.do?rcpNo=20260609800559", "공시열람")</f>
        <v/>
      </c>
    </row>
    <row r="10178">
      <c r="A10178" s="2" t="inlineStr">
        <is>
          <t>2026-06-09</t>
        </is>
      </c>
      <c r="B10178" s="3" t="inlineStr">
        <is>
          <t>우정바이오</t>
        </is>
      </c>
      <c r="C10178" s="2" t="inlineStr">
        <is>
          <t>코스닥</t>
        </is>
      </c>
      <c r="D10178" s="2" t="inlineStr">
        <is>
          <t>215380</t>
        </is>
      </c>
      <c r="E10178" s="3" t="inlineStr">
        <is>
          <t>임원ㆍ주요주주특정증권등소유상황보고서</t>
        </is>
      </c>
      <c r="F10178" s="3" t="inlineStr">
        <is>
          <t>이상수</t>
        </is>
      </c>
      <c r="G10178" s="2" t="inlineStr">
        <is>
          <t>20260609000365</t>
        </is>
      </c>
      <c r="H10178" s="8">
        <f>HYPERLINK("https://dart.fss.or.kr/dsaf001/main.do?rcpNo=20260609000365", "공시열람")</f>
        <v/>
      </c>
    </row>
    <row r="10179">
      <c r="A10179" s="2" t="inlineStr">
        <is>
          <t>2026-06-09</t>
        </is>
      </c>
      <c r="B10179" s="3" t="inlineStr">
        <is>
          <t>엘브이엠씨</t>
        </is>
      </c>
      <c r="C10179" s="2" t="inlineStr">
        <is>
          <t>코스피</t>
        </is>
      </c>
      <c r="D10179" s="2" t="inlineStr">
        <is>
          <t>900140</t>
        </is>
      </c>
      <c r="E10179" s="3" t="inlineStr">
        <is>
          <t xml:space="preserve">조회공시요구(풍문또는보도)에대한답변(부인)              </t>
        </is>
      </c>
      <c r="F10179" s="3" t="inlineStr">
        <is>
          <t>엘브이엠씨</t>
        </is>
      </c>
      <c r="G10179" s="2" t="inlineStr">
        <is>
          <t>20260609800519</t>
        </is>
      </c>
      <c r="H10179" s="8">
        <f>HYPERLINK("https://dart.fss.or.kr/dsaf001/main.do?rcpNo=20260609800519", "공시열람")</f>
        <v/>
      </c>
    </row>
    <row r="10180">
      <c r="A10180" s="2" t="inlineStr">
        <is>
          <t>2026-06-09</t>
        </is>
      </c>
      <c r="B10180" s="3" t="inlineStr">
        <is>
          <t>미래에셋증권</t>
        </is>
      </c>
      <c r="C10180" s="2" t="inlineStr">
        <is>
          <t>코스피</t>
        </is>
      </c>
      <c r="D10180" s="2" t="inlineStr">
        <is>
          <t>006800</t>
        </is>
      </c>
      <c r="E10180" s="3" t="inlineStr">
        <is>
          <t>투자설명서(일괄신고)</t>
        </is>
      </c>
      <c r="F10180" s="3" t="inlineStr">
        <is>
          <t>미래에셋증권</t>
        </is>
      </c>
      <c r="G10180" s="2" t="inlineStr">
        <is>
          <t>20260609000360</t>
        </is>
      </c>
      <c r="H10180" s="8">
        <f>HYPERLINK("https://dart.fss.or.kr/dsaf001/main.do?rcpNo=20260609000360", "공시열람")</f>
        <v/>
      </c>
    </row>
    <row r="10181">
      <c r="A10181" s="2" t="inlineStr">
        <is>
          <t>2026-06-09</t>
        </is>
      </c>
      <c r="B10181" s="3" t="inlineStr">
        <is>
          <t>휴메딕스</t>
        </is>
      </c>
      <c r="C10181" s="2" t="inlineStr">
        <is>
          <t>코스닥</t>
        </is>
      </c>
      <c r="D10181" s="2" t="inlineStr">
        <is>
          <t>200670</t>
        </is>
      </c>
      <c r="E10181" s="3" t="inlineStr">
        <is>
          <t xml:space="preserve">기업설명회(IR)개최              </t>
        </is>
      </c>
      <c r="F10181" s="3" t="inlineStr">
        <is>
          <t>휴메딕스</t>
        </is>
      </c>
      <c r="G10181" s="2" t="inlineStr">
        <is>
          <t>20260609900553</t>
        </is>
      </c>
      <c r="H10181" s="8">
        <f>HYPERLINK("https://dart.fss.or.kr/dsaf001/main.do?rcpNo=20260609900553", "공시열람")</f>
        <v/>
      </c>
    </row>
    <row r="10182">
      <c r="A10182" s="2" t="inlineStr">
        <is>
          <t>2026-06-09</t>
        </is>
      </c>
      <c r="B10182" s="3" t="inlineStr">
        <is>
          <t>일월지엠엘</t>
        </is>
      </c>
      <c r="C10182" s="2" t="inlineStr">
        <is>
          <t>코스닥</t>
        </is>
      </c>
      <c r="D10182" s="2" t="inlineStr">
        <is>
          <t>178780</t>
        </is>
      </c>
      <c r="E10182" s="3" t="inlineStr">
        <is>
          <t>임원ㆍ주요주주특정증권등소유상황보고서</t>
        </is>
      </c>
      <c r="F10182" s="3" t="inlineStr">
        <is>
          <t>이광모</t>
        </is>
      </c>
      <c r="G10182" s="2" t="inlineStr">
        <is>
          <t>20260609000359</t>
        </is>
      </c>
      <c r="H10182" s="8">
        <f>HYPERLINK("https://dart.fss.or.kr/dsaf001/main.do?rcpNo=20260609000359", "공시열람")</f>
        <v/>
      </c>
    </row>
    <row r="10183">
      <c r="A10183" s="2" t="inlineStr">
        <is>
          <t>2026-06-09</t>
        </is>
      </c>
      <c r="B10183" s="3" t="inlineStr">
        <is>
          <t>참엔지니어링</t>
        </is>
      </c>
      <c r="C10183" s="2" t="inlineStr">
        <is>
          <t>코스피</t>
        </is>
      </c>
      <c r="D10183" s="2" t="inlineStr">
        <is>
          <t>009310</t>
        </is>
      </c>
      <c r="E10183" s="3" t="inlineStr">
        <is>
          <t>의결권대리행사권유참고서류</t>
        </is>
      </c>
      <c r="F10183" s="3" t="inlineStr">
        <is>
          <t>참엔지니어링</t>
        </is>
      </c>
      <c r="G10183" s="2" t="inlineStr">
        <is>
          <t>20260609000358</t>
        </is>
      </c>
      <c r="H10183" s="8">
        <f>HYPERLINK("https://dart.fss.or.kr/dsaf001/main.do?rcpNo=20260609000358", "공시열람")</f>
        <v/>
      </c>
    </row>
    <row r="10184">
      <c r="A10184" s="2" t="inlineStr">
        <is>
          <t>2026-06-09</t>
        </is>
      </c>
      <c r="B10184" s="3" t="inlineStr">
        <is>
          <t>NH올원리츠</t>
        </is>
      </c>
      <c r="C10184" s="2" t="inlineStr">
        <is>
          <t>코스피</t>
        </is>
      </c>
      <c r="D10184" s="2" t="inlineStr">
        <is>
          <t>400760</t>
        </is>
      </c>
      <c r="E10184" s="3" t="inlineStr">
        <is>
          <t xml:space="preserve">기타경영사항(자율공시)              </t>
        </is>
      </c>
      <c r="F10184" s="3" t="inlineStr">
        <is>
          <t>NH올원리츠</t>
        </is>
      </c>
      <c r="G10184" s="2" t="inlineStr">
        <is>
          <t>20260609800531</t>
        </is>
      </c>
      <c r="H10184" s="8">
        <f>HYPERLINK("https://dart.fss.or.kr/dsaf001/main.do?rcpNo=20260609800531", "공시열람")</f>
        <v/>
      </c>
    </row>
    <row r="10185">
      <c r="A10185" s="2" t="inlineStr">
        <is>
          <t>2026-06-09</t>
        </is>
      </c>
      <c r="B10185" s="3" t="inlineStr">
        <is>
          <t>THE CUBE&amp;</t>
        </is>
      </c>
      <c r="C10185" s="2" t="inlineStr">
        <is>
          <t>코스닥</t>
        </is>
      </c>
      <c r="D10185" s="2" t="inlineStr">
        <is>
          <t>013720</t>
        </is>
      </c>
      <c r="E10185" s="3" t="inlineStr">
        <is>
          <t xml:space="preserve">조회공시요구(현저한시황변동)에대한답변(미확정)              </t>
        </is>
      </c>
      <c r="F10185" s="3" t="inlineStr">
        <is>
          <t>THE CUBE&amp;</t>
        </is>
      </c>
      <c r="G10185" s="2" t="inlineStr">
        <is>
          <t>20260609900533</t>
        </is>
      </c>
      <c r="H10185" s="8">
        <f>HYPERLINK("https://dart.fss.or.kr/dsaf001/main.do?rcpNo=20260609900533", "공시열람")</f>
        <v/>
      </c>
    </row>
    <row r="10186">
      <c r="A10186" s="2" t="inlineStr">
        <is>
          <t>2026-06-09</t>
        </is>
      </c>
      <c r="B10186" s="3" t="inlineStr">
        <is>
          <t>미래에셋증권</t>
        </is>
      </c>
      <c r="C10186" s="2" t="inlineStr">
        <is>
          <t>코스피</t>
        </is>
      </c>
      <c r="D10186" s="2" t="inlineStr">
        <is>
          <t>006800</t>
        </is>
      </c>
      <c r="E10186" s="3" t="inlineStr">
        <is>
          <t>일괄신고추가서류(파생결합사채-주가연계파생결합사채)</t>
        </is>
      </c>
      <c r="F10186" s="3" t="inlineStr">
        <is>
          <t>미래에셋증권</t>
        </is>
      </c>
      <c r="G10186" s="2" t="inlineStr">
        <is>
          <t>20260609000356</t>
        </is>
      </c>
      <c r="H10186" s="8">
        <f>HYPERLINK("https://dart.fss.or.kr/dsaf001/main.do?rcpNo=20260609000356", "공시열람")</f>
        <v/>
      </c>
    </row>
    <row r="10187">
      <c r="A10187" s="2" t="inlineStr">
        <is>
          <t>2026-06-09</t>
        </is>
      </c>
      <c r="B10187" s="3" t="inlineStr">
        <is>
          <t>NH프라임리츠</t>
        </is>
      </c>
      <c r="C10187" s="2" t="inlineStr">
        <is>
          <t>코스피</t>
        </is>
      </c>
      <c r="D10187" s="2" t="inlineStr">
        <is>
          <t>338100</t>
        </is>
      </c>
      <c r="E10187" s="3" t="inlineStr">
        <is>
          <t xml:space="preserve">기타경영사항(자율공시)              </t>
        </is>
      </c>
      <c r="F10187" s="3" t="inlineStr">
        <is>
          <t>NH프라임리츠</t>
        </is>
      </c>
      <c r="G10187" s="2" t="inlineStr">
        <is>
          <t>20260609800530</t>
        </is>
      </c>
      <c r="H10187" s="8">
        <f>HYPERLINK("https://dart.fss.or.kr/dsaf001/main.do?rcpNo=20260609800530", "공시열람")</f>
        <v/>
      </c>
    </row>
    <row r="10188">
      <c r="A10188" s="2" t="inlineStr">
        <is>
          <t>2026-06-09</t>
        </is>
      </c>
      <c r="B10188" s="3" t="inlineStr">
        <is>
          <t>파마리서치바이오</t>
        </is>
      </c>
      <c r="C10188" s="2" t="inlineStr">
        <is>
          <t>코넥스</t>
        </is>
      </c>
      <c r="D10188" s="2" t="inlineStr">
        <is>
          <t>217950</t>
        </is>
      </c>
      <c r="E10188" s="3" t="inlineStr">
        <is>
          <t xml:space="preserve">기업설명회(IR)개최결과              </t>
        </is>
      </c>
      <c r="F10188" s="3" t="inlineStr">
        <is>
          <t>파마리서치바이오</t>
        </is>
      </c>
      <c r="G10188" s="2" t="inlineStr">
        <is>
          <t>20260609600524</t>
        </is>
      </c>
      <c r="H10188" s="8">
        <f>HYPERLINK("https://dart.fss.or.kr/dsaf001/main.do?rcpNo=20260609600524", "공시열람")</f>
        <v/>
      </c>
    </row>
    <row r="10189">
      <c r="A10189" s="2" t="inlineStr">
        <is>
          <t>2026-06-09</t>
        </is>
      </c>
      <c r="B10189" s="3" t="inlineStr">
        <is>
          <t>엘컴텍</t>
        </is>
      </c>
      <c r="C10189" s="2" t="inlineStr">
        <is>
          <t>코스닥</t>
        </is>
      </c>
      <c r="D10189" s="2" t="inlineStr">
        <is>
          <t>037950</t>
        </is>
      </c>
      <c r="E10189" s="3" t="inlineStr">
        <is>
          <t>임원ㆍ주요주주특정증권등소유상황보고서</t>
        </is>
      </c>
      <c r="F10189" s="3" t="inlineStr">
        <is>
          <t>파트론</t>
        </is>
      </c>
      <c r="G10189" s="2" t="inlineStr">
        <is>
          <t>20260609000349</t>
        </is>
      </c>
      <c r="H10189" s="8">
        <f>HYPERLINK("https://dart.fss.or.kr/dsaf001/main.do?rcpNo=20260609000349", "공시열람")</f>
        <v/>
      </c>
    </row>
    <row r="10190">
      <c r="A10190" s="2" t="inlineStr">
        <is>
          <t>2026-06-09</t>
        </is>
      </c>
      <c r="B10190" s="3" t="inlineStr">
        <is>
          <t>슈프리마에이치큐</t>
        </is>
      </c>
      <c r="C10190" s="2" t="inlineStr">
        <is>
          <t>코스닥</t>
        </is>
      </c>
      <c r="D10190" s="2" t="inlineStr">
        <is>
          <t>094840</t>
        </is>
      </c>
      <c r="E10190" s="3" t="inlineStr">
        <is>
          <t xml:space="preserve">주주명부폐쇄기간또는기준일설정              </t>
        </is>
      </c>
      <c r="F10190" s="3" t="inlineStr">
        <is>
          <t>슈프리마에이치큐</t>
        </is>
      </c>
      <c r="G10190" s="2" t="inlineStr">
        <is>
          <t>20260609900534</t>
        </is>
      </c>
      <c r="H10190" s="8">
        <f>HYPERLINK("https://dart.fss.or.kr/dsaf001/main.do?rcpNo=20260609900534", "공시열람")</f>
        <v/>
      </c>
    </row>
    <row r="10191">
      <c r="A10191" s="2" t="inlineStr">
        <is>
          <t>2026-06-09</t>
        </is>
      </c>
      <c r="B10191" s="3" t="inlineStr">
        <is>
          <t>미코</t>
        </is>
      </c>
      <c r="C10191" s="2" t="inlineStr">
        <is>
          <t>코스닥</t>
        </is>
      </c>
      <c r="D10191" s="2" t="inlineStr">
        <is>
          <t>059090</t>
        </is>
      </c>
      <c r="E10191" s="3" t="inlineStr">
        <is>
          <t>교환가액의조정              (제15회차)</t>
        </is>
      </c>
      <c r="F10191" s="3" t="inlineStr">
        <is>
          <t>미코</t>
        </is>
      </c>
      <c r="G10191" s="2" t="inlineStr">
        <is>
          <t>20260609900487</t>
        </is>
      </c>
      <c r="H10191" s="8">
        <f>HYPERLINK("https://dart.fss.or.kr/dsaf001/main.do?rcpNo=20260609900487", "공시열람")</f>
        <v/>
      </c>
    </row>
    <row r="10192">
      <c r="A10192" s="2" t="inlineStr">
        <is>
          <t>2026-06-09 (정정: 2026-06-11)</t>
        </is>
      </c>
      <c r="B10192" s="3" t="inlineStr">
        <is>
          <t>이엘피</t>
        </is>
      </c>
      <c r="C10192" s="2" t="inlineStr">
        <is>
          <t>코스닥</t>
        </is>
      </c>
      <c r="D10192" s="2" t="inlineStr">
        <is>
          <t>063760</t>
        </is>
      </c>
      <c r="E10192" s="3" t="inlineStr">
        <is>
          <t>임원ㆍ주요주주특정증권등소유상황보고서 (정정: 20260611)</t>
        </is>
      </c>
      <c r="F10192" s="3" t="inlineStr">
        <is>
          <t>이재혁</t>
        </is>
      </c>
      <c r="G10192" s="2" t="inlineStr">
        <is>
          <t>20260611000233</t>
        </is>
      </c>
      <c r="H10192" s="8">
        <f>HYPERLINK("https://dart.fss.or.kr/dsaf001/main.do?rcpNo=20260611000233", "공시열람")</f>
        <v/>
      </c>
    </row>
    <row r="10193">
      <c r="A10193" s="2" t="inlineStr">
        <is>
          <t>2026-06-09</t>
        </is>
      </c>
      <c r="B10193" s="3" t="inlineStr">
        <is>
          <t>펄어비스</t>
        </is>
      </c>
      <c r="C10193" s="2" t="inlineStr">
        <is>
          <t>코스닥</t>
        </is>
      </c>
      <c r="D10193" s="2" t="inlineStr">
        <is>
          <t>263750</t>
        </is>
      </c>
      <c r="E10193" s="3" t="inlineStr">
        <is>
          <t xml:space="preserve">기업가치제고계획(자율공시)              </t>
        </is>
      </c>
      <c r="F10193" s="3" t="inlineStr">
        <is>
          <t>펄어비스</t>
        </is>
      </c>
      <c r="G10193" s="2" t="inlineStr">
        <is>
          <t>20260609900498</t>
        </is>
      </c>
      <c r="H10193" s="8">
        <f>HYPERLINK("https://dart.fss.or.kr/dsaf001/main.do?rcpNo=20260609900498", "공시열람")</f>
        <v/>
      </c>
    </row>
    <row r="10194">
      <c r="A10194" s="2" t="inlineStr">
        <is>
          <t>2026-06-09</t>
        </is>
      </c>
      <c r="B10194" s="3" t="inlineStr">
        <is>
          <t>LS증권</t>
        </is>
      </c>
      <c r="C10194" s="2" t="inlineStr">
        <is>
          <t>코스닥</t>
        </is>
      </c>
      <c r="D10194" s="2" t="inlineStr">
        <is>
          <t>078020</t>
        </is>
      </c>
      <c r="E10194" s="3" t="inlineStr">
        <is>
          <t xml:space="preserve">단기차입금증가결정              </t>
        </is>
      </c>
      <c r="F10194" s="3" t="inlineStr">
        <is>
          <t>LS증권</t>
        </is>
      </c>
      <c r="G10194" s="2" t="inlineStr">
        <is>
          <t>20260609900510</t>
        </is>
      </c>
      <c r="H10194" s="8">
        <f>HYPERLINK("https://dart.fss.or.kr/dsaf001/main.do?rcpNo=20260609900510", "공시열람")</f>
        <v/>
      </c>
    </row>
    <row r="10195">
      <c r="A10195" s="2" t="inlineStr">
        <is>
          <t>2026-06-09</t>
        </is>
      </c>
      <c r="B10195" s="3" t="inlineStr">
        <is>
          <t>알로이스</t>
        </is>
      </c>
      <c r="C10195" s="2" t="inlineStr">
        <is>
          <t>코스닥</t>
        </is>
      </c>
      <c r="D10195" s="2" t="inlineStr">
        <is>
          <t>297570</t>
        </is>
      </c>
      <c r="E10195" s="3" t="inlineStr">
        <is>
          <t>신탁계약에의한취득상황보고서</t>
        </is>
      </c>
      <c r="F10195" s="3" t="inlineStr">
        <is>
          <t>알로이스</t>
        </is>
      </c>
      <c r="G10195" s="2" t="inlineStr">
        <is>
          <t>20260609000342</t>
        </is>
      </c>
      <c r="H10195" s="8">
        <f>HYPERLINK("https://dart.fss.or.kr/dsaf001/main.do?rcpNo=20260609000342", "공시열람")</f>
        <v/>
      </c>
    </row>
    <row r="10196">
      <c r="A10196" s="2" t="inlineStr">
        <is>
          <t>2026-06-09</t>
        </is>
      </c>
      <c r="B10196" s="3" t="inlineStr">
        <is>
          <t>교촌에프앤비</t>
        </is>
      </c>
      <c r="C10196" s="2" t="inlineStr">
        <is>
          <t>코스피</t>
        </is>
      </c>
      <c r="D10196" s="2" t="inlineStr">
        <is>
          <t>339770</t>
        </is>
      </c>
      <c r="E10196" s="3" t="inlineStr">
        <is>
          <t xml:space="preserve">기업설명회(IR)개최(안내공시)              </t>
        </is>
      </c>
      <c r="F10196" s="3" t="inlineStr">
        <is>
          <t>교촌에프앤비</t>
        </is>
      </c>
      <c r="G10196" s="2" t="inlineStr">
        <is>
          <t>20260609800506</t>
        </is>
      </c>
      <c r="H10196" s="8">
        <f>HYPERLINK("https://dart.fss.or.kr/dsaf001/main.do?rcpNo=20260609800506", "공시열람")</f>
        <v/>
      </c>
    </row>
    <row r="10197">
      <c r="A10197" s="2" t="inlineStr">
        <is>
          <t>2026-06-09</t>
        </is>
      </c>
      <c r="B10197" s="3" t="inlineStr">
        <is>
          <t>유니크</t>
        </is>
      </c>
      <c r="C10197" s="2" t="inlineStr">
        <is>
          <t>코스닥</t>
        </is>
      </c>
      <c r="D10197" s="2" t="inlineStr">
        <is>
          <t>011320</t>
        </is>
      </c>
      <c r="E10197" s="3" t="inlineStr">
        <is>
          <t>임원ㆍ주요주주특정증권등소유상황보고서</t>
        </is>
      </c>
      <c r="F10197" s="3" t="inlineStr">
        <is>
          <t>안영구</t>
        </is>
      </c>
      <c r="G10197" s="2" t="inlineStr">
        <is>
          <t>20260609000339</t>
        </is>
      </c>
      <c r="H10197" s="8">
        <f>HYPERLINK("https://dart.fss.or.kr/dsaf001/main.do?rcpNo=20260609000339", "공시열람")</f>
        <v/>
      </c>
    </row>
    <row r="10198">
      <c r="A10198" s="2" t="inlineStr">
        <is>
          <t>2026-06-09</t>
        </is>
      </c>
      <c r="B10198" s="3" t="inlineStr">
        <is>
          <t>디지캡</t>
        </is>
      </c>
      <c r="C10198" s="2" t="inlineStr">
        <is>
          <t>코스닥</t>
        </is>
      </c>
      <c r="D10198" s="2" t="inlineStr">
        <is>
          <t>197140</t>
        </is>
      </c>
      <c r="E10198" s="3" t="inlineStr">
        <is>
          <t xml:space="preserve">증권발행결과(자율공시)              </t>
        </is>
      </c>
      <c r="F10198" s="3" t="inlineStr">
        <is>
          <t>디지캡</t>
        </is>
      </c>
      <c r="G10198" s="2" t="inlineStr">
        <is>
          <t>20260609900497</t>
        </is>
      </c>
      <c r="H10198" s="8">
        <f>HYPERLINK("https://dart.fss.or.kr/dsaf001/main.do?rcpNo=20260609900497", "공시열람")</f>
        <v/>
      </c>
    </row>
    <row r="10199">
      <c r="A10199" s="2" t="inlineStr">
        <is>
          <t>2026-06-09</t>
        </is>
      </c>
      <c r="B10199" s="3" t="inlineStr">
        <is>
          <t>디에스엠</t>
        </is>
      </c>
      <c r="C10199" s="2" t="inlineStr">
        <is>
          <t>코스닥</t>
        </is>
      </c>
      <c r="D10199" s="2" t="inlineStr">
        <is>
          <t>104040</t>
        </is>
      </c>
      <c r="E10199" s="3" t="inlineStr">
        <is>
          <t>임원ㆍ주요주주특정증권등소유상황보고서</t>
        </is>
      </c>
      <c r="F10199" s="3" t="inlineStr">
        <is>
          <t>김용길</t>
        </is>
      </c>
      <c r="G10199" s="2" t="inlineStr">
        <is>
          <t>20260609000336</t>
        </is>
      </c>
      <c r="H10199" s="8">
        <f>HYPERLINK("https://dart.fss.or.kr/dsaf001/main.do?rcpNo=20260609000336", "공시열람")</f>
        <v/>
      </c>
    </row>
    <row r="10200">
      <c r="A10200" s="2" t="inlineStr">
        <is>
          <t>2026-06-09</t>
        </is>
      </c>
      <c r="B10200" s="3" t="inlineStr">
        <is>
          <t>디에스엠</t>
        </is>
      </c>
      <c r="C10200" s="2" t="inlineStr">
        <is>
          <t>코스닥</t>
        </is>
      </c>
      <c r="D10200" s="2" t="inlineStr">
        <is>
          <t>104040</t>
        </is>
      </c>
      <c r="E10200" s="3" t="inlineStr">
        <is>
          <t>임원ㆍ주요주주특정증권등소유상황보고서</t>
        </is>
      </c>
      <c r="F10200" s="3" t="inlineStr">
        <is>
          <t>김나영</t>
        </is>
      </c>
      <c r="G10200" s="2" t="inlineStr">
        <is>
          <t>20260609000331</t>
        </is>
      </c>
      <c r="H10200" s="8">
        <f>HYPERLINK("https://dart.fss.or.kr/dsaf001/main.do?rcpNo=20260609000331", "공시열람")</f>
        <v/>
      </c>
    </row>
    <row r="10201">
      <c r="A10201" s="2" t="inlineStr">
        <is>
          <t>2026-06-09</t>
        </is>
      </c>
      <c r="B10201" s="3" t="inlineStr">
        <is>
          <t>제이스로보틱스</t>
        </is>
      </c>
      <c r="C10201" s="2" t="inlineStr">
        <is>
          <t>코스닥</t>
        </is>
      </c>
      <c r="D10201" s="2" t="inlineStr">
        <is>
          <t>090470</t>
        </is>
      </c>
      <c r="E10201" s="3" t="inlineStr">
        <is>
          <t>주요사항보고서(자기주식처분결정)</t>
        </is>
      </c>
      <c r="F10201" s="3" t="inlineStr">
        <is>
          <t>제이스로보틱스</t>
        </is>
      </c>
      <c r="G10201" s="2" t="inlineStr">
        <is>
          <t>20260609000245</t>
        </is>
      </c>
      <c r="H10201" s="8">
        <f>HYPERLINK("https://dart.fss.or.kr/dsaf001/main.do?rcpNo=20260609000245", "공시열람")</f>
        <v/>
      </c>
    </row>
    <row r="10202">
      <c r="A10202" s="2" t="inlineStr">
        <is>
          <t>2026-06-09</t>
        </is>
      </c>
      <c r="B10202" s="3" t="inlineStr">
        <is>
          <t>우진비앤지</t>
        </is>
      </c>
      <c r="C10202" s="2" t="inlineStr">
        <is>
          <t>코스닥</t>
        </is>
      </c>
      <c r="D10202" s="2" t="inlineStr">
        <is>
          <t>018620</t>
        </is>
      </c>
      <c r="E10202" s="3" t="inlineStr">
        <is>
          <t>임원ㆍ주요주주특정증권등소유상황보고서</t>
        </is>
      </c>
      <c r="F10202" s="3" t="inlineStr">
        <is>
          <t>강석진</t>
        </is>
      </c>
      <c r="G10202" s="2" t="inlineStr">
        <is>
          <t>20260609000327</t>
        </is>
      </c>
      <c r="H10202" s="8">
        <f>HYPERLINK("https://dart.fss.or.kr/dsaf001/main.do?rcpNo=20260609000327", "공시열람")</f>
        <v/>
      </c>
    </row>
    <row r="10203">
      <c r="A10203" s="2" t="inlineStr">
        <is>
          <t>2026-06-09</t>
        </is>
      </c>
      <c r="B10203" s="3" t="inlineStr">
        <is>
          <t>미래에셋증권</t>
        </is>
      </c>
      <c r="C10203" s="2" t="inlineStr">
        <is>
          <t>코스피</t>
        </is>
      </c>
      <c r="D10203" s="2" t="inlineStr">
        <is>
          <t>006800</t>
        </is>
      </c>
      <c r="E10203" s="3" t="inlineStr">
        <is>
          <t>투자설명서(일괄신고)</t>
        </is>
      </c>
      <c r="F10203" s="3" t="inlineStr">
        <is>
          <t>미래에셋증권</t>
        </is>
      </c>
      <c r="G10203" s="2" t="inlineStr">
        <is>
          <t>20260609000325</t>
        </is>
      </c>
      <c r="H10203" s="8">
        <f>HYPERLINK("https://dart.fss.or.kr/dsaf001/main.do?rcpNo=20260609000325", "공시열람")</f>
        <v/>
      </c>
    </row>
    <row r="10204">
      <c r="A10204" s="2" t="inlineStr">
        <is>
          <t>2026-06-09</t>
        </is>
      </c>
      <c r="B10204" s="3" t="inlineStr">
        <is>
          <t>미래에셋증권</t>
        </is>
      </c>
      <c r="C10204" s="2" t="inlineStr">
        <is>
          <t>코스피</t>
        </is>
      </c>
      <c r="D10204" s="2" t="inlineStr">
        <is>
          <t>006800</t>
        </is>
      </c>
      <c r="E10204" s="3" t="inlineStr">
        <is>
          <t>투자설명서(일괄신고)</t>
        </is>
      </c>
      <c r="F10204" s="3" t="inlineStr">
        <is>
          <t>미래에셋증권</t>
        </is>
      </c>
      <c r="G10204" s="2" t="inlineStr">
        <is>
          <t>20260609000319</t>
        </is>
      </c>
      <c r="H10204" s="8">
        <f>HYPERLINK("https://dart.fss.or.kr/dsaf001/main.do?rcpNo=20260609000319", "공시열람")</f>
        <v/>
      </c>
    </row>
    <row r="10205">
      <c r="A10205" s="2" t="inlineStr">
        <is>
          <t>2026-06-09</t>
        </is>
      </c>
      <c r="B10205" s="3" t="inlineStr">
        <is>
          <t>유엔젤</t>
        </is>
      </c>
      <c r="C10205" s="2" t="inlineStr">
        <is>
          <t>코스피</t>
        </is>
      </c>
      <c r="D10205" s="2" t="inlineStr">
        <is>
          <t>072130</t>
        </is>
      </c>
      <c r="E10205" s="3" t="inlineStr">
        <is>
          <t xml:space="preserve">소송등의판결ㆍ결정              </t>
        </is>
      </c>
      <c r="F10205" s="3" t="inlineStr">
        <is>
          <t>유엔젤</t>
        </is>
      </c>
      <c r="G10205" s="2" t="inlineStr">
        <is>
          <t>20260609800471</t>
        </is>
      </c>
      <c r="H10205" s="8">
        <f>HYPERLINK("https://dart.fss.or.kr/dsaf001/main.do?rcpNo=20260609800471", "공시열람")</f>
        <v/>
      </c>
    </row>
    <row r="10206">
      <c r="A10206" s="2" t="inlineStr">
        <is>
          <t>2026-06-09</t>
        </is>
      </c>
      <c r="B10206" s="3" t="inlineStr">
        <is>
          <t>인터엠</t>
        </is>
      </c>
      <c r="C10206" s="2" t="inlineStr">
        <is>
          <t>코스닥</t>
        </is>
      </c>
      <c r="D10206" s="2" t="inlineStr">
        <is>
          <t>017250</t>
        </is>
      </c>
      <c r="E10206" s="3" t="inlineStr">
        <is>
          <t>임원ㆍ주요주주특정증권등소유상황보고서</t>
        </is>
      </c>
      <c r="F10206" s="3" t="inlineStr">
        <is>
          <t>정혜영</t>
        </is>
      </c>
      <c r="G10206" s="2" t="inlineStr">
        <is>
          <t>20260609000315</t>
        </is>
      </c>
      <c r="H10206" s="8">
        <f>HYPERLINK("https://dart.fss.or.kr/dsaf001/main.do?rcpNo=20260609000315", "공시열람")</f>
        <v/>
      </c>
    </row>
    <row r="10207">
      <c r="A10207" s="2" t="inlineStr">
        <is>
          <t>2026-06-09</t>
        </is>
      </c>
      <c r="B10207" s="3" t="inlineStr">
        <is>
          <t>큐리오시스</t>
        </is>
      </c>
      <c r="C10207" s="2" t="inlineStr">
        <is>
          <t>코스닥</t>
        </is>
      </c>
      <c r="D10207" s="2" t="inlineStr">
        <is>
          <t>494120</t>
        </is>
      </c>
      <c r="E10207" s="3" t="inlineStr">
        <is>
          <t>임원ㆍ주요주주특정증권등소유상황보고서</t>
        </is>
      </c>
      <c r="F10207" s="3" t="inlineStr">
        <is>
          <t>백동엽</t>
        </is>
      </c>
      <c r="G10207" s="2" t="inlineStr">
        <is>
          <t>20260609000314</t>
        </is>
      </c>
      <c r="H10207" s="8">
        <f>HYPERLINK("https://dart.fss.or.kr/dsaf001/main.do?rcpNo=20260609000314", "공시열람")</f>
        <v/>
      </c>
    </row>
    <row r="10208">
      <c r="A10208" s="2" t="inlineStr">
        <is>
          <t>2026-06-09</t>
        </is>
      </c>
      <c r="B10208" s="3" t="inlineStr">
        <is>
          <t>유안타증권</t>
        </is>
      </c>
      <c r="C10208" s="2" t="inlineStr">
        <is>
          <t>코스피</t>
        </is>
      </c>
      <c r="D10208" s="2" t="inlineStr">
        <is>
          <t>003470</t>
        </is>
      </c>
      <c r="E10208" s="3" t="inlineStr">
        <is>
          <t>투자설명서(일괄신고)</t>
        </is>
      </c>
      <c r="F10208" s="3" t="inlineStr">
        <is>
          <t>유안타증권</t>
        </is>
      </c>
      <c r="G10208" s="2" t="inlineStr">
        <is>
          <t>20260609000312</t>
        </is>
      </c>
      <c r="H10208" s="8">
        <f>HYPERLINK("https://dart.fss.or.kr/dsaf001/main.do?rcpNo=20260609000312", "공시열람")</f>
        <v/>
      </c>
    </row>
    <row r="10209">
      <c r="A10209" s="2" t="inlineStr">
        <is>
          <t>2026-06-09</t>
        </is>
      </c>
      <c r="B10209" s="3" t="inlineStr">
        <is>
          <t>이지스밸류플러스리츠</t>
        </is>
      </c>
      <c r="C10209" s="2" t="inlineStr">
        <is>
          <t>코스피</t>
        </is>
      </c>
      <c r="D10209" s="2" t="inlineStr">
        <is>
          <t>334890</t>
        </is>
      </c>
      <c r="E10209" s="3" t="inlineStr">
        <is>
          <t>임원ㆍ주요주주특정증권등소유상황보고서</t>
        </is>
      </c>
      <c r="F10209" s="3" t="inlineStr">
        <is>
          <t>코람코주택도시기금위탁관리부동산투자회사</t>
        </is>
      </c>
      <c r="G10209" s="2" t="inlineStr">
        <is>
          <t>20260609000308</t>
        </is>
      </c>
      <c r="H10209" s="8">
        <f>HYPERLINK("https://dart.fss.or.kr/dsaf001/main.do?rcpNo=20260609000308", "공시열람")</f>
        <v/>
      </c>
    </row>
    <row r="10210">
      <c r="A10210" s="2" t="inlineStr">
        <is>
          <t>2026-06-09</t>
        </is>
      </c>
      <c r="B10210" s="3" t="inlineStr">
        <is>
          <t>유진증권</t>
        </is>
      </c>
      <c r="C10210" s="2" t="inlineStr">
        <is>
          <t>코스피</t>
        </is>
      </c>
      <c r="D10210" s="2" t="inlineStr">
        <is>
          <t>001200</t>
        </is>
      </c>
      <c r="E10210" s="3" t="inlineStr">
        <is>
          <t>투자설명서(일괄신고)</t>
        </is>
      </c>
      <c r="F10210" s="3" t="inlineStr">
        <is>
          <t>유진증권</t>
        </is>
      </c>
      <c r="G10210" s="2" t="inlineStr">
        <is>
          <t>20260609000306</t>
        </is>
      </c>
      <c r="H10210" s="8">
        <f>HYPERLINK("https://dart.fss.or.kr/dsaf001/main.do?rcpNo=20260609000306", "공시열람")</f>
        <v/>
      </c>
    </row>
    <row r="10211">
      <c r="A10211" s="2" t="inlineStr">
        <is>
          <t>2026-06-09</t>
        </is>
      </c>
      <c r="B10211" s="3" t="inlineStr">
        <is>
          <t>유안타증권</t>
        </is>
      </c>
      <c r="C10211" s="2" t="inlineStr">
        <is>
          <t>코스피</t>
        </is>
      </c>
      <c r="D10211" s="2" t="inlineStr">
        <is>
          <t>003470</t>
        </is>
      </c>
      <c r="E10211" s="3" t="inlineStr">
        <is>
          <t>일괄신고추가서류(기타파생결합사채)</t>
        </is>
      </c>
      <c r="F10211" s="3" t="inlineStr">
        <is>
          <t>유안타증권</t>
        </is>
      </c>
      <c r="G10211" s="2" t="inlineStr">
        <is>
          <t>20260609000305</t>
        </is>
      </c>
      <c r="H10211" s="8">
        <f>HYPERLINK("https://dart.fss.or.kr/dsaf001/main.do?rcpNo=20260609000305", "공시열람")</f>
        <v/>
      </c>
    </row>
    <row r="10212">
      <c r="A10212" s="2" t="inlineStr">
        <is>
          <t>2026-06-09</t>
        </is>
      </c>
      <c r="B10212" s="3" t="inlineStr">
        <is>
          <t>미래에셋증권</t>
        </is>
      </c>
      <c r="C10212" s="2" t="inlineStr">
        <is>
          <t>코스피</t>
        </is>
      </c>
      <c r="D10212" s="2" t="inlineStr">
        <is>
          <t>006800</t>
        </is>
      </c>
      <c r="E10212" s="3" t="inlineStr">
        <is>
          <t>투자설명서(일괄신고)</t>
        </is>
      </c>
      <c r="F10212" s="3" t="inlineStr">
        <is>
          <t>미래에셋증권</t>
        </is>
      </c>
      <c r="G10212" s="2" t="inlineStr">
        <is>
          <t>20260609000303</t>
        </is>
      </c>
      <c r="H10212" s="8">
        <f>HYPERLINK("https://dart.fss.or.kr/dsaf001/main.do?rcpNo=20260609000303", "공시열람")</f>
        <v/>
      </c>
    </row>
    <row r="10213">
      <c r="A10213" s="2" t="inlineStr">
        <is>
          <t>2026-06-09</t>
        </is>
      </c>
      <c r="B10213" s="3" t="inlineStr">
        <is>
          <t>유안타증권</t>
        </is>
      </c>
      <c r="C10213" s="2" t="inlineStr">
        <is>
          <t>코스피</t>
        </is>
      </c>
      <c r="D10213" s="2" t="inlineStr">
        <is>
          <t>003470</t>
        </is>
      </c>
      <c r="E10213" s="3" t="inlineStr">
        <is>
          <t>투자설명서(일괄신고)</t>
        </is>
      </c>
      <c r="F10213" s="3" t="inlineStr">
        <is>
          <t>유안타증권</t>
        </is>
      </c>
      <c r="G10213" s="2" t="inlineStr">
        <is>
          <t>20260609000302</t>
        </is>
      </c>
      <c r="H10213" s="8">
        <f>HYPERLINK("https://dart.fss.or.kr/dsaf001/main.do?rcpNo=20260609000302", "공시열람")</f>
        <v/>
      </c>
    </row>
    <row r="10214">
      <c r="A10214" s="2" t="inlineStr">
        <is>
          <t>2026-06-09</t>
        </is>
      </c>
      <c r="B10214" s="3" t="inlineStr">
        <is>
          <t>한화투자증권</t>
        </is>
      </c>
      <c r="C10214" s="2" t="inlineStr">
        <is>
          <t>코스피</t>
        </is>
      </c>
      <c r="D10214" s="2" t="inlineStr">
        <is>
          <t>003530</t>
        </is>
      </c>
      <c r="E10214" s="3" t="inlineStr">
        <is>
          <t>투자설명서(일괄신고)</t>
        </is>
      </c>
      <c r="F10214" s="3" t="inlineStr">
        <is>
          <t>한화투자증권</t>
        </is>
      </c>
      <c r="G10214" s="2" t="inlineStr">
        <is>
          <t>20260609000299</t>
        </is>
      </c>
      <c r="H10214" s="8">
        <f>HYPERLINK("https://dart.fss.or.kr/dsaf001/main.do?rcpNo=20260609000299", "공시열람")</f>
        <v/>
      </c>
    </row>
    <row r="10215">
      <c r="A10215" s="2" t="inlineStr">
        <is>
          <t>2026-06-09</t>
        </is>
      </c>
      <c r="B10215" s="3" t="inlineStr">
        <is>
          <t>디에스엠</t>
        </is>
      </c>
      <c r="C10215" s="2" t="inlineStr">
        <is>
          <t>코스닥</t>
        </is>
      </c>
      <c r="D10215" s="2" t="inlineStr">
        <is>
          <t>104040</t>
        </is>
      </c>
      <c r="E10215" s="3" t="inlineStr">
        <is>
          <t>임원ㆍ주요주주특정증권등소유상황보고서</t>
        </is>
      </c>
      <c r="F10215" s="3" t="inlineStr">
        <is>
          <t>김종석</t>
        </is>
      </c>
      <c r="G10215" s="2" t="inlineStr">
        <is>
          <t>20260609000298</t>
        </is>
      </c>
      <c r="H10215" s="8">
        <f>HYPERLINK("https://dart.fss.or.kr/dsaf001/main.do?rcpNo=20260609000298", "공시열람")</f>
        <v/>
      </c>
    </row>
    <row r="10216">
      <c r="A10216" s="2" t="inlineStr">
        <is>
          <t>2026-06-09</t>
        </is>
      </c>
      <c r="B10216" s="3" t="inlineStr">
        <is>
          <t>미래에셋증권</t>
        </is>
      </c>
      <c r="C10216" s="2" t="inlineStr">
        <is>
          <t>코스피</t>
        </is>
      </c>
      <c r="D10216" s="2" t="inlineStr">
        <is>
          <t>006800</t>
        </is>
      </c>
      <c r="E10216" s="3" t="inlineStr">
        <is>
          <t>일괄신고추가서류(파생결합증권-주가연계증권)</t>
        </is>
      </c>
      <c r="F10216" s="3" t="inlineStr">
        <is>
          <t>미래에셋증권</t>
        </is>
      </c>
      <c r="G10216" s="2" t="inlineStr">
        <is>
          <t>20260609000294</t>
        </is>
      </c>
      <c r="H10216" s="8">
        <f>HYPERLINK("https://dart.fss.or.kr/dsaf001/main.do?rcpNo=20260609000294", "공시열람")</f>
        <v/>
      </c>
    </row>
    <row r="10217">
      <c r="A10217" s="2" t="inlineStr">
        <is>
          <t>2026-06-09</t>
        </is>
      </c>
      <c r="B10217" s="3" t="inlineStr">
        <is>
          <t>우진비앤지</t>
        </is>
      </c>
      <c r="C10217" s="2" t="inlineStr">
        <is>
          <t>코스닥</t>
        </is>
      </c>
      <c r="D10217" s="2" t="inlineStr">
        <is>
          <t>018620</t>
        </is>
      </c>
      <c r="E10217" s="3" t="inlineStr">
        <is>
          <t>임원ㆍ주요주주특정증권등소유상황보고서</t>
        </is>
      </c>
      <c r="F10217" s="3" t="inlineStr">
        <is>
          <t>강재구</t>
        </is>
      </c>
      <c r="G10217" s="2" t="inlineStr">
        <is>
          <t>20260609000293</t>
        </is>
      </c>
      <c r="H10217" s="8">
        <f>HYPERLINK("https://dart.fss.or.kr/dsaf001/main.do?rcpNo=20260609000293", "공시열람")</f>
        <v/>
      </c>
    </row>
    <row r="10218">
      <c r="A10218" s="2" t="inlineStr">
        <is>
          <t>2026-06-09</t>
        </is>
      </c>
      <c r="B10218" s="3" t="inlineStr">
        <is>
          <t>미래에셋증권</t>
        </is>
      </c>
      <c r="C10218" s="2" t="inlineStr">
        <is>
          <t>코스피</t>
        </is>
      </c>
      <c r="D10218" s="2" t="inlineStr">
        <is>
          <t>006800</t>
        </is>
      </c>
      <c r="E10218" s="3" t="inlineStr">
        <is>
          <t>일괄신고추가서류(파생결합사채-주가연계파생결합사채)</t>
        </is>
      </c>
      <c r="F10218" s="3" t="inlineStr">
        <is>
          <t>미래에셋증권</t>
        </is>
      </c>
      <c r="G10218" s="2" t="inlineStr">
        <is>
          <t>20260609000292</t>
        </is>
      </c>
      <c r="H10218" s="8">
        <f>HYPERLINK("https://dart.fss.or.kr/dsaf001/main.do?rcpNo=20260609000292", "공시열람")</f>
        <v/>
      </c>
    </row>
    <row r="10219">
      <c r="A10219" s="2" t="inlineStr">
        <is>
          <t>2026-06-09</t>
        </is>
      </c>
      <c r="B10219" s="3" t="inlineStr">
        <is>
          <t>아이로보틱스</t>
        </is>
      </c>
      <c r="C10219" s="2" t="inlineStr">
        <is>
          <t>코스닥</t>
        </is>
      </c>
      <c r="D10219" s="2" t="inlineStr">
        <is>
          <t>066430</t>
        </is>
      </c>
      <c r="E10219" s="3" t="inlineStr">
        <is>
          <t xml:space="preserve">조회공시요구(현저한시황변동)에대한답변(미확정)              </t>
        </is>
      </c>
      <c r="F10219" s="3" t="inlineStr">
        <is>
          <t>아이로보틱스</t>
        </is>
      </c>
      <c r="G10219" s="2" t="inlineStr">
        <is>
          <t>20260609900431</t>
        </is>
      </c>
      <c r="H10219" s="8">
        <f>HYPERLINK("https://dart.fss.or.kr/dsaf001/main.do?rcpNo=20260609900431", "공시열람")</f>
        <v/>
      </c>
    </row>
    <row r="10220">
      <c r="A10220" s="2" t="inlineStr">
        <is>
          <t>2026-06-09</t>
        </is>
      </c>
      <c r="B10220" s="3" t="inlineStr">
        <is>
          <t>유안타증권</t>
        </is>
      </c>
      <c r="C10220" s="2" t="inlineStr">
        <is>
          <t>코스피</t>
        </is>
      </c>
      <c r="D10220" s="2" t="inlineStr">
        <is>
          <t>003470</t>
        </is>
      </c>
      <c r="E10220" s="3" t="inlineStr">
        <is>
          <t>일괄신고추가서류(파생결합증권-주가연계증권)</t>
        </is>
      </c>
      <c r="F10220" s="3" t="inlineStr">
        <is>
          <t>유안타증권</t>
        </is>
      </c>
      <c r="G10220" s="2" t="inlineStr">
        <is>
          <t>20260609000286</t>
        </is>
      </c>
      <c r="H10220" s="8">
        <f>HYPERLINK("https://dart.fss.or.kr/dsaf001/main.do?rcpNo=20260609000286", "공시열람")</f>
        <v/>
      </c>
    </row>
    <row r="10221">
      <c r="A10221" s="2" t="inlineStr">
        <is>
          <t>2026-06-09</t>
        </is>
      </c>
      <c r="B10221" s="3" t="inlineStr">
        <is>
          <t>유안타증권</t>
        </is>
      </c>
      <c r="C10221" s="2" t="inlineStr">
        <is>
          <t>코스피</t>
        </is>
      </c>
      <c r="D10221" s="2" t="inlineStr">
        <is>
          <t>003470</t>
        </is>
      </c>
      <c r="E10221" s="3" t="inlineStr">
        <is>
          <t>투자설명서(일괄신고)</t>
        </is>
      </c>
      <c r="F10221" s="3" t="inlineStr">
        <is>
          <t>유안타증권</t>
        </is>
      </c>
      <c r="G10221" s="2" t="inlineStr">
        <is>
          <t>20260609000281</t>
        </is>
      </c>
      <c r="H10221" s="8">
        <f>HYPERLINK("https://dart.fss.or.kr/dsaf001/main.do?rcpNo=20260609000281", "공시열람")</f>
        <v/>
      </c>
    </row>
    <row r="10222">
      <c r="A10222" s="2" t="inlineStr">
        <is>
          <t>2026-06-09</t>
        </is>
      </c>
      <c r="B10222" s="3" t="inlineStr">
        <is>
          <t>한화투자증권</t>
        </is>
      </c>
      <c r="C10222" s="2" t="inlineStr">
        <is>
          <t>코스피</t>
        </is>
      </c>
      <c r="D10222" s="2" t="inlineStr">
        <is>
          <t>003530</t>
        </is>
      </c>
      <c r="E10222" s="3" t="inlineStr">
        <is>
          <t>일괄신고추가서류(파생결합사채-주가연계파생결합사채)</t>
        </is>
      </c>
      <c r="F10222" s="3" t="inlineStr">
        <is>
          <t>한화투자증권</t>
        </is>
      </c>
      <c r="G10222" s="2" t="inlineStr">
        <is>
          <t>20260609000280</t>
        </is>
      </c>
      <c r="H10222" s="8">
        <f>HYPERLINK("https://dart.fss.or.kr/dsaf001/main.do?rcpNo=20260609000280", "공시열람")</f>
        <v/>
      </c>
    </row>
    <row r="10223">
      <c r="A10223" s="2" t="inlineStr">
        <is>
          <t>2026-06-09</t>
        </is>
      </c>
      <c r="B10223" s="3" t="inlineStr">
        <is>
          <t>유안타증권</t>
        </is>
      </c>
      <c r="C10223" s="2" t="inlineStr">
        <is>
          <t>코스피</t>
        </is>
      </c>
      <c r="D10223" s="2" t="inlineStr">
        <is>
          <t>003470</t>
        </is>
      </c>
      <c r="E10223" s="3" t="inlineStr">
        <is>
          <t>일괄신고추가서류(기타파생결합사채)</t>
        </is>
      </c>
      <c r="F10223" s="3" t="inlineStr">
        <is>
          <t>유안타증권</t>
        </is>
      </c>
      <c r="G10223" s="2" t="inlineStr">
        <is>
          <t>20260609000279</t>
        </is>
      </c>
      <c r="H10223" s="8">
        <f>HYPERLINK("https://dart.fss.or.kr/dsaf001/main.do?rcpNo=20260609000279", "공시열람")</f>
        <v/>
      </c>
    </row>
    <row r="10224">
      <c r="A10224" s="2" t="inlineStr">
        <is>
          <t>2026-06-09</t>
        </is>
      </c>
      <c r="B10224" s="3" t="inlineStr">
        <is>
          <t>미래에셋증권</t>
        </is>
      </c>
      <c r="C10224" s="2" t="inlineStr">
        <is>
          <t>코스피</t>
        </is>
      </c>
      <c r="D10224" s="2" t="inlineStr">
        <is>
          <t>006800</t>
        </is>
      </c>
      <c r="E10224" s="3" t="inlineStr">
        <is>
          <t>일괄신고추가서류(파생결합증권-상장지수증권)</t>
        </is>
      </c>
      <c r="F10224" s="3" t="inlineStr">
        <is>
          <t>미래에셋증권</t>
        </is>
      </c>
      <c r="G10224" s="2" t="inlineStr">
        <is>
          <t>20260609000275</t>
        </is>
      </c>
      <c r="H10224" s="8">
        <f>HYPERLINK("https://dart.fss.or.kr/dsaf001/main.do?rcpNo=20260609000275", "공시열람")</f>
        <v/>
      </c>
    </row>
    <row r="10225">
      <c r="A10225" s="2" t="inlineStr">
        <is>
          <t>2026-06-09</t>
        </is>
      </c>
      <c r="B10225" s="3" t="inlineStr">
        <is>
          <t>유진증권</t>
        </is>
      </c>
      <c r="C10225" s="2" t="inlineStr">
        <is>
          <t>코스피</t>
        </is>
      </c>
      <c r="D10225" s="2" t="inlineStr">
        <is>
          <t>001200</t>
        </is>
      </c>
      <c r="E10225" s="3" t="inlineStr">
        <is>
          <t>일괄신고추가서류(파생결합증권-주가연계증권)</t>
        </is>
      </c>
      <c r="F10225" s="3" t="inlineStr">
        <is>
          <t>유진증권</t>
        </is>
      </c>
      <c r="G10225" s="2" t="inlineStr">
        <is>
          <t>20260609000272</t>
        </is>
      </c>
      <c r="H10225" s="8">
        <f>HYPERLINK("https://dart.fss.or.kr/dsaf001/main.do?rcpNo=20260609000272", "공시열람")</f>
        <v/>
      </c>
    </row>
    <row r="10226">
      <c r="A10226" s="2" t="inlineStr">
        <is>
          <t>2026-06-09</t>
        </is>
      </c>
      <c r="B10226" s="3" t="inlineStr">
        <is>
          <t>윙스풋</t>
        </is>
      </c>
      <c r="C10226" s="2" t="inlineStr">
        <is>
          <t>코스닥</t>
        </is>
      </c>
      <c r="D10226" s="2" t="inlineStr">
        <is>
          <t>335870</t>
        </is>
      </c>
      <c r="E10226" s="3" t="inlineStr">
        <is>
          <t>사외이사의선임ㆍ해임또는중도퇴임에관한신고</t>
        </is>
      </c>
      <c r="F10226" s="3" t="inlineStr">
        <is>
          <t>윙스풋</t>
        </is>
      </c>
      <c r="G10226" s="2" t="inlineStr">
        <is>
          <t>20260609000257</t>
        </is>
      </c>
      <c r="H10226" s="8">
        <f>HYPERLINK("https://dart.fss.or.kr/dsaf001/main.do?rcpNo=20260609000257", "공시열람")</f>
        <v/>
      </c>
    </row>
    <row r="10227">
      <c r="A10227" s="2" t="inlineStr">
        <is>
          <t>2026-06-09</t>
        </is>
      </c>
      <c r="B10227" s="3" t="inlineStr">
        <is>
          <t>케이탑리츠</t>
        </is>
      </c>
      <c r="C10227" s="2" t="inlineStr">
        <is>
          <t>코스피</t>
        </is>
      </c>
      <c r="D10227" s="2" t="inlineStr">
        <is>
          <t>145270</t>
        </is>
      </c>
      <c r="E10227" s="3" t="inlineStr">
        <is>
          <t xml:space="preserve">부동산투자회사자금차입              </t>
        </is>
      </c>
      <c r="F10227" s="3" t="inlineStr">
        <is>
          <t>케이탑리츠</t>
        </is>
      </c>
      <c r="G10227" s="2" t="inlineStr">
        <is>
          <t>20260609800414</t>
        </is>
      </c>
      <c r="H10227" s="8">
        <f>HYPERLINK("https://dart.fss.or.kr/dsaf001/main.do?rcpNo=20260609800414", "공시열람")</f>
        <v/>
      </c>
    </row>
    <row r="10228">
      <c r="A10228" s="2" t="inlineStr">
        <is>
          <t>2026-06-09</t>
        </is>
      </c>
      <c r="B10228" s="3" t="inlineStr">
        <is>
          <t>NH투자증권</t>
        </is>
      </c>
      <c r="C10228" s="2" t="inlineStr">
        <is>
          <t>코스피</t>
        </is>
      </c>
      <c r="D10228" s="2" t="inlineStr">
        <is>
          <t>005940</t>
        </is>
      </c>
      <c r="E10228" s="3" t="inlineStr">
        <is>
          <t>증권발행실적보고서</t>
        </is>
      </c>
      <c r="F10228" s="3" t="inlineStr">
        <is>
          <t>NH투자증권</t>
        </is>
      </c>
      <c r="G10228" s="2" t="inlineStr">
        <is>
          <t>20260609000246</t>
        </is>
      </c>
      <c r="H10228" s="8">
        <f>HYPERLINK("https://dart.fss.or.kr/dsaf001/main.do?rcpNo=20260609000246", "공시열람")</f>
        <v/>
      </c>
    </row>
    <row r="10229">
      <c r="A10229" s="2" t="inlineStr">
        <is>
          <t>2026-06-09</t>
        </is>
      </c>
      <c r="B10229" s="3" t="inlineStr">
        <is>
          <t>케이엔제이</t>
        </is>
      </c>
      <c r="C10229" s="2" t="inlineStr">
        <is>
          <t>코스닥</t>
        </is>
      </c>
      <c r="D10229" s="2" t="inlineStr">
        <is>
          <t>272110</t>
        </is>
      </c>
      <c r="E10229" s="3" t="inlineStr">
        <is>
          <t xml:space="preserve">기업설명회(IR)개최              </t>
        </is>
      </c>
      <c r="F10229" s="3" t="inlineStr">
        <is>
          <t>케이엔제이</t>
        </is>
      </c>
      <c r="G10229" s="2" t="inlineStr">
        <is>
          <t>20260609900416</t>
        </is>
      </c>
      <c r="H10229" s="8">
        <f>HYPERLINK("https://dart.fss.or.kr/dsaf001/main.do?rcpNo=20260609900416", "공시열람")</f>
        <v/>
      </c>
    </row>
    <row r="10230">
      <c r="A10230" s="2" t="inlineStr">
        <is>
          <t>2026-06-09</t>
        </is>
      </c>
      <c r="B10230" s="3" t="inlineStr">
        <is>
          <t>애드포러스</t>
        </is>
      </c>
      <c r="C10230" s="2" t="inlineStr">
        <is>
          <t>코스닥</t>
        </is>
      </c>
      <c r="D10230" s="2" t="inlineStr">
        <is>
          <t>397810</t>
        </is>
      </c>
      <c r="E10230" s="3" t="inlineStr">
        <is>
          <t>합병등종료보고서(자산양수도)</t>
        </is>
      </c>
      <c r="F10230" s="3" t="inlineStr">
        <is>
          <t>애드포러스</t>
        </is>
      </c>
      <c r="G10230" s="2" t="inlineStr">
        <is>
          <t>20260609000240</t>
        </is>
      </c>
      <c r="H10230" s="8">
        <f>HYPERLINK("https://dart.fss.or.kr/dsaf001/main.do?rcpNo=20260609000240", "공시열람")</f>
        <v/>
      </c>
    </row>
    <row r="10231">
      <c r="A10231" s="2" t="inlineStr">
        <is>
          <t>2026-06-09</t>
        </is>
      </c>
      <c r="B10231" s="3" t="inlineStr">
        <is>
          <t>파마리서치</t>
        </is>
      </c>
      <c r="C10231" s="2" t="inlineStr">
        <is>
          <t>코스닥</t>
        </is>
      </c>
      <c r="D10231" s="2" t="inlineStr">
        <is>
          <t>214450</t>
        </is>
      </c>
      <c r="E10231" s="3" t="inlineStr">
        <is>
          <t xml:space="preserve">기업설명회(IR)개최              </t>
        </is>
      </c>
      <c r="F10231" s="3" t="inlineStr">
        <is>
          <t>파마리서치</t>
        </is>
      </c>
      <c r="G10231" s="2" t="inlineStr">
        <is>
          <t>20260609900404</t>
        </is>
      </c>
      <c r="H10231" s="8">
        <f>HYPERLINK("https://dart.fss.or.kr/dsaf001/main.do?rcpNo=20260609900404", "공시열람")</f>
        <v/>
      </c>
    </row>
    <row r="10232">
      <c r="A10232" s="2" t="inlineStr">
        <is>
          <t>2026-06-09</t>
        </is>
      </c>
      <c r="B10232" s="3" t="inlineStr">
        <is>
          <t>경동제약</t>
        </is>
      </c>
      <c r="C10232" s="2" t="inlineStr">
        <is>
          <t>코스닥</t>
        </is>
      </c>
      <c r="D10232" s="2" t="inlineStr">
        <is>
          <t>011040</t>
        </is>
      </c>
      <c r="E10232" s="3" t="inlineStr">
        <is>
          <t>임원ㆍ주요주주특정증권등소유상황보고서</t>
        </is>
      </c>
      <c r="F10232" s="3" t="inlineStr">
        <is>
          <t>류덕희</t>
        </is>
      </c>
      <c r="G10232" s="2" t="inlineStr">
        <is>
          <t>20260609000236</t>
        </is>
      </c>
      <c r="H10232" s="8">
        <f>HYPERLINK("https://dart.fss.or.kr/dsaf001/main.do?rcpNo=20260609000236", "공시열람")</f>
        <v/>
      </c>
    </row>
    <row r="10233">
      <c r="A10233" s="2" t="inlineStr">
        <is>
          <t>2026-06-09</t>
        </is>
      </c>
      <c r="B10233" s="3" t="inlineStr">
        <is>
          <t>KC코트렐</t>
        </is>
      </c>
      <c r="C10233" s="2" t="inlineStr">
        <is>
          <t>코스피</t>
        </is>
      </c>
      <c r="D10233" s="2" t="inlineStr">
        <is>
          <t>119650</t>
        </is>
      </c>
      <c r="E10233" s="3" t="inlineStr">
        <is>
          <t xml:space="preserve">기타안내사항(안내공시)              </t>
        </is>
      </c>
      <c r="F10233" s="3" t="inlineStr">
        <is>
          <t>KC코트렐</t>
        </is>
      </c>
      <c r="G10233" s="2" t="inlineStr">
        <is>
          <t>20260609800399</t>
        </is>
      </c>
      <c r="H10233" s="8">
        <f>HYPERLINK("https://dart.fss.or.kr/dsaf001/main.do?rcpNo=20260609800399", "공시열람")</f>
        <v/>
      </c>
    </row>
    <row r="10234">
      <c r="A10234" s="2" t="inlineStr">
        <is>
          <t>2026-06-09</t>
        </is>
      </c>
      <c r="B10234" s="3" t="inlineStr">
        <is>
          <t>화성밸브</t>
        </is>
      </c>
      <c r="C10234" s="2" t="inlineStr">
        <is>
          <t>코스닥</t>
        </is>
      </c>
      <c r="D10234" s="2" t="inlineStr">
        <is>
          <t>039610</t>
        </is>
      </c>
      <c r="E10234" s="3" t="inlineStr">
        <is>
          <t>임원ㆍ주요주주특정증권등소유상황보고서</t>
        </is>
      </c>
      <c r="F10234" s="3" t="inlineStr">
        <is>
          <t>에이치에스테크</t>
        </is>
      </c>
      <c r="G10234" s="2" t="inlineStr">
        <is>
          <t>20260609000232</t>
        </is>
      </c>
      <c r="H10234" s="8">
        <f>HYPERLINK("https://dart.fss.or.kr/dsaf001/main.do?rcpNo=20260609000232", "공시열람")</f>
        <v/>
      </c>
    </row>
    <row r="10235">
      <c r="A10235" s="2" t="inlineStr">
        <is>
          <t>2026-06-09</t>
        </is>
      </c>
      <c r="B10235" s="3" t="inlineStr">
        <is>
          <t>미래에셋증권</t>
        </is>
      </c>
      <c r="C10235" s="2" t="inlineStr">
        <is>
          <t>코스피</t>
        </is>
      </c>
      <c r="D10235" s="2" t="inlineStr">
        <is>
          <t>006800</t>
        </is>
      </c>
      <c r="E10235" s="3" t="inlineStr">
        <is>
          <t>증권발행실적보고서</t>
        </is>
      </c>
      <c r="F10235" s="3" t="inlineStr">
        <is>
          <t>미래에셋증권</t>
        </is>
      </c>
      <c r="G10235" s="2" t="inlineStr">
        <is>
          <t>20260609000227</t>
        </is>
      </c>
      <c r="H10235" s="8">
        <f>HYPERLINK("https://dart.fss.or.kr/dsaf001/main.do?rcpNo=20260609000227", "공시열람")</f>
        <v/>
      </c>
    </row>
    <row r="10236">
      <c r="A10236" s="2" t="inlineStr">
        <is>
          <t>2026-06-09</t>
        </is>
      </c>
      <c r="B10236" s="3" t="inlineStr">
        <is>
          <t>미래에셋증권</t>
        </is>
      </c>
      <c r="C10236" s="2" t="inlineStr">
        <is>
          <t>코스피</t>
        </is>
      </c>
      <c r="D10236" s="2" t="inlineStr">
        <is>
          <t>006800</t>
        </is>
      </c>
      <c r="E10236" s="3" t="inlineStr">
        <is>
          <t>증권발행실적보고서</t>
        </is>
      </c>
      <c r="F10236" s="3" t="inlineStr">
        <is>
          <t>미래에셋증권</t>
        </is>
      </c>
      <c r="G10236" s="2" t="inlineStr">
        <is>
          <t>20260609000226</t>
        </is>
      </c>
      <c r="H10236" s="8">
        <f>HYPERLINK("https://dart.fss.or.kr/dsaf001/main.do?rcpNo=20260609000226", "공시열람")</f>
        <v/>
      </c>
    </row>
    <row r="10237">
      <c r="A10237" s="2" t="inlineStr">
        <is>
          <t>2026-06-09</t>
        </is>
      </c>
      <c r="B10237" s="3" t="inlineStr">
        <is>
          <t>씨씨에스</t>
        </is>
      </c>
      <c r="C10237" s="2" t="inlineStr">
        <is>
          <t>코스닥</t>
        </is>
      </c>
      <c r="D10237" s="2" t="inlineStr">
        <is>
          <t>066790</t>
        </is>
      </c>
      <c r="E10237" s="3" t="inlineStr">
        <is>
          <t>소송등의판결ㆍ결정              (대표이사 직무집행정지 가처분)</t>
        </is>
      </c>
      <c r="F10237" s="3" t="inlineStr">
        <is>
          <t>씨씨에스</t>
        </is>
      </c>
      <c r="G10237" s="2" t="inlineStr">
        <is>
          <t>20260609900383</t>
        </is>
      </c>
      <c r="H10237" s="8">
        <f>HYPERLINK("https://dart.fss.or.kr/dsaf001/main.do?rcpNo=20260609900383", "공시열람")</f>
        <v/>
      </c>
    </row>
    <row r="10238">
      <c r="A10238" s="2" t="inlineStr">
        <is>
          <t>2026-06-09</t>
        </is>
      </c>
      <c r="B10238" s="3" t="inlineStr">
        <is>
          <t>씨씨에스</t>
        </is>
      </c>
      <c r="C10238" s="2" t="inlineStr">
        <is>
          <t>코스닥</t>
        </is>
      </c>
      <c r="D10238" s="2" t="inlineStr">
        <is>
          <t>066790</t>
        </is>
      </c>
      <c r="E10238" s="3" t="inlineStr">
        <is>
          <t>소송등의판결ㆍ결정              (대표이사 직무집행정지 가처분)</t>
        </is>
      </c>
      <c r="F10238" s="3" t="inlineStr">
        <is>
          <t>씨씨에스</t>
        </is>
      </c>
      <c r="G10238" s="2" t="inlineStr">
        <is>
          <t>20260609900382</t>
        </is>
      </c>
      <c r="H10238" s="8">
        <f>HYPERLINK("https://dart.fss.or.kr/dsaf001/main.do?rcpNo=20260609900382", "공시열람")</f>
        <v/>
      </c>
    </row>
    <row r="10239">
      <c r="A10239" s="2" t="inlineStr">
        <is>
          <t>2026-06-09</t>
        </is>
      </c>
      <c r="B10239" s="3" t="inlineStr">
        <is>
          <t>씨씨에스</t>
        </is>
      </c>
      <c r="C10239" s="2" t="inlineStr">
        <is>
          <t>코스닥</t>
        </is>
      </c>
      <c r="D10239" s="2" t="inlineStr">
        <is>
          <t>066790</t>
        </is>
      </c>
      <c r="E10239" s="3" t="inlineStr">
        <is>
          <t>소송등의판결ㆍ결정              (이사회결의효력정지 등 가처분)</t>
        </is>
      </c>
      <c r="F10239" s="3" t="inlineStr">
        <is>
          <t>씨씨에스</t>
        </is>
      </c>
      <c r="G10239" s="2" t="inlineStr">
        <is>
          <t>20260609900377</t>
        </is>
      </c>
      <c r="H10239" s="8">
        <f>HYPERLINK("https://dart.fss.or.kr/dsaf001/main.do?rcpNo=20260609900377", "공시열람")</f>
        <v/>
      </c>
    </row>
    <row r="10240">
      <c r="A10240" s="2" t="inlineStr">
        <is>
          <t>2026-06-09</t>
        </is>
      </c>
      <c r="B10240" s="3" t="inlineStr">
        <is>
          <t>디앤디파마텍</t>
        </is>
      </c>
      <c r="C10240" s="2" t="inlineStr">
        <is>
          <t>코스닥</t>
        </is>
      </c>
      <c r="D10240" s="2" t="inlineStr">
        <is>
          <t>347850</t>
        </is>
      </c>
      <c r="E10240" s="3" t="inlineStr">
        <is>
          <t>임원ㆍ주요주주특정증권등소유상황보고서</t>
        </is>
      </c>
      <c r="F10240" s="3" t="inlineStr">
        <is>
          <t>임성묵</t>
        </is>
      </c>
      <c r="G10240" s="2" t="inlineStr">
        <is>
          <t>20260609000223</t>
        </is>
      </c>
      <c r="H10240" s="8">
        <f>HYPERLINK("https://dart.fss.or.kr/dsaf001/main.do?rcpNo=20260609000223", "공시열람")</f>
        <v/>
      </c>
    </row>
    <row r="10241">
      <c r="A10241" s="2" t="inlineStr">
        <is>
          <t>2026-06-09</t>
        </is>
      </c>
      <c r="B10241" s="3" t="inlineStr">
        <is>
          <t>현대차증권</t>
        </is>
      </c>
      <c r="C10241" s="2" t="inlineStr">
        <is>
          <t>코스피</t>
        </is>
      </c>
      <c r="D10241" s="2" t="inlineStr">
        <is>
          <t>001500</t>
        </is>
      </c>
      <c r="E10241" s="3" t="inlineStr">
        <is>
          <t>투자설명서(일괄신고)</t>
        </is>
      </c>
      <c r="F10241" s="3" t="inlineStr">
        <is>
          <t>현대차증권</t>
        </is>
      </c>
      <c r="G10241" s="2" t="inlineStr">
        <is>
          <t>20260609000221</t>
        </is>
      </c>
      <c r="H10241" s="8">
        <f>HYPERLINK("https://dart.fss.or.kr/dsaf001/main.do?rcpNo=20260609000221", "공시열람")</f>
        <v/>
      </c>
    </row>
    <row r="10242">
      <c r="A10242" s="2" t="inlineStr">
        <is>
          <t>2026-06-09</t>
        </is>
      </c>
      <c r="B10242" s="3" t="inlineStr">
        <is>
          <t>디앤디파마텍</t>
        </is>
      </c>
      <c r="C10242" s="2" t="inlineStr">
        <is>
          <t>코스닥</t>
        </is>
      </c>
      <c r="D10242" s="2" t="inlineStr">
        <is>
          <t>347850</t>
        </is>
      </c>
      <c r="E10242" s="3" t="inlineStr">
        <is>
          <t>임원ㆍ주요주주특정증권등소유상황보고서</t>
        </is>
      </c>
      <c r="F10242" s="3" t="inlineStr">
        <is>
          <t>신재희</t>
        </is>
      </c>
      <c r="G10242" s="2" t="inlineStr">
        <is>
          <t>20260609000220</t>
        </is>
      </c>
      <c r="H10242" s="8">
        <f>HYPERLINK("https://dart.fss.or.kr/dsaf001/main.do?rcpNo=20260609000220", "공시열람")</f>
        <v/>
      </c>
    </row>
    <row r="10243">
      <c r="A10243" s="2" t="inlineStr">
        <is>
          <t>2026-06-09</t>
        </is>
      </c>
      <c r="B10243" s="3" t="inlineStr">
        <is>
          <t>신영증권</t>
        </is>
      </c>
      <c r="C10243" s="2" t="inlineStr">
        <is>
          <t>코스피</t>
        </is>
      </c>
      <c r="D10243" s="2" t="inlineStr">
        <is>
          <t>001720</t>
        </is>
      </c>
      <c r="E10243" s="3" t="inlineStr">
        <is>
          <t>증권발행실적보고서</t>
        </is>
      </c>
      <c r="F10243" s="3" t="inlineStr">
        <is>
          <t>신영증권</t>
        </is>
      </c>
      <c r="G10243" s="2" t="inlineStr">
        <is>
          <t>20260609000218</t>
        </is>
      </c>
      <c r="H10243" s="8">
        <f>HYPERLINK("https://dart.fss.or.kr/dsaf001/main.do?rcpNo=20260609000218", "공시열람")</f>
        <v/>
      </c>
    </row>
    <row r="10244">
      <c r="A10244" s="2" t="inlineStr">
        <is>
          <t>2026-06-09</t>
        </is>
      </c>
      <c r="B10244" s="3" t="inlineStr">
        <is>
          <t>선바이오</t>
        </is>
      </c>
      <c r="C10244" s="2" t="inlineStr">
        <is>
          <t>코스닥</t>
        </is>
      </c>
      <c r="D10244" s="2" t="inlineStr">
        <is>
          <t>067370</t>
        </is>
      </c>
      <c r="E10244" s="3" t="inlineStr">
        <is>
          <t>임원ㆍ주요주주특정증권등소유상황보고서</t>
        </is>
      </c>
      <c r="F10244" s="3" t="inlineStr">
        <is>
          <t>노광</t>
        </is>
      </c>
      <c r="G10244" s="2" t="inlineStr">
        <is>
          <t>20260609000216</t>
        </is>
      </c>
      <c r="H10244" s="8">
        <f>HYPERLINK("https://dart.fss.or.kr/dsaf001/main.do?rcpNo=20260609000216", "공시열람")</f>
        <v/>
      </c>
    </row>
    <row r="10245">
      <c r="A10245" s="2" t="inlineStr">
        <is>
          <t>2026-06-09</t>
        </is>
      </c>
      <c r="B10245" s="3" t="inlineStr">
        <is>
          <t>디앤디파마텍</t>
        </is>
      </c>
      <c r="C10245" s="2" t="inlineStr">
        <is>
          <t>코스닥</t>
        </is>
      </c>
      <c r="D10245" s="2" t="inlineStr">
        <is>
          <t>347850</t>
        </is>
      </c>
      <c r="E10245" s="3" t="inlineStr">
        <is>
          <t>임원ㆍ주요주주특정증권등소유상황보고서</t>
        </is>
      </c>
      <c r="F10245" s="3" t="inlineStr">
        <is>
          <t>박평아</t>
        </is>
      </c>
      <c r="G10245" s="2" t="inlineStr">
        <is>
          <t>20260609000215</t>
        </is>
      </c>
      <c r="H10245" s="8">
        <f>HYPERLINK("https://dart.fss.or.kr/dsaf001/main.do?rcpNo=20260609000215", "공시열람")</f>
        <v/>
      </c>
    </row>
    <row r="10246">
      <c r="A10246" s="2" t="inlineStr">
        <is>
          <t>2026-06-09</t>
        </is>
      </c>
      <c r="B10246" s="3" t="inlineStr">
        <is>
          <t>알로이스</t>
        </is>
      </c>
      <c r="C10246" s="2" t="inlineStr">
        <is>
          <t>코스닥</t>
        </is>
      </c>
      <c r="D10246" s="2" t="inlineStr">
        <is>
          <t>297570</t>
        </is>
      </c>
      <c r="E10246" s="3" t="inlineStr">
        <is>
          <t>임원ㆍ주요주주특정증권등소유상황보고서</t>
        </is>
      </c>
      <c r="F10246" s="3" t="inlineStr">
        <is>
          <t>미래산업</t>
        </is>
      </c>
      <c r="G10246" s="2" t="inlineStr">
        <is>
          <t>20260609000214</t>
        </is>
      </c>
      <c r="H10246" s="8">
        <f>HYPERLINK("https://dart.fss.or.kr/dsaf001/main.do?rcpNo=20260609000214", "공시열람")</f>
        <v/>
      </c>
    </row>
    <row r="10247">
      <c r="A10247" s="2" t="inlineStr">
        <is>
          <t>2026-06-09</t>
        </is>
      </c>
      <c r="B10247" s="3" t="inlineStr">
        <is>
          <t>미래에셋글로벌리츠</t>
        </is>
      </c>
      <c r="C10247" s="2" t="inlineStr">
        <is>
          <t>코스피</t>
        </is>
      </c>
      <c r="D10247" s="2" t="inlineStr">
        <is>
          <t>396690</t>
        </is>
      </c>
      <c r="E10247" s="3" t="inlineStr">
        <is>
          <t>의결권대리행사권유참고서류</t>
        </is>
      </c>
      <c r="F10247" s="3" t="inlineStr">
        <is>
          <t>미래에셋글로벌리츠</t>
        </is>
      </c>
      <c r="G10247" s="2" t="inlineStr">
        <is>
          <t>20260609000213</t>
        </is>
      </c>
      <c r="H10247" s="8">
        <f>HYPERLINK("https://dart.fss.or.kr/dsaf001/main.do?rcpNo=20260609000213", "공시열람")</f>
        <v/>
      </c>
    </row>
    <row r="10248">
      <c r="A10248" s="2" t="inlineStr">
        <is>
          <t>2026-06-09</t>
        </is>
      </c>
      <c r="B10248" s="3" t="inlineStr">
        <is>
          <t>현대차증권</t>
        </is>
      </c>
      <c r="C10248" s="2" t="inlineStr">
        <is>
          <t>코스피</t>
        </is>
      </c>
      <c r="D10248" s="2" t="inlineStr">
        <is>
          <t>001500</t>
        </is>
      </c>
      <c r="E10248" s="3" t="inlineStr">
        <is>
          <t>투자설명서(일괄신고)</t>
        </is>
      </c>
      <c r="F10248" s="3" t="inlineStr">
        <is>
          <t>현대차증권</t>
        </is>
      </c>
      <c r="G10248" s="2" t="inlineStr">
        <is>
          <t>20260609000205</t>
        </is>
      </c>
      <c r="H10248" s="8">
        <f>HYPERLINK("https://dart.fss.or.kr/dsaf001/main.do?rcpNo=20260609000205", "공시열람")</f>
        <v/>
      </c>
    </row>
    <row r="10249">
      <c r="A10249" s="2" t="inlineStr">
        <is>
          <t>2026-06-09</t>
        </is>
      </c>
      <c r="B10249" s="3" t="inlineStr">
        <is>
          <t>신영증권</t>
        </is>
      </c>
      <c r="C10249" s="2" t="inlineStr">
        <is>
          <t>코스피</t>
        </is>
      </c>
      <c r="D10249" s="2" t="inlineStr">
        <is>
          <t>001720</t>
        </is>
      </c>
      <c r="E10249" s="3" t="inlineStr">
        <is>
          <t>증권발행실적보고서</t>
        </is>
      </c>
      <c r="F10249" s="3" t="inlineStr">
        <is>
          <t>신영증권</t>
        </is>
      </c>
      <c r="G10249" s="2" t="inlineStr">
        <is>
          <t>20260609000202</t>
        </is>
      </c>
      <c r="H10249" s="8">
        <f>HYPERLINK("https://dart.fss.or.kr/dsaf001/main.do?rcpNo=20260609000202", "공시열람")</f>
        <v/>
      </c>
    </row>
    <row r="10250">
      <c r="A10250" s="2" t="inlineStr">
        <is>
          <t>2026-06-09</t>
        </is>
      </c>
      <c r="B10250" s="3" t="inlineStr">
        <is>
          <t>교보증권</t>
        </is>
      </c>
      <c r="C10250" s="2" t="inlineStr">
        <is>
          <t>코스피</t>
        </is>
      </c>
      <c r="D10250" s="2" t="inlineStr">
        <is>
          <t>030610</t>
        </is>
      </c>
      <c r="E10250" s="3" t="inlineStr">
        <is>
          <t>투자설명서(일괄신고)</t>
        </is>
      </c>
      <c r="F10250" s="3" t="inlineStr">
        <is>
          <t>교보증권</t>
        </is>
      </c>
      <c r="G10250" s="2" t="inlineStr">
        <is>
          <t>20260609000201</t>
        </is>
      </c>
      <c r="H10250" s="8">
        <f>HYPERLINK("https://dart.fss.or.kr/dsaf001/main.do?rcpNo=20260609000201", "공시열람")</f>
        <v/>
      </c>
    </row>
    <row r="10251">
      <c r="A10251" s="2" t="inlineStr">
        <is>
          <t>2026-06-09</t>
        </is>
      </c>
      <c r="B10251" s="3" t="inlineStr">
        <is>
          <t>크레버스</t>
        </is>
      </c>
      <c r="C10251" s="2" t="inlineStr">
        <is>
          <t>코스닥</t>
        </is>
      </c>
      <c r="D10251" s="2" t="inlineStr">
        <is>
          <t>096240</t>
        </is>
      </c>
      <c r="E10251" s="3" t="inlineStr">
        <is>
          <t xml:space="preserve">중간(분기)배당을위한주주명부폐쇄(기준일)결정              </t>
        </is>
      </c>
      <c r="F10251" s="3" t="inlineStr">
        <is>
          <t>크레버스</t>
        </is>
      </c>
      <c r="G10251" s="2" t="inlineStr">
        <is>
          <t>20260609900366</t>
        </is>
      </c>
      <c r="H10251" s="8">
        <f>HYPERLINK("https://dart.fss.or.kr/dsaf001/main.do?rcpNo=20260609900366", "공시열람")</f>
        <v/>
      </c>
    </row>
    <row r="10252">
      <c r="A10252" s="2" t="inlineStr">
        <is>
          <t>2026-06-09</t>
        </is>
      </c>
      <c r="B10252" s="3" t="inlineStr">
        <is>
          <t>교보증권</t>
        </is>
      </c>
      <c r="C10252" s="2" t="inlineStr">
        <is>
          <t>코스피</t>
        </is>
      </c>
      <c r="D10252" s="2" t="inlineStr">
        <is>
          <t>030610</t>
        </is>
      </c>
      <c r="E10252" s="3" t="inlineStr">
        <is>
          <t>일괄신고추가서류(파생결합사채-주가연계파생결합사채)</t>
        </is>
      </c>
      <c r="F10252" s="3" t="inlineStr">
        <is>
          <t>교보증권</t>
        </is>
      </c>
      <c r="G10252" s="2" t="inlineStr">
        <is>
          <t>20260609000196</t>
        </is>
      </c>
      <c r="H10252" s="8">
        <f>HYPERLINK("https://dart.fss.or.kr/dsaf001/main.do?rcpNo=20260609000196", "공시열람")</f>
        <v/>
      </c>
    </row>
    <row r="10253">
      <c r="A10253" s="2" t="inlineStr">
        <is>
          <t>2026-06-09</t>
        </is>
      </c>
      <c r="B10253" s="3" t="inlineStr">
        <is>
          <t>티엘엔지니어링</t>
        </is>
      </c>
      <c r="C10253" s="2" t="inlineStr">
        <is>
          <t>코넥스</t>
        </is>
      </c>
      <c r="D10253" s="2" t="inlineStr">
        <is>
          <t>413300</t>
        </is>
      </c>
      <c r="E10253" s="3" t="inlineStr">
        <is>
          <t xml:space="preserve">기업설명회(IR)개최              </t>
        </is>
      </c>
      <c r="F10253" s="3" t="inlineStr">
        <is>
          <t>티엘엔지니어링</t>
        </is>
      </c>
      <c r="G10253" s="2" t="inlineStr">
        <is>
          <t>20260609600344</t>
        </is>
      </c>
      <c r="H10253" s="8">
        <f>HYPERLINK("https://dart.fss.or.kr/dsaf001/main.do?rcpNo=20260609600344", "공시열람")</f>
        <v/>
      </c>
    </row>
    <row r="10254">
      <c r="A10254" s="2" t="inlineStr">
        <is>
          <t>2026-06-09</t>
        </is>
      </c>
      <c r="B10254" s="3" t="inlineStr">
        <is>
          <t>알체라</t>
        </is>
      </c>
      <c r="C10254" s="2" t="inlineStr">
        <is>
          <t>코스닥</t>
        </is>
      </c>
      <c r="D10254" s="2" t="inlineStr">
        <is>
          <t>347860</t>
        </is>
      </c>
      <c r="E10254" s="3" t="inlineStr">
        <is>
          <t>임원ㆍ주요주주특정증권등소유상황보고서</t>
        </is>
      </c>
      <c r="F10254" s="3" t="inlineStr">
        <is>
          <t>김용호</t>
        </is>
      </c>
      <c r="G10254" s="2" t="inlineStr">
        <is>
          <t>20260609000184</t>
        </is>
      </c>
      <c r="H10254" s="8">
        <f>HYPERLINK("https://dart.fss.or.kr/dsaf001/main.do?rcpNo=20260609000184", "공시열람")</f>
        <v/>
      </c>
    </row>
    <row r="10255">
      <c r="A10255" s="2" t="inlineStr">
        <is>
          <t>2026-06-09</t>
        </is>
      </c>
      <c r="B10255" s="3" t="inlineStr">
        <is>
          <t>현대차증권</t>
        </is>
      </c>
      <c r="C10255" s="2" t="inlineStr">
        <is>
          <t>코스피</t>
        </is>
      </c>
      <c r="D10255" s="2" t="inlineStr">
        <is>
          <t>001500</t>
        </is>
      </c>
      <c r="E10255" s="3" t="inlineStr">
        <is>
          <t>일괄신고추가서류(파생결합사채-주가연계파생결합사채)</t>
        </is>
      </c>
      <c r="F10255" s="3" t="inlineStr">
        <is>
          <t>현대차증권</t>
        </is>
      </c>
      <c r="G10255" s="2" t="inlineStr">
        <is>
          <t>20260609000177</t>
        </is>
      </c>
      <c r="H10255" s="8">
        <f>HYPERLINK("https://dart.fss.or.kr/dsaf001/main.do?rcpNo=20260609000177", "공시열람")</f>
        <v/>
      </c>
    </row>
    <row r="10256">
      <c r="A10256" s="2" t="inlineStr">
        <is>
          <t>2026-06-09</t>
        </is>
      </c>
      <c r="B10256" s="3" t="inlineStr">
        <is>
          <t>원바이오젠</t>
        </is>
      </c>
      <c r="C10256" s="2" t="inlineStr">
        <is>
          <t>코스닥</t>
        </is>
      </c>
      <c r="D10256" s="2" t="inlineStr">
        <is>
          <t>307280</t>
        </is>
      </c>
      <c r="E10256" s="3" t="inlineStr">
        <is>
          <t>신탁계약해지결과보고서</t>
        </is>
      </c>
      <c r="F10256" s="3" t="inlineStr">
        <is>
          <t>원바이오젠</t>
        </is>
      </c>
      <c r="G10256" s="2" t="inlineStr">
        <is>
          <t>20260609000171</t>
        </is>
      </c>
      <c r="H10256" s="8">
        <f>HYPERLINK("https://dart.fss.or.kr/dsaf001/main.do?rcpNo=20260609000171", "공시열람")</f>
        <v/>
      </c>
    </row>
    <row r="10257">
      <c r="A10257" s="2" t="inlineStr">
        <is>
          <t>2026-06-09</t>
        </is>
      </c>
      <c r="B10257" s="3" t="inlineStr">
        <is>
          <t>프롬바이오</t>
        </is>
      </c>
      <c r="C10257" s="2" t="inlineStr">
        <is>
          <t>코스닥</t>
        </is>
      </c>
      <c r="D10257" s="2" t="inlineStr">
        <is>
          <t>377220</t>
        </is>
      </c>
      <c r="E10257" s="3" t="inlineStr">
        <is>
          <t>임원ㆍ주요주주특정증권등소유상황보고서</t>
        </is>
      </c>
      <c r="F10257" s="3" t="inlineStr">
        <is>
          <t>심태진</t>
        </is>
      </c>
      <c r="G10257" s="2" t="inlineStr">
        <is>
          <t>20260609000170</t>
        </is>
      </c>
      <c r="H10257" s="8">
        <f>HYPERLINK("https://dart.fss.or.kr/dsaf001/main.do?rcpNo=20260609000170", "공시열람")</f>
        <v/>
      </c>
    </row>
    <row r="10258">
      <c r="A10258" s="2" t="inlineStr">
        <is>
          <t>2026-06-09</t>
        </is>
      </c>
      <c r="B10258" s="3" t="inlineStr">
        <is>
          <t>한미사이언스</t>
        </is>
      </c>
      <c r="C10258" s="2" t="inlineStr">
        <is>
          <t>코스피</t>
        </is>
      </c>
      <c r="D10258" s="2" t="inlineStr">
        <is>
          <t>008930</t>
        </is>
      </c>
      <c r="E10258" s="3" t="inlineStr">
        <is>
          <t>임원ㆍ주요주주특정증권등소유상황보고서</t>
        </is>
      </c>
      <c r="F10258" s="3" t="inlineStr">
        <is>
          <t>김재교</t>
        </is>
      </c>
      <c r="G10258" s="2" t="inlineStr">
        <is>
          <t>20260609000168</t>
        </is>
      </c>
      <c r="H10258" s="8">
        <f>HYPERLINK("https://dart.fss.or.kr/dsaf001/main.do?rcpNo=20260609000168", "공시열람")</f>
        <v/>
      </c>
    </row>
    <row r="10259">
      <c r="A10259" s="2" t="inlineStr">
        <is>
          <t>2026-06-09</t>
        </is>
      </c>
      <c r="B10259" s="3" t="inlineStr">
        <is>
          <t>이비테크</t>
        </is>
      </c>
      <c r="C10259" s="2" t="inlineStr">
        <is>
          <t>코넥스</t>
        </is>
      </c>
      <c r="D10259" s="2" t="inlineStr">
        <is>
          <t>208850</t>
        </is>
      </c>
      <c r="E10259" s="3" t="inlineStr">
        <is>
          <t xml:space="preserve">기업설명회(IR)개최              </t>
        </is>
      </c>
      <c r="F10259" s="3" t="inlineStr">
        <is>
          <t>이비테크</t>
        </is>
      </c>
      <c r="G10259" s="2" t="inlineStr">
        <is>
          <t>20260609600325</t>
        </is>
      </c>
      <c r="H10259" s="8">
        <f>HYPERLINK("https://dart.fss.or.kr/dsaf001/main.do?rcpNo=20260609600325", "공시열람")</f>
        <v/>
      </c>
    </row>
    <row r="10260">
      <c r="A10260" s="2" t="inlineStr">
        <is>
          <t>2026-06-09</t>
        </is>
      </c>
      <c r="B10260" s="3" t="inlineStr">
        <is>
          <t>제이아이테크</t>
        </is>
      </c>
      <c r="C10260" s="2" t="inlineStr">
        <is>
          <t>코스닥</t>
        </is>
      </c>
      <c r="D10260" s="2" t="inlineStr">
        <is>
          <t>417500</t>
        </is>
      </c>
      <c r="E10260" s="3" t="inlineStr">
        <is>
          <t>임원ㆍ주요주주특정증권등소유상황보고서</t>
        </is>
      </c>
      <c r="F10260" s="3" t="inlineStr">
        <is>
          <t>함석헌</t>
        </is>
      </c>
      <c r="G10260" s="2" t="inlineStr">
        <is>
          <t>20260609000157</t>
        </is>
      </c>
      <c r="H10260" s="8">
        <f>HYPERLINK("https://dart.fss.or.kr/dsaf001/main.do?rcpNo=20260609000157", "공시열람")</f>
        <v/>
      </c>
    </row>
    <row r="10261">
      <c r="A10261" s="2" t="inlineStr">
        <is>
          <t>2026-06-09</t>
        </is>
      </c>
      <c r="B10261" s="3" t="inlineStr">
        <is>
          <t>NH투자증권</t>
        </is>
      </c>
      <c r="C10261" s="2" t="inlineStr">
        <is>
          <t>코스피</t>
        </is>
      </c>
      <c r="D10261" s="2" t="inlineStr">
        <is>
          <t>005940</t>
        </is>
      </c>
      <c r="E10261" s="3" t="inlineStr">
        <is>
          <t>투자설명서(일괄신고)</t>
        </is>
      </c>
      <c r="F10261" s="3" t="inlineStr">
        <is>
          <t>NH투자증권</t>
        </is>
      </c>
      <c r="G10261" s="2" t="inlineStr">
        <is>
          <t>20260609000143</t>
        </is>
      </c>
      <c r="H10261" s="8">
        <f>HYPERLINK("https://dart.fss.or.kr/dsaf001/main.do?rcpNo=20260609000143", "공시열람")</f>
        <v/>
      </c>
    </row>
    <row r="10262">
      <c r="A10262" s="2" t="inlineStr">
        <is>
          <t>2026-06-09</t>
        </is>
      </c>
      <c r="B10262" s="3" t="inlineStr">
        <is>
          <t>메타랩스</t>
        </is>
      </c>
      <c r="C10262" s="2" t="inlineStr">
        <is>
          <t>코스피</t>
        </is>
      </c>
      <c r="D10262" s="2" t="inlineStr">
        <is>
          <t>090370</t>
        </is>
      </c>
      <c r="E10262" s="3" t="inlineStr">
        <is>
          <t xml:space="preserve">타법인주식및출자증권취득결정(자율공시)              </t>
        </is>
      </c>
      <c r="F10262" s="3" t="inlineStr">
        <is>
          <t>메타랩스</t>
        </is>
      </c>
      <c r="G10262" s="2" t="inlineStr">
        <is>
          <t>20260609800305</t>
        </is>
      </c>
      <c r="H10262" s="8">
        <f>HYPERLINK("https://dart.fss.or.kr/dsaf001/main.do?rcpNo=20260609800305", "공시열람")</f>
        <v/>
      </c>
    </row>
    <row r="10263">
      <c r="A10263" s="2" t="inlineStr">
        <is>
          <t>2026-06-09</t>
        </is>
      </c>
      <c r="B10263" s="3" t="inlineStr">
        <is>
          <t>한화에어로스페이스</t>
        </is>
      </c>
      <c r="C10263" s="2" t="inlineStr">
        <is>
          <t>코스피</t>
        </is>
      </c>
      <c r="D10263" s="2" t="inlineStr">
        <is>
          <t>012450</t>
        </is>
      </c>
      <c r="E10263" s="3" t="inlineStr">
        <is>
          <t>임원ㆍ주요주주특정증권등소유상황보고서</t>
        </is>
      </c>
      <c r="F10263" s="3" t="inlineStr">
        <is>
          <t>박장우</t>
        </is>
      </c>
      <c r="G10263" s="2" t="inlineStr">
        <is>
          <t>20260609000142</t>
        </is>
      </c>
      <c r="H10263" s="8">
        <f>HYPERLINK("https://dart.fss.or.kr/dsaf001/main.do?rcpNo=20260609000142", "공시열람")</f>
        <v/>
      </c>
    </row>
    <row r="10264">
      <c r="A10264" s="2" t="inlineStr">
        <is>
          <t>2026-06-09</t>
        </is>
      </c>
      <c r="B10264" s="3" t="inlineStr">
        <is>
          <t>엔젯</t>
        </is>
      </c>
      <c r="C10264" s="2" t="inlineStr">
        <is>
          <t>코스닥</t>
        </is>
      </c>
      <c r="D10264" s="2" t="inlineStr">
        <is>
          <t>419080</t>
        </is>
      </c>
      <c r="E10264" s="3" t="inlineStr">
        <is>
          <t>임원ㆍ주요주주특정증권등소유상황보고서</t>
        </is>
      </c>
      <c r="F10264" s="3" t="inlineStr">
        <is>
          <t>변도영</t>
        </is>
      </c>
      <c r="G10264" s="2" t="inlineStr">
        <is>
          <t>20260609000140</t>
        </is>
      </c>
      <c r="H10264" s="8">
        <f>HYPERLINK("https://dart.fss.or.kr/dsaf001/main.do?rcpNo=20260609000140", "공시열람")</f>
        <v/>
      </c>
    </row>
    <row r="10265">
      <c r="A10265" s="2" t="inlineStr">
        <is>
          <t>2026-06-09</t>
        </is>
      </c>
      <c r="B10265" s="3" t="inlineStr">
        <is>
          <t>나래나노텍</t>
        </is>
      </c>
      <c r="C10265" s="2" t="inlineStr">
        <is>
          <t>코스닥</t>
        </is>
      </c>
      <c r="D10265" s="2" t="inlineStr">
        <is>
          <t>137080</t>
        </is>
      </c>
      <c r="E10265" s="3" t="inlineStr">
        <is>
          <t>임원ㆍ주요주주특정증권등소유상황보고서</t>
        </is>
      </c>
      <c r="F10265" s="3" t="inlineStr">
        <is>
          <t>김추호</t>
        </is>
      </c>
      <c r="G10265" s="2" t="inlineStr">
        <is>
          <t>20260609000130</t>
        </is>
      </c>
      <c r="H10265" s="8">
        <f>HYPERLINK("https://dart.fss.or.kr/dsaf001/main.do?rcpNo=20260609000130", "공시열람")</f>
        <v/>
      </c>
    </row>
    <row r="10266">
      <c r="A10266" s="2" t="inlineStr">
        <is>
          <t>2026-06-09</t>
        </is>
      </c>
      <c r="B10266" s="3" t="inlineStr">
        <is>
          <t>NH투자증권</t>
        </is>
      </c>
      <c r="C10266" s="2" t="inlineStr">
        <is>
          <t>코스피</t>
        </is>
      </c>
      <c r="D10266" s="2" t="inlineStr">
        <is>
          <t>005940</t>
        </is>
      </c>
      <c r="E10266" s="3" t="inlineStr">
        <is>
          <t>일괄신고추가서류(파생결합사채-주가연계파생결합사채)</t>
        </is>
      </c>
      <c r="F10266" s="3" t="inlineStr">
        <is>
          <t>NH투자증권</t>
        </is>
      </c>
      <c r="G10266" s="2" t="inlineStr">
        <is>
          <t>20260609000123</t>
        </is>
      </c>
      <c r="H10266" s="8">
        <f>HYPERLINK("https://dart.fss.or.kr/dsaf001/main.do?rcpNo=20260609000123", "공시열람")</f>
        <v/>
      </c>
    </row>
    <row r="10267">
      <c r="A10267" s="2" t="inlineStr">
        <is>
          <t>2026-06-09</t>
        </is>
      </c>
      <c r="B10267" s="3" t="inlineStr">
        <is>
          <t>플레이디</t>
        </is>
      </c>
      <c r="C10267" s="2" t="inlineStr">
        <is>
          <t>코스닥</t>
        </is>
      </c>
      <c r="D10267" s="2" t="inlineStr">
        <is>
          <t>237820</t>
        </is>
      </c>
      <c r="E10267" s="3" t="inlineStr">
        <is>
          <t>임원ㆍ주요주주특정증권등소유상황보고서</t>
        </is>
      </c>
      <c r="F10267" s="3" t="inlineStr">
        <is>
          <t>조명진</t>
        </is>
      </c>
      <c r="G10267" s="2" t="inlineStr">
        <is>
          <t>20260609000121</t>
        </is>
      </c>
      <c r="H10267" s="8">
        <f>HYPERLINK("https://dart.fss.or.kr/dsaf001/main.do?rcpNo=20260609000121", "공시열람")</f>
        <v/>
      </c>
    </row>
    <row r="10268">
      <c r="A10268" s="2" t="inlineStr">
        <is>
          <t>2026-06-09</t>
        </is>
      </c>
      <c r="B10268" s="3" t="inlineStr">
        <is>
          <t>TS인베스트먼트</t>
        </is>
      </c>
      <c r="C10268" s="2" t="inlineStr">
        <is>
          <t>코스닥</t>
        </is>
      </c>
      <c r="D10268" s="2" t="inlineStr">
        <is>
          <t>246690</t>
        </is>
      </c>
      <c r="E10268" s="3" t="inlineStr">
        <is>
          <t xml:space="preserve">전환가액의조정              </t>
        </is>
      </c>
      <c r="F10268" s="3" t="inlineStr">
        <is>
          <t>TS인베스트먼트</t>
        </is>
      </c>
      <c r="G10268" s="2" t="inlineStr">
        <is>
          <t>20260609900288</t>
        </is>
      </c>
      <c r="H10268" s="8">
        <f>HYPERLINK("https://dart.fss.or.kr/dsaf001/main.do?rcpNo=20260609900288", "공시열람")</f>
        <v/>
      </c>
    </row>
    <row r="10269">
      <c r="A10269" s="2" t="inlineStr">
        <is>
          <t>2026-06-09</t>
        </is>
      </c>
      <c r="B10269" s="3" t="inlineStr">
        <is>
          <t>현대차증권</t>
        </is>
      </c>
      <c r="C10269" s="2" t="inlineStr">
        <is>
          <t>코스피</t>
        </is>
      </c>
      <c r="D10269" s="2" t="inlineStr">
        <is>
          <t>001500</t>
        </is>
      </c>
      <c r="E10269" s="3" t="inlineStr">
        <is>
          <t>일괄신고추가서류(파생결합사채-주가연계파생결합사채)</t>
        </is>
      </c>
      <c r="F10269" s="3" t="inlineStr">
        <is>
          <t>현대차증권</t>
        </is>
      </c>
      <c r="G10269" s="2" t="inlineStr">
        <is>
          <t>20260609000115</t>
        </is>
      </c>
      <c r="H10269" s="8">
        <f>HYPERLINK("https://dart.fss.or.kr/dsaf001/main.do?rcpNo=20260609000115", "공시열람")</f>
        <v/>
      </c>
    </row>
    <row r="10270">
      <c r="A10270" s="2" t="inlineStr">
        <is>
          <t>2026-06-09</t>
        </is>
      </c>
      <c r="B10270" s="3" t="inlineStr">
        <is>
          <t>강원랜드</t>
        </is>
      </c>
      <c r="C10270" s="2" t="inlineStr">
        <is>
          <t>코스피</t>
        </is>
      </c>
      <c r="D10270" s="2" t="inlineStr">
        <is>
          <t>035250</t>
        </is>
      </c>
      <c r="E10270" s="3" t="inlineStr">
        <is>
          <t>임원ㆍ주요주주특정증권등소유상황보고서</t>
        </is>
      </c>
      <c r="F10270" s="3" t="inlineStr">
        <is>
          <t>송주한</t>
        </is>
      </c>
      <c r="G10270" s="2" t="inlineStr">
        <is>
          <t>20260609000114</t>
        </is>
      </c>
      <c r="H10270" s="8">
        <f>HYPERLINK("https://dart.fss.or.kr/dsaf001/main.do?rcpNo=20260609000114", "공시열람")</f>
        <v/>
      </c>
    </row>
    <row r="10271">
      <c r="A10271" s="2" t="inlineStr">
        <is>
          <t>2026-06-09</t>
        </is>
      </c>
      <c r="B10271" s="3" t="inlineStr">
        <is>
          <t>만호제강</t>
        </is>
      </c>
      <c r="C10271" s="2" t="inlineStr">
        <is>
          <t>코스피</t>
        </is>
      </c>
      <c r="D10271" s="2" t="inlineStr">
        <is>
          <t>001080</t>
        </is>
      </c>
      <c r="E10271" s="3" t="inlineStr">
        <is>
          <t xml:space="preserve">타법인주식및출자증권취득결정              </t>
        </is>
      </c>
      <c r="F10271" s="3" t="inlineStr">
        <is>
          <t>만호제강</t>
        </is>
      </c>
      <c r="G10271" s="2" t="inlineStr">
        <is>
          <t>20260609800280</t>
        </is>
      </c>
      <c r="H10271" s="8">
        <f>HYPERLINK("https://dart.fss.or.kr/dsaf001/main.do?rcpNo=20260609800280", "공시열람")</f>
        <v/>
      </c>
    </row>
    <row r="10272">
      <c r="A10272" s="2" t="inlineStr">
        <is>
          <t>2026-06-09</t>
        </is>
      </c>
      <c r="B10272" s="3" t="inlineStr">
        <is>
          <t>엔비알모션</t>
        </is>
      </c>
      <c r="C10272" s="2" t="inlineStr">
        <is>
          <t>코스닥</t>
        </is>
      </c>
      <c r="D10272" s="2" t="inlineStr">
        <is>
          <t>0004V0</t>
        </is>
      </c>
      <c r="E10272" s="3" t="inlineStr">
        <is>
          <t>임원ㆍ주요주주특정증권등소유상황보고서</t>
        </is>
      </c>
      <c r="F10272" s="3" t="inlineStr">
        <is>
          <t>황학순</t>
        </is>
      </c>
      <c r="G10272" s="2" t="inlineStr">
        <is>
          <t>20260609000111</t>
        </is>
      </c>
      <c r="H10272" s="8">
        <f>HYPERLINK("https://dart.fss.or.kr/dsaf001/main.do?rcpNo=20260609000111", "공시열람")</f>
        <v/>
      </c>
    </row>
    <row r="10273">
      <c r="A10273" s="2" t="inlineStr">
        <is>
          <t>2026-06-09</t>
        </is>
      </c>
      <c r="B10273" s="3" t="inlineStr">
        <is>
          <t>에넥스</t>
        </is>
      </c>
      <c r="C10273" s="2" t="inlineStr">
        <is>
          <t>코스피</t>
        </is>
      </c>
      <c r="D10273" s="2" t="inlineStr">
        <is>
          <t>011090</t>
        </is>
      </c>
      <c r="E10273" s="3" t="inlineStr">
        <is>
          <t xml:space="preserve">타법인주식및출자증권취득결정(자율공시)              </t>
        </is>
      </c>
      <c r="F10273" s="3" t="inlineStr">
        <is>
          <t>에넥스</t>
        </is>
      </c>
      <c r="G10273" s="2" t="inlineStr">
        <is>
          <t>20260609800277</t>
        </is>
      </c>
      <c r="H10273" s="8">
        <f>HYPERLINK("https://dart.fss.or.kr/dsaf001/main.do?rcpNo=20260609800277", "공시열람")</f>
        <v/>
      </c>
    </row>
    <row r="10274">
      <c r="A10274" s="2" t="inlineStr">
        <is>
          <t>2026-06-09</t>
        </is>
      </c>
      <c r="B10274" s="3" t="inlineStr">
        <is>
          <t>기가비스</t>
        </is>
      </c>
      <c r="C10274" s="2" t="inlineStr">
        <is>
          <t>코스닥</t>
        </is>
      </c>
      <c r="D10274" s="2" t="inlineStr">
        <is>
          <t>420770</t>
        </is>
      </c>
      <c r="E10274" s="3" t="inlineStr">
        <is>
          <t>임원ㆍ주요주주특정증권등소유상황보고서</t>
        </is>
      </c>
      <c r="F10274" s="3" t="inlineStr">
        <is>
          <t>임홍규</t>
        </is>
      </c>
      <c r="G10274" s="2" t="inlineStr">
        <is>
          <t>20260609000109</t>
        </is>
      </c>
      <c r="H10274" s="8">
        <f>HYPERLINK("https://dart.fss.or.kr/dsaf001/main.do?rcpNo=20260609000109", "공시열람")</f>
        <v/>
      </c>
    </row>
    <row r="10275">
      <c r="A10275" s="2" t="inlineStr">
        <is>
          <t>2026-06-09</t>
        </is>
      </c>
      <c r="B10275" s="3" t="inlineStr">
        <is>
          <t>제이엠멀티</t>
        </is>
      </c>
      <c r="C10275" s="2" t="inlineStr">
        <is>
          <t>코넥스</t>
        </is>
      </c>
      <c r="D10275" s="2" t="inlineStr">
        <is>
          <t>254160</t>
        </is>
      </c>
      <c r="E10275" s="3" t="inlineStr">
        <is>
          <t xml:space="preserve">기업설명회(IR)개최              </t>
        </is>
      </c>
      <c r="F10275" s="3" t="inlineStr">
        <is>
          <t>제이엠멀티</t>
        </is>
      </c>
      <c r="G10275" s="2" t="inlineStr">
        <is>
          <t>20260609600269</t>
        </is>
      </c>
      <c r="H10275" s="8">
        <f>HYPERLINK("https://dart.fss.or.kr/dsaf001/main.do?rcpNo=20260609600269", "공시열람")</f>
        <v/>
      </c>
    </row>
    <row r="10276">
      <c r="A10276" s="2" t="inlineStr">
        <is>
          <t>2026-06-09</t>
        </is>
      </c>
      <c r="B10276" s="3" t="inlineStr">
        <is>
          <t>셀바이오휴먼텍</t>
        </is>
      </c>
      <c r="C10276" s="2" t="inlineStr">
        <is>
          <t>코스닥</t>
        </is>
      </c>
      <c r="D10276" s="2" t="inlineStr">
        <is>
          <t>318160</t>
        </is>
      </c>
      <c r="E10276" s="3" t="inlineStr">
        <is>
          <t>신탁계약해지결과보고서</t>
        </is>
      </c>
      <c r="F10276" s="3" t="inlineStr">
        <is>
          <t>셀바이오휴먼텍</t>
        </is>
      </c>
      <c r="G10276" s="2" t="inlineStr">
        <is>
          <t>20260609000096</t>
        </is>
      </c>
      <c r="H10276" s="8">
        <f>HYPERLINK("https://dart.fss.or.kr/dsaf001/main.do?rcpNo=20260609000096", "공시열람")</f>
        <v/>
      </c>
    </row>
    <row r="10277">
      <c r="A10277" s="2" t="inlineStr">
        <is>
          <t>2026-06-09</t>
        </is>
      </c>
      <c r="B10277" s="3" t="inlineStr">
        <is>
          <t>에스엔시스</t>
        </is>
      </c>
      <c r="C10277" s="2" t="inlineStr">
        <is>
          <t>코스닥</t>
        </is>
      </c>
      <c r="D10277" s="2" t="inlineStr">
        <is>
          <t>0008Z0</t>
        </is>
      </c>
      <c r="E10277" s="3" t="inlineStr">
        <is>
          <t>임원ㆍ주요주주특정증권등소유상황보고서</t>
        </is>
      </c>
      <c r="F10277" s="3" t="inlineStr">
        <is>
          <t>정수형</t>
        </is>
      </c>
      <c r="G10277" s="2" t="inlineStr">
        <is>
          <t>20260609000089</t>
        </is>
      </c>
      <c r="H10277" s="8">
        <f>HYPERLINK("https://dart.fss.or.kr/dsaf001/main.do?rcpNo=20260609000089", "공시열람")</f>
        <v/>
      </c>
    </row>
    <row r="10278">
      <c r="A10278" s="2" t="inlineStr">
        <is>
          <t>2026-06-09</t>
        </is>
      </c>
      <c r="B10278" s="3" t="inlineStr">
        <is>
          <t>다이나믹솔루션</t>
        </is>
      </c>
      <c r="C10278" s="2" t="inlineStr">
        <is>
          <t>코스닥</t>
        </is>
      </c>
      <c r="D10278" s="2" t="inlineStr">
        <is>
          <t>290660</t>
        </is>
      </c>
      <c r="E10278" s="3" t="inlineStr">
        <is>
          <t>임원ㆍ주요주주특정증권등소유상황보고서</t>
        </is>
      </c>
      <c r="F10278" s="3" t="inlineStr">
        <is>
          <t>백명훈</t>
        </is>
      </c>
      <c r="G10278" s="2" t="inlineStr">
        <is>
          <t>20260609000087</t>
        </is>
      </c>
      <c r="H10278" s="8">
        <f>HYPERLINK("https://dart.fss.or.kr/dsaf001/main.do?rcpNo=20260609000087", "공시열람")</f>
        <v/>
      </c>
    </row>
    <row r="10279">
      <c r="A10279" s="2" t="inlineStr">
        <is>
          <t>2026-06-09</t>
        </is>
      </c>
      <c r="B10279" s="3" t="inlineStr">
        <is>
          <t>교보증권</t>
        </is>
      </c>
      <c r="C10279" s="2" t="inlineStr">
        <is>
          <t>코스피</t>
        </is>
      </c>
      <c r="D10279" s="2" t="inlineStr">
        <is>
          <t>030610</t>
        </is>
      </c>
      <c r="E10279" s="3" t="inlineStr">
        <is>
          <t>투자설명서(일괄신고)</t>
        </is>
      </c>
      <c r="F10279" s="3" t="inlineStr">
        <is>
          <t>교보증권</t>
        </is>
      </c>
      <c r="G10279" s="2" t="inlineStr">
        <is>
          <t>20260609000083</t>
        </is>
      </c>
      <c r="H10279" s="8">
        <f>HYPERLINK("https://dart.fss.or.kr/dsaf001/main.do?rcpNo=20260609000083", "공시열람")</f>
        <v/>
      </c>
    </row>
    <row r="10280">
      <c r="A10280" s="2" t="inlineStr">
        <is>
          <t>2026-06-09</t>
        </is>
      </c>
      <c r="B10280" s="3" t="inlineStr">
        <is>
          <t>교보증권</t>
        </is>
      </c>
      <c r="C10280" s="2" t="inlineStr">
        <is>
          <t>코스피</t>
        </is>
      </c>
      <c r="D10280" s="2" t="inlineStr">
        <is>
          <t>030610</t>
        </is>
      </c>
      <c r="E10280" s="3" t="inlineStr">
        <is>
          <t>일괄신고추가서류(파생결합증권-주가연계증권)</t>
        </is>
      </c>
      <c r="F10280" s="3" t="inlineStr">
        <is>
          <t>교보증권</t>
        </is>
      </c>
      <c r="G10280" s="2" t="inlineStr">
        <is>
          <t>20260609000082</t>
        </is>
      </c>
      <c r="H10280" s="8">
        <f>HYPERLINK("https://dart.fss.or.kr/dsaf001/main.do?rcpNo=20260609000082", "공시열람")</f>
        <v/>
      </c>
    </row>
    <row r="10281">
      <c r="A10281" s="2" t="inlineStr">
        <is>
          <t>2026-06-09</t>
        </is>
      </c>
      <c r="B10281" s="3" t="inlineStr">
        <is>
          <t>코람코더원리츠</t>
        </is>
      </c>
      <c r="C10281" s="2" t="inlineStr">
        <is>
          <t>코스피</t>
        </is>
      </c>
      <c r="D10281" s="2" t="inlineStr">
        <is>
          <t>417310</t>
        </is>
      </c>
      <c r="E10281" s="3" t="inlineStr">
        <is>
          <t>[첨부정정]주요사항보고서(유형자산양도결정)</t>
        </is>
      </c>
      <c r="F10281" s="3" t="inlineStr">
        <is>
          <t>코람코더원리츠</t>
        </is>
      </c>
      <c r="G10281" s="2" t="inlineStr">
        <is>
          <t>20260609000067</t>
        </is>
      </c>
      <c r="H10281" s="8">
        <f>HYPERLINK("https://dart.fss.or.kr/dsaf001/main.do?rcpNo=20260609000067", "공시열람")</f>
        <v/>
      </c>
    </row>
    <row r="10282">
      <c r="A10282" s="2" t="inlineStr">
        <is>
          <t>2026-06-09</t>
        </is>
      </c>
      <c r="B10282" s="3" t="inlineStr">
        <is>
          <t>엠게임</t>
        </is>
      </c>
      <c r="C10282" s="2" t="inlineStr">
        <is>
          <t>코스닥</t>
        </is>
      </c>
      <c r="D10282" s="2" t="inlineStr">
        <is>
          <t>058630</t>
        </is>
      </c>
      <c r="E10282" s="3" t="inlineStr">
        <is>
          <t>임원ㆍ주요주주특정증권등소유상황보고서</t>
        </is>
      </c>
      <c r="F10282" s="3" t="inlineStr">
        <is>
          <t>홍등호</t>
        </is>
      </c>
      <c r="G10282" s="2" t="inlineStr">
        <is>
          <t>20260609000077</t>
        </is>
      </c>
      <c r="H10282" s="8">
        <f>HYPERLINK("https://dart.fss.or.kr/dsaf001/main.do?rcpNo=20260609000077", "공시열람")</f>
        <v/>
      </c>
    </row>
    <row r="10283">
      <c r="A10283" s="2" t="inlineStr">
        <is>
          <t>2026-06-09</t>
        </is>
      </c>
      <c r="B10283" s="3" t="inlineStr">
        <is>
          <t>펨트론</t>
        </is>
      </c>
      <c r="C10283" s="2" t="inlineStr">
        <is>
          <t>코스닥</t>
        </is>
      </c>
      <c r="D10283" s="2" t="inlineStr">
        <is>
          <t>168360</t>
        </is>
      </c>
      <c r="E10283" s="3" t="inlineStr">
        <is>
          <t xml:space="preserve">기업설명회(IR)개최              </t>
        </is>
      </c>
      <c r="F10283" s="3" t="inlineStr">
        <is>
          <t>펨트론</t>
        </is>
      </c>
      <c r="G10283" s="2" t="inlineStr">
        <is>
          <t>20260609900199</t>
        </is>
      </c>
      <c r="H10283" s="8">
        <f>HYPERLINK("https://dart.fss.or.kr/dsaf001/main.do?rcpNo=20260609900199", "공시열람")</f>
        <v/>
      </c>
    </row>
    <row r="10284">
      <c r="A10284" s="2" t="inlineStr">
        <is>
          <t>2026-06-09</t>
        </is>
      </c>
      <c r="B10284" s="3" t="inlineStr">
        <is>
          <t>삼양사</t>
        </is>
      </c>
      <c r="C10284" s="2" t="inlineStr">
        <is>
          <t>코스피</t>
        </is>
      </c>
      <c r="D10284" s="2" t="inlineStr">
        <is>
          <t>145990</t>
        </is>
      </c>
      <c r="E10284" s="3" t="inlineStr">
        <is>
          <t xml:space="preserve">공정거래자율준수프로그램운영현황(안내공시)              </t>
        </is>
      </c>
      <c r="F10284" s="3" t="inlineStr">
        <is>
          <t>삼양사</t>
        </is>
      </c>
      <c r="G10284" s="2" t="inlineStr">
        <is>
          <t>20260609800228</t>
        </is>
      </c>
      <c r="H10284" s="8">
        <f>HYPERLINK("https://dart.fss.or.kr/dsaf001/main.do?rcpNo=20260609800228", "공시열람")</f>
        <v/>
      </c>
    </row>
    <row r="10285">
      <c r="A10285" s="2" t="inlineStr">
        <is>
          <t>2026-06-09</t>
        </is>
      </c>
      <c r="B10285" s="3" t="inlineStr">
        <is>
          <t>솔트웨어</t>
        </is>
      </c>
      <c r="C10285" s="2" t="inlineStr">
        <is>
          <t>코스닥</t>
        </is>
      </c>
      <c r="D10285" s="2" t="inlineStr">
        <is>
          <t>328380</t>
        </is>
      </c>
      <c r="E10285" s="3" t="inlineStr">
        <is>
          <t>임원ㆍ주요주주특정증권등소유상황보고서</t>
        </is>
      </c>
      <c r="F10285" s="3" t="inlineStr">
        <is>
          <t>박재영</t>
        </is>
      </c>
      <c r="G10285" s="2" t="inlineStr">
        <is>
          <t>20260609000069</t>
        </is>
      </c>
      <c r="H10285" s="8">
        <f>HYPERLINK("https://dart.fss.or.kr/dsaf001/main.do?rcpNo=20260609000069", "공시열람")</f>
        <v/>
      </c>
    </row>
    <row r="10286">
      <c r="A10286" s="2" t="inlineStr">
        <is>
          <t>2026-06-09</t>
        </is>
      </c>
      <c r="B10286" s="3" t="inlineStr">
        <is>
          <t>아이센스</t>
        </is>
      </c>
      <c r="C10286" s="2" t="inlineStr">
        <is>
          <t>코스닥</t>
        </is>
      </c>
      <c r="D10286" s="2" t="inlineStr">
        <is>
          <t>099190</t>
        </is>
      </c>
      <c r="E10286" s="3" t="inlineStr">
        <is>
          <t>임원ㆍ주요주주특정증권등소유상황보고서</t>
        </is>
      </c>
      <c r="F10286" s="3" t="inlineStr">
        <is>
          <t>남학현</t>
        </is>
      </c>
      <c r="G10286" s="2" t="inlineStr">
        <is>
          <t>20260609000065</t>
        </is>
      </c>
      <c r="H10286" s="8">
        <f>HYPERLINK("https://dart.fss.or.kr/dsaf001/main.do?rcpNo=20260609000065", "공시열람")</f>
        <v/>
      </c>
    </row>
    <row r="10287">
      <c r="A10287" s="2" t="inlineStr">
        <is>
          <t>2026-06-09</t>
        </is>
      </c>
      <c r="B10287" s="3" t="inlineStr">
        <is>
          <t>동국홀딩스</t>
        </is>
      </c>
      <c r="C10287" s="2" t="inlineStr">
        <is>
          <t>코스피</t>
        </is>
      </c>
      <c r="D10287" s="2" t="inlineStr">
        <is>
          <t>001230</t>
        </is>
      </c>
      <c r="E10287" s="3" t="inlineStr">
        <is>
          <t>의결권대리행사권유참고서류</t>
        </is>
      </c>
      <c r="F10287" s="3" t="inlineStr">
        <is>
          <t>동국홀딩스</t>
        </is>
      </c>
      <c r="G10287" s="2" t="inlineStr">
        <is>
          <t>20260609000062</t>
        </is>
      </c>
      <c r="H10287" s="8">
        <f>HYPERLINK("https://dart.fss.or.kr/dsaf001/main.do?rcpNo=20260609000062", "공시열람")</f>
        <v/>
      </c>
    </row>
    <row r="10288">
      <c r="A10288" s="2" t="inlineStr">
        <is>
          <t>2026-06-09</t>
        </is>
      </c>
      <c r="B10288" s="3" t="inlineStr">
        <is>
          <t>대신밸런스제20호스팩</t>
        </is>
      </c>
      <c r="C10288" s="2" t="inlineStr">
        <is>
          <t>코스닥</t>
        </is>
      </c>
      <c r="D10288" s="2" t="inlineStr">
        <is>
          <t>0134X0</t>
        </is>
      </c>
      <c r="E10288" s="3" t="inlineStr">
        <is>
          <t>임원ㆍ주요주주특정증권등소유상황보고서</t>
        </is>
      </c>
      <c r="F10288" s="3" t="inlineStr">
        <is>
          <t>제이비우리캐피탈</t>
        </is>
      </c>
      <c r="G10288" s="2" t="inlineStr">
        <is>
          <t>20260609000061</t>
        </is>
      </c>
      <c r="H10288" s="8">
        <f>HYPERLINK("https://dart.fss.or.kr/dsaf001/main.do?rcpNo=20260609000061", "공시열람")</f>
        <v/>
      </c>
    </row>
    <row r="10289">
      <c r="A10289" s="2" t="inlineStr">
        <is>
          <t>2026-06-09</t>
        </is>
      </c>
      <c r="B10289" s="3" t="inlineStr">
        <is>
          <t>DB증권</t>
        </is>
      </c>
      <c r="C10289" s="2" t="inlineStr">
        <is>
          <t>코스피</t>
        </is>
      </c>
      <c r="D10289" s="2" t="inlineStr">
        <is>
          <t>016610</t>
        </is>
      </c>
      <c r="E10289" s="3" t="inlineStr">
        <is>
          <t>주요사항보고서(자본으로인정되는채무증권발행결정)</t>
        </is>
      </c>
      <c r="F10289" s="3" t="inlineStr">
        <is>
          <t>DB증권</t>
        </is>
      </c>
      <c r="G10289" s="2" t="inlineStr">
        <is>
          <t>20260609000059</t>
        </is>
      </c>
      <c r="H10289" s="8">
        <f>HYPERLINK("https://dart.fss.or.kr/dsaf001/main.do?rcpNo=20260609000059", "공시열람")</f>
        <v/>
      </c>
    </row>
    <row r="10290">
      <c r="A10290" s="2" t="inlineStr">
        <is>
          <t>2026-06-09</t>
        </is>
      </c>
      <c r="B10290" s="3" t="inlineStr">
        <is>
          <t>파미셀</t>
        </is>
      </c>
      <c r="C10290" s="2" t="inlineStr">
        <is>
          <t>코스피</t>
        </is>
      </c>
      <c r="D10290" s="2" t="inlineStr">
        <is>
          <t>005690</t>
        </is>
      </c>
      <c r="E10290" s="3" t="inlineStr">
        <is>
          <t xml:space="preserve">기업설명회(IR)개최(안내공시)              </t>
        </is>
      </c>
      <c r="F10290" s="3" t="inlineStr">
        <is>
          <t>파미셀</t>
        </is>
      </c>
      <c r="G10290" s="2" t="inlineStr">
        <is>
          <t>20260609800210</t>
        </is>
      </c>
      <c r="H10290" s="8">
        <f>HYPERLINK("https://dart.fss.or.kr/dsaf001/main.do?rcpNo=20260609800210", "공시열람")</f>
        <v/>
      </c>
    </row>
    <row r="10291">
      <c r="A10291" s="2" t="inlineStr">
        <is>
          <t>2026-06-09</t>
        </is>
      </c>
      <c r="B10291" s="3" t="inlineStr">
        <is>
          <t>레이</t>
        </is>
      </c>
      <c r="C10291" s="2" t="inlineStr">
        <is>
          <t>코스닥</t>
        </is>
      </c>
      <c r="D10291" s="2" t="inlineStr">
        <is>
          <t>228670</t>
        </is>
      </c>
      <c r="E10291" s="3" t="inlineStr">
        <is>
          <t>임원ㆍ주요주주특정증권등소유상황보고서</t>
        </is>
      </c>
      <c r="F10291" s="3" t="inlineStr">
        <is>
          <t>윤수빈</t>
        </is>
      </c>
      <c r="G10291" s="2" t="inlineStr">
        <is>
          <t>20260609000057</t>
        </is>
      </c>
      <c r="H10291" s="8">
        <f>HYPERLINK("https://dart.fss.or.kr/dsaf001/main.do?rcpNo=20260609000057", "공시열람")</f>
        <v/>
      </c>
    </row>
    <row r="10292">
      <c r="A10292" s="2" t="inlineStr">
        <is>
          <t>2026-06-09</t>
        </is>
      </c>
      <c r="B10292" s="3" t="inlineStr">
        <is>
          <t>케이엠</t>
        </is>
      </c>
      <c r="C10292" s="2" t="inlineStr">
        <is>
          <t>코스닥</t>
        </is>
      </c>
      <c r="D10292" s="2" t="inlineStr">
        <is>
          <t>083550</t>
        </is>
      </c>
      <c r="E10292" s="3" t="inlineStr">
        <is>
          <t>임원ㆍ주요주주특정증권등소유상황보고서</t>
        </is>
      </c>
      <c r="F10292" s="3" t="inlineStr">
        <is>
          <t>홍기준</t>
        </is>
      </c>
      <c r="G10292" s="2" t="inlineStr">
        <is>
          <t>20260609000052</t>
        </is>
      </c>
      <c r="H10292" s="8">
        <f>HYPERLINK("https://dart.fss.or.kr/dsaf001/main.do?rcpNo=20260609000052", "공시열람")</f>
        <v/>
      </c>
    </row>
    <row r="10293">
      <c r="A10293" s="2" t="inlineStr">
        <is>
          <t>2026-06-09</t>
        </is>
      </c>
      <c r="B10293" s="3" t="inlineStr">
        <is>
          <t>현대차증권</t>
        </is>
      </c>
      <c r="C10293" s="2" t="inlineStr">
        <is>
          <t>코스피</t>
        </is>
      </c>
      <c r="D10293" s="2" t="inlineStr">
        <is>
          <t>001500</t>
        </is>
      </c>
      <c r="E10293" s="3" t="inlineStr">
        <is>
          <t>증권발행실적보고서</t>
        </is>
      </c>
      <c r="F10293" s="3" t="inlineStr">
        <is>
          <t>현대차증권</t>
        </is>
      </c>
      <c r="G10293" s="2" t="inlineStr">
        <is>
          <t>20260609000042</t>
        </is>
      </c>
      <c r="H10293" s="8">
        <f>HYPERLINK("https://dart.fss.or.kr/dsaf001/main.do?rcpNo=20260609000042", "공시열람")</f>
        <v/>
      </c>
    </row>
    <row r="10294">
      <c r="A10294" s="2" t="inlineStr">
        <is>
          <t>2026-06-09</t>
        </is>
      </c>
      <c r="B10294" s="3" t="inlineStr">
        <is>
          <t>페스카로</t>
        </is>
      </c>
      <c r="C10294" s="2" t="inlineStr">
        <is>
          <t>코스닥</t>
        </is>
      </c>
      <c r="D10294" s="2" t="inlineStr">
        <is>
          <t>0015S0</t>
        </is>
      </c>
      <c r="E10294" s="3" t="inlineStr">
        <is>
          <t xml:space="preserve">기업설명회(IR)개최              </t>
        </is>
      </c>
      <c r="F10294" s="3" t="inlineStr">
        <is>
          <t>페스카로</t>
        </is>
      </c>
      <c r="G10294" s="2" t="inlineStr">
        <is>
          <t>20260609900181</t>
        </is>
      </c>
      <c r="H10294" s="8">
        <f>HYPERLINK("https://dart.fss.or.kr/dsaf001/main.do?rcpNo=20260609900181", "공시열람")</f>
        <v/>
      </c>
    </row>
    <row r="10295">
      <c r="A10295" s="2" t="inlineStr">
        <is>
          <t>2026-06-09</t>
        </is>
      </c>
      <c r="B10295" s="3" t="inlineStr">
        <is>
          <t>파두</t>
        </is>
      </c>
      <c r="C10295" s="2" t="inlineStr">
        <is>
          <t>코스닥</t>
        </is>
      </c>
      <c r="D10295" s="2" t="inlineStr">
        <is>
          <t>440110</t>
        </is>
      </c>
      <c r="E10295" s="3" t="inlineStr">
        <is>
          <t xml:space="preserve">기업설명회(IR)개최              </t>
        </is>
      </c>
      <c r="F10295" s="3" t="inlineStr">
        <is>
          <t>파두</t>
        </is>
      </c>
      <c r="G10295" s="2" t="inlineStr">
        <is>
          <t>20260609900166</t>
        </is>
      </c>
      <c r="H10295" s="8">
        <f>HYPERLINK("https://dart.fss.or.kr/dsaf001/main.do?rcpNo=20260609900166", "공시열람")</f>
        <v/>
      </c>
    </row>
    <row r="10296">
      <c r="A10296" s="2" t="inlineStr">
        <is>
          <t>2026-06-09</t>
        </is>
      </c>
      <c r="B10296" s="3" t="inlineStr">
        <is>
          <t>파두</t>
        </is>
      </c>
      <c r="C10296" s="2" t="inlineStr">
        <is>
          <t>코스닥</t>
        </is>
      </c>
      <c r="D10296" s="2" t="inlineStr">
        <is>
          <t>440110</t>
        </is>
      </c>
      <c r="E10296" s="3" t="inlineStr">
        <is>
          <t xml:space="preserve">기업설명회(IR)개최              </t>
        </is>
      </c>
      <c r="F10296" s="3" t="inlineStr">
        <is>
          <t>파두</t>
        </is>
      </c>
      <c r="G10296" s="2" t="inlineStr">
        <is>
          <t>20260609900165</t>
        </is>
      </c>
      <c r="H10296" s="8">
        <f>HYPERLINK("https://dart.fss.or.kr/dsaf001/main.do?rcpNo=20260609900165", "공시열람")</f>
        <v/>
      </c>
    </row>
    <row r="10297">
      <c r="A10297" s="2" t="inlineStr">
        <is>
          <t>2026-06-09</t>
        </is>
      </c>
      <c r="B10297" s="3" t="inlineStr">
        <is>
          <t>HS애드</t>
        </is>
      </c>
      <c r="C10297" s="2" t="inlineStr">
        <is>
          <t>코스피</t>
        </is>
      </c>
      <c r="D10297" s="2" t="inlineStr">
        <is>
          <t>035000</t>
        </is>
      </c>
      <c r="E10297" s="3" t="inlineStr">
        <is>
          <t>임원ㆍ주요주주특정증권등거래계획보고서</t>
        </is>
      </c>
      <c r="F10297" s="3" t="inlineStr">
        <is>
          <t>카벤디쉬스퀘어홀딩비.브이.</t>
        </is>
      </c>
      <c r="G10297" s="2" t="inlineStr">
        <is>
          <t>20260609000019</t>
        </is>
      </c>
      <c r="H10297" s="8">
        <f>HYPERLINK("https://dart.fss.or.kr/dsaf001/main.do?rcpNo=20260609000019", "공시열람")</f>
        <v/>
      </c>
    </row>
    <row r="10298">
      <c r="A10298" s="2" t="inlineStr">
        <is>
          <t>2026-06-09</t>
        </is>
      </c>
      <c r="B10298" s="3" t="inlineStr">
        <is>
          <t>모비데이즈</t>
        </is>
      </c>
      <c r="C10298" s="2" t="inlineStr">
        <is>
          <t>코스닥</t>
        </is>
      </c>
      <c r="D10298" s="2" t="inlineStr">
        <is>
          <t>363260</t>
        </is>
      </c>
      <c r="E10298" s="3" t="inlineStr">
        <is>
          <t>임원ㆍ주요주주특정증권등소유상황보고서</t>
        </is>
      </c>
      <c r="F10298" s="3" t="inlineStr">
        <is>
          <t>유범령</t>
        </is>
      </c>
      <c r="G10298" s="2" t="inlineStr">
        <is>
          <t>20260609000012</t>
        </is>
      </c>
      <c r="H10298" s="8">
        <f>HYPERLINK("https://dart.fss.or.kr/dsaf001/main.do?rcpNo=20260609000012", "공시열람")</f>
        <v/>
      </c>
    </row>
    <row r="10299">
      <c r="A10299" s="2" t="inlineStr">
        <is>
          <t>2026-06-09</t>
        </is>
      </c>
      <c r="B10299" s="3" t="inlineStr">
        <is>
          <t>DB손해보험</t>
        </is>
      </c>
      <c r="C10299" s="2" t="inlineStr">
        <is>
          <t>코스피</t>
        </is>
      </c>
      <c r="D10299" s="2" t="inlineStr">
        <is>
          <t>005830</t>
        </is>
      </c>
      <c r="E10299" s="3" t="inlineStr">
        <is>
          <t>투자설명서</t>
        </is>
      </c>
      <c r="F10299" s="3" t="inlineStr">
        <is>
          <t>DB손해보험</t>
        </is>
      </c>
      <c r="G10299" s="2" t="inlineStr">
        <is>
          <t>20260609000003</t>
        </is>
      </c>
      <c r="H10299" s="8">
        <f>HYPERLINK("https://dart.fss.or.kr/dsaf001/main.do?rcpNo=20260609000003", "공시열람")</f>
        <v/>
      </c>
    </row>
    <row r="10300">
      <c r="A10300" s="2" t="inlineStr">
        <is>
          <t>2026-06-09</t>
        </is>
      </c>
      <c r="B10300" s="3" t="inlineStr">
        <is>
          <t>큐로홀딩스</t>
        </is>
      </c>
      <c r="C10300" s="2" t="inlineStr">
        <is>
          <t>코스닥</t>
        </is>
      </c>
      <c r="D10300" s="2" t="inlineStr">
        <is>
          <t>051780</t>
        </is>
      </c>
      <c r="E10300" s="3" t="inlineStr">
        <is>
          <t>임원ㆍ주요주주특정증권등소유상황보고서</t>
        </is>
      </c>
      <c r="F10300" s="3" t="inlineStr">
        <is>
          <t>시너지 턴어라운드 28호 신기술사업투자조합</t>
        </is>
      </c>
      <c r="G10300" s="2" t="inlineStr">
        <is>
          <t>20260608000476</t>
        </is>
      </c>
      <c r="H10300" s="8">
        <f>HYPERLINK("https://dart.fss.or.kr/dsaf001/main.do?rcpNo=20260608000476", "공시열람")</f>
        <v/>
      </c>
    </row>
    <row r="10301">
      <c r="A10301" s="2" t="inlineStr">
        <is>
          <t>2026-06-09</t>
        </is>
      </c>
      <c r="B10301" s="3" t="inlineStr">
        <is>
          <t>큐로홀딩스</t>
        </is>
      </c>
      <c r="C10301" s="2" t="inlineStr">
        <is>
          <t>코스닥</t>
        </is>
      </c>
      <c r="D10301" s="2" t="inlineStr">
        <is>
          <t>051780</t>
        </is>
      </c>
      <c r="E10301" s="3" t="inlineStr">
        <is>
          <t>임원ㆍ주요주주특정증권등소유상황보고서</t>
        </is>
      </c>
      <c r="F10301" s="3" t="inlineStr">
        <is>
          <t>시너지 턴어라운드 28호 신기술사업투자조합</t>
        </is>
      </c>
      <c r="G10301" s="2" t="inlineStr">
        <is>
          <t>20260608000472</t>
        </is>
      </c>
      <c r="H10301" s="8">
        <f>HYPERLINK("https://dart.fss.or.kr/dsaf001/main.do?rcpNo=20260608000472", "공시열람")</f>
        <v/>
      </c>
    </row>
    <row r="10302">
      <c r="A10302" s="2" t="inlineStr">
        <is>
          <t>2026-06-10 (정정: 2026-06-24)</t>
        </is>
      </c>
      <c r="B10302" s="3" t="inlineStr">
        <is>
          <t>고려아연</t>
        </is>
      </c>
      <c r="C10302" s="2" t="inlineStr">
        <is>
          <t>코스피</t>
        </is>
      </c>
      <c r="D10302" s="2" t="inlineStr">
        <is>
          <t>010130</t>
        </is>
      </c>
      <c r="E10302" s="3" t="inlineStr">
        <is>
          <t>회계처리기준위반에따른임원의해임권고조치               (정정: 20260610) (정정: 20260618) (정정: 20260624)</t>
        </is>
      </c>
      <c r="F10302" s="3" t="inlineStr">
        <is>
          <t>고려아연</t>
        </is>
      </c>
      <c r="G10302" s="2" t="inlineStr">
        <is>
          <t>20260624800952</t>
        </is>
      </c>
      <c r="H10302" s="8">
        <f>HYPERLINK("https://dart.fss.or.kr/dsaf001/main.do?rcpNo=20260624800952", "공시열람")</f>
        <v/>
      </c>
    </row>
    <row r="10303">
      <c r="A10303" s="2" t="inlineStr">
        <is>
          <t>2026-06-10 (정정: 2026-06-24)</t>
        </is>
      </c>
      <c r="B10303" s="3" t="inlineStr">
        <is>
          <t>영풍</t>
        </is>
      </c>
      <c r="C10303" s="2" t="inlineStr">
        <is>
          <t>코스피</t>
        </is>
      </c>
      <c r="D10303" s="2" t="inlineStr">
        <is>
          <t>000670</t>
        </is>
      </c>
      <c r="E10303" s="3" t="inlineStr">
        <is>
          <t>회계처리기준위반에따른임원의해임권고조치               (정정: 20260624)</t>
        </is>
      </c>
      <c r="F10303" s="3" t="inlineStr">
        <is>
          <t>영풍</t>
        </is>
      </c>
      <c r="G10303" s="2" t="inlineStr">
        <is>
          <t>20260624800963</t>
        </is>
      </c>
      <c r="H10303" s="8">
        <f>HYPERLINK("https://dart.fss.or.kr/dsaf001/main.do?rcpNo=20260624800963", "공시열람")</f>
        <v/>
      </c>
    </row>
    <row r="10304">
      <c r="A10304" s="2" t="inlineStr">
        <is>
          <t>2026-06-10</t>
        </is>
      </c>
      <c r="B10304" s="3" t="inlineStr">
        <is>
          <t>대진첨단소재</t>
        </is>
      </c>
      <c r="C10304" s="2" t="inlineStr">
        <is>
          <t>코스닥</t>
        </is>
      </c>
      <c r="D10304" s="2" t="inlineStr">
        <is>
          <t>393970</t>
        </is>
      </c>
      <c r="E10304" s="3" t="inlineStr">
        <is>
          <t>주권매매거래정지기간변경              (상장폐지 사유 발생)</t>
        </is>
      </c>
      <c r="F10304" s="3" t="inlineStr">
        <is>
          <t>코스닥시장본부</t>
        </is>
      </c>
      <c r="G10304" s="2" t="inlineStr">
        <is>
          <t>20260610901026</t>
        </is>
      </c>
      <c r="H10304" s="8">
        <f>HYPERLINK("https://dart.fss.or.kr/dsaf001/main.do?rcpNo=20260610901026", "공시열람")</f>
        <v/>
      </c>
    </row>
    <row r="10305">
      <c r="A10305" s="2" t="inlineStr">
        <is>
          <t>2026-06-10 (정정: 2026-06-10)</t>
        </is>
      </c>
      <c r="B10305" s="3" t="inlineStr">
        <is>
          <t>대진첨단소재</t>
        </is>
      </c>
      <c r="C10305" s="2" t="inlineStr">
        <is>
          <t>코스닥</t>
        </is>
      </c>
      <c r="D10305" s="2" t="inlineStr">
        <is>
          <t>393970</t>
        </is>
      </c>
      <c r="E10305" s="3" t="inlineStr">
        <is>
          <t>기타시장안내              (기업심사위원회 개최 결과 안내) (정정: 20260610)</t>
        </is>
      </c>
      <c r="F10305" s="3" t="inlineStr">
        <is>
          <t>코스닥시장본부</t>
        </is>
      </c>
      <c r="G10305" s="2" t="inlineStr">
        <is>
          <t>20260610900180</t>
        </is>
      </c>
      <c r="H10305" s="8">
        <f>HYPERLINK("https://dart.fss.or.kr/dsaf001/main.do?rcpNo=20260610900180", "공시열람")</f>
        <v/>
      </c>
    </row>
    <row r="10306">
      <c r="A10306" s="2" t="inlineStr">
        <is>
          <t>2026-06-10 (정정: 2026-06-11)</t>
        </is>
      </c>
      <c r="B10306" s="3" t="inlineStr">
        <is>
          <t>버킷스튜디오</t>
        </is>
      </c>
      <c r="C10306" s="2" t="inlineStr">
        <is>
          <t>코스닥</t>
        </is>
      </c>
      <c r="D10306" s="2" t="inlineStr">
        <is>
          <t>066410</t>
        </is>
      </c>
      <c r="E10306" s="3" t="inlineStr">
        <is>
          <t>기타시장안내              (기업심사위원회 개최 결과 안내) (정정: 20260611) (정정: 20260611) (정정: 20260611)</t>
        </is>
      </c>
      <c r="F10306" s="3" t="inlineStr">
        <is>
          <t>코스닥시장본부</t>
        </is>
      </c>
      <c r="G10306" s="2" t="inlineStr">
        <is>
          <t>20260611900284</t>
        </is>
      </c>
      <c r="H10306" s="8">
        <f>HYPERLINK("https://dart.fss.or.kr/dsaf001/main.do?rcpNo=20260611900284", "공시열람")</f>
        <v/>
      </c>
    </row>
    <row r="10307">
      <c r="A10307" s="2" t="inlineStr">
        <is>
          <t>2026-06-10</t>
        </is>
      </c>
      <c r="B10307" s="3" t="inlineStr">
        <is>
          <t>인크레더블버즈</t>
        </is>
      </c>
      <c r="C10307" s="2" t="inlineStr">
        <is>
          <t>코스닥</t>
        </is>
      </c>
      <c r="D10307" s="2" t="inlineStr">
        <is>
          <t>064090</t>
        </is>
      </c>
      <c r="E10307" s="3" t="inlineStr">
        <is>
          <t>기타시장안내              (상장폐지 관련 이의신청서 접수)</t>
        </is>
      </c>
      <c r="F10307" s="3" t="inlineStr">
        <is>
          <t>코스닥시장본부</t>
        </is>
      </c>
      <c r="G10307" s="2" t="inlineStr">
        <is>
          <t>20260610900987</t>
        </is>
      </c>
      <c r="H10307" s="8">
        <f>HYPERLINK("https://dart.fss.or.kr/dsaf001/main.do?rcpNo=20260610900987", "공시열람")</f>
        <v/>
      </c>
    </row>
    <row r="10308">
      <c r="A10308" s="2" t="inlineStr">
        <is>
          <t>2026-06-10</t>
        </is>
      </c>
      <c r="B10308" s="3" t="inlineStr">
        <is>
          <t>듀오백</t>
        </is>
      </c>
      <c r="C10308" s="2" t="inlineStr">
        <is>
          <t>코스닥</t>
        </is>
      </c>
      <c r="D10308" s="2" t="inlineStr">
        <is>
          <t>073190</t>
        </is>
      </c>
      <c r="E10308" s="3" t="inlineStr">
        <is>
          <t>기타시장안내              (관리종목지정우려종목)(시가총액 150억원 미달)</t>
        </is>
      </c>
      <c r="F10308" s="3" t="inlineStr">
        <is>
          <t>코스닥시장본부</t>
        </is>
      </c>
      <c r="G10308" s="2" t="inlineStr">
        <is>
          <t>20260610901017</t>
        </is>
      </c>
      <c r="H10308" s="8">
        <f>HYPERLINK("https://dart.fss.or.kr/dsaf001/main.do?rcpNo=20260610901017", "공시열람")</f>
        <v/>
      </c>
    </row>
    <row r="10309">
      <c r="A10309" s="2" t="inlineStr">
        <is>
          <t>2026-06-10</t>
        </is>
      </c>
      <c r="B10309" s="3" t="inlineStr">
        <is>
          <t>하나30호스팩</t>
        </is>
      </c>
      <c r="C10309" s="2" t="inlineStr">
        <is>
          <t>코스닥</t>
        </is>
      </c>
      <c r="D10309" s="2" t="inlineStr">
        <is>
          <t>469880</t>
        </is>
      </c>
      <c r="E10309" s="3" t="inlineStr">
        <is>
          <t xml:space="preserve">기타시장안내(관리종목지정우려종목)              </t>
        </is>
      </c>
      <c r="F10309" s="3" t="inlineStr">
        <is>
          <t>코스닥시장본부</t>
        </is>
      </c>
      <c r="G10309" s="2" t="inlineStr">
        <is>
          <t>20260610901013</t>
        </is>
      </c>
      <c r="H10309" s="8">
        <f>HYPERLINK("https://dart.fss.or.kr/dsaf001/main.do?rcpNo=20260610901013", "공시열람")</f>
        <v/>
      </c>
    </row>
    <row r="10310">
      <c r="A10310" s="2" t="inlineStr">
        <is>
          <t>2026-06-10 (정정: 2026-06-12)</t>
        </is>
      </c>
      <c r="B10310" s="3" t="inlineStr">
        <is>
          <t>피노</t>
        </is>
      </c>
      <c r="C10310" s="2" t="inlineStr">
        <is>
          <t>코스닥</t>
        </is>
      </c>
      <c r="D10310" s="2" t="inlineStr">
        <is>
          <t>033790</t>
        </is>
      </c>
      <c r="E10310" s="3" t="inlineStr">
        <is>
          <t>주주명부폐쇄기간또는기준일설정               (정정: 20260612)</t>
        </is>
      </c>
      <c r="F10310" s="3" t="inlineStr">
        <is>
          <t>피노</t>
        </is>
      </c>
      <c r="G10310" s="2" t="inlineStr">
        <is>
          <t>20260612000534</t>
        </is>
      </c>
      <c r="H10310" s="8">
        <f>HYPERLINK("https://dart.fss.or.kr/dsaf001/main.do?rcpNo=20260612000534", "공시열람")</f>
        <v/>
      </c>
    </row>
    <row r="10311">
      <c r="A10311" s="2" t="inlineStr">
        <is>
          <t>2026-06-10</t>
        </is>
      </c>
      <c r="B10311" s="3" t="inlineStr">
        <is>
          <t>피노</t>
        </is>
      </c>
      <c r="C10311" s="2" t="inlineStr">
        <is>
          <t>코스닥</t>
        </is>
      </c>
      <c r="D10311" s="2" t="inlineStr">
        <is>
          <t>033790</t>
        </is>
      </c>
      <c r="E10311" s="3" t="inlineStr">
        <is>
          <t>주요사항보고서(타법인주식및출자증권양수결정)</t>
        </is>
      </c>
      <c r="F10311" s="3" t="inlineStr">
        <is>
          <t>피노</t>
        </is>
      </c>
      <c r="G10311" s="2" t="inlineStr">
        <is>
          <t>20260610000681</t>
        </is>
      </c>
      <c r="H10311" s="8">
        <f>HYPERLINK("https://dart.fss.or.kr/dsaf001/main.do?rcpNo=20260610000681", "공시열람")</f>
        <v/>
      </c>
    </row>
    <row r="10312">
      <c r="A10312" s="2" t="inlineStr">
        <is>
          <t>2026-06-10</t>
        </is>
      </c>
      <c r="B10312" s="3" t="inlineStr">
        <is>
          <t>지에프아이</t>
        </is>
      </c>
      <c r="C10312" s="2" t="inlineStr">
        <is>
          <t>코스닥</t>
        </is>
      </c>
      <c r="D10312" s="2" t="inlineStr">
        <is>
          <t>493330</t>
        </is>
      </c>
      <c r="E10312" s="3" t="inlineStr">
        <is>
          <t>임원ㆍ주요주주특정증권등소유상황보고서</t>
        </is>
      </c>
      <c r="F10312" s="3" t="inlineStr">
        <is>
          <t>비엔케이 안전 신기술투자조합 제2호</t>
        </is>
      </c>
      <c r="G10312" s="2" t="inlineStr">
        <is>
          <t>20260610000688</t>
        </is>
      </c>
      <c r="H10312" s="8">
        <f>HYPERLINK("https://dart.fss.or.kr/dsaf001/main.do?rcpNo=20260610000688", "공시열람")</f>
        <v/>
      </c>
    </row>
    <row r="10313">
      <c r="A10313" s="2" t="inlineStr">
        <is>
          <t>2026-06-10</t>
        </is>
      </c>
      <c r="B10313" s="3" t="inlineStr">
        <is>
          <t>씨씨에스</t>
        </is>
      </c>
      <c r="C10313" s="2" t="inlineStr">
        <is>
          <t>코스닥</t>
        </is>
      </c>
      <c r="D10313" s="2" t="inlineStr">
        <is>
          <t>066790</t>
        </is>
      </c>
      <c r="E10313" s="3" t="inlineStr">
        <is>
          <t>기타시장안내              (개선계획 이행내역서 제출)</t>
        </is>
      </c>
      <c r="F10313" s="3" t="inlineStr">
        <is>
          <t>코스닥시장본부</t>
        </is>
      </c>
      <c r="G10313" s="2" t="inlineStr">
        <is>
          <t>20260610900992</t>
        </is>
      </c>
      <c r="H10313" s="8">
        <f>HYPERLINK("https://dart.fss.or.kr/dsaf001/main.do?rcpNo=20260610900992", "공시열람")</f>
        <v/>
      </c>
    </row>
    <row r="10314">
      <c r="A10314" s="2" t="inlineStr">
        <is>
          <t>2026-06-10</t>
        </is>
      </c>
      <c r="B10314" s="3" t="inlineStr">
        <is>
          <t>PS일렉트로닉스</t>
        </is>
      </c>
      <c r="C10314" s="2" t="inlineStr">
        <is>
          <t>코스닥</t>
        </is>
      </c>
      <c r="D10314" s="2" t="inlineStr">
        <is>
          <t>332570</t>
        </is>
      </c>
      <c r="E10314" s="3" t="inlineStr">
        <is>
          <t>임원ㆍ주요주주특정증권등소유상황보고서</t>
        </is>
      </c>
      <c r="F10314" s="3" t="inlineStr">
        <is>
          <t>김영택</t>
        </is>
      </c>
      <c r="G10314" s="2" t="inlineStr">
        <is>
          <t>20260610000687</t>
        </is>
      </c>
      <c r="H10314" s="8">
        <f>HYPERLINK("https://dart.fss.or.kr/dsaf001/main.do?rcpNo=20260610000687", "공시열람")</f>
        <v/>
      </c>
    </row>
    <row r="10315">
      <c r="A10315" s="2" t="inlineStr">
        <is>
          <t>2026-06-10</t>
        </is>
      </c>
      <c r="B10315" s="3" t="inlineStr">
        <is>
          <t>유틸렉스</t>
        </is>
      </c>
      <c r="C10315" s="2" t="inlineStr">
        <is>
          <t>코스닥</t>
        </is>
      </c>
      <c r="D10315" s="2" t="inlineStr">
        <is>
          <t>263050</t>
        </is>
      </c>
      <c r="E10315" s="3" t="inlineStr">
        <is>
          <t>기타시장안내              (상장폐지 관련 이의신청서 접수)</t>
        </is>
      </c>
      <c r="F10315" s="3" t="inlineStr">
        <is>
          <t>코스닥시장본부</t>
        </is>
      </c>
      <c r="G10315" s="2" t="inlineStr">
        <is>
          <t>20260610900990</t>
        </is>
      </c>
      <c r="H10315" s="8">
        <f>HYPERLINK("https://dart.fss.or.kr/dsaf001/main.do?rcpNo=20260610900990", "공시열람")</f>
        <v/>
      </c>
    </row>
    <row r="10316">
      <c r="A10316" s="2" t="inlineStr">
        <is>
          <t>2026-06-10</t>
        </is>
      </c>
      <c r="B10316" s="3" t="inlineStr">
        <is>
          <t>알엔투테크놀로지</t>
        </is>
      </c>
      <c r="C10316" s="2" t="inlineStr">
        <is>
          <t>코스닥</t>
        </is>
      </c>
      <c r="D10316" s="2" t="inlineStr">
        <is>
          <t>148250</t>
        </is>
      </c>
      <c r="E10316" s="3" t="inlineStr">
        <is>
          <t>전환가액의조정              (제7회차)</t>
        </is>
      </c>
      <c r="F10316" s="3" t="inlineStr">
        <is>
          <t>알엔투테크놀로지</t>
        </is>
      </c>
      <c r="G10316" s="2" t="inlineStr">
        <is>
          <t>20260610900978</t>
        </is>
      </c>
      <c r="H10316" s="8">
        <f>HYPERLINK("https://dart.fss.or.kr/dsaf001/main.do?rcpNo=20260610900978", "공시열람")</f>
        <v/>
      </c>
    </row>
    <row r="10317">
      <c r="A10317" s="2" t="inlineStr">
        <is>
          <t>2026-06-10</t>
        </is>
      </c>
      <c r="B10317" s="3" t="inlineStr">
        <is>
          <t>한미약품</t>
        </is>
      </c>
      <c r="C10317" s="2" t="inlineStr">
        <is>
          <t>코스피</t>
        </is>
      </c>
      <c r="D10317" s="2" t="inlineStr">
        <is>
          <t>128940</t>
        </is>
      </c>
      <c r="E10317" s="3" t="inlineStr">
        <is>
          <t xml:space="preserve">지속가능경영보고서등관련사항(자율공시)              </t>
        </is>
      </c>
      <c r="F10317" s="3" t="inlineStr">
        <is>
          <t>한미약품</t>
        </is>
      </c>
      <c r="G10317" s="2" t="inlineStr">
        <is>
          <t>20260610800989</t>
        </is>
      </c>
      <c r="H10317" s="8">
        <f>HYPERLINK("https://dart.fss.or.kr/dsaf001/main.do?rcpNo=20260610800989", "공시열람")</f>
        <v/>
      </c>
    </row>
    <row r="10318">
      <c r="A10318" s="2" t="inlineStr">
        <is>
          <t>2026-06-10</t>
        </is>
      </c>
      <c r="B10318" s="3" t="inlineStr">
        <is>
          <t>한미사이언스</t>
        </is>
      </c>
      <c r="C10318" s="2" t="inlineStr">
        <is>
          <t>코스피</t>
        </is>
      </c>
      <c r="D10318" s="2" t="inlineStr">
        <is>
          <t>008930</t>
        </is>
      </c>
      <c r="E10318" s="3" t="inlineStr">
        <is>
          <t xml:space="preserve">지속가능경영보고서등관련사항(자율공시)              </t>
        </is>
      </c>
      <c r="F10318" s="3" t="inlineStr">
        <is>
          <t>한미사이언스</t>
        </is>
      </c>
      <c r="G10318" s="2" t="inlineStr">
        <is>
          <t>20260610800986</t>
        </is>
      </c>
      <c r="H10318" s="8">
        <f>HYPERLINK("https://dart.fss.or.kr/dsaf001/main.do?rcpNo=20260610800986", "공시열람")</f>
        <v/>
      </c>
    </row>
    <row r="10319">
      <c r="A10319" s="2" t="inlineStr">
        <is>
          <t>2026-06-10</t>
        </is>
      </c>
      <c r="B10319" s="3" t="inlineStr">
        <is>
          <t>PS일렉트로닉스</t>
        </is>
      </c>
      <c r="C10319" s="2" t="inlineStr">
        <is>
          <t>코스닥</t>
        </is>
      </c>
      <c r="D10319" s="2" t="inlineStr">
        <is>
          <t>332570</t>
        </is>
      </c>
      <c r="E10319" s="3" t="inlineStr">
        <is>
          <t>임원ㆍ주요주주특정증권등소유상황보고서</t>
        </is>
      </c>
      <c r="F10319" s="3" t="inlineStr">
        <is>
          <t>김경오</t>
        </is>
      </c>
      <c r="G10319" s="2" t="inlineStr">
        <is>
          <t>20260610000684</t>
        </is>
      </c>
      <c r="H10319" s="8">
        <f>HYPERLINK("https://dart.fss.or.kr/dsaf001/main.do?rcpNo=20260610000684", "공시열람")</f>
        <v/>
      </c>
    </row>
    <row r="10320">
      <c r="A10320" s="2" t="inlineStr">
        <is>
          <t>2026-06-10</t>
        </is>
      </c>
      <c r="B10320" s="3" t="inlineStr">
        <is>
          <t>PS일렉트로닉스</t>
        </is>
      </c>
      <c r="C10320" s="2" t="inlineStr">
        <is>
          <t>코스닥</t>
        </is>
      </c>
      <c r="D10320" s="2" t="inlineStr">
        <is>
          <t>332570</t>
        </is>
      </c>
      <c r="E10320" s="3" t="inlineStr">
        <is>
          <t>임원ㆍ주요주주특정증권등소유상황보고서</t>
        </is>
      </c>
      <c r="F10320" s="3" t="inlineStr">
        <is>
          <t>민경준</t>
        </is>
      </c>
      <c r="G10320" s="2" t="inlineStr">
        <is>
          <t>20260610000683</t>
        </is>
      </c>
      <c r="H10320" s="8">
        <f>HYPERLINK("https://dart.fss.or.kr/dsaf001/main.do?rcpNo=20260610000683", "공시열람")</f>
        <v/>
      </c>
    </row>
    <row r="10321">
      <c r="A10321" s="2" t="inlineStr">
        <is>
          <t>2026-06-10</t>
        </is>
      </c>
      <c r="B10321" s="3" t="inlineStr">
        <is>
          <t>SAMG엔터</t>
        </is>
      </c>
      <c r="C10321" s="2" t="inlineStr">
        <is>
          <t>코스닥</t>
        </is>
      </c>
      <c r="D10321" s="2" t="inlineStr">
        <is>
          <t>419530</t>
        </is>
      </c>
      <c r="E10321" s="3" t="inlineStr">
        <is>
          <t>임원ㆍ주요주주특정증권등소유상황보고서</t>
        </is>
      </c>
      <c r="F10321" s="3" t="inlineStr">
        <is>
          <t>최재원</t>
        </is>
      </c>
      <c r="G10321" s="2" t="inlineStr">
        <is>
          <t>20260610000679</t>
        </is>
      </c>
      <c r="H10321" s="8">
        <f>HYPERLINK("https://dart.fss.or.kr/dsaf001/main.do?rcpNo=20260610000679", "공시열람")</f>
        <v/>
      </c>
    </row>
    <row r="10322">
      <c r="A10322" s="2" t="inlineStr">
        <is>
          <t>2026-06-10</t>
        </is>
      </c>
      <c r="B10322" s="3" t="inlineStr">
        <is>
          <t>본시스템즈</t>
        </is>
      </c>
      <c r="C10322" s="2" t="inlineStr">
        <is>
          <t>코넥스</t>
        </is>
      </c>
      <c r="D10322" s="2" t="inlineStr">
        <is>
          <t>496320</t>
        </is>
      </c>
      <c r="E10322" s="3" t="inlineStr">
        <is>
          <t xml:space="preserve">기업설명회(IR)개최결과              </t>
        </is>
      </c>
      <c r="F10322" s="3" t="inlineStr">
        <is>
          <t>본시스템즈</t>
        </is>
      </c>
      <c r="G10322" s="2" t="inlineStr">
        <is>
          <t>20260610600964</t>
        </is>
      </c>
      <c r="H10322" s="8">
        <f>HYPERLINK("https://dart.fss.or.kr/dsaf001/main.do?rcpNo=20260610600964", "공시열람")</f>
        <v/>
      </c>
    </row>
    <row r="10323">
      <c r="A10323" s="2" t="inlineStr">
        <is>
          <t>2026-06-10</t>
        </is>
      </c>
      <c r="B10323" s="3" t="inlineStr">
        <is>
          <t>온타이드</t>
        </is>
      </c>
      <c r="C10323" s="2" t="inlineStr">
        <is>
          <t>코스피</t>
        </is>
      </c>
      <c r="D10323" s="2" t="inlineStr">
        <is>
          <t>005320</t>
        </is>
      </c>
      <c r="E10323" s="3" t="inlineStr">
        <is>
          <t>임원ㆍ주요주주특정증권등소유상황보고서</t>
        </is>
      </c>
      <c r="F10323" s="3" t="inlineStr">
        <is>
          <t>약진통상</t>
        </is>
      </c>
      <c r="G10323" s="2" t="inlineStr">
        <is>
          <t>20260610000676</t>
        </is>
      </c>
      <c r="H10323" s="8">
        <f>HYPERLINK("https://dart.fss.or.kr/dsaf001/main.do?rcpNo=20260610000676", "공시열람")</f>
        <v/>
      </c>
    </row>
    <row r="10324">
      <c r="A10324" s="2" t="inlineStr">
        <is>
          <t>2026-06-10</t>
        </is>
      </c>
      <c r="B10324" s="3" t="inlineStr">
        <is>
          <t>한국캐피탈</t>
        </is>
      </c>
      <c r="C10324" s="2" t="inlineStr">
        <is>
          <t>코스닥</t>
        </is>
      </c>
      <c r="D10324" s="2" t="inlineStr">
        <is>
          <t>023760</t>
        </is>
      </c>
      <c r="E10324" s="3" t="inlineStr">
        <is>
          <t>투자설명서(일괄신고)</t>
        </is>
      </c>
      <c r="F10324" s="3" t="inlineStr">
        <is>
          <t>한국캐피탈</t>
        </is>
      </c>
      <c r="G10324" s="2" t="inlineStr">
        <is>
          <t>20260610000675</t>
        </is>
      </c>
      <c r="H10324" s="8">
        <f>HYPERLINK("https://dart.fss.or.kr/dsaf001/main.do?rcpNo=20260610000675", "공시열람")</f>
        <v/>
      </c>
    </row>
    <row r="10325">
      <c r="A10325" s="2" t="inlineStr">
        <is>
          <t>2026-06-10</t>
        </is>
      </c>
      <c r="B10325" s="3" t="inlineStr">
        <is>
          <t>태광산업</t>
        </is>
      </c>
      <c r="C10325" s="2" t="inlineStr">
        <is>
          <t>코스피</t>
        </is>
      </c>
      <c r="D10325" s="2" t="inlineStr">
        <is>
          <t>003240</t>
        </is>
      </c>
      <c r="E10325" s="3" t="inlineStr">
        <is>
          <t>[기재정정]대규모기업집단현황공시[연1회공시및1/4분기용(대표회사)]</t>
        </is>
      </c>
      <c r="F10325" s="3" t="inlineStr">
        <is>
          <t>태광산업</t>
        </is>
      </c>
      <c r="G10325" s="2" t="inlineStr">
        <is>
          <t>20260610000672</t>
        </is>
      </c>
      <c r="H10325" s="8">
        <f>HYPERLINK("https://dart.fss.or.kr/dsaf001/main.do?rcpNo=20260610000672", "공시열람")</f>
        <v/>
      </c>
    </row>
    <row r="10326">
      <c r="A10326" s="2" t="inlineStr">
        <is>
          <t>2026-06-10</t>
        </is>
      </c>
      <c r="B10326" s="3" t="inlineStr">
        <is>
          <t>한국캐피탈</t>
        </is>
      </c>
      <c r="C10326" s="2" t="inlineStr">
        <is>
          <t>코스닥</t>
        </is>
      </c>
      <c r="D10326" s="2" t="inlineStr">
        <is>
          <t>023760</t>
        </is>
      </c>
      <c r="E10326" s="3" t="inlineStr">
        <is>
          <t>일괄신고추가서류</t>
        </is>
      </c>
      <c r="F10326" s="3" t="inlineStr">
        <is>
          <t>한국캐피탈</t>
        </is>
      </c>
      <c r="G10326" s="2" t="inlineStr">
        <is>
          <t>20260610000671</t>
        </is>
      </c>
      <c r="H10326" s="8">
        <f>HYPERLINK("https://dart.fss.or.kr/dsaf001/main.do?rcpNo=20260610000671", "공시열람")</f>
        <v/>
      </c>
    </row>
    <row r="10327">
      <c r="A10327" s="2" t="inlineStr">
        <is>
          <t>2026-06-10</t>
        </is>
      </c>
      <c r="B10327" s="3" t="inlineStr">
        <is>
          <t>대한항공</t>
        </is>
      </c>
      <c r="C10327" s="2" t="inlineStr">
        <is>
          <t>코스피</t>
        </is>
      </c>
      <c r="D10327" s="2" t="inlineStr">
        <is>
          <t>003490</t>
        </is>
      </c>
      <c r="E10327" s="3" t="inlineStr">
        <is>
          <t>[발행조건확정]증권신고서(채무증권)</t>
        </is>
      </c>
      <c r="F10327" s="3" t="inlineStr">
        <is>
          <t>대한항공</t>
        </is>
      </c>
      <c r="G10327" s="2" t="inlineStr">
        <is>
          <t>20260610000667</t>
        </is>
      </c>
      <c r="H10327" s="8">
        <f>HYPERLINK("https://dart.fss.or.kr/dsaf001/main.do?rcpNo=20260610000667", "공시열람")</f>
        <v/>
      </c>
    </row>
    <row r="10328">
      <c r="A10328" s="2" t="inlineStr">
        <is>
          <t>2026-06-10 (정정: 2026-06-17)</t>
        </is>
      </c>
      <c r="B10328" s="3" t="inlineStr">
        <is>
          <t>한국첨단소재</t>
        </is>
      </c>
      <c r="C10328" s="2" t="inlineStr">
        <is>
          <t>코스닥</t>
        </is>
      </c>
      <c r="D10328" s="2" t="inlineStr">
        <is>
          <t>062970</t>
        </is>
      </c>
      <c r="E10328" s="3" t="inlineStr">
        <is>
          <t>증권발행결과(자율공시)               (정정: 20260617)</t>
        </is>
      </c>
      <c r="F10328" s="3" t="inlineStr">
        <is>
          <t>한국첨단소재</t>
        </is>
      </c>
      <c r="G10328" s="2" t="inlineStr">
        <is>
          <t>20260617900678</t>
        </is>
      </c>
      <c r="H10328" s="8">
        <f>HYPERLINK("https://dart.fss.or.kr/dsaf001/main.do?rcpNo=20260617900678", "공시열람")</f>
        <v/>
      </c>
    </row>
    <row r="10329">
      <c r="A10329" s="2" t="inlineStr">
        <is>
          <t>2026-06-10</t>
        </is>
      </c>
      <c r="B10329" s="3" t="inlineStr">
        <is>
          <t>키움증권</t>
        </is>
      </c>
      <c r="C10329" s="2" t="inlineStr">
        <is>
          <t>코스피</t>
        </is>
      </c>
      <c r="D10329" s="2" t="inlineStr">
        <is>
          <t>039490</t>
        </is>
      </c>
      <c r="E10329" s="3" t="inlineStr">
        <is>
          <t>투자설명서(일괄신고)</t>
        </is>
      </c>
      <c r="F10329" s="3" t="inlineStr">
        <is>
          <t>키움증권</t>
        </is>
      </c>
      <c r="G10329" s="2" t="inlineStr">
        <is>
          <t>20260610000663</t>
        </is>
      </c>
      <c r="H10329" s="8">
        <f>HYPERLINK("https://dart.fss.or.kr/dsaf001/main.do?rcpNo=20260610000663", "공시열람")</f>
        <v/>
      </c>
    </row>
    <row r="10330">
      <c r="A10330" s="2" t="inlineStr">
        <is>
          <t>2026-06-10</t>
        </is>
      </c>
      <c r="B10330" s="3" t="inlineStr">
        <is>
          <t>코다코</t>
        </is>
      </c>
      <c r="C10330" s="2" t="inlineStr">
        <is>
          <t>코스닥</t>
        </is>
      </c>
      <c r="D10330" s="2" t="inlineStr">
        <is>
          <t>046070</t>
        </is>
      </c>
      <c r="E10330" s="3" t="inlineStr">
        <is>
          <t>임원ㆍ주요주주특정증권등소유상황보고서</t>
        </is>
      </c>
      <c r="F10330" s="3" t="inlineStr">
        <is>
          <t>한국산업은행</t>
        </is>
      </c>
      <c r="G10330" s="2" t="inlineStr">
        <is>
          <t>20260610000661</t>
        </is>
      </c>
      <c r="H10330" s="8">
        <f>HYPERLINK("https://dart.fss.or.kr/dsaf001/main.do?rcpNo=20260610000661", "공시열람")</f>
        <v/>
      </c>
    </row>
    <row r="10331">
      <c r="A10331" s="2" t="inlineStr">
        <is>
          <t>2026-06-10</t>
        </is>
      </c>
      <c r="B10331" s="3" t="inlineStr">
        <is>
          <t>키움증권</t>
        </is>
      </c>
      <c r="C10331" s="2" t="inlineStr">
        <is>
          <t>코스피</t>
        </is>
      </c>
      <c r="D10331" s="2" t="inlineStr">
        <is>
          <t>039490</t>
        </is>
      </c>
      <c r="E10331" s="3" t="inlineStr">
        <is>
          <t>투자설명서(일괄신고)</t>
        </is>
      </c>
      <c r="F10331" s="3" t="inlineStr">
        <is>
          <t>키움증권</t>
        </is>
      </c>
      <c r="G10331" s="2" t="inlineStr">
        <is>
          <t>20260610000660</t>
        </is>
      </c>
      <c r="H10331" s="8">
        <f>HYPERLINK("https://dart.fss.or.kr/dsaf001/main.do?rcpNo=20260610000660", "공시열람")</f>
        <v/>
      </c>
    </row>
    <row r="10332">
      <c r="A10332" s="2" t="inlineStr">
        <is>
          <t>2026-06-10</t>
        </is>
      </c>
      <c r="B10332" s="3" t="inlineStr">
        <is>
          <t>키움증권</t>
        </is>
      </c>
      <c r="C10332" s="2" t="inlineStr">
        <is>
          <t>코스피</t>
        </is>
      </c>
      <c r="D10332" s="2" t="inlineStr">
        <is>
          <t>039490</t>
        </is>
      </c>
      <c r="E10332" s="3" t="inlineStr">
        <is>
          <t>일괄신고추가서류</t>
        </is>
      </c>
      <c r="F10332" s="3" t="inlineStr">
        <is>
          <t>키움증권</t>
        </is>
      </c>
      <c r="G10332" s="2" t="inlineStr">
        <is>
          <t>20260610000657</t>
        </is>
      </c>
      <c r="H10332" s="8">
        <f>HYPERLINK("https://dart.fss.or.kr/dsaf001/main.do?rcpNo=20260610000657", "공시열람")</f>
        <v/>
      </c>
    </row>
    <row r="10333">
      <c r="A10333" s="2" t="inlineStr">
        <is>
          <t>2026-06-10</t>
        </is>
      </c>
      <c r="B10333" s="3" t="inlineStr">
        <is>
          <t>키움증권</t>
        </is>
      </c>
      <c r="C10333" s="2" t="inlineStr">
        <is>
          <t>코스피</t>
        </is>
      </c>
      <c r="D10333" s="2" t="inlineStr">
        <is>
          <t>039490</t>
        </is>
      </c>
      <c r="E10333" s="3" t="inlineStr">
        <is>
          <t>투자설명서(일괄신고)</t>
        </is>
      </c>
      <c r="F10333" s="3" t="inlineStr">
        <is>
          <t>키움증권</t>
        </is>
      </c>
      <c r="G10333" s="2" t="inlineStr">
        <is>
          <t>20260610000655</t>
        </is>
      </c>
      <c r="H10333" s="8">
        <f>HYPERLINK("https://dart.fss.or.kr/dsaf001/main.do?rcpNo=20260610000655", "공시열람")</f>
        <v/>
      </c>
    </row>
    <row r="10334">
      <c r="A10334" s="2" t="inlineStr">
        <is>
          <t>2026-06-10</t>
        </is>
      </c>
      <c r="B10334" s="3" t="inlineStr">
        <is>
          <t>현대자동차</t>
        </is>
      </c>
      <c r="C10334" s="2" t="inlineStr">
        <is>
          <t>코스피</t>
        </is>
      </c>
      <c r="D10334" s="2" t="inlineStr">
        <is>
          <t>005380</t>
        </is>
      </c>
      <c r="E10334" s="3" t="inlineStr">
        <is>
          <t>특수관계인으로부터기타유가증권매수</t>
        </is>
      </c>
      <c r="F10334" s="3" t="inlineStr">
        <is>
          <t>현대자동차</t>
        </is>
      </c>
      <c r="G10334" s="2" t="inlineStr">
        <is>
          <t>20260610000653</t>
        </is>
      </c>
      <c r="H10334" s="8">
        <f>HYPERLINK("https://dart.fss.or.kr/dsaf001/main.do?rcpNo=20260610000653", "공시열람")</f>
        <v/>
      </c>
    </row>
    <row r="10335">
      <c r="A10335" s="2" t="inlineStr">
        <is>
          <t>2026-06-10</t>
        </is>
      </c>
      <c r="B10335" s="3" t="inlineStr">
        <is>
          <t>경남제약</t>
        </is>
      </c>
      <c r="C10335" s="2" t="inlineStr">
        <is>
          <t>코스닥</t>
        </is>
      </c>
      <c r="D10335" s="2" t="inlineStr">
        <is>
          <t>053950</t>
        </is>
      </c>
      <c r="E10335" s="3" t="inlineStr">
        <is>
          <t xml:space="preserve">전환가액의조정              </t>
        </is>
      </c>
      <c r="F10335" s="3" t="inlineStr">
        <is>
          <t>경남제약</t>
        </is>
      </c>
      <c r="G10335" s="2" t="inlineStr">
        <is>
          <t>20260610900949</t>
        </is>
      </c>
      <c r="H10335" s="8">
        <f>HYPERLINK("https://dart.fss.or.kr/dsaf001/main.do?rcpNo=20260610900949", "공시열람")</f>
        <v/>
      </c>
    </row>
    <row r="10336">
      <c r="A10336" s="2" t="inlineStr">
        <is>
          <t>2026-06-10</t>
        </is>
      </c>
      <c r="B10336" s="3" t="inlineStr">
        <is>
          <t>대한제당</t>
        </is>
      </c>
      <c r="C10336" s="2" t="inlineStr">
        <is>
          <t>코스피</t>
        </is>
      </c>
      <c r="D10336" s="2" t="inlineStr">
        <is>
          <t>001790</t>
        </is>
      </c>
      <c r="E10336" s="3" t="inlineStr">
        <is>
          <t>임원ㆍ주요주주특정증권등소유상황보고서</t>
        </is>
      </c>
      <c r="F10336" s="3" t="inlineStr">
        <is>
          <t>김호진</t>
        </is>
      </c>
      <c r="G10336" s="2" t="inlineStr">
        <is>
          <t>20260610000649</t>
        </is>
      </c>
      <c r="H10336" s="8">
        <f>HYPERLINK("https://dart.fss.or.kr/dsaf001/main.do?rcpNo=20260610000649", "공시열람")</f>
        <v/>
      </c>
    </row>
    <row r="10337">
      <c r="A10337" s="2" t="inlineStr">
        <is>
          <t>2026-06-10</t>
        </is>
      </c>
      <c r="B10337" s="3" t="inlineStr">
        <is>
          <t>키움증권</t>
        </is>
      </c>
      <c r="C10337" s="2" t="inlineStr">
        <is>
          <t>코스피</t>
        </is>
      </c>
      <c r="D10337" s="2" t="inlineStr">
        <is>
          <t>039490</t>
        </is>
      </c>
      <c r="E10337" s="3" t="inlineStr">
        <is>
          <t>투자설명서(일괄신고)</t>
        </is>
      </c>
      <c r="F10337" s="3" t="inlineStr">
        <is>
          <t>키움증권</t>
        </is>
      </c>
      <c r="G10337" s="2" t="inlineStr">
        <is>
          <t>20260610000646</t>
        </is>
      </c>
      <c r="H10337" s="8">
        <f>HYPERLINK("https://dart.fss.or.kr/dsaf001/main.do?rcpNo=20260610000646", "공시열람")</f>
        <v/>
      </c>
    </row>
    <row r="10338">
      <c r="A10338" s="2" t="inlineStr">
        <is>
          <t>2026-06-10</t>
        </is>
      </c>
      <c r="B10338" s="3" t="inlineStr">
        <is>
          <t>대한제당</t>
        </is>
      </c>
      <c r="C10338" s="2" t="inlineStr">
        <is>
          <t>코스피</t>
        </is>
      </c>
      <c r="D10338" s="2" t="inlineStr">
        <is>
          <t>001790</t>
        </is>
      </c>
      <c r="E10338" s="3" t="inlineStr">
        <is>
          <t>임원ㆍ주요주주특정증권등소유상황보고서</t>
        </is>
      </c>
      <c r="F10338" s="3" t="inlineStr">
        <is>
          <t>홍현호</t>
        </is>
      </c>
      <c r="G10338" s="2" t="inlineStr">
        <is>
          <t>20260610000643</t>
        </is>
      </c>
      <c r="H10338" s="8">
        <f>HYPERLINK("https://dart.fss.or.kr/dsaf001/main.do?rcpNo=20260610000643", "공시열람")</f>
        <v/>
      </c>
    </row>
    <row r="10339">
      <c r="A10339" s="2" t="inlineStr">
        <is>
          <t>2026-06-10</t>
        </is>
      </c>
      <c r="B10339" s="3" t="inlineStr">
        <is>
          <t>현대자동차</t>
        </is>
      </c>
      <c r="C10339" s="2" t="inlineStr">
        <is>
          <t>코스피</t>
        </is>
      </c>
      <c r="D10339" s="2" t="inlineStr">
        <is>
          <t>005380</t>
        </is>
      </c>
      <c r="E10339" s="3" t="inlineStr">
        <is>
          <t>특수관계인에대한출자</t>
        </is>
      </c>
      <c r="F10339" s="3" t="inlineStr">
        <is>
          <t>현대자동차</t>
        </is>
      </c>
      <c r="G10339" s="2" t="inlineStr">
        <is>
          <t>20260610000640</t>
        </is>
      </c>
      <c r="H10339" s="8">
        <f>HYPERLINK("https://dart.fss.or.kr/dsaf001/main.do?rcpNo=20260610000640", "공시열람")</f>
        <v/>
      </c>
    </row>
    <row r="10340">
      <c r="A10340" s="2" t="inlineStr">
        <is>
          <t>2026-06-10</t>
        </is>
      </c>
      <c r="B10340" s="3" t="inlineStr">
        <is>
          <t>키움증권</t>
        </is>
      </c>
      <c r="C10340" s="2" t="inlineStr">
        <is>
          <t>코스피</t>
        </is>
      </c>
      <c r="D10340" s="2" t="inlineStr">
        <is>
          <t>039490</t>
        </is>
      </c>
      <c r="E10340" s="3" t="inlineStr">
        <is>
          <t>투자설명서(일괄신고)</t>
        </is>
      </c>
      <c r="F10340" s="3" t="inlineStr">
        <is>
          <t>키움증권</t>
        </is>
      </c>
      <c r="G10340" s="2" t="inlineStr">
        <is>
          <t>20260610000637</t>
        </is>
      </c>
      <c r="H10340" s="8">
        <f>HYPERLINK("https://dart.fss.or.kr/dsaf001/main.do?rcpNo=20260610000637", "공시열람")</f>
        <v/>
      </c>
    </row>
    <row r="10341">
      <c r="A10341" s="2" t="inlineStr">
        <is>
          <t>2026-06-10</t>
        </is>
      </c>
      <c r="B10341" s="3" t="inlineStr">
        <is>
          <t>대한제당</t>
        </is>
      </c>
      <c r="C10341" s="2" t="inlineStr">
        <is>
          <t>코스피</t>
        </is>
      </c>
      <c r="D10341" s="2" t="inlineStr">
        <is>
          <t>001790</t>
        </is>
      </c>
      <c r="E10341" s="3" t="inlineStr">
        <is>
          <t>임원ㆍ주요주주특정증권등소유상황보고서</t>
        </is>
      </c>
      <c r="F10341" s="3" t="inlineStr">
        <is>
          <t>김준수</t>
        </is>
      </c>
      <c r="G10341" s="2" t="inlineStr">
        <is>
          <t>20260610000636</t>
        </is>
      </c>
      <c r="H10341" s="8">
        <f>HYPERLINK("https://dart.fss.or.kr/dsaf001/main.do?rcpNo=20260610000636", "공시열람")</f>
        <v/>
      </c>
    </row>
    <row r="10342">
      <c r="A10342" s="2" t="inlineStr">
        <is>
          <t>2026-06-10</t>
        </is>
      </c>
      <c r="B10342" s="3" t="inlineStr">
        <is>
          <t>키움증권</t>
        </is>
      </c>
      <c r="C10342" s="2" t="inlineStr">
        <is>
          <t>코스피</t>
        </is>
      </c>
      <c r="D10342" s="2" t="inlineStr">
        <is>
          <t>039490</t>
        </is>
      </c>
      <c r="E10342" s="3" t="inlineStr">
        <is>
          <t>투자설명서(일괄신고)</t>
        </is>
      </c>
      <c r="F10342" s="3" t="inlineStr">
        <is>
          <t>키움증권</t>
        </is>
      </c>
      <c r="G10342" s="2" t="inlineStr">
        <is>
          <t>20260610000633</t>
        </is>
      </c>
      <c r="H10342" s="8">
        <f>HYPERLINK("https://dart.fss.or.kr/dsaf001/main.do?rcpNo=20260610000633", "공시열람")</f>
        <v/>
      </c>
    </row>
    <row r="10343">
      <c r="A10343" s="2" t="inlineStr">
        <is>
          <t>2026-06-10</t>
        </is>
      </c>
      <c r="B10343" s="3" t="inlineStr">
        <is>
          <t>대한제당</t>
        </is>
      </c>
      <c r="C10343" s="2" t="inlineStr">
        <is>
          <t>코스피</t>
        </is>
      </c>
      <c r="D10343" s="2" t="inlineStr">
        <is>
          <t>001790</t>
        </is>
      </c>
      <c r="E10343" s="3" t="inlineStr">
        <is>
          <t>임원ㆍ주요주주특정증권등소유상황보고서</t>
        </is>
      </c>
      <c r="F10343" s="3" t="inlineStr">
        <is>
          <t>이효섭</t>
        </is>
      </c>
      <c r="G10343" s="2" t="inlineStr">
        <is>
          <t>20260610000632</t>
        </is>
      </c>
      <c r="H10343" s="8">
        <f>HYPERLINK("https://dart.fss.or.kr/dsaf001/main.do?rcpNo=20260610000632", "공시열람")</f>
        <v/>
      </c>
    </row>
    <row r="10344">
      <c r="A10344" s="2" t="inlineStr">
        <is>
          <t>2026-06-10</t>
        </is>
      </c>
      <c r="B10344" s="3" t="inlineStr">
        <is>
          <t>BGF리테일</t>
        </is>
      </c>
      <c r="C10344" s="2" t="inlineStr">
        <is>
          <t>코스피</t>
        </is>
      </c>
      <c r="D10344" s="2" t="inlineStr">
        <is>
          <t>282330</t>
        </is>
      </c>
      <c r="E10344" s="3" t="inlineStr">
        <is>
          <t xml:space="preserve">기업설명회(IR)개최(안내공시)              </t>
        </is>
      </c>
      <c r="F10344" s="3" t="inlineStr">
        <is>
          <t>BGF리테일</t>
        </is>
      </c>
      <c r="G10344" s="2" t="inlineStr">
        <is>
          <t>20260610800882</t>
        </is>
      </c>
      <c r="H10344" s="8">
        <f>HYPERLINK("https://dart.fss.or.kr/dsaf001/main.do?rcpNo=20260610800882", "공시열람")</f>
        <v/>
      </c>
    </row>
    <row r="10345">
      <c r="A10345" s="2" t="inlineStr">
        <is>
          <t>2026-06-10</t>
        </is>
      </c>
      <c r="B10345" s="3" t="inlineStr">
        <is>
          <t>대한제당</t>
        </is>
      </c>
      <c r="C10345" s="2" t="inlineStr">
        <is>
          <t>코스피</t>
        </is>
      </c>
      <c r="D10345" s="2" t="inlineStr">
        <is>
          <t>001790</t>
        </is>
      </c>
      <c r="E10345" s="3" t="inlineStr">
        <is>
          <t>임원ㆍ주요주주특정증권등소유상황보고서</t>
        </is>
      </c>
      <c r="F10345" s="3" t="inlineStr">
        <is>
          <t>강승우</t>
        </is>
      </c>
      <c r="G10345" s="2" t="inlineStr">
        <is>
          <t>20260610000626</t>
        </is>
      </c>
      <c r="H10345" s="8">
        <f>HYPERLINK("https://dart.fss.or.kr/dsaf001/main.do?rcpNo=20260610000626", "공시열람")</f>
        <v/>
      </c>
    </row>
    <row r="10346">
      <c r="A10346" s="2" t="inlineStr">
        <is>
          <t>2026-06-10</t>
        </is>
      </c>
      <c r="B10346" s="3" t="inlineStr">
        <is>
          <t>다이나믹디자인</t>
        </is>
      </c>
      <c r="C10346" s="2" t="inlineStr">
        <is>
          <t>코스피</t>
        </is>
      </c>
      <c r="D10346" s="2" t="inlineStr">
        <is>
          <t>145210</t>
        </is>
      </c>
      <c r="E10346" s="3" t="inlineStr">
        <is>
          <t>[기재정정]주요사항보고서(감자결정)</t>
        </is>
      </c>
      <c r="F10346" s="3" t="inlineStr">
        <is>
          <t>다이나믹디자인</t>
        </is>
      </c>
      <c r="G10346" s="2" t="inlineStr">
        <is>
          <t>20260610000571</t>
        </is>
      </c>
      <c r="H10346" s="8">
        <f>HYPERLINK("https://dart.fss.or.kr/dsaf001/main.do?rcpNo=20260610000571", "공시열람")</f>
        <v/>
      </c>
    </row>
    <row r="10347">
      <c r="A10347" s="2" t="inlineStr">
        <is>
          <t>2026-06-10</t>
        </is>
      </c>
      <c r="B10347" s="3" t="inlineStr">
        <is>
          <t>대한유화</t>
        </is>
      </c>
      <c r="C10347" s="2" t="inlineStr">
        <is>
          <t>코스피</t>
        </is>
      </c>
      <c r="D10347" s="2" t="inlineStr">
        <is>
          <t>006650</t>
        </is>
      </c>
      <c r="E10347" s="3" t="inlineStr">
        <is>
          <t>임원ㆍ주요주주특정증권등소유상황보고서</t>
        </is>
      </c>
      <c r="F10347" s="3" t="inlineStr">
        <is>
          <t>국민연금공단</t>
        </is>
      </c>
      <c r="G10347" s="2" t="inlineStr">
        <is>
          <t>20260610000621</t>
        </is>
      </c>
      <c r="H10347" s="8">
        <f>HYPERLINK("https://dart.fss.or.kr/dsaf001/main.do?rcpNo=20260610000621", "공시열람")</f>
        <v/>
      </c>
    </row>
    <row r="10348">
      <c r="A10348" s="2" t="inlineStr">
        <is>
          <t>2026-06-10</t>
        </is>
      </c>
      <c r="B10348" s="3" t="inlineStr">
        <is>
          <t>대원제약</t>
        </is>
      </c>
      <c r="C10348" s="2" t="inlineStr">
        <is>
          <t>코스피</t>
        </is>
      </c>
      <c r="D10348" s="2" t="inlineStr">
        <is>
          <t>003220</t>
        </is>
      </c>
      <c r="E10348" s="3" t="inlineStr">
        <is>
          <t>임원ㆍ주요주주특정증권등소유상황보고서</t>
        </is>
      </c>
      <c r="F10348" s="3" t="inlineStr">
        <is>
          <t>임한일</t>
        </is>
      </c>
      <c r="G10348" s="2" t="inlineStr">
        <is>
          <t>20260610000620</t>
        </is>
      </c>
      <c r="H10348" s="8">
        <f>HYPERLINK("https://dart.fss.or.kr/dsaf001/main.do?rcpNo=20260610000620", "공시열람")</f>
        <v/>
      </c>
    </row>
    <row r="10349">
      <c r="A10349" s="2" t="inlineStr">
        <is>
          <t>2026-06-10</t>
        </is>
      </c>
      <c r="B10349" s="3" t="inlineStr">
        <is>
          <t>한미약품</t>
        </is>
      </c>
      <c r="C10349" s="2" t="inlineStr">
        <is>
          <t>코스피</t>
        </is>
      </c>
      <c r="D10349" s="2" t="inlineStr">
        <is>
          <t>128940</t>
        </is>
      </c>
      <c r="E10349" s="3" t="inlineStr">
        <is>
          <t>임원ㆍ주요주주특정증권등소유상황보고서</t>
        </is>
      </c>
      <c r="F10349" s="3" t="inlineStr">
        <is>
          <t>국민연금공단</t>
        </is>
      </c>
      <c r="G10349" s="2" t="inlineStr">
        <is>
          <t>20260610000619</t>
        </is>
      </c>
      <c r="H10349" s="8">
        <f>HYPERLINK("https://dart.fss.or.kr/dsaf001/main.do?rcpNo=20260610000619", "공시열람")</f>
        <v/>
      </c>
    </row>
    <row r="10350">
      <c r="A10350" s="2" t="inlineStr">
        <is>
          <t>2026-06-10</t>
        </is>
      </c>
      <c r="B10350" s="3" t="inlineStr">
        <is>
          <t>에스아이리소스</t>
        </is>
      </c>
      <c r="C10350" s="2" t="inlineStr">
        <is>
          <t>코스닥</t>
        </is>
      </c>
      <c r="D10350" s="2" t="inlineStr">
        <is>
          <t>065420</t>
        </is>
      </c>
      <c r="E10350" s="3" t="inlineStr">
        <is>
          <t xml:space="preserve">소송등의제기ㆍ신청(일정금액이상의청구)              </t>
        </is>
      </c>
      <c r="F10350" s="3" t="inlineStr">
        <is>
          <t>에스아이리소스</t>
        </is>
      </c>
      <c r="G10350" s="2" t="inlineStr">
        <is>
          <t>20260610900908</t>
        </is>
      </c>
      <c r="H10350" s="8">
        <f>HYPERLINK("https://dart.fss.or.kr/dsaf001/main.do?rcpNo=20260610900908", "공시열람")</f>
        <v/>
      </c>
    </row>
    <row r="10351">
      <c r="A10351" s="2" t="inlineStr">
        <is>
          <t>2026-06-10</t>
        </is>
      </c>
      <c r="B10351" s="3" t="inlineStr">
        <is>
          <t>판타지오</t>
        </is>
      </c>
      <c r="C10351" s="2" t="inlineStr">
        <is>
          <t>코스닥</t>
        </is>
      </c>
      <c r="D10351" s="2" t="inlineStr">
        <is>
          <t>032800</t>
        </is>
      </c>
      <c r="E10351" s="3" t="inlineStr">
        <is>
          <t>기타시장안내              (최대주주의 의무보유 이행 관련)</t>
        </is>
      </c>
      <c r="F10351" s="3" t="inlineStr">
        <is>
          <t>코스닥시장본부</t>
        </is>
      </c>
      <c r="G10351" s="2" t="inlineStr">
        <is>
          <t>20260610900827</t>
        </is>
      </c>
      <c r="H10351" s="8">
        <f>HYPERLINK("https://dart.fss.or.kr/dsaf001/main.do?rcpNo=20260610900827", "공시열람")</f>
        <v/>
      </c>
    </row>
    <row r="10352">
      <c r="A10352" s="2" t="inlineStr">
        <is>
          <t>2026-06-10</t>
        </is>
      </c>
      <c r="B10352" s="3" t="inlineStr">
        <is>
          <t>에이팩트</t>
        </is>
      </c>
      <c r="C10352" s="2" t="inlineStr">
        <is>
          <t>코스닥</t>
        </is>
      </c>
      <c r="D10352" s="2" t="inlineStr">
        <is>
          <t>200470</t>
        </is>
      </c>
      <c r="E10352" s="3" t="inlineStr">
        <is>
          <t xml:space="preserve">증권발행결과(자율공시)              </t>
        </is>
      </c>
      <c r="F10352" s="3" t="inlineStr">
        <is>
          <t>에이팩트</t>
        </is>
      </c>
      <c r="G10352" s="2" t="inlineStr">
        <is>
          <t>20260610900906</t>
        </is>
      </c>
      <c r="H10352" s="8">
        <f>HYPERLINK("https://dart.fss.or.kr/dsaf001/main.do?rcpNo=20260610900906", "공시열람")</f>
        <v/>
      </c>
    </row>
    <row r="10353">
      <c r="A10353" s="2" t="inlineStr">
        <is>
          <t>2026-06-10</t>
        </is>
      </c>
      <c r="B10353" s="3" t="inlineStr">
        <is>
          <t>DH오토웨어</t>
        </is>
      </c>
      <c r="C10353" s="2" t="inlineStr">
        <is>
          <t>코스닥</t>
        </is>
      </c>
      <c r="D10353" s="2" t="inlineStr">
        <is>
          <t>025440</t>
        </is>
      </c>
      <c r="E10353" s="3" t="inlineStr">
        <is>
          <t>주권매매거래정지              (주식의 병합, 분할 등 전자등록 변경, 말소)</t>
        </is>
      </c>
      <c r="F10353" s="3" t="inlineStr">
        <is>
          <t>코스닥시장본부</t>
        </is>
      </c>
      <c r="G10353" s="2" t="inlineStr">
        <is>
          <t>20260610900892</t>
        </is>
      </c>
      <c r="H10353" s="8">
        <f>HYPERLINK("https://dart.fss.or.kr/dsaf001/main.do?rcpNo=20260610900892", "공시열람")</f>
        <v/>
      </c>
    </row>
    <row r="10354">
      <c r="A10354" s="2" t="inlineStr">
        <is>
          <t>2026-06-10</t>
        </is>
      </c>
      <c r="B10354" s="3" t="inlineStr">
        <is>
          <t>폴라리스오피스</t>
        </is>
      </c>
      <c r="C10354" s="2" t="inlineStr">
        <is>
          <t>코스닥</t>
        </is>
      </c>
      <c r="D10354" s="2" t="inlineStr">
        <is>
          <t>041020</t>
        </is>
      </c>
      <c r="E10354" s="3" t="inlineStr">
        <is>
          <t xml:space="preserve">기업설명회(IR)개최              </t>
        </is>
      </c>
      <c r="F10354" s="3" t="inlineStr">
        <is>
          <t>폴라리스오피스</t>
        </is>
      </c>
      <c r="G10354" s="2" t="inlineStr">
        <is>
          <t>20260610900895</t>
        </is>
      </c>
      <c r="H10354" s="8">
        <f>HYPERLINK("https://dart.fss.or.kr/dsaf001/main.do?rcpNo=20260610900895", "공시열람")</f>
        <v/>
      </c>
    </row>
    <row r="10355">
      <c r="A10355" s="2" t="inlineStr">
        <is>
          <t>2026-06-10</t>
        </is>
      </c>
      <c r="B10355" s="3" t="inlineStr">
        <is>
          <t>코스텍시스템</t>
        </is>
      </c>
      <c r="C10355" s="2" t="inlineStr">
        <is>
          <t>코넥스</t>
        </is>
      </c>
      <c r="D10355" s="2" t="inlineStr">
        <is>
          <t>169670</t>
        </is>
      </c>
      <c r="E10355" s="3" t="inlineStr">
        <is>
          <t xml:space="preserve">주주명부폐쇄기간또는기준일설정              </t>
        </is>
      </c>
      <c r="F10355" s="3" t="inlineStr">
        <is>
          <t>코스텍시스템</t>
        </is>
      </c>
      <c r="G10355" s="2" t="inlineStr">
        <is>
          <t>20260610600844</t>
        </is>
      </c>
      <c r="H10355" s="8">
        <f>HYPERLINK("https://dart.fss.or.kr/dsaf001/main.do?rcpNo=20260610600844", "공시열람")</f>
        <v/>
      </c>
    </row>
    <row r="10356">
      <c r="A10356" s="2" t="inlineStr">
        <is>
          <t>2026-06-10 (정정: 2026-06-11)</t>
        </is>
      </c>
      <c r="B10356" s="3" t="inlineStr">
        <is>
          <t>한화투자증권</t>
        </is>
      </c>
      <c r="C10356" s="2" t="inlineStr">
        <is>
          <t>코스피</t>
        </is>
      </c>
      <c r="D10356" s="2" t="inlineStr">
        <is>
          <t>003530</t>
        </is>
      </c>
      <c r="E10356" s="3" t="inlineStr">
        <is>
          <t>투자설명서(일괄신고) (정정: 20260611) (정정: 20260611)</t>
        </is>
      </c>
      <c r="F10356" s="3" t="inlineStr">
        <is>
          <t>한화투자증권</t>
        </is>
      </c>
      <c r="G10356" s="2" t="inlineStr">
        <is>
          <t>20260611000240</t>
        </is>
      </c>
      <c r="H10356" s="8">
        <f>HYPERLINK("https://dart.fss.or.kr/dsaf001/main.do?rcpNo=20260611000240", "공시열람")</f>
        <v/>
      </c>
    </row>
    <row r="10357">
      <c r="A10357" s="2" t="inlineStr">
        <is>
          <t>2026-06-10</t>
        </is>
      </c>
      <c r="B10357" s="3" t="inlineStr">
        <is>
          <t>이씨에스</t>
        </is>
      </c>
      <c r="C10357" s="2" t="inlineStr">
        <is>
          <t>코스닥</t>
        </is>
      </c>
      <c r="D10357" s="2" t="inlineStr">
        <is>
          <t>067010</t>
        </is>
      </c>
      <c r="E10357" s="3" t="inlineStr">
        <is>
          <t xml:space="preserve">감사보고서제출              </t>
        </is>
      </c>
      <c r="F10357" s="3" t="inlineStr">
        <is>
          <t>이씨에스</t>
        </is>
      </c>
      <c r="G10357" s="2" t="inlineStr">
        <is>
          <t>20260610900830</t>
        </is>
      </c>
      <c r="H10357" s="8">
        <f>HYPERLINK("https://dart.fss.or.kr/dsaf001/main.do?rcpNo=20260610900830", "공시열람")</f>
        <v/>
      </c>
    </row>
    <row r="10358">
      <c r="A10358" s="2" t="inlineStr">
        <is>
          <t>2026-06-10</t>
        </is>
      </c>
      <c r="B10358" s="3" t="inlineStr">
        <is>
          <t>휴림에이텍</t>
        </is>
      </c>
      <c r="C10358" s="2" t="inlineStr">
        <is>
          <t>코스닥</t>
        </is>
      </c>
      <c r="D10358" s="2" t="inlineStr">
        <is>
          <t>078590</t>
        </is>
      </c>
      <c r="E10358" s="3" t="inlineStr">
        <is>
          <t>임원ㆍ주요주주특정증권등소유상황보고서</t>
        </is>
      </c>
      <c r="F10358" s="3" t="inlineStr">
        <is>
          <t>휴림로봇</t>
        </is>
      </c>
      <c r="G10358" s="2" t="inlineStr">
        <is>
          <t>20260610000599</t>
        </is>
      </c>
      <c r="H10358" s="8">
        <f>HYPERLINK("https://dart.fss.or.kr/dsaf001/main.do?rcpNo=20260610000599", "공시열람")</f>
        <v/>
      </c>
    </row>
    <row r="10359">
      <c r="A10359" s="2" t="inlineStr">
        <is>
          <t>2026-06-10</t>
        </is>
      </c>
      <c r="B10359" s="3" t="inlineStr">
        <is>
          <t>기신정기</t>
        </is>
      </c>
      <c r="C10359" s="2" t="inlineStr">
        <is>
          <t>코스피</t>
        </is>
      </c>
      <c r="D10359" s="2" t="inlineStr">
        <is>
          <t>092440</t>
        </is>
      </c>
      <c r="E10359" s="3" t="inlineStr">
        <is>
          <t xml:space="preserve">감사보고서제출              </t>
        </is>
      </c>
      <c r="F10359" s="3" t="inlineStr">
        <is>
          <t>기신정기</t>
        </is>
      </c>
      <c r="G10359" s="2" t="inlineStr">
        <is>
          <t>20260610800828</t>
        </is>
      </c>
      <c r="H10359" s="8">
        <f>HYPERLINK("https://dart.fss.or.kr/dsaf001/main.do?rcpNo=20260610800828", "공시열람")</f>
        <v/>
      </c>
    </row>
    <row r="10360">
      <c r="A10360" s="2" t="inlineStr">
        <is>
          <t>2026-06-10</t>
        </is>
      </c>
      <c r="B10360" s="3" t="inlineStr">
        <is>
          <t>한화투자증권</t>
        </is>
      </c>
      <c r="C10360" s="2" t="inlineStr">
        <is>
          <t>코스피</t>
        </is>
      </c>
      <c r="D10360" s="2" t="inlineStr">
        <is>
          <t>003530</t>
        </is>
      </c>
      <c r="E10360" s="3" t="inlineStr">
        <is>
          <t>일괄신고추가서류(파생결합사채-주가연계파생결합사채)</t>
        </is>
      </c>
      <c r="F10360" s="3" t="inlineStr">
        <is>
          <t>한화투자증권</t>
        </is>
      </c>
      <c r="G10360" s="2" t="inlineStr">
        <is>
          <t>20260610000594</t>
        </is>
      </c>
      <c r="H10360" s="8">
        <f>HYPERLINK("https://dart.fss.or.kr/dsaf001/main.do?rcpNo=20260610000594", "공시열람")</f>
        <v/>
      </c>
    </row>
    <row r="10361">
      <c r="A10361" s="2" t="inlineStr">
        <is>
          <t>2026-06-10</t>
        </is>
      </c>
      <c r="B10361" s="3" t="inlineStr">
        <is>
          <t>BGF</t>
        </is>
      </c>
      <c r="C10361" s="2" t="inlineStr">
        <is>
          <t>코스피</t>
        </is>
      </c>
      <c r="D10361" s="2" t="inlineStr">
        <is>
          <t>027410</t>
        </is>
      </c>
      <c r="E10361" s="3" t="inlineStr">
        <is>
          <t xml:space="preserve">기업설명회(IR)개최(안내공시)              </t>
        </is>
      </c>
      <c r="F10361" s="3" t="inlineStr">
        <is>
          <t>BGF</t>
        </is>
      </c>
      <c r="G10361" s="2" t="inlineStr">
        <is>
          <t>20260610800852</t>
        </is>
      </c>
      <c r="H10361" s="8">
        <f>HYPERLINK("https://dart.fss.or.kr/dsaf001/main.do?rcpNo=20260610800852", "공시열람")</f>
        <v/>
      </c>
    </row>
    <row r="10362">
      <c r="A10362" s="2" t="inlineStr">
        <is>
          <t>2026-06-10</t>
        </is>
      </c>
      <c r="B10362" s="3" t="inlineStr">
        <is>
          <t>세아제강지주</t>
        </is>
      </c>
      <c r="C10362" s="2" t="inlineStr">
        <is>
          <t>코스피</t>
        </is>
      </c>
      <c r="D10362" s="2" t="inlineStr">
        <is>
          <t>003030</t>
        </is>
      </c>
      <c r="E10362" s="3" t="inlineStr">
        <is>
          <t xml:space="preserve">타법인주식및출자증권취득결정(자회사의 주요경영사항)              </t>
        </is>
      </c>
      <c r="F10362" s="3" t="inlineStr">
        <is>
          <t>세아제강지주</t>
        </is>
      </c>
      <c r="G10362" s="2" t="inlineStr">
        <is>
          <t>20260610800842</t>
        </is>
      </c>
      <c r="H10362" s="8">
        <f>HYPERLINK("https://dart.fss.or.kr/dsaf001/main.do?rcpNo=20260610800842", "공시열람")</f>
        <v/>
      </c>
    </row>
    <row r="10363">
      <c r="A10363" s="2" t="inlineStr">
        <is>
          <t>2026-06-10 (정정: 2026-06-11)</t>
        </is>
      </c>
      <c r="B10363" s="3" t="inlineStr">
        <is>
          <t>씨씨에스</t>
        </is>
      </c>
      <c r="C10363" s="2" t="inlineStr">
        <is>
          <t>코스닥</t>
        </is>
      </c>
      <c r="D10363" s="2" t="inlineStr">
        <is>
          <t>066790</t>
        </is>
      </c>
      <c r="E10363" s="3" t="inlineStr">
        <is>
          <t>소송등의판결ㆍ결정              (회계장부 열람등사 가처분) (정정: 20260611)</t>
        </is>
      </c>
      <c r="F10363" s="3" t="inlineStr">
        <is>
          <t>씨씨에스</t>
        </is>
      </c>
      <c r="G10363" s="2" t="inlineStr">
        <is>
          <t>20260611000604</t>
        </is>
      </c>
      <c r="H10363" s="8">
        <f>HYPERLINK("https://dart.fss.or.kr/dsaf001/main.do?rcpNo=20260611000604", "공시열람")</f>
        <v/>
      </c>
    </row>
    <row r="10364">
      <c r="A10364" s="2" t="inlineStr">
        <is>
          <t>2026-06-10</t>
        </is>
      </c>
      <c r="B10364" s="3" t="inlineStr">
        <is>
          <t>세아제강</t>
        </is>
      </c>
      <c r="C10364" s="2" t="inlineStr">
        <is>
          <t>코스피</t>
        </is>
      </c>
      <c r="D10364" s="2" t="inlineStr">
        <is>
          <t>306200</t>
        </is>
      </c>
      <c r="E10364" s="3" t="inlineStr">
        <is>
          <t xml:space="preserve">타법인주식및출자증권취득결정              </t>
        </is>
      </c>
      <c r="F10364" s="3" t="inlineStr">
        <is>
          <t>세아제강</t>
        </is>
      </c>
      <c r="G10364" s="2" t="inlineStr">
        <is>
          <t>20260610800812</t>
        </is>
      </c>
      <c r="H10364" s="8">
        <f>HYPERLINK("https://dart.fss.or.kr/dsaf001/main.do?rcpNo=20260610800812", "공시열람")</f>
        <v/>
      </c>
    </row>
    <row r="10365">
      <c r="A10365" s="2" t="inlineStr">
        <is>
          <t>2026-06-10</t>
        </is>
      </c>
      <c r="B10365" s="3" t="inlineStr">
        <is>
          <t>윈팩</t>
        </is>
      </c>
      <c r="C10365" s="2" t="inlineStr">
        <is>
          <t>코스닥</t>
        </is>
      </c>
      <c r="D10365" s="2" t="inlineStr">
        <is>
          <t>097800</t>
        </is>
      </c>
      <c r="E10365" s="3" t="inlineStr">
        <is>
          <t xml:space="preserve">기업설명회(IR)개최              </t>
        </is>
      </c>
      <c r="F10365" s="3" t="inlineStr">
        <is>
          <t>윈팩</t>
        </is>
      </c>
      <c r="G10365" s="2" t="inlineStr">
        <is>
          <t>20260610900841</t>
        </is>
      </c>
      <c r="H10365" s="8">
        <f>HYPERLINK("https://dart.fss.or.kr/dsaf001/main.do?rcpNo=20260610900841", "공시열람")</f>
        <v/>
      </c>
    </row>
    <row r="10366">
      <c r="A10366" s="2" t="inlineStr">
        <is>
          <t>2026-06-10</t>
        </is>
      </c>
      <c r="B10366" s="3" t="inlineStr">
        <is>
          <t>위지트</t>
        </is>
      </c>
      <c r="C10366" s="2" t="inlineStr">
        <is>
          <t>코스닥</t>
        </is>
      </c>
      <c r="D10366" s="2" t="inlineStr">
        <is>
          <t>036090</t>
        </is>
      </c>
      <c r="E10366" s="3" t="inlineStr">
        <is>
          <t xml:space="preserve">증권발행결과(자율공시)              </t>
        </is>
      </c>
      <c r="F10366" s="3" t="inlineStr">
        <is>
          <t>위지트</t>
        </is>
      </c>
      <c r="G10366" s="2" t="inlineStr">
        <is>
          <t>20260610900834</t>
        </is>
      </c>
      <c r="H10366" s="8">
        <f>HYPERLINK("https://dart.fss.or.kr/dsaf001/main.do?rcpNo=20260610900834", "공시열람")</f>
        <v/>
      </c>
    </row>
    <row r="10367">
      <c r="A10367" s="2" t="inlineStr">
        <is>
          <t>2026-06-10</t>
        </is>
      </c>
      <c r="B10367" s="3" t="inlineStr">
        <is>
          <t>POSCO홀딩스</t>
        </is>
      </c>
      <c r="C10367" s="2" t="inlineStr">
        <is>
          <t>코스피</t>
        </is>
      </c>
      <c r="D10367" s="2" t="inlineStr">
        <is>
          <t>005490</t>
        </is>
      </c>
      <c r="E10367" s="3" t="inlineStr">
        <is>
          <t xml:space="preserve">불성실공시법인지정예고              </t>
        </is>
      </c>
      <c r="F10367" s="3" t="inlineStr">
        <is>
          <t>유가증권시장본부</t>
        </is>
      </c>
      <c r="G10367" s="2" t="inlineStr">
        <is>
          <t>20260610800805</t>
        </is>
      </c>
      <c r="H10367" s="8">
        <f>HYPERLINK("https://dart.fss.or.kr/dsaf001/main.do?rcpNo=20260610800805", "공시열람")</f>
        <v/>
      </c>
    </row>
    <row r="10368">
      <c r="A10368" s="2" t="inlineStr">
        <is>
          <t>2026-06-10</t>
        </is>
      </c>
      <c r="B10368" s="3" t="inlineStr">
        <is>
          <t>엔더블유시</t>
        </is>
      </c>
      <c r="C10368" s="2" t="inlineStr">
        <is>
          <t>코넥스</t>
        </is>
      </c>
      <c r="D10368" s="2" t="inlineStr">
        <is>
          <t>059180</t>
        </is>
      </c>
      <c r="E10368" s="3" t="inlineStr">
        <is>
          <t xml:space="preserve">기업설명회(IR)개최              </t>
        </is>
      </c>
      <c r="F10368" s="3" t="inlineStr">
        <is>
          <t>엔더블유시</t>
        </is>
      </c>
      <c r="G10368" s="2" t="inlineStr">
        <is>
          <t>20260610600799</t>
        </is>
      </c>
      <c r="H10368" s="8">
        <f>HYPERLINK("https://dart.fss.or.kr/dsaf001/main.do?rcpNo=20260610600799", "공시열람")</f>
        <v/>
      </c>
    </row>
    <row r="10369">
      <c r="A10369" s="2" t="inlineStr">
        <is>
          <t>2026-06-10</t>
        </is>
      </c>
      <c r="B10369" s="3" t="inlineStr">
        <is>
          <t>대동기어</t>
        </is>
      </c>
      <c r="C10369" s="2" t="inlineStr">
        <is>
          <t>코스닥</t>
        </is>
      </c>
      <c r="D10369" s="2" t="inlineStr">
        <is>
          <t>008830</t>
        </is>
      </c>
      <c r="E10369" s="3" t="inlineStr">
        <is>
          <t>권리락              (유상증자)</t>
        </is>
      </c>
      <c r="F10369" s="3" t="inlineStr">
        <is>
          <t>코스닥시장본부</t>
        </is>
      </c>
      <c r="G10369" s="2" t="inlineStr">
        <is>
          <t>20260610900826</t>
        </is>
      </c>
      <c r="H10369" s="8">
        <f>HYPERLINK("https://dart.fss.or.kr/dsaf001/main.do?rcpNo=20260610900826", "공시열람")</f>
        <v/>
      </c>
    </row>
    <row r="10370">
      <c r="A10370" s="2" t="inlineStr">
        <is>
          <t>2026-06-10</t>
        </is>
      </c>
      <c r="B10370" s="3" t="inlineStr">
        <is>
          <t>아이오케이이엔엠</t>
        </is>
      </c>
      <c r="C10370" s="2" t="inlineStr">
        <is>
          <t>코스닥</t>
        </is>
      </c>
      <c r="D10370" s="2" t="inlineStr">
        <is>
          <t>078860</t>
        </is>
      </c>
      <c r="E10370" s="3" t="inlineStr">
        <is>
          <t xml:space="preserve">대표이사변경              </t>
        </is>
      </c>
      <c r="F10370" s="3" t="inlineStr">
        <is>
          <t>아이오케이이엔엠</t>
        </is>
      </c>
      <c r="G10370" s="2" t="inlineStr">
        <is>
          <t>20260610900793</t>
        </is>
      </c>
      <c r="H10370" s="8">
        <f>HYPERLINK("https://dart.fss.or.kr/dsaf001/main.do?rcpNo=20260610900793", "공시열람")</f>
        <v/>
      </c>
    </row>
    <row r="10371">
      <c r="A10371" s="2" t="inlineStr">
        <is>
          <t>2026-06-10</t>
        </is>
      </c>
      <c r="B10371" s="3" t="inlineStr">
        <is>
          <t>PS일렉트로닉스</t>
        </is>
      </c>
      <c r="C10371" s="2" t="inlineStr">
        <is>
          <t>코스닥</t>
        </is>
      </c>
      <c r="D10371" s="2" t="inlineStr">
        <is>
          <t>332570</t>
        </is>
      </c>
      <c r="E10371" s="3" t="inlineStr">
        <is>
          <t>주요사항보고서(제3자의전환주식매수선택권행사)</t>
        </is>
      </c>
      <c r="F10371" s="3" t="inlineStr">
        <is>
          <t>PS일렉트로닉스</t>
        </is>
      </c>
      <c r="G10371" s="2" t="inlineStr">
        <is>
          <t>20260610000574</t>
        </is>
      </c>
      <c r="H10371" s="8">
        <f>HYPERLINK("https://dart.fss.or.kr/dsaf001/main.do?rcpNo=20260610000574", "공시열람")</f>
        <v/>
      </c>
    </row>
    <row r="10372">
      <c r="A10372" s="2" t="inlineStr">
        <is>
          <t>2026-06-10 (정정: 2026-06-26)</t>
        </is>
      </c>
      <c r="B10372" s="3" t="inlineStr">
        <is>
          <t>전진건설로봇</t>
        </is>
      </c>
      <c r="C10372" s="2" t="inlineStr">
        <is>
          <t>코스피</t>
        </is>
      </c>
      <c r="D10372" s="2" t="inlineStr">
        <is>
          <t>079900</t>
        </is>
      </c>
      <c r="E10372" s="3" t="inlineStr">
        <is>
          <t>주주명부폐쇄기간또는기준일설정               (정정: 20260626)</t>
        </is>
      </c>
      <c r="F10372" s="3" t="inlineStr">
        <is>
          <t>전진건설로봇</t>
        </is>
      </c>
      <c r="G10372" s="2" t="inlineStr">
        <is>
          <t>20260626800762</t>
        </is>
      </c>
      <c r="H10372" s="8">
        <f>HYPERLINK("https://dart.fss.or.kr/dsaf001/main.do?rcpNo=20260626800762", "공시열람")</f>
        <v/>
      </c>
    </row>
    <row r="10373">
      <c r="A10373" s="2" t="inlineStr">
        <is>
          <t>2026-06-10</t>
        </is>
      </c>
      <c r="B10373" s="3" t="inlineStr">
        <is>
          <t>동양</t>
        </is>
      </c>
      <c r="C10373" s="2" t="inlineStr">
        <is>
          <t>코스피</t>
        </is>
      </c>
      <c r="D10373" s="2" t="inlineStr">
        <is>
          <t>001520</t>
        </is>
      </c>
      <c r="E10373" s="3" t="inlineStr">
        <is>
          <t>임원ㆍ주요주주특정증권등소유상황보고서</t>
        </is>
      </c>
      <c r="F10373" s="3" t="inlineStr">
        <is>
          <t>황병욱</t>
        </is>
      </c>
      <c r="G10373" s="2" t="inlineStr">
        <is>
          <t>20260610000573</t>
        </is>
      </c>
      <c r="H10373" s="8">
        <f>HYPERLINK("https://dart.fss.or.kr/dsaf001/main.do?rcpNo=20260610000573", "공시열람")</f>
        <v/>
      </c>
    </row>
    <row r="10374">
      <c r="A10374" s="2" t="inlineStr">
        <is>
          <t>2026-06-10</t>
        </is>
      </c>
      <c r="B10374" s="3" t="inlineStr">
        <is>
          <t>NH투자증권</t>
        </is>
      </c>
      <c r="C10374" s="2" t="inlineStr">
        <is>
          <t>코스피</t>
        </is>
      </c>
      <c r="D10374" s="2" t="inlineStr">
        <is>
          <t>005940</t>
        </is>
      </c>
      <c r="E10374" s="3" t="inlineStr">
        <is>
          <t>[발행조건확정]증권신고서(채무증권)</t>
        </is>
      </c>
      <c r="F10374" s="3" t="inlineStr">
        <is>
          <t>NH투자증권</t>
        </is>
      </c>
      <c r="G10374" s="2" t="inlineStr">
        <is>
          <t>20260610000566</t>
        </is>
      </c>
      <c r="H10374" s="8">
        <f>HYPERLINK("https://dart.fss.or.kr/dsaf001/main.do?rcpNo=20260610000566", "공시열람")</f>
        <v/>
      </c>
    </row>
    <row r="10375">
      <c r="A10375" s="2" t="inlineStr">
        <is>
          <t>2026-06-10</t>
        </is>
      </c>
      <c r="B10375" s="3" t="inlineStr">
        <is>
          <t>풍산</t>
        </is>
      </c>
      <c r="C10375" s="2" t="inlineStr">
        <is>
          <t>코스피</t>
        </is>
      </c>
      <c r="D10375" s="2" t="inlineStr">
        <is>
          <t>103140</t>
        </is>
      </c>
      <c r="E10375" s="3" t="inlineStr">
        <is>
          <t>임원ㆍ주요주주특정증권등소유상황보고서</t>
        </is>
      </c>
      <c r="F10375" s="3" t="inlineStr">
        <is>
          <t>박우동</t>
        </is>
      </c>
      <c r="G10375" s="2" t="inlineStr">
        <is>
          <t>20260610000562</t>
        </is>
      </c>
      <c r="H10375" s="8">
        <f>HYPERLINK("https://dart.fss.or.kr/dsaf001/main.do?rcpNo=20260610000562", "공시열람")</f>
        <v/>
      </c>
    </row>
    <row r="10376">
      <c r="A10376" s="2" t="inlineStr">
        <is>
          <t>2026-06-10</t>
        </is>
      </c>
      <c r="B10376" s="3" t="inlineStr">
        <is>
          <t>세아홀딩스</t>
        </is>
      </c>
      <c r="C10376" s="2" t="inlineStr">
        <is>
          <t>코스피</t>
        </is>
      </c>
      <c r="D10376" s="2" t="inlineStr">
        <is>
          <t>058650</t>
        </is>
      </c>
      <c r="E10376" s="3" t="inlineStr">
        <is>
          <t>임원ㆍ주요주주특정증권등소유상황보고서</t>
        </is>
      </c>
      <c r="F10376" s="3" t="inlineStr">
        <is>
          <t>박의숙</t>
        </is>
      </c>
      <c r="G10376" s="2" t="inlineStr">
        <is>
          <t>20260610000561</t>
        </is>
      </c>
      <c r="H10376" s="8">
        <f>HYPERLINK("https://dart.fss.or.kr/dsaf001/main.do?rcpNo=20260610000561", "공시열람")</f>
        <v/>
      </c>
    </row>
    <row r="10377">
      <c r="A10377" s="2" t="inlineStr">
        <is>
          <t>2026-06-10</t>
        </is>
      </c>
      <c r="B10377" s="3" t="inlineStr">
        <is>
          <t>케이엠제약</t>
        </is>
      </c>
      <c r="C10377" s="2" t="inlineStr">
        <is>
          <t>코스닥</t>
        </is>
      </c>
      <c r="D10377" s="2" t="inlineStr">
        <is>
          <t>225430</t>
        </is>
      </c>
      <c r="E10377" s="3" t="inlineStr">
        <is>
          <t>임원ㆍ주요주주특정증권등소유상황보고서</t>
        </is>
      </c>
      <c r="F10377" s="3" t="inlineStr">
        <is>
          <t>황민영</t>
        </is>
      </c>
      <c r="G10377" s="2" t="inlineStr">
        <is>
          <t>20260610000560</t>
        </is>
      </c>
      <c r="H10377" s="8">
        <f>HYPERLINK("https://dart.fss.or.kr/dsaf001/main.do?rcpNo=20260610000560", "공시열람")</f>
        <v/>
      </c>
    </row>
    <row r="10378">
      <c r="A10378" s="2" t="inlineStr">
        <is>
          <t>2026-06-10</t>
        </is>
      </c>
      <c r="B10378" s="3" t="inlineStr">
        <is>
          <t>소룩스</t>
        </is>
      </c>
      <c r="C10378" s="2" t="inlineStr">
        <is>
          <t>코스닥</t>
        </is>
      </c>
      <c r="D10378" s="2" t="inlineStr">
        <is>
          <t>290690</t>
        </is>
      </c>
      <c r="E10378" s="3" t="inlineStr">
        <is>
          <t>전환청구권행사              (제3회차 CB)</t>
        </is>
      </c>
      <c r="F10378" s="3" t="inlineStr">
        <is>
          <t>소룩스</t>
        </is>
      </c>
      <c r="G10378" s="2" t="inlineStr">
        <is>
          <t>20260610900726</t>
        </is>
      </c>
      <c r="H10378" s="8">
        <f>HYPERLINK("https://dart.fss.or.kr/dsaf001/main.do?rcpNo=20260610900726", "공시열람")</f>
        <v/>
      </c>
    </row>
    <row r="10379">
      <c r="A10379" s="2" t="inlineStr">
        <is>
          <t>2026-06-10</t>
        </is>
      </c>
      <c r="B10379" s="3" t="inlineStr">
        <is>
          <t>우리금융지주</t>
        </is>
      </c>
      <c r="C10379" s="2" t="inlineStr">
        <is>
          <t>코스피</t>
        </is>
      </c>
      <c r="D10379" s="2" t="inlineStr">
        <is>
          <t>316140</t>
        </is>
      </c>
      <c r="E10379" s="3" t="inlineStr">
        <is>
          <t>신탁계약해지결과보고서</t>
        </is>
      </c>
      <c r="F10379" s="3" t="inlineStr">
        <is>
          <t>우리금융지주</t>
        </is>
      </c>
      <c r="G10379" s="2" t="inlineStr">
        <is>
          <t>20260610000559</t>
        </is>
      </c>
      <c r="H10379" s="8">
        <f>HYPERLINK("https://dart.fss.or.kr/dsaf001/main.do?rcpNo=20260610000559", "공시열람")</f>
        <v/>
      </c>
    </row>
    <row r="10380">
      <c r="A10380" s="2" t="inlineStr">
        <is>
          <t>2026-06-10</t>
        </is>
      </c>
      <c r="B10380" s="3" t="inlineStr">
        <is>
          <t>한화투자증권</t>
        </is>
      </c>
      <c r="C10380" s="2" t="inlineStr">
        <is>
          <t>코스피</t>
        </is>
      </c>
      <c r="D10380" s="2" t="inlineStr">
        <is>
          <t>003530</t>
        </is>
      </c>
      <c r="E10380" s="3" t="inlineStr">
        <is>
          <t>투자설명서(일괄신고)</t>
        </is>
      </c>
      <c r="F10380" s="3" t="inlineStr">
        <is>
          <t>한화투자증권</t>
        </is>
      </c>
      <c r="G10380" s="2" t="inlineStr">
        <is>
          <t>20260610000557</t>
        </is>
      </c>
      <c r="H10380" s="8">
        <f>HYPERLINK("https://dart.fss.or.kr/dsaf001/main.do?rcpNo=20260610000557", "공시열람")</f>
        <v/>
      </c>
    </row>
    <row r="10381">
      <c r="A10381" s="2" t="inlineStr">
        <is>
          <t>2026-06-10</t>
        </is>
      </c>
      <c r="B10381" s="3" t="inlineStr">
        <is>
          <t>한화투자증권</t>
        </is>
      </c>
      <c r="C10381" s="2" t="inlineStr">
        <is>
          <t>코스피</t>
        </is>
      </c>
      <c r="D10381" s="2" t="inlineStr">
        <is>
          <t>003530</t>
        </is>
      </c>
      <c r="E10381" s="3" t="inlineStr">
        <is>
          <t>투자설명서(일괄신고)</t>
        </is>
      </c>
      <c r="F10381" s="3" t="inlineStr">
        <is>
          <t>한화투자증권</t>
        </is>
      </c>
      <c r="G10381" s="2" t="inlineStr">
        <is>
          <t>20260610000553</t>
        </is>
      </c>
      <c r="H10381" s="8">
        <f>HYPERLINK("https://dart.fss.or.kr/dsaf001/main.do?rcpNo=20260610000553", "공시열람")</f>
        <v/>
      </c>
    </row>
    <row r="10382">
      <c r="A10382" s="2" t="inlineStr">
        <is>
          <t>2026-06-10</t>
        </is>
      </c>
      <c r="B10382" s="3" t="inlineStr">
        <is>
          <t>한화투자증권</t>
        </is>
      </c>
      <c r="C10382" s="2" t="inlineStr">
        <is>
          <t>코스피</t>
        </is>
      </c>
      <c r="D10382" s="2" t="inlineStr">
        <is>
          <t>003530</t>
        </is>
      </c>
      <c r="E10382" s="3" t="inlineStr">
        <is>
          <t>투자설명서(일괄신고)</t>
        </is>
      </c>
      <c r="F10382" s="3" t="inlineStr">
        <is>
          <t>한화투자증권</t>
        </is>
      </c>
      <c r="G10382" s="2" t="inlineStr">
        <is>
          <t>20260610000550</t>
        </is>
      </c>
      <c r="H10382" s="8">
        <f>HYPERLINK("https://dart.fss.or.kr/dsaf001/main.do?rcpNo=20260610000550", "공시열람")</f>
        <v/>
      </c>
    </row>
    <row r="10383">
      <c r="A10383" s="2" t="inlineStr">
        <is>
          <t>2026-06-10</t>
        </is>
      </c>
      <c r="B10383" s="3" t="inlineStr">
        <is>
          <t>아주IB투자</t>
        </is>
      </c>
      <c r="C10383" s="2" t="inlineStr">
        <is>
          <t>코스닥</t>
        </is>
      </c>
      <c r="D10383" s="2" t="inlineStr">
        <is>
          <t>027360</t>
        </is>
      </c>
      <c r="E10383" s="3" t="inlineStr">
        <is>
          <t>임원ㆍ주요주주특정증권등소유상황보고서</t>
        </is>
      </c>
      <c r="F10383" s="3" t="inlineStr">
        <is>
          <t>아주</t>
        </is>
      </c>
      <c r="G10383" s="2" t="inlineStr">
        <is>
          <t>20260610000545</t>
        </is>
      </c>
      <c r="H10383" s="8">
        <f>HYPERLINK("https://dart.fss.or.kr/dsaf001/main.do?rcpNo=20260610000545", "공시열람")</f>
        <v/>
      </c>
    </row>
    <row r="10384">
      <c r="A10384" s="2" t="inlineStr">
        <is>
          <t>2026-06-10</t>
        </is>
      </c>
      <c r="B10384" s="3" t="inlineStr">
        <is>
          <t>NH투자증권</t>
        </is>
      </c>
      <c r="C10384" s="2" t="inlineStr">
        <is>
          <t>코스피</t>
        </is>
      </c>
      <c r="D10384" s="2" t="inlineStr">
        <is>
          <t>005940</t>
        </is>
      </c>
      <c r="E10384" s="3" t="inlineStr">
        <is>
          <t>투자설명서(일괄신고)</t>
        </is>
      </c>
      <c r="F10384" s="3" t="inlineStr">
        <is>
          <t>NH투자증권</t>
        </is>
      </c>
      <c r="G10384" s="2" t="inlineStr">
        <is>
          <t>20260610000537</t>
        </is>
      </c>
      <c r="H10384" s="8">
        <f>HYPERLINK("https://dart.fss.or.kr/dsaf001/main.do?rcpNo=20260610000537", "공시열람")</f>
        <v/>
      </c>
    </row>
    <row r="10385">
      <c r="A10385" s="2" t="inlineStr">
        <is>
          <t>2026-06-10</t>
        </is>
      </c>
      <c r="B10385" s="3" t="inlineStr">
        <is>
          <t>NC</t>
        </is>
      </c>
      <c r="C10385" s="2" t="inlineStr">
        <is>
          <t>코스피</t>
        </is>
      </c>
      <c r="D10385" s="2" t="inlineStr">
        <is>
          <t>036570</t>
        </is>
      </c>
      <c r="E10385" s="3" t="inlineStr">
        <is>
          <t xml:space="preserve">기업설명회(IR)개최(안내공시)              </t>
        </is>
      </c>
      <c r="F10385" s="3" t="inlineStr">
        <is>
          <t>NC</t>
        </is>
      </c>
      <c r="G10385" s="2" t="inlineStr">
        <is>
          <t>20260610800777</t>
        </is>
      </c>
      <c r="H10385" s="8">
        <f>HYPERLINK("https://dart.fss.or.kr/dsaf001/main.do?rcpNo=20260610800777", "공시열람")</f>
        <v/>
      </c>
    </row>
    <row r="10386">
      <c r="A10386" s="2" t="inlineStr">
        <is>
          <t>2026-06-10</t>
        </is>
      </c>
      <c r="B10386" s="3" t="inlineStr">
        <is>
          <t>코아스</t>
        </is>
      </c>
      <c r="C10386" s="2" t="inlineStr">
        <is>
          <t>코스피</t>
        </is>
      </c>
      <c r="D10386" s="2" t="inlineStr">
        <is>
          <t>071950</t>
        </is>
      </c>
      <c r="E10386" s="3" t="inlineStr">
        <is>
          <t>주요사항보고서(자기전환사채만기전취득결정)</t>
        </is>
      </c>
      <c r="F10386" s="3" t="inlineStr">
        <is>
          <t>코아스</t>
        </is>
      </c>
      <c r="G10386" s="2" t="inlineStr">
        <is>
          <t>20260610000504</t>
        </is>
      </c>
      <c r="H10386" s="8">
        <f>HYPERLINK("https://dart.fss.or.kr/dsaf001/main.do?rcpNo=20260610000504", "공시열람")</f>
        <v/>
      </c>
    </row>
    <row r="10387">
      <c r="A10387" s="2" t="inlineStr">
        <is>
          <t>2026-06-10</t>
        </is>
      </c>
      <c r="B10387" s="3" t="inlineStr">
        <is>
          <t>3S</t>
        </is>
      </c>
      <c r="C10387" s="2" t="inlineStr">
        <is>
          <t>코스닥</t>
        </is>
      </c>
      <c r="D10387" s="2" t="inlineStr">
        <is>
          <t>060310</t>
        </is>
      </c>
      <c r="E10387" s="3" t="inlineStr">
        <is>
          <t>의결권대리행사권유참고서류</t>
        </is>
      </c>
      <c r="F10387" s="3" t="inlineStr">
        <is>
          <t>3S</t>
        </is>
      </c>
      <c r="G10387" s="2" t="inlineStr">
        <is>
          <t>20260610000530</t>
        </is>
      </c>
      <c r="H10387" s="8">
        <f>HYPERLINK("https://dart.fss.or.kr/dsaf001/main.do?rcpNo=20260610000530", "공시열람")</f>
        <v/>
      </c>
    </row>
    <row r="10388">
      <c r="A10388" s="2" t="inlineStr">
        <is>
          <t>2026-06-10</t>
        </is>
      </c>
      <c r="B10388" s="3" t="inlineStr">
        <is>
          <t>코아스</t>
        </is>
      </c>
      <c r="C10388" s="2" t="inlineStr">
        <is>
          <t>코스피</t>
        </is>
      </c>
      <c r="D10388" s="2" t="inlineStr">
        <is>
          <t>071950</t>
        </is>
      </c>
      <c r="E10388" s="3" t="inlineStr">
        <is>
          <t>주요사항보고서(자기전환사채만기전취득결정)</t>
        </is>
      </c>
      <c r="F10388" s="3" t="inlineStr">
        <is>
          <t>코아스</t>
        </is>
      </c>
      <c r="G10388" s="2" t="inlineStr">
        <is>
          <t>20260610000502</t>
        </is>
      </c>
      <c r="H10388" s="8">
        <f>HYPERLINK("https://dart.fss.or.kr/dsaf001/main.do?rcpNo=20260610000502", "공시열람")</f>
        <v/>
      </c>
    </row>
    <row r="10389">
      <c r="A10389" s="2" t="inlineStr">
        <is>
          <t>2026-06-10</t>
        </is>
      </c>
      <c r="B10389" s="3" t="inlineStr">
        <is>
          <t>코아스</t>
        </is>
      </c>
      <c r="C10389" s="2" t="inlineStr">
        <is>
          <t>코스피</t>
        </is>
      </c>
      <c r="D10389" s="2" t="inlineStr">
        <is>
          <t>071950</t>
        </is>
      </c>
      <c r="E10389" s="3" t="inlineStr">
        <is>
          <t>주요사항보고서(자기신주인수권부사채만기전취득결정)</t>
        </is>
      </c>
      <c r="F10389" s="3" t="inlineStr">
        <is>
          <t>코아스</t>
        </is>
      </c>
      <c r="G10389" s="2" t="inlineStr">
        <is>
          <t>20260610000498</t>
        </is>
      </c>
      <c r="H10389" s="8">
        <f>HYPERLINK("https://dart.fss.or.kr/dsaf001/main.do?rcpNo=20260610000498", "공시열람")</f>
        <v/>
      </c>
    </row>
    <row r="10390">
      <c r="A10390" s="2" t="inlineStr">
        <is>
          <t>2026-06-10</t>
        </is>
      </c>
      <c r="B10390" s="3" t="inlineStr">
        <is>
          <t>주연테크</t>
        </is>
      </c>
      <c r="C10390" s="2" t="inlineStr">
        <is>
          <t>코스피</t>
        </is>
      </c>
      <c r="D10390" s="2" t="inlineStr">
        <is>
          <t>044380</t>
        </is>
      </c>
      <c r="E10390" s="3" t="inlineStr">
        <is>
          <t xml:space="preserve">주주명부폐쇄기간또는기준일설정              </t>
        </is>
      </c>
      <c r="F10390" s="3" t="inlineStr">
        <is>
          <t>주연테크</t>
        </is>
      </c>
      <c r="G10390" s="2" t="inlineStr">
        <is>
          <t>20260610800737</t>
        </is>
      </c>
      <c r="H10390" s="8">
        <f>HYPERLINK("https://dart.fss.or.kr/dsaf001/main.do?rcpNo=20260610800737", "공시열람")</f>
        <v/>
      </c>
    </row>
    <row r="10391">
      <c r="A10391" s="2" t="inlineStr">
        <is>
          <t>2026-06-10 (정정: 2026-06-24)</t>
        </is>
      </c>
      <c r="B10391" s="3" t="inlineStr">
        <is>
          <t>PS일렉트로닉스</t>
        </is>
      </c>
      <c r="C10391" s="2" t="inlineStr">
        <is>
          <t>코스닥</t>
        </is>
      </c>
      <c r="D10391" s="2" t="inlineStr">
        <is>
          <t>332570</t>
        </is>
      </c>
      <c r="E10391" s="3" t="inlineStr">
        <is>
          <t>주요사항보고서(전환주식매수선택권행사자지정) (정정: 20260624)</t>
        </is>
      </c>
      <c r="F10391" s="3" t="inlineStr">
        <is>
          <t>PS일렉트로닉스</t>
        </is>
      </c>
      <c r="G10391" s="2" t="inlineStr">
        <is>
          <t>20260624000063</t>
        </is>
      </c>
      <c r="H10391" s="8">
        <f>HYPERLINK("https://dart.fss.or.kr/dsaf001/main.do?rcpNo=20260624000063", "공시열람")</f>
        <v/>
      </c>
    </row>
    <row r="10392">
      <c r="A10392" s="2" t="inlineStr">
        <is>
          <t>2026-06-10</t>
        </is>
      </c>
      <c r="B10392" s="3" t="inlineStr">
        <is>
          <t>현대모비스</t>
        </is>
      </c>
      <c r="C10392" s="2" t="inlineStr">
        <is>
          <t>코스피</t>
        </is>
      </c>
      <c r="D10392" s="2" t="inlineStr">
        <is>
          <t>012330</t>
        </is>
      </c>
      <c r="E10392" s="3" t="inlineStr">
        <is>
          <t>임원ㆍ주요주주특정증권등소유상황보고서</t>
        </is>
      </c>
      <c r="F10392" s="3" t="inlineStr">
        <is>
          <t>강상원</t>
        </is>
      </c>
      <c r="G10392" s="2" t="inlineStr">
        <is>
          <t>20260610000528</t>
        </is>
      </c>
      <c r="H10392" s="8">
        <f>HYPERLINK("https://dart.fss.or.kr/dsaf001/main.do?rcpNo=20260610000528", "공시열람")</f>
        <v/>
      </c>
    </row>
    <row r="10393">
      <c r="A10393" s="2" t="inlineStr">
        <is>
          <t>2026-06-10</t>
        </is>
      </c>
      <c r="B10393" s="3" t="inlineStr">
        <is>
          <t>KTis</t>
        </is>
      </c>
      <c r="C10393" s="2" t="inlineStr">
        <is>
          <t>코스피</t>
        </is>
      </c>
      <c r="D10393" s="2" t="inlineStr">
        <is>
          <t>058860</t>
        </is>
      </c>
      <c r="E10393" s="3" t="inlineStr">
        <is>
          <t>임원ㆍ주요주주특정증권등소유상황보고서</t>
        </is>
      </c>
      <c r="F10393" s="3" t="inlineStr">
        <is>
          <t>조일택</t>
        </is>
      </c>
      <c r="G10393" s="2" t="inlineStr">
        <is>
          <t>20260610000526</t>
        </is>
      </c>
      <c r="H10393" s="8">
        <f>HYPERLINK("https://dart.fss.or.kr/dsaf001/main.do?rcpNo=20260610000526", "공시열람")</f>
        <v/>
      </c>
    </row>
    <row r="10394">
      <c r="A10394" s="2" t="inlineStr">
        <is>
          <t>2026-06-10</t>
        </is>
      </c>
      <c r="B10394" s="3" t="inlineStr">
        <is>
          <t>딥커머스</t>
        </is>
      </c>
      <c r="C10394" s="2" t="inlineStr">
        <is>
          <t>코스닥</t>
        </is>
      </c>
      <c r="D10394" s="2" t="inlineStr">
        <is>
          <t>900110</t>
        </is>
      </c>
      <c r="E10394" s="3" t="inlineStr">
        <is>
          <t>임원ㆍ주요주주특정증권등소유상황보고서</t>
        </is>
      </c>
      <c r="F10394" s="3" t="inlineStr">
        <is>
          <t>DING SHAOYING</t>
        </is>
      </c>
      <c r="G10394" s="2" t="inlineStr">
        <is>
          <t>20260610000525</t>
        </is>
      </c>
      <c r="H10394" s="8">
        <f>HYPERLINK("https://dart.fss.or.kr/dsaf001/main.do?rcpNo=20260610000525", "공시열람")</f>
        <v/>
      </c>
    </row>
    <row r="10395">
      <c r="A10395" s="2" t="inlineStr">
        <is>
          <t>2026-06-10</t>
        </is>
      </c>
      <c r="B10395" s="3" t="inlineStr">
        <is>
          <t>한화투자증권</t>
        </is>
      </c>
      <c r="C10395" s="2" t="inlineStr">
        <is>
          <t>코스피</t>
        </is>
      </c>
      <c r="D10395" s="2" t="inlineStr">
        <is>
          <t>003530</t>
        </is>
      </c>
      <c r="E10395" s="3" t="inlineStr">
        <is>
          <t>일괄신고추가서류(파생결합사채-주가연계파생결합사채)</t>
        </is>
      </c>
      <c r="F10395" s="3" t="inlineStr">
        <is>
          <t>한화투자증권</t>
        </is>
      </c>
      <c r="G10395" s="2" t="inlineStr">
        <is>
          <t>20260610000523</t>
        </is>
      </c>
      <c r="H10395" s="8">
        <f>HYPERLINK("https://dart.fss.or.kr/dsaf001/main.do?rcpNo=20260610000523", "공시열람")</f>
        <v/>
      </c>
    </row>
    <row r="10396">
      <c r="A10396" s="2" t="inlineStr">
        <is>
          <t>2026-06-10 (정정: 2026-06-11)</t>
        </is>
      </c>
      <c r="B10396" s="3" t="inlineStr">
        <is>
          <t>신한지주</t>
        </is>
      </c>
      <c r="C10396" s="2" t="inlineStr">
        <is>
          <t>코스피</t>
        </is>
      </c>
      <c r="D10396" s="2" t="inlineStr">
        <is>
          <t>055550</t>
        </is>
      </c>
      <c r="E10396" s="3" t="inlineStr">
        <is>
          <t>기업설명회(IR)개최(안내공시)               (정정: 20260611)</t>
        </is>
      </c>
      <c r="F10396" s="3" t="inlineStr">
        <is>
          <t>신한지주</t>
        </is>
      </c>
      <c r="G10396" s="2" t="inlineStr">
        <is>
          <t>20260611800698</t>
        </is>
      </c>
      <c r="H10396" s="8">
        <f>HYPERLINK("https://dart.fss.or.kr/dsaf001/main.do?rcpNo=20260611800698", "공시열람")</f>
        <v/>
      </c>
    </row>
    <row r="10397">
      <c r="A10397" s="2" t="inlineStr">
        <is>
          <t>2026-06-10</t>
        </is>
      </c>
      <c r="B10397" s="3" t="inlineStr">
        <is>
          <t>롯데쇼핑</t>
        </is>
      </c>
      <c r="C10397" s="2" t="inlineStr">
        <is>
          <t>코스피</t>
        </is>
      </c>
      <c r="D10397" s="2" t="inlineStr">
        <is>
          <t>023530</t>
        </is>
      </c>
      <c r="E10397" s="3" t="inlineStr">
        <is>
          <t>증권발행실적보고서</t>
        </is>
      </c>
      <c r="F10397" s="3" t="inlineStr">
        <is>
          <t>롯데쇼핑</t>
        </is>
      </c>
      <c r="G10397" s="2" t="inlineStr">
        <is>
          <t>20260610000519</t>
        </is>
      </c>
      <c r="H10397" s="8">
        <f>HYPERLINK("https://dart.fss.or.kr/dsaf001/main.do?rcpNo=20260610000519", "공시열람")</f>
        <v/>
      </c>
    </row>
    <row r="10398">
      <c r="A10398" s="2" t="inlineStr">
        <is>
          <t>2026-06-10</t>
        </is>
      </c>
      <c r="B10398" s="3" t="inlineStr">
        <is>
          <t>코미코</t>
        </is>
      </c>
      <c r="C10398" s="2" t="inlineStr">
        <is>
          <t>코스닥</t>
        </is>
      </c>
      <c r="D10398" s="2" t="inlineStr">
        <is>
          <t>183300</t>
        </is>
      </c>
      <c r="E10398" s="3" t="inlineStr">
        <is>
          <t>임원ㆍ주요주주특정증권등소유상황보고서</t>
        </is>
      </c>
      <c r="F10398" s="3" t="inlineStr">
        <is>
          <t>미코</t>
        </is>
      </c>
      <c r="G10398" s="2" t="inlineStr">
        <is>
          <t>20260610000518</t>
        </is>
      </c>
      <c r="H10398" s="8">
        <f>HYPERLINK("https://dart.fss.or.kr/dsaf001/main.do?rcpNo=20260610000518", "공시열람")</f>
        <v/>
      </c>
    </row>
    <row r="10399">
      <c r="A10399" s="2" t="inlineStr">
        <is>
          <t>2026-06-10</t>
        </is>
      </c>
      <c r="B10399" s="3" t="inlineStr">
        <is>
          <t>포니링크</t>
        </is>
      </c>
      <c r="C10399" s="2" t="inlineStr">
        <is>
          <t>코스닥</t>
        </is>
      </c>
      <c r="D10399" s="2" t="inlineStr">
        <is>
          <t>064800</t>
        </is>
      </c>
      <c r="E10399" s="3" t="inlineStr">
        <is>
          <t xml:space="preserve">기업설명회(IR)개최              </t>
        </is>
      </c>
      <c r="F10399" s="3" t="inlineStr">
        <is>
          <t>포니링크</t>
        </is>
      </c>
      <c r="G10399" s="2" t="inlineStr">
        <is>
          <t>20260610900745</t>
        </is>
      </c>
      <c r="H10399" s="8">
        <f>HYPERLINK("https://dart.fss.or.kr/dsaf001/main.do?rcpNo=20260610900745", "공시열람")</f>
        <v/>
      </c>
    </row>
    <row r="10400">
      <c r="A10400" s="2" t="inlineStr">
        <is>
          <t>2026-06-10</t>
        </is>
      </c>
      <c r="B10400" s="3" t="inlineStr">
        <is>
          <t>대동기어</t>
        </is>
      </c>
      <c r="C10400" s="2" t="inlineStr">
        <is>
          <t>코스닥</t>
        </is>
      </c>
      <c r="D10400" s="2" t="inlineStr">
        <is>
          <t>008830</t>
        </is>
      </c>
      <c r="E10400" s="3" t="inlineStr">
        <is>
          <t>투자설명서</t>
        </is>
      </c>
      <c r="F10400" s="3" t="inlineStr">
        <is>
          <t>대동기어</t>
        </is>
      </c>
      <c r="G10400" s="2" t="inlineStr">
        <is>
          <t>20260610000514</t>
        </is>
      </c>
      <c r="H10400" s="8">
        <f>HYPERLINK("https://dart.fss.or.kr/dsaf001/main.do?rcpNo=20260610000514", "공시열람")</f>
        <v/>
      </c>
    </row>
    <row r="10401">
      <c r="A10401" s="2" t="inlineStr">
        <is>
          <t>2026-06-10</t>
        </is>
      </c>
      <c r="B10401" s="3" t="inlineStr">
        <is>
          <t>케이티</t>
        </is>
      </c>
      <c r="C10401" s="2" t="inlineStr">
        <is>
          <t>코스피</t>
        </is>
      </c>
      <c r="D10401" s="2" t="inlineStr">
        <is>
          <t>030200</t>
        </is>
      </c>
      <c r="E10401" s="3" t="inlineStr">
        <is>
          <t>신탁계약에의한취득상황보고서</t>
        </is>
      </c>
      <c r="F10401" s="3" t="inlineStr">
        <is>
          <t>케이티</t>
        </is>
      </c>
      <c r="G10401" s="2" t="inlineStr">
        <is>
          <t>20260610000512</t>
        </is>
      </c>
      <c r="H10401" s="8">
        <f>HYPERLINK("https://dart.fss.or.kr/dsaf001/main.do?rcpNo=20260610000512", "공시열람")</f>
        <v/>
      </c>
    </row>
    <row r="10402">
      <c r="A10402" s="2" t="inlineStr">
        <is>
          <t>2026-06-10</t>
        </is>
      </c>
      <c r="B10402" s="3" t="inlineStr">
        <is>
          <t>다산솔루에타</t>
        </is>
      </c>
      <c r="C10402" s="2" t="inlineStr">
        <is>
          <t>코스닥</t>
        </is>
      </c>
      <c r="D10402" s="2" t="inlineStr">
        <is>
          <t>154040</t>
        </is>
      </c>
      <c r="E10402" s="3" t="inlineStr">
        <is>
          <t xml:space="preserve">증권발행결과(자율공시)              </t>
        </is>
      </c>
      <c r="F10402" s="3" t="inlineStr">
        <is>
          <t>다산솔루에타</t>
        </is>
      </c>
      <c r="G10402" s="2" t="inlineStr">
        <is>
          <t>20260610900739</t>
        </is>
      </c>
      <c r="H10402" s="8">
        <f>HYPERLINK("https://dart.fss.or.kr/dsaf001/main.do?rcpNo=20260610900739", "공시열람")</f>
        <v/>
      </c>
    </row>
    <row r="10403">
      <c r="A10403" s="2" t="inlineStr">
        <is>
          <t>2026-06-10</t>
        </is>
      </c>
      <c r="B10403" s="3" t="inlineStr">
        <is>
          <t>삼목에스폼</t>
        </is>
      </c>
      <c r="C10403" s="2" t="inlineStr">
        <is>
          <t>코스닥</t>
        </is>
      </c>
      <c r="D10403" s="2" t="inlineStr">
        <is>
          <t>018310</t>
        </is>
      </c>
      <c r="E10403" s="3" t="inlineStr">
        <is>
          <t>공개매수결과보고서</t>
        </is>
      </c>
      <c r="F10403" s="3" t="inlineStr">
        <is>
          <t>에스폼</t>
        </is>
      </c>
      <c r="G10403" s="2" t="inlineStr">
        <is>
          <t>20260610000510</t>
        </is>
      </c>
      <c r="H10403" s="8">
        <f>HYPERLINK("https://dart.fss.or.kr/dsaf001/main.do?rcpNo=20260610000510", "공시열람")</f>
        <v/>
      </c>
    </row>
    <row r="10404">
      <c r="A10404" s="2" t="inlineStr">
        <is>
          <t>2026-06-10</t>
        </is>
      </c>
      <c r="B10404" s="3" t="inlineStr">
        <is>
          <t>윙입푸드</t>
        </is>
      </c>
      <c r="C10404" s="2" t="inlineStr">
        <is>
          <t>코스닥</t>
        </is>
      </c>
      <c r="D10404" s="2" t="inlineStr">
        <is>
          <t>900340</t>
        </is>
      </c>
      <c r="E10404" s="3" t="inlineStr">
        <is>
          <t>임원ㆍ주요주주특정증권등소유상황보고서</t>
        </is>
      </c>
      <c r="F10404" s="3" t="inlineStr">
        <is>
          <t>WANG XIAN TAO</t>
        </is>
      </c>
      <c r="G10404" s="2" t="inlineStr">
        <is>
          <t>20260610000505</t>
        </is>
      </c>
      <c r="H10404" s="8">
        <f>HYPERLINK("https://dart.fss.or.kr/dsaf001/main.do?rcpNo=20260610000505", "공시열람")</f>
        <v/>
      </c>
    </row>
    <row r="10405">
      <c r="A10405" s="2" t="inlineStr">
        <is>
          <t>2026-06-10</t>
        </is>
      </c>
      <c r="B10405" s="3" t="inlineStr">
        <is>
          <t>대동기어</t>
        </is>
      </c>
      <c r="C10405" s="2" t="inlineStr">
        <is>
          <t>코스닥</t>
        </is>
      </c>
      <c r="D10405" s="2" t="inlineStr">
        <is>
          <t>008830</t>
        </is>
      </c>
      <c r="E10405" s="3" t="inlineStr">
        <is>
          <t>[발행조건확정]증권신고서(지분증권)</t>
        </is>
      </c>
      <c r="F10405" s="3" t="inlineStr">
        <is>
          <t>대동기어</t>
        </is>
      </c>
      <c r="G10405" s="2" t="inlineStr">
        <is>
          <t>20260610000501</t>
        </is>
      </c>
      <c r="H10405" s="8">
        <f>HYPERLINK("https://dart.fss.or.kr/dsaf001/main.do?rcpNo=20260610000501", "공시열람")</f>
        <v/>
      </c>
    </row>
    <row r="10406">
      <c r="A10406" s="2" t="inlineStr">
        <is>
          <t>2026-06-10</t>
        </is>
      </c>
      <c r="B10406" s="3" t="inlineStr">
        <is>
          <t>윙입푸드</t>
        </is>
      </c>
      <c r="C10406" s="2" t="inlineStr">
        <is>
          <t>코스닥</t>
        </is>
      </c>
      <c r="D10406" s="2" t="inlineStr">
        <is>
          <t>900340</t>
        </is>
      </c>
      <c r="E10406" s="3" t="inlineStr">
        <is>
          <t>임원ㆍ주요주주특정증권등소유상황보고서</t>
        </is>
      </c>
      <c r="F10406" s="3" t="inlineStr">
        <is>
          <t>WANG TING FENG</t>
        </is>
      </c>
      <c r="G10406" s="2" t="inlineStr">
        <is>
          <t>20260610000499</t>
        </is>
      </c>
      <c r="H10406" s="8">
        <f>HYPERLINK("https://dart.fss.or.kr/dsaf001/main.do?rcpNo=20260610000499", "공시열람")</f>
        <v/>
      </c>
    </row>
    <row r="10407">
      <c r="A10407" s="2" t="inlineStr">
        <is>
          <t>2026-06-10</t>
        </is>
      </c>
      <c r="B10407" s="3" t="inlineStr">
        <is>
          <t>키움증권</t>
        </is>
      </c>
      <c r="C10407" s="2" t="inlineStr">
        <is>
          <t>코스피</t>
        </is>
      </c>
      <c r="D10407" s="2" t="inlineStr">
        <is>
          <t>039490</t>
        </is>
      </c>
      <c r="E10407" s="3" t="inlineStr">
        <is>
          <t>일괄신고추가서류(파생결합사채-주가연계파생결합사채)</t>
        </is>
      </c>
      <c r="F10407" s="3" t="inlineStr">
        <is>
          <t>키움증권</t>
        </is>
      </c>
      <c r="G10407" s="2" t="inlineStr">
        <is>
          <t>20260610000497</t>
        </is>
      </c>
      <c r="H10407" s="8">
        <f>HYPERLINK("https://dart.fss.or.kr/dsaf001/main.do?rcpNo=20260610000497", "공시열람")</f>
        <v/>
      </c>
    </row>
    <row r="10408">
      <c r="A10408" s="2" t="inlineStr">
        <is>
          <t>2026-06-10</t>
        </is>
      </c>
      <c r="B10408" s="3" t="inlineStr">
        <is>
          <t>한화투자증권</t>
        </is>
      </c>
      <c r="C10408" s="2" t="inlineStr">
        <is>
          <t>코스피</t>
        </is>
      </c>
      <c r="D10408" s="2" t="inlineStr">
        <is>
          <t>003530</t>
        </is>
      </c>
      <c r="E10408" s="3" t="inlineStr">
        <is>
          <t>일괄신고추가서류(파생결합사채-주가연계파생결합사채)</t>
        </is>
      </c>
      <c r="F10408" s="3" t="inlineStr">
        <is>
          <t>한화투자증권</t>
        </is>
      </c>
      <c r="G10408" s="2" t="inlineStr">
        <is>
          <t>20260610000495</t>
        </is>
      </c>
      <c r="H10408" s="8">
        <f>HYPERLINK("https://dart.fss.or.kr/dsaf001/main.do?rcpNo=20260610000495", "공시열람")</f>
        <v/>
      </c>
    </row>
    <row r="10409">
      <c r="A10409" s="2" t="inlineStr">
        <is>
          <t>2026-06-10</t>
        </is>
      </c>
      <c r="B10409" s="3" t="inlineStr">
        <is>
          <t>NH투자증권</t>
        </is>
      </c>
      <c r="C10409" s="2" t="inlineStr">
        <is>
          <t>코스피</t>
        </is>
      </c>
      <c r="D10409" s="2" t="inlineStr">
        <is>
          <t>005940</t>
        </is>
      </c>
      <c r="E10409" s="3" t="inlineStr">
        <is>
          <t>일괄신고추가서류(파생결합사채-주가연계파생결합사채)</t>
        </is>
      </c>
      <c r="F10409" s="3" t="inlineStr">
        <is>
          <t>NH투자증권</t>
        </is>
      </c>
      <c r="G10409" s="2" t="inlineStr">
        <is>
          <t>20260610000494</t>
        </is>
      </c>
      <c r="H10409" s="8">
        <f>HYPERLINK("https://dart.fss.or.kr/dsaf001/main.do?rcpNo=20260610000494", "공시열람")</f>
        <v/>
      </c>
    </row>
    <row r="10410">
      <c r="A10410" s="2" t="inlineStr">
        <is>
          <t>2026-06-10</t>
        </is>
      </c>
      <c r="B10410" s="3" t="inlineStr">
        <is>
          <t>GC메디아이</t>
        </is>
      </c>
      <c r="C10410" s="2" t="inlineStr">
        <is>
          <t>코스닥</t>
        </is>
      </c>
      <c r="D10410" s="2" t="inlineStr">
        <is>
          <t>032620</t>
        </is>
      </c>
      <c r="E10410" s="3" t="inlineStr">
        <is>
          <t xml:space="preserve">기업설명회(IR)개최              </t>
        </is>
      </c>
      <c r="F10410" s="3" t="inlineStr">
        <is>
          <t>GC메디아이</t>
        </is>
      </c>
      <c r="G10410" s="2" t="inlineStr">
        <is>
          <t>20260610900709</t>
        </is>
      </c>
      <c r="H10410" s="8">
        <f>HYPERLINK("https://dart.fss.or.kr/dsaf001/main.do?rcpNo=20260610900709", "공시열람")</f>
        <v/>
      </c>
    </row>
    <row r="10411">
      <c r="A10411" s="2" t="inlineStr">
        <is>
          <t>2026-06-10</t>
        </is>
      </c>
      <c r="B10411" s="3" t="inlineStr">
        <is>
          <t>KTis</t>
        </is>
      </c>
      <c r="C10411" s="2" t="inlineStr">
        <is>
          <t>코스피</t>
        </is>
      </c>
      <c r="D10411" s="2" t="inlineStr">
        <is>
          <t>058860</t>
        </is>
      </c>
      <c r="E10411" s="3" t="inlineStr">
        <is>
          <t>임원ㆍ주요주주특정증권등소유상황보고서</t>
        </is>
      </c>
      <c r="F10411" s="3" t="inlineStr">
        <is>
          <t>정원철</t>
        </is>
      </c>
      <c r="G10411" s="2" t="inlineStr">
        <is>
          <t>20260610000493</t>
        </is>
      </c>
      <c r="H10411" s="8">
        <f>HYPERLINK("https://dart.fss.or.kr/dsaf001/main.do?rcpNo=20260610000493", "공시열람")</f>
        <v/>
      </c>
    </row>
    <row r="10412">
      <c r="A10412" s="2" t="inlineStr">
        <is>
          <t>2026-06-10</t>
        </is>
      </c>
      <c r="B10412" s="3" t="inlineStr">
        <is>
          <t>포니링크</t>
        </is>
      </c>
      <c r="C10412" s="2" t="inlineStr">
        <is>
          <t>코스닥</t>
        </is>
      </c>
      <c r="D10412" s="2" t="inlineStr">
        <is>
          <t>064800</t>
        </is>
      </c>
      <c r="E10412" s="3" t="inlineStr">
        <is>
          <t>임원ㆍ주요주주특정증권등소유상황보고서</t>
        </is>
      </c>
      <c r="F10412" s="3" t="inlineStr">
        <is>
          <t>젬백스</t>
        </is>
      </c>
      <c r="G10412" s="2" t="inlineStr">
        <is>
          <t>20260610000492</t>
        </is>
      </c>
      <c r="H10412" s="8">
        <f>HYPERLINK("https://dart.fss.or.kr/dsaf001/main.do?rcpNo=20260610000492", "공시열람")</f>
        <v/>
      </c>
    </row>
    <row r="10413">
      <c r="A10413" s="2" t="inlineStr">
        <is>
          <t>2026-06-10</t>
        </is>
      </c>
      <c r="B10413" s="3" t="inlineStr">
        <is>
          <t>광동헬스바이오</t>
        </is>
      </c>
      <c r="C10413" s="2" t="inlineStr">
        <is>
          <t>코넥스</t>
        </is>
      </c>
      <c r="D10413" s="2" t="inlineStr">
        <is>
          <t>086220</t>
        </is>
      </c>
      <c r="E10413" s="3" t="inlineStr">
        <is>
          <t xml:space="preserve">기업설명회(IR)개최              </t>
        </is>
      </c>
      <c r="F10413" s="3" t="inlineStr">
        <is>
          <t>광동헬스바이오</t>
        </is>
      </c>
      <c r="G10413" s="2" t="inlineStr">
        <is>
          <t>20260610600690</t>
        </is>
      </c>
      <c r="H10413" s="8">
        <f>HYPERLINK("https://dart.fss.or.kr/dsaf001/main.do?rcpNo=20260610600690", "공시열람")</f>
        <v/>
      </c>
    </row>
    <row r="10414">
      <c r="A10414" s="2" t="inlineStr">
        <is>
          <t>2026-06-10</t>
        </is>
      </c>
      <c r="B10414" s="3" t="inlineStr">
        <is>
          <t>대신증권</t>
        </is>
      </c>
      <c r="C10414" s="2" t="inlineStr">
        <is>
          <t>코스피</t>
        </is>
      </c>
      <c r="D10414" s="2" t="inlineStr">
        <is>
          <t>003540</t>
        </is>
      </c>
      <c r="E10414" s="3" t="inlineStr">
        <is>
          <t>증권발행실적보고서</t>
        </is>
      </c>
      <c r="F10414" s="3" t="inlineStr">
        <is>
          <t>대신증권</t>
        </is>
      </c>
      <c r="G10414" s="2" t="inlineStr">
        <is>
          <t>20260610000491</t>
        </is>
      </c>
      <c r="H10414" s="8">
        <f>HYPERLINK("https://dart.fss.or.kr/dsaf001/main.do?rcpNo=20260610000491", "공시열람")</f>
        <v/>
      </c>
    </row>
    <row r="10415">
      <c r="A10415" s="2" t="inlineStr">
        <is>
          <t>2026-06-10</t>
        </is>
      </c>
      <c r="B10415" s="3" t="inlineStr">
        <is>
          <t>우진비앤지</t>
        </is>
      </c>
      <c r="C10415" s="2" t="inlineStr">
        <is>
          <t>코스닥</t>
        </is>
      </c>
      <c r="D10415" s="2" t="inlineStr">
        <is>
          <t>018620</t>
        </is>
      </c>
      <c r="E10415" s="3" t="inlineStr">
        <is>
          <t xml:space="preserve">대표이사변경              </t>
        </is>
      </c>
      <c r="F10415" s="3" t="inlineStr">
        <is>
          <t>우진비앤지</t>
        </is>
      </c>
      <c r="G10415" s="2" t="inlineStr">
        <is>
          <t>20260610900574</t>
        </is>
      </c>
      <c r="H10415" s="8">
        <f>HYPERLINK("https://dart.fss.or.kr/dsaf001/main.do?rcpNo=20260610900574", "공시열람")</f>
        <v/>
      </c>
    </row>
    <row r="10416">
      <c r="A10416" s="2" t="inlineStr">
        <is>
          <t>2026-06-10</t>
        </is>
      </c>
      <c r="B10416" s="3" t="inlineStr">
        <is>
          <t>삼성카드</t>
        </is>
      </c>
      <c r="C10416" s="2" t="inlineStr">
        <is>
          <t>코스피</t>
        </is>
      </c>
      <c r="D10416" s="2" t="inlineStr">
        <is>
          <t>029780</t>
        </is>
      </c>
      <c r="E10416" s="3" t="inlineStr">
        <is>
          <t>투자설명서(일괄신고)</t>
        </is>
      </c>
      <c r="F10416" s="3" t="inlineStr">
        <is>
          <t>삼성카드</t>
        </is>
      </c>
      <c r="G10416" s="2" t="inlineStr">
        <is>
          <t>20260610000485</t>
        </is>
      </c>
      <c r="H10416" s="8">
        <f>HYPERLINK("https://dart.fss.or.kr/dsaf001/main.do?rcpNo=20260610000485", "공시열람")</f>
        <v/>
      </c>
    </row>
    <row r="10417">
      <c r="A10417" s="2" t="inlineStr">
        <is>
          <t>2026-06-10</t>
        </is>
      </c>
      <c r="B10417" s="3" t="inlineStr">
        <is>
          <t>동양</t>
        </is>
      </c>
      <c r="C10417" s="2" t="inlineStr">
        <is>
          <t>코스피</t>
        </is>
      </c>
      <c r="D10417" s="2" t="inlineStr">
        <is>
          <t>001520</t>
        </is>
      </c>
      <c r="E10417" s="3" t="inlineStr">
        <is>
          <t>임원ㆍ주요주주특정증권등소유상황보고서</t>
        </is>
      </c>
      <c r="F10417" s="3" t="inlineStr">
        <is>
          <t>최재권</t>
        </is>
      </c>
      <c r="G10417" s="2" t="inlineStr">
        <is>
          <t>20260610000484</t>
        </is>
      </c>
      <c r="H10417" s="8">
        <f>HYPERLINK("https://dart.fss.or.kr/dsaf001/main.do?rcpNo=20260610000484", "공시열람")</f>
        <v/>
      </c>
    </row>
    <row r="10418">
      <c r="A10418" s="2" t="inlineStr">
        <is>
          <t>2026-06-10</t>
        </is>
      </c>
      <c r="B10418" s="3" t="inlineStr">
        <is>
          <t>에스제이그룹</t>
        </is>
      </c>
      <c r="C10418" s="2" t="inlineStr">
        <is>
          <t>코스닥</t>
        </is>
      </c>
      <c r="D10418" s="2" t="inlineStr">
        <is>
          <t>306040</t>
        </is>
      </c>
      <c r="E10418" s="3" t="inlineStr">
        <is>
          <t>주요사항보고서(자기주식처분결정)</t>
        </is>
      </c>
      <c r="F10418" s="3" t="inlineStr">
        <is>
          <t>에스제이그룹</t>
        </is>
      </c>
      <c r="G10418" s="2" t="inlineStr">
        <is>
          <t>20260610000439</t>
        </is>
      </c>
      <c r="H10418" s="8">
        <f>HYPERLINK("https://dart.fss.or.kr/dsaf001/main.do?rcpNo=20260610000439", "공시열람")</f>
        <v/>
      </c>
    </row>
    <row r="10419">
      <c r="A10419" s="2" t="inlineStr">
        <is>
          <t>2026-06-10</t>
        </is>
      </c>
      <c r="B10419" s="3" t="inlineStr">
        <is>
          <t>오픈놀</t>
        </is>
      </c>
      <c r="C10419" s="2" t="inlineStr">
        <is>
          <t>코스닥</t>
        </is>
      </c>
      <c r="D10419" s="2" t="inlineStr">
        <is>
          <t>440320</t>
        </is>
      </c>
      <c r="E10419" s="3" t="inlineStr">
        <is>
          <t xml:space="preserve">주식매수선택권행사              </t>
        </is>
      </c>
      <c r="F10419" s="3" t="inlineStr">
        <is>
          <t>오픈놀</t>
        </is>
      </c>
      <c r="G10419" s="2" t="inlineStr">
        <is>
          <t>20260610900601</t>
        </is>
      </c>
      <c r="H10419" s="8">
        <f>HYPERLINK("https://dart.fss.or.kr/dsaf001/main.do?rcpNo=20260610900601", "공시열람")</f>
        <v/>
      </c>
    </row>
    <row r="10420">
      <c r="A10420" s="2" t="inlineStr">
        <is>
          <t>2026-06-10</t>
        </is>
      </c>
      <c r="B10420" s="3" t="inlineStr">
        <is>
          <t>KTis</t>
        </is>
      </c>
      <c r="C10420" s="2" t="inlineStr">
        <is>
          <t>코스피</t>
        </is>
      </c>
      <c r="D10420" s="2" t="inlineStr">
        <is>
          <t>058860</t>
        </is>
      </c>
      <c r="E10420" s="3" t="inlineStr">
        <is>
          <t>임원ㆍ주요주주특정증권등소유상황보고서</t>
        </is>
      </c>
      <c r="F10420" s="3" t="inlineStr">
        <is>
          <t>이두환</t>
        </is>
      </c>
      <c r="G10420" s="2" t="inlineStr">
        <is>
          <t>20260610000479</t>
        </is>
      </c>
      <c r="H10420" s="8">
        <f>HYPERLINK("https://dart.fss.or.kr/dsaf001/main.do?rcpNo=20260610000479", "공시열람")</f>
        <v/>
      </c>
    </row>
    <row r="10421">
      <c r="A10421" s="2" t="inlineStr">
        <is>
          <t>2026-06-10</t>
        </is>
      </c>
      <c r="B10421" s="3" t="inlineStr">
        <is>
          <t>씨엑스아이</t>
        </is>
      </c>
      <c r="C10421" s="2" t="inlineStr">
        <is>
          <t>코스닥</t>
        </is>
      </c>
      <c r="D10421" s="2" t="inlineStr">
        <is>
          <t>900120</t>
        </is>
      </c>
      <c r="E10421" s="3" t="inlineStr">
        <is>
          <t>임원ㆍ주요주주특정증권등소유상황보고서</t>
        </is>
      </c>
      <c r="F10421" s="3" t="inlineStr">
        <is>
          <t>LIN JINSHENG</t>
        </is>
      </c>
      <c r="G10421" s="2" t="inlineStr">
        <is>
          <t>20260610000478</t>
        </is>
      </c>
      <c r="H10421" s="8">
        <f>HYPERLINK("https://dart.fss.or.kr/dsaf001/main.do?rcpNo=20260610000478", "공시열람")</f>
        <v/>
      </c>
    </row>
    <row r="10422">
      <c r="A10422" s="2" t="inlineStr">
        <is>
          <t>2026-06-10</t>
        </is>
      </c>
      <c r="B10422" s="3" t="inlineStr">
        <is>
          <t>알파AI</t>
        </is>
      </c>
      <c r="C10422" s="2" t="inlineStr">
        <is>
          <t>코스닥</t>
        </is>
      </c>
      <c r="D10422" s="2" t="inlineStr">
        <is>
          <t>043100</t>
        </is>
      </c>
      <c r="E10422" s="3" t="inlineStr">
        <is>
          <t xml:space="preserve">주식병합결정              </t>
        </is>
      </c>
      <c r="F10422" s="3" t="inlineStr">
        <is>
          <t>알파AI</t>
        </is>
      </c>
      <c r="G10422" s="2" t="inlineStr">
        <is>
          <t>20260610900644</t>
        </is>
      </c>
      <c r="H10422" s="8">
        <f>HYPERLINK("https://dart.fss.or.kr/dsaf001/main.do?rcpNo=20260610900644", "공시열람")</f>
        <v/>
      </c>
    </row>
    <row r="10423">
      <c r="A10423" s="2" t="inlineStr">
        <is>
          <t>2026-06-10</t>
        </is>
      </c>
      <c r="B10423" s="3" t="inlineStr">
        <is>
          <t>GC메디아이</t>
        </is>
      </c>
      <c r="C10423" s="2" t="inlineStr">
        <is>
          <t>코스닥</t>
        </is>
      </c>
      <c r="D10423" s="2" t="inlineStr">
        <is>
          <t>032620</t>
        </is>
      </c>
      <c r="E10423" s="3" t="inlineStr">
        <is>
          <t>임원ㆍ주요주주특정증권등소유상황보고서</t>
        </is>
      </c>
      <c r="F10423" s="3" t="inlineStr">
        <is>
          <t>권태훈</t>
        </is>
      </c>
      <c r="G10423" s="2" t="inlineStr">
        <is>
          <t>20260610000476</t>
        </is>
      </c>
      <c r="H10423" s="8">
        <f>HYPERLINK("https://dart.fss.or.kr/dsaf001/main.do?rcpNo=20260610000476", "공시열람")</f>
        <v/>
      </c>
    </row>
    <row r="10424">
      <c r="A10424" s="2" t="inlineStr">
        <is>
          <t>2026-06-10</t>
        </is>
      </c>
      <c r="B10424" s="3" t="inlineStr">
        <is>
          <t>대동기어</t>
        </is>
      </c>
      <c r="C10424" s="2" t="inlineStr">
        <is>
          <t>코스닥</t>
        </is>
      </c>
      <c r="D10424" s="2" t="inlineStr">
        <is>
          <t>008830</t>
        </is>
      </c>
      <c r="E10424" s="3" t="inlineStr">
        <is>
          <t xml:space="preserve">유상증자1차발행가액결정              </t>
        </is>
      </c>
      <c r="F10424" s="3" t="inlineStr">
        <is>
          <t>대동기어</t>
        </is>
      </c>
      <c r="G10424" s="2" t="inlineStr">
        <is>
          <t>20260610900681</t>
        </is>
      </c>
      <c r="H10424" s="8">
        <f>HYPERLINK("https://dart.fss.or.kr/dsaf001/main.do?rcpNo=20260610900681", "공시열람")</f>
        <v/>
      </c>
    </row>
    <row r="10425">
      <c r="A10425" s="2" t="inlineStr">
        <is>
          <t>2026-06-10</t>
        </is>
      </c>
      <c r="B10425" s="3" t="inlineStr">
        <is>
          <t>삼성카드</t>
        </is>
      </c>
      <c r="C10425" s="2" t="inlineStr">
        <is>
          <t>코스피</t>
        </is>
      </c>
      <c r="D10425" s="2" t="inlineStr">
        <is>
          <t>029780</t>
        </is>
      </c>
      <c r="E10425" s="3" t="inlineStr">
        <is>
          <t>일괄신고추가서류</t>
        </is>
      </c>
      <c r="F10425" s="3" t="inlineStr">
        <is>
          <t>삼성카드</t>
        </is>
      </c>
      <c r="G10425" s="2" t="inlineStr">
        <is>
          <t>20260610000473</t>
        </is>
      </c>
      <c r="H10425" s="8">
        <f>HYPERLINK("https://dart.fss.or.kr/dsaf001/main.do?rcpNo=20260610000473", "공시열람")</f>
        <v/>
      </c>
    </row>
    <row r="10426">
      <c r="A10426" s="2" t="inlineStr">
        <is>
          <t>2026-06-10</t>
        </is>
      </c>
      <c r="B10426" s="3" t="inlineStr">
        <is>
          <t>삼미금속</t>
        </is>
      </c>
      <c r="C10426" s="2" t="inlineStr">
        <is>
          <t>코스닥</t>
        </is>
      </c>
      <c r="D10426" s="2" t="inlineStr">
        <is>
          <t>012210</t>
        </is>
      </c>
      <c r="E10426" s="3" t="inlineStr">
        <is>
          <t>증권발행결과(자율공시)              (제4회차 CB)</t>
        </is>
      </c>
      <c r="F10426" s="3" t="inlineStr">
        <is>
          <t>삼미금속</t>
        </is>
      </c>
      <c r="G10426" s="2" t="inlineStr">
        <is>
          <t>20260610900564</t>
        </is>
      </c>
      <c r="H10426" s="8">
        <f>HYPERLINK("https://dart.fss.or.kr/dsaf001/main.do?rcpNo=20260610900564", "공시열람")</f>
        <v/>
      </c>
    </row>
    <row r="10427">
      <c r="A10427" s="2" t="inlineStr">
        <is>
          <t>2026-06-10</t>
        </is>
      </c>
      <c r="B10427" s="3" t="inlineStr">
        <is>
          <t>포스코인터내셔널</t>
        </is>
      </c>
      <c r="C10427" s="2" t="inlineStr">
        <is>
          <t>코스피</t>
        </is>
      </c>
      <c r="D10427" s="2" t="inlineStr">
        <is>
          <t>047050</t>
        </is>
      </c>
      <c r="E10427" s="3" t="inlineStr">
        <is>
          <t xml:space="preserve">기업설명회(IR)개최(안내공시)              </t>
        </is>
      </c>
      <c r="F10427" s="3" t="inlineStr">
        <is>
          <t>포스코인터내셔널</t>
        </is>
      </c>
      <c r="G10427" s="2" t="inlineStr">
        <is>
          <t>20260610800675</t>
        </is>
      </c>
      <c r="H10427" s="8">
        <f>HYPERLINK("https://dart.fss.or.kr/dsaf001/main.do?rcpNo=20260610800675", "공시열람")</f>
        <v/>
      </c>
    </row>
    <row r="10428">
      <c r="A10428" s="2" t="inlineStr">
        <is>
          <t>2026-06-10</t>
        </is>
      </c>
      <c r="B10428" s="3" t="inlineStr">
        <is>
          <t>SK이노베이션</t>
        </is>
      </c>
      <c r="C10428" s="2" t="inlineStr">
        <is>
          <t>코스피</t>
        </is>
      </c>
      <c r="D10428" s="2" t="inlineStr">
        <is>
          <t>096770</t>
        </is>
      </c>
      <c r="E10428" s="3" t="inlineStr">
        <is>
          <t xml:space="preserve">풍문또는보도에대한해명(미확정)              </t>
        </is>
      </c>
      <c r="F10428" s="3" t="inlineStr">
        <is>
          <t>SK이노베이션</t>
        </is>
      </c>
      <c r="G10428" s="2" t="inlineStr">
        <is>
          <t>20260610800638</t>
        </is>
      </c>
      <c r="H10428" s="8">
        <f>HYPERLINK("https://dart.fss.or.kr/dsaf001/main.do?rcpNo=20260610800638", "공시열람")</f>
        <v/>
      </c>
    </row>
    <row r="10429">
      <c r="A10429" s="2" t="inlineStr">
        <is>
          <t>2026-06-10</t>
        </is>
      </c>
      <c r="B10429" s="3" t="inlineStr">
        <is>
          <t>노타</t>
        </is>
      </c>
      <c r="C10429" s="2" t="inlineStr">
        <is>
          <t>코스닥</t>
        </is>
      </c>
      <c r="D10429" s="2" t="inlineStr">
        <is>
          <t>486990</t>
        </is>
      </c>
      <c r="E10429" s="3" t="inlineStr">
        <is>
          <t>주식매수선택권부여에관한신고</t>
        </is>
      </c>
      <c r="F10429" s="3" t="inlineStr">
        <is>
          <t>노타</t>
        </is>
      </c>
      <c r="G10429" s="2" t="inlineStr">
        <is>
          <t>20260610000470</t>
        </is>
      </c>
      <c r="H10429" s="8">
        <f>HYPERLINK("https://dart.fss.or.kr/dsaf001/main.do?rcpNo=20260610000470", "공시열람")</f>
        <v/>
      </c>
    </row>
    <row r="10430">
      <c r="A10430" s="2" t="inlineStr">
        <is>
          <t>2026-06-10</t>
        </is>
      </c>
      <c r="B10430" s="3" t="inlineStr">
        <is>
          <t>SK리츠</t>
        </is>
      </c>
      <c r="C10430" s="2" t="inlineStr">
        <is>
          <t>코스피</t>
        </is>
      </c>
      <c r="D10430" s="2" t="inlineStr">
        <is>
          <t>395400</t>
        </is>
      </c>
      <c r="E10430" s="3" t="inlineStr">
        <is>
          <t xml:space="preserve">감사보고서제출              </t>
        </is>
      </c>
      <c r="F10430" s="3" t="inlineStr">
        <is>
          <t>SK리츠</t>
        </is>
      </c>
      <c r="G10430" s="2" t="inlineStr">
        <is>
          <t>20260610800617</t>
        </is>
      </c>
      <c r="H10430" s="8">
        <f>HYPERLINK("https://dart.fss.or.kr/dsaf001/main.do?rcpNo=20260610800617", "공시열람")</f>
        <v/>
      </c>
    </row>
    <row r="10431">
      <c r="A10431" s="2" t="inlineStr">
        <is>
          <t>2026-06-10</t>
        </is>
      </c>
      <c r="B10431" s="3" t="inlineStr">
        <is>
          <t>HLB파나진</t>
        </is>
      </c>
      <c r="C10431" s="2" t="inlineStr">
        <is>
          <t>코스닥</t>
        </is>
      </c>
      <c r="D10431" s="2" t="inlineStr">
        <is>
          <t>046210</t>
        </is>
      </c>
      <c r="E10431" s="3" t="inlineStr">
        <is>
          <t>임원ㆍ주요주주특정증권등소유상황보고서</t>
        </is>
      </c>
      <c r="F10431" s="3" t="inlineStr">
        <is>
          <t>진양곤</t>
        </is>
      </c>
      <c r="G10431" s="2" t="inlineStr">
        <is>
          <t>20260610000468</t>
        </is>
      </c>
      <c r="H10431" s="8">
        <f>HYPERLINK("https://dart.fss.or.kr/dsaf001/main.do?rcpNo=20260610000468", "공시열람")</f>
        <v/>
      </c>
    </row>
    <row r="10432">
      <c r="A10432" s="2" t="inlineStr">
        <is>
          <t>2026-06-10</t>
        </is>
      </c>
      <c r="B10432" s="3" t="inlineStr">
        <is>
          <t>HLB바이오스텝</t>
        </is>
      </c>
      <c r="C10432" s="2" t="inlineStr">
        <is>
          <t>코스닥</t>
        </is>
      </c>
      <c r="D10432" s="2" t="inlineStr">
        <is>
          <t>278650</t>
        </is>
      </c>
      <c r="E10432" s="3" t="inlineStr">
        <is>
          <t>임원ㆍ주요주주특정증권등소유상황보고서</t>
        </is>
      </c>
      <c r="F10432" s="3" t="inlineStr">
        <is>
          <t>진양곤</t>
        </is>
      </c>
      <c r="G10432" s="2" t="inlineStr">
        <is>
          <t>20260610000466</t>
        </is>
      </c>
      <c r="H10432" s="8">
        <f>HYPERLINK("https://dart.fss.or.kr/dsaf001/main.do?rcpNo=20260610000466", "공시열람")</f>
        <v/>
      </c>
    </row>
    <row r="10433">
      <c r="A10433" s="2" t="inlineStr">
        <is>
          <t>2026-06-10</t>
        </is>
      </c>
      <c r="B10433" s="3" t="inlineStr">
        <is>
          <t>HLB테라퓨틱스</t>
        </is>
      </c>
      <c r="C10433" s="2" t="inlineStr">
        <is>
          <t>코스닥</t>
        </is>
      </c>
      <c r="D10433" s="2" t="inlineStr">
        <is>
          <t>115450</t>
        </is>
      </c>
      <c r="E10433" s="3" t="inlineStr">
        <is>
          <t>임원ㆍ주요주주특정증권등소유상황보고서</t>
        </is>
      </c>
      <c r="F10433" s="3" t="inlineStr">
        <is>
          <t>진양곤</t>
        </is>
      </c>
      <c r="G10433" s="2" t="inlineStr">
        <is>
          <t>20260610000465</t>
        </is>
      </c>
      <c r="H10433" s="8">
        <f>HYPERLINK("https://dart.fss.or.kr/dsaf001/main.do?rcpNo=20260610000465", "공시열람")</f>
        <v/>
      </c>
    </row>
    <row r="10434">
      <c r="A10434" s="2" t="inlineStr">
        <is>
          <t>2026-06-10</t>
        </is>
      </c>
      <c r="B10434" s="3" t="inlineStr">
        <is>
          <t>HLB이노베이션</t>
        </is>
      </c>
      <c r="C10434" s="2" t="inlineStr">
        <is>
          <t>코스닥</t>
        </is>
      </c>
      <c r="D10434" s="2" t="inlineStr">
        <is>
          <t>024850</t>
        </is>
      </c>
      <c r="E10434" s="3" t="inlineStr">
        <is>
          <t>임원ㆍ주요주주특정증권등소유상황보고서</t>
        </is>
      </c>
      <c r="F10434" s="3" t="inlineStr">
        <is>
          <t>진양곤</t>
        </is>
      </c>
      <c r="G10434" s="2" t="inlineStr">
        <is>
          <t>20260610000464</t>
        </is>
      </c>
      <c r="H10434" s="8">
        <f>HYPERLINK("https://dart.fss.or.kr/dsaf001/main.do?rcpNo=20260610000464", "공시열람")</f>
        <v/>
      </c>
    </row>
    <row r="10435">
      <c r="A10435" s="2" t="inlineStr">
        <is>
          <t>2026-06-10</t>
        </is>
      </c>
      <c r="B10435" s="3" t="inlineStr">
        <is>
          <t>HLB제넥스</t>
        </is>
      </c>
      <c r="C10435" s="2" t="inlineStr">
        <is>
          <t>코스닥</t>
        </is>
      </c>
      <c r="D10435" s="2" t="inlineStr">
        <is>
          <t>187420</t>
        </is>
      </c>
      <c r="E10435" s="3" t="inlineStr">
        <is>
          <t>임원ㆍ주요주주특정증권등소유상황보고서</t>
        </is>
      </c>
      <c r="F10435" s="3" t="inlineStr">
        <is>
          <t>진양곤</t>
        </is>
      </c>
      <c r="G10435" s="2" t="inlineStr">
        <is>
          <t>20260610000462</t>
        </is>
      </c>
      <c r="H10435" s="8">
        <f>HYPERLINK("https://dart.fss.or.kr/dsaf001/main.do?rcpNo=20260610000462", "공시열람")</f>
        <v/>
      </c>
    </row>
    <row r="10436">
      <c r="A10436" s="2" t="inlineStr">
        <is>
          <t>2026-06-10</t>
        </is>
      </c>
      <c r="B10436" s="3" t="inlineStr">
        <is>
          <t>NH농우바이오</t>
        </is>
      </c>
      <c r="C10436" s="2" t="inlineStr">
        <is>
          <t>코스닥</t>
        </is>
      </c>
      <c r="D10436" s="2" t="inlineStr">
        <is>
          <t>054050</t>
        </is>
      </c>
      <c r="E10436" s="3" t="inlineStr">
        <is>
          <t>임원ㆍ주요주주특정증권등소유상황보고서</t>
        </is>
      </c>
      <c r="F10436" s="3" t="inlineStr">
        <is>
          <t>양현구</t>
        </is>
      </c>
      <c r="G10436" s="2" t="inlineStr">
        <is>
          <t>20260610000459</t>
        </is>
      </c>
      <c r="H10436" s="8">
        <f>HYPERLINK("https://dart.fss.or.kr/dsaf001/main.do?rcpNo=20260610000459", "공시열람")</f>
        <v/>
      </c>
    </row>
    <row r="10437">
      <c r="A10437" s="2" t="inlineStr">
        <is>
          <t>2026-06-10</t>
        </is>
      </c>
      <c r="B10437" s="3" t="inlineStr">
        <is>
          <t>KTis</t>
        </is>
      </c>
      <c r="C10437" s="2" t="inlineStr">
        <is>
          <t>코스피</t>
        </is>
      </c>
      <c r="D10437" s="2" t="inlineStr">
        <is>
          <t>058860</t>
        </is>
      </c>
      <c r="E10437" s="3" t="inlineStr">
        <is>
          <t>임원ㆍ주요주주특정증권등소유상황보고서</t>
        </is>
      </c>
      <c r="F10437" s="3" t="inlineStr">
        <is>
          <t>정호달</t>
        </is>
      </c>
      <c r="G10437" s="2" t="inlineStr">
        <is>
          <t>20260610000455</t>
        </is>
      </c>
      <c r="H10437" s="8">
        <f>HYPERLINK("https://dart.fss.or.kr/dsaf001/main.do?rcpNo=20260610000455", "공시열람")</f>
        <v/>
      </c>
    </row>
    <row r="10438">
      <c r="A10438" s="2" t="inlineStr">
        <is>
          <t>2026-06-10</t>
        </is>
      </c>
      <c r="B10438" s="3" t="inlineStr">
        <is>
          <t>신영증권</t>
        </is>
      </c>
      <c r="C10438" s="2" t="inlineStr">
        <is>
          <t>코스피</t>
        </is>
      </c>
      <c r="D10438" s="2" t="inlineStr">
        <is>
          <t>001720</t>
        </is>
      </c>
      <c r="E10438" s="3" t="inlineStr">
        <is>
          <t>사외이사의선임ㆍ해임또는중도퇴임에관한신고</t>
        </is>
      </c>
      <c r="F10438" s="3" t="inlineStr">
        <is>
          <t>신영증권</t>
        </is>
      </c>
      <c r="G10438" s="2" t="inlineStr">
        <is>
          <t>20260610000454</t>
        </is>
      </c>
      <c r="H10438" s="8">
        <f>HYPERLINK("https://dart.fss.or.kr/dsaf001/main.do?rcpNo=20260610000454", "공시열람")</f>
        <v/>
      </c>
    </row>
    <row r="10439">
      <c r="A10439" s="2" t="inlineStr">
        <is>
          <t>2026-06-10</t>
        </is>
      </c>
      <c r="B10439" s="3" t="inlineStr">
        <is>
          <t>바스칸바이오제약</t>
        </is>
      </c>
      <c r="C10439" s="2" t="inlineStr">
        <is>
          <t>코넥스</t>
        </is>
      </c>
      <c r="D10439" s="2" t="inlineStr">
        <is>
          <t>354390</t>
        </is>
      </c>
      <c r="E10439" s="3" t="inlineStr">
        <is>
          <t xml:space="preserve">기업설명회(IR)개최결과              </t>
        </is>
      </c>
      <c r="F10439" s="3" t="inlineStr">
        <is>
          <t>바스칸바이오제약</t>
        </is>
      </c>
      <c r="G10439" s="2" t="inlineStr">
        <is>
          <t>20260610600615</t>
        </is>
      </c>
      <c r="H10439" s="8">
        <f>HYPERLINK("https://dart.fss.or.kr/dsaf001/main.do?rcpNo=20260610600615", "공시열람")</f>
        <v/>
      </c>
    </row>
    <row r="10440">
      <c r="A10440" s="2" t="inlineStr">
        <is>
          <t>2026-06-10</t>
        </is>
      </c>
      <c r="B10440" s="3" t="inlineStr">
        <is>
          <t>에이직랜드</t>
        </is>
      </c>
      <c r="C10440" s="2" t="inlineStr">
        <is>
          <t>코스닥</t>
        </is>
      </c>
      <c r="D10440" s="2" t="inlineStr">
        <is>
          <t>445090</t>
        </is>
      </c>
      <c r="E10440" s="3" t="inlineStr">
        <is>
          <t xml:space="preserve">기업설명회(IR)개최              </t>
        </is>
      </c>
      <c r="F10440" s="3" t="inlineStr">
        <is>
          <t>에이직랜드</t>
        </is>
      </c>
      <c r="G10440" s="2" t="inlineStr">
        <is>
          <t>20260610900633</t>
        </is>
      </c>
      <c r="H10440" s="8">
        <f>HYPERLINK("https://dart.fss.or.kr/dsaf001/main.do?rcpNo=20260610900633", "공시열람")</f>
        <v/>
      </c>
    </row>
    <row r="10441">
      <c r="A10441" s="2" t="inlineStr">
        <is>
          <t>2026-06-10</t>
        </is>
      </c>
      <c r="B10441" s="3" t="inlineStr">
        <is>
          <t>우리금융지주</t>
        </is>
      </c>
      <c r="C10441" s="2" t="inlineStr">
        <is>
          <t>코스피</t>
        </is>
      </c>
      <c r="D10441" s="2" t="inlineStr">
        <is>
          <t>316140</t>
        </is>
      </c>
      <c r="E10441" s="3" t="inlineStr">
        <is>
          <t xml:space="preserve">기업설명회(IR)개최(안내공시)              </t>
        </is>
      </c>
      <c r="F10441" s="3" t="inlineStr">
        <is>
          <t>우리금융지주</t>
        </is>
      </c>
      <c r="G10441" s="2" t="inlineStr">
        <is>
          <t>20260610800591</t>
        </is>
      </c>
      <c r="H10441" s="8">
        <f>HYPERLINK("https://dart.fss.or.kr/dsaf001/main.do?rcpNo=20260610800591", "공시열람")</f>
        <v/>
      </c>
    </row>
    <row r="10442">
      <c r="A10442" s="2" t="inlineStr">
        <is>
          <t>2026-06-10</t>
        </is>
      </c>
      <c r="B10442" s="3" t="inlineStr">
        <is>
          <t>우리금융지주</t>
        </is>
      </c>
      <c r="C10442" s="2" t="inlineStr">
        <is>
          <t>코스피</t>
        </is>
      </c>
      <c r="D10442" s="2" t="inlineStr">
        <is>
          <t>316140</t>
        </is>
      </c>
      <c r="E10442" s="3" t="inlineStr">
        <is>
          <t xml:space="preserve">기업설명회(IR)개최(안내공시)              </t>
        </is>
      </c>
      <c r="F10442" s="3" t="inlineStr">
        <is>
          <t>우리금융지주</t>
        </is>
      </c>
      <c r="G10442" s="2" t="inlineStr">
        <is>
          <t>20260610800585</t>
        </is>
      </c>
      <c r="H10442" s="8">
        <f>HYPERLINK("https://dart.fss.or.kr/dsaf001/main.do?rcpNo=20260610800585", "공시열람")</f>
        <v/>
      </c>
    </row>
    <row r="10443">
      <c r="A10443" s="2" t="inlineStr">
        <is>
          <t>2026-06-10</t>
        </is>
      </c>
      <c r="B10443" s="3" t="inlineStr">
        <is>
          <t>미원화학</t>
        </is>
      </c>
      <c r="C10443" s="2" t="inlineStr">
        <is>
          <t>코스피</t>
        </is>
      </c>
      <c r="D10443" s="2" t="inlineStr">
        <is>
          <t>134380</t>
        </is>
      </c>
      <c r="E10443" s="3" t="inlineStr">
        <is>
          <t>임원ㆍ주요주주특정증권등소유상황보고서</t>
        </is>
      </c>
      <c r="F10443" s="3" t="inlineStr">
        <is>
          <t>미성통상</t>
        </is>
      </c>
      <c r="G10443" s="2" t="inlineStr">
        <is>
          <t>20260610000447</t>
        </is>
      </c>
      <c r="H10443" s="8">
        <f>HYPERLINK("https://dart.fss.or.kr/dsaf001/main.do?rcpNo=20260610000447", "공시열람")</f>
        <v/>
      </c>
    </row>
    <row r="10444">
      <c r="A10444" s="2" t="inlineStr">
        <is>
          <t>2026-06-10</t>
        </is>
      </c>
      <c r="B10444" s="3" t="inlineStr">
        <is>
          <t>포니링크</t>
        </is>
      </c>
      <c r="C10444" s="2" t="inlineStr">
        <is>
          <t>코스닥</t>
        </is>
      </c>
      <c r="D10444" s="2" t="inlineStr">
        <is>
          <t>064800</t>
        </is>
      </c>
      <c r="E10444" s="3" t="inlineStr">
        <is>
          <t>임원ㆍ주요주주특정증권등소유상황보고서</t>
        </is>
      </c>
      <c r="F10444" s="3" t="inlineStr">
        <is>
          <t>김우재</t>
        </is>
      </c>
      <c r="G10444" s="2" t="inlineStr">
        <is>
          <t>20260610000444</t>
        </is>
      </c>
      <c r="H10444" s="8">
        <f>HYPERLINK("https://dart.fss.or.kr/dsaf001/main.do?rcpNo=20260610000444", "공시열람")</f>
        <v/>
      </c>
    </row>
    <row r="10445">
      <c r="A10445" s="2" t="inlineStr">
        <is>
          <t>2026-06-10</t>
        </is>
      </c>
      <c r="B10445" s="3" t="inlineStr">
        <is>
          <t>AK홀딩스</t>
        </is>
      </c>
      <c r="C10445" s="2" t="inlineStr">
        <is>
          <t>코스피</t>
        </is>
      </c>
      <c r="D10445" s="2" t="inlineStr">
        <is>
          <t>006840</t>
        </is>
      </c>
      <c r="E10445" s="3" t="inlineStr">
        <is>
          <t xml:space="preserve">지주회사의자회사편입              </t>
        </is>
      </c>
      <c r="F10445" s="3" t="inlineStr">
        <is>
          <t>AK홀딩스</t>
        </is>
      </c>
      <c r="G10445" s="2" t="inlineStr">
        <is>
          <t>20260610800600</t>
        </is>
      </c>
      <c r="H10445" s="8">
        <f>HYPERLINK("https://dart.fss.or.kr/dsaf001/main.do?rcpNo=20260610800600", "공시열람")</f>
        <v/>
      </c>
    </row>
    <row r="10446">
      <c r="A10446" s="2" t="inlineStr">
        <is>
          <t>2026-06-10</t>
        </is>
      </c>
      <c r="B10446" s="3" t="inlineStr">
        <is>
          <t>KTis</t>
        </is>
      </c>
      <c r="C10446" s="2" t="inlineStr">
        <is>
          <t>코스피</t>
        </is>
      </c>
      <c r="D10446" s="2" t="inlineStr">
        <is>
          <t>058860</t>
        </is>
      </c>
      <c r="E10446" s="3" t="inlineStr">
        <is>
          <t>임원ㆍ주요주주특정증권등소유상황보고서</t>
        </is>
      </c>
      <c r="F10446" s="3" t="inlineStr">
        <is>
          <t>김한성</t>
        </is>
      </c>
      <c r="G10446" s="2" t="inlineStr">
        <is>
          <t>20260610000440</t>
        </is>
      </c>
      <c r="H10446" s="8">
        <f>HYPERLINK("https://dart.fss.or.kr/dsaf001/main.do?rcpNo=20260610000440", "공시열람")</f>
        <v/>
      </c>
    </row>
    <row r="10447">
      <c r="A10447" s="2" t="inlineStr">
        <is>
          <t>2026-06-10</t>
        </is>
      </c>
      <c r="B10447" s="3" t="inlineStr">
        <is>
          <t>포니링크</t>
        </is>
      </c>
      <c r="C10447" s="2" t="inlineStr">
        <is>
          <t>코스닥</t>
        </is>
      </c>
      <c r="D10447" s="2" t="inlineStr">
        <is>
          <t>064800</t>
        </is>
      </c>
      <c r="E10447" s="3" t="inlineStr">
        <is>
          <t>임원ㆍ주요주주특정증권등소유상황보고서</t>
        </is>
      </c>
      <c r="F10447" s="3" t="inlineStr">
        <is>
          <t>이신성</t>
        </is>
      </c>
      <c r="G10447" s="2" t="inlineStr">
        <is>
          <t>20260610000438</t>
        </is>
      </c>
      <c r="H10447" s="8">
        <f>HYPERLINK("https://dart.fss.or.kr/dsaf001/main.do?rcpNo=20260610000438", "공시열람")</f>
        <v/>
      </c>
    </row>
    <row r="10448">
      <c r="A10448" s="2" t="inlineStr">
        <is>
          <t>2026-06-10</t>
        </is>
      </c>
      <c r="B10448" s="3" t="inlineStr">
        <is>
          <t>퓨쳐켐</t>
        </is>
      </c>
      <c r="C10448" s="2" t="inlineStr">
        <is>
          <t>코스닥</t>
        </is>
      </c>
      <c r="D10448" s="2" t="inlineStr">
        <is>
          <t>220100</t>
        </is>
      </c>
      <c r="E10448" s="3" t="inlineStr">
        <is>
          <t xml:space="preserve">기업설명회(IR)개최              </t>
        </is>
      </c>
      <c r="F10448" s="3" t="inlineStr">
        <is>
          <t>퓨쳐켐</t>
        </is>
      </c>
      <c r="G10448" s="2" t="inlineStr">
        <is>
          <t>20260610900629</t>
        </is>
      </c>
      <c r="H10448" s="8">
        <f>HYPERLINK("https://dart.fss.or.kr/dsaf001/main.do?rcpNo=20260610900629", "공시열람")</f>
        <v/>
      </c>
    </row>
    <row r="10449">
      <c r="A10449" s="2" t="inlineStr">
        <is>
          <t>2026-06-10</t>
        </is>
      </c>
      <c r="B10449" s="3" t="inlineStr">
        <is>
          <t>신영증권</t>
        </is>
      </c>
      <c r="C10449" s="2" t="inlineStr">
        <is>
          <t>코스피</t>
        </is>
      </c>
      <c r="D10449" s="2" t="inlineStr">
        <is>
          <t>001720</t>
        </is>
      </c>
      <c r="E10449" s="3" t="inlineStr">
        <is>
          <t>임원ㆍ주요주주특정증권등소유상황보고서</t>
        </is>
      </c>
      <c r="F10449" s="3" t="inlineStr">
        <is>
          <t>원종석</t>
        </is>
      </c>
      <c r="G10449" s="2" t="inlineStr">
        <is>
          <t>20260610000434</t>
        </is>
      </c>
      <c r="H10449" s="8">
        <f>HYPERLINK("https://dart.fss.or.kr/dsaf001/main.do?rcpNo=20260610000434", "공시열람")</f>
        <v/>
      </c>
    </row>
    <row r="10450">
      <c r="A10450" s="2" t="inlineStr">
        <is>
          <t>2026-06-10</t>
        </is>
      </c>
      <c r="B10450" s="3" t="inlineStr">
        <is>
          <t>HLB파나진</t>
        </is>
      </c>
      <c r="C10450" s="2" t="inlineStr">
        <is>
          <t>코스닥</t>
        </is>
      </c>
      <c r="D10450" s="2" t="inlineStr">
        <is>
          <t>046210</t>
        </is>
      </c>
      <c r="E10450" s="3" t="inlineStr">
        <is>
          <t>임원ㆍ주요주주특정증권등소유상황보고서</t>
        </is>
      </c>
      <c r="F10450" s="3" t="inlineStr">
        <is>
          <t>박준영</t>
        </is>
      </c>
      <c r="G10450" s="2" t="inlineStr">
        <is>
          <t>20260610000433</t>
        </is>
      </c>
      <c r="H10450" s="8">
        <f>HYPERLINK("https://dart.fss.or.kr/dsaf001/main.do?rcpNo=20260610000433", "공시열람")</f>
        <v/>
      </c>
    </row>
    <row r="10451">
      <c r="A10451" s="2" t="inlineStr">
        <is>
          <t>2026-06-10</t>
        </is>
      </c>
      <c r="B10451" s="3" t="inlineStr">
        <is>
          <t>한국석유공업</t>
        </is>
      </c>
      <c r="C10451" s="2" t="inlineStr">
        <is>
          <t>코스피</t>
        </is>
      </c>
      <c r="D10451" s="2" t="inlineStr">
        <is>
          <t>004090</t>
        </is>
      </c>
      <c r="E10451" s="3" t="inlineStr">
        <is>
          <t xml:space="preserve">기업설명회(IR)개최(안내공시)              </t>
        </is>
      </c>
      <c r="F10451" s="3" t="inlineStr">
        <is>
          <t>한국석유공업</t>
        </is>
      </c>
      <c r="G10451" s="2" t="inlineStr">
        <is>
          <t>20260610800577</t>
        </is>
      </c>
      <c r="H10451" s="8">
        <f>HYPERLINK("https://dart.fss.or.kr/dsaf001/main.do?rcpNo=20260610800577", "공시열람")</f>
        <v/>
      </c>
    </row>
    <row r="10452">
      <c r="A10452" s="2" t="inlineStr">
        <is>
          <t>2026-06-10</t>
        </is>
      </c>
      <c r="B10452" s="3" t="inlineStr">
        <is>
          <t>코메론</t>
        </is>
      </c>
      <c r="C10452" s="2" t="inlineStr">
        <is>
          <t>코스닥</t>
        </is>
      </c>
      <c r="D10452" s="2" t="inlineStr">
        <is>
          <t>049430</t>
        </is>
      </c>
      <c r="E10452" s="3" t="inlineStr">
        <is>
          <t>신탁계약해지결과보고서</t>
        </is>
      </c>
      <c r="F10452" s="3" t="inlineStr">
        <is>
          <t>코메론</t>
        </is>
      </c>
      <c r="G10452" s="2" t="inlineStr">
        <is>
          <t>20260610000432</t>
        </is>
      </c>
      <c r="H10452" s="8">
        <f>HYPERLINK("https://dart.fss.or.kr/dsaf001/main.do?rcpNo=20260610000432", "공시열람")</f>
        <v/>
      </c>
    </row>
    <row r="10453">
      <c r="A10453" s="2" t="inlineStr">
        <is>
          <t>2026-06-10</t>
        </is>
      </c>
      <c r="B10453" s="3" t="inlineStr">
        <is>
          <t>NAVER</t>
        </is>
      </c>
      <c r="C10453" s="2" t="inlineStr">
        <is>
          <t>코스피</t>
        </is>
      </c>
      <c r="D10453" s="2" t="inlineStr">
        <is>
          <t>035420</t>
        </is>
      </c>
      <c r="E10453" s="3" t="inlineStr">
        <is>
          <t>임원ㆍ주요주주특정증권등소유상황보고서</t>
        </is>
      </c>
      <c r="F10453" s="3" t="inlineStr">
        <is>
          <t>김성호</t>
        </is>
      </c>
      <c r="G10453" s="2" t="inlineStr">
        <is>
          <t>20260610000431</t>
        </is>
      </c>
      <c r="H10453" s="8">
        <f>HYPERLINK("https://dart.fss.or.kr/dsaf001/main.do?rcpNo=20260610000431", "공시열람")</f>
        <v/>
      </c>
    </row>
    <row r="10454">
      <c r="A10454" s="2" t="inlineStr">
        <is>
          <t>2026-06-10</t>
        </is>
      </c>
      <c r="B10454" s="3" t="inlineStr">
        <is>
          <t>포니링크</t>
        </is>
      </c>
      <c r="C10454" s="2" t="inlineStr">
        <is>
          <t>코스닥</t>
        </is>
      </c>
      <c r="D10454" s="2" t="inlineStr">
        <is>
          <t>064800</t>
        </is>
      </c>
      <c r="E10454" s="3" t="inlineStr">
        <is>
          <t>임원ㆍ주요주주특정증권등소유상황보고서</t>
        </is>
      </c>
      <c r="F10454" s="3" t="inlineStr">
        <is>
          <t>구세진</t>
        </is>
      </c>
      <c r="G10454" s="2" t="inlineStr">
        <is>
          <t>20260610000427</t>
        </is>
      </c>
      <c r="H10454" s="8">
        <f>HYPERLINK("https://dart.fss.or.kr/dsaf001/main.do?rcpNo=20260610000427", "공시열람")</f>
        <v/>
      </c>
    </row>
    <row r="10455">
      <c r="A10455" s="2" t="inlineStr">
        <is>
          <t>2026-06-10</t>
        </is>
      </c>
      <c r="B10455" s="3" t="inlineStr">
        <is>
          <t>MH에탄올</t>
        </is>
      </c>
      <c r="C10455" s="2" t="inlineStr">
        <is>
          <t>코스피</t>
        </is>
      </c>
      <c r="D10455" s="2" t="inlineStr">
        <is>
          <t>023150</t>
        </is>
      </c>
      <c r="E10455" s="3" t="inlineStr">
        <is>
          <t>임원ㆍ주요주주특정증권등소유상황보고서</t>
        </is>
      </c>
      <c r="F10455" s="3" t="inlineStr">
        <is>
          <t>김일환</t>
        </is>
      </c>
      <c r="G10455" s="2" t="inlineStr">
        <is>
          <t>20260610000425</t>
        </is>
      </c>
      <c r="H10455" s="8">
        <f>HYPERLINK("https://dart.fss.or.kr/dsaf001/main.do?rcpNo=20260610000425", "공시열람")</f>
        <v/>
      </c>
    </row>
    <row r="10456">
      <c r="A10456" s="2" t="inlineStr">
        <is>
          <t>2026-06-10</t>
        </is>
      </c>
      <c r="B10456" s="3" t="inlineStr">
        <is>
          <t>NAVER</t>
        </is>
      </c>
      <c r="C10456" s="2" t="inlineStr">
        <is>
          <t>코스피</t>
        </is>
      </c>
      <c r="D10456" s="2" t="inlineStr">
        <is>
          <t>035420</t>
        </is>
      </c>
      <c r="E10456" s="3" t="inlineStr">
        <is>
          <t>임원ㆍ주요주주특정증권등소유상황보고서</t>
        </is>
      </c>
      <c r="F10456" s="3" t="inlineStr">
        <is>
          <t>오성권</t>
        </is>
      </c>
      <c r="G10456" s="2" t="inlineStr">
        <is>
          <t>20260610000422</t>
        </is>
      </c>
      <c r="H10456" s="8">
        <f>HYPERLINK("https://dart.fss.or.kr/dsaf001/main.do?rcpNo=20260610000422", "공시열람")</f>
        <v/>
      </c>
    </row>
    <row r="10457">
      <c r="A10457" s="2" t="inlineStr">
        <is>
          <t>2026-06-10</t>
        </is>
      </c>
      <c r="B10457" s="3" t="inlineStr">
        <is>
          <t>포니링크</t>
        </is>
      </c>
      <c r="C10457" s="2" t="inlineStr">
        <is>
          <t>코스닥</t>
        </is>
      </c>
      <c r="D10457" s="2" t="inlineStr">
        <is>
          <t>064800</t>
        </is>
      </c>
      <c r="E10457" s="3" t="inlineStr">
        <is>
          <t>임원ㆍ주요주주특정증권등소유상황보고서</t>
        </is>
      </c>
      <c r="F10457" s="3" t="inlineStr">
        <is>
          <t>임명수</t>
        </is>
      </c>
      <c r="G10457" s="2" t="inlineStr">
        <is>
          <t>20260610000420</t>
        </is>
      </c>
      <c r="H10457" s="8">
        <f>HYPERLINK("https://dart.fss.or.kr/dsaf001/main.do?rcpNo=20260610000420", "공시열람")</f>
        <v/>
      </c>
    </row>
    <row r="10458">
      <c r="A10458" s="2" t="inlineStr">
        <is>
          <t>2026-06-10</t>
        </is>
      </c>
      <c r="B10458" s="3" t="inlineStr">
        <is>
          <t>코메론</t>
        </is>
      </c>
      <c r="C10458" s="2" t="inlineStr">
        <is>
          <t>코스닥</t>
        </is>
      </c>
      <c r="D10458" s="2" t="inlineStr">
        <is>
          <t>049430</t>
        </is>
      </c>
      <c r="E10458" s="3" t="inlineStr">
        <is>
          <t>신탁계약에의한취득상황보고서</t>
        </is>
      </c>
      <c r="F10458" s="3" t="inlineStr">
        <is>
          <t>코메론</t>
        </is>
      </c>
      <c r="G10458" s="2" t="inlineStr">
        <is>
          <t>20260610000419</t>
        </is>
      </c>
      <c r="H10458" s="8">
        <f>HYPERLINK("https://dart.fss.or.kr/dsaf001/main.do?rcpNo=20260610000419", "공시열람")</f>
        <v/>
      </c>
    </row>
    <row r="10459">
      <c r="A10459" s="2" t="inlineStr">
        <is>
          <t>2026-06-10</t>
        </is>
      </c>
      <c r="B10459" s="3" t="inlineStr">
        <is>
          <t>메이슨캐피탈</t>
        </is>
      </c>
      <c r="C10459" s="2" t="inlineStr">
        <is>
          <t>코스닥</t>
        </is>
      </c>
      <c r="D10459" s="2" t="inlineStr">
        <is>
          <t>021880</t>
        </is>
      </c>
      <c r="E10459" s="3" t="inlineStr">
        <is>
          <t>의결권대리행사권유참고서류</t>
        </is>
      </c>
      <c r="F10459" s="3" t="inlineStr">
        <is>
          <t>메이슨캐피탈</t>
        </is>
      </c>
      <c r="G10459" s="2" t="inlineStr">
        <is>
          <t>20260610000418</t>
        </is>
      </c>
      <c r="H10459" s="8">
        <f>HYPERLINK("https://dart.fss.or.kr/dsaf001/main.do?rcpNo=20260610000418", "공시열람")</f>
        <v/>
      </c>
    </row>
    <row r="10460">
      <c r="A10460" s="2" t="inlineStr">
        <is>
          <t>2026-06-10</t>
        </is>
      </c>
      <c r="B10460" s="3" t="inlineStr">
        <is>
          <t>포니링크</t>
        </is>
      </c>
      <c r="C10460" s="2" t="inlineStr">
        <is>
          <t>코스닥</t>
        </is>
      </c>
      <c r="D10460" s="2" t="inlineStr">
        <is>
          <t>064800</t>
        </is>
      </c>
      <c r="E10460" s="3" t="inlineStr">
        <is>
          <t>임원ㆍ주요주주특정증권등소유상황보고서</t>
        </is>
      </c>
      <c r="F10460" s="3" t="inlineStr">
        <is>
          <t>문형식</t>
        </is>
      </c>
      <c r="G10460" s="2" t="inlineStr">
        <is>
          <t>20260610000414</t>
        </is>
      </c>
      <c r="H10460" s="8">
        <f>HYPERLINK("https://dart.fss.or.kr/dsaf001/main.do?rcpNo=20260610000414", "공시열람")</f>
        <v/>
      </c>
    </row>
    <row r="10461">
      <c r="A10461" s="2" t="inlineStr">
        <is>
          <t>2026-06-10</t>
        </is>
      </c>
      <c r="B10461" s="3" t="inlineStr">
        <is>
          <t>NAVER</t>
        </is>
      </c>
      <c r="C10461" s="2" t="inlineStr">
        <is>
          <t>코스피</t>
        </is>
      </c>
      <c r="D10461" s="2" t="inlineStr">
        <is>
          <t>035420</t>
        </is>
      </c>
      <c r="E10461" s="3" t="inlineStr">
        <is>
          <t>임원ㆍ주요주주특정증권등소유상황보고서</t>
        </is>
      </c>
      <c r="F10461" s="3" t="inlineStr">
        <is>
          <t>임주열</t>
        </is>
      </c>
      <c r="G10461" s="2" t="inlineStr">
        <is>
          <t>20260610000413</t>
        </is>
      </c>
      <c r="H10461" s="8">
        <f>HYPERLINK("https://dart.fss.or.kr/dsaf001/main.do?rcpNo=20260610000413", "공시열람")</f>
        <v/>
      </c>
    </row>
    <row r="10462">
      <c r="A10462" s="2" t="inlineStr">
        <is>
          <t>2026-06-10</t>
        </is>
      </c>
      <c r="B10462" s="3" t="inlineStr">
        <is>
          <t>포니링크</t>
        </is>
      </c>
      <c r="C10462" s="2" t="inlineStr">
        <is>
          <t>코스닥</t>
        </is>
      </c>
      <c r="D10462" s="2" t="inlineStr">
        <is>
          <t>064800</t>
        </is>
      </c>
      <c r="E10462" s="3" t="inlineStr">
        <is>
          <t>임원ㆍ주요주주특정증권등소유상황보고서</t>
        </is>
      </c>
      <c r="F10462" s="3" t="inlineStr">
        <is>
          <t>황정일</t>
        </is>
      </c>
      <c r="G10462" s="2" t="inlineStr">
        <is>
          <t>20260610000406</t>
        </is>
      </c>
      <c r="H10462" s="8">
        <f>HYPERLINK("https://dart.fss.or.kr/dsaf001/main.do?rcpNo=20260610000406", "공시열람")</f>
        <v/>
      </c>
    </row>
    <row r="10463">
      <c r="A10463" s="2" t="inlineStr">
        <is>
          <t>2026-06-10</t>
        </is>
      </c>
      <c r="B10463" s="3" t="inlineStr">
        <is>
          <t>코스메카코리아</t>
        </is>
      </c>
      <c r="C10463" s="2" t="inlineStr">
        <is>
          <t>코스닥</t>
        </is>
      </c>
      <c r="D10463" s="2" t="inlineStr">
        <is>
          <t>241710</t>
        </is>
      </c>
      <c r="E10463" s="3" t="inlineStr">
        <is>
          <t xml:space="preserve">기업설명회(IR)개최              </t>
        </is>
      </c>
      <c r="F10463" s="3" t="inlineStr">
        <is>
          <t>코스메카코리아</t>
        </is>
      </c>
      <c r="G10463" s="2" t="inlineStr">
        <is>
          <t>20260610900594</t>
        </is>
      </c>
      <c r="H10463" s="8">
        <f>HYPERLINK("https://dart.fss.or.kr/dsaf001/main.do?rcpNo=20260610900594", "공시열람")</f>
        <v/>
      </c>
    </row>
    <row r="10464">
      <c r="A10464" s="2" t="inlineStr">
        <is>
          <t>2026-06-10</t>
        </is>
      </c>
      <c r="B10464" s="3" t="inlineStr">
        <is>
          <t>KTis</t>
        </is>
      </c>
      <c r="C10464" s="2" t="inlineStr">
        <is>
          <t>코스피</t>
        </is>
      </c>
      <c r="D10464" s="2" t="inlineStr">
        <is>
          <t>058860</t>
        </is>
      </c>
      <c r="E10464" s="3" t="inlineStr">
        <is>
          <t>임원ㆍ주요주주특정증권등소유상황보고서</t>
        </is>
      </c>
      <c r="F10464" s="3" t="inlineStr">
        <is>
          <t>진영심</t>
        </is>
      </c>
      <c r="G10464" s="2" t="inlineStr">
        <is>
          <t>20260610000398</t>
        </is>
      </c>
      <c r="H10464" s="8">
        <f>HYPERLINK("https://dart.fss.or.kr/dsaf001/main.do?rcpNo=20260610000398", "공시열람")</f>
        <v/>
      </c>
    </row>
    <row r="10465">
      <c r="A10465" s="2" t="inlineStr">
        <is>
          <t>2026-06-10</t>
        </is>
      </c>
      <c r="B10465" s="3" t="inlineStr">
        <is>
          <t>현대차증권</t>
        </is>
      </c>
      <c r="C10465" s="2" t="inlineStr">
        <is>
          <t>코스피</t>
        </is>
      </c>
      <c r="D10465" s="2" t="inlineStr">
        <is>
          <t>001500</t>
        </is>
      </c>
      <c r="E10465" s="3" t="inlineStr">
        <is>
          <t>증권발행실적보고서</t>
        </is>
      </c>
      <c r="F10465" s="3" t="inlineStr">
        <is>
          <t>현대차증권</t>
        </is>
      </c>
      <c r="G10465" s="2" t="inlineStr">
        <is>
          <t>20260610000393</t>
        </is>
      </c>
      <c r="H10465" s="8">
        <f>HYPERLINK("https://dart.fss.or.kr/dsaf001/main.do?rcpNo=20260610000393", "공시열람")</f>
        <v/>
      </c>
    </row>
    <row r="10466">
      <c r="A10466" s="2" t="inlineStr">
        <is>
          <t>2026-06-10</t>
        </is>
      </c>
      <c r="B10466" s="3" t="inlineStr">
        <is>
          <t>오비고</t>
        </is>
      </c>
      <c r="C10466" s="2" t="inlineStr">
        <is>
          <t>코스닥</t>
        </is>
      </c>
      <c r="D10466" s="2" t="inlineStr">
        <is>
          <t>352910</t>
        </is>
      </c>
      <c r="E10466" s="3" t="inlineStr">
        <is>
          <t>임원ㆍ주요주주특정증권등소유상황보고서</t>
        </is>
      </c>
      <c r="F10466" s="3" t="inlineStr">
        <is>
          <t>장영준</t>
        </is>
      </c>
      <c r="G10466" s="2" t="inlineStr">
        <is>
          <t>20260610000384</t>
        </is>
      </c>
      <c r="H10466" s="8">
        <f>HYPERLINK("https://dart.fss.or.kr/dsaf001/main.do?rcpNo=20260610000384", "공시열람")</f>
        <v/>
      </c>
    </row>
    <row r="10467">
      <c r="A10467" s="2" t="inlineStr">
        <is>
          <t>2026-06-10</t>
        </is>
      </c>
      <c r="B10467" s="3" t="inlineStr">
        <is>
          <t>액트로</t>
        </is>
      </c>
      <c r="C10467" s="2" t="inlineStr">
        <is>
          <t>코스닥</t>
        </is>
      </c>
      <c r="D10467" s="2" t="inlineStr">
        <is>
          <t>290740</t>
        </is>
      </c>
      <c r="E10467" s="3" t="inlineStr">
        <is>
          <t xml:space="preserve">기업설명회(IR)개최              </t>
        </is>
      </c>
      <c r="F10467" s="3" t="inlineStr">
        <is>
          <t>액트로</t>
        </is>
      </c>
      <c r="G10467" s="2" t="inlineStr">
        <is>
          <t>20260610900576</t>
        </is>
      </c>
      <c r="H10467" s="8">
        <f>HYPERLINK("https://dart.fss.or.kr/dsaf001/main.do?rcpNo=20260610900576", "공시열람")</f>
        <v/>
      </c>
    </row>
    <row r="10468">
      <c r="A10468" s="2" t="inlineStr">
        <is>
          <t>2026-06-10</t>
        </is>
      </c>
      <c r="B10468" s="3" t="inlineStr">
        <is>
          <t>디와이덕양</t>
        </is>
      </c>
      <c r="C10468" s="2" t="inlineStr">
        <is>
          <t>코스피</t>
        </is>
      </c>
      <c r="D10468" s="2" t="inlineStr">
        <is>
          <t>024900</t>
        </is>
      </c>
      <c r="E10468" s="3" t="inlineStr">
        <is>
          <t xml:space="preserve">타법인주식및출자증권취득결정              </t>
        </is>
      </c>
      <c r="F10468" s="3" t="inlineStr">
        <is>
          <t>디와이덕양</t>
        </is>
      </c>
      <c r="G10468" s="2" t="inlineStr">
        <is>
          <t>20260610800555</t>
        </is>
      </c>
      <c r="H10468" s="8">
        <f>HYPERLINK("https://dart.fss.or.kr/dsaf001/main.do?rcpNo=20260610800555", "공시열람")</f>
        <v/>
      </c>
    </row>
    <row r="10469">
      <c r="A10469" s="2" t="inlineStr">
        <is>
          <t>2026-06-10</t>
        </is>
      </c>
      <c r="B10469" s="3" t="inlineStr">
        <is>
          <t>한국항공우주</t>
        </is>
      </c>
      <c r="C10469" s="2" t="inlineStr">
        <is>
          <t>코스피</t>
        </is>
      </c>
      <c r="D10469" s="2" t="inlineStr">
        <is>
          <t>047810</t>
        </is>
      </c>
      <c r="E10469" s="3" t="inlineStr">
        <is>
          <t xml:space="preserve">기업설명회(IR)개최(안내공시)              </t>
        </is>
      </c>
      <c r="F10469" s="3" t="inlineStr">
        <is>
          <t>한국항공우주</t>
        </is>
      </c>
      <c r="G10469" s="2" t="inlineStr">
        <is>
          <t>20260610800573</t>
        </is>
      </c>
      <c r="H10469" s="8">
        <f>HYPERLINK("https://dart.fss.or.kr/dsaf001/main.do?rcpNo=20260610800573", "공시열람")</f>
        <v/>
      </c>
    </row>
    <row r="10470">
      <c r="A10470" s="2" t="inlineStr">
        <is>
          <t>2026-06-10</t>
        </is>
      </c>
      <c r="B10470" s="3" t="inlineStr">
        <is>
          <t>HPSP</t>
        </is>
      </c>
      <c r="C10470" s="2" t="inlineStr">
        <is>
          <t>코스닥</t>
        </is>
      </c>
      <c r="D10470" s="2" t="inlineStr">
        <is>
          <t>403870</t>
        </is>
      </c>
      <c r="E10470" s="3" t="inlineStr">
        <is>
          <t>의결권대리행사권유참고서류</t>
        </is>
      </c>
      <c r="F10470" s="3" t="inlineStr">
        <is>
          <t>HPSP</t>
        </is>
      </c>
      <c r="G10470" s="2" t="inlineStr">
        <is>
          <t>20260610000374</t>
        </is>
      </c>
      <c r="H10470" s="8">
        <f>HYPERLINK("https://dart.fss.or.kr/dsaf001/main.do?rcpNo=20260610000374", "공시열람")</f>
        <v/>
      </c>
    </row>
    <row r="10471">
      <c r="A10471" s="2" t="inlineStr">
        <is>
          <t>2026-06-10</t>
        </is>
      </c>
      <c r="B10471" s="3" t="inlineStr">
        <is>
          <t>TP</t>
        </is>
      </c>
      <c r="C10471" s="2" t="inlineStr">
        <is>
          <t>코스피</t>
        </is>
      </c>
      <c r="D10471" s="2" t="inlineStr">
        <is>
          <t>007980</t>
        </is>
      </c>
      <c r="E10471" s="3" t="inlineStr">
        <is>
          <t>임원ㆍ주요주주특정증권등소유상황보고서</t>
        </is>
      </c>
      <c r="F10471" s="3" t="inlineStr">
        <is>
          <t>박성흠</t>
        </is>
      </c>
      <c r="G10471" s="2" t="inlineStr">
        <is>
          <t>20260610000373</t>
        </is>
      </c>
      <c r="H10471" s="8">
        <f>HYPERLINK("https://dart.fss.or.kr/dsaf001/main.do?rcpNo=20260610000373", "공시열람")</f>
        <v/>
      </c>
    </row>
    <row r="10472">
      <c r="A10472" s="2" t="inlineStr">
        <is>
          <t>2026-06-10</t>
        </is>
      </c>
      <c r="B10472" s="3" t="inlineStr">
        <is>
          <t>미래에셋증권</t>
        </is>
      </c>
      <c r="C10472" s="2" t="inlineStr">
        <is>
          <t>코스피</t>
        </is>
      </c>
      <c r="D10472" s="2" t="inlineStr">
        <is>
          <t>006800</t>
        </is>
      </c>
      <c r="E10472" s="3" t="inlineStr">
        <is>
          <t>투자설명서(일괄신고)</t>
        </is>
      </c>
      <c r="F10472" s="3" t="inlineStr">
        <is>
          <t>미래에셋증권</t>
        </is>
      </c>
      <c r="G10472" s="2" t="inlineStr">
        <is>
          <t>20260610000364</t>
        </is>
      </c>
      <c r="H10472" s="8">
        <f>HYPERLINK("https://dart.fss.or.kr/dsaf001/main.do?rcpNo=20260610000364", "공시열람")</f>
        <v/>
      </c>
    </row>
    <row r="10473">
      <c r="A10473" s="2" t="inlineStr">
        <is>
          <t>2026-06-10</t>
        </is>
      </c>
      <c r="B10473" s="3" t="inlineStr">
        <is>
          <t>미래에셋증권</t>
        </is>
      </c>
      <c r="C10473" s="2" t="inlineStr">
        <is>
          <t>코스피</t>
        </is>
      </c>
      <c r="D10473" s="2" t="inlineStr">
        <is>
          <t>006800</t>
        </is>
      </c>
      <c r="E10473" s="3" t="inlineStr">
        <is>
          <t>일괄신고추가서류(파생결합사채-주가연계파생결합사채)</t>
        </is>
      </c>
      <c r="F10473" s="3" t="inlineStr">
        <is>
          <t>미래에셋증권</t>
        </is>
      </c>
      <c r="G10473" s="2" t="inlineStr">
        <is>
          <t>20260610000360</t>
        </is>
      </c>
      <c r="H10473" s="8">
        <f>HYPERLINK("https://dart.fss.or.kr/dsaf001/main.do?rcpNo=20260610000360", "공시열람")</f>
        <v/>
      </c>
    </row>
    <row r="10474">
      <c r="A10474" s="2" t="inlineStr">
        <is>
          <t>2026-06-10</t>
        </is>
      </c>
      <c r="B10474" s="3" t="inlineStr">
        <is>
          <t>미래에셋증권</t>
        </is>
      </c>
      <c r="C10474" s="2" t="inlineStr">
        <is>
          <t>코스피</t>
        </is>
      </c>
      <c r="D10474" s="2" t="inlineStr">
        <is>
          <t>006800</t>
        </is>
      </c>
      <c r="E10474" s="3" t="inlineStr">
        <is>
          <t>투자설명서(일괄신고)</t>
        </is>
      </c>
      <c r="F10474" s="3" t="inlineStr">
        <is>
          <t>미래에셋증권</t>
        </is>
      </c>
      <c r="G10474" s="2" t="inlineStr">
        <is>
          <t>20260610000357</t>
        </is>
      </c>
      <c r="H10474" s="8">
        <f>HYPERLINK("https://dart.fss.or.kr/dsaf001/main.do?rcpNo=20260610000357", "공시열람")</f>
        <v/>
      </c>
    </row>
    <row r="10475">
      <c r="A10475" s="2" t="inlineStr">
        <is>
          <t>2026-06-10</t>
        </is>
      </c>
      <c r="B10475" s="3" t="inlineStr">
        <is>
          <t>키움증권</t>
        </is>
      </c>
      <c r="C10475" s="2" t="inlineStr">
        <is>
          <t>코스피</t>
        </is>
      </c>
      <c r="D10475" s="2" t="inlineStr">
        <is>
          <t>039490</t>
        </is>
      </c>
      <c r="E10475" s="3" t="inlineStr">
        <is>
          <t>일괄신고추가서류(파생결합사채-주가연계파생결합사채)</t>
        </is>
      </c>
      <c r="F10475" s="3" t="inlineStr">
        <is>
          <t>키움증권</t>
        </is>
      </c>
      <c r="G10475" s="2" t="inlineStr">
        <is>
          <t>20260610000355</t>
        </is>
      </c>
      <c r="H10475" s="8">
        <f>HYPERLINK("https://dart.fss.or.kr/dsaf001/main.do?rcpNo=20260610000355", "공시열람")</f>
        <v/>
      </c>
    </row>
    <row r="10476">
      <c r="A10476" s="2" t="inlineStr">
        <is>
          <t>2026-06-10</t>
        </is>
      </c>
      <c r="B10476" s="3" t="inlineStr">
        <is>
          <t>디에이치엑스컴퍼니</t>
        </is>
      </c>
      <c r="C10476" s="2" t="inlineStr">
        <is>
          <t>코스닥</t>
        </is>
      </c>
      <c r="D10476" s="2" t="inlineStr">
        <is>
          <t>031860</t>
        </is>
      </c>
      <c r="E10476" s="3" t="inlineStr">
        <is>
          <t xml:space="preserve">대표이사변경              </t>
        </is>
      </c>
      <c r="F10476" s="3" t="inlineStr">
        <is>
          <t>디에이치엑스컴퍼니</t>
        </is>
      </c>
      <c r="G10476" s="2" t="inlineStr">
        <is>
          <t>20260610900476</t>
        </is>
      </c>
      <c r="H10476" s="8">
        <f>HYPERLINK("https://dart.fss.or.kr/dsaf001/main.do?rcpNo=20260610900476", "공시열람")</f>
        <v/>
      </c>
    </row>
    <row r="10477">
      <c r="A10477" s="2" t="inlineStr">
        <is>
          <t>2026-06-10</t>
        </is>
      </c>
      <c r="B10477" s="3" t="inlineStr">
        <is>
          <t>윙스풋</t>
        </is>
      </c>
      <c r="C10477" s="2" t="inlineStr">
        <is>
          <t>코스닥</t>
        </is>
      </c>
      <c r="D10477" s="2" t="inlineStr">
        <is>
          <t>335870</t>
        </is>
      </c>
      <c r="E10477" s="3" t="inlineStr">
        <is>
          <t xml:space="preserve">주주명부폐쇄기간또는기준일설정              </t>
        </is>
      </c>
      <c r="F10477" s="3" t="inlineStr">
        <is>
          <t>윙스풋</t>
        </is>
      </c>
      <c r="G10477" s="2" t="inlineStr">
        <is>
          <t>20260610900464</t>
        </is>
      </c>
      <c r="H10477" s="8">
        <f>HYPERLINK("https://dart.fss.or.kr/dsaf001/main.do?rcpNo=20260610900464", "공시열람")</f>
        <v/>
      </c>
    </row>
    <row r="10478">
      <c r="A10478" s="2" t="inlineStr">
        <is>
          <t>2026-06-10</t>
        </is>
      </c>
      <c r="B10478" s="3" t="inlineStr">
        <is>
          <t>KG스틸</t>
        </is>
      </c>
      <c r="C10478" s="2" t="inlineStr">
        <is>
          <t>코스피</t>
        </is>
      </c>
      <c r="D10478" s="2" t="inlineStr">
        <is>
          <t>016380</t>
        </is>
      </c>
      <c r="E10478" s="3" t="inlineStr">
        <is>
          <t>임원ㆍ주요주주특정증권등소유상황보고서</t>
        </is>
      </c>
      <c r="F10478" s="3" t="inlineStr">
        <is>
          <t>박한규</t>
        </is>
      </c>
      <c r="G10478" s="2" t="inlineStr">
        <is>
          <t>20260610000352</t>
        </is>
      </c>
      <c r="H10478" s="8">
        <f>HYPERLINK("https://dart.fss.or.kr/dsaf001/main.do?rcpNo=20260610000352", "공시열람")</f>
        <v/>
      </c>
    </row>
    <row r="10479">
      <c r="A10479" s="2" t="inlineStr">
        <is>
          <t>2026-06-10</t>
        </is>
      </c>
      <c r="B10479" s="3" t="inlineStr">
        <is>
          <t>미래에셋증권</t>
        </is>
      </c>
      <c r="C10479" s="2" t="inlineStr">
        <is>
          <t>코스피</t>
        </is>
      </c>
      <c r="D10479" s="2" t="inlineStr">
        <is>
          <t>006800</t>
        </is>
      </c>
      <c r="E10479" s="3" t="inlineStr">
        <is>
          <t>일괄신고추가서류(파생결합사채-주가연계파생결합사채)</t>
        </is>
      </c>
      <c r="F10479" s="3" t="inlineStr">
        <is>
          <t>미래에셋증권</t>
        </is>
      </c>
      <c r="G10479" s="2" t="inlineStr">
        <is>
          <t>20260610000351</t>
        </is>
      </c>
      <c r="H10479" s="8">
        <f>HYPERLINK("https://dart.fss.or.kr/dsaf001/main.do?rcpNo=20260610000351", "공시열람")</f>
        <v/>
      </c>
    </row>
    <row r="10480">
      <c r="A10480" s="2" t="inlineStr">
        <is>
          <t>2026-06-10</t>
        </is>
      </c>
      <c r="B10480" s="3" t="inlineStr">
        <is>
          <t>케이엠제약</t>
        </is>
      </c>
      <c r="C10480" s="2" t="inlineStr">
        <is>
          <t>코스닥</t>
        </is>
      </c>
      <c r="D10480" s="2" t="inlineStr">
        <is>
          <t>225430</t>
        </is>
      </c>
      <c r="E10480" s="3" t="inlineStr">
        <is>
          <t>임원ㆍ주요주주특정증권등소유상황보고서</t>
        </is>
      </c>
      <c r="F10480" s="3" t="inlineStr">
        <is>
          <t>김종기</t>
        </is>
      </c>
      <c r="G10480" s="2" t="inlineStr">
        <is>
          <t>20260610000350</t>
        </is>
      </c>
      <c r="H10480" s="8">
        <f>HYPERLINK("https://dart.fss.or.kr/dsaf001/main.do?rcpNo=20260610000350", "공시열람")</f>
        <v/>
      </c>
    </row>
    <row r="10481">
      <c r="A10481" s="2" t="inlineStr">
        <is>
          <t>2026-06-10</t>
        </is>
      </c>
      <c r="B10481" s="3" t="inlineStr">
        <is>
          <t>서호전기</t>
        </is>
      </c>
      <c r="C10481" s="2" t="inlineStr">
        <is>
          <t>코스닥</t>
        </is>
      </c>
      <c r="D10481" s="2" t="inlineStr">
        <is>
          <t>065710</t>
        </is>
      </c>
      <c r="E10481" s="3" t="inlineStr">
        <is>
          <t xml:space="preserve">중간(분기)배당을위한주주명부폐쇄(기준일)결정              </t>
        </is>
      </c>
      <c r="F10481" s="3" t="inlineStr">
        <is>
          <t>서호전기</t>
        </is>
      </c>
      <c r="G10481" s="2" t="inlineStr">
        <is>
          <t>20260610900494</t>
        </is>
      </c>
      <c r="H10481" s="8">
        <f>HYPERLINK("https://dart.fss.or.kr/dsaf001/main.do?rcpNo=20260610900494", "공시열람")</f>
        <v/>
      </c>
    </row>
    <row r="10482">
      <c r="A10482" s="2" t="inlineStr">
        <is>
          <t>2026-06-10</t>
        </is>
      </c>
      <c r="B10482" s="3" t="inlineStr">
        <is>
          <t>KG스틸</t>
        </is>
      </c>
      <c r="C10482" s="2" t="inlineStr">
        <is>
          <t>코스피</t>
        </is>
      </c>
      <c r="D10482" s="2" t="inlineStr">
        <is>
          <t>016380</t>
        </is>
      </c>
      <c r="E10482" s="3" t="inlineStr">
        <is>
          <t>임원ㆍ주요주주특정증권등소유상황보고서</t>
        </is>
      </c>
      <c r="F10482" s="3" t="inlineStr">
        <is>
          <t>김재욱</t>
        </is>
      </c>
      <c r="G10482" s="2" t="inlineStr">
        <is>
          <t>20260610000339</t>
        </is>
      </c>
      <c r="H10482" s="8">
        <f>HYPERLINK("https://dart.fss.or.kr/dsaf001/main.do?rcpNo=20260610000339", "공시열람")</f>
        <v/>
      </c>
    </row>
    <row r="10483">
      <c r="A10483" s="2" t="inlineStr">
        <is>
          <t>2026-06-10</t>
        </is>
      </c>
      <c r="B10483" s="3" t="inlineStr">
        <is>
          <t>코디</t>
        </is>
      </c>
      <c r="C10483" s="2" t="inlineStr">
        <is>
          <t>코스닥</t>
        </is>
      </c>
      <c r="D10483" s="2" t="inlineStr">
        <is>
          <t>080530</t>
        </is>
      </c>
      <c r="E10483" s="3" t="inlineStr">
        <is>
          <t xml:space="preserve">주주명부폐쇄기간또는기준일설정              </t>
        </is>
      </c>
      <c r="F10483" s="3" t="inlineStr">
        <is>
          <t>코디</t>
        </is>
      </c>
      <c r="G10483" s="2" t="inlineStr">
        <is>
          <t>20260610900484</t>
        </is>
      </c>
      <c r="H10483" s="8">
        <f>HYPERLINK("https://dart.fss.or.kr/dsaf001/main.do?rcpNo=20260610900484", "공시열람")</f>
        <v/>
      </c>
    </row>
    <row r="10484">
      <c r="A10484" s="2" t="inlineStr">
        <is>
          <t>2026-06-10</t>
        </is>
      </c>
      <c r="B10484" s="3" t="inlineStr">
        <is>
          <t>교보증권</t>
        </is>
      </c>
      <c r="C10484" s="2" t="inlineStr">
        <is>
          <t>코스피</t>
        </is>
      </c>
      <c r="D10484" s="2" t="inlineStr">
        <is>
          <t>030610</t>
        </is>
      </c>
      <c r="E10484" s="3" t="inlineStr">
        <is>
          <t>증권발행실적보고서</t>
        </is>
      </c>
      <c r="F10484" s="3" t="inlineStr">
        <is>
          <t>교보증권</t>
        </is>
      </c>
      <c r="G10484" s="2" t="inlineStr">
        <is>
          <t>20260610000331</t>
        </is>
      </c>
      <c r="H10484" s="8">
        <f>HYPERLINK("https://dart.fss.or.kr/dsaf001/main.do?rcpNo=20260610000331", "공시열람")</f>
        <v/>
      </c>
    </row>
    <row r="10485">
      <c r="A10485" s="2" t="inlineStr">
        <is>
          <t>2026-06-10</t>
        </is>
      </c>
      <c r="B10485" s="3" t="inlineStr">
        <is>
          <t>KG스틸</t>
        </is>
      </c>
      <c r="C10485" s="2" t="inlineStr">
        <is>
          <t>코스피</t>
        </is>
      </c>
      <c r="D10485" s="2" t="inlineStr">
        <is>
          <t>016380</t>
        </is>
      </c>
      <c r="E10485" s="3" t="inlineStr">
        <is>
          <t>임원ㆍ주요주주특정증권등소유상황보고서</t>
        </is>
      </c>
      <c r="F10485" s="3" t="inlineStr">
        <is>
          <t>한재신</t>
        </is>
      </c>
      <c r="G10485" s="2" t="inlineStr">
        <is>
          <t>20260610000328</t>
        </is>
      </c>
      <c r="H10485" s="8">
        <f>HYPERLINK("https://dart.fss.or.kr/dsaf001/main.do?rcpNo=20260610000328", "공시열람")</f>
        <v/>
      </c>
    </row>
    <row r="10486">
      <c r="A10486" s="2" t="inlineStr">
        <is>
          <t>2026-06-10</t>
        </is>
      </c>
      <c r="B10486" s="3" t="inlineStr">
        <is>
          <t>그린리소스</t>
        </is>
      </c>
      <c r="C10486" s="2" t="inlineStr">
        <is>
          <t>코스닥</t>
        </is>
      </c>
      <c r="D10486" s="2" t="inlineStr">
        <is>
          <t>402490</t>
        </is>
      </c>
      <c r="E10486" s="3" t="inlineStr">
        <is>
          <t>증권발행결과(자율공시)              (제4회차 BW)</t>
        </is>
      </c>
      <c r="F10486" s="3" t="inlineStr">
        <is>
          <t>그린리소스</t>
        </is>
      </c>
      <c r="G10486" s="2" t="inlineStr">
        <is>
          <t>20260610900449</t>
        </is>
      </c>
      <c r="H10486" s="8">
        <f>HYPERLINK("https://dart.fss.or.kr/dsaf001/main.do?rcpNo=20260610900449", "공시열람")</f>
        <v/>
      </c>
    </row>
    <row r="10487">
      <c r="A10487" s="2" t="inlineStr">
        <is>
          <t>2026-06-10</t>
        </is>
      </c>
      <c r="B10487" s="3" t="inlineStr">
        <is>
          <t>동양</t>
        </is>
      </c>
      <c r="C10487" s="2" t="inlineStr">
        <is>
          <t>코스피</t>
        </is>
      </c>
      <c r="D10487" s="2" t="inlineStr">
        <is>
          <t>001520</t>
        </is>
      </c>
      <c r="E10487" s="3" t="inlineStr">
        <is>
          <t>임원ㆍ주요주주특정증권등소유상황보고서</t>
        </is>
      </c>
      <c r="F10487" s="3" t="inlineStr">
        <is>
          <t>정진학</t>
        </is>
      </c>
      <c r="G10487" s="2" t="inlineStr">
        <is>
          <t>20260610000320</t>
        </is>
      </c>
      <c r="H10487" s="8">
        <f>HYPERLINK("https://dart.fss.or.kr/dsaf001/main.do?rcpNo=20260610000320", "공시열람")</f>
        <v/>
      </c>
    </row>
    <row r="10488">
      <c r="A10488" s="2" t="inlineStr">
        <is>
          <t>2026-06-10</t>
        </is>
      </c>
      <c r="B10488" s="3" t="inlineStr">
        <is>
          <t>그린리소스</t>
        </is>
      </c>
      <c r="C10488" s="2" t="inlineStr">
        <is>
          <t>코스닥</t>
        </is>
      </c>
      <c r="D10488" s="2" t="inlineStr">
        <is>
          <t>402490</t>
        </is>
      </c>
      <c r="E10488" s="3" t="inlineStr">
        <is>
          <t>증권발행결과(자율공시)              (제3회차 CB)</t>
        </is>
      </c>
      <c r="F10488" s="3" t="inlineStr">
        <is>
          <t>그린리소스</t>
        </is>
      </c>
      <c r="G10488" s="2" t="inlineStr">
        <is>
          <t>20260610900446</t>
        </is>
      </c>
      <c r="H10488" s="8">
        <f>HYPERLINK("https://dart.fss.or.kr/dsaf001/main.do?rcpNo=20260610900446", "공시열람")</f>
        <v/>
      </c>
    </row>
    <row r="10489">
      <c r="A10489" s="2" t="inlineStr">
        <is>
          <t>2026-06-10</t>
        </is>
      </c>
      <c r="B10489" s="3" t="inlineStr">
        <is>
          <t>삼성증권</t>
        </is>
      </c>
      <c r="C10489" s="2" t="inlineStr">
        <is>
          <t>코스피</t>
        </is>
      </c>
      <c r="D10489" s="2" t="inlineStr">
        <is>
          <t>016360</t>
        </is>
      </c>
      <c r="E10489" s="3" t="inlineStr">
        <is>
          <t>증권발행실적보고서</t>
        </is>
      </c>
      <c r="F10489" s="3" t="inlineStr">
        <is>
          <t>삼성증권</t>
        </is>
      </c>
      <c r="G10489" s="2" t="inlineStr">
        <is>
          <t>20260610000319</t>
        </is>
      </c>
      <c r="H10489" s="8">
        <f>HYPERLINK("https://dart.fss.or.kr/dsaf001/main.do?rcpNo=20260610000319", "공시열람")</f>
        <v/>
      </c>
    </row>
    <row r="10490">
      <c r="A10490" s="2" t="inlineStr">
        <is>
          <t>2026-06-10</t>
        </is>
      </c>
      <c r="B10490" s="3" t="inlineStr">
        <is>
          <t>종근당</t>
        </is>
      </c>
      <c r="C10490" s="2" t="inlineStr">
        <is>
          <t>코스피</t>
        </is>
      </c>
      <c r="D10490" s="2" t="inlineStr">
        <is>
          <t>185750</t>
        </is>
      </c>
      <c r="E10490" s="3" t="inlineStr">
        <is>
          <t xml:space="preserve">풍문또는보도에대한해명(미확정)              </t>
        </is>
      </c>
      <c r="F10490" s="3" t="inlineStr">
        <is>
          <t>종근당</t>
        </is>
      </c>
      <c r="G10490" s="2" t="inlineStr">
        <is>
          <t>20260610800422</t>
        </is>
      </c>
      <c r="H10490" s="8">
        <f>HYPERLINK("https://dart.fss.or.kr/dsaf001/main.do?rcpNo=20260610800422", "공시열람")</f>
        <v/>
      </c>
    </row>
    <row r="10491">
      <c r="A10491" s="2" t="inlineStr">
        <is>
          <t>2026-06-10</t>
        </is>
      </c>
      <c r="B10491" s="3" t="inlineStr">
        <is>
          <t>동양</t>
        </is>
      </c>
      <c r="C10491" s="2" t="inlineStr">
        <is>
          <t>코스피</t>
        </is>
      </c>
      <c r="D10491" s="2" t="inlineStr">
        <is>
          <t>001520</t>
        </is>
      </c>
      <c r="E10491" s="3" t="inlineStr">
        <is>
          <t>임원ㆍ주요주주특정증권등소유상황보고서</t>
        </is>
      </c>
      <c r="F10491" s="3" t="inlineStr">
        <is>
          <t>황부익</t>
        </is>
      </c>
      <c r="G10491" s="2" t="inlineStr">
        <is>
          <t>20260610000313</t>
        </is>
      </c>
      <c r="H10491" s="8">
        <f>HYPERLINK("https://dart.fss.or.kr/dsaf001/main.do?rcpNo=20260610000313", "공시열람")</f>
        <v/>
      </c>
    </row>
    <row r="10492">
      <c r="A10492" s="2" t="inlineStr">
        <is>
          <t>2026-06-10</t>
        </is>
      </c>
      <c r="B10492" s="3" t="inlineStr">
        <is>
          <t>동아지질</t>
        </is>
      </c>
      <c r="C10492" s="2" t="inlineStr">
        <is>
          <t>코스피</t>
        </is>
      </c>
      <c r="D10492" s="2" t="inlineStr">
        <is>
          <t>028100</t>
        </is>
      </c>
      <c r="E10492" s="3" t="inlineStr">
        <is>
          <t>신탁계약해지결과보고서</t>
        </is>
      </c>
      <c r="F10492" s="3" t="inlineStr">
        <is>
          <t>동아지질</t>
        </is>
      </c>
      <c r="G10492" s="2" t="inlineStr">
        <is>
          <t>20260610000311</t>
        </is>
      </c>
      <c r="H10492" s="8">
        <f>HYPERLINK("https://dart.fss.or.kr/dsaf001/main.do?rcpNo=20260610000311", "공시열람")</f>
        <v/>
      </c>
    </row>
    <row r="10493">
      <c r="A10493" s="2" t="inlineStr">
        <is>
          <t>2026-06-10</t>
        </is>
      </c>
      <c r="B10493" s="3" t="inlineStr">
        <is>
          <t>동양</t>
        </is>
      </c>
      <c r="C10493" s="2" t="inlineStr">
        <is>
          <t>코스피</t>
        </is>
      </c>
      <c r="D10493" s="2" t="inlineStr">
        <is>
          <t>001520</t>
        </is>
      </c>
      <c r="E10493" s="3" t="inlineStr">
        <is>
          <t>임원ㆍ주요주주특정증권등소유상황보고서</t>
        </is>
      </c>
      <c r="F10493" s="3" t="inlineStr">
        <is>
          <t>정원영</t>
        </is>
      </c>
      <c r="G10493" s="2" t="inlineStr">
        <is>
          <t>20260610000310</t>
        </is>
      </c>
      <c r="H10493" s="8">
        <f>HYPERLINK("https://dart.fss.or.kr/dsaf001/main.do?rcpNo=20260610000310", "공시열람")</f>
        <v/>
      </c>
    </row>
    <row r="10494">
      <c r="A10494" s="2" t="inlineStr">
        <is>
          <t>2026-06-10</t>
        </is>
      </c>
      <c r="B10494" s="3" t="inlineStr">
        <is>
          <t>동양</t>
        </is>
      </c>
      <c r="C10494" s="2" t="inlineStr">
        <is>
          <t>코스피</t>
        </is>
      </c>
      <c r="D10494" s="2" t="inlineStr">
        <is>
          <t>001520</t>
        </is>
      </c>
      <c r="E10494" s="3" t="inlineStr">
        <is>
          <t>임원ㆍ주요주주특정증권등소유상황보고서</t>
        </is>
      </c>
      <c r="F10494" s="3" t="inlineStr">
        <is>
          <t>안준수</t>
        </is>
      </c>
      <c r="G10494" s="2" t="inlineStr">
        <is>
          <t>20260610000307</t>
        </is>
      </c>
      <c r="H10494" s="8">
        <f>HYPERLINK("https://dart.fss.or.kr/dsaf001/main.do?rcpNo=20260610000307", "공시열람")</f>
        <v/>
      </c>
    </row>
    <row r="10495">
      <c r="A10495" s="2" t="inlineStr">
        <is>
          <t>2026-06-10</t>
        </is>
      </c>
      <c r="B10495" s="3" t="inlineStr">
        <is>
          <t>동양</t>
        </is>
      </c>
      <c r="C10495" s="2" t="inlineStr">
        <is>
          <t>코스피</t>
        </is>
      </c>
      <c r="D10495" s="2" t="inlineStr">
        <is>
          <t>001520</t>
        </is>
      </c>
      <c r="E10495" s="3" t="inlineStr">
        <is>
          <t>임원ㆍ주요주주특정증권등소유상황보고서</t>
        </is>
      </c>
      <c r="F10495" s="3" t="inlineStr">
        <is>
          <t>배현석</t>
        </is>
      </c>
      <c r="G10495" s="2" t="inlineStr">
        <is>
          <t>20260610000303</t>
        </is>
      </c>
      <c r="H10495" s="8">
        <f>HYPERLINK("https://dart.fss.or.kr/dsaf001/main.do?rcpNo=20260610000303", "공시열람")</f>
        <v/>
      </c>
    </row>
    <row r="10496">
      <c r="A10496" s="2" t="inlineStr">
        <is>
          <t>2026-06-10</t>
        </is>
      </c>
      <c r="B10496" s="3" t="inlineStr">
        <is>
          <t>동양</t>
        </is>
      </c>
      <c r="C10496" s="2" t="inlineStr">
        <is>
          <t>코스피</t>
        </is>
      </c>
      <c r="D10496" s="2" t="inlineStr">
        <is>
          <t>001520</t>
        </is>
      </c>
      <c r="E10496" s="3" t="inlineStr">
        <is>
          <t>임원ㆍ주요주주특정증권등소유상황보고서</t>
        </is>
      </c>
      <c r="F10496" s="3" t="inlineStr">
        <is>
          <t>권오정</t>
        </is>
      </c>
      <c r="G10496" s="2" t="inlineStr">
        <is>
          <t>20260610000300</t>
        </is>
      </c>
      <c r="H10496" s="8">
        <f>HYPERLINK("https://dart.fss.or.kr/dsaf001/main.do?rcpNo=20260610000300", "공시열람")</f>
        <v/>
      </c>
    </row>
    <row r="10497">
      <c r="A10497" s="2" t="inlineStr">
        <is>
          <t>2026-06-10</t>
        </is>
      </c>
      <c r="B10497" s="3" t="inlineStr">
        <is>
          <t>동양</t>
        </is>
      </c>
      <c r="C10497" s="2" t="inlineStr">
        <is>
          <t>코스피</t>
        </is>
      </c>
      <c r="D10497" s="2" t="inlineStr">
        <is>
          <t>001520</t>
        </is>
      </c>
      <c r="E10497" s="3" t="inlineStr">
        <is>
          <t>임원ㆍ주요주주특정증권등소유상황보고서</t>
        </is>
      </c>
      <c r="F10497" s="3" t="inlineStr">
        <is>
          <t>이동호</t>
        </is>
      </c>
      <c r="G10497" s="2" t="inlineStr">
        <is>
          <t>20260610000298</t>
        </is>
      </c>
      <c r="H10497" s="8">
        <f>HYPERLINK("https://dart.fss.or.kr/dsaf001/main.do?rcpNo=20260610000298", "공시열람")</f>
        <v/>
      </c>
    </row>
    <row r="10498">
      <c r="A10498" s="2" t="inlineStr">
        <is>
          <t>2026-06-10</t>
        </is>
      </c>
      <c r="B10498" s="3" t="inlineStr">
        <is>
          <t>인피니트헬스케어</t>
        </is>
      </c>
      <c r="C10498" s="2" t="inlineStr">
        <is>
          <t>코스닥</t>
        </is>
      </c>
      <c r="D10498" s="2" t="inlineStr">
        <is>
          <t>071200</t>
        </is>
      </c>
      <c r="E10498" s="3" t="inlineStr">
        <is>
          <t>소송등의판결ㆍ결정              (회계장부 등 열람 및 등사 가처분 취하)</t>
        </is>
      </c>
      <c r="F10498" s="3" t="inlineStr">
        <is>
          <t>인피니트헬스케어</t>
        </is>
      </c>
      <c r="G10498" s="2" t="inlineStr">
        <is>
          <t>20260610900412</t>
        </is>
      </c>
      <c r="H10498" s="8">
        <f>HYPERLINK("https://dart.fss.or.kr/dsaf001/main.do?rcpNo=20260610900412", "공시열람")</f>
        <v/>
      </c>
    </row>
    <row r="10499">
      <c r="A10499" s="2" t="inlineStr">
        <is>
          <t>2026-06-10</t>
        </is>
      </c>
      <c r="B10499" s="3" t="inlineStr">
        <is>
          <t>동양</t>
        </is>
      </c>
      <c r="C10499" s="2" t="inlineStr">
        <is>
          <t>코스피</t>
        </is>
      </c>
      <c r="D10499" s="2" t="inlineStr">
        <is>
          <t>001520</t>
        </is>
      </c>
      <c r="E10499" s="3" t="inlineStr">
        <is>
          <t>임원ㆍ주요주주특정증권등소유상황보고서</t>
        </is>
      </c>
      <c r="F10499" s="3" t="inlineStr">
        <is>
          <t>조승범</t>
        </is>
      </c>
      <c r="G10499" s="2" t="inlineStr">
        <is>
          <t>20260610000297</t>
        </is>
      </c>
      <c r="H10499" s="8">
        <f>HYPERLINK("https://dart.fss.or.kr/dsaf001/main.do?rcpNo=20260610000297", "공시열람")</f>
        <v/>
      </c>
    </row>
    <row r="10500">
      <c r="A10500" s="2" t="inlineStr">
        <is>
          <t>2026-06-10</t>
        </is>
      </c>
      <c r="B10500" s="3" t="inlineStr">
        <is>
          <t>신풍</t>
        </is>
      </c>
      <c r="C10500" s="2" t="inlineStr">
        <is>
          <t>코스피</t>
        </is>
      </c>
      <c r="D10500" s="2" t="inlineStr">
        <is>
          <t>002870</t>
        </is>
      </c>
      <c r="E10500" s="3" t="inlineStr">
        <is>
          <t xml:space="preserve">주주명부폐쇄기간또는기준일설정              </t>
        </is>
      </c>
      <c r="F10500" s="3" t="inlineStr">
        <is>
          <t>신풍</t>
        </is>
      </c>
      <c r="G10500" s="2" t="inlineStr">
        <is>
          <t>20260610800420</t>
        </is>
      </c>
      <c r="H10500" s="8">
        <f>HYPERLINK("https://dart.fss.or.kr/dsaf001/main.do?rcpNo=20260610800420", "공시열람")</f>
        <v/>
      </c>
    </row>
    <row r="10501">
      <c r="A10501" s="2" t="inlineStr">
        <is>
          <t>2026-06-10</t>
        </is>
      </c>
      <c r="B10501" s="3" t="inlineStr">
        <is>
          <t>아이톡시</t>
        </is>
      </c>
      <c r="C10501" s="2" t="inlineStr">
        <is>
          <t>코스닥</t>
        </is>
      </c>
      <c r="D10501" s="2" t="inlineStr">
        <is>
          <t>052770</t>
        </is>
      </c>
      <c r="E10501" s="3" t="inlineStr">
        <is>
          <t xml:space="preserve">본점소재지변경              </t>
        </is>
      </c>
      <c r="F10501" s="3" t="inlineStr">
        <is>
          <t>아이톡시</t>
        </is>
      </c>
      <c r="G10501" s="2" t="inlineStr">
        <is>
          <t>20260610900410</t>
        </is>
      </c>
      <c r="H10501" s="8">
        <f>HYPERLINK("https://dart.fss.or.kr/dsaf001/main.do?rcpNo=20260610900410", "공시열람")</f>
        <v/>
      </c>
    </row>
    <row r="10502">
      <c r="A10502" s="2" t="inlineStr">
        <is>
          <t>2026-06-10</t>
        </is>
      </c>
      <c r="B10502" s="3" t="inlineStr">
        <is>
          <t>NH투자증권</t>
        </is>
      </c>
      <c r="C10502" s="2" t="inlineStr">
        <is>
          <t>코스피</t>
        </is>
      </c>
      <c r="D10502" s="2" t="inlineStr">
        <is>
          <t>005940</t>
        </is>
      </c>
      <c r="E10502" s="3" t="inlineStr">
        <is>
          <t>투자설명서(일괄신고)</t>
        </is>
      </c>
      <c r="F10502" s="3" t="inlineStr">
        <is>
          <t>NH투자증권</t>
        </is>
      </c>
      <c r="G10502" s="2" t="inlineStr">
        <is>
          <t>20260610000286</t>
        </is>
      </c>
      <c r="H10502" s="8">
        <f>HYPERLINK("https://dart.fss.or.kr/dsaf001/main.do?rcpNo=20260610000286", "공시열람")</f>
        <v/>
      </c>
    </row>
    <row r="10503">
      <c r="A10503" s="2" t="inlineStr">
        <is>
          <t>2026-06-10</t>
        </is>
      </c>
      <c r="B10503" s="3" t="inlineStr">
        <is>
          <t>케이엠제약</t>
        </is>
      </c>
      <c r="C10503" s="2" t="inlineStr">
        <is>
          <t>코스닥</t>
        </is>
      </c>
      <c r="D10503" s="2" t="inlineStr">
        <is>
          <t>225430</t>
        </is>
      </c>
      <c r="E10503" s="3" t="inlineStr">
        <is>
          <t>임원ㆍ주요주주특정증권등소유상황보고서</t>
        </is>
      </c>
      <c r="F10503" s="3" t="inlineStr">
        <is>
          <t>BAIK BRIAN SEUNG WON(백승원)</t>
        </is>
      </c>
      <c r="G10503" s="2" t="inlineStr">
        <is>
          <t>20260610000276</t>
        </is>
      </c>
      <c r="H10503" s="8">
        <f>HYPERLINK("https://dart.fss.or.kr/dsaf001/main.do?rcpNo=20260610000276", "공시열람")</f>
        <v/>
      </c>
    </row>
    <row r="10504">
      <c r="A10504" s="2" t="inlineStr">
        <is>
          <t>2026-06-10</t>
        </is>
      </c>
      <c r="B10504" s="3" t="inlineStr">
        <is>
          <t>유안타증권</t>
        </is>
      </c>
      <c r="C10504" s="2" t="inlineStr">
        <is>
          <t>코스피</t>
        </is>
      </c>
      <c r="D10504" s="2" t="inlineStr">
        <is>
          <t>003470</t>
        </is>
      </c>
      <c r="E10504" s="3" t="inlineStr">
        <is>
          <t>투자설명서(일괄신고)</t>
        </is>
      </c>
      <c r="F10504" s="3" t="inlineStr">
        <is>
          <t>유안타증권</t>
        </is>
      </c>
      <c r="G10504" s="2" t="inlineStr">
        <is>
          <t>20260610000273</t>
        </is>
      </c>
      <c r="H10504" s="8">
        <f>HYPERLINK("https://dart.fss.or.kr/dsaf001/main.do?rcpNo=20260610000273", "공시열람")</f>
        <v/>
      </c>
    </row>
    <row r="10505">
      <c r="A10505" s="2" t="inlineStr">
        <is>
          <t>2026-06-10</t>
        </is>
      </c>
      <c r="B10505" s="3" t="inlineStr">
        <is>
          <t>티엠씨</t>
        </is>
      </c>
      <c r="C10505" s="2" t="inlineStr">
        <is>
          <t>코스피</t>
        </is>
      </c>
      <c r="D10505" s="2" t="inlineStr">
        <is>
          <t>217590</t>
        </is>
      </c>
      <c r="E10505" s="3" t="inlineStr">
        <is>
          <t xml:space="preserve">기타안내사항(안내공시)              </t>
        </is>
      </c>
      <c r="F10505" s="3" t="inlineStr">
        <is>
          <t>티엠씨</t>
        </is>
      </c>
      <c r="G10505" s="2" t="inlineStr">
        <is>
          <t>20260610800388</t>
        </is>
      </c>
      <c r="H10505" s="8">
        <f>HYPERLINK("https://dart.fss.or.kr/dsaf001/main.do?rcpNo=20260610800388", "공시열람")</f>
        <v/>
      </c>
    </row>
    <row r="10506">
      <c r="A10506" s="2" t="inlineStr">
        <is>
          <t>2026-06-10</t>
        </is>
      </c>
      <c r="B10506" s="3" t="inlineStr">
        <is>
          <t>원풍물산</t>
        </is>
      </c>
      <c r="C10506" s="2" t="inlineStr">
        <is>
          <t>코스닥</t>
        </is>
      </c>
      <c r="D10506" s="2" t="inlineStr">
        <is>
          <t>008290</t>
        </is>
      </c>
      <c r="E10506" s="3" t="inlineStr">
        <is>
          <t>임원ㆍ주요주주특정증권등소유상황보고서</t>
        </is>
      </c>
      <c r="F10506" s="3" t="inlineStr">
        <is>
          <t>이두식</t>
        </is>
      </c>
      <c r="G10506" s="2" t="inlineStr">
        <is>
          <t>20260610000268</t>
        </is>
      </c>
      <c r="H10506" s="8">
        <f>HYPERLINK("https://dart.fss.or.kr/dsaf001/main.do?rcpNo=20260610000268", "공시열람")</f>
        <v/>
      </c>
    </row>
    <row r="10507">
      <c r="A10507" s="2" t="inlineStr">
        <is>
          <t>2026-06-10</t>
        </is>
      </c>
      <c r="B10507" s="3" t="inlineStr">
        <is>
          <t>삼성증권</t>
        </is>
      </c>
      <c r="C10507" s="2" t="inlineStr">
        <is>
          <t>코스피</t>
        </is>
      </c>
      <c r="D10507" s="2" t="inlineStr">
        <is>
          <t>016360</t>
        </is>
      </c>
      <c r="E10507" s="3" t="inlineStr">
        <is>
          <t>투자설명서(일괄신고)</t>
        </is>
      </c>
      <c r="F10507" s="3" t="inlineStr">
        <is>
          <t>삼성증권</t>
        </is>
      </c>
      <c r="G10507" s="2" t="inlineStr">
        <is>
          <t>20260610000266</t>
        </is>
      </c>
      <c r="H10507" s="8">
        <f>HYPERLINK("https://dart.fss.or.kr/dsaf001/main.do?rcpNo=20260610000266", "공시열람")</f>
        <v/>
      </c>
    </row>
    <row r="10508">
      <c r="A10508" s="2" t="inlineStr">
        <is>
          <t>2026-06-10</t>
        </is>
      </c>
      <c r="B10508" s="3" t="inlineStr">
        <is>
          <t>오름테라퓨틱</t>
        </is>
      </c>
      <c r="C10508" s="2" t="inlineStr">
        <is>
          <t>코스닥</t>
        </is>
      </c>
      <c r="D10508" s="2" t="inlineStr">
        <is>
          <t>475830</t>
        </is>
      </c>
      <c r="E10508" s="3" t="inlineStr">
        <is>
          <t xml:space="preserve">기업설명회(IR)개최              </t>
        </is>
      </c>
      <c r="F10508" s="3" t="inlineStr">
        <is>
          <t>오름테라퓨틱</t>
        </is>
      </c>
      <c r="G10508" s="2" t="inlineStr">
        <is>
          <t>20260610900360</t>
        </is>
      </c>
      <c r="H10508" s="8">
        <f>HYPERLINK("https://dart.fss.or.kr/dsaf001/main.do?rcpNo=20260610900360", "공시열람")</f>
        <v/>
      </c>
    </row>
    <row r="10509">
      <c r="A10509" s="2" t="inlineStr">
        <is>
          <t>2026-06-10</t>
        </is>
      </c>
      <c r="B10509" s="3" t="inlineStr">
        <is>
          <t>달바글로벌</t>
        </is>
      </c>
      <c r="C10509" s="2" t="inlineStr">
        <is>
          <t>코스피</t>
        </is>
      </c>
      <c r="D10509" s="2" t="inlineStr">
        <is>
          <t>483650</t>
        </is>
      </c>
      <c r="E10509" s="3" t="inlineStr">
        <is>
          <t>자기주식처분결과보고서</t>
        </is>
      </c>
      <c r="F10509" s="3" t="inlineStr">
        <is>
          <t>달바글로벌</t>
        </is>
      </c>
      <c r="G10509" s="2" t="inlineStr">
        <is>
          <t>20260610000265</t>
        </is>
      </c>
      <c r="H10509" s="8">
        <f>HYPERLINK("https://dart.fss.or.kr/dsaf001/main.do?rcpNo=20260610000265", "공시열람")</f>
        <v/>
      </c>
    </row>
    <row r="10510">
      <c r="A10510" s="2" t="inlineStr">
        <is>
          <t>2026-06-10</t>
        </is>
      </c>
      <c r="B10510" s="3" t="inlineStr">
        <is>
          <t>달바글로벌</t>
        </is>
      </c>
      <c r="C10510" s="2" t="inlineStr">
        <is>
          <t>코스피</t>
        </is>
      </c>
      <c r="D10510" s="2" t="inlineStr">
        <is>
          <t>483650</t>
        </is>
      </c>
      <c r="E10510" s="3" t="inlineStr">
        <is>
          <t>신탁계약해지결과보고서</t>
        </is>
      </c>
      <c r="F10510" s="3" t="inlineStr">
        <is>
          <t>달바글로벌</t>
        </is>
      </c>
      <c r="G10510" s="2" t="inlineStr">
        <is>
          <t>20260610000260</t>
        </is>
      </c>
      <c r="H10510" s="8">
        <f>HYPERLINK("https://dart.fss.or.kr/dsaf001/main.do?rcpNo=20260610000260", "공시열람")</f>
        <v/>
      </c>
    </row>
    <row r="10511">
      <c r="A10511" s="2" t="inlineStr">
        <is>
          <t>2026-06-10</t>
        </is>
      </c>
      <c r="B10511" s="3" t="inlineStr">
        <is>
          <t>키움증권</t>
        </is>
      </c>
      <c r="C10511" s="2" t="inlineStr">
        <is>
          <t>코스피</t>
        </is>
      </c>
      <c r="D10511" s="2" t="inlineStr">
        <is>
          <t>039490</t>
        </is>
      </c>
      <c r="E10511" s="3" t="inlineStr">
        <is>
          <t>일괄신고추가서류(파생결합사채-주가연계파생결합사채)</t>
        </is>
      </c>
      <c r="F10511" s="3" t="inlineStr">
        <is>
          <t>키움증권</t>
        </is>
      </c>
      <c r="G10511" s="2" t="inlineStr">
        <is>
          <t>20260610000257</t>
        </is>
      </c>
      <c r="H10511" s="8">
        <f>HYPERLINK("https://dart.fss.or.kr/dsaf001/main.do?rcpNo=20260610000257", "공시열람")</f>
        <v/>
      </c>
    </row>
    <row r="10512">
      <c r="A10512" s="2" t="inlineStr">
        <is>
          <t>2026-06-10</t>
        </is>
      </c>
      <c r="B10512" s="3" t="inlineStr">
        <is>
          <t>한화투자증권</t>
        </is>
      </c>
      <c r="C10512" s="2" t="inlineStr">
        <is>
          <t>코스피</t>
        </is>
      </c>
      <c r="D10512" s="2" t="inlineStr">
        <is>
          <t>003530</t>
        </is>
      </c>
      <c r="E10512" s="3" t="inlineStr">
        <is>
          <t>일괄신고추가서류(파생결합사채-주가연계파생결합사채)</t>
        </is>
      </c>
      <c r="F10512" s="3" t="inlineStr">
        <is>
          <t>한화투자증권</t>
        </is>
      </c>
      <c r="G10512" s="2" t="inlineStr">
        <is>
          <t>20260610000256</t>
        </is>
      </c>
      <c r="H10512" s="8">
        <f>HYPERLINK("https://dart.fss.or.kr/dsaf001/main.do?rcpNo=20260610000256", "공시열람")</f>
        <v/>
      </c>
    </row>
    <row r="10513">
      <c r="A10513" s="2" t="inlineStr">
        <is>
          <t>2026-06-10</t>
        </is>
      </c>
      <c r="B10513" s="3" t="inlineStr">
        <is>
          <t>삼성증권</t>
        </is>
      </c>
      <c r="C10513" s="2" t="inlineStr">
        <is>
          <t>코스피</t>
        </is>
      </c>
      <c r="D10513" s="2" t="inlineStr">
        <is>
          <t>016360</t>
        </is>
      </c>
      <c r="E10513" s="3" t="inlineStr">
        <is>
          <t>일괄신고추가서류(파생결합증권-주가연계증권)</t>
        </is>
      </c>
      <c r="F10513" s="3" t="inlineStr">
        <is>
          <t>삼성증권</t>
        </is>
      </c>
      <c r="G10513" s="2" t="inlineStr">
        <is>
          <t>20260610000254</t>
        </is>
      </c>
      <c r="H10513" s="8">
        <f>HYPERLINK("https://dart.fss.or.kr/dsaf001/main.do?rcpNo=20260610000254", "공시열람")</f>
        <v/>
      </c>
    </row>
    <row r="10514">
      <c r="A10514" s="2" t="inlineStr">
        <is>
          <t>2026-06-10</t>
        </is>
      </c>
      <c r="B10514" s="3" t="inlineStr">
        <is>
          <t>교보증권</t>
        </is>
      </c>
      <c r="C10514" s="2" t="inlineStr">
        <is>
          <t>코스피</t>
        </is>
      </c>
      <c r="D10514" s="2" t="inlineStr">
        <is>
          <t>030610</t>
        </is>
      </c>
      <c r="E10514" s="3" t="inlineStr">
        <is>
          <t>증권발행실적보고서</t>
        </is>
      </c>
      <c r="F10514" s="3" t="inlineStr">
        <is>
          <t>교보증권</t>
        </is>
      </c>
      <c r="G10514" s="2" t="inlineStr">
        <is>
          <t>20260610000253</t>
        </is>
      </c>
      <c r="H10514" s="8">
        <f>HYPERLINK("https://dart.fss.or.kr/dsaf001/main.do?rcpNo=20260610000253", "공시열람")</f>
        <v/>
      </c>
    </row>
    <row r="10515">
      <c r="A10515" s="2" t="inlineStr">
        <is>
          <t>2026-06-10</t>
        </is>
      </c>
      <c r="B10515" s="3" t="inlineStr">
        <is>
          <t>APS</t>
        </is>
      </c>
      <c r="C10515" s="2" t="inlineStr">
        <is>
          <t>코스닥</t>
        </is>
      </c>
      <c r="D10515" s="2" t="inlineStr">
        <is>
          <t>054620</t>
        </is>
      </c>
      <c r="E10515" s="3" t="inlineStr">
        <is>
          <t>임원ㆍ주요주주특정증권등소유상황보고서</t>
        </is>
      </c>
      <c r="F10515" s="3" t="inlineStr">
        <is>
          <t>채영진</t>
        </is>
      </c>
      <c r="G10515" s="2" t="inlineStr">
        <is>
          <t>20260610000250</t>
        </is>
      </c>
      <c r="H10515" s="8">
        <f>HYPERLINK("https://dart.fss.or.kr/dsaf001/main.do?rcpNo=20260610000250", "공시열람")</f>
        <v/>
      </c>
    </row>
    <row r="10516">
      <c r="A10516" s="2" t="inlineStr">
        <is>
          <t>2026-06-10</t>
        </is>
      </c>
      <c r="B10516" s="3" t="inlineStr">
        <is>
          <t>유안타증권</t>
        </is>
      </c>
      <c r="C10516" s="2" t="inlineStr">
        <is>
          <t>코스피</t>
        </is>
      </c>
      <c r="D10516" s="2" t="inlineStr">
        <is>
          <t>003470</t>
        </is>
      </c>
      <c r="E10516" s="3" t="inlineStr">
        <is>
          <t>일괄신고추가서류(파생결합사채-주가연계파생결합사채)</t>
        </is>
      </c>
      <c r="F10516" s="3" t="inlineStr">
        <is>
          <t>유안타증권</t>
        </is>
      </c>
      <c r="G10516" s="2" t="inlineStr">
        <is>
          <t>20260610000249</t>
        </is>
      </c>
      <c r="H10516" s="8">
        <f>HYPERLINK("https://dart.fss.or.kr/dsaf001/main.do?rcpNo=20260610000249", "공시열람")</f>
        <v/>
      </c>
    </row>
    <row r="10517">
      <c r="A10517" s="2" t="inlineStr">
        <is>
          <t>2026-06-10</t>
        </is>
      </c>
      <c r="B10517" s="3" t="inlineStr">
        <is>
          <t>교보증권</t>
        </is>
      </c>
      <c r="C10517" s="2" t="inlineStr">
        <is>
          <t>코스피</t>
        </is>
      </c>
      <c r="D10517" s="2" t="inlineStr">
        <is>
          <t>030610</t>
        </is>
      </c>
      <c r="E10517" s="3" t="inlineStr">
        <is>
          <t>증권발행실적보고서</t>
        </is>
      </c>
      <c r="F10517" s="3" t="inlineStr">
        <is>
          <t>교보증권</t>
        </is>
      </c>
      <c r="G10517" s="2" t="inlineStr">
        <is>
          <t>20260610000246</t>
        </is>
      </c>
      <c r="H10517" s="8">
        <f>HYPERLINK("https://dart.fss.or.kr/dsaf001/main.do?rcpNo=20260610000246", "공시열람")</f>
        <v/>
      </c>
    </row>
    <row r="10518">
      <c r="A10518" s="2" t="inlineStr">
        <is>
          <t>2026-06-10</t>
        </is>
      </c>
      <c r="B10518" s="3" t="inlineStr">
        <is>
          <t>큐라클</t>
        </is>
      </c>
      <c r="C10518" s="2" t="inlineStr">
        <is>
          <t>코스닥</t>
        </is>
      </c>
      <c r="D10518" s="2" t="inlineStr">
        <is>
          <t>365270</t>
        </is>
      </c>
      <c r="E10518" s="3" t="inlineStr">
        <is>
          <t>임원ㆍ주요주주특정증권등소유상황보고서</t>
        </is>
      </c>
      <c r="F10518" s="3" t="inlineStr">
        <is>
          <t>황용</t>
        </is>
      </c>
      <c r="G10518" s="2" t="inlineStr">
        <is>
          <t>20260610000245</t>
        </is>
      </c>
      <c r="H10518" s="8">
        <f>HYPERLINK("https://dart.fss.or.kr/dsaf001/main.do?rcpNo=20260610000245", "공시열람")</f>
        <v/>
      </c>
    </row>
    <row r="10519">
      <c r="A10519" s="2" t="inlineStr">
        <is>
          <t>2026-06-10</t>
        </is>
      </c>
      <c r="B10519" s="3" t="inlineStr">
        <is>
          <t>키움증권</t>
        </is>
      </c>
      <c r="C10519" s="2" t="inlineStr">
        <is>
          <t>코스피</t>
        </is>
      </c>
      <c r="D10519" s="2" t="inlineStr">
        <is>
          <t>039490</t>
        </is>
      </c>
      <c r="E10519" s="3" t="inlineStr">
        <is>
          <t>투자설명서(일괄신고)</t>
        </is>
      </c>
      <c r="F10519" s="3" t="inlineStr">
        <is>
          <t>키움증권</t>
        </is>
      </c>
      <c r="G10519" s="2" t="inlineStr">
        <is>
          <t>20260610000243</t>
        </is>
      </c>
      <c r="H10519" s="8">
        <f>HYPERLINK("https://dart.fss.or.kr/dsaf001/main.do?rcpNo=20260610000243", "공시열람")</f>
        <v/>
      </c>
    </row>
    <row r="10520">
      <c r="A10520" s="2" t="inlineStr">
        <is>
          <t>2026-06-10</t>
        </is>
      </c>
      <c r="B10520" s="3" t="inlineStr">
        <is>
          <t>큐라클</t>
        </is>
      </c>
      <c r="C10520" s="2" t="inlineStr">
        <is>
          <t>코스닥</t>
        </is>
      </c>
      <c r="D10520" s="2" t="inlineStr">
        <is>
          <t>365270</t>
        </is>
      </c>
      <c r="E10520" s="3" t="inlineStr">
        <is>
          <t>임원ㆍ주요주주특정증권등소유상황보고서</t>
        </is>
      </c>
      <c r="F10520" s="3" t="inlineStr">
        <is>
          <t>최재진</t>
        </is>
      </c>
      <c r="G10520" s="2" t="inlineStr">
        <is>
          <t>20260610000241</t>
        </is>
      </c>
      <c r="H10520" s="8">
        <f>HYPERLINK("https://dart.fss.or.kr/dsaf001/main.do?rcpNo=20260610000241", "공시열람")</f>
        <v/>
      </c>
    </row>
    <row r="10521">
      <c r="A10521" s="2" t="inlineStr">
        <is>
          <t>2026-06-10</t>
        </is>
      </c>
      <c r="B10521" s="3" t="inlineStr">
        <is>
          <t>큐라클</t>
        </is>
      </c>
      <c r="C10521" s="2" t="inlineStr">
        <is>
          <t>코스닥</t>
        </is>
      </c>
      <c r="D10521" s="2" t="inlineStr">
        <is>
          <t>365270</t>
        </is>
      </c>
      <c r="E10521" s="3" t="inlineStr">
        <is>
          <t>임원ㆍ주요주주특정증권등소유상황보고서</t>
        </is>
      </c>
      <c r="F10521" s="3" t="inlineStr">
        <is>
          <t>이원일</t>
        </is>
      </c>
      <c r="G10521" s="2" t="inlineStr">
        <is>
          <t>20260610000239</t>
        </is>
      </c>
      <c r="H10521" s="8">
        <f>HYPERLINK("https://dart.fss.or.kr/dsaf001/main.do?rcpNo=20260610000239", "공시열람")</f>
        <v/>
      </c>
    </row>
    <row r="10522">
      <c r="A10522" s="2" t="inlineStr">
        <is>
          <t>2026-06-10</t>
        </is>
      </c>
      <c r="B10522" s="3" t="inlineStr">
        <is>
          <t>이오플로우</t>
        </is>
      </c>
      <c r="C10522" s="2" t="inlineStr">
        <is>
          <t>코스닥</t>
        </is>
      </c>
      <c r="D10522" s="2" t="inlineStr">
        <is>
          <t>294090</t>
        </is>
      </c>
      <c r="E10522" s="3" t="inlineStr">
        <is>
          <t>증권발행결과(자율공시)              (제5회차 CB)</t>
        </is>
      </c>
      <c r="F10522" s="3" t="inlineStr">
        <is>
          <t>이오플로우</t>
        </is>
      </c>
      <c r="G10522" s="2" t="inlineStr">
        <is>
          <t>20260610900331</t>
        </is>
      </c>
      <c r="H10522" s="8">
        <f>HYPERLINK("https://dart.fss.or.kr/dsaf001/main.do?rcpNo=20260610900331", "공시열람")</f>
        <v/>
      </c>
    </row>
    <row r="10523">
      <c r="A10523" s="2" t="inlineStr">
        <is>
          <t>2026-06-10</t>
        </is>
      </c>
      <c r="B10523" s="3" t="inlineStr">
        <is>
          <t>큐라클</t>
        </is>
      </c>
      <c r="C10523" s="2" t="inlineStr">
        <is>
          <t>코스닥</t>
        </is>
      </c>
      <c r="D10523" s="2" t="inlineStr">
        <is>
          <t>365270</t>
        </is>
      </c>
      <c r="E10523" s="3" t="inlineStr">
        <is>
          <t>임원ㆍ주요주주특정증권등소유상황보고서</t>
        </is>
      </c>
      <c r="F10523" s="3" t="inlineStr">
        <is>
          <t>김정한</t>
        </is>
      </c>
      <c r="G10523" s="2" t="inlineStr">
        <is>
          <t>20260610000238</t>
        </is>
      </c>
      <c r="H10523" s="8">
        <f>HYPERLINK("https://dart.fss.or.kr/dsaf001/main.do?rcpNo=20260610000238", "공시열람")</f>
        <v/>
      </c>
    </row>
    <row r="10524">
      <c r="A10524" s="2" t="inlineStr">
        <is>
          <t>2026-06-10</t>
        </is>
      </c>
      <c r="B10524" s="3" t="inlineStr">
        <is>
          <t>큐라클</t>
        </is>
      </c>
      <c r="C10524" s="2" t="inlineStr">
        <is>
          <t>코스닥</t>
        </is>
      </c>
      <c r="D10524" s="2" t="inlineStr">
        <is>
          <t>365270</t>
        </is>
      </c>
      <c r="E10524" s="3" t="inlineStr">
        <is>
          <t>임원ㆍ주요주주특정증권등소유상황보고서</t>
        </is>
      </c>
      <c r="F10524" s="3" t="inlineStr">
        <is>
          <t>추연성</t>
        </is>
      </c>
      <c r="G10524" s="2" t="inlineStr">
        <is>
          <t>20260610000237</t>
        </is>
      </c>
      <c r="H10524" s="8">
        <f>HYPERLINK("https://dart.fss.or.kr/dsaf001/main.do?rcpNo=20260610000237", "공시열람")</f>
        <v/>
      </c>
    </row>
    <row r="10525">
      <c r="A10525" s="2" t="inlineStr">
        <is>
          <t>2026-06-10</t>
        </is>
      </c>
      <c r="B10525" s="3" t="inlineStr">
        <is>
          <t>태광산업</t>
        </is>
      </c>
      <c r="C10525" s="2" t="inlineStr">
        <is>
          <t>코스피</t>
        </is>
      </c>
      <c r="D10525" s="2" t="inlineStr">
        <is>
          <t>003240</t>
        </is>
      </c>
      <c r="E10525" s="3" t="inlineStr">
        <is>
          <t xml:space="preserve">풍문또는보도에대한해명(미확정)              </t>
        </is>
      </c>
      <c r="F10525" s="3" t="inlineStr">
        <is>
          <t>태광산업</t>
        </is>
      </c>
      <c r="G10525" s="2" t="inlineStr">
        <is>
          <t>20260610800321</t>
        </is>
      </c>
      <c r="H10525" s="8">
        <f>HYPERLINK("https://dart.fss.or.kr/dsaf001/main.do?rcpNo=20260610800321", "공시열람")</f>
        <v/>
      </c>
    </row>
    <row r="10526">
      <c r="A10526" s="2" t="inlineStr">
        <is>
          <t>2026-06-10</t>
        </is>
      </c>
      <c r="B10526" s="3" t="inlineStr">
        <is>
          <t>NH투자증권</t>
        </is>
      </c>
      <c r="C10526" s="2" t="inlineStr">
        <is>
          <t>코스피</t>
        </is>
      </c>
      <c r="D10526" s="2" t="inlineStr">
        <is>
          <t>005940</t>
        </is>
      </c>
      <c r="E10526" s="3" t="inlineStr">
        <is>
          <t>일괄신고추가서류(파생결합사채-주가연계파생결합사채)</t>
        </is>
      </c>
      <c r="F10526" s="3" t="inlineStr">
        <is>
          <t>NH투자증권</t>
        </is>
      </c>
      <c r="G10526" s="2" t="inlineStr">
        <is>
          <t>20260610000232</t>
        </is>
      </c>
      <c r="H10526" s="8">
        <f>HYPERLINK("https://dart.fss.or.kr/dsaf001/main.do?rcpNo=20260610000232", "공시열람")</f>
        <v/>
      </c>
    </row>
    <row r="10527">
      <c r="A10527" s="2" t="inlineStr">
        <is>
          <t>2026-06-10</t>
        </is>
      </c>
      <c r="B10527" s="3" t="inlineStr">
        <is>
          <t>유안타증권</t>
        </is>
      </c>
      <c r="C10527" s="2" t="inlineStr">
        <is>
          <t>코스피</t>
        </is>
      </c>
      <c r="D10527" s="2" t="inlineStr">
        <is>
          <t>003470</t>
        </is>
      </c>
      <c r="E10527" s="3" t="inlineStr">
        <is>
          <t>투자설명서(일괄신고)</t>
        </is>
      </c>
      <c r="F10527" s="3" t="inlineStr">
        <is>
          <t>유안타증권</t>
        </is>
      </c>
      <c r="G10527" s="2" t="inlineStr">
        <is>
          <t>20260610000231</t>
        </is>
      </c>
      <c r="H10527" s="8">
        <f>HYPERLINK("https://dart.fss.or.kr/dsaf001/main.do?rcpNo=20260610000231", "공시열람")</f>
        <v/>
      </c>
    </row>
    <row r="10528">
      <c r="A10528" s="2" t="inlineStr">
        <is>
          <t>2026-06-10</t>
        </is>
      </c>
      <c r="B10528" s="3" t="inlineStr">
        <is>
          <t>큐라클</t>
        </is>
      </c>
      <c r="C10528" s="2" t="inlineStr">
        <is>
          <t>코스닥</t>
        </is>
      </c>
      <c r="D10528" s="2" t="inlineStr">
        <is>
          <t>365270</t>
        </is>
      </c>
      <c r="E10528" s="3" t="inlineStr">
        <is>
          <t>임원ㆍ주요주주특정증권등소유상황보고서</t>
        </is>
      </c>
      <c r="F10528" s="3" t="inlineStr">
        <is>
          <t>표정인</t>
        </is>
      </c>
      <c r="G10528" s="2" t="inlineStr">
        <is>
          <t>20260610000230</t>
        </is>
      </c>
      <c r="H10528" s="8">
        <f>HYPERLINK("https://dart.fss.or.kr/dsaf001/main.do?rcpNo=20260610000230", "공시열람")</f>
        <v/>
      </c>
    </row>
    <row r="10529">
      <c r="A10529" s="2" t="inlineStr">
        <is>
          <t>2026-06-10</t>
        </is>
      </c>
      <c r="B10529" s="3" t="inlineStr">
        <is>
          <t>스코넥</t>
        </is>
      </c>
      <c r="C10529" s="2" t="inlineStr">
        <is>
          <t>코스닥</t>
        </is>
      </c>
      <c r="D10529" s="2" t="inlineStr">
        <is>
          <t>276040</t>
        </is>
      </c>
      <c r="E10529" s="3" t="inlineStr">
        <is>
          <t>전환가액의조정              (제6회차)</t>
        </is>
      </c>
      <c r="F10529" s="3" t="inlineStr">
        <is>
          <t>스코넥</t>
        </is>
      </c>
      <c r="G10529" s="2" t="inlineStr">
        <is>
          <t>20260610900310</t>
        </is>
      </c>
      <c r="H10529" s="8">
        <f>HYPERLINK("https://dart.fss.or.kr/dsaf001/main.do?rcpNo=20260610900310", "공시열람")</f>
        <v/>
      </c>
    </row>
    <row r="10530">
      <c r="A10530" s="2" t="inlineStr">
        <is>
          <t>2026-06-10</t>
        </is>
      </c>
      <c r="B10530" s="3" t="inlineStr">
        <is>
          <t>본시스템즈</t>
        </is>
      </c>
      <c r="C10530" s="2" t="inlineStr">
        <is>
          <t>코넥스</t>
        </is>
      </c>
      <c r="D10530" s="2" t="inlineStr">
        <is>
          <t>496320</t>
        </is>
      </c>
      <c r="E10530" s="3" t="inlineStr">
        <is>
          <t xml:space="preserve">증권발행결과(자율공시)              </t>
        </is>
      </c>
      <c r="F10530" s="3" t="inlineStr">
        <is>
          <t>본시스템즈</t>
        </is>
      </c>
      <c r="G10530" s="2" t="inlineStr">
        <is>
          <t>20260610600312</t>
        </is>
      </c>
      <c r="H10530" s="8">
        <f>HYPERLINK("https://dart.fss.or.kr/dsaf001/main.do?rcpNo=20260610600312", "공시열람")</f>
        <v/>
      </c>
    </row>
    <row r="10531">
      <c r="A10531" s="2" t="inlineStr">
        <is>
          <t>2026-06-10</t>
        </is>
      </c>
      <c r="B10531" s="3" t="inlineStr">
        <is>
          <t>현대건설</t>
        </is>
      </c>
      <c r="C10531" s="2" t="inlineStr">
        <is>
          <t>코스피</t>
        </is>
      </c>
      <c r="D10531" s="2" t="inlineStr">
        <is>
          <t>000720</t>
        </is>
      </c>
      <c r="E10531" s="3" t="inlineStr">
        <is>
          <t xml:space="preserve">기업설명회(IR)개최(안내공시)              </t>
        </is>
      </c>
      <c r="F10531" s="3" t="inlineStr">
        <is>
          <t>현대건설</t>
        </is>
      </c>
      <c r="G10531" s="2" t="inlineStr">
        <is>
          <t>20260610800316</t>
        </is>
      </c>
      <c r="H10531" s="8">
        <f>HYPERLINK("https://dart.fss.or.kr/dsaf001/main.do?rcpNo=20260610800316", "공시열람")</f>
        <v/>
      </c>
    </row>
    <row r="10532">
      <c r="A10532" s="2" t="inlineStr">
        <is>
          <t>2026-06-10</t>
        </is>
      </c>
      <c r="B10532" s="3" t="inlineStr">
        <is>
          <t>DH오토리드</t>
        </is>
      </c>
      <c r="C10532" s="2" t="inlineStr">
        <is>
          <t>코스닥</t>
        </is>
      </c>
      <c r="D10532" s="2" t="inlineStr">
        <is>
          <t>290120</t>
        </is>
      </c>
      <c r="E10532" s="3" t="inlineStr">
        <is>
          <t>임원ㆍ주요주주특정증권등소유상황보고서</t>
        </is>
      </c>
      <c r="F10532" s="3" t="inlineStr">
        <is>
          <t>거석홀딩스</t>
        </is>
      </c>
      <c r="G10532" s="2" t="inlineStr">
        <is>
          <t>20260610000220</t>
        </is>
      </c>
      <c r="H10532" s="8">
        <f>HYPERLINK("https://dart.fss.or.kr/dsaf001/main.do?rcpNo=20260610000220", "공시열람")</f>
        <v/>
      </c>
    </row>
    <row r="10533">
      <c r="A10533" s="2" t="inlineStr">
        <is>
          <t>2026-06-10</t>
        </is>
      </c>
      <c r="B10533" s="3" t="inlineStr">
        <is>
          <t>KG스틸</t>
        </is>
      </c>
      <c r="C10533" s="2" t="inlineStr">
        <is>
          <t>코스피</t>
        </is>
      </c>
      <c r="D10533" s="2" t="inlineStr">
        <is>
          <t>016380</t>
        </is>
      </c>
      <c r="E10533" s="3" t="inlineStr">
        <is>
          <t>임원ㆍ주요주주특정증권등소유상황보고서</t>
        </is>
      </c>
      <c r="F10533" s="3" t="inlineStr">
        <is>
          <t>우치구</t>
        </is>
      </c>
      <c r="G10533" s="2" t="inlineStr">
        <is>
          <t>20260610000215</t>
        </is>
      </c>
      <c r="H10533" s="8">
        <f>HYPERLINK("https://dart.fss.or.kr/dsaf001/main.do?rcpNo=20260610000215", "공시열람")</f>
        <v/>
      </c>
    </row>
    <row r="10534">
      <c r="A10534" s="2" t="inlineStr">
        <is>
          <t>2026-06-10</t>
        </is>
      </c>
      <c r="B10534" s="3" t="inlineStr">
        <is>
          <t>KG스틸</t>
        </is>
      </c>
      <c r="C10534" s="2" t="inlineStr">
        <is>
          <t>코스피</t>
        </is>
      </c>
      <c r="D10534" s="2" t="inlineStr">
        <is>
          <t>016380</t>
        </is>
      </c>
      <c r="E10534" s="3" t="inlineStr">
        <is>
          <t>임원ㆍ주요주주특정증권등소유상황보고서</t>
        </is>
      </c>
      <c r="F10534" s="3" t="inlineStr">
        <is>
          <t>배선우</t>
        </is>
      </c>
      <c r="G10534" s="2" t="inlineStr">
        <is>
          <t>20260610000213</t>
        </is>
      </c>
      <c r="H10534" s="8">
        <f>HYPERLINK("https://dart.fss.or.kr/dsaf001/main.do?rcpNo=20260610000213", "공시열람")</f>
        <v/>
      </c>
    </row>
    <row r="10535">
      <c r="A10535" s="2" t="inlineStr">
        <is>
          <t>2026-06-10</t>
        </is>
      </c>
      <c r="B10535" s="3" t="inlineStr">
        <is>
          <t>피엔에이치테크</t>
        </is>
      </c>
      <c r="C10535" s="2" t="inlineStr">
        <is>
          <t>코스닥</t>
        </is>
      </c>
      <c r="D10535" s="2" t="inlineStr">
        <is>
          <t>239890</t>
        </is>
      </c>
      <c r="E10535" s="3" t="inlineStr">
        <is>
          <t>임원ㆍ주요주주특정증권등소유상황보고서</t>
        </is>
      </c>
      <c r="F10535" s="3" t="inlineStr">
        <is>
          <t>현서용</t>
        </is>
      </c>
      <c r="G10535" s="2" t="inlineStr">
        <is>
          <t>20260610000212</t>
        </is>
      </c>
      <c r="H10535" s="8">
        <f>HYPERLINK("https://dart.fss.or.kr/dsaf001/main.do?rcpNo=20260610000212", "공시열람")</f>
        <v/>
      </c>
    </row>
    <row r="10536">
      <c r="A10536" s="2" t="inlineStr">
        <is>
          <t>2026-06-10</t>
        </is>
      </c>
      <c r="B10536" s="3" t="inlineStr">
        <is>
          <t>NH투자증권</t>
        </is>
      </c>
      <c r="C10536" s="2" t="inlineStr">
        <is>
          <t>코스피</t>
        </is>
      </c>
      <c r="D10536" s="2" t="inlineStr">
        <is>
          <t>005940</t>
        </is>
      </c>
      <c r="E10536" s="3" t="inlineStr">
        <is>
          <t>투자설명서(일괄신고)</t>
        </is>
      </c>
      <c r="F10536" s="3" t="inlineStr">
        <is>
          <t>NH투자증권</t>
        </is>
      </c>
      <c r="G10536" s="2" t="inlineStr">
        <is>
          <t>20260610000211</t>
        </is>
      </c>
      <c r="H10536" s="8">
        <f>HYPERLINK("https://dart.fss.or.kr/dsaf001/main.do?rcpNo=20260610000211", "공시열람")</f>
        <v/>
      </c>
    </row>
    <row r="10537">
      <c r="A10537" s="2" t="inlineStr">
        <is>
          <t>2026-06-10</t>
        </is>
      </c>
      <c r="B10537" s="3" t="inlineStr">
        <is>
          <t>모바일어플라이언스</t>
        </is>
      </c>
      <c r="C10537" s="2" t="inlineStr">
        <is>
          <t>코스닥</t>
        </is>
      </c>
      <c r="D10537" s="2" t="inlineStr">
        <is>
          <t>087260</t>
        </is>
      </c>
      <c r="E10537" s="3" t="inlineStr">
        <is>
          <t>사외이사의선임ㆍ해임또는중도퇴임에관한신고</t>
        </is>
      </c>
      <c r="F10537" s="3" t="inlineStr">
        <is>
          <t>모바일어플라이언스</t>
        </is>
      </c>
      <c r="G10537" s="2" t="inlineStr">
        <is>
          <t>20260610000210</t>
        </is>
      </c>
      <c r="H10537" s="8">
        <f>HYPERLINK("https://dart.fss.or.kr/dsaf001/main.do?rcpNo=20260610000210", "공시열람")</f>
        <v/>
      </c>
    </row>
    <row r="10538">
      <c r="A10538" s="2" t="inlineStr">
        <is>
          <t>2026-06-10</t>
        </is>
      </c>
      <c r="B10538" s="3" t="inlineStr">
        <is>
          <t>KG스틸</t>
        </is>
      </c>
      <c r="C10538" s="2" t="inlineStr">
        <is>
          <t>코스피</t>
        </is>
      </c>
      <c r="D10538" s="2" t="inlineStr">
        <is>
          <t>016380</t>
        </is>
      </c>
      <c r="E10538" s="3" t="inlineStr">
        <is>
          <t>임원ㆍ주요주주특정증권등소유상황보고서</t>
        </is>
      </c>
      <c r="F10538" s="3" t="inlineStr">
        <is>
          <t>김형도</t>
        </is>
      </c>
      <c r="G10538" s="2" t="inlineStr">
        <is>
          <t>20260610000208</t>
        </is>
      </c>
      <c r="H10538" s="8">
        <f>HYPERLINK("https://dart.fss.or.kr/dsaf001/main.do?rcpNo=20260610000208", "공시열람")</f>
        <v/>
      </c>
    </row>
    <row r="10539">
      <c r="A10539" s="2" t="inlineStr">
        <is>
          <t>2026-06-10</t>
        </is>
      </c>
      <c r="B10539" s="3" t="inlineStr">
        <is>
          <t>키움증권</t>
        </is>
      </c>
      <c r="C10539" s="2" t="inlineStr">
        <is>
          <t>코스피</t>
        </is>
      </c>
      <c r="D10539" s="2" t="inlineStr">
        <is>
          <t>039490</t>
        </is>
      </c>
      <c r="E10539" s="3" t="inlineStr">
        <is>
          <t>일괄신고추가서류(파생결합사채-주가연계파생결합사채)</t>
        </is>
      </c>
      <c r="F10539" s="3" t="inlineStr">
        <is>
          <t>키움증권</t>
        </is>
      </c>
      <c r="G10539" s="2" t="inlineStr">
        <is>
          <t>20260610000205</t>
        </is>
      </c>
      <c r="H10539" s="8">
        <f>HYPERLINK("https://dart.fss.or.kr/dsaf001/main.do?rcpNo=20260610000205", "공시열람")</f>
        <v/>
      </c>
    </row>
    <row r="10540">
      <c r="A10540" s="2" t="inlineStr">
        <is>
          <t>2026-06-10</t>
        </is>
      </c>
      <c r="B10540" s="3" t="inlineStr">
        <is>
          <t>NH투자증권</t>
        </is>
      </c>
      <c r="C10540" s="2" t="inlineStr">
        <is>
          <t>코스피</t>
        </is>
      </c>
      <c r="D10540" s="2" t="inlineStr">
        <is>
          <t>005940</t>
        </is>
      </c>
      <c r="E10540" s="3" t="inlineStr">
        <is>
          <t>투자설명서(일괄신고)</t>
        </is>
      </c>
      <c r="F10540" s="3" t="inlineStr">
        <is>
          <t>NH투자증권</t>
        </is>
      </c>
      <c r="G10540" s="2" t="inlineStr">
        <is>
          <t>20260610000203</t>
        </is>
      </c>
      <c r="H10540" s="8">
        <f>HYPERLINK("https://dart.fss.or.kr/dsaf001/main.do?rcpNo=20260610000203", "공시열람")</f>
        <v/>
      </c>
    </row>
    <row r="10541">
      <c r="A10541" s="2" t="inlineStr">
        <is>
          <t>2026-06-10</t>
        </is>
      </c>
      <c r="B10541" s="3" t="inlineStr">
        <is>
          <t>DB증권</t>
        </is>
      </c>
      <c r="C10541" s="2" t="inlineStr">
        <is>
          <t>코스피</t>
        </is>
      </c>
      <c r="D10541" s="2" t="inlineStr">
        <is>
          <t>016610</t>
        </is>
      </c>
      <c r="E10541" s="3" t="inlineStr">
        <is>
          <t>투자설명서(일괄신고)</t>
        </is>
      </c>
      <c r="F10541" s="3" t="inlineStr">
        <is>
          <t>DB증권</t>
        </is>
      </c>
      <c r="G10541" s="2" t="inlineStr">
        <is>
          <t>20260610000201</t>
        </is>
      </c>
      <c r="H10541" s="8">
        <f>HYPERLINK("https://dart.fss.or.kr/dsaf001/main.do?rcpNo=20260610000201", "공시열람")</f>
        <v/>
      </c>
    </row>
    <row r="10542">
      <c r="A10542" s="2" t="inlineStr">
        <is>
          <t>2026-06-10</t>
        </is>
      </c>
      <c r="B10542" s="3" t="inlineStr">
        <is>
          <t>키움증권</t>
        </is>
      </c>
      <c r="C10542" s="2" t="inlineStr">
        <is>
          <t>코스피</t>
        </is>
      </c>
      <c r="D10542" s="2" t="inlineStr">
        <is>
          <t>039490</t>
        </is>
      </c>
      <c r="E10542" s="3" t="inlineStr">
        <is>
          <t>일괄신고추가서류(기타파생결합사채)</t>
        </is>
      </c>
      <c r="F10542" s="3" t="inlineStr">
        <is>
          <t>키움증권</t>
        </is>
      </c>
      <c r="G10542" s="2" t="inlineStr">
        <is>
          <t>20260610000200</t>
        </is>
      </c>
      <c r="H10542" s="8">
        <f>HYPERLINK("https://dart.fss.or.kr/dsaf001/main.do?rcpNo=20260610000200", "공시열람")</f>
        <v/>
      </c>
    </row>
    <row r="10543">
      <c r="A10543" s="2" t="inlineStr">
        <is>
          <t>2026-06-10</t>
        </is>
      </c>
      <c r="B10543" s="3" t="inlineStr">
        <is>
          <t>KG스틸</t>
        </is>
      </c>
      <c r="C10543" s="2" t="inlineStr">
        <is>
          <t>코스피</t>
        </is>
      </c>
      <c r="D10543" s="2" t="inlineStr">
        <is>
          <t>016380</t>
        </is>
      </c>
      <c r="E10543" s="3" t="inlineStr">
        <is>
          <t>임원ㆍ주요주주특정증권등소유상황보고서</t>
        </is>
      </c>
      <c r="F10543" s="3" t="inlineStr">
        <is>
          <t>박사윤</t>
        </is>
      </c>
      <c r="G10543" s="2" t="inlineStr">
        <is>
          <t>20260610000199</t>
        </is>
      </c>
      <c r="H10543" s="8">
        <f>HYPERLINK("https://dart.fss.or.kr/dsaf001/main.do?rcpNo=20260610000199", "공시열람")</f>
        <v/>
      </c>
    </row>
    <row r="10544">
      <c r="A10544" s="2" t="inlineStr">
        <is>
          <t>2026-06-10</t>
        </is>
      </c>
      <c r="B10544" s="3" t="inlineStr">
        <is>
          <t>키움증권</t>
        </is>
      </c>
      <c r="C10544" s="2" t="inlineStr">
        <is>
          <t>코스피</t>
        </is>
      </c>
      <c r="D10544" s="2" t="inlineStr">
        <is>
          <t>039490</t>
        </is>
      </c>
      <c r="E10544" s="3" t="inlineStr">
        <is>
          <t>일괄신고추가서류(파생결합증권-주가연계증권)</t>
        </is>
      </c>
      <c r="F10544" s="3" t="inlineStr">
        <is>
          <t>키움증권</t>
        </is>
      </c>
      <c r="G10544" s="2" t="inlineStr">
        <is>
          <t>20260610000198</t>
        </is>
      </c>
      <c r="H10544" s="8">
        <f>HYPERLINK("https://dart.fss.or.kr/dsaf001/main.do?rcpNo=20260610000198", "공시열람")</f>
        <v/>
      </c>
    </row>
    <row r="10545">
      <c r="A10545" s="2" t="inlineStr">
        <is>
          <t>2026-06-10</t>
        </is>
      </c>
      <c r="B10545" s="3" t="inlineStr">
        <is>
          <t>DB증권</t>
        </is>
      </c>
      <c r="C10545" s="2" t="inlineStr">
        <is>
          <t>코스피</t>
        </is>
      </c>
      <c r="D10545" s="2" t="inlineStr">
        <is>
          <t>016610</t>
        </is>
      </c>
      <c r="E10545" s="3" t="inlineStr">
        <is>
          <t>투자설명서(일괄신고)</t>
        </is>
      </c>
      <c r="F10545" s="3" t="inlineStr">
        <is>
          <t>DB증권</t>
        </is>
      </c>
      <c r="G10545" s="2" t="inlineStr">
        <is>
          <t>20260610000196</t>
        </is>
      </c>
      <c r="H10545" s="8">
        <f>HYPERLINK("https://dart.fss.or.kr/dsaf001/main.do?rcpNo=20260610000196", "공시열람")</f>
        <v/>
      </c>
    </row>
    <row r="10546">
      <c r="A10546" s="2" t="inlineStr">
        <is>
          <t>2026-06-10</t>
        </is>
      </c>
      <c r="B10546" s="3" t="inlineStr">
        <is>
          <t>웰크론한텍</t>
        </is>
      </c>
      <c r="C10546" s="2" t="inlineStr">
        <is>
          <t>코스닥</t>
        </is>
      </c>
      <c r="D10546" s="2" t="inlineStr">
        <is>
          <t>076080</t>
        </is>
      </c>
      <c r="E10546" s="3" t="inlineStr">
        <is>
          <t>임원ㆍ주요주주특정증권등소유상황보고서</t>
        </is>
      </c>
      <c r="F10546" s="3" t="inlineStr">
        <is>
          <t>정성식</t>
        </is>
      </c>
      <c r="G10546" s="2" t="inlineStr">
        <is>
          <t>20260610000193</t>
        </is>
      </c>
      <c r="H10546" s="8">
        <f>HYPERLINK("https://dart.fss.or.kr/dsaf001/main.do?rcpNo=20260610000193", "공시열람")</f>
        <v/>
      </c>
    </row>
    <row r="10547">
      <c r="A10547" s="2" t="inlineStr">
        <is>
          <t>2026-06-10</t>
        </is>
      </c>
      <c r="B10547" s="3" t="inlineStr">
        <is>
          <t>유진증권</t>
        </is>
      </c>
      <c r="C10547" s="2" t="inlineStr">
        <is>
          <t>코스피</t>
        </is>
      </c>
      <c r="D10547" s="2" t="inlineStr">
        <is>
          <t>001200</t>
        </is>
      </c>
      <c r="E10547" s="3" t="inlineStr">
        <is>
          <t>투자설명서(일괄신고)</t>
        </is>
      </c>
      <c r="F10547" s="3" t="inlineStr">
        <is>
          <t>유진증권</t>
        </is>
      </c>
      <c r="G10547" s="2" t="inlineStr">
        <is>
          <t>20260610000192</t>
        </is>
      </c>
      <c r="H10547" s="8">
        <f>HYPERLINK("https://dart.fss.or.kr/dsaf001/main.do?rcpNo=20260610000192", "공시열람")</f>
        <v/>
      </c>
    </row>
    <row r="10548">
      <c r="A10548" s="2" t="inlineStr">
        <is>
          <t>2026-06-10</t>
        </is>
      </c>
      <c r="B10548" s="3" t="inlineStr">
        <is>
          <t>웰크론한텍</t>
        </is>
      </c>
      <c r="C10548" s="2" t="inlineStr">
        <is>
          <t>코스닥</t>
        </is>
      </c>
      <c r="D10548" s="2" t="inlineStr">
        <is>
          <t>076080</t>
        </is>
      </c>
      <c r="E10548" s="3" t="inlineStr">
        <is>
          <t>임원ㆍ주요주주특정증권등소유상황보고서</t>
        </is>
      </c>
      <c r="F10548" s="3" t="inlineStr">
        <is>
          <t>웰크론</t>
        </is>
      </c>
      <c r="G10548" s="2" t="inlineStr">
        <is>
          <t>20260610000189</t>
        </is>
      </c>
      <c r="H10548" s="8">
        <f>HYPERLINK("https://dart.fss.or.kr/dsaf001/main.do?rcpNo=20260610000189", "공시열람")</f>
        <v/>
      </c>
    </row>
    <row r="10549">
      <c r="A10549" s="2" t="inlineStr">
        <is>
          <t>2026-06-10</t>
        </is>
      </c>
      <c r="B10549" s="3" t="inlineStr">
        <is>
          <t>다스코</t>
        </is>
      </c>
      <c r="C10549" s="2" t="inlineStr">
        <is>
          <t>코스피</t>
        </is>
      </c>
      <c r="D10549" s="2" t="inlineStr">
        <is>
          <t>058730</t>
        </is>
      </c>
      <c r="E10549" s="3" t="inlineStr">
        <is>
          <t xml:space="preserve">투자판단관련주요경영사항              </t>
        </is>
      </c>
      <c r="F10549" s="3" t="inlineStr">
        <is>
          <t>다스코</t>
        </is>
      </c>
      <c r="G10549" s="2" t="inlineStr">
        <is>
          <t>20260610800274</t>
        </is>
      </c>
      <c r="H10549" s="8">
        <f>HYPERLINK("https://dart.fss.or.kr/dsaf001/main.do?rcpNo=20260610800274", "공시열람")</f>
        <v/>
      </c>
    </row>
    <row r="10550">
      <c r="A10550" s="2" t="inlineStr">
        <is>
          <t>2026-06-10</t>
        </is>
      </c>
      <c r="B10550" s="3" t="inlineStr">
        <is>
          <t>달바글로벌</t>
        </is>
      </c>
      <c r="C10550" s="2" t="inlineStr">
        <is>
          <t>코스피</t>
        </is>
      </c>
      <c r="D10550" s="2" t="inlineStr">
        <is>
          <t>483650</t>
        </is>
      </c>
      <c r="E10550" s="3" t="inlineStr">
        <is>
          <t xml:space="preserve">기업설명회(IR)개최(안내공시)              </t>
        </is>
      </c>
      <c r="F10550" s="3" t="inlineStr">
        <is>
          <t>달바글로벌</t>
        </is>
      </c>
      <c r="G10550" s="2" t="inlineStr">
        <is>
          <t>20260610800275</t>
        </is>
      </c>
      <c r="H10550" s="8">
        <f>HYPERLINK("https://dart.fss.or.kr/dsaf001/main.do?rcpNo=20260610800275", "공시열람")</f>
        <v/>
      </c>
    </row>
    <row r="10551">
      <c r="A10551" s="2" t="inlineStr">
        <is>
          <t>2026-06-10</t>
        </is>
      </c>
      <c r="B10551" s="3" t="inlineStr">
        <is>
          <t>KG스틸</t>
        </is>
      </c>
      <c r="C10551" s="2" t="inlineStr">
        <is>
          <t>코스피</t>
        </is>
      </c>
      <c r="D10551" s="2" t="inlineStr">
        <is>
          <t>016380</t>
        </is>
      </c>
      <c r="E10551" s="3" t="inlineStr">
        <is>
          <t>임원ㆍ주요주주특정증권등소유상황보고서</t>
        </is>
      </c>
      <c r="F10551" s="3" t="inlineStr">
        <is>
          <t>김성묵</t>
        </is>
      </c>
      <c r="G10551" s="2" t="inlineStr">
        <is>
          <t>20260610000182</t>
        </is>
      </c>
      <c r="H10551" s="8">
        <f>HYPERLINK("https://dart.fss.or.kr/dsaf001/main.do?rcpNo=20260610000182", "공시열람")</f>
        <v/>
      </c>
    </row>
    <row r="10552">
      <c r="A10552" s="2" t="inlineStr">
        <is>
          <t>2026-06-10</t>
        </is>
      </c>
      <c r="B10552" s="3" t="inlineStr">
        <is>
          <t>KG스틸</t>
        </is>
      </c>
      <c r="C10552" s="2" t="inlineStr">
        <is>
          <t>코스피</t>
        </is>
      </c>
      <c r="D10552" s="2" t="inlineStr">
        <is>
          <t>016380</t>
        </is>
      </c>
      <c r="E10552" s="3" t="inlineStr">
        <is>
          <t>임원ㆍ주요주주특정증권등소유상황보고서</t>
        </is>
      </c>
      <c r="F10552" s="3" t="inlineStr">
        <is>
          <t>민영득</t>
        </is>
      </c>
      <c r="G10552" s="2" t="inlineStr">
        <is>
          <t>20260610000181</t>
        </is>
      </c>
      <c r="H10552" s="8">
        <f>HYPERLINK("https://dart.fss.or.kr/dsaf001/main.do?rcpNo=20260610000181", "공시열람")</f>
        <v/>
      </c>
    </row>
    <row r="10553">
      <c r="A10553" s="2" t="inlineStr">
        <is>
          <t>2026-06-10</t>
        </is>
      </c>
      <c r="B10553" s="3" t="inlineStr">
        <is>
          <t>KG스틸</t>
        </is>
      </c>
      <c r="C10553" s="2" t="inlineStr">
        <is>
          <t>코스피</t>
        </is>
      </c>
      <c r="D10553" s="2" t="inlineStr">
        <is>
          <t>016380</t>
        </is>
      </c>
      <c r="E10553" s="3" t="inlineStr">
        <is>
          <t>임원ㆍ주요주주특정증권등소유상황보고서</t>
        </is>
      </c>
      <c r="F10553" s="3" t="inlineStr">
        <is>
          <t>이우석</t>
        </is>
      </c>
      <c r="G10553" s="2" t="inlineStr">
        <is>
          <t>20260610000180</t>
        </is>
      </c>
      <c r="H10553" s="8">
        <f>HYPERLINK("https://dart.fss.or.kr/dsaf001/main.do?rcpNo=20260610000180", "공시열람")</f>
        <v/>
      </c>
    </row>
    <row r="10554">
      <c r="A10554" s="2" t="inlineStr">
        <is>
          <t>2026-06-10</t>
        </is>
      </c>
      <c r="B10554" s="3" t="inlineStr">
        <is>
          <t>한국콜마</t>
        </is>
      </c>
      <c r="C10554" s="2" t="inlineStr">
        <is>
          <t>코스피</t>
        </is>
      </c>
      <c r="D10554" s="2" t="inlineStr">
        <is>
          <t>161890</t>
        </is>
      </c>
      <c r="E10554" s="3" t="inlineStr">
        <is>
          <t xml:space="preserve">기업설명회(IR)개최(안내공시)              </t>
        </is>
      </c>
      <c r="F10554" s="3" t="inlineStr">
        <is>
          <t>한국콜마</t>
        </is>
      </c>
      <c r="G10554" s="2" t="inlineStr">
        <is>
          <t>20260610800269</t>
        </is>
      </c>
      <c r="H10554" s="8">
        <f>HYPERLINK("https://dart.fss.or.kr/dsaf001/main.do?rcpNo=20260610800269", "공시열람")</f>
        <v/>
      </c>
    </row>
    <row r="10555">
      <c r="A10555" s="2" t="inlineStr">
        <is>
          <t>2026-06-10</t>
        </is>
      </c>
      <c r="B10555" s="3" t="inlineStr">
        <is>
          <t>KG스틸</t>
        </is>
      </c>
      <c r="C10555" s="2" t="inlineStr">
        <is>
          <t>코스피</t>
        </is>
      </c>
      <c r="D10555" s="2" t="inlineStr">
        <is>
          <t>016380</t>
        </is>
      </c>
      <c r="E10555" s="3" t="inlineStr">
        <is>
          <t>임원ㆍ주요주주특정증권등소유상황보고서</t>
        </is>
      </c>
      <c r="F10555" s="3" t="inlineStr">
        <is>
          <t>하종철</t>
        </is>
      </c>
      <c r="G10555" s="2" t="inlineStr">
        <is>
          <t>20260610000179</t>
        </is>
      </c>
      <c r="H10555" s="8">
        <f>HYPERLINK("https://dart.fss.or.kr/dsaf001/main.do?rcpNo=20260610000179", "공시열람")</f>
        <v/>
      </c>
    </row>
    <row r="10556">
      <c r="A10556" s="2" t="inlineStr">
        <is>
          <t>2026-06-10</t>
        </is>
      </c>
      <c r="B10556" s="3" t="inlineStr">
        <is>
          <t>KG스틸</t>
        </is>
      </c>
      <c r="C10556" s="2" t="inlineStr">
        <is>
          <t>코스피</t>
        </is>
      </c>
      <c r="D10556" s="2" t="inlineStr">
        <is>
          <t>016380</t>
        </is>
      </c>
      <c r="E10556" s="3" t="inlineStr">
        <is>
          <t>임원ㆍ주요주주특정증권등소유상황보고서</t>
        </is>
      </c>
      <c r="F10556" s="3" t="inlineStr">
        <is>
          <t>한상무</t>
        </is>
      </c>
      <c r="G10556" s="2" t="inlineStr">
        <is>
          <t>20260610000177</t>
        </is>
      </c>
      <c r="H10556" s="8">
        <f>HYPERLINK("https://dart.fss.or.kr/dsaf001/main.do?rcpNo=20260610000177", "공시열람")</f>
        <v/>
      </c>
    </row>
    <row r="10557">
      <c r="A10557" s="2" t="inlineStr">
        <is>
          <t>2026-06-10</t>
        </is>
      </c>
      <c r="B10557" s="3" t="inlineStr">
        <is>
          <t>삼성증권</t>
        </is>
      </c>
      <c r="C10557" s="2" t="inlineStr">
        <is>
          <t>코스피</t>
        </is>
      </c>
      <c r="D10557" s="2" t="inlineStr">
        <is>
          <t>016360</t>
        </is>
      </c>
      <c r="E10557" s="3" t="inlineStr">
        <is>
          <t>투자설명서(일괄신고)</t>
        </is>
      </c>
      <c r="F10557" s="3" t="inlineStr">
        <is>
          <t>삼성증권</t>
        </is>
      </c>
      <c r="G10557" s="2" t="inlineStr">
        <is>
          <t>20260610000176</t>
        </is>
      </c>
      <c r="H10557" s="8">
        <f>HYPERLINK("https://dart.fss.or.kr/dsaf001/main.do?rcpNo=20260610000176", "공시열람")</f>
        <v/>
      </c>
    </row>
    <row r="10558">
      <c r="A10558" s="2" t="inlineStr">
        <is>
          <t>2026-06-10</t>
        </is>
      </c>
      <c r="B10558" s="3" t="inlineStr">
        <is>
          <t>KG스틸</t>
        </is>
      </c>
      <c r="C10558" s="2" t="inlineStr">
        <is>
          <t>코스피</t>
        </is>
      </c>
      <c r="D10558" s="2" t="inlineStr">
        <is>
          <t>016380</t>
        </is>
      </c>
      <c r="E10558" s="3" t="inlineStr">
        <is>
          <t>임원ㆍ주요주주특정증권등소유상황보고서</t>
        </is>
      </c>
      <c r="F10558" s="3" t="inlineStr">
        <is>
          <t>조기연</t>
        </is>
      </c>
      <c r="G10558" s="2" t="inlineStr">
        <is>
          <t>20260610000175</t>
        </is>
      </c>
      <c r="H10558" s="8">
        <f>HYPERLINK("https://dart.fss.or.kr/dsaf001/main.do?rcpNo=20260610000175", "공시열람")</f>
        <v/>
      </c>
    </row>
    <row r="10559">
      <c r="A10559" s="2" t="inlineStr">
        <is>
          <t>2026-06-10</t>
        </is>
      </c>
      <c r="B10559" s="3" t="inlineStr">
        <is>
          <t>KG스틸</t>
        </is>
      </c>
      <c r="C10559" s="2" t="inlineStr">
        <is>
          <t>코스피</t>
        </is>
      </c>
      <c r="D10559" s="2" t="inlineStr">
        <is>
          <t>016380</t>
        </is>
      </c>
      <c r="E10559" s="3" t="inlineStr">
        <is>
          <t>임원ㆍ주요주주특정증권등소유상황보고서</t>
        </is>
      </c>
      <c r="F10559" s="3" t="inlineStr">
        <is>
          <t>김성일</t>
        </is>
      </c>
      <c r="G10559" s="2" t="inlineStr">
        <is>
          <t>20260610000174</t>
        </is>
      </c>
      <c r="H10559" s="8">
        <f>HYPERLINK("https://dart.fss.or.kr/dsaf001/main.do?rcpNo=20260610000174", "공시열람")</f>
        <v/>
      </c>
    </row>
    <row r="10560">
      <c r="A10560" s="2" t="inlineStr">
        <is>
          <t>2026-06-10</t>
        </is>
      </c>
      <c r="B10560" s="3" t="inlineStr">
        <is>
          <t>KG스틸</t>
        </is>
      </c>
      <c r="C10560" s="2" t="inlineStr">
        <is>
          <t>코스피</t>
        </is>
      </c>
      <c r="D10560" s="2" t="inlineStr">
        <is>
          <t>016380</t>
        </is>
      </c>
      <c r="E10560" s="3" t="inlineStr">
        <is>
          <t>임원ㆍ주요주주특정증권등소유상황보고서</t>
        </is>
      </c>
      <c r="F10560" s="3" t="inlineStr">
        <is>
          <t>박성희</t>
        </is>
      </c>
      <c r="G10560" s="2" t="inlineStr">
        <is>
          <t>20260610000172</t>
        </is>
      </c>
      <c r="H10560" s="8">
        <f>HYPERLINK("https://dart.fss.or.kr/dsaf001/main.do?rcpNo=20260610000172", "공시열람")</f>
        <v/>
      </c>
    </row>
    <row r="10561">
      <c r="A10561" s="2" t="inlineStr">
        <is>
          <t>2026-06-10</t>
        </is>
      </c>
      <c r="B10561" s="3" t="inlineStr">
        <is>
          <t>교보증권</t>
        </is>
      </c>
      <c r="C10561" s="2" t="inlineStr">
        <is>
          <t>코스피</t>
        </is>
      </c>
      <c r="D10561" s="2" t="inlineStr">
        <is>
          <t>030610</t>
        </is>
      </c>
      <c r="E10561" s="3" t="inlineStr">
        <is>
          <t>투자설명서(일괄신고)</t>
        </is>
      </c>
      <c r="F10561" s="3" t="inlineStr">
        <is>
          <t>교보증권</t>
        </is>
      </c>
      <c r="G10561" s="2" t="inlineStr">
        <is>
          <t>20260610000169</t>
        </is>
      </c>
      <c r="H10561" s="8">
        <f>HYPERLINK("https://dart.fss.or.kr/dsaf001/main.do?rcpNo=20260610000169", "공시열람")</f>
        <v/>
      </c>
    </row>
    <row r="10562">
      <c r="A10562" s="2" t="inlineStr">
        <is>
          <t>2026-06-10</t>
        </is>
      </c>
      <c r="B10562" s="3" t="inlineStr">
        <is>
          <t>유라클</t>
        </is>
      </c>
      <c r="C10562" s="2" t="inlineStr">
        <is>
          <t>코스닥</t>
        </is>
      </c>
      <c r="D10562" s="2" t="inlineStr">
        <is>
          <t>088340</t>
        </is>
      </c>
      <c r="E10562" s="3" t="inlineStr">
        <is>
          <t>임원ㆍ주요주주특정증권등소유상황보고서</t>
        </is>
      </c>
      <c r="F10562" s="3" t="inlineStr">
        <is>
          <t>조준희</t>
        </is>
      </c>
      <c r="G10562" s="2" t="inlineStr">
        <is>
          <t>20260610000168</t>
        </is>
      </c>
      <c r="H10562" s="8">
        <f>HYPERLINK("https://dart.fss.or.kr/dsaf001/main.do?rcpNo=20260610000168", "공시열람")</f>
        <v/>
      </c>
    </row>
    <row r="10563">
      <c r="A10563" s="2" t="inlineStr">
        <is>
          <t>2026-06-10</t>
        </is>
      </c>
      <c r="B10563" s="3" t="inlineStr">
        <is>
          <t>마이크로디지탈</t>
        </is>
      </c>
      <c r="C10563" s="2" t="inlineStr">
        <is>
          <t>코스닥</t>
        </is>
      </c>
      <c r="D10563" s="2" t="inlineStr">
        <is>
          <t>305090</t>
        </is>
      </c>
      <c r="E10563" s="3" t="inlineStr">
        <is>
          <t>임원ㆍ주요주주특정증권등소유상황보고서</t>
        </is>
      </c>
      <c r="F10563" s="3" t="inlineStr">
        <is>
          <t>김경남</t>
        </is>
      </c>
      <c r="G10563" s="2" t="inlineStr">
        <is>
          <t>20260610000165</t>
        </is>
      </c>
      <c r="H10563" s="8">
        <f>HYPERLINK("https://dart.fss.or.kr/dsaf001/main.do?rcpNo=20260610000165", "공시열람")</f>
        <v/>
      </c>
    </row>
    <row r="10564">
      <c r="A10564" s="2" t="inlineStr">
        <is>
          <t>2026-06-10</t>
        </is>
      </c>
      <c r="B10564" s="3" t="inlineStr">
        <is>
          <t>KG파이낸셜</t>
        </is>
      </c>
      <c r="C10564" s="2" t="inlineStr">
        <is>
          <t>코스닥</t>
        </is>
      </c>
      <c r="D10564" s="2" t="inlineStr">
        <is>
          <t>046440</t>
        </is>
      </c>
      <c r="E10564" s="3" t="inlineStr">
        <is>
          <t xml:space="preserve">수시공시의무관련사항(공정공시)              </t>
        </is>
      </c>
      <c r="F10564" s="3" t="inlineStr">
        <is>
          <t>KG파이낸셜</t>
        </is>
      </c>
      <c r="G10564" s="2" t="inlineStr">
        <is>
          <t>20260610900253</t>
        </is>
      </c>
      <c r="H10564" s="8">
        <f>HYPERLINK("https://dart.fss.or.kr/dsaf001/main.do?rcpNo=20260610900253", "공시열람")</f>
        <v/>
      </c>
    </row>
    <row r="10565">
      <c r="A10565" s="2" t="inlineStr">
        <is>
          <t>2026-06-10</t>
        </is>
      </c>
      <c r="B10565" s="3" t="inlineStr">
        <is>
          <t>세아홀딩스</t>
        </is>
      </c>
      <c r="C10565" s="2" t="inlineStr">
        <is>
          <t>코스피</t>
        </is>
      </c>
      <c r="D10565" s="2" t="inlineStr">
        <is>
          <t>058650</t>
        </is>
      </c>
      <c r="E10565" s="3" t="inlineStr">
        <is>
          <t>자기주식취득결과보고서</t>
        </is>
      </c>
      <c r="F10565" s="3" t="inlineStr">
        <is>
          <t>세아홀딩스</t>
        </is>
      </c>
      <c r="G10565" s="2" t="inlineStr">
        <is>
          <t>20260610000162</t>
        </is>
      </c>
      <c r="H10565" s="8">
        <f>HYPERLINK("https://dart.fss.or.kr/dsaf001/main.do?rcpNo=20260610000162", "공시열람")</f>
        <v/>
      </c>
    </row>
    <row r="10566">
      <c r="A10566" s="2" t="inlineStr">
        <is>
          <t>2026-06-10</t>
        </is>
      </c>
      <c r="B10566" s="3" t="inlineStr">
        <is>
          <t>솔트웨어</t>
        </is>
      </c>
      <c r="C10566" s="2" t="inlineStr">
        <is>
          <t>코스닥</t>
        </is>
      </c>
      <c r="D10566" s="2" t="inlineStr">
        <is>
          <t>328380</t>
        </is>
      </c>
      <c r="E10566" s="3" t="inlineStr">
        <is>
          <t>임원ㆍ주요주주특정증권등소유상황보고서</t>
        </is>
      </c>
      <c r="F10566" s="3" t="inlineStr">
        <is>
          <t>문말희</t>
        </is>
      </c>
      <c r="G10566" s="2" t="inlineStr">
        <is>
          <t>20260610000160</t>
        </is>
      </c>
      <c r="H10566" s="8">
        <f>HYPERLINK("https://dart.fss.or.kr/dsaf001/main.do?rcpNo=20260610000160", "공시열람")</f>
        <v/>
      </c>
    </row>
    <row r="10567">
      <c r="A10567" s="2" t="inlineStr">
        <is>
          <t>2026-06-10</t>
        </is>
      </c>
      <c r="B10567" s="3" t="inlineStr">
        <is>
          <t>이지스레지던스리츠</t>
        </is>
      </c>
      <c r="C10567" s="2" t="inlineStr">
        <is>
          <t>코스피</t>
        </is>
      </c>
      <c r="D10567" s="2" t="inlineStr">
        <is>
          <t>350520</t>
        </is>
      </c>
      <c r="E10567" s="3" t="inlineStr">
        <is>
          <t>임원ㆍ주요주주특정증권등소유상황보고서</t>
        </is>
      </c>
      <c r="F10567" s="3" t="inlineStr">
        <is>
          <t>코람코자산운용</t>
        </is>
      </c>
      <c r="G10567" s="2" t="inlineStr">
        <is>
          <t>20260610000159</t>
        </is>
      </c>
      <c r="H10567" s="8">
        <f>HYPERLINK("https://dart.fss.or.kr/dsaf001/main.do?rcpNo=20260610000159", "공시열람")</f>
        <v/>
      </c>
    </row>
    <row r="10568">
      <c r="A10568" s="2" t="inlineStr">
        <is>
          <t>2026-06-10</t>
        </is>
      </c>
      <c r="B10568" s="3" t="inlineStr">
        <is>
          <t>KG모빌리티</t>
        </is>
      </c>
      <c r="C10568" s="2" t="inlineStr">
        <is>
          <t>코스피</t>
        </is>
      </c>
      <c r="D10568" s="2" t="inlineStr">
        <is>
          <t>003620</t>
        </is>
      </c>
      <c r="E10568" s="3" t="inlineStr">
        <is>
          <t xml:space="preserve">조회공시요구(풍문또는보도)에대한답변(미확정)              </t>
        </is>
      </c>
      <c r="F10568" s="3" t="inlineStr">
        <is>
          <t>KG모빌리티</t>
        </is>
      </c>
      <c r="G10568" s="2" t="inlineStr">
        <is>
          <t>20260610800239</t>
        </is>
      </c>
      <c r="H10568" s="8">
        <f>HYPERLINK("https://dart.fss.or.kr/dsaf001/main.do?rcpNo=20260610800239", "공시열람")</f>
        <v/>
      </c>
    </row>
    <row r="10569">
      <c r="A10569" s="2" t="inlineStr">
        <is>
          <t>2026-06-10</t>
        </is>
      </c>
      <c r="B10569" s="3" t="inlineStr">
        <is>
          <t>유안타증권</t>
        </is>
      </c>
      <c r="C10569" s="2" t="inlineStr">
        <is>
          <t>코스피</t>
        </is>
      </c>
      <c r="D10569" s="2" t="inlineStr">
        <is>
          <t>003470</t>
        </is>
      </c>
      <c r="E10569" s="3" t="inlineStr">
        <is>
          <t>일괄신고추가서류(파생결합사채-주가연계파생결합사채)</t>
        </is>
      </c>
      <c r="F10569" s="3" t="inlineStr">
        <is>
          <t>유안타증권</t>
        </is>
      </c>
      <c r="G10569" s="2" t="inlineStr">
        <is>
          <t>20260610000154</t>
        </is>
      </c>
      <c r="H10569" s="8">
        <f>HYPERLINK("https://dart.fss.or.kr/dsaf001/main.do?rcpNo=20260610000154", "공시열람")</f>
        <v/>
      </c>
    </row>
    <row r="10570">
      <c r="A10570" s="2" t="inlineStr">
        <is>
          <t>2026-06-10</t>
        </is>
      </c>
      <c r="B10570" s="3" t="inlineStr">
        <is>
          <t>유진증권</t>
        </is>
      </c>
      <c r="C10570" s="2" t="inlineStr">
        <is>
          <t>코스피</t>
        </is>
      </c>
      <c r="D10570" s="2" t="inlineStr">
        <is>
          <t>001200</t>
        </is>
      </c>
      <c r="E10570" s="3" t="inlineStr">
        <is>
          <t>일괄신고추가서류(파생결합사채-주가연계파생결합사채)</t>
        </is>
      </c>
      <c r="F10570" s="3" t="inlineStr">
        <is>
          <t>유진증권</t>
        </is>
      </c>
      <c r="G10570" s="2" t="inlineStr">
        <is>
          <t>20260610000152</t>
        </is>
      </c>
      <c r="H10570" s="8">
        <f>HYPERLINK("https://dart.fss.or.kr/dsaf001/main.do?rcpNo=20260610000152", "공시열람")</f>
        <v/>
      </c>
    </row>
    <row r="10571">
      <c r="A10571" s="2" t="inlineStr">
        <is>
          <t>2026-06-10</t>
        </is>
      </c>
      <c r="B10571" s="3" t="inlineStr">
        <is>
          <t>세아홀딩스</t>
        </is>
      </c>
      <c r="C10571" s="2" t="inlineStr">
        <is>
          <t>코스피</t>
        </is>
      </c>
      <c r="D10571" s="2" t="inlineStr">
        <is>
          <t>058650</t>
        </is>
      </c>
      <c r="E10571" s="3" t="inlineStr">
        <is>
          <t>공개매수결과보고서</t>
        </is>
      </c>
      <c r="F10571" s="3" t="inlineStr">
        <is>
          <t>세아홀딩스</t>
        </is>
      </c>
      <c r="G10571" s="2" t="inlineStr">
        <is>
          <t>20260610000151</t>
        </is>
      </c>
      <c r="H10571" s="8">
        <f>HYPERLINK("https://dart.fss.or.kr/dsaf001/main.do?rcpNo=20260610000151", "공시열람")</f>
        <v/>
      </c>
    </row>
    <row r="10572">
      <c r="A10572" s="2" t="inlineStr">
        <is>
          <t>2026-06-10</t>
        </is>
      </c>
      <c r="B10572" s="3" t="inlineStr">
        <is>
          <t>NH투자증권</t>
        </is>
      </c>
      <c r="C10572" s="2" t="inlineStr">
        <is>
          <t>코스피</t>
        </is>
      </c>
      <c r="D10572" s="2" t="inlineStr">
        <is>
          <t>005940</t>
        </is>
      </c>
      <c r="E10572" s="3" t="inlineStr">
        <is>
          <t>일괄신고추가서류(파생결합증권-주가연계증권)</t>
        </is>
      </c>
      <c r="F10572" s="3" t="inlineStr">
        <is>
          <t>NH투자증권</t>
        </is>
      </c>
      <c r="G10572" s="2" t="inlineStr">
        <is>
          <t>20260610000150</t>
        </is>
      </c>
      <c r="H10572" s="8">
        <f>HYPERLINK("https://dart.fss.or.kr/dsaf001/main.do?rcpNo=20260610000150", "공시열람")</f>
        <v/>
      </c>
    </row>
    <row r="10573">
      <c r="A10573" s="2" t="inlineStr">
        <is>
          <t>2026-06-10</t>
        </is>
      </c>
      <c r="B10573" s="3" t="inlineStr">
        <is>
          <t>NH투자증권</t>
        </is>
      </c>
      <c r="C10573" s="2" t="inlineStr">
        <is>
          <t>코스피</t>
        </is>
      </c>
      <c r="D10573" s="2" t="inlineStr">
        <is>
          <t>005940</t>
        </is>
      </c>
      <c r="E10573" s="3" t="inlineStr">
        <is>
          <t>일괄신고추가서류(파생결합사채-주가연계파생결합사채)</t>
        </is>
      </c>
      <c r="F10573" s="3" t="inlineStr">
        <is>
          <t>NH투자증권</t>
        </is>
      </c>
      <c r="G10573" s="2" t="inlineStr">
        <is>
          <t>20260610000146</t>
        </is>
      </c>
      <c r="H10573" s="8">
        <f>HYPERLINK("https://dart.fss.or.kr/dsaf001/main.do?rcpNo=20260610000146", "공시열람")</f>
        <v/>
      </c>
    </row>
    <row r="10574">
      <c r="A10574" s="2" t="inlineStr">
        <is>
          <t>2026-06-10</t>
        </is>
      </c>
      <c r="B10574" s="3" t="inlineStr">
        <is>
          <t>이지스밸류플러스리츠</t>
        </is>
      </c>
      <c r="C10574" s="2" t="inlineStr">
        <is>
          <t>코스피</t>
        </is>
      </c>
      <c r="D10574" s="2" t="inlineStr">
        <is>
          <t>334890</t>
        </is>
      </c>
      <c r="E10574" s="3" t="inlineStr">
        <is>
          <t>임원ㆍ주요주주특정증권등소유상황보고서</t>
        </is>
      </c>
      <c r="F10574" s="3" t="inlineStr">
        <is>
          <t>코람코자산운용</t>
        </is>
      </c>
      <c r="G10574" s="2" t="inlineStr">
        <is>
          <t>20260610000145</t>
        </is>
      </c>
      <c r="H10574" s="8">
        <f>HYPERLINK("https://dart.fss.or.kr/dsaf001/main.do?rcpNo=20260610000145", "공시열람")</f>
        <v/>
      </c>
    </row>
    <row r="10575">
      <c r="A10575" s="2" t="inlineStr">
        <is>
          <t>2026-06-10</t>
        </is>
      </c>
      <c r="B10575" s="3" t="inlineStr">
        <is>
          <t>삼성증권</t>
        </is>
      </c>
      <c r="C10575" s="2" t="inlineStr">
        <is>
          <t>코스피</t>
        </is>
      </c>
      <c r="D10575" s="2" t="inlineStr">
        <is>
          <t>016360</t>
        </is>
      </c>
      <c r="E10575" s="3" t="inlineStr">
        <is>
          <t>일괄신고추가서류(파생결합증권-주가연계증권)</t>
        </is>
      </c>
      <c r="F10575" s="3" t="inlineStr">
        <is>
          <t>삼성증권</t>
        </is>
      </c>
      <c r="G10575" s="2" t="inlineStr">
        <is>
          <t>20260610000143</t>
        </is>
      </c>
      <c r="H10575" s="8">
        <f>HYPERLINK("https://dart.fss.or.kr/dsaf001/main.do?rcpNo=20260610000143", "공시열람")</f>
        <v/>
      </c>
    </row>
    <row r="10576">
      <c r="A10576" s="2" t="inlineStr">
        <is>
          <t>2026-06-10</t>
        </is>
      </c>
      <c r="B10576" s="3" t="inlineStr">
        <is>
          <t>솔트웨어</t>
        </is>
      </c>
      <c r="C10576" s="2" t="inlineStr">
        <is>
          <t>코스닥</t>
        </is>
      </c>
      <c r="D10576" s="2" t="inlineStr">
        <is>
          <t>328380</t>
        </is>
      </c>
      <c r="E10576" s="3" t="inlineStr">
        <is>
          <t>임원ㆍ주요주주특정증권등소유상황보고서</t>
        </is>
      </c>
      <c r="F10576" s="3" t="inlineStr">
        <is>
          <t>이정근</t>
        </is>
      </c>
      <c r="G10576" s="2" t="inlineStr">
        <is>
          <t>20260610000141</t>
        </is>
      </c>
      <c r="H10576" s="8">
        <f>HYPERLINK("https://dart.fss.or.kr/dsaf001/main.do?rcpNo=20260610000141", "공시열람")</f>
        <v/>
      </c>
    </row>
    <row r="10577">
      <c r="A10577" s="2" t="inlineStr">
        <is>
          <t>2026-06-10</t>
        </is>
      </c>
      <c r="B10577" s="3" t="inlineStr">
        <is>
          <t>미래에셋증권</t>
        </is>
      </c>
      <c r="C10577" s="2" t="inlineStr">
        <is>
          <t>코스피</t>
        </is>
      </c>
      <c r="D10577" s="2" t="inlineStr">
        <is>
          <t>006800</t>
        </is>
      </c>
      <c r="E10577" s="3" t="inlineStr">
        <is>
          <t>투자설명서(일괄신고)</t>
        </is>
      </c>
      <c r="F10577" s="3" t="inlineStr">
        <is>
          <t>미래에셋증권</t>
        </is>
      </c>
      <c r="G10577" s="2" t="inlineStr">
        <is>
          <t>20260610000134</t>
        </is>
      </c>
      <c r="H10577" s="8">
        <f>HYPERLINK("https://dart.fss.or.kr/dsaf001/main.do?rcpNo=20260610000134", "공시열람")</f>
        <v/>
      </c>
    </row>
    <row r="10578">
      <c r="A10578" s="2" t="inlineStr">
        <is>
          <t>2026-06-10</t>
        </is>
      </c>
      <c r="B10578" s="3" t="inlineStr">
        <is>
          <t>KG스틸</t>
        </is>
      </c>
      <c r="C10578" s="2" t="inlineStr">
        <is>
          <t>코스피</t>
        </is>
      </c>
      <c r="D10578" s="2" t="inlineStr">
        <is>
          <t>016380</t>
        </is>
      </c>
      <c r="E10578" s="3" t="inlineStr">
        <is>
          <t>임원ㆍ주요주주특정증권등소유상황보고서</t>
        </is>
      </c>
      <c r="F10578" s="3" t="inlineStr">
        <is>
          <t>곽정현</t>
        </is>
      </c>
      <c r="G10578" s="2" t="inlineStr">
        <is>
          <t>20260610000133</t>
        </is>
      </c>
      <c r="H10578" s="8">
        <f>HYPERLINK("https://dart.fss.or.kr/dsaf001/main.do?rcpNo=20260610000133", "공시열람")</f>
        <v/>
      </c>
    </row>
    <row r="10579">
      <c r="A10579" s="2" t="inlineStr">
        <is>
          <t>2026-06-10</t>
        </is>
      </c>
      <c r="B10579" s="3" t="inlineStr">
        <is>
          <t>DB증권</t>
        </is>
      </c>
      <c r="C10579" s="2" t="inlineStr">
        <is>
          <t>코스피</t>
        </is>
      </c>
      <c r="D10579" s="2" t="inlineStr">
        <is>
          <t>016610</t>
        </is>
      </c>
      <c r="E10579" s="3" t="inlineStr">
        <is>
          <t>일괄신고추가서류(기타파생결합증권)</t>
        </is>
      </c>
      <c r="F10579" s="3" t="inlineStr">
        <is>
          <t>DB증권</t>
        </is>
      </c>
      <c r="G10579" s="2" t="inlineStr">
        <is>
          <t>20260610000129</t>
        </is>
      </c>
      <c r="H10579" s="8">
        <f>HYPERLINK("https://dart.fss.or.kr/dsaf001/main.do?rcpNo=20260610000129", "공시열람")</f>
        <v/>
      </c>
    </row>
    <row r="10580">
      <c r="A10580" s="2" t="inlineStr">
        <is>
          <t>2026-06-10</t>
        </is>
      </c>
      <c r="B10580" s="3" t="inlineStr">
        <is>
          <t>현대건설</t>
        </is>
      </c>
      <c r="C10580" s="2" t="inlineStr">
        <is>
          <t>코스피</t>
        </is>
      </c>
      <c r="D10580" s="2" t="inlineStr">
        <is>
          <t>000720</t>
        </is>
      </c>
      <c r="E10580" s="3" t="inlineStr">
        <is>
          <t>임원ㆍ주요주주특정증권등소유상황보고서</t>
        </is>
      </c>
      <c r="F10580" s="3" t="inlineStr">
        <is>
          <t>이한우</t>
        </is>
      </c>
      <c r="G10580" s="2" t="inlineStr">
        <is>
          <t>20260610000127</t>
        </is>
      </c>
      <c r="H10580" s="8">
        <f>HYPERLINK("https://dart.fss.or.kr/dsaf001/main.do?rcpNo=20260610000127", "공시열람")</f>
        <v/>
      </c>
    </row>
    <row r="10581">
      <c r="A10581" s="2" t="inlineStr">
        <is>
          <t>2026-06-10</t>
        </is>
      </c>
      <c r="B10581" s="3" t="inlineStr">
        <is>
          <t>DB증권</t>
        </is>
      </c>
      <c r="C10581" s="2" t="inlineStr">
        <is>
          <t>코스피</t>
        </is>
      </c>
      <c r="D10581" s="2" t="inlineStr">
        <is>
          <t>016610</t>
        </is>
      </c>
      <c r="E10581" s="3" t="inlineStr">
        <is>
          <t>일괄신고추가서류(파생결합증권-주가연계증권)</t>
        </is>
      </c>
      <c r="F10581" s="3" t="inlineStr">
        <is>
          <t>DB증권</t>
        </is>
      </c>
      <c r="G10581" s="2" t="inlineStr">
        <is>
          <t>20260610000125</t>
        </is>
      </c>
      <c r="H10581" s="8">
        <f>HYPERLINK("https://dart.fss.or.kr/dsaf001/main.do?rcpNo=20260610000125", "공시열람")</f>
        <v/>
      </c>
    </row>
    <row r="10582">
      <c r="A10582" s="2" t="inlineStr">
        <is>
          <t>2026-06-10</t>
        </is>
      </c>
      <c r="B10582" s="3" t="inlineStr">
        <is>
          <t>앤씨앤</t>
        </is>
      </c>
      <c r="C10582" s="2" t="inlineStr">
        <is>
          <t>코스닥</t>
        </is>
      </c>
      <c r="D10582" s="2" t="inlineStr">
        <is>
          <t>092600</t>
        </is>
      </c>
      <c r="E10582" s="3" t="inlineStr">
        <is>
          <t>임원ㆍ주요주주특정증권등소유상황보고서</t>
        </is>
      </c>
      <c r="F10582" s="3" t="inlineStr">
        <is>
          <t>최종현</t>
        </is>
      </c>
      <c r="G10582" s="2" t="inlineStr">
        <is>
          <t>20260610000124</t>
        </is>
      </c>
      <c r="H10582" s="8">
        <f>HYPERLINK("https://dart.fss.or.kr/dsaf001/main.do?rcpNo=20260610000124", "공시열람")</f>
        <v/>
      </c>
    </row>
    <row r="10583">
      <c r="A10583" s="2" t="inlineStr">
        <is>
          <t>2026-06-10</t>
        </is>
      </c>
      <c r="B10583" s="3" t="inlineStr">
        <is>
          <t>SAMG엔터</t>
        </is>
      </c>
      <c r="C10583" s="2" t="inlineStr">
        <is>
          <t>코스닥</t>
        </is>
      </c>
      <c r="D10583" s="2" t="inlineStr">
        <is>
          <t>419530</t>
        </is>
      </c>
      <c r="E10583" s="3" t="inlineStr">
        <is>
          <t>임원ㆍ주요주주특정증권등소유상황보고서</t>
        </is>
      </c>
      <c r="F10583" s="3" t="inlineStr">
        <is>
          <t>김수훈</t>
        </is>
      </c>
      <c r="G10583" s="2" t="inlineStr">
        <is>
          <t>20260610000123</t>
        </is>
      </c>
      <c r="H10583" s="8">
        <f>HYPERLINK("https://dart.fss.or.kr/dsaf001/main.do?rcpNo=20260610000123", "공시열람")</f>
        <v/>
      </c>
    </row>
    <row r="10584">
      <c r="A10584" s="2" t="inlineStr">
        <is>
          <t>2026-06-10</t>
        </is>
      </c>
      <c r="B10584" s="3" t="inlineStr">
        <is>
          <t>교보증권</t>
        </is>
      </c>
      <c r="C10584" s="2" t="inlineStr">
        <is>
          <t>코스피</t>
        </is>
      </c>
      <c r="D10584" s="2" t="inlineStr">
        <is>
          <t>030610</t>
        </is>
      </c>
      <c r="E10584" s="3" t="inlineStr">
        <is>
          <t>일괄신고추가서류(파생결합사채-주가연계파생결합사채)</t>
        </is>
      </c>
      <c r="F10584" s="3" t="inlineStr">
        <is>
          <t>교보증권</t>
        </is>
      </c>
      <c r="G10584" s="2" t="inlineStr">
        <is>
          <t>20260610000122</t>
        </is>
      </c>
      <c r="H10584" s="8">
        <f>HYPERLINK("https://dart.fss.or.kr/dsaf001/main.do?rcpNo=20260610000122", "공시열람")</f>
        <v/>
      </c>
    </row>
    <row r="10585">
      <c r="A10585" s="2" t="inlineStr">
        <is>
          <t>2026-06-10</t>
        </is>
      </c>
      <c r="B10585" s="3" t="inlineStr">
        <is>
          <t>KG스틸</t>
        </is>
      </c>
      <c r="C10585" s="2" t="inlineStr">
        <is>
          <t>코스피</t>
        </is>
      </c>
      <c r="D10585" s="2" t="inlineStr">
        <is>
          <t>016380</t>
        </is>
      </c>
      <c r="E10585" s="3" t="inlineStr">
        <is>
          <t>임원ㆍ주요주주특정증권등소유상황보고서</t>
        </is>
      </c>
      <c r="F10585" s="3" t="inlineStr">
        <is>
          <t>곽재선</t>
        </is>
      </c>
      <c r="G10585" s="2" t="inlineStr">
        <is>
          <t>20260610000120</t>
        </is>
      </c>
      <c r="H10585" s="8">
        <f>HYPERLINK("https://dart.fss.or.kr/dsaf001/main.do?rcpNo=20260610000120", "공시열람")</f>
        <v/>
      </c>
    </row>
    <row r="10586">
      <c r="A10586" s="2" t="inlineStr">
        <is>
          <t>2026-06-10</t>
        </is>
      </c>
      <c r="B10586" s="3" t="inlineStr">
        <is>
          <t>미래에셋증권</t>
        </is>
      </c>
      <c r="C10586" s="2" t="inlineStr">
        <is>
          <t>코스피</t>
        </is>
      </c>
      <c r="D10586" s="2" t="inlineStr">
        <is>
          <t>006800</t>
        </is>
      </c>
      <c r="E10586" s="3" t="inlineStr">
        <is>
          <t>일괄신고추가서류(파생결합사채-주가연계파생결합사채)</t>
        </is>
      </c>
      <c r="F10586" s="3" t="inlineStr">
        <is>
          <t>미래에셋증권</t>
        </is>
      </c>
      <c r="G10586" s="2" t="inlineStr">
        <is>
          <t>20260610000119</t>
        </is>
      </c>
      <c r="H10586" s="8">
        <f>HYPERLINK("https://dart.fss.or.kr/dsaf001/main.do?rcpNo=20260610000119", "공시열람")</f>
        <v/>
      </c>
    </row>
    <row r="10587">
      <c r="A10587" s="2" t="inlineStr">
        <is>
          <t>2026-06-10</t>
        </is>
      </c>
      <c r="B10587" s="3" t="inlineStr">
        <is>
          <t>페스카로</t>
        </is>
      </c>
      <c r="C10587" s="2" t="inlineStr">
        <is>
          <t>코스닥</t>
        </is>
      </c>
      <c r="D10587" s="2" t="inlineStr">
        <is>
          <t>0015S0</t>
        </is>
      </c>
      <c r="E10587" s="3" t="inlineStr">
        <is>
          <t>[기재정정]임원ㆍ주요주주특정증권등소유상황보고서</t>
        </is>
      </c>
      <c r="F10587" s="3" t="inlineStr">
        <is>
          <t>진학성</t>
        </is>
      </c>
      <c r="G10587" s="2" t="inlineStr">
        <is>
          <t>20260610000118</t>
        </is>
      </c>
      <c r="H10587" s="8">
        <f>HYPERLINK("https://dart.fss.or.kr/dsaf001/main.do?rcpNo=20260610000118", "공시열람")</f>
        <v/>
      </c>
    </row>
    <row r="10588">
      <c r="A10588" s="2" t="inlineStr">
        <is>
          <t>2026-06-10</t>
        </is>
      </c>
      <c r="B10588" s="3" t="inlineStr">
        <is>
          <t>페스카로</t>
        </is>
      </c>
      <c r="C10588" s="2" t="inlineStr">
        <is>
          <t>코스닥</t>
        </is>
      </c>
      <c r="D10588" s="2" t="inlineStr">
        <is>
          <t>0015S0</t>
        </is>
      </c>
      <c r="E10588" s="3" t="inlineStr">
        <is>
          <t>[기재정정]임원ㆍ주요주주특정증권등소유상황보고서</t>
        </is>
      </c>
      <c r="F10588" s="3" t="inlineStr">
        <is>
          <t>정재욱</t>
        </is>
      </c>
      <c r="G10588" s="2" t="inlineStr">
        <is>
          <t>20260610000115</t>
        </is>
      </c>
      <c r="H10588" s="8">
        <f>HYPERLINK("https://dart.fss.or.kr/dsaf001/main.do?rcpNo=20260610000115", "공시열람")</f>
        <v/>
      </c>
    </row>
    <row r="10589">
      <c r="A10589" s="2" t="inlineStr">
        <is>
          <t>2026-06-10</t>
        </is>
      </c>
      <c r="B10589" s="3" t="inlineStr">
        <is>
          <t>엠에프씨</t>
        </is>
      </c>
      <c r="C10589" s="2" t="inlineStr">
        <is>
          <t>코스닥</t>
        </is>
      </c>
      <c r="D10589" s="2" t="inlineStr">
        <is>
          <t>432980</t>
        </is>
      </c>
      <c r="E10589" s="3" t="inlineStr">
        <is>
          <t>임원ㆍ주요주주특정증권등소유상황보고서</t>
        </is>
      </c>
      <c r="F10589" s="3" t="inlineStr">
        <is>
          <t>홍문기</t>
        </is>
      </c>
      <c r="G10589" s="2" t="inlineStr">
        <is>
          <t>20260610000114</t>
        </is>
      </c>
      <c r="H10589" s="8">
        <f>HYPERLINK("https://dart.fss.or.kr/dsaf001/main.do?rcpNo=20260610000114", "공시열람")</f>
        <v/>
      </c>
    </row>
    <row r="10590">
      <c r="A10590" s="2" t="inlineStr">
        <is>
          <t>2026-06-10</t>
        </is>
      </c>
      <c r="B10590" s="3" t="inlineStr">
        <is>
          <t>티에스아이</t>
        </is>
      </c>
      <c r="C10590" s="2" t="inlineStr">
        <is>
          <t>코스닥</t>
        </is>
      </c>
      <c r="D10590" s="2" t="inlineStr">
        <is>
          <t>277880</t>
        </is>
      </c>
      <c r="E10590" s="3" t="inlineStr">
        <is>
          <t>의결권대리행사권유참고서류</t>
        </is>
      </c>
      <c r="F10590" s="3" t="inlineStr">
        <is>
          <t>티에스아이</t>
        </is>
      </c>
      <c r="G10590" s="2" t="inlineStr">
        <is>
          <t>20260610000112</t>
        </is>
      </c>
      <c r="H10590" s="8">
        <f>HYPERLINK("https://dart.fss.or.kr/dsaf001/main.do?rcpNo=20260610000112", "공시열람")</f>
        <v/>
      </c>
    </row>
    <row r="10591">
      <c r="A10591" s="2" t="inlineStr">
        <is>
          <t>2026-06-10</t>
        </is>
      </c>
      <c r="B10591" s="3" t="inlineStr">
        <is>
          <t>페스카로</t>
        </is>
      </c>
      <c r="C10591" s="2" t="inlineStr">
        <is>
          <t>코스닥</t>
        </is>
      </c>
      <c r="D10591" s="2" t="inlineStr">
        <is>
          <t>0015S0</t>
        </is>
      </c>
      <c r="E10591" s="3" t="inlineStr">
        <is>
          <t>[기재정정]임원ㆍ주요주주특정증권등소유상황보고서</t>
        </is>
      </c>
      <c r="F10591" s="3" t="inlineStr">
        <is>
          <t>이영탁</t>
        </is>
      </c>
      <c r="G10591" s="2" t="inlineStr">
        <is>
          <t>20260610000109</t>
        </is>
      </c>
      <c r="H10591" s="8">
        <f>HYPERLINK("https://dart.fss.or.kr/dsaf001/main.do?rcpNo=20260610000109", "공시열람")</f>
        <v/>
      </c>
    </row>
    <row r="10592">
      <c r="A10592" s="2" t="inlineStr">
        <is>
          <t>2026-06-10</t>
        </is>
      </c>
      <c r="B10592" s="3" t="inlineStr">
        <is>
          <t>페스카로</t>
        </is>
      </c>
      <c r="C10592" s="2" t="inlineStr">
        <is>
          <t>코스닥</t>
        </is>
      </c>
      <c r="D10592" s="2" t="inlineStr">
        <is>
          <t>0015S0</t>
        </is>
      </c>
      <c r="E10592" s="3" t="inlineStr">
        <is>
          <t>[기재정정]임원ㆍ주요주주특정증권등소유상황보고서</t>
        </is>
      </c>
      <c r="F10592" s="3" t="inlineStr">
        <is>
          <t>구성서</t>
        </is>
      </c>
      <c r="G10592" s="2" t="inlineStr">
        <is>
          <t>20260610000107</t>
        </is>
      </c>
      <c r="H10592" s="8">
        <f>HYPERLINK("https://dart.fss.or.kr/dsaf001/main.do?rcpNo=20260610000107", "공시열람")</f>
        <v/>
      </c>
    </row>
    <row r="10593">
      <c r="A10593" s="2" t="inlineStr">
        <is>
          <t>2026-06-10</t>
        </is>
      </c>
      <c r="B10593" s="3" t="inlineStr">
        <is>
          <t>인바이오</t>
        </is>
      </c>
      <c r="C10593" s="2" t="inlineStr">
        <is>
          <t>코스닥</t>
        </is>
      </c>
      <c r="D10593" s="2" t="inlineStr">
        <is>
          <t>352940</t>
        </is>
      </c>
      <c r="E10593" s="3" t="inlineStr">
        <is>
          <t>임원ㆍ주요주주특정증권등소유상황보고서</t>
        </is>
      </c>
      <c r="F10593" s="3" t="inlineStr">
        <is>
          <t>이혁재</t>
        </is>
      </c>
      <c r="G10593" s="2" t="inlineStr">
        <is>
          <t>20260610000105</t>
        </is>
      </c>
      <c r="H10593" s="8">
        <f>HYPERLINK("https://dart.fss.or.kr/dsaf001/main.do?rcpNo=20260610000105", "공시열람")</f>
        <v/>
      </c>
    </row>
    <row r="10594">
      <c r="A10594" s="2" t="inlineStr">
        <is>
          <t>2026-06-10</t>
        </is>
      </c>
      <c r="B10594" s="3" t="inlineStr">
        <is>
          <t>에스와이</t>
        </is>
      </c>
      <c r="C10594" s="2" t="inlineStr">
        <is>
          <t>코스닥</t>
        </is>
      </c>
      <c r="D10594" s="2" t="inlineStr">
        <is>
          <t>109610</t>
        </is>
      </c>
      <c r="E10594" s="3" t="inlineStr">
        <is>
          <t>임원ㆍ주요주주특정증권등소유상황보고서</t>
        </is>
      </c>
      <c r="F10594" s="3" t="inlineStr">
        <is>
          <t>홍성부</t>
        </is>
      </c>
      <c r="G10594" s="2" t="inlineStr">
        <is>
          <t>20260610000097</t>
        </is>
      </c>
      <c r="H10594" s="8">
        <f>HYPERLINK("https://dart.fss.or.kr/dsaf001/main.do?rcpNo=20260610000097", "공시열람")</f>
        <v/>
      </c>
    </row>
    <row r="10595">
      <c r="A10595" s="2" t="inlineStr">
        <is>
          <t>2026-06-10</t>
        </is>
      </c>
      <c r="B10595" s="3" t="inlineStr">
        <is>
          <t>하이트진로</t>
        </is>
      </c>
      <c r="C10595" s="2" t="inlineStr">
        <is>
          <t>코스피</t>
        </is>
      </c>
      <c r="D10595" s="2" t="inlineStr">
        <is>
          <t>000080</t>
        </is>
      </c>
      <c r="E10595" s="3" t="inlineStr">
        <is>
          <t>임원ㆍ주요주주특정증권등소유상황보고서</t>
        </is>
      </c>
      <c r="F10595" s="3" t="inlineStr">
        <is>
          <t>이재복</t>
        </is>
      </c>
      <c r="G10595" s="2" t="inlineStr">
        <is>
          <t>20260610000094</t>
        </is>
      </c>
      <c r="H10595" s="8">
        <f>HYPERLINK("https://dart.fss.or.kr/dsaf001/main.do?rcpNo=20260610000094", "공시열람")</f>
        <v/>
      </c>
    </row>
    <row r="10596">
      <c r="A10596" s="2" t="inlineStr">
        <is>
          <t>2026-06-10</t>
        </is>
      </c>
      <c r="B10596" s="3" t="inlineStr">
        <is>
          <t>와이바이오로직스</t>
        </is>
      </c>
      <c r="C10596" s="2" t="inlineStr">
        <is>
          <t>코스닥</t>
        </is>
      </c>
      <c r="D10596" s="2" t="inlineStr">
        <is>
          <t>338840</t>
        </is>
      </c>
      <c r="E10596" s="3" t="inlineStr">
        <is>
          <t>임원ㆍ주요주주특정증권등소유상황보고서</t>
        </is>
      </c>
      <c r="F10596" s="3" t="inlineStr">
        <is>
          <t>박영우</t>
        </is>
      </c>
      <c r="G10596" s="2" t="inlineStr">
        <is>
          <t>20260610000087</t>
        </is>
      </c>
      <c r="H10596" s="8">
        <f>HYPERLINK("https://dart.fss.or.kr/dsaf001/main.do?rcpNo=20260610000087", "공시열람")</f>
        <v/>
      </c>
    </row>
    <row r="10597">
      <c r="A10597" s="2" t="inlineStr">
        <is>
          <t>2026-06-10</t>
        </is>
      </c>
      <c r="B10597" s="3" t="inlineStr">
        <is>
          <t>풍원정밀</t>
        </is>
      </c>
      <c r="C10597" s="2" t="inlineStr">
        <is>
          <t>코스닥</t>
        </is>
      </c>
      <c r="D10597" s="2" t="inlineStr">
        <is>
          <t>371950</t>
        </is>
      </c>
      <c r="E10597" s="3" t="inlineStr">
        <is>
          <t xml:space="preserve">자산재평가결과(자율공시)              </t>
        </is>
      </c>
      <c r="F10597" s="3" t="inlineStr">
        <is>
          <t>풍원정밀</t>
        </is>
      </c>
      <c r="G10597" s="2" t="inlineStr">
        <is>
          <t>20260610900195</t>
        </is>
      </c>
      <c r="H10597" s="8">
        <f>HYPERLINK("https://dart.fss.or.kr/dsaf001/main.do?rcpNo=20260610900195", "공시열람")</f>
        <v/>
      </c>
    </row>
    <row r="10598">
      <c r="A10598" s="2" t="inlineStr">
        <is>
          <t>2026-06-10</t>
        </is>
      </c>
      <c r="B10598" s="3" t="inlineStr">
        <is>
          <t>한화에어로스페이스</t>
        </is>
      </c>
      <c r="C10598" s="2" t="inlineStr">
        <is>
          <t>코스피</t>
        </is>
      </c>
      <c r="D10598" s="2" t="inlineStr">
        <is>
          <t>012450</t>
        </is>
      </c>
      <c r="E10598" s="3" t="inlineStr">
        <is>
          <t xml:space="preserve">풍문또는보도에대한해명              </t>
        </is>
      </c>
      <c r="F10598" s="3" t="inlineStr">
        <is>
          <t>한화에어로스페이스</t>
        </is>
      </c>
      <c r="G10598" s="2" t="inlineStr">
        <is>
          <t>20260610800192</t>
        </is>
      </c>
      <c r="H10598" s="8">
        <f>HYPERLINK("https://dart.fss.or.kr/dsaf001/main.do?rcpNo=20260610800192", "공시열람")</f>
        <v/>
      </c>
    </row>
    <row r="10599">
      <c r="A10599" s="2" t="inlineStr">
        <is>
          <t>2026-06-10</t>
        </is>
      </c>
      <c r="B10599" s="3" t="inlineStr">
        <is>
          <t>한화엔진</t>
        </is>
      </c>
      <c r="C10599" s="2" t="inlineStr">
        <is>
          <t>코스피</t>
        </is>
      </c>
      <c r="D10599" s="2" t="inlineStr">
        <is>
          <t>082740</t>
        </is>
      </c>
      <c r="E10599" s="3" t="inlineStr">
        <is>
          <t xml:space="preserve">풍문또는보도에대한해명              </t>
        </is>
      </c>
      <c r="F10599" s="3" t="inlineStr">
        <is>
          <t>한화엔진</t>
        </is>
      </c>
      <c r="G10599" s="2" t="inlineStr">
        <is>
          <t>20260610800191</t>
        </is>
      </c>
      <c r="H10599" s="8">
        <f>HYPERLINK("https://dart.fss.or.kr/dsaf001/main.do?rcpNo=20260610800191", "공시열람")</f>
        <v/>
      </c>
    </row>
    <row r="10600">
      <c r="A10600" s="2" t="inlineStr">
        <is>
          <t>2026-06-10</t>
        </is>
      </c>
      <c r="B10600" s="3" t="inlineStr">
        <is>
          <t>코오롱인더</t>
        </is>
      </c>
      <c r="C10600" s="2" t="inlineStr">
        <is>
          <t>코스피</t>
        </is>
      </c>
      <c r="D10600" s="2" t="inlineStr">
        <is>
          <t>120110</t>
        </is>
      </c>
      <c r="E10600" s="3" t="inlineStr">
        <is>
          <t xml:space="preserve">조회공시요구(풍문또는보도)에대한답변(미확정)              </t>
        </is>
      </c>
      <c r="F10600" s="3" t="inlineStr">
        <is>
          <t>코오롱인더</t>
        </is>
      </c>
      <c r="G10600" s="2" t="inlineStr">
        <is>
          <t>20260610800182</t>
        </is>
      </c>
      <c r="H10600" s="8">
        <f>HYPERLINK("https://dart.fss.or.kr/dsaf001/main.do?rcpNo=20260610800182", "공시열람")</f>
        <v/>
      </c>
    </row>
    <row r="10601">
      <c r="A10601" s="2" t="inlineStr">
        <is>
          <t>2026-06-10</t>
        </is>
      </c>
      <c r="B10601" s="3" t="inlineStr">
        <is>
          <t>풀무원</t>
        </is>
      </c>
      <c r="C10601" s="2" t="inlineStr">
        <is>
          <t>코스피</t>
        </is>
      </c>
      <c r="D10601" s="2" t="inlineStr">
        <is>
          <t>017810</t>
        </is>
      </c>
      <c r="E10601" s="3" t="inlineStr">
        <is>
          <t>임원ㆍ주요주주특정증권등소유상황보고서</t>
        </is>
      </c>
      <c r="F10601" s="3" t="inlineStr">
        <is>
          <t>김종헌</t>
        </is>
      </c>
      <c r="G10601" s="2" t="inlineStr">
        <is>
          <t>20260610000068</t>
        </is>
      </c>
      <c r="H10601" s="8">
        <f>HYPERLINK("https://dart.fss.or.kr/dsaf001/main.do?rcpNo=20260610000068", "공시열람")</f>
        <v/>
      </c>
    </row>
    <row r="10602">
      <c r="A10602" s="2" t="inlineStr">
        <is>
          <t>2026-06-10</t>
        </is>
      </c>
      <c r="B10602" s="3" t="inlineStr">
        <is>
          <t>이지케어텍</t>
        </is>
      </c>
      <c r="C10602" s="2" t="inlineStr">
        <is>
          <t>코스닥</t>
        </is>
      </c>
      <c r="D10602" s="2" t="inlineStr">
        <is>
          <t>099750</t>
        </is>
      </c>
      <c r="E10602" s="3" t="inlineStr">
        <is>
          <t>의결권대리행사권유참고서류</t>
        </is>
      </c>
      <c r="F10602" s="3" t="inlineStr">
        <is>
          <t>이지케어텍</t>
        </is>
      </c>
      <c r="G10602" s="2" t="inlineStr">
        <is>
          <t>20260610000066</t>
        </is>
      </c>
      <c r="H10602" s="8">
        <f>HYPERLINK("https://dart.fss.or.kr/dsaf001/main.do?rcpNo=20260610000066", "공시열람")</f>
        <v/>
      </c>
    </row>
    <row r="10603">
      <c r="A10603" s="2" t="inlineStr">
        <is>
          <t>2026-06-10</t>
        </is>
      </c>
      <c r="B10603" s="3" t="inlineStr">
        <is>
          <t>예스티</t>
        </is>
      </c>
      <c r="C10603" s="2" t="inlineStr">
        <is>
          <t>코스닥</t>
        </is>
      </c>
      <c r="D10603" s="2" t="inlineStr">
        <is>
          <t>122640</t>
        </is>
      </c>
      <c r="E10603" s="3" t="inlineStr">
        <is>
          <t>임원ㆍ주요주주특정증권등소유상황보고서</t>
        </is>
      </c>
      <c r="F10603" s="3" t="inlineStr">
        <is>
          <t>장동복</t>
        </is>
      </c>
      <c r="G10603" s="2" t="inlineStr">
        <is>
          <t>20260610000062</t>
        </is>
      </c>
      <c r="H10603" s="8">
        <f>HYPERLINK("https://dart.fss.or.kr/dsaf001/main.do?rcpNo=20260610000062", "공시열람")</f>
        <v/>
      </c>
    </row>
    <row r="10604">
      <c r="A10604" s="2" t="inlineStr">
        <is>
          <t>2026-06-10</t>
        </is>
      </c>
      <c r="B10604" s="3" t="inlineStr">
        <is>
          <t>아시아나항공</t>
        </is>
      </c>
      <c r="C10604" s="2" t="inlineStr">
        <is>
          <t>코스피</t>
        </is>
      </c>
      <c r="D10604" s="2" t="inlineStr">
        <is>
          <t>020560</t>
        </is>
      </c>
      <c r="E10604" s="3" t="inlineStr">
        <is>
          <t xml:space="preserve">기업설명회(IR)개최(안내공시)              </t>
        </is>
      </c>
      <c r="F10604" s="3" t="inlineStr">
        <is>
          <t>아시아나항공</t>
        </is>
      </c>
      <c r="G10604" s="2" t="inlineStr">
        <is>
          <t>20260610800165</t>
        </is>
      </c>
      <c r="H10604" s="8">
        <f>HYPERLINK("https://dart.fss.or.kr/dsaf001/main.do?rcpNo=20260610800165", "공시열람")</f>
        <v/>
      </c>
    </row>
    <row r="10605">
      <c r="A10605" s="2" t="inlineStr">
        <is>
          <t>2026-06-10</t>
        </is>
      </c>
      <c r="B10605" s="3" t="inlineStr">
        <is>
          <t>솔트웨어</t>
        </is>
      </c>
      <c r="C10605" s="2" t="inlineStr">
        <is>
          <t>코스닥</t>
        </is>
      </c>
      <c r="D10605" s="2" t="inlineStr">
        <is>
          <t>328380</t>
        </is>
      </c>
      <c r="E10605" s="3" t="inlineStr">
        <is>
          <t>임원ㆍ주요주주특정증권등소유상황보고서</t>
        </is>
      </c>
      <c r="F10605" s="3" t="inlineStr">
        <is>
          <t>김덕호</t>
        </is>
      </c>
      <c r="G10605" s="2" t="inlineStr">
        <is>
          <t>20260610000046</t>
        </is>
      </c>
      <c r="H10605" s="8">
        <f>HYPERLINK("https://dart.fss.or.kr/dsaf001/main.do?rcpNo=20260610000046", "공시열람")</f>
        <v/>
      </c>
    </row>
    <row r="10606">
      <c r="A10606" s="2" t="inlineStr">
        <is>
          <t>2026-06-10</t>
        </is>
      </c>
      <c r="B10606" s="3" t="inlineStr">
        <is>
          <t>삼성FN리츠</t>
        </is>
      </c>
      <c r="C10606" s="2" t="inlineStr">
        <is>
          <t>코스피</t>
        </is>
      </c>
      <c r="D10606" s="2" t="inlineStr">
        <is>
          <t>448730</t>
        </is>
      </c>
      <c r="E10606" s="3" t="inlineStr">
        <is>
          <t xml:space="preserve">기타경영사항(자율공시)              </t>
        </is>
      </c>
      <c r="F10606" s="3" t="inlineStr">
        <is>
          <t>삼성FN리츠</t>
        </is>
      </c>
      <c r="G10606" s="2" t="inlineStr">
        <is>
          <t>20260610800153</t>
        </is>
      </c>
      <c r="H10606" s="8">
        <f>HYPERLINK("https://dart.fss.or.kr/dsaf001/main.do?rcpNo=20260610800153", "공시열람")</f>
        <v/>
      </c>
    </row>
    <row r="10607">
      <c r="A10607" s="2" t="inlineStr">
        <is>
          <t>2026-06-10</t>
        </is>
      </c>
      <c r="B10607" s="3" t="inlineStr">
        <is>
          <t>대한항공</t>
        </is>
      </c>
      <c r="C10607" s="2" t="inlineStr">
        <is>
          <t>코스피</t>
        </is>
      </c>
      <c r="D10607" s="2" t="inlineStr">
        <is>
          <t>003490</t>
        </is>
      </c>
      <c r="E10607" s="3" t="inlineStr">
        <is>
          <t xml:space="preserve">기업설명회(IR)개최(안내공시)              </t>
        </is>
      </c>
      <c r="F10607" s="3" t="inlineStr">
        <is>
          <t>대한항공</t>
        </is>
      </c>
      <c r="G10607" s="2" t="inlineStr">
        <is>
          <t>20260610800162</t>
        </is>
      </c>
      <c r="H10607" s="8">
        <f>HYPERLINK("https://dart.fss.or.kr/dsaf001/main.do?rcpNo=20260610800162", "공시열람")</f>
        <v/>
      </c>
    </row>
    <row r="10608">
      <c r="A10608" s="2" t="inlineStr">
        <is>
          <t>2026-06-10</t>
        </is>
      </c>
      <c r="B10608" s="3" t="inlineStr">
        <is>
          <t>페스카로</t>
        </is>
      </c>
      <c r="C10608" s="2" t="inlineStr">
        <is>
          <t>코스닥</t>
        </is>
      </c>
      <c r="D10608" s="2" t="inlineStr">
        <is>
          <t>0015S0</t>
        </is>
      </c>
      <c r="E10608" s="3" t="inlineStr">
        <is>
          <t>임원ㆍ주요주주특정증권등소유상황보고서</t>
        </is>
      </c>
      <c r="F10608" s="3" t="inlineStr">
        <is>
          <t>정재욱</t>
        </is>
      </c>
      <c r="G10608" s="2" t="inlineStr">
        <is>
          <t>20260610000039</t>
        </is>
      </c>
      <c r="H10608" s="8">
        <f>HYPERLINK("https://dart.fss.or.kr/dsaf001/main.do?rcpNo=20260610000039", "공시열람")</f>
        <v/>
      </c>
    </row>
    <row r="10609">
      <c r="A10609" s="2" t="inlineStr">
        <is>
          <t>2026-06-10</t>
        </is>
      </c>
      <c r="B10609" s="3" t="inlineStr">
        <is>
          <t>미래에셋글로벌리츠</t>
        </is>
      </c>
      <c r="C10609" s="2" t="inlineStr">
        <is>
          <t>코스피</t>
        </is>
      </c>
      <c r="D10609" s="2" t="inlineStr">
        <is>
          <t>396690</t>
        </is>
      </c>
      <c r="E10609" s="3" t="inlineStr">
        <is>
          <t>[첨부정정]의결권대리행사권유참고서류</t>
        </is>
      </c>
      <c r="F10609" s="3" t="inlineStr">
        <is>
          <t>미래에셋글로벌리츠</t>
        </is>
      </c>
      <c r="G10609" s="2" t="inlineStr">
        <is>
          <t>20260610000037</t>
        </is>
      </c>
      <c r="H10609" s="8">
        <f>HYPERLINK("https://dart.fss.or.kr/dsaf001/main.do?rcpNo=20260610000037", "공시열람")</f>
        <v/>
      </c>
    </row>
    <row r="10610">
      <c r="A10610" s="2" t="inlineStr">
        <is>
          <t>2026-06-10</t>
        </is>
      </c>
      <c r="B10610" s="3" t="inlineStr">
        <is>
          <t>대한항공</t>
        </is>
      </c>
      <c r="C10610" s="2" t="inlineStr">
        <is>
          <t>코스피</t>
        </is>
      </c>
      <c r="D10610" s="2" t="inlineStr">
        <is>
          <t>003490</t>
        </is>
      </c>
      <c r="E10610" s="3" t="inlineStr">
        <is>
          <t xml:space="preserve">기업설명회(IR)개최(안내공시)              </t>
        </is>
      </c>
      <c r="F10610" s="3" t="inlineStr">
        <is>
          <t>대한항공</t>
        </is>
      </c>
      <c r="G10610" s="2" t="inlineStr">
        <is>
          <t>20260610800158</t>
        </is>
      </c>
      <c r="H10610" s="8">
        <f>HYPERLINK("https://dart.fss.or.kr/dsaf001/main.do?rcpNo=20260610800158", "공시열람")</f>
        <v/>
      </c>
    </row>
    <row r="10611">
      <c r="A10611" s="2" t="inlineStr">
        <is>
          <t>2026-06-10</t>
        </is>
      </c>
      <c r="B10611" s="3" t="inlineStr">
        <is>
          <t>페스카로</t>
        </is>
      </c>
      <c r="C10611" s="2" t="inlineStr">
        <is>
          <t>코스닥</t>
        </is>
      </c>
      <c r="D10611" s="2" t="inlineStr">
        <is>
          <t>0015S0</t>
        </is>
      </c>
      <c r="E10611" s="3" t="inlineStr">
        <is>
          <t>임원ㆍ주요주주특정증권등소유상황보고서</t>
        </is>
      </c>
      <c r="F10611" s="3" t="inlineStr">
        <is>
          <t>진학성</t>
        </is>
      </c>
      <c r="G10611" s="2" t="inlineStr">
        <is>
          <t>20260610000034</t>
        </is>
      </c>
      <c r="H10611" s="8">
        <f>HYPERLINK("https://dart.fss.or.kr/dsaf001/main.do?rcpNo=20260610000034", "공시열람")</f>
        <v/>
      </c>
    </row>
    <row r="10612">
      <c r="A10612" s="2" t="inlineStr">
        <is>
          <t>2026-06-10</t>
        </is>
      </c>
      <c r="B10612" s="3" t="inlineStr">
        <is>
          <t>젬백스</t>
        </is>
      </c>
      <c r="C10612" s="2" t="inlineStr">
        <is>
          <t>코스닥</t>
        </is>
      </c>
      <c r="D10612" s="2" t="inlineStr">
        <is>
          <t>082270</t>
        </is>
      </c>
      <c r="E10612" s="3" t="inlineStr">
        <is>
          <t xml:space="preserve">기업설명회(IR)개최              </t>
        </is>
      </c>
      <c r="F10612" s="3" t="inlineStr">
        <is>
          <t>젬백스</t>
        </is>
      </c>
      <c r="G10612" s="2" t="inlineStr">
        <is>
          <t>20260610900155</t>
        </is>
      </c>
      <c r="H10612" s="8">
        <f>HYPERLINK("https://dart.fss.or.kr/dsaf001/main.do?rcpNo=20260610900155", "공시열람")</f>
        <v/>
      </c>
    </row>
    <row r="10613">
      <c r="A10613" s="2" t="inlineStr">
        <is>
          <t>2026-06-10</t>
        </is>
      </c>
      <c r="B10613" s="3" t="inlineStr">
        <is>
          <t>페스카로</t>
        </is>
      </c>
      <c r="C10613" s="2" t="inlineStr">
        <is>
          <t>코스닥</t>
        </is>
      </c>
      <c r="D10613" s="2" t="inlineStr">
        <is>
          <t>0015S0</t>
        </is>
      </c>
      <c r="E10613" s="3" t="inlineStr">
        <is>
          <t>임원ㆍ주요주주특정증권등소유상황보고서</t>
        </is>
      </c>
      <c r="F10613" s="3" t="inlineStr">
        <is>
          <t>이영탁</t>
        </is>
      </c>
      <c r="G10613" s="2" t="inlineStr">
        <is>
          <t>20260610000033</t>
        </is>
      </c>
      <c r="H10613" s="8">
        <f>HYPERLINK("https://dart.fss.or.kr/dsaf001/main.do?rcpNo=20260610000033", "공시열람")</f>
        <v/>
      </c>
    </row>
    <row r="10614">
      <c r="A10614" s="2" t="inlineStr">
        <is>
          <t>2026-06-10</t>
        </is>
      </c>
      <c r="B10614" s="3" t="inlineStr">
        <is>
          <t>페스카로</t>
        </is>
      </c>
      <c r="C10614" s="2" t="inlineStr">
        <is>
          <t>코스닥</t>
        </is>
      </c>
      <c r="D10614" s="2" t="inlineStr">
        <is>
          <t>0015S0</t>
        </is>
      </c>
      <c r="E10614" s="3" t="inlineStr">
        <is>
          <t>임원ㆍ주요주주특정증권등소유상황보고서</t>
        </is>
      </c>
      <c r="F10614" s="3" t="inlineStr">
        <is>
          <t>구성서</t>
        </is>
      </c>
      <c r="G10614" s="2" t="inlineStr">
        <is>
          <t>20260610000032</t>
        </is>
      </c>
      <c r="H10614" s="8">
        <f>HYPERLINK("https://dart.fss.or.kr/dsaf001/main.do?rcpNo=20260610000032", "공시열람")</f>
        <v/>
      </c>
    </row>
    <row r="10615">
      <c r="A10615" s="2" t="inlineStr">
        <is>
          <t>2026-06-10</t>
        </is>
      </c>
      <c r="B10615" s="3" t="inlineStr">
        <is>
          <t>엠앤씨솔루션</t>
        </is>
      </c>
      <c r="C10615" s="2" t="inlineStr">
        <is>
          <t>코스피</t>
        </is>
      </c>
      <c r="D10615" s="2" t="inlineStr">
        <is>
          <t>484870</t>
        </is>
      </c>
      <c r="E10615" s="3" t="inlineStr">
        <is>
          <t>의결권대리행사권유참고서류</t>
        </is>
      </c>
      <c r="F10615" s="3" t="inlineStr">
        <is>
          <t>엠앤씨솔루션</t>
        </is>
      </c>
      <c r="G10615" s="2" t="inlineStr">
        <is>
          <t>20260610000031</t>
        </is>
      </c>
      <c r="H10615" s="8">
        <f>HYPERLINK("https://dart.fss.or.kr/dsaf001/main.do?rcpNo=20260610000031", "공시열람")</f>
        <v/>
      </c>
    </row>
    <row r="10616">
      <c r="A10616" s="2" t="inlineStr">
        <is>
          <t>2026-06-10</t>
        </is>
      </c>
      <c r="B10616" s="3" t="inlineStr">
        <is>
          <t>교보증권</t>
        </is>
      </c>
      <c r="C10616" s="2" t="inlineStr">
        <is>
          <t>코스피</t>
        </is>
      </c>
      <c r="D10616" s="2" t="inlineStr">
        <is>
          <t>030610</t>
        </is>
      </c>
      <c r="E10616" s="3" t="inlineStr">
        <is>
          <t>투자설명서(일괄신고)</t>
        </is>
      </c>
      <c r="F10616" s="3" t="inlineStr">
        <is>
          <t>교보증권</t>
        </is>
      </c>
      <c r="G10616" s="2" t="inlineStr">
        <is>
          <t>20260610000025</t>
        </is>
      </c>
      <c r="H10616" s="8">
        <f>HYPERLINK("https://dart.fss.or.kr/dsaf001/main.do?rcpNo=20260610000025", "공시열람")</f>
        <v/>
      </c>
    </row>
    <row r="10617">
      <c r="A10617" s="2" t="inlineStr">
        <is>
          <t>2026-06-10</t>
        </is>
      </c>
      <c r="B10617" s="3" t="inlineStr">
        <is>
          <t>KB금융</t>
        </is>
      </c>
      <c r="C10617" s="2" t="inlineStr">
        <is>
          <t>코스피</t>
        </is>
      </c>
      <c r="D10617" s="2" t="inlineStr">
        <is>
          <t>105560</t>
        </is>
      </c>
      <c r="E10617" s="3" t="inlineStr">
        <is>
          <t>임원ㆍ주요주주특정증권등소유상황보고서</t>
        </is>
      </c>
      <c r="F10617" s="3" t="inlineStr">
        <is>
          <t>오상원</t>
        </is>
      </c>
      <c r="G10617" s="2" t="inlineStr">
        <is>
          <t>20260610000024</t>
        </is>
      </c>
      <c r="H10617" s="8">
        <f>HYPERLINK("https://dart.fss.or.kr/dsaf001/main.do?rcpNo=20260610000024", "공시열람")</f>
        <v/>
      </c>
    </row>
    <row r="10618">
      <c r="A10618" s="2" t="inlineStr">
        <is>
          <t>2026-06-10</t>
        </is>
      </c>
      <c r="B10618" s="3" t="inlineStr">
        <is>
          <t>삼천당제약</t>
        </is>
      </c>
      <c r="C10618" s="2" t="inlineStr">
        <is>
          <t>코스닥</t>
        </is>
      </c>
      <c r="D10618" s="2" t="inlineStr">
        <is>
          <t>000250</t>
        </is>
      </c>
      <c r="E10618" s="3" t="inlineStr">
        <is>
          <t xml:space="preserve">기업설명회(IR)개최              </t>
        </is>
      </c>
      <c r="F10618" s="3" t="inlineStr">
        <is>
          <t>삼천당제약</t>
        </is>
      </c>
      <c r="G10618" s="2" t="inlineStr">
        <is>
          <t>20260610900124</t>
        </is>
      </c>
      <c r="H10618" s="8">
        <f>HYPERLINK("https://dart.fss.or.kr/dsaf001/main.do?rcpNo=20260610900124", "공시열람")</f>
        <v/>
      </c>
    </row>
    <row r="10619">
      <c r="A10619" s="2" t="inlineStr">
        <is>
          <t>2026-06-10 (정정: 2026-06-12)</t>
        </is>
      </c>
      <c r="B10619" s="3" t="inlineStr">
        <is>
          <t>다산네트웍스</t>
        </is>
      </c>
      <c r="C10619" s="2" t="inlineStr">
        <is>
          <t>코스닥</t>
        </is>
      </c>
      <c r="D10619" s="2" t="inlineStr">
        <is>
          <t>039560</t>
        </is>
      </c>
      <c r="E10619" s="3" t="inlineStr">
        <is>
          <t>의결권대리행사권유에관한의견표명서 (정정: 20260612)</t>
        </is>
      </c>
      <c r="F10619" s="3" t="inlineStr">
        <is>
          <t>다산네트웍스</t>
        </is>
      </c>
      <c r="G10619" s="2" t="inlineStr">
        <is>
          <t>20260612000503</t>
        </is>
      </c>
      <c r="H10619" s="8">
        <f>HYPERLINK("https://dart.fss.or.kr/dsaf001/main.do?rcpNo=20260612000503", "공시열람")</f>
        <v/>
      </c>
    </row>
    <row r="10620">
      <c r="A10620" s="2" t="inlineStr">
        <is>
          <t>2026-06-10</t>
        </is>
      </c>
      <c r="B10620" s="3" t="inlineStr">
        <is>
          <t>SDN</t>
        </is>
      </c>
      <c r="C10620" s="2" t="inlineStr">
        <is>
          <t>코스닥</t>
        </is>
      </c>
      <c r="D10620" s="2" t="inlineStr">
        <is>
          <t>099220</t>
        </is>
      </c>
      <c r="E10620" s="3" t="inlineStr">
        <is>
          <t>임원ㆍ주요주주특정증권등소유상황보고서</t>
        </is>
      </c>
      <c r="F10620" s="3" t="inlineStr">
        <is>
          <t>최기혁</t>
        </is>
      </c>
      <c r="G10620" s="2" t="inlineStr">
        <is>
          <t>20260610000014</t>
        </is>
      </c>
      <c r="H10620" s="8">
        <f>HYPERLINK("https://dart.fss.or.kr/dsaf001/main.do?rcpNo=20260610000014", "공시열람")</f>
        <v/>
      </c>
    </row>
    <row r="10621">
      <c r="A10621" s="2" t="inlineStr">
        <is>
          <t>2026-06-10</t>
        </is>
      </c>
      <c r="B10621" s="3" t="inlineStr">
        <is>
          <t>디앤디파마텍</t>
        </is>
      </c>
      <c r="C10621" s="2" t="inlineStr">
        <is>
          <t>코스닥</t>
        </is>
      </c>
      <c r="D10621" s="2" t="inlineStr">
        <is>
          <t>347850</t>
        </is>
      </c>
      <c r="E10621" s="3" t="inlineStr">
        <is>
          <t xml:space="preserve">기업설명회(IR)개최              </t>
        </is>
      </c>
      <c r="F10621" s="3" t="inlineStr">
        <is>
          <t>디앤디파마텍</t>
        </is>
      </c>
      <c r="G10621" s="2" t="inlineStr">
        <is>
          <t>20260610900104</t>
        </is>
      </c>
      <c r="H10621" s="8">
        <f>HYPERLINK("https://dart.fss.or.kr/dsaf001/main.do?rcpNo=20260610900104", "공시열람")</f>
        <v/>
      </c>
    </row>
    <row r="10622">
      <c r="A10622" s="2" t="inlineStr">
        <is>
          <t>2026-06-10</t>
        </is>
      </c>
      <c r="B10622" s="3" t="inlineStr">
        <is>
          <t>동원금속</t>
        </is>
      </c>
      <c r="C10622" s="2" t="inlineStr">
        <is>
          <t>코스피</t>
        </is>
      </c>
      <c r="D10622" s="2" t="inlineStr">
        <is>
          <t>018500</t>
        </is>
      </c>
      <c r="E10622" s="3" t="inlineStr">
        <is>
          <t>임원ㆍ주요주주특정증권등소유상황보고서</t>
        </is>
      </c>
      <c r="F10622" s="3" t="inlineStr">
        <is>
          <t>이승재</t>
        </is>
      </c>
      <c r="G10622" s="2" t="inlineStr">
        <is>
          <t>20260610000011</t>
        </is>
      </c>
      <c r="H10622" s="8">
        <f>HYPERLINK("https://dart.fss.or.kr/dsaf001/main.do?rcpNo=20260610000011", "공시열람")</f>
        <v/>
      </c>
    </row>
    <row r="10623">
      <c r="A10623" s="2" t="inlineStr">
        <is>
          <t>2026-06-10</t>
        </is>
      </c>
      <c r="B10623" s="3" t="inlineStr">
        <is>
          <t>교보증권</t>
        </is>
      </c>
      <c r="C10623" s="2" t="inlineStr">
        <is>
          <t>코스피</t>
        </is>
      </c>
      <c r="D10623" s="2" t="inlineStr">
        <is>
          <t>030610</t>
        </is>
      </c>
      <c r="E10623" s="3" t="inlineStr">
        <is>
          <t>일괄신고추가서류(파생결합사채-주가연계파생결합사채)</t>
        </is>
      </c>
      <c r="F10623" s="3" t="inlineStr">
        <is>
          <t>교보증권</t>
        </is>
      </c>
      <c r="G10623" s="2" t="inlineStr">
        <is>
          <t>20260610000009</t>
        </is>
      </c>
      <c r="H10623" s="8">
        <f>HYPERLINK("https://dart.fss.or.kr/dsaf001/main.do?rcpNo=20260610000009", "공시열람")</f>
        <v/>
      </c>
    </row>
    <row r="10624">
      <c r="A10624" s="2" t="inlineStr">
        <is>
          <t>2026-06-10</t>
        </is>
      </c>
      <c r="B10624" s="3" t="inlineStr">
        <is>
          <t>POSCO홀딩스</t>
        </is>
      </c>
      <c r="C10624" s="2" t="inlineStr">
        <is>
          <t>코스피</t>
        </is>
      </c>
      <c r="D10624" s="2" t="inlineStr">
        <is>
          <t>005490</t>
        </is>
      </c>
      <c r="E10624" s="3" t="inlineStr">
        <is>
          <t xml:space="preserve">중대재해발생(자회사의 주요경영사항)              </t>
        </is>
      </c>
      <c r="F10624" s="3" t="inlineStr">
        <is>
          <t>POSCO홀딩스</t>
        </is>
      </c>
      <c r="G10624" s="2" t="inlineStr">
        <is>
          <t>20260610800082</t>
        </is>
      </c>
      <c r="H10624" s="8">
        <f>HYPERLINK("https://dart.fss.or.kr/dsaf001/main.do?rcpNo=20260610800082", "공시열람")</f>
        <v/>
      </c>
    </row>
    <row r="10625">
      <c r="A10625" s="2" t="inlineStr">
        <is>
          <t>2026-06-10</t>
        </is>
      </c>
      <c r="B10625" s="3" t="inlineStr">
        <is>
          <t>롯데쇼핑</t>
        </is>
      </c>
      <c r="C10625" s="2" t="inlineStr">
        <is>
          <t>코스피</t>
        </is>
      </c>
      <c r="D10625" s="2" t="inlineStr">
        <is>
          <t>023530</t>
        </is>
      </c>
      <c r="E10625" s="3" t="inlineStr">
        <is>
          <t>투자설명서</t>
        </is>
      </c>
      <c r="F10625" s="3" t="inlineStr">
        <is>
          <t>롯데쇼핑</t>
        </is>
      </c>
      <c r="G10625" s="2" t="inlineStr">
        <is>
          <t>20260610000008</t>
        </is>
      </c>
      <c r="H10625" s="8">
        <f>HYPERLINK("https://dart.fss.or.kr/dsaf001/main.do?rcpNo=20260610000008", "공시열람")</f>
        <v/>
      </c>
    </row>
    <row r="10626">
      <c r="A10626" s="2" t="inlineStr">
        <is>
          <t>2026-06-10</t>
        </is>
      </c>
      <c r="B10626" s="3" t="inlineStr">
        <is>
          <t>케이탑리츠</t>
        </is>
      </c>
      <c r="C10626" s="2" t="inlineStr">
        <is>
          <t>코스피</t>
        </is>
      </c>
      <c r="D10626" s="2" t="inlineStr">
        <is>
          <t>145270</t>
        </is>
      </c>
      <c r="E10626" s="3" t="inlineStr">
        <is>
          <t>임원ㆍ주요주주특정증권등소유상황보고서</t>
        </is>
      </c>
      <c r="F10626" s="3" t="inlineStr">
        <is>
          <t>김철</t>
        </is>
      </c>
      <c r="G10626" s="2" t="inlineStr">
        <is>
          <t>20260610000006</t>
        </is>
      </c>
      <c r="H10626" s="8">
        <f>HYPERLINK("https://dart.fss.or.kr/dsaf001/main.do?rcpNo=20260610000006", "공시열람")</f>
        <v/>
      </c>
    </row>
    <row r="10627">
      <c r="A10627" s="2" t="inlineStr">
        <is>
          <t>2026-06-10</t>
        </is>
      </c>
      <c r="B10627" s="3" t="inlineStr">
        <is>
          <t>대동기어</t>
        </is>
      </c>
      <c r="C10627" s="2" t="inlineStr">
        <is>
          <t>코스닥</t>
        </is>
      </c>
      <c r="D10627" s="2" t="inlineStr">
        <is>
          <t>008830</t>
        </is>
      </c>
      <c r="E10627" s="3" t="inlineStr">
        <is>
          <t>효력발생안내( 2026.5.22. 제출 증권신고서(지분증권) )</t>
        </is>
      </c>
      <c r="F10627" s="3" t="inlineStr">
        <is>
          <t>금융감독원</t>
        </is>
      </c>
      <c r="G10627" s="2" t="inlineStr">
        <is>
          <t>20260522100007</t>
        </is>
      </c>
      <c r="H10627" s="8">
        <f>HYPERLINK("https://dart.fss.or.kr/dsaf001/main.do?rcpNo=20260522100007", "공시열람")</f>
        <v/>
      </c>
    </row>
    <row r="10628">
      <c r="A10628" s="2" t="inlineStr">
        <is>
          <t>2026-06-10</t>
        </is>
      </c>
      <c r="B10628" s="3" t="inlineStr">
        <is>
          <t>피앤씨테크</t>
        </is>
      </c>
      <c r="C10628" s="2" t="inlineStr">
        <is>
          <t>코스닥</t>
        </is>
      </c>
      <c r="D10628" s="2" t="inlineStr">
        <is>
          <t>237750</t>
        </is>
      </c>
      <c r="E10628" s="3" t="inlineStr">
        <is>
          <t>임원ㆍ주요주주특정증권등소유상황보고서</t>
        </is>
      </c>
      <c r="F10628" s="3" t="inlineStr">
        <is>
          <t>조민기</t>
        </is>
      </c>
      <c r="G10628" s="2" t="inlineStr">
        <is>
          <t>20260609000536</t>
        </is>
      </c>
      <c r="H10628" s="8">
        <f>HYPERLINK("https://dart.fss.or.kr/dsaf001/main.do?rcpNo=20260609000536", "공시열람")</f>
        <v/>
      </c>
    </row>
    <row r="10629">
      <c r="A10629" s="2" t="inlineStr">
        <is>
          <t>2026-06-11</t>
        </is>
      </c>
      <c r="B10629" s="3" t="inlineStr">
        <is>
          <t>현대사료</t>
        </is>
      </c>
      <c r="C10629" s="2" t="inlineStr">
        <is>
          <t>코스닥</t>
        </is>
      </c>
      <c r="D10629" s="2" t="inlineStr">
        <is>
          <t>016790</t>
        </is>
      </c>
      <c r="E10629" s="3" t="inlineStr">
        <is>
          <t>주권매매거래정지해제              (상장폐지에 따른 정리매매 개시)</t>
        </is>
      </c>
      <c r="F10629" s="3" t="inlineStr">
        <is>
          <t>코스닥시장본부</t>
        </is>
      </c>
      <c r="G10629" s="2" t="inlineStr">
        <is>
          <t>20260611900901</t>
        </is>
      </c>
      <c r="H10629" s="8">
        <f>HYPERLINK("https://dart.fss.or.kr/dsaf001/main.do?rcpNo=20260611900901", "공시열람")</f>
        <v/>
      </c>
    </row>
    <row r="10630">
      <c r="A10630" s="2" t="inlineStr">
        <is>
          <t>2026-06-11</t>
        </is>
      </c>
      <c r="B10630" s="3" t="inlineStr">
        <is>
          <t>세종메디칼</t>
        </is>
      </c>
      <c r="C10630" s="2" t="inlineStr">
        <is>
          <t>코스닥</t>
        </is>
      </c>
      <c r="D10630" s="2" t="inlineStr">
        <is>
          <t>258830</t>
        </is>
      </c>
      <c r="E10630" s="3" t="inlineStr">
        <is>
          <t>주권매매거래정지해제              (상장폐지에 따른 정리매매 개시)</t>
        </is>
      </c>
      <c r="F10630" s="3" t="inlineStr">
        <is>
          <t>코스닥시장본부</t>
        </is>
      </c>
      <c r="G10630" s="2" t="inlineStr">
        <is>
          <t>20260611900905</t>
        </is>
      </c>
      <c r="H10630" s="8">
        <f>HYPERLINK("https://dart.fss.or.kr/dsaf001/main.do?rcpNo=20260611900905", "공시열람")</f>
        <v/>
      </c>
    </row>
    <row r="10631">
      <c r="A10631" s="2" t="inlineStr">
        <is>
          <t>2026-06-11</t>
        </is>
      </c>
      <c r="B10631" s="3" t="inlineStr">
        <is>
          <t>신영증권</t>
        </is>
      </c>
      <c r="C10631" s="2" t="inlineStr">
        <is>
          <t>코스피</t>
        </is>
      </c>
      <c r="D10631" s="2" t="inlineStr">
        <is>
          <t>001720</t>
        </is>
      </c>
      <c r="E10631" s="3" t="inlineStr">
        <is>
          <t xml:space="preserve">감사보고서제출              </t>
        </is>
      </c>
      <c r="F10631" s="3" t="inlineStr">
        <is>
          <t>신영증권</t>
        </is>
      </c>
      <c r="G10631" s="2" t="inlineStr">
        <is>
          <t>20260611800898</t>
        </is>
      </c>
      <c r="H10631" s="8">
        <f>HYPERLINK("https://dart.fss.or.kr/dsaf001/main.do?rcpNo=20260611800898", "공시열람")</f>
        <v/>
      </c>
    </row>
    <row r="10632">
      <c r="A10632" s="2" t="inlineStr">
        <is>
          <t>2026-06-11 (정정: 2026-06-18)</t>
        </is>
      </c>
      <c r="B10632" s="3" t="inlineStr">
        <is>
          <t>성호전자</t>
        </is>
      </c>
      <c r="C10632" s="2" t="inlineStr">
        <is>
          <t>코스닥</t>
        </is>
      </c>
      <c r="D10632" s="2" t="inlineStr">
        <is>
          <t>043260</t>
        </is>
      </c>
      <c r="E10632" s="3" t="inlineStr">
        <is>
          <t>기타경영사항(자율공시)              (제14회차 신주인수권부사채 만기전 취득 후 재매각) (정정: 20260618)</t>
        </is>
      </c>
      <c r="F10632" s="3" t="inlineStr">
        <is>
          <t>성호전자</t>
        </is>
      </c>
      <c r="G10632" s="2" t="inlineStr">
        <is>
          <t>20260618900898</t>
        </is>
      </c>
      <c r="H10632" s="8">
        <f>HYPERLINK("https://dart.fss.or.kr/dsaf001/main.do?rcpNo=20260618900898", "공시열람")</f>
        <v/>
      </c>
    </row>
    <row r="10633">
      <c r="A10633" s="2" t="inlineStr">
        <is>
          <t>2026-06-11 (정정: 2026-06-15)</t>
        </is>
      </c>
      <c r="B10633" s="3" t="inlineStr">
        <is>
          <t>DH오토넥스</t>
        </is>
      </c>
      <c r="C10633" s="2" t="inlineStr">
        <is>
          <t>코스피</t>
        </is>
      </c>
      <c r="D10633" s="2" t="inlineStr">
        <is>
          <t>000300</t>
        </is>
      </c>
      <c r="E10633" s="3" t="inlineStr">
        <is>
          <t>기타시장안내              (상장폐지 이의신청서 제출) (정정: 20260615)</t>
        </is>
      </c>
      <c r="F10633" s="3" t="inlineStr">
        <is>
          <t>유가증권시장본부</t>
        </is>
      </c>
      <c r="G10633" s="2" t="inlineStr">
        <is>
          <t>20260615800802</t>
        </is>
      </c>
      <c r="H10633" s="8">
        <f>HYPERLINK("https://dart.fss.or.kr/dsaf001/main.do?rcpNo=20260615800802", "공시열람")</f>
        <v/>
      </c>
    </row>
    <row r="10634">
      <c r="A10634" s="2" t="inlineStr">
        <is>
          <t>2026-06-11</t>
        </is>
      </c>
      <c r="B10634" s="3" t="inlineStr">
        <is>
          <t>현대사료</t>
        </is>
      </c>
      <c r="C10634" s="2" t="inlineStr">
        <is>
          <t>코스닥</t>
        </is>
      </c>
      <c r="D10634" s="2" t="inlineStr">
        <is>
          <t>016790</t>
        </is>
      </c>
      <c r="E10634" s="3" t="inlineStr">
        <is>
          <t>기타시장안내              (코스닥시장위원회 개최 결과 및 상장폐지 결정 안내)</t>
        </is>
      </c>
      <c r="F10634" s="3" t="inlineStr">
        <is>
          <t>코스닥시장본부</t>
        </is>
      </c>
      <c r="G10634" s="2" t="inlineStr">
        <is>
          <t>20260611900893</t>
        </is>
      </c>
      <c r="H10634" s="8">
        <f>HYPERLINK("https://dart.fss.or.kr/dsaf001/main.do?rcpNo=20260611900893", "공시열람")</f>
        <v/>
      </c>
    </row>
    <row r="10635">
      <c r="A10635" s="2" t="inlineStr">
        <is>
          <t>2026-06-11</t>
        </is>
      </c>
      <c r="B10635" s="3" t="inlineStr">
        <is>
          <t>세종메디칼</t>
        </is>
      </c>
      <c r="C10635" s="2" t="inlineStr">
        <is>
          <t>코스닥</t>
        </is>
      </c>
      <c r="D10635" s="2" t="inlineStr">
        <is>
          <t>258830</t>
        </is>
      </c>
      <c r="E10635" s="3" t="inlineStr">
        <is>
          <t>기타시장안내              (코스닥시장위원회 개최 결과 및 상장폐지 결정 안내)</t>
        </is>
      </c>
      <c r="F10635" s="3" t="inlineStr">
        <is>
          <t>코스닥시장본부</t>
        </is>
      </c>
      <c r="G10635" s="2" t="inlineStr">
        <is>
          <t>20260611900896</t>
        </is>
      </c>
      <c r="H10635" s="8">
        <f>HYPERLINK("https://dart.fss.or.kr/dsaf001/main.do?rcpNo=20260611900896", "공시열람")</f>
        <v/>
      </c>
    </row>
    <row r="10636">
      <c r="A10636" s="2" t="inlineStr">
        <is>
          <t>2026-06-11</t>
        </is>
      </c>
      <c r="B10636" s="3" t="inlineStr">
        <is>
          <t>CSA 코스믹</t>
        </is>
      </c>
      <c r="C10636" s="2" t="inlineStr">
        <is>
          <t>코스닥</t>
        </is>
      </c>
      <c r="D10636" s="2" t="inlineStr">
        <is>
          <t>083660</t>
        </is>
      </c>
      <c r="E10636" s="3" t="inlineStr">
        <is>
          <t>불성실공시법인지정              (공시변경)</t>
        </is>
      </c>
      <c r="F10636" s="3" t="inlineStr">
        <is>
          <t>코스닥시장본부</t>
        </is>
      </c>
      <c r="G10636" s="2" t="inlineStr">
        <is>
          <t>20260611900865</t>
        </is>
      </c>
      <c r="H10636" s="8">
        <f>HYPERLINK("https://dart.fss.or.kr/dsaf001/main.do?rcpNo=20260611900865", "공시열람")</f>
        <v/>
      </c>
    </row>
    <row r="10637">
      <c r="A10637" s="2" t="inlineStr">
        <is>
          <t>2026-06-11</t>
        </is>
      </c>
      <c r="B10637" s="3" t="inlineStr">
        <is>
          <t>엑시온그룹</t>
        </is>
      </c>
      <c r="C10637" s="2" t="inlineStr">
        <is>
          <t>코스닥</t>
        </is>
      </c>
      <c r="D10637" s="2" t="inlineStr">
        <is>
          <t>069920</t>
        </is>
      </c>
      <c r="E10637" s="3" t="inlineStr">
        <is>
          <t>불성실공시법인지정예고              (공시번복)</t>
        </is>
      </c>
      <c r="F10637" s="3" t="inlineStr">
        <is>
          <t>코스닥시장본부</t>
        </is>
      </c>
      <c r="G10637" s="2" t="inlineStr">
        <is>
          <t>20260611900867</t>
        </is>
      </c>
      <c r="H10637" s="8">
        <f>HYPERLINK("https://dart.fss.or.kr/dsaf001/main.do?rcpNo=20260611900867", "공시열람")</f>
        <v/>
      </c>
    </row>
    <row r="10638">
      <c r="A10638" s="2" t="inlineStr">
        <is>
          <t>2026-06-11</t>
        </is>
      </c>
      <c r="B10638" s="3" t="inlineStr">
        <is>
          <t>해성에어로보틱스</t>
        </is>
      </c>
      <c r="C10638" s="2" t="inlineStr">
        <is>
          <t>코스닥</t>
        </is>
      </c>
      <c r="D10638" s="2" t="inlineStr">
        <is>
          <t>059270</t>
        </is>
      </c>
      <c r="E10638" s="3" t="inlineStr">
        <is>
          <t>주요사항보고서(전환사채매수선택권행사자지정)</t>
        </is>
      </c>
      <c r="F10638" s="3" t="inlineStr">
        <is>
          <t>해성에어로보틱스</t>
        </is>
      </c>
      <c r="G10638" s="2" t="inlineStr">
        <is>
          <t>20260611000682</t>
        </is>
      </c>
      <c r="H10638" s="8">
        <f>HYPERLINK("https://dart.fss.or.kr/dsaf001/main.do?rcpNo=20260611000682", "공시열람")</f>
        <v/>
      </c>
    </row>
    <row r="10639">
      <c r="A10639" s="2" t="inlineStr">
        <is>
          <t>2026-06-11</t>
        </is>
      </c>
      <c r="B10639" s="3" t="inlineStr">
        <is>
          <t>성호전자</t>
        </is>
      </c>
      <c r="C10639" s="2" t="inlineStr">
        <is>
          <t>코스닥</t>
        </is>
      </c>
      <c r="D10639" s="2" t="inlineStr">
        <is>
          <t>043260</t>
        </is>
      </c>
      <c r="E10639" s="3" t="inlineStr">
        <is>
          <t xml:space="preserve">타법인주식및출자증권취득결정(종속회사의주요경영사항)              </t>
        </is>
      </c>
      <c r="F10639" s="3" t="inlineStr">
        <is>
          <t>성호전자</t>
        </is>
      </c>
      <c r="G10639" s="2" t="inlineStr">
        <is>
          <t>20260611900872</t>
        </is>
      </c>
      <c r="H10639" s="8">
        <f>HYPERLINK("https://dart.fss.or.kr/dsaf001/main.do?rcpNo=20260611900872", "공시열람")</f>
        <v/>
      </c>
    </row>
    <row r="10640">
      <c r="A10640" s="2" t="inlineStr">
        <is>
          <t>2026-06-11</t>
        </is>
      </c>
      <c r="B10640" s="3" t="inlineStr">
        <is>
          <t>아이오케이이엔엠</t>
        </is>
      </c>
      <c r="C10640" s="2" t="inlineStr">
        <is>
          <t>코스닥</t>
        </is>
      </c>
      <c r="D10640" s="2" t="inlineStr">
        <is>
          <t>078860</t>
        </is>
      </c>
      <c r="E10640" s="3" t="inlineStr">
        <is>
          <t>[기재정정]소액공모실적보고서</t>
        </is>
      </c>
      <c r="F10640" s="3" t="inlineStr">
        <is>
          <t>아이오케이이엔엠</t>
        </is>
      </c>
      <c r="G10640" s="2" t="inlineStr">
        <is>
          <t>20260611000679</t>
        </is>
      </c>
      <c r="H10640" s="8">
        <f>HYPERLINK("https://dart.fss.or.kr/dsaf001/main.do?rcpNo=20260611000679", "공시열람")</f>
        <v/>
      </c>
    </row>
    <row r="10641">
      <c r="A10641" s="2" t="inlineStr">
        <is>
          <t>2026-06-11</t>
        </is>
      </c>
      <c r="B10641" s="3" t="inlineStr">
        <is>
          <t>상상인</t>
        </is>
      </c>
      <c r="C10641" s="2" t="inlineStr">
        <is>
          <t>코스닥</t>
        </is>
      </c>
      <c r="D10641" s="2" t="inlineStr">
        <is>
          <t>038540</t>
        </is>
      </c>
      <c r="E10641" s="3" t="inlineStr">
        <is>
          <t>신탁계약해지결과보고서</t>
        </is>
      </c>
      <c r="F10641" s="3" t="inlineStr">
        <is>
          <t>상상인</t>
        </is>
      </c>
      <c r="G10641" s="2" t="inlineStr">
        <is>
          <t>20260611000675</t>
        </is>
      </c>
      <c r="H10641" s="8">
        <f>HYPERLINK("https://dart.fss.or.kr/dsaf001/main.do?rcpNo=20260611000675", "공시열람")</f>
        <v/>
      </c>
    </row>
    <row r="10642">
      <c r="A10642" s="2" t="inlineStr">
        <is>
          <t>2026-06-11</t>
        </is>
      </c>
      <c r="B10642" s="3" t="inlineStr">
        <is>
          <t>인터로이드</t>
        </is>
      </c>
      <c r="C10642" s="2" t="inlineStr">
        <is>
          <t>코넥스</t>
        </is>
      </c>
      <c r="D10642" s="2" t="inlineStr">
        <is>
          <t>311960</t>
        </is>
      </c>
      <c r="E10642" s="3" t="inlineStr">
        <is>
          <t xml:space="preserve">기업설명회(IR)개최              </t>
        </is>
      </c>
      <c r="F10642" s="3" t="inlineStr">
        <is>
          <t>인터로이드</t>
        </is>
      </c>
      <c r="G10642" s="2" t="inlineStr">
        <is>
          <t>20260611600859</t>
        </is>
      </c>
      <c r="H10642" s="8">
        <f>HYPERLINK("https://dart.fss.or.kr/dsaf001/main.do?rcpNo=20260611600859", "공시열람")</f>
        <v/>
      </c>
    </row>
    <row r="10643">
      <c r="A10643" s="2" t="inlineStr">
        <is>
          <t>2026-06-11</t>
        </is>
      </c>
      <c r="B10643" s="3" t="inlineStr">
        <is>
          <t>탈로스</t>
        </is>
      </c>
      <c r="C10643" s="2" t="inlineStr">
        <is>
          <t>코넥스</t>
        </is>
      </c>
      <c r="D10643" s="2" t="inlineStr">
        <is>
          <t>434190</t>
        </is>
      </c>
      <c r="E10643" s="3" t="inlineStr">
        <is>
          <t xml:space="preserve">기업설명회(IR)개최결과              </t>
        </is>
      </c>
      <c r="F10643" s="3" t="inlineStr">
        <is>
          <t>탈로스</t>
        </is>
      </c>
      <c r="G10643" s="2" t="inlineStr">
        <is>
          <t>20260611600851</t>
        </is>
      </c>
      <c r="H10643" s="8">
        <f>HYPERLINK("https://dart.fss.or.kr/dsaf001/main.do?rcpNo=20260611600851", "공시열람")</f>
        <v/>
      </c>
    </row>
    <row r="10644">
      <c r="A10644" s="2" t="inlineStr">
        <is>
          <t>2026-06-11 (정정: 2026-06-12)</t>
        </is>
      </c>
      <c r="B10644" s="3" t="inlineStr">
        <is>
          <t>한솔홀딩스</t>
        </is>
      </c>
      <c r="C10644" s="2" t="inlineStr">
        <is>
          <t>코스피</t>
        </is>
      </c>
      <c r="D10644" s="2" t="inlineStr">
        <is>
          <t>004150</t>
        </is>
      </c>
      <c r="E10644" s="3" t="inlineStr">
        <is>
          <t>[첨부정정]주요사항보고서(타법인주식및출자증권양수결정)(자회사의 주요경영사항)               (정정: 20260612)</t>
        </is>
      </c>
      <c r="F10644" s="3" t="inlineStr">
        <is>
          <t>한솔홀딩스</t>
        </is>
      </c>
      <c r="G10644" s="2" t="inlineStr">
        <is>
          <t>20260612800864</t>
        </is>
      </c>
      <c r="H10644" s="8">
        <f>HYPERLINK("https://dart.fss.or.kr/dsaf001/main.do?rcpNo=20260612800864", "공시열람")</f>
        <v/>
      </c>
    </row>
    <row r="10645">
      <c r="A10645" s="2" t="inlineStr">
        <is>
          <t>2026-06-11</t>
        </is>
      </c>
      <c r="B10645" s="3" t="inlineStr">
        <is>
          <t>신한서부티엔디리츠</t>
        </is>
      </c>
      <c r="C10645" s="2" t="inlineStr">
        <is>
          <t>코스피</t>
        </is>
      </c>
      <c r="D10645" s="2" t="inlineStr">
        <is>
          <t>404990</t>
        </is>
      </c>
      <c r="E10645" s="3" t="inlineStr">
        <is>
          <t xml:space="preserve">전환청구권ㆍ신주인수권ㆍ교환청구권행사              </t>
        </is>
      </c>
      <c r="F10645" s="3" t="inlineStr">
        <is>
          <t>신한서부티엔디리츠</t>
        </is>
      </c>
      <c r="G10645" s="2" t="inlineStr">
        <is>
          <t>20260611800811</t>
        </is>
      </c>
      <c r="H10645" s="8">
        <f>HYPERLINK("https://dart.fss.or.kr/dsaf001/main.do?rcpNo=20260611800811", "공시열람")</f>
        <v/>
      </c>
    </row>
    <row r="10646">
      <c r="A10646" s="2" t="inlineStr">
        <is>
          <t>2026-06-11</t>
        </is>
      </c>
      <c r="B10646" s="3" t="inlineStr">
        <is>
          <t>롯데지주</t>
        </is>
      </c>
      <c r="C10646" s="2" t="inlineStr">
        <is>
          <t>코스피</t>
        </is>
      </c>
      <c r="D10646" s="2" t="inlineStr">
        <is>
          <t>004990</t>
        </is>
      </c>
      <c r="E10646" s="3" t="inlineStr">
        <is>
          <t xml:space="preserve">현금ㆍ현물배당을위한주주명부폐쇄(기준일)결정(자회사의 주요경영사항)              </t>
        </is>
      </c>
      <c r="F10646" s="3" t="inlineStr">
        <is>
          <t>롯데지주</t>
        </is>
      </c>
      <c r="G10646" s="2" t="inlineStr">
        <is>
          <t>20260611800843</t>
        </is>
      </c>
      <c r="H10646" s="8">
        <f>HYPERLINK("https://dart.fss.or.kr/dsaf001/main.do?rcpNo=20260611800843", "공시열람")</f>
        <v/>
      </c>
    </row>
    <row r="10647">
      <c r="A10647" s="2" t="inlineStr">
        <is>
          <t>2026-06-11</t>
        </is>
      </c>
      <c r="B10647" s="3" t="inlineStr">
        <is>
          <t>알엔티엑스</t>
        </is>
      </c>
      <c r="C10647" s="2" t="inlineStr">
        <is>
          <t>코스닥</t>
        </is>
      </c>
      <c r="D10647" s="2" t="inlineStr">
        <is>
          <t>123010</t>
        </is>
      </c>
      <c r="E10647" s="3" t="inlineStr">
        <is>
          <t xml:space="preserve">증권발행결과(자율공시)              </t>
        </is>
      </c>
      <c r="F10647" s="3" t="inlineStr">
        <is>
          <t>알엔티엑스</t>
        </is>
      </c>
      <c r="G10647" s="2" t="inlineStr">
        <is>
          <t>20260611900846</t>
        </is>
      </c>
      <c r="H10647" s="8">
        <f>HYPERLINK("https://dart.fss.or.kr/dsaf001/main.do?rcpNo=20260611900846", "공시열람")</f>
        <v/>
      </c>
    </row>
    <row r="10648">
      <c r="A10648" s="2" t="inlineStr">
        <is>
          <t>2026-06-11</t>
        </is>
      </c>
      <c r="B10648" s="3" t="inlineStr">
        <is>
          <t>삼일제약</t>
        </is>
      </c>
      <c r="C10648" s="2" t="inlineStr">
        <is>
          <t>코스피</t>
        </is>
      </c>
      <c r="D10648" s="2" t="inlineStr">
        <is>
          <t>000520</t>
        </is>
      </c>
      <c r="E10648" s="3" t="inlineStr">
        <is>
          <t>임원ㆍ주요주주특정증권등소유상황보고서</t>
        </is>
      </c>
      <c r="F10648" s="3" t="inlineStr">
        <is>
          <t>차경열</t>
        </is>
      </c>
      <c r="G10648" s="2" t="inlineStr">
        <is>
          <t>20260611000666</t>
        </is>
      </c>
      <c r="H10648" s="8">
        <f>HYPERLINK("https://dart.fss.or.kr/dsaf001/main.do?rcpNo=20260611000666", "공시열람")</f>
        <v/>
      </c>
    </row>
    <row r="10649">
      <c r="A10649" s="2" t="inlineStr">
        <is>
          <t>2026-06-11</t>
        </is>
      </c>
      <c r="B10649" s="3" t="inlineStr">
        <is>
          <t>롯데쇼핑</t>
        </is>
      </c>
      <c r="C10649" s="2" t="inlineStr">
        <is>
          <t>코스피</t>
        </is>
      </c>
      <c r="D10649" s="2" t="inlineStr">
        <is>
          <t>023530</t>
        </is>
      </c>
      <c r="E10649" s="3" t="inlineStr">
        <is>
          <t xml:space="preserve">현금ㆍ현물배당을위한주주명부폐쇄(기준일)결정              </t>
        </is>
      </c>
      <c r="F10649" s="3" t="inlineStr">
        <is>
          <t>롯데쇼핑</t>
        </is>
      </c>
      <c r="G10649" s="2" t="inlineStr">
        <is>
          <t>20260611800842</t>
        </is>
      </c>
      <c r="H10649" s="8">
        <f>HYPERLINK("https://dart.fss.or.kr/dsaf001/main.do?rcpNo=20260611800842", "공시열람")</f>
        <v/>
      </c>
    </row>
    <row r="10650">
      <c r="A10650" s="2" t="inlineStr">
        <is>
          <t>2026-06-11</t>
        </is>
      </c>
      <c r="B10650" s="3" t="inlineStr">
        <is>
          <t>우진비앤지</t>
        </is>
      </c>
      <c r="C10650" s="2" t="inlineStr">
        <is>
          <t>코스닥</t>
        </is>
      </c>
      <c r="D10650" s="2" t="inlineStr">
        <is>
          <t>018620</t>
        </is>
      </c>
      <c r="E10650" s="3" t="inlineStr">
        <is>
          <t>권리락              (무상증자)</t>
        </is>
      </c>
      <c r="F10650" s="3" t="inlineStr">
        <is>
          <t>코스닥시장본부</t>
        </is>
      </c>
      <c r="G10650" s="2" t="inlineStr">
        <is>
          <t>20260611900840</t>
        </is>
      </c>
      <c r="H10650" s="8">
        <f>HYPERLINK("https://dart.fss.or.kr/dsaf001/main.do?rcpNo=20260611900840", "공시열람")</f>
        <v/>
      </c>
    </row>
    <row r="10651">
      <c r="A10651" s="2" t="inlineStr">
        <is>
          <t>2026-06-11</t>
        </is>
      </c>
      <c r="B10651" s="3" t="inlineStr">
        <is>
          <t>한솔테크닉스</t>
        </is>
      </c>
      <c r="C10651" s="2" t="inlineStr">
        <is>
          <t>코스피</t>
        </is>
      </c>
      <c r="D10651" s="2" t="inlineStr">
        <is>
          <t>004710</t>
        </is>
      </c>
      <c r="E10651" s="3" t="inlineStr">
        <is>
          <t>[첨부정정]주요사항보고서(타법인주식및출자증권양수결정)</t>
        </is>
      </c>
      <c r="F10651" s="3" t="inlineStr">
        <is>
          <t>한솔테크닉스</t>
        </is>
      </c>
      <c r="G10651" s="2" t="inlineStr">
        <is>
          <t>20260611000649</t>
        </is>
      </c>
      <c r="H10651" s="8">
        <f>HYPERLINK("https://dart.fss.or.kr/dsaf001/main.do?rcpNo=20260611000649", "공시열람")</f>
        <v/>
      </c>
    </row>
    <row r="10652">
      <c r="A10652" s="2" t="inlineStr">
        <is>
          <t>2026-06-11</t>
        </is>
      </c>
      <c r="B10652" s="3" t="inlineStr">
        <is>
          <t>롯데지주</t>
        </is>
      </c>
      <c r="C10652" s="2" t="inlineStr">
        <is>
          <t>코스피</t>
        </is>
      </c>
      <c r="D10652" s="2" t="inlineStr">
        <is>
          <t>004990</t>
        </is>
      </c>
      <c r="E10652" s="3" t="inlineStr">
        <is>
          <t xml:space="preserve">현금ㆍ현물배당결정(자회사의 주요경영사항)              </t>
        </is>
      </c>
      <c r="F10652" s="3" t="inlineStr">
        <is>
          <t>롯데지주</t>
        </is>
      </c>
      <c r="G10652" s="2" t="inlineStr">
        <is>
          <t>20260611800835</t>
        </is>
      </c>
      <c r="H10652" s="8">
        <f>HYPERLINK("https://dart.fss.or.kr/dsaf001/main.do?rcpNo=20260611800835", "공시열람")</f>
        <v/>
      </c>
    </row>
    <row r="10653">
      <c r="A10653" s="2" t="inlineStr">
        <is>
          <t>2026-06-11</t>
        </is>
      </c>
      <c r="B10653" s="3" t="inlineStr">
        <is>
          <t>씨아이에스</t>
        </is>
      </c>
      <c r="C10653" s="2" t="inlineStr">
        <is>
          <t>코스닥</t>
        </is>
      </c>
      <c r="D10653" s="2" t="inlineStr">
        <is>
          <t>222080</t>
        </is>
      </c>
      <c r="E10653" s="3" t="inlineStr">
        <is>
          <t xml:space="preserve">상호변경안내              </t>
        </is>
      </c>
      <c r="F10653" s="3" t="inlineStr">
        <is>
          <t>씨아이에스</t>
        </is>
      </c>
      <c r="G10653" s="2" t="inlineStr">
        <is>
          <t>20260611900838</t>
        </is>
      </c>
      <c r="H10653" s="8">
        <f>HYPERLINK("https://dart.fss.or.kr/dsaf001/main.do?rcpNo=20260611900838", "공시열람")</f>
        <v/>
      </c>
    </row>
    <row r="10654">
      <c r="A10654" s="2" t="inlineStr">
        <is>
          <t>2026-06-11</t>
        </is>
      </c>
      <c r="B10654" s="3" t="inlineStr">
        <is>
          <t>롯데쇼핑</t>
        </is>
      </c>
      <c r="C10654" s="2" t="inlineStr">
        <is>
          <t>코스피</t>
        </is>
      </c>
      <c r="D10654" s="2" t="inlineStr">
        <is>
          <t>023530</t>
        </is>
      </c>
      <c r="E10654" s="3" t="inlineStr">
        <is>
          <t xml:space="preserve">현금ㆍ현물배당결정              </t>
        </is>
      </c>
      <c r="F10654" s="3" t="inlineStr">
        <is>
          <t>롯데쇼핑</t>
        </is>
      </c>
      <c r="G10654" s="2" t="inlineStr">
        <is>
          <t>20260611800834</t>
        </is>
      </c>
      <c r="H10654" s="8">
        <f>HYPERLINK("https://dart.fss.or.kr/dsaf001/main.do?rcpNo=20260611800834", "공시열람")</f>
        <v/>
      </c>
    </row>
    <row r="10655">
      <c r="A10655" s="2" t="inlineStr">
        <is>
          <t>2026-06-11</t>
        </is>
      </c>
      <c r="B10655" s="3" t="inlineStr">
        <is>
          <t>티앤알바이오팹</t>
        </is>
      </c>
      <c r="C10655" s="2" t="inlineStr">
        <is>
          <t>코스닥</t>
        </is>
      </c>
      <c r="D10655" s="2" t="inlineStr">
        <is>
          <t>246710</t>
        </is>
      </c>
      <c r="E10655" s="3" t="inlineStr">
        <is>
          <t>임원ㆍ주요주주특정증권등거래계획보고서</t>
        </is>
      </c>
      <c r="F10655" s="3" t="inlineStr">
        <is>
          <t>윤원수</t>
        </is>
      </c>
      <c r="G10655" s="2" t="inlineStr">
        <is>
          <t>20260611000656</t>
        </is>
      </c>
      <c r="H10655" s="8">
        <f>HYPERLINK("https://dart.fss.or.kr/dsaf001/main.do?rcpNo=20260611000656", "공시열람")</f>
        <v/>
      </c>
    </row>
    <row r="10656">
      <c r="A10656" s="2" t="inlineStr">
        <is>
          <t>2026-06-11</t>
        </is>
      </c>
      <c r="B10656" s="3" t="inlineStr">
        <is>
          <t>SAMG엔터</t>
        </is>
      </c>
      <c r="C10656" s="2" t="inlineStr">
        <is>
          <t>코스닥</t>
        </is>
      </c>
      <c r="D10656" s="2" t="inlineStr">
        <is>
          <t>419530</t>
        </is>
      </c>
      <c r="E10656" s="3" t="inlineStr">
        <is>
          <t>임원ㆍ주요주주특정증권등소유상황보고서</t>
        </is>
      </c>
      <c r="F10656" s="3" t="inlineStr">
        <is>
          <t>송재승</t>
        </is>
      </c>
      <c r="G10656" s="2" t="inlineStr">
        <is>
          <t>20260611000655</t>
        </is>
      </c>
      <c r="H10656" s="8">
        <f>HYPERLINK("https://dart.fss.or.kr/dsaf001/main.do?rcpNo=20260611000655", "공시열람")</f>
        <v/>
      </c>
    </row>
    <row r="10657">
      <c r="A10657" s="2" t="inlineStr">
        <is>
          <t>2026-06-11</t>
        </is>
      </c>
      <c r="B10657" s="3" t="inlineStr">
        <is>
          <t>플래티어</t>
        </is>
      </c>
      <c r="C10657" s="2" t="inlineStr">
        <is>
          <t>코스닥</t>
        </is>
      </c>
      <c r="D10657" s="2" t="inlineStr">
        <is>
          <t>367000</t>
        </is>
      </c>
      <c r="E10657" s="3" t="inlineStr">
        <is>
          <t>임원ㆍ주요주주특정증권등소유상황보고서</t>
        </is>
      </c>
      <c r="F10657" s="3" t="inlineStr">
        <is>
          <t>김진성</t>
        </is>
      </c>
      <c r="G10657" s="2" t="inlineStr">
        <is>
          <t>20260611000652</t>
        </is>
      </c>
      <c r="H10657" s="8">
        <f>HYPERLINK("https://dart.fss.or.kr/dsaf001/main.do?rcpNo=20260611000652", "공시열람")</f>
        <v/>
      </c>
    </row>
    <row r="10658">
      <c r="A10658" s="2" t="inlineStr">
        <is>
          <t>2026-06-11</t>
        </is>
      </c>
      <c r="B10658" s="3" t="inlineStr">
        <is>
          <t>유안타증권</t>
        </is>
      </c>
      <c r="C10658" s="2" t="inlineStr">
        <is>
          <t>코스피</t>
        </is>
      </c>
      <c r="D10658" s="2" t="inlineStr">
        <is>
          <t>003470</t>
        </is>
      </c>
      <c r="E10658" s="3" t="inlineStr">
        <is>
          <t>임원ㆍ주요주주특정증권등소유상황보고서</t>
        </is>
      </c>
      <c r="F10658" s="3" t="inlineStr">
        <is>
          <t>유안타씨큐리티즈아시아파이낸셜서비시스프라이빗리미티드</t>
        </is>
      </c>
      <c r="G10658" s="2" t="inlineStr">
        <is>
          <t>20260611000644</t>
        </is>
      </c>
      <c r="H10658" s="8">
        <f>HYPERLINK("https://dart.fss.or.kr/dsaf001/main.do?rcpNo=20260611000644", "공시열람")</f>
        <v/>
      </c>
    </row>
    <row r="10659">
      <c r="A10659" s="2" t="inlineStr">
        <is>
          <t>2026-06-11</t>
        </is>
      </c>
      <c r="B10659" s="3" t="inlineStr">
        <is>
          <t>하나제약</t>
        </is>
      </c>
      <c r="C10659" s="2" t="inlineStr">
        <is>
          <t>코스피</t>
        </is>
      </c>
      <c r="D10659" s="2" t="inlineStr">
        <is>
          <t>293480</t>
        </is>
      </c>
      <c r="E10659" s="3" t="inlineStr">
        <is>
          <t xml:space="preserve">불성실공시법인지정예고              </t>
        </is>
      </c>
      <c r="F10659" s="3" t="inlineStr">
        <is>
          <t>유가증권시장본부</t>
        </is>
      </c>
      <c r="G10659" s="2" t="inlineStr">
        <is>
          <t>20260611800763</t>
        </is>
      </c>
      <c r="H10659" s="8">
        <f>HYPERLINK("https://dart.fss.or.kr/dsaf001/main.do?rcpNo=20260611800763", "공시열람")</f>
        <v/>
      </c>
    </row>
    <row r="10660">
      <c r="A10660" s="2" t="inlineStr">
        <is>
          <t>2026-06-11</t>
        </is>
      </c>
      <c r="B10660" s="3" t="inlineStr">
        <is>
          <t>한미약품</t>
        </is>
      </c>
      <c r="C10660" s="2" t="inlineStr">
        <is>
          <t>코스피</t>
        </is>
      </c>
      <c r="D10660" s="2" t="inlineStr">
        <is>
          <t>128940</t>
        </is>
      </c>
      <c r="E10660" s="3" t="inlineStr">
        <is>
          <t xml:space="preserve">기업설명회(IR)개최(안내공시)              </t>
        </is>
      </c>
      <c r="F10660" s="3" t="inlineStr">
        <is>
          <t>한미약품</t>
        </is>
      </c>
      <c r="G10660" s="2" t="inlineStr">
        <is>
          <t>20260611800778</t>
        </is>
      </c>
      <c r="H10660" s="8">
        <f>HYPERLINK("https://dart.fss.or.kr/dsaf001/main.do?rcpNo=20260611800778", "공시열람")</f>
        <v/>
      </c>
    </row>
    <row r="10661">
      <c r="A10661" s="2" t="inlineStr">
        <is>
          <t>2026-06-11</t>
        </is>
      </c>
      <c r="B10661" s="3" t="inlineStr">
        <is>
          <t>한화갤러리아</t>
        </is>
      </c>
      <c r="C10661" s="2" t="inlineStr">
        <is>
          <t>코스피</t>
        </is>
      </c>
      <c r="D10661" s="2" t="inlineStr">
        <is>
          <t>452260</t>
        </is>
      </c>
      <c r="E10661" s="3" t="inlineStr">
        <is>
          <t xml:space="preserve">풍문또는보도에대한해명(미확정)              </t>
        </is>
      </c>
      <c r="F10661" s="3" t="inlineStr">
        <is>
          <t>한화갤러리아</t>
        </is>
      </c>
      <c r="G10661" s="2" t="inlineStr">
        <is>
          <t>20260611800749</t>
        </is>
      </c>
      <c r="H10661" s="8">
        <f>HYPERLINK("https://dart.fss.or.kr/dsaf001/main.do?rcpNo=20260611800749", "공시열람")</f>
        <v/>
      </c>
    </row>
    <row r="10662">
      <c r="A10662" s="2" t="inlineStr">
        <is>
          <t>2026-06-11</t>
        </is>
      </c>
      <c r="B10662" s="3" t="inlineStr">
        <is>
          <t>풍산홀딩스</t>
        </is>
      </c>
      <c r="C10662" s="2" t="inlineStr">
        <is>
          <t>코스피</t>
        </is>
      </c>
      <c r="D10662" s="2" t="inlineStr">
        <is>
          <t>005810</t>
        </is>
      </c>
      <c r="E10662" s="3" t="inlineStr">
        <is>
          <t>임원ㆍ주요주주특정증권등소유상황보고서</t>
        </is>
      </c>
      <c r="F10662" s="3" t="inlineStr">
        <is>
          <t>박우동</t>
        </is>
      </c>
      <c r="G10662" s="2" t="inlineStr">
        <is>
          <t>20260611000633</t>
        </is>
      </c>
      <c r="H10662" s="8">
        <f>HYPERLINK("https://dart.fss.or.kr/dsaf001/main.do?rcpNo=20260611000633", "공시열람")</f>
        <v/>
      </c>
    </row>
    <row r="10663">
      <c r="A10663" s="2" t="inlineStr">
        <is>
          <t>2026-06-11</t>
        </is>
      </c>
      <c r="B10663" s="3" t="inlineStr">
        <is>
          <t>케이티스카이라이프</t>
        </is>
      </c>
      <c r="C10663" s="2" t="inlineStr">
        <is>
          <t>코스피</t>
        </is>
      </c>
      <c r="D10663" s="2" t="inlineStr">
        <is>
          <t>053210</t>
        </is>
      </c>
      <c r="E10663" s="3" t="inlineStr">
        <is>
          <t>[발행조건확정]증권신고서(채무증권)</t>
        </is>
      </c>
      <c r="F10663" s="3" t="inlineStr">
        <is>
          <t>케이티스카이라이프</t>
        </is>
      </c>
      <c r="G10663" s="2" t="inlineStr">
        <is>
          <t>20260611000631</t>
        </is>
      </c>
      <c r="H10663" s="8">
        <f>HYPERLINK("https://dart.fss.or.kr/dsaf001/main.do?rcpNo=20260611000631", "공시열람")</f>
        <v/>
      </c>
    </row>
    <row r="10664">
      <c r="A10664" s="2" t="inlineStr">
        <is>
          <t>2026-06-11</t>
        </is>
      </c>
      <c r="B10664" s="3" t="inlineStr">
        <is>
          <t>금호에이치티</t>
        </is>
      </c>
      <c r="C10664" s="2" t="inlineStr">
        <is>
          <t>코스피</t>
        </is>
      </c>
      <c r="D10664" s="2" t="inlineStr">
        <is>
          <t>214330</t>
        </is>
      </c>
      <c r="E10664" s="3" t="inlineStr">
        <is>
          <t>임원ㆍ주요주주특정증권등소유상황보고서</t>
        </is>
      </c>
      <c r="F10664" s="3" t="inlineStr">
        <is>
          <t>에코볼트</t>
        </is>
      </c>
      <c r="G10664" s="2" t="inlineStr">
        <is>
          <t>20260611000630</t>
        </is>
      </c>
      <c r="H10664" s="8">
        <f>HYPERLINK("https://dart.fss.or.kr/dsaf001/main.do?rcpNo=20260611000630", "공시열람")</f>
        <v/>
      </c>
    </row>
    <row r="10665">
      <c r="A10665" s="2" t="inlineStr">
        <is>
          <t>2026-06-11</t>
        </is>
      </c>
      <c r="B10665" s="3" t="inlineStr">
        <is>
          <t>더네이쳐홀딩스</t>
        </is>
      </c>
      <c r="C10665" s="2" t="inlineStr">
        <is>
          <t>코스닥</t>
        </is>
      </c>
      <c r="D10665" s="2" t="inlineStr">
        <is>
          <t>298540</t>
        </is>
      </c>
      <c r="E10665" s="3" t="inlineStr">
        <is>
          <t>임원ㆍ주요주주특정증권등소유상황보고서</t>
        </is>
      </c>
      <c r="F10665" s="3" t="inlineStr">
        <is>
          <t>안재우</t>
        </is>
      </c>
      <c r="G10665" s="2" t="inlineStr">
        <is>
          <t>20260611000629</t>
        </is>
      </c>
      <c r="H10665" s="8">
        <f>HYPERLINK("https://dart.fss.or.kr/dsaf001/main.do?rcpNo=20260611000629", "공시열람")</f>
        <v/>
      </c>
    </row>
    <row r="10666">
      <c r="A10666" s="2" t="inlineStr">
        <is>
          <t>2026-06-11</t>
        </is>
      </c>
      <c r="B10666" s="3" t="inlineStr">
        <is>
          <t>뷰웍스</t>
        </is>
      </c>
      <c r="C10666" s="2" t="inlineStr">
        <is>
          <t>코스닥</t>
        </is>
      </c>
      <c r="D10666" s="2" t="inlineStr">
        <is>
          <t>100120</t>
        </is>
      </c>
      <c r="E10666" s="3" t="inlineStr">
        <is>
          <t>신탁계약에의한취득상황보고서</t>
        </is>
      </c>
      <c r="F10666" s="3" t="inlineStr">
        <is>
          <t>뷰웍스</t>
        </is>
      </c>
      <c r="G10666" s="2" t="inlineStr">
        <is>
          <t>20260611000627</t>
        </is>
      </c>
      <c r="H10666" s="8">
        <f>HYPERLINK("https://dart.fss.or.kr/dsaf001/main.do?rcpNo=20260611000627", "공시열람")</f>
        <v/>
      </c>
    </row>
    <row r="10667">
      <c r="A10667" s="2" t="inlineStr">
        <is>
          <t>2026-06-11</t>
        </is>
      </c>
      <c r="B10667" s="3" t="inlineStr">
        <is>
          <t>한화투자증권</t>
        </is>
      </c>
      <c r="C10667" s="2" t="inlineStr">
        <is>
          <t>코스피</t>
        </is>
      </c>
      <c r="D10667" s="2" t="inlineStr">
        <is>
          <t>003530</t>
        </is>
      </c>
      <c r="E10667" s="3" t="inlineStr">
        <is>
          <t>투자설명서(일괄신고)</t>
        </is>
      </c>
      <c r="F10667" s="3" t="inlineStr">
        <is>
          <t>한화투자증권</t>
        </is>
      </c>
      <c r="G10667" s="2" t="inlineStr">
        <is>
          <t>20260611000618</t>
        </is>
      </c>
      <c r="H10667" s="8">
        <f>HYPERLINK("https://dart.fss.or.kr/dsaf001/main.do?rcpNo=20260611000618", "공시열람")</f>
        <v/>
      </c>
    </row>
    <row r="10668">
      <c r="A10668" s="2" t="inlineStr">
        <is>
          <t>2026-06-11</t>
        </is>
      </c>
      <c r="B10668" s="3" t="inlineStr">
        <is>
          <t>한화투자증권</t>
        </is>
      </c>
      <c r="C10668" s="2" t="inlineStr">
        <is>
          <t>코스피</t>
        </is>
      </c>
      <c r="D10668" s="2" t="inlineStr">
        <is>
          <t>003530</t>
        </is>
      </c>
      <c r="E10668" s="3" t="inlineStr">
        <is>
          <t>일괄신고추가서류(파생결합사채-주가연계파생결합사채)</t>
        </is>
      </c>
      <c r="F10668" s="3" t="inlineStr">
        <is>
          <t>한화투자증권</t>
        </is>
      </c>
      <c r="G10668" s="2" t="inlineStr">
        <is>
          <t>20260611000615</t>
        </is>
      </c>
      <c r="H10668" s="8">
        <f>HYPERLINK("https://dart.fss.or.kr/dsaf001/main.do?rcpNo=20260611000615", "공시열람")</f>
        <v/>
      </c>
    </row>
    <row r="10669">
      <c r="A10669" s="2" t="inlineStr">
        <is>
          <t>2026-06-11</t>
        </is>
      </c>
      <c r="B10669" s="3" t="inlineStr">
        <is>
          <t>다스코</t>
        </is>
      </c>
      <c r="C10669" s="2" t="inlineStr">
        <is>
          <t>코스피</t>
        </is>
      </c>
      <c r="D10669" s="2" t="inlineStr">
        <is>
          <t>058730</t>
        </is>
      </c>
      <c r="E10669" s="3" t="inlineStr">
        <is>
          <t>임원ㆍ주요주주특정증권등소유상황보고서</t>
        </is>
      </c>
      <c r="F10669" s="3" t="inlineStr">
        <is>
          <t>한상원</t>
        </is>
      </c>
      <c r="G10669" s="2" t="inlineStr">
        <is>
          <t>20260611000614</t>
        </is>
      </c>
      <c r="H10669" s="8">
        <f>HYPERLINK("https://dart.fss.or.kr/dsaf001/main.do?rcpNo=20260611000614", "공시열람")</f>
        <v/>
      </c>
    </row>
    <row r="10670">
      <c r="A10670" s="2" t="inlineStr">
        <is>
          <t>2026-06-11</t>
        </is>
      </c>
      <c r="B10670" s="3" t="inlineStr">
        <is>
          <t>에코볼트</t>
        </is>
      </c>
      <c r="C10670" s="2" t="inlineStr">
        <is>
          <t>코스닥</t>
        </is>
      </c>
      <c r="D10670" s="2" t="inlineStr">
        <is>
          <t>097780</t>
        </is>
      </c>
      <c r="E10670" s="3" t="inlineStr">
        <is>
          <t>주권매매거래정지해제              (감자 및 액면분할 주권 변경상장)</t>
        </is>
      </c>
      <c r="F10670" s="3" t="inlineStr">
        <is>
          <t>코스닥시장본부</t>
        </is>
      </c>
      <c r="G10670" s="2" t="inlineStr">
        <is>
          <t>20260611900739</t>
        </is>
      </c>
      <c r="H10670" s="8">
        <f>HYPERLINK("https://dart.fss.or.kr/dsaf001/main.do?rcpNo=20260611900739", "공시열람")</f>
        <v/>
      </c>
    </row>
    <row r="10671">
      <c r="A10671" s="2" t="inlineStr">
        <is>
          <t>2026-06-11</t>
        </is>
      </c>
      <c r="B10671" s="3" t="inlineStr">
        <is>
          <t>파두</t>
        </is>
      </c>
      <c r="C10671" s="2" t="inlineStr">
        <is>
          <t>코스닥</t>
        </is>
      </c>
      <c r="D10671" s="2" t="inlineStr">
        <is>
          <t>440110</t>
        </is>
      </c>
      <c r="E10671" s="3" t="inlineStr">
        <is>
          <t>주식매수선택권부여에관한신고</t>
        </is>
      </c>
      <c r="F10671" s="3" t="inlineStr">
        <is>
          <t>파두</t>
        </is>
      </c>
      <c r="G10671" s="2" t="inlineStr">
        <is>
          <t>20260611000606</t>
        </is>
      </c>
      <c r="H10671" s="8">
        <f>HYPERLINK("https://dart.fss.or.kr/dsaf001/main.do?rcpNo=20260611000606", "공시열람")</f>
        <v/>
      </c>
    </row>
    <row r="10672">
      <c r="A10672" s="2" t="inlineStr">
        <is>
          <t>2026-06-11</t>
        </is>
      </c>
      <c r="B10672" s="3" t="inlineStr">
        <is>
          <t>아이엘</t>
        </is>
      </c>
      <c r="C10672" s="2" t="inlineStr">
        <is>
          <t>코스닥</t>
        </is>
      </c>
      <c r="D10672" s="2" t="inlineStr">
        <is>
          <t>307180</t>
        </is>
      </c>
      <c r="E10672" s="3" t="inlineStr">
        <is>
          <t xml:space="preserve">전환가액의조정              </t>
        </is>
      </c>
      <c r="F10672" s="3" t="inlineStr">
        <is>
          <t>아이엘</t>
        </is>
      </c>
      <c r="G10672" s="2" t="inlineStr">
        <is>
          <t>20260611900653</t>
        </is>
      </c>
      <c r="H10672" s="8">
        <f>HYPERLINK("https://dart.fss.or.kr/dsaf001/main.do?rcpNo=20260611900653", "공시열람")</f>
        <v/>
      </c>
    </row>
    <row r="10673">
      <c r="A10673" s="2" t="inlineStr">
        <is>
          <t>2026-06-11</t>
        </is>
      </c>
      <c r="B10673" s="3" t="inlineStr">
        <is>
          <t>한화투자증권</t>
        </is>
      </c>
      <c r="C10673" s="2" t="inlineStr">
        <is>
          <t>코스피</t>
        </is>
      </c>
      <c r="D10673" s="2" t="inlineStr">
        <is>
          <t>003530</t>
        </is>
      </c>
      <c r="E10673" s="3" t="inlineStr">
        <is>
          <t>증권발행실적보고서</t>
        </is>
      </c>
      <c r="F10673" s="3" t="inlineStr">
        <is>
          <t>한화투자증권</t>
        </is>
      </c>
      <c r="G10673" s="2" t="inlineStr">
        <is>
          <t>20260611000593</t>
        </is>
      </c>
      <c r="H10673" s="8">
        <f>HYPERLINK("https://dart.fss.or.kr/dsaf001/main.do?rcpNo=20260611000593", "공시열람")</f>
        <v/>
      </c>
    </row>
    <row r="10674">
      <c r="A10674" s="2" t="inlineStr">
        <is>
          <t>2026-06-11</t>
        </is>
      </c>
      <c r="B10674" s="3" t="inlineStr">
        <is>
          <t>샤페론</t>
        </is>
      </c>
      <c r="C10674" s="2" t="inlineStr">
        <is>
          <t>코스닥</t>
        </is>
      </c>
      <c r="D10674" s="2" t="inlineStr">
        <is>
          <t>378800</t>
        </is>
      </c>
      <c r="E10674" s="3" t="inlineStr">
        <is>
          <t>주요사항보고서(타법인주식및출자증권양수결정)</t>
        </is>
      </c>
      <c r="F10674" s="3" t="inlineStr">
        <is>
          <t>샤페론</t>
        </is>
      </c>
      <c r="G10674" s="2" t="inlineStr">
        <is>
          <t>20260611000467</t>
        </is>
      </c>
      <c r="H10674" s="8">
        <f>HYPERLINK("https://dart.fss.or.kr/dsaf001/main.do?rcpNo=20260611000467", "공시열람")</f>
        <v/>
      </c>
    </row>
    <row r="10675">
      <c r="A10675" s="2" t="inlineStr">
        <is>
          <t>2026-06-11</t>
        </is>
      </c>
      <c r="B10675" s="3" t="inlineStr">
        <is>
          <t>키움증권</t>
        </is>
      </c>
      <c r="C10675" s="2" t="inlineStr">
        <is>
          <t>코스피</t>
        </is>
      </c>
      <c r="D10675" s="2" t="inlineStr">
        <is>
          <t>039490</t>
        </is>
      </c>
      <c r="E10675" s="3" t="inlineStr">
        <is>
          <t>증권발행실적보고서</t>
        </is>
      </c>
      <c r="F10675" s="3" t="inlineStr">
        <is>
          <t>키움증권</t>
        </is>
      </c>
      <c r="G10675" s="2" t="inlineStr">
        <is>
          <t>20260611000589</t>
        </is>
      </c>
      <c r="H10675" s="8">
        <f>HYPERLINK("https://dart.fss.or.kr/dsaf001/main.do?rcpNo=20260611000589", "공시열람")</f>
        <v/>
      </c>
    </row>
    <row r="10676">
      <c r="A10676" s="2" t="inlineStr">
        <is>
          <t>2026-06-11</t>
        </is>
      </c>
      <c r="B10676" s="3" t="inlineStr">
        <is>
          <t>티이엠씨</t>
        </is>
      </c>
      <c r="C10676" s="2" t="inlineStr">
        <is>
          <t>코스닥</t>
        </is>
      </c>
      <c r="D10676" s="2" t="inlineStr">
        <is>
          <t>425040</t>
        </is>
      </c>
      <c r="E10676" s="3" t="inlineStr">
        <is>
          <t>임원ㆍ주요주주특정증권등소유상황보고서</t>
        </is>
      </c>
      <c r="F10676" s="3" t="inlineStr">
        <is>
          <t>유원양</t>
        </is>
      </c>
      <c r="G10676" s="2" t="inlineStr">
        <is>
          <t>20260611000587</t>
        </is>
      </c>
      <c r="H10676" s="8">
        <f>HYPERLINK("https://dart.fss.or.kr/dsaf001/main.do?rcpNo=20260611000587", "공시열람")</f>
        <v/>
      </c>
    </row>
    <row r="10677">
      <c r="A10677" s="2" t="inlineStr">
        <is>
          <t>2026-06-11</t>
        </is>
      </c>
      <c r="B10677" s="3" t="inlineStr">
        <is>
          <t>GS</t>
        </is>
      </c>
      <c r="C10677" s="2" t="inlineStr">
        <is>
          <t>코스피</t>
        </is>
      </c>
      <c r="D10677" s="2" t="inlineStr">
        <is>
          <t>078930</t>
        </is>
      </c>
      <c r="E10677" s="3" t="inlineStr">
        <is>
          <t xml:space="preserve">지주회사의자회사편입              </t>
        </is>
      </c>
      <c r="F10677" s="3" t="inlineStr">
        <is>
          <t>GS</t>
        </is>
      </c>
      <c r="G10677" s="2" t="inlineStr">
        <is>
          <t>20260611800644</t>
        </is>
      </c>
      <c r="H10677" s="8">
        <f>HYPERLINK("https://dart.fss.or.kr/dsaf001/main.do?rcpNo=20260611800644", "공시열람")</f>
        <v/>
      </c>
    </row>
    <row r="10678">
      <c r="A10678" s="2" t="inlineStr">
        <is>
          <t>2026-06-11</t>
        </is>
      </c>
      <c r="B10678" s="3" t="inlineStr">
        <is>
          <t>한글과컴퓨터</t>
        </is>
      </c>
      <c r="C10678" s="2" t="inlineStr">
        <is>
          <t>코스닥</t>
        </is>
      </c>
      <c r="D10678" s="2" t="inlineStr">
        <is>
          <t>030520</t>
        </is>
      </c>
      <c r="E10678" s="3" t="inlineStr">
        <is>
          <t>임원ㆍ주요주주특정증권등소유상황보고서</t>
        </is>
      </c>
      <c r="F10678" s="3" t="inlineStr">
        <is>
          <t>한컴위드</t>
        </is>
      </c>
      <c r="G10678" s="2" t="inlineStr">
        <is>
          <t>20260611000581</t>
        </is>
      </c>
      <c r="H10678" s="8">
        <f>HYPERLINK("https://dart.fss.or.kr/dsaf001/main.do?rcpNo=20260611000581", "공시열람")</f>
        <v/>
      </c>
    </row>
    <row r="10679">
      <c r="A10679" s="2" t="inlineStr">
        <is>
          <t>2026-06-11</t>
        </is>
      </c>
      <c r="B10679" s="3" t="inlineStr">
        <is>
          <t>신영증권</t>
        </is>
      </c>
      <c r="C10679" s="2" t="inlineStr">
        <is>
          <t>코스피</t>
        </is>
      </c>
      <c r="D10679" s="2" t="inlineStr">
        <is>
          <t>001720</t>
        </is>
      </c>
      <c r="E10679" s="3" t="inlineStr">
        <is>
          <t>증권발행실적보고서</t>
        </is>
      </c>
      <c r="F10679" s="3" t="inlineStr">
        <is>
          <t>신영증권</t>
        </is>
      </c>
      <c r="G10679" s="2" t="inlineStr">
        <is>
          <t>20260611000578</t>
        </is>
      </c>
      <c r="H10679" s="8">
        <f>HYPERLINK("https://dart.fss.or.kr/dsaf001/main.do?rcpNo=20260611000578", "공시열람")</f>
        <v/>
      </c>
    </row>
    <row r="10680">
      <c r="A10680" s="2" t="inlineStr">
        <is>
          <t>2026-06-11</t>
        </is>
      </c>
      <c r="B10680" s="3" t="inlineStr">
        <is>
          <t>코람코라이프인프라리츠</t>
        </is>
      </c>
      <c r="C10680" s="2" t="inlineStr">
        <is>
          <t>코스피</t>
        </is>
      </c>
      <c r="D10680" s="2" t="inlineStr">
        <is>
          <t>357120</t>
        </is>
      </c>
      <c r="E10680" s="3" t="inlineStr">
        <is>
          <t>임원ㆍ주요주주특정증권등소유상황보고서</t>
        </is>
      </c>
      <c r="F10680" s="3" t="inlineStr">
        <is>
          <t>미래에셋자산운용</t>
        </is>
      </c>
      <c r="G10680" s="2" t="inlineStr">
        <is>
          <t>20260611000572</t>
        </is>
      </c>
      <c r="H10680" s="8">
        <f>HYPERLINK("https://dart.fss.or.kr/dsaf001/main.do?rcpNo=20260611000572", "공시열람")</f>
        <v/>
      </c>
    </row>
    <row r="10681">
      <c r="A10681" s="2" t="inlineStr">
        <is>
          <t>2026-06-11</t>
        </is>
      </c>
      <c r="B10681" s="3" t="inlineStr">
        <is>
          <t>이지스밸류플러스리츠</t>
        </is>
      </c>
      <c r="C10681" s="2" t="inlineStr">
        <is>
          <t>코스피</t>
        </is>
      </c>
      <c r="D10681" s="2" t="inlineStr">
        <is>
          <t>334890</t>
        </is>
      </c>
      <c r="E10681" s="3" t="inlineStr">
        <is>
          <t>임원ㆍ주요주주특정증권등소유상황보고서</t>
        </is>
      </c>
      <c r="F10681" s="3" t="inlineStr">
        <is>
          <t>미래에셋자산운용</t>
        </is>
      </c>
      <c r="G10681" s="2" t="inlineStr">
        <is>
          <t>20260611000571</t>
        </is>
      </c>
      <c r="H10681" s="8">
        <f>HYPERLINK("https://dart.fss.or.kr/dsaf001/main.do?rcpNo=20260611000571", "공시열람")</f>
        <v/>
      </c>
    </row>
    <row r="10682">
      <c r="A10682" s="2" t="inlineStr">
        <is>
          <t>2026-06-11</t>
        </is>
      </c>
      <c r="B10682" s="3" t="inlineStr">
        <is>
          <t>이리츠코크렙</t>
        </is>
      </c>
      <c r="C10682" s="2" t="inlineStr">
        <is>
          <t>코스피</t>
        </is>
      </c>
      <c r="D10682" s="2" t="inlineStr">
        <is>
          <t>088260</t>
        </is>
      </c>
      <c r="E10682" s="3" t="inlineStr">
        <is>
          <t>임원ㆍ주요주주특정증권등소유상황보고서</t>
        </is>
      </c>
      <c r="F10682" s="3" t="inlineStr">
        <is>
          <t>미래에셋자산운용</t>
        </is>
      </c>
      <c r="G10682" s="2" t="inlineStr">
        <is>
          <t>20260611000570</t>
        </is>
      </c>
      <c r="H10682" s="8">
        <f>HYPERLINK("https://dart.fss.or.kr/dsaf001/main.do?rcpNo=20260611000570", "공시열람")</f>
        <v/>
      </c>
    </row>
    <row r="10683">
      <c r="A10683" s="2" t="inlineStr">
        <is>
          <t>2026-06-11</t>
        </is>
      </c>
      <c r="B10683" s="3" t="inlineStr">
        <is>
          <t>DB증권</t>
        </is>
      </c>
      <c r="C10683" s="2" t="inlineStr">
        <is>
          <t>코스피</t>
        </is>
      </c>
      <c r="D10683" s="2" t="inlineStr">
        <is>
          <t>016610</t>
        </is>
      </c>
      <c r="E10683" s="3" t="inlineStr">
        <is>
          <t>투자설명서(일괄신고)</t>
        </is>
      </c>
      <c r="F10683" s="3" t="inlineStr">
        <is>
          <t>DB증권</t>
        </is>
      </c>
      <c r="G10683" s="2" t="inlineStr">
        <is>
          <t>20260611000569</t>
        </is>
      </c>
      <c r="H10683" s="8">
        <f>HYPERLINK("https://dart.fss.or.kr/dsaf001/main.do?rcpNo=20260611000569", "공시열람")</f>
        <v/>
      </c>
    </row>
    <row r="10684">
      <c r="A10684" s="2" t="inlineStr">
        <is>
          <t>2026-06-11</t>
        </is>
      </c>
      <c r="B10684" s="3" t="inlineStr">
        <is>
          <t>신한알파리츠</t>
        </is>
      </c>
      <c r="C10684" s="2" t="inlineStr">
        <is>
          <t>코스피</t>
        </is>
      </c>
      <c r="D10684" s="2" t="inlineStr">
        <is>
          <t>293940</t>
        </is>
      </c>
      <c r="E10684" s="3" t="inlineStr">
        <is>
          <t>임원ㆍ주요주주특정증권등소유상황보고서</t>
        </is>
      </c>
      <c r="F10684" s="3" t="inlineStr">
        <is>
          <t>미래에셋자산운용</t>
        </is>
      </c>
      <c r="G10684" s="2" t="inlineStr">
        <is>
          <t>20260611000567</t>
        </is>
      </c>
      <c r="H10684" s="8">
        <f>HYPERLINK("https://dart.fss.or.kr/dsaf001/main.do?rcpNo=20260611000567", "공시열람")</f>
        <v/>
      </c>
    </row>
    <row r="10685">
      <c r="A10685" s="2" t="inlineStr">
        <is>
          <t>2026-06-11</t>
        </is>
      </c>
      <c r="B10685" s="3" t="inlineStr">
        <is>
          <t>코스맥스</t>
        </is>
      </c>
      <c r="C10685" s="2" t="inlineStr">
        <is>
          <t>코스피</t>
        </is>
      </c>
      <c r="D10685" s="2" t="inlineStr">
        <is>
          <t>192820</t>
        </is>
      </c>
      <c r="E10685" s="3" t="inlineStr">
        <is>
          <t xml:space="preserve">기업설명회(IR)개최(안내공시)              </t>
        </is>
      </c>
      <c r="F10685" s="3" t="inlineStr">
        <is>
          <t>코스맥스</t>
        </is>
      </c>
      <c r="G10685" s="2" t="inlineStr">
        <is>
          <t>20260611800584</t>
        </is>
      </c>
      <c r="H10685" s="8">
        <f>HYPERLINK("https://dart.fss.or.kr/dsaf001/main.do?rcpNo=20260611800584", "공시열람")</f>
        <v/>
      </c>
    </row>
    <row r="10686">
      <c r="A10686" s="2" t="inlineStr">
        <is>
          <t>2026-06-11</t>
        </is>
      </c>
      <c r="B10686" s="3" t="inlineStr">
        <is>
          <t>롯데리츠</t>
        </is>
      </c>
      <c r="C10686" s="2" t="inlineStr">
        <is>
          <t>코스피</t>
        </is>
      </c>
      <c r="D10686" s="2" t="inlineStr">
        <is>
          <t>330590</t>
        </is>
      </c>
      <c r="E10686" s="3" t="inlineStr">
        <is>
          <t>임원ㆍ주요주주특정증권등소유상황보고서</t>
        </is>
      </c>
      <c r="F10686" s="3" t="inlineStr">
        <is>
          <t>미래에셋자산운용</t>
        </is>
      </c>
      <c r="G10686" s="2" t="inlineStr">
        <is>
          <t>20260611000566</t>
        </is>
      </c>
      <c r="H10686" s="8">
        <f>HYPERLINK("https://dart.fss.or.kr/dsaf001/main.do?rcpNo=20260611000566", "공시열람")</f>
        <v/>
      </c>
    </row>
    <row r="10687">
      <c r="A10687" s="2" t="inlineStr">
        <is>
          <t>2026-06-11</t>
        </is>
      </c>
      <c r="B10687" s="3" t="inlineStr">
        <is>
          <t>제이에스코퍼레이션</t>
        </is>
      </c>
      <c r="C10687" s="2" t="inlineStr">
        <is>
          <t>코스피</t>
        </is>
      </c>
      <c r="D10687" s="2" t="inlineStr">
        <is>
          <t>194370</t>
        </is>
      </c>
      <c r="E10687" s="3" t="inlineStr">
        <is>
          <t xml:space="preserve">현금ㆍ현물배당을위한주주명부폐쇄(기준일)결정              </t>
        </is>
      </c>
      <c r="F10687" s="3" t="inlineStr">
        <is>
          <t>제이에스코퍼레이션</t>
        </is>
      </c>
      <c r="G10687" s="2" t="inlineStr">
        <is>
          <t>20260611800580</t>
        </is>
      </c>
      <c r="H10687" s="8">
        <f>HYPERLINK("https://dart.fss.or.kr/dsaf001/main.do?rcpNo=20260611800580", "공시열람")</f>
        <v/>
      </c>
    </row>
    <row r="10688">
      <c r="A10688" s="2" t="inlineStr">
        <is>
          <t>2026-06-11</t>
        </is>
      </c>
      <c r="B10688" s="3" t="inlineStr">
        <is>
          <t>ESR켄달스퀘어리츠</t>
        </is>
      </c>
      <c r="C10688" s="2" t="inlineStr">
        <is>
          <t>코스피</t>
        </is>
      </c>
      <c r="D10688" s="2" t="inlineStr">
        <is>
          <t>365550</t>
        </is>
      </c>
      <c r="E10688" s="3" t="inlineStr">
        <is>
          <t>임원ㆍ주요주주특정증권등소유상황보고서</t>
        </is>
      </c>
      <c r="F10688" s="3" t="inlineStr">
        <is>
          <t>미래에셋자산운용</t>
        </is>
      </c>
      <c r="G10688" s="2" t="inlineStr">
        <is>
          <t>20260611000564</t>
        </is>
      </c>
      <c r="H10688" s="8">
        <f>HYPERLINK("https://dart.fss.or.kr/dsaf001/main.do?rcpNo=20260611000564", "공시열람")</f>
        <v/>
      </c>
    </row>
    <row r="10689">
      <c r="A10689" s="2" t="inlineStr">
        <is>
          <t>2026-06-11</t>
        </is>
      </c>
      <c r="B10689" s="3" t="inlineStr">
        <is>
          <t>한화리츠</t>
        </is>
      </c>
      <c r="C10689" s="2" t="inlineStr">
        <is>
          <t>코스피</t>
        </is>
      </c>
      <c r="D10689" s="2" t="inlineStr">
        <is>
          <t>451800</t>
        </is>
      </c>
      <c r="E10689" s="3" t="inlineStr">
        <is>
          <t>임원ㆍ주요주주특정증권등소유상황보고서</t>
        </is>
      </c>
      <c r="F10689" s="3" t="inlineStr">
        <is>
          <t>미래에셋자산운용</t>
        </is>
      </c>
      <c r="G10689" s="2" t="inlineStr">
        <is>
          <t>20260611000563</t>
        </is>
      </c>
      <c r="H10689" s="8">
        <f>HYPERLINK("https://dart.fss.or.kr/dsaf001/main.do?rcpNo=20260611000563", "공시열람")</f>
        <v/>
      </c>
    </row>
    <row r="10690">
      <c r="A10690" s="2" t="inlineStr">
        <is>
          <t>2026-06-11</t>
        </is>
      </c>
      <c r="B10690" s="3" t="inlineStr">
        <is>
          <t>삼성FN리츠</t>
        </is>
      </c>
      <c r="C10690" s="2" t="inlineStr">
        <is>
          <t>코스피</t>
        </is>
      </c>
      <c r="D10690" s="2" t="inlineStr">
        <is>
          <t>448730</t>
        </is>
      </c>
      <c r="E10690" s="3" t="inlineStr">
        <is>
          <t>임원ㆍ주요주주특정증권등소유상황보고서</t>
        </is>
      </c>
      <c r="F10690" s="3" t="inlineStr">
        <is>
          <t>미래에셋자산운용</t>
        </is>
      </c>
      <c r="G10690" s="2" t="inlineStr">
        <is>
          <t>20260611000561</t>
        </is>
      </c>
      <c r="H10690" s="8">
        <f>HYPERLINK("https://dart.fss.or.kr/dsaf001/main.do?rcpNo=20260611000561", "공시열람")</f>
        <v/>
      </c>
    </row>
    <row r="10691">
      <c r="A10691" s="2" t="inlineStr">
        <is>
          <t>2026-06-11</t>
        </is>
      </c>
      <c r="B10691" s="3" t="inlineStr">
        <is>
          <t>코람코더원리츠</t>
        </is>
      </c>
      <c r="C10691" s="2" t="inlineStr">
        <is>
          <t>코스피</t>
        </is>
      </c>
      <c r="D10691" s="2" t="inlineStr">
        <is>
          <t>417310</t>
        </is>
      </c>
      <c r="E10691" s="3" t="inlineStr">
        <is>
          <t>임원ㆍ주요주주특정증권등소유상황보고서</t>
        </is>
      </c>
      <c r="F10691" s="3" t="inlineStr">
        <is>
          <t>미래에셋자산운용</t>
        </is>
      </c>
      <c r="G10691" s="2" t="inlineStr">
        <is>
          <t>20260611000560</t>
        </is>
      </c>
      <c r="H10691" s="8">
        <f>HYPERLINK("https://dart.fss.or.kr/dsaf001/main.do?rcpNo=20260611000560", "공시열람")</f>
        <v/>
      </c>
    </row>
    <row r="10692">
      <c r="A10692" s="2" t="inlineStr">
        <is>
          <t>2026-06-11</t>
        </is>
      </c>
      <c r="B10692" s="3" t="inlineStr">
        <is>
          <t>신한서부티엔디리츠</t>
        </is>
      </c>
      <c r="C10692" s="2" t="inlineStr">
        <is>
          <t>코스피</t>
        </is>
      </c>
      <c r="D10692" s="2" t="inlineStr">
        <is>
          <t>404990</t>
        </is>
      </c>
      <c r="E10692" s="3" t="inlineStr">
        <is>
          <t>임원ㆍ주요주주특정증권등소유상황보고서</t>
        </is>
      </c>
      <c r="F10692" s="3" t="inlineStr">
        <is>
          <t>미래에셋자산운용</t>
        </is>
      </c>
      <c r="G10692" s="2" t="inlineStr">
        <is>
          <t>20260611000559</t>
        </is>
      </c>
      <c r="H10692" s="8">
        <f>HYPERLINK("https://dart.fss.or.kr/dsaf001/main.do?rcpNo=20260611000559", "공시열람")</f>
        <v/>
      </c>
    </row>
    <row r="10693">
      <c r="A10693" s="2" t="inlineStr">
        <is>
          <t>2026-06-11</t>
        </is>
      </c>
      <c r="B10693" s="3" t="inlineStr">
        <is>
          <t>SK리츠</t>
        </is>
      </c>
      <c r="C10693" s="2" t="inlineStr">
        <is>
          <t>코스피</t>
        </is>
      </c>
      <c r="D10693" s="2" t="inlineStr">
        <is>
          <t>395400</t>
        </is>
      </c>
      <c r="E10693" s="3" t="inlineStr">
        <is>
          <t>임원ㆍ주요주주특정증권등소유상황보고서</t>
        </is>
      </c>
      <c r="F10693" s="3" t="inlineStr">
        <is>
          <t>미래에셋자산운용</t>
        </is>
      </c>
      <c r="G10693" s="2" t="inlineStr">
        <is>
          <t>20260611000556</t>
        </is>
      </c>
      <c r="H10693" s="8">
        <f>HYPERLINK("https://dart.fss.or.kr/dsaf001/main.do?rcpNo=20260611000556", "공시열람")</f>
        <v/>
      </c>
    </row>
    <row r="10694">
      <c r="A10694" s="2" t="inlineStr">
        <is>
          <t>2026-06-11</t>
        </is>
      </c>
      <c r="B10694" s="3" t="inlineStr">
        <is>
          <t>신영증권</t>
        </is>
      </c>
      <c r="C10694" s="2" t="inlineStr">
        <is>
          <t>코스피</t>
        </is>
      </c>
      <c r="D10694" s="2" t="inlineStr">
        <is>
          <t>001720</t>
        </is>
      </c>
      <c r="E10694" s="3" t="inlineStr">
        <is>
          <t>증권발행실적보고서</t>
        </is>
      </c>
      <c r="F10694" s="3" t="inlineStr">
        <is>
          <t>신영증권</t>
        </is>
      </c>
      <c r="G10694" s="2" t="inlineStr">
        <is>
          <t>20260611000555</t>
        </is>
      </c>
      <c r="H10694" s="8">
        <f>HYPERLINK("https://dart.fss.or.kr/dsaf001/main.do?rcpNo=20260611000555", "공시열람")</f>
        <v/>
      </c>
    </row>
    <row r="10695">
      <c r="A10695" s="2" t="inlineStr">
        <is>
          <t>2026-06-11</t>
        </is>
      </c>
      <c r="B10695" s="3" t="inlineStr">
        <is>
          <t>디앤디플랫폼리츠</t>
        </is>
      </c>
      <c r="C10695" s="2" t="inlineStr">
        <is>
          <t>코스피</t>
        </is>
      </c>
      <c r="D10695" s="2" t="inlineStr">
        <is>
          <t>377190</t>
        </is>
      </c>
      <c r="E10695" s="3" t="inlineStr">
        <is>
          <t>임원ㆍ주요주주특정증권등소유상황보고서</t>
        </is>
      </c>
      <c r="F10695" s="3" t="inlineStr">
        <is>
          <t>미래에셋자산운용</t>
        </is>
      </c>
      <c r="G10695" s="2" t="inlineStr">
        <is>
          <t>20260611000554</t>
        </is>
      </c>
      <c r="H10695" s="8">
        <f>HYPERLINK("https://dart.fss.or.kr/dsaf001/main.do?rcpNo=20260611000554", "공시열람")</f>
        <v/>
      </c>
    </row>
    <row r="10696">
      <c r="A10696" s="2" t="inlineStr">
        <is>
          <t>2026-06-11</t>
        </is>
      </c>
      <c r="B10696" s="3" t="inlineStr">
        <is>
          <t>한국캐피탈</t>
        </is>
      </c>
      <c r="C10696" s="2" t="inlineStr">
        <is>
          <t>코스닥</t>
        </is>
      </c>
      <c r="D10696" s="2" t="inlineStr">
        <is>
          <t>023760</t>
        </is>
      </c>
      <c r="E10696" s="3" t="inlineStr">
        <is>
          <t>증권발행실적보고서</t>
        </is>
      </c>
      <c r="F10696" s="3" t="inlineStr">
        <is>
          <t>한국캐피탈</t>
        </is>
      </c>
      <c r="G10696" s="2" t="inlineStr">
        <is>
          <t>20260611000546</t>
        </is>
      </c>
      <c r="H10696" s="8">
        <f>HYPERLINK("https://dart.fss.or.kr/dsaf001/main.do?rcpNo=20260611000546", "공시열람")</f>
        <v/>
      </c>
    </row>
    <row r="10697">
      <c r="A10697" s="2" t="inlineStr">
        <is>
          <t>2026-06-11</t>
        </is>
      </c>
      <c r="B10697" s="3" t="inlineStr">
        <is>
          <t>알로이스</t>
        </is>
      </c>
      <c r="C10697" s="2" t="inlineStr">
        <is>
          <t>코스닥</t>
        </is>
      </c>
      <c r="D10697" s="2" t="inlineStr">
        <is>
          <t>297570</t>
        </is>
      </c>
      <c r="E10697" s="3" t="inlineStr">
        <is>
          <t xml:space="preserve">소송등의판결ㆍ결정              </t>
        </is>
      </c>
      <c r="F10697" s="3" t="inlineStr">
        <is>
          <t>알로이스</t>
        </is>
      </c>
      <c r="G10697" s="2" t="inlineStr">
        <is>
          <t>20260611900600</t>
        </is>
      </c>
      <c r="H10697" s="8">
        <f>HYPERLINK("https://dart.fss.or.kr/dsaf001/main.do?rcpNo=20260611900600", "공시열람")</f>
        <v/>
      </c>
    </row>
    <row r="10698">
      <c r="A10698" s="2" t="inlineStr">
        <is>
          <t>2026-06-11</t>
        </is>
      </c>
      <c r="B10698" s="3" t="inlineStr">
        <is>
          <t>위즈코프</t>
        </is>
      </c>
      <c r="C10698" s="2" t="inlineStr">
        <is>
          <t>코스닥</t>
        </is>
      </c>
      <c r="D10698" s="2" t="inlineStr">
        <is>
          <t>038620</t>
        </is>
      </c>
      <c r="E10698" s="3" t="inlineStr">
        <is>
          <t>임원ㆍ주요주주특정증권등거래계획보고서</t>
        </is>
      </c>
      <c r="F10698" s="3" t="inlineStr">
        <is>
          <t>에스에이치에셋</t>
        </is>
      </c>
      <c r="G10698" s="2" t="inlineStr">
        <is>
          <t>20260611000542</t>
        </is>
      </c>
      <c r="H10698" s="8">
        <f>HYPERLINK("https://dart.fss.or.kr/dsaf001/main.do?rcpNo=20260611000542", "공시열람")</f>
        <v/>
      </c>
    </row>
    <row r="10699">
      <c r="A10699" s="2" t="inlineStr">
        <is>
          <t>2026-06-11</t>
        </is>
      </c>
      <c r="B10699" s="3" t="inlineStr">
        <is>
          <t>S&amp;K폴리텍</t>
        </is>
      </c>
      <c r="C10699" s="2" t="inlineStr">
        <is>
          <t>코스닥</t>
        </is>
      </c>
      <c r="D10699" s="2" t="inlineStr">
        <is>
          <t>091340</t>
        </is>
      </c>
      <c r="E10699" s="3" t="inlineStr">
        <is>
          <t>주요사항보고서(유형자산양도결정)</t>
        </is>
      </c>
      <c r="F10699" s="3" t="inlineStr">
        <is>
          <t>S&amp;K폴리텍</t>
        </is>
      </c>
      <c r="G10699" s="2" t="inlineStr">
        <is>
          <t>20260611000531</t>
        </is>
      </c>
      <c r="H10699" s="8">
        <f>HYPERLINK("https://dart.fss.or.kr/dsaf001/main.do?rcpNo=20260611000531", "공시열람")</f>
        <v/>
      </c>
    </row>
    <row r="10700">
      <c r="A10700" s="2" t="inlineStr">
        <is>
          <t>2026-06-11</t>
        </is>
      </c>
      <c r="B10700" s="3" t="inlineStr">
        <is>
          <t>네오오토</t>
        </is>
      </c>
      <c r="C10700" s="2" t="inlineStr">
        <is>
          <t>코스닥</t>
        </is>
      </c>
      <c r="D10700" s="2" t="inlineStr">
        <is>
          <t>212560</t>
        </is>
      </c>
      <c r="E10700" s="3" t="inlineStr">
        <is>
          <t xml:space="preserve">전환청구권행사              </t>
        </is>
      </c>
      <c r="F10700" s="3" t="inlineStr">
        <is>
          <t>네오오토</t>
        </is>
      </c>
      <c r="G10700" s="2" t="inlineStr">
        <is>
          <t>20260611900592</t>
        </is>
      </c>
      <c r="H10700" s="8">
        <f>HYPERLINK("https://dart.fss.or.kr/dsaf001/main.do?rcpNo=20260611900592", "공시열람")</f>
        <v/>
      </c>
    </row>
    <row r="10701">
      <c r="A10701" s="2" t="inlineStr">
        <is>
          <t>2026-06-11</t>
        </is>
      </c>
      <c r="B10701" s="3" t="inlineStr">
        <is>
          <t>자연과환경</t>
        </is>
      </c>
      <c r="C10701" s="2" t="inlineStr">
        <is>
          <t>코스닥</t>
        </is>
      </c>
      <c r="D10701" s="2" t="inlineStr">
        <is>
          <t>043910</t>
        </is>
      </c>
      <c r="E10701" s="3" t="inlineStr">
        <is>
          <t>임원ㆍ주요주주특정증권등소유상황보고서</t>
        </is>
      </c>
      <c r="F10701" s="3" t="inlineStr">
        <is>
          <t>이병용</t>
        </is>
      </c>
      <c r="G10701" s="2" t="inlineStr">
        <is>
          <t>20260611000536</t>
        </is>
      </c>
      <c r="H10701" s="8">
        <f>HYPERLINK("https://dart.fss.or.kr/dsaf001/main.do?rcpNo=20260611000536", "공시열람")</f>
        <v/>
      </c>
    </row>
    <row r="10702">
      <c r="A10702" s="2" t="inlineStr">
        <is>
          <t>2026-06-11</t>
        </is>
      </c>
      <c r="B10702" s="3" t="inlineStr">
        <is>
          <t>LS증권</t>
        </is>
      </c>
      <c r="C10702" s="2" t="inlineStr">
        <is>
          <t>코스닥</t>
        </is>
      </c>
      <c r="D10702" s="2" t="inlineStr">
        <is>
          <t>078020</t>
        </is>
      </c>
      <c r="E10702" s="3" t="inlineStr">
        <is>
          <t xml:space="preserve">소송등의제기ㆍ신청(일정금액이상의청구)              </t>
        </is>
      </c>
      <c r="F10702" s="3" t="inlineStr">
        <is>
          <t>LS증권</t>
        </is>
      </c>
      <c r="G10702" s="2" t="inlineStr">
        <is>
          <t>20260611900583</t>
        </is>
      </c>
      <c r="H10702" s="8">
        <f>HYPERLINK("https://dart.fss.or.kr/dsaf001/main.do?rcpNo=20260611900583", "공시열람")</f>
        <v/>
      </c>
    </row>
    <row r="10703">
      <c r="A10703" s="2" t="inlineStr">
        <is>
          <t>2026-06-11</t>
        </is>
      </c>
      <c r="B10703" s="3" t="inlineStr">
        <is>
          <t>원익큐브</t>
        </is>
      </c>
      <c r="C10703" s="2" t="inlineStr">
        <is>
          <t>코스닥</t>
        </is>
      </c>
      <c r="D10703" s="2" t="inlineStr">
        <is>
          <t>014190</t>
        </is>
      </c>
      <c r="E10703" s="3" t="inlineStr">
        <is>
          <t>임원ㆍ주요주주특정증권등소유상황보고서</t>
        </is>
      </c>
      <c r="F10703" s="3" t="inlineStr">
        <is>
          <t>최정훈</t>
        </is>
      </c>
      <c r="G10703" s="2" t="inlineStr">
        <is>
          <t>20260611000527</t>
        </is>
      </c>
      <c r="H10703" s="8">
        <f>HYPERLINK("https://dart.fss.or.kr/dsaf001/main.do?rcpNo=20260611000527", "공시열람")</f>
        <v/>
      </c>
    </row>
    <row r="10704">
      <c r="A10704" s="2" t="inlineStr">
        <is>
          <t>2026-06-11</t>
        </is>
      </c>
      <c r="B10704" s="3" t="inlineStr">
        <is>
          <t>HLB파나진</t>
        </is>
      </c>
      <c r="C10704" s="2" t="inlineStr">
        <is>
          <t>코스닥</t>
        </is>
      </c>
      <c r="D10704" s="2" t="inlineStr">
        <is>
          <t>046210</t>
        </is>
      </c>
      <c r="E10704" s="3" t="inlineStr">
        <is>
          <t>임원ㆍ주요주주특정증권등소유상황보고서</t>
        </is>
      </c>
      <c r="F10704" s="3" t="inlineStr">
        <is>
          <t>최재진</t>
        </is>
      </c>
      <c r="G10704" s="2" t="inlineStr">
        <is>
          <t>20260611000526</t>
        </is>
      </c>
      <c r="H10704" s="8">
        <f>HYPERLINK("https://dart.fss.or.kr/dsaf001/main.do?rcpNo=20260611000526", "공시열람")</f>
        <v/>
      </c>
    </row>
    <row r="10705">
      <c r="A10705" s="2" t="inlineStr">
        <is>
          <t>2026-06-11</t>
        </is>
      </c>
      <c r="B10705" s="3" t="inlineStr">
        <is>
          <t>신성이엔지</t>
        </is>
      </c>
      <c r="C10705" s="2" t="inlineStr">
        <is>
          <t>코스피</t>
        </is>
      </c>
      <c r="D10705" s="2" t="inlineStr">
        <is>
          <t>011930</t>
        </is>
      </c>
      <c r="E10705" s="3" t="inlineStr">
        <is>
          <t>임원ㆍ주요주주특정증권등소유상황보고서</t>
        </is>
      </c>
      <c r="F10705" s="3" t="inlineStr">
        <is>
          <t>김태형</t>
        </is>
      </c>
      <c r="G10705" s="2" t="inlineStr">
        <is>
          <t>20260611000524</t>
        </is>
      </c>
      <c r="H10705" s="8">
        <f>HYPERLINK("https://dart.fss.or.kr/dsaf001/main.do?rcpNo=20260611000524", "공시열람")</f>
        <v/>
      </c>
    </row>
    <row r="10706">
      <c r="A10706" s="2" t="inlineStr">
        <is>
          <t>2026-06-11</t>
        </is>
      </c>
      <c r="B10706" s="3" t="inlineStr">
        <is>
          <t>DB증권</t>
        </is>
      </c>
      <c r="C10706" s="2" t="inlineStr">
        <is>
          <t>코스피</t>
        </is>
      </c>
      <c r="D10706" s="2" t="inlineStr">
        <is>
          <t>016610</t>
        </is>
      </c>
      <c r="E10706" s="3" t="inlineStr">
        <is>
          <t>일괄신고추가서류(기타파생결합사채)</t>
        </is>
      </c>
      <c r="F10706" s="3" t="inlineStr">
        <is>
          <t>DB증권</t>
        </is>
      </c>
      <c r="G10706" s="2" t="inlineStr">
        <is>
          <t>20260611000520</t>
        </is>
      </c>
      <c r="H10706" s="8">
        <f>HYPERLINK("https://dart.fss.or.kr/dsaf001/main.do?rcpNo=20260611000520", "공시열람")</f>
        <v/>
      </c>
    </row>
    <row r="10707">
      <c r="A10707" s="2" t="inlineStr">
        <is>
          <t>2026-06-11</t>
        </is>
      </c>
      <c r="B10707" s="3" t="inlineStr">
        <is>
          <t>키움증권</t>
        </is>
      </c>
      <c r="C10707" s="2" t="inlineStr">
        <is>
          <t>코스피</t>
        </is>
      </c>
      <c r="D10707" s="2" t="inlineStr">
        <is>
          <t>039490</t>
        </is>
      </c>
      <c r="E10707" s="3" t="inlineStr">
        <is>
          <t>투자설명서(일괄신고)</t>
        </is>
      </c>
      <c r="F10707" s="3" t="inlineStr">
        <is>
          <t>키움증권</t>
        </is>
      </c>
      <c r="G10707" s="2" t="inlineStr">
        <is>
          <t>20260611000519</t>
        </is>
      </c>
      <c r="H10707" s="8">
        <f>HYPERLINK("https://dart.fss.or.kr/dsaf001/main.do?rcpNo=20260611000519", "공시열람")</f>
        <v/>
      </c>
    </row>
    <row r="10708">
      <c r="A10708" s="2" t="inlineStr">
        <is>
          <t>2026-06-11</t>
        </is>
      </c>
      <c r="B10708" s="3" t="inlineStr">
        <is>
          <t>더네이쳐홀딩스</t>
        </is>
      </c>
      <c r="C10708" s="2" t="inlineStr">
        <is>
          <t>코스닥</t>
        </is>
      </c>
      <c r="D10708" s="2" t="inlineStr">
        <is>
          <t>298540</t>
        </is>
      </c>
      <c r="E10708" s="3" t="inlineStr">
        <is>
          <t xml:space="preserve">기업설명회(IR)개최              </t>
        </is>
      </c>
      <c r="F10708" s="3" t="inlineStr">
        <is>
          <t>더네이쳐홀딩스</t>
        </is>
      </c>
      <c r="G10708" s="2" t="inlineStr">
        <is>
          <t>20260611900565</t>
        </is>
      </c>
      <c r="H10708" s="8">
        <f>HYPERLINK("https://dart.fss.or.kr/dsaf001/main.do?rcpNo=20260611900565", "공시열람")</f>
        <v/>
      </c>
    </row>
    <row r="10709">
      <c r="A10709" s="2" t="inlineStr">
        <is>
          <t>2026-06-11</t>
        </is>
      </c>
      <c r="B10709" s="3" t="inlineStr">
        <is>
          <t>글로벌에스엠</t>
        </is>
      </c>
      <c r="C10709" s="2" t="inlineStr">
        <is>
          <t>코스닥</t>
        </is>
      </c>
      <c r="D10709" s="2" t="inlineStr">
        <is>
          <t>900070</t>
        </is>
      </c>
      <c r="E10709" s="3" t="inlineStr">
        <is>
          <t>주권매매거래정지해제              (액면병합 주권 변경상장)</t>
        </is>
      </c>
      <c r="F10709" s="3" t="inlineStr">
        <is>
          <t>코스닥시장본부</t>
        </is>
      </c>
      <c r="G10709" s="2" t="inlineStr">
        <is>
          <t>20260611900544</t>
        </is>
      </c>
      <c r="H10709" s="8">
        <f>HYPERLINK("https://dart.fss.or.kr/dsaf001/main.do?rcpNo=20260611900544", "공시열람")</f>
        <v/>
      </c>
    </row>
    <row r="10710">
      <c r="A10710" s="2" t="inlineStr">
        <is>
          <t>2026-06-11</t>
        </is>
      </c>
      <c r="B10710" s="3" t="inlineStr">
        <is>
          <t>현대모비스</t>
        </is>
      </c>
      <c r="C10710" s="2" t="inlineStr">
        <is>
          <t>코스피</t>
        </is>
      </c>
      <c r="D10710" s="2" t="inlineStr">
        <is>
          <t>012330</t>
        </is>
      </c>
      <c r="E10710" s="3" t="inlineStr">
        <is>
          <t>특수관계인에대한출자</t>
        </is>
      </c>
      <c r="F10710" s="3" t="inlineStr">
        <is>
          <t>현대모비스</t>
        </is>
      </c>
      <c r="G10710" s="2" t="inlineStr">
        <is>
          <t>20260611000516</t>
        </is>
      </c>
      <c r="H10710" s="8">
        <f>HYPERLINK("https://dart.fss.or.kr/dsaf001/main.do?rcpNo=20260611000516", "공시열람")</f>
        <v/>
      </c>
    </row>
    <row r="10711">
      <c r="A10711" s="2" t="inlineStr">
        <is>
          <t>2026-06-11</t>
        </is>
      </c>
      <c r="B10711" s="3" t="inlineStr">
        <is>
          <t>RF머트리얼즈</t>
        </is>
      </c>
      <c r="C10711" s="2" t="inlineStr">
        <is>
          <t>코스닥</t>
        </is>
      </c>
      <c r="D10711" s="2" t="inlineStr">
        <is>
          <t>327260</t>
        </is>
      </c>
      <c r="E10711" s="3" t="inlineStr">
        <is>
          <t>임원ㆍ주요주주특정증권등소유상황보고서</t>
        </is>
      </c>
      <c r="F10711" s="3" t="inlineStr">
        <is>
          <t>박근영</t>
        </is>
      </c>
      <c r="G10711" s="2" t="inlineStr">
        <is>
          <t>20260611000513</t>
        </is>
      </c>
      <c r="H10711" s="8">
        <f>HYPERLINK("https://dart.fss.or.kr/dsaf001/main.do?rcpNo=20260611000513", "공시열람")</f>
        <v/>
      </c>
    </row>
    <row r="10712">
      <c r="A10712" s="2" t="inlineStr">
        <is>
          <t>2026-06-11</t>
        </is>
      </c>
      <c r="B10712" s="3" t="inlineStr">
        <is>
          <t>금호석유화학</t>
        </is>
      </c>
      <c r="C10712" s="2" t="inlineStr">
        <is>
          <t>코스피</t>
        </is>
      </c>
      <c r="D10712" s="2" t="inlineStr">
        <is>
          <t>011780</t>
        </is>
      </c>
      <c r="E10712" s="3" t="inlineStr">
        <is>
          <t>임원ㆍ주요주주특정증권등소유상황보고서</t>
        </is>
      </c>
      <c r="F10712" s="3" t="inlineStr">
        <is>
          <t>박주형</t>
        </is>
      </c>
      <c r="G10712" s="2" t="inlineStr">
        <is>
          <t>20260611000512</t>
        </is>
      </c>
      <c r="H10712" s="8">
        <f>HYPERLINK("https://dart.fss.or.kr/dsaf001/main.do?rcpNo=20260611000512", "공시열람")</f>
        <v/>
      </c>
    </row>
    <row r="10713">
      <c r="A10713" s="2" t="inlineStr">
        <is>
          <t>2026-06-11</t>
        </is>
      </c>
      <c r="B10713" s="3" t="inlineStr">
        <is>
          <t>프롬바이오</t>
        </is>
      </c>
      <c r="C10713" s="2" t="inlineStr">
        <is>
          <t>코스닥</t>
        </is>
      </c>
      <c r="D10713" s="2" t="inlineStr">
        <is>
          <t>377220</t>
        </is>
      </c>
      <c r="E10713" s="3" t="inlineStr">
        <is>
          <t xml:space="preserve">단기차입금증가결정              </t>
        </is>
      </c>
      <c r="F10713" s="3" t="inlineStr">
        <is>
          <t>프롬바이오</t>
        </is>
      </c>
      <c r="G10713" s="2" t="inlineStr">
        <is>
          <t>20260611900557</t>
        </is>
      </c>
      <c r="H10713" s="8">
        <f>HYPERLINK("https://dart.fss.or.kr/dsaf001/main.do?rcpNo=20260611900557", "공시열람")</f>
        <v/>
      </c>
    </row>
    <row r="10714">
      <c r="A10714" s="2" t="inlineStr">
        <is>
          <t>2026-06-11</t>
        </is>
      </c>
      <c r="B10714" s="3" t="inlineStr">
        <is>
          <t>케이뱅크</t>
        </is>
      </c>
      <c r="C10714" s="2" t="inlineStr">
        <is>
          <t>코스피</t>
        </is>
      </c>
      <c r="D10714" s="2" t="inlineStr">
        <is>
          <t>279570</t>
        </is>
      </c>
      <c r="E10714" s="3" t="inlineStr">
        <is>
          <t xml:space="preserve">기업설명회(IR)개최(안내공시)              </t>
        </is>
      </c>
      <c r="F10714" s="3" t="inlineStr">
        <is>
          <t>케이뱅크</t>
        </is>
      </c>
      <c r="G10714" s="2" t="inlineStr">
        <is>
          <t>20260611800526</t>
        </is>
      </c>
      <c r="H10714" s="8">
        <f>HYPERLINK("https://dart.fss.or.kr/dsaf001/main.do?rcpNo=20260611800526", "공시열람")</f>
        <v/>
      </c>
    </row>
    <row r="10715">
      <c r="A10715" s="2" t="inlineStr">
        <is>
          <t>2026-06-11</t>
        </is>
      </c>
      <c r="B10715" s="3" t="inlineStr">
        <is>
          <t>RF머트리얼즈</t>
        </is>
      </c>
      <c r="C10715" s="2" t="inlineStr">
        <is>
          <t>코스닥</t>
        </is>
      </c>
      <c r="D10715" s="2" t="inlineStr">
        <is>
          <t>327260</t>
        </is>
      </c>
      <c r="E10715" s="3" t="inlineStr">
        <is>
          <t>임원ㆍ주요주주특정증권등소유상황보고서</t>
        </is>
      </c>
      <c r="F10715" s="3" t="inlineStr">
        <is>
          <t>김종기</t>
        </is>
      </c>
      <c r="G10715" s="2" t="inlineStr">
        <is>
          <t>20260611000507</t>
        </is>
      </c>
      <c r="H10715" s="8">
        <f>HYPERLINK("https://dart.fss.or.kr/dsaf001/main.do?rcpNo=20260611000507", "공시열람")</f>
        <v/>
      </c>
    </row>
    <row r="10716">
      <c r="A10716" s="2" t="inlineStr">
        <is>
          <t>2026-06-11</t>
        </is>
      </c>
      <c r="B10716" s="3" t="inlineStr">
        <is>
          <t>원익큐브</t>
        </is>
      </c>
      <c r="C10716" s="2" t="inlineStr">
        <is>
          <t>코스닥</t>
        </is>
      </c>
      <c r="D10716" s="2" t="inlineStr">
        <is>
          <t>014190</t>
        </is>
      </c>
      <c r="E10716" s="3" t="inlineStr">
        <is>
          <t>임원ㆍ주요주주특정증권등소유상황보고서</t>
        </is>
      </c>
      <c r="F10716" s="3" t="inlineStr">
        <is>
          <t>김응선</t>
        </is>
      </c>
      <c r="G10716" s="2" t="inlineStr">
        <is>
          <t>20260611000506</t>
        </is>
      </c>
      <c r="H10716" s="8">
        <f>HYPERLINK("https://dart.fss.or.kr/dsaf001/main.do?rcpNo=20260611000506", "공시열람")</f>
        <v/>
      </c>
    </row>
    <row r="10717">
      <c r="A10717" s="2" t="inlineStr">
        <is>
          <t>2026-06-11</t>
        </is>
      </c>
      <c r="B10717" s="3" t="inlineStr">
        <is>
          <t>RF머트리얼즈</t>
        </is>
      </c>
      <c r="C10717" s="2" t="inlineStr">
        <is>
          <t>코스닥</t>
        </is>
      </c>
      <c r="D10717" s="2" t="inlineStr">
        <is>
          <t>327260</t>
        </is>
      </c>
      <c r="E10717" s="3" t="inlineStr">
        <is>
          <t>임원ㆍ주요주주특정증권등소유상황보고서</t>
        </is>
      </c>
      <c r="F10717" s="3" t="inlineStr">
        <is>
          <t>김주현</t>
        </is>
      </c>
      <c r="G10717" s="2" t="inlineStr">
        <is>
          <t>20260611000503</t>
        </is>
      </c>
      <c r="H10717" s="8">
        <f>HYPERLINK("https://dart.fss.or.kr/dsaf001/main.do?rcpNo=20260611000503", "공시열람")</f>
        <v/>
      </c>
    </row>
    <row r="10718">
      <c r="A10718" s="2" t="inlineStr">
        <is>
          <t>2026-06-11</t>
        </is>
      </c>
      <c r="B10718" s="3" t="inlineStr">
        <is>
          <t>원포유</t>
        </is>
      </c>
      <c r="C10718" s="2" t="inlineStr">
        <is>
          <t>코넥스</t>
        </is>
      </c>
      <c r="D10718" s="2" t="inlineStr">
        <is>
          <t>122830</t>
        </is>
      </c>
      <c r="E10718" s="3" t="inlineStr">
        <is>
          <t xml:space="preserve">기업설명회(IR)개최결과              </t>
        </is>
      </c>
      <c r="F10718" s="3" t="inlineStr">
        <is>
          <t>원포유</t>
        </is>
      </c>
      <c r="G10718" s="2" t="inlineStr">
        <is>
          <t>20260611600517</t>
        </is>
      </c>
      <c r="H10718" s="8">
        <f>HYPERLINK("https://dart.fss.or.kr/dsaf001/main.do?rcpNo=20260611600517", "공시열람")</f>
        <v/>
      </c>
    </row>
    <row r="10719">
      <c r="A10719" s="2" t="inlineStr">
        <is>
          <t>2026-06-11</t>
        </is>
      </c>
      <c r="B10719" s="3" t="inlineStr">
        <is>
          <t>마스턴프리미어리츠</t>
        </is>
      </c>
      <c r="C10719" s="2" t="inlineStr">
        <is>
          <t>코스피</t>
        </is>
      </c>
      <c r="D10719" s="2" t="inlineStr">
        <is>
          <t>357430</t>
        </is>
      </c>
      <c r="E10719" s="3" t="inlineStr">
        <is>
          <t>의결권대리행사권유참고서류</t>
        </is>
      </c>
      <c r="F10719" s="3" t="inlineStr">
        <is>
          <t>마스턴프리미어리츠</t>
        </is>
      </c>
      <c r="G10719" s="2" t="inlineStr">
        <is>
          <t>20260611000501</t>
        </is>
      </c>
      <c r="H10719" s="8">
        <f>HYPERLINK("https://dart.fss.or.kr/dsaf001/main.do?rcpNo=20260611000501", "공시열람")</f>
        <v/>
      </c>
    </row>
    <row r="10720">
      <c r="A10720" s="2" t="inlineStr">
        <is>
          <t>2026-06-11</t>
        </is>
      </c>
      <c r="B10720" s="3" t="inlineStr">
        <is>
          <t>탑선</t>
        </is>
      </c>
      <c r="C10720" s="2" t="inlineStr">
        <is>
          <t>코넥스</t>
        </is>
      </c>
      <c r="D10720" s="2" t="inlineStr">
        <is>
          <t>180060</t>
        </is>
      </c>
      <c r="E10720" s="3" t="inlineStr">
        <is>
          <t xml:space="preserve">기업설명회(IR)개최결과              </t>
        </is>
      </c>
      <c r="F10720" s="3" t="inlineStr">
        <is>
          <t>탑선</t>
        </is>
      </c>
      <c r="G10720" s="2" t="inlineStr">
        <is>
          <t>20260611600512</t>
        </is>
      </c>
      <c r="H10720" s="8">
        <f>HYPERLINK("https://dart.fss.or.kr/dsaf001/main.do?rcpNo=20260611600512", "공시열람")</f>
        <v/>
      </c>
    </row>
    <row r="10721">
      <c r="A10721" s="2" t="inlineStr">
        <is>
          <t>2026-06-11</t>
        </is>
      </c>
      <c r="B10721" s="3" t="inlineStr">
        <is>
          <t>RF머트리얼즈</t>
        </is>
      </c>
      <c r="C10721" s="2" t="inlineStr">
        <is>
          <t>코스닥</t>
        </is>
      </c>
      <c r="D10721" s="2" t="inlineStr">
        <is>
          <t>327260</t>
        </is>
      </c>
      <c r="E10721" s="3" t="inlineStr">
        <is>
          <t>임원ㆍ주요주주특정증권등소유상황보고서</t>
        </is>
      </c>
      <c r="F10721" s="3" t="inlineStr">
        <is>
          <t>남동우</t>
        </is>
      </c>
      <c r="G10721" s="2" t="inlineStr">
        <is>
          <t>20260611000498</t>
        </is>
      </c>
      <c r="H10721" s="8">
        <f>HYPERLINK("https://dart.fss.or.kr/dsaf001/main.do?rcpNo=20260611000498", "공시열람")</f>
        <v/>
      </c>
    </row>
    <row r="10722">
      <c r="A10722" s="2" t="inlineStr">
        <is>
          <t>2026-06-11</t>
        </is>
      </c>
      <c r="B10722" s="3" t="inlineStr">
        <is>
          <t>슈피겐코리아</t>
        </is>
      </c>
      <c r="C10722" s="2" t="inlineStr">
        <is>
          <t>코스닥</t>
        </is>
      </c>
      <c r="D10722" s="2" t="inlineStr">
        <is>
          <t>192440</t>
        </is>
      </c>
      <c r="E10722" s="3" t="inlineStr">
        <is>
          <t>임원ㆍ주요주주특정증권등소유상황보고서</t>
        </is>
      </c>
      <c r="F10722" s="3" t="inlineStr">
        <is>
          <t>김대영</t>
        </is>
      </c>
      <c r="G10722" s="2" t="inlineStr">
        <is>
          <t>20260611000496</t>
        </is>
      </c>
      <c r="H10722" s="8">
        <f>HYPERLINK("https://dart.fss.or.kr/dsaf001/main.do?rcpNo=20260611000496", "공시열람")</f>
        <v/>
      </c>
    </row>
    <row r="10723">
      <c r="A10723" s="2" t="inlineStr">
        <is>
          <t>2026-06-11</t>
        </is>
      </c>
      <c r="B10723" s="3" t="inlineStr">
        <is>
          <t>큐캐피탈</t>
        </is>
      </c>
      <c r="C10723" s="2" t="inlineStr">
        <is>
          <t>코스닥</t>
        </is>
      </c>
      <c r="D10723" s="2" t="inlineStr">
        <is>
          <t>016600</t>
        </is>
      </c>
      <c r="E10723" s="3" t="inlineStr">
        <is>
          <t>임원ㆍ주요주주특정증권등소유상황보고서</t>
        </is>
      </c>
      <c r="F10723" s="3" t="inlineStr">
        <is>
          <t>김영배</t>
        </is>
      </c>
      <c r="G10723" s="2" t="inlineStr">
        <is>
          <t>20260611000492</t>
        </is>
      </c>
      <c r="H10723" s="8">
        <f>HYPERLINK("https://dart.fss.or.kr/dsaf001/main.do?rcpNo=20260611000492", "공시열람")</f>
        <v/>
      </c>
    </row>
    <row r="10724">
      <c r="A10724" s="2" t="inlineStr">
        <is>
          <t>2026-06-11</t>
        </is>
      </c>
      <c r="B10724" s="3" t="inlineStr">
        <is>
          <t>디씨엠</t>
        </is>
      </c>
      <c r="C10724" s="2" t="inlineStr">
        <is>
          <t>코스피</t>
        </is>
      </c>
      <c r="D10724" s="2" t="inlineStr">
        <is>
          <t>024090</t>
        </is>
      </c>
      <c r="E10724" s="3" t="inlineStr">
        <is>
          <t>신탁계약해지결과보고서</t>
        </is>
      </c>
      <c r="F10724" s="3" t="inlineStr">
        <is>
          <t>디씨엠</t>
        </is>
      </c>
      <c r="G10724" s="2" t="inlineStr">
        <is>
          <t>20260611000491</t>
        </is>
      </c>
      <c r="H10724" s="8">
        <f>HYPERLINK("https://dart.fss.or.kr/dsaf001/main.do?rcpNo=20260611000491", "공시열람")</f>
        <v/>
      </c>
    </row>
    <row r="10725">
      <c r="A10725" s="2" t="inlineStr">
        <is>
          <t>2026-06-11</t>
        </is>
      </c>
      <c r="B10725" s="3" t="inlineStr">
        <is>
          <t>액트로</t>
        </is>
      </c>
      <c r="C10725" s="2" t="inlineStr">
        <is>
          <t>코스닥</t>
        </is>
      </c>
      <c r="D10725" s="2" t="inlineStr">
        <is>
          <t>290740</t>
        </is>
      </c>
      <c r="E10725" s="3" t="inlineStr">
        <is>
          <t xml:space="preserve">기업설명회(IR)개최              </t>
        </is>
      </c>
      <c r="F10725" s="3" t="inlineStr">
        <is>
          <t>액트로</t>
        </is>
      </c>
      <c r="G10725" s="2" t="inlineStr">
        <is>
          <t>20260611900524</t>
        </is>
      </c>
      <c r="H10725" s="8">
        <f>HYPERLINK("https://dart.fss.or.kr/dsaf001/main.do?rcpNo=20260611900524", "공시열람")</f>
        <v/>
      </c>
    </row>
    <row r="10726">
      <c r="A10726" s="2" t="inlineStr">
        <is>
          <t>2026-06-11</t>
        </is>
      </c>
      <c r="B10726" s="3" t="inlineStr">
        <is>
          <t>DB증권</t>
        </is>
      </c>
      <c r="C10726" s="2" t="inlineStr">
        <is>
          <t>코스피</t>
        </is>
      </c>
      <c r="D10726" s="2" t="inlineStr">
        <is>
          <t>016610</t>
        </is>
      </c>
      <c r="E10726" s="3" t="inlineStr">
        <is>
          <t>투자설명서(일괄신고)</t>
        </is>
      </c>
      <c r="F10726" s="3" t="inlineStr">
        <is>
          <t>DB증권</t>
        </is>
      </c>
      <c r="G10726" s="2" t="inlineStr">
        <is>
          <t>20260611000485</t>
        </is>
      </c>
      <c r="H10726" s="8">
        <f>HYPERLINK("https://dart.fss.or.kr/dsaf001/main.do?rcpNo=20260611000485", "공시열람")</f>
        <v/>
      </c>
    </row>
    <row r="10727">
      <c r="A10727" s="2" t="inlineStr">
        <is>
          <t>2026-06-11</t>
        </is>
      </c>
      <c r="B10727" s="3" t="inlineStr">
        <is>
          <t>만호제강</t>
        </is>
      </c>
      <c r="C10727" s="2" t="inlineStr">
        <is>
          <t>코스피</t>
        </is>
      </c>
      <c r="D10727" s="2" t="inlineStr">
        <is>
          <t>001080</t>
        </is>
      </c>
      <c r="E10727" s="3" t="inlineStr">
        <is>
          <t>임원ㆍ주요주주특정증권등소유상황보고서</t>
        </is>
      </c>
      <c r="F10727" s="3" t="inlineStr">
        <is>
          <t>김철융</t>
        </is>
      </c>
      <c r="G10727" s="2" t="inlineStr">
        <is>
          <t>20260611000482</t>
        </is>
      </c>
      <c r="H10727" s="8">
        <f>HYPERLINK("https://dart.fss.or.kr/dsaf001/main.do?rcpNo=20260611000482", "공시열람")</f>
        <v/>
      </c>
    </row>
    <row r="10728">
      <c r="A10728" s="2" t="inlineStr">
        <is>
          <t>2026-06-11</t>
        </is>
      </c>
      <c r="B10728" s="3" t="inlineStr">
        <is>
          <t>엑셈</t>
        </is>
      </c>
      <c r="C10728" s="2" t="inlineStr">
        <is>
          <t>코스닥</t>
        </is>
      </c>
      <c r="D10728" s="2" t="inlineStr">
        <is>
          <t>205100</t>
        </is>
      </c>
      <c r="E10728" s="3" t="inlineStr">
        <is>
          <t>자기주식취득결과보고서</t>
        </is>
      </c>
      <c r="F10728" s="3" t="inlineStr">
        <is>
          <t>엑셈</t>
        </is>
      </c>
      <c r="G10728" s="2" t="inlineStr">
        <is>
          <t>20260611000479</t>
        </is>
      </c>
      <c r="H10728" s="8">
        <f>HYPERLINK("https://dart.fss.or.kr/dsaf001/main.do?rcpNo=20260611000479", "공시열람")</f>
        <v/>
      </c>
    </row>
    <row r="10729">
      <c r="A10729" s="2" t="inlineStr">
        <is>
          <t>2026-06-11</t>
        </is>
      </c>
      <c r="B10729" s="3" t="inlineStr">
        <is>
          <t>아주스틸</t>
        </is>
      </c>
      <c r="C10729" s="2" t="inlineStr">
        <is>
          <t>코스피</t>
        </is>
      </c>
      <c r="D10729" s="2" t="inlineStr">
        <is>
          <t>139990</t>
        </is>
      </c>
      <c r="E10729" s="3" t="inlineStr">
        <is>
          <t xml:space="preserve">전환가액ㆍ신주인수권행사가액ㆍ교환가액의조정(안내공시)              </t>
        </is>
      </c>
      <c r="F10729" s="3" t="inlineStr">
        <is>
          <t>아주스틸</t>
        </is>
      </c>
      <c r="G10729" s="2" t="inlineStr">
        <is>
          <t>20260611800474</t>
        </is>
      </c>
      <c r="H10729" s="8">
        <f>HYPERLINK("https://dart.fss.or.kr/dsaf001/main.do?rcpNo=20260611800474", "공시열람")</f>
        <v/>
      </c>
    </row>
    <row r="10730">
      <c r="A10730" s="2" t="inlineStr">
        <is>
          <t>2026-06-11</t>
        </is>
      </c>
      <c r="B10730" s="3" t="inlineStr">
        <is>
          <t>삼성카드</t>
        </is>
      </c>
      <c r="C10730" s="2" t="inlineStr">
        <is>
          <t>코스피</t>
        </is>
      </c>
      <c r="D10730" s="2" t="inlineStr">
        <is>
          <t>029780</t>
        </is>
      </c>
      <c r="E10730" s="3" t="inlineStr">
        <is>
          <t>증권발행실적보고서</t>
        </is>
      </c>
      <c r="F10730" s="3" t="inlineStr">
        <is>
          <t>삼성카드</t>
        </is>
      </c>
      <c r="G10730" s="2" t="inlineStr">
        <is>
          <t>20260611000478</t>
        </is>
      </c>
      <c r="H10730" s="8">
        <f>HYPERLINK("https://dart.fss.or.kr/dsaf001/main.do?rcpNo=20260611000478", "공시열람")</f>
        <v/>
      </c>
    </row>
    <row r="10731">
      <c r="A10731" s="2" t="inlineStr">
        <is>
          <t>2026-06-11</t>
        </is>
      </c>
      <c r="B10731" s="3" t="inlineStr">
        <is>
          <t>인바이오</t>
        </is>
      </c>
      <c r="C10731" s="2" t="inlineStr">
        <is>
          <t>코스닥</t>
        </is>
      </c>
      <c r="D10731" s="2" t="inlineStr">
        <is>
          <t>352940</t>
        </is>
      </c>
      <c r="E10731" s="3" t="inlineStr">
        <is>
          <t>임원ㆍ주요주주특정증권등소유상황보고서</t>
        </is>
      </c>
      <c r="F10731" s="3" t="inlineStr">
        <is>
          <t>조인선</t>
        </is>
      </c>
      <c r="G10731" s="2" t="inlineStr">
        <is>
          <t>20260611000475</t>
        </is>
      </c>
      <c r="H10731" s="8">
        <f>HYPERLINK("https://dart.fss.or.kr/dsaf001/main.do?rcpNo=20260611000475", "공시열람")</f>
        <v/>
      </c>
    </row>
    <row r="10732">
      <c r="A10732" s="2" t="inlineStr">
        <is>
          <t>2026-06-11</t>
        </is>
      </c>
      <c r="B10732" s="3" t="inlineStr">
        <is>
          <t>러셀</t>
        </is>
      </c>
      <c r="C10732" s="2" t="inlineStr">
        <is>
          <t>코스닥</t>
        </is>
      </c>
      <c r="D10732" s="2" t="inlineStr">
        <is>
          <t>217500</t>
        </is>
      </c>
      <c r="E10732" s="3" t="inlineStr">
        <is>
          <t>의결권대리행사권유참고서류</t>
        </is>
      </c>
      <c r="F10732" s="3" t="inlineStr">
        <is>
          <t>러셀</t>
        </is>
      </c>
      <c r="G10732" s="2" t="inlineStr">
        <is>
          <t>20260611000473</t>
        </is>
      </c>
      <c r="H10732" s="8">
        <f>HYPERLINK("https://dart.fss.or.kr/dsaf001/main.do?rcpNo=20260611000473", "공시열람")</f>
        <v/>
      </c>
    </row>
    <row r="10733">
      <c r="A10733" s="2" t="inlineStr">
        <is>
          <t>2026-06-11</t>
        </is>
      </c>
      <c r="B10733" s="3" t="inlineStr">
        <is>
          <t>E1</t>
        </is>
      </c>
      <c r="C10733" s="2" t="inlineStr">
        <is>
          <t>코스피</t>
        </is>
      </c>
      <c r="D10733" s="2" t="inlineStr">
        <is>
          <t>017940</t>
        </is>
      </c>
      <c r="E10733" s="3" t="inlineStr">
        <is>
          <t>임원ㆍ주요주주특정증권등거래계획보고서</t>
        </is>
      </c>
      <c r="F10733" s="3" t="inlineStr">
        <is>
          <t>구자균</t>
        </is>
      </c>
      <c r="G10733" s="2" t="inlineStr">
        <is>
          <t>20260611000471</t>
        </is>
      </c>
      <c r="H10733" s="8">
        <f>HYPERLINK("https://dart.fss.or.kr/dsaf001/main.do?rcpNo=20260611000471", "공시열람")</f>
        <v/>
      </c>
    </row>
    <row r="10734">
      <c r="A10734" s="2" t="inlineStr">
        <is>
          <t>2026-06-11</t>
        </is>
      </c>
      <c r="B10734" s="3" t="inlineStr">
        <is>
          <t>멕아이씨에스</t>
        </is>
      </c>
      <c r="C10734" s="2" t="inlineStr">
        <is>
          <t>코스닥</t>
        </is>
      </c>
      <c r="D10734" s="2" t="inlineStr">
        <is>
          <t>058110</t>
        </is>
      </c>
      <c r="E10734" s="3" t="inlineStr">
        <is>
          <t>임원ㆍ주요주주특정증권등소유상황보고서</t>
        </is>
      </c>
      <c r="F10734" s="3" t="inlineStr">
        <is>
          <t>오정택</t>
        </is>
      </c>
      <c r="G10734" s="2" t="inlineStr">
        <is>
          <t>20260611000468</t>
        </is>
      </c>
      <c r="H10734" s="8">
        <f>HYPERLINK("https://dart.fss.or.kr/dsaf001/main.do?rcpNo=20260611000468", "공시열람")</f>
        <v/>
      </c>
    </row>
    <row r="10735">
      <c r="A10735" s="2" t="inlineStr">
        <is>
          <t>2026-06-11</t>
        </is>
      </c>
      <c r="B10735" s="3" t="inlineStr">
        <is>
          <t>LG생활건강</t>
        </is>
      </c>
      <c r="C10735" s="2" t="inlineStr">
        <is>
          <t>코스피</t>
        </is>
      </c>
      <c r="D10735" s="2" t="inlineStr">
        <is>
          <t>051900</t>
        </is>
      </c>
      <c r="E10735" s="3" t="inlineStr">
        <is>
          <t xml:space="preserve">기업설명회(IR)개최(안내공시)              </t>
        </is>
      </c>
      <c r="F10735" s="3" t="inlineStr">
        <is>
          <t>LG생활건강</t>
        </is>
      </c>
      <c r="G10735" s="2" t="inlineStr">
        <is>
          <t>20260611800488</t>
        </is>
      </c>
      <c r="H10735" s="8">
        <f>HYPERLINK("https://dart.fss.or.kr/dsaf001/main.do?rcpNo=20260611800488", "공시열람")</f>
        <v/>
      </c>
    </row>
    <row r="10736">
      <c r="A10736" s="2" t="inlineStr">
        <is>
          <t>2026-06-11</t>
        </is>
      </c>
      <c r="B10736" s="3" t="inlineStr">
        <is>
          <t>E1</t>
        </is>
      </c>
      <c r="C10736" s="2" t="inlineStr">
        <is>
          <t>코스피</t>
        </is>
      </c>
      <c r="D10736" s="2" t="inlineStr">
        <is>
          <t>017940</t>
        </is>
      </c>
      <c r="E10736" s="3" t="inlineStr">
        <is>
          <t>임원ㆍ주요주주특정증권등거래계획보고서</t>
        </is>
      </c>
      <c r="F10736" s="3" t="inlineStr">
        <is>
          <t>구자용</t>
        </is>
      </c>
      <c r="G10736" s="2" t="inlineStr">
        <is>
          <t>20260611000466</t>
        </is>
      </c>
      <c r="H10736" s="8">
        <f>HYPERLINK("https://dart.fss.or.kr/dsaf001/main.do?rcpNo=20260611000466", "공시열람")</f>
        <v/>
      </c>
    </row>
    <row r="10737">
      <c r="A10737" s="2" t="inlineStr">
        <is>
          <t>2026-06-11</t>
        </is>
      </c>
      <c r="B10737" s="3" t="inlineStr">
        <is>
          <t>아이패밀리에스씨</t>
        </is>
      </c>
      <c r="C10737" s="2" t="inlineStr">
        <is>
          <t>코스닥</t>
        </is>
      </c>
      <c r="D10737" s="2" t="inlineStr">
        <is>
          <t>114840</t>
        </is>
      </c>
      <c r="E10737" s="3" t="inlineStr">
        <is>
          <t>신탁계약해지결과보고서</t>
        </is>
      </c>
      <c r="F10737" s="3" t="inlineStr">
        <is>
          <t>아이패밀리에스씨</t>
        </is>
      </c>
      <c r="G10737" s="2" t="inlineStr">
        <is>
          <t>20260611000463</t>
        </is>
      </c>
      <c r="H10737" s="8">
        <f>HYPERLINK("https://dart.fss.or.kr/dsaf001/main.do?rcpNo=20260611000463", "공시열람")</f>
        <v/>
      </c>
    </row>
    <row r="10738">
      <c r="A10738" s="2" t="inlineStr">
        <is>
          <t>2026-06-11</t>
        </is>
      </c>
      <c r="B10738" s="3" t="inlineStr">
        <is>
          <t>하나제약</t>
        </is>
      </c>
      <c r="C10738" s="2" t="inlineStr">
        <is>
          <t>코스피</t>
        </is>
      </c>
      <c r="D10738" s="2" t="inlineStr">
        <is>
          <t>293480</t>
        </is>
      </c>
      <c r="E10738" s="3" t="inlineStr">
        <is>
          <t xml:space="preserve">타법인주식및출자증권처분결정              </t>
        </is>
      </c>
      <c r="F10738" s="3" t="inlineStr">
        <is>
          <t>하나제약</t>
        </is>
      </c>
      <c r="G10738" s="2" t="inlineStr">
        <is>
          <t>20260611800462</t>
        </is>
      </c>
      <c r="H10738" s="8">
        <f>HYPERLINK("https://dart.fss.or.kr/dsaf001/main.do?rcpNo=20260611800462", "공시열람")</f>
        <v/>
      </c>
    </row>
    <row r="10739">
      <c r="A10739" s="2" t="inlineStr">
        <is>
          <t>2026-06-11</t>
        </is>
      </c>
      <c r="B10739" s="3" t="inlineStr">
        <is>
          <t>E1</t>
        </is>
      </c>
      <c r="C10739" s="2" t="inlineStr">
        <is>
          <t>코스피</t>
        </is>
      </c>
      <c r="D10739" s="2" t="inlineStr">
        <is>
          <t>017940</t>
        </is>
      </c>
      <c r="E10739" s="3" t="inlineStr">
        <is>
          <t>임원ㆍ주요주주특정증권등거래계획보고서</t>
        </is>
      </c>
      <c r="F10739" s="3" t="inlineStr">
        <is>
          <t>구자열</t>
        </is>
      </c>
      <c r="G10739" s="2" t="inlineStr">
        <is>
          <t>20260611000459</t>
        </is>
      </c>
      <c r="H10739" s="8">
        <f>HYPERLINK("https://dart.fss.or.kr/dsaf001/main.do?rcpNo=20260611000459", "공시열람")</f>
        <v/>
      </c>
    </row>
    <row r="10740">
      <c r="A10740" s="2" t="inlineStr">
        <is>
          <t>2026-06-11</t>
        </is>
      </c>
      <c r="B10740" s="3" t="inlineStr">
        <is>
          <t>에코앤드림</t>
        </is>
      </c>
      <c r="C10740" s="2" t="inlineStr">
        <is>
          <t>코스닥</t>
        </is>
      </c>
      <c r="D10740" s="2" t="inlineStr">
        <is>
          <t>101360</t>
        </is>
      </c>
      <c r="E10740" s="3" t="inlineStr">
        <is>
          <t xml:space="preserve">풍문또는보도에대한해명(미확정)              </t>
        </is>
      </c>
      <c r="F10740" s="3" t="inlineStr">
        <is>
          <t>에코앤드림</t>
        </is>
      </c>
      <c r="G10740" s="2" t="inlineStr">
        <is>
          <t>20260611900429</t>
        </is>
      </c>
      <c r="H10740" s="8">
        <f>HYPERLINK("https://dart.fss.or.kr/dsaf001/main.do?rcpNo=20260611900429", "공시열람")</f>
        <v/>
      </c>
    </row>
    <row r="10741">
      <c r="A10741" s="2" t="inlineStr">
        <is>
          <t>2026-06-11</t>
        </is>
      </c>
      <c r="B10741" s="3" t="inlineStr">
        <is>
          <t>LG화학</t>
        </is>
      </c>
      <c r="C10741" s="2" t="inlineStr">
        <is>
          <t>코스피</t>
        </is>
      </c>
      <c r="D10741" s="2" t="inlineStr">
        <is>
          <t>051910</t>
        </is>
      </c>
      <c r="E10741" s="3" t="inlineStr">
        <is>
          <t>임원ㆍ주요주주특정증권등소유상황보고서</t>
        </is>
      </c>
      <c r="F10741" s="3" t="inlineStr">
        <is>
          <t>호경업</t>
        </is>
      </c>
      <c r="G10741" s="2" t="inlineStr">
        <is>
          <t>20260611000456</t>
        </is>
      </c>
      <c r="H10741" s="8">
        <f>HYPERLINK("https://dart.fss.or.kr/dsaf001/main.do?rcpNo=20260611000456", "공시열람")</f>
        <v/>
      </c>
    </row>
    <row r="10742">
      <c r="A10742" s="2" t="inlineStr">
        <is>
          <t>2026-06-11</t>
        </is>
      </c>
      <c r="B10742" s="3" t="inlineStr">
        <is>
          <t>지씨셀</t>
        </is>
      </c>
      <c r="C10742" s="2" t="inlineStr">
        <is>
          <t>코스닥</t>
        </is>
      </c>
      <c r="D10742" s="2" t="inlineStr">
        <is>
          <t>144510</t>
        </is>
      </c>
      <c r="E10742" s="3" t="inlineStr">
        <is>
          <t>투자판단관련주요경영사항(임상시험계획변경승인신청)              (GCC2005의 국내 제 1상 임상시험계획 변경승인 신청)</t>
        </is>
      </c>
      <c r="F10742" s="3" t="inlineStr">
        <is>
          <t>지씨셀</t>
        </is>
      </c>
      <c r="G10742" s="2" t="inlineStr">
        <is>
          <t>20260611900445</t>
        </is>
      </c>
      <c r="H10742" s="8">
        <f>HYPERLINK("https://dart.fss.or.kr/dsaf001/main.do?rcpNo=20260611900445", "공시열람")</f>
        <v/>
      </c>
    </row>
    <row r="10743">
      <c r="A10743" s="2" t="inlineStr">
        <is>
          <t>2026-06-11</t>
        </is>
      </c>
      <c r="B10743" s="3" t="inlineStr">
        <is>
          <t>플레이그램</t>
        </is>
      </c>
      <c r="C10743" s="2" t="inlineStr">
        <is>
          <t>코스피</t>
        </is>
      </c>
      <c r="D10743" s="2" t="inlineStr">
        <is>
          <t>009810</t>
        </is>
      </c>
      <c r="E10743" s="3" t="inlineStr">
        <is>
          <t>임원ㆍ주요주주특정증권등소유상황보고서</t>
        </is>
      </c>
      <c r="F10743" s="3" t="inlineStr">
        <is>
          <t>트라이콘 1호 투자조합</t>
        </is>
      </c>
      <c r="G10743" s="2" t="inlineStr">
        <is>
          <t>20260611000445</t>
        </is>
      </c>
      <c r="H10743" s="8">
        <f>HYPERLINK("https://dart.fss.or.kr/dsaf001/main.do?rcpNo=20260611000445", "공시열람")</f>
        <v/>
      </c>
    </row>
    <row r="10744">
      <c r="A10744" s="2" t="inlineStr">
        <is>
          <t>2026-06-11</t>
        </is>
      </c>
      <c r="B10744" s="3" t="inlineStr">
        <is>
          <t>메타바이오메드</t>
        </is>
      </c>
      <c r="C10744" s="2" t="inlineStr">
        <is>
          <t>코스닥</t>
        </is>
      </c>
      <c r="D10744" s="2" t="inlineStr">
        <is>
          <t>059210</t>
        </is>
      </c>
      <c r="E10744" s="3" t="inlineStr">
        <is>
          <t xml:space="preserve">전환사채(해외전환사채포함)발행후만기전사채취득              </t>
        </is>
      </c>
      <c r="F10744" s="3" t="inlineStr">
        <is>
          <t>메타바이오메드</t>
        </is>
      </c>
      <c r="G10744" s="2" t="inlineStr">
        <is>
          <t>20260611900463</t>
        </is>
      </c>
      <c r="H10744" s="8">
        <f>HYPERLINK("https://dart.fss.or.kr/dsaf001/main.do?rcpNo=20260611900463", "공시열람")</f>
        <v/>
      </c>
    </row>
    <row r="10745">
      <c r="A10745" s="2" t="inlineStr">
        <is>
          <t>2026-06-11</t>
        </is>
      </c>
      <c r="B10745" s="3" t="inlineStr">
        <is>
          <t>특수건설</t>
        </is>
      </c>
      <c r="C10745" s="2" t="inlineStr">
        <is>
          <t>코스닥</t>
        </is>
      </c>
      <c r="D10745" s="2" t="inlineStr">
        <is>
          <t>026150</t>
        </is>
      </c>
      <c r="E10745" s="3" t="inlineStr">
        <is>
          <t xml:space="preserve">본점소재지변경              </t>
        </is>
      </c>
      <c r="F10745" s="3" t="inlineStr">
        <is>
          <t>특수건설</t>
        </is>
      </c>
      <c r="G10745" s="2" t="inlineStr">
        <is>
          <t>20260611900458</t>
        </is>
      </c>
      <c r="H10745" s="8">
        <f>HYPERLINK("https://dart.fss.or.kr/dsaf001/main.do?rcpNo=20260611900458", "공시열람")</f>
        <v/>
      </c>
    </row>
    <row r="10746">
      <c r="A10746" s="2" t="inlineStr">
        <is>
          <t>2026-06-11</t>
        </is>
      </c>
      <c r="B10746" s="3" t="inlineStr">
        <is>
          <t>제노레이</t>
        </is>
      </c>
      <c r="C10746" s="2" t="inlineStr">
        <is>
          <t>코스닥</t>
        </is>
      </c>
      <c r="D10746" s="2" t="inlineStr">
        <is>
          <t>122310</t>
        </is>
      </c>
      <c r="E10746" s="3" t="inlineStr">
        <is>
          <t>임원ㆍ주요주주특정증권등소유상황보고서</t>
        </is>
      </c>
      <c r="F10746" s="3" t="inlineStr">
        <is>
          <t>박중현</t>
        </is>
      </c>
      <c r="G10746" s="2" t="inlineStr">
        <is>
          <t>20260611000437</t>
        </is>
      </c>
      <c r="H10746" s="8">
        <f>HYPERLINK("https://dart.fss.or.kr/dsaf001/main.do?rcpNo=20260611000437", "공시열람")</f>
        <v/>
      </c>
    </row>
    <row r="10747">
      <c r="A10747" s="2" t="inlineStr">
        <is>
          <t>2026-06-11</t>
        </is>
      </c>
      <c r="B10747" s="3" t="inlineStr">
        <is>
          <t>키움증권</t>
        </is>
      </c>
      <c r="C10747" s="2" t="inlineStr">
        <is>
          <t>코스피</t>
        </is>
      </c>
      <c r="D10747" s="2" t="inlineStr">
        <is>
          <t>039490</t>
        </is>
      </c>
      <c r="E10747" s="3" t="inlineStr">
        <is>
          <t>일괄신고추가서류(파생결합사채-주가연계파생결합사채)</t>
        </is>
      </c>
      <c r="F10747" s="3" t="inlineStr">
        <is>
          <t>키움증권</t>
        </is>
      </c>
      <c r="G10747" s="2" t="inlineStr">
        <is>
          <t>20260611000436</t>
        </is>
      </c>
      <c r="H10747" s="8">
        <f>HYPERLINK("https://dart.fss.or.kr/dsaf001/main.do?rcpNo=20260611000436", "공시열람")</f>
        <v/>
      </c>
    </row>
    <row r="10748">
      <c r="A10748" s="2" t="inlineStr">
        <is>
          <t>2026-06-11</t>
        </is>
      </c>
      <c r="B10748" s="3" t="inlineStr">
        <is>
          <t>아가방컴퍼니</t>
        </is>
      </c>
      <c r="C10748" s="2" t="inlineStr">
        <is>
          <t>코스닥</t>
        </is>
      </c>
      <c r="D10748" s="2" t="inlineStr">
        <is>
          <t>013990</t>
        </is>
      </c>
      <c r="E10748" s="3" t="inlineStr">
        <is>
          <t>임원ㆍ주요주주특정증권등소유상황보고서</t>
        </is>
      </c>
      <c r="F10748" s="3" t="inlineStr">
        <is>
          <t>랑시코리아</t>
        </is>
      </c>
      <c r="G10748" s="2" t="inlineStr">
        <is>
          <t>20260611000435</t>
        </is>
      </c>
      <c r="H10748" s="8">
        <f>HYPERLINK("https://dart.fss.or.kr/dsaf001/main.do?rcpNo=20260611000435", "공시열람")</f>
        <v/>
      </c>
    </row>
    <row r="10749">
      <c r="A10749" s="2" t="inlineStr">
        <is>
          <t>2026-06-11</t>
        </is>
      </c>
      <c r="B10749" s="3" t="inlineStr">
        <is>
          <t>아이스크림에듀</t>
        </is>
      </c>
      <c r="C10749" s="2" t="inlineStr">
        <is>
          <t>코스닥</t>
        </is>
      </c>
      <c r="D10749" s="2" t="inlineStr">
        <is>
          <t>289010</t>
        </is>
      </c>
      <c r="E10749" s="3" t="inlineStr">
        <is>
          <t xml:space="preserve">전환가액의조정              </t>
        </is>
      </c>
      <c r="F10749" s="3" t="inlineStr">
        <is>
          <t>아이스크림에듀</t>
        </is>
      </c>
      <c r="G10749" s="2" t="inlineStr">
        <is>
          <t>20260611900453</t>
        </is>
      </c>
      <c r="H10749" s="8">
        <f>HYPERLINK("https://dart.fss.or.kr/dsaf001/main.do?rcpNo=20260611900453", "공시열람")</f>
        <v/>
      </c>
    </row>
    <row r="10750">
      <c r="A10750" s="2" t="inlineStr">
        <is>
          <t>2026-06-11</t>
        </is>
      </c>
      <c r="B10750" s="3" t="inlineStr">
        <is>
          <t>신성이엔지</t>
        </is>
      </c>
      <c r="C10750" s="2" t="inlineStr">
        <is>
          <t>코스피</t>
        </is>
      </c>
      <c r="D10750" s="2" t="inlineStr">
        <is>
          <t>011930</t>
        </is>
      </c>
      <c r="E10750" s="3" t="inlineStr">
        <is>
          <t>임원ㆍ주요주주특정증권등소유상황보고서</t>
        </is>
      </c>
      <c r="F10750" s="3" t="inlineStr">
        <is>
          <t>김연모</t>
        </is>
      </c>
      <c r="G10750" s="2" t="inlineStr">
        <is>
          <t>20260611000431</t>
        </is>
      </c>
      <c r="H10750" s="8">
        <f>HYPERLINK("https://dart.fss.or.kr/dsaf001/main.do?rcpNo=20260611000431", "공시열람")</f>
        <v/>
      </c>
    </row>
    <row r="10751">
      <c r="A10751" s="2" t="inlineStr">
        <is>
          <t>2026-06-11</t>
        </is>
      </c>
      <c r="B10751" s="3" t="inlineStr">
        <is>
          <t>네오오토</t>
        </is>
      </c>
      <c r="C10751" s="2" t="inlineStr">
        <is>
          <t>코스닥</t>
        </is>
      </c>
      <c r="D10751" s="2" t="inlineStr">
        <is>
          <t>212560</t>
        </is>
      </c>
      <c r="E10751" s="3" t="inlineStr">
        <is>
          <t>임원ㆍ주요주주특정증권등소유상황보고서</t>
        </is>
      </c>
      <c r="F10751" s="3" t="inlineStr">
        <is>
          <t>김선현</t>
        </is>
      </c>
      <c r="G10751" s="2" t="inlineStr">
        <is>
          <t>20260611000413</t>
        </is>
      </c>
      <c r="H10751" s="8">
        <f>HYPERLINK("https://dart.fss.or.kr/dsaf001/main.do?rcpNo=20260611000413", "공시열람")</f>
        <v/>
      </c>
    </row>
    <row r="10752">
      <c r="A10752" s="2" t="inlineStr">
        <is>
          <t>2026-06-11</t>
        </is>
      </c>
      <c r="B10752" s="3" t="inlineStr">
        <is>
          <t>대한항공</t>
        </is>
      </c>
      <c r="C10752" s="2" t="inlineStr">
        <is>
          <t>코스피</t>
        </is>
      </c>
      <c r="D10752" s="2" t="inlineStr">
        <is>
          <t>003490</t>
        </is>
      </c>
      <c r="E10752" s="3" t="inlineStr">
        <is>
          <t>증권발행실적보고서</t>
        </is>
      </c>
      <c r="F10752" s="3" t="inlineStr">
        <is>
          <t>대한항공</t>
        </is>
      </c>
      <c r="G10752" s="2" t="inlineStr">
        <is>
          <t>20260611000408</t>
        </is>
      </c>
      <c r="H10752" s="8">
        <f>HYPERLINK("https://dart.fss.or.kr/dsaf001/main.do?rcpNo=20260611000408", "공시열람")</f>
        <v/>
      </c>
    </row>
    <row r="10753">
      <c r="A10753" s="2" t="inlineStr">
        <is>
          <t>2026-06-11</t>
        </is>
      </c>
      <c r="B10753" s="3" t="inlineStr">
        <is>
          <t>NH투자증권</t>
        </is>
      </c>
      <c r="C10753" s="2" t="inlineStr">
        <is>
          <t>코스피</t>
        </is>
      </c>
      <c r="D10753" s="2" t="inlineStr">
        <is>
          <t>005940</t>
        </is>
      </c>
      <c r="E10753" s="3" t="inlineStr">
        <is>
          <t>투자설명서(일괄신고)</t>
        </is>
      </c>
      <c r="F10753" s="3" t="inlineStr">
        <is>
          <t>NH투자증권</t>
        </is>
      </c>
      <c r="G10753" s="2" t="inlineStr">
        <is>
          <t>20260611000404</t>
        </is>
      </c>
      <c r="H10753" s="8">
        <f>HYPERLINK("https://dart.fss.or.kr/dsaf001/main.do?rcpNo=20260611000404", "공시열람")</f>
        <v/>
      </c>
    </row>
    <row r="10754">
      <c r="A10754" s="2" t="inlineStr">
        <is>
          <t>2026-06-11</t>
        </is>
      </c>
      <c r="B10754" s="3" t="inlineStr">
        <is>
          <t>피에이치에이</t>
        </is>
      </c>
      <c r="C10754" s="2" t="inlineStr">
        <is>
          <t>코스닥</t>
        </is>
      </c>
      <c r="D10754" s="2" t="inlineStr">
        <is>
          <t>043370</t>
        </is>
      </c>
      <c r="E10754" s="3" t="inlineStr">
        <is>
          <t>임원ㆍ주요주주특정증권등소유상황보고서</t>
        </is>
      </c>
      <c r="F10754" s="3" t="inlineStr">
        <is>
          <t>김도연</t>
        </is>
      </c>
      <c r="G10754" s="2" t="inlineStr">
        <is>
          <t>20260611000401</t>
        </is>
      </c>
      <c r="H10754" s="8">
        <f>HYPERLINK("https://dart.fss.or.kr/dsaf001/main.do?rcpNo=20260611000401", "공시열람")</f>
        <v/>
      </c>
    </row>
    <row r="10755">
      <c r="A10755" s="2" t="inlineStr">
        <is>
          <t>2026-06-11</t>
        </is>
      </c>
      <c r="B10755" s="3" t="inlineStr">
        <is>
          <t>신세계</t>
        </is>
      </c>
      <c r="C10755" s="2" t="inlineStr">
        <is>
          <t>코스피</t>
        </is>
      </c>
      <c r="D10755" s="2" t="inlineStr">
        <is>
          <t>004170</t>
        </is>
      </c>
      <c r="E10755" s="3" t="inlineStr">
        <is>
          <t>동일인등출자계열회사와의상품ㆍ용역거래</t>
        </is>
      </c>
      <c r="F10755" s="3" t="inlineStr">
        <is>
          <t>신세계</t>
        </is>
      </c>
      <c r="G10755" s="2" t="inlineStr">
        <is>
          <t>20260611000398</t>
        </is>
      </c>
      <c r="H10755" s="8">
        <f>HYPERLINK("https://dart.fss.or.kr/dsaf001/main.do?rcpNo=20260611000398", "공시열람")</f>
        <v/>
      </c>
    </row>
    <row r="10756">
      <c r="A10756" s="2" t="inlineStr">
        <is>
          <t>2026-06-11</t>
        </is>
      </c>
      <c r="B10756" s="3" t="inlineStr">
        <is>
          <t>OCI홀딩스</t>
        </is>
      </c>
      <c r="C10756" s="2" t="inlineStr">
        <is>
          <t>코스피</t>
        </is>
      </c>
      <c r="D10756" s="2" t="inlineStr">
        <is>
          <t>010060</t>
        </is>
      </c>
      <c r="E10756" s="3" t="inlineStr">
        <is>
          <t>임원ㆍ주요주주특정증권등소유상황보고서</t>
        </is>
      </c>
      <c r="F10756" s="3" t="inlineStr">
        <is>
          <t>이우현</t>
        </is>
      </c>
      <c r="G10756" s="2" t="inlineStr">
        <is>
          <t>20260611000396</t>
        </is>
      </c>
      <c r="H10756" s="8">
        <f>HYPERLINK("https://dart.fss.or.kr/dsaf001/main.do?rcpNo=20260611000396", "공시열람")</f>
        <v/>
      </c>
    </row>
    <row r="10757">
      <c r="A10757" s="2" t="inlineStr">
        <is>
          <t>2026-06-11</t>
        </is>
      </c>
      <c r="B10757" s="3" t="inlineStr">
        <is>
          <t>보락</t>
        </is>
      </c>
      <c r="C10757" s="2" t="inlineStr">
        <is>
          <t>코스피</t>
        </is>
      </c>
      <c r="D10757" s="2" t="inlineStr">
        <is>
          <t>002760</t>
        </is>
      </c>
      <c r="E10757" s="3" t="inlineStr">
        <is>
          <t>임원ㆍ주요주주특정증권등소유상황보고서</t>
        </is>
      </c>
      <c r="F10757" s="3" t="inlineStr">
        <is>
          <t>황보대호</t>
        </is>
      </c>
      <c r="G10757" s="2" t="inlineStr">
        <is>
          <t>20260611000394</t>
        </is>
      </c>
      <c r="H10757" s="8">
        <f>HYPERLINK("https://dart.fss.or.kr/dsaf001/main.do?rcpNo=20260611000394", "공시열람")</f>
        <v/>
      </c>
    </row>
    <row r="10758">
      <c r="A10758" s="2" t="inlineStr">
        <is>
          <t>2026-06-11 (정정: 2026-06-26)</t>
        </is>
      </c>
      <c r="B10758" s="3" t="inlineStr">
        <is>
          <t>소프트캠프</t>
        </is>
      </c>
      <c r="C10758" s="2" t="inlineStr">
        <is>
          <t>코스닥</t>
        </is>
      </c>
      <c r="D10758" s="2" t="inlineStr">
        <is>
          <t>258790</t>
        </is>
      </c>
      <c r="E10758" s="3" t="inlineStr">
        <is>
          <t>임원ㆍ주요주주특정증권등거래계획보고서 (정정: 20260626)</t>
        </is>
      </c>
      <c r="F10758" s="3" t="inlineStr">
        <is>
          <t>배환국</t>
        </is>
      </c>
      <c r="G10758" s="2" t="inlineStr">
        <is>
          <t>20260626000150</t>
        </is>
      </c>
      <c r="H10758" s="8">
        <f>HYPERLINK("https://dart.fss.or.kr/dsaf001/main.do?rcpNo=20260626000150", "공시열람")</f>
        <v/>
      </c>
    </row>
    <row r="10759">
      <c r="A10759" s="2" t="inlineStr">
        <is>
          <t>2026-06-11</t>
        </is>
      </c>
      <c r="B10759" s="3" t="inlineStr">
        <is>
          <t>피에이치에이</t>
        </is>
      </c>
      <c r="C10759" s="2" t="inlineStr">
        <is>
          <t>코스닥</t>
        </is>
      </c>
      <c r="D10759" s="2" t="inlineStr">
        <is>
          <t>043370</t>
        </is>
      </c>
      <c r="E10759" s="3" t="inlineStr">
        <is>
          <t>임원ㆍ주요주주특정증권등소유상황보고서</t>
        </is>
      </c>
      <c r="F10759" s="3" t="inlineStr">
        <is>
          <t>김상태</t>
        </is>
      </c>
      <c r="G10759" s="2" t="inlineStr">
        <is>
          <t>20260611000387</t>
        </is>
      </c>
      <c r="H10759" s="8">
        <f>HYPERLINK("https://dart.fss.or.kr/dsaf001/main.do?rcpNo=20260611000387", "공시열람")</f>
        <v/>
      </c>
    </row>
    <row r="10760">
      <c r="A10760" s="2" t="inlineStr">
        <is>
          <t>2026-06-11</t>
        </is>
      </c>
      <c r="B10760" s="3" t="inlineStr">
        <is>
          <t>NH투자증권</t>
        </is>
      </c>
      <c r="C10760" s="2" t="inlineStr">
        <is>
          <t>코스피</t>
        </is>
      </c>
      <c r="D10760" s="2" t="inlineStr">
        <is>
          <t>005940</t>
        </is>
      </c>
      <c r="E10760" s="3" t="inlineStr">
        <is>
          <t>일괄신고추가서류(파생결합사채-주가연계파생결합사채)</t>
        </is>
      </c>
      <c r="F10760" s="3" t="inlineStr">
        <is>
          <t>NH투자증권</t>
        </is>
      </c>
      <c r="G10760" s="2" t="inlineStr">
        <is>
          <t>20260611000381</t>
        </is>
      </c>
      <c r="H10760" s="8">
        <f>HYPERLINK("https://dart.fss.or.kr/dsaf001/main.do?rcpNo=20260611000381", "공시열람")</f>
        <v/>
      </c>
    </row>
    <row r="10761">
      <c r="A10761" s="2" t="inlineStr">
        <is>
          <t>2026-06-11</t>
        </is>
      </c>
      <c r="B10761" s="3" t="inlineStr">
        <is>
          <t>대신밸류리츠</t>
        </is>
      </c>
      <c r="C10761" s="2" t="inlineStr">
        <is>
          <t>코스피</t>
        </is>
      </c>
      <c r="D10761" s="2" t="inlineStr">
        <is>
          <t>0030R0</t>
        </is>
      </c>
      <c r="E10761" s="3" t="inlineStr">
        <is>
          <t>임원ㆍ주요주주특정증권등소유상황보고서</t>
        </is>
      </c>
      <c r="F10761" s="3" t="inlineStr">
        <is>
          <t>대신증권</t>
        </is>
      </c>
      <c r="G10761" s="2" t="inlineStr">
        <is>
          <t>20260611000379</t>
        </is>
      </c>
      <c r="H10761" s="8">
        <f>HYPERLINK("https://dart.fss.or.kr/dsaf001/main.do?rcpNo=20260611000379", "공시열람")</f>
        <v/>
      </c>
    </row>
    <row r="10762">
      <c r="A10762" s="2" t="inlineStr">
        <is>
          <t>2026-06-11</t>
        </is>
      </c>
      <c r="B10762" s="3" t="inlineStr">
        <is>
          <t>신세계</t>
        </is>
      </c>
      <c r="C10762" s="2" t="inlineStr">
        <is>
          <t>코스피</t>
        </is>
      </c>
      <c r="D10762" s="2" t="inlineStr">
        <is>
          <t>004170</t>
        </is>
      </c>
      <c r="E10762" s="3" t="inlineStr">
        <is>
          <t>특수관계인에대한출자</t>
        </is>
      </c>
      <c r="F10762" s="3" t="inlineStr">
        <is>
          <t>신세계</t>
        </is>
      </c>
      <c r="G10762" s="2" t="inlineStr">
        <is>
          <t>20260611000374</t>
        </is>
      </c>
      <c r="H10762" s="8">
        <f>HYPERLINK("https://dart.fss.or.kr/dsaf001/main.do?rcpNo=20260611000374", "공시열람")</f>
        <v/>
      </c>
    </row>
    <row r="10763">
      <c r="A10763" s="2" t="inlineStr">
        <is>
          <t>2026-06-11</t>
        </is>
      </c>
      <c r="B10763" s="3" t="inlineStr">
        <is>
          <t>모베이스전자</t>
        </is>
      </c>
      <c r="C10763" s="2" t="inlineStr">
        <is>
          <t>코스닥</t>
        </is>
      </c>
      <c r="D10763" s="2" t="inlineStr">
        <is>
          <t>012860</t>
        </is>
      </c>
      <c r="E10763" s="3" t="inlineStr">
        <is>
          <t>임원ㆍ주요주주특정증권등소유상황보고서</t>
        </is>
      </c>
      <c r="F10763" s="3" t="inlineStr">
        <is>
          <t>박삼민</t>
        </is>
      </c>
      <c r="G10763" s="2" t="inlineStr">
        <is>
          <t>20260611000370</t>
        </is>
      </c>
      <c r="H10763" s="8">
        <f>HYPERLINK("https://dart.fss.or.kr/dsaf001/main.do?rcpNo=20260611000370", "공시열람")</f>
        <v/>
      </c>
    </row>
    <row r="10764">
      <c r="A10764" s="2" t="inlineStr">
        <is>
          <t>2026-06-11</t>
        </is>
      </c>
      <c r="B10764" s="3" t="inlineStr">
        <is>
          <t>큐엠씨</t>
        </is>
      </c>
      <c r="C10764" s="2" t="inlineStr">
        <is>
          <t>코넥스</t>
        </is>
      </c>
      <c r="D10764" s="2" t="inlineStr">
        <is>
          <t>136660</t>
        </is>
      </c>
      <c r="E10764" s="3" t="inlineStr">
        <is>
          <t xml:space="preserve">기업설명회(IR)개최              </t>
        </is>
      </c>
      <c r="F10764" s="3" t="inlineStr">
        <is>
          <t>큐엠씨</t>
        </is>
      </c>
      <c r="G10764" s="2" t="inlineStr">
        <is>
          <t>20260611600388</t>
        </is>
      </c>
      <c r="H10764" s="8">
        <f>HYPERLINK("https://dart.fss.or.kr/dsaf001/main.do?rcpNo=20260611600388", "공시열람")</f>
        <v/>
      </c>
    </row>
    <row r="10765">
      <c r="A10765" s="2" t="inlineStr">
        <is>
          <t>2026-06-11</t>
        </is>
      </c>
      <c r="B10765" s="3" t="inlineStr">
        <is>
          <t>카프로</t>
        </is>
      </c>
      <c r="C10765" s="2" t="inlineStr">
        <is>
          <t>코스피</t>
        </is>
      </c>
      <c r="D10765" s="2" t="inlineStr">
        <is>
          <t>006380</t>
        </is>
      </c>
      <c r="E10765" s="3" t="inlineStr">
        <is>
          <t xml:space="preserve">단기차입금증가결정              </t>
        </is>
      </c>
      <c r="F10765" s="3" t="inlineStr">
        <is>
          <t>카프로</t>
        </is>
      </c>
      <c r="G10765" s="2" t="inlineStr">
        <is>
          <t>20260611800393</t>
        </is>
      </c>
      <c r="H10765" s="8">
        <f>HYPERLINK("https://dart.fss.or.kr/dsaf001/main.do?rcpNo=20260611800393", "공시열람")</f>
        <v/>
      </c>
    </row>
    <row r="10766">
      <c r="A10766" s="2" t="inlineStr">
        <is>
          <t>2026-06-11</t>
        </is>
      </c>
      <c r="B10766" s="3" t="inlineStr">
        <is>
          <t>이마트</t>
        </is>
      </c>
      <c r="C10766" s="2" t="inlineStr">
        <is>
          <t>코스피</t>
        </is>
      </c>
      <c r="D10766" s="2" t="inlineStr">
        <is>
          <t>139480</t>
        </is>
      </c>
      <c r="E10766" s="3" t="inlineStr">
        <is>
          <t xml:space="preserve">영업(잠정)실적(공정공시)              </t>
        </is>
      </c>
      <c r="F10766" s="3" t="inlineStr">
        <is>
          <t>이마트</t>
        </is>
      </c>
      <c r="G10766" s="2" t="inlineStr">
        <is>
          <t>20260611800381</t>
        </is>
      </c>
      <c r="H10766" s="8">
        <f>HYPERLINK("https://dart.fss.or.kr/dsaf001/main.do?rcpNo=20260611800381", "공시열람")</f>
        <v/>
      </c>
    </row>
    <row r="10767">
      <c r="A10767" s="2" t="inlineStr">
        <is>
          <t>2026-06-11</t>
        </is>
      </c>
      <c r="B10767" s="3" t="inlineStr">
        <is>
          <t>동양</t>
        </is>
      </c>
      <c r="C10767" s="2" t="inlineStr">
        <is>
          <t>코스피</t>
        </is>
      </c>
      <c r="D10767" s="2" t="inlineStr">
        <is>
          <t>001520</t>
        </is>
      </c>
      <c r="E10767" s="3" t="inlineStr">
        <is>
          <t>임원ㆍ주요주주특정증권등소유상황보고서</t>
        </is>
      </c>
      <c r="F10767" s="3" t="inlineStr">
        <is>
          <t>고현구</t>
        </is>
      </c>
      <c r="G10767" s="2" t="inlineStr">
        <is>
          <t>20260611000348</t>
        </is>
      </c>
      <c r="H10767" s="8">
        <f>HYPERLINK("https://dart.fss.or.kr/dsaf001/main.do?rcpNo=20260611000348", "공시열람")</f>
        <v/>
      </c>
    </row>
    <row r="10768">
      <c r="A10768" s="2" t="inlineStr">
        <is>
          <t>2026-06-11</t>
        </is>
      </c>
      <c r="B10768" s="3" t="inlineStr">
        <is>
          <t>솔트웨어</t>
        </is>
      </c>
      <c r="C10768" s="2" t="inlineStr">
        <is>
          <t>코스닥</t>
        </is>
      </c>
      <c r="D10768" s="2" t="inlineStr">
        <is>
          <t>328380</t>
        </is>
      </c>
      <c r="E10768" s="3" t="inlineStr">
        <is>
          <t>임원ㆍ주요주주특정증권등소유상황보고서</t>
        </is>
      </c>
      <c r="F10768" s="3" t="inlineStr">
        <is>
          <t>이민규</t>
        </is>
      </c>
      <c r="G10768" s="2" t="inlineStr">
        <is>
          <t>20260611000346</t>
        </is>
      </c>
      <c r="H10768" s="8">
        <f>HYPERLINK("https://dart.fss.or.kr/dsaf001/main.do?rcpNo=20260611000346", "공시열람")</f>
        <v/>
      </c>
    </row>
    <row r="10769">
      <c r="A10769" s="2" t="inlineStr">
        <is>
          <t>2026-06-11</t>
        </is>
      </c>
      <c r="B10769" s="3" t="inlineStr">
        <is>
          <t>신세계</t>
        </is>
      </c>
      <c r="C10769" s="2" t="inlineStr">
        <is>
          <t>코스피</t>
        </is>
      </c>
      <c r="D10769" s="2" t="inlineStr">
        <is>
          <t>004170</t>
        </is>
      </c>
      <c r="E10769" s="3" t="inlineStr">
        <is>
          <t xml:space="preserve">타법인주식및출자증권취득결정              </t>
        </is>
      </c>
      <c r="F10769" s="3" t="inlineStr">
        <is>
          <t>신세계</t>
        </is>
      </c>
      <c r="G10769" s="2" t="inlineStr">
        <is>
          <t>20260611800377</t>
        </is>
      </c>
      <c r="H10769" s="8">
        <f>HYPERLINK("https://dart.fss.or.kr/dsaf001/main.do?rcpNo=20260611800377", "공시열람")</f>
        <v/>
      </c>
    </row>
    <row r="10770">
      <c r="A10770" s="2" t="inlineStr">
        <is>
          <t>2026-06-11</t>
        </is>
      </c>
      <c r="B10770" s="3" t="inlineStr">
        <is>
          <t>이마트</t>
        </is>
      </c>
      <c r="C10770" s="2" t="inlineStr">
        <is>
          <t>코스피</t>
        </is>
      </c>
      <c r="D10770" s="2" t="inlineStr">
        <is>
          <t>139480</t>
        </is>
      </c>
      <c r="E10770" s="3" t="inlineStr">
        <is>
          <t xml:space="preserve">타법인주식및출자증권취득결정              </t>
        </is>
      </c>
      <c r="F10770" s="3" t="inlineStr">
        <is>
          <t>이마트</t>
        </is>
      </c>
      <c r="G10770" s="2" t="inlineStr">
        <is>
          <t>20260611800375</t>
        </is>
      </c>
      <c r="H10770" s="8">
        <f>HYPERLINK("https://dart.fss.or.kr/dsaf001/main.do?rcpNo=20260611800375", "공시열람")</f>
        <v/>
      </c>
    </row>
    <row r="10771">
      <c r="A10771" s="2" t="inlineStr">
        <is>
          <t>2026-06-11</t>
        </is>
      </c>
      <c r="B10771" s="3" t="inlineStr">
        <is>
          <t>그래디언트</t>
        </is>
      </c>
      <c r="C10771" s="2" t="inlineStr">
        <is>
          <t>코스닥</t>
        </is>
      </c>
      <c r="D10771" s="2" t="inlineStr">
        <is>
          <t>035080</t>
        </is>
      </c>
      <c r="E10771" s="3" t="inlineStr">
        <is>
          <t>신탁계약해지결과보고서</t>
        </is>
      </c>
      <c r="F10771" s="3" t="inlineStr">
        <is>
          <t>그래디언트</t>
        </is>
      </c>
      <c r="G10771" s="2" t="inlineStr">
        <is>
          <t>20260611000344</t>
        </is>
      </c>
      <c r="H10771" s="8">
        <f>HYPERLINK("https://dart.fss.or.kr/dsaf001/main.do?rcpNo=20260611000344", "공시열람")</f>
        <v/>
      </c>
    </row>
    <row r="10772">
      <c r="A10772" s="2" t="inlineStr">
        <is>
          <t>2026-06-11</t>
        </is>
      </c>
      <c r="B10772" s="3" t="inlineStr">
        <is>
          <t>KG에코솔루션</t>
        </is>
      </c>
      <c r="C10772" s="2" t="inlineStr">
        <is>
          <t>코스닥</t>
        </is>
      </c>
      <c r="D10772" s="2" t="inlineStr">
        <is>
          <t>151860</t>
        </is>
      </c>
      <c r="E10772" s="3" t="inlineStr">
        <is>
          <t xml:space="preserve">수시공시의무관련사항(공정공시)              </t>
        </is>
      </c>
      <c r="F10772" s="3" t="inlineStr">
        <is>
          <t>KG에코솔루션</t>
        </is>
      </c>
      <c r="G10772" s="2" t="inlineStr">
        <is>
          <t>20260611900373</t>
        </is>
      </c>
      <c r="H10772" s="8">
        <f>HYPERLINK("https://dart.fss.or.kr/dsaf001/main.do?rcpNo=20260611900373", "공시열람")</f>
        <v/>
      </c>
    </row>
    <row r="10773">
      <c r="A10773" s="2" t="inlineStr">
        <is>
          <t>2026-06-11</t>
        </is>
      </c>
      <c r="B10773" s="3" t="inlineStr">
        <is>
          <t>KG이니시스</t>
        </is>
      </c>
      <c r="C10773" s="2" t="inlineStr">
        <is>
          <t>코스닥</t>
        </is>
      </c>
      <c r="D10773" s="2" t="inlineStr">
        <is>
          <t>035600</t>
        </is>
      </c>
      <c r="E10773" s="3" t="inlineStr">
        <is>
          <t xml:space="preserve">수시공시의무관련사항(공정공시)              </t>
        </is>
      </c>
      <c r="F10773" s="3" t="inlineStr">
        <is>
          <t>KG이니시스</t>
        </is>
      </c>
      <c r="G10773" s="2" t="inlineStr">
        <is>
          <t>20260611900369</t>
        </is>
      </c>
      <c r="H10773" s="8">
        <f>HYPERLINK("https://dart.fss.or.kr/dsaf001/main.do?rcpNo=20260611900369", "공시열람")</f>
        <v/>
      </c>
    </row>
    <row r="10774">
      <c r="A10774" s="2" t="inlineStr">
        <is>
          <t>2026-06-11</t>
        </is>
      </c>
      <c r="B10774" s="3" t="inlineStr">
        <is>
          <t>동국산업</t>
        </is>
      </c>
      <c r="C10774" s="2" t="inlineStr">
        <is>
          <t>코스닥</t>
        </is>
      </c>
      <c r="D10774" s="2" t="inlineStr">
        <is>
          <t>005160</t>
        </is>
      </c>
      <c r="E10774" s="3" t="inlineStr">
        <is>
          <t>임원ㆍ주요주주특정증권등소유상황보고서</t>
        </is>
      </c>
      <c r="F10774" s="3" t="inlineStr">
        <is>
          <t>장효근</t>
        </is>
      </c>
      <c r="G10774" s="2" t="inlineStr">
        <is>
          <t>20260611000329</t>
        </is>
      </c>
      <c r="H10774" s="8">
        <f>HYPERLINK("https://dart.fss.or.kr/dsaf001/main.do?rcpNo=20260611000329", "공시열람")</f>
        <v/>
      </c>
    </row>
    <row r="10775">
      <c r="A10775" s="2" t="inlineStr">
        <is>
          <t>2026-06-11</t>
        </is>
      </c>
      <c r="B10775" s="3" t="inlineStr">
        <is>
          <t>그래디언트</t>
        </is>
      </c>
      <c r="C10775" s="2" t="inlineStr">
        <is>
          <t>코스닥</t>
        </is>
      </c>
      <c r="D10775" s="2" t="inlineStr">
        <is>
          <t>035080</t>
        </is>
      </c>
      <c r="E10775" s="3" t="inlineStr">
        <is>
          <t>신탁계약에의한취득상황보고서</t>
        </is>
      </c>
      <c r="F10775" s="3" t="inlineStr">
        <is>
          <t>그래디언트</t>
        </is>
      </c>
      <c r="G10775" s="2" t="inlineStr">
        <is>
          <t>20260611000317</t>
        </is>
      </c>
      <c r="H10775" s="8">
        <f>HYPERLINK("https://dart.fss.or.kr/dsaf001/main.do?rcpNo=20260611000317", "공시열람")</f>
        <v/>
      </c>
    </row>
    <row r="10776">
      <c r="A10776" s="2" t="inlineStr">
        <is>
          <t>2026-06-11</t>
        </is>
      </c>
      <c r="B10776" s="3" t="inlineStr">
        <is>
          <t>DB증권</t>
        </is>
      </c>
      <c r="C10776" s="2" t="inlineStr">
        <is>
          <t>코스피</t>
        </is>
      </c>
      <c r="D10776" s="2" t="inlineStr">
        <is>
          <t>016610</t>
        </is>
      </c>
      <c r="E10776" s="3" t="inlineStr">
        <is>
          <t>투자설명서(일괄신고)</t>
        </is>
      </c>
      <c r="F10776" s="3" t="inlineStr">
        <is>
          <t>DB증권</t>
        </is>
      </c>
      <c r="G10776" s="2" t="inlineStr">
        <is>
          <t>20260611000312</t>
        </is>
      </c>
      <c r="H10776" s="8">
        <f>HYPERLINK("https://dart.fss.or.kr/dsaf001/main.do?rcpNo=20260611000312", "공시열람")</f>
        <v/>
      </c>
    </row>
    <row r="10777">
      <c r="A10777" s="2" t="inlineStr">
        <is>
          <t>2026-06-11</t>
        </is>
      </c>
      <c r="B10777" s="3" t="inlineStr">
        <is>
          <t>KG모빌리티</t>
        </is>
      </c>
      <c r="C10777" s="2" t="inlineStr">
        <is>
          <t>코스피</t>
        </is>
      </c>
      <c r="D10777" s="2" t="inlineStr">
        <is>
          <t>003620</t>
        </is>
      </c>
      <c r="E10777" s="3" t="inlineStr">
        <is>
          <t xml:space="preserve">수시공시의무관련사항(공정공시)              </t>
        </is>
      </c>
      <c r="F10777" s="3" t="inlineStr">
        <is>
          <t>KG모빌리티</t>
        </is>
      </c>
      <c r="G10777" s="2" t="inlineStr">
        <is>
          <t>20260611800336</t>
        </is>
      </c>
      <c r="H10777" s="8">
        <f>HYPERLINK("https://dart.fss.or.kr/dsaf001/main.do?rcpNo=20260611800336", "공시열람")</f>
        <v/>
      </c>
    </row>
    <row r="10778">
      <c r="A10778" s="2" t="inlineStr">
        <is>
          <t>2026-06-11</t>
        </is>
      </c>
      <c r="B10778" s="3" t="inlineStr">
        <is>
          <t>KG케미칼</t>
        </is>
      </c>
      <c r="C10778" s="2" t="inlineStr">
        <is>
          <t>코스피</t>
        </is>
      </c>
      <c r="D10778" s="2" t="inlineStr">
        <is>
          <t>001390</t>
        </is>
      </c>
      <c r="E10778" s="3" t="inlineStr">
        <is>
          <t xml:space="preserve">수시공시의무관련사항(공정공시)              </t>
        </is>
      </c>
      <c r="F10778" s="3" t="inlineStr">
        <is>
          <t>KG케미칼</t>
        </is>
      </c>
      <c r="G10778" s="2" t="inlineStr">
        <is>
          <t>20260611800337</t>
        </is>
      </c>
      <c r="H10778" s="8">
        <f>HYPERLINK("https://dart.fss.or.kr/dsaf001/main.do?rcpNo=20260611800337", "공시열람")</f>
        <v/>
      </c>
    </row>
    <row r="10779">
      <c r="A10779" s="2" t="inlineStr">
        <is>
          <t>2026-06-11</t>
        </is>
      </c>
      <c r="B10779" s="3" t="inlineStr">
        <is>
          <t>KG스틸</t>
        </is>
      </c>
      <c r="C10779" s="2" t="inlineStr">
        <is>
          <t>코스피</t>
        </is>
      </c>
      <c r="D10779" s="2" t="inlineStr">
        <is>
          <t>016380</t>
        </is>
      </c>
      <c r="E10779" s="3" t="inlineStr">
        <is>
          <t xml:space="preserve">수시공시의무관련사항(공정공시)              </t>
        </is>
      </c>
      <c r="F10779" s="3" t="inlineStr">
        <is>
          <t>KG스틸</t>
        </is>
      </c>
      <c r="G10779" s="2" t="inlineStr">
        <is>
          <t>20260611800327</t>
        </is>
      </c>
      <c r="H10779" s="8">
        <f>HYPERLINK("https://dart.fss.or.kr/dsaf001/main.do?rcpNo=20260611800327", "공시열람")</f>
        <v/>
      </c>
    </row>
    <row r="10780">
      <c r="A10780" s="2" t="inlineStr">
        <is>
          <t>2026-06-11</t>
        </is>
      </c>
      <c r="B10780" s="3" t="inlineStr">
        <is>
          <t>키움증권</t>
        </is>
      </c>
      <c r="C10780" s="2" t="inlineStr">
        <is>
          <t>코스피</t>
        </is>
      </c>
      <c r="D10780" s="2" t="inlineStr">
        <is>
          <t>039490</t>
        </is>
      </c>
      <c r="E10780" s="3" t="inlineStr">
        <is>
          <t>증권발행실적보고서</t>
        </is>
      </c>
      <c r="F10780" s="3" t="inlineStr">
        <is>
          <t>키움증권</t>
        </is>
      </c>
      <c r="G10780" s="2" t="inlineStr">
        <is>
          <t>20260611000301</t>
        </is>
      </c>
      <c r="H10780" s="8">
        <f>HYPERLINK("https://dart.fss.or.kr/dsaf001/main.do?rcpNo=20260611000301", "공시열람")</f>
        <v/>
      </c>
    </row>
    <row r="10781">
      <c r="A10781" s="2" t="inlineStr">
        <is>
          <t>2026-06-11</t>
        </is>
      </c>
      <c r="B10781" s="3" t="inlineStr">
        <is>
          <t>타이드</t>
        </is>
      </c>
      <c r="C10781" s="2" t="inlineStr">
        <is>
          <t>코넥스</t>
        </is>
      </c>
      <c r="D10781" s="2" t="inlineStr">
        <is>
          <t>346010</t>
        </is>
      </c>
      <c r="E10781" s="3" t="inlineStr">
        <is>
          <t>임원ㆍ주요주주특정증권등소유상황보고서</t>
        </is>
      </c>
      <c r="F10781" s="3" t="inlineStr">
        <is>
          <t>유창금속공업</t>
        </is>
      </c>
      <c r="G10781" s="2" t="inlineStr">
        <is>
          <t>20260611000298</t>
        </is>
      </c>
      <c r="H10781" s="8">
        <f>HYPERLINK("https://dart.fss.or.kr/dsaf001/main.do?rcpNo=20260611000298", "공시열람")</f>
        <v/>
      </c>
    </row>
    <row r="10782">
      <c r="A10782" s="2" t="inlineStr">
        <is>
          <t>2026-06-11</t>
        </is>
      </c>
      <c r="B10782" s="3" t="inlineStr">
        <is>
          <t>대화제약</t>
        </is>
      </c>
      <c r="C10782" s="2" t="inlineStr">
        <is>
          <t>코스닥</t>
        </is>
      </c>
      <c r="D10782" s="2" t="inlineStr">
        <is>
          <t>067080</t>
        </is>
      </c>
      <c r="E10782" s="3" t="inlineStr">
        <is>
          <t xml:space="preserve">중간(분기)배당을위한주주명부폐쇄(기준일)결정              </t>
        </is>
      </c>
      <c r="F10782" s="3" t="inlineStr">
        <is>
          <t>대화제약</t>
        </is>
      </c>
      <c r="G10782" s="2" t="inlineStr">
        <is>
          <t>20260611900330</t>
        </is>
      </c>
      <c r="H10782" s="8">
        <f>HYPERLINK("https://dart.fss.or.kr/dsaf001/main.do?rcpNo=20260611900330", "공시열람")</f>
        <v/>
      </c>
    </row>
    <row r="10783">
      <c r="A10783" s="2" t="inlineStr">
        <is>
          <t>2026-06-11</t>
        </is>
      </c>
      <c r="B10783" s="3" t="inlineStr">
        <is>
          <t>교보증권</t>
        </is>
      </c>
      <c r="C10783" s="2" t="inlineStr">
        <is>
          <t>코스피</t>
        </is>
      </c>
      <c r="D10783" s="2" t="inlineStr">
        <is>
          <t>030610</t>
        </is>
      </c>
      <c r="E10783" s="3" t="inlineStr">
        <is>
          <t>증권발행실적보고서</t>
        </is>
      </c>
      <c r="F10783" s="3" t="inlineStr">
        <is>
          <t>교보증권</t>
        </is>
      </c>
      <c r="G10783" s="2" t="inlineStr">
        <is>
          <t>20260611000297</t>
        </is>
      </c>
      <c r="H10783" s="8">
        <f>HYPERLINK("https://dart.fss.or.kr/dsaf001/main.do?rcpNo=20260611000297", "공시열람")</f>
        <v/>
      </c>
    </row>
    <row r="10784">
      <c r="A10784" s="2" t="inlineStr">
        <is>
          <t>2026-06-11</t>
        </is>
      </c>
      <c r="B10784" s="3" t="inlineStr">
        <is>
          <t>교보증권</t>
        </is>
      </c>
      <c r="C10784" s="2" t="inlineStr">
        <is>
          <t>코스피</t>
        </is>
      </c>
      <c r="D10784" s="2" t="inlineStr">
        <is>
          <t>030610</t>
        </is>
      </c>
      <c r="E10784" s="3" t="inlineStr">
        <is>
          <t>증권발행실적보고서</t>
        </is>
      </c>
      <c r="F10784" s="3" t="inlineStr">
        <is>
          <t>교보증권</t>
        </is>
      </c>
      <c r="G10784" s="2" t="inlineStr">
        <is>
          <t>20260611000289</t>
        </is>
      </c>
      <c r="H10784" s="8">
        <f>HYPERLINK("https://dart.fss.or.kr/dsaf001/main.do?rcpNo=20260611000289", "공시열람")</f>
        <v/>
      </c>
    </row>
    <row r="10785">
      <c r="A10785" s="2" t="inlineStr">
        <is>
          <t>2026-06-11</t>
        </is>
      </c>
      <c r="B10785" s="3" t="inlineStr">
        <is>
          <t>제이에스링크</t>
        </is>
      </c>
      <c r="C10785" s="2" t="inlineStr">
        <is>
          <t>코스닥</t>
        </is>
      </c>
      <c r="D10785" s="2" t="inlineStr">
        <is>
          <t>127120</t>
        </is>
      </c>
      <c r="E10785" s="3" t="inlineStr">
        <is>
          <t xml:space="preserve">기업설명회(IR)개최              </t>
        </is>
      </c>
      <c r="F10785" s="3" t="inlineStr">
        <is>
          <t>제이에스링크</t>
        </is>
      </c>
      <c r="G10785" s="2" t="inlineStr">
        <is>
          <t>20260611900299</t>
        </is>
      </c>
      <c r="H10785" s="8">
        <f>HYPERLINK("https://dart.fss.or.kr/dsaf001/main.do?rcpNo=20260611900299", "공시열람")</f>
        <v/>
      </c>
    </row>
    <row r="10786">
      <c r="A10786" s="2" t="inlineStr">
        <is>
          <t>2026-06-11</t>
        </is>
      </c>
      <c r="B10786" s="3" t="inlineStr">
        <is>
          <t>케이지에이</t>
        </is>
      </c>
      <c r="C10786" s="2" t="inlineStr">
        <is>
          <t>코스닥</t>
        </is>
      </c>
      <c r="D10786" s="2" t="inlineStr">
        <is>
          <t>455180</t>
        </is>
      </c>
      <c r="E10786" s="3" t="inlineStr">
        <is>
          <t>임원ㆍ주요주주특정증권등소유상황보고서</t>
        </is>
      </c>
      <c r="F10786" s="3" t="inlineStr">
        <is>
          <t>김옥태</t>
        </is>
      </c>
      <c r="G10786" s="2" t="inlineStr">
        <is>
          <t>20260611000283</t>
        </is>
      </c>
      <c r="H10786" s="8">
        <f>HYPERLINK("https://dart.fss.or.kr/dsaf001/main.do?rcpNo=20260611000283", "공시열람")</f>
        <v/>
      </c>
    </row>
    <row r="10787">
      <c r="A10787" s="2" t="inlineStr">
        <is>
          <t>2026-06-11</t>
        </is>
      </c>
      <c r="B10787" s="3" t="inlineStr">
        <is>
          <t>키움증권</t>
        </is>
      </c>
      <c r="C10787" s="2" t="inlineStr">
        <is>
          <t>코스피</t>
        </is>
      </c>
      <c r="D10787" s="2" t="inlineStr">
        <is>
          <t>039490</t>
        </is>
      </c>
      <c r="E10787" s="3" t="inlineStr">
        <is>
          <t>투자설명서(일괄신고)</t>
        </is>
      </c>
      <c r="F10787" s="3" t="inlineStr">
        <is>
          <t>키움증권</t>
        </is>
      </c>
      <c r="G10787" s="2" t="inlineStr">
        <is>
          <t>20260611000275</t>
        </is>
      </c>
      <c r="H10787" s="8">
        <f>HYPERLINK("https://dart.fss.or.kr/dsaf001/main.do?rcpNo=20260611000275", "공시열람")</f>
        <v/>
      </c>
    </row>
    <row r="10788">
      <c r="A10788" s="2" t="inlineStr">
        <is>
          <t>2026-06-11</t>
        </is>
      </c>
      <c r="B10788" s="3" t="inlineStr">
        <is>
          <t>달바글로벌</t>
        </is>
      </c>
      <c r="C10788" s="2" t="inlineStr">
        <is>
          <t>코스피</t>
        </is>
      </c>
      <c r="D10788" s="2" t="inlineStr">
        <is>
          <t>483650</t>
        </is>
      </c>
      <c r="E10788" s="3" t="inlineStr">
        <is>
          <t>임원ㆍ주요주주특정증권등소유상황보고서</t>
        </is>
      </c>
      <c r="F10788" s="3" t="inlineStr">
        <is>
          <t>반성연</t>
        </is>
      </c>
      <c r="G10788" s="2" t="inlineStr">
        <is>
          <t>20260611000274</t>
        </is>
      </c>
      <c r="H10788" s="8">
        <f>HYPERLINK("https://dart.fss.or.kr/dsaf001/main.do?rcpNo=20260611000274", "공시열람")</f>
        <v/>
      </c>
    </row>
    <row r="10789">
      <c r="A10789" s="2" t="inlineStr">
        <is>
          <t>2026-06-11</t>
        </is>
      </c>
      <c r="B10789" s="3" t="inlineStr">
        <is>
          <t>쏘카</t>
        </is>
      </c>
      <c r="C10789" s="2" t="inlineStr">
        <is>
          <t>코스피</t>
        </is>
      </c>
      <c r="D10789" s="2" t="inlineStr">
        <is>
          <t>403550</t>
        </is>
      </c>
      <c r="E10789" s="3" t="inlineStr">
        <is>
          <t>[기재정정]주식매수선택권부여에관한신고</t>
        </is>
      </c>
      <c r="F10789" s="3" t="inlineStr">
        <is>
          <t>쏘카</t>
        </is>
      </c>
      <c r="G10789" s="2" t="inlineStr">
        <is>
          <t>20260611000270</t>
        </is>
      </c>
      <c r="H10789" s="8">
        <f>HYPERLINK("https://dart.fss.or.kr/dsaf001/main.do?rcpNo=20260611000270", "공시열람")</f>
        <v/>
      </c>
    </row>
    <row r="10790">
      <c r="A10790" s="2" t="inlineStr">
        <is>
          <t>2026-06-11</t>
        </is>
      </c>
      <c r="B10790" s="3" t="inlineStr">
        <is>
          <t>쏘카</t>
        </is>
      </c>
      <c r="C10790" s="2" t="inlineStr">
        <is>
          <t>코스피</t>
        </is>
      </c>
      <c r="D10790" s="2" t="inlineStr">
        <is>
          <t>403550</t>
        </is>
      </c>
      <c r="E10790" s="3" t="inlineStr">
        <is>
          <t>[기재정정]주식매수선택권부여에관한신고</t>
        </is>
      </c>
      <c r="F10790" s="3" t="inlineStr">
        <is>
          <t>쏘카</t>
        </is>
      </c>
      <c r="G10790" s="2" t="inlineStr">
        <is>
          <t>20260611000266</t>
        </is>
      </c>
      <c r="H10790" s="8">
        <f>HYPERLINK("https://dart.fss.or.kr/dsaf001/main.do?rcpNo=20260611000266", "공시열람")</f>
        <v/>
      </c>
    </row>
    <row r="10791">
      <c r="A10791" s="2" t="inlineStr">
        <is>
          <t>2026-06-11</t>
        </is>
      </c>
      <c r="B10791" s="3" t="inlineStr">
        <is>
          <t>쏘카</t>
        </is>
      </c>
      <c r="C10791" s="2" t="inlineStr">
        <is>
          <t>코스피</t>
        </is>
      </c>
      <c r="D10791" s="2" t="inlineStr">
        <is>
          <t>403550</t>
        </is>
      </c>
      <c r="E10791" s="3" t="inlineStr">
        <is>
          <t>[기재정정]주식매수선택권부여에관한신고</t>
        </is>
      </c>
      <c r="F10791" s="3" t="inlineStr">
        <is>
          <t>쏘카</t>
        </is>
      </c>
      <c r="G10791" s="2" t="inlineStr">
        <is>
          <t>20260611000265</t>
        </is>
      </c>
      <c r="H10791" s="8">
        <f>HYPERLINK("https://dart.fss.or.kr/dsaf001/main.do?rcpNo=20260611000265", "공시열람")</f>
        <v/>
      </c>
    </row>
    <row r="10792">
      <c r="A10792" s="2" t="inlineStr">
        <is>
          <t>2026-06-11</t>
        </is>
      </c>
      <c r="B10792" s="3" t="inlineStr">
        <is>
          <t>쏘카</t>
        </is>
      </c>
      <c r="C10792" s="2" t="inlineStr">
        <is>
          <t>코스피</t>
        </is>
      </c>
      <c r="D10792" s="2" t="inlineStr">
        <is>
          <t>403550</t>
        </is>
      </c>
      <c r="E10792" s="3" t="inlineStr">
        <is>
          <t>[기재정정]주식매수선택권부여에관한신고</t>
        </is>
      </c>
      <c r="F10792" s="3" t="inlineStr">
        <is>
          <t>쏘카</t>
        </is>
      </c>
      <c r="G10792" s="2" t="inlineStr">
        <is>
          <t>20260611000263</t>
        </is>
      </c>
      <c r="H10792" s="8">
        <f>HYPERLINK("https://dart.fss.or.kr/dsaf001/main.do?rcpNo=20260611000263", "공시열람")</f>
        <v/>
      </c>
    </row>
    <row r="10793">
      <c r="A10793" s="2" t="inlineStr">
        <is>
          <t>2026-06-11</t>
        </is>
      </c>
      <c r="B10793" s="3" t="inlineStr">
        <is>
          <t>DB증권</t>
        </is>
      </c>
      <c r="C10793" s="2" t="inlineStr">
        <is>
          <t>코스피</t>
        </is>
      </c>
      <c r="D10793" s="2" t="inlineStr">
        <is>
          <t>016610</t>
        </is>
      </c>
      <c r="E10793" s="3" t="inlineStr">
        <is>
          <t>일괄신고추가서류(파생결합사채-주가연계파생결합사채)</t>
        </is>
      </c>
      <c r="F10793" s="3" t="inlineStr">
        <is>
          <t>DB증권</t>
        </is>
      </c>
      <c r="G10793" s="2" t="inlineStr">
        <is>
          <t>20260611000259</t>
        </is>
      </c>
      <c r="H10793" s="8">
        <f>HYPERLINK("https://dart.fss.or.kr/dsaf001/main.do?rcpNo=20260611000259", "공시열람")</f>
        <v/>
      </c>
    </row>
    <row r="10794">
      <c r="A10794" s="2" t="inlineStr">
        <is>
          <t>2026-06-11</t>
        </is>
      </c>
      <c r="B10794" s="3" t="inlineStr">
        <is>
          <t>코디</t>
        </is>
      </c>
      <c r="C10794" s="2" t="inlineStr">
        <is>
          <t>코스닥</t>
        </is>
      </c>
      <c r="D10794" s="2" t="inlineStr">
        <is>
          <t>080530</t>
        </is>
      </c>
      <c r="E10794" s="3" t="inlineStr">
        <is>
          <t xml:space="preserve">[첨부정정]주주명부폐쇄기간또는기준일설정              </t>
        </is>
      </c>
      <c r="F10794" s="3" t="inlineStr">
        <is>
          <t>코디</t>
        </is>
      </c>
      <c r="G10794" s="2" t="inlineStr">
        <is>
          <t>20260611900292</t>
        </is>
      </c>
      <c r="H10794" s="8">
        <f>HYPERLINK("https://dart.fss.or.kr/dsaf001/main.do?rcpNo=20260611900292", "공시열람")</f>
        <v/>
      </c>
    </row>
    <row r="10795">
      <c r="A10795" s="2" t="inlineStr">
        <is>
          <t>2026-06-11</t>
        </is>
      </c>
      <c r="B10795" s="3" t="inlineStr">
        <is>
          <t>삼성FN리츠</t>
        </is>
      </c>
      <c r="C10795" s="2" t="inlineStr">
        <is>
          <t>코스피</t>
        </is>
      </c>
      <c r="D10795" s="2" t="inlineStr">
        <is>
          <t>448730</t>
        </is>
      </c>
      <c r="E10795" s="3" t="inlineStr">
        <is>
          <t xml:space="preserve">부동산투자회사부동산임대              </t>
        </is>
      </c>
      <c r="F10795" s="3" t="inlineStr">
        <is>
          <t>삼성FN리츠</t>
        </is>
      </c>
      <c r="G10795" s="2" t="inlineStr">
        <is>
          <t>20260611800268</t>
        </is>
      </c>
      <c r="H10795" s="8">
        <f>HYPERLINK("https://dart.fss.or.kr/dsaf001/main.do?rcpNo=20260611800268", "공시열람")</f>
        <v/>
      </c>
    </row>
    <row r="10796">
      <c r="A10796" s="2" t="inlineStr">
        <is>
          <t>2026-06-11</t>
        </is>
      </c>
      <c r="B10796" s="3" t="inlineStr">
        <is>
          <t>동양</t>
        </is>
      </c>
      <c r="C10796" s="2" t="inlineStr">
        <is>
          <t>코스피</t>
        </is>
      </c>
      <c r="D10796" s="2" t="inlineStr">
        <is>
          <t>001520</t>
        </is>
      </c>
      <c r="E10796" s="3" t="inlineStr">
        <is>
          <t>임원ㆍ주요주주특정증권등소유상황보고서</t>
        </is>
      </c>
      <c r="F10796" s="3" t="inlineStr">
        <is>
          <t>이종면</t>
        </is>
      </c>
      <c r="G10796" s="2" t="inlineStr">
        <is>
          <t>20260611000243</t>
        </is>
      </c>
      <c r="H10796" s="8">
        <f>HYPERLINK("https://dart.fss.or.kr/dsaf001/main.do?rcpNo=20260611000243", "공시열람")</f>
        <v/>
      </c>
    </row>
    <row r="10797">
      <c r="A10797" s="2" t="inlineStr">
        <is>
          <t>2026-06-11</t>
        </is>
      </c>
      <c r="B10797" s="3" t="inlineStr">
        <is>
          <t>KB금융</t>
        </is>
      </c>
      <c r="C10797" s="2" t="inlineStr">
        <is>
          <t>코스피</t>
        </is>
      </c>
      <c r="D10797" s="2" t="inlineStr">
        <is>
          <t>105560</t>
        </is>
      </c>
      <c r="E10797" s="3" t="inlineStr">
        <is>
          <t>임원ㆍ주요주주특정증권등소유상황보고서</t>
        </is>
      </c>
      <c r="F10797" s="3" t="inlineStr">
        <is>
          <t>주동욱</t>
        </is>
      </c>
      <c r="G10797" s="2" t="inlineStr">
        <is>
          <t>20260611000242</t>
        </is>
      </c>
      <c r="H10797" s="8">
        <f>HYPERLINK("https://dart.fss.or.kr/dsaf001/main.do?rcpNo=20260611000242", "공시열람")</f>
        <v/>
      </c>
    </row>
    <row r="10798">
      <c r="A10798" s="2" t="inlineStr">
        <is>
          <t>2026-06-11</t>
        </is>
      </c>
      <c r="B10798" s="3" t="inlineStr">
        <is>
          <t>롯데쇼핑</t>
        </is>
      </c>
      <c r="C10798" s="2" t="inlineStr">
        <is>
          <t>코스피</t>
        </is>
      </c>
      <c r="D10798" s="2" t="inlineStr">
        <is>
          <t>023530</t>
        </is>
      </c>
      <c r="E10798" s="3" t="inlineStr">
        <is>
          <t xml:space="preserve">기업설명회(IR)개최(안내공시)              </t>
        </is>
      </c>
      <c r="F10798" s="3" t="inlineStr">
        <is>
          <t>롯데쇼핑</t>
        </is>
      </c>
      <c r="G10798" s="2" t="inlineStr">
        <is>
          <t>20260611800275</t>
        </is>
      </c>
      <c r="H10798" s="8">
        <f>HYPERLINK("https://dart.fss.or.kr/dsaf001/main.do?rcpNo=20260611800275", "공시열람")</f>
        <v/>
      </c>
    </row>
    <row r="10799">
      <c r="A10799" s="2" t="inlineStr">
        <is>
          <t>2026-06-11</t>
        </is>
      </c>
      <c r="B10799" s="3" t="inlineStr">
        <is>
          <t>이엘피</t>
        </is>
      </c>
      <c r="C10799" s="2" t="inlineStr">
        <is>
          <t>코스닥</t>
        </is>
      </c>
      <c r="D10799" s="2" t="inlineStr">
        <is>
          <t>063760</t>
        </is>
      </c>
      <c r="E10799" s="3" t="inlineStr">
        <is>
          <t>임원ㆍ주요주주특정증권등소유상황보고서</t>
        </is>
      </c>
      <c r="F10799" s="3" t="inlineStr">
        <is>
          <t>최영진</t>
        </is>
      </c>
      <c r="G10799" s="2" t="inlineStr">
        <is>
          <t>20260611000241</t>
        </is>
      </c>
      <c r="H10799" s="8">
        <f>HYPERLINK("https://dart.fss.or.kr/dsaf001/main.do?rcpNo=20260611000241", "공시열람")</f>
        <v/>
      </c>
    </row>
    <row r="10800">
      <c r="A10800" s="2" t="inlineStr">
        <is>
          <t>2026-06-11</t>
        </is>
      </c>
      <c r="B10800" s="3" t="inlineStr">
        <is>
          <t>미트박스</t>
        </is>
      </c>
      <c r="C10800" s="2" t="inlineStr">
        <is>
          <t>코스닥</t>
        </is>
      </c>
      <c r="D10800" s="2" t="inlineStr">
        <is>
          <t>475460</t>
        </is>
      </c>
      <c r="E10800" s="3" t="inlineStr">
        <is>
          <t>임원ㆍ주요주주특정증권등소유상황보고서</t>
        </is>
      </c>
      <c r="F10800" s="3" t="inlineStr">
        <is>
          <t>최신</t>
        </is>
      </c>
      <c r="G10800" s="2" t="inlineStr">
        <is>
          <t>20260611000228</t>
        </is>
      </c>
      <c r="H10800" s="8">
        <f>HYPERLINK("https://dart.fss.or.kr/dsaf001/main.do?rcpNo=20260611000228", "공시열람")</f>
        <v/>
      </c>
    </row>
    <row r="10801">
      <c r="A10801" s="2" t="inlineStr">
        <is>
          <t>2026-06-11</t>
        </is>
      </c>
      <c r="B10801" s="3" t="inlineStr">
        <is>
          <t>대한전선</t>
        </is>
      </c>
      <c r="C10801" s="2" t="inlineStr">
        <is>
          <t>코스피</t>
        </is>
      </c>
      <c r="D10801" s="2" t="inlineStr">
        <is>
          <t>001440</t>
        </is>
      </c>
      <c r="E10801" s="3" t="inlineStr">
        <is>
          <t>동일인등출자계열회사와의상품ㆍ용역거래</t>
        </is>
      </c>
      <c r="F10801" s="3" t="inlineStr">
        <is>
          <t>대한전선</t>
        </is>
      </c>
      <c r="G10801" s="2" t="inlineStr">
        <is>
          <t>20260611000225</t>
        </is>
      </c>
      <c r="H10801" s="8">
        <f>HYPERLINK("https://dart.fss.or.kr/dsaf001/main.do?rcpNo=20260611000225", "공시열람")</f>
        <v/>
      </c>
    </row>
    <row r="10802">
      <c r="A10802" s="2" t="inlineStr">
        <is>
          <t>2026-06-11</t>
        </is>
      </c>
      <c r="B10802" s="3" t="inlineStr">
        <is>
          <t>파인엠텍</t>
        </is>
      </c>
      <c r="C10802" s="2" t="inlineStr">
        <is>
          <t>코스닥</t>
        </is>
      </c>
      <c r="D10802" s="2" t="inlineStr">
        <is>
          <t>441270</t>
        </is>
      </c>
      <c r="E10802" s="3" t="inlineStr">
        <is>
          <t>임원ㆍ주요주주특정증권등소유상황보고서</t>
        </is>
      </c>
      <c r="F10802" s="3" t="inlineStr">
        <is>
          <t>이재규</t>
        </is>
      </c>
      <c r="G10802" s="2" t="inlineStr">
        <is>
          <t>20260611000210</t>
        </is>
      </c>
      <c r="H10802" s="8">
        <f>HYPERLINK("https://dart.fss.or.kr/dsaf001/main.do?rcpNo=20260611000210", "공시열람")</f>
        <v/>
      </c>
    </row>
    <row r="10803">
      <c r="A10803" s="2" t="inlineStr">
        <is>
          <t>2026-06-11</t>
        </is>
      </c>
      <c r="B10803" s="3" t="inlineStr">
        <is>
          <t>코렌텍</t>
        </is>
      </c>
      <c r="C10803" s="2" t="inlineStr">
        <is>
          <t>코스닥</t>
        </is>
      </c>
      <c r="D10803" s="2" t="inlineStr">
        <is>
          <t>104540</t>
        </is>
      </c>
      <c r="E10803" s="3" t="inlineStr">
        <is>
          <t>임원ㆍ주요주주특정증권등소유상황보고서</t>
        </is>
      </c>
      <c r="F10803" s="3" t="inlineStr">
        <is>
          <t>박형철</t>
        </is>
      </c>
      <c r="G10803" s="2" t="inlineStr">
        <is>
          <t>20260611000209</t>
        </is>
      </c>
      <c r="H10803" s="8">
        <f>HYPERLINK("https://dart.fss.or.kr/dsaf001/main.do?rcpNo=20260611000209", "공시열람")</f>
        <v/>
      </c>
    </row>
    <row r="10804">
      <c r="A10804" s="2" t="inlineStr">
        <is>
          <t>2026-06-11</t>
        </is>
      </c>
      <c r="B10804" s="3" t="inlineStr">
        <is>
          <t>TYM</t>
        </is>
      </c>
      <c r="C10804" s="2" t="inlineStr">
        <is>
          <t>코스피</t>
        </is>
      </c>
      <c r="D10804" s="2" t="inlineStr">
        <is>
          <t>002900</t>
        </is>
      </c>
      <c r="E10804" s="3" t="inlineStr">
        <is>
          <t>임원ㆍ주요주주특정증권등소유상황보고서</t>
        </is>
      </c>
      <c r="F10804" s="3" t="inlineStr">
        <is>
          <t>최웅경</t>
        </is>
      </c>
      <c r="G10804" s="2" t="inlineStr">
        <is>
          <t>20260611000208</t>
        </is>
      </c>
      <c r="H10804" s="8">
        <f>HYPERLINK("https://dart.fss.or.kr/dsaf001/main.do?rcpNo=20260611000208", "공시열람")</f>
        <v/>
      </c>
    </row>
    <row r="10805">
      <c r="A10805" s="2" t="inlineStr">
        <is>
          <t>2026-06-11</t>
        </is>
      </c>
      <c r="B10805" s="3" t="inlineStr">
        <is>
          <t>명문제약</t>
        </is>
      </c>
      <c r="C10805" s="2" t="inlineStr">
        <is>
          <t>코스피</t>
        </is>
      </c>
      <c r="D10805" s="2" t="inlineStr">
        <is>
          <t>017180</t>
        </is>
      </c>
      <c r="E10805" s="3" t="inlineStr">
        <is>
          <t>임원ㆍ주요주주특정증권등소유상황보고서</t>
        </is>
      </c>
      <c r="F10805" s="3" t="inlineStr">
        <is>
          <t>양환태</t>
        </is>
      </c>
      <c r="G10805" s="2" t="inlineStr">
        <is>
          <t>20260611000194</t>
        </is>
      </c>
      <c r="H10805" s="8">
        <f>HYPERLINK("https://dart.fss.or.kr/dsaf001/main.do?rcpNo=20260611000194", "공시열람")</f>
        <v/>
      </c>
    </row>
    <row r="10806">
      <c r="A10806" s="2" t="inlineStr">
        <is>
          <t>2026-06-11</t>
        </is>
      </c>
      <c r="B10806" s="3" t="inlineStr">
        <is>
          <t>DB증권</t>
        </is>
      </c>
      <c r="C10806" s="2" t="inlineStr">
        <is>
          <t>코스피</t>
        </is>
      </c>
      <c r="D10806" s="2" t="inlineStr">
        <is>
          <t>016610</t>
        </is>
      </c>
      <c r="E10806" s="3" t="inlineStr">
        <is>
          <t>일괄신고추가서류(기타파생결합사채)</t>
        </is>
      </c>
      <c r="F10806" s="3" t="inlineStr">
        <is>
          <t>DB증권</t>
        </is>
      </c>
      <c r="G10806" s="2" t="inlineStr">
        <is>
          <t>20260611000193</t>
        </is>
      </c>
      <c r="H10806" s="8">
        <f>HYPERLINK("https://dart.fss.or.kr/dsaf001/main.do?rcpNo=20260611000193", "공시열람")</f>
        <v/>
      </c>
    </row>
    <row r="10807">
      <c r="A10807" s="2" t="inlineStr">
        <is>
          <t>2026-06-11</t>
        </is>
      </c>
      <c r="B10807" s="3" t="inlineStr">
        <is>
          <t>오리엔트바이오</t>
        </is>
      </c>
      <c r="C10807" s="2" t="inlineStr">
        <is>
          <t>코스피</t>
        </is>
      </c>
      <c r="D10807" s="2" t="inlineStr">
        <is>
          <t>002630</t>
        </is>
      </c>
      <c r="E10807" s="3" t="inlineStr">
        <is>
          <t>임원ㆍ주요주주특정증권등소유상황보고서</t>
        </is>
      </c>
      <c r="F10807" s="3" t="inlineStr">
        <is>
          <t>오리엔트</t>
        </is>
      </c>
      <c r="G10807" s="2" t="inlineStr">
        <is>
          <t>20260611000186</t>
        </is>
      </c>
      <c r="H10807" s="8">
        <f>HYPERLINK("https://dart.fss.or.kr/dsaf001/main.do?rcpNo=20260611000186", "공시열람")</f>
        <v/>
      </c>
    </row>
    <row r="10808">
      <c r="A10808" s="2" t="inlineStr">
        <is>
          <t>2026-06-11</t>
        </is>
      </c>
      <c r="B10808" s="3" t="inlineStr">
        <is>
          <t>코맥스</t>
        </is>
      </c>
      <c r="C10808" s="2" t="inlineStr">
        <is>
          <t>코스닥</t>
        </is>
      </c>
      <c r="D10808" s="2" t="inlineStr">
        <is>
          <t>036690</t>
        </is>
      </c>
      <c r="E10808" s="3" t="inlineStr">
        <is>
          <t>기타시장안내              (개선기간 종료에 따른 상장폐지 여부 결정 안내)</t>
        </is>
      </c>
      <c r="F10808" s="3" t="inlineStr">
        <is>
          <t>코스닥시장본부</t>
        </is>
      </c>
      <c r="G10808" s="2" t="inlineStr">
        <is>
          <t>20260611900230</t>
        </is>
      </c>
      <c r="H10808" s="8">
        <f>HYPERLINK("https://dart.fss.or.kr/dsaf001/main.do?rcpNo=20260611900230", "공시열람")</f>
        <v/>
      </c>
    </row>
    <row r="10809">
      <c r="A10809" s="2" t="inlineStr">
        <is>
          <t>2026-06-11</t>
        </is>
      </c>
      <c r="B10809" s="3" t="inlineStr">
        <is>
          <t>LG에너지솔루션</t>
        </is>
      </c>
      <c r="C10809" s="2" t="inlineStr">
        <is>
          <t>코스피</t>
        </is>
      </c>
      <c r="D10809" s="2" t="inlineStr">
        <is>
          <t>373220</t>
        </is>
      </c>
      <c r="E10809" s="3" t="inlineStr">
        <is>
          <t>임원ㆍ주요주주특정증권등소유상황보고서</t>
        </is>
      </c>
      <c r="F10809" s="3" t="inlineStr">
        <is>
          <t>이강열</t>
        </is>
      </c>
      <c r="G10809" s="2" t="inlineStr">
        <is>
          <t>20260611000174</t>
        </is>
      </c>
      <c r="H10809" s="8">
        <f>HYPERLINK("https://dart.fss.or.kr/dsaf001/main.do?rcpNo=20260611000174", "공시열람")</f>
        <v/>
      </c>
    </row>
    <row r="10810">
      <c r="A10810" s="2" t="inlineStr">
        <is>
          <t>2026-06-11</t>
        </is>
      </c>
      <c r="B10810" s="3" t="inlineStr">
        <is>
          <t>대구백화점</t>
        </is>
      </c>
      <c r="C10810" s="2" t="inlineStr">
        <is>
          <t>코스피</t>
        </is>
      </c>
      <c r="D10810" s="2" t="inlineStr">
        <is>
          <t>006370</t>
        </is>
      </c>
      <c r="E10810" s="3" t="inlineStr">
        <is>
          <t xml:space="preserve">조회공시요구(현저한시황변동)에대한답변(미확정)              </t>
        </is>
      </c>
      <c r="F10810" s="3" t="inlineStr">
        <is>
          <t>대구백화점</t>
        </is>
      </c>
      <c r="G10810" s="2" t="inlineStr">
        <is>
          <t>20260611800216</t>
        </is>
      </c>
      <c r="H10810" s="8">
        <f>HYPERLINK("https://dart.fss.or.kr/dsaf001/main.do?rcpNo=20260611800216", "공시열람")</f>
        <v/>
      </c>
    </row>
    <row r="10811">
      <c r="A10811" s="2" t="inlineStr">
        <is>
          <t>2026-06-11</t>
        </is>
      </c>
      <c r="B10811" s="3" t="inlineStr">
        <is>
          <t>인화정공</t>
        </is>
      </c>
      <c r="C10811" s="2" t="inlineStr">
        <is>
          <t>코스닥</t>
        </is>
      </c>
      <c r="D10811" s="2" t="inlineStr">
        <is>
          <t>101930</t>
        </is>
      </c>
      <c r="E10811" s="3" t="inlineStr">
        <is>
          <t>수시공시의무관련사항(공정공시)              (주주가치 제고를 위한 중장기 주주환원 정책 안내)</t>
        </is>
      </c>
      <c r="F10811" s="3" t="inlineStr">
        <is>
          <t>인화정공</t>
        </is>
      </c>
      <c r="G10811" s="2" t="inlineStr">
        <is>
          <t>20260611900213</t>
        </is>
      </c>
      <c r="H10811" s="8">
        <f>HYPERLINK("https://dart.fss.or.kr/dsaf001/main.do?rcpNo=20260611900213", "공시열람")</f>
        <v/>
      </c>
    </row>
    <row r="10812">
      <c r="A10812" s="2" t="inlineStr">
        <is>
          <t>2026-06-11</t>
        </is>
      </c>
      <c r="B10812" s="3" t="inlineStr">
        <is>
          <t>대원</t>
        </is>
      </c>
      <c r="C10812" s="2" t="inlineStr">
        <is>
          <t>코스닥</t>
        </is>
      </c>
      <c r="D10812" s="2" t="inlineStr">
        <is>
          <t>007680</t>
        </is>
      </c>
      <c r="E10812" s="3" t="inlineStr">
        <is>
          <t>임원ㆍ주요주주특정증권등소유상황보고서</t>
        </is>
      </c>
      <c r="F10812" s="3" t="inlineStr">
        <is>
          <t>연제준</t>
        </is>
      </c>
      <c r="G10812" s="2" t="inlineStr">
        <is>
          <t>20260611000167</t>
        </is>
      </c>
      <c r="H10812" s="8">
        <f>HYPERLINK("https://dart.fss.or.kr/dsaf001/main.do?rcpNo=20260611000167", "공시열람")</f>
        <v/>
      </c>
    </row>
    <row r="10813">
      <c r="A10813" s="2" t="inlineStr">
        <is>
          <t>2026-06-11</t>
        </is>
      </c>
      <c r="B10813" s="3" t="inlineStr">
        <is>
          <t>미래에셋증권</t>
        </is>
      </c>
      <c r="C10813" s="2" t="inlineStr">
        <is>
          <t>코스피</t>
        </is>
      </c>
      <c r="D10813" s="2" t="inlineStr">
        <is>
          <t>006800</t>
        </is>
      </c>
      <c r="E10813" s="3" t="inlineStr">
        <is>
          <t>증권발행실적보고서</t>
        </is>
      </c>
      <c r="F10813" s="3" t="inlineStr">
        <is>
          <t>미래에셋증권</t>
        </is>
      </c>
      <c r="G10813" s="2" t="inlineStr">
        <is>
          <t>20260611000166</t>
        </is>
      </c>
      <c r="H10813" s="8">
        <f>HYPERLINK("https://dart.fss.or.kr/dsaf001/main.do?rcpNo=20260611000166", "공시열람")</f>
        <v/>
      </c>
    </row>
    <row r="10814">
      <c r="A10814" s="2" t="inlineStr">
        <is>
          <t>2026-06-11</t>
        </is>
      </c>
      <c r="B10814" s="3" t="inlineStr">
        <is>
          <t>라온로보틱스</t>
        </is>
      </c>
      <c r="C10814" s="2" t="inlineStr">
        <is>
          <t>코스닥</t>
        </is>
      </c>
      <c r="D10814" s="2" t="inlineStr">
        <is>
          <t>232680</t>
        </is>
      </c>
      <c r="E10814" s="3" t="inlineStr">
        <is>
          <t>임원ㆍ주요주주특정증권등소유상황보고서</t>
        </is>
      </c>
      <c r="F10814" s="3" t="inlineStr">
        <is>
          <t>상재호</t>
        </is>
      </c>
      <c r="G10814" s="2" t="inlineStr">
        <is>
          <t>20260611000162</t>
        </is>
      </c>
      <c r="H10814" s="8">
        <f>HYPERLINK("https://dart.fss.or.kr/dsaf001/main.do?rcpNo=20260611000162", "공시열람")</f>
        <v/>
      </c>
    </row>
    <row r="10815">
      <c r="A10815" s="2" t="inlineStr">
        <is>
          <t>2026-06-11</t>
        </is>
      </c>
      <c r="B10815" s="3" t="inlineStr">
        <is>
          <t>미래에셋증권</t>
        </is>
      </c>
      <c r="C10815" s="2" t="inlineStr">
        <is>
          <t>코스피</t>
        </is>
      </c>
      <c r="D10815" s="2" t="inlineStr">
        <is>
          <t>006800</t>
        </is>
      </c>
      <c r="E10815" s="3" t="inlineStr">
        <is>
          <t>증권발행실적보고서</t>
        </is>
      </c>
      <c r="F10815" s="3" t="inlineStr">
        <is>
          <t>미래에셋증권</t>
        </is>
      </c>
      <c r="G10815" s="2" t="inlineStr">
        <is>
          <t>20260611000161</t>
        </is>
      </c>
      <c r="H10815" s="8">
        <f>HYPERLINK("https://dart.fss.or.kr/dsaf001/main.do?rcpNo=20260611000161", "공시열람")</f>
        <v/>
      </c>
    </row>
    <row r="10816">
      <c r="A10816" s="2" t="inlineStr">
        <is>
          <t>2026-06-11</t>
        </is>
      </c>
      <c r="B10816" s="3" t="inlineStr">
        <is>
          <t>금호에이치티</t>
        </is>
      </c>
      <c r="C10816" s="2" t="inlineStr">
        <is>
          <t>코스피</t>
        </is>
      </c>
      <c r="D10816" s="2" t="inlineStr">
        <is>
          <t>214330</t>
        </is>
      </c>
      <c r="E10816" s="3" t="inlineStr">
        <is>
          <t>임원ㆍ주요주주특정증권등소유상황보고서</t>
        </is>
      </c>
      <c r="F10816" s="3" t="inlineStr">
        <is>
          <t>김진곤</t>
        </is>
      </c>
      <c r="G10816" s="2" t="inlineStr">
        <is>
          <t>20260611000159</t>
        </is>
      </c>
      <c r="H10816" s="8">
        <f>HYPERLINK("https://dart.fss.or.kr/dsaf001/main.do?rcpNo=20260611000159", "공시열람")</f>
        <v/>
      </c>
    </row>
    <row r="10817">
      <c r="A10817" s="2" t="inlineStr">
        <is>
          <t>2026-06-11</t>
        </is>
      </c>
      <c r="B10817" s="3" t="inlineStr">
        <is>
          <t>한국가스공사</t>
        </is>
      </c>
      <c r="C10817" s="2" t="inlineStr">
        <is>
          <t>코스피</t>
        </is>
      </c>
      <c r="D10817" s="2" t="inlineStr">
        <is>
          <t>036460</t>
        </is>
      </c>
      <c r="E10817" s="3" t="inlineStr">
        <is>
          <t xml:space="preserve">영업(잠정)실적(공정공시)              </t>
        </is>
      </c>
      <c r="F10817" s="3" t="inlineStr">
        <is>
          <t>한국가스공사</t>
        </is>
      </c>
      <c r="G10817" s="2" t="inlineStr">
        <is>
          <t>20260611800196</t>
        </is>
      </c>
      <c r="H10817" s="8">
        <f>HYPERLINK("https://dart.fss.or.kr/dsaf001/main.do?rcpNo=20260611800196", "공시열람")</f>
        <v/>
      </c>
    </row>
    <row r="10818">
      <c r="A10818" s="2" t="inlineStr">
        <is>
          <t>2026-06-11</t>
        </is>
      </c>
      <c r="B10818" s="3" t="inlineStr">
        <is>
          <t>금호에이치티</t>
        </is>
      </c>
      <c r="C10818" s="2" t="inlineStr">
        <is>
          <t>코스피</t>
        </is>
      </c>
      <c r="D10818" s="2" t="inlineStr">
        <is>
          <t>214330</t>
        </is>
      </c>
      <c r="E10818" s="3" t="inlineStr">
        <is>
          <t>임원ㆍ주요주주특정증권등소유상황보고서</t>
        </is>
      </c>
      <c r="F10818" s="3" t="inlineStr">
        <is>
          <t>김두인</t>
        </is>
      </c>
      <c r="G10818" s="2" t="inlineStr">
        <is>
          <t>20260611000155</t>
        </is>
      </c>
      <c r="H10818" s="8">
        <f>HYPERLINK("https://dart.fss.or.kr/dsaf001/main.do?rcpNo=20260611000155", "공시열람")</f>
        <v/>
      </c>
    </row>
    <row r="10819">
      <c r="A10819" s="2" t="inlineStr">
        <is>
          <t>2026-06-11</t>
        </is>
      </c>
      <c r="B10819" s="3" t="inlineStr">
        <is>
          <t>우진</t>
        </is>
      </c>
      <c r="C10819" s="2" t="inlineStr">
        <is>
          <t>코스피</t>
        </is>
      </c>
      <c r="D10819" s="2" t="inlineStr">
        <is>
          <t>105840</t>
        </is>
      </c>
      <c r="E10819" s="3" t="inlineStr">
        <is>
          <t xml:space="preserve">기업설명회(IR)개최(안내공시)              </t>
        </is>
      </c>
      <c r="F10819" s="3" t="inlineStr">
        <is>
          <t>우진</t>
        </is>
      </c>
      <c r="G10819" s="2" t="inlineStr">
        <is>
          <t>20260611800210</t>
        </is>
      </c>
      <c r="H10819" s="8">
        <f>HYPERLINK("https://dart.fss.or.kr/dsaf001/main.do?rcpNo=20260611800210", "공시열람")</f>
        <v/>
      </c>
    </row>
    <row r="10820">
      <c r="A10820" s="2" t="inlineStr">
        <is>
          <t>2026-06-11</t>
        </is>
      </c>
      <c r="B10820" s="3" t="inlineStr">
        <is>
          <t>AP시스템</t>
        </is>
      </c>
      <c r="C10820" s="2" t="inlineStr">
        <is>
          <t>코스닥</t>
        </is>
      </c>
      <c r="D10820" s="2" t="inlineStr">
        <is>
          <t>265520</t>
        </is>
      </c>
      <c r="E10820" s="3" t="inlineStr">
        <is>
          <t>신탁계약에의한취득상황보고서</t>
        </is>
      </c>
      <c r="F10820" s="3" t="inlineStr">
        <is>
          <t>AP시스템</t>
        </is>
      </c>
      <c r="G10820" s="2" t="inlineStr">
        <is>
          <t>20260611000148</t>
        </is>
      </c>
      <c r="H10820" s="8">
        <f>HYPERLINK("https://dart.fss.or.kr/dsaf001/main.do?rcpNo=20260611000148", "공시열람")</f>
        <v/>
      </c>
    </row>
    <row r="10821">
      <c r="A10821" s="2" t="inlineStr">
        <is>
          <t>2026-06-11</t>
        </is>
      </c>
      <c r="B10821" s="3" t="inlineStr">
        <is>
          <t>금호에이치티</t>
        </is>
      </c>
      <c r="C10821" s="2" t="inlineStr">
        <is>
          <t>코스피</t>
        </is>
      </c>
      <c r="D10821" s="2" t="inlineStr">
        <is>
          <t>214330</t>
        </is>
      </c>
      <c r="E10821" s="3" t="inlineStr">
        <is>
          <t>임원ㆍ주요주주특정증권등소유상황보고서</t>
        </is>
      </c>
      <c r="F10821" s="3" t="inlineStr">
        <is>
          <t>전철수</t>
        </is>
      </c>
      <c r="G10821" s="2" t="inlineStr">
        <is>
          <t>20260611000140</t>
        </is>
      </c>
      <c r="H10821" s="8">
        <f>HYPERLINK("https://dart.fss.or.kr/dsaf001/main.do?rcpNo=20260611000140", "공시열람")</f>
        <v/>
      </c>
    </row>
    <row r="10822">
      <c r="A10822" s="2" t="inlineStr">
        <is>
          <t>2026-06-11</t>
        </is>
      </c>
      <c r="B10822" s="3" t="inlineStr">
        <is>
          <t>엠씨넥스</t>
        </is>
      </c>
      <c r="C10822" s="2" t="inlineStr">
        <is>
          <t>코스피</t>
        </is>
      </c>
      <c r="D10822" s="2" t="inlineStr">
        <is>
          <t>097520</t>
        </is>
      </c>
      <c r="E10822" s="3" t="inlineStr">
        <is>
          <t>임원ㆍ주요주주특정증권등소유상황보고서</t>
        </is>
      </c>
      <c r="F10822" s="3" t="inlineStr">
        <is>
          <t>민동욱</t>
        </is>
      </c>
      <c r="G10822" s="2" t="inlineStr">
        <is>
          <t>20260611000136</t>
        </is>
      </c>
      <c r="H10822" s="8">
        <f>HYPERLINK("https://dart.fss.or.kr/dsaf001/main.do?rcpNo=20260611000136", "공시열람")</f>
        <v/>
      </c>
    </row>
    <row r="10823">
      <c r="A10823" s="2" t="inlineStr">
        <is>
          <t>2026-06-11</t>
        </is>
      </c>
      <c r="B10823" s="3" t="inlineStr">
        <is>
          <t>프리엠스</t>
        </is>
      </c>
      <c r="C10823" s="2" t="inlineStr">
        <is>
          <t>코스닥</t>
        </is>
      </c>
      <c r="D10823" s="2" t="inlineStr">
        <is>
          <t>053160</t>
        </is>
      </c>
      <c r="E10823" s="3" t="inlineStr">
        <is>
          <t>자기주식취득결과보고서</t>
        </is>
      </c>
      <c r="F10823" s="3" t="inlineStr">
        <is>
          <t>프리엠스</t>
        </is>
      </c>
      <c r="G10823" s="2" t="inlineStr">
        <is>
          <t>20260611000124</t>
        </is>
      </c>
      <c r="H10823" s="8">
        <f>HYPERLINK("https://dart.fss.or.kr/dsaf001/main.do?rcpNo=20260611000124", "공시열람")</f>
        <v/>
      </c>
    </row>
    <row r="10824">
      <c r="A10824" s="2" t="inlineStr">
        <is>
          <t>2026-06-11</t>
        </is>
      </c>
      <c r="B10824" s="3" t="inlineStr">
        <is>
          <t>대림통상</t>
        </is>
      </c>
      <c r="C10824" s="2" t="inlineStr">
        <is>
          <t>코스피</t>
        </is>
      </c>
      <c r="D10824" s="2" t="inlineStr">
        <is>
          <t>006570</t>
        </is>
      </c>
      <c r="E10824" s="3" t="inlineStr">
        <is>
          <t>임원ㆍ주요주주특정증권등소유상황보고서</t>
        </is>
      </c>
      <c r="F10824" s="3" t="inlineStr">
        <is>
          <t>디앤디파트너스</t>
        </is>
      </c>
      <c r="G10824" s="2" t="inlineStr">
        <is>
          <t>20260611000121</t>
        </is>
      </c>
      <c r="H10824" s="8">
        <f>HYPERLINK("https://dart.fss.or.kr/dsaf001/main.do?rcpNo=20260611000121", "공시열람")</f>
        <v/>
      </c>
    </row>
    <row r="10825">
      <c r="A10825" s="2" t="inlineStr">
        <is>
          <t>2026-06-11</t>
        </is>
      </c>
      <c r="B10825" s="3" t="inlineStr">
        <is>
          <t>HLB바이오스텝</t>
        </is>
      </c>
      <c r="C10825" s="2" t="inlineStr">
        <is>
          <t>코스닥</t>
        </is>
      </c>
      <c r="D10825" s="2" t="inlineStr">
        <is>
          <t>278650</t>
        </is>
      </c>
      <c r="E10825" s="3" t="inlineStr">
        <is>
          <t>임원ㆍ주요주주특정증권등소유상황보고서</t>
        </is>
      </c>
      <c r="F10825" s="3" t="inlineStr">
        <is>
          <t>한상옥</t>
        </is>
      </c>
      <c r="G10825" s="2" t="inlineStr">
        <is>
          <t>20260611000098</t>
        </is>
      </c>
      <c r="H10825" s="8">
        <f>HYPERLINK("https://dart.fss.or.kr/dsaf001/main.do?rcpNo=20260611000098", "공시열람")</f>
        <v/>
      </c>
    </row>
    <row r="10826">
      <c r="A10826" s="2" t="inlineStr">
        <is>
          <t>2026-06-11</t>
        </is>
      </c>
      <c r="B10826" s="3" t="inlineStr">
        <is>
          <t>메이슨캐피탈</t>
        </is>
      </c>
      <c r="C10826" s="2" t="inlineStr">
        <is>
          <t>코스닥</t>
        </is>
      </c>
      <c r="D10826" s="2" t="inlineStr">
        <is>
          <t>021880</t>
        </is>
      </c>
      <c r="E10826" s="3" t="inlineStr">
        <is>
          <t>[첨부정정]의결권대리행사권유참고서류</t>
        </is>
      </c>
      <c r="F10826" s="3" t="inlineStr">
        <is>
          <t>메이슨캐피탈</t>
        </is>
      </c>
      <c r="G10826" s="2" t="inlineStr">
        <is>
          <t>20260611000086</t>
        </is>
      </c>
      <c r="H10826" s="8">
        <f>HYPERLINK("https://dart.fss.or.kr/dsaf001/main.do?rcpNo=20260611000086", "공시열람")</f>
        <v/>
      </c>
    </row>
    <row r="10827">
      <c r="A10827" s="2" t="inlineStr">
        <is>
          <t>2026-06-11</t>
        </is>
      </c>
      <c r="B10827" s="3" t="inlineStr">
        <is>
          <t>한국콜마</t>
        </is>
      </c>
      <c r="C10827" s="2" t="inlineStr">
        <is>
          <t>코스피</t>
        </is>
      </c>
      <c r="D10827" s="2" t="inlineStr">
        <is>
          <t>161890</t>
        </is>
      </c>
      <c r="E10827" s="3" t="inlineStr">
        <is>
          <t xml:space="preserve">기업설명회(IR)개최(안내공시)              </t>
        </is>
      </c>
      <c r="F10827" s="3" t="inlineStr">
        <is>
          <t>한국콜마</t>
        </is>
      </c>
      <c r="G10827" s="2" t="inlineStr">
        <is>
          <t>20260611800175</t>
        </is>
      </c>
      <c r="H10827" s="8">
        <f>HYPERLINK("https://dart.fss.or.kr/dsaf001/main.do?rcpNo=20260611800175", "공시열람")</f>
        <v/>
      </c>
    </row>
    <row r="10828">
      <c r="A10828" s="2" t="inlineStr">
        <is>
          <t>2026-06-11</t>
        </is>
      </c>
      <c r="B10828" s="3" t="inlineStr">
        <is>
          <t>현대건설</t>
        </is>
      </c>
      <c r="C10828" s="2" t="inlineStr">
        <is>
          <t>코스피</t>
        </is>
      </c>
      <c r="D10828" s="2" t="inlineStr">
        <is>
          <t>000720</t>
        </is>
      </c>
      <c r="E10828" s="3" t="inlineStr">
        <is>
          <t>임원ㆍ주요주주특정증권등소유상황보고서</t>
        </is>
      </c>
      <c r="F10828" s="3" t="inlineStr">
        <is>
          <t>이동훈</t>
        </is>
      </c>
      <c r="G10828" s="2" t="inlineStr">
        <is>
          <t>20260611000067</t>
        </is>
      </c>
      <c r="H10828" s="8">
        <f>HYPERLINK("https://dart.fss.or.kr/dsaf001/main.do?rcpNo=20260611000067", "공시열람")</f>
        <v/>
      </c>
    </row>
    <row r="10829">
      <c r="A10829" s="2" t="inlineStr">
        <is>
          <t>2026-06-11</t>
        </is>
      </c>
      <c r="B10829" s="3" t="inlineStr">
        <is>
          <t>키움증권</t>
        </is>
      </c>
      <c r="C10829" s="2" t="inlineStr">
        <is>
          <t>코스피</t>
        </is>
      </c>
      <c r="D10829" s="2" t="inlineStr">
        <is>
          <t>039490</t>
        </is>
      </c>
      <c r="E10829" s="3" t="inlineStr">
        <is>
          <t>투자설명서(일괄신고)</t>
        </is>
      </c>
      <c r="F10829" s="3" t="inlineStr">
        <is>
          <t>키움증권</t>
        </is>
      </c>
      <c r="G10829" s="2" t="inlineStr">
        <is>
          <t>20260611000066</t>
        </is>
      </c>
      <c r="H10829" s="8">
        <f>HYPERLINK("https://dart.fss.or.kr/dsaf001/main.do?rcpNo=20260611000066", "공시열람")</f>
        <v/>
      </c>
    </row>
    <row r="10830">
      <c r="A10830" s="2" t="inlineStr">
        <is>
          <t>2026-06-11</t>
        </is>
      </c>
      <c r="B10830" s="3" t="inlineStr">
        <is>
          <t>키움증권</t>
        </is>
      </c>
      <c r="C10830" s="2" t="inlineStr">
        <is>
          <t>코스피</t>
        </is>
      </c>
      <c r="D10830" s="2" t="inlineStr">
        <is>
          <t>039490</t>
        </is>
      </c>
      <c r="E10830" s="3" t="inlineStr">
        <is>
          <t>투자설명서(일괄신고)</t>
        </is>
      </c>
      <c r="F10830" s="3" t="inlineStr">
        <is>
          <t>키움증권</t>
        </is>
      </c>
      <c r="G10830" s="2" t="inlineStr">
        <is>
          <t>20260611000057</t>
        </is>
      </c>
      <c r="H10830" s="8">
        <f>HYPERLINK("https://dart.fss.or.kr/dsaf001/main.do?rcpNo=20260611000057", "공시열람")</f>
        <v/>
      </c>
    </row>
    <row r="10831">
      <c r="A10831" s="2" t="inlineStr">
        <is>
          <t>2026-06-11</t>
        </is>
      </c>
      <c r="B10831" s="3" t="inlineStr">
        <is>
          <t>키움증권</t>
        </is>
      </c>
      <c r="C10831" s="2" t="inlineStr">
        <is>
          <t>코스피</t>
        </is>
      </c>
      <c r="D10831" s="2" t="inlineStr">
        <is>
          <t>039490</t>
        </is>
      </c>
      <c r="E10831" s="3" t="inlineStr">
        <is>
          <t>일괄신고추가서류(파생결합사채-주가연계파생결합사채)</t>
        </is>
      </c>
      <c r="F10831" s="3" t="inlineStr">
        <is>
          <t>키움증권</t>
        </is>
      </c>
      <c r="G10831" s="2" t="inlineStr">
        <is>
          <t>20260611000056</t>
        </is>
      </c>
      <c r="H10831" s="8">
        <f>HYPERLINK("https://dart.fss.or.kr/dsaf001/main.do?rcpNo=20260611000056", "공시열람")</f>
        <v/>
      </c>
    </row>
    <row r="10832">
      <c r="A10832" s="2" t="inlineStr">
        <is>
          <t>2026-06-11</t>
        </is>
      </c>
      <c r="B10832" s="3" t="inlineStr">
        <is>
          <t>키움증권</t>
        </is>
      </c>
      <c r="C10832" s="2" t="inlineStr">
        <is>
          <t>코스피</t>
        </is>
      </c>
      <c r="D10832" s="2" t="inlineStr">
        <is>
          <t>039490</t>
        </is>
      </c>
      <c r="E10832" s="3" t="inlineStr">
        <is>
          <t>일괄신고추가서류(파생결합증권-주가연계증권)</t>
        </is>
      </c>
      <c r="F10832" s="3" t="inlineStr">
        <is>
          <t>키움증권</t>
        </is>
      </c>
      <c r="G10832" s="2" t="inlineStr">
        <is>
          <t>20260611000053</t>
        </is>
      </c>
      <c r="H10832" s="8">
        <f>HYPERLINK("https://dart.fss.or.kr/dsaf001/main.do?rcpNo=20260611000053", "공시열람")</f>
        <v/>
      </c>
    </row>
    <row r="10833">
      <c r="A10833" s="2" t="inlineStr">
        <is>
          <t>2026-06-11</t>
        </is>
      </c>
      <c r="B10833" s="3" t="inlineStr">
        <is>
          <t>LG전자</t>
        </is>
      </c>
      <c r="C10833" s="2" t="inlineStr">
        <is>
          <t>코스피</t>
        </is>
      </c>
      <c r="D10833" s="2" t="inlineStr">
        <is>
          <t>066570</t>
        </is>
      </c>
      <c r="E10833" s="3" t="inlineStr">
        <is>
          <t>임원ㆍ주요주주특정증권등소유상황보고서</t>
        </is>
      </c>
      <c r="F10833" s="3" t="inlineStr">
        <is>
          <t>박원재</t>
        </is>
      </c>
      <c r="G10833" s="2" t="inlineStr">
        <is>
          <t>20260611000049</t>
        </is>
      </c>
      <c r="H10833" s="8">
        <f>HYPERLINK("https://dart.fss.or.kr/dsaf001/main.do?rcpNo=20260611000049", "공시열람")</f>
        <v/>
      </c>
    </row>
    <row r="10834">
      <c r="A10834" s="2" t="inlineStr">
        <is>
          <t>2026-06-11</t>
        </is>
      </c>
      <c r="B10834" s="3" t="inlineStr">
        <is>
          <t>노바렉스</t>
        </is>
      </c>
      <c r="C10834" s="2" t="inlineStr">
        <is>
          <t>코스닥</t>
        </is>
      </c>
      <c r="D10834" s="2" t="inlineStr">
        <is>
          <t>194700</t>
        </is>
      </c>
      <c r="E10834" s="3" t="inlineStr">
        <is>
          <t>임원ㆍ주요주주특정증권등소유상황보고서</t>
        </is>
      </c>
      <c r="F10834" s="3" t="inlineStr">
        <is>
          <t>이상구</t>
        </is>
      </c>
      <c r="G10834" s="2" t="inlineStr">
        <is>
          <t>20260611000047</t>
        </is>
      </c>
      <c r="H10834" s="8">
        <f>HYPERLINK("https://dart.fss.or.kr/dsaf001/main.do?rcpNo=20260611000047", "공시열람")</f>
        <v/>
      </c>
    </row>
    <row r="10835">
      <c r="A10835" s="2" t="inlineStr">
        <is>
          <t>2026-06-11</t>
        </is>
      </c>
      <c r="B10835" s="3" t="inlineStr">
        <is>
          <t>메이슨캐피탈</t>
        </is>
      </c>
      <c r="C10835" s="2" t="inlineStr">
        <is>
          <t>코스닥</t>
        </is>
      </c>
      <c r="D10835" s="2" t="inlineStr">
        <is>
          <t>021880</t>
        </is>
      </c>
      <c r="E10835" s="3" t="inlineStr">
        <is>
          <t>임원ㆍ주요주주특정증권등소유상황보고서</t>
        </is>
      </c>
      <c r="F10835" s="3" t="inlineStr">
        <is>
          <t>리드코프</t>
        </is>
      </c>
      <c r="G10835" s="2" t="inlineStr">
        <is>
          <t>20260611000046</t>
        </is>
      </c>
      <c r="H10835" s="8">
        <f>HYPERLINK("https://dart.fss.or.kr/dsaf001/main.do?rcpNo=20260611000046", "공시열람")</f>
        <v/>
      </c>
    </row>
    <row r="10836">
      <c r="A10836" s="2" t="inlineStr">
        <is>
          <t>2026-06-11</t>
        </is>
      </c>
      <c r="B10836" s="3" t="inlineStr">
        <is>
          <t>리드코프</t>
        </is>
      </c>
      <c r="C10836" s="2" t="inlineStr">
        <is>
          <t>코스닥</t>
        </is>
      </c>
      <c r="D10836" s="2" t="inlineStr">
        <is>
          <t>012700</t>
        </is>
      </c>
      <c r="E10836" s="3" t="inlineStr">
        <is>
          <t>자기주식처분결과보고서</t>
        </is>
      </c>
      <c r="F10836" s="3" t="inlineStr">
        <is>
          <t>리드코프</t>
        </is>
      </c>
      <c r="G10836" s="2" t="inlineStr">
        <is>
          <t>20260611000034</t>
        </is>
      </c>
      <c r="H10836" s="8">
        <f>HYPERLINK("https://dart.fss.or.kr/dsaf001/main.do?rcpNo=20260611000034", "공시열람")</f>
        <v/>
      </c>
    </row>
    <row r="10837">
      <c r="A10837" s="2" t="inlineStr">
        <is>
          <t>2026-06-11</t>
        </is>
      </c>
      <c r="B10837" s="3" t="inlineStr">
        <is>
          <t>키움증권</t>
        </is>
      </c>
      <c r="C10837" s="2" t="inlineStr">
        <is>
          <t>코스피</t>
        </is>
      </c>
      <c r="D10837" s="2" t="inlineStr">
        <is>
          <t>039490</t>
        </is>
      </c>
      <c r="E10837" s="3" t="inlineStr">
        <is>
          <t>투자설명서(일괄신고)</t>
        </is>
      </c>
      <c r="F10837" s="3" t="inlineStr">
        <is>
          <t>키움증권</t>
        </is>
      </c>
      <c r="G10837" s="2" t="inlineStr">
        <is>
          <t>20260611000033</t>
        </is>
      </c>
      <c r="H10837" s="8">
        <f>HYPERLINK("https://dart.fss.or.kr/dsaf001/main.do?rcpNo=20260611000033", "공시열람")</f>
        <v/>
      </c>
    </row>
    <row r="10838">
      <c r="A10838" s="2" t="inlineStr">
        <is>
          <t>2026-06-11</t>
        </is>
      </c>
      <c r="B10838" s="3" t="inlineStr">
        <is>
          <t>키움증권</t>
        </is>
      </c>
      <c r="C10838" s="2" t="inlineStr">
        <is>
          <t>코스피</t>
        </is>
      </c>
      <c r="D10838" s="2" t="inlineStr">
        <is>
          <t>039490</t>
        </is>
      </c>
      <c r="E10838" s="3" t="inlineStr">
        <is>
          <t>일괄신고추가서류(파생결합증권-주가연계증권)</t>
        </is>
      </c>
      <c r="F10838" s="3" t="inlineStr">
        <is>
          <t>키움증권</t>
        </is>
      </c>
      <c r="G10838" s="2" t="inlineStr">
        <is>
          <t>20260611000027</t>
        </is>
      </c>
      <c r="H10838" s="8">
        <f>HYPERLINK("https://dart.fss.or.kr/dsaf001/main.do?rcpNo=20260611000027", "공시열람")</f>
        <v/>
      </c>
    </row>
    <row r="10839">
      <c r="A10839" s="2" t="inlineStr">
        <is>
          <t>2026-06-11</t>
        </is>
      </c>
      <c r="B10839" s="3" t="inlineStr">
        <is>
          <t>교보증권</t>
        </is>
      </c>
      <c r="C10839" s="2" t="inlineStr">
        <is>
          <t>코스피</t>
        </is>
      </c>
      <c r="D10839" s="2" t="inlineStr">
        <is>
          <t>030610</t>
        </is>
      </c>
      <c r="E10839" s="3" t="inlineStr">
        <is>
          <t>투자설명서(일괄신고)</t>
        </is>
      </c>
      <c r="F10839" s="3" t="inlineStr">
        <is>
          <t>교보증권</t>
        </is>
      </c>
      <c r="G10839" s="2" t="inlineStr">
        <is>
          <t>20260611000026</t>
        </is>
      </c>
      <c r="H10839" s="8">
        <f>HYPERLINK("https://dart.fss.or.kr/dsaf001/main.do?rcpNo=20260611000026", "공시열람")</f>
        <v/>
      </c>
    </row>
    <row r="10840">
      <c r="A10840" s="2" t="inlineStr">
        <is>
          <t>2026-06-11</t>
        </is>
      </c>
      <c r="B10840" s="3" t="inlineStr">
        <is>
          <t>키움증권</t>
        </is>
      </c>
      <c r="C10840" s="2" t="inlineStr">
        <is>
          <t>코스피</t>
        </is>
      </c>
      <c r="D10840" s="2" t="inlineStr">
        <is>
          <t>039490</t>
        </is>
      </c>
      <c r="E10840" s="3" t="inlineStr">
        <is>
          <t>일괄신고추가서류(파생결합사채-주가연계파생결합사채)</t>
        </is>
      </c>
      <c r="F10840" s="3" t="inlineStr">
        <is>
          <t>키움증권</t>
        </is>
      </c>
      <c r="G10840" s="2" t="inlineStr">
        <is>
          <t>20260611000025</t>
        </is>
      </c>
      <c r="H10840" s="8">
        <f>HYPERLINK("https://dart.fss.or.kr/dsaf001/main.do?rcpNo=20260611000025", "공시열람")</f>
        <v/>
      </c>
    </row>
    <row r="10841">
      <c r="A10841" s="2" t="inlineStr">
        <is>
          <t>2026-06-11</t>
        </is>
      </c>
      <c r="B10841" s="3" t="inlineStr">
        <is>
          <t>교보증권</t>
        </is>
      </c>
      <c r="C10841" s="2" t="inlineStr">
        <is>
          <t>코스피</t>
        </is>
      </c>
      <c r="D10841" s="2" t="inlineStr">
        <is>
          <t>030610</t>
        </is>
      </c>
      <c r="E10841" s="3" t="inlineStr">
        <is>
          <t>일괄신고추가서류(파생결합사채-주가연계파생결합사채)</t>
        </is>
      </c>
      <c r="F10841" s="3" t="inlineStr">
        <is>
          <t>교보증권</t>
        </is>
      </c>
      <c r="G10841" s="2" t="inlineStr">
        <is>
          <t>20260611000024</t>
        </is>
      </c>
      <c r="H10841" s="8">
        <f>HYPERLINK("https://dart.fss.or.kr/dsaf001/main.do?rcpNo=20260611000024", "공시열람")</f>
        <v/>
      </c>
    </row>
    <row r="10842">
      <c r="A10842" s="2" t="inlineStr">
        <is>
          <t>2026-06-11</t>
        </is>
      </c>
      <c r="B10842" s="3" t="inlineStr">
        <is>
          <t>신한서부티엔디리츠</t>
        </is>
      </c>
      <c r="C10842" s="2" t="inlineStr">
        <is>
          <t>코스피</t>
        </is>
      </c>
      <c r="D10842" s="2" t="inlineStr">
        <is>
          <t>404990</t>
        </is>
      </c>
      <c r="E10842" s="3" t="inlineStr">
        <is>
          <t xml:space="preserve">주주명부폐쇄기간또는기준일설정              </t>
        </is>
      </c>
      <c r="F10842" s="3" t="inlineStr">
        <is>
          <t>신한서부티엔디리츠</t>
        </is>
      </c>
      <c r="G10842" s="2" t="inlineStr">
        <is>
          <t>20260611800131</t>
        </is>
      </c>
      <c r="H10842" s="8">
        <f>HYPERLINK("https://dart.fss.or.kr/dsaf001/main.do?rcpNo=20260611800131", "공시열람")</f>
        <v/>
      </c>
    </row>
    <row r="10843">
      <c r="A10843" s="2" t="inlineStr">
        <is>
          <t>2026-06-11</t>
        </is>
      </c>
      <c r="B10843" s="3" t="inlineStr">
        <is>
          <t>제놀루션</t>
        </is>
      </c>
      <c r="C10843" s="2" t="inlineStr">
        <is>
          <t>코스닥</t>
        </is>
      </c>
      <c r="D10843" s="2" t="inlineStr">
        <is>
          <t>225220</t>
        </is>
      </c>
      <c r="E10843" s="3" t="inlineStr">
        <is>
          <t>임원ㆍ주요주주특정증권등소유상황보고서</t>
        </is>
      </c>
      <c r="F10843" s="3" t="inlineStr">
        <is>
          <t>김민이</t>
        </is>
      </c>
      <c r="G10843" s="2" t="inlineStr">
        <is>
          <t>20260611000018</t>
        </is>
      </c>
      <c r="H10843" s="8">
        <f>HYPERLINK("https://dart.fss.or.kr/dsaf001/main.do?rcpNo=20260611000018", "공시열람")</f>
        <v/>
      </c>
    </row>
    <row r="10844">
      <c r="A10844" s="2" t="inlineStr">
        <is>
          <t>2026-06-11</t>
        </is>
      </c>
      <c r="B10844" s="3" t="inlineStr">
        <is>
          <t>제놀루션</t>
        </is>
      </c>
      <c r="C10844" s="2" t="inlineStr">
        <is>
          <t>코스닥</t>
        </is>
      </c>
      <c r="D10844" s="2" t="inlineStr">
        <is>
          <t>225220</t>
        </is>
      </c>
      <c r="E10844" s="3" t="inlineStr">
        <is>
          <t>임원ㆍ주요주주특정증권등소유상황보고서</t>
        </is>
      </c>
      <c r="F10844" s="3" t="inlineStr">
        <is>
          <t>김우진</t>
        </is>
      </c>
      <c r="G10844" s="2" t="inlineStr">
        <is>
          <t>20260611000012</t>
        </is>
      </c>
      <c r="H10844" s="8">
        <f>HYPERLINK("https://dart.fss.or.kr/dsaf001/main.do?rcpNo=20260611000012", "공시열람")</f>
        <v/>
      </c>
    </row>
    <row r="10845">
      <c r="A10845" s="2" t="inlineStr">
        <is>
          <t>2026-06-11</t>
        </is>
      </c>
      <c r="B10845" s="3" t="inlineStr">
        <is>
          <t>티에스아이</t>
        </is>
      </c>
      <c r="C10845" s="2" t="inlineStr">
        <is>
          <t>코스닥</t>
        </is>
      </c>
      <c r="D10845" s="2" t="inlineStr">
        <is>
          <t>277880</t>
        </is>
      </c>
      <c r="E10845" s="3" t="inlineStr">
        <is>
          <t>임원ㆍ주요주주특정증권등소유상황보고서</t>
        </is>
      </c>
      <c r="F10845" s="3" t="inlineStr">
        <is>
          <t>표인식</t>
        </is>
      </c>
      <c r="G10845" s="2" t="inlineStr">
        <is>
          <t>20260611000005</t>
        </is>
      </c>
      <c r="H10845" s="8">
        <f>HYPERLINK("https://dart.fss.or.kr/dsaf001/main.do?rcpNo=20260611000005", "공시열람")</f>
        <v/>
      </c>
    </row>
    <row r="10846">
      <c r="A10846" s="2" t="inlineStr">
        <is>
          <t>2026-06-11 (정정: 2026-06-12)</t>
        </is>
      </c>
      <c r="B10846" s="3" t="inlineStr">
        <is>
          <t>한화솔루션</t>
        </is>
      </c>
      <c r="C10846" s="2" t="inlineStr">
        <is>
          <t>코스피</t>
        </is>
      </c>
      <c r="D10846" s="2" t="inlineStr">
        <is>
          <t>009830</t>
        </is>
      </c>
      <c r="E10846" s="3" t="inlineStr">
        <is>
          <t>투자설명서 (정정: 20260612)</t>
        </is>
      </c>
      <c r="F10846" s="3" t="inlineStr">
        <is>
          <t>한화솔루션</t>
        </is>
      </c>
      <c r="G10846" s="2" t="inlineStr">
        <is>
          <t>20260612000379</t>
        </is>
      </c>
      <c r="H10846" s="8">
        <f>HYPERLINK("https://dart.fss.or.kr/dsaf001/main.do?rcpNo=20260612000379", "공시열람")</f>
        <v/>
      </c>
    </row>
    <row r="10847">
      <c r="A10847" s="2" t="inlineStr">
        <is>
          <t>2026-06-11</t>
        </is>
      </c>
      <c r="B10847" s="3" t="inlineStr">
        <is>
          <t>대한항공</t>
        </is>
      </c>
      <c r="C10847" s="2" t="inlineStr">
        <is>
          <t>코스피</t>
        </is>
      </c>
      <c r="D10847" s="2" t="inlineStr">
        <is>
          <t>003490</t>
        </is>
      </c>
      <c r="E10847" s="3" t="inlineStr">
        <is>
          <t>투자설명서</t>
        </is>
      </c>
      <c r="F10847" s="3" t="inlineStr">
        <is>
          <t>대한항공</t>
        </is>
      </c>
      <c r="G10847" s="2" t="inlineStr">
        <is>
          <t>20260611000002</t>
        </is>
      </c>
      <c r="H10847" s="8">
        <f>HYPERLINK("https://dart.fss.or.kr/dsaf001/main.do?rcpNo=20260611000002", "공시열람")</f>
        <v/>
      </c>
    </row>
    <row r="10848">
      <c r="A10848" s="2" t="inlineStr">
        <is>
          <t>2026-06-11</t>
        </is>
      </c>
      <c r="B10848" s="3" t="inlineStr">
        <is>
          <t>한화솔루션</t>
        </is>
      </c>
      <c r="C10848" s="2" t="inlineStr">
        <is>
          <t>코스피</t>
        </is>
      </c>
      <c r="D10848" s="2" t="inlineStr">
        <is>
          <t>009830</t>
        </is>
      </c>
      <c r="E10848" s="3" t="inlineStr">
        <is>
          <t>효력발생안내( 2026.5.26. 제출 증권신고서(지분증권) )</t>
        </is>
      </c>
      <c r="F10848" s="3" t="inlineStr">
        <is>
          <t>금융감독원</t>
        </is>
      </c>
      <c r="G10848" s="2" t="inlineStr">
        <is>
          <t>20260526100018</t>
        </is>
      </c>
      <c r="H10848" s="8">
        <f>HYPERLINK("https://dart.fss.or.kr/dsaf001/main.do?rcpNo=20260526100018", "공시열람")</f>
        <v/>
      </c>
    </row>
    <row r="10849">
      <c r="A10849" s="2" t="inlineStr">
        <is>
          <t>2026-06-12</t>
        </is>
      </c>
      <c r="B10849" s="3" t="inlineStr">
        <is>
          <t>이엔플러스</t>
        </is>
      </c>
      <c r="C10849" s="2" t="inlineStr">
        <is>
          <t>코스피</t>
        </is>
      </c>
      <c r="D10849" s="2" t="inlineStr">
        <is>
          <t>074610</t>
        </is>
      </c>
      <c r="E10849" s="3" t="inlineStr">
        <is>
          <t xml:space="preserve">상장적격성실질심사관련주요개선계획(자율공시)              </t>
        </is>
      </c>
      <c r="F10849" s="3" t="inlineStr">
        <is>
          <t>이엔플러스</t>
        </is>
      </c>
      <c r="G10849" s="2" t="inlineStr">
        <is>
          <t>20260612801172</t>
        </is>
      </c>
      <c r="H10849" s="8">
        <f>HYPERLINK("https://dart.fss.or.kr/dsaf001/main.do?rcpNo=20260612801172", "공시열람")</f>
        <v/>
      </c>
    </row>
    <row r="10850">
      <c r="A10850" s="2" t="inlineStr">
        <is>
          <t>2026-06-12</t>
        </is>
      </c>
      <c r="B10850" s="3" t="inlineStr">
        <is>
          <t>효성화학</t>
        </is>
      </c>
      <c r="C10850" s="2" t="inlineStr">
        <is>
          <t>코스피</t>
        </is>
      </c>
      <c r="D10850" s="2" t="inlineStr">
        <is>
          <t>298000</t>
        </is>
      </c>
      <c r="E10850" s="3" t="inlineStr">
        <is>
          <t xml:space="preserve">기타경영사항(자율공시)              </t>
        </is>
      </c>
      <c r="F10850" s="3" t="inlineStr">
        <is>
          <t>효성화학</t>
        </is>
      </c>
      <c r="G10850" s="2" t="inlineStr">
        <is>
          <t>20260612801171</t>
        </is>
      </c>
      <c r="H10850" s="8">
        <f>HYPERLINK("https://dart.fss.or.kr/dsaf001/main.do?rcpNo=20260612801171", "공시열람")</f>
        <v/>
      </c>
    </row>
    <row r="10851">
      <c r="A10851" s="2" t="inlineStr">
        <is>
          <t>2026-06-12</t>
        </is>
      </c>
      <c r="B10851" s="3" t="inlineStr">
        <is>
          <t>이엔플러스</t>
        </is>
      </c>
      <c r="C10851" s="2" t="inlineStr">
        <is>
          <t>코스피</t>
        </is>
      </c>
      <c r="D10851" s="2" t="inlineStr">
        <is>
          <t>074610</t>
        </is>
      </c>
      <c r="E10851" s="3" t="inlineStr">
        <is>
          <t>기타시장안내              (개선기간 부여 결정)</t>
        </is>
      </c>
      <c r="F10851" s="3" t="inlineStr">
        <is>
          <t>유가증권시장본부</t>
        </is>
      </c>
      <c r="G10851" s="2" t="inlineStr">
        <is>
          <t>20260612801157</t>
        </is>
      </c>
      <c r="H10851" s="8">
        <f>HYPERLINK("https://dart.fss.or.kr/dsaf001/main.do?rcpNo=20260612801157", "공시열람")</f>
        <v/>
      </c>
    </row>
    <row r="10852">
      <c r="A10852" s="2" t="inlineStr">
        <is>
          <t>2026-06-12</t>
        </is>
      </c>
      <c r="B10852" s="3" t="inlineStr">
        <is>
          <t>빛과전자</t>
        </is>
      </c>
      <c r="C10852" s="2" t="inlineStr">
        <is>
          <t>코스닥</t>
        </is>
      </c>
      <c r="D10852" s="2" t="inlineStr">
        <is>
          <t>069540</t>
        </is>
      </c>
      <c r="E10852" s="3" t="inlineStr">
        <is>
          <t>전환청구권행사              (제13회차)</t>
        </is>
      </c>
      <c r="F10852" s="3" t="inlineStr">
        <is>
          <t>빛과전자</t>
        </is>
      </c>
      <c r="G10852" s="2" t="inlineStr">
        <is>
          <t>20260612901153</t>
        </is>
      </c>
      <c r="H10852" s="8">
        <f>HYPERLINK("https://dart.fss.or.kr/dsaf001/main.do?rcpNo=20260612901153", "공시열람")</f>
        <v/>
      </c>
    </row>
    <row r="10853">
      <c r="A10853" s="2" t="inlineStr">
        <is>
          <t>2026-06-12</t>
        </is>
      </c>
      <c r="B10853" s="3" t="inlineStr">
        <is>
          <t>에스바이오메딕스</t>
        </is>
      </c>
      <c r="C10853" s="2" t="inlineStr">
        <is>
          <t>코스닥</t>
        </is>
      </c>
      <c r="D10853" s="2" t="inlineStr">
        <is>
          <t>304360</t>
        </is>
      </c>
      <c r="E10853" s="3" t="inlineStr">
        <is>
          <t xml:space="preserve">투자판단관련주요경영사항(임상시험결과)              </t>
        </is>
      </c>
      <c r="F10853" s="3" t="inlineStr">
        <is>
          <t>에스바이오메딕스</t>
        </is>
      </c>
      <c r="G10853" s="2" t="inlineStr">
        <is>
          <t>20260612901141</t>
        </is>
      </c>
      <c r="H10853" s="8">
        <f>HYPERLINK("https://dart.fss.or.kr/dsaf001/main.do?rcpNo=20260612901141", "공시열람")</f>
        <v/>
      </c>
    </row>
    <row r="10854">
      <c r="A10854" s="2" t="inlineStr">
        <is>
          <t>2026-06-12</t>
        </is>
      </c>
      <c r="B10854" s="3" t="inlineStr">
        <is>
          <t>에스아이리소스</t>
        </is>
      </c>
      <c r="C10854" s="2" t="inlineStr">
        <is>
          <t>코스닥</t>
        </is>
      </c>
      <c r="D10854" s="2" t="inlineStr">
        <is>
          <t>065420</t>
        </is>
      </c>
      <c r="E10854" s="3" t="inlineStr">
        <is>
          <t>주권매매거래정지              (조회공시 신고시한 위반)</t>
        </is>
      </c>
      <c r="F10854" s="3" t="inlineStr">
        <is>
          <t>코스닥시장본부</t>
        </is>
      </c>
      <c r="G10854" s="2" t="inlineStr">
        <is>
          <t>20260612901133</t>
        </is>
      </c>
      <c r="H10854" s="8">
        <f>HYPERLINK("https://dart.fss.or.kr/dsaf001/main.do?rcpNo=20260612901133", "공시열람")</f>
        <v/>
      </c>
    </row>
    <row r="10855">
      <c r="A10855" s="2" t="inlineStr">
        <is>
          <t>2026-06-12 (정정: 2026-06-18)</t>
        </is>
      </c>
      <c r="B10855" s="3" t="inlineStr">
        <is>
          <t>효성화학</t>
        </is>
      </c>
      <c r="C10855" s="2" t="inlineStr">
        <is>
          <t>코스피</t>
        </is>
      </c>
      <c r="D10855" s="2" t="inlineStr">
        <is>
          <t>298000</t>
        </is>
      </c>
      <c r="E10855" s="3" t="inlineStr">
        <is>
          <t>기타시장안내              (유가증권시장 기업심사위원회 심의결과 및 상장유지 결정 안내) (정정: 20260618)</t>
        </is>
      </c>
      <c r="F10855" s="3" t="inlineStr">
        <is>
          <t>유가증권시장본부</t>
        </is>
      </c>
      <c r="G10855" s="2" t="inlineStr">
        <is>
          <t>20260618800621</t>
        </is>
      </c>
      <c r="H10855" s="8">
        <f>HYPERLINK("https://dart.fss.or.kr/dsaf001/main.do?rcpNo=20260618800621", "공시열람")</f>
        <v/>
      </c>
    </row>
    <row r="10856">
      <c r="A10856" s="2" t="inlineStr">
        <is>
          <t>2026-06-12</t>
        </is>
      </c>
      <c r="B10856" s="3" t="inlineStr">
        <is>
          <t>현대로템</t>
        </is>
      </c>
      <c r="C10856" s="2" t="inlineStr">
        <is>
          <t>코스피</t>
        </is>
      </c>
      <c r="D10856" s="2" t="inlineStr">
        <is>
          <t>064350</t>
        </is>
      </c>
      <c r="E10856" s="3" t="inlineStr">
        <is>
          <t>임원ㆍ주요주주특정증권등소유상황보고서</t>
        </is>
      </c>
      <c r="F10856" s="3" t="inlineStr">
        <is>
          <t>김도화</t>
        </is>
      </c>
      <c r="G10856" s="2" t="inlineStr">
        <is>
          <t>20260612000702</t>
        </is>
      </c>
      <c r="H10856" s="8">
        <f>HYPERLINK("https://dart.fss.or.kr/dsaf001/main.do?rcpNo=20260612000702", "공시열람")</f>
        <v/>
      </c>
    </row>
    <row r="10857">
      <c r="A10857" s="2" t="inlineStr">
        <is>
          <t>2026-06-12</t>
        </is>
      </c>
      <c r="B10857" s="3" t="inlineStr">
        <is>
          <t>현대로템</t>
        </is>
      </c>
      <c r="C10857" s="2" t="inlineStr">
        <is>
          <t>코스피</t>
        </is>
      </c>
      <c r="D10857" s="2" t="inlineStr">
        <is>
          <t>064350</t>
        </is>
      </c>
      <c r="E10857" s="3" t="inlineStr">
        <is>
          <t>임원ㆍ주요주주특정증권등소유상황보고서</t>
        </is>
      </c>
      <c r="F10857" s="3" t="inlineStr">
        <is>
          <t>박영순</t>
        </is>
      </c>
      <c r="G10857" s="2" t="inlineStr">
        <is>
          <t>20260612000701</t>
        </is>
      </c>
      <c r="H10857" s="8">
        <f>HYPERLINK("https://dart.fss.or.kr/dsaf001/main.do?rcpNo=20260612000701", "공시열람")</f>
        <v/>
      </c>
    </row>
    <row r="10858">
      <c r="A10858" s="2" t="inlineStr">
        <is>
          <t>2026-06-12</t>
        </is>
      </c>
      <c r="B10858" s="3" t="inlineStr">
        <is>
          <t>엘앤씨바이오</t>
        </is>
      </c>
      <c r="C10858" s="2" t="inlineStr">
        <is>
          <t>코스닥</t>
        </is>
      </c>
      <c r="D10858" s="2" t="inlineStr">
        <is>
          <t>290650</t>
        </is>
      </c>
      <c r="E10858" s="3" t="inlineStr">
        <is>
          <t xml:space="preserve">[기재정정]감사보고서제출              </t>
        </is>
      </c>
      <c r="F10858" s="3" t="inlineStr">
        <is>
          <t>엘앤씨바이오</t>
        </is>
      </c>
      <c r="G10858" s="2" t="inlineStr">
        <is>
          <t>20260612901087</t>
        </is>
      </c>
      <c r="H10858" s="8">
        <f>HYPERLINK("https://dart.fss.or.kr/dsaf001/main.do?rcpNo=20260612901087", "공시열람")</f>
        <v/>
      </c>
    </row>
    <row r="10859">
      <c r="A10859" s="2" t="inlineStr">
        <is>
          <t>2026-06-12</t>
        </is>
      </c>
      <c r="B10859" s="3" t="inlineStr">
        <is>
          <t>엔지켐생명과학</t>
        </is>
      </c>
      <c r="C10859" s="2" t="inlineStr">
        <is>
          <t>코스닥</t>
        </is>
      </c>
      <c r="D10859" s="2" t="inlineStr">
        <is>
          <t>183490</t>
        </is>
      </c>
      <c r="E10859" s="3" t="inlineStr">
        <is>
          <t xml:space="preserve">주주명부폐쇄기간또는기준일설정              </t>
        </is>
      </c>
      <c r="F10859" s="3" t="inlineStr">
        <is>
          <t>엔지켐생명과학</t>
        </is>
      </c>
      <c r="G10859" s="2" t="inlineStr">
        <is>
          <t>20260612901011</t>
        </is>
      </c>
      <c r="H10859" s="8">
        <f>HYPERLINK("https://dart.fss.or.kr/dsaf001/main.do?rcpNo=20260612901011", "공시열람")</f>
        <v/>
      </c>
    </row>
    <row r="10860">
      <c r="A10860" s="2" t="inlineStr">
        <is>
          <t>2026-06-12</t>
        </is>
      </c>
      <c r="B10860" s="3" t="inlineStr">
        <is>
          <t>현대로템</t>
        </is>
      </c>
      <c r="C10860" s="2" t="inlineStr">
        <is>
          <t>코스피</t>
        </is>
      </c>
      <c r="D10860" s="2" t="inlineStr">
        <is>
          <t>064350</t>
        </is>
      </c>
      <c r="E10860" s="3" t="inlineStr">
        <is>
          <t>임원ㆍ주요주주특정증권등소유상황보고서</t>
        </is>
      </c>
      <c r="F10860" s="3" t="inlineStr">
        <is>
          <t>정승우</t>
        </is>
      </c>
      <c r="G10860" s="2" t="inlineStr">
        <is>
          <t>20260612000699</t>
        </is>
      </c>
      <c r="H10860" s="8">
        <f>HYPERLINK("https://dart.fss.or.kr/dsaf001/main.do?rcpNo=20260612000699", "공시열람")</f>
        <v/>
      </c>
    </row>
    <row r="10861">
      <c r="A10861" s="2" t="inlineStr">
        <is>
          <t>2026-06-12</t>
        </is>
      </c>
      <c r="B10861" s="3" t="inlineStr">
        <is>
          <t>현대로템</t>
        </is>
      </c>
      <c r="C10861" s="2" t="inlineStr">
        <is>
          <t>코스피</t>
        </is>
      </c>
      <c r="D10861" s="2" t="inlineStr">
        <is>
          <t>064350</t>
        </is>
      </c>
      <c r="E10861" s="3" t="inlineStr">
        <is>
          <t>임원ㆍ주요주주특정증권등소유상황보고서</t>
        </is>
      </c>
      <c r="F10861" s="3" t="inlineStr">
        <is>
          <t>김성일</t>
        </is>
      </c>
      <c r="G10861" s="2" t="inlineStr">
        <is>
          <t>20260612000698</t>
        </is>
      </c>
      <c r="H10861" s="8">
        <f>HYPERLINK("https://dart.fss.or.kr/dsaf001/main.do?rcpNo=20260612000698", "공시열람")</f>
        <v/>
      </c>
    </row>
    <row r="10862">
      <c r="A10862" s="2" t="inlineStr">
        <is>
          <t>2026-06-12</t>
        </is>
      </c>
      <c r="B10862" s="3" t="inlineStr">
        <is>
          <t>현대로템</t>
        </is>
      </c>
      <c r="C10862" s="2" t="inlineStr">
        <is>
          <t>코스피</t>
        </is>
      </c>
      <c r="D10862" s="2" t="inlineStr">
        <is>
          <t>064350</t>
        </is>
      </c>
      <c r="E10862" s="3" t="inlineStr">
        <is>
          <t>임원ㆍ주요주주특정증권등소유상황보고서</t>
        </is>
      </c>
      <c r="F10862" s="3" t="inlineStr">
        <is>
          <t>정창선</t>
        </is>
      </c>
      <c r="G10862" s="2" t="inlineStr">
        <is>
          <t>20260612000696</t>
        </is>
      </c>
      <c r="H10862" s="8">
        <f>HYPERLINK("https://dart.fss.or.kr/dsaf001/main.do?rcpNo=20260612000696", "공시열람")</f>
        <v/>
      </c>
    </row>
    <row r="10863">
      <c r="A10863" s="2" t="inlineStr">
        <is>
          <t>2026-06-12</t>
        </is>
      </c>
      <c r="B10863" s="3" t="inlineStr">
        <is>
          <t>현대로템</t>
        </is>
      </c>
      <c r="C10863" s="2" t="inlineStr">
        <is>
          <t>코스피</t>
        </is>
      </c>
      <c r="D10863" s="2" t="inlineStr">
        <is>
          <t>064350</t>
        </is>
      </c>
      <c r="E10863" s="3" t="inlineStr">
        <is>
          <t>임원ㆍ주요주주특정증권등소유상황보고서</t>
        </is>
      </c>
      <c r="F10863" s="3" t="inlineStr">
        <is>
          <t>한항인</t>
        </is>
      </c>
      <c r="G10863" s="2" t="inlineStr">
        <is>
          <t>20260612000693</t>
        </is>
      </c>
      <c r="H10863" s="8">
        <f>HYPERLINK("https://dart.fss.or.kr/dsaf001/main.do?rcpNo=20260612000693", "공시열람")</f>
        <v/>
      </c>
    </row>
    <row r="10864">
      <c r="A10864" s="2" t="inlineStr">
        <is>
          <t>2026-06-12 (정정: 2026-06-12)</t>
        </is>
      </c>
      <c r="B10864" s="3" t="inlineStr">
        <is>
          <t>디에이치엑스컴퍼니</t>
        </is>
      </c>
      <c r="C10864" s="2" t="inlineStr">
        <is>
          <t>코스닥</t>
        </is>
      </c>
      <c r="D10864" s="2" t="inlineStr">
        <is>
          <t>031860</t>
        </is>
      </c>
      <c r="E10864" s="3" t="inlineStr">
        <is>
          <t>기타주요경영사항              (유형자산 양수결정 철회) (정정: 20260612)</t>
        </is>
      </c>
      <c r="F10864" s="3" t="inlineStr">
        <is>
          <t>디에이치엑스컴퍼니</t>
        </is>
      </c>
      <c r="G10864" s="2" t="inlineStr">
        <is>
          <t>20260612000660</t>
        </is>
      </c>
      <c r="H10864" s="8">
        <f>HYPERLINK("https://dart.fss.or.kr/dsaf001/main.do?rcpNo=20260612000660", "공시열람")</f>
        <v/>
      </c>
    </row>
    <row r="10865">
      <c r="A10865" s="2" t="inlineStr">
        <is>
          <t>2026-06-12</t>
        </is>
      </c>
      <c r="B10865" s="3" t="inlineStr">
        <is>
          <t>신한알파리츠</t>
        </is>
      </c>
      <c r="C10865" s="2" t="inlineStr">
        <is>
          <t>코스피</t>
        </is>
      </c>
      <c r="D10865" s="2" t="inlineStr">
        <is>
          <t>293940</t>
        </is>
      </c>
      <c r="E10865" s="3" t="inlineStr">
        <is>
          <t xml:space="preserve">기타경영사항(자율공시)              </t>
        </is>
      </c>
      <c r="F10865" s="3" t="inlineStr">
        <is>
          <t>신한알파리츠</t>
        </is>
      </c>
      <c r="G10865" s="2" t="inlineStr">
        <is>
          <t>20260612801109</t>
        </is>
      </c>
      <c r="H10865" s="8">
        <f>HYPERLINK("https://dart.fss.or.kr/dsaf001/main.do?rcpNo=20260612801109", "공시열람")</f>
        <v/>
      </c>
    </row>
    <row r="10866">
      <c r="A10866" s="2" t="inlineStr">
        <is>
          <t>2026-06-12</t>
        </is>
      </c>
      <c r="B10866" s="3" t="inlineStr">
        <is>
          <t>현대로템</t>
        </is>
      </c>
      <c r="C10866" s="2" t="inlineStr">
        <is>
          <t>코스피</t>
        </is>
      </c>
      <c r="D10866" s="2" t="inlineStr">
        <is>
          <t>064350</t>
        </is>
      </c>
      <c r="E10866" s="3" t="inlineStr">
        <is>
          <t>임원ㆍ주요주주특정증권등소유상황보고서</t>
        </is>
      </c>
      <c r="F10866" s="3" t="inlineStr">
        <is>
          <t>최영진</t>
        </is>
      </c>
      <c r="G10866" s="2" t="inlineStr">
        <is>
          <t>20260612000690</t>
        </is>
      </c>
      <c r="H10866" s="8">
        <f>HYPERLINK("https://dart.fss.or.kr/dsaf001/main.do?rcpNo=20260612000690", "공시열람")</f>
        <v/>
      </c>
    </row>
    <row r="10867">
      <c r="A10867" s="2" t="inlineStr">
        <is>
          <t>2026-06-12</t>
        </is>
      </c>
      <c r="B10867" s="3" t="inlineStr">
        <is>
          <t>현대로템</t>
        </is>
      </c>
      <c r="C10867" s="2" t="inlineStr">
        <is>
          <t>코스피</t>
        </is>
      </c>
      <c r="D10867" s="2" t="inlineStr">
        <is>
          <t>064350</t>
        </is>
      </c>
      <c r="E10867" s="3" t="inlineStr">
        <is>
          <t>임원ㆍ주요주주특정증권등소유상황보고서</t>
        </is>
      </c>
      <c r="F10867" s="3" t="inlineStr">
        <is>
          <t>남궁혁준</t>
        </is>
      </c>
      <c r="G10867" s="2" t="inlineStr">
        <is>
          <t>20260612000689</t>
        </is>
      </c>
      <c r="H10867" s="8">
        <f>HYPERLINK("https://dart.fss.or.kr/dsaf001/main.do?rcpNo=20260612000689", "공시열람")</f>
        <v/>
      </c>
    </row>
    <row r="10868">
      <c r="A10868" s="2" t="inlineStr">
        <is>
          <t>2026-06-12</t>
        </is>
      </c>
      <c r="B10868" s="3" t="inlineStr">
        <is>
          <t>현대로템</t>
        </is>
      </c>
      <c r="C10868" s="2" t="inlineStr">
        <is>
          <t>코스피</t>
        </is>
      </c>
      <c r="D10868" s="2" t="inlineStr">
        <is>
          <t>064350</t>
        </is>
      </c>
      <c r="E10868" s="3" t="inlineStr">
        <is>
          <t>임원ㆍ주요주주특정증권등소유상황보고서</t>
        </is>
      </c>
      <c r="F10868" s="3" t="inlineStr">
        <is>
          <t>최병희</t>
        </is>
      </c>
      <c r="G10868" s="2" t="inlineStr">
        <is>
          <t>20260612000688</t>
        </is>
      </c>
      <c r="H10868" s="8">
        <f>HYPERLINK("https://dart.fss.or.kr/dsaf001/main.do?rcpNo=20260612000688", "공시열람")</f>
        <v/>
      </c>
    </row>
    <row r="10869">
      <c r="A10869" s="2" t="inlineStr">
        <is>
          <t>2026-06-12</t>
        </is>
      </c>
      <c r="B10869" s="3" t="inlineStr">
        <is>
          <t>다이나믹솔루션</t>
        </is>
      </c>
      <c r="C10869" s="2" t="inlineStr">
        <is>
          <t>코스닥</t>
        </is>
      </c>
      <c r="D10869" s="2" t="inlineStr">
        <is>
          <t>290660</t>
        </is>
      </c>
      <c r="E10869" s="3" t="inlineStr">
        <is>
          <t>합병등종료보고서(자산양수도)</t>
        </is>
      </c>
      <c r="F10869" s="3" t="inlineStr">
        <is>
          <t>다이나믹솔루션</t>
        </is>
      </c>
      <c r="G10869" s="2" t="inlineStr">
        <is>
          <t>20260612000687</t>
        </is>
      </c>
      <c r="H10869" s="8">
        <f>HYPERLINK("https://dart.fss.or.kr/dsaf001/main.do?rcpNo=20260612000687", "공시열람")</f>
        <v/>
      </c>
    </row>
    <row r="10870">
      <c r="A10870" s="2" t="inlineStr">
        <is>
          <t>2026-06-12</t>
        </is>
      </c>
      <c r="B10870" s="3" t="inlineStr">
        <is>
          <t>웰크론한텍</t>
        </is>
      </c>
      <c r="C10870" s="2" t="inlineStr">
        <is>
          <t>코스닥</t>
        </is>
      </c>
      <c r="D10870" s="2" t="inlineStr">
        <is>
          <t>076080</t>
        </is>
      </c>
      <c r="E10870" s="3" t="inlineStr">
        <is>
          <t>임원ㆍ주요주주특정증권등소유상황보고서</t>
        </is>
      </c>
      <c r="F10870" s="3" t="inlineStr">
        <is>
          <t>신정재</t>
        </is>
      </c>
      <c r="G10870" s="2" t="inlineStr">
        <is>
          <t>20260612000686</t>
        </is>
      </c>
      <c r="H10870" s="8">
        <f>HYPERLINK("https://dart.fss.or.kr/dsaf001/main.do?rcpNo=20260612000686", "공시열람")</f>
        <v/>
      </c>
    </row>
    <row r="10871">
      <c r="A10871" s="2" t="inlineStr">
        <is>
          <t>2026-06-12</t>
        </is>
      </c>
      <c r="B10871" s="3" t="inlineStr">
        <is>
          <t>엔지켐생명과학</t>
        </is>
      </c>
      <c r="C10871" s="2" t="inlineStr">
        <is>
          <t>코스닥</t>
        </is>
      </c>
      <c r="D10871" s="2" t="inlineStr">
        <is>
          <t>183490</t>
        </is>
      </c>
      <c r="E10871" s="3" t="inlineStr">
        <is>
          <t>사외이사의선임ㆍ해임또는중도퇴임에관한신고</t>
        </is>
      </c>
      <c r="F10871" s="3" t="inlineStr">
        <is>
          <t>엔지켐생명과학</t>
        </is>
      </c>
      <c r="G10871" s="2" t="inlineStr">
        <is>
          <t>20260612000685</t>
        </is>
      </c>
      <c r="H10871" s="8">
        <f>HYPERLINK("https://dart.fss.or.kr/dsaf001/main.do?rcpNo=20260612000685", "공시열람")</f>
        <v/>
      </c>
    </row>
    <row r="10872">
      <c r="A10872" s="2" t="inlineStr">
        <is>
          <t>2026-06-12</t>
        </is>
      </c>
      <c r="B10872" s="3" t="inlineStr">
        <is>
          <t>옴니시스템</t>
        </is>
      </c>
      <c r="C10872" s="2" t="inlineStr">
        <is>
          <t>코스닥</t>
        </is>
      </c>
      <c r="D10872" s="2" t="inlineStr">
        <is>
          <t>057540</t>
        </is>
      </c>
      <c r="E10872" s="3" t="inlineStr">
        <is>
          <t>임원ㆍ주요주주특정증권등거래계획보고서</t>
        </is>
      </c>
      <c r="F10872" s="3" t="inlineStr">
        <is>
          <t>바이오스마트</t>
        </is>
      </c>
      <c r="G10872" s="2" t="inlineStr">
        <is>
          <t>20260612000683</t>
        </is>
      </c>
      <c r="H10872" s="8">
        <f>HYPERLINK("https://dart.fss.or.kr/dsaf001/main.do?rcpNo=20260612000683", "공시열람")</f>
        <v/>
      </c>
    </row>
    <row r="10873">
      <c r="A10873" s="2" t="inlineStr">
        <is>
          <t>2026-06-12</t>
        </is>
      </c>
      <c r="B10873" s="3" t="inlineStr">
        <is>
          <t>한화솔루션</t>
        </is>
      </c>
      <c r="C10873" s="2" t="inlineStr">
        <is>
          <t>코스피</t>
        </is>
      </c>
      <c r="D10873" s="2" t="inlineStr">
        <is>
          <t>009830</t>
        </is>
      </c>
      <c r="E10873" s="3" t="inlineStr">
        <is>
          <t xml:space="preserve">불성실공시법인지정              </t>
        </is>
      </c>
      <c r="F10873" s="3" t="inlineStr">
        <is>
          <t>유가증권시장본부</t>
        </is>
      </c>
      <c r="G10873" s="2" t="inlineStr">
        <is>
          <t>20260612801058</t>
        </is>
      </c>
      <c r="H10873" s="8">
        <f>HYPERLINK("https://dart.fss.or.kr/dsaf001/main.do?rcpNo=20260612801058", "공시열람")</f>
        <v/>
      </c>
    </row>
    <row r="10874">
      <c r="A10874" s="2" t="inlineStr">
        <is>
          <t>2026-06-12</t>
        </is>
      </c>
      <c r="B10874" s="3" t="inlineStr">
        <is>
          <t>웰크론한텍</t>
        </is>
      </c>
      <c r="C10874" s="2" t="inlineStr">
        <is>
          <t>코스닥</t>
        </is>
      </c>
      <c r="D10874" s="2" t="inlineStr">
        <is>
          <t>076080</t>
        </is>
      </c>
      <c r="E10874" s="3" t="inlineStr">
        <is>
          <t>임원ㆍ주요주주특정증권등소유상황보고서</t>
        </is>
      </c>
      <c r="F10874" s="3" t="inlineStr">
        <is>
          <t>이영규</t>
        </is>
      </c>
      <c r="G10874" s="2" t="inlineStr">
        <is>
          <t>20260612000682</t>
        </is>
      </c>
      <c r="H10874" s="8">
        <f>HYPERLINK("https://dart.fss.or.kr/dsaf001/main.do?rcpNo=20260612000682", "공시열람")</f>
        <v/>
      </c>
    </row>
    <row r="10875">
      <c r="A10875" s="2" t="inlineStr">
        <is>
          <t>2026-06-12</t>
        </is>
      </c>
      <c r="B10875" s="3" t="inlineStr">
        <is>
          <t>LG에너지솔루션</t>
        </is>
      </c>
      <c r="C10875" s="2" t="inlineStr">
        <is>
          <t>코스피</t>
        </is>
      </c>
      <c r="D10875" s="2" t="inlineStr">
        <is>
          <t>373220</t>
        </is>
      </c>
      <c r="E10875" s="3" t="inlineStr">
        <is>
          <t>임원ㆍ주요주주특정증권등소유상황보고서</t>
        </is>
      </c>
      <c r="F10875" s="3" t="inlineStr">
        <is>
          <t>오성환</t>
        </is>
      </c>
      <c r="G10875" s="2" t="inlineStr">
        <is>
          <t>20260612000681</t>
        </is>
      </c>
      <c r="H10875" s="8">
        <f>HYPERLINK("https://dart.fss.or.kr/dsaf001/main.do?rcpNo=20260612000681", "공시열람")</f>
        <v/>
      </c>
    </row>
    <row r="10876">
      <c r="A10876" s="2" t="inlineStr">
        <is>
          <t>2026-06-12</t>
        </is>
      </c>
      <c r="B10876" s="3" t="inlineStr">
        <is>
          <t>현대로템</t>
        </is>
      </c>
      <c r="C10876" s="2" t="inlineStr">
        <is>
          <t>코스피</t>
        </is>
      </c>
      <c r="D10876" s="2" t="inlineStr">
        <is>
          <t>064350</t>
        </is>
      </c>
      <c r="E10876" s="3" t="inlineStr">
        <is>
          <t>임원ㆍ주요주주특정증권등소유상황보고서</t>
        </is>
      </c>
      <c r="F10876" s="3" t="inlineStr">
        <is>
          <t>윤정한</t>
        </is>
      </c>
      <c r="G10876" s="2" t="inlineStr">
        <is>
          <t>20260612000678</t>
        </is>
      </c>
      <c r="H10876" s="8">
        <f>HYPERLINK("https://dart.fss.or.kr/dsaf001/main.do?rcpNo=20260612000678", "공시열람")</f>
        <v/>
      </c>
    </row>
    <row r="10877">
      <c r="A10877" s="2" t="inlineStr">
        <is>
          <t>2026-06-12</t>
        </is>
      </c>
      <c r="B10877" s="3" t="inlineStr">
        <is>
          <t>현대로템</t>
        </is>
      </c>
      <c r="C10877" s="2" t="inlineStr">
        <is>
          <t>코스피</t>
        </is>
      </c>
      <c r="D10877" s="2" t="inlineStr">
        <is>
          <t>064350</t>
        </is>
      </c>
      <c r="E10877" s="3" t="inlineStr">
        <is>
          <t>임원ㆍ주요주주특정증권등소유상황보고서</t>
        </is>
      </c>
      <c r="F10877" s="3" t="inlineStr">
        <is>
          <t>강성훈</t>
        </is>
      </c>
      <c r="G10877" s="2" t="inlineStr">
        <is>
          <t>20260612000676</t>
        </is>
      </c>
      <c r="H10877" s="8">
        <f>HYPERLINK("https://dart.fss.or.kr/dsaf001/main.do?rcpNo=20260612000676", "공시열람")</f>
        <v/>
      </c>
    </row>
    <row r="10878">
      <c r="A10878" s="2" t="inlineStr">
        <is>
          <t>2026-06-12</t>
        </is>
      </c>
      <c r="B10878" s="3" t="inlineStr">
        <is>
          <t>웰크론한텍</t>
        </is>
      </c>
      <c r="C10878" s="2" t="inlineStr">
        <is>
          <t>코스닥</t>
        </is>
      </c>
      <c r="D10878" s="2" t="inlineStr">
        <is>
          <t>076080</t>
        </is>
      </c>
      <c r="E10878" s="3" t="inlineStr">
        <is>
          <t>임원ㆍ주요주주특정증권등소유상황보고서</t>
        </is>
      </c>
      <c r="F10878" s="3" t="inlineStr">
        <is>
          <t>웰크론</t>
        </is>
      </c>
      <c r="G10878" s="2" t="inlineStr">
        <is>
          <t>20260612000673</t>
        </is>
      </c>
      <c r="H10878" s="8">
        <f>HYPERLINK("https://dart.fss.or.kr/dsaf001/main.do?rcpNo=20260612000673", "공시열람")</f>
        <v/>
      </c>
    </row>
    <row r="10879">
      <c r="A10879" s="2" t="inlineStr">
        <is>
          <t>2026-06-12</t>
        </is>
      </c>
      <c r="B10879" s="3" t="inlineStr">
        <is>
          <t>현대로템</t>
        </is>
      </c>
      <c r="C10879" s="2" t="inlineStr">
        <is>
          <t>코스피</t>
        </is>
      </c>
      <c r="D10879" s="2" t="inlineStr">
        <is>
          <t>064350</t>
        </is>
      </c>
      <c r="E10879" s="3" t="inlineStr">
        <is>
          <t>임원ㆍ주요주주특정증권등소유상황보고서</t>
        </is>
      </c>
      <c r="F10879" s="3" t="inlineStr">
        <is>
          <t>공명상</t>
        </is>
      </c>
      <c r="G10879" s="2" t="inlineStr">
        <is>
          <t>20260612000672</t>
        </is>
      </c>
      <c r="H10879" s="8">
        <f>HYPERLINK("https://dart.fss.or.kr/dsaf001/main.do?rcpNo=20260612000672", "공시열람")</f>
        <v/>
      </c>
    </row>
    <row r="10880">
      <c r="A10880" s="2" t="inlineStr">
        <is>
          <t>2026-06-12</t>
        </is>
      </c>
      <c r="B10880" s="3" t="inlineStr">
        <is>
          <t>현대로템</t>
        </is>
      </c>
      <c r="C10880" s="2" t="inlineStr">
        <is>
          <t>코스피</t>
        </is>
      </c>
      <c r="D10880" s="2" t="inlineStr">
        <is>
          <t>064350</t>
        </is>
      </c>
      <c r="E10880" s="3" t="inlineStr">
        <is>
          <t>임원ㆍ주요주주특정증권등소유상황보고서</t>
        </is>
      </c>
      <c r="F10880" s="3" t="inlineStr">
        <is>
          <t>조현세</t>
        </is>
      </c>
      <c r="G10880" s="2" t="inlineStr">
        <is>
          <t>20260612000669</t>
        </is>
      </c>
      <c r="H10880" s="8">
        <f>HYPERLINK("https://dart.fss.or.kr/dsaf001/main.do?rcpNo=20260612000669", "공시열람")</f>
        <v/>
      </c>
    </row>
    <row r="10881">
      <c r="A10881" s="2" t="inlineStr">
        <is>
          <t>2026-06-12</t>
        </is>
      </c>
      <c r="B10881" s="3" t="inlineStr">
        <is>
          <t>현대로템</t>
        </is>
      </c>
      <c r="C10881" s="2" t="inlineStr">
        <is>
          <t>코스피</t>
        </is>
      </c>
      <c r="D10881" s="2" t="inlineStr">
        <is>
          <t>064350</t>
        </is>
      </c>
      <c r="E10881" s="3" t="inlineStr">
        <is>
          <t>임원ㆍ주요주주특정증권등소유상황보고서</t>
        </is>
      </c>
      <c r="F10881" s="3" t="inlineStr">
        <is>
          <t>곽철훈</t>
        </is>
      </c>
      <c r="G10881" s="2" t="inlineStr">
        <is>
          <t>20260612000668</t>
        </is>
      </c>
      <c r="H10881" s="8">
        <f>HYPERLINK("https://dart.fss.or.kr/dsaf001/main.do?rcpNo=20260612000668", "공시열람")</f>
        <v/>
      </c>
    </row>
    <row r="10882">
      <c r="A10882" s="2" t="inlineStr">
        <is>
          <t>2026-06-12</t>
        </is>
      </c>
      <c r="B10882" s="3" t="inlineStr">
        <is>
          <t>현대로템</t>
        </is>
      </c>
      <c r="C10882" s="2" t="inlineStr">
        <is>
          <t>코스피</t>
        </is>
      </c>
      <c r="D10882" s="2" t="inlineStr">
        <is>
          <t>064350</t>
        </is>
      </c>
      <c r="E10882" s="3" t="inlineStr">
        <is>
          <t>임원ㆍ주요주주특정증권등소유상황보고서</t>
        </is>
      </c>
      <c r="F10882" s="3" t="inlineStr">
        <is>
          <t>한성욱</t>
        </is>
      </c>
      <c r="G10882" s="2" t="inlineStr">
        <is>
          <t>20260612000664</t>
        </is>
      </c>
      <c r="H10882" s="8">
        <f>HYPERLINK("https://dart.fss.or.kr/dsaf001/main.do?rcpNo=20260612000664", "공시열람")</f>
        <v/>
      </c>
    </row>
    <row r="10883">
      <c r="A10883" s="2" t="inlineStr">
        <is>
          <t>2026-06-12</t>
        </is>
      </c>
      <c r="B10883" s="3" t="inlineStr">
        <is>
          <t>현대로템</t>
        </is>
      </c>
      <c r="C10883" s="2" t="inlineStr">
        <is>
          <t>코스피</t>
        </is>
      </c>
      <c r="D10883" s="2" t="inlineStr">
        <is>
          <t>064350</t>
        </is>
      </c>
      <c r="E10883" s="3" t="inlineStr">
        <is>
          <t>임원ㆍ주요주주특정증권등소유상황보고서</t>
        </is>
      </c>
      <c r="F10883" s="3" t="inlineStr">
        <is>
          <t>박창민</t>
        </is>
      </c>
      <c r="G10883" s="2" t="inlineStr">
        <is>
          <t>20260612000658</t>
        </is>
      </c>
      <c r="H10883" s="8">
        <f>HYPERLINK("https://dart.fss.or.kr/dsaf001/main.do?rcpNo=20260612000658", "공시열람")</f>
        <v/>
      </c>
    </row>
    <row r="10884">
      <c r="A10884" s="2" t="inlineStr">
        <is>
          <t>2026-06-12</t>
        </is>
      </c>
      <c r="B10884" s="3" t="inlineStr">
        <is>
          <t>교촌에프앤비</t>
        </is>
      </c>
      <c r="C10884" s="2" t="inlineStr">
        <is>
          <t>코스피</t>
        </is>
      </c>
      <c r="D10884" s="2" t="inlineStr">
        <is>
          <t>339770</t>
        </is>
      </c>
      <c r="E10884" s="3" t="inlineStr">
        <is>
          <t>임원ㆍ주요주주특정증권등소유상황보고서</t>
        </is>
      </c>
      <c r="F10884" s="3" t="inlineStr">
        <is>
          <t>송종화</t>
        </is>
      </c>
      <c r="G10884" s="2" t="inlineStr">
        <is>
          <t>20260612000656</t>
        </is>
      </c>
      <c r="H10884" s="8">
        <f>HYPERLINK("https://dart.fss.or.kr/dsaf001/main.do?rcpNo=20260612000656", "공시열람")</f>
        <v/>
      </c>
    </row>
    <row r="10885">
      <c r="A10885" s="2" t="inlineStr">
        <is>
          <t>2026-06-12</t>
        </is>
      </c>
      <c r="B10885" s="3" t="inlineStr">
        <is>
          <t>세종텔레콤</t>
        </is>
      </c>
      <c r="C10885" s="2" t="inlineStr">
        <is>
          <t>코스닥</t>
        </is>
      </c>
      <c r="D10885" s="2" t="inlineStr">
        <is>
          <t>036630</t>
        </is>
      </c>
      <c r="E10885" s="3" t="inlineStr">
        <is>
          <t>임원ㆍ주요주주특정증권등거래계획철회보고서</t>
        </is>
      </c>
      <c r="F10885" s="3" t="inlineStr">
        <is>
          <t>세종</t>
        </is>
      </c>
      <c r="G10885" s="2" t="inlineStr">
        <is>
          <t>20260612000655</t>
        </is>
      </c>
      <c r="H10885" s="8">
        <f>HYPERLINK("https://dart.fss.or.kr/dsaf001/main.do?rcpNo=20260612000655", "공시열람")</f>
        <v/>
      </c>
    </row>
    <row r="10886">
      <c r="A10886" s="2" t="inlineStr">
        <is>
          <t>2026-06-12</t>
        </is>
      </c>
      <c r="B10886" s="3" t="inlineStr">
        <is>
          <t>월덱스</t>
        </is>
      </c>
      <c r="C10886" s="2" t="inlineStr">
        <is>
          <t>코스닥</t>
        </is>
      </c>
      <c r="D10886" s="2" t="inlineStr">
        <is>
          <t>101160</t>
        </is>
      </c>
      <c r="E10886" s="3" t="inlineStr">
        <is>
          <t>의결권대리행사권유참고서류</t>
        </is>
      </c>
      <c r="F10886" s="3" t="inlineStr">
        <is>
          <t>월덱스</t>
        </is>
      </c>
      <c r="G10886" s="2" t="inlineStr">
        <is>
          <t>20260612000654</t>
        </is>
      </c>
      <c r="H10886" s="8">
        <f>HYPERLINK("https://dart.fss.or.kr/dsaf001/main.do?rcpNo=20260612000654", "공시열람")</f>
        <v/>
      </c>
    </row>
    <row r="10887">
      <c r="A10887" s="2" t="inlineStr">
        <is>
          <t>2026-06-12</t>
        </is>
      </c>
      <c r="B10887" s="3" t="inlineStr">
        <is>
          <t>현대로템</t>
        </is>
      </c>
      <c r="C10887" s="2" t="inlineStr">
        <is>
          <t>코스피</t>
        </is>
      </c>
      <c r="D10887" s="2" t="inlineStr">
        <is>
          <t>064350</t>
        </is>
      </c>
      <c r="E10887" s="3" t="inlineStr">
        <is>
          <t>임원ㆍ주요주주특정증권등소유상황보고서</t>
        </is>
      </c>
      <c r="F10887" s="3" t="inlineStr">
        <is>
          <t>장재면</t>
        </is>
      </c>
      <c r="G10887" s="2" t="inlineStr">
        <is>
          <t>20260612000653</t>
        </is>
      </c>
      <c r="H10887" s="8">
        <f>HYPERLINK("https://dart.fss.or.kr/dsaf001/main.do?rcpNo=20260612000653", "공시열람")</f>
        <v/>
      </c>
    </row>
    <row r="10888">
      <c r="A10888" s="2" t="inlineStr">
        <is>
          <t>2026-06-12</t>
        </is>
      </c>
      <c r="B10888" s="3" t="inlineStr">
        <is>
          <t>세종텔레콤</t>
        </is>
      </c>
      <c r="C10888" s="2" t="inlineStr">
        <is>
          <t>코스닥</t>
        </is>
      </c>
      <c r="D10888" s="2" t="inlineStr">
        <is>
          <t>036630</t>
        </is>
      </c>
      <c r="E10888" s="3" t="inlineStr">
        <is>
          <t>임원ㆍ주요주주특정증권등소유상황보고서</t>
        </is>
      </c>
      <c r="F10888" s="3" t="inlineStr">
        <is>
          <t>세종</t>
        </is>
      </c>
      <c r="G10888" s="2" t="inlineStr">
        <is>
          <t>20260612000651</t>
        </is>
      </c>
      <c r="H10888" s="8">
        <f>HYPERLINK("https://dart.fss.or.kr/dsaf001/main.do?rcpNo=20260612000651", "공시열람")</f>
        <v/>
      </c>
    </row>
    <row r="10889">
      <c r="A10889" s="2" t="inlineStr">
        <is>
          <t>2026-06-12</t>
        </is>
      </c>
      <c r="B10889" s="3" t="inlineStr">
        <is>
          <t>톱텍</t>
        </is>
      </c>
      <c r="C10889" s="2" t="inlineStr">
        <is>
          <t>코스닥</t>
        </is>
      </c>
      <c r="D10889" s="2" t="inlineStr">
        <is>
          <t>108230</t>
        </is>
      </c>
      <c r="E10889" s="3" t="inlineStr">
        <is>
          <t>임원ㆍ주요주주특정증권등소유상황보고서</t>
        </is>
      </c>
      <c r="F10889" s="3" t="inlineStr">
        <is>
          <t>정지용</t>
        </is>
      </c>
      <c r="G10889" s="2" t="inlineStr">
        <is>
          <t>20260612000649</t>
        </is>
      </c>
      <c r="H10889" s="8">
        <f>HYPERLINK("https://dart.fss.or.kr/dsaf001/main.do?rcpNo=20260612000649", "공시열람")</f>
        <v/>
      </c>
    </row>
    <row r="10890">
      <c r="A10890" s="2" t="inlineStr">
        <is>
          <t>2026-06-12</t>
        </is>
      </c>
      <c r="B10890" s="3" t="inlineStr">
        <is>
          <t>KCC건설</t>
        </is>
      </c>
      <c r="C10890" s="2" t="inlineStr">
        <is>
          <t>코스닥</t>
        </is>
      </c>
      <c r="D10890" s="2" t="inlineStr">
        <is>
          <t>021320</t>
        </is>
      </c>
      <c r="E10890" s="3" t="inlineStr">
        <is>
          <t xml:space="preserve">[기재정정]중대재해발생              </t>
        </is>
      </c>
      <c r="F10890" s="3" t="inlineStr">
        <is>
          <t>KCC건설</t>
        </is>
      </c>
      <c r="G10890" s="2" t="inlineStr">
        <is>
          <t>20260612901035</t>
        </is>
      </c>
      <c r="H10890" s="8">
        <f>HYPERLINK("https://dart.fss.or.kr/dsaf001/main.do?rcpNo=20260612901035", "공시열람")</f>
        <v/>
      </c>
    </row>
    <row r="10891">
      <c r="A10891" s="2" t="inlineStr">
        <is>
          <t>2026-06-12</t>
        </is>
      </c>
      <c r="B10891" s="3" t="inlineStr">
        <is>
          <t>메리츠금융지주</t>
        </is>
      </c>
      <c r="C10891" s="2" t="inlineStr">
        <is>
          <t>코스피</t>
        </is>
      </c>
      <c r="D10891" s="2" t="inlineStr">
        <is>
          <t>138040</t>
        </is>
      </c>
      <c r="E10891" s="3" t="inlineStr">
        <is>
          <t xml:space="preserve">지속가능경영보고서등관련사항(자율공시)              </t>
        </is>
      </c>
      <c r="F10891" s="3" t="inlineStr">
        <is>
          <t>메리츠금융지주</t>
        </is>
      </c>
      <c r="G10891" s="2" t="inlineStr">
        <is>
          <t>20260612801032</t>
        </is>
      </c>
      <c r="H10891" s="8">
        <f>HYPERLINK("https://dart.fss.or.kr/dsaf001/main.do?rcpNo=20260612801032", "공시열람")</f>
        <v/>
      </c>
    </row>
    <row r="10892">
      <c r="A10892" s="2" t="inlineStr">
        <is>
          <t>2026-06-12</t>
        </is>
      </c>
      <c r="B10892" s="3" t="inlineStr">
        <is>
          <t>교보증권</t>
        </is>
      </c>
      <c r="C10892" s="2" t="inlineStr">
        <is>
          <t>코스피</t>
        </is>
      </c>
      <c r="D10892" s="2" t="inlineStr">
        <is>
          <t>030610</t>
        </is>
      </c>
      <c r="E10892" s="3" t="inlineStr">
        <is>
          <t>증권발행실적보고서</t>
        </is>
      </c>
      <c r="F10892" s="3" t="inlineStr">
        <is>
          <t>교보증권</t>
        </is>
      </c>
      <c r="G10892" s="2" t="inlineStr">
        <is>
          <t>20260612000647</t>
        </is>
      </c>
      <c r="H10892" s="8">
        <f>HYPERLINK("https://dart.fss.or.kr/dsaf001/main.do?rcpNo=20260612000647", "공시열람")</f>
        <v/>
      </c>
    </row>
    <row r="10893">
      <c r="A10893" s="2" t="inlineStr">
        <is>
          <t>2026-06-12</t>
        </is>
      </c>
      <c r="B10893" s="3" t="inlineStr">
        <is>
          <t>현대로템</t>
        </is>
      </c>
      <c r="C10893" s="2" t="inlineStr">
        <is>
          <t>코스피</t>
        </is>
      </c>
      <c r="D10893" s="2" t="inlineStr">
        <is>
          <t>064350</t>
        </is>
      </c>
      <c r="E10893" s="3" t="inlineStr">
        <is>
          <t>임원ㆍ주요주주특정증권등소유상황보고서</t>
        </is>
      </c>
      <c r="F10893" s="3" t="inlineStr">
        <is>
          <t>김명근</t>
        </is>
      </c>
      <c r="G10893" s="2" t="inlineStr">
        <is>
          <t>20260612000646</t>
        </is>
      </c>
      <c r="H10893" s="8">
        <f>HYPERLINK("https://dart.fss.or.kr/dsaf001/main.do?rcpNo=20260612000646", "공시열람")</f>
        <v/>
      </c>
    </row>
    <row r="10894">
      <c r="A10894" s="2" t="inlineStr">
        <is>
          <t>2026-06-12</t>
        </is>
      </c>
      <c r="B10894" s="3" t="inlineStr">
        <is>
          <t>시프트업</t>
        </is>
      </c>
      <c r="C10894" s="2" t="inlineStr">
        <is>
          <t>코스피</t>
        </is>
      </c>
      <c r="D10894" s="2" t="inlineStr">
        <is>
          <t>462870</t>
        </is>
      </c>
      <c r="E10894" s="3" t="inlineStr">
        <is>
          <t>신탁계약에의한취득상황보고서</t>
        </is>
      </c>
      <c r="F10894" s="3" t="inlineStr">
        <is>
          <t>시프트업</t>
        </is>
      </c>
      <c r="G10894" s="2" t="inlineStr">
        <is>
          <t>20260612000645</t>
        </is>
      </c>
      <c r="H10894" s="8">
        <f>HYPERLINK("https://dart.fss.or.kr/dsaf001/main.do?rcpNo=20260612000645", "공시열람")</f>
        <v/>
      </c>
    </row>
    <row r="10895">
      <c r="A10895" s="2" t="inlineStr">
        <is>
          <t>2026-06-12</t>
        </is>
      </c>
      <c r="B10895" s="3" t="inlineStr">
        <is>
          <t>교보증권</t>
        </is>
      </c>
      <c r="C10895" s="2" t="inlineStr">
        <is>
          <t>코스피</t>
        </is>
      </c>
      <c r="D10895" s="2" t="inlineStr">
        <is>
          <t>030610</t>
        </is>
      </c>
      <c r="E10895" s="3" t="inlineStr">
        <is>
          <t>증권발행실적보고서</t>
        </is>
      </c>
      <c r="F10895" s="3" t="inlineStr">
        <is>
          <t>교보증권</t>
        </is>
      </c>
      <c r="G10895" s="2" t="inlineStr">
        <is>
          <t>20260612000644</t>
        </is>
      </c>
      <c r="H10895" s="8">
        <f>HYPERLINK("https://dart.fss.or.kr/dsaf001/main.do?rcpNo=20260612000644", "공시열람")</f>
        <v/>
      </c>
    </row>
    <row r="10896">
      <c r="A10896" s="2" t="inlineStr">
        <is>
          <t>2026-06-12</t>
        </is>
      </c>
      <c r="B10896" s="3" t="inlineStr">
        <is>
          <t>NH투자증권</t>
        </is>
      </c>
      <c r="C10896" s="2" t="inlineStr">
        <is>
          <t>코스피</t>
        </is>
      </c>
      <c r="D10896" s="2" t="inlineStr">
        <is>
          <t>005940</t>
        </is>
      </c>
      <c r="E10896" s="3" t="inlineStr">
        <is>
          <t>증권발행실적보고서</t>
        </is>
      </c>
      <c r="F10896" s="3" t="inlineStr">
        <is>
          <t>NH투자증권</t>
        </is>
      </c>
      <c r="G10896" s="2" t="inlineStr">
        <is>
          <t>20260612000642</t>
        </is>
      </c>
      <c r="H10896" s="8">
        <f>HYPERLINK("https://dart.fss.or.kr/dsaf001/main.do?rcpNo=20260612000642", "공시열람")</f>
        <v/>
      </c>
    </row>
    <row r="10897">
      <c r="A10897" s="2" t="inlineStr">
        <is>
          <t>2026-06-12</t>
        </is>
      </c>
      <c r="B10897" s="3" t="inlineStr">
        <is>
          <t>메타바이오메드</t>
        </is>
      </c>
      <c r="C10897" s="2" t="inlineStr">
        <is>
          <t>코스닥</t>
        </is>
      </c>
      <c r="D10897" s="2" t="inlineStr">
        <is>
          <t>059210</t>
        </is>
      </c>
      <c r="E10897" s="3" t="inlineStr">
        <is>
          <t xml:space="preserve">기업설명회(IR)개최              </t>
        </is>
      </c>
      <c r="F10897" s="3" t="inlineStr">
        <is>
          <t>메타바이오메드</t>
        </is>
      </c>
      <c r="G10897" s="2" t="inlineStr">
        <is>
          <t>20260612901020</t>
        </is>
      </c>
      <c r="H10897" s="8">
        <f>HYPERLINK("https://dart.fss.or.kr/dsaf001/main.do?rcpNo=20260612901020", "공시열람")</f>
        <v/>
      </c>
    </row>
    <row r="10898">
      <c r="A10898" s="2" t="inlineStr">
        <is>
          <t>2026-06-12</t>
        </is>
      </c>
      <c r="B10898" s="3" t="inlineStr">
        <is>
          <t>플루토스</t>
        </is>
      </c>
      <c r="C10898" s="2" t="inlineStr">
        <is>
          <t>코스닥</t>
        </is>
      </c>
      <c r="D10898" s="2" t="inlineStr">
        <is>
          <t>019570</t>
        </is>
      </c>
      <c r="E10898" s="3" t="inlineStr">
        <is>
          <t>주권매매거래정지              (주식의 병합, 분할 등 전자등록 변경, 말소)</t>
        </is>
      </c>
      <c r="F10898" s="3" t="inlineStr">
        <is>
          <t>코스닥시장본부</t>
        </is>
      </c>
      <c r="G10898" s="2" t="inlineStr">
        <is>
          <t>20260612900882</t>
        </is>
      </c>
      <c r="H10898" s="8">
        <f>HYPERLINK("https://dart.fss.or.kr/dsaf001/main.do?rcpNo=20260612900882", "공시열람")</f>
        <v/>
      </c>
    </row>
    <row r="10899">
      <c r="A10899" s="2" t="inlineStr">
        <is>
          <t>2026-06-12</t>
        </is>
      </c>
      <c r="B10899" s="3" t="inlineStr">
        <is>
          <t>교보증권</t>
        </is>
      </c>
      <c r="C10899" s="2" t="inlineStr">
        <is>
          <t>코스피</t>
        </is>
      </c>
      <c r="D10899" s="2" t="inlineStr">
        <is>
          <t>030610</t>
        </is>
      </c>
      <c r="E10899" s="3" t="inlineStr">
        <is>
          <t>증권발행실적보고서</t>
        </is>
      </c>
      <c r="F10899" s="3" t="inlineStr">
        <is>
          <t>교보증권</t>
        </is>
      </c>
      <c r="G10899" s="2" t="inlineStr">
        <is>
          <t>20260612000641</t>
        </is>
      </c>
      <c r="H10899" s="8">
        <f>HYPERLINK("https://dart.fss.or.kr/dsaf001/main.do?rcpNo=20260612000641", "공시열람")</f>
        <v/>
      </c>
    </row>
    <row r="10900">
      <c r="A10900" s="2" t="inlineStr">
        <is>
          <t>2026-06-12</t>
        </is>
      </c>
      <c r="B10900" s="3" t="inlineStr">
        <is>
          <t>현대로템</t>
        </is>
      </c>
      <c r="C10900" s="2" t="inlineStr">
        <is>
          <t>코스피</t>
        </is>
      </c>
      <c r="D10900" s="2" t="inlineStr">
        <is>
          <t>064350</t>
        </is>
      </c>
      <c r="E10900" s="3" t="inlineStr">
        <is>
          <t>임원ㆍ주요주주특정증권등소유상황보고서</t>
        </is>
      </c>
      <c r="F10900" s="3" t="inlineStr">
        <is>
          <t>조일연</t>
        </is>
      </c>
      <c r="G10900" s="2" t="inlineStr">
        <is>
          <t>20260612000637</t>
        </is>
      </c>
      <c r="H10900" s="8">
        <f>HYPERLINK("https://dart.fss.or.kr/dsaf001/main.do?rcpNo=20260612000637", "공시열람")</f>
        <v/>
      </c>
    </row>
    <row r="10901">
      <c r="A10901" s="2" t="inlineStr">
        <is>
          <t>2026-06-12</t>
        </is>
      </c>
      <c r="B10901" s="3" t="inlineStr">
        <is>
          <t>남양유업</t>
        </is>
      </c>
      <c r="C10901" s="2" t="inlineStr">
        <is>
          <t>코스피</t>
        </is>
      </c>
      <c r="D10901" s="2" t="inlineStr">
        <is>
          <t>003920</t>
        </is>
      </c>
      <c r="E10901" s="3" t="inlineStr">
        <is>
          <t>신탁계약에의한취득상황보고서</t>
        </is>
      </c>
      <c r="F10901" s="3" t="inlineStr">
        <is>
          <t>남양유업</t>
        </is>
      </c>
      <c r="G10901" s="2" t="inlineStr">
        <is>
          <t>20260612000633</t>
        </is>
      </c>
      <c r="H10901" s="8">
        <f>HYPERLINK("https://dart.fss.or.kr/dsaf001/main.do?rcpNo=20260612000633", "공시열람")</f>
        <v/>
      </c>
    </row>
    <row r="10902">
      <c r="A10902" s="2" t="inlineStr">
        <is>
          <t>2026-06-12</t>
        </is>
      </c>
      <c r="B10902" s="3" t="inlineStr">
        <is>
          <t>오리엔트바이오</t>
        </is>
      </c>
      <c r="C10902" s="2" t="inlineStr">
        <is>
          <t>코스피</t>
        </is>
      </c>
      <c r="D10902" s="2" t="inlineStr">
        <is>
          <t>002630</t>
        </is>
      </c>
      <c r="E10902" s="3" t="inlineStr">
        <is>
          <t>임원ㆍ주요주주특정증권등소유상황보고서</t>
        </is>
      </c>
      <c r="F10902" s="3" t="inlineStr">
        <is>
          <t>최숙종</t>
        </is>
      </c>
      <c r="G10902" s="2" t="inlineStr">
        <is>
          <t>20260612000632</t>
        </is>
      </c>
      <c r="H10902" s="8">
        <f>HYPERLINK("https://dart.fss.or.kr/dsaf001/main.do?rcpNo=20260612000632", "공시열람")</f>
        <v/>
      </c>
    </row>
    <row r="10903">
      <c r="A10903" s="2" t="inlineStr">
        <is>
          <t>2026-06-12</t>
        </is>
      </c>
      <c r="B10903" s="3" t="inlineStr">
        <is>
          <t>넥사다이내믹스</t>
        </is>
      </c>
      <c r="C10903" s="2" t="inlineStr">
        <is>
          <t>코스닥</t>
        </is>
      </c>
      <c r="D10903" s="2" t="inlineStr">
        <is>
          <t>351320</t>
        </is>
      </c>
      <c r="E10903" s="3" t="inlineStr">
        <is>
          <t>주요사항보고서(소송등의제기)</t>
        </is>
      </c>
      <c r="F10903" s="3" t="inlineStr">
        <is>
          <t>넥사다이내믹스</t>
        </is>
      </c>
      <c r="G10903" s="2" t="inlineStr">
        <is>
          <t>20260612000518</t>
        </is>
      </c>
      <c r="H10903" s="8">
        <f>HYPERLINK("https://dart.fss.or.kr/dsaf001/main.do?rcpNo=20260612000518", "공시열람")</f>
        <v/>
      </c>
    </row>
    <row r="10904">
      <c r="A10904" s="2" t="inlineStr">
        <is>
          <t>2026-06-12</t>
        </is>
      </c>
      <c r="B10904" s="3" t="inlineStr">
        <is>
          <t>에어레인</t>
        </is>
      </c>
      <c r="C10904" s="2" t="inlineStr">
        <is>
          <t>코스닥</t>
        </is>
      </c>
      <c r="D10904" s="2" t="inlineStr">
        <is>
          <t>163280</t>
        </is>
      </c>
      <c r="E10904" s="3" t="inlineStr">
        <is>
          <t>합병등종료보고서(자산양수도)</t>
        </is>
      </c>
      <c r="F10904" s="3" t="inlineStr">
        <is>
          <t>에어레인</t>
        </is>
      </c>
      <c r="G10904" s="2" t="inlineStr">
        <is>
          <t>20260612000631</t>
        </is>
      </c>
      <c r="H10904" s="8">
        <f>HYPERLINK("https://dart.fss.or.kr/dsaf001/main.do?rcpNo=20260612000631", "공시열람")</f>
        <v/>
      </c>
    </row>
    <row r="10905">
      <c r="A10905" s="2" t="inlineStr">
        <is>
          <t>2026-06-12</t>
        </is>
      </c>
      <c r="B10905" s="3" t="inlineStr">
        <is>
          <t>교보증권</t>
        </is>
      </c>
      <c r="C10905" s="2" t="inlineStr">
        <is>
          <t>코스피</t>
        </is>
      </c>
      <c r="D10905" s="2" t="inlineStr">
        <is>
          <t>030610</t>
        </is>
      </c>
      <c r="E10905" s="3" t="inlineStr">
        <is>
          <t>증권발행실적보고서</t>
        </is>
      </c>
      <c r="F10905" s="3" t="inlineStr">
        <is>
          <t>교보증권</t>
        </is>
      </c>
      <c r="G10905" s="2" t="inlineStr">
        <is>
          <t>20260612000629</t>
        </is>
      </c>
      <c r="H10905" s="8">
        <f>HYPERLINK("https://dart.fss.or.kr/dsaf001/main.do?rcpNo=20260612000629", "공시열람")</f>
        <v/>
      </c>
    </row>
    <row r="10906">
      <c r="A10906" s="2" t="inlineStr">
        <is>
          <t>2026-06-12</t>
        </is>
      </c>
      <c r="B10906" s="3" t="inlineStr">
        <is>
          <t>대림통상</t>
        </is>
      </c>
      <c r="C10906" s="2" t="inlineStr">
        <is>
          <t>코스피</t>
        </is>
      </c>
      <c r="D10906" s="2" t="inlineStr">
        <is>
          <t>006570</t>
        </is>
      </c>
      <c r="E10906" s="3" t="inlineStr">
        <is>
          <t>임원ㆍ주요주주특정증권등소유상황보고서</t>
        </is>
      </c>
      <c r="F10906" s="3" t="inlineStr">
        <is>
          <t>디앤디파트너스</t>
        </is>
      </c>
      <c r="G10906" s="2" t="inlineStr">
        <is>
          <t>20260612000627</t>
        </is>
      </c>
      <c r="H10906" s="8">
        <f>HYPERLINK("https://dart.fss.or.kr/dsaf001/main.do?rcpNo=20260612000627", "공시열람")</f>
        <v/>
      </c>
    </row>
    <row r="10907">
      <c r="A10907" s="2" t="inlineStr">
        <is>
          <t>2026-06-12</t>
        </is>
      </c>
      <c r="B10907" s="3" t="inlineStr">
        <is>
          <t>현대로템</t>
        </is>
      </c>
      <c r="C10907" s="2" t="inlineStr">
        <is>
          <t>코스피</t>
        </is>
      </c>
      <c r="D10907" s="2" t="inlineStr">
        <is>
          <t>064350</t>
        </is>
      </c>
      <c r="E10907" s="3" t="inlineStr">
        <is>
          <t>임원ㆍ주요주주특정증권등소유상황보고서</t>
        </is>
      </c>
      <c r="F10907" s="3" t="inlineStr">
        <is>
          <t>강금상</t>
        </is>
      </c>
      <c r="G10907" s="2" t="inlineStr">
        <is>
          <t>20260612000624</t>
        </is>
      </c>
      <c r="H10907" s="8">
        <f>HYPERLINK("https://dart.fss.or.kr/dsaf001/main.do?rcpNo=20260612000624", "공시열람")</f>
        <v/>
      </c>
    </row>
    <row r="10908">
      <c r="A10908" s="2" t="inlineStr">
        <is>
          <t>2026-06-12</t>
        </is>
      </c>
      <c r="B10908" s="3" t="inlineStr">
        <is>
          <t>월덱스</t>
        </is>
      </c>
      <c r="C10908" s="2" t="inlineStr">
        <is>
          <t>코스닥</t>
        </is>
      </c>
      <c r="D10908" s="2" t="inlineStr">
        <is>
          <t>101160</t>
        </is>
      </c>
      <c r="E10908" s="3" t="inlineStr">
        <is>
          <t>의결권대리행사권유참고서류</t>
        </is>
      </c>
      <c r="F10908" s="3" t="inlineStr">
        <is>
          <t>브이아이피자산운용</t>
        </is>
      </c>
      <c r="G10908" s="2" t="inlineStr">
        <is>
          <t>20260612000623</t>
        </is>
      </c>
      <c r="H10908" s="8">
        <f>HYPERLINK("https://dart.fss.or.kr/dsaf001/main.do?rcpNo=20260612000623", "공시열람")</f>
        <v/>
      </c>
    </row>
    <row r="10909">
      <c r="A10909" s="2" t="inlineStr">
        <is>
          <t>2026-06-12</t>
        </is>
      </c>
      <c r="B10909" s="3" t="inlineStr">
        <is>
          <t>메리츠금융지주</t>
        </is>
      </c>
      <c r="C10909" s="2" t="inlineStr">
        <is>
          <t>코스피</t>
        </is>
      </c>
      <c r="D10909" s="2" t="inlineStr">
        <is>
          <t>138040</t>
        </is>
      </c>
      <c r="E10909" s="3" t="inlineStr">
        <is>
          <t>임원ㆍ주요주주특정증권등소유상황보고서</t>
        </is>
      </c>
      <c r="F10909" s="3" t="inlineStr">
        <is>
          <t>김종민</t>
        </is>
      </c>
      <c r="G10909" s="2" t="inlineStr">
        <is>
          <t>20260612000621</t>
        </is>
      </c>
      <c r="H10909" s="8">
        <f>HYPERLINK("https://dart.fss.or.kr/dsaf001/main.do?rcpNo=20260612000621", "공시열람")</f>
        <v/>
      </c>
    </row>
    <row r="10910">
      <c r="A10910" s="2" t="inlineStr">
        <is>
          <t>2026-06-12</t>
        </is>
      </c>
      <c r="B10910" s="3" t="inlineStr">
        <is>
          <t>NH투자증권</t>
        </is>
      </c>
      <c r="C10910" s="2" t="inlineStr">
        <is>
          <t>코스피</t>
        </is>
      </c>
      <c r="D10910" s="2" t="inlineStr">
        <is>
          <t>005940</t>
        </is>
      </c>
      <c r="E10910" s="3" t="inlineStr">
        <is>
          <t>증권발행실적보고서</t>
        </is>
      </c>
      <c r="F10910" s="3" t="inlineStr">
        <is>
          <t>NH투자증권</t>
        </is>
      </c>
      <c r="G10910" s="2" t="inlineStr">
        <is>
          <t>20260612000619</t>
        </is>
      </c>
      <c r="H10910" s="8">
        <f>HYPERLINK("https://dart.fss.or.kr/dsaf001/main.do?rcpNo=20260612000619", "공시열람")</f>
        <v/>
      </c>
    </row>
    <row r="10911">
      <c r="A10911" s="2" t="inlineStr">
        <is>
          <t>2026-06-12</t>
        </is>
      </c>
      <c r="B10911" s="3" t="inlineStr">
        <is>
          <t>메리츠금융지주</t>
        </is>
      </c>
      <c r="C10911" s="2" t="inlineStr">
        <is>
          <t>코스피</t>
        </is>
      </c>
      <c r="D10911" s="2" t="inlineStr">
        <is>
          <t>138040</t>
        </is>
      </c>
      <c r="E10911" s="3" t="inlineStr">
        <is>
          <t>임원ㆍ주요주주특정증권등소유상황보고서</t>
        </is>
      </c>
      <c r="F10911" s="3" t="inlineStr">
        <is>
          <t>서수동</t>
        </is>
      </c>
      <c r="G10911" s="2" t="inlineStr">
        <is>
          <t>20260612000616</t>
        </is>
      </c>
      <c r="H10911" s="8">
        <f>HYPERLINK("https://dart.fss.or.kr/dsaf001/main.do?rcpNo=20260612000616", "공시열람")</f>
        <v/>
      </c>
    </row>
    <row r="10912">
      <c r="A10912" s="2" t="inlineStr">
        <is>
          <t>2026-06-12</t>
        </is>
      </c>
      <c r="B10912" s="3" t="inlineStr">
        <is>
          <t>롯데손해보험</t>
        </is>
      </c>
      <c r="C10912" s="2" t="inlineStr">
        <is>
          <t>코스피</t>
        </is>
      </c>
      <c r="D10912" s="2" t="inlineStr">
        <is>
          <t>000400</t>
        </is>
      </c>
      <c r="E10912" s="3" t="inlineStr">
        <is>
          <t xml:space="preserve">[첨부정정]기업지배구조보고서공시(연차보고서)              </t>
        </is>
      </c>
      <c r="F10912" s="3" t="inlineStr">
        <is>
          <t>롯데손해보험</t>
        </is>
      </c>
      <c r="G10912" s="2" t="inlineStr">
        <is>
          <t>20260612800923</t>
        </is>
      </c>
      <c r="H10912" s="8">
        <f>HYPERLINK("https://dart.fss.or.kr/dsaf001/main.do?rcpNo=20260612800923", "공시열람")</f>
        <v/>
      </c>
    </row>
    <row r="10913">
      <c r="A10913" s="2" t="inlineStr">
        <is>
          <t>2026-06-12</t>
        </is>
      </c>
      <c r="B10913" s="3" t="inlineStr">
        <is>
          <t>현대로템</t>
        </is>
      </c>
      <c r="C10913" s="2" t="inlineStr">
        <is>
          <t>코스피</t>
        </is>
      </c>
      <c r="D10913" s="2" t="inlineStr">
        <is>
          <t>064350</t>
        </is>
      </c>
      <c r="E10913" s="3" t="inlineStr">
        <is>
          <t>임원ㆍ주요주주특정증권등소유상황보고서</t>
        </is>
      </c>
      <c r="F10913" s="3" t="inlineStr">
        <is>
          <t>김희권</t>
        </is>
      </c>
      <c r="G10913" s="2" t="inlineStr">
        <is>
          <t>20260612000611</t>
        </is>
      </c>
      <c r="H10913" s="8">
        <f>HYPERLINK("https://dart.fss.or.kr/dsaf001/main.do?rcpNo=20260612000611", "공시열람")</f>
        <v/>
      </c>
    </row>
    <row r="10914">
      <c r="A10914" s="2" t="inlineStr">
        <is>
          <t>2026-06-12</t>
        </is>
      </c>
      <c r="B10914" s="3" t="inlineStr">
        <is>
          <t>씨티케이</t>
        </is>
      </c>
      <c r="C10914" s="2" t="inlineStr">
        <is>
          <t>코스닥</t>
        </is>
      </c>
      <c r="D10914" s="2" t="inlineStr">
        <is>
          <t>260930</t>
        </is>
      </c>
      <c r="E10914" s="3" t="inlineStr">
        <is>
          <t>임원ㆍ주요주주특정증권등소유상황보고서</t>
        </is>
      </c>
      <c r="F10914" s="3" t="inlineStr">
        <is>
          <t>정인용</t>
        </is>
      </c>
      <c r="G10914" s="2" t="inlineStr">
        <is>
          <t>20260612000610</t>
        </is>
      </c>
      <c r="H10914" s="8">
        <f>HYPERLINK("https://dart.fss.or.kr/dsaf001/main.do?rcpNo=20260612000610", "공시열람")</f>
        <v/>
      </c>
    </row>
    <row r="10915">
      <c r="A10915" s="2" t="inlineStr">
        <is>
          <t>2026-06-12</t>
        </is>
      </c>
      <c r="B10915" s="3" t="inlineStr">
        <is>
          <t>오리엔트바이오</t>
        </is>
      </c>
      <c r="C10915" s="2" t="inlineStr">
        <is>
          <t>코스피</t>
        </is>
      </c>
      <c r="D10915" s="2" t="inlineStr">
        <is>
          <t>002630</t>
        </is>
      </c>
      <c r="E10915" s="3" t="inlineStr">
        <is>
          <t>임원ㆍ주요주주특정증권등소유상황보고서</t>
        </is>
      </c>
      <c r="F10915" s="3" t="inlineStr">
        <is>
          <t>장재진</t>
        </is>
      </c>
      <c r="G10915" s="2" t="inlineStr">
        <is>
          <t>20260612000609</t>
        </is>
      </c>
      <c r="H10915" s="8">
        <f>HYPERLINK("https://dart.fss.or.kr/dsaf001/main.do?rcpNo=20260612000609", "공시열람")</f>
        <v/>
      </c>
    </row>
    <row r="10916">
      <c r="A10916" s="2" t="inlineStr">
        <is>
          <t>2026-06-12</t>
        </is>
      </c>
      <c r="B10916" s="3" t="inlineStr">
        <is>
          <t>NH투자증권</t>
        </is>
      </c>
      <c r="C10916" s="2" t="inlineStr">
        <is>
          <t>코스피</t>
        </is>
      </c>
      <c r="D10916" s="2" t="inlineStr">
        <is>
          <t>005940</t>
        </is>
      </c>
      <c r="E10916" s="3" t="inlineStr">
        <is>
          <t>증권발행실적보고서</t>
        </is>
      </c>
      <c r="F10916" s="3" t="inlineStr">
        <is>
          <t>NH투자증권</t>
        </is>
      </c>
      <c r="G10916" s="2" t="inlineStr">
        <is>
          <t>20260612000605</t>
        </is>
      </c>
      <c r="H10916" s="8">
        <f>HYPERLINK("https://dart.fss.or.kr/dsaf001/main.do?rcpNo=20260612000605", "공시열람")</f>
        <v/>
      </c>
    </row>
    <row r="10917">
      <c r="A10917" s="2" t="inlineStr">
        <is>
          <t>2026-06-12</t>
        </is>
      </c>
      <c r="B10917" s="3" t="inlineStr">
        <is>
          <t>현대로템</t>
        </is>
      </c>
      <c r="C10917" s="2" t="inlineStr">
        <is>
          <t>코스피</t>
        </is>
      </c>
      <c r="D10917" s="2" t="inlineStr">
        <is>
          <t>064350</t>
        </is>
      </c>
      <c r="E10917" s="3" t="inlineStr">
        <is>
          <t>임원ㆍ주요주주특정증권등소유상황보고서</t>
        </is>
      </c>
      <c r="F10917" s="3" t="inlineStr">
        <is>
          <t>박훈모</t>
        </is>
      </c>
      <c r="G10917" s="2" t="inlineStr">
        <is>
          <t>20260612000603</t>
        </is>
      </c>
      <c r="H10917" s="8">
        <f>HYPERLINK("https://dart.fss.or.kr/dsaf001/main.do?rcpNo=20260612000603", "공시열람")</f>
        <v/>
      </c>
    </row>
    <row r="10918">
      <c r="A10918" s="2" t="inlineStr">
        <is>
          <t>2026-06-12</t>
        </is>
      </c>
      <c r="B10918" s="3" t="inlineStr">
        <is>
          <t>현대로템</t>
        </is>
      </c>
      <c r="C10918" s="2" t="inlineStr">
        <is>
          <t>코스피</t>
        </is>
      </c>
      <c r="D10918" s="2" t="inlineStr">
        <is>
          <t>064350</t>
        </is>
      </c>
      <c r="E10918" s="3" t="inlineStr">
        <is>
          <t>임원ㆍ주요주주특정증권등소유상황보고서</t>
        </is>
      </c>
      <c r="F10918" s="3" t="inlineStr">
        <is>
          <t>신동선</t>
        </is>
      </c>
      <c r="G10918" s="2" t="inlineStr">
        <is>
          <t>20260612000597</t>
        </is>
      </c>
      <c r="H10918" s="8">
        <f>HYPERLINK("https://dart.fss.or.kr/dsaf001/main.do?rcpNo=20260612000597", "공시열람")</f>
        <v/>
      </c>
    </row>
    <row r="10919">
      <c r="A10919" s="2" t="inlineStr">
        <is>
          <t>2026-06-12</t>
        </is>
      </c>
      <c r="B10919" s="3" t="inlineStr">
        <is>
          <t>대신증권</t>
        </is>
      </c>
      <c r="C10919" s="2" t="inlineStr">
        <is>
          <t>코스피</t>
        </is>
      </c>
      <c r="D10919" s="2" t="inlineStr">
        <is>
          <t>003540</t>
        </is>
      </c>
      <c r="E10919" s="3" t="inlineStr">
        <is>
          <t>투자설명서(일괄신고)</t>
        </is>
      </c>
      <c r="F10919" s="3" t="inlineStr">
        <is>
          <t>대신증권</t>
        </is>
      </c>
      <c r="G10919" s="2" t="inlineStr">
        <is>
          <t>20260612000591</t>
        </is>
      </c>
      <c r="H10919" s="8">
        <f>HYPERLINK("https://dart.fss.or.kr/dsaf001/main.do?rcpNo=20260612000591", "공시열람")</f>
        <v/>
      </c>
    </row>
    <row r="10920">
      <c r="A10920" s="2" t="inlineStr">
        <is>
          <t>2026-06-12</t>
        </is>
      </c>
      <c r="B10920" s="3" t="inlineStr">
        <is>
          <t>NH투자증권</t>
        </is>
      </c>
      <c r="C10920" s="2" t="inlineStr">
        <is>
          <t>코스피</t>
        </is>
      </c>
      <c r="D10920" s="2" t="inlineStr">
        <is>
          <t>005940</t>
        </is>
      </c>
      <c r="E10920" s="3" t="inlineStr">
        <is>
          <t>증권발행실적보고서</t>
        </is>
      </c>
      <c r="F10920" s="3" t="inlineStr">
        <is>
          <t>NH투자증권</t>
        </is>
      </c>
      <c r="G10920" s="2" t="inlineStr">
        <is>
          <t>20260612000589</t>
        </is>
      </c>
      <c r="H10920" s="8">
        <f>HYPERLINK("https://dart.fss.or.kr/dsaf001/main.do?rcpNo=20260612000589", "공시열람")</f>
        <v/>
      </c>
    </row>
    <row r="10921">
      <c r="A10921" s="2" t="inlineStr">
        <is>
          <t>2026-06-12</t>
        </is>
      </c>
      <c r="B10921" s="3" t="inlineStr">
        <is>
          <t>현대로템</t>
        </is>
      </c>
      <c r="C10921" s="2" t="inlineStr">
        <is>
          <t>코스피</t>
        </is>
      </c>
      <c r="D10921" s="2" t="inlineStr">
        <is>
          <t>064350</t>
        </is>
      </c>
      <c r="E10921" s="3" t="inlineStr">
        <is>
          <t>임원ㆍ주요주주특정증권등소유상황보고서</t>
        </is>
      </c>
      <c r="F10921" s="3" t="inlineStr">
        <is>
          <t>윤성욱</t>
        </is>
      </c>
      <c r="G10921" s="2" t="inlineStr">
        <is>
          <t>20260612000586</t>
        </is>
      </c>
      <c r="H10921" s="8">
        <f>HYPERLINK("https://dart.fss.or.kr/dsaf001/main.do?rcpNo=20260612000586", "공시열람")</f>
        <v/>
      </c>
    </row>
    <row r="10922">
      <c r="A10922" s="2" t="inlineStr">
        <is>
          <t>2026-06-12</t>
        </is>
      </c>
      <c r="B10922" s="3" t="inlineStr">
        <is>
          <t>한화투자증권</t>
        </is>
      </c>
      <c r="C10922" s="2" t="inlineStr">
        <is>
          <t>코스피</t>
        </is>
      </c>
      <c r="D10922" s="2" t="inlineStr">
        <is>
          <t>003530</t>
        </is>
      </c>
      <c r="E10922" s="3" t="inlineStr">
        <is>
          <t>증권발행실적보고서</t>
        </is>
      </c>
      <c r="F10922" s="3" t="inlineStr">
        <is>
          <t>한화투자증권</t>
        </is>
      </c>
      <c r="G10922" s="2" t="inlineStr">
        <is>
          <t>20260612000585</t>
        </is>
      </c>
      <c r="H10922" s="8">
        <f>HYPERLINK("https://dart.fss.or.kr/dsaf001/main.do?rcpNo=20260612000585", "공시열람")</f>
        <v/>
      </c>
    </row>
    <row r="10923">
      <c r="A10923" s="2" t="inlineStr">
        <is>
          <t>2026-06-12</t>
        </is>
      </c>
      <c r="B10923" s="3" t="inlineStr">
        <is>
          <t>아이에스티이</t>
        </is>
      </c>
      <c r="C10923" s="2" t="inlineStr">
        <is>
          <t>코스닥</t>
        </is>
      </c>
      <c r="D10923" s="2" t="inlineStr">
        <is>
          <t>212710</t>
        </is>
      </c>
      <c r="E10923" s="3" t="inlineStr">
        <is>
          <t>임원ㆍ주요주주특정증권등소유상황보고서</t>
        </is>
      </c>
      <c r="F10923" s="3" t="inlineStr">
        <is>
          <t>양정오</t>
        </is>
      </c>
      <c r="G10923" s="2" t="inlineStr">
        <is>
          <t>20260612000584</t>
        </is>
      </c>
      <c r="H10923" s="8">
        <f>HYPERLINK("https://dart.fss.or.kr/dsaf001/main.do?rcpNo=20260612000584", "공시열람")</f>
        <v/>
      </c>
    </row>
    <row r="10924">
      <c r="A10924" s="2" t="inlineStr">
        <is>
          <t>2026-06-12</t>
        </is>
      </c>
      <c r="B10924" s="3" t="inlineStr">
        <is>
          <t>큐로홀딩스</t>
        </is>
      </c>
      <c r="C10924" s="2" t="inlineStr">
        <is>
          <t>코스닥</t>
        </is>
      </c>
      <c r="D10924" s="2" t="inlineStr">
        <is>
          <t>051780</t>
        </is>
      </c>
      <c r="E10924" s="3" t="inlineStr">
        <is>
          <t>특수관계인으로부터자금차입</t>
        </is>
      </c>
      <c r="F10924" s="3" t="inlineStr">
        <is>
          <t>큐로홀딩스</t>
        </is>
      </c>
      <c r="G10924" s="2" t="inlineStr">
        <is>
          <t>20260612000583</t>
        </is>
      </c>
      <c r="H10924" s="8">
        <f>HYPERLINK("https://dart.fss.or.kr/dsaf001/main.do?rcpNo=20260612000583", "공시열람")</f>
        <v/>
      </c>
    </row>
    <row r="10925">
      <c r="A10925" s="2" t="inlineStr">
        <is>
          <t>2026-06-12</t>
        </is>
      </c>
      <c r="B10925" s="3" t="inlineStr">
        <is>
          <t>한화투자증권</t>
        </is>
      </c>
      <c r="C10925" s="2" t="inlineStr">
        <is>
          <t>코스피</t>
        </is>
      </c>
      <c r="D10925" s="2" t="inlineStr">
        <is>
          <t>003530</t>
        </is>
      </c>
      <c r="E10925" s="3" t="inlineStr">
        <is>
          <t>증권발행실적보고서</t>
        </is>
      </c>
      <c r="F10925" s="3" t="inlineStr">
        <is>
          <t>한화투자증권</t>
        </is>
      </c>
      <c r="G10925" s="2" t="inlineStr">
        <is>
          <t>20260612000581</t>
        </is>
      </c>
      <c r="H10925" s="8">
        <f>HYPERLINK("https://dart.fss.or.kr/dsaf001/main.do?rcpNo=20260612000581", "공시열람")</f>
        <v/>
      </c>
    </row>
    <row r="10926">
      <c r="A10926" s="2" t="inlineStr">
        <is>
          <t>2026-06-12</t>
        </is>
      </c>
      <c r="B10926" s="3" t="inlineStr">
        <is>
          <t>한화투자증권</t>
        </is>
      </c>
      <c r="C10926" s="2" t="inlineStr">
        <is>
          <t>코스피</t>
        </is>
      </c>
      <c r="D10926" s="2" t="inlineStr">
        <is>
          <t>003530</t>
        </is>
      </c>
      <c r="E10926" s="3" t="inlineStr">
        <is>
          <t>증권발행실적보고서</t>
        </is>
      </c>
      <c r="F10926" s="3" t="inlineStr">
        <is>
          <t>한화투자증권</t>
        </is>
      </c>
      <c r="G10926" s="2" t="inlineStr">
        <is>
          <t>20260612000579</t>
        </is>
      </c>
      <c r="H10926" s="8">
        <f>HYPERLINK("https://dart.fss.or.kr/dsaf001/main.do?rcpNo=20260612000579", "공시열람")</f>
        <v/>
      </c>
    </row>
    <row r="10927">
      <c r="A10927" s="2" t="inlineStr">
        <is>
          <t>2026-06-12</t>
        </is>
      </c>
      <c r="B10927" s="3" t="inlineStr">
        <is>
          <t>아이에스티이</t>
        </is>
      </c>
      <c r="C10927" s="2" t="inlineStr">
        <is>
          <t>코스닥</t>
        </is>
      </c>
      <c r="D10927" s="2" t="inlineStr">
        <is>
          <t>212710</t>
        </is>
      </c>
      <c r="E10927" s="3" t="inlineStr">
        <is>
          <t>임원ㆍ주요주주특정증권등소유상황보고서</t>
        </is>
      </c>
      <c r="F10927" s="3" t="inlineStr">
        <is>
          <t>서강석</t>
        </is>
      </c>
      <c r="G10927" s="2" t="inlineStr">
        <is>
          <t>20260612000578</t>
        </is>
      </c>
      <c r="H10927" s="8">
        <f>HYPERLINK("https://dart.fss.or.kr/dsaf001/main.do?rcpNo=20260612000578", "공시열람")</f>
        <v/>
      </c>
    </row>
    <row r="10928">
      <c r="A10928" s="2" t="inlineStr">
        <is>
          <t>2026-06-12</t>
        </is>
      </c>
      <c r="B10928" s="3" t="inlineStr">
        <is>
          <t>국영지앤엠</t>
        </is>
      </c>
      <c r="C10928" s="2" t="inlineStr">
        <is>
          <t>코스닥</t>
        </is>
      </c>
      <c r="D10928" s="2" t="inlineStr">
        <is>
          <t>006050</t>
        </is>
      </c>
      <c r="E10928" s="3" t="inlineStr">
        <is>
          <t xml:space="preserve">주주명부폐쇄기간또는기준일설정              </t>
        </is>
      </c>
      <c r="F10928" s="3" t="inlineStr">
        <is>
          <t>국영지앤엠</t>
        </is>
      </c>
      <c r="G10928" s="2" t="inlineStr">
        <is>
          <t>20260612900865</t>
        </is>
      </c>
      <c r="H10928" s="8">
        <f>HYPERLINK("https://dart.fss.or.kr/dsaf001/main.do?rcpNo=20260612900865", "공시열람")</f>
        <v/>
      </c>
    </row>
    <row r="10929">
      <c r="A10929" s="2" t="inlineStr">
        <is>
          <t>2026-06-12</t>
        </is>
      </c>
      <c r="B10929" s="3" t="inlineStr">
        <is>
          <t>메타바이오메드</t>
        </is>
      </c>
      <c r="C10929" s="2" t="inlineStr">
        <is>
          <t>코스닥</t>
        </is>
      </c>
      <c r="D10929" s="2" t="inlineStr">
        <is>
          <t>059210</t>
        </is>
      </c>
      <c r="E10929" s="3" t="inlineStr">
        <is>
          <t>임원ㆍ주요주주특정증권등소유상황보고서</t>
        </is>
      </c>
      <c r="F10929" s="3" t="inlineStr">
        <is>
          <t>윤종필</t>
        </is>
      </c>
      <c r="G10929" s="2" t="inlineStr">
        <is>
          <t>20260612000576</t>
        </is>
      </c>
      <c r="H10929" s="8">
        <f>HYPERLINK("https://dart.fss.or.kr/dsaf001/main.do?rcpNo=20260612000576", "공시열람")</f>
        <v/>
      </c>
    </row>
    <row r="10930">
      <c r="A10930" s="2" t="inlineStr">
        <is>
          <t>2026-06-12</t>
        </is>
      </c>
      <c r="B10930" s="3" t="inlineStr">
        <is>
          <t>아이에스티이</t>
        </is>
      </c>
      <c r="C10930" s="2" t="inlineStr">
        <is>
          <t>코스닥</t>
        </is>
      </c>
      <c r="D10930" s="2" t="inlineStr">
        <is>
          <t>212710</t>
        </is>
      </c>
      <c r="E10930" s="3" t="inlineStr">
        <is>
          <t>임원ㆍ주요주주특정증권등소유상황보고서</t>
        </is>
      </c>
      <c r="F10930" s="3" t="inlineStr">
        <is>
          <t>노길수</t>
        </is>
      </c>
      <c r="G10930" s="2" t="inlineStr">
        <is>
          <t>20260612000574</t>
        </is>
      </c>
      <c r="H10930" s="8">
        <f>HYPERLINK("https://dart.fss.or.kr/dsaf001/main.do?rcpNo=20260612000574", "공시열람")</f>
        <v/>
      </c>
    </row>
    <row r="10931">
      <c r="A10931" s="2" t="inlineStr">
        <is>
          <t>2026-06-12</t>
        </is>
      </c>
      <c r="B10931" s="3" t="inlineStr">
        <is>
          <t>NH투자증권</t>
        </is>
      </c>
      <c r="C10931" s="2" t="inlineStr">
        <is>
          <t>코스피</t>
        </is>
      </c>
      <c r="D10931" s="2" t="inlineStr">
        <is>
          <t>005940</t>
        </is>
      </c>
      <c r="E10931" s="3" t="inlineStr">
        <is>
          <t>증권발행실적보고서</t>
        </is>
      </c>
      <c r="F10931" s="3" t="inlineStr">
        <is>
          <t>NH투자증권</t>
        </is>
      </c>
      <c r="G10931" s="2" t="inlineStr">
        <is>
          <t>20260612000572</t>
        </is>
      </c>
      <c r="H10931" s="8">
        <f>HYPERLINK("https://dart.fss.or.kr/dsaf001/main.do?rcpNo=20260612000572", "공시열람")</f>
        <v/>
      </c>
    </row>
    <row r="10932">
      <c r="A10932" s="2" t="inlineStr">
        <is>
          <t>2026-06-12</t>
        </is>
      </c>
      <c r="B10932" s="3" t="inlineStr">
        <is>
          <t>HC홈센타</t>
        </is>
      </c>
      <c r="C10932" s="2" t="inlineStr">
        <is>
          <t>코스닥</t>
        </is>
      </c>
      <c r="D10932" s="2" t="inlineStr">
        <is>
          <t>060560</t>
        </is>
      </c>
      <c r="E10932" s="3" t="inlineStr">
        <is>
          <t>임원ㆍ주요주주특정증권등소유상황보고서</t>
        </is>
      </c>
      <c r="F10932" s="3" t="inlineStr">
        <is>
          <t>에이치씨파트너스</t>
        </is>
      </c>
      <c r="G10932" s="2" t="inlineStr">
        <is>
          <t>20260612000570</t>
        </is>
      </c>
      <c r="H10932" s="8">
        <f>HYPERLINK("https://dart.fss.or.kr/dsaf001/main.do?rcpNo=20260612000570", "공시열람")</f>
        <v/>
      </c>
    </row>
    <row r="10933">
      <c r="A10933" s="2" t="inlineStr">
        <is>
          <t>2026-06-12</t>
        </is>
      </c>
      <c r="B10933" s="3" t="inlineStr">
        <is>
          <t>아이에스티이</t>
        </is>
      </c>
      <c r="C10933" s="2" t="inlineStr">
        <is>
          <t>코스닥</t>
        </is>
      </c>
      <c r="D10933" s="2" t="inlineStr">
        <is>
          <t>212710</t>
        </is>
      </c>
      <c r="E10933" s="3" t="inlineStr">
        <is>
          <t>임원ㆍ주요주주특정증권등소유상황보고서</t>
        </is>
      </c>
      <c r="F10933" s="3" t="inlineStr">
        <is>
          <t>허정수</t>
        </is>
      </c>
      <c r="G10933" s="2" t="inlineStr">
        <is>
          <t>20260612000568</t>
        </is>
      </c>
      <c r="H10933" s="8">
        <f>HYPERLINK("https://dart.fss.or.kr/dsaf001/main.do?rcpNo=20260612000568", "공시열람")</f>
        <v/>
      </c>
    </row>
    <row r="10934">
      <c r="A10934" s="2" t="inlineStr">
        <is>
          <t>2026-06-12</t>
        </is>
      </c>
      <c r="B10934" s="3" t="inlineStr">
        <is>
          <t>한화투자증권</t>
        </is>
      </c>
      <c r="C10934" s="2" t="inlineStr">
        <is>
          <t>코스피</t>
        </is>
      </c>
      <c r="D10934" s="2" t="inlineStr">
        <is>
          <t>003530</t>
        </is>
      </c>
      <c r="E10934" s="3" t="inlineStr">
        <is>
          <t>투자설명서(일괄신고)</t>
        </is>
      </c>
      <c r="F10934" s="3" t="inlineStr">
        <is>
          <t>한화투자증권</t>
        </is>
      </c>
      <c r="G10934" s="2" t="inlineStr">
        <is>
          <t>20260612000567</t>
        </is>
      </c>
      <c r="H10934" s="8">
        <f>HYPERLINK("https://dart.fss.or.kr/dsaf001/main.do?rcpNo=20260612000567", "공시열람")</f>
        <v/>
      </c>
    </row>
    <row r="10935">
      <c r="A10935" s="2" t="inlineStr">
        <is>
          <t>2026-06-12</t>
        </is>
      </c>
      <c r="B10935" s="3" t="inlineStr">
        <is>
          <t>한화투자증권</t>
        </is>
      </c>
      <c r="C10935" s="2" t="inlineStr">
        <is>
          <t>코스피</t>
        </is>
      </c>
      <c r="D10935" s="2" t="inlineStr">
        <is>
          <t>003530</t>
        </is>
      </c>
      <c r="E10935" s="3" t="inlineStr">
        <is>
          <t>증권발행실적보고서</t>
        </is>
      </c>
      <c r="F10935" s="3" t="inlineStr">
        <is>
          <t>한화투자증권</t>
        </is>
      </c>
      <c r="G10935" s="2" t="inlineStr">
        <is>
          <t>20260612000565</t>
        </is>
      </c>
      <c r="H10935" s="8">
        <f>HYPERLINK("https://dart.fss.or.kr/dsaf001/main.do?rcpNo=20260612000565", "공시열람")</f>
        <v/>
      </c>
    </row>
    <row r="10936">
      <c r="A10936" s="2" t="inlineStr">
        <is>
          <t>2026-06-12</t>
        </is>
      </c>
      <c r="B10936" s="3" t="inlineStr">
        <is>
          <t>메타바이오메드</t>
        </is>
      </c>
      <c r="C10936" s="2" t="inlineStr">
        <is>
          <t>코스닥</t>
        </is>
      </c>
      <c r="D10936" s="2" t="inlineStr">
        <is>
          <t>059210</t>
        </is>
      </c>
      <c r="E10936" s="3" t="inlineStr">
        <is>
          <t>임원ㆍ주요주주특정증권등소유상황보고서</t>
        </is>
      </c>
      <c r="F10936" s="3" t="inlineStr">
        <is>
          <t>오지수</t>
        </is>
      </c>
      <c r="G10936" s="2" t="inlineStr">
        <is>
          <t>20260612000563</t>
        </is>
      </c>
      <c r="H10936" s="8">
        <f>HYPERLINK("https://dart.fss.or.kr/dsaf001/main.do?rcpNo=20260612000563", "공시열람")</f>
        <v/>
      </c>
    </row>
    <row r="10937">
      <c r="A10937" s="2" t="inlineStr">
        <is>
          <t>2026-06-12</t>
        </is>
      </c>
      <c r="B10937" s="3" t="inlineStr">
        <is>
          <t>아이에스티이</t>
        </is>
      </c>
      <c r="C10937" s="2" t="inlineStr">
        <is>
          <t>코스닥</t>
        </is>
      </c>
      <c r="D10937" s="2" t="inlineStr">
        <is>
          <t>212710</t>
        </is>
      </c>
      <c r="E10937" s="3" t="inlineStr">
        <is>
          <t>임원ㆍ주요주주특정증권등소유상황보고서</t>
        </is>
      </c>
      <c r="F10937" s="3" t="inlineStr">
        <is>
          <t>이영민</t>
        </is>
      </c>
      <c r="G10937" s="2" t="inlineStr">
        <is>
          <t>20260612000560</t>
        </is>
      </c>
      <c r="H10937" s="8">
        <f>HYPERLINK("https://dart.fss.or.kr/dsaf001/main.do?rcpNo=20260612000560", "공시열람")</f>
        <v/>
      </c>
    </row>
    <row r="10938">
      <c r="A10938" s="2" t="inlineStr">
        <is>
          <t>2026-06-12</t>
        </is>
      </c>
      <c r="B10938" s="3" t="inlineStr">
        <is>
          <t>현대로템</t>
        </is>
      </c>
      <c r="C10938" s="2" t="inlineStr">
        <is>
          <t>코스피</t>
        </is>
      </c>
      <c r="D10938" s="2" t="inlineStr">
        <is>
          <t>064350</t>
        </is>
      </c>
      <c r="E10938" s="3" t="inlineStr">
        <is>
          <t>임원ㆍ주요주주특정증권등소유상황보고서</t>
        </is>
      </c>
      <c r="F10938" s="3" t="inlineStr">
        <is>
          <t>김종수</t>
        </is>
      </c>
      <c r="G10938" s="2" t="inlineStr">
        <is>
          <t>20260612000558</t>
        </is>
      </c>
      <c r="H10938" s="8">
        <f>HYPERLINK("https://dart.fss.or.kr/dsaf001/main.do?rcpNo=20260612000558", "공시열람")</f>
        <v/>
      </c>
    </row>
    <row r="10939">
      <c r="A10939" s="2" t="inlineStr">
        <is>
          <t>2026-06-12</t>
        </is>
      </c>
      <c r="B10939" s="3" t="inlineStr">
        <is>
          <t>현대백화점</t>
        </is>
      </c>
      <c r="C10939" s="2" t="inlineStr">
        <is>
          <t>코스피</t>
        </is>
      </c>
      <c r="D10939" s="2" t="inlineStr">
        <is>
          <t>069960</t>
        </is>
      </c>
      <c r="E10939" s="3" t="inlineStr">
        <is>
          <t>임원ㆍ주요주주특정증권등소유상황보고서</t>
        </is>
      </c>
      <c r="F10939" s="3" t="inlineStr">
        <is>
          <t>현대지에프홀딩스</t>
        </is>
      </c>
      <c r="G10939" s="2" t="inlineStr">
        <is>
          <t>20260612000557</t>
        </is>
      </c>
      <c r="H10939" s="8">
        <f>HYPERLINK("https://dart.fss.or.kr/dsaf001/main.do?rcpNo=20260612000557", "공시열람")</f>
        <v/>
      </c>
    </row>
    <row r="10940">
      <c r="A10940" s="2" t="inlineStr">
        <is>
          <t>2026-06-12</t>
        </is>
      </c>
      <c r="B10940" s="3" t="inlineStr">
        <is>
          <t>씨엑스아이</t>
        </is>
      </c>
      <c r="C10940" s="2" t="inlineStr">
        <is>
          <t>코스닥</t>
        </is>
      </c>
      <c r="D10940" s="2" t="inlineStr">
        <is>
          <t>900120</t>
        </is>
      </c>
      <c r="E10940" s="3" t="inlineStr">
        <is>
          <t xml:space="preserve">주주명부폐쇄기간또는기준일설정              </t>
        </is>
      </c>
      <c r="F10940" s="3" t="inlineStr">
        <is>
          <t>씨엑스아이</t>
        </is>
      </c>
      <c r="G10940" s="2" t="inlineStr">
        <is>
          <t>20260612900686</t>
        </is>
      </c>
      <c r="H10940" s="8">
        <f>HYPERLINK("https://dart.fss.or.kr/dsaf001/main.do?rcpNo=20260612900686", "공시열람")</f>
        <v/>
      </c>
    </row>
    <row r="10941">
      <c r="A10941" s="2" t="inlineStr">
        <is>
          <t>2026-06-12</t>
        </is>
      </c>
      <c r="B10941" s="3" t="inlineStr">
        <is>
          <t>씨엑스아이</t>
        </is>
      </c>
      <c r="C10941" s="2" t="inlineStr">
        <is>
          <t>코스닥</t>
        </is>
      </c>
      <c r="D10941" s="2" t="inlineStr">
        <is>
          <t>900120</t>
        </is>
      </c>
      <c r="E10941" s="3" t="inlineStr">
        <is>
          <t>증권발행결과(자율공시)              (제3자배정 유상증자)</t>
        </is>
      </c>
      <c r="F10941" s="3" t="inlineStr">
        <is>
          <t>씨엑스아이</t>
        </is>
      </c>
      <c r="G10941" s="2" t="inlineStr">
        <is>
          <t>20260612900681</t>
        </is>
      </c>
      <c r="H10941" s="8">
        <f>HYPERLINK("https://dart.fss.or.kr/dsaf001/main.do?rcpNo=20260612900681", "공시열람")</f>
        <v/>
      </c>
    </row>
    <row r="10942">
      <c r="A10942" s="2" t="inlineStr">
        <is>
          <t>2026-06-12</t>
        </is>
      </c>
      <c r="B10942" s="3" t="inlineStr">
        <is>
          <t>키움증권</t>
        </is>
      </c>
      <c r="C10942" s="2" t="inlineStr">
        <is>
          <t>코스피</t>
        </is>
      </c>
      <c r="D10942" s="2" t="inlineStr">
        <is>
          <t>039490</t>
        </is>
      </c>
      <c r="E10942" s="3" t="inlineStr">
        <is>
          <t>증권발행실적보고서</t>
        </is>
      </c>
      <c r="F10942" s="3" t="inlineStr">
        <is>
          <t>키움증권</t>
        </is>
      </c>
      <c r="G10942" s="2" t="inlineStr">
        <is>
          <t>20260612000555</t>
        </is>
      </c>
      <c r="H10942" s="8">
        <f>HYPERLINK("https://dart.fss.or.kr/dsaf001/main.do?rcpNo=20260612000555", "공시열람")</f>
        <v/>
      </c>
    </row>
    <row r="10943">
      <c r="A10943" s="2" t="inlineStr">
        <is>
          <t>2026-06-12</t>
        </is>
      </c>
      <c r="B10943" s="3" t="inlineStr">
        <is>
          <t>피노</t>
        </is>
      </c>
      <c r="C10943" s="2" t="inlineStr">
        <is>
          <t>코스닥</t>
        </is>
      </c>
      <c r="D10943" s="2" t="inlineStr">
        <is>
          <t>033790</t>
        </is>
      </c>
      <c r="E10943" s="3" t="inlineStr">
        <is>
          <t>[첨부정정]주요사항보고서(타법인주식및출자증권양수결정)</t>
        </is>
      </c>
      <c r="F10943" s="3" t="inlineStr">
        <is>
          <t>피노</t>
        </is>
      </c>
      <c r="G10943" s="2" t="inlineStr">
        <is>
          <t>20260612000548</t>
        </is>
      </c>
      <c r="H10943" s="8">
        <f>HYPERLINK("https://dart.fss.or.kr/dsaf001/main.do?rcpNo=20260612000548", "공시열람")</f>
        <v/>
      </c>
    </row>
    <row r="10944">
      <c r="A10944" s="2" t="inlineStr">
        <is>
          <t>2026-06-12</t>
        </is>
      </c>
      <c r="B10944" s="3" t="inlineStr">
        <is>
          <t>현대로템</t>
        </is>
      </c>
      <c r="C10944" s="2" t="inlineStr">
        <is>
          <t>코스피</t>
        </is>
      </c>
      <c r="D10944" s="2" t="inlineStr">
        <is>
          <t>064350</t>
        </is>
      </c>
      <c r="E10944" s="3" t="inlineStr">
        <is>
          <t>임원ㆍ주요주주특정증권등소유상황보고서</t>
        </is>
      </c>
      <c r="F10944" s="3" t="inlineStr">
        <is>
          <t>서준모</t>
        </is>
      </c>
      <c r="G10944" s="2" t="inlineStr">
        <is>
          <t>20260612000547</t>
        </is>
      </c>
      <c r="H10944" s="8">
        <f>HYPERLINK("https://dart.fss.or.kr/dsaf001/main.do?rcpNo=20260612000547", "공시열람")</f>
        <v/>
      </c>
    </row>
    <row r="10945">
      <c r="A10945" s="2" t="inlineStr">
        <is>
          <t>2026-06-12</t>
        </is>
      </c>
      <c r="B10945" s="3" t="inlineStr">
        <is>
          <t>노을</t>
        </is>
      </c>
      <c r="C10945" s="2" t="inlineStr">
        <is>
          <t>코스닥</t>
        </is>
      </c>
      <c r="D10945" s="2" t="inlineStr">
        <is>
          <t>376930</t>
        </is>
      </c>
      <c r="E10945" s="3" t="inlineStr">
        <is>
          <t>임원ㆍ주요주주특정증권등소유상황보고서</t>
        </is>
      </c>
      <c r="F10945" s="3" t="inlineStr">
        <is>
          <t>MSEED,INC.</t>
        </is>
      </c>
      <c r="G10945" s="2" t="inlineStr">
        <is>
          <t>20260612000546</t>
        </is>
      </c>
      <c r="H10945" s="8">
        <f>HYPERLINK("https://dart.fss.or.kr/dsaf001/main.do?rcpNo=20260612000546", "공시열람")</f>
        <v/>
      </c>
    </row>
    <row r="10946">
      <c r="A10946" s="2" t="inlineStr">
        <is>
          <t>2026-06-12</t>
        </is>
      </c>
      <c r="B10946" s="3" t="inlineStr">
        <is>
          <t>체시스</t>
        </is>
      </c>
      <c r="C10946" s="2" t="inlineStr">
        <is>
          <t>코스피</t>
        </is>
      </c>
      <c r="D10946" s="2" t="inlineStr">
        <is>
          <t>033250</t>
        </is>
      </c>
      <c r="E10946" s="3" t="inlineStr">
        <is>
          <t>임원ㆍ주요주주특정증권등소유상황보고서</t>
        </is>
      </c>
      <c r="F10946" s="3" t="inlineStr">
        <is>
          <t>엠에스에이치씨</t>
        </is>
      </c>
      <c r="G10946" s="2" t="inlineStr">
        <is>
          <t>20260612000544</t>
        </is>
      </c>
      <c r="H10946" s="8">
        <f>HYPERLINK("https://dart.fss.or.kr/dsaf001/main.do?rcpNo=20260612000544", "공시열람")</f>
        <v/>
      </c>
    </row>
    <row r="10947">
      <c r="A10947" s="2" t="inlineStr">
        <is>
          <t>2026-06-12 (정정: 2026-06-16)</t>
        </is>
      </c>
      <c r="B10947" s="3" t="inlineStr">
        <is>
          <t>한솔홀딩스</t>
        </is>
      </c>
      <c r="C10947" s="2" t="inlineStr">
        <is>
          <t>코스피</t>
        </is>
      </c>
      <c r="D10947" s="2" t="inlineStr">
        <is>
          <t>004150</t>
        </is>
      </c>
      <c r="E10947" s="3" t="inlineStr">
        <is>
          <t>자기주식취득결과보고서 (정정: 20260616)</t>
        </is>
      </c>
      <c r="F10947" s="3" t="inlineStr">
        <is>
          <t>한솔홀딩스</t>
        </is>
      </c>
      <c r="G10947" s="2" t="inlineStr">
        <is>
          <t>20260616800768</t>
        </is>
      </c>
      <c r="H10947" s="8">
        <f>HYPERLINK("https://dart.fss.or.kr/dsaf001/main.do?rcpNo=20260616800768", "공시열람")</f>
        <v/>
      </c>
    </row>
    <row r="10948">
      <c r="A10948" s="2" t="inlineStr">
        <is>
          <t>2026-06-12</t>
        </is>
      </c>
      <c r="B10948" s="3" t="inlineStr">
        <is>
          <t>한화투자증권</t>
        </is>
      </c>
      <c r="C10948" s="2" t="inlineStr">
        <is>
          <t>코스피</t>
        </is>
      </c>
      <c r="D10948" s="2" t="inlineStr">
        <is>
          <t>003530</t>
        </is>
      </c>
      <c r="E10948" s="3" t="inlineStr">
        <is>
          <t>일괄신고추가서류(파생결합증권-주가연계증권)</t>
        </is>
      </c>
      <c r="F10948" s="3" t="inlineStr">
        <is>
          <t>한화투자증권</t>
        </is>
      </c>
      <c r="G10948" s="2" t="inlineStr">
        <is>
          <t>20260612000541</t>
        </is>
      </c>
      <c r="H10948" s="8">
        <f>HYPERLINK("https://dart.fss.or.kr/dsaf001/main.do?rcpNo=20260612000541", "공시열람")</f>
        <v/>
      </c>
    </row>
    <row r="10949">
      <c r="A10949" s="2" t="inlineStr">
        <is>
          <t>2026-06-12</t>
        </is>
      </c>
      <c r="B10949" s="3" t="inlineStr">
        <is>
          <t>대원강업</t>
        </is>
      </c>
      <c r="C10949" s="2" t="inlineStr">
        <is>
          <t>코스피</t>
        </is>
      </c>
      <c r="D10949" s="2" t="inlineStr">
        <is>
          <t>000430</t>
        </is>
      </c>
      <c r="E10949" s="3" t="inlineStr">
        <is>
          <t>임원ㆍ주요주주특정증권등소유상황보고서</t>
        </is>
      </c>
      <c r="F10949" s="3" t="inlineStr">
        <is>
          <t>현대지에프홀딩스</t>
        </is>
      </c>
      <c r="G10949" s="2" t="inlineStr">
        <is>
          <t>20260612000540</t>
        </is>
      </c>
      <c r="H10949" s="8">
        <f>HYPERLINK("https://dart.fss.or.kr/dsaf001/main.do?rcpNo=20260612000540", "공시열람")</f>
        <v/>
      </c>
    </row>
    <row r="10950">
      <c r="A10950" s="2" t="inlineStr">
        <is>
          <t>2026-06-12</t>
        </is>
      </c>
      <c r="B10950" s="3" t="inlineStr">
        <is>
          <t>엔젤로보틱스</t>
        </is>
      </c>
      <c r="C10950" s="2" t="inlineStr">
        <is>
          <t>코스닥</t>
        </is>
      </c>
      <c r="D10950" s="2" t="inlineStr">
        <is>
          <t>455900</t>
        </is>
      </c>
      <c r="E10950" s="3" t="inlineStr">
        <is>
          <t>투자판단관련주요경영사항              (체내이식형 뇌AI로봇 실시간 연동 시스템 개발 국책과제 선정)</t>
        </is>
      </c>
      <c r="F10950" s="3" t="inlineStr">
        <is>
          <t>엔젤로보틱스</t>
        </is>
      </c>
      <c r="G10950" s="2" t="inlineStr">
        <is>
          <t>20260612900764</t>
        </is>
      </c>
      <c r="H10950" s="8">
        <f>HYPERLINK("https://dart.fss.or.kr/dsaf001/main.do?rcpNo=20260612900764", "공시열람")</f>
        <v/>
      </c>
    </row>
    <row r="10951">
      <c r="A10951" s="2" t="inlineStr">
        <is>
          <t>2026-06-12</t>
        </is>
      </c>
      <c r="B10951" s="3" t="inlineStr">
        <is>
          <t>노을</t>
        </is>
      </c>
      <c r="C10951" s="2" t="inlineStr">
        <is>
          <t>코스닥</t>
        </is>
      </c>
      <c r="D10951" s="2" t="inlineStr">
        <is>
          <t>376930</t>
        </is>
      </c>
      <c r="E10951" s="3" t="inlineStr">
        <is>
          <t>임원ㆍ주요주주특정증권등소유상황보고서</t>
        </is>
      </c>
      <c r="F10951" s="3" t="inlineStr">
        <is>
          <t>임찬양</t>
        </is>
      </c>
      <c r="G10951" s="2" t="inlineStr">
        <is>
          <t>20260612000536</t>
        </is>
      </c>
      <c r="H10951" s="8">
        <f>HYPERLINK("https://dart.fss.or.kr/dsaf001/main.do?rcpNo=20260612000536", "공시열람")</f>
        <v/>
      </c>
    </row>
    <row r="10952">
      <c r="A10952" s="2" t="inlineStr">
        <is>
          <t>2026-06-12</t>
        </is>
      </c>
      <c r="B10952" s="3" t="inlineStr">
        <is>
          <t>현대로템</t>
        </is>
      </c>
      <c r="C10952" s="2" t="inlineStr">
        <is>
          <t>코스피</t>
        </is>
      </c>
      <c r="D10952" s="2" t="inlineStr">
        <is>
          <t>064350</t>
        </is>
      </c>
      <c r="E10952" s="3" t="inlineStr">
        <is>
          <t>임원ㆍ주요주주특정증권등소유상황보고서</t>
        </is>
      </c>
      <c r="F10952" s="3" t="inlineStr">
        <is>
          <t>서정기</t>
        </is>
      </c>
      <c r="G10952" s="2" t="inlineStr">
        <is>
          <t>20260612000531</t>
        </is>
      </c>
      <c r="H10952" s="8">
        <f>HYPERLINK("https://dart.fss.or.kr/dsaf001/main.do?rcpNo=20260612000531", "공시열람")</f>
        <v/>
      </c>
    </row>
    <row r="10953">
      <c r="A10953" s="2" t="inlineStr">
        <is>
          <t>2026-06-12</t>
        </is>
      </c>
      <c r="B10953" s="3" t="inlineStr">
        <is>
          <t>소노스퀘어</t>
        </is>
      </c>
      <c r="C10953" s="2" t="inlineStr">
        <is>
          <t>코스닥</t>
        </is>
      </c>
      <c r="D10953" s="2" t="inlineStr">
        <is>
          <t>007720</t>
        </is>
      </c>
      <c r="E10953" s="3" t="inlineStr">
        <is>
          <t>주권매매거래정지              (주식의 병합, 분할 등 전자등록 변경, 말소)</t>
        </is>
      </c>
      <c r="F10953" s="3" t="inlineStr">
        <is>
          <t>코스닥시장본부</t>
        </is>
      </c>
      <c r="G10953" s="2" t="inlineStr">
        <is>
          <t>20260612900788</t>
        </is>
      </c>
      <c r="H10953" s="8">
        <f>HYPERLINK("https://dart.fss.or.kr/dsaf001/main.do?rcpNo=20260612900788", "공시열람")</f>
        <v/>
      </c>
    </row>
    <row r="10954">
      <c r="A10954" s="2" t="inlineStr">
        <is>
          <t>2026-06-12</t>
        </is>
      </c>
      <c r="B10954" s="3" t="inlineStr">
        <is>
          <t>마스턴프리미어리츠</t>
        </is>
      </c>
      <c r="C10954" s="2" t="inlineStr">
        <is>
          <t>코스피</t>
        </is>
      </c>
      <c r="D10954" s="2" t="inlineStr">
        <is>
          <t>357430</t>
        </is>
      </c>
      <c r="E10954" s="3" t="inlineStr">
        <is>
          <t xml:space="preserve">기타경영사항(자율공시)              </t>
        </is>
      </c>
      <c r="F10954" s="3" t="inlineStr">
        <is>
          <t>마스턴프리미어리츠</t>
        </is>
      </c>
      <c r="G10954" s="2" t="inlineStr">
        <is>
          <t>20260612800776</t>
        </is>
      </c>
      <c r="H10954" s="8">
        <f>HYPERLINK("https://dart.fss.or.kr/dsaf001/main.do?rcpNo=20260612800776", "공시열람")</f>
        <v/>
      </c>
    </row>
    <row r="10955">
      <c r="A10955" s="2" t="inlineStr">
        <is>
          <t>2026-06-12</t>
        </is>
      </c>
      <c r="B10955" s="3" t="inlineStr">
        <is>
          <t>세종메디칼</t>
        </is>
      </c>
      <c r="C10955" s="2" t="inlineStr">
        <is>
          <t>코스닥</t>
        </is>
      </c>
      <c r="D10955" s="2" t="inlineStr">
        <is>
          <t>258830</t>
        </is>
      </c>
      <c r="E10955" s="3" t="inlineStr">
        <is>
          <t>주권매매거래정지              (투자자 보호)</t>
        </is>
      </c>
      <c r="F10955" s="3" t="inlineStr">
        <is>
          <t>코스닥시장본부</t>
        </is>
      </c>
      <c r="G10955" s="2" t="inlineStr">
        <is>
          <t>20260612900673</t>
        </is>
      </c>
      <c r="H10955" s="8">
        <f>HYPERLINK("https://dart.fss.or.kr/dsaf001/main.do?rcpNo=20260612900673", "공시열람")</f>
        <v/>
      </c>
    </row>
    <row r="10956">
      <c r="A10956" s="2" t="inlineStr">
        <is>
          <t>2026-06-12</t>
        </is>
      </c>
      <c r="B10956" s="3" t="inlineStr">
        <is>
          <t>티사이언티픽</t>
        </is>
      </c>
      <c r="C10956" s="2" t="inlineStr">
        <is>
          <t>코스닥</t>
        </is>
      </c>
      <c r="D10956" s="2" t="inlineStr">
        <is>
          <t>057680</t>
        </is>
      </c>
      <c r="E10956" s="3" t="inlineStr">
        <is>
          <t xml:space="preserve">증권발행결과(자율공시)              </t>
        </is>
      </c>
      <c r="F10956" s="3" t="inlineStr">
        <is>
          <t>티사이언티픽</t>
        </is>
      </c>
      <c r="G10956" s="2" t="inlineStr">
        <is>
          <t>20260612900792</t>
        </is>
      </c>
      <c r="H10956" s="8">
        <f>HYPERLINK("https://dart.fss.or.kr/dsaf001/main.do?rcpNo=20260612900792", "공시열람")</f>
        <v/>
      </c>
    </row>
    <row r="10957">
      <c r="A10957" s="2" t="inlineStr">
        <is>
          <t>2026-06-12</t>
        </is>
      </c>
      <c r="B10957" s="3" t="inlineStr">
        <is>
          <t>세종메디칼</t>
        </is>
      </c>
      <c r="C10957" s="2" t="inlineStr">
        <is>
          <t>코스닥</t>
        </is>
      </c>
      <c r="D10957" s="2" t="inlineStr">
        <is>
          <t>258830</t>
        </is>
      </c>
      <c r="E10957" s="3" t="inlineStr">
        <is>
          <t>기타시장안내              (정리매매 보류 관련)</t>
        </is>
      </c>
      <c r="F10957" s="3" t="inlineStr">
        <is>
          <t>코스닥시장본부</t>
        </is>
      </c>
      <c r="G10957" s="2" t="inlineStr">
        <is>
          <t>20260612900665</t>
        </is>
      </c>
      <c r="H10957" s="8">
        <f>HYPERLINK("https://dart.fss.or.kr/dsaf001/main.do?rcpNo=20260612900665", "공시열람")</f>
        <v/>
      </c>
    </row>
    <row r="10958">
      <c r="A10958" s="2" t="inlineStr">
        <is>
          <t>2026-06-12</t>
        </is>
      </c>
      <c r="B10958" s="3" t="inlineStr">
        <is>
          <t>세종메디칼</t>
        </is>
      </c>
      <c r="C10958" s="2" t="inlineStr">
        <is>
          <t>코스닥</t>
        </is>
      </c>
      <c r="D10958" s="2" t="inlineStr">
        <is>
          <t>258830</t>
        </is>
      </c>
      <c r="E10958" s="3" t="inlineStr">
        <is>
          <t>기타경영사항(자율공시)              (상장폐지결정 효력정지 가처분 신청)</t>
        </is>
      </c>
      <c r="F10958" s="3" t="inlineStr">
        <is>
          <t>세종메디칼</t>
        </is>
      </c>
      <c r="G10958" s="2" t="inlineStr">
        <is>
          <t>20260612900656</t>
        </is>
      </c>
      <c r="H10958" s="8">
        <f>HYPERLINK("https://dart.fss.or.kr/dsaf001/main.do?rcpNo=20260612900656", "공시열람")</f>
        <v/>
      </c>
    </row>
    <row r="10959">
      <c r="A10959" s="2" t="inlineStr">
        <is>
          <t>2026-06-12</t>
        </is>
      </c>
      <c r="B10959" s="3" t="inlineStr">
        <is>
          <t>노을</t>
        </is>
      </c>
      <c r="C10959" s="2" t="inlineStr">
        <is>
          <t>코스닥</t>
        </is>
      </c>
      <c r="D10959" s="2" t="inlineStr">
        <is>
          <t>376930</t>
        </is>
      </c>
      <c r="E10959" s="3" t="inlineStr">
        <is>
          <t>임원ㆍ주요주주특정증권등소유상황보고서</t>
        </is>
      </c>
      <c r="F10959" s="3" t="inlineStr">
        <is>
          <t>김경환</t>
        </is>
      </c>
      <c r="G10959" s="2" t="inlineStr">
        <is>
          <t>20260612000526</t>
        </is>
      </c>
      <c r="H10959" s="8">
        <f>HYPERLINK("https://dart.fss.or.kr/dsaf001/main.do?rcpNo=20260612000526", "공시열람")</f>
        <v/>
      </c>
    </row>
    <row r="10960">
      <c r="A10960" s="2" t="inlineStr">
        <is>
          <t>2026-06-12</t>
        </is>
      </c>
      <c r="B10960" s="3" t="inlineStr">
        <is>
          <t>현대로템</t>
        </is>
      </c>
      <c r="C10960" s="2" t="inlineStr">
        <is>
          <t>코스피</t>
        </is>
      </c>
      <c r="D10960" s="2" t="inlineStr">
        <is>
          <t>064350</t>
        </is>
      </c>
      <c r="E10960" s="3" t="inlineStr">
        <is>
          <t>임원ㆍ주요주주특정증권등소유상황보고서</t>
        </is>
      </c>
      <c r="F10960" s="3" t="inlineStr">
        <is>
          <t>김주한</t>
        </is>
      </c>
      <c r="G10960" s="2" t="inlineStr">
        <is>
          <t>20260612000525</t>
        </is>
      </c>
      <c r="H10960" s="8">
        <f>HYPERLINK("https://dart.fss.or.kr/dsaf001/main.do?rcpNo=20260612000525", "공시열람")</f>
        <v/>
      </c>
    </row>
    <row r="10961">
      <c r="A10961" s="2" t="inlineStr">
        <is>
          <t>2026-06-12</t>
        </is>
      </c>
      <c r="B10961" s="3" t="inlineStr">
        <is>
          <t>키움증권</t>
        </is>
      </c>
      <c r="C10961" s="2" t="inlineStr">
        <is>
          <t>코스피</t>
        </is>
      </c>
      <c r="D10961" s="2" t="inlineStr">
        <is>
          <t>039490</t>
        </is>
      </c>
      <c r="E10961" s="3" t="inlineStr">
        <is>
          <t>증권발행실적보고서</t>
        </is>
      </c>
      <c r="F10961" s="3" t="inlineStr">
        <is>
          <t>키움증권</t>
        </is>
      </c>
      <c r="G10961" s="2" t="inlineStr">
        <is>
          <t>20260612000524</t>
        </is>
      </c>
      <c r="H10961" s="8">
        <f>HYPERLINK("https://dart.fss.or.kr/dsaf001/main.do?rcpNo=20260612000524", "공시열람")</f>
        <v/>
      </c>
    </row>
    <row r="10962">
      <c r="A10962" s="2" t="inlineStr">
        <is>
          <t>2026-06-12</t>
        </is>
      </c>
      <c r="B10962" s="3" t="inlineStr">
        <is>
          <t>키움증권</t>
        </is>
      </c>
      <c r="C10962" s="2" t="inlineStr">
        <is>
          <t>코스피</t>
        </is>
      </c>
      <c r="D10962" s="2" t="inlineStr">
        <is>
          <t>039490</t>
        </is>
      </c>
      <c r="E10962" s="3" t="inlineStr">
        <is>
          <t>증권발행실적보고서</t>
        </is>
      </c>
      <c r="F10962" s="3" t="inlineStr">
        <is>
          <t>키움증권</t>
        </is>
      </c>
      <c r="G10962" s="2" t="inlineStr">
        <is>
          <t>20260612000522</t>
        </is>
      </c>
      <c r="H10962" s="8">
        <f>HYPERLINK("https://dart.fss.or.kr/dsaf001/main.do?rcpNo=20260612000522", "공시열람")</f>
        <v/>
      </c>
    </row>
    <row r="10963">
      <c r="A10963" s="2" t="inlineStr">
        <is>
          <t>2026-06-12</t>
        </is>
      </c>
      <c r="B10963" s="3" t="inlineStr">
        <is>
          <t>현대로템</t>
        </is>
      </c>
      <c r="C10963" s="2" t="inlineStr">
        <is>
          <t>코스피</t>
        </is>
      </c>
      <c r="D10963" s="2" t="inlineStr">
        <is>
          <t>064350</t>
        </is>
      </c>
      <c r="E10963" s="3" t="inlineStr">
        <is>
          <t>임원ㆍ주요주주특정증권등소유상황보고서</t>
        </is>
      </c>
      <c r="F10963" s="3" t="inlineStr">
        <is>
          <t>김영일</t>
        </is>
      </c>
      <c r="G10963" s="2" t="inlineStr">
        <is>
          <t>20260612000520</t>
        </is>
      </c>
      <c r="H10963" s="8">
        <f>HYPERLINK("https://dart.fss.or.kr/dsaf001/main.do?rcpNo=20260612000520", "공시열람")</f>
        <v/>
      </c>
    </row>
    <row r="10964">
      <c r="A10964" s="2" t="inlineStr">
        <is>
          <t>2026-06-12</t>
        </is>
      </c>
      <c r="B10964" s="3" t="inlineStr">
        <is>
          <t>SK증권</t>
        </is>
      </c>
      <c r="C10964" s="2" t="inlineStr">
        <is>
          <t>코스피</t>
        </is>
      </c>
      <c r="D10964" s="2" t="inlineStr">
        <is>
          <t>001510</t>
        </is>
      </c>
      <c r="E10964" s="3" t="inlineStr">
        <is>
          <t>투자설명서(일괄신고)</t>
        </is>
      </c>
      <c r="F10964" s="3" t="inlineStr">
        <is>
          <t>SK증권</t>
        </is>
      </c>
      <c r="G10964" s="2" t="inlineStr">
        <is>
          <t>20260612000517</t>
        </is>
      </c>
      <c r="H10964" s="8">
        <f>HYPERLINK("https://dart.fss.or.kr/dsaf001/main.do?rcpNo=20260612000517", "공시열람")</f>
        <v/>
      </c>
    </row>
    <row r="10965">
      <c r="A10965" s="2" t="inlineStr">
        <is>
          <t>2026-06-12</t>
        </is>
      </c>
      <c r="B10965" s="3" t="inlineStr">
        <is>
          <t>멕아이씨에스</t>
        </is>
      </c>
      <c r="C10965" s="2" t="inlineStr">
        <is>
          <t>코스닥</t>
        </is>
      </c>
      <c r="D10965" s="2" t="inlineStr">
        <is>
          <t>058110</t>
        </is>
      </c>
      <c r="E10965" s="3" t="inlineStr">
        <is>
          <t>임원ㆍ주요주주특정증권등소유상황보고서</t>
        </is>
      </c>
      <c r="F10965" s="3" t="inlineStr">
        <is>
          <t>오정택</t>
        </is>
      </c>
      <c r="G10965" s="2" t="inlineStr">
        <is>
          <t>20260612000515</t>
        </is>
      </c>
      <c r="H10965" s="8">
        <f>HYPERLINK("https://dart.fss.or.kr/dsaf001/main.do?rcpNo=20260612000515", "공시열람")</f>
        <v/>
      </c>
    </row>
    <row r="10966">
      <c r="A10966" s="2" t="inlineStr">
        <is>
          <t>2026-06-12</t>
        </is>
      </c>
      <c r="B10966" s="3" t="inlineStr">
        <is>
          <t>와이바이오로직스</t>
        </is>
      </c>
      <c r="C10966" s="2" t="inlineStr">
        <is>
          <t>코스닥</t>
        </is>
      </c>
      <c r="D10966" s="2" t="inlineStr">
        <is>
          <t>338840</t>
        </is>
      </c>
      <c r="E10966" s="3" t="inlineStr">
        <is>
          <t>의결권대리행사권유참고서류</t>
        </is>
      </c>
      <c r="F10966" s="3" t="inlineStr">
        <is>
          <t>와이바이오로직스</t>
        </is>
      </c>
      <c r="G10966" s="2" t="inlineStr">
        <is>
          <t>20260612000514</t>
        </is>
      </c>
      <c r="H10966" s="8">
        <f>HYPERLINK("https://dart.fss.or.kr/dsaf001/main.do?rcpNo=20260612000514", "공시열람")</f>
        <v/>
      </c>
    </row>
    <row r="10967">
      <c r="A10967" s="2" t="inlineStr">
        <is>
          <t>2026-06-12 (정정: 2026-06-15)</t>
        </is>
      </c>
      <c r="B10967" s="3" t="inlineStr">
        <is>
          <t>동원금속</t>
        </is>
      </c>
      <c r="C10967" s="2" t="inlineStr">
        <is>
          <t>코스피</t>
        </is>
      </c>
      <c r="D10967" s="2" t="inlineStr">
        <is>
          <t>018500</t>
        </is>
      </c>
      <c r="E10967" s="3" t="inlineStr">
        <is>
          <t>의결권대리행사권유참고서류 (정정: 20260615) (정정: 20260615)</t>
        </is>
      </c>
      <c r="F10967" s="3" t="inlineStr">
        <is>
          <t>동원금속</t>
        </is>
      </c>
      <c r="G10967" s="2" t="inlineStr">
        <is>
          <t>20260615000148</t>
        </is>
      </c>
      <c r="H10967" s="8">
        <f>HYPERLINK("https://dart.fss.or.kr/dsaf001/main.do?rcpNo=20260615000148", "공시열람")</f>
        <v/>
      </c>
    </row>
    <row r="10968">
      <c r="A10968" s="2" t="inlineStr">
        <is>
          <t>2026-06-12</t>
        </is>
      </c>
      <c r="B10968" s="3" t="inlineStr">
        <is>
          <t>세방전지</t>
        </is>
      </c>
      <c r="C10968" s="2" t="inlineStr">
        <is>
          <t>코스피</t>
        </is>
      </c>
      <c r="D10968" s="2" t="inlineStr">
        <is>
          <t>004490</t>
        </is>
      </c>
      <c r="E10968" s="3" t="inlineStr">
        <is>
          <t xml:space="preserve">기업설명회(IR)개최(안내공시)              </t>
        </is>
      </c>
      <c r="F10968" s="3" t="inlineStr">
        <is>
          <t>세방전지</t>
        </is>
      </c>
      <c r="G10968" s="2" t="inlineStr">
        <is>
          <t>20260612800762</t>
        </is>
      </c>
      <c r="H10968" s="8">
        <f>HYPERLINK("https://dart.fss.or.kr/dsaf001/main.do?rcpNo=20260612800762", "공시열람")</f>
        <v/>
      </c>
    </row>
    <row r="10969">
      <c r="A10969" s="2" t="inlineStr">
        <is>
          <t>2026-06-12</t>
        </is>
      </c>
      <c r="B10969" s="3" t="inlineStr">
        <is>
          <t>현대로템</t>
        </is>
      </c>
      <c r="C10969" s="2" t="inlineStr">
        <is>
          <t>코스피</t>
        </is>
      </c>
      <c r="D10969" s="2" t="inlineStr">
        <is>
          <t>064350</t>
        </is>
      </c>
      <c r="E10969" s="3" t="inlineStr">
        <is>
          <t>임원ㆍ주요주주특정증권등소유상황보고서</t>
        </is>
      </c>
      <c r="F10969" s="3" t="inlineStr">
        <is>
          <t>김성현</t>
        </is>
      </c>
      <c r="G10969" s="2" t="inlineStr">
        <is>
          <t>20260612000508</t>
        </is>
      </c>
      <c r="H10969" s="8">
        <f>HYPERLINK("https://dart.fss.or.kr/dsaf001/main.do?rcpNo=20260612000508", "공시열람")</f>
        <v/>
      </c>
    </row>
    <row r="10970">
      <c r="A10970" s="2" t="inlineStr">
        <is>
          <t>2026-06-12 (정정: 2026-06-22)</t>
        </is>
      </c>
      <c r="B10970" s="3" t="inlineStr">
        <is>
          <t>CJ대한통운</t>
        </is>
      </c>
      <c r="C10970" s="2" t="inlineStr">
        <is>
          <t>코스피</t>
        </is>
      </c>
      <c r="D10970" s="2" t="inlineStr">
        <is>
          <t>000120</t>
        </is>
      </c>
      <c r="E10970" s="3" t="inlineStr">
        <is>
          <t>기업설명회(IR)개최(안내공시)               (정정: 20260622)</t>
        </is>
      </c>
      <c r="F10970" s="3" t="inlineStr">
        <is>
          <t>CJ대한통운</t>
        </is>
      </c>
      <c r="G10970" s="2" t="inlineStr">
        <is>
          <t>20260622800183</t>
        </is>
      </c>
      <c r="H10970" s="8">
        <f>HYPERLINK("https://dart.fss.or.kr/dsaf001/main.do?rcpNo=20260622800183", "공시열람")</f>
        <v/>
      </c>
    </row>
    <row r="10971">
      <c r="A10971" s="2" t="inlineStr">
        <is>
          <t>2026-06-12</t>
        </is>
      </c>
      <c r="B10971" s="3" t="inlineStr">
        <is>
          <t>리드코프</t>
        </is>
      </c>
      <c r="C10971" s="2" t="inlineStr">
        <is>
          <t>코스닥</t>
        </is>
      </c>
      <c r="D10971" s="2" t="inlineStr">
        <is>
          <t>012700</t>
        </is>
      </c>
      <c r="E10971" s="3" t="inlineStr">
        <is>
          <t>임원ㆍ주요주주특정증권등소유상황보고서</t>
        </is>
      </c>
      <c r="F10971" s="3" t="inlineStr">
        <is>
          <t>엠투엔</t>
        </is>
      </c>
      <c r="G10971" s="2" t="inlineStr">
        <is>
          <t>20260612000505</t>
        </is>
      </c>
      <c r="H10971" s="8">
        <f>HYPERLINK("https://dart.fss.or.kr/dsaf001/main.do?rcpNo=20260612000505", "공시열람")</f>
        <v/>
      </c>
    </row>
    <row r="10972">
      <c r="A10972" s="2" t="inlineStr">
        <is>
          <t>2026-06-12</t>
        </is>
      </c>
      <c r="B10972" s="3" t="inlineStr">
        <is>
          <t>프로티나</t>
        </is>
      </c>
      <c r="C10972" s="2" t="inlineStr">
        <is>
          <t>코스닥</t>
        </is>
      </c>
      <c r="D10972" s="2" t="inlineStr">
        <is>
          <t>468530</t>
        </is>
      </c>
      <c r="E10972" s="3" t="inlineStr">
        <is>
          <t>주식매수선택권부여에관한신고</t>
        </is>
      </c>
      <c r="F10972" s="3" t="inlineStr">
        <is>
          <t>프로티나</t>
        </is>
      </c>
      <c r="G10972" s="2" t="inlineStr">
        <is>
          <t>20260612000504</t>
        </is>
      </c>
      <c r="H10972" s="8">
        <f>HYPERLINK("https://dart.fss.or.kr/dsaf001/main.do?rcpNo=20260612000504", "공시열람")</f>
        <v/>
      </c>
    </row>
    <row r="10973">
      <c r="A10973" s="2" t="inlineStr">
        <is>
          <t>2026-06-12 (정정: 2026-06-19)</t>
        </is>
      </c>
      <c r="B10973" s="3" t="inlineStr">
        <is>
          <t>크레버스</t>
        </is>
      </c>
      <c r="C10973" s="2" t="inlineStr">
        <is>
          <t>코스닥</t>
        </is>
      </c>
      <c r="D10973" s="2" t="inlineStr">
        <is>
          <t>096240</t>
        </is>
      </c>
      <c r="E10973" s="3" t="inlineStr">
        <is>
          <t>임원ㆍ주요주주특정증권등소유상황보고서 (정정: 20260619)</t>
        </is>
      </c>
      <c r="F10973" s="3" t="inlineStr">
        <is>
          <t>김영화</t>
        </is>
      </c>
      <c r="G10973" s="2" t="inlineStr">
        <is>
          <t>20260619900817</t>
        </is>
      </c>
      <c r="H10973" s="8">
        <f>HYPERLINK("https://dart.fss.or.kr/dsaf001/main.do?rcpNo=20260619900817", "공시열람")</f>
        <v/>
      </c>
    </row>
    <row r="10974">
      <c r="A10974" s="2" t="inlineStr">
        <is>
          <t>2026-06-12</t>
        </is>
      </c>
      <c r="B10974" s="3" t="inlineStr">
        <is>
          <t>비스토스</t>
        </is>
      </c>
      <c r="C10974" s="2" t="inlineStr">
        <is>
          <t>코스닥</t>
        </is>
      </c>
      <c r="D10974" s="2" t="inlineStr">
        <is>
          <t>419540</t>
        </is>
      </c>
      <c r="E10974" s="3" t="inlineStr">
        <is>
          <t>임원ㆍ주요주주특정증권등소유상황보고서</t>
        </is>
      </c>
      <c r="F10974" s="3" t="inlineStr">
        <is>
          <t>씨유메디칼</t>
        </is>
      </c>
      <c r="G10974" s="2" t="inlineStr">
        <is>
          <t>20260612000496</t>
        </is>
      </c>
      <c r="H10974" s="8">
        <f>HYPERLINK("https://dart.fss.or.kr/dsaf001/main.do?rcpNo=20260612000496", "공시열람")</f>
        <v/>
      </c>
    </row>
    <row r="10975">
      <c r="A10975" s="2" t="inlineStr">
        <is>
          <t>2026-06-12</t>
        </is>
      </c>
      <c r="B10975" s="3" t="inlineStr">
        <is>
          <t>현대로템</t>
        </is>
      </c>
      <c r="C10975" s="2" t="inlineStr">
        <is>
          <t>코스피</t>
        </is>
      </c>
      <c r="D10975" s="2" t="inlineStr">
        <is>
          <t>064350</t>
        </is>
      </c>
      <c r="E10975" s="3" t="inlineStr">
        <is>
          <t>임원ㆍ주요주주특정증권등소유상황보고서</t>
        </is>
      </c>
      <c r="F10975" s="3" t="inlineStr">
        <is>
          <t>조규출</t>
        </is>
      </c>
      <c r="G10975" s="2" t="inlineStr">
        <is>
          <t>20260612000495</t>
        </is>
      </c>
      <c r="H10975" s="8">
        <f>HYPERLINK("https://dart.fss.or.kr/dsaf001/main.do?rcpNo=20260612000495", "공시열람")</f>
        <v/>
      </c>
    </row>
    <row r="10976">
      <c r="A10976" s="2" t="inlineStr">
        <is>
          <t>2026-06-12</t>
        </is>
      </c>
      <c r="B10976" s="3" t="inlineStr">
        <is>
          <t>세방전지</t>
        </is>
      </c>
      <c r="C10976" s="2" t="inlineStr">
        <is>
          <t>코스피</t>
        </is>
      </c>
      <c r="D10976" s="2" t="inlineStr">
        <is>
          <t>004490</t>
        </is>
      </c>
      <c r="E10976" s="3" t="inlineStr">
        <is>
          <t xml:space="preserve">타법인주식및출자증권취득결정              </t>
        </is>
      </c>
      <c r="F10976" s="3" t="inlineStr">
        <is>
          <t>세방전지</t>
        </is>
      </c>
      <c r="G10976" s="2" t="inlineStr">
        <is>
          <t>20260612800717</t>
        </is>
      </c>
      <c r="H10976" s="8">
        <f>HYPERLINK("https://dart.fss.or.kr/dsaf001/main.do?rcpNo=20260612800717", "공시열람")</f>
        <v/>
      </c>
    </row>
    <row r="10977">
      <c r="A10977" s="2" t="inlineStr">
        <is>
          <t>2026-06-12</t>
        </is>
      </c>
      <c r="B10977" s="3" t="inlineStr">
        <is>
          <t>앱토크롬</t>
        </is>
      </c>
      <c r="C10977" s="2" t="inlineStr">
        <is>
          <t>코스닥</t>
        </is>
      </c>
      <c r="D10977" s="2" t="inlineStr">
        <is>
          <t>109960</t>
        </is>
      </c>
      <c r="E10977" s="3" t="inlineStr">
        <is>
          <t>임원ㆍ주요주주특정증권등거래계획철회보고서</t>
        </is>
      </c>
      <c r="F10977" s="3" t="inlineStr">
        <is>
          <t>에이프로젠</t>
        </is>
      </c>
      <c r="G10977" s="2" t="inlineStr">
        <is>
          <t>20260612000492</t>
        </is>
      </c>
      <c r="H10977" s="8">
        <f>HYPERLINK("https://dart.fss.or.kr/dsaf001/main.do?rcpNo=20260612000492", "공시열람")</f>
        <v/>
      </c>
    </row>
    <row r="10978">
      <c r="A10978" s="2" t="inlineStr">
        <is>
          <t>2026-06-12</t>
        </is>
      </c>
      <c r="B10978" s="3" t="inlineStr">
        <is>
          <t>기아</t>
        </is>
      </c>
      <c r="C10978" s="2" t="inlineStr">
        <is>
          <t>코스피</t>
        </is>
      </c>
      <c r="D10978" s="2" t="inlineStr">
        <is>
          <t>000270</t>
        </is>
      </c>
      <c r="E10978" s="3" t="inlineStr">
        <is>
          <t>특수관계인으로부터기타유가증권매수</t>
        </is>
      </c>
      <c r="F10978" s="3" t="inlineStr">
        <is>
          <t>기아</t>
        </is>
      </c>
      <c r="G10978" s="2" t="inlineStr">
        <is>
          <t>20260612000491</t>
        </is>
      </c>
      <c r="H10978" s="8">
        <f>HYPERLINK("https://dart.fss.or.kr/dsaf001/main.do?rcpNo=20260612000491", "공시열람")</f>
        <v/>
      </c>
    </row>
    <row r="10979">
      <c r="A10979" s="2" t="inlineStr">
        <is>
          <t>2026-06-12</t>
        </is>
      </c>
      <c r="B10979" s="3" t="inlineStr">
        <is>
          <t>온코닉테라퓨틱스</t>
        </is>
      </c>
      <c r="C10979" s="2" t="inlineStr">
        <is>
          <t>코스닥</t>
        </is>
      </c>
      <c r="D10979" s="2" t="inlineStr">
        <is>
          <t>476060</t>
        </is>
      </c>
      <c r="E10979" s="3" t="inlineStr">
        <is>
          <t>임원ㆍ주요주주특정증권등소유상황보고서</t>
        </is>
      </c>
      <c r="F10979" s="3" t="inlineStr">
        <is>
          <t>김정훈</t>
        </is>
      </c>
      <c r="G10979" s="2" t="inlineStr">
        <is>
          <t>20260612000488</t>
        </is>
      </c>
      <c r="H10979" s="8">
        <f>HYPERLINK("https://dart.fss.or.kr/dsaf001/main.do?rcpNo=20260612000488", "공시열람")</f>
        <v/>
      </c>
    </row>
    <row r="10980">
      <c r="A10980" s="2" t="inlineStr">
        <is>
          <t>2026-06-12</t>
        </is>
      </c>
      <c r="B10980" s="3" t="inlineStr">
        <is>
          <t>SK증권</t>
        </is>
      </c>
      <c r="C10980" s="2" t="inlineStr">
        <is>
          <t>코스피</t>
        </is>
      </c>
      <c r="D10980" s="2" t="inlineStr">
        <is>
          <t>001510</t>
        </is>
      </c>
      <c r="E10980" s="3" t="inlineStr">
        <is>
          <t>일괄신고추가서류(파생결합사채-주가연계파생결합사채)</t>
        </is>
      </c>
      <c r="F10980" s="3" t="inlineStr">
        <is>
          <t>SK증권</t>
        </is>
      </c>
      <c r="G10980" s="2" t="inlineStr">
        <is>
          <t>20260612000486</t>
        </is>
      </c>
      <c r="H10980" s="8">
        <f>HYPERLINK("https://dart.fss.or.kr/dsaf001/main.do?rcpNo=20260612000486", "공시열람")</f>
        <v/>
      </c>
    </row>
    <row r="10981">
      <c r="A10981" s="2" t="inlineStr">
        <is>
          <t>2026-06-12</t>
        </is>
      </c>
      <c r="B10981" s="3" t="inlineStr">
        <is>
          <t>현대로템</t>
        </is>
      </c>
      <c r="C10981" s="2" t="inlineStr">
        <is>
          <t>코스피</t>
        </is>
      </c>
      <c r="D10981" s="2" t="inlineStr">
        <is>
          <t>064350</t>
        </is>
      </c>
      <c r="E10981" s="3" t="inlineStr">
        <is>
          <t>임원ㆍ주요주주특정증권등소유상황보고서</t>
        </is>
      </c>
      <c r="F10981" s="3" t="inlineStr">
        <is>
          <t>이경필</t>
        </is>
      </c>
      <c r="G10981" s="2" t="inlineStr">
        <is>
          <t>20260612000485</t>
        </is>
      </c>
      <c r="H10981" s="8">
        <f>HYPERLINK("https://dart.fss.or.kr/dsaf001/main.do?rcpNo=20260612000485", "공시열람")</f>
        <v/>
      </c>
    </row>
    <row r="10982">
      <c r="A10982" s="2" t="inlineStr">
        <is>
          <t>2026-06-12</t>
        </is>
      </c>
      <c r="B10982" s="3" t="inlineStr">
        <is>
          <t>LG씨엔에스</t>
        </is>
      </c>
      <c r="C10982" s="2" t="inlineStr">
        <is>
          <t>코스피</t>
        </is>
      </c>
      <c r="D10982" s="2" t="inlineStr">
        <is>
          <t>064400</t>
        </is>
      </c>
      <c r="E10982" s="3" t="inlineStr">
        <is>
          <t>임원ㆍ주요주주특정증권등소유상황보고서</t>
        </is>
      </c>
      <c r="F10982" s="3" t="inlineStr">
        <is>
          <t>이재승</t>
        </is>
      </c>
      <c r="G10982" s="2" t="inlineStr">
        <is>
          <t>20260612000483</t>
        </is>
      </c>
      <c r="H10982" s="8">
        <f>HYPERLINK("https://dart.fss.or.kr/dsaf001/main.do?rcpNo=20260612000483", "공시열람")</f>
        <v/>
      </c>
    </row>
    <row r="10983">
      <c r="A10983" s="2" t="inlineStr">
        <is>
          <t>2026-06-12</t>
        </is>
      </c>
      <c r="B10983" s="3" t="inlineStr">
        <is>
          <t>모바일어플라이언스</t>
        </is>
      </c>
      <c r="C10983" s="2" t="inlineStr">
        <is>
          <t>코스닥</t>
        </is>
      </c>
      <c r="D10983" s="2" t="inlineStr">
        <is>
          <t>087260</t>
        </is>
      </c>
      <c r="E10983" s="3" t="inlineStr">
        <is>
          <t>사외이사의선임ㆍ해임또는중도퇴임에관한신고</t>
        </is>
      </c>
      <c r="F10983" s="3" t="inlineStr">
        <is>
          <t>모바일어플라이언스</t>
        </is>
      </c>
      <c r="G10983" s="2" t="inlineStr">
        <is>
          <t>20260612000482</t>
        </is>
      </c>
      <c r="H10983" s="8">
        <f>HYPERLINK("https://dart.fss.or.kr/dsaf001/main.do?rcpNo=20260612000482", "공시열람")</f>
        <v/>
      </c>
    </row>
    <row r="10984">
      <c r="A10984" s="2" t="inlineStr">
        <is>
          <t>2026-06-12</t>
        </is>
      </c>
      <c r="B10984" s="3" t="inlineStr">
        <is>
          <t>앱토크롬</t>
        </is>
      </c>
      <c r="C10984" s="2" t="inlineStr">
        <is>
          <t>코스닥</t>
        </is>
      </c>
      <c r="D10984" s="2" t="inlineStr">
        <is>
          <t>109960</t>
        </is>
      </c>
      <c r="E10984" s="3" t="inlineStr">
        <is>
          <t>임원ㆍ주요주주특정증권등거래계획철회보고서</t>
        </is>
      </c>
      <c r="F10984" s="3" t="inlineStr">
        <is>
          <t>포르테 신기술조합 제240호</t>
        </is>
      </c>
      <c r="G10984" s="2" t="inlineStr">
        <is>
          <t>20260612000481</t>
        </is>
      </c>
      <c r="H10984" s="8">
        <f>HYPERLINK("https://dart.fss.or.kr/dsaf001/main.do?rcpNo=20260612000481", "공시열람")</f>
        <v/>
      </c>
    </row>
    <row r="10985">
      <c r="A10985" s="2" t="inlineStr">
        <is>
          <t>2026-06-12</t>
        </is>
      </c>
      <c r="B10985" s="3" t="inlineStr">
        <is>
          <t>대한약품</t>
        </is>
      </c>
      <c r="C10985" s="2" t="inlineStr">
        <is>
          <t>코스닥</t>
        </is>
      </c>
      <c r="D10985" s="2" t="inlineStr">
        <is>
          <t>023910</t>
        </is>
      </c>
      <c r="E10985" s="3" t="inlineStr">
        <is>
          <t>임원ㆍ주요주주특정증권등소유상황보고서</t>
        </is>
      </c>
      <c r="F10985" s="3" t="inlineStr">
        <is>
          <t>이윤우</t>
        </is>
      </c>
      <c r="G10985" s="2" t="inlineStr">
        <is>
          <t>20260612000477</t>
        </is>
      </c>
      <c r="H10985" s="8">
        <f>HYPERLINK("https://dart.fss.or.kr/dsaf001/main.do?rcpNo=20260612000477", "공시열람")</f>
        <v/>
      </c>
    </row>
    <row r="10986">
      <c r="A10986" s="2" t="inlineStr">
        <is>
          <t>2026-06-12</t>
        </is>
      </c>
      <c r="B10986" s="3" t="inlineStr">
        <is>
          <t>에이비프로바이오</t>
        </is>
      </c>
      <c r="C10986" s="2" t="inlineStr">
        <is>
          <t>코스닥</t>
        </is>
      </c>
      <c r="D10986" s="2" t="inlineStr">
        <is>
          <t>195990</t>
        </is>
      </c>
      <c r="E10986" s="3" t="inlineStr">
        <is>
          <t>사외이사의선임ㆍ해임또는중도퇴임에관한신고</t>
        </is>
      </c>
      <c r="F10986" s="3" t="inlineStr">
        <is>
          <t>에이비프로바이오</t>
        </is>
      </c>
      <c r="G10986" s="2" t="inlineStr">
        <is>
          <t>20260612000476</t>
        </is>
      </c>
      <c r="H10986" s="8">
        <f>HYPERLINK("https://dart.fss.or.kr/dsaf001/main.do?rcpNo=20260612000476", "공시열람")</f>
        <v/>
      </c>
    </row>
    <row r="10987">
      <c r="A10987" s="2" t="inlineStr">
        <is>
          <t>2026-06-12</t>
        </is>
      </c>
      <c r="B10987" s="3" t="inlineStr">
        <is>
          <t>현대로템</t>
        </is>
      </c>
      <c r="C10987" s="2" t="inlineStr">
        <is>
          <t>코스피</t>
        </is>
      </c>
      <c r="D10987" s="2" t="inlineStr">
        <is>
          <t>064350</t>
        </is>
      </c>
      <c r="E10987" s="3" t="inlineStr">
        <is>
          <t>임원ㆍ주요주주특정증권등소유상황보고서</t>
        </is>
      </c>
      <c r="F10987" s="3" t="inlineStr">
        <is>
          <t>이원상</t>
        </is>
      </c>
      <c r="G10987" s="2" t="inlineStr">
        <is>
          <t>20260612000473</t>
        </is>
      </c>
      <c r="H10987" s="8">
        <f>HYPERLINK("https://dart.fss.or.kr/dsaf001/main.do?rcpNo=20260612000473", "공시열람")</f>
        <v/>
      </c>
    </row>
    <row r="10988">
      <c r="A10988" s="2" t="inlineStr">
        <is>
          <t>2026-06-12</t>
        </is>
      </c>
      <c r="B10988" s="3" t="inlineStr">
        <is>
          <t>남화토건</t>
        </is>
      </c>
      <c r="C10988" s="2" t="inlineStr">
        <is>
          <t>코스닥</t>
        </is>
      </c>
      <c r="D10988" s="2" t="inlineStr">
        <is>
          <t>091590</t>
        </is>
      </c>
      <c r="E10988" s="3" t="inlineStr">
        <is>
          <t xml:space="preserve">대표이사변경              </t>
        </is>
      </c>
      <c r="F10988" s="3" t="inlineStr">
        <is>
          <t>남화토건</t>
        </is>
      </c>
      <c r="G10988" s="2" t="inlineStr">
        <is>
          <t>20260612900702</t>
        </is>
      </c>
      <c r="H10988" s="8">
        <f>HYPERLINK("https://dart.fss.or.kr/dsaf001/main.do?rcpNo=20260612900702", "공시열람")</f>
        <v/>
      </c>
    </row>
    <row r="10989">
      <c r="A10989" s="2" t="inlineStr">
        <is>
          <t>2026-06-12</t>
        </is>
      </c>
      <c r="B10989" s="3" t="inlineStr">
        <is>
          <t>키움증권</t>
        </is>
      </c>
      <c r="C10989" s="2" t="inlineStr">
        <is>
          <t>코스피</t>
        </is>
      </c>
      <c r="D10989" s="2" t="inlineStr">
        <is>
          <t>039490</t>
        </is>
      </c>
      <c r="E10989" s="3" t="inlineStr">
        <is>
          <t xml:space="preserve">기업가치제고계획(자율공시)              </t>
        </is>
      </c>
      <c r="F10989" s="3" t="inlineStr">
        <is>
          <t>키움증권</t>
        </is>
      </c>
      <c r="G10989" s="2" t="inlineStr">
        <is>
          <t>20260612800668</t>
        </is>
      </c>
      <c r="H10989" s="8">
        <f>HYPERLINK("https://dart.fss.or.kr/dsaf001/main.do?rcpNo=20260612800668", "공시열람")</f>
        <v/>
      </c>
    </row>
    <row r="10990">
      <c r="A10990" s="2" t="inlineStr">
        <is>
          <t>2026-06-12</t>
        </is>
      </c>
      <c r="B10990" s="3" t="inlineStr">
        <is>
          <t>현대로템</t>
        </is>
      </c>
      <c r="C10990" s="2" t="inlineStr">
        <is>
          <t>코스피</t>
        </is>
      </c>
      <c r="D10990" s="2" t="inlineStr">
        <is>
          <t>064350</t>
        </is>
      </c>
      <c r="E10990" s="3" t="inlineStr">
        <is>
          <t>임원ㆍ주요주주특정증권등소유상황보고서</t>
        </is>
      </c>
      <c r="F10990" s="3" t="inlineStr">
        <is>
          <t>김익수</t>
        </is>
      </c>
      <c r="G10990" s="2" t="inlineStr">
        <is>
          <t>20260612000469</t>
        </is>
      </c>
      <c r="H10990" s="8">
        <f>HYPERLINK("https://dart.fss.or.kr/dsaf001/main.do?rcpNo=20260612000469", "공시열람")</f>
        <v/>
      </c>
    </row>
    <row r="10991">
      <c r="A10991" s="2" t="inlineStr">
        <is>
          <t>2026-06-12</t>
        </is>
      </c>
      <c r="B10991" s="3" t="inlineStr">
        <is>
          <t>한화투자증권</t>
        </is>
      </c>
      <c r="C10991" s="2" t="inlineStr">
        <is>
          <t>코스피</t>
        </is>
      </c>
      <c r="D10991" s="2" t="inlineStr">
        <is>
          <t>003530</t>
        </is>
      </c>
      <c r="E10991" s="3" t="inlineStr">
        <is>
          <t>투자설명서(일괄신고)</t>
        </is>
      </c>
      <c r="F10991" s="3" t="inlineStr">
        <is>
          <t>한화투자증권</t>
        </is>
      </c>
      <c r="G10991" s="2" t="inlineStr">
        <is>
          <t>20260612000468</t>
        </is>
      </c>
      <c r="H10991" s="8">
        <f>HYPERLINK("https://dart.fss.or.kr/dsaf001/main.do?rcpNo=20260612000468", "공시열람")</f>
        <v/>
      </c>
    </row>
    <row r="10992">
      <c r="A10992" s="2" t="inlineStr">
        <is>
          <t>2026-06-12</t>
        </is>
      </c>
      <c r="B10992" s="3" t="inlineStr">
        <is>
          <t>나노캠텍</t>
        </is>
      </c>
      <c r="C10992" s="2" t="inlineStr">
        <is>
          <t>코스닥</t>
        </is>
      </c>
      <c r="D10992" s="2" t="inlineStr">
        <is>
          <t>091970</t>
        </is>
      </c>
      <c r="E10992" s="3" t="inlineStr">
        <is>
          <t>전환사채(해외전환사채포함)발행후만기전사채취득              (제9회차)</t>
        </is>
      </c>
      <c r="F10992" s="3" t="inlineStr">
        <is>
          <t>나노캠텍</t>
        </is>
      </c>
      <c r="G10992" s="2" t="inlineStr">
        <is>
          <t>20260612900677</t>
        </is>
      </c>
      <c r="H10992" s="8">
        <f>HYPERLINK("https://dart.fss.or.kr/dsaf001/main.do?rcpNo=20260612900677", "공시열람")</f>
        <v/>
      </c>
    </row>
    <row r="10993">
      <c r="A10993" s="2" t="inlineStr">
        <is>
          <t>2026-06-12</t>
        </is>
      </c>
      <c r="B10993" s="3" t="inlineStr">
        <is>
          <t>NH올원리츠</t>
        </is>
      </c>
      <c r="C10993" s="2" t="inlineStr">
        <is>
          <t>코스피</t>
        </is>
      </c>
      <c r="D10993" s="2" t="inlineStr">
        <is>
          <t>400760</t>
        </is>
      </c>
      <c r="E10993" s="3" t="inlineStr">
        <is>
          <t xml:space="preserve">현금ㆍ현물배당을위한주주명부폐쇄(기준일)결정              </t>
        </is>
      </c>
      <c r="F10993" s="3" t="inlineStr">
        <is>
          <t>NH올원리츠</t>
        </is>
      </c>
      <c r="G10993" s="2" t="inlineStr">
        <is>
          <t>20260612800672</t>
        </is>
      </c>
      <c r="H10993" s="8">
        <f>HYPERLINK("https://dart.fss.or.kr/dsaf001/main.do?rcpNo=20260612800672", "공시열람")</f>
        <v/>
      </c>
    </row>
    <row r="10994">
      <c r="A10994" s="2" t="inlineStr">
        <is>
          <t>2026-06-12</t>
        </is>
      </c>
      <c r="B10994" s="3" t="inlineStr">
        <is>
          <t>NH올원리츠</t>
        </is>
      </c>
      <c r="C10994" s="2" t="inlineStr">
        <is>
          <t>코스피</t>
        </is>
      </c>
      <c r="D10994" s="2" t="inlineStr">
        <is>
          <t>400760</t>
        </is>
      </c>
      <c r="E10994" s="3" t="inlineStr">
        <is>
          <t xml:space="preserve">주주명부폐쇄기간또는기준일설정              </t>
        </is>
      </c>
      <c r="F10994" s="3" t="inlineStr">
        <is>
          <t>NH올원리츠</t>
        </is>
      </c>
      <c r="G10994" s="2" t="inlineStr">
        <is>
          <t>20260612800658</t>
        </is>
      </c>
      <c r="H10994" s="8">
        <f>HYPERLINK("https://dart.fss.or.kr/dsaf001/main.do?rcpNo=20260612800658", "공시열람")</f>
        <v/>
      </c>
    </row>
    <row r="10995">
      <c r="A10995" s="2" t="inlineStr">
        <is>
          <t>2026-06-12</t>
        </is>
      </c>
      <c r="B10995" s="3" t="inlineStr">
        <is>
          <t>에이비프로바이오</t>
        </is>
      </c>
      <c r="C10995" s="2" t="inlineStr">
        <is>
          <t>코스닥</t>
        </is>
      </c>
      <c r="D10995" s="2" t="inlineStr">
        <is>
          <t>195990</t>
        </is>
      </c>
      <c r="E10995" s="3" t="inlineStr">
        <is>
          <t xml:space="preserve">상호변경안내              </t>
        </is>
      </c>
      <c r="F10995" s="3" t="inlineStr">
        <is>
          <t>에이비프로바이오</t>
        </is>
      </c>
      <c r="G10995" s="2" t="inlineStr">
        <is>
          <t>20260612900675</t>
        </is>
      </c>
      <c r="H10995" s="8">
        <f>HYPERLINK("https://dart.fss.or.kr/dsaf001/main.do?rcpNo=20260612900675", "공시열람")</f>
        <v/>
      </c>
    </row>
    <row r="10996">
      <c r="A10996" s="2" t="inlineStr">
        <is>
          <t>2026-06-12</t>
        </is>
      </c>
      <c r="B10996" s="3" t="inlineStr">
        <is>
          <t>현대로템</t>
        </is>
      </c>
      <c r="C10996" s="2" t="inlineStr">
        <is>
          <t>코스피</t>
        </is>
      </c>
      <c r="D10996" s="2" t="inlineStr">
        <is>
          <t>064350</t>
        </is>
      </c>
      <c r="E10996" s="3" t="inlineStr">
        <is>
          <t>임원ㆍ주요주주특정증권등소유상황보고서</t>
        </is>
      </c>
      <c r="F10996" s="3" t="inlineStr">
        <is>
          <t>조형준</t>
        </is>
      </c>
      <c r="G10996" s="2" t="inlineStr">
        <is>
          <t>20260612000463</t>
        </is>
      </c>
      <c r="H10996" s="8">
        <f>HYPERLINK("https://dart.fss.or.kr/dsaf001/main.do?rcpNo=20260612000463", "공시열람")</f>
        <v/>
      </c>
    </row>
    <row r="10997">
      <c r="A10997" s="2" t="inlineStr">
        <is>
          <t>2026-06-12</t>
        </is>
      </c>
      <c r="B10997" s="3" t="inlineStr">
        <is>
          <t>한화투자증권</t>
        </is>
      </c>
      <c r="C10997" s="2" t="inlineStr">
        <is>
          <t>코스피</t>
        </is>
      </c>
      <c r="D10997" s="2" t="inlineStr">
        <is>
          <t>003530</t>
        </is>
      </c>
      <c r="E10997" s="3" t="inlineStr">
        <is>
          <t>일괄신고추가서류(파생결합사채-주가연계파생결합사채)</t>
        </is>
      </c>
      <c r="F10997" s="3" t="inlineStr">
        <is>
          <t>한화투자증권</t>
        </is>
      </c>
      <c r="G10997" s="2" t="inlineStr">
        <is>
          <t>20260612000462</t>
        </is>
      </c>
      <c r="H10997" s="8">
        <f>HYPERLINK("https://dart.fss.or.kr/dsaf001/main.do?rcpNo=20260612000462", "공시열람")</f>
        <v/>
      </c>
    </row>
    <row r="10998">
      <c r="A10998" s="2" t="inlineStr">
        <is>
          <t>2026-06-12</t>
        </is>
      </c>
      <c r="B10998" s="3" t="inlineStr">
        <is>
          <t>액토즈소프트</t>
        </is>
      </c>
      <c r="C10998" s="2" t="inlineStr">
        <is>
          <t>코스닥</t>
        </is>
      </c>
      <c r="D10998" s="2" t="inlineStr">
        <is>
          <t>052790</t>
        </is>
      </c>
      <c r="E10998" s="3" t="inlineStr">
        <is>
          <t xml:space="preserve">소송등의판결ㆍ결정(일정금액이상의청구)              </t>
        </is>
      </c>
      <c r="F10998" s="3" t="inlineStr">
        <is>
          <t>액토즈소프트</t>
        </is>
      </c>
      <c r="G10998" s="2" t="inlineStr">
        <is>
          <t>20260612900692</t>
        </is>
      </c>
      <c r="H10998" s="8">
        <f>HYPERLINK("https://dart.fss.or.kr/dsaf001/main.do?rcpNo=20260612900692", "공시열람")</f>
        <v/>
      </c>
    </row>
    <row r="10999">
      <c r="A10999" s="2" t="inlineStr">
        <is>
          <t>2026-06-12</t>
        </is>
      </c>
      <c r="B10999" s="3" t="inlineStr">
        <is>
          <t>NH투자증권</t>
        </is>
      </c>
      <c r="C10999" s="2" t="inlineStr">
        <is>
          <t>코스피</t>
        </is>
      </c>
      <c r="D10999" s="2" t="inlineStr">
        <is>
          <t>005940</t>
        </is>
      </c>
      <c r="E10999" s="3" t="inlineStr">
        <is>
          <t>증권발행실적보고서</t>
        </is>
      </c>
      <c r="F10999" s="3" t="inlineStr">
        <is>
          <t>NH투자증권</t>
        </is>
      </c>
      <c r="G10999" s="2" t="inlineStr">
        <is>
          <t>20260612000452</t>
        </is>
      </c>
      <c r="H10999" s="8">
        <f>HYPERLINK("https://dart.fss.or.kr/dsaf001/main.do?rcpNo=20260612000452", "공시열람")</f>
        <v/>
      </c>
    </row>
    <row r="11000">
      <c r="A11000" s="2" t="inlineStr">
        <is>
          <t>2026-06-12</t>
        </is>
      </c>
      <c r="B11000" s="3" t="inlineStr">
        <is>
          <t>현대로템</t>
        </is>
      </c>
      <c r="C11000" s="2" t="inlineStr">
        <is>
          <t>코스피</t>
        </is>
      </c>
      <c r="D11000" s="2" t="inlineStr">
        <is>
          <t>064350</t>
        </is>
      </c>
      <c r="E11000" s="3" t="inlineStr">
        <is>
          <t>임원ㆍ주요주주특정증권등소유상황보고서</t>
        </is>
      </c>
      <c r="F11000" s="3" t="inlineStr">
        <is>
          <t>정재호</t>
        </is>
      </c>
      <c r="G11000" s="2" t="inlineStr">
        <is>
          <t>20260612000450</t>
        </is>
      </c>
      <c r="H11000" s="8">
        <f>HYPERLINK("https://dart.fss.or.kr/dsaf001/main.do?rcpNo=20260612000450", "공시열람")</f>
        <v/>
      </c>
    </row>
    <row r="11001">
      <c r="A11001" s="2" t="inlineStr">
        <is>
          <t>2026-06-12</t>
        </is>
      </c>
      <c r="B11001" s="3" t="inlineStr">
        <is>
          <t>한화투자증권</t>
        </is>
      </c>
      <c r="C11001" s="2" t="inlineStr">
        <is>
          <t>코스피</t>
        </is>
      </c>
      <c r="D11001" s="2" t="inlineStr">
        <is>
          <t>003530</t>
        </is>
      </c>
      <c r="E11001" s="3" t="inlineStr">
        <is>
          <t>투자설명서(일괄신고)</t>
        </is>
      </c>
      <c r="F11001" s="3" t="inlineStr">
        <is>
          <t>한화투자증권</t>
        </is>
      </c>
      <c r="G11001" s="2" t="inlineStr">
        <is>
          <t>20260612000448</t>
        </is>
      </c>
      <c r="H11001" s="8">
        <f>HYPERLINK("https://dart.fss.or.kr/dsaf001/main.do?rcpNo=20260612000448", "공시열람")</f>
        <v/>
      </c>
    </row>
    <row r="11002">
      <c r="A11002" s="2" t="inlineStr">
        <is>
          <t>2026-06-12</t>
        </is>
      </c>
      <c r="B11002" s="3" t="inlineStr">
        <is>
          <t>한화생명</t>
        </is>
      </c>
      <c r="C11002" s="2" t="inlineStr">
        <is>
          <t>코스피</t>
        </is>
      </c>
      <c r="D11002" s="2" t="inlineStr">
        <is>
          <t>088350</t>
        </is>
      </c>
      <c r="E11002" s="3" t="inlineStr">
        <is>
          <t>임원ㆍ주요주주특정증권등소유상황보고서</t>
        </is>
      </c>
      <c r="F11002" s="3" t="inlineStr">
        <is>
          <t>박수원</t>
        </is>
      </c>
      <c r="G11002" s="2" t="inlineStr">
        <is>
          <t>20260612000443</t>
        </is>
      </c>
      <c r="H11002" s="8">
        <f>HYPERLINK("https://dart.fss.or.kr/dsaf001/main.do?rcpNo=20260612000443", "공시열람")</f>
        <v/>
      </c>
    </row>
    <row r="11003">
      <c r="A11003" s="2" t="inlineStr">
        <is>
          <t>2026-06-12</t>
        </is>
      </c>
      <c r="B11003" s="3" t="inlineStr">
        <is>
          <t>현대로템</t>
        </is>
      </c>
      <c r="C11003" s="2" t="inlineStr">
        <is>
          <t>코스피</t>
        </is>
      </c>
      <c r="D11003" s="2" t="inlineStr">
        <is>
          <t>064350</t>
        </is>
      </c>
      <c r="E11003" s="3" t="inlineStr">
        <is>
          <t>임원ㆍ주요주주특정증권등소유상황보고서</t>
        </is>
      </c>
      <c r="F11003" s="3" t="inlineStr">
        <is>
          <t>이용배</t>
        </is>
      </c>
      <c r="G11003" s="2" t="inlineStr">
        <is>
          <t>20260612000441</t>
        </is>
      </c>
      <c r="H11003" s="8">
        <f>HYPERLINK("https://dart.fss.or.kr/dsaf001/main.do?rcpNo=20260612000441", "공시열람")</f>
        <v/>
      </c>
    </row>
    <row r="11004">
      <c r="A11004" s="2" t="inlineStr">
        <is>
          <t>2026-06-12</t>
        </is>
      </c>
      <c r="B11004" s="3" t="inlineStr">
        <is>
          <t>한화생명</t>
        </is>
      </c>
      <c r="C11004" s="2" t="inlineStr">
        <is>
          <t>코스피</t>
        </is>
      </c>
      <c r="D11004" s="2" t="inlineStr">
        <is>
          <t>088350</t>
        </is>
      </c>
      <c r="E11004" s="3" t="inlineStr">
        <is>
          <t>임원ㆍ주요주주특정증권등소유상황보고서</t>
        </is>
      </c>
      <c r="F11004" s="3" t="inlineStr">
        <is>
          <t>구창희</t>
        </is>
      </c>
      <c r="G11004" s="2" t="inlineStr">
        <is>
          <t>20260612000438</t>
        </is>
      </c>
      <c r="H11004" s="8">
        <f>HYPERLINK("https://dart.fss.or.kr/dsaf001/main.do?rcpNo=20260612000438", "공시열람")</f>
        <v/>
      </c>
    </row>
    <row r="11005">
      <c r="A11005" s="2" t="inlineStr">
        <is>
          <t>2026-06-12</t>
        </is>
      </c>
      <c r="B11005" s="3" t="inlineStr">
        <is>
          <t>한화투자증권</t>
        </is>
      </c>
      <c r="C11005" s="2" t="inlineStr">
        <is>
          <t>코스피</t>
        </is>
      </c>
      <c r="D11005" s="2" t="inlineStr">
        <is>
          <t>003530</t>
        </is>
      </c>
      <c r="E11005" s="3" t="inlineStr">
        <is>
          <t>일괄신고추가서류(파생결합사채-주가연계파생결합사채)</t>
        </is>
      </c>
      <c r="F11005" s="3" t="inlineStr">
        <is>
          <t>한화투자증권</t>
        </is>
      </c>
      <c r="G11005" s="2" t="inlineStr">
        <is>
          <t>20260612000436</t>
        </is>
      </c>
      <c r="H11005" s="8">
        <f>HYPERLINK("https://dart.fss.or.kr/dsaf001/main.do?rcpNo=20260612000436", "공시열람")</f>
        <v/>
      </c>
    </row>
    <row r="11006">
      <c r="A11006" s="2" t="inlineStr">
        <is>
          <t>2026-06-12</t>
        </is>
      </c>
      <c r="B11006" s="3" t="inlineStr">
        <is>
          <t>동원금속</t>
        </is>
      </c>
      <c r="C11006" s="2" t="inlineStr">
        <is>
          <t>코스피</t>
        </is>
      </c>
      <c r="D11006" s="2" t="inlineStr">
        <is>
          <t>018500</t>
        </is>
      </c>
      <c r="E11006" s="3" t="inlineStr">
        <is>
          <t xml:space="preserve">현금ㆍ현물배당결정              </t>
        </is>
      </c>
      <c r="F11006" s="3" t="inlineStr">
        <is>
          <t>동원금속</t>
        </is>
      </c>
      <c r="G11006" s="2" t="inlineStr">
        <is>
          <t>20260612800660</t>
        </is>
      </c>
      <c r="H11006" s="8">
        <f>HYPERLINK("https://dart.fss.or.kr/dsaf001/main.do?rcpNo=20260612800660", "공시열람")</f>
        <v/>
      </c>
    </row>
    <row r="11007">
      <c r="A11007" s="2" t="inlineStr">
        <is>
          <t>2026-06-12</t>
        </is>
      </c>
      <c r="B11007" s="3" t="inlineStr">
        <is>
          <t>알파AI</t>
        </is>
      </c>
      <c r="C11007" s="2" t="inlineStr">
        <is>
          <t>코스닥</t>
        </is>
      </c>
      <c r="D11007" s="2" t="inlineStr">
        <is>
          <t>043100</t>
        </is>
      </c>
      <c r="E11007" s="3" t="inlineStr">
        <is>
          <t>의결권대리행사권유참고서류</t>
        </is>
      </c>
      <c r="F11007" s="3" t="inlineStr">
        <is>
          <t>알파AI</t>
        </is>
      </c>
      <c r="G11007" s="2" t="inlineStr">
        <is>
          <t>20260612000434</t>
        </is>
      </c>
      <c r="H11007" s="8">
        <f>HYPERLINK("https://dart.fss.or.kr/dsaf001/main.do?rcpNo=20260612000434", "공시열람")</f>
        <v/>
      </c>
    </row>
    <row r="11008">
      <c r="A11008" s="2" t="inlineStr">
        <is>
          <t>2026-06-12</t>
        </is>
      </c>
      <c r="B11008" s="3" t="inlineStr">
        <is>
          <t>현대사료</t>
        </is>
      </c>
      <c r="C11008" s="2" t="inlineStr">
        <is>
          <t>코스닥</t>
        </is>
      </c>
      <c r="D11008" s="2" t="inlineStr">
        <is>
          <t>016790</t>
        </is>
      </c>
      <c r="E11008" s="3" t="inlineStr">
        <is>
          <t>주권매매거래정지              (투자자 보호)</t>
        </is>
      </c>
      <c r="F11008" s="3" t="inlineStr">
        <is>
          <t>코스닥시장본부</t>
        </is>
      </c>
      <c r="G11008" s="2" t="inlineStr">
        <is>
          <t>20260612900601</t>
        </is>
      </c>
      <c r="H11008" s="8">
        <f>HYPERLINK("https://dart.fss.or.kr/dsaf001/main.do?rcpNo=20260612900601", "공시열람")</f>
        <v/>
      </c>
    </row>
    <row r="11009">
      <c r="A11009" s="2" t="inlineStr">
        <is>
          <t>2026-06-12</t>
        </is>
      </c>
      <c r="B11009" s="3" t="inlineStr">
        <is>
          <t>FSN</t>
        </is>
      </c>
      <c r="C11009" s="2" t="inlineStr">
        <is>
          <t>코스닥</t>
        </is>
      </c>
      <c r="D11009" s="2" t="inlineStr">
        <is>
          <t>214270</t>
        </is>
      </c>
      <c r="E11009" s="3" t="inlineStr">
        <is>
          <t xml:space="preserve">본점소재지변경              </t>
        </is>
      </c>
      <c r="F11009" s="3" t="inlineStr">
        <is>
          <t>FSN</t>
        </is>
      </c>
      <c r="G11009" s="2" t="inlineStr">
        <is>
          <t>20260612900654</t>
        </is>
      </c>
      <c r="H11009" s="8">
        <f>HYPERLINK("https://dart.fss.or.kr/dsaf001/main.do?rcpNo=20260612900654", "공시열람")</f>
        <v/>
      </c>
    </row>
    <row r="11010">
      <c r="A11010" s="2" t="inlineStr">
        <is>
          <t>2026-06-12</t>
        </is>
      </c>
      <c r="B11010" s="3" t="inlineStr">
        <is>
          <t>현대사료</t>
        </is>
      </c>
      <c r="C11010" s="2" t="inlineStr">
        <is>
          <t>코스닥</t>
        </is>
      </c>
      <c r="D11010" s="2" t="inlineStr">
        <is>
          <t>016790</t>
        </is>
      </c>
      <c r="E11010" s="3" t="inlineStr">
        <is>
          <t>기타시장안내              (정리매매 보류 관련)</t>
        </is>
      </c>
      <c r="F11010" s="3" t="inlineStr">
        <is>
          <t>코스닥시장본부</t>
        </is>
      </c>
      <c r="G11010" s="2" t="inlineStr">
        <is>
          <t>20260612900592</t>
        </is>
      </c>
      <c r="H11010" s="8">
        <f>HYPERLINK("https://dart.fss.or.kr/dsaf001/main.do?rcpNo=20260612900592", "공시열람")</f>
        <v/>
      </c>
    </row>
    <row r="11011">
      <c r="A11011" s="2" t="inlineStr">
        <is>
          <t>2026-06-12</t>
        </is>
      </c>
      <c r="B11011" s="3" t="inlineStr">
        <is>
          <t>교보증권</t>
        </is>
      </c>
      <c r="C11011" s="2" t="inlineStr">
        <is>
          <t>코스피</t>
        </is>
      </c>
      <c r="D11011" s="2" t="inlineStr">
        <is>
          <t>030610</t>
        </is>
      </c>
      <c r="E11011" s="3" t="inlineStr">
        <is>
          <t>증권발행실적보고서</t>
        </is>
      </c>
      <c r="F11011" s="3" t="inlineStr">
        <is>
          <t>교보증권</t>
        </is>
      </c>
      <c r="G11011" s="2" t="inlineStr">
        <is>
          <t>20260612000428</t>
        </is>
      </c>
      <c r="H11011" s="8">
        <f>HYPERLINK("https://dart.fss.or.kr/dsaf001/main.do?rcpNo=20260612000428", "공시열람")</f>
        <v/>
      </c>
    </row>
    <row r="11012">
      <c r="A11012" s="2" t="inlineStr">
        <is>
          <t>2026-06-12</t>
        </is>
      </c>
      <c r="B11012" s="3" t="inlineStr">
        <is>
          <t>롯데렌탈</t>
        </is>
      </c>
      <c r="C11012" s="2" t="inlineStr">
        <is>
          <t>코스피</t>
        </is>
      </c>
      <c r="D11012" s="2" t="inlineStr">
        <is>
          <t>089860</t>
        </is>
      </c>
      <c r="E11012" s="3" t="inlineStr">
        <is>
          <t xml:space="preserve">기업설명회(IR)개최(안내공시)              </t>
        </is>
      </c>
      <c r="F11012" s="3" t="inlineStr">
        <is>
          <t>롯데렌탈</t>
        </is>
      </c>
      <c r="G11012" s="2" t="inlineStr">
        <is>
          <t>20260612800634</t>
        </is>
      </c>
      <c r="H11012" s="8">
        <f>HYPERLINK("https://dart.fss.or.kr/dsaf001/main.do?rcpNo=20260612800634", "공시열람")</f>
        <v/>
      </c>
    </row>
    <row r="11013">
      <c r="A11013" s="2" t="inlineStr">
        <is>
          <t>2026-06-12 (정정: 2026-06-15)</t>
        </is>
      </c>
      <c r="B11013" s="3" t="inlineStr">
        <is>
          <t>대호에이엘</t>
        </is>
      </c>
      <c r="C11013" s="2" t="inlineStr">
        <is>
          <t>코스피</t>
        </is>
      </c>
      <c r="D11013" s="2" t="inlineStr">
        <is>
          <t>069460</t>
        </is>
      </c>
      <c r="E11013" s="3" t="inlineStr">
        <is>
          <t>사외이사의선임ㆍ해임또는중도퇴임에관한신고 (정정: 20260615)</t>
        </is>
      </c>
      <c r="F11013" s="3" t="inlineStr">
        <is>
          <t>대호에이엘</t>
        </is>
      </c>
      <c r="G11013" s="2" t="inlineStr">
        <is>
          <t>20260615000005</t>
        </is>
      </c>
      <c r="H11013" s="8">
        <f>HYPERLINK("https://dart.fss.or.kr/dsaf001/main.do?rcpNo=20260615000005", "공시열람")</f>
        <v/>
      </c>
    </row>
    <row r="11014">
      <c r="A11014" s="2" t="inlineStr">
        <is>
          <t>2026-06-12</t>
        </is>
      </c>
      <c r="B11014" s="3" t="inlineStr">
        <is>
          <t>국영지앤엠</t>
        </is>
      </c>
      <c r="C11014" s="2" t="inlineStr">
        <is>
          <t>코스닥</t>
        </is>
      </c>
      <c r="D11014" s="2" t="inlineStr">
        <is>
          <t>006050</t>
        </is>
      </c>
      <c r="E11014" s="3" t="inlineStr">
        <is>
          <t xml:space="preserve">주식병합결정              </t>
        </is>
      </c>
      <c r="F11014" s="3" t="inlineStr">
        <is>
          <t>국영지앤엠</t>
        </is>
      </c>
      <c r="G11014" s="2" t="inlineStr">
        <is>
          <t>20260612900649</t>
        </is>
      </c>
      <c r="H11014" s="8">
        <f>HYPERLINK("https://dart.fss.or.kr/dsaf001/main.do?rcpNo=20260612900649", "공시열람")</f>
        <v/>
      </c>
    </row>
    <row r="11015">
      <c r="A11015" s="2" t="inlineStr">
        <is>
          <t>2026-06-12</t>
        </is>
      </c>
      <c r="B11015" s="3" t="inlineStr">
        <is>
          <t>액토즈소프트</t>
        </is>
      </c>
      <c r="C11015" s="2" t="inlineStr">
        <is>
          <t>코스닥</t>
        </is>
      </c>
      <c r="D11015" s="2" t="inlineStr">
        <is>
          <t>052790</t>
        </is>
      </c>
      <c r="E11015" s="3" t="inlineStr">
        <is>
          <t xml:space="preserve">소송등의판결ㆍ결정(일정금액이상의청구)              </t>
        </is>
      </c>
      <c r="F11015" s="3" t="inlineStr">
        <is>
          <t>액토즈소프트</t>
        </is>
      </c>
      <c r="G11015" s="2" t="inlineStr">
        <is>
          <t>20260612900645</t>
        </is>
      </c>
      <c r="H11015" s="8">
        <f>HYPERLINK("https://dart.fss.or.kr/dsaf001/main.do?rcpNo=20260612900645", "공시열람")</f>
        <v/>
      </c>
    </row>
    <row r="11016">
      <c r="A11016" s="2" t="inlineStr">
        <is>
          <t>2026-06-12</t>
        </is>
      </c>
      <c r="B11016" s="3" t="inlineStr">
        <is>
          <t>교보증권</t>
        </is>
      </c>
      <c r="C11016" s="2" t="inlineStr">
        <is>
          <t>코스피</t>
        </is>
      </c>
      <c r="D11016" s="2" t="inlineStr">
        <is>
          <t>030610</t>
        </is>
      </c>
      <c r="E11016" s="3" t="inlineStr">
        <is>
          <t>증권발행실적보고서</t>
        </is>
      </c>
      <c r="F11016" s="3" t="inlineStr">
        <is>
          <t>교보증권</t>
        </is>
      </c>
      <c r="G11016" s="2" t="inlineStr">
        <is>
          <t>20260612000424</t>
        </is>
      </c>
      <c r="H11016" s="8">
        <f>HYPERLINK("https://dart.fss.or.kr/dsaf001/main.do?rcpNo=20260612000424", "공시열람")</f>
        <v/>
      </c>
    </row>
    <row r="11017">
      <c r="A11017" s="2" t="inlineStr">
        <is>
          <t>2026-06-12</t>
        </is>
      </c>
      <c r="B11017" s="3" t="inlineStr">
        <is>
          <t>한화투자증권</t>
        </is>
      </c>
      <c r="C11017" s="2" t="inlineStr">
        <is>
          <t>코스피</t>
        </is>
      </c>
      <c r="D11017" s="2" t="inlineStr">
        <is>
          <t>003530</t>
        </is>
      </c>
      <c r="E11017" s="3" t="inlineStr">
        <is>
          <t>증권발행실적보고서</t>
        </is>
      </c>
      <c r="F11017" s="3" t="inlineStr">
        <is>
          <t>한화투자증권</t>
        </is>
      </c>
      <c r="G11017" s="2" t="inlineStr">
        <is>
          <t>20260612000423</t>
        </is>
      </c>
      <c r="H11017" s="8">
        <f>HYPERLINK("https://dart.fss.or.kr/dsaf001/main.do?rcpNo=20260612000423", "공시열람")</f>
        <v/>
      </c>
    </row>
    <row r="11018">
      <c r="A11018" s="2" t="inlineStr">
        <is>
          <t>2026-06-12</t>
        </is>
      </c>
      <c r="B11018" s="3" t="inlineStr">
        <is>
          <t>유진증권</t>
        </is>
      </c>
      <c r="C11018" s="2" t="inlineStr">
        <is>
          <t>코스피</t>
        </is>
      </c>
      <c r="D11018" s="2" t="inlineStr">
        <is>
          <t>001200</t>
        </is>
      </c>
      <c r="E11018" s="3" t="inlineStr">
        <is>
          <t>증권발행실적보고서</t>
        </is>
      </c>
      <c r="F11018" s="3" t="inlineStr">
        <is>
          <t>유진증권</t>
        </is>
      </c>
      <c r="G11018" s="2" t="inlineStr">
        <is>
          <t>20260612000422</t>
        </is>
      </c>
      <c r="H11018" s="8">
        <f>HYPERLINK("https://dart.fss.or.kr/dsaf001/main.do?rcpNo=20260612000422", "공시열람")</f>
        <v/>
      </c>
    </row>
    <row r="11019">
      <c r="A11019" s="2" t="inlineStr">
        <is>
          <t>2026-06-12</t>
        </is>
      </c>
      <c r="B11019" s="3" t="inlineStr">
        <is>
          <t>교보증권</t>
        </is>
      </c>
      <c r="C11019" s="2" t="inlineStr">
        <is>
          <t>코스피</t>
        </is>
      </c>
      <c r="D11019" s="2" t="inlineStr">
        <is>
          <t>030610</t>
        </is>
      </c>
      <c r="E11019" s="3" t="inlineStr">
        <is>
          <t>증권발행실적보고서</t>
        </is>
      </c>
      <c r="F11019" s="3" t="inlineStr">
        <is>
          <t>교보증권</t>
        </is>
      </c>
      <c r="G11019" s="2" t="inlineStr">
        <is>
          <t>20260612000421</t>
        </is>
      </c>
      <c r="H11019" s="8">
        <f>HYPERLINK("https://dart.fss.or.kr/dsaf001/main.do?rcpNo=20260612000421", "공시열람")</f>
        <v/>
      </c>
    </row>
    <row r="11020">
      <c r="A11020" s="2" t="inlineStr">
        <is>
          <t>2026-06-12</t>
        </is>
      </c>
      <c r="B11020" s="3" t="inlineStr">
        <is>
          <t>수성웹툰</t>
        </is>
      </c>
      <c r="C11020" s="2" t="inlineStr">
        <is>
          <t>코스닥</t>
        </is>
      </c>
      <c r="D11020" s="2" t="inlineStr">
        <is>
          <t>084180</t>
        </is>
      </c>
      <c r="E11020" s="3" t="inlineStr">
        <is>
          <t xml:space="preserve">주주명부폐쇄기간또는기준일설정              </t>
        </is>
      </c>
      <c r="F11020" s="3" t="inlineStr">
        <is>
          <t>수성웹툰</t>
        </is>
      </c>
      <c r="G11020" s="2" t="inlineStr">
        <is>
          <t>20260612900613</t>
        </is>
      </c>
      <c r="H11020" s="8">
        <f>HYPERLINK("https://dart.fss.or.kr/dsaf001/main.do?rcpNo=20260612900613", "공시열람")</f>
        <v/>
      </c>
    </row>
    <row r="11021">
      <c r="A11021" s="2" t="inlineStr">
        <is>
          <t>2026-06-12</t>
        </is>
      </c>
      <c r="B11021" s="3" t="inlineStr">
        <is>
          <t>HLB제넥스</t>
        </is>
      </c>
      <c r="C11021" s="2" t="inlineStr">
        <is>
          <t>코스닥</t>
        </is>
      </c>
      <c r="D11021" s="2" t="inlineStr">
        <is>
          <t>187420</t>
        </is>
      </c>
      <c r="E11021" s="3" t="inlineStr">
        <is>
          <t xml:space="preserve">전환사채(해외전환사채포함)발행후만기전사채취득              </t>
        </is>
      </c>
      <c r="F11021" s="3" t="inlineStr">
        <is>
          <t>HLB제넥스</t>
        </is>
      </c>
      <c r="G11021" s="2" t="inlineStr">
        <is>
          <t>20260612900632</t>
        </is>
      </c>
      <c r="H11021" s="8">
        <f>HYPERLINK("https://dart.fss.or.kr/dsaf001/main.do?rcpNo=20260612900632", "공시열람")</f>
        <v/>
      </c>
    </row>
    <row r="11022">
      <c r="A11022" s="2" t="inlineStr">
        <is>
          <t>2026-06-12</t>
        </is>
      </c>
      <c r="B11022" s="3" t="inlineStr">
        <is>
          <t>대신증권</t>
        </is>
      </c>
      <c r="C11022" s="2" t="inlineStr">
        <is>
          <t>코스피</t>
        </is>
      </c>
      <c r="D11022" s="2" t="inlineStr">
        <is>
          <t>003540</t>
        </is>
      </c>
      <c r="E11022" s="3" t="inlineStr">
        <is>
          <t>일괄신고추가서류(기타파생결합사채)</t>
        </is>
      </c>
      <c r="F11022" s="3" t="inlineStr">
        <is>
          <t>대신증권</t>
        </is>
      </c>
      <c r="G11022" s="2" t="inlineStr">
        <is>
          <t>20260612000414</t>
        </is>
      </c>
      <c r="H11022" s="8">
        <f>HYPERLINK("https://dart.fss.or.kr/dsaf001/main.do?rcpNo=20260612000414", "공시열람")</f>
        <v/>
      </c>
    </row>
    <row r="11023">
      <c r="A11023" s="2" t="inlineStr">
        <is>
          <t>2026-06-12</t>
        </is>
      </c>
      <c r="B11023" s="3" t="inlineStr">
        <is>
          <t>삼성카드</t>
        </is>
      </c>
      <c r="C11023" s="2" t="inlineStr">
        <is>
          <t>코스피</t>
        </is>
      </c>
      <c r="D11023" s="2" t="inlineStr">
        <is>
          <t>029780</t>
        </is>
      </c>
      <c r="E11023" s="3" t="inlineStr">
        <is>
          <t>일괄신고서</t>
        </is>
      </c>
      <c r="F11023" s="3" t="inlineStr">
        <is>
          <t>삼성카드</t>
        </is>
      </c>
      <c r="G11023" s="2" t="inlineStr">
        <is>
          <t>20260612000413</t>
        </is>
      </c>
      <c r="H11023" s="8">
        <f>HYPERLINK("https://dart.fss.or.kr/dsaf001/main.do?rcpNo=20260612000413", "공시열람")</f>
        <v/>
      </c>
    </row>
    <row r="11024">
      <c r="A11024" s="2" t="inlineStr">
        <is>
          <t>2026-06-12</t>
        </is>
      </c>
      <c r="B11024" s="3" t="inlineStr">
        <is>
          <t>아톤</t>
        </is>
      </c>
      <c r="C11024" s="2" t="inlineStr">
        <is>
          <t>코스닥</t>
        </is>
      </c>
      <c r="D11024" s="2" t="inlineStr">
        <is>
          <t>158430</t>
        </is>
      </c>
      <c r="E11024" s="3" t="inlineStr">
        <is>
          <t xml:space="preserve">주주명부폐쇄기간또는기준일설정              </t>
        </is>
      </c>
      <c r="F11024" s="3" t="inlineStr">
        <is>
          <t>아톤</t>
        </is>
      </c>
      <c r="G11024" s="2" t="inlineStr">
        <is>
          <t>20260612900627</t>
        </is>
      </c>
      <c r="H11024" s="8">
        <f>HYPERLINK("https://dart.fss.or.kr/dsaf001/main.do?rcpNo=20260612900627", "공시열람")</f>
        <v/>
      </c>
    </row>
    <row r="11025">
      <c r="A11025" s="2" t="inlineStr">
        <is>
          <t>2026-06-12</t>
        </is>
      </c>
      <c r="B11025" s="3" t="inlineStr">
        <is>
          <t>대신증권</t>
        </is>
      </c>
      <c r="C11025" s="2" t="inlineStr">
        <is>
          <t>코스피</t>
        </is>
      </c>
      <c r="D11025" s="2" t="inlineStr">
        <is>
          <t>003540</t>
        </is>
      </c>
      <c r="E11025" s="3" t="inlineStr">
        <is>
          <t>증권발행실적보고서</t>
        </is>
      </c>
      <c r="F11025" s="3" t="inlineStr">
        <is>
          <t>대신증권</t>
        </is>
      </c>
      <c r="G11025" s="2" t="inlineStr">
        <is>
          <t>20260612000409</t>
        </is>
      </c>
      <c r="H11025" s="8">
        <f>HYPERLINK("https://dart.fss.or.kr/dsaf001/main.do?rcpNo=20260612000409", "공시열람")</f>
        <v/>
      </c>
    </row>
    <row r="11026">
      <c r="A11026" s="2" t="inlineStr">
        <is>
          <t>2026-06-12</t>
        </is>
      </c>
      <c r="B11026" s="3" t="inlineStr">
        <is>
          <t>HLB제넥스</t>
        </is>
      </c>
      <c r="C11026" s="2" t="inlineStr">
        <is>
          <t>코스닥</t>
        </is>
      </c>
      <c r="D11026" s="2" t="inlineStr">
        <is>
          <t>187420</t>
        </is>
      </c>
      <c r="E11026" s="3" t="inlineStr">
        <is>
          <t xml:space="preserve">전환가액의조정              </t>
        </is>
      </c>
      <c r="F11026" s="3" t="inlineStr">
        <is>
          <t>HLB제넥스</t>
        </is>
      </c>
      <c r="G11026" s="2" t="inlineStr">
        <is>
          <t>20260612900620</t>
        </is>
      </c>
      <c r="H11026" s="8">
        <f>HYPERLINK("https://dart.fss.or.kr/dsaf001/main.do?rcpNo=20260612900620", "공시열람")</f>
        <v/>
      </c>
    </row>
    <row r="11027">
      <c r="A11027" s="2" t="inlineStr">
        <is>
          <t>2026-06-12</t>
        </is>
      </c>
      <c r="B11027" s="3" t="inlineStr">
        <is>
          <t>DB증권</t>
        </is>
      </c>
      <c r="C11027" s="2" t="inlineStr">
        <is>
          <t>코스피</t>
        </is>
      </c>
      <c r="D11027" s="2" t="inlineStr">
        <is>
          <t>016610</t>
        </is>
      </c>
      <c r="E11027" s="3" t="inlineStr">
        <is>
          <t>증권발행실적보고서</t>
        </is>
      </c>
      <c r="F11027" s="3" t="inlineStr">
        <is>
          <t>DB증권</t>
        </is>
      </c>
      <c r="G11027" s="2" t="inlineStr">
        <is>
          <t>20260612000408</t>
        </is>
      </c>
      <c r="H11027" s="8">
        <f>HYPERLINK("https://dart.fss.or.kr/dsaf001/main.do?rcpNo=20260612000408", "공시열람")</f>
        <v/>
      </c>
    </row>
    <row r="11028">
      <c r="A11028" s="2" t="inlineStr">
        <is>
          <t>2026-06-12</t>
        </is>
      </c>
      <c r="B11028" s="3" t="inlineStr">
        <is>
          <t>동서</t>
        </is>
      </c>
      <c r="C11028" s="2" t="inlineStr">
        <is>
          <t>코스피</t>
        </is>
      </c>
      <c r="D11028" s="2" t="inlineStr">
        <is>
          <t>026960</t>
        </is>
      </c>
      <c r="E11028" s="3" t="inlineStr">
        <is>
          <t>임원ㆍ주요주주특정증권등소유상황보고서</t>
        </is>
      </c>
      <c r="F11028" s="3" t="inlineStr">
        <is>
          <t>김상헌</t>
        </is>
      </c>
      <c r="G11028" s="2" t="inlineStr">
        <is>
          <t>20260612000407</t>
        </is>
      </c>
      <c r="H11028" s="8">
        <f>HYPERLINK("https://dart.fss.or.kr/dsaf001/main.do?rcpNo=20260612000407", "공시열람")</f>
        <v/>
      </c>
    </row>
    <row r="11029">
      <c r="A11029" s="2" t="inlineStr">
        <is>
          <t>2026-06-12</t>
        </is>
      </c>
      <c r="B11029" s="3" t="inlineStr">
        <is>
          <t>액토즈소프트</t>
        </is>
      </c>
      <c r="C11029" s="2" t="inlineStr">
        <is>
          <t>코스닥</t>
        </is>
      </c>
      <c r="D11029" s="2" t="inlineStr">
        <is>
          <t>052790</t>
        </is>
      </c>
      <c r="E11029" s="3" t="inlineStr">
        <is>
          <t xml:space="preserve">소송등의판결ㆍ결정(일정금액이상의청구)              </t>
        </is>
      </c>
      <c r="F11029" s="3" t="inlineStr">
        <is>
          <t>액토즈소프트</t>
        </is>
      </c>
      <c r="G11029" s="2" t="inlineStr">
        <is>
          <t>20260612900616</t>
        </is>
      </c>
      <c r="H11029" s="8">
        <f>HYPERLINK("https://dart.fss.or.kr/dsaf001/main.do?rcpNo=20260612900616", "공시열람")</f>
        <v/>
      </c>
    </row>
    <row r="11030">
      <c r="A11030" s="2" t="inlineStr">
        <is>
          <t>2026-06-12</t>
        </is>
      </c>
      <c r="B11030" s="3" t="inlineStr">
        <is>
          <t>DB증권</t>
        </is>
      </c>
      <c r="C11030" s="2" t="inlineStr">
        <is>
          <t>코스피</t>
        </is>
      </c>
      <c r="D11030" s="2" t="inlineStr">
        <is>
          <t>016610</t>
        </is>
      </c>
      <c r="E11030" s="3" t="inlineStr">
        <is>
          <t>증권발행실적보고서</t>
        </is>
      </c>
      <c r="F11030" s="3" t="inlineStr">
        <is>
          <t>DB증권</t>
        </is>
      </c>
      <c r="G11030" s="2" t="inlineStr">
        <is>
          <t>20260612000404</t>
        </is>
      </c>
      <c r="H11030" s="8">
        <f>HYPERLINK("https://dart.fss.or.kr/dsaf001/main.do?rcpNo=20260612000404", "공시열람")</f>
        <v/>
      </c>
    </row>
    <row r="11031">
      <c r="A11031" s="2" t="inlineStr">
        <is>
          <t>2026-06-12</t>
        </is>
      </c>
      <c r="B11031" s="3" t="inlineStr">
        <is>
          <t>키움증권</t>
        </is>
      </c>
      <c r="C11031" s="2" t="inlineStr">
        <is>
          <t>코스피</t>
        </is>
      </c>
      <c r="D11031" s="2" t="inlineStr">
        <is>
          <t>039490</t>
        </is>
      </c>
      <c r="E11031" s="3" t="inlineStr">
        <is>
          <t>증권발행실적보고서</t>
        </is>
      </c>
      <c r="F11031" s="3" t="inlineStr">
        <is>
          <t>키움증권</t>
        </is>
      </c>
      <c r="G11031" s="2" t="inlineStr">
        <is>
          <t>20260612000400</t>
        </is>
      </c>
      <c r="H11031" s="8">
        <f>HYPERLINK("https://dart.fss.or.kr/dsaf001/main.do?rcpNo=20260612000400", "공시열람")</f>
        <v/>
      </c>
    </row>
    <row r="11032">
      <c r="A11032" s="2" t="inlineStr">
        <is>
          <t>2026-06-12</t>
        </is>
      </c>
      <c r="B11032" s="3" t="inlineStr">
        <is>
          <t>모바일어플라이언스</t>
        </is>
      </c>
      <c r="C11032" s="2" t="inlineStr">
        <is>
          <t>코스닥</t>
        </is>
      </c>
      <c r="D11032" s="2" t="inlineStr">
        <is>
          <t>087260</t>
        </is>
      </c>
      <c r="E11032" s="3" t="inlineStr">
        <is>
          <t xml:space="preserve">대표집행임원변경              </t>
        </is>
      </c>
      <c r="F11032" s="3" t="inlineStr">
        <is>
          <t>모바일어플라이언스</t>
        </is>
      </c>
      <c r="G11032" s="2" t="inlineStr">
        <is>
          <t>20260612900609</t>
        </is>
      </c>
      <c r="H11032" s="8">
        <f>HYPERLINK("https://dart.fss.or.kr/dsaf001/main.do?rcpNo=20260612900609", "공시열람")</f>
        <v/>
      </c>
    </row>
    <row r="11033">
      <c r="A11033" s="2" t="inlineStr">
        <is>
          <t>2026-06-12</t>
        </is>
      </c>
      <c r="B11033" s="3" t="inlineStr">
        <is>
          <t>이노스페이스</t>
        </is>
      </c>
      <c r="C11033" s="2" t="inlineStr">
        <is>
          <t>코스닥</t>
        </is>
      </c>
      <c r="D11033" s="2" t="inlineStr">
        <is>
          <t>462350</t>
        </is>
      </c>
      <c r="E11033" s="3" t="inlineStr">
        <is>
          <t>증권발행실적보고서</t>
        </is>
      </c>
      <c r="F11033" s="3" t="inlineStr">
        <is>
          <t>이노스페이스</t>
        </is>
      </c>
      <c r="G11033" s="2" t="inlineStr">
        <is>
          <t>20260612000392</t>
        </is>
      </c>
      <c r="H11033" s="8">
        <f>HYPERLINK("https://dart.fss.or.kr/dsaf001/main.do?rcpNo=20260612000392", "공시열람")</f>
        <v/>
      </c>
    </row>
    <row r="11034">
      <c r="A11034" s="2" t="inlineStr">
        <is>
          <t>2026-06-12</t>
        </is>
      </c>
      <c r="B11034" s="3" t="inlineStr">
        <is>
          <t>HLB이노베이션</t>
        </is>
      </c>
      <c r="C11034" s="2" t="inlineStr">
        <is>
          <t>코스닥</t>
        </is>
      </c>
      <c r="D11034" s="2" t="inlineStr">
        <is>
          <t>024850</t>
        </is>
      </c>
      <c r="E11034" s="3" t="inlineStr">
        <is>
          <t xml:space="preserve">기업설명회(IR)개최              </t>
        </is>
      </c>
      <c r="F11034" s="3" t="inlineStr">
        <is>
          <t>HLB이노베이션</t>
        </is>
      </c>
      <c r="G11034" s="2" t="inlineStr">
        <is>
          <t>20260612900600</t>
        </is>
      </c>
      <c r="H11034" s="8">
        <f>HYPERLINK("https://dart.fss.or.kr/dsaf001/main.do?rcpNo=20260612900600", "공시열람")</f>
        <v/>
      </c>
    </row>
    <row r="11035">
      <c r="A11035" s="2" t="inlineStr">
        <is>
          <t>2026-06-12</t>
        </is>
      </c>
      <c r="B11035" s="3" t="inlineStr">
        <is>
          <t>하이퍼코퍼레이션</t>
        </is>
      </c>
      <c r="C11035" s="2" t="inlineStr">
        <is>
          <t>코스닥</t>
        </is>
      </c>
      <c r="D11035" s="2" t="inlineStr">
        <is>
          <t>065650</t>
        </is>
      </c>
      <c r="E11035" s="3" t="inlineStr">
        <is>
          <t xml:space="preserve">본점소재지변경              </t>
        </is>
      </c>
      <c r="F11035" s="3" t="inlineStr">
        <is>
          <t>하이퍼코퍼레이션</t>
        </is>
      </c>
      <c r="G11035" s="2" t="inlineStr">
        <is>
          <t>20260612900594</t>
        </is>
      </c>
      <c r="H11035" s="8">
        <f>HYPERLINK("https://dart.fss.or.kr/dsaf001/main.do?rcpNo=20260612900594", "공시열람")</f>
        <v/>
      </c>
    </row>
    <row r="11036">
      <c r="A11036" s="2" t="inlineStr">
        <is>
          <t>2026-06-12</t>
        </is>
      </c>
      <c r="B11036" s="3" t="inlineStr">
        <is>
          <t>에스엠벡셀</t>
        </is>
      </c>
      <c r="C11036" s="2" t="inlineStr">
        <is>
          <t>코스피</t>
        </is>
      </c>
      <c r="D11036" s="2" t="inlineStr">
        <is>
          <t>010580</t>
        </is>
      </c>
      <c r="E11036" s="3" t="inlineStr">
        <is>
          <t>임원ㆍ주요주주특정증권등소유상황보고서</t>
        </is>
      </c>
      <c r="F11036" s="3" t="inlineStr">
        <is>
          <t>에스엠하이플러스</t>
        </is>
      </c>
      <c r="G11036" s="2" t="inlineStr">
        <is>
          <t>20260612000389</t>
        </is>
      </c>
      <c r="H11036" s="8">
        <f>HYPERLINK("https://dart.fss.or.kr/dsaf001/main.do?rcpNo=20260612000389", "공시열람")</f>
        <v/>
      </c>
    </row>
    <row r="11037">
      <c r="A11037" s="2" t="inlineStr">
        <is>
          <t>2026-06-12</t>
        </is>
      </c>
      <c r="B11037" s="3" t="inlineStr">
        <is>
          <t>이노스페이스</t>
        </is>
      </c>
      <c r="C11037" s="2" t="inlineStr">
        <is>
          <t>코스닥</t>
        </is>
      </c>
      <c r="D11037" s="2" t="inlineStr">
        <is>
          <t>462350</t>
        </is>
      </c>
      <c r="E11037" s="3" t="inlineStr">
        <is>
          <t>증권발행결과(자율공시)              (주주배정후 실권주 일반공모)</t>
        </is>
      </c>
      <c r="F11037" s="3" t="inlineStr">
        <is>
          <t>이노스페이스</t>
        </is>
      </c>
      <c r="G11037" s="2" t="inlineStr">
        <is>
          <t>20260612900584</t>
        </is>
      </c>
      <c r="H11037" s="8">
        <f>HYPERLINK("https://dart.fss.or.kr/dsaf001/main.do?rcpNo=20260612900584", "공시열람")</f>
        <v/>
      </c>
    </row>
    <row r="11038">
      <c r="A11038" s="2" t="inlineStr">
        <is>
          <t>2026-06-12</t>
        </is>
      </c>
      <c r="B11038" s="3" t="inlineStr">
        <is>
          <t>진원생명과학</t>
        </is>
      </c>
      <c r="C11038" s="2" t="inlineStr">
        <is>
          <t>코스피</t>
        </is>
      </c>
      <c r="D11038" s="2" t="inlineStr">
        <is>
          <t>011000</t>
        </is>
      </c>
      <c r="E11038" s="3" t="inlineStr">
        <is>
          <t xml:space="preserve">대표이사(대표집행임원)변경(안내공시)              </t>
        </is>
      </c>
      <c r="F11038" s="3" t="inlineStr">
        <is>
          <t>진원생명과학</t>
        </is>
      </c>
      <c r="G11038" s="2" t="inlineStr">
        <is>
          <t>20260612800589</t>
        </is>
      </c>
      <c r="H11038" s="8">
        <f>HYPERLINK("https://dart.fss.or.kr/dsaf001/main.do?rcpNo=20260612800589", "공시열람")</f>
        <v/>
      </c>
    </row>
    <row r="11039">
      <c r="A11039" s="2" t="inlineStr">
        <is>
          <t>2026-06-12</t>
        </is>
      </c>
      <c r="B11039" s="3" t="inlineStr">
        <is>
          <t>엔피케이</t>
        </is>
      </c>
      <c r="C11039" s="2" t="inlineStr">
        <is>
          <t>코스닥</t>
        </is>
      </c>
      <c r="D11039" s="2" t="inlineStr">
        <is>
          <t>048830</t>
        </is>
      </c>
      <c r="E11039" s="3" t="inlineStr">
        <is>
          <t>임원ㆍ주요주주특정증권등소유상황보고서</t>
        </is>
      </c>
      <c r="F11039" s="3" t="inlineStr">
        <is>
          <t>최윤혁</t>
        </is>
      </c>
      <c r="G11039" s="2" t="inlineStr">
        <is>
          <t>20260612000387</t>
        </is>
      </c>
      <c r="H11039" s="8">
        <f>HYPERLINK("https://dart.fss.or.kr/dsaf001/main.do?rcpNo=20260612000387", "공시열람")</f>
        <v/>
      </c>
    </row>
    <row r="11040">
      <c r="A11040" s="2" t="inlineStr">
        <is>
          <t>2026-06-12</t>
        </is>
      </c>
      <c r="B11040" s="3" t="inlineStr">
        <is>
          <t>현대사료</t>
        </is>
      </c>
      <c r="C11040" s="2" t="inlineStr">
        <is>
          <t>코스닥</t>
        </is>
      </c>
      <c r="D11040" s="2" t="inlineStr">
        <is>
          <t>016790</t>
        </is>
      </c>
      <c r="E11040" s="3" t="inlineStr">
        <is>
          <t>기타경영사항(자율공시)              (상장폐지결정 효력정지 가처분 신청)</t>
        </is>
      </c>
      <c r="F11040" s="3" t="inlineStr">
        <is>
          <t>현대사료</t>
        </is>
      </c>
      <c r="G11040" s="2" t="inlineStr">
        <is>
          <t>20260612900555</t>
        </is>
      </c>
      <c r="H11040" s="8">
        <f>HYPERLINK("https://dart.fss.or.kr/dsaf001/main.do?rcpNo=20260612900555", "공시열람")</f>
        <v/>
      </c>
    </row>
    <row r="11041">
      <c r="A11041" s="2" t="inlineStr">
        <is>
          <t>2026-06-12</t>
        </is>
      </c>
      <c r="B11041" s="3" t="inlineStr">
        <is>
          <t>SK증권</t>
        </is>
      </c>
      <c r="C11041" s="2" t="inlineStr">
        <is>
          <t>코스피</t>
        </is>
      </c>
      <c r="D11041" s="2" t="inlineStr">
        <is>
          <t>001510</t>
        </is>
      </c>
      <c r="E11041" s="3" t="inlineStr">
        <is>
          <t>증권발행실적보고서</t>
        </is>
      </c>
      <c r="F11041" s="3" t="inlineStr">
        <is>
          <t>SK증권</t>
        </is>
      </c>
      <c r="G11041" s="2" t="inlineStr">
        <is>
          <t>20260612000384</t>
        </is>
      </c>
      <c r="H11041" s="8">
        <f>HYPERLINK("https://dart.fss.or.kr/dsaf001/main.do?rcpNo=20260612000384", "공시열람")</f>
        <v/>
      </c>
    </row>
    <row r="11042">
      <c r="A11042" s="2" t="inlineStr">
        <is>
          <t>2026-06-12</t>
        </is>
      </c>
      <c r="B11042" s="3" t="inlineStr">
        <is>
          <t>현대로템</t>
        </is>
      </c>
      <c r="C11042" s="2" t="inlineStr">
        <is>
          <t>코스피</t>
        </is>
      </c>
      <c r="D11042" s="2" t="inlineStr">
        <is>
          <t>064350</t>
        </is>
      </c>
      <c r="E11042" s="3" t="inlineStr">
        <is>
          <t>특수관계인에대한출자</t>
        </is>
      </c>
      <c r="F11042" s="3" t="inlineStr">
        <is>
          <t>현대로템</t>
        </is>
      </c>
      <c r="G11042" s="2" t="inlineStr">
        <is>
          <t>20260612000382</t>
        </is>
      </c>
      <c r="H11042" s="8">
        <f>HYPERLINK("https://dart.fss.or.kr/dsaf001/main.do?rcpNo=20260612000382", "공시열람")</f>
        <v/>
      </c>
    </row>
    <row r="11043">
      <c r="A11043" s="2" t="inlineStr">
        <is>
          <t>2026-06-12</t>
        </is>
      </c>
      <c r="B11043" s="3" t="inlineStr">
        <is>
          <t>현대로템</t>
        </is>
      </c>
      <c r="C11043" s="2" t="inlineStr">
        <is>
          <t>코스피</t>
        </is>
      </c>
      <c r="D11043" s="2" t="inlineStr">
        <is>
          <t>064350</t>
        </is>
      </c>
      <c r="E11043" s="3" t="inlineStr">
        <is>
          <t>약관에의한금융거래시계열금융회사의거래상대방의공시</t>
        </is>
      </c>
      <c r="F11043" s="3" t="inlineStr">
        <is>
          <t>현대로템</t>
        </is>
      </c>
      <c r="G11043" s="2" t="inlineStr">
        <is>
          <t>20260612000378</t>
        </is>
      </c>
      <c r="H11043" s="8">
        <f>HYPERLINK("https://dart.fss.or.kr/dsaf001/main.do?rcpNo=20260612000378", "공시열람")</f>
        <v/>
      </c>
    </row>
    <row r="11044">
      <c r="A11044" s="2" t="inlineStr">
        <is>
          <t>2026-06-12</t>
        </is>
      </c>
      <c r="B11044" s="3" t="inlineStr">
        <is>
          <t>엔피케이</t>
        </is>
      </c>
      <c r="C11044" s="2" t="inlineStr">
        <is>
          <t>코스닥</t>
        </is>
      </c>
      <c r="D11044" s="2" t="inlineStr">
        <is>
          <t>048830</t>
        </is>
      </c>
      <c r="E11044" s="3" t="inlineStr">
        <is>
          <t>임원ㆍ주요주주특정증권등소유상황보고서</t>
        </is>
      </c>
      <c r="F11044" s="3" t="inlineStr">
        <is>
          <t>최상건</t>
        </is>
      </c>
      <c r="G11044" s="2" t="inlineStr">
        <is>
          <t>20260612000377</t>
        </is>
      </c>
      <c r="H11044" s="8">
        <f>HYPERLINK("https://dart.fss.or.kr/dsaf001/main.do?rcpNo=20260612000377", "공시열람")</f>
        <v/>
      </c>
    </row>
    <row r="11045">
      <c r="A11045" s="2" t="inlineStr">
        <is>
          <t>2026-06-12</t>
        </is>
      </c>
      <c r="B11045" s="3" t="inlineStr">
        <is>
          <t>미래에셋증권</t>
        </is>
      </c>
      <c r="C11045" s="2" t="inlineStr">
        <is>
          <t>코스피</t>
        </is>
      </c>
      <c r="D11045" s="2" t="inlineStr">
        <is>
          <t>006800</t>
        </is>
      </c>
      <c r="E11045" s="3" t="inlineStr">
        <is>
          <t>증권발행실적보고서</t>
        </is>
      </c>
      <c r="F11045" s="3" t="inlineStr">
        <is>
          <t>미래에셋증권</t>
        </is>
      </c>
      <c r="G11045" s="2" t="inlineStr">
        <is>
          <t>20260612000373</t>
        </is>
      </c>
      <c r="H11045" s="8">
        <f>HYPERLINK("https://dart.fss.or.kr/dsaf001/main.do?rcpNo=20260612000373", "공시열람")</f>
        <v/>
      </c>
    </row>
    <row r="11046">
      <c r="A11046" s="2" t="inlineStr">
        <is>
          <t>2026-06-12</t>
        </is>
      </c>
      <c r="B11046" s="3" t="inlineStr">
        <is>
          <t>태림포장</t>
        </is>
      </c>
      <c r="C11046" s="2" t="inlineStr">
        <is>
          <t>코스피</t>
        </is>
      </c>
      <c r="D11046" s="2" t="inlineStr">
        <is>
          <t>011280</t>
        </is>
      </c>
      <c r="E11046" s="3" t="inlineStr">
        <is>
          <t>임원ㆍ주요주주특정증권등소유상황보고서</t>
        </is>
      </c>
      <c r="F11046" s="3" t="inlineStr">
        <is>
          <t>태림페이퍼</t>
        </is>
      </c>
      <c r="G11046" s="2" t="inlineStr">
        <is>
          <t>20260612000372</t>
        </is>
      </c>
      <c r="H11046" s="8">
        <f>HYPERLINK("https://dart.fss.or.kr/dsaf001/main.do?rcpNo=20260612000372", "공시열람")</f>
        <v/>
      </c>
    </row>
    <row r="11047">
      <c r="A11047" s="2" t="inlineStr">
        <is>
          <t>2026-06-12</t>
        </is>
      </c>
      <c r="B11047" s="3" t="inlineStr">
        <is>
          <t>대화제약</t>
        </is>
      </c>
      <c r="C11047" s="2" t="inlineStr">
        <is>
          <t>코스닥</t>
        </is>
      </c>
      <c r="D11047" s="2" t="inlineStr">
        <is>
          <t>067080</t>
        </is>
      </c>
      <c r="E11047" s="3" t="inlineStr">
        <is>
          <t>임원ㆍ주요주주특정증권등소유상황보고서</t>
        </is>
      </c>
      <c r="F11047" s="3" t="inlineStr">
        <is>
          <t>김은석</t>
        </is>
      </c>
      <c r="G11047" s="2" t="inlineStr">
        <is>
          <t>20260612000371</t>
        </is>
      </c>
      <c r="H11047" s="8">
        <f>HYPERLINK("https://dart.fss.or.kr/dsaf001/main.do?rcpNo=20260612000371", "공시열람")</f>
        <v/>
      </c>
    </row>
    <row r="11048">
      <c r="A11048" s="2" t="inlineStr">
        <is>
          <t>2026-06-12</t>
        </is>
      </c>
      <c r="B11048" s="3" t="inlineStr">
        <is>
          <t>삼성카드</t>
        </is>
      </c>
      <c r="C11048" s="2" t="inlineStr">
        <is>
          <t>코스피</t>
        </is>
      </c>
      <c r="D11048" s="2" t="inlineStr">
        <is>
          <t>029780</t>
        </is>
      </c>
      <c r="E11048" s="3" t="inlineStr">
        <is>
          <t>[기재정정]일괄신고서</t>
        </is>
      </c>
      <c r="F11048" s="3" t="inlineStr">
        <is>
          <t>삼성카드</t>
        </is>
      </c>
      <c r="G11048" s="2" t="inlineStr">
        <is>
          <t>20260612000367</t>
        </is>
      </c>
      <c r="H11048" s="8">
        <f>HYPERLINK("https://dart.fss.or.kr/dsaf001/main.do?rcpNo=20260612000367", "공시열람")</f>
        <v/>
      </c>
    </row>
    <row r="11049">
      <c r="A11049" s="2" t="inlineStr">
        <is>
          <t>2026-06-12</t>
        </is>
      </c>
      <c r="B11049" s="3" t="inlineStr">
        <is>
          <t>알로이스</t>
        </is>
      </c>
      <c r="C11049" s="2" t="inlineStr">
        <is>
          <t>코스닥</t>
        </is>
      </c>
      <c r="D11049" s="2" t="inlineStr">
        <is>
          <t>297570</t>
        </is>
      </c>
      <c r="E11049" s="3" t="inlineStr">
        <is>
          <t>사외이사의선임ㆍ해임또는중도퇴임에관한신고</t>
        </is>
      </c>
      <c r="F11049" s="3" t="inlineStr">
        <is>
          <t>알로이스</t>
        </is>
      </c>
      <c r="G11049" s="2" t="inlineStr">
        <is>
          <t>20260612000365</t>
        </is>
      </c>
      <c r="H11049" s="8">
        <f>HYPERLINK("https://dart.fss.or.kr/dsaf001/main.do?rcpNo=20260612000365", "공시열람")</f>
        <v/>
      </c>
    </row>
    <row r="11050">
      <c r="A11050" s="2" t="inlineStr">
        <is>
          <t>2026-06-12</t>
        </is>
      </c>
      <c r="B11050" s="3" t="inlineStr">
        <is>
          <t>미래에셋증권</t>
        </is>
      </c>
      <c r="C11050" s="2" t="inlineStr">
        <is>
          <t>코스피</t>
        </is>
      </c>
      <c r="D11050" s="2" t="inlineStr">
        <is>
          <t>006800</t>
        </is>
      </c>
      <c r="E11050" s="3" t="inlineStr">
        <is>
          <t>증권발행실적보고서</t>
        </is>
      </c>
      <c r="F11050" s="3" t="inlineStr">
        <is>
          <t>미래에셋증권</t>
        </is>
      </c>
      <c r="G11050" s="2" t="inlineStr">
        <is>
          <t>20260612000364</t>
        </is>
      </c>
      <c r="H11050" s="8">
        <f>HYPERLINK("https://dart.fss.or.kr/dsaf001/main.do?rcpNo=20260612000364", "공시열람")</f>
        <v/>
      </c>
    </row>
    <row r="11051">
      <c r="A11051" s="2" t="inlineStr">
        <is>
          <t>2026-06-12</t>
        </is>
      </c>
      <c r="B11051" s="3" t="inlineStr">
        <is>
          <t>현대차증권</t>
        </is>
      </c>
      <c r="C11051" s="2" t="inlineStr">
        <is>
          <t>코스피</t>
        </is>
      </c>
      <c r="D11051" s="2" t="inlineStr">
        <is>
          <t>001500</t>
        </is>
      </c>
      <c r="E11051" s="3" t="inlineStr">
        <is>
          <t>증권발행실적보고서</t>
        </is>
      </c>
      <c r="F11051" s="3" t="inlineStr">
        <is>
          <t>현대차증권</t>
        </is>
      </c>
      <c r="G11051" s="2" t="inlineStr">
        <is>
          <t>20260612000362</t>
        </is>
      </c>
      <c r="H11051" s="8">
        <f>HYPERLINK("https://dart.fss.or.kr/dsaf001/main.do?rcpNo=20260612000362", "공시열람")</f>
        <v/>
      </c>
    </row>
    <row r="11052">
      <c r="A11052" s="2" t="inlineStr">
        <is>
          <t>2026-06-12</t>
        </is>
      </c>
      <c r="B11052" s="3" t="inlineStr">
        <is>
          <t>알로이스</t>
        </is>
      </c>
      <c r="C11052" s="2" t="inlineStr">
        <is>
          <t>코스닥</t>
        </is>
      </c>
      <c r="D11052" s="2" t="inlineStr">
        <is>
          <t>297570</t>
        </is>
      </c>
      <c r="E11052" s="3" t="inlineStr">
        <is>
          <t xml:space="preserve">상호변경안내              </t>
        </is>
      </c>
      <c r="F11052" s="3" t="inlineStr">
        <is>
          <t>알로이스</t>
        </is>
      </c>
      <c r="G11052" s="2" t="inlineStr">
        <is>
          <t>20260612900563</t>
        </is>
      </c>
      <c r="H11052" s="8">
        <f>HYPERLINK("https://dart.fss.or.kr/dsaf001/main.do?rcpNo=20260612900563", "공시열람")</f>
        <v/>
      </c>
    </row>
    <row r="11053">
      <c r="A11053" s="2" t="inlineStr">
        <is>
          <t>2026-06-12</t>
        </is>
      </c>
      <c r="B11053" s="3" t="inlineStr">
        <is>
          <t>피에스텍</t>
        </is>
      </c>
      <c r="C11053" s="2" t="inlineStr">
        <is>
          <t>코스닥</t>
        </is>
      </c>
      <c r="D11053" s="2" t="inlineStr">
        <is>
          <t>002230</t>
        </is>
      </c>
      <c r="E11053" s="3" t="inlineStr">
        <is>
          <t>현금ㆍ현물배당결정              (분기배당)</t>
        </is>
      </c>
      <c r="F11053" s="3" t="inlineStr">
        <is>
          <t>피에스텍</t>
        </is>
      </c>
      <c r="G11053" s="2" t="inlineStr">
        <is>
          <t>20260612900526</t>
        </is>
      </c>
      <c r="H11053" s="8">
        <f>HYPERLINK("https://dart.fss.or.kr/dsaf001/main.do?rcpNo=20260612900526", "공시열람")</f>
        <v/>
      </c>
    </row>
    <row r="11054">
      <c r="A11054" s="2" t="inlineStr">
        <is>
          <t>2026-06-12</t>
        </is>
      </c>
      <c r="B11054" s="3" t="inlineStr">
        <is>
          <t>한화솔루션</t>
        </is>
      </c>
      <c r="C11054" s="2" t="inlineStr">
        <is>
          <t>코스피</t>
        </is>
      </c>
      <c r="D11054" s="2" t="inlineStr">
        <is>
          <t>009830</t>
        </is>
      </c>
      <c r="E11054" s="3" t="inlineStr">
        <is>
          <t>[발행조건확정]증권신고서(지분증권)</t>
        </is>
      </c>
      <c r="F11054" s="3" t="inlineStr">
        <is>
          <t>한화솔루션</t>
        </is>
      </c>
      <c r="G11054" s="2" t="inlineStr">
        <is>
          <t>20260612000354</t>
        </is>
      </c>
      <c r="H11054" s="8">
        <f>HYPERLINK("https://dart.fss.or.kr/dsaf001/main.do?rcpNo=20260612000354", "공시열람")</f>
        <v/>
      </c>
    </row>
    <row r="11055">
      <c r="A11055" s="2" t="inlineStr">
        <is>
          <t>2026-06-12</t>
        </is>
      </c>
      <c r="B11055" s="3" t="inlineStr">
        <is>
          <t>E1</t>
        </is>
      </c>
      <c r="C11055" s="2" t="inlineStr">
        <is>
          <t>코스피</t>
        </is>
      </c>
      <c r="D11055" s="2" t="inlineStr">
        <is>
          <t>017940</t>
        </is>
      </c>
      <c r="E11055" s="3" t="inlineStr">
        <is>
          <t>약관에의한금융거래시계열금융회사의거래상대방의공시</t>
        </is>
      </c>
      <c r="F11055" s="3" t="inlineStr">
        <is>
          <t>E1</t>
        </is>
      </c>
      <c r="G11055" s="2" t="inlineStr">
        <is>
          <t>20260612000351</t>
        </is>
      </c>
      <c r="H11055" s="8">
        <f>HYPERLINK("https://dart.fss.or.kr/dsaf001/main.do?rcpNo=20260612000351", "공시열람")</f>
        <v/>
      </c>
    </row>
    <row r="11056">
      <c r="A11056" s="2" t="inlineStr">
        <is>
          <t>2026-06-12</t>
        </is>
      </c>
      <c r="B11056" s="3" t="inlineStr">
        <is>
          <t>이리츠코크렙</t>
        </is>
      </c>
      <c r="C11056" s="2" t="inlineStr">
        <is>
          <t>코스피</t>
        </is>
      </c>
      <c r="D11056" s="2" t="inlineStr">
        <is>
          <t>088260</t>
        </is>
      </c>
      <c r="E11056" s="3" t="inlineStr">
        <is>
          <t xml:space="preserve">주주명부폐쇄기간또는기준일설정              </t>
        </is>
      </c>
      <c r="F11056" s="3" t="inlineStr">
        <is>
          <t>이리츠코크렙</t>
        </is>
      </c>
      <c r="G11056" s="2" t="inlineStr">
        <is>
          <t>20260612800537</t>
        </is>
      </c>
      <c r="H11056" s="8">
        <f>HYPERLINK("https://dart.fss.or.kr/dsaf001/main.do?rcpNo=20260612800537", "공시열람")</f>
        <v/>
      </c>
    </row>
    <row r="11057">
      <c r="A11057" s="2" t="inlineStr">
        <is>
          <t>2026-06-12</t>
        </is>
      </c>
      <c r="B11057" s="3" t="inlineStr">
        <is>
          <t>NH투자증권</t>
        </is>
      </c>
      <c r="C11057" s="2" t="inlineStr">
        <is>
          <t>코스피</t>
        </is>
      </c>
      <c r="D11057" s="2" t="inlineStr">
        <is>
          <t>005940</t>
        </is>
      </c>
      <c r="E11057" s="3" t="inlineStr">
        <is>
          <t>증권발행실적보고서</t>
        </is>
      </c>
      <c r="F11057" s="3" t="inlineStr">
        <is>
          <t>NH투자증권</t>
        </is>
      </c>
      <c r="G11057" s="2" t="inlineStr">
        <is>
          <t>20260612000332</t>
        </is>
      </c>
      <c r="H11057" s="8">
        <f>HYPERLINK("https://dart.fss.or.kr/dsaf001/main.do?rcpNo=20260612000332", "공시열람")</f>
        <v/>
      </c>
    </row>
    <row r="11058">
      <c r="A11058" s="2" t="inlineStr">
        <is>
          <t>2026-06-12</t>
        </is>
      </c>
      <c r="B11058" s="3" t="inlineStr">
        <is>
          <t>폰드그룹</t>
        </is>
      </c>
      <c r="C11058" s="2" t="inlineStr">
        <is>
          <t>코스닥</t>
        </is>
      </c>
      <c r="D11058" s="2" t="inlineStr">
        <is>
          <t>472850</t>
        </is>
      </c>
      <c r="E11058" s="3" t="inlineStr">
        <is>
          <t>현금ㆍ현물배당결정              (분기배당)</t>
        </is>
      </c>
      <c r="F11058" s="3" t="inlineStr">
        <is>
          <t>폰드그룹</t>
        </is>
      </c>
      <c r="G11058" s="2" t="inlineStr">
        <is>
          <t>20260612900525</t>
        </is>
      </c>
      <c r="H11058" s="8">
        <f>HYPERLINK("https://dart.fss.or.kr/dsaf001/main.do?rcpNo=20260612900525", "공시열람")</f>
        <v/>
      </c>
    </row>
    <row r="11059">
      <c r="A11059" s="2" t="inlineStr">
        <is>
          <t>2026-06-12</t>
        </is>
      </c>
      <c r="B11059" s="3" t="inlineStr">
        <is>
          <t>폰드그룹</t>
        </is>
      </c>
      <c r="C11059" s="2" t="inlineStr">
        <is>
          <t>코스닥</t>
        </is>
      </c>
      <c r="D11059" s="2" t="inlineStr">
        <is>
          <t>472850</t>
        </is>
      </c>
      <c r="E11059" s="3" t="inlineStr">
        <is>
          <t xml:space="preserve">중간(분기)배당을위한주주명부폐쇄(기준일)결정              </t>
        </is>
      </c>
      <c r="F11059" s="3" t="inlineStr">
        <is>
          <t>폰드그룹</t>
        </is>
      </c>
      <c r="G11059" s="2" t="inlineStr">
        <is>
          <t>20260612900514</t>
        </is>
      </c>
      <c r="H11059" s="8">
        <f>HYPERLINK("https://dart.fss.or.kr/dsaf001/main.do?rcpNo=20260612900514", "공시열람")</f>
        <v/>
      </c>
    </row>
    <row r="11060">
      <c r="A11060" s="2" t="inlineStr">
        <is>
          <t>2026-06-12</t>
        </is>
      </c>
      <c r="B11060" s="3" t="inlineStr">
        <is>
          <t>하나금융지주</t>
        </is>
      </c>
      <c r="C11060" s="2" t="inlineStr">
        <is>
          <t>코스피</t>
        </is>
      </c>
      <c r="D11060" s="2" t="inlineStr">
        <is>
          <t>086790</t>
        </is>
      </c>
      <c r="E11060" s="3" t="inlineStr">
        <is>
          <t xml:space="preserve">기업설명회(IR)개최(안내공시)              </t>
        </is>
      </c>
      <c r="F11060" s="3" t="inlineStr">
        <is>
          <t>하나금융지주</t>
        </is>
      </c>
      <c r="G11060" s="2" t="inlineStr">
        <is>
          <t>20260612800535</t>
        </is>
      </c>
      <c r="H11060" s="8">
        <f>HYPERLINK("https://dart.fss.or.kr/dsaf001/main.do?rcpNo=20260612800535", "공시열람")</f>
        <v/>
      </c>
    </row>
    <row r="11061">
      <c r="A11061" s="2" t="inlineStr">
        <is>
          <t>2026-06-12</t>
        </is>
      </c>
      <c r="B11061" s="3" t="inlineStr">
        <is>
          <t>대동스틸</t>
        </is>
      </c>
      <c r="C11061" s="2" t="inlineStr">
        <is>
          <t>코스닥</t>
        </is>
      </c>
      <c r="D11061" s="2" t="inlineStr">
        <is>
          <t>048470</t>
        </is>
      </c>
      <c r="E11061" s="3" t="inlineStr">
        <is>
          <t>임원ㆍ주요주주특정증권등소유상황보고서</t>
        </is>
      </c>
      <c r="F11061" s="3" t="inlineStr">
        <is>
          <t>임지현</t>
        </is>
      </c>
      <c r="G11061" s="2" t="inlineStr">
        <is>
          <t>20260612000321</t>
        </is>
      </c>
      <c r="H11061" s="8">
        <f>HYPERLINK("https://dart.fss.or.kr/dsaf001/main.do?rcpNo=20260612000321", "공시열람")</f>
        <v/>
      </c>
    </row>
    <row r="11062">
      <c r="A11062" s="2" t="inlineStr">
        <is>
          <t>2026-06-12</t>
        </is>
      </c>
      <c r="B11062" s="3" t="inlineStr">
        <is>
          <t>CJ프레시웨이</t>
        </is>
      </c>
      <c r="C11062" s="2" t="inlineStr">
        <is>
          <t>코스닥</t>
        </is>
      </c>
      <c r="D11062" s="2" t="inlineStr">
        <is>
          <t>051500</t>
        </is>
      </c>
      <c r="E11062" s="3" t="inlineStr">
        <is>
          <t>임원ㆍ주요주주특정증권등소유상황보고서</t>
        </is>
      </c>
      <c r="F11062" s="3" t="inlineStr">
        <is>
          <t>임성철</t>
        </is>
      </c>
      <c r="G11062" s="2" t="inlineStr">
        <is>
          <t>20260612000308</t>
        </is>
      </c>
      <c r="H11062" s="8">
        <f>HYPERLINK("https://dart.fss.or.kr/dsaf001/main.do?rcpNo=20260612000308", "공시열람")</f>
        <v/>
      </c>
    </row>
    <row r="11063">
      <c r="A11063" s="2" t="inlineStr">
        <is>
          <t>2026-06-12</t>
        </is>
      </c>
      <c r="B11063" s="3" t="inlineStr">
        <is>
          <t>하나금융지주</t>
        </is>
      </c>
      <c r="C11063" s="2" t="inlineStr">
        <is>
          <t>코스피</t>
        </is>
      </c>
      <c r="D11063" s="2" t="inlineStr">
        <is>
          <t>086790</t>
        </is>
      </c>
      <c r="E11063" s="3" t="inlineStr">
        <is>
          <t>임원ㆍ주요주주특정증권등소유상황보고서</t>
        </is>
      </c>
      <c r="F11063" s="3" t="inlineStr">
        <is>
          <t>이재술</t>
        </is>
      </c>
      <c r="G11063" s="2" t="inlineStr">
        <is>
          <t>20260612000303</t>
        </is>
      </c>
      <c r="H11063" s="8">
        <f>HYPERLINK("https://dart.fss.or.kr/dsaf001/main.do?rcpNo=20260612000303", "공시열람")</f>
        <v/>
      </c>
    </row>
    <row r="11064">
      <c r="A11064" s="2" t="inlineStr">
        <is>
          <t>2026-06-12</t>
        </is>
      </c>
      <c r="B11064" s="3" t="inlineStr">
        <is>
          <t>동국제강</t>
        </is>
      </c>
      <c r="C11064" s="2" t="inlineStr">
        <is>
          <t>코스피</t>
        </is>
      </c>
      <c r="D11064" s="2" t="inlineStr">
        <is>
          <t>460860</t>
        </is>
      </c>
      <c r="E11064" s="3" t="inlineStr">
        <is>
          <t xml:space="preserve">주주명부폐쇄기간또는기준일설정              </t>
        </is>
      </c>
      <c r="F11064" s="3" t="inlineStr">
        <is>
          <t>동국제강</t>
        </is>
      </c>
      <c r="G11064" s="2" t="inlineStr">
        <is>
          <t>20260612800453</t>
        </is>
      </c>
      <c r="H11064" s="8">
        <f>HYPERLINK("https://dart.fss.or.kr/dsaf001/main.do?rcpNo=20260612800453", "공시열람")</f>
        <v/>
      </c>
    </row>
    <row r="11065">
      <c r="A11065" s="2" t="inlineStr">
        <is>
          <t>2026-06-12</t>
        </is>
      </c>
      <c r="B11065" s="3" t="inlineStr">
        <is>
          <t>미원상사</t>
        </is>
      </c>
      <c r="C11065" s="2" t="inlineStr">
        <is>
          <t>코스피</t>
        </is>
      </c>
      <c r="D11065" s="2" t="inlineStr">
        <is>
          <t>002840</t>
        </is>
      </c>
      <c r="E11065" s="3" t="inlineStr">
        <is>
          <t>임원ㆍ주요주주특정증권등소유상황보고서</t>
        </is>
      </c>
      <c r="F11065" s="3" t="inlineStr">
        <is>
          <t>미원상사우리사주</t>
        </is>
      </c>
      <c r="G11065" s="2" t="inlineStr">
        <is>
          <t>20260612000300</t>
        </is>
      </c>
      <c r="H11065" s="8">
        <f>HYPERLINK("https://dart.fss.or.kr/dsaf001/main.do?rcpNo=20260612000300", "공시열람")</f>
        <v/>
      </c>
    </row>
    <row r="11066">
      <c r="A11066" s="2" t="inlineStr">
        <is>
          <t>2026-06-12</t>
        </is>
      </c>
      <c r="B11066" s="3" t="inlineStr">
        <is>
          <t>동양생명</t>
        </is>
      </c>
      <c r="C11066" s="2" t="inlineStr">
        <is>
          <t>코스피</t>
        </is>
      </c>
      <c r="D11066" s="2" t="inlineStr">
        <is>
          <t>082640</t>
        </is>
      </c>
      <c r="E11066" s="3" t="inlineStr">
        <is>
          <t xml:space="preserve">기업설명회(IR)개최(안내공시)              </t>
        </is>
      </c>
      <c r="F11066" s="3" t="inlineStr">
        <is>
          <t>동양생명</t>
        </is>
      </c>
      <c r="G11066" s="2" t="inlineStr">
        <is>
          <t>20260612800517</t>
        </is>
      </c>
      <c r="H11066" s="8">
        <f>HYPERLINK("https://dart.fss.or.kr/dsaf001/main.do?rcpNo=20260612800517", "공시열람")</f>
        <v/>
      </c>
    </row>
    <row r="11067">
      <c r="A11067" s="2" t="inlineStr">
        <is>
          <t>2026-06-12</t>
        </is>
      </c>
      <c r="B11067" s="3" t="inlineStr">
        <is>
          <t>대동스틸</t>
        </is>
      </c>
      <c r="C11067" s="2" t="inlineStr">
        <is>
          <t>코스닥</t>
        </is>
      </c>
      <c r="D11067" s="2" t="inlineStr">
        <is>
          <t>048470</t>
        </is>
      </c>
      <c r="E11067" s="3" t="inlineStr">
        <is>
          <t>임원ㆍ주요주주특정증권등소유상황보고서</t>
        </is>
      </c>
      <c r="F11067" s="3" t="inlineStr">
        <is>
          <t>임주희</t>
        </is>
      </c>
      <c r="G11067" s="2" t="inlineStr">
        <is>
          <t>20260612000297</t>
        </is>
      </c>
      <c r="H11067" s="8">
        <f>HYPERLINK("https://dart.fss.or.kr/dsaf001/main.do?rcpNo=20260612000297", "공시열람")</f>
        <v/>
      </c>
    </row>
    <row r="11068">
      <c r="A11068" s="2" t="inlineStr">
        <is>
          <t>2026-06-12</t>
        </is>
      </c>
      <c r="B11068" s="3" t="inlineStr">
        <is>
          <t>한화투자증권</t>
        </is>
      </c>
      <c r="C11068" s="2" t="inlineStr">
        <is>
          <t>코스피</t>
        </is>
      </c>
      <c r="D11068" s="2" t="inlineStr">
        <is>
          <t>003530</t>
        </is>
      </c>
      <c r="E11068" s="3" t="inlineStr">
        <is>
          <t>증권발행실적보고서</t>
        </is>
      </c>
      <c r="F11068" s="3" t="inlineStr">
        <is>
          <t>한화투자증권</t>
        </is>
      </c>
      <c r="G11068" s="2" t="inlineStr">
        <is>
          <t>20260612000294</t>
        </is>
      </c>
      <c r="H11068" s="8">
        <f>HYPERLINK("https://dart.fss.or.kr/dsaf001/main.do?rcpNo=20260612000294", "공시열람")</f>
        <v/>
      </c>
    </row>
    <row r="11069">
      <c r="A11069" s="2" t="inlineStr">
        <is>
          <t>2026-06-12</t>
        </is>
      </c>
      <c r="B11069" s="3" t="inlineStr">
        <is>
          <t>HC홈센타</t>
        </is>
      </c>
      <c r="C11069" s="2" t="inlineStr">
        <is>
          <t>코스닥</t>
        </is>
      </c>
      <c r="D11069" s="2" t="inlineStr">
        <is>
          <t>060560</t>
        </is>
      </c>
      <c r="E11069" s="3" t="inlineStr">
        <is>
          <t xml:space="preserve">기업설명회(IR)개최              </t>
        </is>
      </c>
      <c r="F11069" s="3" t="inlineStr">
        <is>
          <t>HC홈센타</t>
        </is>
      </c>
      <c r="G11069" s="2" t="inlineStr">
        <is>
          <t>20260612900494</t>
        </is>
      </c>
      <c r="H11069" s="8">
        <f>HYPERLINK("https://dart.fss.or.kr/dsaf001/main.do?rcpNo=20260612900494", "공시열람")</f>
        <v/>
      </c>
    </row>
    <row r="11070">
      <c r="A11070" s="2" t="inlineStr">
        <is>
          <t>2026-06-12</t>
        </is>
      </c>
      <c r="B11070" s="3" t="inlineStr">
        <is>
          <t>피에스텍</t>
        </is>
      </c>
      <c r="C11070" s="2" t="inlineStr">
        <is>
          <t>코스닥</t>
        </is>
      </c>
      <c r="D11070" s="2" t="inlineStr">
        <is>
          <t>002230</t>
        </is>
      </c>
      <c r="E11070" s="3" t="inlineStr">
        <is>
          <t xml:space="preserve">중간(분기)배당을위한주주명부폐쇄(기준일)결정              </t>
        </is>
      </c>
      <c r="F11070" s="3" t="inlineStr">
        <is>
          <t>피에스텍</t>
        </is>
      </c>
      <c r="G11070" s="2" t="inlineStr">
        <is>
          <t>20260612900489</t>
        </is>
      </c>
      <c r="H11070" s="8">
        <f>HYPERLINK("https://dart.fss.or.kr/dsaf001/main.do?rcpNo=20260612900489", "공시열람")</f>
        <v/>
      </c>
    </row>
    <row r="11071">
      <c r="A11071" s="2" t="inlineStr">
        <is>
          <t>2026-06-12</t>
        </is>
      </c>
      <c r="B11071" s="3" t="inlineStr">
        <is>
          <t>비큐AI</t>
        </is>
      </c>
      <c r="C11071" s="2" t="inlineStr">
        <is>
          <t>코스닥</t>
        </is>
      </c>
      <c r="D11071" s="2" t="inlineStr">
        <is>
          <t>148780</t>
        </is>
      </c>
      <c r="E11071" s="3" t="inlineStr">
        <is>
          <t>의결권대리행사권유참고서류</t>
        </is>
      </c>
      <c r="F11071" s="3" t="inlineStr">
        <is>
          <t>비큐AI</t>
        </is>
      </c>
      <c r="G11071" s="2" t="inlineStr">
        <is>
          <t>20260612000285</t>
        </is>
      </c>
      <c r="H11071" s="8">
        <f>HYPERLINK("https://dart.fss.or.kr/dsaf001/main.do?rcpNo=20260612000285", "공시열람")</f>
        <v/>
      </c>
    </row>
    <row r="11072">
      <c r="A11072" s="2" t="inlineStr">
        <is>
          <t>2026-06-12</t>
        </is>
      </c>
      <c r="B11072" s="3" t="inlineStr">
        <is>
          <t>남양유업</t>
        </is>
      </c>
      <c r="C11072" s="2" t="inlineStr">
        <is>
          <t>코스피</t>
        </is>
      </c>
      <c r="D11072" s="2" t="inlineStr">
        <is>
          <t>003920</t>
        </is>
      </c>
      <c r="E11072" s="3" t="inlineStr">
        <is>
          <t>임원ㆍ주요주주특정증권등소유상황보고서</t>
        </is>
      </c>
      <c r="F11072" s="3" t="inlineStr">
        <is>
          <t>한앤코유업홀딩스</t>
        </is>
      </c>
      <c r="G11072" s="2" t="inlineStr">
        <is>
          <t>20260612000281</t>
        </is>
      </c>
      <c r="H11072" s="8">
        <f>HYPERLINK("https://dart.fss.or.kr/dsaf001/main.do?rcpNo=20260612000281", "공시열람")</f>
        <v/>
      </c>
    </row>
    <row r="11073">
      <c r="A11073" s="2" t="inlineStr">
        <is>
          <t>2026-06-12</t>
        </is>
      </c>
      <c r="B11073" s="3" t="inlineStr">
        <is>
          <t>세경하이테크</t>
        </is>
      </c>
      <c r="C11073" s="2" t="inlineStr">
        <is>
          <t>코스닥</t>
        </is>
      </c>
      <c r="D11073" s="2" t="inlineStr">
        <is>
          <t>148150</t>
        </is>
      </c>
      <c r="E11073" s="3" t="inlineStr">
        <is>
          <t>임원ㆍ주요주주특정증권등소유상황보고서</t>
        </is>
      </c>
      <c r="F11073" s="3" t="inlineStr">
        <is>
          <t>이은영</t>
        </is>
      </c>
      <c r="G11073" s="2" t="inlineStr">
        <is>
          <t>20260612000279</t>
        </is>
      </c>
      <c r="H11073" s="8">
        <f>HYPERLINK("https://dart.fss.or.kr/dsaf001/main.do?rcpNo=20260612000279", "공시열람")</f>
        <v/>
      </c>
    </row>
    <row r="11074">
      <c r="A11074" s="2" t="inlineStr">
        <is>
          <t>2026-06-12</t>
        </is>
      </c>
      <c r="B11074" s="3" t="inlineStr">
        <is>
          <t>티쓰리</t>
        </is>
      </c>
      <c r="C11074" s="2" t="inlineStr">
        <is>
          <t>코스닥</t>
        </is>
      </c>
      <c r="D11074" s="2" t="inlineStr">
        <is>
          <t>204610</t>
        </is>
      </c>
      <c r="E11074" s="3" t="inlineStr">
        <is>
          <t xml:space="preserve">기업설명회(IR)개최              </t>
        </is>
      </c>
      <c r="F11074" s="3" t="inlineStr">
        <is>
          <t>티쓰리</t>
        </is>
      </c>
      <c r="G11074" s="2" t="inlineStr">
        <is>
          <t>20260612900479</t>
        </is>
      </c>
      <c r="H11074" s="8">
        <f>HYPERLINK("https://dart.fss.or.kr/dsaf001/main.do?rcpNo=20260612900479", "공시열람")</f>
        <v/>
      </c>
    </row>
    <row r="11075">
      <c r="A11075" s="2" t="inlineStr">
        <is>
          <t>2026-06-12</t>
        </is>
      </c>
      <c r="B11075" s="3" t="inlineStr">
        <is>
          <t>포스코DX</t>
        </is>
      </c>
      <c r="C11075" s="2" t="inlineStr">
        <is>
          <t>코스피</t>
        </is>
      </c>
      <c r="D11075" s="2" t="inlineStr">
        <is>
          <t>022100</t>
        </is>
      </c>
      <c r="E11075" s="3" t="inlineStr">
        <is>
          <t>임원ㆍ주요주주특정증권등소유상황보고서</t>
        </is>
      </c>
      <c r="F11075" s="3" t="inlineStr">
        <is>
          <t>김미영</t>
        </is>
      </c>
      <c r="G11075" s="2" t="inlineStr">
        <is>
          <t>20260612000274</t>
        </is>
      </c>
      <c r="H11075" s="8">
        <f>HYPERLINK("https://dart.fss.or.kr/dsaf001/main.do?rcpNo=20260612000274", "공시열람")</f>
        <v/>
      </c>
    </row>
    <row r="11076">
      <c r="A11076" s="2" t="inlineStr">
        <is>
          <t>2026-06-12</t>
        </is>
      </c>
      <c r="B11076" s="3" t="inlineStr">
        <is>
          <t>해성옵틱스</t>
        </is>
      </c>
      <c r="C11076" s="2" t="inlineStr">
        <is>
          <t>코스닥</t>
        </is>
      </c>
      <c r="D11076" s="2" t="inlineStr">
        <is>
          <t>076610</t>
        </is>
      </c>
      <c r="E11076" s="3" t="inlineStr">
        <is>
          <t xml:space="preserve">증권발행결과(자율공시)              </t>
        </is>
      </c>
      <c r="F11076" s="3" t="inlineStr">
        <is>
          <t>해성옵틱스</t>
        </is>
      </c>
      <c r="G11076" s="2" t="inlineStr">
        <is>
          <t>20260612900493</t>
        </is>
      </c>
      <c r="H11076" s="8">
        <f>HYPERLINK("https://dart.fss.or.kr/dsaf001/main.do?rcpNo=20260612900493", "공시열람")</f>
        <v/>
      </c>
    </row>
    <row r="11077">
      <c r="A11077" s="2" t="inlineStr">
        <is>
          <t>2026-06-12</t>
        </is>
      </c>
      <c r="B11077" s="3" t="inlineStr">
        <is>
          <t>셀로맥스사이언스</t>
        </is>
      </c>
      <c r="C11077" s="2" t="inlineStr">
        <is>
          <t>코스닥</t>
        </is>
      </c>
      <c r="D11077" s="2" t="inlineStr">
        <is>
          <t>471820</t>
        </is>
      </c>
      <c r="E11077" s="3" t="inlineStr">
        <is>
          <t xml:space="preserve">중간(분기)배당을위한주주명부폐쇄(기준일)결정              </t>
        </is>
      </c>
      <c r="F11077" s="3" t="inlineStr">
        <is>
          <t>셀로맥스사이언스</t>
        </is>
      </c>
      <c r="G11077" s="2" t="inlineStr">
        <is>
          <t>20260612900483</t>
        </is>
      </c>
      <c r="H11077" s="8">
        <f>HYPERLINK("https://dart.fss.or.kr/dsaf001/main.do?rcpNo=20260612900483", "공시열람")</f>
        <v/>
      </c>
    </row>
    <row r="11078">
      <c r="A11078" s="2" t="inlineStr">
        <is>
          <t>2026-06-12</t>
        </is>
      </c>
      <c r="B11078" s="3" t="inlineStr">
        <is>
          <t>미래에셋증권</t>
        </is>
      </c>
      <c r="C11078" s="2" t="inlineStr">
        <is>
          <t>코스피</t>
        </is>
      </c>
      <c r="D11078" s="2" t="inlineStr">
        <is>
          <t>006800</t>
        </is>
      </c>
      <c r="E11078" s="3" t="inlineStr">
        <is>
          <t>증권발행실적보고서</t>
        </is>
      </c>
      <c r="F11078" s="3" t="inlineStr">
        <is>
          <t>미래에셋증권</t>
        </is>
      </c>
      <c r="G11078" s="2" t="inlineStr">
        <is>
          <t>20260612000256</t>
        </is>
      </c>
      <c r="H11078" s="8">
        <f>HYPERLINK("https://dart.fss.or.kr/dsaf001/main.do?rcpNo=20260612000256", "공시열람")</f>
        <v/>
      </c>
    </row>
    <row r="11079">
      <c r="A11079" s="2" t="inlineStr">
        <is>
          <t>2026-06-12</t>
        </is>
      </c>
      <c r="B11079" s="3" t="inlineStr">
        <is>
          <t>엠앤씨솔루션</t>
        </is>
      </c>
      <c r="C11079" s="2" t="inlineStr">
        <is>
          <t>코스피</t>
        </is>
      </c>
      <c r="D11079" s="2" t="inlineStr">
        <is>
          <t>484870</t>
        </is>
      </c>
      <c r="E11079" s="3" t="inlineStr">
        <is>
          <t xml:space="preserve">풍문또는보도에대한해명(미확정)              </t>
        </is>
      </c>
      <c r="F11079" s="3" t="inlineStr">
        <is>
          <t>엠앤씨솔루션</t>
        </is>
      </c>
      <c r="G11079" s="2" t="inlineStr">
        <is>
          <t>20260612800477</t>
        </is>
      </c>
      <c r="H11079" s="8">
        <f>HYPERLINK("https://dart.fss.or.kr/dsaf001/main.do?rcpNo=20260612800477", "공시열람")</f>
        <v/>
      </c>
    </row>
    <row r="11080">
      <c r="A11080" s="2" t="inlineStr">
        <is>
          <t>2026-06-12</t>
        </is>
      </c>
      <c r="B11080" s="3" t="inlineStr">
        <is>
          <t>다이나믹솔루션</t>
        </is>
      </c>
      <c r="C11080" s="2" t="inlineStr">
        <is>
          <t>코스닥</t>
        </is>
      </c>
      <c r="D11080" s="2" t="inlineStr">
        <is>
          <t>290660</t>
        </is>
      </c>
      <c r="E11080" s="3" t="inlineStr">
        <is>
          <t>임원ㆍ주요주주특정증권등소유상황보고서</t>
        </is>
      </c>
      <c r="F11080" s="3" t="inlineStr">
        <is>
          <t>성수연</t>
        </is>
      </c>
      <c r="G11080" s="2" t="inlineStr">
        <is>
          <t>20260612000251</t>
        </is>
      </c>
      <c r="H11080" s="8">
        <f>HYPERLINK("https://dart.fss.or.kr/dsaf001/main.do?rcpNo=20260612000251", "공시열람")</f>
        <v/>
      </c>
    </row>
    <row r="11081">
      <c r="A11081" s="2" t="inlineStr">
        <is>
          <t>2026-06-12</t>
        </is>
      </c>
      <c r="B11081" s="3" t="inlineStr">
        <is>
          <t>BNK금융지주</t>
        </is>
      </c>
      <c r="C11081" s="2" t="inlineStr">
        <is>
          <t>코스피</t>
        </is>
      </c>
      <c r="D11081" s="2" t="inlineStr">
        <is>
          <t>138930</t>
        </is>
      </c>
      <c r="E11081" s="3" t="inlineStr">
        <is>
          <t xml:space="preserve">기업설명회(IR)개최(안내공시)              </t>
        </is>
      </c>
      <c r="F11081" s="3" t="inlineStr">
        <is>
          <t>BNK금융지주</t>
        </is>
      </c>
      <c r="G11081" s="2" t="inlineStr">
        <is>
          <t>20260612800474</t>
        </is>
      </c>
      <c r="H11081" s="8">
        <f>HYPERLINK("https://dart.fss.or.kr/dsaf001/main.do?rcpNo=20260612800474", "공시열람")</f>
        <v/>
      </c>
    </row>
    <row r="11082">
      <c r="A11082" s="2" t="inlineStr">
        <is>
          <t>2026-06-12</t>
        </is>
      </c>
      <c r="B11082" s="3" t="inlineStr">
        <is>
          <t>힘스</t>
        </is>
      </c>
      <c r="C11082" s="2" t="inlineStr">
        <is>
          <t>코스닥</t>
        </is>
      </c>
      <c r="D11082" s="2" t="inlineStr">
        <is>
          <t>238490</t>
        </is>
      </c>
      <c r="E11082" s="3" t="inlineStr">
        <is>
          <t>[기재정정]주요사항보고서(유형자산양수결정)</t>
        </is>
      </c>
      <c r="F11082" s="3" t="inlineStr">
        <is>
          <t>힘스</t>
        </is>
      </c>
      <c r="G11082" s="2" t="inlineStr">
        <is>
          <t>20260612000228</t>
        </is>
      </c>
      <c r="H11082" s="8">
        <f>HYPERLINK("https://dart.fss.or.kr/dsaf001/main.do?rcpNo=20260612000228", "공시열람")</f>
        <v/>
      </c>
    </row>
    <row r="11083">
      <c r="A11083" s="2" t="inlineStr">
        <is>
          <t>2026-06-12</t>
        </is>
      </c>
      <c r="B11083" s="3" t="inlineStr">
        <is>
          <t>미트박스</t>
        </is>
      </c>
      <c r="C11083" s="2" t="inlineStr">
        <is>
          <t>코스닥</t>
        </is>
      </c>
      <c r="D11083" s="2" t="inlineStr">
        <is>
          <t>475460</t>
        </is>
      </c>
      <c r="E11083" s="3" t="inlineStr">
        <is>
          <t xml:space="preserve">기업설명회(IR)개최              </t>
        </is>
      </c>
      <c r="F11083" s="3" t="inlineStr">
        <is>
          <t>미트박스</t>
        </is>
      </c>
      <c r="G11083" s="2" t="inlineStr">
        <is>
          <t>20260612900458</t>
        </is>
      </c>
      <c r="H11083" s="8">
        <f>HYPERLINK("https://dart.fss.or.kr/dsaf001/main.do?rcpNo=20260612900458", "공시열람")</f>
        <v/>
      </c>
    </row>
    <row r="11084">
      <c r="A11084" s="2" t="inlineStr">
        <is>
          <t>2026-06-12</t>
        </is>
      </c>
      <c r="B11084" s="3" t="inlineStr">
        <is>
          <t>현대차증권</t>
        </is>
      </c>
      <c r="C11084" s="2" t="inlineStr">
        <is>
          <t>코스피</t>
        </is>
      </c>
      <c r="D11084" s="2" t="inlineStr">
        <is>
          <t>001500</t>
        </is>
      </c>
      <c r="E11084" s="3" t="inlineStr">
        <is>
          <t>투자설명서(일괄신고)</t>
        </is>
      </c>
      <c r="F11084" s="3" t="inlineStr">
        <is>
          <t>현대차증권</t>
        </is>
      </c>
      <c r="G11084" s="2" t="inlineStr">
        <is>
          <t>20260612000234</t>
        </is>
      </c>
      <c r="H11084" s="8">
        <f>HYPERLINK("https://dart.fss.or.kr/dsaf001/main.do?rcpNo=20260612000234", "공시열람")</f>
        <v/>
      </c>
    </row>
    <row r="11085">
      <c r="A11085" s="2" t="inlineStr">
        <is>
          <t>2026-06-12</t>
        </is>
      </c>
      <c r="B11085" s="3" t="inlineStr">
        <is>
          <t>한화솔루션</t>
        </is>
      </c>
      <c r="C11085" s="2" t="inlineStr">
        <is>
          <t>코스피</t>
        </is>
      </c>
      <c r="D11085" s="2" t="inlineStr">
        <is>
          <t>009830</t>
        </is>
      </c>
      <c r="E11085" s="3" t="inlineStr">
        <is>
          <t xml:space="preserve">유상증자신주발행가액(안내공시)              </t>
        </is>
      </c>
      <c r="F11085" s="3" t="inlineStr">
        <is>
          <t>한화솔루션</t>
        </is>
      </c>
      <c r="G11085" s="2" t="inlineStr">
        <is>
          <t>20260612800439</t>
        </is>
      </c>
      <c r="H11085" s="8">
        <f>HYPERLINK("https://dart.fss.or.kr/dsaf001/main.do?rcpNo=20260612800439", "공시열람")</f>
        <v/>
      </c>
    </row>
    <row r="11086">
      <c r="A11086" s="2" t="inlineStr">
        <is>
          <t>2026-06-12</t>
        </is>
      </c>
      <c r="B11086" s="3" t="inlineStr">
        <is>
          <t>교보증권</t>
        </is>
      </c>
      <c r="C11086" s="2" t="inlineStr">
        <is>
          <t>코스피</t>
        </is>
      </c>
      <c r="D11086" s="2" t="inlineStr">
        <is>
          <t>030610</t>
        </is>
      </c>
      <c r="E11086" s="3" t="inlineStr">
        <is>
          <t>투자설명서(일괄신고)</t>
        </is>
      </c>
      <c r="F11086" s="3" t="inlineStr">
        <is>
          <t>교보증권</t>
        </is>
      </c>
      <c r="G11086" s="2" t="inlineStr">
        <is>
          <t>20260612000223</t>
        </is>
      </c>
      <c r="H11086" s="8">
        <f>HYPERLINK("https://dart.fss.or.kr/dsaf001/main.do?rcpNo=20260612000223", "공시열람")</f>
        <v/>
      </c>
    </row>
    <row r="11087">
      <c r="A11087" s="2" t="inlineStr">
        <is>
          <t>2026-06-12</t>
        </is>
      </c>
      <c r="B11087" s="3" t="inlineStr">
        <is>
          <t>아주스틸</t>
        </is>
      </c>
      <c r="C11087" s="2" t="inlineStr">
        <is>
          <t>코스피</t>
        </is>
      </c>
      <c r="D11087" s="2" t="inlineStr">
        <is>
          <t>139990</t>
        </is>
      </c>
      <c r="E11087" s="3" t="inlineStr">
        <is>
          <t>임원ㆍ주요주주특정증권등소유상황보고서</t>
        </is>
      </c>
      <c r="F11087" s="3" t="inlineStr">
        <is>
          <t>동국씨엠</t>
        </is>
      </c>
      <c r="G11087" s="2" t="inlineStr">
        <is>
          <t>20260612000221</t>
        </is>
      </c>
      <c r="H11087" s="8">
        <f>HYPERLINK("https://dart.fss.or.kr/dsaf001/main.do?rcpNo=20260612000221", "공시열람")</f>
        <v/>
      </c>
    </row>
    <row r="11088">
      <c r="A11088" s="2" t="inlineStr">
        <is>
          <t>2026-06-12</t>
        </is>
      </c>
      <c r="B11088" s="3" t="inlineStr">
        <is>
          <t>교보증권</t>
        </is>
      </c>
      <c r="C11088" s="2" t="inlineStr">
        <is>
          <t>코스피</t>
        </is>
      </c>
      <c r="D11088" s="2" t="inlineStr">
        <is>
          <t>030610</t>
        </is>
      </c>
      <c r="E11088" s="3" t="inlineStr">
        <is>
          <t>투자설명서(일괄신고)</t>
        </is>
      </c>
      <c r="F11088" s="3" t="inlineStr">
        <is>
          <t>교보증권</t>
        </is>
      </c>
      <c r="G11088" s="2" t="inlineStr">
        <is>
          <t>20260612000220</t>
        </is>
      </c>
      <c r="H11088" s="8">
        <f>HYPERLINK("https://dart.fss.or.kr/dsaf001/main.do?rcpNo=20260612000220", "공시열람")</f>
        <v/>
      </c>
    </row>
    <row r="11089">
      <c r="A11089" s="2" t="inlineStr">
        <is>
          <t>2026-06-12</t>
        </is>
      </c>
      <c r="B11089" s="3" t="inlineStr">
        <is>
          <t>다이나믹솔루션</t>
        </is>
      </c>
      <c r="C11089" s="2" t="inlineStr">
        <is>
          <t>코스닥</t>
        </is>
      </c>
      <c r="D11089" s="2" t="inlineStr">
        <is>
          <t>290660</t>
        </is>
      </c>
      <c r="E11089" s="3" t="inlineStr">
        <is>
          <t>임원ㆍ주요주주특정증권등소유상황보고서</t>
        </is>
      </c>
      <c r="F11089" s="3" t="inlineStr">
        <is>
          <t>이세라</t>
        </is>
      </c>
      <c r="G11089" s="2" t="inlineStr">
        <is>
          <t>20260612000211</t>
        </is>
      </c>
      <c r="H11089" s="8">
        <f>HYPERLINK("https://dart.fss.or.kr/dsaf001/main.do?rcpNo=20260612000211", "공시열람")</f>
        <v/>
      </c>
    </row>
    <row r="11090">
      <c r="A11090" s="2" t="inlineStr">
        <is>
          <t>2026-06-12</t>
        </is>
      </c>
      <c r="B11090" s="3" t="inlineStr">
        <is>
          <t>현대차증권</t>
        </is>
      </c>
      <c r="C11090" s="2" t="inlineStr">
        <is>
          <t>코스피</t>
        </is>
      </c>
      <c r="D11090" s="2" t="inlineStr">
        <is>
          <t>001500</t>
        </is>
      </c>
      <c r="E11090" s="3" t="inlineStr">
        <is>
          <t>일괄신고추가서류(파생결합증권-주가연계증권)</t>
        </is>
      </c>
      <c r="F11090" s="3" t="inlineStr">
        <is>
          <t>현대차증권</t>
        </is>
      </c>
      <c r="G11090" s="2" t="inlineStr">
        <is>
          <t>20260612000209</t>
        </is>
      </c>
      <c r="H11090" s="8">
        <f>HYPERLINK("https://dart.fss.or.kr/dsaf001/main.do?rcpNo=20260612000209", "공시열람")</f>
        <v/>
      </c>
    </row>
    <row r="11091">
      <c r="A11091" s="2" t="inlineStr">
        <is>
          <t>2026-06-12</t>
        </is>
      </c>
      <c r="B11091" s="3" t="inlineStr">
        <is>
          <t>메리츠제2호스팩</t>
        </is>
      </c>
      <c r="C11091" s="2" t="inlineStr">
        <is>
          <t>코스닥</t>
        </is>
      </c>
      <c r="D11091" s="2" t="inlineStr">
        <is>
          <t>0165X0</t>
        </is>
      </c>
      <c r="E11091" s="3" t="inlineStr">
        <is>
          <t>증권발행실적보고서</t>
        </is>
      </c>
      <c r="F11091" s="3" t="inlineStr">
        <is>
          <t>메리츠제2호스팩</t>
        </is>
      </c>
      <c r="G11091" s="2" t="inlineStr">
        <is>
          <t>20260612000207</t>
        </is>
      </c>
      <c r="H11091" s="8">
        <f>HYPERLINK("https://dart.fss.or.kr/dsaf001/main.do?rcpNo=20260612000207", "공시열람")</f>
        <v/>
      </c>
    </row>
    <row r="11092">
      <c r="A11092" s="2" t="inlineStr">
        <is>
          <t>2026-06-12</t>
        </is>
      </c>
      <c r="B11092" s="3" t="inlineStr">
        <is>
          <t>티비에이치글로벌</t>
        </is>
      </c>
      <c r="C11092" s="2" t="inlineStr">
        <is>
          <t>코스피</t>
        </is>
      </c>
      <c r="D11092" s="2" t="inlineStr">
        <is>
          <t>084870</t>
        </is>
      </c>
      <c r="E11092" s="3" t="inlineStr">
        <is>
          <t>임원ㆍ주요주주특정증권등소유상황보고서</t>
        </is>
      </c>
      <c r="F11092" s="3" t="inlineStr">
        <is>
          <t>우한곤</t>
        </is>
      </c>
      <c r="G11092" s="2" t="inlineStr">
        <is>
          <t>20260612000206</t>
        </is>
      </c>
      <c r="H11092" s="8">
        <f>HYPERLINK("https://dart.fss.or.kr/dsaf001/main.do?rcpNo=20260612000206", "공시열람")</f>
        <v/>
      </c>
    </row>
    <row r="11093">
      <c r="A11093" s="2" t="inlineStr">
        <is>
          <t>2026-06-12</t>
        </is>
      </c>
      <c r="B11093" s="3" t="inlineStr">
        <is>
          <t>티비에이치글로벌</t>
        </is>
      </c>
      <c r="C11093" s="2" t="inlineStr">
        <is>
          <t>코스피</t>
        </is>
      </c>
      <c r="D11093" s="2" t="inlineStr">
        <is>
          <t>084870</t>
        </is>
      </c>
      <c r="E11093" s="3" t="inlineStr">
        <is>
          <t>임원ㆍ주요주주특정증권등소유상황보고서</t>
        </is>
      </c>
      <c r="F11093" s="3" t="inlineStr">
        <is>
          <t>금강레저산업</t>
        </is>
      </c>
      <c r="G11093" s="2" t="inlineStr">
        <is>
          <t>20260612000205</t>
        </is>
      </c>
      <c r="H11093" s="8">
        <f>HYPERLINK("https://dart.fss.or.kr/dsaf001/main.do?rcpNo=20260612000205", "공시열람")</f>
        <v/>
      </c>
    </row>
    <row r="11094">
      <c r="A11094" s="2" t="inlineStr">
        <is>
          <t>2026-06-12</t>
        </is>
      </c>
      <c r="B11094" s="3" t="inlineStr">
        <is>
          <t>코스텍시스</t>
        </is>
      </c>
      <c r="C11094" s="2" t="inlineStr">
        <is>
          <t>코스닥</t>
        </is>
      </c>
      <c r="D11094" s="2" t="inlineStr">
        <is>
          <t>355150</t>
        </is>
      </c>
      <c r="E11094" s="3" t="inlineStr">
        <is>
          <t xml:space="preserve">기업설명회(IR)개최              </t>
        </is>
      </c>
      <c r="F11094" s="3" t="inlineStr">
        <is>
          <t>코스텍시스</t>
        </is>
      </c>
      <c r="G11094" s="2" t="inlineStr">
        <is>
          <t>20260612900358</t>
        </is>
      </c>
      <c r="H11094" s="8">
        <f>HYPERLINK("https://dart.fss.or.kr/dsaf001/main.do?rcpNo=20260612900358", "공시열람")</f>
        <v/>
      </c>
    </row>
    <row r="11095">
      <c r="A11095" s="2" t="inlineStr">
        <is>
          <t>2026-06-12</t>
        </is>
      </c>
      <c r="B11095" s="3" t="inlineStr">
        <is>
          <t>선진뷰티사이언스</t>
        </is>
      </c>
      <c r="C11095" s="2" t="inlineStr">
        <is>
          <t>코스닥</t>
        </is>
      </c>
      <c r="D11095" s="2" t="inlineStr">
        <is>
          <t>086710</t>
        </is>
      </c>
      <c r="E11095" s="3" t="inlineStr">
        <is>
          <t>임원ㆍ주요주주특정증권등소유상황보고서</t>
        </is>
      </c>
      <c r="F11095" s="3" t="inlineStr">
        <is>
          <t>장폴</t>
        </is>
      </c>
      <c r="G11095" s="2" t="inlineStr">
        <is>
          <t>20260612000188</t>
        </is>
      </c>
      <c r="H11095" s="8">
        <f>HYPERLINK("https://dart.fss.or.kr/dsaf001/main.do?rcpNo=20260612000188", "공시열람")</f>
        <v/>
      </c>
    </row>
    <row r="11096">
      <c r="A11096" s="2" t="inlineStr">
        <is>
          <t>2026-06-12</t>
        </is>
      </c>
      <c r="B11096" s="3" t="inlineStr">
        <is>
          <t>엠앤씨솔루션</t>
        </is>
      </c>
      <c r="C11096" s="2" t="inlineStr">
        <is>
          <t>코스피</t>
        </is>
      </c>
      <c r="D11096" s="2" t="inlineStr">
        <is>
          <t>484870</t>
        </is>
      </c>
      <c r="E11096" s="3" t="inlineStr">
        <is>
          <t xml:space="preserve">매매거래정지및정지해제(중요내용공시)              </t>
        </is>
      </c>
      <c r="F11096" s="3" t="inlineStr">
        <is>
          <t>유가증권시장본부</t>
        </is>
      </c>
      <c r="G11096" s="2" t="inlineStr">
        <is>
          <t>20260612800372</t>
        </is>
      </c>
      <c r="H11096" s="8">
        <f>HYPERLINK("https://dart.fss.or.kr/dsaf001/main.do?rcpNo=20260612800372", "공시열람")</f>
        <v/>
      </c>
    </row>
    <row r="11097">
      <c r="A11097" s="2" t="inlineStr">
        <is>
          <t>2026-06-12</t>
        </is>
      </c>
      <c r="B11097" s="3" t="inlineStr">
        <is>
          <t>포커스에이아이</t>
        </is>
      </c>
      <c r="C11097" s="2" t="inlineStr">
        <is>
          <t>코스닥</t>
        </is>
      </c>
      <c r="D11097" s="2" t="inlineStr">
        <is>
          <t>331380</t>
        </is>
      </c>
      <c r="E11097" s="3" t="inlineStr">
        <is>
          <t xml:space="preserve">유형자산처분결정(자율공시)              </t>
        </is>
      </c>
      <c r="F11097" s="3" t="inlineStr">
        <is>
          <t>포커스에이아이</t>
        </is>
      </c>
      <c r="G11097" s="2" t="inlineStr">
        <is>
          <t>20260612900371</t>
        </is>
      </c>
      <c r="H11097" s="8">
        <f>HYPERLINK("https://dart.fss.or.kr/dsaf001/main.do?rcpNo=20260612900371", "공시열람")</f>
        <v/>
      </c>
    </row>
    <row r="11098">
      <c r="A11098" s="2" t="inlineStr">
        <is>
          <t>2026-06-12</t>
        </is>
      </c>
      <c r="B11098" s="3" t="inlineStr">
        <is>
          <t>엠게임</t>
        </is>
      </c>
      <c r="C11098" s="2" t="inlineStr">
        <is>
          <t>코스닥</t>
        </is>
      </c>
      <c r="D11098" s="2" t="inlineStr">
        <is>
          <t>058630</t>
        </is>
      </c>
      <c r="E11098" s="3" t="inlineStr">
        <is>
          <t>임원ㆍ주요주주특정증권등소유상황보고서</t>
        </is>
      </c>
      <c r="F11098" s="3" t="inlineStr">
        <is>
          <t>이재창</t>
        </is>
      </c>
      <c r="G11098" s="2" t="inlineStr">
        <is>
          <t>20260612000178</t>
        </is>
      </c>
      <c r="H11098" s="8">
        <f>HYPERLINK("https://dart.fss.or.kr/dsaf001/main.do?rcpNo=20260612000178", "공시열람")</f>
        <v/>
      </c>
    </row>
    <row r="11099">
      <c r="A11099" s="2" t="inlineStr">
        <is>
          <t>2026-06-12</t>
        </is>
      </c>
      <c r="B11099" s="3" t="inlineStr">
        <is>
          <t>NI스틸</t>
        </is>
      </c>
      <c r="C11099" s="2" t="inlineStr">
        <is>
          <t>코스피</t>
        </is>
      </c>
      <c r="D11099" s="2" t="inlineStr">
        <is>
          <t>008260</t>
        </is>
      </c>
      <c r="E11099" s="3" t="inlineStr">
        <is>
          <t xml:space="preserve">현금ㆍ현물배당을위한주주명부폐쇄(기준일)결정              </t>
        </is>
      </c>
      <c r="F11099" s="3" t="inlineStr">
        <is>
          <t>NI스틸</t>
        </is>
      </c>
      <c r="G11099" s="2" t="inlineStr">
        <is>
          <t>20260612800340</t>
        </is>
      </c>
      <c r="H11099" s="8">
        <f>HYPERLINK("https://dart.fss.or.kr/dsaf001/main.do?rcpNo=20260612800340", "공시열람")</f>
        <v/>
      </c>
    </row>
    <row r="11100">
      <c r="A11100" s="2" t="inlineStr">
        <is>
          <t>2026-06-12</t>
        </is>
      </c>
      <c r="B11100" s="3" t="inlineStr">
        <is>
          <t>한화투자증권</t>
        </is>
      </c>
      <c r="C11100" s="2" t="inlineStr">
        <is>
          <t>코스피</t>
        </is>
      </c>
      <c r="D11100" s="2" t="inlineStr">
        <is>
          <t>003530</t>
        </is>
      </c>
      <c r="E11100" s="3" t="inlineStr">
        <is>
          <t>투자설명서(일괄신고)</t>
        </is>
      </c>
      <c r="F11100" s="3" t="inlineStr">
        <is>
          <t>한화투자증권</t>
        </is>
      </c>
      <c r="G11100" s="2" t="inlineStr">
        <is>
          <t>20260612000165</t>
        </is>
      </c>
      <c r="H11100" s="8">
        <f>HYPERLINK("https://dart.fss.or.kr/dsaf001/main.do?rcpNo=20260612000165", "공시열람")</f>
        <v/>
      </c>
    </row>
    <row r="11101">
      <c r="A11101" s="2" t="inlineStr">
        <is>
          <t>2026-06-12</t>
        </is>
      </c>
      <c r="B11101" s="3" t="inlineStr">
        <is>
          <t>STX그린로지스</t>
        </is>
      </c>
      <c r="C11101" s="2" t="inlineStr">
        <is>
          <t>코스피</t>
        </is>
      </c>
      <c r="D11101" s="2" t="inlineStr">
        <is>
          <t>465770</t>
        </is>
      </c>
      <c r="E11101" s="3" t="inlineStr">
        <is>
          <t xml:space="preserve">풍문또는보도에대한해명(미확정)              </t>
        </is>
      </c>
      <c r="F11101" s="3" t="inlineStr">
        <is>
          <t>STX그린로지스</t>
        </is>
      </c>
      <c r="G11101" s="2" t="inlineStr">
        <is>
          <t>20260612800345</t>
        </is>
      </c>
      <c r="H11101" s="8">
        <f>HYPERLINK("https://dart.fss.or.kr/dsaf001/main.do?rcpNo=20260612800345", "공시열람")</f>
        <v/>
      </c>
    </row>
    <row r="11102">
      <c r="A11102" s="2" t="inlineStr">
        <is>
          <t>2026-06-12</t>
        </is>
      </c>
      <c r="B11102" s="3" t="inlineStr">
        <is>
          <t>아이스크림미디어</t>
        </is>
      </c>
      <c r="C11102" s="2" t="inlineStr">
        <is>
          <t>코스닥</t>
        </is>
      </c>
      <c r="D11102" s="2" t="inlineStr">
        <is>
          <t>461300</t>
        </is>
      </c>
      <c r="E11102" s="3" t="inlineStr">
        <is>
          <t xml:space="preserve">중간(분기)배당을위한주주명부폐쇄(기준일)결정              </t>
        </is>
      </c>
      <c r="F11102" s="3" t="inlineStr">
        <is>
          <t>아이스크림미디어</t>
        </is>
      </c>
      <c r="G11102" s="2" t="inlineStr">
        <is>
          <t>20260612900329</t>
        </is>
      </c>
      <c r="H11102" s="8">
        <f>HYPERLINK("https://dart.fss.or.kr/dsaf001/main.do?rcpNo=20260612900329", "공시열람")</f>
        <v/>
      </c>
    </row>
    <row r="11103">
      <c r="A11103" s="2" t="inlineStr">
        <is>
          <t>2026-06-12</t>
        </is>
      </c>
      <c r="B11103" s="3" t="inlineStr">
        <is>
          <t>미래에셋증권</t>
        </is>
      </c>
      <c r="C11103" s="2" t="inlineStr">
        <is>
          <t>코스피</t>
        </is>
      </c>
      <c r="D11103" s="2" t="inlineStr">
        <is>
          <t>006800</t>
        </is>
      </c>
      <c r="E11103" s="3" t="inlineStr">
        <is>
          <t>투자설명서(일괄신고)</t>
        </is>
      </c>
      <c r="F11103" s="3" t="inlineStr">
        <is>
          <t>미래에셋증권</t>
        </is>
      </c>
      <c r="G11103" s="2" t="inlineStr">
        <is>
          <t>20260612000159</t>
        </is>
      </c>
      <c r="H11103" s="8">
        <f>HYPERLINK("https://dart.fss.or.kr/dsaf001/main.do?rcpNo=20260612000159", "공시열람")</f>
        <v/>
      </c>
    </row>
    <row r="11104">
      <c r="A11104" s="2" t="inlineStr">
        <is>
          <t>2026-06-12</t>
        </is>
      </c>
      <c r="B11104" s="3" t="inlineStr">
        <is>
          <t>한화투자증권</t>
        </is>
      </c>
      <c r="C11104" s="2" t="inlineStr">
        <is>
          <t>코스피</t>
        </is>
      </c>
      <c r="D11104" s="2" t="inlineStr">
        <is>
          <t>003530</t>
        </is>
      </c>
      <c r="E11104" s="3" t="inlineStr">
        <is>
          <t>일괄신고추가서류(기타파생결합사채)</t>
        </is>
      </c>
      <c r="F11104" s="3" t="inlineStr">
        <is>
          <t>한화투자증권</t>
        </is>
      </c>
      <c r="G11104" s="2" t="inlineStr">
        <is>
          <t>20260612000157</t>
        </is>
      </c>
      <c r="H11104" s="8">
        <f>HYPERLINK("https://dart.fss.or.kr/dsaf001/main.do?rcpNo=20260612000157", "공시열람")</f>
        <v/>
      </c>
    </row>
    <row r="11105">
      <c r="A11105" s="2" t="inlineStr">
        <is>
          <t>2026-06-12</t>
        </is>
      </c>
      <c r="B11105" s="3" t="inlineStr">
        <is>
          <t>문배철강</t>
        </is>
      </c>
      <c r="C11105" s="2" t="inlineStr">
        <is>
          <t>코스피</t>
        </is>
      </c>
      <c r="D11105" s="2" t="inlineStr">
        <is>
          <t>008420</t>
        </is>
      </c>
      <c r="E11105" s="3" t="inlineStr">
        <is>
          <t xml:space="preserve">현금ㆍ현물배당을위한주주명부폐쇄(기준일)결정              </t>
        </is>
      </c>
      <c r="F11105" s="3" t="inlineStr">
        <is>
          <t>문배철강</t>
        </is>
      </c>
      <c r="G11105" s="2" t="inlineStr">
        <is>
          <t>20260612800327</t>
        </is>
      </c>
      <c r="H11105" s="8">
        <f>HYPERLINK("https://dart.fss.or.kr/dsaf001/main.do?rcpNo=20260612800327", "공시열람")</f>
        <v/>
      </c>
    </row>
    <row r="11106">
      <c r="A11106" s="2" t="inlineStr">
        <is>
          <t>2026-06-12</t>
        </is>
      </c>
      <c r="B11106" s="3" t="inlineStr">
        <is>
          <t>교보증권</t>
        </is>
      </c>
      <c r="C11106" s="2" t="inlineStr">
        <is>
          <t>코스피</t>
        </is>
      </c>
      <c r="D11106" s="2" t="inlineStr">
        <is>
          <t>030610</t>
        </is>
      </c>
      <c r="E11106" s="3" t="inlineStr">
        <is>
          <t>일괄신고추가서류(파생결합증권-주가연계증권)</t>
        </is>
      </c>
      <c r="F11106" s="3" t="inlineStr">
        <is>
          <t>교보증권</t>
        </is>
      </c>
      <c r="G11106" s="2" t="inlineStr">
        <is>
          <t>20260612000156</t>
        </is>
      </c>
      <c r="H11106" s="8">
        <f>HYPERLINK("https://dart.fss.or.kr/dsaf001/main.do?rcpNo=20260612000156", "공시열람")</f>
        <v/>
      </c>
    </row>
    <row r="11107">
      <c r="A11107" s="2" t="inlineStr">
        <is>
          <t>2026-06-12</t>
        </is>
      </c>
      <c r="B11107" s="3" t="inlineStr">
        <is>
          <t>미래에셋증권</t>
        </is>
      </c>
      <c r="C11107" s="2" t="inlineStr">
        <is>
          <t>코스피</t>
        </is>
      </c>
      <c r="D11107" s="2" t="inlineStr">
        <is>
          <t>006800</t>
        </is>
      </c>
      <c r="E11107" s="3" t="inlineStr">
        <is>
          <t>투자설명서(일괄신고)</t>
        </is>
      </c>
      <c r="F11107" s="3" t="inlineStr">
        <is>
          <t>미래에셋증권</t>
        </is>
      </c>
      <c r="G11107" s="2" t="inlineStr">
        <is>
          <t>20260612000154</t>
        </is>
      </c>
      <c r="H11107" s="8">
        <f>HYPERLINK("https://dart.fss.or.kr/dsaf001/main.do?rcpNo=20260612000154", "공시열람")</f>
        <v/>
      </c>
    </row>
    <row r="11108">
      <c r="A11108" s="2" t="inlineStr">
        <is>
          <t>2026-06-12</t>
        </is>
      </c>
      <c r="B11108" s="3" t="inlineStr">
        <is>
          <t>교보증권</t>
        </is>
      </c>
      <c r="C11108" s="2" t="inlineStr">
        <is>
          <t>코스피</t>
        </is>
      </c>
      <c r="D11108" s="2" t="inlineStr">
        <is>
          <t>030610</t>
        </is>
      </c>
      <c r="E11108" s="3" t="inlineStr">
        <is>
          <t>일괄신고추가서류(파생결합사채-주가연계파생결합사채)</t>
        </is>
      </c>
      <c r="F11108" s="3" t="inlineStr">
        <is>
          <t>교보증권</t>
        </is>
      </c>
      <c r="G11108" s="2" t="inlineStr">
        <is>
          <t>20260612000153</t>
        </is>
      </c>
      <c r="H11108" s="8">
        <f>HYPERLINK("https://dart.fss.or.kr/dsaf001/main.do?rcpNo=20260612000153", "공시열람")</f>
        <v/>
      </c>
    </row>
    <row r="11109">
      <c r="A11109" s="2" t="inlineStr">
        <is>
          <t>2026-06-12</t>
        </is>
      </c>
      <c r="B11109" s="3" t="inlineStr">
        <is>
          <t>THE CUBE&amp;</t>
        </is>
      </c>
      <c r="C11109" s="2" t="inlineStr">
        <is>
          <t>코스닥</t>
        </is>
      </c>
      <c r="D11109" s="2" t="inlineStr">
        <is>
          <t>013720</t>
        </is>
      </c>
      <c r="E11109" s="3" t="inlineStr">
        <is>
          <t xml:space="preserve">상호변경안내              </t>
        </is>
      </c>
      <c r="F11109" s="3" t="inlineStr">
        <is>
          <t>THE CUBE&amp;</t>
        </is>
      </c>
      <c r="G11109" s="2" t="inlineStr">
        <is>
          <t>20260612900321</t>
        </is>
      </c>
      <c r="H11109" s="8">
        <f>HYPERLINK("https://dart.fss.or.kr/dsaf001/main.do?rcpNo=20260612900321", "공시열람")</f>
        <v/>
      </c>
    </row>
    <row r="11110">
      <c r="A11110" s="2" t="inlineStr">
        <is>
          <t>2026-06-12</t>
        </is>
      </c>
      <c r="B11110" s="3" t="inlineStr">
        <is>
          <t>THE CUBE&amp;</t>
        </is>
      </c>
      <c r="C11110" s="2" t="inlineStr">
        <is>
          <t>코스닥</t>
        </is>
      </c>
      <c r="D11110" s="2" t="inlineStr">
        <is>
          <t>013720</t>
        </is>
      </c>
      <c r="E11110" s="3" t="inlineStr">
        <is>
          <t>사외이사의선임ㆍ해임또는중도퇴임에관한신고</t>
        </is>
      </c>
      <c r="F11110" s="3" t="inlineStr">
        <is>
          <t>THE CUBE&amp;</t>
        </is>
      </c>
      <c r="G11110" s="2" t="inlineStr">
        <is>
          <t>20260612000144</t>
        </is>
      </c>
      <c r="H11110" s="8">
        <f>HYPERLINK("https://dart.fss.or.kr/dsaf001/main.do?rcpNo=20260612000144", "공시열람")</f>
        <v/>
      </c>
    </row>
    <row r="11111">
      <c r="A11111" s="2" t="inlineStr">
        <is>
          <t>2026-06-12</t>
        </is>
      </c>
      <c r="B11111" s="3" t="inlineStr">
        <is>
          <t>문배철강</t>
        </is>
      </c>
      <c r="C11111" s="2" t="inlineStr">
        <is>
          <t>코스피</t>
        </is>
      </c>
      <c r="D11111" s="2" t="inlineStr">
        <is>
          <t>008420</t>
        </is>
      </c>
      <c r="E11111" s="3" t="inlineStr">
        <is>
          <t>임원ㆍ주요주주특정증권등소유상황보고서</t>
        </is>
      </c>
      <c r="F11111" s="3" t="inlineStr">
        <is>
          <t>배윤경</t>
        </is>
      </c>
      <c r="G11111" s="2" t="inlineStr">
        <is>
          <t>20260612000143</t>
        </is>
      </c>
      <c r="H11111" s="8">
        <f>HYPERLINK("https://dart.fss.or.kr/dsaf001/main.do?rcpNo=20260612000143", "공시열람")</f>
        <v/>
      </c>
    </row>
    <row r="11112">
      <c r="A11112" s="2" t="inlineStr">
        <is>
          <t>2026-06-12</t>
        </is>
      </c>
      <c r="B11112" s="3" t="inlineStr">
        <is>
          <t>솔트웨어</t>
        </is>
      </c>
      <c r="C11112" s="2" t="inlineStr">
        <is>
          <t>코스닥</t>
        </is>
      </c>
      <c r="D11112" s="2" t="inlineStr">
        <is>
          <t>328380</t>
        </is>
      </c>
      <c r="E11112" s="3" t="inlineStr">
        <is>
          <t>임원ㆍ주요주주특정증권등소유상황보고서</t>
        </is>
      </c>
      <c r="F11112" s="3" t="inlineStr">
        <is>
          <t>박창우</t>
        </is>
      </c>
      <c r="G11112" s="2" t="inlineStr">
        <is>
          <t>20260612000139</t>
        </is>
      </c>
      <c r="H11112" s="8">
        <f>HYPERLINK("https://dart.fss.or.kr/dsaf001/main.do?rcpNo=20260612000139", "공시열람")</f>
        <v/>
      </c>
    </row>
    <row r="11113">
      <c r="A11113" s="2" t="inlineStr">
        <is>
          <t>2026-06-12</t>
        </is>
      </c>
      <c r="B11113" s="3" t="inlineStr">
        <is>
          <t>DKME</t>
        </is>
      </c>
      <c r="C11113" s="2" t="inlineStr">
        <is>
          <t>코스피</t>
        </is>
      </c>
      <c r="D11113" s="2" t="inlineStr">
        <is>
          <t>015590</t>
        </is>
      </c>
      <c r="E11113" s="3" t="inlineStr">
        <is>
          <t xml:space="preserve">소송등의판결ㆍ결정              </t>
        </is>
      </c>
      <c r="F11113" s="3" t="inlineStr">
        <is>
          <t>DKME</t>
        </is>
      </c>
      <c r="G11113" s="2" t="inlineStr">
        <is>
          <t>20260612800292</t>
        </is>
      </c>
      <c r="H11113" s="8">
        <f>HYPERLINK("https://dart.fss.or.kr/dsaf001/main.do?rcpNo=20260612800292", "공시열람")</f>
        <v/>
      </c>
    </row>
    <row r="11114">
      <c r="A11114" s="2" t="inlineStr">
        <is>
          <t>2026-06-12</t>
        </is>
      </c>
      <c r="B11114" s="3" t="inlineStr">
        <is>
          <t>한국단자공업</t>
        </is>
      </c>
      <c r="C11114" s="2" t="inlineStr">
        <is>
          <t>코스피</t>
        </is>
      </c>
      <c r="D11114" s="2" t="inlineStr">
        <is>
          <t>025540</t>
        </is>
      </c>
      <c r="E11114" s="3" t="inlineStr">
        <is>
          <t xml:space="preserve">기타경영사항(자율공시)              </t>
        </is>
      </c>
      <c r="F11114" s="3" t="inlineStr">
        <is>
          <t>한국단자공업</t>
        </is>
      </c>
      <c r="G11114" s="2" t="inlineStr">
        <is>
          <t>20260612800300</t>
        </is>
      </c>
      <c r="H11114" s="8">
        <f>HYPERLINK("https://dart.fss.or.kr/dsaf001/main.do?rcpNo=20260612800300", "공시열람")</f>
        <v/>
      </c>
    </row>
    <row r="11115">
      <c r="A11115" s="2" t="inlineStr">
        <is>
          <t>2026-06-12</t>
        </is>
      </c>
      <c r="B11115" s="3" t="inlineStr">
        <is>
          <t>경농</t>
        </is>
      </c>
      <c r="C11115" s="2" t="inlineStr">
        <is>
          <t>코스피</t>
        </is>
      </c>
      <c r="D11115" s="2" t="inlineStr">
        <is>
          <t>002100</t>
        </is>
      </c>
      <c r="E11115" s="3" t="inlineStr">
        <is>
          <t xml:space="preserve">주주명부폐쇄기간또는기준일설정              </t>
        </is>
      </c>
      <c r="F11115" s="3" t="inlineStr">
        <is>
          <t>경농</t>
        </is>
      </c>
      <c r="G11115" s="2" t="inlineStr">
        <is>
          <t>20260612800303</t>
        </is>
      </c>
      <c r="H11115" s="8">
        <f>HYPERLINK("https://dart.fss.or.kr/dsaf001/main.do?rcpNo=20260612800303", "공시열람")</f>
        <v/>
      </c>
    </row>
    <row r="11116">
      <c r="A11116" s="2" t="inlineStr">
        <is>
          <t>2026-06-12</t>
        </is>
      </c>
      <c r="B11116" s="3" t="inlineStr">
        <is>
          <t>교보증권</t>
        </is>
      </c>
      <c r="C11116" s="2" t="inlineStr">
        <is>
          <t>코스피</t>
        </is>
      </c>
      <c r="D11116" s="2" t="inlineStr">
        <is>
          <t>030610</t>
        </is>
      </c>
      <c r="E11116" s="3" t="inlineStr">
        <is>
          <t>투자설명서(일괄신고)</t>
        </is>
      </c>
      <c r="F11116" s="3" t="inlineStr">
        <is>
          <t>교보증권</t>
        </is>
      </c>
      <c r="G11116" s="2" t="inlineStr">
        <is>
          <t>20260612000133</t>
        </is>
      </c>
      <c r="H11116" s="8">
        <f>HYPERLINK("https://dart.fss.or.kr/dsaf001/main.do?rcpNo=20260612000133", "공시열람")</f>
        <v/>
      </c>
    </row>
    <row r="11117">
      <c r="A11117" s="2" t="inlineStr">
        <is>
          <t>2026-06-12</t>
        </is>
      </c>
      <c r="B11117" s="3" t="inlineStr">
        <is>
          <t>파마리서치</t>
        </is>
      </c>
      <c r="C11117" s="2" t="inlineStr">
        <is>
          <t>코스닥</t>
        </is>
      </c>
      <c r="D11117" s="2" t="inlineStr">
        <is>
          <t>214450</t>
        </is>
      </c>
      <c r="E11117" s="3" t="inlineStr">
        <is>
          <t xml:space="preserve">지속가능경영보고서등관련사항(자율공시)              </t>
        </is>
      </c>
      <c r="F11117" s="3" t="inlineStr">
        <is>
          <t>파마리서치</t>
        </is>
      </c>
      <c r="G11117" s="2" t="inlineStr">
        <is>
          <t>20260612900306</t>
        </is>
      </c>
      <c r="H11117" s="8">
        <f>HYPERLINK("https://dart.fss.or.kr/dsaf001/main.do?rcpNo=20260612900306", "공시열람")</f>
        <v/>
      </c>
    </row>
    <row r="11118">
      <c r="A11118" s="2" t="inlineStr">
        <is>
          <t>2026-06-12</t>
        </is>
      </c>
      <c r="B11118" s="3" t="inlineStr">
        <is>
          <t>교보증권</t>
        </is>
      </c>
      <c r="C11118" s="2" t="inlineStr">
        <is>
          <t>코스피</t>
        </is>
      </c>
      <c r="D11118" s="2" t="inlineStr">
        <is>
          <t>030610</t>
        </is>
      </c>
      <c r="E11118" s="3" t="inlineStr">
        <is>
          <t>투자설명서(일괄신고)</t>
        </is>
      </c>
      <c r="F11118" s="3" t="inlineStr">
        <is>
          <t>교보증권</t>
        </is>
      </c>
      <c r="G11118" s="2" t="inlineStr">
        <is>
          <t>20260612000129</t>
        </is>
      </c>
      <c r="H11118" s="8">
        <f>HYPERLINK("https://dart.fss.or.kr/dsaf001/main.do?rcpNo=20260612000129", "공시열람")</f>
        <v/>
      </c>
    </row>
    <row r="11119">
      <c r="A11119" s="2" t="inlineStr">
        <is>
          <t>2026-06-12</t>
        </is>
      </c>
      <c r="B11119" s="3" t="inlineStr">
        <is>
          <t>한화투자증권</t>
        </is>
      </c>
      <c r="C11119" s="2" t="inlineStr">
        <is>
          <t>코스피</t>
        </is>
      </c>
      <c r="D11119" s="2" t="inlineStr">
        <is>
          <t>003530</t>
        </is>
      </c>
      <c r="E11119" s="3" t="inlineStr">
        <is>
          <t>투자설명서(일괄신고)</t>
        </is>
      </c>
      <c r="F11119" s="3" t="inlineStr">
        <is>
          <t>한화투자증권</t>
        </is>
      </c>
      <c r="G11119" s="2" t="inlineStr">
        <is>
          <t>20260612000128</t>
        </is>
      </c>
      <c r="H11119" s="8">
        <f>HYPERLINK("https://dart.fss.or.kr/dsaf001/main.do?rcpNo=20260612000128", "공시열람")</f>
        <v/>
      </c>
    </row>
    <row r="11120">
      <c r="A11120" s="2" t="inlineStr">
        <is>
          <t>2026-06-12</t>
        </is>
      </c>
      <c r="B11120" s="3" t="inlineStr">
        <is>
          <t>교보증권</t>
        </is>
      </c>
      <c r="C11120" s="2" t="inlineStr">
        <is>
          <t>코스피</t>
        </is>
      </c>
      <c r="D11120" s="2" t="inlineStr">
        <is>
          <t>030610</t>
        </is>
      </c>
      <c r="E11120" s="3" t="inlineStr">
        <is>
          <t>투자설명서(일괄신고)</t>
        </is>
      </c>
      <c r="F11120" s="3" t="inlineStr">
        <is>
          <t>교보증권</t>
        </is>
      </c>
      <c r="G11120" s="2" t="inlineStr">
        <is>
          <t>20260612000122</t>
        </is>
      </c>
      <c r="H11120" s="8">
        <f>HYPERLINK("https://dart.fss.or.kr/dsaf001/main.do?rcpNo=20260612000122", "공시열람")</f>
        <v/>
      </c>
    </row>
    <row r="11121">
      <c r="A11121" s="2" t="inlineStr">
        <is>
          <t>2026-06-12</t>
        </is>
      </c>
      <c r="B11121" s="3" t="inlineStr">
        <is>
          <t>삼성증권</t>
        </is>
      </c>
      <c r="C11121" s="2" t="inlineStr">
        <is>
          <t>코스피</t>
        </is>
      </c>
      <c r="D11121" s="2" t="inlineStr">
        <is>
          <t>016360</t>
        </is>
      </c>
      <c r="E11121" s="3" t="inlineStr">
        <is>
          <t>투자설명서(일괄신고)</t>
        </is>
      </c>
      <c r="F11121" s="3" t="inlineStr">
        <is>
          <t>삼성증권</t>
        </is>
      </c>
      <c r="G11121" s="2" t="inlineStr">
        <is>
          <t>20260612000118</t>
        </is>
      </c>
      <c r="H11121" s="8">
        <f>HYPERLINK("https://dart.fss.or.kr/dsaf001/main.do?rcpNo=20260612000118", "공시열람")</f>
        <v/>
      </c>
    </row>
    <row r="11122">
      <c r="A11122" s="2" t="inlineStr">
        <is>
          <t>2026-06-12</t>
        </is>
      </c>
      <c r="B11122" s="3" t="inlineStr">
        <is>
          <t>크로넥스</t>
        </is>
      </c>
      <c r="C11122" s="2" t="inlineStr">
        <is>
          <t>코넥스</t>
        </is>
      </c>
      <c r="D11122" s="2" t="inlineStr">
        <is>
          <t>215570</t>
        </is>
      </c>
      <c r="E11122" s="3" t="inlineStr">
        <is>
          <t xml:space="preserve">기업설명회(IR)개최              </t>
        </is>
      </c>
      <c r="F11122" s="3" t="inlineStr">
        <is>
          <t>크로넥스</t>
        </is>
      </c>
      <c r="G11122" s="2" t="inlineStr">
        <is>
          <t>20260612600262</t>
        </is>
      </c>
      <c r="H11122" s="8">
        <f>HYPERLINK("https://dart.fss.or.kr/dsaf001/main.do?rcpNo=20260612600262", "공시열람")</f>
        <v/>
      </c>
    </row>
    <row r="11123">
      <c r="A11123" s="2" t="inlineStr">
        <is>
          <t>2026-06-12</t>
        </is>
      </c>
      <c r="B11123" s="3" t="inlineStr">
        <is>
          <t>나노신소재</t>
        </is>
      </c>
      <c r="C11123" s="2" t="inlineStr">
        <is>
          <t>코스닥</t>
        </is>
      </c>
      <c r="D11123" s="2" t="inlineStr">
        <is>
          <t>121600</t>
        </is>
      </c>
      <c r="E11123" s="3" t="inlineStr">
        <is>
          <t>임원ㆍ주요주주특정증권등소유상황보고서</t>
        </is>
      </c>
      <c r="F11123" s="3" t="inlineStr">
        <is>
          <t>김상중</t>
        </is>
      </c>
      <c r="G11123" s="2" t="inlineStr">
        <is>
          <t>20260612000110</t>
        </is>
      </c>
      <c r="H11123" s="8">
        <f>HYPERLINK("https://dart.fss.or.kr/dsaf001/main.do?rcpNo=20260612000110", "공시열람")</f>
        <v/>
      </c>
    </row>
    <row r="11124">
      <c r="A11124" s="2" t="inlineStr">
        <is>
          <t>2026-06-12</t>
        </is>
      </c>
      <c r="B11124" s="3" t="inlineStr">
        <is>
          <t>대원제약</t>
        </is>
      </c>
      <c r="C11124" s="2" t="inlineStr">
        <is>
          <t>코스피</t>
        </is>
      </c>
      <c r="D11124" s="2" t="inlineStr">
        <is>
          <t>003220</t>
        </is>
      </c>
      <c r="E11124" s="3" t="inlineStr">
        <is>
          <t xml:space="preserve">기업설명회(IR)개최(안내공시)              </t>
        </is>
      </c>
      <c r="F11124" s="3" t="inlineStr">
        <is>
          <t>대원제약</t>
        </is>
      </c>
      <c r="G11124" s="2" t="inlineStr">
        <is>
          <t>20260612800287</t>
        </is>
      </c>
      <c r="H11124" s="8">
        <f>HYPERLINK("https://dart.fss.or.kr/dsaf001/main.do?rcpNo=20260612800287", "공시열람")</f>
        <v/>
      </c>
    </row>
    <row r="11125">
      <c r="A11125" s="2" t="inlineStr">
        <is>
          <t>2026-06-12</t>
        </is>
      </c>
      <c r="B11125" s="3" t="inlineStr">
        <is>
          <t>미래에셋증권</t>
        </is>
      </c>
      <c r="C11125" s="2" t="inlineStr">
        <is>
          <t>코스피</t>
        </is>
      </c>
      <c r="D11125" s="2" t="inlineStr">
        <is>
          <t>006800</t>
        </is>
      </c>
      <c r="E11125" s="3" t="inlineStr">
        <is>
          <t>일괄신고추가서류(파생결합사채-주가연계파생결합사채)</t>
        </is>
      </c>
      <c r="F11125" s="3" t="inlineStr">
        <is>
          <t>미래에셋증권</t>
        </is>
      </c>
      <c r="G11125" s="2" t="inlineStr">
        <is>
          <t>20260612000105</t>
        </is>
      </c>
      <c r="H11125" s="8">
        <f>HYPERLINK("https://dart.fss.or.kr/dsaf001/main.do?rcpNo=20260612000105", "공시열람")</f>
        <v/>
      </c>
    </row>
    <row r="11126">
      <c r="A11126" s="2" t="inlineStr">
        <is>
          <t>2026-06-12</t>
        </is>
      </c>
      <c r="B11126" s="3" t="inlineStr">
        <is>
          <t>알트</t>
        </is>
      </c>
      <c r="C11126" s="2" t="inlineStr">
        <is>
          <t>코스닥</t>
        </is>
      </c>
      <c r="D11126" s="2" t="inlineStr">
        <is>
          <t>459550</t>
        </is>
      </c>
      <c r="E11126" s="3" t="inlineStr">
        <is>
          <t>임원ㆍ주요주주특정증권등소유상황보고서</t>
        </is>
      </c>
      <c r="F11126" s="3" t="inlineStr">
        <is>
          <t>이상수</t>
        </is>
      </c>
      <c r="G11126" s="2" t="inlineStr">
        <is>
          <t>20260612000104</t>
        </is>
      </c>
      <c r="H11126" s="8">
        <f>HYPERLINK("https://dart.fss.or.kr/dsaf001/main.do?rcpNo=20260612000104", "공시열람")</f>
        <v/>
      </c>
    </row>
    <row r="11127">
      <c r="A11127" s="2" t="inlineStr">
        <is>
          <t>2026-06-12</t>
        </is>
      </c>
      <c r="B11127" s="3" t="inlineStr">
        <is>
          <t>케어젠</t>
        </is>
      </c>
      <c r="C11127" s="2" t="inlineStr">
        <is>
          <t>코스닥</t>
        </is>
      </c>
      <c r="D11127" s="2" t="inlineStr">
        <is>
          <t>214370</t>
        </is>
      </c>
      <c r="E11127" s="3" t="inlineStr">
        <is>
          <t xml:space="preserve">중간(분기)배당을위한주주명부폐쇄(기준일)결정              </t>
        </is>
      </c>
      <c r="F11127" s="3" t="inlineStr">
        <is>
          <t>케어젠</t>
        </is>
      </c>
      <c r="G11127" s="2" t="inlineStr">
        <is>
          <t>20260612900258</t>
        </is>
      </c>
      <c r="H11127" s="8">
        <f>HYPERLINK("https://dart.fss.or.kr/dsaf001/main.do?rcpNo=20260612900258", "공시열람")</f>
        <v/>
      </c>
    </row>
    <row r="11128">
      <c r="A11128" s="2" t="inlineStr">
        <is>
          <t>2026-06-12</t>
        </is>
      </c>
      <c r="B11128" s="3" t="inlineStr">
        <is>
          <t>삼성증권</t>
        </is>
      </c>
      <c r="C11128" s="2" t="inlineStr">
        <is>
          <t>코스피</t>
        </is>
      </c>
      <c r="D11128" s="2" t="inlineStr">
        <is>
          <t>016360</t>
        </is>
      </c>
      <c r="E11128" s="3" t="inlineStr">
        <is>
          <t>일괄신고추가서류(파생결합사채-주가연계파생결합사채)</t>
        </is>
      </c>
      <c r="F11128" s="3" t="inlineStr">
        <is>
          <t>삼성증권</t>
        </is>
      </c>
      <c r="G11128" s="2" t="inlineStr">
        <is>
          <t>20260612000096</t>
        </is>
      </c>
      <c r="H11128" s="8">
        <f>HYPERLINK("https://dart.fss.or.kr/dsaf001/main.do?rcpNo=20260612000096", "공시열람")</f>
        <v/>
      </c>
    </row>
    <row r="11129">
      <c r="A11129" s="2" t="inlineStr">
        <is>
          <t>2026-06-12</t>
        </is>
      </c>
      <c r="B11129" s="3" t="inlineStr">
        <is>
          <t>미래에셋증권</t>
        </is>
      </c>
      <c r="C11129" s="2" t="inlineStr">
        <is>
          <t>코스피</t>
        </is>
      </c>
      <c r="D11129" s="2" t="inlineStr">
        <is>
          <t>006800</t>
        </is>
      </c>
      <c r="E11129" s="3" t="inlineStr">
        <is>
          <t>임원ㆍ주요주주특정증권등소유상황보고서</t>
        </is>
      </c>
      <c r="F11129" s="3" t="inlineStr">
        <is>
          <t>이재용</t>
        </is>
      </c>
      <c r="G11129" s="2" t="inlineStr">
        <is>
          <t>20260612000094</t>
        </is>
      </c>
      <c r="H11129" s="8">
        <f>HYPERLINK("https://dart.fss.or.kr/dsaf001/main.do?rcpNo=20260612000094", "공시열람")</f>
        <v/>
      </c>
    </row>
    <row r="11130">
      <c r="A11130" s="2" t="inlineStr">
        <is>
          <t>2026-06-12</t>
        </is>
      </c>
      <c r="B11130" s="3" t="inlineStr">
        <is>
          <t>미래에셋증권</t>
        </is>
      </c>
      <c r="C11130" s="2" t="inlineStr">
        <is>
          <t>코스피</t>
        </is>
      </c>
      <c r="D11130" s="2" t="inlineStr">
        <is>
          <t>006800</t>
        </is>
      </c>
      <c r="E11130" s="3" t="inlineStr">
        <is>
          <t>일괄신고추가서류(파생결합증권-주가연계증권)</t>
        </is>
      </c>
      <c r="F11130" s="3" t="inlineStr">
        <is>
          <t>미래에셋증권</t>
        </is>
      </c>
      <c r="G11130" s="2" t="inlineStr">
        <is>
          <t>20260612000093</t>
        </is>
      </c>
      <c r="H11130" s="8">
        <f>HYPERLINK("https://dart.fss.or.kr/dsaf001/main.do?rcpNo=20260612000093", "공시열람")</f>
        <v/>
      </c>
    </row>
    <row r="11131">
      <c r="A11131" s="2" t="inlineStr">
        <is>
          <t>2026-06-12</t>
        </is>
      </c>
      <c r="B11131" s="3" t="inlineStr">
        <is>
          <t>한화투자증권</t>
        </is>
      </c>
      <c r="C11131" s="2" t="inlineStr">
        <is>
          <t>코스피</t>
        </is>
      </c>
      <c r="D11131" s="2" t="inlineStr">
        <is>
          <t>003530</t>
        </is>
      </c>
      <c r="E11131" s="3" t="inlineStr">
        <is>
          <t>일괄신고추가서류(기타파생결합사채)</t>
        </is>
      </c>
      <c r="F11131" s="3" t="inlineStr">
        <is>
          <t>한화투자증권</t>
        </is>
      </c>
      <c r="G11131" s="2" t="inlineStr">
        <is>
          <t>20260612000091</t>
        </is>
      </c>
      <c r="H11131" s="8">
        <f>HYPERLINK("https://dart.fss.or.kr/dsaf001/main.do?rcpNo=20260612000091", "공시열람")</f>
        <v/>
      </c>
    </row>
    <row r="11132">
      <c r="A11132" s="2" t="inlineStr">
        <is>
          <t>2026-06-12</t>
        </is>
      </c>
      <c r="B11132" s="3" t="inlineStr">
        <is>
          <t>옵투스제약</t>
        </is>
      </c>
      <c r="C11132" s="2" t="inlineStr">
        <is>
          <t>코스닥</t>
        </is>
      </c>
      <c r="D11132" s="2" t="inlineStr">
        <is>
          <t>131030</t>
        </is>
      </c>
      <c r="E11132" s="3" t="inlineStr">
        <is>
          <t>임원ㆍ주요주주특정증권등소유상황보고서</t>
        </is>
      </c>
      <c r="F11132" s="3" t="inlineStr">
        <is>
          <t>윤대인</t>
        </is>
      </c>
      <c r="G11132" s="2" t="inlineStr">
        <is>
          <t>20260612000090</t>
        </is>
      </c>
      <c r="H11132" s="8">
        <f>HYPERLINK("https://dart.fss.or.kr/dsaf001/main.do?rcpNo=20260612000090", "공시열람")</f>
        <v/>
      </c>
    </row>
    <row r="11133">
      <c r="A11133" s="2" t="inlineStr">
        <is>
          <t>2026-06-12</t>
        </is>
      </c>
      <c r="B11133" s="3" t="inlineStr">
        <is>
          <t>교보증권</t>
        </is>
      </c>
      <c r="C11133" s="2" t="inlineStr">
        <is>
          <t>코스피</t>
        </is>
      </c>
      <c r="D11133" s="2" t="inlineStr">
        <is>
          <t>030610</t>
        </is>
      </c>
      <c r="E11133" s="3" t="inlineStr">
        <is>
          <t>일괄신고추가서류(기타파생결합사채)</t>
        </is>
      </c>
      <c r="F11133" s="3" t="inlineStr">
        <is>
          <t>교보증권</t>
        </is>
      </c>
      <c r="G11133" s="2" t="inlineStr">
        <is>
          <t>20260612000085</t>
        </is>
      </c>
      <c r="H11133" s="8">
        <f>HYPERLINK("https://dart.fss.or.kr/dsaf001/main.do?rcpNo=20260612000085", "공시열람")</f>
        <v/>
      </c>
    </row>
    <row r="11134">
      <c r="A11134" s="2" t="inlineStr">
        <is>
          <t>2026-06-12</t>
        </is>
      </c>
      <c r="B11134" s="3" t="inlineStr">
        <is>
          <t>롯데리츠</t>
        </is>
      </c>
      <c r="C11134" s="2" t="inlineStr">
        <is>
          <t>코스피</t>
        </is>
      </c>
      <c r="D11134" s="2" t="inlineStr">
        <is>
          <t>330590</t>
        </is>
      </c>
      <c r="E11134" s="3" t="inlineStr">
        <is>
          <t xml:space="preserve">주주명부폐쇄기간또는기준일설정              </t>
        </is>
      </c>
      <c r="F11134" s="3" t="inlineStr">
        <is>
          <t>롯데리츠</t>
        </is>
      </c>
      <c r="G11134" s="2" t="inlineStr">
        <is>
          <t>20260612800177</t>
        </is>
      </c>
      <c r="H11134" s="8">
        <f>HYPERLINK("https://dart.fss.or.kr/dsaf001/main.do?rcpNo=20260612800177", "공시열람")</f>
        <v/>
      </c>
    </row>
    <row r="11135">
      <c r="A11135" s="2" t="inlineStr">
        <is>
          <t>2026-06-12</t>
        </is>
      </c>
      <c r="B11135" s="3" t="inlineStr">
        <is>
          <t>교보증권</t>
        </is>
      </c>
      <c r="C11135" s="2" t="inlineStr">
        <is>
          <t>코스피</t>
        </is>
      </c>
      <c r="D11135" s="2" t="inlineStr">
        <is>
          <t>030610</t>
        </is>
      </c>
      <c r="E11135" s="3" t="inlineStr">
        <is>
          <t>일괄신고추가서류(파생결합사채-주가연계파생결합사채)</t>
        </is>
      </c>
      <c r="F11135" s="3" t="inlineStr">
        <is>
          <t>교보증권</t>
        </is>
      </c>
      <c r="G11135" s="2" t="inlineStr">
        <is>
          <t>20260612000076</t>
        </is>
      </c>
      <c r="H11135" s="8">
        <f>HYPERLINK("https://dart.fss.or.kr/dsaf001/main.do?rcpNo=20260612000076", "공시열람")</f>
        <v/>
      </c>
    </row>
    <row r="11136">
      <c r="A11136" s="2" t="inlineStr">
        <is>
          <t>2026-06-12</t>
        </is>
      </c>
      <c r="B11136" s="3" t="inlineStr">
        <is>
          <t>교보증권</t>
        </is>
      </c>
      <c r="C11136" s="2" t="inlineStr">
        <is>
          <t>코스피</t>
        </is>
      </c>
      <c r="D11136" s="2" t="inlineStr">
        <is>
          <t>030610</t>
        </is>
      </c>
      <c r="E11136" s="3" t="inlineStr">
        <is>
          <t>일괄신고추가서류(파생결합증권-주가연계증권)</t>
        </is>
      </c>
      <c r="F11136" s="3" t="inlineStr">
        <is>
          <t>교보증권</t>
        </is>
      </c>
      <c r="G11136" s="2" t="inlineStr">
        <is>
          <t>20260612000073</t>
        </is>
      </c>
      <c r="H11136" s="8">
        <f>HYPERLINK("https://dart.fss.or.kr/dsaf001/main.do?rcpNo=20260612000073", "공시열람")</f>
        <v/>
      </c>
    </row>
    <row r="11137">
      <c r="A11137" s="2" t="inlineStr">
        <is>
          <t>2026-06-12</t>
        </is>
      </c>
      <c r="B11137" s="3" t="inlineStr">
        <is>
          <t>한화투자증권</t>
        </is>
      </c>
      <c r="C11137" s="2" t="inlineStr">
        <is>
          <t>코스피</t>
        </is>
      </c>
      <c r="D11137" s="2" t="inlineStr">
        <is>
          <t>003530</t>
        </is>
      </c>
      <c r="E11137" s="3" t="inlineStr">
        <is>
          <t>증권발행실적보고서</t>
        </is>
      </c>
      <c r="F11137" s="3" t="inlineStr">
        <is>
          <t>한화투자증권</t>
        </is>
      </c>
      <c r="G11137" s="2" t="inlineStr">
        <is>
          <t>20260612000070</t>
        </is>
      </c>
      <c r="H11137" s="8">
        <f>HYPERLINK("https://dart.fss.or.kr/dsaf001/main.do?rcpNo=20260612000070", "공시열람")</f>
        <v/>
      </c>
    </row>
    <row r="11138">
      <c r="A11138" s="2" t="inlineStr">
        <is>
          <t>2026-06-12</t>
        </is>
      </c>
      <c r="B11138" s="3" t="inlineStr">
        <is>
          <t>한화투자증권</t>
        </is>
      </c>
      <c r="C11138" s="2" t="inlineStr">
        <is>
          <t>코스피</t>
        </is>
      </c>
      <c r="D11138" s="2" t="inlineStr">
        <is>
          <t>003530</t>
        </is>
      </c>
      <c r="E11138" s="3" t="inlineStr">
        <is>
          <t>증권발행실적보고서</t>
        </is>
      </c>
      <c r="F11138" s="3" t="inlineStr">
        <is>
          <t>한화투자증권</t>
        </is>
      </c>
      <c r="G11138" s="2" t="inlineStr">
        <is>
          <t>20260612000060</t>
        </is>
      </c>
      <c r="H11138" s="8">
        <f>HYPERLINK("https://dart.fss.or.kr/dsaf001/main.do?rcpNo=20260612000060", "공시열람")</f>
        <v/>
      </c>
    </row>
    <row r="11139">
      <c r="A11139" s="2" t="inlineStr">
        <is>
          <t>2026-06-12</t>
        </is>
      </c>
      <c r="B11139" s="3" t="inlineStr">
        <is>
          <t>엑셈</t>
        </is>
      </c>
      <c r="C11139" s="2" t="inlineStr">
        <is>
          <t>코스닥</t>
        </is>
      </c>
      <c r="D11139" s="2" t="inlineStr">
        <is>
          <t>205100</t>
        </is>
      </c>
      <c r="E11139" s="3" t="inlineStr">
        <is>
          <t xml:space="preserve">주주명부폐쇄기간또는기준일설정              </t>
        </is>
      </c>
      <c r="F11139" s="3" t="inlineStr">
        <is>
          <t>엑셈</t>
        </is>
      </c>
      <c r="G11139" s="2" t="inlineStr">
        <is>
          <t>20260612900238</t>
        </is>
      </c>
      <c r="H11139" s="8">
        <f>HYPERLINK("https://dart.fss.or.kr/dsaf001/main.do?rcpNo=20260612900238", "공시열람")</f>
        <v/>
      </c>
    </row>
    <row r="11140">
      <c r="A11140" s="2" t="inlineStr">
        <is>
          <t>2026-06-12</t>
        </is>
      </c>
      <c r="B11140" s="3" t="inlineStr">
        <is>
          <t>비트컴퓨터</t>
        </is>
      </c>
      <c r="C11140" s="2" t="inlineStr">
        <is>
          <t>코스닥</t>
        </is>
      </c>
      <c r="D11140" s="2" t="inlineStr">
        <is>
          <t>032850</t>
        </is>
      </c>
      <c r="E11140" s="3" t="inlineStr">
        <is>
          <t>임원ㆍ주요주주특정증권등소유상황보고서</t>
        </is>
      </c>
      <c r="F11140" s="3" t="inlineStr">
        <is>
          <t>조현정</t>
        </is>
      </c>
      <c r="G11140" s="2" t="inlineStr">
        <is>
          <t>20260612000055</t>
        </is>
      </c>
      <c r="H11140" s="8">
        <f>HYPERLINK("https://dart.fss.or.kr/dsaf001/main.do?rcpNo=20260612000055", "공시열람")</f>
        <v/>
      </c>
    </row>
    <row r="11141">
      <c r="A11141" s="2" t="inlineStr">
        <is>
          <t>2026-06-12</t>
        </is>
      </c>
      <c r="B11141" s="3" t="inlineStr">
        <is>
          <t>유니테크노</t>
        </is>
      </c>
      <c r="C11141" s="2" t="inlineStr">
        <is>
          <t>코스닥</t>
        </is>
      </c>
      <c r="D11141" s="2" t="inlineStr">
        <is>
          <t>241690</t>
        </is>
      </c>
      <c r="E11141" s="3" t="inlineStr">
        <is>
          <t xml:space="preserve">중간(분기)배당을위한주주명부폐쇄(기준일)결정              </t>
        </is>
      </c>
      <c r="F11141" s="3" t="inlineStr">
        <is>
          <t>유니테크노</t>
        </is>
      </c>
      <c r="G11141" s="2" t="inlineStr">
        <is>
          <t>20260612900231</t>
        </is>
      </c>
      <c r="H11141" s="8">
        <f>HYPERLINK("https://dart.fss.or.kr/dsaf001/main.do?rcpNo=20260612900231", "공시열람")</f>
        <v/>
      </c>
    </row>
    <row r="11142">
      <c r="A11142" s="2" t="inlineStr">
        <is>
          <t>2026-06-12</t>
        </is>
      </c>
      <c r="B11142" s="3" t="inlineStr">
        <is>
          <t>다이나믹솔루션</t>
        </is>
      </c>
      <c r="C11142" s="2" t="inlineStr">
        <is>
          <t>코스닥</t>
        </is>
      </c>
      <c r="D11142" s="2" t="inlineStr">
        <is>
          <t>290660</t>
        </is>
      </c>
      <c r="E11142" s="3" t="inlineStr">
        <is>
          <t>임원ㆍ주요주주특정증권등소유상황보고서</t>
        </is>
      </c>
      <c r="F11142" s="3" t="inlineStr">
        <is>
          <t>유철호</t>
        </is>
      </c>
      <c r="G11142" s="2" t="inlineStr">
        <is>
          <t>20260612000052</t>
        </is>
      </c>
      <c r="H11142" s="8">
        <f>HYPERLINK("https://dart.fss.or.kr/dsaf001/main.do?rcpNo=20260612000052", "공시열람")</f>
        <v/>
      </c>
    </row>
    <row r="11143">
      <c r="A11143" s="2" t="inlineStr">
        <is>
          <t>2026-06-12</t>
        </is>
      </c>
      <c r="B11143" s="3" t="inlineStr">
        <is>
          <t>엔케이</t>
        </is>
      </c>
      <c r="C11143" s="2" t="inlineStr">
        <is>
          <t>코스피</t>
        </is>
      </c>
      <c r="D11143" s="2" t="inlineStr">
        <is>
          <t>085310</t>
        </is>
      </c>
      <c r="E11143" s="3" t="inlineStr">
        <is>
          <t>임원ㆍ주요주주특정증권등소유상황보고서</t>
        </is>
      </c>
      <c r="F11143" s="3" t="inlineStr">
        <is>
          <t>박제완</t>
        </is>
      </c>
      <c r="G11143" s="2" t="inlineStr">
        <is>
          <t>20260612000048</t>
        </is>
      </c>
      <c r="H11143" s="8">
        <f>HYPERLINK("https://dart.fss.or.kr/dsaf001/main.do?rcpNo=20260612000048", "공시열람")</f>
        <v/>
      </c>
    </row>
    <row r="11144">
      <c r="A11144" s="2" t="inlineStr">
        <is>
          <t>2026-06-12 (정정: 2026-06-12)</t>
        </is>
      </c>
      <c r="B11144" s="3" t="inlineStr">
        <is>
          <t>씨씨에스</t>
        </is>
      </c>
      <c r="C11144" s="2" t="inlineStr">
        <is>
          <t>코스닥</t>
        </is>
      </c>
      <c r="D11144" s="2" t="inlineStr">
        <is>
          <t>066790</t>
        </is>
      </c>
      <c r="E11144" s="3" t="inlineStr">
        <is>
          <t>[첨부정정]의결권대리행사권유참고서류 (정정: 20260612)</t>
        </is>
      </c>
      <c r="F11144" s="3" t="inlineStr">
        <is>
          <t>김정혁</t>
        </is>
      </c>
      <c r="G11144" s="2" t="inlineStr">
        <is>
          <t>20260612000042</t>
        </is>
      </c>
      <c r="H11144" s="8">
        <f>HYPERLINK("https://dart.fss.or.kr/dsaf001/main.do?rcpNo=20260612000042", "공시열람")</f>
        <v/>
      </c>
    </row>
    <row r="11145">
      <c r="A11145" s="2" t="inlineStr">
        <is>
          <t>2026-06-12</t>
        </is>
      </c>
      <c r="B11145" s="3" t="inlineStr">
        <is>
          <t>옵트론텍</t>
        </is>
      </c>
      <c r="C11145" s="2" t="inlineStr">
        <is>
          <t>코스닥</t>
        </is>
      </c>
      <c r="D11145" s="2" t="inlineStr">
        <is>
          <t>082210</t>
        </is>
      </c>
      <c r="E11145" s="3" t="inlineStr">
        <is>
          <t>임원ㆍ주요주주특정증권등소유상황보고서</t>
        </is>
      </c>
      <c r="F11145" s="3" t="inlineStr">
        <is>
          <t>CHOISANGHO,CORP.</t>
        </is>
      </c>
      <c r="G11145" s="2" t="inlineStr">
        <is>
          <t>20260612000041</t>
        </is>
      </c>
      <c r="H11145" s="8">
        <f>HYPERLINK("https://dart.fss.or.kr/dsaf001/main.do?rcpNo=20260612000041", "공시열람")</f>
        <v/>
      </c>
    </row>
    <row r="11146">
      <c r="A11146" s="2" t="inlineStr">
        <is>
          <t>2026-06-12</t>
        </is>
      </c>
      <c r="B11146" s="3" t="inlineStr">
        <is>
          <t>앤씨앤</t>
        </is>
      </c>
      <c r="C11146" s="2" t="inlineStr">
        <is>
          <t>코스닥</t>
        </is>
      </c>
      <c r="D11146" s="2" t="inlineStr">
        <is>
          <t>092600</t>
        </is>
      </c>
      <c r="E11146" s="3" t="inlineStr">
        <is>
          <t>임원ㆍ주요주주특정증권등소유상황보고서</t>
        </is>
      </c>
      <c r="F11146" s="3" t="inlineStr">
        <is>
          <t>최종현</t>
        </is>
      </c>
      <c r="G11146" s="2" t="inlineStr">
        <is>
          <t>20260612000040</t>
        </is>
      </c>
      <c r="H11146" s="8">
        <f>HYPERLINK("https://dart.fss.or.kr/dsaf001/main.do?rcpNo=20260612000040", "공시열람")</f>
        <v/>
      </c>
    </row>
    <row r="11147">
      <c r="A11147" s="2" t="inlineStr">
        <is>
          <t>2026-06-12</t>
        </is>
      </c>
      <c r="B11147" s="3" t="inlineStr">
        <is>
          <t>다이나믹솔루션</t>
        </is>
      </c>
      <c r="C11147" s="2" t="inlineStr">
        <is>
          <t>코스닥</t>
        </is>
      </c>
      <c r="D11147" s="2" t="inlineStr">
        <is>
          <t>290660</t>
        </is>
      </c>
      <c r="E11147" s="3" t="inlineStr">
        <is>
          <t>임원ㆍ주요주주특정증권등소유상황보고서</t>
        </is>
      </c>
      <c r="F11147" s="3" t="inlineStr">
        <is>
          <t>여미미디어</t>
        </is>
      </c>
      <c r="G11147" s="2" t="inlineStr">
        <is>
          <t>20260612000038</t>
        </is>
      </c>
      <c r="H11147" s="8">
        <f>HYPERLINK("https://dart.fss.or.kr/dsaf001/main.do?rcpNo=20260612000038", "공시열람")</f>
        <v/>
      </c>
    </row>
    <row r="11148">
      <c r="A11148" s="2" t="inlineStr">
        <is>
          <t>2026-06-12</t>
        </is>
      </c>
      <c r="B11148" s="3" t="inlineStr">
        <is>
          <t>에코아이</t>
        </is>
      </c>
      <c r="C11148" s="2" t="inlineStr">
        <is>
          <t>코스닥</t>
        </is>
      </c>
      <c r="D11148" s="2" t="inlineStr">
        <is>
          <t>448280</t>
        </is>
      </c>
      <c r="E11148" s="3" t="inlineStr">
        <is>
          <t>임원ㆍ주요주주특정증권등소유상황보고서</t>
        </is>
      </c>
      <c r="F11148" s="3" t="inlineStr">
        <is>
          <t>전종수</t>
        </is>
      </c>
      <c r="G11148" s="2" t="inlineStr">
        <is>
          <t>20260612000035</t>
        </is>
      </c>
      <c r="H11148" s="8">
        <f>HYPERLINK("https://dart.fss.or.kr/dsaf001/main.do?rcpNo=20260612000035", "공시열람")</f>
        <v/>
      </c>
    </row>
    <row r="11149">
      <c r="A11149" s="2" t="inlineStr">
        <is>
          <t>2026-06-12</t>
        </is>
      </c>
      <c r="B11149" s="3" t="inlineStr">
        <is>
          <t>삼성증권</t>
        </is>
      </c>
      <c r="C11149" s="2" t="inlineStr">
        <is>
          <t>코스피</t>
        </is>
      </c>
      <c r="D11149" s="2" t="inlineStr">
        <is>
          <t>016360</t>
        </is>
      </c>
      <c r="E11149" s="3" t="inlineStr">
        <is>
          <t>증권발행실적보고서</t>
        </is>
      </c>
      <c r="F11149" s="3" t="inlineStr">
        <is>
          <t>삼성증권</t>
        </is>
      </c>
      <c r="G11149" s="2" t="inlineStr">
        <is>
          <t>20260612000032</t>
        </is>
      </c>
      <c r="H11149" s="8">
        <f>HYPERLINK("https://dart.fss.or.kr/dsaf001/main.do?rcpNo=20260612000032", "공시열람")</f>
        <v/>
      </c>
    </row>
    <row r="11150">
      <c r="A11150" s="2" t="inlineStr">
        <is>
          <t>2026-06-12</t>
        </is>
      </c>
      <c r="B11150" s="3" t="inlineStr">
        <is>
          <t>성광벤드</t>
        </is>
      </c>
      <c r="C11150" s="2" t="inlineStr">
        <is>
          <t>코스닥</t>
        </is>
      </c>
      <c r="D11150" s="2" t="inlineStr">
        <is>
          <t>014620</t>
        </is>
      </c>
      <c r="E11150" s="3" t="inlineStr">
        <is>
          <t xml:space="preserve">기업설명회(IR)개최              </t>
        </is>
      </c>
      <c r="F11150" s="3" t="inlineStr">
        <is>
          <t>성광벤드</t>
        </is>
      </c>
      <c r="G11150" s="2" t="inlineStr">
        <is>
          <t>20260612900178</t>
        </is>
      </c>
      <c r="H11150" s="8">
        <f>HYPERLINK("https://dart.fss.or.kr/dsaf001/main.do?rcpNo=20260612900178", "공시열람")</f>
        <v/>
      </c>
    </row>
    <row r="11151">
      <c r="A11151" s="2" t="inlineStr">
        <is>
          <t>2026-06-12</t>
        </is>
      </c>
      <c r="B11151" s="3" t="inlineStr">
        <is>
          <t>유니켐</t>
        </is>
      </c>
      <c r="C11151" s="2" t="inlineStr">
        <is>
          <t>코스피</t>
        </is>
      </c>
      <c r="D11151" s="2" t="inlineStr">
        <is>
          <t>011330</t>
        </is>
      </c>
      <c r="E11151" s="3" t="inlineStr">
        <is>
          <t xml:space="preserve">전환가액ㆍ신주인수권행사가액ㆍ교환가액의조정(안내공시)              </t>
        </is>
      </c>
      <c r="F11151" s="3" t="inlineStr">
        <is>
          <t>유니켐</t>
        </is>
      </c>
      <c r="G11151" s="2" t="inlineStr">
        <is>
          <t>20260612800160</t>
        </is>
      </c>
      <c r="H11151" s="8">
        <f>HYPERLINK("https://dart.fss.or.kr/dsaf001/main.do?rcpNo=20260612800160", "공시열람")</f>
        <v/>
      </c>
    </row>
    <row r="11152">
      <c r="A11152" s="2" t="inlineStr">
        <is>
          <t>2026-06-12</t>
        </is>
      </c>
      <c r="B11152" s="3" t="inlineStr">
        <is>
          <t>유니켐</t>
        </is>
      </c>
      <c r="C11152" s="2" t="inlineStr">
        <is>
          <t>코스피</t>
        </is>
      </c>
      <c r="D11152" s="2" t="inlineStr">
        <is>
          <t>011330</t>
        </is>
      </c>
      <c r="E11152" s="3" t="inlineStr">
        <is>
          <t xml:space="preserve">전환가액ㆍ신주인수권행사가액ㆍ교환가액의조정(안내공시)              </t>
        </is>
      </c>
      <c r="F11152" s="3" t="inlineStr">
        <is>
          <t>유니켐</t>
        </is>
      </c>
      <c r="G11152" s="2" t="inlineStr">
        <is>
          <t>20260612800155</t>
        </is>
      </c>
      <c r="H11152" s="8">
        <f>HYPERLINK("https://dart.fss.or.kr/dsaf001/main.do?rcpNo=20260612800155", "공시열람")</f>
        <v/>
      </c>
    </row>
    <row r="11153">
      <c r="A11153" s="2" t="inlineStr">
        <is>
          <t>2026-06-12</t>
        </is>
      </c>
      <c r="B11153" s="3" t="inlineStr">
        <is>
          <t>삼성증권</t>
        </is>
      </c>
      <c r="C11153" s="2" t="inlineStr">
        <is>
          <t>코스피</t>
        </is>
      </c>
      <c r="D11153" s="2" t="inlineStr">
        <is>
          <t>016360</t>
        </is>
      </c>
      <c r="E11153" s="3" t="inlineStr">
        <is>
          <t>증권발행실적보고서</t>
        </is>
      </c>
      <c r="F11153" s="3" t="inlineStr">
        <is>
          <t>삼성증권</t>
        </is>
      </c>
      <c r="G11153" s="2" t="inlineStr">
        <is>
          <t>20260612000021</t>
        </is>
      </c>
      <c r="H11153" s="8">
        <f>HYPERLINK("https://dart.fss.or.kr/dsaf001/main.do?rcpNo=20260612000021", "공시열람")</f>
        <v/>
      </c>
    </row>
    <row r="11154">
      <c r="A11154" s="2" t="inlineStr">
        <is>
          <t>2026-06-12</t>
        </is>
      </c>
      <c r="B11154" s="3" t="inlineStr">
        <is>
          <t>유안타증권</t>
        </is>
      </c>
      <c r="C11154" s="2" t="inlineStr">
        <is>
          <t>코스피</t>
        </is>
      </c>
      <c r="D11154" s="2" t="inlineStr">
        <is>
          <t>003470</t>
        </is>
      </c>
      <c r="E11154" s="3" t="inlineStr">
        <is>
          <t>증권발행실적보고서</t>
        </is>
      </c>
      <c r="F11154" s="3" t="inlineStr">
        <is>
          <t>유안타증권</t>
        </is>
      </c>
      <c r="G11154" s="2" t="inlineStr">
        <is>
          <t>20260612000020</t>
        </is>
      </c>
      <c r="H11154" s="8">
        <f>HYPERLINK("https://dart.fss.or.kr/dsaf001/main.do?rcpNo=20260612000020", "공시열람")</f>
        <v/>
      </c>
    </row>
    <row r="11155">
      <c r="A11155" s="2" t="inlineStr">
        <is>
          <t>2026-06-12 (정정: 2026-06-15)</t>
        </is>
      </c>
      <c r="B11155" s="3" t="inlineStr">
        <is>
          <t>한미반도체</t>
        </is>
      </c>
      <c r="C11155" s="2" t="inlineStr">
        <is>
          <t>코스피</t>
        </is>
      </c>
      <c r="D11155" s="2" t="inlineStr">
        <is>
          <t>042700</t>
        </is>
      </c>
      <c r="E11155" s="3" t="inlineStr">
        <is>
          <t>타법인주식및출자증권취득결정               (정정: 20260615)</t>
        </is>
      </c>
      <c r="F11155" s="3" t="inlineStr">
        <is>
          <t>한미반도체</t>
        </is>
      </c>
      <c r="G11155" s="2" t="inlineStr">
        <is>
          <t>20260615800107</t>
        </is>
      </c>
      <c r="H11155" s="8">
        <f>HYPERLINK("https://dart.fss.or.kr/dsaf001/main.do?rcpNo=20260615800107", "공시열람")</f>
        <v/>
      </c>
    </row>
    <row r="11156">
      <c r="A11156" s="2" t="inlineStr">
        <is>
          <t>2026-06-12</t>
        </is>
      </c>
      <c r="B11156" s="3" t="inlineStr">
        <is>
          <t>키움증권</t>
        </is>
      </c>
      <c r="C11156" s="2" t="inlineStr">
        <is>
          <t>코스피</t>
        </is>
      </c>
      <c r="D11156" s="2" t="inlineStr">
        <is>
          <t>039490</t>
        </is>
      </c>
      <c r="E11156" s="3" t="inlineStr">
        <is>
          <t>증권발행실적보고서</t>
        </is>
      </c>
      <c r="F11156" s="3" t="inlineStr">
        <is>
          <t>키움증권</t>
        </is>
      </c>
      <c r="G11156" s="2" t="inlineStr">
        <is>
          <t>20260612000014</t>
        </is>
      </c>
      <c r="H11156" s="8">
        <f>HYPERLINK("https://dart.fss.or.kr/dsaf001/main.do?rcpNo=20260612000014", "공시열람")</f>
        <v/>
      </c>
    </row>
    <row r="11157">
      <c r="A11157" s="2" t="inlineStr">
        <is>
          <t>2026-06-12</t>
        </is>
      </c>
      <c r="B11157" s="3" t="inlineStr">
        <is>
          <t>유진증권</t>
        </is>
      </c>
      <c r="C11157" s="2" t="inlineStr">
        <is>
          <t>코스피</t>
        </is>
      </c>
      <c r="D11157" s="2" t="inlineStr">
        <is>
          <t>001200</t>
        </is>
      </c>
      <c r="E11157" s="3" t="inlineStr">
        <is>
          <t>증권발행실적보고서</t>
        </is>
      </c>
      <c r="F11157" s="3" t="inlineStr">
        <is>
          <t>유진증권</t>
        </is>
      </c>
      <c r="G11157" s="2" t="inlineStr">
        <is>
          <t>20260612000011</t>
        </is>
      </c>
      <c r="H11157" s="8">
        <f>HYPERLINK("https://dart.fss.or.kr/dsaf001/main.do?rcpNo=20260612000011", "공시열람")</f>
        <v/>
      </c>
    </row>
    <row r="11158">
      <c r="A11158" s="2" t="inlineStr">
        <is>
          <t>2026-06-12</t>
        </is>
      </c>
      <c r="B11158" s="3" t="inlineStr">
        <is>
          <t>키움증권</t>
        </is>
      </c>
      <c r="C11158" s="2" t="inlineStr">
        <is>
          <t>코스피</t>
        </is>
      </c>
      <c r="D11158" s="2" t="inlineStr">
        <is>
          <t>039490</t>
        </is>
      </c>
      <c r="E11158" s="3" t="inlineStr">
        <is>
          <t>증권발행실적보고서</t>
        </is>
      </c>
      <c r="F11158" s="3" t="inlineStr">
        <is>
          <t>키움증권</t>
        </is>
      </c>
      <c r="G11158" s="2" t="inlineStr">
        <is>
          <t>20260612000009</t>
        </is>
      </c>
      <c r="H11158" s="8">
        <f>HYPERLINK("https://dart.fss.or.kr/dsaf001/main.do?rcpNo=20260612000009", "공시열람")</f>
        <v/>
      </c>
    </row>
    <row r="11159">
      <c r="A11159" s="2" t="inlineStr">
        <is>
          <t>2026-06-12</t>
        </is>
      </c>
      <c r="B11159" s="3" t="inlineStr">
        <is>
          <t>키움증권</t>
        </is>
      </c>
      <c r="C11159" s="2" t="inlineStr">
        <is>
          <t>코스피</t>
        </is>
      </c>
      <c r="D11159" s="2" t="inlineStr">
        <is>
          <t>039490</t>
        </is>
      </c>
      <c r="E11159" s="3" t="inlineStr">
        <is>
          <t>증권발행실적보고서</t>
        </is>
      </c>
      <c r="F11159" s="3" t="inlineStr">
        <is>
          <t>키움증권</t>
        </is>
      </c>
      <c r="G11159" s="2" t="inlineStr">
        <is>
          <t>20260612000008</t>
        </is>
      </c>
      <c r="H11159" s="8">
        <f>HYPERLINK("https://dart.fss.or.kr/dsaf001/main.do?rcpNo=20260612000008", "공시열람")</f>
        <v/>
      </c>
    </row>
    <row r="11160">
      <c r="A11160" s="2" t="inlineStr">
        <is>
          <t>2026-06-12</t>
        </is>
      </c>
      <c r="B11160" s="3" t="inlineStr">
        <is>
          <t>대호에이엘</t>
        </is>
      </c>
      <c r="C11160" s="2" t="inlineStr">
        <is>
          <t>코스피</t>
        </is>
      </c>
      <c r="D11160" s="2" t="inlineStr">
        <is>
          <t>069460</t>
        </is>
      </c>
      <c r="E11160" s="3" t="inlineStr">
        <is>
          <t xml:space="preserve">투자판단관련주요경영사항              </t>
        </is>
      </c>
      <c r="F11160" s="3" t="inlineStr">
        <is>
          <t>대호에이엘</t>
        </is>
      </c>
      <c r="G11160" s="2" t="inlineStr">
        <is>
          <t>20260612800024</t>
        </is>
      </c>
      <c r="H11160" s="8">
        <f>HYPERLINK("https://dart.fss.or.kr/dsaf001/main.do?rcpNo=20260612800024", "공시열람")</f>
        <v/>
      </c>
    </row>
    <row r="11161">
      <c r="A11161" s="2" t="inlineStr">
        <is>
          <t>2026-06-12</t>
        </is>
      </c>
      <c r="B11161" s="3" t="inlineStr">
        <is>
          <t>코디</t>
        </is>
      </c>
      <c r="C11161" s="2" t="inlineStr">
        <is>
          <t>코스닥</t>
        </is>
      </c>
      <c r="D11161" s="2" t="inlineStr">
        <is>
          <t>080530</t>
        </is>
      </c>
      <c r="E11161" s="3" t="inlineStr">
        <is>
          <t xml:space="preserve">재해발생              </t>
        </is>
      </c>
      <c r="F11161" s="3" t="inlineStr">
        <is>
          <t>코디</t>
        </is>
      </c>
      <c r="G11161" s="2" t="inlineStr">
        <is>
          <t>20260612900004</t>
        </is>
      </c>
      <c r="H11161" s="8">
        <f>HYPERLINK("https://dart.fss.or.kr/dsaf001/main.do?rcpNo=20260612900004", "공시열람")</f>
        <v/>
      </c>
    </row>
    <row r="11162">
      <c r="A11162" s="2" t="inlineStr">
        <is>
          <t>2026-06-12</t>
        </is>
      </c>
      <c r="B11162" s="3" t="inlineStr">
        <is>
          <t>아이오케이이엔엠</t>
        </is>
      </c>
      <c r="C11162" s="2" t="inlineStr">
        <is>
          <t>코스닥</t>
        </is>
      </c>
      <c r="D11162" s="2" t="inlineStr">
        <is>
          <t>078860</t>
        </is>
      </c>
      <c r="E11162" s="3" t="inlineStr">
        <is>
          <t>[기재정정]소액공모공시서류(지분증권)</t>
        </is>
      </c>
      <c r="F11162" s="3" t="inlineStr">
        <is>
          <t>아이오케이이엔엠</t>
        </is>
      </c>
      <c r="G11162" s="2" t="inlineStr">
        <is>
          <t>20260611000684</t>
        </is>
      </c>
      <c r="H11162" s="8">
        <f>HYPERLINK("https://dart.fss.or.kr/dsaf001/main.do?rcpNo=20260611000684", "공시열람")</f>
        <v/>
      </c>
    </row>
    <row r="11163">
      <c r="A11163" s="2" t="inlineStr">
        <is>
          <t>2026-06-15</t>
        </is>
      </c>
      <c r="B11163" s="3" t="inlineStr">
        <is>
          <t>웅진</t>
        </is>
      </c>
      <c r="C11163" s="2" t="inlineStr">
        <is>
          <t>코스피</t>
        </is>
      </c>
      <c r="D11163" s="2" t="inlineStr">
        <is>
          <t>016880</t>
        </is>
      </c>
      <c r="E11163" s="3" t="inlineStr">
        <is>
          <t xml:space="preserve">투자판단관련주요경영사항              </t>
        </is>
      </c>
      <c r="F11163" s="3" t="inlineStr">
        <is>
          <t>웅진</t>
        </is>
      </c>
      <c r="G11163" s="2" t="inlineStr">
        <is>
          <t>20260615800965</t>
        </is>
      </c>
      <c r="H11163" s="8">
        <f>HYPERLINK("https://dart.fss.or.kr/dsaf001/main.do?rcpNo=20260615800965", "공시열람")</f>
        <v/>
      </c>
    </row>
    <row r="11164">
      <c r="A11164" s="2" t="inlineStr">
        <is>
          <t>2026-06-15 (정정: 2026-06-15)</t>
        </is>
      </c>
      <c r="B11164" s="3" t="inlineStr">
        <is>
          <t>엠젠솔루션</t>
        </is>
      </c>
      <c r="C11164" s="2" t="inlineStr">
        <is>
          <t>코스닥</t>
        </is>
      </c>
      <c r="D11164" s="2" t="inlineStr">
        <is>
          <t>032790</t>
        </is>
      </c>
      <c r="E11164" s="3" t="inlineStr">
        <is>
          <t>대표이사변경               (정정: 20260615)</t>
        </is>
      </c>
      <c r="F11164" s="3" t="inlineStr">
        <is>
          <t>엠젠솔루션</t>
        </is>
      </c>
      <c r="G11164" s="2" t="inlineStr">
        <is>
          <t>20260615000429</t>
        </is>
      </c>
      <c r="H11164" s="8">
        <f>HYPERLINK("https://dart.fss.or.kr/dsaf001/main.do?rcpNo=20260615000429", "공시열람")</f>
        <v/>
      </c>
    </row>
    <row r="11165">
      <c r="A11165" s="2" t="inlineStr">
        <is>
          <t>2026-06-15</t>
        </is>
      </c>
      <c r="B11165" s="3" t="inlineStr">
        <is>
          <t>루켄테크놀러지스</t>
        </is>
      </c>
      <c r="C11165" s="2" t="inlineStr">
        <is>
          <t>코넥스</t>
        </is>
      </c>
      <c r="D11165" s="2" t="inlineStr">
        <is>
          <t>162120</t>
        </is>
      </c>
      <c r="E11165" s="3" t="inlineStr">
        <is>
          <t>조회공시요구(풍문또는보도)              (코스닥시장 이전상장 추진설)</t>
        </is>
      </c>
      <c r="F11165" s="3" t="inlineStr">
        <is>
          <t>코넥스시장</t>
        </is>
      </c>
      <c r="G11165" s="2" t="inlineStr">
        <is>
          <t>20260615600924</t>
        </is>
      </c>
      <c r="H11165" s="8">
        <f>HYPERLINK("https://dart.fss.or.kr/dsaf001/main.do?rcpNo=20260615600924", "공시열람")</f>
        <v/>
      </c>
    </row>
    <row r="11166">
      <c r="A11166" s="2" t="inlineStr">
        <is>
          <t>2026-06-15</t>
        </is>
      </c>
      <c r="B11166" s="3" t="inlineStr">
        <is>
          <t>세방전지</t>
        </is>
      </c>
      <c r="C11166" s="2" t="inlineStr">
        <is>
          <t>코스피</t>
        </is>
      </c>
      <c r="D11166" s="2" t="inlineStr">
        <is>
          <t>004490</t>
        </is>
      </c>
      <c r="E11166" s="3" t="inlineStr">
        <is>
          <t xml:space="preserve">타법인주식및출자증권취득결정(종속회사의주요경영사항)              </t>
        </is>
      </c>
      <c r="F11166" s="3" t="inlineStr">
        <is>
          <t>세방전지</t>
        </is>
      </c>
      <c r="G11166" s="2" t="inlineStr">
        <is>
          <t>20260615800929</t>
        </is>
      </c>
      <c r="H11166" s="8">
        <f>HYPERLINK("https://dart.fss.or.kr/dsaf001/main.do?rcpNo=20260615800929", "공시열람")</f>
        <v/>
      </c>
    </row>
    <row r="11167">
      <c r="A11167" s="2" t="inlineStr">
        <is>
          <t>2026-06-15</t>
        </is>
      </c>
      <c r="B11167" s="3" t="inlineStr">
        <is>
          <t>유안타증권</t>
        </is>
      </c>
      <c r="C11167" s="2" t="inlineStr">
        <is>
          <t>코스피</t>
        </is>
      </c>
      <c r="D11167" s="2" t="inlineStr">
        <is>
          <t>003470</t>
        </is>
      </c>
      <c r="E11167" s="3" t="inlineStr">
        <is>
          <t>투자설명서(일괄신고)</t>
        </is>
      </c>
      <c r="F11167" s="3" t="inlineStr">
        <is>
          <t>유안타증권</t>
        </is>
      </c>
      <c r="G11167" s="2" t="inlineStr">
        <is>
          <t>20260615000443</t>
        </is>
      </c>
      <c r="H11167" s="8">
        <f>HYPERLINK("https://dart.fss.or.kr/dsaf001/main.do?rcpNo=20260615000443", "공시열람")</f>
        <v/>
      </c>
    </row>
    <row r="11168">
      <c r="A11168" s="2" t="inlineStr">
        <is>
          <t>2026-06-15</t>
        </is>
      </c>
      <c r="B11168" s="3" t="inlineStr">
        <is>
          <t>세방전지</t>
        </is>
      </c>
      <c r="C11168" s="2" t="inlineStr">
        <is>
          <t>코스피</t>
        </is>
      </c>
      <c r="D11168" s="2" t="inlineStr">
        <is>
          <t>004490</t>
        </is>
      </c>
      <c r="E11168" s="3" t="inlineStr">
        <is>
          <t xml:space="preserve">타법인주식및출자증권취득결정(종속회사의주요경영사항)              </t>
        </is>
      </c>
      <c r="F11168" s="3" t="inlineStr">
        <is>
          <t>세방전지</t>
        </is>
      </c>
      <c r="G11168" s="2" t="inlineStr">
        <is>
          <t>20260615800915</t>
        </is>
      </c>
      <c r="H11168" s="8">
        <f>HYPERLINK("https://dart.fss.or.kr/dsaf001/main.do?rcpNo=20260615800915", "공시열람")</f>
        <v/>
      </c>
    </row>
    <row r="11169">
      <c r="A11169" s="2" t="inlineStr">
        <is>
          <t>2026-06-15</t>
        </is>
      </c>
      <c r="B11169" s="3" t="inlineStr">
        <is>
          <t>유안타증권</t>
        </is>
      </c>
      <c r="C11169" s="2" t="inlineStr">
        <is>
          <t>코스피</t>
        </is>
      </c>
      <c r="D11169" s="2" t="inlineStr">
        <is>
          <t>003470</t>
        </is>
      </c>
      <c r="E11169" s="3" t="inlineStr">
        <is>
          <t>일괄신고추가서류(파생결합사채-주가연계파생결합사채)</t>
        </is>
      </c>
      <c r="F11169" s="3" t="inlineStr">
        <is>
          <t>유안타증권</t>
        </is>
      </c>
      <c r="G11169" s="2" t="inlineStr">
        <is>
          <t>20260615000440</t>
        </is>
      </c>
      <c r="H11169" s="8">
        <f>HYPERLINK("https://dart.fss.or.kr/dsaf001/main.do?rcpNo=20260615000440", "공시열람")</f>
        <v/>
      </c>
    </row>
    <row r="11170">
      <c r="A11170" s="2" t="inlineStr">
        <is>
          <t>2026-06-15</t>
        </is>
      </c>
      <c r="B11170" s="3" t="inlineStr">
        <is>
          <t>에코마케팅</t>
        </is>
      </c>
      <c r="C11170" s="2" t="inlineStr">
        <is>
          <t>코스닥</t>
        </is>
      </c>
      <c r="D11170" s="2" t="inlineStr">
        <is>
          <t>230360</t>
        </is>
      </c>
      <c r="E11170" s="3" t="inlineStr">
        <is>
          <t>임원ㆍ주요주주특정증권등소유상황보고서</t>
        </is>
      </c>
      <c r="F11170" s="3" t="inlineStr">
        <is>
          <t>비씨피이이에이비드코원</t>
        </is>
      </c>
      <c r="G11170" s="2" t="inlineStr">
        <is>
          <t>20260615000438</t>
        </is>
      </c>
      <c r="H11170" s="8">
        <f>HYPERLINK("https://dart.fss.or.kr/dsaf001/main.do?rcpNo=20260615000438", "공시열람")</f>
        <v/>
      </c>
    </row>
    <row r="11171">
      <c r="A11171" s="2" t="inlineStr">
        <is>
          <t>2026-06-15</t>
        </is>
      </c>
      <c r="B11171" s="3" t="inlineStr">
        <is>
          <t>버킷스튜디오</t>
        </is>
      </c>
      <c r="C11171" s="2" t="inlineStr">
        <is>
          <t>코스닥</t>
        </is>
      </c>
      <c r="D11171" s="2" t="inlineStr">
        <is>
          <t>066410</t>
        </is>
      </c>
      <c r="E11171" s="3" t="inlineStr">
        <is>
          <t>기타시장안내              (상장적격성 실질심사 사유추가 안내)</t>
        </is>
      </c>
      <c r="F11171" s="3" t="inlineStr">
        <is>
          <t>코스닥시장본부</t>
        </is>
      </c>
      <c r="G11171" s="2" t="inlineStr">
        <is>
          <t>20260615900902</t>
        </is>
      </c>
      <c r="H11171" s="8">
        <f>HYPERLINK("https://dart.fss.or.kr/dsaf001/main.do?rcpNo=20260615900902", "공시열람")</f>
        <v/>
      </c>
    </row>
    <row r="11172">
      <c r="A11172" s="2" t="inlineStr">
        <is>
          <t>2026-06-15</t>
        </is>
      </c>
      <c r="B11172" s="3" t="inlineStr">
        <is>
          <t>에스아이리소스</t>
        </is>
      </c>
      <c r="C11172" s="2" t="inlineStr">
        <is>
          <t>코스닥</t>
        </is>
      </c>
      <c r="D11172" s="2" t="inlineStr">
        <is>
          <t>065420</t>
        </is>
      </c>
      <c r="E11172" s="3" t="inlineStr">
        <is>
          <t>불성실공시법인지정예고              (공시불이행)</t>
        </is>
      </c>
      <c r="F11172" s="3" t="inlineStr">
        <is>
          <t>코스닥시장본부</t>
        </is>
      </c>
      <c r="G11172" s="2" t="inlineStr">
        <is>
          <t>20260615900891</t>
        </is>
      </c>
      <c r="H11172" s="8">
        <f>HYPERLINK("https://dart.fss.or.kr/dsaf001/main.do?rcpNo=20260615900891", "공시열람")</f>
        <v/>
      </c>
    </row>
    <row r="11173">
      <c r="A11173" s="2" t="inlineStr">
        <is>
          <t>2026-06-15</t>
        </is>
      </c>
      <c r="B11173" s="3" t="inlineStr">
        <is>
          <t>NH투자증권</t>
        </is>
      </c>
      <c r="C11173" s="2" t="inlineStr">
        <is>
          <t>코스피</t>
        </is>
      </c>
      <c r="D11173" s="2" t="inlineStr">
        <is>
          <t>005940</t>
        </is>
      </c>
      <c r="E11173" s="3" t="inlineStr">
        <is>
          <t>[발행조건확정]증권신고서(채무증권)</t>
        </is>
      </c>
      <c r="F11173" s="3" t="inlineStr">
        <is>
          <t>NH투자증권</t>
        </is>
      </c>
      <c r="G11173" s="2" t="inlineStr">
        <is>
          <t>20260615000434</t>
        </is>
      </c>
      <c r="H11173" s="8">
        <f>HYPERLINK("https://dart.fss.or.kr/dsaf001/main.do?rcpNo=20260615000434", "공시열람")</f>
        <v/>
      </c>
    </row>
    <row r="11174">
      <c r="A11174" s="2" t="inlineStr">
        <is>
          <t>2026-06-15</t>
        </is>
      </c>
      <c r="B11174" s="3" t="inlineStr">
        <is>
          <t>한화투자증권</t>
        </is>
      </c>
      <c r="C11174" s="2" t="inlineStr">
        <is>
          <t>코스피</t>
        </is>
      </c>
      <c r="D11174" s="2" t="inlineStr">
        <is>
          <t>003530</t>
        </is>
      </c>
      <c r="E11174" s="3" t="inlineStr">
        <is>
          <t>증권발행실적보고서</t>
        </is>
      </c>
      <c r="F11174" s="3" t="inlineStr">
        <is>
          <t>한화투자증권</t>
        </is>
      </c>
      <c r="G11174" s="2" t="inlineStr">
        <is>
          <t>20260615000431</t>
        </is>
      </c>
      <c r="H11174" s="8">
        <f>HYPERLINK("https://dart.fss.or.kr/dsaf001/main.do?rcpNo=20260615000431", "공시열람")</f>
        <v/>
      </c>
    </row>
    <row r="11175">
      <c r="A11175" s="2" t="inlineStr">
        <is>
          <t>2026-06-15</t>
        </is>
      </c>
      <c r="B11175" s="3" t="inlineStr">
        <is>
          <t>버킷스튜디오</t>
        </is>
      </c>
      <c r="C11175" s="2" t="inlineStr">
        <is>
          <t>코스닥</t>
        </is>
      </c>
      <c r="D11175" s="2" t="inlineStr">
        <is>
          <t>066410</t>
        </is>
      </c>
      <c r="E11175" s="3" t="inlineStr">
        <is>
          <t>불성실공시법인지정              (공시번복)</t>
        </is>
      </c>
      <c r="F11175" s="3" t="inlineStr">
        <is>
          <t>코스닥시장본부</t>
        </is>
      </c>
      <c r="G11175" s="2" t="inlineStr">
        <is>
          <t>20260615900890</t>
        </is>
      </c>
      <c r="H11175" s="8">
        <f>HYPERLINK("https://dart.fss.or.kr/dsaf001/main.do?rcpNo=20260615900890", "공시열람")</f>
        <v/>
      </c>
    </row>
    <row r="11176">
      <c r="A11176" s="2" t="inlineStr">
        <is>
          <t>2026-06-15</t>
        </is>
      </c>
      <c r="B11176" s="3" t="inlineStr">
        <is>
          <t>유비온</t>
        </is>
      </c>
      <c r="C11176" s="2" t="inlineStr">
        <is>
          <t>코스닥</t>
        </is>
      </c>
      <c r="D11176" s="2" t="inlineStr">
        <is>
          <t>084440</t>
        </is>
      </c>
      <c r="E11176" s="3" t="inlineStr">
        <is>
          <t xml:space="preserve">주주명부폐쇄기간또는기준일설정              </t>
        </is>
      </c>
      <c r="F11176" s="3" t="inlineStr">
        <is>
          <t>유비온</t>
        </is>
      </c>
      <c r="G11176" s="2" t="inlineStr">
        <is>
          <t>20260615900820</t>
        </is>
      </c>
      <c r="H11176" s="8">
        <f>HYPERLINK("https://dart.fss.or.kr/dsaf001/main.do?rcpNo=20260615900820", "공시열람")</f>
        <v/>
      </c>
    </row>
    <row r="11177">
      <c r="A11177" s="2" t="inlineStr">
        <is>
          <t>2026-06-15</t>
        </is>
      </c>
      <c r="B11177" s="3" t="inlineStr">
        <is>
          <t>유비온</t>
        </is>
      </c>
      <c r="C11177" s="2" t="inlineStr">
        <is>
          <t>코스닥</t>
        </is>
      </c>
      <c r="D11177" s="2" t="inlineStr">
        <is>
          <t>084440</t>
        </is>
      </c>
      <c r="E11177" s="3" t="inlineStr">
        <is>
          <t xml:space="preserve">주식병합결정              </t>
        </is>
      </c>
      <c r="F11177" s="3" t="inlineStr">
        <is>
          <t>유비온</t>
        </is>
      </c>
      <c r="G11177" s="2" t="inlineStr">
        <is>
          <t>20260615900872</t>
        </is>
      </c>
      <c r="H11177" s="8">
        <f>HYPERLINK("https://dart.fss.or.kr/dsaf001/main.do?rcpNo=20260615900872", "공시열람")</f>
        <v/>
      </c>
    </row>
    <row r="11178">
      <c r="A11178" s="2" t="inlineStr">
        <is>
          <t>2026-06-15</t>
        </is>
      </c>
      <c r="B11178" s="3" t="inlineStr">
        <is>
          <t>한화투자증권</t>
        </is>
      </c>
      <c r="C11178" s="2" t="inlineStr">
        <is>
          <t>코스피</t>
        </is>
      </c>
      <c r="D11178" s="2" t="inlineStr">
        <is>
          <t>003530</t>
        </is>
      </c>
      <c r="E11178" s="3" t="inlineStr">
        <is>
          <t>증권발행실적보고서</t>
        </is>
      </c>
      <c r="F11178" s="3" t="inlineStr">
        <is>
          <t>한화투자증권</t>
        </is>
      </c>
      <c r="G11178" s="2" t="inlineStr">
        <is>
          <t>20260615000428</t>
        </is>
      </c>
      <c r="H11178" s="8">
        <f>HYPERLINK("https://dart.fss.or.kr/dsaf001/main.do?rcpNo=20260615000428", "공시열람")</f>
        <v/>
      </c>
    </row>
    <row r="11179">
      <c r="A11179" s="2" t="inlineStr">
        <is>
          <t>2026-06-15</t>
        </is>
      </c>
      <c r="B11179" s="3" t="inlineStr">
        <is>
          <t>한화투자증권</t>
        </is>
      </c>
      <c r="C11179" s="2" t="inlineStr">
        <is>
          <t>코스피</t>
        </is>
      </c>
      <c r="D11179" s="2" t="inlineStr">
        <is>
          <t>003530</t>
        </is>
      </c>
      <c r="E11179" s="3" t="inlineStr">
        <is>
          <t>증권발행실적보고서</t>
        </is>
      </c>
      <c r="F11179" s="3" t="inlineStr">
        <is>
          <t>한화투자증권</t>
        </is>
      </c>
      <c r="G11179" s="2" t="inlineStr">
        <is>
          <t>20260615000425</t>
        </is>
      </c>
      <c r="H11179" s="8">
        <f>HYPERLINK("https://dart.fss.or.kr/dsaf001/main.do?rcpNo=20260615000425", "공시열람")</f>
        <v/>
      </c>
    </row>
    <row r="11180">
      <c r="A11180" s="2" t="inlineStr">
        <is>
          <t>2026-06-15</t>
        </is>
      </c>
      <c r="B11180" s="3" t="inlineStr">
        <is>
          <t>알지노믹스</t>
        </is>
      </c>
      <c r="C11180" s="2" t="inlineStr">
        <is>
          <t>코스닥</t>
        </is>
      </c>
      <c r="D11180" s="2" t="inlineStr">
        <is>
          <t>476830</t>
        </is>
      </c>
      <c r="E11180" s="3" t="inlineStr">
        <is>
          <t xml:space="preserve">주주명부폐쇄기간또는기준일설정              </t>
        </is>
      </c>
      <c r="F11180" s="3" t="inlineStr">
        <is>
          <t>알지노믹스</t>
        </is>
      </c>
      <c r="G11180" s="2" t="inlineStr">
        <is>
          <t>20260615900786</t>
        </is>
      </c>
      <c r="H11180" s="8">
        <f>HYPERLINK("https://dart.fss.or.kr/dsaf001/main.do?rcpNo=20260615900786", "공시열람")</f>
        <v/>
      </c>
    </row>
    <row r="11181">
      <c r="A11181" s="2" t="inlineStr">
        <is>
          <t>2026-06-15</t>
        </is>
      </c>
      <c r="B11181" s="3" t="inlineStr">
        <is>
          <t>LG유플러스</t>
        </is>
      </c>
      <c r="C11181" s="2" t="inlineStr">
        <is>
          <t>코스피</t>
        </is>
      </c>
      <c r="D11181" s="2" t="inlineStr">
        <is>
          <t>032640</t>
        </is>
      </c>
      <c r="E11181" s="3" t="inlineStr">
        <is>
          <t xml:space="preserve">기업설명회(IR)개최(안내공시)              </t>
        </is>
      </c>
      <c r="F11181" s="3" t="inlineStr">
        <is>
          <t>LG유플러스</t>
        </is>
      </c>
      <c r="G11181" s="2" t="inlineStr">
        <is>
          <t>20260615800876</t>
        </is>
      </c>
      <c r="H11181" s="8">
        <f>HYPERLINK("https://dart.fss.or.kr/dsaf001/main.do?rcpNo=20260615800876", "공시열람")</f>
        <v/>
      </c>
    </row>
    <row r="11182">
      <c r="A11182" s="2" t="inlineStr">
        <is>
          <t>2026-06-15</t>
        </is>
      </c>
      <c r="B11182" s="3" t="inlineStr">
        <is>
          <t>한화투자증권</t>
        </is>
      </c>
      <c r="C11182" s="2" t="inlineStr">
        <is>
          <t>코스피</t>
        </is>
      </c>
      <c r="D11182" s="2" t="inlineStr">
        <is>
          <t>003530</t>
        </is>
      </c>
      <c r="E11182" s="3" t="inlineStr">
        <is>
          <t>증권발행실적보고서</t>
        </is>
      </c>
      <c r="F11182" s="3" t="inlineStr">
        <is>
          <t>한화투자증권</t>
        </is>
      </c>
      <c r="G11182" s="2" t="inlineStr">
        <is>
          <t>20260615000416</t>
        </is>
      </c>
      <c r="H11182" s="8">
        <f>HYPERLINK("https://dart.fss.or.kr/dsaf001/main.do?rcpNo=20260615000416", "공시열람")</f>
        <v/>
      </c>
    </row>
    <row r="11183">
      <c r="A11183" s="2" t="inlineStr">
        <is>
          <t>2026-06-15</t>
        </is>
      </c>
      <c r="B11183" s="3" t="inlineStr">
        <is>
          <t>이화공영</t>
        </is>
      </c>
      <c r="C11183" s="2" t="inlineStr">
        <is>
          <t>코스닥</t>
        </is>
      </c>
      <c r="D11183" s="2" t="inlineStr">
        <is>
          <t>001840</t>
        </is>
      </c>
      <c r="E11183" s="3" t="inlineStr">
        <is>
          <t>기타시장안내              (상장폐지 관련 이의신청서 접수)</t>
        </is>
      </c>
      <c r="F11183" s="3" t="inlineStr">
        <is>
          <t>코스닥시장본부</t>
        </is>
      </c>
      <c r="G11183" s="2" t="inlineStr">
        <is>
          <t>20260615900856</t>
        </is>
      </c>
      <c r="H11183" s="8">
        <f>HYPERLINK("https://dart.fss.or.kr/dsaf001/main.do?rcpNo=20260615900856", "공시열람")</f>
        <v/>
      </c>
    </row>
    <row r="11184">
      <c r="A11184" s="2" t="inlineStr">
        <is>
          <t>2026-06-15</t>
        </is>
      </c>
      <c r="B11184" s="3" t="inlineStr">
        <is>
          <t>한화투자증권</t>
        </is>
      </c>
      <c r="C11184" s="2" t="inlineStr">
        <is>
          <t>코스피</t>
        </is>
      </c>
      <c r="D11184" s="2" t="inlineStr">
        <is>
          <t>003530</t>
        </is>
      </c>
      <c r="E11184" s="3" t="inlineStr">
        <is>
          <t>증권발행실적보고서</t>
        </is>
      </c>
      <c r="F11184" s="3" t="inlineStr">
        <is>
          <t>한화투자증권</t>
        </is>
      </c>
      <c r="G11184" s="2" t="inlineStr">
        <is>
          <t>20260615000413</t>
        </is>
      </c>
      <c r="H11184" s="8">
        <f>HYPERLINK("https://dart.fss.or.kr/dsaf001/main.do?rcpNo=20260615000413", "공시열람")</f>
        <v/>
      </c>
    </row>
    <row r="11185">
      <c r="A11185" s="2" t="inlineStr">
        <is>
          <t>2026-06-15</t>
        </is>
      </c>
      <c r="B11185" s="3" t="inlineStr">
        <is>
          <t>기아</t>
        </is>
      </c>
      <c r="C11185" s="2" t="inlineStr">
        <is>
          <t>코스피</t>
        </is>
      </c>
      <c r="D11185" s="2" t="inlineStr">
        <is>
          <t>000270</t>
        </is>
      </c>
      <c r="E11185" s="3" t="inlineStr">
        <is>
          <t xml:space="preserve">기업설명회(IR)개최(안내공시)              </t>
        </is>
      </c>
      <c r="F11185" s="3" t="inlineStr">
        <is>
          <t>기아</t>
        </is>
      </c>
      <c r="G11185" s="2" t="inlineStr">
        <is>
          <t>20260615800862</t>
        </is>
      </c>
      <c r="H11185" s="8">
        <f>HYPERLINK("https://dart.fss.or.kr/dsaf001/main.do?rcpNo=20260615800862", "공시열람")</f>
        <v/>
      </c>
    </row>
    <row r="11186">
      <c r="A11186" s="2" t="inlineStr">
        <is>
          <t>2026-06-15</t>
        </is>
      </c>
      <c r="B11186" s="3" t="inlineStr">
        <is>
          <t>유안타증권</t>
        </is>
      </c>
      <c r="C11186" s="2" t="inlineStr">
        <is>
          <t>코스피</t>
        </is>
      </c>
      <c r="D11186" s="2" t="inlineStr">
        <is>
          <t>003470</t>
        </is>
      </c>
      <c r="E11186" s="3" t="inlineStr">
        <is>
          <t>투자설명서(일괄신고)</t>
        </is>
      </c>
      <c r="F11186" s="3" t="inlineStr">
        <is>
          <t>유안타증권</t>
        </is>
      </c>
      <c r="G11186" s="2" t="inlineStr">
        <is>
          <t>20260615000408</t>
        </is>
      </c>
      <c r="H11186" s="8">
        <f>HYPERLINK("https://dart.fss.or.kr/dsaf001/main.do?rcpNo=20260615000408", "공시열람")</f>
        <v/>
      </c>
    </row>
    <row r="11187">
      <c r="A11187" s="2" t="inlineStr">
        <is>
          <t>2026-06-15</t>
        </is>
      </c>
      <c r="B11187" s="3" t="inlineStr">
        <is>
          <t>유안타증권</t>
        </is>
      </c>
      <c r="C11187" s="2" t="inlineStr">
        <is>
          <t>코스피</t>
        </is>
      </c>
      <c r="D11187" s="2" t="inlineStr">
        <is>
          <t>003470</t>
        </is>
      </c>
      <c r="E11187" s="3" t="inlineStr">
        <is>
          <t>일괄신고추가서류(파생결합사채-주가연계파생결합사채)</t>
        </is>
      </c>
      <c r="F11187" s="3" t="inlineStr">
        <is>
          <t>유안타증권</t>
        </is>
      </c>
      <c r="G11187" s="2" t="inlineStr">
        <is>
          <t>20260615000401</t>
        </is>
      </c>
      <c r="H11187" s="8">
        <f>HYPERLINK("https://dart.fss.or.kr/dsaf001/main.do?rcpNo=20260615000401", "공시열람")</f>
        <v/>
      </c>
    </row>
    <row r="11188">
      <c r="A11188" s="2" t="inlineStr">
        <is>
          <t>2026-06-15</t>
        </is>
      </c>
      <c r="B11188" s="3" t="inlineStr">
        <is>
          <t>삼성물산</t>
        </is>
      </c>
      <c r="C11188" s="2" t="inlineStr">
        <is>
          <t>코스피</t>
        </is>
      </c>
      <c r="D11188" s="2" t="inlineStr">
        <is>
          <t>028260</t>
        </is>
      </c>
      <c r="E11188" s="3" t="inlineStr">
        <is>
          <t xml:space="preserve">기업설명회(IR)개최(안내공시)              </t>
        </is>
      </c>
      <c r="F11188" s="3" t="inlineStr">
        <is>
          <t>삼성물산</t>
        </is>
      </c>
      <c r="G11188" s="2" t="inlineStr">
        <is>
          <t>20260615800799</t>
        </is>
      </c>
      <c r="H11188" s="8">
        <f>HYPERLINK("https://dart.fss.or.kr/dsaf001/main.do?rcpNo=20260615800799", "공시열람")</f>
        <v/>
      </c>
    </row>
    <row r="11189">
      <c r="A11189" s="2" t="inlineStr">
        <is>
          <t>2026-06-15</t>
        </is>
      </c>
      <c r="B11189" s="3" t="inlineStr">
        <is>
          <t>판타지오</t>
        </is>
      </c>
      <c r="C11189" s="2" t="inlineStr">
        <is>
          <t>코스닥</t>
        </is>
      </c>
      <c r="D11189" s="2" t="inlineStr">
        <is>
          <t>032800</t>
        </is>
      </c>
      <c r="E11189" s="3" t="inlineStr">
        <is>
          <t xml:space="preserve">주주명부폐쇄기간또는기준일설정              </t>
        </is>
      </c>
      <c r="F11189" s="3" t="inlineStr">
        <is>
          <t>판타지오</t>
        </is>
      </c>
      <c r="G11189" s="2" t="inlineStr">
        <is>
          <t>20260615900781</t>
        </is>
      </c>
      <c r="H11189" s="8">
        <f>HYPERLINK("https://dart.fss.or.kr/dsaf001/main.do?rcpNo=20260615900781", "공시열람")</f>
        <v/>
      </c>
    </row>
    <row r="11190">
      <c r="A11190" s="2" t="inlineStr">
        <is>
          <t>2026-06-15</t>
        </is>
      </c>
      <c r="B11190" s="3" t="inlineStr">
        <is>
          <t>한성크린텍</t>
        </is>
      </c>
      <c r="C11190" s="2" t="inlineStr">
        <is>
          <t>코스닥</t>
        </is>
      </c>
      <c r="D11190" s="2" t="inlineStr">
        <is>
          <t>066980</t>
        </is>
      </c>
      <c r="E11190" s="3" t="inlineStr">
        <is>
          <t xml:space="preserve">증권발행결과(자율공시)              </t>
        </is>
      </c>
      <c r="F11190" s="3" t="inlineStr">
        <is>
          <t>한성크린텍</t>
        </is>
      </c>
      <c r="G11190" s="2" t="inlineStr">
        <is>
          <t>20260615900806</t>
        </is>
      </c>
      <c r="H11190" s="8">
        <f>HYPERLINK("https://dart.fss.or.kr/dsaf001/main.do?rcpNo=20260615900806", "공시열람")</f>
        <v/>
      </c>
    </row>
    <row r="11191">
      <c r="A11191" s="2" t="inlineStr">
        <is>
          <t>2026-06-15</t>
        </is>
      </c>
      <c r="B11191" s="3" t="inlineStr">
        <is>
          <t>부스타</t>
        </is>
      </c>
      <c r="C11191" s="2" t="inlineStr">
        <is>
          <t>코스닥</t>
        </is>
      </c>
      <c r="D11191" s="2" t="inlineStr">
        <is>
          <t>008470</t>
        </is>
      </c>
      <c r="E11191" s="3" t="inlineStr">
        <is>
          <t>주요사항보고서(자기주식처분결정)</t>
        </is>
      </c>
      <c r="F11191" s="3" t="inlineStr">
        <is>
          <t>부스타</t>
        </is>
      </c>
      <c r="G11191" s="2" t="inlineStr">
        <is>
          <t>20260615000366</t>
        </is>
      </c>
      <c r="H11191" s="8">
        <f>HYPERLINK("https://dart.fss.or.kr/dsaf001/main.do?rcpNo=20260615000366", "공시열람")</f>
        <v/>
      </c>
    </row>
    <row r="11192">
      <c r="A11192" s="2" t="inlineStr">
        <is>
          <t>2026-06-15</t>
        </is>
      </c>
      <c r="B11192" s="3" t="inlineStr">
        <is>
          <t>NH투자증권</t>
        </is>
      </c>
      <c r="C11192" s="2" t="inlineStr">
        <is>
          <t>코스피</t>
        </is>
      </c>
      <c r="D11192" s="2" t="inlineStr">
        <is>
          <t>005940</t>
        </is>
      </c>
      <c r="E11192" s="3" t="inlineStr">
        <is>
          <t>투자설명서(일괄신고)</t>
        </is>
      </c>
      <c r="F11192" s="3" t="inlineStr">
        <is>
          <t>NH투자증권</t>
        </is>
      </c>
      <c r="G11192" s="2" t="inlineStr">
        <is>
          <t>20260615000388</t>
        </is>
      </c>
      <c r="H11192" s="8">
        <f>HYPERLINK("https://dart.fss.or.kr/dsaf001/main.do?rcpNo=20260615000388", "공시열람")</f>
        <v/>
      </c>
    </row>
    <row r="11193">
      <c r="A11193" s="2" t="inlineStr">
        <is>
          <t>2026-06-15</t>
        </is>
      </c>
      <c r="B11193" s="3" t="inlineStr">
        <is>
          <t>파크시스템스</t>
        </is>
      </c>
      <c r="C11193" s="2" t="inlineStr">
        <is>
          <t>코스닥</t>
        </is>
      </c>
      <c r="D11193" s="2" t="inlineStr">
        <is>
          <t>140860</t>
        </is>
      </c>
      <c r="E11193" s="3" t="inlineStr">
        <is>
          <t>자기주식처분결과보고서</t>
        </is>
      </c>
      <c r="F11193" s="3" t="inlineStr">
        <is>
          <t>파크시스템스</t>
        </is>
      </c>
      <c r="G11193" s="2" t="inlineStr">
        <is>
          <t>20260615000385</t>
        </is>
      </c>
      <c r="H11193" s="8">
        <f>HYPERLINK("https://dart.fss.or.kr/dsaf001/main.do?rcpNo=20260615000385", "공시열람")</f>
        <v/>
      </c>
    </row>
    <row r="11194">
      <c r="A11194" s="2" t="inlineStr">
        <is>
          <t>2026-06-15 (정정: 2026-06-24)</t>
        </is>
      </c>
      <c r="B11194" s="3" t="inlineStr">
        <is>
          <t>세아제강</t>
        </is>
      </c>
      <c r="C11194" s="2" t="inlineStr">
        <is>
          <t>코스피</t>
        </is>
      </c>
      <c r="D11194" s="2" t="inlineStr">
        <is>
          <t>306200</t>
        </is>
      </c>
      <c r="E11194" s="3" t="inlineStr">
        <is>
          <t>증권신고서(채무증권) (정정: 20260619) (정정: 20260624)</t>
        </is>
      </c>
      <c r="F11194" s="3" t="inlineStr">
        <is>
          <t>세아제강</t>
        </is>
      </c>
      <c r="G11194" s="2" t="inlineStr">
        <is>
          <t>20260624000433</t>
        </is>
      </c>
      <c r="H11194" s="8">
        <f>HYPERLINK("https://dart.fss.or.kr/dsaf001/main.do?rcpNo=20260624000433", "공시열람")</f>
        <v/>
      </c>
    </row>
    <row r="11195">
      <c r="A11195" s="2" t="inlineStr">
        <is>
          <t>2026-06-15</t>
        </is>
      </c>
      <c r="B11195" s="3" t="inlineStr">
        <is>
          <t>프레스티지바이오파마</t>
        </is>
      </c>
      <c r="C11195" s="2" t="inlineStr">
        <is>
          <t>코스피</t>
        </is>
      </c>
      <c r="D11195" s="2" t="inlineStr">
        <is>
          <t>950210</t>
        </is>
      </c>
      <c r="E11195" s="3" t="inlineStr">
        <is>
          <t xml:space="preserve">기타경영사항(자율공시)              </t>
        </is>
      </c>
      <c r="F11195" s="3" t="inlineStr">
        <is>
          <t>프레스티지바이오파마</t>
        </is>
      </c>
      <c r="G11195" s="2" t="inlineStr">
        <is>
          <t>20260615800761</t>
        </is>
      </c>
      <c r="H11195" s="8">
        <f>HYPERLINK("https://dart.fss.or.kr/dsaf001/main.do?rcpNo=20260615800761", "공시열람")</f>
        <v/>
      </c>
    </row>
    <row r="11196">
      <c r="A11196" s="2" t="inlineStr">
        <is>
          <t>2026-06-15</t>
        </is>
      </c>
      <c r="B11196" s="3" t="inlineStr">
        <is>
          <t>디비금융스팩12호</t>
        </is>
      </c>
      <c r="C11196" s="2" t="inlineStr">
        <is>
          <t>코스닥</t>
        </is>
      </c>
      <c r="D11196" s="2" t="inlineStr">
        <is>
          <t>477760</t>
        </is>
      </c>
      <c r="E11196" s="3" t="inlineStr">
        <is>
          <t xml:space="preserve">기업인수목적회사의예치ㆍ신탁계약내용변경              </t>
        </is>
      </c>
      <c r="F11196" s="3" t="inlineStr">
        <is>
          <t>디비금융스팩12호</t>
        </is>
      </c>
      <c r="G11196" s="2" t="inlineStr">
        <is>
          <t>20260615900762</t>
        </is>
      </c>
      <c r="H11196" s="8">
        <f>HYPERLINK("https://dart.fss.or.kr/dsaf001/main.do?rcpNo=20260615900762", "공시열람")</f>
        <v/>
      </c>
    </row>
    <row r="11197">
      <c r="A11197" s="2" t="inlineStr">
        <is>
          <t>2026-06-15</t>
        </is>
      </c>
      <c r="B11197" s="3" t="inlineStr">
        <is>
          <t>NH투자증권</t>
        </is>
      </c>
      <c r="C11197" s="2" t="inlineStr">
        <is>
          <t>코스피</t>
        </is>
      </c>
      <c r="D11197" s="2" t="inlineStr">
        <is>
          <t>005940</t>
        </is>
      </c>
      <c r="E11197" s="3" t="inlineStr">
        <is>
          <t>일괄신고추가서류(파생결합증권-주가연계증권)</t>
        </is>
      </c>
      <c r="F11197" s="3" t="inlineStr">
        <is>
          <t>NH투자증권</t>
        </is>
      </c>
      <c r="G11197" s="2" t="inlineStr">
        <is>
          <t>20260615000375</t>
        </is>
      </c>
      <c r="H11197" s="8">
        <f>HYPERLINK("https://dart.fss.or.kr/dsaf001/main.do?rcpNo=20260615000375", "공시열람")</f>
        <v/>
      </c>
    </row>
    <row r="11198">
      <c r="A11198" s="2" t="inlineStr">
        <is>
          <t>2026-06-15</t>
        </is>
      </c>
      <c r="B11198" s="3" t="inlineStr">
        <is>
          <t>키움증권</t>
        </is>
      </c>
      <c r="C11198" s="2" t="inlineStr">
        <is>
          <t>코스피</t>
        </is>
      </c>
      <c r="D11198" s="2" t="inlineStr">
        <is>
          <t>039490</t>
        </is>
      </c>
      <c r="E11198" s="3" t="inlineStr">
        <is>
          <t>증권발행실적보고서</t>
        </is>
      </c>
      <c r="F11198" s="3" t="inlineStr">
        <is>
          <t>키움증권</t>
        </is>
      </c>
      <c r="G11198" s="2" t="inlineStr">
        <is>
          <t>20260615000368</t>
        </is>
      </c>
      <c r="H11198" s="8">
        <f>HYPERLINK("https://dart.fss.or.kr/dsaf001/main.do?rcpNo=20260615000368", "공시열람")</f>
        <v/>
      </c>
    </row>
    <row r="11199">
      <c r="A11199" s="2" t="inlineStr">
        <is>
          <t>2026-06-15</t>
        </is>
      </c>
      <c r="B11199" s="3" t="inlineStr">
        <is>
          <t>키움증권</t>
        </is>
      </c>
      <c r="C11199" s="2" t="inlineStr">
        <is>
          <t>코스피</t>
        </is>
      </c>
      <c r="D11199" s="2" t="inlineStr">
        <is>
          <t>039490</t>
        </is>
      </c>
      <c r="E11199" s="3" t="inlineStr">
        <is>
          <t>증권발행실적보고서</t>
        </is>
      </c>
      <c r="F11199" s="3" t="inlineStr">
        <is>
          <t>키움증권</t>
        </is>
      </c>
      <c r="G11199" s="2" t="inlineStr">
        <is>
          <t>20260615000365</t>
        </is>
      </c>
      <c r="H11199" s="8">
        <f>HYPERLINK("https://dart.fss.or.kr/dsaf001/main.do?rcpNo=20260615000365", "공시열람")</f>
        <v/>
      </c>
    </row>
    <row r="11200">
      <c r="A11200" s="2" t="inlineStr">
        <is>
          <t>2026-06-15</t>
        </is>
      </c>
      <c r="B11200" s="3" t="inlineStr">
        <is>
          <t>푸드나무</t>
        </is>
      </c>
      <c r="C11200" s="2" t="inlineStr">
        <is>
          <t>코스닥</t>
        </is>
      </c>
      <c r="D11200" s="2" t="inlineStr">
        <is>
          <t>290720</t>
        </is>
      </c>
      <c r="E11200" s="3" t="inlineStr">
        <is>
          <t>임원ㆍ주요주주특정증권등소유상황보고서</t>
        </is>
      </c>
      <c r="F11200" s="3" t="inlineStr">
        <is>
          <t>김우주</t>
        </is>
      </c>
      <c r="G11200" s="2" t="inlineStr">
        <is>
          <t>20260615000363</t>
        </is>
      </c>
      <c r="H11200" s="8">
        <f>HYPERLINK("https://dart.fss.or.kr/dsaf001/main.do?rcpNo=20260615000363", "공시열람")</f>
        <v/>
      </c>
    </row>
    <row r="11201">
      <c r="A11201" s="2" t="inlineStr">
        <is>
          <t>2026-06-15</t>
        </is>
      </c>
      <c r="B11201" s="3" t="inlineStr">
        <is>
          <t>두산에너빌리티</t>
        </is>
      </c>
      <c r="C11201" s="2" t="inlineStr">
        <is>
          <t>코스피</t>
        </is>
      </c>
      <c r="D11201" s="2" t="inlineStr">
        <is>
          <t>034020</t>
        </is>
      </c>
      <c r="E11201" s="3" t="inlineStr">
        <is>
          <t xml:space="preserve">기업설명회(IR)개최(안내공시)              </t>
        </is>
      </c>
      <c r="F11201" s="3" t="inlineStr">
        <is>
          <t>두산에너빌리티</t>
        </is>
      </c>
      <c r="G11201" s="2" t="inlineStr">
        <is>
          <t>20260615800771</t>
        </is>
      </c>
      <c r="H11201" s="8">
        <f>HYPERLINK("https://dart.fss.or.kr/dsaf001/main.do?rcpNo=20260615800771", "공시열람")</f>
        <v/>
      </c>
    </row>
    <row r="11202">
      <c r="A11202" s="2" t="inlineStr">
        <is>
          <t>2026-06-15</t>
        </is>
      </c>
      <c r="B11202" s="3" t="inlineStr">
        <is>
          <t>키움증권</t>
        </is>
      </c>
      <c r="C11202" s="2" t="inlineStr">
        <is>
          <t>코스피</t>
        </is>
      </c>
      <c r="D11202" s="2" t="inlineStr">
        <is>
          <t>039490</t>
        </is>
      </c>
      <c r="E11202" s="3" t="inlineStr">
        <is>
          <t>증권발행실적보고서</t>
        </is>
      </c>
      <c r="F11202" s="3" t="inlineStr">
        <is>
          <t>키움증권</t>
        </is>
      </c>
      <c r="G11202" s="2" t="inlineStr">
        <is>
          <t>20260615000361</t>
        </is>
      </c>
      <c r="H11202" s="8">
        <f>HYPERLINK("https://dart.fss.or.kr/dsaf001/main.do?rcpNo=20260615000361", "공시열람")</f>
        <v/>
      </c>
    </row>
    <row r="11203">
      <c r="A11203" s="2" t="inlineStr">
        <is>
          <t>2026-06-15</t>
        </is>
      </c>
      <c r="B11203" s="3" t="inlineStr">
        <is>
          <t>딥커머스</t>
        </is>
      </c>
      <c r="C11203" s="2" t="inlineStr">
        <is>
          <t>코스닥</t>
        </is>
      </c>
      <c r="D11203" s="2" t="inlineStr">
        <is>
          <t>900110</t>
        </is>
      </c>
      <c r="E11203" s="3" t="inlineStr">
        <is>
          <t>주권매매거래정지해제              (주식병합(무액면주식) 주권 변경상장)</t>
        </is>
      </c>
      <c r="F11203" s="3" t="inlineStr">
        <is>
          <t>코스닥시장본부</t>
        </is>
      </c>
      <c r="G11203" s="2" t="inlineStr">
        <is>
          <t>20260615900746</t>
        </is>
      </c>
      <c r="H11203" s="8">
        <f>HYPERLINK("https://dart.fss.or.kr/dsaf001/main.do?rcpNo=20260615900746", "공시열람")</f>
        <v/>
      </c>
    </row>
    <row r="11204">
      <c r="A11204" s="2" t="inlineStr">
        <is>
          <t>2026-06-15 (정정: 2026-06-18)</t>
        </is>
      </c>
      <c r="B11204" s="3" t="inlineStr">
        <is>
          <t>뉴인텍</t>
        </is>
      </c>
      <c r="C11204" s="2" t="inlineStr">
        <is>
          <t>코스닥</t>
        </is>
      </c>
      <c r="D11204" s="2" t="inlineStr">
        <is>
          <t>012340</t>
        </is>
      </c>
      <c r="E11204" s="3" t="inlineStr">
        <is>
          <t>임원ㆍ주요주주특정증권등소유상황보고서 (정정: 20260618)</t>
        </is>
      </c>
      <c r="F11204" s="3" t="inlineStr">
        <is>
          <t>장기수</t>
        </is>
      </c>
      <c r="G11204" s="2" t="inlineStr">
        <is>
          <t>20260618000120</t>
        </is>
      </c>
      <c r="H11204" s="8">
        <f>HYPERLINK("https://dart.fss.or.kr/dsaf001/main.do?rcpNo=20260618000120", "공시열람")</f>
        <v/>
      </c>
    </row>
    <row r="11205">
      <c r="A11205" s="2" t="inlineStr">
        <is>
          <t>2026-06-15</t>
        </is>
      </c>
      <c r="B11205" s="3" t="inlineStr">
        <is>
          <t>알지노믹스</t>
        </is>
      </c>
      <c r="C11205" s="2" t="inlineStr">
        <is>
          <t>코스닥</t>
        </is>
      </c>
      <c r="D11205" s="2" t="inlineStr">
        <is>
          <t>476830</t>
        </is>
      </c>
      <c r="E11205" s="3" t="inlineStr">
        <is>
          <t>주권매매거래정지              (무상증자)</t>
        </is>
      </c>
      <c r="F11205" s="3" t="inlineStr">
        <is>
          <t>코스닥시장본부</t>
        </is>
      </c>
      <c r="G11205" s="2" t="inlineStr">
        <is>
          <t>20260615900752</t>
        </is>
      </c>
      <c r="H11205" s="8">
        <f>HYPERLINK("https://dart.fss.or.kr/dsaf001/main.do?rcpNo=20260615900752", "공시열람")</f>
        <v/>
      </c>
    </row>
    <row r="11206">
      <c r="A11206" s="2" t="inlineStr">
        <is>
          <t>2026-06-15</t>
        </is>
      </c>
      <c r="B11206" s="3" t="inlineStr">
        <is>
          <t>강원랜드</t>
        </is>
      </c>
      <c r="C11206" s="2" t="inlineStr">
        <is>
          <t>코스피</t>
        </is>
      </c>
      <c r="D11206" s="2" t="inlineStr">
        <is>
          <t>035250</t>
        </is>
      </c>
      <c r="E11206" s="3" t="inlineStr">
        <is>
          <t xml:space="preserve">기업설명회(IR)개최(안내공시)              </t>
        </is>
      </c>
      <c r="F11206" s="3" t="inlineStr">
        <is>
          <t>강원랜드</t>
        </is>
      </c>
      <c r="G11206" s="2" t="inlineStr">
        <is>
          <t>20260615800760</t>
        </is>
      </c>
      <c r="H11206" s="8">
        <f>HYPERLINK("https://dart.fss.or.kr/dsaf001/main.do?rcpNo=20260615800760", "공시열람")</f>
        <v/>
      </c>
    </row>
    <row r="11207">
      <c r="A11207" s="2" t="inlineStr">
        <is>
          <t>2026-06-15</t>
        </is>
      </c>
      <c r="B11207" s="3" t="inlineStr">
        <is>
          <t>현대차증권</t>
        </is>
      </c>
      <c r="C11207" s="2" t="inlineStr">
        <is>
          <t>코스피</t>
        </is>
      </c>
      <c r="D11207" s="2" t="inlineStr">
        <is>
          <t>001500</t>
        </is>
      </c>
      <c r="E11207" s="3" t="inlineStr">
        <is>
          <t>투자설명서(일괄신고)</t>
        </is>
      </c>
      <c r="F11207" s="3" t="inlineStr">
        <is>
          <t>현대차증권</t>
        </is>
      </c>
      <c r="G11207" s="2" t="inlineStr">
        <is>
          <t>20260615000352</t>
        </is>
      </c>
      <c r="H11207" s="8">
        <f>HYPERLINK("https://dart.fss.or.kr/dsaf001/main.do?rcpNo=20260615000352", "공시열람")</f>
        <v/>
      </c>
    </row>
    <row r="11208">
      <c r="A11208" s="2" t="inlineStr">
        <is>
          <t>2026-06-15</t>
        </is>
      </c>
      <c r="B11208" s="3" t="inlineStr">
        <is>
          <t>메가스터디교육</t>
        </is>
      </c>
      <c r="C11208" s="2" t="inlineStr">
        <is>
          <t>코스닥</t>
        </is>
      </c>
      <c r="D11208" s="2" t="inlineStr">
        <is>
          <t>215200</t>
        </is>
      </c>
      <c r="E11208" s="3" t="inlineStr">
        <is>
          <t xml:space="preserve">중간(분기)배당을위한주주명부폐쇄(기준일)결정              </t>
        </is>
      </c>
      <c r="F11208" s="3" t="inlineStr">
        <is>
          <t>메가스터디교육</t>
        </is>
      </c>
      <c r="G11208" s="2" t="inlineStr">
        <is>
          <t>20260615900757</t>
        </is>
      </c>
      <c r="H11208" s="8">
        <f>HYPERLINK("https://dart.fss.or.kr/dsaf001/main.do?rcpNo=20260615900757", "공시열람")</f>
        <v/>
      </c>
    </row>
    <row r="11209">
      <c r="A11209" s="2" t="inlineStr">
        <is>
          <t>2026-06-15</t>
        </is>
      </c>
      <c r="B11209" s="3" t="inlineStr">
        <is>
          <t>듀오백</t>
        </is>
      </c>
      <c r="C11209" s="2" t="inlineStr">
        <is>
          <t>코스닥</t>
        </is>
      </c>
      <c r="D11209" s="2" t="inlineStr">
        <is>
          <t>073190</t>
        </is>
      </c>
      <c r="E11209" s="3" t="inlineStr">
        <is>
          <t xml:space="preserve">조회공시요구(현저한시황변동)              </t>
        </is>
      </c>
      <c r="F11209" s="3" t="inlineStr">
        <is>
          <t>코스닥시장본부</t>
        </is>
      </c>
      <c r="G11209" s="2" t="inlineStr">
        <is>
          <t>20260615900754</t>
        </is>
      </c>
      <c r="H11209" s="8">
        <f>HYPERLINK("https://dart.fss.or.kr/dsaf001/main.do?rcpNo=20260615900754", "공시열람")</f>
        <v/>
      </c>
    </row>
    <row r="11210">
      <c r="A11210" s="2" t="inlineStr">
        <is>
          <t>2026-06-15</t>
        </is>
      </c>
      <c r="B11210" s="3" t="inlineStr">
        <is>
          <t>펨트론</t>
        </is>
      </c>
      <c r="C11210" s="2" t="inlineStr">
        <is>
          <t>코스닥</t>
        </is>
      </c>
      <c r="D11210" s="2" t="inlineStr">
        <is>
          <t>168360</t>
        </is>
      </c>
      <c r="E11210" s="3" t="inlineStr">
        <is>
          <t>전환청구권행사              (제1회차)</t>
        </is>
      </c>
      <c r="F11210" s="3" t="inlineStr">
        <is>
          <t>펨트론</t>
        </is>
      </c>
      <c r="G11210" s="2" t="inlineStr">
        <is>
          <t>20260615900717</t>
        </is>
      </c>
      <c r="H11210" s="8">
        <f>HYPERLINK("https://dart.fss.or.kr/dsaf001/main.do?rcpNo=20260615900717", "공시열람")</f>
        <v/>
      </c>
    </row>
    <row r="11211">
      <c r="A11211" s="2" t="inlineStr">
        <is>
          <t>2026-06-15</t>
        </is>
      </c>
      <c r="B11211" s="3" t="inlineStr">
        <is>
          <t>서산</t>
        </is>
      </c>
      <c r="C11211" s="2" t="inlineStr">
        <is>
          <t>코스닥</t>
        </is>
      </c>
      <c r="D11211" s="2" t="inlineStr">
        <is>
          <t>079650</t>
        </is>
      </c>
      <c r="E11211" s="3" t="inlineStr">
        <is>
          <t xml:space="preserve">조회공시요구(현저한시황변동)              </t>
        </is>
      </c>
      <c r="F11211" s="3" t="inlineStr">
        <is>
          <t>코스닥시장본부</t>
        </is>
      </c>
      <c r="G11211" s="2" t="inlineStr">
        <is>
          <t>20260615900745</t>
        </is>
      </c>
      <c r="H11211" s="8">
        <f>HYPERLINK("https://dart.fss.or.kr/dsaf001/main.do?rcpNo=20260615900745", "공시열람")</f>
        <v/>
      </c>
    </row>
    <row r="11212">
      <c r="A11212" s="2" t="inlineStr">
        <is>
          <t>2026-06-15</t>
        </is>
      </c>
      <c r="B11212" s="3" t="inlineStr">
        <is>
          <t>기아</t>
        </is>
      </c>
      <c r="C11212" s="2" t="inlineStr">
        <is>
          <t>코스피</t>
        </is>
      </c>
      <c r="D11212" s="2" t="inlineStr">
        <is>
          <t>000270</t>
        </is>
      </c>
      <c r="E11212" s="3" t="inlineStr">
        <is>
          <t>특수관계인에대한출자</t>
        </is>
      </c>
      <c r="F11212" s="3" t="inlineStr">
        <is>
          <t>기아</t>
        </is>
      </c>
      <c r="G11212" s="2" t="inlineStr">
        <is>
          <t>20260615000344</t>
        </is>
      </c>
      <c r="H11212" s="8">
        <f>HYPERLINK("https://dart.fss.or.kr/dsaf001/main.do?rcpNo=20260615000344", "공시열람")</f>
        <v/>
      </c>
    </row>
    <row r="11213">
      <c r="A11213" s="2" t="inlineStr">
        <is>
          <t>2026-06-15</t>
        </is>
      </c>
      <c r="B11213" s="3" t="inlineStr">
        <is>
          <t>DH오토넥스</t>
        </is>
      </c>
      <c r="C11213" s="2" t="inlineStr">
        <is>
          <t>코스피</t>
        </is>
      </c>
      <c r="D11213" s="2" t="inlineStr">
        <is>
          <t>000300</t>
        </is>
      </c>
      <c r="E11213" s="3" t="inlineStr">
        <is>
          <t xml:space="preserve">주주명부폐쇄기간또는기준일설정              </t>
        </is>
      </c>
      <c r="F11213" s="3" t="inlineStr">
        <is>
          <t>DH오토넥스</t>
        </is>
      </c>
      <c r="G11213" s="2" t="inlineStr">
        <is>
          <t>20260615800733</t>
        </is>
      </c>
      <c r="H11213" s="8">
        <f>HYPERLINK("https://dart.fss.or.kr/dsaf001/main.do?rcpNo=20260615800733", "공시열람")</f>
        <v/>
      </c>
    </row>
    <row r="11214">
      <c r="A11214" s="2" t="inlineStr">
        <is>
          <t>2026-06-15</t>
        </is>
      </c>
      <c r="B11214" s="3" t="inlineStr">
        <is>
          <t>블루산업개발</t>
        </is>
      </c>
      <c r="C11214" s="2" t="inlineStr">
        <is>
          <t>코스피</t>
        </is>
      </c>
      <c r="D11214" s="2" t="inlineStr">
        <is>
          <t>006740</t>
        </is>
      </c>
      <c r="E11214" s="3" t="inlineStr">
        <is>
          <t xml:space="preserve">유상증자또는주식관련사채등의발행결과(자율공시)              </t>
        </is>
      </c>
      <c r="F11214" s="3" t="inlineStr">
        <is>
          <t>블루산업개발</t>
        </is>
      </c>
      <c r="G11214" s="2" t="inlineStr">
        <is>
          <t>20260615800698</t>
        </is>
      </c>
      <c r="H11214" s="8">
        <f>HYPERLINK("https://dart.fss.or.kr/dsaf001/main.do?rcpNo=20260615800698", "공시열람")</f>
        <v/>
      </c>
    </row>
    <row r="11215">
      <c r="A11215" s="2" t="inlineStr">
        <is>
          <t>2026-06-15</t>
        </is>
      </c>
      <c r="B11215" s="3" t="inlineStr">
        <is>
          <t>대신증권</t>
        </is>
      </c>
      <c r="C11215" s="2" t="inlineStr">
        <is>
          <t>코스피</t>
        </is>
      </c>
      <c r="D11215" s="2" t="inlineStr">
        <is>
          <t>003540</t>
        </is>
      </c>
      <c r="E11215" s="3" t="inlineStr">
        <is>
          <t>증권발행실적보고서</t>
        </is>
      </c>
      <c r="F11215" s="3" t="inlineStr">
        <is>
          <t>대신증권</t>
        </is>
      </c>
      <c r="G11215" s="2" t="inlineStr">
        <is>
          <t>20260615000337</t>
        </is>
      </c>
      <c r="H11215" s="8">
        <f>HYPERLINK("https://dart.fss.or.kr/dsaf001/main.do?rcpNo=20260615000337", "공시열람")</f>
        <v/>
      </c>
    </row>
    <row r="11216">
      <c r="A11216" s="2" t="inlineStr">
        <is>
          <t>2026-06-15</t>
        </is>
      </c>
      <c r="B11216" s="3" t="inlineStr">
        <is>
          <t>현대차증권</t>
        </is>
      </c>
      <c r="C11216" s="2" t="inlineStr">
        <is>
          <t>코스피</t>
        </is>
      </c>
      <c r="D11216" s="2" t="inlineStr">
        <is>
          <t>001500</t>
        </is>
      </c>
      <c r="E11216" s="3" t="inlineStr">
        <is>
          <t>일괄신고추가서류(파생결합사채-주가연계파생결합사채)</t>
        </is>
      </c>
      <c r="F11216" s="3" t="inlineStr">
        <is>
          <t>현대차증권</t>
        </is>
      </c>
      <c r="G11216" s="2" t="inlineStr">
        <is>
          <t>20260615000336</t>
        </is>
      </c>
      <c r="H11216" s="8">
        <f>HYPERLINK("https://dart.fss.or.kr/dsaf001/main.do?rcpNo=20260615000336", "공시열람")</f>
        <v/>
      </c>
    </row>
    <row r="11217">
      <c r="A11217" s="2" t="inlineStr">
        <is>
          <t>2026-06-15</t>
        </is>
      </c>
      <c r="B11217" s="3" t="inlineStr">
        <is>
          <t>알엔티엑스</t>
        </is>
      </c>
      <c r="C11217" s="2" t="inlineStr">
        <is>
          <t>코스닥</t>
        </is>
      </c>
      <c r="D11217" s="2" t="inlineStr">
        <is>
          <t>123010</t>
        </is>
      </c>
      <c r="E11217" s="3" t="inlineStr">
        <is>
          <t xml:space="preserve">본점소재지변경              </t>
        </is>
      </c>
      <c r="F11217" s="3" t="inlineStr">
        <is>
          <t>알엔티엑스</t>
        </is>
      </c>
      <c r="G11217" s="2" t="inlineStr">
        <is>
          <t>20260615900739</t>
        </is>
      </c>
      <c r="H11217" s="8">
        <f>HYPERLINK("https://dart.fss.or.kr/dsaf001/main.do?rcpNo=20260615900739", "공시열람")</f>
        <v/>
      </c>
    </row>
    <row r="11218">
      <c r="A11218" s="2" t="inlineStr">
        <is>
          <t>2026-06-15</t>
        </is>
      </c>
      <c r="B11218" s="3" t="inlineStr">
        <is>
          <t>제이앤티씨</t>
        </is>
      </c>
      <c r="C11218" s="2" t="inlineStr">
        <is>
          <t>코스닥</t>
        </is>
      </c>
      <c r="D11218" s="2" t="inlineStr">
        <is>
          <t>204270</t>
        </is>
      </c>
      <c r="E11218" s="3" t="inlineStr">
        <is>
          <t xml:space="preserve">타법인주식및출자증권취득결정              </t>
        </is>
      </c>
      <c r="F11218" s="3" t="inlineStr">
        <is>
          <t>제이앤티씨</t>
        </is>
      </c>
      <c r="G11218" s="2" t="inlineStr">
        <is>
          <t>20260615900677</t>
        </is>
      </c>
      <c r="H11218" s="8">
        <f>HYPERLINK("https://dart.fss.or.kr/dsaf001/main.do?rcpNo=20260615900677", "공시열람")</f>
        <v/>
      </c>
    </row>
    <row r="11219">
      <c r="A11219" s="2" t="inlineStr">
        <is>
          <t>2026-06-15</t>
        </is>
      </c>
      <c r="B11219" s="3" t="inlineStr">
        <is>
          <t>에이전트AI</t>
        </is>
      </c>
      <c r="C11219" s="2" t="inlineStr">
        <is>
          <t>코스닥</t>
        </is>
      </c>
      <c r="D11219" s="2" t="inlineStr">
        <is>
          <t>060900</t>
        </is>
      </c>
      <c r="E11219" s="3" t="inlineStr">
        <is>
          <t>전환사채(해외전환사채포함)발행후만기전사채취득              (제33회차)</t>
        </is>
      </c>
      <c r="F11219" s="3" t="inlineStr">
        <is>
          <t>에이전트AI</t>
        </is>
      </c>
      <c r="G11219" s="2" t="inlineStr">
        <is>
          <t>20260615900668</t>
        </is>
      </c>
      <c r="H11219" s="8">
        <f>HYPERLINK("https://dart.fss.or.kr/dsaf001/main.do?rcpNo=20260615900668", "공시열람")</f>
        <v/>
      </c>
    </row>
    <row r="11220">
      <c r="A11220" s="2" t="inlineStr">
        <is>
          <t>2026-06-15</t>
        </is>
      </c>
      <c r="B11220" s="3" t="inlineStr">
        <is>
          <t>녹십자홀딩스</t>
        </is>
      </c>
      <c r="C11220" s="2" t="inlineStr">
        <is>
          <t>코스피</t>
        </is>
      </c>
      <c r="D11220" s="2" t="inlineStr">
        <is>
          <t>005250</t>
        </is>
      </c>
      <c r="E11220" s="3" t="inlineStr">
        <is>
          <t>임원ㆍ주요주주특정증권등소유상황보고서</t>
        </is>
      </c>
      <c r="F11220" s="3" t="inlineStr">
        <is>
          <t>노형주</t>
        </is>
      </c>
      <c r="G11220" s="2" t="inlineStr">
        <is>
          <t>20260615000324</t>
        </is>
      </c>
      <c r="H11220" s="8">
        <f>HYPERLINK("https://dart.fss.or.kr/dsaf001/main.do?rcpNo=20260615000324", "공시열람")</f>
        <v/>
      </c>
    </row>
    <row r="11221">
      <c r="A11221" s="2" t="inlineStr">
        <is>
          <t>2026-06-15</t>
        </is>
      </c>
      <c r="B11221" s="3" t="inlineStr">
        <is>
          <t>엔젯</t>
        </is>
      </c>
      <c r="C11221" s="2" t="inlineStr">
        <is>
          <t>코스닥</t>
        </is>
      </c>
      <c r="D11221" s="2" t="inlineStr">
        <is>
          <t>419080</t>
        </is>
      </c>
      <c r="E11221" s="3" t="inlineStr">
        <is>
          <t>임원ㆍ주요주주특정증권등소유상황보고서</t>
        </is>
      </c>
      <c r="F11221" s="3" t="inlineStr">
        <is>
          <t>성백훈</t>
        </is>
      </c>
      <c r="G11221" s="2" t="inlineStr">
        <is>
          <t>20260615000323</t>
        </is>
      </c>
      <c r="H11221" s="8">
        <f>HYPERLINK("https://dart.fss.or.kr/dsaf001/main.do?rcpNo=20260615000323", "공시열람")</f>
        <v/>
      </c>
    </row>
    <row r="11222">
      <c r="A11222" s="2" t="inlineStr">
        <is>
          <t>2026-06-15</t>
        </is>
      </c>
      <c r="B11222" s="3" t="inlineStr">
        <is>
          <t>인벤티지랩</t>
        </is>
      </c>
      <c r="C11222" s="2" t="inlineStr">
        <is>
          <t>코스닥</t>
        </is>
      </c>
      <c r="D11222" s="2" t="inlineStr">
        <is>
          <t>389470</t>
        </is>
      </c>
      <c r="E11222" s="3" t="inlineStr">
        <is>
          <t>주요사항보고서(자기전환사채만기전취득결정)</t>
        </is>
      </c>
      <c r="F11222" s="3" t="inlineStr">
        <is>
          <t>인벤티지랩</t>
        </is>
      </c>
      <c r="G11222" s="2" t="inlineStr">
        <is>
          <t>20260615000306</t>
        </is>
      </c>
      <c r="H11222" s="8">
        <f>HYPERLINK("https://dart.fss.or.kr/dsaf001/main.do?rcpNo=20260615000306", "공시열람")</f>
        <v/>
      </c>
    </row>
    <row r="11223">
      <c r="A11223" s="2" t="inlineStr">
        <is>
          <t>2026-06-15</t>
        </is>
      </c>
      <c r="B11223" s="3" t="inlineStr">
        <is>
          <t>NH투자증권</t>
        </is>
      </c>
      <c r="C11223" s="2" t="inlineStr">
        <is>
          <t>코스피</t>
        </is>
      </c>
      <c r="D11223" s="2" t="inlineStr">
        <is>
          <t>005940</t>
        </is>
      </c>
      <c r="E11223" s="3" t="inlineStr">
        <is>
          <t>의결권대리행사권유참고서류</t>
        </is>
      </c>
      <c r="F11223" s="3" t="inlineStr">
        <is>
          <t>NH투자증권</t>
        </is>
      </c>
      <c r="G11223" s="2" t="inlineStr">
        <is>
          <t>20260615000319</t>
        </is>
      </c>
      <c r="H11223" s="8">
        <f>HYPERLINK("https://dart.fss.or.kr/dsaf001/main.do?rcpNo=20260615000319", "공시열람")</f>
        <v/>
      </c>
    </row>
    <row r="11224">
      <c r="A11224" s="2" t="inlineStr">
        <is>
          <t>2026-06-15</t>
        </is>
      </c>
      <c r="B11224" s="3" t="inlineStr">
        <is>
          <t>아진전자부품</t>
        </is>
      </c>
      <c r="C11224" s="2" t="inlineStr">
        <is>
          <t>코스피</t>
        </is>
      </c>
      <c r="D11224" s="2" t="inlineStr">
        <is>
          <t>009320</t>
        </is>
      </c>
      <c r="E11224" s="3" t="inlineStr">
        <is>
          <t>임원ㆍ주요주주특정증권등거래계획보고서</t>
        </is>
      </c>
      <c r="F11224" s="3" t="inlineStr">
        <is>
          <t>아진카인텍</t>
        </is>
      </c>
      <c r="G11224" s="2" t="inlineStr">
        <is>
          <t>20260615000318</t>
        </is>
      </c>
      <c r="H11224" s="8">
        <f>HYPERLINK("https://dart.fss.or.kr/dsaf001/main.do?rcpNo=20260615000318", "공시열람")</f>
        <v/>
      </c>
    </row>
    <row r="11225">
      <c r="A11225" s="2" t="inlineStr">
        <is>
          <t>2026-06-15</t>
        </is>
      </c>
      <c r="B11225" s="3" t="inlineStr">
        <is>
          <t>맥쿼리인프라</t>
        </is>
      </c>
      <c r="C11225" s="2" t="inlineStr">
        <is>
          <t>코스피</t>
        </is>
      </c>
      <c r="D11225" s="2" t="inlineStr">
        <is>
          <t>088980</t>
        </is>
      </c>
      <c r="E11225" s="3" t="inlineStr">
        <is>
          <t xml:space="preserve">주주명부폐쇄기간또는기준일설정              </t>
        </is>
      </c>
      <c r="F11225" s="3" t="inlineStr">
        <is>
          <t>맥쿼리인프라</t>
        </is>
      </c>
      <c r="G11225" s="2" t="inlineStr">
        <is>
          <t>20260615800669</t>
        </is>
      </c>
      <c r="H11225" s="8">
        <f>HYPERLINK("https://dart.fss.or.kr/dsaf001/main.do?rcpNo=20260615800669", "공시열람")</f>
        <v/>
      </c>
    </row>
    <row r="11226">
      <c r="A11226" s="2" t="inlineStr">
        <is>
          <t>2026-06-15</t>
        </is>
      </c>
      <c r="B11226" s="3" t="inlineStr">
        <is>
          <t>지슨</t>
        </is>
      </c>
      <c r="C11226" s="2" t="inlineStr">
        <is>
          <t>코스닥</t>
        </is>
      </c>
      <c r="D11226" s="2" t="inlineStr">
        <is>
          <t>446840</t>
        </is>
      </c>
      <c r="E11226" s="3" t="inlineStr">
        <is>
          <t xml:space="preserve">기업설명회(IR)개최              </t>
        </is>
      </c>
      <c r="F11226" s="3" t="inlineStr">
        <is>
          <t>지슨</t>
        </is>
      </c>
      <c r="G11226" s="2" t="inlineStr">
        <is>
          <t>20260615900692</t>
        </is>
      </c>
      <c r="H11226" s="8">
        <f>HYPERLINK("https://dart.fss.or.kr/dsaf001/main.do?rcpNo=20260615900692", "공시열람")</f>
        <v/>
      </c>
    </row>
    <row r="11227">
      <c r="A11227" s="2" t="inlineStr">
        <is>
          <t>2026-06-15</t>
        </is>
      </c>
      <c r="B11227" s="3" t="inlineStr">
        <is>
          <t>JB금융지주</t>
        </is>
      </c>
      <c r="C11227" s="2" t="inlineStr">
        <is>
          <t>코스피</t>
        </is>
      </c>
      <c r="D11227" s="2" t="inlineStr">
        <is>
          <t>175330</t>
        </is>
      </c>
      <c r="E11227" s="3" t="inlineStr">
        <is>
          <t xml:space="preserve">기업설명회(IR)개최(안내공시)              </t>
        </is>
      </c>
      <c r="F11227" s="3" t="inlineStr">
        <is>
          <t>JB금융지주</t>
        </is>
      </c>
      <c r="G11227" s="2" t="inlineStr">
        <is>
          <t>20260615800703</t>
        </is>
      </c>
      <c r="H11227" s="8">
        <f>HYPERLINK("https://dart.fss.or.kr/dsaf001/main.do?rcpNo=20260615800703", "공시열람")</f>
        <v/>
      </c>
    </row>
    <row r="11228">
      <c r="A11228" s="2" t="inlineStr">
        <is>
          <t>2026-06-15 (정정: 2026-06-16)</t>
        </is>
      </c>
      <c r="B11228" s="3" t="inlineStr">
        <is>
          <t>한국유니온제약</t>
        </is>
      </c>
      <c r="C11228" s="2" t="inlineStr">
        <is>
          <t>코스닥</t>
        </is>
      </c>
      <c r="D11228" s="2" t="inlineStr">
        <is>
          <t>080720</t>
        </is>
      </c>
      <c r="E11228" s="3" t="inlineStr">
        <is>
          <t>주주명부폐쇄기간또는기준일설정               (정정: 20260616)</t>
        </is>
      </c>
      <c r="F11228" s="3" t="inlineStr">
        <is>
          <t>한국유니온제약</t>
        </is>
      </c>
      <c r="G11228" s="2" t="inlineStr">
        <is>
          <t>20260616000085</t>
        </is>
      </c>
      <c r="H11228" s="8">
        <f>HYPERLINK("https://dart.fss.or.kr/dsaf001/main.do?rcpNo=20260616000085", "공시열람")</f>
        <v/>
      </c>
    </row>
    <row r="11229">
      <c r="A11229" s="2" t="inlineStr">
        <is>
          <t>2026-06-15</t>
        </is>
      </c>
      <c r="B11229" s="3" t="inlineStr">
        <is>
          <t>제이아이테크</t>
        </is>
      </c>
      <c r="C11229" s="2" t="inlineStr">
        <is>
          <t>코스닥</t>
        </is>
      </c>
      <c r="D11229" s="2" t="inlineStr">
        <is>
          <t>417500</t>
        </is>
      </c>
      <c r="E11229" s="3" t="inlineStr">
        <is>
          <t>전환사채(해외전환사채포함)발행후만기전사채취득              (제1회차)</t>
        </is>
      </c>
      <c r="F11229" s="3" t="inlineStr">
        <is>
          <t>제이아이테크</t>
        </is>
      </c>
      <c r="G11229" s="2" t="inlineStr">
        <is>
          <t>20260615900657</t>
        </is>
      </c>
      <c r="H11229" s="8">
        <f>HYPERLINK("https://dart.fss.or.kr/dsaf001/main.do?rcpNo=20260615900657", "공시열람")</f>
        <v/>
      </c>
    </row>
    <row r="11230">
      <c r="A11230" s="2" t="inlineStr">
        <is>
          <t>2026-06-15</t>
        </is>
      </c>
      <c r="B11230" s="3" t="inlineStr">
        <is>
          <t>케스피온</t>
        </is>
      </c>
      <c r="C11230" s="2" t="inlineStr">
        <is>
          <t>코스닥</t>
        </is>
      </c>
      <c r="D11230" s="2" t="inlineStr">
        <is>
          <t>079190</t>
        </is>
      </c>
      <c r="E11230" s="3" t="inlineStr">
        <is>
          <t>임원ㆍ주요주주특정증권등소유상황보고서</t>
        </is>
      </c>
      <c r="F11230" s="3" t="inlineStr">
        <is>
          <t>문병룡</t>
        </is>
      </c>
      <c r="G11230" s="2" t="inlineStr">
        <is>
          <t>20260615000293</t>
        </is>
      </c>
      <c r="H11230" s="8">
        <f>HYPERLINK("https://dart.fss.or.kr/dsaf001/main.do?rcpNo=20260615000293", "공시열람")</f>
        <v/>
      </c>
    </row>
    <row r="11231">
      <c r="A11231" s="2" t="inlineStr">
        <is>
          <t>2026-06-15</t>
        </is>
      </c>
      <c r="B11231" s="3" t="inlineStr">
        <is>
          <t>프로젠</t>
        </is>
      </c>
      <c r="C11231" s="2" t="inlineStr">
        <is>
          <t>코넥스</t>
        </is>
      </c>
      <c r="D11231" s="2" t="inlineStr">
        <is>
          <t>296160</t>
        </is>
      </c>
      <c r="E11231" s="3" t="inlineStr">
        <is>
          <t xml:space="preserve">기업설명회(IR)개최결과              </t>
        </is>
      </c>
      <c r="F11231" s="3" t="inlineStr">
        <is>
          <t>프로젠</t>
        </is>
      </c>
      <c r="G11231" s="2" t="inlineStr">
        <is>
          <t>20260615600656</t>
        </is>
      </c>
      <c r="H11231" s="8">
        <f>HYPERLINK("https://dart.fss.or.kr/dsaf001/main.do?rcpNo=20260615600656", "공시열람")</f>
        <v/>
      </c>
    </row>
    <row r="11232">
      <c r="A11232" s="2" t="inlineStr">
        <is>
          <t>2026-06-15 (정정: 2026-06-19)</t>
        </is>
      </c>
      <c r="B11232" s="3" t="inlineStr">
        <is>
          <t>디에이치엑스컴퍼니</t>
        </is>
      </c>
      <c r="C11232" s="2" t="inlineStr">
        <is>
          <t>코스닥</t>
        </is>
      </c>
      <c r="D11232" s="2" t="inlineStr">
        <is>
          <t>031860</t>
        </is>
      </c>
      <c r="E11232" s="3" t="inlineStr">
        <is>
          <t>의결권대리행사권유참고서류 (정정: 20260619) (정정: 20260619)</t>
        </is>
      </c>
      <c r="F11232" s="3" t="inlineStr">
        <is>
          <t>디에이치엑스컴퍼니</t>
        </is>
      </c>
      <c r="G11232" s="2" t="inlineStr">
        <is>
          <t>20260619000503</t>
        </is>
      </c>
      <c r="H11232" s="8">
        <f>HYPERLINK("https://dart.fss.or.kr/dsaf001/main.do?rcpNo=20260619000503", "공시열람")</f>
        <v/>
      </c>
    </row>
    <row r="11233">
      <c r="A11233" s="2" t="inlineStr">
        <is>
          <t>2026-06-15</t>
        </is>
      </c>
      <c r="B11233" s="3" t="inlineStr">
        <is>
          <t>아시아나항공</t>
        </is>
      </c>
      <c r="C11233" s="2" t="inlineStr">
        <is>
          <t>코스피</t>
        </is>
      </c>
      <c r="D11233" s="2" t="inlineStr">
        <is>
          <t>020560</t>
        </is>
      </c>
      <c r="E11233" s="3" t="inlineStr">
        <is>
          <t xml:space="preserve">단기차입금증가결정              </t>
        </is>
      </c>
      <c r="F11233" s="3" t="inlineStr">
        <is>
          <t>아시아나항공</t>
        </is>
      </c>
      <c r="G11233" s="2" t="inlineStr">
        <is>
          <t>20260615800599</t>
        </is>
      </c>
      <c r="H11233" s="8">
        <f>HYPERLINK("https://dart.fss.or.kr/dsaf001/main.do?rcpNo=20260615800599", "공시열람")</f>
        <v/>
      </c>
    </row>
    <row r="11234">
      <c r="A11234" s="2" t="inlineStr">
        <is>
          <t>2026-06-15</t>
        </is>
      </c>
      <c r="B11234" s="3" t="inlineStr">
        <is>
          <t>에어부산</t>
        </is>
      </c>
      <c r="C11234" s="2" t="inlineStr">
        <is>
          <t>코스피</t>
        </is>
      </c>
      <c r="D11234" s="2" t="inlineStr">
        <is>
          <t>298690</t>
        </is>
      </c>
      <c r="E11234" s="3" t="inlineStr">
        <is>
          <t xml:space="preserve">전환청구권ㆍ신주인수권ㆍ교환청구권행사              </t>
        </is>
      </c>
      <c r="F11234" s="3" t="inlineStr">
        <is>
          <t>에어부산</t>
        </is>
      </c>
      <c r="G11234" s="2" t="inlineStr">
        <is>
          <t>20260615800660</t>
        </is>
      </c>
      <c r="H11234" s="8">
        <f>HYPERLINK("https://dart.fss.or.kr/dsaf001/main.do?rcpNo=20260615800660", "공시열람")</f>
        <v/>
      </c>
    </row>
    <row r="11235">
      <c r="A11235" s="2" t="inlineStr">
        <is>
          <t>2026-06-15 (정정: 2026-06-26)</t>
        </is>
      </c>
      <c r="B11235" s="3" t="inlineStr">
        <is>
          <t>아시아나항공</t>
        </is>
      </c>
      <c r="C11235" s="2" t="inlineStr">
        <is>
          <t>코스피</t>
        </is>
      </c>
      <c r="D11235" s="2" t="inlineStr">
        <is>
          <t>020560</t>
        </is>
      </c>
      <c r="E11235" s="3" t="inlineStr">
        <is>
          <t>타법인주식및출자증권취득결정               (정정: 20260626)</t>
        </is>
      </c>
      <c r="F11235" s="3" t="inlineStr">
        <is>
          <t>아시아나항공</t>
        </is>
      </c>
      <c r="G11235" s="2" t="inlineStr">
        <is>
          <t>20260626000007</t>
        </is>
      </c>
      <c r="H11235" s="8">
        <f>HYPERLINK("https://dart.fss.or.kr/dsaf001/main.do?rcpNo=20260626000007", "공시열람")</f>
        <v/>
      </c>
    </row>
    <row r="11236">
      <c r="A11236" s="2" t="inlineStr">
        <is>
          <t>2026-06-15</t>
        </is>
      </c>
      <c r="B11236" s="3" t="inlineStr">
        <is>
          <t>케어랩스</t>
        </is>
      </c>
      <c r="C11236" s="2" t="inlineStr">
        <is>
          <t>코스닥</t>
        </is>
      </c>
      <c r="D11236" s="2" t="inlineStr">
        <is>
          <t>263700</t>
        </is>
      </c>
      <c r="E11236" s="3" t="inlineStr">
        <is>
          <t>임원ㆍ주요주주특정증권등소유상황보고서</t>
        </is>
      </c>
      <c r="F11236" s="3" t="inlineStr">
        <is>
          <t>이민경</t>
        </is>
      </c>
      <c r="G11236" s="2" t="inlineStr">
        <is>
          <t>20260615000279</t>
        </is>
      </c>
      <c r="H11236" s="8">
        <f>HYPERLINK("https://dart.fss.or.kr/dsaf001/main.do?rcpNo=20260615000279", "공시열람")</f>
        <v/>
      </c>
    </row>
    <row r="11237">
      <c r="A11237" s="2" t="inlineStr">
        <is>
          <t>2026-06-15</t>
        </is>
      </c>
      <c r="B11237" s="3" t="inlineStr">
        <is>
          <t>프레스티지바이오로직스</t>
        </is>
      </c>
      <c r="C11237" s="2" t="inlineStr">
        <is>
          <t>코스닥</t>
        </is>
      </c>
      <c r="D11237" s="2" t="inlineStr">
        <is>
          <t>334970</t>
        </is>
      </c>
      <c r="E11237" s="3" t="inlineStr">
        <is>
          <t xml:space="preserve">주주명부폐쇄기간또는기준일설정              </t>
        </is>
      </c>
      <c r="F11237" s="3" t="inlineStr">
        <is>
          <t>프레스티지바이오로직스</t>
        </is>
      </c>
      <c r="G11237" s="2" t="inlineStr">
        <is>
          <t>20260615900654</t>
        </is>
      </c>
      <c r="H11237" s="8">
        <f>HYPERLINK("https://dart.fss.or.kr/dsaf001/main.do?rcpNo=20260615900654", "공시열람")</f>
        <v/>
      </c>
    </row>
    <row r="11238">
      <c r="A11238" s="2" t="inlineStr">
        <is>
          <t>2026-06-15</t>
        </is>
      </c>
      <c r="B11238" s="3" t="inlineStr">
        <is>
          <t>유니크</t>
        </is>
      </c>
      <c r="C11238" s="2" t="inlineStr">
        <is>
          <t>코스닥</t>
        </is>
      </c>
      <c r="D11238" s="2" t="inlineStr">
        <is>
          <t>011320</t>
        </is>
      </c>
      <c r="E11238" s="3" t="inlineStr">
        <is>
          <t>임원ㆍ주요주주특정증권등거래계획보고서</t>
        </is>
      </c>
      <c r="F11238" s="3" t="inlineStr">
        <is>
          <t>안영구</t>
        </is>
      </c>
      <c r="G11238" s="2" t="inlineStr">
        <is>
          <t>20260615000276</t>
        </is>
      </c>
      <c r="H11238" s="8">
        <f>HYPERLINK("https://dart.fss.or.kr/dsaf001/main.do?rcpNo=20260615000276", "공시열람")</f>
        <v/>
      </c>
    </row>
    <row r="11239">
      <c r="A11239" s="2" t="inlineStr">
        <is>
          <t>2026-06-15</t>
        </is>
      </c>
      <c r="B11239" s="3" t="inlineStr">
        <is>
          <t>AK홀딩스</t>
        </is>
      </c>
      <c r="C11239" s="2" t="inlineStr">
        <is>
          <t>코스피</t>
        </is>
      </c>
      <c r="D11239" s="2" t="inlineStr">
        <is>
          <t>006840</t>
        </is>
      </c>
      <c r="E11239" s="3" t="inlineStr">
        <is>
          <t>특수관계인에대한주식의처분</t>
        </is>
      </c>
      <c r="F11239" s="3" t="inlineStr">
        <is>
          <t>AK홀딩스</t>
        </is>
      </c>
      <c r="G11239" s="2" t="inlineStr">
        <is>
          <t>20260615000270</t>
        </is>
      </c>
      <c r="H11239" s="8">
        <f>HYPERLINK("https://dart.fss.or.kr/dsaf001/main.do?rcpNo=20260615000270", "공시열람")</f>
        <v/>
      </c>
    </row>
    <row r="11240">
      <c r="A11240" s="2" t="inlineStr">
        <is>
          <t>2026-06-15</t>
        </is>
      </c>
      <c r="B11240" s="3" t="inlineStr">
        <is>
          <t>라온텍</t>
        </is>
      </c>
      <c r="C11240" s="2" t="inlineStr">
        <is>
          <t>코스닥</t>
        </is>
      </c>
      <c r="D11240" s="2" t="inlineStr">
        <is>
          <t>418420</t>
        </is>
      </c>
      <c r="E11240" s="3" t="inlineStr">
        <is>
          <t>임원ㆍ주요주주특정증권등소유상황보고서</t>
        </is>
      </c>
      <c r="F11240" s="3" t="inlineStr">
        <is>
          <t>한성준</t>
        </is>
      </c>
      <c r="G11240" s="2" t="inlineStr">
        <is>
          <t>20260615000267</t>
        </is>
      </c>
      <c r="H11240" s="8">
        <f>HYPERLINK("https://dart.fss.or.kr/dsaf001/main.do?rcpNo=20260615000267", "공시열람")</f>
        <v/>
      </c>
    </row>
    <row r="11241">
      <c r="A11241" s="2" t="inlineStr">
        <is>
          <t>2026-06-15 (정정: 2026-06-16)</t>
        </is>
      </c>
      <c r="B11241" s="3" t="inlineStr">
        <is>
          <t>율촌</t>
        </is>
      </c>
      <c r="C11241" s="2" t="inlineStr">
        <is>
          <t>코스닥</t>
        </is>
      </c>
      <c r="D11241" s="2" t="inlineStr">
        <is>
          <t>146060</t>
        </is>
      </c>
      <c r="E11241" s="3" t="inlineStr">
        <is>
          <t>대표이사변경               (정정: 20260616)</t>
        </is>
      </c>
      <c r="F11241" s="3" t="inlineStr">
        <is>
          <t>율촌</t>
        </is>
      </c>
      <c r="G11241" s="2" t="inlineStr">
        <is>
          <t>20260616900255</t>
        </is>
      </c>
      <c r="H11241" s="8">
        <f>HYPERLINK("https://dart.fss.or.kr/dsaf001/main.do?rcpNo=20260616900255", "공시열람")</f>
        <v/>
      </c>
    </row>
    <row r="11242">
      <c r="A11242" s="2" t="inlineStr">
        <is>
          <t>2026-06-15</t>
        </is>
      </c>
      <c r="B11242" s="3" t="inlineStr">
        <is>
          <t>두산</t>
        </is>
      </c>
      <c r="C11242" s="2" t="inlineStr">
        <is>
          <t>코스피</t>
        </is>
      </c>
      <c r="D11242" s="2" t="inlineStr">
        <is>
          <t>000150</t>
        </is>
      </c>
      <c r="E11242" s="3" t="inlineStr">
        <is>
          <t xml:space="preserve">풍문또는보도에대한해명(미확정)              </t>
        </is>
      </c>
      <c r="F11242" s="3" t="inlineStr">
        <is>
          <t>두산</t>
        </is>
      </c>
      <c r="G11242" s="2" t="inlineStr">
        <is>
          <t>20260615800622</t>
        </is>
      </c>
      <c r="H11242" s="8">
        <f>HYPERLINK("https://dart.fss.or.kr/dsaf001/main.do?rcpNo=20260615800622", "공시열람")</f>
        <v/>
      </c>
    </row>
    <row r="11243">
      <c r="A11243" s="2" t="inlineStr">
        <is>
          <t>2026-06-15</t>
        </is>
      </c>
      <c r="B11243" s="3" t="inlineStr">
        <is>
          <t>세니젠</t>
        </is>
      </c>
      <c r="C11243" s="2" t="inlineStr">
        <is>
          <t>코스닥</t>
        </is>
      </c>
      <c r="D11243" s="2" t="inlineStr">
        <is>
          <t>188260</t>
        </is>
      </c>
      <c r="E11243" s="3" t="inlineStr">
        <is>
          <t xml:space="preserve">주주명부폐쇄기간또는기준일설정              </t>
        </is>
      </c>
      <c r="F11243" s="3" t="inlineStr">
        <is>
          <t>세니젠</t>
        </is>
      </c>
      <c r="G11243" s="2" t="inlineStr">
        <is>
          <t>20260615900604</t>
        </is>
      </c>
      <c r="H11243" s="8">
        <f>HYPERLINK("https://dart.fss.or.kr/dsaf001/main.do?rcpNo=20260615900604", "공시열람")</f>
        <v/>
      </c>
    </row>
    <row r="11244">
      <c r="A11244" s="2" t="inlineStr">
        <is>
          <t>2026-06-15</t>
        </is>
      </c>
      <c r="B11244" s="3" t="inlineStr">
        <is>
          <t>SK</t>
        </is>
      </c>
      <c r="C11244" s="2" t="inlineStr">
        <is>
          <t>코스피</t>
        </is>
      </c>
      <c r="D11244" s="2" t="inlineStr">
        <is>
          <t>034730</t>
        </is>
      </c>
      <c r="E11244" s="3" t="inlineStr">
        <is>
          <t xml:space="preserve">풍문또는보도에대한해명(미확정)              </t>
        </is>
      </c>
      <c r="F11244" s="3" t="inlineStr">
        <is>
          <t>SK</t>
        </is>
      </c>
      <c r="G11244" s="2" t="inlineStr">
        <is>
          <t>20260615800569</t>
        </is>
      </c>
      <c r="H11244" s="8">
        <f>HYPERLINK("https://dart.fss.or.kr/dsaf001/main.do?rcpNo=20260615800569", "공시열람")</f>
        <v/>
      </c>
    </row>
    <row r="11245">
      <c r="A11245" s="2" t="inlineStr">
        <is>
          <t>2026-06-15</t>
        </is>
      </c>
      <c r="B11245" s="3" t="inlineStr">
        <is>
          <t>AK홀딩스</t>
        </is>
      </c>
      <c r="C11245" s="2" t="inlineStr">
        <is>
          <t>코스피</t>
        </is>
      </c>
      <c r="D11245" s="2" t="inlineStr">
        <is>
          <t>006840</t>
        </is>
      </c>
      <c r="E11245" s="3" t="inlineStr">
        <is>
          <t>특수관계인에대한자금대여</t>
        </is>
      </c>
      <c r="F11245" s="3" t="inlineStr">
        <is>
          <t>AK홀딩스</t>
        </is>
      </c>
      <c r="G11245" s="2" t="inlineStr">
        <is>
          <t>20260615000263</t>
        </is>
      </c>
      <c r="H11245" s="8">
        <f>HYPERLINK("https://dart.fss.or.kr/dsaf001/main.do?rcpNo=20260615000263", "공시열람")</f>
        <v/>
      </c>
    </row>
    <row r="11246">
      <c r="A11246" s="2" t="inlineStr">
        <is>
          <t>2026-06-15</t>
        </is>
      </c>
      <c r="B11246" s="3" t="inlineStr">
        <is>
          <t>메가터치</t>
        </is>
      </c>
      <c r="C11246" s="2" t="inlineStr">
        <is>
          <t>코스닥</t>
        </is>
      </c>
      <c r="D11246" s="2" t="inlineStr">
        <is>
          <t>446540</t>
        </is>
      </c>
      <c r="E11246" s="3" t="inlineStr">
        <is>
          <t>임원ㆍ주요주주특정증권등소유상황보고서</t>
        </is>
      </c>
      <c r="F11246" s="3" t="inlineStr">
        <is>
          <t>최우용</t>
        </is>
      </c>
      <c r="G11246" s="2" t="inlineStr">
        <is>
          <t>20260615000260</t>
        </is>
      </c>
      <c r="H11246" s="8">
        <f>HYPERLINK("https://dart.fss.or.kr/dsaf001/main.do?rcpNo=20260615000260", "공시열람")</f>
        <v/>
      </c>
    </row>
    <row r="11247">
      <c r="A11247" s="2" t="inlineStr">
        <is>
          <t>2026-06-15</t>
        </is>
      </c>
      <c r="B11247" s="3" t="inlineStr">
        <is>
          <t>세원정공</t>
        </is>
      </c>
      <c r="C11247" s="2" t="inlineStr">
        <is>
          <t>코스피</t>
        </is>
      </c>
      <c r="D11247" s="2" t="inlineStr">
        <is>
          <t>021820</t>
        </is>
      </c>
      <c r="E11247" s="3" t="inlineStr">
        <is>
          <t xml:space="preserve">주주명부폐쇄기간또는기준일설정              </t>
        </is>
      </c>
      <c r="F11247" s="3" t="inlineStr">
        <is>
          <t>세원정공</t>
        </is>
      </c>
      <c r="G11247" s="2" t="inlineStr">
        <is>
          <t>20260615800572</t>
        </is>
      </c>
      <c r="H11247" s="8">
        <f>HYPERLINK("https://dart.fss.or.kr/dsaf001/main.do?rcpNo=20260615800572", "공시열람")</f>
        <v/>
      </c>
    </row>
    <row r="11248">
      <c r="A11248" s="2" t="inlineStr">
        <is>
          <t>2026-06-15</t>
        </is>
      </c>
      <c r="B11248" s="3" t="inlineStr">
        <is>
          <t>애경산업</t>
        </is>
      </c>
      <c r="C11248" s="2" t="inlineStr">
        <is>
          <t>코스피</t>
        </is>
      </c>
      <c r="D11248" s="2" t="inlineStr">
        <is>
          <t>018250</t>
        </is>
      </c>
      <c r="E11248" s="3" t="inlineStr">
        <is>
          <t>합병등종료보고서(합병)</t>
        </is>
      </c>
      <c r="F11248" s="3" t="inlineStr">
        <is>
          <t>애경산업</t>
        </is>
      </c>
      <c r="G11248" s="2" t="inlineStr">
        <is>
          <t>20260615000259</t>
        </is>
      </c>
      <c r="H11248" s="8">
        <f>HYPERLINK("https://dart.fss.or.kr/dsaf001/main.do?rcpNo=20260615000259", "공시열람")</f>
        <v/>
      </c>
    </row>
    <row r="11249">
      <c r="A11249" s="2" t="inlineStr">
        <is>
          <t>2026-06-15</t>
        </is>
      </c>
      <c r="B11249" s="3" t="inlineStr">
        <is>
          <t>라온텍</t>
        </is>
      </c>
      <c r="C11249" s="2" t="inlineStr">
        <is>
          <t>코스닥</t>
        </is>
      </c>
      <c r="D11249" s="2" t="inlineStr">
        <is>
          <t>418420</t>
        </is>
      </c>
      <c r="E11249" s="3" t="inlineStr">
        <is>
          <t>임원ㆍ주요주주특정증권등소유상황보고서</t>
        </is>
      </c>
      <c r="F11249" s="3" t="inlineStr">
        <is>
          <t>이정환</t>
        </is>
      </c>
      <c r="G11249" s="2" t="inlineStr">
        <is>
          <t>20260615000258</t>
        </is>
      </c>
      <c r="H11249" s="8">
        <f>HYPERLINK("https://dart.fss.or.kr/dsaf001/main.do?rcpNo=20260615000258", "공시열람")</f>
        <v/>
      </c>
    </row>
    <row r="11250">
      <c r="A11250" s="2" t="inlineStr">
        <is>
          <t>2026-06-15</t>
        </is>
      </c>
      <c r="B11250" s="3" t="inlineStr">
        <is>
          <t>대아티아이</t>
        </is>
      </c>
      <c r="C11250" s="2" t="inlineStr">
        <is>
          <t>코스닥</t>
        </is>
      </c>
      <c r="D11250" s="2" t="inlineStr">
        <is>
          <t>045390</t>
        </is>
      </c>
      <c r="E11250" s="3" t="inlineStr">
        <is>
          <t>신탁계약에의한취득상황보고서</t>
        </is>
      </c>
      <c r="F11250" s="3" t="inlineStr">
        <is>
          <t>대아티아이</t>
        </is>
      </c>
      <c r="G11250" s="2" t="inlineStr">
        <is>
          <t>20260615000257</t>
        </is>
      </c>
      <c r="H11250" s="8">
        <f>HYPERLINK("https://dart.fss.or.kr/dsaf001/main.do?rcpNo=20260615000257", "공시열람")</f>
        <v/>
      </c>
    </row>
    <row r="11251">
      <c r="A11251" s="2" t="inlineStr">
        <is>
          <t>2026-06-15</t>
        </is>
      </c>
      <c r="B11251" s="3" t="inlineStr">
        <is>
          <t>NH투자증권</t>
        </is>
      </c>
      <c r="C11251" s="2" t="inlineStr">
        <is>
          <t>코스피</t>
        </is>
      </c>
      <c r="D11251" s="2" t="inlineStr">
        <is>
          <t>005940</t>
        </is>
      </c>
      <c r="E11251" s="3" t="inlineStr">
        <is>
          <t>투자설명서(일괄신고)</t>
        </is>
      </c>
      <c r="F11251" s="3" t="inlineStr">
        <is>
          <t>NH투자증권</t>
        </is>
      </c>
      <c r="G11251" s="2" t="inlineStr">
        <is>
          <t>20260615000255</t>
        </is>
      </c>
      <c r="H11251" s="8">
        <f>HYPERLINK("https://dart.fss.or.kr/dsaf001/main.do?rcpNo=20260615000255", "공시열람")</f>
        <v/>
      </c>
    </row>
    <row r="11252">
      <c r="A11252" s="2" t="inlineStr">
        <is>
          <t>2026-06-15</t>
        </is>
      </c>
      <c r="B11252" s="3" t="inlineStr">
        <is>
          <t>AK홀딩스</t>
        </is>
      </c>
      <c r="C11252" s="2" t="inlineStr">
        <is>
          <t>코스피</t>
        </is>
      </c>
      <c r="D11252" s="2" t="inlineStr">
        <is>
          <t>006840</t>
        </is>
      </c>
      <c r="E11252" s="3" t="inlineStr">
        <is>
          <t>특수관계인에대한담보제공</t>
        </is>
      </c>
      <c r="F11252" s="3" t="inlineStr">
        <is>
          <t>AK홀딩스</t>
        </is>
      </c>
      <c r="G11252" s="2" t="inlineStr">
        <is>
          <t>20260615000253</t>
        </is>
      </c>
      <c r="H11252" s="8">
        <f>HYPERLINK("https://dart.fss.or.kr/dsaf001/main.do?rcpNo=20260615000253", "공시열람")</f>
        <v/>
      </c>
    </row>
    <row r="11253">
      <c r="A11253" s="2" t="inlineStr">
        <is>
          <t>2026-06-15</t>
        </is>
      </c>
      <c r="B11253" s="3" t="inlineStr">
        <is>
          <t>한화생명</t>
        </is>
      </c>
      <c r="C11253" s="2" t="inlineStr">
        <is>
          <t>코스피</t>
        </is>
      </c>
      <c r="D11253" s="2" t="inlineStr">
        <is>
          <t>088350</t>
        </is>
      </c>
      <c r="E11253" s="3" t="inlineStr">
        <is>
          <t>특수관계인과의수익증권거래</t>
        </is>
      </c>
      <c r="F11253" s="3" t="inlineStr">
        <is>
          <t>한화생명</t>
        </is>
      </c>
      <c r="G11253" s="2" t="inlineStr">
        <is>
          <t>20260615000250</t>
        </is>
      </c>
      <c r="H11253" s="8">
        <f>HYPERLINK("https://dart.fss.or.kr/dsaf001/main.do?rcpNo=20260615000250", "공시열람")</f>
        <v/>
      </c>
    </row>
    <row r="11254">
      <c r="A11254" s="2" t="inlineStr">
        <is>
          <t>2026-06-15</t>
        </is>
      </c>
      <c r="B11254" s="3" t="inlineStr">
        <is>
          <t>라온텍</t>
        </is>
      </c>
      <c r="C11254" s="2" t="inlineStr">
        <is>
          <t>코스닥</t>
        </is>
      </c>
      <c r="D11254" s="2" t="inlineStr">
        <is>
          <t>418420</t>
        </is>
      </c>
      <c r="E11254" s="3" t="inlineStr">
        <is>
          <t>임원ㆍ주요주주특정증권등소유상황보고서</t>
        </is>
      </c>
      <c r="F11254" s="3" t="inlineStr">
        <is>
          <t>김민석</t>
        </is>
      </c>
      <c r="G11254" s="2" t="inlineStr">
        <is>
          <t>20260615000249</t>
        </is>
      </c>
      <c r="H11254" s="8">
        <f>HYPERLINK("https://dart.fss.or.kr/dsaf001/main.do?rcpNo=20260615000249", "공시열람")</f>
        <v/>
      </c>
    </row>
    <row r="11255">
      <c r="A11255" s="2" t="inlineStr">
        <is>
          <t>2026-06-15</t>
        </is>
      </c>
      <c r="B11255" s="3" t="inlineStr">
        <is>
          <t>제이스로보틱스</t>
        </is>
      </c>
      <c r="C11255" s="2" t="inlineStr">
        <is>
          <t>코스닥</t>
        </is>
      </c>
      <c r="D11255" s="2" t="inlineStr">
        <is>
          <t>090470</t>
        </is>
      </c>
      <c r="E11255" s="3" t="inlineStr">
        <is>
          <t>자기주식처분결과보고서</t>
        </is>
      </c>
      <c r="F11255" s="3" t="inlineStr">
        <is>
          <t>제이스로보틱스</t>
        </is>
      </c>
      <c r="G11255" s="2" t="inlineStr">
        <is>
          <t>20260615000248</t>
        </is>
      </c>
      <c r="H11255" s="8">
        <f>HYPERLINK("https://dart.fss.or.kr/dsaf001/main.do?rcpNo=20260615000248", "공시열람")</f>
        <v/>
      </c>
    </row>
    <row r="11256">
      <c r="A11256" s="2" t="inlineStr">
        <is>
          <t>2026-06-15</t>
        </is>
      </c>
      <c r="B11256" s="3" t="inlineStr">
        <is>
          <t>DB증권</t>
        </is>
      </c>
      <c r="C11256" s="2" t="inlineStr">
        <is>
          <t>코스피</t>
        </is>
      </c>
      <c r="D11256" s="2" t="inlineStr">
        <is>
          <t>016610</t>
        </is>
      </c>
      <c r="E11256" s="3" t="inlineStr">
        <is>
          <t>증권발행실적보고서</t>
        </is>
      </c>
      <c r="F11256" s="3" t="inlineStr">
        <is>
          <t>DB증권</t>
        </is>
      </c>
      <c r="G11256" s="2" t="inlineStr">
        <is>
          <t>20260615000247</t>
        </is>
      </c>
      <c r="H11256" s="8">
        <f>HYPERLINK("https://dart.fss.or.kr/dsaf001/main.do?rcpNo=20260615000247", "공시열람")</f>
        <v/>
      </c>
    </row>
    <row r="11257">
      <c r="A11257" s="2" t="inlineStr">
        <is>
          <t>2026-06-15</t>
        </is>
      </c>
      <c r="B11257" s="3" t="inlineStr">
        <is>
          <t>NH투자증권</t>
        </is>
      </c>
      <c r="C11257" s="2" t="inlineStr">
        <is>
          <t>코스피</t>
        </is>
      </c>
      <c r="D11257" s="2" t="inlineStr">
        <is>
          <t>005940</t>
        </is>
      </c>
      <c r="E11257" s="3" t="inlineStr">
        <is>
          <t>투자설명서(일괄신고)</t>
        </is>
      </c>
      <c r="F11257" s="3" t="inlineStr">
        <is>
          <t>NH투자증권</t>
        </is>
      </c>
      <c r="G11257" s="2" t="inlineStr">
        <is>
          <t>20260615000243</t>
        </is>
      </c>
      <c r="H11257" s="8">
        <f>HYPERLINK("https://dart.fss.or.kr/dsaf001/main.do?rcpNo=20260615000243", "공시열람")</f>
        <v/>
      </c>
    </row>
    <row r="11258">
      <c r="A11258" s="2" t="inlineStr">
        <is>
          <t>2026-06-15</t>
        </is>
      </c>
      <c r="B11258" s="3" t="inlineStr">
        <is>
          <t>유안타증권</t>
        </is>
      </c>
      <c r="C11258" s="2" t="inlineStr">
        <is>
          <t>코스피</t>
        </is>
      </c>
      <c r="D11258" s="2" t="inlineStr">
        <is>
          <t>003470</t>
        </is>
      </c>
      <c r="E11258" s="3" t="inlineStr">
        <is>
          <t>증권발행실적보고서</t>
        </is>
      </c>
      <c r="F11258" s="3" t="inlineStr">
        <is>
          <t>유안타증권</t>
        </is>
      </c>
      <c r="G11258" s="2" t="inlineStr">
        <is>
          <t>20260615000242</t>
        </is>
      </c>
      <c r="H11258" s="8">
        <f>HYPERLINK("https://dart.fss.or.kr/dsaf001/main.do?rcpNo=20260615000242", "공시열람")</f>
        <v/>
      </c>
    </row>
    <row r="11259">
      <c r="A11259" s="2" t="inlineStr">
        <is>
          <t>2026-06-15</t>
        </is>
      </c>
      <c r="B11259" s="3" t="inlineStr">
        <is>
          <t>모나용평</t>
        </is>
      </c>
      <c r="C11259" s="2" t="inlineStr">
        <is>
          <t>코스피</t>
        </is>
      </c>
      <c r="D11259" s="2" t="inlineStr">
        <is>
          <t>070960</t>
        </is>
      </c>
      <c r="E11259" s="3" t="inlineStr">
        <is>
          <t>임원ㆍ주요주주특정증권등거래계획철회보고서</t>
        </is>
      </c>
      <c r="F11259" s="3" t="inlineStr">
        <is>
          <t>에이치제이디오션리조트</t>
        </is>
      </c>
      <c r="G11259" s="2" t="inlineStr">
        <is>
          <t>20260615000241</t>
        </is>
      </c>
      <c r="H11259" s="8">
        <f>HYPERLINK("https://dart.fss.or.kr/dsaf001/main.do?rcpNo=20260615000241", "공시열람")</f>
        <v/>
      </c>
    </row>
    <row r="11260">
      <c r="A11260" s="2" t="inlineStr">
        <is>
          <t>2026-06-15</t>
        </is>
      </c>
      <c r="B11260" s="3" t="inlineStr">
        <is>
          <t>라온텍</t>
        </is>
      </c>
      <c r="C11260" s="2" t="inlineStr">
        <is>
          <t>코스닥</t>
        </is>
      </c>
      <c r="D11260" s="2" t="inlineStr">
        <is>
          <t>418420</t>
        </is>
      </c>
      <c r="E11260" s="3" t="inlineStr">
        <is>
          <t>임원ㆍ주요주주특정증권등소유상황보고서</t>
        </is>
      </c>
      <c r="F11260" s="3" t="inlineStr">
        <is>
          <t>이광수</t>
        </is>
      </c>
      <c r="G11260" s="2" t="inlineStr">
        <is>
          <t>20260615000240</t>
        </is>
      </c>
      <c r="H11260" s="8">
        <f>HYPERLINK("https://dart.fss.or.kr/dsaf001/main.do?rcpNo=20260615000240", "공시열람")</f>
        <v/>
      </c>
    </row>
    <row r="11261">
      <c r="A11261" s="2" t="inlineStr">
        <is>
          <t>2026-06-15</t>
        </is>
      </c>
      <c r="B11261" s="3" t="inlineStr">
        <is>
          <t>에이비온</t>
        </is>
      </c>
      <c r="C11261" s="2" t="inlineStr">
        <is>
          <t>코스닥</t>
        </is>
      </c>
      <c r="D11261" s="2" t="inlineStr">
        <is>
          <t>203400</t>
        </is>
      </c>
      <c r="E11261" s="3" t="inlineStr">
        <is>
          <t>임원ㆍ주요주주특정증권등소유상황보고서</t>
        </is>
      </c>
      <c r="F11261" s="3" t="inlineStr">
        <is>
          <t>신영기</t>
        </is>
      </c>
      <c r="G11261" s="2" t="inlineStr">
        <is>
          <t>20260615000238</t>
        </is>
      </c>
      <c r="H11261" s="8">
        <f>HYPERLINK("https://dart.fss.or.kr/dsaf001/main.do?rcpNo=20260615000238", "공시열람")</f>
        <v/>
      </c>
    </row>
    <row r="11262">
      <c r="A11262" s="2" t="inlineStr">
        <is>
          <t>2026-06-15</t>
        </is>
      </c>
      <c r="B11262" s="3" t="inlineStr">
        <is>
          <t>NH투자증권</t>
        </is>
      </c>
      <c r="C11262" s="2" t="inlineStr">
        <is>
          <t>코스피</t>
        </is>
      </c>
      <c r="D11262" s="2" t="inlineStr">
        <is>
          <t>005940</t>
        </is>
      </c>
      <c r="E11262" s="3" t="inlineStr">
        <is>
          <t>투자설명서(일괄신고)</t>
        </is>
      </c>
      <c r="F11262" s="3" t="inlineStr">
        <is>
          <t>NH투자증권</t>
        </is>
      </c>
      <c r="G11262" s="2" t="inlineStr">
        <is>
          <t>20260615000237</t>
        </is>
      </c>
      <c r="H11262" s="8">
        <f>HYPERLINK("https://dart.fss.or.kr/dsaf001/main.do?rcpNo=20260615000237", "공시열람")</f>
        <v/>
      </c>
    </row>
    <row r="11263">
      <c r="A11263" s="2" t="inlineStr">
        <is>
          <t>2026-06-15</t>
        </is>
      </c>
      <c r="B11263" s="3" t="inlineStr">
        <is>
          <t>현대모비스</t>
        </is>
      </c>
      <c r="C11263" s="2" t="inlineStr">
        <is>
          <t>코스피</t>
        </is>
      </c>
      <c r="D11263" s="2" t="inlineStr">
        <is>
          <t>012330</t>
        </is>
      </c>
      <c r="E11263" s="3" t="inlineStr">
        <is>
          <t xml:space="preserve">기업설명회(IR)개최(안내공시)              </t>
        </is>
      </c>
      <c r="F11263" s="3" t="inlineStr">
        <is>
          <t>현대모비스</t>
        </is>
      </c>
      <c r="G11263" s="2" t="inlineStr">
        <is>
          <t>20260615800578</t>
        </is>
      </c>
      <c r="H11263" s="8">
        <f>HYPERLINK("https://dart.fss.or.kr/dsaf001/main.do?rcpNo=20260615800578", "공시열람")</f>
        <v/>
      </c>
    </row>
    <row r="11264">
      <c r="A11264" s="2" t="inlineStr">
        <is>
          <t>2026-06-15</t>
        </is>
      </c>
      <c r="B11264" s="3" t="inlineStr">
        <is>
          <t>삼보산업</t>
        </is>
      </c>
      <c r="C11264" s="2" t="inlineStr">
        <is>
          <t>코스닥</t>
        </is>
      </c>
      <c r="D11264" s="2" t="inlineStr">
        <is>
          <t>009620</t>
        </is>
      </c>
      <c r="E11264" s="3" t="inlineStr">
        <is>
          <t xml:space="preserve">주주명부폐쇄기간또는기준일설정              </t>
        </is>
      </c>
      <c r="F11264" s="3" t="inlineStr">
        <is>
          <t>삼보산업</t>
        </is>
      </c>
      <c r="G11264" s="2" t="inlineStr">
        <is>
          <t>20260615900528</t>
        </is>
      </c>
      <c r="H11264" s="8">
        <f>HYPERLINK("https://dart.fss.or.kr/dsaf001/main.do?rcpNo=20260615900528", "공시열람")</f>
        <v/>
      </c>
    </row>
    <row r="11265">
      <c r="A11265" s="2" t="inlineStr">
        <is>
          <t>2026-06-15</t>
        </is>
      </c>
      <c r="B11265" s="3" t="inlineStr">
        <is>
          <t>덕산테코피아</t>
        </is>
      </c>
      <c r="C11265" s="2" t="inlineStr">
        <is>
          <t>코스닥</t>
        </is>
      </c>
      <c r="D11265" s="2" t="inlineStr">
        <is>
          <t>317330</t>
        </is>
      </c>
      <c r="E11265" s="3" t="inlineStr">
        <is>
          <t>의결권대리행사권유참고서류</t>
        </is>
      </c>
      <c r="F11265" s="3" t="inlineStr">
        <is>
          <t>덕산테코피아</t>
        </is>
      </c>
      <c r="G11265" s="2" t="inlineStr">
        <is>
          <t>20260615000233</t>
        </is>
      </c>
      <c r="H11265" s="8">
        <f>HYPERLINK("https://dart.fss.or.kr/dsaf001/main.do?rcpNo=20260615000233", "공시열람")</f>
        <v/>
      </c>
    </row>
    <row r="11266">
      <c r="A11266" s="2" t="inlineStr">
        <is>
          <t>2026-06-15</t>
        </is>
      </c>
      <c r="B11266" s="3" t="inlineStr">
        <is>
          <t>AK홀딩스</t>
        </is>
      </c>
      <c r="C11266" s="2" t="inlineStr">
        <is>
          <t>코스피</t>
        </is>
      </c>
      <c r="D11266" s="2" t="inlineStr">
        <is>
          <t>006840</t>
        </is>
      </c>
      <c r="E11266" s="3" t="inlineStr">
        <is>
          <t xml:space="preserve">타법인주식및출자증권처분결정              </t>
        </is>
      </c>
      <c r="F11266" s="3" t="inlineStr">
        <is>
          <t>AK홀딩스</t>
        </is>
      </c>
      <c r="G11266" s="2" t="inlineStr">
        <is>
          <t>20260615800552</t>
        </is>
      </c>
      <c r="H11266" s="8">
        <f>HYPERLINK("https://dart.fss.or.kr/dsaf001/main.do?rcpNo=20260615800552", "공시열람")</f>
        <v/>
      </c>
    </row>
    <row r="11267">
      <c r="A11267" s="2" t="inlineStr">
        <is>
          <t>2026-06-15</t>
        </is>
      </c>
      <c r="B11267" s="3" t="inlineStr">
        <is>
          <t>NH투자증권</t>
        </is>
      </c>
      <c r="C11267" s="2" t="inlineStr">
        <is>
          <t>코스피</t>
        </is>
      </c>
      <c r="D11267" s="2" t="inlineStr">
        <is>
          <t>005940</t>
        </is>
      </c>
      <c r="E11267" s="3" t="inlineStr">
        <is>
          <t>투자설명서(일괄신고)</t>
        </is>
      </c>
      <c r="F11267" s="3" t="inlineStr">
        <is>
          <t>NH투자증권</t>
        </is>
      </c>
      <c r="G11267" s="2" t="inlineStr">
        <is>
          <t>20260615000232</t>
        </is>
      </c>
      <c r="H11267" s="8">
        <f>HYPERLINK("https://dart.fss.or.kr/dsaf001/main.do?rcpNo=20260615000232", "공시열람")</f>
        <v/>
      </c>
    </row>
    <row r="11268">
      <c r="A11268" s="2" t="inlineStr">
        <is>
          <t>2026-06-15</t>
        </is>
      </c>
      <c r="B11268" s="3" t="inlineStr">
        <is>
          <t>SK리츠</t>
        </is>
      </c>
      <c r="C11268" s="2" t="inlineStr">
        <is>
          <t>코스피</t>
        </is>
      </c>
      <c r="D11268" s="2" t="inlineStr">
        <is>
          <t>395400</t>
        </is>
      </c>
      <c r="E11268" s="3" t="inlineStr">
        <is>
          <t xml:space="preserve">주주명부폐쇄기간또는기준일설정              </t>
        </is>
      </c>
      <c r="F11268" s="3" t="inlineStr">
        <is>
          <t>SK리츠</t>
        </is>
      </c>
      <c r="G11268" s="2" t="inlineStr">
        <is>
          <t>20260615800555</t>
        </is>
      </c>
      <c r="H11268" s="8">
        <f>HYPERLINK("https://dart.fss.or.kr/dsaf001/main.do?rcpNo=20260615800555", "공시열람")</f>
        <v/>
      </c>
    </row>
    <row r="11269">
      <c r="A11269" s="2" t="inlineStr">
        <is>
          <t>2026-06-15</t>
        </is>
      </c>
      <c r="B11269" s="3" t="inlineStr">
        <is>
          <t>코리아에셋투자증권</t>
        </is>
      </c>
      <c r="C11269" s="2" t="inlineStr">
        <is>
          <t>코스닥</t>
        </is>
      </c>
      <c r="D11269" s="2" t="inlineStr">
        <is>
          <t>190650</t>
        </is>
      </c>
      <c r="E11269" s="3" t="inlineStr">
        <is>
          <t xml:space="preserve">현금ㆍ현물배당결정              </t>
        </is>
      </c>
      <c r="F11269" s="3" t="inlineStr">
        <is>
          <t>코리아에셋투자증권</t>
        </is>
      </c>
      <c r="G11269" s="2" t="inlineStr">
        <is>
          <t>20260615900533</t>
        </is>
      </c>
      <c r="H11269" s="8">
        <f>HYPERLINK("https://dart.fss.or.kr/dsaf001/main.do?rcpNo=20260615900533", "공시열람")</f>
        <v/>
      </c>
    </row>
    <row r="11270">
      <c r="A11270" s="2" t="inlineStr">
        <is>
          <t>2026-06-15</t>
        </is>
      </c>
      <c r="B11270" s="3" t="inlineStr">
        <is>
          <t>더네이쳐홀딩스</t>
        </is>
      </c>
      <c r="C11270" s="2" t="inlineStr">
        <is>
          <t>코스닥</t>
        </is>
      </c>
      <c r="D11270" s="2" t="inlineStr">
        <is>
          <t>298540</t>
        </is>
      </c>
      <c r="E11270" s="3" t="inlineStr">
        <is>
          <t>임원ㆍ주요주주특정증권등소유상황보고서</t>
        </is>
      </c>
      <c r="F11270" s="3" t="inlineStr">
        <is>
          <t>박영준</t>
        </is>
      </c>
      <c r="G11270" s="2" t="inlineStr">
        <is>
          <t>20260615000229</t>
        </is>
      </c>
      <c r="H11270" s="8">
        <f>HYPERLINK("https://dart.fss.or.kr/dsaf001/main.do?rcpNo=20260615000229", "공시열람")</f>
        <v/>
      </c>
    </row>
    <row r="11271">
      <c r="A11271" s="2" t="inlineStr">
        <is>
          <t>2026-06-15</t>
        </is>
      </c>
      <c r="B11271" s="3" t="inlineStr">
        <is>
          <t>파버나인</t>
        </is>
      </c>
      <c r="C11271" s="2" t="inlineStr">
        <is>
          <t>코스닥</t>
        </is>
      </c>
      <c r="D11271" s="2" t="inlineStr">
        <is>
          <t>177830</t>
        </is>
      </c>
      <c r="E11271" s="3" t="inlineStr">
        <is>
          <t xml:space="preserve">전환가액의조정              </t>
        </is>
      </c>
      <c r="F11271" s="3" t="inlineStr">
        <is>
          <t>파버나인</t>
        </is>
      </c>
      <c r="G11271" s="2" t="inlineStr">
        <is>
          <t>20260615900561</t>
        </is>
      </c>
      <c r="H11271" s="8">
        <f>HYPERLINK("https://dart.fss.or.kr/dsaf001/main.do?rcpNo=20260615900561", "공시열람")</f>
        <v/>
      </c>
    </row>
    <row r="11272">
      <c r="A11272" s="2" t="inlineStr">
        <is>
          <t>2026-06-15</t>
        </is>
      </c>
      <c r="B11272" s="3" t="inlineStr">
        <is>
          <t>지에스이</t>
        </is>
      </c>
      <c r="C11272" s="2" t="inlineStr">
        <is>
          <t>코스닥</t>
        </is>
      </c>
      <c r="D11272" s="2" t="inlineStr">
        <is>
          <t>053050</t>
        </is>
      </c>
      <c r="E11272" s="3" t="inlineStr">
        <is>
          <t xml:space="preserve">중간(분기)배당을위한주주명부폐쇄(기준일)결정              </t>
        </is>
      </c>
      <c r="F11272" s="3" t="inlineStr">
        <is>
          <t>지에스이</t>
        </is>
      </c>
      <c r="G11272" s="2" t="inlineStr">
        <is>
          <t>20260615900560</t>
        </is>
      </c>
      <c r="H11272" s="8">
        <f>HYPERLINK("https://dart.fss.or.kr/dsaf001/main.do?rcpNo=20260615900560", "공시열람")</f>
        <v/>
      </c>
    </row>
    <row r="11273">
      <c r="A11273" s="2" t="inlineStr">
        <is>
          <t>2026-06-15</t>
        </is>
      </c>
      <c r="B11273" s="3" t="inlineStr">
        <is>
          <t>이마트</t>
        </is>
      </c>
      <c r="C11273" s="2" t="inlineStr">
        <is>
          <t>코스피</t>
        </is>
      </c>
      <c r="D11273" s="2" t="inlineStr">
        <is>
          <t>139480</t>
        </is>
      </c>
      <c r="E11273" s="3" t="inlineStr">
        <is>
          <t xml:space="preserve">기업설명회(IR)개최(안내공시)              </t>
        </is>
      </c>
      <c r="F11273" s="3" t="inlineStr">
        <is>
          <t>이마트</t>
        </is>
      </c>
      <c r="G11273" s="2" t="inlineStr">
        <is>
          <t>20260615800557</t>
        </is>
      </c>
      <c r="H11273" s="8">
        <f>HYPERLINK("https://dart.fss.or.kr/dsaf001/main.do?rcpNo=20260615800557", "공시열람")</f>
        <v/>
      </c>
    </row>
    <row r="11274">
      <c r="A11274" s="2" t="inlineStr">
        <is>
          <t>2026-06-15</t>
        </is>
      </c>
      <c r="B11274" s="3" t="inlineStr">
        <is>
          <t>삼보산업</t>
        </is>
      </c>
      <c r="C11274" s="2" t="inlineStr">
        <is>
          <t>코스닥</t>
        </is>
      </c>
      <c r="D11274" s="2" t="inlineStr">
        <is>
          <t>009620</t>
        </is>
      </c>
      <c r="E11274" s="3" t="inlineStr">
        <is>
          <t xml:space="preserve">주식병합결정              </t>
        </is>
      </c>
      <c r="F11274" s="3" t="inlineStr">
        <is>
          <t>삼보산업</t>
        </is>
      </c>
      <c r="G11274" s="2" t="inlineStr">
        <is>
          <t>20260615900516</t>
        </is>
      </c>
      <c r="H11274" s="8">
        <f>HYPERLINK("https://dart.fss.or.kr/dsaf001/main.do?rcpNo=20260615900516", "공시열람")</f>
        <v/>
      </c>
    </row>
    <row r="11275">
      <c r="A11275" s="2" t="inlineStr">
        <is>
          <t>2026-06-15</t>
        </is>
      </c>
      <c r="B11275" s="3" t="inlineStr">
        <is>
          <t>덕신이피씨</t>
        </is>
      </c>
      <c r="C11275" s="2" t="inlineStr">
        <is>
          <t>코스닥</t>
        </is>
      </c>
      <c r="D11275" s="2" t="inlineStr">
        <is>
          <t>090410</t>
        </is>
      </c>
      <c r="E11275" s="3" t="inlineStr">
        <is>
          <t xml:space="preserve">주식병합결정              </t>
        </is>
      </c>
      <c r="F11275" s="3" t="inlineStr">
        <is>
          <t>덕신이피씨</t>
        </is>
      </c>
      <c r="G11275" s="2" t="inlineStr">
        <is>
          <t>20260615900554</t>
        </is>
      </c>
      <c r="H11275" s="8">
        <f>HYPERLINK("https://dart.fss.or.kr/dsaf001/main.do?rcpNo=20260615900554", "공시열람")</f>
        <v/>
      </c>
    </row>
    <row r="11276">
      <c r="A11276" s="2" t="inlineStr">
        <is>
          <t>2026-06-15</t>
        </is>
      </c>
      <c r="B11276" s="3" t="inlineStr">
        <is>
          <t>코스맥스</t>
        </is>
      </c>
      <c r="C11276" s="2" t="inlineStr">
        <is>
          <t>코스피</t>
        </is>
      </c>
      <c r="D11276" s="2" t="inlineStr">
        <is>
          <t>192820</t>
        </is>
      </c>
      <c r="E11276" s="3" t="inlineStr">
        <is>
          <t xml:space="preserve">기업설명회(IR)개최(안내공시)              </t>
        </is>
      </c>
      <c r="F11276" s="3" t="inlineStr">
        <is>
          <t>코스맥스</t>
        </is>
      </c>
      <c r="G11276" s="2" t="inlineStr">
        <is>
          <t>20260615800551</t>
        </is>
      </c>
      <c r="H11276" s="8">
        <f>HYPERLINK("https://dart.fss.or.kr/dsaf001/main.do?rcpNo=20260615800551", "공시열람")</f>
        <v/>
      </c>
    </row>
    <row r="11277">
      <c r="A11277" s="2" t="inlineStr">
        <is>
          <t>2026-06-15</t>
        </is>
      </c>
      <c r="B11277" s="3" t="inlineStr">
        <is>
          <t>인터플렉스</t>
        </is>
      </c>
      <c r="C11277" s="2" t="inlineStr">
        <is>
          <t>코스닥</t>
        </is>
      </c>
      <c r="D11277" s="2" t="inlineStr">
        <is>
          <t>051370</t>
        </is>
      </c>
      <c r="E11277" s="3" t="inlineStr">
        <is>
          <t xml:space="preserve">타법인주식및출자증권취득결정              </t>
        </is>
      </c>
      <c r="F11277" s="3" t="inlineStr">
        <is>
          <t>인터플렉스</t>
        </is>
      </c>
      <c r="G11277" s="2" t="inlineStr">
        <is>
          <t>20260615900492</t>
        </is>
      </c>
      <c r="H11277" s="8">
        <f>HYPERLINK("https://dart.fss.or.kr/dsaf001/main.do?rcpNo=20260615900492", "공시열람")</f>
        <v/>
      </c>
    </row>
    <row r="11278">
      <c r="A11278" s="2" t="inlineStr">
        <is>
          <t>2026-06-15</t>
        </is>
      </c>
      <c r="B11278" s="3" t="inlineStr">
        <is>
          <t>삼목에스폼</t>
        </is>
      </c>
      <c r="C11278" s="2" t="inlineStr">
        <is>
          <t>코스닥</t>
        </is>
      </c>
      <c r="D11278" s="2" t="inlineStr">
        <is>
          <t>018310</t>
        </is>
      </c>
      <c r="E11278" s="3" t="inlineStr">
        <is>
          <t>임원ㆍ주요주주특정증권등소유상황보고서</t>
        </is>
      </c>
      <c r="F11278" s="3" t="inlineStr">
        <is>
          <t>에스폼</t>
        </is>
      </c>
      <c r="G11278" s="2" t="inlineStr">
        <is>
          <t>20260615000221</t>
        </is>
      </c>
      <c r="H11278" s="8">
        <f>HYPERLINK("https://dart.fss.or.kr/dsaf001/main.do?rcpNo=20260615000221", "공시열람")</f>
        <v/>
      </c>
    </row>
    <row r="11279">
      <c r="A11279" s="2" t="inlineStr">
        <is>
          <t>2026-06-15</t>
        </is>
      </c>
      <c r="B11279" s="3" t="inlineStr">
        <is>
          <t>케이지에이</t>
        </is>
      </c>
      <c r="C11279" s="2" t="inlineStr">
        <is>
          <t>코스닥</t>
        </is>
      </c>
      <c r="D11279" s="2" t="inlineStr">
        <is>
          <t>455180</t>
        </is>
      </c>
      <c r="E11279" s="3" t="inlineStr">
        <is>
          <t>임원ㆍ주요주주특정증권등소유상황보고서</t>
        </is>
      </c>
      <c r="F11279" s="3" t="inlineStr">
        <is>
          <t>윤천주</t>
        </is>
      </c>
      <c r="G11279" s="2" t="inlineStr">
        <is>
          <t>20260615000219</t>
        </is>
      </c>
      <c r="H11279" s="8">
        <f>HYPERLINK("https://dart.fss.or.kr/dsaf001/main.do?rcpNo=20260615000219", "공시열람")</f>
        <v/>
      </c>
    </row>
    <row r="11280">
      <c r="A11280" s="2" t="inlineStr">
        <is>
          <t>2026-06-15</t>
        </is>
      </c>
      <c r="B11280" s="3" t="inlineStr">
        <is>
          <t>인트론바이오</t>
        </is>
      </c>
      <c r="C11280" s="2" t="inlineStr">
        <is>
          <t>코스닥</t>
        </is>
      </c>
      <c r="D11280" s="2" t="inlineStr">
        <is>
          <t>048530</t>
        </is>
      </c>
      <c r="E11280" s="3" t="inlineStr">
        <is>
          <t>임원ㆍ주요주주특정증권등소유상황보고서</t>
        </is>
      </c>
      <c r="F11280" s="3" t="inlineStr">
        <is>
          <t>윤경원</t>
        </is>
      </c>
      <c r="G11280" s="2" t="inlineStr">
        <is>
          <t>20260615000218</t>
        </is>
      </c>
      <c r="H11280" s="8">
        <f>HYPERLINK("https://dart.fss.or.kr/dsaf001/main.do?rcpNo=20260615000218", "공시열람")</f>
        <v/>
      </c>
    </row>
    <row r="11281">
      <c r="A11281" s="2" t="inlineStr">
        <is>
          <t>2026-06-15</t>
        </is>
      </c>
      <c r="B11281" s="3" t="inlineStr">
        <is>
          <t>덕신이피씨</t>
        </is>
      </c>
      <c r="C11281" s="2" t="inlineStr">
        <is>
          <t>코스닥</t>
        </is>
      </c>
      <c r="D11281" s="2" t="inlineStr">
        <is>
          <t>090410</t>
        </is>
      </c>
      <c r="E11281" s="3" t="inlineStr">
        <is>
          <t xml:space="preserve">주주명부폐쇄기간또는기준일설정              </t>
        </is>
      </c>
      <c r="F11281" s="3" t="inlineStr">
        <is>
          <t>덕신이피씨</t>
        </is>
      </c>
      <c r="G11281" s="2" t="inlineStr">
        <is>
          <t>20260615900543</t>
        </is>
      </c>
      <c r="H11281" s="8">
        <f>HYPERLINK("https://dart.fss.or.kr/dsaf001/main.do?rcpNo=20260615900543", "공시열람")</f>
        <v/>
      </c>
    </row>
    <row r="11282">
      <c r="A11282" s="2" t="inlineStr">
        <is>
          <t>2026-06-15</t>
        </is>
      </c>
      <c r="B11282" s="3" t="inlineStr">
        <is>
          <t>아이마켓코리아</t>
        </is>
      </c>
      <c r="C11282" s="2" t="inlineStr">
        <is>
          <t>코스피</t>
        </is>
      </c>
      <c r="D11282" s="2" t="inlineStr">
        <is>
          <t>122900</t>
        </is>
      </c>
      <c r="E11282" s="3" t="inlineStr">
        <is>
          <t xml:space="preserve">현금ㆍ현물배당을위한주주명부폐쇄(기준일)결정              </t>
        </is>
      </c>
      <c r="F11282" s="3" t="inlineStr">
        <is>
          <t>아이마켓코리아</t>
        </is>
      </c>
      <c r="G11282" s="2" t="inlineStr">
        <is>
          <t>20260615800542</t>
        </is>
      </c>
      <c r="H11282" s="8">
        <f>HYPERLINK("https://dart.fss.or.kr/dsaf001/main.do?rcpNo=20260615800542", "공시열람")</f>
        <v/>
      </c>
    </row>
    <row r="11283">
      <c r="A11283" s="2" t="inlineStr">
        <is>
          <t>2026-05-13 (정정: 2026-06-15)</t>
        </is>
      </c>
      <c r="B11283" s="3" t="inlineStr">
        <is>
          <t>시스웍</t>
        </is>
      </c>
      <c r="C11283" s="2" t="inlineStr">
        <is>
          <t>코스닥</t>
        </is>
      </c>
      <c r="D11283" s="2" t="inlineStr">
        <is>
          <t>269620</t>
        </is>
      </c>
      <c r="E11283" s="3" t="inlineStr">
        <is>
          <t xml:space="preserve">[기재정정]회생절차개시결정              </t>
        </is>
      </c>
      <c r="F11283" s="3" t="inlineStr">
        <is>
          <t>시스웍</t>
        </is>
      </c>
      <c r="G11283" s="2" t="inlineStr">
        <is>
          <t>20260615900530</t>
        </is>
      </c>
      <c r="H11283" s="8">
        <f>HYPERLINK("https://dart.fss.or.kr/dsaf001/main.do?rcpNo=20260615900530", "공시열람")</f>
        <v/>
      </c>
    </row>
    <row r="11284">
      <c r="A11284" s="2" t="inlineStr">
        <is>
          <t>2026-06-15</t>
        </is>
      </c>
      <c r="B11284" s="3" t="inlineStr">
        <is>
          <t>NEW</t>
        </is>
      </c>
      <c r="C11284" s="2" t="inlineStr">
        <is>
          <t>코스닥</t>
        </is>
      </c>
      <c r="D11284" s="2" t="inlineStr">
        <is>
          <t>160550</t>
        </is>
      </c>
      <c r="E11284" s="3" t="inlineStr">
        <is>
          <t xml:space="preserve">전환가액의조정              </t>
        </is>
      </c>
      <c r="F11284" s="3" t="inlineStr">
        <is>
          <t>NEW</t>
        </is>
      </c>
      <c r="G11284" s="2" t="inlineStr">
        <is>
          <t>20260615900541</t>
        </is>
      </c>
      <c r="H11284" s="8">
        <f>HYPERLINK("https://dart.fss.or.kr/dsaf001/main.do?rcpNo=20260615900541", "공시열람")</f>
        <v/>
      </c>
    </row>
    <row r="11285">
      <c r="A11285" s="2" t="inlineStr">
        <is>
          <t>2026-06-15</t>
        </is>
      </c>
      <c r="B11285" s="3" t="inlineStr">
        <is>
          <t>쎄노텍</t>
        </is>
      </c>
      <c r="C11285" s="2" t="inlineStr">
        <is>
          <t>코스닥</t>
        </is>
      </c>
      <c r="D11285" s="2" t="inlineStr">
        <is>
          <t>222420</t>
        </is>
      </c>
      <c r="E11285" s="3" t="inlineStr">
        <is>
          <t xml:space="preserve">전환사채(해외전환사채포함)발행후만기전사채취득              </t>
        </is>
      </c>
      <c r="F11285" s="3" t="inlineStr">
        <is>
          <t>쎄노텍</t>
        </is>
      </c>
      <c r="G11285" s="2" t="inlineStr">
        <is>
          <t>20260615900538</t>
        </is>
      </c>
      <c r="H11285" s="8">
        <f>HYPERLINK("https://dart.fss.or.kr/dsaf001/main.do?rcpNo=20260615900538", "공시열람")</f>
        <v/>
      </c>
    </row>
    <row r="11286">
      <c r="A11286" s="2" t="inlineStr">
        <is>
          <t>2026-06-15</t>
        </is>
      </c>
      <c r="B11286" s="3" t="inlineStr">
        <is>
          <t>한화생명</t>
        </is>
      </c>
      <c r="C11286" s="2" t="inlineStr">
        <is>
          <t>코스피</t>
        </is>
      </c>
      <c r="D11286" s="2" t="inlineStr">
        <is>
          <t>088350</t>
        </is>
      </c>
      <c r="E11286" s="3" t="inlineStr">
        <is>
          <t xml:space="preserve">기타경영사항(자율공시)              </t>
        </is>
      </c>
      <c r="F11286" s="3" t="inlineStr">
        <is>
          <t>한화생명</t>
        </is>
      </c>
      <c r="G11286" s="2" t="inlineStr">
        <is>
          <t>20260615800525</t>
        </is>
      </c>
      <c r="H11286" s="8">
        <f>HYPERLINK("https://dart.fss.or.kr/dsaf001/main.do?rcpNo=20260615800525", "공시열람")</f>
        <v/>
      </c>
    </row>
    <row r="11287">
      <c r="A11287" s="2" t="inlineStr">
        <is>
          <t>2026-06-15</t>
        </is>
      </c>
      <c r="B11287" s="3" t="inlineStr">
        <is>
          <t>코리아에셋투자증권</t>
        </is>
      </c>
      <c r="C11287" s="2" t="inlineStr">
        <is>
          <t>코스닥</t>
        </is>
      </c>
      <c r="D11287" s="2" t="inlineStr">
        <is>
          <t>190650</t>
        </is>
      </c>
      <c r="E11287" s="3" t="inlineStr">
        <is>
          <t xml:space="preserve">현금ㆍ현물배당을위한주주명부폐쇄(기준일)결정              </t>
        </is>
      </c>
      <c r="F11287" s="3" t="inlineStr">
        <is>
          <t>코리아에셋투자증권</t>
        </is>
      </c>
      <c r="G11287" s="2" t="inlineStr">
        <is>
          <t>20260615900535</t>
        </is>
      </c>
      <c r="H11287" s="8">
        <f>HYPERLINK("https://dart.fss.or.kr/dsaf001/main.do?rcpNo=20260615900535", "공시열람")</f>
        <v/>
      </c>
    </row>
    <row r="11288">
      <c r="A11288" s="2" t="inlineStr">
        <is>
          <t>2026-06-15</t>
        </is>
      </c>
      <c r="B11288" s="3" t="inlineStr">
        <is>
          <t>코나아이</t>
        </is>
      </c>
      <c r="C11288" s="2" t="inlineStr">
        <is>
          <t>코스닥</t>
        </is>
      </c>
      <c r="D11288" s="2" t="inlineStr">
        <is>
          <t>052400</t>
        </is>
      </c>
      <c r="E11288" s="3" t="inlineStr">
        <is>
          <t>자기주식취득결과보고서</t>
        </is>
      </c>
      <c r="F11288" s="3" t="inlineStr">
        <is>
          <t>코나아이</t>
        </is>
      </c>
      <c r="G11288" s="2" t="inlineStr">
        <is>
          <t>20260615000213</t>
        </is>
      </c>
      <c r="H11288" s="8">
        <f>HYPERLINK("https://dart.fss.or.kr/dsaf001/main.do?rcpNo=20260615000213", "공시열람")</f>
        <v/>
      </c>
    </row>
    <row r="11289">
      <c r="A11289" s="2" t="inlineStr">
        <is>
          <t>2026-06-15</t>
        </is>
      </c>
      <c r="B11289" s="3" t="inlineStr">
        <is>
          <t>에스에프에이</t>
        </is>
      </c>
      <c r="C11289" s="2" t="inlineStr">
        <is>
          <t>코스닥</t>
        </is>
      </c>
      <c r="D11289" s="2" t="inlineStr">
        <is>
          <t>056190</t>
        </is>
      </c>
      <c r="E11289" s="3" t="inlineStr">
        <is>
          <t xml:space="preserve">중간(분기)배당을위한주주명부폐쇄(기준일)결정              </t>
        </is>
      </c>
      <c r="F11289" s="3" t="inlineStr">
        <is>
          <t>에스에프에이</t>
        </is>
      </c>
      <c r="G11289" s="2" t="inlineStr">
        <is>
          <t>20260615900521</t>
        </is>
      </c>
      <c r="H11289" s="8">
        <f>HYPERLINK("https://dart.fss.or.kr/dsaf001/main.do?rcpNo=20260615900521", "공시열람")</f>
        <v/>
      </c>
    </row>
    <row r="11290">
      <c r="A11290" s="2" t="inlineStr">
        <is>
          <t>2026-06-15</t>
        </is>
      </c>
      <c r="B11290" s="3" t="inlineStr">
        <is>
          <t>한국캐피탈</t>
        </is>
      </c>
      <c r="C11290" s="2" t="inlineStr">
        <is>
          <t>코스닥</t>
        </is>
      </c>
      <c r="D11290" s="2" t="inlineStr">
        <is>
          <t>023760</t>
        </is>
      </c>
      <c r="E11290" s="3" t="inlineStr">
        <is>
          <t>의결권대리행사권유참고서류</t>
        </is>
      </c>
      <c r="F11290" s="3" t="inlineStr">
        <is>
          <t>한국캐피탈</t>
        </is>
      </c>
      <c r="G11290" s="2" t="inlineStr">
        <is>
          <t>20260615000208</t>
        </is>
      </c>
      <c r="H11290" s="8">
        <f>HYPERLINK("https://dart.fss.or.kr/dsaf001/main.do?rcpNo=20260615000208", "공시열람")</f>
        <v/>
      </c>
    </row>
    <row r="11291">
      <c r="A11291" s="2" t="inlineStr">
        <is>
          <t>2026-06-15</t>
        </is>
      </c>
      <c r="B11291" s="3" t="inlineStr">
        <is>
          <t>네패스</t>
        </is>
      </c>
      <c r="C11291" s="2" t="inlineStr">
        <is>
          <t>코스닥</t>
        </is>
      </c>
      <c r="D11291" s="2" t="inlineStr">
        <is>
          <t>033640</t>
        </is>
      </c>
      <c r="E11291" s="3" t="inlineStr">
        <is>
          <t>임원ㆍ주요주주특정증권등소유상황보고서</t>
        </is>
      </c>
      <c r="F11291" s="3" t="inlineStr">
        <is>
          <t>백종식</t>
        </is>
      </c>
      <c r="G11291" s="2" t="inlineStr">
        <is>
          <t>20260615000207</t>
        </is>
      </c>
      <c r="H11291" s="8">
        <f>HYPERLINK("https://dart.fss.or.kr/dsaf001/main.do?rcpNo=20260615000207", "공시열람")</f>
        <v/>
      </c>
    </row>
    <row r="11292">
      <c r="A11292" s="2" t="inlineStr">
        <is>
          <t>2026-06-15 (정정: 2026-06-19)</t>
        </is>
      </c>
      <c r="B11292" s="3" t="inlineStr">
        <is>
          <t>센서뷰</t>
        </is>
      </c>
      <c r="C11292" s="2" t="inlineStr">
        <is>
          <t>코스닥</t>
        </is>
      </c>
      <c r="D11292" s="2" t="inlineStr">
        <is>
          <t>321370</t>
        </is>
      </c>
      <c r="E11292" s="3" t="inlineStr">
        <is>
          <t>임원ㆍ주요주주특정증권등소유상황보고서 (정정: 20260619)</t>
        </is>
      </c>
      <c r="F11292" s="3" t="inlineStr">
        <is>
          <t>나종열</t>
        </is>
      </c>
      <c r="G11292" s="2" t="inlineStr">
        <is>
          <t>20260619000631</t>
        </is>
      </c>
      <c r="H11292" s="8">
        <f>HYPERLINK("https://dart.fss.or.kr/dsaf001/main.do?rcpNo=20260619000631", "공시열람")</f>
        <v/>
      </c>
    </row>
    <row r="11293">
      <c r="A11293" s="2" t="inlineStr">
        <is>
          <t>2026-06-15</t>
        </is>
      </c>
      <c r="B11293" s="3" t="inlineStr">
        <is>
          <t>교보증권</t>
        </is>
      </c>
      <c r="C11293" s="2" t="inlineStr">
        <is>
          <t>코스피</t>
        </is>
      </c>
      <c r="D11293" s="2" t="inlineStr">
        <is>
          <t>030610</t>
        </is>
      </c>
      <c r="E11293" s="3" t="inlineStr">
        <is>
          <t>증권발행실적보고서</t>
        </is>
      </c>
      <c r="F11293" s="3" t="inlineStr">
        <is>
          <t>교보증권</t>
        </is>
      </c>
      <c r="G11293" s="2" t="inlineStr">
        <is>
          <t>20260615000202</t>
        </is>
      </c>
      <c r="H11293" s="8">
        <f>HYPERLINK("https://dart.fss.or.kr/dsaf001/main.do?rcpNo=20260615000202", "공시열람")</f>
        <v/>
      </c>
    </row>
    <row r="11294">
      <c r="A11294" s="2" t="inlineStr">
        <is>
          <t>2026-06-15</t>
        </is>
      </c>
      <c r="B11294" s="3" t="inlineStr">
        <is>
          <t>휴먼테크놀로지</t>
        </is>
      </c>
      <c r="C11294" s="2" t="inlineStr">
        <is>
          <t>코스닥</t>
        </is>
      </c>
      <c r="D11294" s="2" t="inlineStr">
        <is>
          <t>175140</t>
        </is>
      </c>
      <c r="E11294" s="3" t="inlineStr">
        <is>
          <t>의결권대리행사권유참고서류</t>
        </is>
      </c>
      <c r="F11294" s="3" t="inlineStr">
        <is>
          <t>휴먼테크놀로지</t>
        </is>
      </c>
      <c r="G11294" s="2" t="inlineStr">
        <is>
          <t>20260615000200</t>
        </is>
      </c>
      <c r="H11294" s="8">
        <f>HYPERLINK("https://dart.fss.or.kr/dsaf001/main.do?rcpNo=20260615000200", "공시열람")</f>
        <v/>
      </c>
    </row>
    <row r="11295">
      <c r="A11295" s="2" t="inlineStr">
        <is>
          <t>2026-06-15</t>
        </is>
      </c>
      <c r="B11295" s="3" t="inlineStr">
        <is>
          <t>NH투자증권</t>
        </is>
      </c>
      <c r="C11295" s="2" t="inlineStr">
        <is>
          <t>코스피</t>
        </is>
      </c>
      <c r="D11295" s="2" t="inlineStr">
        <is>
          <t>005940</t>
        </is>
      </c>
      <c r="E11295" s="3" t="inlineStr">
        <is>
          <t>일괄신고추가서류(파생결합증권-주가연계증권)</t>
        </is>
      </c>
      <c r="F11295" s="3" t="inlineStr">
        <is>
          <t>NH투자증권</t>
        </is>
      </c>
      <c r="G11295" s="2" t="inlineStr">
        <is>
          <t>20260615000199</t>
        </is>
      </c>
      <c r="H11295" s="8">
        <f>HYPERLINK("https://dart.fss.or.kr/dsaf001/main.do?rcpNo=20260615000199", "공시열람")</f>
        <v/>
      </c>
    </row>
    <row r="11296">
      <c r="A11296" s="2" t="inlineStr">
        <is>
          <t>2026-06-15</t>
        </is>
      </c>
      <c r="B11296" s="3" t="inlineStr">
        <is>
          <t>교보증권</t>
        </is>
      </c>
      <c r="C11296" s="2" t="inlineStr">
        <is>
          <t>코스피</t>
        </is>
      </c>
      <c r="D11296" s="2" t="inlineStr">
        <is>
          <t>030610</t>
        </is>
      </c>
      <c r="E11296" s="3" t="inlineStr">
        <is>
          <t>증권발행실적보고서</t>
        </is>
      </c>
      <c r="F11296" s="3" t="inlineStr">
        <is>
          <t>교보증권</t>
        </is>
      </c>
      <c r="G11296" s="2" t="inlineStr">
        <is>
          <t>20260615000198</t>
        </is>
      </c>
      <c r="H11296" s="8">
        <f>HYPERLINK("https://dart.fss.or.kr/dsaf001/main.do?rcpNo=20260615000198", "공시열람")</f>
        <v/>
      </c>
    </row>
    <row r="11297">
      <c r="A11297" s="2" t="inlineStr">
        <is>
          <t>2026-06-15</t>
        </is>
      </c>
      <c r="B11297" s="3" t="inlineStr">
        <is>
          <t>미원홀딩스</t>
        </is>
      </c>
      <c r="C11297" s="2" t="inlineStr">
        <is>
          <t>코스피</t>
        </is>
      </c>
      <c r="D11297" s="2" t="inlineStr">
        <is>
          <t>107590</t>
        </is>
      </c>
      <c r="E11297" s="3" t="inlineStr">
        <is>
          <t>임원ㆍ주요주주특정증권등소유상황보고서</t>
        </is>
      </c>
      <c r="F11297" s="3" t="inlineStr">
        <is>
          <t>미화물류</t>
        </is>
      </c>
      <c r="G11297" s="2" t="inlineStr">
        <is>
          <t>20260615000197</t>
        </is>
      </c>
      <c r="H11297" s="8">
        <f>HYPERLINK("https://dart.fss.or.kr/dsaf001/main.do?rcpNo=20260615000197", "공시열람")</f>
        <v/>
      </c>
    </row>
    <row r="11298">
      <c r="A11298" s="2" t="inlineStr">
        <is>
          <t>2026-06-15</t>
        </is>
      </c>
      <c r="B11298" s="3" t="inlineStr">
        <is>
          <t>모티브링크</t>
        </is>
      </c>
      <c r="C11298" s="2" t="inlineStr">
        <is>
          <t>코스닥</t>
        </is>
      </c>
      <c r="D11298" s="2" t="inlineStr">
        <is>
          <t>463480</t>
        </is>
      </c>
      <c r="E11298" s="3" t="inlineStr">
        <is>
          <t>임원ㆍ주요주주특정증권등거래계획보고서</t>
        </is>
      </c>
      <c r="F11298" s="3" t="inlineStr">
        <is>
          <t>신동양홀딩스</t>
        </is>
      </c>
      <c r="G11298" s="2" t="inlineStr">
        <is>
          <t>20260615000196</t>
        </is>
      </c>
      <c r="H11298" s="8">
        <f>HYPERLINK("https://dart.fss.or.kr/dsaf001/main.do?rcpNo=20260615000196", "공시열람")</f>
        <v/>
      </c>
    </row>
    <row r="11299">
      <c r="A11299" s="2" t="inlineStr">
        <is>
          <t>2026-06-15</t>
        </is>
      </c>
      <c r="B11299" s="3" t="inlineStr">
        <is>
          <t>삼성전기</t>
        </is>
      </c>
      <c r="C11299" s="2" t="inlineStr">
        <is>
          <t>코스피</t>
        </is>
      </c>
      <c r="D11299" s="2" t="inlineStr">
        <is>
          <t>009150</t>
        </is>
      </c>
      <c r="E11299" s="3" t="inlineStr">
        <is>
          <t>동일인등출자계열회사와의상품ㆍ용역거래</t>
        </is>
      </c>
      <c r="F11299" s="3" t="inlineStr">
        <is>
          <t>삼성전기</t>
        </is>
      </c>
      <c r="G11299" s="2" t="inlineStr">
        <is>
          <t>20260615000195</t>
        </is>
      </c>
      <c r="H11299" s="8">
        <f>HYPERLINK("https://dart.fss.or.kr/dsaf001/main.do?rcpNo=20260615000195", "공시열람")</f>
        <v/>
      </c>
    </row>
    <row r="11300">
      <c r="A11300" s="2" t="inlineStr">
        <is>
          <t>2026-06-15</t>
        </is>
      </c>
      <c r="B11300" s="3" t="inlineStr">
        <is>
          <t>모티브링크</t>
        </is>
      </c>
      <c r="C11300" s="2" t="inlineStr">
        <is>
          <t>코스닥</t>
        </is>
      </c>
      <c r="D11300" s="2" t="inlineStr">
        <is>
          <t>463480</t>
        </is>
      </c>
      <c r="E11300" s="3" t="inlineStr">
        <is>
          <t>임원ㆍ주요주주특정증권등거래계획보고서</t>
        </is>
      </c>
      <c r="F11300" s="3" t="inlineStr">
        <is>
          <t>에스디와이</t>
        </is>
      </c>
      <c r="G11300" s="2" t="inlineStr">
        <is>
          <t>20260615000194</t>
        </is>
      </c>
      <c r="H11300" s="8">
        <f>HYPERLINK("https://dart.fss.or.kr/dsaf001/main.do?rcpNo=20260615000194", "공시열람")</f>
        <v/>
      </c>
    </row>
    <row r="11301">
      <c r="A11301" s="2" t="inlineStr">
        <is>
          <t>2026-06-15</t>
        </is>
      </c>
      <c r="B11301" s="3" t="inlineStr">
        <is>
          <t>동서</t>
        </is>
      </c>
      <c r="C11301" s="2" t="inlineStr">
        <is>
          <t>코스피</t>
        </is>
      </c>
      <c r="D11301" s="2" t="inlineStr">
        <is>
          <t>026960</t>
        </is>
      </c>
      <c r="E11301" s="3" t="inlineStr">
        <is>
          <t>임원ㆍ주요주주특정증권등거래계획보고서</t>
        </is>
      </c>
      <c r="F11301" s="3" t="inlineStr">
        <is>
          <t>김종희</t>
        </is>
      </c>
      <c r="G11301" s="2" t="inlineStr">
        <is>
          <t>20260615000193</t>
        </is>
      </c>
      <c r="H11301" s="8">
        <f>HYPERLINK("https://dart.fss.or.kr/dsaf001/main.do?rcpNo=20260615000193", "공시열람")</f>
        <v/>
      </c>
    </row>
    <row r="11302">
      <c r="A11302" s="2" t="inlineStr">
        <is>
          <t>2026-06-15</t>
        </is>
      </c>
      <c r="B11302" s="3" t="inlineStr">
        <is>
          <t>HDC현대EP</t>
        </is>
      </c>
      <c r="C11302" s="2" t="inlineStr">
        <is>
          <t>코스피</t>
        </is>
      </c>
      <c r="D11302" s="2" t="inlineStr">
        <is>
          <t>089470</t>
        </is>
      </c>
      <c r="E11302" s="3" t="inlineStr">
        <is>
          <t>특수관계인에대한자금대여</t>
        </is>
      </c>
      <c r="F11302" s="3" t="inlineStr">
        <is>
          <t>HDC현대EP</t>
        </is>
      </c>
      <c r="G11302" s="2" t="inlineStr">
        <is>
          <t>20260615000189</t>
        </is>
      </c>
      <c r="H11302" s="8">
        <f>HYPERLINK("https://dart.fss.or.kr/dsaf001/main.do?rcpNo=20260615000189", "공시열람")</f>
        <v/>
      </c>
    </row>
    <row r="11303">
      <c r="A11303" s="2" t="inlineStr">
        <is>
          <t>2026-06-15</t>
        </is>
      </c>
      <c r="B11303" s="3" t="inlineStr">
        <is>
          <t>다스코</t>
        </is>
      </c>
      <c r="C11303" s="2" t="inlineStr">
        <is>
          <t>코스피</t>
        </is>
      </c>
      <c r="D11303" s="2" t="inlineStr">
        <is>
          <t>058730</t>
        </is>
      </c>
      <c r="E11303" s="3" t="inlineStr">
        <is>
          <t>임원ㆍ주요주주특정증권등소유상황보고서</t>
        </is>
      </c>
      <c r="F11303" s="3" t="inlineStr">
        <is>
          <t>장형준</t>
        </is>
      </c>
      <c r="G11303" s="2" t="inlineStr">
        <is>
          <t>20260615000188</t>
        </is>
      </c>
      <c r="H11303" s="8">
        <f>HYPERLINK("https://dart.fss.or.kr/dsaf001/main.do?rcpNo=20260615000188", "공시열람")</f>
        <v/>
      </c>
    </row>
    <row r="11304">
      <c r="A11304" s="2" t="inlineStr">
        <is>
          <t>2026-06-15</t>
        </is>
      </c>
      <c r="B11304" s="3" t="inlineStr">
        <is>
          <t>HDC현대EP</t>
        </is>
      </c>
      <c r="C11304" s="2" t="inlineStr">
        <is>
          <t>코스피</t>
        </is>
      </c>
      <c r="D11304" s="2" t="inlineStr">
        <is>
          <t>089470</t>
        </is>
      </c>
      <c r="E11304" s="3" t="inlineStr">
        <is>
          <t>특수관계인에대한자금대여</t>
        </is>
      </c>
      <c r="F11304" s="3" t="inlineStr">
        <is>
          <t>HDC현대EP</t>
        </is>
      </c>
      <c r="G11304" s="2" t="inlineStr">
        <is>
          <t>20260615000186</t>
        </is>
      </c>
      <c r="H11304" s="8">
        <f>HYPERLINK("https://dart.fss.or.kr/dsaf001/main.do?rcpNo=20260615000186", "공시열람")</f>
        <v/>
      </c>
    </row>
    <row r="11305">
      <c r="A11305" s="2" t="inlineStr">
        <is>
          <t>2026-06-15</t>
        </is>
      </c>
      <c r="B11305" s="3" t="inlineStr">
        <is>
          <t>한국미라클피플사</t>
        </is>
      </c>
      <c r="C11305" s="2" t="inlineStr">
        <is>
          <t>코넥스</t>
        </is>
      </c>
      <c r="D11305" s="2" t="inlineStr">
        <is>
          <t>331660</t>
        </is>
      </c>
      <c r="E11305" s="3" t="inlineStr">
        <is>
          <t xml:space="preserve">기업설명회(IR)개최결과              </t>
        </is>
      </c>
      <c r="F11305" s="3" t="inlineStr">
        <is>
          <t>한국미라클피플사</t>
        </is>
      </c>
      <c r="G11305" s="2" t="inlineStr">
        <is>
          <t>20260615600453</t>
        </is>
      </c>
      <c r="H11305" s="8">
        <f>HYPERLINK("https://dart.fss.or.kr/dsaf001/main.do?rcpNo=20260615600453", "공시열람")</f>
        <v/>
      </c>
    </row>
    <row r="11306">
      <c r="A11306" s="2" t="inlineStr">
        <is>
          <t>2026-06-15</t>
        </is>
      </c>
      <c r="B11306" s="3" t="inlineStr">
        <is>
          <t>구영테크</t>
        </is>
      </c>
      <c r="C11306" s="2" t="inlineStr">
        <is>
          <t>코스닥</t>
        </is>
      </c>
      <c r="D11306" s="2" t="inlineStr">
        <is>
          <t>053270</t>
        </is>
      </c>
      <c r="E11306" s="3" t="inlineStr">
        <is>
          <t>임원ㆍ주요주주특정증권등거래계획보고서</t>
        </is>
      </c>
      <c r="F11306" s="3" t="inlineStr">
        <is>
          <t>이종명</t>
        </is>
      </c>
      <c r="G11306" s="2" t="inlineStr">
        <is>
          <t>20260615000185</t>
        </is>
      </c>
      <c r="H11306" s="8">
        <f>HYPERLINK("https://dart.fss.or.kr/dsaf001/main.do?rcpNo=20260615000185", "공시열람")</f>
        <v/>
      </c>
    </row>
    <row r="11307">
      <c r="A11307" s="2" t="inlineStr">
        <is>
          <t>2026-06-15</t>
        </is>
      </c>
      <c r="B11307" s="3" t="inlineStr">
        <is>
          <t>한화비전</t>
        </is>
      </c>
      <c r="C11307" s="2" t="inlineStr">
        <is>
          <t>코스피</t>
        </is>
      </c>
      <c r="D11307" s="2" t="inlineStr">
        <is>
          <t>489790</t>
        </is>
      </c>
      <c r="E11307" s="3" t="inlineStr">
        <is>
          <t xml:space="preserve">기업설명회(IR)개최(안내공시)              </t>
        </is>
      </c>
      <c r="F11307" s="3" t="inlineStr">
        <is>
          <t>한화비전</t>
        </is>
      </c>
      <c r="G11307" s="2" t="inlineStr">
        <is>
          <t>20260615800455</t>
        </is>
      </c>
      <c r="H11307" s="8">
        <f>HYPERLINK("https://dart.fss.or.kr/dsaf001/main.do?rcpNo=20260615800455", "공시열람")</f>
        <v/>
      </c>
    </row>
    <row r="11308">
      <c r="A11308" s="2" t="inlineStr">
        <is>
          <t>2026-06-15</t>
        </is>
      </c>
      <c r="B11308" s="3" t="inlineStr">
        <is>
          <t>NH투자증권</t>
        </is>
      </c>
      <c r="C11308" s="2" t="inlineStr">
        <is>
          <t>코스피</t>
        </is>
      </c>
      <c r="D11308" s="2" t="inlineStr">
        <is>
          <t>005940</t>
        </is>
      </c>
      <c r="E11308" s="3" t="inlineStr">
        <is>
          <t>증권발행실적보고서</t>
        </is>
      </c>
      <c r="F11308" s="3" t="inlineStr">
        <is>
          <t>NH투자증권</t>
        </is>
      </c>
      <c r="G11308" s="2" t="inlineStr">
        <is>
          <t>20260615000183</t>
        </is>
      </c>
      <c r="H11308" s="8">
        <f>HYPERLINK("https://dart.fss.or.kr/dsaf001/main.do?rcpNo=20260615000183", "공시열람")</f>
        <v/>
      </c>
    </row>
    <row r="11309">
      <c r="A11309" s="2" t="inlineStr">
        <is>
          <t>2026-06-15</t>
        </is>
      </c>
      <c r="B11309" s="3" t="inlineStr">
        <is>
          <t>진양폴리우레탄</t>
        </is>
      </c>
      <c r="C11309" s="2" t="inlineStr">
        <is>
          <t>코스피</t>
        </is>
      </c>
      <c r="D11309" s="2" t="inlineStr">
        <is>
          <t>010640</t>
        </is>
      </c>
      <c r="E11309" s="3" t="inlineStr">
        <is>
          <t xml:space="preserve">기타경영사항(자율공시)              </t>
        </is>
      </c>
      <c r="F11309" s="3" t="inlineStr">
        <is>
          <t>진양폴리우레탄</t>
        </is>
      </c>
      <c r="G11309" s="2" t="inlineStr">
        <is>
          <t>20260615800456</t>
        </is>
      </c>
      <c r="H11309" s="8">
        <f>HYPERLINK("https://dart.fss.or.kr/dsaf001/main.do?rcpNo=20260615800456", "공시열람")</f>
        <v/>
      </c>
    </row>
    <row r="11310">
      <c r="A11310" s="2" t="inlineStr">
        <is>
          <t>2026-06-15</t>
        </is>
      </c>
      <c r="B11310" s="3" t="inlineStr">
        <is>
          <t>진양산업</t>
        </is>
      </c>
      <c r="C11310" s="2" t="inlineStr">
        <is>
          <t>코스피</t>
        </is>
      </c>
      <c r="D11310" s="2" t="inlineStr">
        <is>
          <t>003780</t>
        </is>
      </c>
      <c r="E11310" s="3" t="inlineStr">
        <is>
          <t xml:space="preserve">기타경영사항(자율공시)              </t>
        </is>
      </c>
      <c r="F11310" s="3" t="inlineStr">
        <is>
          <t>진양산업</t>
        </is>
      </c>
      <c r="G11310" s="2" t="inlineStr">
        <is>
          <t>20260615800447</t>
        </is>
      </c>
      <c r="H11310" s="8">
        <f>HYPERLINK("https://dart.fss.or.kr/dsaf001/main.do?rcpNo=20260615800447", "공시열람")</f>
        <v/>
      </c>
    </row>
    <row r="11311">
      <c r="A11311" s="2" t="inlineStr">
        <is>
          <t>2026-06-15</t>
        </is>
      </c>
      <c r="B11311" s="3" t="inlineStr">
        <is>
          <t>구영테크</t>
        </is>
      </c>
      <c r="C11311" s="2" t="inlineStr">
        <is>
          <t>코스닥</t>
        </is>
      </c>
      <c r="D11311" s="2" t="inlineStr">
        <is>
          <t>053270</t>
        </is>
      </c>
      <c r="E11311" s="3" t="inlineStr">
        <is>
          <t>임원ㆍ주요주주특정증권등거래계획보고서</t>
        </is>
      </c>
      <c r="F11311" s="3" t="inlineStr">
        <is>
          <t>이희화</t>
        </is>
      </c>
      <c r="G11311" s="2" t="inlineStr">
        <is>
          <t>20260615000180</t>
        </is>
      </c>
      <c r="H11311" s="8">
        <f>HYPERLINK("https://dart.fss.or.kr/dsaf001/main.do?rcpNo=20260615000180", "공시열람")</f>
        <v/>
      </c>
    </row>
    <row r="11312">
      <c r="A11312" s="2" t="inlineStr">
        <is>
          <t>2026-06-15</t>
        </is>
      </c>
      <c r="B11312" s="3" t="inlineStr">
        <is>
          <t>플래스크</t>
        </is>
      </c>
      <c r="C11312" s="2" t="inlineStr">
        <is>
          <t>코스닥</t>
        </is>
      </c>
      <c r="D11312" s="2" t="inlineStr">
        <is>
          <t>041590</t>
        </is>
      </c>
      <c r="E11312" s="3" t="inlineStr">
        <is>
          <t>사외이사의선임ㆍ해임또는중도퇴임에관한신고</t>
        </is>
      </c>
      <c r="F11312" s="3" t="inlineStr">
        <is>
          <t>플래스크</t>
        </is>
      </c>
      <c r="G11312" s="2" t="inlineStr">
        <is>
          <t>20260615000177</t>
        </is>
      </c>
      <c r="H11312" s="8">
        <f>HYPERLINK("https://dart.fss.or.kr/dsaf001/main.do?rcpNo=20260615000177", "공시열람")</f>
        <v/>
      </c>
    </row>
    <row r="11313">
      <c r="A11313" s="2" t="inlineStr">
        <is>
          <t>2026-06-15</t>
        </is>
      </c>
      <c r="B11313" s="3" t="inlineStr">
        <is>
          <t>디앤디파마텍</t>
        </is>
      </c>
      <c r="C11313" s="2" t="inlineStr">
        <is>
          <t>코스닥</t>
        </is>
      </c>
      <c r="D11313" s="2" t="inlineStr">
        <is>
          <t>347850</t>
        </is>
      </c>
      <c r="E11313" s="3" t="inlineStr">
        <is>
          <t>주요사항보고서(자기전환사채만기전취득결정)</t>
        </is>
      </c>
      <c r="F11313" s="3" t="inlineStr">
        <is>
          <t>디앤디파마텍</t>
        </is>
      </c>
      <c r="G11313" s="2" t="inlineStr">
        <is>
          <t>20260615000170</t>
        </is>
      </c>
      <c r="H11313" s="8">
        <f>HYPERLINK("https://dart.fss.or.kr/dsaf001/main.do?rcpNo=20260615000170", "공시열람")</f>
        <v/>
      </c>
    </row>
    <row r="11314">
      <c r="A11314" s="2" t="inlineStr">
        <is>
          <t>2026-06-15</t>
        </is>
      </c>
      <c r="B11314" s="3" t="inlineStr">
        <is>
          <t>전진바이오팜</t>
        </is>
      </c>
      <c r="C11314" s="2" t="inlineStr">
        <is>
          <t>코스닥</t>
        </is>
      </c>
      <c r="D11314" s="2" t="inlineStr">
        <is>
          <t>110020</t>
        </is>
      </c>
      <c r="E11314" s="3" t="inlineStr">
        <is>
          <t>임원ㆍ주요주주특정증권등소유상황보고서</t>
        </is>
      </c>
      <c r="F11314" s="3" t="inlineStr">
        <is>
          <t>이태훈</t>
        </is>
      </c>
      <c r="G11314" s="2" t="inlineStr">
        <is>
          <t>20260615000175</t>
        </is>
      </c>
      <c r="H11314" s="8">
        <f>HYPERLINK("https://dart.fss.or.kr/dsaf001/main.do?rcpNo=20260615000175", "공시열람")</f>
        <v/>
      </c>
    </row>
    <row r="11315">
      <c r="A11315" s="2" t="inlineStr">
        <is>
          <t>2026-06-15</t>
        </is>
      </c>
      <c r="B11315" s="3" t="inlineStr">
        <is>
          <t>GRT</t>
        </is>
      </c>
      <c r="C11315" s="2" t="inlineStr">
        <is>
          <t>코스닥</t>
        </is>
      </c>
      <c r="D11315" s="2" t="inlineStr">
        <is>
          <t>900290</t>
        </is>
      </c>
      <c r="E11315" s="3" t="inlineStr">
        <is>
          <t xml:space="preserve">주주명부폐쇄기간또는기준일설정              </t>
        </is>
      </c>
      <c r="F11315" s="3" t="inlineStr">
        <is>
          <t>GRT</t>
        </is>
      </c>
      <c r="G11315" s="2" t="inlineStr">
        <is>
          <t>20260615900432</t>
        </is>
      </c>
      <c r="H11315" s="8">
        <f>HYPERLINK("https://dart.fss.or.kr/dsaf001/main.do?rcpNo=20260615900432", "공시열람")</f>
        <v/>
      </c>
    </row>
    <row r="11316">
      <c r="A11316" s="2" t="inlineStr">
        <is>
          <t>2026-06-15</t>
        </is>
      </c>
      <c r="B11316" s="3" t="inlineStr">
        <is>
          <t>더즌</t>
        </is>
      </c>
      <c r="C11316" s="2" t="inlineStr">
        <is>
          <t>코스닥</t>
        </is>
      </c>
      <c r="D11316" s="2" t="inlineStr">
        <is>
          <t>462860</t>
        </is>
      </c>
      <c r="E11316" s="3" t="inlineStr">
        <is>
          <t xml:space="preserve">중간(분기)배당을위한주주명부폐쇄(기준일)결정              </t>
        </is>
      </c>
      <c r="F11316" s="3" t="inlineStr">
        <is>
          <t>더즌</t>
        </is>
      </c>
      <c r="G11316" s="2" t="inlineStr">
        <is>
          <t>20260615900417</t>
        </is>
      </c>
      <c r="H11316" s="8">
        <f>HYPERLINK("https://dart.fss.or.kr/dsaf001/main.do?rcpNo=20260615900417", "공시열람")</f>
        <v/>
      </c>
    </row>
    <row r="11317">
      <c r="A11317" s="2" t="inlineStr">
        <is>
          <t>2026-06-15</t>
        </is>
      </c>
      <c r="B11317" s="3" t="inlineStr">
        <is>
          <t>원텍</t>
        </is>
      </c>
      <c r="C11317" s="2" t="inlineStr">
        <is>
          <t>코스닥</t>
        </is>
      </c>
      <c r="D11317" s="2" t="inlineStr">
        <is>
          <t>336570</t>
        </is>
      </c>
      <c r="E11317" s="3" t="inlineStr">
        <is>
          <t xml:space="preserve">전환사채(해외전환사채포함)발행후만기전사채취득              </t>
        </is>
      </c>
      <c r="F11317" s="3" t="inlineStr">
        <is>
          <t>원텍</t>
        </is>
      </c>
      <c r="G11317" s="2" t="inlineStr">
        <is>
          <t>20260615900444</t>
        </is>
      </c>
      <c r="H11317" s="8">
        <f>HYPERLINK("https://dart.fss.or.kr/dsaf001/main.do?rcpNo=20260615900444", "공시열람")</f>
        <v/>
      </c>
    </row>
    <row r="11318">
      <c r="A11318" s="2" t="inlineStr">
        <is>
          <t>2026-06-15</t>
        </is>
      </c>
      <c r="B11318" s="3" t="inlineStr">
        <is>
          <t>한미사이언스</t>
        </is>
      </c>
      <c r="C11318" s="2" t="inlineStr">
        <is>
          <t>코스피</t>
        </is>
      </c>
      <c r="D11318" s="2" t="inlineStr">
        <is>
          <t>008930</t>
        </is>
      </c>
      <c r="E11318" s="3" t="inlineStr">
        <is>
          <t xml:space="preserve">[첨부정정]지속가능경영보고서등관련사항(자율공시)              </t>
        </is>
      </c>
      <c r="F11318" s="3" t="inlineStr">
        <is>
          <t>한미사이언스</t>
        </is>
      </c>
      <c r="G11318" s="2" t="inlineStr">
        <is>
          <t>20260615800433</t>
        </is>
      </c>
      <c r="H11318" s="8">
        <f>HYPERLINK("https://dart.fss.or.kr/dsaf001/main.do?rcpNo=20260615800433", "공시열람")</f>
        <v/>
      </c>
    </row>
    <row r="11319">
      <c r="A11319" s="2" t="inlineStr">
        <is>
          <t>2026-06-15</t>
        </is>
      </c>
      <c r="B11319" s="3" t="inlineStr">
        <is>
          <t>퓨쳐켐</t>
        </is>
      </c>
      <c r="C11319" s="2" t="inlineStr">
        <is>
          <t>코스닥</t>
        </is>
      </c>
      <c r="D11319" s="2" t="inlineStr">
        <is>
          <t>220100</t>
        </is>
      </c>
      <c r="E11319" s="3" t="inlineStr">
        <is>
          <t xml:space="preserve">전환주식의전환가액조정              </t>
        </is>
      </c>
      <c r="F11319" s="3" t="inlineStr">
        <is>
          <t>퓨쳐켐</t>
        </is>
      </c>
      <c r="G11319" s="2" t="inlineStr">
        <is>
          <t>20260615900397</t>
        </is>
      </c>
      <c r="H11319" s="8">
        <f>HYPERLINK("https://dart.fss.or.kr/dsaf001/main.do?rcpNo=20260615900397", "공시열람")</f>
        <v/>
      </c>
    </row>
    <row r="11320">
      <c r="A11320" s="2" t="inlineStr">
        <is>
          <t>2026-06-15</t>
        </is>
      </c>
      <c r="B11320" s="3" t="inlineStr">
        <is>
          <t>현대건설</t>
        </is>
      </c>
      <c r="C11320" s="2" t="inlineStr">
        <is>
          <t>코스피</t>
        </is>
      </c>
      <c r="D11320" s="2" t="inlineStr">
        <is>
          <t>000720</t>
        </is>
      </c>
      <c r="E11320" s="3" t="inlineStr">
        <is>
          <t>임원ㆍ주요주주특정증권등소유상황보고서</t>
        </is>
      </c>
      <c r="F11320" s="3" t="inlineStr">
        <is>
          <t>임낙호</t>
        </is>
      </c>
      <c r="G11320" s="2" t="inlineStr">
        <is>
          <t>20260615000164</t>
        </is>
      </c>
      <c r="H11320" s="8">
        <f>HYPERLINK("https://dart.fss.or.kr/dsaf001/main.do?rcpNo=20260615000164", "공시열람")</f>
        <v/>
      </c>
    </row>
    <row r="11321">
      <c r="A11321" s="2" t="inlineStr">
        <is>
          <t>2026-06-15</t>
        </is>
      </c>
      <c r="B11321" s="3" t="inlineStr">
        <is>
          <t>코디</t>
        </is>
      </c>
      <c r="C11321" s="2" t="inlineStr">
        <is>
          <t>코스닥</t>
        </is>
      </c>
      <c r="D11321" s="2" t="inlineStr">
        <is>
          <t>080530</t>
        </is>
      </c>
      <c r="E11321" s="3" t="inlineStr">
        <is>
          <t>임원ㆍ주요주주특정증권등소유상황보고서</t>
        </is>
      </c>
      <c r="F11321" s="3" t="inlineStr">
        <is>
          <t>김은희</t>
        </is>
      </c>
      <c r="G11321" s="2" t="inlineStr">
        <is>
          <t>20260615000163</t>
        </is>
      </c>
      <c r="H11321" s="8">
        <f>HYPERLINK("https://dart.fss.or.kr/dsaf001/main.do?rcpNo=20260615000163", "공시열람")</f>
        <v/>
      </c>
    </row>
    <row r="11322">
      <c r="A11322" s="2" t="inlineStr">
        <is>
          <t>2026-06-15</t>
        </is>
      </c>
      <c r="B11322" s="3" t="inlineStr">
        <is>
          <t>인탑스</t>
        </is>
      </c>
      <c r="C11322" s="2" t="inlineStr">
        <is>
          <t>코스닥</t>
        </is>
      </c>
      <c r="D11322" s="2" t="inlineStr">
        <is>
          <t>049070</t>
        </is>
      </c>
      <c r="E11322" s="3" t="inlineStr">
        <is>
          <t xml:space="preserve">중간(분기)배당을위한주주명부폐쇄(기준일)결정              </t>
        </is>
      </c>
      <c r="F11322" s="3" t="inlineStr">
        <is>
          <t>인탑스</t>
        </is>
      </c>
      <c r="G11322" s="2" t="inlineStr">
        <is>
          <t>20260615900422</t>
        </is>
      </c>
      <c r="H11322" s="8">
        <f>HYPERLINK("https://dart.fss.or.kr/dsaf001/main.do?rcpNo=20260615900422", "공시열람")</f>
        <v/>
      </c>
    </row>
    <row r="11323">
      <c r="A11323" s="2" t="inlineStr">
        <is>
          <t>2026-06-15</t>
        </is>
      </c>
      <c r="B11323" s="3" t="inlineStr">
        <is>
          <t>호텔신라</t>
        </is>
      </c>
      <c r="C11323" s="2" t="inlineStr">
        <is>
          <t>코스피</t>
        </is>
      </c>
      <c r="D11323" s="2" t="inlineStr">
        <is>
          <t>008770</t>
        </is>
      </c>
      <c r="E11323" s="3" t="inlineStr">
        <is>
          <t xml:space="preserve">기업설명회(IR)개최(안내공시)              </t>
        </is>
      </c>
      <c r="F11323" s="3" t="inlineStr">
        <is>
          <t>호텔신라</t>
        </is>
      </c>
      <c r="G11323" s="2" t="inlineStr">
        <is>
          <t>20260615800419</t>
        </is>
      </c>
      <c r="H11323" s="8">
        <f>HYPERLINK("https://dart.fss.or.kr/dsaf001/main.do?rcpNo=20260615800419", "공시열람")</f>
        <v/>
      </c>
    </row>
    <row r="11324">
      <c r="A11324" s="2" t="inlineStr">
        <is>
          <t>2026-06-15</t>
        </is>
      </c>
      <c r="B11324" s="3" t="inlineStr">
        <is>
          <t>효성 ITX</t>
        </is>
      </c>
      <c r="C11324" s="2" t="inlineStr">
        <is>
          <t>코스피</t>
        </is>
      </c>
      <c r="D11324" s="2" t="inlineStr">
        <is>
          <t>094280</t>
        </is>
      </c>
      <c r="E11324" s="3" t="inlineStr">
        <is>
          <t xml:space="preserve">주주명부폐쇄기간또는기준일설정              </t>
        </is>
      </c>
      <c r="F11324" s="3" t="inlineStr">
        <is>
          <t>효성 ITX</t>
        </is>
      </c>
      <c r="G11324" s="2" t="inlineStr">
        <is>
          <t>20260615800399</t>
        </is>
      </c>
      <c r="H11324" s="8">
        <f>HYPERLINK("https://dart.fss.or.kr/dsaf001/main.do?rcpNo=20260615800399", "공시열람")</f>
        <v/>
      </c>
    </row>
    <row r="11325">
      <c r="A11325" s="2" t="inlineStr">
        <is>
          <t>2026-06-15</t>
        </is>
      </c>
      <c r="B11325" s="3" t="inlineStr">
        <is>
          <t>대호에이엘</t>
        </is>
      </c>
      <c r="C11325" s="2" t="inlineStr">
        <is>
          <t>코스피</t>
        </is>
      </c>
      <c r="D11325" s="2" t="inlineStr">
        <is>
          <t>069460</t>
        </is>
      </c>
      <c r="E11325" s="3" t="inlineStr">
        <is>
          <t xml:space="preserve">소송등의판결ㆍ결정              </t>
        </is>
      </c>
      <c r="F11325" s="3" t="inlineStr">
        <is>
          <t>대호에이엘</t>
        </is>
      </c>
      <c r="G11325" s="2" t="inlineStr">
        <is>
          <t>20260615800413</t>
        </is>
      </c>
      <c r="H11325" s="8">
        <f>HYPERLINK("https://dart.fss.or.kr/dsaf001/main.do?rcpNo=20260615800413", "공시열람")</f>
        <v/>
      </c>
    </row>
    <row r="11326">
      <c r="A11326" s="2" t="inlineStr">
        <is>
          <t>2026-06-15</t>
        </is>
      </c>
      <c r="B11326" s="3" t="inlineStr">
        <is>
          <t>카카오</t>
        </is>
      </c>
      <c r="C11326" s="2" t="inlineStr">
        <is>
          <t>코스피</t>
        </is>
      </c>
      <c r="D11326" s="2" t="inlineStr">
        <is>
          <t>035720</t>
        </is>
      </c>
      <c r="E11326" s="3" t="inlineStr">
        <is>
          <t xml:space="preserve">기업설명회(IR)개최(안내공시)              </t>
        </is>
      </c>
      <c r="F11326" s="3" t="inlineStr">
        <is>
          <t>카카오</t>
        </is>
      </c>
      <c r="G11326" s="2" t="inlineStr">
        <is>
          <t>20260615800409</t>
        </is>
      </c>
      <c r="H11326" s="8">
        <f>HYPERLINK("https://dart.fss.or.kr/dsaf001/main.do?rcpNo=20260615800409", "공시열람")</f>
        <v/>
      </c>
    </row>
    <row r="11327">
      <c r="A11327" s="2" t="inlineStr">
        <is>
          <t>2026-06-15</t>
        </is>
      </c>
      <c r="B11327" s="3" t="inlineStr">
        <is>
          <t>진양홀딩스</t>
        </is>
      </c>
      <c r="C11327" s="2" t="inlineStr">
        <is>
          <t>코스피</t>
        </is>
      </c>
      <c r="D11327" s="2" t="inlineStr">
        <is>
          <t>100250</t>
        </is>
      </c>
      <c r="E11327" s="3" t="inlineStr">
        <is>
          <t xml:space="preserve">기타경영사항(자율공시)              </t>
        </is>
      </c>
      <c r="F11327" s="3" t="inlineStr">
        <is>
          <t>진양홀딩스</t>
        </is>
      </c>
      <c r="G11327" s="2" t="inlineStr">
        <is>
          <t>20260615800391</t>
        </is>
      </c>
      <c r="H11327" s="8">
        <f>HYPERLINK("https://dart.fss.or.kr/dsaf001/main.do?rcpNo=20260615800391", "공시열람")</f>
        <v/>
      </c>
    </row>
    <row r="11328">
      <c r="A11328" s="2" t="inlineStr">
        <is>
          <t>2026-06-15</t>
        </is>
      </c>
      <c r="B11328" s="3" t="inlineStr">
        <is>
          <t>에코마케팅</t>
        </is>
      </c>
      <c r="C11328" s="2" t="inlineStr">
        <is>
          <t>코스닥</t>
        </is>
      </c>
      <c r="D11328" s="2" t="inlineStr">
        <is>
          <t>230360</t>
        </is>
      </c>
      <c r="E11328" s="3" t="inlineStr">
        <is>
          <t>합병등종료보고서(주식의포괄적교환ㆍ이전)</t>
        </is>
      </c>
      <c r="F11328" s="3" t="inlineStr">
        <is>
          <t>에코마케팅</t>
        </is>
      </c>
      <c r="G11328" s="2" t="inlineStr">
        <is>
          <t>20260615000154</t>
        </is>
      </c>
      <c r="H11328" s="8">
        <f>HYPERLINK("https://dart.fss.or.kr/dsaf001/main.do?rcpNo=20260615000154", "공시열람")</f>
        <v/>
      </c>
    </row>
    <row r="11329">
      <c r="A11329" s="2" t="inlineStr">
        <is>
          <t>2026-06-15</t>
        </is>
      </c>
      <c r="B11329" s="3" t="inlineStr">
        <is>
          <t>씨아이테크</t>
        </is>
      </c>
      <c r="C11329" s="2" t="inlineStr">
        <is>
          <t>코스피</t>
        </is>
      </c>
      <c r="D11329" s="2" t="inlineStr">
        <is>
          <t>004920</t>
        </is>
      </c>
      <c r="E11329" s="3" t="inlineStr">
        <is>
          <t>임원ㆍ주요주주특정증권등소유상황보고서</t>
        </is>
      </c>
      <c r="F11329" s="3" t="inlineStr">
        <is>
          <t>여울컴퍼니</t>
        </is>
      </c>
      <c r="G11329" s="2" t="inlineStr">
        <is>
          <t>20260615000151</t>
        </is>
      </c>
      <c r="H11329" s="8">
        <f>HYPERLINK("https://dart.fss.or.kr/dsaf001/main.do?rcpNo=20260615000151", "공시열람")</f>
        <v/>
      </c>
    </row>
    <row r="11330">
      <c r="A11330" s="2" t="inlineStr">
        <is>
          <t>2026-06-15</t>
        </is>
      </c>
      <c r="B11330" s="3" t="inlineStr">
        <is>
          <t>미래에셋증권</t>
        </is>
      </c>
      <c r="C11330" s="2" t="inlineStr">
        <is>
          <t>코스피</t>
        </is>
      </c>
      <c r="D11330" s="2" t="inlineStr">
        <is>
          <t>006800</t>
        </is>
      </c>
      <c r="E11330" s="3" t="inlineStr">
        <is>
          <t>증권발행실적보고서</t>
        </is>
      </c>
      <c r="F11330" s="3" t="inlineStr">
        <is>
          <t>미래에셋증권</t>
        </is>
      </c>
      <c r="G11330" s="2" t="inlineStr">
        <is>
          <t>20260615000150</t>
        </is>
      </c>
      <c r="H11330" s="8">
        <f>HYPERLINK("https://dart.fss.or.kr/dsaf001/main.do?rcpNo=20260615000150", "공시열람")</f>
        <v/>
      </c>
    </row>
    <row r="11331">
      <c r="A11331" s="2" t="inlineStr">
        <is>
          <t>2026-06-15</t>
        </is>
      </c>
      <c r="B11331" s="3" t="inlineStr">
        <is>
          <t>현대차증권</t>
        </is>
      </c>
      <c r="C11331" s="2" t="inlineStr">
        <is>
          <t>코스피</t>
        </is>
      </c>
      <c r="D11331" s="2" t="inlineStr">
        <is>
          <t>001500</t>
        </is>
      </c>
      <c r="E11331" s="3" t="inlineStr">
        <is>
          <t>증권발행실적보고서</t>
        </is>
      </c>
      <c r="F11331" s="3" t="inlineStr">
        <is>
          <t>현대차증권</t>
        </is>
      </c>
      <c r="G11331" s="2" t="inlineStr">
        <is>
          <t>20260615000146</t>
        </is>
      </c>
      <c r="H11331" s="8">
        <f>HYPERLINK("https://dart.fss.or.kr/dsaf001/main.do?rcpNo=20260615000146", "공시열람")</f>
        <v/>
      </c>
    </row>
    <row r="11332">
      <c r="A11332" s="2" t="inlineStr">
        <is>
          <t>2026-06-15</t>
        </is>
      </c>
      <c r="B11332" s="3" t="inlineStr">
        <is>
          <t>퓨쳐켐</t>
        </is>
      </c>
      <c r="C11332" s="2" t="inlineStr">
        <is>
          <t>코스닥</t>
        </is>
      </c>
      <c r="D11332" s="2" t="inlineStr">
        <is>
          <t>220100</t>
        </is>
      </c>
      <c r="E11332" s="3" t="inlineStr">
        <is>
          <t xml:space="preserve">전환가액의조정              </t>
        </is>
      </c>
      <c r="F11332" s="3" t="inlineStr">
        <is>
          <t>퓨쳐켐</t>
        </is>
      </c>
      <c r="G11332" s="2" t="inlineStr">
        <is>
          <t>20260615900395</t>
        </is>
      </c>
      <c r="H11332" s="8">
        <f>HYPERLINK("https://dart.fss.or.kr/dsaf001/main.do?rcpNo=20260615900395", "공시열람")</f>
        <v/>
      </c>
    </row>
    <row r="11333">
      <c r="A11333" s="2" t="inlineStr">
        <is>
          <t>2026-06-15</t>
        </is>
      </c>
      <c r="B11333" s="3" t="inlineStr">
        <is>
          <t>이씨에스</t>
        </is>
      </c>
      <c r="C11333" s="2" t="inlineStr">
        <is>
          <t>코스닥</t>
        </is>
      </c>
      <c r="D11333" s="2" t="inlineStr">
        <is>
          <t>067010</t>
        </is>
      </c>
      <c r="E11333" s="3" t="inlineStr">
        <is>
          <t>[기재정정]수시공시의무관련사항(공정공시)              (2026년 사업연도 주주환원 정책 안내)</t>
        </is>
      </c>
      <c r="F11333" s="3" t="inlineStr">
        <is>
          <t>이씨에스</t>
        </is>
      </c>
      <c r="G11333" s="2" t="inlineStr">
        <is>
          <t>20260615900393</t>
        </is>
      </c>
      <c r="H11333" s="8">
        <f>HYPERLINK("https://dart.fss.or.kr/dsaf001/main.do?rcpNo=20260615900393", "공시열람")</f>
        <v/>
      </c>
    </row>
    <row r="11334">
      <c r="A11334" s="2" t="inlineStr">
        <is>
          <t>2026-06-15</t>
        </is>
      </c>
      <c r="B11334" s="3" t="inlineStr">
        <is>
          <t>LG씨엔에스</t>
        </is>
      </c>
      <c r="C11334" s="2" t="inlineStr">
        <is>
          <t>코스피</t>
        </is>
      </c>
      <c r="D11334" s="2" t="inlineStr">
        <is>
          <t>064400</t>
        </is>
      </c>
      <c r="E11334" s="3" t="inlineStr">
        <is>
          <t xml:space="preserve">기업설명회(IR)개최(안내공시)              </t>
        </is>
      </c>
      <c r="F11334" s="3" t="inlineStr">
        <is>
          <t>LG씨엔에스</t>
        </is>
      </c>
      <c r="G11334" s="2" t="inlineStr">
        <is>
          <t>20260615800384</t>
        </is>
      </c>
      <c r="H11334" s="8">
        <f>HYPERLINK("https://dart.fss.or.kr/dsaf001/main.do?rcpNo=20260615800384", "공시열람")</f>
        <v/>
      </c>
    </row>
    <row r="11335">
      <c r="A11335" s="2" t="inlineStr">
        <is>
          <t>2026-06-15</t>
        </is>
      </c>
      <c r="B11335" s="3" t="inlineStr">
        <is>
          <t>코다코</t>
        </is>
      </c>
      <c r="C11335" s="2" t="inlineStr">
        <is>
          <t>코스닥</t>
        </is>
      </c>
      <c r="D11335" s="2" t="inlineStr">
        <is>
          <t>046070</t>
        </is>
      </c>
      <c r="E11335" s="3" t="inlineStr">
        <is>
          <t xml:space="preserve">감자완료              </t>
        </is>
      </c>
      <c r="F11335" s="3" t="inlineStr">
        <is>
          <t>코다코</t>
        </is>
      </c>
      <c r="G11335" s="2" t="inlineStr">
        <is>
          <t>20260615900366</t>
        </is>
      </c>
      <c r="H11335" s="8">
        <f>HYPERLINK("https://dart.fss.or.kr/dsaf001/main.do?rcpNo=20260615900366", "공시열람")</f>
        <v/>
      </c>
    </row>
    <row r="11336">
      <c r="A11336" s="2" t="inlineStr">
        <is>
          <t>2026-06-15</t>
        </is>
      </c>
      <c r="B11336" s="3" t="inlineStr">
        <is>
          <t>문배철강</t>
        </is>
      </c>
      <c r="C11336" s="2" t="inlineStr">
        <is>
          <t>코스피</t>
        </is>
      </c>
      <c r="D11336" s="2" t="inlineStr">
        <is>
          <t>008420</t>
        </is>
      </c>
      <c r="E11336" s="3" t="inlineStr">
        <is>
          <t>임원ㆍ주요주주특정증권등소유상황보고서</t>
        </is>
      </c>
      <c r="F11336" s="3" t="inlineStr">
        <is>
          <t>배윤경</t>
        </is>
      </c>
      <c r="G11336" s="2" t="inlineStr">
        <is>
          <t>20260615000136</t>
        </is>
      </c>
      <c r="H11336" s="8">
        <f>HYPERLINK("https://dart.fss.or.kr/dsaf001/main.do?rcpNo=20260615000136", "공시열람")</f>
        <v/>
      </c>
    </row>
    <row r="11337">
      <c r="A11337" s="2" t="inlineStr">
        <is>
          <t>2026-06-15</t>
        </is>
      </c>
      <c r="B11337" s="3" t="inlineStr">
        <is>
          <t>농심</t>
        </is>
      </c>
      <c r="C11337" s="2" t="inlineStr">
        <is>
          <t>코스피</t>
        </is>
      </c>
      <c r="D11337" s="2" t="inlineStr">
        <is>
          <t>004370</t>
        </is>
      </c>
      <c r="E11337" s="3" t="inlineStr">
        <is>
          <t>임원ㆍ주요주주특정증권등소유상황보고서</t>
        </is>
      </c>
      <c r="F11337" s="3" t="inlineStr">
        <is>
          <t>윤성학</t>
        </is>
      </c>
      <c r="G11337" s="2" t="inlineStr">
        <is>
          <t>20260615000135</t>
        </is>
      </c>
      <c r="H11337" s="8">
        <f>HYPERLINK("https://dart.fss.or.kr/dsaf001/main.do?rcpNo=20260615000135", "공시열람")</f>
        <v/>
      </c>
    </row>
    <row r="11338">
      <c r="A11338" s="2" t="inlineStr">
        <is>
          <t>2026-06-15</t>
        </is>
      </c>
      <c r="B11338" s="3" t="inlineStr">
        <is>
          <t>NH투자증권</t>
        </is>
      </c>
      <c r="C11338" s="2" t="inlineStr">
        <is>
          <t>코스피</t>
        </is>
      </c>
      <c r="D11338" s="2" t="inlineStr">
        <is>
          <t>005940</t>
        </is>
      </c>
      <c r="E11338" s="3" t="inlineStr">
        <is>
          <t>증권발행실적보고서</t>
        </is>
      </c>
      <c r="F11338" s="3" t="inlineStr">
        <is>
          <t>NH투자증권</t>
        </is>
      </c>
      <c r="G11338" s="2" t="inlineStr">
        <is>
          <t>20260615000134</t>
        </is>
      </c>
      <c r="H11338" s="8">
        <f>HYPERLINK("https://dart.fss.or.kr/dsaf001/main.do?rcpNo=20260615000134", "공시열람")</f>
        <v/>
      </c>
    </row>
    <row r="11339">
      <c r="A11339" s="2" t="inlineStr">
        <is>
          <t>2026-06-15</t>
        </is>
      </c>
      <c r="B11339" s="3" t="inlineStr">
        <is>
          <t>동양이엔피</t>
        </is>
      </c>
      <c r="C11339" s="2" t="inlineStr">
        <is>
          <t>코스닥</t>
        </is>
      </c>
      <c r="D11339" s="2" t="inlineStr">
        <is>
          <t>079960</t>
        </is>
      </c>
      <c r="E11339" s="3" t="inlineStr">
        <is>
          <t xml:space="preserve">타법인주식및출자증권취득결정              </t>
        </is>
      </c>
      <c r="F11339" s="3" t="inlineStr">
        <is>
          <t>동양이엔피</t>
        </is>
      </c>
      <c r="G11339" s="2" t="inlineStr">
        <is>
          <t>20260615900345</t>
        </is>
      </c>
      <c r="H11339" s="8">
        <f>HYPERLINK("https://dart.fss.or.kr/dsaf001/main.do?rcpNo=20260615900345", "공시열람")</f>
        <v/>
      </c>
    </row>
    <row r="11340">
      <c r="A11340" s="2" t="inlineStr">
        <is>
          <t>2026-06-15</t>
        </is>
      </c>
      <c r="B11340" s="3" t="inlineStr">
        <is>
          <t>메타바이오메드</t>
        </is>
      </c>
      <c r="C11340" s="2" t="inlineStr">
        <is>
          <t>코스닥</t>
        </is>
      </c>
      <c r="D11340" s="2" t="inlineStr">
        <is>
          <t>059210</t>
        </is>
      </c>
      <c r="E11340" s="3" t="inlineStr">
        <is>
          <t xml:space="preserve">중간(분기)배당을위한주주명부폐쇄(기준일)결정              </t>
        </is>
      </c>
      <c r="F11340" s="3" t="inlineStr">
        <is>
          <t>메타바이오메드</t>
        </is>
      </c>
      <c r="G11340" s="2" t="inlineStr">
        <is>
          <t>20260615900378</t>
        </is>
      </c>
      <c r="H11340" s="8">
        <f>HYPERLINK("https://dart.fss.or.kr/dsaf001/main.do?rcpNo=20260615900378", "공시열람")</f>
        <v/>
      </c>
    </row>
    <row r="11341">
      <c r="A11341" s="2" t="inlineStr">
        <is>
          <t>2026-06-15</t>
        </is>
      </c>
      <c r="B11341" s="3" t="inlineStr">
        <is>
          <t>NH투자증권</t>
        </is>
      </c>
      <c r="C11341" s="2" t="inlineStr">
        <is>
          <t>코스피</t>
        </is>
      </c>
      <c r="D11341" s="2" t="inlineStr">
        <is>
          <t>005940</t>
        </is>
      </c>
      <c r="E11341" s="3" t="inlineStr">
        <is>
          <t>증권발행실적보고서</t>
        </is>
      </c>
      <c r="F11341" s="3" t="inlineStr">
        <is>
          <t>NH투자증권</t>
        </is>
      </c>
      <c r="G11341" s="2" t="inlineStr">
        <is>
          <t>20260615000131</t>
        </is>
      </c>
      <c r="H11341" s="8">
        <f>HYPERLINK("https://dart.fss.or.kr/dsaf001/main.do?rcpNo=20260615000131", "공시열람")</f>
        <v/>
      </c>
    </row>
    <row r="11342">
      <c r="A11342" s="2" t="inlineStr">
        <is>
          <t>2026-06-15</t>
        </is>
      </c>
      <c r="B11342" s="3" t="inlineStr">
        <is>
          <t>에넥스</t>
        </is>
      </c>
      <c r="C11342" s="2" t="inlineStr">
        <is>
          <t>코스피</t>
        </is>
      </c>
      <c r="D11342" s="2" t="inlineStr">
        <is>
          <t>011090</t>
        </is>
      </c>
      <c r="E11342" s="3" t="inlineStr">
        <is>
          <t>임원ㆍ주요주주특정증권등소유상황보고서</t>
        </is>
      </c>
      <c r="F11342" s="3" t="inlineStr">
        <is>
          <t>박진규</t>
        </is>
      </c>
      <c r="G11342" s="2" t="inlineStr">
        <is>
          <t>20260615000128</t>
        </is>
      </c>
      <c r="H11342" s="8">
        <f>HYPERLINK("https://dart.fss.or.kr/dsaf001/main.do?rcpNo=20260615000128", "공시열람")</f>
        <v/>
      </c>
    </row>
    <row r="11343">
      <c r="A11343" s="2" t="inlineStr">
        <is>
          <t>2026-06-15</t>
        </is>
      </c>
      <c r="B11343" s="3" t="inlineStr">
        <is>
          <t>NH투자증권</t>
        </is>
      </c>
      <c r="C11343" s="2" t="inlineStr">
        <is>
          <t>코스피</t>
        </is>
      </c>
      <c r="D11343" s="2" t="inlineStr">
        <is>
          <t>005940</t>
        </is>
      </c>
      <c r="E11343" s="3" t="inlineStr">
        <is>
          <t>일괄신고추가서류(파생결합증권-주가연계증권)</t>
        </is>
      </c>
      <c r="F11343" s="3" t="inlineStr">
        <is>
          <t>NH투자증권</t>
        </is>
      </c>
      <c r="G11343" s="2" t="inlineStr">
        <is>
          <t>20260615000127</t>
        </is>
      </c>
      <c r="H11343" s="8">
        <f>HYPERLINK("https://dart.fss.or.kr/dsaf001/main.do?rcpNo=20260615000127", "공시열람")</f>
        <v/>
      </c>
    </row>
    <row r="11344">
      <c r="A11344" s="2" t="inlineStr">
        <is>
          <t>2026-06-15</t>
        </is>
      </c>
      <c r="B11344" s="3" t="inlineStr">
        <is>
          <t>아이언디바이스</t>
        </is>
      </c>
      <c r="C11344" s="2" t="inlineStr">
        <is>
          <t>코스닥</t>
        </is>
      </c>
      <c r="D11344" s="2" t="inlineStr">
        <is>
          <t>464500</t>
        </is>
      </c>
      <c r="E11344" s="3" t="inlineStr">
        <is>
          <t>기타경영사항(자율공시)              ([국책과제 선정] 산업통상부 '2026년도 자동차산업기술개발(R&amp;D)-전기자동차용 구동회로 내장형 파워모듈 기술 개발' 공동연구개발기관 선정)</t>
        </is>
      </c>
      <c r="F11344" s="3" t="inlineStr">
        <is>
          <t>아이언디바이스</t>
        </is>
      </c>
      <c r="G11344" s="2" t="inlineStr">
        <is>
          <t>20260615900347</t>
        </is>
      </c>
      <c r="H11344" s="8">
        <f>HYPERLINK("https://dart.fss.or.kr/dsaf001/main.do?rcpNo=20260615900347", "공시열람")</f>
        <v/>
      </c>
    </row>
    <row r="11345">
      <c r="A11345" s="2" t="inlineStr">
        <is>
          <t>2026-06-15</t>
        </is>
      </c>
      <c r="B11345" s="3" t="inlineStr">
        <is>
          <t>미래에셋증권</t>
        </is>
      </c>
      <c r="C11345" s="2" t="inlineStr">
        <is>
          <t>코스피</t>
        </is>
      </c>
      <c r="D11345" s="2" t="inlineStr">
        <is>
          <t>006800</t>
        </is>
      </c>
      <c r="E11345" s="3" t="inlineStr">
        <is>
          <t xml:space="preserve">기업설명회(IR)개최(안내공시)              </t>
        </is>
      </c>
      <c r="F11345" s="3" t="inlineStr">
        <is>
          <t>미래에셋증권</t>
        </is>
      </c>
      <c r="G11345" s="2" t="inlineStr">
        <is>
          <t>20260615800369</t>
        </is>
      </c>
      <c r="H11345" s="8">
        <f>HYPERLINK("https://dart.fss.or.kr/dsaf001/main.do?rcpNo=20260615800369", "공시열람")</f>
        <v/>
      </c>
    </row>
    <row r="11346">
      <c r="A11346" s="2" t="inlineStr">
        <is>
          <t>2026-06-15</t>
        </is>
      </c>
      <c r="B11346" s="3" t="inlineStr">
        <is>
          <t>제이알글로벌리츠</t>
        </is>
      </c>
      <c r="C11346" s="2" t="inlineStr">
        <is>
          <t>코스피</t>
        </is>
      </c>
      <c r="D11346" s="2" t="inlineStr">
        <is>
          <t>348950</t>
        </is>
      </c>
      <c r="E11346" s="3" t="inlineStr">
        <is>
          <t xml:space="preserve">주주명부폐쇄기간또는기준일설정              </t>
        </is>
      </c>
      <c r="F11346" s="3" t="inlineStr">
        <is>
          <t>제이알글로벌리츠</t>
        </is>
      </c>
      <c r="G11346" s="2" t="inlineStr">
        <is>
          <t>20260615800331</t>
        </is>
      </c>
      <c r="H11346" s="8">
        <f>HYPERLINK("https://dart.fss.or.kr/dsaf001/main.do?rcpNo=20260615800331", "공시열람")</f>
        <v/>
      </c>
    </row>
    <row r="11347">
      <c r="A11347" s="2" t="inlineStr">
        <is>
          <t>2026-06-15</t>
        </is>
      </c>
      <c r="B11347" s="3" t="inlineStr">
        <is>
          <t>무학</t>
        </is>
      </c>
      <c r="C11347" s="2" t="inlineStr">
        <is>
          <t>코스피</t>
        </is>
      </c>
      <c r="D11347" s="2" t="inlineStr">
        <is>
          <t>033920</t>
        </is>
      </c>
      <c r="E11347" s="3" t="inlineStr">
        <is>
          <t xml:space="preserve">주주명부폐쇄기간또는기준일설정              </t>
        </is>
      </c>
      <c r="F11347" s="3" t="inlineStr">
        <is>
          <t>무학</t>
        </is>
      </c>
      <c r="G11347" s="2" t="inlineStr">
        <is>
          <t>20260615800326</t>
        </is>
      </c>
      <c r="H11347" s="8">
        <f>HYPERLINK("https://dart.fss.or.kr/dsaf001/main.do?rcpNo=20260615800326", "공시열람")</f>
        <v/>
      </c>
    </row>
    <row r="11348">
      <c r="A11348" s="2" t="inlineStr">
        <is>
          <t>2026-06-15</t>
        </is>
      </c>
      <c r="B11348" s="3" t="inlineStr">
        <is>
          <t>유한양행</t>
        </is>
      </c>
      <c r="C11348" s="2" t="inlineStr">
        <is>
          <t>코스피</t>
        </is>
      </c>
      <c r="D11348" s="2" t="inlineStr">
        <is>
          <t>000100</t>
        </is>
      </c>
      <c r="E11348" s="3" t="inlineStr">
        <is>
          <t>임원ㆍ주요주주특정증권등소유상황보고서</t>
        </is>
      </c>
      <c r="F11348" s="3" t="inlineStr">
        <is>
          <t>김열홍</t>
        </is>
      </c>
      <c r="G11348" s="2" t="inlineStr">
        <is>
          <t>20260615000122</t>
        </is>
      </c>
      <c r="H11348" s="8">
        <f>HYPERLINK("https://dart.fss.or.kr/dsaf001/main.do?rcpNo=20260615000122", "공시열람")</f>
        <v/>
      </c>
    </row>
    <row r="11349">
      <c r="A11349" s="2" t="inlineStr">
        <is>
          <t>2026-06-15</t>
        </is>
      </c>
      <c r="B11349" s="3" t="inlineStr">
        <is>
          <t>맵스리얼티</t>
        </is>
      </c>
      <c r="C11349" s="2" t="inlineStr">
        <is>
          <t>코스피</t>
        </is>
      </c>
      <c r="D11349" s="2" t="inlineStr">
        <is>
          <t>094800</t>
        </is>
      </c>
      <c r="E11349" s="3" t="inlineStr">
        <is>
          <t xml:space="preserve">주주명부폐쇄기간또는기준일설정              </t>
        </is>
      </c>
      <c r="F11349" s="3" t="inlineStr">
        <is>
          <t>맵스리얼티</t>
        </is>
      </c>
      <c r="G11349" s="2" t="inlineStr">
        <is>
          <t>20260615800335</t>
        </is>
      </c>
      <c r="H11349" s="8">
        <f>HYPERLINK("https://dart.fss.or.kr/dsaf001/main.do?rcpNo=20260615800335", "공시열람")</f>
        <v/>
      </c>
    </row>
    <row r="11350">
      <c r="A11350" s="2" t="inlineStr">
        <is>
          <t>2026-06-15</t>
        </is>
      </c>
      <c r="B11350" s="3" t="inlineStr">
        <is>
          <t>녹십자엠에스</t>
        </is>
      </c>
      <c r="C11350" s="2" t="inlineStr">
        <is>
          <t>코스닥</t>
        </is>
      </c>
      <c r="D11350" s="2" t="inlineStr">
        <is>
          <t>142280</t>
        </is>
      </c>
      <c r="E11350" s="3" t="inlineStr">
        <is>
          <t>임원ㆍ주요주주특정증권등소유상황보고서</t>
        </is>
      </c>
      <c r="F11350" s="3" t="inlineStr">
        <is>
          <t>김연근</t>
        </is>
      </c>
      <c r="G11350" s="2" t="inlineStr">
        <is>
          <t>20260615000115</t>
        </is>
      </c>
      <c r="H11350" s="8">
        <f>HYPERLINK("https://dart.fss.or.kr/dsaf001/main.do?rcpNo=20260615000115", "공시열람")</f>
        <v/>
      </c>
    </row>
    <row r="11351">
      <c r="A11351" s="2" t="inlineStr">
        <is>
          <t>2026-06-15</t>
        </is>
      </c>
      <c r="B11351" s="3" t="inlineStr">
        <is>
          <t>드림어스컴퍼니</t>
        </is>
      </c>
      <c r="C11351" s="2" t="inlineStr">
        <is>
          <t>코스닥</t>
        </is>
      </c>
      <c r="D11351" s="2" t="inlineStr">
        <is>
          <t>060570</t>
        </is>
      </c>
      <c r="E11351" s="3" t="inlineStr">
        <is>
          <t>의결권대리행사권유참고서류</t>
        </is>
      </c>
      <c r="F11351" s="3" t="inlineStr">
        <is>
          <t>드림어스컴퍼니</t>
        </is>
      </c>
      <c r="G11351" s="2" t="inlineStr">
        <is>
          <t>20260615000114</t>
        </is>
      </c>
      <c r="H11351" s="8">
        <f>HYPERLINK("https://dart.fss.or.kr/dsaf001/main.do?rcpNo=20260615000114", "공시열람")</f>
        <v/>
      </c>
    </row>
    <row r="11352">
      <c r="A11352" s="2" t="inlineStr">
        <is>
          <t>2026-06-15</t>
        </is>
      </c>
      <c r="B11352" s="3" t="inlineStr">
        <is>
          <t>이씨에스</t>
        </is>
      </c>
      <c r="C11352" s="2" t="inlineStr">
        <is>
          <t>코스닥</t>
        </is>
      </c>
      <c r="D11352" s="2" t="inlineStr">
        <is>
          <t>067010</t>
        </is>
      </c>
      <c r="E11352" s="3" t="inlineStr">
        <is>
          <t>수시공시의무관련사항(공정공시)              (2026년 사업연도 주주환원 정책 안내)</t>
        </is>
      </c>
      <c r="F11352" s="3" t="inlineStr">
        <is>
          <t>이씨에스</t>
        </is>
      </c>
      <c r="G11352" s="2" t="inlineStr">
        <is>
          <t>20260615900332</t>
        </is>
      </c>
      <c r="H11352" s="8">
        <f>HYPERLINK("https://dart.fss.or.kr/dsaf001/main.do?rcpNo=20260615900332", "공시열람")</f>
        <v/>
      </c>
    </row>
    <row r="11353">
      <c r="A11353" s="2" t="inlineStr">
        <is>
          <t>2026-06-15</t>
        </is>
      </c>
      <c r="B11353" s="3" t="inlineStr">
        <is>
          <t>중앙백신</t>
        </is>
      </c>
      <c r="C11353" s="2" t="inlineStr">
        <is>
          <t>코스닥</t>
        </is>
      </c>
      <c r="D11353" s="2" t="inlineStr">
        <is>
          <t>072020</t>
        </is>
      </c>
      <c r="E11353" s="3" t="inlineStr">
        <is>
          <t>임원ㆍ주요주주특정증권등소유상황보고서</t>
        </is>
      </c>
      <c r="F11353" s="3" t="inlineStr">
        <is>
          <t>윤인중</t>
        </is>
      </c>
      <c r="G11353" s="2" t="inlineStr">
        <is>
          <t>20260615000106</t>
        </is>
      </c>
      <c r="H11353" s="8">
        <f>HYPERLINK("https://dart.fss.or.kr/dsaf001/main.do?rcpNo=20260615000106", "공시열람")</f>
        <v/>
      </c>
    </row>
    <row r="11354">
      <c r="A11354" s="2" t="inlineStr">
        <is>
          <t>2026-06-15</t>
        </is>
      </c>
      <c r="B11354" s="3" t="inlineStr">
        <is>
          <t>에코프로비엠</t>
        </is>
      </c>
      <c r="C11354" s="2" t="inlineStr">
        <is>
          <t>코스닥</t>
        </is>
      </c>
      <c r="D11354" s="2" t="inlineStr">
        <is>
          <t>247540</t>
        </is>
      </c>
      <c r="E11354" s="3" t="inlineStr">
        <is>
          <t xml:space="preserve">기업설명회(IR)개최              </t>
        </is>
      </c>
      <c r="F11354" s="3" t="inlineStr">
        <is>
          <t>에코프로비엠</t>
        </is>
      </c>
      <c r="G11354" s="2" t="inlineStr">
        <is>
          <t>20260615900327</t>
        </is>
      </c>
      <c r="H11354" s="8">
        <f>HYPERLINK("https://dart.fss.or.kr/dsaf001/main.do?rcpNo=20260615900327", "공시열람")</f>
        <v/>
      </c>
    </row>
    <row r="11355">
      <c r="A11355" s="2" t="inlineStr">
        <is>
          <t>2026-06-15</t>
        </is>
      </c>
      <c r="B11355" s="3" t="inlineStr">
        <is>
          <t>유아이엘</t>
        </is>
      </c>
      <c r="C11355" s="2" t="inlineStr">
        <is>
          <t>코스닥</t>
        </is>
      </c>
      <c r="D11355" s="2" t="inlineStr">
        <is>
          <t>049520</t>
        </is>
      </c>
      <c r="E11355" s="3" t="inlineStr">
        <is>
          <t xml:space="preserve">중간(분기)배당을위한주주명부폐쇄(기준일)결정              </t>
        </is>
      </c>
      <c r="F11355" s="3" t="inlineStr">
        <is>
          <t>유아이엘</t>
        </is>
      </c>
      <c r="G11355" s="2" t="inlineStr">
        <is>
          <t>20260615900319</t>
        </is>
      </c>
      <c r="H11355" s="8">
        <f>HYPERLINK("https://dart.fss.or.kr/dsaf001/main.do?rcpNo=20260615900319", "공시열람")</f>
        <v/>
      </c>
    </row>
    <row r="11356">
      <c r="A11356" s="2" t="inlineStr">
        <is>
          <t>2026-06-15</t>
        </is>
      </c>
      <c r="B11356" s="3" t="inlineStr">
        <is>
          <t>지역난방공사</t>
        </is>
      </c>
      <c r="C11356" s="2" t="inlineStr">
        <is>
          <t>코스피</t>
        </is>
      </c>
      <c r="D11356" s="2" t="inlineStr">
        <is>
          <t>071320</t>
        </is>
      </c>
      <c r="E11356" s="3" t="inlineStr">
        <is>
          <t>의결권대리행사권유참고서류</t>
        </is>
      </c>
      <c r="F11356" s="3" t="inlineStr">
        <is>
          <t>지역난방공사</t>
        </is>
      </c>
      <c r="G11356" s="2" t="inlineStr">
        <is>
          <t>20260615000103</t>
        </is>
      </c>
      <c r="H11356" s="8">
        <f>HYPERLINK("https://dart.fss.or.kr/dsaf001/main.do?rcpNo=20260615000103", "공시열람")</f>
        <v/>
      </c>
    </row>
    <row r="11357">
      <c r="A11357" s="2" t="inlineStr">
        <is>
          <t>2026-06-15</t>
        </is>
      </c>
      <c r="B11357" s="3" t="inlineStr">
        <is>
          <t>인바이오</t>
        </is>
      </c>
      <c r="C11357" s="2" t="inlineStr">
        <is>
          <t>코스닥</t>
        </is>
      </c>
      <c r="D11357" s="2" t="inlineStr">
        <is>
          <t>352940</t>
        </is>
      </c>
      <c r="E11357" s="3" t="inlineStr">
        <is>
          <t>임원ㆍ주요주주특정증권등소유상황보고서</t>
        </is>
      </c>
      <c r="F11357" s="3" t="inlineStr">
        <is>
          <t>이혁재</t>
        </is>
      </c>
      <c r="G11357" s="2" t="inlineStr">
        <is>
          <t>20260615000099</t>
        </is>
      </c>
      <c r="H11357" s="8">
        <f>HYPERLINK("https://dart.fss.or.kr/dsaf001/main.do?rcpNo=20260615000099", "공시열람")</f>
        <v/>
      </c>
    </row>
    <row r="11358">
      <c r="A11358" s="2" t="inlineStr">
        <is>
          <t>2026-06-15</t>
        </is>
      </c>
      <c r="B11358" s="3" t="inlineStr">
        <is>
          <t>NH투자증권</t>
        </is>
      </c>
      <c r="C11358" s="2" t="inlineStr">
        <is>
          <t>코스피</t>
        </is>
      </c>
      <c r="D11358" s="2" t="inlineStr">
        <is>
          <t>005940</t>
        </is>
      </c>
      <c r="E11358" s="3" t="inlineStr">
        <is>
          <t>일괄신고추가서류(파생결합증권-주가연계증권)</t>
        </is>
      </c>
      <c r="F11358" s="3" t="inlineStr">
        <is>
          <t>NH투자증권</t>
        </is>
      </c>
      <c r="G11358" s="2" t="inlineStr">
        <is>
          <t>20260615000097</t>
        </is>
      </c>
      <c r="H11358" s="8">
        <f>HYPERLINK("https://dart.fss.or.kr/dsaf001/main.do?rcpNo=20260615000097", "공시열람")</f>
        <v/>
      </c>
    </row>
    <row r="11359">
      <c r="A11359" s="2" t="inlineStr">
        <is>
          <t>2026-06-15</t>
        </is>
      </c>
      <c r="B11359" s="3" t="inlineStr">
        <is>
          <t>코이즈</t>
        </is>
      </c>
      <c r="C11359" s="2" t="inlineStr">
        <is>
          <t>코스닥</t>
        </is>
      </c>
      <c r="D11359" s="2" t="inlineStr">
        <is>
          <t>121850</t>
        </is>
      </c>
      <c r="E11359" s="3" t="inlineStr">
        <is>
          <t xml:space="preserve">기업설명회(IR)개최              </t>
        </is>
      </c>
      <c r="F11359" s="3" t="inlineStr">
        <is>
          <t>코이즈</t>
        </is>
      </c>
      <c r="G11359" s="2" t="inlineStr">
        <is>
          <t>20260615900305</t>
        </is>
      </c>
      <c r="H11359" s="8">
        <f>HYPERLINK("https://dart.fss.or.kr/dsaf001/main.do?rcpNo=20260615900305", "공시열람")</f>
        <v/>
      </c>
    </row>
    <row r="11360">
      <c r="A11360" s="2" t="inlineStr">
        <is>
          <t>2026-06-15</t>
        </is>
      </c>
      <c r="B11360" s="3" t="inlineStr">
        <is>
          <t>NH투자증권</t>
        </is>
      </c>
      <c r="C11360" s="2" t="inlineStr">
        <is>
          <t>코스피</t>
        </is>
      </c>
      <c r="D11360" s="2" t="inlineStr">
        <is>
          <t>005940</t>
        </is>
      </c>
      <c r="E11360" s="3" t="inlineStr">
        <is>
          <t>일괄신고추가서류(파생결합사채-주가연계파생결합사채)</t>
        </is>
      </c>
      <c r="F11360" s="3" t="inlineStr">
        <is>
          <t>NH투자증권</t>
        </is>
      </c>
      <c r="G11360" s="2" t="inlineStr">
        <is>
          <t>20260615000096</t>
        </is>
      </c>
      <c r="H11360" s="8">
        <f>HYPERLINK("https://dart.fss.or.kr/dsaf001/main.do?rcpNo=20260615000096", "공시열람")</f>
        <v/>
      </c>
    </row>
    <row r="11361">
      <c r="A11361" s="2" t="inlineStr">
        <is>
          <t>2026-06-15</t>
        </is>
      </c>
      <c r="B11361" s="3" t="inlineStr">
        <is>
          <t>쿼드메디슨</t>
        </is>
      </c>
      <c r="C11361" s="2" t="inlineStr">
        <is>
          <t>코스닥</t>
        </is>
      </c>
      <c r="D11361" s="2" t="inlineStr">
        <is>
          <t>464490</t>
        </is>
      </c>
      <c r="E11361" s="3" t="inlineStr">
        <is>
          <t>임원ㆍ주요주주특정증권등소유상황보고서</t>
        </is>
      </c>
      <c r="F11361" s="3" t="inlineStr">
        <is>
          <t>백승기</t>
        </is>
      </c>
      <c r="G11361" s="2" t="inlineStr">
        <is>
          <t>20260615000089</t>
        </is>
      </c>
      <c r="H11361" s="8">
        <f>HYPERLINK("https://dart.fss.or.kr/dsaf001/main.do?rcpNo=20260615000089", "공시열람")</f>
        <v/>
      </c>
    </row>
    <row r="11362">
      <c r="A11362" s="2" t="inlineStr">
        <is>
          <t>2026-06-15</t>
        </is>
      </c>
      <c r="B11362" s="3" t="inlineStr">
        <is>
          <t>양지사</t>
        </is>
      </c>
      <c r="C11362" s="2" t="inlineStr">
        <is>
          <t>코스닥</t>
        </is>
      </c>
      <c r="D11362" s="2" t="inlineStr">
        <is>
          <t>030960</t>
        </is>
      </c>
      <c r="E11362" s="3" t="inlineStr">
        <is>
          <t xml:space="preserve">주주명부폐쇄기간또는기준일설정              </t>
        </is>
      </c>
      <c r="F11362" s="3" t="inlineStr">
        <is>
          <t>양지사</t>
        </is>
      </c>
      <c r="G11362" s="2" t="inlineStr">
        <is>
          <t>20260615900293</t>
        </is>
      </c>
      <c r="H11362" s="8">
        <f>HYPERLINK("https://dart.fss.or.kr/dsaf001/main.do?rcpNo=20260615900293", "공시열람")</f>
        <v/>
      </c>
    </row>
    <row r="11363">
      <c r="A11363" s="2" t="inlineStr">
        <is>
          <t>2026-06-15</t>
        </is>
      </c>
      <c r="B11363" s="3" t="inlineStr">
        <is>
          <t>씨씨에스</t>
        </is>
      </c>
      <c r="C11363" s="2" t="inlineStr">
        <is>
          <t>코스닥</t>
        </is>
      </c>
      <c r="D11363" s="2" t="inlineStr">
        <is>
          <t>066790</t>
        </is>
      </c>
      <c r="E11363" s="3" t="inlineStr">
        <is>
          <t>[기재정정]의결권대리행사권유참고서류</t>
        </is>
      </c>
      <c r="F11363" s="3" t="inlineStr">
        <is>
          <t>한태원</t>
        </is>
      </c>
      <c r="G11363" s="2" t="inlineStr">
        <is>
          <t>20260615000085</t>
        </is>
      </c>
      <c r="H11363" s="8">
        <f>HYPERLINK("https://dart.fss.or.kr/dsaf001/main.do?rcpNo=20260615000085", "공시열람")</f>
        <v/>
      </c>
    </row>
    <row r="11364">
      <c r="A11364" s="2" t="inlineStr">
        <is>
          <t>2026-06-15</t>
        </is>
      </c>
      <c r="B11364" s="3" t="inlineStr">
        <is>
          <t>교보증권</t>
        </is>
      </c>
      <c r="C11364" s="2" t="inlineStr">
        <is>
          <t>코스피</t>
        </is>
      </c>
      <c r="D11364" s="2" t="inlineStr">
        <is>
          <t>030610</t>
        </is>
      </c>
      <c r="E11364" s="3" t="inlineStr">
        <is>
          <t>투자설명서(일괄신고)</t>
        </is>
      </c>
      <c r="F11364" s="3" t="inlineStr">
        <is>
          <t>교보증권</t>
        </is>
      </c>
      <c r="G11364" s="2" t="inlineStr">
        <is>
          <t>20260615000084</t>
        </is>
      </c>
      <c r="H11364" s="8">
        <f>HYPERLINK("https://dart.fss.or.kr/dsaf001/main.do?rcpNo=20260615000084", "공시열람")</f>
        <v/>
      </c>
    </row>
    <row r="11365">
      <c r="A11365" s="2" t="inlineStr">
        <is>
          <t>2026-06-15 (정정: 2026-06-16)</t>
        </is>
      </c>
      <c r="B11365" s="3" t="inlineStr">
        <is>
          <t>모바일어플라이언스</t>
        </is>
      </c>
      <c r="C11365" s="2" t="inlineStr">
        <is>
          <t>코스닥</t>
        </is>
      </c>
      <c r="D11365" s="2" t="inlineStr">
        <is>
          <t>087260</t>
        </is>
      </c>
      <c r="E11365" s="3" t="inlineStr">
        <is>
          <t>의결권대리행사권유참고서류 (정정: 20260616)</t>
        </is>
      </c>
      <c r="F11365" s="3" t="inlineStr">
        <is>
          <t>모바일어플라이언스</t>
        </is>
      </c>
      <c r="G11365" s="2" t="inlineStr">
        <is>
          <t>20260616000352</t>
        </is>
      </c>
      <c r="H11365" s="8">
        <f>HYPERLINK("https://dart.fss.or.kr/dsaf001/main.do?rcpNo=20260616000352", "공시열람")</f>
        <v/>
      </c>
    </row>
    <row r="11366">
      <c r="A11366" s="2" t="inlineStr">
        <is>
          <t>2026-06-15</t>
        </is>
      </c>
      <c r="B11366" s="3" t="inlineStr">
        <is>
          <t>만호제강</t>
        </is>
      </c>
      <c r="C11366" s="2" t="inlineStr">
        <is>
          <t>코스피</t>
        </is>
      </c>
      <c r="D11366" s="2" t="inlineStr">
        <is>
          <t>001080</t>
        </is>
      </c>
      <c r="E11366" s="3" t="inlineStr">
        <is>
          <t xml:space="preserve">주주명부폐쇄기간또는기준일설정              </t>
        </is>
      </c>
      <c r="F11366" s="3" t="inlineStr">
        <is>
          <t>만호제강</t>
        </is>
      </c>
      <c r="G11366" s="2" t="inlineStr">
        <is>
          <t>20260615800287</t>
        </is>
      </c>
      <c r="H11366" s="8">
        <f>HYPERLINK("https://dart.fss.or.kr/dsaf001/main.do?rcpNo=20260615800287", "공시열람")</f>
        <v/>
      </c>
    </row>
    <row r="11367">
      <c r="A11367" s="2" t="inlineStr">
        <is>
          <t>2026-06-15</t>
        </is>
      </c>
      <c r="B11367" s="3" t="inlineStr">
        <is>
          <t>교보증권</t>
        </is>
      </c>
      <c r="C11367" s="2" t="inlineStr">
        <is>
          <t>코스피</t>
        </is>
      </c>
      <c r="D11367" s="2" t="inlineStr">
        <is>
          <t>030610</t>
        </is>
      </c>
      <c r="E11367" s="3" t="inlineStr">
        <is>
          <t>투자설명서(일괄신고)</t>
        </is>
      </c>
      <c r="F11367" s="3" t="inlineStr">
        <is>
          <t>교보증권</t>
        </is>
      </c>
      <c r="G11367" s="2" t="inlineStr">
        <is>
          <t>20260615000080</t>
        </is>
      </c>
      <c r="H11367" s="8">
        <f>HYPERLINK("https://dart.fss.or.kr/dsaf001/main.do?rcpNo=20260615000080", "공시열람")</f>
        <v/>
      </c>
    </row>
    <row r="11368">
      <c r="A11368" s="2" t="inlineStr">
        <is>
          <t>2026-06-15 (정정: 2026-06-24)</t>
        </is>
      </c>
      <c r="B11368" s="3" t="inlineStr">
        <is>
          <t>한세엠케이</t>
        </is>
      </c>
      <c r="C11368" s="2" t="inlineStr">
        <is>
          <t>코스피</t>
        </is>
      </c>
      <c r="D11368" s="2" t="inlineStr">
        <is>
          <t>069640</t>
        </is>
      </c>
      <c r="E11368" s="3" t="inlineStr">
        <is>
          <t>임원ㆍ주요주주특정증권등거래계획보고서 (정정: 20260624)</t>
        </is>
      </c>
      <c r="F11368" s="3" t="inlineStr">
        <is>
          <t>조영수</t>
        </is>
      </c>
      <c r="G11368" s="2" t="inlineStr">
        <is>
          <t>20260624000405</t>
        </is>
      </c>
      <c r="H11368" s="8">
        <f>HYPERLINK("https://dart.fss.or.kr/dsaf001/main.do?rcpNo=20260624000405", "공시열람")</f>
        <v/>
      </c>
    </row>
    <row r="11369">
      <c r="A11369" s="2" t="inlineStr">
        <is>
          <t>2026-06-15</t>
        </is>
      </c>
      <c r="B11369" s="3" t="inlineStr">
        <is>
          <t>포시에스</t>
        </is>
      </c>
      <c r="C11369" s="2" t="inlineStr">
        <is>
          <t>코스닥</t>
        </is>
      </c>
      <c r="D11369" s="2" t="inlineStr">
        <is>
          <t>189690</t>
        </is>
      </c>
      <c r="E11369" s="3" t="inlineStr">
        <is>
          <t xml:space="preserve">주주명부폐쇄기간또는기준일설정              </t>
        </is>
      </c>
      <c r="F11369" s="3" t="inlineStr">
        <is>
          <t>포시에스</t>
        </is>
      </c>
      <c r="G11369" s="2" t="inlineStr">
        <is>
          <t>20260615900282</t>
        </is>
      </c>
      <c r="H11369" s="8">
        <f>HYPERLINK("https://dart.fss.or.kr/dsaf001/main.do?rcpNo=20260615900282", "공시열람")</f>
        <v/>
      </c>
    </row>
    <row r="11370">
      <c r="A11370" s="2" t="inlineStr">
        <is>
          <t>2026-06-15</t>
        </is>
      </c>
      <c r="B11370" s="3" t="inlineStr">
        <is>
          <t>올릭스</t>
        </is>
      </c>
      <c r="C11370" s="2" t="inlineStr">
        <is>
          <t>코스닥</t>
        </is>
      </c>
      <c r="D11370" s="2" t="inlineStr">
        <is>
          <t>226950</t>
        </is>
      </c>
      <c r="E11370" s="3" t="inlineStr">
        <is>
          <t xml:space="preserve">기업설명회(IR)개최              </t>
        </is>
      </c>
      <c r="F11370" s="3" t="inlineStr">
        <is>
          <t>올릭스</t>
        </is>
      </c>
      <c r="G11370" s="2" t="inlineStr">
        <is>
          <t>20260615900281</t>
        </is>
      </c>
      <c r="H11370" s="8">
        <f>HYPERLINK("https://dart.fss.or.kr/dsaf001/main.do?rcpNo=20260615900281", "공시열람")</f>
        <v/>
      </c>
    </row>
    <row r="11371">
      <c r="A11371" s="2" t="inlineStr">
        <is>
          <t>2026-06-15 (정정: 2026-06-17)</t>
        </is>
      </c>
      <c r="B11371" s="3" t="inlineStr">
        <is>
          <t>포스코퓨처엠</t>
        </is>
      </c>
      <c r="C11371" s="2" t="inlineStr">
        <is>
          <t>코스피</t>
        </is>
      </c>
      <c r="D11371" s="2" t="inlineStr">
        <is>
          <t>003670</t>
        </is>
      </c>
      <c r="E11371" s="3" t="inlineStr">
        <is>
          <t>기업설명회(IR)개최(안내공시)               (정정: 20260617)</t>
        </is>
      </c>
      <c r="F11371" s="3" t="inlineStr">
        <is>
          <t>포스코퓨처엠</t>
        </is>
      </c>
      <c r="G11371" s="2" t="inlineStr">
        <is>
          <t>20260617000052</t>
        </is>
      </c>
      <c r="H11371" s="8">
        <f>HYPERLINK("https://dart.fss.or.kr/dsaf001/main.do?rcpNo=20260617000052", "공시열람")</f>
        <v/>
      </c>
    </row>
    <row r="11372">
      <c r="A11372" s="2" t="inlineStr">
        <is>
          <t>2026-06-15</t>
        </is>
      </c>
      <c r="B11372" s="3" t="inlineStr">
        <is>
          <t>교보증권</t>
        </is>
      </c>
      <c r="C11372" s="2" t="inlineStr">
        <is>
          <t>코스피</t>
        </is>
      </c>
      <c r="D11372" s="2" t="inlineStr">
        <is>
          <t>030610</t>
        </is>
      </c>
      <c r="E11372" s="3" t="inlineStr">
        <is>
          <t>일괄신고추가서류(파생결합사채-주가연계파생결합사채)</t>
        </is>
      </c>
      <c r="F11372" s="3" t="inlineStr">
        <is>
          <t>교보증권</t>
        </is>
      </c>
      <c r="G11372" s="2" t="inlineStr">
        <is>
          <t>20260615000075</t>
        </is>
      </c>
      <c r="H11372" s="8">
        <f>HYPERLINK("https://dart.fss.or.kr/dsaf001/main.do?rcpNo=20260615000075", "공시열람")</f>
        <v/>
      </c>
    </row>
    <row r="11373">
      <c r="A11373" s="2" t="inlineStr">
        <is>
          <t>2026-06-15</t>
        </is>
      </c>
      <c r="B11373" s="3" t="inlineStr">
        <is>
          <t>지역난방공사</t>
        </is>
      </c>
      <c r="C11373" s="2" t="inlineStr">
        <is>
          <t>코스피</t>
        </is>
      </c>
      <c r="D11373" s="2" t="inlineStr">
        <is>
          <t>071320</t>
        </is>
      </c>
      <c r="E11373" s="3" t="inlineStr">
        <is>
          <t xml:space="preserve">주주명부폐쇄기간또는기준일설정              </t>
        </is>
      </c>
      <c r="F11373" s="3" t="inlineStr">
        <is>
          <t>지역난방공사</t>
        </is>
      </c>
      <c r="G11373" s="2" t="inlineStr">
        <is>
          <t>20260615800260</t>
        </is>
      </c>
      <c r="H11373" s="8">
        <f>HYPERLINK("https://dart.fss.or.kr/dsaf001/main.do?rcpNo=20260615800260", "공시열람")</f>
        <v/>
      </c>
    </row>
    <row r="11374">
      <c r="A11374" s="2" t="inlineStr">
        <is>
          <t>2026-06-15</t>
        </is>
      </c>
      <c r="B11374" s="3" t="inlineStr">
        <is>
          <t>지역난방공사</t>
        </is>
      </c>
      <c r="C11374" s="2" t="inlineStr">
        <is>
          <t>코스피</t>
        </is>
      </c>
      <c r="D11374" s="2" t="inlineStr">
        <is>
          <t>071320</t>
        </is>
      </c>
      <c r="E11374" s="3" t="inlineStr">
        <is>
          <t xml:space="preserve">주주명부폐쇄기간또는기준일설정              </t>
        </is>
      </c>
      <c r="F11374" s="3" t="inlineStr">
        <is>
          <t>지역난방공사</t>
        </is>
      </c>
      <c r="G11374" s="2" t="inlineStr">
        <is>
          <t>20260615800257</t>
        </is>
      </c>
      <c r="H11374" s="8">
        <f>HYPERLINK("https://dart.fss.or.kr/dsaf001/main.do?rcpNo=20260615800257", "공시열람")</f>
        <v/>
      </c>
    </row>
    <row r="11375">
      <c r="A11375" s="2" t="inlineStr">
        <is>
          <t>2026-06-15</t>
        </is>
      </c>
      <c r="B11375" s="3" t="inlineStr">
        <is>
          <t>메이슨캐피탈</t>
        </is>
      </c>
      <c r="C11375" s="2" t="inlineStr">
        <is>
          <t>코스닥</t>
        </is>
      </c>
      <c r="D11375" s="2" t="inlineStr">
        <is>
          <t>021880</t>
        </is>
      </c>
      <c r="E11375" s="3" t="inlineStr">
        <is>
          <t xml:space="preserve">감자완료              </t>
        </is>
      </c>
      <c r="F11375" s="3" t="inlineStr">
        <is>
          <t>메이슨캐피탈</t>
        </is>
      </c>
      <c r="G11375" s="2" t="inlineStr">
        <is>
          <t>20260615900266</t>
        </is>
      </c>
      <c r="H11375" s="8">
        <f>HYPERLINK("https://dart.fss.or.kr/dsaf001/main.do?rcpNo=20260615900266", "공시열람")</f>
        <v/>
      </c>
    </row>
    <row r="11376">
      <c r="A11376" s="2" t="inlineStr">
        <is>
          <t>2026-06-15 (정정: 2026-06-26)</t>
        </is>
      </c>
      <c r="B11376" s="3" t="inlineStr">
        <is>
          <t>인터로조</t>
        </is>
      </c>
      <c r="C11376" s="2" t="inlineStr">
        <is>
          <t>코스닥</t>
        </is>
      </c>
      <c r="D11376" s="2" t="inlineStr">
        <is>
          <t>119610</t>
        </is>
      </c>
      <c r="E11376" s="3" t="inlineStr">
        <is>
          <t>임원ㆍ주요주주특정증권등소유상황보고서 (정정: 20260626)</t>
        </is>
      </c>
      <c r="F11376" s="3" t="inlineStr">
        <is>
          <t>김용직</t>
        </is>
      </c>
      <c r="G11376" s="2" t="inlineStr">
        <is>
          <t>20260626900716</t>
        </is>
      </c>
      <c r="H11376" s="8">
        <f>HYPERLINK("https://dart.fss.or.kr/dsaf001/main.do?rcpNo=20260626900716", "공시열람")</f>
        <v/>
      </c>
    </row>
    <row r="11377">
      <c r="A11377" s="2" t="inlineStr">
        <is>
          <t>2026-06-15</t>
        </is>
      </c>
      <c r="B11377" s="3" t="inlineStr">
        <is>
          <t>제노레이</t>
        </is>
      </c>
      <c r="C11377" s="2" t="inlineStr">
        <is>
          <t>코스닥</t>
        </is>
      </c>
      <c r="D11377" s="2" t="inlineStr">
        <is>
          <t>122310</t>
        </is>
      </c>
      <c r="E11377" s="3" t="inlineStr">
        <is>
          <t xml:space="preserve">중간(분기)배당을위한주주명부폐쇄(기준일)결정              </t>
        </is>
      </c>
      <c r="F11377" s="3" t="inlineStr">
        <is>
          <t>제노레이</t>
        </is>
      </c>
      <c r="G11377" s="2" t="inlineStr">
        <is>
          <t>20260615900259</t>
        </is>
      </c>
      <c r="H11377" s="8">
        <f>HYPERLINK("https://dart.fss.or.kr/dsaf001/main.do?rcpNo=20260615900259", "공시열람")</f>
        <v/>
      </c>
    </row>
    <row r="11378">
      <c r="A11378" s="2" t="inlineStr">
        <is>
          <t>2026-06-15</t>
        </is>
      </c>
      <c r="B11378" s="3" t="inlineStr">
        <is>
          <t>롯데에너지머티리얼즈</t>
        </is>
      </c>
      <c r="C11378" s="2" t="inlineStr">
        <is>
          <t>코스피</t>
        </is>
      </c>
      <c r="D11378" s="2" t="inlineStr">
        <is>
          <t>020150</t>
        </is>
      </c>
      <c r="E11378" s="3" t="inlineStr">
        <is>
          <t xml:space="preserve">기업설명회(IR)개최(안내공시)              </t>
        </is>
      </c>
      <c r="F11378" s="3" t="inlineStr">
        <is>
          <t>롯데에너지머티리얼즈</t>
        </is>
      </c>
      <c r="G11378" s="2" t="inlineStr">
        <is>
          <t>20260615800254</t>
        </is>
      </c>
      <c r="H11378" s="8">
        <f>HYPERLINK("https://dart.fss.or.kr/dsaf001/main.do?rcpNo=20260615800254", "공시열람")</f>
        <v/>
      </c>
    </row>
    <row r="11379">
      <c r="A11379" s="2" t="inlineStr">
        <is>
          <t>2026-06-15</t>
        </is>
      </c>
      <c r="B11379" s="3" t="inlineStr">
        <is>
          <t>이엘피</t>
        </is>
      </c>
      <c r="C11379" s="2" t="inlineStr">
        <is>
          <t>코스닥</t>
        </is>
      </c>
      <c r="D11379" s="2" t="inlineStr">
        <is>
          <t>063760</t>
        </is>
      </c>
      <c r="E11379" s="3" t="inlineStr">
        <is>
          <t xml:space="preserve">중간(분기)배당을위한주주명부폐쇄(기준일)결정              </t>
        </is>
      </c>
      <c r="F11379" s="3" t="inlineStr">
        <is>
          <t>이엘피</t>
        </is>
      </c>
      <c r="G11379" s="2" t="inlineStr">
        <is>
          <t>20260615900253</t>
        </is>
      </c>
      <c r="H11379" s="8">
        <f>HYPERLINK("https://dart.fss.or.kr/dsaf001/main.do?rcpNo=20260615900253", "공시열람")</f>
        <v/>
      </c>
    </row>
    <row r="11380">
      <c r="A11380" s="2" t="inlineStr">
        <is>
          <t>2026-06-15</t>
        </is>
      </c>
      <c r="B11380" s="3" t="inlineStr">
        <is>
          <t>롯데정밀화학</t>
        </is>
      </c>
      <c r="C11380" s="2" t="inlineStr">
        <is>
          <t>코스피</t>
        </is>
      </c>
      <c r="D11380" s="2" t="inlineStr">
        <is>
          <t>004000</t>
        </is>
      </c>
      <c r="E11380" s="3" t="inlineStr">
        <is>
          <t xml:space="preserve">기업설명회(IR)개최(안내공시)              </t>
        </is>
      </c>
      <c r="F11380" s="3" t="inlineStr">
        <is>
          <t>롯데정밀화학</t>
        </is>
      </c>
      <c r="G11380" s="2" t="inlineStr">
        <is>
          <t>20260615800250</t>
        </is>
      </c>
      <c r="H11380" s="8">
        <f>HYPERLINK("https://dart.fss.or.kr/dsaf001/main.do?rcpNo=20260615800250", "공시열람")</f>
        <v/>
      </c>
    </row>
    <row r="11381">
      <c r="A11381" s="2" t="inlineStr">
        <is>
          <t>2026-06-15</t>
        </is>
      </c>
      <c r="B11381" s="3" t="inlineStr">
        <is>
          <t>한국콜마</t>
        </is>
      </c>
      <c r="C11381" s="2" t="inlineStr">
        <is>
          <t>코스피</t>
        </is>
      </c>
      <c r="D11381" s="2" t="inlineStr">
        <is>
          <t>161890</t>
        </is>
      </c>
      <c r="E11381" s="3" t="inlineStr">
        <is>
          <t xml:space="preserve">기업설명회(IR)개최(안내공시)              </t>
        </is>
      </c>
      <c r="F11381" s="3" t="inlineStr">
        <is>
          <t>한국콜마</t>
        </is>
      </c>
      <c r="G11381" s="2" t="inlineStr">
        <is>
          <t>20260615800249</t>
        </is>
      </c>
      <c r="H11381" s="8">
        <f>HYPERLINK("https://dart.fss.or.kr/dsaf001/main.do?rcpNo=20260615800249", "공시열람")</f>
        <v/>
      </c>
    </row>
    <row r="11382">
      <c r="A11382" s="2" t="inlineStr">
        <is>
          <t>2026-06-15</t>
        </is>
      </c>
      <c r="B11382" s="3" t="inlineStr">
        <is>
          <t>코스모화학</t>
        </is>
      </c>
      <c r="C11382" s="2" t="inlineStr">
        <is>
          <t>코스피</t>
        </is>
      </c>
      <c r="D11382" s="2" t="inlineStr">
        <is>
          <t>005420</t>
        </is>
      </c>
      <c r="E11382" s="3" t="inlineStr">
        <is>
          <t>임원ㆍ주요주주특정증권등소유상황보고서</t>
        </is>
      </c>
      <c r="F11382" s="3" t="inlineStr">
        <is>
          <t>신동구</t>
        </is>
      </c>
      <c r="G11382" s="2" t="inlineStr">
        <is>
          <t>20260615000059</t>
        </is>
      </c>
      <c r="H11382" s="8">
        <f>HYPERLINK("https://dart.fss.or.kr/dsaf001/main.do?rcpNo=20260615000059", "공시열람")</f>
        <v/>
      </c>
    </row>
    <row r="11383">
      <c r="A11383" s="2" t="inlineStr">
        <is>
          <t>2026-06-15</t>
        </is>
      </c>
      <c r="B11383" s="3" t="inlineStr">
        <is>
          <t>HLB</t>
        </is>
      </c>
      <c r="C11383" s="2" t="inlineStr">
        <is>
          <t>코스닥</t>
        </is>
      </c>
      <c r="D11383" s="2" t="inlineStr">
        <is>
          <t>028300</t>
        </is>
      </c>
      <c r="E11383" s="3" t="inlineStr">
        <is>
          <t xml:space="preserve">기업설명회(IR)개최              </t>
        </is>
      </c>
      <c r="F11383" s="3" t="inlineStr">
        <is>
          <t>HLB</t>
        </is>
      </c>
      <c r="G11383" s="2" t="inlineStr">
        <is>
          <t>20260615900239</t>
        </is>
      </c>
      <c r="H11383" s="8">
        <f>HYPERLINK("https://dart.fss.or.kr/dsaf001/main.do?rcpNo=20260615900239", "공시열람")</f>
        <v/>
      </c>
    </row>
    <row r="11384">
      <c r="A11384" s="2" t="inlineStr">
        <is>
          <t>2026-06-15</t>
        </is>
      </c>
      <c r="B11384" s="3" t="inlineStr">
        <is>
          <t>신흥</t>
        </is>
      </c>
      <c r="C11384" s="2" t="inlineStr">
        <is>
          <t>코스피</t>
        </is>
      </c>
      <c r="D11384" s="2" t="inlineStr">
        <is>
          <t>004080</t>
        </is>
      </c>
      <c r="E11384" s="3" t="inlineStr">
        <is>
          <t xml:space="preserve">현금ㆍ현물배당을위한주주명부폐쇄(기준일)결정              </t>
        </is>
      </c>
      <c r="F11384" s="3" t="inlineStr">
        <is>
          <t>신흥</t>
        </is>
      </c>
      <c r="G11384" s="2" t="inlineStr">
        <is>
          <t>20260615800236</t>
        </is>
      </c>
      <c r="H11384" s="8">
        <f>HYPERLINK("https://dart.fss.or.kr/dsaf001/main.do?rcpNo=20260615800236", "공시열람")</f>
        <v/>
      </c>
    </row>
    <row r="11385">
      <c r="A11385" s="2" t="inlineStr">
        <is>
          <t>2026-06-15</t>
        </is>
      </c>
      <c r="B11385" s="3" t="inlineStr">
        <is>
          <t>삼화왕관</t>
        </is>
      </c>
      <c r="C11385" s="2" t="inlineStr">
        <is>
          <t>코스피</t>
        </is>
      </c>
      <c r="D11385" s="2" t="inlineStr">
        <is>
          <t>004450</t>
        </is>
      </c>
      <c r="E11385" s="3" t="inlineStr">
        <is>
          <t xml:space="preserve">현금ㆍ현물배당을위한주주명부폐쇄(기준일)결정              </t>
        </is>
      </c>
      <c r="F11385" s="3" t="inlineStr">
        <is>
          <t>삼화왕관</t>
        </is>
      </c>
      <c r="G11385" s="2" t="inlineStr">
        <is>
          <t>20260615800235</t>
        </is>
      </c>
      <c r="H11385" s="8">
        <f>HYPERLINK("https://dart.fss.or.kr/dsaf001/main.do?rcpNo=20260615800235", "공시열람")</f>
        <v/>
      </c>
    </row>
    <row r="11386">
      <c r="A11386" s="2" t="inlineStr">
        <is>
          <t>2026-06-15</t>
        </is>
      </c>
      <c r="B11386" s="3" t="inlineStr">
        <is>
          <t>퀀타매트릭스</t>
        </is>
      </c>
      <c r="C11386" s="2" t="inlineStr">
        <is>
          <t>코스닥</t>
        </is>
      </c>
      <c r="D11386" s="2" t="inlineStr">
        <is>
          <t>317690</t>
        </is>
      </c>
      <c r="E11386" s="3" t="inlineStr">
        <is>
          <t xml:space="preserve">기업설명회(IR)개최              </t>
        </is>
      </c>
      <c r="F11386" s="3" t="inlineStr">
        <is>
          <t>퀀타매트릭스</t>
        </is>
      </c>
      <c r="G11386" s="2" t="inlineStr">
        <is>
          <t>20260615900228</t>
        </is>
      </c>
      <c r="H11386" s="8">
        <f>HYPERLINK("https://dart.fss.or.kr/dsaf001/main.do?rcpNo=20260615900228", "공시열람")</f>
        <v/>
      </c>
    </row>
    <row r="11387">
      <c r="A11387" s="2" t="inlineStr">
        <is>
          <t>2026-06-15</t>
        </is>
      </c>
      <c r="B11387" s="3" t="inlineStr">
        <is>
          <t>피스피스스튜디오</t>
        </is>
      </c>
      <c r="C11387" s="2" t="inlineStr">
        <is>
          <t>코스닥</t>
        </is>
      </c>
      <c r="D11387" s="2" t="inlineStr">
        <is>
          <t>0117P0</t>
        </is>
      </c>
      <c r="E11387" s="3" t="inlineStr">
        <is>
          <t>임원ㆍ주요주주특정증권등소유상황보고서</t>
        </is>
      </c>
      <c r="F11387" s="3" t="inlineStr">
        <is>
          <t>이수현</t>
        </is>
      </c>
      <c r="G11387" s="2" t="inlineStr">
        <is>
          <t>20260615000051</t>
        </is>
      </c>
      <c r="H11387" s="8">
        <f>HYPERLINK("https://dart.fss.or.kr/dsaf001/main.do?rcpNo=20260615000051", "공시열람")</f>
        <v/>
      </c>
    </row>
    <row r="11388">
      <c r="A11388" s="2" t="inlineStr">
        <is>
          <t>2026-06-15</t>
        </is>
      </c>
      <c r="B11388" s="3" t="inlineStr">
        <is>
          <t>에너토크</t>
        </is>
      </c>
      <c r="C11388" s="2" t="inlineStr">
        <is>
          <t>코스닥</t>
        </is>
      </c>
      <c r="D11388" s="2" t="inlineStr">
        <is>
          <t>019990</t>
        </is>
      </c>
      <c r="E11388" s="3" t="inlineStr">
        <is>
          <t>임원ㆍ주요주주특정증권등소유상황보고서</t>
        </is>
      </c>
      <c r="F11388" s="3" t="inlineStr">
        <is>
          <t>이충열</t>
        </is>
      </c>
      <c r="G11388" s="2" t="inlineStr">
        <is>
          <t>20260615000048</t>
        </is>
      </c>
      <c r="H11388" s="8">
        <f>HYPERLINK("https://dart.fss.or.kr/dsaf001/main.do?rcpNo=20260615000048", "공시열람")</f>
        <v/>
      </c>
    </row>
    <row r="11389">
      <c r="A11389" s="2" t="inlineStr">
        <is>
          <t>2026-06-15</t>
        </is>
      </c>
      <c r="B11389" s="3" t="inlineStr">
        <is>
          <t>피스피스스튜디오</t>
        </is>
      </c>
      <c r="C11389" s="2" t="inlineStr">
        <is>
          <t>코스닥</t>
        </is>
      </c>
      <c r="D11389" s="2" t="inlineStr">
        <is>
          <t>0117P0</t>
        </is>
      </c>
      <c r="E11389" s="3" t="inlineStr">
        <is>
          <t>임원ㆍ주요주주특정증권등소유상황보고서</t>
        </is>
      </c>
      <c r="F11389" s="3" t="inlineStr">
        <is>
          <t>서승완</t>
        </is>
      </c>
      <c r="G11389" s="2" t="inlineStr">
        <is>
          <t>20260615000041</t>
        </is>
      </c>
      <c r="H11389" s="8">
        <f>HYPERLINK("https://dart.fss.or.kr/dsaf001/main.do?rcpNo=20260615000041", "공시열람")</f>
        <v/>
      </c>
    </row>
    <row r="11390">
      <c r="A11390" s="2" t="inlineStr">
        <is>
          <t>2026-06-15</t>
        </is>
      </c>
      <c r="B11390" s="3" t="inlineStr">
        <is>
          <t>피스피스스튜디오</t>
        </is>
      </c>
      <c r="C11390" s="2" t="inlineStr">
        <is>
          <t>코스닥</t>
        </is>
      </c>
      <c r="D11390" s="2" t="inlineStr">
        <is>
          <t>0117P0</t>
        </is>
      </c>
      <c r="E11390" s="3" t="inlineStr">
        <is>
          <t>임원ㆍ주요주주특정증권등소유상황보고서</t>
        </is>
      </c>
      <c r="F11390" s="3" t="inlineStr">
        <is>
          <t>박화목</t>
        </is>
      </c>
      <c r="G11390" s="2" t="inlineStr">
        <is>
          <t>20260615000039</t>
        </is>
      </c>
      <c r="H11390" s="8">
        <f>HYPERLINK("https://dart.fss.or.kr/dsaf001/main.do?rcpNo=20260615000039", "공시열람")</f>
        <v/>
      </c>
    </row>
    <row r="11391">
      <c r="A11391" s="2" t="inlineStr">
        <is>
          <t>2026-06-15</t>
        </is>
      </c>
      <c r="B11391" s="3" t="inlineStr">
        <is>
          <t>미래에셋증권</t>
        </is>
      </c>
      <c r="C11391" s="2" t="inlineStr">
        <is>
          <t>코스피</t>
        </is>
      </c>
      <c r="D11391" s="2" t="inlineStr">
        <is>
          <t>006800</t>
        </is>
      </c>
      <c r="E11391" s="3" t="inlineStr">
        <is>
          <t>증권발행실적보고서</t>
        </is>
      </c>
      <c r="F11391" s="3" t="inlineStr">
        <is>
          <t>미래에셋증권</t>
        </is>
      </c>
      <c r="G11391" s="2" t="inlineStr">
        <is>
          <t>20260615000033</t>
        </is>
      </c>
      <c r="H11391" s="8">
        <f>HYPERLINK("https://dart.fss.or.kr/dsaf001/main.do?rcpNo=20260615000033", "공시열람")</f>
        <v/>
      </c>
    </row>
    <row r="11392">
      <c r="A11392" s="2" t="inlineStr">
        <is>
          <t>2026-06-15</t>
        </is>
      </c>
      <c r="B11392" s="3" t="inlineStr">
        <is>
          <t>미래에셋증권</t>
        </is>
      </c>
      <c r="C11392" s="2" t="inlineStr">
        <is>
          <t>코스피</t>
        </is>
      </c>
      <c r="D11392" s="2" t="inlineStr">
        <is>
          <t>006800</t>
        </is>
      </c>
      <c r="E11392" s="3" t="inlineStr">
        <is>
          <t>증권발행실적보고서</t>
        </is>
      </c>
      <c r="F11392" s="3" t="inlineStr">
        <is>
          <t>미래에셋증권</t>
        </is>
      </c>
      <c r="G11392" s="2" t="inlineStr">
        <is>
          <t>20260615000032</t>
        </is>
      </c>
      <c r="H11392" s="8">
        <f>HYPERLINK("https://dart.fss.or.kr/dsaf001/main.do?rcpNo=20260615000032", "공시열람")</f>
        <v/>
      </c>
    </row>
    <row r="11393">
      <c r="A11393" s="2" t="inlineStr">
        <is>
          <t>2026-06-15</t>
        </is>
      </c>
      <c r="B11393" s="3" t="inlineStr">
        <is>
          <t>교보증권</t>
        </is>
      </c>
      <c r="C11393" s="2" t="inlineStr">
        <is>
          <t>코스피</t>
        </is>
      </c>
      <c r="D11393" s="2" t="inlineStr">
        <is>
          <t>030610</t>
        </is>
      </c>
      <c r="E11393" s="3" t="inlineStr">
        <is>
          <t>일괄신고추가서류(파생결합사채-주가연계파생결합사채)</t>
        </is>
      </c>
      <c r="F11393" s="3" t="inlineStr">
        <is>
          <t>교보증권</t>
        </is>
      </c>
      <c r="G11393" s="2" t="inlineStr">
        <is>
          <t>20260615000016</t>
        </is>
      </c>
      <c r="H11393" s="8">
        <f>HYPERLINK("https://dart.fss.or.kr/dsaf001/main.do?rcpNo=20260615000016", "공시열람")</f>
        <v/>
      </c>
    </row>
    <row r="11394">
      <c r="A11394" s="2" t="inlineStr">
        <is>
          <t>2026-06-15</t>
        </is>
      </c>
      <c r="B11394" s="3" t="inlineStr">
        <is>
          <t>SDN</t>
        </is>
      </c>
      <c r="C11394" s="2" t="inlineStr">
        <is>
          <t>코스닥</t>
        </is>
      </c>
      <c r="D11394" s="2" t="inlineStr">
        <is>
          <t>099220</t>
        </is>
      </c>
      <c r="E11394" s="3" t="inlineStr">
        <is>
          <t>임원ㆍ주요주주특정증권등소유상황보고서</t>
        </is>
      </c>
      <c r="F11394" s="3" t="inlineStr">
        <is>
          <t>최기혁</t>
        </is>
      </c>
      <c r="G11394" s="2" t="inlineStr">
        <is>
          <t>20260615000014</t>
        </is>
      </c>
      <c r="H11394" s="8">
        <f>HYPERLINK("https://dart.fss.or.kr/dsaf001/main.do?rcpNo=20260615000014", "공시열람")</f>
        <v/>
      </c>
    </row>
    <row r="11395">
      <c r="A11395" s="2" t="inlineStr">
        <is>
          <t>2026-06-15</t>
        </is>
      </c>
      <c r="B11395" s="3" t="inlineStr">
        <is>
          <t>현대차증권</t>
        </is>
      </c>
      <c r="C11395" s="2" t="inlineStr">
        <is>
          <t>코스피</t>
        </is>
      </c>
      <c r="D11395" s="2" t="inlineStr">
        <is>
          <t>001500</t>
        </is>
      </c>
      <c r="E11395" s="3" t="inlineStr">
        <is>
          <t>증권발행실적보고서</t>
        </is>
      </c>
      <c r="F11395" s="3" t="inlineStr">
        <is>
          <t>현대차증권</t>
        </is>
      </c>
      <c r="G11395" s="2" t="inlineStr">
        <is>
          <t>20260615000013</t>
        </is>
      </c>
      <c r="H11395" s="8">
        <f>HYPERLINK("https://dart.fss.or.kr/dsaf001/main.do?rcpNo=20260615000013", "공시열람")</f>
        <v/>
      </c>
    </row>
    <row r="11396">
      <c r="A11396" s="2" t="inlineStr">
        <is>
          <t>2026-06-15</t>
        </is>
      </c>
      <c r="B11396" s="3" t="inlineStr">
        <is>
          <t>SNT홀딩스</t>
        </is>
      </c>
      <c r="C11396" s="2" t="inlineStr">
        <is>
          <t>코스피</t>
        </is>
      </c>
      <c r="D11396" s="2" t="inlineStr">
        <is>
          <t>036530</t>
        </is>
      </c>
      <c r="E11396" s="3" t="inlineStr">
        <is>
          <t xml:space="preserve">주주명부폐쇄기간또는기준일설정              </t>
        </is>
      </c>
      <c r="F11396" s="3" t="inlineStr">
        <is>
          <t>SNT홀딩스</t>
        </is>
      </c>
      <c r="G11396" s="2" t="inlineStr">
        <is>
          <t>20260615800170</t>
        </is>
      </c>
      <c r="H11396" s="8">
        <f>HYPERLINK("https://dart.fss.or.kr/dsaf001/main.do?rcpNo=20260615800170", "공시열람")</f>
        <v/>
      </c>
    </row>
    <row r="11397">
      <c r="A11397" s="2" t="inlineStr">
        <is>
          <t>2026-06-15</t>
        </is>
      </c>
      <c r="B11397" s="3" t="inlineStr">
        <is>
          <t>SNT모티브</t>
        </is>
      </c>
      <c r="C11397" s="2" t="inlineStr">
        <is>
          <t>코스피</t>
        </is>
      </c>
      <c r="D11397" s="2" t="inlineStr">
        <is>
          <t>064960</t>
        </is>
      </c>
      <c r="E11397" s="3" t="inlineStr">
        <is>
          <t xml:space="preserve">주주명부폐쇄기간또는기준일설정              </t>
        </is>
      </c>
      <c r="F11397" s="3" t="inlineStr">
        <is>
          <t>SNT모티브</t>
        </is>
      </c>
      <c r="G11397" s="2" t="inlineStr">
        <is>
          <t>20260615800148</t>
        </is>
      </c>
      <c r="H11397" s="8">
        <f>HYPERLINK("https://dart.fss.or.kr/dsaf001/main.do?rcpNo=20260615800148", "공시열람")</f>
        <v/>
      </c>
    </row>
    <row r="11398">
      <c r="A11398" s="2" t="inlineStr">
        <is>
          <t>2026-06-15</t>
        </is>
      </c>
      <c r="B11398" s="3" t="inlineStr">
        <is>
          <t>SNT에너지</t>
        </is>
      </c>
      <c r="C11398" s="2" t="inlineStr">
        <is>
          <t>코스피</t>
        </is>
      </c>
      <c r="D11398" s="2" t="inlineStr">
        <is>
          <t>100840</t>
        </is>
      </c>
      <c r="E11398" s="3" t="inlineStr">
        <is>
          <t xml:space="preserve">주주명부폐쇄기간또는기준일설정              </t>
        </is>
      </c>
      <c r="F11398" s="3" t="inlineStr">
        <is>
          <t>SNT에너지</t>
        </is>
      </c>
      <c r="G11398" s="2" t="inlineStr">
        <is>
          <t>20260615800147</t>
        </is>
      </c>
      <c r="H11398" s="8">
        <f>HYPERLINK("https://dart.fss.or.kr/dsaf001/main.do?rcpNo=20260615800147", "공시열람")</f>
        <v/>
      </c>
    </row>
    <row r="11399">
      <c r="A11399" s="2" t="inlineStr">
        <is>
          <t>2026-06-15</t>
        </is>
      </c>
      <c r="B11399" s="3" t="inlineStr">
        <is>
          <t>SNT다이내믹스</t>
        </is>
      </c>
      <c r="C11399" s="2" t="inlineStr">
        <is>
          <t>코스피</t>
        </is>
      </c>
      <c r="D11399" s="2" t="inlineStr">
        <is>
          <t>003570</t>
        </is>
      </c>
      <c r="E11399" s="3" t="inlineStr">
        <is>
          <t xml:space="preserve">주주명부폐쇄기간또는기준일설정              </t>
        </is>
      </c>
      <c r="F11399" s="3" t="inlineStr">
        <is>
          <t>SNT다이내믹스</t>
        </is>
      </c>
      <c r="G11399" s="2" t="inlineStr">
        <is>
          <t>20260615800149</t>
        </is>
      </c>
      <c r="H11399" s="8">
        <f>HYPERLINK("https://dart.fss.or.kr/dsaf001/main.do?rcpNo=20260615800149", "공시열람")</f>
        <v/>
      </c>
    </row>
    <row r="11400">
      <c r="A11400" s="2" t="inlineStr">
        <is>
          <t>2026-06-15</t>
        </is>
      </c>
      <c r="B11400" s="3" t="inlineStr">
        <is>
          <t>현대건설</t>
        </is>
      </c>
      <c r="C11400" s="2" t="inlineStr">
        <is>
          <t>코스피</t>
        </is>
      </c>
      <c r="D11400" s="2" t="inlineStr">
        <is>
          <t>000720</t>
        </is>
      </c>
      <c r="E11400" s="3" t="inlineStr">
        <is>
          <t>임원ㆍ주요주주특정증권등소유상황보고서</t>
        </is>
      </c>
      <c r="F11400" s="3" t="inlineStr">
        <is>
          <t>조혁준</t>
        </is>
      </c>
      <c r="G11400" s="2" t="inlineStr">
        <is>
          <t>20260615000009</t>
        </is>
      </c>
      <c r="H11400" s="8">
        <f>HYPERLINK("https://dart.fss.or.kr/dsaf001/main.do?rcpNo=20260615000009", "공시열람")</f>
        <v/>
      </c>
    </row>
    <row r="11401">
      <c r="A11401" s="2" t="inlineStr">
        <is>
          <t>2026-06-15</t>
        </is>
      </c>
      <c r="B11401" s="3" t="inlineStr">
        <is>
          <t>컴투스</t>
        </is>
      </c>
      <c r="C11401" s="2" t="inlineStr">
        <is>
          <t>코스닥</t>
        </is>
      </c>
      <c r="D11401" s="2" t="inlineStr">
        <is>
          <t>078340</t>
        </is>
      </c>
      <c r="E11401" s="3" t="inlineStr">
        <is>
          <t>임원ㆍ주요주주특정증권등소유상황보고서</t>
        </is>
      </c>
      <c r="F11401" s="3" t="inlineStr">
        <is>
          <t>이상윤</t>
        </is>
      </c>
      <c r="G11401" s="2" t="inlineStr">
        <is>
          <t>20260615000007</t>
        </is>
      </c>
      <c r="H11401" s="8">
        <f>HYPERLINK("https://dart.fss.or.kr/dsaf001/main.do?rcpNo=20260615000007", "공시열람")</f>
        <v/>
      </c>
    </row>
    <row r="11402">
      <c r="A11402" s="2" t="inlineStr">
        <is>
          <t>2026-06-15</t>
        </is>
      </c>
      <c r="B11402" s="3" t="inlineStr">
        <is>
          <t>콘텐트리중앙</t>
        </is>
      </c>
      <c r="C11402" s="2" t="inlineStr">
        <is>
          <t>코스피</t>
        </is>
      </c>
      <c r="D11402" s="2" t="inlineStr">
        <is>
          <t>036420</t>
        </is>
      </c>
      <c r="E11402" s="3" t="inlineStr">
        <is>
          <t xml:space="preserve">회생절차개시신청(종속회사의주요경영사항)              </t>
        </is>
      </c>
      <c r="F11402" s="3" t="inlineStr">
        <is>
          <t>콘텐트리중앙</t>
        </is>
      </c>
      <c r="G11402" s="2" t="inlineStr">
        <is>
          <t>20260615800033</t>
        </is>
      </c>
      <c r="H11402" s="8">
        <f>HYPERLINK("https://dart.fss.or.kr/dsaf001/main.do?rcpNo=20260615800033", "공시열람")</f>
        <v/>
      </c>
    </row>
    <row r="11403">
      <c r="A11403" s="2" t="inlineStr">
        <is>
          <t>2026-06-15</t>
        </is>
      </c>
      <c r="B11403" s="3" t="inlineStr">
        <is>
          <t>콘텐트리중앙</t>
        </is>
      </c>
      <c r="C11403" s="2" t="inlineStr">
        <is>
          <t>코스피</t>
        </is>
      </c>
      <c r="D11403" s="2" t="inlineStr">
        <is>
          <t>036420</t>
        </is>
      </c>
      <c r="E11403" s="3" t="inlineStr">
        <is>
          <t>주요사항보고서(회생절차개시신청)</t>
        </is>
      </c>
      <c r="F11403" s="3" t="inlineStr">
        <is>
          <t>콘텐트리중앙</t>
        </is>
      </c>
      <c r="G11403" s="2" t="inlineStr">
        <is>
          <t>20260615000002</t>
        </is>
      </c>
      <c r="H11403" s="8">
        <f>HYPERLINK("https://dart.fss.or.kr/dsaf001/main.do?rcpNo=20260615000002", "공시열람")</f>
        <v/>
      </c>
    </row>
    <row r="11404">
      <c r="A11404" s="2" t="inlineStr">
        <is>
          <t>2026-06-15</t>
        </is>
      </c>
      <c r="B11404" s="3" t="inlineStr">
        <is>
          <t>진원생명과학</t>
        </is>
      </c>
      <c r="C11404" s="2" t="inlineStr">
        <is>
          <t>코스피</t>
        </is>
      </c>
      <c r="D11404" s="2" t="inlineStr">
        <is>
          <t>011000</t>
        </is>
      </c>
      <c r="E11404" s="3" t="inlineStr">
        <is>
          <t xml:space="preserve">[기재정정]타법인주식및출자증권취득결정              </t>
        </is>
      </c>
      <c r="F11404" s="3" t="inlineStr">
        <is>
          <t>진원생명과학</t>
        </is>
      </c>
      <c r="G11404" s="2" t="inlineStr">
        <is>
          <t>20260615800002</t>
        </is>
      </c>
      <c r="H11404" s="8">
        <f>HYPERLINK("https://dart.fss.or.kr/dsaf001/main.do?rcpNo=20260615800002", "공시열람")</f>
        <v/>
      </c>
    </row>
    <row r="11405">
      <c r="A11405" s="2" t="inlineStr">
        <is>
          <t>2026-06-16</t>
        </is>
      </c>
      <c r="B11405" s="3" t="inlineStr">
        <is>
          <t>SK하이닉스</t>
        </is>
      </c>
      <c r="C11405" s="2" t="inlineStr">
        <is>
          <t>코스피</t>
        </is>
      </c>
      <c r="D11405" s="2" t="inlineStr">
        <is>
          <t>000660</t>
        </is>
      </c>
      <c r="E11405" s="3" t="inlineStr">
        <is>
          <t xml:space="preserve">풍문또는보도에대한해명              </t>
        </is>
      </c>
      <c r="F11405" s="3" t="inlineStr">
        <is>
          <t>SK하이닉스</t>
        </is>
      </c>
      <c r="G11405" s="2" t="inlineStr">
        <is>
          <t>20260616800847</t>
        </is>
      </c>
      <c r="H11405" s="8">
        <f>HYPERLINK("https://dart.fss.or.kr/dsaf001/main.do?rcpNo=20260616800847", "공시열람")</f>
        <v/>
      </c>
    </row>
    <row r="11406">
      <c r="A11406" s="2" t="inlineStr">
        <is>
          <t>2026-06-16</t>
        </is>
      </c>
      <c r="B11406" s="3" t="inlineStr">
        <is>
          <t>KC코트렐</t>
        </is>
      </c>
      <c r="C11406" s="2" t="inlineStr">
        <is>
          <t>코스피</t>
        </is>
      </c>
      <c r="D11406" s="2" t="inlineStr">
        <is>
          <t>119650</t>
        </is>
      </c>
      <c r="E11406" s="3" t="inlineStr">
        <is>
          <t xml:space="preserve">상장적격성실질심사관련주요개선계획(자율공시)              </t>
        </is>
      </c>
      <c r="F11406" s="3" t="inlineStr">
        <is>
          <t>KC코트렐</t>
        </is>
      </c>
      <c r="G11406" s="2" t="inlineStr">
        <is>
          <t>20260616800843</t>
        </is>
      </c>
      <c r="H11406" s="8">
        <f>HYPERLINK("https://dart.fss.or.kr/dsaf001/main.do?rcpNo=20260616800843", "공시열람")</f>
        <v/>
      </c>
    </row>
    <row r="11407">
      <c r="A11407" s="2" t="inlineStr">
        <is>
          <t>2026-06-16</t>
        </is>
      </c>
      <c r="B11407" s="3" t="inlineStr">
        <is>
          <t>대호에이엘</t>
        </is>
      </c>
      <c r="C11407" s="2" t="inlineStr">
        <is>
          <t>코스피</t>
        </is>
      </c>
      <c r="D11407" s="2" t="inlineStr">
        <is>
          <t>069460</t>
        </is>
      </c>
      <c r="E11407" s="3" t="inlineStr">
        <is>
          <t>기타시장안내              (상장적격성 실질심사 결과 안내)</t>
        </is>
      </c>
      <c r="F11407" s="3" t="inlineStr">
        <is>
          <t>유가증권시장본부</t>
        </is>
      </c>
      <c r="G11407" s="2" t="inlineStr">
        <is>
          <t>20260616800841</t>
        </is>
      </c>
      <c r="H11407" s="8">
        <f>HYPERLINK("https://dart.fss.or.kr/dsaf001/main.do?rcpNo=20260616800841", "공시열람")</f>
        <v/>
      </c>
    </row>
    <row r="11408">
      <c r="A11408" s="2" t="inlineStr">
        <is>
          <t>2026-06-16</t>
        </is>
      </c>
      <c r="B11408" s="3" t="inlineStr">
        <is>
          <t>KC코트렐</t>
        </is>
      </c>
      <c r="C11408" s="2" t="inlineStr">
        <is>
          <t>코스피</t>
        </is>
      </c>
      <c r="D11408" s="2" t="inlineStr">
        <is>
          <t>119650</t>
        </is>
      </c>
      <c r="E11408" s="3" t="inlineStr">
        <is>
          <t>기타시장안내              (개선기간 부여 결정)</t>
        </is>
      </c>
      <c r="F11408" s="3" t="inlineStr">
        <is>
          <t>유가증권시장본부</t>
        </is>
      </c>
      <c r="G11408" s="2" t="inlineStr">
        <is>
          <t>20260616800840</t>
        </is>
      </c>
      <c r="H11408" s="8">
        <f>HYPERLINK("https://dart.fss.or.kr/dsaf001/main.do?rcpNo=20260616800840", "공시열람")</f>
        <v/>
      </c>
    </row>
    <row r="11409">
      <c r="A11409" s="2" t="inlineStr">
        <is>
          <t>2026-06-16</t>
        </is>
      </c>
      <c r="B11409" s="3" t="inlineStr">
        <is>
          <t>비케이홀딩스</t>
        </is>
      </c>
      <c r="C11409" s="2" t="inlineStr">
        <is>
          <t>코스닥</t>
        </is>
      </c>
      <c r="D11409" s="2" t="inlineStr">
        <is>
          <t>050090</t>
        </is>
      </c>
      <c r="E11409" s="3" t="inlineStr">
        <is>
          <t>기타시장안내(관리종목지정우려종목)              (시가총액 150억원 미달)</t>
        </is>
      </c>
      <c r="F11409" s="3" t="inlineStr">
        <is>
          <t>코스닥시장본부</t>
        </is>
      </c>
      <c r="G11409" s="2" t="inlineStr">
        <is>
          <t>20260616900832</t>
        </is>
      </c>
      <c r="H11409" s="8">
        <f>HYPERLINK("https://dart.fss.or.kr/dsaf001/main.do?rcpNo=20260616900832", "공시열람")</f>
        <v/>
      </c>
    </row>
    <row r="11410">
      <c r="A11410" s="2" t="inlineStr">
        <is>
          <t>2026-06-16</t>
        </is>
      </c>
      <c r="B11410" s="3" t="inlineStr">
        <is>
          <t>핑거</t>
        </is>
      </c>
      <c r="C11410" s="2" t="inlineStr">
        <is>
          <t>코스닥</t>
        </is>
      </c>
      <c r="D11410" s="2" t="inlineStr">
        <is>
          <t>163730</t>
        </is>
      </c>
      <c r="E11410" s="3" t="inlineStr">
        <is>
          <t>불성실공시법인미지정              (지정유예)</t>
        </is>
      </c>
      <c r="F11410" s="3" t="inlineStr">
        <is>
          <t>코스닥시장본부</t>
        </is>
      </c>
      <c r="G11410" s="2" t="inlineStr">
        <is>
          <t>20260616900814</t>
        </is>
      </c>
      <c r="H11410" s="8">
        <f>HYPERLINK("https://dart.fss.or.kr/dsaf001/main.do?rcpNo=20260616900814", "공시열람")</f>
        <v/>
      </c>
    </row>
    <row r="11411">
      <c r="A11411" s="2" t="inlineStr">
        <is>
          <t>2026-06-16</t>
        </is>
      </c>
      <c r="B11411" s="3" t="inlineStr">
        <is>
          <t>삼보산업</t>
        </is>
      </c>
      <c r="C11411" s="2" t="inlineStr">
        <is>
          <t>코스닥</t>
        </is>
      </c>
      <c r="D11411" s="2" t="inlineStr">
        <is>
          <t>009620</t>
        </is>
      </c>
      <c r="E11411" s="3" t="inlineStr">
        <is>
          <t>기타시장안내(관리종목지정우려종목)              (시가총액 150억원 미달)</t>
        </is>
      </c>
      <c r="F11411" s="3" t="inlineStr">
        <is>
          <t>코스닥시장본부</t>
        </is>
      </c>
      <c r="G11411" s="2" t="inlineStr">
        <is>
          <t>20260616900816</t>
        </is>
      </c>
      <c r="H11411" s="8">
        <f>HYPERLINK("https://dart.fss.or.kr/dsaf001/main.do?rcpNo=20260616900816", "공시열람")</f>
        <v/>
      </c>
    </row>
    <row r="11412">
      <c r="A11412" s="2" t="inlineStr">
        <is>
          <t>2026-06-16</t>
        </is>
      </c>
      <c r="B11412" s="3" t="inlineStr">
        <is>
          <t>성우전자</t>
        </is>
      </c>
      <c r="C11412" s="2" t="inlineStr">
        <is>
          <t>코스닥</t>
        </is>
      </c>
      <c r="D11412" s="2" t="inlineStr">
        <is>
          <t>081580</t>
        </is>
      </c>
      <c r="E11412" s="3" t="inlineStr">
        <is>
          <t>불성실공시법인미지정              (지정유예)</t>
        </is>
      </c>
      <c r="F11412" s="3" t="inlineStr">
        <is>
          <t>코스닥시장본부</t>
        </is>
      </c>
      <c r="G11412" s="2" t="inlineStr">
        <is>
          <t>20260616900813</t>
        </is>
      </c>
      <c r="H11412" s="8">
        <f>HYPERLINK("https://dart.fss.or.kr/dsaf001/main.do?rcpNo=20260616900813", "공시열람")</f>
        <v/>
      </c>
    </row>
    <row r="11413">
      <c r="A11413" s="2" t="inlineStr">
        <is>
          <t>2026-06-16</t>
        </is>
      </c>
      <c r="B11413" s="3" t="inlineStr">
        <is>
          <t>씨씨에스</t>
        </is>
      </c>
      <c r="C11413" s="2" t="inlineStr">
        <is>
          <t>코스닥</t>
        </is>
      </c>
      <c r="D11413" s="2" t="inlineStr">
        <is>
          <t>066790</t>
        </is>
      </c>
      <c r="E11413" s="3" t="inlineStr">
        <is>
          <t xml:space="preserve">주주명부폐쇄기간또는기준일설정              </t>
        </is>
      </c>
      <c r="F11413" s="3" t="inlineStr">
        <is>
          <t>씨씨에스</t>
        </is>
      </c>
      <c r="G11413" s="2" t="inlineStr">
        <is>
          <t>20260616900805</t>
        </is>
      </c>
      <c r="H11413" s="8">
        <f>HYPERLINK("https://dart.fss.or.kr/dsaf001/main.do?rcpNo=20260616900805", "공시열람")</f>
        <v/>
      </c>
    </row>
    <row r="11414">
      <c r="A11414" s="2" t="inlineStr">
        <is>
          <t>2026-06-16</t>
        </is>
      </c>
      <c r="B11414" s="3" t="inlineStr">
        <is>
          <t>영흥</t>
        </is>
      </c>
      <c r="C11414" s="2" t="inlineStr">
        <is>
          <t>코스피</t>
        </is>
      </c>
      <c r="D11414" s="2" t="inlineStr">
        <is>
          <t>012160</t>
        </is>
      </c>
      <c r="E11414" s="3" t="inlineStr">
        <is>
          <t>임원ㆍ주요주주특정증권등소유상황보고서</t>
        </is>
      </c>
      <c r="F11414" s="3" t="inlineStr">
        <is>
          <t>대호특수강</t>
        </is>
      </c>
      <c r="G11414" s="2" t="inlineStr">
        <is>
          <t>20260616000383</t>
        </is>
      </c>
      <c r="H11414" s="8">
        <f>HYPERLINK("https://dart.fss.or.kr/dsaf001/main.do?rcpNo=20260616000383", "공시열람")</f>
        <v/>
      </c>
    </row>
    <row r="11415">
      <c r="A11415" s="2" t="inlineStr">
        <is>
          <t>2026-06-16</t>
        </is>
      </c>
      <c r="B11415" s="3" t="inlineStr">
        <is>
          <t>넥스턴앤롤코리아</t>
        </is>
      </c>
      <c r="C11415" s="2" t="inlineStr">
        <is>
          <t>코스닥</t>
        </is>
      </c>
      <c r="D11415" s="2" t="inlineStr">
        <is>
          <t>089140</t>
        </is>
      </c>
      <c r="E11415" s="3" t="inlineStr">
        <is>
          <t>주요사항보고서(자기전환사채만기전취득결정)</t>
        </is>
      </c>
      <c r="F11415" s="3" t="inlineStr">
        <is>
          <t>넥스턴앤롤코리아</t>
        </is>
      </c>
      <c r="G11415" s="2" t="inlineStr">
        <is>
          <t>20260616000353</t>
        </is>
      </c>
      <c r="H11415" s="8">
        <f>HYPERLINK("https://dart.fss.or.kr/dsaf001/main.do?rcpNo=20260616000353", "공시열람")</f>
        <v/>
      </c>
    </row>
    <row r="11416">
      <c r="A11416" s="2" t="inlineStr">
        <is>
          <t>2026-06-16</t>
        </is>
      </c>
      <c r="B11416" s="3" t="inlineStr">
        <is>
          <t>케이티스카이라이프</t>
        </is>
      </c>
      <c r="C11416" s="2" t="inlineStr">
        <is>
          <t>코스피</t>
        </is>
      </c>
      <c r="D11416" s="2" t="inlineStr">
        <is>
          <t>053210</t>
        </is>
      </c>
      <c r="E11416" s="3" t="inlineStr">
        <is>
          <t>[발행조건확정]증권신고서(채무증권)</t>
        </is>
      </c>
      <c r="F11416" s="3" t="inlineStr">
        <is>
          <t>케이티스카이라이프</t>
        </is>
      </c>
      <c r="G11416" s="2" t="inlineStr">
        <is>
          <t>20260616000378</t>
        </is>
      </c>
      <c r="H11416" s="8">
        <f>HYPERLINK("https://dart.fss.or.kr/dsaf001/main.do?rcpNo=20260616000378", "공시열람")</f>
        <v/>
      </c>
    </row>
    <row r="11417">
      <c r="A11417" s="2" t="inlineStr">
        <is>
          <t>2026-06-16</t>
        </is>
      </c>
      <c r="B11417" s="3" t="inlineStr">
        <is>
          <t>비츠로시스</t>
        </is>
      </c>
      <c r="C11417" s="2" t="inlineStr">
        <is>
          <t>코스닥</t>
        </is>
      </c>
      <c r="D11417" s="2" t="inlineStr">
        <is>
          <t>054220</t>
        </is>
      </c>
      <c r="E11417" s="3" t="inlineStr">
        <is>
          <t xml:space="preserve">대표이사변경              </t>
        </is>
      </c>
      <c r="F11417" s="3" t="inlineStr">
        <is>
          <t>비츠로시스</t>
        </is>
      </c>
      <c r="G11417" s="2" t="inlineStr">
        <is>
          <t>20260616900795</t>
        </is>
      </c>
      <c r="H11417" s="8">
        <f>HYPERLINK("https://dart.fss.or.kr/dsaf001/main.do?rcpNo=20260616900795", "공시열람")</f>
        <v/>
      </c>
    </row>
    <row r="11418">
      <c r="A11418" s="2" t="inlineStr">
        <is>
          <t>2026-06-16</t>
        </is>
      </c>
      <c r="B11418" s="3" t="inlineStr">
        <is>
          <t>큐로셀</t>
        </is>
      </c>
      <c r="C11418" s="2" t="inlineStr">
        <is>
          <t>코스닥</t>
        </is>
      </c>
      <c r="D11418" s="2" t="inlineStr">
        <is>
          <t>372320</t>
        </is>
      </c>
      <c r="E11418" s="3" t="inlineStr">
        <is>
          <t>투자판단관련주요경영사항(임상시험계획변경승인)              (CD19 CAR-T 치료제 CRC01의 전신 홍반성 루푸스 제1,2상 임상시험계획 변경승인)</t>
        </is>
      </c>
      <c r="F11418" s="3" t="inlineStr">
        <is>
          <t>큐로셀</t>
        </is>
      </c>
      <c r="G11418" s="2" t="inlineStr">
        <is>
          <t>20260616900787</t>
        </is>
      </c>
      <c r="H11418" s="8">
        <f>HYPERLINK("https://dart.fss.or.kr/dsaf001/main.do?rcpNo=20260616900787", "공시열람")</f>
        <v/>
      </c>
    </row>
    <row r="11419">
      <c r="A11419" s="2" t="inlineStr">
        <is>
          <t>2026-06-16</t>
        </is>
      </c>
      <c r="B11419" s="3" t="inlineStr">
        <is>
          <t>국도화학</t>
        </is>
      </c>
      <c r="C11419" s="2" t="inlineStr">
        <is>
          <t>코스피</t>
        </is>
      </c>
      <c r="D11419" s="2" t="inlineStr">
        <is>
          <t>007690</t>
        </is>
      </c>
      <c r="E11419" s="3" t="inlineStr">
        <is>
          <t>임원ㆍ주요주주특정증권등소유상황보고서</t>
        </is>
      </c>
      <c r="F11419" s="3" t="inlineStr">
        <is>
          <t>국도코퍼레이션</t>
        </is>
      </c>
      <c r="G11419" s="2" t="inlineStr">
        <is>
          <t>20260616000376</t>
        </is>
      </c>
      <c r="H11419" s="8">
        <f>HYPERLINK("https://dart.fss.or.kr/dsaf001/main.do?rcpNo=20260616000376", "공시열람")</f>
        <v/>
      </c>
    </row>
    <row r="11420">
      <c r="A11420" s="2" t="inlineStr">
        <is>
          <t>2026-06-16</t>
        </is>
      </c>
      <c r="B11420" s="3" t="inlineStr">
        <is>
          <t>대호에이엘</t>
        </is>
      </c>
      <c r="C11420" s="2" t="inlineStr">
        <is>
          <t>코스피</t>
        </is>
      </c>
      <c r="D11420" s="2" t="inlineStr">
        <is>
          <t>069460</t>
        </is>
      </c>
      <c r="E11420" s="3" t="inlineStr">
        <is>
          <t xml:space="preserve">주주명부폐쇄기간또는기준일설정              </t>
        </is>
      </c>
      <c r="F11420" s="3" t="inlineStr">
        <is>
          <t>대호에이엘</t>
        </is>
      </c>
      <c r="G11420" s="2" t="inlineStr">
        <is>
          <t>20260616800772</t>
        </is>
      </c>
      <c r="H11420" s="8">
        <f>HYPERLINK("https://dart.fss.or.kr/dsaf001/main.do?rcpNo=20260616800772", "공시열람")</f>
        <v/>
      </c>
    </row>
    <row r="11421">
      <c r="A11421" s="2" t="inlineStr">
        <is>
          <t>2026-06-16</t>
        </is>
      </c>
      <c r="B11421" s="3" t="inlineStr">
        <is>
          <t>DB손해보험</t>
        </is>
      </c>
      <c r="C11421" s="2" t="inlineStr">
        <is>
          <t>코스피</t>
        </is>
      </c>
      <c r="D11421" s="2" t="inlineStr">
        <is>
          <t>005830</t>
        </is>
      </c>
      <c r="E11421" s="3" t="inlineStr">
        <is>
          <t>주요사항보고서(자본으로인정되는채무증권발행결정)</t>
        </is>
      </c>
      <c r="F11421" s="3" t="inlineStr">
        <is>
          <t>DB손해보험</t>
        </is>
      </c>
      <c r="G11421" s="2" t="inlineStr">
        <is>
          <t>20260616000372</t>
        </is>
      </c>
      <c r="H11421" s="8">
        <f>HYPERLINK("https://dart.fss.or.kr/dsaf001/main.do?rcpNo=20260616000372", "공시열람")</f>
        <v/>
      </c>
    </row>
    <row r="11422">
      <c r="A11422" s="2" t="inlineStr">
        <is>
          <t>2026-06-16</t>
        </is>
      </c>
      <c r="B11422" s="3" t="inlineStr">
        <is>
          <t>DB손해보험</t>
        </is>
      </c>
      <c r="C11422" s="2" t="inlineStr">
        <is>
          <t>코스피</t>
        </is>
      </c>
      <c r="D11422" s="2" t="inlineStr">
        <is>
          <t>005830</t>
        </is>
      </c>
      <c r="E11422" s="3" t="inlineStr">
        <is>
          <t>주요사항보고서(자본으로인정되는채무증권발행결정)</t>
        </is>
      </c>
      <c r="F11422" s="3" t="inlineStr">
        <is>
          <t>DB손해보험</t>
        </is>
      </c>
      <c r="G11422" s="2" t="inlineStr">
        <is>
          <t>20260616000370</t>
        </is>
      </c>
      <c r="H11422" s="8">
        <f>HYPERLINK("https://dart.fss.or.kr/dsaf001/main.do?rcpNo=20260616000370", "공시열람")</f>
        <v/>
      </c>
    </row>
    <row r="11423">
      <c r="A11423" s="2" t="inlineStr">
        <is>
          <t>2026-06-16</t>
        </is>
      </c>
      <c r="B11423" s="3" t="inlineStr">
        <is>
          <t>DB손해보험</t>
        </is>
      </c>
      <c r="C11423" s="2" t="inlineStr">
        <is>
          <t>코스피</t>
        </is>
      </c>
      <c r="D11423" s="2" t="inlineStr">
        <is>
          <t>005830</t>
        </is>
      </c>
      <c r="E11423" s="3" t="inlineStr">
        <is>
          <t>주요사항보고서(자본으로인정되는채무증권발행결정)</t>
        </is>
      </c>
      <c r="F11423" s="3" t="inlineStr">
        <is>
          <t>DB손해보험</t>
        </is>
      </c>
      <c r="G11423" s="2" t="inlineStr">
        <is>
          <t>20260616000369</t>
        </is>
      </c>
      <c r="H11423" s="8">
        <f>HYPERLINK("https://dart.fss.or.kr/dsaf001/main.do?rcpNo=20260616000369", "공시열람")</f>
        <v/>
      </c>
    </row>
    <row r="11424">
      <c r="A11424" s="2" t="inlineStr">
        <is>
          <t>2026-06-16</t>
        </is>
      </c>
      <c r="B11424" s="3" t="inlineStr">
        <is>
          <t>아즈텍WB</t>
        </is>
      </c>
      <c r="C11424" s="2" t="inlineStr">
        <is>
          <t>코스닥</t>
        </is>
      </c>
      <c r="D11424" s="2" t="inlineStr">
        <is>
          <t>032080</t>
        </is>
      </c>
      <c r="E11424" s="3" t="inlineStr">
        <is>
          <t>임원ㆍ주요주주특정증권등소유상황보고서</t>
        </is>
      </c>
      <c r="F11424" s="3" t="inlineStr">
        <is>
          <t>유송코퍼레이션</t>
        </is>
      </c>
      <c r="G11424" s="2" t="inlineStr">
        <is>
          <t>20260616000366</t>
        </is>
      </c>
      <c r="H11424" s="8">
        <f>HYPERLINK("https://dart.fss.or.kr/dsaf001/main.do?rcpNo=20260616000366", "공시열람")</f>
        <v/>
      </c>
    </row>
    <row r="11425">
      <c r="A11425" s="2" t="inlineStr">
        <is>
          <t>2026-06-16</t>
        </is>
      </c>
      <c r="B11425" s="3" t="inlineStr">
        <is>
          <t>남광토건</t>
        </is>
      </c>
      <c r="C11425" s="2" t="inlineStr">
        <is>
          <t>코스피</t>
        </is>
      </c>
      <c r="D11425" s="2" t="inlineStr">
        <is>
          <t>001260</t>
        </is>
      </c>
      <c r="E11425" s="3" t="inlineStr">
        <is>
          <t xml:space="preserve">투자판단관련주요경영사항              </t>
        </is>
      </c>
      <c r="F11425" s="3" t="inlineStr">
        <is>
          <t>남광토건</t>
        </is>
      </c>
      <c r="G11425" s="2" t="inlineStr">
        <is>
          <t>20260616800777</t>
        </is>
      </c>
      <c r="H11425" s="8">
        <f>HYPERLINK("https://dart.fss.or.kr/dsaf001/main.do?rcpNo=20260616800777", "공시열람")</f>
        <v/>
      </c>
    </row>
    <row r="11426">
      <c r="A11426" s="2" t="inlineStr">
        <is>
          <t>2026-06-16</t>
        </is>
      </c>
      <c r="B11426" s="3" t="inlineStr">
        <is>
          <t>KBG</t>
        </is>
      </c>
      <c r="C11426" s="2" t="inlineStr">
        <is>
          <t>코스닥</t>
        </is>
      </c>
      <c r="D11426" s="2" t="inlineStr">
        <is>
          <t>318000</t>
        </is>
      </c>
      <c r="E11426" s="3" t="inlineStr">
        <is>
          <t>임원ㆍ주요주주특정증권등소유상황보고서</t>
        </is>
      </c>
      <c r="F11426" s="3" t="inlineStr">
        <is>
          <t>부삼열</t>
        </is>
      </c>
      <c r="G11426" s="2" t="inlineStr">
        <is>
          <t>20260616000363</t>
        </is>
      </c>
      <c r="H11426" s="8">
        <f>HYPERLINK("https://dart.fss.or.kr/dsaf001/main.do?rcpNo=20260616000363", "공시열람")</f>
        <v/>
      </c>
    </row>
    <row r="11427">
      <c r="A11427" s="2" t="inlineStr">
        <is>
          <t>2026-06-16</t>
        </is>
      </c>
      <c r="B11427" s="3" t="inlineStr">
        <is>
          <t>썸에이지</t>
        </is>
      </c>
      <c r="C11427" s="2" t="inlineStr">
        <is>
          <t>코스닥</t>
        </is>
      </c>
      <c r="D11427" s="2" t="inlineStr">
        <is>
          <t>208640</t>
        </is>
      </c>
      <c r="E11427" s="3" t="inlineStr">
        <is>
          <t xml:space="preserve">감자완료              </t>
        </is>
      </c>
      <c r="F11427" s="3" t="inlineStr">
        <is>
          <t>썸에이지</t>
        </is>
      </c>
      <c r="G11427" s="2" t="inlineStr">
        <is>
          <t>20260616900780</t>
        </is>
      </c>
      <c r="H11427" s="8">
        <f>HYPERLINK("https://dart.fss.or.kr/dsaf001/main.do?rcpNo=20260616900780", "공시열람")</f>
        <v/>
      </c>
    </row>
    <row r="11428">
      <c r="A11428" s="2" t="inlineStr">
        <is>
          <t>2026-06-16</t>
        </is>
      </c>
      <c r="B11428" s="3" t="inlineStr">
        <is>
          <t>메디쎄이</t>
        </is>
      </c>
      <c r="C11428" s="2" t="inlineStr">
        <is>
          <t>코넥스</t>
        </is>
      </c>
      <c r="D11428" s="2" t="inlineStr">
        <is>
          <t>200580</t>
        </is>
      </c>
      <c r="E11428" s="3" t="inlineStr">
        <is>
          <t>기타주요경영사항(자율공시)              (NeckTune™ 3D SA Cervical Cage 미국 FDA 510(k) 인증 취득)</t>
        </is>
      </c>
      <c r="F11428" s="3" t="inlineStr">
        <is>
          <t>메디쎄이</t>
        </is>
      </c>
      <c r="G11428" s="2" t="inlineStr">
        <is>
          <t>20260616600760</t>
        </is>
      </c>
      <c r="H11428" s="8">
        <f>HYPERLINK("https://dart.fss.or.kr/dsaf001/main.do?rcpNo=20260616600760", "공시열람")</f>
        <v/>
      </c>
    </row>
    <row r="11429">
      <c r="A11429" s="2" t="inlineStr">
        <is>
          <t>2026-06-16</t>
        </is>
      </c>
      <c r="B11429" s="3" t="inlineStr">
        <is>
          <t>아즈텍WB</t>
        </is>
      </c>
      <c r="C11429" s="2" t="inlineStr">
        <is>
          <t>코스닥</t>
        </is>
      </c>
      <c r="D11429" s="2" t="inlineStr">
        <is>
          <t>032080</t>
        </is>
      </c>
      <c r="E11429" s="3" t="inlineStr">
        <is>
          <t>임원ㆍ주요주주특정증권등소유상황보고서</t>
        </is>
      </c>
      <c r="F11429" s="3" t="inlineStr">
        <is>
          <t>제원아이엔씨</t>
        </is>
      </c>
      <c r="G11429" s="2" t="inlineStr">
        <is>
          <t>20260616000360</t>
        </is>
      </c>
      <c r="H11429" s="8">
        <f>HYPERLINK("https://dart.fss.or.kr/dsaf001/main.do?rcpNo=20260616000360", "공시열람")</f>
        <v/>
      </c>
    </row>
    <row r="11430">
      <c r="A11430" s="2" t="inlineStr">
        <is>
          <t>2026-06-16</t>
        </is>
      </c>
      <c r="B11430" s="3" t="inlineStr">
        <is>
          <t>KBG</t>
        </is>
      </c>
      <c r="C11430" s="2" t="inlineStr">
        <is>
          <t>코스닥</t>
        </is>
      </c>
      <c r="D11430" s="2" t="inlineStr">
        <is>
          <t>318000</t>
        </is>
      </c>
      <c r="E11430" s="3" t="inlineStr">
        <is>
          <t>임원ㆍ주요주주특정증권등소유상황보고서</t>
        </is>
      </c>
      <c r="F11430" s="3" t="inlineStr">
        <is>
          <t>부태웅</t>
        </is>
      </c>
      <c r="G11430" s="2" t="inlineStr">
        <is>
          <t>20260616000359</t>
        </is>
      </c>
      <c r="H11430" s="8">
        <f>HYPERLINK("https://dart.fss.or.kr/dsaf001/main.do?rcpNo=20260616000359", "공시열람")</f>
        <v/>
      </c>
    </row>
    <row r="11431">
      <c r="A11431" s="2" t="inlineStr">
        <is>
          <t>2026-06-16</t>
        </is>
      </c>
      <c r="B11431" s="3" t="inlineStr">
        <is>
          <t>이상네트웍스</t>
        </is>
      </c>
      <c r="C11431" s="2" t="inlineStr">
        <is>
          <t>코스닥</t>
        </is>
      </c>
      <c r="D11431" s="2" t="inlineStr">
        <is>
          <t>080010</t>
        </is>
      </c>
      <c r="E11431" s="3" t="inlineStr">
        <is>
          <t>임원ㆍ주요주주특정증권등소유상황보고서</t>
        </is>
      </c>
      <c r="F11431" s="3" t="inlineStr">
        <is>
          <t>하성일</t>
        </is>
      </c>
      <c r="G11431" s="2" t="inlineStr">
        <is>
          <t>20260616000357</t>
        </is>
      </c>
      <c r="H11431" s="8">
        <f>HYPERLINK("https://dart.fss.or.kr/dsaf001/main.do?rcpNo=20260616000357", "공시열람")</f>
        <v/>
      </c>
    </row>
    <row r="11432">
      <c r="A11432" s="2" t="inlineStr">
        <is>
          <t>2026-06-16</t>
        </is>
      </c>
      <c r="B11432" s="3" t="inlineStr">
        <is>
          <t>이렘</t>
        </is>
      </c>
      <c r="C11432" s="2" t="inlineStr">
        <is>
          <t>코스닥</t>
        </is>
      </c>
      <c r="D11432" s="2" t="inlineStr">
        <is>
          <t>009730</t>
        </is>
      </c>
      <c r="E11432" s="3" t="inlineStr">
        <is>
          <t>정정신고서제출요구( 2026.06.05. 제출 증권신고서(지분증권) )</t>
        </is>
      </c>
      <c r="F11432" s="3" t="inlineStr">
        <is>
          <t>금융감독원</t>
        </is>
      </c>
      <c r="G11432" s="2" t="inlineStr">
        <is>
          <t>20260616100004</t>
        </is>
      </c>
      <c r="H11432" s="8">
        <f>HYPERLINK("https://dart.fss.or.kr/dsaf001/main.do?rcpNo=20260616100004", "공시열람")</f>
        <v/>
      </c>
    </row>
    <row r="11433">
      <c r="A11433" s="2" t="inlineStr">
        <is>
          <t>2026-06-16</t>
        </is>
      </c>
      <c r="B11433" s="3" t="inlineStr">
        <is>
          <t>피앤씨테크</t>
        </is>
      </c>
      <c r="C11433" s="2" t="inlineStr">
        <is>
          <t>코스닥</t>
        </is>
      </c>
      <c r="D11433" s="2" t="inlineStr">
        <is>
          <t>237750</t>
        </is>
      </c>
      <c r="E11433" s="3" t="inlineStr">
        <is>
          <t>임원ㆍ주요주주특정증권등소유상황보고서</t>
        </is>
      </c>
      <c r="F11433" s="3" t="inlineStr">
        <is>
          <t>조민기</t>
        </is>
      </c>
      <c r="G11433" s="2" t="inlineStr">
        <is>
          <t>20260616000356</t>
        </is>
      </c>
      <c r="H11433" s="8">
        <f>HYPERLINK("https://dart.fss.or.kr/dsaf001/main.do?rcpNo=20260616000356", "공시열람")</f>
        <v/>
      </c>
    </row>
    <row r="11434">
      <c r="A11434" s="2" t="inlineStr">
        <is>
          <t>2026-06-16</t>
        </is>
      </c>
      <c r="B11434" s="3" t="inlineStr">
        <is>
          <t>핸즈코퍼레이션</t>
        </is>
      </c>
      <c r="C11434" s="2" t="inlineStr">
        <is>
          <t>코스피</t>
        </is>
      </c>
      <c r="D11434" s="2" t="inlineStr">
        <is>
          <t>143210</t>
        </is>
      </c>
      <c r="E11434" s="3" t="inlineStr">
        <is>
          <t>기타시장안내              (기업심사위원회 심의대상 결정)</t>
        </is>
      </c>
      <c r="F11434" s="3" t="inlineStr">
        <is>
          <t>유가증권시장본부</t>
        </is>
      </c>
      <c r="G11434" s="2" t="inlineStr">
        <is>
          <t>20260616800767</t>
        </is>
      </c>
      <c r="H11434" s="8">
        <f>HYPERLINK("https://dart.fss.or.kr/dsaf001/main.do?rcpNo=20260616800767", "공시열람")</f>
        <v/>
      </c>
    </row>
    <row r="11435">
      <c r="A11435" s="2" t="inlineStr">
        <is>
          <t>2026-06-16</t>
        </is>
      </c>
      <c r="B11435" s="3" t="inlineStr">
        <is>
          <t>E8</t>
        </is>
      </c>
      <c r="C11435" s="2" t="inlineStr">
        <is>
          <t>코스닥</t>
        </is>
      </c>
      <c r="D11435" s="2" t="inlineStr">
        <is>
          <t>418620</t>
        </is>
      </c>
      <c r="E11435" s="3" t="inlineStr">
        <is>
          <t>기타경영사항(자율공시)              (국책과제 선정(개인 맞춤형 잡곡 추천 및 취사 최적화를 위한 AI 기반 스마트 밥솥 시스템 개발))</t>
        </is>
      </c>
      <c r="F11435" s="3" t="inlineStr">
        <is>
          <t>E8</t>
        </is>
      </c>
      <c r="G11435" s="2" t="inlineStr">
        <is>
          <t>20260616900745</t>
        </is>
      </c>
      <c r="H11435" s="8">
        <f>HYPERLINK("https://dart.fss.or.kr/dsaf001/main.do?rcpNo=20260616900745", "공시열람")</f>
        <v/>
      </c>
    </row>
    <row r="11436">
      <c r="A11436" s="2" t="inlineStr">
        <is>
          <t>2026-06-16</t>
        </is>
      </c>
      <c r="B11436" s="3" t="inlineStr">
        <is>
          <t>원익피앤이</t>
        </is>
      </c>
      <c r="C11436" s="2" t="inlineStr">
        <is>
          <t>코스닥</t>
        </is>
      </c>
      <c r="D11436" s="2" t="inlineStr">
        <is>
          <t>217820</t>
        </is>
      </c>
      <c r="E11436" s="3" t="inlineStr">
        <is>
          <t>임원ㆍ주요주주특정증권등소유상황보고서</t>
        </is>
      </c>
      <c r="F11436" s="3" t="inlineStr">
        <is>
          <t>조남성</t>
        </is>
      </c>
      <c r="G11436" s="2" t="inlineStr">
        <is>
          <t>20260616000355</t>
        </is>
      </c>
      <c r="H11436" s="8">
        <f>HYPERLINK("https://dart.fss.or.kr/dsaf001/main.do?rcpNo=20260616000355", "공시열람")</f>
        <v/>
      </c>
    </row>
    <row r="11437">
      <c r="A11437" s="2" t="inlineStr">
        <is>
          <t>2026-06-16</t>
        </is>
      </c>
      <c r="B11437" s="3" t="inlineStr">
        <is>
          <t>알파AI</t>
        </is>
      </c>
      <c r="C11437" s="2" t="inlineStr">
        <is>
          <t>코스닥</t>
        </is>
      </c>
      <c r="D11437" s="2" t="inlineStr">
        <is>
          <t>043100</t>
        </is>
      </c>
      <c r="E11437" s="3" t="inlineStr">
        <is>
          <t>주권매매거래정지기간변경              (회생절차 개시신청)</t>
        </is>
      </c>
      <c r="F11437" s="3" t="inlineStr">
        <is>
          <t>코스닥시장본부</t>
        </is>
      </c>
      <c r="G11437" s="2" t="inlineStr">
        <is>
          <t>20260616900753</t>
        </is>
      </c>
      <c r="H11437" s="8">
        <f>HYPERLINK("https://dart.fss.or.kr/dsaf001/main.do?rcpNo=20260616900753", "공시열람")</f>
        <v/>
      </c>
    </row>
    <row r="11438">
      <c r="A11438" s="2" t="inlineStr">
        <is>
          <t>2026-06-16</t>
        </is>
      </c>
      <c r="B11438" s="3" t="inlineStr">
        <is>
          <t>원익피앤이</t>
        </is>
      </c>
      <c r="C11438" s="2" t="inlineStr">
        <is>
          <t>코스닥</t>
        </is>
      </c>
      <c r="D11438" s="2" t="inlineStr">
        <is>
          <t>217820</t>
        </is>
      </c>
      <c r="E11438" s="3" t="inlineStr">
        <is>
          <t>임원ㆍ주요주주특정증권등소유상황보고서</t>
        </is>
      </c>
      <c r="F11438" s="3" t="inlineStr">
        <is>
          <t>함장길</t>
        </is>
      </c>
      <c r="G11438" s="2" t="inlineStr">
        <is>
          <t>20260616000350</t>
        </is>
      </c>
      <c r="H11438" s="8">
        <f>HYPERLINK("https://dart.fss.or.kr/dsaf001/main.do?rcpNo=20260616000350", "공시열람")</f>
        <v/>
      </c>
    </row>
    <row r="11439">
      <c r="A11439" s="2" t="inlineStr">
        <is>
          <t>2026-06-16</t>
        </is>
      </c>
      <c r="B11439" s="3" t="inlineStr">
        <is>
          <t>글로벌텍스프리</t>
        </is>
      </c>
      <c r="C11439" s="2" t="inlineStr">
        <is>
          <t>코스닥</t>
        </is>
      </c>
      <c r="D11439" s="2" t="inlineStr">
        <is>
          <t>204620</t>
        </is>
      </c>
      <c r="E11439" s="3" t="inlineStr">
        <is>
          <t>임원ㆍ주요주주특정증권등소유상황보고서</t>
        </is>
      </c>
      <c r="F11439" s="3" t="inlineStr">
        <is>
          <t>제이에스아이홀딩스</t>
        </is>
      </c>
      <c r="G11439" s="2" t="inlineStr">
        <is>
          <t>20260616000348</t>
        </is>
      </c>
      <c r="H11439" s="8">
        <f>HYPERLINK("https://dart.fss.or.kr/dsaf001/main.do?rcpNo=20260616000348", "공시열람")</f>
        <v/>
      </c>
    </row>
    <row r="11440">
      <c r="A11440" s="2" t="inlineStr">
        <is>
          <t>2026-06-16</t>
        </is>
      </c>
      <c r="B11440" s="3" t="inlineStr">
        <is>
          <t>랩지노믹스</t>
        </is>
      </c>
      <c r="C11440" s="2" t="inlineStr">
        <is>
          <t>코스닥</t>
        </is>
      </c>
      <c r="D11440" s="2" t="inlineStr">
        <is>
          <t>084650</t>
        </is>
      </c>
      <c r="E11440" s="3" t="inlineStr">
        <is>
          <t>임원ㆍ주요주주특정증권등소유상황보고서</t>
        </is>
      </c>
      <c r="F11440" s="3" t="inlineStr">
        <is>
          <t>루하갈락티코스</t>
        </is>
      </c>
      <c r="G11440" s="2" t="inlineStr">
        <is>
          <t>20260616000347</t>
        </is>
      </c>
      <c r="H11440" s="8">
        <f>HYPERLINK("https://dart.fss.or.kr/dsaf001/main.do?rcpNo=20260616000347", "공시열람")</f>
        <v/>
      </c>
    </row>
    <row r="11441">
      <c r="A11441" s="2" t="inlineStr">
        <is>
          <t>2026-06-16</t>
        </is>
      </c>
      <c r="B11441" s="3" t="inlineStr">
        <is>
          <t>제테마</t>
        </is>
      </c>
      <c r="C11441" s="2" t="inlineStr">
        <is>
          <t>코스닥</t>
        </is>
      </c>
      <c r="D11441" s="2" t="inlineStr">
        <is>
          <t>216080</t>
        </is>
      </c>
      <c r="E11441" s="3" t="inlineStr">
        <is>
          <t>임원ㆍ주요주주특정증권등소유상황보고서</t>
        </is>
      </c>
      <c r="F11441" s="3" t="inlineStr">
        <is>
          <t>곽민정</t>
        </is>
      </c>
      <c r="G11441" s="2" t="inlineStr">
        <is>
          <t>20260616000346</t>
        </is>
      </c>
      <c r="H11441" s="8">
        <f>HYPERLINK("https://dart.fss.or.kr/dsaf001/main.do?rcpNo=20260616000346", "공시열람")</f>
        <v/>
      </c>
    </row>
    <row r="11442">
      <c r="A11442" s="2" t="inlineStr">
        <is>
          <t>2026-06-16</t>
        </is>
      </c>
      <c r="B11442" s="3" t="inlineStr">
        <is>
          <t>원익피앤이</t>
        </is>
      </c>
      <c r="C11442" s="2" t="inlineStr">
        <is>
          <t>코스닥</t>
        </is>
      </c>
      <c r="D11442" s="2" t="inlineStr">
        <is>
          <t>217820</t>
        </is>
      </c>
      <c r="E11442" s="3" t="inlineStr">
        <is>
          <t>임원ㆍ주요주주특정증권등소유상황보고서</t>
        </is>
      </c>
      <c r="F11442" s="3" t="inlineStr">
        <is>
          <t>김원제</t>
        </is>
      </c>
      <c r="G11442" s="2" t="inlineStr">
        <is>
          <t>20260616000344</t>
        </is>
      </c>
      <c r="H11442" s="8">
        <f>HYPERLINK("https://dart.fss.or.kr/dsaf001/main.do?rcpNo=20260616000344", "공시열람")</f>
        <v/>
      </c>
    </row>
    <row r="11443">
      <c r="A11443" s="2" t="inlineStr">
        <is>
          <t>2026-06-16</t>
        </is>
      </c>
      <c r="B11443" s="3" t="inlineStr">
        <is>
          <t>NAVER</t>
        </is>
      </c>
      <c r="C11443" s="2" t="inlineStr">
        <is>
          <t>코스피</t>
        </is>
      </c>
      <c r="D11443" s="2" t="inlineStr">
        <is>
          <t>035420</t>
        </is>
      </c>
      <c r="E11443" s="3" t="inlineStr">
        <is>
          <t>특수관계인과의내부거래</t>
        </is>
      </c>
      <c r="F11443" s="3" t="inlineStr">
        <is>
          <t>NAVER</t>
        </is>
      </c>
      <c r="G11443" s="2" t="inlineStr">
        <is>
          <t>20260616000343</t>
        </is>
      </c>
      <c r="H11443" s="8">
        <f>HYPERLINK("https://dart.fss.or.kr/dsaf001/main.do?rcpNo=20260616000343", "공시열람")</f>
        <v/>
      </c>
    </row>
    <row r="11444">
      <c r="A11444" s="2" t="inlineStr">
        <is>
          <t>2026-06-16</t>
        </is>
      </c>
      <c r="B11444" s="3" t="inlineStr">
        <is>
          <t>알파AI</t>
        </is>
      </c>
      <c r="C11444" s="2" t="inlineStr">
        <is>
          <t>코스닥</t>
        </is>
      </c>
      <c r="D11444" s="2" t="inlineStr">
        <is>
          <t>043100</t>
        </is>
      </c>
      <c r="E11444" s="3" t="inlineStr">
        <is>
          <t>주요사항보고서(회생절차개시신청)</t>
        </is>
      </c>
      <c r="F11444" s="3" t="inlineStr">
        <is>
          <t>알파AI</t>
        </is>
      </c>
      <c r="G11444" s="2" t="inlineStr">
        <is>
          <t>20260616000326</t>
        </is>
      </c>
      <c r="H11444" s="8">
        <f>HYPERLINK("https://dart.fss.or.kr/dsaf001/main.do?rcpNo=20260616000326", "공시열람")</f>
        <v/>
      </c>
    </row>
    <row r="11445">
      <c r="A11445" s="2" t="inlineStr">
        <is>
          <t>2026-06-16</t>
        </is>
      </c>
      <c r="B11445" s="3" t="inlineStr">
        <is>
          <t>에이치엔에스하이텍</t>
        </is>
      </c>
      <c r="C11445" s="2" t="inlineStr">
        <is>
          <t>코스닥</t>
        </is>
      </c>
      <c r="D11445" s="2" t="inlineStr">
        <is>
          <t>044990</t>
        </is>
      </c>
      <c r="E11445" s="3" t="inlineStr">
        <is>
          <t>임원ㆍ주요주주특정증권등소유상황보고서</t>
        </is>
      </c>
      <c r="F11445" s="3" t="inlineStr">
        <is>
          <t>김정희</t>
        </is>
      </c>
      <c r="G11445" s="2" t="inlineStr">
        <is>
          <t>20260616000342</t>
        </is>
      </c>
      <c r="H11445" s="8">
        <f>HYPERLINK("https://dart.fss.or.kr/dsaf001/main.do?rcpNo=20260616000342", "공시열람")</f>
        <v/>
      </c>
    </row>
    <row r="11446">
      <c r="A11446" s="2" t="inlineStr">
        <is>
          <t>2026-06-16</t>
        </is>
      </c>
      <c r="B11446" s="3" t="inlineStr">
        <is>
          <t>NAVER</t>
        </is>
      </c>
      <c r="C11446" s="2" t="inlineStr">
        <is>
          <t>코스피</t>
        </is>
      </c>
      <c r="D11446" s="2" t="inlineStr">
        <is>
          <t>035420</t>
        </is>
      </c>
      <c r="E11446" s="3" t="inlineStr">
        <is>
          <t>특수관계인으로부터주식의취득</t>
        </is>
      </c>
      <c r="F11446" s="3" t="inlineStr">
        <is>
          <t>NAVER</t>
        </is>
      </c>
      <c r="G11446" s="2" t="inlineStr">
        <is>
          <t>20260616000340</t>
        </is>
      </c>
      <c r="H11446" s="8">
        <f>HYPERLINK("https://dart.fss.or.kr/dsaf001/main.do?rcpNo=20260616000340", "공시열람")</f>
        <v/>
      </c>
    </row>
    <row r="11447">
      <c r="A11447" s="2" t="inlineStr">
        <is>
          <t>2026-06-16</t>
        </is>
      </c>
      <c r="B11447" s="3" t="inlineStr">
        <is>
          <t>이수앱지스</t>
        </is>
      </c>
      <c r="C11447" s="2" t="inlineStr">
        <is>
          <t>코스닥</t>
        </is>
      </c>
      <c r="D11447" s="2" t="inlineStr">
        <is>
          <t>086890</t>
        </is>
      </c>
      <c r="E11447" s="3" t="inlineStr">
        <is>
          <t>임원ㆍ주요주주특정증권등거래계획보고서</t>
        </is>
      </c>
      <c r="F11447" s="3" t="inlineStr">
        <is>
          <t>김상범</t>
        </is>
      </c>
      <c r="G11447" s="2" t="inlineStr">
        <is>
          <t>20260616000339</t>
        </is>
      </c>
      <c r="H11447" s="8">
        <f>HYPERLINK("https://dart.fss.or.kr/dsaf001/main.do?rcpNo=20260616000339", "공시열람")</f>
        <v/>
      </c>
    </row>
    <row r="11448">
      <c r="A11448" s="2" t="inlineStr">
        <is>
          <t>2026-06-16</t>
        </is>
      </c>
      <c r="B11448" s="3" t="inlineStr">
        <is>
          <t>계룡건설산업</t>
        </is>
      </c>
      <c r="C11448" s="2" t="inlineStr">
        <is>
          <t>코스피</t>
        </is>
      </c>
      <c r="D11448" s="2" t="inlineStr">
        <is>
          <t>013580</t>
        </is>
      </c>
      <c r="E11448" s="3" t="inlineStr">
        <is>
          <t xml:space="preserve">투자판단관련주요경영사항              </t>
        </is>
      </c>
      <c r="F11448" s="3" t="inlineStr">
        <is>
          <t>계룡건설산업</t>
        </is>
      </c>
      <c r="G11448" s="2" t="inlineStr">
        <is>
          <t>20260616800689</t>
        </is>
      </c>
      <c r="H11448" s="8">
        <f>HYPERLINK("https://dart.fss.or.kr/dsaf001/main.do?rcpNo=20260616800689", "공시열람")</f>
        <v/>
      </c>
    </row>
    <row r="11449">
      <c r="A11449" s="2" t="inlineStr">
        <is>
          <t>2026-06-16</t>
        </is>
      </c>
      <c r="B11449" s="3" t="inlineStr">
        <is>
          <t>NH투자증권</t>
        </is>
      </c>
      <c r="C11449" s="2" t="inlineStr">
        <is>
          <t>코스피</t>
        </is>
      </c>
      <c r="D11449" s="2" t="inlineStr">
        <is>
          <t>005940</t>
        </is>
      </c>
      <c r="E11449" s="3" t="inlineStr">
        <is>
          <t>증권발행실적보고서</t>
        </is>
      </c>
      <c r="F11449" s="3" t="inlineStr">
        <is>
          <t>NH투자증권</t>
        </is>
      </c>
      <c r="G11449" s="2" t="inlineStr">
        <is>
          <t>20260616000337</t>
        </is>
      </c>
      <c r="H11449" s="8">
        <f>HYPERLINK("https://dart.fss.or.kr/dsaf001/main.do?rcpNo=20260616000337", "공시열람")</f>
        <v/>
      </c>
    </row>
    <row r="11450">
      <c r="A11450" s="2" t="inlineStr">
        <is>
          <t>2026-06-16</t>
        </is>
      </c>
      <c r="B11450" s="3" t="inlineStr">
        <is>
          <t>이수앱지스</t>
        </is>
      </c>
      <c r="C11450" s="2" t="inlineStr">
        <is>
          <t>코스닥</t>
        </is>
      </c>
      <c r="D11450" s="2" t="inlineStr">
        <is>
          <t>086890</t>
        </is>
      </c>
      <c r="E11450" s="3" t="inlineStr">
        <is>
          <t>임원ㆍ주요주주특정증권등거래계획보고서</t>
        </is>
      </c>
      <c r="F11450" s="3" t="inlineStr">
        <is>
          <t>김세민</t>
        </is>
      </c>
      <c r="G11450" s="2" t="inlineStr">
        <is>
          <t>20260616000334</t>
        </is>
      </c>
      <c r="H11450" s="8">
        <f>HYPERLINK("https://dart.fss.or.kr/dsaf001/main.do?rcpNo=20260616000334", "공시열람")</f>
        <v/>
      </c>
    </row>
    <row r="11451">
      <c r="A11451" s="2" t="inlineStr">
        <is>
          <t>2026-06-16</t>
        </is>
      </c>
      <c r="B11451" s="3" t="inlineStr">
        <is>
          <t>효성중공업</t>
        </is>
      </c>
      <c r="C11451" s="2" t="inlineStr">
        <is>
          <t>코스피</t>
        </is>
      </c>
      <c r="D11451" s="2" t="inlineStr">
        <is>
          <t>298040</t>
        </is>
      </c>
      <c r="E11451" s="3" t="inlineStr">
        <is>
          <t xml:space="preserve">기업설명회(IR)개최(안내공시)              </t>
        </is>
      </c>
      <c r="F11451" s="3" t="inlineStr">
        <is>
          <t>효성중공업</t>
        </is>
      </c>
      <c r="G11451" s="2" t="inlineStr">
        <is>
          <t>20260616800704</t>
        </is>
      </c>
      <c r="H11451" s="8">
        <f>HYPERLINK("https://dart.fss.or.kr/dsaf001/main.do?rcpNo=20260616800704", "공시열람")</f>
        <v/>
      </c>
    </row>
    <row r="11452">
      <c r="A11452" s="2" t="inlineStr">
        <is>
          <t>2026-06-16</t>
        </is>
      </c>
      <c r="B11452" s="3" t="inlineStr">
        <is>
          <t>디와이에이</t>
        </is>
      </c>
      <c r="C11452" s="2" t="inlineStr">
        <is>
          <t>코스피</t>
        </is>
      </c>
      <c r="D11452" s="2" t="inlineStr">
        <is>
          <t>002880</t>
        </is>
      </c>
      <c r="E11452" s="3" t="inlineStr">
        <is>
          <t>의결권대리행사권유참고서류</t>
        </is>
      </c>
      <c r="F11452" s="3" t="inlineStr">
        <is>
          <t>디와이에이</t>
        </is>
      </c>
      <c r="G11452" s="2" t="inlineStr">
        <is>
          <t>20260616000330</t>
        </is>
      </c>
      <c r="H11452" s="8">
        <f>HYPERLINK("https://dart.fss.or.kr/dsaf001/main.do?rcpNo=20260616000330", "공시열람")</f>
        <v/>
      </c>
    </row>
    <row r="11453">
      <c r="A11453" s="2" t="inlineStr">
        <is>
          <t>2026-06-16</t>
        </is>
      </c>
      <c r="B11453" s="3" t="inlineStr">
        <is>
          <t>루켄테크놀러지스</t>
        </is>
      </c>
      <c r="C11453" s="2" t="inlineStr">
        <is>
          <t>코넥스</t>
        </is>
      </c>
      <c r="D11453" s="2" t="inlineStr">
        <is>
          <t>162120</t>
        </is>
      </c>
      <c r="E11453" s="3" t="inlineStr">
        <is>
          <t xml:space="preserve">기업설명회(IR)개최결과              </t>
        </is>
      </c>
      <c r="F11453" s="3" t="inlineStr">
        <is>
          <t>루켄테크놀러지스</t>
        </is>
      </c>
      <c r="G11453" s="2" t="inlineStr">
        <is>
          <t>20260616600657</t>
        </is>
      </c>
      <c r="H11453" s="8">
        <f>HYPERLINK("https://dart.fss.or.kr/dsaf001/main.do?rcpNo=20260616600657", "공시열람")</f>
        <v/>
      </c>
    </row>
    <row r="11454">
      <c r="A11454" s="2" t="inlineStr">
        <is>
          <t>2026-06-16</t>
        </is>
      </c>
      <c r="B11454" s="3" t="inlineStr">
        <is>
          <t>신세계</t>
        </is>
      </c>
      <c r="C11454" s="2" t="inlineStr">
        <is>
          <t>코스피</t>
        </is>
      </c>
      <c r="D11454" s="2" t="inlineStr">
        <is>
          <t>004170</t>
        </is>
      </c>
      <c r="E11454" s="3" t="inlineStr">
        <is>
          <t xml:space="preserve">기업설명회(IR)개최(안내공시)              </t>
        </is>
      </c>
      <c r="F11454" s="3" t="inlineStr">
        <is>
          <t>신세계</t>
        </is>
      </c>
      <c r="G11454" s="2" t="inlineStr">
        <is>
          <t>20260616800698</t>
        </is>
      </c>
      <c r="H11454" s="8">
        <f>HYPERLINK("https://dart.fss.or.kr/dsaf001/main.do?rcpNo=20260616800698", "공시열람")</f>
        <v/>
      </c>
    </row>
    <row r="11455">
      <c r="A11455" s="2" t="inlineStr">
        <is>
          <t>2026-06-16</t>
        </is>
      </c>
      <c r="B11455" s="3" t="inlineStr">
        <is>
          <t>코오롱글로벌</t>
        </is>
      </c>
      <c r="C11455" s="2" t="inlineStr">
        <is>
          <t>코스피</t>
        </is>
      </c>
      <c r="D11455" s="2" t="inlineStr">
        <is>
          <t>003070</t>
        </is>
      </c>
      <c r="E11455" s="3" t="inlineStr">
        <is>
          <t>임원ㆍ주요주주특정증권등소유상황보고서</t>
        </is>
      </c>
      <c r="F11455" s="3" t="inlineStr">
        <is>
          <t>이수진</t>
        </is>
      </c>
      <c r="G11455" s="2" t="inlineStr">
        <is>
          <t>20260616000325</t>
        </is>
      </c>
      <c r="H11455" s="8">
        <f>HYPERLINK("https://dart.fss.or.kr/dsaf001/main.do?rcpNo=20260616000325", "공시열람")</f>
        <v/>
      </c>
    </row>
    <row r="11456">
      <c r="A11456" s="2" t="inlineStr">
        <is>
          <t>2026-06-16 (정정: 2026-06-16)</t>
        </is>
      </c>
      <c r="B11456" s="3" t="inlineStr">
        <is>
          <t>한화에어로스페이스</t>
        </is>
      </c>
      <c r="C11456" s="2" t="inlineStr">
        <is>
          <t>코스피</t>
        </is>
      </c>
      <c r="D11456" s="2" t="inlineStr">
        <is>
          <t>012450</t>
        </is>
      </c>
      <c r="E11456" s="3" t="inlineStr">
        <is>
          <t>타법인주식및출자증권취득결정               (정정: 20260616)</t>
        </is>
      </c>
      <c r="F11456" s="3" t="inlineStr">
        <is>
          <t>한화에어로스페이스</t>
        </is>
      </c>
      <c r="G11456" s="2" t="inlineStr">
        <is>
          <t>20260616800637</t>
        </is>
      </c>
      <c r="H11456" s="8">
        <f>HYPERLINK("https://dart.fss.or.kr/dsaf001/main.do?rcpNo=20260616800637", "공시열람")</f>
        <v/>
      </c>
    </row>
    <row r="11457">
      <c r="A11457" s="2" t="inlineStr">
        <is>
          <t>2026-06-16</t>
        </is>
      </c>
      <c r="B11457" s="3" t="inlineStr">
        <is>
          <t>삼영에스앤씨</t>
        </is>
      </c>
      <c r="C11457" s="2" t="inlineStr">
        <is>
          <t>코스닥</t>
        </is>
      </c>
      <c r="D11457" s="2" t="inlineStr">
        <is>
          <t>361670</t>
        </is>
      </c>
      <c r="E11457" s="3" t="inlineStr">
        <is>
          <t>임원ㆍ주요주주특정증권등소유상황보고서</t>
        </is>
      </c>
      <c r="F11457" s="3" t="inlineStr">
        <is>
          <t>고승남</t>
        </is>
      </c>
      <c r="G11457" s="2" t="inlineStr">
        <is>
          <t>20260616000321</t>
        </is>
      </c>
      <c r="H11457" s="8">
        <f>HYPERLINK("https://dart.fss.or.kr/dsaf001/main.do?rcpNo=20260616000321", "공시열람")</f>
        <v/>
      </c>
    </row>
    <row r="11458">
      <c r="A11458" s="2" t="inlineStr">
        <is>
          <t>2026-06-16</t>
        </is>
      </c>
      <c r="B11458" s="3" t="inlineStr">
        <is>
          <t>이엔플러스</t>
        </is>
      </c>
      <c r="C11458" s="2" t="inlineStr">
        <is>
          <t>코스피</t>
        </is>
      </c>
      <c r="D11458" s="2" t="inlineStr">
        <is>
          <t>074610</t>
        </is>
      </c>
      <c r="E11458" s="3" t="inlineStr">
        <is>
          <t>사외이사의선임ㆍ해임또는중도퇴임에관한신고</t>
        </is>
      </c>
      <c r="F11458" s="3" t="inlineStr">
        <is>
          <t>이엔플러스</t>
        </is>
      </c>
      <c r="G11458" s="2" t="inlineStr">
        <is>
          <t>20260616000314</t>
        </is>
      </c>
      <c r="H11458" s="8">
        <f>HYPERLINK("https://dart.fss.or.kr/dsaf001/main.do?rcpNo=20260616000314", "공시열람")</f>
        <v/>
      </c>
    </row>
    <row r="11459">
      <c r="A11459" s="2" t="inlineStr">
        <is>
          <t>2026-06-16</t>
        </is>
      </c>
      <c r="B11459" s="3" t="inlineStr">
        <is>
          <t>삼영에스앤씨</t>
        </is>
      </c>
      <c r="C11459" s="2" t="inlineStr">
        <is>
          <t>코스닥</t>
        </is>
      </c>
      <c r="D11459" s="2" t="inlineStr">
        <is>
          <t>361670</t>
        </is>
      </c>
      <c r="E11459" s="3" t="inlineStr">
        <is>
          <t>임원ㆍ주요주주특정증권등소유상황보고서</t>
        </is>
      </c>
      <c r="F11459" s="3" t="inlineStr">
        <is>
          <t>박상익</t>
        </is>
      </c>
      <c r="G11459" s="2" t="inlineStr">
        <is>
          <t>20260616000312</t>
        </is>
      </c>
      <c r="H11459" s="8">
        <f>HYPERLINK("https://dart.fss.or.kr/dsaf001/main.do?rcpNo=20260616000312", "공시열람")</f>
        <v/>
      </c>
    </row>
    <row r="11460">
      <c r="A11460" s="2" t="inlineStr">
        <is>
          <t>2026-06-16</t>
        </is>
      </c>
      <c r="B11460" s="3" t="inlineStr">
        <is>
          <t>민테크</t>
        </is>
      </c>
      <c r="C11460" s="2" t="inlineStr">
        <is>
          <t>코스닥</t>
        </is>
      </c>
      <c r="D11460" s="2" t="inlineStr">
        <is>
          <t>452200</t>
        </is>
      </c>
      <c r="E11460" s="3" t="inlineStr">
        <is>
          <t>임원ㆍ주요주주특정증권등소유상황보고서</t>
        </is>
      </c>
      <c r="F11460" s="3" t="inlineStr">
        <is>
          <t>김재규</t>
        </is>
      </c>
      <c r="G11460" s="2" t="inlineStr">
        <is>
          <t>20260616000305</t>
        </is>
      </c>
      <c r="H11460" s="8">
        <f>HYPERLINK("https://dart.fss.or.kr/dsaf001/main.do?rcpNo=20260616000305", "공시열람")</f>
        <v/>
      </c>
    </row>
    <row r="11461">
      <c r="A11461" s="2" t="inlineStr">
        <is>
          <t>2026-06-16</t>
        </is>
      </c>
      <c r="B11461" s="3" t="inlineStr">
        <is>
          <t>제이케이시냅스</t>
        </is>
      </c>
      <c r="C11461" s="2" t="inlineStr">
        <is>
          <t>코스닥</t>
        </is>
      </c>
      <c r="D11461" s="2" t="inlineStr">
        <is>
          <t>060230</t>
        </is>
      </c>
      <c r="E11461" s="3" t="inlineStr">
        <is>
          <t>주권매매거래정지              (주식의 병합, 분할 등 전자등록 변경, 말소)</t>
        </is>
      </c>
      <c r="F11461" s="3" t="inlineStr">
        <is>
          <t>코스닥시장본부</t>
        </is>
      </c>
      <c r="G11461" s="2" t="inlineStr">
        <is>
          <t>20260616900631</t>
        </is>
      </c>
      <c r="H11461" s="8">
        <f>HYPERLINK("https://dart.fss.or.kr/dsaf001/main.do?rcpNo=20260616900631", "공시열람")</f>
        <v/>
      </c>
    </row>
    <row r="11462">
      <c r="A11462" s="2" t="inlineStr">
        <is>
          <t>2026-06-16</t>
        </is>
      </c>
      <c r="B11462" s="3" t="inlineStr">
        <is>
          <t>포니링크</t>
        </is>
      </c>
      <c r="C11462" s="2" t="inlineStr">
        <is>
          <t>코스닥</t>
        </is>
      </c>
      <c r="D11462" s="2" t="inlineStr">
        <is>
          <t>064800</t>
        </is>
      </c>
      <c r="E11462" s="3" t="inlineStr">
        <is>
          <t xml:space="preserve">증권발행결과(자율공시)              </t>
        </is>
      </c>
      <c r="F11462" s="3" t="inlineStr">
        <is>
          <t>포니링크</t>
        </is>
      </c>
      <c r="G11462" s="2" t="inlineStr">
        <is>
          <t>20260616900641</t>
        </is>
      </c>
      <c r="H11462" s="8">
        <f>HYPERLINK("https://dart.fss.or.kr/dsaf001/main.do?rcpNo=20260616900641", "공시열람")</f>
        <v/>
      </c>
    </row>
    <row r="11463">
      <c r="A11463" s="2" t="inlineStr">
        <is>
          <t>2026-06-16</t>
        </is>
      </c>
      <c r="B11463" s="3" t="inlineStr">
        <is>
          <t>모아텍</t>
        </is>
      </c>
      <c r="C11463" s="2" t="inlineStr">
        <is>
          <t>코스닥</t>
        </is>
      </c>
      <c r="D11463" s="2" t="inlineStr">
        <is>
          <t>033200</t>
        </is>
      </c>
      <c r="E11463" s="3" t="inlineStr">
        <is>
          <t xml:space="preserve">감사보고서제출              </t>
        </is>
      </c>
      <c r="F11463" s="3" t="inlineStr">
        <is>
          <t>모아텍</t>
        </is>
      </c>
      <c r="G11463" s="2" t="inlineStr">
        <is>
          <t>20260616900580</t>
        </is>
      </c>
      <c r="H11463" s="8">
        <f>HYPERLINK("https://dart.fss.or.kr/dsaf001/main.do?rcpNo=20260616900580", "공시열람")</f>
        <v/>
      </c>
    </row>
    <row r="11464">
      <c r="A11464" s="2" t="inlineStr">
        <is>
          <t>2026-06-16</t>
        </is>
      </c>
      <c r="B11464" s="3" t="inlineStr">
        <is>
          <t>뉴로메카</t>
        </is>
      </c>
      <c r="C11464" s="2" t="inlineStr">
        <is>
          <t>코스닥</t>
        </is>
      </c>
      <c r="D11464" s="2" t="inlineStr">
        <is>
          <t>348340</t>
        </is>
      </c>
      <c r="E11464" s="3" t="inlineStr">
        <is>
          <t>전환가액의조정              (제1회차)</t>
        </is>
      </c>
      <c r="F11464" s="3" t="inlineStr">
        <is>
          <t>뉴로메카</t>
        </is>
      </c>
      <c r="G11464" s="2" t="inlineStr">
        <is>
          <t>20260616900569</t>
        </is>
      </c>
      <c r="H11464" s="8">
        <f>HYPERLINK("https://dart.fss.or.kr/dsaf001/main.do?rcpNo=20260616900569", "공시열람")</f>
        <v/>
      </c>
    </row>
    <row r="11465">
      <c r="A11465" s="2" t="inlineStr">
        <is>
          <t>2026-06-16</t>
        </is>
      </c>
      <c r="B11465" s="3" t="inlineStr">
        <is>
          <t>한솔홀딩스</t>
        </is>
      </c>
      <c r="C11465" s="2" t="inlineStr">
        <is>
          <t>코스피</t>
        </is>
      </c>
      <c r="D11465" s="2" t="inlineStr">
        <is>
          <t>004150</t>
        </is>
      </c>
      <c r="E11465" s="3" t="inlineStr">
        <is>
          <t>임원ㆍ주요주주특정증권등소유상황보고서</t>
        </is>
      </c>
      <c r="F11465" s="3" t="inlineStr">
        <is>
          <t>조성민</t>
        </is>
      </c>
      <c r="G11465" s="2" t="inlineStr">
        <is>
          <t>20260616000295</t>
        </is>
      </c>
      <c r="H11465" s="8">
        <f>HYPERLINK("https://dart.fss.or.kr/dsaf001/main.do?rcpNo=20260616000295", "공시열람")</f>
        <v/>
      </c>
    </row>
    <row r="11466">
      <c r="A11466" s="2" t="inlineStr">
        <is>
          <t>2026-06-16</t>
        </is>
      </c>
      <c r="B11466" s="3" t="inlineStr">
        <is>
          <t>신한지주</t>
        </is>
      </c>
      <c r="C11466" s="2" t="inlineStr">
        <is>
          <t>코스피</t>
        </is>
      </c>
      <c r="D11466" s="2" t="inlineStr">
        <is>
          <t>055550</t>
        </is>
      </c>
      <c r="E11466" s="3" t="inlineStr">
        <is>
          <t xml:space="preserve">기업설명회(IR)개최(안내공시)              </t>
        </is>
      </c>
      <c r="F11466" s="3" t="inlineStr">
        <is>
          <t>신한지주</t>
        </is>
      </c>
      <c r="G11466" s="2" t="inlineStr">
        <is>
          <t>20260616800632</t>
        </is>
      </c>
      <c r="H11466" s="8">
        <f>HYPERLINK("https://dart.fss.or.kr/dsaf001/main.do?rcpNo=20260616800632", "공시열람")</f>
        <v/>
      </c>
    </row>
    <row r="11467">
      <c r="A11467" s="2" t="inlineStr">
        <is>
          <t>2026-06-16</t>
        </is>
      </c>
      <c r="B11467" s="3" t="inlineStr">
        <is>
          <t>한화투자증권</t>
        </is>
      </c>
      <c r="C11467" s="2" t="inlineStr">
        <is>
          <t>코스피</t>
        </is>
      </c>
      <c r="D11467" s="2" t="inlineStr">
        <is>
          <t>003530</t>
        </is>
      </c>
      <c r="E11467" s="3" t="inlineStr">
        <is>
          <t>투자설명서(일괄신고)</t>
        </is>
      </c>
      <c r="F11467" s="3" t="inlineStr">
        <is>
          <t>한화투자증권</t>
        </is>
      </c>
      <c r="G11467" s="2" t="inlineStr">
        <is>
          <t>20260616000290</t>
        </is>
      </c>
      <c r="H11467" s="8">
        <f>HYPERLINK("https://dart.fss.or.kr/dsaf001/main.do?rcpNo=20260616000290", "공시열람")</f>
        <v/>
      </c>
    </row>
    <row r="11468">
      <c r="A11468" s="2" t="inlineStr">
        <is>
          <t>2026-06-16</t>
        </is>
      </c>
      <c r="B11468" s="3" t="inlineStr">
        <is>
          <t>유안타증권</t>
        </is>
      </c>
      <c r="C11468" s="2" t="inlineStr">
        <is>
          <t>코스피</t>
        </is>
      </c>
      <c r="D11468" s="2" t="inlineStr">
        <is>
          <t>003470</t>
        </is>
      </c>
      <c r="E11468" s="3" t="inlineStr">
        <is>
          <t>투자설명서(일괄신고)</t>
        </is>
      </c>
      <c r="F11468" s="3" t="inlineStr">
        <is>
          <t>유안타증권</t>
        </is>
      </c>
      <c r="G11468" s="2" t="inlineStr">
        <is>
          <t>20260616000287</t>
        </is>
      </c>
      <c r="H11468" s="8">
        <f>HYPERLINK("https://dart.fss.or.kr/dsaf001/main.do?rcpNo=20260616000287", "공시열람")</f>
        <v/>
      </c>
    </row>
    <row r="11469">
      <c r="A11469" s="2" t="inlineStr">
        <is>
          <t>2026-06-16</t>
        </is>
      </c>
      <c r="B11469" s="3" t="inlineStr">
        <is>
          <t>E8</t>
        </is>
      </c>
      <c r="C11469" s="2" t="inlineStr">
        <is>
          <t>코스닥</t>
        </is>
      </c>
      <c r="D11469" s="2" t="inlineStr">
        <is>
          <t>418620</t>
        </is>
      </c>
      <c r="E11469" s="3" t="inlineStr">
        <is>
          <t>임원ㆍ주요주주특정증권등소유상황보고서</t>
        </is>
      </c>
      <c r="F11469" s="3" t="inlineStr">
        <is>
          <t>류제형</t>
        </is>
      </c>
      <c r="G11469" s="2" t="inlineStr">
        <is>
          <t>20260616000286</t>
        </is>
      </c>
      <c r="H11469" s="8">
        <f>HYPERLINK("https://dart.fss.or.kr/dsaf001/main.do?rcpNo=20260616000286", "공시열람")</f>
        <v/>
      </c>
    </row>
    <row r="11470">
      <c r="A11470" s="2" t="inlineStr">
        <is>
          <t>2026-06-16</t>
        </is>
      </c>
      <c r="B11470" s="3" t="inlineStr">
        <is>
          <t>제이스로보틱스</t>
        </is>
      </c>
      <c r="C11470" s="2" t="inlineStr">
        <is>
          <t>코스닥</t>
        </is>
      </c>
      <c r="D11470" s="2" t="inlineStr">
        <is>
          <t>090470</t>
        </is>
      </c>
      <c r="E11470" s="3" t="inlineStr">
        <is>
          <t>임원ㆍ주요주주특정증권등소유상황보고서</t>
        </is>
      </c>
      <c r="F11470" s="3" t="inlineStr">
        <is>
          <t>장웅상</t>
        </is>
      </c>
      <c r="G11470" s="2" t="inlineStr">
        <is>
          <t>20260616000284</t>
        </is>
      </c>
      <c r="H11470" s="8">
        <f>HYPERLINK("https://dart.fss.or.kr/dsaf001/main.do?rcpNo=20260616000284", "공시열람")</f>
        <v/>
      </c>
    </row>
    <row r="11471">
      <c r="A11471" s="2" t="inlineStr">
        <is>
          <t>2026-06-16</t>
        </is>
      </c>
      <c r="B11471" s="3" t="inlineStr">
        <is>
          <t>가온전선</t>
        </is>
      </c>
      <c r="C11471" s="2" t="inlineStr">
        <is>
          <t>코스피</t>
        </is>
      </c>
      <c r="D11471" s="2" t="inlineStr">
        <is>
          <t>000500</t>
        </is>
      </c>
      <c r="E11471" s="3" t="inlineStr">
        <is>
          <t>동일인등출자계열회사와의상품ㆍ용역거래변경</t>
        </is>
      </c>
      <c r="F11471" s="3" t="inlineStr">
        <is>
          <t>가온전선</t>
        </is>
      </c>
      <c r="G11471" s="2" t="inlineStr">
        <is>
          <t>20260616000283</t>
        </is>
      </c>
      <c r="H11471" s="8">
        <f>HYPERLINK("https://dart.fss.or.kr/dsaf001/main.do?rcpNo=20260616000283", "공시열람")</f>
        <v/>
      </c>
    </row>
    <row r="11472">
      <c r="A11472" s="2" t="inlineStr">
        <is>
          <t>2026-06-16</t>
        </is>
      </c>
      <c r="B11472" s="3" t="inlineStr">
        <is>
          <t>한화투자증권</t>
        </is>
      </c>
      <c r="C11472" s="2" t="inlineStr">
        <is>
          <t>코스피</t>
        </is>
      </c>
      <c r="D11472" s="2" t="inlineStr">
        <is>
          <t>003530</t>
        </is>
      </c>
      <c r="E11472" s="3" t="inlineStr">
        <is>
          <t>일괄신고추가서류(파생결합증권-주가연계증권)</t>
        </is>
      </c>
      <c r="F11472" s="3" t="inlineStr">
        <is>
          <t>한화투자증권</t>
        </is>
      </c>
      <c r="G11472" s="2" t="inlineStr">
        <is>
          <t>20260616000282</t>
        </is>
      </c>
      <c r="H11472" s="8">
        <f>HYPERLINK("https://dart.fss.or.kr/dsaf001/main.do?rcpNo=20260616000282", "공시열람")</f>
        <v/>
      </c>
    </row>
    <row r="11473">
      <c r="A11473" s="2" t="inlineStr">
        <is>
          <t>2026-06-16</t>
        </is>
      </c>
      <c r="B11473" s="3" t="inlineStr">
        <is>
          <t>스맥</t>
        </is>
      </c>
      <c r="C11473" s="2" t="inlineStr">
        <is>
          <t>코스닥</t>
        </is>
      </c>
      <c r="D11473" s="2" t="inlineStr">
        <is>
          <t>099440</t>
        </is>
      </c>
      <c r="E11473" s="3" t="inlineStr">
        <is>
          <t>임원ㆍ주요주주특정증권등소유상황보고서</t>
        </is>
      </c>
      <c r="F11473" s="3" t="inlineStr">
        <is>
          <t>최영섭</t>
        </is>
      </c>
      <c r="G11473" s="2" t="inlineStr">
        <is>
          <t>20260616000281</t>
        </is>
      </c>
      <c r="H11473" s="8">
        <f>HYPERLINK("https://dart.fss.or.kr/dsaf001/main.do?rcpNo=20260616000281", "공시열람")</f>
        <v/>
      </c>
    </row>
    <row r="11474">
      <c r="A11474" s="2" t="inlineStr">
        <is>
          <t>2026-06-16</t>
        </is>
      </c>
      <c r="B11474" s="3" t="inlineStr">
        <is>
          <t>가온전선</t>
        </is>
      </c>
      <c r="C11474" s="2" t="inlineStr">
        <is>
          <t>코스피</t>
        </is>
      </c>
      <c r="D11474" s="2" t="inlineStr">
        <is>
          <t>000500</t>
        </is>
      </c>
      <c r="E11474" s="3" t="inlineStr">
        <is>
          <t>동일인등출자계열회사와의상품ㆍ용역거래변경</t>
        </is>
      </c>
      <c r="F11474" s="3" t="inlineStr">
        <is>
          <t>가온전선</t>
        </is>
      </c>
      <c r="G11474" s="2" t="inlineStr">
        <is>
          <t>20260616000280</t>
        </is>
      </c>
      <c r="H11474" s="8">
        <f>HYPERLINK("https://dart.fss.or.kr/dsaf001/main.do?rcpNo=20260616000280", "공시열람")</f>
        <v/>
      </c>
    </row>
    <row r="11475">
      <c r="A11475" s="2" t="inlineStr">
        <is>
          <t>2026-06-16</t>
        </is>
      </c>
      <c r="B11475" s="3" t="inlineStr">
        <is>
          <t>PKC</t>
        </is>
      </c>
      <c r="C11475" s="2" t="inlineStr">
        <is>
          <t>코스피</t>
        </is>
      </c>
      <c r="D11475" s="2" t="inlineStr">
        <is>
          <t>001340</t>
        </is>
      </c>
      <c r="E11475" s="3" t="inlineStr">
        <is>
          <t>[기재정정]주요사항보고서(유형자산양수결정)</t>
        </is>
      </c>
      <c r="F11475" s="3" t="inlineStr">
        <is>
          <t>PKC</t>
        </is>
      </c>
      <c r="G11475" s="2" t="inlineStr">
        <is>
          <t>20260616000251</t>
        </is>
      </c>
      <c r="H11475" s="8">
        <f>HYPERLINK("https://dart.fss.or.kr/dsaf001/main.do?rcpNo=20260616000251", "공시열람")</f>
        <v/>
      </c>
    </row>
    <row r="11476">
      <c r="A11476" s="2" t="inlineStr">
        <is>
          <t>2026-06-16</t>
        </is>
      </c>
      <c r="B11476" s="3" t="inlineStr">
        <is>
          <t>유안타증권</t>
        </is>
      </c>
      <c r="C11476" s="2" t="inlineStr">
        <is>
          <t>코스피</t>
        </is>
      </c>
      <c r="D11476" s="2" t="inlineStr">
        <is>
          <t>003470</t>
        </is>
      </c>
      <c r="E11476" s="3" t="inlineStr">
        <is>
          <t>일괄신고추가서류(파생결합증권-주가연계증권)</t>
        </is>
      </c>
      <c r="F11476" s="3" t="inlineStr">
        <is>
          <t>유안타증권</t>
        </is>
      </c>
      <c r="G11476" s="2" t="inlineStr">
        <is>
          <t>20260616000279</t>
        </is>
      </c>
      <c r="H11476" s="8">
        <f>HYPERLINK("https://dart.fss.or.kr/dsaf001/main.do?rcpNo=20260616000279", "공시열람")</f>
        <v/>
      </c>
    </row>
    <row r="11477">
      <c r="A11477" s="2" t="inlineStr">
        <is>
          <t>2026-06-16</t>
        </is>
      </c>
      <c r="B11477" s="3" t="inlineStr">
        <is>
          <t>E8</t>
        </is>
      </c>
      <c r="C11477" s="2" t="inlineStr">
        <is>
          <t>코스닥</t>
        </is>
      </c>
      <c r="D11477" s="2" t="inlineStr">
        <is>
          <t>418620</t>
        </is>
      </c>
      <c r="E11477" s="3" t="inlineStr">
        <is>
          <t>임원ㆍ주요주주특정증권등소유상황보고서</t>
        </is>
      </c>
      <c r="F11477" s="3" t="inlineStr">
        <is>
          <t>김진현</t>
        </is>
      </c>
      <c r="G11477" s="2" t="inlineStr">
        <is>
          <t>20260616000278</t>
        </is>
      </c>
      <c r="H11477" s="8">
        <f>HYPERLINK("https://dart.fss.or.kr/dsaf001/main.do?rcpNo=20260616000278", "공시열람")</f>
        <v/>
      </c>
    </row>
    <row r="11478">
      <c r="A11478" s="2" t="inlineStr">
        <is>
          <t>2026-06-16</t>
        </is>
      </c>
      <c r="B11478" s="3" t="inlineStr">
        <is>
          <t>제이스로보틱스</t>
        </is>
      </c>
      <c r="C11478" s="2" t="inlineStr">
        <is>
          <t>코스닥</t>
        </is>
      </c>
      <c r="D11478" s="2" t="inlineStr">
        <is>
          <t>090470</t>
        </is>
      </c>
      <c r="E11478" s="3" t="inlineStr">
        <is>
          <t>임원ㆍ주요주주특정증권등소유상황보고서</t>
        </is>
      </c>
      <c r="F11478" s="3" t="inlineStr">
        <is>
          <t>정영흠</t>
        </is>
      </c>
      <c r="G11478" s="2" t="inlineStr">
        <is>
          <t>20260616000277</t>
        </is>
      </c>
      <c r="H11478" s="8">
        <f>HYPERLINK("https://dart.fss.or.kr/dsaf001/main.do?rcpNo=20260616000277", "공시열람")</f>
        <v/>
      </c>
    </row>
    <row r="11479">
      <c r="A11479" s="2" t="inlineStr">
        <is>
          <t>2026-06-16</t>
        </is>
      </c>
      <c r="B11479" s="3" t="inlineStr">
        <is>
          <t>수산아이앤티</t>
        </is>
      </c>
      <c r="C11479" s="2" t="inlineStr">
        <is>
          <t>코스닥</t>
        </is>
      </c>
      <c r="D11479" s="2" t="inlineStr">
        <is>
          <t>050960</t>
        </is>
      </c>
      <c r="E11479" s="3" t="inlineStr">
        <is>
          <t>임원ㆍ주요주주특정증권등소유상황보고서</t>
        </is>
      </c>
      <c r="F11479" s="3" t="inlineStr">
        <is>
          <t>정은아</t>
        </is>
      </c>
      <c r="G11479" s="2" t="inlineStr">
        <is>
          <t>20260616000275</t>
        </is>
      </c>
      <c r="H11479" s="8">
        <f>HYPERLINK("https://dart.fss.or.kr/dsaf001/main.do?rcpNo=20260616000275", "공시열람")</f>
        <v/>
      </c>
    </row>
    <row r="11480">
      <c r="A11480" s="2" t="inlineStr">
        <is>
          <t>2026-06-16</t>
        </is>
      </c>
      <c r="B11480" s="3" t="inlineStr">
        <is>
          <t>유유제약</t>
        </is>
      </c>
      <c r="C11480" s="2" t="inlineStr">
        <is>
          <t>코스피</t>
        </is>
      </c>
      <c r="D11480" s="2" t="inlineStr">
        <is>
          <t>000220</t>
        </is>
      </c>
      <c r="E11480" s="3" t="inlineStr">
        <is>
          <t>임원ㆍ주요주주특정증권등소유상황보고서</t>
        </is>
      </c>
      <c r="F11480" s="3" t="inlineStr">
        <is>
          <t>장홍석</t>
        </is>
      </c>
      <c r="G11480" s="2" t="inlineStr">
        <is>
          <t>20260616000273</t>
        </is>
      </c>
      <c r="H11480" s="8">
        <f>HYPERLINK("https://dart.fss.or.kr/dsaf001/main.do?rcpNo=20260616000273", "공시열람")</f>
        <v/>
      </c>
    </row>
    <row r="11481">
      <c r="A11481" s="2" t="inlineStr">
        <is>
          <t>2026-06-16</t>
        </is>
      </c>
      <c r="B11481" s="3" t="inlineStr">
        <is>
          <t>풍전약품</t>
        </is>
      </c>
      <c r="C11481" s="2" t="inlineStr">
        <is>
          <t>코스닥</t>
        </is>
      </c>
      <c r="D11481" s="2" t="inlineStr">
        <is>
          <t>298060</t>
        </is>
      </c>
      <c r="E11481" s="3" t="inlineStr">
        <is>
          <t>임원ㆍ주요주주특정증권등소유상황보고서</t>
        </is>
      </c>
      <c r="F11481" s="3" t="inlineStr">
        <is>
          <t>김유정</t>
        </is>
      </c>
      <c r="G11481" s="2" t="inlineStr">
        <is>
          <t>20260616000272</t>
        </is>
      </c>
      <c r="H11481" s="8">
        <f>HYPERLINK("https://dart.fss.or.kr/dsaf001/main.do?rcpNo=20260616000272", "공시열람")</f>
        <v/>
      </c>
    </row>
    <row r="11482">
      <c r="A11482" s="2" t="inlineStr">
        <is>
          <t>2026-06-16</t>
        </is>
      </c>
      <c r="B11482" s="3" t="inlineStr">
        <is>
          <t>제이스로보틱스</t>
        </is>
      </c>
      <c r="C11482" s="2" t="inlineStr">
        <is>
          <t>코스닥</t>
        </is>
      </c>
      <c r="D11482" s="2" t="inlineStr">
        <is>
          <t>090470</t>
        </is>
      </c>
      <c r="E11482" s="3" t="inlineStr">
        <is>
          <t>임원ㆍ주요주주특정증권등소유상황보고서</t>
        </is>
      </c>
      <c r="F11482" s="3" t="inlineStr">
        <is>
          <t>윤석열</t>
        </is>
      </c>
      <c r="G11482" s="2" t="inlineStr">
        <is>
          <t>20260616000271</t>
        </is>
      </c>
      <c r="H11482" s="8">
        <f>HYPERLINK("https://dart.fss.or.kr/dsaf001/main.do?rcpNo=20260616000271", "공시열람")</f>
        <v/>
      </c>
    </row>
    <row r="11483">
      <c r="A11483" s="2" t="inlineStr">
        <is>
          <t>2026-06-16</t>
        </is>
      </c>
      <c r="B11483" s="3" t="inlineStr">
        <is>
          <t>키움증권</t>
        </is>
      </c>
      <c r="C11483" s="2" t="inlineStr">
        <is>
          <t>코스피</t>
        </is>
      </c>
      <c r="D11483" s="2" t="inlineStr">
        <is>
          <t>039490</t>
        </is>
      </c>
      <c r="E11483" s="3" t="inlineStr">
        <is>
          <t>투자설명서(일괄신고)</t>
        </is>
      </c>
      <c r="F11483" s="3" t="inlineStr">
        <is>
          <t>키움증권</t>
        </is>
      </c>
      <c r="G11483" s="2" t="inlineStr">
        <is>
          <t>20260616000270</t>
        </is>
      </c>
      <c r="H11483" s="8">
        <f>HYPERLINK("https://dart.fss.or.kr/dsaf001/main.do?rcpNo=20260616000270", "공시열람")</f>
        <v/>
      </c>
    </row>
    <row r="11484">
      <c r="A11484" s="2" t="inlineStr">
        <is>
          <t>2026-06-16</t>
        </is>
      </c>
      <c r="B11484" s="3" t="inlineStr">
        <is>
          <t>안지오랩</t>
        </is>
      </c>
      <c r="C11484" s="2" t="inlineStr">
        <is>
          <t>코넥스</t>
        </is>
      </c>
      <c r="D11484" s="2" t="inlineStr">
        <is>
          <t>251280</t>
        </is>
      </c>
      <c r="E11484" s="3" t="inlineStr">
        <is>
          <t xml:space="preserve">기업설명회(IR)개최결과              </t>
        </is>
      </c>
      <c r="F11484" s="3" t="inlineStr">
        <is>
          <t>안지오랩</t>
        </is>
      </c>
      <c r="G11484" s="2" t="inlineStr">
        <is>
          <t>20260616600587</t>
        </is>
      </c>
      <c r="H11484" s="8">
        <f>HYPERLINK("https://dart.fss.or.kr/dsaf001/main.do?rcpNo=20260616600587", "공시열람")</f>
        <v/>
      </c>
    </row>
    <row r="11485">
      <c r="A11485" s="2" t="inlineStr">
        <is>
          <t>2026-06-16</t>
        </is>
      </c>
      <c r="B11485" s="3" t="inlineStr">
        <is>
          <t>아톤</t>
        </is>
      </c>
      <c r="C11485" s="2" t="inlineStr">
        <is>
          <t>코스닥</t>
        </is>
      </c>
      <c r="D11485" s="2" t="inlineStr">
        <is>
          <t>158430</t>
        </is>
      </c>
      <c r="E11485" s="3" t="inlineStr">
        <is>
          <t>사외이사의선임ㆍ해임또는중도퇴임에관한신고</t>
        </is>
      </c>
      <c r="F11485" s="3" t="inlineStr">
        <is>
          <t>아톤</t>
        </is>
      </c>
      <c r="G11485" s="2" t="inlineStr">
        <is>
          <t>20260616000269</t>
        </is>
      </c>
      <c r="H11485" s="8">
        <f>HYPERLINK("https://dart.fss.or.kr/dsaf001/main.do?rcpNo=20260616000269", "공시열람")</f>
        <v/>
      </c>
    </row>
    <row r="11486">
      <c r="A11486" s="2" t="inlineStr">
        <is>
          <t>2026-06-16</t>
        </is>
      </c>
      <c r="B11486" s="3" t="inlineStr">
        <is>
          <t>클래시스</t>
        </is>
      </c>
      <c r="C11486" s="2" t="inlineStr">
        <is>
          <t>코스닥</t>
        </is>
      </c>
      <c r="D11486" s="2" t="inlineStr">
        <is>
          <t>214150</t>
        </is>
      </c>
      <c r="E11486" s="3" t="inlineStr">
        <is>
          <t xml:space="preserve">기업설명회(IR)개최              </t>
        </is>
      </c>
      <c r="F11486" s="3" t="inlineStr">
        <is>
          <t>클래시스</t>
        </is>
      </c>
      <c r="G11486" s="2" t="inlineStr">
        <is>
          <t>20260616900593</t>
        </is>
      </c>
      <c r="H11486" s="8">
        <f>HYPERLINK("https://dart.fss.or.kr/dsaf001/main.do?rcpNo=20260616900593", "공시열람")</f>
        <v/>
      </c>
    </row>
    <row r="11487">
      <c r="A11487" s="2" t="inlineStr">
        <is>
          <t>2026-06-16</t>
        </is>
      </c>
      <c r="B11487" s="3" t="inlineStr">
        <is>
          <t>현대차증권</t>
        </is>
      </c>
      <c r="C11487" s="2" t="inlineStr">
        <is>
          <t>코스피</t>
        </is>
      </c>
      <c r="D11487" s="2" t="inlineStr">
        <is>
          <t>001500</t>
        </is>
      </c>
      <c r="E11487" s="3" t="inlineStr">
        <is>
          <t>투자설명서(일괄신고)</t>
        </is>
      </c>
      <c r="F11487" s="3" t="inlineStr">
        <is>
          <t>현대차증권</t>
        </is>
      </c>
      <c r="G11487" s="2" t="inlineStr">
        <is>
          <t>20260616000265</t>
        </is>
      </c>
      <c r="H11487" s="8">
        <f>HYPERLINK("https://dart.fss.or.kr/dsaf001/main.do?rcpNo=20260616000265", "공시열람")</f>
        <v/>
      </c>
    </row>
    <row r="11488">
      <c r="A11488" s="2" t="inlineStr">
        <is>
          <t>2026-06-16</t>
        </is>
      </c>
      <c r="B11488" s="3" t="inlineStr">
        <is>
          <t>가온전선</t>
        </is>
      </c>
      <c r="C11488" s="2" t="inlineStr">
        <is>
          <t>코스피</t>
        </is>
      </c>
      <c r="D11488" s="2" t="inlineStr">
        <is>
          <t>000500</t>
        </is>
      </c>
      <c r="E11488" s="3" t="inlineStr">
        <is>
          <t>동일인등출자계열회사와의상품ㆍ용역거래</t>
        </is>
      </c>
      <c r="F11488" s="3" t="inlineStr">
        <is>
          <t>가온전선</t>
        </is>
      </c>
      <c r="G11488" s="2" t="inlineStr">
        <is>
          <t>20260616000264</t>
        </is>
      </c>
      <c r="H11488" s="8">
        <f>HYPERLINK("https://dart.fss.or.kr/dsaf001/main.do?rcpNo=20260616000264", "공시열람")</f>
        <v/>
      </c>
    </row>
    <row r="11489">
      <c r="A11489" s="2" t="inlineStr">
        <is>
          <t>2026-06-16</t>
        </is>
      </c>
      <c r="B11489" s="3" t="inlineStr">
        <is>
          <t>AJ네트웍스</t>
        </is>
      </c>
      <c r="C11489" s="2" t="inlineStr">
        <is>
          <t>코스피</t>
        </is>
      </c>
      <c r="D11489" s="2" t="inlineStr">
        <is>
          <t>095570</t>
        </is>
      </c>
      <c r="E11489" s="3" t="inlineStr">
        <is>
          <t xml:space="preserve">타법인주식및출자증권처분결정              </t>
        </is>
      </c>
      <c r="F11489" s="3" t="inlineStr">
        <is>
          <t>AJ네트웍스</t>
        </is>
      </c>
      <c r="G11489" s="2" t="inlineStr">
        <is>
          <t>20260616800560</t>
        </is>
      </c>
      <c r="H11489" s="8">
        <f>HYPERLINK("https://dart.fss.or.kr/dsaf001/main.do?rcpNo=20260616800560", "공시열람")</f>
        <v/>
      </c>
    </row>
    <row r="11490">
      <c r="A11490" s="2" t="inlineStr">
        <is>
          <t>2026-06-16</t>
        </is>
      </c>
      <c r="B11490" s="3" t="inlineStr">
        <is>
          <t>리노공업</t>
        </is>
      </c>
      <c r="C11490" s="2" t="inlineStr">
        <is>
          <t>코스닥</t>
        </is>
      </c>
      <c r="D11490" s="2" t="inlineStr">
        <is>
          <t>058470</t>
        </is>
      </c>
      <c r="E11490" s="3" t="inlineStr">
        <is>
          <t>임원ㆍ주요주주특정증권등소유상황보고서</t>
        </is>
      </c>
      <c r="F11490" s="3" t="inlineStr">
        <is>
          <t>이채윤</t>
        </is>
      </c>
      <c r="G11490" s="2" t="inlineStr">
        <is>
          <t>20260616000258</t>
        </is>
      </c>
      <c r="H11490" s="8">
        <f>HYPERLINK("https://dart.fss.or.kr/dsaf001/main.do?rcpNo=20260616000258", "공시열람")</f>
        <v/>
      </c>
    </row>
    <row r="11491">
      <c r="A11491" s="2" t="inlineStr">
        <is>
          <t>2026-06-16</t>
        </is>
      </c>
      <c r="B11491" s="3" t="inlineStr">
        <is>
          <t>제이스로보틱스</t>
        </is>
      </c>
      <c r="C11491" s="2" t="inlineStr">
        <is>
          <t>코스닥</t>
        </is>
      </c>
      <c r="D11491" s="2" t="inlineStr">
        <is>
          <t>090470</t>
        </is>
      </c>
      <c r="E11491" s="3" t="inlineStr">
        <is>
          <t>임원ㆍ주요주주특정증권등소유상황보고서</t>
        </is>
      </c>
      <c r="F11491" s="3" t="inlineStr">
        <is>
          <t>정문수</t>
        </is>
      </c>
      <c r="G11491" s="2" t="inlineStr">
        <is>
          <t>20260616000256</t>
        </is>
      </c>
      <c r="H11491" s="8">
        <f>HYPERLINK("https://dart.fss.or.kr/dsaf001/main.do?rcpNo=20260616000256", "공시열람")</f>
        <v/>
      </c>
    </row>
    <row r="11492">
      <c r="A11492" s="2" t="inlineStr">
        <is>
          <t>2026-06-16</t>
        </is>
      </c>
      <c r="B11492" s="3" t="inlineStr">
        <is>
          <t>소룩스</t>
        </is>
      </c>
      <c r="C11492" s="2" t="inlineStr">
        <is>
          <t>코스닥</t>
        </is>
      </c>
      <c r="D11492" s="2" t="inlineStr">
        <is>
          <t>290690</t>
        </is>
      </c>
      <c r="E11492" s="3" t="inlineStr">
        <is>
          <t>의결권대리행사권유참고서류</t>
        </is>
      </c>
      <c r="F11492" s="3" t="inlineStr">
        <is>
          <t>소룩스</t>
        </is>
      </c>
      <c r="G11492" s="2" t="inlineStr">
        <is>
          <t>20260616000255</t>
        </is>
      </c>
      <c r="H11492" s="8">
        <f>HYPERLINK("https://dart.fss.or.kr/dsaf001/main.do?rcpNo=20260616000255", "공시열람")</f>
        <v/>
      </c>
    </row>
    <row r="11493">
      <c r="A11493" s="2" t="inlineStr">
        <is>
          <t>2026-06-16</t>
        </is>
      </c>
      <c r="B11493" s="3" t="inlineStr">
        <is>
          <t>이렘</t>
        </is>
      </c>
      <c r="C11493" s="2" t="inlineStr">
        <is>
          <t>코스닥</t>
        </is>
      </c>
      <c r="D11493" s="2" t="inlineStr">
        <is>
          <t>009730</t>
        </is>
      </c>
      <c r="E11493" s="3" t="inlineStr">
        <is>
          <t>주권매매거래정지              (주식의 병합, 분할 등 전자등록 변경, 말소)</t>
        </is>
      </c>
      <c r="F11493" s="3" t="inlineStr">
        <is>
          <t>코스닥시장본부</t>
        </is>
      </c>
      <c r="G11493" s="2" t="inlineStr">
        <is>
          <t>20260616900556</t>
        </is>
      </c>
      <c r="H11493" s="8">
        <f>HYPERLINK("https://dart.fss.or.kr/dsaf001/main.do?rcpNo=20260616900556", "공시열람")</f>
        <v/>
      </c>
    </row>
    <row r="11494">
      <c r="A11494" s="2" t="inlineStr">
        <is>
          <t>2026-06-16</t>
        </is>
      </c>
      <c r="B11494" s="3" t="inlineStr">
        <is>
          <t>대신증권</t>
        </is>
      </c>
      <c r="C11494" s="2" t="inlineStr">
        <is>
          <t>코스피</t>
        </is>
      </c>
      <c r="D11494" s="2" t="inlineStr">
        <is>
          <t>003540</t>
        </is>
      </c>
      <c r="E11494" s="3" t="inlineStr">
        <is>
          <t>투자설명서(일괄신고)</t>
        </is>
      </c>
      <c r="F11494" s="3" t="inlineStr">
        <is>
          <t>대신증권</t>
        </is>
      </c>
      <c r="G11494" s="2" t="inlineStr">
        <is>
          <t>20260616000248</t>
        </is>
      </c>
      <c r="H11494" s="8">
        <f>HYPERLINK("https://dart.fss.or.kr/dsaf001/main.do?rcpNo=20260616000248", "공시열람")</f>
        <v/>
      </c>
    </row>
    <row r="11495">
      <c r="A11495" s="2" t="inlineStr">
        <is>
          <t>2026-06-16</t>
        </is>
      </c>
      <c r="B11495" s="3" t="inlineStr">
        <is>
          <t>제이스로보틱스</t>
        </is>
      </c>
      <c r="C11495" s="2" t="inlineStr">
        <is>
          <t>코스닥</t>
        </is>
      </c>
      <c r="D11495" s="2" t="inlineStr">
        <is>
          <t>090470</t>
        </is>
      </c>
      <c r="E11495" s="3" t="inlineStr">
        <is>
          <t>임원ㆍ주요주주특정증권등소유상황보고서</t>
        </is>
      </c>
      <c r="F11495" s="3" t="inlineStr">
        <is>
          <t>안윤태</t>
        </is>
      </c>
      <c r="G11495" s="2" t="inlineStr">
        <is>
          <t>20260616000247</t>
        </is>
      </c>
      <c r="H11495" s="8">
        <f>HYPERLINK("https://dart.fss.or.kr/dsaf001/main.do?rcpNo=20260616000247", "공시열람")</f>
        <v/>
      </c>
    </row>
    <row r="11496">
      <c r="A11496" s="2" t="inlineStr">
        <is>
          <t>2026-06-16</t>
        </is>
      </c>
      <c r="B11496" s="3" t="inlineStr">
        <is>
          <t>미래에셋증권</t>
        </is>
      </c>
      <c r="C11496" s="2" t="inlineStr">
        <is>
          <t>코스피</t>
        </is>
      </c>
      <c r="D11496" s="2" t="inlineStr">
        <is>
          <t>006800</t>
        </is>
      </c>
      <c r="E11496" s="3" t="inlineStr">
        <is>
          <t>투자설명서(일괄신고)</t>
        </is>
      </c>
      <c r="F11496" s="3" t="inlineStr">
        <is>
          <t>미래에셋증권</t>
        </is>
      </c>
      <c r="G11496" s="2" t="inlineStr">
        <is>
          <t>20260616000245</t>
        </is>
      </c>
      <c r="H11496" s="8">
        <f>HYPERLINK("https://dart.fss.or.kr/dsaf001/main.do?rcpNo=20260616000245", "공시열람")</f>
        <v/>
      </c>
    </row>
    <row r="11497">
      <c r="A11497" s="2" t="inlineStr">
        <is>
          <t>2026-06-16</t>
        </is>
      </c>
      <c r="B11497" s="3" t="inlineStr">
        <is>
          <t>대신증권</t>
        </is>
      </c>
      <c r="C11497" s="2" t="inlineStr">
        <is>
          <t>코스피</t>
        </is>
      </c>
      <c r="D11497" s="2" t="inlineStr">
        <is>
          <t>003540</t>
        </is>
      </c>
      <c r="E11497" s="3" t="inlineStr">
        <is>
          <t>일괄신고추가서류(기타파생결합사채)</t>
        </is>
      </c>
      <c r="F11497" s="3" t="inlineStr">
        <is>
          <t>대신증권</t>
        </is>
      </c>
      <c r="G11497" s="2" t="inlineStr">
        <is>
          <t>20260616000244</t>
        </is>
      </c>
      <c r="H11497" s="8">
        <f>HYPERLINK("https://dart.fss.or.kr/dsaf001/main.do?rcpNo=20260616000244", "공시열람")</f>
        <v/>
      </c>
    </row>
    <row r="11498">
      <c r="A11498" s="2" t="inlineStr">
        <is>
          <t>2026-06-16</t>
        </is>
      </c>
      <c r="B11498" s="3" t="inlineStr">
        <is>
          <t>제이스로보틱스</t>
        </is>
      </c>
      <c r="C11498" s="2" t="inlineStr">
        <is>
          <t>코스닥</t>
        </is>
      </c>
      <c r="D11498" s="2" t="inlineStr">
        <is>
          <t>090470</t>
        </is>
      </c>
      <c r="E11498" s="3" t="inlineStr">
        <is>
          <t>임원ㆍ주요주주특정증권등소유상황보고서</t>
        </is>
      </c>
      <c r="F11498" s="3" t="inlineStr">
        <is>
          <t>최연민</t>
        </is>
      </c>
      <c r="G11498" s="2" t="inlineStr">
        <is>
          <t>20260616000243</t>
        </is>
      </c>
      <c r="H11498" s="8">
        <f>HYPERLINK("https://dart.fss.or.kr/dsaf001/main.do?rcpNo=20260616000243", "공시열람")</f>
        <v/>
      </c>
    </row>
    <row r="11499">
      <c r="A11499" s="2" t="inlineStr">
        <is>
          <t>2026-06-16</t>
        </is>
      </c>
      <c r="B11499" s="3" t="inlineStr">
        <is>
          <t>에스제이그룹</t>
        </is>
      </c>
      <c r="C11499" s="2" t="inlineStr">
        <is>
          <t>코스닥</t>
        </is>
      </c>
      <c r="D11499" s="2" t="inlineStr">
        <is>
          <t>306040</t>
        </is>
      </c>
      <c r="E11499" s="3" t="inlineStr">
        <is>
          <t>자기주식처분결과보고서</t>
        </is>
      </c>
      <c r="F11499" s="3" t="inlineStr">
        <is>
          <t>에스제이그룹</t>
        </is>
      </c>
      <c r="G11499" s="2" t="inlineStr">
        <is>
          <t>20260616000240</t>
        </is>
      </c>
      <c r="H11499" s="8">
        <f>HYPERLINK("https://dart.fss.or.kr/dsaf001/main.do?rcpNo=20260616000240", "공시열람")</f>
        <v/>
      </c>
    </row>
    <row r="11500">
      <c r="A11500" s="2" t="inlineStr">
        <is>
          <t>2026-06-16</t>
        </is>
      </c>
      <c r="B11500" s="3" t="inlineStr">
        <is>
          <t>미래에셋생명</t>
        </is>
      </c>
      <c r="C11500" s="2" t="inlineStr">
        <is>
          <t>코스피</t>
        </is>
      </c>
      <c r="D11500" s="2" t="inlineStr">
        <is>
          <t>085620</t>
        </is>
      </c>
      <c r="E11500" s="3" t="inlineStr">
        <is>
          <t>임원ㆍ주요주주특정증권등소유상황보고서</t>
        </is>
      </c>
      <c r="F11500" s="3" t="inlineStr">
        <is>
          <t>미래에셋자산운용</t>
        </is>
      </c>
      <c r="G11500" s="2" t="inlineStr">
        <is>
          <t>20260616000239</t>
        </is>
      </c>
      <c r="H11500" s="8">
        <f>HYPERLINK("https://dart.fss.or.kr/dsaf001/main.do?rcpNo=20260616000239", "공시열람")</f>
        <v/>
      </c>
    </row>
    <row r="11501">
      <c r="A11501" s="2" t="inlineStr">
        <is>
          <t>2026-06-16</t>
        </is>
      </c>
      <c r="B11501" s="3" t="inlineStr">
        <is>
          <t>미스터블루</t>
        </is>
      </c>
      <c r="C11501" s="2" t="inlineStr">
        <is>
          <t>코스닥</t>
        </is>
      </c>
      <c r="D11501" s="2" t="inlineStr">
        <is>
          <t>207760</t>
        </is>
      </c>
      <c r="E11501" s="3" t="inlineStr">
        <is>
          <t>의결권대리행사권유참고서류</t>
        </is>
      </c>
      <c r="F11501" s="3" t="inlineStr">
        <is>
          <t>미스터블루</t>
        </is>
      </c>
      <c r="G11501" s="2" t="inlineStr">
        <is>
          <t>20260616000237</t>
        </is>
      </c>
      <c r="H11501" s="8">
        <f>HYPERLINK("https://dart.fss.or.kr/dsaf001/main.do?rcpNo=20260616000237", "공시열람")</f>
        <v/>
      </c>
    </row>
    <row r="11502">
      <c r="A11502" s="2" t="inlineStr">
        <is>
          <t>2026-06-16</t>
        </is>
      </c>
      <c r="B11502" s="3" t="inlineStr">
        <is>
          <t>제이스로보틱스</t>
        </is>
      </c>
      <c r="C11502" s="2" t="inlineStr">
        <is>
          <t>코스닥</t>
        </is>
      </c>
      <c r="D11502" s="2" t="inlineStr">
        <is>
          <t>090470</t>
        </is>
      </c>
      <c r="E11502" s="3" t="inlineStr">
        <is>
          <t>임원ㆍ주요주주특정증권등소유상황보고서</t>
        </is>
      </c>
      <c r="F11502" s="3" t="inlineStr">
        <is>
          <t>백일</t>
        </is>
      </c>
      <c r="G11502" s="2" t="inlineStr">
        <is>
          <t>20260616000236</t>
        </is>
      </c>
      <c r="H11502" s="8">
        <f>HYPERLINK("https://dart.fss.or.kr/dsaf001/main.do?rcpNo=20260616000236", "공시열람")</f>
        <v/>
      </c>
    </row>
    <row r="11503">
      <c r="A11503" s="2" t="inlineStr">
        <is>
          <t>2026-06-16</t>
        </is>
      </c>
      <c r="B11503" s="3" t="inlineStr">
        <is>
          <t>가온전선</t>
        </is>
      </c>
      <c r="C11503" s="2" t="inlineStr">
        <is>
          <t>코스피</t>
        </is>
      </c>
      <c r="D11503" s="2" t="inlineStr">
        <is>
          <t>000500</t>
        </is>
      </c>
      <c r="E11503" s="3" t="inlineStr">
        <is>
          <t xml:space="preserve">매매거래정지및정지해제(중요내용공시)              </t>
        </is>
      </c>
      <c r="F11503" s="3" t="inlineStr">
        <is>
          <t>유가증권시장본부</t>
        </is>
      </c>
      <c r="G11503" s="2" t="inlineStr">
        <is>
          <t>20260616800506</t>
        </is>
      </c>
      <c r="H11503" s="8">
        <f>HYPERLINK("https://dart.fss.or.kr/dsaf001/main.do?rcpNo=20260616800506", "공시열람")</f>
        <v/>
      </c>
    </row>
    <row r="11504">
      <c r="A11504" s="2" t="inlineStr">
        <is>
          <t>2026-06-16</t>
        </is>
      </c>
      <c r="B11504" s="3" t="inlineStr">
        <is>
          <t>대신증권</t>
        </is>
      </c>
      <c r="C11504" s="2" t="inlineStr">
        <is>
          <t>코스피</t>
        </is>
      </c>
      <c r="D11504" s="2" t="inlineStr">
        <is>
          <t>003540</t>
        </is>
      </c>
      <c r="E11504" s="3" t="inlineStr">
        <is>
          <t>증권발행실적보고서</t>
        </is>
      </c>
      <c r="F11504" s="3" t="inlineStr">
        <is>
          <t>대신증권</t>
        </is>
      </c>
      <c r="G11504" s="2" t="inlineStr">
        <is>
          <t>20260616000235</t>
        </is>
      </c>
      <c r="H11504" s="8">
        <f>HYPERLINK("https://dart.fss.or.kr/dsaf001/main.do?rcpNo=20260616000235", "공시열람")</f>
        <v/>
      </c>
    </row>
    <row r="11505">
      <c r="A11505" s="2" t="inlineStr">
        <is>
          <t>2026-06-16</t>
        </is>
      </c>
      <c r="B11505" s="3" t="inlineStr">
        <is>
          <t>미래에셋증권</t>
        </is>
      </c>
      <c r="C11505" s="2" t="inlineStr">
        <is>
          <t>코스피</t>
        </is>
      </c>
      <c r="D11505" s="2" t="inlineStr">
        <is>
          <t>006800</t>
        </is>
      </c>
      <c r="E11505" s="3" t="inlineStr">
        <is>
          <t>일괄신고추가서류(파생결합증권-주가연계증권)</t>
        </is>
      </c>
      <c r="F11505" s="3" t="inlineStr">
        <is>
          <t>미래에셋증권</t>
        </is>
      </c>
      <c r="G11505" s="2" t="inlineStr">
        <is>
          <t>20260616000232</t>
        </is>
      </c>
      <c r="H11505" s="8">
        <f>HYPERLINK("https://dart.fss.or.kr/dsaf001/main.do?rcpNo=20260616000232", "공시열람")</f>
        <v/>
      </c>
    </row>
    <row r="11506">
      <c r="A11506" s="2" t="inlineStr">
        <is>
          <t>2026-06-16</t>
        </is>
      </c>
      <c r="B11506" s="3" t="inlineStr">
        <is>
          <t>AJ네트웍스</t>
        </is>
      </c>
      <c r="C11506" s="2" t="inlineStr">
        <is>
          <t>코스피</t>
        </is>
      </c>
      <c r="D11506" s="2" t="inlineStr">
        <is>
          <t>095570</t>
        </is>
      </c>
      <c r="E11506" s="3" t="inlineStr">
        <is>
          <t xml:space="preserve">감자결정(종속회사의주요경영사항)              </t>
        </is>
      </c>
      <c r="F11506" s="3" t="inlineStr">
        <is>
          <t>AJ네트웍스</t>
        </is>
      </c>
      <c r="G11506" s="2" t="inlineStr">
        <is>
          <t>20260616800501</t>
        </is>
      </c>
      <c r="H11506" s="8">
        <f>HYPERLINK("https://dart.fss.or.kr/dsaf001/main.do?rcpNo=20260616800501", "공시열람")</f>
        <v/>
      </c>
    </row>
    <row r="11507">
      <c r="A11507" s="2" t="inlineStr">
        <is>
          <t>2026-06-16</t>
        </is>
      </c>
      <c r="B11507" s="3" t="inlineStr">
        <is>
          <t>한탑</t>
        </is>
      </c>
      <c r="C11507" s="2" t="inlineStr">
        <is>
          <t>코스닥</t>
        </is>
      </c>
      <c r="D11507" s="2" t="inlineStr">
        <is>
          <t>002680</t>
        </is>
      </c>
      <c r="E11507" s="3" t="inlineStr">
        <is>
          <t>주권매매거래정지              (주식의 병합, 분할 등 전자등록 변경, 말소)</t>
        </is>
      </c>
      <c r="F11507" s="3" t="inlineStr">
        <is>
          <t>코스닥시장본부</t>
        </is>
      </c>
      <c r="G11507" s="2" t="inlineStr">
        <is>
          <t>20260616900493</t>
        </is>
      </c>
      <c r="H11507" s="8">
        <f>HYPERLINK("https://dart.fss.or.kr/dsaf001/main.do?rcpNo=20260616900493", "공시열람")</f>
        <v/>
      </c>
    </row>
    <row r="11508">
      <c r="A11508" s="2" t="inlineStr">
        <is>
          <t>2026-06-16</t>
        </is>
      </c>
      <c r="B11508" s="3" t="inlineStr">
        <is>
          <t>대동</t>
        </is>
      </c>
      <c r="C11508" s="2" t="inlineStr">
        <is>
          <t>코스피</t>
        </is>
      </c>
      <c r="D11508" s="2" t="inlineStr">
        <is>
          <t>000490</t>
        </is>
      </c>
      <c r="E11508" s="3" t="inlineStr">
        <is>
          <t xml:space="preserve">타법인주식및출자증권취득결정              </t>
        </is>
      </c>
      <c r="F11508" s="3" t="inlineStr">
        <is>
          <t>대동</t>
        </is>
      </c>
      <c r="G11508" s="2" t="inlineStr">
        <is>
          <t>20260616800515</t>
        </is>
      </c>
      <c r="H11508" s="8">
        <f>HYPERLINK("https://dart.fss.or.kr/dsaf001/main.do?rcpNo=20260616800515", "공시열람")</f>
        <v/>
      </c>
    </row>
    <row r="11509">
      <c r="A11509" s="2" t="inlineStr">
        <is>
          <t>2026-06-16</t>
        </is>
      </c>
      <c r="B11509" s="3" t="inlineStr">
        <is>
          <t>제이스로보틱스</t>
        </is>
      </c>
      <c r="C11509" s="2" t="inlineStr">
        <is>
          <t>코스닥</t>
        </is>
      </c>
      <c r="D11509" s="2" t="inlineStr">
        <is>
          <t>090470</t>
        </is>
      </c>
      <c r="E11509" s="3" t="inlineStr">
        <is>
          <t>임원ㆍ주요주주특정증권등소유상황보고서</t>
        </is>
      </c>
      <c r="F11509" s="3" t="inlineStr">
        <is>
          <t>정재완</t>
        </is>
      </c>
      <c r="G11509" s="2" t="inlineStr">
        <is>
          <t>20260616000229</t>
        </is>
      </c>
      <c r="H11509" s="8">
        <f>HYPERLINK("https://dart.fss.or.kr/dsaf001/main.do?rcpNo=20260616000229", "공시열람")</f>
        <v/>
      </c>
    </row>
    <row r="11510">
      <c r="A11510" s="2" t="inlineStr">
        <is>
          <t>2026-06-16</t>
        </is>
      </c>
      <c r="B11510" s="3" t="inlineStr">
        <is>
          <t>오킨스전자</t>
        </is>
      </c>
      <c r="C11510" s="2" t="inlineStr">
        <is>
          <t>코스닥</t>
        </is>
      </c>
      <c r="D11510" s="2" t="inlineStr">
        <is>
          <t>080580</t>
        </is>
      </c>
      <c r="E11510" s="3" t="inlineStr">
        <is>
          <t>임원ㆍ주요주주특정증권등소유상황보고서</t>
        </is>
      </c>
      <c r="F11510" s="3" t="inlineStr">
        <is>
          <t>김일동</t>
        </is>
      </c>
      <c r="G11510" s="2" t="inlineStr">
        <is>
          <t>20260616000227</t>
        </is>
      </c>
      <c r="H11510" s="8">
        <f>HYPERLINK("https://dart.fss.or.kr/dsaf001/main.do?rcpNo=20260616000227", "공시열람")</f>
        <v/>
      </c>
    </row>
    <row r="11511">
      <c r="A11511" s="2" t="inlineStr">
        <is>
          <t>2026-06-16</t>
        </is>
      </c>
      <c r="B11511" s="3" t="inlineStr">
        <is>
          <t>현대차증권</t>
        </is>
      </c>
      <c r="C11511" s="2" t="inlineStr">
        <is>
          <t>코스피</t>
        </is>
      </c>
      <c r="D11511" s="2" t="inlineStr">
        <is>
          <t>001500</t>
        </is>
      </c>
      <c r="E11511" s="3" t="inlineStr">
        <is>
          <t>일괄신고추가서류(파생결합사채-주가연계파생결합사채)</t>
        </is>
      </c>
      <c r="F11511" s="3" t="inlineStr">
        <is>
          <t>현대차증권</t>
        </is>
      </c>
      <c r="G11511" s="2" t="inlineStr">
        <is>
          <t>20260616000226</t>
        </is>
      </c>
      <c r="H11511" s="8">
        <f>HYPERLINK("https://dart.fss.or.kr/dsaf001/main.do?rcpNo=20260616000226", "공시열람")</f>
        <v/>
      </c>
    </row>
    <row r="11512">
      <c r="A11512" s="2" t="inlineStr">
        <is>
          <t>2026-06-16</t>
        </is>
      </c>
      <c r="B11512" s="3" t="inlineStr">
        <is>
          <t>제이스로보틱스</t>
        </is>
      </c>
      <c r="C11512" s="2" t="inlineStr">
        <is>
          <t>코스닥</t>
        </is>
      </c>
      <c r="D11512" s="2" t="inlineStr">
        <is>
          <t>090470</t>
        </is>
      </c>
      <c r="E11512" s="3" t="inlineStr">
        <is>
          <t>임원ㆍ주요주주특정증권등소유상황보고서</t>
        </is>
      </c>
      <c r="F11512" s="3" t="inlineStr">
        <is>
          <t>신용욱</t>
        </is>
      </c>
      <c r="G11512" s="2" t="inlineStr">
        <is>
          <t>20260616000225</t>
        </is>
      </c>
      <c r="H11512" s="8">
        <f>HYPERLINK("https://dart.fss.or.kr/dsaf001/main.do?rcpNo=20260616000225", "공시열람")</f>
        <v/>
      </c>
    </row>
    <row r="11513">
      <c r="A11513" s="2" t="inlineStr">
        <is>
          <t>2026-06-16</t>
        </is>
      </c>
      <c r="B11513" s="3" t="inlineStr">
        <is>
          <t>오에스피</t>
        </is>
      </c>
      <c r="C11513" s="2" t="inlineStr">
        <is>
          <t>코스닥</t>
        </is>
      </c>
      <c r="D11513" s="2" t="inlineStr">
        <is>
          <t>368970</t>
        </is>
      </c>
      <c r="E11513" s="3" t="inlineStr">
        <is>
          <t xml:space="preserve">주주명부폐쇄기간또는기준일설정              </t>
        </is>
      </c>
      <c r="F11513" s="3" t="inlineStr">
        <is>
          <t>오에스피</t>
        </is>
      </c>
      <c r="G11513" s="2" t="inlineStr">
        <is>
          <t>20260616900512</t>
        </is>
      </c>
      <c r="H11513" s="8">
        <f>HYPERLINK("https://dart.fss.or.kr/dsaf001/main.do?rcpNo=20260616900512", "공시열람")</f>
        <v/>
      </c>
    </row>
    <row r="11514">
      <c r="A11514" s="2" t="inlineStr">
        <is>
          <t>2026-06-16</t>
        </is>
      </c>
      <c r="B11514" s="3" t="inlineStr">
        <is>
          <t>에코글로우</t>
        </is>
      </c>
      <c r="C11514" s="2" t="inlineStr">
        <is>
          <t>코스닥</t>
        </is>
      </c>
      <c r="D11514" s="2" t="inlineStr">
        <is>
          <t>159910</t>
        </is>
      </c>
      <c r="E11514" s="3" t="inlineStr">
        <is>
          <t>임원ㆍ주요주주특정증권등소유상황보고서</t>
        </is>
      </c>
      <c r="F11514" s="3" t="inlineStr">
        <is>
          <t>김기훈</t>
        </is>
      </c>
      <c r="G11514" s="2" t="inlineStr">
        <is>
          <t>20260616000223</t>
        </is>
      </c>
      <c r="H11514" s="8">
        <f>HYPERLINK("https://dart.fss.or.kr/dsaf001/main.do?rcpNo=20260616000223", "공시열람")</f>
        <v/>
      </c>
    </row>
    <row r="11515">
      <c r="A11515" s="2" t="inlineStr">
        <is>
          <t>2026-06-16</t>
        </is>
      </c>
      <c r="B11515" s="3" t="inlineStr">
        <is>
          <t>유니크</t>
        </is>
      </c>
      <c r="C11515" s="2" t="inlineStr">
        <is>
          <t>코스닥</t>
        </is>
      </c>
      <c r="D11515" s="2" t="inlineStr">
        <is>
          <t>011320</t>
        </is>
      </c>
      <c r="E11515" s="3" t="inlineStr">
        <is>
          <t>의결권대리행사권유참고서류</t>
        </is>
      </c>
      <c r="F11515" s="3" t="inlineStr">
        <is>
          <t>유니크</t>
        </is>
      </c>
      <c r="G11515" s="2" t="inlineStr">
        <is>
          <t>20260616000221</t>
        </is>
      </c>
      <c r="H11515" s="8">
        <f>HYPERLINK("https://dart.fss.or.kr/dsaf001/main.do?rcpNo=20260616000221", "공시열람")</f>
        <v/>
      </c>
    </row>
    <row r="11516">
      <c r="A11516" s="2" t="inlineStr">
        <is>
          <t>2026-06-16</t>
        </is>
      </c>
      <c r="B11516" s="3" t="inlineStr">
        <is>
          <t>제이스로보틱스</t>
        </is>
      </c>
      <c r="C11516" s="2" t="inlineStr">
        <is>
          <t>코스닥</t>
        </is>
      </c>
      <c r="D11516" s="2" t="inlineStr">
        <is>
          <t>090470</t>
        </is>
      </c>
      <c r="E11516" s="3" t="inlineStr">
        <is>
          <t>임원ㆍ주요주주특정증권등소유상황보고서</t>
        </is>
      </c>
      <c r="F11516" s="3" t="inlineStr">
        <is>
          <t>김상기</t>
        </is>
      </c>
      <c r="G11516" s="2" t="inlineStr">
        <is>
          <t>20260616000219</t>
        </is>
      </c>
      <c r="H11516" s="8">
        <f>HYPERLINK("https://dart.fss.or.kr/dsaf001/main.do?rcpNo=20260616000219", "공시열람")</f>
        <v/>
      </c>
    </row>
    <row r="11517">
      <c r="A11517" s="2" t="inlineStr">
        <is>
          <t>2026-06-16</t>
        </is>
      </c>
      <c r="B11517" s="3" t="inlineStr">
        <is>
          <t>제이스로보틱스</t>
        </is>
      </c>
      <c r="C11517" s="2" t="inlineStr">
        <is>
          <t>코스닥</t>
        </is>
      </c>
      <c r="D11517" s="2" t="inlineStr">
        <is>
          <t>090470</t>
        </is>
      </c>
      <c r="E11517" s="3" t="inlineStr">
        <is>
          <t>임원ㆍ주요주주특정증권등소유상황보고서</t>
        </is>
      </c>
      <c r="F11517" s="3" t="inlineStr">
        <is>
          <t>김성환</t>
        </is>
      </c>
      <c r="G11517" s="2" t="inlineStr">
        <is>
          <t>20260616000216</t>
        </is>
      </c>
      <c r="H11517" s="8">
        <f>HYPERLINK("https://dart.fss.or.kr/dsaf001/main.do?rcpNo=20260616000216", "공시열람")</f>
        <v/>
      </c>
    </row>
    <row r="11518">
      <c r="A11518" s="2" t="inlineStr">
        <is>
          <t>2026-06-16</t>
        </is>
      </c>
      <c r="B11518" s="3" t="inlineStr">
        <is>
          <t>신한제16호스팩</t>
        </is>
      </c>
      <c r="C11518" s="2" t="inlineStr">
        <is>
          <t>코스닥</t>
        </is>
      </c>
      <c r="D11518" s="2" t="inlineStr">
        <is>
          <t>496070</t>
        </is>
      </c>
      <c r="E11518" s="3" t="inlineStr">
        <is>
          <t xml:space="preserve">기업인수목적회사의예치ㆍ신탁계약내용변경              </t>
        </is>
      </c>
      <c r="F11518" s="3" t="inlineStr">
        <is>
          <t>신한제16호스팩</t>
        </is>
      </c>
      <c r="G11518" s="2" t="inlineStr">
        <is>
          <t>20260616900454</t>
        </is>
      </c>
      <c r="H11518" s="8">
        <f>HYPERLINK("https://dart.fss.or.kr/dsaf001/main.do?rcpNo=20260616900454", "공시열람")</f>
        <v/>
      </c>
    </row>
    <row r="11519">
      <c r="A11519" s="2" t="inlineStr">
        <is>
          <t>2026-06-16</t>
        </is>
      </c>
      <c r="B11519" s="3" t="inlineStr">
        <is>
          <t>현대건설</t>
        </is>
      </c>
      <c r="C11519" s="2" t="inlineStr">
        <is>
          <t>코스피</t>
        </is>
      </c>
      <c r="D11519" s="2" t="inlineStr">
        <is>
          <t>000720</t>
        </is>
      </c>
      <c r="E11519" s="3" t="inlineStr">
        <is>
          <t xml:space="preserve">기업설명회(IR)개최(안내공시)              </t>
        </is>
      </c>
      <c r="F11519" s="3" t="inlineStr">
        <is>
          <t>현대건설</t>
        </is>
      </c>
      <c r="G11519" s="2" t="inlineStr">
        <is>
          <t>20260616800497</t>
        </is>
      </c>
      <c r="H11519" s="8">
        <f>HYPERLINK("https://dart.fss.or.kr/dsaf001/main.do?rcpNo=20260616800497", "공시열람")</f>
        <v/>
      </c>
    </row>
    <row r="11520">
      <c r="A11520" s="2" t="inlineStr">
        <is>
          <t>2026-06-16</t>
        </is>
      </c>
      <c r="B11520" s="3" t="inlineStr">
        <is>
          <t>제이스로보틱스</t>
        </is>
      </c>
      <c r="C11520" s="2" t="inlineStr">
        <is>
          <t>코스닥</t>
        </is>
      </c>
      <c r="D11520" s="2" t="inlineStr">
        <is>
          <t>090470</t>
        </is>
      </c>
      <c r="E11520" s="3" t="inlineStr">
        <is>
          <t>임원ㆍ주요주주특정증권등소유상황보고서</t>
        </is>
      </c>
      <c r="F11520" s="3" t="inlineStr">
        <is>
          <t>동영화</t>
        </is>
      </c>
      <c r="G11520" s="2" t="inlineStr">
        <is>
          <t>20260616000213</t>
        </is>
      </c>
      <c r="H11520" s="8">
        <f>HYPERLINK("https://dart.fss.or.kr/dsaf001/main.do?rcpNo=20260616000213", "공시열람")</f>
        <v/>
      </c>
    </row>
    <row r="11521">
      <c r="A11521" s="2" t="inlineStr">
        <is>
          <t>2026-06-16</t>
        </is>
      </c>
      <c r="B11521" s="3" t="inlineStr">
        <is>
          <t>티이엠씨씨엔에스</t>
        </is>
      </c>
      <c r="C11521" s="2" t="inlineStr">
        <is>
          <t>코스닥</t>
        </is>
      </c>
      <c r="D11521" s="2" t="inlineStr">
        <is>
          <t>241790</t>
        </is>
      </c>
      <c r="E11521" s="3" t="inlineStr">
        <is>
          <t>임원ㆍ주요주주특정증권등소유상황보고서</t>
        </is>
      </c>
      <c r="F11521" s="3" t="inlineStr">
        <is>
          <t>유원양</t>
        </is>
      </c>
      <c r="G11521" s="2" t="inlineStr">
        <is>
          <t>20260616000212</t>
        </is>
      </c>
      <c r="H11521" s="8">
        <f>HYPERLINK("https://dart.fss.or.kr/dsaf001/main.do?rcpNo=20260616000212", "공시열람")</f>
        <v/>
      </c>
    </row>
    <row r="11522">
      <c r="A11522" s="2" t="inlineStr">
        <is>
          <t>2026-06-16</t>
        </is>
      </c>
      <c r="B11522" s="3" t="inlineStr">
        <is>
          <t>제이스로보틱스</t>
        </is>
      </c>
      <c r="C11522" s="2" t="inlineStr">
        <is>
          <t>코스닥</t>
        </is>
      </c>
      <c r="D11522" s="2" t="inlineStr">
        <is>
          <t>090470</t>
        </is>
      </c>
      <c r="E11522" s="3" t="inlineStr">
        <is>
          <t>임원ㆍ주요주주특정증권등소유상황보고서</t>
        </is>
      </c>
      <c r="F11522" s="3" t="inlineStr">
        <is>
          <t>김진극</t>
        </is>
      </c>
      <c r="G11522" s="2" t="inlineStr">
        <is>
          <t>20260616000209</t>
        </is>
      </c>
      <c r="H11522" s="8">
        <f>HYPERLINK("https://dart.fss.or.kr/dsaf001/main.do?rcpNo=20260616000209", "공시열람")</f>
        <v/>
      </c>
    </row>
    <row r="11523">
      <c r="A11523" s="2" t="inlineStr">
        <is>
          <t>2026-06-16</t>
        </is>
      </c>
      <c r="B11523" s="3" t="inlineStr">
        <is>
          <t>SK바이오사이언스</t>
        </is>
      </c>
      <c r="C11523" s="2" t="inlineStr">
        <is>
          <t>코스피</t>
        </is>
      </c>
      <c r="D11523" s="2" t="inlineStr">
        <is>
          <t>302440</t>
        </is>
      </c>
      <c r="E11523" s="3" t="inlineStr">
        <is>
          <t>자기주식취득결과보고서</t>
        </is>
      </c>
      <c r="F11523" s="3" t="inlineStr">
        <is>
          <t>SK바이오사이언스</t>
        </is>
      </c>
      <c r="G11523" s="2" t="inlineStr">
        <is>
          <t>20260616000207</t>
        </is>
      </c>
      <c r="H11523" s="8">
        <f>HYPERLINK("https://dart.fss.or.kr/dsaf001/main.do?rcpNo=20260616000207", "공시열람")</f>
        <v/>
      </c>
    </row>
    <row r="11524">
      <c r="A11524" s="2" t="inlineStr">
        <is>
          <t>2026-06-16</t>
        </is>
      </c>
      <c r="B11524" s="3" t="inlineStr">
        <is>
          <t>휴니드테크놀러지스</t>
        </is>
      </c>
      <c r="C11524" s="2" t="inlineStr">
        <is>
          <t>코스피</t>
        </is>
      </c>
      <c r="D11524" s="2" t="inlineStr">
        <is>
          <t>005870</t>
        </is>
      </c>
      <c r="E11524" s="3" t="inlineStr">
        <is>
          <t>의결권대리행사권유참고서류</t>
        </is>
      </c>
      <c r="F11524" s="3" t="inlineStr">
        <is>
          <t>휴니드테크놀러지스</t>
        </is>
      </c>
      <c r="G11524" s="2" t="inlineStr">
        <is>
          <t>20260616000205</t>
        </is>
      </c>
      <c r="H11524" s="8">
        <f>HYPERLINK("https://dart.fss.or.kr/dsaf001/main.do?rcpNo=20260616000205", "공시열람")</f>
        <v/>
      </c>
    </row>
    <row r="11525">
      <c r="A11525" s="2" t="inlineStr">
        <is>
          <t>2026-06-16</t>
        </is>
      </c>
      <c r="B11525" s="3" t="inlineStr">
        <is>
          <t>신한제13호스팩</t>
        </is>
      </c>
      <c r="C11525" s="2" t="inlineStr">
        <is>
          <t>코스닥</t>
        </is>
      </c>
      <c r="D11525" s="2" t="inlineStr">
        <is>
          <t>474930</t>
        </is>
      </c>
      <c r="E11525" s="3" t="inlineStr">
        <is>
          <t xml:space="preserve">기업인수목적회사의예치ㆍ신탁계약내용변경              </t>
        </is>
      </c>
      <c r="F11525" s="3" t="inlineStr">
        <is>
          <t>신한제13호스팩</t>
        </is>
      </c>
      <c r="G11525" s="2" t="inlineStr">
        <is>
          <t>20260616900447</t>
        </is>
      </c>
      <c r="H11525" s="8">
        <f>HYPERLINK("https://dart.fss.or.kr/dsaf001/main.do?rcpNo=20260616900447", "공시열람")</f>
        <v/>
      </c>
    </row>
    <row r="11526">
      <c r="A11526" s="2" t="inlineStr">
        <is>
          <t>2026-06-16</t>
        </is>
      </c>
      <c r="B11526" s="3" t="inlineStr">
        <is>
          <t>제이스로보틱스</t>
        </is>
      </c>
      <c r="C11526" s="2" t="inlineStr">
        <is>
          <t>코스닥</t>
        </is>
      </c>
      <c r="D11526" s="2" t="inlineStr">
        <is>
          <t>090470</t>
        </is>
      </c>
      <c r="E11526" s="3" t="inlineStr">
        <is>
          <t>임원ㆍ주요주주특정증권등소유상황보고서</t>
        </is>
      </c>
      <c r="F11526" s="3" t="inlineStr">
        <is>
          <t>정대흠</t>
        </is>
      </c>
      <c r="G11526" s="2" t="inlineStr">
        <is>
          <t>20260616000203</t>
        </is>
      </c>
      <c r="H11526" s="8">
        <f>HYPERLINK("https://dart.fss.or.kr/dsaf001/main.do?rcpNo=20260616000203", "공시열람")</f>
        <v/>
      </c>
    </row>
    <row r="11527">
      <c r="A11527" s="2" t="inlineStr">
        <is>
          <t>2026-06-16</t>
        </is>
      </c>
      <c r="B11527" s="3" t="inlineStr">
        <is>
          <t>키움증권</t>
        </is>
      </c>
      <c r="C11527" s="2" t="inlineStr">
        <is>
          <t>코스피</t>
        </is>
      </c>
      <c r="D11527" s="2" t="inlineStr">
        <is>
          <t>039490</t>
        </is>
      </c>
      <c r="E11527" s="3" t="inlineStr">
        <is>
          <t>일괄신고추가서류(파생결합사채-주가연계파생결합사채)</t>
        </is>
      </c>
      <c r="F11527" s="3" t="inlineStr">
        <is>
          <t>키움증권</t>
        </is>
      </c>
      <c r="G11527" s="2" t="inlineStr">
        <is>
          <t>20260616000201</t>
        </is>
      </c>
      <c r="H11527" s="8">
        <f>HYPERLINK("https://dart.fss.or.kr/dsaf001/main.do?rcpNo=20260616000201", "공시열람")</f>
        <v/>
      </c>
    </row>
    <row r="11528">
      <c r="A11528" s="2" t="inlineStr">
        <is>
          <t>2026-06-16</t>
        </is>
      </c>
      <c r="B11528" s="3" t="inlineStr">
        <is>
          <t>케이씨씨</t>
        </is>
      </c>
      <c r="C11528" s="2" t="inlineStr">
        <is>
          <t>코스피</t>
        </is>
      </c>
      <c r="D11528" s="2" t="inlineStr">
        <is>
          <t>002380</t>
        </is>
      </c>
      <c r="E11528" s="3" t="inlineStr">
        <is>
          <t>기타경영사항(자율공시)              (배당기준일 안내)</t>
        </is>
      </c>
      <c r="F11528" s="3" t="inlineStr">
        <is>
          <t>케이씨씨</t>
        </is>
      </c>
      <c r="G11528" s="2" t="inlineStr">
        <is>
          <t>20260616800444</t>
        </is>
      </c>
      <c r="H11528" s="8">
        <f>HYPERLINK("https://dart.fss.or.kr/dsaf001/main.do?rcpNo=20260616800444", "공시열람")</f>
        <v/>
      </c>
    </row>
    <row r="11529">
      <c r="A11529" s="2" t="inlineStr">
        <is>
          <t>2026-06-16</t>
        </is>
      </c>
      <c r="B11529" s="3" t="inlineStr">
        <is>
          <t>유안타증권</t>
        </is>
      </c>
      <c r="C11529" s="2" t="inlineStr">
        <is>
          <t>코스피</t>
        </is>
      </c>
      <c r="D11529" s="2" t="inlineStr">
        <is>
          <t>003470</t>
        </is>
      </c>
      <c r="E11529" s="3" t="inlineStr">
        <is>
          <t>투자설명서(일괄신고)</t>
        </is>
      </c>
      <c r="F11529" s="3" t="inlineStr">
        <is>
          <t>유안타증권</t>
        </is>
      </c>
      <c r="G11529" s="2" t="inlineStr">
        <is>
          <t>20260616000199</t>
        </is>
      </c>
      <c r="H11529" s="8">
        <f>HYPERLINK("https://dart.fss.or.kr/dsaf001/main.do?rcpNo=20260616000199", "공시열람")</f>
        <v/>
      </c>
    </row>
    <row r="11530">
      <c r="A11530" s="2" t="inlineStr">
        <is>
          <t>2026-06-16</t>
        </is>
      </c>
      <c r="B11530" s="3" t="inlineStr">
        <is>
          <t>성신양회</t>
        </is>
      </c>
      <c r="C11530" s="2" t="inlineStr">
        <is>
          <t>코스피</t>
        </is>
      </c>
      <c r="D11530" s="2" t="inlineStr">
        <is>
          <t>004980</t>
        </is>
      </c>
      <c r="E11530" s="3" t="inlineStr">
        <is>
          <t>임원ㆍ주요주주특정증권등소유상황보고서</t>
        </is>
      </c>
      <c r="F11530" s="3" t="inlineStr">
        <is>
          <t>김석현</t>
        </is>
      </c>
      <c r="G11530" s="2" t="inlineStr">
        <is>
          <t>20260616000197</t>
        </is>
      </c>
      <c r="H11530" s="8">
        <f>HYPERLINK("https://dart.fss.or.kr/dsaf001/main.do?rcpNo=20260616000197", "공시열람")</f>
        <v/>
      </c>
    </row>
    <row r="11531">
      <c r="A11531" s="2" t="inlineStr">
        <is>
          <t>2026-06-16</t>
        </is>
      </c>
      <c r="B11531" s="3" t="inlineStr">
        <is>
          <t>유안타증권</t>
        </is>
      </c>
      <c r="C11531" s="2" t="inlineStr">
        <is>
          <t>코스피</t>
        </is>
      </c>
      <c r="D11531" s="2" t="inlineStr">
        <is>
          <t>003470</t>
        </is>
      </c>
      <c r="E11531" s="3" t="inlineStr">
        <is>
          <t>일괄신고추가서류(파생결합증권-주가연계증권)</t>
        </is>
      </c>
      <c r="F11531" s="3" t="inlineStr">
        <is>
          <t>유안타증권</t>
        </is>
      </c>
      <c r="G11531" s="2" t="inlineStr">
        <is>
          <t>20260616000196</t>
        </is>
      </c>
      <c r="H11531" s="8">
        <f>HYPERLINK("https://dart.fss.or.kr/dsaf001/main.do?rcpNo=20260616000196", "공시열람")</f>
        <v/>
      </c>
    </row>
    <row r="11532">
      <c r="A11532" s="2" t="inlineStr">
        <is>
          <t>2026-06-16</t>
        </is>
      </c>
      <c r="B11532" s="3" t="inlineStr">
        <is>
          <t>NH투자증권</t>
        </is>
      </c>
      <c r="C11532" s="2" t="inlineStr">
        <is>
          <t>코스피</t>
        </is>
      </c>
      <c r="D11532" s="2" t="inlineStr">
        <is>
          <t>005940</t>
        </is>
      </c>
      <c r="E11532" s="3" t="inlineStr">
        <is>
          <t>투자설명서(일괄신고)</t>
        </is>
      </c>
      <c r="F11532" s="3" t="inlineStr">
        <is>
          <t>NH투자증권</t>
        </is>
      </c>
      <c r="G11532" s="2" t="inlineStr">
        <is>
          <t>20260616000193</t>
        </is>
      </c>
      <c r="H11532" s="8">
        <f>HYPERLINK("https://dart.fss.or.kr/dsaf001/main.do?rcpNo=20260616000193", "공시열람")</f>
        <v/>
      </c>
    </row>
    <row r="11533">
      <c r="A11533" s="2" t="inlineStr">
        <is>
          <t>2026-06-16</t>
        </is>
      </c>
      <c r="B11533" s="3" t="inlineStr">
        <is>
          <t>제이스로보틱스</t>
        </is>
      </c>
      <c r="C11533" s="2" t="inlineStr">
        <is>
          <t>코스닥</t>
        </is>
      </c>
      <c r="D11533" s="2" t="inlineStr">
        <is>
          <t>090470</t>
        </is>
      </c>
      <c r="E11533" s="3" t="inlineStr">
        <is>
          <t>임원ㆍ주요주주특정증권등소유상황보고서</t>
        </is>
      </c>
      <c r="F11533" s="3" t="inlineStr">
        <is>
          <t>권영찬</t>
        </is>
      </c>
      <c r="G11533" s="2" t="inlineStr">
        <is>
          <t>20260616000191</t>
        </is>
      </c>
      <c r="H11533" s="8">
        <f>HYPERLINK("https://dart.fss.or.kr/dsaf001/main.do?rcpNo=20260616000191", "공시열람")</f>
        <v/>
      </c>
    </row>
    <row r="11534">
      <c r="A11534" s="2" t="inlineStr">
        <is>
          <t>2026-06-16</t>
        </is>
      </c>
      <c r="B11534" s="3" t="inlineStr">
        <is>
          <t>한국정보통신</t>
        </is>
      </c>
      <c r="C11534" s="2" t="inlineStr">
        <is>
          <t>코스닥</t>
        </is>
      </c>
      <c r="D11534" s="2" t="inlineStr">
        <is>
          <t>025770</t>
        </is>
      </c>
      <c r="E11534" s="3" t="inlineStr">
        <is>
          <t>자기주식처분결과보고서</t>
        </is>
      </c>
      <c r="F11534" s="3" t="inlineStr">
        <is>
          <t>한국정보통신</t>
        </is>
      </c>
      <c r="G11534" s="2" t="inlineStr">
        <is>
          <t>20260616000184</t>
        </is>
      </c>
      <c r="H11534" s="8">
        <f>HYPERLINK("https://dart.fss.or.kr/dsaf001/main.do?rcpNo=20260616000184", "공시열람")</f>
        <v/>
      </c>
    </row>
    <row r="11535">
      <c r="A11535" s="2" t="inlineStr">
        <is>
          <t>2026-06-16</t>
        </is>
      </c>
      <c r="B11535" s="3" t="inlineStr">
        <is>
          <t>엣지파운드리</t>
        </is>
      </c>
      <c r="C11535" s="2" t="inlineStr">
        <is>
          <t>코스닥</t>
        </is>
      </c>
      <c r="D11535" s="2" t="inlineStr">
        <is>
          <t>105550</t>
        </is>
      </c>
      <c r="E11535" s="3" t="inlineStr">
        <is>
          <t xml:space="preserve">증권발행결과(자율공시)              </t>
        </is>
      </c>
      <c r="F11535" s="3" t="inlineStr">
        <is>
          <t>엣지파운드리</t>
        </is>
      </c>
      <c r="G11535" s="2" t="inlineStr">
        <is>
          <t>20260616900449</t>
        </is>
      </c>
      <c r="H11535" s="8">
        <f>HYPERLINK("https://dart.fss.or.kr/dsaf001/main.do?rcpNo=20260616900449", "공시열람")</f>
        <v/>
      </c>
    </row>
    <row r="11536">
      <c r="A11536" s="2" t="inlineStr">
        <is>
          <t>2026-06-16</t>
        </is>
      </c>
      <c r="B11536" s="3" t="inlineStr">
        <is>
          <t>탑엔지니어링</t>
        </is>
      </c>
      <c r="C11536" s="2" t="inlineStr">
        <is>
          <t>코스닥</t>
        </is>
      </c>
      <c r="D11536" s="2" t="inlineStr">
        <is>
          <t>065130</t>
        </is>
      </c>
      <c r="E11536" s="3" t="inlineStr">
        <is>
          <t>임원ㆍ주요주주특정증권등소유상황보고서</t>
        </is>
      </c>
      <c r="F11536" s="3" t="inlineStr">
        <is>
          <t>서용규</t>
        </is>
      </c>
      <c r="G11536" s="2" t="inlineStr">
        <is>
          <t>20260616000163</t>
        </is>
      </c>
      <c r="H11536" s="8">
        <f>HYPERLINK("https://dart.fss.or.kr/dsaf001/main.do?rcpNo=20260616000163", "공시열람")</f>
        <v/>
      </c>
    </row>
    <row r="11537">
      <c r="A11537" s="2" t="inlineStr">
        <is>
          <t>2026-06-16</t>
        </is>
      </c>
      <c r="B11537" s="3" t="inlineStr">
        <is>
          <t>한창제지</t>
        </is>
      </c>
      <c r="C11537" s="2" t="inlineStr">
        <is>
          <t>코스피</t>
        </is>
      </c>
      <c r="D11537" s="2" t="inlineStr">
        <is>
          <t>009460</t>
        </is>
      </c>
      <c r="E11537" s="3" t="inlineStr">
        <is>
          <t>임원ㆍ주요주주특정증권등소유상황보고서</t>
        </is>
      </c>
      <c r="F11537" s="3" t="inlineStr">
        <is>
          <t>이상무</t>
        </is>
      </c>
      <c r="G11537" s="2" t="inlineStr">
        <is>
          <t>20260616000162</t>
        </is>
      </c>
      <c r="H11537" s="8">
        <f>HYPERLINK("https://dart.fss.or.kr/dsaf001/main.do?rcpNo=20260616000162", "공시열람")</f>
        <v/>
      </c>
    </row>
    <row r="11538">
      <c r="A11538" s="2" t="inlineStr">
        <is>
          <t>2026-06-16</t>
        </is>
      </c>
      <c r="B11538" s="3" t="inlineStr">
        <is>
          <t>카이노스메드</t>
        </is>
      </c>
      <c r="C11538" s="2" t="inlineStr">
        <is>
          <t>코스닥</t>
        </is>
      </c>
      <c r="D11538" s="2" t="inlineStr">
        <is>
          <t>284620</t>
        </is>
      </c>
      <c r="E11538" s="3" t="inlineStr">
        <is>
          <t xml:space="preserve">본점소재지변경              </t>
        </is>
      </c>
      <c r="F11538" s="3" t="inlineStr">
        <is>
          <t>카이노스메드</t>
        </is>
      </c>
      <c r="G11538" s="2" t="inlineStr">
        <is>
          <t>20260616900425</t>
        </is>
      </c>
      <c r="H11538" s="8">
        <f>HYPERLINK("https://dart.fss.or.kr/dsaf001/main.do?rcpNo=20260616900425", "공시열람")</f>
        <v/>
      </c>
    </row>
    <row r="11539">
      <c r="A11539" s="2" t="inlineStr">
        <is>
          <t>2026-06-16 (정정: 2026-06-16)</t>
        </is>
      </c>
      <c r="B11539" s="3" t="inlineStr">
        <is>
          <t>지오엘리먼트</t>
        </is>
      </c>
      <c r="C11539" s="2" t="inlineStr">
        <is>
          <t>코스닥</t>
        </is>
      </c>
      <c r="D11539" s="2" t="inlineStr">
        <is>
          <t>311320</t>
        </is>
      </c>
      <c r="E11539" s="3" t="inlineStr">
        <is>
          <t>중간(분기)배당을위한주주명부폐쇄(기준일)결정               (정정: 20260616)</t>
        </is>
      </c>
      <c r="F11539" s="3" t="inlineStr">
        <is>
          <t>지오엘리먼트</t>
        </is>
      </c>
      <c r="G11539" s="2" t="inlineStr">
        <is>
          <t>20260616900434</t>
        </is>
      </c>
      <c r="H11539" s="8">
        <f>HYPERLINK("https://dart.fss.or.kr/dsaf001/main.do?rcpNo=20260616900434", "공시열람")</f>
        <v/>
      </c>
    </row>
    <row r="11540">
      <c r="A11540" s="2" t="inlineStr">
        <is>
          <t>2026-06-16</t>
        </is>
      </c>
      <c r="B11540" s="3" t="inlineStr">
        <is>
          <t>씨엠티엑스</t>
        </is>
      </c>
      <c r="C11540" s="2" t="inlineStr">
        <is>
          <t>코스닥</t>
        </is>
      </c>
      <c r="D11540" s="2" t="inlineStr">
        <is>
          <t>388210</t>
        </is>
      </c>
      <c r="E11540" s="3" t="inlineStr">
        <is>
          <t xml:space="preserve">주주명부폐쇄기간또는기준일설정              </t>
        </is>
      </c>
      <c r="F11540" s="3" t="inlineStr">
        <is>
          <t>씨엠티엑스</t>
        </is>
      </c>
      <c r="G11540" s="2" t="inlineStr">
        <is>
          <t>20260616900432</t>
        </is>
      </c>
      <c r="H11540" s="8">
        <f>HYPERLINK("https://dart.fss.or.kr/dsaf001/main.do?rcpNo=20260616900432", "공시열람")</f>
        <v/>
      </c>
    </row>
    <row r="11541">
      <c r="A11541" s="2" t="inlineStr">
        <is>
          <t>2026-06-16</t>
        </is>
      </c>
      <c r="B11541" s="3" t="inlineStr">
        <is>
          <t>지에프아이</t>
        </is>
      </c>
      <c r="C11541" s="2" t="inlineStr">
        <is>
          <t>코스닥</t>
        </is>
      </c>
      <c r="D11541" s="2" t="inlineStr">
        <is>
          <t>493330</t>
        </is>
      </c>
      <c r="E11541" s="3" t="inlineStr">
        <is>
          <t>전환청구권행사              (제1회차)</t>
        </is>
      </c>
      <c r="F11541" s="3" t="inlineStr">
        <is>
          <t>지에프아이</t>
        </is>
      </c>
      <c r="G11541" s="2" t="inlineStr">
        <is>
          <t>20260616900406</t>
        </is>
      </c>
      <c r="H11541" s="8">
        <f>HYPERLINK("https://dart.fss.or.kr/dsaf001/main.do?rcpNo=20260616900406", "공시열람")</f>
        <v/>
      </c>
    </row>
    <row r="11542">
      <c r="A11542" s="2" t="inlineStr">
        <is>
          <t>2026-06-16</t>
        </is>
      </c>
      <c r="B11542" s="3" t="inlineStr">
        <is>
          <t>바이오인프라생명과학</t>
        </is>
      </c>
      <c r="C11542" s="2" t="inlineStr">
        <is>
          <t>코넥스</t>
        </is>
      </c>
      <c r="D11542" s="2" t="inlineStr">
        <is>
          <t>266470</t>
        </is>
      </c>
      <c r="E11542" s="3" t="inlineStr">
        <is>
          <t xml:space="preserve">주주명부폐쇄기간또는기준일설정              </t>
        </is>
      </c>
      <c r="F11542" s="3" t="inlineStr">
        <is>
          <t>바이오인프라생명과학</t>
        </is>
      </c>
      <c r="G11542" s="2" t="inlineStr">
        <is>
          <t>20260616600375</t>
        </is>
      </c>
      <c r="H11542" s="8">
        <f>HYPERLINK("https://dart.fss.or.kr/dsaf001/main.do?rcpNo=20260616600375", "공시열람")</f>
        <v/>
      </c>
    </row>
    <row r="11543">
      <c r="A11543" s="2" t="inlineStr">
        <is>
          <t>2026-06-16</t>
        </is>
      </c>
      <c r="B11543" s="3" t="inlineStr">
        <is>
          <t>신성이엔지</t>
        </is>
      </c>
      <c r="C11543" s="2" t="inlineStr">
        <is>
          <t>코스피</t>
        </is>
      </c>
      <c r="D11543" s="2" t="inlineStr">
        <is>
          <t>011930</t>
        </is>
      </c>
      <c r="E11543" s="3" t="inlineStr">
        <is>
          <t>임원ㆍ주요주주특정증권등소유상황보고서</t>
        </is>
      </c>
      <c r="F11543" s="3" t="inlineStr">
        <is>
          <t>이승환</t>
        </is>
      </c>
      <c r="G11543" s="2" t="inlineStr">
        <is>
          <t>20260616000154</t>
        </is>
      </c>
      <c r="H11543" s="8">
        <f>HYPERLINK("https://dart.fss.or.kr/dsaf001/main.do?rcpNo=20260616000154", "공시열람")</f>
        <v/>
      </c>
    </row>
    <row r="11544">
      <c r="A11544" s="2" t="inlineStr">
        <is>
          <t>2026-06-16</t>
        </is>
      </c>
      <c r="B11544" s="3" t="inlineStr">
        <is>
          <t>메이슨캐피탈</t>
        </is>
      </c>
      <c r="C11544" s="2" t="inlineStr">
        <is>
          <t>코스닥</t>
        </is>
      </c>
      <c r="D11544" s="2" t="inlineStr">
        <is>
          <t>021880</t>
        </is>
      </c>
      <c r="E11544" s="3" t="inlineStr">
        <is>
          <t xml:space="preserve">감사보고서제출              </t>
        </is>
      </c>
      <c r="F11544" s="3" t="inlineStr">
        <is>
          <t>메이슨캐피탈</t>
        </is>
      </c>
      <c r="G11544" s="2" t="inlineStr">
        <is>
          <t>20260616900421</t>
        </is>
      </c>
      <c r="H11544" s="8">
        <f>HYPERLINK("https://dart.fss.or.kr/dsaf001/main.do?rcpNo=20260616900421", "공시열람")</f>
        <v/>
      </c>
    </row>
    <row r="11545">
      <c r="A11545" s="2" t="inlineStr">
        <is>
          <t>2026-06-16</t>
        </is>
      </c>
      <c r="B11545" s="3" t="inlineStr">
        <is>
          <t>피노</t>
        </is>
      </c>
      <c r="C11545" s="2" t="inlineStr">
        <is>
          <t>코스닥</t>
        </is>
      </c>
      <c r="D11545" s="2" t="inlineStr">
        <is>
          <t>033790</t>
        </is>
      </c>
      <c r="E11545" s="3" t="inlineStr">
        <is>
          <t>합병등종료보고서(자산양수도)</t>
        </is>
      </c>
      <c r="F11545" s="3" t="inlineStr">
        <is>
          <t>피노</t>
        </is>
      </c>
      <c r="G11545" s="2" t="inlineStr">
        <is>
          <t>20260616000147</t>
        </is>
      </c>
      <c r="H11545" s="8">
        <f>HYPERLINK("https://dart.fss.or.kr/dsaf001/main.do?rcpNo=20260616000147", "공시열람")</f>
        <v/>
      </c>
    </row>
    <row r="11546">
      <c r="A11546" s="2" t="inlineStr">
        <is>
          <t>2026-06-16</t>
        </is>
      </c>
      <c r="B11546" s="3" t="inlineStr">
        <is>
          <t>미래에셋글로벌리츠</t>
        </is>
      </c>
      <c r="C11546" s="2" t="inlineStr">
        <is>
          <t>코스피</t>
        </is>
      </c>
      <c r="D11546" s="2" t="inlineStr">
        <is>
          <t>396690</t>
        </is>
      </c>
      <c r="E11546" s="3" t="inlineStr">
        <is>
          <t xml:space="preserve">매출액또는손익구조30%(대규모법인은15%)이상변경              </t>
        </is>
      </c>
      <c r="F11546" s="3" t="inlineStr">
        <is>
          <t>미래에셋글로벌리츠</t>
        </is>
      </c>
      <c r="G11546" s="2" t="inlineStr">
        <is>
          <t>20260616800401</t>
        </is>
      </c>
      <c r="H11546" s="8">
        <f>HYPERLINK("https://dart.fss.or.kr/dsaf001/main.do?rcpNo=20260616800401", "공시열람")</f>
        <v/>
      </c>
    </row>
    <row r="11547">
      <c r="A11547" s="2" t="inlineStr">
        <is>
          <t>2026-06-16</t>
        </is>
      </c>
      <c r="B11547" s="3" t="inlineStr">
        <is>
          <t>트루엔</t>
        </is>
      </c>
      <c r="C11547" s="2" t="inlineStr">
        <is>
          <t>코스닥</t>
        </is>
      </c>
      <c r="D11547" s="2" t="inlineStr">
        <is>
          <t>417790</t>
        </is>
      </c>
      <c r="E11547" s="3" t="inlineStr">
        <is>
          <t>신탁계약에의한취득상황보고서</t>
        </is>
      </c>
      <c r="F11547" s="3" t="inlineStr">
        <is>
          <t>트루엔</t>
        </is>
      </c>
      <c r="G11547" s="2" t="inlineStr">
        <is>
          <t>20260616000137</t>
        </is>
      </c>
      <c r="H11547" s="8">
        <f>HYPERLINK("https://dart.fss.or.kr/dsaf001/main.do?rcpNo=20260616000137", "공시열람")</f>
        <v/>
      </c>
    </row>
    <row r="11548">
      <c r="A11548" s="2" t="inlineStr">
        <is>
          <t>2026-06-16</t>
        </is>
      </c>
      <c r="B11548" s="3" t="inlineStr">
        <is>
          <t>미래에셋비전스팩5호</t>
        </is>
      </c>
      <c r="C11548" s="2" t="inlineStr">
        <is>
          <t>코스닥</t>
        </is>
      </c>
      <c r="D11548" s="2" t="inlineStr">
        <is>
          <t>477470</t>
        </is>
      </c>
      <c r="E11548" s="3" t="inlineStr">
        <is>
          <t xml:space="preserve">기업인수목적회사의예치ㆍ신탁계약내용변경              </t>
        </is>
      </c>
      <c r="F11548" s="3" t="inlineStr">
        <is>
          <t>미래에셋비전스팩5호</t>
        </is>
      </c>
      <c r="G11548" s="2" t="inlineStr">
        <is>
          <t>20260616900397</t>
        </is>
      </c>
      <c r="H11548" s="8">
        <f>HYPERLINK("https://dart.fss.or.kr/dsaf001/main.do?rcpNo=20260616900397", "공시열람")</f>
        <v/>
      </c>
    </row>
    <row r="11549">
      <c r="A11549" s="2" t="inlineStr">
        <is>
          <t>2026-06-16</t>
        </is>
      </c>
      <c r="B11549" s="3" t="inlineStr">
        <is>
          <t>TYM</t>
        </is>
      </c>
      <c r="C11549" s="2" t="inlineStr">
        <is>
          <t>코스피</t>
        </is>
      </c>
      <c r="D11549" s="2" t="inlineStr">
        <is>
          <t>002900</t>
        </is>
      </c>
      <c r="E11549" s="3" t="inlineStr">
        <is>
          <t>임원ㆍ주요주주특정증권등소유상황보고서</t>
        </is>
      </c>
      <c r="F11549" s="3" t="inlineStr">
        <is>
          <t>최웅경</t>
        </is>
      </c>
      <c r="G11549" s="2" t="inlineStr">
        <is>
          <t>20260616000134</t>
        </is>
      </c>
      <c r="H11549" s="8">
        <f>HYPERLINK("https://dart.fss.or.kr/dsaf001/main.do?rcpNo=20260616000134", "공시열람")</f>
        <v/>
      </c>
    </row>
    <row r="11550">
      <c r="A11550" s="2" t="inlineStr">
        <is>
          <t>2026-06-16</t>
        </is>
      </c>
      <c r="B11550" s="3" t="inlineStr">
        <is>
          <t>NH투자증권</t>
        </is>
      </c>
      <c r="C11550" s="2" t="inlineStr">
        <is>
          <t>코스피</t>
        </is>
      </c>
      <c r="D11550" s="2" t="inlineStr">
        <is>
          <t>005940</t>
        </is>
      </c>
      <c r="E11550" s="3" t="inlineStr">
        <is>
          <t>일괄신고추가서류(파생결합사채-주가연계파생결합사채)</t>
        </is>
      </c>
      <c r="F11550" s="3" t="inlineStr">
        <is>
          <t>NH투자증권</t>
        </is>
      </c>
      <c r="G11550" s="2" t="inlineStr">
        <is>
          <t>20260616000129</t>
        </is>
      </c>
      <c r="H11550" s="8">
        <f>HYPERLINK("https://dart.fss.or.kr/dsaf001/main.do?rcpNo=20260616000129", "공시열람")</f>
        <v/>
      </c>
    </row>
    <row r="11551">
      <c r="A11551" s="2" t="inlineStr">
        <is>
          <t>2026-06-16</t>
        </is>
      </c>
      <c r="B11551" s="3" t="inlineStr">
        <is>
          <t>젠큐릭스</t>
        </is>
      </c>
      <c r="C11551" s="2" t="inlineStr">
        <is>
          <t>코스닥</t>
        </is>
      </c>
      <c r="D11551" s="2" t="inlineStr">
        <is>
          <t>229000</t>
        </is>
      </c>
      <c r="E11551" s="3" t="inlineStr">
        <is>
          <t>투자판단관련주요경영사항              ([국책과제 선정] 중대 암질환 조기검진용 차세대 디지털PCR 통합 플랫폼 개발)</t>
        </is>
      </c>
      <c r="F11551" s="3" t="inlineStr">
        <is>
          <t>젠큐릭스</t>
        </is>
      </c>
      <c r="G11551" s="2" t="inlineStr">
        <is>
          <t>20260616900361</t>
        </is>
      </c>
      <c r="H11551" s="8">
        <f>HYPERLINK("https://dart.fss.or.kr/dsaf001/main.do?rcpNo=20260616900361", "공시열람")</f>
        <v/>
      </c>
    </row>
    <row r="11552">
      <c r="A11552" s="2" t="inlineStr">
        <is>
          <t>2026-06-16</t>
        </is>
      </c>
      <c r="B11552" s="3" t="inlineStr">
        <is>
          <t>라닉스</t>
        </is>
      </c>
      <c r="C11552" s="2" t="inlineStr">
        <is>
          <t>코스닥</t>
        </is>
      </c>
      <c r="D11552" s="2" t="inlineStr">
        <is>
          <t>317120</t>
        </is>
      </c>
      <c r="E11552" s="3" t="inlineStr">
        <is>
          <t xml:space="preserve">전환가액의조정              </t>
        </is>
      </c>
      <c r="F11552" s="3" t="inlineStr">
        <is>
          <t>라닉스</t>
        </is>
      </c>
      <c r="G11552" s="2" t="inlineStr">
        <is>
          <t>20260616900372</t>
        </is>
      </c>
      <c r="H11552" s="8">
        <f>HYPERLINK("https://dart.fss.or.kr/dsaf001/main.do?rcpNo=20260616900372", "공시열람")</f>
        <v/>
      </c>
    </row>
    <row r="11553">
      <c r="A11553" s="2" t="inlineStr">
        <is>
          <t>2026-06-16</t>
        </is>
      </c>
      <c r="B11553" s="3" t="inlineStr">
        <is>
          <t>유진증권</t>
        </is>
      </c>
      <c r="C11553" s="2" t="inlineStr">
        <is>
          <t>코스피</t>
        </is>
      </c>
      <c r="D11553" s="2" t="inlineStr">
        <is>
          <t>001200</t>
        </is>
      </c>
      <c r="E11553" s="3" t="inlineStr">
        <is>
          <t>투자설명서(일괄신고)</t>
        </is>
      </c>
      <c r="F11553" s="3" t="inlineStr">
        <is>
          <t>유진증권</t>
        </is>
      </c>
      <c r="G11553" s="2" t="inlineStr">
        <is>
          <t>20260616000123</t>
        </is>
      </c>
      <c r="H11553" s="8">
        <f>HYPERLINK("https://dart.fss.or.kr/dsaf001/main.do?rcpNo=20260616000123", "공시열람")</f>
        <v/>
      </c>
    </row>
    <row r="11554">
      <c r="A11554" s="2" t="inlineStr">
        <is>
          <t>2026-06-16</t>
        </is>
      </c>
      <c r="B11554" s="3" t="inlineStr">
        <is>
          <t>파수AI</t>
        </is>
      </c>
      <c r="C11554" s="2" t="inlineStr">
        <is>
          <t>코스닥</t>
        </is>
      </c>
      <c r="D11554" s="2" t="inlineStr">
        <is>
          <t>150900</t>
        </is>
      </c>
      <c r="E11554" s="3" t="inlineStr">
        <is>
          <t>임원ㆍ주요주주특정증권등소유상황보고서</t>
        </is>
      </c>
      <c r="F11554" s="3" t="inlineStr">
        <is>
          <t>강용권</t>
        </is>
      </c>
      <c r="G11554" s="2" t="inlineStr">
        <is>
          <t>20260616000119</t>
        </is>
      </c>
      <c r="H11554" s="8">
        <f>HYPERLINK("https://dart.fss.or.kr/dsaf001/main.do?rcpNo=20260616000119", "공시열람")</f>
        <v/>
      </c>
    </row>
    <row r="11555">
      <c r="A11555" s="2" t="inlineStr">
        <is>
          <t>2026-06-16</t>
        </is>
      </c>
      <c r="B11555" s="3" t="inlineStr">
        <is>
          <t>한글과컴퓨터</t>
        </is>
      </c>
      <c r="C11555" s="2" t="inlineStr">
        <is>
          <t>코스닥</t>
        </is>
      </c>
      <c r="D11555" s="2" t="inlineStr">
        <is>
          <t>030520</t>
        </is>
      </c>
      <c r="E11555" s="3" t="inlineStr">
        <is>
          <t>의결권대리행사권유참고서류</t>
        </is>
      </c>
      <c r="F11555" s="3" t="inlineStr">
        <is>
          <t>한글과컴퓨터</t>
        </is>
      </c>
      <c r="G11555" s="2" t="inlineStr">
        <is>
          <t>20260616000113</t>
        </is>
      </c>
      <c r="H11555" s="8">
        <f>HYPERLINK("https://dart.fss.or.kr/dsaf001/main.do?rcpNo=20260616000113", "공시열람")</f>
        <v/>
      </c>
    </row>
    <row r="11556">
      <c r="A11556" s="2" t="inlineStr">
        <is>
          <t>2026-06-16</t>
        </is>
      </c>
      <c r="B11556" s="3" t="inlineStr">
        <is>
          <t>에이아이코리아</t>
        </is>
      </c>
      <c r="C11556" s="2" t="inlineStr">
        <is>
          <t>코스닥</t>
        </is>
      </c>
      <c r="D11556" s="2" t="inlineStr">
        <is>
          <t>364950</t>
        </is>
      </c>
      <c r="E11556" s="3" t="inlineStr">
        <is>
          <t xml:space="preserve">기업설명회(IR)개최              </t>
        </is>
      </c>
      <c r="F11556" s="3" t="inlineStr">
        <is>
          <t>에이아이코리아</t>
        </is>
      </c>
      <c r="G11556" s="2" t="inlineStr">
        <is>
          <t>20260616900350</t>
        </is>
      </c>
      <c r="H11556" s="8">
        <f>HYPERLINK("https://dart.fss.or.kr/dsaf001/main.do?rcpNo=20260616900350", "공시열람")</f>
        <v/>
      </c>
    </row>
    <row r="11557">
      <c r="A11557" s="2" t="inlineStr">
        <is>
          <t>2026-06-16</t>
        </is>
      </c>
      <c r="B11557" s="3" t="inlineStr">
        <is>
          <t>바이오프로테크</t>
        </is>
      </c>
      <c r="C11557" s="2" t="inlineStr">
        <is>
          <t>코넥스</t>
        </is>
      </c>
      <c r="D11557" s="2" t="inlineStr">
        <is>
          <t>199290</t>
        </is>
      </c>
      <c r="E11557" s="3" t="inlineStr">
        <is>
          <t xml:space="preserve">기업설명회(IR)개최결과              </t>
        </is>
      </c>
      <c r="F11557" s="3" t="inlineStr">
        <is>
          <t>바이오프로테크</t>
        </is>
      </c>
      <c r="G11557" s="2" t="inlineStr">
        <is>
          <t>20260616600352</t>
        </is>
      </c>
      <c r="H11557" s="8">
        <f>HYPERLINK("https://dart.fss.or.kr/dsaf001/main.do?rcpNo=20260616600352", "공시열람")</f>
        <v/>
      </c>
    </row>
    <row r="11558">
      <c r="A11558" s="2" t="inlineStr">
        <is>
          <t>2026-06-16</t>
        </is>
      </c>
      <c r="B11558" s="3" t="inlineStr">
        <is>
          <t>신라에스지</t>
        </is>
      </c>
      <c r="C11558" s="2" t="inlineStr">
        <is>
          <t>코스닥</t>
        </is>
      </c>
      <c r="D11558" s="2" t="inlineStr">
        <is>
          <t>025870</t>
        </is>
      </c>
      <c r="E11558" s="3" t="inlineStr">
        <is>
          <t>기업가치제고계획(자율공시)              (2026년 신라에스지(주) 기업가치제고 계획)</t>
        </is>
      </c>
      <c r="F11558" s="3" t="inlineStr">
        <is>
          <t>신라에스지</t>
        </is>
      </c>
      <c r="G11558" s="2" t="inlineStr">
        <is>
          <t>20260616900320</t>
        </is>
      </c>
      <c r="H11558" s="8">
        <f>HYPERLINK("https://dart.fss.or.kr/dsaf001/main.do?rcpNo=20260616900320", "공시열람")</f>
        <v/>
      </c>
    </row>
    <row r="11559">
      <c r="A11559" s="2" t="inlineStr">
        <is>
          <t>2026-06-16</t>
        </is>
      </c>
      <c r="B11559" s="3" t="inlineStr">
        <is>
          <t>한화손해보험</t>
        </is>
      </c>
      <c r="C11559" s="2" t="inlineStr">
        <is>
          <t>코스피</t>
        </is>
      </c>
      <c r="D11559" s="2" t="inlineStr">
        <is>
          <t>000370</t>
        </is>
      </c>
      <c r="E11559" s="3" t="inlineStr">
        <is>
          <t>임원ㆍ주요주주특정증권등소유상황보고서</t>
        </is>
      </c>
      <c r="F11559" s="3" t="inlineStr">
        <is>
          <t>유종목</t>
        </is>
      </c>
      <c r="G11559" s="2" t="inlineStr">
        <is>
          <t>20260616000102</t>
        </is>
      </c>
      <c r="H11559" s="8">
        <f>HYPERLINK("https://dart.fss.or.kr/dsaf001/main.do?rcpNo=20260616000102", "공시열람")</f>
        <v/>
      </c>
    </row>
    <row r="11560">
      <c r="A11560" s="2" t="inlineStr">
        <is>
          <t>2026-06-16</t>
        </is>
      </c>
      <c r="B11560" s="3" t="inlineStr">
        <is>
          <t>영흥</t>
        </is>
      </c>
      <c r="C11560" s="2" t="inlineStr">
        <is>
          <t>코스피</t>
        </is>
      </c>
      <c r="D11560" s="2" t="inlineStr">
        <is>
          <t>012160</t>
        </is>
      </c>
      <c r="E11560" s="3" t="inlineStr">
        <is>
          <t>임원ㆍ주요주주특정증권등소유상황보고서</t>
        </is>
      </c>
      <c r="F11560" s="3" t="inlineStr">
        <is>
          <t>대유코아</t>
        </is>
      </c>
      <c r="G11560" s="2" t="inlineStr">
        <is>
          <t>20260616000100</t>
        </is>
      </c>
      <c r="H11560" s="8">
        <f>HYPERLINK("https://dart.fss.or.kr/dsaf001/main.do?rcpNo=20260616000100", "공시열람")</f>
        <v/>
      </c>
    </row>
    <row r="11561">
      <c r="A11561" s="2" t="inlineStr">
        <is>
          <t>2026-06-16</t>
        </is>
      </c>
      <c r="B11561" s="3" t="inlineStr">
        <is>
          <t>한화손해보험</t>
        </is>
      </c>
      <c r="C11561" s="2" t="inlineStr">
        <is>
          <t>코스피</t>
        </is>
      </c>
      <c r="D11561" s="2" t="inlineStr">
        <is>
          <t>000370</t>
        </is>
      </c>
      <c r="E11561" s="3" t="inlineStr">
        <is>
          <t>임원ㆍ주요주주특정증권등소유상황보고서</t>
        </is>
      </c>
      <c r="F11561" s="3" t="inlineStr">
        <is>
          <t>서지훈</t>
        </is>
      </c>
      <c r="G11561" s="2" t="inlineStr">
        <is>
          <t>20260616000095</t>
        </is>
      </c>
      <c r="H11561" s="8">
        <f>HYPERLINK("https://dart.fss.or.kr/dsaf001/main.do?rcpNo=20260616000095", "공시열람")</f>
        <v/>
      </c>
    </row>
    <row r="11562">
      <c r="A11562" s="2" t="inlineStr">
        <is>
          <t>2026-06-16</t>
        </is>
      </c>
      <c r="B11562" s="3" t="inlineStr">
        <is>
          <t>한화손해보험</t>
        </is>
      </c>
      <c r="C11562" s="2" t="inlineStr">
        <is>
          <t>코스피</t>
        </is>
      </c>
      <c r="D11562" s="2" t="inlineStr">
        <is>
          <t>000370</t>
        </is>
      </c>
      <c r="E11562" s="3" t="inlineStr">
        <is>
          <t>임원ㆍ주요주주특정증권등소유상황보고서</t>
        </is>
      </c>
      <c r="F11562" s="3" t="inlineStr">
        <is>
          <t>하헌용</t>
        </is>
      </c>
      <c r="G11562" s="2" t="inlineStr">
        <is>
          <t>20260616000089</t>
        </is>
      </c>
      <c r="H11562" s="8">
        <f>HYPERLINK("https://dart.fss.or.kr/dsaf001/main.do?rcpNo=20260616000089", "공시열람")</f>
        <v/>
      </c>
    </row>
    <row r="11563">
      <c r="A11563" s="2" t="inlineStr">
        <is>
          <t>2026-06-16</t>
        </is>
      </c>
      <c r="B11563" s="3" t="inlineStr">
        <is>
          <t>RF시스템즈</t>
        </is>
      </c>
      <c r="C11563" s="2" t="inlineStr">
        <is>
          <t>코스닥</t>
        </is>
      </c>
      <c r="D11563" s="2" t="inlineStr">
        <is>
          <t>474610</t>
        </is>
      </c>
      <c r="E11563" s="3" t="inlineStr">
        <is>
          <t>임원ㆍ주요주주특정증권등소유상황보고서</t>
        </is>
      </c>
      <c r="F11563" s="3" t="inlineStr">
        <is>
          <t>강대룡</t>
        </is>
      </c>
      <c r="G11563" s="2" t="inlineStr">
        <is>
          <t>20260616000087</t>
        </is>
      </c>
      <c r="H11563" s="8">
        <f>HYPERLINK("https://dart.fss.or.kr/dsaf001/main.do?rcpNo=20260616000087", "공시열람")</f>
        <v/>
      </c>
    </row>
    <row r="11564">
      <c r="A11564" s="2" t="inlineStr">
        <is>
          <t>2026-06-16</t>
        </is>
      </c>
      <c r="B11564" s="3" t="inlineStr">
        <is>
          <t>RF시스템즈</t>
        </is>
      </c>
      <c r="C11564" s="2" t="inlineStr">
        <is>
          <t>코스닥</t>
        </is>
      </c>
      <c r="D11564" s="2" t="inlineStr">
        <is>
          <t>474610</t>
        </is>
      </c>
      <c r="E11564" s="3" t="inlineStr">
        <is>
          <t>임원ㆍ주요주주특정증권등소유상황보고서</t>
        </is>
      </c>
      <c r="F11564" s="3" t="inlineStr">
        <is>
          <t>김주현</t>
        </is>
      </c>
      <c r="G11564" s="2" t="inlineStr">
        <is>
          <t>20260616000081</t>
        </is>
      </c>
      <c r="H11564" s="8">
        <f>HYPERLINK("https://dart.fss.or.kr/dsaf001/main.do?rcpNo=20260616000081", "공시열람")</f>
        <v/>
      </c>
    </row>
    <row r="11565">
      <c r="A11565" s="2" t="inlineStr">
        <is>
          <t>2026-06-16</t>
        </is>
      </c>
      <c r="B11565" s="3" t="inlineStr">
        <is>
          <t>영흥</t>
        </is>
      </c>
      <c r="C11565" s="2" t="inlineStr">
        <is>
          <t>코스피</t>
        </is>
      </c>
      <c r="D11565" s="2" t="inlineStr">
        <is>
          <t>012160</t>
        </is>
      </c>
      <c r="E11565" s="3" t="inlineStr">
        <is>
          <t>임원ㆍ주요주주특정증권등소유상황보고서</t>
        </is>
      </c>
      <c r="F11565" s="3" t="inlineStr">
        <is>
          <t>조경은</t>
        </is>
      </c>
      <c r="G11565" s="2" t="inlineStr">
        <is>
          <t>20260616000080</t>
        </is>
      </c>
      <c r="H11565" s="8">
        <f>HYPERLINK("https://dart.fss.or.kr/dsaf001/main.do?rcpNo=20260616000080", "공시열람")</f>
        <v/>
      </c>
    </row>
    <row r="11566">
      <c r="A11566" s="2" t="inlineStr">
        <is>
          <t>2026-06-16</t>
        </is>
      </c>
      <c r="B11566" s="3" t="inlineStr">
        <is>
          <t>현대차증권</t>
        </is>
      </c>
      <c r="C11566" s="2" t="inlineStr">
        <is>
          <t>코스피</t>
        </is>
      </c>
      <c r="D11566" s="2" t="inlineStr">
        <is>
          <t>001500</t>
        </is>
      </c>
      <c r="E11566" s="3" t="inlineStr">
        <is>
          <t>증권발행실적보고서</t>
        </is>
      </c>
      <c r="F11566" s="3" t="inlineStr">
        <is>
          <t>현대차증권</t>
        </is>
      </c>
      <c r="G11566" s="2" t="inlineStr">
        <is>
          <t>20260616000078</t>
        </is>
      </c>
      <c r="H11566" s="8">
        <f>HYPERLINK("https://dart.fss.or.kr/dsaf001/main.do?rcpNo=20260616000078", "공시열람")</f>
        <v/>
      </c>
    </row>
    <row r="11567">
      <c r="A11567" s="2" t="inlineStr">
        <is>
          <t>2026-06-16</t>
        </is>
      </c>
      <c r="B11567" s="3" t="inlineStr">
        <is>
          <t>영흥</t>
        </is>
      </c>
      <c r="C11567" s="2" t="inlineStr">
        <is>
          <t>코스피</t>
        </is>
      </c>
      <c r="D11567" s="2" t="inlineStr">
        <is>
          <t>012160</t>
        </is>
      </c>
      <c r="E11567" s="3" t="inlineStr">
        <is>
          <t>임원ㆍ주요주주특정증권등소유상황보고서</t>
        </is>
      </c>
      <c r="F11567" s="3" t="inlineStr">
        <is>
          <t>장세일</t>
        </is>
      </c>
      <c r="G11567" s="2" t="inlineStr">
        <is>
          <t>20260616000077</t>
        </is>
      </c>
      <c r="H11567" s="8">
        <f>HYPERLINK("https://dart.fss.or.kr/dsaf001/main.do?rcpNo=20260616000077", "공시열람")</f>
        <v/>
      </c>
    </row>
    <row r="11568">
      <c r="A11568" s="2" t="inlineStr">
        <is>
          <t>2026-06-16</t>
        </is>
      </c>
      <c r="B11568" s="3" t="inlineStr">
        <is>
          <t>레이</t>
        </is>
      </c>
      <c r="C11568" s="2" t="inlineStr">
        <is>
          <t>코스닥</t>
        </is>
      </c>
      <c r="D11568" s="2" t="inlineStr">
        <is>
          <t>228670</t>
        </is>
      </c>
      <c r="E11568" s="3" t="inlineStr">
        <is>
          <t>임원ㆍ주요주주특정증권등소유상황보고서</t>
        </is>
      </c>
      <c r="F11568" s="3" t="inlineStr">
        <is>
          <t>김요한</t>
        </is>
      </c>
      <c r="G11568" s="2" t="inlineStr">
        <is>
          <t>20260616000076</t>
        </is>
      </c>
      <c r="H11568" s="8">
        <f>HYPERLINK("https://dart.fss.or.kr/dsaf001/main.do?rcpNo=20260616000076", "공시열람")</f>
        <v/>
      </c>
    </row>
    <row r="11569">
      <c r="A11569" s="2" t="inlineStr">
        <is>
          <t>2026-06-16</t>
        </is>
      </c>
      <c r="B11569" s="3" t="inlineStr">
        <is>
          <t>교보증권</t>
        </is>
      </c>
      <c r="C11569" s="2" t="inlineStr">
        <is>
          <t>코스피</t>
        </is>
      </c>
      <c r="D11569" s="2" t="inlineStr">
        <is>
          <t>030610</t>
        </is>
      </c>
      <c r="E11569" s="3" t="inlineStr">
        <is>
          <t>투자설명서(일괄신고)</t>
        </is>
      </c>
      <c r="F11569" s="3" t="inlineStr">
        <is>
          <t>교보증권</t>
        </is>
      </c>
      <c r="G11569" s="2" t="inlineStr">
        <is>
          <t>20260616000074</t>
        </is>
      </c>
      <c r="H11569" s="8">
        <f>HYPERLINK("https://dart.fss.or.kr/dsaf001/main.do?rcpNo=20260616000074", "공시열람")</f>
        <v/>
      </c>
    </row>
    <row r="11570">
      <c r="A11570" s="2" t="inlineStr">
        <is>
          <t>2026-06-16</t>
        </is>
      </c>
      <c r="B11570" s="3" t="inlineStr">
        <is>
          <t>알테오젠</t>
        </is>
      </c>
      <c r="C11570" s="2" t="inlineStr">
        <is>
          <t>코스닥</t>
        </is>
      </c>
      <c r="D11570" s="2" t="inlineStr">
        <is>
          <t>196170</t>
        </is>
      </c>
      <c r="E11570" s="3" t="inlineStr">
        <is>
          <t xml:space="preserve">기업설명회(IR)개최              </t>
        </is>
      </c>
      <c r="F11570" s="3" t="inlineStr">
        <is>
          <t>알테오젠</t>
        </is>
      </c>
      <c r="G11570" s="2" t="inlineStr">
        <is>
          <t>20260616900311</t>
        </is>
      </c>
      <c r="H11570" s="8">
        <f>HYPERLINK("https://dart.fss.or.kr/dsaf001/main.do?rcpNo=20260616900311", "공시열람")</f>
        <v/>
      </c>
    </row>
    <row r="11571">
      <c r="A11571" s="2" t="inlineStr">
        <is>
          <t>2026-06-16</t>
        </is>
      </c>
      <c r="B11571" s="3" t="inlineStr">
        <is>
          <t>교보증권</t>
        </is>
      </c>
      <c r="C11571" s="2" t="inlineStr">
        <is>
          <t>코스피</t>
        </is>
      </c>
      <c r="D11571" s="2" t="inlineStr">
        <is>
          <t>030610</t>
        </is>
      </c>
      <c r="E11571" s="3" t="inlineStr">
        <is>
          <t>일괄신고추가서류(파생결합사채-주가연계파생결합사채)</t>
        </is>
      </c>
      <c r="F11571" s="3" t="inlineStr">
        <is>
          <t>교보증권</t>
        </is>
      </c>
      <c r="G11571" s="2" t="inlineStr">
        <is>
          <t>20260616000073</t>
        </is>
      </c>
      <c r="H11571" s="8">
        <f>HYPERLINK("https://dart.fss.or.kr/dsaf001/main.do?rcpNo=20260616000073", "공시열람")</f>
        <v/>
      </c>
    </row>
    <row r="11572">
      <c r="A11572" s="2" t="inlineStr">
        <is>
          <t>2026-06-16</t>
        </is>
      </c>
      <c r="B11572" s="3" t="inlineStr">
        <is>
          <t>멕아이씨에스</t>
        </is>
      </c>
      <c r="C11572" s="2" t="inlineStr">
        <is>
          <t>코스닥</t>
        </is>
      </c>
      <c r="D11572" s="2" t="inlineStr">
        <is>
          <t>058110</t>
        </is>
      </c>
      <c r="E11572" s="3" t="inlineStr">
        <is>
          <t>임원ㆍ주요주주특정증권등소유상황보고서</t>
        </is>
      </c>
      <c r="F11572" s="3" t="inlineStr">
        <is>
          <t>오정택</t>
        </is>
      </c>
      <c r="G11572" s="2" t="inlineStr">
        <is>
          <t>20260616000065</t>
        </is>
      </c>
      <c r="H11572" s="8">
        <f>HYPERLINK("https://dart.fss.or.kr/dsaf001/main.do?rcpNo=20260616000065", "공시열람")</f>
        <v/>
      </c>
    </row>
    <row r="11573">
      <c r="A11573" s="2" t="inlineStr">
        <is>
          <t>2026-06-16</t>
        </is>
      </c>
      <c r="B11573" s="3" t="inlineStr">
        <is>
          <t>RF머트리얼즈</t>
        </is>
      </c>
      <c r="C11573" s="2" t="inlineStr">
        <is>
          <t>코스닥</t>
        </is>
      </c>
      <c r="D11573" s="2" t="inlineStr">
        <is>
          <t>327260</t>
        </is>
      </c>
      <c r="E11573" s="3" t="inlineStr">
        <is>
          <t>[발행조건확정]증권신고서(지분증권)</t>
        </is>
      </c>
      <c r="F11573" s="3" t="inlineStr">
        <is>
          <t>RF머트리얼즈</t>
        </is>
      </c>
      <c r="G11573" s="2" t="inlineStr">
        <is>
          <t>20260616000058</t>
        </is>
      </c>
      <c r="H11573" s="8">
        <f>HYPERLINK("https://dart.fss.or.kr/dsaf001/main.do?rcpNo=20260616000058", "공시열람")</f>
        <v/>
      </c>
    </row>
    <row r="11574">
      <c r="A11574" s="2" t="inlineStr">
        <is>
          <t>2026-06-16</t>
        </is>
      </c>
      <c r="B11574" s="3" t="inlineStr">
        <is>
          <t>인벤티지랩</t>
        </is>
      </c>
      <c r="C11574" s="2" t="inlineStr">
        <is>
          <t>코스닥</t>
        </is>
      </c>
      <c r="D11574" s="2" t="inlineStr">
        <is>
          <t>389470</t>
        </is>
      </c>
      <c r="E11574" s="3" t="inlineStr">
        <is>
          <t>임원ㆍ주요주주특정증권등소유상황보고서</t>
        </is>
      </c>
      <c r="F11574" s="3" t="inlineStr">
        <is>
          <t>김주희</t>
        </is>
      </c>
      <c r="G11574" s="2" t="inlineStr">
        <is>
          <t>20260616000056</t>
        </is>
      </c>
      <c r="H11574" s="8">
        <f>HYPERLINK("https://dart.fss.or.kr/dsaf001/main.do?rcpNo=20260616000056", "공시열람")</f>
        <v/>
      </c>
    </row>
    <row r="11575">
      <c r="A11575" s="2" t="inlineStr">
        <is>
          <t>2026-06-16</t>
        </is>
      </c>
      <c r="B11575" s="3" t="inlineStr">
        <is>
          <t>달바글로벌</t>
        </is>
      </c>
      <c r="C11575" s="2" t="inlineStr">
        <is>
          <t>코스피</t>
        </is>
      </c>
      <c r="D11575" s="2" t="inlineStr">
        <is>
          <t>483650</t>
        </is>
      </c>
      <c r="E11575" s="3" t="inlineStr">
        <is>
          <t>임원ㆍ주요주주특정증권등소유상황보고서</t>
        </is>
      </c>
      <c r="F11575" s="3" t="inlineStr">
        <is>
          <t>임유진</t>
        </is>
      </c>
      <c r="G11575" s="2" t="inlineStr">
        <is>
          <t>20260616000055</t>
        </is>
      </c>
      <c r="H11575" s="8">
        <f>HYPERLINK("https://dart.fss.or.kr/dsaf001/main.do?rcpNo=20260616000055", "공시열람")</f>
        <v/>
      </c>
    </row>
    <row r="11576">
      <c r="A11576" s="2" t="inlineStr">
        <is>
          <t>2026-06-16</t>
        </is>
      </c>
      <c r="B11576" s="3" t="inlineStr">
        <is>
          <t>루켄테크놀러지스</t>
        </is>
      </c>
      <c r="C11576" s="2" t="inlineStr">
        <is>
          <t>코넥스</t>
        </is>
      </c>
      <c r="D11576" s="2" t="inlineStr">
        <is>
          <t>162120</t>
        </is>
      </c>
      <c r="E11576" s="3" t="inlineStr">
        <is>
          <t xml:space="preserve">조회공시요구(풍문또는보도)에대한답변(미확정)              </t>
        </is>
      </c>
      <c r="F11576" s="3" t="inlineStr">
        <is>
          <t>루켄테크놀러지스</t>
        </is>
      </c>
      <c r="G11576" s="2" t="inlineStr">
        <is>
          <t>20260616600274</t>
        </is>
      </c>
      <c r="H11576" s="8">
        <f>HYPERLINK("https://dart.fss.or.kr/dsaf001/main.do?rcpNo=20260616600274", "공시열람")</f>
        <v/>
      </c>
    </row>
    <row r="11577">
      <c r="A11577" s="2" t="inlineStr">
        <is>
          <t>2026-06-16</t>
        </is>
      </c>
      <c r="B11577" s="3" t="inlineStr">
        <is>
          <t>DH오토웨어</t>
        </is>
      </c>
      <c r="C11577" s="2" t="inlineStr">
        <is>
          <t>코스닥</t>
        </is>
      </c>
      <c r="D11577" s="2" t="inlineStr">
        <is>
          <t>025440</t>
        </is>
      </c>
      <c r="E11577" s="3" t="inlineStr">
        <is>
          <t xml:space="preserve">단기차입금증가결정              </t>
        </is>
      </c>
      <c r="F11577" s="3" t="inlineStr">
        <is>
          <t>DH오토웨어</t>
        </is>
      </c>
      <c r="G11577" s="2" t="inlineStr">
        <is>
          <t>20260616900277</t>
        </is>
      </c>
      <c r="H11577" s="8">
        <f>HYPERLINK("https://dart.fss.or.kr/dsaf001/main.do?rcpNo=20260616900277", "공시열람")</f>
        <v/>
      </c>
    </row>
    <row r="11578">
      <c r="A11578" s="2" t="inlineStr">
        <is>
          <t>2026-06-16</t>
        </is>
      </c>
      <c r="B11578" s="3" t="inlineStr">
        <is>
          <t>푸드웰</t>
        </is>
      </c>
      <c r="C11578" s="2" t="inlineStr">
        <is>
          <t>코스닥</t>
        </is>
      </c>
      <c r="D11578" s="2" t="inlineStr">
        <is>
          <t>005670</t>
        </is>
      </c>
      <c r="E11578" s="3" t="inlineStr">
        <is>
          <t>임원ㆍ주요주주특정증권등소유상황보고서</t>
        </is>
      </c>
      <c r="F11578" s="3" t="inlineStr">
        <is>
          <t>최영길</t>
        </is>
      </c>
      <c r="G11578" s="2" t="inlineStr">
        <is>
          <t>20260616000053</t>
        </is>
      </c>
      <c r="H11578" s="8">
        <f>HYPERLINK("https://dart.fss.or.kr/dsaf001/main.do?rcpNo=20260616000053", "공시열람")</f>
        <v/>
      </c>
    </row>
    <row r="11579">
      <c r="A11579" s="2" t="inlineStr">
        <is>
          <t>2026-06-16</t>
        </is>
      </c>
      <c r="B11579" s="3" t="inlineStr">
        <is>
          <t>아나패스</t>
        </is>
      </c>
      <c r="C11579" s="2" t="inlineStr">
        <is>
          <t>코스닥</t>
        </is>
      </c>
      <c r="D11579" s="2" t="inlineStr">
        <is>
          <t>123860</t>
        </is>
      </c>
      <c r="E11579" s="3" t="inlineStr">
        <is>
          <t>임원ㆍ주요주주특정증권등소유상황보고서</t>
        </is>
      </c>
      <c r="F11579" s="3" t="inlineStr">
        <is>
          <t>김도완</t>
        </is>
      </c>
      <c r="G11579" s="2" t="inlineStr">
        <is>
          <t>20260616000052</t>
        </is>
      </c>
      <c r="H11579" s="8">
        <f>HYPERLINK("https://dart.fss.or.kr/dsaf001/main.do?rcpNo=20260616000052", "공시열람")</f>
        <v/>
      </c>
    </row>
    <row r="11580">
      <c r="A11580" s="2" t="inlineStr">
        <is>
          <t>2026-06-16</t>
        </is>
      </c>
      <c r="B11580" s="3" t="inlineStr">
        <is>
          <t>미래에셋글로벌리츠</t>
        </is>
      </c>
      <c r="C11580" s="2" t="inlineStr">
        <is>
          <t>코스피</t>
        </is>
      </c>
      <c r="D11580" s="2" t="inlineStr">
        <is>
          <t>396690</t>
        </is>
      </c>
      <c r="E11580" s="3" t="inlineStr">
        <is>
          <t xml:space="preserve">감사보고서제출              </t>
        </is>
      </c>
      <c r="F11580" s="3" t="inlineStr">
        <is>
          <t>미래에셋글로벌리츠</t>
        </is>
      </c>
      <c r="G11580" s="2" t="inlineStr">
        <is>
          <t>20260616800265</t>
        </is>
      </c>
      <c r="H11580" s="8">
        <f>HYPERLINK("https://dart.fss.or.kr/dsaf001/main.do?rcpNo=20260616800265", "공시열람")</f>
        <v/>
      </c>
    </row>
    <row r="11581">
      <c r="A11581" s="2" t="inlineStr">
        <is>
          <t>2026-06-16</t>
        </is>
      </c>
      <c r="B11581" s="3" t="inlineStr">
        <is>
          <t>압타바이오</t>
        </is>
      </c>
      <c r="C11581" s="2" t="inlineStr">
        <is>
          <t>코스닥</t>
        </is>
      </c>
      <c r="D11581" s="2" t="inlineStr">
        <is>
          <t>293780</t>
        </is>
      </c>
      <c r="E11581" s="3" t="inlineStr">
        <is>
          <t>투자판단관련주요경영사항              (ABF101의 경구투여 시 안전성, 내약성 및 약동학을 평가하기 위한 단회 및 반복 투여, 단계적 용량증량, 제1상 임상시험에 대한 미국 FDA Remove Clinical Hold 공문 수령)</t>
        </is>
      </c>
      <c r="F11581" s="3" t="inlineStr">
        <is>
          <t>압타바이오</t>
        </is>
      </c>
      <c r="G11581" s="2" t="inlineStr">
        <is>
          <t>20260616900253</t>
        </is>
      </c>
      <c r="H11581" s="8">
        <f>HYPERLINK("https://dart.fss.or.kr/dsaf001/main.do?rcpNo=20260616900253", "공시열람")</f>
        <v/>
      </c>
    </row>
    <row r="11582">
      <c r="A11582" s="2" t="inlineStr">
        <is>
          <t>2026-06-16</t>
        </is>
      </c>
      <c r="B11582" s="3" t="inlineStr">
        <is>
          <t>영흥</t>
        </is>
      </c>
      <c r="C11582" s="2" t="inlineStr">
        <is>
          <t>코스피</t>
        </is>
      </c>
      <c r="D11582" s="2" t="inlineStr">
        <is>
          <t>012160</t>
        </is>
      </c>
      <c r="E11582" s="3" t="inlineStr">
        <is>
          <t xml:space="preserve">전환가액ㆍ신주인수권행사가액ㆍ교환가액의조정(안내공시)              </t>
        </is>
      </c>
      <c r="F11582" s="3" t="inlineStr">
        <is>
          <t>영흥</t>
        </is>
      </c>
      <c r="G11582" s="2" t="inlineStr">
        <is>
          <t>20260616800270</t>
        </is>
      </c>
      <c r="H11582" s="8">
        <f>HYPERLINK("https://dart.fss.or.kr/dsaf001/main.do?rcpNo=20260616800270", "공시열람")</f>
        <v/>
      </c>
    </row>
    <row r="11583">
      <c r="A11583" s="2" t="inlineStr">
        <is>
          <t>2026-06-16</t>
        </is>
      </c>
      <c r="B11583" s="3" t="inlineStr">
        <is>
          <t>나무기술</t>
        </is>
      </c>
      <c r="C11583" s="2" t="inlineStr">
        <is>
          <t>코스닥</t>
        </is>
      </c>
      <c r="D11583" s="2" t="inlineStr">
        <is>
          <t>242040</t>
        </is>
      </c>
      <c r="E11583" s="3" t="inlineStr">
        <is>
          <t>의결권대리행사권유참고서류</t>
        </is>
      </c>
      <c r="F11583" s="3" t="inlineStr">
        <is>
          <t>나무기술</t>
        </is>
      </c>
      <c r="G11583" s="2" t="inlineStr">
        <is>
          <t>20260616000045</t>
        </is>
      </c>
      <c r="H11583" s="8">
        <f>HYPERLINK("https://dart.fss.or.kr/dsaf001/main.do?rcpNo=20260616000045", "공시열람")</f>
        <v/>
      </c>
    </row>
    <row r="11584">
      <c r="A11584" s="2" t="inlineStr">
        <is>
          <t>2026-06-16</t>
        </is>
      </c>
      <c r="B11584" s="3" t="inlineStr">
        <is>
          <t>한미반도체</t>
        </is>
      </c>
      <c r="C11584" s="2" t="inlineStr">
        <is>
          <t>코스피</t>
        </is>
      </c>
      <c r="D11584" s="2" t="inlineStr">
        <is>
          <t>042700</t>
        </is>
      </c>
      <c r="E11584" s="3" t="inlineStr">
        <is>
          <t>임원ㆍ주요주주특정증권등소유상황보고서</t>
        </is>
      </c>
      <c r="F11584" s="3" t="inlineStr">
        <is>
          <t>곽동신</t>
        </is>
      </c>
      <c r="G11584" s="2" t="inlineStr">
        <is>
          <t>20260616000044</t>
        </is>
      </c>
      <c r="H11584" s="8">
        <f>HYPERLINK("https://dart.fss.or.kr/dsaf001/main.do?rcpNo=20260616000044", "공시열람")</f>
        <v/>
      </c>
    </row>
    <row r="11585">
      <c r="A11585" s="2" t="inlineStr">
        <is>
          <t>2026-06-16</t>
        </is>
      </c>
      <c r="B11585" s="3" t="inlineStr">
        <is>
          <t>RF머트리얼즈</t>
        </is>
      </c>
      <c r="C11585" s="2" t="inlineStr">
        <is>
          <t>코스닥</t>
        </is>
      </c>
      <c r="D11585" s="2" t="inlineStr">
        <is>
          <t>327260</t>
        </is>
      </c>
      <c r="E11585" s="3" t="inlineStr">
        <is>
          <t xml:space="preserve">유상증자최종발행가액확정              </t>
        </is>
      </c>
      <c r="F11585" s="3" t="inlineStr">
        <is>
          <t>RF머트리얼즈</t>
        </is>
      </c>
      <c r="G11585" s="2" t="inlineStr">
        <is>
          <t>20260616900257</t>
        </is>
      </c>
      <c r="H11585" s="8">
        <f>HYPERLINK("https://dart.fss.or.kr/dsaf001/main.do?rcpNo=20260616900257", "공시열람")</f>
        <v/>
      </c>
    </row>
    <row r="11586">
      <c r="A11586" s="2" t="inlineStr">
        <is>
          <t>2026-06-16 (정정: 2026-06-22)</t>
        </is>
      </c>
      <c r="B11586" s="3" t="inlineStr">
        <is>
          <t>인스코비</t>
        </is>
      </c>
      <c r="C11586" s="2" t="inlineStr">
        <is>
          <t>코스피</t>
        </is>
      </c>
      <c r="D11586" s="2" t="inlineStr">
        <is>
          <t>006490</t>
        </is>
      </c>
      <c r="E11586" s="3" t="inlineStr">
        <is>
          <t>주주명부폐쇄기간또는기준일설정               (정정: 20260622)</t>
        </is>
      </c>
      <c r="F11586" s="3" t="inlineStr">
        <is>
          <t>인스코비</t>
        </is>
      </c>
      <c r="G11586" s="2" t="inlineStr">
        <is>
          <t>20260622800694</t>
        </is>
      </c>
      <c r="H11586" s="8">
        <f>HYPERLINK("https://dart.fss.or.kr/dsaf001/main.do?rcpNo=20260622800694", "공시열람")</f>
        <v/>
      </c>
    </row>
    <row r="11587">
      <c r="A11587" s="2" t="inlineStr">
        <is>
          <t>2026-06-16</t>
        </is>
      </c>
      <c r="B11587" s="3" t="inlineStr">
        <is>
          <t>대림통상</t>
        </is>
      </c>
      <c r="C11587" s="2" t="inlineStr">
        <is>
          <t>코스피</t>
        </is>
      </c>
      <c r="D11587" s="2" t="inlineStr">
        <is>
          <t>006570</t>
        </is>
      </c>
      <c r="E11587" s="3" t="inlineStr">
        <is>
          <t>임원ㆍ주요주주특정증권등소유상황보고서</t>
        </is>
      </c>
      <c r="F11587" s="3" t="inlineStr">
        <is>
          <t>디앤디파트너스</t>
        </is>
      </c>
      <c r="G11587" s="2" t="inlineStr">
        <is>
          <t>20260616000039</t>
        </is>
      </c>
      <c r="H11587" s="8">
        <f>HYPERLINK("https://dart.fss.or.kr/dsaf001/main.do?rcpNo=20260616000039", "공시열람")</f>
        <v/>
      </c>
    </row>
    <row r="11588">
      <c r="A11588" s="2" t="inlineStr">
        <is>
          <t>2026-06-16</t>
        </is>
      </c>
      <c r="B11588" s="3" t="inlineStr">
        <is>
          <t>모바일어플라이언스</t>
        </is>
      </c>
      <c r="C11588" s="2" t="inlineStr">
        <is>
          <t>코스닥</t>
        </is>
      </c>
      <c r="D11588" s="2" t="inlineStr">
        <is>
          <t>087260</t>
        </is>
      </c>
      <c r="E11588" s="3" t="inlineStr">
        <is>
          <t>의결권대리행사권유참고서류</t>
        </is>
      </c>
      <c r="F11588" s="3" t="inlineStr">
        <is>
          <t>대광</t>
        </is>
      </c>
      <c r="G11588" s="2" t="inlineStr">
        <is>
          <t>20260616000038</t>
        </is>
      </c>
      <c r="H11588" s="8">
        <f>HYPERLINK("https://dart.fss.or.kr/dsaf001/main.do?rcpNo=20260616000038", "공시열람")</f>
        <v/>
      </c>
    </row>
    <row r="11589">
      <c r="A11589" s="2" t="inlineStr">
        <is>
          <t>2026-06-16</t>
        </is>
      </c>
      <c r="B11589" s="3" t="inlineStr">
        <is>
          <t>유진증권</t>
        </is>
      </c>
      <c r="C11589" s="2" t="inlineStr">
        <is>
          <t>코스피</t>
        </is>
      </c>
      <c r="D11589" s="2" t="inlineStr">
        <is>
          <t>001200</t>
        </is>
      </c>
      <c r="E11589" s="3" t="inlineStr">
        <is>
          <t>일괄신고추가서류(파생결합증권-주가연계증권)</t>
        </is>
      </c>
      <c r="F11589" s="3" t="inlineStr">
        <is>
          <t>유진증권</t>
        </is>
      </c>
      <c r="G11589" s="2" t="inlineStr">
        <is>
          <t>20260616000035</t>
        </is>
      </c>
      <c r="H11589" s="8">
        <f>HYPERLINK("https://dart.fss.or.kr/dsaf001/main.do?rcpNo=20260616000035", "공시열람")</f>
        <v/>
      </c>
    </row>
    <row r="11590">
      <c r="A11590" s="2" t="inlineStr">
        <is>
          <t>2026-06-16</t>
        </is>
      </c>
      <c r="B11590" s="3" t="inlineStr">
        <is>
          <t>딥커머스</t>
        </is>
      </c>
      <c r="C11590" s="2" t="inlineStr">
        <is>
          <t>코스닥</t>
        </is>
      </c>
      <c r="D11590" s="2" t="inlineStr">
        <is>
          <t>900110</t>
        </is>
      </c>
      <c r="E11590" s="3" t="inlineStr">
        <is>
          <t xml:space="preserve">[첨부정정]주식병합결정              </t>
        </is>
      </c>
      <c r="F11590" s="3" t="inlineStr">
        <is>
          <t>딥커머스</t>
        </is>
      </c>
      <c r="G11590" s="2" t="inlineStr">
        <is>
          <t>20260616900231</t>
        </is>
      </c>
      <c r="H11590" s="8">
        <f>HYPERLINK("https://dart.fss.or.kr/dsaf001/main.do?rcpNo=20260616900231", "공시열람")</f>
        <v/>
      </c>
    </row>
    <row r="11591">
      <c r="A11591" s="2" t="inlineStr">
        <is>
          <t>2026-06-16</t>
        </is>
      </c>
      <c r="B11591" s="3" t="inlineStr">
        <is>
          <t>신화프리텍</t>
        </is>
      </c>
      <c r="C11591" s="2" t="inlineStr">
        <is>
          <t>코스닥</t>
        </is>
      </c>
      <c r="D11591" s="2" t="inlineStr">
        <is>
          <t>095190</t>
        </is>
      </c>
      <c r="E11591" s="3" t="inlineStr">
        <is>
          <t xml:space="preserve">전환가액의조정              </t>
        </is>
      </c>
      <c r="F11591" s="3" t="inlineStr">
        <is>
          <t>신화프리텍</t>
        </is>
      </c>
      <c r="G11591" s="2" t="inlineStr">
        <is>
          <t>20260616900226</t>
        </is>
      </c>
      <c r="H11591" s="8">
        <f>HYPERLINK("https://dart.fss.or.kr/dsaf001/main.do?rcpNo=20260616900226", "공시열람")</f>
        <v/>
      </c>
    </row>
    <row r="11592">
      <c r="A11592" s="2" t="inlineStr">
        <is>
          <t>2026-06-16</t>
        </is>
      </c>
      <c r="B11592" s="3" t="inlineStr">
        <is>
          <t>서산</t>
        </is>
      </c>
      <c r="C11592" s="2" t="inlineStr">
        <is>
          <t>코스닥</t>
        </is>
      </c>
      <c r="D11592" s="2" t="inlineStr">
        <is>
          <t>079650</t>
        </is>
      </c>
      <c r="E11592" s="3" t="inlineStr">
        <is>
          <t xml:space="preserve">조회공시요구(현저한시황변동)에대한답변(중요정보없음)              </t>
        </is>
      </c>
      <c r="F11592" s="3" t="inlineStr">
        <is>
          <t>서산</t>
        </is>
      </c>
      <c r="G11592" s="2" t="inlineStr">
        <is>
          <t>20260616900223</t>
        </is>
      </c>
      <c r="H11592" s="8">
        <f>HYPERLINK("https://dart.fss.or.kr/dsaf001/main.do?rcpNo=20260616900223", "공시열람")</f>
        <v/>
      </c>
    </row>
    <row r="11593">
      <c r="A11593" s="2" t="inlineStr">
        <is>
          <t>2026-06-16</t>
        </is>
      </c>
      <c r="B11593" s="3" t="inlineStr">
        <is>
          <t>이지스밸류플러스리츠</t>
        </is>
      </c>
      <c r="C11593" s="2" t="inlineStr">
        <is>
          <t>코스피</t>
        </is>
      </c>
      <c r="D11593" s="2" t="inlineStr">
        <is>
          <t>334890</t>
        </is>
      </c>
      <c r="E11593" s="3" t="inlineStr">
        <is>
          <t>임원ㆍ주요주주특정증권등소유상황보고서</t>
        </is>
      </c>
      <c r="F11593" s="3" t="inlineStr">
        <is>
          <t>코람코주택도시기금위탁관리부동산투자회사</t>
        </is>
      </c>
      <c r="G11593" s="2" t="inlineStr">
        <is>
          <t>20260616000029</t>
        </is>
      </c>
      <c r="H11593" s="8">
        <f>HYPERLINK("https://dart.fss.or.kr/dsaf001/main.do?rcpNo=20260616000029", "공시열람")</f>
        <v/>
      </c>
    </row>
    <row r="11594">
      <c r="A11594" s="2" t="inlineStr">
        <is>
          <t>2026-06-16</t>
        </is>
      </c>
      <c r="B11594" s="3" t="inlineStr">
        <is>
          <t>케이디켐</t>
        </is>
      </c>
      <c r="C11594" s="2" t="inlineStr">
        <is>
          <t>코스닥</t>
        </is>
      </c>
      <c r="D11594" s="2" t="inlineStr">
        <is>
          <t>221980</t>
        </is>
      </c>
      <c r="E11594" s="3" t="inlineStr">
        <is>
          <t>임원ㆍ주요주주특정증권등소유상황보고서</t>
        </is>
      </c>
      <c r="F11594" s="3" t="inlineStr">
        <is>
          <t>민남규</t>
        </is>
      </c>
      <c r="G11594" s="2" t="inlineStr">
        <is>
          <t>20260616000021</t>
        </is>
      </c>
      <c r="H11594" s="8">
        <f>HYPERLINK("https://dart.fss.or.kr/dsaf001/main.do?rcpNo=20260616000021", "공시열람")</f>
        <v/>
      </c>
    </row>
    <row r="11595">
      <c r="A11595" s="2" t="inlineStr">
        <is>
          <t>2026-06-16</t>
        </is>
      </c>
      <c r="B11595" s="3" t="inlineStr">
        <is>
          <t>오리온</t>
        </is>
      </c>
      <c r="C11595" s="2" t="inlineStr">
        <is>
          <t>코스피</t>
        </is>
      </c>
      <c r="D11595" s="2" t="inlineStr">
        <is>
          <t>271560</t>
        </is>
      </c>
      <c r="E11595" s="3" t="inlineStr">
        <is>
          <t xml:space="preserve">연결재무제표기준영업(잠정)실적(공정공시)              </t>
        </is>
      </c>
      <c r="F11595" s="3" t="inlineStr">
        <is>
          <t>오리온</t>
        </is>
      </c>
      <c r="G11595" s="2" t="inlineStr">
        <is>
          <t>20260616800198</t>
        </is>
      </c>
      <c r="H11595" s="8">
        <f>HYPERLINK("https://dart.fss.or.kr/dsaf001/main.do?rcpNo=20260616800198", "공시열람")</f>
        <v/>
      </c>
    </row>
    <row r="11596">
      <c r="A11596" s="2" t="inlineStr">
        <is>
          <t>2026-06-16</t>
        </is>
      </c>
      <c r="B11596" s="3" t="inlineStr">
        <is>
          <t>큐알티</t>
        </is>
      </c>
      <c r="C11596" s="2" t="inlineStr">
        <is>
          <t>코스닥</t>
        </is>
      </c>
      <c r="D11596" s="2" t="inlineStr">
        <is>
          <t>405100</t>
        </is>
      </c>
      <c r="E11596" s="3" t="inlineStr">
        <is>
          <t>임원ㆍ주요주주특정증권등소유상황보고서</t>
        </is>
      </c>
      <c r="F11596" s="3" t="inlineStr">
        <is>
          <t>이규복</t>
        </is>
      </c>
      <c r="G11596" s="2" t="inlineStr">
        <is>
          <t>20260616000019</t>
        </is>
      </c>
      <c r="H11596" s="8">
        <f>HYPERLINK("https://dart.fss.or.kr/dsaf001/main.do?rcpNo=20260616000019", "공시열람")</f>
        <v/>
      </c>
    </row>
    <row r="11597">
      <c r="A11597" s="2" t="inlineStr">
        <is>
          <t>2026-06-16</t>
        </is>
      </c>
      <c r="B11597" s="3" t="inlineStr">
        <is>
          <t>듀오백</t>
        </is>
      </c>
      <c r="C11597" s="2" t="inlineStr">
        <is>
          <t>코스닥</t>
        </is>
      </c>
      <c r="D11597" s="2" t="inlineStr">
        <is>
          <t>073190</t>
        </is>
      </c>
      <c r="E11597" s="3" t="inlineStr">
        <is>
          <t xml:space="preserve">조회공시요구(현저한시황변동)에대한답변(중요정보없음)              </t>
        </is>
      </c>
      <c r="F11597" s="3" t="inlineStr">
        <is>
          <t>듀오백</t>
        </is>
      </c>
      <c r="G11597" s="2" t="inlineStr">
        <is>
          <t>20260616900182</t>
        </is>
      </c>
      <c r="H11597" s="8">
        <f>HYPERLINK("https://dart.fss.or.kr/dsaf001/main.do?rcpNo=20260616900182", "공시열람")</f>
        <v/>
      </c>
    </row>
    <row r="11598">
      <c r="A11598" s="2" t="inlineStr">
        <is>
          <t>2026-06-16</t>
        </is>
      </c>
      <c r="B11598" s="3" t="inlineStr">
        <is>
          <t>NH투자증권</t>
        </is>
      </c>
      <c r="C11598" s="2" t="inlineStr">
        <is>
          <t>코스피</t>
        </is>
      </c>
      <c r="D11598" s="2" t="inlineStr">
        <is>
          <t>005940</t>
        </is>
      </c>
      <c r="E11598" s="3" t="inlineStr">
        <is>
          <t>투자설명서</t>
        </is>
      </c>
      <c r="F11598" s="3" t="inlineStr">
        <is>
          <t>NH투자증권</t>
        </is>
      </c>
      <c r="G11598" s="2" t="inlineStr">
        <is>
          <t>20260616000005</t>
        </is>
      </c>
      <c r="H11598" s="8">
        <f>HYPERLINK("https://dart.fss.or.kr/dsaf001/main.do?rcpNo=20260616000005", "공시열람")</f>
        <v/>
      </c>
    </row>
    <row r="11599">
      <c r="A11599" s="2" t="inlineStr">
        <is>
          <t>2026-06-16</t>
        </is>
      </c>
      <c r="B11599" s="3" t="inlineStr">
        <is>
          <t>파인디앤씨</t>
        </is>
      </c>
      <c r="C11599" s="2" t="inlineStr">
        <is>
          <t>코스닥</t>
        </is>
      </c>
      <c r="D11599" s="2" t="inlineStr">
        <is>
          <t>049120</t>
        </is>
      </c>
      <c r="E11599" s="3" t="inlineStr">
        <is>
          <t>공개매수설명서</t>
        </is>
      </c>
      <c r="F11599" s="3" t="inlineStr">
        <is>
          <t>파인엠텍</t>
        </is>
      </c>
      <c r="G11599" s="2" t="inlineStr">
        <is>
          <t>20260616000004</t>
        </is>
      </c>
      <c r="H11599" s="8">
        <f>HYPERLINK("https://dart.fss.or.kr/dsaf001/main.do?rcpNo=20260616000004", "공시열람")</f>
        <v/>
      </c>
    </row>
    <row r="11600">
      <c r="A11600" s="2" t="inlineStr">
        <is>
          <t>2026-06-16</t>
        </is>
      </c>
      <c r="B11600" s="3" t="inlineStr">
        <is>
          <t>파인디앤씨</t>
        </is>
      </c>
      <c r="C11600" s="2" t="inlineStr">
        <is>
          <t>코스닥</t>
        </is>
      </c>
      <c r="D11600" s="2" t="inlineStr">
        <is>
          <t>049120</t>
        </is>
      </c>
      <c r="E11600" s="3" t="inlineStr">
        <is>
          <t>공개매수신고서</t>
        </is>
      </c>
      <c r="F11600" s="3" t="inlineStr">
        <is>
          <t>파인엠텍</t>
        </is>
      </c>
      <c r="G11600" s="2" t="inlineStr">
        <is>
          <t>20260616000003</t>
        </is>
      </c>
      <c r="H11600" s="8">
        <f>HYPERLINK("https://dart.fss.or.kr/dsaf001/main.do?rcpNo=20260616000003", "공시열람")</f>
        <v/>
      </c>
    </row>
    <row r="11601">
      <c r="A11601" s="2" t="inlineStr">
        <is>
          <t>2026-06-16</t>
        </is>
      </c>
      <c r="B11601" s="3" t="inlineStr">
        <is>
          <t>이지스레지던스리츠</t>
        </is>
      </c>
      <c r="C11601" s="2" t="inlineStr">
        <is>
          <t>코스피</t>
        </is>
      </c>
      <c r="D11601" s="2" t="inlineStr">
        <is>
          <t>350520</t>
        </is>
      </c>
      <c r="E11601" s="3" t="inlineStr">
        <is>
          <t xml:space="preserve">주주명부폐쇄기간또는기준일설정              </t>
        </is>
      </c>
      <c r="F11601" s="3" t="inlineStr">
        <is>
          <t>이지스레지던스리츠</t>
        </is>
      </c>
      <c r="G11601" s="2" t="inlineStr">
        <is>
          <t>20260616800002</t>
        </is>
      </c>
      <c r="H11601" s="8">
        <f>HYPERLINK("https://dart.fss.or.kr/dsaf001/main.do?rcpNo=20260616800002", "공시열람")</f>
        <v/>
      </c>
    </row>
    <row r="11602">
      <c r="A11602" s="2" t="inlineStr">
        <is>
          <t>2026-06-16</t>
        </is>
      </c>
      <c r="B11602" s="3" t="inlineStr">
        <is>
          <t>JB금융지주</t>
        </is>
      </c>
      <c r="C11602" s="2" t="inlineStr">
        <is>
          <t>코스피</t>
        </is>
      </c>
      <c r="D11602" s="2" t="inlineStr">
        <is>
          <t>175330</t>
        </is>
      </c>
      <c r="E11602" s="3" t="inlineStr">
        <is>
          <t>효력발생안내( 2026.6.8. 제출 일괄신고서 )</t>
        </is>
      </c>
      <c r="F11602" s="3" t="inlineStr">
        <is>
          <t>금융감독원</t>
        </is>
      </c>
      <c r="G11602" s="2" t="inlineStr">
        <is>
          <t>20260610100078</t>
        </is>
      </c>
      <c r="H11602" s="8">
        <f>HYPERLINK("https://dart.fss.or.kr/dsaf001/main.do?rcpNo=20260610100078", "공시열람")</f>
        <v/>
      </c>
    </row>
    <row r="11603">
      <c r="A11603" s="2" t="inlineStr">
        <is>
          <t>2026-06-17</t>
        </is>
      </c>
      <c r="B11603" s="3" t="inlineStr">
        <is>
          <t>진원생명과학</t>
        </is>
      </c>
      <c r="C11603" s="2" t="inlineStr">
        <is>
          <t>코스피</t>
        </is>
      </c>
      <c r="D11603" s="2" t="inlineStr">
        <is>
          <t>011000</t>
        </is>
      </c>
      <c r="E11603" s="3" t="inlineStr">
        <is>
          <t xml:space="preserve">조회공시요구(풍문또는보도)              </t>
        </is>
      </c>
      <c r="F11603" s="3" t="inlineStr">
        <is>
          <t>유가증권시장본부</t>
        </is>
      </c>
      <c r="G11603" s="2" t="inlineStr">
        <is>
          <t>20260617800722</t>
        </is>
      </c>
      <c r="H11603" s="8">
        <f>HYPERLINK("https://dart.fss.or.kr/dsaf001/main.do?rcpNo=20260617800722", "공시열람")</f>
        <v/>
      </c>
    </row>
    <row r="11604">
      <c r="A11604" s="2" t="inlineStr">
        <is>
          <t>2026-06-17 (정정: 2026-06-18)</t>
        </is>
      </c>
      <c r="B11604" s="3" t="inlineStr">
        <is>
          <t>블랙야크아이앤씨</t>
        </is>
      </c>
      <c r="C11604" s="2" t="inlineStr">
        <is>
          <t>코스닥</t>
        </is>
      </c>
      <c r="D11604" s="2" t="inlineStr">
        <is>
          <t>478560</t>
        </is>
      </c>
      <c r="E11604" s="3" t="inlineStr">
        <is>
          <t>소송등의판결ㆍ결정(일정금액이상의청구)               (정정: 20260618)</t>
        </is>
      </c>
      <c r="F11604" s="3" t="inlineStr">
        <is>
          <t>블랙야크아이앤씨</t>
        </is>
      </c>
      <c r="G11604" s="2" t="inlineStr">
        <is>
          <t>20260618900601</t>
        </is>
      </c>
      <c r="H11604" s="8">
        <f>HYPERLINK("https://dart.fss.or.kr/dsaf001/main.do?rcpNo=20260618900601", "공시열람")</f>
        <v/>
      </c>
    </row>
    <row r="11605">
      <c r="A11605" s="2" t="inlineStr">
        <is>
          <t>2026-06-17</t>
        </is>
      </c>
      <c r="B11605" s="3" t="inlineStr">
        <is>
          <t>핀텔</t>
        </is>
      </c>
      <c r="C11605" s="2" t="inlineStr">
        <is>
          <t>코스닥</t>
        </is>
      </c>
      <c r="D11605" s="2" t="inlineStr">
        <is>
          <t>291810</t>
        </is>
      </c>
      <c r="E11605" s="3" t="inlineStr">
        <is>
          <t xml:space="preserve">조회공시요구(현저한시황변동)에대한답변(미확정)              </t>
        </is>
      </c>
      <c r="F11605" s="3" t="inlineStr">
        <is>
          <t>핀텔</t>
        </is>
      </c>
      <c r="G11605" s="2" t="inlineStr">
        <is>
          <t>20260617900677</t>
        </is>
      </c>
      <c r="H11605" s="8">
        <f>HYPERLINK("https://dart.fss.or.kr/dsaf001/main.do?rcpNo=20260617900677", "공시열람")</f>
        <v/>
      </c>
    </row>
    <row r="11606">
      <c r="A11606" s="2" t="inlineStr">
        <is>
          <t>2026-06-17</t>
        </is>
      </c>
      <c r="B11606" s="3" t="inlineStr">
        <is>
          <t>미래에셋글로벌리츠</t>
        </is>
      </c>
      <c r="C11606" s="2" t="inlineStr">
        <is>
          <t>코스피</t>
        </is>
      </c>
      <c r="D11606" s="2" t="inlineStr">
        <is>
          <t>396690</t>
        </is>
      </c>
      <c r="E11606" s="3" t="inlineStr">
        <is>
          <t xml:space="preserve">불성실공시법인지정예고              </t>
        </is>
      </c>
      <c r="F11606" s="3" t="inlineStr">
        <is>
          <t>유가증권시장본부</t>
        </is>
      </c>
      <c r="G11606" s="2" t="inlineStr">
        <is>
          <t>20260617800684</t>
        </is>
      </c>
      <c r="H11606" s="8">
        <f>HYPERLINK("https://dart.fss.or.kr/dsaf001/main.do?rcpNo=20260617800684", "공시열람")</f>
        <v/>
      </c>
    </row>
    <row r="11607">
      <c r="A11607" s="2" t="inlineStr">
        <is>
          <t>2026-06-17</t>
        </is>
      </c>
      <c r="B11607" s="3" t="inlineStr">
        <is>
          <t>알파AI</t>
        </is>
      </c>
      <c r="C11607" s="2" t="inlineStr">
        <is>
          <t>코스닥</t>
        </is>
      </c>
      <c r="D11607" s="2" t="inlineStr">
        <is>
          <t>043100</t>
        </is>
      </c>
      <c r="E11607" s="3" t="inlineStr">
        <is>
          <t xml:space="preserve">사채원리금미지급발생              </t>
        </is>
      </c>
      <c r="F11607" s="3" t="inlineStr">
        <is>
          <t>알파AI</t>
        </is>
      </c>
      <c r="G11607" s="2" t="inlineStr">
        <is>
          <t>20260617900670</t>
        </is>
      </c>
      <c r="H11607" s="8">
        <f>HYPERLINK("https://dart.fss.or.kr/dsaf001/main.do?rcpNo=20260617900670", "공시열람")</f>
        <v/>
      </c>
    </row>
    <row r="11608">
      <c r="A11608" s="2" t="inlineStr">
        <is>
          <t>2026-06-17</t>
        </is>
      </c>
      <c r="B11608" s="3" t="inlineStr">
        <is>
          <t>동부건설</t>
        </is>
      </c>
      <c r="C11608" s="2" t="inlineStr">
        <is>
          <t>코스피</t>
        </is>
      </c>
      <c r="D11608" s="2" t="inlineStr">
        <is>
          <t>005960</t>
        </is>
      </c>
      <c r="E11608" s="3" t="inlineStr">
        <is>
          <t xml:space="preserve">투자판단관련주요경영사항              </t>
        </is>
      </c>
      <c r="F11608" s="3" t="inlineStr">
        <is>
          <t>동부건설</t>
        </is>
      </c>
      <c r="G11608" s="2" t="inlineStr">
        <is>
          <t>20260617800664</t>
        </is>
      </c>
      <c r="H11608" s="8">
        <f>HYPERLINK("https://dart.fss.or.kr/dsaf001/main.do?rcpNo=20260617800664", "공시열람")</f>
        <v/>
      </c>
    </row>
    <row r="11609">
      <c r="A11609" s="2" t="inlineStr">
        <is>
          <t>2026-06-17</t>
        </is>
      </c>
      <c r="B11609" s="3" t="inlineStr">
        <is>
          <t>LB세미콘</t>
        </is>
      </c>
      <c r="C11609" s="2" t="inlineStr">
        <is>
          <t>코스닥</t>
        </is>
      </c>
      <c r="D11609" s="2" t="inlineStr">
        <is>
          <t>061970</t>
        </is>
      </c>
      <c r="E11609" s="3" t="inlineStr">
        <is>
          <t>임원ㆍ주요주주특정증권등거래계획보고서</t>
        </is>
      </c>
      <c r="F11609" s="3" t="inlineStr">
        <is>
          <t>엘비</t>
        </is>
      </c>
      <c r="G11609" s="2" t="inlineStr">
        <is>
          <t>20260617000500</t>
        </is>
      </c>
      <c r="H11609" s="8">
        <f>HYPERLINK("https://dart.fss.or.kr/dsaf001/main.do?rcpNo=20260617000500", "공시열람")</f>
        <v/>
      </c>
    </row>
    <row r="11610">
      <c r="A11610" s="2" t="inlineStr">
        <is>
          <t>2026-06-17</t>
        </is>
      </c>
      <c r="B11610" s="3" t="inlineStr">
        <is>
          <t>온타이드</t>
        </is>
      </c>
      <c r="C11610" s="2" t="inlineStr">
        <is>
          <t>코스피</t>
        </is>
      </c>
      <c r="D11610" s="2" t="inlineStr">
        <is>
          <t>005320</t>
        </is>
      </c>
      <c r="E11610" s="3" t="inlineStr">
        <is>
          <t>임원ㆍ주요주주특정증권등소유상황보고서</t>
        </is>
      </c>
      <c r="F11610" s="3" t="inlineStr">
        <is>
          <t>약진통상</t>
        </is>
      </c>
      <c r="G11610" s="2" t="inlineStr">
        <is>
          <t>20260617000498</t>
        </is>
      </c>
      <c r="H11610" s="8">
        <f>HYPERLINK("https://dart.fss.or.kr/dsaf001/main.do?rcpNo=20260617000498", "공시열람")</f>
        <v/>
      </c>
    </row>
    <row r="11611">
      <c r="A11611" s="2" t="inlineStr">
        <is>
          <t>2026-06-17</t>
        </is>
      </c>
      <c r="B11611" s="3" t="inlineStr">
        <is>
          <t>인산가</t>
        </is>
      </c>
      <c r="C11611" s="2" t="inlineStr">
        <is>
          <t>코스닥</t>
        </is>
      </c>
      <c r="D11611" s="2" t="inlineStr">
        <is>
          <t>277410</t>
        </is>
      </c>
      <c r="E11611" s="3" t="inlineStr">
        <is>
          <t>주권매매거래정지              (주식의 병합, 분할 등 전자등록 변경, 말소)</t>
        </is>
      </c>
      <c r="F11611" s="3" t="inlineStr">
        <is>
          <t>코스닥시장본부</t>
        </is>
      </c>
      <c r="G11611" s="2" t="inlineStr">
        <is>
          <t>20260617900669</t>
        </is>
      </c>
      <c r="H11611" s="8">
        <f>HYPERLINK("https://dart.fss.or.kr/dsaf001/main.do?rcpNo=20260617900669", "공시열람")</f>
        <v/>
      </c>
    </row>
    <row r="11612">
      <c r="A11612" s="2" t="inlineStr">
        <is>
          <t>2026-06-17 (정정: 2026-06-18)</t>
        </is>
      </c>
      <c r="B11612" s="3" t="inlineStr">
        <is>
          <t>대성하이텍</t>
        </is>
      </c>
      <c r="C11612" s="2" t="inlineStr">
        <is>
          <t>코스닥</t>
        </is>
      </c>
      <c r="D11612" s="2" t="inlineStr">
        <is>
          <t>129920</t>
        </is>
      </c>
      <c r="E11612" s="3" t="inlineStr">
        <is>
          <t>주요사항보고서(전환사채매수선택권행사자지정) (정정: 20260618)</t>
        </is>
      </c>
      <c r="F11612" s="3" t="inlineStr">
        <is>
          <t>대성하이텍</t>
        </is>
      </c>
      <c r="G11612" s="2" t="inlineStr">
        <is>
          <t>20260618000183</t>
        </is>
      </c>
      <c r="H11612" s="8">
        <f>HYPERLINK("https://dart.fss.or.kr/dsaf001/main.do?rcpNo=20260618000183", "공시열람")</f>
        <v/>
      </c>
    </row>
    <row r="11613">
      <c r="A11613" s="2" t="inlineStr">
        <is>
          <t>2026-06-17</t>
        </is>
      </c>
      <c r="B11613" s="3" t="inlineStr">
        <is>
          <t>한신공영</t>
        </is>
      </c>
      <c r="C11613" s="2" t="inlineStr">
        <is>
          <t>코스피</t>
        </is>
      </c>
      <c r="D11613" s="2" t="inlineStr">
        <is>
          <t>004960</t>
        </is>
      </c>
      <c r="E11613" s="3" t="inlineStr">
        <is>
          <t xml:space="preserve">투자판단관련주요경영사항              </t>
        </is>
      </c>
      <c r="F11613" s="3" t="inlineStr">
        <is>
          <t>한신공영</t>
        </is>
      </c>
      <c r="G11613" s="2" t="inlineStr">
        <is>
          <t>20260617800652</t>
        </is>
      </c>
      <c r="H11613" s="8">
        <f>HYPERLINK("https://dart.fss.or.kr/dsaf001/main.do?rcpNo=20260617800652", "공시열람")</f>
        <v/>
      </c>
    </row>
    <row r="11614">
      <c r="A11614" s="2" t="inlineStr">
        <is>
          <t>2026-06-17</t>
        </is>
      </c>
      <c r="B11614" s="3" t="inlineStr">
        <is>
          <t>대주전자재료</t>
        </is>
      </c>
      <c r="C11614" s="2" t="inlineStr">
        <is>
          <t>코스닥</t>
        </is>
      </c>
      <c r="D11614" s="2" t="inlineStr">
        <is>
          <t>078600</t>
        </is>
      </c>
      <c r="E11614" s="3" t="inlineStr">
        <is>
          <t>주요사항보고서(자기전환사채만기전취득결정)</t>
        </is>
      </c>
      <c r="F11614" s="3" t="inlineStr">
        <is>
          <t>대주전자재료</t>
        </is>
      </c>
      <c r="G11614" s="2" t="inlineStr">
        <is>
          <t>20260617000488</t>
        </is>
      </c>
      <c r="H11614" s="8">
        <f>HYPERLINK("https://dart.fss.or.kr/dsaf001/main.do?rcpNo=20260617000488", "공시열람")</f>
        <v/>
      </c>
    </row>
    <row r="11615">
      <c r="A11615" s="2" t="inlineStr">
        <is>
          <t>2026-06-17</t>
        </is>
      </c>
      <c r="B11615" s="3" t="inlineStr">
        <is>
          <t>에피소드컴퍼니</t>
        </is>
      </c>
      <c r="C11615" s="2" t="inlineStr">
        <is>
          <t>코스닥</t>
        </is>
      </c>
      <c r="D11615" s="2" t="inlineStr">
        <is>
          <t>317530</t>
        </is>
      </c>
      <c r="E11615" s="3" t="inlineStr">
        <is>
          <t>임원ㆍ주요주주특정증권등소유상황보고서</t>
        </is>
      </c>
      <c r="F11615" s="3" t="inlineStr">
        <is>
          <t>김동하</t>
        </is>
      </c>
      <c r="G11615" s="2" t="inlineStr">
        <is>
          <t>20260617000489</t>
        </is>
      </c>
      <c r="H11615" s="8">
        <f>HYPERLINK("https://dart.fss.or.kr/dsaf001/main.do?rcpNo=20260617000489", "공시열람")</f>
        <v/>
      </c>
    </row>
    <row r="11616">
      <c r="A11616" s="2" t="inlineStr">
        <is>
          <t>2026-06-17</t>
        </is>
      </c>
      <c r="B11616" s="3" t="inlineStr">
        <is>
          <t>디에이치엑스컴퍼니</t>
        </is>
      </c>
      <c r="C11616" s="2" t="inlineStr">
        <is>
          <t>코스닥</t>
        </is>
      </c>
      <c r="D11616" s="2" t="inlineStr">
        <is>
          <t>031860</t>
        </is>
      </c>
      <c r="E11616" s="3" t="inlineStr">
        <is>
          <t>사외이사의선임ㆍ해임또는중도퇴임에관한신고</t>
        </is>
      </c>
      <c r="F11616" s="3" t="inlineStr">
        <is>
          <t>디에이치엑스컴퍼니</t>
        </is>
      </c>
      <c r="G11616" s="2" t="inlineStr">
        <is>
          <t>20260617000486</t>
        </is>
      </c>
      <c r="H11616" s="8">
        <f>HYPERLINK("https://dart.fss.or.kr/dsaf001/main.do?rcpNo=20260617000486", "공시열람")</f>
        <v/>
      </c>
    </row>
    <row r="11617">
      <c r="A11617" s="2" t="inlineStr">
        <is>
          <t>2026-06-17</t>
        </is>
      </c>
      <c r="B11617" s="3" t="inlineStr">
        <is>
          <t>한국전력공사</t>
        </is>
      </c>
      <c r="C11617" s="2" t="inlineStr">
        <is>
          <t>코스피</t>
        </is>
      </c>
      <c r="D11617" s="2" t="inlineStr">
        <is>
          <t>015760</t>
        </is>
      </c>
      <c r="E11617" s="3" t="inlineStr">
        <is>
          <t>사외이사의선임ㆍ해임또는중도퇴임에관한신고</t>
        </is>
      </c>
      <c r="F11617" s="3" t="inlineStr">
        <is>
          <t>한국전력공사</t>
        </is>
      </c>
      <c r="G11617" s="2" t="inlineStr">
        <is>
          <t>20260617000485</t>
        </is>
      </c>
      <c r="H11617" s="8">
        <f>HYPERLINK("https://dart.fss.or.kr/dsaf001/main.do?rcpNo=20260617000485", "공시열람")</f>
        <v/>
      </c>
    </row>
    <row r="11618">
      <c r="A11618" s="2" t="inlineStr">
        <is>
          <t>2026-06-17</t>
        </is>
      </c>
      <c r="B11618" s="3" t="inlineStr">
        <is>
          <t>로지스몬</t>
        </is>
      </c>
      <c r="C11618" s="2" t="inlineStr">
        <is>
          <t>코넥스</t>
        </is>
      </c>
      <c r="D11618" s="2" t="inlineStr">
        <is>
          <t>223220</t>
        </is>
      </c>
      <c r="E11618" s="3" t="inlineStr">
        <is>
          <t xml:space="preserve">기업설명회(IR)개최결과              </t>
        </is>
      </c>
      <c r="F11618" s="3" t="inlineStr">
        <is>
          <t>로지스몬</t>
        </is>
      </c>
      <c r="G11618" s="2" t="inlineStr">
        <is>
          <t>20260617600639</t>
        </is>
      </c>
      <c r="H11618" s="8">
        <f>HYPERLINK("https://dart.fss.or.kr/dsaf001/main.do?rcpNo=20260617600639", "공시열람")</f>
        <v/>
      </c>
    </row>
    <row r="11619">
      <c r="A11619" s="2" t="inlineStr">
        <is>
          <t>2026-06-17</t>
        </is>
      </c>
      <c r="B11619" s="3" t="inlineStr">
        <is>
          <t>프로티나</t>
        </is>
      </c>
      <c r="C11619" s="2" t="inlineStr">
        <is>
          <t>코스닥</t>
        </is>
      </c>
      <c r="D11619" s="2" t="inlineStr">
        <is>
          <t>468530</t>
        </is>
      </c>
      <c r="E11619" s="3" t="inlineStr">
        <is>
          <t>기타경영사항(자율공시)              ([국책과제 선정] 국가신약개발재단(KDDF) 과제 협약 체결 완료)</t>
        </is>
      </c>
      <c r="F11619" s="3" t="inlineStr">
        <is>
          <t>프로티나</t>
        </is>
      </c>
      <c r="G11619" s="2" t="inlineStr">
        <is>
          <t>20260617900619</t>
        </is>
      </c>
      <c r="H11619" s="8">
        <f>HYPERLINK("https://dart.fss.or.kr/dsaf001/main.do?rcpNo=20260617900619", "공시열람")</f>
        <v/>
      </c>
    </row>
    <row r="11620">
      <c r="A11620" s="2" t="inlineStr">
        <is>
          <t>2026-06-17</t>
        </is>
      </c>
      <c r="B11620" s="3" t="inlineStr">
        <is>
          <t>타임기술</t>
        </is>
      </c>
      <c r="C11620" s="2" t="inlineStr">
        <is>
          <t>코넥스</t>
        </is>
      </c>
      <c r="D11620" s="2" t="inlineStr">
        <is>
          <t>318660</t>
        </is>
      </c>
      <c r="E11620" s="3" t="inlineStr">
        <is>
          <t xml:space="preserve">기업설명회(IR)개최결과              </t>
        </is>
      </c>
      <c r="F11620" s="3" t="inlineStr">
        <is>
          <t>타임기술</t>
        </is>
      </c>
      <c r="G11620" s="2" t="inlineStr">
        <is>
          <t>20260617600629</t>
        </is>
      </c>
      <c r="H11620" s="8">
        <f>HYPERLINK("https://dart.fss.or.kr/dsaf001/main.do?rcpNo=20260617600629", "공시열람")</f>
        <v/>
      </c>
    </row>
    <row r="11621">
      <c r="A11621" s="2" t="inlineStr">
        <is>
          <t>2026-06-17</t>
        </is>
      </c>
      <c r="B11621" s="3" t="inlineStr">
        <is>
          <t>KC그린홀딩스</t>
        </is>
      </c>
      <c r="C11621" s="2" t="inlineStr">
        <is>
          <t>코스피</t>
        </is>
      </c>
      <c r="D11621" s="2" t="inlineStr">
        <is>
          <t>009440</t>
        </is>
      </c>
      <c r="E11621" s="3" t="inlineStr">
        <is>
          <t xml:space="preserve">투자판단관련주요경영사항(자회사의 주요경영사항)              </t>
        </is>
      </c>
      <c r="F11621" s="3" t="inlineStr">
        <is>
          <t>KC그린홀딩스</t>
        </is>
      </c>
      <c r="G11621" s="2" t="inlineStr">
        <is>
          <t>20260617800574</t>
        </is>
      </c>
      <c r="H11621" s="8">
        <f>HYPERLINK("https://dart.fss.or.kr/dsaf001/main.do?rcpNo=20260617800574", "공시열람")</f>
        <v/>
      </c>
    </row>
    <row r="11622">
      <c r="A11622" s="2" t="inlineStr">
        <is>
          <t>2026-06-17</t>
        </is>
      </c>
      <c r="B11622" s="3" t="inlineStr">
        <is>
          <t>HJ중공업</t>
        </is>
      </c>
      <c r="C11622" s="2" t="inlineStr">
        <is>
          <t>코스피</t>
        </is>
      </c>
      <c r="D11622" s="2" t="inlineStr">
        <is>
          <t>097230</t>
        </is>
      </c>
      <c r="E11622" s="3" t="inlineStr">
        <is>
          <t xml:space="preserve">투자판단관련주요경영사항              </t>
        </is>
      </c>
      <c r="F11622" s="3" t="inlineStr">
        <is>
          <t>HJ중공업</t>
        </is>
      </c>
      <c r="G11622" s="2" t="inlineStr">
        <is>
          <t>20260617800524</t>
        </is>
      </c>
      <c r="H11622" s="8">
        <f>HYPERLINK("https://dart.fss.or.kr/dsaf001/main.do?rcpNo=20260617800524", "공시열람")</f>
        <v/>
      </c>
    </row>
    <row r="11623">
      <c r="A11623" s="2" t="inlineStr">
        <is>
          <t>2026-06-17</t>
        </is>
      </c>
      <c r="B11623" s="3" t="inlineStr">
        <is>
          <t>다원시스</t>
        </is>
      </c>
      <c r="C11623" s="2" t="inlineStr">
        <is>
          <t>코스닥</t>
        </is>
      </c>
      <c r="D11623" s="2" t="inlineStr">
        <is>
          <t>068240</t>
        </is>
      </c>
      <c r="E11623" s="3" t="inlineStr">
        <is>
          <t xml:space="preserve">사채원리금미지급발생              </t>
        </is>
      </c>
      <c r="F11623" s="3" t="inlineStr">
        <is>
          <t>다원시스</t>
        </is>
      </c>
      <c r="G11623" s="2" t="inlineStr">
        <is>
          <t>20260617900620</t>
        </is>
      </c>
      <c r="H11623" s="8">
        <f>HYPERLINK("https://dart.fss.or.kr/dsaf001/main.do?rcpNo=20260617900620", "공시열람")</f>
        <v/>
      </c>
    </row>
    <row r="11624">
      <c r="A11624" s="2" t="inlineStr">
        <is>
          <t>2026-06-17 (정정: 2026-06-23)</t>
        </is>
      </c>
      <c r="B11624" s="3" t="inlineStr">
        <is>
          <t>이지스레지던스리츠</t>
        </is>
      </c>
      <c r="C11624" s="2" t="inlineStr">
        <is>
          <t>코스피</t>
        </is>
      </c>
      <c r="D11624" s="2" t="inlineStr">
        <is>
          <t>350520</t>
        </is>
      </c>
      <c r="E11624" s="3" t="inlineStr">
        <is>
          <t>부동산투자회사자금차입               (정정: 20260623)</t>
        </is>
      </c>
      <c r="F11624" s="3" t="inlineStr">
        <is>
          <t>이지스레지던스리츠</t>
        </is>
      </c>
      <c r="G11624" s="2" t="inlineStr">
        <is>
          <t>20260623800453</t>
        </is>
      </c>
      <c r="H11624" s="8">
        <f>HYPERLINK("https://dart.fss.or.kr/dsaf001/main.do?rcpNo=20260623800453", "공시열람")</f>
        <v/>
      </c>
    </row>
    <row r="11625">
      <c r="A11625" s="2" t="inlineStr">
        <is>
          <t>2026-06-17</t>
        </is>
      </c>
      <c r="B11625" s="3" t="inlineStr">
        <is>
          <t>DB증권</t>
        </is>
      </c>
      <c r="C11625" s="2" t="inlineStr">
        <is>
          <t>코스피</t>
        </is>
      </c>
      <c r="D11625" s="2" t="inlineStr">
        <is>
          <t>016610</t>
        </is>
      </c>
      <c r="E11625" s="3" t="inlineStr">
        <is>
          <t xml:space="preserve">단기차입금증가결정              </t>
        </is>
      </c>
      <c r="F11625" s="3" t="inlineStr">
        <is>
          <t>DB증권</t>
        </is>
      </c>
      <c r="G11625" s="2" t="inlineStr">
        <is>
          <t>20260617800624</t>
        </is>
      </c>
      <c r="H11625" s="8">
        <f>HYPERLINK("https://dart.fss.or.kr/dsaf001/main.do?rcpNo=20260617800624", "공시열람")</f>
        <v/>
      </c>
    </row>
    <row r="11626">
      <c r="A11626" s="2" t="inlineStr">
        <is>
          <t>2026-06-17</t>
        </is>
      </c>
      <c r="B11626" s="3" t="inlineStr">
        <is>
          <t>한일홀딩스</t>
        </is>
      </c>
      <c r="C11626" s="2" t="inlineStr">
        <is>
          <t>코스피</t>
        </is>
      </c>
      <c r="D11626" s="2" t="inlineStr">
        <is>
          <t>003300</t>
        </is>
      </c>
      <c r="E11626" s="3" t="inlineStr">
        <is>
          <t>임원ㆍ주요주주특정증권등소유상황보고서</t>
        </is>
      </c>
      <c r="F11626" s="3" t="inlineStr">
        <is>
          <t>박지훈</t>
        </is>
      </c>
      <c r="G11626" s="2" t="inlineStr">
        <is>
          <t>20260617000477</t>
        </is>
      </c>
      <c r="H11626" s="8">
        <f>HYPERLINK("https://dart.fss.or.kr/dsaf001/main.do?rcpNo=20260617000477", "공시열람")</f>
        <v/>
      </c>
    </row>
    <row r="11627">
      <c r="A11627" s="2" t="inlineStr">
        <is>
          <t>2026-06-17</t>
        </is>
      </c>
      <c r="B11627" s="3" t="inlineStr">
        <is>
          <t>쏠리드</t>
        </is>
      </c>
      <c r="C11627" s="2" t="inlineStr">
        <is>
          <t>코스닥</t>
        </is>
      </c>
      <c r="D11627" s="2" t="inlineStr">
        <is>
          <t>050890</t>
        </is>
      </c>
      <c r="E11627" s="3" t="inlineStr">
        <is>
          <t>신탁계약에의한취득상황보고서</t>
        </is>
      </c>
      <c r="F11627" s="3" t="inlineStr">
        <is>
          <t>쏠리드</t>
        </is>
      </c>
      <c r="G11627" s="2" t="inlineStr">
        <is>
          <t>20260617000475</t>
        </is>
      </c>
      <c r="H11627" s="8">
        <f>HYPERLINK("https://dart.fss.or.kr/dsaf001/main.do?rcpNo=20260617000475", "공시열람")</f>
        <v/>
      </c>
    </row>
    <row r="11628">
      <c r="A11628" s="2" t="inlineStr">
        <is>
          <t>2026-06-17</t>
        </is>
      </c>
      <c r="B11628" s="3" t="inlineStr">
        <is>
          <t>삼진제약</t>
        </is>
      </c>
      <c r="C11628" s="2" t="inlineStr">
        <is>
          <t>코스피</t>
        </is>
      </c>
      <c r="D11628" s="2" t="inlineStr">
        <is>
          <t>005500</t>
        </is>
      </c>
      <c r="E11628" s="3" t="inlineStr">
        <is>
          <t>임원ㆍ주요주주특정증권등소유상황보고서</t>
        </is>
      </c>
      <c r="F11628" s="3" t="inlineStr">
        <is>
          <t>박창익</t>
        </is>
      </c>
      <c r="G11628" s="2" t="inlineStr">
        <is>
          <t>20260617000471</t>
        </is>
      </c>
      <c r="H11628" s="8">
        <f>HYPERLINK("https://dart.fss.or.kr/dsaf001/main.do?rcpNo=20260617000471", "공시열람")</f>
        <v/>
      </c>
    </row>
    <row r="11629">
      <c r="A11629" s="2" t="inlineStr">
        <is>
          <t>2026-06-17</t>
        </is>
      </c>
      <c r="B11629" s="3" t="inlineStr">
        <is>
          <t>케이티스카이라이프</t>
        </is>
      </c>
      <c r="C11629" s="2" t="inlineStr">
        <is>
          <t>코스피</t>
        </is>
      </c>
      <c r="D11629" s="2" t="inlineStr">
        <is>
          <t>053210</t>
        </is>
      </c>
      <c r="E11629" s="3" t="inlineStr">
        <is>
          <t>증권발행실적보고서</t>
        </is>
      </c>
      <c r="F11629" s="3" t="inlineStr">
        <is>
          <t>케이티스카이라이프</t>
        </is>
      </c>
      <c r="G11629" s="2" t="inlineStr">
        <is>
          <t>20260617000457</t>
        </is>
      </c>
      <c r="H11629" s="8">
        <f>HYPERLINK("https://dart.fss.or.kr/dsaf001/main.do?rcpNo=20260617000457", "공시열람")</f>
        <v/>
      </c>
    </row>
    <row r="11630">
      <c r="A11630" s="2" t="inlineStr">
        <is>
          <t>2026-06-17</t>
        </is>
      </c>
      <c r="B11630" s="3" t="inlineStr">
        <is>
          <t>케어젠</t>
        </is>
      </c>
      <c r="C11630" s="2" t="inlineStr">
        <is>
          <t>코스닥</t>
        </is>
      </c>
      <c r="D11630" s="2" t="inlineStr">
        <is>
          <t>214370</t>
        </is>
      </c>
      <c r="E11630" s="3" t="inlineStr">
        <is>
          <t>불성실공시법인지정예고              (공시번복 1건, 공시변경 1건)</t>
        </is>
      </c>
      <c r="F11630" s="3" t="inlineStr">
        <is>
          <t>코스닥시장본부</t>
        </is>
      </c>
      <c r="G11630" s="2" t="inlineStr">
        <is>
          <t>20260617900560</t>
        </is>
      </c>
      <c r="H11630" s="8">
        <f>HYPERLINK("https://dart.fss.or.kr/dsaf001/main.do?rcpNo=20260617900560", "공시열람")</f>
        <v/>
      </c>
    </row>
    <row r="11631">
      <c r="A11631" s="2" t="inlineStr">
        <is>
          <t>2026-06-17</t>
        </is>
      </c>
      <c r="B11631" s="3" t="inlineStr">
        <is>
          <t>티사이언티픽</t>
        </is>
      </c>
      <c r="C11631" s="2" t="inlineStr">
        <is>
          <t>코스닥</t>
        </is>
      </c>
      <c r="D11631" s="2" t="inlineStr">
        <is>
          <t>057680</t>
        </is>
      </c>
      <c r="E11631" s="3" t="inlineStr">
        <is>
          <t>임원ㆍ주요주주특정증권등소유상황보고서</t>
        </is>
      </c>
      <c r="F11631" s="3" t="inlineStr">
        <is>
          <t>제이에스아이홀딩스</t>
        </is>
      </c>
      <c r="G11631" s="2" t="inlineStr">
        <is>
          <t>20260617000449</t>
        </is>
      </c>
      <c r="H11631" s="8">
        <f>HYPERLINK("https://dart.fss.or.kr/dsaf001/main.do?rcpNo=20260617000449", "공시열람")</f>
        <v/>
      </c>
    </row>
    <row r="11632">
      <c r="A11632" s="2" t="inlineStr">
        <is>
          <t>2026-06-17</t>
        </is>
      </c>
      <c r="B11632" s="3" t="inlineStr">
        <is>
          <t>알파칩스</t>
        </is>
      </c>
      <c r="C11632" s="2" t="inlineStr">
        <is>
          <t>코스닥</t>
        </is>
      </c>
      <c r="D11632" s="2" t="inlineStr">
        <is>
          <t>117670</t>
        </is>
      </c>
      <c r="E11632" s="3" t="inlineStr">
        <is>
          <t xml:space="preserve">주주명부폐쇄기간또는기준일설정              </t>
        </is>
      </c>
      <c r="F11632" s="3" t="inlineStr">
        <is>
          <t>알파칩스</t>
        </is>
      </c>
      <c r="G11632" s="2" t="inlineStr">
        <is>
          <t>20260617900539</t>
        </is>
      </c>
      <c r="H11632" s="8">
        <f>HYPERLINK("https://dart.fss.or.kr/dsaf001/main.do?rcpNo=20260617900539", "공시열람")</f>
        <v/>
      </c>
    </row>
    <row r="11633">
      <c r="A11633" s="2" t="inlineStr">
        <is>
          <t>2026-06-17</t>
        </is>
      </c>
      <c r="B11633" s="3" t="inlineStr">
        <is>
          <t>씨엑스아이</t>
        </is>
      </c>
      <c r="C11633" s="2" t="inlineStr">
        <is>
          <t>코스닥</t>
        </is>
      </c>
      <c r="D11633" s="2" t="inlineStr">
        <is>
          <t>900120</t>
        </is>
      </c>
      <c r="E11633" s="3" t="inlineStr">
        <is>
          <t>임원ㆍ주요주주특정증권등소유상황보고서</t>
        </is>
      </c>
      <c r="F11633" s="3" t="inlineStr">
        <is>
          <t>LIN JINSHENG</t>
        </is>
      </c>
      <c r="G11633" s="2" t="inlineStr">
        <is>
          <t>20260617000448</t>
        </is>
      </c>
      <c r="H11633" s="8">
        <f>HYPERLINK("https://dart.fss.or.kr/dsaf001/main.do?rcpNo=20260617000448", "공시열람")</f>
        <v/>
      </c>
    </row>
    <row r="11634">
      <c r="A11634" s="2" t="inlineStr">
        <is>
          <t>2026-06-17</t>
        </is>
      </c>
      <c r="B11634" s="3" t="inlineStr">
        <is>
          <t>기가비스</t>
        </is>
      </c>
      <c r="C11634" s="2" t="inlineStr">
        <is>
          <t>코스닥</t>
        </is>
      </c>
      <c r="D11634" s="2" t="inlineStr">
        <is>
          <t>420770</t>
        </is>
      </c>
      <c r="E11634" s="3" t="inlineStr">
        <is>
          <t>임원ㆍ주요주주특정증권등소유상황보고서</t>
        </is>
      </c>
      <c r="F11634" s="3" t="inlineStr">
        <is>
          <t>김진철</t>
        </is>
      </c>
      <c r="G11634" s="2" t="inlineStr">
        <is>
          <t>20260617000432</t>
        </is>
      </c>
      <c r="H11634" s="8">
        <f>HYPERLINK("https://dart.fss.or.kr/dsaf001/main.do?rcpNo=20260617000432", "공시열람")</f>
        <v/>
      </c>
    </row>
    <row r="11635">
      <c r="A11635" s="2" t="inlineStr">
        <is>
          <t>2026-06-17</t>
        </is>
      </c>
      <c r="B11635" s="3" t="inlineStr">
        <is>
          <t>라메디텍</t>
        </is>
      </c>
      <c r="C11635" s="2" t="inlineStr">
        <is>
          <t>코스닥</t>
        </is>
      </c>
      <c r="D11635" s="2" t="inlineStr">
        <is>
          <t>462510</t>
        </is>
      </c>
      <c r="E11635" s="3" t="inlineStr">
        <is>
          <t>전환가액의조정              (제1회차)</t>
        </is>
      </c>
      <c r="F11635" s="3" t="inlineStr">
        <is>
          <t>라메디텍</t>
        </is>
      </c>
      <c r="G11635" s="2" t="inlineStr">
        <is>
          <t>20260617900498</t>
        </is>
      </c>
      <c r="H11635" s="8">
        <f>HYPERLINK("https://dart.fss.or.kr/dsaf001/main.do?rcpNo=20260617900498", "공시열람")</f>
        <v/>
      </c>
    </row>
    <row r="11636">
      <c r="A11636" s="2" t="inlineStr">
        <is>
          <t>2026-06-17</t>
        </is>
      </c>
      <c r="B11636" s="3" t="inlineStr">
        <is>
          <t>아주IB투자</t>
        </is>
      </c>
      <c r="C11636" s="2" t="inlineStr">
        <is>
          <t>코스닥</t>
        </is>
      </c>
      <c r="D11636" s="2" t="inlineStr">
        <is>
          <t>027360</t>
        </is>
      </c>
      <c r="E11636" s="3" t="inlineStr">
        <is>
          <t>임원ㆍ주요주주특정증권등소유상황보고서</t>
        </is>
      </c>
      <c r="F11636" s="3" t="inlineStr">
        <is>
          <t>아주</t>
        </is>
      </c>
      <c r="G11636" s="2" t="inlineStr">
        <is>
          <t>20260617000430</t>
        </is>
      </c>
      <c r="H11636" s="8">
        <f>HYPERLINK("https://dart.fss.or.kr/dsaf001/main.do?rcpNo=20260617000430", "공시열람")</f>
        <v/>
      </c>
    </row>
    <row r="11637">
      <c r="A11637" s="2" t="inlineStr">
        <is>
          <t>2026-06-17</t>
        </is>
      </c>
      <c r="B11637" s="3" t="inlineStr">
        <is>
          <t>이노스페이스</t>
        </is>
      </c>
      <c r="C11637" s="2" t="inlineStr">
        <is>
          <t>코스닥</t>
        </is>
      </c>
      <c r="D11637" s="2" t="inlineStr">
        <is>
          <t>462350</t>
        </is>
      </c>
      <c r="E11637" s="3" t="inlineStr">
        <is>
          <t>권리락              (무상증자)</t>
        </is>
      </c>
      <c r="F11637" s="3" t="inlineStr">
        <is>
          <t>코스닥시장본부</t>
        </is>
      </c>
      <c r="G11637" s="2" t="inlineStr">
        <is>
          <t>20260617900526</t>
        </is>
      </c>
      <c r="H11637" s="8">
        <f>HYPERLINK("https://dart.fss.or.kr/dsaf001/main.do?rcpNo=20260617900526", "공시열람")</f>
        <v/>
      </c>
    </row>
    <row r="11638">
      <c r="A11638" s="2" t="inlineStr">
        <is>
          <t>2026-06-17</t>
        </is>
      </c>
      <c r="B11638" s="3" t="inlineStr">
        <is>
          <t>LB세미콘</t>
        </is>
      </c>
      <c r="C11638" s="2" t="inlineStr">
        <is>
          <t>코스닥</t>
        </is>
      </c>
      <c r="D11638" s="2" t="inlineStr">
        <is>
          <t>061970</t>
        </is>
      </c>
      <c r="E11638" s="3" t="inlineStr">
        <is>
          <t>권리락              (유상증자)</t>
        </is>
      </c>
      <c r="F11638" s="3" t="inlineStr">
        <is>
          <t>코스닥시장본부</t>
        </is>
      </c>
      <c r="G11638" s="2" t="inlineStr">
        <is>
          <t>20260617900525</t>
        </is>
      </c>
      <c r="H11638" s="8">
        <f>HYPERLINK("https://dart.fss.or.kr/dsaf001/main.do?rcpNo=20260617900525", "공시열람")</f>
        <v/>
      </c>
    </row>
    <row r="11639">
      <c r="A11639" s="2" t="inlineStr">
        <is>
          <t>2026-06-17</t>
        </is>
      </c>
      <c r="B11639" s="3" t="inlineStr">
        <is>
          <t>삼성증권</t>
        </is>
      </c>
      <c r="C11639" s="2" t="inlineStr">
        <is>
          <t>코스피</t>
        </is>
      </c>
      <c r="D11639" s="2" t="inlineStr">
        <is>
          <t>016360</t>
        </is>
      </c>
      <c r="E11639" s="3" t="inlineStr">
        <is>
          <t>투자설명서(일괄신고)</t>
        </is>
      </c>
      <c r="F11639" s="3" t="inlineStr">
        <is>
          <t>삼성증권</t>
        </is>
      </c>
      <c r="G11639" s="2" t="inlineStr">
        <is>
          <t>20260617000427</t>
        </is>
      </c>
      <c r="H11639" s="8">
        <f>HYPERLINK("https://dart.fss.or.kr/dsaf001/main.do?rcpNo=20260617000427", "공시열람")</f>
        <v/>
      </c>
    </row>
    <row r="11640">
      <c r="A11640" s="2" t="inlineStr">
        <is>
          <t>2026-06-17</t>
        </is>
      </c>
      <c r="B11640" s="3" t="inlineStr">
        <is>
          <t>녹십자웰빙</t>
        </is>
      </c>
      <c r="C11640" s="2" t="inlineStr">
        <is>
          <t>코스닥</t>
        </is>
      </c>
      <c r="D11640" s="2" t="inlineStr">
        <is>
          <t>234690</t>
        </is>
      </c>
      <c r="E11640" s="3" t="inlineStr">
        <is>
          <t xml:space="preserve">주권관련사채권의취득결정              </t>
        </is>
      </c>
      <c r="F11640" s="3" t="inlineStr">
        <is>
          <t>녹십자웰빙</t>
        </is>
      </c>
      <c r="G11640" s="2" t="inlineStr">
        <is>
          <t>20260617900467</t>
        </is>
      </c>
      <c r="H11640" s="8">
        <f>HYPERLINK("https://dart.fss.or.kr/dsaf001/main.do?rcpNo=20260617900467", "공시열람")</f>
        <v/>
      </c>
    </row>
    <row r="11641">
      <c r="A11641" s="2" t="inlineStr">
        <is>
          <t>2026-06-17</t>
        </is>
      </c>
      <c r="B11641" s="3" t="inlineStr">
        <is>
          <t>삼성전자</t>
        </is>
      </c>
      <c r="C11641" s="2" t="inlineStr">
        <is>
          <t>코스피</t>
        </is>
      </c>
      <c r="D11641" s="2" t="inlineStr">
        <is>
          <t>005930</t>
        </is>
      </c>
      <c r="E11641" s="3" t="inlineStr">
        <is>
          <t>임원ㆍ주요주주특정증권등소유상황보고서</t>
        </is>
      </c>
      <c r="F11641" s="3" t="inlineStr">
        <is>
          <t>KANG KUN HYUK</t>
        </is>
      </c>
      <c r="G11641" s="2" t="inlineStr">
        <is>
          <t>20260617000422</t>
        </is>
      </c>
      <c r="H11641" s="8">
        <f>HYPERLINK("https://dart.fss.or.kr/dsaf001/main.do?rcpNo=20260617000422", "공시열람")</f>
        <v/>
      </c>
    </row>
    <row r="11642">
      <c r="A11642" s="2" t="inlineStr">
        <is>
          <t>2026-06-17</t>
        </is>
      </c>
      <c r="B11642" s="3" t="inlineStr">
        <is>
          <t>현대차증권</t>
        </is>
      </c>
      <c r="C11642" s="2" t="inlineStr">
        <is>
          <t>코스피</t>
        </is>
      </c>
      <c r="D11642" s="2" t="inlineStr">
        <is>
          <t>001500</t>
        </is>
      </c>
      <c r="E11642" s="3" t="inlineStr">
        <is>
          <t>증권발행실적보고서</t>
        </is>
      </c>
      <c r="F11642" s="3" t="inlineStr">
        <is>
          <t>현대차증권</t>
        </is>
      </c>
      <c r="G11642" s="2" t="inlineStr">
        <is>
          <t>20260617000407</t>
        </is>
      </c>
      <c r="H11642" s="8">
        <f>HYPERLINK("https://dart.fss.or.kr/dsaf001/main.do?rcpNo=20260617000407", "공시열람")</f>
        <v/>
      </c>
    </row>
    <row r="11643">
      <c r="A11643" s="2" t="inlineStr">
        <is>
          <t>2026-06-17</t>
        </is>
      </c>
      <c r="B11643" s="3" t="inlineStr">
        <is>
          <t>에어부산</t>
        </is>
      </c>
      <c r="C11643" s="2" t="inlineStr">
        <is>
          <t>코스피</t>
        </is>
      </c>
      <c r="D11643" s="2" t="inlineStr">
        <is>
          <t>298690</t>
        </is>
      </c>
      <c r="E11643" s="3" t="inlineStr">
        <is>
          <t>임원ㆍ주요주주특정증권등소유상황보고서</t>
        </is>
      </c>
      <c r="F11643" s="3" t="inlineStr">
        <is>
          <t>아시아나항공</t>
        </is>
      </c>
      <c r="G11643" s="2" t="inlineStr">
        <is>
          <t>20260617000406</t>
        </is>
      </c>
      <c r="H11643" s="8">
        <f>HYPERLINK("https://dart.fss.or.kr/dsaf001/main.do?rcpNo=20260617000406", "공시열람")</f>
        <v/>
      </c>
    </row>
    <row r="11644">
      <c r="A11644" s="2" t="inlineStr">
        <is>
          <t>2026-06-17</t>
        </is>
      </c>
      <c r="B11644" s="3" t="inlineStr">
        <is>
          <t>영화금속</t>
        </is>
      </c>
      <c r="C11644" s="2" t="inlineStr">
        <is>
          <t>코스피</t>
        </is>
      </c>
      <c r="D11644" s="2" t="inlineStr">
        <is>
          <t>012280</t>
        </is>
      </c>
      <c r="E11644" s="3" t="inlineStr">
        <is>
          <t xml:space="preserve">[기재정정]주식병합결정              </t>
        </is>
      </c>
      <c r="F11644" s="3" t="inlineStr">
        <is>
          <t>영화금속</t>
        </is>
      </c>
      <c r="G11644" s="2" t="inlineStr">
        <is>
          <t>20260617800484</t>
        </is>
      </c>
      <c r="H11644" s="8">
        <f>HYPERLINK("https://dart.fss.or.kr/dsaf001/main.do?rcpNo=20260617800484", "공시열람")</f>
        <v/>
      </c>
    </row>
    <row r="11645">
      <c r="A11645" s="2" t="inlineStr">
        <is>
          <t>2026-06-17</t>
        </is>
      </c>
      <c r="B11645" s="3" t="inlineStr">
        <is>
          <t>심텍</t>
        </is>
      </c>
      <c r="C11645" s="2" t="inlineStr">
        <is>
          <t>코스닥</t>
        </is>
      </c>
      <c r="D11645" s="2" t="inlineStr">
        <is>
          <t>222800</t>
        </is>
      </c>
      <c r="E11645" s="3" t="inlineStr">
        <is>
          <t>임원ㆍ주요주주특정증권등소유상황보고서</t>
        </is>
      </c>
      <c r="F11645" s="3" t="inlineStr">
        <is>
          <t>심텍홀딩스</t>
        </is>
      </c>
      <c r="G11645" s="2" t="inlineStr">
        <is>
          <t>20260617000403</t>
        </is>
      </c>
      <c r="H11645" s="8">
        <f>HYPERLINK("https://dart.fss.or.kr/dsaf001/main.do?rcpNo=20260617000403", "공시열람")</f>
        <v/>
      </c>
    </row>
    <row r="11646">
      <c r="A11646" s="2" t="inlineStr">
        <is>
          <t>2026-06-17</t>
        </is>
      </c>
      <c r="B11646" s="3" t="inlineStr">
        <is>
          <t>영화금속</t>
        </is>
      </c>
      <c r="C11646" s="2" t="inlineStr">
        <is>
          <t>코스피</t>
        </is>
      </c>
      <c r="D11646" s="2" t="inlineStr">
        <is>
          <t>012280</t>
        </is>
      </c>
      <c r="E11646" s="3" t="inlineStr">
        <is>
          <t xml:space="preserve">주주명부폐쇄기간또는기준일설정              </t>
        </is>
      </c>
      <c r="F11646" s="3" t="inlineStr">
        <is>
          <t>영화금속</t>
        </is>
      </c>
      <c r="G11646" s="2" t="inlineStr">
        <is>
          <t>20260617800384</t>
        </is>
      </c>
      <c r="H11646" s="8">
        <f>HYPERLINK("https://dart.fss.or.kr/dsaf001/main.do?rcpNo=20260617800384", "공시열람")</f>
        <v/>
      </c>
    </row>
    <row r="11647">
      <c r="A11647" s="2" t="inlineStr">
        <is>
          <t>2026-06-17</t>
        </is>
      </c>
      <c r="B11647" s="3" t="inlineStr">
        <is>
          <t>KB제29호스팩</t>
        </is>
      </c>
      <c r="C11647" s="2" t="inlineStr">
        <is>
          <t>코스닥</t>
        </is>
      </c>
      <c r="D11647" s="2" t="inlineStr">
        <is>
          <t>478390</t>
        </is>
      </c>
      <c r="E11647" s="3" t="inlineStr">
        <is>
          <t xml:space="preserve">기업인수목적회사의예치ㆍ신탁계약내용변경              </t>
        </is>
      </c>
      <c r="F11647" s="3" t="inlineStr">
        <is>
          <t>KB제29호스팩</t>
        </is>
      </c>
      <c r="G11647" s="2" t="inlineStr">
        <is>
          <t>20260617900410</t>
        </is>
      </c>
      <c r="H11647" s="8">
        <f>HYPERLINK("https://dart.fss.or.kr/dsaf001/main.do?rcpNo=20260617900410", "공시열람")</f>
        <v/>
      </c>
    </row>
    <row r="11648">
      <c r="A11648" s="2" t="inlineStr">
        <is>
          <t>2026-06-17</t>
        </is>
      </c>
      <c r="B11648" s="3" t="inlineStr">
        <is>
          <t>삼화네트웍스</t>
        </is>
      </c>
      <c r="C11648" s="2" t="inlineStr">
        <is>
          <t>코스닥</t>
        </is>
      </c>
      <c r="D11648" s="2" t="inlineStr">
        <is>
          <t>046390</t>
        </is>
      </c>
      <c r="E11648" s="3" t="inlineStr">
        <is>
          <t>신탁계약해지결과보고서</t>
        </is>
      </c>
      <c r="F11648" s="3" t="inlineStr">
        <is>
          <t>삼화네트웍스</t>
        </is>
      </c>
      <c r="G11648" s="2" t="inlineStr">
        <is>
          <t>20260617000398</t>
        </is>
      </c>
      <c r="H11648" s="8">
        <f>HYPERLINK("https://dart.fss.or.kr/dsaf001/main.do?rcpNo=20260617000398", "공시열람")</f>
        <v/>
      </c>
    </row>
    <row r="11649">
      <c r="A11649" s="2" t="inlineStr">
        <is>
          <t>2026-06-17</t>
        </is>
      </c>
      <c r="B11649" s="3" t="inlineStr">
        <is>
          <t>비나텍</t>
        </is>
      </c>
      <c r="C11649" s="2" t="inlineStr">
        <is>
          <t>코스닥</t>
        </is>
      </c>
      <c r="D11649" s="2" t="inlineStr">
        <is>
          <t>126340</t>
        </is>
      </c>
      <c r="E11649" s="3" t="inlineStr">
        <is>
          <t xml:space="preserve">타법인주식및출자증권취득결정              </t>
        </is>
      </c>
      <c r="F11649" s="3" t="inlineStr">
        <is>
          <t>비나텍</t>
        </is>
      </c>
      <c r="G11649" s="2" t="inlineStr">
        <is>
          <t>20260617900404</t>
        </is>
      </c>
      <c r="H11649" s="8">
        <f>HYPERLINK("https://dart.fss.or.kr/dsaf001/main.do?rcpNo=20260617900404", "공시열람")</f>
        <v/>
      </c>
    </row>
    <row r="11650">
      <c r="A11650" s="2" t="inlineStr">
        <is>
          <t>2026-06-17</t>
        </is>
      </c>
      <c r="B11650" s="3" t="inlineStr">
        <is>
          <t>웰크론</t>
        </is>
      </c>
      <c r="C11650" s="2" t="inlineStr">
        <is>
          <t>코스닥</t>
        </is>
      </c>
      <c r="D11650" s="2" t="inlineStr">
        <is>
          <t>065950</t>
        </is>
      </c>
      <c r="E11650" s="3" t="inlineStr">
        <is>
          <t>임원ㆍ주요주주특정증권등소유상황보고서</t>
        </is>
      </c>
      <c r="F11650" s="3" t="inlineStr">
        <is>
          <t>웰크론헬스케어</t>
        </is>
      </c>
      <c r="G11650" s="2" t="inlineStr">
        <is>
          <t>20260617000395</t>
        </is>
      </c>
      <c r="H11650" s="8">
        <f>HYPERLINK("https://dart.fss.or.kr/dsaf001/main.do?rcpNo=20260617000395", "공시열람")</f>
        <v/>
      </c>
    </row>
    <row r="11651">
      <c r="A11651" s="2" t="inlineStr">
        <is>
          <t>2026-06-17</t>
        </is>
      </c>
      <c r="B11651" s="3" t="inlineStr">
        <is>
          <t>오텍</t>
        </is>
      </c>
      <c r="C11651" s="2" t="inlineStr">
        <is>
          <t>코스닥</t>
        </is>
      </c>
      <c r="D11651" s="2" t="inlineStr">
        <is>
          <t>067170</t>
        </is>
      </c>
      <c r="E11651" s="3" t="inlineStr">
        <is>
          <t>임원ㆍ주요주주특정증권등소유상황보고서</t>
        </is>
      </c>
      <c r="F11651" s="3" t="inlineStr">
        <is>
          <t>강신욱</t>
        </is>
      </c>
      <c r="G11651" s="2" t="inlineStr">
        <is>
          <t>20260617000394</t>
        </is>
      </c>
      <c r="H11651" s="8">
        <f>HYPERLINK("https://dart.fss.or.kr/dsaf001/main.do?rcpNo=20260617000394", "공시열람")</f>
        <v/>
      </c>
    </row>
    <row r="11652">
      <c r="A11652" s="2" t="inlineStr">
        <is>
          <t>2026-06-17</t>
        </is>
      </c>
      <c r="B11652" s="3" t="inlineStr">
        <is>
          <t>키움증권</t>
        </is>
      </c>
      <c r="C11652" s="2" t="inlineStr">
        <is>
          <t>코스피</t>
        </is>
      </c>
      <c r="D11652" s="2" t="inlineStr">
        <is>
          <t>039490</t>
        </is>
      </c>
      <c r="E11652" s="3" t="inlineStr">
        <is>
          <t>투자설명서(일괄신고)</t>
        </is>
      </c>
      <c r="F11652" s="3" t="inlineStr">
        <is>
          <t>키움증권</t>
        </is>
      </c>
      <c r="G11652" s="2" t="inlineStr">
        <is>
          <t>20260617000392</t>
        </is>
      </c>
      <c r="H11652" s="8">
        <f>HYPERLINK("https://dart.fss.or.kr/dsaf001/main.do?rcpNo=20260617000392", "공시열람")</f>
        <v/>
      </c>
    </row>
    <row r="11653">
      <c r="A11653" s="2" t="inlineStr">
        <is>
          <t>2026-06-17</t>
        </is>
      </c>
      <c r="B11653" s="3" t="inlineStr">
        <is>
          <t>대신정보통신</t>
        </is>
      </c>
      <c r="C11653" s="2" t="inlineStr">
        <is>
          <t>코스닥</t>
        </is>
      </c>
      <c r="D11653" s="2" t="inlineStr">
        <is>
          <t>020180</t>
        </is>
      </c>
      <c r="E11653" s="3" t="inlineStr">
        <is>
          <t xml:space="preserve">감사보고서제출              </t>
        </is>
      </c>
      <c r="F11653" s="3" t="inlineStr">
        <is>
          <t>대신정보통신</t>
        </is>
      </c>
      <c r="G11653" s="2" t="inlineStr">
        <is>
          <t>20260617900463</t>
        </is>
      </c>
      <c r="H11653" s="8">
        <f>HYPERLINK("https://dart.fss.or.kr/dsaf001/main.do?rcpNo=20260617900463", "공시열람")</f>
        <v/>
      </c>
    </row>
    <row r="11654">
      <c r="A11654" s="2" t="inlineStr">
        <is>
          <t>2026-06-17</t>
        </is>
      </c>
      <c r="B11654" s="3" t="inlineStr">
        <is>
          <t>오텍</t>
        </is>
      </c>
      <c r="C11654" s="2" t="inlineStr">
        <is>
          <t>코스닥</t>
        </is>
      </c>
      <c r="D11654" s="2" t="inlineStr">
        <is>
          <t>067170</t>
        </is>
      </c>
      <c r="E11654" s="3" t="inlineStr">
        <is>
          <t>임원ㆍ주요주주특정증권등소유상황보고서</t>
        </is>
      </c>
      <c r="F11654" s="3" t="inlineStr">
        <is>
          <t>강성희</t>
        </is>
      </c>
      <c r="G11654" s="2" t="inlineStr">
        <is>
          <t>20260617000391</t>
        </is>
      </c>
      <c r="H11654" s="8">
        <f>HYPERLINK("https://dart.fss.or.kr/dsaf001/main.do?rcpNo=20260617000391", "공시열람")</f>
        <v/>
      </c>
    </row>
    <row r="11655">
      <c r="A11655" s="2" t="inlineStr">
        <is>
          <t>2026-06-17</t>
        </is>
      </c>
      <c r="B11655" s="3" t="inlineStr">
        <is>
          <t>3S</t>
        </is>
      </c>
      <c r="C11655" s="2" t="inlineStr">
        <is>
          <t>코스닥</t>
        </is>
      </c>
      <c r="D11655" s="2" t="inlineStr">
        <is>
          <t>060310</t>
        </is>
      </c>
      <c r="E11655" s="3" t="inlineStr">
        <is>
          <t xml:space="preserve">전환가액의조정              </t>
        </is>
      </c>
      <c r="F11655" s="3" t="inlineStr">
        <is>
          <t>3S</t>
        </is>
      </c>
      <c r="G11655" s="2" t="inlineStr">
        <is>
          <t>20260617900472</t>
        </is>
      </c>
      <c r="H11655" s="8">
        <f>HYPERLINK("https://dart.fss.or.kr/dsaf001/main.do?rcpNo=20260617900472", "공시열람")</f>
        <v/>
      </c>
    </row>
    <row r="11656">
      <c r="A11656" s="2" t="inlineStr">
        <is>
          <t>2026-06-17</t>
        </is>
      </c>
      <c r="B11656" s="3" t="inlineStr">
        <is>
          <t>티에이치엔</t>
        </is>
      </c>
      <c r="C11656" s="2" t="inlineStr">
        <is>
          <t>코스피</t>
        </is>
      </c>
      <c r="D11656" s="2" t="inlineStr">
        <is>
          <t>019180</t>
        </is>
      </c>
      <c r="E11656" s="3" t="inlineStr">
        <is>
          <t>임원ㆍ주요주주특정증권등거래계획철회보고서</t>
        </is>
      </c>
      <c r="F11656" s="3" t="inlineStr">
        <is>
          <t>채승훈</t>
        </is>
      </c>
      <c r="G11656" s="2" t="inlineStr">
        <is>
          <t>20260617000389</t>
        </is>
      </c>
      <c r="H11656" s="8">
        <f>HYPERLINK("https://dart.fss.or.kr/dsaf001/main.do?rcpNo=20260617000389", "공시열람")</f>
        <v/>
      </c>
    </row>
    <row r="11657">
      <c r="A11657" s="2" t="inlineStr">
        <is>
          <t>2026-06-17</t>
        </is>
      </c>
      <c r="B11657" s="3" t="inlineStr">
        <is>
          <t>웰크론</t>
        </is>
      </c>
      <c r="C11657" s="2" t="inlineStr">
        <is>
          <t>코스닥</t>
        </is>
      </c>
      <c r="D11657" s="2" t="inlineStr">
        <is>
          <t>065950</t>
        </is>
      </c>
      <c r="E11657" s="3" t="inlineStr">
        <is>
          <t>임원ㆍ주요주주특정증권등소유상황보고서</t>
        </is>
      </c>
      <c r="F11657" s="3" t="inlineStr">
        <is>
          <t>정성식</t>
        </is>
      </c>
      <c r="G11657" s="2" t="inlineStr">
        <is>
          <t>20260617000388</t>
        </is>
      </c>
      <c r="H11657" s="8">
        <f>HYPERLINK("https://dart.fss.or.kr/dsaf001/main.do?rcpNo=20260617000388", "공시열람")</f>
        <v/>
      </c>
    </row>
    <row r="11658">
      <c r="A11658" s="2" t="inlineStr">
        <is>
          <t>2026-06-17</t>
        </is>
      </c>
      <c r="B11658" s="3" t="inlineStr">
        <is>
          <t>웰크론</t>
        </is>
      </c>
      <c r="C11658" s="2" t="inlineStr">
        <is>
          <t>코스닥</t>
        </is>
      </c>
      <c r="D11658" s="2" t="inlineStr">
        <is>
          <t>065950</t>
        </is>
      </c>
      <c r="E11658" s="3" t="inlineStr">
        <is>
          <t>임원ㆍ주요주주특정증권등소유상황보고서</t>
        </is>
      </c>
      <c r="F11658" s="3" t="inlineStr">
        <is>
          <t>신정재</t>
        </is>
      </c>
      <c r="G11658" s="2" t="inlineStr">
        <is>
          <t>20260617000386</t>
        </is>
      </c>
      <c r="H11658" s="8">
        <f>HYPERLINK("https://dart.fss.or.kr/dsaf001/main.do?rcpNo=20260617000386", "공시열람")</f>
        <v/>
      </c>
    </row>
    <row r="11659">
      <c r="A11659" s="2" t="inlineStr">
        <is>
          <t>2026-06-17</t>
        </is>
      </c>
      <c r="B11659" s="3" t="inlineStr">
        <is>
          <t>KX</t>
        </is>
      </c>
      <c r="C11659" s="2" t="inlineStr">
        <is>
          <t>코스닥</t>
        </is>
      </c>
      <c r="D11659" s="2" t="inlineStr">
        <is>
          <t>122450</t>
        </is>
      </c>
      <c r="E11659" s="3" t="inlineStr">
        <is>
          <t xml:space="preserve">주주명부폐쇄기간또는기준일설정              </t>
        </is>
      </c>
      <c r="F11659" s="3" t="inlineStr">
        <is>
          <t>KX</t>
        </is>
      </c>
      <c r="G11659" s="2" t="inlineStr">
        <is>
          <t>20260617900460</t>
        </is>
      </c>
      <c r="H11659" s="8">
        <f>HYPERLINK("https://dart.fss.or.kr/dsaf001/main.do?rcpNo=20260617900460", "공시열람")</f>
        <v/>
      </c>
    </row>
    <row r="11660">
      <c r="A11660" s="2" t="inlineStr">
        <is>
          <t>2026-06-17</t>
        </is>
      </c>
      <c r="B11660" s="3" t="inlineStr">
        <is>
          <t>네오위즈</t>
        </is>
      </c>
      <c r="C11660" s="2" t="inlineStr">
        <is>
          <t>코스닥</t>
        </is>
      </c>
      <c r="D11660" s="2" t="inlineStr">
        <is>
          <t>095660</t>
        </is>
      </c>
      <c r="E11660" s="3" t="inlineStr">
        <is>
          <t>임원ㆍ주요주주특정증권등소유상황보고서</t>
        </is>
      </c>
      <c r="F11660" s="3" t="inlineStr">
        <is>
          <t>박성준</t>
        </is>
      </c>
      <c r="G11660" s="2" t="inlineStr">
        <is>
          <t>20260617000385</t>
        </is>
      </c>
      <c r="H11660" s="8">
        <f>HYPERLINK("https://dart.fss.or.kr/dsaf001/main.do?rcpNo=20260617000385", "공시열람")</f>
        <v/>
      </c>
    </row>
    <row r="11661">
      <c r="A11661" s="2" t="inlineStr">
        <is>
          <t>2026-06-17</t>
        </is>
      </c>
      <c r="B11661" s="3" t="inlineStr">
        <is>
          <t>제이엔케이글로벌</t>
        </is>
      </c>
      <c r="C11661" s="2" t="inlineStr">
        <is>
          <t>코스닥</t>
        </is>
      </c>
      <c r="D11661" s="2" t="inlineStr">
        <is>
          <t>126880</t>
        </is>
      </c>
      <c r="E11661" s="3" t="inlineStr">
        <is>
          <t>임원ㆍ주요주주특정증권등소유상황보고서</t>
        </is>
      </c>
      <c r="F11661" s="3" t="inlineStr">
        <is>
          <t>김방희</t>
        </is>
      </c>
      <c r="G11661" s="2" t="inlineStr">
        <is>
          <t>20260617000377</t>
        </is>
      </c>
      <c r="H11661" s="8">
        <f>HYPERLINK("https://dart.fss.or.kr/dsaf001/main.do?rcpNo=20260617000377", "공시열람")</f>
        <v/>
      </c>
    </row>
    <row r="11662">
      <c r="A11662" s="2" t="inlineStr">
        <is>
          <t>2026-06-17</t>
        </is>
      </c>
      <c r="B11662" s="3" t="inlineStr">
        <is>
          <t>현대글로비스</t>
        </is>
      </c>
      <c r="C11662" s="2" t="inlineStr">
        <is>
          <t>코스피</t>
        </is>
      </c>
      <c r="D11662" s="2" t="inlineStr">
        <is>
          <t>086280</t>
        </is>
      </c>
      <c r="E11662" s="3" t="inlineStr">
        <is>
          <t>특수관계인에대한출자</t>
        </is>
      </c>
      <c r="F11662" s="3" t="inlineStr">
        <is>
          <t>현대글로비스</t>
        </is>
      </c>
      <c r="G11662" s="2" t="inlineStr">
        <is>
          <t>20260617000374</t>
        </is>
      </c>
      <c r="H11662" s="8">
        <f>HYPERLINK("https://dart.fss.or.kr/dsaf001/main.do?rcpNo=20260617000374", "공시열람")</f>
        <v/>
      </c>
    </row>
    <row r="11663">
      <c r="A11663" s="2" t="inlineStr">
        <is>
          <t>2026-06-17</t>
        </is>
      </c>
      <c r="B11663" s="3" t="inlineStr">
        <is>
          <t>대신증권</t>
        </is>
      </c>
      <c r="C11663" s="2" t="inlineStr">
        <is>
          <t>코스피</t>
        </is>
      </c>
      <c r="D11663" s="2" t="inlineStr">
        <is>
          <t>003540</t>
        </is>
      </c>
      <c r="E11663" s="3" t="inlineStr">
        <is>
          <t>증권발행실적보고서</t>
        </is>
      </c>
      <c r="F11663" s="3" t="inlineStr">
        <is>
          <t>대신증권</t>
        </is>
      </c>
      <c r="G11663" s="2" t="inlineStr">
        <is>
          <t>20260617000373</t>
        </is>
      </c>
      <c r="H11663" s="8">
        <f>HYPERLINK("https://dart.fss.or.kr/dsaf001/main.do?rcpNo=20260617000373", "공시열람")</f>
        <v/>
      </c>
    </row>
    <row r="11664">
      <c r="A11664" s="2" t="inlineStr">
        <is>
          <t>2026-06-17</t>
        </is>
      </c>
      <c r="B11664" s="3" t="inlineStr">
        <is>
          <t>금호전기</t>
        </is>
      </c>
      <c r="C11664" s="2" t="inlineStr">
        <is>
          <t>코스피</t>
        </is>
      </c>
      <c r="D11664" s="2" t="inlineStr">
        <is>
          <t>001210</t>
        </is>
      </c>
      <c r="E11664" s="3" t="inlineStr">
        <is>
          <t>의결권대리행사권유참고서류</t>
        </is>
      </c>
      <c r="F11664" s="3" t="inlineStr">
        <is>
          <t>금호전기</t>
        </is>
      </c>
      <c r="G11664" s="2" t="inlineStr">
        <is>
          <t>20260617000372</t>
        </is>
      </c>
      <c r="H11664" s="8">
        <f>HYPERLINK("https://dart.fss.or.kr/dsaf001/main.do?rcpNo=20260617000372", "공시열람")</f>
        <v/>
      </c>
    </row>
    <row r="11665">
      <c r="A11665" s="2" t="inlineStr">
        <is>
          <t>2026-06-17</t>
        </is>
      </c>
      <c r="B11665" s="3" t="inlineStr">
        <is>
          <t>JB금융지주</t>
        </is>
      </c>
      <c r="C11665" s="2" t="inlineStr">
        <is>
          <t>코스피</t>
        </is>
      </c>
      <c r="D11665" s="2" t="inlineStr">
        <is>
          <t>175330</t>
        </is>
      </c>
      <c r="E11665" s="3" t="inlineStr">
        <is>
          <t>사외이사의선임ㆍ해임또는중도퇴임에관한신고</t>
        </is>
      </c>
      <c r="F11665" s="3" t="inlineStr">
        <is>
          <t>JB금융지주</t>
        </is>
      </c>
      <c r="G11665" s="2" t="inlineStr">
        <is>
          <t>20260617000370</t>
        </is>
      </c>
      <c r="H11665" s="8">
        <f>HYPERLINK("https://dart.fss.or.kr/dsaf001/main.do?rcpNo=20260617000370", "공시열람")</f>
        <v/>
      </c>
    </row>
    <row r="11666">
      <c r="A11666" s="2" t="inlineStr">
        <is>
          <t>2026-06-17</t>
        </is>
      </c>
      <c r="B11666" s="3" t="inlineStr">
        <is>
          <t>대신증권</t>
        </is>
      </c>
      <c r="C11666" s="2" t="inlineStr">
        <is>
          <t>코스피</t>
        </is>
      </c>
      <c r="D11666" s="2" t="inlineStr">
        <is>
          <t>003540</t>
        </is>
      </c>
      <c r="E11666" s="3" t="inlineStr">
        <is>
          <t>투자설명서(일괄신고)</t>
        </is>
      </c>
      <c r="F11666" s="3" t="inlineStr">
        <is>
          <t>대신증권</t>
        </is>
      </c>
      <c r="G11666" s="2" t="inlineStr">
        <is>
          <t>20260617000367</t>
        </is>
      </c>
      <c r="H11666" s="8">
        <f>HYPERLINK("https://dart.fss.or.kr/dsaf001/main.do?rcpNo=20260617000367", "공시열람")</f>
        <v/>
      </c>
    </row>
    <row r="11667">
      <c r="A11667" s="2" t="inlineStr">
        <is>
          <t>2026-06-17</t>
        </is>
      </c>
      <c r="B11667" s="3" t="inlineStr">
        <is>
          <t>보해양조</t>
        </is>
      </c>
      <c r="C11667" s="2" t="inlineStr">
        <is>
          <t>코스피</t>
        </is>
      </c>
      <c r="D11667" s="2" t="inlineStr">
        <is>
          <t>000890</t>
        </is>
      </c>
      <c r="E11667" s="3" t="inlineStr">
        <is>
          <t>임원ㆍ주요주주특정증권등소유상황보고서</t>
        </is>
      </c>
      <c r="F11667" s="3" t="inlineStr">
        <is>
          <t>최지만</t>
        </is>
      </c>
      <c r="G11667" s="2" t="inlineStr">
        <is>
          <t>20260617000366</t>
        </is>
      </c>
      <c r="H11667" s="8">
        <f>HYPERLINK("https://dart.fss.or.kr/dsaf001/main.do?rcpNo=20260617000366", "공시열람")</f>
        <v/>
      </c>
    </row>
    <row r="11668">
      <c r="A11668" s="2" t="inlineStr">
        <is>
          <t>2026-06-17</t>
        </is>
      </c>
      <c r="B11668" s="3" t="inlineStr">
        <is>
          <t>팅크웨어</t>
        </is>
      </c>
      <c r="C11668" s="2" t="inlineStr">
        <is>
          <t>코스닥</t>
        </is>
      </c>
      <c r="D11668" s="2" t="inlineStr">
        <is>
          <t>084730</t>
        </is>
      </c>
      <c r="E11668" s="3" t="inlineStr">
        <is>
          <t>자기주식취득결과보고서</t>
        </is>
      </c>
      <c r="F11668" s="3" t="inlineStr">
        <is>
          <t>팅크웨어</t>
        </is>
      </c>
      <c r="G11668" s="2" t="inlineStr">
        <is>
          <t>20260617000361</t>
        </is>
      </c>
      <c r="H11668" s="8">
        <f>HYPERLINK("https://dart.fss.or.kr/dsaf001/main.do?rcpNo=20260617000361", "공시열람")</f>
        <v/>
      </c>
    </row>
    <row r="11669">
      <c r="A11669" s="2" t="inlineStr">
        <is>
          <t>2026-06-17</t>
        </is>
      </c>
      <c r="B11669" s="3" t="inlineStr">
        <is>
          <t>월덱스</t>
        </is>
      </c>
      <c r="C11669" s="2" t="inlineStr">
        <is>
          <t>코스닥</t>
        </is>
      </c>
      <c r="D11669" s="2" t="inlineStr">
        <is>
          <t>101160</t>
        </is>
      </c>
      <c r="E11669" s="3" t="inlineStr">
        <is>
          <t xml:space="preserve">기업설명회(IR)개최              </t>
        </is>
      </c>
      <c r="F11669" s="3" t="inlineStr">
        <is>
          <t>월덱스</t>
        </is>
      </c>
      <c r="G11669" s="2" t="inlineStr">
        <is>
          <t>20260617900431</t>
        </is>
      </c>
      <c r="H11669" s="8">
        <f>HYPERLINK("https://dart.fss.or.kr/dsaf001/main.do?rcpNo=20260617900431", "공시열람")</f>
        <v/>
      </c>
    </row>
    <row r="11670">
      <c r="A11670" s="2" t="inlineStr">
        <is>
          <t>2026-06-17</t>
        </is>
      </c>
      <c r="B11670" s="3" t="inlineStr">
        <is>
          <t>비비안</t>
        </is>
      </c>
      <c r="C11670" s="2" t="inlineStr">
        <is>
          <t>코스피</t>
        </is>
      </c>
      <c r="D11670" s="2" t="inlineStr">
        <is>
          <t>002070</t>
        </is>
      </c>
      <c r="E11670" s="3" t="inlineStr">
        <is>
          <t xml:space="preserve">전환가액ㆍ신주인수권행사가액ㆍ교환가액의조정(안내공시)              </t>
        </is>
      </c>
      <c r="F11670" s="3" t="inlineStr">
        <is>
          <t>비비안</t>
        </is>
      </c>
      <c r="G11670" s="2" t="inlineStr">
        <is>
          <t>20260617800420</t>
        </is>
      </c>
      <c r="H11670" s="8">
        <f>HYPERLINK("https://dart.fss.or.kr/dsaf001/main.do?rcpNo=20260617800420", "공시열람")</f>
        <v/>
      </c>
    </row>
    <row r="11671">
      <c r="A11671" s="2" t="inlineStr">
        <is>
          <t>2026-06-17</t>
        </is>
      </c>
      <c r="B11671" s="3" t="inlineStr">
        <is>
          <t>삼성증권</t>
        </is>
      </c>
      <c r="C11671" s="2" t="inlineStr">
        <is>
          <t>코스피</t>
        </is>
      </c>
      <c r="D11671" s="2" t="inlineStr">
        <is>
          <t>016360</t>
        </is>
      </c>
      <c r="E11671" s="3" t="inlineStr">
        <is>
          <t>투자설명서(일괄신고)</t>
        </is>
      </c>
      <c r="F11671" s="3" t="inlineStr">
        <is>
          <t>삼성증권</t>
        </is>
      </c>
      <c r="G11671" s="2" t="inlineStr">
        <is>
          <t>20260617000356</t>
        </is>
      </c>
      <c r="H11671" s="8">
        <f>HYPERLINK("https://dart.fss.or.kr/dsaf001/main.do?rcpNo=20260617000356", "공시열람")</f>
        <v/>
      </c>
    </row>
    <row r="11672">
      <c r="A11672" s="2" t="inlineStr">
        <is>
          <t>2026-06-17</t>
        </is>
      </c>
      <c r="B11672" s="3" t="inlineStr">
        <is>
          <t>이녹스첨단소재</t>
        </is>
      </c>
      <c r="C11672" s="2" t="inlineStr">
        <is>
          <t>코스닥</t>
        </is>
      </c>
      <c r="D11672" s="2" t="inlineStr">
        <is>
          <t>272290</t>
        </is>
      </c>
      <c r="E11672" s="3" t="inlineStr">
        <is>
          <t>임원ㆍ주요주주특정증권등소유상황보고서</t>
        </is>
      </c>
      <c r="F11672" s="3" t="inlineStr">
        <is>
          <t>이녹스</t>
        </is>
      </c>
      <c r="G11672" s="2" t="inlineStr">
        <is>
          <t>20260617000354</t>
        </is>
      </c>
      <c r="H11672" s="8">
        <f>HYPERLINK("https://dart.fss.or.kr/dsaf001/main.do?rcpNo=20260617000354", "공시열람")</f>
        <v/>
      </c>
    </row>
    <row r="11673">
      <c r="A11673" s="2" t="inlineStr">
        <is>
          <t>2026-06-17</t>
        </is>
      </c>
      <c r="B11673" s="3" t="inlineStr">
        <is>
          <t>이지케어텍</t>
        </is>
      </c>
      <c r="C11673" s="2" t="inlineStr">
        <is>
          <t>코스닥</t>
        </is>
      </c>
      <c r="D11673" s="2" t="inlineStr">
        <is>
          <t>099750</t>
        </is>
      </c>
      <c r="E11673" s="3" t="inlineStr">
        <is>
          <t xml:space="preserve">감사보고서제출              </t>
        </is>
      </c>
      <c r="F11673" s="3" t="inlineStr">
        <is>
          <t>이지케어텍</t>
        </is>
      </c>
      <c r="G11673" s="2" t="inlineStr">
        <is>
          <t>20260617900398</t>
        </is>
      </c>
      <c r="H11673" s="8">
        <f>HYPERLINK("https://dart.fss.or.kr/dsaf001/main.do?rcpNo=20260617900398", "공시열람")</f>
        <v/>
      </c>
    </row>
    <row r="11674">
      <c r="A11674" s="2" t="inlineStr">
        <is>
          <t>2026-06-17</t>
        </is>
      </c>
      <c r="B11674" s="3" t="inlineStr">
        <is>
          <t>KX</t>
        </is>
      </c>
      <c r="C11674" s="2" t="inlineStr">
        <is>
          <t>코스닥</t>
        </is>
      </c>
      <c r="D11674" s="2" t="inlineStr">
        <is>
          <t>122450</t>
        </is>
      </c>
      <c r="E11674" s="3" t="inlineStr">
        <is>
          <t xml:space="preserve">해산사유발생(종속회사의주요경영사항)              </t>
        </is>
      </c>
      <c r="F11674" s="3" t="inlineStr">
        <is>
          <t>KX</t>
        </is>
      </c>
      <c r="G11674" s="2" t="inlineStr">
        <is>
          <t>20260617900411</t>
        </is>
      </c>
      <c r="H11674" s="8">
        <f>HYPERLINK("https://dart.fss.or.kr/dsaf001/main.do?rcpNo=20260617900411", "공시열람")</f>
        <v/>
      </c>
    </row>
    <row r="11675">
      <c r="A11675" s="2" t="inlineStr">
        <is>
          <t>2026-06-17</t>
        </is>
      </c>
      <c r="B11675" s="3" t="inlineStr">
        <is>
          <t>현대제철</t>
        </is>
      </c>
      <c r="C11675" s="2" t="inlineStr">
        <is>
          <t>코스피</t>
        </is>
      </c>
      <c r="D11675" s="2" t="inlineStr">
        <is>
          <t>004020</t>
        </is>
      </c>
      <c r="E11675" s="3" t="inlineStr">
        <is>
          <t>특수관계인에대한출자</t>
        </is>
      </c>
      <c r="F11675" s="3" t="inlineStr">
        <is>
          <t>현대제철</t>
        </is>
      </c>
      <c r="G11675" s="2" t="inlineStr">
        <is>
          <t>20260617000352</t>
        </is>
      </c>
      <c r="H11675" s="8">
        <f>HYPERLINK("https://dart.fss.or.kr/dsaf001/main.do?rcpNo=20260617000352", "공시열람")</f>
        <v/>
      </c>
    </row>
    <row r="11676">
      <c r="A11676" s="2" t="inlineStr">
        <is>
          <t>2026-06-17</t>
        </is>
      </c>
      <c r="B11676" s="3" t="inlineStr">
        <is>
          <t>GKL</t>
        </is>
      </c>
      <c r="C11676" s="2" t="inlineStr">
        <is>
          <t>코스피</t>
        </is>
      </c>
      <c r="D11676" s="2" t="inlineStr">
        <is>
          <t>114090</t>
        </is>
      </c>
      <c r="E11676" s="3" t="inlineStr">
        <is>
          <t xml:space="preserve">주주명부폐쇄기간또는기준일설정              </t>
        </is>
      </c>
      <c r="F11676" s="3" t="inlineStr">
        <is>
          <t>GKL</t>
        </is>
      </c>
      <c r="G11676" s="2" t="inlineStr">
        <is>
          <t>20260617800402</t>
        </is>
      </c>
      <c r="H11676" s="8">
        <f>HYPERLINK("https://dart.fss.or.kr/dsaf001/main.do?rcpNo=20260617800402", "공시열람")</f>
        <v/>
      </c>
    </row>
    <row r="11677">
      <c r="A11677" s="2" t="inlineStr">
        <is>
          <t>2026-06-17</t>
        </is>
      </c>
      <c r="B11677" s="3" t="inlineStr">
        <is>
          <t>GS글로벌</t>
        </is>
      </c>
      <c r="C11677" s="2" t="inlineStr">
        <is>
          <t>코스피</t>
        </is>
      </c>
      <c r="D11677" s="2" t="inlineStr">
        <is>
          <t>001250</t>
        </is>
      </c>
      <c r="E11677" s="3" t="inlineStr">
        <is>
          <t>특수관계인으로부터받은담보</t>
        </is>
      </c>
      <c r="F11677" s="3" t="inlineStr">
        <is>
          <t>GS글로벌</t>
        </is>
      </c>
      <c r="G11677" s="2" t="inlineStr">
        <is>
          <t>20260617000347</t>
        </is>
      </c>
      <c r="H11677" s="8">
        <f>HYPERLINK("https://dart.fss.or.kr/dsaf001/main.do?rcpNo=20260617000347", "공시열람")</f>
        <v/>
      </c>
    </row>
    <row r="11678">
      <c r="A11678" s="2" t="inlineStr">
        <is>
          <t>2026-06-17</t>
        </is>
      </c>
      <c r="B11678" s="3" t="inlineStr">
        <is>
          <t>슈피겐코리아</t>
        </is>
      </c>
      <c r="C11678" s="2" t="inlineStr">
        <is>
          <t>코스닥</t>
        </is>
      </c>
      <c r="D11678" s="2" t="inlineStr">
        <is>
          <t>192440</t>
        </is>
      </c>
      <c r="E11678" s="3" t="inlineStr">
        <is>
          <t>임원ㆍ주요주주특정증권등소유상황보고서</t>
        </is>
      </c>
      <c r="F11678" s="3" t="inlineStr">
        <is>
          <t>김대영</t>
        </is>
      </c>
      <c r="G11678" s="2" t="inlineStr">
        <is>
          <t>20260617000346</t>
        </is>
      </c>
      <c r="H11678" s="8">
        <f>HYPERLINK("https://dart.fss.or.kr/dsaf001/main.do?rcpNo=20260617000346", "공시열람")</f>
        <v/>
      </c>
    </row>
    <row r="11679">
      <c r="A11679" s="2" t="inlineStr">
        <is>
          <t>2026-06-17</t>
        </is>
      </c>
      <c r="B11679" s="3" t="inlineStr">
        <is>
          <t>인바이오</t>
        </is>
      </c>
      <c r="C11679" s="2" t="inlineStr">
        <is>
          <t>코스닥</t>
        </is>
      </c>
      <c r="D11679" s="2" t="inlineStr">
        <is>
          <t>352940</t>
        </is>
      </c>
      <c r="E11679" s="3" t="inlineStr">
        <is>
          <t xml:space="preserve">본점소재지변경              </t>
        </is>
      </c>
      <c r="F11679" s="3" t="inlineStr">
        <is>
          <t>인바이오</t>
        </is>
      </c>
      <c r="G11679" s="2" t="inlineStr">
        <is>
          <t>20260617900397</t>
        </is>
      </c>
      <c r="H11679" s="8">
        <f>HYPERLINK("https://dart.fss.or.kr/dsaf001/main.do?rcpNo=20260617900397", "공시열람")</f>
        <v/>
      </c>
    </row>
    <row r="11680">
      <c r="A11680" s="2" t="inlineStr">
        <is>
          <t>2026-06-17</t>
        </is>
      </c>
      <c r="B11680" s="3" t="inlineStr">
        <is>
          <t>현대백화점</t>
        </is>
      </c>
      <c r="C11680" s="2" t="inlineStr">
        <is>
          <t>코스피</t>
        </is>
      </c>
      <c r="D11680" s="2" t="inlineStr">
        <is>
          <t>069960</t>
        </is>
      </c>
      <c r="E11680" s="3" t="inlineStr">
        <is>
          <t xml:space="preserve">기업설명회(IR)개최(안내공시)              </t>
        </is>
      </c>
      <c r="F11680" s="3" t="inlineStr">
        <is>
          <t>현대백화점</t>
        </is>
      </c>
      <c r="G11680" s="2" t="inlineStr">
        <is>
          <t>20260617800393</t>
        </is>
      </c>
      <c r="H11680" s="8">
        <f>HYPERLINK("https://dart.fss.or.kr/dsaf001/main.do?rcpNo=20260617800393", "공시열람")</f>
        <v/>
      </c>
    </row>
    <row r="11681">
      <c r="A11681" s="2" t="inlineStr">
        <is>
          <t>2026-06-17</t>
        </is>
      </c>
      <c r="B11681" s="3" t="inlineStr">
        <is>
          <t>드림씨아이에스</t>
        </is>
      </c>
      <c r="C11681" s="2" t="inlineStr">
        <is>
          <t>코스닥</t>
        </is>
      </c>
      <c r="D11681" s="2" t="inlineStr">
        <is>
          <t>223250</t>
        </is>
      </c>
      <c r="E11681" s="3" t="inlineStr">
        <is>
          <t xml:space="preserve">기업설명회(IR)개최              </t>
        </is>
      </c>
      <c r="F11681" s="3" t="inlineStr">
        <is>
          <t>드림씨아이에스</t>
        </is>
      </c>
      <c r="G11681" s="2" t="inlineStr">
        <is>
          <t>20260617900391</t>
        </is>
      </c>
      <c r="H11681" s="8">
        <f>HYPERLINK("https://dart.fss.or.kr/dsaf001/main.do?rcpNo=20260617900391", "공시열람")</f>
        <v/>
      </c>
    </row>
    <row r="11682">
      <c r="A11682" s="2" t="inlineStr">
        <is>
          <t>2026-06-17 (정정: 2026-06-18)</t>
        </is>
      </c>
      <c r="B11682" s="3" t="inlineStr">
        <is>
          <t>한화투자증권</t>
        </is>
      </c>
      <c r="C11682" s="2" t="inlineStr">
        <is>
          <t>코스피</t>
        </is>
      </c>
      <c r="D11682" s="2" t="inlineStr">
        <is>
          <t>003530</t>
        </is>
      </c>
      <c r="E11682" s="3" t="inlineStr">
        <is>
          <t>투자설명서(일괄신고) (정정: 20260618) (정정: 20260618)</t>
        </is>
      </c>
      <c r="F11682" s="3" t="inlineStr">
        <is>
          <t>한화투자증권</t>
        </is>
      </c>
      <c r="G11682" s="2" t="inlineStr">
        <is>
          <t>20260618000021</t>
        </is>
      </c>
      <c r="H11682" s="8">
        <f>HYPERLINK("https://dart.fss.or.kr/dsaf001/main.do?rcpNo=20260618000021", "공시열람")</f>
        <v/>
      </c>
    </row>
    <row r="11683">
      <c r="A11683" s="2" t="inlineStr">
        <is>
          <t>2026-06-17</t>
        </is>
      </c>
      <c r="B11683" s="3" t="inlineStr">
        <is>
          <t>교보증권</t>
        </is>
      </c>
      <c r="C11683" s="2" t="inlineStr">
        <is>
          <t>코스피</t>
        </is>
      </c>
      <c r="D11683" s="2" t="inlineStr">
        <is>
          <t>030610</t>
        </is>
      </c>
      <c r="E11683" s="3" t="inlineStr">
        <is>
          <t>증권발행실적보고서</t>
        </is>
      </c>
      <c r="F11683" s="3" t="inlineStr">
        <is>
          <t>교보증권</t>
        </is>
      </c>
      <c r="G11683" s="2" t="inlineStr">
        <is>
          <t>20260617000338</t>
        </is>
      </c>
      <c r="H11683" s="8">
        <f>HYPERLINK("https://dart.fss.or.kr/dsaf001/main.do?rcpNo=20260617000338", "공시열람")</f>
        <v/>
      </c>
    </row>
    <row r="11684">
      <c r="A11684" s="2" t="inlineStr">
        <is>
          <t>2026-06-17</t>
        </is>
      </c>
      <c r="B11684" s="3" t="inlineStr">
        <is>
          <t>대한조선</t>
        </is>
      </c>
      <c r="C11684" s="2" t="inlineStr">
        <is>
          <t>코스피</t>
        </is>
      </c>
      <c r="D11684" s="2" t="inlineStr">
        <is>
          <t>439260</t>
        </is>
      </c>
      <c r="E11684" s="3" t="inlineStr">
        <is>
          <t>임원ㆍ주요주주특정증권등소유상황보고서</t>
        </is>
      </c>
      <c r="F11684" s="3" t="inlineStr">
        <is>
          <t>박흥곤</t>
        </is>
      </c>
      <c r="G11684" s="2" t="inlineStr">
        <is>
          <t>20260617000337</t>
        </is>
      </c>
      <c r="H11684" s="8">
        <f>HYPERLINK("https://dart.fss.or.kr/dsaf001/main.do?rcpNo=20260617000337", "공시열람")</f>
        <v/>
      </c>
    </row>
    <row r="11685">
      <c r="A11685" s="2" t="inlineStr">
        <is>
          <t>2026-06-17</t>
        </is>
      </c>
      <c r="B11685" s="3" t="inlineStr">
        <is>
          <t>NH투자증권</t>
        </is>
      </c>
      <c r="C11685" s="2" t="inlineStr">
        <is>
          <t>코스피</t>
        </is>
      </c>
      <c r="D11685" s="2" t="inlineStr">
        <is>
          <t>005940</t>
        </is>
      </c>
      <c r="E11685" s="3" t="inlineStr">
        <is>
          <t>투자설명서(일괄신고)</t>
        </is>
      </c>
      <c r="F11685" s="3" t="inlineStr">
        <is>
          <t>NH투자증권</t>
        </is>
      </c>
      <c r="G11685" s="2" t="inlineStr">
        <is>
          <t>20260617000334</t>
        </is>
      </c>
      <c r="H11685" s="8">
        <f>HYPERLINK("https://dart.fss.or.kr/dsaf001/main.do?rcpNo=20260617000334", "공시열람")</f>
        <v/>
      </c>
    </row>
    <row r="11686">
      <c r="A11686" s="2" t="inlineStr">
        <is>
          <t>2026-06-17</t>
        </is>
      </c>
      <c r="B11686" s="3" t="inlineStr">
        <is>
          <t>아나패스</t>
        </is>
      </c>
      <c r="C11686" s="2" t="inlineStr">
        <is>
          <t>코스닥</t>
        </is>
      </c>
      <c r="D11686" s="2" t="inlineStr">
        <is>
          <t>123860</t>
        </is>
      </c>
      <c r="E11686" s="3" t="inlineStr">
        <is>
          <t>자기주식취득결과보고서</t>
        </is>
      </c>
      <c r="F11686" s="3" t="inlineStr">
        <is>
          <t>아나패스</t>
        </is>
      </c>
      <c r="G11686" s="2" t="inlineStr">
        <is>
          <t>20260617000330</t>
        </is>
      </c>
      <c r="H11686" s="8">
        <f>HYPERLINK("https://dart.fss.or.kr/dsaf001/main.do?rcpNo=20260617000330", "공시열람")</f>
        <v/>
      </c>
    </row>
    <row r="11687">
      <c r="A11687" s="2" t="inlineStr">
        <is>
          <t>2026-06-17</t>
        </is>
      </c>
      <c r="B11687" s="3" t="inlineStr">
        <is>
          <t>SH에너지화학</t>
        </is>
      </c>
      <c r="C11687" s="2" t="inlineStr">
        <is>
          <t>코스피</t>
        </is>
      </c>
      <c r="D11687" s="2" t="inlineStr">
        <is>
          <t>002360</t>
        </is>
      </c>
      <c r="E11687" s="3" t="inlineStr">
        <is>
          <t xml:space="preserve">대표이사(대표집행임원)변경(안내공시)              </t>
        </is>
      </c>
      <c r="F11687" s="3" t="inlineStr">
        <is>
          <t>SH에너지화학</t>
        </is>
      </c>
      <c r="G11687" s="2" t="inlineStr">
        <is>
          <t>20260617800381</t>
        </is>
      </c>
      <c r="H11687" s="8">
        <f>HYPERLINK("https://dart.fss.or.kr/dsaf001/main.do?rcpNo=20260617800381", "공시열람")</f>
        <v/>
      </c>
    </row>
    <row r="11688">
      <c r="A11688" s="2" t="inlineStr">
        <is>
          <t>2026-06-17</t>
        </is>
      </c>
      <c r="B11688" s="3" t="inlineStr">
        <is>
          <t>키움증권</t>
        </is>
      </c>
      <c r="C11688" s="2" t="inlineStr">
        <is>
          <t>코스피</t>
        </is>
      </c>
      <c r="D11688" s="2" t="inlineStr">
        <is>
          <t>039490</t>
        </is>
      </c>
      <c r="E11688" s="3" t="inlineStr">
        <is>
          <t>투자설명서(일괄신고)</t>
        </is>
      </c>
      <c r="F11688" s="3" t="inlineStr">
        <is>
          <t>키움증권</t>
        </is>
      </c>
      <c r="G11688" s="2" t="inlineStr">
        <is>
          <t>20260617000324</t>
        </is>
      </c>
      <c r="H11688" s="8">
        <f>HYPERLINK("https://dart.fss.or.kr/dsaf001/main.do?rcpNo=20260617000324", "공시열람")</f>
        <v/>
      </c>
    </row>
    <row r="11689">
      <c r="A11689" s="2" t="inlineStr">
        <is>
          <t>2026-06-17</t>
        </is>
      </c>
      <c r="B11689" s="3" t="inlineStr">
        <is>
          <t>에이치시티</t>
        </is>
      </c>
      <c r="C11689" s="2" t="inlineStr">
        <is>
          <t>코스닥</t>
        </is>
      </c>
      <c r="D11689" s="2" t="inlineStr">
        <is>
          <t>072990</t>
        </is>
      </c>
      <c r="E11689" s="3" t="inlineStr">
        <is>
          <t>임원ㆍ주요주주특정증권등소유상황보고서</t>
        </is>
      </c>
      <c r="F11689" s="3" t="inlineStr">
        <is>
          <t>정연춘</t>
        </is>
      </c>
      <c r="G11689" s="2" t="inlineStr">
        <is>
          <t>20260617000322</t>
        </is>
      </c>
      <c r="H11689" s="8">
        <f>HYPERLINK("https://dart.fss.or.kr/dsaf001/main.do?rcpNo=20260617000322", "공시열람")</f>
        <v/>
      </c>
    </row>
    <row r="11690">
      <c r="A11690" s="2" t="inlineStr">
        <is>
          <t>2026-06-17</t>
        </is>
      </c>
      <c r="B11690" s="3" t="inlineStr">
        <is>
          <t>키움증권</t>
        </is>
      </c>
      <c r="C11690" s="2" t="inlineStr">
        <is>
          <t>코스피</t>
        </is>
      </c>
      <c r="D11690" s="2" t="inlineStr">
        <is>
          <t>039490</t>
        </is>
      </c>
      <c r="E11690" s="3" t="inlineStr">
        <is>
          <t>투자설명서(일괄신고)</t>
        </is>
      </c>
      <c r="F11690" s="3" t="inlineStr">
        <is>
          <t>키움증권</t>
        </is>
      </c>
      <c r="G11690" s="2" t="inlineStr">
        <is>
          <t>20260617000319</t>
        </is>
      </c>
      <c r="H11690" s="8">
        <f>HYPERLINK("https://dart.fss.or.kr/dsaf001/main.do?rcpNo=20260617000319", "공시열람")</f>
        <v/>
      </c>
    </row>
    <row r="11691">
      <c r="A11691" s="2" t="inlineStr">
        <is>
          <t>2026-06-17</t>
        </is>
      </c>
      <c r="B11691" s="3" t="inlineStr">
        <is>
          <t>브이원텍</t>
        </is>
      </c>
      <c r="C11691" s="2" t="inlineStr">
        <is>
          <t>코스닥</t>
        </is>
      </c>
      <c r="D11691" s="2" t="inlineStr">
        <is>
          <t>251630</t>
        </is>
      </c>
      <c r="E11691" s="3" t="inlineStr">
        <is>
          <t xml:space="preserve">기업설명회(IR)개최              </t>
        </is>
      </c>
      <c r="F11691" s="3" t="inlineStr">
        <is>
          <t>브이원텍</t>
        </is>
      </c>
      <c r="G11691" s="2" t="inlineStr">
        <is>
          <t>20260617900370</t>
        </is>
      </c>
      <c r="H11691" s="8">
        <f>HYPERLINK("https://dart.fss.or.kr/dsaf001/main.do?rcpNo=20260617900370", "공시열람")</f>
        <v/>
      </c>
    </row>
    <row r="11692">
      <c r="A11692" s="2" t="inlineStr">
        <is>
          <t>2026-06-17</t>
        </is>
      </c>
      <c r="B11692" s="3" t="inlineStr">
        <is>
          <t>SH에너지화학</t>
        </is>
      </c>
      <c r="C11692" s="2" t="inlineStr">
        <is>
          <t>코스피</t>
        </is>
      </c>
      <c r="D11692" s="2" t="inlineStr">
        <is>
          <t>002360</t>
        </is>
      </c>
      <c r="E11692" s="3" t="inlineStr">
        <is>
          <t>임원ㆍ주요주주특정증권등소유상황보고서</t>
        </is>
      </c>
      <c r="F11692" s="3" t="inlineStr">
        <is>
          <t>최찬욱</t>
        </is>
      </c>
      <c r="G11692" s="2" t="inlineStr">
        <is>
          <t>20260617000317</t>
        </is>
      </c>
      <c r="H11692" s="8">
        <f>HYPERLINK("https://dart.fss.or.kr/dsaf001/main.do?rcpNo=20260617000317", "공시열람")</f>
        <v/>
      </c>
    </row>
    <row r="11693">
      <c r="A11693" s="2" t="inlineStr">
        <is>
          <t>2026-06-17</t>
        </is>
      </c>
      <c r="B11693" s="3" t="inlineStr">
        <is>
          <t>영화금속</t>
        </is>
      </c>
      <c r="C11693" s="2" t="inlineStr">
        <is>
          <t>코스피</t>
        </is>
      </c>
      <c r="D11693" s="2" t="inlineStr">
        <is>
          <t>012280</t>
        </is>
      </c>
      <c r="E11693" s="3" t="inlineStr">
        <is>
          <t xml:space="preserve">주식병합결정              </t>
        </is>
      </c>
      <c r="F11693" s="3" t="inlineStr">
        <is>
          <t>영화금속</t>
        </is>
      </c>
      <c r="G11693" s="2" t="inlineStr">
        <is>
          <t>20260617800329</t>
        </is>
      </c>
      <c r="H11693" s="8">
        <f>HYPERLINK("https://dart.fss.or.kr/dsaf001/main.do?rcpNo=20260617800329", "공시열람")</f>
        <v/>
      </c>
    </row>
    <row r="11694">
      <c r="A11694" s="2" t="inlineStr">
        <is>
          <t>2026-06-17</t>
        </is>
      </c>
      <c r="B11694" s="3" t="inlineStr">
        <is>
          <t>DB증권</t>
        </is>
      </c>
      <c r="C11694" s="2" t="inlineStr">
        <is>
          <t>코스피</t>
        </is>
      </c>
      <c r="D11694" s="2" t="inlineStr">
        <is>
          <t>016610</t>
        </is>
      </c>
      <c r="E11694" s="3" t="inlineStr">
        <is>
          <t>투자설명서(일괄신고)</t>
        </is>
      </c>
      <c r="F11694" s="3" t="inlineStr">
        <is>
          <t>DB증권</t>
        </is>
      </c>
      <c r="G11694" s="2" t="inlineStr">
        <is>
          <t>20260617000313</t>
        </is>
      </c>
      <c r="H11694" s="8">
        <f>HYPERLINK("https://dart.fss.or.kr/dsaf001/main.do?rcpNo=20260617000313", "공시열람")</f>
        <v/>
      </c>
    </row>
    <row r="11695">
      <c r="A11695" s="2" t="inlineStr">
        <is>
          <t>2026-06-17</t>
        </is>
      </c>
      <c r="B11695" s="3" t="inlineStr">
        <is>
          <t>씨엔알리서치</t>
        </is>
      </c>
      <c r="C11695" s="2" t="inlineStr">
        <is>
          <t>코스닥</t>
        </is>
      </c>
      <c r="D11695" s="2" t="inlineStr">
        <is>
          <t>359090</t>
        </is>
      </c>
      <c r="E11695" s="3" t="inlineStr">
        <is>
          <t>임원ㆍ주요주주특정증권등소유상황보고서</t>
        </is>
      </c>
      <c r="F11695" s="3" t="inlineStr">
        <is>
          <t>최윤정</t>
        </is>
      </c>
      <c r="G11695" s="2" t="inlineStr">
        <is>
          <t>20260617000309</t>
        </is>
      </c>
      <c r="H11695" s="8">
        <f>HYPERLINK("https://dart.fss.or.kr/dsaf001/main.do?rcpNo=20260617000309", "공시열람")</f>
        <v/>
      </c>
    </row>
    <row r="11696">
      <c r="A11696" s="2" t="inlineStr">
        <is>
          <t>2026-06-17</t>
        </is>
      </c>
      <c r="B11696" s="3" t="inlineStr">
        <is>
          <t>팅크웨어</t>
        </is>
      </c>
      <c r="C11696" s="2" t="inlineStr">
        <is>
          <t>코스닥</t>
        </is>
      </c>
      <c r="D11696" s="2" t="inlineStr">
        <is>
          <t>084730</t>
        </is>
      </c>
      <c r="E11696" s="3" t="inlineStr">
        <is>
          <t>임원ㆍ주요주주특정증권등소유상황보고서</t>
        </is>
      </c>
      <c r="F11696" s="3" t="inlineStr">
        <is>
          <t>아르게스그로쓰캐피탈제1호사모투자</t>
        </is>
      </c>
      <c r="G11696" s="2" t="inlineStr">
        <is>
          <t>20260617000307</t>
        </is>
      </c>
      <c r="H11696" s="8">
        <f>HYPERLINK("https://dart.fss.or.kr/dsaf001/main.do?rcpNo=20260617000307", "공시열람")</f>
        <v/>
      </c>
    </row>
    <row r="11697">
      <c r="A11697" s="2" t="inlineStr">
        <is>
          <t>2026-06-17</t>
        </is>
      </c>
      <c r="B11697" s="3" t="inlineStr">
        <is>
          <t>NH투자증권</t>
        </is>
      </c>
      <c r="C11697" s="2" t="inlineStr">
        <is>
          <t>코스피</t>
        </is>
      </c>
      <c r="D11697" s="2" t="inlineStr">
        <is>
          <t>005940</t>
        </is>
      </c>
      <c r="E11697" s="3" t="inlineStr">
        <is>
          <t>일괄신고추가서류(파생결합증권-주가연계증권)</t>
        </is>
      </c>
      <c r="F11697" s="3" t="inlineStr">
        <is>
          <t>NH투자증권</t>
        </is>
      </c>
      <c r="G11697" s="2" t="inlineStr">
        <is>
          <t>20260617000306</t>
        </is>
      </c>
      <c r="H11697" s="8">
        <f>HYPERLINK("https://dart.fss.or.kr/dsaf001/main.do?rcpNo=20260617000306", "공시열람")</f>
        <v/>
      </c>
    </row>
    <row r="11698">
      <c r="A11698" s="2" t="inlineStr">
        <is>
          <t>2026-06-17</t>
        </is>
      </c>
      <c r="B11698" s="3" t="inlineStr">
        <is>
          <t>씨엔알리서치</t>
        </is>
      </c>
      <c r="C11698" s="2" t="inlineStr">
        <is>
          <t>코스닥</t>
        </is>
      </c>
      <c r="D11698" s="2" t="inlineStr">
        <is>
          <t>359090</t>
        </is>
      </c>
      <c r="E11698" s="3" t="inlineStr">
        <is>
          <t>임원ㆍ주요주주특정증권등소유상황보고서</t>
        </is>
      </c>
      <c r="F11698" s="3" t="inlineStr">
        <is>
          <t>윤병인</t>
        </is>
      </c>
      <c r="G11698" s="2" t="inlineStr">
        <is>
          <t>20260617000303</t>
        </is>
      </c>
      <c r="H11698" s="8">
        <f>HYPERLINK("https://dart.fss.or.kr/dsaf001/main.do?rcpNo=20260617000303", "공시열람")</f>
        <v/>
      </c>
    </row>
    <row r="11699">
      <c r="A11699" s="2" t="inlineStr">
        <is>
          <t>2026-06-17</t>
        </is>
      </c>
      <c r="B11699" s="3" t="inlineStr">
        <is>
          <t>씨엔알리서치</t>
        </is>
      </c>
      <c r="C11699" s="2" t="inlineStr">
        <is>
          <t>코스닥</t>
        </is>
      </c>
      <c r="D11699" s="2" t="inlineStr">
        <is>
          <t>359090</t>
        </is>
      </c>
      <c r="E11699" s="3" t="inlineStr">
        <is>
          <t>임원ㆍ주요주주특정증권등소유상황보고서</t>
        </is>
      </c>
      <c r="F11699" s="3" t="inlineStr">
        <is>
          <t>윤문태</t>
        </is>
      </c>
      <c r="G11699" s="2" t="inlineStr">
        <is>
          <t>20260617000299</t>
        </is>
      </c>
      <c r="H11699" s="8">
        <f>HYPERLINK("https://dart.fss.or.kr/dsaf001/main.do?rcpNo=20260617000299", "공시열람")</f>
        <v/>
      </c>
    </row>
    <row r="11700">
      <c r="A11700" s="2" t="inlineStr">
        <is>
          <t>2026-06-17</t>
        </is>
      </c>
      <c r="B11700" s="3" t="inlineStr">
        <is>
          <t>DB증권</t>
        </is>
      </c>
      <c r="C11700" s="2" t="inlineStr">
        <is>
          <t>코스피</t>
        </is>
      </c>
      <c r="D11700" s="2" t="inlineStr">
        <is>
          <t>016610</t>
        </is>
      </c>
      <c r="E11700" s="3" t="inlineStr">
        <is>
          <t>일괄신고추가서류(파생결합사채-주가연계파생결합사채)</t>
        </is>
      </c>
      <c r="F11700" s="3" t="inlineStr">
        <is>
          <t>DB증권</t>
        </is>
      </c>
      <c r="G11700" s="2" t="inlineStr">
        <is>
          <t>20260617000297</t>
        </is>
      </c>
      <c r="H11700" s="8">
        <f>HYPERLINK("https://dart.fss.or.kr/dsaf001/main.do?rcpNo=20260617000297", "공시열람")</f>
        <v/>
      </c>
    </row>
    <row r="11701">
      <c r="A11701" s="2" t="inlineStr">
        <is>
          <t>2026-06-17</t>
        </is>
      </c>
      <c r="B11701" s="3" t="inlineStr">
        <is>
          <t>엔젯</t>
        </is>
      </c>
      <c r="C11701" s="2" t="inlineStr">
        <is>
          <t>코스닥</t>
        </is>
      </c>
      <c r="D11701" s="2" t="inlineStr">
        <is>
          <t>419080</t>
        </is>
      </c>
      <c r="E11701" s="3" t="inlineStr">
        <is>
          <t xml:space="preserve">주식매수선택권행사              </t>
        </is>
      </c>
      <c r="F11701" s="3" t="inlineStr">
        <is>
          <t>엔젯</t>
        </is>
      </c>
      <c r="G11701" s="2" t="inlineStr">
        <is>
          <t>20260617900315</t>
        </is>
      </c>
      <c r="H11701" s="8">
        <f>HYPERLINK("https://dart.fss.or.kr/dsaf001/main.do?rcpNo=20260617900315", "공시열람")</f>
        <v/>
      </c>
    </row>
    <row r="11702">
      <c r="A11702" s="2" t="inlineStr">
        <is>
          <t>2026-06-17</t>
        </is>
      </c>
      <c r="B11702" s="3" t="inlineStr">
        <is>
          <t>한화투자증권</t>
        </is>
      </c>
      <c r="C11702" s="2" t="inlineStr">
        <is>
          <t>코스피</t>
        </is>
      </c>
      <c r="D11702" s="2" t="inlineStr">
        <is>
          <t>003530</t>
        </is>
      </c>
      <c r="E11702" s="3" t="inlineStr">
        <is>
          <t>일괄신고추가서류(파생결합사채-주가연계파생결합사채)</t>
        </is>
      </c>
      <c r="F11702" s="3" t="inlineStr">
        <is>
          <t>한화투자증권</t>
        </is>
      </c>
      <c r="G11702" s="2" t="inlineStr">
        <is>
          <t>20260617000290</t>
        </is>
      </c>
      <c r="H11702" s="8">
        <f>HYPERLINK("https://dart.fss.or.kr/dsaf001/main.do?rcpNo=20260617000290", "공시열람")</f>
        <v/>
      </c>
    </row>
    <row r="11703">
      <c r="A11703" s="2" t="inlineStr">
        <is>
          <t>2026-06-17</t>
        </is>
      </c>
      <c r="B11703" s="3" t="inlineStr">
        <is>
          <t>삼성증권</t>
        </is>
      </c>
      <c r="C11703" s="2" t="inlineStr">
        <is>
          <t>코스피</t>
        </is>
      </c>
      <c r="D11703" s="2" t="inlineStr">
        <is>
          <t>016360</t>
        </is>
      </c>
      <c r="E11703" s="3" t="inlineStr">
        <is>
          <t>일괄신고추가서류(파생결합증권-주가연계증권)</t>
        </is>
      </c>
      <c r="F11703" s="3" t="inlineStr">
        <is>
          <t>삼성증권</t>
        </is>
      </c>
      <c r="G11703" s="2" t="inlineStr">
        <is>
          <t>20260617000289</t>
        </is>
      </c>
      <c r="H11703" s="8">
        <f>HYPERLINK("https://dart.fss.or.kr/dsaf001/main.do?rcpNo=20260617000289", "공시열람")</f>
        <v/>
      </c>
    </row>
    <row r="11704">
      <c r="A11704" s="2" t="inlineStr">
        <is>
          <t>2026-06-17</t>
        </is>
      </c>
      <c r="B11704" s="3" t="inlineStr">
        <is>
          <t>한화투자증권</t>
        </is>
      </c>
      <c r="C11704" s="2" t="inlineStr">
        <is>
          <t>코스피</t>
        </is>
      </c>
      <c r="D11704" s="2" t="inlineStr">
        <is>
          <t>003530</t>
        </is>
      </c>
      <c r="E11704" s="3" t="inlineStr">
        <is>
          <t>투자설명서(일괄신고)</t>
        </is>
      </c>
      <c r="F11704" s="3" t="inlineStr">
        <is>
          <t>한화투자증권</t>
        </is>
      </c>
      <c r="G11704" s="2" t="inlineStr">
        <is>
          <t>20260617000288</t>
        </is>
      </c>
      <c r="H11704" s="8">
        <f>HYPERLINK("https://dart.fss.or.kr/dsaf001/main.do?rcpNo=20260617000288", "공시열람")</f>
        <v/>
      </c>
    </row>
    <row r="11705">
      <c r="A11705" s="2" t="inlineStr">
        <is>
          <t>2026-06-17</t>
        </is>
      </c>
      <c r="B11705" s="3" t="inlineStr">
        <is>
          <t>한화투자증권</t>
        </is>
      </c>
      <c r="C11705" s="2" t="inlineStr">
        <is>
          <t>코스피</t>
        </is>
      </c>
      <c r="D11705" s="2" t="inlineStr">
        <is>
          <t>003530</t>
        </is>
      </c>
      <c r="E11705" s="3" t="inlineStr">
        <is>
          <t>투자설명서(일괄신고)</t>
        </is>
      </c>
      <c r="F11705" s="3" t="inlineStr">
        <is>
          <t>한화투자증권</t>
        </is>
      </c>
      <c r="G11705" s="2" t="inlineStr">
        <is>
          <t>20260617000284</t>
        </is>
      </c>
      <c r="H11705" s="8">
        <f>HYPERLINK("https://dart.fss.or.kr/dsaf001/main.do?rcpNo=20260617000284", "공시열람")</f>
        <v/>
      </c>
    </row>
    <row r="11706">
      <c r="A11706" s="2" t="inlineStr">
        <is>
          <t>2026-06-17</t>
        </is>
      </c>
      <c r="B11706" s="3" t="inlineStr">
        <is>
          <t>씨엔알리서치</t>
        </is>
      </c>
      <c r="C11706" s="2" t="inlineStr">
        <is>
          <t>코스닥</t>
        </is>
      </c>
      <c r="D11706" s="2" t="inlineStr">
        <is>
          <t>359090</t>
        </is>
      </c>
      <c r="E11706" s="3" t="inlineStr">
        <is>
          <t>임원ㆍ주요주주특정증권등소유상황보고서</t>
        </is>
      </c>
      <c r="F11706" s="3" t="inlineStr">
        <is>
          <t>문규선</t>
        </is>
      </c>
      <c r="G11706" s="2" t="inlineStr">
        <is>
          <t>20260617000283</t>
        </is>
      </c>
      <c r="H11706" s="8">
        <f>HYPERLINK("https://dart.fss.or.kr/dsaf001/main.do?rcpNo=20260617000283", "공시열람")</f>
        <v/>
      </c>
    </row>
    <row r="11707">
      <c r="A11707" s="2" t="inlineStr">
        <is>
          <t>2026-06-17</t>
        </is>
      </c>
      <c r="B11707" s="3" t="inlineStr">
        <is>
          <t>한화투자증권</t>
        </is>
      </c>
      <c r="C11707" s="2" t="inlineStr">
        <is>
          <t>코스피</t>
        </is>
      </c>
      <c r="D11707" s="2" t="inlineStr">
        <is>
          <t>003530</t>
        </is>
      </c>
      <c r="E11707" s="3" t="inlineStr">
        <is>
          <t>투자설명서(일괄신고)</t>
        </is>
      </c>
      <c r="F11707" s="3" t="inlineStr">
        <is>
          <t>한화투자증권</t>
        </is>
      </c>
      <c r="G11707" s="2" t="inlineStr">
        <is>
          <t>20260617000280</t>
        </is>
      </c>
      <c r="H11707" s="8">
        <f>HYPERLINK("https://dart.fss.or.kr/dsaf001/main.do?rcpNo=20260617000280", "공시열람")</f>
        <v/>
      </c>
    </row>
    <row r="11708">
      <c r="A11708" s="2" t="inlineStr">
        <is>
          <t>2026-06-17</t>
        </is>
      </c>
      <c r="B11708" s="3" t="inlineStr">
        <is>
          <t>제이엘케이</t>
        </is>
      </c>
      <c r="C11708" s="2" t="inlineStr">
        <is>
          <t>코스닥</t>
        </is>
      </c>
      <c r="D11708" s="2" t="inlineStr">
        <is>
          <t>322510</t>
        </is>
      </c>
      <c r="E11708" s="3" t="inlineStr">
        <is>
          <t>기타경영사항(자율공시)              (범부처 첨단의료기기 연구개발 국외임상과제 (국책과제 선정))</t>
        </is>
      </c>
      <c r="F11708" s="3" t="inlineStr">
        <is>
          <t>제이엘케이</t>
        </is>
      </c>
      <c r="G11708" s="2" t="inlineStr">
        <is>
          <t>20260617900288</t>
        </is>
      </c>
      <c r="H11708" s="8">
        <f>HYPERLINK("https://dart.fss.or.kr/dsaf001/main.do?rcpNo=20260617900288", "공시열람")</f>
        <v/>
      </c>
    </row>
    <row r="11709">
      <c r="A11709" s="2" t="inlineStr">
        <is>
          <t>2026-06-17</t>
        </is>
      </c>
      <c r="B11709" s="3" t="inlineStr">
        <is>
          <t>씨엔알리서치</t>
        </is>
      </c>
      <c r="C11709" s="2" t="inlineStr">
        <is>
          <t>코스닥</t>
        </is>
      </c>
      <c r="D11709" s="2" t="inlineStr">
        <is>
          <t>359090</t>
        </is>
      </c>
      <c r="E11709" s="3" t="inlineStr">
        <is>
          <t>임원ㆍ주요주주특정증권등소유상황보고서</t>
        </is>
      </c>
      <c r="F11709" s="3" t="inlineStr">
        <is>
          <t>김진학</t>
        </is>
      </c>
      <c r="G11709" s="2" t="inlineStr">
        <is>
          <t>20260617000278</t>
        </is>
      </c>
      <c r="H11709" s="8">
        <f>HYPERLINK("https://dart.fss.or.kr/dsaf001/main.do?rcpNo=20260617000278", "공시열람")</f>
        <v/>
      </c>
    </row>
    <row r="11710">
      <c r="A11710" s="2" t="inlineStr">
        <is>
          <t>2026-06-17</t>
        </is>
      </c>
      <c r="B11710" s="3" t="inlineStr">
        <is>
          <t>한화투자증권</t>
        </is>
      </c>
      <c r="C11710" s="2" t="inlineStr">
        <is>
          <t>코스피</t>
        </is>
      </c>
      <c r="D11710" s="2" t="inlineStr">
        <is>
          <t>003530</t>
        </is>
      </c>
      <c r="E11710" s="3" t="inlineStr">
        <is>
          <t>투자설명서(일괄신고)</t>
        </is>
      </c>
      <c r="F11710" s="3" t="inlineStr">
        <is>
          <t>한화투자증권</t>
        </is>
      </c>
      <c r="G11710" s="2" t="inlineStr">
        <is>
          <t>20260617000277</t>
        </is>
      </c>
      <c r="H11710" s="8">
        <f>HYPERLINK("https://dart.fss.or.kr/dsaf001/main.do?rcpNo=20260617000277", "공시열람")</f>
        <v/>
      </c>
    </row>
    <row r="11711">
      <c r="A11711" s="2" t="inlineStr">
        <is>
          <t>2026-06-17</t>
        </is>
      </c>
      <c r="B11711" s="3" t="inlineStr">
        <is>
          <t>3S</t>
        </is>
      </c>
      <c r="C11711" s="2" t="inlineStr">
        <is>
          <t>코스닥</t>
        </is>
      </c>
      <c r="D11711" s="2" t="inlineStr">
        <is>
          <t>060310</t>
        </is>
      </c>
      <c r="E11711" s="3" t="inlineStr">
        <is>
          <t xml:space="preserve">감사보고서제출              </t>
        </is>
      </c>
      <c r="F11711" s="3" t="inlineStr">
        <is>
          <t>3S</t>
        </is>
      </c>
      <c r="G11711" s="2" t="inlineStr">
        <is>
          <t>20260617900291</t>
        </is>
      </c>
      <c r="H11711" s="8">
        <f>HYPERLINK("https://dart.fss.or.kr/dsaf001/main.do?rcpNo=20260617900291", "공시열람")</f>
        <v/>
      </c>
    </row>
    <row r="11712">
      <c r="A11712" s="2" t="inlineStr">
        <is>
          <t>2026-06-17</t>
        </is>
      </c>
      <c r="B11712" s="3" t="inlineStr">
        <is>
          <t>LB세미콘</t>
        </is>
      </c>
      <c r="C11712" s="2" t="inlineStr">
        <is>
          <t>코스닥</t>
        </is>
      </c>
      <c r="D11712" s="2" t="inlineStr">
        <is>
          <t>061970</t>
        </is>
      </c>
      <c r="E11712" s="3" t="inlineStr">
        <is>
          <t>투자설명서</t>
        </is>
      </c>
      <c r="F11712" s="3" t="inlineStr">
        <is>
          <t>LB세미콘</t>
        </is>
      </c>
      <c r="G11712" s="2" t="inlineStr">
        <is>
          <t>20260617000272</t>
        </is>
      </c>
      <c r="H11712" s="8">
        <f>HYPERLINK("https://dart.fss.or.kr/dsaf001/main.do?rcpNo=20260617000272", "공시열람")</f>
        <v/>
      </c>
    </row>
    <row r="11713">
      <c r="A11713" s="2" t="inlineStr">
        <is>
          <t>2026-06-17</t>
        </is>
      </c>
      <c r="B11713" s="3" t="inlineStr">
        <is>
          <t>한화투자증권</t>
        </is>
      </c>
      <c r="C11713" s="2" t="inlineStr">
        <is>
          <t>코스피</t>
        </is>
      </c>
      <c r="D11713" s="2" t="inlineStr">
        <is>
          <t>003530</t>
        </is>
      </c>
      <c r="E11713" s="3" t="inlineStr">
        <is>
          <t>투자설명서(일괄신고)</t>
        </is>
      </c>
      <c r="F11713" s="3" t="inlineStr">
        <is>
          <t>한화투자증권</t>
        </is>
      </c>
      <c r="G11713" s="2" t="inlineStr">
        <is>
          <t>20260617000271</t>
        </is>
      </c>
      <c r="H11713" s="8">
        <f>HYPERLINK("https://dart.fss.or.kr/dsaf001/main.do?rcpNo=20260617000271", "공시열람")</f>
        <v/>
      </c>
    </row>
    <row r="11714">
      <c r="A11714" s="2" t="inlineStr">
        <is>
          <t>2026-06-17</t>
        </is>
      </c>
      <c r="B11714" s="3" t="inlineStr">
        <is>
          <t>LB세미콘</t>
        </is>
      </c>
      <c r="C11714" s="2" t="inlineStr">
        <is>
          <t>코스닥</t>
        </is>
      </c>
      <c r="D11714" s="2" t="inlineStr">
        <is>
          <t>061970</t>
        </is>
      </c>
      <c r="E11714" s="3" t="inlineStr">
        <is>
          <t>[발행조건확정]증권신고서(지분증권)</t>
        </is>
      </c>
      <c r="F11714" s="3" t="inlineStr">
        <is>
          <t>LB세미콘</t>
        </is>
      </c>
      <c r="G11714" s="2" t="inlineStr">
        <is>
          <t>20260617000266</t>
        </is>
      </c>
      <c r="H11714" s="8">
        <f>HYPERLINK("https://dart.fss.or.kr/dsaf001/main.do?rcpNo=20260617000266", "공시열람")</f>
        <v/>
      </c>
    </row>
    <row r="11715">
      <c r="A11715" s="2" t="inlineStr">
        <is>
          <t>2026-06-17</t>
        </is>
      </c>
      <c r="B11715" s="3" t="inlineStr">
        <is>
          <t>삼성증권</t>
        </is>
      </c>
      <c r="C11715" s="2" t="inlineStr">
        <is>
          <t>코스피</t>
        </is>
      </c>
      <c r="D11715" s="2" t="inlineStr">
        <is>
          <t>016360</t>
        </is>
      </c>
      <c r="E11715" s="3" t="inlineStr">
        <is>
          <t>일괄신고추가서류(파생결합증권-주가연계증권)</t>
        </is>
      </c>
      <c r="F11715" s="3" t="inlineStr">
        <is>
          <t>삼성증권</t>
        </is>
      </c>
      <c r="G11715" s="2" t="inlineStr">
        <is>
          <t>20260617000265</t>
        </is>
      </c>
      <c r="H11715" s="8">
        <f>HYPERLINK("https://dart.fss.or.kr/dsaf001/main.do?rcpNo=20260617000265", "공시열람")</f>
        <v/>
      </c>
    </row>
    <row r="11716">
      <c r="A11716" s="2" t="inlineStr">
        <is>
          <t>2026-06-17</t>
        </is>
      </c>
      <c r="B11716" s="3" t="inlineStr">
        <is>
          <t>씨엔알리서치</t>
        </is>
      </c>
      <c r="C11716" s="2" t="inlineStr">
        <is>
          <t>코스닥</t>
        </is>
      </c>
      <c r="D11716" s="2" t="inlineStr">
        <is>
          <t>359090</t>
        </is>
      </c>
      <c r="E11716" s="3" t="inlineStr">
        <is>
          <t>임원ㆍ주요주주특정증권등소유상황보고서</t>
        </is>
      </c>
      <c r="F11716" s="3" t="inlineStr">
        <is>
          <t>김윤호</t>
        </is>
      </c>
      <c r="G11716" s="2" t="inlineStr">
        <is>
          <t>20260617000264</t>
        </is>
      </c>
      <c r="H11716" s="8">
        <f>HYPERLINK("https://dart.fss.or.kr/dsaf001/main.do?rcpNo=20260617000264", "공시열람")</f>
        <v/>
      </c>
    </row>
    <row r="11717">
      <c r="A11717" s="2" t="inlineStr">
        <is>
          <t>2026-06-17</t>
        </is>
      </c>
      <c r="B11717" s="3" t="inlineStr">
        <is>
          <t>씨엔알리서치</t>
        </is>
      </c>
      <c r="C11717" s="2" t="inlineStr">
        <is>
          <t>코스닥</t>
        </is>
      </c>
      <c r="D11717" s="2" t="inlineStr">
        <is>
          <t>359090</t>
        </is>
      </c>
      <c r="E11717" s="3" t="inlineStr">
        <is>
          <t>임원ㆍ주요주주특정증권등소유상황보고서</t>
        </is>
      </c>
      <c r="F11717" s="3" t="inlineStr">
        <is>
          <t>김덕현</t>
        </is>
      </c>
      <c r="G11717" s="2" t="inlineStr">
        <is>
          <t>20260617000257</t>
        </is>
      </c>
      <c r="H11717" s="8">
        <f>HYPERLINK("https://dart.fss.or.kr/dsaf001/main.do?rcpNo=20260617000257", "공시열람")</f>
        <v/>
      </c>
    </row>
    <row r="11718">
      <c r="A11718" s="2" t="inlineStr">
        <is>
          <t>2026-06-17</t>
        </is>
      </c>
      <c r="B11718" s="3" t="inlineStr">
        <is>
          <t>풍산홀딩스</t>
        </is>
      </c>
      <c r="C11718" s="2" t="inlineStr">
        <is>
          <t>코스피</t>
        </is>
      </c>
      <c r="D11718" s="2" t="inlineStr">
        <is>
          <t>005810</t>
        </is>
      </c>
      <c r="E11718" s="3" t="inlineStr">
        <is>
          <t>자기주식취득결과보고서</t>
        </is>
      </c>
      <c r="F11718" s="3" t="inlineStr">
        <is>
          <t>풍산홀딩스</t>
        </is>
      </c>
      <c r="G11718" s="2" t="inlineStr">
        <is>
          <t>20260617000256</t>
        </is>
      </c>
      <c r="H11718" s="8">
        <f>HYPERLINK("https://dart.fss.or.kr/dsaf001/main.do?rcpNo=20260617000256", "공시열람")</f>
        <v/>
      </c>
    </row>
    <row r="11719">
      <c r="A11719" s="2" t="inlineStr">
        <is>
          <t>2026-06-17</t>
        </is>
      </c>
      <c r="B11719" s="3" t="inlineStr">
        <is>
          <t>유안타증권</t>
        </is>
      </c>
      <c r="C11719" s="2" t="inlineStr">
        <is>
          <t>코스피</t>
        </is>
      </c>
      <c r="D11719" s="2" t="inlineStr">
        <is>
          <t>003470</t>
        </is>
      </c>
      <c r="E11719" s="3" t="inlineStr">
        <is>
          <t>투자설명서(일괄신고)</t>
        </is>
      </c>
      <c r="F11719" s="3" t="inlineStr">
        <is>
          <t>유안타증권</t>
        </is>
      </c>
      <c r="G11719" s="2" t="inlineStr">
        <is>
          <t>20260617000255</t>
        </is>
      </c>
      <c r="H11719" s="8">
        <f>HYPERLINK("https://dart.fss.or.kr/dsaf001/main.do?rcpNo=20260617000255", "공시열람")</f>
        <v/>
      </c>
    </row>
    <row r="11720">
      <c r="A11720" s="2" t="inlineStr">
        <is>
          <t>2026-06-17</t>
        </is>
      </c>
      <c r="B11720" s="3" t="inlineStr">
        <is>
          <t>유안타증권</t>
        </is>
      </c>
      <c r="C11720" s="2" t="inlineStr">
        <is>
          <t>코스피</t>
        </is>
      </c>
      <c r="D11720" s="2" t="inlineStr">
        <is>
          <t>003470</t>
        </is>
      </c>
      <c r="E11720" s="3" t="inlineStr">
        <is>
          <t>일괄신고추가서류(파생결합사채-주가연계파생결합사채)</t>
        </is>
      </c>
      <c r="F11720" s="3" t="inlineStr">
        <is>
          <t>유안타증권</t>
        </is>
      </c>
      <c r="G11720" s="2" t="inlineStr">
        <is>
          <t>20260617000252</t>
        </is>
      </c>
      <c r="H11720" s="8">
        <f>HYPERLINK("https://dart.fss.or.kr/dsaf001/main.do?rcpNo=20260617000252", "공시열람")</f>
        <v/>
      </c>
    </row>
    <row r="11721">
      <c r="A11721" s="2" t="inlineStr">
        <is>
          <t>2026-06-17</t>
        </is>
      </c>
      <c r="B11721" s="3" t="inlineStr">
        <is>
          <t>한화투자증권</t>
        </is>
      </c>
      <c r="C11721" s="2" t="inlineStr">
        <is>
          <t>코스피</t>
        </is>
      </c>
      <c r="D11721" s="2" t="inlineStr">
        <is>
          <t>003530</t>
        </is>
      </c>
      <c r="E11721" s="3" t="inlineStr">
        <is>
          <t>일괄신고추가서류(파생결합사채-주가연계파생결합사채)</t>
        </is>
      </c>
      <c r="F11721" s="3" t="inlineStr">
        <is>
          <t>한화투자증권</t>
        </is>
      </c>
      <c r="G11721" s="2" t="inlineStr">
        <is>
          <t>20260617000245</t>
        </is>
      </c>
      <c r="H11721" s="8">
        <f>HYPERLINK("https://dart.fss.or.kr/dsaf001/main.do?rcpNo=20260617000245", "공시열람")</f>
        <v/>
      </c>
    </row>
    <row r="11722">
      <c r="A11722" s="2" t="inlineStr">
        <is>
          <t>2026-06-17</t>
        </is>
      </c>
      <c r="B11722" s="3" t="inlineStr">
        <is>
          <t>일동제약</t>
        </is>
      </c>
      <c r="C11722" s="2" t="inlineStr">
        <is>
          <t>코스피</t>
        </is>
      </c>
      <c r="D11722" s="2" t="inlineStr">
        <is>
          <t>249420</t>
        </is>
      </c>
      <c r="E11722" s="3" t="inlineStr">
        <is>
          <t>합병등종료보고서(합병)</t>
        </is>
      </c>
      <c r="F11722" s="3" t="inlineStr">
        <is>
          <t>일동제약</t>
        </is>
      </c>
      <c r="G11722" s="2" t="inlineStr">
        <is>
          <t>20260617000237</t>
        </is>
      </c>
      <c r="H11722" s="8">
        <f>HYPERLINK("https://dart.fss.or.kr/dsaf001/main.do?rcpNo=20260617000237", "공시열람")</f>
        <v/>
      </c>
    </row>
    <row r="11723">
      <c r="A11723" s="2" t="inlineStr">
        <is>
          <t>2026-06-17</t>
        </is>
      </c>
      <c r="B11723" s="3" t="inlineStr">
        <is>
          <t>대양전기공업</t>
        </is>
      </c>
      <c r="C11723" s="2" t="inlineStr">
        <is>
          <t>코스닥</t>
        </is>
      </c>
      <c r="D11723" s="2" t="inlineStr">
        <is>
          <t>108380</t>
        </is>
      </c>
      <c r="E11723" s="3" t="inlineStr">
        <is>
          <t xml:space="preserve">타법인주식및출자증권취득결정              </t>
        </is>
      </c>
      <c r="F11723" s="3" t="inlineStr">
        <is>
          <t>대양전기공업</t>
        </is>
      </c>
      <c r="G11723" s="2" t="inlineStr">
        <is>
          <t>20260617900289</t>
        </is>
      </c>
      <c r="H11723" s="8">
        <f>HYPERLINK("https://dart.fss.or.kr/dsaf001/main.do?rcpNo=20260617900289", "공시열람")</f>
        <v/>
      </c>
    </row>
    <row r="11724">
      <c r="A11724" s="2" t="inlineStr">
        <is>
          <t>2026-06-17</t>
        </is>
      </c>
      <c r="B11724" s="3" t="inlineStr">
        <is>
          <t>포스코DX</t>
        </is>
      </c>
      <c r="C11724" s="2" t="inlineStr">
        <is>
          <t>코스피</t>
        </is>
      </c>
      <c r="D11724" s="2" t="inlineStr">
        <is>
          <t>022100</t>
        </is>
      </c>
      <c r="E11724" s="3" t="inlineStr">
        <is>
          <t xml:space="preserve">현금ㆍ현물배당결정              </t>
        </is>
      </c>
      <c r="F11724" s="3" t="inlineStr">
        <is>
          <t>포스코DX</t>
        </is>
      </c>
      <c r="G11724" s="2" t="inlineStr">
        <is>
          <t>20260617800279</t>
        </is>
      </c>
      <c r="H11724" s="8">
        <f>HYPERLINK("https://dart.fss.or.kr/dsaf001/main.do?rcpNo=20260617800279", "공시열람")</f>
        <v/>
      </c>
    </row>
    <row r="11725">
      <c r="A11725" s="2" t="inlineStr">
        <is>
          <t>2026-06-17</t>
        </is>
      </c>
      <c r="B11725" s="3" t="inlineStr">
        <is>
          <t>유안타증권</t>
        </is>
      </c>
      <c r="C11725" s="2" t="inlineStr">
        <is>
          <t>코스피</t>
        </is>
      </c>
      <c r="D11725" s="2" t="inlineStr">
        <is>
          <t>003470</t>
        </is>
      </c>
      <c r="E11725" s="3" t="inlineStr">
        <is>
          <t>투자설명서(일괄신고)</t>
        </is>
      </c>
      <c r="F11725" s="3" t="inlineStr">
        <is>
          <t>유안타증권</t>
        </is>
      </c>
      <c r="G11725" s="2" t="inlineStr">
        <is>
          <t>20260617000228</t>
        </is>
      </c>
      <c r="H11725" s="8">
        <f>HYPERLINK("https://dart.fss.or.kr/dsaf001/main.do?rcpNo=20260617000228", "공시열람")</f>
        <v/>
      </c>
    </row>
    <row r="11726">
      <c r="A11726" s="2" t="inlineStr">
        <is>
          <t>2026-06-17</t>
        </is>
      </c>
      <c r="B11726" s="3" t="inlineStr">
        <is>
          <t>포스코DX</t>
        </is>
      </c>
      <c r="C11726" s="2" t="inlineStr">
        <is>
          <t>코스피</t>
        </is>
      </c>
      <c r="D11726" s="2" t="inlineStr">
        <is>
          <t>022100</t>
        </is>
      </c>
      <c r="E11726" s="3" t="inlineStr">
        <is>
          <t xml:space="preserve">현금ㆍ현물배당을위한주주명부폐쇄(기준일)결정              </t>
        </is>
      </c>
      <c r="F11726" s="3" t="inlineStr">
        <is>
          <t>포스코DX</t>
        </is>
      </c>
      <c r="G11726" s="2" t="inlineStr">
        <is>
          <t>20260617800276</t>
        </is>
      </c>
      <c r="H11726" s="8">
        <f>HYPERLINK("https://dart.fss.or.kr/dsaf001/main.do?rcpNo=20260617800276", "공시열람")</f>
        <v/>
      </c>
    </row>
    <row r="11727">
      <c r="A11727" s="2" t="inlineStr">
        <is>
          <t>2026-06-17</t>
        </is>
      </c>
      <c r="B11727" s="3" t="inlineStr">
        <is>
          <t>한창제지</t>
        </is>
      </c>
      <c r="C11727" s="2" t="inlineStr">
        <is>
          <t>코스피</t>
        </is>
      </c>
      <c r="D11727" s="2" t="inlineStr">
        <is>
          <t>009460</t>
        </is>
      </c>
      <c r="E11727" s="3" t="inlineStr">
        <is>
          <t>임원ㆍ주요주주특정증권등거래계획보고서</t>
        </is>
      </c>
      <c r="F11727" s="3" t="inlineStr">
        <is>
          <t>KIM JOONYOUNG</t>
        </is>
      </c>
      <c r="G11727" s="2" t="inlineStr">
        <is>
          <t>20260617000226</t>
        </is>
      </c>
      <c r="H11727" s="8">
        <f>HYPERLINK("https://dart.fss.or.kr/dsaf001/main.do?rcpNo=20260617000226", "공시열람")</f>
        <v/>
      </c>
    </row>
    <row r="11728">
      <c r="A11728" s="2" t="inlineStr">
        <is>
          <t>2026-06-17</t>
        </is>
      </c>
      <c r="B11728" s="3" t="inlineStr">
        <is>
          <t>피엠티</t>
        </is>
      </c>
      <c r="C11728" s="2" t="inlineStr">
        <is>
          <t>코스닥</t>
        </is>
      </c>
      <c r="D11728" s="2" t="inlineStr">
        <is>
          <t>147760</t>
        </is>
      </c>
      <c r="E11728" s="3" t="inlineStr">
        <is>
          <t>[발행조건확정]증권신고서(지분증권)</t>
        </is>
      </c>
      <c r="F11728" s="3" t="inlineStr">
        <is>
          <t>피엠티</t>
        </is>
      </c>
      <c r="G11728" s="2" t="inlineStr">
        <is>
          <t>20260617000224</t>
        </is>
      </c>
      <c r="H11728" s="8">
        <f>HYPERLINK("https://dart.fss.or.kr/dsaf001/main.do?rcpNo=20260617000224", "공시열람")</f>
        <v/>
      </c>
    </row>
    <row r="11729">
      <c r="A11729" s="2" t="inlineStr">
        <is>
          <t>2026-06-17</t>
        </is>
      </c>
      <c r="B11729" s="3" t="inlineStr">
        <is>
          <t>한화투자증권</t>
        </is>
      </c>
      <c r="C11729" s="2" t="inlineStr">
        <is>
          <t>코스피</t>
        </is>
      </c>
      <c r="D11729" s="2" t="inlineStr">
        <is>
          <t>003530</t>
        </is>
      </c>
      <c r="E11729" s="3" t="inlineStr">
        <is>
          <t>일괄신고추가서류(파생결합사채-주가연계파생결합사채)</t>
        </is>
      </c>
      <c r="F11729" s="3" t="inlineStr">
        <is>
          <t>한화투자증권</t>
        </is>
      </c>
      <c r="G11729" s="2" t="inlineStr">
        <is>
          <t>20260617000223</t>
        </is>
      </c>
      <c r="H11729" s="8">
        <f>HYPERLINK("https://dart.fss.or.kr/dsaf001/main.do?rcpNo=20260617000223", "공시열람")</f>
        <v/>
      </c>
    </row>
    <row r="11730">
      <c r="A11730" s="2" t="inlineStr">
        <is>
          <t>2026-06-17</t>
        </is>
      </c>
      <c r="B11730" s="3" t="inlineStr">
        <is>
          <t>신영와코루</t>
        </is>
      </c>
      <c r="C11730" s="2" t="inlineStr">
        <is>
          <t>코스피</t>
        </is>
      </c>
      <c r="D11730" s="2" t="inlineStr">
        <is>
          <t>005800</t>
        </is>
      </c>
      <c r="E11730" s="3" t="inlineStr">
        <is>
          <t>임원ㆍ주요주주특정증권등소유상황보고서</t>
        </is>
      </c>
      <c r="F11730" s="3" t="inlineStr">
        <is>
          <t>최광열</t>
        </is>
      </c>
      <c r="G11730" s="2" t="inlineStr">
        <is>
          <t>20260617000222</t>
        </is>
      </c>
      <c r="H11730" s="8">
        <f>HYPERLINK("https://dart.fss.or.kr/dsaf001/main.do?rcpNo=20260617000222", "공시열람")</f>
        <v/>
      </c>
    </row>
    <row r="11731">
      <c r="A11731" s="2" t="inlineStr">
        <is>
          <t>2026-06-17</t>
        </is>
      </c>
      <c r="B11731" s="3" t="inlineStr">
        <is>
          <t>한창제지</t>
        </is>
      </c>
      <c r="C11731" s="2" t="inlineStr">
        <is>
          <t>코스피</t>
        </is>
      </c>
      <c r="D11731" s="2" t="inlineStr">
        <is>
          <t>009460</t>
        </is>
      </c>
      <c r="E11731" s="3" t="inlineStr">
        <is>
          <t>임원ㆍ주요주주특정증권등거래계획철회보고서</t>
        </is>
      </c>
      <c r="F11731" s="3" t="inlineStr">
        <is>
          <t>KIM JOONYOUNG</t>
        </is>
      </c>
      <c r="G11731" s="2" t="inlineStr">
        <is>
          <t>20260617000211</t>
        </is>
      </c>
      <c r="H11731" s="8">
        <f>HYPERLINK("https://dart.fss.or.kr/dsaf001/main.do?rcpNo=20260617000211", "공시열람")</f>
        <v/>
      </c>
    </row>
    <row r="11732">
      <c r="A11732" s="2" t="inlineStr">
        <is>
          <t>2026-06-17</t>
        </is>
      </c>
      <c r="B11732" s="3" t="inlineStr">
        <is>
          <t>풀무원</t>
        </is>
      </c>
      <c r="C11732" s="2" t="inlineStr">
        <is>
          <t>코스피</t>
        </is>
      </c>
      <c r="D11732" s="2" t="inlineStr">
        <is>
          <t>017810</t>
        </is>
      </c>
      <c r="E11732" s="3" t="inlineStr">
        <is>
          <t>임원ㆍ주요주주특정증권등소유상황보고서</t>
        </is>
      </c>
      <c r="F11732" s="3" t="inlineStr">
        <is>
          <t>이상준</t>
        </is>
      </c>
      <c r="G11732" s="2" t="inlineStr">
        <is>
          <t>20260617000206</t>
        </is>
      </c>
      <c r="H11732" s="8">
        <f>HYPERLINK("https://dart.fss.or.kr/dsaf001/main.do?rcpNo=20260617000206", "공시열람")</f>
        <v/>
      </c>
    </row>
    <row r="11733">
      <c r="A11733" s="2" t="inlineStr">
        <is>
          <t>2026-06-17</t>
        </is>
      </c>
      <c r="B11733" s="3" t="inlineStr">
        <is>
          <t>대동스틸</t>
        </is>
      </c>
      <c r="C11733" s="2" t="inlineStr">
        <is>
          <t>코스닥</t>
        </is>
      </c>
      <c r="D11733" s="2" t="inlineStr">
        <is>
          <t>048470</t>
        </is>
      </c>
      <c r="E11733" s="3" t="inlineStr">
        <is>
          <t>임원ㆍ주요주주특정증권등소유상황보고서</t>
        </is>
      </c>
      <c r="F11733" s="3" t="inlineStr">
        <is>
          <t>임지현</t>
        </is>
      </c>
      <c r="G11733" s="2" t="inlineStr">
        <is>
          <t>20260617000204</t>
        </is>
      </c>
      <c r="H11733" s="8">
        <f>HYPERLINK("https://dart.fss.or.kr/dsaf001/main.do?rcpNo=20260617000204", "공시열람")</f>
        <v/>
      </c>
    </row>
    <row r="11734">
      <c r="A11734" s="2" t="inlineStr">
        <is>
          <t>2026-06-17</t>
        </is>
      </c>
      <c r="B11734" s="3" t="inlineStr">
        <is>
          <t>유안타증권</t>
        </is>
      </c>
      <c r="C11734" s="2" t="inlineStr">
        <is>
          <t>코스피</t>
        </is>
      </c>
      <c r="D11734" s="2" t="inlineStr">
        <is>
          <t>003470</t>
        </is>
      </c>
      <c r="E11734" s="3" t="inlineStr">
        <is>
          <t>일괄신고추가서류(파생결합사채-주가연계파생결합사채)</t>
        </is>
      </c>
      <c r="F11734" s="3" t="inlineStr">
        <is>
          <t>유안타증권</t>
        </is>
      </c>
      <c r="G11734" s="2" t="inlineStr">
        <is>
          <t>20260617000203</t>
        </is>
      </c>
      <c r="H11734" s="8">
        <f>HYPERLINK("https://dart.fss.or.kr/dsaf001/main.do?rcpNo=20260617000203", "공시열람")</f>
        <v/>
      </c>
    </row>
    <row r="11735">
      <c r="A11735" s="2" t="inlineStr">
        <is>
          <t>2026-06-17</t>
        </is>
      </c>
      <c r="B11735" s="3" t="inlineStr">
        <is>
          <t>한화투자증권</t>
        </is>
      </c>
      <c r="C11735" s="2" t="inlineStr">
        <is>
          <t>코스피</t>
        </is>
      </c>
      <c r="D11735" s="2" t="inlineStr">
        <is>
          <t>003530</t>
        </is>
      </c>
      <c r="E11735" s="3" t="inlineStr">
        <is>
          <t>일괄신고추가서류(파생결합사채-주가연계파생결합사채)</t>
        </is>
      </c>
      <c r="F11735" s="3" t="inlineStr">
        <is>
          <t>한화투자증권</t>
        </is>
      </c>
      <c r="G11735" s="2" t="inlineStr">
        <is>
          <t>20260617000202</t>
        </is>
      </c>
      <c r="H11735" s="8">
        <f>HYPERLINK("https://dart.fss.or.kr/dsaf001/main.do?rcpNo=20260617000202", "공시열람")</f>
        <v/>
      </c>
    </row>
    <row r="11736">
      <c r="A11736" s="2" t="inlineStr">
        <is>
          <t>2026-06-17 (정정: 2026-06-17)</t>
        </is>
      </c>
      <c r="B11736" s="3" t="inlineStr">
        <is>
          <t>THE CUBE&amp;</t>
        </is>
      </c>
      <c r="C11736" s="2" t="inlineStr">
        <is>
          <t>코스닥</t>
        </is>
      </c>
      <c r="D11736" s="2" t="inlineStr">
        <is>
          <t>013720</t>
        </is>
      </c>
      <c r="E11736" s="3" t="inlineStr">
        <is>
          <t>전환사채(해외전환사채포함)발행후만기전사채취득              (제13회차) (정정: 20260617)</t>
        </is>
      </c>
      <c r="F11736" s="3" t="inlineStr">
        <is>
          <t>THE CUBE&amp;</t>
        </is>
      </c>
      <c r="G11736" s="2" t="inlineStr">
        <is>
          <t>20260617900250</t>
        </is>
      </c>
      <c r="H11736" s="8">
        <f>HYPERLINK("https://dart.fss.or.kr/dsaf001/main.do?rcpNo=20260617900250", "공시열람")</f>
        <v/>
      </c>
    </row>
    <row r="11737">
      <c r="A11737" s="2" t="inlineStr">
        <is>
          <t>2026-06-17</t>
        </is>
      </c>
      <c r="B11737" s="3" t="inlineStr">
        <is>
          <t>피엠티</t>
        </is>
      </c>
      <c r="C11737" s="2" t="inlineStr">
        <is>
          <t>코스닥</t>
        </is>
      </c>
      <c r="D11737" s="2" t="inlineStr">
        <is>
          <t>147760</t>
        </is>
      </c>
      <c r="E11737" s="3" t="inlineStr">
        <is>
          <t xml:space="preserve">유상증자최종발행가액확정              </t>
        </is>
      </c>
      <c r="F11737" s="3" t="inlineStr">
        <is>
          <t>피엠티</t>
        </is>
      </c>
      <c r="G11737" s="2" t="inlineStr">
        <is>
          <t>20260617900252</t>
        </is>
      </c>
      <c r="H11737" s="8">
        <f>HYPERLINK("https://dart.fss.or.kr/dsaf001/main.do?rcpNo=20260617900252", "공시열람")</f>
        <v/>
      </c>
    </row>
    <row r="11738">
      <c r="A11738" s="2" t="inlineStr">
        <is>
          <t>2026-06-17</t>
        </is>
      </c>
      <c r="B11738" s="3" t="inlineStr">
        <is>
          <t>대동스틸</t>
        </is>
      </c>
      <c r="C11738" s="2" t="inlineStr">
        <is>
          <t>코스닥</t>
        </is>
      </c>
      <c r="D11738" s="2" t="inlineStr">
        <is>
          <t>048470</t>
        </is>
      </c>
      <c r="E11738" s="3" t="inlineStr">
        <is>
          <t>임원ㆍ주요주주특정증권등소유상황보고서</t>
        </is>
      </c>
      <c r="F11738" s="3" t="inlineStr">
        <is>
          <t>임주희</t>
        </is>
      </c>
      <c r="G11738" s="2" t="inlineStr">
        <is>
          <t>20260617000185</t>
        </is>
      </c>
      <c r="H11738" s="8">
        <f>HYPERLINK("https://dart.fss.or.kr/dsaf001/main.do?rcpNo=20260617000185", "공시열람")</f>
        <v/>
      </c>
    </row>
    <row r="11739">
      <c r="A11739" s="2" t="inlineStr">
        <is>
          <t>2026-06-17</t>
        </is>
      </c>
      <c r="B11739" s="3" t="inlineStr">
        <is>
          <t>키움증권</t>
        </is>
      </c>
      <c r="C11739" s="2" t="inlineStr">
        <is>
          <t>코스피</t>
        </is>
      </c>
      <c r="D11739" s="2" t="inlineStr">
        <is>
          <t>039490</t>
        </is>
      </c>
      <c r="E11739" s="3" t="inlineStr">
        <is>
          <t>일괄신고추가서류(파생결합증권-주가연계증권)</t>
        </is>
      </c>
      <c r="F11739" s="3" t="inlineStr">
        <is>
          <t>키움증권</t>
        </is>
      </c>
      <c r="G11739" s="2" t="inlineStr">
        <is>
          <t>20260617000181</t>
        </is>
      </c>
      <c r="H11739" s="8">
        <f>HYPERLINK("https://dart.fss.or.kr/dsaf001/main.do?rcpNo=20260617000181", "공시열람")</f>
        <v/>
      </c>
    </row>
    <row r="11740">
      <c r="A11740" s="2" t="inlineStr">
        <is>
          <t>2026-06-17</t>
        </is>
      </c>
      <c r="B11740" s="3" t="inlineStr">
        <is>
          <t>LB세미콘</t>
        </is>
      </c>
      <c r="C11740" s="2" t="inlineStr">
        <is>
          <t>코스닥</t>
        </is>
      </c>
      <c r="D11740" s="2" t="inlineStr">
        <is>
          <t>061970</t>
        </is>
      </c>
      <c r="E11740" s="3" t="inlineStr">
        <is>
          <t xml:space="preserve">유상증자1차발행가액결정              </t>
        </is>
      </c>
      <c r="F11740" s="3" t="inlineStr">
        <is>
          <t>LB세미콘</t>
        </is>
      </c>
      <c r="G11740" s="2" t="inlineStr">
        <is>
          <t>20260617900246</t>
        </is>
      </c>
      <c r="H11740" s="8">
        <f>HYPERLINK("https://dart.fss.or.kr/dsaf001/main.do?rcpNo=20260617900246", "공시열람")</f>
        <v/>
      </c>
    </row>
    <row r="11741">
      <c r="A11741" s="2" t="inlineStr">
        <is>
          <t>2026-06-17</t>
        </is>
      </c>
      <c r="B11741" s="3" t="inlineStr">
        <is>
          <t>수프로</t>
        </is>
      </c>
      <c r="C11741" s="2" t="inlineStr">
        <is>
          <t>코넥스</t>
        </is>
      </c>
      <c r="D11741" s="2" t="inlineStr">
        <is>
          <t>185190</t>
        </is>
      </c>
      <c r="E11741" s="3" t="inlineStr">
        <is>
          <t xml:space="preserve">감사보고서제출              </t>
        </is>
      </c>
      <c r="F11741" s="3" t="inlineStr">
        <is>
          <t>수프로</t>
        </is>
      </c>
      <c r="G11741" s="2" t="inlineStr">
        <is>
          <t>20260617600223</t>
        </is>
      </c>
      <c r="H11741" s="8">
        <f>HYPERLINK("https://dart.fss.or.kr/dsaf001/main.do?rcpNo=20260617600223", "공시열람")</f>
        <v/>
      </c>
    </row>
    <row r="11742">
      <c r="A11742" s="2" t="inlineStr">
        <is>
          <t>2026-06-17</t>
        </is>
      </c>
      <c r="B11742" s="3" t="inlineStr">
        <is>
          <t>한솔테크닉스</t>
        </is>
      </c>
      <c r="C11742" s="2" t="inlineStr">
        <is>
          <t>코스피</t>
        </is>
      </c>
      <c r="D11742" s="2" t="inlineStr">
        <is>
          <t>004710</t>
        </is>
      </c>
      <c r="E11742" s="3" t="inlineStr">
        <is>
          <t>합병등종료보고서(자산양수도)</t>
        </is>
      </c>
      <c r="F11742" s="3" t="inlineStr">
        <is>
          <t>한솔테크닉스</t>
        </is>
      </c>
      <c r="G11742" s="2" t="inlineStr">
        <is>
          <t>20260617000176</t>
        </is>
      </c>
      <c r="H11742" s="8">
        <f>HYPERLINK("https://dart.fss.or.kr/dsaf001/main.do?rcpNo=20260617000176", "공시열람")</f>
        <v/>
      </c>
    </row>
    <row r="11743">
      <c r="A11743" s="2" t="inlineStr">
        <is>
          <t>2026-06-17</t>
        </is>
      </c>
      <c r="B11743" s="3" t="inlineStr">
        <is>
          <t>수산아이앤티</t>
        </is>
      </c>
      <c r="C11743" s="2" t="inlineStr">
        <is>
          <t>코스닥</t>
        </is>
      </c>
      <c r="D11743" s="2" t="inlineStr">
        <is>
          <t>050960</t>
        </is>
      </c>
      <c r="E11743" s="3" t="inlineStr">
        <is>
          <t>임원ㆍ주요주주특정증권등거래계획보고서</t>
        </is>
      </c>
      <c r="F11743" s="3" t="inlineStr">
        <is>
          <t>정은아</t>
        </is>
      </c>
      <c r="G11743" s="2" t="inlineStr">
        <is>
          <t>20260617000170</t>
        </is>
      </c>
      <c r="H11743" s="8">
        <f>HYPERLINK("https://dart.fss.or.kr/dsaf001/main.do?rcpNo=20260617000170", "공시열람")</f>
        <v/>
      </c>
    </row>
    <row r="11744">
      <c r="A11744" s="2" t="inlineStr">
        <is>
          <t>2026-06-17</t>
        </is>
      </c>
      <c r="B11744" s="3" t="inlineStr">
        <is>
          <t>한화투자증권</t>
        </is>
      </c>
      <c r="C11744" s="2" t="inlineStr">
        <is>
          <t>코스피</t>
        </is>
      </c>
      <c r="D11744" s="2" t="inlineStr">
        <is>
          <t>003530</t>
        </is>
      </c>
      <c r="E11744" s="3" t="inlineStr">
        <is>
          <t>일괄신고추가서류(파생결합증권-주가연계증권)</t>
        </is>
      </c>
      <c r="F11744" s="3" t="inlineStr">
        <is>
          <t>한화투자증권</t>
        </is>
      </c>
      <c r="G11744" s="2" t="inlineStr">
        <is>
          <t>20260617000166</t>
        </is>
      </c>
      <c r="H11744" s="8">
        <f>HYPERLINK("https://dart.fss.or.kr/dsaf001/main.do?rcpNo=20260617000166", "공시열람")</f>
        <v/>
      </c>
    </row>
    <row r="11745">
      <c r="A11745" s="2" t="inlineStr">
        <is>
          <t>2026-06-17</t>
        </is>
      </c>
      <c r="B11745" s="3" t="inlineStr">
        <is>
          <t>HL만도</t>
        </is>
      </c>
      <c r="C11745" s="2" t="inlineStr">
        <is>
          <t>코스피</t>
        </is>
      </c>
      <c r="D11745" s="2" t="inlineStr">
        <is>
          <t>204320</t>
        </is>
      </c>
      <c r="E11745" s="3" t="inlineStr">
        <is>
          <t xml:space="preserve">지속가능경영보고서등관련사항(자율공시)              </t>
        </is>
      </c>
      <c r="F11745" s="3" t="inlineStr">
        <is>
          <t>HL만도</t>
        </is>
      </c>
      <c r="G11745" s="2" t="inlineStr">
        <is>
          <t>20260617800214</t>
        </is>
      </c>
      <c r="H11745" s="8">
        <f>HYPERLINK("https://dart.fss.or.kr/dsaf001/main.do?rcpNo=20260617800214", "공시열람")</f>
        <v/>
      </c>
    </row>
    <row r="11746">
      <c r="A11746" s="2" t="inlineStr">
        <is>
          <t>2026-06-17</t>
        </is>
      </c>
      <c r="B11746" s="3" t="inlineStr">
        <is>
          <t>월덱스</t>
        </is>
      </c>
      <c r="C11746" s="2" t="inlineStr">
        <is>
          <t>코스닥</t>
        </is>
      </c>
      <c r="D11746" s="2" t="inlineStr">
        <is>
          <t>101160</t>
        </is>
      </c>
      <c r="E11746" s="3" t="inlineStr">
        <is>
          <t xml:space="preserve">기업가치제고계획(자율공시)              </t>
        </is>
      </c>
      <c r="F11746" s="3" t="inlineStr">
        <is>
          <t>월덱스</t>
        </is>
      </c>
      <c r="G11746" s="2" t="inlineStr">
        <is>
          <t>20260617900209</t>
        </is>
      </c>
      <c r="H11746" s="8">
        <f>HYPERLINK("https://dart.fss.or.kr/dsaf001/main.do?rcpNo=20260617900209", "공시열람")</f>
        <v/>
      </c>
    </row>
    <row r="11747">
      <c r="A11747" s="2" t="inlineStr">
        <is>
          <t>2026-06-17</t>
        </is>
      </c>
      <c r="B11747" s="3" t="inlineStr">
        <is>
          <t>교보증권</t>
        </is>
      </c>
      <c r="C11747" s="2" t="inlineStr">
        <is>
          <t>코스피</t>
        </is>
      </c>
      <c r="D11747" s="2" t="inlineStr">
        <is>
          <t>030610</t>
        </is>
      </c>
      <c r="E11747" s="3" t="inlineStr">
        <is>
          <t>투자설명서(일괄신고)</t>
        </is>
      </c>
      <c r="F11747" s="3" t="inlineStr">
        <is>
          <t>교보증권</t>
        </is>
      </c>
      <c r="G11747" s="2" t="inlineStr">
        <is>
          <t>20260617000159</t>
        </is>
      </c>
      <c r="H11747" s="8">
        <f>HYPERLINK("https://dart.fss.or.kr/dsaf001/main.do?rcpNo=20260617000159", "공시열람")</f>
        <v/>
      </c>
    </row>
    <row r="11748">
      <c r="A11748" s="2" t="inlineStr">
        <is>
          <t>2026-06-17</t>
        </is>
      </c>
      <c r="B11748" s="3" t="inlineStr">
        <is>
          <t>HLB제넥스</t>
        </is>
      </c>
      <c r="C11748" s="2" t="inlineStr">
        <is>
          <t>코스닥</t>
        </is>
      </c>
      <c r="D11748" s="2" t="inlineStr">
        <is>
          <t>187420</t>
        </is>
      </c>
      <c r="E11748" s="3" t="inlineStr">
        <is>
          <t>임원ㆍ주요주주특정증권등소유상황보고서</t>
        </is>
      </c>
      <c r="F11748" s="3" t="inlineStr">
        <is>
          <t>진양곤</t>
        </is>
      </c>
      <c r="G11748" s="2" t="inlineStr">
        <is>
          <t>20260617000158</t>
        </is>
      </c>
      <c r="H11748" s="8">
        <f>HYPERLINK("https://dart.fss.or.kr/dsaf001/main.do?rcpNo=20260617000158", "공시열람")</f>
        <v/>
      </c>
    </row>
    <row r="11749">
      <c r="A11749" s="2" t="inlineStr">
        <is>
          <t>2026-06-17</t>
        </is>
      </c>
      <c r="B11749" s="3" t="inlineStr">
        <is>
          <t>유진증권</t>
        </is>
      </c>
      <c r="C11749" s="2" t="inlineStr">
        <is>
          <t>코스피</t>
        </is>
      </c>
      <c r="D11749" s="2" t="inlineStr">
        <is>
          <t>001200</t>
        </is>
      </c>
      <c r="E11749" s="3" t="inlineStr">
        <is>
          <t>투자설명서(일괄신고)</t>
        </is>
      </c>
      <c r="F11749" s="3" t="inlineStr">
        <is>
          <t>유진증권</t>
        </is>
      </c>
      <c r="G11749" s="2" t="inlineStr">
        <is>
          <t>20260617000157</t>
        </is>
      </c>
      <c r="H11749" s="8">
        <f>HYPERLINK("https://dart.fss.or.kr/dsaf001/main.do?rcpNo=20260617000157", "공시열람")</f>
        <v/>
      </c>
    </row>
    <row r="11750">
      <c r="A11750" s="2" t="inlineStr">
        <is>
          <t>2026-06-17</t>
        </is>
      </c>
      <c r="B11750" s="3" t="inlineStr">
        <is>
          <t>패션플랫폼</t>
        </is>
      </c>
      <c r="C11750" s="2" t="inlineStr">
        <is>
          <t>코스닥</t>
        </is>
      </c>
      <c r="D11750" s="2" t="inlineStr">
        <is>
          <t>225590</t>
        </is>
      </c>
      <c r="E11750" s="3" t="inlineStr">
        <is>
          <t>수시공시의무관련사항(공정공시)              (주주가치 제고를 위한 중장기 주주환원정책 안내)</t>
        </is>
      </c>
      <c r="F11750" s="3" t="inlineStr">
        <is>
          <t>패션플랫폼</t>
        </is>
      </c>
      <c r="G11750" s="2" t="inlineStr">
        <is>
          <t>20260617900201</t>
        </is>
      </c>
      <c r="H11750" s="8">
        <f>HYPERLINK("https://dart.fss.or.kr/dsaf001/main.do?rcpNo=20260617900201", "공시열람")</f>
        <v/>
      </c>
    </row>
    <row r="11751">
      <c r="A11751" s="2" t="inlineStr">
        <is>
          <t>2026-06-17</t>
        </is>
      </c>
      <c r="B11751" s="3" t="inlineStr">
        <is>
          <t>에스피소프트</t>
        </is>
      </c>
      <c r="C11751" s="2" t="inlineStr">
        <is>
          <t>코스닥</t>
        </is>
      </c>
      <c r="D11751" s="2" t="inlineStr">
        <is>
          <t>443670</t>
        </is>
      </c>
      <c r="E11751" s="3" t="inlineStr">
        <is>
          <t>임원ㆍ주요주주특정증권등소유상황보고서</t>
        </is>
      </c>
      <c r="F11751" s="3" t="inlineStr">
        <is>
          <t>이은재</t>
        </is>
      </c>
      <c r="G11751" s="2" t="inlineStr">
        <is>
          <t>20260617000154</t>
        </is>
      </c>
      <c r="H11751" s="8">
        <f>HYPERLINK("https://dart.fss.or.kr/dsaf001/main.do?rcpNo=20260617000154", "공시열람")</f>
        <v/>
      </c>
    </row>
    <row r="11752">
      <c r="A11752" s="2" t="inlineStr">
        <is>
          <t>2026-06-17</t>
        </is>
      </c>
      <c r="B11752" s="3" t="inlineStr">
        <is>
          <t>키움증권</t>
        </is>
      </c>
      <c r="C11752" s="2" t="inlineStr">
        <is>
          <t>코스피</t>
        </is>
      </c>
      <c r="D11752" s="2" t="inlineStr">
        <is>
          <t>039490</t>
        </is>
      </c>
      <c r="E11752" s="3" t="inlineStr">
        <is>
          <t>투자설명서(일괄신고)</t>
        </is>
      </c>
      <c r="F11752" s="3" t="inlineStr">
        <is>
          <t>키움증권</t>
        </is>
      </c>
      <c r="G11752" s="2" t="inlineStr">
        <is>
          <t>20260617000152</t>
        </is>
      </c>
      <c r="H11752" s="8">
        <f>HYPERLINK("https://dart.fss.or.kr/dsaf001/main.do?rcpNo=20260617000152", "공시열람")</f>
        <v/>
      </c>
    </row>
    <row r="11753">
      <c r="A11753" s="2" t="inlineStr">
        <is>
          <t>2026-06-17</t>
        </is>
      </c>
      <c r="B11753" s="3" t="inlineStr">
        <is>
          <t>대림통상</t>
        </is>
      </c>
      <c r="C11753" s="2" t="inlineStr">
        <is>
          <t>코스피</t>
        </is>
      </c>
      <c r="D11753" s="2" t="inlineStr">
        <is>
          <t>006570</t>
        </is>
      </c>
      <c r="E11753" s="3" t="inlineStr">
        <is>
          <t>임원ㆍ주요주주특정증권등소유상황보고서</t>
        </is>
      </c>
      <c r="F11753" s="3" t="inlineStr">
        <is>
          <t>디앤디파트너스</t>
        </is>
      </c>
      <c r="G11753" s="2" t="inlineStr">
        <is>
          <t>20260617000151</t>
        </is>
      </c>
      <c r="H11753" s="8">
        <f>HYPERLINK("https://dart.fss.or.kr/dsaf001/main.do?rcpNo=20260617000151", "공시열람")</f>
        <v/>
      </c>
    </row>
    <row r="11754">
      <c r="A11754" s="2" t="inlineStr">
        <is>
          <t>2026-06-17</t>
        </is>
      </c>
      <c r="B11754" s="3" t="inlineStr">
        <is>
          <t>엠게임</t>
        </is>
      </c>
      <c r="C11754" s="2" t="inlineStr">
        <is>
          <t>코스닥</t>
        </is>
      </c>
      <c r="D11754" s="2" t="inlineStr">
        <is>
          <t>058630</t>
        </is>
      </c>
      <c r="E11754" s="3" t="inlineStr">
        <is>
          <t xml:space="preserve">중간(분기)배당을위한주주명부폐쇄(기준일)결정              </t>
        </is>
      </c>
      <c r="F11754" s="3" t="inlineStr">
        <is>
          <t>엠게임</t>
        </is>
      </c>
      <c r="G11754" s="2" t="inlineStr">
        <is>
          <t>20260617900192</t>
        </is>
      </c>
      <c r="H11754" s="8">
        <f>HYPERLINK("https://dart.fss.or.kr/dsaf001/main.do?rcpNo=20260617900192", "공시열람")</f>
        <v/>
      </c>
    </row>
    <row r="11755">
      <c r="A11755" s="2" t="inlineStr">
        <is>
          <t>2026-06-17</t>
        </is>
      </c>
      <c r="B11755" s="3" t="inlineStr">
        <is>
          <t>와이바이오로직스</t>
        </is>
      </c>
      <c r="C11755" s="2" t="inlineStr">
        <is>
          <t>코스닥</t>
        </is>
      </c>
      <c r="D11755" s="2" t="inlineStr">
        <is>
          <t>338840</t>
        </is>
      </c>
      <c r="E11755" s="3" t="inlineStr">
        <is>
          <t>임원ㆍ주요주주특정증권등소유상황보고서</t>
        </is>
      </c>
      <c r="F11755" s="3" t="inlineStr">
        <is>
          <t>박영우</t>
        </is>
      </c>
      <c r="G11755" s="2" t="inlineStr">
        <is>
          <t>20260617000149</t>
        </is>
      </c>
      <c r="H11755" s="8">
        <f>HYPERLINK("https://dart.fss.or.kr/dsaf001/main.do?rcpNo=20260617000149", "공시열람")</f>
        <v/>
      </c>
    </row>
    <row r="11756">
      <c r="A11756" s="2" t="inlineStr">
        <is>
          <t>2026-06-17</t>
        </is>
      </c>
      <c r="B11756" s="3" t="inlineStr">
        <is>
          <t>유진증권</t>
        </is>
      </c>
      <c r="C11756" s="2" t="inlineStr">
        <is>
          <t>코스피</t>
        </is>
      </c>
      <c r="D11756" s="2" t="inlineStr">
        <is>
          <t>001200</t>
        </is>
      </c>
      <c r="E11756" s="3" t="inlineStr">
        <is>
          <t>일괄신고추가서류(파생결합증권-주가연계증권)</t>
        </is>
      </c>
      <c r="F11756" s="3" t="inlineStr">
        <is>
          <t>유진증권</t>
        </is>
      </c>
      <c r="G11756" s="2" t="inlineStr">
        <is>
          <t>20260617000147</t>
        </is>
      </c>
      <c r="H11756" s="8">
        <f>HYPERLINK("https://dart.fss.or.kr/dsaf001/main.do?rcpNo=20260617000147", "공시열람")</f>
        <v/>
      </c>
    </row>
    <row r="11757">
      <c r="A11757" s="2" t="inlineStr">
        <is>
          <t>2026-06-17</t>
        </is>
      </c>
      <c r="B11757" s="3" t="inlineStr">
        <is>
          <t>한선엔지니어링</t>
        </is>
      </c>
      <c r="C11757" s="2" t="inlineStr">
        <is>
          <t>코스닥</t>
        </is>
      </c>
      <c r="D11757" s="2" t="inlineStr">
        <is>
          <t>452280</t>
        </is>
      </c>
      <c r="E11757" s="3" t="inlineStr">
        <is>
          <t>임원ㆍ주요주주특정증권등거래계획철회보고서</t>
        </is>
      </c>
      <c r="F11757" s="3" t="inlineStr">
        <is>
          <t>한국선재</t>
        </is>
      </c>
      <c r="G11757" s="2" t="inlineStr">
        <is>
          <t>20260617000145</t>
        </is>
      </c>
      <c r="H11757" s="8">
        <f>HYPERLINK("https://dart.fss.or.kr/dsaf001/main.do?rcpNo=20260617000145", "공시열람")</f>
        <v/>
      </c>
    </row>
    <row r="11758">
      <c r="A11758" s="2" t="inlineStr">
        <is>
          <t>2026-06-17</t>
        </is>
      </c>
      <c r="B11758" s="3" t="inlineStr">
        <is>
          <t>한화투자증권</t>
        </is>
      </c>
      <c r="C11758" s="2" t="inlineStr">
        <is>
          <t>코스피</t>
        </is>
      </c>
      <c r="D11758" s="2" t="inlineStr">
        <is>
          <t>003530</t>
        </is>
      </c>
      <c r="E11758" s="3" t="inlineStr">
        <is>
          <t>일괄신고추가서류(파생결합사채-주가연계파생결합사채)</t>
        </is>
      </c>
      <c r="F11758" s="3" t="inlineStr">
        <is>
          <t>한화투자증권</t>
        </is>
      </c>
      <c r="G11758" s="2" t="inlineStr">
        <is>
          <t>20260617000140</t>
        </is>
      </c>
      <c r="H11758" s="8">
        <f>HYPERLINK("https://dart.fss.or.kr/dsaf001/main.do?rcpNo=20260617000140", "공시열람")</f>
        <v/>
      </c>
    </row>
    <row r="11759">
      <c r="A11759" s="2" t="inlineStr">
        <is>
          <t>2026-06-17</t>
        </is>
      </c>
      <c r="B11759" s="3" t="inlineStr">
        <is>
          <t>엑셈</t>
        </is>
      </c>
      <c r="C11759" s="2" t="inlineStr">
        <is>
          <t>코스닥</t>
        </is>
      </c>
      <c r="D11759" s="2" t="inlineStr">
        <is>
          <t>205100</t>
        </is>
      </c>
      <c r="E11759" s="3" t="inlineStr">
        <is>
          <t>임원ㆍ주요주주특정증권등소유상황보고서</t>
        </is>
      </c>
      <c r="F11759" s="3" t="inlineStr">
        <is>
          <t>조종암</t>
        </is>
      </c>
      <c r="G11759" s="2" t="inlineStr">
        <is>
          <t>20260617000139</t>
        </is>
      </c>
      <c r="H11759" s="8">
        <f>HYPERLINK("https://dart.fss.or.kr/dsaf001/main.do?rcpNo=20260617000139", "공시열람")</f>
        <v/>
      </c>
    </row>
    <row r="11760">
      <c r="A11760" s="2" t="inlineStr">
        <is>
          <t>2026-06-17</t>
        </is>
      </c>
      <c r="B11760" s="3" t="inlineStr">
        <is>
          <t>스튜디오삼익</t>
        </is>
      </c>
      <c r="C11760" s="2" t="inlineStr">
        <is>
          <t>코스닥</t>
        </is>
      </c>
      <c r="D11760" s="2" t="inlineStr">
        <is>
          <t>415380</t>
        </is>
      </c>
      <c r="E11760" s="3" t="inlineStr">
        <is>
          <t>임원ㆍ주요주주특정증권등소유상황보고서</t>
        </is>
      </c>
      <c r="F11760" s="3" t="inlineStr">
        <is>
          <t>최정석</t>
        </is>
      </c>
      <c r="G11760" s="2" t="inlineStr">
        <is>
          <t>20260617000136</t>
        </is>
      </c>
      <c r="H11760" s="8">
        <f>HYPERLINK("https://dart.fss.or.kr/dsaf001/main.do?rcpNo=20260617000136", "공시열람")</f>
        <v/>
      </c>
    </row>
    <row r="11761">
      <c r="A11761" s="2" t="inlineStr">
        <is>
          <t>2026-06-17</t>
        </is>
      </c>
      <c r="B11761" s="3" t="inlineStr">
        <is>
          <t>키움증권</t>
        </is>
      </c>
      <c r="C11761" s="2" t="inlineStr">
        <is>
          <t>코스피</t>
        </is>
      </c>
      <c r="D11761" s="2" t="inlineStr">
        <is>
          <t>039490</t>
        </is>
      </c>
      <c r="E11761" s="3" t="inlineStr">
        <is>
          <t>일괄신고추가서류(파생결합사채-주가연계파생결합사채)</t>
        </is>
      </c>
      <c r="F11761" s="3" t="inlineStr">
        <is>
          <t>키움증권</t>
        </is>
      </c>
      <c r="G11761" s="2" t="inlineStr">
        <is>
          <t>20260617000135</t>
        </is>
      </c>
      <c r="H11761" s="8">
        <f>HYPERLINK("https://dart.fss.or.kr/dsaf001/main.do?rcpNo=20260617000135", "공시열람")</f>
        <v/>
      </c>
    </row>
    <row r="11762">
      <c r="A11762" s="2" t="inlineStr">
        <is>
          <t>2026-06-17</t>
        </is>
      </c>
      <c r="B11762" s="3" t="inlineStr">
        <is>
          <t>아이티센글로벌</t>
        </is>
      </c>
      <c r="C11762" s="2" t="inlineStr">
        <is>
          <t>코스닥</t>
        </is>
      </c>
      <c r="D11762" s="2" t="inlineStr">
        <is>
          <t>124500</t>
        </is>
      </c>
      <c r="E11762" s="3" t="inlineStr">
        <is>
          <t xml:space="preserve">기업설명회(IR)개최              </t>
        </is>
      </c>
      <c r="F11762" s="3" t="inlineStr">
        <is>
          <t>아이티센글로벌</t>
        </is>
      </c>
      <c r="G11762" s="2" t="inlineStr">
        <is>
          <t>20260617900167</t>
        </is>
      </c>
      <c r="H11762" s="8">
        <f>HYPERLINK("https://dart.fss.or.kr/dsaf001/main.do?rcpNo=20260617900167", "공시열람")</f>
        <v/>
      </c>
    </row>
    <row r="11763">
      <c r="A11763" s="2" t="inlineStr">
        <is>
          <t>2026-06-17</t>
        </is>
      </c>
      <c r="B11763" s="3" t="inlineStr">
        <is>
          <t>핸즈코퍼레이션</t>
        </is>
      </c>
      <c r="C11763" s="2" t="inlineStr">
        <is>
          <t>코스피</t>
        </is>
      </c>
      <c r="D11763" s="2" t="inlineStr">
        <is>
          <t>143210</t>
        </is>
      </c>
      <c r="E11763" s="3" t="inlineStr">
        <is>
          <t xml:space="preserve">유상증자또는주식관련사채등의발행결과(자율공시)              </t>
        </is>
      </c>
      <c r="F11763" s="3" t="inlineStr">
        <is>
          <t>핸즈코퍼레이션</t>
        </is>
      </c>
      <c r="G11763" s="2" t="inlineStr">
        <is>
          <t>20260617800175</t>
        </is>
      </c>
      <c r="H11763" s="8">
        <f>HYPERLINK("https://dart.fss.or.kr/dsaf001/main.do?rcpNo=20260617800175", "공시열람")</f>
        <v/>
      </c>
    </row>
    <row r="11764">
      <c r="A11764" s="2" t="inlineStr">
        <is>
          <t>2026-06-17</t>
        </is>
      </c>
      <c r="B11764" s="3" t="inlineStr">
        <is>
          <t>대신증권</t>
        </is>
      </c>
      <c r="C11764" s="2" t="inlineStr">
        <is>
          <t>코스피</t>
        </is>
      </c>
      <c r="D11764" s="2" t="inlineStr">
        <is>
          <t>003540</t>
        </is>
      </c>
      <c r="E11764" s="3" t="inlineStr">
        <is>
          <t>일괄신고추가서류(파생결합사채-주가연계파생결합사채)</t>
        </is>
      </c>
      <c r="F11764" s="3" t="inlineStr">
        <is>
          <t>대신증권</t>
        </is>
      </c>
      <c r="G11764" s="2" t="inlineStr">
        <is>
          <t>20260617000128</t>
        </is>
      </c>
      <c r="H11764" s="8">
        <f>HYPERLINK("https://dart.fss.or.kr/dsaf001/main.do?rcpNo=20260617000128", "공시열람")</f>
        <v/>
      </c>
    </row>
    <row r="11765">
      <c r="A11765" s="2" t="inlineStr">
        <is>
          <t>2026-06-17</t>
        </is>
      </c>
      <c r="B11765" s="3" t="inlineStr">
        <is>
          <t>나우로보틱스</t>
        </is>
      </c>
      <c r="C11765" s="2" t="inlineStr">
        <is>
          <t>코스닥</t>
        </is>
      </c>
      <c r="D11765" s="2" t="inlineStr">
        <is>
          <t>459510</t>
        </is>
      </c>
      <c r="E11765" s="3" t="inlineStr">
        <is>
          <t xml:space="preserve">기업설명회(IR)개최              </t>
        </is>
      </c>
      <c r="F11765" s="3" t="inlineStr">
        <is>
          <t>나우로보틱스</t>
        </is>
      </c>
      <c r="G11765" s="2" t="inlineStr">
        <is>
          <t>20260617900154</t>
        </is>
      </c>
      <c r="H11765" s="8">
        <f>HYPERLINK("https://dart.fss.or.kr/dsaf001/main.do?rcpNo=20260617900154", "공시열람")</f>
        <v/>
      </c>
    </row>
    <row r="11766">
      <c r="A11766" s="2" t="inlineStr">
        <is>
          <t>2026-06-17</t>
        </is>
      </c>
      <c r="B11766" s="3" t="inlineStr">
        <is>
          <t>에스테크엠</t>
        </is>
      </c>
      <c r="C11766" s="2" t="inlineStr">
        <is>
          <t>코넥스</t>
        </is>
      </c>
      <c r="D11766" s="2" t="inlineStr">
        <is>
          <t>0070X0</t>
        </is>
      </c>
      <c r="E11766" s="3" t="inlineStr">
        <is>
          <t xml:space="preserve">기업설명회(IR)개최결과              </t>
        </is>
      </c>
      <c r="F11766" s="3" t="inlineStr">
        <is>
          <t>에스테크엠</t>
        </is>
      </c>
      <c r="G11766" s="2" t="inlineStr">
        <is>
          <t>20260617600161</t>
        </is>
      </c>
      <c r="H11766" s="8">
        <f>HYPERLINK("https://dart.fss.or.kr/dsaf001/main.do?rcpNo=20260617600161", "공시열람")</f>
        <v/>
      </c>
    </row>
    <row r="11767">
      <c r="A11767" s="2" t="inlineStr">
        <is>
          <t>2026-06-17</t>
        </is>
      </c>
      <c r="B11767" s="3" t="inlineStr">
        <is>
          <t>나노실리칸첨단소재</t>
        </is>
      </c>
      <c r="C11767" s="2" t="inlineStr">
        <is>
          <t>코스닥</t>
        </is>
      </c>
      <c r="D11767" s="2" t="inlineStr">
        <is>
          <t>286750</t>
        </is>
      </c>
      <c r="E11767" s="3" t="inlineStr">
        <is>
          <t>의결권대리행사권유참고서류</t>
        </is>
      </c>
      <c r="F11767" s="3" t="inlineStr">
        <is>
          <t>나노실리칸첨단소재</t>
        </is>
      </c>
      <c r="G11767" s="2" t="inlineStr">
        <is>
          <t>20260617000117</t>
        </is>
      </c>
      <c r="H11767" s="8">
        <f>HYPERLINK("https://dart.fss.or.kr/dsaf001/main.do?rcpNo=20260617000117", "공시열람")</f>
        <v/>
      </c>
    </row>
    <row r="11768">
      <c r="A11768" s="2" t="inlineStr">
        <is>
          <t>2026-06-17</t>
        </is>
      </c>
      <c r="B11768" s="3" t="inlineStr">
        <is>
          <t>대신증권</t>
        </is>
      </c>
      <c r="C11768" s="2" t="inlineStr">
        <is>
          <t>코스피</t>
        </is>
      </c>
      <c r="D11768" s="2" t="inlineStr">
        <is>
          <t>003540</t>
        </is>
      </c>
      <c r="E11768" s="3" t="inlineStr">
        <is>
          <t>투자설명서(일괄신고)</t>
        </is>
      </c>
      <c r="F11768" s="3" t="inlineStr">
        <is>
          <t>대신증권</t>
        </is>
      </c>
      <c r="G11768" s="2" t="inlineStr">
        <is>
          <t>20260617000113</t>
        </is>
      </c>
      <c r="H11768" s="8">
        <f>HYPERLINK("https://dart.fss.or.kr/dsaf001/main.do?rcpNo=20260617000113", "공시열람")</f>
        <v/>
      </c>
    </row>
    <row r="11769">
      <c r="A11769" s="2" t="inlineStr">
        <is>
          <t>2026-06-17</t>
        </is>
      </c>
      <c r="B11769" s="3" t="inlineStr">
        <is>
          <t>삼성증권</t>
        </is>
      </c>
      <c r="C11769" s="2" t="inlineStr">
        <is>
          <t>코스피</t>
        </is>
      </c>
      <c r="D11769" s="2" t="inlineStr">
        <is>
          <t>016360</t>
        </is>
      </c>
      <c r="E11769" s="3" t="inlineStr">
        <is>
          <t>증권발행실적보고서</t>
        </is>
      </c>
      <c r="F11769" s="3" t="inlineStr">
        <is>
          <t>삼성증권</t>
        </is>
      </c>
      <c r="G11769" s="2" t="inlineStr">
        <is>
          <t>20260617000106</t>
        </is>
      </c>
      <c r="H11769" s="8">
        <f>HYPERLINK("https://dart.fss.or.kr/dsaf001/main.do?rcpNo=20260617000106", "공시열람")</f>
        <v/>
      </c>
    </row>
    <row r="11770">
      <c r="A11770" s="2" t="inlineStr">
        <is>
          <t>2026-06-17</t>
        </is>
      </c>
      <c r="B11770" s="3" t="inlineStr">
        <is>
          <t>대신증권</t>
        </is>
      </c>
      <c r="C11770" s="2" t="inlineStr">
        <is>
          <t>코스피</t>
        </is>
      </c>
      <c r="D11770" s="2" t="inlineStr">
        <is>
          <t>003540</t>
        </is>
      </c>
      <c r="E11770" s="3" t="inlineStr">
        <is>
          <t>일괄신고추가서류(파생결합사채-주가연계파생결합사채)</t>
        </is>
      </c>
      <c r="F11770" s="3" t="inlineStr">
        <is>
          <t>대신증권</t>
        </is>
      </c>
      <c r="G11770" s="2" t="inlineStr">
        <is>
          <t>20260617000104</t>
        </is>
      </c>
      <c r="H11770" s="8">
        <f>HYPERLINK("https://dart.fss.or.kr/dsaf001/main.do?rcpNo=20260617000104", "공시열람")</f>
        <v/>
      </c>
    </row>
    <row r="11771">
      <c r="A11771" s="2" t="inlineStr">
        <is>
          <t>2026-06-17</t>
        </is>
      </c>
      <c r="B11771" s="3" t="inlineStr">
        <is>
          <t>엔케이</t>
        </is>
      </c>
      <c r="C11771" s="2" t="inlineStr">
        <is>
          <t>코스피</t>
        </is>
      </c>
      <c r="D11771" s="2" t="inlineStr">
        <is>
          <t>085310</t>
        </is>
      </c>
      <c r="E11771" s="3" t="inlineStr">
        <is>
          <t>임원ㆍ주요주주특정증권등소유상황보고서</t>
        </is>
      </c>
      <c r="F11771" s="3" t="inlineStr">
        <is>
          <t>더세이프티</t>
        </is>
      </c>
      <c r="G11771" s="2" t="inlineStr">
        <is>
          <t>20260617000103</t>
        </is>
      </c>
      <c r="H11771" s="8">
        <f>HYPERLINK("https://dart.fss.or.kr/dsaf001/main.do?rcpNo=20260617000103", "공시열람")</f>
        <v/>
      </c>
    </row>
    <row r="11772">
      <c r="A11772" s="2" t="inlineStr">
        <is>
          <t>2026-06-17</t>
        </is>
      </c>
      <c r="B11772" s="3" t="inlineStr">
        <is>
          <t>교보증권</t>
        </is>
      </c>
      <c r="C11772" s="2" t="inlineStr">
        <is>
          <t>코스피</t>
        </is>
      </c>
      <c r="D11772" s="2" t="inlineStr">
        <is>
          <t>030610</t>
        </is>
      </c>
      <c r="E11772" s="3" t="inlineStr">
        <is>
          <t>일괄신고추가서류(파생결합사채-주가연계파생결합사채)</t>
        </is>
      </c>
      <c r="F11772" s="3" t="inlineStr">
        <is>
          <t>교보증권</t>
        </is>
      </c>
      <c r="G11772" s="2" t="inlineStr">
        <is>
          <t>20260617000102</t>
        </is>
      </c>
      <c r="H11772" s="8">
        <f>HYPERLINK("https://dart.fss.or.kr/dsaf001/main.do?rcpNo=20260617000102", "공시열람")</f>
        <v/>
      </c>
    </row>
    <row r="11773">
      <c r="A11773" s="2" t="inlineStr">
        <is>
          <t>2026-06-17</t>
        </is>
      </c>
      <c r="B11773" s="3" t="inlineStr">
        <is>
          <t>세미티에스</t>
        </is>
      </c>
      <c r="C11773" s="2" t="inlineStr">
        <is>
          <t>코스닥</t>
        </is>
      </c>
      <c r="D11773" s="2" t="inlineStr">
        <is>
          <t>0017J0</t>
        </is>
      </c>
      <c r="E11773" s="3" t="inlineStr">
        <is>
          <t>임원ㆍ주요주주특정증권등소유상황보고서</t>
        </is>
      </c>
      <c r="F11773" s="3" t="inlineStr">
        <is>
          <t>민남홍</t>
        </is>
      </c>
      <c r="G11773" s="2" t="inlineStr">
        <is>
          <t>20260617000098</t>
        </is>
      </c>
      <c r="H11773" s="8">
        <f>HYPERLINK("https://dart.fss.or.kr/dsaf001/main.do?rcpNo=20260617000098", "공시열람")</f>
        <v/>
      </c>
    </row>
    <row r="11774">
      <c r="A11774" s="2" t="inlineStr">
        <is>
          <t>2026-06-17</t>
        </is>
      </c>
      <c r="B11774" s="3" t="inlineStr">
        <is>
          <t>삼성증권</t>
        </is>
      </c>
      <c r="C11774" s="2" t="inlineStr">
        <is>
          <t>코스피</t>
        </is>
      </c>
      <c r="D11774" s="2" t="inlineStr">
        <is>
          <t>016360</t>
        </is>
      </c>
      <c r="E11774" s="3" t="inlineStr">
        <is>
          <t>투자설명서(일괄신고)</t>
        </is>
      </c>
      <c r="F11774" s="3" t="inlineStr">
        <is>
          <t>삼성증권</t>
        </is>
      </c>
      <c r="G11774" s="2" t="inlineStr">
        <is>
          <t>20260617000092</t>
        </is>
      </c>
      <c r="H11774" s="8">
        <f>HYPERLINK("https://dart.fss.or.kr/dsaf001/main.do?rcpNo=20260617000092", "공시열람")</f>
        <v/>
      </c>
    </row>
    <row r="11775">
      <c r="A11775" s="2" t="inlineStr">
        <is>
          <t>2026-06-17</t>
        </is>
      </c>
      <c r="B11775" s="3" t="inlineStr">
        <is>
          <t>천보</t>
        </is>
      </c>
      <c r="C11775" s="2" t="inlineStr">
        <is>
          <t>코스닥</t>
        </is>
      </c>
      <c r="D11775" s="2" t="inlineStr">
        <is>
          <t>278280</t>
        </is>
      </c>
      <c r="E11775" s="3" t="inlineStr">
        <is>
          <t>임원ㆍ주요주주특정증권등소유상황보고서</t>
        </is>
      </c>
      <c r="F11775" s="3" t="inlineStr">
        <is>
          <t>이근필</t>
        </is>
      </c>
      <c r="G11775" s="2" t="inlineStr">
        <is>
          <t>20260617000091</t>
        </is>
      </c>
      <c r="H11775" s="8">
        <f>HYPERLINK("https://dart.fss.or.kr/dsaf001/main.do?rcpNo=20260617000091", "공시열람")</f>
        <v/>
      </c>
    </row>
    <row r="11776">
      <c r="A11776" s="2" t="inlineStr">
        <is>
          <t>2026-06-17</t>
        </is>
      </c>
      <c r="B11776" s="3" t="inlineStr">
        <is>
          <t>메디톡스</t>
        </is>
      </c>
      <c r="C11776" s="2" t="inlineStr">
        <is>
          <t>코스닥</t>
        </is>
      </c>
      <c r="D11776" s="2" t="inlineStr">
        <is>
          <t>086900</t>
        </is>
      </c>
      <c r="E11776" s="3" t="inlineStr">
        <is>
          <t>자기주식취득결과보고서</t>
        </is>
      </c>
      <c r="F11776" s="3" t="inlineStr">
        <is>
          <t>메디톡스</t>
        </is>
      </c>
      <c r="G11776" s="2" t="inlineStr">
        <is>
          <t>20260617000088</t>
        </is>
      </c>
      <c r="H11776" s="8">
        <f>HYPERLINK("https://dart.fss.or.kr/dsaf001/main.do?rcpNo=20260617000088", "공시열람")</f>
        <v/>
      </c>
    </row>
    <row r="11777">
      <c r="A11777" s="2" t="inlineStr">
        <is>
          <t>2026-06-17</t>
        </is>
      </c>
      <c r="B11777" s="3" t="inlineStr">
        <is>
          <t>일진파워</t>
        </is>
      </c>
      <c r="C11777" s="2" t="inlineStr">
        <is>
          <t>코스닥</t>
        </is>
      </c>
      <c r="D11777" s="2" t="inlineStr">
        <is>
          <t>094820</t>
        </is>
      </c>
      <c r="E11777" s="3" t="inlineStr">
        <is>
          <t>임원ㆍ주요주주특정증권등소유상황보고서</t>
        </is>
      </c>
      <c r="F11777" s="3" t="inlineStr">
        <is>
          <t>이상업</t>
        </is>
      </c>
      <c r="G11777" s="2" t="inlineStr">
        <is>
          <t>20260617000087</t>
        </is>
      </c>
      <c r="H11777" s="8">
        <f>HYPERLINK("https://dart.fss.or.kr/dsaf001/main.do?rcpNo=20260617000087", "공시열람")</f>
        <v/>
      </c>
    </row>
    <row r="11778">
      <c r="A11778" s="2" t="inlineStr">
        <is>
          <t>2026-06-17</t>
        </is>
      </c>
      <c r="B11778" s="3" t="inlineStr">
        <is>
          <t>삼성증권</t>
        </is>
      </c>
      <c r="C11778" s="2" t="inlineStr">
        <is>
          <t>코스피</t>
        </is>
      </c>
      <c r="D11778" s="2" t="inlineStr">
        <is>
          <t>016360</t>
        </is>
      </c>
      <c r="E11778" s="3" t="inlineStr">
        <is>
          <t>일괄신고추가서류(파생결합사채-주가연계파생결합사채)</t>
        </is>
      </c>
      <c r="F11778" s="3" t="inlineStr">
        <is>
          <t>삼성증권</t>
        </is>
      </c>
      <c r="G11778" s="2" t="inlineStr">
        <is>
          <t>20260617000086</t>
        </is>
      </c>
      <c r="H11778" s="8">
        <f>HYPERLINK("https://dart.fss.or.kr/dsaf001/main.do?rcpNo=20260617000086", "공시열람")</f>
        <v/>
      </c>
    </row>
    <row r="11779">
      <c r="A11779" s="2" t="inlineStr">
        <is>
          <t>2026-06-17</t>
        </is>
      </c>
      <c r="B11779" s="3" t="inlineStr">
        <is>
          <t>메타랩스</t>
        </is>
      </c>
      <c r="C11779" s="2" t="inlineStr">
        <is>
          <t>코스피</t>
        </is>
      </c>
      <c r="D11779" s="2" t="inlineStr">
        <is>
          <t>090370</t>
        </is>
      </c>
      <c r="E11779" s="3" t="inlineStr">
        <is>
          <t xml:space="preserve">유상증자또는주식관련사채등의발행결과(자율공시)              </t>
        </is>
      </c>
      <c r="F11779" s="3" t="inlineStr">
        <is>
          <t>메타랩스</t>
        </is>
      </c>
      <c r="G11779" s="2" t="inlineStr">
        <is>
          <t>20260617800112</t>
        </is>
      </c>
      <c r="H11779" s="8">
        <f>HYPERLINK("https://dart.fss.or.kr/dsaf001/main.do?rcpNo=20260617800112", "공시열람")</f>
        <v/>
      </c>
    </row>
    <row r="11780">
      <c r="A11780" s="2" t="inlineStr">
        <is>
          <t>2026-06-17</t>
        </is>
      </c>
      <c r="B11780" s="3" t="inlineStr">
        <is>
          <t>현대차증권</t>
        </is>
      </c>
      <c r="C11780" s="2" t="inlineStr">
        <is>
          <t>코스피</t>
        </is>
      </c>
      <c r="D11780" s="2" t="inlineStr">
        <is>
          <t>001500</t>
        </is>
      </c>
      <c r="E11780" s="3" t="inlineStr">
        <is>
          <t>투자설명서(일괄신고)</t>
        </is>
      </c>
      <c r="F11780" s="3" t="inlineStr">
        <is>
          <t>현대차증권</t>
        </is>
      </c>
      <c r="G11780" s="2" t="inlineStr">
        <is>
          <t>20260617000075</t>
        </is>
      </c>
      <c r="H11780" s="8">
        <f>HYPERLINK("https://dart.fss.or.kr/dsaf001/main.do?rcpNo=20260617000075", "공시열람")</f>
        <v/>
      </c>
    </row>
    <row r="11781">
      <c r="A11781" s="2" t="inlineStr">
        <is>
          <t>2026-06-17</t>
        </is>
      </c>
      <c r="B11781" s="3" t="inlineStr">
        <is>
          <t>엔젯</t>
        </is>
      </c>
      <c r="C11781" s="2" t="inlineStr">
        <is>
          <t>코스닥</t>
        </is>
      </c>
      <c r="D11781" s="2" t="inlineStr">
        <is>
          <t>419080</t>
        </is>
      </c>
      <c r="E11781" s="3" t="inlineStr">
        <is>
          <t>임원ㆍ주요주주특정증권등소유상황보고서</t>
        </is>
      </c>
      <c r="F11781" s="3" t="inlineStr">
        <is>
          <t>변도영</t>
        </is>
      </c>
      <c r="G11781" s="2" t="inlineStr">
        <is>
          <t>20260617000068</t>
        </is>
      </c>
      <c r="H11781" s="8">
        <f>HYPERLINK("https://dart.fss.or.kr/dsaf001/main.do?rcpNo=20260617000068", "공시열람")</f>
        <v/>
      </c>
    </row>
    <row r="11782">
      <c r="A11782" s="2" t="inlineStr">
        <is>
          <t>2026-06-17</t>
        </is>
      </c>
      <c r="B11782" s="3" t="inlineStr">
        <is>
          <t>미래에셋증권</t>
        </is>
      </c>
      <c r="C11782" s="2" t="inlineStr">
        <is>
          <t>코스피</t>
        </is>
      </c>
      <c r="D11782" s="2" t="inlineStr">
        <is>
          <t>006800</t>
        </is>
      </c>
      <c r="E11782" s="3" t="inlineStr">
        <is>
          <t>투자설명서(일괄신고)</t>
        </is>
      </c>
      <c r="F11782" s="3" t="inlineStr">
        <is>
          <t>미래에셋증권</t>
        </is>
      </c>
      <c r="G11782" s="2" t="inlineStr">
        <is>
          <t>20260617000067</t>
        </is>
      </c>
      <c r="H11782" s="8">
        <f>HYPERLINK("https://dart.fss.or.kr/dsaf001/main.do?rcpNo=20260617000067", "공시열람")</f>
        <v/>
      </c>
    </row>
    <row r="11783">
      <c r="A11783" s="2" t="inlineStr">
        <is>
          <t>2026-06-17</t>
        </is>
      </c>
      <c r="B11783" s="3" t="inlineStr">
        <is>
          <t>키움증권</t>
        </is>
      </c>
      <c r="C11783" s="2" t="inlineStr">
        <is>
          <t>코스피</t>
        </is>
      </c>
      <c r="D11783" s="2" t="inlineStr">
        <is>
          <t>039490</t>
        </is>
      </c>
      <c r="E11783" s="3" t="inlineStr">
        <is>
          <t>일괄신고추가서류(파생결합사채-주가연계파생결합사채)</t>
        </is>
      </c>
      <c r="F11783" s="3" t="inlineStr">
        <is>
          <t>키움증권</t>
        </is>
      </c>
      <c r="G11783" s="2" t="inlineStr">
        <is>
          <t>20260617000066</t>
        </is>
      </c>
      <c r="H11783" s="8">
        <f>HYPERLINK("https://dart.fss.or.kr/dsaf001/main.do?rcpNo=20260617000066", "공시열람")</f>
        <v/>
      </c>
    </row>
    <row r="11784">
      <c r="A11784" s="2" t="inlineStr">
        <is>
          <t>2026-06-17</t>
        </is>
      </c>
      <c r="B11784" s="3" t="inlineStr">
        <is>
          <t>현대차증권</t>
        </is>
      </c>
      <c r="C11784" s="2" t="inlineStr">
        <is>
          <t>코스피</t>
        </is>
      </c>
      <c r="D11784" s="2" t="inlineStr">
        <is>
          <t>001500</t>
        </is>
      </c>
      <c r="E11784" s="3" t="inlineStr">
        <is>
          <t>일괄신고추가서류(파생결합사채-주가연계파생결합사채)</t>
        </is>
      </c>
      <c r="F11784" s="3" t="inlineStr">
        <is>
          <t>현대차증권</t>
        </is>
      </c>
      <c r="G11784" s="2" t="inlineStr">
        <is>
          <t>20260617000064</t>
        </is>
      </c>
      <c r="H11784" s="8">
        <f>HYPERLINK("https://dart.fss.or.kr/dsaf001/main.do?rcpNo=20260617000064", "공시열람")</f>
        <v/>
      </c>
    </row>
    <row r="11785">
      <c r="A11785" s="2" t="inlineStr">
        <is>
          <t>2026-06-17</t>
        </is>
      </c>
      <c r="B11785" s="3" t="inlineStr">
        <is>
          <t>NH투자증권</t>
        </is>
      </c>
      <c r="C11785" s="2" t="inlineStr">
        <is>
          <t>코스피</t>
        </is>
      </c>
      <c r="D11785" s="2" t="inlineStr">
        <is>
          <t>005940</t>
        </is>
      </c>
      <c r="E11785" s="3" t="inlineStr">
        <is>
          <t>투자설명서(일괄신고)</t>
        </is>
      </c>
      <c r="F11785" s="3" t="inlineStr">
        <is>
          <t>NH투자증권</t>
        </is>
      </c>
      <c r="G11785" s="2" t="inlineStr">
        <is>
          <t>20260617000057</t>
        </is>
      </c>
      <c r="H11785" s="8">
        <f>HYPERLINK("https://dart.fss.or.kr/dsaf001/main.do?rcpNo=20260617000057", "공시열람")</f>
        <v/>
      </c>
    </row>
    <row r="11786">
      <c r="A11786" s="2" t="inlineStr">
        <is>
          <t>2026-06-17</t>
        </is>
      </c>
      <c r="B11786" s="3" t="inlineStr">
        <is>
          <t>키움증권</t>
        </is>
      </c>
      <c r="C11786" s="2" t="inlineStr">
        <is>
          <t>코스피</t>
        </is>
      </c>
      <c r="D11786" s="2" t="inlineStr">
        <is>
          <t>039490</t>
        </is>
      </c>
      <c r="E11786" s="3" t="inlineStr">
        <is>
          <t>일괄신고추가서류(파생결합증권-주가연계증권)</t>
        </is>
      </c>
      <c r="F11786" s="3" t="inlineStr">
        <is>
          <t>키움증권</t>
        </is>
      </c>
      <c r="G11786" s="2" t="inlineStr">
        <is>
          <t>20260617000051</t>
        </is>
      </c>
      <c r="H11786" s="8">
        <f>HYPERLINK("https://dart.fss.or.kr/dsaf001/main.do?rcpNo=20260617000051", "공시열람")</f>
        <v/>
      </c>
    </row>
    <row r="11787">
      <c r="A11787" s="2" t="inlineStr">
        <is>
          <t>2026-06-17</t>
        </is>
      </c>
      <c r="B11787" s="3" t="inlineStr">
        <is>
          <t>삼성증권</t>
        </is>
      </c>
      <c r="C11787" s="2" t="inlineStr">
        <is>
          <t>코스피</t>
        </is>
      </c>
      <c r="D11787" s="2" t="inlineStr">
        <is>
          <t>016360</t>
        </is>
      </c>
      <c r="E11787" s="3" t="inlineStr">
        <is>
          <t>투자설명서(일괄신고)</t>
        </is>
      </c>
      <c r="F11787" s="3" t="inlineStr">
        <is>
          <t>삼성증권</t>
        </is>
      </c>
      <c r="G11787" s="2" t="inlineStr">
        <is>
          <t>20260617000050</t>
        </is>
      </c>
      <c r="H11787" s="8">
        <f>HYPERLINK("https://dart.fss.or.kr/dsaf001/main.do?rcpNo=20260617000050", "공시열람")</f>
        <v/>
      </c>
    </row>
    <row r="11788">
      <c r="A11788" s="2" t="inlineStr">
        <is>
          <t>2026-06-17</t>
        </is>
      </c>
      <c r="B11788" s="3" t="inlineStr">
        <is>
          <t>미래에셋증권</t>
        </is>
      </c>
      <c r="C11788" s="2" t="inlineStr">
        <is>
          <t>코스피</t>
        </is>
      </c>
      <c r="D11788" s="2" t="inlineStr">
        <is>
          <t>006800</t>
        </is>
      </c>
      <c r="E11788" s="3" t="inlineStr">
        <is>
          <t>일괄신고추가서류(파생결합사채-주가연계파생결합사채)</t>
        </is>
      </c>
      <c r="F11788" s="3" t="inlineStr">
        <is>
          <t>미래에셋증권</t>
        </is>
      </c>
      <c r="G11788" s="2" t="inlineStr">
        <is>
          <t>20260617000046</t>
        </is>
      </c>
      <c r="H11788" s="8">
        <f>HYPERLINK("https://dart.fss.or.kr/dsaf001/main.do?rcpNo=20260617000046", "공시열람")</f>
        <v/>
      </c>
    </row>
    <row r="11789">
      <c r="A11789" s="2" t="inlineStr">
        <is>
          <t>2026-06-17</t>
        </is>
      </c>
      <c r="B11789" s="3" t="inlineStr">
        <is>
          <t>NH투자증권</t>
        </is>
      </c>
      <c r="C11789" s="2" t="inlineStr">
        <is>
          <t>코스피</t>
        </is>
      </c>
      <c r="D11789" s="2" t="inlineStr">
        <is>
          <t>005940</t>
        </is>
      </c>
      <c r="E11789" s="3" t="inlineStr">
        <is>
          <t>일괄신고추가서류(파생결합증권-주가연계증권)</t>
        </is>
      </c>
      <c r="F11789" s="3" t="inlineStr">
        <is>
          <t>NH투자증권</t>
        </is>
      </c>
      <c r="G11789" s="2" t="inlineStr">
        <is>
          <t>20260617000035</t>
        </is>
      </c>
      <c r="H11789" s="8">
        <f>HYPERLINK("https://dart.fss.or.kr/dsaf001/main.do?rcpNo=20260617000035", "공시열람")</f>
        <v/>
      </c>
    </row>
    <row r="11790">
      <c r="A11790" s="2" t="inlineStr">
        <is>
          <t>2026-06-17</t>
        </is>
      </c>
      <c r="B11790" s="3" t="inlineStr">
        <is>
          <t>포스코퓨처엠</t>
        </is>
      </c>
      <c r="C11790" s="2" t="inlineStr">
        <is>
          <t>코스피</t>
        </is>
      </c>
      <c r="D11790" s="2" t="inlineStr">
        <is>
          <t>003670</t>
        </is>
      </c>
      <c r="E11790" s="3" t="inlineStr">
        <is>
          <t>임원ㆍ주요주주특정증권등소유상황보고서</t>
        </is>
      </c>
      <c r="F11790" s="3" t="inlineStr">
        <is>
          <t>김성진</t>
        </is>
      </c>
      <c r="G11790" s="2" t="inlineStr">
        <is>
          <t>20260617000032</t>
        </is>
      </c>
      <c r="H11790" s="8">
        <f>HYPERLINK("https://dart.fss.or.kr/dsaf001/main.do?rcpNo=20260617000032", "공시열람")</f>
        <v/>
      </c>
    </row>
    <row r="11791">
      <c r="A11791" s="2" t="inlineStr">
        <is>
          <t>2026-06-17</t>
        </is>
      </c>
      <c r="B11791" s="3" t="inlineStr">
        <is>
          <t>교보증권</t>
        </is>
      </c>
      <c r="C11791" s="2" t="inlineStr">
        <is>
          <t>코스피</t>
        </is>
      </c>
      <c r="D11791" s="2" t="inlineStr">
        <is>
          <t>030610</t>
        </is>
      </c>
      <c r="E11791" s="3" t="inlineStr">
        <is>
          <t>투자설명서(일괄신고)</t>
        </is>
      </c>
      <c r="F11791" s="3" t="inlineStr">
        <is>
          <t>교보증권</t>
        </is>
      </c>
      <c r="G11791" s="2" t="inlineStr">
        <is>
          <t>20260617000028</t>
        </is>
      </c>
      <c r="H11791" s="8">
        <f>HYPERLINK("https://dart.fss.or.kr/dsaf001/main.do?rcpNo=20260617000028", "공시열람")</f>
        <v/>
      </c>
    </row>
    <row r="11792">
      <c r="A11792" s="2" t="inlineStr">
        <is>
          <t>2026-06-17</t>
        </is>
      </c>
      <c r="B11792" s="3" t="inlineStr">
        <is>
          <t>삼성증권</t>
        </is>
      </c>
      <c r="C11792" s="2" t="inlineStr">
        <is>
          <t>코스피</t>
        </is>
      </c>
      <c r="D11792" s="2" t="inlineStr">
        <is>
          <t>016360</t>
        </is>
      </c>
      <c r="E11792" s="3" t="inlineStr">
        <is>
          <t>일괄신고추가서류(파생결합사채-주가연계파생결합사채)</t>
        </is>
      </c>
      <c r="F11792" s="3" t="inlineStr">
        <is>
          <t>삼성증권</t>
        </is>
      </c>
      <c r="G11792" s="2" t="inlineStr">
        <is>
          <t>20260617000025</t>
        </is>
      </c>
      <c r="H11792" s="8">
        <f>HYPERLINK("https://dart.fss.or.kr/dsaf001/main.do?rcpNo=20260617000025", "공시열람")</f>
        <v/>
      </c>
    </row>
    <row r="11793">
      <c r="A11793" s="2" t="inlineStr">
        <is>
          <t>2026-06-17</t>
        </is>
      </c>
      <c r="B11793" s="3" t="inlineStr">
        <is>
          <t>교보증권</t>
        </is>
      </c>
      <c r="C11793" s="2" t="inlineStr">
        <is>
          <t>코스피</t>
        </is>
      </c>
      <c r="D11793" s="2" t="inlineStr">
        <is>
          <t>030610</t>
        </is>
      </c>
      <c r="E11793" s="3" t="inlineStr">
        <is>
          <t>일괄신고추가서류(파생결합사채-주가연계파생결합사채)</t>
        </is>
      </c>
      <c r="F11793" s="3" t="inlineStr">
        <is>
          <t>교보증권</t>
        </is>
      </c>
      <c r="G11793" s="2" t="inlineStr">
        <is>
          <t>20260617000024</t>
        </is>
      </c>
      <c r="H11793" s="8">
        <f>HYPERLINK("https://dart.fss.or.kr/dsaf001/main.do?rcpNo=20260617000024", "공시열람")</f>
        <v/>
      </c>
    </row>
    <row r="11794">
      <c r="A11794" s="2" t="inlineStr">
        <is>
          <t>2026-06-17</t>
        </is>
      </c>
      <c r="B11794" s="3" t="inlineStr">
        <is>
          <t>교보증권</t>
        </is>
      </c>
      <c r="C11794" s="2" t="inlineStr">
        <is>
          <t>코스피</t>
        </is>
      </c>
      <c r="D11794" s="2" t="inlineStr">
        <is>
          <t>030610</t>
        </is>
      </c>
      <c r="E11794" s="3" t="inlineStr">
        <is>
          <t>투자설명서(일괄신고)</t>
        </is>
      </c>
      <c r="F11794" s="3" t="inlineStr">
        <is>
          <t>교보증권</t>
        </is>
      </c>
      <c r="G11794" s="2" t="inlineStr">
        <is>
          <t>20260617000017</t>
        </is>
      </c>
      <c r="H11794" s="8">
        <f>HYPERLINK("https://dart.fss.or.kr/dsaf001/main.do?rcpNo=20260617000017", "공시열람")</f>
        <v/>
      </c>
    </row>
    <row r="11795">
      <c r="A11795" s="2" t="inlineStr">
        <is>
          <t>2026-06-17</t>
        </is>
      </c>
      <c r="B11795" s="3" t="inlineStr">
        <is>
          <t>교보증권</t>
        </is>
      </c>
      <c r="C11795" s="2" t="inlineStr">
        <is>
          <t>코스피</t>
        </is>
      </c>
      <c r="D11795" s="2" t="inlineStr">
        <is>
          <t>030610</t>
        </is>
      </c>
      <c r="E11795" s="3" t="inlineStr">
        <is>
          <t>일괄신고추가서류(파생결합증권-주가연계증권)</t>
        </is>
      </c>
      <c r="F11795" s="3" t="inlineStr">
        <is>
          <t>교보증권</t>
        </is>
      </c>
      <c r="G11795" s="2" t="inlineStr">
        <is>
          <t>20260617000014</t>
        </is>
      </c>
      <c r="H11795" s="8">
        <f>HYPERLINK("https://dart.fss.or.kr/dsaf001/main.do?rcpNo=20260617000014", "공시열람")</f>
        <v/>
      </c>
    </row>
    <row r="11796">
      <c r="A11796" s="2" t="inlineStr">
        <is>
          <t>2026-06-17</t>
        </is>
      </c>
      <c r="B11796" s="3" t="inlineStr">
        <is>
          <t>케이티스카이라이프</t>
        </is>
      </c>
      <c r="C11796" s="2" t="inlineStr">
        <is>
          <t>코스피</t>
        </is>
      </c>
      <c r="D11796" s="2" t="inlineStr">
        <is>
          <t>053210</t>
        </is>
      </c>
      <c r="E11796" s="3" t="inlineStr">
        <is>
          <t>투자설명서</t>
        </is>
      </c>
      <c r="F11796" s="3" t="inlineStr">
        <is>
          <t>케이티스카이라이프</t>
        </is>
      </c>
      <c r="G11796" s="2" t="inlineStr">
        <is>
          <t>20260617000006</t>
        </is>
      </c>
      <c r="H11796" s="8">
        <f>HYPERLINK("https://dart.fss.or.kr/dsaf001/main.do?rcpNo=20260617000006", "공시열람")</f>
        <v/>
      </c>
    </row>
    <row r="11797">
      <c r="A11797" s="2" t="inlineStr">
        <is>
          <t>2026-06-17</t>
        </is>
      </c>
      <c r="B11797" s="3" t="inlineStr">
        <is>
          <t>페니트리움바이오</t>
        </is>
      </c>
      <c r="C11797" s="2" t="inlineStr">
        <is>
          <t>코스닥</t>
        </is>
      </c>
      <c r="D11797" s="2" t="inlineStr">
        <is>
          <t>187660</t>
        </is>
      </c>
      <c r="E11797" s="3" t="inlineStr">
        <is>
          <t>투자판단관련주요경영사항(임상시험계획변경승인)              (불응성/재발성 고형암 대상 펨브롤리주맙과 PenetriumTM 병용요법 1상 임상시험계획 변경승인)</t>
        </is>
      </c>
      <c r="F11797" s="3" t="inlineStr">
        <is>
          <t>페니트리움바이오</t>
        </is>
      </c>
      <c r="G11797" s="2" t="inlineStr">
        <is>
          <t>20260617900005</t>
        </is>
      </c>
      <c r="H11797" s="8">
        <f>HYPERLINK("https://dart.fss.or.kr/dsaf001/main.do?rcpNo=20260617900005", "공시열람")</f>
        <v/>
      </c>
    </row>
    <row r="11798">
      <c r="A11798" s="2" t="inlineStr">
        <is>
          <t>2026-06-17</t>
        </is>
      </c>
      <c r="B11798" s="3" t="inlineStr">
        <is>
          <t>윙입푸드</t>
        </is>
      </c>
      <c r="C11798" s="2" t="inlineStr">
        <is>
          <t>코스닥</t>
        </is>
      </c>
      <c r="D11798" s="2" t="inlineStr">
        <is>
          <t>900340</t>
        </is>
      </c>
      <c r="E11798" s="3" t="inlineStr">
        <is>
          <t xml:space="preserve">해외증권거래소등에신고한주요공시사항의국내신고              </t>
        </is>
      </c>
      <c r="F11798" s="3" t="inlineStr">
        <is>
          <t>윙입푸드</t>
        </is>
      </c>
      <c r="G11798" s="2" t="inlineStr">
        <is>
          <t>20260617900001</t>
        </is>
      </c>
      <c r="H11798" s="8">
        <f>HYPERLINK("https://dart.fss.or.kr/dsaf001/main.do?rcpNo=20260617900001", "공시열람")</f>
        <v/>
      </c>
    </row>
    <row r="11799">
      <c r="A11799" s="2" t="inlineStr">
        <is>
          <t>2026-06-17</t>
        </is>
      </c>
      <c r="B11799" s="3" t="inlineStr">
        <is>
          <t>LB세미콘</t>
        </is>
      </c>
      <c r="C11799" s="2" t="inlineStr">
        <is>
          <t>코스닥</t>
        </is>
      </c>
      <c r="D11799" s="2" t="inlineStr">
        <is>
          <t>061970</t>
        </is>
      </c>
      <c r="E11799" s="3" t="inlineStr">
        <is>
          <t>효력발생안내( 2026.6.1. 제출 증권신고서(지분증권) )</t>
        </is>
      </c>
      <c r="F11799" s="3" t="inlineStr">
        <is>
          <t>금융감독원</t>
        </is>
      </c>
      <c r="G11799" s="2" t="inlineStr">
        <is>
          <t>20260601100054</t>
        </is>
      </c>
      <c r="H11799" s="8">
        <f>HYPERLINK("https://dart.fss.or.kr/dsaf001/main.do?rcpNo=20260601100054", "공시열람")</f>
        <v/>
      </c>
    </row>
    <row r="11800">
      <c r="A11800" s="2" t="inlineStr">
        <is>
          <t>2026-06-18 (정정: 2026-06-22)</t>
        </is>
      </c>
      <c r="B11800" s="3" t="inlineStr">
        <is>
          <t>화승엔터프라이즈</t>
        </is>
      </c>
      <c r="C11800" s="2" t="inlineStr">
        <is>
          <t>코스피</t>
        </is>
      </c>
      <c r="D11800" s="2" t="inlineStr">
        <is>
          <t>241590</t>
        </is>
      </c>
      <c r="E11800" s="3" t="inlineStr">
        <is>
          <t>불성실공시법인지정예고               (정정: 20260622)</t>
        </is>
      </c>
      <c r="F11800" s="3" t="inlineStr">
        <is>
          <t>유가증권시장본부</t>
        </is>
      </c>
      <c r="G11800" s="2" t="inlineStr">
        <is>
          <t>20260622800883</t>
        </is>
      </c>
      <c r="H11800" s="8">
        <f>HYPERLINK("https://dart.fss.or.kr/dsaf001/main.do?rcpNo=20260622800883", "공시열람")</f>
        <v/>
      </c>
    </row>
    <row r="11801">
      <c r="A11801" s="2" t="inlineStr">
        <is>
          <t>2026-06-18</t>
        </is>
      </c>
      <c r="B11801" s="3" t="inlineStr">
        <is>
          <t>삼립</t>
        </is>
      </c>
      <c r="C11801" s="2" t="inlineStr">
        <is>
          <t>코스피</t>
        </is>
      </c>
      <c r="D11801" s="2" t="inlineStr">
        <is>
          <t>005610</t>
        </is>
      </c>
      <c r="E11801" s="3" t="inlineStr">
        <is>
          <t xml:space="preserve">불성실공시법인지정예고              </t>
        </is>
      </c>
      <c r="F11801" s="3" t="inlineStr">
        <is>
          <t>유가증권시장본부</t>
        </is>
      </c>
      <c r="G11801" s="2" t="inlineStr">
        <is>
          <t>20260618800915</t>
        </is>
      </c>
      <c r="H11801" s="8">
        <f>HYPERLINK("https://dart.fss.or.kr/dsaf001/main.do?rcpNo=20260618800915", "공시열람")</f>
        <v/>
      </c>
    </row>
    <row r="11802">
      <c r="A11802" s="2" t="inlineStr">
        <is>
          <t>2026-06-18</t>
        </is>
      </c>
      <c r="B11802" s="3" t="inlineStr">
        <is>
          <t>동원산업</t>
        </is>
      </c>
      <c r="C11802" s="2" t="inlineStr">
        <is>
          <t>코스피</t>
        </is>
      </c>
      <c r="D11802" s="2" t="inlineStr">
        <is>
          <t>006040</t>
        </is>
      </c>
      <c r="E11802" s="3" t="inlineStr">
        <is>
          <t xml:space="preserve">불성실공시법인지정예고              </t>
        </is>
      </c>
      <c r="F11802" s="3" t="inlineStr">
        <is>
          <t>유가증권시장본부</t>
        </is>
      </c>
      <c r="G11802" s="2" t="inlineStr">
        <is>
          <t>20260618800912</t>
        </is>
      </c>
      <c r="H11802" s="8">
        <f>HYPERLINK("https://dart.fss.or.kr/dsaf001/main.do?rcpNo=20260618800912", "공시열람")</f>
        <v/>
      </c>
    </row>
    <row r="11803">
      <c r="A11803" s="2" t="inlineStr">
        <is>
          <t>2026-06-18</t>
        </is>
      </c>
      <c r="B11803" s="3" t="inlineStr">
        <is>
          <t>파라다이스</t>
        </is>
      </c>
      <c r="C11803" s="2" t="inlineStr">
        <is>
          <t>코스피</t>
        </is>
      </c>
      <c r="D11803" s="2" t="inlineStr">
        <is>
          <t>034230</t>
        </is>
      </c>
      <c r="E11803" s="3" t="inlineStr">
        <is>
          <t xml:space="preserve">불성실공시법인지정예고              </t>
        </is>
      </c>
      <c r="F11803" s="3" t="inlineStr">
        <is>
          <t>유가증권시장본부</t>
        </is>
      </c>
      <c r="G11803" s="2" t="inlineStr">
        <is>
          <t>20260618800911</t>
        </is>
      </c>
      <c r="H11803" s="8">
        <f>HYPERLINK("https://dart.fss.or.kr/dsaf001/main.do?rcpNo=20260618800911", "공시열람")</f>
        <v/>
      </c>
    </row>
    <row r="11804">
      <c r="A11804" s="2" t="inlineStr">
        <is>
          <t>2026-06-18</t>
        </is>
      </c>
      <c r="B11804" s="3" t="inlineStr">
        <is>
          <t>이엔플러스</t>
        </is>
      </c>
      <c r="C11804" s="2" t="inlineStr">
        <is>
          <t>코스피</t>
        </is>
      </c>
      <c r="D11804" s="2" t="inlineStr">
        <is>
          <t>074610</t>
        </is>
      </c>
      <c r="E11804" s="3" t="inlineStr">
        <is>
          <t xml:space="preserve">불성실공시법인지정예고              </t>
        </is>
      </c>
      <c r="F11804" s="3" t="inlineStr">
        <is>
          <t>유가증권시장본부</t>
        </is>
      </c>
      <c r="G11804" s="2" t="inlineStr">
        <is>
          <t>20260618800914</t>
        </is>
      </c>
      <c r="H11804" s="8">
        <f>HYPERLINK("https://dart.fss.or.kr/dsaf001/main.do?rcpNo=20260618800914", "공시열람")</f>
        <v/>
      </c>
    </row>
    <row r="11805">
      <c r="A11805" s="2" t="inlineStr">
        <is>
          <t>2026-06-18</t>
        </is>
      </c>
      <c r="B11805" s="3" t="inlineStr">
        <is>
          <t>셀트리온</t>
        </is>
      </c>
      <c r="C11805" s="2" t="inlineStr">
        <is>
          <t>코스피</t>
        </is>
      </c>
      <c r="D11805" s="2" t="inlineStr">
        <is>
          <t>068270</t>
        </is>
      </c>
      <c r="E11805" s="3" t="inlineStr">
        <is>
          <t>투자판단관련주요경영사항              (개발 전략 변경에 따른 CTP13 SC(램시마 피하주사 제형) 유럽 임상 3상 시험 계획 Part 1 승인 만료 (크론병 소아 환자))</t>
        </is>
      </c>
      <c r="F11805" s="3" t="inlineStr">
        <is>
          <t>셀트리온</t>
        </is>
      </c>
      <c r="G11805" s="2" t="inlineStr">
        <is>
          <t>20260618800908</t>
        </is>
      </c>
      <c r="H11805" s="8">
        <f>HYPERLINK("https://dart.fss.or.kr/dsaf001/main.do?rcpNo=20260618800908", "공시열람")</f>
        <v/>
      </c>
    </row>
    <row r="11806">
      <c r="A11806" s="2" t="inlineStr">
        <is>
          <t>2026-06-18</t>
        </is>
      </c>
      <c r="B11806" s="3" t="inlineStr">
        <is>
          <t>셀트리온</t>
        </is>
      </c>
      <c r="C11806" s="2" t="inlineStr">
        <is>
          <t>코스피</t>
        </is>
      </c>
      <c r="D11806" s="2" t="inlineStr">
        <is>
          <t>068270</t>
        </is>
      </c>
      <c r="E11806" s="3" t="inlineStr">
        <is>
          <t>투자판단관련주요경영사항              (개발 전략 변경에 따른 CTP13 SC(램시마 피하주사 제형) 유럽 임상 3상 시험 계획 Part 1 승인 만료 (궤양성 대장염 소아 환자))</t>
        </is>
      </c>
      <c r="F11806" s="3" t="inlineStr">
        <is>
          <t>셀트리온</t>
        </is>
      </c>
      <c r="G11806" s="2" t="inlineStr">
        <is>
          <t>20260618800905</t>
        </is>
      </c>
      <c r="H11806" s="8">
        <f>HYPERLINK("https://dart.fss.or.kr/dsaf001/main.do?rcpNo=20260618800905", "공시열람")</f>
        <v/>
      </c>
    </row>
    <row r="11807">
      <c r="A11807" s="2" t="inlineStr">
        <is>
          <t>2026-06-18</t>
        </is>
      </c>
      <c r="B11807" s="3" t="inlineStr">
        <is>
          <t>엑시온그룹</t>
        </is>
      </c>
      <c r="C11807" s="2" t="inlineStr">
        <is>
          <t>코스닥</t>
        </is>
      </c>
      <c r="D11807" s="2" t="inlineStr">
        <is>
          <t>069920</t>
        </is>
      </c>
      <c r="E11807" s="3" t="inlineStr">
        <is>
          <t>기타시장안내(관리종목지정우려종목)              (시가총액 150억원 미달)</t>
        </is>
      </c>
      <c r="F11807" s="3" t="inlineStr">
        <is>
          <t>코스닥시장본부</t>
        </is>
      </c>
      <c r="G11807" s="2" t="inlineStr">
        <is>
          <t>20260618900899</t>
        </is>
      </c>
      <c r="H11807" s="8">
        <f>HYPERLINK("https://dart.fss.or.kr/dsaf001/main.do?rcpNo=20260618900899", "공시열람")</f>
        <v/>
      </c>
    </row>
    <row r="11808">
      <c r="A11808" s="2" t="inlineStr">
        <is>
          <t>2026-06-18 (정정: 2026-06-18)</t>
        </is>
      </c>
      <c r="B11808" s="3" t="inlineStr">
        <is>
          <t>오성첨단소재</t>
        </is>
      </c>
      <c r="C11808" s="2" t="inlineStr">
        <is>
          <t>코스닥</t>
        </is>
      </c>
      <c r="D11808" s="2" t="inlineStr">
        <is>
          <t>052420</t>
        </is>
      </c>
      <c r="E11808" s="3" t="inlineStr">
        <is>
          <t>타법인주식및출자증권취득결정               (정정: 20260618)</t>
        </is>
      </c>
      <c r="F11808" s="3" t="inlineStr">
        <is>
          <t>오성첨단소재</t>
        </is>
      </c>
      <c r="G11808" s="2" t="inlineStr">
        <is>
          <t>20260618000218</t>
        </is>
      </c>
      <c r="H11808" s="8">
        <f>HYPERLINK("https://dart.fss.or.kr/dsaf001/main.do?rcpNo=20260618000218", "공시열람")</f>
        <v/>
      </c>
    </row>
    <row r="11809">
      <c r="A11809" s="2" t="inlineStr">
        <is>
          <t>2026-06-18</t>
        </is>
      </c>
      <c r="B11809" s="3" t="inlineStr">
        <is>
          <t>케이엔알시스템</t>
        </is>
      </c>
      <c r="C11809" s="2" t="inlineStr">
        <is>
          <t>코스닥</t>
        </is>
      </c>
      <c r="D11809" s="2" t="inlineStr">
        <is>
          <t>199430</t>
        </is>
      </c>
      <c r="E11809" s="3" t="inlineStr">
        <is>
          <t>임원ㆍ주요주주특정증권등소유상황보고서</t>
        </is>
      </c>
      <c r="F11809" s="3" t="inlineStr">
        <is>
          <t>이관범</t>
        </is>
      </c>
      <c r="G11809" s="2" t="inlineStr">
        <is>
          <t>20260618000409</t>
        </is>
      </c>
      <c r="H11809" s="8">
        <f>HYPERLINK("https://dart.fss.or.kr/dsaf001/main.do?rcpNo=20260618000409", "공시열람")</f>
        <v/>
      </c>
    </row>
    <row r="11810">
      <c r="A11810" s="2" t="inlineStr">
        <is>
          <t>2026-06-18</t>
        </is>
      </c>
      <c r="B11810" s="3" t="inlineStr">
        <is>
          <t>넥써쓰</t>
        </is>
      </c>
      <c r="C11810" s="2" t="inlineStr">
        <is>
          <t>코스닥</t>
        </is>
      </c>
      <c r="D11810" s="2" t="inlineStr">
        <is>
          <t>205500</t>
        </is>
      </c>
      <c r="E11810" s="3" t="inlineStr">
        <is>
          <t>주요사항보고서(타법인주식및출자증권양수결정)</t>
        </is>
      </c>
      <c r="F11810" s="3" t="inlineStr">
        <is>
          <t>넥써쓰</t>
        </is>
      </c>
      <c r="G11810" s="2" t="inlineStr">
        <is>
          <t>20260618000406</t>
        </is>
      </c>
      <c r="H11810" s="8">
        <f>HYPERLINK("https://dart.fss.or.kr/dsaf001/main.do?rcpNo=20260618000406", "공시열람")</f>
        <v/>
      </c>
    </row>
    <row r="11811">
      <c r="A11811" s="2" t="inlineStr">
        <is>
          <t>2026-06-18</t>
        </is>
      </c>
      <c r="B11811" s="3" t="inlineStr">
        <is>
          <t>경남제약</t>
        </is>
      </c>
      <c r="C11811" s="2" t="inlineStr">
        <is>
          <t>코스닥</t>
        </is>
      </c>
      <c r="D11811" s="2" t="inlineStr">
        <is>
          <t>053950</t>
        </is>
      </c>
      <c r="E11811" s="3" t="inlineStr">
        <is>
          <t>기타경영사항(자율공시)              (자기사채(제7회차 및 제8회차 무기명식 이권부 무보증 사모 전환사채) 소각 결정의 건)</t>
        </is>
      </c>
      <c r="F11811" s="3" t="inlineStr">
        <is>
          <t>경남제약</t>
        </is>
      </c>
      <c r="G11811" s="2" t="inlineStr">
        <is>
          <t>20260618900845</t>
        </is>
      </c>
      <c r="H11811" s="8">
        <f>HYPERLINK("https://dart.fss.or.kr/dsaf001/main.do?rcpNo=20260618900845", "공시열람")</f>
        <v/>
      </c>
    </row>
    <row r="11812">
      <c r="A11812" s="2" t="inlineStr">
        <is>
          <t>2026-06-18 (정정: 2026-06-18)</t>
        </is>
      </c>
      <c r="B11812" s="3" t="inlineStr">
        <is>
          <t>롯데칠성음료</t>
        </is>
      </c>
      <c r="C11812" s="2" t="inlineStr">
        <is>
          <t>코스피</t>
        </is>
      </c>
      <c r="D11812" s="2" t="inlineStr">
        <is>
          <t>005300</t>
        </is>
      </c>
      <c r="E11812" s="3" t="inlineStr">
        <is>
          <t>공정거래자율준수프로그램운영현황(안내공시)               (정정: 20260618)</t>
        </is>
      </c>
      <c r="F11812" s="3" t="inlineStr">
        <is>
          <t>롯데칠성음료</t>
        </is>
      </c>
      <c r="G11812" s="2" t="inlineStr">
        <is>
          <t>20260618800865</t>
        </is>
      </c>
      <c r="H11812" s="8">
        <f>HYPERLINK("https://dart.fss.or.kr/dsaf001/main.do?rcpNo=20260618800865", "공시열람")</f>
        <v/>
      </c>
    </row>
    <row r="11813">
      <c r="A11813" s="2" t="inlineStr">
        <is>
          <t>2026-06-18</t>
        </is>
      </c>
      <c r="B11813" s="3" t="inlineStr">
        <is>
          <t>차AI헬스케어</t>
        </is>
      </c>
      <c r="C11813" s="2" t="inlineStr">
        <is>
          <t>코스피</t>
        </is>
      </c>
      <c r="D11813" s="2" t="inlineStr">
        <is>
          <t>025620</t>
        </is>
      </c>
      <c r="E11813" s="3" t="inlineStr">
        <is>
          <t xml:space="preserve">타법인주식및출자증권취득결정              </t>
        </is>
      </c>
      <c r="F11813" s="3" t="inlineStr">
        <is>
          <t>차AI헬스케어</t>
        </is>
      </c>
      <c r="G11813" s="2" t="inlineStr">
        <is>
          <t>20260618800849</t>
        </is>
      </c>
      <c r="H11813" s="8">
        <f>HYPERLINK("https://dart.fss.or.kr/dsaf001/main.do?rcpNo=20260618800849", "공시열람")</f>
        <v/>
      </c>
    </row>
    <row r="11814">
      <c r="A11814" s="2" t="inlineStr">
        <is>
          <t>2026-06-18</t>
        </is>
      </c>
      <c r="B11814" s="3" t="inlineStr">
        <is>
          <t>케이엔알시스템</t>
        </is>
      </c>
      <c r="C11814" s="2" t="inlineStr">
        <is>
          <t>코스닥</t>
        </is>
      </c>
      <c r="D11814" s="2" t="inlineStr">
        <is>
          <t>199430</t>
        </is>
      </c>
      <c r="E11814" s="3" t="inlineStr">
        <is>
          <t>임원ㆍ주요주주특정증권등소유상황보고서</t>
        </is>
      </c>
      <c r="F11814" s="3" t="inlineStr">
        <is>
          <t>박재준</t>
        </is>
      </c>
      <c r="G11814" s="2" t="inlineStr">
        <is>
          <t>20260618000407</t>
        </is>
      </c>
      <c r="H11814" s="8">
        <f>HYPERLINK("https://dart.fss.or.kr/dsaf001/main.do?rcpNo=20260618000407", "공시열람")</f>
        <v/>
      </c>
    </row>
    <row r="11815">
      <c r="A11815" s="2" t="inlineStr">
        <is>
          <t>2026-06-18</t>
        </is>
      </c>
      <c r="B11815" s="3" t="inlineStr">
        <is>
          <t>노블엠앤비</t>
        </is>
      </c>
      <c r="C11815" s="2" t="inlineStr">
        <is>
          <t>코스닥</t>
        </is>
      </c>
      <c r="D11815" s="2" t="inlineStr">
        <is>
          <t>106520</t>
        </is>
      </c>
      <c r="E11815" s="3" t="inlineStr">
        <is>
          <t>주권매매거래정지해제              (상장폐지에 따른 정리매매 개시)</t>
        </is>
      </c>
      <c r="F11815" s="3" t="inlineStr">
        <is>
          <t>코스닥시장본부</t>
        </is>
      </c>
      <c r="G11815" s="2" t="inlineStr">
        <is>
          <t>20260618900856</t>
        </is>
      </c>
      <c r="H11815" s="8">
        <f>HYPERLINK("https://dart.fss.or.kr/dsaf001/main.do?rcpNo=20260618900856", "공시열람")</f>
        <v/>
      </c>
    </row>
    <row r="11816">
      <c r="A11816" s="2" t="inlineStr">
        <is>
          <t>2026-06-18</t>
        </is>
      </c>
      <c r="B11816" s="3" t="inlineStr">
        <is>
          <t>노블엠앤비</t>
        </is>
      </c>
      <c r="C11816" s="2" t="inlineStr">
        <is>
          <t>코스닥</t>
        </is>
      </c>
      <c r="D11816" s="2" t="inlineStr">
        <is>
          <t>106520</t>
        </is>
      </c>
      <c r="E11816" s="3" t="inlineStr">
        <is>
          <t>기타시장안내              (상장폐지결정 등 효력정지 가처분 신청 기각에 따른 정리매매절차 재개)</t>
        </is>
      </c>
      <c r="F11816" s="3" t="inlineStr">
        <is>
          <t>코스닥시장본부</t>
        </is>
      </c>
      <c r="G11816" s="2" t="inlineStr">
        <is>
          <t>20260618900854</t>
        </is>
      </c>
      <c r="H11816" s="8">
        <f>HYPERLINK("https://dart.fss.or.kr/dsaf001/main.do?rcpNo=20260618900854", "공시열람")</f>
        <v/>
      </c>
    </row>
    <row r="11817">
      <c r="A11817" s="2" t="inlineStr">
        <is>
          <t>2026-06-18</t>
        </is>
      </c>
      <c r="B11817" s="3" t="inlineStr">
        <is>
          <t>바이온</t>
        </is>
      </c>
      <c r="C11817" s="2" t="inlineStr">
        <is>
          <t>코스닥</t>
        </is>
      </c>
      <c r="D11817" s="2" t="inlineStr">
        <is>
          <t>032980</t>
        </is>
      </c>
      <c r="E11817" s="3" t="inlineStr">
        <is>
          <t>주권매매거래정지해제              (상장폐지에 따른 정리매매 개시)</t>
        </is>
      </c>
      <c r="F11817" s="3" t="inlineStr">
        <is>
          <t>코스닥시장본부</t>
        </is>
      </c>
      <c r="G11817" s="2" t="inlineStr">
        <is>
          <t>20260618900857</t>
        </is>
      </c>
      <c r="H11817" s="8">
        <f>HYPERLINK("https://dart.fss.or.kr/dsaf001/main.do?rcpNo=20260618900857", "공시열람")</f>
        <v/>
      </c>
    </row>
    <row r="11818">
      <c r="A11818" s="2" t="inlineStr">
        <is>
          <t>2026-06-18</t>
        </is>
      </c>
      <c r="B11818" s="3" t="inlineStr">
        <is>
          <t>바이온</t>
        </is>
      </c>
      <c r="C11818" s="2" t="inlineStr">
        <is>
          <t>코스닥</t>
        </is>
      </c>
      <c r="D11818" s="2" t="inlineStr">
        <is>
          <t>032980</t>
        </is>
      </c>
      <c r="E11818" s="3" t="inlineStr">
        <is>
          <t>기타시장안내              (상장폐지결정 등 효력정지 가처분 신청 기각결정에 따른 정리매매절차 재개)</t>
        </is>
      </c>
      <c r="F11818" s="3" t="inlineStr">
        <is>
          <t>코스닥시장본부</t>
        </is>
      </c>
      <c r="G11818" s="2" t="inlineStr">
        <is>
          <t>20260618900847</t>
        </is>
      </c>
      <c r="H11818" s="8">
        <f>HYPERLINK("https://dart.fss.or.kr/dsaf001/main.do?rcpNo=20260618900847", "공시열람")</f>
        <v/>
      </c>
    </row>
    <row r="11819">
      <c r="A11819" s="2" t="inlineStr">
        <is>
          <t>2026-06-18</t>
        </is>
      </c>
      <c r="B11819" s="3" t="inlineStr">
        <is>
          <t>기아</t>
        </is>
      </c>
      <c r="C11819" s="2" t="inlineStr">
        <is>
          <t>코스피</t>
        </is>
      </c>
      <c r="D11819" s="2" t="inlineStr">
        <is>
          <t>000270</t>
        </is>
      </c>
      <c r="E11819" s="3" t="inlineStr">
        <is>
          <t xml:space="preserve">기업설명회(IR)개최(안내공시)              </t>
        </is>
      </c>
      <c r="F11819" s="3" t="inlineStr">
        <is>
          <t>기아</t>
        </is>
      </c>
      <c r="G11819" s="2" t="inlineStr">
        <is>
          <t>20260618800848</t>
        </is>
      </c>
      <c r="H11819" s="8">
        <f>HYPERLINK("https://dart.fss.or.kr/dsaf001/main.do?rcpNo=20260618800848", "공시열람")</f>
        <v/>
      </c>
    </row>
    <row r="11820">
      <c r="A11820" s="2" t="inlineStr">
        <is>
          <t>2026-06-18</t>
        </is>
      </c>
      <c r="B11820" s="3" t="inlineStr">
        <is>
          <t>프로브잇</t>
        </is>
      </c>
      <c r="C11820" s="2" t="inlineStr">
        <is>
          <t>코스닥</t>
        </is>
      </c>
      <c r="D11820" s="2" t="inlineStr">
        <is>
          <t>227100</t>
        </is>
      </c>
      <c r="E11820" s="3" t="inlineStr">
        <is>
          <t>기타시장안내              (상장폐지결정등 효력정지 가처분 신청 기각에 따른 정리매매절차 재개)</t>
        </is>
      </c>
      <c r="F11820" s="3" t="inlineStr">
        <is>
          <t>코스닥시장본부</t>
        </is>
      </c>
      <c r="G11820" s="2" t="inlineStr">
        <is>
          <t>20260618900837</t>
        </is>
      </c>
      <c r="H11820" s="8">
        <f>HYPERLINK("https://dart.fss.or.kr/dsaf001/main.do?rcpNo=20260618900837", "공시열람")</f>
        <v/>
      </c>
    </row>
    <row r="11821">
      <c r="A11821" s="2" t="inlineStr">
        <is>
          <t>2026-06-18</t>
        </is>
      </c>
      <c r="B11821" s="3" t="inlineStr">
        <is>
          <t>프로브잇</t>
        </is>
      </c>
      <c r="C11821" s="2" t="inlineStr">
        <is>
          <t>코스닥</t>
        </is>
      </c>
      <c r="D11821" s="2" t="inlineStr">
        <is>
          <t>227100</t>
        </is>
      </c>
      <c r="E11821" s="3" t="inlineStr">
        <is>
          <t>주권매매거래정지해제              (상장폐지에 따른 정리매매 재개)</t>
        </is>
      </c>
      <c r="F11821" s="3" t="inlineStr">
        <is>
          <t>코스닥시장본부</t>
        </is>
      </c>
      <c r="G11821" s="2" t="inlineStr">
        <is>
          <t>20260618900832</t>
        </is>
      </c>
      <c r="H11821" s="8">
        <f>HYPERLINK("https://dart.fss.or.kr/dsaf001/main.do?rcpNo=20260618900832", "공시열람")</f>
        <v/>
      </c>
    </row>
    <row r="11822">
      <c r="A11822" s="2" t="inlineStr">
        <is>
          <t>2026-06-18</t>
        </is>
      </c>
      <c r="B11822" s="3" t="inlineStr">
        <is>
          <t>유안타증권</t>
        </is>
      </c>
      <c r="C11822" s="2" t="inlineStr">
        <is>
          <t>코스피</t>
        </is>
      </c>
      <c r="D11822" s="2" t="inlineStr">
        <is>
          <t>003470</t>
        </is>
      </c>
      <c r="E11822" s="3" t="inlineStr">
        <is>
          <t>임원ㆍ주요주주특정증권등소유상황보고서</t>
        </is>
      </c>
      <c r="F11822" s="3" t="inlineStr">
        <is>
          <t>유안타씨큐리티즈아시아파이낸셜서비시스프라이빗리미티드</t>
        </is>
      </c>
      <c r="G11822" s="2" t="inlineStr">
        <is>
          <t>20260618000402</t>
        </is>
      </c>
      <c r="H11822" s="8">
        <f>HYPERLINK("https://dart.fss.or.kr/dsaf001/main.do?rcpNo=20260618000402", "공시열람")</f>
        <v/>
      </c>
    </row>
    <row r="11823">
      <c r="A11823" s="2" t="inlineStr">
        <is>
          <t>2026-06-18</t>
        </is>
      </c>
      <c r="B11823" s="3" t="inlineStr">
        <is>
          <t>블루산업개발</t>
        </is>
      </c>
      <c r="C11823" s="2" t="inlineStr">
        <is>
          <t>코스피</t>
        </is>
      </c>
      <c r="D11823" s="2" t="inlineStr">
        <is>
          <t>006740</t>
        </is>
      </c>
      <c r="E11823" s="3" t="inlineStr">
        <is>
          <t>임원ㆍ주요주주특정증권등소유상황보고서</t>
        </is>
      </c>
      <c r="F11823" s="3" t="inlineStr">
        <is>
          <t>피엠에이조합</t>
        </is>
      </c>
      <c r="G11823" s="2" t="inlineStr">
        <is>
          <t>20260618000401</t>
        </is>
      </c>
      <c r="H11823" s="8">
        <f>HYPERLINK("https://dart.fss.or.kr/dsaf001/main.do?rcpNo=20260618000401", "공시열람")</f>
        <v/>
      </c>
    </row>
    <row r="11824">
      <c r="A11824" s="2" t="inlineStr">
        <is>
          <t>2026-06-18</t>
        </is>
      </c>
      <c r="B11824" s="3" t="inlineStr">
        <is>
          <t>크라우드웍스</t>
        </is>
      </c>
      <c r="C11824" s="2" t="inlineStr">
        <is>
          <t>코스닥</t>
        </is>
      </c>
      <c r="D11824" s="2" t="inlineStr">
        <is>
          <t>355390</t>
        </is>
      </c>
      <c r="E11824" s="3" t="inlineStr">
        <is>
          <t>의결권대리행사권유참고서류</t>
        </is>
      </c>
      <c r="F11824" s="3" t="inlineStr">
        <is>
          <t>크라우드웍스</t>
        </is>
      </c>
      <c r="G11824" s="2" t="inlineStr">
        <is>
          <t>20260618000399</t>
        </is>
      </c>
      <c r="H11824" s="8">
        <f>HYPERLINK("https://dart.fss.or.kr/dsaf001/main.do?rcpNo=20260618000399", "공시열람")</f>
        <v/>
      </c>
    </row>
    <row r="11825">
      <c r="A11825" s="2" t="inlineStr">
        <is>
          <t>2026-06-18</t>
        </is>
      </c>
      <c r="B11825" s="3" t="inlineStr">
        <is>
          <t>롯데칠성음료</t>
        </is>
      </c>
      <c r="C11825" s="2" t="inlineStr">
        <is>
          <t>코스피</t>
        </is>
      </c>
      <c r="D11825" s="2" t="inlineStr">
        <is>
          <t>005300</t>
        </is>
      </c>
      <c r="E11825" s="3" t="inlineStr">
        <is>
          <t>[기재정정]특수관계인에대한부동산매도</t>
        </is>
      </c>
      <c r="F11825" s="3" t="inlineStr">
        <is>
          <t>롯데칠성음료</t>
        </is>
      </c>
      <c r="G11825" s="2" t="inlineStr">
        <is>
          <t>20260618000398</t>
        </is>
      </c>
      <c r="H11825" s="8">
        <f>HYPERLINK("https://dart.fss.or.kr/dsaf001/main.do?rcpNo=20260618000398", "공시열람")</f>
        <v/>
      </c>
    </row>
    <row r="11826">
      <c r="A11826" s="2" t="inlineStr">
        <is>
          <t>2026-06-18</t>
        </is>
      </c>
      <c r="B11826" s="3" t="inlineStr">
        <is>
          <t>한화투자증권</t>
        </is>
      </c>
      <c r="C11826" s="2" t="inlineStr">
        <is>
          <t>코스피</t>
        </is>
      </c>
      <c r="D11826" s="2" t="inlineStr">
        <is>
          <t>003530</t>
        </is>
      </c>
      <c r="E11826" s="3" t="inlineStr">
        <is>
          <t>증권발행실적보고서</t>
        </is>
      </c>
      <c r="F11826" s="3" t="inlineStr">
        <is>
          <t>한화투자증권</t>
        </is>
      </c>
      <c r="G11826" s="2" t="inlineStr">
        <is>
          <t>20260618000396</t>
        </is>
      </c>
      <c r="H11826" s="8">
        <f>HYPERLINK("https://dart.fss.or.kr/dsaf001/main.do?rcpNo=20260618000396", "공시열람")</f>
        <v/>
      </c>
    </row>
    <row r="11827">
      <c r="A11827" s="2" t="inlineStr">
        <is>
          <t>2026-06-18</t>
        </is>
      </c>
      <c r="B11827" s="3" t="inlineStr">
        <is>
          <t>에스프리즘</t>
        </is>
      </c>
      <c r="C11827" s="2" t="inlineStr">
        <is>
          <t>코스닥</t>
        </is>
      </c>
      <c r="D11827" s="2" t="inlineStr">
        <is>
          <t>288620</t>
        </is>
      </c>
      <c r="E11827" s="3" t="inlineStr">
        <is>
          <t xml:space="preserve">소송등의제기ㆍ신청(일정금액이상의청구)              </t>
        </is>
      </c>
      <c r="F11827" s="3" t="inlineStr">
        <is>
          <t>에스프리즘</t>
        </is>
      </c>
      <c r="G11827" s="2" t="inlineStr">
        <is>
          <t>20260618900830</t>
        </is>
      </c>
      <c r="H11827" s="8">
        <f>HYPERLINK("https://dart.fss.or.kr/dsaf001/main.do?rcpNo=20260618900830", "공시열람")</f>
        <v/>
      </c>
    </row>
    <row r="11828">
      <c r="A11828" s="2" t="inlineStr">
        <is>
          <t>2026-06-18</t>
        </is>
      </c>
      <c r="B11828" s="3" t="inlineStr">
        <is>
          <t>한화투자증권</t>
        </is>
      </c>
      <c r="C11828" s="2" t="inlineStr">
        <is>
          <t>코스피</t>
        </is>
      </c>
      <c r="D11828" s="2" t="inlineStr">
        <is>
          <t>003530</t>
        </is>
      </c>
      <c r="E11828" s="3" t="inlineStr">
        <is>
          <t>증권발행실적보고서</t>
        </is>
      </c>
      <c r="F11828" s="3" t="inlineStr">
        <is>
          <t>한화투자증권</t>
        </is>
      </c>
      <c r="G11828" s="2" t="inlineStr">
        <is>
          <t>20260618000395</t>
        </is>
      </c>
      <c r="H11828" s="8">
        <f>HYPERLINK("https://dart.fss.or.kr/dsaf001/main.do?rcpNo=20260618000395", "공시열람")</f>
        <v/>
      </c>
    </row>
    <row r="11829">
      <c r="A11829" s="2" t="inlineStr">
        <is>
          <t>2026-06-18</t>
        </is>
      </c>
      <c r="B11829" s="3" t="inlineStr">
        <is>
          <t>SK리츠</t>
        </is>
      </c>
      <c r="C11829" s="2" t="inlineStr">
        <is>
          <t>코스피</t>
        </is>
      </c>
      <c r="D11829" s="2" t="inlineStr">
        <is>
          <t>395400</t>
        </is>
      </c>
      <c r="E11829" s="3" t="inlineStr">
        <is>
          <t xml:space="preserve">기타경영사항(자율공시)              </t>
        </is>
      </c>
      <c r="F11829" s="3" t="inlineStr">
        <is>
          <t>SK리츠</t>
        </is>
      </c>
      <c r="G11829" s="2" t="inlineStr">
        <is>
          <t>20260618800805</t>
        </is>
      </c>
      <c r="H11829" s="8">
        <f>HYPERLINK("https://dart.fss.or.kr/dsaf001/main.do?rcpNo=20260618800805", "공시열람")</f>
        <v/>
      </c>
    </row>
    <row r="11830">
      <c r="A11830" s="2" t="inlineStr">
        <is>
          <t>2026-06-18</t>
        </is>
      </c>
      <c r="B11830" s="3" t="inlineStr">
        <is>
          <t>애경산업</t>
        </is>
      </c>
      <c r="C11830" s="2" t="inlineStr">
        <is>
          <t>코스피</t>
        </is>
      </c>
      <c r="D11830" s="2" t="inlineStr">
        <is>
          <t>018250</t>
        </is>
      </c>
      <c r="E11830" s="3" t="inlineStr">
        <is>
          <t>특수관계인과의보험거래</t>
        </is>
      </c>
      <c r="F11830" s="3" t="inlineStr">
        <is>
          <t>애경산업</t>
        </is>
      </c>
      <c r="G11830" s="2" t="inlineStr">
        <is>
          <t>20260618000394</t>
        </is>
      </c>
      <c r="H11830" s="8">
        <f>HYPERLINK("https://dart.fss.or.kr/dsaf001/main.do?rcpNo=20260618000394", "공시열람")</f>
        <v/>
      </c>
    </row>
    <row r="11831">
      <c r="A11831" s="2" t="inlineStr">
        <is>
          <t>2026-06-18</t>
        </is>
      </c>
      <c r="B11831" s="3" t="inlineStr">
        <is>
          <t>차AI헬스케어</t>
        </is>
      </c>
      <c r="C11831" s="2" t="inlineStr">
        <is>
          <t>코스피</t>
        </is>
      </c>
      <c r="D11831" s="2" t="inlineStr">
        <is>
          <t>025620</t>
        </is>
      </c>
      <c r="E11831" s="3" t="inlineStr">
        <is>
          <t>주요사항보고서(타법인주식및출자증권양수결정)</t>
        </is>
      </c>
      <c r="F11831" s="3" t="inlineStr">
        <is>
          <t>차AI헬스케어</t>
        </is>
      </c>
      <c r="G11831" s="2" t="inlineStr">
        <is>
          <t>20260618000378</t>
        </is>
      </c>
      <c r="H11831" s="8">
        <f>HYPERLINK("https://dart.fss.or.kr/dsaf001/main.do?rcpNo=20260618000378", "공시열람")</f>
        <v/>
      </c>
    </row>
    <row r="11832">
      <c r="A11832" s="2" t="inlineStr">
        <is>
          <t>2026-06-18</t>
        </is>
      </c>
      <c r="B11832" s="3" t="inlineStr">
        <is>
          <t>애경산업</t>
        </is>
      </c>
      <c r="C11832" s="2" t="inlineStr">
        <is>
          <t>코스피</t>
        </is>
      </c>
      <c r="D11832" s="2" t="inlineStr">
        <is>
          <t>018250</t>
        </is>
      </c>
      <c r="E11832" s="3" t="inlineStr">
        <is>
          <t xml:space="preserve">지속가능경영보고서등관련사항(자율공시)              </t>
        </is>
      </c>
      <c r="F11832" s="3" t="inlineStr">
        <is>
          <t>애경산업</t>
        </is>
      </c>
      <c r="G11832" s="2" t="inlineStr">
        <is>
          <t>20260618800821</t>
        </is>
      </c>
      <c r="H11832" s="8">
        <f>HYPERLINK("https://dart.fss.or.kr/dsaf001/main.do?rcpNo=20260618800821", "공시열람")</f>
        <v/>
      </c>
    </row>
    <row r="11833">
      <c r="A11833" s="2" t="inlineStr">
        <is>
          <t>2026-06-18</t>
        </is>
      </c>
      <c r="B11833" s="3" t="inlineStr">
        <is>
          <t>루켄테크놀러지스</t>
        </is>
      </c>
      <c r="C11833" s="2" t="inlineStr">
        <is>
          <t>코넥스</t>
        </is>
      </c>
      <c r="D11833" s="2" t="inlineStr">
        <is>
          <t>162120</t>
        </is>
      </c>
      <c r="E11833" s="3" t="inlineStr">
        <is>
          <t xml:space="preserve">기업설명회(IR)개최              </t>
        </is>
      </c>
      <c r="F11833" s="3" t="inlineStr">
        <is>
          <t>루켄테크놀러지스</t>
        </is>
      </c>
      <c r="G11833" s="2" t="inlineStr">
        <is>
          <t>20260618600808</t>
        </is>
      </c>
      <c r="H11833" s="8">
        <f>HYPERLINK("https://dart.fss.or.kr/dsaf001/main.do?rcpNo=20260618600808", "공시열람")</f>
        <v/>
      </c>
    </row>
    <row r="11834">
      <c r="A11834" s="2" t="inlineStr">
        <is>
          <t>2026-06-18</t>
        </is>
      </c>
      <c r="B11834" s="3" t="inlineStr">
        <is>
          <t>KB금융</t>
        </is>
      </c>
      <c r="C11834" s="2" t="inlineStr">
        <is>
          <t>코스피</t>
        </is>
      </c>
      <c r="D11834" s="2" t="inlineStr">
        <is>
          <t>105560</t>
        </is>
      </c>
      <c r="E11834" s="3" t="inlineStr">
        <is>
          <t>투자설명서(일괄신고)</t>
        </is>
      </c>
      <c r="F11834" s="3" t="inlineStr">
        <is>
          <t>KB금융</t>
        </is>
      </c>
      <c r="G11834" s="2" t="inlineStr">
        <is>
          <t>20260618000392</t>
        </is>
      </c>
      <c r="H11834" s="8">
        <f>HYPERLINK("https://dart.fss.or.kr/dsaf001/main.do?rcpNo=20260618000392", "공시열람")</f>
        <v/>
      </c>
    </row>
    <row r="11835">
      <c r="A11835" s="2" t="inlineStr">
        <is>
          <t>2026-06-18</t>
        </is>
      </c>
      <c r="B11835" s="3" t="inlineStr">
        <is>
          <t>한울반도체</t>
        </is>
      </c>
      <c r="C11835" s="2" t="inlineStr">
        <is>
          <t>코스닥</t>
        </is>
      </c>
      <c r="D11835" s="2" t="inlineStr">
        <is>
          <t>320000</t>
        </is>
      </c>
      <c r="E11835" s="3" t="inlineStr">
        <is>
          <t>임원ㆍ주요주주특정증권등거래계획보고서</t>
        </is>
      </c>
      <c r="F11835" s="3" t="inlineStr">
        <is>
          <t>한울소재과학</t>
        </is>
      </c>
      <c r="G11835" s="2" t="inlineStr">
        <is>
          <t>20260618000391</t>
        </is>
      </c>
      <c r="H11835" s="8">
        <f>HYPERLINK("https://dart.fss.or.kr/dsaf001/main.do?rcpNo=20260618000391", "공시열람")</f>
        <v/>
      </c>
    </row>
    <row r="11836">
      <c r="A11836" s="2" t="inlineStr">
        <is>
          <t>2026-06-18</t>
        </is>
      </c>
      <c r="B11836" s="3" t="inlineStr">
        <is>
          <t>SG</t>
        </is>
      </c>
      <c r="C11836" s="2" t="inlineStr">
        <is>
          <t>코스닥</t>
        </is>
      </c>
      <c r="D11836" s="2" t="inlineStr">
        <is>
          <t>255220</t>
        </is>
      </c>
      <c r="E11836" s="3" t="inlineStr">
        <is>
          <t>증권신고서(지분증권)</t>
        </is>
      </c>
      <c r="F11836" s="3" t="inlineStr">
        <is>
          <t>SG</t>
        </is>
      </c>
      <c r="G11836" s="2" t="inlineStr">
        <is>
          <t>20260618000390</t>
        </is>
      </c>
      <c r="H11836" s="8">
        <f>HYPERLINK("https://dart.fss.or.kr/dsaf001/main.do?rcpNo=20260618000390", "공시열람")</f>
        <v/>
      </c>
    </row>
    <row r="11837">
      <c r="A11837" s="2" t="inlineStr">
        <is>
          <t>2026-06-18</t>
        </is>
      </c>
      <c r="B11837" s="3" t="inlineStr">
        <is>
          <t>네오이뮨텍</t>
        </is>
      </c>
      <c r="C11837" s="2" t="inlineStr">
        <is>
          <t>코스닥</t>
        </is>
      </c>
      <c r="D11837" s="2" t="inlineStr">
        <is>
          <t>950220</t>
        </is>
      </c>
      <c r="E11837" s="3" t="inlineStr">
        <is>
          <t>증권발행결과(자율공시)              (제3자배정 유상증자)</t>
        </is>
      </c>
      <c r="F11837" s="3" t="inlineStr">
        <is>
          <t>네오이뮨텍</t>
        </is>
      </c>
      <c r="G11837" s="2" t="inlineStr">
        <is>
          <t>20260618900799</t>
        </is>
      </c>
      <c r="H11837" s="8">
        <f>HYPERLINK("https://dart.fss.or.kr/dsaf001/main.do?rcpNo=20260618900799", "공시열람")</f>
        <v/>
      </c>
    </row>
    <row r="11838">
      <c r="A11838" s="2" t="inlineStr">
        <is>
          <t>2026-06-18</t>
        </is>
      </c>
      <c r="B11838" s="3" t="inlineStr">
        <is>
          <t>KB금융</t>
        </is>
      </c>
      <c r="C11838" s="2" t="inlineStr">
        <is>
          <t>코스피</t>
        </is>
      </c>
      <c r="D11838" s="2" t="inlineStr">
        <is>
          <t>105560</t>
        </is>
      </c>
      <c r="E11838" s="3" t="inlineStr">
        <is>
          <t>일괄신고추가서류</t>
        </is>
      </c>
      <c r="F11838" s="3" t="inlineStr">
        <is>
          <t>KB금융</t>
        </is>
      </c>
      <c r="G11838" s="2" t="inlineStr">
        <is>
          <t>20260618000388</t>
        </is>
      </c>
      <c r="H11838" s="8">
        <f>HYPERLINK("https://dart.fss.or.kr/dsaf001/main.do?rcpNo=20260618000388", "공시열람")</f>
        <v/>
      </c>
    </row>
    <row r="11839">
      <c r="A11839" s="2" t="inlineStr">
        <is>
          <t>2026-06-18</t>
        </is>
      </c>
      <c r="B11839" s="3" t="inlineStr">
        <is>
          <t>한화투자증권</t>
        </is>
      </c>
      <c r="C11839" s="2" t="inlineStr">
        <is>
          <t>코스피</t>
        </is>
      </c>
      <c r="D11839" s="2" t="inlineStr">
        <is>
          <t>003530</t>
        </is>
      </c>
      <c r="E11839" s="3" t="inlineStr">
        <is>
          <t>증권발행실적보고서</t>
        </is>
      </c>
      <c r="F11839" s="3" t="inlineStr">
        <is>
          <t>한화투자증권</t>
        </is>
      </c>
      <c r="G11839" s="2" t="inlineStr">
        <is>
          <t>20260618000386</t>
        </is>
      </c>
      <c r="H11839" s="8">
        <f>HYPERLINK("https://dart.fss.or.kr/dsaf001/main.do?rcpNo=20260618000386", "공시열람")</f>
        <v/>
      </c>
    </row>
    <row r="11840">
      <c r="A11840" s="2" t="inlineStr">
        <is>
          <t>2026-06-18</t>
        </is>
      </c>
      <c r="B11840" s="3" t="inlineStr">
        <is>
          <t>자연과환경</t>
        </is>
      </c>
      <c r="C11840" s="2" t="inlineStr">
        <is>
          <t>코스닥</t>
        </is>
      </c>
      <c r="D11840" s="2" t="inlineStr">
        <is>
          <t>043910</t>
        </is>
      </c>
      <c r="E11840" s="3" t="inlineStr">
        <is>
          <t>임원ㆍ주요주주특정증권등소유상황보고서</t>
        </is>
      </c>
      <c r="F11840" s="3" t="inlineStr">
        <is>
          <t>이병용</t>
        </is>
      </c>
      <c r="G11840" s="2" t="inlineStr">
        <is>
          <t>20260618000385</t>
        </is>
      </c>
      <c r="H11840" s="8">
        <f>HYPERLINK("https://dart.fss.or.kr/dsaf001/main.do?rcpNo=20260618000385", "공시열람")</f>
        <v/>
      </c>
    </row>
    <row r="11841">
      <c r="A11841" s="2" t="inlineStr">
        <is>
          <t>2026-06-18</t>
        </is>
      </c>
      <c r="B11841" s="3" t="inlineStr">
        <is>
          <t>아이엠</t>
        </is>
      </c>
      <c r="C11841" s="2" t="inlineStr">
        <is>
          <t>코스닥</t>
        </is>
      </c>
      <c r="D11841" s="2" t="inlineStr">
        <is>
          <t>101390</t>
        </is>
      </c>
      <c r="E11841" s="3" t="inlineStr">
        <is>
          <t>주권매매거래정지해제              (상장폐지에 따른 정리매매 개시)</t>
        </is>
      </c>
      <c r="F11841" s="3" t="inlineStr">
        <is>
          <t>코스닥시장본부</t>
        </is>
      </c>
      <c r="G11841" s="2" t="inlineStr">
        <is>
          <t>20260618900762</t>
        </is>
      </c>
      <c r="H11841" s="8">
        <f>HYPERLINK("https://dart.fss.or.kr/dsaf001/main.do?rcpNo=20260618900762", "공시열람")</f>
        <v/>
      </c>
    </row>
    <row r="11842">
      <c r="A11842" s="2" t="inlineStr">
        <is>
          <t>2026-06-18</t>
        </is>
      </c>
      <c r="B11842" s="3" t="inlineStr">
        <is>
          <t>아이엠</t>
        </is>
      </c>
      <c r="C11842" s="2" t="inlineStr">
        <is>
          <t>코스닥</t>
        </is>
      </c>
      <c r="D11842" s="2" t="inlineStr">
        <is>
          <t>101390</t>
        </is>
      </c>
      <c r="E11842" s="3" t="inlineStr">
        <is>
          <t>기타시장안내              (상장폐지결정 효력정지 가처분 신청 기각에 따른 정리매매절차 재개)</t>
        </is>
      </c>
      <c r="F11842" s="3" t="inlineStr">
        <is>
          <t>코스닥시장본부</t>
        </is>
      </c>
      <c r="G11842" s="2" t="inlineStr">
        <is>
          <t>20260618900786</t>
        </is>
      </c>
      <c r="H11842" s="8">
        <f>HYPERLINK("https://dart.fss.or.kr/dsaf001/main.do?rcpNo=20260618900786", "공시열람")</f>
        <v/>
      </c>
    </row>
    <row r="11843">
      <c r="A11843" s="2" t="inlineStr">
        <is>
          <t>2026-06-18</t>
        </is>
      </c>
      <c r="B11843" s="3" t="inlineStr">
        <is>
          <t>한울반도체</t>
        </is>
      </c>
      <c r="C11843" s="2" t="inlineStr">
        <is>
          <t>코스닥</t>
        </is>
      </c>
      <c r="D11843" s="2" t="inlineStr">
        <is>
          <t>320000</t>
        </is>
      </c>
      <c r="E11843" s="3" t="inlineStr">
        <is>
          <t>임원ㆍ주요주주특정증권등거래계획철회보고서</t>
        </is>
      </c>
      <c r="F11843" s="3" t="inlineStr">
        <is>
          <t>한울소재과학</t>
        </is>
      </c>
      <c r="G11843" s="2" t="inlineStr">
        <is>
          <t>20260618000384</t>
        </is>
      </c>
      <c r="H11843" s="8">
        <f>HYPERLINK("https://dart.fss.or.kr/dsaf001/main.do?rcpNo=20260618000384", "공시열람")</f>
        <v/>
      </c>
    </row>
    <row r="11844">
      <c r="A11844" s="2" t="inlineStr">
        <is>
          <t>2026-06-18</t>
        </is>
      </c>
      <c r="B11844" s="3" t="inlineStr">
        <is>
          <t>메디쎄이</t>
        </is>
      </c>
      <c r="C11844" s="2" t="inlineStr">
        <is>
          <t>코넥스</t>
        </is>
      </c>
      <c r="D11844" s="2" t="inlineStr">
        <is>
          <t>200580</t>
        </is>
      </c>
      <c r="E11844" s="3" t="inlineStr">
        <is>
          <t xml:space="preserve">기업설명회(IR)개최              </t>
        </is>
      </c>
      <c r="F11844" s="3" t="inlineStr">
        <is>
          <t>메디쎄이</t>
        </is>
      </c>
      <c r="G11844" s="2" t="inlineStr">
        <is>
          <t>20260618600795</t>
        </is>
      </c>
      <c r="H11844" s="8">
        <f>HYPERLINK("https://dart.fss.or.kr/dsaf001/main.do?rcpNo=20260618600795", "공시열람")</f>
        <v/>
      </c>
    </row>
    <row r="11845">
      <c r="A11845" s="2" t="inlineStr">
        <is>
          <t>2026-06-18</t>
        </is>
      </c>
      <c r="B11845" s="3" t="inlineStr">
        <is>
          <t>한화투자증권</t>
        </is>
      </c>
      <c r="C11845" s="2" t="inlineStr">
        <is>
          <t>코스피</t>
        </is>
      </c>
      <c r="D11845" s="2" t="inlineStr">
        <is>
          <t>003530</t>
        </is>
      </c>
      <c r="E11845" s="3" t="inlineStr">
        <is>
          <t>투자설명서(일괄신고)</t>
        </is>
      </c>
      <c r="F11845" s="3" t="inlineStr">
        <is>
          <t>한화투자증권</t>
        </is>
      </c>
      <c r="G11845" s="2" t="inlineStr">
        <is>
          <t>20260618000380</t>
        </is>
      </c>
      <c r="H11845" s="8">
        <f>HYPERLINK("https://dart.fss.or.kr/dsaf001/main.do?rcpNo=20260618000380", "공시열람")</f>
        <v/>
      </c>
    </row>
    <row r="11846">
      <c r="A11846" s="2" t="inlineStr">
        <is>
          <t>2026-06-18</t>
        </is>
      </c>
      <c r="B11846" s="3" t="inlineStr">
        <is>
          <t>플루토스</t>
        </is>
      </c>
      <c r="C11846" s="2" t="inlineStr">
        <is>
          <t>코스닥</t>
        </is>
      </c>
      <c r="D11846" s="2" t="inlineStr">
        <is>
          <t>019570</t>
        </is>
      </c>
      <c r="E11846" s="3" t="inlineStr">
        <is>
          <t xml:space="preserve">증권발행결과(자율공시)              </t>
        </is>
      </c>
      <c r="F11846" s="3" t="inlineStr">
        <is>
          <t>플루토스</t>
        </is>
      </c>
      <c r="G11846" s="2" t="inlineStr">
        <is>
          <t>20260618900792</t>
        </is>
      </c>
      <c r="H11846" s="8">
        <f>HYPERLINK("https://dart.fss.or.kr/dsaf001/main.do?rcpNo=20260618900792", "공시열람")</f>
        <v/>
      </c>
    </row>
    <row r="11847">
      <c r="A11847" s="2" t="inlineStr">
        <is>
          <t>2026-06-18</t>
        </is>
      </c>
      <c r="B11847" s="3" t="inlineStr">
        <is>
          <t>엔솔바이오사이언스</t>
        </is>
      </c>
      <c r="C11847" s="2" t="inlineStr">
        <is>
          <t>코넥스</t>
        </is>
      </c>
      <c r="D11847" s="2" t="inlineStr">
        <is>
          <t>140610</t>
        </is>
      </c>
      <c r="E11847" s="3" t="inlineStr">
        <is>
          <t xml:space="preserve">기업설명회(IR)개최              </t>
        </is>
      </c>
      <c r="F11847" s="3" t="inlineStr">
        <is>
          <t>엔솔바이오사이언스</t>
        </is>
      </c>
      <c r="G11847" s="2" t="inlineStr">
        <is>
          <t>20260618600774</t>
        </is>
      </c>
      <c r="H11847" s="8">
        <f>HYPERLINK("https://dart.fss.or.kr/dsaf001/main.do?rcpNo=20260618600774", "공시열람")</f>
        <v/>
      </c>
    </row>
    <row r="11848">
      <c r="A11848" s="2" t="inlineStr">
        <is>
          <t>2026-06-18</t>
        </is>
      </c>
      <c r="B11848" s="3" t="inlineStr">
        <is>
          <t>노브메타파마</t>
        </is>
      </c>
      <c r="C11848" s="2" t="inlineStr">
        <is>
          <t>코넥스</t>
        </is>
      </c>
      <c r="D11848" s="2" t="inlineStr">
        <is>
          <t>229500</t>
        </is>
      </c>
      <c r="E11848" s="3" t="inlineStr">
        <is>
          <t xml:space="preserve">기업설명회(IR)개최              </t>
        </is>
      </c>
      <c r="F11848" s="3" t="inlineStr">
        <is>
          <t>노브메타파마</t>
        </is>
      </c>
      <c r="G11848" s="2" t="inlineStr">
        <is>
          <t>20260618600787</t>
        </is>
      </c>
      <c r="H11848" s="8">
        <f>HYPERLINK("https://dart.fss.or.kr/dsaf001/main.do?rcpNo=20260618600787", "공시열람")</f>
        <v/>
      </c>
    </row>
    <row r="11849">
      <c r="A11849" s="2" t="inlineStr">
        <is>
          <t>2026-06-18</t>
        </is>
      </c>
      <c r="B11849" s="3" t="inlineStr">
        <is>
          <t>성호전자</t>
        </is>
      </c>
      <c r="C11849" s="2" t="inlineStr">
        <is>
          <t>코스닥</t>
        </is>
      </c>
      <c r="D11849" s="2" t="inlineStr">
        <is>
          <t>043260</t>
        </is>
      </c>
      <c r="E11849" s="3" t="inlineStr">
        <is>
          <t xml:space="preserve">기업설명회(IR)개최              </t>
        </is>
      </c>
      <c r="F11849" s="3" t="inlineStr">
        <is>
          <t>성호전자</t>
        </is>
      </c>
      <c r="G11849" s="2" t="inlineStr">
        <is>
          <t>20260618900790</t>
        </is>
      </c>
      <c r="H11849" s="8">
        <f>HYPERLINK("https://dart.fss.or.kr/dsaf001/main.do?rcpNo=20260618900790", "공시열람")</f>
        <v/>
      </c>
    </row>
    <row r="11850">
      <c r="A11850" s="2" t="inlineStr">
        <is>
          <t>2026-06-18</t>
        </is>
      </c>
      <c r="B11850" s="3" t="inlineStr">
        <is>
          <t>블루산업개발</t>
        </is>
      </c>
      <c r="C11850" s="2" t="inlineStr">
        <is>
          <t>코스피</t>
        </is>
      </c>
      <c r="D11850" s="2" t="inlineStr">
        <is>
          <t>006740</t>
        </is>
      </c>
      <c r="E11850" s="3" t="inlineStr">
        <is>
          <t xml:space="preserve">유상증자또는주식관련사채등의발행결과(자율공시)              </t>
        </is>
      </c>
      <c r="F11850" s="3" t="inlineStr">
        <is>
          <t>블루산업개발</t>
        </is>
      </c>
      <c r="G11850" s="2" t="inlineStr">
        <is>
          <t>20260618800766</t>
        </is>
      </c>
      <c r="H11850" s="8">
        <f>HYPERLINK("https://dart.fss.or.kr/dsaf001/main.do?rcpNo=20260618800766", "공시열람")</f>
        <v/>
      </c>
    </row>
    <row r="11851">
      <c r="A11851" s="2" t="inlineStr">
        <is>
          <t>2026-06-18</t>
        </is>
      </c>
      <c r="B11851" s="3" t="inlineStr">
        <is>
          <t>신영증권</t>
        </is>
      </c>
      <c r="C11851" s="2" t="inlineStr">
        <is>
          <t>코스피</t>
        </is>
      </c>
      <c r="D11851" s="2" t="inlineStr">
        <is>
          <t>001720</t>
        </is>
      </c>
      <c r="E11851" s="3" t="inlineStr">
        <is>
          <t>투자설명서(일괄신고)</t>
        </is>
      </c>
      <c r="F11851" s="3" t="inlineStr">
        <is>
          <t>신영증권</t>
        </is>
      </c>
      <c r="G11851" s="2" t="inlineStr">
        <is>
          <t>20260618000375</t>
        </is>
      </c>
      <c r="H11851" s="8">
        <f>HYPERLINK("https://dart.fss.or.kr/dsaf001/main.do?rcpNo=20260618000375", "공시열람")</f>
        <v/>
      </c>
    </row>
    <row r="11852">
      <c r="A11852" s="2" t="inlineStr">
        <is>
          <t>2026-06-18</t>
        </is>
      </c>
      <c r="B11852" s="3" t="inlineStr">
        <is>
          <t>한화투자증권</t>
        </is>
      </c>
      <c r="C11852" s="2" t="inlineStr">
        <is>
          <t>코스피</t>
        </is>
      </c>
      <c r="D11852" s="2" t="inlineStr">
        <is>
          <t>003530</t>
        </is>
      </c>
      <c r="E11852" s="3" t="inlineStr">
        <is>
          <t>일괄신고추가서류(파생결합사채-주가연계파생결합사채)</t>
        </is>
      </c>
      <c r="F11852" s="3" t="inlineStr">
        <is>
          <t>한화투자증권</t>
        </is>
      </c>
      <c r="G11852" s="2" t="inlineStr">
        <is>
          <t>20260618000374</t>
        </is>
      </c>
      <c r="H11852" s="8">
        <f>HYPERLINK("https://dart.fss.or.kr/dsaf001/main.do?rcpNo=20260618000374", "공시열람")</f>
        <v/>
      </c>
    </row>
    <row r="11853">
      <c r="A11853" s="2" t="inlineStr">
        <is>
          <t>2026-06-18</t>
        </is>
      </c>
      <c r="B11853" s="3" t="inlineStr">
        <is>
          <t>엣지파운드리</t>
        </is>
      </c>
      <c r="C11853" s="2" t="inlineStr">
        <is>
          <t>코스닥</t>
        </is>
      </c>
      <c r="D11853" s="2" t="inlineStr">
        <is>
          <t>105550</t>
        </is>
      </c>
      <c r="E11853" s="3" t="inlineStr">
        <is>
          <t xml:space="preserve">전환사채(해외전환사채포함)발행후만기전사채취득              </t>
        </is>
      </c>
      <c r="F11853" s="3" t="inlineStr">
        <is>
          <t>엣지파운드리</t>
        </is>
      </c>
      <c r="G11853" s="2" t="inlineStr">
        <is>
          <t>20260618900770</t>
        </is>
      </c>
      <c r="H11853" s="8">
        <f>HYPERLINK("https://dart.fss.or.kr/dsaf001/main.do?rcpNo=20260618900770", "공시열람")</f>
        <v/>
      </c>
    </row>
    <row r="11854">
      <c r="A11854" s="2" t="inlineStr">
        <is>
          <t>2026-06-18</t>
        </is>
      </c>
      <c r="B11854" s="3" t="inlineStr">
        <is>
          <t>네오오토</t>
        </is>
      </c>
      <c r="C11854" s="2" t="inlineStr">
        <is>
          <t>코스닥</t>
        </is>
      </c>
      <c r="D11854" s="2" t="inlineStr">
        <is>
          <t>212560</t>
        </is>
      </c>
      <c r="E11854" s="3" t="inlineStr">
        <is>
          <t>임원ㆍ주요주주특정증권등소유상황보고서</t>
        </is>
      </c>
      <c r="F11854" s="3" t="inlineStr">
        <is>
          <t>김선현</t>
        </is>
      </c>
      <c r="G11854" s="2" t="inlineStr">
        <is>
          <t>20260618000372</t>
        </is>
      </c>
      <c r="H11854" s="8">
        <f>HYPERLINK("https://dart.fss.or.kr/dsaf001/main.do?rcpNo=20260618000372", "공시열람")</f>
        <v/>
      </c>
    </row>
    <row r="11855">
      <c r="A11855" s="2" t="inlineStr">
        <is>
          <t>2026-06-18</t>
        </is>
      </c>
      <c r="B11855" s="3" t="inlineStr">
        <is>
          <t>코스모로보틱스</t>
        </is>
      </c>
      <c r="C11855" s="2" t="inlineStr">
        <is>
          <t>코스닥</t>
        </is>
      </c>
      <c r="D11855" s="2" t="inlineStr">
        <is>
          <t>439960</t>
        </is>
      </c>
      <c r="E11855" s="3" t="inlineStr">
        <is>
          <t>임원ㆍ주요주주특정증권등소유상황보고서</t>
        </is>
      </c>
      <c r="F11855" s="3" t="inlineStr">
        <is>
          <t>엔비에이치캐피탈</t>
        </is>
      </c>
      <c r="G11855" s="2" t="inlineStr">
        <is>
          <t>20260618000370</t>
        </is>
      </c>
      <c r="H11855" s="8">
        <f>HYPERLINK("https://dart.fss.or.kr/dsaf001/main.do?rcpNo=20260618000370", "공시열람")</f>
        <v/>
      </c>
    </row>
    <row r="11856">
      <c r="A11856" s="2" t="inlineStr">
        <is>
          <t>2026-06-18</t>
        </is>
      </c>
      <c r="B11856" s="3" t="inlineStr">
        <is>
          <t>NAVER</t>
        </is>
      </c>
      <c r="C11856" s="2" t="inlineStr">
        <is>
          <t>코스피</t>
        </is>
      </c>
      <c r="D11856" s="2" t="inlineStr">
        <is>
          <t>035420</t>
        </is>
      </c>
      <c r="E11856" s="3" t="inlineStr">
        <is>
          <t xml:space="preserve">풍문또는보도에대한해명(미확정)              </t>
        </is>
      </c>
      <c r="F11856" s="3" t="inlineStr">
        <is>
          <t>NAVER</t>
        </is>
      </c>
      <c r="G11856" s="2" t="inlineStr">
        <is>
          <t>20260618800694</t>
        </is>
      </c>
      <c r="H11856" s="8">
        <f>HYPERLINK("https://dart.fss.or.kr/dsaf001/main.do?rcpNo=20260618800694", "공시열람")</f>
        <v/>
      </c>
    </row>
    <row r="11857">
      <c r="A11857" s="2" t="inlineStr">
        <is>
          <t>2026-06-18</t>
        </is>
      </c>
      <c r="B11857" s="3" t="inlineStr">
        <is>
          <t>전방</t>
        </is>
      </c>
      <c r="C11857" s="2" t="inlineStr">
        <is>
          <t>코스피</t>
        </is>
      </c>
      <c r="D11857" s="2" t="inlineStr">
        <is>
          <t>000950</t>
        </is>
      </c>
      <c r="E11857" s="3" t="inlineStr">
        <is>
          <t xml:space="preserve">소송등의제기ㆍ신청(일정금액이상의청구)              </t>
        </is>
      </c>
      <c r="F11857" s="3" t="inlineStr">
        <is>
          <t>전방</t>
        </is>
      </c>
      <c r="G11857" s="2" t="inlineStr">
        <is>
          <t>20260618800754</t>
        </is>
      </c>
      <c r="H11857" s="8">
        <f>HYPERLINK("https://dart.fss.or.kr/dsaf001/main.do?rcpNo=20260618800754", "공시열람")</f>
        <v/>
      </c>
    </row>
    <row r="11858">
      <c r="A11858" s="2" t="inlineStr">
        <is>
          <t>2026-06-18</t>
        </is>
      </c>
      <c r="B11858" s="3" t="inlineStr">
        <is>
          <t>한미사이언스</t>
        </is>
      </c>
      <c r="C11858" s="2" t="inlineStr">
        <is>
          <t>코스피</t>
        </is>
      </c>
      <c r="D11858" s="2" t="inlineStr">
        <is>
          <t>008930</t>
        </is>
      </c>
      <c r="E11858" s="3" t="inlineStr">
        <is>
          <t xml:space="preserve">조회공시요구(풍문또는보도)에대한답변(미확정)              </t>
        </is>
      </c>
      <c r="F11858" s="3" t="inlineStr">
        <is>
          <t>한미사이언스</t>
        </is>
      </c>
      <c r="G11858" s="2" t="inlineStr">
        <is>
          <t>20260618800675</t>
        </is>
      </c>
      <c r="H11858" s="8">
        <f>HYPERLINK("https://dart.fss.or.kr/dsaf001/main.do?rcpNo=20260618800675", "공시열람")</f>
        <v/>
      </c>
    </row>
    <row r="11859">
      <c r="A11859" s="2" t="inlineStr">
        <is>
          <t>2026-06-18</t>
        </is>
      </c>
      <c r="B11859" s="3" t="inlineStr">
        <is>
          <t>켈스</t>
        </is>
      </c>
      <c r="C11859" s="2" t="inlineStr">
        <is>
          <t>코넥스</t>
        </is>
      </c>
      <c r="D11859" s="2" t="inlineStr">
        <is>
          <t>402420</t>
        </is>
      </c>
      <c r="E11859" s="3" t="inlineStr">
        <is>
          <t xml:space="preserve">기업설명회(IR)개최결과              </t>
        </is>
      </c>
      <c r="F11859" s="3" t="inlineStr">
        <is>
          <t>켈스</t>
        </is>
      </c>
      <c r="G11859" s="2" t="inlineStr">
        <is>
          <t>20260618600745</t>
        </is>
      </c>
      <c r="H11859" s="8">
        <f>HYPERLINK("https://dart.fss.or.kr/dsaf001/main.do?rcpNo=20260618600745", "공시열람")</f>
        <v/>
      </c>
    </row>
    <row r="11860">
      <c r="A11860" s="2" t="inlineStr">
        <is>
          <t>2026-06-18</t>
        </is>
      </c>
      <c r="B11860" s="3" t="inlineStr">
        <is>
          <t>바스칸바이오제약</t>
        </is>
      </c>
      <c r="C11860" s="2" t="inlineStr">
        <is>
          <t>코넥스</t>
        </is>
      </c>
      <c r="D11860" s="2" t="inlineStr">
        <is>
          <t>354390</t>
        </is>
      </c>
      <c r="E11860" s="3" t="inlineStr">
        <is>
          <t xml:space="preserve">기업설명회(IR)개최              </t>
        </is>
      </c>
      <c r="F11860" s="3" t="inlineStr">
        <is>
          <t>바스칸바이오제약</t>
        </is>
      </c>
      <c r="G11860" s="2" t="inlineStr">
        <is>
          <t>20260618600718</t>
        </is>
      </c>
      <c r="H11860" s="8">
        <f>HYPERLINK("https://dart.fss.or.kr/dsaf001/main.do?rcpNo=20260618600718", "공시열람")</f>
        <v/>
      </c>
    </row>
    <row r="11861">
      <c r="A11861" s="2" t="inlineStr">
        <is>
          <t>2026-06-18</t>
        </is>
      </c>
      <c r="B11861" s="3" t="inlineStr">
        <is>
          <t>마스턴프리미어리츠</t>
        </is>
      </c>
      <c r="C11861" s="2" t="inlineStr">
        <is>
          <t>코스피</t>
        </is>
      </c>
      <c r="D11861" s="2" t="inlineStr">
        <is>
          <t>357430</t>
        </is>
      </c>
      <c r="E11861" s="3" t="inlineStr">
        <is>
          <t xml:space="preserve">감사보고서제출              </t>
        </is>
      </c>
      <c r="F11861" s="3" t="inlineStr">
        <is>
          <t>마스턴프리미어리츠</t>
        </is>
      </c>
      <c r="G11861" s="2" t="inlineStr">
        <is>
          <t>20260618800657</t>
        </is>
      </c>
      <c r="H11861" s="8">
        <f>HYPERLINK("https://dart.fss.or.kr/dsaf001/main.do?rcpNo=20260618800657", "공시열람")</f>
        <v/>
      </c>
    </row>
    <row r="11862">
      <c r="A11862" s="2" t="inlineStr">
        <is>
          <t>2026-06-18 (정정: 2026-06-18)</t>
        </is>
      </c>
      <c r="B11862" s="3" t="inlineStr">
        <is>
          <t>엔젠바이오</t>
        </is>
      </c>
      <c r="C11862" s="2" t="inlineStr">
        <is>
          <t>코스닥</t>
        </is>
      </c>
      <c r="D11862" s="2" t="inlineStr">
        <is>
          <t>354200</t>
        </is>
      </c>
      <c r="E11862" s="3" t="inlineStr">
        <is>
          <t>주권매매거래정지              (주식의 병합, 분할 등 전자등록 변경, 말소) (정정: 20260618)</t>
        </is>
      </c>
      <c r="F11862" s="3" t="inlineStr">
        <is>
          <t>코스닥시장본부</t>
        </is>
      </c>
      <c r="G11862" s="2" t="inlineStr">
        <is>
          <t>20260618000295</t>
        </is>
      </c>
      <c r="H11862" s="8">
        <f>HYPERLINK("https://dart.fss.or.kr/dsaf001/main.do?rcpNo=20260618000295", "공시열람")</f>
        <v/>
      </c>
    </row>
    <row r="11863">
      <c r="A11863" s="2" t="inlineStr">
        <is>
          <t>2026-06-18</t>
        </is>
      </c>
      <c r="B11863" s="3" t="inlineStr">
        <is>
          <t>한국전력공사</t>
        </is>
      </c>
      <c r="C11863" s="2" t="inlineStr">
        <is>
          <t>코스피</t>
        </is>
      </c>
      <c r="D11863" s="2" t="inlineStr">
        <is>
          <t>015760</t>
        </is>
      </c>
      <c r="E11863" s="3" t="inlineStr">
        <is>
          <t>임원ㆍ주요주주특정증권등소유상황보고서</t>
        </is>
      </c>
      <c r="F11863" s="3" t="inlineStr">
        <is>
          <t>전찬혁</t>
        </is>
      </c>
      <c r="G11863" s="2" t="inlineStr">
        <is>
          <t>20260618000358</t>
        </is>
      </c>
      <c r="H11863" s="8">
        <f>HYPERLINK("https://dart.fss.or.kr/dsaf001/main.do?rcpNo=20260618000358", "공시열람")</f>
        <v/>
      </c>
    </row>
    <row r="11864">
      <c r="A11864" s="2" t="inlineStr">
        <is>
          <t>2026-06-18</t>
        </is>
      </c>
      <c r="B11864" s="3" t="inlineStr">
        <is>
          <t>신영증권</t>
        </is>
      </c>
      <c r="C11864" s="2" t="inlineStr">
        <is>
          <t>코스피</t>
        </is>
      </c>
      <c r="D11864" s="2" t="inlineStr">
        <is>
          <t>001720</t>
        </is>
      </c>
      <c r="E11864" s="3" t="inlineStr">
        <is>
          <t>일괄신고추가서류(파생결합증권-주가연계증권)</t>
        </is>
      </c>
      <c r="F11864" s="3" t="inlineStr">
        <is>
          <t>신영증권</t>
        </is>
      </c>
      <c r="G11864" s="2" t="inlineStr">
        <is>
          <t>20260618000357</t>
        </is>
      </c>
      <c r="H11864" s="8">
        <f>HYPERLINK("https://dart.fss.or.kr/dsaf001/main.do?rcpNo=20260618000357", "공시열람")</f>
        <v/>
      </c>
    </row>
    <row r="11865">
      <c r="A11865" s="2" t="inlineStr">
        <is>
          <t>2026-06-18</t>
        </is>
      </c>
      <c r="B11865" s="3" t="inlineStr">
        <is>
          <t>뉴로메카</t>
        </is>
      </c>
      <c r="C11865" s="2" t="inlineStr">
        <is>
          <t>코스닥</t>
        </is>
      </c>
      <c r="D11865" s="2" t="inlineStr">
        <is>
          <t>348340</t>
        </is>
      </c>
      <c r="E11865" s="3" t="inlineStr">
        <is>
          <t>권리락              (유상증자)</t>
        </is>
      </c>
      <c r="F11865" s="3" t="inlineStr">
        <is>
          <t>코스닥시장본부</t>
        </is>
      </c>
      <c r="G11865" s="2" t="inlineStr">
        <is>
          <t>20260618900730</t>
        </is>
      </c>
      <c r="H11865" s="8">
        <f>HYPERLINK("https://dart.fss.or.kr/dsaf001/main.do?rcpNo=20260618900730", "공시열람")</f>
        <v/>
      </c>
    </row>
    <row r="11866">
      <c r="A11866" s="2" t="inlineStr">
        <is>
          <t>2026-06-18</t>
        </is>
      </c>
      <c r="B11866" s="3" t="inlineStr">
        <is>
          <t>이엠티</t>
        </is>
      </c>
      <c r="C11866" s="2" t="inlineStr">
        <is>
          <t>코넥스</t>
        </is>
      </c>
      <c r="D11866" s="2" t="inlineStr">
        <is>
          <t>232530</t>
        </is>
      </c>
      <c r="E11866" s="3" t="inlineStr">
        <is>
          <t xml:space="preserve">기업설명회(IR)개최              </t>
        </is>
      </c>
      <c r="F11866" s="3" t="inlineStr">
        <is>
          <t>이엠티</t>
        </is>
      </c>
      <c r="G11866" s="2" t="inlineStr">
        <is>
          <t>20260618600727</t>
        </is>
      </c>
      <c r="H11866" s="8">
        <f>HYPERLINK("https://dart.fss.or.kr/dsaf001/main.do?rcpNo=20260618600727", "공시열람")</f>
        <v/>
      </c>
    </row>
    <row r="11867">
      <c r="A11867" s="2" t="inlineStr">
        <is>
          <t>2026-06-18</t>
        </is>
      </c>
      <c r="B11867" s="3" t="inlineStr">
        <is>
          <t>오에스피</t>
        </is>
      </c>
      <c r="C11867" s="2" t="inlineStr">
        <is>
          <t>코스닥</t>
        </is>
      </c>
      <c r="D11867" s="2" t="inlineStr">
        <is>
          <t>368970</t>
        </is>
      </c>
      <c r="E11867" s="3" t="inlineStr">
        <is>
          <t>권리락              (무상증자)</t>
        </is>
      </c>
      <c r="F11867" s="3" t="inlineStr">
        <is>
          <t>코스닥시장본부</t>
        </is>
      </c>
      <c r="G11867" s="2" t="inlineStr">
        <is>
          <t>20260618900729</t>
        </is>
      </c>
      <c r="H11867" s="8">
        <f>HYPERLINK("https://dart.fss.or.kr/dsaf001/main.do?rcpNo=20260618900729", "공시열람")</f>
        <v/>
      </c>
    </row>
    <row r="11868">
      <c r="A11868" s="2" t="inlineStr">
        <is>
          <t>2026-06-18</t>
        </is>
      </c>
      <c r="B11868" s="3" t="inlineStr">
        <is>
          <t>디와이에이</t>
        </is>
      </c>
      <c r="C11868" s="2" t="inlineStr">
        <is>
          <t>코스피</t>
        </is>
      </c>
      <c r="D11868" s="2" t="inlineStr">
        <is>
          <t>002880</t>
        </is>
      </c>
      <c r="E11868" s="3" t="inlineStr">
        <is>
          <t>임원ㆍ주요주주특정증권등소유상황보고서</t>
        </is>
      </c>
      <c r="F11868" s="3" t="inlineStr">
        <is>
          <t>푸른산수목원</t>
        </is>
      </c>
      <c r="G11868" s="2" t="inlineStr">
        <is>
          <t>20260618000355</t>
        </is>
      </c>
      <c r="H11868" s="8">
        <f>HYPERLINK("https://dart.fss.or.kr/dsaf001/main.do?rcpNo=20260618000355", "공시열람")</f>
        <v/>
      </c>
    </row>
    <row r="11869">
      <c r="A11869" s="2" t="inlineStr">
        <is>
          <t>2026-06-18</t>
        </is>
      </c>
      <c r="B11869" s="3" t="inlineStr">
        <is>
          <t>이엠티</t>
        </is>
      </c>
      <c r="C11869" s="2" t="inlineStr">
        <is>
          <t>코넥스</t>
        </is>
      </c>
      <c r="D11869" s="2" t="inlineStr">
        <is>
          <t>232530</t>
        </is>
      </c>
      <c r="E11869" s="3" t="inlineStr">
        <is>
          <t xml:space="preserve">주주명부폐쇄기간또는기준일설정              </t>
        </is>
      </c>
      <c r="F11869" s="3" t="inlineStr">
        <is>
          <t>이엠티</t>
        </is>
      </c>
      <c r="G11869" s="2" t="inlineStr">
        <is>
          <t>20260618600723</t>
        </is>
      </c>
      <c r="H11869" s="8">
        <f>HYPERLINK("https://dart.fss.or.kr/dsaf001/main.do?rcpNo=20260618600723", "공시열람")</f>
        <v/>
      </c>
    </row>
    <row r="11870">
      <c r="A11870" s="2" t="inlineStr">
        <is>
          <t>2026-06-18</t>
        </is>
      </c>
      <c r="B11870" s="3" t="inlineStr">
        <is>
          <t>미트박스</t>
        </is>
      </c>
      <c r="C11870" s="2" t="inlineStr">
        <is>
          <t>코스닥</t>
        </is>
      </c>
      <c r="D11870" s="2" t="inlineStr">
        <is>
          <t>475460</t>
        </is>
      </c>
      <c r="E11870" s="3" t="inlineStr">
        <is>
          <t xml:space="preserve">타법인주식및출자증권취득결정              </t>
        </is>
      </c>
      <c r="F11870" s="3" t="inlineStr">
        <is>
          <t>미트박스</t>
        </is>
      </c>
      <c r="G11870" s="2" t="inlineStr">
        <is>
          <t>20260618900649</t>
        </is>
      </c>
      <c r="H11870" s="8">
        <f>HYPERLINK("https://dart.fss.or.kr/dsaf001/main.do?rcpNo=20260618900649", "공시열람")</f>
        <v/>
      </c>
    </row>
    <row r="11871">
      <c r="A11871" s="2" t="inlineStr">
        <is>
          <t>2026-06-18</t>
        </is>
      </c>
      <c r="B11871" s="3" t="inlineStr">
        <is>
          <t>한국전력공사</t>
        </is>
      </c>
      <c r="C11871" s="2" t="inlineStr">
        <is>
          <t>코스피</t>
        </is>
      </c>
      <c r="D11871" s="2" t="inlineStr">
        <is>
          <t>015760</t>
        </is>
      </c>
      <c r="E11871" s="3" t="inlineStr">
        <is>
          <t>임원ㆍ주요주주특정증권등소유상황보고서</t>
        </is>
      </c>
      <c r="F11871" s="3" t="inlineStr">
        <is>
          <t>백우기</t>
        </is>
      </c>
      <c r="G11871" s="2" t="inlineStr">
        <is>
          <t>20260618000349</t>
        </is>
      </c>
      <c r="H11871" s="8">
        <f>HYPERLINK("https://dart.fss.or.kr/dsaf001/main.do?rcpNo=20260618000349", "공시열람")</f>
        <v/>
      </c>
    </row>
    <row r="11872">
      <c r="A11872" s="2" t="inlineStr">
        <is>
          <t>2026-06-18</t>
        </is>
      </c>
      <c r="B11872" s="3" t="inlineStr">
        <is>
          <t>SHD</t>
        </is>
      </c>
      <c r="C11872" s="2" t="inlineStr">
        <is>
          <t>코스피</t>
        </is>
      </c>
      <c r="D11872" s="2" t="inlineStr">
        <is>
          <t>001770</t>
        </is>
      </c>
      <c r="E11872" s="3" t="inlineStr">
        <is>
          <t xml:space="preserve">투자유의안내              </t>
        </is>
      </c>
      <c r="F11872" s="3" t="inlineStr">
        <is>
          <t>유가증권시장본부</t>
        </is>
      </c>
      <c r="G11872" s="2" t="inlineStr">
        <is>
          <t>20260618800713</t>
        </is>
      </c>
      <c r="H11872" s="8">
        <f>HYPERLINK("https://dart.fss.or.kr/dsaf001/main.do?rcpNo=20260618800713", "공시열람")</f>
        <v/>
      </c>
    </row>
    <row r="11873">
      <c r="A11873" s="2" t="inlineStr">
        <is>
          <t>2026-06-18</t>
        </is>
      </c>
      <c r="B11873" s="3" t="inlineStr">
        <is>
          <t>우리금융지주</t>
        </is>
      </c>
      <c r="C11873" s="2" t="inlineStr">
        <is>
          <t>코스피</t>
        </is>
      </c>
      <c r="D11873" s="2" t="inlineStr">
        <is>
          <t>316140</t>
        </is>
      </c>
      <c r="E11873" s="3" t="inlineStr">
        <is>
          <t xml:space="preserve">기업설명회(IR)개최(안내공시)              </t>
        </is>
      </c>
      <c r="F11873" s="3" t="inlineStr">
        <is>
          <t>우리금융지주</t>
        </is>
      </c>
      <c r="G11873" s="2" t="inlineStr">
        <is>
          <t>20260618800678</t>
        </is>
      </c>
      <c r="H11873" s="8">
        <f>HYPERLINK("https://dart.fss.or.kr/dsaf001/main.do?rcpNo=20260618800678", "공시열람")</f>
        <v/>
      </c>
    </row>
    <row r="11874">
      <c r="A11874" s="2" t="inlineStr">
        <is>
          <t>2026-06-18</t>
        </is>
      </c>
      <c r="B11874" s="3" t="inlineStr">
        <is>
          <t>판타지오</t>
        </is>
      </c>
      <c r="C11874" s="2" t="inlineStr">
        <is>
          <t>코스닥</t>
        </is>
      </c>
      <c r="D11874" s="2" t="inlineStr">
        <is>
          <t>032800</t>
        </is>
      </c>
      <c r="E11874" s="3" t="inlineStr">
        <is>
          <t>전환가액의조정              (제7회차)</t>
        </is>
      </c>
      <c r="F11874" s="3" t="inlineStr">
        <is>
          <t>판타지오</t>
        </is>
      </c>
      <c r="G11874" s="2" t="inlineStr">
        <is>
          <t>20260618900620</t>
        </is>
      </c>
      <c r="H11874" s="8">
        <f>HYPERLINK("https://dart.fss.or.kr/dsaf001/main.do?rcpNo=20260618900620", "공시열람")</f>
        <v/>
      </c>
    </row>
    <row r="11875">
      <c r="A11875" s="2" t="inlineStr">
        <is>
          <t>2026-06-18 (정정: 2026-06-23)</t>
        </is>
      </c>
      <c r="B11875" s="3" t="inlineStr">
        <is>
          <t>트리니티항공</t>
        </is>
      </c>
      <c r="C11875" s="2" t="inlineStr">
        <is>
          <t>코스피</t>
        </is>
      </c>
      <c r="D11875" s="2" t="inlineStr">
        <is>
          <t>091810</t>
        </is>
      </c>
      <c r="E11875" s="3" t="inlineStr">
        <is>
          <t>주요사항보고서(자본으로인정되는채무증권발행결정) (정정: 20260623)</t>
        </is>
      </c>
      <c r="F11875" s="3" t="inlineStr">
        <is>
          <t>트리니티항공</t>
        </is>
      </c>
      <c r="G11875" s="2" t="inlineStr">
        <is>
          <t>20260623000279</t>
        </is>
      </c>
      <c r="H11875" s="8">
        <f>HYPERLINK("https://dart.fss.or.kr/dsaf001/main.do?rcpNo=20260623000279", "공시열람")</f>
        <v/>
      </c>
    </row>
    <row r="11876">
      <c r="A11876" s="2" t="inlineStr">
        <is>
          <t>2026-06-18 (정정: 2026-06-26)</t>
        </is>
      </c>
      <c r="B11876" s="3" t="inlineStr">
        <is>
          <t>한국미라클피플사</t>
        </is>
      </c>
      <c r="C11876" s="2" t="inlineStr">
        <is>
          <t>코넥스</t>
        </is>
      </c>
      <c r="D11876" s="2" t="inlineStr">
        <is>
          <t>331660</t>
        </is>
      </c>
      <c r="E11876" s="3" t="inlineStr">
        <is>
          <t>기업설명회(IR)개최               (정정: 20260626)</t>
        </is>
      </c>
      <c r="F11876" s="3" t="inlineStr">
        <is>
          <t>한국미라클피플사</t>
        </is>
      </c>
      <c r="G11876" s="2" t="inlineStr">
        <is>
          <t>20260626000422</t>
        </is>
      </c>
      <c r="H11876" s="8">
        <f>HYPERLINK("https://dart.fss.or.kr/dsaf001/main.do?rcpNo=20260626000422", "공시열람")</f>
        <v/>
      </c>
    </row>
    <row r="11877">
      <c r="A11877" s="2" t="inlineStr">
        <is>
          <t>2026-06-18</t>
        </is>
      </c>
      <c r="B11877" s="3" t="inlineStr">
        <is>
          <t>현대자동차</t>
        </is>
      </c>
      <c r="C11877" s="2" t="inlineStr">
        <is>
          <t>코스피</t>
        </is>
      </c>
      <c r="D11877" s="2" t="inlineStr">
        <is>
          <t>005380</t>
        </is>
      </c>
      <c r="E11877" s="3" t="inlineStr">
        <is>
          <t xml:space="preserve">기업설명회(IR)개최(안내공시)              </t>
        </is>
      </c>
      <c r="F11877" s="3" t="inlineStr">
        <is>
          <t>현대자동차</t>
        </is>
      </c>
      <c r="G11877" s="2" t="inlineStr">
        <is>
          <t>20260618800715</t>
        </is>
      </c>
      <c r="H11877" s="8">
        <f>HYPERLINK("https://dart.fss.or.kr/dsaf001/main.do?rcpNo=20260618800715", "공시열람")</f>
        <v/>
      </c>
    </row>
    <row r="11878">
      <c r="A11878" s="2" t="inlineStr">
        <is>
          <t>2026-06-18</t>
        </is>
      </c>
      <c r="B11878" s="3" t="inlineStr">
        <is>
          <t>씨앗</t>
        </is>
      </c>
      <c r="C11878" s="2" t="inlineStr">
        <is>
          <t>코넥스</t>
        </is>
      </c>
      <c r="D11878" s="2" t="inlineStr">
        <is>
          <t>103660</t>
        </is>
      </c>
      <c r="E11878" s="3" t="inlineStr">
        <is>
          <t xml:space="preserve">기업설명회(IR)개최결과              </t>
        </is>
      </c>
      <c r="F11878" s="3" t="inlineStr">
        <is>
          <t>씨앗</t>
        </is>
      </c>
      <c r="G11878" s="2" t="inlineStr">
        <is>
          <t>20260618600684</t>
        </is>
      </c>
      <c r="H11878" s="8">
        <f>HYPERLINK("https://dart.fss.or.kr/dsaf001/main.do?rcpNo=20260618600684", "공시열람")</f>
        <v/>
      </c>
    </row>
    <row r="11879">
      <c r="A11879" s="2" t="inlineStr">
        <is>
          <t>2026-06-18 (정정: 2026-06-19)</t>
        </is>
      </c>
      <c r="B11879" s="3" t="inlineStr">
        <is>
          <t>코람코라이프인프라리츠</t>
        </is>
      </c>
      <c r="C11879" s="2" t="inlineStr">
        <is>
          <t>코스피</t>
        </is>
      </c>
      <c r="D11879" s="2" t="inlineStr">
        <is>
          <t>357120</t>
        </is>
      </c>
      <c r="E11879" s="3" t="inlineStr">
        <is>
          <t>임원ㆍ주요주주특정증권등소유상황보고서 (정정: 20260619)</t>
        </is>
      </c>
      <c r="F11879" s="3" t="inlineStr">
        <is>
          <t>미래에셋자산운용</t>
        </is>
      </c>
      <c r="G11879" s="2" t="inlineStr">
        <is>
          <t>20260619800831</t>
        </is>
      </c>
      <c r="H11879" s="8">
        <f>HYPERLINK("https://dart.fss.or.kr/dsaf001/main.do?rcpNo=20260619800831", "공시열람")</f>
        <v/>
      </c>
    </row>
    <row r="11880">
      <c r="A11880" s="2" t="inlineStr">
        <is>
          <t>2026-06-18</t>
        </is>
      </c>
      <c r="B11880" s="3" t="inlineStr">
        <is>
          <t>이지스밸류플러스리츠</t>
        </is>
      </c>
      <c r="C11880" s="2" t="inlineStr">
        <is>
          <t>코스피</t>
        </is>
      </c>
      <c r="D11880" s="2" t="inlineStr">
        <is>
          <t>334890</t>
        </is>
      </c>
      <c r="E11880" s="3" t="inlineStr">
        <is>
          <t>임원ㆍ주요주주특정증권등소유상황보고서</t>
        </is>
      </c>
      <c r="F11880" s="3" t="inlineStr">
        <is>
          <t>미래에셋자산운용</t>
        </is>
      </c>
      <c r="G11880" s="2" t="inlineStr">
        <is>
          <t>20260618000342</t>
        </is>
      </c>
      <c r="H11880" s="8">
        <f>HYPERLINK("https://dart.fss.or.kr/dsaf001/main.do?rcpNo=20260618000342", "공시열람")</f>
        <v/>
      </c>
    </row>
    <row r="11881">
      <c r="A11881" s="2" t="inlineStr">
        <is>
          <t>2026-06-18</t>
        </is>
      </c>
      <c r="B11881" s="3" t="inlineStr">
        <is>
          <t>이리츠코크렙</t>
        </is>
      </c>
      <c r="C11881" s="2" t="inlineStr">
        <is>
          <t>코스피</t>
        </is>
      </c>
      <c r="D11881" s="2" t="inlineStr">
        <is>
          <t>088260</t>
        </is>
      </c>
      <c r="E11881" s="3" t="inlineStr">
        <is>
          <t>임원ㆍ주요주주특정증권등소유상황보고서</t>
        </is>
      </c>
      <c r="F11881" s="3" t="inlineStr">
        <is>
          <t>미래에셋자산운용</t>
        </is>
      </c>
      <c r="G11881" s="2" t="inlineStr">
        <is>
          <t>20260618000341</t>
        </is>
      </c>
      <c r="H11881" s="8">
        <f>HYPERLINK("https://dart.fss.or.kr/dsaf001/main.do?rcpNo=20260618000341", "공시열람")</f>
        <v/>
      </c>
    </row>
    <row r="11882">
      <c r="A11882" s="2" t="inlineStr">
        <is>
          <t>2026-06-18</t>
        </is>
      </c>
      <c r="B11882" s="3" t="inlineStr">
        <is>
          <t>신한알파리츠</t>
        </is>
      </c>
      <c r="C11882" s="2" t="inlineStr">
        <is>
          <t>코스피</t>
        </is>
      </c>
      <c r="D11882" s="2" t="inlineStr">
        <is>
          <t>293940</t>
        </is>
      </c>
      <c r="E11882" s="3" t="inlineStr">
        <is>
          <t>임원ㆍ주요주주특정증권등소유상황보고서</t>
        </is>
      </c>
      <c r="F11882" s="3" t="inlineStr">
        <is>
          <t>미래에셋자산운용</t>
        </is>
      </c>
      <c r="G11882" s="2" t="inlineStr">
        <is>
          <t>20260618000339</t>
        </is>
      </c>
      <c r="H11882" s="8">
        <f>HYPERLINK("https://dart.fss.or.kr/dsaf001/main.do?rcpNo=20260618000339", "공시열람")</f>
        <v/>
      </c>
    </row>
    <row r="11883">
      <c r="A11883" s="2" t="inlineStr">
        <is>
          <t>2026-06-18</t>
        </is>
      </c>
      <c r="B11883" s="3" t="inlineStr">
        <is>
          <t>롯데리츠</t>
        </is>
      </c>
      <c r="C11883" s="2" t="inlineStr">
        <is>
          <t>코스피</t>
        </is>
      </c>
      <c r="D11883" s="2" t="inlineStr">
        <is>
          <t>330590</t>
        </is>
      </c>
      <c r="E11883" s="3" t="inlineStr">
        <is>
          <t>임원ㆍ주요주주특정증권등소유상황보고서</t>
        </is>
      </c>
      <c r="F11883" s="3" t="inlineStr">
        <is>
          <t>미래에셋자산운용</t>
        </is>
      </c>
      <c r="G11883" s="2" t="inlineStr">
        <is>
          <t>20260618000338</t>
        </is>
      </c>
      <c r="H11883" s="8">
        <f>HYPERLINK("https://dart.fss.or.kr/dsaf001/main.do?rcpNo=20260618000338", "공시열람")</f>
        <v/>
      </c>
    </row>
    <row r="11884">
      <c r="A11884" s="2" t="inlineStr">
        <is>
          <t>2026-06-18</t>
        </is>
      </c>
      <c r="B11884" s="3" t="inlineStr">
        <is>
          <t>ESR켄달스퀘어리츠</t>
        </is>
      </c>
      <c r="C11884" s="2" t="inlineStr">
        <is>
          <t>코스피</t>
        </is>
      </c>
      <c r="D11884" s="2" t="inlineStr">
        <is>
          <t>365550</t>
        </is>
      </c>
      <c r="E11884" s="3" t="inlineStr">
        <is>
          <t>임원ㆍ주요주주특정증권등소유상황보고서</t>
        </is>
      </c>
      <c r="F11884" s="3" t="inlineStr">
        <is>
          <t>미래에셋자산운용</t>
        </is>
      </c>
      <c r="G11884" s="2" t="inlineStr">
        <is>
          <t>20260618000337</t>
        </is>
      </c>
      <c r="H11884" s="8">
        <f>HYPERLINK("https://dart.fss.or.kr/dsaf001/main.do?rcpNo=20260618000337", "공시열람")</f>
        <v/>
      </c>
    </row>
    <row r="11885">
      <c r="A11885" s="2" t="inlineStr">
        <is>
          <t>2026-06-18</t>
        </is>
      </c>
      <c r="B11885" s="3" t="inlineStr">
        <is>
          <t>DB하이텍</t>
        </is>
      </c>
      <c r="C11885" s="2" t="inlineStr">
        <is>
          <t>코스피</t>
        </is>
      </c>
      <c r="D11885" s="2" t="inlineStr">
        <is>
          <t>000990</t>
        </is>
      </c>
      <c r="E11885" s="3" t="inlineStr">
        <is>
          <t>임원ㆍ주요주주특정증권등소유상황보고서</t>
        </is>
      </c>
      <c r="F11885" s="3" t="inlineStr">
        <is>
          <t>미래에셋자산운용</t>
        </is>
      </c>
      <c r="G11885" s="2" t="inlineStr">
        <is>
          <t>20260618000336</t>
        </is>
      </c>
      <c r="H11885" s="8">
        <f>HYPERLINK("https://dart.fss.or.kr/dsaf001/main.do?rcpNo=20260618000336", "공시열람")</f>
        <v/>
      </c>
    </row>
    <row r="11886">
      <c r="A11886" s="2" t="inlineStr">
        <is>
          <t>2026-06-18 (정정: 2026-06-19)</t>
        </is>
      </c>
      <c r="B11886" s="3" t="inlineStr">
        <is>
          <t>한화리츠</t>
        </is>
      </c>
      <c r="C11886" s="2" t="inlineStr">
        <is>
          <t>코스피</t>
        </is>
      </c>
      <c r="D11886" s="2" t="inlineStr">
        <is>
          <t>451800</t>
        </is>
      </c>
      <c r="E11886" s="3" t="inlineStr">
        <is>
          <t>임원ㆍ주요주주특정증권등소유상황보고서 (정정: 20260619)</t>
        </is>
      </c>
      <c r="F11886" s="3" t="inlineStr">
        <is>
          <t>미래에셋자산운용</t>
        </is>
      </c>
      <c r="G11886" s="2" t="inlineStr">
        <is>
          <t>20260619800868</t>
        </is>
      </c>
      <c r="H11886" s="8">
        <f>HYPERLINK("https://dart.fss.or.kr/dsaf001/main.do?rcpNo=20260619800868", "공시열람")</f>
        <v/>
      </c>
    </row>
    <row r="11887">
      <c r="A11887" s="2" t="inlineStr">
        <is>
          <t>2026-06-18</t>
        </is>
      </c>
      <c r="B11887" s="3" t="inlineStr">
        <is>
          <t>삼성FN리츠</t>
        </is>
      </c>
      <c r="C11887" s="2" t="inlineStr">
        <is>
          <t>코스피</t>
        </is>
      </c>
      <c r="D11887" s="2" t="inlineStr">
        <is>
          <t>448730</t>
        </is>
      </c>
      <c r="E11887" s="3" t="inlineStr">
        <is>
          <t>임원ㆍ주요주주특정증권등소유상황보고서</t>
        </is>
      </c>
      <c r="F11887" s="3" t="inlineStr">
        <is>
          <t>미래에셋자산운용</t>
        </is>
      </c>
      <c r="G11887" s="2" t="inlineStr">
        <is>
          <t>20260618000334</t>
        </is>
      </c>
      <c r="H11887" s="8">
        <f>HYPERLINK("https://dart.fss.or.kr/dsaf001/main.do?rcpNo=20260618000334", "공시열람")</f>
        <v/>
      </c>
    </row>
    <row r="11888">
      <c r="A11888" s="2" t="inlineStr">
        <is>
          <t>2026-06-18</t>
        </is>
      </c>
      <c r="B11888" s="3" t="inlineStr">
        <is>
          <t>코람코더원리츠</t>
        </is>
      </c>
      <c r="C11888" s="2" t="inlineStr">
        <is>
          <t>코스피</t>
        </is>
      </c>
      <c r="D11888" s="2" t="inlineStr">
        <is>
          <t>417310</t>
        </is>
      </c>
      <c r="E11888" s="3" t="inlineStr">
        <is>
          <t>임원ㆍ주요주주특정증권등소유상황보고서</t>
        </is>
      </c>
      <c r="F11888" s="3" t="inlineStr">
        <is>
          <t>미래에셋자산운용</t>
        </is>
      </c>
      <c r="G11888" s="2" t="inlineStr">
        <is>
          <t>20260618000333</t>
        </is>
      </c>
      <c r="H11888" s="8">
        <f>HYPERLINK("https://dart.fss.or.kr/dsaf001/main.do?rcpNo=20260618000333", "공시열람")</f>
        <v/>
      </c>
    </row>
    <row r="11889">
      <c r="A11889" s="2" t="inlineStr">
        <is>
          <t>2026-06-18</t>
        </is>
      </c>
      <c r="B11889" s="3" t="inlineStr">
        <is>
          <t>신한서부티엔디리츠</t>
        </is>
      </c>
      <c r="C11889" s="2" t="inlineStr">
        <is>
          <t>코스피</t>
        </is>
      </c>
      <c r="D11889" s="2" t="inlineStr">
        <is>
          <t>404990</t>
        </is>
      </c>
      <c r="E11889" s="3" t="inlineStr">
        <is>
          <t>임원ㆍ주요주주특정증권등소유상황보고서</t>
        </is>
      </c>
      <c r="F11889" s="3" t="inlineStr">
        <is>
          <t>미래에셋자산운용</t>
        </is>
      </c>
      <c r="G11889" s="2" t="inlineStr">
        <is>
          <t>20260618000332</t>
        </is>
      </c>
      <c r="H11889" s="8">
        <f>HYPERLINK("https://dart.fss.or.kr/dsaf001/main.do?rcpNo=20260618000332", "공시열람")</f>
        <v/>
      </c>
    </row>
    <row r="11890">
      <c r="A11890" s="2" t="inlineStr">
        <is>
          <t>2026-06-18</t>
        </is>
      </c>
      <c r="B11890" s="3" t="inlineStr">
        <is>
          <t>디앤디플랫폼리츠</t>
        </is>
      </c>
      <c r="C11890" s="2" t="inlineStr">
        <is>
          <t>코스피</t>
        </is>
      </c>
      <c r="D11890" s="2" t="inlineStr">
        <is>
          <t>377190</t>
        </is>
      </c>
      <c r="E11890" s="3" t="inlineStr">
        <is>
          <t>임원ㆍ주요주주특정증권등소유상황보고서</t>
        </is>
      </c>
      <c r="F11890" s="3" t="inlineStr">
        <is>
          <t>미래에셋자산운용</t>
        </is>
      </c>
      <c r="G11890" s="2" t="inlineStr">
        <is>
          <t>20260618000331</t>
        </is>
      </c>
      <c r="H11890" s="8">
        <f>HYPERLINK("https://dart.fss.or.kr/dsaf001/main.do?rcpNo=20260618000331", "공시열람")</f>
        <v/>
      </c>
    </row>
    <row r="11891">
      <c r="A11891" s="2" t="inlineStr">
        <is>
          <t>2026-06-18</t>
        </is>
      </c>
      <c r="B11891" s="3" t="inlineStr">
        <is>
          <t>본시스템즈</t>
        </is>
      </c>
      <c r="C11891" s="2" t="inlineStr">
        <is>
          <t>코넥스</t>
        </is>
      </c>
      <c r="D11891" s="2" t="inlineStr">
        <is>
          <t>496320</t>
        </is>
      </c>
      <c r="E11891" s="3" t="inlineStr">
        <is>
          <t>임원ㆍ주요주주특정증권등소유상황보고서</t>
        </is>
      </c>
      <c r="F11891" s="3" t="inlineStr">
        <is>
          <t>아이비케이에스 혁신 소부장 신기술투자조합 제5호</t>
        </is>
      </c>
      <c r="G11891" s="2" t="inlineStr">
        <is>
          <t>20260618000330</t>
        </is>
      </c>
      <c r="H11891" s="8">
        <f>HYPERLINK("https://dart.fss.or.kr/dsaf001/main.do?rcpNo=20260618000330", "공시열람")</f>
        <v/>
      </c>
    </row>
    <row r="11892">
      <c r="A11892" s="2" t="inlineStr">
        <is>
          <t>2026-06-18</t>
        </is>
      </c>
      <c r="B11892" s="3" t="inlineStr">
        <is>
          <t>SK리츠</t>
        </is>
      </c>
      <c r="C11892" s="2" t="inlineStr">
        <is>
          <t>코스피</t>
        </is>
      </c>
      <c r="D11892" s="2" t="inlineStr">
        <is>
          <t>395400</t>
        </is>
      </c>
      <c r="E11892" s="3" t="inlineStr">
        <is>
          <t>임원ㆍ주요주주특정증권등소유상황보고서</t>
        </is>
      </c>
      <c r="F11892" s="3" t="inlineStr">
        <is>
          <t>미래에셋자산운용</t>
        </is>
      </c>
      <c r="G11892" s="2" t="inlineStr">
        <is>
          <t>20260618000329</t>
        </is>
      </c>
      <c r="H11892" s="8">
        <f>HYPERLINK("https://dart.fss.or.kr/dsaf001/main.do?rcpNo=20260618000329", "공시열람")</f>
        <v/>
      </c>
    </row>
    <row r="11893">
      <c r="A11893" s="2" t="inlineStr">
        <is>
          <t>2026-06-18</t>
        </is>
      </c>
      <c r="B11893" s="3" t="inlineStr">
        <is>
          <t>본시스템즈</t>
        </is>
      </c>
      <c r="C11893" s="2" t="inlineStr">
        <is>
          <t>코넥스</t>
        </is>
      </c>
      <c r="D11893" s="2" t="inlineStr">
        <is>
          <t>496320</t>
        </is>
      </c>
      <c r="E11893" s="3" t="inlineStr">
        <is>
          <t>임원ㆍ주요주주특정증권등소유상황보고서</t>
        </is>
      </c>
      <c r="F11893" s="3" t="inlineStr">
        <is>
          <t>엔에이치-아이비케이에스 코넥스 스케일업 신기술투자조합</t>
        </is>
      </c>
      <c r="G11893" s="2" t="inlineStr">
        <is>
          <t>20260618000324</t>
        </is>
      </c>
      <c r="H11893" s="8">
        <f>HYPERLINK("https://dart.fss.or.kr/dsaf001/main.do?rcpNo=20260618000324", "공시열람")</f>
        <v/>
      </c>
    </row>
    <row r="11894">
      <c r="A11894" s="2" t="inlineStr">
        <is>
          <t>2026-06-18</t>
        </is>
      </c>
      <c r="B11894" s="3" t="inlineStr">
        <is>
          <t>씨알푸드</t>
        </is>
      </c>
      <c r="C11894" s="2" t="inlineStr">
        <is>
          <t>코넥스</t>
        </is>
      </c>
      <c r="D11894" s="2" t="inlineStr">
        <is>
          <t>236030</t>
        </is>
      </c>
      <c r="E11894" s="3" t="inlineStr">
        <is>
          <t xml:space="preserve">기업설명회(IR)개최결과              </t>
        </is>
      </c>
      <c r="F11894" s="3" t="inlineStr">
        <is>
          <t>씨알푸드</t>
        </is>
      </c>
      <c r="G11894" s="2" t="inlineStr">
        <is>
          <t>20260618600651</t>
        </is>
      </c>
      <c r="H11894" s="8">
        <f>HYPERLINK("https://dart.fss.or.kr/dsaf001/main.do?rcpNo=20260618600651", "공시열람")</f>
        <v/>
      </c>
    </row>
    <row r="11895">
      <c r="A11895" s="2" t="inlineStr">
        <is>
          <t>2026-06-18</t>
        </is>
      </c>
      <c r="B11895" s="3" t="inlineStr">
        <is>
          <t>루닛</t>
        </is>
      </c>
      <c r="C11895" s="2" t="inlineStr">
        <is>
          <t>코스닥</t>
        </is>
      </c>
      <c r="D11895" s="2" t="inlineStr">
        <is>
          <t>328130</t>
        </is>
      </c>
      <c r="E11895" s="3" t="inlineStr">
        <is>
          <t xml:space="preserve">기업설명회(IR)개최              </t>
        </is>
      </c>
      <c r="F11895" s="3" t="inlineStr">
        <is>
          <t>루닛</t>
        </is>
      </c>
      <c r="G11895" s="2" t="inlineStr">
        <is>
          <t>20260618900645</t>
        </is>
      </c>
      <c r="H11895" s="8">
        <f>HYPERLINK("https://dart.fss.or.kr/dsaf001/main.do?rcpNo=20260618900645", "공시열람")</f>
        <v/>
      </c>
    </row>
    <row r="11896">
      <c r="A11896" s="2" t="inlineStr">
        <is>
          <t>2026-06-18 (정정: 2026-06-22)</t>
        </is>
      </c>
      <c r="B11896" s="3" t="inlineStr">
        <is>
          <t>휴온스글로벌</t>
        </is>
      </c>
      <c r="C11896" s="2" t="inlineStr">
        <is>
          <t>코스닥</t>
        </is>
      </c>
      <c r="D11896" s="2" t="inlineStr">
        <is>
          <t>084110</t>
        </is>
      </c>
      <c r="E11896" s="3" t="inlineStr">
        <is>
          <t>의결권대리행사권유참고서류 (정정: 20260622) (정정: 20260622)</t>
        </is>
      </c>
      <c r="F11896" s="3" t="inlineStr">
        <is>
          <t>휴온스글로벌</t>
        </is>
      </c>
      <c r="G11896" s="2" t="inlineStr">
        <is>
          <t>20260622000306</t>
        </is>
      </c>
      <c r="H11896" s="8">
        <f>HYPERLINK("https://dart.fss.or.kr/dsaf001/main.do?rcpNo=20260622000306", "공시열람")</f>
        <v/>
      </c>
    </row>
    <row r="11897">
      <c r="A11897" s="2" t="inlineStr">
        <is>
          <t>2026-06-18</t>
        </is>
      </c>
      <c r="B11897" s="3" t="inlineStr">
        <is>
          <t>위지트</t>
        </is>
      </c>
      <c r="C11897" s="2" t="inlineStr">
        <is>
          <t>코스닥</t>
        </is>
      </c>
      <c r="D11897" s="2" t="inlineStr">
        <is>
          <t>036090</t>
        </is>
      </c>
      <c r="E11897" s="3" t="inlineStr">
        <is>
          <t>임원ㆍ주요주주특정증권등소유상황보고서</t>
        </is>
      </c>
      <c r="F11897" s="3" t="inlineStr">
        <is>
          <t>제이에스아이홀딩스</t>
        </is>
      </c>
      <c r="G11897" s="2" t="inlineStr">
        <is>
          <t>20260618000313</t>
        </is>
      </c>
      <c r="H11897" s="8">
        <f>HYPERLINK("https://dart.fss.or.kr/dsaf001/main.do?rcpNo=20260618000313", "공시열람")</f>
        <v/>
      </c>
    </row>
    <row r="11898">
      <c r="A11898" s="2" t="inlineStr">
        <is>
          <t>2026-06-18</t>
        </is>
      </c>
      <c r="B11898" s="3" t="inlineStr">
        <is>
          <t>DB손해보험</t>
        </is>
      </c>
      <c r="C11898" s="2" t="inlineStr">
        <is>
          <t>코스피</t>
        </is>
      </c>
      <c r="D11898" s="2" t="inlineStr">
        <is>
          <t>005830</t>
        </is>
      </c>
      <c r="E11898" s="3" t="inlineStr">
        <is>
          <t>특수관계인에대한증여</t>
        </is>
      </c>
      <c r="F11898" s="3" t="inlineStr">
        <is>
          <t>DB손해보험</t>
        </is>
      </c>
      <c r="G11898" s="2" t="inlineStr">
        <is>
          <t>20260618000312</t>
        </is>
      </c>
      <c r="H11898" s="8">
        <f>HYPERLINK("https://dart.fss.or.kr/dsaf001/main.do?rcpNo=20260618000312", "공시열람")</f>
        <v/>
      </c>
    </row>
    <row r="11899">
      <c r="A11899" s="2" t="inlineStr">
        <is>
          <t>2026-06-18</t>
        </is>
      </c>
      <c r="B11899" s="3" t="inlineStr">
        <is>
          <t>KB금융</t>
        </is>
      </c>
      <c r="C11899" s="2" t="inlineStr">
        <is>
          <t>코스피</t>
        </is>
      </c>
      <c r="D11899" s="2" t="inlineStr">
        <is>
          <t>105560</t>
        </is>
      </c>
      <c r="E11899" s="3" t="inlineStr">
        <is>
          <t xml:space="preserve">현금ㆍ현물배당결정(자회사의 주요경영사항)              </t>
        </is>
      </c>
      <c r="F11899" s="3" t="inlineStr">
        <is>
          <t>KB금융</t>
        </is>
      </c>
      <c r="G11899" s="2" t="inlineStr">
        <is>
          <t>20260618800642</t>
        </is>
      </c>
      <c r="H11899" s="8">
        <f>HYPERLINK("https://dart.fss.or.kr/dsaf001/main.do?rcpNo=20260618800642", "공시열람")</f>
        <v/>
      </c>
    </row>
    <row r="11900">
      <c r="A11900" s="2" t="inlineStr">
        <is>
          <t>2026-06-18</t>
        </is>
      </c>
      <c r="B11900" s="3" t="inlineStr">
        <is>
          <t>HLB생명과학</t>
        </is>
      </c>
      <c r="C11900" s="2" t="inlineStr">
        <is>
          <t>코스닥</t>
        </is>
      </c>
      <c r="D11900" s="2" t="inlineStr">
        <is>
          <t>067630</t>
        </is>
      </c>
      <c r="E11900" s="3" t="inlineStr">
        <is>
          <t>전환사채(해외전환사채포함)발행후만기전사채취득              (제13회차)</t>
        </is>
      </c>
      <c r="F11900" s="3" t="inlineStr">
        <is>
          <t>HLB생명과학</t>
        </is>
      </c>
      <c r="G11900" s="2" t="inlineStr">
        <is>
          <t>20260618900614</t>
        </is>
      </c>
      <c r="H11900" s="8">
        <f>HYPERLINK("https://dart.fss.or.kr/dsaf001/main.do?rcpNo=20260618900614", "공시열람")</f>
        <v/>
      </c>
    </row>
    <row r="11901">
      <c r="A11901" s="2" t="inlineStr">
        <is>
          <t>2026-06-18</t>
        </is>
      </c>
      <c r="B11901" s="3" t="inlineStr">
        <is>
          <t>에이치브이엠</t>
        </is>
      </c>
      <c r="C11901" s="2" t="inlineStr">
        <is>
          <t>코스닥</t>
        </is>
      </c>
      <c r="D11901" s="2" t="inlineStr">
        <is>
          <t>295310</t>
        </is>
      </c>
      <c r="E11901" s="3" t="inlineStr">
        <is>
          <t xml:space="preserve">단기차입금증가결정              </t>
        </is>
      </c>
      <c r="F11901" s="3" t="inlineStr">
        <is>
          <t>에이치브이엠</t>
        </is>
      </c>
      <c r="G11901" s="2" t="inlineStr">
        <is>
          <t>20260618900592</t>
        </is>
      </c>
      <c r="H11901" s="8">
        <f>HYPERLINK("https://dart.fss.or.kr/dsaf001/main.do?rcpNo=20260618900592", "공시열람")</f>
        <v/>
      </c>
    </row>
    <row r="11902">
      <c r="A11902" s="2" t="inlineStr">
        <is>
          <t>2026-06-18</t>
        </is>
      </c>
      <c r="B11902" s="3" t="inlineStr">
        <is>
          <t>대덕전자</t>
        </is>
      </c>
      <c r="C11902" s="2" t="inlineStr">
        <is>
          <t>코스피</t>
        </is>
      </c>
      <c r="D11902" s="2" t="inlineStr">
        <is>
          <t>353200</t>
        </is>
      </c>
      <c r="E11902" s="3" t="inlineStr">
        <is>
          <t>임원ㆍ주요주주특정증권등소유상황보고서</t>
        </is>
      </c>
      <c r="F11902" s="3" t="inlineStr">
        <is>
          <t>배영근</t>
        </is>
      </c>
      <c r="G11902" s="2" t="inlineStr">
        <is>
          <t>20260618000309</t>
        </is>
      </c>
      <c r="H11902" s="8">
        <f>HYPERLINK("https://dart.fss.or.kr/dsaf001/main.do?rcpNo=20260618000309", "공시열람")</f>
        <v/>
      </c>
    </row>
    <row r="11903">
      <c r="A11903" s="2" t="inlineStr">
        <is>
          <t>2026-06-18</t>
        </is>
      </c>
      <c r="B11903" s="3" t="inlineStr">
        <is>
          <t>위월드</t>
        </is>
      </c>
      <c r="C11903" s="2" t="inlineStr">
        <is>
          <t>코넥스</t>
        </is>
      </c>
      <c r="D11903" s="2" t="inlineStr">
        <is>
          <t>140660</t>
        </is>
      </c>
      <c r="E11903" s="3" t="inlineStr">
        <is>
          <t xml:space="preserve">기업설명회(IR)개최결과              </t>
        </is>
      </c>
      <c r="F11903" s="3" t="inlineStr">
        <is>
          <t>위월드</t>
        </is>
      </c>
      <c r="G11903" s="2" t="inlineStr">
        <is>
          <t>20260618600623</t>
        </is>
      </c>
      <c r="H11903" s="8">
        <f>HYPERLINK("https://dart.fss.or.kr/dsaf001/main.do?rcpNo=20260618600623", "공시열람")</f>
        <v/>
      </c>
    </row>
    <row r="11904">
      <c r="A11904" s="2" t="inlineStr">
        <is>
          <t>2026-06-18</t>
        </is>
      </c>
      <c r="B11904" s="3" t="inlineStr">
        <is>
          <t>비스토스</t>
        </is>
      </c>
      <c r="C11904" s="2" t="inlineStr">
        <is>
          <t>코스닥</t>
        </is>
      </c>
      <c r="D11904" s="2" t="inlineStr">
        <is>
          <t>419540</t>
        </is>
      </c>
      <c r="E11904" s="3" t="inlineStr">
        <is>
          <t>증권발행결과(자율공시)              (제3자배정 유상증자)</t>
        </is>
      </c>
      <c r="F11904" s="3" t="inlineStr">
        <is>
          <t>비스토스</t>
        </is>
      </c>
      <c r="G11904" s="2" t="inlineStr">
        <is>
          <t>20260618900523</t>
        </is>
      </c>
      <c r="H11904" s="8">
        <f>HYPERLINK("https://dart.fss.or.kr/dsaf001/main.do?rcpNo=20260618900523", "공시열람")</f>
        <v/>
      </c>
    </row>
    <row r="11905">
      <c r="A11905" s="2" t="inlineStr">
        <is>
          <t>2026-06-18</t>
        </is>
      </c>
      <c r="B11905" s="3" t="inlineStr">
        <is>
          <t>메디안디노스틱</t>
        </is>
      </c>
      <c r="C11905" s="2" t="inlineStr">
        <is>
          <t>코넥스</t>
        </is>
      </c>
      <c r="D11905" s="2" t="inlineStr">
        <is>
          <t>233250</t>
        </is>
      </c>
      <c r="E11905" s="3" t="inlineStr">
        <is>
          <t xml:space="preserve">기업설명회(IR)개최결과              </t>
        </is>
      </c>
      <c r="F11905" s="3" t="inlineStr">
        <is>
          <t>메디안디노스틱</t>
        </is>
      </c>
      <c r="G11905" s="2" t="inlineStr">
        <is>
          <t>20260618600617</t>
        </is>
      </c>
      <c r="H11905" s="8">
        <f>HYPERLINK("https://dart.fss.or.kr/dsaf001/main.do?rcpNo=20260618600617", "공시열람")</f>
        <v/>
      </c>
    </row>
    <row r="11906">
      <c r="A11906" s="2" t="inlineStr">
        <is>
          <t>2026-06-18</t>
        </is>
      </c>
      <c r="B11906" s="3" t="inlineStr">
        <is>
          <t>DB손해보험</t>
        </is>
      </c>
      <c r="C11906" s="2" t="inlineStr">
        <is>
          <t>코스피</t>
        </is>
      </c>
      <c r="D11906" s="2" t="inlineStr">
        <is>
          <t>005830</t>
        </is>
      </c>
      <c r="E11906" s="3" t="inlineStr">
        <is>
          <t>특수관계인과의예ㆍ적금거래</t>
        </is>
      </c>
      <c r="F11906" s="3" t="inlineStr">
        <is>
          <t>DB손해보험</t>
        </is>
      </c>
      <c r="G11906" s="2" t="inlineStr">
        <is>
          <t>20260618000307</t>
        </is>
      </c>
      <c r="H11906" s="8">
        <f>HYPERLINK("https://dart.fss.or.kr/dsaf001/main.do?rcpNo=20260618000307", "공시열람")</f>
        <v/>
      </c>
    </row>
    <row r="11907">
      <c r="A11907" s="2" t="inlineStr">
        <is>
          <t>2026-06-18</t>
        </is>
      </c>
      <c r="B11907" s="3" t="inlineStr">
        <is>
          <t>SV인베스트먼트</t>
        </is>
      </c>
      <c r="C11907" s="2" t="inlineStr">
        <is>
          <t>코스닥</t>
        </is>
      </c>
      <c r="D11907" s="2" t="inlineStr">
        <is>
          <t>289080</t>
        </is>
      </c>
      <c r="E11907" s="3" t="inlineStr">
        <is>
          <t xml:space="preserve">감사보고서제출              </t>
        </is>
      </c>
      <c r="F11907" s="3" t="inlineStr">
        <is>
          <t>SV인베스트먼트</t>
        </is>
      </c>
      <c r="G11907" s="2" t="inlineStr">
        <is>
          <t>20260618900574</t>
        </is>
      </c>
      <c r="H11907" s="8">
        <f>HYPERLINK("https://dart.fss.or.kr/dsaf001/main.do?rcpNo=20260618900574", "공시열람")</f>
        <v/>
      </c>
    </row>
    <row r="11908">
      <c r="A11908" s="2" t="inlineStr">
        <is>
          <t>2026-06-18</t>
        </is>
      </c>
      <c r="B11908" s="3" t="inlineStr">
        <is>
          <t>KB금융</t>
        </is>
      </c>
      <c r="C11908" s="2" t="inlineStr">
        <is>
          <t>코스피</t>
        </is>
      </c>
      <c r="D11908" s="2" t="inlineStr">
        <is>
          <t>105560</t>
        </is>
      </c>
      <c r="E11908" s="3" t="inlineStr">
        <is>
          <t xml:space="preserve">현금ㆍ현물배당을위한주주명부폐쇄(기준일)결정(자회사의 주요경영사항)              </t>
        </is>
      </c>
      <c r="F11908" s="3" t="inlineStr">
        <is>
          <t>KB금융</t>
        </is>
      </c>
      <c r="G11908" s="2" t="inlineStr">
        <is>
          <t>20260618800628</t>
        </is>
      </c>
      <c r="H11908" s="8">
        <f>HYPERLINK("https://dart.fss.or.kr/dsaf001/main.do?rcpNo=20260618800628", "공시열람")</f>
        <v/>
      </c>
    </row>
    <row r="11909">
      <c r="A11909" s="2" t="inlineStr">
        <is>
          <t>2026-06-18</t>
        </is>
      </c>
      <c r="B11909" s="3" t="inlineStr">
        <is>
          <t>DB손해보험</t>
        </is>
      </c>
      <c r="C11909" s="2" t="inlineStr">
        <is>
          <t>코스피</t>
        </is>
      </c>
      <c r="D11909" s="2" t="inlineStr">
        <is>
          <t>005830</t>
        </is>
      </c>
      <c r="E11909" s="3" t="inlineStr">
        <is>
          <t>특수관계인과의보험거래</t>
        </is>
      </c>
      <c r="F11909" s="3" t="inlineStr">
        <is>
          <t>DB손해보험</t>
        </is>
      </c>
      <c r="G11909" s="2" t="inlineStr">
        <is>
          <t>20260618000302</t>
        </is>
      </c>
      <c r="H11909" s="8">
        <f>HYPERLINK("https://dart.fss.or.kr/dsaf001/main.do?rcpNo=20260618000302", "공시열람")</f>
        <v/>
      </c>
    </row>
    <row r="11910">
      <c r="A11910" s="2" t="inlineStr">
        <is>
          <t>2026-06-18</t>
        </is>
      </c>
      <c r="B11910" s="3" t="inlineStr">
        <is>
          <t>DB손해보험</t>
        </is>
      </c>
      <c r="C11910" s="2" t="inlineStr">
        <is>
          <t>코스피</t>
        </is>
      </c>
      <c r="D11910" s="2" t="inlineStr">
        <is>
          <t>005830</t>
        </is>
      </c>
      <c r="E11910" s="3" t="inlineStr">
        <is>
          <t>동일인등출자계열회사와의상품ㆍ용역거래</t>
        </is>
      </c>
      <c r="F11910" s="3" t="inlineStr">
        <is>
          <t>DB손해보험</t>
        </is>
      </c>
      <c r="G11910" s="2" t="inlineStr">
        <is>
          <t>20260618000300</t>
        </is>
      </c>
      <c r="H11910" s="8">
        <f>HYPERLINK("https://dart.fss.or.kr/dsaf001/main.do?rcpNo=20260618000300", "공시열람")</f>
        <v/>
      </c>
    </row>
    <row r="11911">
      <c r="A11911" s="2" t="inlineStr">
        <is>
          <t>2026-06-18</t>
        </is>
      </c>
      <c r="B11911" s="3" t="inlineStr">
        <is>
          <t>티엘비</t>
        </is>
      </c>
      <c r="C11911" s="2" t="inlineStr">
        <is>
          <t>코스닥</t>
        </is>
      </c>
      <c r="D11911" s="2" t="inlineStr">
        <is>
          <t>356860</t>
        </is>
      </c>
      <c r="E11911" s="3" t="inlineStr">
        <is>
          <t>임원ㆍ주요주주특정증권등소유상황보고서</t>
        </is>
      </c>
      <c r="F11911" s="3" t="inlineStr">
        <is>
          <t>지용수</t>
        </is>
      </c>
      <c r="G11911" s="2" t="inlineStr">
        <is>
          <t>20260618000294</t>
        </is>
      </c>
      <c r="H11911" s="8">
        <f>HYPERLINK("https://dart.fss.or.kr/dsaf001/main.do?rcpNo=20260618000294", "공시열람")</f>
        <v/>
      </c>
    </row>
    <row r="11912">
      <c r="A11912" s="2" t="inlineStr">
        <is>
          <t>2026-06-18 (정정: 2026-06-19)</t>
        </is>
      </c>
      <c r="B11912" s="3" t="inlineStr">
        <is>
          <t>다산솔루에타</t>
        </is>
      </c>
      <c r="C11912" s="2" t="inlineStr">
        <is>
          <t>코스닥</t>
        </is>
      </c>
      <c r="D11912" s="2" t="inlineStr">
        <is>
          <t>154040</t>
        </is>
      </c>
      <c r="E11912" s="3" t="inlineStr">
        <is>
          <t>임원ㆍ주요주주특정증권등소유상황보고서 (정정: 20260619)</t>
        </is>
      </c>
      <c r="F11912" s="3" t="inlineStr">
        <is>
          <t>다산모바일</t>
        </is>
      </c>
      <c r="G11912" s="2" t="inlineStr">
        <is>
          <t>20260619000156</t>
        </is>
      </c>
      <c r="H11912" s="8">
        <f>HYPERLINK("https://dart.fss.or.kr/dsaf001/main.do?rcpNo=20260619000156", "공시열람")</f>
        <v/>
      </c>
    </row>
    <row r="11913">
      <c r="A11913" s="2" t="inlineStr">
        <is>
          <t>2026-06-18</t>
        </is>
      </c>
      <c r="B11913" s="3" t="inlineStr">
        <is>
          <t>코스모로보틱스</t>
        </is>
      </c>
      <c r="C11913" s="2" t="inlineStr">
        <is>
          <t>코스닥</t>
        </is>
      </c>
      <c r="D11913" s="2" t="inlineStr">
        <is>
          <t>439960</t>
        </is>
      </c>
      <c r="E11913" s="3" t="inlineStr">
        <is>
          <t>임원ㆍ주요주주특정증권등소유상황보고서</t>
        </is>
      </c>
      <c r="F11913" s="3" t="inlineStr">
        <is>
          <t>오현철</t>
        </is>
      </c>
      <c r="G11913" s="2" t="inlineStr">
        <is>
          <t>20260618000290</t>
        </is>
      </c>
      <c r="H11913" s="8">
        <f>HYPERLINK("https://dart.fss.or.kr/dsaf001/main.do?rcpNo=20260618000290", "공시열람")</f>
        <v/>
      </c>
    </row>
    <row r="11914">
      <c r="A11914" s="2" t="inlineStr">
        <is>
          <t>2026-06-18</t>
        </is>
      </c>
      <c r="B11914" s="3" t="inlineStr">
        <is>
          <t>아이엠티</t>
        </is>
      </c>
      <c r="C11914" s="2" t="inlineStr">
        <is>
          <t>코스닥</t>
        </is>
      </c>
      <c r="D11914" s="2" t="inlineStr">
        <is>
          <t>451220</t>
        </is>
      </c>
      <c r="E11914" s="3" t="inlineStr">
        <is>
          <t>임원ㆍ주요주주특정증권등소유상황보고서</t>
        </is>
      </c>
      <c r="F11914" s="3" t="inlineStr">
        <is>
          <t>이종명</t>
        </is>
      </c>
      <c r="G11914" s="2" t="inlineStr">
        <is>
          <t>20260618000287</t>
        </is>
      </c>
      <c r="H11914" s="8">
        <f>HYPERLINK("https://dart.fss.or.kr/dsaf001/main.do?rcpNo=20260618000287", "공시열람")</f>
        <v/>
      </c>
    </row>
    <row r="11915">
      <c r="A11915" s="2" t="inlineStr">
        <is>
          <t>2026-06-18</t>
        </is>
      </c>
      <c r="B11915" s="3" t="inlineStr">
        <is>
          <t>대신증권</t>
        </is>
      </c>
      <c r="C11915" s="2" t="inlineStr">
        <is>
          <t>코스피</t>
        </is>
      </c>
      <c r="D11915" s="2" t="inlineStr">
        <is>
          <t>003540</t>
        </is>
      </c>
      <c r="E11915" s="3" t="inlineStr">
        <is>
          <t>투자설명서(일괄신고)</t>
        </is>
      </c>
      <c r="F11915" s="3" t="inlineStr">
        <is>
          <t>대신증권</t>
        </is>
      </c>
      <c r="G11915" s="2" t="inlineStr">
        <is>
          <t>20260618000284</t>
        </is>
      </c>
      <c r="H11915" s="8">
        <f>HYPERLINK("https://dart.fss.or.kr/dsaf001/main.do?rcpNo=20260618000284", "공시열람")</f>
        <v/>
      </c>
    </row>
    <row r="11916">
      <c r="A11916" s="2" t="inlineStr">
        <is>
          <t>2026-06-18</t>
        </is>
      </c>
      <c r="B11916" s="3" t="inlineStr">
        <is>
          <t>코스모로보틱스</t>
        </is>
      </c>
      <c r="C11916" s="2" t="inlineStr">
        <is>
          <t>코스닥</t>
        </is>
      </c>
      <c r="D11916" s="2" t="inlineStr">
        <is>
          <t>439960</t>
        </is>
      </c>
      <c r="E11916" s="3" t="inlineStr">
        <is>
          <t>임원ㆍ주요주주특정증권등소유상황보고서</t>
        </is>
      </c>
      <c r="F11916" s="3" t="inlineStr">
        <is>
          <t>이근석</t>
        </is>
      </c>
      <c r="G11916" s="2" t="inlineStr">
        <is>
          <t>20260618000282</t>
        </is>
      </c>
      <c r="H11916" s="8">
        <f>HYPERLINK("https://dart.fss.or.kr/dsaf001/main.do?rcpNo=20260618000282", "공시열람")</f>
        <v/>
      </c>
    </row>
    <row r="11917">
      <c r="A11917" s="2" t="inlineStr">
        <is>
          <t>2026-06-18</t>
        </is>
      </c>
      <c r="B11917" s="3" t="inlineStr">
        <is>
          <t>코스모로보틱스</t>
        </is>
      </c>
      <c r="C11917" s="2" t="inlineStr">
        <is>
          <t>코스닥</t>
        </is>
      </c>
      <c r="D11917" s="2" t="inlineStr">
        <is>
          <t>439960</t>
        </is>
      </c>
      <c r="E11917" s="3" t="inlineStr">
        <is>
          <t>임원ㆍ주요주주특정증권등소유상황보고서</t>
        </is>
      </c>
      <c r="F11917" s="3" t="inlineStr">
        <is>
          <t>허감</t>
        </is>
      </c>
      <c r="G11917" s="2" t="inlineStr">
        <is>
          <t>20260618000278</t>
        </is>
      </c>
      <c r="H11917" s="8">
        <f>HYPERLINK("https://dart.fss.or.kr/dsaf001/main.do?rcpNo=20260618000278", "공시열람")</f>
        <v/>
      </c>
    </row>
    <row r="11918">
      <c r="A11918" s="2" t="inlineStr">
        <is>
          <t>2026-06-18</t>
        </is>
      </c>
      <c r="B11918" s="3" t="inlineStr">
        <is>
          <t>핑거스토리</t>
        </is>
      </c>
      <c r="C11918" s="2" t="inlineStr">
        <is>
          <t>코스닥</t>
        </is>
      </c>
      <c r="D11918" s="2" t="inlineStr">
        <is>
          <t>417180</t>
        </is>
      </c>
      <c r="E11918" s="3" t="inlineStr">
        <is>
          <t>전환가액의조정              (제4회차)</t>
        </is>
      </c>
      <c r="F11918" s="3" t="inlineStr">
        <is>
          <t>핑거스토리</t>
        </is>
      </c>
      <c r="G11918" s="2" t="inlineStr">
        <is>
          <t>20260618900552</t>
        </is>
      </c>
      <c r="H11918" s="8">
        <f>HYPERLINK("https://dart.fss.or.kr/dsaf001/main.do?rcpNo=20260618900552", "공시열람")</f>
        <v/>
      </c>
    </row>
    <row r="11919">
      <c r="A11919" s="2" t="inlineStr">
        <is>
          <t>2026-06-18</t>
        </is>
      </c>
      <c r="B11919" s="3" t="inlineStr">
        <is>
          <t>NAVER</t>
        </is>
      </c>
      <c r="C11919" s="2" t="inlineStr">
        <is>
          <t>코스피</t>
        </is>
      </c>
      <c r="D11919" s="2" t="inlineStr">
        <is>
          <t>035420</t>
        </is>
      </c>
      <c r="E11919" s="3" t="inlineStr">
        <is>
          <t>임원ㆍ주요주주특정증권등소유상황보고서</t>
        </is>
      </c>
      <c r="F11919" s="3" t="inlineStr">
        <is>
          <t>목경태</t>
        </is>
      </c>
      <c r="G11919" s="2" t="inlineStr">
        <is>
          <t>20260618000276</t>
        </is>
      </c>
      <c r="H11919" s="8">
        <f>HYPERLINK("https://dart.fss.or.kr/dsaf001/main.do?rcpNo=20260618000276", "공시열람")</f>
        <v/>
      </c>
    </row>
    <row r="11920">
      <c r="A11920" s="2" t="inlineStr">
        <is>
          <t>2026-06-18</t>
        </is>
      </c>
      <c r="B11920" s="3" t="inlineStr">
        <is>
          <t>대동</t>
        </is>
      </c>
      <c r="C11920" s="2" t="inlineStr">
        <is>
          <t>코스피</t>
        </is>
      </c>
      <c r="D11920" s="2" t="inlineStr">
        <is>
          <t>000490</t>
        </is>
      </c>
      <c r="E11920" s="3" t="inlineStr">
        <is>
          <t>임원ㆍ주요주주특정증권등소유상황보고서</t>
        </is>
      </c>
      <c r="F11920" s="3" t="inlineStr">
        <is>
          <t>조성우</t>
        </is>
      </c>
      <c r="G11920" s="2" t="inlineStr">
        <is>
          <t>20260618000272</t>
        </is>
      </c>
      <c r="H11920" s="8">
        <f>HYPERLINK("https://dart.fss.or.kr/dsaf001/main.do?rcpNo=20260618000272", "공시열람")</f>
        <v/>
      </c>
    </row>
    <row r="11921">
      <c r="A11921" s="2" t="inlineStr">
        <is>
          <t>2026-06-18</t>
        </is>
      </c>
      <c r="B11921" s="3" t="inlineStr">
        <is>
          <t>NAVER</t>
        </is>
      </c>
      <c r="C11921" s="2" t="inlineStr">
        <is>
          <t>코스피</t>
        </is>
      </c>
      <c r="D11921" s="2" t="inlineStr">
        <is>
          <t>035420</t>
        </is>
      </c>
      <c r="E11921" s="3" t="inlineStr">
        <is>
          <t>임원ㆍ주요주주특정증권등소유상황보고서</t>
        </is>
      </c>
      <c r="F11921" s="3" t="inlineStr">
        <is>
          <t>이도경</t>
        </is>
      </c>
      <c r="G11921" s="2" t="inlineStr">
        <is>
          <t>20260618000271</t>
        </is>
      </c>
      <c r="H11921" s="8">
        <f>HYPERLINK("https://dart.fss.or.kr/dsaf001/main.do?rcpNo=20260618000271", "공시열람")</f>
        <v/>
      </c>
    </row>
    <row r="11922">
      <c r="A11922" s="2" t="inlineStr">
        <is>
          <t>2026-06-18</t>
        </is>
      </c>
      <c r="B11922" s="3" t="inlineStr">
        <is>
          <t>대동</t>
        </is>
      </c>
      <c r="C11922" s="2" t="inlineStr">
        <is>
          <t>코스피</t>
        </is>
      </c>
      <c r="D11922" s="2" t="inlineStr">
        <is>
          <t>000490</t>
        </is>
      </c>
      <c r="E11922" s="3" t="inlineStr">
        <is>
          <t>임원ㆍ주요주주특정증권등소유상황보고서</t>
        </is>
      </c>
      <c r="F11922" s="3" t="inlineStr">
        <is>
          <t>나영중</t>
        </is>
      </c>
      <c r="G11922" s="2" t="inlineStr">
        <is>
          <t>20260618000269</t>
        </is>
      </c>
      <c r="H11922" s="8">
        <f>HYPERLINK("https://dart.fss.or.kr/dsaf001/main.do?rcpNo=20260618000269", "공시열람")</f>
        <v/>
      </c>
    </row>
    <row r="11923">
      <c r="A11923" s="2" t="inlineStr">
        <is>
          <t>2026-06-18</t>
        </is>
      </c>
      <c r="B11923" s="3" t="inlineStr">
        <is>
          <t>HD한국조선해양</t>
        </is>
      </c>
      <c r="C11923" s="2" t="inlineStr">
        <is>
          <t>코스피</t>
        </is>
      </c>
      <c r="D11923" s="2" t="inlineStr">
        <is>
          <t>009540</t>
        </is>
      </c>
      <c r="E11923" s="3" t="inlineStr">
        <is>
          <t xml:space="preserve">영업(잠정)실적(공정공시)              </t>
        </is>
      </c>
      <c r="F11923" s="3" t="inlineStr">
        <is>
          <t>HD한국조선해양</t>
        </is>
      </c>
      <c r="G11923" s="2" t="inlineStr">
        <is>
          <t>20260618800580</t>
        </is>
      </c>
      <c r="H11923" s="8">
        <f>HYPERLINK("https://dart.fss.or.kr/dsaf001/main.do?rcpNo=20260618800580", "공시열람")</f>
        <v/>
      </c>
    </row>
    <row r="11924">
      <c r="A11924" s="2" t="inlineStr">
        <is>
          <t>2026-06-18</t>
        </is>
      </c>
      <c r="B11924" s="3" t="inlineStr">
        <is>
          <t>HD현대중공업</t>
        </is>
      </c>
      <c r="C11924" s="2" t="inlineStr">
        <is>
          <t>코스피</t>
        </is>
      </c>
      <c r="D11924" s="2" t="inlineStr">
        <is>
          <t>329180</t>
        </is>
      </c>
      <c r="E11924" s="3" t="inlineStr">
        <is>
          <t xml:space="preserve">영업(잠정)실적(공정공시)              </t>
        </is>
      </c>
      <c r="F11924" s="3" t="inlineStr">
        <is>
          <t>HD현대중공업</t>
        </is>
      </c>
      <c r="G11924" s="2" t="inlineStr">
        <is>
          <t>20260618800565</t>
        </is>
      </c>
      <c r="H11924" s="8">
        <f>HYPERLINK("https://dart.fss.or.kr/dsaf001/main.do?rcpNo=20260618800565", "공시열람")</f>
        <v/>
      </c>
    </row>
    <row r="11925">
      <c r="A11925" s="2" t="inlineStr">
        <is>
          <t>2026-06-18</t>
        </is>
      </c>
      <c r="B11925" s="3" t="inlineStr">
        <is>
          <t>대동</t>
        </is>
      </c>
      <c r="C11925" s="2" t="inlineStr">
        <is>
          <t>코스피</t>
        </is>
      </c>
      <c r="D11925" s="2" t="inlineStr">
        <is>
          <t>000490</t>
        </is>
      </c>
      <c r="E11925" s="3" t="inlineStr">
        <is>
          <t>임원ㆍ주요주주특정증권등소유상황보고서</t>
        </is>
      </c>
      <c r="F11925" s="3" t="inlineStr">
        <is>
          <t>권기재</t>
        </is>
      </c>
      <c r="G11925" s="2" t="inlineStr">
        <is>
          <t>20260618000268</t>
        </is>
      </c>
      <c r="H11925" s="8">
        <f>HYPERLINK("https://dart.fss.or.kr/dsaf001/main.do?rcpNo=20260618000268", "공시열람")</f>
        <v/>
      </c>
    </row>
    <row r="11926">
      <c r="A11926" s="2" t="inlineStr">
        <is>
          <t>2026-06-18</t>
        </is>
      </c>
      <c r="B11926" s="3" t="inlineStr">
        <is>
          <t>HD한국조선해양</t>
        </is>
      </c>
      <c r="C11926" s="2" t="inlineStr">
        <is>
          <t>코스피</t>
        </is>
      </c>
      <c r="D11926" s="2" t="inlineStr">
        <is>
          <t>009540</t>
        </is>
      </c>
      <c r="E11926" s="3" t="inlineStr">
        <is>
          <t xml:space="preserve">영업(잠정)실적(공정공시)(자회사의 주요경영사항)              </t>
        </is>
      </c>
      <c r="F11926" s="3" t="inlineStr">
        <is>
          <t>HD한국조선해양</t>
        </is>
      </c>
      <c r="G11926" s="2" t="inlineStr">
        <is>
          <t>20260618800563</t>
        </is>
      </c>
      <c r="H11926" s="8">
        <f>HYPERLINK("https://dart.fss.or.kr/dsaf001/main.do?rcpNo=20260618800563", "공시열람")</f>
        <v/>
      </c>
    </row>
    <row r="11927">
      <c r="A11927" s="2" t="inlineStr">
        <is>
          <t>2026-06-18</t>
        </is>
      </c>
      <c r="B11927" s="3" t="inlineStr">
        <is>
          <t>대동</t>
        </is>
      </c>
      <c r="C11927" s="2" t="inlineStr">
        <is>
          <t>코스피</t>
        </is>
      </c>
      <c r="D11927" s="2" t="inlineStr">
        <is>
          <t>000490</t>
        </is>
      </c>
      <c r="E11927" s="3" t="inlineStr">
        <is>
          <t>임원ㆍ주요주주특정증권등소유상황보고서</t>
        </is>
      </c>
      <c r="F11927" s="3" t="inlineStr">
        <is>
          <t>원유현</t>
        </is>
      </c>
      <c r="G11927" s="2" t="inlineStr">
        <is>
          <t>20260618000264</t>
        </is>
      </c>
      <c r="H11927" s="8">
        <f>HYPERLINK("https://dart.fss.or.kr/dsaf001/main.do?rcpNo=20260618000264", "공시열람")</f>
        <v/>
      </c>
    </row>
    <row r="11928">
      <c r="A11928" s="2" t="inlineStr">
        <is>
          <t>2026-06-18</t>
        </is>
      </c>
      <c r="B11928" s="3" t="inlineStr">
        <is>
          <t>차이커뮤니케이션</t>
        </is>
      </c>
      <c r="C11928" s="2" t="inlineStr">
        <is>
          <t>코스닥</t>
        </is>
      </c>
      <c r="D11928" s="2" t="inlineStr">
        <is>
          <t>351870</t>
        </is>
      </c>
      <c r="E11928" s="3" t="inlineStr">
        <is>
          <t>임원ㆍ주요주주특정증권등소유상황보고서</t>
        </is>
      </c>
      <c r="F11928" s="3" t="inlineStr">
        <is>
          <t>임지훈</t>
        </is>
      </c>
      <c r="G11928" s="2" t="inlineStr">
        <is>
          <t>20260618000262</t>
        </is>
      </c>
      <c r="H11928" s="8">
        <f>HYPERLINK("https://dart.fss.or.kr/dsaf001/main.do?rcpNo=20260618000262", "공시열람")</f>
        <v/>
      </c>
    </row>
    <row r="11929">
      <c r="A11929" s="2" t="inlineStr">
        <is>
          <t>2026-06-18</t>
        </is>
      </c>
      <c r="B11929" s="3" t="inlineStr">
        <is>
          <t>NAVER</t>
        </is>
      </c>
      <c r="C11929" s="2" t="inlineStr">
        <is>
          <t>코스피</t>
        </is>
      </c>
      <c r="D11929" s="2" t="inlineStr">
        <is>
          <t>035420</t>
        </is>
      </c>
      <c r="E11929" s="3" t="inlineStr">
        <is>
          <t>임원ㆍ주요주주특정증권등소유상황보고서</t>
        </is>
      </c>
      <c r="F11929" s="3" t="inlineStr">
        <is>
          <t>이일구</t>
        </is>
      </c>
      <c r="G11929" s="2" t="inlineStr">
        <is>
          <t>20260618000260</t>
        </is>
      </c>
      <c r="H11929" s="8">
        <f>HYPERLINK("https://dart.fss.or.kr/dsaf001/main.do?rcpNo=20260618000260", "공시열람")</f>
        <v/>
      </c>
    </row>
    <row r="11930">
      <c r="A11930" s="2" t="inlineStr">
        <is>
          <t>2026-06-18</t>
        </is>
      </c>
      <c r="B11930" s="3" t="inlineStr">
        <is>
          <t>차이커뮤니케이션</t>
        </is>
      </c>
      <c r="C11930" s="2" t="inlineStr">
        <is>
          <t>코스닥</t>
        </is>
      </c>
      <c r="D11930" s="2" t="inlineStr">
        <is>
          <t>351870</t>
        </is>
      </c>
      <c r="E11930" s="3" t="inlineStr">
        <is>
          <t>임원ㆍ주요주주특정증권등소유상황보고서</t>
        </is>
      </c>
      <c r="F11930" s="3" t="inlineStr">
        <is>
          <t>최승호</t>
        </is>
      </c>
      <c r="G11930" s="2" t="inlineStr">
        <is>
          <t>20260618000258</t>
        </is>
      </c>
      <c r="H11930" s="8">
        <f>HYPERLINK("https://dart.fss.or.kr/dsaf001/main.do?rcpNo=20260618000258", "공시열람")</f>
        <v/>
      </c>
    </row>
    <row r="11931">
      <c r="A11931" s="2" t="inlineStr">
        <is>
          <t>2026-06-18</t>
        </is>
      </c>
      <c r="B11931" s="3" t="inlineStr">
        <is>
          <t>삼양홀딩스</t>
        </is>
      </c>
      <c r="C11931" s="2" t="inlineStr">
        <is>
          <t>코스피</t>
        </is>
      </c>
      <c r="D11931" s="2" t="inlineStr">
        <is>
          <t>000070</t>
        </is>
      </c>
      <c r="E11931" s="3" t="inlineStr">
        <is>
          <t xml:space="preserve">타법인주식및출자증권취득결정(자회사의 주요경영사항)              </t>
        </is>
      </c>
      <c r="F11931" s="3" t="inlineStr">
        <is>
          <t>삼양홀딩스</t>
        </is>
      </c>
      <c r="G11931" s="2" t="inlineStr">
        <is>
          <t>20260618800551</t>
        </is>
      </c>
      <c r="H11931" s="8">
        <f>HYPERLINK("https://dart.fss.or.kr/dsaf001/main.do?rcpNo=20260618800551", "공시열람")</f>
        <v/>
      </c>
    </row>
    <row r="11932">
      <c r="A11932" s="2" t="inlineStr">
        <is>
          <t>2026-06-18</t>
        </is>
      </c>
      <c r="B11932" s="3" t="inlineStr">
        <is>
          <t>테크윙</t>
        </is>
      </c>
      <c r="C11932" s="2" t="inlineStr">
        <is>
          <t>코스닥</t>
        </is>
      </c>
      <c r="D11932" s="2" t="inlineStr">
        <is>
          <t>089030</t>
        </is>
      </c>
      <c r="E11932" s="3" t="inlineStr">
        <is>
          <t xml:space="preserve">기업설명회(IR)개최              </t>
        </is>
      </c>
      <c r="F11932" s="3" t="inlineStr">
        <is>
          <t>테크윙</t>
        </is>
      </c>
      <c r="G11932" s="2" t="inlineStr">
        <is>
          <t>20260618900564</t>
        </is>
      </c>
      <c r="H11932" s="8">
        <f>HYPERLINK("https://dart.fss.or.kr/dsaf001/main.do?rcpNo=20260618900564", "공시열람")</f>
        <v/>
      </c>
    </row>
    <row r="11933">
      <c r="A11933" s="2" t="inlineStr">
        <is>
          <t>2026-06-18</t>
        </is>
      </c>
      <c r="B11933" s="3" t="inlineStr">
        <is>
          <t>NAVER</t>
        </is>
      </c>
      <c r="C11933" s="2" t="inlineStr">
        <is>
          <t>코스피</t>
        </is>
      </c>
      <c r="D11933" s="2" t="inlineStr">
        <is>
          <t>035420</t>
        </is>
      </c>
      <c r="E11933" s="3" t="inlineStr">
        <is>
          <t>임원ㆍ주요주주특정증권등소유상황보고서</t>
        </is>
      </c>
      <c r="F11933" s="3" t="inlineStr">
        <is>
          <t>이종화</t>
        </is>
      </c>
      <c r="G11933" s="2" t="inlineStr">
        <is>
          <t>20260618000257</t>
        </is>
      </c>
      <c r="H11933" s="8">
        <f>HYPERLINK("https://dart.fss.or.kr/dsaf001/main.do?rcpNo=20260618000257", "공시열람")</f>
        <v/>
      </c>
    </row>
    <row r="11934">
      <c r="A11934" s="2" t="inlineStr">
        <is>
          <t>2026-06-18 (정정: 2026-06-26)</t>
        </is>
      </c>
      <c r="B11934" s="3" t="inlineStr">
        <is>
          <t>차바이오텍</t>
        </is>
      </c>
      <c r="C11934" s="2" t="inlineStr">
        <is>
          <t>코스닥</t>
        </is>
      </c>
      <c r="D11934" s="2" t="inlineStr">
        <is>
          <t>085660</t>
        </is>
      </c>
      <c r="E11934" s="3" t="inlineStr">
        <is>
          <t>타법인주식및출자증권취득결정               (정정: 20260626)</t>
        </is>
      </c>
      <c r="F11934" s="3" t="inlineStr">
        <is>
          <t>차바이오텍</t>
        </is>
      </c>
      <c r="G11934" s="2" t="inlineStr">
        <is>
          <t>20260626901433</t>
        </is>
      </c>
      <c r="H11934" s="8">
        <f>HYPERLINK("https://dart.fss.or.kr/dsaf001/main.do?rcpNo=20260626901433", "공시열람")</f>
        <v/>
      </c>
    </row>
    <row r="11935">
      <c r="A11935" s="2" t="inlineStr">
        <is>
          <t>2026-06-18</t>
        </is>
      </c>
      <c r="B11935" s="3" t="inlineStr">
        <is>
          <t>대동</t>
        </is>
      </c>
      <c r="C11935" s="2" t="inlineStr">
        <is>
          <t>코스피</t>
        </is>
      </c>
      <c r="D11935" s="2" t="inlineStr">
        <is>
          <t>000490</t>
        </is>
      </c>
      <c r="E11935" s="3" t="inlineStr">
        <is>
          <t>임원ㆍ주요주주특정증권등소유상황보고서</t>
        </is>
      </c>
      <c r="F11935" s="3" t="inlineStr">
        <is>
          <t>김준식</t>
        </is>
      </c>
      <c r="G11935" s="2" t="inlineStr">
        <is>
          <t>20260618000256</t>
        </is>
      </c>
      <c r="H11935" s="8">
        <f>HYPERLINK("https://dart.fss.or.kr/dsaf001/main.do?rcpNo=20260618000256", "공시열람")</f>
        <v/>
      </c>
    </row>
    <row r="11936">
      <c r="A11936" s="2" t="inlineStr">
        <is>
          <t>2026-06-18</t>
        </is>
      </c>
      <c r="B11936" s="3" t="inlineStr">
        <is>
          <t>경인전자</t>
        </is>
      </c>
      <c r="C11936" s="2" t="inlineStr">
        <is>
          <t>코스피</t>
        </is>
      </c>
      <c r="D11936" s="2" t="inlineStr">
        <is>
          <t>009140</t>
        </is>
      </c>
      <c r="E11936" s="3" t="inlineStr">
        <is>
          <t>임원ㆍ주요주주특정증권등소유상황보고서</t>
        </is>
      </c>
      <c r="F11936" s="3" t="inlineStr">
        <is>
          <t>케이일레븐파트너스</t>
        </is>
      </c>
      <c r="G11936" s="2" t="inlineStr">
        <is>
          <t>20260618000255</t>
        </is>
      </c>
      <c r="H11936" s="8">
        <f>HYPERLINK("https://dart.fss.or.kr/dsaf001/main.do?rcpNo=20260618000255", "공시열람")</f>
        <v/>
      </c>
    </row>
    <row r="11937">
      <c r="A11937" s="2" t="inlineStr">
        <is>
          <t>2026-06-18</t>
        </is>
      </c>
      <c r="B11937" s="3" t="inlineStr">
        <is>
          <t>유비씨</t>
        </is>
      </c>
      <c r="C11937" s="2" t="inlineStr">
        <is>
          <t>코넥스</t>
        </is>
      </c>
      <c r="D11937" s="2" t="inlineStr">
        <is>
          <t>495810</t>
        </is>
      </c>
      <c r="E11937" s="3" t="inlineStr">
        <is>
          <t xml:space="preserve">기업설명회(IR)개최              </t>
        </is>
      </c>
      <c r="F11937" s="3" t="inlineStr">
        <is>
          <t>유비씨</t>
        </is>
      </c>
      <c r="G11937" s="2" t="inlineStr">
        <is>
          <t>20260618600543</t>
        </is>
      </c>
      <c r="H11937" s="8">
        <f>HYPERLINK("https://dart.fss.or.kr/dsaf001/main.do?rcpNo=20260618600543", "공시열람")</f>
        <v/>
      </c>
    </row>
    <row r="11938">
      <c r="A11938" s="2" t="inlineStr">
        <is>
          <t>2026-06-18</t>
        </is>
      </c>
      <c r="B11938" s="3" t="inlineStr">
        <is>
          <t>차이커뮤니케이션</t>
        </is>
      </c>
      <c r="C11938" s="2" t="inlineStr">
        <is>
          <t>코스닥</t>
        </is>
      </c>
      <c r="D11938" s="2" t="inlineStr">
        <is>
          <t>351870</t>
        </is>
      </c>
      <c r="E11938" s="3" t="inlineStr">
        <is>
          <t>임원ㆍ주요주주특정증권등소유상황보고서</t>
        </is>
      </c>
      <c r="F11938" s="3" t="inlineStr">
        <is>
          <t>이연호</t>
        </is>
      </c>
      <c r="G11938" s="2" t="inlineStr">
        <is>
          <t>20260618000253</t>
        </is>
      </c>
      <c r="H11938" s="8">
        <f>HYPERLINK("https://dart.fss.or.kr/dsaf001/main.do?rcpNo=20260618000253", "공시열람")</f>
        <v/>
      </c>
    </row>
    <row r="11939">
      <c r="A11939" s="2" t="inlineStr">
        <is>
          <t>2026-06-18</t>
        </is>
      </c>
      <c r="B11939" s="3" t="inlineStr">
        <is>
          <t>KB금융</t>
        </is>
      </c>
      <c r="C11939" s="2" t="inlineStr">
        <is>
          <t>코스피</t>
        </is>
      </c>
      <c r="D11939" s="2" t="inlineStr">
        <is>
          <t>105560</t>
        </is>
      </c>
      <c r="E11939" s="3" t="inlineStr">
        <is>
          <t xml:space="preserve">기업설명회(IR)개최(안내공시)              </t>
        </is>
      </c>
      <c r="F11939" s="3" t="inlineStr">
        <is>
          <t>KB금융</t>
        </is>
      </c>
      <c r="G11939" s="2" t="inlineStr">
        <is>
          <t>20260618800553</t>
        </is>
      </c>
      <c r="H11939" s="8">
        <f>HYPERLINK("https://dart.fss.or.kr/dsaf001/main.do?rcpNo=20260618800553", "공시열람")</f>
        <v/>
      </c>
    </row>
    <row r="11940">
      <c r="A11940" s="2" t="inlineStr">
        <is>
          <t>2026-06-18</t>
        </is>
      </c>
      <c r="B11940" s="3" t="inlineStr">
        <is>
          <t>삼양사</t>
        </is>
      </c>
      <c r="C11940" s="2" t="inlineStr">
        <is>
          <t>코스피</t>
        </is>
      </c>
      <c r="D11940" s="2" t="inlineStr">
        <is>
          <t>145990</t>
        </is>
      </c>
      <c r="E11940" s="3" t="inlineStr">
        <is>
          <t xml:space="preserve">타법인주식및출자증권취득결정              </t>
        </is>
      </c>
      <c r="F11940" s="3" t="inlineStr">
        <is>
          <t>삼양사</t>
        </is>
      </c>
      <c r="G11940" s="2" t="inlineStr">
        <is>
          <t>20260618800521</t>
        </is>
      </c>
      <c r="H11940" s="8">
        <f>HYPERLINK("https://dart.fss.or.kr/dsaf001/main.do?rcpNo=20260618800521", "공시열람")</f>
        <v/>
      </c>
    </row>
    <row r="11941">
      <c r="A11941" s="2" t="inlineStr">
        <is>
          <t>2026-06-18</t>
        </is>
      </c>
      <c r="B11941" s="3" t="inlineStr">
        <is>
          <t>LG생활건강</t>
        </is>
      </c>
      <c r="C11941" s="2" t="inlineStr">
        <is>
          <t>코스피</t>
        </is>
      </c>
      <c r="D11941" s="2" t="inlineStr">
        <is>
          <t>051900</t>
        </is>
      </c>
      <c r="E11941" s="3" t="inlineStr">
        <is>
          <t xml:space="preserve">풍문또는보도에대한해명(미확정)              </t>
        </is>
      </c>
      <c r="F11941" s="3" t="inlineStr">
        <is>
          <t>LG생활건강</t>
        </is>
      </c>
      <c r="G11941" s="2" t="inlineStr">
        <is>
          <t>20260618800517</t>
        </is>
      </c>
      <c r="H11941" s="8">
        <f>HYPERLINK("https://dart.fss.or.kr/dsaf001/main.do?rcpNo=20260618800517", "공시열람")</f>
        <v/>
      </c>
    </row>
    <row r="11942">
      <c r="A11942" s="2" t="inlineStr">
        <is>
          <t>2026-06-18</t>
        </is>
      </c>
      <c r="B11942" s="3" t="inlineStr">
        <is>
          <t>차이커뮤니케이션</t>
        </is>
      </c>
      <c r="C11942" s="2" t="inlineStr">
        <is>
          <t>코스닥</t>
        </is>
      </c>
      <c r="D11942" s="2" t="inlineStr">
        <is>
          <t>351870</t>
        </is>
      </c>
      <c r="E11942" s="3" t="inlineStr">
        <is>
          <t>임원ㆍ주요주주특정증권등소유상황보고서</t>
        </is>
      </c>
      <c r="F11942" s="3" t="inlineStr">
        <is>
          <t>송기훈</t>
        </is>
      </c>
      <c r="G11942" s="2" t="inlineStr">
        <is>
          <t>20260618000246</t>
        </is>
      </c>
      <c r="H11942" s="8">
        <f>HYPERLINK("https://dart.fss.or.kr/dsaf001/main.do?rcpNo=20260618000246", "공시열람")</f>
        <v/>
      </c>
    </row>
    <row r="11943">
      <c r="A11943" s="2" t="inlineStr">
        <is>
          <t>2026-06-18</t>
        </is>
      </c>
      <c r="B11943" s="3" t="inlineStr">
        <is>
          <t>HLB파나진</t>
        </is>
      </c>
      <c r="C11943" s="2" t="inlineStr">
        <is>
          <t>코스닥</t>
        </is>
      </c>
      <c r="D11943" s="2" t="inlineStr">
        <is>
          <t>046210</t>
        </is>
      </c>
      <c r="E11943" s="3" t="inlineStr">
        <is>
          <t>임원ㆍ주요주주특정증권등소유상황보고서</t>
        </is>
      </c>
      <c r="F11943" s="3" t="inlineStr">
        <is>
          <t>박기웅</t>
        </is>
      </c>
      <c r="G11943" s="2" t="inlineStr">
        <is>
          <t>20260618000245</t>
        </is>
      </c>
      <c r="H11943" s="8">
        <f>HYPERLINK("https://dart.fss.or.kr/dsaf001/main.do?rcpNo=20260618000245", "공시열람")</f>
        <v/>
      </c>
    </row>
    <row r="11944">
      <c r="A11944" s="2" t="inlineStr">
        <is>
          <t>2026-06-18</t>
        </is>
      </c>
      <c r="B11944" s="3" t="inlineStr">
        <is>
          <t>한글과컴퓨터</t>
        </is>
      </c>
      <c r="C11944" s="2" t="inlineStr">
        <is>
          <t>코스닥</t>
        </is>
      </c>
      <c r="D11944" s="2" t="inlineStr">
        <is>
          <t>030520</t>
        </is>
      </c>
      <c r="E11944" s="3" t="inlineStr">
        <is>
          <t>임원ㆍ주요주주특정증권등소유상황보고서</t>
        </is>
      </c>
      <c r="F11944" s="3" t="inlineStr">
        <is>
          <t>한컴위드</t>
        </is>
      </c>
      <c r="G11944" s="2" t="inlineStr">
        <is>
          <t>20260618000240</t>
        </is>
      </c>
      <c r="H11944" s="8">
        <f>HYPERLINK("https://dart.fss.or.kr/dsaf001/main.do?rcpNo=20260618000240", "공시열람")</f>
        <v/>
      </c>
    </row>
    <row r="11945">
      <c r="A11945" s="2" t="inlineStr">
        <is>
          <t>2026-06-18</t>
        </is>
      </c>
      <c r="B11945" s="3" t="inlineStr">
        <is>
          <t>차이커뮤니케이션</t>
        </is>
      </c>
      <c r="C11945" s="2" t="inlineStr">
        <is>
          <t>코스닥</t>
        </is>
      </c>
      <c r="D11945" s="2" t="inlineStr">
        <is>
          <t>351870</t>
        </is>
      </c>
      <c r="E11945" s="3" t="inlineStr">
        <is>
          <t>임원ㆍ주요주주특정증권등소유상황보고서</t>
        </is>
      </c>
      <c r="F11945" s="3" t="inlineStr">
        <is>
          <t>김용현</t>
        </is>
      </c>
      <c r="G11945" s="2" t="inlineStr">
        <is>
          <t>20260618000238</t>
        </is>
      </c>
      <c r="H11945" s="8">
        <f>HYPERLINK("https://dart.fss.or.kr/dsaf001/main.do?rcpNo=20260618000238", "공시열람")</f>
        <v/>
      </c>
    </row>
    <row r="11946">
      <c r="A11946" s="2" t="inlineStr">
        <is>
          <t>2026-06-18</t>
        </is>
      </c>
      <c r="B11946" s="3" t="inlineStr">
        <is>
          <t>HLB파나진</t>
        </is>
      </c>
      <c r="C11946" s="2" t="inlineStr">
        <is>
          <t>코스닥</t>
        </is>
      </c>
      <c r="D11946" s="2" t="inlineStr">
        <is>
          <t>046210</t>
        </is>
      </c>
      <c r="E11946" s="3" t="inlineStr">
        <is>
          <t>임원ㆍ주요주주특정증권등소유상황보고서</t>
        </is>
      </c>
      <c r="F11946" s="3" t="inlineStr">
        <is>
          <t>장인근</t>
        </is>
      </c>
      <c r="G11946" s="2" t="inlineStr">
        <is>
          <t>20260618000237</t>
        </is>
      </c>
      <c r="H11946" s="8">
        <f>HYPERLINK("https://dart.fss.or.kr/dsaf001/main.do?rcpNo=20260618000237", "공시열람")</f>
        <v/>
      </c>
    </row>
    <row r="11947">
      <c r="A11947" s="2" t="inlineStr">
        <is>
          <t>2026-06-18</t>
        </is>
      </c>
      <c r="B11947" s="3" t="inlineStr">
        <is>
          <t>NAVER</t>
        </is>
      </c>
      <c r="C11947" s="2" t="inlineStr">
        <is>
          <t>코스피</t>
        </is>
      </c>
      <c r="D11947" s="2" t="inlineStr">
        <is>
          <t>035420</t>
        </is>
      </c>
      <c r="E11947" s="3" t="inlineStr">
        <is>
          <t>임원ㆍ주요주주특정증권등소유상황보고서</t>
        </is>
      </c>
      <c r="F11947" s="3" t="inlineStr">
        <is>
          <t>임주열</t>
        </is>
      </c>
      <c r="G11947" s="2" t="inlineStr">
        <is>
          <t>20260618000233</t>
        </is>
      </c>
      <c r="H11947" s="8">
        <f>HYPERLINK("https://dart.fss.or.kr/dsaf001/main.do?rcpNo=20260618000233", "공시열람")</f>
        <v/>
      </c>
    </row>
    <row r="11948">
      <c r="A11948" s="2" t="inlineStr">
        <is>
          <t>2026-06-18</t>
        </is>
      </c>
      <c r="B11948" s="3" t="inlineStr">
        <is>
          <t>풍전약품</t>
        </is>
      </c>
      <c r="C11948" s="2" t="inlineStr">
        <is>
          <t>코스닥</t>
        </is>
      </c>
      <c r="D11948" s="2" t="inlineStr">
        <is>
          <t>298060</t>
        </is>
      </c>
      <c r="E11948" s="3" t="inlineStr">
        <is>
          <t>증권발행결과(자율공시)              (제3회차 CB)</t>
        </is>
      </c>
      <c r="F11948" s="3" t="inlineStr">
        <is>
          <t>풍전약품</t>
        </is>
      </c>
      <c r="G11948" s="2" t="inlineStr">
        <is>
          <t>20260618900492</t>
        </is>
      </c>
      <c r="H11948" s="8">
        <f>HYPERLINK("https://dart.fss.or.kr/dsaf001/main.do?rcpNo=20260618900492", "공시열람")</f>
        <v/>
      </c>
    </row>
    <row r="11949">
      <c r="A11949" s="2" t="inlineStr">
        <is>
          <t>2026-06-18</t>
        </is>
      </c>
      <c r="B11949" s="3" t="inlineStr">
        <is>
          <t>차이커뮤니케이션</t>
        </is>
      </c>
      <c r="C11949" s="2" t="inlineStr">
        <is>
          <t>코스닥</t>
        </is>
      </c>
      <c r="D11949" s="2" t="inlineStr">
        <is>
          <t>351870</t>
        </is>
      </c>
      <c r="E11949" s="3" t="inlineStr">
        <is>
          <t>임원ㆍ주요주주특정증권등소유상황보고서</t>
        </is>
      </c>
      <c r="F11949" s="3" t="inlineStr">
        <is>
          <t>최영섭</t>
        </is>
      </c>
      <c r="G11949" s="2" t="inlineStr">
        <is>
          <t>20260618000231</t>
        </is>
      </c>
      <c r="H11949" s="8">
        <f>HYPERLINK("https://dart.fss.or.kr/dsaf001/main.do?rcpNo=20260618000231", "공시열람")</f>
        <v/>
      </c>
    </row>
    <row r="11950">
      <c r="A11950" s="2" t="inlineStr">
        <is>
          <t>2026-06-18</t>
        </is>
      </c>
      <c r="B11950" s="3" t="inlineStr">
        <is>
          <t>NAVER</t>
        </is>
      </c>
      <c r="C11950" s="2" t="inlineStr">
        <is>
          <t>코스피</t>
        </is>
      </c>
      <c r="D11950" s="2" t="inlineStr">
        <is>
          <t>035420</t>
        </is>
      </c>
      <c r="E11950" s="3" t="inlineStr">
        <is>
          <t>임원ㆍ주요주주특정증권등소유상황보고서</t>
        </is>
      </c>
      <c r="F11950" s="3" t="inlineStr">
        <is>
          <t>최재호</t>
        </is>
      </c>
      <c r="G11950" s="2" t="inlineStr">
        <is>
          <t>20260618000230</t>
        </is>
      </c>
      <c r="H11950" s="8">
        <f>HYPERLINK("https://dart.fss.or.kr/dsaf001/main.do?rcpNo=20260618000230", "공시열람")</f>
        <v/>
      </c>
    </row>
    <row r="11951">
      <c r="A11951" s="2" t="inlineStr">
        <is>
          <t>2026-06-18</t>
        </is>
      </c>
      <c r="B11951" s="3" t="inlineStr">
        <is>
          <t>경인전자</t>
        </is>
      </c>
      <c r="C11951" s="2" t="inlineStr">
        <is>
          <t>코스피</t>
        </is>
      </c>
      <c r="D11951" s="2" t="inlineStr">
        <is>
          <t>009140</t>
        </is>
      </c>
      <c r="E11951" s="3" t="inlineStr">
        <is>
          <t>임원ㆍ주요주주특정증권등소유상황보고서</t>
        </is>
      </c>
      <c r="F11951" s="3" t="inlineStr">
        <is>
          <t>김성은</t>
        </is>
      </c>
      <c r="G11951" s="2" t="inlineStr">
        <is>
          <t>20260618000226</t>
        </is>
      </c>
      <c r="H11951" s="8">
        <f>HYPERLINK("https://dart.fss.or.kr/dsaf001/main.do?rcpNo=20260618000226", "공시열람")</f>
        <v/>
      </c>
    </row>
    <row r="11952">
      <c r="A11952" s="2" t="inlineStr">
        <is>
          <t>2026-06-18</t>
        </is>
      </c>
      <c r="B11952" s="3" t="inlineStr">
        <is>
          <t>NAVER</t>
        </is>
      </c>
      <c r="C11952" s="2" t="inlineStr">
        <is>
          <t>코스피</t>
        </is>
      </c>
      <c r="D11952" s="2" t="inlineStr">
        <is>
          <t>035420</t>
        </is>
      </c>
      <c r="E11952" s="3" t="inlineStr">
        <is>
          <t>임원ㆍ주요주주특정증권등소유상황보고서</t>
        </is>
      </c>
      <c r="F11952" s="3" t="inlineStr">
        <is>
          <t>최승락</t>
        </is>
      </c>
      <c r="G11952" s="2" t="inlineStr">
        <is>
          <t>20260618000224</t>
        </is>
      </c>
      <c r="H11952" s="8">
        <f>HYPERLINK("https://dart.fss.or.kr/dsaf001/main.do?rcpNo=20260618000224", "공시열람")</f>
        <v/>
      </c>
    </row>
    <row r="11953">
      <c r="A11953" s="2" t="inlineStr">
        <is>
          <t>2026-06-18</t>
        </is>
      </c>
      <c r="B11953" s="3" t="inlineStr">
        <is>
          <t>조이시티</t>
        </is>
      </c>
      <c r="C11953" s="2" t="inlineStr">
        <is>
          <t>코스닥</t>
        </is>
      </c>
      <c r="D11953" s="2" t="inlineStr">
        <is>
          <t>067000</t>
        </is>
      </c>
      <c r="E11953" s="3" t="inlineStr">
        <is>
          <t>임원ㆍ주요주주특정증권등거래계획보고서</t>
        </is>
      </c>
      <c r="F11953" s="3" t="inlineStr">
        <is>
          <t>엔드림</t>
        </is>
      </c>
      <c r="G11953" s="2" t="inlineStr">
        <is>
          <t>20260618000223</t>
        </is>
      </c>
      <c r="H11953" s="8">
        <f>HYPERLINK("https://dart.fss.or.kr/dsaf001/main.do?rcpNo=20260618000223", "공시열람")</f>
        <v/>
      </c>
    </row>
    <row r="11954">
      <c r="A11954" s="2" t="inlineStr">
        <is>
          <t>2026-06-18</t>
        </is>
      </c>
      <c r="B11954" s="3" t="inlineStr">
        <is>
          <t>트리니티항공</t>
        </is>
      </c>
      <c r="C11954" s="2" t="inlineStr">
        <is>
          <t>코스피</t>
        </is>
      </c>
      <c r="D11954" s="2" t="inlineStr">
        <is>
          <t>091810</t>
        </is>
      </c>
      <c r="E11954" s="3" t="inlineStr">
        <is>
          <t xml:space="preserve">주주명부폐쇄기간또는기준일설정              </t>
        </is>
      </c>
      <c r="F11954" s="3" t="inlineStr">
        <is>
          <t>트리니티항공</t>
        </is>
      </c>
      <c r="G11954" s="2" t="inlineStr">
        <is>
          <t>20260618800504</t>
        </is>
      </c>
      <c r="H11954" s="8">
        <f>HYPERLINK("https://dart.fss.or.kr/dsaf001/main.do?rcpNo=20260618800504", "공시열람")</f>
        <v/>
      </c>
    </row>
    <row r="11955">
      <c r="A11955" s="2" t="inlineStr">
        <is>
          <t>2026-06-18</t>
        </is>
      </c>
      <c r="B11955" s="3" t="inlineStr">
        <is>
          <t>트리니티항공</t>
        </is>
      </c>
      <c r="C11955" s="2" t="inlineStr">
        <is>
          <t>코스피</t>
        </is>
      </c>
      <c r="D11955" s="2" t="inlineStr">
        <is>
          <t>091810</t>
        </is>
      </c>
      <c r="E11955" s="3" t="inlineStr">
        <is>
          <t xml:space="preserve">주식병합결정              </t>
        </is>
      </c>
      <c r="F11955" s="3" t="inlineStr">
        <is>
          <t>트리니티항공</t>
        </is>
      </c>
      <c r="G11955" s="2" t="inlineStr">
        <is>
          <t>20260618800502</t>
        </is>
      </c>
      <c r="H11955" s="8">
        <f>HYPERLINK("https://dart.fss.or.kr/dsaf001/main.do?rcpNo=20260618800502", "공시열람")</f>
        <v/>
      </c>
    </row>
    <row r="11956">
      <c r="A11956" s="2" t="inlineStr">
        <is>
          <t>2026-06-18</t>
        </is>
      </c>
      <c r="B11956" s="3" t="inlineStr">
        <is>
          <t>M83</t>
        </is>
      </c>
      <c r="C11956" s="2" t="inlineStr">
        <is>
          <t>코스닥</t>
        </is>
      </c>
      <c r="D11956" s="2" t="inlineStr">
        <is>
          <t>476080</t>
        </is>
      </c>
      <c r="E11956" s="3" t="inlineStr">
        <is>
          <t xml:space="preserve">주주명부폐쇄기간또는기준일설정              </t>
        </is>
      </c>
      <c r="F11956" s="3" t="inlineStr">
        <is>
          <t>M83</t>
        </is>
      </c>
      <c r="G11956" s="2" t="inlineStr">
        <is>
          <t>20260618900495</t>
        </is>
      </c>
      <c r="H11956" s="8">
        <f>HYPERLINK("https://dart.fss.or.kr/dsaf001/main.do?rcpNo=20260618900495", "공시열람")</f>
        <v/>
      </c>
    </row>
    <row r="11957">
      <c r="A11957" s="2" t="inlineStr">
        <is>
          <t>2026-06-18</t>
        </is>
      </c>
      <c r="B11957" s="3" t="inlineStr">
        <is>
          <t>대원전선</t>
        </is>
      </c>
      <c r="C11957" s="2" t="inlineStr">
        <is>
          <t>코스피</t>
        </is>
      </c>
      <c r="D11957" s="2" t="inlineStr">
        <is>
          <t>006340</t>
        </is>
      </c>
      <c r="E11957" s="3" t="inlineStr">
        <is>
          <t xml:space="preserve">유상증자또는주식관련사채등의발행결과(자율공시)              </t>
        </is>
      </c>
      <c r="F11957" s="3" t="inlineStr">
        <is>
          <t>대원전선</t>
        </is>
      </c>
      <c r="G11957" s="2" t="inlineStr">
        <is>
          <t>20260618800491</t>
        </is>
      </c>
      <c r="H11957" s="8">
        <f>HYPERLINK("https://dart.fss.or.kr/dsaf001/main.do?rcpNo=20260618800491", "공시열람")</f>
        <v/>
      </c>
    </row>
    <row r="11958">
      <c r="A11958" s="2" t="inlineStr">
        <is>
          <t>2026-06-18</t>
        </is>
      </c>
      <c r="B11958" s="3" t="inlineStr">
        <is>
          <t>LB세미콘</t>
        </is>
      </c>
      <c r="C11958" s="2" t="inlineStr">
        <is>
          <t>코스닥</t>
        </is>
      </c>
      <c r="D11958" s="2" t="inlineStr">
        <is>
          <t>061970</t>
        </is>
      </c>
      <c r="E11958" s="3" t="inlineStr">
        <is>
          <t>임원ㆍ주요주주특정증권등거래계획보고서</t>
        </is>
      </c>
      <c r="F11958" s="3" t="inlineStr">
        <is>
          <t>구본완</t>
        </is>
      </c>
      <c r="G11958" s="2" t="inlineStr">
        <is>
          <t>20260618000214</t>
        </is>
      </c>
      <c r="H11958" s="8">
        <f>HYPERLINK("https://dart.fss.or.kr/dsaf001/main.do?rcpNo=20260618000214", "공시열람")</f>
        <v/>
      </c>
    </row>
    <row r="11959">
      <c r="A11959" s="2" t="inlineStr">
        <is>
          <t>2026-06-18</t>
        </is>
      </c>
      <c r="B11959" s="3" t="inlineStr">
        <is>
          <t>LB세미콘</t>
        </is>
      </c>
      <c r="C11959" s="2" t="inlineStr">
        <is>
          <t>코스닥</t>
        </is>
      </c>
      <c r="D11959" s="2" t="inlineStr">
        <is>
          <t>061970</t>
        </is>
      </c>
      <c r="E11959" s="3" t="inlineStr">
        <is>
          <t>임원ㆍ주요주주특정증권등거래계획보고서</t>
        </is>
      </c>
      <c r="F11959" s="3" t="inlineStr">
        <is>
          <t>구본천</t>
        </is>
      </c>
      <c r="G11959" s="2" t="inlineStr">
        <is>
          <t>20260618000213</t>
        </is>
      </c>
      <c r="H11959" s="8">
        <f>HYPERLINK("https://dart.fss.or.kr/dsaf001/main.do?rcpNo=20260618000213", "공시열람")</f>
        <v/>
      </c>
    </row>
    <row r="11960">
      <c r="A11960" s="2" t="inlineStr">
        <is>
          <t>2026-06-18 (정정: 2026-06-22)</t>
        </is>
      </c>
      <c r="B11960" s="3" t="inlineStr">
        <is>
          <t>대성하이텍</t>
        </is>
      </c>
      <c r="C11960" s="2" t="inlineStr">
        <is>
          <t>코스닥</t>
        </is>
      </c>
      <c r="D11960" s="2" t="inlineStr">
        <is>
          <t>129920</t>
        </is>
      </c>
      <c r="E11960" s="3" t="inlineStr">
        <is>
          <t>전환가액의조정              (제6회차) (정정: 20260622)</t>
        </is>
      </c>
      <c r="F11960" s="3" t="inlineStr">
        <is>
          <t>대성하이텍</t>
        </is>
      </c>
      <c r="G11960" s="2" t="inlineStr">
        <is>
          <t>20260622000372</t>
        </is>
      </c>
      <c r="H11960" s="8">
        <f>HYPERLINK("https://dart.fss.or.kr/dsaf001/main.do?rcpNo=20260622000372", "공시열람")</f>
        <v/>
      </c>
    </row>
    <row r="11961">
      <c r="A11961" s="2" t="inlineStr">
        <is>
          <t>2026-06-18</t>
        </is>
      </c>
      <c r="B11961" s="3" t="inlineStr">
        <is>
          <t>ES큐브</t>
        </is>
      </c>
      <c r="C11961" s="2" t="inlineStr">
        <is>
          <t>코스닥</t>
        </is>
      </c>
      <c r="D11961" s="2" t="inlineStr">
        <is>
          <t>050120</t>
        </is>
      </c>
      <c r="E11961" s="3" t="inlineStr">
        <is>
          <t>임원ㆍ주요주주특정증권등소유상황보고서</t>
        </is>
      </c>
      <c r="F11961" s="3" t="inlineStr">
        <is>
          <t>비케이자산관리대부</t>
        </is>
      </c>
      <c r="G11961" s="2" t="inlineStr">
        <is>
          <t>20260618000209</t>
        </is>
      </c>
      <c r="H11961" s="8">
        <f>HYPERLINK("https://dart.fss.or.kr/dsaf001/main.do?rcpNo=20260618000209", "공시열람")</f>
        <v/>
      </c>
    </row>
    <row r="11962">
      <c r="A11962" s="2" t="inlineStr">
        <is>
          <t>2026-06-18</t>
        </is>
      </c>
      <c r="B11962" s="3" t="inlineStr">
        <is>
          <t>제일엠앤에스</t>
        </is>
      </c>
      <c r="C11962" s="2" t="inlineStr">
        <is>
          <t>코스닥</t>
        </is>
      </c>
      <c r="D11962" s="2" t="inlineStr">
        <is>
          <t>412540</t>
        </is>
      </c>
      <c r="E11962" s="3" t="inlineStr">
        <is>
          <t>기타경영사항(자율공시)              (관계인집회 기일 결정)</t>
        </is>
      </c>
      <c r="F11962" s="3" t="inlineStr">
        <is>
          <t>제일엠앤에스</t>
        </is>
      </c>
      <c r="G11962" s="2" t="inlineStr">
        <is>
          <t>20260618900460</t>
        </is>
      </c>
      <c r="H11962" s="8">
        <f>HYPERLINK("https://dart.fss.or.kr/dsaf001/main.do?rcpNo=20260618900460", "공시열람")</f>
        <v/>
      </c>
    </row>
    <row r="11963">
      <c r="A11963" s="2" t="inlineStr">
        <is>
          <t>2026-06-18</t>
        </is>
      </c>
      <c r="B11963" s="3" t="inlineStr">
        <is>
          <t>대한해운</t>
        </is>
      </c>
      <c r="C11963" s="2" t="inlineStr">
        <is>
          <t>코스피</t>
        </is>
      </c>
      <c r="D11963" s="2" t="inlineStr">
        <is>
          <t>005880</t>
        </is>
      </c>
      <c r="E11963" s="3" t="inlineStr">
        <is>
          <t>의결권대리행사권유참고서류</t>
        </is>
      </c>
      <c r="F11963" s="3" t="inlineStr">
        <is>
          <t>대한해운</t>
        </is>
      </c>
      <c r="G11963" s="2" t="inlineStr">
        <is>
          <t>20260618000207</t>
        </is>
      </c>
      <c r="H11963" s="8">
        <f>HYPERLINK("https://dart.fss.or.kr/dsaf001/main.do?rcpNo=20260618000207", "공시열람")</f>
        <v/>
      </c>
    </row>
    <row r="11964">
      <c r="A11964" s="2" t="inlineStr">
        <is>
          <t>2026-06-18</t>
        </is>
      </c>
      <c r="B11964" s="3" t="inlineStr">
        <is>
          <t>삼표시멘트</t>
        </is>
      </c>
      <c r="C11964" s="2" t="inlineStr">
        <is>
          <t>코스닥</t>
        </is>
      </c>
      <c r="D11964" s="2" t="inlineStr">
        <is>
          <t>038500</t>
        </is>
      </c>
      <c r="E11964" s="3" t="inlineStr">
        <is>
          <t>동일인등출자계열회사와의상품ㆍ용역거래</t>
        </is>
      </c>
      <c r="F11964" s="3" t="inlineStr">
        <is>
          <t>삼표시멘트</t>
        </is>
      </c>
      <c r="G11964" s="2" t="inlineStr">
        <is>
          <t>20260618000202</t>
        </is>
      </c>
      <c r="H11964" s="8">
        <f>HYPERLINK("https://dart.fss.or.kr/dsaf001/main.do?rcpNo=20260618000202", "공시열람")</f>
        <v/>
      </c>
    </row>
    <row r="11965">
      <c r="A11965" s="2" t="inlineStr">
        <is>
          <t>2026-06-18</t>
        </is>
      </c>
      <c r="B11965" s="3" t="inlineStr">
        <is>
          <t>모아데이타</t>
        </is>
      </c>
      <c r="C11965" s="2" t="inlineStr">
        <is>
          <t>코스닥</t>
        </is>
      </c>
      <c r="D11965" s="2" t="inlineStr">
        <is>
          <t>288980</t>
        </is>
      </c>
      <c r="E11965" s="3" t="inlineStr">
        <is>
          <t xml:space="preserve">증권발행결과(자율공시)              </t>
        </is>
      </c>
      <c r="F11965" s="3" t="inlineStr">
        <is>
          <t>모아데이타</t>
        </is>
      </c>
      <c r="G11965" s="2" t="inlineStr">
        <is>
          <t>20260618900468</t>
        </is>
      </c>
      <c r="H11965" s="8">
        <f>HYPERLINK("https://dart.fss.or.kr/dsaf001/main.do?rcpNo=20260618900468", "공시열람")</f>
        <v/>
      </c>
    </row>
    <row r="11966">
      <c r="A11966" s="2" t="inlineStr">
        <is>
          <t>2026-06-18</t>
        </is>
      </c>
      <c r="B11966" s="3" t="inlineStr">
        <is>
          <t>DB증권</t>
        </is>
      </c>
      <c r="C11966" s="2" t="inlineStr">
        <is>
          <t>코스피</t>
        </is>
      </c>
      <c r="D11966" s="2" t="inlineStr">
        <is>
          <t>016610</t>
        </is>
      </c>
      <c r="E11966" s="3" t="inlineStr">
        <is>
          <t>투자설명서(일괄신고)</t>
        </is>
      </c>
      <c r="F11966" s="3" t="inlineStr">
        <is>
          <t>DB증권</t>
        </is>
      </c>
      <c r="G11966" s="2" t="inlineStr">
        <is>
          <t>20260618000195</t>
        </is>
      </c>
      <c r="H11966" s="8">
        <f>HYPERLINK("https://dart.fss.or.kr/dsaf001/main.do?rcpNo=20260618000195", "공시열람")</f>
        <v/>
      </c>
    </row>
    <row r="11967">
      <c r="A11967" s="2" t="inlineStr">
        <is>
          <t>2026-06-18</t>
        </is>
      </c>
      <c r="B11967" s="3" t="inlineStr">
        <is>
          <t>아이엠비디엑스</t>
        </is>
      </c>
      <c r="C11967" s="2" t="inlineStr">
        <is>
          <t>코스닥</t>
        </is>
      </c>
      <c r="D11967" s="2" t="inlineStr">
        <is>
          <t>461030</t>
        </is>
      </c>
      <c r="E11967" s="3" t="inlineStr">
        <is>
          <t>임원ㆍ주요주주특정증권등소유상황보고서</t>
        </is>
      </c>
      <c r="F11967" s="3" t="inlineStr">
        <is>
          <t>송상현</t>
        </is>
      </c>
      <c r="G11967" s="2" t="inlineStr">
        <is>
          <t>20260618000194</t>
        </is>
      </c>
      <c r="H11967" s="8">
        <f>HYPERLINK("https://dart.fss.or.kr/dsaf001/main.do?rcpNo=20260618000194", "공시열람")</f>
        <v/>
      </c>
    </row>
    <row r="11968">
      <c r="A11968" s="2" t="inlineStr">
        <is>
          <t>2026-06-18</t>
        </is>
      </c>
      <c r="B11968" s="3" t="inlineStr">
        <is>
          <t>남화토건</t>
        </is>
      </c>
      <c r="C11968" s="2" t="inlineStr">
        <is>
          <t>코스닥</t>
        </is>
      </c>
      <c r="D11968" s="2" t="inlineStr">
        <is>
          <t>091590</t>
        </is>
      </c>
      <c r="E11968" s="3" t="inlineStr">
        <is>
          <t>사외이사의선임ㆍ해임또는중도퇴임에관한신고</t>
        </is>
      </c>
      <c r="F11968" s="3" t="inlineStr">
        <is>
          <t>남화토건</t>
        </is>
      </c>
      <c r="G11968" s="2" t="inlineStr">
        <is>
          <t>20260618000193</t>
        </is>
      </c>
      <c r="H11968" s="8">
        <f>HYPERLINK("https://dart.fss.or.kr/dsaf001/main.do?rcpNo=20260618000193", "공시열람")</f>
        <v/>
      </c>
    </row>
    <row r="11969">
      <c r="A11969" s="2" t="inlineStr">
        <is>
          <t>2026-06-18</t>
        </is>
      </c>
      <c r="B11969" s="3" t="inlineStr">
        <is>
          <t>교보증권</t>
        </is>
      </c>
      <c r="C11969" s="2" t="inlineStr">
        <is>
          <t>코스피</t>
        </is>
      </c>
      <c r="D11969" s="2" t="inlineStr">
        <is>
          <t>030610</t>
        </is>
      </c>
      <c r="E11969" s="3" t="inlineStr">
        <is>
          <t>투자설명서(일괄신고)</t>
        </is>
      </c>
      <c r="F11969" s="3" t="inlineStr">
        <is>
          <t>교보증권</t>
        </is>
      </c>
      <c r="G11969" s="2" t="inlineStr">
        <is>
          <t>20260618000192</t>
        </is>
      </c>
      <c r="H11969" s="8">
        <f>HYPERLINK("https://dart.fss.or.kr/dsaf001/main.do?rcpNo=20260618000192", "공시열람")</f>
        <v/>
      </c>
    </row>
    <row r="11970">
      <c r="A11970" s="2" t="inlineStr">
        <is>
          <t>2026-06-18</t>
        </is>
      </c>
      <c r="B11970" s="3" t="inlineStr">
        <is>
          <t>교보증권</t>
        </is>
      </c>
      <c r="C11970" s="2" t="inlineStr">
        <is>
          <t>코스피</t>
        </is>
      </c>
      <c r="D11970" s="2" t="inlineStr">
        <is>
          <t>030610</t>
        </is>
      </c>
      <c r="E11970" s="3" t="inlineStr">
        <is>
          <t>투자설명서(일괄신고)</t>
        </is>
      </c>
      <c r="F11970" s="3" t="inlineStr">
        <is>
          <t>교보증권</t>
        </is>
      </c>
      <c r="G11970" s="2" t="inlineStr">
        <is>
          <t>20260618000189</t>
        </is>
      </c>
      <c r="H11970" s="8">
        <f>HYPERLINK("https://dart.fss.or.kr/dsaf001/main.do?rcpNo=20260618000189", "공시열람")</f>
        <v/>
      </c>
    </row>
    <row r="11971">
      <c r="A11971" s="2" t="inlineStr">
        <is>
          <t>2026-06-18</t>
        </is>
      </c>
      <c r="B11971" s="3" t="inlineStr">
        <is>
          <t>KTis</t>
        </is>
      </c>
      <c r="C11971" s="2" t="inlineStr">
        <is>
          <t>코스피</t>
        </is>
      </c>
      <c r="D11971" s="2" t="inlineStr">
        <is>
          <t>058860</t>
        </is>
      </c>
      <c r="E11971" s="3" t="inlineStr">
        <is>
          <t>임원ㆍ주요주주특정증권등소유상황보고서</t>
        </is>
      </c>
      <c r="F11971" s="3" t="inlineStr">
        <is>
          <t>조남훈</t>
        </is>
      </c>
      <c r="G11971" s="2" t="inlineStr">
        <is>
          <t>20260618000187</t>
        </is>
      </c>
      <c r="H11971" s="8">
        <f>HYPERLINK("https://dart.fss.or.kr/dsaf001/main.do?rcpNo=20260618000187", "공시열람")</f>
        <v/>
      </c>
    </row>
    <row r="11972">
      <c r="A11972" s="2" t="inlineStr">
        <is>
          <t>2026-06-18</t>
        </is>
      </c>
      <c r="B11972" s="3" t="inlineStr">
        <is>
          <t>교보증권</t>
        </is>
      </c>
      <c r="C11972" s="2" t="inlineStr">
        <is>
          <t>코스피</t>
        </is>
      </c>
      <c r="D11972" s="2" t="inlineStr">
        <is>
          <t>030610</t>
        </is>
      </c>
      <c r="E11972" s="3" t="inlineStr">
        <is>
          <t>일괄신고추가서류(파생결합증권-주가연계증권)</t>
        </is>
      </c>
      <c r="F11972" s="3" t="inlineStr">
        <is>
          <t>교보증권</t>
        </is>
      </c>
      <c r="G11972" s="2" t="inlineStr">
        <is>
          <t>20260618000186</t>
        </is>
      </c>
      <c r="H11972" s="8">
        <f>HYPERLINK("https://dart.fss.or.kr/dsaf001/main.do?rcpNo=20260618000186", "공시열람")</f>
        <v/>
      </c>
    </row>
    <row r="11973">
      <c r="A11973" s="2" t="inlineStr">
        <is>
          <t>2026-06-18</t>
        </is>
      </c>
      <c r="B11973" s="3" t="inlineStr">
        <is>
          <t>다이나믹솔루션</t>
        </is>
      </c>
      <c r="C11973" s="2" t="inlineStr">
        <is>
          <t>코스닥</t>
        </is>
      </c>
      <c r="D11973" s="2" t="inlineStr">
        <is>
          <t>290660</t>
        </is>
      </c>
      <c r="E11973" s="3" t="inlineStr">
        <is>
          <t xml:space="preserve">[기재정정]주식병합결정              </t>
        </is>
      </c>
      <c r="F11973" s="3" t="inlineStr">
        <is>
          <t>다이나믹솔루션</t>
        </is>
      </c>
      <c r="G11973" s="2" t="inlineStr">
        <is>
          <t>20260618900446</t>
        </is>
      </c>
      <c r="H11973" s="8">
        <f>HYPERLINK("https://dart.fss.or.kr/dsaf001/main.do?rcpNo=20260618900446", "공시열람")</f>
        <v/>
      </c>
    </row>
    <row r="11974">
      <c r="A11974" s="2" t="inlineStr">
        <is>
          <t>2026-06-18</t>
        </is>
      </c>
      <c r="B11974" s="3" t="inlineStr">
        <is>
          <t>대신증권</t>
        </is>
      </c>
      <c r="C11974" s="2" t="inlineStr">
        <is>
          <t>코스피</t>
        </is>
      </c>
      <c r="D11974" s="2" t="inlineStr">
        <is>
          <t>003540</t>
        </is>
      </c>
      <c r="E11974" s="3" t="inlineStr">
        <is>
          <t>일괄신고추가서류(파생결합사채-주가연계파생결합사채)</t>
        </is>
      </c>
      <c r="F11974" s="3" t="inlineStr">
        <is>
          <t>대신증권</t>
        </is>
      </c>
      <c r="G11974" s="2" t="inlineStr">
        <is>
          <t>20260618000182</t>
        </is>
      </c>
      <c r="H11974" s="8">
        <f>HYPERLINK("https://dart.fss.or.kr/dsaf001/main.do?rcpNo=20260618000182", "공시열람")</f>
        <v/>
      </c>
    </row>
    <row r="11975">
      <c r="A11975" s="2" t="inlineStr">
        <is>
          <t>2026-06-18</t>
        </is>
      </c>
      <c r="B11975" s="3" t="inlineStr">
        <is>
          <t>인탑스</t>
        </is>
      </c>
      <c r="C11975" s="2" t="inlineStr">
        <is>
          <t>코스닥</t>
        </is>
      </c>
      <c r="D11975" s="2" t="inlineStr">
        <is>
          <t>049070</t>
        </is>
      </c>
      <c r="E11975" s="3" t="inlineStr">
        <is>
          <t xml:space="preserve">대표이사변경              </t>
        </is>
      </c>
      <c r="F11975" s="3" t="inlineStr">
        <is>
          <t>인탑스</t>
        </is>
      </c>
      <c r="G11975" s="2" t="inlineStr">
        <is>
          <t>20260618900430</t>
        </is>
      </c>
      <c r="H11975" s="8">
        <f>HYPERLINK("https://dart.fss.or.kr/dsaf001/main.do?rcpNo=20260618900430", "공시열람")</f>
        <v/>
      </c>
    </row>
    <row r="11976">
      <c r="A11976" s="2" t="inlineStr">
        <is>
          <t>2026-06-18</t>
        </is>
      </c>
      <c r="B11976" s="3" t="inlineStr">
        <is>
          <t>교보증권</t>
        </is>
      </c>
      <c r="C11976" s="2" t="inlineStr">
        <is>
          <t>코스피</t>
        </is>
      </c>
      <c r="D11976" s="2" t="inlineStr">
        <is>
          <t>030610</t>
        </is>
      </c>
      <c r="E11976" s="3" t="inlineStr">
        <is>
          <t>일괄신고추가서류(파생결합사채-주가연계파생결합사채)</t>
        </is>
      </c>
      <c r="F11976" s="3" t="inlineStr">
        <is>
          <t>교보증권</t>
        </is>
      </c>
      <c r="G11976" s="2" t="inlineStr">
        <is>
          <t>20260618000180</t>
        </is>
      </c>
      <c r="H11976" s="8">
        <f>HYPERLINK("https://dart.fss.or.kr/dsaf001/main.do?rcpNo=20260618000180", "공시열람")</f>
        <v/>
      </c>
    </row>
    <row r="11977">
      <c r="A11977" s="2" t="inlineStr">
        <is>
          <t>2026-06-18</t>
        </is>
      </c>
      <c r="B11977" s="3" t="inlineStr">
        <is>
          <t>에스엘</t>
        </is>
      </c>
      <c r="C11977" s="2" t="inlineStr">
        <is>
          <t>코스피</t>
        </is>
      </c>
      <c r="D11977" s="2" t="inlineStr">
        <is>
          <t>005850</t>
        </is>
      </c>
      <c r="E11977" s="3" t="inlineStr">
        <is>
          <t xml:space="preserve">지속가능경영보고서등관련사항(자율공시)              </t>
        </is>
      </c>
      <c r="F11977" s="3" t="inlineStr">
        <is>
          <t>에스엘</t>
        </is>
      </c>
      <c r="G11977" s="2" t="inlineStr">
        <is>
          <t>20260618800355</t>
        </is>
      </c>
      <c r="H11977" s="8">
        <f>HYPERLINK("https://dart.fss.or.kr/dsaf001/main.do?rcpNo=20260618800355", "공시열람")</f>
        <v/>
      </c>
    </row>
    <row r="11978">
      <c r="A11978" s="2" t="inlineStr">
        <is>
          <t>2026-06-18</t>
        </is>
      </c>
      <c r="B11978" s="3" t="inlineStr">
        <is>
          <t>아모그린텍</t>
        </is>
      </c>
      <c r="C11978" s="2" t="inlineStr">
        <is>
          <t>코스닥</t>
        </is>
      </c>
      <c r="D11978" s="2" t="inlineStr">
        <is>
          <t>125210</t>
        </is>
      </c>
      <c r="E11978" s="3" t="inlineStr">
        <is>
          <t>임원ㆍ주요주주특정증권등거래계획보고서</t>
        </is>
      </c>
      <c r="F11978" s="3" t="inlineStr">
        <is>
          <t>김병규</t>
        </is>
      </c>
      <c r="G11978" s="2" t="inlineStr">
        <is>
          <t>20260618000176</t>
        </is>
      </c>
      <c r="H11978" s="8">
        <f>HYPERLINK("https://dart.fss.or.kr/dsaf001/main.do?rcpNo=20260618000176", "공시열람")</f>
        <v/>
      </c>
    </row>
    <row r="11979">
      <c r="A11979" s="2" t="inlineStr">
        <is>
          <t>2026-06-18</t>
        </is>
      </c>
      <c r="B11979" s="3" t="inlineStr">
        <is>
          <t>DB증권</t>
        </is>
      </c>
      <c r="C11979" s="2" t="inlineStr">
        <is>
          <t>코스피</t>
        </is>
      </c>
      <c r="D11979" s="2" t="inlineStr">
        <is>
          <t>016610</t>
        </is>
      </c>
      <c r="E11979" s="3" t="inlineStr">
        <is>
          <t>일괄신고추가서류(파생결합사채-주가연계파생결합사채)</t>
        </is>
      </c>
      <c r="F11979" s="3" t="inlineStr">
        <is>
          <t>DB증권</t>
        </is>
      </c>
      <c r="G11979" s="2" t="inlineStr">
        <is>
          <t>20260618000173</t>
        </is>
      </c>
      <c r="H11979" s="8">
        <f>HYPERLINK("https://dart.fss.or.kr/dsaf001/main.do?rcpNo=20260618000173", "공시열람")</f>
        <v/>
      </c>
    </row>
    <row r="11980">
      <c r="A11980" s="2" t="inlineStr">
        <is>
          <t>2026-06-18</t>
        </is>
      </c>
      <c r="B11980" s="3" t="inlineStr">
        <is>
          <t>HLB</t>
        </is>
      </c>
      <c r="C11980" s="2" t="inlineStr">
        <is>
          <t>코스닥</t>
        </is>
      </c>
      <c r="D11980" s="2" t="inlineStr">
        <is>
          <t>028300</t>
        </is>
      </c>
      <c r="E11980" s="3" t="inlineStr">
        <is>
          <t xml:space="preserve">기업설명회(IR)개최              </t>
        </is>
      </c>
      <c r="F11980" s="3" t="inlineStr">
        <is>
          <t>HLB</t>
        </is>
      </c>
      <c r="G11980" s="2" t="inlineStr">
        <is>
          <t>20260618900401</t>
        </is>
      </c>
      <c r="H11980" s="8">
        <f>HYPERLINK("https://dart.fss.or.kr/dsaf001/main.do?rcpNo=20260618900401", "공시열람")</f>
        <v/>
      </c>
    </row>
    <row r="11981">
      <c r="A11981" s="2" t="inlineStr">
        <is>
          <t>2026-06-18</t>
        </is>
      </c>
      <c r="B11981" s="3" t="inlineStr">
        <is>
          <t>대신증권</t>
        </is>
      </c>
      <c r="C11981" s="2" t="inlineStr">
        <is>
          <t>코스피</t>
        </is>
      </c>
      <c r="D11981" s="2" t="inlineStr">
        <is>
          <t>003540</t>
        </is>
      </c>
      <c r="E11981" s="3" t="inlineStr">
        <is>
          <t>투자설명서(일괄신고)</t>
        </is>
      </c>
      <c r="F11981" s="3" t="inlineStr">
        <is>
          <t>대신증권</t>
        </is>
      </c>
      <c r="G11981" s="2" t="inlineStr">
        <is>
          <t>20260618000170</t>
        </is>
      </c>
      <c r="H11981" s="8">
        <f>HYPERLINK("https://dart.fss.or.kr/dsaf001/main.do?rcpNo=20260618000170", "공시열람")</f>
        <v/>
      </c>
    </row>
    <row r="11982">
      <c r="A11982" s="2" t="inlineStr">
        <is>
          <t>2026-06-18</t>
        </is>
      </c>
      <c r="B11982" s="3" t="inlineStr">
        <is>
          <t>에스투더블유</t>
        </is>
      </c>
      <c r="C11982" s="2" t="inlineStr">
        <is>
          <t>코스닥</t>
        </is>
      </c>
      <c r="D11982" s="2" t="inlineStr">
        <is>
          <t>488280</t>
        </is>
      </c>
      <c r="E11982" s="3" t="inlineStr">
        <is>
          <t xml:space="preserve">본점소재지변경              </t>
        </is>
      </c>
      <c r="F11982" s="3" t="inlineStr">
        <is>
          <t>에스투더블유</t>
        </is>
      </c>
      <c r="G11982" s="2" t="inlineStr">
        <is>
          <t>20260618900340</t>
        </is>
      </c>
      <c r="H11982" s="8">
        <f>HYPERLINK("https://dart.fss.or.kr/dsaf001/main.do?rcpNo=20260618900340", "공시열람")</f>
        <v/>
      </c>
    </row>
    <row r="11983">
      <c r="A11983" s="2" t="inlineStr">
        <is>
          <t>2026-06-18</t>
        </is>
      </c>
      <c r="B11983" s="3" t="inlineStr">
        <is>
          <t>DB증권</t>
        </is>
      </c>
      <c r="C11983" s="2" t="inlineStr">
        <is>
          <t>코스피</t>
        </is>
      </c>
      <c r="D11983" s="2" t="inlineStr">
        <is>
          <t>016610</t>
        </is>
      </c>
      <c r="E11983" s="3" t="inlineStr">
        <is>
          <t>투자설명서(일괄신고)</t>
        </is>
      </c>
      <c r="F11983" s="3" t="inlineStr">
        <is>
          <t>DB증권</t>
        </is>
      </c>
      <c r="G11983" s="2" t="inlineStr">
        <is>
          <t>20260618000167</t>
        </is>
      </c>
      <c r="H11983" s="8">
        <f>HYPERLINK("https://dart.fss.or.kr/dsaf001/main.do?rcpNo=20260618000167", "공시열람")</f>
        <v/>
      </c>
    </row>
    <row r="11984">
      <c r="A11984" s="2" t="inlineStr">
        <is>
          <t>2026-06-18</t>
        </is>
      </c>
      <c r="B11984" s="3" t="inlineStr">
        <is>
          <t>금비</t>
        </is>
      </c>
      <c r="C11984" s="2" t="inlineStr">
        <is>
          <t>코스피</t>
        </is>
      </c>
      <c r="D11984" s="2" t="inlineStr">
        <is>
          <t>008870</t>
        </is>
      </c>
      <c r="E11984" s="3" t="inlineStr">
        <is>
          <t>임원ㆍ주요주주특정증권등소유상황보고서</t>
        </is>
      </c>
      <c r="F11984" s="3" t="inlineStr">
        <is>
          <t>고기영</t>
        </is>
      </c>
      <c r="G11984" s="2" t="inlineStr">
        <is>
          <t>20260618000165</t>
        </is>
      </c>
      <c r="H11984" s="8">
        <f>HYPERLINK("https://dart.fss.or.kr/dsaf001/main.do?rcpNo=20260618000165", "공시열람")</f>
        <v/>
      </c>
    </row>
    <row r="11985">
      <c r="A11985" s="2" t="inlineStr">
        <is>
          <t>2026-06-18</t>
        </is>
      </c>
      <c r="B11985" s="3" t="inlineStr">
        <is>
          <t>대신증권</t>
        </is>
      </c>
      <c r="C11985" s="2" t="inlineStr">
        <is>
          <t>코스피</t>
        </is>
      </c>
      <c r="D11985" s="2" t="inlineStr">
        <is>
          <t>003540</t>
        </is>
      </c>
      <c r="E11985" s="3" t="inlineStr">
        <is>
          <t>일괄신고추가서류(파생결합사채-주가연계파생결합사채)</t>
        </is>
      </c>
      <c r="F11985" s="3" t="inlineStr">
        <is>
          <t>대신증권</t>
        </is>
      </c>
      <c r="G11985" s="2" t="inlineStr">
        <is>
          <t>20260618000160</t>
        </is>
      </c>
      <c r="H11985" s="8">
        <f>HYPERLINK("https://dart.fss.or.kr/dsaf001/main.do?rcpNo=20260618000160", "공시열람")</f>
        <v/>
      </c>
    </row>
    <row r="11986">
      <c r="A11986" s="2" t="inlineStr">
        <is>
          <t>2026-06-18</t>
        </is>
      </c>
      <c r="B11986" s="3" t="inlineStr">
        <is>
          <t>와이제이링크</t>
        </is>
      </c>
      <c r="C11986" s="2" t="inlineStr">
        <is>
          <t>코스닥</t>
        </is>
      </c>
      <c r="D11986" s="2" t="inlineStr">
        <is>
          <t>209640</t>
        </is>
      </c>
      <c r="E11986" s="3" t="inlineStr">
        <is>
          <t xml:space="preserve">중간(분기)배당을위한주주명부폐쇄(기준일)결정              </t>
        </is>
      </c>
      <c r="F11986" s="3" t="inlineStr">
        <is>
          <t>와이제이링크</t>
        </is>
      </c>
      <c r="G11986" s="2" t="inlineStr">
        <is>
          <t>20260618900335</t>
        </is>
      </c>
      <c r="H11986" s="8">
        <f>HYPERLINK("https://dart.fss.or.kr/dsaf001/main.do?rcpNo=20260618900335", "공시열람")</f>
        <v/>
      </c>
    </row>
    <row r="11987">
      <c r="A11987" s="2" t="inlineStr">
        <is>
          <t>2026-06-18</t>
        </is>
      </c>
      <c r="B11987" s="3" t="inlineStr">
        <is>
          <t>마이크로엔엑스</t>
        </is>
      </c>
      <c r="C11987" s="2" t="inlineStr">
        <is>
          <t>코넥스</t>
        </is>
      </c>
      <c r="D11987" s="2" t="inlineStr">
        <is>
          <t>448780</t>
        </is>
      </c>
      <c r="E11987" s="3" t="inlineStr">
        <is>
          <t xml:space="preserve">기업설명회(IR)개최결과              </t>
        </is>
      </c>
      <c r="F11987" s="3" t="inlineStr">
        <is>
          <t>마이크로엔엑스</t>
        </is>
      </c>
      <c r="G11987" s="2" t="inlineStr">
        <is>
          <t>20260618600313</t>
        </is>
      </c>
      <c r="H11987" s="8">
        <f>HYPERLINK("https://dart.fss.or.kr/dsaf001/main.do?rcpNo=20260618600313", "공시열람")</f>
        <v/>
      </c>
    </row>
    <row r="11988">
      <c r="A11988" s="2" t="inlineStr">
        <is>
          <t>2026-06-18</t>
        </is>
      </c>
      <c r="B11988" s="3" t="inlineStr">
        <is>
          <t>교보증권</t>
        </is>
      </c>
      <c r="C11988" s="2" t="inlineStr">
        <is>
          <t>코스피</t>
        </is>
      </c>
      <c r="D11988" s="2" t="inlineStr">
        <is>
          <t>030610</t>
        </is>
      </c>
      <c r="E11988" s="3" t="inlineStr">
        <is>
          <t>투자설명서(일괄신고)</t>
        </is>
      </c>
      <c r="F11988" s="3" t="inlineStr">
        <is>
          <t>교보증권</t>
        </is>
      </c>
      <c r="G11988" s="2" t="inlineStr">
        <is>
          <t>20260618000157</t>
        </is>
      </c>
      <c r="H11988" s="8">
        <f>HYPERLINK("https://dart.fss.or.kr/dsaf001/main.do?rcpNo=20260618000157", "공시열람")</f>
        <v/>
      </c>
    </row>
    <row r="11989">
      <c r="A11989" s="2" t="inlineStr">
        <is>
          <t>2026-06-18</t>
        </is>
      </c>
      <c r="B11989" s="3" t="inlineStr">
        <is>
          <t>동양이엔피</t>
        </is>
      </c>
      <c r="C11989" s="2" t="inlineStr">
        <is>
          <t>코스닥</t>
        </is>
      </c>
      <c r="D11989" s="2" t="inlineStr">
        <is>
          <t>079960</t>
        </is>
      </c>
      <c r="E11989" s="3" t="inlineStr">
        <is>
          <t xml:space="preserve">[첨부정정]기업가치제고계획(자율공시)              </t>
        </is>
      </c>
      <c r="F11989" s="3" t="inlineStr">
        <is>
          <t>동양이엔피</t>
        </is>
      </c>
      <c r="G11989" s="2" t="inlineStr">
        <is>
          <t>20260618900336</t>
        </is>
      </c>
      <c r="H11989" s="8">
        <f>HYPERLINK("https://dart.fss.or.kr/dsaf001/main.do?rcpNo=20260618900336", "공시열람")</f>
        <v/>
      </c>
    </row>
    <row r="11990">
      <c r="A11990" s="2" t="inlineStr">
        <is>
          <t>2026-06-18</t>
        </is>
      </c>
      <c r="B11990" s="3" t="inlineStr">
        <is>
          <t>아가방컴퍼니</t>
        </is>
      </c>
      <c r="C11990" s="2" t="inlineStr">
        <is>
          <t>코스닥</t>
        </is>
      </c>
      <c r="D11990" s="2" t="inlineStr">
        <is>
          <t>013990</t>
        </is>
      </c>
      <c r="E11990" s="3" t="inlineStr">
        <is>
          <t>임원ㆍ주요주주특정증권등거래계획보고서</t>
        </is>
      </c>
      <c r="F11990" s="3" t="inlineStr">
        <is>
          <t>랑시코리아</t>
        </is>
      </c>
      <c r="G11990" s="2" t="inlineStr">
        <is>
          <t>20260618000155</t>
        </is>
      </c>
      <c r="H11990" s="8">
        <f>HYPERLINK("https://dart.fss.or.kr/dsaf001/main.do?rcpNo=20260618000155", "공시열람")</f>
        <v/>
      </c>
    </row>
    <row r="11991">
      <c r="A11991" s="2" t="inlineStr">
        <is>
          <t>2026-06-18</t>
        </is>
      </c>
      <c r="B11991" s="3" t="inlineStr">
        <is>
          <t>유안타증권</t>
        </is>
      </c>
      <c r="C11991" s="2" t="inlineStr">
        <is>
          <t>코스피</t>
        </is>
      </c>
      <c r="D11991" s="2" t="inlineStr">
        <is>
          <t>003470</t>
        </is>
      </c>
      <c r="E11991" s="3" t="inlineStr">
        <is>
          <t>증권발행실적보고서</t>
        </is>
      </c>
      <c r="F11991" s="3" t="inlineStr">
        <is>
          <t>유안타증권</t>
        </is>
      </c>
      <c r="G11991" s="2" t="inlineStr">
        <is>
          <t>20260618000153</t>
        </is>
      </c>
      <c r="H11991" s="8">
        <f>HYPERLINK("https://dart.fss.or.kr/dsaf001/main.do?rcpNo=20260618000153", "공시열람")</f>
        <v/>
      </c>
    </row>
    <row r="11992">
      <c r="A11992" s="2" t="inlineStr">
        <is>
          <t>2026-06-18</t>
        </is>
      </c>
      <c r="B11992" s="3" t="inlineStr">
        <is>
          <t>롯데관광개발</t>
        </is>
      </c>
      <c r="C11992" s="2" t="inlineStr">
        <is>
          <t>코스피</t>
        </is>
      </c>
      <c r="D11992" s="2" t="inlineStr">
        <is>
          <t>032350</t>
        </is>
      </c>
      <c r="E11992" s="3" t="inlineStr">
        <is>
          <t>임원ㆍ주요주주특정증권등소유상황보고서</t>
        </is>
      </c>
      <c r="F11992" s="3" t="inlineStr">
        <is>
          <t>국민연금공단</t>
        </is>
      </c>
      <c r="G11992" s="2" t="inlineStr">
        <is>
          <t>20260618000152</t>
        </is>
      </c>
      <c r="H11992" s="8">
        <f>HYPERLINK("https://dart.fss.or.kr/dsaf001/main.do?rcpNo=20260618000152", "공시열람")</f>
        <v/>
      </c>
    </row>
    <row r="11993">
      <c r="A11993" s="2" t="inlineStr">
        <is>
          <t>2026-06-18</t>
        </is>
      </c>
      <c r="B11993" s="3" t="inlineStr">
        <is>
          <t>효성중공업</t>
        </is>
      </c>
      <c r="C11993" s="2" t="inlineStr">
        <is>
          <t>코스피</t>
        </is>
      </c>
      <c r="D11993" s="2" t="inlineStr">
        <is>
          <t>298040</t>
        </is>
      </c>
      <c r="E11993" s="3" t="inlineStr">
        <is>
          <t>임원ㆍ주요주주특정증권등소유상황보고서</t>
        </is>
      </c>
      <c r="F11993" s="3" t="inlineStr">
        <is>
          <t>국민연금공단</t>
        </is>
      </c>
      <c r="G11993" s="2" t="inlineStr">
        <is>
          <t>20260618000151</t>
        </is>
      </c>
      <c r="H11993" s="8">
        <f>HYPERLINK("https://dart.fss.or.kr/dsaf001/main.do?rcpNo=20260618000151", "공시열람")</f>
        <v/>
      </c>
    </row>
    <row r="11994">
      <c r="A11994" s="2" t="inlineStr">
        <is>
          <t>2026-06-18</t>
        </is>
      </c>
      <c r="B11994" s="3" t="inlineStr">
        <is>
          <t>DB증권</t>
        </is>
      </c>
      <c r="C11994" s="2" t="inlineStr">
        <is>
          <t>코스피</t>
        </is>
      </c>
      <c r="D11994" s="2" t="inlineStr">
        <is>
          <t>016610</t>
        </is>
      </c>
      <c r="E11994" s="3" t="inlineStr">
        <is>
          <t>일괄신고추가서류(기타파생결합사채)</t>
        </is>
      </c>
      <c r="F11994" s="3" t="inlineStr">
        <is>
          <t>DB증권</t>
        </is>
      </c>
      <c r="G11994" s="2" t="inlineStr">
        <is>
          <t>20260618000148</t>
        </is>
      </c>
      <c r="H11994" s="8">
        <f>HYPERLINK("https://dart.fss.or.kr/dsaf001/main.do?rcpNo=20260618000148", "공시열람")</f>
        <v/>
      </c>
    </row>
    <row r="11995">
      <c r="A11995" s="2" t="inlineStr">
        <is>
          <t>2026-06-18</t>
        </is>
      </c>
      <c r="B11995" s="3" t="inlineStr">
        <is>
          <t>교보증권</t>
        </is>
      </c>
      <c r="C11995" s="2" t="inlineStr">
        <is>
          <t>코스피</t>
        </is>
      </c>
      <c r="D11995" s="2" t="inlineStr">
        <is>
          <t>030610</t>
        </is>
      </c>
      <c r="E11995" s="3" t="inlineStr">
        <is>
          <t>일괄신고추가서류(파생결합사채-주가연계파생결합사채)</t>
        </is>
      </c>
      <c r="F11995" s="3" t="inlineStr">
        <is>
          <t>교보증권</t>
        </is>
      </c>
      <c r="G11995" s="2" t="inlineStr">
        <is>
          <t>20260618000147</t>
        </is>
      </c>
      <c r="H11995" s="8">
        <f>HYPERLINK("https://dart.fss.or.kr/dsaf001/main.do?rcpNo=20260618000147", "공시열람")</f>
        <v/>
      </c>
    </row>
    <row r="11996">
      <c r="A11996" s="2" t="inlineStr">
        <is>
          <t>2026-06-18</t>
        </is>
      </c>
      <c r="B11996" s="3" t="inlineStr">
        <is>
          <t>교보증권</t>
        </is>
      </c>
      <c r="C11996" s="2" t="inlineStr">
        <is>
          <t>코스피</t>
        </is>
      </c>
      <c r="D11996" s="2" t="inlineStr">
        <is>
          <t>030610</t>
        </is>
      </c>
      <c r="E11996" s="3" t="inlineStr">
        <is>
          <t>증권발행실적보고서</t>
        </is>
      </c>
      <c r="F11996" s="3" t="inlineStr">
        <is>
          <t>교보증권</t>
        </is>
      </c>
      <c r="G11996" s="2" t="inlineStr">
        <is>
          <t>20260618000144</t>
        </is>
      </c>
      <c r="H11996" s="8">
        <f>HYPERLINK("https://dart.fss.or.kr/dsaf001/main.do?rcpNo=20260618000144", "공시열람")</f>
        <v/>
      </c>
    </row>
    <row r="11997">
      <c r="A11997" s="2" t="inlineStr">
        <is>
          <t>2026-06-18</t>
        </is>
      </c>
      <c r="B11997" s="3" t="inlineStr">
        <is>
          <t>동양이엔피</t>
        </is>
      </c>
      <c r="C11997" s="2" t="inlineStr">
        <is>
          <t>코스닥</t>
        </is>
      </c>
      <c r="D11997" s="2" t="inlineStr">
        <is>
          <t>079960</t>
        </is>
      </c>
      <c r="E11997" s="3" t="inlineStr">
        <is>
          <t xml:space="preserve">기업가치제고계획(자율공시)              </t>
        </is>
      </c>
      <c r="F11997" s="3" t="inlineStr">
        <is>
          <t>동양이엔피</t>
        </is>
      </c>
      <c r="G11997" s="2" t="inlineStr">
        <is>
          <t>20260618900254</t>
        </is>
      </c>
      <c r="H11997" s="8">
        <f>HYPERLINK("https://dart.fss.or.kr/dsaf001/main.do?rcpNo=20260618900254", "공시열람")</f>
        <v/>
      </c>
    </row>
    <row r="11998">
      <c r="A11998" s="2" t="inlineStr">
        <is>
          <t>2026-06-18</t>
        </is>
      </c>
      <c r="B11998" s="3" t="inlineStr">
        <is>
          <t>에이치엠씨제7호스팩</t>
        </is>
      </c>
      <c r="C11998" s="2" t="inlineStr">
        <is>
          <t>코스닥</t>
        </is>
      </c>
      <c r="D11998" s="2" t="inlineStr">
        <is>
          <t>477340</t>
        </is>
      </c>
      <c r="E11998" s="3" t="inlineStr">
        <is>
          <t xml:space="preserve">기업인수목적회사의예치ㆍ신탁계약내용변경              </t>
        </is>
      </c>
      <c r="F11998" s="3" t="inlineStr">
        <is>
          <t>에이치엠씨제7호스팩</t>
        </is>
      </c>
      <c r="G11998" s="2" t="inlineStr">
        <is>
          <t>20260618900218</t>
        </is>
      </c>
      <c r="H11998" s="8">
        <f>HYPERLINK("https://dart.fss.or.kr/dsaf001/main.do?rcpNo=20260618900218", "공시열람")</f>
        <v/>
      </c>
    </row>
    <row r="11999">
      <c r="A11999" s="2" t="inlineStr">
        <is>
          <t>2026-06-18</t>
        </is>
      </c>
      <c r="B11999" s="3" t="inlineStr">
        <is>
          <t>동운아나텍</t>
        </is>
      </c>
      <c r="C11999" s="2" t="inlineStr">
        <is>
          <t>코스닥</t>
        </is>
      </c>
      <c r="D11999" s="2" t="inlineStr">
        <is>
          <t>094170</t>
        </is>
      </c>
      <c r="E11999" s="3" t="inlineStr">
        <is>
          <t>임원ㆍ주요주주특정증권등소유상황보고서</t>
        </is>
      </c>
      <c r="F11999" s="3" t="inlineStr">
        <is>
          <t>윤태준</t>
        </is>
      </c>
      <c r="G11999" s="2" t="inlineStr">
        <is>
          <t>20260618000143</t>
        </is>
      </c>
      <c r="H11999" s="8">
        <f>HYPERLINK("https://dart.fss.or.kr/dsaf001/main.do?rcpNo=20260618000143", "공시열람")</f>
        <v/>
      </c>
    </row>
    <row r="12000">
      <c r="A12000" s="2" t="inlineStr">
        <is>
          <t>2026-06-18</t>
        </is>
      </c>
      <c r="B12000" s="3" t="inlineStr">
        <is>
          <t>한컴위드</t>
        </is>
      </c>
      <c r="C12000" s="2" t="inlineStr">
        <is>
          <t>코스닥</t>
        </is>
      </c>
      <c r="D12000" s="2" t="inlineStr">
        <is>
          <t>054920</t>
        </is>
      </c>
      <c r="E12000" s="3" t="inlineStr">
        <is>
          <t xml:space="preserve">타법인주식및출자증권처분결정(자율공시)              </t>
        </is>
      </c>
      <c r="F12000" s="3" t="inlineStr">
        <is>
          <t>한컴위드</t>
        </is>
      </c>
      <c r="G12000" s="2" t="inlineStr">
        <is>
          <t>20260618900291</t>
        </is>
      </c>
      <c r="H12000" s="8">
        <f>HYPERLINK("https://dart.fss.or.kr/dsaf001/main.do?rcpNo=20260618900291", "공시열람")</f>
        <v/>
      </c>
    </row>
    <row r="12001">
      <c r="A12001" s="2" t="inlineStr">
        <is>
          <t>2026-06-18</t>
        </is>
      </c>
      <c r="B12001" s="3" t="inlineStr">
        <is>
          <t>미래에셋증권</t>
        </is>
      </c>
      <c r="C12001" s="2" t="inlineStr">
        <is>
          <t>코스피</t>
        </is>
      </c>
      <c r="D12001" s="2" t="inlineStr">
        <is>
          <t>006800</t>
        </is>
      </c>
      <c r="E12001" s="3" t="inlineStr">
        <is>
          <t>증권발행실적보고서</t>
        </is>
      </c>
      <c r="F12001" s="3" t="inlineStr">
        <is>
          <t>미래에셋증권</t>
        </is>
      </c>
      <c r="G12001" s="2" t="inlineStr">
        <is>
          <t>20260618000139</t>
        </is>
      </c>
      <c r="H12001" s="8">
        <f>HYPERLINK("https://dart.fss.or.kr/dsaf001/main.do?rcpNo=20260618000139", "공시열람")</f>
        <v/>
      </c>
    </row>
    <row r="12002">
      <c r="A12002" s="2" t="inlineStr">
        <is>
          <t>2026-06-18</t>
        </is>
      </c>
      <c r="B12002" s="3" t="inlineStr">
        <is>
          <t>한글과컴퓨터</t>
        </is>
      </c>
      <c r="C12002" s="2" t="inlineStr">
        <is>
          <t>코스닥</t>
        </is>
      </c>
      <c r="D12002" s="2" t="inlineStr">
        <is>
          <t>030520</t>
        </is>
      </c>
      <c r="E12002" s="3" t="inlineStr">
        <is>
          <t xml:space="preserve">타법인주식및출자증권처분결정              </t>
        </is>
      </c>
      <c r="F12002" s="3" t="inlineStr">
        <is>
          <t>한글과컴퓨터</t>
        </is>
      </c>
      <c r="G12002" s="2" t="inlineStr">
        <is>
          <t>20260618900286</t>
        </is>
      </c>
      <c r="H12002" s="8">
        <f>HYPERLINK("https://dart.fss.or.kr/dsaf001/main.do?rcpNo=20260618900286", "공시열람")</f>
        <v/>
      </c>
    </row>
    <row r="12003">
      <c r="A12003" s="2" t="inlineStr">
        <is>
          <t>2026-06-18</t>
        </is>
      </c>
      <c r="B12003" s="3" t="inlineStr">
        <is>
          <t>에스엠벡셀</t>
        </is>
      </c>
      <c r="C12003" s="2" t="inlineStr">
        <is>
          <t>코스피</t>
        </is>
      </c>
      <c r="D12003" s="2" t="inlineStr">
        <is>
          <t>010580</t>
        </is>
      </c>
      <c r="E12003" s="3" t="inlineStr">
        <is>
          <t>임원ㆍ주요주주특정증권등소유상황보고서</t>
        </is>
      </c>
      <c r="F12003" s="3" t="inlineStr">
        <is>
          <t>에스엠하이플러스</t>
        </is>
      </c>
      <c r="G12003" s="2" t="inlineStr">
        <is>
          <t>20260618000138</t>
        </is>
      </c>
      <c r="H12003" s="8">
        <f>HYPERLINK("https://dart.fss.or.kr/dsaf001/main.do?rcpNo=20260618000138", "공시열람")</f>
        <v/>
      </c>
    </row>
    <row r="12004">
      <c r="A12004" s="2" t="inlineStr">
        <is>
          <t>2026-06-18</t>
        </is>
      </c>
      <c r="B12004" s="3" t="inlineStr">
        <is>
          <t>미래에셋증권</t>
        </is>
      </c>
      <c r="C12004" s="2" t="inlineStr">
        <is>
          <t>코스피</t>
        </is>
      </c>
      <c r="D12004" s="2" t="inlineStr">
        <is>
          <t>006800</t>
        </is>
      </c>
      <c r="E12004" s="3" t="inlineStr">
        <is>
          <t>증권발행실적보고서</t>
        </is>
      </c>
      <c r="F12004" s="3" t="inlineStr">
        <is>
          <t>미래에셋증권</t>
        </is>
      </c>
      <c r="G12004" s="2" t="inlineStr">
        <is>
          <t>20260618000134</t>
        </is>
      </c>
      <c r="H12004" s="8">
        <f>HYPERLINK("https://dart.fss.or.kr/dsaf001/main.do?rcpNo=20260618000134", "공시열람")</f>
        <v/>
      </c>
    </row>
    <row r="12005">
      <c r="A12005" s="2" t="inlineStr">
        <is>
          <t>2026-06-18</t>
        </is>
      </c>
      <c r="B12005" s="3" t="inlineStr">
        <is>
          <t>경동인베스트</t>
        </is>
      </c>
      <c r="C12005" s="2" t="inlineStr">
        <is>
          <t>코스피</t>
        </is>
      </c>
      <c r="D12005" s="2" t="inlineStr">
        <is>
          <t>012320</t>
        </is>
      </c>
      <c r="E12005" s="3" t="inlineStr">
        <is>
          <t xml:space="preserve">기업설명회(IR)개최(안내공시)              </t>
        </is>
      </c>
      <c r="F12005" s="3" t="inlineStr">
        <is>
          <t>경동인베스트</t>
        </is>
      </c>
      <c r="G12005" s="2" t="inlineStr">
        <is>
          <t>20260618800221</t>
        </is>
      </c>
      <c r="H12005" s="8">
        <f>HYPERLINK("https://dart.fss.or.kr/dsaf001/main.do?rcpNo=20260618800221", "공시열람")</f>
        <v/>
      </c>
    </row>
    <row r="12006">
      <c r="A12006" s="2" t="inlineStr">
        <is>
          <t>2026-06-18</t>
        </is>
      </c>
      <c r="B12006" s="3" t="inlineStr">
        <is>
          <t>키움증권</t>
        </is>
      </c>
      <c r="C12006" s="2" t="inlineStr">
        <is>
          <t>코스피</t>
        </is>
      </c>
      <c r="D12006" s="2" t="inlineStr">
        <is>
          <t>039490</t>
        </is>
      </c>
      <c r="E12006" s="3" t="inlineStr">
        <is>
          <t>투자설명서(일괄신고)</t>
        </is>
      </c>
      <c r="F12006" s="3" t="inlineStr">
        <is>
          <t>키움증권</t>
        </is>
      </c>
      <c r="G12006" s="2" t="inlineStr">
        <is>
          <t>20260618000131</t>
        </is>
      </c>
      <c r="H12006" s="8">
        <f>HYPERLINK("https://dart.fss.or.kr/dsaf001/main.do?rcpNo=20260618000131", "공시열람")</f>
        <v/>
      </c>
    </row>
    <row r="12007">
      <c r="A12007" s="2" t="inlineStr">
        <is>
          <t>2026-06-18</t>
        </is>
      </c>
      <c r="B12007" s="3" t="inlineStr">
        <is>
          <t>플랜티넷</t>
        </is>
      </c>
      <c r="C12007" s="2" t="inlineStr">
        <is>
          <t>코스닥</t>
        </is>
      </c>
      <c r="D12007" s="2" t="inlineStr">
        <is>
          <t>075130</t>
        </is>
      </c>
      <c r="E12007" s="3" t="inlineStr">
        <is>
          <t xml:space="preserve">주주명부폐쇄기간또는기준일설정              </t>
        </is>
      </c>
      <c r="F12007" s="3" t="inlineStr">
        <is>
          <t>플랜티넷</t>
        </is>
      </c>
      <c r="G12007" s="2" t="inlineStr">
        <is>
          <t>20260618900253</t>
        </is>
      </c>
      <c r="H12007" s="8">
        <f>HYPERLINK("https://dart.fss.or.kr/dsaf001/main.do?rcpNo=20260618900253", "공시열람")</f>
        <v/>
      </c>
    </row>
    <row r="12008">
      <c r="A12008" s="2" t="inlineStr">
        <is>
          <t>2026-06-18</t>
        </is>
      </c>
      <c r="B12008" s="3" t="inlineStr">
        <is>
          <t>동아쏘시오홀딩스</t>
        </is>
      </c>
      <c r="C12008" s="2" t="inlineStr">
        <is>
          <t>코스피</t>
        </is>
      </c>
      <c r="D12008" s="2" t="inlineStr">
        <is>
          <t>000640</t>
        </is>
      </c>
      <c r="E12008" s="3" t="inlineStr">
        <is>
          <t xml:space="preserve">정보보호현황(자율공시)              </t>
        </is>
      </c>
      <c r="F12008" s="3" t="inlineStr">
        <is>
          <t>동아쏘시오홀딩스</t>
        </is>
      </c>
      <c r="G12008" s="2" t="inlineStr">
        <is>
          <t>20260618800229</t>
        </is>
      </c>
      <c r="H12008" s="8">
        <f>HYPERLINK("https://dart.fss.or.kr/dsaf001/main.do?rcpNo=20260618800229", "공시열람")</f>
        <v/>
      </c>
    </row>
    <row r="12009">
      <c r="A12009" s="2" t="inlineStr">
        <is>
          <t>2026-06-18</t>
        </is>
      </c>
      <c r="B12009" s="3" t="inlineStr">
        <is>
          <t>동아쏘시오홀딩스</t>
        </is>
      </c>
      <c r="C12009" s="2" t="inlineStr">
        <is>
          <t>코스피</t>
        </is>
      </c>
      <c r="D12009" s="2" t="inlineStr">
        <is>
          <t>000640</t>
        </is>
      </c>
      <c r="E12009" s="3" t="inlineStr">
        <is>
          <t xml:space="preserve">지속가능경영보고서등관련사항(자율공시)              </t>
        </is>
      </c>
      <c r="F12009" s="3" t="inlineStr">
        <is>
          <t>동아쏘시오홀딩스</t>
        </is>
      </c>
      <c r="G12009" s="2" t="inlineStr">
        <is>
          <t>20260618800226</t>
        </is>
      </c>
      <c r="H12009" s="8">
        <f>HYPERLINK("https://dart.fss.or.kr/dsaf001/main.do?rcpNo=20260618800226", "공시열람")</f>
        <v/>
      </c>
    </row>
    <row r="12010">
      <c r="A12010" s="2" t="inlineStr">
        <is>
          <t>2026-06-18</t>
        </is>
      </c>
      <c r="B12010" s="3" t="inlineStr">
        <is>
          <t>키움증권</t>
        </is>
      </c>
      <c r="C12010" s="2" t="inlineStr">
        <is>
          <t>코스피</t>
        </is>
      </c>
      <c r="D12010" s="2" t="inlineStr">
        <is>
          <t>039490</t>
        </is>
      </c>
      <c r="E12010" s="3" t="inlineStr">
        <is>
          <t>투자설명서(일괄신고)</t>
        </is>
      </c>
      <c r="F12010" s="3" t="inlineStr">
        <is>
          <t>키움증권</t>
        </is>
      </c>
      <c r="G12010" s="2" t="inlineStr">
        <is>
          <t>20260618000119</t>
        </is>
      </c>
      <c r="H12010" s="8">
        <f>HYPERLINK("https://dart.fss.or.kr/dsaf001/main.do?rcpNo=20260618000119", "공시열람")</f>
        <v/>
      </c>
    </row>
    <row r="12011">
      <c r="A12011" s="2" t="inlineStr">
        <is>
          <t>2026-06-18</t>
        </is>
      </c>
      <c r="B12011" s="3" t="inlineStr">
        <is>
          <t>뉴인텍</t>
        </is>
      </c>
      <c r="C12011" s="2" t="inlineStr">
        <is>
          <t>코스닥</t>
        </is>
      </c>
      <c r="D12011" s="2" t="inlineStr">
        <is>
          <t>012340</t>
        </is>
      </c>
      <c r="E12011" s="3" t="inlineStr">
        <is>
          <t>[발행조건확정]증권신고서(지분증권)</t>
        </is>
      </c>
      <c r="F12011" s="3" t="inlineStr">
        <is>
          <t>뉴인텍</t>
        </is>
      </c>
      <c r="G12011" s="2" t="inlineStr">
        <is>
          <t>20260618000118</t>
        </is>
      </c>
      <c r="H12011" s="8">
        <f>HYPERLINK("https://dart.fss.or.kr/dsaf001/main.do?rcpNo=20260618000118", "공시열람")</f>
        <v/>
      </c>
    </row>
    <row r="12012">
      <c r="A12012" s="2" t="inlineStr">
        <is>
          <t>2026-06-18</t>
        </is>
      </c>
      <c r="B12012" s="3" t="inlineStr">
        <is>
          <t>뉴로메카</t>
        </is>
      </c>
      <c r="C12012" s="2" t="inlineStr">
        <is>
          <t>코스닥</t>
        </is>
      </c>
      <c r="D12012" s="2" t="inlineStr">
        <is>
          <t>348340</t>
        </is>
      </c>
      <c r="E12012" s="3" t="inlineStr">
        <is>
          <t>투자설명서</t>
        </is>
      </c>
      <c r="F12012" s="3" t="inlineStr">
        <is>
          <t>뉴로메카</t>
        </is>
      </c>
      <c r="G12012" s="2" t="inlineStr">
        <is>
          <t>20260618000117</t>
        </is>
      </c>
      <c r="H12012" s="8">
        <f>HYPERLINK("https://dart.fss.or.kr/dsaf001/main.do?rcpNo=20260618000117", "공시열람")</f>
        <v/>
      </c>
    </row>
    <row r="12013">
      <c r="A12013" s="2" t="inlineStr">
        <is>
          <t>2026-06-18</t>
        </is>
      </c>
      <c r="B12013" s="3" t="inlineStr">
        <is>
          <t>뉴로메카</t>
        </is>
      </c>
      <c r="C12013" s="2" t="inlineStr">
        <is>
          <t>코스닥</t>
        </is>
      </c>
      <c r="D12013" s="2" t="inlineStr">
        <is>
          <t>348340</t>
        </is>
      </c>
      <c r="E12013" s="3" t="inlineStr">
        <is>
          <t>[발행조건확정]증권신고서(지분증권)</t>
        </is>
      </c>
      <c r="F12013" s="3" t="inlineStr">
        <is>
          <t>뉴로메카</t>
        </is>
      </c>
      <c r="G12013" s="2" t="inlineStr">
        <is>
          <t>20260618000115</t>
        </is>
      </c>
      <c r="H12013" s="8">
        <f>HYPERLINK("https://dart.fss.or.kr/dsaf001/main.do?rcpNo=20260618000115", "공시열람")</f>
        <v/>
      </c>
    </row>
    <row r="12014">
      <c r="A12014" s="2" t="inlineStr">
        <is>
          <t>2026-06-18</t>
        </is>
      </c>
      <c r="B12014" s="3" t="inlineStr">
        <is>
          <t>씨티알모빌리티</t>
        </is>
      </c>
      <c r="C12014" s="2" t="inlineStr">
        <is>
          <t>코스피</t>
        </is>
      </c>
      <c r="D12014" s="2" t="inlineStr">
        <is>
          <t>308170</t>
        </is>
      </c>
      <c r="E12014" s="3" t="inlineStr">
        <is>
          <t xml:space="preserve">대표이사(대표집행임원)변경(안내공시)              </t>
        </is>
      </c>
      <c r="F12014" s="3" t="inlineStr">
        <is>
          <t>씨티알모빌리티</t>
        </is>
      </c>
      <c r="G12014" s="2" t="inlineStr">
        <is>
          <t>20260618800217</t>
        </is>
      </c>
      <c r="H12014" s="8">
        <f>HYPERLINK("https://dart.fss.or.kr/dsaf001/main.do?rcpNo=20260618800217", "공시열람")</f>
        <v/>
      </c>
    </row>
    <row r="12015">
      <c r="A12015" s="2" t="inlineStr">
        <is>
          <t>2026-06-18</t>
        </is>
      </c>
      <c r="B12015" s="3" t="inlineStr">
        <is>
          <t>하이딥</t>
        </is>
      </c>
      <c r="C12015" s="2" t="inlineStr">
        <is>
          <t>코스닥</t>
        </is>
      </c>
      <c r="D12015" s="2" t="inlineStr">
        <is>
          <t>365590</t>
        </is>
      </c>
      <c r="E12015" s="3" t="inlineStr">
        <is>
          <t xml:space="preserve">증권발행결과(자율공시)              </t>
        </is>
      </c>
      <c r="F12015" s="3" t="inlineStr">
        <is>
          <t>하이딥</t>
        </is>
      </c>
      <c r="G12015" s="2" t="inlineStr">
        <is>
          <t>20260618900215</t>
        </is>
      </c>
      <c r="H12015" s="8">
        <f>HYPERLINK("https://dart.fss.or.kr/dsaf001/main.do?rcpNo=20260618900215", "공시열람")</f>
        <v/>
      </c>
    </row>
    <row r="12016">
      <c r="A12016" s="2" t="inlineStr">
        <is>
          <t>2026-06-18</t>
        </is>
      </c>
      <c r="B12016" s="3" t="inlineStr">
        <is>
          <t>진원생명과학</t>
        </is>
      </c>
      <c r="C12016" s="2" t="inlineStr">
        <is>
          <t>코스피</t>
        </is>
      </c>
      <c r="D12016" s="2" t="inlineStr">
        <is>
          <t>011000</t>
        </is>
      </c>
      <c r="E12016" s="3" t="inlineStr">
        <is>
          <t xml:space="preserve">[기재정정]조회공시요구(풍문또는보도)에대한답변(부인)              </t>
        </is>
      </c>
      <c r="F12016" s="3" t="inlineStr">
        <is>
          <t>진원생명과학</t>
        </is>
      </c>
      <c r="G12016" s="2" t="inlineStr">
        <is>
          <t>20260618800213</t>
        </is>
      </c>
      <c r="H12016" s="8">
        <f>HYPERLINK("https://dart.fss.or.kr/dsaf001/main.do?rcpNo=20260618800213", "공시열람")</f>
        <v/>
      </c>
    </row>
    <row r="12017">
      <c r="A12017" s="2" t="inlineStr">
        <is>
          <t>2026-06-18</t>
        </is>
      </c>
      <c r="B12017" s="3" t="inlineStr">
        <is>
          <t>티디에스팜</t>
        </is>
      </c>
      <c r="C12017" s="2" t="inlineStr">
        <is>
          <t>코스닥</t>
        </is>
      </c>
      <c r="D12017" s="2" t="inlineStr">
        <is>
          <t>464280</t>
        </is>
      </c>
      <c r="E12017" s="3" t="inlineStr">
        <is>
          <t>임원ㆍ주요주주특정증권등소유상황보고서</t>
        </is>
      </c>
      <c r="F12017" s="3" t="inlineStr">
        <is>
          <t>김철준</t>
        </is>
      </c>
      <c r="G12017" s="2" t="inlineStr">
        <is>
          <t>20260618000112</t>
        </is>
      </c>
      <c r="H12017" s="8">
        <f>HYPERLINK("https://dart.fss.or.kr/dsaf001/main.do?rcpNo=20260618000112", "공시열람")</f>
        <v/>
      </c>
    </row>
    <row r="12018">
      <c r="A12018" s="2" t="inlineStr">
        <is>
          <t>2026-06-18</t>
        </is>
      </c>
      <c r="B12018" s="3" t="inlineStr">
        <is>
          <t>진원생명과학</t>
        </is>
      </c>
      <c r="C12018" s="2" t="inlineStr">
        <is>
          <t>코스피</t>
        </is>
      </c>
      <c r="D12018" s="2" t="inlineStr">
        <is>
          <t>011000</t>
        </is>
      </c>
      <c r="E12018" s="3" t="inlineStr">
        <is>
          <t xml:space="preserve">조회공시요구(풍문또는보도)에대한답변(부인)              </t>
        </is>
      </c>
      <c r="F12018" s="3" t="inlineStr">
        <is>
          <t>진원생명과학</t>
        </is>
      </c>
      <c r="G12018" s="2" t="inlineStr">
        <is>
          <t>20260618800209</t>
        </is>
      </c>
      <c r="H12018" s="8">
        <f>HYPERLINK("https://dart.fss.or.kr/dsaf001/main.do?rcpNo=20260618800209", "공시열람")</f>
        <v/>
      </c>
    </row>
    <row r="12019">
      <c r="A12019" s="2" t="inlineStr">
        <is>
          <t>2026-06-18</t>
        </is>
      </c>
      <c r="B12019" s="3" t="inlineStr">
        <is>
          <t>지니언스</t>
        </is>
      </c>
      <c r="C12019" s="2" t="inlineStr">
        <is>
          <t>코스닥</t>
        </is>
      </c>
      <c r="D12019" s="2" t="inlineStr">
        <is>
          <t>263860</t>
        </is>
      </c>
      <c r="E12019" s="3" t="inlineStr">
        <is>
          <t xml:space="preserve">기업설명회(IR)개최              </t>
        </is>
      </c>
      <c r="F12019" s="3" t="inlineStr">
        <is>
          <t>지니언스</t>
        </is>
      </c>
      <c r="G12019" s="2" t="inlineStr">
        <is>
          <t>20260618900205</t>
        </is>
      </c>
      <c r="H12019" s="8">
        <f>HYPERLINK("https://dart.fss.or.kr/dsaf001/main.do?rcpNo=20260618900205", "공시열람")</f>
        <v/>
      </c>
    </row>
    <row r="12020">
      <c r="A12020" s="2" t="inlineStr">
        <is>
          <t>2026-06-18</t>
        </is>
      </c>
      <c r="B12020" s="3" t="inlineStr">
        <is>
          <t>뉴인텍</t>
        </is>
      </c>
      <c r="C12020" s="2" t="inlineStr">
        <is>
          <t>코스닥</t>
        </is>
      </c>
      <c r="D12020" s="2" t="inlineStr">
        <is>
          <t>012340</t>
        </is>
      </c>
      <c r="E12020" s="3" t="inlineStr">
        <is>
          <t>유상증자최종발행가액확정              (주주배정후 실권주 일반공모)</t>
        </is>
      </c>
      <c r="F12020" s="3" t="inlineStr">
        <is>
          <t>뉴인텍</t>
        </is>
      </c>
      <c r="G12020" s="2" t="inlineStr">
        <is>
          <t>20260618900201</t>
        </is>
      </c>
      <c r="H12020" s="8">
        <f>HYPERLINK("https://dart.fss.or.kr/dsaf001/main.do?rcpNo=20260618900201", "공시열람")</f>
        <v/>
      </c>
    </row>
    <row r="12021">
      <c r="A12021" s="2" t="inlineStr">
        <is>
          <t>2026-06-18</t>
        </is>
      </c>
      <c r="B12021" s="3" t="inlineStr">
        <is>
          <t>키움증권</t>
        </is>
      </c>
      <c r="C12021" s="2" t="inlineStr">
        <is>
          <t>코스피</t>
        </is>
      </c>
      <c r="D12021" s="2" t="inlineStr">
        <is>
          <t>039490</t>
        </is>
      </c>
      <c r="E12021" s="3" t="inlineStr">
        <is>
          <t>일괄신고추가서류(파생결합증권-주가연계증권)</t>
        </is>
      </c>
      <c r="F12021" s="3" t="inlineStr">
        <is>
          <t>키움증권</t>
        </is>
      </c>
      <c r="G12021" s="2" t="inlineStr">
        <is>
          <t>20260618000107</t>
        </is>
      </c>
      <c r="H12021" s="8">
        <f>HYPERLINK("https://dart.fss.or.kr/dsaf001/main.do?rcpNo=20260618000107", "공시열람")</f>
        <v/>
      </c>
    </row>
    <row r="12022">
      <c r="A12022" s="2" t="inlineStr">
        <is>
          <t>2026-06-18</t>
        </is>
      </c>
      <c r="B12022" s="3" t="inlineStr">
        <is>
          <t>뉴로메카</t>
        </is>
      </c>
      <c r="C12022" s="2" t="inlineStr">
        <is>
          <t>코스닥</t>
        </is>
      </c>
      <c r="D12022" s="2" t="inlineStr">
        <is>
          <t>348340</t>
        </is>
      </c>
      <c r="E12022" s="3" t="inlineStr">
        <is>
          <t xml:space="preserve">유상증자1차발행가액결정              </t>
        </is>
      </c>
      <c r="F12022" s="3" t="inlineStr">
        <is>
          <t>뉴로메카</t>
        </is>
      </c>
      <c r="G12022" s="2" t="inlineStr">
        <is>
          <t>20260618900198</t>
        </is>
      </c>
      <c r="H12022" s="8">
        <f>HYPERLINK("https://dart.fss.or.kr/dsaf001/main.do?rcpNo=20260618900198", "공시열람")</f>
        <v/>
      </c>
    </row>
    <row r="12023">
      <c r="A12023" s="2" t="inlineStr">
        <is>
          <t>2026-06-18</t>
        </is>
      </c>
      <c r="B12023" s="3" t="inlineStr">
        <is>
          <t>드림어스컴퍼니</t>
        </is>
      </c>
      <c r="C12023" s="2" t="inlineStr">
        <is>
          <t>코스닥</t>
        </is>
      </c>
      <c r="D12023" s="2" t="inlineStr">
        <is>
          <t>060570</t>
        </is>
      </c>
      <c r="E12023" s="3" t="inlineStr">
        <is>
          <t>임원ㆍ주요주주특정증권등소유상황보고서</t>
        </is>
      </c>
      <c r="F12023" s="3" t="inlineStr">
        <is>
          <t>이기영</t>
        </is>
      </c>
      <c r="G12023" s="2" t="inlineStr">
        <is>
          <t>20260618000093</t>
        </is>
      </c>
      <c r="H12023" s="8">
        <f>HYPERLINK("https://dart.fss.or.kr/dsaf001/main.do?rcpNo=20260618000093", "공시열람")</f>
        <v/>
      </c>
    </row>
    <row r="12024">
      <c r="A12024" s="2" t="inlineStr">
        <is>
          <t>2026-06-18</t>
        </is>
      </c>
      <c r="B12024" s="3" t="inlineStr">
        <is>
          <t>아이오케이이엔엠</t>
        </is>
      </c>
      <c r="C12024" s="2" t="inlineStr">
        <is>
          <t>코스닥</t>
        </is>
      </c>
      <c r="D12024" s="2" t="inlineStr">
        <is>
          <t>078860</t>
        </is>
      </c>
      <c r="E12024" s="3" t="inlineStr">
        <is>
          <t>[기재정정]소액공모실적보고서</t>
        </is>
      </c>
      <c r="F12024" s="3" t="inlineStr">
        <is>
          <t>아이오케이이엔엠</t>
        </is>
      </c>
      <c r="G12024" s="2" t="inlineStr">
        <is>
          <t>20260618000092</t>
        </is>
      </c>
      <c r="H12024" s="8">
        <f>HYPERLINK("https://dart.fss.or.kr/dsaf001/main.do?rcpNo=20260618000092", "공시열람")</f>
        <v/>
      </c>
    </row>
    <row r="12025">
      <c r="A12025" s="2" t="inlineStr">
        <is>
          <t>2026-06-18</t>
        </is>
      </c>
      <c r="B12025" s="3" t="inlineStr">
        <is>
          <t>아이오케이이엔엠</t>
        </is>
      </c>
      <c r="C12025" s="2" t="inlineStr">
        <is>
          <t>코스닥</t>
        </is>
      </c>
      <c r="D12025" s="2" t="inlineStr">
        <is>
          <t>078860</t>
        </is>
      </c>
      <c r="E12025" s="3" t="inlineStr">
        <is>
          <t>[기재정정]소액공모공시서류(지분증권)</t>
        </is>
      </c>
      <c r="F12025" s="3" t="inlineStr">
        <is>
          <t>아이오케이이엔엠</t>
        </is>
      </c>
      <c r="G12025" s="2" t="inlineStr">
        <is>
          <t>20260618000086</t>
        </is>
      </c>
      <c r="H12025" s="8">
        <f>HYPERLINK("https://dart.fss.or.kr/dsaf001/main.do?rcpNo=20260618000086", "공시열람")</f>
        <v/>
      </c>
    </row>
    <row r="12026">
      <c r="A12026" s="2" t="inlineStr">
        <is>
          <t>2026-06-18</t>
        </is>
      </c>
      <c r="B12026" s="3" t="inlineStr">
        <is>
          <t>남광토건</t>
        </is>
      </c>
      <c r="C12026" s="2" t="inlineStr">
        <is>
          <t>코스피</t>
        </is>
      </c>
      <c r="D12026" s="2" t="inlineStr">
        <is>
          <t>001260</t>
        </is>
      </c>
      <c r="E12026" s="3" t="inlineStr">
        <is>
          <t xml:space="preserve">주주명부폐쇄기간또는기준일설정              </t>
        </is>
      </c>
      <c r="F12026" s="3" t="inlineStr">
        <is>
          <t>남광토건</t>
        </is>
      </c>
      <c r="G12026" s="2" t="inlineStr">
        <is>
          <t>20260618800178</t>
        </is>
      </c>
      <c r="H12026" s="8">
        <f>HYPERLINK("https://dart.fss.or.kr/dsaf001/main.do?rcpNo=20260618800178", "공시열람")</f>
        <v/>
      </c>
    </row>
    <row r="12027">
      <c r="A12027" s="2" t="inlineStr">
        <is>
          <t>2026-06-18</t>
        </is>
      </c>
      <c r="B12027" s="3" t="inlineStr">
        <is>
          <t>대림통상</t>
        </is>
      </c>
      <c r="C12027" s="2" t="inlineStr">
        <is>
          <t>코스피</t>
        </is>
      </c>
      <c r="D12027" s="2" t="inlineStr">
        <is>
          <t>006570</t>
        </is>
      </c>
      <c r="E12027" s="3" t="inlineStr">
        <is>
          <t>임원ㆍ주요주주특정증권등소유상황보고서</t>
        </is>
      </c>
      <c r="F12027" s="3" t="inlineStr">
        <is>
          <t>디앤디파트너스</t>
        </is>
      </c>
      <c r="G12027" s="2" t="inlineStr">
        <is>
          <t>20260618000083</t>
        </is>
      </c>
      <c r="H12027" s="8">
        <f>HYPERLINK("https://dart.fss.or.kr/dsaf001/main.do?rcpNo=20260618000083", "공시열람")</f>
        <v/>
      </c>
    </row>
    <row r="12028">
      <c r="A12028" s="2" t="inlineStr">
        <is>
          <t>2026-06-18</t>
        </is>
      </c>
      <c r="B12028" s="3" t="inlineStr">
        <is>
          <t>메타케어</t>
        </is>
      </c>
      <c r="C12028" s="2" t="inlineStr">
        <is>
          <t>코스피</t>
        </is>
      </c>
      <c r="D12028" s="2" t="inlineStr">
        <is>
          <t>118000</t>
        </is>
      </c>
      <c r="E12028" s="3" t="inlineStr">
        <is>
          <t xml:space="preserve">유상증자또는주식관련사채등의발행결과(자율공시)              </t>
        </is>
      </c>
      <c r="F12028" s="3" t="inlineStr">
        <is>
          <t>메타케어</t>
        </is>
      </c>
      <c r="G12028" s="2" t="inlineStr">
        <is>
          <t>20260618800175</t>
        </is>
      </c>
      <c r="H12028" s="8">
        <f>HYPERLINK("https://dart.fss.or.kr/dsaf001/main.do?rcpNo=20260618800175", "공시열람")</f>
        <v/>
      </c>
    </row>
    <row r="12029">
      <c r="A12029" s="2" t="inlineStr">
        <is>
          <t>2026-06-18</t>
        </is>
      </c>
      <c r="B12029" s="3" t="inlineStr">
        <is>
          <t>대신정보통신</t>
        </is>
      </c>
      <c r="C12029" s="2" t="inlineStr">
        <is>
          <t>코스닥</t>
        </is>
      </c>
      <c r="D12029" s="2" t="inlineStr">
        <is>
          <t>020180</t>
        </is>
      </c>
      <c r="E12029" s="3" t="inlineStr">
        <is>
          <t xml:space="preserve">현금ㆍ현물배당결정              </t>
        </is>
      </c>
      <c r="F12029" s="3" t="inlineStr">
        <is>
          <t>대신정보통신</t>
        </is>
      </c>
      <c r="G12029" s="2" t="inlineStr">
        <is>
          <t>20260618900166</t>
        </is>
      </c>
      <c r="H12029" s="8">
        <f>HYPERLINK("https://dart.fss.or.kr/dsaf001/main.do?rcpNo=20260618900166", "공시열람")</f>
        <v/>
      </c>
    </row>
    <row r="12030">
      <c r="A12030" s="2" t="inlineStr">
        <is>
          <t>2026-06-18</t>
        </is>
      </c>
      <c r="B12030" s="3" t="inlineStr">
        <is>
          <t>키움증권</t>
        </is>
      </c>
      <c r="C12030" s="2" t="inlineStr">
        <is>
          <t>코스피</t>
        </is>
      </c>
      <c r="D12030" s="2" t="inlineStr">
        <is>
          <t>039490</t>
        </is>
      </c>
      <c r="E12030" s="3" t="inlineStr">
        <is>
          <t>일괄신고추가서류(파생결합사채-주가연계파생결합사채)</t>
        </is>
      </c>
      <c r="F12030" s="3" t="inlineStr">
        <is>
          <t>키움증권</t>
        </is>
      </c>
      <c r="G12030" s="2" t="inlineStr">
        <is>
          <t>20260618000071</t>
        </is>
      </c>
      <c r="H12030" s="8">
        <f>HYPERLINK("https://dart.fss.or.kr/dsaf001/main.do?rcpNo=20260618000071", "공시열람")</f>
        <v/>
      </c>
    </row>
    <row r="12031">
      <c r="A12031" s="2" t="inlineStr">
        <is>
          <t>2026-06-18</t>
        </is>
      </c>
      <c r="B12031" s="3" t="inlineStr">
        <is>
          <t>현대차증권</t>
        </is>
      </c>
      <c r="C12031" s="2" t="inlineStr">
        <is>
          <t>코스피</t>
        </is>
      </c>
      <c r="D12031" s="2" t="inlineStr">
        <is>
          <t>001500</t>
        </is>
      </c>
      <c r="E12031" s="3" t="inlineStr">
        <is>
          <t>증권발행실적보고서</t>
        </is>
      </c>
      <c r="F12031" s="3" t="inlineStr">
        <is>
          <t>현대차증권</t>
        </is>
      </c>
      <c r="G12031" s="2" t="inlineStr">
        <is>
          <t>20260618000068</t>
        </is>
      </c>
      <c r="H12031" s="8">
        <f>HYPERLINK("https://dart.fss.or.kr/dsaf001/main.do?rcpNo=20260618000068", "공시열람")</f>
        <v/>
      </c>
    </row>
    <row r="12032">
      <c r="A12032" s="2" t="inlineStr">
        <is>
          <t>2026-06-18</t>
        </is>
      </c>
      <c r="B12032" s="3" t="inlineStr">
        <is>
          <t>한화투자증권</t>
        </is>
      </c>
      <c r="C12032" s="2" t="inlineStr">
        <is>
          <t>코스피</t>
        </is>
      </c>
      <c r="D12032" s="2" t="inlineStr">
        <is>
          <t>003530</t>
        </is>
      </c>
      <c r="E12032" s="3" t="inlineStr">
        <is>
          <t>투자설명서(일괄신고)</t>
        </is>
      </c>
      <c r="F12032" s="3" t="inlineStr">
        <is>
          <t>한화투자증권</t>
        </is>
      </c>
      <c r="G12032" s="2" t="inlineStr">
        <is>
          <t>20260618000061</t>
        </is>
      </c>
      <c r="H12032" s="8">
        <f>HYPERLINK("https://dart.fss.or.kr/dsaf001/main.do?rcpNo=20260618000061", "공시열람")</f>
        <v/>
      </c>
    </row>
    <row r="12033">
      <c r="A12033" s="2" t="inlineStr">
        <is>
          <t>2026-06-18</t>
        </is>
      </c>
      <c r="B12033" s="3" t="inlineStr">
        <is>
          <t>한화투자증권</t>
        </is>
      </c>
      <c r="C12033" s="2" t="inlineStr">
        <is>
          <t>코스피</t>
        </is>
      </c>
      <c r="D12033" s="2" t="inlineStr">
        <is>
          <t>003530</t>
        </is>
      </c>
      <c r="E12033" s="3" t="inlineStr">
        <is>
          <t>일괄신고추가서류(기타파생결합사채)</t>
        </is>
      </c>
      <c r="F12033" s="3" t="inlineStr">
        <is>
          <t>한화투자증권</t>
        </is>
      </c>
      <c r="G12033" s="2" t="inlineStr">
        <is>
          <t>20260618000055</t>
        </is>
      </c>
      <c r="H12033" s="8">
        <f>HYPERLINK("https://dart.fss.or.kr/dsaf001/main.do?rcpNo=20260618000055", "공시열람")</f>
        <v/>
      </c>
    </row>
    <row r="12034">
      <c r="A12034" s="2" t="inlineStr">
        <is>
          <t>2026-06-18</t>
        </is>
      </c>
      <c r="B12034" s="3" t="inlineStr">
        <is>
          <t>세동</t>
        </is>
      </c>
      <c r="C12034" s="2" t="inlineStr">
        <is>
          <t>코스닥</t>
        </is>
      </c>
      <c r="D12034" s="2" t="inlineStr">
        <is>
          <t>053060</t>
        </is>
      </c>
      <c r="E12034" s="3" t="inlineStr">
        <is>
          <t>임원ㆍ주요주주특정증권등소유상황보고서</t>
        </is>
      </c>
      <c r="F12034" s="3" t="inlineStr">
        <is>
          <t>윤병선</t>
        </is>
      </c>
      <c r="G12034" s="2" t="inlineStr">
        <is>
          <t>20260618000054</t>
        </is>
      </c>
      <c r="H12034" s="8">
        <f>HYPERLINK("https://dart.fss.or.kr/dsaf001/main.do?rcpNo=20260618000054", "공시열람")</f>
        <v/>
      </c>
    </row>
    <row r="12035">
      <c r="A12035" s="2" t="inlineStr">
        <is>
          <t>2026-06-18</t>
        </is>
      </c>
      <c r="B12035" s="3" t="inlineStr">
        <is>
          <t>NH투자증권</t>
        </is>
      </c>
      <c r="C12035" s="2" t="inlineStr">
        <is>
          <t>코스피</t>
        </is>
      </c>
      <c r="D12035" s="2" t="inlineStr">
        <is>
          <t>005940</t>
        </is>
      </c>
      <c r="E12035" s="3" t="inlineStr">
        <is>
          <t>증권발행실적보고서</t>
        </is>
      </c>
      <c r="F12035" s="3" t="inlineStr">
        <is>
          <t>NH투자증권</t>
        </is>
      </c>
      <c r="G12035" s="2" t="inlineStr">
        <is>
          <t>20260618000045</t>
        </is>
      </c>
      <c r="H12035" s="8">
        <f>HYPERLINK("https://dart.fss.or.kr/dsaf001/main.do?rcpNo=20260618000045", "공시열람")</f>
        <v/>
      </c>
    </row>
    <row r="12036">
      <c r="A12036" s="2" t="inlineStr">
        <is>
          <t>2026-06-18</t>
        </is>
      </c>
      <c r="B12036" s="3" t="inlineStr">
        <is>
          <t>NH투자증권</t>
        </is>
      </c>
      <c r="C12036" s="2" t="inlineStr">
        <is>
          <t>코스피</t>
        </is>
      </c>
      <c r="D12036" s="2" t="inlineStr">
        <is>
          <t>005940</t>
        </is>
      </c>
      <c r="E12036" s="3" t="inlineStr">
        <is>
          <t>증권발행실적보고서</t>
        </is>
      </c>
      <c r="F12036" s="3" t="inlineStr">
        <is>
          <t>NH투자증권</t>
        </is>
      </c>
      <c r="G12036" s="2" t="inlineStr">
        <is>
          <t>20260618000042</t>
        </is>
      </c>
      <c r="H12036" s="8">
        <f>HYPERLINK("https://dart.fss.or.kr/dsaf001/main.do?rcpNo=20260618000042", "공시열람")</f>
        <v/>
      </c>
    </row>
    <row r="12037">
      <c r="A12037" s="2" t="inlineStr">
        <is>
          <t>2026-06-18</t>
        </is>
      </c>
      <c r="B12037" s="3" t="inlineStr">
        <is>
          <t>삼성증권</t>
        </is>
      </c>
      <c r="C12037" s="2" t="inlineStr">
        <is>
          <t>코스피</t>
        </is>
      </c>
      <c r="D12037" s="2" t="inlineStr">
        <is>
          <t>016360</t>
        </is>
      </c>
      <c r="E12037" s="3" t="inlineStr">
        <is>
          <t>투자설명서(일괄신고)</t>
        </is>
      </c>
      <c r="F12037" s="3" t="inlineStr">
        <is>
          <t>삼성증권</t>
        </is>
      </c>
      <c r="G12037" s="2" t="inlineStr">
        <is>
          <t>20260618000041</t>
        </is>
      </c>
      <c r="H12037" s="8">
        <f>HYPERLINK("https://dart.fss.or.kr/dsaf001/main.do?rcpNo=20260618000041", "공시열람")</f>
        <v/>
      </c>
    </row>
    <row r="12038">
      <c r="A12038" s="2" t="inlineStr">
        <is>
          <t>2026-06-18</t>
        </is>
      </c>
      <c r="B12038" s="3" t="inlineStr">
        <is>
          <t>삼성증권</t>
        </is>
      </c>
      <c r="C12038" s="2" t="inlineStr">
        <is>
          <t>코스피</t>
        </is>
      </c>
      <c r="D12038" s="2" t="inlineStr">
        <is>
          <t>016360</t>
        </is>
      </c>
      <c r="E12038" s="3" t="inlineStr">
        <is>
          <t>일괄신고추가서류(파생결합증권-주가연계증권)</t>
        </is>
      </c>
      <c r="F12038" s="3" t="inlineStr">
        <is>
          <t>삼성증권</t>
        </is>
      </c>
      <c r="G12038" s="2" t="inlineStr">
        <is>
          <t>20260618000038</t>
        </is>
      </c>
      <c r="H12038" s="8">
        <f>HYPERLINK("https://dart.fss.or.kr/dsaf001/main.do?rcpNo=20260618000038", "공시열람")</f>
        <v/>
      </c>
    </row>
    <row r="12039">
      <c r="A12039" s="2" t="inlineStr">
        <is>
          <t>2026-06-18</t>
        </is>
      </c>
      <c r="B12039" s="3" t="inlineStr">
        <is>
          <t>NH투자증권</t>
        </is>
      </c>
      <c r="C12039" s="2" t="inlineStr">
        <is>
          <t>코스피</t>
        </is>
      </c>
      <c r="D12039" s="2" t="inlineStr">
        <is>
          <t>005940</t>
        </is>
      </c>
      <c r="E12039" s="3" t="inlineStr">
        <is>
          <t>증권발행실적보고서</t>
        </is>
      </c>
      <c r="F12039" s="3" t="inlineStr">
        <is>
          <t>NH투자증권</t>
        </is>
      </c>
      <c r="G12039" s="2" t="inlineStr">
        <is>
          <t>20260618000036</t>
        </is>
      </c>
      <c r="H12039" s="8">
        <f>HYPERLINK("https://dart.fss.or.kr/dsaf001/main.do?rcpNo=20260618000036", "공시열람")</f>
        <v/>
      </c>
    </row>
    <row r="12040">
      <c r="A12040" s="2" t="inlineStr">
        <is>
          <t>2026-06-18</t>
        </is>
      </c>
      <c r="B12040" s="3" t="inlineStr">
        <is>
          <t>태림포장</t>
        </is>
      </c>
      <c r="C12040" s="2" t="inlineStr">
        <is>
          <t>코스피</t>
        </is>
      </c>
      <c r="D12040" s="2" t="inlineStr">
        <is>
          <t>011280</t>
        </is>
      </c>
      <c r="E12040" s="3" t="inlineStr">
        <is>
          <t>임원ㆍ주요주주특정증권등소유상황보고서</t>
        </is>
      </c>
      <c r="F12040" s="3" t="inlineStr">
        <is>
          <t>태림페이퍼</t>
        </is>
      </c>
      <c r="G12040" s="2" t="inlineStr">
        <is>
          <t>20260618000033</t>
        </is>
      </c>
      <c r="H12040" s="8">
        <f>HYPERLINK("https://dart.fss.or.kr/dsaf001/main.do?rcpNo=20260618000033", "공시열람")</f>
        <v/>
      </c>
    </row>
    <row r="12041">
      <c r="A12041" s="2" t="inlineStr">
        <is>
          <t>2026-06-18</t>
        </is>
      </c>
      <c r="B12041" s="3" t="inlineStr">
        <is>
          <t>교보증권</t>
        </is>
      </c>
      <c r="C12041" s="2" t="inlineStr">
        <is>
          <t>코스피</t>
        </is>
      </c>
      <c r="D12041" s="2" t="inlineStr">
        <is>
          <t>030610</t>
        </is>
      </c>
      <c r="E12041" s="3" t="inlineStr">
        <is>
          <t>투자설명서(일괄신고)</t>
        </is>
      </c>
      <c r="F12041" s="3" t="inlineStr">
        <is>
          <t>교보증권</t>
        </is>
      </c>
      <c r="G12041" s="2" t="inlineStr">
        <is>
          <t>20260618000032</t>
        </is>
      </c>
      <c r="H12041" s="8">
        <f>HYPERLINK("https://dart.fss.or.kr/dsaf001/main.do?rcpNo=20260618000032", "공시열람")</f>
        <v/>
      </c>
    </row>
    <row r="12042">
      <c r="A12042" s="2" t="inlineStr">
        <is>
          <t>2026-06-18</t>
        </is>
      </c>
      <c r="B12042" s="3" t="inlineStr">
        <is>
          <t>오토앤</t>
        </is>
      </c>
      <c r="C12042" s="2" t="inlineStr">
        <is>
          <t>코스닥</t>
        </is>
      </c>
      <c r="D12042" s="2" t="inlineStr">
        <is>
          <t>353590</t>
        </is>
      </c>
      <c r="E12042" s="3" t="inlineStr">
        <is>
          <t>임원ㆍ주요주주특정증권등소유상황보고서</t>
        </is>
      </c>
      <c r="F12042" s="3" t="inlineStr">
        <is>
          <t>이승창</t>
        </is>
      </c>
      <c r="G12042" s="2" t="inlineStr">
        <is>
          <t>20260618000031</t>
        </is>
      </c>
      <c r="H12042" s="8">
        <f>HYPERLINK("https://dart.fss.or.kr/dsaf001/main.do?rcpNo=20260618000031", "공시열람")</f>
        <v/>
      </c>
    </row>
    <row r="12043">
      <c r="A12043" s="2" t="inlineStr">
        <is>
          <t>2026-06-18</t>
        </is>
      </c>
      <c r="B12043" s="3" t="inlineStr">
        <is>
          <t>교보증권</t>
        </is>
      </c>
      <c r="C12043" s="2" t="inlineStr">
        <is>
          <t>코스피</t>
        </is>
      </c>
      <c r="D12043" s="2" t="inlineStr">
        <is>
          <t>030610</t>
        </is>
      </c>
      <c r="E12043" s="3" t="inlineStr">
        <is>
          <t>투자설명서(일괄신고)</t>
        </is>
      </c>
      <c r="F12043" s="3" t="inlineStr">
        <is>
          <t>교보증권</t>
        </is>
      </c>
      <c r="G12043" s="2" t="inlineStr">
        <is>
          <t>20260618000030</t>
        </is>
      </c>
      <c r="H12043" s="8">
        <f>HYPERLINK("https://dart.fss.or.kr/dsaf001/main.do?rcpNo=20260618000030", "공시열람")</f>
        <v/>
      </c>
    </row>
    <row r="12044">
      <c r="A12044" s="2" t="inlineStr">
        <is>
          <t>2026-06-18</t>
        </is>
      </c>
      <c r="B12044" s="3" t="inlineStr">
        <is>
          <t>교보증권</t>
        </is>
      </c>
      <c r="C12044" s="2" t="inlineStr">
        <is>
          <t>코스피</t>
        </is>
      </c>
      <c r="D12044" s="2" t="inlineStr">
        <is>
          <t>030610</t>
        </is>
      </c>
      <c r="E12044" s="3" t="inlineStr">
        <is>
          <t>일괄신고추가서류(기타파생결합사채)</t>
        </is>
      </c>
      <c r="F12044" s="3" t="inlineStr">
        <is>
          <t>교보증권</t>
        </is>
      </c>
      <c r="G12044" s="2" t="inlineStr">
        <is>
          <t>20260618000028</t>
        </is>
      </c>
      <c r="H12044" s="8">
        <f>HYPERLINK("https://dart.fss.or.kr/dsaf001/main.do?rcpNo=20260618000028", "공시열람")</f>
        <v/>
      </c>
    </row>
    <row r="12045">
      <c r="A12045" s="2" t="inlineStr">
        <is>
          <t>2026-06-18</t>
        </is>
      </c>
      <c r="B12045" s="3" t="inlineStr">
        <is>
          <t>교보증권</t>
        </is>
      </c>
      <c r="C12045" s="2" t="inlineStr">
        <is>
          <t>코스피</t>
        </is>
      </c>
      <c r="D12045" s="2" t="inlineStr">
        <is>
          <t>030610</t>
        </is>
      </c>
      <c r="E12045" s="3" t="inlineStr">
        <is>
          <t>일괄신고추가서류(파생결합사채-주가연계파생결합사채)</t>
        </is>
      </c>
      <c r="F12045" s="3" t="inlineStr">
        <is>
          <t>교보증권</t>
        </is>
      </c>
      <c r="G12045" s="2" t="inlineStr">
        <is>
          <t>20260618000026</t>
        </is>
      </c>
      <c r="H12045" s="8">
        <f>HYPERLINK("https://dart.fss.or.kr/dsaf001/main.do?rcpNo=20260618000026", "공시열람")</f>
        <v/>
      </c>
    </row>
    <row r="12046">
      <c r="A12046" s="2" t="inlineStr">
        <is>
          <t>2026-06-18</t>
        </is>
      </c>
      <c r="B12046" s="3" t="inlineStr">
        <is>
          <t>NH투자증권</t>
        </is>
      </c>
      <c r="C12046" s="2" t="inlineStr">
        <is>
          <t>코스피</t>
        </is>
      </c>
      <c r="D12046" s="2" t="inlineStr">
        <is>
          <t>005940</t>
        </is>
      </c>
      <c r="E12046" s="3" t="inlineStr">
        <is>
          <t>증권발행실적보고서</t>
        </is>
      </c>
      <c r="F12046" s="3" t="inlineStr">
        <is>
          <t>NH투자증권</t>
        </is>
      </c>
      <c r="G12046" s="2" t="inlineStr">
        <is>
          <t>20260618000018</t>
        </is>
      </c>
      <c r="H12046" s="8">
        <f>HYPERLINK("https://dart.fss.or.kr/dsaf001/main.do?rcpNo=20260618000018", "공시열람")</f>
        <v/>
      </c>
    </row>
    <row r="12047">
      <c r="A12047" s="2" t="inlineStr">
        <is>
          <t>2026-06-18</t>
        </is>
      </c>
      <c r="B12047" s="3" t="inlineStr">
        <is>
          <t>영림원소프트랩</t>
        </is>
      </c>
      <c r="C12047" s="2" t="inlineStr">
        <is>
          <t>코스닥</t>
        </is>
      </c>
      <c r="D12047" s="2" t="inlineStr">
        <is>
          <t>060850</t>
        </is>
      </c>
      <c r="E12047" s="3" t="inlineStr">
        <is>
          <t>임원ㆍ주요주주특정증권등소유상황보고서</t>
        </is>
      </c>
      <c r="F12047" s="3" t="inlineStr">
        <is>
          <t>주덕중</t>
        </is>
      </c>
      <c r="G12047" s="2" t="inlineStr">
        <is>
          <t>20260618000015</t>
        </is>
      </c>
      <c r="H12047" s="8">
        <f>HYPERLINK("https://dart.fss.or.kr/dsaf001/main.do?rcpNo=20260618000015", "공시열람")</f>
        <v/>
      </c>
    </row>
    <row r="12048">
      <c r="A12048" s="2" t="inlineStr">
        <is>
          <t>2026-06-18</t>
        </is>
      </c>
      <c r="B12048" s="3" t="inlineStr">
        <is>
          <t>브이씨</t>
        </is>
      </c>
      <c r="C12048" s="2" t="inlineStr">
        <is>
          <t>코스닥</t>
        </is>
      </c>
      <c r="D12048" s="2" t="inlineStr">
        <is>
          <t>365900</t>
        </is>
      </c>
      <c r="E12048" s="3" t="inlineStr">
        <is>
          <t>임원ㆍ주요주주특정증권등소유상황보고서</t>
        </is>
      </c>
      <c r="F12048" s="3" t="inlineStr">
        <is>
          <t>김준오</t>
        </is>
      </c>
      <c r="G12048" s="2" t="inlineStr">
        <is>
          <t>20260618000014</t>
        </is>
      </c>
      <c r="H12048" s="8">
        <f>HYPERLINK("https://dart.fss.or.kr/dsaf001/main.do?rcpNo=20260618000014", "공시열람")</f>
        <v/>
      </c>
    </row>
    <row r="12049">
      <c r="A12049" s="2" t="inlineStr">
        <is>
          <t>2026-06-18 (정정: 2026-06-23)</t>
        </is>
      </c>
      <c r="B12049" s="3" t="inlineStr">
        <is>
          <t>대원화성</t>
        </is>
      </c>
      <c r="C12049" s="2" t="inlineStr">
        <is>
          <t>코스피</t>
        </is>
      </c>
      <c r="D12049" s="2" t="inlineStr">
        <is>
          <t>024890</t>
        </is>
      </c>
      <c r="E12049" s="3" t="inlineStr">
        <is>
          <t>자산재평가결과(자율공시)               (정정: 20260623)</t>
        </is>
      </c>
      <c r="F12049" s="3" t="inlineStr">
        <is>
          <t>대원화성</t>
        </is>
      </c>
      <c r="G12049" s="2" t="inlineStr">
        <is>
          <t>20260623000242</t>
        </is>
      </c>
      <c r="H12049" s="8">
        <f>HYPERLINK("https://dart.fss.or.kr/dsaf001/main.do?rcpNo=20260623000242", "공시열람")</f>
        <v/>
      </c>
    </row>
    <row r="12050">
      <c r="A12050" s="2" t="inlineStr">
        <is>
          <t>2026-06-18</t>
        </is>
      </c>
      <c r="B12050" s="3" t="inlineStr">
        <is>
          <t>유안타증권</t>
        </is>
      </c>
      <c r="C12050" s="2" t="inlineStr">
        <is>
          <t>코스피</t>
        </is>
      </c>
      <c r="D12050" s="2" t="inlineStr">
        <is>
          <t>003470</t>
        </is>
      </c>
      <c r="E12050" s="3" t="inlineStr">
        <is>
          <t>증권발행실적보고서</t>
        </is>
      </c>
      <c r="F12050" s="3" t="inlineStr">
        <is>
          <t>유안타증권</t>
        </is>
      </c>
      <c r="G12050" s="2" t="inlineStr">
        <is>
          <t>20260618000012</t>
        </is>
      </c>
      <c r="H12050" s="8">
        <f>HYPERLINK("https://dart.fss.or.kr/dsaf001/main.do?rcpNo=20260618000012", "공시열람")</f>
        <v/>
      </c>
    </row>
    <row r="12051">
      <c r="A12051" s="2" t="inlineStr">
        <is>
          <t>2026-06-18</t>
        </is>
      </c>
      <c r="B12051" s="3" t="inlineStr">
        <is>
          <t>NH투자증권</t>
        </is>
      </c>
      <c r="C12051" s="2" t="inlineStr">
        <is>
          <t>코스피</t>
        </is>
      </c>
      <c r="D12051" s="2" t="inlineStr">
        <is>
          <t>005940</t>
        </is>
      </c>
      <c r="E12051" s="3" t="inlineStr">
        <is>
          <t>증권발행실적보고서</t>
        </is>
      </c>
      <c r="F12051" s="3" t="inlineStr">
        <is>
          <t>NH투자증권</t>
        </is>
      </c>
      <c r="G12051" s="2" t="inlineStr">
        <is>
          <t>20260618000011</t>
        </is>
      </c>
      <c r="H12051" s="8">
        <f>HYPERLINK("https://dart.fss.or.kr/dsaf001/main.do?rcpNo=20260618000011", "공시열람")</f>
        <v/>
      </c>
    </row>
    <row r="12052">
      <c r="A12052" s="2" t="inlineStr">
        <is>
          <t>2026-06-18</t>
        </is>
      </c>
      <c r="B12052" s="3" t="inlineStr">
        <is>
          <t>HL홀딩스</t>
        </is>
      </c>
      <c r="C12052" s="2" t="inlineStr">
        <is>
          <t>코스피</t>
        </is>
      </c>
      <c r="D12052" s="2" t="inlineStr">
        <is>
          <t>060980</t>
        </is>
      </c>
      <c r="E12052" s="3" t="inlineStr">
        <is>
          <t xml:space="preserve">투자판단관련주요경영사항(자회사의 주요경영사항)              </t>
        </is>
      </c>
      <c r="F12052" s="3" t="inlineStr">
        <is>
          <t>HL홀딩스</t>
        </is>
      </c>
      <c r="G12052" s="2" t="inlineStr">
        <is>
          <t>20260618800004</t>
        </is>
      </c>
      <c r="H12052" s="8">
        <f>HYPERLINK("https://dart.fss.or.kr/dsaf001/main.do?rcpNo=20260618800004", "공시열람")</f>
        <v/>
      </c>
    </row>
    <row r="12053">
      <c r="A12053" s="2" t="inlineStr">
        <is>
          <t>2026-06-18</t>
        </is>
      </c>
      <c r="B12053" s="3" t="inlineStr">
        <is>
          <t>HL D&amp;I</t>
        </is>
      </c>
      <c r="C12053" s="2" t="inlineStr">
        <is>
          <t>코스피</t>
        </is>
      </c>
      <c r="D12053" s="2" t="inlineStr">
        <is>
          <t>014790</t>
        </is>
      </c>
      <c r="E12053" s="3" t="inlineStr">
        <is>
          <t xml:space="preserve">투자판단관련주요경영사항              </t>
        </is>
      </c>
      <c r="F12053" s="3" t="inlineStr">
        <is>
          <t>HL D&amp;I</t>
        </is>
      </c>
      <c r="G12053" s="2" t="inlineStr">
        <is>
          <t>20260618800001</t>
        </is>
      </c>
      <c r="H12053" s="8">
        <f>HYPERLINK("https://dart.fss.or.kr/dsaf001/main.do?rcpNo=20260618800001", "공시열람")</f>
        <v/>
      </c>
    </row>
    <row r="12054">
      <c r="A12054" s="2" t="inlineStr">
        <is>
          <t>2026-06-18</t>
        </is>
      </c>
      <c r="B12054" s="3" t="inlineStr">
        <is>
          <t>뉴로메카</t>
        </is>
      </c>
      <c r="C12054" s="2" t="inlineStr">
        <is>
          <t>코스닥</t>
        </is>
      </c>
      <c r="D12054" s="2" t="inlineStr">
        <is>
          <t>348340</t>
        </is>
      </c>
      <c r="E12054" s="3" t="inlineStr">
        <is>
          <t>효력발생안내( 2026.6.2. 제출 증권신고서(지분증권) )</t>
        </is>
      </c>
      <c r="F12054" s="3" t="inlineStr">
        <is>
          <t>금융감독원</t>
        </is>
      </c>
      <c r="G12054" s="2" t="inlineStr">
        <is>
          <t>20260602100003</t>
        </is>
      </c>
      <c r="H12054" s="8">
        <f>HYPERLINK("https://dart.fss.or.kr/dsaf001/main.do?rcpNo=20260602100003", "공시열람")</f>
        <v/>
      </c>
    </row>
    <row r="12055">
      <c r="A12055" s="2" t="inlineStr">
        <is>
          <t>2026-06-18</t>
        </is>
      </c>
      <c r="B12055" s="3" t="inlineStr">
        <is>
          <t>진원생명과학</t>
        </is>
      </c>
      <c r="C12055" s="2" t="inlineStr">
        <is>
          <t>코스피</t>
        </is>
      </c>
      <c r="D12055" s="2" t="inlineStr">
        <is>
          <t>011000</t>
        </is>
      </c>
      <c r="E12055" s="3" t="inlineStr">
        <is>
          <t>주요사항보고서(자기전환사채만기전취득결정)</t>
        </is>
      </c>
      <c r="F12055" s="3" t="inlineStr">
        <is>
          <t>진원생명과학</t>
        </is>
      </c>
      <c r="G12055" s="2" t="inlineStr">
        <is>
          <t>20260617000511</t>
        </is>
      </c>
      <c r="H12055" s="8">
        <f>HYPERLINK("https://dart.fss.or.kr/dsaf001/main.do?rcpNo=20260617000511", "공시열람")</f>
        <v/>
      </c>
    </row>
    <row r="12056">
      <c r="A12056" s="2" t="inlineStr">
        <is>
          <t>2026-06-19 (정정: 2026-06-22)</t>
        </is>
      </c>
      <c r="B12056" s="3" t="inlineStr">
        <is>
          <t>동원금속</t>
        </is>
      </c>
      <c r="C12056" s="2" t="inlineStr">
        <is>
          <t>코스피</t>
        </is>
      </c>
      <c r="D12056" s="2" t="inlineStr">
        <is>
          <t>018500</t>
        </is>
      </c>
      <c r="E12056" s="3" t="inlineStr">
        <is>
          <t>불성실공시법인지정예고               (정정: 20260622)</t>
        </is>
      </c>
      <c r="F12056" s="3" t="inlineStr">
        <is>
          <t>유가증권시장본부</t>
        </is>
      </c>
      <c r="G12056" s="2" t="inlineStr">
        <is>
          <t>20260622000166</t>
        </is>
      </c>
      <c r="H12056" s="8">
        <f>HYPERLINK("https://dart.fss.or.kr/dsaf001/main.do?rcpNo=20260622000166", "공시열람")</f>
        <v/>
      </c>
    </row>
    <row r="12057">
      <c r="A12057" s="2" t="inlineStr">
        <is>
          <t>2026-06-19</t>
        </is>
      </c>
      <c r="B12057" s="3" t="inlineStr">
        <is>
          <t>동일기연</t>
        </is>
      </c>
      <c r="C12057" s="2" t="inlineStr">
        <is>
          <t>코스닥</t>
        </is>
      </c>
      <c r="D12057" s="2" t="inlineStr">
        <is>
          <t>032960</t>
        </is>
      </c>
      <c r="E12057" s="3" t="inlineStr">
        <is>
          <t>주권매매거래정지              (주식의 병합, 분할 등 전자등록 변경, 말소)</t>
        </is>
      </c>
      <c r="F12057" s="3" t="inlineStr">
        <is>
          <t>코스닥시장본부</t>
        </is>
      </c>
      <c r="G12057" s="2" t="inlineStr">
        <is>
          <t>20260619901068</t>
        </is>
      </c>
      <c r="H12057" s="8">
        <f>HYPERLINK("https://dart.fss.or.kr/dsaf001/main.do?rcpNo=20260619901068", "공시열람")</f>
        <v/>
      </c>
    </row>
    <row r="12058">
      <c r="A12058" s="2" t="inlineStr">
        <is>
          <t>2026-06-19</t>
        </is>
      </c>
      <c r="B12058" s="3" t="inlineStr">
        <is>
          <t>알에프세미</t>
        </is>
      </c>
      <c r="C12058" s="2" t="inlineStr">
        <is>
          <t>코스닥</t>
        </is>
      </c>
      <c r="D12058" s="2" t="inlineStr">
        <is>
          <t>096610</t>
        </is>
      </c>
      <c r="E12058" s="3" t="inlineStr">
        <is>
          <t>기타시장안내              (상장적격성 실질심사 사유 추가 관련 절차 미진행)</t>
        </is>
      </c>
      <c r="F12058" s="3" t="inlineStr">
        <is>
          <t>코스닥시장본부</t>
        </is>
      </c>
      <c r="G12058" s="2" t="inlineStr">
        <is>
          <t>20260619901065</t>
        </is>
      </c>
      <c r="H12058" s="8">
        <f>HYPERLINK("https://dart.fss.or.kr/dsaf001/main.do?rcpNo=20260619901065", "공시열람")</f>
        <v/>
      </c>
    </row>
    <row r="12059">
      <c r="A12059" s="2" t="inlineStr">
        <is>
          <t>2026-06-19</t>
        </is>
      </c>
      <c r="B12059" s="3" t="inlineStr">
        <is>
          <t>알에프세미</t>
        </is>
      </c>
      <c r="C12059" s="2" t="inlineStr">
        <is>
          <t>코스닥</t>
        </is>
      </c>
      <c r="D12059" s="2" t="inlineStr">
        <is>
          <t>096610</t>
        </is>
      </c>
      <c r="E12059" s="3" t="inlineStr">
        <is>
          <t xml:space="preserve">횡령ㆍ배임혐의발생              </t>
        </is>
      </c>
      <c r="F12059" s="3" t="inlineStr">
        <is>
          <t>알에프세미</t>
        </is>
      </c>
      <c r="G12059" s="2" t="inlineStr">
        <is>
          <t>20260619901064</t>
        </is>
      </c>
      <c r="H12059" s="8">
        <f>HYPERLINK("https://dart.fss.or.kr/dsaf001/main.do?rcpNo=20260619901064", "공시열람")</f>
        <v/>
      </c>
    </row>
    <row r="12060">
      <c r="A12060" s="2" t="inlineStr">
        <is>
          <t>2026-06-19</t>
        </is>
      </c>
      <c r="B12060" s="3" t="inlineStr">
        <is>
          <t>유틸렉스</t>
        </is>
      </c>
      <c r="C12060" s="2" t="inlineStr">
        <is>
          <t>코스닥</t>
        </is>
      </c>
      <c r="D12060" s="2" t="inlineStr">
        <is>
          <t>263050</t>
        </is>
      </c>
      <c r="E12060" s="3" t="inlineStr">
        <is>
          <t xml:space="preserve">회생절차폐지신청              </t>
        </is>
      </c>
      <c r="F12060" s="3" t="inlineStr">
        <is>
          <t>유틸렉스</t>
        </is>
      </c>
      <c r="G12060" s="2" t="inlineStr">
        <is>
          <t>20260619901053</t>
        </is>
      </c>
      <c r="H12060" s="8">
        <f>HYPERLINK("https://dart.fss.or.kr/dsaf001/main.do?rcpNo=20260619901053", "공시열람")</f>
        <v/>
      </c>
    </row>
    <row r="12061">
      <c r="A12061" s="2" t="inlineStr">
        <is>
          <t>2026-06-19</t>
        </is>
      </c>
      <c r="B12061" s="3" t="inlineStr">
        <is>
          <t>프로브잇</t>
        </is>
      </c>
      <c r="C12061" s="2" t="inlineStr">
        <is>
          <t>코스닥</t>
        </is>
      </c>
      <c r="D12061" s="2" t="inlineStr">
        <is>
          <t>227100</t>
        </is>
      </c>
      <c r="E12061" s="3" t="inlineStr">
        <is>
          <t>기타경영사항(자율공시)              (상장폐지결정효력정지가처분 기각 결정에 대한 즉시항고장 제출)</t>
        </is>
      </c>
      <c r="F12061" s="3" t="inlineStr">
        <is>
          <t>프로브잇</t>
        </is>
      </c>
      <c r="G12061" s="2" t="inlineStr">
        <is>
          <t>20260619900994</t>
        </is>
      </c>
      <c r="H12061" s="8">
        <f>HYPERLINK("https://dart.fss.or.kr/dsaf001/main.do?rcpNo=20260619900994", "공시열람")</f>
        <v/>
      </c>
    </row>
    <row r="12062">
      <c r="A12062" s="2" t="inlineStr">
        <is>
          <t>2026-06-19</t>
        </is>
      </c>
      <c r="B12062" s="3" t="inlineStr">
        <is>
          <t>진코스텍</t>
        </is>
      </c>
      <c r="C12062" s="2" t="inlineStr">
        <is>
          <t>코넥스</t>
        </is>
      </c>
      <c r="D12062" s="2" t="inlineStr">
        <is>
          <t>250030</t>
        </is>
      </c>
      <c r="E12062" s="3" t="inlineStr">
        <is>
          <t xml:space="preserve">기업설명회(IR)개최              </t>
        </is>
      </c>
      <c r="F12062" s="3" t="inlineStr">
        <is>
          <t>진코스텍</t>
        </is>
      </c>
      <c r="G12062" s="2" t="inlineStr">
        <is>
          <t>20260619601032</t>
        </is>
      </c>
      <c r="H12062" s="8">
        <f>HYPERLINK("https://dart.fss.or.kr/dsaf001/main.do?rcpNo=20260619601032", "공시열람")</f>
        <v/>
      </c>
    </row>
    <row r="12063">
      <c r="A12063" s="2" t="inlineStr">
        <is>
          <t>2026-06-19</t>
        </is>
      </c>
      <c r="B12063" s="3" t="inlineStr">
        <is>
          <t>미래에셋생명</t>
        </is>
      </c>
      <c r="C12063" s="2" t="inlineStr">
        <is>
          <t>코스피</t>
        </is>
      </c>
      <c r="D12063" s="2" t="inlineStr">
        <is>
          <t>085620</t>
        </is>
      </c>
      <c r="E12063" s="3" t="inlineStr">
        <is>
          <t xml:space="preserve">풍문또는보도에대한해명              </t>
        </is>
      </c>
      <c r="F12063" s="3" t="inlineStr">
        <is>
          <t>미래에셋생명</t>
        </is>
      </c>
      <c r="G12063" s="2" t="inlineStr">
        <is>
          <t>20260619801010</t>
        </is>
      </c>
      <c r="H12063" s="8">
        <f>HYPERLINK("https://dart.fss.or.kr/dsaf001/main.do?rcpNo=20260619801010", "공시열람")</f>
        <v/>
      </c>
    </row>
    <row r="12064">
      <c r="A12064" s="2" t="inlineStr">
        <is>
          <t>2026-06-19</t>
        </is>
      </c>
      <c r="B12064" s="3" t="inlineStr">
        <is>
          <t>HEM파마</t>
        </is>
      </c>
      <c r="C12064" s="2" t="inlineStr">
        <is>
          <t>코스닥</t>
        </is>
      </c>
      <c r="D12064" s="2" t="inlineStr">
        <is>
          <t>376270</t>
        </is>
      </c>
      <c r="E12064" s="3" t="inlineStr">
        <is>
          <t xml:space="preserve">타법인주식및출자증권취득결정              </t>
        </is>
      </c>
      <c r="F12064" s="3" t="inlineStr">
        <is>
          <t>HEM파마</t>
        </is>
      </c>
      <c r="G12064" s="2" t="inlineStr">
        <is>
          <t>20260619900972</t>
        </is>
      </c>
      <c r="H12064" s="8">
        <f>HYPERLINK("https://dart.fss.or.kr/dsaf001/main.do?rcpNo=20260619900972", "공시열람")</f>
        <v/>
      </c>
    </row>
    <row r="12065">
      <c r="A12065" s="2" t="inlineStr">
        <is>
          <t>2026-06-19</t>
        </is>
      </c>
      <c r="B12065" s="3" t="inlineStr">
        <is>
          <t>IBKS제24호스팩</t>
        </is>
      </c>
      <c r="C12065" s="2" t="inlineStr">
        <is>
          <t>코스닥</t>
        </is>
      </c>
      <c r="D12065" s="2" t="inlineStr">
        <is>
          <t>469480</t>
        </is>
      </c>
      <c r="E12065" s="3" t="inlineStr">
        <is>
          <t>주권매매거래정지              (SPAC 합병(예비심사청구대상))</t>
        </is>
      </c>
      <c r="F12065" s="3" t="inlineStr">
        <is>
          <t>코스닥시장본부</t>
        </is>
      </c>
      <c r="G12065" s="2" t="inlineStr">
        <is>
          <t>20260619901008</t>
        </is>
      </c>
      <c r="H12065" s="8">
        <f>HYPERLINK("https://dart.fss.or.kr/dsaf001/main.do?rcpNo=20260619901008", "공시열람")</f>
        <v/>
      </c>
    </row>
    <row r="12066">
      <c r="A12066" s="2" t="inlineStr">
        <is>
          <t>2026-06-19</t>
        </is>
      </c>
      <c r="B12066" s="3" t="inlineStr">
        <is>
          <t>동원금속</t>
        </is>
      </c>
      <c r="C12066" s="2" t="inlineStr">
        <is>
          <t>코스피</t>
        </is>
      </c>
      <c r="D12066" s="2" t="inlineStr">
        <is>
          <t>018500</t>
        </is>
      </c>
      <c r="E12066" s="3" t="inlineStr">
        <is>
          <t xml:space="preserve">감사보고서제출              </t>
        </is>
      </c>
      <c r="F12066" s="3" t="inlineStr">
        <is>
          <t>동원금속</t>
        </is>
      </c>
      <c r="G12066" s="2" t="inlineStr">
        <is>
          <t>20260619800981</t>
        </is>
      </c>
      <c r="H12066" s="8">
        <f>HYPERLINK("https://dart.fss.or.kr/dsaf001/main.do?rcpNo=20260619800981", "공시열람")</f>
        <v/>
      </c>
    </row>
    <row r="12067">
      <c r="A12067" s="2" t="inlineStr">
        <is>
          <t>2026-06-19</t>
        </is>
      </c>
      <c r="B12067" s="3" t="inlineStr">
        <is>
          <t>롯데관광개발</t>
        </is>
      </c>
      <c r="C12067" s="2" t="inlineStr">
        <is>
          <t>코스피</t>
        </is>
      </c>
      <c r="D12067" s="2" t="inlineStr">
        <is>
          <t>032350</t>
        </is>
      </c>
      <c r="E12067" s="3" t="inlineStr">
        <is>
          <t>임원ㆍ주요주주특정증권등소유상황보고서</t>
        </is>
      </c>
      <c r="F12067" s="3" t="inlineStr">
        <is>
          <t>김한준</t>
        </is>
      </c>
      <c r="G12067" s="2" t="inlineStr">
        <is>
          <t>20260619000663</t>
        </is>
      </c>
      <c r="H12067" s="8">
        <f>HYPERLINK("https://dart.fss.or.kr/dsaf001/main.do?rcpNo=20260619000663", "공시열람")</f>
        <v/>
      </c>
    </row>
    <row r="12068">
      <c r="A12068" s="2" t="inlineStr">
        <is>
          <t>2026-06-19</t>
        </is>
      </c>
      <c r="B12068" s="3" t="inlineStr">
        <is>
          <t>차AI헬스케어</t>
        </is>
      </c>
      <c r="C12068" s="2" t="inlineStr">
        <is>
          <t>코스피</t>
        </is>
      </c>
      <c r="D12068" s="2" t="inlineStr">
        <is>
          <t>025620</t>
        </is>
      </c>
      <c r="E12068" s="3" t="inlineStr">
        <is>
          <t xml:space="preserve">유상증자또는주식관련사채등의발행결과(자율공시)              </t>
        </is>
      </c>
      <c r="F12068" s="3" t="inlineStr">
        <is>
          <t>차AI헬스케어</t>
        </is>
      </c>
      <c r="G12068" s="2" t="inlineStr">
        <is>
          <t>20260619800987</t>
        </is>
      </c>
      <c r="H12068" s="8">
        <f>HYPERLINK("https://dart.fss.or.kr/dsaf001/main.do?rcpNo=20260619800987", "공시열람")</f>
        <v/>
      </c>
    </row>
    <row r="12069">
      <c r="A12069" s="2" t="inlineStr">
        <is>
          <t>2026-06-19</t>
        </is>
      </c>
      <c r="B12069" s="3" t="inlineStr">
        <is>
          <t>차AI헬스케어</t>
        </is>
      </c>
      <c r="C12069" s="2" t="inlineStr">
        <is>
          <t>코스피</t>
        </is>
      </c>
      <c r="D12069" s="2" t="inlineStr">
        <is>
          <t>025620</t>
        </is>
      </c>
      <c r="E12069" s="3" t="inlineStr">
        <is>
          <t xml:space="preserve">유상증자또는주식관련사채등의발행결과(자율공시)              </t>
        </is>
      </c>
      <c r="F12069" s="3" t="inlineStr">
        <is>
          <t>차AI헬스케어</t>
        </is>
      </c>
      <c r="G12069" s="2" t="inlineStr">
        <is>
          <t>20260619800986</t>
        </is>
      </c>
      <c r="H12069" s="8">
        <f>HYPERLINK("https://dart.fss.or.kr/dsaf001/main.do?rcpNo=20260619800986", "공시열람")</f>
        <v/>
      </c>
    </row>
    <row r="12070">
      <c r="A12070" s="2" t="inlineStr">
        <is>
          <t>2026-06-19</t>
        </is>
      </c>
      <c r="B12070" s="3" t="inlineStr">
        <is>
          <t>썬테크</t>
        </is>
      </c>
      <c r="C12070" s="2" t="inlineStr">
        <is>
          <t>코넥스</t>
        </is>
      </c>
      <c r="D12070" s="2" t="inlineStr">
        <is>
          <t>217320</t>
        </is>
      </c>
      <c r="E12070" s="3" t="inlineStr">
        <is>
          <t xml:space="preserve">기업설명회(IR)개최결과              </t>
        </is>
      </c>
      <c r="F12070" s="3" t="inlineStr">
        <is>
          <t>썬테크</t>
        </is>
      </c>
      <c r="G12070" s="2" t="inlineStr">
        <is>
          <t>20260619600984</t>
        </is>
      </c>
      <c r="H12070" s="8">
        <f>HYPERLINK("https://dart.fss.or.kr/dsaf001/main.do?rcpNo=20260619600984", "공시열람")</f>
        <v/>
      </c>
    </row>
    <row r="12071">
      <c r="A12071" s="2" t="inlineStr">
        <is>
          <t>2026-06-19</t>
        </is>
      </c>
      <c r="B12071" s="3" t="inlineStr">
        <is>
          <t>이엠티</t>
        </is>
      </c>
      <c r="C12071" s="2" t="inlineStr">
        <is>
          <t>코넥스</t>
        </is>
      </c>
      <c r="D12071" s="2" t="inlineStr">
        <is>
          <t>232530</t>
        </is>
      </c>
      <c r="E12071" s="3" t="inlineStr">
        <is>
          <t xml:space="preserve">주주명부폐쇄기간또는기준일설정              </t>
        </is>
      </c>
      <c r="F12071" s="3" t="inlineStr">
        <is>
          <t>이엠티</t>
        </is>
      </c>
      <c r="G12071" s="2" t="inlineStr">
        <is>
          <t>20260619600983</t>
        </is>
      </c>
      <c r="H12071" s="8">
        <f>HYPERLINK("https://dart.fss.or.kr/dsaf001/main.do?rcpNo=20260619600983", "공시열람")</f>
        <v/>
      </c>
    </row>
    <row r="12072">
      <c r="A12072" s="2" t="inlineStr">
        <is>
          <t>2026-06-19</t>
        </is>
      </c>
      <c r="B12072" s="3" t="inlineStr">
        <is>
          <t>SK시그넷</t>
        </is>
      </c>
      <c r="C12072" s="2" t="inlineStr">
        <is>
          <t>코넥스</t>
        </is>
      </c>
      <c r="D12072" s="2" t="inlineStr">
        <is>
          <t>260870</t>
        </is>
      </c>
      <c r="E12072" s="3" t="inlineStr">
        <is>
          <t xml:space="preserve">기업설명회(IR)개최              </t>
        </is>
      </c>
      <c r="F12072" s="3" t="inlineStr">
        <is>
          <t>SK시그넷</t>
        </is>
      </c>
      <c r="G12072" s="2" t="inlineStr">
        <is>
          <t>20260619600982</t>
        </is>
      </c>
      <c r="H12072" s="8">
        <f>HYPERLINK("https://dart.fss.or.kr/dsaf001/main.do?rcpNo=20260619600982", "공시열람")</f>
        <v/>
      </c>
    </row>
    <row r="12073">
      <c r="A12073" s="2" t="inlineStr">
        <is>
          <t>2026-06-19</t>
        </is>
      </c>
      <c r="B12073" s="3" t="inlineStr">
        <is>
          <t>차AI헬스케어</t>
        </is>
      </c>
      <c r="C12073" s="2" t="inlineStr">
        <is>
          <t>코스피</t>
        </is>
      </c>
      <c r="D12073" s="2" t="inlineStr">
        <is>
          <t>025620</t>
        </is>
      </c>
      <c r="E12073" s="3" t="inlineStr">
        <is>
          <t xml:space="preserve">유상증자또는주식관련사채등의발행결과(자율공시)              </t>
        </is>
      </c>
      <c r="F12073" s="3" t="inlineStr">
        <is>
          <t>차AI헬스케어</t>
        </is>
      </c>
      <c r="G12073" s="2" t="inlineStr">
        <is>
          <t>20260619800985</t>
        </is>
      </c>
      <c r="H12073" s="8">
        <f>HYPERLINK("https://dart.fss.or.kr/dsaf001/main.do?rcpNo=20260619800985", "공시열람")</f>
        <v/>
      </c>
    </row>
    <row r="12074">
      <c r="A12074" s="2" t="inlineStr">
        <is>
          <t>2026-06-19</t>
        </is>
      </c>
      <c r="B12074" s="3" t="inlineStr">
        <is>
          <t>비트플래닛</t>
        </is>
      </c>
      <c r="C12074" s="2" t="inlineStr">
        <is>
          <t>코스닥</t>
        </is>
      </c>
      <c r="D12074" s="2" t="inlineStr">
        <is>
          <t>049470</t>
        </is>
      </c>
      <c r="E12074" s="3" t="inlineStr">
        <is>
          <t>증권발행결과(자율공시)              (제17회차 CB)</t>
        </is>
      </c>
      <c r="F12074" s="3" t="inlineStr">
        <is>
          <t>비트플래닛</t>
        </is>
      </c>
      <c r="G12074" s="2" t="inlineStr">
        <is>
          <t>20260619900978</t>
        </is>
      </c>
      <c r="H12074" s="8">
        <f>HYPERLINK("https://dart.fss.or.kr/dsaf001/main.do?rcpNo=20260619900978", "공시열람")</f>
        <v/>
      </c>
    </row>
    <row r="12075">
      <c r="A12075" s="2" t="inlineStr">
        <is>
          <t>2026-06-19</t>
        </is>
      </c>
      <c r="B12075" s="3" t="inlineStr">
        <is>
          <t>차AI헬스케어</t>
        </is>
      </c>
      <c r="C12075" s="2" t="inlineStr">
        <is>
          <t>코스피</t>
        </is>
      </c>
      <c r="D12075" s="2" t="inlineStr">
        <is>
          <t>025620</t>
        </is>
      </c>
      <c r="E12075" s="3" t="inlineStr">
        <is>
          <t xml:space="preserve">유상증자또는주식관련사채등의발행결과(자율공시)              </t>
        </is>
      </c>
      <c r="F12075" s="3" t="inlineStr">
        <is>
          <t>차AI헬스케어</t>
        </is>
      </c>
      <c r="G12075" s="2" t="inlineStr">
        <is>
          <t>20260619800974</t>
        </is>
      </c>
      <c r="H12075" s="8">
        <f>HYPERLINK("https://dart.fss.or.kr/dsaf001/main.do?rcpNo=20260619800974", "공시열람")</f>
        <v/>
      </c>
    </row>
    <row r="12076">
      <c r="A12076" s="2" t="inlineStr">
        <is>
          <t>2026-06-19</t>
        </is>
      </c>
      <c r="B12076" s="3" t="inlineStr">
        <is>
          <t>대동기어</t>
        </is>
      </c>
      <c r="C12076" s="2" t="inlineStr">
        <is>
          <t>코스닥</t>
        </is>
      </c>
      <c r="D12076" s="2" t="inlineStr">
        <is>
          <t>008830</t>
        </is>
      </c>
      <c r="E12076" s="3" t="inlineStr">
        <is>
          <t xml:space="preserve">조회공시요구(현저한시황변동)              </t>
        </is>
      </c>
      <c r="F12076" s="3" t="inlineStr">
        <is>
          <t>코스닥시장본부</t>
        </is>
      </c>
      <c r="G12076" s="2" t="inlineStr">
        <is>
          <t>20260619900979</t>
        </is>
      </c>
      <c r="H12076" s="8">
        <f>HYPERLINK("https://dart.fss.or.kr/dsaf001/main.do?rcpNo=20260619900979", "공시열람")</f>
        <v/>
      </c>
    </row>
    <row r="12077">
      <c r="A12077" s="2" t="inlineStr">
        <is>
          <t>2026-06-19</t>
        </is>
      </c>
      <c r="B12077" s="3" t="inlineStr">
        <is>
          <t>웅진</t>
        </is>
      </c>
      <c r="C12077" s="2" t="inlineStr">
        <is>
          <t>코스피</t>
        </is>
      </c>
      <c r="D12077" s="2" t="inlineStr">
        <is>
          <t>016880</t>
        </is>
      </c>
      <c r="E12077" s="3" t="inlineStr">
        <is>
          <t xml:space="preserve">파산선고(자회사의 주요경영사항)              </t>
        </is>
      </c>
      <c r="F12077" s="3" t="inlineStr">
        <is>
          <t>웅진</t>
        </is>
      </c>
      <c r="G12077" s="2" t="inlineStr">
        <is>
          <t>20260619800957</t>
        </is>
      </c>
      <c r="H12077" s="8">
        <f>HYPERLINK("https://dart.fss.or.kr/dsaf001/main.do?rcpNo=20260619800957", "공시열람")</f>
        <v/>
      </c>
    </row>
    <row r="12078">
      <c r="A12078" s="2" t="inlineStr">
        <is>
          <t>2026-06-19</t>
        </is>
      </c>
      <c r="B12078" s="3" t="inlineStr">
        <is>
          <t>강동씨앤엘</t>
        </is>
      </c>
      <c r="C12078" s="2" t="inlineStr">
        <is>
          <t>코스닥</t>
        </is>
      </c>
      <c r="D12078" s="2" t="inlineStr">
        <is>
          <t>198440</t>
        </is>
      </c>
      <c r="E12078" s="3" t="inlineStr">
        <is>
          <t xml:space="preserve">조회공시요구(현저한시황변동)              </t>
        </is>
      </c>
      <c r="F12078" s="3" t="inlineStr">
        <is>
          <t>코스닥시장본부</t>
        </is>
      </c>
      <c r="G12078" s="2" t="inlineStr">
        <is>
          <t>20260619900969</t>
        </is>
      </c>
      <c r="H12078" s="8">
        <f>HYPERLINK("https://dart.fss.or.kr/dsaf001/main.do?rcpNo=20260619900969", "공시열람")</f>
        <v/>
      </c>
    </row>
    <row r="12079">
      <c r="A12079" s="2" t="inlineStr">
        <is>
          <t>2026-06-19</t>
        </is>
      </c>
      <c r="B12079" s="3" t="inlineStr">
        <is>
          <t>카카오게임즈</t>
        </is>
      </c>
      <c r="C12079" s="2" t="inlineStr">
        <is>
          <t>코스닥</t>
        </is>
      </c>
      <c r="D12079" s="2" t="inlineStr">
        <is>
          <t>293490</t>
        </is>
      </c>
      <c r="E12079" s="3" t="inlineStr">
        <is>
          <t xml:space="preserve">증권발행결과(자율공시)              </t>
        </is>
      </c>
      <c r="F12079" s="3" t="inlineStr">
        <is>
          <t>카카오게임즈</t>
        </is>
      </c>
      <c r="G12079" s="2" t="inlineStr">
        <is>
          <t>20260619900967</t>
        </is>
      </c>
      <c r="H12079" s="8">
        <f>HYPERLINK("https://dart.fss.or.kr/dsaf001/main.do?rcpNo=20260619900967", "공시열람")</f>
        <v/>
      </c>
    </row>
    <row r="12080">
      <c r="A12080" s="2" t="inlineStr">
        <is>
          <t>2026-06-19</t>
        </is>
      </c>
      <c r="B12080" s="3" t="inlineStr">
        <is>
          <t>카카오게임즈</t>
        </is>
      </c>
      <c r="C12080" s="2" t="inlineStr">
        <is>
          <t>코스닥</t>
        </is>
      </c>
      <c r="D12080" s="2" t="inlineStr">
        <is>
          <t>293490</t>
        </is>
      </c>
      <c r="E12080" s="3" t="inlineStr">
        <is>
          <t xml:space="preserve">증권발행결과(자율공시)              </t>
        </is>
      </c>
      <c r="F12080" s="3" t="inlineStr">
        <is>
          <t>카카오게임즈</t>
        </is>
      </c>
      <c r="G12080" s="2" t="inlineStr">
        <is>
          <t>20260619900965</t>
        </is>
      </c>
      <c r="H12080" s="8">
        <f>HYPERLINK("https://dart.fss.or.kr/dsaf001/main.do?rcpNo=20260619900965", "공시열람")</f>
        <v/>
      </c>
    </row>
    <row r="12081">
      <c r="A12081" s="2" t="inlineStr">
        <is>
          <t>2026-06-19</t>
        </is>
      </c>
      <c r="B12081" s="3" t="inlineStr">
        <is>
          <t>서울도시가스</t>
        </is>
      </c>
      <c r="C12081" s="2" t="inlineStr">
        <is>
          <t>코스피</t>
        </is>
      </c>
      <c r="D12081" s="2" t="inlineStr">
        <is>
          <t>017390</t>
        </is>
      </c>
      <c r="E12081" s="3" t="inlineStr">
        <is>
          <t>임원ㆍ주요주주특정증권등소유상황보고서</t>
        </is>
      </c>
      <c r="F12081" s="3" t="inlineStr">
        <is>
          <t>신영호</t>
        </is>
      </c>
      <c r="G12081" s="2" t="inlineStr">
        <is>
          <t>20260619000643</t>
        </is>
      </c>
      <c r="H12081" s="8">
        <f>HYPERLINK("https://dart.fss.or.kr/dsaf001/main.do?rcpNo=20260619000643", "공시열람")</f>
        <v/>
      </c>
    </row>
    <row r="12082">
      <c r="A12082" s="2" t="inlineStr">
        <is>
          <t>2026-06-19</t>
        </is>
      </c>
      <c r="B12082" s="3" t="inlineStr">
        <is>
          <t>인텍플러스</t>
        </is>
      </c>
      <c r="C12082" s="2" t="inlineStr">
        <is>
          <t>코스닥</t>
        </is>
      </c>
      <c r="D12082" s="2" t="inlineStr">
        <is>
          <t>064290</t>
        </is>
      </c>
      <c r="E12082" s="3" t="inlineStr">
        <is>
          <t xml:space="preserve">교환청구권행사              </t>
        </is>
      </c>
      <c r="F12082" s="3" t="inlineStr">
        <is>
          <t>인텍플러스</t>
        </is>
      </c>
      <c r="G12082" s="2" t="inlineStr">
        <is>
          <t>20260619900960</t>
        </is>
      </c>
      <c r="H12082" s="8">
        <f>HYPERLINK("https://dart.fss.or.kr/dsaf001/main.do?rcpNo=20260619900960", "공시열람")</f>
        <v/>
      </c>
    </row>
    <row r="12083">
      <c r="A12083" s="2" t="inlineStr">
        <is>
          <t>2026-06-19</t>
        </is>
      </c>
      <c r="B12083" s="3" t="inlineStr">
        <is>
          <t>동원금속</t>
        </is>
      </c>
      <c r="C12083" s="2" t="inlineStr">
        <is>
          <t>코스피</t>
        </is>
      </c>
      <c r="D12083" s="2" t="inlineStr">
        <is>
          <t>018500</t>
        </is>
      </c>
      <c r="E12083" s="3" t="inlineStr">
        <is>
          <t xml:space="preserve">매출액또는손익구조30%(대규모법인은15%)이상변경              </t>
        </is>
      </c>
      <c r="F12083" s="3" t="inlineStr">
        <is>
          <t>동원금속</t>
        </is>
      </c>
      <c r="G12083" s="2" t="inlineStr">
        <is>
          <t>20260619800917</t>
        </is>
      </c>
      <c r="H12083" s="8">
        <f>HYPERLINK("https://dart.fss.or.kr/dsaf001/main.do?rcpNo=20260619800917", "공시열람")</f>
        <v/>
      </c>
    </row>
    <row r="12084">
      <c r="A12084" s="2" t="inlineStr">
        <is>
          <t>2026-06-19</t>
        </is>
      </c>
      <c r="B12084" s="3" t="inlineStr">
        <is>
          <t>씨아이테크</t>
        </is>
      </c>
      <c r="C12084" s="2" t="inlineStr">
        <is>
          <t>코스피</t>
        </is>
      </c>
      <c r="D12084" s="2" t="inlineStr">
        <is>
          <t>004920</t>
        </is>
      </c>
      <c r="E12084" s="3" t="inlineStr">
        <is>
          <t>자기주식취득결과보고서</t>
        </is>
      </c>
      <c r="F12084" s="3" t="inlineStr">
        <is>
          <t>씨아이테크</t>
        </is>
      </c>
      <c r="G12084" s="2" t="inlineStr">
        <is>
          <t>20260619000638</t>
        </is>
      </c>
      <c r="H12084" s="8">
        <f>HYPERLINK("https://dart.fss.or.kr/dsaf001/main.do?rcpNo=20260619000638", "공시열람")</f>
        <v/>
      </c>
    </row>
    <row r="12085">
      <c r="A12085" s="2" t="inlineStr">
        <is>
          <t>2026-06-19</t>
        </is>
      </c>
      <c r="B12085" s="3" t="inlineStr">
        <is>
          <t>경인전자</t>
        </is>
      </c>
      <c r="C12085" s="2" t="inlineStr">
        <is>
          <t>코스피</t>
        </is>
      </c>
      <c r="D12085" s="2" t="inlineStr">
        <is>
          <t>009140</t>
        </is>
      </c>
      <c r="E12085" s="3" t="inlineStr">
        <is>
          <t>주요사항보고서(유형자산양수결정)</t>
        </is>
      </c>
      <c r="F12085" s="3" t="inlineStr">
        <is>
          <t>경인전자</t>
        </is>
      </c>
      <c r="G12085" s="2" t="inlineStr">
        <is>
          <t>20260619000623</t>
        </is>
      </c>
      <c r="H12085" s="8">
        <f>HYPERLINK("https://dart.fss.or.kr/dsaf001/main.do?rcpNo=20260619000623", "공시열람")</f>
        <v/>
      </c>
    </row>
    <row r="12086">
      <c r="A12086" s="2" t="inlineStr">
        <is>
          <t>2026-06-19</t>
        </is>
      </c>
      <c r="B12086" s="3" t="inlineStr">
        <is>
          <t>남해화학</t>
        </is>
      </c>
      <c r="C12086" s="2" t="inlineStr">
        <is>
          <t>코스피</t>
        </is>
      </c>
      <c r="D12086" s="2" t="inlineStr">
        <is>
          <t>025860</t>
        </is>
      </c>
      <c r="E12086" s="3" t="inlineStr">
        <is>
          <t>특수관계인과의내부거래</t>
        </is>
      </c>
      <c r="F12086" s="3" t="inlineStr">
        <is>
          <t>남해화학</t>
        </is>
      </c>
      <c r="G12086" s="2" t="inlineStr">
        <is>
          <t>20260619000634</t>
        </is>
      </c>
      <c r="H12086" s="8">
        <f>HYPERLINK("https://dart.fss.or.kr/dsaf001/main.do?rcpNo=20260619000634", "공시열람")</f>
        <v/>
      </c>
    </row>
    <row r="12087">
      <c r="A12087" s="2" t="inlineStr">
        <is>
          <t>2026-06-19 (정정: 2026-06-25)</t>
        </is>
      </c>
      <c r="B12087" s="3" t="inlineStr">
        <is>
          <t>종근당홀딩스</t>
        </is>
      </c>
      <c r="C12087" s="2" t="inlineStr">
        <is>
          <t>코스피</t>
        </is>
      </c>
      <c r="D12087" s="2" t="inlineStr">
        <is>
          <t>001630</t>
        </is>
      </c>
      <c r="E12087" s="3" t="inlineStr">
        <is>
          <t>증권신고서(채무증권) (정정: 20260625)</t>
        </is>
      </c>
      <c r="F12087" s="3" t="inlineStr">
        <is>
          <t>종근당홀딩스</t>
        </is>
      </c>
      <c r="G12087" s="2" t="inlineStr">
        <is>
          <t>20260625000581</t>
        </is>
      </c>
      <c r="H12087" s="8">
        <f>HYPERLINK("https://dart.fss.or.kr/dsaf001/main.do?rcpNo=20260625000581", "공시열람")</f>
        <v/>
      </c>
    </row>
    <row r="12088">
      <c r="A12088" s="2" t="inlineStr">
        <is>
          <t>2026-06-19</t>
        </is>
      </c>
      <c r="B12088" s="3" t="inlineStr">
        <is>
          <t>상지건설</t>
        </is>
      </c>
      <c r="C12088" s="2" t="inlineStr">
        <is>
          <t>코스닥</t>
        </is>
      </c>
      <c r="D12088" s="2" t="inlineStr">
        <is>
          <t>042940</t>
        </is>
      </c>
      <c r="E12088" s="3" t="inlineStr">
        <is>
          <t>정정신고서제출요구( 2026.06.05. 제출 증권신고서(지분증권) )</t>
        </is>
      </c>
      <c r="F12088" s="3" t="inlineStr">
        <is>
          <t>금융감독원</t>
        </is>
      </c>
      <c r="G12088" s="2" t="inlineStr">
        <is>
          <t>20260619100004</t>
        </is>
      </c>
      <c r="H12088" s="8">
        <f>HYPERLINK("https://dart.fss.or.kr/dsaf001/main.do?rcpNo=20260619100004", "공시열람")</f>
        <v/>
      </c>
    </row>
    <row r="12089">
      <c r="A12089" s="2" t="inlineStr">
        <is>
          <t>2026-06-19 (정정: 2026-06-24)</t>
        </is>
      </c>
      <c r="B12089" s="3" t="inlineStr">
        <is>
          <t>케이지에이</t>
        </is>
      </c>
      <c r="C12089" s="2" t="inlineStr">
        <is>
          <t>코스닥</t>
        </is>
      </c>
      <c r="D12089" s="2" t="inlineStr">
        <is>
          <t>455180</t>
        </is>
      </c>
      <c r="E12089" s="3" t="inlineStr">
        <is>
          <t>소액공모공시서류(지분증권) (정정: 20260622) (정정: 20260624)</t>
        </is>
      </c>
      <c r="F12089" s="3" t="inlineStr">
        <is>
          <t>케이지에이</t>
        </is>
      </c>
      <c r="G12089" s="2" t="inlineStr">
        <is>
          <t>20260624000381</t>
        </is>
      </c>
      <c r="H12089" s="8">
        <f>HYPERLINK("https://dart.fss.or.kr/dsaf001/main.do?rcpNo=20260624000381", "공시열람")</f>
        <v/>
      </c>
    </row>
    <row r="12090">
      <c r="A12090" s="2" t="inlineStr">
        <is>
          <t>2026-06-19</t>
        </is>
      </c>
      <c r="B12090" s="3" t="inlineStr">
        <is>
          <t>CNT85</t>
        </is>
      </c>
      <c r="C12090" s="2" t="inlineStr">
        <is>
          <t>코스닥</t>
        </is>
      </c>
      <c r="D12090" s="2" t="inlineStr">
        <is>
          <t>056730</t>
        </is>
      </c>
      <c r="E12090" s="3" t="inlineStr">
        <is>
          <t>사외이사의선임ㆍ해임또는중도퇴임에관한신고</t>
        </is>
      </c>
      <c r="F12090" s="3" t="inlineStr">
        <is>
          <t>CNT85</t>
        </is>
      </c>
      <c r="G12090" s="2" t="inlineStr">
        <is>
          <t>20260619000621</t>
        </is>
      </c>
      <c r="H12090" s="8">
        <f>HYPERLINK("https://dart.fss.or.kr/dsaf001/main.do?rcpNo=20260619000621", "공시열람")</f>
        <v/>
      </c>
    </row>
    <row r="12091">
      <c r="A12091" s="2" t="inlineStr">
        <is>
          <t>2026-06-19</t>
        </is>
      </c>
      <c r="B12091" s="3" t="inlineStr">
        <is>
          <t>LB세미콘</t>
        </is>
      </c>
      <c r="C12091" s="2" t="inlineStr">
        <is>
          <t>코스닥</t>
        </is>
      </c>
      <c r="D12091" s="2" t="inlineStr">
        <is>
          <t>061970</t>
        </is>
      </c>
      <c r="E12091" s="3" t="inlineStr">
        <is>
          <t>임원ㆍ주요주주특정증권등거래계획보고서</t>
        </is>
      </c>
      <c r="F12091" s="3" t="inlineStr">
        <is>
          <t>LAPISSemiconductorCo.,Ltd.</t>
        </is>
      </c>
      <c r="G12091" s="2" t="inlineStr">
        <is>
          <t>20260619000618</t>
        </is>
      </c>
      <c r="H12091" s="8">
        <f>HYPERLINK("https://dart.fss.or.kr/dsaf001/main.do?rcpNo=20260619000618", "공시열람")</f>
        <v/>
      </c>
    </row>
    <row r="12092">
      <c r="A12092" s="2" t="inlineStr">
        <is>
          <t>2026-06-19</t>
        </is>
      </c>
      <c r="B12092" s="3" t="inlineStr">
        <is>
          <t>한국캐피탈</t>
        </is>
      </c>
      <c r="C12092" s="2" t="inlineStr">
        <is>
          <t>코스닥</t>
        </is>
      </c>
      <c r="D12092" s="2" t="inlineStr">
        <is>
          <t>023760</t>
        </is>
      </c>
      <c r="E12092" s="3" t="inlineStr">
        <is>
          <t>투자설명서(일괄신고)</t>
        </is>
      </c>
      <c r="F12092" s="3" t="inlineStr">
        <is>
          <t>한국캐피탈</t>
        </is>
      </c>
      <c r="G12092" s="2" t="inlineStr">
        <is>
          <t>20260619000616</t>
        </is>
      </c>
      <c r="H12092" s="8">
        <f>HYPERLINK("https://dart.fss.or.kr/dsaf001/main.do?rcpNo=20260619000616", "공시열람")</f>
        <v/>
      </c>
    </row>
    <row r="12093">
      <c r="A12093" s="2" t="inlineStr">
        <is>
          <t>2026-06-19</t>
        </is>
      </c>
      <c r="B12093" s="3" t="inlineStr">
        <is>
          <t>키움증권</t>
        </is>
      </c>
      <c r="C12093" s="2" t="inlineStr">
        <is>
          <t>코스피</t>
        </is>
      </c>
      <c r="D12093" s="2" t="inlineStr">
        <is>
          <t>039490</t>
        </is>
      </c>
      <c r="E12093" s="3" t="inlineStr">
        <is>
          <t>증권발행실적보고서</t>
        </is>
      </c>
      <c r="F12093" s="3" t="inlineStr">
        <is>
          <t>키움증권</t>
        </is>
      </c>
      <c r="G12093" s="2" t="inlineStr">
        <is>
          <t>20260619000615</t>
        </is>
      </c>
      <c r="H12093" s="8">
        <f>HYPERLINK("https://dart.fss.or.kr/dsaf001/main.do?rcpNo=20260619000615", "공시열람")</f>
        <v/>
      </c>
    </row>
    <row r="12094">
      <c r="A12094" s="2" t="inlineStr">
        <is>
          <t>2026-06-19</t>
        </is>
      </c>
      <c r="B12094" s="3" t="inlineStr">
        <is>
          <t>한국캐피탈</t>
        </is>
      </c>
      <c r="C12094" s="2" t="inlineStr">
        <is>
          <t>코스닥</t>
        </is>
      </c>
      <c r="D12094" s="2" t="inlineStr">
        <is>
          <t>023760</t>
        </is>
      </c>
      <c r="E12094" s="3" t="inlineStr">
        <is>
          <t>일괄신고추가서류</t>
        </is>
      </c>
      <c r="F12094" s="3" t="inlineStr">
        <is>
          <t>한국캐피탈</t>
        </is>
      </c>
      <c r="G12094" s="2" t="inlineStr">
        <is>
          <t>20260619000614</t>
        </is>
      </c>
      <c r="H12094" s="8">
        <f>HYPERLINK("https://dart.fss.or.kr/dsaf001/main.do?rcpNo=20260619000614", "공시열람")</f>
        <v/>
      </c>
    </row>
    <row r="12095">
      <c r="A12095" s="2" t="inlineStr">
        <is>
          <t>2026-06-19</t>
        </is>
      </c>
      <c r="B12095" s="3" t="inlineStr">
        <is>
          <t>SK증권</t>
        </is>
      </c>
      <c r="C12095" s="2" t="inlineStr">
        <is>
          <t>코스피</t>
        </is>
      </c>
      <c r="D12095" s="2" t="inlineStr">
        <is>
          <t>001510</t>
        </is>
      </c>
      <c r="E12095" s="3" t="inlineStr">
        <is>
          <t>투자설명서(일괄신고)</t>
        </is>
      </c>
      <c r="F12095" s="3" t="inlineStr">
        <is>
          <t>SK증권</t>
        </is>
      </c>
      <c r="G12095" s="2" t="inlineStr">
        <is>
          <t>20260619000612</t>
        </is>
      </c>
      <c r="H12095" s="8">
        <f>HYPERLINK("https://dart.fss.or.kr/dsaf001/main.do?rcpNo=20260619000612", "공시열람")</f>
        <v/>
      </c>
    </row>
    <row r="12096">
      <c r="A12096" s="2" t="inlineStr">
        <is>
          <t>2026-06-19</t>
        </is>
      </c>
      <c r="B12096" s="3" t="inlineStr">
        <is>
          <t>대우건설</t>
        </is>
      </c>
      <c r="C12096" s="2" t="inlineStr">
        <is>
          <t>코스피</t>
        </is>
      </c>
      <c r="D12096" s="2" t="inlineStr">
        <is>
          <t>047040</t>
        </is>
      </c>
      <c r="E12096" s="3" t="inlineStr">
        <is>
          <t xml:space="preserve">소송등의판결ㆍ결정(일정금액이상의청구)              </t>
        </is>
      </c>
      <c r="F12096" s="3" t="inlineStr">
        <is>
          <t>대우건설</t>
        </is>
      </c>
      <c r="G12096" s="2" t="inlineStr">
        <is>
          <t>20260619800887</t>
        </is>
      </c>
      <c r="H12096" s="8">
        <f>HYPERLINK("https://dart.fss.or.kr/dsaf001/main.do?rcpNo=20260619800887", "공시열람")</f>
        <v/>
      </c>
    </row>
    <row r="12097">
      <c r="A12097" s="2" t="inlineStr">
        <is>
          <t>2026-06-19</t>
        </is>
      </c>
      <c r="B12097" s="3" t="inlineStr">
        <is>
          <t>키움증권</t>
        </is>
      </c>
      <c r="C12097" s="2" t="inlineStr">
        <is>
          <t>코스피</t>
        </is>
      </c>
      <c r="D12097" s="2" t="inlineStr">
        <is>
          <t>039490</t>
        </is>
      </c>
      <c r="E12097" s="3" t="inlineStr">
        <is>
          <t>증권발행실적보고서</t>
        </is>
      </c>
      <c r="F12097" s="3" t="inlineStr">
        <is>
          <t>키움증권</t>
        </is>
      </c>
      <c r="G12097" s="2" t="inlineStr">
        <is>
          <t>20260619000610</t>
        </is>
      </c>
      <c r="H12097" s="8">
        <f>HYPERLINK("https://dart.fss.or.kr/dsaf001/main.do?rcpNo=20260619000610", "공시열람")</f>
        <v/>
      </c>
    </row>
    <row r="12098">
      <c r="A12098" s="2" t="inlineStr">
        <is>
          <t>2026-06-19</t>
        </is>
      </c>
      <c r="B12098" s="3" t="inlineStr">
        <is>
          <t>블루산업개발</t>
        </is>
      </c>
      <c r="C12098" s="2" t="inlineStr">
        <is>
          <t>코스피</t>
        </is>
      </c>
      <c r="D12098" s="2" t="inlineStr">
        <is>
          <t>006740</t>
        </is>
      </c>
      <c r="E12098" s="3" t="inlineStr">
        <is>
          <t xml:space="preserve">타법인주식및출자증권취득결정              </t>
        </is>
      </c>
      <c r="F12098" s="3" t="inlineStr">
        <is>
          <t>블루산업개발</t>
        </is>
      </c>
      <c r="G12098" s="2" t="inlineStr">
        <is>
          <t>20260619800870</t>
        </is>
      </c>
      <c r="H12098" s="8">
        <f>HYPERLINK("https://dart.fss.or.kr/dsaf001/main.do?rcpNo=20260619800870", "공시열람")</f>
        <v/>
      </c>
    </row>
    <row r="12099">
      <c r="A12099" s="2" t="inlineStr">
        <is>
          <t>2026-06-19</t>
        </is>
      </c>
      <c r="B12099" s="3" t="inlineStr">
        <is>
          <t>블루산업개발</t>
        </is>
      </c>
      <c r="C12099" s="2" t="inlineStr">
        <is>
          <t>코스피</t>
        </is>
      </c>
      <c r="D12099" s="2" t="inlineStr">
        <is>
          <t>006740</t>
        </is>
      </c>
      <c r="E12099" s="3" t="inlineStr">
        <is>
          <t xml:space="preserve">타법인주식및출자증권취득결정              </t>
        </is>
      </c>
      <c r="F12099" s="3" t="inlineStr">
        <is>
          <t>블루산업개발</t>
        </is>
      </c>
      <c r="G12099" s="2" t="inlineStr">
        <is>
          <t>20260619800866</t>
        </is>
      </c>
      <c r="H12099" s="8">
        <f>HYPERLINK("https://dart.fss.or.kr/dsaf001/main.do?rcpNo=20260619800866", "공시열람")</f>
        <v/>
      </c>
    </row>
    <row r="12100">
      <c r="A12100" s="2" t="inlineStr">
        <is>
          <t>2026-06-19</t>
        </is>
      </c>
      <c r="B12100" s="3" t="inlineStr">
        <is>
          <t>대신증권</t>
        </is>
      </c>
      <c r="C12100" s="2" t="inlineStr">
        <is>
          <t>코스피</t>
        </is>
      </c>
      <c r="D12100" s="2" t="inlineStr">
        <is>
          <t>003540</t>
        </is>
      </c>
      <c r="E12100" s="3" t="inlineStr">
        <is>
          <t>주요사항보고서(자기주식처분결정)</t>
        </is>
      </c>
      <c r="F12100" s="3" t="inlineStr">
        <is>
          <t>대신증권</t>
        </is>
      </c>
      <c r="G12100" s="2" t="inlineStr">
        <is>
          <t>20260619000574</t>
        </is>
      </c>
      <c r="H12100" s="8">
        <f>HYPERLINK("https://dart.fss.or.kr/dsaf001/main.do?rcpNo=20260619000574", "공시열람")</f>
        <v/>
      </c>
    </row>
    <row r="12101">
      <c r="A12101" s="2" t="inlineStr">
        <is>
          <t>2026-06-19</t>
        </is>
      </c>
      <c r="B12101" s="3" t="inlineStr">
        <is>
          <t>에코글로우</t>
        </is>
      </c>
      <c r="C12101" s="2" t="inlineStr">
        <is>
          <t>코스닥</t>
        </is>
      </c>
      <c r="D12101" s="2" t="inlineStr">
        <is>
          <t>159910</t>
        </is>
      </c>
      <c r="E12101" s="3" t="inlineStr">
        <is>
          <t>전환가액의조정              (제13회차)</t>
        </is>
      </c>
      <c r="F12101" s="3" t="inlineStr">
        <is>
          <t>에코글로우</t>
        </is>
      </c>
      <c r="G12101" s="2" t="inlineStr">
        <is>
          <t>20260619900755</t>
        </is>
      </c>
      <c r="H12101" s="8">
        <f>HYPERLINK("https://dart.fss.or.kr/dsaf001/main.do?rcpNo=20260619900755", "공시열람")</f>
        <v/>
      </c>
    </row>
    <row r="12102">
      <c r="A12102" s="2" t="inlineStr">
        <is>
          <t>2026-06-19</t>
        </is>
      </c>
      <c r="B12102" s="3" t="inlineStr">
        <is>
          <t>한화투자증권</t>
        </is>
      </c>
      <c r="C12102" s="2" t="inlineStr">
        <is>
          <t>코스피</t>
        </is>
      </c>
      <c r="D12102" s="2" t="inlineStr">
        <is>
          <t>003530</t>
        </is>
      </c>
      <c r="E12102" s="3" t="inlineStr">
        <is>
          <t>증권발행실적보고서</t>
        </is>
      </c>
      <c r="F12102" s="3" t="inlineStr">
        <is>
          <t>한화투자증권</t>
        </is>
      </c>
      <c r="G12102" s="2" t="inlineStr">
        <is>
          <t>20260619000606</t>
        </is>
      </c>
      <c r="H12102" s="8">
        <f>HYPERLINK("https://dart.fss.or.kr/dsaf001/main.do?rcpNo=20260619000606", "공시열람")</f>
        <v/>
      </c>
    </row>
    <row r="12103">
      <c r="A12103" s="2" t="inlineStr">
        <is>
          <t>2026-06-19</t>
        </is>
      </c>
      <c r="B12103" s="3" t="inlineStr">
        <is>
          <t>SK증권</t>
        </is>
      </c>
      <c r="C12103" s="2" t="inlineStr">
        <is>
          <t>코스피</t>
        </is>
      </c>
      <c r="D12103" s="2" t="inlineStr">
        <is>
          <t>001510</t>
        </is>
      </c>
      <c r="E12103" s="3" t="inlineStr">
        <is>
          <t>일괄신고추가서류(파생결합사채-주가연계파생결합사채)</t>
        </is>
      </c>
      <c r="F12103" s="3" t="inlineStr">
        <is>
          <t>SK증권</t>
        </is>
      </c>
      <c r="G12103" s="2" t="inlineStr">
        <is>
          <t>20260619000604</t>
        </is>
      </c>
      <c r="H12103" s="8">
        <f>HYPERLINK("https://dart.fss.or.kr/dsaf001/main.do?rcpNo=20260619000604", "공시열람")</f>
        <v/>
      </c>
    </row>
    <row r="12104">
      <c r="A12104" s="2" t="inlineStr">
        <is>
          <t>2026-06-19</t>
        </is>
      </c>
      <c r="B12104" s="3" t="inlineStr">
        <is>
          <t>한화투자증권</t>
        </is>
      </c>
      <c r="C12104" s="2" t="inlineStr">
        <is>
          <t>코스피</t>
        </is>
      </c>
      <c r="D12104" s="2" t="inlineStr">
        <is>
          <t>003530</t>
        </is>
      </c>
      <c r="E12104" s="3" t="inlineStr">
        <is>
          <t>투자설명서(일괄신고)</t>
        </is>
      </c>
      <c r="F12104" s="3" t="inlineStr">
        <is>
          <t>한화투자증권</t>
        </is>
      </c>
      <c r="G12104" s="2" t="inlineStr">
        <is>
          <t>20260619000602</t>
        </is>
      </c>
      <c r="H12104" s="8">
        <f>HYPERLINK("https://dart.fss.or.kr/dsaf001/main.do?rcpNo=20260619000602", "공시열람")</f>
        <v/>
      </c>
    </row>
    <row r="12105">
      <c r="A12105" s="2" t="inlineStr">
        <is>
          <t>2026-06-19</t>
        </is>
      </c>
      <c r="B12105" s="3" t="inlineStr">
        <is>
          <t>한화투자증권</t>
        </is>
      </c>
      <c r="C12105" s="2" t="inlineStr">
        <is>
          <t>코스피</t>
        </is>
      </c>
      <c r="D12105" s="2" t="inlineStr">
        <is>
          <t>003530</t>
        </is>
      </c>
      <c r="E12105" s="3" t="inlineStr">
        <is>
          <t>투자설명서(일괄신고)</t>
        </is>
      </c>
      <c r="F12105" s="3" t="inlineStr">
        <is>
          <t>한화투자증권</t>
        </is>
      </c>
      <c r="G12105" s="2" t="inlineStr">
        <is>
          <t>20260619000599</t>
        </is>
      </c>
      <c r="H12105" s="8">
        <f>HYPERLINK("https://dart.fss.or.kr/dsaf001/main.do?rcpNo=20260619000599", "공시열람")</f>
        <v/>
      </c>
    </row>
    <row r="12106">
      <c r="A12106" s="2" t="inlineStr">
        <is>
          <t>2026-06-19</t>
        </is>
      </c>
      <c r="B12106" s="3" t="inlineStr">
        <is>
          <t>세아제강</t>
        </is>
      </c>
      <c r="C12106" s="2" t="inlineStr">
        <is>
          <t>코스피</t>
        </is>
      </c>
      <c r="D12106" s="2" t="inlineStr">
        <is>
          <t>306200</t>
        </is>
      </c>
      <c r="E12106" s="3" t="inlineStr">
        <is>
          <t>[발행조건확정]증권신고서(채무증권)</t>
        </is>
      </c>
      <c r="F12106" s="3" t="inlineStr">
        <is>
          <t>세아제강</t>
        </is>
      </c>
      <c r="G12106" s="2" t="inlineStr">
        <is>
          <t>20260619000598</t>
        </is>
      </c>
      <c r="H12106" s="8">
        <f>HYPERLINK("https://dart.fss.or.kr/dsaf001/main.do?rcpNo=20260619000598", "공시열람")</f>
        <v/>
      </c>
    </row>
    <row r="12107">
      <c r="A12107" s="2" t="inlineStr">
        <is>
          <t>2026-06-19</t>
        </is>
      </c>
      <c r="B12107" s="3" t="inlineStr">
        <is>
          <t>한화투자증권</t>
        </is>
      </c>
      <c r="C12107" s="2" t="inlineStr">
        <is>
          <t>코스피</t>
        </is>
      </c>
      <c r="D12107" s="2" t="inlineStr">
        <is>
          <t>003530</t>
        </is>
      </c>
      <c r="E12107" s="3" t="inlineStr">
        <is>
          <t>일괄신고추가서류(파생결합증권-주가연계증권)</t>
        </is>
      </c>
      <c r="F12107" s="3" t="inlineStr">
        <is>
          <t>한화투자증권</t>
        </is>
      </c>
      <c r="G12107" s="2" t="inlineStr">
        <is>
          <t>20260619000595</t>
        </is>
      </c>
      <c r="H12107" s="8">
        <f>HYPERLINK("https://dart.fss.or.kr/dsaf001/main.do?rcpNo=20260619000595", "공시열람")</f>
        <v/>
      </c>
    </row>
    <row r="12108">
      <c r="A12108" s="2" t="inlineStr">
        <is>
          <t>2026-06-19</t>
        </is>
      </c>
      <c r="B12108" s="3" t="inlineStr">
        <is>
          <t>벨로크</t>
        </is>
      </c>
      <c r="C12108" s="2" t="inlineStr">
        <is>
          <t>코스닥</t>
        </is>
      </c>
      <c r="D12108" s="2" t="inlineStr">
        <is>
          <t>424760</t>
        </is>
      </c>
      <c r="E12108" s="3" t="inlineStr">
        <is>
          <t xml:space="preserve">조회공시요구(현저한시황변동)에대한답변(미확정)              </t>
        </is>
      </c>
      <c r="F12108" s="3" t="inlineStr">
        <is>
          <t>벨로크</t>
        </is>
      </c>
      <c r="G12108" s="2" t="inlineStr">
        <is>
          <t>20260619900858</t>
        </is>
      </c>
      <c r="H12108" s="8">
        <f>HYPERLINK("https://dart.fss.or.kr/dsaf001/main.do?rcpNo=20260619900858", "공시열람")</f>
        <v/>
      </c>
    </row>
    <row r="12109">
      <c r="A12109" s="2" t="inlineStr">
        <is>
          <t>2026-06-19</t>
        </is>
      </c>
      <c r="B12109" s="3" t="inlineStr">
        <is>
          <t>휴온스글로벌</t>
        </is>
      </c>
      <c r="C12109" s="2" t="inlineStr">
        <is>
          <t>코스닥</t>
        </is>
      </c>
      <c r="D12109" s="2" t="inlineStr">
        <is>
          <t>084110</t>
        </is>
      </c>
      <c r="E12109" s="3" t="inlineStr">
        <is>
          <t>의결권대리행사권유참고서류</t>
        </is>
      </c>
      <c r="F12109" s="3" t="inlineStr">
        <is>
          <t>이서영</t>
        </is>
      </c>
      <c r="G12109" s="2" t="inlineStr">
        <is>
          <t>20260619000591</t>
        </is>
      </c>
      <c r="H12109" s="8">
        <f>HYPERLINK("https://dart.fss.or.kr/dsaf001/main.do?rcpNo=20260619000591", "공시열람")</f>
        <v/>
      </c>
    </row>
    <row r="12110">
      <c r="A12110" s="2" t="inlineStr">
        <is>
          <t>2026-06-19</t>
        </is>
      </c>
      <c r="B12110" s="3" t="inlineStr">
        <is>
          <t>태림포장</t>
        </is>
      </c>
      <c r="C12110" s="2" t="inlineStr">
        <is>
          <t>코스피</t>
        </is>
      </c>
      <c r="D12110" s="2" t="inlineStr">
        <is>
          <t>011280</t>
        </is>
      </c>
      <c r="E12110" s="3" t="inlineStr">
        <is>
          <t>동일인등출자계열회사와의상품ㆍ용역거래변경</t>
        </is>
      </c>
      <c r="F12110" s="3" t="inlineStr">
        <is>
          <t>태림포장</t>
        </is>
      </c>
      <c r="G12110" s="2" t="inlineStr">
        <is>
          <t>20260619000590</t>
        </is>
      </c>
      <c r="H12110" s="8">
        <f>HYPERLINK("https://dart.fss.or.kr/dsaf001/main.do?rcpNo=20260619000590", "공시열람")</f>
        <v/>
      </c>
    </row>
    <row r="12111">
      <c r="A12111" s="2" t="inlineStr">
        <is>
          <t>2026-06-19</t>
        </is>
      </c>
      <c r="B12111" s="3" t="inlineStr">
        <is>
          <t>미래에셋생명</t>
        </is>
      </c>
      <c r="C12111" s="2" t="inlineStr">
        <is>
          <t>코스피</t>
        </is>
      </c>
      <c r="D12111" s="2" t="inlineStr">
        <is>
          <t>085620</t>
        </is>
      </c>
      <c r="E12111" s="3" t="inlineStr">
        <is>
          <t>임원ㆍ주요주주특정증권등소유상황보고서</t>
        </is>
      </c>
      <c r="F12111" s="3" t="inlineStr">
        <is>
          <t>임정수</t>
        </is>
      </c>
      <c r="G12111" s="2" t="inlineStr">
        <is>
          <t>20260619000588</t>
        </is>
      </c>
      <c r="H12111" s="8">
        <f>HYPERLINK("https://dart.fss.or.kr/dsaf001/main.do?rcpNo=20260619000588", "공시열람")</f>
        <v/>
      </c>
    </row>
    <row r="12112">
      <c r="A12112" s="2" t="inlineStr">
        <is>
          <t>2026-06-19</t>
        </is>
      </c>
      <c r="B12112" s="3" t="inlineStr">
        <is>
          <t>카카오</t>
        </is>
      </c>
      <c r="C12112" s="2" t="inlineStr">
        <is>
          <t>코스피</t>
        </is>
      </c>
      <c r="D12112" s="2" t="inlineStr">
        <is>
          <t>035720</t>
        </is>
      </c>
      <c r="E12112" s="3" t="inlineStr">
        <is>
          <t>임원ㆍ주요주주특정증권등소유상황보고서</t>
        </is>
      </c>
      <c r="F12112" s="3" t="inlineStr">
        <is>
          <t>윤지미</t>
        </is>
      </c>
      <c r="G12112" s="2" t="inlineStr">
        <is>
          <t>20260619000587</t>
        </is>
      </c>
      <c r="H12112" s="8">
        <f>HYPERLINK("https://dart.fss.or.kr/dsaf001/main.do?rcpNo=20260619000587", "공시열람")</f>
        <v/>
      </c>
    </row>
    <row r="12113">
      <c r="A12113" s="2" t="inlineStr">
        <is>
          <t>2026-06-19</t>
        </is>
      </c>
      <c r="B12113" s="3" t="inlineStr">
        <is>
          <t>한화투자증권</t>
        </is>
      </c>
      <c r="C12113" s="2" t="inlineStr">
        <is>
          <t>코스피</t>
        </is>
      </c>
      <c r="D12113" s="2" t="inlineStr">
        <is>
          <t>003530</t>
        </is>
      </c>
      <c r="E12113" s="3" t="inlineStr">
        <is>
          <t>일괄신고추가서류(파생결합사채-주가연계파생결합사채)</t>
        </is>
      </c>
      <c r="F12113" s="3" t="inlineStr">
        <is>
          <t>한화투자증권</t>
        </is>
      </c>
      <c r="G12113" s="2" t="inlineStr">
        <is>
          <t>20260619000581</t>
        </is>
      </c>
      <c r="H12113" s="8">
        <f>HYPERLINK("https://dart.fss.or.kr/dsaf001/main.do?rcpNo=20260619000581", "공시열람")</f>
        <v/>
      </c>
    </row>
    <row r="12114">
      <c r="A12114" s="2" t="inlineStr">
        <is>
          <t>2026-06-19</t>
        </is>
      </c>
      <c r="B12114" s="3" t="inlineStr">
        <is>
          <t>핑거</t>
        </is>
      </c>
      <c r="C12114" s="2" t="inlineStr">
        <is>
          <t>코스닥</t>
        </is>
      </c>
      <c r="D12114" s="2" t="inlineStr">
        <is>
          <t>163730</t>
        </is>
      </c>
      <c r="E12114" s="3" t="inlineStr">
        <is>
          <t>임원ㆍ주요주주특정증권등소유상황보고서</t>
        </is>
      </c>
      <c r="F12114" s="3" t="inlineStr">
        <is>
          <t>박민수</t>
        </is>
      </c>
      <c r="G12114" s="2" t="inlineStr">
        <is>
          <t>20260619000580</t>
        </is>
      </c>
      <c r="H12114" s="8">
        <f>HYPERLINK("https://dart.fss.or.kr/dsaf001/main.do?rcpNo=20260619000580", "공시열람")</f>
        <v/>
      </c>
    </row>
    <row r="12115">
      <c r="A12115" s="2" t="inlineStr">
        <is>
          <t>2026-06-19</t>
        </is>
      </c>
      <c r="B12115" s="3" t="inlineStr">
        <is>
          <t>썸에이지</t>
        </is>
      </c>
      <c r="C12115" s="2" t="inlineStr">
        <is>
          <t>코스닥</t>
        </is>
      </c>
      <c r="D12115" s="2" t="inlineStr">
        <is>
          <t>208640</t>
        </is>
      </c>
      <c r="E12115" s="3" t="inlineStr">
        <is>
          <t>임원ㆍ주요주주특정증권등거래계획보고서</t>
        </is>
      </c>
      <c r="F12115" s="3" t="inlineStr">
        <is>
          <t>네시삼십삼분</t>
        </is>
      </c>
      <c r="G12115" s="2" t="inlineStr">
        <is>
          <t>20260619000578</t>
        </is>
      </c>
      <c r="H12115" s="8">
        <f>HYPERLINK("https://dart.fss.or.kr/dsaf001/main.do?rcpNo=20260619000578", "공시열람")</f>
        <v/>
      </c>
    </row>
    <row r="12116">
      <c r="A12116" s="2" t="inlineStr">
        <is>
          <t>2026-06-19</t>
        </is>
      </c>
      <c r="B12116" s="3" t="inlineStr">
        <is>
          <t>이노스페이스</t>
        </is>
      </c>
      <c r="C12116" s="2" t="inlineStr">
        <is>
          <t>코스닥</t>
        </is>
      </c>
      <c r="D12116" s="2" t="inlineStr">
        <is>
          <t>462350</t>
        </is>
      </c>
      <c r="E12116" s="3" t="inlineStr">
        <is>
          <t>임원ㆍ주요주주특정증권등소유상황보고서</t>
        </is>
      </c>
      <c r="F12116" s="3" t="inlineStr">
        <is>
          <t>우경진</t>
        </is>
      </c>
      <c r="G12116" s="2" t="inlineStr">
        <is>
          <t>20260619000570</t>
        </is>
      </c>
      <c r="H12116" s="8">
        <f>HYPERLINK("https://dart.fss.or.kr/dsaf001/main.do?rcpNo=20260619000570", "공시열람")</f>
        <v/>
      </c>
    </row>
    <row r="12117">
      <c r="A12117" s="2" t="inlineStr">
        <is>
          <t>2026-06-19</t>
        </is>
      </c>
      <c r="B12117" s="3" t="inlineStr">
        <is>
          <t>이노스페이스</t>
        </is>
      </c>
      <c r="C12117" s="2" t="inlineStr">
        <is>
          <t>코스닥</t>
        </is>
      </c>
      <c r="D12117" s="2" t="inlineStr">
        <is>
          <t>462350</t>
        </is>
      </c>
      <c r="E12117" s="3" t="inlineStr">
        <is>
          <t>임원ㆍ주요주주특정증권등소유상황보고서</t>
        </is>
      </c>
      <c r="F12117" s="3" t="inlineStr">
        <is>
          <t>국태승</t>
        </is>
      </c>
      <c r="G12117" s="2" t="inlineStr">
        <is>
          <t>20260619000566</t>
        </is>
      </c>
      <c r="H12117" s="8">
        <f>HYPERLINK("https://dart.fss.or.kr/dsaf001/main.do?rcpNo=20260619000566", "공시열람")</f>
        <v/>
      </c>
    </row>
    <row r="12118">
      <c r="A12118" s="2" t="inlineStr">
        <is>
          <t>2026-06-19</t>
        </is>
      </c>
      <c r="B12118" s="3" t="inlineStr">
        <is>
          <t>썸에이지</t>
        </is>
      </c>
      <c r="C12118" s="2" t="inlineStr">
        <is>
          <t>코스닥</t>
        </is>
      </c>
      <c r="D12118" s="2" t="inlineStr">
        <is>
          <t>208640</t>
        </is>
      </c>
      <c r="E12118" s="3" t="inlineStr">
        <is>
          <t>임원ㆍ주요주주특정증권등거래계획보고서</t>
        </is>
      </c>
      <c r="F12118" s="3" t="inlineStr">
        <is>
          <t>정기홍</t>
        </is>
      </c>
      <c r="G12118" s="2" t="inlineStr">
        <is>
          <t>20260619000565</t>
        </is>
      </c>
      <c r="H12118" s="8">
        <f>HYPERLINK("https://dart.fss.or.kr/dsaf001/main.do?rcpNo=20260619000565", "공시열람")</f>
        <v/>
      </c>
    </row>
    <row r="12119">
      <c r="A12119" s="2" t="inlineStr">
        <is>
          <t>2026-06-19</t>
        </is>
      </c>
      <c r="B12119" s="3" t="inlineStr">
        <is>
          <t>오름테라퓨틱</t>
        </is>
      </c>
      <c r="C12119" s="2" t="inlineStr">
        <is>
          <t>코스닥</t>
        </is>
      </c>
      <c r="D12119" s="2" t="inlineStr">
        <is>
          <t>475830</t>
        </is>
      </c>
      <c r="E12119" s="3" t="inlineStr">
        <is>
          <t>사외이사의선임ㆍ해임또는중도퇴임에관한신고</t>
        </is>
      </c>
      <c r="F12119" s="3" t="inlineStr">
        <is>
          <t>오름테라퓨틱</t>
        </is>
      </c>
      <c r="G12119" s="2" t="inlineStr">
        <is>
          <t>20260619000564</t>
        </is>
      </c>
      <c r="H12119" s="8">
        <f>HYPERLINK("https://dart.fss.or.kr/dsaf001/main.do?rcpNo=20260619000564", "공시열람")</f>
        <v/>
      </c>
    </row>
    <row r="12120">
      <c r="A12120" s="2" t="inlineStr">
        <is>
          <t>2026-06-19</t>
        </is>
      </c>
      <c r="B12120" s="3" t="inlineStr">
        <is>
          <t>이노스페이스</t>
        </is>
      </c>
      <c r="C12120" s="2" t="inlineStr">
        <is>
          <t>코스닥</t>
        </is>
      </c>
      <c r="D12120" s="2" t="inlineStr">
        <is>
          <t>462350</t>
        </is>
      </c>
      <c r="E12120" s="3" t="inlineStr">
        <is>
          <t>임원ㆍ주요주주특정증권등소유상황보고서</t>
        </is>
      </c>
      <c r="F12120" s="3" t="inlineStr">
        <is>
          <t>김찬중</t>
        </is>
      </c>
      <c r="G12120" s="2" t="inlineStr">
        <is>
          <t>20260619000563</t>
        </is>
      </c>
      <c r="H12120" s="8">
        <f>HYPERLINK("https://dart.fss.or.kr/dsaf001/main.do?rcpNo=20260619000563", "공시열람")</f>
        <v/>
      </c>
    </row>
    <row r="12121">
      <c r="A12121" s="2" t="inlineStr">
        <is>
          <t>2026-06-19</t>
        </is>
      </c>
      <c r="B12121" s="3" t="inlineStr">
        <is>
          <t>삼일제약</t>
        </is>
      </c>
      <c r="C12121" s="2" t="inlineStr">
        <is>
          <t>코스피</t>
        </is>
      </c>
      <c r="D12121" s="2" t="inlineStr">
        <is>
          <t>000520</t>
        </is>
      </c>
      <c r="E12121" s="3" t="inlineStr">
        <is>
          <t xml:space="preserve">유상증자또는주식관련사채등의발행결과(자율공시)              </t>
        </is>
      </c>
      <c r="F12121" s="3" t="inlineStr">
        <is>
          <t>삼일제약</t>
        </is>
      </c>
      <c r="G12121" s="2" t="inlineStr">
        <is>
          <t>20260619800813</t>
        </is>
      </c>
      <c r="H12121" s="8">
        <f>HYPERLINK("https://dart.fss.or.kr/dsaf001/main.do?rcpNo=20260619800813", "공시열람")</f>
        <v/>
      </c>
    </row>
    <row r="12122">
      <c r="A12122" s="2" t="inlineStr">
        <is>
          <t>2026-06-19</t>
        </is>
      </c>
      <c r="B12122" s="3" t="inlineStr">
        <is>
          <t>빛과전자</t>
        </is>
      </c>
      <c r="C12122" s="2" t="inlineStr">
        <is>
          <t>코스닥</t>
        </is>
      </c>
      <c r="D12122" s="2" t="inlineStr">
        <is>
          <t>069540</t>
        </is>
      </c>
      <c r="E12122" s="3" t="inlineStr">
        <is>
          <t xml:space="preserve">기타경영사항(자율공시)              </t>
        </is>
      </c>
      <c r="F12122" s="3" t="inlineStr">
        <is>
          <t>빛과전자</t>
        </is>
      </c>
      <c r="G12122" s="2" t="inlineStr">
        <is>
          <t>20260619900773</t>
        </is>
      </c>
      <c r="H12122" s="8">
        <f>HYPERLINK("https://dart.fss.or.kr/dsaf001/main.do?rcpNo=20260619900773", "공시열람")</f>
        <v/>
      </c>
    </row>
    <row r="12123">
      <c r="A12123" s="2" t="inlineStr">
        <is>
          <t>2026-06-19</t>
        </is>
      </c>
      <c r="B12123" s="3" t="inlineStr">
        <is>
          <t>이노스페이스</t>
        </is>
      </c>
      <c r="C12123" s="2" t="inlineStr">
        <is>
          <t>코스닥</t>
        </is>
      </c>
      <c r="D12123" s="2" t="inlineStr">
        <is>
          <t>462350</t>
        </is>
      </c>
      <c r="E12123" s="3" t="inlineStr">
        <is>
          <t>임원ㆍ주요주주특정증권등소유상황보고서</t>
        </is>
      </c>
      <c r="F12123" s="3" t="inlineStr">
        <is>
          <t>정훈</t>
        </is>
      </c>
      <c r="G12123" s="2" t="inlineStr">
        <is>
          <t>20260619000554</t>
        </is>
      </c>
      <c r="H12123" s="8">
        <f>HYPERLINK("https://dart.fss.or.kr/dsaf001/main.do?rcpNo=20260619000554", "공시열람")</f>
        <v/>
      </c>
    </row>
    <row r="12124">
      <c r="A12124" s="2" t="inlineStr">
        <is>
          <t>2026-06-19</t>
        </is>
      </c>
      <c r="B12124" s="3" t="inlineStr">
        <is>
          <t>카카오페이</t>
        </is>
      </c>
      <c r="C12124" s="2" t="inlineStr">
        <is>
          <t>코스피</t>
        </is>
      </c>
      <c r="D12124" s="2" t="inlineStr">
        <is>
          <t>377300</t>
        </is>
      </c>
      <c r="E12124" s="3" t="inlineStr">
        <is>
          <t xml:space="preserve">기업설명회(IR)개최(안내공시)              </t>
        </is>
      </c>
      <c r="F12124" s="3" t="inlineStr">
        <is>
          <t>카카오페이</t>
        </is>
      </c>
      <c r="G12124" s="2" t="inlineStr">
        <is>
          <t>20260619800793</t>
        </is>
      </c>
      <c r="H12124" s="8">
        <f>HYPERLINK("https://dart.fss.or.kr/dsaf001/main.do?rcpNo=20260619800793", "공시열람")</f>
        <v/>
      </c>
    </row>
    <row r="12125">
      <c r="A12125" s="2" t="inlineStr">
        <is>
          <t>2026-06-19</t>
        </is>
      </c>
      <c r="B12125" s="3" t="inlineStr">
        <is>
          <t>이노스페이스</t>
        </is>
      </c>
      <c r="C12125" s="2" t="inlineStr">
        <is>
          <t>코스닥</t>
        </is>
      </c>
      <c r="D12125" s="2" t="inlineStr">
        <is>
          <t>462350</t>
        </is>
      </c>
      <c r="E12125" s="3" t="inlineStr">
        <is>
          <t>임원ㆍ주요주주특정증권등소유상황보고서</t>
        </is>
      </c>
      <c r="F12125" s="3" t="inlineStr">
        <is>
          <t>김수종</t>
        </is>
      </c>
      <c r="G12125" s="2" t="inlineStr">
        <is>
          <t>20260619000549</t>
        </is>
      </c>
      <c r="H12125" s="8">
        <f>HYPERLINK("https://dart.fss.or.kr/dsaf001/main.do?rcpNo=20260619000549", "공시열람")</f>
        <v/>
      </c>
    </row>
    <row r="12126">
      <c r="A12126" s="2" t="inlineStr">
        <is>
          <t>2026-06-19</t>
        </is>
      </c>
      <c r="B12126" s="3" t="inlineStr">
        <is>
          <t>애드포러스</t>
        </is>
      </c>
      <c r="C12126" s="2" t="inlineStr">
        <is>
          <t>코스닥</t>
        </is>
      </c>
      <c r="D12126" s="2" t="inlineStr">
        <is>
          <t>397810</t>
        </is>
      </c>
      <c r="E12126" s="3" t="inlineStr">
        <is>
          <t>신탁계약해지결과보고서</t>
        </is>
      </c>
      <c r="F12126" s="3" t="inlineStr">
        <is>
          <t>애드포러스</t>
        </is>
      </c>
      <c r="G12126" s="2" t="inlineStr">
        <is>
          <t>20260619000545</t>
        </is>
      </c>
      <c r="H12126" s="8">
        <f>HYPERLINK("https://dart.fss.or.kr/dsaf001/main.do?rcpNo=20260619000545", "공시열람")</f>
        <v/>
      </c>
    </row>
    <row r="12127">
      <c r="A12127" s="2" t="inlineStr">
        <is>
          <t>2026-06-19</t>
        </is>
      </c>
      <c r="B12127" s="3" t="inlineStr">
        <is>
          <t>SK스퀘어</t>
        </is>
      </c>
      <c r="C12127" s="2" t="inlineStr">
        <is>
          <t>코스피</t>
        </is>
      </c>
      <c r="D12127" s="2" t="inlineStr">
        <is>
          <t>402340</t>
        </is>
      </c>
      <c r="E12127" s="3" t="inlineStr">
        <is>
          <t>특수관계인으로부터자산양수</t>
        </is>
      </c>
      <c r="F12127" s="3" t="inlineStr">
        <is>
          <t>SK스퀘어</t>
        </is>
      </c>
      <c r="G12127" s="2" t="inlineStr">
        <is>
          <t>20260619000538</t>
        </is>
      </c>
      <c r="H12127" s="8">
        <f>HYPERLINK("https://dart.fss.or.kr/dsaf001/main.do?rcpNo=20260619000538", "공시열람")</f>
        <v/>
      </c>
    </row>
    <row r="12128">
      <c r="A12128" s="2" t="inlineStr">
        <is>
          <t>2026-06-19</t>
        </is>
      </c>
      <c r="B12128" s="3" t="inlineStr">
        <is>
          <t>SK증권</t>
        </is>
      </c>
      <c r="C12128" s="2" t="inlineStr">
        <is>
          <t>코스피</t>
        </is>
      </c>
      <c r="D12128" s="2" t="inlineStr">
        <is>
          <t>001510</t>
        </is>
      </c>
      <c r="E12128" s="3" t="inlineStr">
        <is>
          <t>투자설명서(일괄신고)</t>
        </is>
      </c>
      <c r="F12128" s="3" t="inlineStr">
        <is>
          <t>SK증권</t>
        </is>
      </c>
      <c r="G12128" s="2" t="inlineStr">
        <is>
          <t>20260619000532</t>
        </is>
      </c>
      <c r="H12128" s="8">
        <f>HYPERLINK("https://dart.fss.or.kr/dsaf001/main.do?rcpNo=20260619000532", "공시열람")</f>
        <v/>
      </c>
    </row>
    <row r="12129">
      <c r="A12129" s="2" t="inlineStr">
        <is>
          <t>2026-06-19</t>
        </is>
      </c>
      <c r="B12129" s="3" t="inlineStr">
        <is>
          <t>젬백스</t>
        </is>
      </c>
      <c r="C12129" s="2" t="inlineStr">
        <is>
          <t>코스닥</t>
        </is>
      </c>
      <c r="D12129" s="2" t="inlineStr">
        <is>
          <t>082270</t>
        </is>
      </c>
      <c r="E12129" s="3" t="inlineStr">
        <is>
          <t>임원ㆍ주요주주특정증권등소유상황보고서</t>
        </is>
      </c>
      <c r="F12129" s="3" t="inlineStr">
        <is>
          <t>남경필</t>
        </is>
      </c>
      <c r="G12129" s="2" t="inlineStr">
        <is>
          <t>20260619000531</t>
        </is>
      </c>
      <c r="H12129" s="8">
        <f>HYPERLINK("https://dart.fss.or.kr/dsaf001/main.do?rcpNo=20260619000531", "공시열람")</f>
        <v/>
      </c>
    </row>
    <row r="12130">
      <c r="A12130" s="2" t="inlineStr">
        <is>
          <t>2026-06-19</t>
        </is>
      </c>
      <c r="B12130" s="3" t="inlineStr">
        <is>
          <t>이미지스</t>
        </is>
      </c>
      <c r="C12130" s="2" t="inlineStr">
        <is>
          <t>코스닥</t>
        </is>
      </c>
      <c r="D12130" s="2" t="inlineStr">
        <is>
          <t>115610</t>
        </is>
      </c>
      <c r="E12130" s="3" t="inlineStr">
        <is>
          <t xml:space="preserve">영업실적등에대한전망(공정공시)              </t>
        </is>
      </c>
      <c r="F12130" s="3" t="inlineStr">
        <is>
          <t>이미지스</t>
        </is>
      </c>
      <c r="G12130" s="2" t="inlineStr">
        <is>
          <t>20260619900739</t>
        </is>
      </c>
      <c r="H12130" s="8">
        <f>HYPERLINK("https://dart.fss.or.kr/dsaf001/main.do?rcpNo=20260619900739", "공시열람")</f>
        <v/>
      </c>
    </row>
    <row r="12131">
      <c r="A12131" s="2" t="inlineStr">
        <is>
          <t>2026-06-19</t>
        </is>
      </c>
      <c r="B12131" s="3" t="inlineStr">
        <is>
          <t>아이윈</t>
        </is>
      </c>
      <c r="C12131" s="2" t="inlineStr">
        <is>
          <t>코스닥</t>
        </is>
      </c>
      <c r="D12131" s="2" t="inlineStr">
        <is>
          <t>090150</t>
        </is>
      </c>
      <c r="E12131" s="3" t="inlineStr">
        <is>
          <t>임원ㆍ주요주주특정증권등소유상황보고서</t>
        </is>
      </c>
      <c r="F12131" s="3" t="inlineStr">
        <is>
          <t>신규진</t>
        </is>
      </c>
      <c r="G12131" s="2" t="inlineStr">
        <is>
          <t>20260619000529</t>
        </is>
      </c>
      <c r="H12131" s="8">
        <f>HYPERLINK("https://dart.fss.or.kr/dsaf001/main.do?rcpNo=20260619000529", "공시열람")</f>
        <v/>
      </c>
    </row>
    <row r="12132">
      <c r="A12132" s="2" t="inlineStr">
        <is>
          <t>2026-06-19</t>
        </is>
      </c>
      <c r="B12132" s="3" t="inlineStr">
        <is>
          <t>KB금융</t>
        </is>
      </c>
      <c r="C12132" s="2" t="inlineStr">
        <is>
          <t>코스피</t>
        </is>
      </c>
      <c r="D12132" s="2" t="inlineStr">
        <is>
          <t>105560</t>
        </is>
      </c>
      <c r="E12132" s="3" t="inlineStr">
        <is>
          <t>증권발행실적보고서</t>
        </is>
      </c>
      <c r="F12132" s="3" t="inlineStr">
        <is>
          <t>KB금융</t>
        </is>
      </c>
      <c r="G12132" s="2" t="inlineStr">
        <is>
          <t>20260619000525</t>
        </is>
      </c>
      <c r="H12132" s="8">
        <f>HYPERLINK("https://dart.fss.or.kr/dsaf001/main.do?rcpNo=20260619000525", "공시열람")</f>
        <v/>
      </c>
    </row>
    <row r="12133">
      <c r="A12133" s="2" t="inlineStr">
        <is>
          <t>2026-06-19 (정정: 2026-06-26)</t>
        </is>
      </c>
      <c r="B12133" s="3" t="inlineStr">
        <is>
          <t>대상홀딩스</t>
        </is>
      </c>
      <c r="C12133" s="2" t="inlineStr">
        <is>
          <t>코스피</t>
        </is>
      </c>
      <c r="D12133" s="2" t="inlineStr">
        <is>
          <t>084690</t>
        </is>
      </c>
      <c r="E12133" s="3" t="inlineStr">
        <is>
          <t>주주명부폐쇄기간또는기준일설정               (정정: 20260626)</t>
        </is>
      </c>
      <c r="F12133" s="3" t="inlineStr">
        <is>
          <t>대상홀딩스</t>
        </is>
      </c>
      <c r="G12133" s="2" t="inlineStr">
        <is>
          <t>20260626800767</t>
        </is>
      </c>
      <c r="H12133" s="8">
        <f>HYPERLINK("https://dart.fss.or.kr/dsaf001/main.do?rcpNo=20260626800767", "공시열람")</f>
        <v/>
      </c>
    </row>
    <row r="12134">
      <c r="A12134" s="2" t="inlineStr">
        <is>
          <t>2026-06-19</t>
        </is>
      </c>
      <c r="B12134" s="3" t="inlineStr">
        <is>
          <t>신세계I&amp;C</t>
        </is>
      </c>
      <c r="C12134" s="2" t="inlineStr">
        <is>
          <t>코스피</t>
        </is>
      </c>
      <c r="D12134" s="2" t="inlineStr">
        <is>
          <t>035510</t>
        </is>
      </c>
      <c r="E12134" s="3" t="inlineStr">
        <is>
          <t>동일인등출자계열회사와의상품ㆍ용역거래</t>
        </is>
      </c>
      <c r="F12134" s="3" t="inlineStr">
        <is>
          <t>신세계I&amp;C</t>
        </is>
      </c>
      <c r="G12134" s="2" t="inlineStr">
        <is>
          <t>20260619000518</t>
        </is>
      </c>
      <c r="H12134" s="8">
        <f>HYPERLINK("https://dart.fss.or.kr/dsaf001/main.do?rcpNo=20260619000518", "공시열람")</f>
        <v/>
      </c>
    </row>
    <row r="12135">
      <c r="A12135" s="2" t="inlineStr">
        <is>
          <t>2026-06-19</t>
        </is>
      </c>
      <c r="B12135" s="3" t="inlineStr">
        <is>
          <t>신영증권</t>
        </is>
      </c>
      <c r="C12135" s="2" t="inlineStr">
        <is>
          <t>코스피</t>
        </is>
      </c>
      <c r="D12135" s="2" t="inlineStr">
        <is>
          <t>001720</t>
        </is>
      </c>
      <c r="E12135" s="3" t="inlineStr">
        <is>
          <t>사외이사의선임ㆍ해임또는중도퇴임에관한신고</t>
        </is>
      </c>
      <c r="F12135" s="3" t="inlineStr">
        <is>
          <t>신영증권</t>
        </is>
      </c>
      <c r="G12135" s="2" t="inlineStr">
        <is>
          <t>20260619000517</t>
        </is>
      </c>
      <c r="H12135" s="8">
        <f>HYPERLINK("https://dart.fss.or.kr/dsaf001/main.do?rcpNo=20260619000517", "공시열람")</f>
        <v/>
      </c>
    </row>
    <row r="12136">
      <c r="A12136" s="2" t="inlineStr">
        <is>
          <t>2026-06-19</t>
        </is>
      </c>
      <c r="B12136" s="3" t="inlineStr">
        <is>
          <t>플레이위드</t>
        </is>
      </c>
      <c r="C12136" s="2" t="inlineStr">
        <is>
          <t>코스닥</t>
        </is>
      </c>
      <c r="D12136" s="2" t="inlineStr">
        <is>
          <t>023770</t>
        </is>
      </c>
      <c r="E12136" s="3" t="inlineStr">
        <is>
          <t>임원ㆍ주요주주특정증권등소유상황보고서</t>
        </is>
      </c>
      <c r="F12136" s="3" t="inlineStr">
        <is>
          <t>김학준</t>
        </is>
      </c>
      <c r="G12136" s="2" t="inlineStr">
        <is>
          <t>20260619000514</t>
        </is>
      </c>
      <c r="H12136" s="8">
        <f>HYPERLINK("https://dart.fss.or.kr/dsaf001/main.do?rcpNo=20260619000514", "공시열람")</f>
        <v/>
      </c>
    </row>
    <row r="12137">
      <c r="A12137" s="2" t="inlineStr">
        <is>
          <t>2026-06-19</t>
        </is>
      </c>
      <c r="B12137" s="3" t="inlineStr">
        <is>
          <t>휴네시온</t>
        </is>
      </c>
      <c r="C12137" s="2" t="inlineStr">
        <is>
          <t>코스닥</t>
        </is>
      </c>
      <c r="D12137" s="2" t="inlineStr">
        <is>
          <t>290270</t>
        </is>
      </c>
      <c r="E12137" s="3" t="inlineStr">
        <is>
          <t>임원ㆍ주요주주특정증권등소유상황보고서</t>
        </is>
      </c>
      <c r="F12137" s="3" t="inlineStr">
        <is>
          <t>정동섭</t>
        </is>
      </c>
      <c r="G12137" s="2" t="inlineStr">
        <is>
          <t>20260619000510</t>
        </is>
      </c>
      <c r="H12137" s="8">
        <f>HYPERLINK("https://dart.fss.or.kr/dsaf001/main.do?rcpNo=20260619000510", "공시열람")</f>
        <v/>
      </c>
    </row>
    <row r="12138">
      <c r="A12138" s="2" t="inlineStr">
        <is>
          <t>2026-06-19</t>
        </is>
      </c>
      <c r="B12138" s="3" t="inlineStr">
        <is>
          <t>미래에셋증권</t>
        </is>
      </c>
      <c r="C12138" s="2" t="inlineStr">
        <is>
          <t>코스피</t>
        </is>
      </c>
      <c r="D12138" s="2" t="inlineStr">
        <is>
          <t>006800</t>
        </is>
      </c>
      <c r="E12138" s="3" t="inlineStr">
        <is>
          <t>임원ㆍ주요주주특정증권등소유상황보고서</t>
        </is>
      </c>
      <c r="F12138" s="3" t="inlineStr">
        <is>
          <t>미래에셋캐피탈</t>
        </is>
      </c>
      <c r="G12138" s="2" t="inlineStr">
        <is>
          <t>20260619000508</t>
        </is>
      </c>
      <c r="H12138" s="8">
        <f>HYPERLINK("https://dart.fss.or.kr/dsaf001/main.do?rcpNo=20260619000508", "공시열람")</f>
        <v/>
      </c>
    </row>
    <row r="12139">
      <c r="A12139" s="2" t="inlineStr">
        <is>
          <t>2026-06-19</t>
        </is>
      </c>
      <c r="B12139" s="3" t="inlineStr">
        <is>
          <t>부국증권</t>
        </is>
      </c>
      <c r="C12139" s="2" t="inlineStr">
        <is>
          <t>코스피</t>
        </is>
      </c>
      <c r="D12139" s="2" t="inlineStr">
        <is>
          <t>001270</t>
        </is>
      </c>
      <c r="E12139" s="3" t="inlineStr">
        <is>
          <t xml:space="preserve">자산재평가실시결정(자율공시)              </t>
        </is>
      </c>
      <c r="F12139" s="3" t="inlineStr">
        <is>
          <t>부국증권</t>
        </is>
      </c>
      <c r="G12139" s="2" t="inlineStr">
        <is>
          <t>20260619800759</t>
        </is>
      </c>
      <c r="H12139" s="8">
        <f>HYPERLINK("https://dart.fss.or.kr/dsaf001/main.do?rcpNo=20260619800759", "공시열람")</f>
        <v/>
      </c>
    </row>
    <row r="12140">
      <c r="A12140" s="2" t="inlineStr">
        <is>
          <t>2026-06-19</t>
        </is>
      </c>
      <c r="B12140" s="3" t="inlineStr">
        <is>
          <t>신영증권</t>
        </is>
      </c>
      <c r="C12140" s="2" t="inlineStr">
        <is>
          <t>코스피</t>
        </is>
      </c>
      <c r="D12140" s="2" t="inlineStr">
        <is>
          <t>001720</t>
        </is>
      </c>
      <c r="E12140" s="3" t="inlineStr">
        <is>
          <t xml:space="preserve">대표이사(대표집행임원)변경(안내공시)              </t>
        </is>
      </c>
      <c r="F12140" s="3" t="inlineStr">
        <is>
          <t>신영증권</t>
        </is>
      </c>
      <c r="G12140" s="2" t="inlineStr">
        <is>
          <t>20260619800756</t>
        </is>
      </c>
      <c r="H12140" s="8">
        <f>HYPERLINK("https://dart.fss.or.kr/dsaf001/main.do?rcpNo=20260619800756", "공시열람")</f>
        <v/>
      </c>
    </row>
    <row r="12141">
      <c r="A12141" s="2" t="inlineStr">
        <is>
          <t>2026-06-19 (정정: 2026-06-26)</t>
        </is>
      </c>
      <c r="B12141" s="3" t="inlineStr">
        <is>
          <t>대상</t>
        </is>
      </c>
      <c r="C12141" s="2" t="inlineStr">
        <is>
          <t>코스피</t>
        </is>
      </c>
      <c r="D12141" s="2" t="inlineStr">
        <is>
          <t>001680</t>
        </is>
      </c>
      <c r="E12141" s="3" t="inlineStr">
        <is>
          <t>주주명부폐쇄기간또는기준일설정               (정정: 20260626)</t>
        </is>
      </c>
      <c r="F12141" s="3" t="inlineStr">
        <is>
          <t>대상</t>
        </is>
      </c>
      <c r="G12141" s="2" t="inlineStr">
        <is>
          <t>20260626800897</t>
        </is>
      </c>
      <c r="H12141" s="8">
        <f>HYPERLINK("https://dart.fss.or.kr/dsaf001/main.do?rcpNo=20260626800897", "공시열람")</f>
        <v/>
      </c>
    </row>
    <row r="12142">
      <c r="A12142" s="2" t="inlineStr">
        <is>
          <t>2026-06-19</t>
        </is>
      </c>
      <c r="B12142" s="3" t="inlineStr">
        <is>
          <t>대한항공</t>
        </is>
      </c>
      <c r="C12142" s="2" t="inlineStr">
        <is>
          <t>코스피</t>
        </is>
      </c>
      <c r="D12142" s="2" t="inlineStr">
        <is>
          <t>003490</t>
        </is>
      </c>
      <c r="E12142" s="3" t="inlineStr">
        <is>
          <t>임원ㆍ주요주주특정증권등소유상황보고서</t>
        </is>
      </c>
      <c r="F12142" s="3" t="inlineStr">
        <is>
          <t>박요한</t>
        </is>
      </c>
      <c r="G12142" s="2" t="inlineStr">
        <is>
          <t>20260619000496</t>
        </is>
      </c>
      <c r="H12142" s="8">
        <f>HYPERLINK("https://dart.fss.or.kr/dsaf001/main.do?rcpNo=20260619000496", "공시열람")</f>
        <v/>
      </c>
    </row>
    <row r="12143">
      <c r="A12143" s="2" t="inlineStr">
        <is>
          <t>2026-06-19</t>
        </is>
      </c>
      <c r="B12143" s="3" t="inlineStr">
        <is>
          <t>일정실업</t>
        </is>
      </c>
      <c r="C12143" s="2" t="inlineStr">
        <is>
          <t>코스피</t>
        </is>
      </c>
      <c r="D12143" s="2" t="inlineStr">
        <is>
          <t>008500</t>
        </is>
      </c>
      <c r="E12143" s="3" t="inlineStr">
        <is>
          <t>임원ㆍ주요주주특정증권등소유상황보고서</t>
        </is>
      </c>
      <c r="F12143" s="3" t="inlineStr">
        <is>
          <t>고태원</t>
        </is>
      </c>
      <c r="G12143" s="2" t="inlineStr">
        <is>
          <t>20260619000491</t>
        </is>
      </c>
      <c r="H12143" s="8">
        <f>HYPERLINK("https://dart.fss.or.kr/dsaf001/main.do?rcpNo=20260619000491", "공시열람")</f>
        <v/>
      </c>
    </row>
    <row r="12144">
      <c r="A12144" s="2" t="inlineStr">
        <is>
          <t>2026-06-19</t>
        </is>
      </c>
      <c r="B12144" s="3" t="inlineStr">
        <is>
          <t>티엠씨</t>
        </is>
      </c>
      <c r="C12144" s="2" t="inlineStr">
        <is>
          <t>코스피</t>
        </is>
      </c>
      <c r="D12144" s="2" t="inlineStr">
        <is>
          <t>217590</t>
        </is>
      </c>
      <c r="E12144" s="3" t="inlineStr">
        <is>
          <t xml:space="preserve">기업설명회(IR)개최(안내공시)              </t>
        </is>
      </c>
      <c r="F12144" s="3" t="inlineStr">
        <is>
          <t>티엠씨</t>
        </is>
      </c>
      <c r="G12144" s="2" t="inlineStr">
        <is>
          <t>20260619800690</t>
        </is>
      </c>
      <c r="H12144" s="8">
        <f>HYPERLINK("https://dart.fss.or.kr/dsaf001/main.do?rcpNo=20260619800690", "공시열람")</f>
        <v/>
      </c>
    </row>
    <row r="12145">
      <c r="A12145" s="2" t="inlineStr">
        <is>
          <t>2026-06-19</t>
        </is>
      </c>
      <c r="B12145" s="3" t="inlineStr">
        <is>
          <t>현대모비스</t>
        </is>
      </c>
      <c r="C12145" s="2" t="inlineStr">
        <is>
          <t>코스피</t>
        </is>
      </c>
      <c r="D12145" s="2" t="inlineStr">
        <is>
          <t>012330</t>
        </is>
      </c>
      <c r="E12145" s="3" t="inlineStr">
        <is>
          <t xml:space="preserve">기업설명회(IR)개최(안내공시)              </t>
        </is>
      </c>
      <c r="F12145" s="3" t="inlineStr">
        <is>
          <t>현대모비스</t>
        </is>
      </c>
      <c r="G12145" s="2" t="inlineStr">
        <is>
          <t>20260619800737</t>
        </is>
      </c>
      <c r="H12145" s="8">
        <f>HYPERLINK("https://dart.fss.or.kr/dsaf001/main.do?rcpNo=20260619800737", "공시열람")</f>
        <v/>
      </c>
    </row>
    <row r="12146">
      <c r="A12146" s="2" t="inlineStr">
        <is>
          <t>2026-06-19</t>
        </is>
      </c>
      <c r="B12146" s="3" t="inlineStr">
        <is>
          <t>오리엔트바이오</t>
        </is>
      </c>
      <c r="C12146" s="2" t="inlineStr">
        <is>
          <t>코스피</t>
        </is>
      </c>
      <c r="D12146" s="2" t="inlineStr">
        <is>
          <t>002630</t>
        </is>
      </c>
      <c r="E12146" s="3" t="inlineStr">
        <is>
          <t xml:space="preserve">감사보고서제출              </t>
        </is>
      </c>
      <c r="F12146" s="3" t="inlineStr">
        <is>
          <t>오리엔트바이오</t>
        </is>
      </c>
      <c r="G12146" s="2" t="inlineStr">
        <is>
          <t>20260619800686</t>
        </is>
      </c>
      <c r="H12146" s="8">
        <f>HYPERLINK("https://dart.fss.or.kr/dsaf001/main.do?rcpNo=20260619800686", "공시열람")</f>
        <v/>
      </c>
    </row>
    <row r="12147">
      <c r="A12147" s="2" t="inlineStr">
        <is>
          <t>2026-06-19</t>
        </is>
      </c>
      <c r="B12147" s="3" t="inlineStr">
        <is>
          <t>디에이치엑스컴퍼니</t>
        </is>
      </c>
      <c r="C12147" s="2" t="inlineStr">
        <is>
          <t>코스닥</t>
        </is>
      </c>
      <c r="D12147" s="2" t="inlineStr">
        <is>
          <t>031860</t>
        </is>
      </c>
      <c r="E12147" s="3" t="inlineStr">
        <is>
          <t>주요사항보고서(자기전환사채만기전취득결정)</t>
        </is>
      </c>
      <c r="F12147" s="3" t="inlineStr">
        <is>
          <t>디에이치엑스컴퍼니</t>
        </is>
      </c>
      <c r="G12147" s="2" t="inlineStr">
        <is>
          <t>20260619000427</t>
        </is>
      </c>
      <c r="H12147" s="8">
        <f>HYPERLINK("https://dart.fss.or.kr/dsaf001/main.do?rcpNo=20260619000427", "공시열람")</f>
        <v/>
      </c>
    </row>
    <row r="12148">
      <c r="A12148" s="2" t="inlineStr">
        <is>
          <t>2026-06-19</t>
        </is>
      </c>
      <c r="B12148" s="3" t="inlineStr">
        <is>
          <t>나노캠텍</t>
        </is>
      </c>
      <c r="C12148" s="2" t="inlineStr">
        <is>
          <t>코스닥</t>
        </is>
      </c>
      <c r="D12148" s="2" t="inlineStr">
        <is>
          <t>091970</t>
        </is>
      </c>
      <c r="E12148" s="3" t="inlineStr">
        <is>
          <t>임원ㆍ주요주주특정증권등소유상황보고서</t>
        </is>
      </c>
      <c r="F12148" s="3" t="inlineStr">
        <is>
          <t>김태수</t>
        </is>
      </c>
      <c r="G12148" s="2" t="inlineStr">
        <is>
          <t>20260619000473</t>
        </is>
      </c>
      <c r="H12148" s="8">
        <f>HYPERLINK("https://dart.fss.or.kr/dsaf001/main.do?rcpNo=20260619000473", "공시열람")</f>
        <v/>
      </c>
    </row>
    <row r="12149">
      <c r="A12149" s="2" t="inlineStr">
        <is>
          <t>2026-06-19</t>
        </is>
      </c>
      <c r="B12149" s="3" t="inlineStr">
        <is>
          <t>파미셀</t>
        </is>
      </c>
      <c r="C12149" s="2" t="inlineStr">
        <is>
          <t>코스피</t>
        </is>
      </c>
      <c r="D12149" s="2" t="inlineStr">
        <is>
          <t>005690</t>
        </is>
      </c>
      <c r="E12149" s="3" t="inlineStr">
        <is>
          <t>임원ㆍ주요주주특정증권등소유상황보고서</t>
        </is>
      </c>
      <c r="F12149" s="3" t="inlineStr">
        <is>
          <t>성현술</t>
        </is>
      </c>
      <c r="G12149" s="2" t="inlineStr">
        <is>
          <t>20260619000470</t>
        </is>
      </c>
      <c r="H12149" s="8">
        <f>HYPERLINK("https://dart.fss.or.kr/dsaf001/main.do?rcpNo=20260619000470", "공시열람")</f>
        <v/>
      </c>
    </row>
    <row r="12150">
      <c r="A12150" s="2" t="inlineStr">
        <is>
          <t>2026-06-19</t>
        </is>
      </c>
      <c r="B12150" s="3" t="inlineStr">
        <is>
          <t>나노캠텍</t>
        </is>
      </c>
      <c r="C12150" s="2" t="inlineStr">
        <is>
          <t>코스닥</t>
        </is>
      </c>
      <c r="D12150" s="2" t="inlineStr">
        <is>
          <t>091970</t>
        </is>
      </c>
      <c r="E12150" s="3" t="inlineStr">
        <is>
          <t>임원ㆍ주요주주특정증권등소유상황보고서</t>
        </is>
      </c>
      <c r="F12150" s="3" t="inlineStr">
        <is>
          <t>신해용</t>
        </is>
      </c>
      <c r="G12150" s="2" t="inlineStr">
        <is>
          <t>20260619000469</t>
        </is>
      </c>
      <c r="H12150" s="8">
        <f>HYPERLINK("https://dart.fss.or.kr/dsaf001/main.do?rcpNo=20260619000469", "공시열람")</f>
        <v/>
      </c>
    </row>
    <row r="12151">
      <c r="A12151" s="2" t="inlineStr">
        <is>
          <t>2026-06-19</t>
        </is>
      </c>
      <c r="B12151" s="3" t="inlineStr">
        <is>
          <t>에이피알</t>
        </is>
      </c>
      <c r="C12151" s="2" t="inlineStr">
        <is>
          <t>코스피</t>
        </is>
      </c>
      <c r="D12151" s="2" t="inlineStr">
        <is>
          <t>278470</t>
        </is>
      </c>
      <c r="E12151" s="3" t="inlineStr">
        <is>
          <t xml:space="preserve">지속가능경영보고서등관련사항(자율공시)              </t>
        </is>
      </c>
      <c r="F12151" s="3" t="inlineStr">
        <is>
          <t>에이피알</t>
        </is>
      </c>
      <c r="G12151" s="2" t="inlineStr">
        <is>
          <t>20260619800719</t>
        </is>
      </c>
      <c r="H12151" s="8">
        <f>HYPERLINK("https://dart.fss.or.kr/dsaf001/main.do?rcpNo=20260619800719", "공시열람")</f>
        <v/>
      </c>
    </row>
    <row r="12152">
      <c r="A12152" s="2" t="inlineStr">
        <is>
          <t>2026-06-19</t>
        </is>
      </c>
      <c r="B12152" s="3" t="inlineStr">
        <is>
          <t>애드바이오텍</t>
        </is>
      </c>
      <c r="C12152" s="2" t="inlineStr">
        <is>
          <t>코스닥</t>
        </is>
      </c>
      <c r="D12152" s="2" t="inlineStr">
        <is>
          <t>179530</t>
        </is>
      </c>
      <c r="E12152" s="3" t="inlineStr">
        <is>
          <t>사외이사의선임ㆍ해임또는중도퇴임에관한신고</t>
        </is>
      </c>
      <c r="F12152" s="3" t="inlineStr">
        <is>
          <t>애드바이오텍</t>
        </is>
      </c>
      <c r="G12152" s="2" t="inlineStr">
        <is>
          <t>20260619000464</t>
        </is>
      </c>
      <c r="H12152" s="8">
        <f>HYPERLINK("https://dart.fss.or.kr/dsaf001/main.do?rcpNo=20260619000464", "공시열람")</f>
        <v/>
      </c>
    </row>
    <row r="12153">
      <c r="A12153" s="2" t="inlineStr">
        <is>
          <t>2026-06-19</t>
        </is>
      </c>
      <c r="B12153" s="3" t="inlineStr">
        <is>
          <t>파미셀</t>
        </is>
      </c>
      <c r="C12153" s="2" t="inlineStr">
        <is>
          <t>코스피</t>
        </is>
      </c>
      <c r="D12153" s="2" t="inlineStr">
        <is>
          <t>005690</t>
        </is>
      </c>
      <c r="E12153" s="3" t="inlineStr">
        <is>
          <t>임원ㆍ주요주주특정증권등소유상황보고서</t>
        </is>
      </c>
      <c r="F12153" s="3" t="inlineStr">
        <is>
          <t>배의한</t>
        </is>
      </c>
      <c r="G12153" s="2" t="inlineStr">
        <is>
          <t>20260619000463</t>
        </is>
      </c>
      <c r="H12153" s="8">
        <f>HYPERLINK("https://dart.fss.or.kr/dsaf001/main.do?rcpNo=20260619000463", "공시열람")</f>
        <v/>
      </c>
    </row>
    <row r="12154">
      <c r="A12154" s="2" t="inlineStr">
        <is>
          <t>2026-06-19</t>
        </is>
      </c>
      <c r="B12154" s="3" t="inlineStr">
        <is>
          <t>파미셀</t>
        </is>
      </c>
      <c r="C12154" s="2" t="inlineStr">
        <is>
          <t>코스피</t>
        </is>
      </c>
      <c r="D12154" s="2" t="inlineStr">
        <is>
          <t>005690</t>
        </is>
      </c>
      <c r="E12154" s="3" t="inlineStr">
        <is>
          <t>임원ㆍ주요주주특정증권등소유상황보고서</t>
        </is>
      </c>
      <c r="F12154" s="3" t="inlineStr">
        <is>
          <t>임영자</t>
        </is>
      </c>
      <c r="G12154" s="2" t="inlineStr">
        <is>
          <t>20260619000454</t>
        </is>
      </c>
      <c r="H12154" s="8">
        <f>HYPERLINK("https://dart.fss.or.kr/dsaf001/main.do?rcpNo=20260619000454", "공시열람")</f>
        <v/>
      </c>
    </row>
    <row r="12155">
      <c r="A12155" s="2" t="inlineStr">
        <is>
          <t>2026-06-19</t>
        </is>
      </c>
      <c r="B12155" s="3" t="inlineStr">
        <is>
          <t>파미셀</t>
        </is>
      </c>
      <c r="C12155" s="2" t="inlineStr">
        <is>
          <t>코스피</t>
        </is>
      </c>
      <c r="D12155" s="2" t="inlineStr">
        <is>
          <t>005690</t>
        </is>
      </c>
      <c r="E12155" s="3" t="inlineStr">
        <is>
          <t>임원ㆍ주요주주특정증권등소유상황보고서</t>
        </is>
      </c>
      <c r="F12155" s="3" t="inlineStr">
        <is>
          <t>장학순</t>
        </is>
      </c>
      <c r="G12155" s="2" t="inlineStr">
        <is>
          <t>20260619000443</t>
        </is>
      </c>
      <c r="H12155" s="8">
        <f>HYPERLINK("https://dart.fss.or.kr/dsaf001/main.do?rcpNo=20260619000443", "공시열람")</f>
        <v/>
      </c>
    </row>
    <row r="12156">
      <c r="A12156" s="2" t="inlineStr">
        <is>
          <t>2026-06-19</t>
        </is>
      </c>
      <c r="B12156" s="3" t="inlineStr">
        <is>
          <t>DB증권</t>
        </is>
      </c>
      <c r="C12156" s="2" t="inlineStr">
        <is>
          <t>코스피</t>
        </is>
      </c>
      <c r="D12156" s="2" t="inlineStr">
        <is>
          <t>016610</t>
        </is>
      </c>
      <c r="E12156" s="3" t="inlineStr">
        <is>
          <t>증권발행실적보고서</t>
        </is>
      </c>
      <c r="F12156" s="3" t="inlineStr">
        <is>
          <t>DB증권</t>
        </is>
      </c>
      <c r="G12156" s="2" t="inlineStr">
        <is>
          <t>20260619000436</t>
        </is>
      </c>
      <c r="H12156" s="8">
        <f>HYPERLINK("https://dart.fss.or.kr/dsaf001/main.do?rcpNo=20260619000436", "공시열람")</f>
        <v/>
      </c>
    </row>
    <row r="12157">
      <c r="A12157" s="2" t="inlineStr">
        <is>
          <t>2026-06-19</t>
        </is>
      </c>
      <c r="B12157" s="3" t="inlineStr">
        <is>
          <t>파미셀</t>
        </is>
      </c>
      <c r="C12157" s="2" t="inlineStr">
        <is>
          <t>코스피</t>
        </is>
      </c>
      <c r="D12157" s="2" t="inlineStr">
        <is>
          <t>005690</t>
        </is>
      </c>
      <c r="E12157" s="3" t="inlineStr">
        <is>
          <t>임원ㆍ주요주주특정증권등소유상황보고서</t>
        </is>
      </c>
      <c r="F12157" s="3" t="inlineStr">
        <is>
          <t>정순웅</t>
        </is>
      </c>
      <c r="G12157" s="2" t="inlineStr">
        <is>
          <t>20260619000435</t>
        </is>
      </c>
      <c r="H12157" s="8">
        <f>HYPERLINK("https://dart.fss.or.kr/dsaf001/main.do?rcpNo=20260619000435", "공시열람")</f>
        <v/>
      </c>
    </row>
    <row r="12158">
      <c r="A12158" s="2" t="inlineStr">
        <is>
          <t>2026-06-19</t>
        </is>
      </c>
      <c r="B12158" s="3" t="inlineStr">
        <is>
          <t>KX하이텍</t>
        </is>
      </c>
      <c r="C12158" s="2" t="inlineStr">
        <is>
          <t>코스닥</t>
        </is>
      </c>
      <c r="D12158" s="2" t="inlineStr">
        <is>
          <t>052900</t>
        </is>
      </c>
      <c r="E12158" s="3" t="inlineStr">
        <is>
          <t xml:space="preserve">전환청구권행사              </t>
        </is>
      </c>
      <c r="F12158" s="3" t="inlineStr">
        <is>
          <t>KX하이텍</t>
        </is>
      </c>
      <c r="G12158" s="2" t="inlineStr">
        <is>
          <t>20260619900691</t>
        </is>
      </c>
      <c r="H12158" s="8">
        <f>HYPERLINK("https://dart.fss.or.kr/dsaf001/main.do?rcpNo=20260619900691", "공시열람")</f>
        <v/>
      </c>
    </row>
    <row r="12159">
      <c r="A12159" s="2" t="inlineStr">
        <is>
          <t>2026-06-19</t>
        </is>
      </c>
      <c r="B12159" s="3" t="inlineStr">
        <is>
          <t>대동고려삼</t>
        </is>
      </c>
      <c r="C12159" s="2" t="inlineStr">
        <is>
          <t>코넥스</t>
        </is>
      </c>
      <c r="D12159" s="2" t="inlineStr">
        <is>
          <t>178600</t>
        </is>
      </c>
      <c r="E12159" s="3" t="inlineStr">
        <is>
          <t xml:space="preserve">기업설명회(IR)개최결과              </t>
        </is>
      </c>
      <c r="F12159" s="3" t="inlineStr">
        <is>
          <t>대동고려삼</t>
        </is>
      </c>
      <c r="G12159" s="2" t="inlineStr">
        <is>
          <t>20260619600668</t>
        </is>
      </c>
      <c r="H12159" s="8">
        <f>HYPERLINK("https://dart.fss.or.kr/dsaf001/main.do?rcpNo=20260619600668", "공시열람")</f>
        <v/>
      </c>
    </row>
    <row r="12160">
      <c r="A12160" s="2" t="inlineStr">
        <is>
          <t>2026-06-19</t>
        </is>
      </c>
      <c r="B12160" s="3" t="inlineStr">
        <is>
          <t>DB증권</t>
        </is>
      </c>
      <c r="C12160" s="2" t="inlineStr">
        <is>
          <t>코스피</t>
        </is>
      </c>
      <c r="D12160" s="2" t="inlineStr">
        <is>
          <t>016610</t>
        </is>
      </c>
      <c r="E12160" s="3" t="inlineStr">
        <is>
          <t>증권발행실적보고서</t>
        </is>
      </c>
      <c r="F12160" s="3" t="inlineStr">
        <is>
          <t>DB증권</t>
        </is>
      </c>
      <c r="G12160" s="2" t="inlineStr">
        <is>
          <t>20260619000429</t>
        </is>
      </c>
      <c r="H12160" s="8">
        <f>HYPERLINK("https://dart.fss.or.kr/dsaf001/main.do?rcpNo=20260619000429", "공시열람")</f>
        <v/>
      </c>
    </row>
    <row r="12161">
      <c r="A12161" s="2" t="inlineStr">
        <is>
          <t>2026-06-19</t>
        </is>
      </c>
      <c r="B12161" s="3" t="inlineStr">
        <is>
          <t>에치에프알</t>
        </is>
      </c>
      <c r="C12161" s="2" t="inlineStr">
        <is>
          <t>코스닥</t>
        </is>
      </c>
      <c r="D12161" s="2" t="inlineStr">
        <is>
          <t>230240</t>
        </is>
      </c>
      <c r="E12161" s="3" t="inlineStr">
        <is>
          <t xml:space="preserve">주주명부폐쇄기간또는기준일설정              </t>
        </is>
      </c>
      <c r="F12161" s="3" t="inlineStr">
        <is>
          <t>에치에프알</t>
        </is>
      </c>
      <c r="G12161" s="2" t="inlineStr">
        <is>
          <t>20260619900684</t>
        </is>
      </c>
      <c r="H12161" s="8">
        <f>HYPERLINK("https://dart.fss.or.kr/dsaf001/main.do?rcpNo=20260619900684", "공시열람")</f>
        <v/>
      </c>
    </row>
    <row r="12162">
      <c r="A12162" s="2" t="inlineStr">
        <is>
          <t>2026-06-19</t>
        </is>
      </c>
      <c r="B12162" s="3" t="inlineStr">
        <is>
          <t>파미셀</t>
        </is>
      </c>
      <c r="C12162" s="2" t="inlineStr">
        <is>
          <t>코스피</t>
        </is>
      </c>
      <c r="D12162" s="2" t="inlineStr">
        <is>
          <t>005690</t>
        </is>
      </c>
      <c r="E12162" s="3" t="inlineStr">
        <is>
          <t>임원ㆍ주요주주특정증권등소유상황보고서</t>
        </is>
      </c>
      <c r="F12162" s="3" t="inlineStr">
        <is>
          <t>김수찬</t>
        </is>
      </c>
      <c r="G12162" s="2" t="inlineStr">
        <is>
          <t>20260619000424</t>
        </is>
      </c>
      <c r="H12162" s="8">
        <f>HYPERLINK("https://dart.fss.or.kr/dsaf001/main.do?rcpNo=20260619000424", "공시열람")</f>
        <v/>
      </c>
    </row>
    <row r="12163">
      <c r="A12163" s="2" t="inlineStr">
        <is>
          <t>2026-06-19</t>
        </is>
      </c>
      <c r="B12163" s="3" t="inlineStr">
        <is>
          <t>DB증권</t>
        </is>
      </c>
      <c r="C12163" s="2" t="inlineStr">
        <is>
          <t>코스피</t>
        </is>
      </c>
      <c r="D12163" s="2" t="inlineStr">
        <is>
          <t>016610</t>
        </is>
      </c>
      <c r="E12163" s="3" t="inlineStr">
        <is>
          <t>증권발행실적보고서</t>
        </is>
      </c>
      <c r="F12163" s="3" t="inlineStr">
        <is>
          <t>DB증권</t>
        </is>
      </c>
      <c r="G12163" s="2" t="inlineStr">
        <is>
          <t>20260619000422</t>
        </is>
      </c>
      <c r="H12163" s="8">
        <f>HYPERLINK("https://dart.fss.or.kr/dsaf001/main.do?rcpNo=20260619000422", "공시열람")</f>
        <v/>
      </c>
    </row>
    <row r="12164">
      <c r="A12164" s="2" t="inlineStr">
        <is>
          <t>2026-06-19</t>
        </is>
      </c>
      <c r="B12164" s="3" t="inlineStr">
        <is>
          <t>DB증권</t>
        </is>
      </c>
      <c r="C12164" s="2" t="inlineStr">
        <is>
          <t>코스피</t>
        </is>
      </c>
      <c r="D12164" s="2" t="inlineStr">
        <is>
          <t>016610</t>
        </is>
      </c>
      <c r="E12164" s="3" t="inlineStr">
        <is>
          <t>증권발행실적보고서</t>
        </is>
      </c>
      <c r="F12164" s="3" t="inlineStr">
        <is>
          <t>DB증권</t>
        </is>
      </c>
      <c r="G12164" s="2" t="inlineStr">
        <is>
          <t>20260619000420</t>
        </is>
      </c>
      <c r="H12164" s="8">
        <f>HYPERLINK("https://dart.fss.or.kr/dsaf001/main.do?rcpNo=20260619000420", "공시열람")</f>
        <v/>
      </c>
    </row>
    <row r="12165">
      <c r="A12165" s="2" t="inlineStr">
        <is>
          <t>2026-06-19</t>
        </is>
      </c>
      <c r="B12165" s="3" t="inlineStr">
        <is>
          <t>마키나락스</t>
        </is>
      </c>
      <c r="C12165" s="2" t="inlineStr">
        <is>
          <t>코스닥</t>
        </is>
      </c>
      <c r="D12165" s="2" t="inlineStr">
        <is>
          <t>477850</t>
        </is>
      </c>
      <c r="E12165" s="3" t="inlineStr">
        <is>
          <t>임원ㆍ주요주주특정증권등소유상황보고서</t>
        </is>
      </c>
      <c r="F12165" s="3" t="inlineStr">
        <is>
          <t>허영신</t>
        </is>
      </c>
      <c r="G12165" s="2" t="inlineStr">
        <is>
          <t>20260619000417</t>
        </is>
      </c>
      <c r="H12165" s="8">
        <f>HYPERLINK("https://dart.fss.or.kr/dsaf001/main.do?rcpNo=20260619000417", "공시열람")</f>
        <v/>
      </c>
    </row>
    <row r="12166">
      <c r="A12166" s="2" t="inlineStr">
        <is>
          <t>2026-06-19</t>
        </is>
      </c>
      <c r="B12166" s="3" t="inlineStr">
        <is>
          <t>디에이치엑스컴퍼니</t>
        </is>
      </c>
      <c r="C12166" s="2" t="inlineStr">
        <is>
          <t>코스닥</t>
        </is>
      </c>
      <c r="D12166" s="2" t="inlineStr">
        <is>
          <t>031860</t>
        </is>
      </c>
      <c r="E12166" s="3" t="inlineStr">
        <is>
          <t xml:space="preserve">[기재정정]주식병합결정              </t>
        </is>
      </c>
      <c r="F12166" s="3" t="inlineStr">
        <is>
          <t>디에이치엑스컴퍼니</t>
        </is>
      </c>
      <c r="G12166" s="2" t="inlineStr">
        <is>
          <t>20260619900632</t>
        </is>
      </c>
      <c r="H12166" s="8">
        <f>HYPERLINK("https://dart.fss.or.kr/dsaf001/main.do?rcpNo=20260619900632", "공시열람")</f>
        <v/>
      </c>
    </row>
    <row r="12167">
      <c r="A12167" s="2" t="inlineStr">
        <is>
          <t>2026-06-19 (정정: 2026-06-22)</t>
        </is>
      </c>
      <c r="B12167" s="3" t="inlineStr">
        <is>
          <t>NH투자증권</t>
        </is>
      </c>
      <c r="C12167" s="2" t="inlineStr">
        <is>
          <t>코스피</t>
        </is>
      </c>
      <c r="D12167" s="2" t="inlineStr">
        <is>
          <t>005940</t>
        </is>
      </c>
      <c r="E12167" s="3" t="inlineStr">
        <is>
          <t>증권발행실적보고서 (정정: 20260622) (정정: 20260622)</t>
        </is>
      </c>
      <c r="F12167" s="3" t="inlineStr">
        <is>
          <t>NH투자증권</t>
        </is>
      </c>
      <c r="G12167" s="2" t="inlineStr">
        <is>
          <t>20260622000410</t>
        </is>
      </c>
      <c r="H12167" s="8">
        <f>HYPERLINK("https://dart.fss.or.kr/dsaf001/main.do?rcpNo=20260622000410", "공시열람")</f>
        <v/>
      </c>
    </row>
    <row r="12168">
      <c r="A12168" s="2" t="inlineStr">
        <is>
          <t>2026-06-19</t>
        </is>
      </c>
      <c r="B12168" s="3" t="inlineStr">
        <is>
          <t>틸론</t>
        </is>
      </c>
      <c r="C12168" s="2" t="inlineStr">
        <is>
          <t>코넥스</t>
        </is>
      </c>
      <c r="D12168" s="2" t="inlineStr">
        <is>
          <t>217880</t>
        </is>
      </c>
      <c r="E12168" s="3" t="inlineStr">
        <is>
          <t xml:space="preserve">주주명부폐쇄기간또는기준일설정              </t>
        </is>
      </c>
      <c r="F12168" s="3" t="inlineStr">
        <is>
          <t>틸론</t>
        </is>
      </c>
      <c r="G12168" s="2" t="inlineStr">
        <is>
          <t>20260619600672</t>
        </is>
      </c>
      <c r="H12168" s="8">
        <f>HYPERLINK("https://dart.fss.or.kr/dsaf001/main.do?rcpNo=20260619600672", "공시열람")</f>
        <v/>
      </c>
    </row>
    <row r="12169">
      <c r="A12169" s="2" t="inlineStr">
        <is>
          <t>2026-06-19</t>
        </is>
      </c>
      <c r="B12169" s="3" t="inlineStr">
        <is>
          <t>DB증권</t>
        </is>
      </c>
      <c r="C12169" s="2" t="inlineStr">
        <is>
          <t>코스피</t>
        </is>
      </c>
      <c r="D12169" s="2" t="inlineStr">
        <is>
          <t>016610</t>
        </is>
      </c>
      <c r="E12169" s="3" t="inlineStr">
        <is>
          <t>증권발행실적보고서</t>
        </is>
      </c>
      <c r="F12169" s="3" t="inlineStr">
        <is>
          <t>DB증권</t>
        </is>
      </c>
      <c r="G12169" s="2" t="inlineStr">
        <is>
          <t>20260619000408</t>
        </is>
      </c>
      <c r="H12169" s="8">
        <f>HYPERLINK("https://dart.fss.or.kr/dsaf001/main.do?rcpNo=20260619000408", "공시열람")</f>
        <v/>
      </c>
    </row>
    <row r="12170">
      <c r="A12170" s="2" t="inlineStr">
        <is>
          <t>2026-06-19</t>
        </is>
      </c>
      <c r="B12170" s="3" t="inlineStr">
        <is>
          <t>이엠티</t>
        </is>
      </c>
      <c r="C12170" s="2" t="inlineStr">
        <is>
          <t>코넥스</t>
        </is>
      </c>
      <c r="D12170" s="2" t="inlineStr">
        <is>
          <t>232530</t>
        </is>
      </c>
      <c r="E12170" s="3" t="inlineStr">
        <is>
          <t xml:space="preserve">기업설명회(IR)개최결과              </t>
        </is>
      </c>
      <c r="F12170" s="3" t="inlineStr">
        <is>
          <t>이엠티</t>
        </is>
      </c>
      <c r="G12170" s="2" t="inlineStr">
        <is>
          <t>20260619600664</t>
        </is>
      </c>
      <c r="H12170" s="8">
        <f>HYPERLINK("https://dart.fss.or.kr/dsaf001/main.do?rcpNo=20260619600664", "공시열람")</f>
        <v/>
      </c>
    </row>
    <row r="12171">
      <c r="A12171" s="2" t="inlineStr">
        <is>
          <t>2026-06-19</t>
        </is>
      </c>
      <c r="B12171" s="3" t="inlineStr">
        <is>
          <t>키움증권</t>
        </is>
      </c>
      <c r="C12171" s="2" t="inlineStr">
        <is>
          <t>코스피</t>
        </is>
      </c>
      <c r="D12171" s="2" t="inlineStr">
        <is>
          <t>039490</t>
        </is>
      </c>
      <c r="E12171" s="3" t="inlineStr">
        <is>
          <t>증권발행실적보고서</t>
        </is>
      </c>
      <c r="F12171" s="3" t="inlineStr">
        <is>
          <t>키움증권</t>
        </is>
      </c>
      <c r="G12171" s="2" t="inlineStr">
        <is>
          <t>20260619000402</t>
        </is>
      </c>
      <c r="H12171" s="8">
        <f>HYPERLINK("https://dart.fss.or.kr/dsaf001/main.do?rcpNo=20260619000402", "공시열람")</f>
        <v/>
      </c>
    </row>
    <row r="12172">
      <c r="A12172" s="2" t="inlineStr">
        <is>
          <t>2026-06-19</t>
        </is>
      </c>
      <c r="B12172" s="3" t="inlineStr">
        <is>
          <t>한화투자증권</t>
        </is>
      </c>
      <c r="C12172" s="2" t="inlineStr">
        <is>
          <t>코스피</t>
        </is>
      </c>
      <c r="D12172" s="2" t="inlineStr">
        <is>
          <t>003530</t>
        </is>
      </c>
      <c r="E12172" s="3" t="inlineStr">
        <is>
          <t>증권발행실적보고서</t>
        </is>
      </c>
      <c r="F12172" s="3" t="inlineStr">
        <is>
          <t>한화투자증권</t>
        </is>
      </c>
      <c r="G12172" s="2" t="inlineStr">
        <is>
          <t>20260619000397</t>
        </is>
      </c>
      <c r="H12172" s="8">
        <f>HYPERLINK("https://dart.fss.or.kr/dsaf001/main.do?rcpNo=20260619000397", "공시열람")</f>
        <v/>
      </c>
    </row>
    <row r="12173">
      <c r="A12173" s="2" t="inlineStr">
        <is>
          <t>2026-06-19</t>
        </is>
      </c>
      <c r="B12173" s="3" t="inlineStr">
        <is>
          <t>교보증권</t>
        </is>
      </c>
      <c r="C12173" s="2" t="inlineStr">
        <is>
          <t>코스피</t>
        </is>
      </c>
      <c r="D12173" s="2" t="inlineStr">
        <is>
          <t>030610</t>
        </is>
      </c>
      <c r="E12173" s="3" t="inlineStr">
        <is>
          <t>증권발행실적보고서</t>
        </is>
      </c>
      <c r="F12173" s="3" t="inlineStr">
        <is>
          <t>교보증권</t>
        </is>
      </c>
      <c r="G12173" s="2" t="inlineStr">
        <is>
          <t>20260619000396</t>
        </is>
      </c>
      <c r="H12173" s="8">
        <f>HYPERLINK("https://dart.fss.or.kr/dsaf001/main.do?rcpNo=20260619000396", "공시열람")</f>
        <v/>
      </c>
    </row>
    <row r="12174">
      <c r="A12174" s="2" t="inlineStr">
        <is>
          <t>2026-06-19</t>
        </is>
      </c>
      <c r="B12174" s="3" t="inlineStr">
        <is>
          <t>SK증권</t>
        </is>
      </c>
      <c r="C12174" s="2" t="inlineStr">
        <is>
          <t>코스피</t>
        </is>
      </c>
      <c r="D12174" s="2" t="inlineStr">
        <is>
          <t>001510</t>
        </is>
      </c>
      <c r="E12174" s="3" t="inlineStr">
        <is>
          <t>일괄신고추가서류(파생결합사채-주가연계파생결합사채)</t>
        </is>
      </c>
      <c r="F12174" s="3" t="inlineStr">
        <is>
          <t>SK증권</t>
        </is>
      </c>
      <c r="G12174" s="2" t="inlineStr">
        <is>
          <t>20260619000390</t>
        </is>
      </c>
      <c r="H12174" s="8">
        <f>HYPERLINK("https://dart.fss.or.kr/dsaf001/main.do?rcpNo=20260619000390", "공시열람")</f>
        <v/>
      </c>
    </row>
    <row r="12175">
      <c r="A12175" s="2" t="inlineStr">
        <is>
          <t>2026-06-19</t>
        </is>
      </c>
      <c r="B12175" s="3" t="inlineStr">
        <is>
          <t>교보증권</t>
        </is>
      </c>
      <c r="C12175" s="2" t="inlineStr">
        <is>
          <t>코스피</t>
        </is>
      </c>
      <c r="D12175" s="2" t="inlineStr">
        <is>
          <t>030610</t>
        </is>
      </c>
      <c r="E12175" s="3" t="inlineStr">
        <is>
          <t>증권발행실적보고서</t>
        </is>
      </c>
      <c r="F12175" s="3" t="inlineStr">
        <is>
          <t>교보증권</t>
        </is>
      </c>
      <c r="G12175" s="2" t="inlineStr">
        <is>
          <t>20260619000382</t>
        </is>
      </c>
      <c r="H12175" s="8">
        <f>HYPERLINK("https://dart.fss.or.kr/dsaf001/main.do?rcpNo=20260619000382", "공시열람")</f>
        <v/>
      </c>
    </row>
    <row r="12176">
      <c r="A12176" s="2" t="inlineStr">
        <is>
          <t>2026-06-19</t>
        </is>
      </c>
      <c r="B12176" s="3" t="inlineStr">
        <is>
          <t>하나금융지주</t>
        </is>
      </c>
      <c r="C12176" s="2" t="inlineStr">
        <is>
          <t>코스피</t>
        </is>
      </c>
      <c r="D12176" s="2" t="inlineStr">
        <is>
          <t>086790</t>
        </is>
      </c>
      <c r="E12176" s="3" t="inlineStr">
        <is>
          <t xml:space="preserve">기업설명회(IR)개최(안내공시)              </t>
        </is>
      </c>
      <c r="F12176" s="3" t="inlineStr">
        <is>
          <t>하나금융지주</t>
        </is>
      </c>
      <c r="G12176" s="2" t="inlineStr">
        <is>
          <t>20260619800652</t>
        </is>
      </c>
      <c r="H12176" s="8">
        <f>HYPERLINK("https://dart.fss.or.kr/dsaf001/main.do?rcpNo=20260619800652", "공시열람")</f>
        <v/>
      </c>
    </row>
    <row r="12177">
      <c r="A12177" s="2" t="inlineStr">
        <is>
          <t>2026-06-19</t>
        </is>
      </c>
      <c r="B12177" s="3" t="inlineStr">
        <is>
          <t>교보증권</t>
        </is>
      </c>
      <c r="C12177" s="2" t="inlineStr">
        <is>
          <t>코스피</t>
        </is>
      </c>
      <c r="D12177" s="2" t="inlineStr">
        <is>
          <t>030610</t>
        </is>
      </c>
      <c r="E12177" s="3" t="inlineStr">
        <is>
          <t>증권발행실적보고서</t>
        </is>
      </c>
      <c r="F12177" s="3" t="inlineStr">
        <is>
          <t>교보증권</t>
        </is>
      </c>
      <c r="G12177" s="2" t="inlineStr">
        <is>
          <t>20260619000376</t>
        </is>
      </c>
      <c r="H12177" s="8">
        <f>HYPERLINK("https://dart.fss.or.kr/dsaf001/main.do?rcpNo=20260619000376", "공시열람")</f>
        <v/>
      </c>
    </row>
    <row r="12178">
      <c r="A12178" s="2" t="inlineStr">
        <is>
          <t>2026-06-19</t>
        </is>
      </c>
      <c r="B12178" s="3" t="inlineStr">
        <is>
          <t>대신증권</t>
        </is>
      </c>
      <c r="C12178" s="2" t="inlineStr">
        <is>
          <t>코스피</t>
        </is>
      </c>
      <c r="D12178" s="2" t="inlineStr">
        <is>
          <t>003540</t>
        </is>
      </c>
      <c r="E12178" s="3" t="inlineStr">
        <is>
          <t>투자설명서(일괄신고)</t>
        </is>
      </c>
      <c r="F12178" s="3" t="inlineStr">
        <is>
          <t>대신증권</t>
        </is>
      </c>
      <c r="G12178" s="2" t="inlineStr">
        <is>
          <t>20260619000375</t>
        </is>
      </c>
      <c r="H12178" s="8">
        <f>HYPERLINK("https://dart.fss.or.kr/dsaf001/main.do?rcpNo=20260619000375", "공시열람")</f>
        <v/>
      </c>
    </row>
    <row r="12179">
      <c r="A12179" s="2" t="inlineStr">
        <is>
          <t>2026-06-19</t>
        </is>
      </c>
      <c r="B12179" s="3" t="inlineStr">
        <is>
          <t>미래에셋증권</t>
        </is>
      </c>
      <c r="C12179" s="2" t="inlineStr">
        <is>
          <t>코스피</t>
        </is>
      </c>
      <c r="D12179" s="2" t="inlineStr">
        <is>
          <t>006800</t>
        </is>
      </c>
      <c r="E12179" s="3" t="inlineStr">
        <is>
          <t>[기재정정]투자설명서(일괄신고)</t>
        </is>
      </c>
      <c r="F12179" s="3" t="inlineStr">
        <is>
          <t>미래에셋증권</t>
        </is>
      </c>
      <c r="G12179" s="2" t="inlineStr">
        <is>
          <t>20260619000374</t>
        </is>
      </c>
      <c r="H12179" s="8">
        <f>HYPERLINK("https://dart.fss.or.kr/dsaf001/main.do?rcpNo=20260619000374", "공시열람")</f>
        <v/>
      </c>
    </row>
    <row r="12180">
      <c r="A12180" s="2" t="inlineStr">
        <is>
          <t>2026-06-19</t>
        </is>
      </c>
      <c r="B12180" s="3" t="inlineStr">
        <is>
          <t>교보증권</t>
        </is>
      </c>
      <c r="C12180" s="2" t="inlineStr">
        <is>
          <t>코스피</t>
        </is>
      </c>
      <c r="D12180" s="2" t="inlineStr">
        <is>
          <t>030610</t>
        </is>
      </c>
      <c r="E12180" s="3" t="inlineStr">
        <is>
          <t>증권발행실적보고서</t>
        </is>
      </c>
      <c r="F12180" s="3" t="inlineStr">
        <is>
          <t>교보증권</t>
        </is>
      </c>
      <c r="G12180" s="2" t="inlineStr">
        <is>
          <t>20260619000370</t>
        </is>
      </c>
      <c r="H12180" s="8">
        <f>HYPERLINK("https://dart.fss.or.kr/dsaf001/main.do?rcpNo=20260619000370", "공시열람")</f>
        <v/>
      </c>
    </row>
    <row r="12181">
      <c r="A12181" s="2" t="inlineStr">
        <is>
          <t>2026-06-19</t>
        </is>
      </c>
      <c r="B12181" s="3" t="inlineStr">
        <is>
          <t>티엘비</t>
        </is>
      </c>
      <c r="C12181" s="2" t="inlineStr">
        <is>
          <t>코스닥</t>
        </is>
      </c>
      <c r="D12181" s="2" t="inlineStr">
        <is>
          <t>356860</t>
        </is>
      </c>
      <c r="E12181" s="3" t="inlineStr">
        <is>
          <t>임원ㆍ주요주주특정증권등소유상황보고서</t>
        </is>
      </c>
      <c r="F12181" s="3" t="inlineStr">
        <is>
          <t>한현종</t>
        </is>
      </c>
      <c r="G12181" s="2" t="inlineStr">
        <is>
          <t>20260619000350</t>
        </is>
      </c>
      <c r="H12181" s="8">
        <f>HYPERLINK("https://dart.fss.or.kr/dsaf001/main.do?rcpNo=20260619000350", "공시열람")</f>
        <v/>
      </c>
    </row>
    <row r="12182">
      <c r="A12182" s="2" t="inlineStr">
        <is>
          <t>2026-06-19</t>
        </is>
      </c>
      <c r="B12182" s="3" t="inlineStr">
        <is>
          <t>티엘비</t>
        </is>
      </c>
      <c r="C12182" s="2" t="inlineStr">
        <is>
          <t>코스닥</t>
        </is>
      </c>
      <c r="D12182" s="2" t="inlineStr">
        <is>
          <t>356860</t>
        </is>
      </c>
      <c r="E12182" s="3" t="inlineStr">
        <is>
          <t>임원ㆍ주요주주특정증권등소유상황보고서</t>
        </is>
      </c>
      <c r="F12182" s="3" t="inlineStr">
        <is>
          <t>오정훈</t>
        </is>
      </c>
      <c r="G12182" s="2" t="inlineStr">
        <is>
          <t>20260619000346</t>
        </is>
      </c>
      <c r="H12182" s="8">
        <f>HYPERLINK("https://dart.fss.or.kr/dsaf001/main.do?rcpNo=20260619000346", "공시열람")</f>
        <v/>
      </c>
    </row>
    <row r="12183">
      <c r="A12183" s="2" t="inlineStr">
        <is>
          <t>2026-06-19</t>
        </is>
      </c>
      <c r="B12183" s="3" t="inlineStr">
        <is>
          <t>티엘비</t>
        </is>
      </c>
      <c r="C12183" s="2" t="inlineStr">
        <is>
          <t>코스닥</t>
        </is>
      </c>
      <c r="D12183" s="2" t="inlineStr">
        <is>
          <t>356860</t>
        </is>
      </c>
      <c r="E12183" s="3" t="inlineStr">
        <is>
          <t>임원ㆍ주요주주특정증권등소유상황보고서</t>
        </is>
      </c>
      <c r="F12183" s="3" t="inlineStr">
        <is>
          <t>신원길</t>
        </is>
      </c>
      <c r="G12183" s="2" t="inlineStr">
        <is>
          <t>20260619000340</t>
        </is>
      </c>
      <c r="H12183" s="8">
        <f>HYPERLINK("https://dart.fss.or.kr/dsaf001/main.do?rcpNo=20260619000340", "공시열람")</f>
        <v/>
      </c>
    </row>
    <row r="12184">
      <c r="A12184" s="2" t="inlineStr">
        <is>
          <t>2026-06-19</t>
        </is>
      </c>
      <c r="B12184" s="3" t="inlineStr">
        <is>
          <t>애드바이오텍</t>
        </is>
      </c>
      <c r="C12184" s="2" t="inlineStr">
        <is>
          <t>코스닥</t>
        </is>
      </c>
      <c r="D12184" s="2" t="inlineStr">
        <is>
          <t>179530</t>
        </is>
      </c>
      <c r="E12184" s="3" t="inlineStr">
        <is>
          <t xml:space="preserve">대표이사변경              </t>
        </is>
      </c>
      <c r="F12184" s="3" t="inlineStr">
        <is>
          <t>애드바이오텍</t>
        </is>
      </c>
      <c r="G12184" s="2" t="inlineStr">
        <is>
          <t>20260619900588</t>
        </is>
      </c>
      <c r="H12184" s="8">
        <f>HYPERLINK("https://dart.fss.or.kr/dsaf001/main.do?rcpNo=20260619900588", "공시열람")</f>
        <v/>
      </c>
    </row>
    <row r="12185">
      <c r="A12185" s="2" t="inlineStr">
        <is>
          <t>2026-06-19</t>
        </is>
      </c>
      <c r="B12185" s="3" t="inlineStr">
        <is>
          <t>미래에셋증권</t>
        </is>
      </c>
      <c r="C12185" s="2" t="inlineStr">
        <is>
          <t>코스피</t>
        </is>
      </c>
      <c r="D12185" s="2" t="inlineStr">
        <is>
          <t>006800</t>
        </is>
      </c>
      <c r="E12185" s="3" t="inlineStr">
        <is>
          <t>[기재정정]일괄신고추가서류(기타파생결합사채)</t>
        </is>
      </c>
      <c r="F12185" s="3" t="inlineStr">
        <is>
          <t>미래에셋증권</t>
        </is>
      </c>
      <c r="G12185" s="2" t="inlineStr">
        <is>
          <t>20260619000336</t>
        </is>
      </c>
      <c r="H12185" s="8">
        <f>HYPERLINK("https://dart.fss.or.kr/dsaf001/main.do?rcpNo=20260619000336", "공시열람")</f>
        <v/>
      </c>
    </row>
    <row r="12186">
      <c r="A12186" s="2" t="inlineStr">
        <is>
          <t>2026-06-19</t>
        </is>
      </c>
      <c r="B12186" s="3" t="inlineStr">
        <is>
          <t>티엘비</t>
        </is>
      </c>
      <c r="C12186" s="2" t="inlineStr">
        <is>
          <t>코스닥</t>
        </is>
      </c>
      <c r="D12186" s="2" t="inlineStr">
        <is>
          <t>356860</t>
        </is>
      </c>
      <c r="E12186" s="3" t="inlineStr">
        <is>
          <t>임원ㆍ주요주주특정증권등소유상황보고서</t>
        </is>
      </c>
      <c r="F12186" s="3" t="inlineStr">
        <is>
          <t>박상익</t>
        </is>
      </c>
      <c r="G12186" s="2" t="inlineStr">
        <is>
          <t>20260619000335</t>
        </is>
      </c>
      <c r="H12186" s="8">
        <f>HYPERLINK("https://dart.fss.or.kr/dsaf001/main.do?rcpNo=20260619000335", "공시열람")</f>
        <v/>
      </c>
    </row>
    <row r="12187">
      <c r="A12187" s="2" t="inlineStr">
        <is>
          <t>2026-06-19</t>
        </is>
      </c>
      <c r="B12187" s="3" t="inlineStr">
        <is>
          <t>미트박스</t>
        </is>
      </c>
      <c r="C12187" s="2" t="inlineStr">
        <is>
          <t>코스닥</t>
        </is>
      </c>
      <c r="D12187" s="2" t="inlineStr">
        <is>
          <t>475460</t>
        </is>
      </c>
      <c r="E12187" s="3" t="inlineStr">
        <is>
          <t>임원ㆍ주요주주특정증권등소유상황보고서</t>
        </is>
      </c>
      <c r="F12187" s="3" t="inlineStr">
        <is>
          <t>오세흥</t>
        </is>
      </c>
      <c r="G12187" s="2" t="inlineStr">
        <is>
          <t>20260619000330</t>
        </is>
      </c>
      <c r="H12187" s="8">
        <f>HYPERLINK("https://dart.fss.or.kr/dsaf001/main.do?rcpNo=20260619000330", "공시열람")</f>
        <v/>
      </c>
    </row>
    <row r="12188">
      <c r="A12188" s="2" t="inlineStr">
        <is>
          <t>2026-06-19</t>
        </is>
      </c>
      <c r="B12188" s="3" t="inlineStr">
        <is>
          <t>티엘비</t>
        </is>
      </c>
      <c r="C12188" s="2" t="inlineStr">
        <is>
          <t>코스닥</t>
        </is>
      </c>
      <c r="D12188" s="2" t="inlineStr">
        <is>
          <t>356860</t>
        </is>
      </c>
      <c r="E12188" s="3" t="inlineStr">
        <is>
          <t>임원ㆍ주요주주특정증권등소유상황보고서</t>
        </is>
      </c>
      <c r="F12188" s="3" t="inlineStr">
        <is>
          <t>김용현</t>
        </is>
      </c>
      <c r="G12188" s="2" t="inlineStr">
        <is>
          <t>20260619000329</t>
        </is>
      </c>
      <c r="H12188" s="8">
        <f>HYPERLINK("https://dart.fss.or.kr/dsaf001/main.do?rcpNo=20260619000329", "공시열람")</f>
        <v/>
      </c>
    </row>
    <row r="12189">
      <c r="A12189" s="2" t="inlineStr">
        <is>
          <t>2026-06-19</t>
        </is>
      </c>
      <c r="B12189" s="3" t="inlineStr">
        <is>
          <t>교보증권</t>
        </is>
      </c>
      <c r="C12189" s="2" t="inlineStr">
        <is>
          <t>코스피</t>
        </is>
      </c>
      <c r="D12189" s="2" t="inlineStr">
        <is>
          <t>030610</t>
        </is>
      </c>
      <c r="E12189" s="3" t="inlineStr">
        <is>
          <t>증권발행실적보고서</t>
        </is>
      </c>
      <c r="F12189" s="3" t="inlineStr">
        <is>
          <t>교보증권</t>
        </is>
      </c>
      <c r="G12189" s="2" t="inlineStr">
        <is>
          <t>20260619000324</t>
        </is>
      </c>
      <c r="H12189" s="8">
        <f>HYPERLINK("https://dart.fss.or.kr/dsaf001/main.do?rcpNo=20260619000324", "공시열람")</f>
        <v/>
      </c>
    </row>
    <row r="12190">
      <c r="A12190" s="2" t="inlineStr">
        <is>
          <t>2026-06-19</t>
        </is>
      </c>
      <c r="B12190" s="3" t="inlineStr">
        <is>
          <t>티엘비</t>
        </is>
      </c>
      <c r="C12190" s="2" t="inlineStr">
        <is>
          <t>코스닥</t>
        </is>
      </c>
      <c r="D12190" s="2" t="inlineStr">
        <is>
          <t>356860</t>
        </is>
      </c>
      <c r="E12190" s="3" t="inlineStr">
        <is>
          <t>임원ㆍ주요주주특정증권등소유상황보고서</t>
        </is>
      </c>
      <c r="F12190" s="3" t="inlineStr">
        <is>
          <t>최민호</t>
        </is>
      </c>
      <c r="G12190" s="2" t="inlineStr">
        <is>
          <t>20260619000321</t>
        </is>
      </c>
      <c r="H12190" s="8">
        <f>HYPERLINK("https://dart.fss.or.kr/dsaf001/main.do?rcpNo=20260619000321", "공시열람")</f>
        <v/>
      </c>
    </row>
    <row r="12191">
      <c r="A12191" s="2" t="inlineStr">
        <is>
          <t>2026-06-19</t>
        </is>
      </c>
      <c r="B12191" s="3" t="inlineStr">
        <is>
          <t>미래에셋증권</t>
        </is>
      </c>
      <c r="C12191" s="2" t="inlineStr">
        <is>
          <t>코스피</t>
        </is>
      </c>
      <c r="D12191" s="2" t="inlineStr">
        <is>
          <t>006800</t>
        </is>
      </c>
      <c r="E12191" s="3" t="inlineStr">
        <is>
          <t>증권발행실적보고서</t>
        </is>
      </c>
      <c r="F12191" s="3" t="inlineStr">
        <is>
          <t>미래에셋증권</t>
        </is>
      </c>
      <c r="G12191" s="2" t="inlineStr">
        <is>
          <t>20260619000319</t>
        </is>
      </c>
      <c r="H12191" s="8">
        <f>HYPERLINK("https://dart.fss.or.kr/dsaf001/main.do?rcpNo=20260619000319", "공시열람")</f>
        <v/>
      </c>
    </row>
    <row r="12192">
      <c r="A12192" s="2" t="inlineStr">
        <is>
          <t>2026-06-19</t>
        </is>
      </c>
      <c r="B12192" s="3" t="inlineStr">
        <is>
          <t>엔솔바이오사이언스</t>
        </is>
      </c>
      <c r="C12192" s="2" t="inlineStr">
        <is>
          <t>코넥스</t>
        </is>
      </c>
      <c r="D12192" s="2" t="inlineStr">
        <is>
          <t>140610</t>
        </is>
      </c>
      <c r="E12192" s="3" t="inlineStr">
        <is>
          <t>증권발행결과(자율공시)              (제3자배정 유상증자)</t>
        </is>
      </c>
      <c r="F12192" s="3" t="inlineStr">
        <is>
          <t>엔솔바이오사이언스</t>
        </is>
      </c>
      <c r="G12192" s="2" t="inlineStr">
        <is>
          <t>20260619600554</t>
        </is>
      </c>
      <c r="H12192" s="8">
        <f>HYPERLINK("https://dart.fss.or.kr/dsaf001/main.do?rcpNo=20260619600554", "공시열람")</f>
        <v/>
      </c>
    </row>
    <row r="12193">
      <c r="A12193" s="2" t="inlineStr">
        <is>
          <t>2026-06-19</t>
        </is>
      </c>
      <c r="B12193" s="3" t="inlineStr">
        <is>
          <t>티엘비</t>
        </is>
      </c>
      <c r="C12193" s="2" t="inlineStr">
        <is>
          <t>코스닥</t>
        </is>
      </c>
      <c r="D12193" s="2" t="inlineStr">
        <is>
          <t>356860</t>
        </is>
      </c>
      <c r="E12193" s="3" t="inlineStr">
        <is>
          <t>임원ㆍ주요주주특정증권등소유상황보고서</t>
        </is>
      </c>
      <c r="F12193" s="3" t="inlineStr">
        <is>
          <t>조승건</t>
        </is>
      </c>
      <c r="G12193" s="2" t="inlineStr">
        <is>
          <t>20260619000308</t>
        </is>
      </c>
      <c r="H12193" s="8">
        <f>HYPERLINK("https://dart.fss.or.kr/dsaf001/main.do?rcpNo=20260619000308", "공시열람")</f>
        <v/>
      </c>
    </row>
    <row r="12194">
      <c r="A12194" s="2" t="inlineStr">
        <is>
          <t>2026-06-19</t>
        </is>
      </c>
      <c r="B12194" s="3" t="inlineStr">
        <is>
          <t>교보증권</t>
        </is>
      </c>
      <c r="C12194" s="2" t="inlineStr">
        <is>
          <t>코스피</t>
        </is>
      </c>
      <c r="D12194" s="2" t="inlineStr">
        <is>
          <t>030610</t>
        </is>
      </c>
      <c r="E12194" s="3" t="inlineStr">
        <is>
          <t>증권발행실적보고서</t>
        </is>
      </c>
      <c r="F12194" s="3" t="inlineStr">
        <is>
          <t>교보증권</t>
        </is>
      </c>
      <c r="G12194" s="2" t="inlineStr">
        <is>
          <t>20260619000304</t>
        </is>
      </c>
      <c r="H12194" s="8">
        <f>HYPERLINK("https://dart.fss.or.kr/dsaf001/main.do?rcpNo=20260619000304", "공시열람")</f>
        <v/>
      </c>
    </row>
    <row r="12195">
      <c r="A12195" s="2" t="inlineStr">
        <is>
          <t>2026-06-19</t>
        </is>
      </c>
      <c r="B12195" s="3" t="inlineStr">
        <is>
          <t>미래에셋증권</t>
        </is>
      </c>
      <c r="C12195" s="2" t="inlineStr">
        <is>
          <t>코스피</t>
        </is>
      </c>
      <c r="D12195" s="2" t="inlineStr">
        <is>
          <t>006800</t>
        </is>
      </c>
      <c r="E12195" s="3" t="inlineStr">
        <is>
          <t>증권발행실적보고서</t>
        </is>
      </c>
      <c r="F12195" s="3" t="inlineStr">
        <is>
          <t>미래에셋증권</t>
        </is>
      </c>
      <c r="G12195" s="2" t="inlineStr">
        <is>
          <t>20260619000300</t>
        </is>
      </c>
      <c r="H12195" s="8">
        <f>HYPERLINK("https://dart.fss.or.kr/dsaf001/main.do?rcpNo=20260619000300", "공시열람")</f>
        <v/>
      </c>
    </row>
    <row r="12196">
      <c r="A12196" s="2" t="inlineStr">
        <is>
          <t>2026-06-19</t>
        </is>
      </c>
      <c r="B12196" s="3" t="inlineStr">
        <is>
          <t>케이지에이</t>
        </is>
      </c>
      <c r="C12196" s="2" t="inlineStr">
        <is>
          <t>코스닥</t>
        </is>
      </c>
      <c r="D12196" s="2" t="inlineStr">
        <is>
          <t>455180</t>
        </is>
      </c>
      <c r="E12196" s="3" t="inlineStr">
        <is>
          <t>임원ㆍ주요주주특정증권등소유상황보고서</t>
        </is>
      </c>
      <c r="F12196" s="3" t="inlineStr">
        <is>
          <t>김옥태</t>
        </is>
      </c>
      <c r="G12196" s="2" t="inlineStr">
        <is>
          <t>20260619000296</t>
        </is>
      </c>
      <c r="H12196" s="8">
        <f>HYPERLINK("https://dart.fss.or.kr/dsaf001/main.do?rcpNo=20260619000296", "공시열람")</f>
        <v/>
      </c>
    </row>
    <row r="12197">
      <c r="A12197" s="2" t="inlineStr">
        <is>
          <t>2026-06-19</t>
        </is>
      </c>
      <c r="B12197" s="3" t="inlineStr">
        <is>
          <t>현대차증권</t>
        </is>
      </c>
      <c r="C12197" s="2" t="inlineStr">
        <is>
          <t>코스피</t>
        </is>
      </c>
      <c r="D12197" s="2" t="inlineStr">
        <is>
          <t>001500</t>
        </is>
      </c>
      <c r="E12197" s="3" t="inlineStr">
        <is>
          <t>증권발행실적보고서</t>
        </is>
      </c>
      <c r="F12197" s="3" t="inlineStr">
        <is>
          <t>현대차증권</t>
        </is>
      </c>
      <c r="G12197" s="2" t="inlineStr">
        <is>
          <t>20260619000295</t>
        </is>
      </c>
      <c r="H12197" s="8">
        <f>HYPERLINK("https://dart.fss.or.kr/dsaf001/main.do?rcpNo=20260619000295", "공시열람")</f>
        <v/>
      </c>
    </row>
    <row r="12198">
      <c r="A12198" s="2" t="inlineStr">
        <is>
          <t>2026-06-19</t>
        </is>
      </c>
      <c r="B12198" s="3" t="inlineStr">
        <is>
          <t>티엘비</t>
        </is>
      </c>
      <c r="C12198" s="2" t="inlineStr">
        <is>
          <t>코스닥</t>
        </is>
      </c>
      <c r="D12198" s="2" t="inlineStr">
        <is>
          <t>356860</t>
        </is>
      </c>
      <c r="E12198" s="3" t="inlineStr">
        <is>
          <t>임원ㆍ주요주주특정증권등소유상황보고서</t>
        </is>
      </c>
      <c r="F12198" s="3" t="inlineStr">
        <is>
          <t>이세현</t>
        </is>
      </c>
      <c r="G12198" s="2" t="inlineStr">
        <is>
          <t>20260619000294</t>
        </is>
      </c>
      <c r="H12198" s="8">
        <f>HYPERLINK("https://dart.fss.or.kr/dsaf001/main.do?rcpNo=20260619000294", "공시열람")</f>
        <v/>
      </c>
    </row>
    <row r="12199">
      <c r="A12199" s="2" t="inlineStr">
        <is>
          <t>2026-06-19</t>
        </is>
      </c>
      <c r="B12199" s="3" t="inlineStr">
        <is>
          <t>SK증권</t>
        </is>
      </c>
      <c r="C12199" s="2" t="inlineStr">
        <is>
          <t>코스피</t>
        </is>
      </c>
      <c r="D12199" s="2" t="inlineStr">
        <is>
          <t>001510</t>
        </is>
      </c>
      <c r="E12199" s="3" t="inlineStr">
        <is>
          <t>증권발행실적보고서</t>
        </is>
      </c>
      <c r="F12199" s="3" t="inlineStr">
        <is>
          <t>SK증권</t>
        </is>
      </c>
      <c r="G12199" s="2" t="inlineStr">
        <is>
          <t>20260619000289</t>
        </is>
      </c>
      <c r="H12199" s="8">
        <f>HYPERLINK("https://dart.fss.or.kr/dsaf001/main.do?rcpNo=20260619000289", "공시열람")</f>
        <v/>
      </c>
    </row>
    <row r="12200">
      <c r="A12200" s="2" t="inlineStr">
        <is>
          <t>2026-06-19</t>
        </is>
      </c>
      <c r="B12200" s="3" t="inlineStr">
        <is>
          <t>교보증권</t>
        </is>
      </c>
      <c r="C12200" s="2" t="inlineStr">
        <is>
          <t>코스피</t>
        </is>
      </c>
      <c r="D12200" s="2" t="inlineStr">
        <is>
          <t>030610</t>
        </is>
      </c>
      <c r="E12200" s="3" t="inlineStr">
        <is>
          <t>증권발행실적보고서</t>
        </is>
      </c>
      <c r="F12200" s="3" t="inlineStr">
        <is>
          <t>교보증권</t>
        </is>
      </c>
      <c r="G12200" s="2" t="inlineStr">
        <is>
          <t>20260619000286</t>
        </is>
      </c>
      <c r="H12200" s="8">
        <f>HYPERLINK("https://dart.fss.or.kr/dsaf001/main.do?rcpNo=20260619000286", "공시열람")</f>
        <v/>
      </c>
    </row>
    <row r="12201">
      <c r="A12201" s="2" t="inlineStr">
        <is>
          <t>2026-06-19</t>
        </is>
      </c>
      <c r="B12201" s="3" t="inlineStr">
        <is>
          <t>삼성증권</t>
        </is>
      </c>
      <c r="C12201" s="2" t="inlineStr">
        <is>
          <t>코스피</t>
        </is>
      </c>
      <c r="D12201" s="2" t="inlineStr">
        <is>
          <t>016360</t>
        </is>
      </c>
      <c r="E12201" s="3" t="inlineStr">
        <is>
          <t>증권발행실적보고서</t>
        </is>
      </c>
      <c r="F12201" s="3" t="inlineStr">
        <is>
          <t>삼성증권</t>
        </is>
      </c>
      <c r="G12201" s="2" t="inlineStr">
        <is>
          <t>20260619000285</t>
        </is>
      </c>
      <c r="H12201" s="8">
        <f>HYPERLINK("https://dart.fss.or.kr/dsaf001/main.do?rcpNo=20260619000285", "공시열람")</f>
        <v/>
      </c>
    </row>
    <row r="12202">
      <c r="A12202" s="2" t="inlineStr">
        <is>
          <t>2026-06-19</t>
        </is>
      </c>
      <c r="B12202" s="3" t="inlineStr">
        <is>
          <t>삼성전자</t>
        </is>
      </c>
      <c r="C12202" s="2" t="inlineStr">
        <is>
          <t>코스피</t>
        </is>
      </c>
      <c r="D12202" s="2" t="inlineStr">
        <is>
          <t>005930</t>
        </is>
      </c>
      <c r="E12202" s="3" t="inlineStr">
        <is>
          <t>임원ㆍ주요주주특정증권등소유상황보고서</t>
        </is>
      </c>
      <c r="F12202" s="3" t="inlineStr">
        <is>
          <t>김재홍</t>
        </is>
      </c>
      <c r="G12202" s="2" t="inlineStr">
        <is>
          <t>20260619000284</t>
        </is>
      </c>
      <c r="H12202" s="8">
        <f>HYPERLINK("https://dart.fss.or.kr/dsaf001/main.do?rcpNo=20260619000284", "공시열람")</f>
        <v/>
      </c>
    </row>
    <row r="12203">
      <c r="A12203" s="2" t="inlineStr">
        <is>
          <t>2026-06-19</t>
        </is>
      </c>
      <c r="B12203" s="3" t="inlineStr">
        <is>
          <t>티엘비</t>
        </is>
      </c>
      <c r="C12203" s="2" t="inlineStr">
        <is>
          <t>코스닥</t>
        </is>
      </c>
      <c r="D12203" s="2" t="inlineStr">
        <is>
          <t>356860</t>
        </is>
      </c>
      <c r="E12203" s="3" t="inlineStr">
        <is>
          <t>임원ㆍ주요주주특정증권등소유상황보고서</t>
        </is>
      </c>
      <c r="F12203" s="3" t="inlineStr">
        <is>
          <t>백성현</t>
        </is>
      </c>
      <c r="G12203" s="2" t="inlineStr">
        <is>
          <t>20260619000282</t>
        </is>
      </c>
      <c r="H12203" s="8">
        <f>HYPERLINK("https://dart.fss.or.kr/dsaf001/main.do?rcpNo=20260619000282", "공시열람")</f>
        <v/>
      </c>
    </row>
    <row r="12204">
      <c r="A12204" s="2" t="inlineStr">
        <is>
          <t>2026-06-19</t>
        </is>
      </c>
      <c r="B12204" s="3" t="inlineStr">
        <is>
          <t>실리콘투</t>
        </is>
      </c>
      <c r="C12204" s="2" t="inlineStr">
        <is>
          <t>코스닥</t>
        </is>
      </c>
      <c r="D12204" s="2" t="inlineStr">
        <is>
          <t>257720</t>
        </is>
      </c>
      <c r="E12204" s="3" t="inlineStr">
        <is>
          <t>[기재정정]주식매수선택권부여에관한신고</t>
        </is>
      </c>
      <c r="F12204" s="3" t="inlineStr">
        <is>
          <t>실리콘투</t>
        </is>
      </c>
      <c r="G12204" s="2" t="inlineStr">
        <is>
          <t>20260619000279</t>
        </is>
      </c>
      <c r="H12204" s="8">
        <f>HYPERLINK("https://dart.fss.or.kr/dsaf001/main.do?rcpNo=20260619000279", "공시열람")</f>
        <v/>
      </c>
    </row>
    <row r="12205">
      <c r="A12205" s="2" t="inlineStr">
        <is>
          <t>2026-06-19</t>
        </is>
      </c>
      <c r="B12205" s="3" t="inlineStr">
        <is>
          <t>교보증권</t>
        </is>
      </c>
      <c r="C12205" s="2" t="inlineStr">
        <is>
          <t>코스피</t>
        </is>
      </c>
      <c r="D12205" s="2" t="inlineStr">
        <is>
          <t>030610</t>
        </is>
      </c>
      <c r="E12205" s="3" t="inlineStr">
        <is>
          <t>증권발행실적보고서</t>
        </is>
      </c>
      <c r="F12205" s="3" t="inlineStr">
        <is>
          <t>교보증권</t>
        </is>
      </c>
      <c r="G12205" s="2" t="inlineStr">
        <is>
          <t>20260619000278</t>
        </is>
      </c>
      <c r="H12205" s="8">
        <f>HYPERLINK("https://dart.fss.or.kr/dsaf001/main.do?rcpNo=20260619000278", "공시열람")</f>
        <v/>
      </c>
    </row>
    <row r="12206">
      <c r="A12206" s="2" t="inlineStr">
        <is>
          <t>2026-06-19</t>
        </is>
      </c>
      <c r="B12206" s="3" t="inlineStr">
        <is>
          <t>한솔홈데코</t>
        </is>
      </c>
      <c r="C12206" s="2" t="inlineStr">
        <is>
          <t>코스피</t>
        </is>
      </c>
      <c r="D12206" s="2" t="inlineStr">
        <is>
          <t>025750</t>
        </is>
      </c>
      <c r="E12206" s="3" t="inlineStr">
        <is>
          <t xml:space="preserve">주주명부폐쇄기간또는기준일설정              </t>
        </is>
      </c>
      <c r="F12206" s="3" t="inlineStr">
        <is>
          <t>한솔홈데코</t>
        </is>
      </c>
      <c r="G12206" s="2" t="inlineStr">
        <is>
          <t>20260619800515</t>
        </is>
      </c>
      <c r="H12206" s="8">
        <f>HYPERLINK("https://dart.fss.or.kr/dsaf001/main.do?rcpNo=20260619800515", "공시열람")</f>
        <v/>
      </c>
    </row>
    <row r="12207">
      <c r="A12207" s="2" t="inlineStr">
        <is>
          <t>2026-06-19</t>
        </is>
      </c>
      <c r="B12207" s="3" t="inlineStr">
        <is>
          <t>뉴엔AI</t>
        </is>
      </c>
      <c r="C12207" s="2" t="inlineStr">
        <is>
          <t>코스닥</t>
        </is>
      </c>
      <c r="D12207" s="2" t="inlineStr">
        <is>
          <t>463020</t>
        </is>
      </c>
      <c r="E12207" s="3" t="inlineStr">
        <is>
          <t xml:space="preserve">기업설명회(IR)개최              </t>
        </is>
      </c>
      <c r="F12207" s="3" t="inlineStr">
        <is>
          <t>뉴엔AI</t>
        </is>
      </c>
      <c r="G12207" s="2" t="inlineStr">
        <is>
          <t>20260619900537</t>
        </is>
      </c>
      <c r="H12207" s="8">
        <f>HYPERLINK("https://dart.fss.or.kr/dsaf001/main.do?rcpNo=20260619900537", "공시열람")</f>
        <v/>
      </c>
    </row>
    <row r="12208">
      <c r="A12208" s="2" t="inlineStr">
        <is>
          <t>2026-06-19</t>
        </is>
      </c>
      <c r="B12208" s="3" t="inlineStr">
        <is>
          <t>교보증권</t>
        </is>
      </c>
      <c r="C12208" s="2" t="inlineStr">
        <is>
          <t>코스피</t>
        </is>
      </c>
      <c r="D12208" s="2" t="inlineStr">
        <is>
          <t>030610</t>
        </is>
      </c>
      <c r="E12208" s="3" t="inlineStr">
        <is>
          <t>증권발행실적보고서</t>
        </is>
      </c>
      <c r="F12208" s="3" t="inlineStr">
        <is>
          <t>교보증권</t>
        </is>
      </c>
      <c r="G12208" s="2" t="inlineStr">
        <is>
          <t>20260619000266</t>
        </is>
      </c>
      <c r="H12208" s="8">
        <f>HYPERLINK("https://dart.fss.or.kr/dsaf001/main.do?rcpNo=20260619000266", "공시열람")</f>
        <v/>
      </c>
    </row>
    <row r="12209">
      <c r="A12209" s="2" t="inlineStr">
        <is>
          <t>2026-06-19</t>
        </is>
      </c>
      <c r="B12209" s="3" t="inlineStr">
        <is>
          <t>교보증권</t>
        </is>
      </c>
      <c r="C12209" s="2" t="inlineStr">
        <is>
          <t>코스피</t>
        </is>
      </c>
      <c r="D12209" s="2" t="inlineStr">
        <is>
          <t>030610</t>
        </is>
      </c>
      <c r="E12209" s="3" t="inlineStr">
        <is>
          <t>증권발행실적보고서</t>
        </is>
      </c>
      <c r="F12209" s="3" t="inlineStr">
        <is>
          <t>교보증권</t>
        </is>
      </c>
      <c r="G12209" s="2" t="inlineStr">
        <is>
          <t>20260619000257</t>
        </is>
      </c>
      <c r="H12209" s="8">
        <f>HYPERLINK("https://dart.fss.or.kr/dsaf001/main.do?rcpNo=20260619000257", "공시열람")</f>
        <v/>
      </c>
    </row>
    <row r="12210">
      <c r="A12210" s="2" t="inlineStr">
        <is>
          <t>2026-06-19</t>
        </is>
      </c>
      <c r="B12210" s="3" t="inlineStr">
        <is>
          <t>한화투자증권</t>
        </is>
      </c>
      <c r="C12210" s="2" t="inlineStr">
        <is>
          <t>코스피</t>
        </is>
      </c>
      <c r="D12210" s="2" t="inlineStr">
        <is>
          <t>003530</t>
        </is>
      </c>
      <c r="E12210" s="3" t="inlineStr">
        <is>
          <t>증권발행실적보고서</t>
        </is>
      </c>
      <c r="F12210" s="3" t="inlineStr">
        <is>
          <t>한화투자증권</t>
        </is>
      </c>
      <c r="G12210" s="2" t="inlineStr">
        <is>
          <t>20260619000255</t>
        </is>
      </c>
      <c r="H12210" s="8">
        <f>HYPERLINK("https://dart.fss.or.kr/dsaf001/main.do?rcpNo=20260619000255", "공시열람")</f>
        <v/>
      </c>
    </row>
    <row r="12211">
      <c r="A12211" s="2" t="inlineStr">
        <is>
          <t>2026-06-19</t>
        </is>
      </c>
      <c r="B12211" s="3" t="inlineStr">
        <is>
          <t>유안타증권</t>
        </is>
      </c>
      <c r="C12211" s="2" t="inlineStr">
        <is>
          <t>코스피</t>
        </is>
      </c>
      <c r="D12211" s="2" t="inlineStr">
        <is>
          <t>003470</t>
        </is>
      </c>
      <c r="E12211" s="3" t="inlineStr">
        <is>
          <t>증권발행실적보고서</t>
        </is>
      </c>
      <c r="F12211" s="3" t="inlineStr">
        <is>
          <t>유안타증권</t>
        </is>
      </c>
      <c r="G12211" s="2" t="inlineStr">
        <is>
          <t>20260619000250</t>
        </is>
      </c>
      <c r="H12211" s="8">
        <f>HYPERLINK("https://dart.fss.or.kr/dsaf001/main.do?rcpNo=20260619000250", "공시열람")</f>
        <v/>
      </c>
    </row>
    <row r="12212">
      <c r="A12212" s="2" t="inlineStr">
        <is>
          <t>2026-06-19</t>
        </is>
      </c>
      <c r="B12212" s="3" t="inlineStr">
        <is>
          <t>유안타증권</t>
        </is>
      </c>
      <c r="C12212" s="2" t="inlineStr">
        <is>
          <t>코스피</t>
        </is>
      </c>
      <c r="D12212" s="2" t="inlineStr">
        <is>
          <t>003470</t>
        </is>
      </c>
      <c r="E12212" s="3" t="inlineStr">
        <is>
          <t>증권발행실적보고서</t>
        </is>
      </c>
      <c r="F12212" s="3" t="inlineStr">
        <is>
          <t>유안타증권</t>
        </is>
      </c>
      <c r="G12212" s="2" t="inlineStr">
        <is>
          <t>20260619000246</t>
        </is>
      </c>
      <c r="H12212" s="8">
        <f>HYPERLINK("https://dart.fss.or.kr/dsaf001/main.do?rcpNo=20260619000246", "공시열람")</f>
        <v/>
      </c>
    </row>
    <row r="12213">
      <c r="A12213" s="2" t="inlineStr">
        <is>
          <t>2026-06-19</t>
        </is>
      </c>
      <c r="B12213" s="3" t="inlineStr">
        <is>
          <t>에이치와이티씨</t>
        </is>
      </c>
      <c r="C12213" s="2" t="inlineStr">
        <is>
          <t>코스닥</t>
        </is>
      </c>
      <c r="D12213" s="2" t="inlineStr">
        <is>
          <t>148930</t>
        </is>
      </c>
      <c r="E12213" s="3" t="inlineStr">
        <is>
          <t xml:space="preserve">기업설명회(IR)개최              </t>
        </is>
      </c>
      <c r="F12213" s="3" t="inlineStr">
        <is>
          <t>에이치와이티씨</t>
        </is>
      </c>
      <c r="G12213" s="2" t="inlineStr">
        <is>
          <t>20260619900501</t>
        </is>
      </c>
      <c r="H12213" s="8">
        <f>HYPERLINK("https://dart.fss.or.kr/dsaf001/main.do?rcpNo=20260619900501", "공시열람")</f>
        <v/>
      </c>
    </row>
    <row r="12214">
      <c r="A12214" s="2" t="inlineStr">
        <is>
          <t>2026-06-19</t>
        </is>
      </c>
      <c r="B12214" s="3" t="inlineStr">
        <is>
          <t>프로텍</t>
        </is>
      </c>
      <c r="C12214" s="2" t="inlineStr">
        <is>
          <t>코스닥</t>
        </is>
      </c>
      <c r="D12214" s="2" t="inlineStr">
        <is>
          <t>053610</t>
        </is>
      </c>
      <c r="E12214" s="3" t="inlineStr">
        <is>
          <t xml:space="preserve">타법인주식및출자증권취득결정              </t>
        </is>
      </c>
      <c r="F12214" s="3" t="inlineStr">
        <is>
          <t>프로텍</t>
        </is>
      </c>
      <c r="G12214" s="2" t="inlineStr">
        <is>
          <t>20260619900486</t>
        </is>
      </c>
      <c r="H12214" s="8">
        <f>HYPERLINK("https://dart.fss.or.kr/dsaf001/main.do?rcpNo=20260619900486", "공시열람")</f>
        <v/>
      </c>
    </row>
    <row r="12215">
      <c r="A12215" s="2" t="inlineStr">
        <is>
          <t>2026-06-19</t>
        </is>
      </c>
      <c r="B12215" s="3" t="inlineStr">
        <is>
          <t>엠케이전자</t>
        </is>
      </c>
      <c r="C12215" s="2" t="inlineStr">
        <is>
          <t>코스닥</t>
        </is>
      </c>
      <c r="D12215" s="2" t="inlineStr">
        <is>
          <t>033160</t>
        </is>
      </c>
      <c r="E12215" s="3" t="inlineStr">
        <is>
          <t xml:space="preserve">타법인주식및출자증권처분결정              </t>
        </is>
      </c>
      <c r="F12215" s="3" t="inlineStr">
        <is>
          <t>엠케이전자</t>
        </is>
      </c>
      <c r="G12215" s="2" t="inlineStr">
        <is>
          <t>20260619900518</t>
        </is>
      </c>
      <c r="H12215" s="8">
        <f>HYPERLINK("https://dart.fss.or.kr/dsaf001/main.do?rcpNo=20260619900518", "공시열람")</f>
        <v/>
      </c>
    </row>
    <row r="12216">
      <c r="A12216" s="2" t="inlineStr">
        <is>
          <t>2026-06-19</t>
        </is>
      </c>
      <c r="B12216" s="3" t="inlineStr">
        <is>
          <t>유안타증권</t>
        </is>
      </c>
      <c r="C12216" s="2" t="inlineStr">
        <is>
          <t>코스피</t>
        </is>
      </c>
      <c r="D12216" s="2" t="inlineStr">
        <is>
          <t>003470</t>
        </is>
      </c>
      <c r="E12216" s="3" t="inlineStr">
        <is>
          <t>증권발행실적보고서</t>
        </is>
      </c>
      <c r="F12216" s="3" t="inlineStr">
        <is>
          <t>유안타증권</t>
        </is>
      </c>
      <c r="G12216" s="2" t="inlineStr">
        <is>
          <t>20260619000236</t>
        </is>
      </c>
      <c r="H12216" s="8">
        <f>HYPERLINK("https://dart.fss.or.kr/dsaf001/main.do?rcpNo=20260619000236", "공시열람")</f>
        <v/>
      </c>
    </row>
    <row r="12217">
      <c r="A12217" s="2" t="inlineStr">
        <is>
          <t>2026-06-19</t>
        </is>
      </c>
      <c r="B12217" s="3" t="inlineStr">
        <is>
          <t>교보증권</t>
        </is>
      </c>
      <c r="C12217" s="2" t="inlineStr">
        <is>
          <t>코스피</t>
        </is>
      </c>
      <c r="D12217" s="2" t="inlineStr">
        <is>
          <t>030610</t>
        </is>
      </c>
      <c r="E12217" s="3" t="inlineStr">
        <is>
          <t>투자설명서(일괄신고)</t>
        </is>
      </c>
      <c r="F12217" s="3" t="inlineStr">
        <is>
          <t>교보증권</t>
        </is>
      </c>
      <c r="G12217" s="2" t="inlineStr">
        <is>
          <t>20260619000235</t>
        </is>
      </c>
      <c r="H12217" s="8">
        <f>HYPERLINK("https://dart.fss.or.kr/dsaf001/main.do?rcpNo=20260619000235", "공시열람")</f>
        <v/>
      </c>
    </row>
    <row r="12218">
      <c r="A12218" s="2" t="inlineStr">
        <is>
          <t>2026-06-19</t>
        </is>
      </c>
      <c r="B12218" s="3" t="inlineStr">
        <is>
          <t>삼성증권</t>
        </is>
      </c>
      <c r="C12218" s="2" t="inlineStr">
        <is>
          <t>코스피</t>
        </is>
      </c>
      <c r="D12218" s="2" t="inlineStr">
        <is>
          <t>016360</t>
        </is>
      </c>
      <c r="E12218" s="3" t="inlineStr">
        <is>
          <t>증권발행실적보고서</t>
        </is>
      </c>
      <c r="F12218" s="3" t="inlineStr">
        <is>
          <t>삼성증권</t>
        </is>
      </c>
      <c r="G12218" s="2" t="inlineStr">
        <is>
          <t>20260619000230</t>
        </is>
      </c>
      <c r="H12218" s="8">
        <f>HYPERLINK("https://dart.fss.or.kr/dsaf001/main.do?rcpNo=20260619000230", "공시열람")</f>
        <v/>
      </c>
    </row>
    <row r="12219">
      <c r="A12219" s="2" t="inlineStr">
        <is>
          <t>2026-06-19</t>
        </is>
      </c>
      <c r="B12219" s="3" t="inlineStr">
        <is>
          <t>미래에셋증권</t>
        </is>
      </c>
      <c r="C12219" s="2" t="inlineStr">
        <is>
          <t>코스피</t>
        </is>
      </c>
      <c r="D12219" s="2" t="inlineStr">
        <is>
          <t>006800</t>
        </is>
      </c>
      <c r="E12219" s="3" t="inlineStr">
        <is>
          <t>투자설명서(일괄신고)</t>
        </is>
      </c>
      <c r="F12219" s="3" t="inlineStr">
        <is>
          <t>미래에셋증권</t>
        </is>
      </c>
      <c r="G12219" s="2" t="inlineStr">
        <is>
          <t>20260619000228</t>
        </is>
      </c>
      <c r="H12219" s="8">
        <f>HYPERLINK("https://dart.fss.or.kr/dsaf001/main.do?rcpNo=20260619000228", "공시열람")</f>
        <v/>
      </c>
    </row>
    <row r="12220">
      <c r="A12220" s="2" t="inlineStr">
        <is>
          <t>2026-06-19</t>
        </is>
      </c>
      <c r="B12220" s="3" t="inlineStr">
        <is>
          <t>대신증권</t>
        </is>
      </c>
      <c r="C12220" s="2" t="inlineStr">
        <is>
          <t>코스피</t>
        </is>
      </c>
      <c r="D12220" s="2" t="inlineStr">
        <is>
          <t>003540</t>
        </is>
      </c>
      <c r="E12220" s="3" t="inlineStr">
        <is>
          <t>일괄신고추가서류(기타파생결합사채)</t>
        </is>
      </c>
      <c r="F12220" s="3" t="inlineStr">
        <is>
          <t>대신증권</t>
        </is>
      </c>
      <c r="G12220" s="2" t="inlineStr">
        <is>
          <t>20260619000226</t>
        </is>
      </c>
      <c r="H12220" s="8">
        <f>HYPERLINK("https://dart.fss.or.kr/dsaf001/main.do?rcpNo=20260619000226", "공시열람")</f>
        <v/>
      </c>
    </row>
    <row r="12221">
      <c r="A12221" s="2" t="inlineStr">
        <is>
          <t>2026-06-19</t>
        </is>
      </c>
      <c r="B12221" s="3" t="inlineStr">
        <is>
          <t>교보증권</t>
        </is>
      </c>
      <c r="C12221" s="2" t="inlineStr">
        <is>
          <t>코스피</t>
        </is>
      </c>
      <c r="D12221" s="2" t="inlineStr">
        <is>
          <t>030610</t>
        </is>
      </c>
      <c r="E12221" s="3" t="inlineStr">
        <is>
          <t>일괄신고추가서류(파생결합사채-주가연계파생결합사채)</t>
        </is>
      </c>
      <c r="F12221" s="3" t="inlineStr">
        <is>
          <t>교보증권</t>
        </is>
      </c>
      <c r="G12221" s="2" t="inlineStr">
        <is>
          <t>20260619000224</t>
        </is>
      </c>
      <c r="H12221" s="8">
        <f>HYPERLINK("https://dart.fss.or.kr/dsaf001/main.do?rcpNo=20260619000224", "공시열람")</f>
        <v/>
      </c>
    </row>
    <row r="12222">
      <c r="A12222" s="2" t="inlineStr">
        <is>
          <t>2026-06-19</t>
        </is>
      </c>
      <c r="B12222" s="3" t="inlineStr">
        <is>
          <t>탑엔지니어링</t>
        </is>
      </c>
      <c r="C12222" s="2" t="inlineStr">
        <is>
          <t>코스닥</t>
        </is>
      </c>
      <c r="D12222" s="2" t="inlineStr">
        <is>
          <t>065130</t>
        </is>
      </c>
      <c r="E12222" s="3" t="inlineStr">
        <is>
          <t>임원ㆍ주요주주특정증권등소유상황보고서</t>
        </is>
      </c>
      <c r="F12222" s="3" t="inlineStr">
        <is>
          <t>서용규</t>
        </is>
      </c>
      <c r="G12222" s="2" t="inlineStr">
        <is>
          <t>20260619000223</t>
        </is>
      </c>
      <c r="H12222" s="8">
        <f>HYPERLINK("https://dart.fss.or.kr/dsaf001/main.do?rcpNo=20260619000223", "공시열람")</f>
        <v/>
      </c>
    </row>
    <row r="12223">
      <c r="A12223" s="2" t="inlineStr">
        <is>
          <t>2026-06-19</t>
        </is>
      </c>
      <c r="B12223" s="3" t="inlineStr">
        <is>
          <t>E1</t>
        </is>
      </c>
      <c r="C12223" s="2" t="inlineStr">
        <is>
          <t>코스피</t>
        </is>
      </c>
      <c r="D12223" s="2" t="inlineStr">
        <is>
          <t>017940</t>
        </is>
      </c>
      <c r="E12223" s="3" t="inlineStr">
        <is>
          <t xml:space="preserve">지속가능경영보고서등관련사항(자율공시)              </t>
        </is>
      </c>
      <c r="F12223" s="3" t="inlineStr">
        <is>
          <t>E1</t>
        </is>
      </c>
      <c r="G12223" s="2" t="inlineStr">
        <is>
          <t>20260619800503</t>
        </is>
      </c>
      <c r="H12223" s="8">
        <f>HYPERLINK("https://dart.fss.or.kr/dsaf001/main.do?rcpNo=20260619800503", "공시열람")</f>
        <v/>
      </c>
    </row>
    <row r="12224">
      <c r="A12224" s="2" t="inlineStr">
        <is>
          <t>2026-06-19</t>
        </is>
      </c>
      <c r="B12224" s="3" t="inlineStr">
        <is>
          <t>제우스</t>
        </is>
      </c>
      <c r="C12224" s="2" t="inlineStr">
        <is>
          <t>코스닥</t>
        </is>
      </c>
      <c r="D12224" s="2" t="inlineStr">
        <is>
          <t>079370</t>
        </is>
      </c>
      <c r="E12224" s="3" t="inlineStr">
        <is>
          <t>임원ㆍ주요주주특정증권등소유상황보고서</t>
        </is>
      </c>
      <c r="F12224" s="3" t="inlineStr">
        <is>
          <t>조윤근</t>
        </is>
      </c>
      <c r="G12224" s="2" t="inlineStr">
        <is>
          <t>20260619000217</t>
        </is>
      </c>
      <c r="H12224" s="8">
        <f>HYPERLINK("https://dart.fss.or.kr/dsaf001/main.do?rcpNo=20260619000217", "공시열람")</f>
        <v/>
      </c>
    </row>
    <row r="12225">
      <c r="A12225" s="2" t="inlineStr">
        <is>
          <t>2026-06-19</t>
        </is>
      </c>
      <c r="B12225" s="3" t="inlineStr">
        <is>
          <t>미래에셋증권</t>
        </is>
      </c>
      <c r="C12225" s="2" t="inlineStr">
        <is>
          <t>코스피</t>
        </is>
      </c>
      <c r="D12225" s="2" t="inlineStr">
        <is>
          <t>006800</t>
        </is>
      </c>
      <c r="E12225" s="3" t="inlineStr">
        <is>
          <t>일괄신고추가서류(기타파생결합사채)</t>
        </is>
      </c>
      <c r="F12225" s="3" t="inlineStr">
        <is>
          <t>미래에셋증권</t>
        </is>
      </c>
      <c r="G12225" s="2" t="inlineStr">
        <is>
          <t>20260619000215</t>
        </is>
      </c>
      <c r="H12225" s="8">
        <f>HYPERLINK("https://dart.fss.or.kr/dsaf001/main.do?rcpNo=20260619000215", "공시열람")</f>
        <v/>
      </c>
    </row>
    <row r="12226">
      <c r="A12226" s="2" t="inlineStr">
        <is>
          <t>2026-06-19</t>
        </is>
      </c>
      <c r="B12226" s="3" t="inlineStr">
        <is>
          <t>피씨디렉트</t>
        </is>
      </c>
      <c r="C12226" s="2" t="inlineStr">
        <is>
          <t>코스닥</t>
        </is>
      </c>
      <c r="D12226" s="2" t="inlineStr">
        <is>
          <t>051380</t>
        </is>
      </c>
      <c r="E12226" s="3" t="inlineStr">
        <is>
          <t>임원ㆍ주요주주특정증권등소유상황보고서</t>
        </is>
      </c>
      <c r="F12226" s="3" t="inlineStr">
        <is>
          <t>서재웅</t>
        </is>
      </c>
      <c r="G12226" s="2" t="inlineStr">
        <is>
          <t>20260619000210</t>
        </is>
      </c>
      <c r="H12226" s="8">
        <f>HYPERLINK("https://dart.fss.or.kr/dsaf001/main.do?rcpNo=20260619000210", "공시열람")</f>
        <v/>
      </c>
    </row>
    <row r="12227">
      <c r="A12227" s="2" t="inlineStr">
        <is>
          <t>2026-06-19</t>
        </is>
      </c>
      <c r="B12227" s="3" t="inlineStr">
        <is>
          <t>삼성증권</t>
        </is>
      </c>
      <c r="C12227" s="2" t="inlineStr">
        <is>
          <t>코스피</t>
        </is>
      </c>
      <c r="D12227" s="2" t="inlineStr">
        <is>
          <t>016360</t>
        </is>
      </c>
      <c r="E12227" s="3" t="inlineStr">
        <is>
          <t>증권발행실적보고서</t>
        </is>
      </c>
      <c r="F12227" s="3" t="inlineStr">
        <is>
          <t>삼성증권</t>
        </is>
      </c>
      <c r="G12227" s="2" t="inlineStr">
        <is>
          <t>20260619000208</t>
        </is>
      </c>
      <c r="H12227" s="8">
        <f>HYPERLINK("https://dart.fss.or.kr/dsaf001/main.do?rcpNo=20260619000208", "공시열람")</f>
        <v/>
      </c>
    </row>
    <row r="12228">
      <c r="A12228" s="2" t="inlineStr">
        <is>
          <t>2026-06-19</t>
        </is>
      </c>
      <c r="B12228" s="3" t="inlineStr">
        <is>
          <t>한솔케미칼</t>
        </is>
      </c>
      <c r="C12228" s="2" t="inlineStr">
        <is>
          <t>코스피</t>
        </is>
      </c>
      <c r="D12228" s="2" t="inlineStr">
        <is>
          <t>014680</t>
        </is>
      </c>
      <c r="E12228" s="3" t="inlineStr">
        <is>
          <t>자기주식취득결과보고서</t>
        </is>
      </c>
      <c r="F12228" s="3" t="inlineStr">
        <is>
          <t>한솔케미칼</t>
        </is>
      </c>
      <c r="G12228" s="2" t="inlineStr">
        <is>
          <t>20260619000203</t>
        </is>
      </c>
      <c r="H12228" s="8">
        <f>HYPERLINK("https://dart.fss.or.kr/dsaf001/main.do?rcpNo=20260619000203", "공시열람")</f>
        <v/>
      </c>
    </row>
    <row r="12229">
      <c r="A12229" s="2" t="inlineStr">
        <is>
          <t>2026-06-19 (정정: 2026-06-25)</t>
        </is>
      </c>
      <c r="B12229" s="3" t="inlineStr">
        <is>
          <t>HLB이노베이션</t>
        </is>
      </c>
      <c r="C12229" s="2" t="inlineStr">
        <is>
          <t>코스닥</t>
        </is>
      </c>
      <c r="D12229" s="2" t="inlineStr">
        <is>
          <t>024850</t>
        </is>
      </c>
      <c r="E12229" s="3" t="inlineStr">
        <is>
          <t>기업설명회(IR)개최               (정정: 20260625)</t>
        </is>
      </c>
      <c r="F12229" s="3" t="inlineStr">
        <is>
          <t>HLB이노베이션</t>
        </is>
      </c>
      <c r="G12229" s="2" t="inlineStr">
        <is>
          <t>20260625900497</t>
        </is>
      </c>
      <c r="H12229" s="8">
        <f>HYPERLINK("https://dart.fss.or.kr/dsaf001/main.do?rcpNo=20260625900497", "공시열람")</f>
        <v/>
      </c>
    </row>
    <row r="12230">
      <c r="A12230" s="2" t="inlineStr">
        <is>
          <t>2026-06-19</t>
        </is>
      </c>
      <c r="B12230" s="3" t="inlineStr">
        <is>
          <t>교보증권</t>
        </is>
      </c>
      <c r="C12230" s="2" t="inlineStr">
        <is>
          <t>코스피</t>
        </is>
      </c>
      <c r="D12230" s="2" t="inlineStr">
        <is>
          <t>030610</t>
        </is>
      </c>
      <c r="E12230" s="3" t="inlineStr">
        <is>
          <t>투자설명서(일괄신고)</t>
        </is>
      </c>
      <c r="F12230" s="3" t="inlineStr">
        <is>
          <t>교보증권</t>
        </is>
      </c>
      <c r="G12230" s="2" t="inlineStr">
        <is>
          <t>20260619000192</t>
        </is>
      </c>
      <c r="H12230" s="8">
        <f>HYPERLINK("https://dart.fss.or.kr/dsaf001/main.do?rcpNo=20260619000192", "공시열람")</f>
        <v/>
      </c>
    </row>
    <row r="12231">
      <c r="A12231" s="2" t="inlineStr">
        <is>
          <t>2026-06-19</t>
        </is>
      </c>
      <c r="B12231" s="3" t="inlineStr">
        <is>
          <t>케이피에프</t>
        </is>
      </c>
      <c r="C12231" s="2" t="inlineStr">
        <is>
          <t>코스닥</t>
        </is>
      </c>
      <c r="D12231" s="2" t="inlineStr">
        <is>
          <t>024880</t>
        </is>
      </c>
      <c r="E12231" s="3" t="inlineStr">
        <is>
          <t>자기주식취득결과보고서</t>
        </is>
      </c>
      <c r="F12231" s="3" t="inlineStr">
        <is>
          <t>케이피에프</t>
        </is>
      </c>
      <c r="G12231" s="2" t="inlineStr">
        <is>
          <t>20260619000191</t>
        </is>
      </c>
      <c r="H12231" s="8">
        <f>HYPERLINK("https://dart.fss.or.kr/dsaf001/main.do?rcpNo=20260619000191", "공시열람")</f>
        <v/>
      </c>
    </row>
    <row r="12232">
      <c r="A12232" s="2" t="inlineStr">
        <is>
          <t>2026-06-19</t>
        </is>
      </c>
      <c r="B12232" s="3" t="inlineStr">
        <is>
          <t>교보증권</t>
        </is>
      </c>
      <c r="C12232" s="2" t="inlineStr">
        <is>
          <t>코스피</t>
        </is>
      </c>
      <c r="D12232" s="2" t="inlineStr">
        <is>
          <t>030610</t>
        </is>
      </c>
      <c r="E12232" s="3" t="inlineStr">
        <is>
          <t>일괄신고추가서류(파생결합증권-주가연계증권)</t>
        </is>
      </c>
      <c r="F12232" s="3" t="inlineStr">
        <is>
          <t>교보증권</t>
        </is>
      </c>
      <c r="G12232" s="2" t="inlineStr">
        <is>
          <t>20260619000186</t>
        </is>
      </c>
      <c r="H12232" s="8">
        <f>HYPERLINK("https://dart.fss.or.kr/dsaf001/main.do?rcpNo=20260619000186", "공시열람")</f>
        <v/>
      </c>
    </row>
    <row r="12233">
      <c r="A12233" s="2" t="inlineStr">
        <is>
          <t>2026-06-19</t>
        </is>
      </c>
      <c r="B12233" s="3" t="inlineStr">
        <is>
          <t>한화투자증권</t>
        </is>
      </c>
      <c r="C12233" s="2" t="inlineStr">
        <is>
          <t>코스피</t>
        </is>
      </c>
      <c r="D12233" s="2" t="inlineStr">
        <is>
          <t>003530</t>
        </is>
      </c>
      <c r="E12233" s="3" t="inlineStr">
        <is>
          <t>투자설명서(일괄신고)</t>
        </is>
      </c>
      <c r="F12233" s="3" t="inlineStr">
        <is>
          <t>한화투자증권</t>
        </is>
      </c>
      <c r="G12233" s="2" t="inlineStr">
        <is>
          <t>20260619000184</t>
        </is>
      </c>
      <c r="H12233" s="8">
        <f>HYPERLINK("https://dart.fss.or.kr/dsaf001/main.do?rcpNo=20260619000184", "공시열람")</f>
        <v/>
      </c>
    </row>
    <row r="12234">
      <c r="A12234" s="2" t="inlineStr">
        <is>
          <t>2026-06-19</t>
        </is>
      </c>
      <c r="B12234" s="3" t="inlineStr">
        <is>
          <t>파이온엑스</t>
        </is>
      </c>
      <c r="C12234" s="2" t="inlineStr">
        <is>
          <t>코스닥</t>
        </is>
      </c>
      <c r="D12234" s="2" t="inlineStr">
        <is>
          <t>900100</t>
        </is>
      </c>
      <c r="E12234" s="3" t="inlineStr">
        <is>
          <t>임원ㆍ주요주주특정증권등소유상황보고서</t>
        </is>
      </c>
      <c r="F12234" s="3" t="inlineStr">
        <is>
          <t>럭스후버엘엘씨</t>
        </is>
      </c>
      <c r="G12234" s="2" t="inlineStr">
        <is>
          <t>20260619000183</t>
        </is>
      </c>
      <c r="H12234" s="8">
        <f>HYPERLINK("https://dart.fss.or.kr/dsaf001/main.do?rcpNo=20260619000183", "공시열람")</f>
        <v/>
      </c>
    </row>
    <row r="12235">
      <c r="A12235" s="2" t="inlineStr">
        <is>
          <t>2026-06-19</t>
        </is>
      </c>
      <c r="B12235" s="3" t="inlineStr">
        <is>
          <t>한화투자증권</t>
        </is>
      </c>
      <c r="C12235" s="2" t="inlineStr">
        <is>
          <t>코스피</t>
        </is>
      </c>
      <c r="D12235" s="2" t="inlineStr">
        <is>
          <t>003530</t>
        </is>
      </c>
      <c r="E12235" s="3" t="inlineStr">
        <is>
          <t>일괄신고추가서류(기타파생결합사채)</t>
        </is>
      </c>
      <c r="F12235" s="3" t="inlineStr">
        <is>
          <t>한화투자증권</t>
        </is>
      </c>
      <c r="G12235" s="2" t="inlineStr">
        <is>
          <t>20260619000182</t>
        </is>
      </c>
      <c r="H12235" s="8">
        <f>HYPERLINK("https://dart.fss.or.kr/dsaf001/main.do?rcpNo=20260619000182", "공시열람")</f>
        <v/>
      </c>
    </row>
    <row r="12236">
      <c r="A12236" s="2" t="inlineStr">
        <is>
          <t>2026-06-19</t>
        </is>
      </c>
      <c r="B12236" s="3" t="inlineStr">
        <is>
          <t>교보증권</t>
        </is>
      </c>
      <c r="C12236" s="2" t="inlineStr">
        <is>
          <t>코스피</t>
        </is>
      </c>
      <c r="D12236" s="2" t="inlineStr">
        <is>
          <t>030610</t>
        </is>
      </c>
      <c r="E12236" s="3" t="inlineStr">
        <is>
          <t>투자설명서(일괄신고)</t>
        </is>
      </c>
      <c r="F12236" s="3" t="inlineStr">
        <is>
          <t>교보증권</t>
        </is>
      </c>
      <c r="G12236" s="2" t="inlineStr">
        <is>
          <t>20260619000178</t>
        </is>
      </c>
      <c r="H12236" s="8">
        <f>HYPERLINK("https://dart.fss.or.kr/dsaf001/main.do?rcpNo=20260619000178", "공시열람")</f>
        <v/>
      </c>
    </row>
    <row r="12237">
      <c r="A12237" s="2" t="inlineStr">
        <is>
          <t>2026-06-19</t>
        </is>
      </c>
      <c r="B12237" s="3" t="inlineStr">
        <is>
          <t>교보증권</t>
        </is>
      </c>
      <c r="C12237" s="2" t="inlineStr">
        <is>
          <t>코스피</t>
        </is>
      </c>
      <c r="D12237" s="2" t="inlineStr">
        <is>
          <t>030610</t>
        </is>
      </c>
      <c r="E12237" s="3" t="inlineStr">
        <is>
          <t>투자설명서(일괄신고)</t>
        </is>
      </c>
      <c r="F12237" s="3" t="inlineStr">
        <is>
          <t>교보증권</t>
        </is>
      </c>
      <c r="G12237" s="2" t="inlineStr">
        <is>
          <t>20260619000177</t>
        </is>
      </c>
      <c r="H12237" s="8">
        <f>HYPERLINK("https://dart.fss.or.kr/dsaf001/main.do?rcpNo=20260619000177", "공시열람")</f>
        <v/>
      </c>
    </row>
    <row r="12238">
      <c r="A12238" s="2" t="inlineStr">
        <is>
          <t>2026-06-19</t>
        </is>
      </c>
      <c r="B12238" s="3" t="inlineStr">
        <is>
          <t>삼성증권</t>
        </is>
      </c>
      <c r="C12238" s="2" t="inlineStr">
        <is>
          <t>코스피</t>
        </is>
      </c>
      <c r="D12238" s="2" t="inlineStr">
        <is>
          <t>016360</t>
        </is>
      </c>
      <c r="E12238" s="3" t="inlineStr">
        <is>
          <t>투자설명서(일괄신고)</t>
        </is>
      </c>
      <c r="F12238" s="3" t="inlineStr">
        <is>
          <t>삼성증권</t>
        </is>
      </c>
      <c r="G12238" s="2" t="inlineStr">
        <is>
          <t>20260619000175</t>
        </is>
      </c>
      <c r="H12238" s="8">
        <f>HYPERLINK("https://dart.fss.or.kr/dsaf001/main.do?rcpNo=20260619000175", "공시열람")</f>
        <v/>
      </c>
    </row>
    <row r="12239">
      <c r="A12239" s="2" t="inlineStr">
        <is>
          <t>2026-06-19</t>
        </is>
      </c>
      <c r="B12239" s="3" t="inlineStr">
        <is>
          <t>컴투스</t>
        </is>
      </c>
      <c r="C12239" s="2" t="inlineStr">
        <is>
          <t>코스닥</t>
        </is>
      </c>
      <c r="D12239" s="2" t="inlineStr">
        <is>
          <t>078340</t>
        </is>
      </c>
      <c r="E12239" s="3" t="inlineStr">
        <is>
          <t xml:space="preserve">기업설명회(IR)개최              </t>
        </is>
      </c>
      <c r="F12239" s="3" t="inlineStr">
        <is>
          <t>컴투스</t>
        </is>
      </c>
      <c r="G12239" s="2" t="inlineStr">
        <is>
          <t>20260619900453</t>
        </is>
      </c>
      <c r="H12239" s="8">
        <f>HYPERLINK("https://dart.fss.or.kr/dsaf001/main.do?rcpNo=20260619900453", "공시열람")</f>
        <v/>
      </c>
    </row>
    <row r="12240">
      <c r="A12240" s="2" t="inlineStr">
        <is>
          <t>2026-06-19</t>
        </is>
      </c>
      <c r="B12240" s="3" t="inlineStr">
        <is>
          <t>삼성증권</t>
        </is>
      </c>
      <c r="C12240" s="2" t="inlineStr">
        <is>
          <t>코스피</t>
        </is>
      </c>
      <c r="D12240" s="2" t="inlineStr">
        <is>
          <t>016360</t>
        </is>
      </c>
      <c r="E12240" s="3" t="inlineStr">
        <is>
          <t>투자설명서(일괄신고)</t>
        </is>
      </c>
      <c r="F12240" s="3" t="inlineStr">
        <is>
          <t>삼성증권</t>
        </is>
      </c>
      <c r="G12240" s="2" t="inlineStr">
        <is>
          <t>20260619000174</t>
        </is>
      </c>
      <c r="H12240" s="8">
        <f>HYPERLINK("https://dart.fss.or.kr/dsaf001/main.do?rcpNo=20260619000174", "공시열람")</f>
        <v/>
      </c>
    </row>
    <row r="12241">
      <c r="A12241" s="2" t="inlineStr">
        <is>
          <t>2026-06-19</t>
        </is>
      </c>
      <c r="B12241" s="3" t="inlineStr">
        <is>
          <t>에넥스</t>
        </is>
      </c>
      <c r="C12241" s="2" t="inlineStr">
        <is>
          <t>코스피</t>
        </is>
      </c>
      <c r="D12241" s="2" t="inlineStr">
        <is>
          <t>011090</t>
        </is>
      </c>
      <c r="E12241" s="3" t="inlineStr">
        <is>
          <t>임원ㆍ주요주주특정증권등거래계획보고서</t>
        </is>
      </c>
      <c r="F12241" s="3" t="inlineStr">
        <is>
          <t>박진규</t>
        </is>
      </c>
      <c r="G12241" s="2" t="inlineStr">
        <is>
          <t>20260619000173</t>
        </is>
      </c>
      <c r="H12241" s="8">
        <f>HYPERLINK("https://dart.fss.or.kr/dsaf001/main.do?rcpNo=20260619000173", "공시열람")</f>
        <v/>
      </c>
    </row>
    <row r="12242">
      <c r="A12242" s="2" t="inlineStr">
        <is>
          <t>2026-06-19</t>
        </is>
      </c>
      <c r="B12242" s="3" t="inlineStr">
        <is>
          <t>에넥스</t>
        </is>
      </c>
      <c r="C12242" s="2" t="inlineStr">
        <is>
          <t>코스피</t>
        </is>
      </c>
      <c r="D12242" s="2" t="inlineStr">
        <is>
          <t>011090</t>
        </is>
      </c>
      <c r="E12242" s="3" t="inlineStr">
        <is>
          <t>임원ㆍ주요주주특정증권등소유상황보고서</t>
        </is>
      </c>
      <c r="F12242" s="3" t="inlineStr">
        <is>
          <t>김시철</t>
        </is>
      </c>
      <c r="G12242" s="2" t="inlineStr">
        <is>
          <t>20260619000169</t>
        </is>
      </c>
      <c r="H12242" s="8">
        <f>HYPERLINK("https://dart.fss.or.kr/dsaf001/main.do?rcpNo=20260619000169", "공시열람")</f>
        <v/>
      </c>
    </row>
    <row r="12243">
      <c r="A12243" s="2" t="inlineStr">
        <is>
          <t>2026-06-19</t>
        </is>
      </c>
      <c r="B12243" s="3" t="inlineStr">
        <is>
          <t>에넥스</t>
        </is>
      </c>
      <c r="C12243" s="2" t="inlineStr">
        <is>
          <t>코스피</t>
        </is>
      </c>
      <c r="D12243" s="2" t="inlineStr">
        <is>
          <t>011090</t>
        </is>
      </c>
      <c r="E12243" s="3" t="inlineStr">
        <is>
          <t>임원ㆍ주요주주특정증권등소유상황보고서</t>
        </is>
      </c>
      <c r="F12243" s="3" t="inlineStr">
        <is>
          <t>김주환</t>
        </is>
      </c>
      <c r="G12243" s="2" t="inlineStr">
        <is>
          <t>20260619000168</t>
        </is>
      </c>
      <c r="H12243" s="8">
        <f>HYPERLINK("https://dart.fss.or.kr/dsaf001/main.do?rcpNo=20260619000168", "공시열람")</f>
        <v/>
      </c>
    </row>
    <row r="12244">
      <c r="A12244" s="2" t="inlineStr">
        <is>
          <t>2026-06-19</t>
        </is>
      </c>
      <c r="B12244" s="3" t="inlineStr">
        <is>
          <t>티엘엔지니어링</t>
        </is>
      </c>
      <c r="C12244" s="2" t="inlineStr">
        <is>
          <t>코넥스</t>
        </is>
      </c>
      <c r="D12244" s="2" t="inlineStr">
        <is>
          <t>413300</t>
        </is>
      </c>
      <c r="E12244" s="3" t="inlineStr">
        <is>
          <t xml:space="preserve">기업설명회(IR)개최              </t>
        </is>
      </c>
      <c r="F12244" s="3" t="inlineStr">
        <is>
          <t>티엘엔지니어링</t>
        </is>
      </c>
      <c r="G12244" s="2" t="inlineStr">
        <is>
          <t>20260619600442</t>
        </is>
      </c>
      <c r="H12244" s="8">
        <f>HYPERLINK("https://dart.fss.or.kr/dsaf001/main.do?rcpNo=20260619600442", "공시열람")</f>
        <v/>
      </c>
    </row>
    <row r="12245">
      <c r="A12245" s="2" t="inlineStr">
        <is>
          <t>2026-06-19</t>
        </is>
      </c>
      <c r="B12245" s="3" t="inlineStr">
        <is>
          <t>에넥스</t>
        </is>
      </c>
      <c r="C12245" s="2" t="inlineStr">
        <is>
          <t>코스피</t>
        </is>
      </c>
      <c r="D12245" s="2" t="inlineStr">
        <is>
          <t>011090</t>
        </is>
      </c>
      <c r="E12245" s="3" t="inlineStr">
        <is>
          <t>임원ㆍ주요주주특정증권등소유상황보고서</t>
        </is>
      </c>
      <c r="F12245" s="3" t="inlineStr">
        <is>
          <t>박성은</t>
        </is>
      </c>
      <c r="G12245" s="2" t="inlineStr">
        <is>
          <t>20260619000167</t>
        </is>
      </c>
      <c r="H12245" s="8">
        <f>HYPERLINK("https://dart.fss.or.kr/dsaf001/main.do?rcpNo=20260619000167", "공시열람")</f>
        <v/>
      </c>
    </row>
    <row r="12246">
      <c r="A12246" s="2" t="inlineStr">
        <is>
          <t>2026-06-19</t>
        </is>
      </c>
      <c r="B12246" s="3" t="inlineStr">
        <is>
          <t>에넥스</t>
        </is>
      </c>
      <c r="C12246" s="2" t="inlineStr">
        <is>
          <t>코스피</t>
        </is>
      </c>
      <c r="D12246" s="2" t="inlineStr">
        <is>
          <t>011090</t>
        </is>
      </c>
      <c r="E12246" s="3" t="inlineStr">
        <is>
          <t>임원ㆍ주요주주특정증권등소유상황보고서</t>
        </is>
      </c>
      <c r="F12246" s="3" t="inlineStr">
        <is>
          <t>박진규</t>
        </is>
      </c>
      <c r="G12246" s="2" t="inlineStr">
        <is>
          <t>20260619000166</t>
        </is>
      </c>
      <c r="H12246" s="8">
        <f>HYPERLINK("https://dart.fss.or.kr/dsaf001/main.do?rcpNo=20260619000166", "공시열람")</f>
        <v/>
      </c>
    </row>
    <row r="12247">
      <c r="A12247" s="2" t="inlineStr">
        <is>
          <t>2026-06-19</t>
        </is>
      </c>
      <c r="B12247" s="3" t="inlineStr">
        <is>
          <t>삼성증권</t>
        </is>
      </c>
      <c r="C12247" s="2" t="inlineStr">
        <is>
          <t>코스피</t>
        </is>
      </c>
      <c r="D12247" s="2" t="inlineStr">
        <is>
          <t>016360</t>
        </is>
      </c>
      <c r="E12247" s="3" t="inlineStr">
        <is>
          <t>일괄신고추가서류(파생결합사채-주가연계파생결합사채)</t>
        </is>
      </c>
      <c r="F12247" s="3" t="inlineStr">
        <is>
          <t>삼성증권</t>
        </is>
      </c>
      <c r="G12247" s="2" t="inlineStr">
        <is>
          <t>20260619000165</t>
        </is>
      </c>
      <c r="H12247" s="8">
        <f>HYPERLINK("https://dart.fss.or.kr/dsaf001/main.do?rcpNo=20260619000165", "공시열람")</f>
        <v/>
      </c>
    </row>
    <row r="12248">
      <c r="A12248" s="2" t="inlineStr">
        <is>
          <t>2026-06-19</t>
        </is>
      </c>
      <c r="B12248" s="3" t="inlineStr">
        <is>
          <t>삼성증권</t>
        </is>
      </c>
      <c r="C12248" s="2" t="inlineStr">
        <is>
          <t>코스피</t>
        </is>
      </c>
      <c r="D12248" s="2" t="inlineStr">
        <is>
          <t>016360</t>
        </is>
      </c>
      <c r="E12248" s="3" t="inlineStr">
        <is>
          <t>일괄신고추가서류(파생결합증권-주가연계증권)</t>
        </is>
      </c>
      <c r="F12248" s="3" t="inlineStr">
        <is>
          <t>삼성증권</t>
        </is>
      </c>
      <c r="G12248" s="2" t="inlineStr">
        <is>
          <t>20260619000164</t>
        </is>
      </c>
      <c r="H12248" s="8">
        <f>HYPERLINK("https://dart.fss.or.kr/dsaf001/main.do?rcpNo=20260619000164", "공시열람")</f>
        <v/>
      </c>
    </row>
    <row r="12249">
      <c r="A12249" s="2" t="inlineStr">
        <is>
          <t>2026-06-19</t>
        </is>
      </c>
      <c r="B12249" s="3" t="inlineStr">
        <is>
          <t>조아제약</t>
        </is>
      </c>
      <c r="C12249" s="2" t="inlineStr">
        <is>
          <t>코스닥</t>
        </is>
      </c>
      <c r="D12249" s="2" t="inlineStr">
        <is>
          <t>034940</t>
        </is>
      </c>
      <c r="E12249" s="3" t="inlineStr">
        <is>
          <t>의결권대리행사권유참고서류</t>
        </is>
      </c>
      <c r="F12249" s="3" t="inlineStr">
        <is>
          <t>조아제약</t>
        </is>
      </c>
      <c r="G12249" s="2" t="inlineStr">
        <is>
          <t>20260619000161</t>
        </is>
      </c>
      <c r="H12249" s="8">
        <f>HYPERLINK("https://dart.fss.or.kr/dsaf001/main.do?rcpNo=20260619000161", "공시열람")</f>
        <v/>
      </c>
    </row>
    <row r="12250">
      <c r="A12250" s="2" t="inlineStr">
        <is>
          <t>2026-06-19</t>
        </is>
      </c>
      <c r="B12250" s="3" t="inlineStr">
        <is>
          <t>이엠티</t>
        </is>
      </c>
      <c r="C12250" s="2" t="inlineStr">
        <is>
          <t>코넥스</t>
        </is>
      </c>
      <c r="D12250" s="2" t="inlineStr">
        <is>
          <t>232530</t>
        </is>
      </c>
      <c r="E12250" s="3" t="inlineStr">
        <is>
          <t xml:space="preserve">[기재정정]기업설명회(IR)개최              </t>
        </is>
      </c>
      <c r="F12250" s="3" t="inlineStr">
        <is>
          <t>이엠티</t>
        </is>
      </c>
      <c r="G12250" s="2" t="inlineStr">
        <is>
          <t>20260619600434</t>
        </is>
      </c>
      <c r="H12250" s="8">
        <f>HYPERLINK("https://dart.fss.or.kr/dsaf001/main.do?rcpNo=20260619600434", "공시열람")</f>
        <v/>
      </c>
    </row>
    <row r="12251">
      <c r="A12251" s="2" t="inlineStr">
        <is>
          <t>2026-06-19</t>
        </is>
      </c>
      <c r="B12251" s="3" t="inlineStr">
        <is>
          <t>신풍</t>
        </is>
      </c>
      <c r="C12251" s="2" t="inlineStr">
        <is>
          <t>코스피</t>
        </is>
      </c>
      <c r="D12251" s="2" t="inlineStr">
        <is>
          <t>002870</t>
        </is>
      </c>
      <c r="E12251" s="3" t="inlineStr">
        <is>
          <t xml:space="preserve">조회공시요구(현저한시황변동)에대한답변(미확정)              </t>
        </is>
      </c>
      <c r="F12251" s="3" t="inlineStr">
        <is>
          <t>신풍</t>
        </is>
      </c>
      <c r="G12251" s="2" t="inlineStr">
        <is>
          <t>20260619800422</t>
        </is>
      </c>
      <c r="H12251" s="8">
        <f>HYPERLINK("https://dart.fss.or.kr/dsaf001/main.do?rcpNo=20260619800422", "공시열람")</f>
        <v/>
      </c>
    </row>
    <row r="12252">
      <c r="A12252" s="2" t="inlineStr">
        <is>
          <t>2026-06-19</t>
        </is>
      </c>
      <c r="B12252" s="3" t="inlineStr">
        <is>
          <t>전진바이오팜</t>
        </is>
      </c>
      <c r="C12252" s="2" t="inlineStr">
        <is>
          <t>코스닥</t>
        </is>
      </c>
      <c r="D12252" s="2" t="inlineStr">
        <is>
          <t>110020</t>
        </is>
      </c>
      <c r="E12252" s="3" t="inlineStr">
        <is>
          <t>임원ㆍ주요주주특정증권등거래계획보고서</t>
        </is>
      </c>
      <c r="F12252" s="3" t="inlineStr">
        <is>
          <t>이태훈</t>
        </is>
      </c>
      <c r="G12252" s="2" t="inlineStr">
        <is>
          <t>20260619000155</t>
        </is>
      </c>
      <c r="H12252" s="8">
        <f>HYPERLINK("https://dart.fss.or.kr/dsaf001/main.do?rcpNo=20260619000155", "공시열람")</f>
        <v/>
      </c>
    </row>
    <row r="12253">
      <c r="A12253" s="2" t="inlineStr">
        <is>
          <t>2026-06-19</t>
        </is>
      </c>
      <c r="B12253" s="3" t="inlineStr">
        <is>
          <t>한화투자증권</t>
        </is>
      </c>
      <c r="C12253" s="2" t="inlineStr">
        <is>
          <t>코스피</t>
        </is>
      </c>
      <c r="D12253" s="2" t="inlineStr">
        <is>
          <t>003530</t>
        </is>
      </c>
      <c r="E12253" s="3" t="inlineStr">
        <is>
          <t>증권발행실적보고서</t>
        </is>
      </c>
      <c r="F12253" s="3" t="inlineStr">
        <is>
          <t>한화투자증권</t>
        </is>
      </c>
      <c r="G12253" s="2" t="inlineStr">
        <is>
          <t>20260619000149</t>
        </is>
      </c>
      <c r="H12253" s="8">
        <f>HYPERLINK("https://dart.fss.or.kr/dsaf001/main.do?rcpNo=20260619000149", "공시열람")</f>
        <v/>
      </c>
    </row>
    <row r="12254">
      <c r="A12254" s="2" t="inlineStr">
        <is>
          <t>2026-06-19</t>
        </is>
      </c>
      <c r="B12254" s="3" t="inlineStr">
        <is>
          <t>미래에셋증권</t>
        </is>
      </c>
      <c r="C12254" s="2" t="inlineStr">
        <is>
          <t>코스피</t>
        </is>
      </c>
      <c r="D12254" s="2" t="inlineStr">
        <is>
          <t>006800</t>
        </is>
      </c>
      <c r="E12254" s="3" t="inlineStr">
        <is>
          <t>투자설명서(일괄신고)</t>
        </is>
      </c>
      <c r="F12254" s="3" t="inlineStr">
        <is>
          <t>미래에셋증권</t>
        </is>
      </c>
      <c r="G12254" s="2" t="inlineStr">
        <is>
          <t>20260619000148</t>
        </is>
      </c>
      <c r="H12254" s="8">
        <f>HYPERLINK("https://dart.fss.or.kr/dsaf001/main.do?rcpNo=20260619000148", "공시열람")</f>
        <v/>
      </c>
    </row>
    <row r="12255">
      <c r="A12255" s="2" t="inlineStr">
        <is>
          <t>2026-06-19</t>
        </is>
      </c>
      <c r="B12255" s="3" t="inlineStr">
        <is>
          <t>미래에셋증권</t>
        </is>
      </c>
      <c r="C12255" s="2" t="inlineStr">
        <is>
          <t>코스피</t>
        </is>
      </c>
      <c r="D12255" s="2" t="inlineStr">
        <is>
          <t>006800</t>
        </is>
      </c>
      <c r="E12255" s="3" t="inlineStr">
        <is>
          <t>일괄신고추가서류(파생결합증권-주가연계증권)</t>
        </is>
      </c>
      <c r="F12255" s="3" t="inlineStr">
        <is>
          <t>미래에셋증권</t>
        </is>
      </c>
      <c r="G12255" s="2" t="inlineStr">
        <is>
          <t>20260619000137</t>
        </is>
      </c>
      <c r="H12255" s="8">
        <f>HYPERLINK("https://dart.fss.or.kr/dsaf001/main.do?rcpNo=20260619000137", "공시열람")</f>
        <v/>
      </c>
    </row>
    <row r="12256">
      <c r="A12256" s="2" t="inlineStr">
        <is>
          <t>2026-06-19</t>
        </is>
      </c>
      <c r="B12256" s="3" t="inlineStr">
        <is>
          <t>한화투자증권</t>
        </is>
      </c>
      <c r="C12256" s="2" t="inlineStr">
        <is>
          <t>코스피</t>
        </is>
      </c>
      <c r="D12256" s="2" t="inlineStr">
        <is>
          <t>003530</t>
        </is>
      </c>
      <c r="E12256" s="3" t="inlineStr">
        <is>
          <t>투자설명서(일괄신고)</t>
        </is>
      </c>
      <c r="F12256" s="3" t="inlineStr">
        <is>
          <t>한화투자증권</t>
        </is>
      </c>
      <c r="G12256" s="2" t="inlineStr">
        <is>
          <t>20260619000136</t>
        </is>
      </c>
      <c r="H12256" s="8">
        <f>HYPERLINK("https://dart.fss.or.kr/dsaf001/main.do?rcpNo=20260619000136", "공시열람")</f>
        <v/>
      </c>
    </row>
    <row r="12257">
      <c r="A12257" s="2" t="inlineStr">
        <is>
          <t>2026-06-19</t>
        </is>
      </c>
      <c r="B12257" s="3" t="inlineStr">
        <is>
          <t>에스케이바이오팜</t>
        </is>
      </c>
      <c r="C12257" s="2" t="inlineStr">
        <is>
          <t>코스피</t>
        </is>
      </c>
      <c r="D12257" s="2" t="inlineStr">
        <is>
          <t>326030</t>
        </is>
      </c>
      <c r="E12257" s="3" t="inlineStr">
        <is>
          <t xml:space="preserve">지속가능경영보고서등관련사항(자율공시)              </t>
        </is>
      </c>
      <c r="F12257" s="3" t="inlineStr">
        <is>
          <t>에스케이바이오팜</t>
        </is>
      </c>
      <c r="G12257" s="2" t="inlineStr">
        <is>
          <t>20260619800419</t>
        </is>
      </c>
      <c r="H12257" s="8">
        <f>HYPERLINK("https://dart.fss.or.kr/dsaf001/main.do?rcpNo=20260619800419", "공시열람")</f>
        <v/>
      </c>
    </row>
    <row r="12258">
      <c r="A12258" s="2" t="inlineStr">
        <is>
          <t>2026-06-19</t>
        </is>
      </c>
      <c r="B12258" s="3" t="inlineStr">
        <is>
          <t>한화투자증권</t>
        </is>
      </c>
      <c r="C12258" s="2" t="inlineStr">
        <is>
          <t>코스피</t>
        </is>
      </c>
      <c r="D12258" s="2" t="inlineStr">
        <is>
          <t>003530</t>
        </is>
      </c>
      <c r="E12258" s="3" t="inlineStr">
        <is>
          <t>일괄신고추가서류(기타파생결합사채)</t>
        </is>
      </c>
      <c r="F12258" s="3" t="inlineStr">
        <is>
          <t>한화투자증권</t>
        </is>
      </c>
      <c r="G12258" s="2" t="inlineStr">
        <is>
          <t>20260619000135</t>
        </is>
      </c>
      <c r="H12258" s="8">
        <f>HYPERLINK("https://dart.fss.or.kr/dsaf001/main.do?rcpNo=20260619000135", "공시열람")</f>
        <v/>
      </c>
    </row>
    <row r="12259">
      <c r="A12259" s="2" t="inlineStr">
        <is>
          <t>2026-06-19</t>
        </is>
      </c>
      <c r="B12259" s="3" t="inlineStr">
        <is>
          <t>NH투자증권</t>
        </is>
      </c>
      <c r="C12259" s="2" t="inlineStr">
        <is>
          <t>코스피</t>
        </is>
      </c>
      <c r="D12259" s="2" t="inlineStr">
        <is>
          <t>005940</t>
        </is>
      </c>
      <c r="E12259" s="3" t="inlineStr">
        <is>
          <t>투자설명서(일괄신고)</t>
        </is>
      </c>
      <c r="F12259" s="3" t="inlineStr">
        <is>
          <t>NH투자증권</t>
        </is>
      </c>
      <c r="G12259" s="2" t="inlineStr">
        <is>
          <t>20260619000125</t>
        </is>
      </c>
      <c r="H12259" s="8">
        <f>HYPERLINK("https://dart.fss.or.kr/dsaf001/main.do?rcpNo=20260619000125", "공시열람")</f>
        <v/>
      </c>
    </row>
    <row r="12260">
      <c r="A12260" s="2" t="inlineStr">
        <is>
          <t>2026-06-19</t>
        </is>
      </c>
      <c r="B12260" s="3" t="inlineStr">
        <is>
          <t>삼성증권</t>
        </is>
      </c>
      <c r="C12260" s="2" t="inlineStr">
        <is>
          <t>코스피</t>
        </is>
      </c>
      <c r="D12260" s="2" t="inlineStr">
        <is>
          <t>016360</t>
        </is>
      </c>
      <c r="E12260" s="3" t="inlineStr">
        <is>
          <t>투자설명서(일괄신고)</t>
        </is>
      </c>
      <c r="F12260" s="3" t="inlineStr">
        <is>
          <t>삼성증권</t>
        </is>
      </c>
      <c r="G12260" s="2" t="inlineStr">
        <is>
          <t>20260619000122</t>
        </is>
      </c>
      <c r="H12260" s="8">
        <f>HYPERLINK("https://dart.fss.or.kr/dsaf001/main.do?rcpNo=20260619000122", "공시열람")</f>
        <v/>
      </c>
    </row>
    <row r="12261">
      <c r="A12261" s="2" t="inlineStr">
        <is>
          <t>2026-06-19</t>
        </is>
      </c>
      <c r="B12261" s="3" t="inlineStr">
        <is>
          <t>NH투자증권</t>
        </is>
      </c>
      <c r="C12261" s="2" t="inlineStr">
        <is>
          <t>코스피</t>
        </is>
      </c>
      <c r="D12261" s="2" t="inlineStr">
        <is>
          <t>005940</t>
        </is>
      </c>
      <c r="E12261" s="3" t="inlineStr">
        <is>
          <t>일괄신고추가서류(파생결합증권-주가연계증권)</t>
        </is>
      </c>
      <c r="F12261" s="3" t="inlineStr">
        <is>
          <t>NH투자증권</t>
        </is>
      </c>
      <c r="G12261" s="2" t="inlineStr">
        <is>
          <t>20260619000109</t>
        </is>
      </c>
      <c r="H12261" s="8">
        <f>HYPERLINK("https://dart.fss.or.kr/dsaf001/main.do?rcpNo=20260619000109", "공시열람")</f>
        <v/>
      </c>
    </row>
    <row r="12262">
      <c r="A12262" s="2" t="inlineStr">
        <is>
          <t>2026-06-19</t>
        </is>
      </c>
      <c r="B12262" s="3" t="inlineStr">
        <is>
          <t>삼성증권</t>
        </is>
      </c>
      <c r="C12262" s="2" t="inlineStr">
        <is>
          <t>코스피</t>
        </is>
      </c>
      <c r="D12262" s="2" t="inlineStr">
        <is>
          <t>016360</t>
        </is>
      </c>
      <c r="E12262" s="3" t="inlineStr">
        <is>
          <t>일괄신고추가서류(파생결합사채-주가연계파생결합사채)</t>
        </is>
      </c>
      <c r="F12262" s="3" t="inlineStr">
        <is>
          <t>삼성증권</t>
        </is>
      </c>
      <c r="G12262" s="2" t="inlineStr">
        <is>
          <t>20260619000107</t>
        </is>
      </c>
      <c r="H12262" s="8">
        <f>HYPERLINK("https://dart.fss.or.kr/dsaf001/main.do?rcpNo=20260619000107", "공시열람")</f>
        <v/>
      </c>
    </row>
    <row r="12263">
      <c r="A12263" s="2" t="inlineStr">
        <is>
          <t>2026-06-19</t>
        </is>
      </c>
      <c r="B12263" s="3" t="inlineStr">
        <is>
          <t>아모레퍼시픽</t>
        </is>
      </c>
      <c r="C12263" s="2" t="inlineStr">
        <is>
          <t>코스피</t>
        </is>
      </c>
      <c r="D12263" s="2" t="inlineStr">
        <is>
          <t>090430</t>
        </is>
      </c>
      <c r="E12263" s="3" t="inlineStr">
        <is>
          <t xml:space="preserve">기업설명회(IR)개최(안내공시)              </t>
        </is>
      </c>
      <c r="F12263" s="3" t="inlineStr">
        <is>
          <t>아모레퍼시픽</t>
        </is>
      </c>
      <c r="G12263" s="2" t="inlineStr">
        <is>
          <t>20260619800404</t>
        </is>
      </c>
      <c r="H12263" s="8">
        <f>HYPERLINK("https://dart.fss.or.kr/dsaf001/main.do?rcpNo=20260619800404", "공시열람")</f>
        <v/>
      </c>
    </row>
    <row r="12264">
      <c r="A12264" s="2" t="inlineStr">
        <is>
          <t>2026-06-19</t>
        </is>
      </c>
      <c r="B12264" s="3" t="inlineStr">
        <is>
          <t>티쓰리</t>
        </is>
      </c>
      <c r="C12264" s="2" t="inlineStr">
        <is>
          <t>코스닥</t>
        </is>
      </c>
      <c r="D12264" s="2" t="inlineStr">
        <is>
          <t>204610</t>
        </is>
      </c>
      <c r="E12264" s="3" t="inlineStr">
        <is>
          <t xml:space="preserve">기업설명회(IR)개최              </t>
        </is>
      </c>
      <c r="F12264" s="3" t="inlineStr">
        <is>
          <t>티쓰리</t>
        </is>
      </c>
      <c r="G12264" s="2" t="inlineStr">
        <is>
          <t>20260619900388</t>
        </is>
      </c>
      <c r="H12264" s="8">
        <f>HYPERLINK("https://dart.fss.or.kr/dsaf001/main.do?rcpNo=20260619900388", "공시열람")</f>
        <v/>
      </c>
    </row>
    <row r="12265">
      <c r="A12265" s="2" t="inlineStr">
        <is>
          <t>2026-06-19</t>
        </is>
      </c>
      <c r="B12265" s="3" t="inlineStr">
        <is>
          <t>교보증권</t>
        </is>
      </c>
      <c r="C12265" s="2" t="inlineStr">
        <is>
          <t>코스피</t>
        </is>
      </c>
      <c r="D12265" s="2" t="inlineStr">
        <is>
          <t>030610</t>
        </is>
      </c>
      <c r="E12265" s="3" t="inlineStr">
        <is>
          <t>일괄신고추가서류(기타파생결합사채)</t>
        </is>
      </c>
      <c r="F12265" s="3" t="inlineStr">
        <is>
          <t>교보증권</t>
        </is>
      </c>
      <c r="G12265" s="2" t="inlineStr">
        <is>
          <t>20260619000099</t>
        </is>
      </c>
      <c r="H12265" s="8">
        <f>HYPERLINK("https://dart.fss.or.kr/dsaf001/main.do?rcpNo=20260619000099", "공시열람")</f>
        <v/>
      </c>
    </row>
    <row r="12266">
      <c r="A12266" s="2" t="inlineStr">
        <is>
          <t>2026-06-19</t>
        </is>
      </c>
      <c r="B12266" s="3" t="inlineStr">
        <is>
          <t>교보증권</t>
        </is>
      </c>
      <c r="C12266" s="2" t="inlineStr">
        <is>
          <t>코스피</t>
        </is>
      </c>
      <c r="D12266" s="2" t="inlineStr">
        <is>
          <t>030610</t>
        </is>
      </c>
      <c r="E12266" s="3" t="inlineStr">
        <is>
          <t>일괄신고추가서류(파생결합사채-주가연계파생결합사채)</t>
        </is>
      </c>
      <c r="F12266" s="3" t="inlineStr">
        <is>
          <t>교보증권</t>
        </is>
      </c>
      <c r="G12266" s="2" t="inlineStr">
        <is>
          <t>20260619000098</t>
        </is>
      </c>
      <c r="H12266" s="8">
        <f>HYPERLINK("https://dart.fss.or.kr/dsaf001/main.do?rcpNo=20260619000098", "공시열람")</f>
        <v/>
      </c>
    </row>
    <row r="12267">
      <c r="A12267" s="2" t="inlineStr">
        <is>
          <t>2026-06-19</t>
        </is>
      </c>
      <c r="B12267" s="3" t="inlineStr">
        <is>
          <t>HD현대중공업</t>
        </is>
      </c>
      <c r="C12267" s="2" t="inlineStr">
        <is>
          <t>코스피</t>
        </is>
      </c>
      <c r="D12267" s="2" t="inlineStr">
        <is>
          <t>329180</t>
        </is>
      </c>
      <c r="E12267" s="3" t="inlineStr">
        <is>
          <t xml:space="preserve">풍문또는보도에대한해명(미확정)              </t>
        </is>
      </c>
      <c r="F12267" s="3" t="inlineStr">
        <is>
          <t>HD현대중공업</t>
        </is>
      </c>
      <c r="G12267" s="2" t="inlineStr">
        <is>
          <t>20260619800395</t>
        </is>
      </c>
      <c r="H12267" s="8">
        <f>HYPERLINK("https://dart.fss.or.kr/dsaf001/main.do?rcpNo=20260619800395", "공시열람")</f>
        <v/>
      </c>
    </row>
    <row r="12268">
      <c r="A12268" s="2" t="inlineStr">
        <is>
          <t>2026-06-19</t>
        </is>
      </c>
      <c r="B12268" s="3" t="inlineStr">
        <is>
          <t>키움증권</t>
        </is>
      </c>
      <c r="C12268" s="2" t="inlineStr">
        <is>
          <t>코스피</t>
        </is>
      </c>
      <c r="D12268" s="2" t="inlineStr">
        <is>
          <t>039490</t>
        </is>
      </c>
      <c r="E12268" s="3" t="inlineStr">
        <is>
          <t>증권발행실적보고서</t>
        </is>
      </c>
      <c r="F12268" s="3" t="inlineStr">
        <is>
          <t>키움증권</t>
        </is>
      </c>
      <c r="G12268" s="2" t="inlineStr">
        <is>
          <t>20260619000095</t>
        </is>
      </c>
      <c r="H12268" s="8">
        <f>HYPERLINK("https://dart.fss.or.kr/dsaf001/main.do?rcpNo=20260619000095", "공시열람")</f>
        <v/>
      </c>
    </row>
    <row r="12269">
      <c r="A12269" s="2" t="inlineStr">
        <is>
          <t>2026-06-19</t>
        </is>
      </c>
      <c r="B12269" s="3" t="inlineStr">
        <is>
          <t>지엘팜텍</t>
        </is>
      </c>
      <c r="C12269" s="2" t="inlineStr">
        <is>
          <t>코스닥</t>
        </is>
      </c>
      <c r="D12269" s="2" t="inlineStr">
        <is>
          <t>204840</t>
        </is>
      </c>
      <c r="E12269" s="3" t="inlineStr">
        <is>
          <t>의결권대리행사권유참고서류</t>
        </is>
      </c>
      <c r="F12269" s="3" t="inlineStr">
        <is>
          <t>지엘팜텍</t>
        </is>
      </c>
      <c r="G12269" s="2" t="inlineStr">
        <is>
          <t>20260619000094</t>
        </is>
      </c>
      <c r="H12269" s="8">
        <f>HYPERLINK("https://dart.fss.or.kr/dsaf001/main.do?rcpNo=20260619000094", "공시열람")</f>
        <v/>
      </c>
    </row>
    <row r="12270">
      <c r="A12270" s="2" t="inlineStr">
        <is>
          <t>2026-06-19</t>
        </is>
      </c>
      <c r="B12270" s="3" t="inlineStr">
        <is>
          <t>키움증권</t>
        </is>
      </c>
      <c r="C12270" s="2" t="inlineStr">
        <is>
          <t>코스피</t>
        </is>
      </c>
      <c r="D12270" s="2" t="inlineStr">
        <is>
          <t>039490</t>
        </is>
      </c>
      <c r="E12270" s="3" t="inlineStr">
        <is>
          <t>증권발행실적보고서</t>
        </is>
      </c>
      <c r="F12270" s="3" t="inlineStr">
        <is>
          <t>키움증권</t>
        </is>
      </c>
      <c r="G12270" s="2" t="inlineStr">
        <is>
          <t>20260619000092</t>
        </is>
      </c>
      <c r="H12270" s="8">
        <f>HYPERLINK("https://dart.fss.or.kr/dsaf001/main.do?rcpNo=20260619000092", "공시열람")</f>
        <v/>
      </c>
    </row>
    <row r="12271">
      <c r="A12271" s="2" t="inlineStr">
        <is>
          <t>2026-06-19</t>
        </is>
      </c>
      <c r="B12271" s="3" t="inlineStr">
        <is>
          <t>엔알비</t>
        </is>
      </c>
      <c r="C12271" s="2" t="inlineStr">
        <is>
          <t>코스닥</t>
        </is>
      </c>
      <c r="D12271" s="2" t="inlineStr">
        <is>
          <t>475230</t>
        </is>
      </c>
      <c r="E12271" s="3" t="inlineStr">
        <is>
          <t>임원ㆍ주요주주특정증권등소유상황보고서</t>
        </is>
      </c>
      <c r="F12271" s="3" t="inlineStr">
        <is>
          <t>최진달미</t>
        </is>
      </c>
      <c r="G12271" s="2" t="inlineStr">
        <is>
          <t>20260619000087</t>
        </is>
      </c>
      <c r="H12271" s="8">
        <f>HYPERLINK("https://dart.fss.or.kr/dsaf001/main.do?rcpNo=20260619000087", "공시열람")</f>
        <v/>
      </c>
    </row>
    <row r="12272">
      <c r="A12272" s="2" t="inlineStr">
        <is>
          <t>2026-06-19</t>
        </is>
      </c>
      <c r="B12272" s="3" t="inlineStr">
        <is>
          <t>바이오포트</t>
        </is>
      </c>
      <c r="C12272" s="2" t="inlineStr">
        <is>
          <t>코스닥</t>
        </is>
      </c>
      <c r="D12272" s="2" t="inlineStr">
        <is>
          <t>188040</t>
        </is>
      </c>
      <c r="E12272" s="3" t="inlineStr">
        <is>
          <t xml:space="preserve">기업설명회(IR)개최              </t>
        </is>
      </c>
      <c r="F12272" s="3" t="inlineStr">
        <is>
          <t>바이오포트</t>
        </is>
      </c>
      <c r="G12272" s="2" t="inlineStr">
        <is>
          <t>20260619900372</t>
        </is>
      </c>
      <c r="H12272" s="8">
        <f>HYPERLINK("https://dart.fss.or.kr/dsaf001/main.do?rcpNo=20260619900372", "공시열람")</f>
        <v/>
      </c>
    </row>
    <row r="12273">
      <c r="A12273" s="2" t="inlineStr">
        <is>
          <t>2026-06-19</t>
        </is>
      </c>
      <c r="B12273" s="3" t="inlineStr">
        <is>
          <t>엔알비</t>
        </is>
      </c>
      <c r="C12273" s="2" t="inlineStr">
        <is>
          <t>코스닥</t>
        </is>
      </c>
      <c r="D12273" s="2" t="inlineStr">
        <is>
          <t>475230</t>
        </is>
      </c>
      <c r="E12273" s="3" t="inlineStr">
        <is>
          <t>임원ㆍ주요주주특정증권등소유상황보고서</t>
        </is>
      </c>
      <c r="F12273" s="3" t="inlineStr">
        <is>
          <t>조재훈</t>
        </is>
      </c>
      <c r="G12273" s="2" t="inlineStr">
        <is>
          <t>20260619000084</t>
        </is>
      </c>
      <c r="H12273" s="8">
        <f>HYPERLINK("https://dart.fss.or.kr/dsaf001/main.do?rcpNo=20260619000084", "공시열람")</f>
        <v/>
      </c>
    </row>
    <row r="12274">
      <c r="A12274" s="2" t="inlineStr">
        <is>
          <t>2026-06-19</t>
        </is>
      </c>
      <c r="B12274" s="3" t="inlineStr">
        <is>
          <t>엔알비</t>
        </is>
      </c>
      <c r="C12274" s="2" t="inlineStr">
        <is>
          <t>코스닥</t>
        </is>
      </c>
      <c r="D12274" s="2" t="inlineStr">
        <is>
          <t>475230</t>
        </is>
      </c>
      <c r="E12274" s="3" t="inlineStr">
        <is>
          <t>임원ㆍ주요주주특정증권등소유상황보고서</t>
        </is>
      </c>
      <c r="F12274" s="3" t="inlineStr">
        <is>
          <t>이종명</t>
        </is>
      </c>
      <c r="G12274" s="2" t="inlineStr">
        <is>
          <t>20260619000080</t>
        </is>
      </c>
      <c r="H12274" s="8">
        <f>HYPERLINK("https://dart.fss.or.kr/dsaf001/main.do?rcpNo=20260619000080", "공시열람")</f>
        <v/>
      </c>
    </row>
    <row r="12275">
      <c r="A12275" s="2" t="inlineStr">
        <is>
          <t>2026-06-19</t>
        </is>
      </c>
      <c r="B12275" s="3" t="inlineStr">
        <is>
          <t>트리니티항공</t>
        </is>
      </c>
      <c r="C12275" s="2" t="inlineStr">
        <is>
          <t>코스피</t>
        </is>
      </c>
      <c r="D12275" s="2" t="inlineStr">
        <is>
          <t>091810</t>
        </is>
      </c>
      <c r="E12275" s="3" t="inlineStr">
        <is>
          <t>동일인등출자계열회사와의상품ㆍ용역거래</t>
        </is>
      </c>
      <c r="F12275" s="3" t="inlineStr">
        <is>
          <t>트리니티항공</t>
        </is>
      </c>
      <c r="G12275" s="2" t="inlineStr">
        <is>
          <t>20260619000079</t>
        </is>
      </c>
      <c r="H12275" s="8">
        <f>HYPERLINK("https://dart.fss.or.kr/dsaf001/main.do?rcpNo=20260619000079", "공시열람")</f>
        <v/>
      </c>
    </row>
    <row r="12276">
      <c r="A12276" s="2" t="inlineStr">
        <is>
          <t>2026-06-19</t>
        </is>
      </c>
      <c r="B12276" s="3" t="inlineStr">
        <is>
          <t>한국알콜</t>
        </is>
      </c>
      <c r="C12276" s="2" t="inlineStr">
        <is>
          <t>코스닥</t>
        </is>
      </c>
      <c r="D12276" s="2" t="inlineStr">
        <is>
          <t>017890</t>
        </is>
      </c>
      <c r="E12276" s="3" t="inlineStr">
        <is>
          <t>임원ㆍ주요주주특정증권등소유상황보고서</t>
        </is>
      </c>
      <c r="F12276" s="3" t="inlineStr">
        <is>
          <t>TheMiriStrategicEmergingMarketsFundLP</t>
        </is>
      </c>
      <c r="G12276" s="2" t="inlineStr">
        <is>
          <t>20260619000078</t>
        </is>
      </c>
      <c r="H12276" s="8">
        <f>HYPERLINK("https://dart.fss.or.kr/dsaf001/main.do?rcpNo=20260619000078", "공시열람")</f>
        <v/>
      </c>
    </row>
    <row r="12277">
      <c r="A12277" s="2" t="inlineStr">
        <is>
          <t>2026-06-19</t>
        </is>
      </c>
      <c r="B12277" s="3" t="inlineStr">
        <is>
          <t>에스켐</t>
        </is>
      </c>
      <c r="C12277" s="2" t="inlineStr">
        <is>
          <t>코스닥</t>
        </is>
      </c>
      <c r="D12277" s="2" t="inlineStr">
        <is>
          <t>475660</t>
        </is>
      </c>
      <c r="E12277" s="3" t="inlineStr">
        <is>
          <t>임원ㆍ주요주주특정증권등소유상황보고서</t>
        </is>
      </c>
      <c r="F12277" s="3" t="inlineStr">
        <is>
          <t>이대원</t>
        </is>
      </c>
      <c r="G12277" s="2" t="inlineStr">
        <is>
          <t>20260619000076</t>
        </is>
      </c>
      <c r="H12277" s="8">
        <f>HYPERLINK("https://dart.fss.or.kr/dsaf001/main.do?rcpNo=20260619000076", "공시열람")</f>
        <v/>
      </c>
    </row>
    <row r="12278">
      <c r="A12278" s="2" t="inlineStr">
        <is>
          <t>2026-06-19</t>
        </is>
      </c>
      <c r="B12278" s="3" t="inlineStr">
        <is>
          <t>엔알비</t>
        </is>
      </c>
      <c r="C12278" s="2" t="inlineStr">
        <is>
          <t>코스닥</t>
        </is>
      </c>
      <c r="D12278" s="2" t="inlineStr">
        <is>
          <t>475230</t>
        </is>
      </c>
      <c r="E12278" s="3" t="inlineStr">
        <is>
          <t>임원ㆍ주요주주특정증권등소유상황보고서</t>
        </is>
      </c>
      <c r="F12278" s="3" t="inlineStr">
        <is>
          <t>박정희</t>
        </is>
      </c>
      <c r="G12278" s="2" t="inlineStr">
        <is>
          <t>20260619000075</t>
        </is>
      </c>
      <c r="H12278" s="8">
        <f>HYPERLINK("https://dart.fss.or.kr/dsaf001/main.do?rcpNo=20260619000075", "공시열람")</f>
        <v/>
      </c>
    </row>
    <row r="12279">
      <c r="A12279" s="2" t="inlineStr">
        <is>
          <t>2026-06-19</t>
        </is>
      </c>
      <c r="B12279" s="3" t="inlineStr">
        <is>
          <t>JB금융지주</t>
        </is>
      </c>
      <c r="C12279" s="2" t="inlineStr">
        <is>
          <t>코스피</t>
        </is>
      </c>
      <c r="D12279" s="2" t="inlineStr">
        <is>
          <t>175330</t>
        </is>
      </c>
      <c r="E12279" s="3" t="inlineStr">
        <is>
          <t>임원ㆍ주요주주특정증권등소유상황보고서</t>
        </is>
      </c>
      <c r="F12279" s="3" t="inlineStr">
        <is>
          <t>삼양사</t>
        </is>
      </c>
      <c r="G12279" s="2" t="inlineStr">
        <is>
          <t>20260619000071</t>
        </is>
      </c>
      <c r="H12279" s="8">
        <f>HYPERLINK("https://dart.fss.or.kr/dsaf001/main.do?rcpNo=20260619000071", "공시열람")</f>
        <v/>
      </c>
    </row>
    <row r="12280">
      <c r="A12280" s="2" t="inlineStr">
        <is>
          <t>2026-06-19</t>
        </is>
      </c>
      <c r="B12280" s="3" t="inlineStr">
        <is>
          <t>엔알비</t>
        </is>
      </c>
      <c r="C12280" s="2" t="inlineStr">
        <is>
          <t>코스닥</t>
        </is>
      </c>
      <c r="D12280" s="2" t="inlineStr">
        <is>
          <t>475230</t>
        </is>
      </c>
      <c r="E12280" s="3" t="inlineStr">
        <is>
          <t>임원ㆍ주요주주특정증권등소유상황보고서</t>
        </is>
      </c>
      <c r="F12280" s="3" t="inlineStr">
        <is>
          <t>김명진</t>
        </is>
      </c>
      <c r="G12280" s="2" t="inlineStr">
        <is>
          <t>20260619000066</t>
        </is>
      </c>
      <c r="H12280" s="8">
        <f>HYPERLINK("https://dart.fss.or.kr/dsaf001/main.do?rcpNo=20260619000066", "공시열람")</f>
        <v/>
      </c>
    </row>
    <row r="12281">
      <c r="A12281" s="2" t="inlineStr">
        <is>
          <t>2026-06-19</t>
        </is>
      </c>
      <c r="B12281" s="3" t="inlineStr">
        <is>
          <t>엔알비</t>
        </is>
      </c>
      <c r="C12281" s="2" t="inlineStr">
        <is>
          <t>코스닥</t>
        </is>
      </c>
      <c r="D12281" s="2" t="inlineStr">
        <is>
          <t>475230</t>
        </is>
      </c>
      <c r="E12281" s="3" t="inlineStr">
        <is>
          <t>임원ㆍ주요주주특정증권등소유상황보고서</t>
        </is>
      </c>
      <c r="F12281" s="3" t="inlineStr">
        <is>
          <t>김동우</t>
        </is>
      </c>
      <c r="G12281" s="2" t="inlineStr">
        <is>
          <t>20260619000063</t>
        </is>
      </c>
      <c r="H12281" s="8">
        <f>HYPERLINK("https://dart.fss.or.kr/dsaf001/main.do?rcpNo=20260619000063", "공시열람")</f>
        <v/>
      </c>
    </row>
    <row r="12282">
      <c r="A12282" s="2" t="inlineStr">
        <is>
          <t>2026-06-19</t>
        </is>
      </c>
      <c r="B12282" s="3" t="inlineStr">
        <is>
          <t>플라즈맵</t>
        </is>
      </c>
      <c r="C12282" s="2" t="inlineStr">
        <is>
          <t>코스닥</t>
        </is>
      </c>
      <c r="D12282" s="2" t="inlineStr">
        <is>
          <t>405000</t>
        </is>
      </c>
      <c r="E12282" s="3" t="inlineStr">
        <is>
          <t>임원ㆍ주요주주특정증권등소유상황보고서</t>
        </is>
      </c>
      <c r="F12282" s="3" t="inlineStr">
        <is>
          <t>이윤철</t>
        </is>
      </c>
      <c r="G12282" s="2" t="inlineStr">
        <is>
          <t>20260619000062</t>
        </is>
      </c>
      <c r="H12282" s="8">
        <f>HYPERLINK("https://dart.fss.or.kr/dsaf001/main.do?rcpNo=20260619000062", "공시열람")</f>
        <v/>
      </c>
    </row>
    <row r="12283">
      <c r="A12283" s="2" t="inlineStr">
        <is>
          <t>2026-06-19</t>
        </is>
      </c>
      <c r="B12283" s="3" t="inlineStr">
        <is>
          <t>알지노믹스</t>
        </is>
      </c>
      <c r="C12283" s="2" t="inlineStr">
        <is>
          <t>코스닥</t>
        </is>
      </c>
      <c r="D12283" s="2" t="inlineStr">
        <is>
          <t>476830</t>
        </is>
      </c>
      <c r="E12283" s="3" t="inlineStr">
        <is>
          <t>임원ㆍ주요주주특정증권등소유상황보고서</t>
        </is>
      </c>
      <c r="F12283" s="3" t="inlineStr">
        <is>
          <t>홍성우</t>
        </is>
      </c>
      <c r="G12283" s="2" t="inlineStr">
        <is>
          <t>20260619000061</t>
        </is>
      </c>
      <c r="H12283" s="8">
        <f>HYPERLINK("https://dart.fss.or.kr/dsaf001/main.do?rcpNo=20260619000061", "공시열람")</f>
        <v/>
      </c>
    </row>
    <row r="12284">
      <c r="A12284" s="2" t="inlineStr">
        <is>
          <t>2026-06-19</t>
        </is>
      </c>
      <c r="B12284" s="3" t="inlineStr">
        <is>
          <t>엔알비</t>
        </is>
      </c>
      <c r="C12284" s="2" t="inlineStr">
        <is>
          <t>코스닥</t>
        </is>
      </c>
      <c r="D12284" s="2" t="inlineStr">
        <is>
          <t>475230</t>
        </is>
      </c>
      <c r="E12284" s="3" t="inlineStr">
        <is>
          <t>임원ㆍ주요주주특정증권등소유상황보고서</t>
        </is>
      </c>
      <c r="F12284" s="3" t="inlineStr">
        <is>
          <t>강건우</t>
        </is>
      </c>
      <c r="G12284" s="2" t="inlineStr">
        <is>
          <t>20260619000060</t>
        </is>
      </c>
      <c r="H12284" s="8">
        <f>HYPERLINK("https://dart.fss.or.kr/dsaf001/main.do?rcpNo=20260619000060", "공시열람")</f>
        <v/>
      </c>
    </row>
    <row r="12285">
      <c r="A12285" s="2" t="inlineStr">
        <is>
          <t>2026-06-19</t>
        </is>
      </c>
      <c r="B12285" s="3" t="inlineStr">
        <is>
          <t>엑셈</t>
        </is>
      </c>
      <c r="C12285" s="2" t="inlineStr">
        <is>
          <t>코스닥</t>
        </is>
      </c>
      <c r="D12285" s="2" t="inlineStr">
        <is>
          <t>205100</t>
        </is>
      </c>
      <c r="E12285" s="3" t="inlineStr">
        <is>
          <t>임원ㆍ주요주주특정증권등소유상황보고서</t>
        </is>
      </c>
      <c r="F12285" s="3" t="inlineStr">
        <is>
          <t>조종암</t>
        </is>
      </c>
      <c r="G12285" s="2" t="inlineStr">
        <is>
          <t>20260619000047</t>
        </is>
      </c>
      <c r="H12285" s="8">
        <f>HYPERLINK("https://dart.fss.or.kr/dsaf001/main.do?rcpNo=20260619000047", "공시열람")</f>
        <v/>
      </c>
    </row>
    <row r="12286">
      <c r="A12286" s="2" t="inlineStr">
        <is>
          <t>2026-06-19</t>
        </is>
      </c>
      <c r="B12286" s="3" t="inlineStr">
        <is>
          <t>NH투자증권</t>
        </is>
      </c>
      <c r="C12286" s="2" t="inlineStr">
        <is>
          <t>코스피</t>
        </is>
      </c>
      <c r="D12286" s="2" t="inlineStr">
        <is>
          <t>005940</t>
        </is>
      </c>
      <c r="E12286" s="3" t="inlineStr">
        <is>
          <t>증권발행실적보고서</t>
        </is>
      </c>
      <c r="F12286" s="3" t="inlineStr">
        <is>
          <t>NH투자증권</t>
        </is>
      </c>
      <c r="G12286" s="2" t="inlineStr">
        <is>
          <t>20260619000032</t>
        </is>
      </c>
      <c r="H12286" s="8">
        <f>HYPERLINK("https://dart.fss.or.kr/dsaf001/main.do?rcpNo=20260619000032", "공시열람")</f>
        <v/>
      </c>
    </row>
    <row r="12287">
      <c r="A12287" s="2" t="inlineStr">
        <is>
          <t>2026-06-19</t>
        </is>
      </c>
      <c r="B12287" s="3" t="inlineStr">
        <is>
          <t>미래에셋증권</t>
        </is>
      </c>
      <c r="C12287" s="2" t="inlineStr">
        <is>
          <t>코스피</t>
        </is>
      </c>
      <c r="D12287" s="2" t="inlineStr">
        <is>
          <t>006800</t>
        </is>
      </c>
      <c r="E12287" s="3" t="inlineStr">
        <is>
          <t>증권발행실적보고서</t>
        </is>
      </c>
      <c r="F12287" s="3" t="inlineStr">
        <is>
          <t>미래에셋증권</t>
        </is>
      </c>
      <c r="G12287" s="2" t="inlineStr">
        <is>
          <t>20260619000015</t>
        </is>
      </c>
      <c r="H12287" s="8">
        <f>HYPERLINK("https://dart.fss.or.kr/dsaf001/main.do?rcpNo=20260619000015", "공시열람")</f>
        <v/>
      </c>
    </row>
    <row r="12288">
      <c r="A12288" s="2" t="inlineStr">
        <is>
          <t>2026-06-19</t>
        </is>
      </c>
      <c r="B12288" s="3" t="inlineStr">
        <is>
          <t>씨엠티엑스</t>
        </is>
      </c>
      <c r="C12288" s="2" t="inlineStr">
        <is>
          <t>코스닥</t>
        </is>
      </c>
      <c r="D12288" s="2" t="inlineStr">
        <is>
          <t>388210</t>
        </is>
      </c>
      <c r="E12288" s="3" t="inlineStr">
        <is>
          <t xml:space="preserve">기업설명회(IR)개최              </t>
        </is>
      </c>
      <c r="F12288" s="3" t="inlineStr">
        <is>
          <t>씨엠티엑스</t>
        </is>
      </c>
      <c r="G12288" s="2" t="inlineStr">
        <is>
          <t>20260619900166</t>
        </is>
      </c>
      <c r="H12288" s="8">
        <f>HYPERLINK("https://dart.fss.or.kr/dsaf001/main.do?rcpNo=20260619900166", "공시열람")</f>
        <v/>
      </c>
    </row>
    <row r="12289">
      <c r="A12289" s="2" t="inlineStr">
        <is>
          <t>2026-06-19</t>
        </is>
      </c>
      <c r="B12289" s="3" t="inlineStr">
        <is>
          <t>키움증권</t>
        </is>
      </c>
      <c r="C12289" s="2" t="inlineStr">
        <is>
          <t>코스피</t>
        </is>
      </c>
      <c r="D12289" s="2" t="inlineStr">
        <is>
          <t>039490</t>
        </is>
      </c>
      <c r="E12289" s="3" t="inlineStr">
        <is>
          <t>증권발행실적보고서</t>
        </is>
      </c>
      <c r="F12289" s="3" t="inlineStr">
        <is>
          <t>키움증권</t>
        </is>
      </c>
      <c r="G12289" s="2" t="inlineStr">
        <is>
          <t>20260619000002</t>
        </is>
      </c>
      <c r="H12289" s="8">
        <f>HYPERLINK("https://dart.fss.or.kr/dsaf001/main.do?rcpNo=20260619000002", "공시열람")</f>
        <v/>
      </c>
    </row>
    <row r="12290">
      <c r="A12290" s="2" t="inlineStr">
        <is>
          <t>2026-06-19</t>
        </is>
      </c>
      <c r="B12290" s="3" t="inlineStr">
        <is>
          <t>케이엔알시스템</t>
        </is>
      </c>
      <c r="C12290" s="2" t="inlineStr">
        <is>
          <t>코스닥</t>
        </is>
      </c>
      <c r="D12290" s="2" t="inlineStr">
        <is>
          <t>199430</t>
        </is>
      </c>
      <c r="E12290" s="3" t="inlineStr">
        <is>
          <t>임원ㆍ주요주주특정증권등소유상황보고서</t>
        </is>
      </c>
      <c r="F12290" s="3" t="inlineStr">
        <is>
          <t>오세빈</t>
        </is>
      </c>
      <c r="G12290" s="2" t="inlineStr">
        <is>
          <t>20260618000412</t>
        </is>
      </c>
      <c r="H12290" s="8">
        <f>HYPERLINK("https://dart.fss.or.kr/dsaf001/main.do?rcpNo=20260618000412", "공시열람")</f>
        <v/>
      </c>
    </row>
    <row r="12291">
      <c r="A12291" s="2" t="inlineStr">
        <is>
          <t>2026-06-22 (정정: 2026-06-26)</t>
        </is>
      </c>
      <c r="B12291" s="3" t="inlineStr">
        <is>
          <t>DL</t>
        </is>
      </c>
      <c r="C12291" s="2" t="inlineStr">
        <is>
          <t>코스피</t>
        </is>
      </c>
      <c r="D12291" s="2" t="inlineStr">
        <is>
          <t>000210</t>
        </is>
      </c>
      <c r="E12291" s="3" t="inlineStr">
        <is>
          <t>벌금등의부과(자회사의 주요경영사항)               (정정: 20260626)</t>
        </is>
      </c>
      <c r="F12291" s="3" t="inlineStr">
        <is>
          <t>DL</t>
        </is>
      </c>
      <c r="G12291" s="2" t="inlineStr">
        <is>
          <t>20260626800600</t>
        </is>
      </c>
      <c r="H12291" s="8">
        <f>HYPERLINK("https://dart.fss.or.kr/dsaf001/main.do?rcpNo=20260626800600", "공시열람")</f>
        <v/>
      </c>
    </row>
    <row r="12292">
      <c r="A12292" s="2" t="inlineStr">
        <is>
          <t>2026-06-22 (정정: 2026-06-26)</t>
        </is>
      </c>
      <c r="B12292" s="3" t="inlineStr">
        <is>
          <t>DL이앤씨</t>
        </is>
      </c>
      <c r="C12292" s="2" t="inlineStr">
        <is>
          <t>코스피</t>
        </is>
      </c>
      <c r="D12292" s="2" t="inlineStr">
        <is>
          <t>375500</t>
        </is>
      </c>
      <c r="E12292" s="3" t="inlineStr">
        <is>
          <t>벌금등의부과               (정정: 20260626)</t>
        </is>
      </c>
      <c r="F12292" s="3" t="inlineStr">
        <is>
          <t>DL이앤씨</t>
        </is>
      </c>
      <c r="G12292" s="2" t="inlineStr">
        <is>
          <t>20260626800574</t>
        </is>
      </c>
      <c r="H12292" s="8">
        <f>HYPERLINK("https://dart.fss.or.kr/dsaf001/main.do?rcpNo=20260626800574", "공시열람")</f>
        <v/>
      </c>
    </row>
    <row r="12293">
      <c r="A12293" s="2" t="inlineStr">
        <is>
          <t>2026-06-22</t>
        </is>
      </c>
      <c r="B12293" s="3" t="inlineStr">
        <is>
          <t>코리아에셋투자증권</t>
        </is>
      </c>
      <c r="C12293" s="2" t="inlineStr">
        <is>
          <t>코스닥</t>
        </is>
      </c>
      <c r="D12293" s="2" t="inlineStr">
        <is>
          <t>190650</t>
        </is>
      </c>
      <c r="E12293" s="3" t="inlineStr">
        <is>
          <t xml:space="preserve">감사보고서제출              </t>
        </is>
      </c>
      <c r="F12293" s="3" t="inlineStr">
        <is>
          <t>코리아에셋투자증권</t>
        </is>
      </c>
      <c r="G12293" s="2" t="inlineStr">
        <is>
          <t>20260622900875</t>
        </is>
      </c>
      <c r="H12293" s="8">
        <f>HYPERLINK("https://dart.fss.or.kr/dsaf001/main.do?rcpNo=20260622900875", "공시열람")</f>
        <v/>
      </c>
    </row>
    <row r="12294">
      <c r="A12294" s="2" t="inlineStr">
        <is>
          <t>2026-06-22</t>
        </is>
      </c>
      <c r="B12294" s="3" t="inlineStr">
        <is>
          <t>이엠티</t>
        </is>
      </c>
      <c r="C12294" s="2" t="inlineStr">
        <is>
          <t>코넥스</t>
        </is>
      </c>
      <c r="D12294" s="2" t="inlineStr">
        <is>
          <t>232530</t>
        </is>
      </c>
      <c r="E12294" s="3" t="inlineStr">
        <is>
          <t>기타주요경영사항(자율공시)              (감사보고서 제출 지연)</t>
        </is>
      </c>
      <c r="F12294" s="3" t="inlineStr">
        <is>
          <t>이엠티</t>
        </is>
      </c>
      <c r="G12294" s="2" t="inlineStr">
        <is>
          <t>20260622600850</t>
        </is>
      </c>
      <c r="H12294" s="8">
        <f>HYPERLINK("https://dart.fss.or.kr/dsaf001/main.do?rcpNo=20260622600850", "공시열람")</f>
        <v/>
      </c>
    </row>
    <row r="12295">
      <c r="A12295" s="2" t="inlineStr">
        <is>
          <t>2026-06-22</t>
        </is>
      </c>
      <c r="B12295" s="3" t="inlineStr">
        <is>
          <t>KCC건설</t>
        </is>
      </c>
      <c r="C12295" s="2" t="inlineStr">
        <is>
          <t>코스닥</t>
        </is>
      </c>
      <c r="D12295" s="2" t="inlineStr">
        <is>
          <t>021320</t>
        </is>
      </c>
      <c r="E12295" s="3" t="inlineStr">
        <is>
          <t xml:space="preserve">중대재해발생              </t>
        </is>
      </c>
      <c r="F12295" s="3" t="inlineStr">
        <is>
          <t>KCC건설</t>
        </is>
      </c>
      <c r="G12295" s="2" t="inlineStr">
        <is>
          <t>20260622900845</t>
        </is>
      </c>
      <c r="H12295" s="8">
        <f>HYPERLINK("https://dart.fss.or.kr/dsaf001/main.do?rcpNo=20260622900845", "공시열람")</f>
        <v/>
      </c>
    </row>
    <row r="12296">
      <c r="A12296" s="2" t="inlineStr">
        <is>
          <t>2026-06-22</t>
        </is>
      </c>
      <c r="B12296" s="3" t="inlineStr">
        <is>
          <t>핑거</t>
        </is>
      </c>
      <c r="C12296" s="2" t="inlineStr">
        <is>
          <t>코스닥</t>
        </is>
      </c>
      <c r="D12296" s="2" t="inlineStr">
        <is>
          <t>163730</t>
        </is>
      </c>
      <c r="E12296" s="3" t="inlineStr">
        <is>
          <t>임원ㆍ주요주주특정증권등소유상황보고서</t>
        </is>
      </c>
      <c r="F12296" s="3" t="inlineStr">
        <is>
          <t>서룡전자</t>
        </is>
      </c>
      <c r="G12296" s="2" t="inlineStr">
        <is>
          <t>20260622000409</t>
        </is>
      </c>
      <c r="H12296" s="8">
        <f>HYPERLINK("https://dart.fss.or.kr/dsaf001/main.do?rcpNo=20260622000409", "공시열람")</f>
        <v/>
      </c>
    </row>
    <row r="12297">
      <c r="A12297" s="2" t="inlineStr">
        <is>
          <t>2026-06-22</t>
        </is>
      </c>
      <c r="B12297" s="3" t="inlineStr">
        <is>
          <t>파이온엑스</t>
        </is>
      </c>
      <c r="C12297" s="2" t="inlineStr">
        <is>
          <t>코스닥</t>
        </is>
      </c>
      <c r="D12297" s="2" t="inlineStr">
        <is>
          <t>900100</t>
        </is>
      </c>
      <c r="E12297" s="3" t="inlineStr">
        <is>
          <t>주권매매거래정지해제              (액면병합 주권 변경상장)</t>
        </is>
      </c>
      <c r="F12297" s="3" t="inlineStr">
        <is>
          <t>코스닥시장본부</t>
        </is>
      </c>
      <c r="G12297" s="2" t="inlineStr">
        <is>
          <t>20260622900833</t>
        </is>
      </c>
      <c r="H12297" s="8">
        <f>HYPERLINK("https://dart.fss.or.kr/dsaf001/main.do?rcpNo=20260622900833", "공시열람")</f>
        <v/>
      </c>
    </row>
    <row r="12298">
      <c r="A12298" s="2" t="inlineStr">
        <is>
          <t>2026-06-22</t>
        </is>
      </c>
      <c r="B12298" s="3" t="inlineStr">
        <is>
          <t>로지스몬</t>
        </is>
      </c>
      <c r="C12298" s="2" t="inlineStr">
        <is>
          <t>코넥스</t>
        </is>
      </c>
      <c r="D12298" s="2" t="inlineStr">
        <is>
          <t>223220</t>
        </is>
      </c>
      <c r="E12298" s="3" t="inlineStr">
        <is>
          <t xml:space="preserve">소송등의판결ㆍ결정              </t>
        </is>
      </c>
      <c r="F12298" s="3" t="inlineStr">
        <is>
          <t>로지스몬</t>
        </is>
      </c>
      <c r="G12298" s="2" t="inlineStr">
        <is>
          <t>20260622600808</t>
        </is>
      </c>
      <c r="H12298" s="8">
        <f>HYPERLINK("https://dart.fss.or.kr/dsaf001/main.do?rcpNo=20260622600808", "공시열람")</f>
        <v/>
      </c>
    </row>
    <row r="12299">
      <c r="A12299" s="2" t="inlineStr">
        <is>
          <t>2026-06-22</t>
        </is>
      </c>
      <c r="B12299" s="3" t="inlineStr">
        <is>
          <t>로지스몬</t>
        </is>
      </c>
      <c r="C12299" s="2" t="inlineStr">
        <is>
          <t>코넥스</t>
        </is>
      </c>
      <c r="D12299" s="2" t="inlineStr">
        <is>
          <t>223220</t>
        </is>
      </c>
      <c r="E12299" s="3" t="inlineStr">
        <is>
          <t xml:space="preserve">소송등의판결ㆍ결정              </t>
        </is>
      </c>
      <c r="F12299" s="3" t="inlineStr">
        <is>
          <t>로지스몬</t>
        </is>
      </c>
      <c r="G12299" s="2" t="inlineStr">
        <is>
          <t>20260622600807</t>
        </is>
      </c>
      <c r="H12299" s="8">
        <f>HYPERLINK("https://dart.fss.or.kr/dsaf001/main.do?rcpNo=20260622600807", "공시열람")</f>
        <v/>
      </c>
    </row>
    <row r="12300">
      <c r="A12300" s="2" t="inlineStr">
        <is>
          <t>2026-06-22</t>
        </is>
      </c>
      <c r="B12300" s="3" t="inlineStr">
        <is>
          <t>서한</t>
        </is>
      </c>
      <c r="C12300" s="2" t="inlineStr">
        <is>
          <t>코스닥</t>
        </is>
      </c>
      <c r="D12300" s="2" t="inlineStr">
        <is>
          <t>011370</t>
        </is>
      </c>
      <c r="E12300" s="3" t="inlineStr">
        <is>
          <t xml:space="preserve">주주명부폐쇄기간또는기준일설정              </t>
        </is>
      </c>
      <c r="F12300" s="3" t="inlineStr">
        <is>
          <t>서한</t>
        </is>
      </c>
      <c r="G12300" s="2" t="inlineStr">
        <is>
          <t>20260622900826</t>
        </is>
      </c>
      <c r="H12300" s="8">
        <f>HYPERLINK("https://dart.fss.or.kr/dsaf001/main.do?rcpNo=20260622900826", "공시열람")</f>
        <v/>
      </c>
    </row>
    <row r="12301">
      <c r="A12301" s="2" t="inlineStr">
        <is>
          <t>2026-06-22</t>
        </is>
      </c>
      <c r="B12301" s="3" t="inlineStr">
        <is>
          <t>유니켐</t>
        </is>
      </c>
      <c r="C12301" s="2" t="inlineStr">
        <is>
          <t>코스피</t>
        </is>
      </c>
      <c r="D12301" s="2" t="inlineStr">
        <is>
          <t>011330</t>
        </is>
      </c>
      <c r="E12301" s="3" t="inlineStr">
        <is>
          <t>임원ㆍ주요주주특정증권등소유상황보고서</t>
        </is>
      </c>
      <c r="F12301" s="3" t="inlineStr">
        <is>
          <t>박미현</t>
        </is>
      </c>
      <c r="G12301" s="2" t="inlineStr">
        <is>
          <t>20260622000402</t>
        </is>
      </c>
      <c r="H12301" s="8">
        <f>HYPERLINK("https://dart.fss.or.kr/dsaf001/main.do?rcpNo=20260622000402", "공시열람")</f>
        <v/>
      </c>
    </row>
    <row r="12302">
      <c r="A12302" s="2" t="inlineStr">
        <is>
          <t>2026-06-22</t>
        </is>
      </c>
      <c r="B12302" s="3" t="inlineStr">
        <is>
          <t>서한</t>
        </is>
      </c>
      <c r="C12302" s="2" t="inlineStr">
        <is>
          <t>코스닥</t>
        </is>
      </c>
      <c r="D12302" s="2" t="inlineStr">
        <is>
          <t>011370</t>
        </is>
      </c>
      <c r="E12302" s="3" t="inlineStr">
        <is>
          <t xml:space="preserve">주식병합결정              </t>
        </is>
      </c>
      <c r="F12302" s="3" t="inlineStr">
        <is>
          <t>서한</t>
        </is>
      </c>
      <c r="G12302" s="2" t="inlineStr">
        <is>
          <t>20260622900822</t>
        </is>
      </c>
      <c r="H12302" s="8">
        <f>HYPERLINK("https://dart.fss.or.kr/dsaf001/main.do?rcpNo=20260622900822", "공시열람")</f>
        <v/>
      </c>
    </row>
    <row r="12303">
      <c r="A12303" s="2" t="inlineStr">
        <is>
          <t>2026-06-22</t>
        </is>
      </c>
      <c r="B12303" s="3" t="inlineStr">
        <is>
          <t>유니켐</t>
        </is>
      </c>
      <c r="C12303" s="2" t="inlineStr">
        <is>
          <t>코스피</t>
        </is>
      </c>
      <c r="D12303" s="2" t="inlineStr">
        <is>
          <t>011330</t>
        </is>
      </c>
      <c r="E12303" s="3" t="inlineStr">
        <is>
          <t>임원ㆍ주요주주특정증권등소유상황보고서</t>
        </is>
      </c>
      <c r="F12303" s="3" t="inlineStr">
        <is>
          <t>김한주</t>
        </is>
      </c>
      <c r="G12303" s="2" t="inlineStr">
        <is>
          <t>20260622000397</t>
        </is>
      </c>
      <c r="H12303" s="8">
        <f>HYPERLINK("https://dart.fss.or.kr/dsaf001/main.do?rcpNo=20260622000397", "공시열람")</f>
        <v/>
      </c>
    </row>
    <row r="12304">
      <c r="A12304" s="2" t="inlineStr">
        <is>
          <t>2026-06-22</t>
        </is>
      </c>
      <c r="B12304" s="3" t="inlineStr">
        <is>
          <t>비스토스</t>
        </is>
      </c>
      <c r="C12304" s="2" t="inlineStr">
        <is>
          <t>코스닥</t>
        </is>
      </c>
      <c r="D12304" s="2" t="inlineStr">
        <is>
          <t>419540</t>
        </is>
      </c>
      <c r="E12304" s="3" t="inlineStr">
        <is>
          <t>임원ㆍ주요주주특정증권등소유상황보고서</t>
        </is>
      </c>
      <c r="F12304" s="3" t="inlineStr">
        <is>
          <t>씨유메디칼</t>
        </is>
      </c>
      <c r="G12304" s="2" t="inlineStr">
        <is>
          <t>20260622000396</t>
        </is>
      </c>
      <c r="H12304" s="8">
        <f>HYPERLINK("https://dart.fss.or.kr/dsaf001/main.do?rcpNo=20260622000396", "공시열람")</f>
        <v/>
      </c>
    </row>
    <row r="12305">
      <c r="A12305" s="2" t="inlineStr">
        <is>
          <t>2026-06-22</t>
        </is>
      </c>
      <c r="B12305" s="3" t="inlineStr">
        <is>
          <t>유니켐</t>
        </is>
      </c>
      <c r="C12305" s="2" t="inlineStr">
        <is>
          <t>코스피</t>
        </is>
      </c>
      <c r="D12305" s="2" t="inlineStr">
        <is>
          <t>011330</t>
        </is>
      </c>
      <c r="E12305" s="3" t="inlineStr">
        <is>
          <t>임원ㆍ주요주주특정증권등소유상황보고서</t>
        </is>
      </c>
      <c r="F12305" s="3" t="inlineStr">
        <is>
          <t>장영훈</t>
        </is>
      </c>
      <c r="G12305" s="2" t="inlineStr">
        <is>
          <t>20260622000391</t>
        </is>
      </c>
      <c r="H12305" s="8">
        <f>HYPERLINK("https://dart.fss.or.kr/dsaf001/main.do?rcpNo=20260622000391", "공시열람")</f>
        <v/>
      </c>
    </row>
    <row r="12306">
      <c r="A12306" s="2" t="inlineStr">
        <is>
          <t>2026-06-22</t>
        </is>
      </c>
      <c r="B12306" s="3" t="inlineStr">
        <is>
          <t>인바이츠바이오코아</t>
        </is>
      </c>
      <c r="C12306" s="2" t="inlineStr">
        <is>
          <t>코넥스</t>
        </is>
      </c>
      <c r="D12306" s="2" t="inlineStr">
        <is>
          <t>216400</t>
        </is>
      </c>
      <c r="E12306" s="3" t="inlineStr">
        <is>
          <t xml:space="preserve">기업설명회(IR)개최결과              </t>
        </is>
      </c>
      <c r="F12306" s="3" t="inlineStr">
        <is>
          <t>인바이츠바이오코아</t>
        </is>
      </c>
      <c r="G12306" s="2" t="inlineStr">
        <is>
          <t>20260622600803</t>
        </is>
      </c>
      <c r="H12306" s="8">
        <f>HYPERLINK("https://dart.fss.or.kr/dsaf001/main.do?rcpNo=20260622600803", "공시열람")</f>
        <v/>
      </c>
    </row>
    <row r="12307">
      <c r="A12307" s="2" t="inlineStr">
        <is>
          <t>2026-06-22</t>
        </is>
      </c>
      <c r="B12307" s="3" t="inlineStr">
        <is>
          <t>YG PLUS</t>
        </is>
      </c>
      <c r="C12307" s="2" t="inlineStr">
        <is>
          <t>코스피</t>
        </is>
      </c>
      <c r="D12307" s="2" t="inlineStr">
        <is>
          <t>037270</t>
        </is>
      </c>
      <c r="E12307" s="3" t="inlineStr">
        <is>
          <t>사외이사의선임ㆍ해임또는중도퇴임에관한신고</t>
        </is>
      </c>
      <c r="F12307" s="3" t="inlineStr">
        <is>
          <t>YG PLUS</t>
        </is>
      </c>
      <c r="G12307" s="2" t="inlineStr">
        <is>
          <t>20260622000380</t>
        </is>
      </c>
      <c r="H12307" s="8">
        <f>HYPERLINK("https://dart.fss.or.kr/dsaf001/main.do?rcpNo=20260622000380", "공시열람")</f>
        <v/>
      </c>
    </row>
    <row r="12308">
      <c r="A12308" s="2" t="inlineStr">
        <is>
          <t>2026-06-22</t>
        </is>
      </c>
      <c r="B12308" s="3" t="inlineStr">
        <is>
          <t>프레스티지바이오로직스</t>
        </is>
      </c>
      <c r="C12308" s="2" t="inlineStr">
        <is>
          <t>코스닥</t>
        </is>
      </c>
      <c r="D12308" s="2" t="inlineStr">
        <is>
          <t>334970</t>
        </is>
      </c>
      <c r="E12308" s="3" t="inlineStr">
        <is>
          <t xml:space="preserve">전환가액의조정              </t>
        </is>
      </c>
      <c r="F12308" s="3" t="inlineStr">
        <is>
          <t>프레스티지바이오로직스</t>
        </is>
      </c>
      <c r="G12308" s="2" t="inlineStr">
        <is>
          <t>20260622900794</t>
        </is>
      </c>
      <c r="H12308" s="8">
        <f>HYPERLINK("https://dart.fss.or.kr/dsaf001/main.do?rcpNo=20260622900794", "공시열람")</f>
        <v/>
      </c>
    </row>
    <row r="12309">
      <c r="A12309" s="2" t="inlineStr">
        <is>
          <t>2026-06-22</t>
        </is>
      </c>
      <c r="B12309" s="3" t="inlineStr">
        <is>
          <t>삼성전자</t>
        </is>
      </c>
      <c r="C12309" s="2" t="inlineStr">
        <is>
          <t>코스피</t>
        </is>
      </c>
      <c r="D12309" s="2" t="inlineStr">
        <is>
          <t>005930</t>
        </is>
      </c>
      <c r="E12309" s="3" t="inlineStr">
        <is>
          <t>임원ㆍ주요주주특정증권등소유상황보고서</t>
        </is>
      </c>
      <c r="F12309" s="3" t="inlineStr">
        <is>
          <t>김태훈</t>
        </is>
      </c>
      <c r="G12309" s="2" t="inlineStr">
        <is>
          <t>20260622000376</t>
        </is>
      </c>
      <c r="H12309" s="8">
        <f>HYPERLINK("https://dart.fss.or.kr/dsaf001/main.do?rcpNo=20260622000376", "공시열람")</f>
        <v/>
      </c>
    </row>
    <row r="12310">
      <c r="A12310" s="2" t="inlineStr">
        <is>
          <t>2026-06-22</t>
        </is>
      </c>
      <c r="B12310" s="3" t="inlineStr">
        <is>
          <t>HEM파마</t>
        </is>
      </c>
      <c r="C12310" s="2" t="inlineStr">
        <is>
          <t>코스닥</t>
        </is>
      </c>
      <c r="D12310" s="2" t="inlineStr">
        <is>
          <t>376270</t>
        </is>
      </c>
      <c r="E12310" s="3" t="inlineStr">
        <is>
          <t>임원ㆍ주요주주특정증권등소유상황보고서</t>
        </is>
      </c>
      <c r="F12310" s="3" t="inlineStr">
        <is>
          <t>김봉준</t>
        </is>
      </c>
      <c r="G12310" s="2" t="inlineStr">
        <is>
          <t>20260622000375</t>
        </is>
      </c>
      <c r="H12310" s="8">
        <f>HYPERLINK("https://dart.fss.or.kr/dsaf001/main.do?rcpNo=20260622000375", "공시열람")</f>
        <v/>
      </c>
    </row>
    <row r="12311">
      <c r="A12311" s="2" t="inlineStr">
        <is>
          <t>2026-06-22</t>
        </is>
      </c>
      <c r="B12311" s="3" t="inlineStr">
        <is>
          <t>유니켐</t>
        </is>
      </c>
      <c r="C12311" s="2" t="inlineStr">
        <is>
          <t>코스피</t>
        </is>
      </c>
      <c r="D12311" s="2" t="inlineStr">
        <is>
          <t>011330</t>
        </is>
      </c>
      <c r="E12311" s="3" t="inlineStr">
        <is>
          <t>임원ㆍ주요주주특정증권등소유상황보고서</t>
        </is>
      </c>
      <c r="F12311" s="3" t="inlineStr">
        <is>
          <t>김진환</t>
        </is>
      </c>
      <c r="G12311" s="2" t="inlineStr">
        <is>
          <t>20260622000374</t>
        </is>
      </c>
      <c r="H12311" s="8">
        <f>HYPERLINK("https://dart.fss.or.kr/dsaf001/main.do?rcpNo=20260622000374", "공시열람")</f>
        <v/>
      </c>
    </row>
    <row r="12312">
      <c r="A12312" s="2" t="inlineStr">
        <is>
          <t>2026-06-22</t>
        </is>
      </c>
      <c r="B12312" s="3" t="inlineStr">
        <is>
          <t>KG에코솔루션</t>
        </is>
      </c>
      <c r="C12312" s="2" t="inlineStr">
        <is>
          <t>코스닥</t>
        </is>
      </c>
      <c r="D12312" s="2" t="inlineStr">
        <is>
          <t>151860</t>
        </is>
      </c>
      <c r="E12312" s="3" t="inlineStr">
        <is>
          <t xml:space="preserve">투자판단관련주요경영사항              </t>
        </is>
      </c>
      <c r="F12312" s="3" t="inlineStr">
        <is>
          <t>KG에코솔루션</t>
        </is>
      </c>
      <c r="G12312" s="2" t="inlineStr">
        <is>
          <t>20260622900721</t>
        </is>
      </c>
      <c r="H12312" s="8">
        <f>HYPERLINK("https://dart.fss.or.kr/dsaf001/main.do?rcpNo=20260622900721", "공시열람")</f>
        <v/>
      </c>
    </row>
    <row r="12313">
      <c r="A12313" s="2" t="inlineStr">
        <is>
          <t>2026-06-22 (정정: 2026-06-22)</t>
        </is>
      </c>
      <c r="B12313" s="3" t="inlineStr">
        <is>
          <t>비투엔</t>
        </is>
      </c>
      <c r="C12313" s="2" t="inlineStr">
        <is>
          <t>코스닥</t>
        </is>
      </c>
      <c r="D12313" s="2" t="inlineStr">
        <is>
          <t>307870</t>
        </is>
      </c>
      <c r="E12313" s="3" t="inlineStr">
        <is>
          <t>기타주요경영사항              (자기 전환사채(제3,4,5회차) 매도결정 철회) (정정: 20260622) (정정: 20260622) (정정: 20260622)</t>
        </is>
      </c>
      <c r="F12313" s="3" t="inlineStr">
        <is>
          <t>비투엔</t>
        </is>
      </c>
      <c r="G12313" s="2" t="inlineStr">
        <is>
          <t>20260622000302</t>
        </is>
      </c>
      <c r="H12313" s="8">
        <f>HYPERLINK("https://dart.fss.or.kr/dsaf001/main.do?rcpNo=20260622000302", "공시열람")</f>
        <v/>
      </c>
    </row>
    <row r="12314">
      <c r="A12314" s="2" t="inlineStr">
        <is>
          <t>2026-06-22</t>
        </is>
      </c>
      <c r="B12314" s="3" t="inlineStr">
        <is>
          <t>국일제지</t>
        </is>
      </c>
      <c r="C12314" s="2" t="inlineStr">
        <is>
          <t>코스닥</t>
        </is>
      </c>
      <c r="D12314" s="2" t="inlineStr">
        <is>
          <t>078130</t>
        </is>
      </c>
      <c r="E12314" s="3" t="inlineStr">
        <is>
          <t xml:space="preserve">횡령ㆍ배임혐의진행사항              </t>
        </is>
      </c>
      <c r="F12314" s="3" t="inlineStr">
        <is>
          <t>국일제지</t>
        </is>
      </c>
      <c r="G12314" s="2" t="inlineStr">
        <is>
          <t>20260622900717</t>
        </is>
      </c>
      <c r="H12314" s="8">
        <f>HYPERLINK("https://dart.fss.or.kr/dsaf001/main.do?rcpNo=20260622900717", "공시열람")</f>
        <v/>
      </c>
    </row>
    <row r="12315">
      <c r="A12315" s="2" t="inlineStr">
        <is>
          <t>2026-06-22</t>
        </is>
      </c>
      <c r="B12315" s="3" t="inlineStr">
        <is>
          <t>유니트론텍</t>
        </is>
      </c>
      <c r="C12315" s="2" t="inlineStr">
        <is>
          <t>코스닥</t>
        </is>
      </c>
      <c r="D12315" s="2" t="inlineStr">
        <is>
          <t>142210</t>
        </is>
      </c>
      <c r="E12315" s="3" t="inlineStr">
        <is>
          <t xml:space="preserve">전환가액의조정              </t>
        </is>
      </c>
      <c r="F12315" s="3" t="inlineStr">
        <is>
          <t>유니트론텍</t>
        </is>
      </c>
      <c r="G12315" s="2" t="inlineStr">
        <is>
          <t>20260622900729</t>
        </is>
      </c>
      <c r="H12315" s="8">
        <f>HYPERLINK("https://dart.fss.or.kr/dsaf001/main.do?rcpNo=20260622900729", "공시열람")</f>
        <v/>
      </c>
    </row>
    <row r="12316">
      <c r="A12316" s="2" t="inlineStr">
        <is>
          <t>2026-06-22</t>
        </is>
      </c>
      <c r="B12316" s="3" t="inlineStr">
        <is>
          <t>유니켐</t>
        </is>
      </c>
      <c r="C12316" s="2" t="inlineStr">
        <is>
          <t>코스피</t>
        </is>
      </c>
      <c r="D12316" s="2" t="inlineStr">
        <is>
          <t>011330</t>
        </is>
      </c>
      <c r="E12316" s="3" t="inlineStr">
        <is>
          <t>임원ㆍ주요주주특정증권등소유상황보고서</t>
        </is>
      </c>
      <c r="F12316" s="3" t="inlineStr">
        <is>
          <t>제이에이치사람들</t>
        </is>
      </c>
      <c r="G12316" s="2" t="inlineStr">
        <is>
          <t>20260622000356</t>
        </is>
      </c>
      <c r="H12316" s="8">
        <f>HYPERLINK("https://dart.fss.or.kr/dsaf001/main.do?rcpNo=20260622000356", "공시열람")</f>
        <v/>
      </c>
    </row>
    <row r="12317">
      <c r="A12317" s="2" t="inlineStr">
        <is>
          <t>2026-06-22</t>
        </is>
      </c>
      <c r="B12317" s="3" t="inlineStr">
        <is>
          <t>강동씨앤엘</t>
        </is>
      </c>
      <c r="C12317" s="2" t="inlineStr">
        <is>
          <t>코스닥</t>
        </is>
      </c>
      <c r="D12317" s="2" t="inlineStr">
        <is>
          <t>198440</t>
        </is>
      </c>
      <c r="E12317" s="3" t="inlineStr">
        <is>
          <t xml:space="preserve">조회공시요구(현저한시황변동)에대한답변(중요정보없음)              </t>
        </is>
      </c>
      <c r="F12317" s="3" t="inlineStr">
        <is>
          <t>강동씨앤엘</t>
        </is>
      </c>
      <c r="G12317" s="2" t="inlineStr">
        <is>
          <t>20260622900669</t>
        </is>
      </c>
      <c r="H12317" s="8">
        <f>HYPERLINK("https://dart.fss.or.kr/dsaf001/main.do?rcpNo=20260622900669", "공시열람")</f>
        <v/>
      </c>
    </row>
    <row r="12318">
      <c r="A12318" s="2" t="inlineStr">
        <is>
          <t>2026-06-22 (정정: 2026-06-26)</t>
        </is>
      </c>
      <c r="B12318" s="3" t="inlineStr">
        <is>
          <t>썸에이지</t>
        </is>
      </c>
      <c r="C12318" s="2" t="inlineStr">
        <is>
          <t>코스닥</t>
        </is>
      </c>
      <c r="D12318" s="2" t="inlineStr">
        <is>
          <t>208640</t>
        </is>
      </c>
      <c r="E12318" s="3" t="inlineStr">
        <is>
          <t>주권매매거래정지해제              (감자 주권 변경상장) (정정: 20260625) (정정: 20260626)</t>
        </is>
      </c>
      <c r="F12318" s="3" t="inlineStr">
        <is>
          <t>코스닥시장본부</t>
        </is>
      </c>
      <c r="G12318" s="2" t="inlineStr">
        <is>
          <t>20260626000606</t>
        </is>
      </c>
      <c r="H12318" s="8">
        <f>HYPERLINK("https://dart.fss.or.kr/dsaf001/main.do?rcpNo=20260626000606", "공시열람")</f>
        <v/>
      </c>
    </row>
    <row r="12319">
      <c r="A12319" s="2" t="inlineStr">
        <is>
          <t>2026-06-22</t>
        </is>
      </c>
      <c r="B12319" s="3" t="inlineStr">
        <is>
          <t>THE CUBE&amp;</t>
        </is>
      </c>
      <c r="C12319" s="2" t="inlineStr">
        <is>
          <t>코스닥</t>
        </is>
      </c>
      <c r="D12319" s="2" t="inlineStr">
        <is>
          <t>013720</t>
        </is>
      </c>
      <c r="E12319" s="3" t="inlineStr">
        <is>
          <t>임원ㆍ주요주주특정증권등소유상황보고서</t>
        </is>
      </c>
      <c r="F12319" s="3" t="inlineStr">
        <is>
          <t>배진한</t>
        </is>
      </c>
      <c r="G12319" s="2" t="inlineStr">
        <is>
          <t>20260622000351</t>
        </is>
      </c>
      <c r="H12319" s="8">
        <f>HYPERLINK("https://dart.fss.or.kr/dsaf001/main.do?rcpNo=20260622000351", "공시열람")</f>
        <v/>
      </c>
    </row>
    <row r="12320">
      <c r="A12320" s="2" t="inlineStr">
        <is>
          <t>2026-06-22</t>
        </is>
      </c>
      <c r="B12320" s="3" t="inlineStr">
        <is>
          <t>엑스플러스</t>
        </is>
      </c>
      <c r="C12320" s="2" t="inlineStr">
        <is>
          <t>코스닥</t>
        </is>
      </c>
      <c r="D12320" s="2" t="inlineStr">
        <is>
          <t>373200</t>
        </is>
      </c>
      <c r="E12320" s="3" t="inlineStr">
        <is>
          <t>임원ㆍ주요주주특정증권등거래계획보고서</t>
        </is>
      </c>
      <c r="F12320" s="3" t="inlineStr">
        <is>
          <t>엑스페릭스</t>
        </is>
      </c>
      <c r="G12320" s="2" t="inlineStr">
        <is>
          <t>20260622000347</t>
        </is>
      </c>
      <c r="H12320" s="8">
        <f>HYPERLINK("https://dart.fss.or.kr/dsaf001/main.do?rcpNo=20260622000347", "공시열람")</f>
        <v/>
      </c>
    </row>
    <row r="12321">
      <c r="A12321" s="2" t="inlineStr">
        <is>
          <t>2026-06-22</t>
        </is>
      </c>
      <c r="B12321" s="3" t="inlineStr">
        <is>
          <t>대성하이텍</t>
        </is>
      </c>
      <c r="C12321" s="2" t="inlineStr">
        <is>
          <t>코스닥</t>
        </is>
      </c>
      <c r="D12321" s="2" t="inlineStr">
        <is>
          <t>129920</t>
        </is>
      </c>
      <c r="E12321" s="3" t="inlineStr">
        <is>
          <t>임원ㆍ주요주주특정증권등소유상황보고서</t>
        </is>
      </c>
      <c r="F12321" s="3" t="inlineStr">
        <is>
          <t>최호형</t>
        </is>
      </c>
      <c r="G12321" s="2" t="inlineStr">
        <is>
          <t>20260622000346</t>
        </is>
      </c>
      <c r="H12321" s="8">
        <f>HYPERLINK("https://dart.fss.or.kr/dsaf001/main.do?rcpNo=20260622000346", "공시열람")</f>
        <v/>
      </c>
    </row>
    <row r="12322">
      <c r="A12322" s="2" t="inlineStr">
        <is>
          <t>2026-06-22</t>
        </is>
      </c>
      <c r="B12322" s="3" t="inlineStr">
        <is>
          <t>금호석유화학</t>
        </is>
      </c>
      <c r="C12322" s="2" t="inlineStr">
        <is>
          <t>코스피</t>
        </is>
      </c>
      <c r="D12322" s="2" t="inlineStr">
        <is>
          <t>011780</t>
        </is>
      </c>
      <c r="E12322" s="3" t="inlineStr">
        <is>
          <t xml:space="preserve">지속가능경영보고서등관련사항(자율공시)              </t>
        </is>
      </c>
      <c r="F12322" s="3" t="inlineStr">
        <is>
          <t>금호석유화학</t>
        </is>
      </c>
      <c r="G12322" s="2" t="inlineStr">
        <is>
          <t>20260622800693</t>
        </is>
      </c>
      <c r="H12322" s="8">
        <f>HYPERLINK("https://dart.fss.or.kr/dsaf001/main.do?rcpNo=20260622800693", "공시열람")</f>
        <v/>
      </c>
    </row>
    <row r="12323">
      <c r="A12323" s="2" t="inlineStr">
        <is>
          <t>2026-06-22</t>
        </is>
      </c>
      <c r="B12323" s="3" t="inlineStr">
        <is>
          <t>한화오션</t>
        </is>
      </c>
      <c r="C12323" s="2" t="inlineStr">
        <is>
          <t>코스피</t>
        </is>
      </c>
      <c r="D12323" s="2" t="inlineStr">
        <is>
          <t>042660</t>
        </is>
      </c>
      <c r="E12323" s="3" t="inlineStr">
        <is>
          <t>동일인등출자계열회사와의상품ㆍ용역거래</t>
        </is>
      </c>
      <c r="F12323" s="3" t="inlineStr">
        <is>
          <t>한화오션</t>
        </is>
      </c>
      <c r="G12323" s="2" t="inlineStr">
        <is>
          <t>20260622000341</t>
        </is>
      </c>
      <c r="H12323" s="8">
        <f>HYPERLINK("https://dart.fss.or.kr/dsaf001/main.do?rcpNo=20260622000341", "공시열람")</f>
        <v/>
      </c>
    </row>
    <row r="12324">
      <c r="A12324" s="2" t="inlineStr">
        <is>
          <t>2026-06-22</t>
        </is>
      </c>
      <c r="B12324" s="3" t="inlineStr">
        <is>
          <t>우진비앤지</t>
        </is>
      </c>
      <c r="C12324" s="2" t="inlineStr">
        <is>
          <t>코스닥</t>
        </is>
      </c>
      <c r="D12324" s="2" t="inlineStr">
        <is>
          <t>018620</t>
        </is>
      </c>
      <c r="E12324" s="3" t="inlineStr">
        <is>
          <t>임원ㆍ주요주주특정증권등소유상황보고서</t>
        </is>
      </c>
      <c r="F12324" s="3" t="inlineStr">
        <is>
          <t>임재춘</t>
        </is>
      </c>
      <c r="G12324" s="2" t="inlineStr">
        <is>
          <t>20260622000338</t>
        </is>
      </c>
      <c r="H12324" s="8">
        <f>HYPERLINK("https://dart.fss.or.kr/dsaf001/main.do?rcpNo=20260622000338", "공시열람")</f>
        <v/>
      </c>
    </row>
    <row r="12325">
      <c r="A12325" s="2" t="inlineStr">
        <is>
          <t>2026-06-22</t>
        </is>
      </c>
      <c r="B12325" s="3" t="inlineStr">
        <is>
          <t>디앤디파마텍</t>
        </is>
      </c>
      <c r="C12325" s="2" t="inlineStr">
        <is>
          <t>코스닥</t>
        </is>
      </c>
      <c r="D12325" s="2" t="inlineStr">
        <is>
          <t>347850</t>
        </is>
      </c>
      <c r="E12325" s="3" t="inlineStr">
        <is>
          <t>전환청구권행사              (제1회차)</t>
        </is>
      </c>
      <c r="F12325" s="3" t="inlineStr">
        <is>
          <t>디앤디파마텍</t>
        </is>
      </c>
      <c r="G12325" s="2" t="inlineStr">
        <is>
          <t>20260622900667</t>
        </is>
      </c>
      <c r="H12325" s="8">
        <f>HYPERLINK("https://dart.fss.or.kr/dsaf001/main.do?rcpNo=20260622900667", "공시열람")</f>
        <v/>
      </c>
    </row>
    <row r="12326">
      <c r="A12326" s="2" t="inlineStr">
        <is>
          <t>2026-06-22</t>
        </is>
      </c>
      <c r="B12326" s="3" t="inlineStr">
        <is>
          <t>도부</t>
        </is>
      </c>
      <c r="C12326" s="2" t="inlineStr">
        <is>
          <t>코넥스</t>
        </is>
      </c>
      <c r="D12326" s="2" t="inlineStr">
        <is>
          <t>227420</t>
        </is>
      </c>
      <c r="E12326" s="3" t="inlineStr">
        <is>
          <t xml:space="preserve">지정자문인선임계약의변경              </t>
        </is>
      </c>
      <c r="F12326" s="3" t="inlineStr">
        <is>
          <t>도부</t>
        </is>
      </c>
      <c r="G12326" s="2" t="inlineStr">
        <is>
          <t>20260622600668</t>
        </is>
      </c>
      <c r="H12326" s="8">
        <f>HYPERLINK("https://dart.fss.or.kr/dsaf001/main.do?rcpNo=20260622600668", "공시열람")</f>
        <v/>
      </c>
    </row>
    <row r="12327">
      <c r="A12327" s="2" t="inlineStr">
        <is>
          <t>2026-06-22</t>
        </is>
      </c>
      <c r="B12327" s="3" t="inlineStr">
        <is>
          <t>대신증권</t>
        </is>
      </c>
      <c r="C12327" s="2" t="inlineStr">
        <is>
          <t>코스피</t>
        </is>
      </c>
      <c r="D12327" s="2" t="inlineStr">
        <is>
          <t>003540</t>
        </is>
      </c>
      <c r="E12327" s="3" t="inlineStr">
        <is>
          <t>증권발행실적보고서</t>
        </is>
      </c>
      <c r="F12327" s="3" t="inlineStr">
        <is>
          <t>대신증권</t>
        </is>
      </c>
      <c r="G12327" s="2" t="inlineStr">
        <is>
          <t>20260622000336</t>
        </is>
      </c>
      <c r="H12327" s="8">
        <f>HYPERLINK("https://dart.fss.or.kr/dsaf001/main.do?rcpNo=20260622000336", "공시열람")</f>
        <v/>
      </c>
    </row>
    <row r="12328">
      <c r="A12328" s="2" t="inlineStr">
        <is>
          <t>2026-06-22</t>
        </is>
      </c>
      <c r="B12328" s="3" t="inlineStr">
        <is>
          <t>한화오션</t>
        </is>
      </c>
      <c r="C12328" s="2" t="inlineStr">
        <is>
          <t>코스피</t>
        </is>
      </c>
      <c r="D12328" s="2" t="inlineStr">
        <is>
          <t>042660</t>
        </is>
      </c>
      <c r="E12328" s="3" t="inlineStr">
        <is>
          <t>약관에의한금융거래시계열금융회사의거래상대방의공시</t>
        </is>
      </c>
      <c r="F12328" s="3" t="inlineStr">
        <is>
          <t>한화오션</t>
        </is>
      </c>
      <c r="G12328" s="2" t="inlineStr">
        <is>
          <t>20260622000333</t>
        </is>
      </c>
      <c r="H12328" s="8">
        <f>HYPERLINK("https://dart.fss.or.kr/dsaf001/main.do?rcpNo=20260622000333", "공시열람")</f>
        <v/>
      </c>
    </row>
    <row r="12329">
      <c r="A12329" s="2" t="inlineStr">
        <is>
          <t>2026-06-22</t>
        </is>
      </c>
      <c r="B12329" s="3" t="inlineStr">
        <is>
          <t>HC홈센타</t>
        </is>
      </c>
      <c r="C12329" s="2" t="inlineStr">
        <is>
          <t>코스닥</t>
        </is>
      </c>
      <c r="D12329" s="2" t="inlineStr">
        <is>
          <t>060560</t>
        </is>
      </c>
      <c r="E12329" s="3" t="inlineStr">
        <is>
          <t>임원ㆍ주요주주특정증권등소유상황보고서</t>
        </is>
      </c>
      <c r="F12329" s="3" t="inlineStr">
        <is>
          <t>에이치씨파트너스</t>
        </is>
      </c>
      <c r="G12329" s="2" t="inlineStr">
        <is>
          <t>20260622000331</t>
        </is>
      </c>
      <c r="H12329" s="8">
        <f>HYPERLINK("https://dart.fss.or.kr/dsaf001/main.do?rcpNo=20260622000331", "공시열람")</f>
        <v/>
      </c>
    </row>
    <row r="12330">
      <c r="A12330" s="2" t="inlineStr">
        <is>
          <t>2026-06-22</t>
        </is>
      </c>
      <c r="B12330" s="3" t="inlineStr">
        <is>
          <t>대신증권</t>
        </is>
      </c>
      <c r="C12330" s="2" t="inlineStr">
        <is>
          <t>코스피</t>
        </is>
      </c>
      <c r="D12330" s="2" t="inlineStr">
        <is>
          <t>003540</t>
        </is>
      </c>
      <c r="E12330" s="3" t="inlineStr">
        <is>
          <t>투자설명서(일괄신고)</t>
        </is>
      </c>
      <c r="F12330" s="3" t="inlineStr">
        <is>
          <t>대신증권</t>
        </is>
      </c>
      <c r="G12330" s="2" t="inlineStr">
        <is>
          <t>20260622000330</t>
        </is>
      </c>
      <c r="H12330" s="8">
        <f>HYPERLINK("https://dart.fss.or.kr/dsaf001/main.do?rcpNo=20260622000330", "공시열람")</f>
        <v/>
      </c>
    </row>
    <row r="12331">
      <c r="A12331" s="2" t="inlineStr">
        <is>
          <t>2026-06-22 (정정: 2026-06-22)</t>
        </is>
      </c>
      <c r="B12331" s="3" t="inlineStr">
        <is>
          <t>툴젠</t>
        </is>
      </c>
      <c r="C12331" s="2" t="inlineStr">
        <is>
          <t>코스닥</t>
        </is>
      </c>
      <c r="D12331" s="2" t="inlineStr">
        <is>
          <t>199800</t>
        </is>
      </c>
      <c r="E12331" s="3" t="inlineStr">
        <is>
          <t>[첨부정정]증권신고서(지분증권) (정정: 20260622)</t>
        </is>
      </c>
      <c r="F12331" s="3" t="inlineStr">
        <is>
          <t>툴젠</t>
        </is>
      </c>
      <c r="G12331" s="2" t="inlineStr">
        <is>
          <t>20260622000325</t>
        </is>
      </c>
      <c r="H12331" s="8">
        <f>HYPERLINK("https://dart.fss.or.kr/dsaf001/main.do?rcpNo=20260622000325", "공시열람")</f>
        <v/>
      </c>
    </row>
    <row r="12332">
      <c r="A12332" s="2" t="inlineStr">
        <is>
          <t>2026-06-22</t>
        </is>
      </c>
      <c r="B12332" s="3" t="inlineStr">
        <is>
          <t>신영증권</t>
        </is>
      </c>
      <c r="C12332" s="2" t="inlineStr">
        <is>
          <t>코스피</t>
        </is>
      </c>
      <c r="D12332" s="2" t="inlineStr">
        <is>
          <t>001720</t>
        </is>
      </c>
      <c r="E12332" s="3" t="inlineStr">
        <is>
          <t xml:space="preserve">기업가치제고계획(자율공시)              </t>
        </is>
      </c>
      <c r="F12332" s="3" t="inlineStr">
        <is>
          <t>신영증권</t>
        </is>
      </c>
      <c r="G12332" s="2" t="inlineStr">
        <is>
          <t>20260622800590</t>
        </is>
      </c>
      <c r="H12332" s="8">
        <f>HYPERLINK("https://dart.fss.or.kr/dsaf001/main.do?rcpNo=20260622800590", "공시열람")</f>
        <v/>
      </c>
    </row>
    <row r="12333">
      <c r="A12333" s="2" t="inlineStr">
        <is>
          <t>2026-06-22</t>
        </is>
      </c>
      <c r="B12333" s="3" t="inlineStr">
        <is>
          <t>대창단조</t>
        </is>
      </c>
      <c r="C12333" s="2" t="inlineStr">
        <is>
          <t>코스피</t>
        </is>
      </c>
      <c r="D12333" s="2" t="inlineStr">
        <is>
          <t>015230</t>
        </is>
      </c>
      <c r="E12333" s="3" t="inlineStr">
        <is>
          <t>임원ㆍ주요주주특정증권등소유상황보고서</t>
        </is>
      </c>
      <c r="F12333" s="3" t="inlineStr">
        <is>
          <t>박권일</t>
        </is>
      </c>
      <c r="G12333" s="2" t="inlineStr">
        <is>
          <t>20260622000321</t>
        </is>
      </c>
      <c r="H12333" s="8">
        <f>HYPERLINK("https://dart.fss.or.kr/dsaf001/main.do?rcpNo=20260622000321", "공시열람")</f>
        <v/>
      </c>
    </row>
    <row r="12334">
      <c r="A12334" s="2" t="inlineStr">
        <is>
          <t>2026-06-22</t>
        </is>
      </c>
      <c r="B12334" s="3" t="inlineStr">
        <is>
          <t>씨앤에스링크</t>
        </is>
      </c>
      <c r="C12334" s="2" t="inlineStr">
        <is>
          <t>코넥스</t>
        </is>
      </c>
      <c r="D12334" s="2" t="inlineStr">
        <is>
          <t>245450</t>
        </is>
      </c>
      <c r="E12334" s="3" t="inlineStr">
        <is>
          <t xml:space="preserve">기업설명회(IR)개최결과              </t>
        </is>
      </c>
      <c r="F12334" s="3" t="inlineStr">
        <is>
          <t>씨앤에스링크</t>
        </is>
      </c>
      <c r="G12334" s="2" t="inlineStr">
        <is>
          <t>20260622600614</t>
        </is>
      </c>
      <c r="H12334" s="8">
        <f>HYPERLINK("https://dart.fss.or.kr/dsaf001/main.do?rcpNo=20260622600614", "공시열람")</f>
        <v/>
      </c>
    </row>
    <row r="12335">
      <c r="A12335" s="2" t="inlineStr">
        <is>
          <t>2026-06-22</t>
        </is>
      </c>
      <c r="B12335" s="3" t="inlineStr">
        <is>
          <t>퓨쳐켐</t>
        </is>
      </c>
      <c r="C12335" s="2" t="inlineStr">
        <is>
          <t>코스닥</t>
        </is>
      </c>
      <c r="D12335" s="2" t="inlineStr">
        <is>
          <t>220100</t>
        </is>
      </c>
      <c r="E12335" s="3" t="inlineStr">
        <is>
          <t>임원ㆍ주요주주특정증권등거래계획보고서</t>
        </is>
      </c>
      <c r="F12335" s="3" t="inlineStr">
        <is>
          <t>박영자</t>
        </is>
      </c>
      <c r="G12335" s="2" t="inlineStr">
        <is>
          <t>20260622000319</t>
        </is>
      </c>
      <c r="H12335" s="8">
        <f>HYPERLINK("https://dart.fss.or.kr/dsaf001/main.do?rcpNo=20260622000319", "공시열람")</f>
        <v/>
      </c>
    </row>
    <row r="12336">
      <c r="A12336" s="2" t="inlineStr">
        <is>
          <t>2026-06-22 (정정: 2026-06-26)</t>
        </is>
      </c>
      <c r="B12336" s="3" t="inlineStr">
        <is>
          <t>한국금융지주</t>
        </is>
      </c>
      <c r="C12336" s="2" t="inlineStr">
        <is>
          <t>코스피</t>
        </is>
      </c>
      <c r="D12336" s="2" t="inlineStr">
        <is>
          <t>071050</t>
        </is>
      </c>
      <c r="E12336" s="3" t="inlineStr">
        <is>
          <t>증권신고서(채무증권) (정정: 20260626)</t>
        </is>
      </c>
      <c r="F12336" s="3" t="inlineStr">
        <is>
          <t>한국금융지주</t>
        </is>
      </c>
      <c r="G12336" s="2" t="inlineStr">
        <is>
          <t>20260626000607</t>
        </is>
      </c>
      <c r="H12336" s="8">
        <f>HYPERLINK("https://dart.fss.or.kr/dsaf001/main.do?rcpNo=20260626000607", "공시열람")</f>
        <v/>
      </c>
    </row>
    <row r="12337">
      <c r="A12337" s="2" t="inlineStr">
        <is>
          <t>2026-06-22</t>
        </is>
      </c>
      <c r="B12337" s="3" t="inlineStr">
        <is>
          <t>우진비앤지</t>
        </is>
      </c>
      <c r="C12337" s="2" t="inlineStr">
        <is>
          <t>코스닥</t>
        </is>
      </c>
      <c r="D12337" s="2" t="inlineStr">
        <is>
          <t>018620</t>
        </is>
      </c>
      <c r="E12337" s="3" t="inlineStr">
        <is>
          <t>임원ㆍ주요주주특정증권등소유상황보고서</t>
        </is>
      </c>
      <c r="F12337" s="3" t="inlineStr">
        <is>
          <t>강재구</t>
        </is>
      </c>
      <c r="G12337" s="2" t="inlineStr">
        <is>
          <t>20260622000316</t>
        </is>
      </c>
      <c r="H12337" s="8">
        <f>HYPERLINK("https://dart.fss.or.kr/dsaf001/main.do?rcpNo=20260622000316", "공시열람")</f>
        <v/>
      </c>
    </row>
    <row r="12338">
      <c r="A12338" s="2" t="inlineStr">
        <is>
          <t>2026-06-22</t>
        </is>
      </c>
      <c r="B12338" s="3" t="inlineStr">
        <is>
          <t>한솔테크닉스</t>
        </is>
      </c>
      <c r="C12338" s="2" t="inlineStr">
        <is>
          <t>코스피</t>
        </is>
      </c>
      <c r="D12338" s="2" t="inlineStr">
        <is>
          <t>004710</t>
        </is>
      </c>
      <c r="E12338" s="3" t="inlineStr">
        <is>
          <t>임원ㆍ주요주주특정증권등소유상황보고서</t>
        </is>
      </c>
      <c r="F12338" s="3" t="inlineStr">
        <is>
          <t>전희용</t>
        </is>
      </c>
      <c r="G12338" s="2" t="inlineStr">
        <is>
          <t>20260622000315</t>
        </is>
      </c>
      <c r="H12338" s="8">
        <f>HYPERLINK("https://dart.fss.or.kr/dsaf001/main.do?rcpNo=20260622000315", "공시열람")</f>
        <v/>
      </c>
    </row>
    <row r="12339">
      <c r="A12339" s="2" t="inlineStr">
        <is>
          <t>2026-06-22</t>
        </is>
      </c>
      <c r="B12339" s="3" t="inlineStr">
        <is>
          <t>핑거</t>
        </is>
      </c>
      <c r="C12339" s="2" t="inlineStr">
        <is>
          <t>코스닥</t>
        </is>
      </c>
      <c r="D12339" s="2" t="inlineStr">
        <is>
          <t>163730</t>
        </is>
      </c>
      <c r="E12339" s="3" t="inlineStr">
        <is>
          <t>임원ㆍ주요주주특정증권등거래계획보고서</t>
        </is>
      </c>
      <c r="F12339" s="3" t="inlineStr">
        <is>
          <t>박민수</t>
        </is>
      </c>
      <c r="G12339" s="2" t="inlineStr">
        <is>
          <t>20260622000314</t>
        </is>
      </c>
      <c r="H12339" s="8">
        <f>HYPERLINK("https://dart.fss.or.kr/dsaf001/main.do?rcpNo=20260622000314", "공시열람")</f>
        <v/>
      </c>
    </row>
    <row r="12340">
      <c r="A12340" s="2" t="inlineStr">
        <is>
          <t>2026-06-22</t>
        </is>
      </c>
      <c r="B12340" s="3" t="inlineStr">
        <is>
          <t>저스템</t>
        </is>
      </c>
      <c r="C12340" s="2" t="inlineStr">
        <is>
          <t>코스닥</t>
        </is>
      </c>
      <c r="D12340" s="2" t="inlineStr">
        <is>
          <t>417840</t>
        </is>
      </c>
      <c r="E12340" s="3" t="inlineStr">
        <is>
          <t xml:space="preserve">기업설명회(IR)개최              </t>
        </is>
      </c>
      <c r="F12340" s="3" t="inlineStr">
        <is>
          <t>저스템</t>
        </is>
      </c>
      <c r="G12340" s="2" t="inlineStr">
        <is>
          <t>20260622900615</t>
        </is>
      </c>
      <c r="H12340" s="8">
        <f>HYPERLINK("https://dart.fss.or.kr/dsaf001/main.do?rcpNo=20260622900615", "공시열람")</f>
        <v/>
      </c>
    </row>
    <row r="12341">
      <c r="A12341" s="2" t="inlineStr">
        <is>
          <t>2026-06-22</t>
        </is>
      </c>
      <c r="B12341" s="3" t="inlineStr">
        <is>
          <t>아리바이오LAB</t>
        </is>
      </c>
      <c r="C12341" s="2" t="inlineStr">
        <is>
          <t>코스닥</t>
        </is>
      </c>
      <c r="D12341" s="2" t="inlineStr">
        <is>
          <t>261780</t>
        </is>
      </c>
      <c r="E12341" s="3" t="inlineStr">
        <is>
          <t xml:space="preserve">주주명부폐쇄기간또는기준일설정              </t>
        </is>
      </c>
      <c r="F12341" s="3" t="inlineStr">
        <is>
          <t>아리바이오LAB</t>
        </is>
      </c>
      <c r="G12341" s="2" t="inlineStr">
        <is>
          <t>20260622900645</t>
        </is>
      </c>
      <c r="H12341" s="8">
        <f>HYPERLINK("https://dart.fss.or.kr/dsaf001/main.do?rcpNo=20260622900645", "공시열람")</f>
        <v/>
      </c>
    </row>
    <row r="12342">
      <c r="A12342" s="2" t="inlineStr">
        <is>
          <t>2026-06-22</t>
        </is>
      </c>
      <c r="B12342" s="3" t="inlineStr">
        <is>
          <t>드림텍</t>
        </is>
      </c>
      <c r="C12342" s="2" t="inlineStr">
        <is>
          <t>코스피</t>
        </is>
      </c>
      <c r="D12342" s="2" t="inlineStr">
        <is>
          <t>192650</t>
        </is>
      </c>
      <c r="E12342" s="3" t="inlineStr">
        <is>
          <t>주식매수선택권부여에관한신고</t>
        </is>
      </c>
      <c r="F12342" s="3" t="inlineStr">
        <is>
          <t>드림텍</t>
        </is>
      </c>
      <c r="G12342" s="2" t="inlineStr">
        <is>
          <t>20260622000313</t>
        </is>
      </c>
      <c r="H12342" s="8">
        <f>HYPERLINK("https://dart.fss.or.kr/dsaf001/main.do?rcpNo=20260622000313", "공시열람")</f>
        <v/>
      </c>
    </row>
    <row r="12343">
      <c r="A12343" s="2" t="inlineStr">
        <is>
          <t>2026-06-22</t>
        </is>
      </c>
      <c r="B12343" s="3" t="inlineStr">
        <is>
          <t>이노에이엑스</t>
        </is>
      </c>
      <c r="C12343" s="2" t="inlineStr">
        <is>
          <t>코스닥</t>
        </is>
      </c>
      <c r="D12343" s="2" t="inlineStr">
        <is>
          <t>296640</t>
        </is>
      </c>
      <c r="E12343" s="3" t="inlineStr">
        <is>
          <t>주요사항보고서(타법인주식및출자증권양도결정)</t>
        </is>
      </c>
      <c r="F12343" s="3" t="inlineStr">
        <is>
          <t>이노에이엑스</t>
        </is>
      </c>
      <c r="G12343" s="2" t="inlineStr">
        <is>
          <t>20260622000280</t>
        </is>
      </c>
      <c r="H12343" s="8">
        <f>HYPERLINK("https://dart.fss.or.kr/dsaf001/main.do?rcpNo=20260622000280", "공시열람")</f>
        <v/>
      </c>
    </row>
    <row r="12344">
      <c r="A12344" s="2" t="inlineStr">
        <is>
          <t>2026-06-22</t>
        </is>
      </c>
      <c r="B12344" s="3" t="inlineStr">
        <is>
          <t>퓨쳐켐</t>
        </is>
      </c>
      <c r="C12344" s="2" t="inlineStr">
        <is>
          <t>코스닥</t>
        </is>
      </c>
      <c r="D12344" s="2" t="inlineStr">
        <is>
          <t>220100</t>
        </is>
      </c>
      <c r="E12344" s="3" t="inlineStr">
        <is>
          <t>임원ㆍ주요주주특정증권등거래계획보고서</t>
        </is>
      </c>
      <c r="F12344" s="3" t="inlineStr">
        <is>
          <t>지대윤</t>
        </is>
      </c>
      <c r="G12344" s="2" t="inlineStr">
        <is>
          <t>20260622000311</t>
        </is>
      </c>
      <c r="H12344" s="8">
        <f>HYPERLINK("https://dart.fss.or.kr/dsaf001/main.do?rcpNo=20260622000311", "공시열람")</f>
        <v/>
      </c>
    </row>
    <row r="12345">
      <c r="A12345" s="2" t="inlineStr">
        <is>
          <t>2026-06-22</t>
        </is>
      </c>
      <c r="B12345" s="3" t="inlineStr">
        <is>
          <t>한솔테크닉스</t>
        </is>
      </c>
      <c r="C12345" s="2" t="inlineStr">
        <is>
          <t>코스피</t>
        </is>
      </c>
      <c r="D12345" s="2" t="inlineStr">
        <is>
          <t>004710</t>
        </is>
      </c>
      <c r="E12345" s="3" t="inlineStr">
        <is>
          <t>임원ㆍ주요주주특정증권등소유상황보고서</t>
        </is>
      </c>
      <c r="F12345" s="3" t="inlineStr">
        <is>
          <t>채유신</t>
        </is>
      </c>
      <c r="G12345" s="2" t="inlineStr">
        <is>
          <t>20260622000307</t>
        </is>
      </c>
      <c r="H12345" s="8">
        <f>HYPERLINK("https://dart.fss.or.kr/dsaf001/main.do?rcpNo=20260622000307", "공시열람")</f>
        <v/>
      </c>
    </row>
    <row r="12346">
      <c r="A12346" s="2" t="inlineStr">
        <is>
          <t>2026-06-22</t>
        </is>
      </c>
      <c r="B12346" s="3" t="inlineStr">
        <is>
          <t>딥노이드</t>
        </is>
      </c>
      <c r="C12346" s="2" t="inlineStr">
        <is>
          <t>코스닥</t>
        </is>
      </c>
      <c r="D12346" s="2" t="inlineStr">
        <is>
          <t>315640</t>
        </is>
      </c>
      <c r="E12346" s="3" t="inlineStr">
        <is>
          <t>임원ㆍ주요주주특정증권등소유상황보고서</t>
        </is>
      </c>
      <c r="F12346" s="3" t="inlineStr">
        <is>
          <t>김태규</t>
        </is>
      </c>
      <c r="G12346" s="2" t="inlineStr">
        <is>
          <t>20260622000304</t>
        </is>
      </c>
      <c r="H12346" s="8">
        <f>HYPERLINK("https://dart.fss.or.kr/dsaf001/main.do?rcpNo=20260622000304", "공시열람")</f>
        <v/>
      </c>
    </row>
    <row r="12347">
      <c r="A12347" s="2" t="inlineStr">
        <is>
          <t>2026-06-22</t>
        </is>
      </c>
      <c r="B12347" s="3" t="inlineStr">
        <is>
          <t>한솔테크닉스</t>
        </is>
      </c>
      <c r="C12347" s="2" t="inlineStr">
        <is>
          <t>코스피</t>
        </is>
      </c>
      <c r="D12347" s="2" t="inlineStr">
        <is>
          <t>004710</t>
        </is>
      </c>
      <c r="E12347" s="3" t="inlineStr">
        <is>
          <t>임원ㆍ주요주주특정증권등소유상황보고서</t>
        </is>
      </c>
      <c r="F12347" s="3" t="inlineStr">
        <is>
          <t>오승욱</t>
        </is>
      </c>
      <c r="G12347" s="2" t="inlineStr">
        <is>
          <t>20260622000303</t>
        </is>
      </c>
      <c r="H12347" s="8">
        <f>HYPERLINK("https://dart.fss.or.kr/dsaf001/main.do?rcpNo=20260622000303", "공시열람")</f>
        <v/>
      </c>
    </row>
    <row r="12348">
      <c r="A12348" s="2" t="inlineStr">
        <is>
          <t>2026-06-22</t>
        </is>
      </c>
      <c r="B12348" s="3" t="inlineStr">
        <is>
          <t>현대모비스</t>
        </is>
      </c>
      <c r="C12348" s="2" t="inlineStr">
        <is>
          <t>코스피</t>
        </is>
      </c>
      <c r="D12348" s="2" t="inlineStr">
        <is>
          <t>012330</t>
        </is>
      </c>
      <c r="E12348" s="3" t="inlineStr">
        <is>
          <t xml:space="preserve">기업설명회(IR)개최(안내공시)              </t>
        </is>
      </c>
      <c r="F12348" s="3" t="inlineStr">
        <is>
          <t>현대모비스</t>
        </is>
      </c>
      <c r="G12348" s="2" t="inlineStr">
        <is>
          <t>20260622800616</t>
        </is>
      </c>
      <c r="H12348" s="8">
        <f>HYPERLINK("https://dart.fss.or.kr/dsaf001/main.do?rcpNo=20260622800616", "공시열람")</f>
        <v/>
      </c>
    </row>
    <row r="12349">
      <c r="A12349" s="2" t="inlineStr">
        <is>
          <t>2026-06-22</t>
        </is>
      </c>
      <c r="B12349" s="3" t="inlineStr">
        <is>
          <t>한국캐피탈</t>
        </is>
      </c>
      <c r="C12349" s="2" t="inlineStr">
        <is>
          <t>코스닥</t>
        </is>
      </c>
      <c r="D12349" s="2" t="inlineStr">
        <is>
          <t>023760</t>
        </is>
      </c>
      <c r="E12349" s="3" t="inlineStr">
        <is>
          <t>증권발행실적보고서</t>
        </is>
      </c>
      <c r="F12349" s="3" t="inlineStr">
        <is>
          <t>한국캐피탈</t>
        </is>
      </c>
      <c r="G12349" s="2" t="inlineStr">
        <is>
          <t>20260622000300</t>
        </is>
      </c>
      <c r="H12349" s="8">
        <f>HYPERLINK("https://dart.fss.or.kr/dsaf001/main.do?rcpNo=20260622000300", "공시열람")</f>
        <v/>
      </c>
    </row>
    <row r="12350">
      <c r="A12350" s="2" t="inlineStr">
        <is>
          <t>2026-06-22</t>
        </is>
      </c>
      <c r="B12350" s="3" t="inlineStr">
        <is>
          <t>금호석유화학</t>
        </is>
      </c>
      <c r="C12350" s="2" t="inlineStr">
        <is>
          <t>코스피</t>
        </is>
      </c>
      <c r="D12350" s="2" t="inlineStr">
        <is>
          <t>011780</t>
        </is>
      </c>
      <c r="E12350" s="3" t="inlineStr">
        <is>
          <t>신탁계약에의한취득상황보고서</t>
        </is>
      </c>
      <c r="F12350" s="3" t="inlineStr">
        <is>
          <t>금호석유화학</t>
        </is>
      </c>
      <c r="G12350" s="2" t="inlineStr">
        <is>
          <t>20260622000298</t>
        </is>
      </c>
      <c r="H12350" s="8">
        <f>HYPERLINK("https://dart.fss.or.kr/dsaf001/main.do?rcpNo=20260622000298", "공시열람")</f>
        <v/>
      </c>
    </row>
    <row r="12351">
      <c r="A12351" s="2" t="inlineStr">
        <is>
          <t>2026-06-22</t>
        </is>
      </c>
      <c r="B12351" s="3" t="inlineStr">
        <is>
          <t>이스트에이드</t>
        </is>
      </c>
      <c r="C12351" s="2" t="inlineStr">
        <is>
          <t>코스닥</t>
        </is>
      </c>
      <c r="D12351" s="2" t="inlineStr">
        <is>
          <t>239340</t>
        </is>
      </c>
      <c r="E12351" s="3" t="inlineStr">
        <is>
          <t xml:space="preserve">주주명부폐쇄기간또는기준일설정              </t>
        </is>
      </c>
      <c r="F12351" s="3" t="inlineStr">
        <is>
          <t>이스트에이드</t>
        </is>
      </c>
      <c r="G12351" s="2" t="inlineStr">
        <is>
          <t>20260622900611</t>
        </is>
      </c>
      <c r="H12351" s="8">
        <f>HYPERLINK("https://dart.fss.or.kr/dsaf001/main.do?rcpNo=20260622900611", "공시열람")</f>
        <v/>
      </c>
    </row>
    <row r="12352">
      <c r="A12352" s="2" t="inlineStr">
        <is>
          <t>2026-06-22</t>
        </is>
      </c>
      <c r="B12352" s="3" t="inlineStr">
        <is>
          <t>한솔테크닉스</t>
        </is>
      </c>
      <c r="C12352" s="2" t="inlineStr">
        <is>
          <t>코스피</t>
        </is>
      </c>
      <c r="D12352" s="2" t="inlineStr">
        <is>
          <t>004710</t>
        </is>
      </c>
      <c r="E12352" s="3" t="inlineStr">
        <is>
          <t>임원ㆍ주요주주특정증권등소유상황보고서</t>
        </is>
      </c>
      <c r="F12352" s="3" t="inlineStr">
        <is>
          <t>유경준</t>
        </is>
      </c>
      <c r="G12352" s="2" t="inlineStr">
        <is>
          <t>20260622000295</t>
        </is>
      </c>
      <c r="H12352" s="8">
        <f>HYPERLINK("https://dart.fss.or.kr/dsaf001/main.do?rcpNo=20260622000295", "공시열람")</f>
        <v/>
      </c>
    </row>
    <row r="12353">
      <c r="A12353" s="2" t="inlineStr">
        <is>
          <t>2026-06-22</t>
        </is>
      </c>
      <c r="B12353" s="3" t="inlineStr">
        <is>
          <t>삼성전자</t>
        </is>
      </c>
      <c r="C12353" s="2" t="inlineStr">
        <is>
          <t>코스피</t>
        </is>
      </c>
      <c r="D12353" s="2" t="inlineStr">
        <is>
          <t>005930</t>
        </is>
      </c>
      <c r="E12353" s="3" t="inlineStr">
        <is>
          <t>임원ㆍ주요주주특정증권등소유상황보고서</t>
        </is>
      </c>
      <c r="F12353" s="3" t="inlineStr">
        <is>
          <t>이원진</t>
        </is>
      </c>
      <c r="G12353" s="2" t="inlineStr">
        <is>
          <t>20260622000294</t>
        </is>
      </c>
      <c r="H12353" s="8">
        <f>HYPERLINK("https://dart.fss.or.kr/dsaf001/main.do?rcpNo=20260622000294", "공시열람")</f>
        <v/>
      </c>
    </row>
    <row r="12354">
      <c r="A12354" s="2" t="inlineStr">
        <is>
          <t>2026-06-22 (정정: 2026-06-22)</t>
        </is>
      </c>
      <c r="B12354" s="3" t="inlineStr">
        <is>
          <t>아이티엠반도체</t>
        </is>
      </c>
      <c r="C12354" s="2" t="inlineStr">
        <is>
          <t>코스닥</t>
        </is>
      </c>
      <c r="D12354" s="2" t="inlineStr">
        <is>
          <t>084850</t>
        </is>
      </c>
      <c r="E12354" s="3" t="inlineStr">
        <is>
          <t>타법인주식및출자증권취득결정               (정정: 20260622) (정정: 20260622)</t>
        </is>
      </c>
      <c r="F12354" s="3" t="inlineStr">
        <is>
          <t>아이티엠반도체</t>
        </is>
      </c>
      <c r="G12354" s="2" t="inlineStr">
        <is>
          <t>20260622000253</t>
        </is>
      </c>
      <c r="H12354" s="8">
        <f>HYPERLINK("https://dart.fss.or.kr/dsaf001/main.do?rcpNo=20260622000253", "공시열람")</f>
        <v/>
      </c>
    </row>
    <row r="12355">
      <c r="A12355" s="2" t="inlineStr">
        <is>
          <t>2026-06-22 (정정: 2026-06-23)</t>
        </is>
      </c>
      <c r="B12355" s="3" t="inlineStr">
        <is>
          <t>클로봇</t>
        </is>
      </c>
      <c r="C12355" s="2" t="inlineStr">
        <is>
          <t>코스닥</t>
        </is>
      </c>
      <c r="D12355" s="2" t="inlineStr">
        <is>
          <t>466100</t>
        </is>
      </c>
      <c r="E12355" s="3" t="inlineStr">
        <is>
          <t>임원ㆍ주요주주특정증권등거래계획보고서 (정정: 20260623)</t>
        </is>
      </c>
      <c r="F12355" s="3" t="inlineStr">
        <is>
          <t>김창구</t>
        </is>
      </c>
      <c r="G12355" s="2" t="inlineStr">
        <is>
          <t>20260623000402</t>
        </is>
      </c>
      <c r="H12355" s="8">
        <f>HYPERLINK("https://dart.fss.or.kr/dsaf001/main.do?rcpNo=20260623000402", "공시열람")</f>
        <v/>
      </c>
    </row>
    <row r="12356">
      <c r="A12356" s="2" t="inlineStr">
        <is>
          <t>2026-06-22</t>
        </is>
      </c>
      <c r="B12356" s="3" t="inlineStr">
        <is>
          <t>블루산업개발</t>
        </is>
      </c>
      <c r="C12356" s="2" t="inlineStr">
        <is>
          <t>코스피</t>
        </is>
      </c>
      <c r="D12356" s="2" t="inlineStr">
        <is>
          <t>006740</t>
        </is>
      </c>
      <c r="E12356" s="3" t="inlineStr">
        <is>
          <t xml:space="preserve">유상증자또는주식관련사채등의발행결과(자율공시)              </t>
        </is>
      </c>
      <c r="F12356" s="3" t="inlineStr">
        <is>
          <t>블루산업개발</t>
        </is>
      </c>
      <c r="G12356" s="2" t="inlineStr">
        <is>
          <t>20260622800513</t>
        </is>
      </c>
      <c r="H12356" s="8">
        <f>HYPERLINK("https://dart.fss.or.kr/dsaf001/main.do?rcpNo=20260622800513", "공시열람")</f>
        <v/>
      </c>
    </row>
    <row r="12357">
      <c r="A12357" s="2" t="inlineStr">
        <is>
          <t>2026-06-22</t>
        </is>
      </c>
      <c r="B12357" s="3" t="inlineStr">
        <is>
          <t>엑스페릭스</t>
        </is>
      </c>
      <c r="C12357" s="2" t="inlineStr">
        <is>
          <t>코스닥</t>
        </is>
      </c>
      <c r="D12357" s="2" t="inlineStr">
        <is>
          <t>317770</t>
        </is>
      </c>
      <c r="E12357" s="3" t="inlineStr">
        <is>
          <t xml:space="preserve">[기재정정]타법인주식및출자증권처분결정              </t>
        </is>
      </c>
      <c r="F12357" s="3" t="inlineStr">
        <is>
          <t>엑스페릭스</t>
        </is>
      </c>
      <c r="G12357" s="2" t="inlineStr">
        <is>
          <t>20260622900532</t>
        </is>
      </c>
      <c r="H12357" s="8">
        <f>HYPERLINK("https://dart.fss.or.kr/dsaf001/main.do?rcpNo=20260622900532", "공시열람")</f>
        <v/>
      </c>
    </row>
    <row r="12358">
      <c r="A12358" s="2" t="inlineStr">
        <is>
          <t>2026-06-22</t>
        </is>
      </c>
      <c r="B12358" s="3" t="inlineStr">
        <is>
          <t>효성중공업</t>
        </is>
      </c>
      <c r="C12358" s="2" t="inlineStr">
        <is>
          <t>코스피</t>
        </is>
      </c>
      <c r="D12358" s="2" t="inlineStr">
        <is>
          <t>298040</t>
        </is>
      </c>
      <c r="E12358" s="3" t="inlineStr">
        <is>
          <t xml:space="preserve">기업설명회(IR)개최(안내공시)              </t>
        </is>
      </c>
      <c r="F12358" s="3" t="inlineStr">
        <is>
          <t>효성중공업</t>
        </is>
      </c>
      <c r="G12358" s="2" t="inlineStr">
        <is>
          <t>20260622800555</t>
        </is>
      </c>
      <c r="H12358" s="8">
        <f>HYPERLINK("https://dart.fss.or.kr/dsaf001/main.do?rcpNo=20260622800555", "공시열람")</f>
        <v/>
      </c>
    </row>
    <row r="12359">
      <c r="A12359" s="2" t="inlineStr">
        <is>
          <t>2026-06-22</t>
        </is>
      </c>
      <c r="B12359" s="3" t="inlineStr">
        <is>
          <t>HB테크놀러지</t>
        </is>
      </c>
      <c r="C12359" s="2" t="inlineStr">
        <is>
          <t>코스닥</t>
        </is>
      </c>
      <c r="D12359" s="2" t="inlineStr">
        <is>
          <t>078150</t>
        </is>
      </c>
      <c r="E12359" s="3" t="inlineStr">
        <is>
          <t>임원ㆍ주요주주특정증권등소유상황보고서</t>
        </is>
      </c>
      <c r="F12359" s="3" t="inlineStr">
        <is>
          <t>김윤혁</t>
        </is>
      </c>
      <c r="G12359" s="2" t="inlineStr">
        <is>
          <t>20260622000284</t>
        </is>
      </c>
      <c r="H12359" s="8">
        <f>HYPERLINK("https://dart.fss.or.kr/dsaf001/main.do?rcpNo=20260622000284", "공시열람")</f>
        <v/>
      </c>
    </row>
    <row r="12360">
      <c r="A12360" s="2" t="inlineStr">
        <is>
          <t>2026-06-22</t>
        </is>
      </c>
      <c r="B12360" s="3" t="inlineStr">
        <is>
          <t>신영증권</t>
        </is>
      </c>
      <c r="C12360" s="2" t="inlineStr">
        <is>
          <t>코스피</t>
        </is>
      </c>
      <c r="D12360" s="2" t="inlineStr">
        <is>
          <t>001720</t>
        </is>
      </c>
      <c r="E12360" s="3" t="inlineStr">
        <is>
          <t>임원ㆍ주요주주특정증권등소유상황보고서</t>
        </is>
      </c>
      <c r="F12360" s="3" t="inlineStr">
        <is>
          <t>원종석</t>
        </is>
      </c>
      <c r="G12360" s="2" t="inlineStr">
        <is>
          <t>20260622000281</t>
        </is>
      </c>
      <c r="H12360" s="8">
        <f>HYPERLINK("https://dart.fss.or.kr/dsaf001/main.do?rcpNo=20260622000281", "공시열람")</f>
        <v/>
      </c>
    </row>
    <row r="12361">
      <c r="A12361" s="2" t="inlineStr">
        <is>
          <t>2026-06-22</t>
        </is>
      </c>
      <c r="B12361" s="3" t="inlineStr">
        <is>
          <t>NH투자증권</t>
        </is>
      </c>
      <c r="C12361" s="2" t="inlineStr">
        <is>
          <t>코스피</t>
        </is>
      </c>
      <c r="D12361" s="2" t="inlineStr">
        <is>
          <t>005940</t>
        </is>
      </c>
      <c r="E12361" s="3" t="inlineStr">
        <is>
          <t>투자설명서(일괄신고)</t>
        </is>
      </c>
      <c r="F12361" s="3" t="inlineStr">
        <is>
          <t>NH투자증권</t>
        </is>
      </c>
      <c r="G12361" s="2" t="inlineStr">
        <is>
          <t>20260622000277</t>
        </is>
      </c>
      <c r="H12361" s="8">
        <f>HYPERLINK("https://dart.fss.or.kr/dsaf001/main.do?rcpNo=20260622000277", "공시열람")</f>
        <v/>
      </c>
    </row>
    <row r="12362">
      <c r="A12362" s="2" t="inlineStr">
        <is>
          <t>2026-06-22</t>
        </is>
      </c>
      <c r="B12362" s="3" t="inlineStr">
        <is>
          <t>기신정기</t>
        </is>
      </c>
      <c r="C12362" s="2" t="inlineStr">
        <is>
          <t>코스피</t>
        </is>
      </c>
      <c r="D12362" s="2" t="inlineStr">
        <is>
          <t>092440</t>
        </is>
      </c>
      <c r="E12362" s="3" t="inlineStr">
        <is>
          <t>사외이사의선임ㆍ해임또는중도퇴임에관한신고</t>
        </is>
      </c>
      <c r="F12362" s="3" t="inlineStr">
        <is>
          <t>기신정기</t>
        </is>
      </c>
      <c r="G12362" s="2" t="inlineStr">
        <is>
          <t>20260622000272</t>
        </is>
      </c>
      <c r="H12362" s="8">
        <f>HYPERLINK("https://dart.fss.or.kr/dsaf001/main.do?rcpNo=20260622000272", "공시열람")</f>
        <v/>
      </c>
    </row>
    <row r="12363">
      <c r="A12363" s="2" t="inlineStr">
        <is>
          <t>2026-06-22</t>
        </is>
      </c>
      <c r="B12363" s="3" t="inlineStr">
        <is>
          <t>모아데이타</t>
        </is>
      </c>
      <c r="C12363" s="2" t="inlineStr">
        <is>
          <t>코스닥</t>
        </is>
      </c>
      <c r="D12363" s="2" t="inlineStr">
        <is>
          <t>288980</t>
        </is>
      </c>
      <c r="E12363" s="3" t="inlineStr">
        <is>
          <t xml:space="preserve">전환가액의조정              </t>
        </is>
      </c>
      <c r="F12363" s="3" t="inlineStr">
        <is>
          <t>모아데이타</t>
        </is>
      </c>
      <c r="G12363" s="2" t="inlineStr">
        <is>
          <t>20260622900557</t>
        </is>
      </c>
      <c r="H12363" s="8">
        <f>HYPERLINK("https://dart.fss.or.kr/dsaf001/main.do?rcpNo=20260622900557", "공시열람")</f>
        <v/>
      </c>
    </row>
    <row r="12364">
      <c r="A12364" s="2" t="inlineStr">
        <is>
          <t>2026-06-22</t>
        </is>
      </c>
      <c r="B12364" s="3" t="inlineStr">
        <is>
          <t>금호석유화학</t>
        </is>
      </c>
      <c r="C12364" s="2" t="inlineStr">
        <is>
          <t>코스피</t>
        </is>
      </c>
      <c r="D12364" s="2" t="inlineStr">
        <is>
          <t>011780</t>
        </is>
      </c>
      <c r="E12364" s="3" t="inlineStr">
        <is>
          <t>임원ㆍ주요주주특정증권등소유상황보고서</t>
        </is>
      </c>
      <c r="F12364" s="3" t="inlineStr">
        <is>
          <t>박주형</t>
        </is>
      </c>
      <c r="G12364" s="2" t="inlineStr">
        <is>
          <t>20260622000271</t>
        </is>
      </c>
      <c r="H12364" s="8">
        <f>HYPERLINK("https://dart.fss.or.kr/dsaf001/main.do?rcpNo=20260622000271", "공시열람")</f>
        <v/>
      </c>
    </row>
    <row r="12365">
      <c r="A12365" s="2" t="inlineStr">
        <is>
          <t>2026-06-22</t>
        </is>
      </c>
      <c r="B12365" s="3" t="inlineStr">
        <is>
          <t>티비에이치글로벌</t>
        </is>
      </c>
      <c r="C12365" s="2" t="inlineStr">
        <is>
          <t>코스피</t>
        </is>
      </c>
      <c r="D12365" s="2" t="inlineStr">
        <is>
          <t>084870</t>
        </is>
      </c>
      <c r="E12365" s="3" t="inlineStr">
        <is>
          <t>임원ㆍ주요주주특정증권등소유상황보고서</t>
        </is>
      </c>
      <c r="F12365" s="3" t="inlineStr">
        <is>
          <t>우한곤</t>
        </is>
      </c>
      <c r="G12365" s="2" t="inlineStr">
        <is>
          <t>20260622000270</t>
        </is>
      </c>
      <c r="H12365" s="8">
        <f>HYPERLINK("https://dart.fss.or.kr/dsaf001/main.do?rcpNo=20260622000270", "공시열람")</f>
        <v/>
      </c>
    </row>
    <row r="12366">
      <c r="A12366" s="2" t="inlineStr">
        <is>
          <t>2026-06-22</t>
        </is>
      </c>
      <c r="B12366" s="3" t="inlineStr">
        <is>
          <t>제이스로보틱스</t>
        </is>
      </c>
      <c r="C12366" s="2" t="inlineStr">
        <is>
          <t>코스닥</t>
        </is>
      </c>
      <c r="D12366" s="2" t="inlineStr">
        <is>
          <t>090470</t>
        </is>
      </c>
      <c r="E12366" s="3" t="inlineStr">
        <is>
          <t xml:space="preserve">단기차입금증가결정              </t>
        </is>
      </c>
      <c r="F12366" s="3" t="inlineStr">
        <is>
          <t>제이스로보틱스</t>
        </is>
      </c>
      <c r="G12366" s="2" t="inlineStr">
        <is>
          <t>20260622900550</t>
        </is>
      </c>
      <c r="H12366" s="8">
        <f>HYPERLINK("https://dart.fss.or.kr/dsaf001/main.do?rcpNo=20260622900550", "공시열람")</f>
        <v/>
      </c>
    </row>
    <row r="12367">
      <c r="A12367" s="2" t="inlineStr">
        <is>
          <t>2026-06-22</t>
        </is>
      </c>
      <c r="B12367" s="3" t="inlineStr">
        <is>
          <t>E8</t>
        </is>
      </c>
      <c r="C12367" s="2" t="inlineStr">
        <is>
          <t>코스닥</t>
        </is>
      </c>
      <c r="D12367" s="2" t="inlineStr">
        <is>
          <t>418620</t>
        </is>
      </c>
      <c r="E12367" s="3" t="inlineStr">
        <is>
          <t>임원ㆍ주요주주특정증권등소유상황보고서</t>
        </is>
      </c>
      <c r="F12367" s="3" t="inlineStr">
        <is>
          <t>이호선</t>
        </is>
      </c>
      <c r="G12367" s="2" t="inlineStr">
        <is>
          <t>20260622000269</t>
        </is>
      </c>
      <c r="H12367" s="8">
        <f>HYPERLINK("https://dart.fss.or.kr/dsaf001/main.do?rcpNo=20260622000269", "공시열람")</f>
        <v/>
      </c>
    </row>
    <row r="12368">
      <c r="A12368" s="2" t="inlineStr">
        <is>
          <t>2026-06-22</t>
        </is>
      </c>
      <c r="B12368" s="3" t="inlineStr">
        <is>
          <t>녹십자</t>
        </is>
      </c>
      <c r="C12368" s="2" t="inlineStr">
        <is>
          <t>코스피</t>
        </is>
      </c>
      <c r="D12368" s="2" t="inlineStr">
        <is>
          <t>006280</t>
        </is>
      </c>
      <c r="E12368" s="3" t="inlineStr">
        <is>
          <t>임원ㆍ주요주주특정증권등소유상황보고서</t>
        </is>
      </c>
      <c r="F12368" s="3" t="inlineStr">
        <is>
          <t>정재욱</t>
        </is>
      </c>
      <c r="G12368" s="2" t="inlineStr">
        <is>
          <t>20260622000267</t>
        </is>
      </c>
      <c r="H12368" s="8">
        <f>HYPERLINK("https://dart.fss.or.kr/dsaf001/main.do?rcpNo=20260622000267", "공시열람")</f>
        <v/>
      </c>
    </row>
    <row r="12369">
      <c r="A12369" s="2" t="inlineStr">
        <is>
          <t>2026-06-22</t>
        </is>
      </c>
      <c r="B12369" s="3" t="inlineStr">
        <is>
          <t>티비에이치글로벌</t>
        </is>
      </c>
      <c r="C12369" s="2" t="inlineStr">
        <is>
          <t>코스피</t>
        </is>
      </c>
      <c r="D12369" s="2" t="inlineStr">
        <is>
          <t>084870</t>
        </is>
      </c>
      <c r="E12369" s="3" t="inlineStr">
        <is>
          <t>임원ㆍ주요주주특정증권등소유상황보고서</t>
        </is>
      </c>
      <c r="F12369" s="3" t="inlineStr">
        <is>
          <t>금강레저산업</t>
        </is>
      </c>
      <c r="G12369" s="2" t="inlineStr">
        <is>
          <t>20260622000262</t>
        </is>
      </c>
      <c r="H12369" s="8">
        <f>HYPERLINK("https://dart.fss.or.kr/dsaf001/main.do?rcpNo=20260622000262", "공시열람")</f>
        <v/>
      </c>
    </row>
    <row r="12370">
      <c r="A12370" s="2" t="inlineStr">
        <is>
          <t>2026-06-22</t>
        </is>
      </c>
      <c r="B12370" s="3" t="inlineStr">
        <is>
          <t>E8</t>
        </is>
      </c>
      <c r="C12370" s="2" t="inlineStr">
        <is>
          <t>코스닥</t>
        </is>
      </c>
      <c r="D12370" s="2" t="inlineStr">
        <is>
          <t>418620</t>
        </is>
      </c>
      <c r="E12370" s="3" t="inlineStr">
        <is>
          <t>임원ㆍ주요주주특정증권등소유상황보고서</t>
        </is>
      </c>
      <c r="F12370" s="3" t="inlineStr">
        <is>
          <t>김진현</t>
        </is>
      </c>
      <c r="G12370" s="2" t="inlineStr">
        <is>
          <t>20260622000260</t>
        </is>
      </c>
      <c r="H12370" s="8">
        <f>HYPERLINK("https://dart.fss.or.kr/dsaf001/main.do?rcpNo=20260622000260", "공시열람")</f>
        <v/>
      </c>
    </row>
    <row r="12371">
      <c r="A12371" s="2" t="inlineStr">
        <is>
          <t>2026-06-22</t>
        </is>
      </c>
      <c r="B12371" s="3" t="inlineStr">
        <is>
          <t>체시스</t>
        </is>
      </c>
      <c r="C12371" s="2" t="inlineStr">
        <is>
          <t>코스피</t>
        </is>
      </c>
      <c r="D12371" s="2" t="inlineStr">
        <is>
          <t>033250</t>
        </is>
      </c>
      <c r="E12371" s="3" t="inlineStr">
        <is>
          <t>임원ㆍ주요주주특정증권등소유상황보고서</t>
        </is>
      </c>
      <c r="F12371" s="3" t="inlineStr">
        <is>
          <t>엠에스에이치씨</t>
        </is>
      </c>
      <c r="G12371" s="2" t="inlineStr">
        <is>
          <t>20260622000256</t>
        </is>
      </c>
      <c r="H12371" s="8">
        <f>HYPERLINK("https://dart.fss.or.kr/dsaf001/main.do?rcpNo=20260622000256", "공시열람")</f>
        <v/>
      </c>
    </row>
    <row r="12372">
      <c r="A12372" s="2" t="inlineStr">
        <is>
          <t>2026-06-22</t>
        </is>
      </c>
      <c r="B12372" s="3" t="inlineStr">
        <is>
          <t>핑거스토리</t>
        </is>
      </c>
      <c r="C12372" s="2" t="inlineStr">
        <is>
          <t>코스닥</t>
        </is>
      </c>
      <c r="D12372" s="2" t="inlineStr">
        <is>
          <t>417180</t>
        </is>
      </c>
      <c r="E12372" s="3" t="inlineStr">
        <is>
          <t>임원ㆍ주요주주특정증권등거래계획보고서</t>
        </is>
      </c>
      <c r="F12372" s="3" t="inlineStr">
        <is>
          <t>문양근</t>
        </is>
      </c>
      <c r="G12372" s="2" t="inlineStr">
        <is>
          <t>20260622000252</t>
        </is>
      </c>
      <c r="H12372" s="8">
        <f>HYPERLINK("https://dart.fss.or.kr/dsaf001/main.do?rcpNo=20260622000252", "공시열람")</f>
        <v/>
      </c>
    </row>
    <row r="12373">
      <c r="A12373" s="2" t="inlineStr">
        <is>
          <t>2026-06-22</t>
        </is>
      </c>
      <c r="B12373" s="3" t="inlineStr">
        <is>
          <t>대한약품</t>
        </is>
      </c>
      <c r="C12373" s="2" t="inlineStr">
        <is>
          <t>코스닥</t>
        </is>
      </c>
      <c r="D12373" s="2" t="inlineStr">
        <is>
          <t>023910</t>
        </is>
      </c>
      <c r="E12373" s="3" t="inlineStr">
        <is>
          <t>임원ㆍ주요주주특정증권등소유상황보고서</t>
        </is>
      </c>
      <c r="F12373" s="3" t="inlineStr">
        <is>
          <t>이윤우</t>
        </is>
      </c>
      <c r="G12373" s="2" t="inlineStr">
        <is>
          <t>20260622000247</t>
        </is>
      </c>
      <c r="H12373" s="8">
        <f>HYPERLINK("https://dart.fss.or.kr/dsaf001/main.do?rcpNo=20260622000247", "공시열람")</f>
        <v/>
      </c>
    </row>
    <row r="12374">
      <c r="A12374" s="2" t="inlineStr">
        <is>
          <t>2026-06-22</t>
        </is>
      </c>
      <c r="B12374" s="3" t="inlineStr">
        <is>
          <t>루트락</t>
        </is>
      </c>
      <c r="C12374" s="2" t="inlineStr">
        <is>
          <t>코넥스</t>
        </is>
      </c>
      <c r="D12374" s="2" t="inlineStr">
        <is>
          <t>253610</t>
        </is>
      </c>
      <c r="E12374" s="3" t="inlineStr">
        <is>
          <t>전환가액의조정              (제3회차)</t>
        </is>
      </c>
      <c r="F12374" s="3" t="inlineStr">
        <is>
          <t>루트락</t>
        </is>
      </c>
      <c r="G12374" s="2" t="inlineStr">
        <is>
          <t>20260622600488</t>
        </is>
      </c>
      <c r="H12374" s="8">
        <f>HYPERLINK("https://dart.fss.or.kr/dsaf001/main.do?rcpNo=20260622600488", "공시열람")</f>
        <v/>
      </c>
    </row>
    <row r="12375">
      <c r="A12375" s="2" t="inlineStr">
        <is>
          <t>2026-06-22</t>
        </is>
      </c>
      <c r="B12375" s="3" t="inlineStr">
        <is>
          <t>에스에프에이</t>
        </is>
      </c>
      <c r="C12375" s="2" t="inlineStr">
        <is>
          <t>코스닥</t>
        </is>
      </c>
      <c r="D12375" s="2" t="inlineStr">
        <is>
          <t>056190</t>
        </is>
      </c>
      <c r="E12375" s="3" t="inlineStr">
        <is>
          <t>기타시장안내(약명및영문명)              (한글약명)</t>
        </is>
      </c>
      <c r="F12375" s="3" t="inlineStr">
        <is>
          <t>코스닥시장본부</t>
        </is>
      </c>
      <c r="G12375" s="2" t="inlineStr">
        <is>
          <t>20260622900507</t>
        </is>
      </c>
      <c r="H12375" s="8">
        <f>HYPERLINK("https://dart.fss.or.kr/dsaf001/main.do?rcpNo=20260622900507", "공시열람")</f>
        <v/>
      </c>
    </row>
    <row r="12376">
      <c r="A12376" s="2" t="inlineStr">
        <is>
          <t>2026-06-22</t>
        </is>
      </c>
      <c r="B12376" s="3" t="inlineStr">
        <is>
          <t>NH투자증권</t>
        </is>
      </c>
      <c r="C12376" s="2" t="inlineStr">
        <is>
          <t>코스피</t>
        </is>
      </c>
      <c r="D12376" s="2" t="inlineStr">
        <is>
          <t>005940</t>
        </is>
      </c>
      <c r="E12376" s="3" t="inlineStr">
        <is>
          <t>일괄신고추가서류(파생결합증권-주가연계증권)</t>
        </is>
      </c>
      <c r="F12376" s="3" t="inlineStr">
        <is>
          <t>NH투자증권</t>
        </is>
      </c>
      <c r="G12376" s="2" t="inlineStr">
        <is>
          <t>20260622000242</t>
        </is>
      </c>
      <c r="H12376" s="8">
        <f>HYPERLINK("https://dart.fss.or.kr/dsaf001/main.do?rcpNo=20260622000242", "공시열람")</f>
        <v/>
      </c>
    </row>
    <row r="12377">
      <c r="A12377" s="2" t="inlineStr">
        <is>
          <t>2026-06-22</t>
        </is>
      </c>
      <c r="B12377" s="3" t="inlineStr">
        <is>
          <t>크리스탈신소재</t>
        </is>
      </c>
      <c r="C12377" s="2" t="inlineStr">
        <is>
          <t>코스닥</t>
        </is>
      </c>
      <c r="D12377" s="2" t="inlineStr">
        <is>
          <t>900250</t>
        </is>
      </c>
      <c r="E12377" s="3" t="inlineStr">
        <is>
          <t>주권매매거래정지해제              (액면병합 주권 변경상장)</t>
        </is>
      </c>
      <c r="F12377" s="3" t="inlineStr">
        <is>
          <t>코스닥시장본부</t>
        </is>
      </c>
      <c r="G12377" s="2" t="inlineStr">
        <is>
          <t>20260622900489</t>
        </is>
      </c>
      <c r="H12377" s="8">
        <f>HYPERLINK("https://dart.fss.or.kr/dsaf001/main.do?rcpNo=20260622900489", "공시열람")</f>
        <v/>
      </c>
    </row>
    <row r="12378">
      <c r="A12378" s="2" t="inlineStr">
        <is>
          <t>2026-06-22 (정정: 2026-06-26)</t>
        </is>
      </c>
      <c r="B12378" s="3" t="inlineStr">
        <is>
          <t>더코디</t>
        </is>
      </c>
      <c r="C12378" s="2" t="inlineStr">
        <is>
          <t>코스닥</t>
        </is>
      </c>
      <c r="D12378" s="2" t="inlineStr">
        <is>
          <t>224060</t>
        </is>
      </c>
      <c r="E12378" s="3" t="inlineStr">
        <is>
          <t>전환가액의조정              (제8회차) (정정: 20260626)</t>
        </is>
      </c>
      <c r="F12378" s="3" t="inlineStr">
        <is>
          <t>더코디</t>
        </is>
      </c>
      <c r="G12378" s="2" t="inlineStr">
        <is>
          <t>20260626000556</t>
        </is>
      </c>
      <c r="H12378" s="8">
        <f>HYPERLINK("https://dart.fss.or.kr/dsaf001/main.do?rcpNo=20260626000556", "공시열람")</f>
        <v/>
      </c>
    </row>
    <row r="12379">
      <c r="A12379" s="2" t="inlineStr">
        <is>
          <t>2026-06-22</t>
        </is>
      </c>
      <c r="B12379" s="3" t="inlineStr">
        <is>
          <t>그린생명과학</t>
        </is>
      </c>
      <c r="C12379" s="2" t="inlineStr">
        <is>
          <t>코스닥</t>
        </is>
      </c>
      <c r="D12379" s="2" t="inlineStr">
        <is>
          <t>114450</t>
        </is>
      </c>
      <c r="E12379" s="3" t="inlineStr">
        <is>
          <t>임원ㆍ주요주주특정증권등거래계획보고서</t>
        </is>
      </c>
      <c r="F12379" s="3" t="inlineStr">
        <is>
          <t>그린케미칼</t>
        </is>
      </c>
      <c r="G12379" s="2" t="inlineStr">
        <is>
          <t>20260622000238</t>
        </is>
      </c>
      <c r="H12379" s="8">
        <f>HYPERLINK("https://dart.fss.or.kr/dsaf001/main.do?rcpNo=20260622000238", "공시열람")</f>
        <v/>
      </c>
    </row>
    <row r="12380">
      <c r="A12380" s="2" t="inlineStr">
        <is>
          <t>2026-06-22</t>
        </is>
      </c>
      <c r="B12380" s="3" t="inlineStr">
        <is>
          <t>백산</t>
        </is>
      </c>
      <c r="C12380" s="2" t="inlineStr">
        <is>
          <t>코스피</t>
        </is>
      </c>
      <c r="D12380" s="2" t="inlineStr">
        <is>
          <t>035150</t>
        </is>
      </c>
      <c r="E12380" s="3" t="inlineStr">
        <is>
          <t>자기주식취득결과보고서</t>
        </is>
      </c>
      <c r="F12380" s="3" t="inlineStr">
        <is>
          <t>백산</t>
        </is>
      </c>
      <c r="G12380" s="2" t="inlineStr">
        <is>
          <t>20260622000237</t>
        </is>
      </c>
      <c r="H12380" s="8">
        <f>HYPERLINK("https://dart.fss.or.kr/dsaf001/main.do?rcpNo=20260622000237", "공시열람")</f>
        <v/>
      </c>
    </row>
    <row r="12381">
      <c r="A12381" s="2" t="inlineStr">
        <is>
          <t>2026-06-22</t>
        </is>
      </c>
      <c r="B12381" s="3" t="inlineStr">
        <is>
          <t>비트컴퓨터</t>
        </is>
      </c>
      <c r="C12381" s="2" t="inlineStr">
        <is>
          <t>코스닥</t>
        </is>
      </c>
      <c r="D12381" s="2" t="inlineStr">
        <is>
          <t>032850</t>
        </is>
      </c>
      <c r="E12381" s="3" t="inlineStr">
        <is>
          <t>자기주식취득결과보고서</t>
        </is>
      </c>
      <c r="F12381" s="3" t="inlineStr">
        <is>
          <t>비트컴퓨터</t>
        </is>
      </c>
      <c r="G12381" s="2" t="inlineStr">
        <is>
          <t>20260622000233</t>
        </is>
      </c>
      <c r="H12381" s="8">
        <f>HYPERLINK("https://dart.fss.or.kr/dsaf001/main.do?rcpNo=20260622000233", "공시열람")</f>
        <v/>
      </c>
    </row>
    <row r="12382">
      <c r="A12382" s="2" t="inlineStr">
        <is>
          <t>2026-06-22</t>
        </is>
      </c>
      <c r="B12382" s="3" t="inlineStr">
        <is>
          <t>한화솔루션</t>
        </is>
      </c>
      <c r="C12382" s="2" t="inlineStr">
        <is>
          <t>코스피</t>
        </is>
      </c>
      <c r="D12382" s="2" t="inlineStr">
        <is>
          <t>009830</t>
        </is>
      </c>
      <c r="E12382" s="3" t="inlineStr">
        <is>
          <t>특수관계인에대한담보제공</t>
        </is>
      </c>
      <c r="F12382" s="3" t="inlineStr">
        <is>
          <t>한화솔루션</t>
        </is>
      </c>
      <c r="G12382" s="2" t="inlineStr">
        <is>
          <t>20260622000229</t>
        </is>
      </c>
      <c r="H12382" s="8">
        <f>HYPERLINK("https://dart.fss.or.kr/dsaf001/main.do?rcpNo=20260622000229", "공시열람")</f>
        <v/>
      </c>
    </row>
    <row r="12383">
      <c r="A12383" s="2" t="inlineStr">
        <is>
          <t>2026-06-22</t>
        </is>
      </c>
      <c r="B12383" s="3" t="inlineStr">
        <is>
          <t>핌스</t>
        </is>
      </c>
      <c r="C12383" s="2" t="inlineStr">
        <is>
          <t>코스닥</t>
        </is>
      </c>
      <c r="D12383" s="2" t="inlineStr">
        <is>
          <t>347770</t>
        </is>
      </c>
      <c r="E12383" s="3" t="inlineStr">
        <is>
          <t xml:space="preserve">자산재평가실시결정(자율공시)              </t>
        </is>
      </c>
      <c r="F12383" s="3" t="inlineStr">
        <is>
          <t>핌스</t>
        </is>
      </c>
      <c r="G12383" s="2" t="inlineStr">
        <is>
          <t>20260622900473</t>
        </is>
      </c>
      <c r="H12383" s="8">
        <f>HYPERLINK("https://dart.fss.or.kr/dsaf001/main.do?rcpNo=20260622900473", "공시열람")</f>
        <v/>
      </c>
    </row>
    <row r="12384">
      <c r="A12384" s="2" t="inlineStr">
        <is>
          <t>2026-06-22</t>
        </is>
      </c>
      <c r="B12384" s="3" t="inlineStr">
        <is>
          <t>MH에탄올</t>
        </is>
      </c>
      <c r="C12384" s="2" t="inlineStr">
        <is>
          <t>코스피</t>
        </is>
      </c>
      <c r="D12384" s="2" t="inlineStr">
        <is>
          <t>023150</t>
        </is>
      </c>
      <c r="E12384" s="3" t="inlineStr">
        <is>
          <t>자기주식취득결과보고서</t>
        </is>
      </c>
      <c r="F12384" s="3" t="inlineStr">
        <is>
          <t>MH에탄올</t>
        </is>
      </c>
      <c r="G12384" s="2" t="inlineStr">
        <is>
          <t>20260622000224</t>
        </is>
      </c>
      <c r="H12384" s="8">
        <f>HYPERLINK("https://dart.fss.or.kr/dsaf001/main.do?rcpNo=20260622000224", "공시열람")</f>
        <v/>
      </c>
    </row>
    <row r="12385">
      <c r="A12385" s="2" t="inlineStr">
        <is>
          <t>2026-06-22</t>
        </is>
      </c>
      <c r="B12385" s="3" t="inlineStr">
        <is>
          <t>유안타증권</t>
        </is>
      </c>
      <c r="C12385" s="2" t="inlineStr">
        <is>
          <t>코스피</t>
        </is>
      </c>
      <c r="D12385" s="2" t="inlineStr">
        <is>
          <t>003470</t>
        </is>
      </c>
      <c r="E12385" s="3" t="inlineStr">
        <is>
          <t>투자설명서(일괄신고)</t>
        </is>
      </c>
      <c r="F12385" s="3" t="inlineStr">
        <is>
          <t>유안타증권</t>
        </is>
      </c>
      <c r="G12385" s="2" t="inlineStr">
        <is>
          <t>20260622000220</t>
        </is>
      </c>
      <c r="H12385" s="8">
        <f>HYPERLINK("https://dart.fss.or.kr/dsaf001/main.do?rcpNo=20260622000220", "공시열람")</f>
        <v/>
      </c>
    </row>
    <row r="12386">
      <c r="A12386" s="2" t="inlineStr">
        <is>
          <t>2026-06-22</t>
        </is>
      </c>
      <c r="B12386" s="3" t="inlineStr">
        <is>
          <t>한화솔루션</t>
        </is>
      </c>
      <c r="C12386" s="2" t="inlineStr">
        <is>
          <t>코스피</t>
        </is>
      </c>
      <c r="D12386" s="2" t="inlineStr">
        <is>
          <t>009830</t>
        </is>
      </c>
      <c r="E12386" s="3" t="inlineStr">
        <is>
          <t>약관에의한금융거래시계열금융회사의거래상대방의공시</t>
        </is>
      </c>
      <c r="F12386" s="3" t="inlineStr">
        <is>
          <t>한화솔루션</t>
        </is>
      </c>
      <c r="G12386" s="2" t="inlineStr">
        <is>
          <t>20260622000218</t>
        </is>
      </c>
      <c r="H12386" s="8">
        <f>HYPERLINK("https://dart.fss.or.kr/dsaf001/main.do?rcpNo=20260622000218", "공시열람")</f>
        <v/>
      </c>
    </row>
    <row r="12387">
      <c r="A12387" s="2" t="inlineStr">
        <is>
          <t>2026-06-22</t>
        </is>
      </c>
      <c r="B12387" s="3" t="inlineStr">
        <is>
          <t>키움증권</t>
        </is>
      </c>
      <c r="C12387" s="2" t="inlineStr">
        <is>
          <t>코스피</t>
        </is>
      </c>
      <c r="D12387" s="2" t="inlineStr">
        <is>
          <t>039490</t>
        </is>
      </c>
      <c r="E12387" s="3" t="inlineStr">
        <is>
          <t>증권발행실적보고서</t>
        </is>
      </c>
      <c r="F12387" s="3" t="inlineStr">
        <is>
          <t>키움증권</t>
        </is>
      </c>
      <c r="G12387" s="2" t="inlineStr">
        <is>
          <t>20260622000217</t>
        </is>
      </c>
      <c r="H12387" s="8">
        <f>HYPERLINK("https://dart.fss.or.kr/dsaf001/main.do?rcpNo=20260622000217", "공시열람")</f>
        <v/>
      </c>
    </row>
    <row r="12388">
      <c r="A12388" s="2" t="inlineStr">
        <is>
          <t>2026-06-22</t>
        </is>
      </c>
      <c r="B12388" s="3" t="inlineStr">
        <is>
          <t>신세계푸드</t>
        </is>
      </c>
      <c r="C12388" s="2" t="inlineStr">
        <is>
          <t>코스피</t>
        </is>
      </c>
      <c r="D12388" s="2" t="inlineStr">
        <is>
          <t>031440</t>
        </is>
      </c>
      <c r="E12388" s="3" t="inlineStr">
        <is>
          <t>동일인등출자계열회사와의상품ㆍ용역거래</t>
        </is>
      </c>
      <c r="F12388" s="3" t="inlineStr">
        <is>
          <t>신세계푸드</t>
        </is>
      </c>
      <c r="G12388" s="2" t="inlineStr">
        <is>
          <t>20260622000216</t>
        </is>
      </c>
      <c r="H12388" s="8">
        <f>HYPERLINK("https://dart.fss.or.kr/dsaf001/main.do?rcpNo=20260622000216", "공시열람")</f>
        <v/>
      </c>
    </row>
    <row r="12389">
      <c r="A12389" s="2" t="inlineStr">
        <is>
          <t>2026-06-22</t>
        </is>
      </c>
      <c r="B12389" s="3" t="inlineStr">
        <is>
          <t>아이진</t>
        </is>
      </c>
      <c r="C12389" s="2" t="inlineStr">
        <is>
          <t>코스닥</t>
        </is>
      </c>
      <c r="D12389" s="2" t="inlineStr">
        <is>
          <t>185490</t>
        </is>
      </c>
      <c r="E12389" s="3" t="inlineStr">
        <is>
          <t>임원ㆍ주요주주특정증권등소유상황보고서</t>
        </is>
      </c>
      <c r="F12389" s="3" t="inlineStr">
        <is>
          <t>우구</t>
        </is>
      </c>
      <c r="G12389" s="2" t="inlineStr">
        <is>
          <t>20260622000215</t>
        </is>
      </c>
      <c r="H12389" s="8">
        <f>HYPERLINK("https://dart.fss.or.kr/dsaf001/main.do?rcpNo=20260622000215", "공시열람")</f>
        <v/>
      </c>
    </row>
    <row r="12390">
      <c r="A12390" s="2" t="inlineStr">
        <is>
          <t>2026-06-22</t>
        </is>
      </c>
      <c r="B12390" s="3" t="inlineStr">
        <is>
          <t>E8</t>
        </is>
      </c>
      <c r="C12390" s="2" t="inlineStr">
        <is>
          <t>코스닥</t>
        </is>
      </c>
      <c r="D12390" s="2" t="inlineStr">
        <is>
          <t>418620</t>
        </is>
      </c>
      <c r="E12390" s="3" t="inlineStr">
        <is>
          <t>기타경영사항(자율공시)              (국책과제 선정(광학 응용장비 진단 및 보정 지원 AI 에이전트 오케스트리에이션 기술 개발))</t>
        </is>
      </c>
      <c r="F12390" s="3" t="inlineStr">
        <is>
          <t>E8</t>
        </is>
      </c>
      <c r="G12390" s="2" t="inlineStr">
        <is>
          <t>20260622900436</t>
        </is>
      </c>
      <c r="H12390" s="8">
        <f>HYPERLINK("https://dart.fss.or.kr/dsaf001/main.do?rcpNo=20260622900436", "공시열람")</f>
        <v/>
      </c>
    </row>
    <row r="12391">
      <c r="A12391" s="2" t="inlineStr">
        <is>
          <t>2026-06-22</t>
        </is>
      </c>
      <c r="B12391" s="3" t="inlineStr">
        <is>
          <t>유안타증권</t>
        </is>
      </c>
      <c r="C12391" s="2" t="inlineStr">
        <is>
          <t>코스피</t>
        </is>
      </c>
      <c r="D12391" s="2" t="inlineStr">
        <is>
          <t>003470</t>
        </is>
      </c>
      <c r="E12391" s="3" t="inlineStr">
        <is>
          <t>일괄신고추가서류(파생결합사채-주가연계파생결합사채)</t>
        </is>
      </c>
      <c r="F12391" s="3" t="inlineStr">
        <is>
          <t>유안타증권</t>
        </is>
      </c>
      <c r="G12391" s="2" t="inlineStr">
        <is>
          <t>20260622000214</t>
        </is>
      </c>
      <c r="H12391" s="8">
        <f>HYPERLINK("https://dart.fss.or.kr/dsaf001/main.do?rcpNo=20260622000214", "공시열람")</f>
        <v/>
      </c>
    </row>
    <row r="12392">
      <c r="A12392" s="2" t="inlineStr">
        <is>
          <t>2026-06-22</t>
        </is>
      </c>
      <c r="B12392" s="3" t="inlineStr">
        <is>
          <t>한양이엔지</t>
        </is>
      </c>
      <c r="C12392" s="2" t="inlineStr">
        <is>
          <t>코스닥</t>
        </is>
      </c>
      <c r="D12392" s="2" t="inlineStr">
        <is>
          <t>045100</t>
        </is>
      </c>
      <c r="E12392" s="3" t="inlineStr">
        <is>
          <t>임원ㆍ주요주주특정증권등소유상황보고서</t>
        </is>
      </c>
      <c r="F12392" s="3" t="inlineStr">
        <is>
          <t>김윤상</t>
        </is>
      </c>
      <c r="G12392" s="2" t="inlineStr">
        <is>
          <t>20260622000213</t>
        </is>
      </c>
      <c r="H12392" s="8">
        <f>HYPERLINK("https://dart.fss.or.kr/dsaf001/main.do?rcpNo=20260622000213", "공시열람")</f>
        <v/>
      </c>
    </row>
    <row r="12393">
      <c r="A12393" s="2" t="inlineStr">
        <is>
          <t>2026-06-22</t>
        </is>
      </c>
      <c r="B12393" s="3" t="inlineStr">
        <is>
          <t>키움증권</t>
        </is>
      </c>
      <c r="C12393" s="2" t="inlineStr">
        <is>
          <t>코스피</t>
        </is>
      </c>
      <c r="D12393" s="2" t="inlineStr">
        <is>
          <t>039490</t>
        </is>
      </c>
      <c r="E12393" s="3" t="inlineStr">
        <is>
          <t>증권발행실적보고서</t>
        </is>
      </c>
      <c r="F12393" s="3" t="inlineStr">
        <is>
          <t>키움증권</t>
        </is>
      </c>
      <c r="G12393" s="2" t="inlineStr">
        <is>
          <t>20260622000212</t>
        </is>
      </c>
      <c r="H12393" s="8">
        <f>HYPERLINK("https://dart.fss.or.kr/dsaf001/main.do?rcpNo=20260622000212", "공시열람")</f>
        <v/>
      </c>
    </row>
    <row r="12394">
      <c r="A12394" s="2" t="inlineStr">
        <is>
          <t>2026-06-22</t>
        </is>
      </c>
      <c r="B12394" s="3" t="inlineStr">
        <is>
          <t>대신증권</t>
        </is>
      </c>
      <c r="C12394" s="2" t="inlineStr">
        <is>
          <t>코스피</t>
        </is>
      </c>
      <c r="D12394" s="2" t="inlineStr">
        <is>
          <t>003540</t>
        </is>
      </c>
      <c r="E12394" s="3" t="inlineStr">
        <is>
          <t>일괄신고추가서류(기타파생결합사채)</t>
        </is>
      </c>
      <c r="F12394" s="3" t="inlineStr">
        <is>
          <t>대신증권</t>
        </is>
      </c>
      <c r="G12394" s="2" t="inlineStr">
        <is>
          <t>20260622000208</t>
        </is>
      </c>
      <c r="H12394" s="8">
        <f>HYPERLINK("https://dart.fss.or.kr/dsaf001/main.do?rcpNo=20260622000208", "공시열람")</f>
        <v/>
      </c>
    </row>
    <row r="12395">
      <c r="A12395" s="2" t="inlineStr">
        <is>
          <t>2026-06-22</t>
        </is>
      </c>
      <c r="B12395" s="3" t="inlineStr">
        <is>
          <t>키움증권</t>
        </is>
      </c>
      <c r="C12395" s="2" t="inlineStr">
        <is>
          <t>코스피</t>
        </is>
      </c>
      <c r="D12395" s="2" t="inlineStr">
        <is>
          <t>039490</t>
        </is>
      </c>
      <c r="E12395" s="3" t="inlineStr">
        <is>
          <t>투자설명서(일괄신고)</t>
        </is>
      </c>
      <c r="F12395" s="3" t="inlineStr">
        <is>
          <t>키움증권</t>
        </is>
      </c>
      <c r="G12395" s="2" t="inlineStr">
        <is>
          <t>20260622000203</t>
        </is>
      </c>
      <c r="H12395" s="8">
        <f>HYPERLINK("https://dart.fss.or.kr/dsaf001/main.do?rcpNo=20260622000203", "공시열람")</f>
        <v/>
      </c>
    </row>
    <row r="12396">
      <c r="A12396" s="2" t="inlineStr">
        <is>
          <t>2026-06-22</t>
        </is>
      </c>
      <c r="B12396" s="3" t="inlineStr">
        <is>
          <t>삼양엔씨켐</t>
        </is>
      </c>
      <c r="C12396" s="2" t="inlineStr">
        <is>
          <t>코스닥</t>
        </is>
      </c>
      <c r="D12396" s="2" t="inlineStr">
        <is>
          <t>482630</t>
        </is>
      </c>
      <c r="E12396" s="3" t="inlineStr">
        <is>
          <t>임원ㆍ주요주주특정증권등소유상황보고서</t>
        </is>
      </c>
      <c r="F12396" s="3" t="inlineStr">
        <is>
          <t>김기정</t>
        </is>
      </c>
      <c r="G12396" s="2" t="inlineStr">
        <is>
          <t>20260622000201</t>
        </is>
      </c>
      <c r="H12396" s="8">
        <f>HYPERLINK("https://dart.fss.or.kr/dsaf001/main.do?rcpNo=20260622000201", "공시열람")</f>
        <v/>
      </c>
    </row>
    <row r="12397">
      <c r="A12397" s="2" t="inlineStr">
        <is>
          <t>2026-06-22</t>
        </is>
      </c>
      <c r="B12397" s="3" t="inlineStr">
        <is>
          <t>아나패스</t>
        </is>
      </c>
      <c r="C12397" s="2" t="inlineStr">
        <is>
          <t>코스닥</t>
        </is>
      </c>
      <c r="D12397" s="2" t="inlineStr">
        <is>
          <t>123860</t>
        </is>
      </c>
      <c r="E12397" s="3" t="inlineStr">
        <is>
          <t xml:space="preserve">증권발행결과(자율공시)              </t>
        </is>
      </c>
      <c r="F12397" s="3" t="inlineStr">
        <is>
          <t>아나패스</t>
        </is>
      </c>
      <c r="G12397" s="2" t="inlineStr">
        <is>
          <t>20260622900429</t>
        </is>
      </c>
      <c r="H12397" s="8">
        <f>HYPERLINK("https://dart.fss.or.kr/dsaf001/main.do?rcpNo=20260622900429", "공시열람")</f>
        <v/>
      </c>
    </row>
    <row r="12398">
      <c r="A12398" s="2" t="inlineStr">
        <is>
          <t>2026-06-22</t>
        </is>
      </c>
      <c r="B12398" s="3" t="inlineStr">
        <is>
          <t>알티캐스트</t>
        </is>
      </c>
      <c r="C12398" s="2" t="inlineStr">
        <is>
          <t>코스닥</t>
        </is>
      </c>
      <c r="D12398" s="2" t="inlineStr">
        <is>
          <t>085810</t>
        </is>
      </c>
      <c r="E12398" s="3" t="inlineStr">
        <is>
          <t xml:space="preserve">전환청구권행사              </t>
        </is>
      </c>
      <c r="F12398" s="3" t="inlineStr">
        <is>
          <t>알티캐스트</t>
        </is>
      </c>
      <c r="G12398" s="2" t="inlineStr">
        <is>
          <t>20260622900425</t>
        </is>
      </c>
      <c r="H12398" s="8">
        <f>HYPERLINK("https://dart.fss.or.kr/dsaf001/main.do?rcpNo=20260622900425", "공시열람")</f>
        <v/>
      </c>
    </row>
    <row r="12399">
      <c r="A12399" s="2" t="inlineStr">
        <is>
          <t>2026-06-22</t>
        </is>
      </c>
      <c r="B12399" s="3" t="inlineStr">
        <is>
          <t>키움증권</t>
        </is>
      </c>
      <c r="C12399" s="2" t="inlineStr">
        <is>
          <t>코스피</t>
        </is>
      </c>
      <c r="D12399" s="2" t="inlineStr">
        <is>
          <t>039490</t>
        </is>
      </c>
      <c r="E12399" s="3" t="inlineStr">
        <is>
          <t>증권발행실적보고서</t>
        </is>
      </c>
      <c r="F12399" s="3" t="inlineStr">
        <is>
          <t>키움증권</t>
        </is>
      </c>
      <c r="G12399" s="2" t="inlineStr">
        <is>
          <t>20260622000197</t>
        </is>
      </c>
      <c r="H12399" s="8">
        <f>HYPERLINK("https://dart.fss.or.kr/dsaf001/main.do?rcpNo=20260622000197", "공시열람")</f>
        <v/>
      </c>
    </row>
    <row r="12400">
      <c r="A12400" s="2" t="inlineStr">
        <is>
          <t>2026-06-22</t>
        </is>
      </c>
      <c r="B12400" s="3" t="inlineStr">
        <is>
          <t>키움증권</t>
        </is>
      </c>
      <c r="C12400" s="2" t="inlineStr">
        <is>
          <t>코스피</t>
        </is>
      </c>
      <c r="D12400" s="2" t="inlineStr">
        <is>
          <t>039490</t>
        </is>
      </c>
      <c r="E12400" s="3" t="inlineStr">
        <is>
          <t>증권발행실적보고서</t>
        </is>
      </c>
      <c r="F12400" s="3" t="inlineStr">
        <is>
          <t>키움증권</t>
        </is>
      </c>
      <c r="G12400" s="2" t="inlineStr">
        <is>
          <t>20260622000192</t>
        </is>
      </c>
      <c r="H12400" s="8">
        <f>HYPERLINK("https://dart.fss.or.kr/dsaf001/main.do?rcpNo=20260622000192", "공시열람")</f>
        <v/>
      </c>
    </row>
    <row r="12401">
      <c r="A12401" s="2" t="inlineStr">
        <is>
          <t>2026-06-22</t>
        </is>
      </c>
      <c r="B12401" s="3" t="inlineStr">
        <is>
          <t>키움증권</t>
        </is>
      </c>
      <c r="C12401" s="2" t="inlineStr">
        <is>
          <t>코스피</t>
        </is>
      </c>
      <c r="D12401" s="2" t="inlineStr">
        <is>
          <t>039490</t>
        </is>
      </c>
      <c r="E12401" s="3" t="inlineStr">
        <is>
          <t>증권발행실적보고서</t>
        </is>
      </c>
      <c r="F12401" s="3" t="inlineStr">
        <is>
          <t>키움증권</t>
        </is>
      </c>
      <c r="G12401" s="2" t="inlineStr">
        <is>
          <t>20260622000189</t>
        </is>
      </c>
      <c r="H12401" s="8">
        <f>HYPERLINK("https://dart.fss.or.kr/dsaf001/main.do?rcpNo=20260622000189", "공시열람")</f>
        <v/>
      </c>
    </row>
    <row r="12402">
      <c r="A12402" s="2" t="inlineStr">
        <is>
          <t>2026-06-22</t>
        </is>
      </c>
      <c r="B12402" s="3" t="inlineStr">
        <is>
          <t>유안타증권</t>
        </is>
      </c>
      <c r="C12402" s="2" t="inlineStr">
        <is>
          <t>코스피</t>
        </is>
      </c>
      <c r="D12402" s="2" t="inlineStr">
        <is>
          <t>003470</t>
        </is>
      </c>
      <c r="E12402" s="3" t="inlineStr">
        <is>
          <t>투자설명서(일괄신고)</t>
        </is>
      </c>
      <c r="F12402" s="3" t="inlineStr">
        <is>
          <t>유안타증권</t>
        </is>
      </c>
      <c r="G12402" s="2" t="inlineStr">
        <is>
          <t>20260622000187</t>
        </is>
      </c>
      <c r="H12402" s="8">
        <f>HYPERLINK("https://dart.fss.or.kr/dsaf001/main.do?rcpNo=20260622000187", "공시열람")</f>
        <v/>
      </c>
    </row>
    <row r="12403">
      <c r="A12403" s="2" t="inlineStr">
        <is>
          <t>2026-06-22</t>
        </is>
      </c>
      <c r="B12403" s="3" t="inlineStr">
        <is>
          <t>한창제지</t>
        </is>
      </c>
      <c r="C12403" s="2" t="inlineStr">
        <is>
          <t>코스피</t>
        </is>
      </c>
      <c r="D12403" s="2" t="inlineStr">
        <is>
          <t>009460</t>
        </is>
      </c>
      <c r="E12403" s="3" t="inlineStr">
        <is>
          <t>임원ㆍ주요주주특정증권등소유상황보고서</t>
        </is>
      </c>
      <c r="F12403" s="3" t="inlineStr">
        <is>
          <t>정병산</t>
        </is>
      </c>
      <c r="G12403" s="2" t="inlineStr">
        <is>
          <t>20260622000185</t>
        </is>
      </c>
      <c r="H12403" s="8">
        <f>HYPERLINK("https://dart.fss.or.kr/dsaf001/main.do?rcpNo=20260622000185", "공시열람")</f>
        <v/>
      </c>
    </row>
    <row r="12404">
      <c r="A12404" s="2" t="inlineStr">
        <is>
          <t>2026-06-22</t>
        </is>
      </c>
      <c r="B12404" s="3" t="inlineStr">
        <is>
          <t>티엘엔지니어링</t>
        </is>
      </c>
      <c r="C12404" s="2" t="inlineStr">
        <is>
          <t>코넥스</t>
        </is>
      </c>
      <c r="D12404" s="2" t="inlineStr">
        <is>
          <t>413300</t>
        </is>
      </c>
      <c r="E12404" s="3" t="inlineStr">
        <is>
          <t xml:space="preserve">기업설명회(IR)개최결과              </t>
        </is>
      </c>
      <c r="F12404" s="3" t="inlineStr">
        <is>
          <t>티엘엔지니어링</t>
        </is>
      </c>
      <c r="G12404" s="2" t="inlineStr">
        <is>
          <t>20260622600407</t>
        </is>
      </c>
      <c r="H12404" s="8">
        <f>HYPERLINK("https://dart.fss.or.kr/dsaf001/main.do?rcpNo=20260622600407", "공시열람")</f>
        <v/>
      </c>
    </row>
    <row r="12405">
      <c r="A12405" s="2" t="inlineStr">
        <is>
          <t>2026-06-22</t>
        </is>
      </c>
      <c r="B12405" s="3" t="inlineStr">
        <is>
          <t>기아</t>
        </is>
      </c>
      <c r="C12405" s="2" t="inlineStr">
        <is>
          <t>코스피</t>
        </is>
      </c>
      <c r="D12405" s="2" t="inlineStr">
        <is>
          <t>000270</t>
        </is>
      </c>
      <c r="E12405" s="3" t="inlineStr">
        <is>
          <t>임원ㆍ주요주주특정증권등소유상황보고서</t>
        </is>
      </c>
      <c r="F12405" s="3" t="inlineStr">
        <is>
          <t>이태훈</t>
        </is>
      </c>
      <c r="G12405" s="2" t="inlineStr">
        <is>
          <t>20260622000181</t>
        </is>
      </c>
      <c r="H12405" s="8">
        <f>HYPERLINK("https://dart.fss.or.kr/dsaf001/main.do?rcpNo=20260622000181", "공시열람")</f>
        <v/>
      </c>
    </row>
    <row r="12406">
      <c r="A12406" s="2" t="inlineStr">
        <is>
          <t>2026-06-22</t>
        </is>
      </c>
      <c r="B12406" s="3" t="inlineStr">
        <is>
          <t>POSCO홀딩스</t>
        </is>
      </c>
      <c r="C12406" s="2" t="inlineStr">
        <is>
          <t>코스피</t>
        </is>
      </c>
      <c r="D12406" s="2" t="inlineStr">
        <is>
          <t>005490</t>
        </is>
      </c>
      <c r="E12406" s="3" t="inlineStr">
        <is>
          <t xml:space="preserve">기업설명회(IR)개최(안내공시)              </t>
        </is>
      </c>
      <c r="F12406" s="3" t="inlineStr">
        <is>
          <t>POSCO홀딩스</t>
        </is>
      </c>
      <c r="G12406" s="2" t="inlineStr">
        <is>
          <t>20260622800400</t>
        </is>
      </c>
      <c r="H12406" s="8">
        <f>HYPERLINK("https://dart.fss.or.kr/dsaf001/main.do?rcpNo=20260622800400", "공시열람")</f>
        <v/>
      </c>
    </row>
    <row r="12407">
      <c r="A12407" s="2" t="inlineStr">
        <is>
          <t>2026-06-22</t>
        </is>
      </c>
      <c r="B12407" s="3" t="inlineStr">
        <is>
          <t>유안타증권</t>
        </is>
      </c>
      <c r="C12407" s="2" t="inlineStr">
        <is>
          <t>코스피</t>
        </is>
      </c>
      <c r="D12407" s="2" t="inlineStr">
        <is>
          <t>003470</t>
        </is>
      </c>
      <c r="E12407" s="3" t="inlineStr">
        <is>
          <t>일괄신고추가서류(파생결합증권-주가연계증권)</t>
        </is>
      </c>
      <c r="F12407" s="3" t="inlineStr">
        <is>
          <t>유안타증권</t>
        </is>
      </c>
      <c r="G12407" s="2" t="inlineStr">
        <is>
          <t>20260622000176</t>
        </is>
      </c>
      <c r="H12407" s="8">
        <f>HYPERLINK("https://dart.fss.or.kr/dsaf001/main.do?rcpNo=20260622000176", "공시열람")</f>
        <v/>
      </c>
    </row>
    <row r="12408">
      <c r="A12408" s="2" t="inlineStr">
        <is>
          <t>2026-06-22</t>
        </is>
      </c>
      <c r="B12408" s="3" t="inlineStr">
        <is>
          <t>NH투자증권</t>
        </is>
      </c>
      <c r="C12408" s="2" t="inlineStr">
        <is>
          <t>코스피</t>
        </is>
      </c>
      <c r="D12408" s="2" t="inlineStr">
        <is>
          <t>005940</t>
        </is>
      </c>
      <c r="E12408" s="3" t="inlineStr">
        <is>
          <t>투자설명서(일괄신고)</t>
        </is>
      </c>
      <c r="F12408" s="3" t="inlineStr">
        <is>
          <t>NH투자증권</t>
        </is>
      </c>
      <c r="G12408" s="2" t="inlineStr">
        <is>
          <t>20260622000174</t>
        </is>
      </c>
      <c r="H12408" s="8">
        <f>HYPERLINK("https://dart.fss.or.kr/dsaf001/main.do?rcpNo=20260622000174", "공시열람")</f>
        <v/>
      </c>
    </row>
    <row r="12409">
      <c r="A12409" s="2" t="inlineStr">
        <is>
          <t>2026-06-22</t>
        </is>
      </c>
      <c r="B12409" s="3" t="inlineStr">
        <is>
          <t>키움증권</t>
        </is>
      </c>
      <c r="C12409" s="2" t="inlineStr">
        <is>
          <t>코스피</t>
        </is>
      </c>
      <c r="D12409" s="2" t="inlineStr">
        <is>
          <t>039490</t>
        </is>
      </c>
      <c r="E12409" s="3" t="inlineStr">
        <is>
          <t>일괄신고추가서류(파생결합사채-주가연계파생결합사채)</t>
        </is>
      </c>
      <c r="F12409" s="3" t="inlineStr">
        <is>
          <t>키움증권</t>
        </is>
      </c>
      <c r="G12409" s="2" t="inlineStr">
        <is>
          <t>20260622000173</t>
        </is>
      </c>
      <c r="H12409" s="8">
        <f>HYPERLINK("https://dart.fss.or.kr/dsaf001/main.do?rcpNo=20260622000173", "공시열람")</f>
        <v/>
      </c>
    </row>
    <row r="12410">
      <c r="A12410" s="2" t="inlineStr">
        <is>
          <t>2026-06-22</t>
        </is>
      </c>
      <c r="B12410" s="3" t="inlineStr">
        <is>
          <t>RF머트리얼즈</t>
        </is>
      </c>
      <c r="C12410" s="2" t="inlineStr">
        <is>
          <t>코스닥</t>
        </is>
      </c>
      <c r="D12410" s="2" t="inlineStr">
        <is>
          <t>327260</t>
        </is>
      </c>
      <c r="E12410" s="3" t="inlineStr">
        <is>
          <t xml:space="preserve">유상증자또는주식관련사채등의청약결과(자율공시)              </t>
        </is>
      </c>
      <c r="F12410" s="3" t="inlineStr">
        <is>
          <t>RF머트리얼즈</t>
        </is>
      </c>
      <c r="G12410" s="2" t="inlineStr">
        <is>
          <t>20260622900403</t>
        </is>
      </c>
      <c r="H12410" s="8">
        <f>HYPERLINK("https://dart.fss.or.kr/dsaf001/main.do?rcpNo=20260622900403", "공시열람")</f>
        <v/>
      </c>
    </row>
    <row r="12411">
      <c r="A12411" s="2" t="inlineStr">
        <is>
          <t>2026-06-22</t>
        </is>
      </c>
      <c r="B12411" s="3" t="inlineStr">
        <is>
          <t>큐라켐</t>
        </is>
      </c>
      <c r="C12411" s="2" t="inlineStr">
        <is>
          <t>코넥스</t>
        </is>
      </c>
      <c r="D12411" s="2" t="inlineStr">
        <is>
          <t>456190</t>
        </is>
      </c>
      <c r="E12411" s="3" t="inlineStr">
        <is>
          <t xml:space="preserve">전환주식의전환청구권행사              </t>
        </is>
      </c>
      <c r="F12411" s="3" t="inlineStr">
        <is>
          <t>큐라켐</t>
        </is>
      </c>
      <c r="G12411" s="2" t="inlineStr">
        <is>
          <t>20260622600390</t>
        </is>
      </c>
      <c r="H12411" s="8">
        <f>HYPERLINK("https://dart.fss.or.kr/dsaf001/main.do?rcpNo=20260622600390", "공시열람")</f>
        <v/>
      </c>
    </row>
    <row r="12412">
      <c r="A12412" s="2" t="inlineStr">
        <is>
          <t>2026-06-22</t>
        </is>
      </c>
      <c r="B12412" s="3" t="inlineStr">
        <is>
          <t>대신밸류리츠</t>
        </is>
      </c>
      <c r="C12412" s="2" t="inlineStr">
        <is>
          <t>코스피</t>
        </is>
      </c>
      <c r="D12412" s="2" t="inlineStr">
        <is>
          <t>0030R0</t>
        </is>
      </c>
      <c r="E12412" s="3" t="inlineStr">
        <is>
          <t>임원ㆍ주요주주특정증권등소유상황보고서</t>
        </is>
      </c>
      <c r="F12412" s="3" t="inlineStr">
        <is>
          <t>대신증권</t>
        </is>
      </c>
      <c r="G12412" s="2" t="inlineStr">
        <is>
          <t>20260622000168</t>
        </is>
      </c>
      <c r="H12412" s="8">
        <f>HYPERLINK("https://dart.fss.or.kr/dsaf001/main.do?rcpNo=20260622000168", "공시열람")</f>
        <v/>
      </c>
    </row>
    <row r="12413">
      <c r="A12413" s="2" t="inlineStr">
        <is>
          <t>2026-06-22</t>
        </is>
      </c>
      <c r="B12413" s="3" t="inlineStr">
        <is>
          <t>이씨에스</t>
        </is>
      </c>
      <c r="C12413" s="2" t="inlineStr">
        <is>
          <t>코스닥</t>
        </is>
      </c>
      <c r="D12413" s="2" t="inlineStr">
        <is>
          <t>067010</t>
        </is>
      </c>
      <c r="E12413" s="3" t="inlineStr">
        <is>
          <t>기업가치제고계획(자율공시)              (2026년 (주)이씨에스텔레콤 기업가치 제고 계획)</t>
        </is>
      </c>
      <c r="F12413" s="3" t="inlineStr">
        <is>
          <t>이씨에스</t>
        </is>
      </c>
      <c r="G12413" s="2" t="inlineStr">
        <is>
          <t>20260622900387</t>
        </is>
      </c>
      <c r="H12413" s="8">
        <f>HYPERLINK("https://dart.fss.or.kr/dsaf001/main.do?rcpNo=20260622900387", "공시열람")</f>
        <v/>
      </c>
    </row>
    <row r="12414">
      <c r="A12414" s="2" t="inlineStr">
        <is>
          <t>2026-06-22</t>
        </is>
      </c>
      <c r="B12414" s="3" t="inlineStr">
        <is>
          <t>천보</t>
        </is>
      </c>
      <c r="C12414" s="2" t="inlineStr">
        <is>
          <t>코스닥</t>
        </is>
      </c>
      <c r="D12414" s="2" t="inlineStr">
        <is>
          <t>278280</t>
        </is>
      </c>
      <c r="E12414" s="3" t="inlineStr">
        <is>
          <t>임원ㆍ주요주주특정증권등소유상황보고서</t>
        </is>
      </c>
      <c r="F12414" s="3" t="inlineStr">
        <is>
          <t>이상율</t>
        </is>
      </c>
      <c r="G12414" s="2" t="inlineStr">
        <is>
          <t>20260622000167</t>
        </is>
      </c>
      <c r="H12414" s="8">
        <f>HYPERLINK("https://dart.fss.or.kr/dsaf001/main.do?rcpNo=20260622000167", "공시열람")</f>
        <v/>
      </c>
    </row>
    <row r="12415">
      <c r="A12415" s="2" t="inlineStr">
        <is>
          <t>2026-06-22</t>
        </is>
      </c>
      <c r="B12415" s="3" t="inlineStr">
        <is>
          <t>NH투자증권</t>
        </is>
      </c>
      <c r="C12415" s="2" t="inlineStr">
        <is>
          <t>코스피</t>
        </is>
      </c>
      <c r="D12415" s="2" t="inlineStr">
        <is>
          <t>005940</t>
        </is>
      </c>
      <c r="E12415" s="3" t="inlineStr">
        <is>
          <t>투자설명서(일괄신고)</t>
        </is>
      </c>
      <c r="F12415" s="3" t="inlineStr">
        <is>
          <t>NH투자증권</t>
        </is>
      </c>
      <c r="G12415" s="2" t="inlineStr">
        <is>
          <t>20260622000165</t>
        </is>
      </c>
      <c r="H12415" s="8">
        <f>HYPERLINK("https://dart.fss.or.kr/dsaf001/main.do?rcpNo=20260622000165", "공시열람")</f>
        <v/>
      </c>
    </row>
    <row r="12416">
      <c r="A12416" s="2" t="inlineStr">
        <is>
          <t>2026-06-22</t>
        </is>
      </c>
      <c r="B12416" s="3" t="inlineStr">
        <is>
          <t>NH투자증권</t>
        </is>
      </c>
      <c r="C12416" s="2" t="inlineStr">
        <is>
          <t>코스피</t>
        </is>
      </c>
      <c r="D12416" s="2" t="inlineStr">
        <is>
          <t>005940</t>
        </is>
      </c>
      <c r="E12416" s="3" t="inlineStr">
        <is>
          <t>투자설명서(일괄신고)</t>
        </is>
      </c>
      <c r="F12416" s="3" t="inlineStr">
        <is>
          <t>NH투자증권</t>
        </is>
      </c>
      <c r="G12416" s="2" t="inlineStr">
        <is>
          <t>20260622000163</t>
        </is>
      </c>
      <c r="H12416" s="8">
        <f>HYPERLINK("https://dart.fss.or.kr/dsaf001/main.do?rcpNo=20260622000163", "공시열람")</f>
        <v/>
      </c>
    </row>
    <row r="12417">
      <c r="A12417" s="2" t="inlineStr">
        <is>
          <t>2026-06-22</t>
        </is>
      </c>
      <c r="B12417" s="3" t="inlineStr">
        <is>
          <t>NH투자증권</t>
        </is>
      </c>
      <c r="C12417" s="2" t="inlineStr">
        <is>
          <t>코스피</t>
        </is>
      </c>
      <c r="D12417" s="2" t="inlineStr">
        <is>
          <t>005940</t>
        </is>
      </c>
      <c r="E12417" s="3" t="inlineStr">
        <is>
          <t>투자설명서(일괄신고)</t>
        </is>
      </c>
      <c r="F12417" s="3" t="inlineStr">
        <is>
          <t>NH투자증권</t>
        </is>
      </c>
      <c r="G12417" s="2" t="inlineStr">
        <is>
          <t>20260622000161</t>
        </is>
      </c>
      <c r="H12417" s="8">
        <f>HYPERLINK("https://dart.fss.or.kr/dsaf001/main.do?rcpNo=20260622000161", "공시열람")</f>
        <v/>
      </c>
    </row>
    <row r="12418">
      <c r="A12418" s="2" t="inlineStr">
        <is>
          <t>2026-06-22</t>
        </is>
      </c>
      <c r="B12418" s="3" t="inlineStr">
        <is>
          <t>NH투자증권</t>
        </is>
      </c>
      <c r="C12418" s="2" t="inlineStr">
        <is>
          <t>코스피</t>
        </is>
      </c>
      <c r="D12418" s="2" t="inlineStr">
        <is>
          <t>005940</t>
        </is>
      </c>
      <c r="E12418" s="3" t="inlineStr">
        <is>
          <t>투자설명서(일괄신고)</t>
        </is>
      </c>
      <c r="F12418" s="3" t="inlineStr">
        <is>
          <t>NH투자증권</t>
        </is>
      </c>
      <c r="G12418" s="2" t="inlineStr">
        <is>
          <t>20260622000160</t>
        </is>
      </c>
      <c r="H12418" s="8">
        <f>HYPERLINK("https://dart.fss.or.kr/dsaf001/main.do?rcpNo=20260622000160", "공시열람")</f>
        <v/>
      </c>
    </row>
    <row r="12419">
      <c r="A12419" s="2" t="inlineStr">
        <is>
          <t>2026-06-22</t>
        </is>
      </c>
      <c r="B12419" s="3" t="inlineStr">
        <is>
          <t>사조동아원</t>
        </is>
      </c>
      <c r="C12419" s="2" t="inlineStr">
        <is>
          <t>코스피</t>
        </is>
      </c>
      <c r="D12419" s="2" t="inlineStr">
        <is>
          <t>008040</t>
        </is>
      </c>
      <c r="E12419" s="3" t="inlineStr">
        <is>
          <t xml:space="preserve">주주명부폐쇄기간또는기준일설정              </t>
        </is>
      </c>
      <c r="F12419" s="3" t="inlineStr">
        <is>
          <t>사조동아원</t>
        </is>
      </c>
      <c r="G12419" s="2" t="inlineStr">
        <is>
          <t>20260622800382</t>
        </is>
      </c>
      <c r="H12419" s="8">
        <f>HYPERLINK("https://dart.fss.or.kr/dsaf001/main.do?rcpNo=20260622800382", "공시열람")</f>
        <v/>
      </c>
    </row>
    <row r="12420">
      <c r="A12420" s="2" t="inlineStr">
        <is>
          <t>2026-06-22</t>
        </is>
      </c>
      <c r="B12420" s="3" t="inlineStr">
        <is>
          <t>진도</t>
        </is>
      </c>
      <c r="C12420" s="2" t="inlineStr">
        <is>
          <t>코스피</t>
        </is>
      </c>
      <c r="D12420" s="2" t="inlineStr">
        <is>
          <t>088790</t>
        </is>
      </c>
      <c r="E12420" s="3" t="inlineStr">
        <is>
          <t xml:space="preserve">단기차입금증가결정              </t>
        </is>
      </c>
      <c r="F12420" s="3" t="inlineStr">
        <is>
          <t>진도</t>
        </is>
      </c>
      <c r="G12420" s="2" t="inlineStr">
        <is>
          <t>20260622800357</t>
        </is>
      </c>
      <c r="H12420" s="8">
        <f>HYPERLINK("https://dart.fss.or.kr/dsaf001/main.do?rcpNo=20260622800357", "공시열람")</f>
        <v/>
      </c>
    </row>
    <row r="12421">
      <c r="A12421" s="2" t="inlineStr">
        <is>
          <t>2026-06-22</t>
        </is>
      </c>
      <c r="B12421" s="3" t="inlineStr">
        <is>
          <t>NH투자증권</t>
        </is>
      </c>
      <c r="C12421" s="2" t="inlineStr">
        <is>
          <t>코스피</t>
        </is>
      </c>
      <c r="D12421" s="2" t="inlineStr">
        <is>
          <t>005940</t>
        </is>
      </c>
      <c r="E12421" s="3" t="inlineStr">
        <is>
          <t>증권발행실적보고서</t>
        </is>
      </c>
      <c r="F12421" s="3" t="inlineStr">
        <is>
          <t>NH투자증권</t>
        </is>
      </c>
      <c r="G12421" s="2" t="inlineStr">
        <is>
          <t>20260622000156</t>
        </is>
      </c>
      <c r="H12421" s="8">
        <f>HYPERLINK("https://dart.fss.or.kr/dsaf001/main.do?rcpNo=20260622000156", "공시열람")</f>
        <v/>
      </c>
    </row>
    <row r="12422">
      <c r="A12422" s="2" t="inlineStr">
        <is>
          <t>2026-06-22</t>
        </is>
      </c>
      <c r="B12422" s="3" t="inlineStr">
        <is>
          <t>케이지에이</t>
        </is>
      </c>
      <c r="C12422" s="2" t="inlineStr">
        <is>
          <t>코스닥</t>
        </is>
      </c>
      <c r="D12422" s="2" t="inlineStr">
        <is>
          <t>455180</t>
        </is>
      </c>
      <c r="E12422" s="3" t="inlineStr">
        <is>
          <t>유상증자최종발행가액확정              (제3자배정-소액공모)</t>
        </is>
      </c>
      <c r="F12422" s="3" t="inlineStr">
        <is>
          <t>케이지에이</t>
        </is>
      </c>
      <c r="G12422" s="2" t="inlineStr">
        <is>
          <t>20260622900370</t>
        </is>
      </c>
      <c r="H12422" s="8">
        <f>HYPERLINK("https://dart.fss.or.kr/dsaf001/main.do?rcpNo=20260622900370", "공시열람")</f>
        <v/>
      </c>
    </row>
    <row r="12423">
      <c r="A12423" s="2" t="inlineStr">
        <is>
          <t>2026-06-22</t>
        </is>
      </c>
      <c r="B12423" s="3" t="inlineStr">
        <is>
          <t>사조동아원</t>
        </is>
      </c>
      <c r="C12423" s="2" t="inlineStr">
        <is>
          <t>코스피</t>
        </is>
      </c>
      <c r="D12423" s="2" t="inlineStr">
        <is>
          <t>008040</t>
        </is>
      </c>
      <c r="E12423" s="3" t="inlineStr">
        <is>
          <t xml:space="preserve">주식병합결정              </t>
        </is>
      </c>
      <c r="F12423" s="3" t="inlineStr">
        <is>
          <t>사조동아원</t>
        </is>
      </c>
      <c r="G12423" s="2" t="inlineStr">
        <is>
          <t>20260622800362</t>
        </is>
      </c>
      <c r="H12423" s="8">
        <f>HYPERLINK("https://dart.fss.or.kr/dsaf001/main.do?rcpNo=20260622800362", "공시열람")</f>
        <v/>
      </c>
    </row>
    <row r="12424">
      <c r="A12424" s="2" t="inlineStr">
        <is>
          <t>2026-06-22</t>
        </is>
      </c>
      <c r="B12424" s="3" t="inlineStr">
        <is>
          <t>NH투자증권</t>
        </is>
      </c>
      <c r="C12424" s="2" t="inlineStr">
        <is>
          <t>코스피</t>
        </is>
      </c>
      <c r="D12424" s="2" t="inlineStr">
        <is>
          <t>005940</t>
        </is>
      </c>
      <c r="E12424" s="3" t="inlineStr">
        <is>
          <t>증권발행실적보고서</t>
        </is>
      </c>
      <c r="F12424" s="3" t="inlineStr">
        <is>
          <t>NH투자증권</t>
        </is>
      </c>
      <c r="G12424" s="2" t="inlineStr">
        <is>
          <t>20260622000153</t>
        </is>
      </c>
      <c r="H12424" s="8">
        <f>HYPERLINK("https://dart.fss.or.kr/dsaf001/main.do?rcpNo=20260622000153", "공시열람")</f>
        <v/>
      </c>
    </row>
    <row r="12425">
      <c r="A12425" s="2" t="inlineStr">
        <is>
          <t>2026-06-22</t>
        </is>
      </c>
      <c r="B12425" s="3" t="inlineStr">
        <is>
          <t>NH투자증권</t>
        </is>
      </c>
      <c r="C12425" s="2" t="inlineStr">
        <is>
          <t>코스피</t>
        </is>
      </c>
      <c r="D12425" s="2" t="inlineStr">
        <is>
          <t>005940</t>
        </is>
      </c>
      <c r="E12425" s="3" t="inlineStr">
        <is>
          <t>일괄신고추가서류(파생결합증권-주가연계증권)</t>
        </is>
      </c>
      <c r="F12425" s="3" t="inlineStr">
        <is>
          <t>NH투자증권</t>
        </is>
      </c>
      <c r="G12425" s="2" t="inlineStr">
        <is>
          <t>20260622000150</t>
        </is>
      </c>
      <c r="H12425" s="8">
        <f>HYPERLINK("https://dart.fss.or.kr/dsaf001/main.do?rcpNo=20260622000150", "공시열람")</f>
        <v/>
      </c>
    </row>
    <row r="12426">
      <c r="A12426" s="2" t="inlineStr">
        <is>
          <t>2026-06-22</t>
        </is>
      </c>
      <c r="B12426" s="3" t="inlineStr">
        <is>
          <t>오공</t>
        </is>
      </c>
      <c r="C12426" s="2" t="inlineStr">
        <is>
          <t>코스닥</t>
        </is>
      </c>
      <c r="D12426" s="2" t="inlineStr">
        <is>
          <t>045060</t>
        </is>
      </c>
      <c r="E12426" s="3" t="inlineStr">
        <is>
          <t xml:space="preserve">기업설명회(IR)개최              </t>
        </is>
      </c>
      <c r="F12426" s="3" t="inlineStr">
        <is>
          <t>오공</t>
        </is>
      </c>
      <c r="G12426" s="2" t="inlineStr">
        <is>
          <t>20260622900369</t>
        </is>
      </c>
      <c r="H12426" s="8">
        <f>HYPERLINK("https://dart.fss.or.kr/dsaf001/main.do?rcpNo=20260622900369", "공시열람")</f>
        <v/>
      </c>
    </row>
    <row r="12427">
      <c r="A12427" s="2" t="inlineStr">
        <is>
          <t>2026-06-22</t>
        </is>
      </c>
      <c r="B12427" s="3" t="inlineStr">
        <is>
          <t>미래에셋증권</t>
        </is>
      </c>
      <c r="C12427" s="2" t="inlineStr">
        <is>
          <t>코스피</t>
        </is>
      </c>
      <c r="D12427" s="2" t="inlineStr">
        <is>
          <t>006800</t>
        </is>
      </c>
      <c r="E12427" s="3" t="inlineStr">
        <is>
          <t>증권발행실적보고서</t>
        </is>
      </c>
      <c r="F12427" s="3" t="inlineStr">
        <is>
          <t>미래에셋증권</t>
        </is>
      </c>
      <c r="G12427" s="2" t="inlineStr">
        <is>
          <t>20260622000148</t>
        </is>
      </c>
      <c r="H12427" s="8">
        <f>HYPERLINK("https://dart.fss.or.kr/dsaf001/main.do?rcpNo=20260622000148", "공시열람")</f>
        <v/>
      </c>
    </row>
    <row r="12428">
      <c r="A12428" s="2" t="inlineStr">
        <is>
          <t>2026-06-22</t>
        </is>
      </c>
      <c r="B12428" s="3" t="inlineStr">
        <is>
          <t>엠앤씨솔루션</t>
        </is>
      </c>
      <c r="C12428" s="2" t="inlineStr">
        <is>
          <t>코스피</t>
        </is>
      </c>
      <c r="D12428" s="2" t="inlineStr">
        <is>
          <t>484870</t>
        </is>
      </c>
      <c r="E12428" s="3" t="inlineStr">
        <is>
          <t>[첨부정정]의결권대리행사권유참고서류</t>
        </is>
      </c>
      <c r="F12428" s="3" t="inlineStr">
        <is>
          <t>엠앤씨솔루션</t>
        </is>
      </c>
      <c r="G12428" s="2" t="inlineStr">
        <is>
          <t>20260622000147</t>
        </is>
      </c>
      <c r="H12428" s="8">
        <f>HYPERLINK("https://dart.fss.or.kr/dsaf001/main.do?rcpNo=20260622000147", "공시열람")</f>
        <v/>
      </c>
    </row>
    <row r="12429">
      <c r="A12429" s="2" t="inlineStr">
        <is>
          <t>2026-06-22</t>
        </is>
      </c>
      <c r="B12429" s="3" t="inlineStr">
        <is>
          <t>대신증권</t>
        </is>
      </c>
      <c r="C12429" s="2" t="inlineStr">
        <is>
          <t>코스피</t>
        </is>
      </c>
      <c r="D12429" s="2" t="inlineStr">
        <is>
          <t>003540</t>
        </is>
      </c>
      <c r="E12429" s="3" t="inlineStr">
        <is>
          <t>투자설명서(일괄신고)</t>
        </is>
      </c>
      <c r="F12429" s="3" t="inlineStr">
        <is>
          <t>대신증권</t>
        </is>
      </c>
      <c r="G12429" s="2" t="inlineStr">
        <is>
          <t>20260622000145</t>
        </is>
      </c>
      <c r="H12429" s="8">
        <f>HYPERLINK("https://dart.fss.or.kr/dsaf001/main.do?rcpNo=20260622000145", "공시열람")</f>
        <v/>
      </c>
    </row>
    <row r="12430">
      <c r="A12430" s="2" t="inlineStr">
        <is>
          <t>2026-06-22</t>
        </is>
      </c>
      <c r="B12430" s="3" t="inlineStr">
        <is>
          <t>유안타증권</t>
        </is>
      </c>
      <c r="C12430" s="2" t="inlineStr">
        <is>
          <t>코스피</t>
        </is>
      </c>
      <c r="D12430" s="2" t="inlineStr">
        <is>
          <t>003470</t>
        </is>
      </c>
      <c r="E12430" s="3" t="inlineStr">
        <is>
          <t>증권발행실적보고서</t>
        </is>
      </c>
      <c r="F12430" s="3" t="inlineStr">
        <is>
          <t>유안타증권</t>
        </is>
      </c>
      <c r="G12430" s="2" t="inlineStr">
        <is>
          <t>20260622000144</t>
        </is>
      </c>
      <c r="H12430" s="8">
        <f>HYPERLINK("https://dart.fss.or.kr/dsaf001/main.do?rcpNo=20260622000144", "공시열람")</f>
        <v/>
      </c>
    </row>
    <row r="12431">
      <c r="A12431" s="2" t="inlineStr">
        <is>
          <t>2026-06-22</t>
        </is>
      </c>
      <c r="B12431" s="3" t="inlineStr">
        <is>
          <t>이지트로닉스</t>
        </is>
      </c>
      <c r="C12431" s="2" t="inlineStr">
        <is>
          <t>코스닥</t>
        </is>
      </c>
      <c r="D12431" s="2" t="inlineStr">
        <is>
          <t>377330</t>
        </is>
      </c>
      <c r="E12431" s="3" t="inlineStr">
        <is>
          <t xml:space="preserve">대표이사변경              </t>
        </is>
      </c>
      <c r="F12431" s="3" t="inlineStr">
        <is>
          <t>이지트로닉스</t>
        </is>
      </c>
      <c r="G12431" s="2" t="inlineStr">
        <is>
          <t>20260622900344</t>
        </is>
      </c>
      <c r="H12431" s="8">
        <f>HYPERLINK("https://dart.fss.or.kr/dsaf001/main.do?rcpNo=20260622900344", "공시열람")</f>
        <v/>
      </c>
    </row>
    <row r="12432">
      <c r="A12432" s="2" t="inlineStr">
        <is>
          <t>2026-06-22 (정정: 2026-06-23)</t>
        </is>
      </c>
      <c r="B12432" s="3" t="inlineStr">
        <is>
          <t>원텍</t>
        </is>
      </c>
      <c r="C12432" s="2" t="inlineStr">
        <is>
          <t>코스닥</t>
        </is>
      </c>
      <c r="D12432" s="2" t="inlineStr">
        <is>
          <t>336570</t>
        </is>
      </c>
      <c r="E12432" s="3" t="inlineStr">
        <is>
          <t>임원ㆍ주요주주특정증권등소유상황보고서 (정정: 20260623) (정정: 20260623)</t>
        </is>
      </c>
      <c r="F12432" s="3" t="inlineStr">
        <is>
          <t>김종원</t>
        </is>
      </c>
      <c r="G12432" s="2" t="inlineStr">
        <is>
          <t>20260623900296</t>
        </is>
      </c>
      <c r="H12432" s="8">
        <f>HYPERLINK("https://dart.fss.or.kr/dsaf001/main.do?rcpNo=20260623900296", "공시열람")</f>
        <v/>
      </c>
    </row>
    <row r="12433">
      <c r="A12433" s="2" t="inlineStr">
        <is>
          <t>2026-06-22</t>
        </is>
      </c>
      <c r="B12433" s="3" t="inlineStr">
        <is>
          <t>미래에셋비전스팩6호</t>
        </is>
      </c>
      <c r="C12433" s="2" t="inlineStr">
        <is>
          <t>코스닥</t>
        </is>
      </c>
      <c r="D12433" s="2" t="inlineStr">
        <is>
          <t>478440</t>
        </is>
      </c>
      <c r="E12433" s="3" t="inlineStr">
        <is>
          <t xml:space="preserve">기업인수목적회사의예치ㆍ신탁계약내용변경              </t>
        </is>
      </c>
      <c r="F12433" s="3" t="inlineStr">
        <is>
          <t>미래에셋비전스팩6호</t>
        </is>
      </c>
      <c r="G12433" s="2" t="inlineStr">
        <is>
          <t>20260622900351</t>
        </is>
      </c>
      <c r="H12433" s="8">
        <f>HYPERLINK("https://dart.fss.or.kr/dsaf001/main.do?rcpNo=20260622900351", "공시열람")</f>
        <v/>
      </c>
    </row>
    <row r="12434">
      <c r="A12434" s="2" t="inlineStr">
        <is>
          <t>2026-06-22</t>
        </is>
      </c>
      <c r="B12434" s="3" t="inlineStr">
        <is>
          <t>엘엠에스</t>
        </is>
      </c>
      <c r="C12434" s="2" t="inlineStr">
        <is>
          <t>코스닥</t>
        </is>
      </c>
      <c r="D12434" s="2" t="inlineStr">
        <is>
          <t>073110</t>
        </is>
      </c>
      <c r="E12434" s="3" t="inlineStr">
        <is>
          <t xml:space="preserve">주주명부폐쇄기간또는기준일설정              </t>
        </is>
      </c>
      <c r="F12434" s="3" t="inlineStr">
        <is>
          <t>엘엠에스</t>
        </is>
      </c>
      <c r="G12434" s="2" t="inlineStr">
        <is>
          <t>20260622900354</t>
        </is>
      </c>
      <c r="H12434" s="8">
        <f>HYPERLINK("https://dart.fss.or.kr/dsaf001/main.do?rcpNo=20260622900354", "공시열람")</f>
        <v/>
      </c>
    </row>
    <row r="12435">
      <c r="A12435" s="2" t="inlineStr">
        <is>
          <t>2026-06-22</t>
        </is>
      </c>
      <c r="B12435" s="3" t="inlineStr">
        <is>
          <t>엠앤씨솔루션</t>
        </is>
      </c>
      <c r="C12435" s="2" t="inlineStr">
        <is>
          <t>코스피</t>
        </is>
      </c>
      <c r="D12435" s="2" t="inlineStr">
        <is>
          <t>484870</t>
        </is>
      </c>
      <c r="E12435" s="3" t="inlineStr">
        <is>
          <t>[기재정정]의결권대리행사권유참고서류</t>
        </is>
      </c>
      <c r="F12435" s="3" t="inlineStr">
        <is>
          <t>엠앤씨솔루션</t>
        </is>
      </c>
      <c r="G12435" s="2" t="inlineStr">
        <is>
          <t>20260622000140</t>
        </is>
      </c>
      <c r="H12435" s="8">
        <f>HYPERLINK("https://dart.fss.or.kr/dsaf001/main.do?rcpNo=20260622000140", "공시열람")</f>
        <v/>
      </c>
    </row>
    <row r="12436">
      <c r="A12436" s="2" t="inlineStr">
        <is>
          <t>2026-06-22</t>
        </is>
      </c>
      <c r="B12436" s="3" t="inlineStr">
        <is>
          <t>동원수산</t>
        </is>
      </c>
      <c r="C12436" s="2" t="inlineStr">
        <is>
          <t>코스피</t>
        </is>
      </c>
      <c r="D12436" s="2" t="inlineStr">
        <is>
          <t>030720</t>
        </is>
      </c>
      <c r="E12436" s="3" t="inlineStr">
        <is>
          <t>임원ㆍ주요주주특정증권등거래계획보고서</t>
        </is>
      </c>
      <c r="F12436" s="3" t="inlineStr">
        <is>
          <t>왕기철</t>
        </is>
      </c>
      <c r="G12436" s="2" t="inlineStr">
        <is>
          <t>20260622000136</t>
        </is>
      </c>
      <c r="H12436" s="8">
        <f>HYPERLINK("https://dart.fss.or.kr/dsaf001/main.do?rcpNo=20260622000136", "공시열람")</f>
        <v/>
      </c>
    </row>
    <row r="12437">
      <c r="A12437" s="2" t="inlineStr">
        <is>
          <t>2026-06-22 (정정: 2026-06-22)</t>
        </is>
      </c>
      <c r="B12437" s="3" t="inlineStr">
        <is>
          <t>교보증권</t>
        </is>
      </c>
      <c r="C12437" s="2" t="inlineStr">
        <is>
          <t>코스피</t>
        </is>
      </c>
      <c r="D12437" s="2" t="inlineStr">
        <is>
          <t>030610</t>
        </is>
      </c>
      <c r="E12437" s="3" t="inlineStr">
        <is>
          <t>증권발행실적보고서 (정정: 20260622)</t>
        </is>
      </c>
      <c r="F12437" s="3" t="inlineStr">
        <is>
          <t>교보증권</t>
        </is>
      </c>
      <c r="G12437" s="2" t="inlineStr">
        <is>
          <t>20260622000122</t>
        </is>
      </c>
      <c r="H12437" s="8">
        <f>HYPERLINK("https://dart.fss.or.kr/dsaf001/main.do?rcpNo=20260622000122", "공시열람")</f>
        <v/>
      </c>
    </row>
    <row r="12438">
      <c r="A12438" s="2" t="inlineStr">
        <is>
          <t>2026-06-22</t>
        </is>
      </c>
      <c r="B12438" s="3" t="inlineStr">
        <is>
          <t>에스케이바이오팜</t>
        </is>
      </c>
      <c r="C12438" s="2" t="inlineStr">
        <is>
          <t>코스피</t>
        </is>
      </c>
      <c r="D12438" s="2" t="inlineStr">
        <is>
          <t>326030</t>
        </is>
      </c>
      <c r="E12438" s="3" t="inlineStr">
        <is>
          <t>투자판단관련주요경영사항              (Insilico Medicine과의 공동연구개발 파트너십 계약 체결)</t>
        </is>
      </c>
      <c r="F12438" s="3" t="inlineStr">
        <is>
          <t>에스케이바이오팜</t>
        </is>
      </c>
      <c r="G12438" s="2" t="inlineStr">
        <is>
          <t>20260622800341</t>
        </is>
      </c>
      <c r="H12438" s="8">
        <f>HYPERLINK("https://dart.fss.or.kr/dsaf001/main.do?rcpNo=20260622800341", "공시열람")</f>
        <v/>
      </c>
    </row>
    <row r="12439">
      <c r="A12439" s="2" t="inlineStr">
        <is>
          <t>2026-06-22</t>
        </is>
      </c>
      <c r="B12439" s="3" t="inlineStr">
        <is>
          <t>엠앤씨솔루션</t>
        </is>
      </c>
      <c r="C12439" s="2" t="inlineStr">
        <is>
          <t>코스피</t>
        </is>
      </c>
      <c r="D12439" s="2" t="inlineStr">
        <is>
          <t>484870</t>
        </is>
      </c>
      <c r="E12439" s="3" t="inlineStr">
        <is>
          <t xml:space="preserve">[기재정정]주주명부폐쇄기간또는기준일설정              </t>
        </is>
      </c>
      <c r="F12439" s="3" t="inlineStr">
        <is>
          <t>엠앤씨솔루션</t>
        </is>
      </c>
      <c r="G12439" s="2" t="inlineStr">
        <is>
          <t>20260622800337</t>
        </is>
      </c>
      <c r="H12439" s="8">
        <f>HYPERLINK("https://dart.fss.or.kr/dsaf001/main.do?rcpNo=20260622800337", "공시열람")</f>
        <v/>
      </c>
    </row>
    <row r="12440">
      <c r="A12440" s="2" t="inlineStr">
        <is>
          <t>2026-06-22</t>
        </is>
      </c>
      <c r="B12440" s="3" t="inlineStr">
        <is>
          <t>교보증권</t>
        </is>
      </c>
      <c r="C12440" s="2" t="inlineStr">
        <is>
          <t>코스피</t>
        </is>
      </c>
      <c r="D12440" s="2" t="inlineStr">
        <is>
          <t>030610</t>
        </is>
      </c>
      <c r="E12440" s="3" t="inlineStr">
        <is>
          <t>증권발행실적보고서</t>
        </is>
      </c>
      <c r="F12440" s="3" t="inlineStr">
        <is>
          <t>교보증권</t>
        </is>
      </c>
      <c r="G12440" s="2" t="inlineStr">
        <is>
          <t>20260622000132</t>
        </is>
      </c>
      <c r="H12440" s="8">
        <f>HYPERLINK("https://dart.fss.or.kr/dsaf001/main.do?rcpNo=20260622000132", "공시열람")</f>
        <v/>
      </c>
    </row>
    <row r="12441">
      <c r="A12441" s="2" t="inlineStr">
        <is>
          <t>2026-06-22</t>
        </is>
      </c>
      <c r="B12441" s="3" t="inlineStr">
        <is>
          <t>교보증권</t>
        </is>
      </c>
      <c r="C12441" s="2" t="inlineStr">
        <is>
          <t>코스피</t>
        </is>
      </c>
      <c r="D12441" s="2" t="inlineStr">
        <is>
          <t>030610</t>
        </is>
      </c>
      <c r="E12441" s="3" t="inlineStr">
        <is>
          <t>증권발행실적보고서</t>
        </is>
      </c>
      <c r="F12441" s="3" t="inlineStr">
        <is>
          <t>교보증권</t>
        </is>
      </c>
      <c r="G12441" s="2" t="inlineStr">
        <is>
          <t>20260622000129</t>
        </is>
      </c>
      <c r="H12441" s="8">
        <f>HYPERLINK("https://dart.fss.or.kr/dsaf001/main.do?rcpNo=20260622000129", "공시열람")</f>
        <v/>
      </c>
    </row>
    <row r="12442">
      <c r="A12442" s="2" t="inlineStr">
        <is>
          <t>2026-06-22</t>
        </is>
      </c>
      <c r="B12442" s="3" t="inlineStr">
        <is>
          <t>동원수산</t>
        </is>
      </c>
      <c r="C12442" s="2" t="inlineStr">
        <is>
          <t>코스피</t>
        </is>
      </c>
      <c r="D12442" s="2" t="inlineStr">
        <is>
          <t>030720</t>
        </is>
      </c>
      <c r="E12442" s="3" t="inlineStr">
        <is>
          <t>임원ㆍ주요주주특정증권등거래계획보고서</t>
        </is>
      </c>
      <c r="F12442" s="3" t="inlineStr">
        <is>
          <t>WANG JR KI YONG</t>
        </is>
      </c>
      <c r="G12442" s="2" t="inlineStr">
        <is>
          <t>20260622000124</t>
        </is>
      </c>
      <c r="H12442" s="8">
        <f>HYPERLINK("https://dart.fss.or.kr/dsaf001/main.do?rcpNo=20260622000124", "공시열람")</f>
        <v/>
      </c>
    </row>
    <row r="12443">
      <c r="A12443" s="2" t="inlineStr">
        <is>
          <t>2026-06-22</t>
        </is>
      </c>
      <c r="B12443" s="3" t="inlineStr">
        <is>
          <t>교보증권</t>
        </is>
      </c>
      <c r="C12443" s="2" t="inlineStr">
        <is>
          <t>코스피</t>
        </is>
      </c>
      <c r="D12443" s="2" t="inlineStr">
        <is>
          <t>030610</t>
        </is>
      </c>
      <c r="E12443" s="3" t="inlineStr">
        <is>
          <t>투자설명서(일괄신고)</t>
        </is>
      </c>
      <c r="F12443" s="3" t="inlineStr">
        <is>
          <t>교보증권</t>
        </is>
      </c>
      <c r="G12443" s="2" t="inlineStr">
        <is>
          <t>20260622000123</t>
        </is>
      </c>
      <c r="H12443" s="8">
        <f>HYPERLINK("https://dart.fss.or.kr/dsaf001/main.do?rcpNo=20260622000123", "공시열람")</f>
        <v/>
      </c>
    </row>
    <row r="12444">
      <c r="A12444" s="2" t="inlineStr">
        <is>
          <t>2026-06-22</t>
        </is>
      </c>
      <c r="B12444" s="3" t="inlineStr">
        <is>
          <t>대신증권</t>
        </is>
      </c>
      <c r="C12444" s="2" t="inlineStr">
        <is>
          <t>코스피</t>
        </is>
      </c>
      <c r="D12444" s="2" t="inlineStr">
        <is>
          <t>003540</t>
        </is>
      </c>
      <c r="E12444" s="3" t="inlineStr">
        <is>
          <t>일괄신고추가서류(기타파생결합사채)</t>
        </is>
      </c>
      <c r="F12444" s="3" t="inlineStr">
        <is>
          <t>대신증권</t>
        </is>
      </c>
      <c r="G12444" s="2" t="inlineStr">
        <is>
          <t>20260622000118</t>
        </is>
      </c>
      <c r="H12444" s="8">
        <f>HYPERLINK("https://dart.fss.or.kr/dsaf001/main.do?rcpNo=20260622000118", "공시열람")</f>
        <v/>
      </c>
    </row>
    <row r="12445">
      <c r="A12445" s="2" t="inlineStr">
        <is>
          <t>2026-06-22</t>
        </is>
      </c>
      <c r="B12445" s="3" t="inlineStr">
        <is>
          <t>아바코</t>
        </is>
      </c>
      <c r="C12445" s="2" t="inlineStr">
        <is>
          <t>코스닥</t>
        </is>
      </c>
      <c r="D12445" s="2" t="inlineStr">
        <is>
          <t>083930</t>
        </is>
      </c>
      <c r="E12445" s="3" t="inlineStr">
        <is>
          <t xml:space="preserve">기업설명회(IR)개최              </t>
        </is>
      </c>
      <c r="F12445" s="3" t="inlineStr">
        <is>
          <t>아바코</t>
        </is>
      </c>
      <c r="G12445" s="2" t="inlineStr">
        <is>
          <t>20260622900317</t>
        </is>
      </c>
      <c r="H12445" s="8">
        <f>HYPERLINK("https://dart.fss.or.kr/dsaf001/main.do?rcpNo=20260622900317", "공시열람")</f>
        <v/>
      </c>
    </row>
    <row r="12446">
      <c r="A12446" s="2" t="inlineStr">
        <is>
          <t>2026-06-22</t>
        </is>
      </c>
      <c r="B12446" s="3" t="inlineStr">
        <is>
          <t>미래에셋증권</t>
        </is>
      </c>
      <c r="C12446" s="2" t="inlineStr">
        <is>
          <t>코스피</t>
        </is>
      </c>
      <c r="D12446" s="2" t="inlineStr">
        <is>
          <t>006800</t>
        </is>
      </c>
      <c r="E12446" s="3" t="inlineStr">
        <is>
          <t>임원ㆍ주요주주특정증권등소유상황보고서</t>
        </is>
      </c>
      <c r="F12446" s="3" t="inlineStr">
        <is>
          <t>Sweemer Jonathan Robert</t>
        </is>
      </c>
      <c r="G12446" s="2" t="inlineStr">
        <is>
          <t>20260622000115</t>
        </is>
      </c>
      <c r="H12446" s="8">
        <f>HYPERLINK("https://dart.fss.or.kr/dsaf001/main.do?rcpNo=20260622000115", "공시열람")</f>
        <v/>
      </c>
    </row>
    <row r="12447">
      <c r="A12447" s="2" t="inlineStr">
        <is>
          <t>2026-06-22</t>
        </is>
      </c>
      <c r="B12447" s="3" t="inlineStr">
        <is>
          <t>NH투자증권</t>
        </is>
      </c>
      <c r="C12447" s="2" t="inlineStr">
        <is>
          <t>코스피</t>
        </is>
      </c>
      <c r="D12447" s="2" t="inlineStr">
        <is>
          <t>005940</t>
        </is>
      </c>
      <c r="E12447" s="3" t="inlineStr">
        <is>
          <t>일괄신고추가서류(파생결합증권-주가연계증권)</t>
        </is>
      </c>
      <c r="F12447" s="3" t="inlineStr">
        <is>
          <t>NH투자증권</t>
        </is>
      </c>
      <c r="G12447" s="2" t="inlineStr">
        <is>
          <t>20260622000112</t>
        </is>
      </c>
      <c r="H12447" s="8">
        <f>HYPERLINK("https://dart.fss.or.kr/dsaf001/main.do?rcpNo=20260622000112", "공시열람")</f>
        <v/>
      </c>
    </row>
    <row r="12448">
      <c r="A12448" s="2" t="inlineStr">
        <is>
          <t>2026-06-22</t>
        </is>
      </c>
      <c r="B12448" s="3" t="inlineStr">
        <is>
          <t>대림통상</t>
        </is>
      </c>
      <c r="C12448" s="2" t="inlineStr">
        <is>
          <t>코스피</t>
        </is>
      </c>
      <c r="D12448" s="2" t="inlineStr">
        <is>
          <t>006570</t>
        </is>
      </c>
      <c r="E12448" s="3" t="inlineStr">
        <is>
          <t>임원ㆍ주요주주특정증권등소유상황보고서</t>
        </is>
      </c>
      <c r="F12448" s="3" t="inlineStr">
        <is>
          <t>디앤디파트너스</t>
        </is>
      </c>
      <c r="G12448" s="2" t="inlineStr">
        <is>
          <t>20260622000111</t>
        </is>
      </c>
      <c r="H12448" s="8">
        <f>HYPERLINK("https://dart.fss.or.kr/dsaf001/main.do?rcpNo=20260622000111", "공시열람")</f>
        <v/>
      </c>
    </row>
    <row r="12449">
      <c r="A12449" s="2" t="inlineStr">
        <is>
          <t>2026-06-22</t>
        </is>
      </c>
      <c r="B12449" s="3" t="inlineStr">
        <is>
          <t>미래에셋증권</t>
        </is>
      </c>
      <c r="C12449" s="2" t="inlineStr">
        <is>
          <t>코스피</t>
        </is>
      </c>
      <c r="D12449" s="2" t="inlineStr">
        <is>
          <t>006800</t>
        </is>
      </c>
      <c r="E12449" s="3" t="inlineStr">
        <is>
          <t>투자설명서(일괄신고)</t>
        </is>
      </c>
      <c r="F12449" s="3" t="inlineStr">
        <is>
          <t>미래에셋증권</t>
        </is>
      </c>
      <c r="G12449" s="2" t="inlineStr">
        <is>
          <t>20260622000105</t>
        </is>
      </c>
      <c r="H12449" s="8">
        <f>HYPERLINK("https://dart.fss.or.kr/dsaf001/main.do?rcpNo=20260622000105", "공시열람")</f>
        <v/>
      </c>
    </row>
    <row r="12450">
      <c r="A12450" s="2" t="inlineStr">
        <is>
          <t>2026-06-22</t>
        </is>
      </c>
      <c r="B12450" s="3" t="inlineStr">
        <is>
          <t>휴럼</t>
        </is>
      </c>
      <c r="C12450" s="2" t="inlineStr">
        <is>
          <t>코스닥</t>
        </is>
      </c>
      <c r="D12450" s="2" t="inlineStr">
        <is>
          <t>353190</t>
        </is>
      </c>
      <c r="E12450" s="3" t="inlineStr">
        <is>
          <t>임원ㆍ주요주주특정증권등소유상황보고서</t>
        </is>
      </c>
      <c r="F12450" s="3" t="inlineStr">
        <is>
          <t>김진석</t>
        </is>
      </c>
      <c r="G12450" s="2" t="inlineStr">
        <is>
          <t>20260622000103</t>
        </is>
      </c>
      <c r="H12450" s="8">
        <f>HYPERLINK("https://dart.fss.or.kr/dsaf001/main.do?rcpNo=20260622000103", "공시열람")</f>
        <v/>
      </c>
    </row>
    <row r="12451">
      <c r="A12451" s="2" t="inlineStr">
        <is>
          <t>2026-06-22</t>
        </is>
      </c>
      <c r="B12451" s="3" t="inlineStr">
        <is>
          <t>노을</t>
        </is>
      </c>
      <c r="C12451" s="2" t="inlineStr">
        <is>
          <t>코스닥</t>
        </is>
      </c>
      <c r="D12451" s="2" t="inlineStr">
        <is>
          <t>376930</t>
        </is>
      </c>
      <c r="E12451" s="3" t="inlineStr">
        <is>
          <t>임원ㆍ주요주주특정증권등소유상황보고서</t>
        </is>
      </c>
      <c r="F12451" s="3" t="inlineStr">
        <is>
          <t>안정권</t>
        </is>
      </c>
      <c r="G12451" s="2" t="inlineStr">
        <is>
          <t>20260622000101</t>
        </is>
      </c>
      <c r="H12451" s="8">
        <f>HYPERLINK("https://dart.fss.or.kr/dsaf001/main.do?rcpNo=20260622000101", "공시열람")</f>
        <v/>
      </c>
    </row>
    <row r="12452">
      <c r="A12452" s="2" t="inlineStr">
        <is>
          <t>2026-06-22</t>
        </is>
      </c>
      <c r="B12452" s="3" t="inlineStr">
        <is>
          <t>HD현대일렉트릭</t>
        </is>
      </c>
      <c r="C12452" s="2" t="inlineStr">
        <is>
          <t>코스피</t>
        </is>
      </c>
      <c r="D12452" s="2" t="inlineStr">
        <is>
          <t>267260</t>
        </is>
      </c>
      <c r="E12452" s="3" t="inlineStr">
        <is>
          <t>사외이사의선임ㆍ해임또는중도퇴임에관한신고</t>
        </is>
      </c>
      <c r="F12452" s="3" t="inlineStr">
        <is>
          <t>HD현대일렉트릭</t>
        </is>
      </c>
      <c r="G12452" s="2" t="inlineStr">
        <is>
          <t>20260622000098</t>
        </is>
      </c>
      <c r="H12452" s="8">
        <f>HYPERLINK("https://dart.fss.or.kr/dsaf001/main.do?rcpNo=20260622000098", "공시열람")</f>
        <v/>
      </c>
    </row>
    <row r="12453">
      <c r="A12453" s="2" t="inlineStr">
        <is>
          <t>2026-06-22</t>
        </is>
      </c>
      <c r="B12453" s="3" t="inlineStr">
        <is>
          <t>이지트로닉스</t>
        </is>
      </c>
      <c r="C12453" s="2" t="inlineStr">
        <is>
          <t>코스닥</t>
        </is>
      </c>
      <c r="D12453" s="2" t="inlineStr">
        <is>
          <t>377330</t>
        </is>
      </c>
      <c r="E12453" s="3" t="inlineStr">
        <is>
          <t>사외이사의선임ㆍ해임또는중도퇴임에관한신고</t>
        </is>
      </c>
      <c r="F12453" s="3" t="inlineStr">
        <is>
          <t>이지트로닉스</t>
        </is>
      </c>
      <c r="G12453" s="2" t="inlineStr">
        <is>
          <t>20260622000097</t>
        </is>
      </c>
      <c r="H12453" s="8">
        <f>HYPERLINK("https://dart.fss.or.kr/dsaf001/main.do?rcpNo=20260622000097", "공시열람")</f>
        <v/>
      </c>
    </row>
    <row r="12454">
      <c r="A12454" s="2" t="inlineStr">
        <is>
          <t>2026-06-22</t>
        </is>
      </c>
      <c r="B12454" s="3" t="inlineStr">
        <is>
          <t>인터엠</t>
        </is>
      </c>
      <c r="C12454" s="2" t="inlineStr">
        <is>
          <t>코스닥</t>
        </is>
      </c>
      <c r="D12454" s="2" t="inlineStr">
        <is>
          <t>017250</t>
        </is>
      </c>
      <c r="E12454" s="3" t="inlineStr">
        <is>
          <t>자기주식취득결과보고서</t>
        </is>
      </c>
      <c r="F12454" s="3" t="inlineStr">
        <is>
          <t>인터엠</t>
        </is>
      </c>
      <c r="G12454" s="2" t="inlineStr">
        <is>
          <t>20260622000094</t>
        </is>
      </c>
      <c r="H12454" s="8">
        <f>HYPERLINK("https://dart.fss.or.kr/dsaf001/main.do?rcpNo=20260622000094", "공시열람")</f>
        <v/>
      </c>
    </row>
    <row r="12455">
      <c r="A12455" s="2" t="inlineStr">
        <is>
          <t>2026-06-22</t>
        </is>
      </c>
      <c r="B12455" s="3" t="inlineStr">
        <is>
          <t>원텍</t>
        </is>
      </c>
      <c r="C12455" s="2" t="inlineStr">
        <is>
          <t>코스닥</t>
        </is>
      </c>
      <c r="D12455" s="2" t="inlineStr">
        <is>
          <t>336570</t>
        </is>
      </c>
      <c r="E12455" s="3" t="inlineStr">
        <is>
          <t xml:space="preserve">주주명부폐쇄기간또는기준일설정              </t>
        </is>
      </c>
      <c r="F12455" s="3" t="inlineStr">
        <is>
          <t>원텍</t>
        </is>
      </c>
      <c r="G12455" s="2" t="inlineStr">
        <is>
          <t>20260622900286</t>
        </is>
      </c>
      <c r="H12455" s="8">
        <f>HYPERLINK("https://dart.fss.or.kr/dsaf001/main.do?rcpNo=20260622900286", "공시열람")</f>
        <v/>
      </c>
    </row>
    <row r="12456">
      <c r="A12456" s="2" t="inlineStr">
        <is>
          <t>2026-06-22</t>
        </is>
      </c>
      <c r="B12456" s="3" t="inlineStr">
        <is>
          <t>대동고려삼</t>
        </is>
      </c>
      <c r="C12456" s="2" t="inlineStr">
        <is>
          <t>코넥스</t>
        </is>
      </c>
      <c r="D12456" s="2" t="inlineStr">
        <is>
          <t>178600</t>
        </is>
      </c>
      <c r="E12456" s="3" t="inlineStr">
        <is>
          <t xml:space="preserve">현금ㆍ현물배당을위한주주명부폐쇄(기준일)결정              </t>
        </is>
      </c>
      <c r="F12456" s="3" t="inlineStr">
        <is>
          <t>대동고려삼</t>
        </is>
      </c>
      <c r="G12456" s="2" t="inlineStr">
        <is>
          <t>20260622600266</t>
        </is>
      </c>
      <c r="H12456" s="8">
        <f>HYPERLINK("https://dart.fss.or.kr/dsaf001/main.do?rcpNo=20260622600266", "공시열람")</f>
        <v/>
      </c>
    </row>
    <row r="12457">
      <c r="A12457" s="2" t="inlineStr">
        <is>
          <t>2026-06-22</t>
        </is>
      </c>
      <c r="B12457" s="3" t="inlineStr">
        <is>
          <t>대동고려삼</t>
        </is>
      </c>
      <c r="C12457" s="2" t="inlineStr">
        <is>
          <t>코넥스</t>
        </is>
      </c>
      <c r="D12457" s="2" t="inlineStr">
        <is>
          <t>178600</t>
        </is>
      </c>
      <c r="E12457" s="3" t="inlineStr">
        <is>
          <t xml:space="preserve">주주명부폐쇄기간또는기준일설정              </t>
        </is>
      </c>
      <c r="F12457" s="3" t="inlineStr">
        <is>
          <t>대동고려삼</t>
        </is>
      </c>
      <c r="G12457" s="2" t="inlineStr">
        <is>
          <t>20260622600265</t>
        </is>
      </c>
      <c r="H12457" s="8">
        <f>HYPERLINK("https://dart.fss.or.kr/dsaf001/main.do?rcpNo=20260622600265", "공시열람")</f>
        <v/>
      </c>
    </row>
    <row r="12458">
      <c r="A12458" s="2" t="inlineStr">
        <is>
          <t>2026-06-22</t>
        </is>
      </c>
      <c r="B12458" s="3" t="inlineStr">
        <is>
          <t>신성이엔지</t>
        </is>
      </c>
      <c r="C12458" s="2" t="inlineStr">
        <is>
          <t>코스피</t>
        </is>
      </c>
      <c r="D12458" s="2" t="inlineStr">
        <is>
          <t>011930</t>
        </is>
      </c>
      <c r="E12458" s="3" t="inlineStr">
        <is>
          <t>임원ㆍ주요주주특정증권등소유상황보고서</t>
        </is>
      </c>
      <c r="F12458" s="3" t="inlineStr">
        <is>
          <t>이지선</t>
        </is>
      </c>
      <c r="G12458" s="2" t="inlineStr">
        <is>
          <t>20260622000090</t>
        </is>
      </c>
      <c r="H12458" s="8">
        <f>HYPERLINK("https://dart.fss.or.kr/dsaf001/main.do?rcpNo=20260622000090", "공시열람")</f>
        <v/>
      </c>
    </row>
    <row r="12459">
      <c r="A12459" s="2" t="inlineStr">
        <is>
          <t>2026-06-22</t>
        </is>
      </c>
      <c r="B12459" s="3" t="inlineStr">
        <is>
          <t>태광산업</t>
        </is>
      </c>
      <c r="C12459" s="2" t="inlineStr">
        <is>
          <t>코스피</t>
        </is>
      </c>
      <c r="D12459" s="2" t="inlineStr">
        <is>
          <t>003240</t>
        </is>
      </c>
      <c r="E12459" s="3" t="inlineStr">
        <is>
          <t xml:space="preserve">풍문또는보도에대한해명              </t>
        </is>
      </c>
      <c r="F12459" s="3" t="inlineStr">
        <is>
          <t>태광산업</t>
        </is>
      </c>
      <c r="G12459" s="2" t="inlineStr">
        <is>
          <t>20260622800276</t>
        </is>
      </c>
      <c r="H12459" s="8">
        <f>HYPERLINK("https://dart.fss.or.kr/dsaf001/main.do?rcpNo=20260622800276", "공시열람")</f>
        <v/>
      </c>
    </row>
    <row r="12460">
      <c r="A12460" s="2" t="inlineStr">
        <is>
          <t>2026-06-22</t>
        </is>
      </c>
      <c r="B12460" s="3" t="inlineStr">
        <is>
          <t>대동기어</t>
        </is>
      </c>
      <c r="C12460" s="2" t="inlineStr">
        <is>
          <t>코스닥</t>
        </is>
      </c>
      <c r="D12460" s="2" t="inlineStr">
        <is>
          <t>008830</t>
        </is>
      </c>
      <c r="E12460" s="3" t="inlineStr">
        <is>
          <t xml:space="preserve">조회공시요구(현저한시황변동)에대한답변(중요정보없음)              </t>
        </is>
      </c>
      <c r="F12460" s="3" t="inlineStr">
        <is>
          <t>대동기어</t>
        </is>
      </c>
      <c r="G12460" s="2" t="inlineStr">
        <is>
          <t>20260622900274</t>
        </is>
      </c>
      <c r="H12460" s="8">
        <f>HYPERLINK("https://dart.fss.or.kr/dsaf001/main.do?rcpNo=20260622900274", "공시열람")</f>
        <v/>
      </c>
    </row>
    <row r="12461">
      <c r="A12461" s="2" t="inlineStr">
        <is>
          <t>2026-06-22</t>
        </is>
      </c>
      <c r="B12461" s="3" t="inlineStr">
        <is>
          <t>미래에셋증권</t>
        </is>
      </c>
      <c r="C12461" s="2" t="inlineStr">
        <is>
          <t>코스피</t>
        </is>
      </c>
      <c r="D12461" s="2" t="inlineStr">
        <is>
          <t>006800</t>
        </is>
      </c>
      <c r="E12461" s="3" t="inlineStr">
        <is>
          <t>일괄신고추가서류(파생결합증권-주가연계증권)</t>
        </is>
      </c>
      <c r="F12461" s="3" t="inlineStr">
        <is>
          <t>미래에셋증권</t>
        </is>
      </c>
      <c r="G12461" s="2" t="inlineStr">
        <is>
          <t>20260622000083</t>
        </is>
      </c>
      <c r="H12461" s="8">
        <f>HYPERLINK("https://dart.fss.or.kr/dsaf001/main.do?rcpNo=20260622000083", "공시열람")</f>
        <v/>
      </c>
    </row>
    <row r="12462">
      <c r="A12462" s="2" t="inlineStr">
        <is>
          <t>2026-06-22</t>
        </is>
      </c>
      <c r="B12462" s="3" t="inlineStr">
        <is>
          <t>LG</t>
        </is>
      </c>
      <c r="C12462" s="2" t="inlineStr">
        <is>
          <t>코스피</t>
        </is>
      </c>
      <c r="D12462" s="2" t="inlineStr">
        <is>
          <t>003550</t>
        </is>
      </c>
      <c r="E12462" s="3" t="inlineStr">
        <is>
          <t xml:space="preserve">기업설명회(IR)개최(안내공시)              </t>
        </is>
      </c>
      <c r="F12462" s="3" t="inlineStr">
        <is>
          <t>LG</t>
        </is>
      </c>
      <c r="G12462" s="2" t="inlineStr">
        <is>
          <t>20260622800268</t>
        </is>
      </c>
      <c r="H12462" s="8">
        <f>HYPERLINK("https://dart.fss.or.kr/dsaf001/main.do?rcpNo=20260622800268", "공시열람")</f>
        <v/>
      </c>
    </row>
    <row r="12463">
      <c r="A12463" s="2" t="inlineStr">
        <is>
          <t>2026-06-22</t>
        </is>
      </c>
      <c r="B12463" s="3" t="inlineStr">
        <is>
          <t>콘텐트리중앙</t>
        </is>
      </c>
      <c r="C12463" s="2" t="inlineStr">
        <is>
          <t>코스피</t>
        </is>
      </c>
      <c r="D12463" s="2" t="inlineStr">
        <is>
          <t>036420</t>
        </is>
      </c>
      <c r="E12463" s="3" t="inlineStr">
        <is>
          <t xml:space="preserve">풍문또는보도에대한해명(미확정)              </t>
        </is>
      </c>
      <c r="F12463" s="3" t="inlineStr">
        <is>
          <t>콘텐트리중앙</t>
        </is>
      </c>
      <c r="G12463" s="2" t="inlineStr">
        <is>
          <t>20260622800261</t>
        </is>
      </c>
      <c r="H12463" s="8">
        <f>HYPERLINK("https://dart.fss.or.kr/dsaf001/main.do?rcpNo=20260622800261", "공시열람")</f>
        <v/>
      </c>
    </row>
    <row r="12464">
      <c r="A12464" s="2" t="inlineStr">
        <is>
          <t>2026-06-22</t>
        </is>
      </c>
      <c r="B12464" s="3" t="inlineStr">
        <is>
          <t>카카오게임즈</t>
        </is>
      </c>
      <c r="C12464" s="2" t="inlineStr">
        <is>
          <t>코스닥</t>
        </is>
      </c>
      <c r="D12464" s="2" t="inlineStr">
        <is>
          <t>293490</t>
        </is>
      </c>
      <c r="E12464" s="3" t="inlineStr">
        <is>
          <t>사외이사의선임ㆍ해임또는중도퇴임에관한신고</t>
        </is>
      </c>
      <c r="F12464" s="3" t="inlineStr">
        <is>
          <t>카카오게임즈</t>
        </is>
      </c>
      <c r="G12464" s="2" t="inlineStr">
        <is>
          <t>20260622000077</t>
        </is>
      </c>
      <c r="H12464" s="8">
        <f>HYPERLINK("https://dart.fss.or.kr/dsaf001/main.do?rcpNo=20260622000077", "공시열람")</f>
        <v/>
      </c>
    </row>
    <row r="12465">
      <c r="A12465" s="2" t="inlineStr">
        <is>
          <t>2026-06-22</t>
        </is>
      </c>
      <c r="B12465" s="3" t="inlineStr">
        <is>
          <t>카카오게임즈</t>
        </is>
      </c>
      <c r="C12465" s="2" t="inlineStr">
        <is>
          <t>코스닥</t>
        </is>
      </c>
      <c r="D12465" s="2" t="inlineStr">
        <is>
          <t>293490</t>
        </is>
      </c>
      <c r="E12465" s="3" t="inlineStr">
        <is>
          <t xml:space="preserve">대표이사변경              </t>
        </is>
      </c>
      <c r="F12465" s="3" t="inlineStr">
        <is>
          <t>카카오게임즈</t>
        </is>
      </c>
      <c r="G12465" s="2" t="inlineStr">
        <is>
          <t>20260622900255</t>
        </is>
      </c>
      <c r="H12465" s="8">
        <f>HYPERLINK("https://dart.fss.or.kr/dsaf001/main.do?rcpNo=20260622900255", "공시열람")</f>
        <v/>
      </c>
    </row>
    <row r="12466">
      <c r="A12466" s="2" t="inlineStr">
        <is>
          <t>2026-06-22</t>
        </is>
      </c>
      <c r="B12466" s="3" t="inlineStr">
        <is>
          <t>선광</t>
        </is>
      </c>
      <c r="C12466" s="2" t="inlineStr">
        <is>
          <t>코스닥</t>
        </is>
      </c>
      <c r="D12466" s="2" t="inlineStr">
        <is>
          <t>003100</t>
        </is>
      </c>
      <c r="E12466" s="3" t="inlineStr">
        <is>
          <t>임원ㆍ주요주주특정증권등거래계획보고서</t>
        </is>
      </c>
      <c r="F12466" s="3" t="inlineStr">
        <is>
          <t>심정구</t>
        </is>
      </c>
      <c r="G12466" s="2" t="inlineStr">
        <is>
          <t>20260622000074</t>
        </is>
      </c>
      <c r="H12466" s="8">
        <f>HYPERLINK("https://dart.fss.or.kr/dsaf001/main.do?rcpNo=20260622000074", "공시열람")</f>
        <v/>
      </c>
    </row>
    <row r="12467">
      <c r="A12467" s="2" t="inlineStr">
        <is>
          <t>2026-06-22</t>
        </is>
      </c>
      <c r="B12467" s="3" t="inlineStr">
        <is>
          <t>선광</t>
        </is>
      </c>
      <c r="C12467" s="2" t="inlineStr">
        <is>
          <t>코스닥</t>
        </is>
      </c>
      <c r="D12467" s="2" t="inlineStr">
        <is>
          <t>003100</t>
        </is>
      </c>
      <c r="E12467" s="3" t="inlineStr">
        <is>
          <t>임원ㆍ주요주주특정증권등소유상황보고서</t>
        </is>
      </c>
      <c r="F12467" s="3" t="inlineStr">
        <is>
          <t>심정구</t>
        </is>
      </c>
      <c r="G12467" s="2" t="inlineStr">
        <is>
          <t>20260622000073</t>
        </is>
      </c>
      <c r="H12467" s="8">
        <f>HYPERLINK("https://dart.fss.or.kr/dsaf001/main.do?rcpNo=20260622000073", "공시열람")</f>
        <v/>
      </c>
    </row>
    <row r="12468">
      <c r="A12468" s="2" t="inlineStr">
        <is>
          <t>2026-06-22</t>
        </is>
      </c>
      <c r="B12468" s="3" t="inlineStr">
        <is>
          <t>유비온</t>
        </is>
      </c>
      <c r="C12468" s="2" t="inlineStr">
        <is>
          <t>코스닥</t>
        </is>
      </c>
      <c r="D12468" s="2" t="inlineStr">
        <is>
          <t>084440</t>
        </is>
      </c>
      <c r="E12468" s="3" t="inlineStr">
        <is>
          <t xml:space="preserve">기업설명회(IR)개최              </t>
        </is>
      </c>
      <c r="F12468" s="3" t="inlineStr">
        <is>
          <t>유비온</t>
        </is>
      </c>
      <c r="G12468" s="2" t="inlineStr">
        <is>
          <t>20260622900252</t>
        </is>
      </c>
      <c r="H12468" s="8">
        <f>HYPERLINK("https://dart.fss.or.kr/dsaf001/main.do?rcpNo=20260622900252", "공시열람")</f>
        <v/>
      </c>
    </row>
    <row r="12469">
      <c r="A12469" s="2" t="inlineStr">
        <is>
          <t>2026-06-22</t>
        </is>
      </c>
      <c r="B12469" s="3" t="inlineStr">
        <is>
          <t>HLB글로벌</t>
        </is>
      </c>
      <c r="C12469" s="2" t="inlineStr">
        <is>
          <t>코스피</t>
        </is>
      </c>
      <c r="D12469" s="2" t="inlineStr">
        <is>
          <t>003580</t>
        </is>
      </c>
      <c r="E12469" s="3" t="inlineStr">
        <is>
          <t>임원ㆍ주요주주특정증권등소유상황보고서</t>
        </is>
      </c>
      <c r="F12469" s="3" t="inlineStr">
        <is>
          <t>김광재</t>
        </is>
      </c>
      <c r="G12469" s="2" t="inlineStr">
        <is>
          <t>20260622000071</t>
        </is>
      </c>
      <c r="H12469" s="8">
        <f>HYPERLINK("https://dart.fss.or.kr/dsaf001/main.do?rcpNo=20260622000071", "공시열람")</f>
        <v/>
      </c>
    </row>
    <row r="12470">
      <c r="A12470" s="2" t="inlineStr">
        <is>
          <t>2026-06-22</t>
        </is>
      </c>
      <c r="B12470" s="3" t="inlineStr">
        <is>
          <t>NH투자증권</t>
        </is>
      </c>
      <c r="C12470" s="2" t="inlineStr">
        <is>
          <t>코스피</t>
        </is>
      </c>
      <c r="D12470" s="2" t="inlineStr">
        <is>
          <t>005940</t>
        </is>
      </c>
      <c r="E12470" s="3" t="inlineStr">
        <is>
          <t>일괄신고추가서류(파생결합증권-주가연계증권)</t>
        </is>
      </c>
      <c r="F12470" s="3" t="inlineStr">
        <is>
          <t>NH투자증권</t>
        </is>
      </c>
      <c r="G12470" s="2" t="inlineStr">
        <is>
          <t>20260622000066</t>
        </is>
      </c>
      <c r="H12470" s="8">
        <f>HYPERLINK("https://dart.fss.or.kr/dsaf001/main.do?rcpNo=20260622000066", "공시열람")</f>
        <v/>
      </c>
    </row>
    <row r="12471">
      <c r="A12471" s="2" t="inlineStr">
        <is>
          <t>2026-06-22</t>
        </is>
      </c>
      <c r="B12471" s="3" t="inlineStr">
        <is>
          <t>미래에셋증권</t>
        </is>
      </c>
      <c r="C12471" s="2" t="inlineStr">
        <is>
          <t>코스피</t>
        </is>
      </c>
      <c r="D12471" s="2" t="inlineStr">
        <is>
          <t>006800</t>
        </is>
      </c>
      <c r="E12471" s="3" t="inlineStr">
        <is>
          <t>증권발행실적보고서</t>
        </is>
      </c>
      <c r="F12471" s="3" t="inlineStr">
        <is>
          <t>미래에셋증권</t>
        </is>
      </c>
      <c r="G12471" s="2" t="inlineStr">
        <is>
          <t>20260622000064</t>
        </is>
      </c>
      <c r="H12471" s="8">
        <f>HYPERLINK("https://dart.fss.or.kr/dsaf001/main.do?rcpNo=20260622000064", "공시열람")</f>
        <v/>
      </c>
    </row>
    <row r="12472">
      <c r="A12472" s="2" t="inlineStr">
        <is>
          <t>2026-06-22</t>
        </is>
      </c>
      <c r="B12472" s="3" t="inlineStr">
        <is>
          <t>케이카</t>
        </is>
      </c>
      <c r="C12472" s="2" t="inlineStr">
        <is>
          <t>코스피</t>
        </is>
      </c>
      <c r="D12472" s="2" t="inlineStr">
        <is>
          <t>381970</t>
        </is>
      </c>
      <c r="E12472" s="3" t="inlineStr">
        <is>
          <t>의결권대리행사권유참고서류</t>
        </is>
      </c>
      <c r="F12472" s="3" t="inlineStr">
        <is>
          <t>케이카</t>
        </is>
      </c>
      <c r="G12472" s="2" t="inlineStr">
        <is>
          <t>20260622000062</t>
        </is>
      </c>
      <c r="H12472" s="8">
        <f>HYPERLINK("https://dart.fss.or.kr/dsaf001/main.do?rcpNo=20260622000062", "공시열람")</f>
        <v/>
      </c>
    </row>
    <row r="12473">
      <c r="A12473" s="2" t="inlineStr">
        <is>
          <t>2026-06-22</t>
        </is>
      </c>
      <c r="B12473" s="3" t="inlineStr">
        <is>
          <t>미래에셋증권</t>
        </is>
      </c>
      <c r="C12473" s="2" t="inlineStr">
        <is>
          <t>코스피</t>
        </is>
      </c>
      <c r="D12473" s="2" t="inlineStr">
        <is>
          <t>006800</t>
        </is>
      </c>
      <c r="E12473" s="3" t="inlineStr">
        <is>
          <t>증권발행실적보고서</t>
        </is>
      </c>
      <c r="F12473" s="3" t="inlineStr">
        <is>
          <t>미래에셋증권</t>
        </is>
      </c>
      <c r="G12473" s="2" t="inlineStr">
        <is>
          <t>20260622000061</t>
        </is>
      </c>
      <c r="H12473" s="8">
        <f>HYPERLINK("https://dart.fss.or.kr/dsaf001/main.do?rcpNo=20260622000061", "공시열람")</f>
        <v/>
      </c>
    </row>
    <row r="12474">
      <c r="A12474" s="2" t="inlineStr">
        <is>
          <t>2026-06-22</t>
        </is>
      </c>
      <c r="B12474" s="3" t="inlineStr">
        <is>
          <t>NH투자증권</t>
        </is>
      </c>
      <c r="C12474" s="2" t="inlineStr">
        <is>
          <t>코스피</t>
        </is>
      </c>
      <c r="D12474" s="2" t="inlineStr">
        <is>
          <t>005940</t>
        </is>
      </c>
      <c r="E12474" s="3" t="inlineStr">
        <is>
          <t>일괄신고추가서류(파생결합사채-주가연계파생결합사채)</t>
        </is>
      </c>
      <c r="F12474" s="3" t="inlineStr">
        <is>
          <t>NH투자증권</t>
        </is>
      </c>
      <c r="G12474" s="2" t="inlineStr">
        <is>
          <t>20260622000057</t>
        </is>
      </c>
      <c r="H12474" s="8">
        <f>HYPERLINK("https://dart.fss.or.kr/dsaf001/main.do?rcpNo=20260622000057", "공시열람")</f>
        <v/>
      </c>
    </row>
    <row r="12475">
      <c r="A12475" s="2" t="inlineStr">
        <is>
          <t>2026-06-22</t>
        </is>
      </c>
      <c r="B12475" s="3" t="inlineStr">
        <is>
          <t>NH투자증권</t>
        </is>
      </c>
      <c r="C12475" s="2" t="inlineStr">
        <is>
          <t>코스피</t>
        </is>
      </c>
      <c r="D12475" s="2" t="inlineStr">
        <is>
          <t>005940</t>
        </is>
      </c>
      <c r="E12475" s="3" t="inlineStr">
        <is>
          <t>일괄신고추가서류(파생결합증권-주가연계증권)</t>
        </is>
      </c>
      <c r="F12475" s="3" t="inlineStr">
        <is>
          <t>NH투자증권</t>
        </is>
      </c>
      <c r="G12475" s="2" t="inlineStr">
        <is>
          <t>20260622000056</t>
        </is>
      </c>
      <c r="H12475" s="8">
        <f>HYPERLINK("https://dart.fss.or.kr/dsaf001/main.do?rcpNo=20260622000056", "공시열람")</f>
        <v/>
      </c>
    </row>
    <row r="12476">
      <c r="A12476" s="2" t="inlineStr">
        <is>
          <t>2026-06-22</t>
        </is>
      </c>
      <c r="B12476" s="3" t="inlineStr">
        <is>
          <t>유티아이</t>
        </is>
      </c>
      <c r="C12476" s="2" t="inlineStr">
        <is>
          <t>코스닥</t>
        </is>
      </c>
      <c r="D12476" s="2" t="inlineStr">
        <is>
          <t>179900</t>
        </is>
      </c>
      <c r="E12476" s="3" t="inlineStr">
        <is>
          <t>전환가액의조정              (제5회차)</t>
        </is>
      </c>
      <c r="F12476" s="3" t="inlineStr">
        <is>
          <t>유티아이</t>
        </is>
      </c>
      <c r="G12476" s="2" t="inlineStr">
        <is>
          <t>20260622900230</t>
        </is>
      </c>
      <c r="H12476" s="8">
        <f>HYPERLINK("https://dart.fss.or.kr/dsaf001/main.do?rcpNo=20260622900230", "공시열람")</f>
        <v/>
      </c>
    </row>
    <row r="12477">
      <c r="A12477" s="2" t="inlineStr">
        <is>
          <t>2026-06-22</t>
        </is>
      </c>
      <c r="B12477" s="3" t="inlineStr">
        <is>
          <t>풀무원</t>
        </is>
      </c>
      <c r="C12477" s="2" t="inlineStr">
        <is>
          <t>코스피</t>
        </is>
      </c>
      <c r="D12477" s="2" t="inlineStr">
        <is>
          <t>017810</t>
        </is>
      </c>
      <c r="E12477" s="3" t="inlineStr">
        <is>
          <t>사외이사의선임ㆍ해임또는중도퇴임에관한신고</t>
        </is>
      </c>
      <c r="F12477" s="3" t="inlineStr">
        <is>
          <t>풀무원</t>
        </is>
      </c>
      <c r="G12477" s="2" t="inlineStr">
        <is>
          <t>20260622000053</t>
        </is>
      </c>
      <c r="H12477" s="8">
        <f>HYPERLINK("https://dart.fss.or.kr/dsaf001/main.do?rcpNo=20260622000053", "공시열람")</f>
        <v/>
      </c>
    </row>
    <row r="12478">
      <c r="A12478" s="2" t="inlineStr">
        <is>
          <t>2026-06-22</t>
        </is>
      </c>
      <c r="B12478" s="3" t="inlineStr">
        <is>
          <t>성광벤드</t>
        </is>
      </c>
      <c r="C12478" s="2" t="inlineStr">
        <is>
          <t>코스닥</t>
        </is>
      </c>
      <c r="D12478" s="2" t="inlineStr">
        <is>
          <t>014620</t>
        </is>
      </c>
      <c r="E12478" s="3" t="inlineStr">
        <is>
          <t xml:space="preserve">기업설명회(IR)개최              </t>
        </is>
      </c>
      <c r="F12478" s="3" t="inlineStr">
        <is>
          <t>성광벤드</t>
        </is>
      </c>
      <c r="G12478" s="2" t="inlineStr">
        <is>
          <t>20260622900232</t>
        </is>
      </c>
      <c r="H12478" s="8">
        <f>HYPERLINK("https://dart.fss.or.kr/dsaf001/main.do?rcpNo=20260622900232", "공시열람")</f>
        <v/>
      </c>
    </row>
    <row r="12479">
      <c r="A12479" s="2" t="inlineStr">
        <is>
          <t>2026-06-22</t>
        </is>
      </c>
      <c r="B12479" s="3" t="inlineStr">
        <is>
          <t>유안타증권</t>
        </is>
      </c>
      <c r="C12479" s="2" t="inlineStr">
        <is>
          <t>코스피</t>
        </is>
      </c>
      <c r="D12479" s="2" t="inlineStr">
        <is>
          <t>003470</t>
        </is>
      </c>
      <c r="E12479" s="3" t="inlineStr">
        <is>
          <t>증권발행실적보고서</t>
        </is>
      </c>
      <c r="F12479" s="3" t="inlineStr">
        <is>
          <t>유안타증권</t>
        </is>
      </c>
      <c r="G12479" s="2" t="inlineStr">
        <is>
          <t>20260622000051</t>
        </is>
      </c>
      <c r="H12479" s="8">
        <f>HYPERLINK("https://dart.fss.or.kr/dsaf001/main.do?rcpNo=20260622000051", "공시열람")</f>
        <v/>
      </c>
    </row>
    <row r="12480">
      <c r="A12480" s="2" t="inlineStr">
        <is>
          <t>2026-06-22</t>
        </is>
      </c>
      <c r="B12480" s="3" t="inlineStr">
        <is>
          <t>케이엠제약</t>
        </is>
      </c>
      <c r="C12480" s="2" t="inlineStr">
        <is>
          <t>코스닥</t>
        </is>
      </c>
      <c r="D12480" s="2" t="inlineStr">
        <is>
          <t>225430</t>
        </is>
      </c>
      <c r="E12480" s="3" t="inlineStr">
        <is>
          <t>임원ㆍ주요주주특정증권등소유상황보고서</t>
        </is>
      </c>
      <c r="F12480" s="3" t="inlineStr">
        <is>
          <t>강일모</t>
        </is>
      </c>
      <c r="G12480" s="2" t="inlineStr">
        <is>
          <t>20260622000040</t>
        </is>
      </c>
      <c r="H12480" s="8">
        <f>HYPERLINK("https://dart.fss.or.kr/dsaf001/main.do?rcpNo=20260622000040", "공시열람")</f>
        <v/>
      </c>
    </row>
    <row r="12481">
      <c r="A12481" s="2" t="inlineStr">
        <is>
          <t>2026-06-22</t>
        </is>
      </c>
      <c r="B12481" s="3" t="inlineStr">
        <is>
          <t>이노메트리</t>
        </is>
      </c>
      <c r="C12481" s="2" t="inlineStr">
        <is>
          <t>코스닥</t>
        </is>
      </c>
      <c r="D12481" s="2" t="inlineStr">
        <is>
          <t>302430</t>
        </is>
      </c>
      <c r="E12481" s="3" t="inlineStr">
        <is>
          <t xml:space="preserve">기업설명회(IR)개최              </t>
        </is>
      </c>
      <c r="F12481" s="3" t="inlineStr">
        <is>
          <t>이노메트리</t>
        </is>
      </c>
      <c r="G12481" s="2" t="inlineStr">
        <is>
          <t>20260622900216</t>
        </is>
      </c>
      <c r="H12481" s="8">
        <f>HYPERLINK("https://dart.fss.or.kr/dsaf001/main.do?rcpNo=20260622900216", "공시열람")</f>
        <v/>
      </c>
    </row>
    <row r="12482">
      <c r="A12482" s="2" t="inlineStr">
        <is>
          <t>2026-06-22</t>
        </is>
      </c>
      <c r="B12482" s="3" t="inlineStr">
        <is>
          <t>한미반도체</t>
        </is>
      </c>
      <c r="C12482" s="2" t="inlineStr">
        <is>
          <t>코스피</t>
        </is>
      </c>
      <c r="D12482" s="2" t="inlineStr">
        <is>
          <t>042700</t>
        </is>
      </c>
      <c r="E12482" s="3" t="inlineStr">
        <is>
          <t xml:space="preserve">기업설명회(IR)개최(안내공시)              </t>
        </is>
      </c>
      <c r="F12482" s="3" t="inlineStr">
        <is>
          <t>한미반도체</t>
        </is>
      </c>
      <c r="G12482" s="2" t="inlineStr">
        <is>
          <t>20260622800215</t>
        </is>
      </c>
      <c r="H12482" s="8">
        <f>HYPERLINK("https://dart.fss.or.kr/dsaf001/main.do?rcpNo=20260622800215", "공시열람")</f>
        <v/>
      </c>
    </row>
    <row r="12483">
      <c r="A12483" s="2" t="inlineStr">
        <is>
          <t>2026-06-22</t>
        </is>
      </c>
      <c r="B12483" s="3" t="inlineStr">
        <is>
          <t>에스티팜</t>
        </is>
      </c>
      <c r="C12483" s="2" t="inlineStr">
        <is>
          <t>코스닥</t>
        </is>
      </c>
      <c r="D12483" s="2" t="inlineStr">
        <is>
          <t>237690</t>
        </is>
      </c>
      <c r="E12483" s="3" t="inlineStr">
        <is>
          <t xml:space="preserve">지속가능경영보고서등관련사항(자율공시)              </t>
        </is>
      </c>
      <c r="F12483" s="3" t="inlineStr">
        <is>
          <t>에스티팜</t>
        </is>
      </c>
      <c r="G12483" s="2" t="inlineStr">
        <is>
          <t>20260622900214</t>
        </is>
      </c>
      <c r="H12483" s="8">
        <f>HYPERLINK("https://dart.fss.or.kr/dsaf001/main.do?rcpNo=20260622900214", "공시열람")</f>
        <v/>
      </c>
    </row>
    <row r="12484">
      <c r="A12484" s="2" t="inlineStr">
        <is>
          <t>2026-06-22 (정정: 2026-06-26)</t>
        </is>
      </c>
      <c r="B12484" s="3" t="inlineStr">
        <is>
          <t>STX</t>
        </is>
      </c>
      <c r="C12484" s="2" t="inlineStr">
        <is>
          <t>코스피</t>
        </is>
      </c>
      <c r="D12484" s="2" t="inlineStr">
        <is>
          <t>011810</t>
        </is>
      </c>
      <c r="E12484" s="3" t="inlineStr">
        <is>
          <t>기타시장안내              (개선기간 종료 및 향후 절차 안내) (정정: 20260626)</t>
        </is>
      </c>
      <c r="F12484" s="3" t="inlineStr">
        <is>
          <t>유가증권시장본부</t>
        </is>
      </c>
      <c r="G12484" s="2" t="inlineStr">
        <is>
          <t>20260626800861</t>
        </is>
      </c>
      <c r="H12484" s="8">
        <f>HYPERLINK("https://dart.fss.or.kr/dsaf001/main.do?rcpNo=20260626800861", "공시열람")</f>
        <v/>
      </c>
    </row>
    <row r="12485">
      <c r="A12485" s="2" t="inlineStr">
        <is>
          <t>2026-06-22</t>
        </is>
      </c>
      <c r="B12485" s="3" t="inlineStr">
        <is>
          <t>현대차증권</t>
        </is>
      </c>
      <c r="C12485" s="2" t="inlineStr">
        <is>
          <t>코스피</t>
        </is>
      </c>
      <c r="D12485" s="2" t="inlineStr">
        <is>
          <t>001500</t>
        </is>
      </c>
      <c r="E12485" s="3" t="inlineStr">
        <is>
          <t>증권발행실적보고서</t>
        </is>
      </c>
      <c r="F12485" s="3" t="inlineStr">
        <is>
          <t>현대차증권</t>
        </is>
      </c>
      <c r="G12485" s="2" t="inlineStr">
        <is>
          <t>20260622000031</t>
        </is>
      </c>
      <c r="H12485" s="8">
        <f>HYPERLINK("https://dart.fss.or.kr/dsaf001/main.do?rcpNo=20260622000031", "공시열람")</f>
        <v/>
      </c>
    </row>
    <row r="12486">
      <c r="A12486" s="2" t="inlineStr">
        <is>
          <t>2026-06-22</t>
        </is>
      </c>
      <c r="B12486" s="3" t="inlineStr">
        <is>
          <t>미래에셋증권</t>
        </is>
      </c>
      <c r="C12486" s="2" t="inlineStr">
        <is>
          <t>코스피</t>
        </is>
      </c>
      <c r="D12486" s="2" t="inlineStr">
        <is>
          <t>006800</t>
        </is>
      </c>
      <c r="E12486" s="3" t="inlineStr">
        <is>
          <t>투자설명서(일괄신고)</t>
        </is>
      </c>
      <c r="F12486" s="3" t="inlineStr">
        <is>
          <t>미래에셋증권</t>
        </is>
      </c>
      <c r="G12486" s="2" t="inlineStr">
        <is>
          <t>20260622000028</t>
        </is>
      </c>
      <c r="H12486" s="8">
        <f>HYPERLINK("https://dart.fss.or.kr/dsaf001/main.do?rcpNo=20260622000028", "공시열람")</f>
        <v/>
      </c>
    </row>
    <row r="12487">
      <c r="A12487" s="2" t="inlineStr">
        <is>
          <t>2026-06-22</t>
        </is>
      </c>
      <c r="B12487" s="3" t="inlineStr">
        <is>
          <t>SK가스</t>
        </is>
      </c>
      <c r="C12487" s="2" t="inlineStr">
        <is>
          <t>코스피</t>
        </is>
      </c>
      <c r="D12487" s="2" t="inlineStr">
        <is>
          <t>018670</t>
        </is>
      </c>
      <c r="E12487" s="3" t="inlineStr">
        <is>
          <t>동일인등출자계열회사와의상품ㆍ용역거래변경</t>
        </is>
      </c>
      <c r="F12487" s="3" t="inlineStr">
        <is>
          <t>SK가스</t>
        </is>
      </c>
      <c r="G12487" s="2" t="inlineStr">
        <is>
          <t>20260622000026</t>
        </is>
      </c>
      <c r="H12487" s="8">
        <f>HYPERLINK("https://dart.fss.or.kr/dsaf001/main.do?rcpNo=20260622000026", "공시열람")</f>
        <v/>
      </c>
    </row>
    <row r="12488">
      <c r="A12488" s="2" t="inlineStr">
        <is>
          <t>2026-06-22</t>
        </is>
      </c>
      <c r="B12488" s="3" t="inlineStr">
        <is>
          <t>SK가스</t>
        </is>
      </c>
      <c r="C12488" s="2" t="inlineStr">
        <is>
          <t>코스피</t>
        </is>
      </c>
      <c r="D12488" s="2" t="inlineStr">
        <is>
          <t>018670</t>
        </is>
      </c>
      <c r="E12488" s="3" t="inlineStr">
        <is>
          <t>동일인등출자계열회사와의상품ㆍ용역거래변경</t>
        </is>
      </c>
      <c r="F12488" s="3" t="inlineStr">
        <is>
          <t>SK가스</t>
        </is>
      </c>
      <c r="G12488" s="2" t="inlineStr">
        <is>
          <t>20260622000023</t>
        </is>
      </c>
      <c r="H12488" s="8">
        <f>HYPERLINK("https://dart.fss.or.kr/dsaf001/main.do?rcpNo=20260622000023", "공시열람")</f>
        <v/>
      </c>
    </row>
    <row r="12489">
      <c r="A12489" s="2" t="inlineStr">
        <is>
          <t>2026-06-22</t>
        </is>
      </c>
      <c r="B12489" s="3" t="inlineStr">
        <is>
          <t>SK가스</t>
        </is>
      </c>
      <c r="C12489" s="2" t="inlineStr">
        <is>
          <t>코스피</t>
        </is>
      </c>
      <c r="D12489" s="2" t="inlineStr">
        <is>
          <t>018670</t>
        </is>
      </c>
      <c r="E12489" s="3" t="inlineStr">
        <is>
          <t>동일인등출자계열회사와의상품ㆍ용역거래변경</t>
        </is>
      </c>
      <c r="F12489" s="3" t="inlineStr">
        <is>
          <t>SK가스</t>
        </is>
      </c>
      <c r="G12489" s="2" t="inlineStr">
        <is>
          <t>20260622000019</t>
        </is>
      </c>
      <c r="H12489" s="8">
        <f>HYPERLINK("https://dart.fss.or.kr/dsaf001/main.do?rcpNo=20260622000019", "공시열람")</f>
        <v/>
      </c>
    </row>
    <row r="12490">
      <c r="A12490" s="2" t="inlineStr">
        <is>
          <t>2026-06-22</t>
        </is>
      </c>
      <c r="B12490" s="3" t="inlineStr">
        <is>
          <t>에이엘티</t>
        </is>
      </c>
      <c r="C12490" s="2" t="inlineStr">
        <is>
          <t>코스닥</t>
        </is>
      </c>
      <c r="D12490" s="2" t="inlineStr">
        <is>
          <t>172670</t>
        </is>
      </c>
      <c r="E12490" s="3" t="inlineStr">
        <is>
          <t>임원ㆍ주요주주특정증권등소유상황보고서</t>
        </is>
      </c>
      <c r="F12490" s="3" t="inlineStr">
        <is>
          <t>이은철</t>
        </is>
      </c>
      <c r="G12490" s="2" t="inlineStr">
        <is>
          <t>20260622000017</t>
        </is>
      </c>
      <c r="H12490" s="8">
        <f>HYPERLINK("https://dart.fss.or.kr/dsaf001/main.do?rcpNo=20260622000017", "공시열람")</f>
        <v/>
      </c>
    </row>
    <row r="12491">
      <c r="A12491" s="2" t="inlineStr">
        <is>
          <t>2026-06-22</t>
        </is>
      </c>
      <c r="B12491" s="3" t="inlineStr">
        <is>
          <t>미래에셋증권</t>
        </is>
      </c>
      <c r="C12491" s="2" t="inlineStr">
        <is>
          <t>코스피</t>
        </is>
      </c>
      <c r="D12491" s="2" t="inlineStr">
        <is>
          <t>006800</t>
        </is>
      </c>
      <c r="E12491" s="3" t="inlineStr">
        <is>
          <t>일괄신고추가서류(파생결합사채-주가연계파생결합사채)</t>
        </is>
      </c>
      <c r="F12491" s="3" t="inlineStr">
        <is>
          <t>미래에셋증권</t>
        </is>
      </c>
      <c r="G12491" s="2" t="inlineStr">
        <is>
          <t>20260622000016</t>
        </is>
      </c>
      <c r="H12491" s="8">
        <f>HYPERLINK("https://dart.fss.or.kr/dsaf001/main.do?rcpNo=20260622000016", "공시열람")</f>
        <v/>
      </c>
    </row>
    <row r="12492">
      <c r="A12492" s="2" t="inlineStr">
        <is>
          <t>2026-06-22</t>
        </is>
      </c>
      <c r="B12492" s="3" t="inlineStr">
        <is>
          <t>남양유업</t>
        </is>
      </c>
      <c r="C12492" s="2" t="inlineStr">
        <is>
          <t>코스피</t>
        </is>
      </c>
      <c r="D12492" s="2" t="inlineStr">
        <is>
          <t>003920</t>
        </is>
      </c>
      <c r="E12492" s="3" t="inlineStr">
        <is>
          <t>임원ㆍ주요주주특정증권등소유상황보고서</t>
        </is>
      </c>
      <c r="F12492" s="3" t="inlineStr">
        <is>
          <t>한앤코유업홀딩스</t>
        </is>
      </c>
      <c r="G12492" s="2" t="inlineStr">
        <is>
          <t>20260622000012</t>
        </is>
      </c>
      <c r="H12492" s="8">
        <f>HYPERLINK("https://dart.fss.or.kr/dsaf001/main.do?rcpNo=20260622000012", "공시열람")</f>
        <v/>
      </c>
    </row>
    <row r="12493">
      <c r="A12493" s="2" t="inlineStr">
        <is>
          <t>2026-06-22</t>
        </is>
      </c>
      <c r="B12493" s="3" t="inlineStr">
        <is>
          <t>넥스트바이오메디컬</t>
        </is>
      </c>
      <c r="C12493" s="2" t="inlineStr">
        <is>
          <t>코스닥</t>
        </is>
      </c>
      <c r="D12493" s="2" t="inlineStr">
        <is>
          <t>389650</t>
        </is>
      </c>
      <c r="E12493" s="3" t="inlineStr">
        <is>
          <t>임원ㆍ주요주주특정증권등소유상황보고서</t>
        </is>
      </c>
      <c r="F12493" s="3" t="inlineStr">
        <is>
          <t>강철중</t>
        </is>
      </c>
      <c r="G12493" s="2" t="inlineStr">
        <is>
          <t>20260622000011</t>
        </is>
      </c>
      <c r="H12493" s="8">
        <f>HYPERLINK("https://dart.fss.or.kr/dsaf001/main.do?rcpNo=20260622000011", "공시열람")</f>
        <v/>
      </c>
    </row>
    <row r="12494">
      <c r="A12494" s="2" t="inlineStr">
        <is>
          <t>2026-06-22</t>
        </is>
      </c>
      <c r="B12494" s="3" t="inlineStr">
        <is>
          <t>교보증권</t>
        </is>
      </c>
      <c r="C12494" s="2" t="inlineStr">
        <is>
          <t>코스피</t>
        </is>
      </c>
      <c r="D12494" s="2" t="inlineStr">
        <is>
          <t>030610</t>
        </is>
      </c>
      <c r="E12494" s="3" t="inlineStr">
        <is>
          <t>일괄신고추가서류(파생결합사채-주가연계파생결합사채)</t>
        </is>
      </c>
      <c r="F12494" s="3" t="inlineStr">
        <is>
          <t>교보증권</t>
        </is>
      </c>
      <c r="G12494" s="2" t="inlineStr">
        <is>
          <t>20260622000008</t>
        </is>
      </c>
      <c r="H12494" s="8">
        <f>HYPERLINK("https://dart.fss.or.kr/dsaf001/main.do?rcpNo=20260622000008", "공시열람")</f>
        <v/>
      </c>
    </row>
    <row r="12495">
      <c r="A12495" s="2" t="inlineStr">
        <is>
          <t>2026-06-22</t>
        </is>
      </c>
      <c r="B12495" s="3" t="inlineStr">
        <is>
          <t>유진증권</t>
        </is>
      </c>
      <c r="C12495" s="2" t="inlineStr">
        <is>
          <t>코스피</t>
        </is>
      </c>
      <c r="D12495" s="2" t="inlineStr">
        <is>
          <t>001200</t>
        </is>
      </c>
      <c r="E12495" s="3" t="inlineStr">
        <is>
          <t>증권발행실적보고서</t>
        </is>
      </c>
      <c r="F12495" s="3" t="inlineStr">
        <is>
          <t>유진증권</t>
        </is>
      </c>
      <c r="G12495" s="2" t="inlineStr">
        <is>
          <t>20260622000007</t>
        </is>
      </c>
      <c r="H12495" s="8">
        <f>HYPERLINK("https://dart.fss.or.kr/dsaf001/main.do?rcpNo=20260622000007", "공시열람")</f>
        <v/>
      </c>
    </row>
    <row r="12496">
      <c r="A12496" s="2" t="inlineStr">
        <is>
          <t>2026-06-22</t>
        </is>
      </c>
      <c r="B12496" s="3" t="inlineStr">
        <is>
          <t>삼성에스디에스</t>
        </is>
      </c>
      <c r="C12496" s="2" t="inlineStr">
        <is>
          <t>코스피</t>
        </is>
      </c>
      <c r="D12496" s="2" t="inlineStr">
        <is>
          <t>018260</t>
        </is>
      </c>
      <c r="E12496" s="3" t="inlineStr">
        <is>
          <t>임원ㆍ주요주주특정증권등소유상황보고서</t>
        </is>
      </c>
      <c r="F12496" s="3" t="inlineStr">
        <is>
          <t>배순민</t>
        </is>
      </c>
      <c r="G12496" s="2" t="inlineStr">
        <is>
          <t>20260622000001</t>
        </is>
      </c>
      <c r="H12496" s="8">
        <f>HYPERLINK("https://dart.fss.or.kr/dsaf001/main.do?rcpNo=20260622000001", "공시열람")</f>
        <v/>
      </c>
    </row>
    <row r="12497">
      <c r="A12497" s="2" t="inlineStr">
        <is>
          <t>2026-06-22</t>
        </is>
      </c>
      <c r="B12497" s="3" t="inlineStr">
        <is>
          <t>삼성카드</t>
        </is>
      </c>
      <c r="C12497" s="2" t="inlineStr">
        <is>
          <t>코스피</t>
        </is>
      </c>
      <c r="D12497" s="2" t="inlineStr">
        <is>
          <t>029780</t>
        </is>
      </c>
      <c r="E12497" s="3" t="inlineStr">
        <is>
          <t>효력발생안내( 2026.6.12. 제출 일괄신고서 )</t>
        </is>
      </c>
      <c r="F12497" s="3" t="inlineStr">
        <is>
          <t>금융감독원</t>
        </is>
      </c>
      <c r="G12497" s="2" t="inlineStr">
        <is>
          <t>20260612100006</t>
        </is>
      </c>
      <c r="H12497" s="8">
        <f>HYPERLINK("https://dart.fss.or.kr/dsaf001/main.do?rcpNo=20260612100006", "공시열람")</f>
        <v/>
      </c>
    </row>
    <row r="12498">
      <c r="A12498" s="2" t="inlineStr">
        <is>
          <t>2026-06-22</t>
        </is>
      </c>
      <c r="B12498" s="3" t="inlineStr">
        <is>
          <t>석경에이티</t>
        </is>
      </c>
      <c r="C12498" s="2" t="inlineStr">
        <is>
          <t>코스닥</t>
        </is>
      </c>
      <c r="D12498" s="2" t="inlineStr">
        <is>
          <t>357550</t>
        </is>
      </c>
      <c r="E12498" s="3" t="inlineStr">
        <is>
          <t>임원ㆍ주요주주특정증권등소유상황보고서</t>
        </is>
      </c>
      <c r="F12498" s="3" t="inlineStr">
        <is>
          <t>임형섭</t>
        </is>
      </c>
      <c r="G12498" s="2" t="inlineStr">
        <is>
          <t>20260619000678</t>
        </is>
      </c>
      <c r="H12498" s="8">
        <f>HYPERLINK("https://dart.fss.or.kr/dsaf001/main.do?rcpNo=20260619000678", "공시열람")</f>
        <v/>
      </c>
    </row>
    <row r="12499">
      <c r="A12499" s="2" t="inlineStr">
        <is>
          <t>2026-06-23</t>
        </is>
      </c>
      <c r="B12499" s="3" t="inlineStr">
        <is>
          <t>에이루트</t>
        </is>
      </c>
      <c r="C12499" s="2" t="inlineStr">
        <is>
          <t>코스닥</t>
        </is>
      </c>
      <c r="D12499" s="2" t="inlineStr">
        <is>
          <t>096690</t>
        </is>
      </c>
      <c r="E12499" s="3" t="inlineStr">
        <is>
          <t>증권발행결과(자율공시)              (제18회차 CB)</t>
        </is>
      </c>
      <c r="F12499" s="3" t="inlineStr">
        <is>
          <t>에이루트</t>
        </is>
      </c>
      <c r="G12499" s="2" t="inlineStr">
        <is>
          <t>20260623900821</t>
        </is>
      </c>
      <c r="H12499" s="8">
        <f>HYPERLINK("https://dart.fss.or.kr/dsaf001/main.do?rcpNo=20260623900821", "공시열람")</f>
        <v/>
      </c>
    </row>
    <row r="12500">
      <c r="A12500" s="2" t="inlineStr">
        <is>
          <t>2026-06-23</t>
        </is>
      </c>
      <c r="B12500" s="3" t="inlineStr">
        <is>
          <t>고려아연</t>
        </is>
      </c>
      <c r="C12500" s="2" t="inlineStr">
        <is>
          <t>코스피</t>
        </is>
      </c>
      <c r="D12500" s="2" t="inlineStr">
        <is>
          <t>010130</t>
        </is>
      </c>
      <c r="E12500" s="3" t="inlineStr">
        <is>
          <t xml:space="preserve">풍문또는보도에대한해명              </t>
        </is>
      </c>
      <c r="F12500" s="3" t="inlineStr">
        <is>
          <t>고려아연</t>
        </is>
      </c>
      <c r="G12500" s="2" t="inlineStr">
        <is>
          <t>20260623800819</t>
        </is>
      </c>
      <c r="H12500" s="8">
        <f>HYPERLINK("https://dart.fss.or.kr/dsaf001/main.do?rcpNo=20260623800819", "공시열람")</f>
        <v/>
      </c>
    </row>
    <row r="12501">
      <c r="A12501" s="2" t="inlineStr">
        <is>
          <t>2026-06-23</t>
        </is>
      </c>
      <c r="B12501" s="3" t="inlineStr">
        <is>
          <t>소프트센</t>
        </is>
      </c>
      <c r="C12501" s="2" t="inlineStr">
        <is>
          <t>코스닥</t>
        </is>
      </c>
      <c r="D12501" s="2" t="inlineStr">
        <is>
          <t>032680</t>
        </is>
      </c>
      <c r="E12501" s="3" t="inlineStr">
        <is>
          <t>기타시장안내(관리종목지정우려종목)              (소프트센 1우선주(거래량 미달))</t>
        </is>
      </c>
      <c r="F12501" s="3" t="inlineStr">
        <is>
          <t>코스닥시장본부</t>
        </is>
      </c>
      <c r="G12501" s="2" t="inlineStr">
        <is>
          <t>20260623900799</t>
        </is>
      </c>
      <c r="H12501" s="8">
        <f>HYPERLINK("https://dart.fss.or.kr/dsaf001/main.do?rcpNo=20260623900799", "공시열람")</f>
        <v/>
      </c>
    </row>
    <row r="12502">
      <c r="A12502" s="2" t="inlineStr">
        <is>
          <t>2026-06-23</t>
        </is>
      </c>
      <c r="B12502" s="3" t="inlineStr">
        <is>
          <t>퓨쳐메디신</t>
        </is>
      </c>
      <c r="C12502" s="2" t="inlineStr">
        <is>
          <t>코넥스</t>
        </is>
      </c>
      <c r="D12502" s="2" t="inlineStr">
        <is>
          <t>341170</t>
        </is>
      </c>
      <c r="E12502" s="3" t="inlineStr">
        <is>
          <t xml:space="preserve">기업설명회(IR)개최결과              </t>
        </is>
      </c>
      <c r="F12502" s="3" t="inlineStr">
        <is>
          <t>퓨쳐메디신</t>
        </is>
      </c>
      <c r="G12502" s="2" t="inlineStr">
        <is>
          <t>20260623600780</t>
        </is>
      </c>
      <c r="H12502" s="8">
        <f>HYPERLINK("https://dart.fss.or.kr/dsaf001/main.do?rcpNo=20260623600780", "공시열람")</f>
        <v/>
      </c>
    </row>
    <row r="12503">
      <c r="A12503" s="2" t="inlineStr">
        <is>
          <t>2026-06-23</t>
        </is>
      </c>
      <c r="B12503" s="3" t="inlineStr">
        <is>
          <t>제노코</t>
        </is>
      </c>
      <c r="C12503" s="2" t="inlineStr">
        <is>
          <t>코스닥</t>
        </is>
      </c>
      <c r="D12503" s="2" t="inlineStr">
        <is>
          <t>361390</t>
        </is>
      </c>
      <c r="E12503" s="3" t="inlineStr">
        <is>
          <t>임원ㆍ주요주주특정증권등소유상황보고서</t>
        </is>
      </c>
      <c r="F12503" s="3" t="inlineStr">
        <is>
          <t>허성재</t>
        </is>
      </c>
      <c r="G12503" s="2" t="inlineStr">
        <is>
          <t>20260623000419</t>
        </is>
      </c>
      <c r="H12503" s="8">
        <f>HYPERLINK("https://dart.fss.or.kr/dsaf001/main.do?rcpNo=20260623000419", "공시열람")</f>
        <v/>
      </c>
    </row>
    <row r="12504">
      <c r="A12504" s="2" t="inlineStr">
        <is>
          <t>2026-06-23</t>
        </is>
      </c>
      <c r="B12504" s="3" t="inlineStr">
        <is>
          <t>아센디오</t>
        </is>
      </c>
      <c r="C12504" s="2" t="inlineStr">
        <is>
          <t>코스피</t>
        </is>
      </c>
      <c r="D12504" s="2" t="inlineStr">
        <is>
          <t>012170</t>
        </is>
      </c>
      <c r="E12504" s="3" t="inlineStr">
        <is>
          <t xml:space="preserve">주식병합결정              </t>
        </is>
      </c>
      <c r="F12504" s="3" t="inlineStr">
        <is>
          <t>아센디오</t>
        </is>
      </c>
      <c r="G12504" s="2" t="inlineStr">
        <is>
          <t>20260623800771</t>
        </is>
      </c>
      <c r="H12504" s="8">
        <f>HYPERLINK("https://dart.fss.or.kr/dsaf001/main.do?rcpNo=20260623800771", "공시열람")</f>
        <v/>
      </c>
    </row>
    <row r="12505">
      <c r="A12505" s="2" t="inlineStr">
        <is>
          <t>2026-06-23</t>
        </is>
      </c>
      <c r="B12505" s="3" t="inlineStr">
        <is>
          <t>KBI메탈</t>
        </is>
      </c>
      <c r="C12505" s="2" t="inlineStr">
        <is>
          <t>코스닥</t>
        </is>
      </c>
      <c r="D12505" s="2" t="inlineStr">
        <is>
          <t>024840</t>
        </is>
      </c>
      <c r="E12505" s="3" t="inlineStr">
        <is>
          <t>불성실공시법인미지정              (지정유예)</t>
        </is>
      </c>
      <c r="F12505" s="3" t="inlineStr">
        <is>
          <t>코스닥시장본부</t>
        </is>
      </c>
      <c r="G12505" s="2" t="inlineStr">
        <is>
          <t>20260623900764</t>
        </is>
      </c>
      <c r="H12505" s="8">
        <f>HYPERLINK("https://dart.fss.or.kr/dsaf001/main.do?rcpNo=20260623900764", "공시열람")</f>
        <v/>
      </c>
    </row>
    <row r="12506">
      <c r="A12506" s="2" t="inlineStr">
        <is>
          <t>2026-06-23</t>
        </is>
      </c>
      <c r="B12506" s="3" t="inlineStr">
        <is>
          <t>HLB바이오스텝</t>
        </is>
      </c>
      <c r="C12506" s="2" t="inlineStr">
        <is>
          <t>코스닥</t>
        </is>
      </c>
      <c r="D12506" s="2" t="inlineStr">
        <is>
          <t>278650</t>
        </is>
      </c>
      <c r="E12506" s="3" t="inlineStr">
        <is>
          <t>불성실공시법인미지정              (공시번복)</t>
        </is>
      </c>
      <c r="F12506" s="3" t="inlineStr">
        <is>
          <t>코스닥시장본부</t>
        </is>
      </c>
      <c r="G12506" s="2" t="inlineStr">
        <is>
          <t>20260623900761</t>
        </is>
      </c>
      <c r="H12506" s="8">
        <f>HYPERLINK("https://dart.fss.or.kr/dsaf001/main.do?rcpNo=20260623900761", "공시열람")</f>
        <v/>
      </c>
    </row>
    <row r="12507">
      <c r="A12507" s="2" t="inlineStr">
        <is>
          <t>2026-06-23</t>
        </is>
      </c>
      <c r="B12507" s="3" t="inlineStr">
        <is>
          <t>케이피엠테크</t>
        </is>
      </c>
      <c r="C12507" s="2" t="inlineStr">
        <is>
          <t>코스닥</t>
        </is>
      </c>
      <c r="D12507" s="2" t="inlineStr">
        <is>
          <t>042040</t>
        </is>
      </c>
      <c r="E12507" s="3" t="inlineStr">
        <is>
          <t>주권매매거래정지해제              (감자 주권 변경상장)</t>
        </is>
      </c>
      <c r="F12507" s="3" t="inlineStr">
        <is>
          <t>코스닥시장본부</t>
        </is>
      </c>
      <c r="G12507" s="2" t="inlineStr">
        <is>
          <t>20260623900746</t>
        </is>
      </c>
      <c r="H12507" s="8">
        <f>HYPERLINK("https://dart.fss.or.kr/dsaf001/main.do?rcpNo=20260623900746", "공시열람")</f>
        <v/>
      </c>
    </row>
    <row r="12508">
      <c r="A12508" s="2" t="inlineStr">
        <is>
          <t>2026-06-23</t>
        </is>
      </c>
      <c r="B12508" s="3" t="inlineStr">
        <is>
          <t>미래아이앤지</t>
        </is>
      </c>
      <c r="C12508" s="2" t="inlineStr">
        <is>
          <t>코스피</t>
        </is>
      </c>
      <c r="D12508" s="2" t="inlineStr">
        <is>
          <t>007120</t>
        </is>
      </c>
      <c r="E12508" s="3" t="inlineStr">
        <is>
          <t xml:space="preserve">타법인주식및출자증권취득결정              </t>
        </is>
      </c>
      <c r="F12508" s="3" t="inlineStr">
        <is>
          <t>미래아이앤지</t>
        </is>
      </c>
      <c r="G12508" s="2" t="inlineStr">
        <is>
          <t>20260623800731</t>
        </is>
      </c>
      <c r="H12508" s="8">
        <f>HYPERLINK("https://dart.fss.or.kr/dsaf001/main.do?rcpNo=20260623800731", "공시열람")</f>
        <v/>
      </c>
    </row>
    <row r="12509">
      <c r="A12509" s="2" t="inlineStr">
        <is>
          <t>2026-06-23</t>
        </is>
      </c>
      <c r="B12509" s="3" t="inlineStr">
        <is>
          <t>동원금속</t>
        </is>
      </c>
      <c r="C12509" s="2" t="inlineStr">
        <is>
          <t>코스피</t>
        </is>
      </c>
      <c r="D12509" s="2" t="inlineStr">
        <is>
          <t>018500</t>
        </is>
      </c>
      <c r="E12509" s="3" t="inlineStr">
        <is>
          <t>임원ㆍ주요주주특정증권등소유상황보고서</t>
        </is>
      </c>
      <c r="F12509" s="3" t="inlineStr">
        <is>
          <t>이승재</t>
        </is>
      </c>
      <c r="G12509" s="2" t="inlineStr">
        <is>
          <t>20260623000406</t>
        </is>
      </c>
      <c r="H12509" s="8">
        <f>HYPERLINK("https://dart.fss.or.kr/dsaf001/main.do?rcpNo=20260623000406", "공시열람")</f>
        <v/>
      </c>
    </row>
    <row r="12510">
      <c r="A12510" s="2" t="inlineStr">
        <is>
          <t>2026-06-23</t>
        </is>
      </c>
      <c r="B12510" s="3" t="inlineStr">
        <is>
          <t>인콘</t>
        </is>
      </c>
      <c r="C12510" s="2" t="inlineStr">
        <is>
          <t>코스닥</t>
        </is>
      </c>
      <c r="D12510" s="2" t="inlineStr">
        <is>
          <t>083640</t>
        </is>
      </c>
      <c r="E12510" s="3" t="inlineStr">
        <is>
          <t xml:space="preserve">주주명부폐쇄기간또는기준일설정              </t>
        </is>
      </c>
      <c r="F12510" s="3" t="inlineStr">
        <is>
          <t>인콘</t>
        </is>
      </c>
      <c r="G12510" s="2" t="inlineStr">
        <is>
          <t>20260623900758</t>
        </is>
      </c>
      <c r="H12510" s="8">
        <f>HYPERLINK("https://dart.fss.or.kr/dsaf001/main.do?rcpNo=20260623900758", "공시열람")</f>
        <v/>
      </c>
    </row>
    <row r="12511">
      <c r="A12511" s="2" t="inlineStr">
        <is>
          <t>2026-06-23</t>
        </is>
      </c>
      <c r="B12511" s="3" t="inlineStr">
        <is>
          <t>진흥기업</t>
        </is>
      </c>
      <c r="C12511" s="2" t="inlineStr">
        <is>
          <t>코스피</t>
        </is>
      </c>
      <c r="D12511" s="2" t="inlineStr">
        <is>
          <t>002780</t>
        </is>
      </c>
      <c r="E12511" s="3" t="inlineStr">
        <is>
          <t xml:space="preserve">투자판단관련주요경영사항              </t>
        </is>
      </c>
      <c r="F12511" s="3" t="inlineStr">
        <is>
          <t>진흥기업</t>
        </is>
      </c>
      <c r="G12511" s="2" t="inlineStr">
        <is>
          <t>20260623800735</t>
        </is>
      </c>
      <c r="H12511" s="8">
        <f>HYPERLINK("https://dart.fss.or.kr/dsaf001/main.do?rcpNo=20260623800735", "공시열람")</f>
        <v/>
      </c>
    </row>
    <row r="12512">
      <c r="A12512" s="2" t="inlineStr">
        <is>
          <t>2026-06-23</t>
        </is>
      </c>
      <c r="B12512" s="3" t="inlineStr">
        <is>
          <t>조아제약</t>
        </is>
      </c>
      <c r="C12512" s="2" t="inlineStr">
        <is>
          <t>코스닥</t>
        </is>
      </c>
      <c r="D12512" s="2" t="inlineStr">
        <is>
          <t>034940</t>
        </is>
      </c>
      <c r="E12512" s="3" t="inlineStr">
        <is>
          <t xml:space="preserve">조회공시요구(현저한시황변동)              </t>
        </is>
      </c>
      <c r="F12512" s="3" t="inlineStr">
        <is>
          <t>코스닥시장본부</t>
        </is>
      </c>
      <c r="G12512" s="2" t="inlineStr">
        <is>
          <t>20260623900747</t>
        </is>
      </c>
      <c r="H12512" s="8">
        <f>HYPERLINK("https://dart.fss.or.kr/dsaf001/main.do?rcpNo=20260623900747", "공시열람")</f>
        <v/>
      </c>
    </row>
    <row r="12513">
      <c r="A12513" s="2" t="inlineStr">
        <is>
          <t>2026-06-23</t>
        </is>
      </c>
      <c r="B12513" s="3" t="inlineStr">
        <is>
          <t>진흥기업</t>
        </is>
      </c>
      <c r="C12513" s="2" t="inlineStr">
        <is>
          <t>코스피</t>
        </is>
      </c>
      <c r="D12513" s="2" t="inlineStr">
        <is>
          <t>002780</t>
        </is>
      </c>
      <c r="E12513" s="3" t="inlineStr">
        <is>
          <t xml:space="preserve">주주명부폐쇄기간또는기준일설정              </t>
        </is>
      </c>
      <c r="F12513" s="3" t="inlineStr">
        <is>
          <t>진흥기업</t>
        </is>
      </c>
      <c r="G12513" s="2" t="inlineStr">
        <is>
          <t>20260623800734</t>
        </is>
      </c>
      <c r="H12513" s="8">
        <f>HYPERLINK("https://dart.fss.or.kr/dsaf001/main.do?rcpNo=20260623800734", "공시열람")</f>
        <v/>
      </c>
    </row>
    <row r="12514">
      <c r="A12514" s="2" t="inlineStr">
        <is>
          <t>2026-06-23</t>
        </is>
      </c>
      <c r="B12514" s="3" t="inlineStr">
        <is>
          <t>부국철강</t>
        </is>
      </c>
      <c r="C12514" s="2" t="inlineStr">
        <is>
          <t>코스피</t>
        </is>
      </c>
      <c r="D12514" s="2" t="inlineStr">
        <is>
          <t>026940</t>
        </is>
      </c>
      <c r="E12514" s="3" t="inlineStr">
        <is>
          <t xml:space="preserve">조회공시요구(현저한시황변동)              </t>
        </is>
      </c>
      <c r="F12514" s="3" t="inlineStr">
        <is>
          <t>유가증권시장본부</t>
        </is>
      </c>
      <c r="G12514" s="2" t="inlineStr">
        <is>
          <t>20260623800729</t>
        </is>
      </c>
      <c r="H12514" s="8">
        <f>HYPERLINK("https://dart.fss.or.kr/dsaf001/main.do?rcpNo=20260623800729", "공시열람")</f>
        <v/>
      </c>
    </row>
    <row r="12515">
      <c r="A12515" s="2" t="inlineStr">
        <is>
          <t>2026-06-23</t>
        </is>
      </c>
      <c r="B12515" s="3" t="inlineStr">
        <is>
          <t>NH투자증권</t>
        </is>
      </c>
      <c r="C12515" s="2" t="inlineStr">
        <is>
          <t>코스피</t>
        </is>
      </c>
      <c r="D12515" s="2" t="inlineStr">
        <is>
          <t>005940</t>
        </is>
      </c>
      <c r="E12515" s="3" t="inlineStr">
        <is>
          <t>투자설명서(일괄신고)</t>
        </is>
      </c>
      <c r="F12515" s="3" t="inlineStr">
        <is>
          <t>NH투자증권</t>
        </is>
      </c>
      <c r="G12515" s="2" t="inlineStr">
        <is>
          <t>20260623000403</t>
        </is>
      </c>
      <c r="H12515" s="8">
        <f>HYPERLINK("https://dart.fss.or.kr/dsaf001/main.do?rcpNo=20260623000403", "공시열람")</f>
        <v/>
      </c>
    </row>
    <row r="12516">
      <c r="A12516" s="2" t="inlineStr">
        <is>
          <t>2026-06-23</t>
        </is>
      </c>
      <c r="B12516" s="3" t="inlineStr">
        <is>
          <t>삼성물산</t>
        </is>
      </c>
      <c r="C12516" s="2" t="inlineStr">
        <is>
          <t>코스피</t>
        </is>
      </c>
      <c r="D12516" s="2" t="inlineStr">
        <is>
          <t>028260</t>
        </is>
      </c>
      <c r="E12516" s="3" t="inlineStr">
        <is>
          <t xml:space="preserve">기업설명회(IR)개최(안내공시)              </t>
        </is>
      </c>
      <c r="F12516" s="3" t="inlineStr">
        <is>
          <t>삼성물산</t>
        </is>
      </c>
      <c r="G12516" s="2" t="inlineStr">
        <is>
          <t>20260623800717</t>
        </is>
      </c>
      <c r="H12516" s="8">
        <f>HYPERLINK("https://dart.fss.or.kr/dsaf001/main.do?rcpNo=20260623800717", "공시열람")</f>
        <v/>
      </c>
    </row>
    <row r="12517">
      <c r="A12517" s="2" t="inlineStr">
        <is>
          <t>2026-06-23</t>
        </is>
      </c>
      <c r="B12517" s="3" t="inlineStr">
        <is>
          <t>NH투자증권</t>
        </is>
      </c>
      <c r="C12517" s="2" t="inlineStr">
        <is>
          <t>코스피</t>
        </is>
      </c>
      <c r="D12517" s="2" t="inlineStr">
        <is>
          <t>005940</t>
        </is>
      </c>
      <c r="E12517" s="3" t="inlineStr">
        <is>
          <t>일괄신고추가서류(기타파생결합사채)</t>
        </is>
      </c>
      <c r="F12517" s="3" t="inlineStr">
        <is>
          <t>NH투자증권</t>
        </is>
      </c>
      <c r="G12517" s="2" t="inlineStr">
        <is>
          <t>20260623000398</t>
        </is>
      </c>
      <c r="H12517" s="8">
        <f>HYPERLINK("https://dart.fss.or.kr/dsaf001/main.do?rcpNo=20260623000398", "공시열람")</f>
        <v/>
      </c>
    </row>
    <row r="12518">
      <c r="A12518" s="2" t="inlineStr">
        <is>
          <t>2026-06-23</t>
        </is>
      </c>
      <c r="B12518" s="3" t="inlineStr">
        <is>
          <t>HLB제넥스</t>
        </is>
      </c>
      <c r="C12518" s="2" t="inlineStr">
        <is>
          <t>코스닥</t>
        </is>
      </c>
      <c r="D12518" s="2" t="inlineStr">
        <is>
          <t>187420</t>
        </is>
      </c>
      <c r="E12518" s="3" t="inlineStr">
        <is>
          <t>임원ㆍ주요주주특정증권등소유상황보고서</t>
        </is>
      </c>
      <c r="F12518" s="3" t="inlineStr">
        <is>
          <t>HLB</t>
        </is>
      </c>
      <c r="G12518" s="2" t="inlineStr">
        <is>
          <t>20260623000396</t>
        </is>
      </c>
      <c r="H12518" s="8">
        <f>HYPERLINK("https://dart.fss.or.kr/dsaf001/main.do?rcpNo=20260623000396", "공시열람")</f>
        <v/>
      </c>
    </row>
    <row r="12519">
      <c r="A12519" s="2" t="inlineStr">
        <is>
          <t>2026-06-23</t>
        </is>
      </c>
      <c r="B12519" s="3" t="inlineStr">
        <is>
          <t>클로봇</t>
        </is>
      </c>
      <c r="C12519" s="2" t="inlineStr">
        <is>
          <t>코스닥</t>
        </is>
      </c>
      <c r="D12519" s="2" t="inlineStr">
        <is>
          <t>466100</t>
        </is>
      </c>
      <c r="E12519" s="3" t="inlineStr">
        <is>
          <t>주요사항보고서(타법인주식및출자증권양수결정)</t>
        </is>
      </c>
      <c r="F12519" s="3" t="inlineStr">
        <is>
          <t>클로봇</t>
        </is>
      </c>
      <c r="G12519" s="2" t="inlineStr">
        <is>
          <t>20260623000387</t>
        </is>
      </c>
      <c r="H12519" s="8">
        <f>HYPERLINK("https://dart.fss.or.kr/dsaf001/main.do?rcpNo=20260623000387", "공시열람")</f>
        <v/>
      </c>
    </row>
    <row r="12520">
      <c r="A12520" s="2" t="inlineStr">
        <is>
          <t>2026-06-23</t>
        </is>
      </c>
      <c r="B12520" s="3" t="inlineStr">
        <is>
          <t>지투파워</t>
        </is>
      </c>
      <c r="C12520" s="2" t="inlineStr">
        <is>
          <t>코스닥</t>
        </is>
      </c>
      <c r="D12520" s="2" t="inlineStr">
        <is>
          <t>388050</t>
        </is>
      </c>
      <c r="E12520" s="3" t="inlineStr">
        <is>
          <t xml:space="preserve">기업설명회(IR)개최              </t>
        </is>
      </c>
      <c r="F12520" s="3" t="inlineStr">
        <is>
          <t>지투파워</t>
        </is>
      </c>
      <c r="G12520" s="2" t="inlineStr">
        <is>
          <t>20260623900721</t>
        </is>
      </c>
      <c r="H12520" s="8">
        <f>HYPERLINK("https://dart.fss.or.kr/dsaf001/main.do?rcpNo=20260623900721", "공시열람")</f>
        <v/>
      </c>
    </row>
    <row r="12521">
      <c r="A12521" s="2" t="inlineStr">
        <is>
          <t>2026-06-23</t>
        </is>
      </c>
      <c r="B12521" s="3" t="inlineStr">
        <is>
          <t>파두</t>
        </is>
      </c>
      <c r="C12521" s="2" t="inlineStr">
        <is>
          <t>코스닥</t>
        </is>
      </c>
      <c r="D12521" s="2" t="inlineStr">
        <is>
          <t>440110</t>
        </is>
      </c>
      <c r="E12521" s="3" t="inlineStr">
        <is>
          <t>임원ㆍ주요주주특정증권등소유상황보고서</t>
        </is>
      </c>
      <c r="F12521" s="3" t="inlineStr">
        <is>
          <t>이성갑</t>
        </is>
      </c>
      <c r="G12521" s="2" t="inlineStr">
        <is>
          <t>20260623000392</t>
        </is>
      </c>
      <c r="H12521" s="8">
        <f>HYPERLINK("https://dart.fss.or.kr/dsaf001/main.do?rcpNo=20260623000392", "공시열람")</f>
        <v/>
      </c>
    </row>
    <row r="12522">
      <c r="A12522" s="2" t="inlineStr">
        <is>
          <t>2026-06-23</t>
        </is>
      </c>
      <c r="B12522" s="3" t="inlineStr">
        <is>
          <t>동성제약</t>
        </is>
      </c>
      <c r="C12522" s="2" t="inlineStr">
        <is>
          <t>코스피</t>
        </is>
      </c>
      <c r="D12522" s="2" t="inlineStr">
        <is>
          <t>002210</t>
        </is>
      </c>
      <c r="E12522" s="3" t="inlineStr">
        <is>
          <t>기타시장안내              (기업심사위원회 속행 결정 안내)</t>
        </is>
      </c>
      <c r="F12522" s="3" t="inlineStr">
        <is>
          <t>유가증권시장본부</t>
        </is>
      </c>
      <c r="G12522" s="2" t="inlineStr">
        <is>
          <t>20260623800708</t>
        </is>
      </c>
      <c r="H12522" s="8">
        <f>HYPERLINK("https://dart.fss.or.kr/dsaf001/main.do?rcpNo=20260623800708", "공시열람")</f>
        <v/>
      </c>
    </row>
    <row r="12523">
      <c r="A12523" s="2" t="inlineStr">
        <is>
          <t>2026-06-23</t>
        </is>
      </c>
      <c r="B12523" s="3" t="inlineStr">
        <is>
          <t>파두</t>
        </is>
      </c>
      <c r="C12523" s="2" t="inlineStr">
        <is>
          <t>코스닥</t>
        </is>
      </c>
      <c r="D12523" s="2" t="inlineStr">
        <is>
          <t>440110</t>
        </is>
      </c>
      <c r="E12523" s="3" t="inlineStr">
        <is>
          <t>임원ㆍ주요주주특정증권등소유상황보고서</t>
        </is>
      </c>
      <c r="F12523" s="3" t="inlineStr">
        <is>
          <t>박상현</t>
        </is>
      </c>
      <c r="G12523" s="2" t="inlineStr">
        <is>
          <t>20260623000390</t>
        </is>
      </c>
      <c r="H12523" s="8">
        <f>HYPERLINK("https://dart.fss.or.kr/dsaf001/main.do?rcpNo=20260623000390", "공시열람")</f>
        <v/>
      </c>
    </row>
    <row r="12524">
      <c r="A12524" s="2" t="inlineStr">
        <is>
          <t>2026-06-23</t>
        </is>
      </c>
      <c r="B12524" s="3" t="inlineStr">
        <is>
          <t>HDC</t>
        </is>
      </c>
      <c r="C12524" s="2" t="inlineStr">
        <is>
          <t>코스피</t>
        </is>
      </c>
      <c r="D12524" s="2" t="inlineStr">
        <is>
          <t>012630</t>
        </is>
      </c>
      <c r="E12524" s="3" t="inlineStr">
        <is>
          <t>특수관계인에대한자금대여</t>
        </is>
      </c>
      <c r="F12524" s="3" t="inlineStr">
        <is>
          <t>HDC</t>
        </is>
      </c>
      <c r="G12524" s="2" t="inlineStr">
        <is>
          <t>20260623000388</t>
        </is>
      </c>
      <c r="H12524" s="8">
        <f>HYPERLINK("https://dart.fss.or.kr/dsaf001/main.do?rcpNo=20260623000388", "공시열람")</f>
        <v/>
      </c>
    </row>
    <row r="12525">
      <c r="A12525" s="2" t="inlineStr">
        <is>
          <t>2026-06-23</t>
        </is>
      </c>
      <c r="B12525" s="3" t="inlineStr">
        <is>
          <t>진흥기업</t>
        </is>
      </c>
      <c r="C12525" s="2" t="inlineStr">
        <is>
          <t>코스피</t>
        </is>
      </c>
      <c r="D12525" s="2" t="inlineStr">
        <is>
          <t>002780</t>
        </is>
      </c>
      <c r="E12525" s="3" t="inlineStr">
        <is>
          <t xml:space="preserve">주식병합결정              </t>
        </is>
      </c>
      <c r="F12525" s="3" t="inlineStr">
        <is>
          <t>진흥기업</t>
        </is>
      </c>
      <c r="G12525" s="2" t="inlineStr">
        <is>
          <t>20260623800671</t>
        </is>
      </c>
      <c r="H12525" s="8">
        <f>HYPERLINK("https://dart.fss.or.kr/dsaf001/main.do?rcpNo=20260623800671", "공시열람")</f>
        <v/>
      </c>
    </row>
    <row r="12526">
      <c r="A12526" s="2" t="inlineStr">
        <is>
          <t>2026-06-23</t>
        </is>
      </c>
      <c r="B12526" s="3" t="inlineStr">
        <is>
          <t>나우로보틱스</t>
        </is>
      </c>
      <c r="C12526" s="2" t="inlineStr">
        <is>
          <t>코스닥</t>
        </is>
      </c>
      <c r="D12526" s="2" t="inlineStr">
        <is>
          <t>459510</t>
        </is>
      </c>
      <c r="E12526" s="3" t="inlineStr">
        <is>
          <t xml:space="preserve">기업설명회(IR)개최              </t>
        </is>
      </c>
      <c r="F12526" s="3" t="inlineStr">
        <is>
          <t>나우로보틱스</t>
        </is>
      </c>
      <c r="G12526" s="2" t="inlineStr">
        <is>
          <t>20260623900684</t>
        </is>
      </c>
      <c r="H12526" s="8">
        <f>HYPERLINK("https://dart.fss.or.kr/dsaf001/main.do?rcpNo=20260623900684", "공시열람")</f>
        <v/>
      </c>
    </row>
    <row r="12527">
      <c r="A12527" s="2" t="inlineStr">
        <is>
          <t>2026-06-23</t>
        </is>
      </c>
      <c r="B12527" s="3" t="inlineStr">
        <is>
          <t>신한지주</t>
        </is>
      </c>
      <c r="C12527" s="2" t="inlineStr">
        <is>
          <t>코스피</t>
        </is>
      </c>
      <c r="D12527" s="2" t="inlineStr">
        <is>
          <t>055550</t>
        </is>
      </c>
      <c r="E12527" s="3" t="inlineStr">
        <is>
          <t>투자설명서(일괄신고)</t>
        </is>
      </c>
      <c r="F12527" s="3" t="inlineStr">
        <is>
          <t>신한지주</t>
        </is>
      </c>
      <c r="G12527" s="2" t="inlineStr">
        <is>
          <t>20260623000386</t>
        </is>
      </c>
      <c r="H12527" s="8">
        <f>HYPERLINK("https://dart.fss.or.kr/dsaf001/main.do?rcpNo=20260623000386", "공시열람")</f>
        <v/>
      </c>
    </row>
    <row r="12528">
      <c r="A12528" s="2" t="inlineStr">
        <is>
          <t>2026-06-23</t>
        </is>
      </c>
      <c r="B12528" s="3" t="inlineStr">
        <is>
          <t>지슨</t>
        </is>
      </c>
      <c r="C12528" s="2" t="inlineStr">
        <is>
          <t>코스닥</t>
        </is>
      </c>
      <c r="D12528" s="2" t="inlineStr">
        <is>
          <t>446840</t>
        </is>
      </c>
      <c r="E12528" s="3" t="inlineStr">
        <is>
          <t>주권매매거래정지              (주식의 병합, 분할 등 전자등록 변경, 말소)</t>
        </is>
      </c>
      <c r="F12528" s="3" t="inlineStr">
        <is>
          <t>코스닥시장본부</t>
        </is>
      </c>
      <c r="G12528" s="2" t="inlineStr">
        <is>
          <t>20260623900613</t>
        </is>
      </c>
      <c r="H12528" s="8">
        <f>HYPERLINK("https://dart.fss.or.kr/dsaf001/main.do?rcpNo=20260623900613", "공시열람")</f>
        <v/>
      </c>
    </row>
    <row r="12529">
      <c r="A12529" s="2" t="inlineStr">
        <is>
          <t>2026-06-23</t>
        </is>
      </c>
      <c r="B12529" s="3" t="inlineStr">
        <is>
          <t>아이에이</t>
        </is>
      </c>
      <c r="C12529" s="2" t="inlineStr">
        <is>
          <t>코스닥</t>
        </is>
      </c>
      <c r="D12529" s="2" t="inlineStr">
        <is>
          <t>038880</t>
        </is>
      </c>
      <c r="E12529" s="3" t="inlineStr">
        <is>
          <t>주권매매거래정지해제              (감자 주권 변경상장)</t>
        </is>
      </c>
      <c r="F12529" s="3" t="inlineStr">
        <is>
          <t>코스닥시장본부</t>
        </is>
      </c>
      <c r="G12529" s="2" t="inlineStr">
        <is>
          <t>20260623900612</t>
        </is>
      </c>
      <c r="H12529" s="8">
        <f>HYPERLINK("https://dart.fss.or.kr/dsaf001/main.do?rcpNo=20260623900612", "공시열람")</f>
        <v/>
      </c>
    </row>
    <row r="12530">
      <c r="A12530" s="2" t="inlineStr">
        <is>
          <t>2026-06-23</t>
        </is>
      </c>
      <c r="B12530" s="3" t="inlineStr">
        <is>
          <t>계룡건설산업</t>
        </is>
      </c>
      <c r="C12530" s="2" t="inlineStr">
        <is>
          <t>코스피</t>
        </is>
      </c>
      <c r="D12530" s="2" t="inlineStr">
        <is>
          <t>013580</t>
        </is>
      </c>
      <c r="E12530" s="3" t="inlineStr">
        <is>
          <t xml:space="preserve">투자판단관련주요경영사항              </t>
        </is>
      </c>
      <c r="F12530" s="3" t="inlineStr">
        <is>
          <t>계룡건설산업</t>
        </is>
      </c>
      <c r="G12530" s="2" t="inlineStr">
        <is>
          <t>20260623800656</t>
        </is>
      </c>
      <c r="H12530" s="8">
        <f>HYPERLINK("https://dart.fss.or.kr/dsaf001/main.do?rcpNo=20260623800656", "공시열람")</f>
        <v/>
      </c>
    </row>
    <row r="12531">
      <c r="A12531" s="2" t="inlineStr">
        <is>
          <t>2026-06-23</t>
        </is>
      </c>
      <c r="B12531" s="3" t="inlineStr">
        <is>
          <t>동부건설</t>
        </is>
      </c>
      <c r="C12531" s="2" t="inlineStr">
        <is>
          <t>코스피</t>
        </is>
      </c>
      <c r="D12531" s="2" t="inlineStr">
        <is>
          <t>005960</t>
        </is>
      </c>
      <c r="E12531" s="3" t="inlineStr">
        <is>
          <t xml:space="preserve">투자판단관련주요경영사항              </t>
        </is>
      </c>
      <c r="F12531" s="3" t="inlineStr">
        <is>
          <t>동부건설</t>
        </is>
      </c>
      <c r="G12531" s="2" t="inlineStr">
        <is>
          <t>20260623800650</t>
        </is>
      </c>
      <c r="H12531" s="8">
        <f>HYPERLINK("https://dart.fss.or.kr/dsaf001/main.do?rcpNo=20260623800650", "공시열람")</f>
        <v/>
      </c>
    </row>
    <row r="12532">
      <c r="A12532" s="2" t="inlineStr">
        <is>
          <t>2026-06-23</t>
        </is>
      </c>
      <c r="B12532" s="3" t="inlineStr">
        <is>
          <t>한전기술</t>
        </is>
      </c>
      <c r="C12532" s="2" t="inlineStr">
        <is>
          <t>코스피</t>
        </is>
      </c>
      <c r="D12532" s="2" t="inlineStr">
        <is>
          <t>052690</t>
        </is>
      </c>
      <c r="E12532" s="3" t="inlineStr">
        <is>
          <t xml:space="preserve">중대재해발생              </t>
        </is>
      </c>
      <c r="F12532" s="3" t="inlineStr">
        <is>
          <t>한전기술</t>
        </is>
      </c>
      <c r="G12532" s="2" t="inlineStr">
        <is>
          <t>20260623800668</t>
        </is>
      </c>
      <c r="H12532" s="8">
        <f>HYPERLINK("https://dart.fss.or.kr/dsaf001/main.do?rcpNo=20260623800668", "공시열람")</f>
        <v/>
      </c>
    </row>
    <row r="12533">
      <c r="A12533" s="2" t="inlineStr">
        <is>
          <t>2026-06-23</t>
        </is>
      </c>
      <c r="B12533" s="3" t="inlineStr">
        <is>
          <t>대신증권</t>
        </is>
      </c>
      <c r="C12533" s="2" t="inlineStr">
        <is>
          <t>코스피</t>
        </is>
      </c>
      <c r="D12533" s="2" t="inlineStr">
        <is>
          <t>003540</t>
        </is>
      </c>
      <c r="E12533" s="3" t="inlineStr">
        <is>
          <t>증권발행실적보고서</t>
        </is>
      </c>
      <c r="F12533" s="3" t="inlineStr">
        <is>
          <t>대신증권</t>
        </is>
      </c>
      <c r="G12533" s="2" t="inlineStr">
        <is>
          <t>20260623000377</t>
        </is>
      </c>
      <c r="H12533" s="8">
        <f>HYPERLINK("https://dart.fss.or.kr/dsaf001/main.do?rcpNo=20260623000377", "공시열람")</f>
        <v/>
      </c>
    </row>
    <row r="12534">
      <c r="A12534" s="2" t="inlineStr">
        <is>
          <t>2026-06-23</t>
        </is>
      </c>
      <c r="B12534" s="3" t="inlineStr">
        <is>
          <t>코어라인소프트</t>
        </is>
      </c>
      <c r="C12534" s="2" t="inlineStr">
        <is>
          <t>코스닥</t>
        </is>
      </c>
      <c r="D12534" s="2" t="inlineStr">
        <is>
          <t>384470</t>
        </is>
      </c>
      <c r="E12534" s="3" t="inlineStr">
        <is>
          <t>투자판단관련주요경영사항              ([국책과제 선정] CT기반 폐질환 인공지능 진단보조 소프트웨어 의료기기 2종의 안전성 및 유효성 검증을 위한 임상시험 및 미국 FDA 인허가 획득)</t>
        </is>
      </c>
      <c r="F12534" s="3" t="inlineStr">
        <is>
          <t>코어라인소프트</t>
        </is>
      </c>
      <c r="G12534" s="2" t="inlineStr">
        <is>
          <t>20260623900661</t>
        </is>
      </c>
      <c r="H12534" s="8">
        <f>HYPERLINK("https://dart.fss.or.kr/dsaf001/main.do?rcpNo=20260623900661", "공시열람")</f>
        <v/>
      </c>
    </row>
    <row r="12535">
      <c r="A12535" s="2" t="inlineStr">
        <is>
          <t>2026-06-23</t>
        </is>
      </c>
      <c r="B12535" s="3" t="inlineStr">
        <is>
          <t>넵튠</t>
        </is>
      </c>
      <c r="C12535" s="2" t="inlineStr">
        <is>
          <t>코스닥</t>
        </is>
      </c>
      <c r="D12535" s="2" t="inlineStr">
        <is>
          <t>217270</t>
        </is>
      </c>
      <c r="E12535" s="3" t="inlineStr">
        <is>
          <t>주요사항보고서(자기주식처분결정)</t>
        </is>
      </c>
      <c r="F12535" s="3" t="inlineStr">
        <is>
          <t>넵튠</t>
        </is>
      </c>
      <c r="G12535" s="2" t="inlineStr">
        <is>
          <t>20260623000352</t>
        </is>
      </c>
      <c r="H12535" s="8">
        <f>HYPERLINK("https://dart.fss.or.kr/dsaf001/main.do?rcpNo=20260623000352", "공시열람")</f>
        <v/>
      </c>
    </row>
    <row r="12536">
      <c r="A12536" s="2" t="inlineStr">
        <is>
          <t>2026-06-23</t>
        </is>
      </c>
      <c r="B12536" s="3" t="inlineStr">
        <is>
          <t>신한지주</t>
        </is>
      </c>
      <c r="C12536" s="2" t="inlineStr">
        <is>
          <t>코스피</t>
        </is>
      </c>
      <c r="D12536" s="2" t="inlineStr">
        <is>
          <t>055550</t>
        </is>
      </c>
      <c r="E12536" s="3" t="inlineStr">
        <is>
          <t>일괄신고추가서류</t>
        </is>
      </c>
      <c r="F12536" s="3" t="inlineStr">
        <is>
          <t>신한지주</t>
        </is>
      </c>
      <c r="G12536" s="2" t="inlineStr">
        <is>
          <t>20260623000375</t>
        </is>
      </c>
      <c r="H12536" s="8">
        <f>HYPERLINK("https://dart.fss.or.kr/dsaf001/main.do?rcpNo=20260623000375", "공시열람")</f>
        <v/>
      </c>
    </row>
    <row r="12537">
      <c r="A12537" s="2" t="inlineStr">
        <is>
          <t>2026-06-23</t>
        </is>
      </c>
      <c r="B12537" s="3" t="inlineStr">
        <is>
          <t>대신증권</t>
        </is>
      </c>
      <c r="C12537" s="2" t="inlineStr">
        <is>
          <t>코스피</t>
        </is>
      </c>
      <c r="D12537" s="2" t="inlineStr">
        <is>
          <t>003540</t>
        </is>
      </c>
      <c r="E12537" s="3" t="inlineStr">
        <is>
          <t>증권발행실적보고서</t>
        </is>
      </c>
      <c r="F12537" s="3" t="inlineStr">
        <is>
          <t>대신증권</t>
        </is>
      </c>
      <c r="G12537" s="2" t="inlineStr">
        <is>
          <t>20260623000374</t>
        </is>
      </c>
      <c r="H12537" s="8">
        <f>HYPERLINK("https://dart.fss.or.kr/dsaf001/main.do?rcpNo=20260623000374", "공시열람")</f>
        <v/>
      </c>
    </row>
    <row r="12538">
      <c r="A12538" s="2" t="inlineStr">
        <is>
          <t>2026-06-23</t>
        </is>
      </c>
      <c r="B12538" s="3" t="inlineStr">
        <is>
          <t>소룩스</t>
        </is>
      </c>
      <c r="C12538" s="2" t="inlineStr">
        <is>
          <t>코스닥</t>
        </is>
      </c>
      <c r="D12538" s="2" t="inlineStr">
        <is>
          <t>290690</t>
        </is>
      </c>
      <c r="E12538" s="3" t="inlineStr">
        <is>
          <t>[첨부정정]증권신고서(합병)</t>
        </is>
      </c>
      <c r="F12538" s="3" t="inlineStr">
        <is>
          <t>소룩스</t>
        </is>
      </c>
      <c r="G12538" s="2" t="inlineStr">
        <is>
          <t>20260623000373</t>
        </is>
      </c>
      <c r="H12538" s="8">
        <f>HYPERLINK("https://dart.fss.or.kr/dsaf001/main.do?rcpNo=20260623000373", "공시열람")</f>
        <v/>
      </c>
    </row>
    <row r="12539">
      <c r="A12539" s="2" t="inlineStr">
        <is>
          <t>2026-06-23</t>
        </is>
      </c>
      <c r="B12539" s="3" t="inlineStr">
        <is>
          <t>두산</t>
        </is>
      </c>
      <c r="C12539" s="2" t="inlineStr">
        <is>
          <t>코스피</t>
        </is>
      </c>
      <c r="D12539" s="2" t="inlineStr">
        <is>
          <t>000150</t>
        </is>
      </c>
      <c r="E12539" s="3" t="inlineStr">
        <is>
          <t>특수관계인과의내부거래</t>
        </is>
      </c>
      <c r="F12539" s="3" t="inlineStr">
        <is>
          <t>두산</t>
        </is>
      </c>
      <c r="G12539" s="2" t="inlineStr">
        <is>
          <t>20260623000370</t>
        </is>
      </c>
      <c r="H12539" s="8">
        <f>HYPERLINK("https://dart.fss.or.kr/dsaf001/main.do?rcpNo=20260623000370", "공시열람")</f>
        <v/>
      </c>
    </row>
    <row r="12540">
      <c r="A12540" s="2" t="inlineStr">
        <is>
          <t>2026-06-23</t>
        </is>
      </c>
      <c r="B12540" s="3" t="inlineStr">
        <is>
          <t>레드우즈</t>
        </is>
      </c>
      <c r="C12540" s="2" t="inlineStr">
        <is>
          <t>코넥스</t>
        </is>
      </c>
      <c r="D12540" s="2" t="inlineStr">
        <is>
          <t>266170</t>
        </is>
      </c>
      <c r="E12540" s="3" t="inlineStr">
        <is>
          <t xml:space="preserve">사채원리금미지급발생              </t>
        </is>
      </c>
      <c r="F12540" s="3" t="inlineStr">
        <is>
          <t>레드우즈</t>
        </is>
      </c>
      <c r="G12540" s="2" t="inlineStr">
        <is>
          <t>20260623600641</t>
        </is>
      </c>
      <c r="H12540" s="8">
        <f>HYPERLINK("https://dart.fss.or.kr/dsaf001/main.do?rcpNo=20260623600641", "공시열람")</f>
        <v/>
      </c>
    </row>
    <row r="12541">
      <c r="A12541" s="2" t="inlineStr">
        <is>
          <t>2026-06-23</t>
        </is>
      </c>
      <c r="B12541" s="3" t="inlineStr">
        <is>
          <t>소룩스</t>
        </is>
      </c>
      <c r="C12541" s="2" t="inlineStr">
        <is>
          <t>코스닥</t>
        </is>
      </c>
      <c r="D12541" s="2" t="inlineStr">
        <is>
          <t>290690</t>
        </is>
      </c>
      <c r="E12541" s="3" t="inlineStr">
        <is>
          <t>[기재정정]증권신고서(합병)</t>
        </is>
      </c>
      <c r="F12541" s="3" t="inlineStr">
        <is>
          <t>소룩스</t>
        </is>
      </c>
      <c r="G12541" s="2" t="inlineStr">
        <is>
          <t>20260623000368</t>
        </is>
      </c>
      <c r="H12541" s="8">
        <f>HYPERLINK("https://dart.fss.or.kr/dsaf001/main.do?rcpNo=20260623000368", "공시열람")</f>
        <v/>
      </c>
    </row>
    <row r="12542">
      <c r="A12542" s="2" t="inlineStr">
        <is>
          <t>2026-06-23</t>
        </is>
      </c>
      <c r="B12542" s="3" t="inlineStr">
        <is>
          <t>대신증권</t>
        </is>
      </c>
      <c r="C12542" s="2" t="inlineStr">
        <is>
          <t>코스피</t>
        </is>
      </c>
      <c r="D12542" s="2" t="inlineStr">
        <is>
          <t>003540</t>
        </is>
      </c>
      <c r="E12542" s="3" t="inlineStr">
        <is>
          <t>증권발행실적보고서</t>
        </is>
      </c>
      <c r="F12542" s="3" t="inlineStr">
        <is>
          <t>대신증권</t>
        </is>
      </c>
      <c r="G12542" s="2" t="inlineStr">
        <is>
          <t>20260623000366</t>
        </is>
      </c>
      <c r="H12542" s="8">
        <f>HYPERLINK("https://dart.fss.or.kr/dsaf001/main.do?rcpNo=20260623000366", "공시열람")</f>
        <v/>
      </c>
    </row>
    <row r="12543">
      <c r="A12543" s="2" t="inlineStr">
        <is>
          <t>2026-06-23</t>
        </is>
      </c>
      <c r="B12543" s="3" t="inlineStr">
        <is>
          <t>넵튠</t>
        </is>
      </c>
      <c r="C12543" s="2" t="inlineStr">
        <is>
          <t>코스닥</t>
        </is>
      </c>
      <c r="D12543" s="2" t="inlineStr">
        <is>
          <t>217270</t>
        </is>
      </c>
      <c r="E12543" s="3" t="inlineStr">
        <is>
          <t>[기재정정]주식매수선택권부여에관한신고</t>
        </is>
      </c>
      <c r="F12543" s="3" t="inlineStr">
        <is>
          <t>넵튠</t>
        </is>
      </c>
      <c r="G12543" s="2" t="inlineStr">
        <is>
          <t>20260623000364</t>
        </is>
      </c>
      <c r="H12543" s="8">
        <f>HYPERLINK("https://dart.fss.or.kr/dsaf001/main.do?rcpNo=20260623000364", "공시열람")</f>
        <v/>
      </c>
    </row>
    <row r="12544">
      <c r="A12544" s="2" t="inlineStr">
        <is>
          <t>2026-06-23</t>
        </is>
      </c>
      <c r="B12544" s="3" t="inlineStr">
        <is>
          <t>3S</t>
        </is>
      </c>
      <c r="C12544" s="2" t="inlineStr">
        <is>
          <t>코스닥</t>
        </is>
      </c>
      <c r="D12544" s="2" t="inlineStr">
        <is>
          <t>060310</t>
        </is>
      </c>
      <c r="E12544" s="3" t="inlineStr">
        <is>
          <t>임원ㆍ주요주주특정증권등소유상황보고서</t>
        </is>
      </c>
      <c r="F12544" s="3" t="inlineStr">
        <is>
          <t>한국웨이퍼홀딩스</t>
        </is>
      </c>
      <c r="G12544" s="2" t="inlineStr">
        <is>
          <t>20260623000363</t>
        </is>
      </c>
      <c r="H12544" s="8">
        <f>HYPERLINK("https://dart.fss.or.kr/dsaf001/main.do?rcpNo=20260623000363", "공시열람")</f>
        <v/>
      </c>
    </row>
    <row r="12545">
      <c r="A12545" s="2" t="inlineStr">
        <is>
          <t>2026-06-23</t>
        </is>
      </c>
      <c r="B12545" s="3" t="inlineStr">
        <is>
          <t>대신증권</t>
        </is>
      </c>
      <c r="C12545" s="2" t="inlineStr">
        <is>
          <t>코스피</t>
        </is>
      </c>
      <c r="D12545" s="2" t="inlineStr">
        <is>
          <t>003540</t>
        </is>
      </c>
      <c r="E12545" s="3" t="inlineStr">
        <is>
          <t>투자설명서(일괄신고)</t>
        </is>
      </c>
      <c r="F12545" s="3" t="inlineStr">
        <is>
          <t>대신증권</t>
        </is>
      </c>
      <c r="G12545" s="2" t="inlineStr">
        <is>
          <t>20260623000361</t>
        </is>
      </c>
      <c r="H12545" s="8">
        <f>HYPERLINK("https://dart.fss.or.kr/dsaf001/main.do?rcpNo=20260623000361", "공시열람")</f>
        <v/>
      </c>
    </row>
    <row r="12546">
      <c r="A12546" s="2" t="inlineStr">
        <is>
          <t>2026-06-23</t>
        </is>
      </c>
      <c r="B12546" s="3" t="inlineStr">
        <is>
          <t>씨엑스아이</t>
        </is>
      </c>
      <c r="C12546" s="2" t="inlineStr">
        <is>
          <t>코스닥</t>
        </is>
      </c>
      <c r="D12546" s="2" t="inlineStr">
        <is>
          <t>900120</t>
        </is>
      </c>
      <c r="E12546" s="3" t="inlineStr">
        <is>
          <t>주권매매거래정지해제              (감자 주권 변경상장 등)</t>
        </is>
      </c>
      <c r="F12546" s="3" t="inlineStr">
        <is>
          <t>코스닥시장본부</t>
        </is>
      </c>
      <c r="G12546" s="2" t="inlineStr">
        <is>
          <t>20260623900570</t>
        </is>
      </c>
      <c r="H12546" s="8">
        <f>HYPERLINK("https://dart.fss.or.kr/dsaf001/main.do?rcpNo=20260623900570", "공시열람")</f>
        <v/>
      </c>
    </row>
    <row r="12547">
      <c r="A12547" s="2" t="inlineStr">
        <is>
          <t>2026-06-23</t>
        </is>
      </c>
      <c r="B12547" s="3" t="inlineStr">
        <is>
          <t>넵튠</t>
        </is>
      </c>
      <c r="C12547" s="2" t="inlineStr">
        <is>
          <t>코스닥</t>
        </is>
      </c>
      <c r="D12547" s="2" t="inlineStr">
        <is>
          <t>217270</t>
        </is>
      </c>
      <c r="E12547" s="3" t="inlineStr">
        <is>
          <t>[기재정정]주식매수선택권부여에관한신고</t>
        </is>
      </c>
      <c r="F12547" s="3" t="inlineStr">
        <is>
          <t>넵튠</t>
        </is>
      </c>
      <c r="G12547" s="2" t="inlineStr">
        <is>
          <t>20260623000360</t>
        </is>
      </c>
      <c r="H12547" s="8">
        <f>HYPERLINK("https://dart.fss.or.kr/dsaf001/main.do?rcpNo=20260623000360", "공시열람")</f>
        <v/>
      </c>
    </row>
    <row r="12548">
      <c r="A12548" s="2" t="inlineStr">
        <is>
          <t>2026-06-23</t>
        </is>
      </c>
      <c r="B12548" s="3" t="inlineStr">
        <is>
          <t>현대차증권</t>
        </is>
      </c>
      <c r="C12548" s="2" t="inlineStr">
        <is>
          <t>코스피</t>
        </is>
      </c>
      <c r="D12548" s="2" t="inlineStr">
        <is>
          <t>001500</t>
        </is>
      </c>
      <c r="E12548" s="3" t="inlineStr">
        <is>
          <t>투자설명서(일괄신고)</t>
        </is>
      </c>
      <c r="F12548" s="3" t="inlineStr">
        <is>
          <t>현대차증권</t>
        </is>
      </c>
      <c r="G12548" s="2" t="inlineStr">
        <is>
          <t>20260623000359</t>
        </is>
      </c>
      <c r="H12548" s="8">
        <f>HYPERLINK("https://dart.fss.or.kr/dsaf001/main.do?rcpNo=20260623000359", "공시열람")</f>
        <v/>
      </c>
    </row>
    <row r="12549">
      <c r="A12549" s="2" t="inlineStr">
        <is>
          <t>2026-06-23 (정정: 2026-06-24)</t>
        </is>
      </c>
      <c r="B12549" s="3" t="inlineStr">
        <is>
          <t>오리엔트바이오</t>
        </is>
      </c>
      <c r="C12549" s="2" t="inlineStr">
        <is>
          <t>코스피</t>
        </is>
      </c>
      <c r="D12549" s="2" t="inlineStr">
        <is>
          <t>002630</t>
        </is>
      </c>
      <c r="E12549" s="3" t="inlineStr">
        <is>
          <t>임원ㆍ주요주주특정증권등거래계획보고서 (정정: 20260624)</t>
        </is>
      </c>
      <c r="F12549" s="3" t="inlineStr">
        <is>
          <t>오리엔트</t>
        </is>
      </c>
      <c r="G12549" s="2" t="inlineStr">
        <is>
          <t>20260624000175</t>
        </is>
      </c>
      <c r="H12549" s="8">
        <f>HYPERLINK("https://dart.fss.or.kr/dsaf001/main.do?rcpNo=20260624000175", "공시열람")</f>
        <v/>
      </c>
    </row>
    <row r="12550">
      <c r="A12550" s="2" t="inlineStr">
        <is>
          <t>2026-06-23</t>
        </is>
      </c>
      <c r="B12550" s="3" t="inlineStr">
        <is>
          <t>티앤엘</t>
        </is>
      </c>
      <c r="C12550" s="2" t="inlineStr">
        <is>
          <t>코스닥</t>
        </is>
      </c>
      <c r="D12550" s="2" t="inlineStr">
        <is>
          <t>340570</t>
        </is>
      </c>
      <c r="E12550" s="3" t="inlineStr">
        <is>
          <t>신탁계약에의한취득상황보고서</t>
        </is>
      </c>
      <c r="F12550" s="3" t="inlineStr">
        <is>
          <t>티앤엘</t>
        </is>
      </c>
      <c r="G12550" s="2" t="inlineStr">
        <is>
          <t>20260623000355</t>
        </is>
      </c>
      <c r="H12550" s="8">
        <f>HYPERLINK("https://dart.fss.or.kr/dsaf001/main.do?rcpNo=20260623000355", "공시열람")</f>
        <v/>
      </c>
    </row>
    <row r="12551">
      <c r="A12551" s="2" t="inlineStr">
        <is>
          <t>2026-06-23</t>
        </is>
      </c>
      <c r="B12551" s="3" t="inlineStr">
        <is>
          <t>KBG</t>
        </is>
      </c>
      <c r="C12551" s="2" t="inlineStr">
        <is>
          <t>코스닥</t>
        </is>
      </c>
      <c r="D12551" s="2" t="inlineStr">
        <is>
          <t>318000</t>
        </is>
      </c>
      <c r="E12551" s="3" t="inlineStr">
        <is>
          <t>임원ㆍ주요주주특정증권등소유상황보고서</t>
        </is>
      </c>
      <c r="F12551" s="3" t="inlineStr">
        <is>
          <t>부삼열</t>
        </is>
      </c>
      <c r="G12551" s="2" t="inlineStr">
        <is>
          <t>20260623000354</t>
        </is>
      </c>
      <c r="H12551" s="8">
        <f>HYPERLINK("https://dart.fss.or.kr/dsaf001/main.do?rcpNo=20260623000354", "공시열람")</f>
        <v/>
      </c>
    </row>
    <row r="12552">
      <c r="A12552" s="2" t="inlineStr">
        <is>
          <t>2026-06-23</t>
        </is>
      </c>
      <c r="B12552" s="3" t="inlineStr">
        <is>
          <t>코리아써키트</t>
        </is>
      </c>
      <c r="C12552" s="2" t="inlineStr">
        <is>
          <t>코스피</t>
        </is>
      </c>
      <c r="D12552" s="2" t="inlineStr">
        <is>
          <t>007810</t>
        </is>
      </c>
      <c r="E12552" s="3" t="inlineStr">
        <is>
          <t>임원ㆍ주요주주특정증권등소유상황보고서</t>
        </is>
      </c>
      <c r="F12552" s="3" t="inlineStr">
        <is>
          <t>국민연금공단</t>
        </is>
      </c>
      <c r="G12552" s="2" t="inlineStr">
        <is>
          <t>20260623000350</t>
        </is>
      </c>
      <c r="H12552" s="8">
        <f>HYPERLINK("https://dart.fss.or.kr/dsaf001/main.do?rcpNo=20260623000350", "공시열람")</f>
        <v/>
      </c>
    </row>
    <row r="12553">
      <c r="A12553" s="2" t="inlineStr">
        <is>
          <t>2026-06-23</t>
        </is>
      </c>
      <c r="B12553" s="3" t="inlineStr">
        <is>
          <t>KBG</t>
        </is>
      </c>
      <c r="C12553" s="2" t="inlineStr">
        <is>
          <t>코스닥</t>
        </is>
      </c>
      <c r="D12553" s="2" t="inlineStr">
        <is>
          <t>318000</t>
        </is>
      </c>
      <c r="E12553" s="3" t="inlineStr">
        <is>
          <t>임원ㆍ주요주주특정증권등소유상황보고서</t>
        </is>
      </c>
      <c r="F12553" s="3" t="inlineStr">
        <is>
          <t>부태웅</t>
        </is>
      </c>
      <c r="G12553" s="2" t="inlineStr">
        <is>
          <t>20260623000349</t>
        </is>
      </c>
      <c r="H12553" s="8">
        <f>HYPERLINK("https://dart.fss.or.kr/dsaf001/main.do?rcpNo=20260623000349", "공시열람")</f>
        <v/>
      </c>
    </row>
    <row r="12554">
      <c r="A12554" s="2" t="inlineStr">
        <is>
          <t>2026-06-23</t>
        </is>
      </c>
      <c r="B12554" s="3" t="inlineStr">
        <is>
          <t>미래에셋비전스팩8호</t>
        </is>
      </c>
      <c r="C12554" s="2" t="inlineStr">
        <is>
          <t>코스닥</t>
        </is>
      </c>
      <c r="D12554" s="2" t="inlineStr">
        <is>
          <t>0093G0</t>
        </is>
      </c>
      <c r="E12554" s="3" t="inlineStr">
        <is>
          <t>임원ㆍ주요주주특정증권등소유상황보고서</t>
        </is>
      </c>
      <c r="F12554" s="3" t="inlineStr">
        <is>
          <t>미래에셋증권</t>
        </is>
      </c>
      <c r="G12554" s="2" t="inlineStr">
        <is>
          <t>20260623000347</t>
        </is>
      </c>
      <c r="H12554" s="8">
        <f>HYPERLINK("https://dart.fss.or.kr/dsaf001/main.do?rcpNo=20260623000347", "공시열람")</f>
        <v/>
      </c>
    </row>
    <row r="12555">
      <c r="A12555" s="2" t="inlineStr">
        <is>
          <t>2026-06-23</t>
        </is>
      </c>
      <c r="B12555" s="3" t="inlineStr">
        <is>
          <t>진성티이씨</t>
        </is>
      </c>
      <c r="C12555" s="2" t="inlineStr">
        <is>
          <t>코스닥</t>
        </is>
      </c>
      <c r="D12555" s="2" t="inlineStr">
        <is>
          <t>036890</t>
        </is>
      </c>
      <c r="E12555" s="3" t="inlineStr">
        <is>
          <t>임원ㆍ주요주주특정증권등소유상황보고서</t>
        </is>
      </c>
      <c r="F12555" s="3" t="inlineStr">
        <is>
          <t>국민연금공단</t>
        </is>
      </c>
      <c r="G12555" s="2" t="inlineStr">
        <is>
          <t>20260623000346</t>
        </is>
      </c>
      <c r="H12555" s="8">
        <f>HYPERLINK("https://dart.fss.or.kr/dsaf001/main.do?rcpNo=20260623000346", "공시열람")</f>
        <v/>
      </c>
    </row>
    <row r="12556">
      <c r="A12556" s="2" t="inlineStr">
        <is>
          <t>2026-06-23</t>
        </is>
      </c>
      <c r="B12556" s="3" t="inlineStr">
        <is>
          <t>에코글로우</t>
        </is>
      </c>
      <c r="C12556" s="2" t="inlineStr">
        <is>
          <t>코스닥</t>
        </is>
      </c>
      <c r="D12556" s="2" t="inlineStr">
        <is>
          <t>159910</t>
        </is>
      </c>
      <c r="E12556" s="3" t="inlineStr">
        <is>
          <t>임원ㆍ주요주주특정증권등거래계획보고서</t>
        </is>
      </c>
      <c r="F12556" s="3" t="inlineStr">
        <is>
          <t>더편한</t>
        </is>
      </c>
      <c r="G12556" s="2" t="inlineStr">
        <is>
          <t>20260623000343</t>
        </is>
      </c>
      <c r="H12556" s="8">
        <f>HYPERLINK("https://dart.fss.or.kr/dsaf001/main.do?rcpNo=20260623000343", "공시열람")</f>
        <v/>
      </c>
    </row>
    <row r="12557">
      <c r="A12557" s="2" t="inlineStr">
        <is>
          <t>2026-06-23</t>
        </is>
      </c>
      <c r="B12557" s="3" t="inlineStr">
        <is>
          <t>두산</t>
        </is>
      </c>
      <c r="C12557" s="2" t="inlineStr">
        <is>
          <t>코스피</t>
        </is>
      </c>
      <c r="D12557" s="2" t="inlineStr">
        <is>
          <t>000150</t>
        </is>
      </c>
      <c r="E12557" s="3" t="inlineStr">
        <is>
          <t>특수관계인에대한출자</t>
        </is>
      </c>
      <c r="F12557" s="3" t="inlineStr">
        <is>
          <t>두산</t>
        </is>
      </c>
      <c r="G12557" s="2" t="inlineStr">
        <is>
          <t>20260623000342</t>
        </is>
      </c>
      <c r="H12557" s="8">
        <f>HYPERLINK("https://dart.fss.or.kr/dsaf001/main.do?rcpNo=20260623000342", "공시열람")</f>
        <v/>
      </c>
    </row>
    <row r="12558">
      <c r="A12558" s="2" t="inlineStr">
        <is>
          <t>2026-06-23</t>
        </is>
      </c>
      <c r="B12558" s="3" t="inlineStr">
        <is>
          <t>오리엔트바이오</t>
        </is>
      </c>
      <c r="C12558" s="2" t="inlineStr">
        <is>
          <t>코스피</t>
        </is>
      </c>
      <c r="D12558" s="2" t="inlineStr">
        <is>
          <t>002630</t>
        </is>
      </c>
      <c r="E12558" s="3" t="inlineStr">
        <is>
          <t xml:space="preserve">주주명부폐쇄기간또는기준일설정              </t>
        </is>
      </c>
      <c r="F12558" s="3" t="inlineStr">
        <is>
          <t>오리엔트바이오</t>
        </is>
      </c>
      <c r="G12558" s="2" t="inlineStr">
        <is>
          <t>20260623800569</t>
        </is>
      </c>
      <c r="H12558" s="8">
        <f>HYPERLINK("https://dart.fss.or.kr/dsaf001/main.do?rcpNo=20260623800569", "공시열람")</f>
        <v/>
      </c>
    </row>
    <row r="12559">
      <c r="A12559" s="2" t="inlineStr">
        <is>
          <t>2026-06-23</t>
        </is>
      </c>
      <c r="B12559" s="3" t="inlineStr">
        <is>
          <t>예선테크</t>
        </is>
      </c>
      <c r="C12559" s="2" t="inlineStr">
        <is>
          <t>코스닥</t>
        </is>
      </c>
      <c r="D12559" s="2" t="inlineStr">
        <is>
          <t>250930</t>
        </is>
      </c>
      <c r="E12559" s="3" t="inlineStr">
        <is>
          <t>주요사항보고서(자기주식처분결정)</t>
        </is>
      </c>
      <c r="F12559" s="3" t="inlineStr">
        <is>
          <t>예선테크</t>
        </is>
      </c>
      <c r="G12559" s="2" t="inlineStr">
        <is>
          <t>20260623000311</t>
        </is>
      </c>
      <c r="H12559" s="8">
        <f>HYPERLINK("https://dart.fss.or.kr/dsaf001/main.do?rcpNo=20260623000311", "공시열람")</f>
        <v/>
      </c>
    </row>
    <row r="12560">
      <c r="A12560" s="2" t="inlineStr">
        <is>
          <t>2026-06-23</t>
        </is>
      </c>
      <c r="B12560" s="3" t="inlineStr">
        <is>
          <t>참엔지니어링</t>
        </is>
      </c>
      <c r="C12560" s="2" t="inlineStr">
        <is>
          <t>코스피</t>
        </is>
      </c>
      <c r="D12560" s="2" t="inlineStr">
        <is>
          <t>009310</t>
        </is>
      </c>
      <c r="E12560" s="3" t="inlineStr">
        <is>
          <t>기타시장안내              (상장폐지 이의신청서 제출)</t>
        </is>
      </c>
      <c r="F12560" s="3" t="inlineStr">
        <is>
          <t>유가증권시장본부</t>
        </is>
      </c>
      <c r="G12560" s="2" t="inlineStr">
        <is>
          <t>20260623800525</t>
        </is>
      </c>
      <c r="H12560" s="8">
        <f>HYPERLINK("https://dart.fss.or.kr/dsaf001/main.do?rcpNo=20260623800525", "공시열람")</f>
        <v/>
      </c>
    </row>
    <row r="12561">
      <c r="A12561" s="2" t="inlineStr">
        <is>
          <t>2026-06-23</t>
        </is>
      </c>
      <c r="B12561" s="3" t="inlineStr">
        <is>
          <t>한화투자증권</t>
        </is>
      </c>
      <c r="C12561" s="2" t="inlineStr">
        <is>
          <t>코스피</t>
        </is>
      </c>
      <c r="D12561" s="2" t="inlineStr">
        <is>
          <t>003530</t>
        </is>
      </c>
      <c r="E12561" s="3" t="inlineStr">
        <is>
          <t>투자설명서(일괄신고)</t>
        </is>
      </c>
      <c r="F12561" s="3" t="inlineStr">
        <is>
          <t>한화투자증권</t>
        </is>
      </c>
      <c r="G12561" s="2" t="inlineStr">
        <is>
          <t>20260623000334</t>
        </is>
      </c>
      <c r="H12561" s="8">
        <f>HYPERLINK("https://dart.fss.or.kr/dsaf001/main.do?rcpNo=20260623000334", "공시열람")</f>
        <v/>
      </c>
    </row>
    <row r="12562">
      <c r="A12562" s="2" t="inlineStr">
        <is>
          <t>2026-06-23</t>
        </is>
      </c>
      <c r="B12562" s="3" t="inlineStr">
        <is>
          <t>키움증권</t>
        </is>
      </c>
      <c r="C12562" s="2" t="inlineStr">
        <is>
          <t>코스피</t>
        </is>
      </c>
      <c r="D12562" s="2" t="inlineStr">
        <is>
          <t>039490</t>
        </is>
      </c>
      <c r="E12562" s="3" t="inlineStr">
        <is>
          <t>증권발행실적보고서</t>
        </is>
      </c>
      <c r="F12562" s="3" t="inlineStr">
        <is>
          <t>키움증권</t>
        </is>
      </c>
      <c r="G12562" s="2" t="inlineStr">
        <is>
          <t>20260623000333</t>
        </is>
      </c>
      <c r="H12562" s="8">
        <f>HYPERLINK("https://dart.fss.or.kr/dsaf001/main.do?rcpNo=20260623000333", "공시열람")</f>
        <v/>
      </c>
    </row>
    <row r="12563">
      <c r="A12563" s="2" t="inlineStr">
        <is>
          <t>2026-06-23</t>
        </is>
      </c>
      <c r="B12563" s="3" t="inlineStr">
        <is>
          <t>핸즈코퍼레이션</t>
        </is>
      </c>
      <c r="C12563" s="2" t="inlineStr">
        <is>
          <t>코스피</t>
        </is>
      </c>
      <c r="D12563" s="2" t="inlineStr">
        <is>
          <t>143210</t>
        </is>
      </c>
      <c r="E12563" s="3" t="inlineStr">
        <is>
          <t>임원ㆍ주요주주특정증권등소유상황보고서</t>
        </is>
      </c>
      <c r="F12563" s="3" t="inlineStr">
        <is>
          <t>승현창</t>
        </is>
      </c>
      <c r="G12563" s="2" t="inlineStr">
        <is>
          <t>20260623000332</t>
        </is>
      </c>
      <c r="H12563" s="8">
        <f>HYPERLINK("https://dart.fss.or.kr/dsaf001/main.do?rcpNo=20260623000332", "공시열람")</f>
        <v/>
      </c>
    </row>
    <row r="12564">
      <c r="A12564" s="2" t="inlineStr">
        <is>
          <t>2026-06-23</t>
        </is>
      </c>
      <c r="B12564" s="3" t="inlineStr">
        <is>
          <t>현대차증권</t>
        </is>
      </c>
      <c r="C12564" s="2" t="inlineStr">
        <is>
          <t>코스피</t>
        </is>
      </c>
      <c r="D12564" s="2" t="inlineStr">
        <is>
          <t>001500</t>
        </is>
      </c>
      <c r="E12564" s="3" t="inlineStr">
        <is>
          <t>일괄신고추가서류(기타파생결합사채)</t>
        </is>
      </c>
      <c r="F12564" s="3" t="inlineStr">
        <is>
          <t>현대차증권</t>
        </is>
      </c>
      <c r="G12564" s="2" t="inlineStr">
        <is>
          <t>20260623000330</t>
        </is>
      </c>
      <c r="H12564" s="8">
        <f>HYPERLINK("https://dart.fss.or.kr/dsaf001/main.do?rcpNo=20260623000330", "공시열람")</f>
        <v/>
      </c>
    </row>
    <row r="12565">
      <c r="A12565" s="2" t="inlineStr">
        <is>
          <t>2026-06-23</t>
        </is>
      </c>
      <c r="B12565" s="3" t="inlineStr">
        <is>
          <t>하이텍팜</t>
        </is>
      </c>
      <c r="C12565" s="2" t="inlineStr">
        <is>
          <t>코스닥</t>
        </is>
      </c>
      <c r="D12565" s="2" t="inlineStr">
        <is>
          <t>106190</t>
        </is>
      </c>
      <c r="E12565" s="3" t="inlineStr">
        <is>
          <t xml:space="preserve">기업설명회(IR)개최              </t>
        </is>
      </c>
      <c r="F12565" s="3" t="inlineStr">
        <is>
          <t>하이텍팜</t>
        </is>
      </c>
      <c r="G12565" s="2" t="inlineStr">
        <is>
          <t>20260623900610</t>
        </is>
      </c>
      <c r="H12565" s="8">
        <f>HYPERLINK("https://dart.fss.or.kr/dsaf001/main.do?rcpNo=20260623900610", "공시열람")</f>
        <v/>
      </c>
    </row>
    <row r="12566">
      <c r="A12566" s="2" t="inlineStr">
        <is>
          <t>2026-06-23</t>
        </is>
      </c>
      <c r="B12566" s="3" t="inlineStr">
        <is>
          <t>동양</t>
        </is>
      </c>
      <c r="C12566" s="2" t="inlineStr">
        <is>
          <t>코스피</t>
        </is>
      </c>
      <c r="D12566" s="2" t="inlineStr">
        <is>
          <t>001520</t>
        </is>
      </c>
      <c r="E12566" s="3" t="inlineStr">
        <is>
          <t>임원ㆍ주요주주특정증권등소유상황보고서</t>
        </is>
      </c>
      <c r="F12566" s="3" t="inlineStr">
        <is>
          <t>김세훈</t>
        </is>
      </c>
      <c r="G12566" s="2" t="inlineStr">
        <is>
          <t>20260623000327</t>
        </is>
      </c>
      <c r="H12566" s="8">
        <f>HYPERLINK("https://dart.fss.or.kr/dsaf001/main.do?rcpNo=20260623000327", "공시열람")</f>
        <v/>
      </c>
    </row>
    <row r="12567">
      <c r="A12567" s="2" t="inlineStr">
        <is>
          <t>2026-06-23</t>
        </is>
      </c>
      <c r="B12567" s="3" t="inlineStr">
        <is>
          <t>NH투자증권</t>
        </is>
      </c>
      <c r="C12567" s="2" t="inlineStr">
        <is>
          <t>코스피</t>
        </is>
      </c>
      <c r="D12567" s="2" t="inlineStr">
        <is>
          <t>005940</t>
        </is>
      </c>
      <c r="E12567" s="3" t="inlineStr">
        <is>
          <t>투자설명서(일괄신고)</t>
        </is>
      </c>
      <c r="F12567" s="3" t="inlineStr">
        <is>
          <t>NH투자증권</t>
        </is>
      </c>
      <c r="G12567" s="2" t="inlineStr">
        <is>
          <t>20260623000326</t>
        </is>
      </c>
      <c r="H12567" s="8">
        <f>HYPERLINK("https://dart.fss.or.kr/dsaf001/main.do?rcpNo=20260623000326", "공시열람")</f>
        <v/>
      </c>
    </row>
    <row r="12568">
      <c r="A12568" s="2" t="inlineStr">
        <is>
          <t>2026-06-23</t>
        </is>
      </c>
      <c r="B12568" s="3" t="inlineStr">
        <is>
          <t>NH투자증권</t>
        </is>
      </c>
      <c r="C12568" s="2" t="inlineStr">
        <is>
          <t>코스피</t>
        </is>
      </c>
      <c r="D12568" s="2" t="inlineStr">
        <is>
          <t>005940</t>
        </is>
      </c>
      <c r="E12568" s="3" t="inlineStr">
        <is>
          <t>투자설명서(일괄신고)</t>
        </is>
      </c>
      <c r="F12568" s="3" t="inlineStr">
        <is>
          <t>NH투자증권</t>
        </is>
      </c>
      <c r="G12568" s="2" t="inlineStr">
        <is>
          <t>20260623000324</t>
        </is>
      </c>
      <c r="H12568" s="8">
        <f>HYPERLINK("https://dart.fss.or.kr/dsaf001/main.do?rcpNo=20260623000324", "공시열람")</f>
        <v/>
      </c>
    </row>
    <row r="12569">
      <c r="A12569" s="2" t="inlineStr">
        <is>
          <t>2026-06-23</t>
        </is>
      </c>
      <c r="B12569" s="3" t="inlineStr">
        <is>
          <t>카카오페이</t>
        </is>
      </c>
      <c r="C12569" s="2" t="inlineStr">
        <is>
          <t>코스피</t>
        </is>
      </c>
      <c r="D12569" s="2" t="inlineStr">
        <is>
          <t>377300</t>
        </is>
      </c>
      <c r="E12569" s="3" t="inlineStr">
        <is>
          <t xml:space="preserve">타법인주식및출자증권취득결정              </t>
        </is>
      </c>
      <c r="F12569" s="3" t="inlineStr">
        <is>
          <t>카카오페이</t>
        </is>
      </c>
      <c r="G12569" s="2" t="inlineStr">
        <is>
          <t>20260623800547</t>
        </is>
      </c>
      <c r="H12569" s="8">
        <f>HYPERLINK("https://dart.fss.or.kr/dsaf001/main.do?rcpNo=20260623800547", "공시열람")</f>
        <v/>
      </c>
    </row>
    <row r="12570">
      <c r="A12570" s="2" t="inlineStr">
        <is>
          <t>2026-06-23</t>
        </is>
      </c>
      <c r="B12570" s="3" t="inlineStr">
        <is>
          <t>CJ CGV</t>
        </is>
      </c>
      <c r="C12570" s="2" t="inlineStr">
        <is>
          <t>코스피</t>
        </is>
      </c>
      <c r="D12570" s="2" t="inlineStr">
        <is>
          <t>079160</t>
        </is>
      </c>
      <c r="E12570" s="3" t="inlineStr">
        <is>
          <t xml:space="preserve">조회공시요구(풍문또는보도)에대한답변(미확정)              </t>
        </is>
      </c>
      <c r="F12570" s="3" t="inlineStr">
        <is>
          <t>CJ CGV</t>
        </is>
      </c>
      <c r="G12570" s="2" t="inlineStr">
        <is>
          <t>20260623800583</t>
        </is>
      </c>
      <c r="H12570" s="8">
        <f>HYPERLINK("https://dart.fss.or.kr/dsaf001/main.do?rcpNo=20260623800583", "공시열람")</f>
        <v/>
      </c>
    </row>
    <row r="12571">
      <c r="A12571" s="2" t="inlineStr">
        <is>
          <t>2026-06-23</t>
        </is>
      </c>
      <c r="B12571" s="3" t="inlineStr">
        <is>
          <t>세화피앤씨</t>
        </is>
      </c>
      <c r="C12571" s="2" t="inlineStr">
        <is>
          <t>코스닥</t>
        </is>
      </c>
      <c r="D12571" s="2" t="inlineStr">
        <is>
          <t>252500</t>
        </is>
      </c>
      <c r="E12571" s="3" t="inlineStr">
        <is>
          <t>의결권대리행사권유참고서류</t>
        </is>
      </c>
      <c r="F12571" s="3" t="inlineStr">
        <is>
          <t>세화피앤씨</t>
        </is>
      </c>
      <c r="G12571" s="2" t="inlineStr">
        <is>
          <t>20260623000323</t>
        </is>
      </c>
      <c r="H12571" s="8">
        <f>HYPERLINK("https://dart.fss.or.kr/dsaf001/main.do?rcpNo=20260623000323", "공시열람")</f>
        <v/>
      </c>
    </row>
    <row r="12572">
      <c r="A12572" s="2" t="inlineStr">
        <is>
          <t>2026-06-23</t>
        </is>
      </c>
      <c r="B12572" s="3" t="inlineStr">
        <is>
          <t>이수앱지스</t>
        </is>
      </c>
      <c r="C12572" s="2" t="inlineStr">
        <is>
          <t>코스닥</t>
        </is>
      </c>
      <c r="D12572" s="2" t="inlineStr">
        <is>
          <t>086890</t>
        </is>
      </c>
      <c r="E12572" s="3" t="inlineStr">
        <is>
          <t xml:space="preserve">전환가액의조정              </t>
        </is>
      </c>
      <c r="F12572" s="3" t="inlineStr">
        <is>
          <t>이수앱지스</t>
        </is>
      </c>
      <c r="G12572" s="2" t="inlineStr">
        <is>
          <t>20260623900584</t>
        </is>
      </c>
      <c r="H12572" s="8">
        <f>HYPERLINK("https://dart.fss.or.kr/dsaf001/main.do?rcpNo=20260623900584", "공시열람")</f>
        <v/>
      </c>
    </row>
    <row r="12573">
      <c r="A12573" s="2" t="inlineStr">
        <is>
          <t>2026-06-23</t>
        </is>
      </c>
      <c r="B12573" s="3" t="inlineStr">
        <is>
          <t>NH투자증권</t>
        </is>
      </c>
      <c r="C12573" s="2" t="inlineStr">
        <is>
          <t>코스피</t>
        </is>
      </c>
      <c r="D12573" s="2" t="inlineStr">
        <is>
          <t>005940</t>
        </is>
      </c>
      <c r="E12573" s="3" t="inlineStr">
        <is>
          <t>일괄신고추가서류(파생결합증권-주가연계증권)</t>
        </is>
      </c>
      <c r="F12573" s="3" t="inlineStr">
        <is>
          <t>NH투자증권</t>
        </is>
      </c>
      <c r="G12573" s="2" t="inlineStr">
        <is>
          <t>20260623000322</t>
        </is>
      </c>
      <c r="H12573" s="8">
        <f>HYPERLINK("https://dart.fss.or.kr/dsaf001/main.do?rcpNo=20260623000322", "공시열람")</f>
        <v/>
      </c>
    </row>
    <row r="12574">
      <c r="A12574" s="2" t="inlineStr">
        <is>
          <t>2026-06-23</t>
        </is>
      </c>
      <c r="B12574" s="3" t="inlineStr">
        <is>
          <t>NH투자증권</t>
        </is>
      </c>
      <c r="C12574" s="2" t="inlineStr">
        <is>
          <t>코스피</t>
        </is>
      </c>
      <c r="D12574" s="2" t="inlineStr">
        <is>
          <t>005940</t>
        </is>
      </c>
      <c r="E12574" s="3" t="inlineStr">
        <is>
          <t>일괄신고추가서류(파생결합사채-주가연계파생결합사채)</t>
        </is>
      </c>
      <c r="F12574" s="3" t="inlineStr">
        <is>
          <t>NH투자증권</t>
        </is>
      </c>
      <c r="G12574" s="2" t="inlineStr">
        <is>
          <t>20260623000319</t>
        </is>
      </c>
      <c r="H12574" s="8">
        <f>HYPERLINK("https://dart.fss.or.kr/dsaf001/main.do?rcpNo=20260623000319", "공시열람")</f>
        <v/>
      </c>
    </row>
    <row r="12575">
      <c r="A12575" s="2" t="inlineStr">
        <is>
          <t>2026-06-23</t>
        </is>
      </c>
      <c r="B12575" s="3" t="inlineStr">
        <is>
          <t>한화투자증권</t>
        </is>
      </c>
      <c r="C12575" s="2" t="inlineStr">
        <is>
          <t>코스피</t>
        </is>
      </c>
      <c r="D12575" s="2" t="inlineStr">
        <is>
          <t>003530</t>
        </is>
      </c>
      <c r="E12575" s="3" t="inlineStr">
        <is>
          <t>일괄신고추가서류(파생결합사채-주가연계파생결합사채)</t>
        </is>
      </c>
      <c r="F12575" s="3" t="inlineStr">
        <is>
          <t>한화투자증권</t>
        </is>
      </c>
      <c r="G12575" s="2" t="inlineStr">
        <is>
          <t>20260623000318</t>
        </is>
      </c>
      <c r="H12575" s="8">
        <f>HYPERLINK("https://dart.fss.or.kr/dsaf001/main.do?rcpNo=20260623000318", "공시열람")</f>
        <v/>
      </c>
    </row>
    <row r="12576">
      <c r="A12576" s="2" t="inlineStr">
        <is>
          <t>2026-06-23</t>
        </is>
      </c>
      <c r="B12576" s="3" t="inlineStr">
        <is>
          <t>온타이드</t>
        </is>
      </c>
      <c r="C12576" s="2" t="inlineStr">
        <is>
          <t>코스피</t>
        </is>
      </c>
      <c r="D12576" s="2" t="inlineStr">
        <is>
          <t>005320</t>
        </is>
      </c>
      <c r="E12576" s="3" t="inlineStr">
        <is>
          <t>임원ㆍ주요주주특정증권등소유상황보고서</t>
        </is>
      </c>
      <c r="F12576" s="3" t="inlineStr">
        <is>
          <t>약진통상</t>
        </is>
      </c>
      <c r="G12576" s="2" t="inlineStr">
        <is>
          <t>20260623000315</t>
        </is>
      </c>
      <c r="H12576" s="8">
        <f>HYPERLINK("https://dart.fss.or.kr/dsaf001/main.do?rcpNo=20260623000315", "공시열람")</f>
        <v/>
      </c>
    </row>
    <row r="12577">
      <c r="A12577" s="2" t="inlineStr">
        <is>
          <t>2026-06-23</t>
        </is>
      </c>
      <c r="B12577" s="3" t="inlineStr">
        <is>
          <t>현대바이오</t>
        </is>
      </c>
      <c r="C12577" s="2" t="inlineStr">
        <is>
          <t>코스닥</t>
        </is>
      </c>
      <c r="D12577" s="2" t="inlineStr">
        <is>
          <t>048410</t>
        </is>
      </c>
      <c r="E12577" s="3" t="inlineStr">
        <is>
          <t>주요사항보고서(전환사채매수선택권행사자지정)</t>
        </is>
      </c>
      <c r="F12577" s="3" t="inlineStr">
        <is>
          <t>현대바이오</t>
        </is>
      </c>
      <c r="G12577" s="2" t="inlineStr">
        <is>
          <t>20260623000313</t>
        </is>
      </c>
      <c r="H12577" s="8">
        <f>HYPERLINK("https://dart.fss.or.kr/dsaf001/main.do?rcpNo=20260623000313", "공시열람")</f>
        <v/>
      </c>
    </row>
    <row r="12578">
      <c r="A12578" s="2" t="inlineStr">
        <is>
          <t>2026-06-23</t>
        </is>
      </c>
      <c r="B12578" s="3" t="inlineStr">
        <is>
          <t>HD현대</t>
        </is>
      </c>
      <c r="C12578" s="2" t="inlineStr">
        <is>
          <t>코스피</t>
        </is>
      </c>
      <c r="D12578" s="2" t="inlineStr">
        <is>
          <t>267250</t>
        </is>
      </c>
      <c r="E12578" s="3" t="inlineStr">
        <is>
          <t xml:space="preserve">중대재해발생(종속회사의주요경영사항)              </t>
        </is>
      </c>
      <c r="F12578" s="3" t="inlineStr">
        <is>
          <t>HD현대</t>
        </is>
      </c>
      <c r="G12578" s="2" t="inlineStr">
        <is>
          <t>20260623800522</t>
        </is>
      </c>
      <c r="H12578" s="8">
        <f>HYPERLINK("https://dart.fss.or.kr/dsaf001/main.do?rcpNo=20260623800522", "공시열람")</f>
        <v/>
      </c>
    </row>
    <row r="12579">
      <c r="A12579" s="2" t="inlineStr">
        <is>
          <t>2026-06-23</t>
        </is>
      </c>
      <c r="B12579" s="3" t="inlineStr">
        <is>
          <t>오리엔트바이오</t>
        </is>
      </c>
      <c r="C12579" s="2" t="inlineStr">
        <is>
          <t>코스피</t>
        </is>
      </c>
      <c r="D12579" s="2" t="inlineStr">
        <is>
          <t>002630</t>
        </is>
      </c>
      <c r="E12579" s="3" t="inlineStr">
        <is>
          <t>주요사항보고서(감자결정)</t>
        </is>
      </c>
      <c r="F12579" s="3" t="inlineStr">
        <is>
          <t>오리엔트바이오</t>
        </is>
      </c>
      <c r="G12579" s="2" t="inlineStr">
        <is>
          <t>20260623000294</t>
        </is>
      </c>
      <c r="H12579" s="8">
        <f>HYPERLINK("https://dart.fss.or.kr/dsaf001/main.do?rcpNo=20260623000294", "공시열람")</f>
        <v/>
      </c>
    </row>
    <row r="12580">
      <c r="A12580" s="2" t="inlineStr">
        <is>
          <t>2026-06-23 (정정: 2026-06-23)</t>
        </is>
      </c>
      <c r="B12580" s="3" t="inlineStr">
        <is>
          <t>엑사이엔씨</t>
        </is>
      </c>
      <c r="C12580" s="2" t="inlineStr">
        <is>
          <t>코스닥</t>
        </is>
      </c>
      <c r="D12580" s="2" t="inlineStr">
        <is>
          <t>054940</t>
        </is>
      </c>
      <c r="E12580" s="3" t="inlineStr">
        <is>
          <t>임원ㆍ주요주주특정증권등소유상황보고서 (정정: 20260623)</t>
        </is>
      </c>
      <c r="F12580" s="3" t="inlineStr">
        <is>
          <t>장성수</t>
        </is>
      </c>
      <c r="G12580" s="2" t="inlineStr">
        <is>
          <t>20260623000232</t>
        </is>
      </c>
      <c r="H12580" s="8">
        <f>HYPERLINK("https://dart.fss.or.kr/dsaf001/main.do?rcpNo=20260623000232", "공시열람")</f>
        <v/>
      </c>
    </row>
    <row r="12581">
      <c r="A12581" s="2" t="inlineStr">
        <is>
          <t>2026-06-23</t>
        </is>
      </c>
      <c r="B12581" s="3" t="inlineStr">
        <is>
          <t>오리엔트바이오</t>
        </is>
      </c>
      <c r="C12581" s="2" t="inlineStr">
        <is>
          <t>코스피</t>
        </is>
      </c>
      <c r="D12581" s="2" t="inlineStr">
        <is>
          <t>002630</t>
        </is>
      </c>
      <c r="E12581" s="3" t="inlineStr">
        <is>
          <t xml:space="preserve">매매거래정지및정지해제(중요내용공시)              </t>
        </is>
      </c>
      <c r="F12581" s="3" t="inlineStr">
        <is>
          <t>유가증권시장본부</t>
        </is>
      </c>
      <c r="G12581" s="2" t="inlineStr">
        <is>
          <t>20260623800531</t>
        </is>
      </c>
      <c r="H12581" s="8">
        <f>HYPERLINK("https://dart.fss.or.kr/dsaf001/main.do?rcpNo=20260623800531", "공시열람")</f>
        <v/>
      </c>
    </row>
    <row r="12582">
      <c r="A12582" s="2" t="inlineStr">
        <is>
          <t>2026-06-23</t>
        </is>
      </c>
      <c r="B12582" s="3" t="inlineStr">
        <is>
          <t>현대바이오</t>
        </is>
      </c>
      <c r="C12582" s="2" t="inlineStr">
        <is>
          <t>코스닥</t>
        </is>
      </c>
      <c r="D12582" s="2" t="inlineStr">
        <is>
          <t>048410</t>
        </is>
      </c>
      <c r="E12582" s="3" t="inlineStr">
        <is>
          <t xml:space="preserve">증권발행결과(자율공시)              </t>
        </is>
      </c>
      <c r="F12582" s="3" t="inlineStr">
        <is>
          <t>현대바이오</t>
        </is>
      </c>
      <c r="G12582" s="2" t="inlineStr">
        <is>
          <t>20260623900550</t>
        </is>
      </c>
      <c r="H12582" s="8">
        <f>HYPERLINK("https://dart.fss.or.kr/dsaf001/main.do?rcpNo=20260623900550", "공시열람")</f>
        <v/>
      </c>
    </row>
    <row r="12583">
      <c r="A12583" s="2" t="inlineStr">
        <is>
          <t>2026-06-23</t>
        </is>
      </c>
      <c r="B12583" s="3" t="inlineStr">
        <is>
          <t>현대차증권</t>
        </is>
      </c>
      <c r="C12583" s="2" t="inlineStr">
        <is>
          <t>코스피</t>
        </is>
      </c>
      <c r="D12583" s="2" t="inlineStr">
        <is>
          <t>001500</t>
        </is>
      </c>
      <c r="E12583" s="3" t="inlineStr">
        <is>
          <t>투자설명서(일괄신고)</t>
        </is>
      </c>
      <c r="F12583" s="3" t="inlineStr">
        <is>
          <t>현대차증권</t>
        </is>
      </c>
      <c r="G12583" s="2" t="inlineStr">
        <is>
          <t>20260623000305</t>
        </is>
      </c>
      <c r="H12583" s="8">
        <f>HYPERLINK("https://dart.fss.or.kr/dsaf001/main.do?rcpNo=20260623000305", "공시열람")</f>
        <v/>
      </c>
    </row>
    <row r="12584">
      <c r="A12584" s="2" t="inlineStr">
        <is>
          <t>2026-06-23</t>
        </is>
      </c>
      <c r="B12584" s="3" t="inlineStr">
        <is>
          <t>효성</t>
        </is>
      </c>
      <c r="C12584" s="2" t="inlineStr">
        <is>
          <t>코스피</t>
        </is>
      </c>
      <c r="D12584" s="2" t="inlineStr">
        <is>
          <t>004800</t>
        </is>
      </c>
      <c r="E12584" s="3" t="inlineStr">
        <is>
          <t xml:space="preserve">투자판단관련주요경영사항(자회사의 주요경영사항)              </t>
        </is>
      </c>
      <c r="F12584" s="3" t="inlineStr">
        <is>
          <t>효성</t>
        </is>
      </c>
      <c r="G12584" s="2" t="inlineStr">
        <is>
          <t>20260623800524</t>
        </is>
      </c>
      <c r="H12584" s="8">
        <f>HYPERLINK("https://dart.fss.or.kr/dsaf001/main.do?rcpNo=20260623800524", "공시열람")</f>
        <v/>
      </c>
    </row>
    <row r="12585">
      <c r="A12585" s="2" t="inlineStr">
        <is>
          <t>2026-06-23</t>
        </is>
      </c>
      <c r="B12585" s="3" t="inlineStr">
        <is>
          <t>다산솔루에타</t>
        </is>
      </c>
      <c r="C12585" s="2" t="inlineStr">
        <is>
          <t>코스닥</t>
        </is>
      </c>
      <c r="D12585" s="2" t="inlineStr">
        <is>
          <t>154040</t>
        </is>
      </c>
      <c r="E12585" s="3" t="inlineStr">
        <is>
          <t>임원ㆍ주요주주특정증권등소유상황보고서</t>
        </is>
      </c>
      <c r="F12585" s="3" t="inlineStr">
        <is>
          <t>다산벤처스</t>
        </is>
      </c>
      <c r="G12585" s="2" t="inlineStr">
        <is>
          <t>20260623000301</t>
        </is>
      </c>
      <c r="H12585" s="8">
        <f>HYPERLINK("https://dart.fss.or.kr/dsaf001/main.do?rcpNo=20260623000301", "공시열람")</f>
        <v/>
      </c>
    </row>
    <row r="12586">
      <c r="A12586" s="2" t="inlineStr">
        <is>
          <t>2026-06-23</t>
        </is>
      </c>
      <c r="B12586" s="3" t="inlineStr">
        <is>
          <t>현대차증권</t>
        </is>
      </c>
      <c r="C12586" s="2" t="inlineStr">
        <is>
          <t>코스피</t>
        </is>
      </c>
      <c r="D12586" s="2" t="inlineStr">
        <is>
          <t>001500</t>
        </is>
      </c>
      <c r="E12586" s="3" t="inlineStr">
        <is>
          <t>투자설명서(일괄신고)</t>
        </is>
      </c>
      <c r="F12586" s="3" t="inlineStr">
        <is>
          <t>현대차증권</t>
        </is>
      </c>
      <c r="G12586" s="2" t="inlineStr">
        <is>
          <t>20260623000300</t>
        </is>
      </c>
      <c r="H12586" s="8">
        <f>HYPERLINK("https://dart.fss.or.kr/dsaf001/main.do?rcpNo=20260623000300", "공시열람")</f>
        <v/>
      </c>
    </row>
    <row r="12587">
      <c r="A12587" s="2" t="inlineStr">
        <is>
          <t>2026-06-23</t>
        </is>
      </c>
      <c r="B12587" s="3" t="inlineStr">
        <is>
          <t>효성중공업</t>
        </is>
      </c>
      <c r="C12587" s="2" t="inlineStr">
        <is>
          <t>코스피</t>
        </is>
      </c>
      <c r="D12587" s="2" t="inlineStr">
        <is>
          <t>298040</t>
        </is>
      </c>
      <c r="E12587" s="3" t="inlineStr">
        <is>
          <t xml:space="preserve">투자판단관련주요경영사항              </t>
        </is>
      </c>
      <c r="F12587" s="3" t="inlineStr">
        <is>
          <t>효성중공업</t>
        </is>
      </c>
      <c r="G12587" s="2" t="inlineStr">
        <is>
          <t>20260623800510</t>
        </is>
      </c>
      <c r="H12587" s="8">
        <f>HYPERLINK("https://dart.fss.or.kr/dsaf001/main.do?rcpNo=20260623800510", "공시열람")</f>
        <v/>
      </c>
    </row>
    <row r="12588">
      <c r="A12588" s="2" t="inlineStr">
        <is>
          <t>2026-06-23</t>
        </is>
      </c>
      <c r="B12588" s="3" t="inlineStr">
        <is>
          <t>제일파마홀딩스</t>
        </is>
      </c>
      <c r="C12588" s="2" t="inlineStr">
        <is>
          <t>코스피</t>
        </is>
      </c>
      <c r="D12588" s="2" t="inlineStr">
        <is>
          <t>002620</t>
        </is>
      </c>
      <c r="E12588" s="3" t="inlineStr">
        <is>
          <t>임원ㆍ주요주주특정증권등소유상황보고서</t>
        </is>
      </c>
      <c r="F12588" s="3" t="inlineStr">
        <is>
          <t>한승수</t>
        </is>
      </c>
      <c r="G12588" s="2" t="inlineStr">
        <is>
          <t>20260623000299</t>
        </is>
      </c>
      <c r="H12588" s="8">
        <f>HYPERLINK("https://dart.fss.or.kr/dsaf001/main.do?rcpNo=20260623000299", "공시열람")</f>
        <v/>
      </c>
    </row>
    <row r="12589">
      <c r="A12589" s="2" t="inlineStr">
        <is>
          <t>2026-06-23</t>
        </is>
      </c>
      <c r="B12589" s="3" t="inlineStr">
        <is>
          <t>세방전지</t>
        </is>
      </c>
      <c r="C12589" s="2" t="inlineStr">
        <is>
          <t>코스피</t>
        </is>
      </c>
      <c r="D12589" s="2" t="inlineStr">
        <is>
          <t>004490</t>
        </is>
      </c>
      <c r="E12589" s="3" t="inlineStr">
        <is>
          <t xml:space="preserve">지속가능경영보고서등관련사항(자율공시)              </t>
        </is>
      </c>
      <c r="F12589" s="3" t="inlineStr">
        <is>
          <t>세방전지</t>
        </is>
      </c>
      <c r="G12589" s="2" t="inlineStr">
        <is>
          <t>20260623800521</t>
        </is>
      </c>
      <c r="H12589" s="8">
        <f>HYPERLINK("https://dart.fss.or.kr/dsaf001/main.do?rcpNo=20260623800521", "공시열람")</f>
        <v/>
      </c>
    </row>
    <row r="12590">
      <c r="A12590" s="2" t="inlineStr">
        <is>
          <t>2026-06-23</t>
        </is>
      </c>
      <c r="B12590" s="3" t="inlineStr">
        <is>
          <t>대덕</t>
        </is>
      </c>
      <c r="C12590" s="2" t="inlineStr">
        <is>
          <t>코스피</t>
        </is>
      </c>
      <c r="D12590" s="2" t="inlineStr">
        <is>
          <t>008060</t>
        </is>
      </c>
      <c r="E12590" s="3" t="inlineStr">
        <is>
          <t xml:space="preserve">지주회사의자회사탈퇴              </t>
        </is>
      </c>
      <c r="F12590" s="3" t="inlineStr">
        <is>
          <t>대덕</t>
        </is>
      </c>
      <c r="G12590" s="2" t="inlineStr">
        <is>
          <t>20260623800520</t>
        </is>
      </c>
      <c r="H12590" s="8">
        <f>HYPERLINK("https://dart.fss.or.kr/dsaf001/main.do?rcpNo=20260623800520", "공시열람")</f>
        <v/>
      </c>
    </row>
    <row r="12591">
      <c r="A12591" s="2" t="inlineStr">
        <is>
          <t>2026-06-23</t>
        </is>
      </c>
      <c r="B12591" s="3" t="inlineStr">
        <is>
          <t>티엠씨</t>
        </is>
      </c>
      <c r="C12591" s="2" t="inlineStr">
        <is>
          <t>코스피</t>
        </is>
      </c>
      <c r="D12591" s="2" t="inlineStr">
        <is>
          <t>217590</t>
        </is>
      </c>
      <c r="E12591" s="3" t="inlineStr">
        <is>
          <t>임원ㆍ주요주주특정증권등소유상황보고서</t>
        </is>
      </c>
      <c r="F12591" s="3" t="inlineStr">
        <is>
          <t>펙투스-제이비우리 신기술사업투자조합 제1호</t>
        </is>
      </c>
      <c r="G12591" s="2" t="inlineStr">
        <is>
          <t>20260623000295</t>
        </is>
      </c>
      <c r="H12591" s="8">
        <f>HYPERLINK("https://dart.fss.or.kr/dsaf001/main.do?rcpNo=20260623000295", "공시열람")</f>
        <v/>
      </c>
    </row>
    <row r="12592">
      <c r="A12592" s="2" t="inlineStr">
        <is>
          <t>2026-06-23</t>
        </is>
      </c>
      <c r="B12592" s="3" t="inlineStr">
        <is>
          <t>KG이니시스</t>
        </is>
      </c>
      <c r="C12592" s="2" t="inlineStr">
        <is>
          <t>코스닥</t>
        </is>
      </c>
      <c r="D12592" s="2" t="inlineStr">
        <is>
          <t>035600</t>
        </is>
      </c>
      <c r="E12592" s="3" t="inlineStr">
        <is>
          <t xml:space="preserve">타법인주식및출자증권취득결정(종속회사의주요경영사항)              </t>
        </is>
      </c>
      <c r="F12592" s="3" t="inlineStr">
        <is>
          <t>KG이니시스</t>
        </is>
      </c>
      <c r="G12592" s="2" t="inlineStr">
        <is>
          <t>20260623900511</t>
        </is>
      </c>
      <c r="H12592" s="8">
        <f>HYPERLINK("https://dart.fss.or.kr/dsaf001/main.do?rcpNo=20260623900511", "공시열람")</f>
        <v/>
      </c>
    </row>
    <row r="12593">
      <c r="A12593" s="2" t="inlineStr">
        <is>
          <t>2026-06-23</t>
        </is>
      </c>
      <c r="B12593" s="3" t="inlineStr">
        <is>
          <t>동성제약</t>
        </is>
      </c>
      <c r="C12593" s="2" t="inlineStr">
        <is>
          <t>코스피</t>
        </is>
      </c>
      <c r="D12593" s="2" t="inlineStr">
        <is>
          <t>002210</t>
        </is>
      </c>
      <c r="E12593" s="3" t="inlineStr">
        <is>
          <t xml:space="preserve">불성실공시법인지정예고              </t>
        </is>
      </c>
      <c r="F12593" s="3" t="inlineStr">
        <is>
          <t>유가증권시장본부</t>
        </is>
      </c>
      <c r="G12593" s="2" t="inlineStr">
        <is>
          <t>20260623800476</t>
        </is>
      </c>
      <c r="H12593" s="8">
        <f>HYPERLINK("https://dart.fss.or.kr/dsaf001/main.do?rcpNo=20260623800476", "공시열람")</f>
        <v/>
      </c>
    </row>
    <row r="12594">
      <c r="A12594" s="2" t="inlineStr">
        <is>
          <t>2026-06-23</t>
        </is>
      </c>
      <c r="B12594" s="3" t="inlineStr">
        <is>
          <t>플루토스</t>
        </is>
      </c>
      <c r="C12594" s="2" t="inlineStr">
        <is>
          <t>코스닥</t>
        </is>
      </c>
      <c r="D12594" s="2" t="inlineStr">
        <is>
          <t>019570</t>
        </is>
      </c>
      <c r="E12594" s="3" t="inlineStr">
        <is>
          <t xml:space="preserve">감자완료              </t>
        </is>
      </c>
      <c r="F12594" s="3" t="inlineStr">
        <is>
          <t>플루토스</t>
        </is>
      </c>
      <c r="G12594" s="2" t="inlineStr">
        <is>
          <t>20260623900503</t>
        </is>
      </c>
      <c r="H12594" s="8">
        <f>HYPERLINK("https://dart.fss.or.kr/dsaf001/main.do?rcpNo=20260623900503", "공시열람")</f>
        <v/>
      </c>
    </row>
    <row r="12595">
      <c r="A12595" s="2" t="inlineStr">
        <is>
          <t>2026-06-23 (정정: 2026-06-23)</t>
        </is>
      </c>
      <c r="B12595" s="3" t="inlineStr">
        <is>
          <t>KG이니시스</t>
        </is>
      </c>
      <c r="C12595" s="2" t="inlineStr">
        <is>
          <t>코스닥</t>
        </is>
      </c>
      <c r="D12595" s="2" t="inlineStr">
        <is>
          <t>035600</t>
        </is>
      </c>
      <c r="E12595" s="3" t="inlineStr">
        <is>
          <t>타법인주식및출자증권취득결정               (정정: 20260623)</t>
        </is>
      </c>
      <c r="F12595" s="3" t="inlineStr">
        <is>
          <t>KG이니시스</t>
        </is>
      </c>
      <c r="G12595" s="2" t="inlineStr">
        <is>
          <t>20260623000269</t>
        </is>
      </c>
      <c r="H12595" s="8">
        <f>HYPERLINK("https://dart.fss.or.kr/dsaf001/main.do?rcpNo=20260623000269", "공시열람")</f>
        <v/>
      </c>
    </row>
    <row r="12596">
      <c r="A12596" s="2" t="inlineStr">
        <is>
          <t>2026-06-23</t>
        </is>
      </c>
      <c r="B12596" s="3" t="inlineStr">
        <is>
          <t>엠로</t>
        </is>
      </c>
      <c r="C12596" s="2" t="inlineStr">
        <is>
          <t>코스닥</t>
        </is>
      </c>
      <c r="D12596" s="2" t="inlineStr">
        <is>
          <t>058970</t>
        </is>
      </c>
      <c r="E12596" s="3" t="inlineStr">
        <is>
          <t>의결권대리행사권유참고서류</t>
        </is>
      </c>
      <c r="F12596" s="3" t="inlineStr">
        <is>
          <t>엠로</t>
        </is>
      </c>
      <c r="G12596" s="2" t="inlineStr">
        <is>
          <t>20260623000290</t>
        </is>
      </c>
      <c r="H12596" s="8">
        <f>HYPERLINK("https://dart.fss.or.kr/dsaf001/main.do?rcpNo=20260623000290", "공시열람")</f>
        <v/>
      </c>
    </row>
    <row r="12597">
      <c r="A12597" s="2" t="inlineStr">
        <is>
          <t>2026-06-23</t>
        </is>
      </c>
      <c r="B12597" s="3" t="inlineStr">
        <is>
          <t>플레이그램</t>
        </is>
      </c>
      <c r="C12597" s="2" t="inlineStr">
        <is>
          <t>코스피</t>
        </is>
      </c>
      <c r="D12597" s="2" t="inlineStr">
        <is>
          <t>009810</t>
        </is>
      </c>
      <c r="E12597" s="3" t="inlineStr">
        <is>
          <t>임원ㆍ주요주주특정증권등소유상황보고서</t>
        </is>
      </c>
      <c r="F12597" s="3" t="inlineStr">
        <is>
          <t>트라이콘홀딩스</t>
        </is>
      </c>
      <c r="G12597" s="2" t="inlineStr">
        <is>
          <t>20260623000289</t>
        </is>
      </c>
      <c r="H12597" s="8">
        <f>HYPERLINK("https://dart.fss.or.kr/dsaf001/main.do?rcpNo=20260623000289", "공시열람")</f>
        <v/>
      </c>
    </row>
    <row r="12598">
      <c r="A12598" s="2" t="inlineStr">
        <is>
          <t>2026-06-23</t>
        </is>
      </c>
      <c r="B12598" s="3" t="inlineStr">
        <is>
          <t>퀀타매트릭스</t>
        </is>
      </c>
      <c r="C12598" s="2" t="inlineStr">
        <is>
          <t>코스닥</t>
        </is>
      </c>
      <c r="D12598" s="2" t="inlineStr">
        <is>
          <t>317690</t>
        </is>
      </c>
      <c r="E12598" s="3" t="inlineStr">
        <is>
          <t xml:space="preserve">대표이사변경              </t>
        </is>
      </c>
      <c r="F12598" s="3" t="inlineStr">
        <is>
          <t>퀀타매트릭스</t>
        </is>
      </c>
      <c r="G12598" s="2" t="inlineStr">
        <is>
          <t>20260623900459</t>
        </is>
      </c>
      <c r="H12598" s="8">
        <f>HYPERLINK("https://dart.fss.or.kr/dsaf001/main.do?rcpNo=20260623900459", "공시열람")</f>
        <v/>
      </c>
    </row>
    <row r="12599">
      <c r="A12599" s="2" t="inlineStr">
        <is>
          <t>2026-06-23</t>
        </is>
      </c>
      <c r="B12599" s="3" t="inlineStr">
        <is>
          <t>아이티아이즈</t>
        </is>
      </c>
      <c r="C12599" s="2" t="inlineStr">
        <is>
          <t>코스닥</t>
        </is>
      </c>
      <c r="D12599" s="2" t="inlineStr">
        <is>
          <t>372800</t>
        </is>
      </c>
      <c r="E12599" s="3" t="inlineStr">
        <is>
          <t>임원ㆍ주요주주특정증권등소유상황보고서</t>
        </is>
      </c>
      <c r="F12599" s="3" t="inlineStr">
        <is>
          <t>이성남</t>
        </is>
      </c>
      <c r="G12599" s="2" t="inlineStr">
        <is>
          <t>20260623000287</t>
        </is>
      </c>
      <c r="H12599" s="8">
        <f>HYPERLINK("https://dart.fss.or.kr/dsaf001/main.do?rcpNo=20260623000287", "공시열람")</f>
        <v/>
      </c>
    </row>
    <row r="12600">
      <c r="A12600" s="2" t="inlineStr">
        <is>
          <t>2026-06-23</t>
        </is>
      </c>
      <c r="B12600" s="3" t="inlineStr">
        <is>
          <t>유안타증권</t>
        </is>
      </c>
      <c r="C12600" s="2" t="inlineStr">
        <is>
          <t>코스피</t>
        </is>
      </c>
      <c r="D12600" s="2" t="inlineStr">
        <is>
          <t>003470</t>
        </is>
      </c>
      <c r="E12600" s="3" t="inlineStr">
        <is>
          <t>투자설명서(일괄신고)</t>
        </is>
      </c>
      <c r="F12600" s="3" t="inlineStr">
        <is>
          <t>유안타증권</t>
        </is>
      </c>
      <c r="G12600" s="2" t="inlineStr">
        <is>
          <t>20260623000286</t>
        </is>
      </c>
      <c r="H12600" s="8">
        <f>HYPERLINK("https://dart.fss.or.kr/dsaf001/main.do?rcpNo=20260623000286", "공시열람")</f>
        <v/>
      </c>
    </row>
    <row r="12601">
      <c r="A12601" s="2" t="inlineStr">
        <is>
          <t>2026-06-23</t>
        </is>
      </c>
      <c r="B12601" s="3" t="inlineStr">
        <is>
          <t>오션인더블유</t>
        </is>
      </c>
      <c r="C12601" s="2" t="inlineStr">
        <is>
          <t>코스닥</t>
        </is>
      </c>
      <c r="D12601" s="2" t="inlineStr">
        <is>
          <t>052300</t>
        </is>
      </c>
      <c r="E12601" s="3" t="inlineStr">
        <is>
          <t>신탁계약에의한취득상황보고서</t>
        </is>
      </c>
      <c r="F12601" s="3" t="inlineStr">
        <is>
          <t>오션인더블유</t>
        </is>
      </c>
      <c r="G12601" s="2" t="inlineStr">
        <is>
          <t>20260623000282</t>
        </is>
      </c>
      <c r="H12601" s="8">
        <f>HYPERLINK("https://dart.fss.or.kr/dsaf001/main.do?rcpNo=20260623000282", "공시열람")</f>
        <v/>
      </c>
    </row>
    <row r="12602">
      <c r="A12602" s="2" t="inlineStr">
        <is>
          <t>2026-06-23</t>
        </is>
      </c>
      <c r="B12602" s="3" t="inlineStr">
        <is>
          <t>유안타증권</t>
        </is>
      </c>
      <c r="C12602" s="2" t="inlineStr">
        <is>
          <t>코스피</t>
        </is>
      </c>
      <c r="D12602" s="2" t="inlineStr">
        <is>
          <t>003470</t>
        </is>
      </c>
      <c r="E12602" s="3" t="inlineStr">
        <is>
          <t>일괄신고추가서류(파생결합사채-주가연계파생결합사채)</t>
        </is>
      </c>
      <c r="F12602" s="3" t="inlineStr">
        <is>
          <t>유안타증권</t>
        </is>
      </c>
      <c r="G12602" s="2" t="inlineStr">
        <is>
          <t>20260623000275</t>
        </is>
      </c>
      <c r="H12602" s="8">
        <f>HYPERLINK("https://dart.fss.or.kr/dsaf001/main.do?rcpNo=20260623000275", "공시열람")</f>
        <v/>
      </c>
    </row>
    <row r="12603">
      <c r="A12603" s="2" t="inlineStr">
        <is>
          <t>2026-06-23</t>
        </is>
      </c>
      <c r="B12603" s="3" t="inlineStr">
        <is>
          <t>브이엠</t>
        </is>
      </c>
      <c r="C12603" s="2" t="inlineStr">
        <is>
          <t>코스닥</t>
        </is>
      </c>
      <c r="D12603" s="2" t="inlineStr">
        <is>
          <t>089970</t>
        </is>
      </c>
      <c r="E12603" s="3" t="inlineStr">
        <is>
          <t>전환주식의전환청구권행사              (상환전환우선주)</t>
        </is>
      </c>
      <c r="F12603" s="3" t="inlineStr">
        <is>
          <t>브이엠</t>
        </is>
      </c>
      <c r="G12603" s="2" t="inlineStr">
        <is>
          <t>20260623900455</t>
        </is>
      </c>
      <c r="H12603" s="8">
        <f>HYPERLINK("https://dart.fss.or.kr/dsaf001/main.do?rcpNo=20260623900455", "공시열람")</f>
        <v/>
      </c>
    </row>
    <row r="12604">
      <c r="A12604" s="2" t="inlineStr">
        <is>
          <t>2026-06-23</t>
        </is>
      </c>
      <c r="B12604" s="3" t="inlineStr">
        <is>
          <t>제일파마홀딩스</t>
        </is>
      </c>
      <c r="C12604" s="2" t="inlineStr">
        <is>
          <t>코스피</t>
        </is>
      </c>
      <c r="D12604" s="2" t="inlineStr">
        <is>
          <t>002620</t>
        </is>
      </c>
      <c r="E12604" s="3" t="inlineStr">
        <is>
          <t>임원ㆍ주요주주특정증권등소유상황보고서</t>
        </is>
      </c>
      <c r="F12604" s="3" t="inlineStr">
        <is>
          <t>한상철</t>
        </is>
      </c>
      <c r="G12604" s="2" t="inlineStr">
        <is>
          <t>20260623000271</t>
        </is>
      </c>
      <c r="H12604" s="8">
        <f>HYPERLINK("https://dart.fss.or.kr/dsaf001/main.do?rcpNo=20260623000271", "공시열람")</f>
        <v/>
      </c>
    </row>
    <row r="12605">
      <c r="A12605" s="2" t="inlineStr">
        <is>
          <t>2026-06-23</t>
        </is>
      </c>
      <c r="B12605" s="3" t="inlineStr">
        <is>
          <t>오가닉티코스메틱</t>
        </is>
      </c>
      <c r="C12605" s="2" t="inlineStr">
        <is>
          <t>코스닥</t>
        </is>
      </c>
      <c r="D12605" s="2" t="inlineStr">
        <is>
          <t>900300</t>
        </is>
      </c>
      <c r="E12605" s="3" t="inlineStr">
        <is>
          <t>주권매매거래정지해제              (주식병합(무액면주식) 주권 변경상장)</t>
        </is>
      </c>
      <c r="F12605" s="3" t="inlineStr">
        <is>
          <t>코스닥시장본부</t>
        </is>
      </c>
      <c r="G12605" s="2" t="inlineStr">
        <is>
          <t>20260623900457</t>
        </is>
      </c>
      <c r="H12605" s="8">
        <f>HYPERLINK("https://dart.fss.or.kr/dsaf001/main.do?rcpNo=20260623900457", "공시열람")</f>
        <v/>
      </c>
    </row>
    <row r="12606">
      <c r="A12606" s="2" t="inlineStr">
        <is>
          <t>2026-06-23 (정정: 2026-06-25)</t>
        </is>
      </c>
      <c r="B12606" s="3" t="inlineStr">
        <is>
          <t>제이케이시냅스</t>
        </is>
      </c>
      <c r="C12606" s="2" t="inlineStr">
        <is>
          <t>코스닥</t>
        </is>
      </c>
      <c r="D12606" s="2" t="inlineStr">
        <is>
          <t>060230</t>
        </is>
      </c>
      <c r="E12606" s="3" t="inlineStr">
        <is>
          <t>전환가액의조정              (제34회차) (정정: 20260625)</t>
        </is>
      </c>
      <c r="F12606" s="3" t="inlineStr">
        <is>
          <t>제이케이시냅스</t>
        </is>
      </c>
      <c r="G12606" s="2" t="inlineStr">
        <is>
          <t>20260625000458</t>
        </is>
      </c>
      <c r="H12606" s="8">
        <f>HYPERLINK("https://dart.fss.or.kr/dsaf001/main.do?rcpNo=20260625000458", "공시열람")</f>
        <v/>
      </c>
    </row>
    <row r="12607">
      <c r="A12607" s="2" t="inlineStr">
        <is>
          <t>2026-06-23</t>
        </is>
      </c>
      <c r="B12607" s="3" t="inlineStr">
        <is>
          <t>전진건설로봇</t>
        </is>
      </c>
      <c r="C12607" s="2" t="inlineStr">
        <is>
          <t>코스피</t>
        </is>
      </c>
      <c r="D12607" s="2" t="inlineStr">
        <is>
          <t>079900</t>
        </is>
      </c>
      <c r="E12607" s="3" t="inlineStr">
        <is>
          <t>임원ㆍ주요주주특정증권등소유상황보고서</t>
        </is>
      </c>
      <c r="F12607" s="3" t="inlineStr">
        <is>
          <t>모트렉스</t>
        </is>
      </c>
      <c r="G12607" s="2" t="inlineStr">
        <is>
          <t>20260623000268</t>
        </is>
      </c>
      <c r="H12607" s="8">
        <f>HYPERLINK("https://dart.fss.or.kr/dsaf001/main.do?rcpNo=20260623000268", "공시열람")</f>
        <v/>
      </c>
    </row>
    <row r="12608">
      <c r="A12608" s="2" t="inlineStr">
        <is>
          <t>2026-06-23</t>
        </is>
      </c>
      <c r="B12608" s="3" t="inlineStr">
        <is>
          <t>교보증권</t>
        </is>
      </c>
      <c r="C12608" s="2" t="inlineStr">
        <is>
          <t>코스피</t>
        </is>
      </c>
      <c r="D12608" s="2" t="inlineStr">
        <is>
          <t>030610</t>
        </is>
      </c>
      <c r="E12608" s="3" t="inlineStr">
        <is>
          <t>투자설명서(일괄신고)</t>
        </is>
      </c>
      <c r="F12608" s="3" t="inlineStr">
        <is>
          <t>교보증권</t>
        </is>
      </c>
      <c r="G12608" s="2" t="inlineStr">
        <is>
          <t>20260623000264</t>
        </is>
      </c>
      <c r="H12608" s="8">
        <f>HYPERLINK("https://dart.fss.or.kr/dsaf001/main.do?rcpNo=20260623000264", "공시열람")</f>
        <v/>
      </c>
    </row>
    <row r="12609">
      <c r="A12609" s="2" t="inlineStr">
        <is>
          <t>2026-06-23</t>
        </is>
      </c>
      <c r="B12609" s="3" t="inlineStr">
        <is>
          <t>국보디자인</t>
        </is>
      </c>
      <c r="C12609" s="2" t="inlineStr">
        <is>
          <t>코스닥</t>
        </is>
      </c>
      <c r="D12609" s="2" t="inlineStr">
        <is>
          <t>066620</t>
        </is>
      </c>
      <c r="E12609" s="3" t="inlineStr">
        <is>
          <t>임원ㆍ주요주주특정증권등소유상황보고서</t>
        </is>
      </c>
      <c r="F12609" s="3" t="inlineStr">
        <is>
          <t>황창연</t>
        </is>
      </c>
      <c r="G12609" s="2" t="inlineStr">
        <is>
          <t>20260623000258</t>
        </is>
      </c>
      <c r="H12609" s="8">
        <f>HYPERLINK("https://dart.fss.or.kr/dsaf001/main.do?rcpNo=20260623000258", "공시열람")</f>
        <v/>
      </c>
    </row>
    <row r="12610">
      <c r="A12610" s="2" t="inlineStr">
        <is>
          <t>2026-06-23</t>
        </is>
      </c>
      <c r="B12610" s="3" t="inlineStr">
        <is>
          <t>더콘텐츠온</t>
        </is>
      </c>
      <c r="C12610" s="2" t="inlineStr">
        <is>
          <t>코넥스</t>
        </is>
      </c>
      <c r="D12610" s="2" t="inlineStr">
        <is>
          <t>302920</t>
        </is>
      </c>
      <c r="E12610" s="3" t="inlineStr">
        <is>
          <t xml:space="preserve">기업설명회(IR)개최결과              </t>
        </is>
      </c>
      <c r="F12610" s="3" t="inlineStr">
        <is>
          <t>더콘텐츠온</t>
        </is>
      </c>
      <c r="G12610" s="2" t="inlineStr">
        <is>
          <t>20260623600444</t>
        </is>
      </c>
      <c r="H12610" s="8">
        <f>HYPERLINK("https://dart.fss.or.kr/dsaf001/main.do?rcpNo=20260623600444", "공시열람")</f>
        <v/>
      </c>
    </row>
    <row r="12611">
      <c r="A12611" s="2" t="inlineStr">
        <is>
          <t>2026-06-23</t>
        </is>
      </c>
      <c r="B12611" s="3" t="inlineStr">
        <is>
          <t>대덕</t>
        </is>
      </c>
      <c r="C12611" s="2" t="inlineStr">
        <is>
          <t>코스피</t>
        </is>
      </c>
      <c r="D12611" s="2" t="inlineStr">
        <is>
          <t>008060</t>
        </is>
      </c>
      <c r="E12611" s="3" t="inlineStr">
        <is>
          <t xml:space="preserve">타법인주식및출자증권취득결정(자회사의 주요경영사항)              </t>
        </is>
      </c>
      <c r="F12611" s="3" t="inlineStr">
        <is>
          <t>대덕</t>
        </is>
      </c>
      <c r="G12611" s="2" t="inlineStr">
        <is>
          <t>20260623800432</t>
        </is>
      </c>
      <c r="H12611" s="8">
        <f>HYPERLINK("https://dart.fss.or.kr/dsaf001/main.do?rcpNo=20260623800432", "공시열람")</f>
        <v/>
      </c>
    </row>
    <row r="12612">
      <c r="A12612" s="2" t="inlineStr">
        <is>
          <t>2026-06-23</t>
        </is>
      </c>
      <c r="B12612" s="3" t="inlineStr">
        <is>
          <t>한솔아이원스</t>
        </is>
      </c>
      <c r="C12612" s="2" t="inlineStr">
        <is>
          <t>코스닥</t>
        </is>
      </c>
      <c r="D12612" s="2" t="inlineStr">
        <is>
          <t>114810</t>
        </is>
      </c>
      <c r="E12612" s="3" t="inlineStr">
        <is>
          <t>신탁계약에의한취득상황보고서</t>
        </is>
      </c>
      <c r="F12612" s="3" t="inlineStr">
        <is>
          <t>한솔아이원스</t>
        </is>
      </c>
      <c r="G12612" s="2" t="inlineStr">
        <is>
          <t>20260623000249</t>
        </is>
      </c>
      <c r="H12612" s="8">
        <f>HYPERLINK("https://dart.fss.or.kr/dsaf001/main.do?rcpNo=20260623000249", "공시열람")</f>
        <v/>
      </c>
    </row>
    <row r="12613">
      <c r="A12613" s="2" t="inlineStr">
        <is>
          <t>2026-06-23</t>
        </is>
      </c>
      <c r="B12613" s="3" t="inlineStr">
        <is>
          <t>유진테크놀로지</t>
        </is>
      </c>
      <c r="C12613" s="2" t="inlineStr">
        <is>
          <t>코스닥</t>
        </is>
      </c>
      <c r="D12613" s="2" t="inlineStr">
        <is>
          <t>240600</t>
        </is>
      </c>
      <c r="E12613" s="3" t="inlineStr">
        <is>
          <t xml:space="preserve">기업설명회(IR)개최              </t>
        </is>
      </c>
      <c r="F12613" s="3" t="inlineStr">
        <is>
          <t>유진테크놀로지</t>
        </is>
      </c>
      <c r="G12613" s="2" t="inlineStr">
        <is>
          <t>20260623900417</t>
        </is>
      </c>
      <c r="H12613" s="8">
        <f>HYPERLINK("https://dart.fss.or.kr/dsaf001/main.do?rcpNo=20260623900417", "공시열람")</f>
        <v/>
      </c>
    </row>
    <row r="12614">
      <c r="A12614" s="2" t="inlineStr">
        <is>
          <t>2026-06-23</t>
        </is>
      </c>
      <c r="B12614" s="3" t="inlineStr">
        <is>
          <t>아이에이</t>
        </is>
      </c>
      <c r="C12614" s="2" t="inlineStr">
        <is>
          <t>코스닥</t>
        </is>
      </c>
      <c r="D12614" s="2" t="inlineStr">
        <is>
          <t>038880</t>
        </is>
      </c>
      <c r="E12614" s="3" t="inlineStr">
        <is>
          <t xml:space="preserve">감자완료              </t>
        </is>
      </c>
      <c r="F12614" s="3" t="inlineStr">
        <is>
          <t>아이에이</t>
        </is>
      </c>
      <c r="G12614" s="2" t="inlineStr">
        <is>
          <t>20260623900323</t>
        </is>
      </c>
      <c r="H12614" s="8">
        <f>HYPERLINK("https://dart.fss.or.kr/dsaf001/main.do?rcpNo=20260623900323", "공시열람")</f>
        <v/>
      </c>
    </row>
    <row r="12615">
      <c r="A12615" s="2" t="inlineStr">
        <is>
          <t>2026-06-23</t>
        </is>
      </c>
      <c r="B12615" s="3" t="inlineStr">
        <is>
          <t>손오공</t>
        </is>
      </c>
      <c r="C12615" s="2" t="inlineStr">
        <is>
          <t>코스닥</t>
        </is>
      </c>
      <c r="D12615" s="2" t="inlineStr">
        <is>
          <t>066910</t>
        </is>
      </c>
      <c r="E12615" s="3" t="inlineStr">
        <is>
          <t>주요사항보고서(자기전환사채매도결정)</t>
        </is>
      </c>
      <c r="F12615" s="3" t="inlineStr">
        <is>
          <t>손오공</t>
        </is>
      </c>
      <c r="G12615" s="2" t="inlineStr">
        <is>
          <t>20260623000234</t>
        </is>
      </c>
      <c r="H12615" s="8">
        <f>HYPERLINK("https://dart.fss.or.kr/dsaf001/main.do?rcpNo=20260623000234", "공시열람")</f>
        <v/>
      </c>
    </row>
    <row r="12616">
      <c r="A12616" s="2" t="inlineStr">
        <is>
          <t>2026-06-23</t>
        </is>
      </c>
      <c r="B12616" s="3" t="inlineStr">
        <is>
          <t>리센스메디컬</t>
        </is>
      </c>
      <c r="C12616" s="2" t="inlineStr">
        <is>
          <t>코스닥</t>
        </is>
      </c>
      <c r="D12616" s="2" t="inlineStr">
        <is>
          <t>394420</t>
        </is>
      </c>
      <c r="E12616" s="3" t="inlineStr">
        <is>
          <t xml:space="preserve">기업설명회(IR)개최              </t>
        </is>
      </c>
      <c r="F12616" s="3" t="inlineStr">
        <is>
          <t>리센스메디컬</t>
        </is>
      </c>
      <c r="G12616" s="2" t="inlineStr">
        <is>
          <t>20260623900287</t>
        </is>
      </c>
      <c r="H12616" s="8">
        <f>HYPERLINK("https://dart.fss.or.kr/dsaf001/main.do?rcpNo=20260623900287", "공시열람")</f>
        <v/>
      </c>
    </row>
    <row r="12617">
      <c r="A12617" s="2" t="inlineStr">
        <is>
          <t>2026-06-23</t>
        </is>
      </c>
      <c r="B12617" s="3" t="inlineStr">
        <is>
          <t>대신증권</t>
        </is>
      </c>
      <c r="C12617" s="2" t="inlineStr">
        <is>
          <t>코스피</t>
        </is>
      </c>
      <c r="D12617" s="2" t="inlineStr">
        <is>
          <t>003540</t>
        </is>
      </c>
      <c r="E12617" s="3" t="inlineStr">
        <is>
          <t>일괄신고추가서류(파생결합사채-주가연계파생결합사채)</t>
        </is>
      </c>
      <c r="F12617" s="3" t="inlineStr">
        <is>
          <t>대신증권</t>
        </is>
      </c>
      <c r="G12617" s="2" t="inlineStr">
        <is>
          <t>20260623000245</t>
        </is>
      </c>
      <c r="H12617" s="8">
        <f>HYPERLINK("https://dart.fss.or.kr/dsaf001/main.do?rcpNo=20260623000245", "공시열람")</f>
        <v/>
      </c>
    </row>
    <row r="12618">
      <c r="A12618" s="2" t="inlineStr">
        <is>
          <t>2026-06-23</t>
        </is>
      </c>
      <c r="B12618" s="3" t="inlineStr">
        <is>
          <t>현대차증권</t>
        </is>
      </c>
      <c r="C12618" s="2" t="inlineStr">
        <is>
          <t>코스피</t>
        </is>
      </c>
      <c r="D12618" s="2" t="inlineStr">
        <is>
          <t>001500</t>
        </is>
      </c>
      <c r="E12618" s="3" t="inlineStr">
        <is>
          <t>일괄신고추가서류(파생결합사채-주가연계파생결합사채)</t>
        </is>
      </c>
      <c r="F12618" s="3" t="inlineStr">
        <is>
          <t>현대차증권</t>
        </is>
      </c>
      <c r="G12618" s="2" t="inlineStr">
        <is>
          <t>20260623000241</t>
        </is>
      </c>
      <c r="H12618" s="8">
        <f>HYPERLINK("https://dart.fss.or.kr/dsaf001/main.do?rcpNo=20260623000241", "공시열람")</f>
        <v/>
      </c>
    </row>
    <row r="12619">
      <c r="A12619" s="2" t="inlineStr">
        <is>
          <t>2026-06-23</t>
        </is>
      </c>
      <c r="B12619" s="3" t="inlineStr">
        <is>
          <t>와이솔</t>
        </is>
      </c>
      <c r="C12619" s="2" t="inlineStr">
        <is>
          <t>코스닥</t>
        </is>
      </c>
      <c r="D12619" s="2" t="inlineStr">
        <is>
          <t>122990</t>
        </is>
      </c>
      <c r="E12619" s="3" t="inlineStr">
        <is>
          <t xml:space="preserve">타법인주식및출자증권취득결정              </t>
        </is>
      </c>
      <c r="F12619" s="3" t="inlineStr">
        <is>
          <t>와이솔</t>
        </is>
      </c>
      <c r="G12619" s="2" t="inlineStr">
        <is>
          <t>20260623900382</t>
        </is>
      </c>
      <c r="H12619" s="8">
        <f>HYPERLINK("https://dart.fss.or.kr/dsaf001/main.do?rcpNo=20260623900382", "공시열람")</f>
        <v/>
      </c>
    </row>
    <row r="12620">
      <c r="A12620" s="2" t="inlineStr">
        <is>
          <t>2026-06-23</t>
        </is>
      </c>
      <c r="B12620" s="3" t="inlineStr">
        <is>
          <t>현대차증권</t>
        </is>
      </c>
      <c r="C12620" s="2" t="inlineStr">
        <is>
          <t>코스피</t>
        </is>
      </c>
      <c r="D12620" s="2" t="inlineStr">
        <is>
          <t>001500</t>
        </is>
      </c>
      <c r="E12620" s="3" t="inlineStr">
        <is>
          <t>일괄신고추가서류(기타파생결합사채)</t>
        </is>
      </c>
      <c r="F12620" s="3" t="inlineStr">
        <is>
          <t>현대차증권</t>
        </is>
      </c>
      <c r="G12620" s="2" t="inlineStr">
        <is>
          <t>20260623000238</t>
        </is>
      </c>
      <c r="H12620" s="8">
        <f>HYPERLINK("https://dart.fss.or.kr/dsaf001/main.do?rcpNo=20260623000238", "공시열람")</f>
        <v/>
      </c>
    </row>
    <row r="12621">
      <c r="A12621" s="2" t="inlineStr">
        <is>
          <t>2026-06-23</t>
        </is>
      </c>
      <c r="B12621" s="3" t="inlineStr">
        <is>
          <t>교보증권</t>
        </is>
      </c>
      <c r="C12621" s="2" t="inlineStr">
        <is>
          <t>코스피</t>
        </is>
      </c>
      <c r="D12621" s="2" t="inlineStr">
        <is>
          <t>030610</t>
        </is>
      </c>
      <c r="E12621" s="3" t="inlineStr">
        <is>
          <t>일괄신고추가서류(파생결합사채-주가연계파생결합사채)</t>
        </is>
      </c>
      <c r="F12621" s="3" t="inlineStr">
        <is>
          <t>교보증권</t>
        </is>
      </c>
      <c r="G12621" s="2" t="inlineStr">
        <is>
          <t>20260623000237</t>
        </is>
      </c>
      <c r="H12621" s="8">
        <f>HYPERLINK("https://dart.fss.or.kr/dsaf001/main.do?rcpNo=20260623000237", "공시열람")</f>
        <v/>
      </c>
    </row>
    <row r="12622">
      <c r="A12622" s="2" t="inlineStr">
        <is>
          <t>2026-06-23</t>
        </is>
      </c>
      <c r="B12622" s="3" t="inlineStr">
        <is>
          <t>메가터치</t>
        </is>
      </c>
      <c r="C12622" s="2" t="inlineStr">
        <is>
          <t>코스닥</t>
        </is>
      </c>
      <c r="D12622" s="2" t="inlineStr">
        <is>
          <t>446540</t>
        </is>
      </c>
      <c r="E12622" s="3" t="inlineStr">
        <is>
          <t>임원ㆍ주요주주특정증권등소유상황보고서</t>
        </is>
      </c>
      <c r="F12622" s="3" t="inlineStr">
        <is>
          <t>최우용</t>
        </is>
      </c>
      <c r="G12622" s="2" t="inlineStr">
        <is>
          <t>20260623000236</t>
        </is>
      </c>
      <c r="H12622" s="8">
        <f>HYPERLINK("https://dart.fss.or.kr/dsaf001/main.do?rcpNo=20260623000236", "공시열람")</f>
        <v/>
      </c>
    </row>
    <row r="12623">
      <c r="A12623" s="2" t="inlineStr">
        <is>
          <t>2026-06-23</t>
        </is>
      </c>
      <c r="B12623" s="3" t="inlineStr">
        <is>
          <t>엑사이엔씨</t>
        </is>
      </c>
      <c r="C12623" s="2" t="inlineStr">
        <is>
          <t>코스닥</t>
        </is>
      </c>
      <c r="D12623" s="2" t="inlineStr">
        <is>
          <t>054940</t>
        </is>
      </c>
      <c r="E12623" s="3" t="inlineStr">
        <is>
          <t>의결권대리행사권유참고서류</t>
        </is>
      </c>
      <c r="F12623" s="3" t="inlineStr">
        <is>
          <t>엑사이엔씨</t>
        </is>
      </c>
      <c r="G12623" s="2" t="inlineStr">
        <is>
          <t>20260623000228</t>
        </is>
      </c>
      <c r="H12623" s="8">
        <f>HYPERLINK("https://dart.fss.or.kr/dsaf001/main.do?rcpNo=20260623000228", "공시열람")</f>
        <v/>
      </c>
    </row>
    <row r="12624">
      <c r="A12624" s="2" t="inlineStr">
        <is>
          <t>2026-06-23</t>
        </is>
      </c>
      <c r="B12624" s="3" t="inlineStr">
        <is>
          <t>삼성증권</t>
        </is>
      </c>
      <c r="C12624" s="2" t="inlineStr">
        <is>
          <t>코스피</t>
        </is>
      </c>
      <c r="D12624" s="2" t="inlineStr">
        <is>
          <t>016360</t>
        </is>
      </c>
      <c r="E12624" s="3" t="inlineStr">
        <is>
          <t>증권발행실적보고서</t>
        </is>
      </c>
      <c r="F12624" s="3" t="inlineStr">
        <is>
          <t>삼성증권</t>
        </is>
      </c>
      <c r="G12624" s="2" t="inlineStr">
        <is>
          <t>20260623000225</t>
        </is>
      </c>
      <c r="H12624" s="8">
        <f>HYPERLINK("https://dart.fss.or.kr/dsaf001/main.do?rcpNo=20260623000225", "공시열람")</f>
        <v/>
      </c>
    </row>
    <row r="12625">
      <c r="A12625" s="2" t="inlineStr">
        <is>
          <t>2026-06-23</t>
        </is>
      </c>
      <c r="B12625" s="3" t="inlineStr">
        <is>
          <t>삼성증권</t>
        </is>
      </c>
      <c r="C12625" s="2" t="inlineStr">
        <is>
          <t>코스피</t>
        </is>
      </c>
      <c r="D12625" s="2" t="inlineStr">
        <is>
          <t>016360</t>
        </is>
      </c>
      <c r="E12625" s="3" t="inlineStr">
        <is>
          <t>증권발행실적보고서</t>
        </is>
      </c>
      <c r="F12625" s="3" t="inlineStr">
        <is>
          <t>삼성증권</t>
        </is>
      </c>
      <c r="G12625" s="2" t="inlineStr">
        <is>
          <t>20260623000222</t>
        </is>
      </c>
      <c r="H12625" s="8">
        <f>HYPERLINK("https://dart.fss.or.kr/dsaf001/main.do?rcpNo=20260623000222", "공시열람")</f>
        <v/>
      </c>
    </row>
    <row r="12626">
      <c r="A12626" s="2" t="inlineStr">
        <is>
          <t>2026-06-23</t>
        </is>
      </c>
      <c r="B12626" s="3" t="inlineStr">
        <is>
          <t>대웅</t>
        </is>
      </c>
      <c r="C12626" s="2" t="inlineStr">
        <is>
          <t>코스피</t>
        </is>
      </c>
      <c r="D12626" s="2" t="inlineStr">
        <is>
          <t>003090</t>
        </is>
      </c>
      <c r="E12626" s="3" t="inlineStr">
        <is>
          <t>투자판단관련주요경영사항(자회사의 주요경영사항)              (펙수클루정(Fexuclue)의 적응증 추가 3상 임상시험계획(IND) 승인(위궤양의 치료 요법))</t>
        </is>
      </c>
      <c r="F12626" s="3" t="inlineStr">
        <is>
          <t>대웅</t>
        </is>
      </c>
      <c r="G12626" s="2" t="inlineStr">
        <is>
          <t>20260623800377</t>
        </is>
      </c>
      <c r="H12626" s="8">
        <f>HYPERLINK("https://dart.fss.or.kr/dsaf001/main.do?rcpNo=20260623800377", "공시열람")</f>
        <v/>
      </c>
    </row>
    <row r="12627">
      <c r="A12627" s="2" t="inlineStr">
        <is>
          <t>2026-06-23</t>
        </is>
      </c>
      <c r="B12627" s="3" t="inlineStr">
        <is>
          <t>대웅제약</t>
        </is>
      </c>
      <c r="C12627" s="2" t="inlineStr">
        <is>
          <t>코스피</t>
        </is>
      </c>
      <c r="D12627" s="2" t="inlineStr">
        <is>
          <t>069620</t>
        </is>
      </c>
      <c r="E12627" s="3" t="inlineStr">
        <is>
          <t>투자판단관련주요경영사항              (펙수클루정(Fexuclue)의 적응증 추가 3상 임상시험계획(IND) 승인(위궤양의 치료 요법))</t>
        </is>
      </c>
      <c r="F12627" s="3" t="inlineStr">
        <is>
          <t>대웅제약</t>
        </is>
      </c>
      <c r="G12627" s="2" t="inlineStr">
        <is>
          <t>20260623800356</t>
        </is>
      </c>
      <c r="H12627" s="8">
        <f>HYPERLINK("https://dart.fss.or.kr/dsaf001/main.do?rcpNo=20260623800356", "공시열람")</f>
        <v/>
      </c>
    </row>
    <row r="12628">
      <c r="A12628" s="2" t="inlineStr">
        <is>
          <t>2026-06-23</t>
        </is>
      </c>
      <c r="B12628" s="3" t="inlineStr">
        <is>
          <t>유안타증권</t>
        </is>
      </c>
      <c r="C12628" s="2" t="inlineStr">
        <is>
          <t>코스피</t>
        </is>
      </c>
      <c r="D12628" s="2" t="inlineStr">
        <is>
          <t>003470</t>
        </is>
      </c>
      <c r="E12628" s="3" t="inlineStr">
        <is>
          <t>투자설명서(일괄신고)</t>
        </is>
      </c>
      <c r="F12628" s="3" t="inlineStr">
        <is>
          <t>유안타증권</t>
        </is>
      </c>
      <c r="G12628" s="2" t="inlineStr">
        <is>
          <t>20260623000213</t>
        </is>
      </c>
      <c r="H12628" s="8">
        <f>HYPERLINK("https://dart.fss.or.kr/dsaf001/main.do?rcpNo=20260623000213", "공시열람")</f>
        <v/>
      </c>
    </row>
    <row r="12629">
      <c r="A12629" s="2" t="inlineStr">
        <is>
          <t>2026-06-23</t>
        </is>
      </c>
      <c r="B12629" s="3" t="inlineStr">
        <is>
          <t>AK홀딩스</t>
        </is>
      </c>
      <c r="C12629" s="2" t="inlineStr">
        <is>
          <t>코스피</t>
        </is>
      </c>
      <c r="D12629" s="2" t="inlineStr">
        <is>
          <t>006840</t>
        </is>
      </c>
      <c r="E12629" s="3" t="inlineStr">
        <is>
          <t xml:space="preserve">지주회사의자회사탈퇴              </t>
        </is>
      </c>
      <c r="F12629" s="3" t="inlineStr">
        <is>
          <t>AK홀딩스</t>
        </is>
      </c>
      <c r="G12629" s="2" t="inlineStr">
        <is>
          <t>20260623800351</t>
        </is>
      </c>
      <c r="H12629" s="8">
        <f>HYPERLINK("https://dart.fss.or.kr/dsaf001/main.do?rcpNo=20260623800351", "공시열람")</f>
        <v/>
      </c>
    </row>
    <row r="12630">
      <c r="A12630" s="2" t="inlineStr">
        <is>
          <t>2026-06-23</t>
        </is>
      </c>
      <c r="B12630" s="3" t="inlineStr">
        <is>
          <t>유안타증권</t>
        </is>
      </c>
      <c r="C12630" s="2" t="inlineStr">
        <is>
          <t>코스피</t>
        </is>
      </c>
      <c r="D12630" s="2" t="inlineStr">
        <is>
          <t>003470</t>
        </is>
      </c>
      <c r="E12630" s="3" t="inlineStr">
        <is>
          <t>일괄신고추가서류(파생결합사채-주가연계파생결합사채)</t>
        </is>
      </c>
      <c r="F12630" s="3" t="inlineStr">
        <is>
          <t>유안타증권</t>
        </is>
      </c>
      <c r="G12630" s="2" t="inlineStr">
        <is>
          <t>20260623000208</t>
        </is>
      </c>
      <c r="H12630" s="8">
        <f>HYPERLINK("https://dart.fss.or.kr/dsaf001/main.do?rcpNo=20260623000208", "공시열람")</f>
        <v/>
      </c>
    </row>
    <row r="12631">
      <c r="A12631" s="2" t="inlineStr">
        <is>
          <t>2026-06-23</t>
        </is>
      </c>
      <c r="B12631" s="3" t="inlineStr">
        <is>
          <t>미래에셋증권</t>
        </is>
      </c>
      <c r="C12631" s="2" t="inlineStr">
        <is>
          <t>코스피</t>
        </is>
      </c>
      <c r="D12631" s="2" t="inlineStr">
        <is>
          <t>006800</t>
        </is>
      </c>
      <c r="E12631" s="3" t="inlineStr">
        <is>
          <t>투자설명서(일괄신고)</t>
        </is>
      </c>
      <c r="F12631" s="3" t="inlineStr">
        <is>
          <t>미래에셋증권</t>
        </is>
      </c>
      <c r="G12631" s="2" t="inlineStr">
        <is>
          <t>20260623000206</t>
        </is>
      </c>
      <c r="H12631" s="8">
        <f>HYPERLINK("https://dart.fss.or.kr/dsaf001/main.do?rcpNo=20260623000206", "공시열람")</f>
        <v/>
      </c>
    </row>
    <row r="12632">
      <c r="A12632" s="2" t="inlineStr">
        <is>
          <t>2026-06-23</t>
        </is>
      </c>
      <c r="B12632" s="3" t="inlineStr">
        <is>
          <t>보로노이</t>
        </is>
      </c>
      <c r="C12632" s="2" t="inlineStr">
        <is>
          <t>코스닥</t>
        </is>
      </c>
      <c r="D12632" s="2" t="inlineStr">
        <is>
          <t>310210</t>
        </is>
      </c>
      <c r="E12632" s="3" t="inlineStr">
        <is>
          <t xml:space="preserve">기업설명회(IR)개최              </t>
        </is>
      </c>
      <c r="F12632" s="3" t="inlineStr">
        <is>
          <t>보로노이</t>
        </is>
      </c>
      <c r="G12632" s="2" t="inlineStr">
        <is>
          <t>20260623900353</t>
        </is>
      </c>
      <c r="H12632" s="8">
        <f>HYPERLINK("https://dart.fss.or.kr/dsaf001/main.do?rcpNo=20260623900353", "공시열람")</f>
        <v/>
      </c>
    </row>
    <row r="12633">
      <c r="A12633" s="2" t="inlineStr">
        <is>
          <t>2026-06-23</t>
        </is>
      </c>
      <c r="B12633" s="3" t="inlineStr">
        <is>
          <t>대한제분</t>
        </is>
      </c>
      <c r="C12633" s="2" t="inlineStr">
        <is>
          <t>코스피</t>
        </is>
      </c>
      <c r="D12633" s="2" t="inlineStr">
        <is>
          <t>001130</t>
        </is>
      </c>
      <c r="E12633" s="3" t="inlineStr">
        <is>
          <t xml:space="preserve">기업가치제고계획(자율공시)              </t>
        </is>
      </c>
      <c r="F12633" s="3" t="inlineStr">
        <is>
          <t>대한제분</t>
        </is>
      </c>
      <c r="G12633" s="2" t="inlineStr">
        <is>
          <t>20260623800322</t>
        </is>
      </c>
      <c r="H12633" s="8">
        <f>HYPERLINK("https://dart.fss.or.kr/dsaf001/main.do?rcpNo=20260623800322", "공시열람")</f>
        <v/>
      </c>
    </row>
    <row r="12634">
      <c r="A12634" s="2" t="inlineStr">
        <is>
          <t>2026-06-23</t>
        </is>
      </c>
      <c r="B12634" s="3" t="inlineStr">
        <is>
          <t>우정바이오</t>
        </is>
      </c>
      <c r="C12634" s="2" t="inlineStr">
        <is>
          <t>코스닥</t>
        </is>
      </c>
      <c r="D12634" s="2" t="inlineStr">
        <is>
          <t>215380</t>
        </is>
      </c>
      <c r="E12634" s="3" t="inlineStr">
        <is>
          <t>의결권대리행사권유참고서류</t>
        </is>
      </c>
      <c r="F12634" s="3" t="inlineStr">
        <is>
          <t>우정바이오</t>
        </is>
      </c>
      <c r="G12634" s="2" t="inlineStr">
        <is>
          <t>20260623000201</t>
        </is>
      </c>
      <c r="H12634" s="8">
        <f>HYPERLINK("https://dart.fss.or.kr/dsaf001/main.do?rcpNo=20260623000201", "공시열람")</f>
        <v/>
      </c>
    </row>
    <row r="12635">
      <c r="A12635" s="2" t="inlineStr">
        <is>
          <t>2026-06-23</t>
        </is>
      </c>
      <c r="B12635" s="3" t="inlineStr">
        <is>
          <t>한주라이트메탈</t>
        </is>
      </c>
      <c r="C12635" s="2" t="inlineStr">
        <is>
          <t>코스닥</t>
        </is>
      </c>
      <c r="D12635" s="2" t="inlineStr">
        <is>
          <t>198940</t>
        </is>
      </c>
      <c r="E12635" s="3" t="inlineStr">
        <is>
          <t>기타경영사항(자율공시)              (산업통상자원부 「글로벌우수기업연구소육성사업(G-ATC)」 국책과제 주관기관 선정)</t>
        </is>
      </c>
      <c r="F12635" s="3" t="inlineStr">
        <is>
          <t>한주라이트메탈</t>
        </is>
      </c>
      <c r="G12635" s="2" t="inlineStr">
        <is>
          <t>20260623900327</t>
        </is>
      </c>
      <c r="H12635" s="8">
        <f>HYPERLINK("https://dart.fss.or.kr/dsaf001/main.do?rcpNo=20260623900327", "공시열람")</f>
        <v/>
      </c>
    </row>
    <row r="12636">
      <c r="A12636" s="2" t="inlineStr">
        <is>
          <t>2026-06-23</t>
        </is>
      </c>
      <c r="B12636" s="3" t="inlineStr">
        <is>
          <t>이오플로우</t>
        </is>
      </c>
      <c r="C12636" s="2" t="inlineStr">
        <is>
          <t>코스닥</t>
        </is>
      </c>
      <c r="D12636" s="2" t="inlineStr">
        <is>
          <t>294090</t>
        </is>
      </c>
      <c r="E12636" s="3" t="inlineStr">
        <is>
          <t>소송등의판결ㆍ결정              (영업비밀보호법(“DTSA”)에 따른 영업비밀 침해 및 특허 침해 소송)</t>
        </is>
      </c>
      <c r="F12636" s="3" t="inlineStr">
        <is>
          <t>이오플로우</t>
        </is>
      </c>
      <c r="G12636" s="2" t="inlineStr">
        <is>
          <t>20260623900310</t>
        </is>
      </c>
      <c r="H12636" s="8">
        <f>HYPERLINK("https://dart.fss.or.kr/dsaf001/main.do?rcpNo=20260623900310", "공시열람")</f>
        <v/>
      </c>
    </row>
    <row r="12637">
      <c r="A12637" s="2" t="inlineStr">
        <is>
          <t>2026-06-23</t>
        </is>
      </c>
      <c r="B12637" s="3" t="inlineStr">
        <is>
          <t>교보증권</t>
        </is>
      </c>
      <c r="C12637" s="2" t="inlineStr">
        <is>
          <t>코스피</t>
        </is>
      </c>
      <c r="D12637" s="2" t="inlineStr">
        <is>
          <t>030610</t>
        </is>
      </c>
      <c r="E12637" s="3" t="inlineStr">
        <is>
          <t>증권발행실적보고서</t>
        </is>
      </c>
      <c r="F12637" s="3" t="inlineStr">
        <is>
          <t>교보증권</t>
        </is>
      </c>
      <c r="G12637" s="2" t="inlineStr">
        <is>
          <t>20260623000189</t>
        </is>
      </c>
      <c r="H12637" s="8">
        <f>HYPERLINK("https://dart.fss.or.kr/dsaf001/main.do?rcpNo=20260623000189", "공시열람")</f>
        <v/>
      </c>
    </row>
    <row r="12638">
      <c r="A12638" s="2" t="inlineStr">
        <is>
          <t>2026-06-23</t>
        </is>
      </c>
      <c r="B12638" s="3" t="inlineStr">
        <is>
          <t>코스맥스</t>
        </is>
      </c>
      <c r="C12638" s="2" t="inlineStr">
        <is>
          <t>코스피</t>
        </is>
      </c>
      <c r="D12638" s="2" t="inlineStr">
        <is>
          <t>192820</t>
        </is>
      </c>
      <c r="E12638" s="3" t="inlineStr">
        <is>
          <t xml:space="preserve">기업설명회(IR)개최(안내공시)              </t>
        </is>
      </c>
      <c r="F12638" s="3" t="inlineStr">
        <is>
          <t>코스맥스</t>
        </is>
      </c>
      <c r="G12638" s="2" t="inlineStr">
        <is>
          <t>20260623800302</t>
        </is>
      </c>
      <c r="H12638" s="8">
        <f>HYPERLINK("https://dart.fss.or.kr/dsaf001/main.do?rcpNo=20260623800302", "공시열람")</f>
        <v/>
      </c>
    </row>
    <row r="12639">
      <c r="A12639" s="2" t="inlineStr">
        <is>
          <t>2026-06-23</t>
        </is>
      </c>
      <c r="B12639" s="3" t="inlineStr">
        <is>
          <t>미래에셋증권</t>
        </is>
      </c>
      <c r="C12639" s="2" t="inlineStr">
        <is>
          <t>코스피</t>
        </is>
      </c>
      <c r="D12639" s="2" t="inlineStr">
        <is>
          <t>006800</t>
        </is>
      </c>
      <c r="E12639" s="3" t="inlineStr">
        <is>
          <t>일괄신고추가서류(파생결합사채-주가연계파생결합사채)</t>
        </is>
      </c>
      <c r="F12639" s="3" t="inlineStr">
        <is>
          <t>미래에셋증권</t>
        </is>
      </c>
      <c r="G12639" s="2" t="inlineStr">
        <is>
          <t>20260623000178</t>
        </is>
      </c>
      <c r="H12639" s="8">
        <f>HYPERLINK("https://dart.fss.or.kr/dsaf001/main.do?rcpNo=20260623000178", "공시열람")</f>
        <v/>
      </c>
    </row>
    <row r="12640">
      <c r="A12640" s="2" t="inlineStr">
        <is>
          <t>2026-06-23</t>
        </is>
      </c>
      <c r="B12640" s="3" t="inlineStr">
        <is>
          <t>iM금융지주</t>
        </is>
      </c>
      <c r="C12640" s="2" t="inlineStr">
        <is>
          <t>코스피</t>
        </is>
      </c>
      <c r="D12640" s="2" t="inlineStr">
        <is>
          <t>139130</t>
        </is>
      </c>
      <c r="E12640" s="3" t="inlineStr">
        <is>
          <t>신탁계약해지결과보고서</t>
        </is>
      </c>
      <c r="F12640" s="3" t="inlineStr">
        <is>
          <t>iM금융지주</t>
        </is>
      </c>
      <c r="G12640" s="2" t="inlineStr">
        <is>
          <t>20260623000177</t>
        </is>
      </c>
      <c r="H12640" s="8">
        <f>HYPERLINK("https://dart.fss.or.kr/dsaf001/main.do?rcpNo=20260623000177", "공시열람")</f>
        <v/>
      </c>
    </row>
    <row r="12641">
      <c r="A12641" s="2" t="inlineStr">
        <is>
          <t>2026-06-23</t>
        </is>
      </c>
      <c r="B12641" s="3" t="inlineStr">
        <is>
          <t>포스코DX</t>
        </is>
      </c>
      <c r="C12641" s="2" t="inlineStr">
        <is>
          <t>코스피</t>
        </is>
      </c>
      <c r="D12641" s="2" t="inlineStr">
        <is>
          <t>022100</t>
        </is>
      </c>
      <c r="E12641" s="3" t="inlineStr">
        <is>
          <t xml:space="preserve">지속가능경영보고서등관련사항(자율공시)              </t>
        </is>
      </c>
      <c r="F12641" s="3" t="inlineStr">
        <is>
          <t>포스코DX</t>
        </is>
      </c>
      <c r="G12641" s="2" t="inlineStr">
        <is>
          <t>20260623800313</t>
        </is>
      </c>
      <c r="H12641" s="8">
        <f>HYPERLINK("https://dart.fss.or.kr/dsaf001/main.do?rcpNo=20260623800313", "공시열람")</f>
        <v/>
      </c>
    </row>
    <row r="12642">
      <c r="A12642" s="2" t="inlineStr">
        <is>
          <t>2026-06-23</t>
        </is>
      </c>
      <c r="B12642" s="3" t="inlineStr">
        <is>
          <t>대명에너지</t>
        </is>
      </c>
      <c r="C12642" s="2" t="inlineStr">
        <is>
          <t>코스닥</t>
        </is>
      </c>
      <c r="D12642" s="2" t="inlineStr">
        <is>
          <t>389260</t>
        </is>
      </c>
      <c r="E12642" s="3" t="inlineStr">
        <is>
          <t xml:space="preserve">기업설명회(IR)개최              </t>
        </is>
      </c>
      <c r="F12642" s="3" t="inlineStr">
        <is>
          <t>대명에너지</t>
        </is>
      </c>
      <c r="G12642" s="2" t="inlineStr">
        <is>
          <t>20260623900307</t>
        </is>
      </c>
      <c r="H12642" s="8">
        <f>HYPERLINK("https://dart.fss.or.kr/dsaf001/main.do?rcpNo=20260623900307", "공시열람")</f>
        <v/>
      </c>
    </row>
    <row r="12643">
      <c r="A12643" s="2" t="inlineStr">
        <is>
          <t>2026-06-23</t>
        </is>
      </c>
      <c r="B12643" s="3" t="inlineStr">
        <is>
          <t>일월지엠엘</t>
        </is>
      </c>
      <c r="C12643" s="2" t="inlineStr">
        <is>
          <t>코스닥</t>
        </is>
      </c>
      <c r="D12643" s="2" t="inlineStr">
        <is>
          <t>178780</t>
        </is>
      </c>
      <c r="E12643" s="3" t="inlineStr">
        <is>
          <t>임원ㆍ주요주주특정증권등소유상황보고서</t>
        </is>
      </c>
      <c r="F12643" s="3" t="inlineStr">
        <is>
          <t>김영동</t>
        </is>
      </c>
      <c r="G12643" s="2" t="inlineStr">
        <is>
          <t>20260623000162</t>
        </is>
      </c>
      <c r="H12643" s="8">
        <f>HYPERLINK("https://dart.fss.or.kr/dsaf001/main.do?rcpNo=20260623000162", "공시열람")</f>
        <v/>
      </c>
    </row>
    <row r="12644">
      <c r="A12644" s="2" t="inlineStr">
        <is>
          <t>2026-06-23</t>
        </is>
      </c>
      <c r="B12644" s="3" t="inlineStr">
        <is>
          <t>윙스풋</t>
        </is>
      </c>
      <c r="C12644" s="2" t="inlineStr">
        <is>
          <t>코스닥</t>
        </is>
      </c>
      <c r="D12644" s="2" t="inlineStr">
        <is>
          <t>335870</t>
        </is>
      </c>
      <c r="E12644" s="3" t="inlineStr">
        <is>
          <t>임원ㆍ주요주주특정증권등거래계획보고서</t>
        </is>
      </c>
      <c r="F12644" s="3" t="inlineStr">
        <is>
          <t>KIMYUNGHWAN</t>
        </is>
      </c>
      <c r="G12644" s="2" t="inlineStr">
        <is>
          <t>20260623000145</t>
        </is>
      </c>
      <c r="H12644" s="8">
        <f>HYPERLINK("https://dart.fss.or.kr/dsaf001/main.do?rcpNo=20260623000145", "공시열람")</f>
        <v/>
      </c>
    </row>
    <row r="12645">
      <c r="A12645" s="2" t="inlineStr">
        <is>
          <t>2026-06-23</t>
        </is>
      </c>
      <c r="B12645" s="3" t="inlineStr">
        <is>
          <t>스틱인베스트먼트</t>
        </is>
      </c>
      <c r="C12645" s="2" t="inlineStr">
        <is>
          <t>코스피</t>
        </is>
      </c>
      <c r="D12645" s="2" t="inlineStr">
        <is>
          <t>026890</t>
        </is>
      </c>
      <c r="E12645" s="3" t="inlineStr">
        <is>
          <t>임원ㆍ주요주주특정증권등소유상황보고서</t>
        </is>
      </c>
      <c r="F12645" s="3" t="inlineStr">
        <is>
          <t>곽동걸</t>
        </is>
      </c>
      <c r="G12645" s="2" t="inlineStr">
        <is>
          <t>20260623000140</t>
        </is>
      </c>
      <c r="H12645" s="8">
        <f>HYPERLINK("https://dart.fss.or.kr/dsaf001/main.do?rcpNo=20260623000140", "공시열람")</f>
        <v/>
      </c>
    </row>
    <row r="12646">
      <c r="A12646" s="2" t="inlineStr">
        <is>
          <t>2026-06-23</t>
        </is>
      </c>
      <c r="B12646" s="3" t="inlineStr">
        <is>
          <t>디알텍</t>
        </is>
      </c>
      <c r="C12646" s="2" t="inlineStr">
        <is>
          <t>코스닥</t>
        </is>
      </c>
      <c r="D12646" s="2" t="inlineStr">
        <is>
          <t>214680</t>
        </is>
      </c>
      <c r="E12646" s="3" t="inlineStr">
        <is>
          <t xml:space="preserve">증권발행결과(자율공시)              </t>
        </is>
      </c>
      <c r="F12646" s="3" t="inlineStr">
        <is>
          <t>디알텍</t>
        </is>
      </c>
      <c r="G12646" s="2" t="inlineStr">
        <is>
          <t>20260623900270</t>
        </is>
      </c>
      <c r="H12646" s="8">
        <f>HYPERLINK("https://dart.fss.or.kr/dsaf001/main.do?rcpNo=20260623900270", "공시열람")</f>
        <v/>
      </c>
    </row>
    <row r="12647">
      <c r="A12647" s="2" t="inlineStr">
        <is>
          <t>2026-06-23</t>
        </is>
      </c>
      <c r="B12647" s="3" t="inlineStr">
        <is>
          <t>와이바이오로직스</t>
        </is>
      </c>
      <c r="C12647" s="2" t="inlineStr">
        <is>
          <t>코스닥</t>
        </is>
      </c>
      <c r="D12647" s="2" t="inlineStr">
        <is>
          <t>338840</t>
        </is>
      </c>
      <c r="E12647" s="3" t="inlineStr">
        <is>
          <t>임원ㆍ주요주주특정증권등소유상황보고서</t>
        </is>
      </c>
      <c r="F12647" s="3" t="inlineStr">
        <is>
          <t>박영우</t>
        </is>
      </c>
      <c r="G12647" s="2" t="inlineStr">
        <is>
          <t>20260623000138</t>
        </is>
      </c>
      <c r="H12647" s="8">
        <f>HYPERLINK("https://dart.fss.or.kr/dsaf001/main.do?rcpNo=20260623000138", "공시열람")</f>
        <v/>
      </c>
    </row>
    <row r="12648">
      <c r="A12648" s="2" t="inlineStr">
        <is>
          <t>2026-06-23</t>
        </is>
      </c>
      <c r="B12648" s="3" t="inlineStr">
        <is>
          <t>한화투자증권</t>
        </is>
      </c>
      <c r="C12648" s="2" t="inlineStr">
        <is>
          <t>코스피</t>
        </is>
      </c>
      <c r="D12648" s="2" t="inlineStr">
        <is>
          <t>003530</t>
        </is>
      </c>
      <c r="E12648" s="3" t="inlineStr">
        <is>
          <t>증권발행실적보고서</t>
        </is>
      </c>
      <c r="F12648" s="3" t="inlineStr">
        <is>
          <t>한화투자증권</t>
        </is>
      </c>
      <c r="G12648" s="2" t="inlineStr">
        <is>
          <t>20260623000137</t>
        </is>
      </c>
      <c r="H12648" s="8">
        <f>HYPERLINK("https://dart.fss.or.kr/dsaf001/main.do?rcpNo=20260623000137", "공시열람")</f>
        <v/>
      </c>
    </row>
    <row r="12649">
      <c r="A12649" s="2" t="inlineStr">
        <is>
          <t>2026-06-23</t>
        </is>
      </c>
      <c r="B12649" s="3" t="inlineStr">
        <is>
          <t>선익시스템</t>
        </is>
      </c>
      <c r="C12649" s="2" t="inlineStr">
        <is>
          <t>코스닥</t>
        </is>
      </c>
      <c r="D12649" s="2" t="inlineStr">
        <is>
          <t>171090</t>
        </is>
      </c>
      <c r="E12649" s="3" t="inlineStr">
        <is>
          <t xml:space="preserve">기업설명회(IR)개최              </t>
        </is>
      </c>
      <c r="F12649" s="3" t="inlineStr">
        <is>
          <t>선익시스템</t>
        </is>
      </c>
      <c r="G12649" s="2" t="inlineStr">
        <is>
          <t>20260623900261</t>
        </is>
      </c>
      <c r="H12649" s="8">
        <f>HYPERLINK("https://dart.fss.or.kr/dsaf001/main.do?rcpNo=20260623900261", "공시열람")</f>
        <v/>
      </c>
    </row>
    <row r="12650">
      <c r="A12650" s="2" t="inlineStr">
        <is>
          <t>2026-06-23</t>
        </is>
      </c>
      <c r="B12650" s="3" t="inlineStr">
        <is>
          <t>HLB</t>
        </is>
      </c>
      <c r="C12650" s="2" t="inlineStr">
        <is>
          <t>코스닥</t>
        </is>
      </c>
      <c r="D12650" s="2" t="inlineStr">
        <is>
          <t>028300</t>
        </is>
      </c>
      <c r="E12650" s="3" t="inlineStr">
        <is>
          <t xml:space="preserve">기업설명회(IR)개최              </t>
        </is>
      </c>
      <c r="F12650" s="3" t="inlineStr">
        <is>
          <t>HLB</t>
        </is>
      </c>
      <c r="G12650" s="2" t="inlineStr">
        <is>
          <t>20260623900258</t>
        </is>
      </c>
      <c r="H12650" s="8">
        <f>HYPERLINK("https://dart.fss.or.kr/dsaf001/main.do?rcpNo=20260623900258", "공시열람")</f>
        <v/>
      </c>
    </row>
    <row r="12651">
      <c r="A12651" s="2" t="inlineStr">
        <is>
          <t>2026-06-23</t>
        </is>
      </c>
      <c r="B12651" s="3" t="inlineStr">
        <is>
          <t>압타머사이언스</t>
        </is>
      </c>
      <c r="C12651" s="2" t="inlineStr">
        <is>
          <t>코스닥</t>
        </is>
      </c>
      <c r="D12651" s="2" t="inlineStr">
        <is>
          <t>291650</t>
        </is>
      </c>
      <c r="E12651" s="3" t="inlineStr">
        <is>
          <t xml:space="preserve">주식병합결정              </t>
        </is>
      </c>
      <c r="F12651" s="3" t="inlineStr">
        <is>
          <t>압타머사이언스</t>
        </is>
      </c>
      <c r="G12651" s="2" t="inlineStr">
        <is>
          <t>20260623900256</t>
        </is>
      </c>
      <c r="H12651" s="8">
        <f>HYPERLINK("https://dart.fss.or.kr/dsaf001/main.do?rcpNo=20260623900256", "공시열람")</f>
        <v/>
      </c>
    </row>
    <row r="12652">
      <c r="A12652" s="2" t="inlineStr">
        <is>
          <t>2026-06-23</t>
        </is>
      </c>
      <c r="B12652" s="3" t="inlineStr">
        <is>
          <t>대림통상</t>
        </is>
      </c>
      <c r="C12652" s="2" t="inlineStr">
        <is>
          <t>코스피</t>
        </is>
      </c>
      <c r="D12652" s="2" t="inlineStr">
        <is>
          <t>006570</t>
        </is>
      </c>
      <c r="E12652" s="3" t="inlineStr">
        <is>
          <t>임원ㆍ주요주주특정증권등소유상황보고서</t>
        </is>
      </c>
      <c r="F12652" s="3" t="inlineStr">
        <is>
          <t>디앤디파트너스</t>
        </is>
      </c>
      <c r="G12652" s="2" t="inlineStr">
        <is>
          <t>20260623000131</t>
        </is>
      </c>
      <c r="H12652" s="8">
        <f>HYPERLINK("https://dart.fss.or.kr/dsaf001/main.do?rcpNo=20260623000131", "공시열람")</f>
        <v/>
      </c>
    </row>
    <row r="12653">
      <c r="A12653" s="2" t="inlineStr">
        <is>
          <t>2026-06-23</t>
        </is>
      </c>
      <c r="B12653" s="3" t="inlineStr">
        <is>
          <t>미원상사</t>
        </is>
      </c>
      <c r="C12653" s="2" t="inlineStr">
        <is>
          <t>코스피</t>
        </is>
      </c>
      <c r="D12653" s="2" t="inlineStr">
        <is>
          <t>002840</t>
        </is>
      </c>
      <c r="E12653" s="3" t="inlineStr">
        <is>
          <t>임원ㆍ주요주주특정증권등소유상황보고서</t>
        </is>
      </c>
      <c r="F12653" s="3" t="inlineStr">
        <is>
          <t>미원상사우리사주</t>
        </is>
      </c>
      <c r="G12653" s="2" t="inlineStr">
        <is>
          <t>20260623000125</t>
        </is>
      </c>
      <c r="H12653" s="8">
        <f>HYPERLINK("https://dart.fss.or.kr/dsaf001/main.do?rcpNo=20260623000125", "공시열람")</f>
        <v/>
      </c>
    </row>
    <row r="12654">
      <c r="A12654" s="2" t="inlineStr">
        <is>
          <t>2026-06-23</t>
        </is>
      </c>
      <c r="B12654" s="3" t="inlineStr">
        <is>
          <t>동성제약</t>
        </is>
      </c>
      <c r="C12654" s="2" t="inlineStr">
        <is>
          <t>코스피</t>
        </is>
      </c>
      <c r="D12654" s="2" t="inlineStr">
        <is>
          <t>002210</t>
        </is>
      </c>
      <c r="E12654" s="3" t="inlineStr">
        <is>
          <t xml:space="preserve">횡령ㆍ배임혐의발생              </t>
        </is>
      </c>
      <c r="F12654" s="3" t="inlineStr">
        <is>
          <t>동성제약</t>
        </is>
      </c>
      <c r="G12654" s="2" t="inlineStr">
        <is>
          <t>20260623800205</t>
        </is>
      </c>
      <c r="H12654" s="8">
        <f>HYPERLINK("https://dart.fss.or.kr/dsaf001/main.do?rcpNo=20260623800205", "공시열람")</f>
        <v/>
      </c>
    </row>
    <row r="12655">
      <c r="A12655" s="2" t="inlineStr">
        <is>
          <t>2026-06-23</t>
        </is>
      </c>
      <c r="B12655" s="3" t="inlineStr">
        <is>
          <t>나라엠앤디</t>
        </is>
      </c>
      <c r="C12655" s="2" t="inlineStr">
        <is>
          <t>코스닥</t>
        </is>
      </c>
      <c r="D12655" s="2" t="inlineStr">
        <is>
          <t>051490</t>
        </is>
      </c>
      <c r="E12655" s="3" t="inlineStr">
        <is>
          <t>임원ㆍ주요주주특정증권등소유상황보고서</t>
        </is>
      </c>
      <c r="F12655" s="3" t="inlineStr">
        <is>
          <t>김영주</t>
        </is>
      </c>
      <c r="G12655" s="2" t="inlineStr">
        <is>
          <t>20260623000081</t>
        </is>
      </c>
      <c r="H12655" s="8">
        <f>HYPERLINK("https://dart.fss.or.kr/dsaf001/main.do?rcpNo=20260623000081", "공시열람")</f>
        <v/>
      </c>
    </row>
    <row r="12656">
      <c r="A12656" s="2" t="inlineStr">
        <is>
          <t>2026-06-23</t>
        </is>
      </c>
      <c r="B12656" s="3" t="inlineStr">
        <is>
          <t>이지스밸류플러스리츠</t>
        </is>
      </c>
      <c r="C12656" s="2" t="inlineStr">
        <is>
          <t>코스피</t>
        </is>
      </c>
      <c r="D12656" s="2" t="inlineStr">
        <is>
          <t>334890</t>
        </is>
      </c>
      <c r="E12656" s="3" t="inlineStr">
        <is>
          <t>임원ㆍ주요주주특정증권등소유상황보고서</t>
        </is>
      </c>
      <c r="F12656" s="3" t="inlineStr">
        <is>
          <t>코람코주택도시기금위탁관리부동산투자회사</t>
        </is>
      </c>
      <c r="G12656" s="2" t="inlineStr">
        <is>
          <t>20260623000080</t>
        </is>
      </c>
      <c r="H12656" s="8">
        <f>HYPERLINK("https://dart.fss.or.kr/dsaf001/main.do?rcpNo=20260623000080", "공시열람")</f>
        <v/>
      </c>
    </row>
    <row r="12657">
      <c r="A12657" s="2" t="inlineStr">
        <is>
          <t>2026-06-23</t>
        </is>
      </c>
      <c r="B12657" s="3" t="inlineStr">
        <is>
          <t>피엠티</t>
        </is>
      </c>
      <c r="C12657" s="2" t="inlineStr">
        <is>
          <t>코스닥</t>
        </is>
      </c>
      <c r="D12657" s="2" t="inlineStr">
        <is>
          <t>147760</t>
        </is>
      </c>
      <c r="E12657" s="3" t="inlineStr">
        <is>
          <t xml:space="preserve">유상증자또는주식관련사채등의청약결과(자율공시)              </t>
        </is>
      </c>
      <c r="F12657" s="3" t="inlineStr">
        <is>
          <t>피엠티</t>
        </is>
      </c>
      <c r="G12657" s="2" t="inlineStr">
        <is>
          <t>20260623900201</t>
        </is>
      </c>
      <c r="H12657" s="8">
        <f>HYPERLINK("https://dart.fss.or.kr/dsaf001/main.do?rcpNo=20260623900201", "공시열람")</f>
        <v/>
      </c>
    </row>
    <row r="12658">
      <c r="A12658" s="2" t="inlineStr">
        <is>
          <t>2026-06-23</t>
        </is>
      </c>
      <c r="B12658" s="3" t="inlineStr">
        <is>
          <t>선익시스템</t>
        </is>
      </c>
      <c r="C12658" s="2" t="inlineStr">
        <is>
          <t>코스닥</t>
        </is>
      </c>
      <c r="D12658" s="2" t="inlineStr">
        <is>
          <t>171090</t>
        </is>
      </c>
      <c r="E12658" s="3" t="inlineStr">
        <is>
          <t xml:space="preserve">기업설명회(IR)개최              </t>
        </is>
      </c>
      <c r="F12658" s="3" t="inlineStr">
        <is>
          <t>선익시스템</t>
        </is>
      </c>
      <c r="G12658" s="2" t="inlineStr">
        <is>
          <t>20260623900199</t>
        </is>
      </c>
      <c r="H12658" s="8">
        <f>HYPERLINK("https://dart.fss.or.kr/dsaf001/main.do?rcpNo=20260623900199", "공시열람")</f>
        <v/>
      </c>
    </row>
    <row r="12659">
      <c r="A12659" s="2" t="inlineStr">
        <is>
          <t>2026-06-23</t>
        </is>
      </c>
      <c r="B12659" s="3" t="inlineStr">
        <is>
          <t>HB솔루션</t>
        </is>
      </c>
      <c r="C12659" s="2" t="inlineStr">
        <is>
          <t>코스닥</t>
        </is>
      </c>
      <c r="D12659" s="2" t="inlineStr">
        <is>
          <t>297890</t>
        </is>
      </c>
      <c r="E12659" s="3" t="inlineStr">
        <is>
          <t>의결권대리행사권유참고서류</t>
        </is>
      </c>
      <c r="F12659" s="3" t="inlineStr">
        <is>
          <t>HB솔루션</t>
        </is>
      </c>
      <c r="G12659" s="2" t="inlineStr">
        <is>
          <t>20260623000069</t>
        </is>
      </c>
      <c r="H12659" s="8">
        <f>HYPERLINK("https://dart.fss.or.kr/dsaf001/main.do?rcpNo=20260623000069", "공시열람")</f>
        <v/>
      </c>
    </row>
    <row r="12660">
      <c r="A12660" s="2" t="inlineStr">
        <is>
          <t>2026-06-23</t>
        </is>
      </c>
      <c r="B12660" s="3" t="inlineStr">
        <is>
          <t>로체시스템즈</t>
        </is>
      </c>
      <c r="C12660" s="2" t="inlineStr">
        <is>
          <t>코스닥</t>
        </is>
      </c>
      <c r="D12660" s="2" t="inlineStr">
        <is>
          <t>071280</t>
        </is>
      </c>
      <c r="E12660" s="3" t="inlineStr">
        <is>
          <t>임원ㆍ주요주주특정증권등소유상황보고서</t>
        </is>
      </c>
      <c r="F12660" s="3" t="inlineStr">
        <is>
          <t>박기환</t>
        </is>
      </c>
      <c r="G12660" s="2" t="inlineStr">
        <is>
          <t>20260623000065</t>
        </is>
      </c>
      <c r="H12660" s="8">
        <f>HYPERLINK("https://dart.fss.or.kr/dsaf001/main.do?rcpNo=20260623000065", "공시열람")</f>
        <v/>
      </c>
    </row>
    <row r="12661">
      <c r="A12661" s="2" t="inlineStr">
        <is>
          <t>2026-06-23</t>
        </is>
      </c>
      <c r="B12661" s="3" t="inlineStr">
        <is>
          <t>두올</t>
        </is>
      </c>
      <c r="C12661" s="2" t="inlineStr">
        <is>
          <t>코스피</t>
        </is>
      </c>
      <c r="D12661" s="2" t="inlineStr">
        <is>
          <t>016740</t>
        </is>
      </c>
      <c r="E12661" s="3" t="inlineStr">
        <is>
          <t xml:space="preserve">주주명부폐쇄기간또는기준일설정              </t>
        </is>
      </c>
      <c r="F12661" s="3" t="inlineStr">
        <is>
          <t>두올</t>
        </is>
      </c>
      <c r="G12661" s="2" t="inlineStr">
        <is>
          <t>20260623800185</t>
        </is>
      </c>
      <c r="H12661" s="8">
        <f>HYPERLINK("https://dart.fss.or.kr/dsaf001/main.do?rcpNo=20260623800185", "공시열람")</f>
        <v/>
      </c>
    </row>
    <row r="12662">
      <c r="A12662" s="2" t="inlineStr">
        <is>
          <t>2026-06-23</t>
        </is>
      </c>
      <c r="B12662" s="3" t="inlineStr">
        <is>
          <t>손오공</t>
        </is>
      </c>
      <c r="C12662" s="2" t="inlineStr">
        <is>
          <t>코스닥</t>
        </is>
      </c>
      <c r="D12662" s="2" t="inlineStr">
        <is>
          <t>066910</t>
        </is>
      </c>
      <c r="E12662" s="3" t="inlineStr">
        <is>
          <t>주요사항보고서(자기전환사채만기전취득결정)</t>
        </is>
      </c>
      <c r="F12662" s="3" t="inlineStr">
        <is>
          <t>손오공</t>
        </is>
      </c>
      <c r="G12662" s="2" t="inlineStr">
        <is>
          <t>20260623000062</t>
        </is>
      </c>
      <c r="H12662" s="8">
        <f>HYPERLINK("https://dart.fss.or.kr/dsaf001/main.do?rcpNo=20260623000062", "공시열람")</f>
        <v/>
      </c>
    </row>
    <row r="12663">
      <c r="A12663" s="2" t="inlineStr">
        <is>
          <t>2026-06-23</t>
        </is>
      </c>
      <c r="B12663" s="3" t="inlineStr">
        <is>
          <t>롯데케미칼</t>
        </is>
      </c>
      <c r="C12663" s="2" t="inlineStr">
        <is>
          <t>코스피</t>
        </is>
      </c>
      <c r="D12663" s="2" t="inlineStr">
        <is>
          <t>011170</t>
        </is>
      </c>
      <c r="E12663" s="3" t="inlineStr">
        <is>
          <t xml:space="preserve">정보보호현황(자율공시)              </t>
        </is>
      </c>
      <c r="F12663" s="3" t="inlineStr">
        <is>
          <t>롯데케미칼</t>
        </is>
      </c>
      <c r="G12663" s="2" t="inlineStr">
        <is>
          <t>20260623800170</t>
        </is>
      </c>
      <c r="H12663" s="8">
        <f>HYPERLINK("https://dart.fss.or.kr/dsaf001/main.do?rcpNo=20260623800170", "공시열람")</f>
        <v/>
      </c>
    </row>
    <row r="12664">
      <c r="A12664" s="2" t="inlineStr">
        <is>
          <t>2026-06-23</t>
        </is>
      </c>
      <c r="B12664" s="3" t="inlineStr">
        <is>
          <t>비츠로넥스텍</t>
        </is>
      </c>
      <c r="C12664" s="2" t="inlineStr">
        <is>
          <t>코스닥</t>
        </is>
      </c>
      <c r="D12664" s="2" t="inlineStr">
        <is>
          <t>488900</t>
        </is>
      </c>
      <c r="E12664" s="3" t="inlineStr">
        <is>
          <t>투자판단관련주요경영사항              (국책과제 양수의 건)</t>
        </is>
      </c>
      <c r="F12664" s="3" t="inlineStr">
        <is>
          <t>비츠로넥스텍</t>
        </is>
      </c>
      <c r="G12664" s="2" t="inlineStr">
        <is>
          <t>20260623900152</t>
        </is>
      </c>
      <c r="H12664" s="8">
        <f>HYPERLINK("https://dart.fss.or.kr/dsaf001/main.do?rcpNo=20260623900152", "공시열람")</f>
        <v/>
      </c>
    </row>
    <row r="12665">
      <c r="A12665" s="2" t="inlineStr">
        <is>
          <t>2026-06-23</t>
        </is>
      </c>
      <c r="B12665" s="3" t="inlineStr">
        <is>
          <t>한화투자증권</t>
        </is>
      </c>
      <c r="C12665" s="2" t="inlineStr">
        <is>
          <t>코스피</t>
        </is>
      </c>
      <c r="D12665" s="2" t="inlineStr">
        <is>
          <t>003530</t>
        </is>
      </c>
      <c r="E12665" s="3" t="inlineStr">
        <is>
          <t>증권발행실적보고서</t>
        </is>
      </c>
      <c r="F12665" s="3" t="inlineStr">
        <is>
          <t>한화투자증권</t>
        </is>
      </c>
      <c r="G12665" s="2" t="inlineStr">
        <is>
          <t>20260623000053</t>
        </is>
      </c>
      <c r="H12665" s="8">
        <f>HYPERLINK("https://dart.fss.or.kr/dsaf001/main.do?rcpNo=20260623000053", "공시열람")</f>
        <v/>
      </c>
    </row>
    <row r="12666">
      <c r="A12666" s="2" t="inlineStr">
        <is>
          <t>2026-06-23</t>
        </is>
      </c>
      <c r="B12666" s="3" t="inlineStr">
        <is>
          <t>한화투자증권</t>
        </is>
      </c>
      <c r="C12666" s="2" t="inlineStr">
        <is>
          <t>코스피</t>
        </is>
      </c>
      <c r="D12666" s="2" t="inlineStr">
        <is>
          <t>003530</t>
        </is>
      </c>
      <c r="E12666" s="3" t="inlineStr">
        <is>
          <t>증권발행실적보고서</t>
        </is>
      </c>
      <c r="F12666" s="3" t="inlineStr">
        <is>
          <t>한화투자증권</t>
        </is>
      </c>
      <c r="G12666" s="2" t="inlineStr">
        <is>
          <t>20260623000052</t>
        </is>
      </c>
      <c r="H12666" s="8">
        <f>HYPERLINK("https://dart.fss.or.kr/dsaf001/main.do?rcpNo=20260623000052", "공시열람")</f>
        <v/>
      </c>
    </row>
    <row r="12667">
      <c r="A12667" s="2" t="inlineStr">
        <is>
          <t>2026-06-23</t>
        </is>
      </c>
      <c r="B12667" s="3" t="inlineStr">
        <is>
          <t>한화투자증권</t>
        </is>
      </c>
      <c r="C12667" s="2" t="inlineStr">
        <is>
          <t>코스피</t>
        </is>
      </c>
      <c r="D12667" s="2" t="inlineStr">
        <is>
          <t>003530</t>
        </is>
      </c>
      <c r="E12667" s="3" t="inlineStr">
        <is>
          <t>증권발행실적보고서</t>
        </is>
      </c>
      <c r="F12667" s="3" t="inlineStr">
        <is>
          <t>한화투자증권</t>
        </is>
      </c>
      <c r="G12667" s="2" t="inlineStr">
        <is>
          <t>20260623000050</t>
        </is>
      </c>
      <c r="H12667" s="8">
        <f>HYPERLINK("https://dart.fss.or.kr/dsaf001/main.do?rcpNo=20260623000050", "공시열람")</f>
        <v/>
      </c>
    </row>
    <row r="12668">
      <c r="A12668" s="2" t="inlineStr">
        <is>
          <t>2026-06-23</t>
        </is>
      </c>
      <c r="B12668" s="3" t="inlineStr">
        <is>
          <t>스틱인베스트먼트</t>
        </is>
      </c>
      <c r="C12668" s="2" t="inlineStr">
        <is>
          <t>코스피</t>
        </is>
      </c>
      <c r="D12668" s="2" t="inlineStr">
        <is>
          <t>026890</t>
        </is>
      </c>
      <c r="E12668" s="3" t="inlineStr">
        <is>
          <t>임원ㆍ주요주주특정증권등소유상황보고서</t>
        </is>
      </c>
      <c r="F12668" s="3" t="inlineStr">
        <is>
          <t>TheMiriStrategicEmergingMarketsFundLP</t>
        </is>
      </c>
      <c r="G12668" s="2" t="inlineStr">
        <is>
          <t>20260623000045</t>
        </is>
      </c>
      <c r="H12668" s="8">
        <f>HYPERLINK("https://dart.fss.or.kr/dsaf001/main.do?rcpNo=20260623000045", "공시열람")</f>
        <v/>
      </c>
    </row>
    <row r="12669">
      <c r="A12669" s="2" t="inlineStr">
        <is>
          <t>2026-06-23</t>
        </is>
      </c>
      <c r="B12669" s="3" t="inlineStr">
        <is>
          <t>케이피에프</t>
        </is>
      </c>
      <c r="C12669" s="2" t="inlineStr">
        <is>
          <t>코스닥</t>
        </is>
      </c>
      <c r="D12669" s="2" t="inlineStr">
        <is>
          <t>024880</t>
        </is>
      </c>
      <c r="E12669" s="3" t="inlineStr">
        <is>
          <t xml:space="preserve">기업설명회(IR)개최              </t>
        </is>
      </c>
      <c r="F12669" s="3" t="inlineStr">
        <is>
          <t>케이피에프</t>
        </is>
      </c>
      <c r="G12669" s="2" t="inlineStr">
        <is>
          <t>20260623900156</t>
        </is>
      </c>
      <c r="H12669" s="8">
        <f>HYPERLINK("https://dart.fss.or.kr/dsaf001/main.do?rcpNo=20260623900156", "공시열람")</f>
        <v/>
      </c>
    </row>
    <row r="12670">
      <c r="A12670" s="2" t="inlineStr">
        <is>
          <t>2026-06-23</t>
        </is>
      </c>
      <c r="B12670" s="3" t="inlineStr">
        <is>
          <t>iM금융지주</t>
        </is>
      </c>
      <c r="C12670" s="2" t="inlineStr">
        <is>
          <t>코스피</t>
        </is>
      </c>
      <c r="D12670" s="2" t="inlineStr">
        <is>
          <t>139130</t>
        </is>
      </c>
      <c r="E12670" s="3" t="inlineStr">
        <is>
          <t>임원ㆍ주요주주특정증권등소유상황보고서</t>
        </is>
      </c>
      <c r="F12670" s="3" t="inlineStr">
        <is>
          <t>천병규</t>
        </is>
      </c>
      <c r="G12670" s="2" t="inlineStr">
        <is>
          <t>20260623000033</t>
        </is>
      </c>
      <c r="H12670" s="8">
        <f>HYPERLINK("https://dart.fss.or.kr/dsaf001/main.do?rcpNo=20260623000033", "공시열람")</f>
        <v/>
      </c>
    </row>
    <row r="12671">
      <c r="A12671" s="2" t="inlineStr">
        <is>
          <t>2026-06-23</t>
        </is>
      </c>
      <c r="B12671" s="3" t="inlineStr">
        <is>
          <t>교보증권</t>
        </is>
      </c>
      <c r="C12671" s="2" t="inlineStr">
        <is>
          <t>코스피</t>
        </is>
      </c>
      <c r="D12671" s="2" t="inlineStr">
        <is>
          <t>030610</t>
        </is>
      </c>
      <c r="E12671" s="3" t="inlineStr">
        <is>
          <t>투자설명서(일괄신고)</t>
        </is>
      </c>
      <c r="F12671" s="3" t="inlineStr">
        <is>
          <t>교보증권</t>
        </is>
      </c>
      <c r="G12671" s="2" t="inlineStr">
        <is>
          <t>20260623000021</t>
        </is>
      </c>
      <c r="H12671" s="8">
        <f>HYPERLINK("https://dart.fss.or.kr/dsaf001/main.do?rcpNo=20260623000021", "공시열람")</f>
        <v/>
      </c>
    </row>
    <row r="12672">
      <c r="A12672" s="2" t="inlineStr">
        <is>
          <t>2026-06-23</t>
        </is>
      </c>
      <c r="B12672" s="3" t="inlineStr">
        <is>
          <t>교보증권</t>
        </is>
      </c>
      <c r="C12672" s="2" t="inlineStr">
        <is>
          <t>코스피</t>
        </is>
      </c>
      <c r="D12672" s="2" t="inlineStr">
        <is>
          <t>030610</t>
        </is>
      </c>
      <c r="E12672" s="3" t="inlineStr">
        <is>
          <t>일괄신고추가서류(파생결합사채-주가연계파생결합사채)</t>
        </is>
      </c>
      <c r="F12672" s="3" t="inlineStr">
        <is>
          <t>교보증권</t>
        </is>
      </c>
      <c r="G12672" s="2" t="inlineStr">
        <is>
          <t>20260623000020</t>
        </is>
      </c>
      <c r="H12672" s="8">
        <f>HYPERLINK("https://dart.fss.or.kr/dsaf001/main.do?rcpNo=20260623000020", "공시열람")</f>
        <v/>
      </c>
    </row>
    <row r="12673">
      <c r="A12673" s="2" t="inlineStr">
        <is>
          <t>2026-06-23</t>
        </is>
      </c>
      <c r="B12673" s="3" t="inlineStr">
        <is>
          <t>CJ CGV</t>
        </is>
      </c>
      <c r="C12673" s="2" t="inlineStr">
        <is>
          <t>코스피</t>
        </is>
      </c>
      <c r="D12673" s="2" t="inlineStr">
        <is>
          <t>079160</t>
        </is>
      </c>
      <c r="E12673" s="3" t="inlineStr">
        <is>
          <t xml:space="preserve">조회공시요구(풍문또는보도)              </t>
        </is>
      </c>
      <c r="F12673" s="3" t="inlineStr">
        <is>
          <t>유가증권시장본부</t>
        </is>
      </c>
      <c r="G12673" s="2" t="inlineStr">
        <is>
          <t>20260623800125</t>
        </is>
      </c>
      <c r="H12673" s="8">
        <f>HYPERLINK("https://dart.fss.or.kr/dsaf001/main.do?rcpNo=20260623800125", "공시열람")</f>
        <v/>
      </c>
    </row>
    <row r="12674">
      <c r="A12674" s="2" t="inlineStr">
        <is>
          <t>2026-06-23</t>
        </is>
      </c>
      <c r="B12674" s="3" t="inlineStr">
        <is>
          <t>HD한국조선해양</t>
        </is>
      </c>
      <c r="C12674" s="2" t="inlineStr">
        <is>
          <t>코스피</t>
        </is>
      </c>
      <c r="D12674" s="2" t="inlineStr">
        <is>
          <t>009540</t>
        </is>
      </c>
      <c r="E12674" s="3" t="inlineStr">
        <is>
          <t xml:space="preserve">풍문또는보도에대한해명(미확정)              </t>
        </is>
      </c>
      <c r="F12674" s="3" t="inlineStr">
        <is>
          <t>HD한국조선해양</t>
        </is>
      </c>
      <c r="G12674" s="2" t="inlineStr">
        <is>
          <t>20260623800121</t>
        </is>
      </c>
      <c r="H12674" s="8">
        <f>HYPERLINK("https://dart.fss.or.kr/dsaf001/main.do?rcpNo=20260623800121", "공시열람")</f>
        <v/>
      </c>
    </row>
    <row r="12675">
      <c r="A12675" s="2" t="inlineStr">
        <is>
          <t>2026-06-23</t>
        </is>
      </c>
      <c r="B12675" s="3" t="inlineStr">
        <is>
          <t>현대차증권</t>
        </is>
      </c>
      <c r="C12675" s="2" t="inlineStr">
        <is>
          <t>코스피</t>
        </is>
      </c>
      <c r="D12675" s="2" t="inlineStr">
        <is>
          <t>001500</t>
        </is>
      </c>
      <c r="E12675" s="3" t="inlineStr">
        <is>
          <t>투자설명서(일괄신고)</t>
        </is>
      </c>
      <c r="F12675" s="3" t="inlineStr">
        <is>
          <t>현대차증권</t>
        </is>
      </c>
      <c r="G12675" s="2" t="inlineStr">
        <is>
          <t>20260623000014</t>
        </is>
      </c>
      <c r="H12675" s="8">
        <f>HYPERLINK("https://dart.fss.or.kr/dsaf001/main.do?rcpNo=20260623000014", "공시열람")</f>
        <v/>
      </c>
    </row>
    <row r="12676">
      <c r="A12676" s="2" t="inlineStr">
        <is>
          <t>2026-06-23</t>
        </is>
      </c>
      <c r="B12676" s="3" t="inlineStr">
        <is>
          <t>디알텍</t>
        </is>
      </c>
      <c r="C12676" s="2" t="inlineStr">
        <is>
          <t>코스닥</t>
        </is>
      </c>
      <c r="D12676" s="2" t="inlineStr">
        <is>
          <t>214680</t>
        </is>
      </c>
      <c r="E12676" s="3" t="inlineStr">
        <is>
          <t>임원ㆍ주요주주특정증권등소유상황보고서</t>
        </is>
      </c>
      <c r="F12676" s="3" t="inlineStr">
        <is>
          <t>이길수</t>
        </is>
      </c>
      <c r="G12676" s="2" t="inlineStr">
        <is>
          <t>20260623000013</t>
        </is>
      </c>
      <c r="H12676" s="8">
        <f>HYPERLINK("https://dart.fss.or.kr/dsaf001/main.do?rcpNo=20260623000013", "공시열람")</f>
        <v/>
      </c>
    </row>
    <row r="12677">
      <c r="A12677" s="2" t="inlineStr">
        <is>
          <t>2026-06-23</t>
        </is>
      </c>
      <c r="B12677" s="3" t="inlineStr">
        <is>
          <t>교보증권</t>
        </is>
      </c>
      <c r="C12677" s="2" t="inlineStr">
        <is>
          <t>코스피</t>
        </is>
      </c>
      <c r="D12677" s="2" t="inlineStr">
        <is>
          <t>030610</t>
        </is>
      </c>
      <c r="E12677" s="3" t="inlineStr">
        <is>
          <t>투자설명서(일괄신고)</t>
        </is>
      </c>
      <c r="F12677" s="3" t="inlineStr">
        <is>
          <t>교보증권</t>
        </is>
      </c>
      <c r="G12677" s="2" t="inlineStr">
        <is>
          <t>20260623000012</t>
        </is>
      </c>
      <c r="H12677" s="8">
        <f>HYPERLINK("https://dart.fss.or.kr/dsaf001/main.do?rcpNo=20260623000012", "공시열람")</f>
        <v/>
      </c>
    </row>
    <row r="12678">
      <c r="A12678" s="2" t="inlineStr">
        <is>
          <t>2026-06-23</t>
        </is>
      </c>
      <c r="B12678" s="3" t="inlineStr">
        <is>
          <t>현대차증권</t>
        </is>
      </c>
      <c r="C12678" s="2" t="inlineStr">
        <is>
          <t>코스피</t>
        </is>
      </c>
      <c r="D12678" s="2" t="inlineStr">
        <is>
          <t>001500</t>
        </is>
      </c>
      <c r="E12678" s="3" t="inlineStr">
        <is>
          <t>일괄신고추가서류(파생결합사채-주가연계파생결합사채)</t>
        </is>
      </c>
      <c r="F12678" s="3" t="inlineStr">
        <is>
          <t>현대차증권</t>
        </is>
      </c>
      <c r="G12678" s="2" t="inlineStr">
        <is>
          <t>20260623000009</t>
        </is>
      </c>
      <c r="H12678" s="8">
        <f>HYPERLINK("https://dart.fss.or.kr/dsaf001/main.do?rcpNo=20260623000009", "공시열람")</f>
        <v/>
      </c>
    </row>
    <row r="12679">
      <c r="A12679" s="2" t="inlineStr">
        <is>
          <t>2026-06-23</t>
        </is>
      </c>
      <c r="B12679" s="3" t="inlineStr">
        <is>
          <t>교보증권</t>
        </is>
      </c>
      <c r="C12679" s="2" t="inlineStr">
        <is>
          <t>코스피</t>
        </is>
      </c>
      <c r="D12679" s="2" t="inlineStr">
        <is>
          <t>030610</t>
        </is>
      </c>
      <c r="E12679" s="3" t="inlineStr">
        <is>
          <t>일괄신고추가서류(파생결합사채-주가연계파생결합사채)</t>
        </is>
      </c>
      <c r="F12679" s="3" t="inlineStr">
        <is>
          <t>교보증권</t>
        </is>
      </c>
      <c r="G12679" s="2" t="inlineStr">
        <is>
          <t>20260623000008</t>
        </is>
      </c>
      <c r="H12679" s="8">
        <f>HYPERLINK("https://dart.fss.or.kr/dsaf001/main.do?rcpNo=20260623000008", "공시열람")</f>
        <v/>
      </c>
    </row>
    <row r="12680">
      <c r="A12680" s="2" t="inlineStr">
        <is>
          <t>2026-06-23</t>
        </is>
      </c>
      <c r="B12680" s="3" t="inlineStr">
        <is>
          <t>HD현대</t>
        </is>
      </c>
      <c r="C12680" s="2" t="inlineStr">
        <is>
          <t>코스피</t>
        </is>
      </c>
      <c r="D12680" s="2" t="inlineStr">
        <is>
          <t>267250</t>
        </is>
      </c>
      <c r="E12680" s="3" t="inlineStr">
        <is>
          <t xml:space="preserve">중대재해발생(자회사의 주요경영사항)              </t>
        </is>
      </c>
      <c r="F12680" s="3" t="inlineStr">
        <is>
          <t>HD현대</t>
        </is>
      </c>
      <c r="G12680" s="2" t="inlineStr">
        <is>
          <t>20260623800003</t>
        </is>
      </c>
      <c r="H12680" s="8">
        <f>HYPERLINK("https://dart.fss.or.kr/dsaf001/main.do?rcpNo=20260623800003", "공시열람")</f>
        <v/>
      </c>
    </row>
    <row r="12681">
      <c r="A12681" s="2" t="inlineStr">
        <is>
          <t>2026-06-23</t>
        </is>
      </c>
      <c r="B12681" s="3" t="inlineStr">
        <is>
          <t>에스투더블유</t>
        </is>
      </c>
      <c r="C12681" s="2" t="inlineStr">
        <is>
          <t>코스닥</t>
        </is>
      </c>
      <c r="D12681" s="2" t="inlineStr">
        <is>
          <t>488280</t>
        </is>
      </c>
      <c r="E12681" s="3" t="inlineStr">
        <is>
          <t>임원ㆍ주요주주특정증권등소유상황보고서</t>
        </is>
      </c>
      <c r="F12681" s="3" t="inlineStr">
        <is>
          <t>서상덕</t>
        </is>
      </c>
      <c r="G12681" s="2" t="inlineStr">
        <is>
          <t>20260623000002</t>
        </is>
      </c>
      <c r="H12681" s="8">
        <f>HYPERLINK("https://dart.fss.or.kr/dsaf001/main.do?rcpNo=20260623000002", "공시열람")</f>
        <v/>
      </c>
    </row>
    <row r="12682">
      <c r="A12682" s="2" t="inlineStr">
        <is>
          <t>2026-06-23</t>
        </is>
      </c>
      <c r="B12682" s="3" t="inlineStr">
        <is>
          <t>한국전력공사</t>
        </is>
      </c>
      <c r="C12682" s="2" t="inlineStr">
        <is>
          <t>코스피</t>
        </is>
      </c>
      <c r="D12682" s="2" t="inlineStr">
        <is>
          <t>015760</t>
        </is>
      </c>
      <c r="E12682" s="3" t="inlineStr">
        <is>
          <t xml:space="preserve">소송등의판결ㆍ결정(일정금액이상의청구)              </t>
        </is>
      </c>
      <c r="F12682" s="3" t="inlineStr">
        <is>
          <t>한국전력공사</t>
        </is>
      </c>
      <c r="G12682" s="2" t="inlineStr">
        <is>
          <t>20260623800004</t>
        </is>
      </c>
      <c r="H12682" s="8">
        <f>HYPERLINK("https://dart.fss.or.kr/dsaf001/main.do?rcpNo=20260623800004", "공시열람")</f>
        <v/>
      </c>
    </row>
    <row r="12683">
      <c r="A12683" s="2" t="inlineStr">
        <is>
          <t>2026-06-23</t>
        </is>
      </c>
      <c r="B12683" s="3" t="inlineStr">
        <is>
          <t>HD한국조선해양</t>
        </is>
      </c>
      <c r="C12683" s="2" t="inlineStr">
        <is>
          <t>코스피</t>
        </is>
      </c>
      <c r="D12683" s="2" t="inlineStr">
        <is>
          <t>009540</t>
        </is>
      </c>
      <c r="E12683" s="3" t="inlineStr">
        <is>
          <t xml:space="preserve">중대재해발생(자회사의 주요경영사항)              </t>
        </is>
      </c>
      <c r="F12683" s="3" t="inlineStr">
        <is>
          <t>HD한국조선해양</t>
        </is>
      </c>
      <c r="G12683" s="2" t="inlineStr">
        <is>
          <t>20260623800001</t>
        </is>
      </c>
      <c r="H12683" s="8">
        <f>HYPERLINK("https://dart.fss.or.kr/dsaf001/main.do?rcpNo=20260623800001", "공시열람")</f>
        <v/>
      </c>
    </row>
    <row r="12684">
      <c r="A12684" s="2" t="inlineStr">
        <is>
          <t>2026-06-23</t>
        </is>
      </c>
      <c r="B12684" s="3" t="inlineStr">
        <is>
          <t>유니켐</t>
        </is>
      </c>
      <c r="C12684" s="2" t="inlineStr">
        <is>
          <t>코스피</t>
        </is>
      </c>
      <c r="D12684" s="2" t="inlineStr">
        <is>
          <t>011330</t>
        </is>
      </c>
      <c r="E12684" s="3" t="inlineStr">
        <is>
          <t>임원ㆍ주요주주특정증권등소유상황보고서</t>
        </is>
      </c>
      <c r="F12684" s="3" t="inlineStr">
        <is>
          <t>김재권</t>
        </is>
      </c>
      <c r="G12684" s="2" t="inlineStr">
        <is>
          <t>20260622000417</t>
        </is>
      </c>
      <c r="H12684" s="8">
        <f>HYPERLINK("https://dart.fss.or.kr/dsaf001/main.do?rcpNo=20260622000417", "공시열람")</f>
        <v/>
      </c>
    </row>
    <row r="12685">
      <c r="A12685" s="2" t="inlineStr">
        <is>
          <t>2026-06-23</t>
        </is>
      </c>
      <c r="B12685" s="3" t="inlineStr">
        <is>
          <t>보로노이</t>
        </is>
      </c>
      <c r="C12685" s="2" t="inlineStr">
        <is>
          <t>코스닥</t>
        </is>
      </c>
      <c r="D12685" s="2" t="inlineStr">
        <is>
          <t>310210</t>
        </is>
      </c>
      <c r="E12685" s="3" t="inlineStr">
        <is>
          <t>주요사항보고서(자기전환사채만기전취득결정)</t>
        </is>
      </c>
      <c r="F12685" s="3" t="inlineStr">
        <is>
          <t>보로노이</t>
        </is>
      </c>
      <c r="G12685" s="2" t="inlineStr">
        <is>
          <t>20260622000415</t>
        </is>
      </c>
      <c r="H12685" s="8">
        <f>HYPERLINK("https://dart.fss.or.kr/dsaf001/main.do?rcpNo=20260622000415", "공시열람")</f>
        <v/>
      </c>
    </row>
    <row r="12686">
      <c r="A12686" s="2" t="inlineStr">
        <is>
          <t>2026-06-24</t>
        </is>
      </c>
      <c r="B12686" s="3" t="inlineStr">
        <is>
          <t>광진실업</t>
        </is>
      </c>
      <c r="C12686" s="2" t="inlineStr">
        <is>
          <t>코스닥</t>
        </is>
      </c>
      <c r="D12686" s="2" t="inlineStr">
        <is>
          <t>026910</t>
        </is>
      </c>
      <c r="E12686" s="3" t="inlineStr">
        <is>
          <t xml:space="preserve">소속부변경              </t>
        </is>
      </c>
      <c r="F12686" s="3" t="inlineStr">
        <is>
          <t>코스닥시장본부</t>
        </is>
      </c>
      <c r="G12686" s="2" t="inlineStr">
        <is>
          <t>20260624901008</t>
        </is>
      </c>
      <c r="H12686" s="8">
        <f>HYPERLINK("https://dart.fss.or.kr/dsaf001/main.do?rcpNo=20260624901008", "공시열람")</f>
        <v/>
      </c>
    </row>
    <row r="12687">
      <c r="A12687" s="2" t="inlineStr">
        <is>
          <t>2026-06-24</t>
        </is>
      </c>
      <c r="B12687" s="3" t="inlineStr">
        <is>
          <t>SK하이닉스</t>
        </is>
      </c>
      <c r="C12687" s="2" t="inlineStr">
        <is>
          <t>코스피</t>
        </is>
      </c>
      <c r="D12687" s="2" t="inlineStr">
        <is>
          <t>000660</t>
        </is>
      </c>
      <c r="E12687" s="3" t="inlineStr">
        <is>
          <t>증권신고서(지분증권)</t>
        </is>
      </c>
      <c r="F12687" s="3" t="inlineStr">
        <is>
          <t>SK하이닉스</t>
        </is>
      </c>
      <c r="G12687" s="2" t="inlineStr">
        <is>
          <t>20260624000511</t>
        </is>
      </c>
      <c r="H12687" s="8">
        <f>HYPERLINK("https://dart.fss.or.kr/dsaf001/main.do?rcpNo=20260624000511", "공시열람")</f>
        <v/>
      </c>
    </row>
    <row r="12688">
      <c r="A12688" s="2" t="inlineStr">
        <is>
          <t>2026-06-24</t>
        </is>
      </c>
      <c r="B12688" s="3" t="inlineStr">
        <is>
          <t>삼성전자</t>
        </is>
      </c>
      <c r="C12688" s="2" t="inlineStr">
        <is>
          <t>코스피</t>
        </is>
      </c>
      <c r="D12688" s="2" t="inlineStr">
        <is>
          <t>005930</t>
        </is>
      </c>
      <c r="E12688" s="3" t="inlineStr">
        <is>
          <t xml:space="preserve">풍문또는보도에대한해명(미확정)              </t>
        </is>
      </c>
      <c r="F12688" s="3" t="inlineStr">
        <is>
          <t>삼성전자</t>
        </is>
      </c>
      <c r="G12688" s="2" t="inlineStr">
        <is>
          <t>20260624801004</t>
        </is>
      </c>
      <c r="H12688" s="8">
        <f>HYPERLINK("https://dart.fss.or.kr/dsaf001/main.do?rcpNo=20260624801004", "공시열람")</f>
        <v/>
      </c>
    </row>
    <row r="12689">
      <c r="A12689" s="2" t="inlineStr">
        <is>
          <t>2026-06-24</t>
        </is>
      </c>
      <c r="B12689" s="3" t="inlineStr">
        <is>
          <t>드래곤플라이</t>
        </is>
      </c>
      <c r="C12689" s="2" t="inlineStr">
        <is>
          <t>코스닥</t>
        </is>
      </c>
      <c r="D12689" s="2" t="inlineStr">
        <is>
          <t>030350</t>
        </is>
      </c>
      <c r="E12689" s="3" t="inlineStr">
        <is>
          <t>주권매매거래정지기간변경              (개선기간 부여)</t>
        </is>
      </c>
      <c r="F12689" s="3" t="inlineStr">
        <is>
          <t>코스닥시장본부</t>
        </is>
      </c>
      <c r="G12689" s="2" t="inlineStr">
        <is>
          <t>20260624900997</t>
        </is>
      </c>
      <c r="H12689" s="8">
        <f>HYPERLINK("https://dart.fss.or.kr/dsaf001/main.do?rcpNo=20260624900997", "공시열람")</f>
        <v/>
      </c>
    </row>
    <row r="12690">
      <c r="A12690" s="2" t="inlineStr">
        <is>
          <t>2026-06-24</t>
        </is>
      </c>
      <c r="B12690" s="3" t="inlineStr">
        <is>
          <t>드래곤플라이</t>
        </is>
      </c>
      <c r="C12690" s="2" t="inlineStr">
        <is>
          <t>코스닥</t>
        </is>
      </c>
      <c r="D12690" s="2" t="inlineStr">
        <is>
          <t>030350</t>
        </is>
      </c>
      <c r="E12690" s="3" t="inlineStr">
        <is>
          <t>기타시장안내              (기업심사위원회 심의·의결 결과 및 개선기간 부여 안내)</t>
        </is>
      </c>
      <c r="F12690" s="3" t="inlineStr">
        <is>
          <t>코스닥시장본부</t>
        </is>
      </c>
      <c r="G12690" s="2" t="inlineStr">
        <is>
          <t>20260624900993</t>
        </is>
      </c>
      <c r="H12690" s="8">
        <f>HYPERLINK("https://dart.fss.or.kr/dsaf001/main.do?rcpNo=20260624900993", "공시열람")</f>
        <v/>
      </c>
    </row>
    <row r="12691">
      <c r="A12691" s="2" t="inlineStr">
        <is>
          <t>2026-06-24</t>
        </is>
      </c>
      <c r="B12691" s="3" t="inlineStr">
        <is>
          <t>시큐레터</t>
        </is>
      </c>
      <c r="C12691" s="2" t="inlineStr">
        <is>
          <t>코스닥</t>
        </is>
      </c>
      <c r="D12691" s="2" t="inlineStr">
        <is>
          <t>418250</t>
        </is>
      </c>
      <c r="E12691" s="3" t="inlineStr">
        <is>
          <t>기타시장안내              (기업심사위원회 개최 결과 안내)</t>
        </is>
      </c>
      <c r="F12691" s="3" t="inlineStr">
        <is>
          <t>코스닥시장본부</t>
        </is>
      </c>
      <c r="G12691" s="2" t="inlineStr">
        <is>
          <t>20260624900978</t>
        </is>
      </c>
      <c r="H12691" s="8">
        <f>HYPERLINK("https://dart.fss.or.kr/dsaf001/main.do?rcpNo=20260624900978", "공시열람")</f>
        <v/>
      </c>
    </row>
    <row r="12692">
      <c r="A12692" s="2" t="inlineStr">
        <is>
          <t>2026-06-24</t>
        </is>
      </c>
      <c r="B12692" s="3" t="inlineStr">
        <is>
          <t>CG인바이츠</t>
        </is>
      </c>
      <c r="C12692" s="2" t="inlineStr">
        <is>
          <t>코스닥</t>
        </is>
      </c>
      <c r="D12692" s="2" t="inlineStr">
        <is>
          <t>083790</t>
        </is>
      </c>
      <c r="E12692" s="3" t="inlineStr">
        <is>
          <t>불성실공시법인지정              (공시변경)</t>
        </is>
      </c>
      <c r="F12692" s="3" t="inlineStr">
        <is>
          <t>코스닥시장본부</t>
        </is>
      </c>
      <c r="G12692" s="2" t="inlineStr">
        <is>
          <t>20260624900972</t>
        </is>
      </c>
      <c r="H12692" s="8">
        <f>HYPERLINK("https://dart.fss.or.kr/dsaf001/main.do?rcpNo=20260624900972", "공시열람")</f>
        <v/>
      </c>
    </row>
    <row r="12693">
      <c r="A12693" s="2" t="inlineStr">
        <is>
          <t>2026-06-24</t>
        </is>
      </c>
      <c r="B12693" s="3" t="inlineStr">
        <is>
          <t>한화갤러리아</t>
        </is>
      </c>
      <c r="C12693" s="2" t="inlineStr">
        <is>
          <t>코스피</t>
        </is>
      </c>
      <c r="D12693" s="2" t="inlineStr">
        <is>
          <t>452260</t>
        </is>
      </c>
      <c r="E12693" s="3" t="inlineStr">
        <is>
          <t xml:space="preserve">투자판단관련주요경영사항              </t>
        </is>
      </c>
      <c r="F12693" s="3" t="inlineStr">
        <is>
          <t>한화갤러리아</t>
        </is>
      </c>
      <c r="G12693" s="2" t="inlineStr">
        <is>
          <t>20260624800968</t>
        </is>
      </c>
      <c r="H12693" s="8">
        <f>HYPERLINK("https://dart.fss.or.kr/dsaf001/main.do?rcpNo=20260624800968", "공시열람")</f>
        <v/>
      </c>
    </row>
    <row r="12694">
      <c r="A12694" s="2" t="inlineStr">
        <is>
          <t>2026-06-24</t>
        </is>
      </c>
      <c r="B12694" s="3" t="inlineStr">
        <is>
          <t>에이텍</t>
        </is>
      </c>
      <c r="C12694" s="2" t="inlineStr">
        <is>
          <t>코스닥</t>
        </is>
      </c>
      <c r="D12694" s="2" t="inlineStr">
        <is>
          <t>045660</t>
        </is>
      </c>
      <c r="E12694" s="3" t="inlineStr">
        <is>
          <t>임원ㆍ주요주주특정증권등소유상황보고서</t>
        </is>
      </c>
      <c r="F12694" s="3" t="inlineStr">
        <is>
          <t>신종수</t>
        </is>
      </c>
      <c r="G12694" s="2" t="inlineStr">
        <is>
          <t>20260624000499</t>
        </is>
      </c>
      <c r="H12694" s="8">
        <f>HYPERLINK("https://dart.fss.or.kr/dsaf001/main.do?rcpNo=20260624000499", "공시열람")</f>
        <v/>
      </c>
    </row>
    <row r="12695">
      <c r="A12695" s="2" t="inlineStr">
        <is>
          <t>2026-06-24</t>
        </is>
      </c>
      <c r="B12695" s="3" t="inlineStr">
        <is>
          <t>로지스몬</t>
        </is>
      </c>
      <c r="C12695" s="2" t="inlineStr">
        <is>
          <t>코넥스</t>
        </is>
      </c>
      <c r="D12695" s="2" t="inlineStr">
        <is>
          <t>223220</t>
        </is>
      </c>
      <c r="E12695" s="3" t="inlineStr">
        <is>
          <t xml:space="preserve">대표이사변경              </t>
        </is>
      </c>
      <c r="F12695" s="3" t="inlineStr">
        <is>
          <t>로지스몬</t>
        </is>
      </c>
      <c r="G12695" s="2" t="inlineStr">
        <is>
          <t>20260624600962</t>
        </is>
      </c>
      <c r="H12695" s="8">
        <f>HYPERLINK("https://dart.fss.or.kr/dsaf001/main.do?rcpNo=20260624600962", "공시열람")</f>
        <v/>
      </c>
    </row>
    <row r="12696">
      <c r="A12696" s="2" t="inlineStr">
        <is>
          <t>2026-06-24</t>
        </is>
      </c>
      <c r="B12696" s="3" t="inlineStr">
        <is>
          <t>아모텍</t>
        </is>
      </c>
      <c r="C12696" s="2" t="inlineStr">
        <is>
          <t>코스닥</t>
        </is>
      </c>
      <c r="D12696" s="2" t="inlineStr">
        <is>
          <t>052710</t>
        </is>
      </c>
      <c r="E12696" s="3" t="inlineStr">
        <is>
          <t>권리락              (유상증자)</t>
        </is>
      </c>
      <c r="F12696" s="3" t="inlineStr">
        <is>
          <t>코스닥시장본부</t>
        </is>
      </c>
      <c r="G12696" s="2" t="inlineStr">
        <is>
          <t>20260624900954</t>
        </is>
      </c>
      <c r="H12696" s="8">
        <f>HYPERLINK("https://dart.fss.or.kr/dsaf001/main.do?rcpNo=20260624900954", "공시열람")</f>
        <v/>
      </c>
    </row>
    <row r="12697">
      <c r="A12697" s="2" t="inlineStr">
        <is>
          <t>2026-06-24 (정정: 2026-06-25)</t>
        </is>
      </c>
      <c r="B12697" s="3" t="inlineStr">
        <is>
          <t>코아스</t>
        </is>
      </c>
      <c r="C12697" s="2" t="inlineStr">
        <is>
          <t>코스피</t>
        </is>
      </c>
      <c r="D12697" s="2" t="inlineStr">
        <is>
          <t>071950</t>
        </is>
      </c>
      <c r="E12697" s="3" t="inlineStr">
        <is>
          <t>기타경영사항(자율공시)               (정정: 20260625) (정정: 20260625)</t>
        </is>
      </c>
      <c r="F12697" s="3" t="inlineStr">
        <is>
          <t>코아스</t>
        </is>
      </c>
      <c r="G12697" s="2" t="inlineStr">
        <is>
          <t>20260625000487</t>
        </is>
      </c>
      <c r="H12697" s="8">
        <f>HYPERLINK("https://dart.fss.or.kr/dsaf001/main.do?rcpNo=20260625000487", "공시열람")</f>
        <v/>
      </c>
    </row>
    <row r="12698">
      <c r="A12698" s="2" t="inlineStr">
        <is>
          <t>2026-06-24</t>
        </is>
      </c>
      <c r="B12698" s="3" t="inlineStr">
        <is>
          <t>세아제강</t>
        </is>
      </c>
      <c r="C12698" s="2" t="inlineStr">
        <is>
          <t>코스피</t>
        </is>
      </c>
      <c r="D12698" s="2" t="inlineStr">
        <is>
          <t>306200</t>
        </is>
      </c>
      <c r="E12698" s="3" t="inlineStr">
        <is>
          <t>[발행조건확정]증권신고서(채무증권)</t>
        </is>
      </c>
      <c r="F12698" s="3" t="inlineStr">
        <is>
          <t>세아제강</t>
        </is>
      </c>
      <c r="G12698" s="2" t="inlineStr">
        <is>
          <t>20260624000486</t>
        </is>
      </c>
      <c r="H12698" s="8">
        <f>HYPERLINK("https://dart.fss.or.kr/dsaf001/main.do?rcpNo=20260624000486", "공시열람")</f>
        <v/>
      </c>
    </row>
    <row r="12699">
      <c r="A12699" s="2" t="inlineStr">
        <is>
          <t>2026-06-24</t>
        </is>
      </c>
      <c r="B12699" s="3" t="inlineStr">
        <is>
          <t>대산F&amp;B</t>
        </is>
      </c>
      <c r="C12699" s="2" t="inlineStr">
        <is>
          <t>코스닥</t>
        </is>
      </c>
      <c r="D12699" s="2" t="inlineStr">
        <is>
          <t>065150</t>
        </is>
      </c>
      <c r="E12699" s="3" t="inlineStr">
        <is>
          <t>기타시장안내              (개선계획 이행내역서 제출 )</t>
        </is>
      </c>
      <c r="F12699" s="3" t="inlineStr">
        <is>
          <t>코스닥시장본부</t>
        </is>
      </c>
      <c r="G12699" s="2" t="inlineStr">
        <is>
          <t>20260624900951</t>
        </is>
      </c>
      <c r="H12699" s="8">
        <f>HYPERLINK("https://dart.fss.or.kr/dsaf001/main.do?rcpNo=20260624900951", "공시열람")</f>
        <v/>
      </c>
    </row>
    <row r="12700">
      <c r="A12700" s="2" t="inlineStr">
        <is>
          <t>2026-06-24</t>
        </is>
      </c>
      <c r="B12700" s="3" t="inlineStr">
        <is>
          <t>아모텍</t>
        </is>
      </c>
      <c r="C12700" s="2" t="inlineStr">
        <is>
          <t>코스닥</t>
        </is>
      </c>
      <c r="D12700" s="2" t="inlineStr">
        <is>
          <t>052710</t>
        </is>
      </c>
      <c r="E12700" s="3" t="inlineStr">
        <is>
          <t>투자설명서</t>
        </is>
      </c>
      <c r="F12700" s="3" t="inlineStr">
        <is>
          <t>아모텍</t>
        </is>
      </c>
      <c r="G12700" s="2" t="inlineStr">
        <is>
          <t>20260624000484</t>
        </is>
      </c>
      <c r="H12700" s="8">
        <f>HYPERLINK("https://dart.fss.or.kr/dsaf001/main.do?rcpNo=20260624000484", "공시열람")</f>
        <v/>
      </c>
    </row>
    <row r="12701">
      <c r="A12701" s="2" t="inlineStr">
        <is>
          <t>2026-06-24</t>
        </is>
      </c>
      <c r="B12701" s="3" t="inlineStr">
        <is>
          <t>알에프텍</t>
        </is>
      </c>
      <c r="C12701" s="2" t="inlineStr">
        <is>
          <t>코스닥</t>
        </is>
      </c>
      <c r="D12701" s="2" t="inlineStr">
        <is>
          <t>061040</t>
        </is>
      </c>
      <c r="E12701" s="3" t="inlineStr">
        <is>
          <t>[첨부정정]증권신고서(합병)</t>
        </is>
      </c>
      <c r="F12701" s="3" t="inlineStr">
        <is>
          <t>알에프텍</t>
        </is>
      </c>
      <c r="G12701" s="2" t="inlineStr">
        <is>
          <t>20260624000483</t>
        </is>
      </c>
      <c r="H12701" s="8">
        <f>HYPERLINK("https://dart.fss.or.kr/dsaf001/main.do?rcpNo=20260624000483", "공시열람")</f>
        <v/>
      </c>
    </row>
    <row r="12702">
      <c r="A12702" s="2" t="inlineStr">
        <is>
          <t>2026-06-24</t>
        </is>
      </c>
      <c r="B12702" s="3" t="inlineStr">
        <is>
          <t>아모텍</t>
        </is>
      </c>
      <c r="C12702" s="2" t="inlineStr">
        <is>
          <t>코스닥</t>
        </is>
      </c>
      <c r="D12702" s="2" t="inlineStr">
        <is>
          <t>052710</t>
        </is>
      </c>
      <c r="E12702" s="3" t="inlineStr">
        <is>
          <t>[발행조건확정]증권신고서(지분증권)</t>
        </is>
      </c>
      <c r="F12702" s="3" t="inlineStr">
        <is>
          <t>아모텍</t>
        </is>
      </c>
      <c r="G12702" s="2" t="inlineStr">
        <is>
          <t>20260624000482</t>
        </is>
      </c>
      <c r="H12702" s="8">
        <f>HYPERLINK("https://dart.fss.or.kr/dsaf001/main.do?rcpNo=20260624000482", "공시열람")</f>
        <v/>
      </c>
    </row>
    <row r="12703">
      <c r="A12703" s="2" t="inlineStr">
        <is>
          <t>2026-06-24</t>
        </is>
      </c>
      <c r="B12703" s="3" t="inlineStr">
        <is>
          <t>한국화장품제조</t>
        </is>
      </c>
      <c r="C12703" s="2" t="inlineStr">
        <is>
          <t>코스피</t>
        </is>
      </c>
      <c r="D12703" s="2" t="inlineStr">
        <is>
          <t>003350</t>
        </is>
      </c>
      <c r="E12703" s="3" t="inlineStr">
        <is>
          <t>임원ㆍ주요주주특정증권등소유상황보고서</t>
        </is>
      </c>
      <c r="F12703" s="3" t="inlineStr">
        <is>
          <t>임충헌</t>
        </is>
      </c>
      <c r="G12703" s="2" t="inlineStr">
        <is>
          <t>20260624000481</t>
        </is>
      </c>
      <c r="H12703" s="8">
        <f>HYPERLINK("https://dart.fss.or.kr/dsaf001/main.do?rcpNo=20260624000481", "공시열람")</f>
        <v/>
      </c>
    </row>
    <row r="12704">
      <c r="A12704" s="2" t="inlineStr">
        <is>
          <t>2026-06-24</t>
        </is>
      </c>
      <c r="B12704" s="3" t="inlineStr">
        <is>
          <t>비덴트</t>
        </is>
      </c>
      <c r="C12704" s="2" t="inlineStr">
        <is>
          <t>코스닥</t>
        </is>
      </c>
      <c r="D12704" s="2" t="inlineStr">
        <is>
          <t>121800</t>
        </is>
      </c>
      <c r="E12704" s="3" t="inlineStr">
        <is>
          <t>기타시장안내              (상장폐지 관련 이의신청서 접수)</t>
        </is>
      </c>
      <c r="F12704" s="3" t="inlineStr">
        <is>
          <t>코스닥시장본부</t>
        </is>
      </c>
      <c r="G12704" s="2" t="inlineStr">
        <is>
          <t>20260624900945</t>
        </is>
      </c>
      <c r="H12704" s="8">
        <f>HYPERLINK("https://dart.fss.or.kr/dsaf001/main.do?rcpNo=20260624900945", "공시열람")</f>
        <v/>
      </c>
    </row>
    <row r="12705">
      <c r="A12705" s="2" t="inlineStr">
        <is>
          <t>2026-06-24 (정정: 2026-06-24)</t>
        </is>
      </c>
      <c r="B12705" s="3" t="inlineStr">
        <is>
          <t>대아티아이</t>
        </is>
      </c>
      <c r="C12705" s="2" t="inlineStr">
        <is>
          <t>코스닥</t>
        </is>
      </c>
      <c r="D12705" s="2" t="inlineStr">
        <is>
          <t>045390</t>
        </is>
      </c>
      <c r="E12705" s="3" t="inlineStr">
        <is>
          <t>합병등종료보고서(자산양수도) (정정: 20260624)</t>
        </is>
      </c>
      <c r="F12705" s="3" t="inlineStr">
        <is>
          <t>대아티아이</t>
        </is>
      </c>
      <c r="G12705" s="2" t="inlineStr">
        <is>
          <t>20260624000466</t>
        </is>
      </c>
      <c r="H12705" s="8">
        <f>HYPERLINK("https://dart.fss.or.kr/dsaf001/main.do?rcpNo=20260624000466", "공시열람")</f>
        <v/>
      </c>
    </row>
    <row r="12706">
      <c r="A12706" s="2" t="inlineStr">
        <is>
          <t>2026-06-24</t>
        </is>
      </c>
      <c r="B12706" s="3" t="inlineStr">
        <is>
          <t>한국화장품제조</t>
        </is>
      </c>
      <c r="C12706" s="2" t="inlineStr">
        <is>
          <t>코스피</t>
        </is>
      </c>
      <c r="D12706" s="2" t="inlineStr">
        <is>
          <t>003350</t>
        </is>
      </c>
      <c r="E12706" s="3" t="inlineStr">
        <is>
          <t>임원ㆍ주요주주특정증권등소유상황보고서</t>
        </is>
      </c>
      <c r="F12706" s="3" t="inlineStr">
        <is>
          <t>임진욱</t>
        </is>
      </c>
      <c r="G12706" s="2" t="inlineStr">
        <is>
          <t>20260624000476</t>
        </is>
      </c>
      <c r="H12706" s="8">
        <f>HYPERLINK("https://dart.fss.or.kr/dsaf001/main.do?rcpNo=20260624000476", "공시열람")</f>
        <v/>
      </c>
    </row>
    <row r="12707">
      <c r="A12707" s="2" t="inlineStr">
        <is>
          <t>2026-06-24</t>
        </is>
      </c>
      <c r="B12707" s="3" t="inlineStr">
        <is>
          <t>한국화장품제조</t>
        </is>
      </c>
      <c r="C12707" s="2" t="inlineStr">
        <is>
          <t>코스피</t>
        </is>
      </c>
      <c r="D12707" s="2" t="inlineStr">
        <is>
          <t>003350</t>
        </is>
      </c>
      <c r="E12707" s="3" t="inlineStr">
        <is>
          <t>임원ㆍ주요주주특정증권등소유상황보고서</t>
        </is>
      </c>
      <c r="F12707" s="3" t="inlineStr">
        <is>
          <t>임진서</t>
        </is>
      </c>
      <c r="G12707" s="2" t="inlineStr">
        <is>
          <t>20260624000471</t>
        </is>
      </c>
      <c r="H12707" s="8">
        <f>HYPERLINK("https://dart.fss.or.kr/dsaf001/main.do?rcpNo=20260624000471", "공시열람")</f>
        <v/>
      </c>
    </row>
    <row r="12708">
      <c r="A12708" s="2" t="inlineStr">
        <is>
          <t>2026-06-24</t>
        </is>
      </c>
      <c r="B12708" s="3" t="inlineStr">
        <is>
          <t>NPX</t>
        </is>
      </c>
      <c r="C12708" s="2" t="inlineStr">
        <is>
          <t>코스닥</t>
        </is>
      </c>
      <c r="D12708" s="2" t="inlineStr">
        <is>
          <t>222160</t>
        </is>
      </c>
      <c r="E12708" s="3" t="inlineStr">
        <is>
          <t>주권매매거래정지해제              (상장폐지에 따른 정리매매 개시)</t>
        </is>
      </c>
      <c r="F12708" s="3" t="inlineStr">
        <is>
          <t>코스닥시장본부</t>
        </is>
      </c>
      <c r="G12708" s="2" t="inlineStr">
        <is>
          <t>20260624900906</t>
        </is>
      </c>
      <c r="H12708" s="8">
        <f>HYPERLINK("https://dart.fss.or.kr/dsaf001/main.do?rcpNo=20260624900906", "공시열람")</f>
        <v/>
      </c>
    </row>
    <row r="12709">
      <c r="A12709" s="2" t="inlineStr">
        <is>
          <t>2026-06-24</t>
        </is>
      </c>
      <c r="B12709" s="3" t="inlineStr">
        <is>
          <t>NPX</t>
        </is>
      </c>
      <c r="C12709" s="2" t="inlineStr">
        <is>
          <t>코스닥</t>
        </is>
      </c>
      <c r="D12709" s="2" t="inlineStr">
        <is>
          <t>222160</t>
        </is>
      </c>
      <c r="E12709" s="3" t="inlineStr">
        <is>
          <t>기타시장안내              (상장폐지결정 등 효력정지 가처분 신청 기각에 따른 정리매매절차 재개)</t>
        </is>
      </c>
      <c r="F12709" s="3" t="inlineStr">
        <is>
          <t>코스닥시장본부</t>
        </is>
      </c>
      <c r="G12709" s="2" t="inlineStr">
        <is>
          <t>20260624900892</t>
        </is>
      </c>
      <c r="H12709" s="8">
        <f>HYPERLINK("https://dart.fss.or.kr/dsaf001/main.do?rcpNo=20260624900892", "공시열람")</f>
        <v/>
      </c>
    </row>
    <row r="12710">
      <c r="A12710" s="2" t="inlineStr">
        <is>
          <t>2026-06-24</t>
        </is>
      </c>
      <c r="B12710" s="3" t="inlineStr">
        <is>
          <t>아모텍</t>
        </is>
      </c>
      <c r="C12710" s="2" t="inlineStr">
        <is>
          <t>코스닥</t>
        </is>
      </c>
      <c r="D12710" s="2" t="inlineStr">
        <is>
          <t>052710</t>
        </is>
      </c>
      <c r="E12710" s="3" t="inlineStr">
        <is>
          <t xml:space="preserve">유상증자1차발행가액결정              </t>
        </is>
      </c>
      <c r="F12710" s="3" t="inlineStr">
        <is>
          <t>아모텍</t>
        </is>
      </c>
      <c r="G12710" s="2" t="inlineStr">
        <is>
          <t>20260624900922</t>
        </is>
      </c>
      <c r="H12710" s="8">
        <f>HYPERLINK("https://dart.fss.or.kr/dsaf001/main.do?rcpNo=20260624900922", "공시열람")</f>
        <v/>
      </c>
    </row>
    <row r="12711">
      <c r="A12711" s="2" t="inlineStr">
        <is>
          <t>2026-06-24</t>
        </is>
      </c>
      <c r="B12711" s="3" t="inlineStr">
        <is>
          <t>더콘텐츠온</t>
        </is>
      </c>
      <c r="C12711" s="2" t="inlineStr">
        <is>
          <t>코넥스</t>
        </is>
      </c>
      <c r="D12711" s="2" t="inlineStr">
        <is>
          <t>302920</t>
        </is>
      </c>
      <c r="E12711" s="3" t="inlineStr">
        <is>
          <t>임원ㆍ주요주주특정증권등소유상황보고서</t>
        </is>
      </c>
      <c r="F12711" s="3" t="inlineStr">
        <is>
          <t>에스비아이-성장사다리 코넥스 활성화펀드</t>
        </is>
      </c>
      <c r="G12711" s="2" t="inlineStr">
        <is>
          <t>20260624000465</t>
        </is>
      </c>
      <c r="H12711" s="8">
        <f>HYPERLINK("https://dart.fss.or.kr/dsaf001/main.do?rcpNo=20260624000465", "공시열람")</f>
        <v/>
      </c>
    </row>
    <row r="12712">
      <c r="A12712" s="2" t="inlineStr">
        <is>
          <t>2026-06-24</t>
        </is>
      </c>
      <c r="B12712" s="3" t="inlineStr">
        <is>
          <t>한국화장품제조</t>
        </is>
      </c>
      <c r="C12712" s="2" t="inlineStr">
        <is>
          <t>코스피</t>
        </is>
      </c>
      <c r="D12712" s="2" t="inlineStr">
        <is>
          <t>003350</t>
        </is>
      </c>
      <c r="E12712" s="3" t="inlineStr">
        <is>
          <t>임원ㆍ주요주주특정증권등소유상황보고서</t>
        </is>
      </c>
      <c r="F12712" s="3" t="inlineStr">
        <is>
          <t>이용준</t>
        </is>
      </c>
      <c r="G12712" s="2" t="inlineStr">
        <is>
          <t>20260624000463</t>
        </is>
      </c>
      <c r="H12712" s="8">
        <f>HYPERLINK("https://dart.fss.or.kr/dsaf001/main.do?rcpNo=20260624000463", "공시열람")</f>
        <v/>
      </c>
    </row>
    <row r="12713">
      <c r="A12713" s="2" t="inlineStr">
        <is>
          <t>2026-06-24</t>
        </is>
      </c>
      <c r="B12713" s="3" t="inlineStr">
        <is>
          <t>한국비티비</t>
        </is>
      </c>
      <c r="C12713" s="2" t="inlineStr">
        <is>
          <t>코스닥</t>
        </is>
      </c>
      <c r="D12713" s="2" t="inlineStr">
        <is>
          <t>219750</t>
        </is>
      </c>
      <c r="E12713" s="3" t="inlineStr">
        <is>
          <t>주권매매거래정지해제              (액면병합 주권 변경상장)</t>
        </is>
      </c>
      <c r="F12713" s="3" t="inlineStr">
        <is>
          <t>코스닥시장본부</t>
        </is>
      </c>
      <c r="G12713" s="2" t="inlineStr">
        <is>
          <t>20260624900908</t>
        </is>
      </c>
      <c r="H12713" s="8">
        <f>HYPERLINK("https://dart.fss.or.kr/dsaf001/main.do?rcpNo=20260624900908", "공시열람")</f>
        <v/>
      </c>
    </row>
    <row r="12714">
      <c r="A12714" s="2" t="inlineStr">
        <is>
          <t>2026-06-24</t>
        </is>
      </c>
      <c r="B12714" s="3" t="inlineStr">
        <is>
          <t>와토스코리아</t>
        </is>
      </c>
      <c r="C12714" s="2" t="inlineStr">
        <is>
          <t>코스닥</t>
        </is>
      </c>
      <c r="D12714" s="2" t="inlineStr">
        <is>
          <t>079000</t>
        </is>
      </c>
      <c r="E12714" s="3" t="inlineStr">
        <is>
          <t xml:space="preserve">조회공시요구(현저한시황변동)              </t>
        </is>
      </c>
      <c r="F12714" s="3" t="inlineStr">
        <is>
          <t>코스닥시장본부</t>
        </is>
      </c>
      <c r="G12714" s="2" t="inlineStr">
        <is>
          <t>20260624900915</t>
        </is>
      </c>
      <c r="H12714" s="8">
        <f>HYPERLINK("https://dart.fss.or.kr/dsaf001/main.do?rcpNo=20260624900915", "공시열람")</f>
        <v/>
      </c>
    </row>
    <row r="12715">
      <c r="A12715" s="2" t="inlineStr">
        <is>
          <t>2026-06-24</t>
        </is>
      </c>
      <c r="B12715" s="3" t="inlineStr">
        <is>
          <t>한국화장품제조</t>
        </is>
      </c>
      <c r="C12715" s="2" t="inlineStr">
        <is>
          <t>코스피</t>
        </is>
      </c>
      <c r="D12715" s="2" t="inlineStr">
        <is>
          <t>003350</t>
        </is>
      </c>
      <c r="E12715" s="3" t="inlineStr">
        <is>
          <t>임원ㆍ주요주주특정증권등소유상황보고서</t>
        </is>
      </c>
      <c r="F12715" s="3" t="inlineStr">
        <is>
          <t>김숙자</t>
        </is>
      </c>
      <c r="G12715" s="2" t="inlineStr">
        <is>
          <t>20260624000459</t>
        </is>
      </c>
      <c r="H12715" s="8">
        <f>HYPERLINK("https://dart.fss.or.kr/dsaf001/main.do?rcpNo=20260624000459", "공시열람")</f>
        <v/>
      </c>
    </row>
    <row r="12716">
      <c r="A12716" s="2" t="inlineStr">
        <is>
          <t>2026-06-24</t>
        </is>
      </c>
      <c r="B12716" s="3" t="inlineStr">
        <is>
          <t>CSA 코스믹</t>
        </is>
      </c>
      <c r="C12716" s="2" t="inlineStr">
        <is>
          <t>코스닥</t>
        </is>
      </c>
      <c r="D12716" s="2" t="inlineStr">
        <is>
          <t>083660</t>
        </is>
      </c>
      <c r="E12716" s="3" t="inlineStr">
        <is>
          <t>전환가액의조정              (제3회차)</t>
        </is>
      </c>
      <c r="F12716" s="3" t="inlineStr">
        <is>
          <t>CSA 코스믹</t>
        </is>
      </c>
      <c r="G12716" s="2" t="inlineStr">
        <is>
          <t>20260624900824</t>
        </is>
      </c>
      <c r="H12716" s="8">
        <f>HYPERLINK("https://dart.fss.or.kr/dsaf001/main.do?rcpNo=20260624900824", "공시열람")</f>
        <v/>
      </c>
    </row>
    <row r="12717">
      <c r="A12717" s="2" t="inlineStr">
        <is>
          <t>2026-06-24 (정정: 2026-06-24)</t>
        </is>
      </c>
      <c r="B12717" s="3" t="inlineStr">
        <is>
          <t>NH투자증권</t>
        </is>
      </c>
      <c r="C12717" s="2" t="inlineStr">
        <is>
          <t>코스피</t>
        </is>
      </c>
      <c r="D12717" s="2" t="inlineStr">
        <is>
          <t>005940</t>
        </is>
      </c>
      <c r="E12717" s="3" t="inlineStr">
        <is>
          <t>투자설명서(일괄신고) (정정: 20260624)</t>
        </is>
      </c>
      <c r="F12717" s="3" t="inlineStr">
        <is>
          <t>NH투자증권</t>
        </is>
      </c>
      <c r="G12717" s="2" t="inlineStr">
        <is>
          <t>20260624000385</t>
        </is>
      </c>
      <c r="H12717" s="8">
        <f>HYPERLINK("https://dart.fss.or.kr/dsaf001/main.do?rcpNo=20260624000385", "공시열람")</f>
        <v/>
      </c>
    </row>
    <row r="12718">
      <c r="A12718" s="2" t="inlineStr">
        <is>
          <t>2026-06-24</t>
        </is>
      </c>
      <c r="B12718" s="3" t="inlineStr">
        <is>
          <t>삼영에스앤씨</t>
        </is>
      </c>
      <c r="C12718" s="2" t="inlineStr">
        <is>
          <t>코스닥</t>
        </is>
      </c>
      <c r="D12718" s="2" t="inlineStr">
        <is>
          <t>361670</t>
        </is>
      </c>
      <c r="E12718" s="3" t="inlineStr">
        <is>
          <t>임원ㆍ주요주주특정증권등소유상황보고서</t>
        </is>
      </c>
      <c r="F12718" s="3" t="inlineStr">
        <is>
          <t>고승남</t>
        </is>
      </c>
      <c r="G12718" s="2" t="inlineStr">
        <is>
          <t>20260624000455</t>
        </is>
      </c>
      <c r="H12718" s="8">
        <f>HYPERLINK("https://dart.fss.or.kr/dsaf001/main.do?rcpNo=20260624000455", "공시열람")</f>
        <v/>
      </c>
    </row>
    <row r="12719">
      <c r="A12719" s="2" t="inlineStr">
        <is>
          <t>2026-06-24</t>
        </is>
      </c>
      <c r="B12719" s="3" t="inlineStr">
        <is>
          <t>뉴로메카</t>
        </is>
      </c>
      <c r="C12719" s="2" t="inlineStr">
        <is>
          <t>코스닥</t>
        </is>
      </c>
      <c r="D12719" s="2" t="inlineStr">
        <is>
          <t>348340</t>
        </is>
      </c>
      <c r="E12719" s="3" t="inlineStr">
        <is>
          <t xml:space="preserve">기업설명회(IR)개최              </t>
        </is>
      </c>
      <c r="F12719" s="3" t="inlineStr">
        <is>
          <t>뉴로메카</t>
        </is>
      </c>
      <c r="G12719" s="2" t="inlineStr">
        <is>
          <t>20260624900907</t>
        </is>
      </c>
      <c r="H12719" s="8">
        <f>HYPERLINK("https://dart.fss.or.kr/dsaf001/main.do?rcpNo=20260624900907", "공시열람")</f>
        <v/>
      </c>
    </row>
    <row r="12720">
      <c r="A12720" s="2" t="inlineStr">
        <is>
          <t>2026-06-24</t>
        </is>
      </c>
      <c r="B12720" s="3" t="inlineStr">
        <is>
          <t>핸즈코퍼레이션</t>
        </is>
      </c>
      <c r="C12720" s="2" t="inlineStr">
        <is>
          <t>코스피</t>
        </is>
      </c>
      <c r="D12720" s="2" t="inlineStr">
        <is>
          <t>143210</t>
        </is>
      </c>
      <c r="E12720" s="3" t="inlineStr">
        <is>
          <t>임원ㆍ주요주주특정증권등소유상황보고서</t>
        </is>
      </c>
      <c r="F12720" s="3" t="inlineStr">
        <is>
          <t>동화상협</t>
        </is>
      </c>
      <c r="G12720" s="2" t="inlineStr">
        <is>
          <t>20260624000451</t>
        </is>
      </c>
      <c r="H12720" s="8">
        <f>HYPERLINK("https://dart.fss.or.kr/dsaf001/main.do?rcpNo=20260624000451", "공시열람")</f>
        <v/>
      </c>
    </row>
    <row r="12721">
      <c r="A12721" s="2" t="inlineStr">
        <is>
          <t>2026-06-24</t>
        </is>
      </c>
      <c r="B12721" s="3" t="inlineStr">
        <is>
          <t>엔에스컴퍼니</t>
        </is>
      </c>
      <c r="C12721" s="2" t="inlineStr">
        <is>
          <t>코넥스</t>
        </is>
      </c>
      <c r="D12721" s="2" t="inlineStr">
        <is>
          <t>224760</t>
        </is>
      </c>
      <c r="E12721" s="3" t="inlineStr">
        <is>
          <t xml:space="preserve">기업설명회(IR)개최결과              </t>
        </is>
      </c>
      <c r="F12721" s="3" t="inlineStr">
        <is>
          <t>엔에스컴퍼니</t>
        </is>
      </c>
      <c r="G12721" s="2" t="inlineStr">
        <is>
          <t>20260624600890</t>
        </is>
      </c>
      <c r="H12721" s="8">
        <f>HYPERLINK("https://dart.fss.or.kr/dsaf001/main.do?rcpNo=20260624600890", "공시열람")</f>
        <v/>
      </c>
    </row>
    <row r="12722">
      <c r="A12722" s="2" t="inlineStr">
        <is>
          <t>2026-06-24</t>
        </is>
      </c>
      <c r="B12722" s="3" t="inlineStr">
        <is>
          <t>NH투자증권</t>
        </is>
      </c>
      <c r="C12722" s="2" t="inlineStr">
        <is>
          <t>코스피</t>
        </is>
      </c>
      <c r="D12722" s="2" t="inlineStr">
        <is>
          <t>005940</t>
        </is>
      </c>
      <c r="E12722" s="3" t="inlineStr">
        <is>
          <t>일괄신고추가서류(파생결합사채-주가연계파생결합사채)</t>
        </is>
      </c>
      <c r="F12722" s="3" t="inlineStr">
        <is>
          <t>NH투자증권</t>
        </is>
      </c>
      <c r="G12722" s="2" t="inlineStr">
        <is>
          <t>20260624000444</t>
        </is>
      </c>
      <c r="H12722" s="8">
        <f>HYPERLINK("https://dart.fss.or.kr/dsaf001/main.do?rcpNo=20260624000444", "공시열람")</f>
        <v/>
      </c>
    </row>
    <row r="12723">
      <c r="A12723" s="2" t="inlineStr">
        <is>
          <t>2026-06-24</t>
        </is>
      </c>
      <c r="B12723" s="3" t="inlineStr">
        <is>
          <t>엄지하우스</t>
        </is>
      </c>
      <c r="C12723" s="2" t="inlineStr">
        <is>
          <t>코넥스</t>
        </is>
      </c>
      <c r="D12723" s="2" t="inlineStr">
        <is>
          <t>224810</t>
        </is>
      </c>
      <c r="E12723" s="3" t="inlineStr">
        <is>
          <t>임원ㆍ주요주주특정증권등소유상황보고서</t>
        </is>
      </c>
      <c r="F12723" s="3" t="inlineStr">
        <is>
          <t>정석환</t>
        </is>
      </c>
      <c r="G12723" s="2" t="inlineStr">
        <is>
          <t>20260624000443</t>
        </is>
      </c>
      <c r="H12723" s="8">
        <f>HYPERLINK("https://dart.fss.or.kr/dsaf001/main.do?rcpNo=20260624000443", "공시열람")</f>
        <v/>
      </c>
    </row>
    <row r="12724">
      <c r="A12724" s="2" t="inlineStr">
        <is>
          <t>2026-06-24 (정정: 2026-06-24)</t>
        </is>
      </c>
      <c r="B12724" s="3" t="inlineStr">
        <is>
          <t>알에프텍</t>
        </is>
      </c>
      <c r="C12724" s="2" t="inlineStr">
        <is>
          <t>코스닥</t>
        </is>
      </c>
      <c r="D12724" s="2" t="inlineStr">
        <is>
          <t>061040</t>
        </is>
      </c>
      <c r="E12724" s="3" t="inlineStr">
        <is>
          <t>[첨부정정]증권신고서(합병) (정정: 20260624)</t>
        </is>
      </c>
      <c r="F12724" s="3" t="inlineStr">
        <is>
          <t>알에프텍</t>
        </is>
      </c>
      <c r="G12724" s="2" t="inlineStr">
        <is>
          <t>20260624000396</t>
        </is>
      </c>
      <c r="H12724" s="8">
        <f>HYPERLINK("https://dart.fss.or.kr/dsaf001/main.do?rcpNo=20260624000396", "공시열람")</f>
        <v/>
      </c>
    </row>
    <row r="12725">
      <c r="A12725" s="2" t="inlineStr">
        <is>
          <t>2026-06-24</t>
        </is>
      </c>
      <c r="B12725" s="3" t="inlineStr">
        <is>
          <t>한국특강</t>
        </is>
      </c>
      <c r="C12725" s="2" t="inlineStr">
        <is>
          <t>코스피</t>
        </is>
      </c>
      <c r="D12725" s="2" t="inlineStr">
        <is>
          <t>007280</t>
        </is>
      </c>
      <c r="E12725" s="3" t="inlineStr">
        <is>
          <t>임원ㆍ주요주주특정증권등거래계획보고서</t>
        </is>
      </c>
      <c r="F12725" s="3" t="inlineStr">
        <is>
          <t>매직홀딩스</t>
        </is>
      </c>
      <c r="G12725" s="2" t="inlineStr">
        <is>
          <t>20260624000438</t>
        </is>
      </c>
      <c r="H12725" s="8">
        <f>HYPERLINK("https://dart.fss.or.kr/dsaf001/main.do?rcpNo=20260624000438", "공시열람")</f>
        <v/>
      </c>
    </row>
    <row r="12726">
      <c r="A12726" s="2" t="inlineStr">
        <is>
          <t>2026-06-24</t>
        </is>
      </c>
      <c r="B12726" s="3" t="inlineStr">
        <is>
          <t>SK스퀘어</t>
        </is>
      </c>
      <c r="C12726" s="2" t="inlineStr">
        <is>
          <t>코스피</t>
        </is>
      </c>
      <c r="D12726" s="2" t="inlineStr">
        <is>
          <t>402340</t>
        </is>
      </c>
      <c r="E12726" s="3" t="inlineStr">
        <is>
          <t xml:space="preserve">주요사항보고서(해외증권시장주권등상장결정)(자회사의 주요경영사항)              </t>
        </is>
      </c>
      <c r="F12726" s="3" t="inlineStr">
        <is>
          <t>SK스퀘어</t>
        </is>
      </c>
      <c r="G12726" s="2" t="inlineStr">
        <is>
          <t>20260624800822</t>
        </is>
      </c>
      <c r="H12726" s="8">
        <f>HYPERLINK("https://dart.fss.or.kr/dsaf001/main.do?rcpNo=20260624800822", "공시열람")</f>
        <v/>
      </c>
    </row>
    <row r="12727">
      <c r="A12727" s="2" t="inlineStr">
        <is>
          <t>2026-06-24</t>
        </is>
      </c>
      <c r="B12727" s="3" t="inlineStr">
        <is>
          <t>SK스퀘어</t>
        </is>
      </c>
      <c r="C12727" s="2" t="inlineStr">
        <is>
          <t>코스피</t>
        </is>
      </c>
      <c r="D12727" s="2" t="inlineStr">
        <is>
          <t>402340</t>
        </is>
      </c>
      <c r="E12727" s="3" t="inlineStr">
        <is>
          <t xml:space="preserve">증권예탁증권(DR)발행결정(자회사의 주요경영사항)              </t>
        </is>
      </c>
      <c r="F12727" s="3" t="inlineStr">
        <is>
          <t>SK스퀘어</t>
        </is>
      </c>
      <c r="G12727" s="2" t="inlineStr">
        <is>
          <t>20260624800802</t>
        </is>
      </c>
      <c r="H12727" s="8">
        <f>HYPERLINK("https://dart.fss.or.kr/dsaf001/main.do?rcpNo=20260624800802", "공시열람")</f>
        <v/>
      </c>
    </row>
    <row r="12728">
      <c r="A12728" s="2" t="inlineStr">
        <is>
          <t>2026-06-24</t>
        </is>
      </c>
      <c r="B12728" s="3" t="inlineStr">
        <is>
          <t>토비스</t>
        </is>
      </c>
      <c r="C12728" s="2" t="inlineStr">
        <is>
          <t>코스닥</t>
        </is>
      </c>
      <c r="D12728" s="2" t="inlineStr">
        <is>
          <t>051360</t>
        </is>
      </c>
      <c r="E12728" s="3" t="inlineStr">
        <is>
          <t>주권매매거래정지              (주식의 병합, 분할 등 전자등록 변경, 말소)</t>
        </is>
      </c>
      <c r="F12728" s="3" t="inlineStr">
        <is>
          <t>코스닥시장본부</t>
        </is>
      </c>
      <c r="G12728" s="2" t="inlineStr">
        <is>
          <t>20260624900825</t>
        </is>
      </c>
      <c r="H12728" s="8">
        <f>HYPERLINK("https://dart.fss.or.kr/dsaf001/main.do?rcpNo=20260624900825", "공시열람")</f>
        <v/>
      </c>
    </row>
    <row r="12729">
      <c r="A12729" s="2" t="inlineStr">
        <is>
          <t>2026-06-24</t>
        </is>
      </c>
      <c r="B12729" s="3" t="inlineStr">
        <is>
          <t>휴스틸</t>
        </is>
      </c>
      <c r="C12729" s="2" t="inlineStr">
        <is>
          <t>코스피</t>
        </is>
      </c>
      <c r="D12729" s="2" t="inlineStr">
        <is>
          <t>005010</t>
        </is>
      </c>
      <c r="E12729" s="3" t="inlineStr">
        <is>
          <t>임원ㆍ주요주주특정증권등소유상황보고서</t>
        </is>
      </c>
      <c r="F12729" s="3" t="inlineStr">
        <is>
          <t>박재영</t>
        </is>
      </c>
      <c r="G12729" s="2" t="inlineStr">
        <is>
          <t>20260624000437</t>
        </is>
      </c>
      <c r="H12729" s="8">
        <f>HYPERLINK("https://dart.fss.or.kr/dsaf001/main.do?rcpNo=20260624000437", "공시열람")</f>
        <v/>
      </c>
    </row>
    <row r="12730">
      <c r="A12730" s="2" t="inlineStr">
        <is>
          <t>2026-06-24</t>
        </is>
      </c>
      <c r="B12730" s="3" t="inlineStr">
        <is>
          <t>아크솔루션스</t>
        </is>
      </c>
      <c r="C12730" s="2" t="inlineStr">
        <is>
          <t>코스닥</t>
        </is>
      </c>
      <c r="D12730" s="2" t="inlineStr">
        <is>
          <t>203690</t>
        </is>
      </c>
      <c r="E12730" s="3" t="inlineStr">
        <is>
          <t xml:space="preserve">타법인주식및출자증권취득결정              </t>
        </is>
      </c>
      <c r="F12730" s="3" t="inlineStr">
        <is>
          <t>아크솔루션스</t>
        </is>
      </c>
      <c r="G12730" s="2" t="inlineStr">
        <is>
          <t>20260624900764</t>
        </is>
      </c>
      <c r="H12730" s="8">
        <f>HYPERLINK("https://dart.fss.or.kr/dsaf001/main.do?rcpNo=20260624900764", "공시열람")</f>
        <v/>
      </c>
    </row>
    <row r="12731">
      <c r="A12731" s="2" t="inlineStr">
        <is>
          <t>2026-06-24 (정정: 2026-06-24)</t>
        </is>
      </c>
      <c r="B12731" s="3" t="inlineStr">
        <is>
          <t>하이딥</t>
        </is>
      </c>
      <c r="C12731" s="2" t="inlineStr">
        <is>
          <t>코스닥</t>
        </is>
      </c>
      <c r="D12731" s="2" t="inlineStr">
        <is>
          <t>365590</t>
        </is>
      </c>
      <c r="E12731" s="3" t="inlineStr">
        <is>
          <t>임원ㆍ주요주주특정증권등소유상황보고서 (정정: 20260624) (정정: 20260624) (정정: 20260624) (정정: 20260624) (정정: 20260624)</t>
        </is>
      </c>
      <c r="F12731" s="3" t="inlineStr">
        <is>
          <t>고범규</t>
        </is>
      </c>
      <c r="G12731" s="2" t="inlineStr">
        <is>
          <t>20260624000406</t>
        </is>
      </c>
      <c r="H12731" s="8">
        <f>HYPERLINK("https://dart.fss.or.kr/dsaf001/main.do?rcpNo=20260624000406", "공시열람")</f>
        <v/>
      </c>
    </row>
    <row r="12732">
      <c r="A12732" s="2" t="inlineStr">
        <is>
          <t>2026-06-24</t>
        </is>
      </c>
      <c r="B12732" s="3" t="inlineStr">
        <is>
          <t>SK하이닉스</t>
        </is>
      </c>
      <c r="C12732" s="2" t="inlineStr">
        <is>
          <t>코스피</t>
        </is>
      </c>
      <c r="D12732" s="2" t="inlineStr">
        <is>
          <t>000660</t>
        </is>
      </c>
      <c r="E12732" s="3" t="inlineStr">
        <is>
          <t>주요사항보고서(해외증권시장주권등상장결정)</t>
        </is>
      </c>
      <c r="F12732" s="3" t="inlineStr">
        <is>
          <t>SK하이닉스</t>
        </is>
      </c>
      <c r="G12732" s="2" t="inlineStr">
        <is>
          <t>20260624000423</t>
        </is>
      </c>
      <c r="H12732" s="8">
        <f>HYPERLINK("https://dart.fss.or.kr/dsaf001/main.do?rcpNo=20260624000423", "공시열람")</f>
        <v/>
      </c>
    </row>
    <row r="12733">
      <c r="A12733" s="2" t="inlineStr">
        <is>
          <t>2026-06-24</t>
        </is>
      </c>
      <c r="B12733" s="3" t="inlineStr">
        <is>
          <t>알파AI</t>
        </is>
      </c>
      <c r="C12733" s="2" t="inlineStr">
        <is>
          <t>코스닥</t>
        </is>
      </c>
      <c r="D12733" s="2" t="inlineStr">
        <is>
          <t>043100</t>
        </is>
      </c>
      <c r="E12733" s="3" t="inlineStr">
        <is>
          <t xml:space="preserve">[기재정정]타법인주식및출자증권취득결정              </t>
        </is>
      </c>
      <c r="F12733" s="3" t="inlineStr">
        <is>
          <t>알파AI</t>
        </is>
      </c>
      <c r="G12733" s="2" t="inlineStr">
        <is>
          <t>20260624900796</t>
        </is>
      </c>
      <c r="H12733" s="8">
        <f>HYPERLINK("https://dart.fss.or.kr/dsaf001/main.do?rcpNo=20260624900796", "공시열람")</f>
        <v/>
      </c>
    </row>
    <row r="12734">
      <c r="A12734" s="2" t="inlineStr">
        <is>
          <t>2026-06-24</t>
        </is>
      </c>
      <c r="B12734" s="3" t="inlineStr">
        <is>
          <t>키이스트</t>
        </is>
      </c>
      <c r="C12734" s="2" t="inlineStr">
        <is>
          <t>코스닥</t>
        </is>
      </c>
      <c r="D12734" s="2" t="inlineStr">
        <is>
          <t>054780</t>
        </is>
      </c>
      <c r="E12734" s="3" t="inlineStr">
        <is>
          <t xml:space="preserve">소송등의판결ㆍ결정(일정금액이상의청구)              </t>
        </is>
      </c>
      <c r="F12734" s="3" t="inlineStr">
        <is>
          <t>키이스트</t>
        </is>
      </c>
      <c r="G12734" s="2" t="inlineStr">
        <is>
          <t>20260624900810</t>
        </is>
      </c>
      <c r="H12734" s="8">
        <f>HYPERLINK("https://dart.fss.or.kr/dsaf001/main.do?rcpNo=20260624900810", "공시열람")</f>
        <v/>
      </c>
    </row>
    <row r="12735">
      <c r="A12735" s="2" t="inlineStr">
        <is>
          <t>2026-06-24</t>
        </is>
      </c>
      <c r="B12735" s="3" t="inlineStr">
        <is>
          <t>SK하이닉스</t>
        </is>
      </c>
      <c r="C12735" s="2" t="inlineStr">
        <is>
          <t>코스피</t>
        </is>
      </c>
      <c r="D12735" s="2" t="inlineStr">
        <is>
          <t>000660</t>
        </is>
      </c>
      <c r="E12735" s="3" t="inlineStr">
        <is>
          <t xml:space="preserve">증권예탁증권(DR)발행결정              </t>
        </is>
      </c>
      <c r="F12735" s="3" t="inlineStr">
        <is>
          <t>SK하이닉스</t>
        </is>
      </c>
      <c r="G12735" s="2" t="inlineStr">
        <is>
          <t>20260624800801</t>
        </is>
      </c>
      <c r="H12735" s="8">
        <f>HYPERLINK("https://dart.fss.or.kr/dsaf001/main.do?rcpNo=20260624800801", "공시열람")</f>
        <v/>
      </c>
    </row>
    <row r="12736">
      <c r="A12736" s="2" t="inlineStr">
        <is>
          <t>2026-06-24</t>
        </is>
      </c>
      <c r="B12736" s="3" t="inlineStr">
        <is>
          <t>키움증권</t>
        </is>
      </c>
      <c r="C12736" s="2" t="inlineStr">
        <is>
          <t>코스피</t>
        </is>
      </c>
      <c r="D12736" s="2" t="inlineStr">
        <is>
          <t>039490</t>
        </is>
      </c>
      <c r="E12736" s="3" t="inlineStr">
        <is>
          <t>투자설명서(일괄신고)</t>
        </is>
      </c>
      <c r="F12736" s="3" t="inlineStr">
        <is>
          <t>키움증권</t>
        </is>
      </c>
      <c r="G12736" s="2" t="inlineStr">
        <is>
          <t>20260624000409</t>
        </is>
      </c>
      <c r="H12736" s="8">
        <f>HYPERLINK("https://dart.fss.or.kr/dsaf001/main.do?rcpNo=20260624000409", "공시열람")</f>
        <v/>
      </c>
    </row>
    <row r="12737">
      <c r="A12737" s="2" t="inlineStr">
        <is>
          <t>2026-06-24</t>
        </is>
      </c>
      <c r="B12737" s="3" t="inlineStr">
        <is>
          <t>핸즈코퍼레이션</t>
        </is>
      </c>
      <c r="C12737" s="2" t="inlineStr">
        <is>
          <t>코스피</t>
        </is>
      </c>
      <c r="D12737" s="2" t="inlineStr">
        <is>
          <t>143210</t>
        </is>
      </c>
      <c r="E12737" s="3" t="inlineStr">
        <is>
          <t xml:space="preserve">유상증자또는주식관련사채등의발행결과(자율공시)              </t>
        </is>
      </c>
      <c r="F12737" s="3" t="inlineStr">
        <is>
          <t>핸즈코퍼레이션</t>
        </is>
      </c>
      <c r="G12737" s="2" t="inlineStr">
        <is>
          <t>20260624800768</t>
        </is>
      </c>
      <c r="H12737" s="8">
        <f>HYPERLINK("https://dart.fss.or.kr/dsaf001/main.do?rcpNo=20260624800768", "공시열람")</f>
        <v/>
      </c>
    </row>
    <row r="12738">
      <c r="A12738" s="2" t="inlineStr">
        <is>
          <t>2026-06-24</t>
        </is>
      </c>
      <c r="B12738" s="3" t="inlineStr">
        <is>
          <t>한국특강</t>
        </is>
      </c>
      <c r="C12738" s="2" t="inlineStr">
        <is>
          <t>코스피</t>
        </is>
      </c>
      <c r="D12738" s="2" t="inlineStr">
        <is>
          <t>007280</t>
        </is>
      </c>
      <c r="E12738" s="3" t="inlineStr">
        <is>
          <t>임원ㆍ주요주주특정증권등거래계획보고서</t>
        </is>
      </c>
      <c r="F12738" s="3" t="inlineStr">
        <is>
          <t>하람로지스</t>
        </is>
      </c>
      <c r="G12738" s="2" t="inlineStr">
        <is>
          <t>20260624000397</t>
        </is>
      </c>
      <c r="H12738" s="8">
        <f>HYPERLINK("https://dart.fss.or.kr/dsaf001/main.do?rcpNo=20260624000397", "공시열람")</f>
        <v/>
      </c>
    </row>
    <row r="12739">
      <c r="A12739" s="2" t="inlineStr">
        <is>
          <t>2026-06-24</t>
        </is>
      </c>
      <c r="B12739" s="3" t="inlineStr">
        <is>
          <t>부국철강</t>
        </is>
      </c>
      <c r="C12739" s="2" t="inlineStr">
        <is>
          <t>코스피</t>
        </is>
      </c>
      <c r="D12739" s="2" t="inlineStr">
        <is>
          <t>026940</t>
        </is>
      </c>
      <c r="E12739" s="3" t="inlineStr">
        <is>
          <t xml:space="preserve">조회공시요구(현저한시황변동)에대한답변(중요공시대상없음)              </t>
        </is>
      </c>
      <c r="F12739" s="3" t="inlineStr">
        <is>
          <t>부국철강</t>
        </is>
      </c>
      <c r="G12739" s="2" t="inlineStr">
        <is>
          <t>20260624800757</t>
        </is>
      </c>
      <c r="H12739" s="8">
        <f>HYPERLINK("https://dart.fss.or.kr/dsaf001/main.do?rcpNo=20260624800757", "공시열람")</f>
        <v/>
      </c>
    </row>
    <row r="12740">
      <c r="A12740" s="2" t="inlineStr">
        <is>
          <t>2026-06-24</t>
        </is>
      </c>
      <c r="B12740" s="3" t="inlineStr">
        <is>
          <t>삼성증권</t>
        </is>
      </c>
      <c r="C12740" s="2" t="inlineStr">
        <is>
          <t>코스피</t>
        </is>
      </c>
      <c r="D12740" s="2" t="inlineStr">
        <is>
          <t>016360</t>
        </is>
      </c>
      <c r="E12740" s="3" t="inlineStr">
        <is>
          <t>증권발행실적보고서</t>
        </is>
      </c>
      <c r="F12740" s="3" t="inlineStr">
        <is>
          <t>삼성증권</t>
        </is>
      </c>
      <c r="G12740" s="2" t="inlineStr">
        <is>
          <t>20260624000395</t>
        </is>
      </c>
      <c r="H12740" s="8">
        <f>HYPERLINK("https://dart.fss.or.kr/dsaf001/main.do?rcpNo=20260624000395", "공시열람")</f>
        <v/>
      </c>
    </row>
    <row r="12741">
      <c r="A12741" s="2" t="inlineStr">
        <is>
          <t>2026-06-24</t>
        </is>
      </c>
      <c r="B12741" s="3" t="inlineStr">
        <is>
          <t>스맥</t>
        </is>
      </c>
      <c r="C12741" s="2" t="inlineStr">
        <is>
          <t>코스닥</t>
        </is>
      </c>
      <c r="D12741" s="2" t="inlineStr">
        <is>
          <t>099440</t>
        </is>
      </c>
      <c r="E12741" s="3" t="inlineStr">
        <is>
          <t>임원ㆍ주요주주특정증권등소유상황보고서</t>
        </is>
      </c>
      <c r="F12741" s="3" t="inlineStr">
        <is>
          <t>최영섭</t>
        </is>
      </c>
      <c r="G12741" s="2" t="inlineStr">
        <is>
          <t>20260624000393</t>
        </is>
      </c>
      <c r="H12741" s="8">
        <f>HYPERLINK("https://dart.fss.or.kr/dsaf001/main.do?rcpNo=20260624000393", "공시열람")</f>
        <v/>
      </c>
    </row>
    <row r="12742">
      <c r="A12742" s="2" t="inlineStr">
        <is>
          <t>2026-06-24</t>
        </is>
      </c>
      <c r="B12742" s="3" t="inlineStr">
        <is>
          <t>샤페론</t>
        </is>
      </c>
      <c r="C12742" s="2" t="inlineStr">
        <is>
          <t>코스닥</t>
        </is>
      </c>
      <c r="D12742" s="2" t="inlineStr">
        <is>
          <t>378800</t>
        </is>
      </c>
      <c r="E12742" s="3" t="inlineStr">
        <is>
          <t>투자판단관련주요경영사항(임상시험결과)              (경증 또는 중등증 아토피 피부염 환자를 대상으로 HY209겔의 제2상 임상시험 Topline data 수령)</t>
        </is>
      </c>
      <c r="F12742" s="3" t="inlineStr">
        <is>
          <t>샤페론</t>
        </is>
      </c>
      <c r="G12742" s="2" t="inlineStr">
        <is>
          <t>20260624900677</t>
        </is>
      </c>
      <c r="H12742" s="8">
        <f>HYPERLINK("https://dart.fss.or.kr/dsaf001/main.do?rcpNo=20260624900677", "공시열람")</f>
        <v/>
      </c>
    </row>
    <row r="12743">
      <c r="A12743" s="2" t="inlineStr">
        <is>
          <t>2026-06-24 (정정: 2026-06-25)</t>
        </is>
      </c>
      <c r="B12743" s="3" t="inlineStr">
        <is>
          <t>에이프릴바이오</t>
        </is>
      </c>
      <c r="C12743" s="2" t="inlineStr">
        <is>
          <t>코스닥</t>
        </is>
      </c>
      <c r="D12743" s="2" t="inlineStr">
        <is>
          <t>397030</t>
        </is>
      </c>
      <c r="E12743" s="3" t="inlineStr">
        <is>
          <t>조회공시요구(풍문또는보도)               (정정: 20260625)</t>
        </is>
      </c>
      <c r="F12743" s="3" t="inlineStr">
        <is>
          <t>코스닥시장본부</t>
        </is>
      </c>
      <c r="G12743" s="2" t="inlineStr">
        <is>
          <t>20260625900366</t>
        </is>
      </c>
      <c r="H12743" s="8">
        <f>HYPERLINK("https://dart.fss.or.kr/dsaf001/main.do?rcpNo=20260625900366", "공시열람")</f>
        <v/>
      </c>
    </row>
    <row r="12744">
      <c r="A12744" s="2" t="inlineStr">
        <is>
          <t>2026-06-24</t>
        </is>
      </c>
      <c r="B12744" s="3" t="inlineStr">
        <is>
          <t>포스코퓨처엠</t>
        </is>
      </c>
      <c r="C12744" s="2" t="inlineStr">
        <is>
          <t>코스피</t>
        </is>
      </c>
      <c r="D12744" s="2" t="inlineStr">
        <is>
          <t>003670</t>
        </is>
      </c>
      <c r="E12744" s="3" t="inlineStr">
        <is>
          <t xml:space="preserve">지속가능경영보고서등관련사항(자율공시)              </t>
        </is>
      </c>
      <c r="F12744" s="3" t="inlineStr">
        <is>
          <t>포스코퓨처엠</t>
        </is>
      </c>
      <c r="G12744" s="2" t="inlineStr">
        <is>
          <t>20260624800744</t>
        </is>
      </c>
      <c r="H12744" s="8">
        <f>HYPERLINK("https://dart.fss.or.kr/dsaf001/main.do?rcpNo=20260624800744", "공시열람")</f>
        <v/>
      </c>
    </row>
    <row r="12745">
      <c r="A12745" s="2" t="inlineStr">
        <is>
          <t>2026-06-24</t>
        </is>
      </c>
      <c r="B12745" s="3" t="inlineStr">
        <is>
          <t>에이루트</t>
        </is>
      </c>
      <c r="C12745" s="2" t="inlineStr">
        <is>
          <t>코스닥</t>
        </is>
      </c>
      <c r="D12745" s="2" t="inlineStr">
        <is>
          <t>096690</t>
        </is>
      </c>
      <c r="E12745" s="3" t="inlineStr">
        <is>
          <t>주요사항보고서(전환사채매수선택권행사자지정)</t>
        </is>
      </c>
      <c r="F12745" s="3" t="inlineStr">
        <is>
          <t>에이루트</t>
        </is>
      </c>
      <c r="G12745" s="2" t="inlineStr">
        <is>
          <t>20260624000378</t>
        </is>
      </c>
      <c r="H12745" s="8">
        <f>HYPERLINK("https://dart.fss.or.kr/dsaf001/main.do?rcpNo=20260624000378", "공시열람")</f>
        <v/>
      </c>
    </row>
    <row r="12746">
      <c r="A12746" s="2" t="inlineStr">
        <is>
          <t>2026-06-24</t>
        </is>
      </c>
      <c r="B12746" s="3" t="inlineStr">
        <is>
          <t>삼성증권</t>
        </is>
      </c>
      <c r="C12746" s="2" t="inlineStr">
        <is>
          <t>코스피</t>
        </is>
      </c>
      <c r="D12746" s="2" t="inlineStr">
        <is>
          <t>016360</t>
        </is>
      </c>
      <c r="E12746" s="3" t="inlineStr">
        <is>
          <t>투자설명서(일괄신고)</t>
        </is>
      </c>
      <c r="F12746" s="3" t="inlineStr">
        <is>
          <t>삼성증권</t>
        </is>
      </c>
      <c r="G12746" s="2" t="inlineStr">
        <is>
          <t>20260624000377</t>
        </is>
      </c>
      <c r="H12746" s="8">
        <f>HYPERLINK("https://dart.fss.or.kr/dsaf001/main.do?rcpNo=20260624000377", "공시열람")</f>
        <v/>
      </c>
    </row>
    <row r="12747">
      <c r="A12747" s="2" t="inlineStr">
        <is>
          <t>2026-06-24</t>
        </is>
      </c>
      <c r="B12747" s="3" t="inlineStr">
        <is>
          <t>현대차증권</t>
        </is>
      </c>
      <c r="C12747" s="2" t="inlineStr">
        <is>
          <t>코스피</t>
        </is>
      </c>
      <c r="D12747" s="2" t="inlineStr">
        <is>
          <t>001500</t>
        </is>
      </c>
      <c r="E12747" s="3" t="inlineStr">
        <is>
          <t>투자설명서(일괄신고)</t>
        </is>
      </c>
      <c r="F12747" s="3" t="inlineStr">
        <is>
          <t>현대차증권</t>
        </is>
      </c>
      <c r="G12747" s="2" t="inlineStr">
        <is>
          <t>20260624000374</t>
        </is>
      </c>
      <c r="H12747" s="8">
        <f>HYPERLINK("https://dart.fss.or.kr/dsaf001/main.do?rcpNo=20260624000374", "공시열람")</f>
        <v/>
      </c>
    </row>
    <row r="12748">
      <c r="A12748" s="2" t="inlineStr">
        <is>
          <t>2026-06-24</t>
        </is>
      </c>
      <c r="B12748" s="3" t="inlineStr">
        <is>
          <t>노머스</t>
        </is>
      </c>
      <c r="C12748" s="2" t="inlineStr">
        <is>
          <t>코스닥</t>
        </is>
      </c>
      <c r="D12748" s="2" t="inlineStr">
        <is>
          <t>473980</t>
        </is>
      </c>
      <c r="E12748" s="3" t="inlineStr">
        <is>
          <t>자기주식취득결과보고서</t>
        </is>
      </c>
      <c r="F12748" s="3" t="inlineStr">
        <is>
          <t>노머스</t>
        </is>
      </c>
      <c r="G12748" s="2" t="inlineStr">
        <is>
          <t>20260624000372</t>
        </is>
      </c>
      <c r="H12748" s="8">
        <f>HYPERLINK("https://dart.fss.or.kr/dsaf001/main.do?rcpNo=20260624000372", "공시열람")</f>
        <v/>
      </c>
    </row>
    <row r="12749">
      <c r="A12749" s="2" t="inlineStr">
        <is>
          <t>2026-06-24</t>
        </is>
      </c>
      <c r="B12749" s="3" t="inlineStr">
        <is>
          <t>핑거</t>
        </is>
      </c>
      <c r="C12749" s="2" t="inlineStr">
        <is>
          <t>코스닥</t>
        </is>
      </c>
      <c r="D12749" s="2" t="inlineStr">
        <is>
          <t>163730</t>
        </is>
      </c>
      <c r="E12749" s="3" t="inlineStr">
        <is>
          <t>사외이사의선임ㆍ해임또는중도퇴임에관한신고</t>
        </is>
      </c>
      <c r="F12749" s="3" t="inlineStr">
        <is>
          <t>핑거</t>
        </is>
      </c>
      <c r="G12749" s="2" t="inlineStr">
        <is>
          <t>20260624000368</t>
        </is>
      </c>
      <c r="H12749" s="8">
        <f>HYPERLINK("https://dart.fss.or.kr/dsaf001/main.do?rcpNo=20260624000368", "공시열람")</f>
        <v/>
      </c>
    </row>
    <row r="12750">
      <c r="A12750" s="2" t="inlineStr">
        <is>
          <t>2026-06-24</t>
        </is>
      </c>
      <c r="B12750" s="3" t="inlineStr">
        <is>
          <t>삼성카드</t>
        </is>
      </c>
      <c r="C12750" s="2" t="inlineStr">
        <is>
          <t>코스피</t>
        </is>
      </c>
      <c r="D12750" s="2" t="inlineStr">
        <is>
          <t>029780</t>
        </is>
      </c>
      <c r="E12750" s="3" t="inlineStr">
        <is>
          <t>투자설명서(일괄신고)</t>
        </is>
      </c>
      <c r="F12750" s="3" t="inlineStr">
        <is>
          <t>삼성카드</t>
        </is>
      </c>
      <c r="G12750" s="2" t="inlineStr">
        <is>
          <t>20260624000366</t>
        </is>
      </c>
      <c r="H12750" s="8">
        <f>HYPERLINK("https://dart.fss.or.kr/dsaf001/main.do?rcpNo=20260624000366", "공시열람")</f>
        <v/>
      </c>
    </row>
    <row r="12751">
      <c r="A12751" s="2" t="inlineStr">
        <is>
          <t>2026-06-24</t>
        </is>
      </c>
      <c r="B12751" s="3" t="inlineStr">
        <is>
          <t>다이나믹솔루션</t>
        </is>
      </c>
      <c r="C12751" s="2" t="inlineStr">
        <is>
          <t>코스닥</t>
        </is>
      </c>
      <c r="D12751" s="2" t="inlineStr">
        <is>
          <t>290660</t>
        </is>
      </c>
      <c r="E12751" s="3" t="inlineStr">
        <is>
          <t>주권매매거래정지해제              (액면병합 주권 변경상장)</t>
        </is>
      </c>
      <c r="F12751" s="3" t="inlineStr">
        <is>
          <t>코스닥시장본부</t>
        </is>
      </c>
      <c r="G12751" s="2" t="inlineStr">
        <is>
          <t>20260624900696</t>
        </is>
      </c>
      <c r="H12751" s="8">
        <f>HYPERLINK("https://dart.fss.or.kr/dsaf001/main.do?rcpNo=20260624900696", "공시열람")</f>
        <v/>
      </c>
    </row>
    <row r="12752">
      <c r="A12752" s="2" t="inlineStr">
        <is>
          <t>2026-06-24</t>
        </is>
      </c>
      <c r="B12752" s="3" t="inlineStr">
        <is>
          <t>삼성증권</t>
        </is>
      </c>
      <c r="C12752" s="2" t="inlineStr">
        <is>
          <t>코스피</t>
        </is>
      </c>
      <c r="D12752" s="2" t="inlineStr">
        <is>
          <t>016360</t>
        </is>
      </c>
      <c r="E12752" s="3" t="inlineStr">
        <is>
          <t>일괄신고추가서류(파생결합사채-주가연계파생결합사채)</t>
        </is>
      </c>
      <c r="F12752" s="3" t="inlineStr">
        <is>
          <t>삼성증권</t>
        </is>
      </c>
      <c r="G12752" s="2" t="inlineStr">
        <is>
          <t>20260624000365</t>
        </is>
      </c>
      <c r="H12752" s="8">
        <f>HYPERLINK("https://dart.fss.or.kr/dsaf001/main.do?rcpNo=20260624000365", "공시열람")</f>
        <v/>
      </c>
    </row>
    <row r="12753">
      <c r="A12753" s="2" t="inlineStr">
        <is>
          <t>2026-06-24</t>
        </is>
      </c>
      <c r="B12753" s="3" t="inlineStr">
        <is>
          <t>한화투자증권</t>
        </is>
      </c>
      <c r="C12753" s="2" t="inlineStr">
        <is>
          <t>코스피</t>
        </is>
      </c>
      <c r="D12753" s="2" t="inlineStr">
        <is>
          <t>003530</t>
        </is>
      </c>
      <c r="E12753" s="3" t="inlineStr">
        <is>
          <t>투자설명서(일괄신고)</t>
        </is>
      </c>
      <c r="F12753" s="3" t="inlineStr">
        <is>
          <t>한화투자증권</t>
        </is>
      </c>
      <c r="G12753" s="2" t="inlineStr">
        <is>
          <t>20260624000364</t>
        </is>
      </c>
      <c r="H12753" s="8">
        <f>HYPERLINK("https://dart.fss.or.kr/dsaf001/main.do?rcpNo=20260624000364", "공시열람")</f>
        <v/>
      </c>
    </row>
    <row r="12754">
      <c r="A12754" s="2" t="inlineStr">
        <is>
          <t>2026-06-24</t>
        </is>
      </c>
      <c r="B12754" s="3" t="inlineStr">
        <is>
          <t>현대백화점</t>
        </is>
      </c>
      <c r="C12754" s="2" t="inlineStr">
        <is>
          <t>코스피</t>
        </is>
      </c>
      <c r="D12754" s="2" t="inlineStr">
        <is>
          <t>069960</t>
        </is>
      </c>
      <c r="E12754" s="3" t="inlineStr">
        <is>
          <t xml:space="preserve">기업설명회(IR)개최(안내공시)              </t>
        </is>
      </c>
      <c r="F12754" s="3" t="inlineStr">
        <is>
          <t>현대백화점</t>
        </is>
      </c>
      <c r="G12754" s="2" t="inlineStr">
        <is>
          <t>20260624800715</t>
        </is>
      </c>
      <c r="H12754" s="8">
        <f>HYPERLINK("https://dart.fss.or.kr/dsaf001/main.do?rcpNo=20260624800715", "공시열람")</f>
        <v/>
      </c>
    </row>
    <row r="12755">
      <c r="A12755" s="2" t="inlineStr">
        <is>
          <t>2026-06-24</t>
        </is>
      </c>
      <c r="B12755" s="3" t="inlineStr">
        <is>
          <t>현대차증권</t>
        </is>
      </c>
      <c r="C12755" s="2" t="inlineStr">
        <is>
          <t>코스피</t>
        </is>
      </c>
      <c r="D12755" s="2" t="inlineStr">
        <is>
          <t>001500</t>
        </is>
      </c>
      <c r="E12755" s="3" t="inlineStr">
        <is>
          <t>투자설명서(일괄신고)</t>
        </is>
      </c>
      <c r="F12755" s="3" t="inlineStr">
        <is>
          <t>현대차증권</t>
        </is>
      </c>
      <c r="G12755" s="2" t="inlineStr">
        <is>
          <t>20260624000359</t>
        </is>
      </c>
      <c r="H12755" s="8">
        <f>HYPERLINK("https://dart.fss.or.kr/dsaf001/main.do?rcpNo=20260624000359", "공시열람")</f>
        <v/>
      </c>
    </row>
    <row r="12756">
      <c r="A12756" s="2" t="inlineStr">
        <is>
          <t>2026-06-24</t>
        </is>
      </c>
      <c r="B12756" s="3" t="inlineStr">
        <is>
          <t>한화투자증권</t>
        </is>
      </c>
      <c r="C12756" s="2" t="inlineStr">
        <is>
          <t>코스피</t>
        </is>
      </c>
      <c r="D12756" s="2" t="inlineStr">
        <is>
          <t>003530</t>
        </is>
      </c>
      <c r="E12756" s="3" t="inlineStr">
        <is>
          <t>투자설명서(일괄신고)</t>
        </is>
      </c>
      <c r="F12756" s="3" t="inlineStr">
        <is>
          <t>한화투자증권</t>
        </is>
      </c>
      <c r="G12756" s="2" t="inlineStr">
        <is>
          <t>20260624000358</t>
        </is>
      </c>
      <c r="H12756" s="8">
        <f>HYPERLINK("https://dart.fss.or.kr/dsaf001/main.do?rcpNo=20260624000358", "공시열람")</f>
        <v/>
      </c>
    </row>
    <row r="12757">
      <c r="A12757" s="2" t="inlineStr">
        <is>
          <t>2026-06-24</t>
        </is>
      </c>
      <c r="B12757" s="3" t="inlineStr">
        <is>
          <t>한화투자증권</t>
        </is>
      </c>
      <c r="C12757" s="2" t="inlineStr">
        <is>
          <t>코스피</t>
        </is>
      </c>
      <c r="D12757" s="2" t="inlineStr">
        <is>
          <t>003530</t>
        </is>
      </c>
      <c r="E12757" s="3" t="inlineStr">
        <is>
          <t>투자설명서(일괄신고)</t>
        </is>
      </c>
      <c r="F12757" s="3" t="inlineStr">
        <is>
          <t>한화투자증권</t>
        </is>
      </c>
      <c r="G12757" s="2" t="inlineStr">
        <is>
          <t>20260624000356</t>
        </is>
      </c>
      <c r="H12757" s="8">
        <f>HYPERLINK("https://dart.fss.or.kr/dsaf001/main.do?rcpNo=20260624000356", "공시열람")</f>
        <v/>
      </c>
    </row>
    <row r="12758">
      <c r="A12758" s="2" t="inlineStr">
        <is>
          <t>2026-06-24</t>
        </is>
      </c>
      <c r="B12758" s="3" t="inlineStr">
        <is>
          <t>현대차증권</t>
        </is>
      </c>
      <c r="C12758" s="2" t="inlineStr">
        <is>
          <t>코스피</t>
        </is>
      </c>
      <c r="D12758" s="2" t="inlineStr">
        <is>
          <t>001500</t>
        </is>
      </c>
      <c r="E12758" s="3" t="inlineStr">
        <is>
          <t>일괄신고추가서류(파생결합사채-주가연계파생결합사채)</t>
        </is>
      </c>
      <c r="F12758" s="3" t="inlineStr">
        <is>
          <t>현대차증권</t>
        </is>
      </c>
      <c r="G12758" s="2" t="inlineStr">
        <is>
          <t>20260624000355</t>
        </is>
      </c>
      <c r="H12758" s="8">
        <f>HYPERLINK("https://dart.fss.or.kr/dsaf001/main.do?rcpNo=20260624000355", "공시열람")</f>
        <v/>
      </c>
    </row>
    <row r="12759">
      <c r="A12759" s="2" t="inlineStr">
        <is>
          <t>2026-06-24</t>
        </is>
      </c>
      <c r="B12759" s="3" t="inlineStr">
        <is>
          <t>대신증권</t>
        </is>
      </c>
      <c r="C12759" s="2" t="inlineStr">
        <is>
          <t>코스피</t>
        </is>
      </c>
      <c r="D12759" s="2" t="inlineStr">
        <is>
          <t>003540</t>
        </is>
      </c>
      <c r="E12759" s="3" t="inlineStr">
        <is>
          <t>투자설명서(일괄신고)</t>
        </is>
      </c>
      <c r="F12759" s="3" t="inlineStr">
        <is>
          <t>대신증권</t>
        </is>
      </c>
      <c r="G12759" s="2" t="inlineStr">
        <is>
          <t>20260624000354</t>
        </is>
      </c>
      <c r="H12759" s="8">
        <f>HYPERLINK("https://dart.fss.or.kr/dsaf001/main.do?rcpNo=20260624000354", "공시열람")</f>
        <v/>
      </c>
    </row>
    <row r="12760">
      <c r="A12760" s="2" t="inlineStr">
        <is>
          <t>2026-06-24</t>
        </is>
      </c>
      <c r="B12760" s="3" t="inlineStr">
        <is>
          <t>삼성카드</t>
        </is>
      </c>
      <c r="C12760" s="2" t="inlineStr">
        <is>
          <t>코스피</t>
        </is>
      </c>
      <c r="D12760" s="2" t="inlineStr">
        <is>
          <t>029780</t>
        </is>
      </c>
      <c r="E12760" s="3" t="inlineStr">
        <is>
          <t>일괄신고추가서류</t>
        </is>
      </c>
      <c r="F12760" s="3" t="inlineStr">
        <is>
          <t>삼성카드</t>
        </is>
      </c>
      <c r="G12760" s="2" t="inlineStr">
        <is>
          <t>20260624000351</t>
        </is>
      </c>
      <c r="H12760" s="8">
        <f>HYPERLINK("https://dart.fss.or.kr/dsaf001/main.do?rcpNo=20260624000351", "공시열람")</f>
        <v/>
      </c>
    </row>
    <row r="12761">
      <c r="A12761" s="2" t="inlineStr">
        <is>
          <t>2026-06-24</t>
        </is>
      </c>
      <c r="B12761" s="3" t="inlineStr">
        <is>
          <t>에쓰씨엔지니어링</t>
        </is>
      </c>
      <c r="C12761" s="2" t="inlineStr">
        <is>
          <t>코스피</t>
        </is>
      </c>
      <c r="D12761" s="2" t="inlineStr">
        <is>
          <t>023960</t>
        </is>
      </c>
      <c r="E12761" s="3" t="inlineStr">
        <is>
          <t xml:space="preserve">전환가액ㆍ신주인수권행사가액ㆍ교환가액의조정(안내공시)              </t>
        </is>
      </c>
      <c r="F12761" s="3" t="inlineStr">
        <is>
          <t>에쓰씨엔지니어링</t>
        </is>
      </c>
      <c r="G12761" s="2" t="inlineStr">
        <is>
          <t>20260624800695</t>
        </is>
      </c>
      <c r="H12761" s="8">
        <f>HYPERLINK("https://dart.fss.or.kr/dsaf001/main.do?rcpNo=20260624800695", "공시열람")</f>
        <v/>
      </c>
    </row>
    <row r="12762">
      <c r="A12762" s="2" t="inlineStr">
        <is>
          <t>2026-06-24</t>
        </is>
      </c>
      <c r="B12762" s="3" t="inlineStr">
        <is>
          <t>부스타</t>
        </is>
      </c>
      <c r="C12762" s="2" t="inlineStr">
        <is>
          <t>코스닥</t>
        </is>
      </c>
      <c r="D12762" s="2" t="inlineStr">
        <is>
          <t>008470</t>
        </is>
      </c>
      <c r="E12762" s="3" t="inlineStr">
        <is>
          <t>자기주식처분결과보고서</t>
        </is>
      </c>
      <c r="F12762" s="3" t="inlineStr">
        <is>
          <t>부스타</t>
        </is>
      </c>
      <c r="G12762" s="2" t="inlineStr">
        <is>
          <t>20260624000349</t>
        </is>
      </c>
      <c r="H12762" s="8">
        <f>HYPERLINK("https://dart.fss.or.kr/dsaf001/main.do?rcpNo=20260624000349", "공시열람")</f>
        <v/>
      </c>
    </row>
    <row r="12763">
      <c r="A12763" s="2" t="inlineStr">
        <is>
          <t>2026-06-24</t>
        </is>
      </c>
      <c r="B12763" s="3" t="inlineStr">
        <is>
          <t>NH투자증권</t>
        </is>
      </c>
      <c r="C12763" s="2" t="inlineStr">
        <is>
          <t>코스피</t>
        </is>
      </c>
      <c r="D12763" s="2" t="inlineStr">
        <is>
          <t>005940</t>
        </is>
      </c>
      <c r="E12763" s="3" t="inlineStr">
        <is>
          <t xml:space="preserve">정보보호현황(자율공시)              </t>
        </is>
      </c>
      <c r="F12763" s="3" t="inlineStr">
        <is>
          <t>NH투자증권</t>
        </is>
      </c>
      <c r="G12763" s="2" t="inlineStr">
        <is>
          <t>20260624800688</t>
        </is>
      </c>
      <c r="H12763" s="8">
        <f>HYPERLINK("https://dart.fss.or.kr/dsaf001/main.do?rcpNo=20260624800688", "공시열람")</f>
        <v/>
      </c>
    </row>
    <row r="12764">
      <c r="A12764" s="2" t="inlineStr">
        <is>
          <t>2026-06-24</t>
        </is>
      </c>
      <c r="B12764" s="3" t="inlineStr">
        <is>
          <t>에쓰씨엔지니어링</t>
        </is>
      </c>
      <c r="C12764" s="2" t="inlineStr">
        <is>
          <t>코스피</t>
        </is>
      </c>
      <c r="D12764" s="2" t="inlineStr">
        <is>
          <t>023960</t>
        </is>
      </c>
      <c r="E12764" s="3" t="inlineStr">
        <is>
          <t xml:space="preserve">전환가액ㆍ신주인수권행사가액ㆍ교환가액의조정(안내공시)              </t>
        </is>
      </c>
      <c r="F12764" s="3" t="inlineStr">
        <is>
          <t>에쓰씨엔지니어링</t>
        </is>
      </c>
      <c r="G12764" s="2" t="inlineStr">
        <is>
          <t>20260624800687</t>
        </is>
      </c>
      <c r="H12764" s="8">
        <f>HYPERLINK("https://dart.fss.or.kr/dsaf001/main.do?rcpNo=20260624800687", "공시열람")</f>
        <v/>
      </c>
    </row>
    <row r="12765">
      <c r="A12765" s="2" t="inlineStr">
        <is>
          <t>2026-06-24</t>
        </is>
      </c>
      <c r="B12765" s="3" t="inlineStr">
        <is>
          <t>KS인더스트리</t>
        </is>
      </c>
      <c r="C12765" s="2" t="inlineStr">
        <is>
          <t>코스닥</t>
        </is>
      </c>
      <c r="D12765" s="2" t="inlineStr">
        <is>
          <t>101000</t>
        </is>
      </c>
      <c r="E12765" s="3" t="inlineStr">
        <is>
          <t>주권매매거래정지              (자본감소)</t>
        </is>
      </c>
      <c r="F12765" s="3" t="inlineStr">
        <is>
          <t>코스닥시장본부</t>
        </is>
      </c>
      <c r="G12765" s="2" t="inlineStr">
        <is>
          <t>20260624900666</t>
        </is>
      </c>
      <c r="H12765" s="8">
        <f>HYPERLINK("https://dart.fss.or.kr/dsaf001/main.do?rcpNo=20260624900666", "공시열람")</f>
        <v/>
      </c>
    </row>
    <row r="12766">
      <c r="A12766" s="2" t="inlineStr">
        <is>
          <t>2026-06-24</t>
        </is>
      </c>
      <c r="B12766" s="3" t="inlineStr">
        <is>
          <t>NC</t>
        </is>
      </c>
      <c r="C12766" s="2" t="inlineStr">
        <is>
          <t>코스피</t>
        </is>
      </c>
      <c r="D12766" s="2" t="inlineStr">
        <is>
          <t>036570</t>
        </is>
      </c>
      <c r="E12766" s="3" t="inlineStr">
        <is>
          <t xml:space="preserve">지속가능경영보고서등관련사항(자율공시)              </t>
        </is>
      </c>
      <c r="F12766" s="3" t="inlineStr">
        <is>
          <t>NC</t>
        </is>
      </c>
      <c r="G12766" s="2" t="inlineStr">
        <is>
          <t>20260624800679</t>
        </is>
      </c>
      <c r="H12766" s="8">
        <f>HYPERLINK("https://dart.fss.or.kr/dsaf001/main.do?rcpNo=20260624800679", "공시열람")</f>
        <v/>
      </c>
    </row>
    <row r="12767">
      <c r="A12767" s="2" t="inlineStr">
        <is>
          <t>2026-06-24</t>
        </is>
      </c>
      <c r="B12767" s="3" t="inlineStr">
        <is>
          <t>KS인더스트리</t>
        </is>
      </c>
      <c r="C12767" s="2" t="inlineStr">
        <is>
          <t>코스닥</t>
        </is>
      </c>
      <c r="D12767" s="2" t="inlineStr">
        <is>
          <t>101000</t>
        </is>
      </c>
      <c r="E12767" s="3" t="inlineStr">
        <is>
          <t>주요사항보고서(감자결정)</t>
        </is>
      </c>
      <c r="F12767" s="3" t="inlineStr">
        <is>
          <t>KS인더스트리</t>
        </is>
      </c>
      <c r="G12767" s="2" t="inlineStr">
        <is>
          <t>20260624000328</t>
        </is>
      </c>
      <c r="H12767" s="8">
        <f>HYPERLINK("https://dart.fss.or.kr/dsaf001/main.do?rcpNo=20260624000328", "공시열람")</f>
        <v/>
      </c>
    </row>
    <row r="12768">
      <c r="A12768" s="2" t="inlineStr">
        <is>
          <t>2026-06-24</t>
        </is>
      </c>
      <c r="B12768" s="3" t="inlineStr">
        <is>
          <t>부스타</t>
        </is>
      </c>
      <c r="C12768" s="2" t="inlineStr">
        <is>
          <t>코스닥</t>
        </is>
      </c>
      <c r="D12768" s="2" t="inlineStr">
        <is>
          <t>008470</t>
        </is>
      </c>
      <c r="E12768" s="3" t="inlineStr">
        <is>
          <t>임원ㆍ주요주주특정증권등소유상황보고서</t>
        </is>
      </c>
      <c r="F12768" s="3" t="inlineStr">
        <is>
          <t>김성훈</t>
        </is>
      </c>
      <c r="G12768" s="2" t="inlineStr">
        <is>
          <t>20260624000345</t>
        </is>
      </c>
      <c r="H12768" s="8">
        <f>HYPERLINK("https://dart.fss.or.kr/dsaf001/main.do?rcpNo=20260624000345", "공시열람")</f>
        <v/>
      </c>
    </row>
    <row r="12769">
      <c r="A12769" s="2" t="inlineStr">
        <is>
          <t>2026-06-24</t>
        </is>
      </c>
      <c r="B12769" s="3" t="inlineStr">
        <is>
          <t>부스타</t>
        </is>
      </c>
      <c r="C12769" s="2" t="inlineStr">
        <is>
          <t>코스닥</t>
        </is>
      </c>
      <c r="D12769" s="2" t="inlineStr">
        <is>
          <t>008470</t>
        </is>
      </c>
      <c r="E12769" s="3" t="inlineStr">
        <is>
          <t>임원ㆍ주요주주특정증권등소유상황보고서</t>
        </is>
      </c>
      <c r="F12769" s="3" t="inlineStr">
        <is>
          <t>박성식</t>
        </is>
      </c>
      <c r="G12769" s="2" t="inlineStr">
        <is>
          <t>20260624000343</t>
        </is>
      </c>
      <c r="H12769" s="8">
        <f>HYPERLINK("https://dart.fss.or.kr/dsaf001/main.do?rcpNo=20260624000343", "공시열람")</f>
        <v/>
      </c>
    </row>
    <row r="12770">
      <c r="A12770" s="2" t="inlineStr">
        <is>
          <t>2026-06-24</t>
        </is>
      </c>
      <c r="B12770" s="3" t="inlineStr">
        <is>
          <t>우리금융지주</t>
        </is>
      </c>
      <c r="C12770" s="2" t="inlineStr">
        <is>
          <t>코스피</t>
        </is>
      </c>
      <c r="D12770" s="2" t="inlineStr">
        <is>
          <t>316140</t>
        </is>
      </c>
      <c r="E12770" s="3" t="inlineStr">
        <is>
          <t>투자설명서(일괄신고)</t>
        </is>
      </c>
      <c r="F12770" s="3" t="inlineStr">
        <is>
          <t>우리금융지주</t>
        </is>
      </c>
      <c r="G12770" s="2" t="inlineStr">
        <is>
          <t>20260624000342</t>
        </is>
      </c>
      <c r="H12770" s="8">
        <f>HYPERLINK("https://dart.fss.or.kr/dsaf001/main.do?rcpNo=20260624000342", "공시열람")</f>
        <v/>
      </c>
    </row>
    <row r="12771">
      <c r="A12771" s="2" t="inlineStr">
        <is>
          <t>2026-06-24</t>
        </is>
      </c>
      <c r="B12771" s="3" t="inlineStr">
        <is>
          <t>부스타</t>
        </is>
      </c>
      <c r="C12771" s="2" t="inlineStr">
        <is>
          <t>코스닥</t>
        </is>
      </c>
      <c r="D12771" s="2" t="inlineStr">
        <is>
          <t>008470</t>
        </is>
      </c>
      <c r="E12771" s="3" t="inlineStr">
        <is>
          <t>임원ㆍ주요주주특정증권등소유상황보고서</t>
        </is>
      </c>
      <c r="F12771" s="3" t="inlineStr">
        <is>
          <t>김진영</t>
        </is>
      </c>
      <c r="G12771" s="2" t="inlineStr">
        <is>
          <t>20260624000340</t>
        </is>
      </c>
      <c r="H12771" s="8">
        <f>HYPERLINK("https://dart.fss.or.kr/dsaf001/main.do?rcpNo=20260624000340", "공시열람")</f>
        <v/>
      </c>
    </row>
    <row r="12772">
      <c r="A12772" s="2" t="inlineStr">
        <is>
          <t>2026-06-24</t>
        </is>
      </c>
      <c r="B12772" s="3" t="inlineStr">
        <is>
          <t>현대백화점</t>
        </is>
      </c>
      <c r="C12772" s="2" t="inlineStr">
        <is>
          <t>코스피</t>
        </is>
      </c>
      <c r="D12772" s="2" t="inlineStr">
        <is>
          <t>069960</t>
        </is>
      </c>
      <c r="E12772" s="3" t="inlineStr">
        <is>
          <t>임원ㆍ주요주주특정증권등소유상황보고서</t>
        </is>
      </c>
      <c r="F12772" s="3" t="inlineStr">
        <is>
          <t>현대지에프홀딩스</t>
        </is>
      </c>
      <c r="G12772" s="2" t="inlineStr">
        <is>
          <t>20260624000338</t>
        </is>
      </c>
      <c r="H12772" s="8">
        <f>HYPERLINK("https://dart.fss.or.kr/dsaf001/main.do?rcpNo=20260624000338", "공시열람")</f>
        <v/>
      </c>
    </row>
    <row r="12773">
      <c r="A12773" s="2" t="inlineStr">
        <is>
          <t>2026-06-24</t>
        </is>
      </c>
      <c r="B12773" s="3" t="inlineStr">
        <is>
          <t>삼일씨엔에스</t>
        </is>
      </c>
      <c r="C12773" s="2" t="inlineStr">
        <is>
          <t>코스피</t>
        </is>
      </c>
      <c r="D12773" s="2" t="inlineStr">
        <is>
          <t>004440</t>
        </is>
      </c>
      <c r="E12773" s="3" t="inlineStr">
        <is>
          <t xml:space="preserve">주주명부폐쇄기간또는기준일설정              </t>
        </is>
      </c>
      <c r="F12773" s="3" t="inlineStr">
        <is>
          <t>삼일씨엔에스</t>
        </is>
      </c>
      <c r="G12773" s="2" t="inlineStr">
        <is>
          <t>20260624800641</t>
        </is>
      </c>
      <c r="H12773" s="8">
        <f>HYPERLINK("https://dart.fss.or.kr/dsaf001/main.do?rcpNo=20260624800641", "공시열람")</f>
        <v/>
      </c>
    </row>
    <row r="12774">
      <c r="A12774" s="2" t="inlineStr">
        <is>
          <t>2026-06-24</t>
        </is>
      </c>
      <c r="B12774" s="3" t="inlineStr">
        <is>
          <t>우리금융지주</t>
        </is>
      </c>
      <c r="C12774" s="2" t="inlineStr">
        <is>
          <t>코스피</t>
        </is>
      </c>
      <c r="D12774" s="2" t="inlineStr">
        <is>
          <t>316140</t>
        </is>
      </c>
      <c r="E12774" s="3" t="inlineStr">
        <is>
          <t>일괄신고추가서류</t>
        </is>
      </c>
      <c r="F12774" s="3" t="inlineStr">
        <is>
          <t>우리금융지주</t>
        </is>
      </c>
      <c r="G12774" s="2" t="inlineStr">
        <is>
          <t>20260624000335</t>
        </is>
      </c>
      <c r="H12774" s="8">
        <f>HYPERLINK("https://dart.fss.or.kr/dsaf001/main.do?rcpNo=20260624000335", "공시열람")</f>
        <v/>
      </c>
    </row>
    <row r="12775">
      <c r="A12775" s="2" t="inlineStr">
        <is>
          <t>2026-06-24</t>
        </is>
      </c>
      <c r="B12775" s="3" t="inlineStr">
        <is>
          <t>부스타</t>
        </is>
      </c>
      <c r="C12775" s="2" t="inlineStr">
        <is>
          <t>코스닥</t>
        </is>
      </c>
      <c r="D12775" s="2" t="inlineStr">
        <is>
          <t>008470</t>
        </is>
      </c>
      <c r="E12775" s="3" t="inlineStr">
        <is>
          <t>임원ㆍ주요주주특정증권등소유상황보고서</t>
        </is>
      </c>
      <c r="F12775" s="3" t="inlineStr">
        <is>
          <t>유덕기</t>
        </is>
      </c>
      <c r="G12775" s="2" t="inlineStr">
        <is>
          <t>20260624000334</t>
        </is>
      </c>
      <c r="H12775" s="8">
        <f>HYPERLINK("https://dart.fss.or.kr/dsaf001/main.do?rcpNo=20260624000334", "공시열람")</f>
        <v/>
      </c>
    </row>
    <row r="12776">
      <c r="A12776" s="2" t="inlineStr">
        <is>
          <t>2026-06-24</t>
        </is>
      </c>
      <c r="B12776" s="3" t="inlineStr">
        <is>
          <t>키움증권</t>
        </is>
      </c>
      <c r="C12776" s="2" t="inlineStr">
        <is>
          <t>코스피</t>
        </is>
      </c>
      <c r="D12776" s="2" t="inlineStr">
        <is>
          <t>039490</t>
        </is>
      </c>
      <c r="E12776" s="3" t="inlineStr">
        <is>
          <t>투자설명서(일괄신고)</t>
        </is>
      </c>
      <c r="F12776" s="3" t="inlineStr">
        <is>
          <t>키움증권</t>
        </is>
      </c>
      <c r="G12776" s="2" t="inlineStr">
        <is>
          <t>20260624000333</t>
        </is>
      </c>
      <c r="H12776" s="8">
        <f>HYPERLINK("https://dart.fss.or.kr/dsaf001/main.do?rcpNo=20260624000333", "공시열람")</f>
        <v/>
      </c>
    </row>
    <row r="12777">
      <c r="A12777" s="2" t="inlineStr">
        <is>
          <t>2026-06-24</t>
        </is>
      </c>
      <c r="B12777" s="3" t="inlineStr">
        <is>
          <t>POSCO홀딩스</t>
        </is>
      </c>
      <c r="C12777" s="2" t="inlineStr">
        <is>
          <t>코스피</t>
        </is>
      </c>
      <c r="D12777" s="2" t="inlineStr">
        <is>
          <t>005490</t>
        </is>
      </c>
      <c r="E12777" s="3" t="inlineStr">
        <is>
          <t>불성실공시법인미지정              (지정유예)</t>
        </is>
      </c>
      <c r="F12777" s="3" t="inlineStr">
        <is>
          <t>유가증권시장본부</t>
        </is>
      </c>
      <c r="G12777" s="2" t="inlineStr">
        <is>
          <t>20260624800634</t>
        </is>
      </c>
      <c r="H12777" s="8">
        <f>HYPERLINK("https://dart.fss.or.kr/dsaf001/main.do?rcpNo=20260624800634", "공시열람")</f>
        <v/>
      </c>
    </row>
    <row r="12778">
      <c r="A12778" s="2" t="inlineStr">
        <is>
          <t>2026-06-24</t>
        </is>
      </c>
      <c r="B12778" s="3" t="inlineStr">
        <is>
          <t>삼영전자공업</t>
        </is>
      </c>
      <c r="C12778" s="2" t="inlineStr">
        <is>
          <t>코스피</t>
        </is>
      </c>
      <c r="D12778" s="2" t="inlineStr">
        <is>
          <t>005680</t>
        </is>
      </c>
      <c r="E12778" s="3" t="inlineStr">
        <is>
          <t xml:space="preserve">불성실공시법인지정              </t>
        </is>
      </c>
      <c r="F12778" s="3" t="inlineStr">
        <is>
          <t>유가증권시장본부</t>
        </is>
      </c>
      <c r="G12778" s="2" t="inlineStr">
        <is>
          <t>20260624800637</t>
        </is>
      </c>
      <c r="H12778" s="8">
        <f>HYPERLINK("https://dart.fss.or.kr/dsaf001/main.do?rcpNo=20260624800637", "공시열람")</f>
        <v/>
      </c>
    </row>
    <row r="12779">
      <c r="A12779" s="2" t="inlineStr">
        <is>
          <t>2026-06-24</t>
        </is>
      </c>
      <c r="B12779" s="3" t="inlineStr">
        <is>
          <t>삼성증권</t>
        </is>
      </c>
      <c r="C12779" s="2" t="inlineStr">
        <is>
          <t>코스피</t>
        </is>
      </c>
      <c r="D12779" s="2" t="inlineStr">
        <is>
          <t>016360</t>
        </is>
      </c>
      <c r="E12779" s="3" t="inlineStr">
        <is>
          <t>투자설명서(일괄신고)</t>
        </is>
      </c>
      <c r="F12779" s="3" t="inlineStr">
        <is>
          <t>삼성증권</t>
        </is>
      </c>
      <c r="G12779" s="2" t="inlineStr">
        <is>
          <t>20260624000331</t>
        </is>
      </c>
      <c r="H12779" s="8">
        <f>HYPERLINK("https://dart.fss.or.kr/dsaf001/main.do?rcpNo=20260624000331", "공시열람")</f>
        <v/>
      </c>
    </row>
    <row r="12780">
      <c r="A12780" s="2" t="inlineStr">
        <is>
          <t>2026-06-24</t>
        </is>
      </c>
      <c r="B12780" s="3" t="inlineStr">
        <is>
          <t>대신증권</t>
        </is>
      </c>
      <c r="C12780" s="2" t="inlineStr">
        <is>
          <t>코스피</t>
        </is>
      </c>
      <c r="D12780" s="2" t="inlineStr">
        <is>
          <t>003540</t>
        </is>
      </c>
      <c r="E12780" s="3" t="inlineStr">
        <is>
          <t>일괄신고추가서류(파생결합사채-주가연계파생결합사채)</t>
        </is>
      </c>
      <c r="F12780" s="3" t="inlineStr">
        <is>
          <t>대신증권</t>
        </is>
      </c>
      <c r="G12780" s="2" t="inlineStr">
        <is>
          <t>20260624000327</t>
        </is>
      </c>
      <c r="H12780" s="8">
        <f>HYPERLINK("https://dart.fss.or.kr/dsaf001/main.do?rcpNo=20260624000327", "공시열람")</f>
        <v/>
      </c>
    </row>
    <row r="12781">
      <c r="A12781" s="2" t="inlineStr">
        <is>
          <t>2026-06-24</t>
        </is>
      </c>
      <c r="B12781" s="3" t="inlineStr">
        <is>
          <t>부스타</t>
        </is>
      </c>
      <c r="C12781" s="2" t="inlineStr">
        <is>
          <t>코스닥</t>
        </is>
      </c>
      <c r="D12781" s="2" t="inlineStr">
        <is>
          <t>008470</t>
        </is>
      </c>
      <c r="E12781" s="3" t="inlineStr">
        <is>
          <t>임원ㆍ주요주주특정증권등소유상황보고서</t>
        </is>
      </c>
      <c r="F12781" s="3" t="inlineStr">
        <is>
          <t>이진백</t>
        </is>
      </c>
      <c r="G12781" s="2" t="inlineStr">
        <is>
          <t>20260624000324</t>
        </is>
      </c>
      <c r="H12781" s="8">
        <f>HYPERLINK("https://dart.fss.or.kr/dsaf001/main.do?rcpNo=20260624000324", "공시열람")</f>
        <v/>
      </c>
    </row>
    <row r="12782">
      <c r="A12782" s="2" t="inlineStr">
        <is>
          <t>2026-06-24</t>
        </is>
      </c>
      <c r="B12782" s="3" t="inlineStr">
        <is>
          <t>클로봇</t>
        </is>
      </c>
      <c r="C12782" s="2" t="inlineStr">
        <is>
          <t>코스닥</t>
        </is>
      </c>
      <c r="D12782" s="2" t="inlineStr">
        <is>
          <t>466100</t>
        </is>
      </c>
      <c r="E12782" s="3" t="inlineStr">
        <is>
          <t xml:space="preserve">기업설명회(IR)개최              </t>
        </is>
      </c>
      <c r="F12782" s="3" t="inlineStr">
        <is>
          <t>클로봇</t>
        </is>
      </c>
      <c r="G12782" s="2" t="inlineStr">
        <is>
          <t>20260624900612</t>
        </is>
      </c>
      <c r="H12782" s="8">
        <f>HYPERLINK("https://dart.fss.or.kr/dsaf001/main.do?rcpNo=20260624900612", "공시열람")</f>
        <v/>
      </c>
    </row>
    <row r="12783">
      <c r="A12783" s="2" t="inlineStr">
        <is>
          <t>2026-06-24</t>
        </is>
      </c>
      <c r="B12783" s="3" t="inlineStr">
        <is>
          <t>KSS해운</t>
        </is>
      </c>
      <c r="C12783" s="2" t="inlineStr">
        <is>
          <t>코스피</t>
        </is>
      </c>
      <c r="D12783" s="2" t="inlineStr">
        <is>
          <t>044450</t>
        </is>
      </c>
      <c r="E12783" s="3" t="inlineStr">
        <is>
          <t>임원ㆍ주요주주특정증권등소유상황보고서</t>
        </is>
      </c>
      <c r="F12783" s="3" t="inlineStr">
        <is>
          <t>케이에스에스해운우리사주조합</t>
        </is>
      </c>
      <c r="G12783" s="2" t="inlineStr">
        <is>
          <t>20260624000322</t>
        </is>
      </c>
      <c r="H12783" s="8">
        <f>HYPERLINK("https://dart.fss.or.kr/dsaf001/main.do?rcpNo=20260624000322", "공시열람")</f>
        <v/>
      </c>
    </row>
    <row r="12784">
      <c r="A12784" s="2" t="inlineStr">
        <is>
          <t>2026-06-24</t>
        </is>
      </c>
      <c r="B12784" s="3" t="inlineStr">
        <is>
          <t>부스타</t>
        </is>
      </c>
      <c r="C12784" s="2" t="inlineStr">
        <is>
          <t>코스닥</t>
        </is>
      </c>
      <c r="D12784" s="2" t="inlineStr">
        <is>
          <t>008470</t>
        </is>
      </c>
      <c r="E12784" s="3" t="inlineStr">
        <is>
          <t>임원ㆍ주요주주특정증권등소유상황보고서</t>
        </is>
      </c>
      <c r="F12784" s="3" t="inlineStr">
        <is>
          <t>박철호</t>
        </is>
      </c>
      <c r="G12784" s="2" t="inlineStr">
        <is>
          <t>20260624000320</t>
        </is>
      </c>
      <c r="H12784" s="8">
        <f>HYPERLINK("https://dart.fss.or.kr/dsaf001/main.do?rcpNo=20260624000320", "공시열람")</f>
        <v/>
      </c>
    </row>
    <row r="12785">
      <c r="A12785" s="2" t="inlineStr">
        <is>
          <t>2026-06-24</t>
        </is>
      </c>
      <c r="B12785" s="3" t="inlineStr">
        <is>
          <t>한화투자증권</t>
        </is>
      </c>
      <c r="C12785" s="2" t="inlineStr">
        <is>
          <t>코스피</t>
        </is>
      </c>
      <c r="D12785" s="2" t="inlineStr">
        <is>
          <t>003530</t>
        </is>
      </c>
      <c r="E12785" s="3" t="inlineStr">
        <is>
          <t>투자설명서(일괄신고)</t>
        </is>
      </c>
      <c r="F12785" s="3" t="inlineStr">
        <is>
          <t>한화투자증권</t>
        </is>
      </c>
      <c r="G12785" s="2" t="inlineStr">
        <is>
          <t>20260624000319</t>
        </is>
      </c>
      <c r="H12785" s="8">
        <f>HYPERLINK("https://dart.fss.or.kr/dsaf001/main.do?rcpNo=20260624000319", "공시열람")</f>
        <v/>
      </c>
    </row>
    <row r="12786">
      <c r="A12786" s="2" t="inlineStr">
        <is>
          <t>2026-06-24</t>
        </is>
      </c>
      <c r="B12786" s="3" t="inlineStr">
        <is>
          <t>한화투자증권</t>
        </is>
      </c>
      <c r="C12786" s="2" t="inlineStr">
        <is>
          <t>코스피</t>
        </is>
      </c>
      <c r="D12786" s="2" t="inlineStr">
        <is>
          <t>003530</t>
        </is>
      </c>
      <c r="E12786" s="3" t="inlineStr">
        <is>
          <t>투자설명서(일괄신고)</t>
        </is>
      </c>
      <c r="F12786" s="3" t="inlineStr">
        <is>
          <t>한화투자증권</t>
        </is>
      </c>
      <c r="G12786" s="2" t="inlineStr">
        <is>
          <t>20260624000317</t>
        </is>
      </c>
      <c r="H12786" s="8">
        <f>HYPERLINK("https://dart.fss.or.kr/dsaf001/main.do?rcpNo=20260624000317", "공시열람")</f>
        <v/>
      </c>
    </row>
    <row r="12787">
      <c r="A12787" s="2" t="inlineStr">
        <is>
          <t>2026-06-24</t>
        </is>
      </c>
      <c r="B12787" s="3" t="inlineStr">
        <is>
          <t>대원강업</t>
        </is>
      </c>
      <c r="C12787" s="2" t="inlineStr">
        <is>
          <t>코스피</t>
        </is>
      </c>
      <c r="D12787" s="2" t="inlineStr">
        <is>
          <t>000430</t>
        </is>
      </c>
      <c r="E12787" s="3" t="inlineStr">
        <is>
          <t>임원ㆍ주요주주특정증권등소유상황보고서</t>
        </is>
      </c>
      <c r="F12787" s="3" t="inlineStr">
        <is>
          <t>현대지에프홀딩스</t>
        </is>
      </c>
      <c r="G12787" s="2" t="inlineStr">
        <is>
          <t>20260624000316</t>
        </is>
      </c>
      <c r="H12787" s="8">
        <f>HYPERLINK("https://dart.fss.or.kr/dsaf001/main.do?rcpNo=20260624000316", "공시열람")</f>
        <v/>
      </c>
    </row>
    <row r="12788">
      <c r="A12788" s="2" t="inlineStr">
        <is>
          <t>2026-06-24</t>
        </is>
      </c>
      <c r="B12788" s="3" t="inlineStr">
        <is>
          <t>삼성증권</t>
        </is>
      </c>
      <c r="C12788" s="2" t="inlineStr">
        <is>
          <t>코스피</t>
        </is>
      </c>
      <c r="D12788" s="2" t="inlineStr">
        <is>
          <t>016360</t>
        </is>
      </c>
      <c r="E12788" s="3" t="inlineStr">
        <is>
          <t>일괄신고추가서류(파생결합사채-주가연계파생결합사채)</t>
        </is>
      </c>
      <c r="F12788" s="3" t="inlineStr">
        <is>
          <t>삼성증권</t>
        </is>
      </c>
      <c r="G12788" s="2" t="inlineStr">
        <is>
          <t>20260624000314</t>
        </is>
      </c>
      <c r="H12788" s="8">
        <f>HYPERLINK("https://dart.fss.or.kr/dsaf001/main.do?rcpNo=20260624000314", "공시열람")</f>
        <v/>
      </c>
    </row>
    <row r="12789">
      <c r="A12789" s="2" t="inlineStr">
        <is>
          <t>2026-06-24</t>
        </is>
      </c>
      <c r="B12789" s="3" t="inlineStr">
        <is>
          <t>핑거</t>
        </is>
      </c>
      <c r="C12789" s="2" t="inlineStr">
        <is>
          <t>코스닥</t>
        </is>
      </c>
      <c r="D12789" s="2" t="inlineStr">
        <is>
          <t>163730</t>
        </is>
      </c>
      <c r="E12789" s="3" t="inlineStr">
        <is>
          <t>주식매수선택권부여에관한신고</t>
        </is>
      </c>
      <c r="F12789" s="3" t="inlineStr">
        <is>
          <t>핑거</t>
        </is>
      </c>
      <c r="G12789" s="2" t="inlineStr">
        <is>
          <t>20260624000313</t>
        </is>
      </c>
      <c r="H12789" s="8">
        <f>HYPERLINK("https://dart.fss.or.kr/dsaf001/main.do?rcpNo=20260624000313", "공시열람")</f>
        <v/>
      </c>
    </row>
    <row r="12790">
      <c r="A12790" s="2" t="inlineStr">
        <is>
          <t>2026-06-24</t>
        </is>
      </c>
      <c r="B12790" s="3" t="inlineStr">
        <is>
          <t>CJ대한통운</t>
        </is>
      </c>
      <c r="C12790" s="2" t="inlineStr">
        <is>
          <t>코스피</t>
        </is>
      </c>
      <c r="D12790" s="2" t="inlineStr">
        <is>
          <t>000120</t>
        </is>
      </c>
      <c r="E12790" s="3" t="inlineStr">
        <is>
          <t>임원ㆍ주요주주특정증권등소유상황보고서</t>
        </is>
      </c>
      <c r="F12790" s="3" t="inlineStr">
        <is>
          <t>유현철</t>
        </is>
      </c>
      <c r="G12790" s="2" t="inlineStr">
        <is>
          <t>20260624000312</t>
        </is>
      </c>
      <c r="H12790" s="8">
        <f>HYPERLINK("https://dart.fss.or.kr/dsaf001/main.do?rcpNo=20260624000312", "공시열람")</f>
        <v/>
      </c>
    </row>
    <row r="12791">
      <c r="A12791" s="2" t="inlineStr">
        <is>
          <t>2026-06-24</t>
        </is>
      </c>
      <c r="B12791" s="3" t="inlineStr">
        <is>
          <t>SDN</t>
        </is>
      </c>
      <c r="C12791" s="2" t="inlineStr">
        <is>
          <t>코스닥</t>
        </is>
      </c>
      <c r="D12791" s="2" t="inlineStr">
        <is>
          <t>099220</t>
        </is>
      </c>
      <c r="E12791" s="3" t="inlineStr">
        <is>
          <t xml:space="preserve">주주명부폐쇄기간또는기준일설정              </t>
        </is>
      </c>
      <c r="F12791" s="3" t="inlineStr">
        <is>
          <t>SDN</t>
        </is>
      </c>
      <c r="G12791" s="2" t="inlineStr">
        <is>
          <t>20260624900633</t>
        </is>
      </c>
      <c r="H12791" s="8">
        <f>HYPERLINK("https://dart.fss.or.kr/dsaf001/main.do?rcpNo=20260624900633", "공시열람")</f>
        <v/>
      </c>
    </row>
    <row r="12792">
      <c r="A12792" s="2" t="inlineStr">
        <is>
          <t>2026-06-24</t>
        </is>
      </c>
      <c r="B12792" s="3" t="inlineStr">
        <is>
          <t>DB증권</t>
        </is>
      </c>
      <c r="C12792" s="2" t="inlineStr">
        <is>
          <t>코스피</t>
        </is>
      </c>
      <c r="D12792" s="2" t="inlineStr">
        <is>
          <t>016610</t>
        </is>
      </c>
      <c r="E12792" s="3" t="inlineStr">
        <is>
          <t>투자설명서(일괄신고)</t>
        </is>
      </c>
      <c r="F12792" s="3" t="inlineStr">
        <is>
          <t>DB증권</t>
        </is>
      </c>
      <c r="G12792" s="2" t="inlineStr">
        <is>
          <t>20260624000308</t>
        </is>
      </c>
      <c r="H12792" s="8">
        <f>HYPERLINK("https://dart.fss.or.kr/dsaf001/main.do?rcpNo=20260624000308", "공시열람")</f>
        <v/>
      </c>
    </row>
    <row r="12793">
      <c r="A12793" s="2" t="inlineStr">
        <is>
          <t>2026-06-24</t>
        </is>
      </c>
      <c r="B12793" s="3" t="inlineStr">
        <is>
          <t>다올투자증권</t>
        </is>
      </c>
      <c r="C12793" s="2" t="inlineStr">
        <is>
          <t>코스피</t>
        </is>
      </c>
      <c r="D12793" s="2" t="inlineStr">
        <is>
          <t>030210</t>
        </is>
      </c>
      <c r="E12793" s="3" t="inlineStr">
        <is>
          <t xml:space="preserve">지속가능경영보고서등관련사항(자율공시)              </t>
        </is>
      </c>
      <c r="F12793" s="3" t="inlineStr">
        <is>
          <t>다올투자증권</t>
        </is>
      </c>
      <c r="G12793" s="2" t="inlineStr">
        <is>
          <t>20260624800625</t>
        </is>
      </c>
      <c r="H12793" s="8">
        <f>HYPERLINK("https://dart.fss.or.kr/dsaf001/main.do?rcpNo=20260624800625", "공시열람")</f>
        <v/>
      </c>
    </row>
    <row r="12794">
      <c r="A12794" s="2" t="inlineStr">
        <is>
          <t>2026-06-24</t>
        </is>
      </c>
      <c r="B12794" s="3" t="inlineStr">
        <is>
          <t>HB솔루션</t>
        </is>
      </c>
      <c r="C12794" s="2" t="inlineStr">
        <is>
          <t>코스닥</t>
        </is>
      </c>
      <c r="D12794" s="2" t="inlineStr">
        <is>
          <t>297890</t>
        </is>
      </c>
      <c r="E12794" s="3" t="inlineStr">
        <is>
          <t>임원ㆍ주요주주특정증권등소유상황보고서</t>
        </is>
      </c>
      <c r="F12794" s="3" t="inlineStr">
        <is>
          <t>이재원</t>
        </is>
      </c>
      <c r="G12794" s="2" t="inlineStr">
        <is>
          <t>20260624000304</t>
        </is>
      </c>
      <c r="H12794" s="8">
        <f>HYPERLINK("https://dart.fss.or.kr/dsaf001/main.do?rcpNo=20260624000304", "공시열람")</f>
        <v/>
      </c>
    </row>
    <row r="12795">
      <c r="A12795" s="2" t="inlineStr">
        <is>
          <t>2026-06-24</t>
        </is>
      </c>
      <c r="B12795" s="3" t="inlineStr">
        <is>
          <t>코오롱생명과학</t>
        </is>
      </c>
      <c r="C12795" s="2" t="inlineStr">
        <is>
          <t>코스닥</t>
        </is>
      </c>
      <c r="D12795" s="2" t="inlineStr">
        <is>
          <t>102940</t>
        </is>
      </c>
      <c r="E12795" s="3" t="inlineStr">
        <is>
          <t>[기재정정]특수관계인으로부터받은담보</t>
        </is>
      </c>
      <c r="F12795" s="3" t="inlineStr">
        <is>
          <t>코오롱생명과학</t>
        </is>
      </c>
      <c r="G12795" s="2" t="inlineStr">
        <is>
          <t>20260624000303</t>
        </is>
      </c>
      <c r="H12795" s="8">
        <f>HYPERLINK("https://dart.fss.or.kr/dsaf001/main.do?rcpNo=20260624000303", "공시열람")</f>
        <v/>
      </c>
    </row>
    <row r="12796">
      <c r="A12796" s="2" t="inlineStr">
        <is>
          <t>2026-06-24</t>
        </is>
      </c>
      <c r="B12796" s="3" t="inlineStr">
        <is>
          <t>한화투자증권</t>
        </is>
      </c>
      <c r="C12796" s="2" t="inlineStr">
        <is>
          <t>코스피</t>
        </is>
      </c>
      <c r="D12796" s="2" t="inlineStr">
        <is>
          <t>003530</t>
        </is>
      </c>
      <c r="E12796" s="3" t="inlineStr">
        <is>
          <t>임원ㆍ주요주주특정증권등소유상황보고서</t>
        </is>
      </c>
      <c r="F12796" s="3" t="inlineStr">
        <is>
          <t>김승현</t>
        </is>
      </c>
      <c r="G12796" s="2" t="inlineStr">
        <is>
          <t>20260624000301</t>
        </is>
      </c>
      <c r="H12796" s="8">
        <f>HYPERLINK("https://dart.fss.or.kr/dsaf001/main.do?rcpNo=20260624000301", "공시열람")</f>
        <v/>
      </c>
    </row>
    <row r="12797">
      <c r="A12797" s="2" t="inlineStr">
        <is>
          <t>2026-06-24</t>
        </is>
      </c>
      <c r="B12797" s="3" t="inlineStr">
        <is>
          <t>SDN</t>
        </is>
      </c>
      <c r="C12797" s="2" t="inlineStr">
        <is>
          <t>코스닥</t>
        </is>
      </c>
      <c r="D12797" s="2" t="inlineStr">
        <is>
          <t>099220</t>
        </is>
      </c>
      <c r="E12797" s="3" t="inlineStr">
        <is>
          <t xml:space="preserve">주식병합결정              </t>
        </is>
      </c>
      <c r="F12797" s="3" t="inlineStr">
        <is>
          <t>SDN</t>
        </is>
      </c>
      <c r="G12797" s="2" t="inlineStr">
        <is>
          <t>20260624900605</t>
        </is>
      </c>
      <c r="H12797" s="8">
        <f>HYPERLINK("https://dart.fss.or.kr/dsaf001/main.do?rcpNo=20260624900605", "공시열람")</f>
        <v/>
      </c>
    </row>
    <row r="12798">
      <c r="A12798" s="2" t="inlineStr">
        <is>
          <t>2026-06-24</t>
        </is>
      </c>
      <c r="B12798" s="3" t="inlineStr">
        <is>
          <t>한화투자증권</t>
        </is>
      </c>
      <c r="C12798" s="2" t="inlineStr">
        <is>
          <t>코스피</t>
        </is>
      </c>
      <c r="D12798" s="2" t="inlineStr">
        <is>
          <t>003530</t>
        </is>
      </c>
      <c r="E12798" s="3" t="inlineStr">
        <is>
          <t>일괄신고추가서류(파생결합사채-주가연계파생결합사채)</t>
        </is>
      </c>
      <c r="F12798" s="3" t="inlineStr">
        <is>
          <t>한화투자증권</t>
        </is>
      </c>
      <c r="G12798" s="2" t="inlineStr">
        <is>
          <t>20260624000288</t>
        </is>
      </c>
      <c r="H12798" s="8">
        <f>HYPERLINK("https://dart.fss.or.kr/dsaf001/main.do?rcpNo=20260624000288", "공시열람")</f>
        <v/>
      </c>
    </row>
    <row r="12799">
      <c r="A12799" s="2" t="inlineStr">
        <is>
          <t>2026-06-24</t>
        </is>
      </c>
      <c r="B12799" s="3" t="inlineStr">
        <is>
          <t>CJ대한통운</t>
        </is>
      </c>
      <c r="C12799" s="2" t="inlineStr">
        <is>
          <t>코스피</t>
        </is>
      </c>
      <c r="D12799" s="2" t="inlineStr">
        <is>
          <t>000120</t>
        </is>
      </c>
      <c r="E12799" s="3" t="inlineStr">
        <is>
          <t>임원ㆍ주요주주특정증권등소유상황보고서</t>
        </is>
      </c>
      <c r="F12799" s="3" t="inlineStr">
        <is>
          <t>최갑주</t>
        </is>
      </c>
      <c r="G12799" s="2" t="inlineStr">
        <is>
          <t>20260624000287</t>
        </is>
      </c>
      <c r="H12799" s="8">
        <f>HYPERLINK("https://dart.fss.or.kr/dsaf001/main.do?rcpNo=20260624000287", "공시열람")</f>
        <v/>
      </c>
    </row>
    <row r="12800">
      <c r="A12800" s="2" t="inlineStr">
        <is>
          <t>2026-06-24</t>
        </is>
      </c>
      <c r="B12800" s="3" t="inlineStr">
        <is>
          <t>DH오토웨어</t>
        </is>
      </c>
      <c r="C12800" s="2" t="inlineStr">
        <is>
          <t>코스닥</t>
        </is>
      </c>
      <c r="D12800" s="2" t="inlineStr">
        <is>
          <t>025440</t>
        </is>
      </c>
      <c r="E12800" s="3" t="inlineStr">
        <is>
          <t>임원ㆍ주요주주특정증권등소유상황보고서</t>
        </is>
      </c>
      <c r="F12800" s="3" t="inlineStr">
        <is>
          <t>이정권</t>
        </is>
      </c>
      <c r="G12800" s="2" t="inlineStr">
        <is>
          <t>20260624000281</t>
        </is>
      </c>
      <c r="H12800" s="8">
        <f>HYPERLINK("https://dart.fss.or.kr/dsaf001/main.do?rcpNo=20260624000281", "공시열람")</f>
        <v/>
      </c>
    </row>
    <row r="12801">
      <c r="A12801" s="2" t="inlineStr">
        <is>
          <t>2026-06-24</t>
        </is>
      </c>
      <c r="B12801" s="3" t="inlineStr">
        <is>
          <t>디젠스</t>
        </is>
      </c>
      <c r="C12801" s="2" t="inlineStr">
        <is>
          <t>코스닥</t>
        </is>
      </c>
      <c r="D12801" s="2" t="inlineStr">
        <is>
          <t>113810</t>
        </is>
      </c>
      <c r="E12801" s="3" t="inlineStr">
        <is>
          <t>임원ㆍ주요주주특정증권등소유상황보고서</t>
        </is>
      </c>
      <c r="F12801" s="3" t="inlineStr">
        <is>
          <t>이석우</t>
        </is>
      </c>
      <c r="G12801" s="2" t="inlineStr">
        <is>
          <t>20260624000279</t>
        </is>
      </c>
      <c r="H12801" s="8">
        <f>HYPERLINK("https://dart.fss.or.kr/dsaf001/main.do?rcpNo=20260624000279", "공시열람")</f>
        <v/>
      </c>
    </row>
    <row r="12802">
      <c r="A12802" s="2" t="inlineStr">
        <is>
          <t>2026-06-24</t>
        </is>
      </c>
      <c r="B12802" s="3" t="inlineStr">
        <is>
          <t>티에스아이</t>
        </is>
      </c>
      <c r="C12802" s="2" t="inlineStr">
        <is>
          <t>코스닥</t>
        </is>
      </c>
      <c r="D12802" s="2" t="inlineStr">
        <is>
          <t>277880</t>
        </is>
      </c>
      <c r="E12802" s="3" t="inlineStr">
        <is>
          <t>임원ㆍ주요주주특정증권등소유상황보고서</t>
        </is>
      </c>
      <c r="F12802" s="3" t="inlineStr">
        <is>
          <t>이창원</t>
        </is>
      </c>
      <c r="G12802" s="2" t="inlineStr">
        <is>
          <t>20260624000275</t>
        </is>
      </c>
      <c r="H12802" s="8">
        <f>HYPERLINK("https://dart.fss.or.kr/dsaf001/main.do?rcpNo=20260624000275", "공시열람")</f>
        <v/>
      </c>
    </row>
    <row r="12803">
      <c r="A12803" s="2" t="inlineStr">
        <is>
          <t>2026-06-24</t>
        </is>
      </c>
      <c r="B12803" s="3" t="inlineStr">
        <is>
          <t>미래에셋글로벌리츠</t>
        </is>
      </c>
      <c r="C12803" s="2" t="inlineStr">
        <is>
          <t>코스피</t>
        </is>
      </c>
      <c r="D12803" s="2" t="inlineStr">
        <is>
          <t>396690</t>
        </is>
      </c>
      <c r="E12803" s="3" t="inlineStr">
        <is>
          <t xml:space="preserve">부동산투자회사자금차입              </t>
        </is>
      </c>
      <c r="F12803" s="3" t="inlineStr">
        <is>
          <t>미래에셋글로벌리츠</t>
        </is>
      </c>
      <c r="G12803" s="2" t="inlineStr">
        <is>
          <t>20260624800554</t>
        </is>
      </c>
      <c r="H12803" s="8">
        <f>HYPERLINK("https://dart.fss.or.kr/dsaf001/main.do?rcpNo=20260624800554", "공시열람")</f>
        <v/>
      </c>
    </row>
    <row r="12804">
      <c r="A12804" s="2" t="inlineStr">
        <is>
          <t>2026-06-24</t>
        </is>
      </c>
      <c r="B12804" s="3" t="inlineStr">
        <is>
          <t>NH투자증권</t>
        </is>
      </c>
      <c r="C12804" s="2" t="inlineStr">
        <is>
          <t>코스피</t>
        </is>
      </c>
      <c r="D12804" s="2" t="inlineStr">
        <is>
          <t>005940</t>
        </is>
      </c>
      <c r="E12804" s="3" t="inlineStr">
        <is>
          <t>증권발행실적보고서</t>
        </is>
      </c>
      <c r="F12804" s="3" t="inlineStr">
        <is>
          <t>NH투자증권</t>
        </is>
      </c>
      <c r="G12804" s="2" t="inlineStr">
        <is>
          <t>20260624000273</t>
        </is>
      </c>
      <c r="H12804" s="8">
        <f>HYPERLINK("https://dart.fss.or.kr/dsaf001/main.do?rcpNo=20260624000273", "공시열람")</f>
        <v/>
      </c>
    </row>
    <row r="12805">
      <c r="A12805" s="2" t="inlineStr">
        <is>
          <t>2026-06-24</t>
        </is>
      </c>
      <c r="B12805" s="3" t="inlineStr">
        <is>
          <t>DB증권</t>
        </is>
      </c>
      <c r="C12805" s="2" t="inlineStr">
        <is>
          <t>코스피</t>
        </is>
      </c>
      <c r="D12805" s="2" t="inlineStr">
        <is>
          <t>016610</t>
        </is>
      </c>
      <c r="E12805" s="3" t="inlineStr">
        <is>
          <t>일괄신고추가서류(기타파생결합사채)</t>
        </is>
      </c>
      <c r="F12805" s="3" t="inlineStr">
        <is>
          <t>DB증권</t>
        </is>
      </c>
      <c r="G12805" s="2" t="inlineStr">
        <is>
          <t>20260624000272</t>
        </is>
      </c>
      <c r="H12805" s="8">
        <f>HYPERLINK("https://dart.fss.or.kr/dsaf001/main.do?rcpNo=20260624000272", "공시열람")</f>
        <v/>
      </c>
    </row>
    <row r="12806">
      <c r="A12806" s="2" t="inlineStr">
        <is>
          <t>2026-06-24</t>
        </is>
      </c>
      <c r="B12806" s="3" t="inlineStr">
        <is>
          <t>현대차증권</t>
        </is>
      </c>
      <c r="C12806" s="2" t="inlineStr">
        <is>
          <t>코스피</t>
        </is>
      </c>
      <c r="D12806" s="2" t="inlineStr">
        <is>
          <t>001500</t>
        </is>
      </c>
      <c r="E12806" s="3" t="inlineStr">
        <is>
          <t>일괄신고추가서류(파생결합사채-주가연계파생결합사채)</t>
        </is>
      </c>
      <c r="F12806" s="3" t="inlineStr">
        <is>
          <t>현대차증권</t>
        </is>
      </c>
      <c r="G12806" s="2" t="inlineStr">
        <is>
          <t>20260624000271</t>
        </is>
      </c>
      <c r="H12806" s="8">
        <f>HYPERLINK("https://dart.fss.or.kr/dsaf001/main.do?rcpNo=20260624000271", "공시열람")</f>
        <v/>
      </c>
    </row>
    <row r="12807">
      <c r="A12807" s="2" t="inlineStr">
        <is>
          <t>2026-06-24</t>
        </is>
      </c>
      <c r="B12807" s="3" t="inlineStr">
        <is>
          <t>KG모빌리티</t>
        </is>
      </c>
      <c r="C12807" s="2" t="inlineStr">
        <is>
          <t>코스피</t>
        </is>
      </c>
      <c r="D12807" s="2" t="inlineStr">
        <is>
          <t>003620</t>
        </is>
      </c>
      <c r="E12807" s="3" t="inlineStr">
        <is>
          <t xml:space="preserve">풍문또는보도에대한해명(미확정)              </t>
        </is>
      </c>
      <c r="F12807" s="3" t="inlineStr">
        <is>
          <t>KG모빌리티</t>
        </is>
      </c>
      <c r="G12807" s="2" t="inlineStr">
        <is>
          <t>20260624800567</t>
        </is>
      </c>
      <c r="H12807" s="8">
        <f>HYPERLINK("https://dart.fss.or.kr/dsaf001/main.do?rcpNo=20260624800567", "공시열람")</f>
        <v/>
      </c>
    </row>
    <row r="12808">
      <c r="A12808" s="2" t="inlineStr">
        <is>
          <t>2026-06-24</t>
        </is>
      </c>
      <c r="B12808" s="3" t="inlineStr">
        <is>
          <t>코셋</t>
        </is>
      </c>
      <c r="C12808" s="2" t="inlineStr">
        <is>
          <t>코넥스</t>
        </is>
      </c>
      <c r="D12808" s="2" t="inlineStr">
        <is>
          <t>189350</t>
        </is>
      </c>
      <c r="E12808" s="3" t="inlineStr">
        <is>
          <t xml:space="preserve">기업설명회(IR)개최결과              </t>
        </is>
      </c>
      <c r="F12808" s="3" t="inlineStr">
        <is>
          <t>코셋</t>
        </is>
      </c>
      <c r="G12808" s="2" t="inlineStr">
        <is>
          <t>20260624600557</t>
        </is>
      </c>
      <c r="H12808" s="8">
        <f>HYPERLINK("https://dart.fss.or.kr/dsaf001/main.do?rcpNo=20260624600557", "공시열람")</f>
        <v/>
      </c>
    </row>
    <row r="12809">
      <c r="A12809" s="2" t="inlineStr">
        <is>
          <t>2026-06-24</t>
        </is>
      </c>
      <c r="B12809" s="3" t="inlineStr">
        <is>
          <t>유진증권</t>
        </is>
      </c>
      <c r="C12809" s="2" t="inlineStr">
        <is>
          <t>코스피</t>
        </is>
      </c>
      <c r="D12809" s="2" t="inlineStr">
        <is>
          <t>001200</t>
        </is>
      </c>
      <c r="E12809" s="3" t="inlineStr">
        <is>
          <t>투자설명서(일괄신고)</t>
        </is>
      </c>
      <c r="F12809" s="3" t="inlineStr">
        <is>
          <t>유진증권</t>
        </is>
      </c>
      <c r="G12809" s="2" t="inlineStr">
        <is>
          <t>20260624000258</t>
        </is>
      </c>
      <c r="H12809" s="8">
        <f>HYPERLINK("https://dart.fss.or.kr/dsaf001/main.do?rcpNo=20260624000258", "공시열람")</f>
        <v/>
      </c>
    </row>
    <row r="12810">
      <c r="A12810" s="2" t="inlineStr">
        <is>
          <t>2026-06-24</t>
        </is>
      </c>
      <c r="B12810" s="3" t="inlineStr">
        <is>
          <t>삼성증권</t>
        </is>
      </c>
      <c r="C12810" s="2" t="inlineStr">
        <is>
          <t>코스피</t>
        </is>
      </c>
      <c r="D12810" s="2" t="inlineStr">
        <is>
          <t>016360</t>
        </is>
      </c>
      <c r="E12810" s="3" t="inlineStr">
        <is>
          <t>투자설명서(일괄신고)</t>
        </is>
      </c>
      <c r="F12810" s="3" t="inlineStr">
        <is>
          <t>삼성증권</t>
        </is>
      </c>
      <c r="G12810" s="2" t="inlineStr">
        <is>
          <t>20260624000257</t>
        </is>
      </c>
      <c r="H12810" s="8">
        <f>HYPERLINK("https://dart.fss.or.kr/dsaf001/main.do?rcpNo=20260624000257", "공시열람")</f>
        <v/>
      </c>
    </row>
    <row r="12811">
      <c r="A12811" s="2" t="inlineStr">
        <is>
          <t>2026-06-24</t>
        </is>
      </c>
      <c r="B12811" s="3" t="inlineStr">
        <is>
          <t>삼성증권</t>
        </is>
      </c>
      <c r="C12811" s="2" t="inlineStr">
        <is>
          <t>코스피</t>
        </is>
      </c>
      <c r="D12811" s="2" t="inlineStr">
        <is>
          <t>016360</t>
        </is>
      </c>
      <c r="E12811" s="3" t="inlineStr">
        <is>
          <t>투자설명서(일괄신고)</t>
        </is>
      </c>
      <c r="F12811" s="3" t="inlineStr">
        <is>
          <t>삼성증권</t>
        </is>
      </c>
      <c r="G12811" s="2" t="inlineStr">
        <is>
          <t>20260624000256</t>
        </is>
      </c>
      <c r="H12811" s="8">
        <f>HYPERLINK("https://dart.fss.or.kr/dsaf001/main.do?rcpNo=20260624000256", "공시열람")</f>
        <v/>
      </c>
    </row>
    <row r="12812">
      <c r="A12812" s="2" t="inlineStr">
        <is>
          <t>2026-06-24</t>
        </is>
      </c>
      <c r="B12812" s="3" t="inlineStr">
        <is>
          <t>SDN</t>
        </is>
      </c>
      <c r="C12812" s="2" t="inlineStr">
        <is>
          <t>코스닥</t>
        </is>
      </c>
      <c r="D12812" s="2" t="inlineStr">
        <is>
          <t>099220</t>
        </is>
      </c>
      <c r="E12812" s="3" t="inlineStr">
        <is>
          <t>임원ㆍ주요주주특정증권등소유상황보고서</t>
        </is>
      </c>
      <c r="F12812" s="3" t="inlineStr">
        <is>
          <t>최기혁</t>
        </is>
      </c>
      <c r="G12812" s="2" t="inlineStr">
        <is>
          <t>20260624000254</t>
        </is>
      </c>
      <c r="H12812" s="8">
        <f>HYPERLINK("https://dart.fss.or.kr/dsaf001/main.do?rcpNo=20260624000254", "공시열람")</f>
        <v/>
      </c>
    </row>
    <row r="12813">
      <c r="A12813" s="2" t="inlineStr">
        <is>
          <t>2026-06-24</t>
        </is>
      </c>
      <c r="B12813" s="3" t="inlineStr">
        <is>
          <t>삼성증권</t>
        </is>
      </c>
      <c r="C12813" s="2" t="inlineStr">
        <is>
          <t>코스피</t>
        </is>
      </c>
      <c r="D12813" s="2" t="inlineStr">
        <is>
          <t>016360</t>
        </is>
      </c>
      <c r="E12813" s="3" t="inlineStr">
        <is>
          <t>일괄신고추가서류(파생결합사채-주가연계파생결합사채)</t>
        </is>
      </c>
      <c r="F12813" s="3" t="inlineStr">
        <is>
          <t>삼성증권</t>
        </is>
      </c>
      <c r="G12813" s="2" t="inlineStr">
        <is>
          <t>20260624000251</t>
        </is>
      </c>
      <c r="H12813" s="8">
        <f>HYPERLINK("https://dart.fss.or.kr/dsaf001/main.do?rcpNo=20260624000251", "공시열람")</f>
        <v/>
      </c>
    </row>
    <row r="12814">
      <c r="A12814" s="2" t="inlineStr">
        <is>
          <t>2026-06-24</t>
        </is>
      </c>
      <c r="B12814" s="3" t="inlineStr">
        <is>
          <t>삼성증권</t>
        </is>
      </c>
      <c r="C12814" s="2" t="inlineStr">
        <is>
          <t>코스피</t>
        </is>
      </c>
      <c r="D12814" s="2" t="inlineStr">
        <is>
          <t>016360</t>
        </is>
      </c>
      <c r="E12814" s="3" t="inlineStr">
        <is>
          <t>일괄신고추가서류(파생결합증권-주가연계증권)</t>
        </is>
      </c>
      <c r="F12814" s="3" t="inlineStr">
        <is>
          <t>삼성증권</t>
        </is>
      </c>
      <c r="G12814" s="2" t="inlineStr">
        <is>
          <t>20260624000250</t>
        </is>
      </c>
      <c r="H12814" s="8">
        <f>HYPERLINK("https://dart.fss.or.kr/dsaf001/main.do?rcpNo=20260624000250", "공시열람")</f>
        <v/>
      </c>
    </row>
    <row r="12815">
      <c r="A12815" s="2" t="inlineStr">
        <is>
          <t>2026-06-24</t>
        </is>
      </c>
      <c r="B12815" s="3" t="inlineStr">
        <is>
          <t>성광벤드</t>
        </is>
      </c>
      <c r="C12815" s="2" t="inlineStr">
        <is>
          <t>코스닥</t>
        </is>
      </c>
      <c r="D12815" s="2" t="inlineStr">
        <is>
          <t>014620</t>
        </is>
      </c>
      <c r="E12815" s="3" t="inlineStr">
        <is>
          <t>임원ㆍ주요주주특정증권등소유상황보고서</t>
        </is>
      </c>
      <c r="F12815" s="3" t="inlineStr">
        <is>
          <t>김경조</t>
        </is>
      </c>
      <c r="G12815" s="2" t="inlineStr">
        <is>
          <t>20260624000246</t>
        </is>
      </c>
      <c r="H12815" s="8">
        <f>HYPERLINK("https://dart.fss.or.kr/dsaf001/main.do?rcpNo=20260624000246", "공시열람")</f>
        <v/>
      </c>
    </row>
    <row r="12816">
      <c r="A12816" s="2" t="inlineStr">
        <is>
          <t>2026-06-24</t>
        </is>
      </c>
      <c r="B12816" s="3" t="inlineStr">
        <is>
          <t>DB증권</t>
        </is>
      </c>
      <c r="C12816" s="2" t="inlineStr">
        <is>
          <t>코스피</t>
        </is>
      </c>
      <c r="D12816" s="2" t="inlineStr">
        <is>
          <t>016610</t>
        </is>
      </c>
      <c r="E12816" s="3" t="inlineStr">
        <is>
          <t>투자설명서(일괄신고)</t>
        </is>
      </c>
      <c r="F12816" s="3" t="inlineStr">
        <is>
          <t>DB증권</t>
        </is>
      </c>
      <c r="G12816" s="2" t="inlineStr">
        <is>
          <t>20260624000242</t>
        </is>
      </c>
      <c r="H12816" s="8">
        <f>HYPERLINK("https://dart.fss.or.kr/dsaf001/main.do?rcpNo=20260624000242", "공시열람")</f>
        <v/>
      </c>
    </row>
    <row r="12817">
      <c r="A12817" s="2" t="inlineStr">
        <is>
          <t>2026-06-24</t>
        </is>
      </c>
      <c r="B12817" s="3" t="inlineStr">
        <is>
          <t>유진증권</t>
        </is>
      </c>
      <c r="C12817" s="2" t="inlineStr">
        <is>
          <t>코스피</t>
        </is>
      </c>
      <c r="D12817" s="2" t="inlineStr">
        <is>
          <t>001200</t>
        </is>
      </c>
      <c r="E12817" s="3" t="inlineStr">
        <is>
          <t>일괄신고추가서류(파생결합증권-주가연계증권)</t>
        </is>
      </c>
      <c r="F12817" s="3" t="inlineStr">
        <is>
          <t>유진증권</t>
        </is>
      </c>
      <c r="G12817" s="2" t="inlineStr">
        <is>
          <t>20260624000238</t>
        </is>
      </c>
      <c r="H12817" s="8">
        <f>HYPERLINK("https://dart.fss.or.kr/dsaf001/main.do?rcpNo=20260624000238", "공시열람")</f>
        <v/>
      </c>
    </row>
    <row r="12818">
      <c r="A12818" s="2" t="inlineStr">
        <is>
          <t>2026-06-24</t>
        </is>
      </c>
      <c r="B12818" s="3" t="inlineStr">
        <is>
          <t>NH투자증권</t>
        </is>
      </c>
      <c r="C12818" s="2" t="inlineStr">
        <is>
          <t>코스피</t>
        </is>
      </c>
      <c r="D12818" s="2" t="inlineStr">
        <is>
          <t>005940</t>
        </is>
      </c>
      <c r="E12818" s="3" t="inlineStr">
        <is>
          <t>투자설명서(일괄신고)</t>
        </is>
      </c>
      <c r="F12818" s="3" t="inlineStr">
        <is>
          <t>NH투자증권</t>
        </is>
      </c>
      <c r="G12818" s="2" t="inlineStr">
        <is>
          <t>20260624000236</t>
        </is>
      </c>
      <c r="H12818" s="8">
        <f>HYPERLINK("https://dart.fss.or.kr/dsaf001/main.do?rcpNo=20260624000236", "공시열람")</f>
        <v/>
      </c>
    </row>
    <row r="12819">
      <c r="A12819" s="2" t="inlineStr">
        <is>
          <t>2026-06-24</t>
        </is>
      </c>
      <c r="B12819" s="3" t="inlineStr">
        <is>
          <t>삼성증권</t>
        </is>
      </c>
      <c r="C12819" s="2" t="inlineStr">
        <is>
          <t>코스피</t>
        </is>
      </c>
      <c r="D12819" s="2" t="inlineStr">
        <is>
          <t>016360</t>
        </is>
      </c>
      <c r="E12819" s="3" t="inlineStr">
        <is>
          <t>투자설명서(일괄신고)</t>
        </is>
      </c>
      <c r="F12819" s="3" t="inlineStr">
        <is>
          <t>삼성증권</t>
        </is>
      </c>
      <c r="G12819" s="2" t="inlineStr">
        <is>
          <t>20260624000235</t>
        </is>
      </c>
      <c r="H12819" s="8">
        <f>HYPERLINK("https://dart.fss.or.kr/dsaf001/main.do?rcpNo=20260624000235", "공시열람")</f>
        <v/>
      </c>
    </row>
    <row r="12820">
      <c r="A12820" s="2" t="inlineStr">
        <is>
          <t>2026-06-24 (정정: 2026-06-24)</t>
        </is>
      </c>
      <c r="B12820" s="3" t="inlineStr">
        <is>
          <t>교보증권</t>
        </is>
      </c>
      <c r="C12820" s="2" t="inlineStr">
        <is>
          <t>코스피</t>
        </is>
      </c>
      <c r="D12820" s="2" t="inlineStr">
        <is>
          <t>030610</t>
        </is>
      </c>
      <c r="E12820" s="3" t="inlineStr">
        <is>
          <t>투자설명서(일괄신고) (정정: 20260624)</t>
        </is>
      </c>
      <c r="F12820" s="3" t="inlineStr">
        <is>
          <t>교보증권</t>
        </is>
      </c>
      <c r="G12820" s="2" t="inlineStr">
        <is>
          <t>20260624000157</t>
        </is>
      </c>
      <c r="H12820" s="8">
        <f>HYPERLINK("https://dart.fss.or.kr/dsaf001/main.do?rcpNo=20260624000157", "공시열람")</f>
        <v/>
      </c>
    </row>
    <row r="12821">
      <c r="A12821" s="2" t="inlineStr">
        <is>
          <t>2026-06-24</t>
        </is>
      </c>
      <c r="B12821" s="3" t="inlineStr">
        <is>
          <t>삼성증권</t>
        </is>
      </c>
      <c r="C12821" s="2" t="inlineStr">
        <is>
          <t>코스피</t>
        </is>
      </c>
      <c r="D12821" s="2" t="inlineStr">
        <is>
          <t>016360</t>
        </is>
      </c>
      <c r="E12821" s="3" t="inlineStr">
        <is>
          <t>일괄신고추가서류(파생결합사채-주가연계파생결합사채)</t>
        </is>
      </c>
      <c r="F12821" s="3" t="inlineStr">
        <is>
          <t>삼성증권</t>
        </is>
      </c>
      <c r="G12821" s="2" t="inlineStr">
        <is>
          <t>20260624000228</t>
        </is>
      </c>
      <c r="H12821" s="8">
        <f>HYPERLINK("https://dart.fss.or.kr/dsaf001/main.do?rcpNo=20260624000228", "공시열람")</f>
        <v/>
      </c>
    </row>
    <row r="12822">
      <c r="A12822" s="2" t="inlineStr">
        <is>
          <t>2026-06-24</t>
        </is>
      </c>
      <c r="B12822" s="3" t="inlineStr">
        <is>
          <t>NH투자증권</t>
        </is>
      </c>
      <c r="C12822" s="2" t="inlineStr">
        <is>
          <t>코스피</t>
        </is>
      </c>
      <c r="D12822" s="2" t="inlineStr">
        <is>
          <t>005940</t>
        </is>
      </c>
      <c r="E12822" s="3" t="inlineStr">
        <is>
          <t>일괄신고추가서류(파생결합사채-주가연계파생결합사채)</t>
        </is>
      </c>
      <c r="F12822" s="3" t="inlineStr">
        <is>
          <t>NH투자증권</t>
        </is>
      </c>
      <c r="G12822" s="2" t="inlineStr">
        <is>
          <t>20260624000226</t>
        </is>
      </c>
      <c r="H12822" s="8">
        <f>HYPERLINK("https://dart.fss.or.kr/dsaf001/main.do?rcpNo=20260624000226", "공시열람")</f>
        <v/>
      </c>
    </row>
    <row r="12823">
      <c r="A12823" s="2" t="inlineStr">
        <is>
          <t>2026-06-24</t>
        </is>
      </c>
      <c r="B12823" s="3" t="inlineStr">
        <is>
          <t>교보증권</t>
        </is>
      </c>
      <c r="C12823" s="2" t="inlineStr">
        <is>
          <t>코스피</t>
        </is>
      </c>
      <c r="D12823" s="2" t="inlineStr">
        <is>
          <t>030610</t>
        </is>
      </c>
      <c r="E12823" s="3" t="inlineStr">
        <is>
          <t>일괄신고추가서류(파생결합사채-주가연계파생결합사채)</t>
        </is>
      </c>
      <c r="F12823" s="3" t="inlineStr">
        <is>
          <t>교보증권</t>
        </is>
      </c>
      <c r="G12823" s="2" t="inlineStr">
        <is>
          <t>20260624000219</t>
        </is>
      </c>
      <c r="H12823" s="8">
        <f>HYPERLINK("https://dart.fss.or.kr/dsaf001/main.do?rcpNo=20260624000219", "공시열람")</f>
        <v/>
      </c>
    </row>
    <row r="12824">
      <c r="A12824" s="2" t="inlineStr">
        <is>
          <t>2026-06-24</t>
        </is>
      </c>
      <c r="B12824" s="3" t="inlineStr">
        <is>
          <t>지란지교시큐리티</t>
        </is>
      </c>
      <c r="C12824" s="2" t="inlineStr">
        <is>
          <t>코스닥</t>
        </is>
      </c>
      <c r="D12824" s="2" t="inlineStr">
        <is>
          <t>208350</t>
        </is>
      </c>
      <c r="E12824" s="3" t="inlineStr">
        <is>
          <t>신탁계약에의한취득상황보고서</t>
        </is>
      </c>
      <c r="F12824" s="3" t="inlineStr">
        <is>
          <t>지란지교시큐리티</t>
        </is>
      </c>
      <c r="G12824" s="2" t="inlineStr">
        <is>
          <t>20260624000216</t>
        </is>
      </c>
      <c r="H12824" s="8">
        <f>HYPERLINK("https://dart.fss.or.kr/dsaf001/main.do?rcpNo=20260624000216", "공시열람")</f>
        <v/>
      </c>
    </row>
    <row r="12825">
      <c r="A12825" s="2" t="inlineStr">
        <is>
          <t>2026-06-24</t>
        </is>
      </c>
      <c r="B12825" s="3" t="inlineStr">
        <is>
          <t>미래에셋증권</t>
        </is>
      </c>
      <c r="C12825" s="2" t="inlineStr">
        <is>
          <t>코스피</t>
        </is>
      </c>
      <c r="D12825" s="2" t="inlineStr">
        <is>
          <t>006800</t>
        </is>
      </c>
      <c r="E12825" s="3" t="inlineStr">
        <is>
          <t>증권발행실적보고서</t>
        </is>
      </c>
      <c r="F12825" s="3" t="inlineStr">
        <is>
          <t>미래에셋증권</t>
        </is>
      </c>
      <c r="G12825" s="2" t="inlineStr">
        <is>
          <t>20260624000215</t>
        </is>
      </c>
      <c r="H12825" s="8">
        <f>HYPERLINK("https://dart.fss.or.kr/dsaf001/main.do?rcpNo=20260624000215", "공시열람")</f>
        <v/>
      </c>
    </row>
    <row r="12826">
      <c r="A12826" s="2" t="inlineStr">
        <is>
          <t>2026-06-24</t>
        </is>
      </c>
      <c r="B12826" s="3" t="inlineStr">
        <is>
          <t>키움증권</t>
        </is>
      </c>
      <c r="C12826" s="2" t="inlineStr">
        <is>
          <t>코스피</t>
        </is>
      </c>
      <c r="D12826" s="2" t="inlineStr">
        <is>
          <t>039490</t>
        </is>
      </c>
      <c r="E12826" s="3" t="inlineStr">
        <is>
          <t>일괄신고추가서류(파생결합증권-주가연계증권)</t>
        </is>
      </c>
      <c r="F12826" s="3" t="inlineStr">
        <is>
          <t>키움증권</t>
        </is>
      </c>
      <c r="G12826" s="2" t="inlineStr">
        <is>
          <t>20260624000211</t>
        </is>
      </c>
      <c r="H12826" s="8">
        <f>HYPERLINK("https://dart.fss.or.kr/dsaf001/main.do?rcpNo=20260624000211", "공시열람")</f>
        <v/>
      </c>
    </row>
    <row r="12827">
      <c r="A12827" s="2" t="inlineStr">
        <is>
          <t>2026-06-24</t>
        </is>
      </c>
      <c r="B12827" s="3" t="inlineStr">
        <is>
          <t>교보증권</t>
        </is>
      </c>
      <c r="C12827" s="2" t="inlineStr">
        <is>
          <t>코스피</t>
        </is>
      </c>
      <c r="D12827" s="2" t="inlineStr">
        <is>
          <t>030610</t>
        </is>
      </c>
      <c r="E12827" s="3" t="inlineStr">
        <is>
          <t>증권발행실적보고서</t>
        </is>
      </c>
      <c r="F12827" s="3" t="inlineStr">
        <is>
          <t>교보증권</t>
        </is>
      </c>
      <c r="G12827" s="2" t="inlineStr">
        <is>
          <t>20260624000204</t>
        </is>
      </c>
      <c r="H12827" s="8">
        <f>HYPERLINK("https://dart.fss.or.kr/dsaf001/main.do?rcpNo=20260624000204", "공시열람")</f>
        <v/>
      </c>
    </row>
    <row r="12828">
      <c r="A12828" s="2" t="inlineStr">
        <is>
          <t>2026-06-24</t>
        </is>
      </c>
      <c r="B12828" s="3" t="inlineStr">
        <is>
          <t>인디에프</t>
        </is>
      </c>
      <c r="C12828" s="2" t="inlineStr">
        <is>
          <t>코스피</t>
        </is>
      </c>
      <c r="D12828" s="2" t="inlineStr">
        <is>
          <t>014990</t>
        </is>
      </c>
      <c r="E12828" s="3" t="inlineStr">
        <is>
          <t>임원ㆍ주요주주특정증권등소유상황보고서</t>
        </is>
      </c>
      <c r="F12828" s="3" t="inlineStr">
        <is>
          <t>김지숙</t>
        </is>
      </c>
      <c r="G12828" s="2" t="inlineStr">
        <is>
          <t>20260624000203</t>
        </is>
      </c>
      <c r="H12828" s="8">
        <f>HYPERLINK("https://dart.fss.or.kr/dsaf001/main.do?rcpNo=20260624000203", "공시열람")</f>
        <v/>
      </c>
    </row>
    <row r="12829">
      <c r="A12829" s="2" t="inlineStr">
        <is>
          <t>2026-06-24</t>
        </is>
      </c>
      <c r="B12829" s="3" t="inlineStr">
        <is>
          <t>KH바텍</t>
        </is>
      </c>
      <c r="C12829" s="2" t="inlineStr">
        <is>
          <t>코스닥</t>
        </is>
      </c>
      <c r="D12829" s="2" t="inlineStr">
        <is>
          <t>060720</t>
        </is>
      </c>
      <c r="E12829" s="3" t="inlineStr">
        <is>
          <t xml:space="preserve">수시공시의무관련사항(공정공시)              </t>
        </is>
      </c>
      <c r="F12829" s="3" t="inlineStr">
        <is>
          <t>KH바텍</t>
        </is>
      </c>
      <c r="G12829" s="2" t="inlineStr">
        <is>
          <t>20260624900497</t>
        </is>
      </c>
      <c r="H12829" s="8">
        <f>HYPERLINK("https://dart.fss.or.kr/dsaf001/main.do?rcpNo=20260624900497", "공시열람")</f>
        <v/>
      </c>
    </row>
    <row r="12830">
      <c r="A12830" s="2" t="inlineStr">
        <is>
          <t>2026-06-24</t>
        </is>
      </c>
      <c r="B12830" s="3" t="inlineStr">
        <is>
          <t>SK</t>
        </is>
      </c>
      <c r="C12830" s="2" t="inlineStr">
        <is>
          <t>코스피</t>
        </is>
      </c>
      <c r="D12830" s="2" t="inlineStr">
        <is>
          <t>034730</t>
        </is>
      </c>
      <c r="E12830" s="3" t="inlineStr">
        <is>
          <t>특수관계인에대한출자</t>
        </is>
      </c>
      <c r="F12830" s="3" t="inlineStr">
        <is>
          <t>SK</t>
        </is>
      </c>
      <c r="G12830" s="2" t="inlineStr">
        <is>
          <t>20260624000201</t>
        </is>
      </c>
      <c r="H12830" s="8">
        <f>HYPERLINK("https://dart.fss.or.kr/dsaf001/main.do?rcpNo=20260624000201", "공시열람")</f>
        <v/>
      </c>
    </row>
    <row r="12831">
      <c r="A12831" s="2" t="inlineStr">
        <is>
          <t>2026-06-24</t>
        </is>
      </c>
      <c r="B12831" s="3" t="inlineStr">
        <is>
          <t>한화투자증권</t>
        </is>
      </c>
      <c r="C12831" s="2" t="inlineStr">
        <is>
          <t>코스피</t>
        </is>
      </c>
      <c r="D12831" s="2" t="inlineStr">
        <is>
          <t>003530</t>
        </is>
      </c>
      <c r="E12831" s="3" t="inlineStr">
        <is>
          <t>일괄신고추가서류(파생결합사채-주가연계파생결합사채)</t>
        </is>
      </c>
      <c r="F12831" s="3" t="inlineStr">
        <is>
          <t>한화투자증권</t>
        </is>
      </c>
      <c r="G12831" s="2" t="inlineStr">
        <is>
          <t>20260624000200</t>
        </is>
      </c>
      <c r="H12831" s="8">
        <f>HYPERLINK("https://dart.fss.or.kr/dsaf001/main.do?rcpNo=20260624000200", "공시열람")</f>
        <v/>
      </c>
    </row>
    <row r="12832">
      <c r="A12832" s="2" t="inlineStr">
        <is>
          <t>2026-06-24</t>
        </is>
      </c>
      <c r="B12832" s="3" t="inlineStr">
        <is>
          <t>CS</t>
        </is>
      </c>
      <c r="C12832" s="2" t="inlineStr">
        <is>
          <t>코스닥</t>
        </is>
      </c>
      <c r="D12832" s="2" t="inlineStr">
        <is>
          <t>065770</t>
        </is>
      </c>
      <c r="E12832" s="3" t="inlineStr">
        <is>
          <t>임원ㆍ주요주주특정증권등소유상황보고서</t>
        </is>
      </c>
      <c r="F12832" s="3" t="inlineStr">
        <is>
          <t>김태연</t>
        </is>
      </c>
      <c r="G12832" s="2" t="inlineStr">
        <is>
          <t>20260624000199</t>
        </is>
      </c>
      <c r="H12832" s="8">
        <f>HYPERLINK("https://dart.fss.or.kr/dsaf001/main.do?rcpNo=20260624000199", "공시열람")</f>
        <v/>
      </c>
    </row>
    <row r="12833">
      <c r="A12833" s="2" t="inlineStr">
        <is>
          <t>2026-06-24</t>
        </is>
      </c>
      <c r="B12833" s="3" t="inlineStr">
        <is>
          <t>인디에프</t>
        </is>
      </c>
      <c r="C12833" s="2" t="inlineStr">
        <is>
          <t>코스피</t>
        </is>
      </c>
      <c r="D12833" s="2" t="inlineStr">
        <is>
          <t>014990</t>
        </is>
      </c>
      <c r="E12833" s="3" t="inlineStr">
        <is>
          <t>임원ㆍ주요주주특정증권등소유상황보고서</t>
        </is>
      </c>
      <c r="F12833" s="3" t="inlineStr">
        <is>
          <t>김한수</t>
        </is>
      </c>
      <c r="G12833" s="2" t="inlineStr">
        <is>
          <t>20260624000193</t>
        </is>
      </c>
      <c r="H12833" s="8">
        <f>HYPERLINK("https://dart.fss.or.kr/dsaf001/main.do?rcpNo=20260624000193", "공시열람")</f>
        <v/>
      </c>
    </row>
    <row r="12834">
      <c r="A12834" s="2" t="inlineStr">
        <is>
          <t>2026-06-24</t>
        </is>
      </c>
      <c r="B12834" s="3" t="inlineStr">
        <is>
          <t>현대차증권</t>
        </is>
      </c>
      <c r="C12834" s="2" t="inlineStr">
        <is>
          <t>코스피</t>
        </is>
      </c>
      <c r="D12834" s="2" t="inlineStr">
        <is>
          <t>001500</t>
        </is>
      </c>
      <c r="E12834" s="3" t="inlineStr">
        <is>
          <t>투자설명서(일괄신고)</t>
        </is>
      </c>
      <c r="F12834" s="3" t="inlineStr">
        <is>
          <t>현대차증권</t>
        </is>
      </c>
      <c r="G12834" s="2" t="inlineStr">
        <is>
          <t>20260624000192</t>
        </is>
      </c>
      <c r="H12834" s="8">
        <f>HYPERLINK("https://dart.fss.or.kr/dsaf001/main.do?rcpNo=20260624000192", "공시열람")</f>
        <v/>
      </c>
    </row>
    <row r="12835">
      <c r="A12835" s="2" t="inlineStr">
        <is>
          <t>2026-06-24</t>
        </is>
      </c>
      <c r="B12835" s="3" t="inlineStr">
        <is>
          <t>엠게임</t>
        </is>
      </c>
      <c r="C12835" s="2" t="inlineStr">
        <is>
          <t>코스닥</t>
        </is>
      </c>
      <c r="D12835" s="2" t="inlineStr">
        <is>
          <t>058630</t>
        </is>
      </c>
      <c r="E12835" s="3" t="inlineStr">
        <is>
          <t>자기주식취득결과보고서</t>
        </is>
      </c>
      <c r="F12835" s="3" t="inlineStr">
        <is>
          <t>엠게임</t>
        </is>
      </c>
      <c r="G12835" s="2" t="inlineStr">
        <is>
          <t>20260624000191</t>
        </is>
      </c>
      <c r="H12835" s="8">
        <f>HYPERLINK("https://dart.fss.or.kr/dsaf001/main.do?rcpNo=20260624000191", "공시열람")</f>
        <v/>
      </c>
    </row>
    <row r="12836">
      <c r="A12836" s="2" t="inlineStr">
        <is>
          <t>2026-06-24</t>
        </is>
      </c>
      <c r="B12836" s="3" t="inlineStr">
        <is>
          <t>아즈텍WB</t>
        </is>
      </c>
      <c r="C12836" s="2" t="inlineStr">
        <is>
          <t>코스닥</t>
        </is>
      </c>
      <c r="D12836" s="2" t="inlineStr">
        <is>
          <t>032080</t>
        </is>
      </c>
      <c r="E12836" s="3" t="inlineStr">
        <is>
          <t>임원ㆍ주요주주특정증권등소유상황보고서</t>
        </is>
      </c>
      <c r="F12836" s="3" t="inlineStr">
        <is>
          <t>제원아이엔씨</t>
        </is>
      </c>
      <c r="G12836" s="2" t="inlineStr">
        <is>
          <t>20260624000189</t>
        </is>
      </c>
      <c r="H12836" s="8">
        <f>HYPERLINK("https://dart.fss.or.kr/dsaf001/main.do?rcpNo=20260624000189", "공시열람")</f>
        <v/>
      </c>
    </row>
    <row r="12837">
      <c r="A12837" s="2" t="inlineStr">
        <is>
          <t>2026-06-24</t>
        </is>
      </c>
      <c r="B12837" s="3" t="inlineStr">
        <is>
          <t>엠게임</t>
        </is>
      </c>
      <c r="C12837" s="2" t="inlineStr">
        <is>
          <t>코스닥</t>
        </is>
      </c>
      <c r="D12837" s="2" t="inlineStr">
        <is>
          <t>058630</t>
        </is>
      </c>
      <c r="E12837" s="3" t="inlineStr">
        <is>
          <t>임원ㆍ주요주주특정증권등소유상황보고서</t>
        </is>
      </c>
      <c r="F12837" s="3" t="inlineStr">
        <is>
          <t>조인한</t>
        </is>
      </c>
      <c r="G12837" s="2" t="inlineStr">
        <is>
          <t>20260624000188</t>
        </is>
      </c>
      <c r="H12837" s="8">
        <f>HYPERLINK("https://dart.fss.or.kr/dsaf001/main.do?rcpNo=20260624000188", "공시열람")</f>
        <v/>
      </c>
    </row>
    <row r="12838">
      <c r="A12838" s="2" t="inlineStr">
        <is>
          <t>2026-06-24</t>
        </is>
      </c>
      <c r="B12838" s="3" t="inlineStr">
        <is>
          <t>DH오토웨어</t>
        </is>
      </c>
      <c r="C12838" s="2" t="inlineStr">
        <is>
          <t>코스닥</t>
        </is>
      </c>
      <c r="D12838" s="2" t="inlineStr">
        <is>
          <t>025440</t>
        </is>
      </c>
      <c r="E12838" s="3" t="inlineStr">
        <is>
          <t>임원ㆍ주요주주특정증권등소유상황보고서</t>
        </is>
      </c>
      <c r="F12838" s="3" t="inlineStr">
        <is>
          <t>디에이치글로벌</t>
        </is>
      </c>
      <c r="G12838" s="2" t="inlineStr">
        <is>
          <t>20260624000187</t>
        </is>
      </c>
      <c r="H12838" s="8">
        <f>HYPERLINK("https://dart.fss.or.kr/dsaf001/main.do?rcpNo=20260624000187", "공시열람")</f>
        <v/>
      </c>
    </row>
    <row r="12839">
      <c r="A12839" s="2" t="inlineStr">
        <is>
          <t>2026-06-24</t>
        </is>
      </c>
      <c r="B12839" s="3" t="inlineStr">
        <is>
          <t>신한지주</t>
        </is>
      </c>
      <c r="C12839" s="2" t="inlineStr">
        <is>
          <t>코스피</t>
        </is>
      </c>
      <c r="D12839" s="2" t="inlineStr">
        <is>
          <t>055550</t>
        </is>
      </c>
      <c r="E12839" s="3" t="inlineStr">
        <is>
          <t>증권발행실적보고서</t>
        </is>
      </c>
      <c r="F12839" s="3" t="inlineStr">
        <is>
          <t>신한지주</t>
        </is>
      </c>
      <c r="G12839" s="2" t="inlineStr">
        <is>
          <t>20260624000186</t>
        </is>
      </c>
      <c r="H12839" s="8">
        <f>HYPERLINK("https://dart.fss.or.kr/dsaf001/main.do?rcpNo=20260624000186", "공시열람")</f>
        <v/>
      </c>
    </row>
    <row r="12840">
      <c r="A12840" s="2" t="inlineStr">
        <is>
          <t>2026-06-24</t>
        </is>
      </c>
      <c r="B12840" s="3" t="inlineStr">
        <is>
          <t>마녀공장</t>
        </is>
      </c>
      <c r="C12840" s="2" t="inlineStr">
        <is>
          <t>코스닥</t>
        </is>
      </c>
      <c r="D12840" s="2" t="inlineStr">
        <is>
          <t>439090</t>
        </is>
      </c>
      <c r="E12840" s="3" t="inlineStr">
        <is>
          <t>신탁계약해지결과보고서</t>
        </is>
      </c>
      <c r="F12840" s="3" t="inlineStr">
        <is>
          <t>마녀공장</t>
        </is>
      </c>
      <c r="G12840" s="2" t="inlineStr">
        <is>
          <t>20260624000184</t>
        </is>
      </c>
      <c r="H12840" s="8">
        <f>HYPERLINK("https://dart.fss.or.kr/dsaf001/main.do?rcpNo=20260624000184", "공시열람")</f>
        <v/>
      </c>
    </row>
    <row r="12841">
      <c r="A12841" s="2" t="inlineStr">
        <is>
          <t>2026-06-24</t>
        </is>
      </c>
      <c r="B12841" s="3" t="inlineStr">
        <is>
          <t>동방메디컬</t>
        </is>
      </c>
      <c r="C12841" s="2" t="inlineStr">
        <is>
          <t>코스닥</t>
        </is>
      </c>
      <c r="D12841" s="2" t="inlineStr">
        <is>
          <t>240550</t>
        </is>
      </c>
      <c r="E12841" s="3" t="inlineStr">
        <is>
          <t xml:space="preserve">기업설명회(IR)개최              </t>
        </is>
      </c>
      <c r="F12841" s="3" t="inlineStr">
        <is>
          <t>동방메디컬</t>
        </is>
      </c>
      <c r="G12841" s="2" t="inlineStr">
        <is>
          <t>20260624900442</t>
        </is>
      </c>
      <c r="H12841" s="8">
        <f>HYPERLINK("https://dart.fss.or.kr/dsaf001/main.do?rcpNo=20260624900442", "공시열람")</f>
        <v/>
      </c>
    </row>
    <row r="12842">
      <c r="A12842" s="2" t="inlineStr">
        <is>
          <t>2026-06-24</t>
        </is>
      </c>
      <c r="B12842" s="3" t="inlineStr">
        <is>
          <t>아즈텍WB</t>
        </is>
      </c>
      <c r="C12842" s="2" t="inlineStr">
        <is>
          <t>코스닥</t>
        </is>
      </c>
      <c r="D12842" s="2" t="inlineStr">
        <is>
          <t>032080</t>
        </is>
      </c>
      <c r="E12842" s="3" t="inlineStr">
        <is>
          <t>임원ㆍ주요주주특정증권등소유상황보고서</t>
        </is>
      </c>
      <c r="F12842" s="3" t="inlineStr">
        <is>
          <t>유송코퍼레이션</t>
        </is>
      </c>
      <c r="G12842" s="2" t="inlineStr">
        <is>
          <t>20260624000183</t>
        </is>
      </c>
      <c r="H12842" s="8">
        <f>HYPERLINK("https://dart.fss.or.kr/dsaf001/main.do?rcpNo=20260624000183", "공시열람")</f>
        <v/>
      </c>
    </row>
    <row r="12843">
      <c r="A12843" s="2" t="inlineStr">
        <is>
          <t>2026-06-24</t>
        </is>
      </c>
      <c r="B12843" s="3" t="inlineStr">
        <is>
          <t>노브랜드</t>
        </is>
      </c>
      <c r="C12843" s="2" t="inlineStr">
        <is>
          <t>코스닥</t>
        </is>
      </c>
      <c r="D12843" s="2" t="inlineStr">
        <is>
          <t>145170</t>
        </is>
      </c>
      <c r="E12843" s="3" t="inlineStr">
        <is>
          <t xml:space="preserve">자기주식처분결정              </t>
        </is>
      </c>
      <c r="F12843" s="3" t="inlineStr">
        <is>
          <t>노브랜드</t>
        </is>
      </c>
      <c r="G12843" s="2" t="inlineStr">
        <is>
          <t>20260624900453</t>
        </is>
      </c>
      <c r="H12843" s="8">
        <f>HYPERLINK("https://dart.fss.or.kr/dsaf001/main.do?rcpNo=20260624900453", "공시열람")</f>
        <v/>
      </c>
    </row>
    <row r="12844">
      <c r="A12844" s="2" t="inlineStr">
        <is>
          <t>2026-06-24</t>
        </is>
      </c>
      <c r="B12844" s="3" t="inlineStr">
        <is>
          <t>NH투자증권</t>
        </is>
      </c>
      <c r="C12844" s="2" t="inlineStr">
        <is>
          <t>코스피</t>
        </is>
      </c>
      <c r="D12844" s="2" t="inlineStr">
        <is>
          <t>005940</t>
        </is>
      </c>
      <c r="E12844" s="3" t="inlineStr">
        <is>
          <t>투자설명서(일괄신고)</t>
        </is>
      </c>
      <c r="F12844" s="3" t="inlineStr">
        <is>
          <t>NH투자증권</t>
        </is>
      </c>
      <c r="G12844" s="2" t="inlineStr">
        <is>
          <t>20260624000182</t>
        </is>
      </c>
      <c r="H12844" s="8">
        <f>HYPERLINK("https://dart.fss.or.kr/dsaf001/main.do?rcpNo=20260624000182", "공시열람")</f>
        <v/>
      </c>
    </row>
    <row r="12845">
      <c r="A12845" s="2" t="inlineStr">
        <is>
          <t>2026-06-24</t>
        </is>
      </c>
      <c r="B12845" s="3" t="inlineStr">
        <is>
          <t>한화에어로스페이스</t>
        </is>
      </c>
      <c r="C12845" s="2" t="inlineStr">
        <is>
          <t>코스피</t>
        </is>
      </c>
      <c r="D12845" s="2" t="inlineStr">
        <is>
          <t>012450</t>
        </is>
      </c>
      <c r="E12845" s="3" t="inlineStr">
        <is>
          <t>동일인등출자계열회사와의상품ㆍ용역거래</t>
        </is>
      </c>
      <c r="F12845" s="3" t="inlineStr">
        <is>
          <t>한화에어로스페이스</t>
        </is>
      </c>
      <c r="G12845" s="2" t="inlineStr">
        <is>
          <t>20260624000180</t>
        </is>
      </c>
      <c r="H12845" s="8">
        <f>HYPERLINK("https://dart.fss.or.kr/dsaf001/main.do?rcpNo=20260624000180", "공시열람")</f>
        <v/>
      </c>
    </row>
    <row r="12846">
      <c r="A12846" s="2" t="inlineStr">
        <is>
          <t>2026-06-24</t>
        </is>
      </c>
      <c r="B12846" s="3" t="inlineStr">
        <is>
          <t>키움증권</t>
        </is>
      </c>
      <c r="C12846" s="2" t="inlineStr">
        <is>
          <t>코스피</t>
        </is>
      </c>
      <c r="D12846" s="2" t="inlineStr">
        <is>
          <t>039490</t>
        </is>
      </c>
      <c r="E12846" s="3" t="inlineStr">
        <is>
          <t>투자설명서(일괄신고)</t>
        </is>
      </c>
      <c r="F12846" s="3" t="inlineStr">
        <is>
          <t>키움증권</t>
        </is>
      </c>
      <c r="G12846" s="2" t="inlineStr">
        <is>
          <t>20260624000178</t>
        </is>
      </c>
      <c r="H12846" s="8">
        <f>HYPERLINK("https://dart.fss.or.kr/dsaf001/main.do?rcpNo=20260624000178", "공시열람")</f>
        <v/>
      </c>
    </row>
    <row r="12847">
      <c r="A12847" s="2" t="inlineStr">
        <is>
          <t>2026-06-24</t>
        </is>
      </c>
      <c r="B12847" s="3" t="inlineStr">
        <is>
          <t>키움증권</t>
        </is>
      </c>
      <c r="C12847" s="2" t="inlineStr">
        <is>
          <t>코스피</t>
        </is>
      </c>
      <c r="D12847" s="2" t="inlineStr">
        <is>
          <t>039490</t>
        </is>
      </c>
      <c r="E12847" s="3" t="inlineStr">
        <is>
          <t>투자설명서(일괄신고)</t>
        </is>
      </c>
      <c r="F12847" s="3" t="inlineStr">
        <is>
          <t>키움증권</t>
        </is>
      </c>
      <c r="G12847" s="2" t="inlineStr">
        <is>
          <t>20260624000173</t>
        </is>
      </c>
      <c r="H12847" s="8">
        <f>HYPERLINK("https://dart.fss.or.kr/dsaf001/main.do?rcpNo=20260624000173", "공시열람")</f>
        <v/>
      </c>
    </row>
    <row r="12848">
      <c r="A12848" s="2" t="inlineStr">
        <is>
          <t>2026-06-24</t>
        </is>
      </c>
      <c r="B12848" s="3" t="inlineStr">
        <is>
          <t>삼성증권</t>
        </is>
      </c>
      <c r="C12848" s="2" t="inlineStr">
        <is>
          <t>코스피</t>
        </is>
      </c>
      <c r="D12848" s="2" t="inlineStr">
        <is>
          <t>016360</t>
        </is>
      </c>
      <c r="E12848" s="3" t="inlineStr">
        <is>
          <t>투자설명서(일괄신고)</t>
        </is>
      </c>
      <c r="F12848" s="3" t="inlineStr">
        <is>
          <t>삼성증권</t>
        </is>
      </c>
      <c r="G12848" s="2" t="inlineStr">
        <is>
          <t>20260624000172</t>
        </is>
      </c>
      <c r="H12848" s="8">
        <f>HYPERLINK("https://dart.fss.or.kr/dsaf001/main.do?rcpNo=20260624000172", "공시열람")</f>
        <v/>
      </c>
    </row>
    <row r="12849">
      <c r="A12849" s="2" t="inlineStr">
        <is>
          <t>2026-06-24</t>
        </is>
      </c>
      <c r="B12849" s="3" t="inlineStr">
        <is>
          <t>SK</t>
        </is>
      </c>
      <c r="C12849" s="2" t="inlineStr">
        <is>
          <t>코스피</t>
        </is>
      </c>
      <c r="D12849" s="2" t="inlineStr">
        <is>
          <t>034730</t>
        </is>
      </c>
      <c r="E12849" s="3" t="inlineStr">
        <is>
          <t>특수관계인에대한부동산임대</t>
        </is>
      </c>
      <c r="F12849" s="3" t="inlineStr">
        <is>
          <t>SK</t>
        </is>
      </c>
      <c r="G12849" s="2" t="inlineStr">
        <is>
          <t>20260624000171</t>
        </is>
      </c>
      <c r="H12849" s="8">
        <f>HYPERLINK("https://dart.fss.or.kr/dsaf001/main.do?rcpNo=20260624000171", "공시열람")</f>
        <v/>
      </c>
    </row>
    <row r="12850">
      <c r="A12850" s="2" t="inlineStr">
        <is>
          <t>2026-06-24</t>
        </is>
      </c>
      <c r="B12850" s="3" t="inlineStr">
        <is>
          <t>SK</t>
        </is>
      </c>
      <c r="C12850" s="2" t="inlineStr">
        <is>
          <t>코스피</t>
        </is>
      </c>
      <c r="D12850" s="2" t="inlineStr">
        <is>
          <t>034730</t>
        </is>
      </c>
      <c r="E12850" s="3" t="inlineStr">
        <is>
          <t>특수관계인으로부터부동산임차</t>
        </is>
      </c>
      <c r="F12850" s="3" t="inlineStr">
        <is>
          <t>SK</t>
        </is>
      </c>
      <c r="G12850" s="2" t="inlineStr">
        <is>
          <t>20260624000168</t>
        </is>
      </c>
      <c r="H12850" s="8">
        <f>HYPERLINK("https://dart.fss.or.kr/dsaf001/main.do?rcpNo=20260624000168", "공시열람")</f>
        <v/>
      </c>
    </row>
    <row r="12851">
      <c r="A12851" s="2" t="inlineStr">
        <is>
          <t>2026-06-24</t>
        </is>
      </c>
      <c r="B12851" s="3" t="inlineStr">
        <is>
          <t>NH투자증권</t>
        </is>
      </c>
      <c r="C12851" s="2" t="inlineStr">
        <is>
          <t>코스피</t>
        </is>
      </c>
      <c r="D12851" s="2" t="inlineStr">
        <is>
          <t>005940</t>
        </is>
      </c>
      <c r="E12851" s="3" t="inlineStr">
        <is>
          <t>일괄신고추가서류(파생결합사채-주가연계파생결합사채)</t>
        </is>
      </c>
      <c r="F12851" s="3" t="inlineStr">
        <is>
          <t>NH투자증권</t>
        </is>
      </c>
      <c r="G12851" s="2" t="inlineStr">
        <is>
          <t>20260624000167</t>
        </is>
      </c>
      <c r="H12851" s="8">
        <f>HYPERLINK("https://dart.fss.or.kr/dsaf001/main.do?rcpNo=20260624000167", "공시열람")</f>
        <v/>
      </c>
    </row>
    <row r="12852">
      <c r="A12852" s="2" t="inlineStr">
        <is>
          <t>2026-06-24</t>
        </is>
      </c>
      <c r="B12852" s="3" t="inlineStr">
        <is>
          <t>삼성증권</t>
        </is>
      </c>
      <c r="C12852" s="2" t="inlineStr">
        <is>
          <t>코스피</t>
        </is>
      </c>
      <c r="D12852" s="2" t="inlineStr">
        <is>
          <t>016360</t>
        </is>
      </c>
      <c r="E12852" s="3" t="inlineStr">
        <is>
          <t>일괄신고추가서류(파생결합사채-주가연계파생결합사채)</t>
        </is>
      </c>
      <c r="F12852" s="3" t="inlineStr">
        <is>
          <t>삼성증권</t>
        </is>
      </c>
      <c r="G12852" s="2" t="inlineStr">
        <is>
          <t>20260624000166</t>
        </is>
      </c>
      <c r="H12852" s="8">
        <f>HYPERLINK("https://dart.fss.or.kr/dsaf001/main.do?rcpNo=20260624000166", "공시열람")</f>
        <v/>
      </c>
    </row>
    <row r="12853">
      <c r="A12853" s="2" t="inlineStr">
        <is>
          <t>2026-06-24</t>
        </is>
      </c>
      <c r="B12853" s="3" t="inlineStr">
        <is>
          <t>한화투자증권</t>
        </is>
      </c>
      <c r="C12853" s="2" t="inlineStr">
        <is>
          <t>코스피</t>
        </is>
      </c>
      <c r="D12853" s="2" t="inlineStr">
        <is>
          <t>003530</t>
        </is>
      </c>
      <c r="E12853" s="3" t="inlineStr">
        <is>
          <t>일괄신고추가서류(파생결합사채-주가연계파생결합사채)</t>
        </is>
      </c>
      <c r="F12853" s="3" t="inlineStr">
        <is>
          <t>한화투자증권</t>
        </is>
      </c>
      <c r="G12853" s="2" t="inlineStr">
        <is>
          <t>20260624000164</t>
        </is>
      </c>
      <c r="H12853" s="8">
        <f>HYPERLINK("https://dart.fss.or.kr/dsaf001/main.do?rcpNo=20260624000164", "공시열람")</f>
        <v/>
      </c>
    </row>
    <row r="12854">
      <c r="A12854" s="2" t="inlineStr">
        <is>
          <t>2026-06-24</t>
        </is>
      </c>
      <c r="B12854" s="3" t="inlineStr">
        <is>
          <t>이퓨쳐</t>
        </is>
      </c>
      <c r="C12854" s="2" t="inlineStr">
        <is>
          <t>코스닥</t>
        </is>
      </c>
      <c r="D12854" s="2" t="inlineStr">
        <is>
          <t>134060</t>
        </is>
      </c>
      <c r="E12854" s="3" t="inlineStr">
        <is>
          <t>신탁계약해지결과보고서</t>
        </is>
      </c>
      <c r="F12854" s="3" t="inlineStr">
        <is>
          <t>이퓨쳐</t>
        </is>
      </c>
      <c r="G12854" s="2" t="inlineStr">
        <is>
          <t>20260624000163</t>
        </is>
      </c>
      <c r="H12854" s="8">
        <f>HYPERLINK("https://dart.fss.or.kr/dsaf001/main.do?rcpNo=20260624000163", "공시열람")</f>
        <v/>
      </c>
    </row>
    <row r="12855">
      <c r="A12855" s="2" t="inlineStr">
        <is>
          <t>2026-06-24</t>
        </is>
      </c>
      <c r="B12855" s="3" t="inlineStr">
        <is>
          <t>메카로</t>
        </is>
      </c>
      <c r="C12855" s="2" t="inlineStr">
        <is>
          <t>코스닥</t>
        </is>
      </c>
      <c r="D12855" s="2" t="inlineStr">
        <is>
          <t>241770</t>
        </is>
      </c>
      <c r="E12855" s="3" t="inlineStr">
        <is>
          <t xml:space="preserve">기업설명회(IR)개최              </t>
        </is>
      </c>
      <c r="F12855" s="3" t="inlineStr">
        <is>
          <t>메카로</t>
        </is>
      </c>
      <c r="G12855" s="2" t="inlineStr">
        <is>
          <t>20260624900447</t>
        </is>
      </c>
      <c r="H12855" s="8">
        <f>HYPERLINK("https://dart.fss.or.kr/dsaf001/main.do?rcpNo=20260624900447", "공시열람")</f>
        <v/>
      </c>
    </row>
    <row r="12856">
      <c r="A12856" s="2" t="inlineStr">
        <is>
          <t>2026-06-24</t>
        </is>
      </c>
      <c r="B12856" s="3" t="inlineStr">
        <is>
          <t>한국전력공사</t>
        </is>
      </c>
      <c r="C12856" s="2" t="inlineStr">
        <is>
          <t>코스피</t>
        </is>
      </c>
      <c r="D12856" s="2" t="inlineStr">
        <is>
          <t>015760</t>
        </is>
      </c>
      <c r="E12856" s="3" t="inlineStr">
        <is>
          <t xml:space="preserve">중대재해발생(종속회사의주요경영사항)              </t>
        </is>
      </c>
      <c r="F12856" s="3" t="inlineStr">
        <is>
          <t>한국전력공사</t>
        </is>
      </c>
      <c r="G12856" s="2" t="inlineStr">
        <is>
          <t>20260624800446</t>
        </is>
      </c>
      <c r="H12856" s="8">
        <f>HYPERLINK("https://dart.fss.or.kr/dsaf001/main.do?rcpNo=20260624800446", "공시열람")</f>
        <v/>
      </c>
    </row>
    <row r="12857">
      <c r="A12857" s="2" t="inlineStr">
        <is>
          <t>2026-06-24</t>
        </is>
      </c>
      <c r="B12857" s="3" t="inlineStr">
        <is>
          <t>DB증권</t>
        </is>
      </c>
      <c r="C12857" s="2" t="inlineStr">
        <is>
          <t>코스피</t>
        </is>
      </c>
      <c r="D12857" s="2" t="inlineStr">
        <is>
          <t>016610</t>
        </is>
      </c>
      <c r="E12857" s="3" t="inlineStr">
        <is>
          <t>투자설명서(일괄신고)</t>
        </is>
      </c>
      <c r="F12857" s="3" t="inlineStr">
        <is>
          <t>DB증권</t>
        </is>
      </c>
      <c r="G12857" s="2" t="inlineStr">
        <is>
          <t>20260624000162</t>
        </is>
      </c>
      <c r="H12857" s="8">
        <f>HYPERLINK("https://dart.fss.or.kr/dsaf001/main.do?rcpNo=20260624000162", "공시열람")</f>
        <v/>
      </c>
    </row>
    <row r="12858">
      <c r="A12858" s="2" t="inlineStr">
        <is>
          <t>2026-06-24</t>
        </is>
      </c>
      <c r="B12858" s="3" t="inlineStr">
        <is>
          <t>교보증권</t>
        </is>
      </c>
      <c r="C12858" s="2" t="inlineStr">
        <is>
          <t>코스피</t>
        </is>
      </c>
      <c r="D12858" s="2" t="inlineStr">
        <is>
          <t>030610</t>
        </is>
      </c>
      <c r="E12858" s="3" t="inlineStr">
        <is>
          <t>투자설명서(일괄신고)</t>
        </is>
      </c>
      <c r="F12858" s="3" t="inlineStr">
        <is>
          <t>교보증권</t>
        </is>
      </c>
      <c r="G12858" s="2" t="inlineStr">
        <is>
          <t>20260624000161</t>
        </is>
      </c>
      <c r="H12858" s="8">
        <f>HYPERLINK("https://dart.fss.or.kr/dsaf001/main.do?rcpNo=20260624000161", "공시열람")</f>
        <v/>
      </c>
    </row>
    <row r="12859">
      <c r="A12859" s="2" t="inlineStr">
        <is>
          <t>2026-06-24</t>
        </is>
      </c>
      <c r="B12859" s="3" t="inlineStr">
        <is>
          <t>DB증권</t>
        </is>
      </c>
      <c r="C12859" s="2" t="inlineStr">
        <is>
          <t>코스피</t>
        </is>
      </c>
      <c r="D12859" s="2" t="inlineStr">
        <is>
          <t>016610</t>
        </is>
      </c>
      <c r="E12859" s="3" t="inlineStr">
        <is>
          <t>일괄신고추가서류(파생결합사채-주가연계파생결합사채)</t>
        </is>
      </c>
      <c r="F12859" s="3" t="inlineStr">
        <is>
          <t>DB증권</t>
        </is>
      </c>
      <c r="G12859" s="2" t="inlineStr">
        <is>
          <t>20260624000159</t>
        </is>
      </c>
      <c r="H12859" s="8">
        <f>HYPERLINK("https://dart.fss.or.kr/dsaf001/main.do?rcpNo=20260624000159", "공시열람")</f>
        <v/>
      </c>
    </row>
    <row r="12860">
      <c r="A12860" s="2" t="inlineStr">
        <is>
          <t>2026-06-24</t>
        </is>
      </c>
      <c r="B12860" s="3" t="inlineStr">
        <is>
          <t>NH농우바이오</t>
        </is>
      </c>
      <c r="C12860" s="2" t="inlineStr">
        <is>
          <t>코스닥</t>
        </is>
      </c>
      <c r="D12860" s="2" t="inlineStr">
        <is>
          <t>054050</t>
        </is>
      </c>
      <c r="E12860" s="3" t="inlineStr">
        <is>
          <t>약관에의한금융거래시계열금융회사의거래상대방의공시</t>
        </is>
      </c>
      <c r="F12860" s="3" t="inlineStr">
        <is>
          <t>NH농우바이오</t>
        </is>
      </c>
      <c r="G12860" s="2" t="inlineStr">
        <is>
          <t>20260624000158</t>
        </is>
      </c>
      <c r="H12860" s="8">
        <f>HYPERLINK("https://dart.fss.or.kr/dsaf001/main.do?rcpNo=20260624000158", "공시열람")</f>
        <v/>
      </c>
    </row>
    <row r="12861">
      <c r="A12861" s="2" t="inlineStr">
        <is>
          <t>2026-06-24</t>
        </is>
      </c>
      <c r="B12861" s="3" t="inlineStr">
        <is>
          <t>티디에스팜</t>
        </is>
      </c>
      <c r="C12861" s="2" t="inlineStr">
        <is>
          <t>코스닥</t>
        </is>
      </c>
      <c r="D12861" s="2" t="inlineStr">
        <is>
          <t>464280</t>
        </is>
      </c>
      <c r="E12861" s="3" t="inlineStr">
        <is>
          <t>임원ㆍ주요주주특정증권등소유상황보고서</t>
        </is>
      </c>
      <c r="F12861" s="3" t="inlineStr">
        <is>
          <t>김철준</t>
        </is>
      </c>
      <c r="G12861" s="2" t="inlineStr">
        <is>
          <t>20260624000156</t>
        </is>
      </c>
      <c r="H12861" s="8">
        <f>HYPERLINK("https://dart.fss.or.kr/dsaf001/main.do?rcpNo=20260624000156", "공시열람")</f>
        <v/>
      </c>
    </row>
    <row r="12862">
      <c r="A12862" s="2" t="inlineStr">
        <is>
          <t>2026-06-24</t>
        </is>
      </c>
      <c r="B12862" s="3" t="inlineStr">
        <is>
          <t>조아제약</t>
        </is>
      </c>
      <c r="C12862" s="2" t="inlineStr">
        <is>
          <t>코스닥</t>
        </is>
      </c>
      <c r="D12862" s="2" t="inlineStr">
        <is>
          <t>034940</t>
        </is>
      </c>
      <c r="E12862" s="3" t="inlineStr">
        <is>
          <t xml:space="preserve">조회공시요구(현저한시황변동)에대한답변(중요정보없음)              </t>
        </is>
      </c>
      <c r="F12862" s="3" t="inlineStr">
        <is>
          <t>조아제약</t>
        </is>
      </c>
      <c r="G12862" s="2" t="inlineStr">
        <is>
          <t>20260624900413</t>
        </is>
      </c>
      <c r="H12862" s="8">
        <f>HYPERLINK("https://dart.fss.or.kr/dsaf001/main.do?rcpNo=20260624900413", "공시열람")</f>
        <v/>
      </c>
    </row>
    <row r="12863">
      <c r="A12863" s="2" t="inlineStr">
        <is>
          <t>2026-06-24</t>
        </is>
      </c>
      <c r="B12863" s="3" t="inlineStr">
        <is>
          <t>미래에셋증권</t>
        </is>
      </c>
      <c r="C12863" s="2" t="inlineStr">
        <is>
          <t>코스피</t>
        </is>
      </c>
      <c r="D12863" s="2" t="inlineStr">
        <is>
          <t>006800</t>
        </is>
      </c>
      <c r="E12863" s="3" t="inlineStr">
        <is>
          <t>투자설명서(일괄신고)</t>
        </is>
      </c>
      <c r="F12863" s="3" t="inlineStr">
        <is>
          <t>미래에셋증권</t>
        </is>
      </c>
      <c r="G12863" s="2" t="inlineStr">
        <is>
          <t>20260624000150</t>
        </is>
      </c>
      <c r="H12863" s="8">
        <f>HYPERLINK("https://dart.fss.or.kr/dsaf001/main.do?rcpNo=20260624000150", "공시열람")</f>
        <v/>
      </c>
    </row>
    <row r="12864">
      <c r="A12864" s="2" t="inlineStr">
        <is>
          <t>2026-06-24</t>
        </is>
      </c>
      <c r="B12864" s="3" t="inlineStr">
        <is>
          <t>이화공영</t>
        </is>
      </c>
      <c r="C12864" s="2" t="inlineStr">
        <is>
          <t>코스닥</t>
        </is>
      </c>
      <c r="D12864" s="2" t="inlineStr">
        <is>
          <t>001840</t>
        </is>
      </c>
      <c r="E12864" s="3" t="inlineStr">
        <is>
          <t>의결권대리행사권유참고서류</t>
        </is>
      </c>
      <c r="F12864" s="3" t="inlineStr">
        <is>
          <t>이화공영</t>
        </is>
      </c>
      <c r="G12864" s="2" t="inlineStr">
        <is>
          <t>20260624000148</t>
        </is>
      </c>
      <c r="H12864" s="8">
        <f>HYPERLINK("https://dart.fss.or.kr/dsaf001/main.do?rcpNo=20260624000148", "공시열람")</f>
        <v/>
      </c>
    </row>
    <row r="12865">
      <c r="A12865" s="2" t="inlineStr">
        <is>
          <t>2026-06-24</t>
        </is>
      </c>
      <c r="B12865" s="3" t="inlineStr">
        <is>
          <t>DB증권</t>
        </is>
      </c>
      <c r="C12865" s="2" t="inlineStr">
        <is>
          <t>코스피</t>
        </is>
      </c>
      <c r="D12865" s="2" t="inlineStr">
        <is>
          <t>016610</t>
        </is>
      </c>
      <c r="E12865" s="3" t="inlineStr">
        <is>
          <t>일괄신고추가서류(기타파생결합사채)</t>
        </is>
      </c>
      <c r="F12865" s="3" t="inlineStr">
        <is>
          <t>DB증권</t>
        </is>
      </c>
      <c r="G12865" s="2" t="inlineStr">
        <is>
          <t>20260624000147</t>
        </is>
      </c>
      <c r="H12865" s="8">
        <f>HYPERLINK("https://dart.fss.or.kr/dsaf001/main.do?rcpNo=20260624000147", "공시열람")</f>
        <v/>
      </c>
    </row>
    <row r="12866">
      <c r="A12866" s="2" t="inlineStr">
        <is>
          <t>2026-06-24</t>
        </is>
      </c>
      <c r="B12866" s="3" t="inlineStr">
        <is>
          <t>교보증권</t>
        </is>
      </c>
      <c r="C12866" s="2" t="inlineStr">
        <is>
          <t>코스피</t>
        </is>
      </c>
      <c r="D12866" s="2" t="inlineStr">
        <is>
          <t>030610</t>
        </is>
      </c>
      <c r="E12866" s="3" t="inlineStr">
        <is>
          <t>일괄신고추가서류(파생결합사채-주가연계파생결합사채)</t>
        </is>
      </c>
      <c r="F12866" s="3" t="inlineStr">
        <is>
          <t>교보증권</t>
        </is>
      </c>
      <c r="G12866" s="2" t="inlineStr">
        <is>
          <t>20260624000145</t>
        </is>
      </c>
      <c r="H12866" s="8">
        <f>HYPERLINK("https://dart.fss.or.kr/dsaf001/main.do?rcpNo=20260624000145", "공시열람")</f>
        <v/>
      </c>
    </row>
    <row r="12867">
      <c r="A12867" s="2" t="inlineStr">
        <is>
          <t>2026-06-24</t>
        </is>
      </c>
      <c r="B12867" s="3" t="inlineStr">
        <is>
          <t>클래시스</t>
        </is>
      </c>
      <c r="C12867" s="2" t="inlineStr">
        <is>
          <t>코스닥</t>
        </is>
      </c>
      <c r="D12867" s="2" t="inlineStr">
        <is>
          <t>214150</t>
        </is>
      </c>
      <c r="E12867" s="3" t="inlineStr">
        <is>
          <t xml:space="preserve">기업설명회(IR)개최              </t>
        </is>
      </c>
      <c r="F12867" s="3" t="inlineStr">
        <is>
          <t>클래시스</t>
        </is>
      </c>
      <c r="G12867" s="2" t="inlineStr">
        <is>
          <t>20260624900416</t>
        </is>
      </c>
      <c r="H12867" s="8">
        <f>HYPERLINK("https://dart.fss.or.kr/dsaf001/main.do?rcpNo=20260624900416", "공시열람")</f>
        <v/>
      </c>
    </row>
    <row r="12868">
      <c r="A12868" s="2" t="inlineStr">
        <is>
          <t>2026-06-24</t>
        </is>
      </c>
      <c r="B12868" s="3" t="inlineStr">
        <is>
          <t>키움증권</t>
        </is>
      </c>
      <c r="C12868" s="2" t="inlineStr">
        <is>
          <t>코스피</t>
        </is>
      </c>
      <c r="D12868" s="2" t="inlineStr">
        <is>
          <t>039490</t>
        </is>
      </c>
      <c r="E12868" s="3" t="inlineStr">
        <is>
          <t>일괄신고추가서류(파생결합사채-주가연계파생결합사채)</t>
        </is>
      </c>
      <c r="F12868" s="3" t="inlineStr">
        <is>
          <t>키움증권</t>
        </is>
      </c>
      <c r="G12868" s="2" t="inlineStr">
        <is>
          <t>20260624000138</t>
        </is>
      </c>
      <c r="H12868" s="8">
        <f>HYPERLINK("https://dart.fss.or.kr/dsaf001/main.do?rcpNo=20260624000138", "공시열람")</f>
        <v/>
      </c>
    </row>
    <row r="12869">
      <c r="A12869" s="2" t="inlineStr">
        <is>
          <t>2026-06-24</t>
        </is>
      </c>
      <c r="B12869" s="3" t="inlineStr">
        <is>
          <t>한화투자증권</t>
        </is>
      </c>
      <c r="C12869" s="2" t="inlineStr">
        <is>
          <t>코스피</t>
        </is>
      </c>
      <c r="D12869" s="2" t="inlineStr">
        <is>
          <t>003530</t>
        </is>
      </c>
      <c r="E12869" s="3" t="inlineStr">
        <is>
          <t>일괄신고추가서류(파생결합사채-주가연계파생결합사채)</t>
        </is>
      </c>
      <c r="F12869" s="3" t="inlineStr">
        <is>
          <t>한화투자증권</t>
        </is>
      </c>
      <c r="G12869" s="2" t="inlineStr">
        <is>
          <t>20260624000137</t>
        </is>
      </c>
      <c r="H12869" s="8">
        <f>HYPERLINK("https://dart.fss.or.kr/dsaf001/main.do?rcpNo=20260624000137", "공시열람")</f>
        <v/>
      </c>
    </row>
    <row r="12870">
      <c r="A12870" s="2" t="inlineStr">
        <is>
          <t>2026-06-24</t>
        </is>
      </c>
      <c r="B12870" s="3" t="inlineStr">
        <is>
          <t>미래에셋증권</t>
        </is>
      </c>
      <c r="C12870" s="2" t="inlineStr">
        <is>
          <t>코스피</t>
        </is>
      </c>
      <c r="D12870" s="2" t="inlineStr">
        <is>
          <t>006800</t>
        </is>
      </c>
      <c r="E12870" s="3" t="inlineStr">
        <is>
          <t>일괄신고추가서류(파생결합사채-주가연계파생결합사채)</t>
        </is>
      </c>
      <c r="F12870" s="3" t="inlineStr">
        <is>
          <t>미래에셋증권</t>
        </is>
      </c>
      <c r="G12870" s="2" t="inlineStr">
        <is>
          <t>20260624000136</t>
        </is>
      </c>
      <c r="H12870" s="8">
        <f>HYPERLINK("https://dart.fss.or.kr/dsaf001/main.do?rcpNo=20260624000136", "공시열람")</f>
        <v/>
      </c>
    </row>
    <row r="12871">
      <c r="A12871" s="2" t="inlineStr">
        <is>
          <t>2026-06-24</t>
        </is>
      </c>
      <c r="B12871" s="3" t="inlineStr">
        <is>
          <t>페스카로</t>
        </is>
      </c>
      <c r="C12871" s="2" t="inlineStr">
        <is>
          <t>코스닥</t>
        </is>
      </c>
      <c r="D12871" s="2" t="inlineStr">
        <is>
          <t>0015S0</t>
        </is>
      </c>
      <c r="E12871" s="3" t="inlineStr">
        <is>
          <t xml:space="preserve">주주명부폐쇄기간또는기준일설정              </t>
        </is>
      </c>
      <c r="F12871" s="3" t="inlineStr">
        <is>
          <t>페스카로</t>
        </is>
      </c>
      <c r="G12871" s="2" t="inlineStr">
        <is>
          <t>20260624900406</t>
        </is>
      </c>
      <c r="H12871" s="8">
        <f>HYPERLINK("https://dart.fss.or.kr/dsaf001/main.do?rcpNo=20260624900406", "공시열람")</f>
        <v/>
      </c>
    </row>
    <row r="12872">
      <c r="A12872" s="2" t="inlineStr">
        <is>
          <t>2026-06-24</t>
        </is>
      </c>
      <c r="B12872" s="3" t="inlineStr">
        <is>
          <t>키움증권</t>
        </is>
      </c>
      <c r="C12872" s="2" t="inlineStr">
        <is>
          <t>코스피</t>
        </is>
      </c>
      <c r="D12872" s="2" t="inlineStr">
        <is>
          <t>039490</t>
        </is>
      </c>
      <c r="E12872" s="3" t="inlineStr">
        <is>
          <t>일괄신고추가서류(파생결합사채-주가연계파생결합사채)</t>
        </is>
      </c>
      <c r="F12872" s="3" t="inlineStr">
        <is>
          <t>키움증권</t>
        </is>
      </c>
      <c r="G12872" s="2" t="inlineStr">
        <is>
          <t>20260624000130</t>
        </is>
      </c>
      <c r="H12872" s="8">
        <f>HYPERLINK("https://dart.fss.or.kr/dsaf001/main.do?rcpNo=20260624000130", "공시열람")</f>
        <v/>
      </c>
    </row>
    <row r="12873">
      <c r="A12873" s="2" t="inlineStr">
        <is>
          <t>2026-06-24</t>
        </is>
      </c>
      <c r="B12873" s="3" t="inlineStr">
        <is>
          <t>하림</t>
        </is>
      </c>
      <c r="C12873" s="2" t="inlineStr">
        <is>
          <t>코스닥</t>
        </is>
      </c>
      <c r="D12873" s="2" t="inlineStr">
        <is>
          <t>136480</t>
        </is>
      </c>
      <c r="E12873" s="3" t="inlineStr">
        <is>
          <t>동일인등출자계열회사와의상품ㆍ용역거래</t>
        </is>
      </c>
      <c r="F12873" s="3" t="inlineStr">
        <is>
          <t>하림</t>
        </is>
      </c>
      <c r="G12873" s="2" t="inlineStr">
        <is>
          <t>20260624000128</t>
        </is>
      </c>
      <c r="H12873" s="8">
        <f>HYPERLINK("https://dart.fss.or.kr/dsaf001/main.do?rcpNo=20260624000128", "공시열람")</f>
        <v/>
      </c>
    </row>
    <row r="12874">
      <c r="A12874" s="2" t="inlineStr">
        <is>
          <t>2026-06-24</t>
        </is>
      </c>
      <c r="B12874" s="3" t="inlineStr">
        <is>
          <t>한화투자증권</t>
        </is>
      </c>
      <c r="C12874" s="2" t="inlineStr">
        <is>
          <t>코스피</t>
        </is>
      </c>
      <c r="D12874" s="2" t="inlineStr">
        <is>
          <t>003530</t>
        </is>
      </c>
      <c r="E12874" s="3" t="inlineStr">
        <is>
          <t>일괄신고추가서류(파생결합사채-주가연계파생결합사채)</t>
        </is>
      </c>
      <c r="F12874" s="3" t="inlineStr">
        <is>
          <t>한화투자증권</t>
        </is>
      </c>
      <c r="G12874" s="2" t="inlineStr">
        <is>
          <t>20260624000127</t>
        </is>
      </c>
      <c r="H12874" s="8">
        <f>HYPERLINK("https://dart.fss.or.kr/dsaf001/main.do?rcpNo=20260624000127", "공시열람")</f>
        <v/>
      </c>
    </row>
    <row r="12875">
      <c r="A12875" s="2" t="inlineStr">
        <is>
          <t>2026-06-24</t>
        </is>
      </c>
      <c r="B12875" s="3" t="inlineStr">
        <is>
          <t>미래에셋증권</t>
        </is>
      </c>
      <c r="C12875" s="2" t="inlineStr">
        <is>
          <t>코스피</t>
        </is>
      </c>
      <c r="D12875" s="2" t="inlineStr">
        <is>
          <t>006800</t>
        </is>
      </c>
      <c r="E12875" s="3" t="inlineStr">
        <is>
          <t>투자설명서(일괄신고)</t>
        </is>
      </c>
      <c r="F12875" s="3" t="inlineStr">
        <is>
          <t>미래에셋증권</t>
        </is>
      </c>
      <c r="G12875" s="2" t="inlineStr">
        <is>
          <t>20260624000123</t>
        </is>
      </c>
      <c r="H12875" s="8">
        <f>HYPERLINK("https://dart.fss.or.kr/dsaf001/main.do?rcpNo=20260624000123", "공시열람")</f>
        <v/>
      </c>
    </row>
    <row r="12876">
      <c r="A12876" s="2" t="inlineStr">
        <is>
          <t>2026-06-24</t>
        </is>
      </c>
      <c r="B12876" s="3" t="inlineStr">
        <is>
          <t>미래에셋증권</t>
        </is>
      </c>
      <c r="C12876" s="2" t="inlineStr">
        <is>
          <t>코스피</t>
        </is>
      </c>
      <c r="D12876" s="2" t="inlineStr">
        <is>
          <t>006800</t>
        </is>
      </c>
      <c r="E12876" s="3" t="inlineStr">
        <is>
          <t>일괄신고추가서류(파생결합사채-주가연계파생결합사채)</t>
        </is>
      </c>
      <c r="F12876" s="3" t="inlineStr">
        <is>
          <t>미래에셋증권</t>
        </is>
      </c>
      <c r="G12876" s="2" t="inlineStr">
        <is>
          <t>20260624000121</t>
        </is>
      </c>
      <c r="H12876" s="8">
        <f>HYPERLINK("https://dart.fss.or.kr/dsaf001/main.do?rcpNo=20260624000121", "공시열람")</f>
        <v/>
      </c>
    </row>
    <row r="12877">
      <c r="A12877" s="2" t="inlineStr">
        <is>
          <t>2026-06-24</t>
        </is>
      </c>
      <c r="B12877" s="3" t="inlineStr">
        <is>
          <t>아이센스</t>
        </is>
      </c>
      <c r="C12877" s="2" t="inlineStr">
        <is>
          <t>코스닥</t>
        </is>
      </c>
      <c r="D12877" s="2" t="inlineStr">
        <is>
          <t>099190</t>
        </is>
      </c>
      <c r="E12877" s="3" t="inlineStr">
        <is>
          <t>임원ㆍ주요주주특정증권등소유상황보고서</t>
        </is>
      </c>
      <c r="F12877" s="3" t="inlineStr">
        <is>
          <t>남학현</t>
        </is>
      </c>
      <c r="G12877" s="2" t="inlineStr">
        <is>
          <t>20260624000118</t>
        </is>
      </c>
      <c r="H12877" s="8">
        <f>HYPERLINK("https://dart.fss.or.kr/dsaf001/main.do?rcpNo=20260624000118", "공시열람")</f>
        <v/>
      </c>
    </row>
    <row r="12878">
      <c r="A12878" s="2" t="inlineStr">
        <is>
          <t>2026-06-24</t>
        </is>
      </c>
      <c r="B12878" s="3" t="inlineStr">
        <is>
          <t>이삭엔지니어링</t>
        </is>
      </c>
      <c r="C12878" s="2" t="inlineStr">
        <is>
          <t>코스닥</t>
        </is>
      </c>
      <c r="D12878" s="2" t="inlineStr">
        <is>
          <t>351330</t>
        </is>
      </c>
      <c r="E12878" s="3" t="inlineStr">
        <is>
          <t>임원ㆍ주요주주특정증권등소유상황보고서</t>
        </is>
      </c>
      <c r="F12878" s="3" t="inlineStr">
        <is>
          <t>지성찬</t>
        </is>
      </c>
      <c r="G12878" s="2" t="inlineStr">
        <is>
          <t>20260624000115</t>
        </is>
      </c>
      <c r="H12878" s="8">
        <f>HYPERLINK("https://dart.fss.or.kr/dsaf001/main.do?rcpNo=20260624000115", "공시열람")</f>
        <v/>
      </c>
    </row>
    <row r="12879">
      <c r="A12879" s="2" t="inlineStr">
        <is>
          <t>2026-06-24</t>
        </is>
      </c>
      <c r="B12879" s="3" t="inlineStr">
        <is>
          <t>한창제지</t>
        </is>
      </c>
      <c r="C12879" s="2" t="inlineStr">
        <is>
          <t>코스피</t>
        </is>
      </c>
      <c r="D12879" s="2" t="inlineStr">
        <is>
          <t>009460</t>
        </is>
      </c>
      <c r="E12879" s="3" t="inlineStr">
        <is>
          <t>임원ㆍ주요주주특정증권등소유상황보고서</t>
        </is>
      </c>
      <c r="F12879" s="3" t="inlineStr">
        <is>
          <t>장항민</t>
        </is>
      </c>
      <c r="G12879" s="2" t="inlineStr">
        <is>
          <t>20260624000114</t>
        </is>
      </c>
      <c r="H12879" s="8">
        <f>HYPERLINK("https://dart.fss.or.kr/dsaf001/main.do?rcpNo=20260624000114", "공시열람")</f>
        <v/>
      </c>
    </row>
    <row r="12880">
      <c r="A12880" s="2" t="inlineStr">
        <is>
          <t>2026-06-24</t>
        </is>
      </c>
      <c r="B12880" s="3" t="inlineStr">
        <is>
          <t>팬오션</t>
        </is>
      </c>
      <c r="C12880" s="2" t="inlineStr">
        <is>
          <t>코스피</t>
        </is>
      </c>
      <c r="D12880" s="2" t="inlineStr">
        <is>
          <t>028670</t>
        </is>
      </c>
      <c r="E12880" s="3" t="inlineStr">
        <is>
          <t>임원ㆍ주요주주특정증권등소유상황보고서</t>
        </is>
      </c>
      <c r="F12880" s="3" t="inlineStr">
        <is>
          <t>천세기</t>
        </is>
      </c>
      <c r="G12880" s="2" t="inlineStr">
        <is>
          <t>20260624000113</t>
        </is>
      </c>
      <c r="H12880" s="8">
        <f>HYPERLINK("https://dart.fss.or.kr/dsaf001/main.do?rcpNo=20260624000113", "공시열람")</f>
        <v/>
      </c>
    </row>
    <row r="12881">
      <c r="A12881" s="2" t="inlineStr">
        <is>
          <t>2026-06-24</t>
        </is>
      </c>
      <c r="B12881" s="3" t="inlineStr">
        <is>
          <t>키움증권</t>
        </is>
      </c>
      <c r="C12881" s="2" t="inlineStr">
        <is>
          <t>코스피</t>
        </is>
      </c>
      <c r="D12881" s="2" t="inlineStr">
        <is>
          <t>039490</t>
        </is>
      </c>
      <c r="E12881" s="3" t="inlineStr">
        <is>
          <t>일괄신고추가서류(파생결합사채-주가연계파생결합사채)</t>
        </is>
      </c>
      <c r="F12881" s="3" t="inlineStr">
        <is>
          <t>키움증권</t>
        </is>
      </c>
      <c r="G12881" s="2" t="inlineStr">
        <is>
          <t>20260624000112</t>
        </is>
      </c>
      <c r="H12881" s="8">
        <f>HYPERLINK("https://dart.fss.or.kr/dsaf001/main.do?rcpNo=20260624000112", "공시열람")</f>
        <v/>
      </c>
    </row>
    <row r="12882">
      <c r="A12882" s="2" t="inlineStr">
        <is>
          <t>2026-06-24</t>
        </is>
      </c>
      <c r="B12882" s="3" t="inlineStr">
        <is>
          <t>세진티에스</t>
        </is>
      </c>
      <c r="C12882" s="2" t="inlineStr">
        <is>
          <t>코스닥</t>
        </is>
      </c>
      <c r="D12882" s="2" t="inlineStr">
        <is>
          <t>067770</t>
        </is>
      </c>
      <c r="E12882" s="3" t="inlineStr">
        <is>
          <t xml:space="preserve">주주명부폐쇄기간또는기준일설정              </t>
        </is>
      </c>
      <c r="F12882" s="3" t="inlineStr">
        <is>
          <t>세진티에스</t>
        </is>
      </c>
      <c r="G12882" s="2" t="inlineStr">
        <is>
          <t>20260624900385</t>
        </is>
      </c>
      <c r="H12882" s="8">
        <f>HYPERLINK("https://dart.fss.or.kr/dsaf001/main.do?rcpNo=20260624900385", "공시열람")</f>
        <v/>
      </c>
    </row>
    <row r="12883">
      <c r="A12883" s="2" t="inlineStr">
        <is>
          <t>2026-06-24</t>
        </is>
      </c>
      <c r="B12883" s="3" t="inlineStr">
        <is>
          <t>이엔셀</t>
        </is>
      </c>
      <c r="C12883" s="2" t="inlineStr">
        <is>
          <t>코스닥</t>
        </is>
      </c>
      <c r="D12883" s="2" t="inlineStr">
        <is>
          <t>456070</t>
        </is>
      </c>
      <c r="E12883" s="3" t="inlineStr">
        <is>
          <t>임원ㆍ주요주주특정증권등소유상황보고서</t>
        </is>
      </c>
      <c r="F12883" s="3" t="inlineStr">
        <is>
          <t>양정윤</t>
        </is>
      </c>
      <c r="G12883" s="2" t="inlineStr">
        <is>
          <t>20260624000111</t>
        </is>
      </c>
      <c r="H12883" s="8">
        <f>HYPERLINK("https://dart.fss.or.kr/dsaf001/main.do?rcpNo=20260624000111", "공시열람")</f>
        <v/>
      </c>
    </row>
    <row r="12884">
      <c r="A12884" s="2" t="inlineStr">
        <is>
          <t>2026-06-24</t>
        </is>
      </c>
      <c r="B12884" s="3" t="inlineStr">
        <is>
          <t>푸드나무</t>
        </is>
      </c>
      <c r="C12884" s="2" t="inlineStr">
        <is>
          <t>코스닥</t>
        </is>
      </c>
      <c r="D12884" s="2" t="inlineStr">
        <is>
          <t>290720</t>
        </is>
      </c>
      <c r="E12884" s="3" t="inlineStr">
        <is>
          <t>전환가액의조정              (제3회차)</t>
        </is>
      </c>
      <c r="F12884" s="3" t="inlineStr">
        <is>
          <t>푸드나무</t>
        </is>
      </c>
      <c r="G12884" s="2" t="inlineStr">
        <is>
          <t>20260624900345</t>
        </is>
      </c>
      <c r="H12884" s="8">
        <f>HYPERLINK("https://dart.fss.or.kr/dsaf001/main.do?rcpNo=20260624900345", "공시열람")</f>
        <v/>
      </c>
    </row>
    <row r="12885">
      <c r="A12885" s="2" t="inlineStr">
        <is>
          <t>2026-06-24</t>
        </is>
      </c>
      <c r="B12885" s="3" t="inlineStr">
        <is>
          <t>이엔셀</t>
        </is>
      </c>
      <c r="C12885" s="2" t="inlineStr">
        <is>
          <t>코스닥</t>
        </is>
      </c>
      <c r="D12885" s="2" t="inlineStr">
        <is>
          <t>456070</t>
        </is>
      </c>
      <c r="E12885" s="3" t="inlineStr">
        <is>
          <t>임원ㆍ주요주주특정증권등소유상황보고서</t>
        </is>
      </c>
      <c r="F12885" s="3" t="inlineStr">
        <is>
          <t>박상언</t>
        </is>
      </c>
      <c r="G12885" s="2" t="inlineStr">
        <is>
          <t>20260624000106</t>
        </is>
      </c>
      <c r="H12885" s="8">
        <f>HYPERLINK("https://dart.fss.or.kr/dsaf001/main.do?rcpNo=20260624000106", "공시열람")</f>
        <v/>
      </c>
    </row>
    <row r="12886">
      <c r="A12886" s="2" t="inlineStr">
        <is>
          <t>2026-06-24</t>
        </is>
      </c>
      <c r="B12886" s="3" t="inlineStr">
        <is>
          <t>키다리스튜디오</t>
        </is>
      </c>
      <c r="C12886" s="2" t="inlineStr">
        <is>
          <t>코스피</t>
        </is>
      </c>
      <c r="D12886" s="2" t="inlineStr">
        <is>
          <t>020120</t>
        </is>
      </c>
      <c r="E12886" s="3" t="inlineStr">
        <is>
          <t>신탁계약해지결과보고서</t>
        </is>
      </c>
      <c r="F12886" s="3" t="inlineStr">
        <is>
          <t>키다리스튜디오</t>
        </is>
      </c>
      <c r="G12886" s="2" t="inlineStr">
        <is>
          <t>20260624000105</t>
        </is>
      </c>
      <c r="H12886" s="8">
        <f>HYPERLINK("https://dart.fss.or.kr/dsaf001/main.do?rcpNo=20260624000105", "공시열람")</f>
        <v/>
      </c>
    </row>
    <row r="12887">
      <c r="A12887" s="2" t="inlineStr">
        <is>
          <t>2026-06-24</t>
        </is>
      </c>
      <c r="B12887" s="3" t="inlineStr">
        <is>
          <t>미원상사</t>
        </is>
      </c>
      <c r="C12887" s="2" t="inlineStr">
        <is>
          <t>코스피</t>
        </is>
      </c>
      <c r="D12887" s="2" t="inlineStr">
        <is>
          <t>002840</t>
        </is>
      </c>
      <c r="E12887" s="3" t="inlineStr">
        <is>
          <t>임원ㆍ주요주주특정증권등소유상황보고서</t>
        </is>
      </c>
      <c r="F12887" s="3" t="inlineStr">
        <is>
          <t>강신우</t>
        </is>
      </c>
      <c r="G12887" s="2" t="inlineStr">
        <is>
          <t>20260624000103</t>
        </is>
      </c>
      <c r="H12887" s="8">
        <f>HYPERLINK("https://dart.fss.or.kr/dsaf001/main.do?rcpNo=20260624000103", "공시열람")</f>
        <v/>
      </c>
    </row>
    <row r="12888">
      <c r="A12888" s="2" t="inlineStr">
        <is>
          <t>2026-06-24</t>
        </is>
      </c>
      <c r="B12888" s="3" t="inlineStr">
        <is>
          <t>에코프로머티</t>
        </is>
      </c>
      <c r="C12888" s="2" t="inlineStr">
        <is>
          <t>코스피</t>
        </is>
      </c>
      <c r="D12888" s="2" t="inlineStr">
        <is>
          <t>450080</t>
        </is>
      </c>
      <c r="E12888" s="3" t="inlineStr">
        <is>
          <t>임원ㆍ주요주주특정증권등소유상황보고서</t>
        </is>
      </c>
      <c r="F12888" s="3" t="inlineStr">
        <is>
          <t>이성준</t>
        </is>
      </c>
      <c r="G12888" s="2" t="inlineStr">
        <is>
          <t>20260624000099</t>
        </is>
      </c>
      <c r="H12888" s="8">
        <f>HYPERLINK("https://dart.fss.or.kr/dsaf001/main.do?rcpNo=20260624000099", "공시열람")</f>
        <v/>
      </c>
    </row>
    <row r="12889">
      <c r="A12889" s="2" t="inlineStr">
        <is>
          <t>2026-06-24</t>
        </is>
      </c>
      <c r="B12889" s="3" t="inlineStr">
        <is>
          <t>동운아나텍</t>
        </is>
      </c>
      <c r="C12889" s="2" t="inlineStr">
        <is>
          <t>코스닥</t>
        </is>
      </c>
      <c r="D12889" s="2" t="inlineStr">
        <is>
          <t>094170</t>
        </is>
      </c>
      <c r="E12889" s="3" t="inlineStr">
        <is>
          <t>임원ㆍ주요주주특정증권등소유상황보고서</t>
        </is>
      </c>
      <c r="F12889" s="3" t="inlineStr">
        <is>
          <t>김동철</t>
        </is>
      </c>
      <c r="G12889" s="2" t="inlineStr">
        <is>
          <t>20260624000096</t>
        </is>
      </c>
      <c r="H12889" s="8">
        <f>HYPERLINK("https://dart.fss.or.kr/dsaf001/main.do?rcpNo=20260624000096", "공시열람")</f>
        <v/>
      </c>
    </row>
    <row r="12890">
      <c r="A12890" s="2" t="inlineStr">
        <is>
          <t>2026-06-24</t>
        </is>
      </c>
      <c r="B12890" s="3" t="inlineStr">
        <is>
          <t>더블유씨피</t>
        </is>
      </c>
      <c r="C12890" s="2" t="inlineStr">
        <is>
          <t>코스닥</t>
        </is>
      </c>
      <c r="D12890" s="2" t="inlineStr">
        <is>
          <t>393890</t>
        </is>
      </c>
      <c r="E12890" s="3" t="inlineStr">
        <is>
          <t xml:space="preserve">기업설명회(IR)개최              </t>
        </is>
      </c>
      <c r="F12890" s="3" t="inlineStr">
        <is>
          <t>더블유씨피</t>
        </is>
      </c>
      <c r="G12890" s="2" t="inlineStr">
        <is>
          <t>20260624900360</t>
        </is>
      </c>
      <c r="H12890" s="8">
        <f>HYPERLINK("https://dart.fss.or.kr/dsaf001/main.do?rcpNo=20260624900360", "공시열람")</f>
        <v/>
      </c>
    </row>
    <row r="12891">
      <c r="A12891" s="2" t="inlineStr">
        <is>
          <t>2026-06-24</t>
        </is>
      </c>
      <c r="B12891" s="3" t="inlineStr">
        <is>
          <t>현대차증권</t>
        </is>
      </c>
      <c r="C12891" s="2" t="inlineStr">
        <is>
          <t>코스피</t>
        </is>
      </c>
      <c r="D12891" s="2" t="inlineStr">
        <is>
          <t>001500</t>
        </is>
      </c>
      <c r="E12891" s="3" t="inlineStr">
        <is>
          <t>일괄신고추가서류(기타파생결합사채)</t>
        </is>
      </c>
      <c r="F12891" s="3" t="inlineStr">
        <is>
          <t>현대차증권</t>
        </is>
      </c>
      <c r="G12891" s="2" t="inlineStr">
        <is>
          <t>20260624000092</t>
        </is>
      </c>
      <c r="H12891" s="8">
        <f>HYPERLINK("https://dart.fss.or.kr/dsaf001/main.do?rcpNo=20260624000092", "공시열람")</f>
        <v/>
      </c>
    </row>
    <row r="12892">
      <c r="A12892" s="2" t="inlineStr">
        <is>
          <t>2026-06-24</t>
        </is>
      </c>
      <c r="B12892" s="3" t="inlineStr">
        <is>
          <t>조이시티</t>
        </is>
      </c>
      <c r="C12892" s="2" t="inlineStr">
        <is>
          <t>코스닥</t>
        </is>
      </c>
      <c r="D12892" s="2" t="inlineStr">
        <is>
          <t>067000</t>
        </is>
      </c>
      <c r="E12892" s="3" t="inlineStr">
        <is>
          <t xml:space="preserve">기업설명회(IR)개최              </t>
        </is>
      </c>
      <c r="F12892" s="3" t="inlineStr">
        <is>
          <t>조이시티</t>
        </is>
      </c>
      <c r="G12892" s="2" t="inlineStr">
        <is>
          <t>20260624900355</t>
        </is>
      </c>
      <c r="H12892" s="8">
        <f>HYPERLINK("https://dart.fss.or.kr/dsaf001/main.do?rcpNo=20260624900355", "공시열람")</f>
        <v/>
      </c>
    </row>
    <row r="12893">
      <c r="A12893" s="2" t="inlineStr">
        <is>
          <t>2026-06-24</t>
        </is>
      </c>
      <c r="B12893" s="3" t="inlineStr">
        <is>
          <t>뉴인텍</t>
        </is>
      </c>
      <c r="C12893" s="2" t="inlineStr">
        <is>
          <t>코스닥</t>
        </is>
      </c>
      <c r="D12893" s="2" t="inlineStr">
        <is>
          <t>012340</t>
        </is>
      </c>
      <c r="E12893" s="3" t="inlineStr">
        <is>
          <t>유상증자또는주식관련사채등의청약결과(자율공시)              (주주배정후 실권주 일반공모)</t>
        </is>
      </c>
      <c r="F12893" s="3" t="inlineStr">
        <is>
          <t>뉴인텍</t>
        </is>
      </c>
      <c r="G12893" s="2" t="inlineStr">
        <is>
          <t>20260624900305</t>
        </is>
      </c>
      <c r="H12893" s="8">
        <f>HYPERLINK("https://dart.fss.or.kr/dsaf001/main.do?rcpNo=20260624900305", "공시열람")</f>
        <v/>
      </c>
    </row>
    <row r="12894">
      <c r="A12894" s="2" t="inlineStr">
        <is>
          <t>2026-06-24</t>
        </is>
      </c>
      <c r="B12894" s="3" t="inlineStr">
        <is>
          <t>이엔셀</t>
        </is>
      </c>
      <c r="C12894" s="2" t="inlineStr">
        <is>
          <t>코스닥</t>
        </is>
      </c>
      <c r="D12894" s="2" t="inlineStr">
        <is>
          <t>456070</t>
        </is>
      </c>
      <c r="E12894" s="3" t="inlineStr">
        <is>
          <t>임원ㆍ주요주주특정증권등소유상황보고서</t>
        </is>
      </c>
      <c r="F12894" s="3" t="inlineStr">
        <is>
          <t>이만경</t>
        </is>
      </c>
      <c r="G12894" s="2" t="inlineStr">
        <is>
          <t>20260624000089</t>
        </is>
      </c>
      <c r="H12894" s="8">
        <f>HYPERLINK("https://dart.fss.or.kr/dsaf001/main.do?rcpNo=20260624000089", "공시열람")</f>
        <v/>
      </c>
    </row>
    <row r="12895">
      <c r="A12895" s="2" t="inlineStr">
        <is>
          <t>2026-06-24</t>
        </is>
      </c>
      <c r="B12895" s="3" t="inlineStr">
        <is>
          <t>카카오</t>
        </is>
      </c>
      <c r="C12895" s="2" t="inlineStr">
        <is>
          <t>코스피</t>
        </is>
      </c>
      <c r="D12895" s="2" t="inlineStr">
        <is>
          <t>035720</t>
        </is>
      </c>
      <c r="E12895" s="3" t="inlineStr">
        <is>
          <t xml:space="preserve">지속가능경영보고서등관련사항(자율공시)              </t>
        </is>
      </c>
      <c r="F12895" s="3" t="inlineStr">
        <is>
          <t>카카오</t>
        </is>
      </c>
      <c r="G12895" s="2" t="inlineStr">
        <is>
          <t>20260624800344</t>
        </is>
      </c>
      <c r="H12895" s="8">
        <f>HYPERLINK("https://dart.fss.or.kr/dsaf001/main.do?rcpNo=20260624800344", "공시열람")</f>
        <v/>
      </c>
    </row>
    <row r="12896">
      <c r="A12896" s="2" t="inlineStr">
        <is>
          <t>2026-06-24</t>
        </is>
      </c>
      <c r="B12896" s="3" t="inlineStr">
        <is>
          <t>멕아이씨에스</t>
        </is>
      </c>
      <c r="C12896" s="2" t="inlineStr">
        <is>
          <t>코스닥</t>
        </is>
      </c>
      <c r="D12896" s="2" t="inlineStr">
        <is>
          <t>058110</t>
        </is>
      </c>
      <c r="E12896" s="3" t="inlineStr">
        <is>
          <t xml:space="preserve">주주명부폐쇄기간또는기준일설정              </t>
        </is>
      </c>
      <c r="F12896" s="3" t="inlineStr">
        <is>
          <t>멕아이씨에스</t>
        </is>
      </c>
      <c r="G12896" s="2" t="inlineStr">
        <is>
          <t>20260624900341</t>
        </is>
      </c>
      <c r="H12896" s="8">
        <f>HYPERLINK("https://dart.fss.or.kr/dsaf001/main.do?rcpNo=20260624900341", "공시열람")</f>
        <v/>
      </c>
    </row>
    <row r="12897">
      <c r="A12897" s="2" t="inlineStr">
        <is>
          <t>2026-06-24</t>
        </is>
      </c>
      <c r="B12897" s="3" t="inlineStr">
        <is>
          <t>한화투자증권</t>
        </is>
      </c>
      <c r="C12897" s="2" t="inlineStr">
        <is>
          <t>코스피</t>
        </is>
      </c>
      <c r="D12897" s="2" t="inlineStr">
        <is>
          <t>003530</t>
        </is>
      </c>
      <c r="E12897" s="3" t="inlineStr">
        <is>
          <t>투자설명서(일괄신고)</t>
        </is>
      </c>
      <c r="F12897" s="3" t="inlineStr">
        <is>
          <t>한화투자증권</t>
        </is>
      </c>
      <c r="G12897" s="2" t="inlineStr">
        <is>
          <t>20260624000084</t>
        </is>
      </c>
      <c r="H12897" s="8">
        <f>HYPERLINK("https://dart.fss.or.kr/dsaf001/main.do?rcpNo=20260624000084", "공시열람")</f>
        <v/>
      </c>
    </row>
    <row r="12898">
      <c r="A12898" s="2" t="inlineStr">
        <is>
          <t>2026-06-24</t>
        </is>
      </c>
      <c r="B12898" s="3" t="inlineStr">
        <is>
          <t>한세엠케이</t>
        </is>
      </c>
      <c r="C12898" s="2" t="inlineStr">
        <is>
          <t>코스피</t>
        </is>
      </c>
      <c r="D12898" s="2" t="inlineStr">
        <is>
          <t>069640</t>
        </is>
      </c>
      <c r="E12898" s="3" t="inlineStr">
        <is>
          <t>임원ㆍ주요주주특정증권등거래계획보고서</t>
        </is>
      </c>
      <c r="F12898" s="3" t="inlineStr">
        <is>
          <t>김동녕</t>
        </is>
      </c>
      <c r="G12898" s="2" t="inlineStr">
        <is>
          <t>20260624000082</t>
        </is>
      </c>
      <c r="H12898" s="8">
        <f>HYPERLINK("https://dart.fss.or.kr/dsaf001/main.do?rcpNo=20260624000082", "공시열람")</f>
        <v/>
      </c>
    </row>
    <row r="12899">
      <c r="A12899" s="2" t="inlineStr">
        <is>
          <t>2026-06-24</t>
        </is>
      </c>
      <c r="B12899" s="3" t="inlineStr">
        <is>
          <t>한화투자증권</t>
        </is>
      </c>
      <c r="C12899" s="2" t="inlineStr">
        <is>
          <t>코스피</t>
        </is>
      </c>
      <c r="D12899" s="2" t="inlineStr">
        <is>
          <t>003530</t>
        </is>
      </c>
      <c r="E12899" s="3" t="inlineStr">
        <is>
          <t>일괄신고추가서류(파생결합사채-주가연계파생결합사채)</t>
        </is>
      </c>
      <c r="F12899" s="3" t="inlineStr">
        <is>
          <t>한화투자증권</t>
        </is>
      </c>
      <c r="G12899" s="2" t="inlineStr">
        <is>
          <t>20260624000081</t>
        </is>
      </c>
      <c r="H12899" s="8">
        <f>HYPERLINK("https://dart.fss.or.kr/dsaf001/main.do?rcpNo=20260624000081", "공시열람")</f>
        <v/>
      </c>
    </row>
    <row r="12900">
      <c r="A12900" s="2" t="inlineStr">
        <is>
          <t>2026-06-24</t>
        </is>
      </c>
      <c r="B12900" s="3" t="inlineStr">
        <is>
          <t>에코프로머티</t>
        </is>
      </c>
      <c r="C12900" s="2" t="inlineStr">
        <is>
          <t>코스피</t>
        </is>
      </c>
      <c r="D12900" s="2" t="inlineStr">
        <is>
          <t>450080</t>
        </is>
      </c>
      <c r="E12900" s="3" t="inlineStr">
        <is>
          <t>임원ㆍ주요주주특정증권등소유상황보고서</t>
        </is>
      </c>
      <c r="F12900" s="3" t="inlineStr">
        <is>
          <t>김수연</t>
        </is>
      </c>
      <c r="G12900" s="2" t="inlineStr">
        <is>
          <t>20260624000074</t>
        </is>
      </c>
      <c r="H12900" s="8">
        <f>HYPERLINK("https://dart.fss.or.kr/dsaf001/main.do?rcpNo=20260624000074", "공시열람")</f>
        <v/>
      </c>
    </row>
    <row r="12901">
      <c r="A12901" s="2" t="inlineStr">
        <is>
          <t>2026-06-24</t>
        </is>
      </c>
      <c r="B12901" s="3" t="inlineStr">
        <is>
          <t>디알텍</t>
        </is>
      </c>
      <c r="C12901" s="2" t="inlineStr">
        <is>
          <t>코스닥</t>
        </is>
      </c>
      <c r="D12901" s="2" t="inlineStr">
        <is>
          <t>214680</t>
        </is>
      </c>
      <c r="E12901" s="3" t="inlineStr">
        <is>
          <t xml:space="preserve">주주명부폐쇄기간또는기준일설정              </t>
        </is>
      </c>
      <c r="F12901" s="3" t="inlineStr">
        <is>
          <t>디알텍</t>
        </is>
      </c>
      <c r="G12901" s="2" t="inlineStr">
        <is>
          <t>20260624900324</t>
        </is>
      </c>
      <c r="H12901" s="8">
        <f>HYPERLINK("https://dart.fss.or.kr/dsaf001/main.do?rcpNo=20260624900324", "공시열람")</f>
        <v/>
      </c>
    </row>
    <row r="12902">
      <c r="A12902" s="2" t="inlineStr">
        <is>
          <t>2026-06-24</t>
        </is>
      </c>
      <c r="B12902" s="3" t="inlineStr">
        <is>
          <t>풀무원</t>
        </is>
      </c>
      <c r="C12902" s="2" t="inlineStr">
        <is>
          <t>코스피</t>
        </is>
      </c>
      <c r="D12902" s="2" t="inlineStr">
        <is>
          <t>017810</t>
        </is>
      </c>
      <c r="E12902" s="3" t="inlineStr">
        <is>
          <t>임원ㆍ주요주주특정증권등소유상황보고서</t>
        </is>
      </c>
      <c r="F12902" s="3" t="inlineStr">
        <is>
          <t>천영훈</t>
        </is>
      </c>
      <c r="G12902" s="2" t="inlineStr">
        <is>
          <t>20260624000069</t>
        </is>
      </c>
      <c r="H12902" s="8">
        <f>HYPERLINK("https://dart.fss.or.kr/dsaf001/main.do?rcpNo=20260624000069", "공시열람")</f>
        <v/>
      </c>
    </row>
    <row r="12903">
      <c r="A12903" s="2" t="inlineStr">
        <is>
          <t>2026-06-24</t>
        </is>
      </c>
      <c r="B12903" s="3" t="inlineStr">
        <is>
          <t>교보증권</t>
        </is>
      </c>
      <c r="C12903" s="2" t="inlineStr">
        <is>
          <t>코스피</t>
        </is>
      </c>
      <c r="D12903" s="2" t="inlineStr">
        <is>
          <t>030610</t>
        </is>
      </c>
      <c r="E12903" s="3" t="inlineStr">
        <is>
          <t>투자설명서(일괄신고)</t>
        </is>
      </c>
      <c r="F12903" s="3" t="inlineStr">
        <is>
          <t>교보증권</t>
        </is>
      </c>
      <c r="G12903" s="2" t="inlineStr">
        <is>
          <t>20260624000067</t>
        </is>
      </c>
      <c r="H12903" s="8">
        <f>HYPERLINK("https://dart.fss.or.kr/dsaf001/main.do?rcpNo=20260624000067", "공시열람")</f>
        <v/>
      </c>
    </row>
    <row r="12904">
      <c r="A12904" s="2" t="inlineStr">
        <is>
          <t>2026-06-24</t>
        </is>
      </c>
      <c r="B12904" s="3" t="inlineStr">
        <is>
          <t>교보증권</t>
        </is>
      </c>
      <c r="C12904" s="2" t="inlineStr">
        <is>
          <t>코스피</t>
        </is>
      </c>
      <c r="D12904" s="2" t="inlineStr">
        <is>
          <t>030610</t>
        </is>
      </c>
      <c r="E12904" s="3" t="inlineStr">
        <is>
          <t>일괄신고추가서류(파생결합증권-주가연계증권)</t>
        </is>
      </c>
      <c r="F12904" s="3" t="inlineStr">
        <is>
          <t>교보증권</t>
        </is>
      </c>
      <c r="G12904" s="2" t="inlineStr">
        <is>
          <t>20260624000064</t>
        </is>
      </c>
      <c r="H12904" s="8">
        <f>HYPERLINK("https://dart.fss.or.kr/dsaf001/main.do?rcpNo=20260624000064", "공시열람")</f>
        <v/>
      </c>
    </row>
    <row r="12905">
      <c r="A12905" s="2" t="inlineStr">
        <is>
          <t>2026-06-24</t>
        </is>
      </c>
      <c r="B12905" s="3" t="inlineStr">
        <is>
          <t>교보증권</t>
        </is>
      </c>
      <c r="C12905" s="2" t="inlineStr">
        <is>
          <t>코스피</t>
        </is>
      </c>
      <c r="D12905" s="2" t="inlineStr">
        <is>
          <t>030610</t>
        </is>
      </c>
      <c r="E12905" s="3" t="inlineStr">
        <is>
          <t>투자설명서(일괄신고)</t>
        </is>
      </c>
      <c r="F12905" s="3" t="inlineStr">
        <is>
          <t>교보증권</t>
        </is>
      </c>
      <c r="G12905" s="2" t="inlineStr">
        <is>
          <t>20260624000062</t>
        </is>
      </c>
      <c r="H12905" s="8">
        <f>HYPERLINK("https://dart.fss.or.kr/dsaf001/main.do?rcpNo=20260624000062", "공시열람")</f>
        <v/>
      </c>
    </row>
    <row r="12906">
      <c r="A12906" s="2" t="inlineStr">
        <is>
          <t>2026-06-24</t>
        </is>
      </c>
      <c r="B12906" s="3" t="inlineStr">
        <is>
          <t>교보증권</t>
        </is>
      </c>
      <c r="C12906" s="2" t="inlineStr">
        <is>
          <t>코스피</t>
        </is>
      </c>
      <c r="D12906" s="2" t="inlineStr">
        <is>
          <t>030610</t>
        </is>
      </c>
      <c r="E12906" s="3" t="inlineStr">
        <is>
          <t>일괄신고추가서류(파생결합사채-주가연계파생결합사채)</t>
        </is>
      </c>
      <c r="F12906" s="3" t="inlineStr">
        <is>
          <t>교보증권</t>
        </is>
      </c>
      <c r="G12906" s="2" t="inlineStr">
        <is>
          <t>20260624000059</t>
        </is>
      </c>
      <c r="H12906" s="8">
        <f>HYPERLINK("https://dart.fss.or.kr/dsaf001/main.do?rcpNo=20260624000059", "공시열람")</f>
        <v/>
      </c>
    </row>
    <row r="12907">
      <c r="A12907" s="2" t="inlineStr">
        <is>
          <t>2026-06-24</t>
        </is>
      </c>
      <c r="B12907" s="3" t="inlineStr">
        <is>
          <t>한화시스템</t>
        </is>
      </c>
      <c r="C12907" s="2" t="inlineStr">
        <is>
          <t>코스피</t>
        </is>
      </c>
      <c r="D12907" s="2" t="inlineStr">
        <is>
          <t>272210</t>
        </is>
      </c>
      <c r="E12907" s="3" t="inlineStr">
        <is>
          <t>특수관계인으로부터부동산매수</t>
        </is>
      </c>
      <c r="F12907" s="3" t="inlineStr">
        <is>
          <t>한화시스템</t>
        </is>
      </c>
      <c r="G12907" s="2" t="inlineStr">
        <is>
          <t>20260624000056</t>
        </is>
      </c>
      <c r="H12907" s="8">
        <f>HYPERLINK("https://dart.fss.or.kr/dsaf001/main.do?rcpNo=20260624000056", "공시열람")</f>
        <v/>
      </c>
    </row>
    <row r="12908">
      <c r="A12908" s="2" t="inlineStr">
        <is>
          <t>2026-06-24</t>
        </is>
      </c>
      <c r="B12908" s="3" t="inlineStr">
        <is>
          <t>삼현</t>
        </is>
      </c>
      <c r="C12908" s="2" t="inlineStr">
        <is>
          <t>코스닥</t>
        </is>
      </c>
      <c r="D12908" s="2" t="inlineStr">
        <is>
          <t>437730</t>
        </is>
      </c>
      <c r="E12908" s="3" t="inlineStr">
        <is>
          <t>임원ㆍ주요주주특정증권등소유상황보고서</t>
        </is>
      </c>
      <c r="F12908" s="3" t="inlineStr">
        <is>
          <t>서재복</t>
        </is>
      </c>
      <c r="G12908" s="2" t="inlineStr">
        <is>
          <t>20260624000054</t>
        </is>
      </c>
      <c r="H12908" s="8">
        <f>HYPERLINK("https://dart.fss.or.kr/dsaf001/main.do?rcpNo=20260624000054", "공시열람")</f>
        <v/>
      </c>
    </row>
    <row r="12909">
      <c r="A12909" s="2" t="inlineStr">
        <is>
          <t>2026-06-24</t>
        </is>
      </c>
      <c r="B12909" s="3" t="inlineStr">
        <is>
          <t>디알텍</t>
        </is>
      </c>
      <c r="C12909" s="2" t="inlineStr">
        <is>
          <t>코스닥</t>
        </is>
      </c>
      <c r="D12909" s="2" t="inlineStr">
        <is>
          <t>214680</t>
        </is>
      </c>
      <c r="E12909" s="3" t="inlineStr">
        <is>
          <t xml:space="preserve">주식병합결정              </t>
        </is>
      </c>
      <c r="F12909" s="3" t="inlineStr">
        <is>
          <t>디알텍</t>
        </is>
      </c>
      <c r="G12909" s="2" t="inlineStr">
        <is>
          <t>20260624900309</t>
        </is>
      </c>
      <c r="H12909" s="8">
        <f>HYPERLINK("https://dart.fss.or.kr/dsaf001/main.do?rcpNo=20260624900309", "공시열람")</f>
        <v/>
      </c>
    </row>
    <row r="12910">
      <c r="A12910" s="2" t="inlineStr">
        <is>
          <t>2026-06-24</t>
        </is>
      </c>
      <c r="B12910" s="3" t="inlineStr">
        <is>
          <t>한화시스템</t>
        </is>
      </c>
      <c r="C12910" s="2" t="inlineStr">
        <is>
          <t>코스피</t>
        </is>
      </c>
      <c r="D12910" s="2" t="inlineStr">
        <is>
          <t>272210</t>
        </is>
      </c>
      <c r="E12910" s="3" t="inlineStr">
        <is>
          <t xml:space="preserve">유형자산취득결정              </t>
        </is>
      </c>
      <c r="F12910" s="3" t="inlineStr">
        <is>
          <t>한화시스템</t>
        </is>
      </c>
      <c r="G12910" s="2" t="inlineStr">
        <is>
          <t>20260624800293</t>
        </is>
      </c>
      <c r="H12910" s="8">
        <f>HYPERLINK("https://dart.fss.or.kr/dsaf001/main.do?rcpNo=20260624800293", "공시열람")</f>
        <v/>
      </c>
    </row>
    <row r="12911">
      <c r="A12911" s="2" t="inlineStr">
        <is>
          <t>2026-06-24</t>
        </is>
      </c>
      <c r="B12911" s="3" t="inlineStr">
        <is>
          <t>제테마</t>
        </is>
      </c>
      <c r="C12911" s="2" t="inlineStr">
        <is>
          <t>코스닥</t>
        </is>
      </c>
      <c r="D12911" s="2" t="inlineStr">
        <is>
          <t>216080</t>
        </is>
      </c>
      <c r="E12911" s="3" t="inlineStr">
        <is>
          <t>임원ㆍ주요주주특정증권등소유상황보고서</t>
        </is>
      </c>
      <c r="F12911" s="3" t="inlineStr">
        <is>
          <t>조상준</t>
        </is>
      </c>
      <c r="G12911" s="2" t="inlineStr">
        <is>
          <t>20260624000045</t>
        </is>
      </c>
      <c r="H12911" s="8">
        <f>HYPERLINK("https://dart.fss.or.kr/dsaf001/main.do?rcpNo=20260624000045", "공시열람")</f>
        <v/>
      </c>
    </row>
    <row r="12912">
      <c r="A12912" s="2" t="inlineStr">
        <is>
          <t>2026-06-24</t>
        </is>
      </c>
      <c r="B12912" s="3" t="inlineStr">
        <is>
          <t>에쎈테크</t>
        </is>
      </c>
      <c r="C12912" s="2" t="inlineStr">
        <is>
          <t>코스닥</t>
        </is>
      </c>
      <c r="D12912" s="2" t="inlineStr">
        <is>
          <t>043340</t>
        </is>
      </c>
      <c r="E12912" s="3" t="inlineStr">
        <is>
          <t xml:space="preserve">영업실적등에대한전망(공정공시)              </t>
        </is>
      </c>
      <c r="F12912" s="3" t="inlineStr">
        <is>
          <t>에쎈테크</t>
        </is>
      </c>
      <c r="G12912" s="2" t="inlineStr">
        <is>
          <t>20260624900265</t>
        </is>
      </c>
      <c r="H12912" s="8">
        <f>HYPERLINK("https://dart.fss.or.kr/dsaf001/main.do?rcpNo=20260624900265", "공시열람")</f>
        <v/>
      </c>
    </row>
    <row r="12913">
      <c r="A12913" s="2" t="inlineStr">
        <is>
          <t>2026-06-24</t>
        </is>
      </c>
      <c r="B12913" s="3" t="inlineStr">
        <is>
          <t>레이저쎌</t>
        </is>
      </c>
      <c r="C12913" s="2" t="inlineStr">
        <is>
          <t>코스닥</t>
        </is>
      </c>
      <c r="D12913" s="2" t="inlineStr">
        <is>
          <t>412350</t>
        </is>
      </c>
      <c r="E12913" s="3" t="inlineStr">
        <is>
          <t xml:space="preserve">기업설명회(IR)개최              </t>
        </is>
      </c>
      <c r="F12913" s="3" t="inlineStr">
        <is>
          <t>레이저쎌</t>
        </is>
      </c>
      <c r="G12913" s="2" t="inlineStr">
        <is>
          <t>20260624900288</t>
        </is>
      </c>
      <c r="H12913" s="8">
        <f>HYPERLINK("https://dart.fss.or.kr/dsaf001/main.do?rcpNo=20260624900288", "공시열람")</f>
        <v/>
      </c>
    </row>
    <row r="12914">
      <c r="A12914" s="2" t="inlineStr">
        <is>
          <t>2026-06-24</t>
        </is>
      </c>
      <c r="B12914" s="3" t="inlineStr">
        <is>
          <t>엔피케이</t>
        </is>
      </c>
      <c r="C12914" s="2" t="inlineStr">
        <is>
          <t>코스닥</t>
        </is>
      </c>
      <c r="D12914" s="2" t="inlineStr">
        <is>
          <t>048830</t>
        </is>
      </c>
      <c r="E12914" s="3" t="inlineStr">
        <is>
          <t>임원ㆍ주요주주특정증권등소유상황보고서</t>
        </is>
      </c>
      <c r="F12914" s="3" t="inlineStr">
        <is>
          <t>엔피아이</t>
        </is>
      </c>
      <c r="G12914" s="2" t="inlineStr">
        <is>
          <t>20260624000040</t>
        </is>
      </c>
      <c r="H12914" s="8">
        <f>HYPERLINK("https://dart.fss.or.kr/dsaf001/main.do?rcpNo=20260624000040", "공시열람")</f>
        <v/>
      </c>
    </row>
    <row r="12915">
      <c r="A12915" s="2" t="inlineStr">
        <is>
          <t>2026-06-24</t>
        </is>
      </c>
      <c r="B12915" s="3" t="inlineStr">
        <is>
          <t>한화</t>
        </is>
      </c>
      <c r="C12915" s="2" t="inlineStr">
        <is>
          <t>코스피</t>
        </is>
      </c>
      <c r="D12915" s="2" t="inlineStr">
        <is>
          <t>000880</t>
        </is>
      </c>
      <c r="E12915" s="3" t="inlineStr">
        <is>
          <t>특수관계인에대한부동산매도</t>
        </is>
      </c>
      <c r="F12915" s="3" t="inlineStr">
        <is>
          <t>한화</t>
        </is>
      </c>
      <c r="G12915" s="2" t="inlineStr">
        <is>
          <t>20260624000038</t>
        </is>
      </c>
      <c r="H12915" s="8">
        <f>HYPERLINK("https://dart.fss.or.kr/dsaf001/main.do?rcpNo=20260624000038", "공시열람")</f>
        <v/>
      </c>
    </row>
    <row r="12916">
      <c r="A12916" s="2" t="inlineStr">
        <is>
          <t>2026-06-24</t>
        </is>
      </c>
      <c r="B12916" s="3" t="inlineStr">
        <is>
          <t>팬오션</t>
        </is>
      </c>
      <c r="C12916" s="2" t="inlineStr">
        <is>
          <t>코스피</t>
        </is>
      </c>
      <c r="D12916" s="2" t="inlineStr">
        <is>
          <t>028670</t>
        </is>
      </c>
      <c r="E12916" s="3" t="inlineStr">
        <is>
          <t>임원ㆍ주요주주특정증권등소유상황보고서</t>
        </is>
      </c>
      <c r="F12916" s="3" t="inlineStr">
        <is>
          <t>서보남</t>
        </is>
      </c>
      <c r="G12916" s="2" t="inlineStr">
        <is>
          <t>20260624000036</t>
        </is>
      </c>
      <c r="H12916" s="8">
        <f>HYPERLINK("https://dart.fss.or.kr/dsaf001/main.do?rcpNo=20260624000036", "공시열람")</f>
        <v/>
      </c>
    </row>
    <row r="12917">
      <c r="A12917" s="2" t="inlineStr">
        <is>
          <t>2026-06-24</t>
        </is>
      </c>
      <c r="B12917" s="3" t="inlineStr">
        <is>
          <t>한화시스템</t>
        </is>
      </c>
      <c r="C12917" s="2" t="inlineStr">
        <is>
          <t>코스피</t>
        </is>
      </c>
      <c r="D12917" s="2" t="inlineStr">
        <is>
          <t>272210</t>
        </is>
      </c>
      <c r="E12917" s="3" t="inlineStr">
        <is>
          <t>특수관계인으로부터받은담보</t>
        </is>
      </c>
      <c r="F12917" s="3" t="inlineStr">
        <is>
          <t>한화시스템</t>
        </is>
      </c>
      <c r="G12917" s="2" t="inlineStr">
        <is>
          <t>20260624000034</t>
        </is>
      </c>
      <c r="H12917" s="8">
        <f>HYPERLINK("https://dart.fss.or.kr/dsaf001/main.do?rcpNo=20260624000034", "공시열람")</f>
        <v/>
      </c>
    </row>
    <row r="12918">
      <c r="A12918" s="2" t="inlineStr">
        <is>
          <t>2026-06-24 (정정: 2026-06-26)</t>
        </is>
      </c>
      <c r="B12918" s="3" t="inlineStr">
        <is>
          <t>세아메카닉스</t>
        </is>
      </c>
      <c r="C12918" s="2" t="inlineStr">
        <is>
          <t>코스닥</t>
        </is>
      </c>
      <c r="D12918" s="2" t="inlineStr">
        <is>
          <t>396300</t>
        </is>
      </c>
      <c r="E12918" s="3" t="inlineStr">
        <is>
          <t>임원ㆍ주요주주특정증권등소유상황보고서 (정정: 20260626)</t>
        </is>
      </c>
      <c r="F12918" s="3" t="inlineStr">
        <is>
          <t>조창현</t>
        </is>
      </c>
      <c r="G12918" s="2" t="inlineStr">
        <is>
          <t>20260626000214</t>
        </is>
      </c>
      <c r="H12918" s="8">
        <f>HYPERLINK("https://dart.fss.or.kr/dsaf001/main.do?rcpNo=20260626000214", "공시열람")</f>
        <v/>
      </c>
    </row>
    <row r="12919">
      <c r="A12919" s="2" t="inlineStr">
        <is>
          <t>2026-06-24</t>
        </is>
      </c>
      <c r="B12919" s="3" t="inlineStr">
        <is>
          <t>미래에셋증권</t>
        </is>
      </c>
      <c r="C12919" s="2" t="inlineStr">
        <is>
          <t>코스피</t>
        </is>
      </c>
      <c r="D12919" s="2" t="inlineStr">
        <is>
          <t>006800</t>
        </is>
      </c>
      <c r="E12919" s="3" t="inlineStr">
        <is>
          <t>투자설명서(일괄신고)</t>
        </is>
      </c>
      <c r="F12919" s="3" t="inlineStr">
        <is>
          <t>미래에셋증권</t>
        </is>
      </c>
      <c r="G12919" s="2" t="inlineStr">
        <is>
          <t>20260624000028</t>
        </is>
      </c>
      <c r="H12919" s="8">
        <f>HYPERLINK("https://dart.fss.or.kr/dsaf001/main.do?rcpNo=20260624000028", "공시열람")</f>
        <v/>
      </c>
    </row>
    <row r="12920">
      <c r="A12920" s="2" t="inlineStr">
        <is>
          <t>2026-06-24</t>
        </is>
      </c>
      <c r="B12920" s="3" t="inlineStr">
        <is>
          <t>한화시스템</t>
        </is>
      </c>
      <c r="C12920" s="2" t="inlineStr">
        <is>
          <t>코스피</t>
        </is>
      </c>
      <c r="D12920" s="2" t="inlineStr">
        <is>
          <t>272210</t>
        </is>
      </c>
      <c r="E12920" s="3" t="inlineStr">
        <is>
          <t>동일인등출자계열회사와의상품ㆍ용역거래</t>
        </is>
      </c>
      <c r="F12920" s="3" t="inlineStr">
        <is>
          <t>한화시스템</t>
        </is>
      </c>
      <c r="G12920" s="2" t="inlineStr">
        <is>
          <t>20260624000025</t>
        </is>
      </c>
      <c r="H12920" s="8">
        <f>HYPERLINK("https://dart.fss.or.kr/dsaf001/main.do?rcpNo=20260624000025", "공시열람")</f>
        <v/>
      </c>
    </row>
    <row r="12921">
      <c r="A12921" s="2" t="inlineStr">
        <is>
          <t>2026-06-24</t>
        </is>
      </c>
      <c r="B12921" s="3" t="inlineStr">
        <is>
          <t>미래에셋증권</t>
        </is>
      </c>
      <c r="C12921" s="2" t="inlineStr">
        <is>
          <t>코스피</t>
        </is>
      </c>
      <c r="D12921" s="2" t="inlineStr">
        <is>
          <t>006800</t>
        </is>
      </c>
      <c r="E12921" s="3" t="inlineStr">
        <is>
          <t>일괄신고추가서류(파생결합사채-주가연계파생결합사채)</t>
        </is>
      </c>
      <c r="F12921" s="3" t="inlineStr">
        <is>
          <t>미래에셋증권</t>
        </is>
      </c>
      <c r="G12921" s="2" t="inlineStr">
        <is>
          <t>20260624000021</t>
        </is>
      </c>
      <c r="H12921" s="8">
        <f>HYPERLINK("https://dart.fss.or.kr/dsaf001/main.do?rcpNo=20260624000021", "공시열람")</f>
        <v/>
      </c>
    </row>
    <row r="12922">
      <c r="A12922" s="2" t="inlineStr">
        <is>
          <t>2026-06-24</t>
        </is>
      </c>
      <c r="B12922" s="3" t="inlineStr">
        <is>
          <t>DH오토웨어</t>
        </is>
      </c>
      <c r="C12922" s="2" t="inlineStr">
        <is>
          <t>코스닥</t>
        </is>
      </c>
      <c r="D12922" s="2" t="inlineStr">
        <is>
          <t>025440</t>
        </is>
      </c>
      <c r="E12922" s="3" t="inlineStr">
        <is>
          <t>임원ㆍ주요주주특정증권등소유상황보고서</t>
        </is>
      </c>
      <c r="F12922" s="3" t="inlineStr">
        <is>
          <t>정대석</t>
        </is>
      </c>
      <c r="G12922" s="2" t="inlineStr">
        <is>
          <t>20260624000016</t>
        </is>
      </c>
      <c r="H12922" s="8">
        <f>HYPERLINK("https://dart.fss.or.kr/dsaf001/main.do?rcpNo=20260624000016", "공시열람")</f>
        <v/>
      </c>
    </row>
    <row r="12923">
      <c r="A12923" s="2" t="inlineStr">
        <is>
          <t>2026-06-24</t>
        </is>
      </c>
      <c r="B12923" s="3" t="inlineStr">
        <is>
          <t>라온시큐어</t>
        </is>
      </c>
      <c r="C12923" s="2" t="inlineStr">
        <is>
          <t>코스닥</t>
        </is>
      </c>
      <c r="D12923" s="2" t="inlineStr">
        <is>
          <t>042510</t>
        </is>
      </c>
      <c r="E12923" s="3" t="inlineStr">
        <is>
          <t>임원ㆍ주요주주특정증권등소유상황보고서</t>
        </is>
      </c>
      <c r="F12923" s="3" t="inlineStr">
        <is>
          <t>이순형</t>
        </is>
      </c>
      <c r="G12923" s="2" t="inlineStr">
        <is>
          <t>20260624000015</t>
        </is>
      </c>
      <c r="H12923" s="8">
        <f>HYPERLINK("https://dart.fss.or.kr/dsaf001/main.do?rcpNo=20260624000015", "공시열람")</f>
        <v/>
      </c>
    </row>
    <row r="12924">
      <c r="A12924" s="2" t="inlineStr">
        <is>
          <t>2026-06-24</t>
        </is>
      </c>
      <c r="B12924" s="3" t="inlineStr">
        <is>
          <t>동양</t>
        </is>
      </c>
      <c r="C12924" s="2" t="inlineStr">
        <is>
          <t>코스피</t>
        </is>
      </c>
      <c r="D12924" s="2" t="inlineStr">
        <is>
          <t>001520</t>
        </is>
      </c>
      <c r="E12924" s="3" t="inlineStr">
        <is>
          <t>임원ㆍ주요주주특정증권등소유상황보고서</t>
        </is>
      </c>
      <c r="F12924" s="3" t="inlineStr">
        <is>
          <t>유진기업</t>
        </is>
      </c>
      <c r="G12924" s="2" t="inlineStr">
        <is>
          <t>20260624000004</t>
        </is>
      </c>
      <c r="H12924" s="8">
        <f>HYPERLINK("https://dart.fss.or.kr/dsaf001/main.do?rcpNo=20260624000004", "공시열람")</f>
        <v/>
      </c>
    </row>
    <row r="12925">
      <c r="A12925" s="2" t="inlineStr">
        <is>
          <t>2026-06-24</t>
        </is>
      </c>
      <c r="B12925" s="3" t="inlineStr">
        <is>
          <t>유안타증권</t>
        </is>
      </c>
      <c r="C12925" s="2" t="inlineStr">
        <is>
          <t>코스피</t>
        </is>
      </c>
      <c r="D12925" s="2" t="inlineStr">
        <is>
          <t>003470</t>
        </is>
      </c>
      <c r="E12925" s="3" t="inlineStr">
        <is>
          <t>증권발행실적보고서</t>
        </is>
      </c>
      <c r="F12925" s="3" t="inlineStr">
        <is>
          <t>유안타증권</t>
        </is>
      </c>
      <c r="G12925" s="2" t="inlineStr">
        <is>
          <t>20260624000003</t>
        </is>
      </c>
      <c r="H12925" s="8">
        <f>HYPERLINK("https://dart.fss.or.kr/dsaf001/main.do?rcpNo=20260624000003", "공시열람")</f>
        <v/>
      </c>
    </row>
    <row r="12926">
      <c r="A12926" s="2" t="inlineStr">
        <is>
          <t>2026-06-24</t>
        </is>
      </c>
      <c r="B12926" s="3" t="inlineStr">
        <is>
          <t>티움바이오</t>
        </is>
      </c>
      <c r="C12926" s="2" t="inlineStr">
        <is>
          <t>코스닥</t>
        </is>
      </c>
      <c r="D12926" s="2" t="inlineStr">
        <is>
          <t>321550</t>
        </is>
      </c>
      <c r="E12926" s="3" t="inlineStr">
        <is>
          <t>임원ㆍ주요주주특정증권등소유상황보고서</t>
        </is>
      </c>
      <c r="F12926" s="3" t="inlineStr">
        <is>
          <t>김훈택</t>
        </is>
      </c>
      <c r="G12926" s="2" t="inlineStr">
        <is>
          <t>20260624000001</t>
        </is>
      </c>
      <c r="H12926" s="8">
        <f>HYPERLINK("https://dart.fss.or.kr/dsaf001/main.do?rcpNo=20260624000001", "공시열람")</f>
        <v/>
      </c>
    </row>
    <row r="12927">
      <c r="A12927" s="2" t="inlineStr">
        <is>
          <t>2026-06-24</t>
        </is>
      </c>
      <c r="B12927" s="3" t="inlineStr">
        <is>
          <t>아모텍</t>
        </is>
      </c>
      <c r="C12927" s="2" t="inlineStr">
        <is>
          <t>코스닥</t>
        </is>
      </c>
      <c r="D12927" s="2" t="inlineStr">
        <is>
          <t>052710</t>
        </is>
      </c>
      <c r="E12927" s="3" t="inlineStr">
        <is>
          <t>효력발생안내( 2026.6.9. 제출 증권신고서(지분증권) )</t>
        </is>
      </c>
      <c r="F12927" s="3" t="inlineStr">
        <is>
          <t>금융감독원</t>
        </is>
      </c>
      <c r="G12927" s="2" t="inlineStr">
        <is>
          <t>20260610100001</t>
        </is>
      </c>
      <c r="H12927" s="8">
        <f>HYPERLINK("https://dart.fss.or.kr/dsaf001/main.do?rcpNo=20260610100001", "공시열람")</f>
        <v/>
      </c>
    </row>
    <row r="12928">
      <c r="A12928" s="2" t="inlineStr">
        <is>
          <t>2026-06-24 (정정: 2026-06-24)</t>
        </is>
      </c>
      <c r="B12928" s="3" t="inlineStr">
        <is>
          <t>넥스턴앤롤코리아</t>
        </is>
      </c>
      <c r="C12928" s="2" t="inlineStr">
        <is>
          <t>코스닥</t>
        </is>
      </c>
      <c r="D12928" s="2" t="inlineStr">
        <is>
          <t>089140</t>
        </is>
      </c>
      <c r="E12928" s="3" t="inlineStr">
        <is>
          <t>합병등종료보고서(자산양수도) (정정: 20260624)</t>
        </is>
      </c>
      <c r="F12928" s="3" t="inlineStr">
        <is>
          <t>넥스턴앤롤코리아</t>
        </is>
      </c>
      <c r="G12928" s="2" t="inlineStr">
        <is>
          <t>20260623000427</t>
        </is>
      </c>
      <c r="H12928" s="8">
        <f>HYPERLINK("https://dart.fss.or.kr/dsaf001/main.do?rcpNo=20260623000427", "공시열람")</f>
        <v/>
      </c>
    </row>
    <row r="12929">
      <c r="A12929" s="2" t="inlineStr">
        <is>
          <t>2026-06-25</t>
        </is>
      </c>
      <c r="B12929" s="3" t="inlineStr">
        <is>
          <t>SK</t>
        </is>
      </c>
      <c r="C12929" s="2" t="inlineStr">
        <is>
          <t>코스피</t>
        </is>
      </c>
      <c r="D12929" s="2" t="inlineStr">
        <is>
          <t>034730</t>
        </is>
      </c>
      <c r="E12929" s="3" t="inlineStr">
        <is>
          <t xml:space="preserve">투자판단관련주요경영사항(자회사의 주요경영사항)              </t>
        </is>
      </c>
      <c r="F12929" s="3" t="inlineStr">
        <is>
          <t>SK</t>
        </is>
      </c>
      <c r="G12929" s="2" t="inlineStr">
        <is>
          <t>20260625800908</t>
        </is>
      </c>
      <c r="H12929" s="8">
        <f>HYPERLINK("https://dart.fss.or.kr/dsaf001/main.do?rcpNo=20260625800908", "공시열람")</f>
        <v/>
      </c>
    </row>
    <row r="12930">
      <c r="A12930" s="2" t="inlineStr">
        <is>
          <t>2026-06-25</t>
        </is>
      </c>
      <c r="B12930" s="3" t="inlineStr">
        <is>
          <t>SK텔레콤</t>
        </is>
      </c>
      <c r="C12930" s="2" t="inlineStr">
        <is>
          <t>코스피</t>
        </is>
      </c>
      <c r="D12930" s="2" t="inlineStr">
        <is>
          <t>017670</t>
        </is>
      </c>
      <c r="E12930" s="3" t="inlineStr">
        <is>
          <t xml:space="preserve">투자판단관련주요경영사항              </t>
        </is>
      </c>
      <c r="F12930" s="3" t="inlineStr">
        <is>
          <t>SK텔레콤</t>
        </is>
      </c>
      <c r="G12930" s="2" t="inlineStr">
        <is>
          <t>20260625800905</t>
        </is>
      </c>
      <c r="H12930" s="8">
        <f>HYPERLINK("https://dart.fss.or.kr/dsaf001/main.do?rcpNo=20260625800905", "공시열람")</f>
        <v/>
      </c>
    </row>
    <row r="12931">
      <c r="A12931" s="2" t="inlineStr">
        <is>
          <t>2026-06-25</t>
        </is>
      </c>
      <c r="B12931" s="3" t="inlineStr">
        <is>
          <t>엑스큐어</t>
        </is>
      </c>
      <c r="C12931" s="2" t="inlineStr">
        <is>
          <t>코스닥</t>
        </is>
      </c>
      <c r="D12931" s="2" t="inlineStr">
        <is>
          <t>070300</t>
        </is>
      </c>
      <c r="E12931" s="3" t="inlineStr">
        <is>
          <t xml:space="preserve">소속부변경              </t>
        </is>
      </c>
      <c r="F12931" s="3" t="inlineStr">
        <is>
          <t>코스닥시장본부</t>
        </is>
      </c>
      <c r="G12931" s="2" t="inlineStr">
        <is>
          <t>20260625900871</t>
        </is>
      </c>
      <c r="H12931" s="8">
        <f>HYPERLINK("https://dart.fss.or.kr/dsaf001/main.do?rcpNo=20260625900871", "공시열람")</f>
        <v/>
      </c>
    </row>
    <row r="12932">
      <c r="A12932" s="2" t="inlineStr">
        <is>
          <t>2026-06-25</t>
        </is>
      </c>
      <c r="B12932" s="3" t="inlineStr">
        <is>
          <t>원풍물산</t>
        </is>
      </c>
      <c r="C12932" s="2" t="inlineStr">
        <is>
          <t>코스닥</t>
        </is>
      </c>
      <c r="D12932" s="2" t="inlineStr">
        <is>
          <t>008290</t>
        </is>
      </c>
      <c r="E12932" s="3" t="inlineStr">
        <is>
          <t>기타시장안내(관리종목지정우려종목)              (시가총액 150억원 미달)</t>
        </is>
      </c>
      <c r="F12932" s="3" t="inlineStr">
        <is>
          <t>코스닥시장본부</t>
        </is>
      </c>
      <c r="G12932" s="2" t="inlineStr">
        <is>
          <t>20260625900856</t>
        </is>
      </c>
      <c r="H12932" s="8">
        <f>HYPERLINK("https://dart.fss.or.kr/dsaf001/main.do?rcpNo=20260625900856", "공시열람")</f>
        <v/>
      </c>
    </row>
    <row r="12933">
      <c r="A12933" s="2" t="inlineStr">
        <is>
          <t>2026-06-25</t>
        </is>
      </c>
      <c r="B12933" s="3" t="inlineStr">
        <is>
          <t>이비테크</t>
        </is>
      </c>
      <c r="C12933" s="2" t="inlineStr">
        <is>
          <t>코넥스</t>
        </is>
      </c>
      <c r="D12933" s="2" t="inlineStr">
        <is>
          <t>208850</t>
        </is>
      </c>
      <c r="E12933" s="3" t="inlineStr">
        <is>
          <t xml:space="preserve">기업설명회(IR)개최결과              </t>
        </is>
      </c>
      <c r="F12933" s="3" t="inlineStr">
        <is>
          <t>이비테크</t>
        </is>
      </c>
      <c r="G12933" s="2" t="inlineStr">
        <is>
          <t>20260625600854</t>
        </is>
      </c>
      <c r="H12933" s="8">
        <f>HYPERLINK("https://dart.fss.or.kr/dsaf001/main.do?rcpNo=20260625600854", "공시열람")</f>
        <v/>
      </c>
    </row>
    <row r="12934">
      <c r="A12934" s="2" t="inlineStr">
        <is>
          <t>2026-06-25</t>
        </is>
      </c>
      <c r="B12934" s="3" t="inlineStr">
        <is>
          <t>이상네트웍스</t>
        </is>
      </c>
      <c r="C12934" s="2" t="inlineStr">
        <is>
          <t>코스닥</t>
        </is>
      </c>
      <c r="D12934" s="2" t="inlineStr">
        <is>
          <t>080010</t>
        </is>
      </c>
      <c r="E12934" s="3" t="inlineStr">
        <is>
          <t>불성실공시법인지정예고              (공시변경)</t>
        </is>
      </c>
      <c r="F12934" s="3" t="inlineStr">
        <is>
          <t>코스닥시장본부</t>
        </is>
      </c>
      <c r="G12934" s="2" t="inlineStr">
        <is>
          <t>20260625900863</t>
        </is>
      </c>
      <c r="H12934" s="8">
        <f>HYPERLINK("https://dart.fss.or.kr/dsaf001/main.do?rcpNo=20260625900863", "공시열람")</f>
        <v/>
      </c>
    </row>
    <row r="12935">
      <c r="A12935" s="2" t="inlineStr">
        <is>
          <t>2026-06-25 (정정: 2026-06-25)</t>
        </is>
      </c>
      <c r="B12935" s="3" t="inlineStr">
        <is>
          <t>크로넥스</t>
        </is>
      </c>
      <c r="C12935" s="2" t="inlineStr">
        <is>
          <t>코넥스</t>
        </is>
      </c>
      <c r="D12935" s="2" t="inlineStr">
        <is>
          <t>215570</t>
        </is>
      </c>
      <c r="E12935" s="3" t="inlineStr">
        <is>
          <t>[첨부정정]주요사항보고서(타법인주식및출자증권양수결정) (정정: 20260625)</t>
        </is>
      </c>
      <c r="F12935" s="3" t="inlineStr">
        <is>
          <t>크로넥스</t>
        </is>
      </c>
      <c r="G12935" s="2" t="inlineStr">
        <is>
          <t>20260625000616</t>
        </is>
      </c>
      <c r="H12935" s="8">
        <f>HYPERLINK("https://dart.fss.or.kr/dsaf001/main.do?rcpNo=20260625000616", "공시열람")</f>
        <v/>
      </c>
    </row>
    <row r="12936">
      <c r="A12936" s="2" t="inlineStr">
        <is>
          <t>2026-06-25</t>
        </is>
      </c>
      <c r="B12936" s="3" t="inlineStr">
        <is>
          <t>씨씨에스</t>
        </is>
      </c>
      <c r="C12936" s="2" t="inlineStr">
        <is>
          <t>코스닥</t>
        </is>
      </c>
      <c r="D12936" s="2" t="inlineStr">
        <is>
          <t>066790</t>
        </is>
      </c>
      <c r="E12936" s="3" t="inlineStr">
        <is>
          <t>소송등의판결ㆍ결정              (일시대표이사선임신청)</t>
        </is>
      </c>
      <c r="F12936" s="3" t="inlineStr">
        <is>
          <t>씨씨에스</t>
        </is>
      </c>
      <c r="G12936" s="2" t="inlineStr">
        <is>
          <t>20260625900867</t>
        </is>
      </c>
      <c r="H12936" s="8">
        <f>HYPERLINK("https://dart.fss.or.kr/dsaf001/main.do?rcpNo=20260625900867", "공시열람")</f>
        <v/>
      </c>
    </row>
    <row r="12937">
      <c r="A12937" s="2" t="inlineStr">
        <is>
          <t>2026-06-25</t>
        </is>
      </c>
      <c r="B12937" s="3" t="inlineStr">
        <is>
          <t>아크솔루션스</t>
        </is>
      </c>
      <c r="C12937" s="2" t="inlineStr">
        <is>
          <t>코스닥</t>
        </is>
      </c>
      <c r="D12937" s="2" t="inlineStr">
        <is>
          <t>203690</t>
        </is>
      </c>
      <c r="E12937" s="3" t="inlineStr">
        <is>
          <t>주권매매거래정지해제              (상장폐지에 따른 정리매매 개시)</t>
        </is>
      </c>
      <c r="F12937" s="3" t="inlineStr">
        <is>
          <t>코스닥시장본부</t>
        </is>
      </c>
      <c r="G12937" s="2" t="inlineStr">
        <is>
          <t>20260625900843</t>
        </is>
      </c>
      <c r="H12937" s="8">
        <f>HYPERLINK("https://dart.fss.or.kr/dsaf001/main.do?rcpNo=20260625900843", "공시열람")</f>
        <v/>
      </c>
    </row>
    <row r="12938">
      <c r="A12938" s="2" t="inlineStr">
        <is>
          <t>2026-06-25</t>
        </is>
      </c>
      <c r="B12938" s="3" t="inlineStr">
        <is>
          <t>아크솔루션스</t>
        </is>
      </c>
      <c r="C12938" s="2" t="inlineStr">
        <is>
          <t>코스닥</t>
        </is>
      </c>
      <c r="D12938" s="2" t="inlineStr">
        <is>
          <t>203690</t>
        </is>
      </c>
      <c r="E12938" s="3" t="inlineStr">
        <is>
          <t>기타시장안내              (상장폐지결정 효력정지 가처분 신청 기각에 따른 정리매매절차 재개)</t>
        </is>
      </c>
      <c r="F12938" s="3" t="inlineStr">
        <is>
          <t>코스닥시장본부</t>
        </is>
      </c>
      <c r="G12938" s="2" t="inlineStr">
        <is>
          <t>20260625900840</t>
        </is>
      </c>
      <c r="H12938" s="8">
        <f>HYPERLINK("https://dart.fss.or.kr/dsaf001/main.do?rcpNo=20260625900840", "공시열람")</f>
        <v/>
      </c>
    </row>
    <row r="12939">
      <c r="A12939" s="2" t="inlineStr">
        <is>
          <t>2026-06-25</t>
        </is>
      </c>
      <c r="B12939" s="3" t="inlineStr">
        <is>
          <t>대한항공</t>
        </is>
      </c>
      <c r="C12939" s="2" t="inlineStr">
        <is>
          <t>코스피</t>
        </is>
      </c>
      <c r="D12939" s="2" t="inlineStr">
        <is>
          <t>003490</t>
        </is>
      </c>
      <c r="E12939" s="3" t="inlineStr">
        <is>
          <t>증권신고서(합병)</t>
        </is>
      </c>
      <c r="F12939" s="3" t="inlineStr">
        <is>
          <t>대한항공</t>
        </is>
      </c>
      <c r="G12939" s="2" t="inlineStr">
        <is>
          <t>20260625000630</t>
        </is>
      </c>
      <c r="H12939" s="8">
        <f>HYPERLINK("https://dart.fss.or.kr/dsaf001/main.do?rcpNo=20260625000630", "공시열람")</f>
        <v/>
      </c>
    </row>
    <row r="12940">
      <c r="A12940" s="2" t="inlineStr">
        <is>
          <t>2026-06-25</t>
        </is>
      </c>
      <c r="B12940" s="3" t="inlineStr">
        <is>
          <t>젠큐릭스</t>
        </is>
      </c>
      <c r="C12940" s="2" t="inlineStr">
        <is>
          <t>코스닥</t>
        </is>
      </c>
      <c r="D12940" s="2" t="inlineStr">
        <is>
          <t>229000</t>
        </is>
      </c>
      <c r="E12940" s="3" t="inlineStr">
        <is>
          <t xml:space="preserve">주주명부폐쇄기간또는기준일설정              </t>
        </is>
      </c>
      <c r="F12940" s="3" t="inlineStr">
        <is>
          <t>젠큐릭스</t>
        </is>
      </c>
      <c r="G12940" s="2" t="inlineStr">
        <is>
          <t>20260625900868</t>
        </is>
      </c>
      <c r="H12940" s="8">
        <f>HYPERLINK("https://dart.fss.or.kr/dsaf001/main.do?rcpNo=20260625900868", "공시열람")</f>
        <v/>
      </c>
    </row>
    <row r="12941">
      <c r="A12941" s="2" t="inlineStr">
        <is>
          <t>2026-06-25</t>
        </is>
      </c>
      <c r="B12941" s="3" t="inlineStr">
        <is>
          <t>드래곤플라이</t>
        </is>
      </c>
      <c r="C12941" s="2" t="inlineStr">
        <is>
          <t>코스닥</t>
        </is>
      </c>
      <c r="D12941" s="2" t="inlineStr">
        <is>
          <t>030350</t>
        </is>
      </c>
      <c r="E12941" s="3" t="inlineStr">
        <is>
          <t xml:space="preserve">상장적격성실질심사관련주요개선계획(자율공시)              </t>
        </is>
      </c>
      <c r="F12941" s="3" t="inlineStr">
        <is>
          <t>드래곤플라이</t>
        </is>
      </c>
      <c r="G12941" s="2" t="inlineStr">
        <is>
          <t>20260625900861</t>
        </is>
      </c>
      <c r="H12941" s="8">
        <f>HYPERLINK("https://dart.fss.or.kr/dsaf001/main.do?rcpNo=20260625900861", "공시열람")</f>
        <v/>
      </c>
    </row>
    <row r="12942">
      <c r="A12942" s="2" t="inlineStr">
        <is>
          <t>2026-06-25</t>
        </is>
      </c>
      <c r="B12942" s="3" t="inlineStr">
        <is>
          <t>CJ CGV</t>
        </is>
      </c>
      <c r="C12942" s="2" t="inlineStr">
        <is>
          <t>코스피</t>
        </is>
      </c>
      <c r="D12942" s="2" t="inlineStr">
        <is>
          <t>079160</t>
        </is>
      </c>
      <c r="E12942" s="3" t="inlineStr">
        <is>
          <t>동일인등출자계열회사와의상품ㆍ용역거래</t>
        </is>
      </c>
      <c r="F12942" s="3" t="inlineStr">
        <is>
          <t>CJ CGV</t>
        </is>
      </c>
      <c r="G12942" s="2" t="inlineStr">
        <is>
          <t>20260625000629</t>
        </is>
      </c>
      <c r="H12942" s="8">
        <f>HYPERLINK("https://dart.fss.or.kr/dsaf001/main.do?rcpNo=20260625000629", "공시열람")</f>
        <v/>
      </c>
    </row>
    <row r="12943">
      <c r="A12943" s="2" t="inlineStr">
        <is>
          <t>2026-06-25</t>
        </is>
      </c>
      <c r="B12943" s="3" t="inlineStr">
        <is>
          <t>펄어비스</t>
        </is>
      </c>
      <c r="C12943" s="2" t="inlineStr">
        <is>
          <t>코스닥</t>
        </is>
      </c>
      <c r="D12943" s="2" t="inlineStr">
        <is>
          <t>263750</t>
        </is>
      </c>
      <c r="E12943" s="3" t="inlineStr">
        <is>
          <t xml:space="preserve">기업설명회(IR)개최              </t>
        </is>
      </c>
      <c r="F12943" s="3" t="inlineStr">
        <is>
          <t>펄어비스</t>
        </is>
      </c>
      <c r="G12943" s="2" t="inlineStr">
        <is>
          <t>20260625900858</t>
        </is>
      </c>
      <c r="H12943" s="8">
        <f>HYPERLINK("https://dart.fss.or.kr/dsaf001/main.do?rcpNo=20260625900858", "공시열람")</f>
        <v/>
      </c>
    </row>
    <row r="12944">
      <c r="A12944" s="2" t="inlineStr">
        <is>
          <t>2026-06-25</t>
        </is>
      </c>
      <c r="B12944" s="3" t="inlineStr">
        <is>
          <t>비츠로테크</t>
        </is>
      </c>
      <c r="C12944" s="2" t="inlineStr">
        <is>
          <t>코스닥</t>
        </is>
      </c>
      <c r="D12944" s="2" t="inlineStr">
        <is>
          <t>042370</t>
        </is>
      </c>
      <c r="E12944" s="3" t="inlineStr">
        <is>
          <t xml:space="preserve">주요사항보고서(자기주식처분결정)(자회사의 주요경영사항)              </t>
        </is>
      </c>
      <c r="F12944" s="3" t="inlineStr">
        <is>
          <t>비츠로테크</t>
        </is>
      </c>
      <c r="G12944" s="2" t="inlineStr">
        <is>
          <t>20260625900767</t>
        </is>
      </c>
      <c r="H12944" s="8">
        <f>HYPERLINK("https://dart.fss.or.kr/dsaf001/main.do?rcpNo=20260625900767", "공시열람")</f>
        <v/>
      </c>
    </row>
    <row r="12945">
      <c r="A12945" s="2" t="inlineStr">
        <is>
          <t>2026-06-25</t>
        </is>
      </c>
      <c r="B12945" s="3" t="inlineStr">
        <is>
          <t>STX그린로지스</t>
        </is>
      </c>
      <c r="C12945" s="2" t="inlineStr">
        <is>
          <t>코스피</t>
        </is>
      </c>
      <c r="D12945" s="2" t="inlineStr">
        <is>
          <t>465770</t>
        </is>
      </c>
      <c r="E12945" s="3" t="inlineStr">
        <is>
          <t xml:space="preserve">소송등의판결ㆍ결정(일정금액이상의청구)              </t>
        </is>
      </c>
      <c r="F12945" s="3" t="inlineStr">
        <is>
          <t>STX그린로지스</t>
        </is>
      </c>
      <c r="G12945" s="2" t="inlineStr">
        <is>
          <t>20260625800827</t>
        </is>
      </c>
      <c r="H12945" s="8">
        <f>HYPERLINK("https://dart.fss.or.kr/dsaf001/main.do?rcpNo=20260625800827", "공시열람")</f>
        <v/>
      </c>
    </row>
    <row r="12946">
      <c r="A12946" s="2" t="inlineStr">
        <is>
          <t>2026-06-25</t>
        </is>
      </c>
      <c r="B12946" s="3" t="inlineStr">
        <is>
          <t>블루산업개발</t>
        </is>
      </c>
      <c r="C12946" s="2" t="inlineStr">
        <is>
          <t>코스피</t>
        </is>
      </c>
      <c r="D12946" s="2" t="inlineStr">
        <is>
          <t>006740</t>
        </is>
      </c>
      <c r="E12946" s="3" t="inlineStr">
        <is>
          <t>임원ㆍ주요주주특정증권등소유상황보고서</t>
        </is>
      </c>
      <c r="F12946" s="3" t="inlineStr">
        <is>
          <t>에스디비조합</t>
        </is>
      </c>
      <c r="G12946" s="2" t="inlineStr">
        <is>
          <t>20260625000615</t>
        </is>
      </c>
      <c r="H12946" s="8">
        <f>HYPERLINK("https://dart.fss.or.kr/dsaf001/main.do?rcpNo=20260625000615", "공시열람")</f>
        <v/>
      </c>
    </row>
    <row r="12947">
      <c r="A12947" s="2" t="inlineStr">
        <is>
          <t>2026-06-25</t>
        </is>
      </c>
      <c r="B12947" s="3" t="inlineStr">
        <is>
          <t>알엔투테크놀로지</t>
        </is>
      </c>
      <c r="C12947" s="2" t="inlineStr">
        <is>
          <t>코스닥</t>
        </is>
      </c>
      <c r="D12947" s="2" t="inlineStr">
        <is>
          <t>148250</t>
        </is>
      </c>
      <c r="E12947" s="3" t="inlineStr">
        <is>
          <t xml:space="preserve">대표이사변경              </t>
        </is>
      </c>
      <c r="F12947" s="3" t="inlineStr">
        <is>
          <t>알엔투테크놀로지</t>
        </is>
      </c>
      <c r="G12947" s="2" t="inlineStr">
        <is>
          <t>20260625900445</t>
        </is>
      </c>
      <c r="H12947" s="8">
        <f>HYPERLINK("https://dart.fss.or.kr/dsaf001/main.do?rcpNo=20260625900445", "공시열람")</f>
        <v/>
      </c>
    </row>
    <row r="12948">
      <c r="A12948" s="2" t="inlineStr">
        <is>
          <t>2026-06-25</t>
        </is>
      </c>
      <c r="B12948" s="3" t="inlineStr">
        <is>
          <t>대한광통신</t>
        </is>
      </c>
      <c r="C12948" s="2" t="inlineStr">
        <is>
          <t>코스닥</t>
        </is>
      </c>
      <c r="D12948" s="2" t="inlineStr">
        <is>
          <t>010170</t>
        </is>
      </c>
      <c r="E12948" s="3" t="inlineStr">
        <is>
          <t>임원ㆍ주요주주특정증권등소유상황보고서</t>
        </is>
      </c>
      <c r="F12948" s="3" t="inlineStr">
        <is>
          <t>티에프오인더스트리</t>
        </is>
      </c>
      <c r="G12948" s="2" t="inlineStr">
        <is>
          <t>20260625000605</t>
        </is>
      </c>
      <c r="H12948" s="8">
        <f>HYPERLINK("https://dart.fss.or.kr/dsaf001/main.do?rcpNo=20260625000605", "공시열람")</f>
        <v/>
      </c>
    </row>
    <row r="12949">
      <c r="A12949" s="2" t="inlineStr">
        <is>
          <t>2026-06-25</t>
        </is>
      </c>
      <c r="B12949" s="3" t="inlineStr">
        <is>
          <t>LIG디펜스앤에어로스페이스</t>
        </is>
      </c>
      <c r="C12949" s="2" t="inlineStr">
        <is>
          <t>코스피</t>
        </is>
      </c>
      <c r="D12949" s="2" t="inlineStr">
        <is>
          <t>079550</t>
        </is>
      </c>
      <c r="E12949" s="3" t="inlineStr">
        <is>
          <t xml:space="preserve">공정거래자율준수프로그램운영현황(안내공시)              </t>
        </is>
      </c>
      <c r="F12949" s="3" t="inlineStr">
        <is>
          <t>LIG디펜스앤에어로스페이스</t>
        </is>
      </c>
      <c r="G12949" s="2" t="inlineStr">
        <is>
          <t>20260625800820</t>
        </is>
      </c>
      <c r="H12949" s="8">
        <f>HYPERLINK("https://dart.fss.or.kr/dsaf001/main.do?rcpNo=20260625800820", "공시열람")</f>
        <v/>
      </c>
    </row>
    <row r="12950">
      <c r="A12950" s="2" t="inlineStr">
        <is>
          <t>2026-06-25</t>
        </is>
      </c>
      <c r="B12950" s="3" t="inlineStr">
        <is>
          <t>기업은행</t>
        </is>
      </c>
      <c r="C12950" s="2" t="inlineStr">
        <is>
          <t>코스피</t>
        </is>
      </c>
      <c r="D12950" s="2" t="inlineStr">
        <is>
          <t>024110</t>
        </is>
      </c>
      <c r="E12950" s="3" t="inlineStr">
        <is>
          <t>주요사항보고서(상각형조건부자본증권발행결정)</t>
        </is>
      </c>
      <c r="F12950" s="3" t="inlineStr">
        <is>
          <t>기업은행</t>
        </is>
      </c>
      <c r="G12950" s="2" t="inlineStr">
        <is>
          <t>20260625000589</t>
        </is>
      </c>
      <c r="H12950" s="8">
        <f>HYPERLINK("https://dart.fss.or.kr/dsaf001/main.do?rcpNo=20260625000589", "공시열람")</f>
        <v/>
      </c>
    </row>
    <row r="12951">
      <c r="A12951" s="2" t="inlineStr">
        <is>
          <t>2026-06-25</t>
        </is>
      </c>
      <c r="B12951" s="3" t="inlineStr">
        <is>
          <t>코어라인소프트</t>
        </is>
      </c>
      <c r="C12951" s="2" t="inlineStr">
        <is>
          <t>코스닥</t>
        </is>
      </c>
      <c r="D12951" s="2" t="inlineStr">
        <is>
          <t>384470</t>
        </is>
      </c>
      <c r="E12951" s="3" t="inlineStr">
        <is>
          <t>임원ㆍ주요주주특정증권등소유상황보고서</t>
        </is>
      </c>
      <c r="F12951" s="3" t="inlineStr">
        <is>
          <t>정우석</t>
        </is>
      </c>
      <c r="G12951" s="2" t="inlineStr">
        <is>
          <t>20260625000600</t>
        </is>
      </c>
      <c r="H12951" s="8">
        <f>HYPERLINK("https://dart.fss.or.kr/dsaf001/main.do?rcpNo=20260625000600", "공시열람")</f>
        <v/>
      </c>
    </row>
    <row r="12952">
      <c r="A12952" s="2" t="inlineStr">
        <is>
          <t>2026-06-25</t>
        </is>
      </c>
      <c r="B12952" s="3" t="inlineStr">
        <is>
          <t>하나금융지주</t>
        </is>
      </c>
      <c r="C12952" s="2" t="inlineStr">
        <is>
          <t>코스피</t>
        </is>
      </c>
      <c r="D12952" s="2" t="inlineStr">
        <is>
          <t>086790</t>
        </is>
      </c>
      <c r="E12952" s="3" t="inlineStr">
        <is>
          <t>투자설명서(일괄신고)</t>
        </is>
      </c>
      <c r="F12952" s="3" t="inlineStr">
        <is>
          <t>하나금융지주</t>
        </is>
      </c>
      <c r="G12952" s="2" t="inlineStr">
        <is>
          <t>20260625000599</t>
        </is>
      </c>
      <c r="H12952" s="8">
        <f>HYPERLINK("https://dart.fss.or.kr/dsaf001/main.do?rcpNo=20260625000599", "공시열람")</f>
        <v/>
      </c>
    </row>
    <row r="12953">
      <c r="A12953" s="2" t="inlineStr">
        <is>
          <t>2026-06-25</t>
        </is>
      </c>
      <c r="B12953" s="3" t="inlineStr">
        <is>
          <t>티엘비</t>
        </is>
      </c>
      <c r="C12953" s="2" t="inlineStr">
        <is>
          <t>코스닥</t>
        </is>
      </c>
      <c r="D12953" s="2" t="inlineStr">
        <is>
          <t>356860</t>
        </is>
      </c>
      <c r="E12953" s="3" t="inlineStr">
        <is>
          <t>임원ㆍ주요주주특정증권등소유상황보고서</t>
        </is>
      </c>
      <c r="F12953" s="3" t="inlineStr">
        <is>
          <t>백성현</t>
        </is>
      </c>
      <c r="G12953" s="2" t="inlineStr">
        <is>
          <t>20260625000598</t>
        </is>
      </c>
      <c r="H12953" s="8">
        <f>HYPERLINK("https://dart.fss.or.kr/dsaf001/main.do?rcpNo=20260625000598", "공시열람")</f>
        <v/>
      </c>
    </row>
    <row r="12954">
      <c r="A12954" s="2" t="inlineStr">
        <is>
          <t>2026-06-25</t>
        </is>
      </c>
      <c r="B12954" s="3" t="inlineStr">
        <is>
          <t>케스피온</t>
        </is>
      </c>
      <c r="C12954" s="2" t="inlineStr">
        <is>
          <t>코스닥</t>
        </is>
      </c>
      <c r="D12954" s="2" t="inlineStr">
        <is>
          <t>079190</t>
        </is>
      </c>
      <c r="E12954" s="3" t="inlineStr">
        <is>
          <t>주권매매거래정지              (주식의 병합, 분할 등 전자등록 변경, 말소)</t>
        </is>
      </c>
      <c r="F12954" s="3" t="inlineStr">
        <is>
          <t>코스닥시장본부</t>
        </is>
      </c>
      <c r="G12954" s="2" t="inlineStr">
        <is>
          <t>20260625900788</t>
        </is>
      </c>
      <c r="H12954" s="8">
        <f>HYPERLINK("https://dart.fss.or.kr/dsaf001/main.do?rcpNo=20260625900788", "공시열람")</f>
        <v/>
      </c>
    </row>
    <row r="12955">
      <c r="A12955" s="2" t="inlineStr">
        <is>
          <t>2026-06-25</t>
        </is>
      </c>
      <c r="B12955" s="3" t="inlineStr">
        <is>
          <t>노브메타파마</t>
        </is>
      </c>
      <c r="C12955" s="2" t="inlineStr">
        <is>
          <t>코넥스</t>
        </is>
      </c>
      <c r="D12955" s="2" t="inlineStr">
        <is>
          <t>229500</t>
        </is>
      </c>
      <c r="E12955" s="3" t="inlineStr">
        <is>
          <t xml:space="preserve">증권발행결과(자율공시)              </t>
        </is>
      </c>
      <c r="F12955" s="3" t="inlineStr">
        <is>
          <t>노브메타파마</t>
        </is>
      </c>
      <c r="G12955" s="2" t="inlineStr">
        <is>
          <t>20260625600782</t>
        </is>
      </c>
      <c r="H12955" s="8">
        <f>HYPERLINK("https://dart.fss.or.kr/dsaf001/main.do?rcpNo=20260625600782", "공시열람")</f>
        <v/>
      </c>
    </row>
    <row r="12956">
      <c r="A12956" s="2" t="inlineStr">
        <is>
          <t>2026-06-25</t>
        </is>
      </c>
      <c r="B12956" s="3" t="inlineStr">
        <is>
          <t>코스텍시스템</t>
        </is>
      </c>
      <c r="C12956" s="2" t="inlineStr">
        <is>
          <t>코넥스</t>
        </is>
      </c>
      <c r="D12956" s="2" t="inlineStr">
        <is>
          <t>169670</t>
        </is>
      </c>
      <c r="E12956" s="3" t="inlineStr">
        <is>
          <t xml:space="preserve">기업설명회(IR)개최결과              </t>
        </is>
      </c>
      <c r="F12956" s="3" t="inlineStr">
        <is>
          <t>코스텍시스템</t>
        </is>
      </c>
      <c r="G12956" s="2" t="inlineStr">
        <is>
          <t>20260625600778</t>
        </is>
      </c>
      <c r="H12956" s="8">
        <f>HYPERLINK("https://dart.fss.or.kr/dsaf001/main.do?rcpNo=20260625600778", "공시열람")</f>
        <v/>
      </c>
    </row>
    <row r="12957">
      <c r="A12957" s="2" t="inlineStr">
        <is>
          <t>2026-06-25</t>
        </is>
      </c>
      <c r="B12957" s="3" t="inlineStr">
        <is>
          <t>미래에셋증권</t>
        </is>
      </c>
      <c r="C12957" s="2" t="inlineStr">
        <is>
          <t>코스피</t>
        </is>
      </c>
      <c r="D12957" s="2" t="inlineStr">
        <is>
          <t>006800</t>
        </is>
      </c>
      <c r="E12957" s="3" t="inlineStr">
        <is>
          <t>[기재정정]특수관계인과의수익증권거래</t>
        </is>
      </c>
      <c r="F12957" s="3" t="inlineStr">
        <is>
          <t>미래에셋증권</t>
        </is>
      </c>
      <c r="G12957" s="2" t="inlineStr">
        <is>
          <t>20260625000595</t>
        </is>
      </c>
      <c r="H12957" s="8">
        <f>HYPERLINK("https://dart.fss.or.kr/dsaf001/main.do?rcpNo=20260625000595", "공시열람")</f>
        <v/>
      </c>
    </row>
    <row r="12958">
      <c r="A12958" s="2" t="inlineStr">
        <is>
          <t>2026-06-25</t>
        </is>
      </c>
      <c r="B12958" s="3" t="inlineStr">
        <is>
          <t>종근당홀딩스</t>
        </is>
      </c>
      <c r="C12958" s="2" t="inlineStr">
        <is>
          <t>코스피</t>
        </is>
      </c>
      <c r="D12958" s="2" t="inlineStr">
        <is>
          <t>001630</t>
        </is>
      </c>
      <c r="E12958" s="3" t="inlineStr">
        <is>
          <t>[발행조건확정]증권신고서(채무증권)</t>
        </is>
      </c>
      <c r="F12958" s="3" t="inlineStr">
        <is>
          <t>종근당홀딩스</t>
        </is>
      </c>
      <c r="G12958" s="2" t="inlineStr">
        <is>
          <t>20260625000593</t>
        </is>
      </c>
      <c r="H12958" s="8">
        <f>HYPERLINK("https://dart.fss.or.kr/dsaf001/main.do?rcpNo=20260625000593", "공시열람")</f>
        <v/>
      </c>
    </row>
    <row r="12959">
      <c r="A12959" s="2" t="inlineStr">
        <is>
          <t>2026-06-25</t>
        </is>
      </c>
      <c r="B12959" s="3" t="inlineStr">
        <is>
          <t>현대해상</t>
        </is>
      </c>
      <c r="C12959" s="2" t="inlineStr">
        <is>
          <t>코스피</t>
        </is>
      </c>
      <c r="D12959" s="2" t="inlineStr">
        <is>
          <t>001450</t>
        </is>
      </c>
      <c r="E12959" s="3" t="inlineStr">
        <is>
          <t>특수관계인에대한증여</t>
        </is>
      </c>
      <c r="F12959" s="3" t="inlineStr">
        <is>
          <t>현대해상</t>
        </is>
      </c>
      <c r="G12959" s="2" t="inlineStr">
        <is>
          <t>20260625000590</t>
        </is>
      </c>
      <c r="H12959" s="8">
        <f>HYPERLINK("https://dart.fss.or.kr/dsaf001/main.do?rcpNo=20260625000590", "공시열람")</f>
        <v/>
      </c>
    </row>
    <row r="12960">
      <c r="A12960" s="2" t="inlineStr">
        <is>
          <t>2026-06-25</t>
        </is>
      </c>
      <c r="B12960" s="3" t="inlineStr">
        <is>
          <t>하나금융지주</t>
        </is>
      </c>
      <c r="C12960" s="2" t="inlineStr">
        <is>
          <t>코스피</t>
        </is>
      </c>
      <c r="D12960" s="2" t="inlineStr">
        <is>
          <t>086790</t>
        </is>
      </c>
      <c r="E12960" s="3" t="inlineStr">
        <is>
          <t>일괄신고추가서류</t>
        </is>
      </c>
      <c r="F12960" s="3" t="inlineStr">
        <is>
          <t>하나금융지주</t>
        </is>
      </c>
      <c r="G12960" s="2" t="inlineStr">
        <is>
          <t>20260625000588</t>
        </is>
      </c>
      <c r="H12960" s="8">
        <f>HYPERLINK("https://dart.fss.or.kr/dsaf001/main.do?rcpNo=20260625000588", "공시열람")</f>
        <v/>
      </c>
    </row>
    <row r="12961">
      <c r="A12961" s="2" t="inlineStr">
        <is>
          <t>2026-06-25</t>
        </is>
      </c>
      <c r="B12961" s="3" t="inlineStr">
        <is>
          <t>유안타증권</t>
        </is>
      </c>
      <c r="C12961" s="2" t="inlineStr">
        <is>
          <t>코스피</t>
        </is>
      </c>
      <c r="D12961" s="2" t="inlineStr">
        <is>
          <t>003470</t>
        </is>
      </c>
      <c r="E12961" s="3" t="inlineStr">
        <is>
          <t>임원ㆍ주요주주특정증권등소유상황보고서</t>
        </is>
      </c>
      <c r="F12961" s="3" t="inlineStr">
        <is>
          <t>최해호</t>
        </is>
      </c>
      <c r="G12961" s="2" t="inlineStr">
        <is>
          <t>20260625000587</t>
        </is>
      </c>
      <c r="H12961" s="8">
        <f>HYPERLINK("https://dart.fss.or.kr/dsaf001/main.do?rcpNo=20260625000587", "공시열람")</f>
        <v/>
      </c>
    </row>
    <row r="12962">
      <c r="A12962" s="2" t="inlineStr">
        <is>
          <t>2026-06-25</t>
        </is>
      </c>
      <c r="B12962" s="3" t="inlineStr">
        <is>
          <t>미래에셋증권</t>
        </is>
      </c>
      <c r="C12962" s="2" t="inlineStr">
        <is>
          <t>코스피</t>
        </is>
      </c>
      <c r="D12962" s="2" t="inlineStr">
        <is>
          <t>006800</t>
        </is>
      </c>
      <c r="E12962" s="3" t="inlineStr">
        <is>
          <t>[기재정정]특수관계인과의수익증권거래</t>
        </is>
      </c>
      <c r="F12962" s="3" t="inlineStr">
        <is>
          <t>미래에셋증권</t>
        </is>
      </c>
      <c r="G12962" s="2" t="inlineStr">
        <is>
          <t>20260625000584</t>
        </is>
      </c>
      <c r="H12962" s="8">
        <f>HYPERLINK("https://dart.fss.or.kr/dsaf001/main.do?rcpNo=20260625000584", "공시열람")</f>
        <v/>
      </c>
    </row>
    <row r="12963">
      <c r="A12963" s="2" t="inlineStr">
        <is>
          <t>2026-06-25</t>
        </is>
      </c>
      <c r="B12963" s="3" t="inlineStr">
        <is>
          <t>한글과컴퓨터</t>
        </is>
      </c>
      <c r="C12963" s="2" t="inlineStr">
        <is>
          <t>코스닥</t>
        </is>
      </c>
      <c r="D12963" s="2" t="inlineStr">
        <is>
          <t>030520</t>
        </is>
      </c>
      <c r="E12963" s="3" t="inlineStr">
        <is>
          <t>임원ㆍ주요주주특정증권등소유상황보고서</t>
        </is>
      </c>
      <c r="F12963" s="3" t="inlineStr">
        <is>
          <t>한컴위드</t>
        </is>
      </c>
      <c r="G12963" s="2" t="inlineStr">
        <is>
          <t>20260625000583</t>
        </is>
      </c>
      <c r="H12963" s="8">
        <f>HYPERLINK("https://dart.fss.or.kr/dsaf001/main.do?rcpNo=20260625000583", "공시열람")</f>
        <v/>
      </c>
    </row>
    <row r="12964">
      <c r="A12964" s="2" t="inlineStr">
        <is>
          <t>2026-06-25</t>
        </is>
      </c>
      <c r="B12964" s="3" t="inlineStr">
        <is>
          <t>메리츠제2호스팩</t>
        </is>
      </c>
      <c r="C12964" s="2" t="inlineStr">
        <is>
          <t>코스닥</t>
        </is>
      </c>
      <c r="D12964" s="2" t="inlineStr">
        <is>
          <t>0165X0</t>
        </is>
      </c>
      <c r="E12964" s="3" t="inlineStr">
        <is>
          <t>임원ㆍ주요주주특정증권등소유상황보고서</t>
        </is>
      </c>
      <c r="F12964" s="3" t="inlineStr">
        <is>
          <t>메리츠증권</t>
        </is>
      </c>
      <c r="G12964" s="2" t="inlineStr">
        <is>
          <t>20260625000577</t>
        </is>
      </c>
      <c r="H12964" s="8">
        <f>HYPERLINK("https://dart.fss.or.kr/dsaf001/main.do?rcpNo=20260625000577", "공시열람")</f>
        <v/>
      </c>
    </row>
    <row r="12965">
      <c r="A12965" s="2" t="inlineStr">
        <is>
          <t>2026-06-25</t>
        </is>
      </c>
      <c r="B12965" s="3" t="inlineStr">
        <is>
          <t>비츠로셀</t>
        </is>
      </c>
      <c r="C12965" s="2" t="inlineStr">
        <is>
          <t>코스닥</t>
        </is>
      </c>
      <c r="D12965" s="2" t="inlineStr">
        <is>
          <t>082920</t>
        </is>
      </c>
      <c r="E12965" s="3" t="inlineStr">
        <is>
          <t>주요사항보고서(자기주식처분결정)</t>
        </is>
      </c>
      <c r="F12965" s="3" t="inlineStr">
        <is>
          <t>비츠로셀</t>
        </is>
      </c>
      <c r="G12965" s="2" t="inlineStr">
        <is>
          <t>20260625000526</t>
        </is>
      </c>
      <c r="H12965" s="8">
        <f>HYPERLINK("https://dart.fss.or.kr/dsaf001/main.do?rcpNo=20260625000526", "공시열람")</f>
        <v/>
      </c>
    </row>
    <row r="12966">
      <c r="A12966" s="2" t="inlineStr">
        <is>
          <t>2026-06-25</t>
        </is>
      </c>
      <c r="B12966" s="3" t="inlineStr">
        <is>
          <t>디와이에이</t>
        </is>
      </c>
      <c r="C12966" s="2" t="inlineStr">
        <is>
          <t>코스피</t>
        </is>
      </c>
      <c r="D12966" s="2" t="inlineStr">
        <is>
          <t>002880</t>
        </is>
      </c>
      <c r="E12966" s="3" t="inlineStr">
        <is>
          <t xml:space="preserve">주주명부폐쇄기간또는기준일설정              </t>
        </is>
      </c>
      <c r="F12966" s="3" t="inlineStr">
        <is>
          <t>디와이에이</t>
        </is>
      </c>
      <c r="G12966" s="2" t="inlineStr">
        <is>
          <t>20260625800716</t>
        </is>
      </c>
      <c r="H12966" s="8">
        <f>HYPERLINK("https://dart.fss.or.kr/dsaf001/main.do?rcpNo=20260625800716", "공시열람")</f>
        <v/>
      </c>
    </row>
    <row r="12967">
      <c r="A12967" s="2" t="inlineStr">
        <is>
          <t>2026-06-25</t>
        </is>
      </c>
      <c r="B12967" s="3" t="inlineStr">
        <is>
          <t>SYTS</t>
        </is>
      </c>
      <c r="C12967" s="2" t="inlineStr">
        <is>
          <t>코스피</t>
        </is>
      </c>
      <c r="D12967" s="2" t="inlineStr">
        <is>
          <t>002170</t>
        </is>
      </c>
      <c r="E12967" s="3" t="inlineStr">
        <is>
          <t>의결권대리행사권유참고서류</t>
        </is>
      </c>
      <c r="F12967" s="3" t="inlineStr">
        <is>
          <t>SYTS</t>
        </is>
      </c>
      <c r="G12967" s="2" t="inlineStr">
        <is>
          <t>20260625000574</t>
        </is>
      </c>
      <c r="H12967" s="8">
        <f>HYPERLINK("https://dart.fss.or.kr/dsaf001/main.do?rcpNo=20260625000574", "공시열람")</f>
        <v/>
      </c>
    </row>
    <row r="12968">
      <c r="A12968" s="2" t="inlineStr">
        <is>
          <t>2026-06-25</t>
        </is>
      </c>
      <c r="B12968" s="3" t="inlineStr">
        <is>
          <t>메리츠제1호스팩</t>
        </is>
      </c>
      <c r="C12968" s="2" t="inlineStr">
        <is>
          <t>코스닥</t>
        </is>
      </c>
      <c r="D12968" s="2" t="inlineStr">
        <is>
          <t>0088D0</t>
        </is>
      </c>
      <c r="E12968" s="3" t="inlineStr">
        <is>
          <t>임원ㆍ주요주주특정증권등소유상황보고서</t>
        </is>
      </c>
      <c r="F12968" s="3" t="inlineStr">
        <is>
          <t>메리츠증권</t>
        </is>
      </c>
      <c r="G12968" s="2" t="inlineStr">
        <is>
          <t>20260625000568</t>
        </is>
      </c>
      <c r="H12968" s="8">
        <f>HYPERLINK("https://dart.fss.or.kr/dsaf001/main.do?rcpNo=20260625000568", "공시열람")</f>
        <v/>
      </c>
    </row>
    <row r="12969">
      <c r="A12969" s="2" t="inlineStr">
        <is>
          <t>2026-06-25</t>
        </is>
      </c>
      <c r="B12969" s="3" t="inlineStr">
        <is>
          <t>HPSP</t>
        </is>
      </c>
      <c r="C12969" s="2" t="inlineStr">
        <is>
          <t>코스닥</t>
        </is>
      </c>
      <c r="D12969" s="2" t="inlineStr">
        <is>
          <t>403870</t>
        </is>
      </c>
      <c r="E12969" s="3" t="inlineStr">
        <is>
          <t>사외이사의선임ㆍ해임또는중도퇴임에관한신고</t>
        </is>
      </c>
      <c r="F12969" s="3" t="inlineStr">
        <is>
          <t>HPSP</t>
        </is>
      </c>
      <c r="G12969" s="2" t="inlineStr">
        <is>
          <t>20260625000567</t>
        </is>
      </c>
      <c r="H12969" s="8">
        <f>HYPERLINK("https://dart.fss.or.kr/dsaf001/main.do?rcpNo=20260625000567", "공시열람")</f>
        <v/>
      </c>
    </row>
    <row r="12970">
      <c r="A12970" s="2" t="inlineStr">
        <is>
          <t>2026-06-25</t>
        </is>
      </c>
      <c r="B12970" s="3" t="inlineStr">
        <is>
          <t>효성중공업</t>
        </is>
      </c>
      <c r="C12970" s="2" t="inlineStr">
        <is>
          <t>코스피</t>
        </is>
      </c>
      <c r="D12970" s="2" t="inlineStr">
        <is>
          <t>298040</t>
        </is>
      </c>
      <c r="E12970" s="3" t="inlineStr">
        <is>
          <t xml:space="preserve">지속가능경영보고서등관련사항(자율공시)              </t>
        </is>
      </c>
      <c r="F12970" s="3" t="inlineStr">
        <is>
          <t>효성중공업</t>
        </is>
      </c>
      <c r="G12970" s="2" t="inlineStr">
        <is>
          <t>20260625800757</t>
        </is>
      </c>
      <c r="H12970" s="8">
        <f>HYPERLINK("https://dart.fss.or.kr/dsaf001/main.do?rcpNo=20260625800757", "공시열람")</f>
        <v/>
      </c>
    </row>
    <row r="12971">
      <c r="A12971" s="2" t="inlineStr">
        <is>
          <t>2026-06-25</t>
        </is>
      </c>
      <c r="B12971" s="3" t="inlineStr">
        <is>
          <t>카카오게임즈</t>
        </is>
      </c>
      <c r="C12971" s="2" t="inlineStr">
        <is>
          <t>코스닥</t>
        </is>
      </c>
      <c r="D12971" s="2" t="inlineStr">
        <is>
          <t>293490</t>
        </is>
      </c>
      <c r="E12971" s="3" t="inlineStr">
        <is>
          <t>임원ㆍ주요주주특정증권등소유상황보고서</t>
        </is>
      </c>
      <c r="F12971" s="3" t="inlineStr">
        <is>
          <t>이시우</t>
        </is>
      </c>
      <c r="G12971" s="2" t="inlineStr">
        <is>
          <t>20260625000560</t>
        </is>
      </c>
      <c r="H12971" s="8">
        <f>HYPERLINK("https://dart.fss.or.kr/dsaf001/main.do?rcpNo=20260625000560", "공시열람")</f>
        <v/>
      </c>
    </row>
    <row r="12972">
      <c r="A12972" s="2" t="inlineStr">
        <is>
          <t>2026-06-25</t>
        </is>
      </c>
      <c r="B12972" s="3" t="inlineStr">
        <is>
          <t>예선테크</t>
        </is>
      </c>
      <c r="C12972" s="2" t="inlineStr">
        <is>
          <t>코스닥</t>
        </is>
      </c>
      <c r="D12972" s="2" t="inlineStr">
        <is>
          <t>250930</t>
        </is>
      </c>
      <c r="E12972" s="3" t="inlineStr">
        <is>
          <t>자기주식처분결과보고서</t>
        </is>
      </c>
      <c r="F12972" s="3" t="inlineStr">
        <is>
          <t>예선테크</t>
        </is>
      </c>
      <c r="G12972" s="2" t="inlineStr">
        <is>
          <t>20260625000558</t>
        </is>
      </c>
      <c r="H12972" s="8">
        <f>HYPERLINK("https://dart.fss.or.kr/dsaf001/main.do?rcpNo=20260625000558", "공시열람")</f>
        <v/>
      </c>
    </row>
    <row r="12973">
      <c r="A12973" s="2" t="inlineStr">
        <is>
          <t>2026-06-25</t>
        </is>
      </c>
      <c r="B12973" s="3" t="inlineStr">
        <is>
          <t>텔콘RF제약</t>
        </is>
      </c>
      <c r="C12973" s="2" t="inlineStr">
        <is>
          <t>코스닥</t>
        </is>
      </c>
      <c r="D12973" s="2" t="inlineStr">
        <is>
          <t>200230</t>
        </is>
      </c>
      <c r="E12973" s="3" t="inlineStr">
        <is>
          <t>주권매매거래정지해제              (감자 주권 변경상장)</t>
        </is>
      </c>
      <c r="F12973" s="3" t="inlineStr">
        <is>
          <t>코스닥시장본부</t>
        </is>
      </c>
      <c r="G12973" s="2" t="inlineStr">
        <is>
          <t>20260625900719</t>
        </is>
      </c>
      <c r="H12973" s="8">
        <f>HYPERLINK("https://dart.fss.or.kr/dsaf001/main.do?rcpNo=20260625900719", "공시열람")</f>
        <v/>
      </c>
    </row>
    <row r="12974">
      <c r="A12974" s="2" t="inlineStr">
        <is>
          <t>2026-06-25</t>
        </is>
      </c>
      <c r="B12974" s="3" t="inlineStr">
        <is>
          <t>카카오게임즈</t>
        </is>
      </c>
      <c r="C12974" s="2" t="inlineStr">
        <is>
          <t>코스닥</t>
        </is>
      </c>
      <c r="D12974" s="2" t="inlineStr">
        <is>
          <t>293490</t>
        </is>
      </c>
      <c r="E12974" s="3" t="inlineStr">
        <is>
          <t>임원ㆍ주요주주특정증권등소유상황보고서</t>
        </is>
      </c>
      <c r="F12974" s="3" t="inlineStr">
        <is>
          <t>엘트리플에이인베스트먼트</t>
        </is>
      </c>
      <c r="G12974" s="2" t="inlineStr">
        <is>
          <t>20260625000556</t>
        </is>
      </c>
      <c r="H12974" s="8">
        <f>HYPERLINK("https://dart.fss.or.kr/dsaf001/main.do?rcpNo=20260625000556", "공시열람")</f>
        <v/>
      </c>
    </row>
    <row r="12975">
      <c r="A12975" s="2" t="inlineStr">
        <is>
          <t>2026-06-25</t>
        </is>
      </c>
      <c r="B12975" s="3" t="inlineStr">
        <is>
          <t>펄어비스</t>
        </is>
      </c>
      <c r="C12975" s="2" t="inlineStr">
        <is>
          <t>코스닥</t>
        </is>
      </c>
      <c r="D12975" s="2" t="inlineStr">
        <is>
          <t>263750</t>
        </is>
      </c>
      <c r="E12975" s="3" t="inlineStr">
        <is>
          <t xml:space="preserve">해산사유발생(종속회사의주요경영사항)              </t>
        </is>
      </c>
      <c r="F12975" s="3" t="inlineStr">
        <is>
          <t>펄어비스</t>
        </is>
      </c>
      <c r="G12975" s="2" t="inlineStr">
        <is>
          <t>20260625900739</t>
        </is>
      </c>
      <c r="H12975" s="8">
        <f>HYPERLINK("https://dart.fss.or.kr/dsaf001/main.do?rcpNo=20260625900739", "공시열람")</f>
        <v/>
      </c>
    </row>
    <row r="12976">
      <c r="A12976" s="2" t="inlineStr">
        <is>
          <t>2026-06-25</t>
        </is>
      </c>
      <c r="B12976" s="3" t="inlineStr">
        <is>
          <t>강원랜드</t>
        </is>
      </c>
      <c r="C12976" s="2" t="inlineStr">
        <is>
          <t>코스피</t>
        </is>
      </c>
      <c r="D12976" s="2" t="inlineStr">
        <is>
          <t>035250</t>
        </is>
      </c>
      <c r="E12976" s="3" t="inlineStr">
        <is>
          <t xml:space="preserve">주주명부폐쇄기간또는기준일설정              </t>
        </is>
      </c>
      <c r="F12976" s="3" t="inlineStr">
        <is>
          <t>강원랜드</t>
        </is>
      </c>
      <c r="G12976" s="2" t="inlineStr">
        <is>
          <t>20260625800690</t>
        </is>
      </c>
      <c r="H12976" s="8">
        <f>HYPERLINK("https://dart.fss.or.kr/dsaf001/main.do?rcpNo=20260625800690", "공시열람")</f>
        <v/>
      </c>
    </row>
    <row r="12977">
      <c r="A12977" s="2" t="inlineStr">
        <is>
          <t>2026-06-25</t>
        </is>
      </c>
      <c r="B12977" s="3" t="inlineStr">
        <is>
          <t>카카오게임즈</t>
        </is>
      </c>
      <c r="C12977" s="2" t="inlineStr">
        <is>
          <t>코스닥</t>
        </is>
      </c>
      <c r="D12977" s="2" t="inlineStr">
        <is>
          <t>293490</t>
        </is>
      </c>
      <c r="E12977" s="3" t="inlineStr">
        <is>
          <t>임원ㆍ주요주주특정증권등소유상황보고서</t>
        </is>
      </c>
      <c r="F12977" s="3" t="inlineStr">
        <is>
          <t>카카오</t>
        </is>
      </c>
      <c r="G12977" s="2" t="inlineStr">
        <is>
          <t>20260625000551</t>
        </is>
      </c>
      <c r="H12977" s="8">
        <f>HYPERLINK("https://dart.fss.or.kr/dsaf001/main.do?rcpNo=20260625000551", "공시열람")</f>
        <v/>
      </c>
    </row>
    <row r="12978">
      <c r="A12978" s="2" t="inlineStr">
        <is>
          <t>2026-06-25</t>
        </is>
      </c>
      <c r="B12978" s="3" t="inlineStr">
        <is>
          <t>유안타증권</t>
        </is>
      </c>
      <c r="C12978" s="2" t="inlineStr">
        <is>
          <t>코스피</t>
        </is>
      </c>
      <c r="D12978" s="2" t="inlineStr">
        <is>
          <t>003470</t>
        </is>
      </c>
      <c r="E12978" s="3" t="inlineStr">
        <is>
          <t>임원ㆍ주요주주특정증권등소유상황보고서</t>
        </is>
      </c>
      <c r="F12978" s="3" t="inlineStr">
        <is>
          <t>유태인</t>
        </is>
      </c>
      <c r="G12978" s="2" t="inlineStr">
        <is>
          <t>20260625000550</t>
        </is>
      </c>
      <c r="H12978" s="8">
        <f>HYPERLINK("https://dart.fss.or.kr/dsaf001/main.do?rcpNo=20260625000550", "공시열람")</f>
        <v/>
      </c>
    </row>
    <row r="12979">
      <c r="A12979" s="2" t="inlineStr">
        <is>
          <t>2026-06-25</t>
        </is>
      </c>
      <c r="B12979" s="3" t="inlineStr">
        <is>
          <t>KBI메탈</t>
        </is>
      </c>
      <c r="C12979" s="2" t="inlineStr">
        <is>
          <t>코스닥</t>
        </is>
      </c>
      <c r="D12979" s="2" t="inlineStr">
        <is>
          <t>024840</t>
        </is>
      </c>
      <c r="E12979" s="3" t="inlineStr">
        <is>
          <t xml:space="preserve">증권발행결과(자율공시)              </t>
        </is>
      </c>
      <c r="F12979" s="3" t="inlineStr">
        <is>
          <t>KBI메탈</t>
        </is>
      </c>
      <c r="G12979" s="2" t="inlineStr">
        <is>
          <t>20260625900733</t>
        </is>
      </c>
      <c r="H12979" s="8">
        <f>HYPERLINK("https://dart.fss.or.kr/dsaf001/main.do?rcpNo=20260625900733", "공시열람")</f>
        <v/>
      </c>
    </row>
    <row r="12980">
      <c r="A12980" s="2" t="inlineStr">
        <is>
          <t>2026-06-25</t>
        </is>
      </c>
      <c r="B12980" s="3" t="inlineStr">
        <is>
          <t>미래에셋증권</t>
        </is>
      </c>
      <c r="C12980" s="2" t="inlineStr">
        <is>
          <t>코스피</t>
        </is>
      </c>
      <c r="D12980" s="2" t="inlineStr">
        <is>
          <t>006800</t>
        </is>
      </c>
      <c r="E12980" s="3" t="inlineStr">
        <is>
          <t>[기재정정]특수관계인과의수익증권거래</t>
        </is>
      </c>
      <c r="F12980" s="3" t="inlineStr">
        <is>
          <t>미래에셋증권</t>
        </is>
      </c>
      <c r="G12980" s="2" t="inlineStr">
        <is>
          <t>20260625000549</t>
        </is>
      </c>
      <c r="H12980" s="8">
        <f>HYPERLINK("https://dart.fss.or.kr/dsaf001/main.do?rcpNo=20260625000549", "공시열람")</f>
        <v/>
      </c>
    </row>
    <row r="12981">
      <c r="A12981" s="2" t="inlineStr">
        <is>
          <t>2026-06-25</t>
        </is>
      </c>
      <c r="B12981" s="3" t="inlineStr">
        <is>
          <t>한화리츠</t>
        </is>
      </c>
      <c r="C12981" s="2" t="inlineStr">
        <is>
          <t>코스피</t>
        </is>
      </c>
      <c r="D12981" s="2" t="inlineStr">
        <is>
          <t>451800</t>
        </is>
      </c>
      <c r="E12981" s="3" t="inlineStr">
        <is>
          <t>임원ㆍ주요주주특정증권등소유상황보고서</t>
        </is>
      </c>
      <c r="F12981" s="3" t="inlineStr">
        <is>
          <t>미래에셋자산운용</t>
        </is>
      </c>
      <c r="G12981" s="2" t="inlineStr">
        <is>
          <t>20260625000538</t>
        </is>
      </c>
      <c r="H12981" s="8">
        <f>HYPERLINK("https://dart.fss.or.kr/dsaf001/main.do?rcpNo=20260625000538", "공시열람")</f>
        <v/>
      </c>
    </row>
    <row r="12982">
      <c r="A12982" s="2" t="inlineStr">
        <is>
          <t>2026-06-25</t>
        </is>
      </c>
      <c r="B12982" s="3" t="inlineStr">
        <is>
          <t>코람코라이프인프라리츠</t>
        </is>
      </c>
      <c r="C12982" s="2" t="inlineStr">
        <is>
          <t>코스피</t>
        </is>
      </c>
      <c r="D12982" s="2" t="inlineStr">
        <is>
          <t>357120</t>
        </is>
      </c>
      <c r="E12982" s="3" t="inlineStr">
        <is>
          <t>임원ㆍ주요주주특정증권등소유상황보고서</t>
        </is>
      </c>
      <c r="F12982" s="3" t="inlineStr">
        <is>
          <t>미래에셋자산운용</t>
        </is>
      </c>
      <c r="G12982" s="2" t="inlineStr">
        <is>
          <t>20260625000537</t>
        </is>
      </c>
      <c r="H12982" s="8">
        <f>HYPERLINK("https://dart.fss.or.kr/dsaf001/main.do?rcpNo=20260625000537", "공시열람")</f>
        <v/>
      </c>
    </row>
    <row r="12983">
      <c r="A12983" s="2" t="inlineStr">
        <is>
          <t>2026-06-25</t>
        </is>
      </c>
      <c r="B12983" s="3" t="inlineStr">
        <is>
          <t>코람코더원리츠</t>
        </is>
      </c>
      <c r="C12983" s="2" t="inlineStr">
        <is>
          <t>코스피</t>
        </is>
      </c>
      <c r="D12983" s="2" t="inlineStr">
        <is>
          <t>417310</t>
        </is>
      </c>
      <c r="E12983" s="3" t="inlineStr">
        <is>
          <t>임원ㆍ주요주주특정증권등소유상황보고서</t>
        </is>
      </c>
      <c r="F12983" s="3" t="inlineStr">
        <is>
          <t>미래에셋자산운용</t>
        </is>
      </c>
      <c r="G12983" s="2" t="inlineStr">
        <is>
          <t>20260625000536</t>
        </is>
      </c>
      <c r="H12983" s="8">
        <f>HYPERLINK("https://dart.fss.or.kr/dsaf001/main.do?rcpNo=20260625000536", "공시열람")</f>
        <v/>
      </c>
    </row>
    <row r="12984">
      <c r="A12984" s="2" t="inlineStr">
        <is>
          <t>2026-06-25</t>
        </is>
      </c>
      <c r="B12984" s="3" t="inlineStr">
        <is>
          <t>이지스밸류플러스리츠</t>
        </is>
      </c>
      <c r="C12984" s="2" t="inlineStr">
        <is>
          <t>코스피</t>
        </is>
      </c>
      <c r="D12984" s="2" t="inlineStr">
        <is>
          <t>334890</t>
        </is>
      </c>
      <c r="E12984" s="3" t="inlineStr">
        <is>
          <t>임원ㆍ주요주주특정증권등소유상황보고서</t>
        </is>
      </c>
      <c r="F12984" s="3" t="inlineStr">
        <is>
          <t>미래에셋자산운용</t>
        </is>
      </c>
      <c r="G12984" s="2" t="inlineStr">
        <is>
          <t>20260625000535</t>
        </is>
      </c>
      <c r="H12984" s="8">
        <f>HYPERLINK("https://dart.fss.or.kr/dsaf001/main.do?rcpNo=20260625000535", "공시열람")</f>
        <v/>
      </c>
    </row>
    <row r="12985">
      <c r="A12985" s="2" t="inlineStr">
        <is>
          <t>2026-06-25</t>
        </is>
      </c>
      <c r="B12985" s="3" t="inlineStr">
        <is>
          <t>이리츠코크렙</t>
        </is>
      </c>
      <c r="C12985" s="2" t="inlineStr">
        <is>
          <t>코스피</t>
        </is>
      </c>
      <c r="D12985" s="2" t="inlineStr">
        <is>
          <t>088260</t>
        </is>
      </c>
      <c r="E12985" s="3" t="inlineStr">
        <is>
          <t>임원ㆍ주요주주특정증권등소유상황보고서</t>
        </is>
      </c>
      <c r="F12985" s="3" t="inlineStr">
        <is>
          <t>미래에셋자산운용</t>
        </is>
      </c>
      <c r="G12985" s="2" t="inlineStr">
        <is>
          <t>20260625000534</t>
        </is>
      </c>
      <c r="H12985" s="8">
        <f>HYPERLINK("https://dart.fss.or.kr/dsaf001/main.do?rcpNo=20260625000534", "공시열람")</f>
        <v/>
      </c>
    </row>
    <row r="12986">
      <c r="A12986" s="2" t="inlineStr">
        <is>
          <t>2026-06-25</t>
        </is>
      </c>
      <c r="B12986" s="3" t="inlineStr">
        <is>
          <t>신한알파리츠</t>
        </is>
      </c>
      <c r="C12986" s="2" t="inlineStr">
        <is>
          <t>코스피</t>
        </is>
      </c>
      <c r="D12986" s="2" t="inlineStr">
        <is>
          <t>293940</t>
        </is>
      </c>
      <c r="E12986" s="3" t="inlineStr">
        <is>
          <t>임원ㆍ주요주주특정증권등소유상황보고서</t>
        </is>
      </c>
      <c r="F12986" s="3" t="inlineStr">
        <is>
          <t>미래에셋자산운용</t>
        </is>
      </c>
      <c r="G12986" s="2" t="inlineStr">
        <is>
          <t>20260625000533</t>
        </is>
      </c>
      <c r="H12986" s="8">
        <f>HYPERLINK("https://dart.fss.or.kr/dsaf001/main.do?rcpNo=20260625000533", "공시열람")</f>
        <v/>
      </c>
    </row>
    <row r="12987">
      <c r="A12987" s="2" t="inlineStr">
        <is>
          <t>2026-06-25</t>
        </is>
      </c>
      <c r="B12987" s="3" t="inlineStr">
        <is>
          <t>신한서부티엔디리츠</t>
        </is>
      </c>
      <c r="C12987" s="2" t="inlineStr">
        <is>
          <t>코스피</t>
        </is>
      </c>
      <c r="D12987" s="2" t="inlineStr">
        <is>
          <t>404990</t>
        </is>
      </c>
      <c r="E12987" s="3" t="inlineStr">
        <is>
          <t>임원ㆍ주요주주특정증권등소유상황보고서</t>
        </is>
      </c>
      <c r="F12987" s="3" t="inlineStr">
        <is>
          <t>미래에셋자산운용</t>
        </is>
      </c>
      <c r="G12987" s="2" t="inlineStr">
        <is>
          <t>20260625000532</t>
        </is>
      </c>
      <c r="H12987" s="8">
        <f>HYPERLINK("https://dart.fss.or.kr/dsaf001/main.do?rcpNo=20260625000532", "공시열람")</f>
        <v/>
      </c>
    </row>
    <row r="12988">
      <c r="A12988" s="2" t="inlineStr">
        <is>
          <t>2026-06-25</t>
        </is>
      </c>
      <c r="B12988" s="3" t="inlineStr">
        <is>
          <t>삼성FN리츠</t>
        </is>
      </c>
      <c r="C12988" s="2" t="inlineStr">
        <is>
          <t>코스피</t>
        </is>
      </c>
      <c r="D12988" s="2" t="inlineStr">
        <is>
          <t>448730</t>
        </is>
      </c>
      <c r="E12988" s="3" t="inlineStr">
        <is>
          <t>임원ㆍ주요주주특정증권등소유상황보고서</t>
        </is>
      </c>
      <c r="F12988" s="3" t="inlineStr">
        <is>
          <t>미래에셋자산운용</t>
        </is>
      </c>
      <c r="G12988" s="2" t="inlineStr">
        <is>
          <t>20260625000531</t>
        </is>
      </c>
      <c r="H12988" s="8">
        <f>HYPERLINK("https://dart.fss.or.kr/dsaf001/main.do?rcpNo=20260625000531", "공시열람")</f>
        <v/>
      </c>
    </row>
    <row r="12989">
      <c r="A12989" s="2" t="inlineStr">
        <is>
          <t>2026-06-25</t>
        </is>
      </c>
      <c r="B12989" s="3" t="inlineStr">
        <is>
          <t>미래에셋맵스리츠</t>
        </is>
      </c>
      <c r="C12989" s="2" t="inlineStr">
        <is>
          <t>코스피</t>
        </is>
      </c>
      <c r="D12989" s="2" t="inlineStr">
        <is>
          <t>357250</t>
        </is>
      </c>
      <c r="E12989" s="3" t="inlineStr">
        <is>
          <t>임원ㆍ주요주주특정증권등소유상황보고서</t>
        </is>
      </c>
      <c r="F12989" s="3" t="inlineStr">
        <is>
          <t>미래에셋자산운용</t>
        </is>
      </c>
      <c r="G12989" s="2" t="inlineStr">
        <is>
          <t>20260625000530</t>
        </is>
      </c>
      <c r="H12989" s="8">
        <f>HYPERLINK("https://dart.fss.or.kr/dsaf001/main.do?rcpNo=20260625000530", "공시열람")</f>
        <v/>
      </c>
    </row>
    <row r="12990">
      <c r="A12990" s="2" t="inlineStr">
        <is>
          <t>2026-06-25</t>
        </is>
      </c>
      <c r="B12990" s="3" t="inlineStr">
        <is>
          <t>NH투자증권</t>
        </is>
      </c>
      <c r="C12990" s="2" t="inlineStr">
        <is>
          <t>코스피</t>
        </is>
      </c>
      <c r="D12990" s="2" t="inlineStr">
        <is>
          <t>005940</t>
        </is>
      </c>
      <c r="E12990" s="3" t="inlineStr">
        <is>
          <t>증권발행실적보고서</t>
        </is>
      </c>
      <c r="F12990" s="3" t="inlineStr">
        <is>
          <t>NH투자증권</t>
        </is>
      </c>
      <c r="G12990" s="2" t="inlineStr">
        <is>
          <t>20260625000529</t>
        </is>
      </c>
      <c r="H12990" s="8">
        <f>HYPERLINK("https://dart.fss.or.kr/dsaf001/main.do?rcpNo=20260625000529", "공시열람")</f>
        <v/>
      </c>
    </row>
    <row r="12991">
      <c r="A12991" s="2" t="inlineStr">
        <is>
          <t>2026-06-25</t>
        </is>
      </c>
      <c r="B12991" s="3" t="inlineStr">
        <is>
          <t>롯데리츠</t>
        </is>
      </c>
      <c r="C12991" s="2" t="inlineStr">
        <is>
          <t>코스피</t>
        </is>
      </c>
      <c r="D12991" s="2" t="inlineStr">
        <is>
          <t>330590</t>
        </is>
      </c>
      <c r="E12991" s="3" t="inlineStr">
        <is>
          <t>임원ㆍ주요주주특정증권등소유상황보고서</t>
        </is>
      </c>
      <c r="F12991" s="3" t="inlineStr">
        <is>
          <t>미래에셋자산운용</t>
        </is>
      </c>
      <c r="G12991" s="2" t="inlineStr">
        <is>
          <t>20260625000528</t>
        </is>
      </c>
      <c r="H12991" s="8">
        <f>HYPERLINK("https://dart.fss.or.kr/dsaf001/main.do?rcpNo=20260625000528", "공시열람")</f>
        <v/>
      </c>
    </row>
    <row r="12992">
      <c r="A12992" s="2" t="inlineStr">
        <is>
          <t>2026-06-25</t>
        </is>
      </c>
      <c r="B12992" s="3" t="inlineStr">
        <is>
          <t>디앤디플랫폼리츠</t>
        </is>
      </c>
      <c r="C12992" s="2" t="inlineStr">
        <is>
          <t>코스피</t>
        </is>
      </c>
      <c r="D12992" s="2" t="inlineStr">
        <is>
          <t>377190</t>
        </is>
      </c>
      <c r="E12992" s="3" t="inlineStr">
        <is>
          <t>임원ㆍ주요주주특정증권등소유상황보고서</t>
        </is>
      </c>
      <c r="F12992" s="3" t="inlineStr">
        <is>
          <t>미래에셋자산운용</t>
        </is>
      </c>
      <c r="G12992" s="2" t="inlineStr">
        <is>
          <t>20260625000527</t>
        </is>
      </c>
      <c r="H12992" s="8">
        <f>HYPERLINK("https://dart.fss.or.kr/dsaf001/main.do?rcpNo=20260625000527", "공시열람")</f>
        <v/>
      </c>
    </row>
    <row r="12993">
      <c r="A12993" s="2" t="inlineStr">
        <is>
          <t>2026-06-25</t>
        </is>
      </c>
      <c r="B12993" s="3" t="inlineStr">
        <is>
          <t>기업은행</t>
        </is>
      </c>
      <c r="C12993" s="2" t="inlineStr">
        <is>
          <t>코스피</t>
        </is>
      </c>
      <c r="D12993" s="2" t="inlineStr">
        <is>
          <t>024110</t>
        </is>
      </c>
      <c r="E12993" s="3" t="inlineStr">
        <is>
          <t xml:space="preserve">지속가능경영보고서등관련사항(자율공시)              </t>
        </is>
      </c>
      <c r="F12993" s="3" t="inlineStr">
        <is>
          <t>기업은행</t>
        </is>
      </c>
      <c r="G12993" s="2" t="inlineStr">
        <is>
          <t>20260625800696</t>
        </is>
      </c>
      <c r="H12993" s="8">
        <f>HYPERLINK("https://dart.fss.or.kr/dsaf001/main.do?rcpNo=20260625800696", "공시열람")</f>
        <v/>
      </c>
    </row>
    <row r="12994">
      <c r="A12994" s="2" t="inlineStr">
        <is>
          <t>2026-06-25</t>
        </is>
      </c>
      <c r="B12994" s="3" t="inlineStr">
        <is>
          <t>SK리츠</t>
        </is>
      </c>
      <c r="C12994" s="2" t="inlineStr">
        <is>
          <t>코스피</t>
        </is>
      </c>
      <c r="D12994" s="2" t="inlineStr">
        <is>
          <t>395400</t>
        </is>
      </c>
      <c r="E12994" s="3" t="inlineStr">
        <is>
          <t>임원ㆍ주요주주특정증권등소유상황보고서</t>
        </is>
      </c>
      <c r="F12994" s="3" t="inlineStr">
        <is>
          <t>미래에셋자산운용</t>
        </is>
      </c>
      <c r="G12994" s="2" t="inlineStr">
        <is>
          <t>20260625000525</t>
        </is>
      </c>
      <c r="H12994" s="8">
        <f>HYPERLINK("https://dart.fss.or.kr/dsaf001/main.do?rcpNo=20260625000525", "공시열람")</f>
        <v/>
      </c>
    </row>
    <row r="12995">
      <c r="A12995" s="2" t="inlineStr">
        <is>
          <t>2026-06-25</t>
        </is>
      </c>
      <c r="B12995" s="3" t="inlineStr">
        <is>
          <t>ESR켄달스퀘어리츠</t>
        </is>
      </c>
      <c r="C12995" s="2" t="inlineStr">
        <is>
          <t>코스피</t>
        </is>
      </c>
      <c r="D12995" s="2" t="inlineStr">
        <is>
          <t>365550</t>
        </is>
      </c>
      <c r="E12995" s="3" t="inlineStr">
        <is>
          <t>임원ㆍ주요주주특정증권등소유상황보고서</t>
        </is>
      </c>
      <c r="F12995" s="3" t="inlineStr">
        <is>
          <t>미래에셋자산운용</t>
        </is>
      </c>
      <c r="G12995" s="2" t="inlineStr">
        <is>
          <t>20260625000524</t>
        </is>
      </c>
      <c r="H12995" s="8">
        <f>HYPERLINK("https://dart.fss.or.kr/dsaf001/main.do?rcpNo=20260625000524", "공시열람")</f>
        <v/>
      </c>
    </row>
    <row r="12996">
      <c r="A12996" s="2" t="inlineStr">
        <is>
          <t>2026-06-25</t>
        </is>
      </c>
      <c r="B12996" s="3" t="inlineStr">
        <is>
          <t>DB하이텍</t>
        </is>
      </c>
      <c r="C12996" s="2" t="inlineStr">
        <is>
          <t>코스피</t>
        </is>
      </c>
      <c r="D12996" s="2" t="inlineStr">
        <is>
          <t>000990</t>
        </is>
      </c>
      <c r="E12996" s="3" t="inlineStr">
        <is>
          <t>임원ㆍ주요주주특정증권등소유상황보고서</t>
        </is>
      </c>
      <c r="F12996" s="3" t="inlineStr">
        <is>
          <t>미래에셋자산운용</t>
        </is>
      </c>
      <c r="G12996" s="2" t="inlineStr">
        <is>
          <t>20260625000523</t>
        </is>
      </c>
      <c r="H12996" s="8">
        <f>HYPERLINK("https://dart.fss.or.kr/dsaf001/main.do?rcpNo=20260625000523", "공시열람")</f>
        <v/>
      </c>
    </row>
    <row r="12997">
      <c r="A12997" s="2" t="inlineStr">
        <is>
          <t>2026-06-25</t>
        </is>
      </c>
      <c r="B12997" s="3" t="inlineStr">
        <is>
          <t>CJ ENM</t>
        </is>
      </c>
      <c r="C12997" s="2" t="inlineStr">
        <is>
          <t>코스닥</t>
        </is>
      </c>
      <c r="D12997" s="2" t="inlineStr">
        <is>
          <t>035760</t>
        </is>
      </c>
      <c r="E12997" s="3" t="inlineStr">
        <is>
          <t>동일인등출자계열회사와의상품ㆍ용역거래</t>
        </is>
      </c>
      <c r="F12997" s="3" t="inlineStr">
        <is>
          <t>CJ ENM</t>
        </is>
      </c>
      <c r="G12997" s="2" t="inlineStr">
        <is>
          <t>20260625000521</t>
        </is>
      </c>
      <c r="H12997" s="8">
        <f>HYPERLINK("https://dart.fss.or.kr/dsaf001/main.do?rcpNo=20260625000521", "공시열람")</f>
        <v/>
      </c>
    </row>
    <row r="12998">
      <c r="A12998" s="2" t="inlineStr">
        <is>
          <t>2026-06-25</t>
        </is>
      </c>
      <c r="B12998" s="3" t="inlineStr">
        <is>
          <t>디와이에이</t>
        </is>
      </c>
      <c r="C12998" s="2" t="inlineStr">
        <is>
          <t>코스피</t>
        </is>
      </c>
      <c r="D12998" s="2" t="inlineStr">
        <is>
          <t>002880</t>
        </is>
      </c>
      <c r="E12998" s="3" t="inlineStr">
        <is>
          <t xml:space="preserve">주식병합결정              </t>
        </is>
      </c>
      <c r="F12998" s="3" t="inlineStr">
        <is>
          <t>디와이에이</t>
        </is>
      </c>
      <c r="G12998" s="2" t="inlineStr">
        <is>
          <t>20260625800676</t>
        </is>
      </c>
      <c r="H12998" s="8">
        <f>HYPERLINK("https://dart.fss.or.kr/dsaf001/main.do?rcpNo=20260625800676", "공시열람")</f>
        <v/>
      </c>
    </row>
    <row r="12999">
      <c r="A12999" s="2" t="inlineStr">
        <is>
          <t>2026-06-25</t>
        </is>
      </c>
      <c r="B12999" s="3" t="inlineStr">
        <is>
          <t>CJ ENM</t>
        </is>
      </c>
      <c r="C12999" s="2" t="inlineStr">
        <is>
          <t>코스닥</t>
        </is>
      </c>
      <c r="D12999" s="2" t="inlineStr">
        <is>
          <t>035760</t>
        </is>
      </c>
      <c r="E12999" s="3" t="inlineStr">
        <is>
          <t>동일인등출자계열회사와의상품ㆍ용역거래</t>
        </is>
      </c>
      <c r="F12999" s="3" t="inlineStr">
        <is>
          <t>CJ ENM</t>
        </is>
      </c>
      <c r="G12999" s="2" t="inlineStr">
        <is>
          <t>20260625000515</t>
        </is>
      </c>
      <c r="H12999" s="8">
        <f>HYPERLINK("https://dart.fss.or.kr/dsaf001/main.do?rcpNo=20260625000515", "공시열람")</f>
        <v/>
      </c>
    </row>
    <row r="13000">
      <c r="A13000" s="2" t="inlineStr">
        <is>
          <t>2026-06-25</t>
        </is>
      </c>
      <c r="B13000" s="3" t="inlineStr">
        <is>
          <t>BNK금융지주</t>
        </is>
      </c>
      <c r="C13000" s="2" t="inlineStr">
        <is>
          <t>코스피</t>
        </is>
      </c>
      <c r="D13000" s="2" t="inlineStr">
        <is>
          <t>138930</t>
        </is>
      </c>
      <c r="E13000" s="3" t="inlineStr">
        <is>
          <t xml:space="preserve">단기차입금증가결정(자회사의 주요경영사항)              </t>
        </is>
      </c>
      <c r="F13000" s="3" t="inlineStr">
        <is>
          <t>BNK금융지주</t>
        </is>
      </c>
      <c r="G13000" s="2" t="inlineStr">
        <is>
          <t>20260625800679</t>
        </is>
      </c>
      <c r="H13000" s="8">
        <f>HYPERLINK("https://dart.fss.or.kr/dsaf001/main.do?rcpNo=20260625800679", "공시열람")</f>
        <v/>
      </c>
    </row>
    <row r="13001">
      <c r="A13001" s="2" t="inlineStr">
        <is>
          <t>2026-06-25</t>
        </is>
      </c>
      <c r="B13001" s="3" t="inlineStr">
        <is>
          <t>타스컴</t>
        </is>
      </c>
      <c r="C13001" s="2" t="inlineStr">
        <is>
          <t>코넥스</t>
        </is>
      </c>
      <c r="D13001" s="2" t="inlineStr">
        <is>
          <t>336040</t>
        </is>
      </c>
      <c r="E13001" s="3" t="inlineStr">
        <is>
          <t xml:space="preserve">기업설명회(IR)개최결과              </t>
        </is>
      </c>
      <c r="F13001" s="3" t="inlineStr">
        <is>
          <t>타스컴</t>
        </is>
      </c>
      <c r="G13001" s="2" t="inlineStr">
        <is>
          <t>20260625600646</t>
        </is>
      </c>
      <c r="H13001" s="8">
        <f>HYPERLINK("https://dart.fss.or.kr/dsaf001/main.do?rcpNo=20260625600646", "공시열람")</f>
        <v/>
      </c>
    </row>
    <row r="13002">
      <c r="A13002" s="2" t="inlineStr">
        <is>
          <t>2026-06-25</t>
        </is>
      </c>
      <c r="B13002" s="3" t="inlineStr">
        <is>
          <t>삼성공조</t>
        </is>
      </c>
      <c r="C13002" s="2" t="inlineStr">
        <is>
          <t>코스피</t>
        </is>
      </c>
      <c r="D13002" s="2" t="inlineStr">
        <is>
          <t>006660</t>
        </is>
      </c>
      <c r="E13002" s="3" t="inlineStr">
        <is>
          <t>임원ㆍ주요주주특정증권등소유상황보고서</t>
        </is>
      </c>
      <c r="F13002" s="3" t="inlineStr">
        <is>
          <t>고태일</t>
        </is>
      </c>
      <c r="G13002" s="2" t="inlineStr">
        <is>
          <t>20260625000511</t>
        </is>
      </c>
      <c r="H13002" s="8">
        <f>HYPERLINK("https://dart.fss.or.kr/dsaf001/main.do?rcpNo=20260625000511", "공시열람")</f>
        <v/>
      </c>
    </row>
    <row r="13003">
      <c r="A13003" s="2" t="inlineStr">
        <is>
          <t>2026-06-25</t>
        </is>
      </c>
      <c r="B13003" s="3" t="inlineStr">
        <is>
          <t>신한지주</t>
        </is>
      </c>
      <c r="C13003" s="2" t="inlineStr">
        <is>
          <t>코스피</t>
        </is>
      </c>
      <c r="D13003" s="2" t="inlineStr">
        <is>
          <t>055550</t>
        </is>
      </c>
      <c r="E13003" s="3" t="inlineStr">
        <is>
          <t>투자설명서(일괄신고)</t>
        </is>
      </c>
      <c r="F13003" s="3" t="inlineStr">
        <is>
          <t>신한지주</t>
        </is>
      </c>
      <c r="G13003" s="2" t="inlineStr">
        <is>
          <t>20260625000508</t>
        </is>
      </c>
      <c r="H13003" s="8">
        <f>HYPERLINK("https://dart.fss.or.kr/dsaf001/main.do?rcpNo=20260625000508", "공시열람")</f>
        <v/>
      </c>
    </row>
    <row r="13004">
      <c r="A13004" s="2" t="inlineStr">
        <is>
          <t>2026-06-25</t>
        </is>
      </c>
      <c r="B13004" s="3" t="inlineStr">
        <is>
          <t>세아제강</t>
        </is>
      </c>
      <c r="C13004" s="2" t="inlineStr">
        <is>
          <t>코스피</t>
        </is>
      </c>
      <c r="D13004" s="2" t="inlineStr">
        <is>
          <t>306200</t>
        </is>
      </c>
      <c r="E13004" s="3" t="inlineStr">
        <is>
          <t>증권발행실적보고서</t>
        </is>
      </c>
      <c r="F13004" s="3" t="inlineStr">
        <is>
          <t>세아제강</t>
        </is>
      </c>
      <c r="G13004" s="2" t="inlineStr">
        <is>
          <t>20260625000507</t>
        </is>
      </c>
      <c r="H13004" s="8">
        <f>HYPERLINK("https://dart.fss.or.kr/dsaf001/main.do?rcpNo=20260625000507", "공시열람")</f>
        <v/>
      </c>
    </row>
    <row r="13005">
      <c r="A13005" s="2" t="inlineStr">
        <is>
          <t>2026-06-25</t>
        </is>
      </c>
      <c r="B13005" s="3" t="inlineStr">
        <is>
          <t>HPSP</t>
        </is>
      </c>
      <c r="C13005" s="2" t="inlineStr">
        <is>
          <t>코스닥</t>
        </is>
      </c>
      <c r="D13005" s="2" t="inlineStr">
        <is>
          <t>403870</t>
        </is>
      </c>
      <c r="E13005" s="3" t="inlineStr">
        <is>
          <t>주요사항보고서(자기주식처분결정)</t>
        </is>
      </c>
      <c r="F13005" s="3" t="inlineStr">
        <is>
          <t>HPSP</t>
        </is>
      </c>
      <c r="G13005" s="2" t="inlineStr">
        <is>
          <t>20260625000469</t>
        </is>
      </c>
      <c r="H13005" s="8">
        <f>HYPERLINK("https://dart.fss.or.kr/dsaf001/main.do?rcpNo=20260625000469", "공시열람")</f>
        <v/>
      </c>
    </row>
    <row r="13006">
      <c r="A13006" s="2" t="inlineStr">
        <is>
          <t>2026-06-25</t>
        </is>
      </c>
      <c r="B13006" s="3" t="inlineStr">
        <is>
          <t>예선테크</t>
        </is>
      </c>
      <c r="C13006" s="2" t="inlineStr">
        <is>
          <t>코스닥</t>
        </is>
      </c>
      <c r="D13006" s="2" t="inlineStr">
        <is>
          <t>250930</t>
        </is>
      </c>
      <c r="E13006" s="3" t="inlineStr">
        <is>
          <t>주권매매거래정지              (주식의 병합, 분할 등 전자등록 변경, 말소)</t>
        </is>
      </c>
      <c r="F13006" s="3" t="inlineStr">
        <is>
          <t>코스닥시장본부</t>
        </is>
      </c>
      <c r="G13006" s="2" t="inlineStr">
        <is>
          <t>20260625900635</t>
        </is>
      </c>
      <c r="H13006" s="8">
        <f>HYPERLINK("https://dart.fss.or.kr/dsaf001/main.do?rcpNo=20260625900635", "공시열람")</f>
        <v/>
      </c>
    </row>
    <row r="13007">
      <c r="A13007" s="2" t="inlineStr">
        <is>
          <t>2026-06-25</t>
        </is>
      </c>
      <c r="B13007" s="3" t="inlineStr">
        <is>
          <t>대양전기공업</t>
        </is>
      </c>
      <c r="C13007" s="2" t="inlineStr">
        <is>
          <t>코스닥</t>
        </is>
      </c>
      <c r="D13007" s="2" t="inlineStr">
        <is>
          <t>108380</t>
        </is>
      </c>
      <c r="E13007" s="3" t="inlineStr">
        <is>
          <t>주요사항보고서(자기주식처분결정)</t>
        </is>
      </c>
      <c r="F13007" s="3" t="inlineStr">
        <is>
          <t>대양전기공업</t>
        </is>
      </c>
      <c r="G13007" s="2" t="inlineStr">
        <is>
          <t>20260625000483</t>
        </is>
      </c>
      <c r="H13007" s="8">
        <f>HYPERLINK("https://dart.fss.or.kr/dsaf001/main.do?rcpNo=20260625000483", "공시열람")</f>
        <v/>
      </c>
    </row>
    <row r="13008">
      <c r="A13008" s="2" t="inlineStr">
        <is>
          <t>2026-06-25</t>
        </is>
      </c>
      <c r="B13008" s="3" t="inlineStr">
        <is>
          <t>심텍</t>
        </is>
      </c>
      <c r="C13008" s="2" t="inlineStr">
        <is>
          <t>코스닥</t>
        </is>
      </c>
      <c r="D13008" s="2" t="inlineStr">
        <is>
          <t>222800</t>
        </is>
      </c>
      <c r="E13008" s="3" t="inlineStr">
        <is>
          <t>임원ㆍ주요주주특정증권등소유상황보고서</t>
        </is>
      </c>
      <c r="F13008" s="3" t="inlineStr">
        <is>
          <t>심텍홀딩스</t>
        </is>
      </c>
      <c r="G13008" s="2" t="inlineStr">
        <is>
          <t>20260625000504</t>
        </is>
      </c>
      <c r="H13008" s="8">
        <f>HYPERLINK("https://dart.fss.or.kr/dsaf001/main.do?rcpNo=20260625000504", "공시열람")</f>
        <v/>
      </c>
    </row>
    <row r="13009">
      <c r="A13009" s="2" t="inlineStr">
        <is>
          <t>2026-06-25</t>
        </is>
      </c>
      <c r="B13009" s="3" t="inlineStr">
        <is>
          <t>BNK금융지주</t>
        </is>
      </c>
      <c r="C13009" s="2" t="inlineStr">
        <is>
          <t>코스피</t>
        </is>
      </c>
      <c r="D13009" s="2" t="inlineStr">
        <is>
          <t>138930</t>
        </is>
      </c>
      <c r="E13009" s="3" t="inlineStr">
        <is>
          <t>투자설명서(일괄신고)</t>
        </is>
      </c>
      <c r="F13009" s="3" t="inlineStr">
        <is>
          <t>BNK금융지주</t>
        </is>
      </c>
      <c r="G13009" s="2" t="inlineStr">
        <is>
          <t>20260625000503</t>
        </is>
      </c>
      <c r="H13009" s="8">
        <f>HYPERLINK("https://dart.fss.or.kr/dsaf001/main.do?rcpNo=20260625000503", "공시열람")</f>
        <v/>
      </c>
    </row>
    <row r="13010">
      <c r="A13010" s="2" t="inlineStr">
        <is>
          <t>2026-06-25</t>
        </is>
      </c>
      <c r="B13010" s="3" t="inlineStr">
        <is>
          <t>삼립</t>
        </is>
      </c>
      <c r="C13010" s="2" t="inlineStr">
        <is>
          <t>코스피</t>
        </is>
      </c>
      <c r="D13010" s="2" t="inlineStr">
        <is>
          <t>005610</t>
        </is>
      </c>
      <c r="E13010" s="3" t="inlineStr">
        <is>
          <t>임원ㆍ주요주주특정증권등소유상황보고서</t>
        </is>
      </c>
      <c r="F13010" s="3" t="inlineStr">
        <is>
          <t>서정헌</t>
        </is>
      </c>
      <c r="G13010" s="2" t="inlineStr">
        <is>
          <t>20260625000500</t>
        </is>
      </c>
      <c r="H13010" s="8">
        <f>HYPERLINK("https://dart.fss.or.kr/dsaf001/main.do?rcpNo=20260625000500", "공시열람")</f>
        <v/>
      </c>
    </row>
    <row r="13011">
      <c r="A13011" s="2" t="inlineStr">
        <is>
          <t>2026-06-25</t>
        </is>
      </c>
      <c r="B13011" s="3" t="inlineStr">
        <is>
          <t>디어유</t>
        </is>
      </c>
      <c r="C13011" s="2" t="inlineStr">
        <is>
          <t>코스닥</t>
        </is>
      </c>
      <c r="D13011" s="2" t="inlineStr">
        <is>
          <t>376300</t>
        </is>
      </c>
      <c r="E13011" s="3" t="inlineStr">
        <is>
          <t>임원ㆍ주요주주특정증권등거래계획보고서</t>
        </is>
      </c>
      <c r="F13011" s="3" t="inlineStr">
        <is>
          <t>에스엠</t>
        </is>
      </c>
      <c r="G13011" s="2" t="inlineStr">
        <is>
          <t>20260625000498</t>
        </is>
      </c>
      <c r="H13011" s="8">
        <f>HYPERLINK("https://dart.fss.or.kr/dsaf001/main.do?rcpNo=20260625000498", "공시열람")</f>
        <v/>
      </c>
    </row>
    <row r="13012">
      <c r="A13012" s="2" t="inlineStr">
        <is>
          <t>2026-06-25</t>
        </is>
      </c>
      <c r="B13012" s="3" t="inlineStr">
        <is>
          <t>HPSP</t>
        </is>
      </c>
      <c r="C13012" s="2" t="inlineStr">
        <is>
          <t>코스닥</t>
        </is>
      </c>
      <c r="D13012" s="2" t="inlineStr">
        <is>
          <t>403870</t>
        </is>
      </c>
      <c r="E13012" s="3" t="inlineStr">
        <is>
          <t xml:space="preserve">대표이사변경              </t>
        </is>
      </c>
      <c r="F13012" s="3" t="inlineStr">
        <is>
          <t>HPSP</t>
        </is>
      </c>
      <c r="G13012" s="2" t="inlineStr">
        <is>
          <t>20260625900628</t>
        </is>
      </c>
      <c r="H13012" s="8">
        <f>HYPERLINK("https://dart.fss.or.kr/dsaf001/main.do?rcpNo=20260625900628", "공시열람")</f>
        <v/>
      </c>
    </row>
    <row r="13013">
      <c r="A13013" s="2" t="inlineStr">
        <is>
          <t>2026-06-25</t>
        </is>
      </c>
      <c r="B13013" s="3" t="inlineStr">
        <is>
          <t>동방</t>
        </is>
      </c>
      <c r="C13013" s="2" t="inlineStr">
        <is>
          <t>코스피</t>
        </is>
      </c>
      <c r="D13013" s="2" t="inlineStr">
        <is>
          <t>004140</t>
        </is>
      </c>
      <c r="E13013" s="3" t="inlineStr">
        <is>
          <t>임원ㆍ주요주주특정증권등소유상황보고서</t>
        </is>
      </c>
      <c r="F13013" s="3" t="inlineStr">
        <is>
          <t>정운건</t>
        </is>
      </c>
      <c r="G13013" s="2" t="inlineStr">
        <is>
          <t>20260625000497</t>
        </is>
      </c>
      <c r="H13013" s="8">
        <f>HYPERLINK("https://dart.fss.or.kr/dsaf001/main.do?rcpNo=20260625000497", "공시열람")</f>
        <v/>
      </c>
    </row>
    <row r="13014">
      <c r="A13014" s="2" t="inlineStr">
        <is>
          <t>2026-06-25</t>
        </is>
      </c>
      <c r="B13014" s="3" t="inlineStr">
        <is>
          <t>에이원큐브텍</t>
        </is>
      </c>
      <c r="C13014" s="2" t="inlineStr">
        <is>
          <t>코넥스</t>
        </is>
      </c>
      <c r="D13014" s="2" t="inlineStr">
        <is>
          <t>234070</t>
        </is>
      </c>
      <c r="E13014" s="3" t="inlineStr">
        <is>
          <t xml:space="preserve">기업설명회(IR)개최결과              </t>
        </is>
      </c>
      <c r="F13014" s="3" t="inlineStr">
        <is>
          <t>에이원큐브텍</t>
        </is>
      </c>
      <c r="G13014" s="2" t="inlineStr">
        <is>
          <t>20260625600618</t>
        </is>
      </c>
      <c r="H13014" s="8">
        <f>HYPERLINK("https://dart.fss.or.kr/dsaf001/main.do?rcpNo=20260625600618", "공시열람")</f>
        <v/>
      </c>
    </row>
    <row r="13015">
      <c r="A13015" s="2" t="inlineStr">
        <is>
          <t>2026-06-25</t>
        </is>
      </c>
      <c r="B13015" s="3" t="inlineStr">
        <is>
          <t>넷마블</t>
        </is>
      </c>
      <c r="C13015" s="2" t="inlineStr">
        <is>
          <t>코스피</t>
        </is>
      </c>
      <c r="D13015" s="2" t="inlineStr">
        <is>
          <t>251270</t>
        </is>
      </c>
      <c r="E13015" s="3" t="inlineStr">
        <is>
          <t>신탁계약해지결과보고서</t>
        </is>
      </c>
      <c r="F13015" s="3" t="inlineStr">
        <is>
          <t>넷마블</t>
        </is>
      </c>
      <c r="G13015" s="2" t="inlineStr">
        <is>
          <t>20260625000496</t>
        </is>
      </c>
      <c r="H13015" s="8">
        <f>HYPERLINK("https://dart.fss.or.kr/dsaf001/main.do?rcpNo=20260625000496", "공시열람")</f>
        <v/>
      </c>
    </row>
    <row r="13016">
      <c r="A13016" s="2" t="inlineStr">
        <is>
          <t>2026-06-25</t>
        </is>
      </c>
      <c r="B13016" s="3" t="inlineStr">
        <is>
          <t>에스엘</t>
        </is>
      </c>
      <c r="C13016" s="2" t="inlineStr">
        <is>
          <t>코스피</t>
        </is>
      </c>
      <c r="D13016" s="2" t="inlineStr">
        <is>
          <t>005850</t>
        </is>
      </c>
      <c r="E13016" s="3" t="inlineStr">
        <is>
          <t xml:space="preserve">[첨부정정]지속가능경영보고서등관련사항(자율공시)              </t>
        </is>
      </c>
      <c r="F13016" s="3" t="inlineStr">
        <is>
          <t>에스엘</t>
        </is>
      </c>
      <c r="G13016" s="2" t="inlineStr">
        <is>
          <t>20260625800567</t>
        </is>
      </c>
      <c r="H13016" s="8">
        <f>HYPERLINK("https://dart.fss.or.kr/dsaf001/main.do?rcpNo=20260625800567", "공시열람")</f>
        <v/>
      </c>
    </row>
    <row r="13017">
      <c r="A13017" s="2" t="inlineStr">
        <is>
          <t>2026-06-25</t>
        </is>
      </c>
      <c r="B13017" s="3" t="inlineStr">
        <is>
          <t>한화생명</t>
        </is>
      </c>
      <c r="C13017" s="2" t="inlineStr">
        <is>
          <t>코스피</t>
        </is>
      </c>
      <c r="D13017" s="2" t="inlineStr">
        <is>
          <t>088350</t>
        </is>
      </c>
      <c r="E13017" s="3" t="inlineStr">
        <is>
          <t>임원ㆍ주요주주특정증권등소유상황보고서</t>
        </is>
      </c>
      <c r="F13017" s="3" t="inlineStr">
        <is>
          <t>신충호</t>
        </is>
      </c>
      <c r="G13017" s="2" t="inlineStr">
        <is>
          <t>20260625000491</t>
        </is>
      </c>
      <c r="H13017" s="8">
        <f>HYPERLINK("https://dart.fss.or.kr/dsaf001/main.do?rcpNo=20260625000491", "공시열람")</f>
        <v/>
      </c>
    </row>
    <row r="13018">
      <c r="A13018" s="2" t="inlineStr">
        <is>
          <t>2026-06-25</t>
        </is>
      </c>
      <c r="B13018" s="3" t="inlineStr">
        <is>
          <t>신한지주</t>
        </is>
      </c>
      <c r="C13018" s="2" t="inlineStr">
        <is>
          <t>코스피</t>
        </is>
      </c>
      <c r="D13018" s="2" t="inlineStr">
        <is>
          <t>055550</t>
        </is>
      </c>
      <c r="E13018" s="3" t="inlineStr">
        <is>
          <t>일괄신고추가서류</t>
        </is>
      </c>
      <c r="F13018" s="3" t="inlineStr">
        <is>
          <t>신한지주</t>
        </is>
      </c>
      <c r="G13018" s="2" t="inlineStr">
        <is>
          <t>20260625000488</t>
        </is>
      </c>
      <c r="H13018" s="8">
        <f>HYPERLINK("https://dart.fss.or.kr/dsaf001/main.do?rcpNo=20260625000488", "공시열람")</f>
        <v/>
      </c>
    </row>
    <row r="13019">
      <c r="A13019" s="2" t="inlineStr">
        <is>
          <t>2026-06-25</t>
        </is>
      </c>
      <c r="B13019" s="3" t="inlineStr">
        <is>
          <t>BNK금융지주</t>
        </is>
      </c>
      <c r="C13019" s="2" t="inlineStr">
        <is>
          <t>코스피</t>
        </is>
      </c>
      <c r="D13019" s="2" t="inlineStr">
        <is>
          <t>138930</t>
        </is>
      </c>
      <c r="E13019" s="3" t="inlineStr">
        <is>
          <t>일괄신고추가서류</t>
        </is>
      </c>
      <c r="F13019" s="3" t="inlineStr">
        <is>
          <t>BNK금융지주</t>
        </is>
      </c>
      <c r="G13019" s="2" t="inlineStr">
        <is>
          <t>20260625000486</t>
        </is>
      </c>
      <c r="H13019" s="8">
        <f>HYPERLINK("https://dart.fss.or.kr/dsaf001/main.do?rcpNo=20260625000486", "공시열람")</f>
        <v/>
      </c>
    </row>
    <row r="13020">
      <c r="A13020" s="2" t="inlineStr">
        <is>
          <t>2026-06-25</t>
        </is>
      </c>
      <c r="B13020" s="3" t="inlineStr">
        <is>
          <t>NH투자증권</t>
        </is>
      </c>
      <c r="C13020" s="2" t="inlineStr">
        <is>
          <t>코스피</t>
        </is>
      </c>
      <c r="D13020" s="2" t="inlineStr">
        <is>
          <t>005940</t>
        </is>
      </c>
      <c r="E13020" s="3" t="inlineStr">
        <is>
          <t>투자설명서(일괄신고)</t>
        </is>
      </c>
      <c r="F13020" s="3" t="inlineStr">
        <is>
          <t>NH투자증권</t>
        </is>
      </c>
      <c r="G13020" s="2" t="inlineStr">
        <is>
          <t>20260625000479</t>
        </is>
      </c>
      <c r="H13020" s="8">
        <f>HYPERLINK("https://dart.fss.or.kr/dsaf001/main.do?rcpNo=20260625000479", "공시열람")</f>
        <v/>
      </c>
    </row>
    <row r="13021">
      <c r="A13021" s="2" t="inlineStr">
        <is>
          <t>2026-06-25</t>
        </is>
      </c>
      <c r="B13021" s="3" t="inlineStr">
        <is>
          <t>심텍</t>
        </is>
      </c>
      <c r="C13021" s="2" t="inlineStr">
        <is>
          <t>코스닥</t>
        </is>
      </c>
      <c r="D13021" s="2" t="inlineStr">
        <is>
          <t>222800</t>
        </is>
      </c>
      <c r="E13021" s="3" t="inlineStr">
        <is>
          <t>자기주식취득결과보고서</t>
        </is>
      </c>
      <c r="F13021" s="3" t="inlineStr">
        <is>
          <t>심텍</t>
        </is>
      </c>
      <c r="G13021" s="2" t="inlineStr">
        <is>
          <t>20260625000476</t>
        </is>
      </c>
      <c r="H13021" s="8">
        <f>HYPERLINK("https://dart.fss.or.kr/dsaf001/main.do?rcpNo=20260625000476", "공시열람")</f>
        <v/>
      </c>
    </row>
    <row r="13022">
      <c r="A13022" s="2" t="inlineStr">
        <is>
          <t>2026-06-25</t>
        </is>
      </c>
      <c r="B13022" s="3" t="inlineStr">
        <is>
          <t>앤디포스</t>
        </is>
      </c>
      <c r="C13022" s="2" t="inlineStr">
        <is>
          <t>코스닥</t>
        </is>
      </c>
      <c r="D13022" s="2" t="inlineStr">
        <is>
          <t>238090</t>
        </is>
      </c>
      <c r="E13022" s="3" t="inlineStr">
        <is>
          <t xml:space="preserve">증권발행결과(자율공시)              </t>
        </is>
      </c>
      <c r="F13022" s="3" t="inlineStr">
        <is>
          <t>앤디포스</t>
        </is>
      </c>
      <c r="G13022" s="2" t="inlineStr">
        <is>
          <t>20260625900602</t>
        </is>
      </c>
      <c r="H13022" s="8">
        <f>HYPERLINK("https://dart.fss.or.kr/dsaf001/main.do?rcpNo=20260625900602", "공시열람")</f>
        <v/>
      </c>
    </row>
    <row r="13023">
      <c r="A13023" s="2" t="inlineStr">
        <is>
          <t>2026-06-25</t>
        </is>
      </c>
      <c r="B13023" s="3" t="inlineStr">
        <is>
          <t>키움증권</t>
        </is>
      </c>
      <c r="C13023" s="2" t="inlineStr">
        <is>
          <t>코스피</t>
        </is>
      </c>
      <c r="D13023" s="2" t="inlineStr">
        <is>
          <t>039490</t>
        </is>
      </c>
      <c r="E13023" s="3" t="inlineStr">
        <is>
          <t>증권발행실적보고서</t>
        </is>
      </c>
      <c r="F13023" s="3" t="inlineStr">
        <is>
          <t>키움증권</t>
        </is>
      </c>
      <c r="G13023" s="2" t="inlineStr">
        <is>
          <t>20260625000475</t>
        </is>
      </c>
      <c r="H13023" s="8">
        <f>HYPERLINK("https://dart.fss.or.kr/dsaf001/main.do?rcpNo=20260625000475", "공시열람")</f>
        <v/>
      </c>
    </row>
    <row r="13024">
      <c r="A13024" s="2" t="inlineStr">
        <is>
          <t>2026-06-25</t>
        </is>
      </c>
      <c r="B13024" s="3" t="inlineStr">
        <is>
          <t>오텍</t>
        </is>
      </c>
      <c r="C13024" s="2" t="inlineStr">
        <is>
          <t>코스닥</t>
        </is>
      </c>
      <c r="D13024" s="2" t="inlineStr">
        <is>
          <t>067170</t>
        </is>
      </c>
      <c r="E13024" s="3" t="inlineStr">
        <is>
          <t>임원ㆍ주요주주특정증권등소유상황보고서</t>
        </is>
      </c>
      <c r="F13024" s="3" t="inlineStr">
        <is>
          <t>강신욱</t>
        </is>
      </c>
      <c r="G13024" s="2" t="inlineStr">
        <is>
          <t>20260625000474</t>
        </is>
      </c>
      <c r="H13024" s="8">
        <f>HYPERLINK("https://dart.fss.or.kr/dsaf001/main.do?rcpNo=20260625000474", "공시열람")</f>
        <v/>
      </c>
    </row>
    <row r="13025">
      <c r="A13025" s="2" t="inlineStr">
        <is>
          <t>2026-06-25</t>
        </is>
      </c>
      <c r="B13025" s="3" t="inlineStr">
        <is>
          <t>대신증권</t>
        </is>
      </c>
      <c r="C13025" s="2" t="inlineStr">
        <is>
          <t>코스피</t>
        </is>
      </c>
      <c r="D13025" s="2" t="inlineStr">
        <is>
          <t>003540</t>
        </is>
      </c>
      <c r="E13025" s="3" t="inlineStr">
        <is>
          <t>투자설명서(일괄신고)</t>
        </is>
      </c>
      <c r="F13025" s="3" t="inlineStr">
        <is>
          <t>대신증권</t>
        </is>
      </c>
      <c r="G13025" s="2" t="inlineStr">
        <is>
          <t>20260625000468</t>
        </is>
      </c>
      <c r="H13025" s="8">
        <f>HYPERLINK("https://dart.fss.or.kr/dsaf001/main.do?rcpNo=20260625000468", "공시열람")</f>
        <v/>
      </c>
    </row>
    <row r="13026">
      <c r="A13026" s="2" t="inlineStr">
        <is>
          <t>2026-06-25</t>
        </is>
      </c>
      <c r="B13026" s="3" t="inlineStr">
        <is>
          <t>차AI헬스케어</t>
        </is>
      </c>
      <c r="C13026" s="2" t="inlineStr">
        <is>
          <t>코스피</t>
        </is>
      </c>
      <c r="D13026" s="2" t="inlineStr">
        <is>
          <t>025620</t>
        </is>
      </c>
      <c r="E13026" s="3" t="inlineStr">
        <is>
          <t xml:space="preserve">기타안내사항(안내공시)              </t>
        </is>
      </c>
      <c r="F13026" s="3" t="inlineStr">
        <is>
          <t>차AI헬스케어</t>
        </is>
      </c>
      <c r="G13026" s="2" t="inlineStr">
        <is>
          <t>20260625800536</t>
        </is>
      </c>
      <c r="H13026" s="8">
        <f>HYPERLINK("https://dart.fss.or.kr/dsaf001/main.do?rcpNo=20260625800536", "공시열람")</f>
        <v/>
      </c>
    </row>
    <row r="13027">
      <c r="A13027" s="2" t="inlineStr">
        <is>
          <t>2026-06-25</t>
        </is>
      </c>
      <c r="B13027" s="3" t="inlineStr">
        <is>
          <t>오텍</t>
        </is>
      </c>
      <c r="C13027" s="2" t="inlineStr">
        <is>
          <t>코스닥</t>
        </is>
      </c>
      <c r="D13027" s="2" t="inlineStr">
        <is>
          <t>067170</t>
        </is>
      </c>
      <c r="E13027" s="3" t="inlineStr">
        <is>
          <t>임원ㆍ주요주주특정증권등소유상황보고서</t>
        </is>
      </c>
      <c r="F13027" s="3" t="inlineStr">
        <is>
          <t>강성희</t>
        </is>
      </c>
      <c r="G13027" s="2" t="inlineStr">
        <is>
          <t>20260625000465</t>
        </is>
      </c>
      <c r="H13027" s="8">
        <f>HYPERLINK("https://dart.fss.or.kr/dsaf001/main.do?rcpNo=20260625000465", "공시열람")</f>
        <v/>
      </c>
    </row>
    <row r="13028">
      <c r="A13028" s="2" t="inlineStr">
        <is>
          <t>2026-06-25</t>
        </is>
      </c>
      <c r="B13028" s="3" t="inlineStr">
        <is>
          <t>대신증권</t>
        </is>
      </c>
      <c r="C13028" s="2" t="inlineStr">
        <is>
          <t>코스피</t>
        </is>
      </c>
      <c r="D13028" s="2" t="inlineStr">
        <is>
          <t>003540</t>
        </is>
      </c>
      <c r="E13028" s="3" t="inlineStr">
        <is>
          <t>일괄신고추가서류(파생결합사채-주가연계파생결합사채)</t>
        </is>
      </c>
      <c r="F13028" s="3" t="inlineStr">
        <is>
          <t>대신증권</t>
        </is>
      </c>
      <c r="G13028" s="2" t="inlineStr">
        <is>
          <t>20260625000459</t>
        </is>
      </c>
      <c r="H13028" s="8">
        <f>HYPERLINK("https://dart.fss.or.kr/dsaf001/main.do?rcpNo=20260625000459", "공시열람")</f>
        <v/>
      </c>
    </row>
    <row r="13029">
      <c r="A13029" s="2" t="inlineStr">
        <is>
          <t>2026-06-25</t>
        </is>
      </c>
      <c r="B13029" s="3" t="inlineStr">
        <is>
          <t>저스템</t>
        </is>
      </c>
      <c r="C13029" s="2" t="inlineStr">
        <is>
          <t>코스닥</t>
        </is>
      </c>
      <c r="D13029" s="2" t="inlineStr">
        <is>
          <t>417840</t>
        </is>
      </c>
      <c r="E13029" s="3" t="inlineStr">
        <is>
          <t>임원ㆍ주요주주특정증권등소유상황보고서</t>
        </is>
      </c>
      <c r="F13029" s="3" t="inlineStr">
        <is>
          <t>김선식</t>
        </is>
      </c>
      <c r="G13029" s="2" t="inlineStr">
        <is>
          <t>20260625000452</t>
        </is>
      </c>
      <c r="H13029" s="8">
        <f>HYPERLINK("https://dart.fss.or.kr/dsaf001/main.do?rcpNo=20260625000452", "공시열람")</f>
        <v/>
      </c>
    </row>
    <row r="13030">
      <c r="A13030" s="2" t="inlineStr">
        <is>
          <t>2026-06-25</t>
        </is>
      </c>
      <c r="B13030" s="3" t="inlineStr">
        <is>
          <t>에스에스알</t>
        </is>
      </c>
      <c r="C13030" s="2" t="inlineStr">
        <is>
          <t>코스닥</t>
        </is>
      </c>
      <c r="D13030" s="2" t="inlineStr">
        <is>
          <t>275630</t>
        </is>
      </c>
      <c r="E13030" s="3" t="inlineStr">
        <is>
          <t>신탁계약에의한취득상황보고서</t>
        </is>
      </c>
      <c r="F13030" s="3" t="inlineStr">
        <is>
          <t>에스에스알</t>
        </is>
      </c>
      <c r="G13030" s="2" t="inlineStr">
        <is>
          <t>20260625000450</t>
        </is>
      </c>
      <c r="H13030" s="8">
        <f>HYPERLINK("https://dart.fss.or.kr/dsaf001/main.do?rcpNo=20260625000450", "공시열람")</f>
        <v/>
      </c>
    </row>
    <row r="13031">
      <c r="A13031" s="2" t="inlineStr">
        <is>
          <t>2026-06-25</t>
        </is>
      </c>
      <c r="B13031" s="3" t="inlineStr">
        <is>
          <t>지엔씨에너지</t>
        </is>
      </c>
      <c r="C13031" s="2" t="inlineStr">
        <is>
          <t>코스닥</t>
        </is>
      </c>
      <c r="D13031" s="2" t="inlineStr">
        <is>
          <t>119850</t>
        </is>
      </c>
      <c r="E13031" s="3" t="inlineStr">
        <is>
          <t>임원ㆍ주요주주특정증권등소유상황보고서</t>
        </is>
      </c>
      <c r="F13031" s="3" t="inlineStr">
        <is>
          <t>안병철</t>
        </is>
      </c>
      <c r="G13031" s="2" t="inlineStr">
        <is>
          <t>20260625000449</t>
        </is>
      </c>
      <c r="H13031" s="8">
        <f>HYPERLINK("https://dart.fss.or.kr/dsaf001/main.do?rcpNo=20260625000449", "공시열람")</f>
        <v/>
      </c>
    </row>
    <row r="13032">
      <c r="A13032" s="2" t="inlineStr">
        <is>
          <t>2026-06-25</t>
        </is>
      </c>
      <c r="B13032" s="3" t="inlineStr">
        <is>
          <t>슈피겐코리아</t>
        </is>
      </c>
      <c r="C13032" s="2" t="inlineStr">
        <is>
          <t>코스닥</t>
        </is>
      </c>
      <c r="D13032" s="2" t="inlineStr">
        <is>
          <t>192440</t>
        </is>
      </c>
      <c r="E13032" s="3" t="inlineStr">
        <is>
          <t>임원ㆍ주요주주특정증권등거래계획보고서</t>
        </is>
      </c>
      <c r="F13032" s="3" t="inlineStr">
        <is>
          <t>김대영</t>
        </is>
      </c>
      <c r="G13032" s="2" t="inlineStr">
        <is>
          <t>20260625000447</t>
        </is>
      </c>
      <c r="H13032" s="8">
        <f>HYPERLINK("https://dart.fss.or.kr/dsaf001/main.do?rcpNo=20260625000447", "공시열람")</f>
        <v/>
      </c>
    </row>
    <row r="13033">
      <c r="A13033" s="2" t="inlineStr">
        <is>
          <t>2026-06-25</t>
        </is>
      </c>
      <c r="B13033" s="3" t="inlineStr">
        <is>
          <t>삼성에스디에스</t>
        </is>
      </c>
      <c r="C13033" s="2" t="inlineStr">
        <is>
          <t>코스피</t>
        </is>
      </c>
      <c r="D13033" s="2" t="inlineStr">
        <is>
          <t>018260</t>
        </is>
      </c>
      <c r="E13033" s="3" t="inlineStr">
        <is>
          <t>임원ㆍ주요주주특정증권등소유상황보고서</t>
        </is>
      </c>
      <c r="F13033" s="3" t="inlineStr">
        <is>
          <t>민대홍</t>
        </is>
      </c>
      <c r="G13033" s="2" t="inlineStr">
        <is>
          <t>20260625000445</t>
        </is>
      </c>
      <c r="H13033" s="8">
        <f>HYPERLINK("https://dart.fss.or.kr/dsaf001/main.do?rcpNo=20260625000445", "공시열람")</f>
        <v/>
      </c>
    </row>
    <row r="13034">
      <c r="A13034" s="2" t="inlineStr">
        <is>
          <t>2026-06-25</t>
        </is>
      </c>
      <c r="B13034" s="3" t="inlineStr">
        <is>
          <t>포시에스</t>
        </is>
      </c>
      <c r="C13034" s="2" t="inlineStr">
        <is>
          <t>코스닥</t>
        </is>
      </c>
      <c r="D13034" s="2" t="inlineStr">
        <is>
          <t>189690</t>
        </is>
      </c>
      <c r="E13034" s="3" t="inlineStr">
        <is>
          <t>기업가치제고계획(자율공시)              (2026년 (주)포시에스의 기업가치 제고 계획)</t>
        </is>
      </c>
      <c r="F13034" s="3" t="inlineStr">
        <is>
          <t>포시에스</t>
        </is>
      </c>
      <c r="G13034" s="2" t="inlineStr">
        <is>
          <t>20260625900505</t>
        </is>
      </c>
      <c r="H13034" s="8">
        <f>HYPERLINK("https://dart.fss.or.kr/dsaf001/main.do?rcpNo=20260625900505", "공시열람")</f>
        <v/>
      </c>
    </row>
    <row r="13035">
      <c r="A13035" s="2" t="inlineStr">
        <is>
          <t>2026-06-25</t>
        </is>
      </c>
      <c r="B13035" s="3" t="inlineStr">
        <is>
          <t>효성티앤씨</t>
        </is>
      </c>
      <c r="C13035" s="2" t="inlineStr">
        <is>
          <t>코스피</t>
        </is>
      </c>
      <c r="D13035" s="2" t="inlineStr">
        <is>
          <t>298020</t>
        </is>
      </c>
      <c r="E13035" s="3" t="inlineStr">
        <is>
          <t xml:space="preserve">지속가능경영보고서등관련사항(자율공시)              </t>
        </is>
      </c>
      <c r="F13035" s="3" t="inlineStr">
        <is>
          <t>효성티앤씨</t>
        </is>
      </c>
      <c r="G13035" s="2" t="inlineStr">
        <is>
          <t>20260625800552</t>
        </is>
      </c>
      <c r="H13035" s="8">
        <f>HYPERLINK("https://dart.fss.or.kr/dsaf001/main.do?rcpNo=20260625800552", "공시열람")</f>
        <v/>
      </c>
    </row>
    <row r="13036">
      <c r="A13036" s="2" t="inlineStr">
        <is>
          <t>2026-06-25</t>
        </is>
      </c>
      <c r="B13036" s="3" t="inlineStr">
        <is>
          <t>NH투자증권</t>
        </is>
      </c>
      <c r="C13036" s="2" t="inlineStr">
        <is>
          <t>코스피</t>
        </is>
      </c>
      <c r="D13036" s="2" t="inlineStr">
        <is>
          <t>005940</t>
        </is>
      </c>
      <c r="E13036" s="3" t="inlineStr">
        <is>
          <t>일괄신고추가서류(파생결합증권-주가연계증권)</t>
        </is>
      </c>
      <c r="F13036" s="3" t="inlineStr">
        <is>
          <t>NH투자증권</t>
        </is>
      </c>
      <c r="G13036" s="2" t="inlineStr">
        <is>
          <t>20260625000444</t>
        </is>
      </c>
      <c r="H13036" s="8">
        <f>HYPERLINK("https://dart.fss.or.kr/dsaf001/main.do?rcpNo=20260625000444", "공시열람")</f>
        <v/>
      </c>
    </row>
    <row r="13037">
      <c r="A13037" s="2" t="inlineStr">
        <is>
          <t>2026-06-25</t>
        </is>
      </c>
      <c r="B13037" s="3" t="inlineStr">
        <is>
          <t>넷마블</t>
        </is>
      </c>
      <c r="C13037" s="2" t="inlineStr">
        <is>
          <t>코스피</t>
        </is>
      </c>
      <c r="D13037" s="2" t="inlineStr">
        <is>
          <t>251270</t>
        </is>
      </c>
      <c r="E13037" s="3" t="inlineStr">
        <is>
          <t>신탁계약에의한취득상황보고서</t>
        </is>
      </c>
      <c r="F13037" s="3" t="inlineStr">
        <is>
          <t>넷마블</t>
        </is>
      </c>
      <c r="G13037" s="2" t="inlineStr">
        <is>
          <t>20260625000442</t>
        </is>
      </c>
      <c r="H13037" s="8">
        <f>HYPERLINK("https://dart.fss.or.kr/dsaf001/main.do?rcpNo=20260625000442", "공시열람")</f>
        <v/>
      </c>
    </row>
    <row r="13038">
      <c r="A13038" s="2" t="inlineStr">
        <is>
          <t>2026-06-25</t>
        </is>
      </c>
      <c r="B13038" s="3" t="inlineStr">
        <is>
          <t>슈피겐코리아</t>
        </is>
      </c>
      <c r="C13038" s="2" t="inlineStr">
        <is>
          <t>코스닥</t>
        </is>
      </c>
      <c r="D13038" s="2" t="inlineStr">
        <is>
          <t>192440</t>
        </is>
      </c>
      <c r="E13038" s="3" t="inlineStr">
        <is>
          <t>임원ㆍ주요주주특정증권등소유상황보고서</t>
        </is>
      </c>
      <c r="F13038" s="3" t="inlineStr">
        <is>
          <t>김대영</t>
        </is>
      </c>
      <c r="G13038" s="2" t="inlineStr">
        <is>
          <t>20260625000428</t>
        </is>
      </c>
      <c r="H13038" s="8">
        <f>HYPERLINK("https://dart.fss.or.kr/dsaf001/main.do?rcpNo=20260625000428", "공시열람")</f>
        <v/>
      </c>
    </row>
    <row r="13039">
      <c r="A13039" s="2" t="inlineStr">
        <is>
          <t>2026-06-25</t>
        </is>
      </c>
      <c r="B13039" s="3" t="inlineStr">
        <is>
          <t>사조씨푸드</t>
        </is>
      </c>
      <c r="C13039" s="2" t="inlineStr">
        <is>
          <t>코스피</t>
        </is>
      </c>
      <c r="D13039" s="2" t="inlineStr">
        <is>
          <t>014710</t>
        </is>
      </c>
      <c r="E13039" s="3" t="inlineStr">
        <is>
          <t>임원ㆍ주요주주특정증권등소유상황보고서</t>
        </is>
      </c>
      <c r="F13039" s="3" t="inlineStr">
        <is>
          <t>사조산업</t>
        </is>
      </c>
      <c r="G13039" s="2" t="inlineStr">
        <is>
          <t>20260625000424</t>
        </is>
      </c>
      <c r="H13039" s="8">
        <f>HYPERLINK("https://dart.fss.or.kr/dsaf001/main.do?rcpNo=20260625000424", "공시열람")</f>
        <v/>
      </c>
    </row>
    <row r="13040">
      <c r="A13040" s="2" t="inlineStr">
        <is>
          <t>2026-06-25</t>
        </is>
      </c>
      <c r="B13040" s="3" t="inlineStr">
        <is>
          <t>다보링크</t>
        </is>
      </c>
      <c r="C13040" s="2" t="inlineStr">
        <is>
          <t>코스닥</t>
        </is>
      </c>
      <c r="D13040" s="2" t="inlineStr">
        <is>
          <t>340360</t>
        </is>
      </c>
      <c r="E13040" s="3" t="inlineStr">
        <is>
          <t>전환가액의조정              (제3회차)</t>
        </is>
      </c>
      <c r="F13040" s="3" t="inlineStr">
        <is>
          <t>다보링크</t>
        </is>
      </c>
      <c r="G13040" s="2" t="inlineStr">
        <is>
          <t>20260625900468</t>
        </is>
      </c>
      <c r="H13040" s="8">
        <f>HYPERLINK("https://dart.fss.or.kr/dsaf001/main.do?rcpNo=20260625900468", "공시열람")</f>
        <v/>
      </c>
    </row>
    <row r="13041">
      <c r="A13041" s="2" t="inlineStr">
        <is>
          <t>2026-06-25</t>
        </is>
      </c>
      <c r="B13041" s="3" t="inlineStr">
        <is>
          <t>인바이오</t>
        </is>
      </c>
      <c r="C13041" s="2" t="inlineStr">
        <is>
          <t>코스닥</t>
        </is>
      </c>
      <c r="D13041" s="2" t="inlineStr">
        <is>
          <t>352940</t>
        </is>
      </c>
      <c r="E13041" s="3" t="inlineStr">
        <is>
          <t xml:space="preserve">횡령ㆍ배임사실확인              </t>
        </is>
      </c>
      <c r="F13041" s="3" t="inlineStr">
        <is>
          <t>인바이오</t>
        </is>
      </c>
      <c r="G13041" s="2" t="inlineStr">
        <is>
          <t>20260625900514</t>
        </is>
      </c>
      <c r="H13041" s="8">
        <f>HYPERLINK("https://dart.fss.or.kr/dsaf001/main.do?rcpNo=20260625900514", "공시열람")</f>
        <v/>
      </c>
    </row>
    <row r="13042">
      <c r="A13042" s="2" t="inlineStr">
        <is>
          <t>2026-06-25</t>
        </is>
      </c>
      <c r="B13042" s="3" t="inlineStr">
        <is>
          <t>사조대림</t>
        </is>
      </c>
      <c r="C13042" s="2" t="inlineStr">
        <is>
          <t>코스피</t>
        </is>
      </c>
      <c r="D13042" s="2" t="inlineStr">
        <is>
          <t>003960</t>
        </is>
      </c>
      <c r="E13042" s="3" t="inlineStr">
        <is>
          <t>임원ㆍ주요주주특정증권등소유상황보고서</t>
        </is>
      </c>
      <c r="F13042" s="3" t="inlineStr">
        <is>
          <t>사조산업</t>
        </is>
      </c>
      <c r="G13042" s="2" t="inlineStr">
        <is>
          <t>20260625000417</t>
        </is>
      </c>
      <c r="H13042" s="8">
        <f>HYPERLINK("https://dart.fss.or.kr/dsaf001/main.do?rcpNo=20260625000417", "공시열람")</f>
        <v/>
      </c>
    </row>
    <row r="13043">
      <c r="A13043" s="2" t="inlineStr">
        <is>
          <t>2026-06-25</t>
        </is>
      </c>
      <c r="B13043" s="3" t="inlineStr">
        <is>
          <t>KS인더스트리</t>
        </is>
      </c>
      <c r="C13043" s="2" t="inlineStr">
        <is>
          <t>코스닥</t>
        </is>
      </c>
      <c r="D13043" s="2" t="inlineStr">
        <is>
          <t>101000</t>
        </is>
      </c>
      <c r="E13043" s="3" t="inlineStr">
        <is>
          <t>의결권대리행사권유참고서류</t>
        </is>
      </c>
      <c r="F13043" s="3" t="inlineStr">
        <is>
          <t>KS인더스트리</t>
        </is>
      </c>
      <c r="G13043" s="2" t="inlineStr">
        <is>
          <t>20260625000416</t>
        </is>
      </c>
      <c r="H13043" s="8">
        <f>HYPERLINK("https://dart.fss.or.kr/dsaf001/main.do?rcpNo=20260625000416", "공시열람")</f>
        <v/>
      </c>
    </row>
    <row r="13044">
      <c r="A13044" s="2" t="inlineStr">
        <is>
          <t>2026-06-25</t>
        </is>
      </c>
      <c r="B13044" s="3" t="inlineStr">
        <is>
          <t>사토시홀딩스</t>
        </is>
      </c>
      <c r="C13044" s="2" t="inlineStr">
        <is>
          <t>코스닥</t>
        </is>
      </c>
      <c r="D13044" s="2" t="inlineStr">
        <is>
          <t>223310</t>
        </is>
      </c>
      <c r="E13044" s="3" t="inlineStr">
        <is>
          <t>주요사항보고서(자기전환사채만기전취득결정)</t>
        </is>
      </c>
      <c r="F13044" s="3" t="inlineStr">
        <is>
          <t>사토시홀딩스</t>
        </is>
      </c>
      <c r="G13044" s="2" t="inlineStr">
        <is>
          <t>20260625000402</t>
        </is>
      </c>
      <c r="H13044" s="8">
        <f>HYPERLINK("https://dart.fss.or.kr/dsaf001/main.do?rcpNo=20260625000402", "공시열람")</f>
        <v/>
      </c>
    </row>
    <row r="13045">
      <c r="A13045" s="2" t="inlineStr">
        <is>
          <t>2026-06-25</t>
        </is>
      </c>
      <c r="B13045" s="3" t="inlineStr">
        <is>
          <t>DH오토웨어</t>
        </is>
      </c>
      <c r="C13045" s="2" t="inlineStr">
        <is>
          <t>코스닥</t>
        </is>
      </c>
      <c r="D13045" s="2" t="inlineStr">
        <is>
          <t>025440</t>
        </is>
      </c>
      <c r="E13045" s="3" t="inlineStr">
        <is>
          <t xml:space="preserve">기업설명회(IR)개최              </t>
        </is>
      </c>
      <c r="F13045" s="3" t="inlineStr">
        <is>
          <t>DH오토웨어</t>
        </is>
      </c>
      <c r="G13045" s="2" t="inlineStr">
        <is>
          <t>20260625900509</t>
        </is>
      </c>
      <c r="H13045" s="8">
        <f>HYPERLINK("https://dart.fss.or.kr/dsaf001/main.do?rcpNo=20260625900509", "공시열람")</f>
        <v/>
      </c>
    </row>
    <row r="13046">
      <c r="A13046" s="2" t="inlineStr">
        <is>
          <t>2026-06-25</t>
        </is>
      </c>
      <c r="B13046" s="3" t="inlineStr">
        <is>
          <t>SK이노베이션</t>
        </is>
      </c>
      <c r="C13046" s="2" t="inlineStr">
        <is>
          <t>코스피</t>
        </is>
      </c>
      <c r="D13046" s="2" t="inlineStr">
        <is>
          <t>096770</t>
        </is>
      </c>
      <c r="E13046" s="3" t="inlineStr">
        <is>
          <t>특수관계인에대한자산양도</t>
        </is>
      </c>
      <c r="F13046" s="3" t="inlineStr">
        <is>
          <t>SK이노베이션</t>
        </is>
      </c>
      <c r="G13046" s="2" t="inlineStr">
        <is>
          <t>20260625000410</t>
        </is>
      </c>
      <c r="H13046" s="8">
        <f>HYPERLINK("https://dart.fss.or.kr/dsaf001/main.do?rcpNo=20260625000410", "공시열람")</f>
        <v/>
      </c>
    </row>
    <row r="13047">
      <c r="A13047" s="2" t="inlineStr">
        <is>
          <t>2026-06-25</t>
        </is>
      </c>
      <c r="B13047" s="3" t="inlineStr">
        <is>
          <t>아미코젠</t>
        </is>
      </c>
      <c r="C13047" s="2" t="inlineStr">
        <is>
          <t>코스닥</t>
        </is>
      </c>
      <c r="D13047" s="2" t="inlineStr">
        <is>
          <t>092040</t>
        </is>
      </c>
      <c r="E13047" s="3" t="inlineStr">
        <is>
          <t xml:space="preserve">주주명부폐쇄기간또는기준일설정              </t>
        </is>
      </c>
      <c r="F13047" s="3" t="inlineStr">
        <is>
          <t>아미코젠</t>
        </is>
      </c>
      <c r="G13047" s="2" t="inlineStr">
        <is>
          <t>20260625900481</t>
        </is>
      </c>
      <c r="H13047" s="8">
        <f>HYPERLINK("https://dart.fss.or.kr/dsaf001/main.do?rcpNo=20260625900481", "공시열람")</f>
        <v/>
      </c>
    </row>
    <row r="13048">
      <c r="A13048" s="2" t="inlineStr">
        <is>
          <t>2026-06-25</t>
        </is>
      </c>
      <c r="B13048" s="3" t="inlineStr">
        <is>
          <t>이렘</t>
        </is>
      </c>
      <c r="C13048" s="2" t="inlineStr">
        <is>
          <t>코스닥</t>
        </is>
      </c>
      <c r="D13048" s="2" t="inlineStr">
        <is>
          <t>009730</t>
        </is>
      </c>
      <c r="E13048" s="3" t="inlineStr">
        <is>
          <t xml:space="preserve">감자완료              </t>
        </is>
      </c>
      <c r="F13048" s="3" t="inlineStr">
        <is>
          <t>이렘</t>
        </is>
      </c>
      <c r="G13048" s="2" t="inlineStr">
        <is>
          <t>20260625900448</t>
        </is>
      </c>
      <c r="H13048" s="8">
        <f>HYPERLINK("https://dart.fss.or.kr/dsaf001/main.do?rcpNo=20260625900448", "공시열람")</f>
        <v/>
      </c>
    </row>
    <row r="13049">
      <c r="A13049" s="2" t="inlineStr">
        <is>
          <t>2026-06-25</t>
        </is>
      </c>
      <c r="B13049" s="3" t="inlineStr">
        <is>
          <t>케이티</t>
        </is>
      </c>
      <c r="C13049" s="2" t="inlineStr">
        <is>
          <t>코스피</t>
        </is>
      </c>
      <c r="D13049" s="2" t="inlineStr">
        <is>
          <t>030200</t>
        </is>
      </c>
      <c r="E13049" s="3" t="inlineStr">
        <is>
          <t xml:space="preserve">조회공시요구(풍문또는보도)              </t>
        </is>
      </c>
      <c r="F13049" s="3" t="inlineStr">
        <is>
          <t>유가증권시장본부</t>
        </is>
      </c>
      <c r="G13049" s="2" t="inlineStr">
        <is>
          <t>20260625800488</t>
        </is>
      </c>
      <c r="H13049" s="8">
        <f>HYPERLINK("https://dart.fss.or.kr/dsaf001/main.do?rcpNo=20260625800488", "공시열람")</f>
        <v/>
      </c>
    </row>
    <row r="13050">
      <c r="A13050" s="2" t="inlineStr">
        <is>
          <t>2026-06-25</t>
        </is>
      </c>
      <c r="B13050" s="3" t="inlineStr">
        <is>
          <t>아티스트컴퍼니</t>
        </is>
      </c>
      <c r="C13050" s="2" t="inlineStr">
        <is>
          <t>코스닥</t>
        </is>
      </c>
      <c r="D13050" s="2" t="inlineStr">
        <is>
          <t>321820</t>
        </is>
      </c>
      <c r="E13050" s="3" t="inlineStr">
        <is>
          <t>의결권대리행사권유참고서류</t>
        </is>
      </c>
      <c r="F13050" s="3" t="inlineStr">
        <is>
          <t>아티스트컴퍼니</t>
        </is>
      </c>
      <c r="G13050" s="2" t="inlineStr">
        <is>
          <t>20260625000405</t>
        </is>
      </c>
      <c r="H13050" s="8">
        <f>HYPERLINK("https://dart.fss.or.kr/dsaf001/main.do?rcpNo=20260625000405", "공시열람")</f>
        <v/>
      </c>
    </row>
    <row r="13051">
      <c r="A13051" s="2" t="inlineStr">
        <is>
          <t>2026-06-25</t>
        </is>
      </c>
      <c r="B13051" s="3" t="inlineStr">
        <is>
          <t>SK이노베이션</t>
        </is>
      </c>
      <c r="C13051" s="2" t="inlineStr">
        <is>
          <t>코스피</t>
        </is>
      </c>
      <c r="D13051" s="2" t="inlineStr">
        <is>
          <t>096770</t>
        </is>
      </c>
      <c r="E13051" s="3" t="inlineStr">
        <is>
          <t>특수관계인에대한자산양도</t>
        </is>
      </c>
      <c r="F13051" s="3" t="inlineStr">
        <is>
          <t>SK이노베이션</t>
        </is>
      </c>
      <c r="G13051" s="2" t="inlineStr">
        <is>
          <t>20260625000404</t>
        </is>
      </c>
      <c r="H13051" s="8">
        <f>HYPERLINK("https://dart.fss.or.kr/dsaf001/main.do?rcpNo=20260625000404", "공시열람")</f>
        <v/>
      </c>
    </row>
    <row r="13052">
      <c r="A13052" s="2" t="inlineStr">
        <is>
          <t>2026-06-25</t>
        </is>
      </c>
      <c r="B13052" s="3" t="inlineStr">
        <is>
          <t>SK하이닉스</t>
        </is>
      </c>
      <c r="C13052" s="2" t="inlineStr">
        <is>
          <t>코스피</t>
        </is>
      </c>
      <c r="D13052" s="2" t="inlineStr">
        <is>
          <t>000660</t>
        </is>
      </c>
      <c r="E13052" s="3" t="inlineStr">
        <is>
          <t xml:space="preserve">지속가능경영보고서등관련사항(자율공시)              </t>
        </is>
      </c>
      <c r="F13052" s="3" t="inlineStr">
        <is>
          <t>SK하이닉스</t>
        </is>
      </c>
      <c r="G13052" s="2" t="inlineStr">
        <is>
          <t>20260625800489</t>
        </is>
      </c>
      <c r="H13052" s="8">
        <f>HYPERLINK("https://dart.fss.or.kr/dsaf001/main.do?rcpNo=20260625800489", "공시열람")</f>
        <v/>
      </c>
    </row>
    <row r="13053">
      <c r="A13053" s="2" t="inlineStr">
        <is>
          <t>2026-06-25</t>
        </is>
      </c>
      <c r="B13053" s="3" t="inlineStr">
        <is>
          <t>현대차증권</t>
        </is>
      </c>
      <c r="C13053" s="2" t="inlineStr">
        <is>
          <t>코스피</t>
        </is>
      </c>
      <c r="D13053" s="2" t="inlineStr">
        <is>
          <t>001500</t>
        </is>
      </c>
      <c r="E13053" s="3" t="inlineStr">
        <is>
          <t>증권발행실적보고서</t>
        </is>
      </c>
      <c r="F13053" s="3" t="inlineStr">
        <is>
          <t>현대차증권</t>
        </is>
      </c>
      <c r="G13053" s="2" t="inlineStr">
        <is>
          <t>20260625000401</t>
        </is>
      </c>
      <c r="H13053" s="8">
        <f>HYPERLINK("https://dart.fss.or.kr/dsaf001/main.do?rcpNo=20260625000401", "공시열람")</f>
        <v/>
      </c>
    </row>
    <row r="13054">
      <c r="A13054" s="2" t="inlineStr">
        <is>
          <t>2026-06-25</t>
        </is>
      </c>
      <c r="B13054" s="3" t="inlineStr">
        <is>
          <t>삼양바이오팜</t>
        </is>
      </c>
      <c r="C13054" s="2" t="inlineStr">
        <is>
          <t>코스피</t>
        </is>
      </c>
      <c r="D13054" s="2" t="inlineStr">
        <is>
          <t>0120G0</t>
        </is>
      </c>
      <c r="E13054" s="3" t="inlineStr">
        <is>
          <t xml:space="preserve">지속가능경영보고서등관련사항(자율공시)              </t>
        </is>
      </c>
      <c r="F13054" s="3" t="inlineStr">
        <is>
          <t>삼양바이오팜</t>
        </is>
      </c>
      <c r="G13054" s="2" t="inlineStr">
        <is>
          <t>20260625800483</t>
        </is>
      </c>
      <c r="H13054" s="8">
        <f>HYPERLINK("https://dart.fss.or.kr/dsaf001/main.do?rcpNo=20260625800483", "공시열람")</f>
        <v/>
      </c>
    </row>
    <row r="13055">
      <c r="A13055" s="2" t="inlineStr">
        <is>
          <t>2026-06-25</t>
        </is>
      </c>
      <c r="B13055" s="3" t="inlineStr">
        <is>
          <t>프로젠</t>
        </is>
      </c>
      <c r="C13055" s="2" t="inlineStr">
        <is>
          <t>코넥스</t>
        </is>
      </c>
      <c r="D13055" s="2" t="inlineStr">
        <is>
          <t>296160</t>
        </is>
      </c>
      <c r="E13055" s="3" t="inlineStr">
        <is>
          <t>전환가액의조정              (제8회차)</t>
        </is>
      </c>
      <c r="F13055" s="3" t="inlineStr">
        <is>
          <t>프로젠</t>
        </is>
      </c>
      <c r="G13055" s="2" t="inlineStr">
        <is>
          <t>20260625600462</t>
        </is>
      </c>
      <c r="H13055" s="8">
        <f>HYPERLINK("https://dart.fss.or.kr/dsaf001/main.do?rcpNo=20260625600462", "공시열람")</f>
        <v/>
      </c>
    </row>
    <row r="13056">
      <c r="A13056" s="2" t="inlineStr">
        <is>
          <t>2026-06-25</t>
        </is>
      </c>
      <c r="B13056" s="3" t="inlineStr">
        <is>
          <t>대림통상</t>
        </is>
      </c>
      <c r="C13056" s="2" t="inlineStr">
        <is>
          <t>코스피</t>
        </is>
      </c>
      <c r="D13056" s="2" t="inlineStr">
        <is>
          <t>006570</t>
        </is>
      </c>
      <c r="E13056" s="3" t="inlineStr">
        <is>
          <t>임원ㆍ주요주주특정증권등소유상황보고서</t>
        </is>
      </c>
      <c r="F13056" s="3" t="inlineStr">
        <is>
          <t>디앤디파트너스</t>
        </is>
      </c>
      <c r="G13056" s="2" t="inlineStr">
        <is>
          <t>20260625000396</t>
        </is>
      </c>
      <c r="H13056" s="8">
        <f>HYPERLINK("https://dart.fss.or.kr/dsaf001/main.do?rcpNo=20260625000396", "공시열람")</f>
        <v/>
      </c>
    </row>
    <row r="13057">
      <c r="A13057" s="2" t="inlineStr">
        <is>
          <t>2026-06-25</t>
        </is>
      </c>
      <c r="B13057" s="3" t="inlineStr">
        <is>
          <t>우리금융지주</t>
        </is>
      </c>
      <c r="C13057" s="2" t="inlineStr">
        <is>
          <t>코스피</t>
        </is>
      </c>
      <c r="D13057" s="2" t="inlineStr">
        <is>
          <t>316140</t>
        </is>
      </c>
      <c r="E13057" s="3" t="inlineStr">
        <is>
          <t>증권발행실적보고서</t>
        </is>
      </c>
      <c r="F13057" s="3" t="inlineStr">
        <is>
          <t>우리금융지주</t>
        </is>
      </c>
      <c r="G13057" s="2" t="inlineStr">
        <is>
          <t>20260625000390</t>
        </is>
      </c>
      <c r="H13057" s="8">
        <f>HYPERLINK("https://dart.fss.or.kr/dsaf001/main.do?rcpNo=20260625000390", "공시열람")</f>
        <v/>
      </c>
    </row>
    <row r="13058">
      <c r="A13058" s="2" t="inlineStr">
        <is>
          <t>2026-06-25</t>
        </is>
      </c>
      <c r="B13058" s="3" t="inlineStr">
        <is>
          <t>삼성전자</t>
        </is>
      </c>
      <c r="C13058" s="2" t="inlineStr">
        <is>
          <t>코스피</t>
        </is>
      </c>
      <c r="D13058" s="2" t="inlineStr">
        <is>
          <t>005930</t>
        </is>
      </c>
      <c r="E13058" s="3" t="inlineStr">
        <is>
          <t>임원ㆍ주요주주특정증권등소유상황보고서</t>
        </is>
      </c>
      <c r="F13058" s="3" t="inlineStr">
        <is>
          <t>김용찬</t>
        </is>
      </c>
      <c r="G13058" s="2" t="inlineStr">
        <is>
          <t>20260625000389</t>
        </is>
      </c>
      <c r="H13058" s="8">
        <f>HYPERLINK("https://dart.fss.or.kr/dsaf001/main.do?rcpNo=20260625000389", "공시열람")</f>
        <v/>
      </c>
    </row>
    <row r="13059">
      <c r="A13059" s="2" t="inlineStr">
        <is>
          <t>2026-06-25</t>
        </is>
      </c>
      <c r="B13059" s="3" t="inlineStr">
        <is>
          <t>교보증권</t>
        </is>
      </c>
      <c r="C13059" s="2" t="inlineStr">
        <is>
          <t>코스피</t>
        </is>
      </c>
      <c r="D13059" s="2" t="inlineStr">
        <is>
          <t>030610</t>
        </is>
      </c>
      <c r="E13059" s="3" t="inlineStr">
        <is>
          <t>증권발행실적보고서</t>
        </is>
      </c>
      <c r="F13059" s="3" t="inlineStr">
        <is>
          <t>교보증권</t>
        </is>
      </c>
      <c r="G13059" s="2" t="inlineStr">
        <is>
          <t>20260625000387</t>
        </is>
      </c>
      <c r="H13059" s="8">
        <f>HYPERLINK("https://dart.fss.or.kr/dsaf001/main.do?rcpNo=20260625000387", "공시열람")</f>
        <v/>
      </c>
    </row>
    <row r="13060">
      <c r="A13060" s="2" t="inlineStr">
        <is>
          <t>2026-06-25</t>
        </is>
      </c>
      <c r="B13060" s="3" t="inlineStr">
        <is>
          <t>삼성카드</t>
        </is>
      </c>
      <c r="C13060" s="2" t="inlineStr">
        <is>
          <t>코스피</t>
        </is>
      </c>
      <c r="D13060" s="2" t="inlineStr">
        <is>
          <t>029780</t>
        </is>
      </c>
      <c r="E13060" s="3" t="inlineStr">
        <is>
          <t>증권발행실적보고서</t>
        </is>
      </c>
      <c r="F13060" s="3" t="inlineStr">
        <is>
          <t>삼성카드</t>
        </is>
      </c>
      <c r="G13060" s="2" t="inlineStr">
        <is>
          <t>20260625000386</t>
        </is>
      </c>
      <c r="H13060" s="8">
        <f>HYPERLINK("https://dart.fss.or.kr/dsaf001/main.do?rcpNo=20260625000386", "공시열람")</f>
        <v/>
      </c>
    </row>
    <row r="13061">
      <c r="A13061" s="2" t="inlineStr">
        <is>
          <t>2026-06-25</t>
        </is>
      </c>
      <c r="B13061" s="3" t="inlineStr">
        <is>
          <t>LIG디펜스앤에어로스페이스</t>
        </is>
      </c>
      <c r="C13061" s="2" t="inlineStr">
        <is>
          <t>코스피</t>
        </is>
      </c>
      <c r="D13061" s="2" t="inlineStr">
        <is>
          <t>079550</t>
        </is>
      </c>
      <c r="E13061" s="3" t="inlineStr">
        <is>
          <t>동일인등출자계열회사와의상품ㆍ용역거래</t>
        </is>
      </c>
      <c r="F13061" s="3" t="inlineStr">
        <is>
          <t>LIG디펜스앤에어로스페이스</t>
        </is>
      </c>
      <c r="G13061" s="2" t="inlineStr">
        <is>
          <t>20260625000383</t>
        </is>
      </c>
      <c r="H13061" s="8">
        <f>HYPERLINK("https://dart.fss.or.kr/dsaf001/main.do?rcpNo=20260625000383", "공시열람")</f>
        <v/>
      </c>
    </row>
    <row r="13062">
      <c r="A13062" s="2" t="inlineStr">
        <is>
          <t>2026-06-25</t>
        </is>
      </c>
      <c r="B13062" s="3" t="inlineStr">
        <is>
          <t>교보증권</t>
        </is>
      </c>
      <c r="C13062" s="2" t="inlineStr">
        <is>
          <t>코스피</t>
        </is>
      </c>
      <c r="D13062" s="2" t="inlineStr">
        <is>
          <t>030610</t>
        </is>
      </c>
      <c r="E13062" s="3" t="inlineStr">
        <is>
          <t>증권발행실적보고서</t>
        </is>
      </c>
      <c r="F13062" s="3" t="inlineStr">
        <is>
          <t>교보증권</t>
        </is>
      </c>
      <c r="G13062" s="2" t="inlineStr">
        <is>
          <t>20260625000382</t>
        </is>
      </c>
      <c r="H13062" s="8">
        <f>HYPERLINK("https://dart.fss.or.kr/dsaf001/main.do?rcpNo=20260625000382", "공시열람")</f>
        <v/>
      </c>
    </row>
    <row r="13063">
      <c r="A13063" s="2" t="inlineStr">
        <is>
          <t>2026-06-25</t>
        </is>
      </c>
      <c r="B13063" s="3" t="inlineStr">
        <is>
          <t>LIG디펜스앤에어로스페이스</t>
        </is>
      </c>
      <c r="C13063" s="2" t="inlineStr">
        <is>
          <t>코스피</t>
        </is>
      </c>
      <c r="D13063" s="2" t="inlineStr">
        <is>
          <t>079550</t>
        </is>
      </c>
      <c r="E13063" s="3" t="inlineStr">
        <is>
          <t>동일인등출자계열회사와의상품ㆍ용역거래</t>
        </is>
      </c>
      <c r="F13063" s="3" t="inlineStr">
        <is>
          <t>LIG디펜스앤에어로스페이스</t>
        </is>
      </c>
      <c r="G13063" s="2" t="inlineStr">
        <is>
          <t>20260625000381</t>
        </is>
      </c>
      <c r="H13063" s="8">
        <f>HYPERLINK("https://dart.fss.or.kr/dsaf001/main.do?rcpNo=20260625000381", "공시열람")</f>
        <v/>
      </c>
    </row>
    <row r="13064">
      <c r="A13064" s="2" t="inlineStr">
        <is>
          <t>2026-06-25</t>
        </is>
      </c>
      <c r="B13064" s="3" t="inlineStr">
        <is>
          <t>자이에스앤디</t>
        </is>
      </c>
      <c r="C13064" s="2" t="inlineStr">
        <is>
          <t>코스피</t>
        </is>
      </c>
      <c r="D13064" s="2" t="inlineStr">
        <is>
          <t>317400</t>
        </is>
      </c>
      <c r="E13064" s="3" t="inlineStr">
        <is>
          <t>주요사항보고서(유형자산양도결정)</t>
        </is>
      </c>
      <c r="F13064" s="3" t="inlineStr">
        <is>
          <t>자이에스앤디</t>
        </is>
      </c>
      <c r="G13064" s="2" t="inlineStr">
        <is>
          <t>20260625000361</t>
        </is>
      </c>
      <c r="H13064" s="8">
        <f>HYPERLINK("https://dart.fss.or.kr/dsaf001/main.do?rcpNo=20260625000361", "공시열람")</f>
        <v/>
      </c>
    </row>
    <row r="13065">
      <c r="A13065" s="2" t="inlineStr">
        <is>
          <t>2026-06-25</t>
        </is>
      </c>
      <c r="B13065" s="3" t="inlineStr">
        <is>
          <t>금비</t>
        </is>
      </c>
      <c r="C13065" s="2" t="inlineStr">
        <is>
          <t>코스피</t>
        </is>
      </c>
      <c r="D13065" s="2" t="inlineStr">
        <is>
          <t>008870</t>
        </is>
      </c>
      <c r="E13065" s="3" t="inlineStr">
        <is>
          <t>임원ㆍ주요주주특정증권등소유상황보고서</t>
        </is>
      </c>
      <c r="F13065" s="3" t="inlineStr">
        <is>
          <t>고기영</t>
        </is>
      </c>
      <c r="G13065" s="2" t="inlineStr">
        <is>
          <t>20260625000377</t>
        </is>
      </c>
      <c r="H13065" s="8">
        <f>HYPERLINK("https://dart.fss.or.kr/dsaf001/main.do?rcpNo=20260625000377", "공시열람")</f>
        <v/>
      </c>
    </row>
    <row r="13066">
      <c r="A13066" s="2" t="inlineStr">
        <is>
          <t>2026-06-25</t>
        </is>
      </c>
      <c r="B13066" s="3" t="inlineStr">
        <is>
          <t>이노진</t>
        </is>
      </c>
      <c r="C13066" s="2" t="inlineStr">
        <is>
          <t>코스닥</t>
        </is>
      </c>
      <c r="D13066" s="2" t="inlineStr">
        <is>
          <t>344860</t>
        </is>
      </c>
      <c r="E13066" s="3" t="inlineStr">
        <is>
          <t>자기주식취득결과보고서</t>
        </is>
      </c>
      <c r="F13066" s="3" t="inlineStr">
        <is>
          <t>이노진</t>
        </is>
      </c>
      <c r="G13066" s="2" t="inlineStr">
        <is>
          <t>20260625000367</t>
        </is>
      </c>
      <c r="H13066" s="8">
        <f>HYPERLINK("https://dart.fss.or.kr/dsaf001/main.do?rcpNo=20260625000367", "공시열람")</f>
        <v/>
      </c>
    </row>
    <row r="13067">
      <c r="A13067" s="2" t="inlineStr">
        <is>
          <t>2026-06-25</t>
        </is>
      </c>
      <c r="B13067" s="3" t="inlineStr">
        <is>
          <t>콜마비앤에이치</t>
        </is>
      </c>
      <c r="C13067" s="2" t="inlineStr">
        <is>
          <t>코스닥</t>
        </is>
      </c>
      <c r="D13067" s="2" t="inlineStr">
        <is>
          <t>200130</t>
        </is>
      </c>
      <c r="E13067" s="3" t="inlineStr">
        <is>
          <t>임원ㆍ주요주주특정증권등소유상황보고서</t>
        </is>
      </c>
      <c r="F13067" s="3" t="inlineStr">
        <is>
          <t>윤여원</t>
        </is>
      </c>
      <c r="G13067" s="2" t="inlineStr">
        <is>
          <t>20260625000356</t>
        </is>
      </c>
      <c r="H13067" s="8">
        <f>HYPERLINK("https://dart.fss.or.kr/dsaf001/main.do?rcpNo=20260625000356", "공시열람")</f>
        <v/>
      </c>
    </row>
    <row r="13068">
      <c r="A13068" s="2" t="inlineStr">
        <is>
          <t>2026-06-25</t>
        </is>
      </c>
      <c r="B13068" s="3" t="inlineStr">
        <is>
          <t>키움증권</t>
        </is>
      </c>
      <c r="C13068" s="2" t="inlineStr">
        <is>
          <t>코스피</t>
        </is>
      </c>
      <c r="D13068" s="2" t="inlineStr">
        <is>
          <t>039490</t>
        </is>
      </c>
      <c r="E13068" s="3" t="inlineStr">
        <is>
          <t>투자설명서(일괄신고)</t>
        </is>
      </c>
      <c r="F13068" s="3" t="inlineStr">
        <is>
          <t>키움증권</t>
        </is>
      </c>
      <c r="G13068" s="2" t="inlineStr">
        <is>
          <t>20260625000354</t>
        </is>
      </c>
      <c r="H13068" s="8">
        <f>HYPERLINK("https://dart.fss.or.kr/dsaf001/main.do?rcpNo=20260625000354", "공시열람")</f>
        <v/>
      </c>
    </row>
    <row r="13069">
      <c r="A13069" s="2" t="inlineStr">
        <is>
          <t>2026-06-25</t>
        </is>
      </c>
      <c r="B13069" s="3" t="inlineStr">
        <is>
          <t>현대차증권</t>
        </is>
      </c>
      <c r="C13069" s="2" t="inlineStr">
        <is>
          <t>코스피</t>
        </is>
      </c>
      <c r="D13069" s="2" t="inlineStr">
        <is>
          <t>001500</t>
        </is>
      </c>
      <c r="E13069" s="3" t="inlineStr">
        <is>
          <t>투자설명서(일괄신고)</t>
        </is>
      </c>
      <c r="F13069" s="3" t="inlineStr">
        <is>
          <t>현대차증권</t>
        </is>
      </c>
      <c r="G13069" s="2" t="inlineStr">
        <is>
          <t>20260625000353</t>
        </is>
      </c>
      <c r="H13069" s="8">
        <f>HYPERLINK("https://dart.fss.or.kr/dsaf001/main.do?rcpNo=20260625000353", "공시열람")</f>
        <v/>
      </c>
    </row>
    <row r="13070">
      <c r="A13070" s="2" t="inlineStr">
        <is>
          <t>2026-06-25</t>
        </is>
      </c>
      <c r="B13070" s="3" t="inlineStr">
        <is>
          <t>SK증권</t>
        </is>
      </c>
      <c r="C13070" s="2" t="inlineStr">
        <is>
          <t>코스피</t>
        </is>
      </c>
      <c r="D13070" s="2" t="inlineStr">
        <is>
          <t>001510</t>
        </is>
      </c>
      <c r="E13070" s="3" t="inlineStr">
        <is>
          <t>투자설명서(일괄신고)</t>
        </is>
      </c>
      <c r="F13070" s="3" t="inlineStr">
        <is>
          <t>SK증권</t>
        </is>
      </c>
      <c r="G13070" s="2" t="inlineStr">
        <is>
          <t>20260625000351</t>
        </is>
      </c>
      <c r="H13070" s="8">
        <f>HYPERLINK("https://dart.fss.or.kr/dsaf001/main.do?rcpNo=20260625000351", "공시열람")</f>
        <v/>
      </c>
    </row>
    <row r="13071">
      <c r="A13071" s="2" t="inlineStr">
        <is>
          <t>2026-06-25</t>
        </is>
      </c>
      <c r="B13071" s="3" t="inlineStr">
        <is>
          <t>교보증권</t>
        </is>
      </c>
      <c r="C13071" s="2" t="inlineStr">
        <is>
          <t>코스피</t>
        </is>
      </c>
      <c r="D13071" s="2" t="inlineStr">
        <is>
          <t>030610</t>
        </is>
      </c>
      <c r="E13071" s="3" t="inlineStr">
        <is>
          <t>투자설명서(일괄신고)</t>
        </is>
      </c>
      <c r="F13071" s="3" t="inlineStr">
        <is>
          <t>교보증권</t>
        </is>
      </c>
      <c r="G13071" s="2" t="inlineStr">
        <is>
          <t>20260625000349</t>
        </is>
      </c>
      <c r="H13071" s="8">
        <f>HYPERLINK("https://dart.fss.or.kr/dsaf001/main.do?rcpNo=20260625000349", "공시열람")</f>
        <v/>
      </c>
    </row>
    <row r="13072">
      <c r="A13072" s="2" t="inlineStr">
        <is>
          <t>2026-06-25</t>
        </is>
      </c>
      <c r="B13072" s="3" t="inlineStr">
        <is>
          <t>교보증권</t>
        </is>
      </c>
      <c r="C13072" s="2" t="inlineStr">
        <is>
          <t>코스피</t>
        </is>
      </c>
      <c r="D13072" s="2" t="inlineStr">
        <is>
          <t>030610</t>
        </is>
      </c>
      <c r="E13072" s="3" t="inlineStr">
        <is>
          <t>투자설명서(일괄신고)</t>
        </is>
      </c>
      <c r="F13072" s="3" t="inlineStr">
        <is>
          <t>교보증권</t>
        </is>
      </c>
      <c r="G13072" s="2" t="inlineStr">
        <is>
          <t>20260625000347</t>
        </is>
      </c>
      <c r="H13072" s="8">
        <f>HYPERLINK("https://dart.fss.or.kr/dsaf001/main.do?rcpNo=20260625000347", "공시열람")</f>
        <v/>
      </c>
    </row>
    <row r="13073">
      <c r="A13073" s="2" t="inlineStr">
        <is>
          <t>2026-06-25</t>
        </is>
      </c>
      <c r="B13073" s="3" t="inlineStr">
        <is>
          <t>교보증권</t>
        </is>
      </c>
      <c r="C13073" s="2" t="inlineStr">
        <is>
          <t>코스피</t>
        </is>
      </c>
      <c r="D13073" s="2" t="inlineStr">
        <is>
          <t>030610</t>
        </is>
      </c>
      <c r="E13073" s="3" t="inlineStr">
        <is>
          <t>투자설명서(일괄신고)</t>
        </is>
      </c>
      <c r="F13073" s="3" t="inlineStr">
        <is>
          <t>교보증권</t>
        </is>
      </c>
      <c r="G13073" s="2" t="inlineStr">
        <is>
          <t>20260625000346</t>
        </is>
      </c>
      <c r="H13073" s="8">
        <f>HYPERLINK("https://dart.fss.or.kr/dsaf001/main.do?rcpNo=20260625000346", "공시열람")</f>
        <v/>
      </c>
    </row>
    <row r="13074">
      <c r="A13074" s="2" t="inlineStr">
        <is>
          <t>2026-06-25</t>
        </is>
      </c>
      <c r="B13074" s="3" t="inlineStr">
        <is>
          <t>교보증권</t>
        </is>
      </c>
      <c r="C13074" s="2" t="inlineStr">
        <is>
          <t>코스피</t>
        </is>
      </c>
      <c r="D13074" s="2" t="inlineStr">
        <is>
          <t>030610</t>
        </is>
      </c>
      <c r="E13074" s="3" t="inlineStr">
        <is>
          <t>일괄신고추가서류(파생결합사채-주가연계파생결합사채)</t>
        </is>
      </c>
      <c r="F13074" s="3" t="inlineStr">
        <is>
          <t>교보증권</t>
        </is>
      </c>
      <c r="G13074" s="2" t="inlineStr">
        <is>
          <t>20260625000342</t>
        </is>
      </c>
      <c r="H13074" s="8">
        <f>HYPERLINK("https://dart.fss.or.kr/dsaf001/main.do?rcpNo=20260625000342", "공시열람")</f>
        <v/>
      </c>
    </row>
    <row r="13075">
      <c r="A13075" s="2" t="inlineStr">
        <is>
          <t>2026-06-25</t>
        </is>
      </c>
      <c r="B13075" s="3" t="inlineStr">
        <is>
          <t>현대차증권</t>
        </is>
      </c>
      <c r="C13075" s="2" t="inlineStr">
        <is>
          <t>코스피</t>
        </is>
      </c>
      <c r="D13075" s="2" t="inlineStr">
        <is>
          <t>001500</t>
        </is>
      </c>
      <c r="E13075" s="3" t="inlineStr">
        <is>
          <t>일괄신고추가서류(파생결합사채-주가연계파생결합사채)</t>
        </is>
      </c>
      <c r="F13075" s="3" t="inlineStr">
        <is>
          <t>현대차증권</t>
        </is>
      </c>
      <c r="G13075" s="2" t="inlineStr">
        <is>
          <t>20260625000341</t>
        </is>
      </c>
      <c r="H13075" s="8">
        <f>HYPERLINK("https://dart.fss.or.kr/dsaf001/main.do?rcpNo=20260625000341", "공시열람")</f>
        <v/>
      </c>
    </row>
    <row r="13076">
      <c r="A13076" s="2" t="inlineStr">
        <is>
          <t>2026-06-25</t>
        </is>
      </c>
      <c r="B13076" s="3" t="inlineStr">
        <is>
          <t>광진실업</t>
        </is>
      </c>
      <c r="C13076" s="2" t="inlineStr">
        <is>
          <t>코스닥</t>
        </is>
      </c>
      <c r="D13076" s="2" t="inlineStr">
        <is>
          <t>026910</t>
        </is>
      </c>
      <c r="E13076" s="3" t="inlineStr">
        <is>
          <t>소액공모실적보고서</t>
        </is>
      </c>
      <c r="F13076" s="3" t="inlineStr">
        <is>
          <t>광진실업</t>
        </is>
      </c>
      <c r="G13076" s="2" t="inlineStr">
        <is>
          <t>20260625000339</t>
        </is>
      </c>
      <c r="H13076" s="8">
        <f>HYPERLINK("https://dart.fss.or.kr/dsaf001/main.do?rcpNo=20260625000339", "공시열람")</f>
        <v/>
      </c>
    </row>
    <row r="13077">
      <c r="A13077" s="2" t="inlineStr">
        <is>
          <t>2026-06-25</t>
        </is>
      </c>
      <c r="B13077" s="3" t="inlineStr">
        <is>
          <t>교보증권</t>
        </is>
      </c>
      <c r="C13077" s="2" t="inlineStr">
        <is>
          <t>코스피</t>
        </is>
      </c>
      <c r="D13077" s="2" t="inlineStr">
        <is>
          <t>030610</t>
        </is>
      </c>
      <c r="E13077" s="3" t="inlineStr">
        <is>
          <t>일괄신고추가서류(파생결합사채-주가연계파생결합사채)</t>
        </is>
      </c>
      <c r="F13077" s="3" t="inlineStr">
        <is>
          <t>교보증권</t>
        </is>
      </c>
      <c r="G13077" s="2" t="inlineStr">
        <is>
          <t>20260625000336</t>
        </is>
      </c>
      <c r="H13077" s="8">
        <f>HYPERLINK("https://dart.fss.or.kr/dsaf001/main.do?rcpNo=20260625000336", "공시열람")</f>
        <v/>
      </c>
    </row>
    <row r="13078">
      <c r="A13078" s="2" t="inlineStr">
        <is>
          <t>2026-06-25</t>
        </is>
      </c>
      <c r="B13078" s="3" t="inlineStr">
        <is>
          <t>성우</t>
        </is>
      </c>
      <c r="C13078" s="2" t="inlineStr">
        <is>
          <t>코스닥</t>
        </is>
      </c>
      <c r="D13078" s="2" t="inlineStr">
        <is>
          <t>458650</t>
        </is>
      </c>
      <c r="E13078" s="3" t="inlineStr">
        <is>
          <t>의결권대리행사권유참고서류</t>
        </is>
      </c>
      <c r="F13078" s="3" t="inlineStr">
        <is>
          <t>성우</t>
        </is>
      </c>
      <c r="G13078" s="2" t="inlineStr">
        <is>
          <t>20260625000333</t>
        </is>
      </c>
      <c r="H13078" s="8">
        <f>HYPERLINK("https://dart.fss.or.kr/dsaf001/main.do?rcpNo=20260625000333", "공시열람")</f>
        <v/>
      </c>
    </row>
    <row r="13079">
      <c r="A13079" s="2" t="inlineStr">
        <is>
          <t>2026-06-25</t>
        </is>
      </c>
      <c r="B13079" s="3" t="inlineStr">
        <is>
          <t>교보증권</t>
        </is>
      </c>
      <c r="C13079" s="2" t="inlineStr">
        <is>
          <t>코스피</t>
        </is>
      </c>
      <c r="D13079" s="2" t="inlineStr">
        <is>
          <t>030610</t>
        </is>
      </c>
      <c r="E13079" s="3" t="inlineStr">
        <is>
          <t>일괄신고추가서류(파생결합증권-주가연계증권)</t>
        </is>
      </c>
      <c r="F13079" s="3" t="inlineStr">
        <is>
          <t>교보증권</t>
        </is>
      </c>
      <c r="G13079" s="2" t="inlineStr">
        <is>
          <t>20260625000331</t>
        </is>
      </c>
      <c r="H13079" s="8">
        <f>HYPERLINK("https://dart.fss.or.kr/dsaf001/main.do?rcpNo=20260625000331", "공시열람")</f>
        <v/>
      </c>
    </row>
    <row r="13080">
      <c r="A13080" s="2" t="inlineStr">
        <is>
          <t>2026-06-25</t>
        </is>
      </c>
      <c r="B13080" s="3" t="inlineStr">
        <is>
          <t>제이피아이헬스케어</t>
        </is>
      </c>
      <c r="C13080" s="2" t="inlineStr">
        <is>
          <t>코스닥</t>
        </is>
      </c>
      <c r="D13080" s="2" t="inlineStr">
        <is>
          <t>0010V0</t>
        </is>
      </c>
      <c r="E13080" s="3" t="inlineStr">
        <is>
          <t>임원ㆍ주요주주특정증권등소유상황보고서</t>
        </is>
      </c>
      <c r="F13080" s="3" t="inlineStr">
        <is>
          <t>이승혜</t>
        </is>
      </c>
      <c r="G13080" s="2" t="inlineStr">
        <is>
          <t>20260625000330</t>
        </is>
      </c>
      <c r="H13080" s="8">
        <f>HYPERLINK("https://dart.fss.or.kr/dsaf001/main.do?rcpNo=20260625000330", "공시열람")</f>
        <v/>
      </c>
    </row>
    <row r="13081">
      <c r="A13081" s="2" t="inlineStr">
        <is>
          <t>2026-06-25</t>
        </is>
      </c>
      <c r="B13081" s="3" t="inlineStr">
        <is>
          <t>광진실업</t>
        </is>
      </c>
      <c r="C13081" s="2" t="inlineStr">
        <is>
          <t>코스닥</t>
        </is>
      </c>
      <c r="D13081" s="2" t="inlineStr">
        <is>
          <t>026910</t>
        </is>
      </c>
      <c r="E13081" s="3" t="inlineStr">
        <is>
          <t>증권발행결과(자율공시)              (제3자배정 유상증자-소액공모)</t>
        </is>
      </c>
      <c r="F13081" s="3" t="inlineStr">
        <is>
          <t>광진실업</t>
        </is>
      </c>
      <c r="G13081" s="2" t="inlineStr">
        <is>
          <t>20260625900394</t>
        </is>
      </c>
      <c r="H13081" s="8">
        <f>HYPERLINK("https://dart.fss.or.kr/dsaf001/main.do?rcpNo=20260625900394", "공시열람")</f>
        <v/>
      </c>
    </row>
    <row r="13082">
      <c r="A13082" s="2" t="inlineStr">
        <is>
          <t>2026-06-25</t>
        </is>
      </c>
      <c r="B13082" s="3" t="inlineStr">
        <is>
          <t>SK증권</t>
        </is>
      </c>
      <c r="C13082" s="2" t="inlineStr">
        <is>
          <t>코스피</t>
        </is>
      </c>
      <c r="D13082" s="2" t="inlineStr">
        <is>
          <t>001510</t>
        </is>
      </c>
      <c r="E13082" s="3" t="inlineStr">
        <is>
          <t>일괄신고추가서류(파생결합사채-주가연계파생결합사채)</t>
        </is>
      </c>
      <c r="F13082" s="3" t="inlineStr">
        <is>
          <t>SK증권</t>
        </is>
      </c>
      <c r="G13082" s="2" t="inlineStr">
        <is>
          <t>20260625000328</t>
        </is>
      </c>
      <c r="H13082" s="8">
        <f>HYPERLINK("https://dart.fss.or.kr/dsaf001/main.do?rcpNo=20260625000328", "공시열람")</f>
        <v/>
      </c>
    </row>
    <row r="13083">
      <c r="A13083" s="2" t="inlineStr">
        <is>
          <t>2026-06-25 (정정: 2026-06-26)</t>
        </is>
      </c>
      <c r="B13083" s="3" t="inlineStr">
        <is>
          <t>알엔티엑스</t>
        </is>
      </c>
      <c r="C13083" s="2" t="inlineStr">
        <is>
          <t>코스닥</t>
        </is>
      </c>
      <c r="D13083" s="2" t="inlineStr">
        <is>
          <t>123010</t>
        </is>
      </c>
      <c r="E13083" s="3" t="inlineStr">
        <is>
          <t>[기재정정]전환청구권행사               (정정: 20260626)</t>
        </is>
      </c>
      <c r="F13083" s="3" t="inlineStr">
        <is>
          <t>알엔티엑스</t>
        </is>
      </c>
      <c r="G13083" s="2" t="inlineStr">
        <is>
          <t>20260626900466</t>
        </is>
      </c>
      <c r="H13083" s="8">
        <f>HYPERLINK("https://dart.fss.or.kr/dsaf001/main.do?rcpNo=20260626900466", "공시열람")</f>
        <v/>
      </c>
    </row>
    <row r="13084">
      <c r="A13084" s="2" t="inlineStr">
        <is>
          <t>2026-06-25</t>
        </is>
      </c>
      <c r="B13084" s="3" t="inlineStr">
        <is>
          <t>키움증권</t>
        </is>
      </c>
      <c r="C13084" s="2" t="inlineStr">
        <is>
          <t>코스피</t>
        </is>
      </c>
      <c r="D13084" s="2" t="inlineStr">
        <is>
          <t>039490</t>
        </is>
      </c>
      <c r="E13084" s="3" t="inlineStr">
        <is>
          <t>일괄신고추가서류(파생결합사채-주가연계파생결합사채)</t>
        </is>
      </c>
      <c r="F13084" s="3" t="inlineStr">
        <is>
          <t>키움증권</t>
        </is>
      </c>
      <c r="G13084" s="2" t="inlineStr">
        <is>
          <t>20260625000321</t>
        </is>
      </c>
      <c r="H13084" s="8">
        <f>HYPERLINK("https://dart.fss.or.kr/dsaf001/main.do?rcpNo=20260625000321", "공시열람")</f>
        <v/>
      </c>
    </row>
    <row r="13085">
      <c r="A13085" s="2" t="inlineStr">
        <is>
          <t>2026-06-25</t>
        </is>
      </c>
      <c r="B13085" s="3" t="inlineStr">
        <is>
          <t>키움증권</t>
        </is>
      </c>
      <c r="C13085" s="2" t="inlineStr">
        <is>
          <t>코스피</t>
        </is>
      </c>
      <c r="D13085" s="2" t="inlineStr">
        <is>
          <t>039490</t>
        </is>
      </c>
      <c r="E13085" s="3" t="inlineStr">
        <is>
          <t>투자설명서(일괄신고)</t>
        </is>
      </c>
      <c r="F13085" s="3" t="inlineStr">
        <is>
          <t>키움증권</t>
        </is>
      </c>
      <c r="G13085" s="2" t="inlineStr">
        <is>
          <t>20260625000305</t>
        </is>
      </c>
      <c r="H13085" s="8">
        <f>HYPERLINK("https://dart.fss.or.kr/dsaf001/main.do?rcpNo=20260625000305", "공시열람")</f>
        <v/>
      </c>
    </row>
    <row r="13086">
      <c r="A13086" s="2" t="inlineStr">
        <is>
          <t>2026-06-25</t>
        </is>
      </c>
      <c r="B13086" s="3" t="inlineStr">
        <is>
          <t>OCI홀딩스</t>
        </is>
      </c>
      <c r="C13086" s="2" t="inlineStr">
        <is>
          <t>코스피</t>
        </is>
      </c>
      <c r="D13086" s="2" t="inlineStr">
        <is>
          <t>010060</t>
        </is>
      </c>
      <c r="E13086" s="3" t="inlineStr">
        <is>
          <t>특수관계인에대한자금대여</t>
        </is>
      </c>
      <c r="F13086" s="3" t="inlineStr">
        <is>
          <t>OCI홀딩스</t>
        </is>
      </c>
      <c r="G13086" s="2" t="inlineStr">
        <is>
          <t>20260625000300</t>
        </is>
      </c>
      <c r="H13086" s="8">
        <f>HYPERLINK("https://dart.fss.or.kr/dsaf001/main.do?rcpNo=20260625000300", "공시열람")</f>
        <v/>
      </c>
    </row>
    <row r="13087">
      <c r="A13087" s="2" t="inlineStr">
        <is>
          <t>2026-06-25</t>
        </is>
      </c>
      <c r="B13087" s="3" t="inlineStr">
        <is>
          <t>OCI홀딩스</t>
        </is>
      </c>
      <c r="C13087" s="2" t="inlineStr">
        <is>
          <t>코스피</t>
        </is>
      </c>
      <c r="D13087" s="2" t="inlineStr">
        <is>
          <t>010060</t>
        </is>
      </c>
      <c r="E13087" s="3" t="inlineStr">
        <is>
          <t>특수관계인에대한주식의처분</t>
        </is>
      </c>
      <c r="F13087" s="3" t="inlineStr">
        <is>
          <t>OCI홀딩스</t>
        </is>
      </c>
      <c r="G13087" s="2" t="inlineStr">
        <is>
          <t>20260625000290</t>
        </is>
      </c>
      <c r="H13087" s="8">
        <f>HYPERLINK("https://dart.fss.or.kr/dsaf001/main.do?rcpNo=20260625000290", "공시열람")</f>
        <v/>
      </c>
    </row>
    <row r="13088">
      <c r="A13088" s="2" t="inlineStr">
        <is>
          <t>2026-06-25</t>
        </is>
      </c>
      <c r="B13088" s="3" t="inlineStr">
        <is>
          <t>에스엠벡셀</t>
        </is>
      </c>
      <c r="C13088" s="2" t="inlineStr">
        <is>
          <t>코스피</t>
        </is>
      </c>
      <c r="D13088" s="2" t="inlineStr">
        <is>
          <t>010580</t>
        </is>
      </c>
      <c r="E13088" s="3" t="inlineStr">
        <is>
          <t>임원ㆍ주요주주특정증권등소유상황보고서</t>
        </is>
      </c>
      <c r="F13088" s="3" t="inlineStr">
        <is>
          <t>에스엠하이플러스</t>
        </is>
      </c>
      <c r="G13088" s="2" t="inlineStr">
        <is>
          <t>20260625000285</t>
        </is>
      </c>
      <c r="H13088" s="8">
        <f>HYPERLINK("https://dart.fss.or.kr/dsaf001/main.do?rcpNo=20260625000285", "공시열람")</f>
        <v/>
      </c>
    </row>
    <row r="13089">
      <c r="A13089" s="2" t="inlineStr">
        <is>
          <t>2026-06-25</t>
        </is>
      </c>
      <c r="B13089" s="3" t="inlineStr">
        <is>
          <t>키움증권</t>
        </is>
      </c>
      <c r="C13089" s="2" t="inlineStr">
        <is>
          <t>코스피</t>
        </is>
      </c>
      <c r="D13089" s="2" t="inlineStr">
        <is>
          <t>039490</t>
        </is>
      </c>
      <c r="E13089" s="3" t="inlineStr">
        <is>
          <t>투자설명서(일괄신고)</t>
        </is>
      </c>
      <c r="F13089" s="3" t="inlineStr">
        <is>
          <t>키움증권</t>
        </is>
      </c>
      <c r="G13089" s="2" t="inlineStr">
        <is>
          <t>20260625000283</t>
        </is>
      </c>
      <c r="H13089" s="8">
        <f>HYPERLINK("https://dart.fss.or.kr/dsaf001/main.do?rcpNo=20260625000283", "공시열람")</f>
        <v/>
      </c>
    </row>
    <row r="13090">
      <c r="A13090" s="2" t="inlineStr">
        <is>
          <t>2026-06-25</t>
        </is>
      </c>
      <c r="B13090" s="3" t="inlineStr">
        <is>
          <t>인베니아</t>
        </is>
      </c>
      <c r="C13090" s="2" t="inlineStr">
        <is>
          <t>코스닥</t>
        </is>
      </c>
      <c r="D13090" s="2" t="inlineStr">
        <is>
          <t>079950</t>
        </is>
      </c>
      <c r="E13090" s="3" t="inlineStr">
        <is>
          <t>임원ㆍ주요주주특정증권등소유상황보고서</t>
        </is>
      </c>
      <c r="F13090" s="3" t="inlineStr">
        <is>
          <t>구동범</t>
        </is>
      </c>
      <c r="G13090" s="2" t="inlineStr">
        <is>
          <t>20260625000281</t>
        </is>
      </c>
      <c r="H13090" s="8">
        <f>HYPERLINK("https://dart.fss.or.kr/dsaf001/main.do?rcpNo=20260625000281", "공시열람")</f>
        <v/>
      </c>
    </row>
    <row r="13091">
      <c r="A13091" s="2" t="inlineStr">
        <is>
          <t>2026-06-25</t>
        </is>
      </c>
      <c r="B13091" s="3" t="inlineStr">
        <is>
          <t>OCI홀딩스</t>
        </is>
      </c>
      <c r="C13091" s="2" t="inlineStr">
        <is>
          <t>코스피</t>
        </is>
      </c>
      <c r="D13091" s="2" t="inlineStr">
        <is>
          <t>010060</t>
        </is>
      </c>
      <c r="E13091" s="3" t="inlineStr">
        <is>
          <t xml:space="preserve">타법인주식및출자증권취득결정(자회사의 주요경영사항)              </t>
        </is>
      </c>
      <c r="F13091" s="3" t="inlineStr">
        <is>
          <t>OCI홀딩스</t>
        </is>
      </c>
      <c r="G13091" s="2" t="inlineStr">
        <is>
          <t>20260625800361</t>
        </is>
      </c>
      <c r="H13091" s="8">
        <f>HYPERLINK("https://dart.fss.or.kr/dsaf001/main.do?rcpNo=20260625800361", "공시열람")</f>
        <v/>
      </c>
    </row>
    <row r="13092">
      <c r="A13092" s="2" t="inlineStr">
        <is>
          <t>2026-06-25</t>
        </is>
      </c>
      <c r="B13092" s="3" t="inlineStr">
        <is>
          <t>OCI</t>
        </is>
      </c>
      <c r="C13092" s="2" t="inlineStr">
        <is>
          <t>코스피</t>
        </is>
      </c>
      <c r="D13092" s="2" t="inlineStr">
        <is>
          <t>456040</t>
        </is>
      </c>
      <c r="E13092" s="3" t="inlineStr">
        <is>
          <t xml:space="preserve">타법인주식및출자증권취득결정              </t>
        </is>
      </c>
      <c r="F13092" s="3" t="inlineStr">
        <is>
          <t>OCI</t>
        </is>
      </c>
      <c r="G13092" s="2" t="inlineStr">
        <is>
          <t>20260625800355</t>
        </is>
      </c>
      <c r="H13092" s="8">
        <f>HYPERLINK("https://dart.fss.or.kr/dsaf001/main.do?rcpNo=20260625800355", "공시열람")</f>
        <v/>
      </c>
    </row>
    <row r="13093">
      <c r="A13093" s="2" t="inlineStr">
        <is>
          <t>2026-06-25</t>
        </is>
      </c>
      <c r="B13093" s="3" t="inlineStr">
        <is>
          <t>교보증권</t>
        </is>
      </c>
      <c r="C13093" s="2" t="inlineStr">
        <is>
          <t>코스피</t>
        </is>
      </c>
      <c r="D13093" s="2" t="inlineStr">
        <is>
          <t>030610</t>
        </is>
      </c>
      <c r="E13093" s="3" t="inlineStr">
        <is>
          <t>증권발행실적보고서</t>
        </is>
      </c>
      <c r="F13093" s="3" t="inlineStr">
        <is>
          <t>교보증권</t>
        </is>
      </c>
      <c r="G13093" s="2" t="inlineStr">
        <is>
          <t>20260625000276</t>
        </is>
      </c>
      <c r="H13093" s="8">
        <f>HYPERLINK("https://dart.fss.or.kr/dsaf001/main.do?rcpNo=20260625000276", "공시열람")</f>
        <v/>
      </c>
    </row>
    <row r="13094">
      <c r="A13094" s="2" t="inlineStr">
        <is>
          <t>2026-06-25</t>
        </is>
      </c>
      <c r="B13094" s="3" t="inlineStr">
        <is>
          <t>롯데하이마트</t>
        </is>
      </c>
      <c r="C13094" s="2" t="inlineStr">
        <is>
          <t>코스피</t>
        </is>
      </c>
      <c r="D13094" s="2" t="inlineStr">
        <is>
          <t>071840</t>
        </is>
      </c>
      <c r="E13094" s="3" t="inlineStr">
        <is>
          <t xml:space="preserve">주주명부폐쇄기간또는기준일설정              </t>
        </is>
      </c>
      <c r="F13094" s="3" t="inlineStr">
        <is>
          <t>롯데하이마트</t>
        </is>
      </c>
      <c r="G13094" s="2" t="inlineStr">
        <is>
          <t>20260625800354</t>
        </is>
      </c>
      <c r="H13094" s="8">
        <f>HYPERLINK("https://dart.fss.or.kr/dsaf001/main.do?rcpNo=20260625800354", "공시열람")</f>
        <v/>
      </c>
    </row>
    <row r="13095">
      <c r="A13095" s="2" t="inlineStr">
        <is>
          <t>2026-06-25</t>
        </is>
      </c>
      <c r="B13095" s="3" t="inlineStr">
        <is>
          <t>미래에셋증권</t>
        </is>
      </c>
      <c r="C13095" s="2" t="inlineStr">
        <is>
          <t>코스피</t>
        </is>
      </c>
      <c r="D13095" s="2" t="inlineStr">
        <is>
          <t>006800</t>
        </is>
      </c>
      <c r="E13095" s="3" t="inlineStr">
        <is>
          <t>증권발행실적보고서</t>
        </is>
      </c>
      <c r="F13095" s="3" t="inlineStr">
        <is>
          <t>미래에셋증권</t>
        </is>
      </c>
      <c r="G13095" s="2" t="inlineStr">
        <is>
          <t>20260625000273</t>
        </is>
      </c>
      <c r="H13095" s="8">
        <f>HYPERLINK("https://dart.fss.or.kr/dsaf001/main.do?rcpNo=20260625000273", "공시열람")</f>
        <v/>
      </c>
    </row>
    <row r="13096">
      <c r="A13096" s="2" t="inlineStr">
        <is>
          <t>2026-06-25</t>
        </is>
      </c>
      <c r="B13096" s="3" t="inlineStr">
        <is>
          <t>와이엠씨</t>
        </is>
      </c>
      <c r="C13096" s="2" t="inlineStr">
        <is>
          <t>코스닥</t>
        </is>
      </c>
      <c r="D13096" s="2" t="inlineStr">
        <is>
          <t>155650</t>
        </is>
      </c>
      <c r="E13096" s="3" t="inlineStr">
        <is>
          <t>임원ㆍ주요주주특정증권등소유상황보고서</t>
        </is>
      </c>
      <c r="F13096" s="3" t="inlineStr">
        <is>
          <t>박정근</t>
        </is>
      </c>
      <c r="G13096" s="2" t="inlineStr">
        <is>
          <t>20260625000272</t>
        </is>
      </c>
      <c r="H13096" s="8">
        <f>HYPERLINK("https://dart.fss.or.kr/dsaf001/main.do?rcpNo=20260625000272", "공시열람")</f>
        <v/>
      </c>
    </row>
    <row r="13097">
      <c r="A13097" s="2" t="inlineStr">
        <is>
          <t>2026-06-25</t>
        </is>
      </c>
      <c r="B13097" s="3" t="inlineStr">
        <is>
          <t>아크릴</t>
        </is>
      </c>
      <c r="C13097" s="2" t="inlineStr">
        <is>
          <t>코스닥</t>
        </is>
      </c>
      <c r="D13097" s="2" t="inlineStr">
        <is>
          <t>0007C0</t>
        </is>
      </c>
      <c r="E13097" s="3" t="inlineStr">
        <is>
          <t>임원ㆍ주요주주특정증권등소유상황보고서</t>
        </is>
      </c>
      <c r="F13097" s="3" t="inlineStr">
        <is>
          <t>노상익</t>
        </is>
      </c>
      <c r="G13097" s="2" t="inlineStr">
        <is>
          <t>20260625000270</t>
        </is>
      </c>
      <c r="H13097" s="8">
        <f>HYPERLINK("https://dart.fss.or.kr/dsaf001/main.do?rcpNo=20260625000270", "공시열람")</f>
        <v/>
      </c>
    </row>
    <row r="13098">
      <c r="A13098" s="2" t="inlineStr">
        <is>
          <t>2026-06-25</t>
        </is>
      </c>
      <c r="B13098" s="3" t="inlineStr">
        <is>
          <t>스마트레이더시스템</t>
        </is>
      </c>
      <c r="C13098" s="2" t="inlineStr">
        <is>
          <t>코스닥</t>
        </is>
      </c>
      <c r="D13098" s="2" t="inlineStr">
        <is>
          <t>424960</t>
        </is>
      </c>
      <c r="E13098" s="3" t="inlineStr">
        <is>
          <t>임원ㆍ주요주주특정증권등소유상황보고서</t>
        </is>
      </c>
      <c r="F13098" s="3" t="inlineStr">
        <is>
          <t>채대곤</t>
        </is>
      </c>
      <c r="G13098" s="2" t="inlineStr">
        <is>
          <t>20260625000269</t>
        </is>
      </c>
      <c r="H13098" s="8">
        <f>HYPERLINK("https://dart.fss.or.kr/dsaf001/main.do?rcpNo=20260625000269", "공시열람")</f>
        <v/>
      </c>
    </row>
    <row r="13099">
      <c r="A13099" s="2" t="inlineStr">
        <is>
          <t>2026-06-25</t>
        </is>
      </c>
      <c r="B13099" s="3" t="inlineStr">
        <is>
          <t>노브랜드</t>
        </is>
      </c>
      <c r="C13099" s="2" t="inlineStr">
        <is>
          <t>코스닥</t>
        </is>
      </c>
      <c r="D13099" s="2" t="inlineStr">
        <is>
          <t>145170</t>
        </is>
      </c>
      <c r="E13099" s="3" t="inlineStr">
        <is>
          <t>자기주식처분결과보고서</t>
        </is>
      </c>
      <c r="F13099" s="3" t="inlineStr">
        <is>
          <t>노브랜드</t>
        </is>
      </c>
      <c r="G13099" s="2" t="inlineStr">
        <is>
          <t>20260625000268</t>
        </is>
      </c>
      <c r="H13099" s="8">
        <f>HYPERLINK("https://dart.fss.or.kr/dsaf001/main.do?rcpNo=20260625000268", "공시열람")</f>
        <v/>
      </c>
    </row>
    <row r="13100">
      <c r="A13100" s="2" t="inlineStr">
        <is>
          <t>2026-06-25</t>
        </is>
      </c>
      <c r="B13100" s="3" t="inlineStr">
        <is>
          <t>미래에셋증권</t>
        </is>
      </c>
      <c r="C13100" s="2" t="inlineStr">
        <is>
          <t>코스피</t>
        </is>
      </c>
      <c r="D13100" s="2" t="inlineStr">
        <is>
          <t>006800</t>
        </is>
      </c>
      <c r="E13100" s="3" t="inlineStr">
        <is>
          <t>증권발행실적보고서</t>
        </is>
      </c>
      <c r="F13100" s="3" t="inlineStr">
        <is>
          <t>미래에셋증권</t>
        </is>
      </c>
      <c r="G13100" s="2" t="inlineStr">
        <is>
          <t>20260625000266</t>
        </is>
      </c>
      <c r="H13100" s="8">
        <f>HYPERLINK("https://dart.fss.or.kr/dsaf001/main.do?rcpNo=20260625000266", "공시열람")</f>
        <v/>
      </c>
    </row>
    <row r="13101">
      <c r="A13101" s="2" t="inlineStr">
        <is>
          <t>2026-06-25</t>
        </is>
      </c>
      <c r="B13101" s="3" t="inlineStr">
        <is>
          <t>폴레드</t>
        </is>
      </c>
      <c r="C13101" s="2" t="inlineStr">
        <is>
          <t>코스닥</t>
        </is>
      </c>
      <c r="D13101" s="2" t="inlineStr">
        <is>
          <t>487580</t>
        </is>
      </c>
      <c r="E13101" s="3" t="inlineStr">
        <is>
          <t xml:space="preserve">중간(분기)배당을위한주주명부폐쇄(기준일)결정              </t>
        </is>
      </c>
      <c r="F13101" s="3" t="inlineStr">
        <is>
          <t>폴레드</t>
        </is>
      </c>
      <c r="G13101" s="2" t="inlineStr">
        <is>
          <t>20260625900326</t>
        </is>
      </c>
      <c r="H13101" s="8">
        <f>HYPERLINK("https://dart.fss.or.kr/dsaf001/main.do?rcpNo=20260625900326", "공시열람")</f>
        <v/>
      </c>
    </row>
    <row r="13102">
      <c r="A13102" s="2" t="inlineStr">
        <is>
          <t>2026-06-25</t>
        </is>
      </c>
      <c r="B13102" s="3" t="inlineStr">
        <is>
          <t>남성</t>
        </is>
      </c>
      <c r="C13102" s="2" t="inlineStr">
        <is>
          <t>코스피</t>
        </is>
      </c>
      <c r="D13102" s="2" t="inlineStr">
        <is>
          <t>004270</t>
        </is>
      </c>
      <c r="E13102" s="3" t="inlineStr">
        <is>
          <t xml:space="preserve">유형자산취득결정              </t>
        </is>
      </c>
      <c r="F13102" s="3" t="inlineStr">
        <is>
          <t>남성</t>
        </is>
      </c>
      <c r="G13102" s="2" t="inlineStr">
        <is>
          <t>20260625800334</t>
        </is>
      </c>
      <c r="H13102" s="8">
        <f>HYPERLINK("https://dart.fss.or.kr/dsaf001/main.do?rcpNo=20260625800334", "공시열람")</f>
        <v/>
      </c>
    </row>
    <row r="13103">
      <c r="A13103" s="2" t="inlineStr">
        <is>
          <t>2026-06-25</t>
        </is>
      </c>
      <c r="B13103" s="3" t="inlineStr">
        <is>
          <t>케이씨에스</t>
        </is>
      </c>
      <c r="C13103" s="2" t="inlineStr">
        <is>
          <t>코스닥</t>
        </is>
      </c>
      <c r="D13103" s="2" t="inlineStr">
        <is>
          <t>115500</t>
        </is>
      </c>
      <c r="E13103" s="3" t="inlineStr">
        <is>
          <t>주요사항보고서(자기주식처분결정)</t>
        </is>
      </c>
      <c r="F13103" s="3" t="inlineStr">
        <is>
          <t>케이씨에스</t>
        </is>
      </c>
      <c r="G13103" s="2" t="inlineStr">
        <is>
          <t>20260625000237</t>
        </is>
      </c>
      <c r="H13103" s="8">
        <f>HYPERLINK("https://dart.fss.or.kr/dsaf001/main.do?rcpNo=20260625000237", "공시열람")</f>
        <v/>
      </c>
    </row>
    <row r="13104">
      <c r="A13104" s="2" t="inlineStr">
        <is>
          <t>2026-06-25</t>
        </is>
      </c>
      <c r="B13104" s="3" t="inlineStr">
        <is>
          <t>남성</t>
        </is>
      </c>
      <c r="C13104" s="2" t="inlineStr">
        <is>
          <t>코스피</t>
        </is>
      </c>
      <c r="D13104" s="2" t="inlineStr">
        <is>
          <t>004270</t>
        </is>
      </c>
      <c r="E13104" s="3" t="inlineStr">
        <is>
          <t xml:space="preserve">타법인주식및출자증권처분결정              </t>
        </is>
      </c>
      <c r="F13104" s="3" t="inlineStr">
        <is>
          <t>남성</t>
        </is>
      </c>
      <c r="G13104" s="2" t="inlineStr">
        <is>
          <t>20260625800331</t>
        </is>
      </c>
      <c r="H13104" s="8">
        <f>HYPERLINK("https://dart.fss.or.kr/dsaf001/main.do?rcpNo=20260625800331", "공시열람")</f>
        <v/>
      </c>
    </row>
    <row r="13105">
      <c r="A13105" s="2" t="inlineStr">
        <is>
          <t>2026-06-25</t>
        </is>
      </c>
      <c r="B13105" s="3" t="inlineStr">
        <is>
          <t>아주스틸</t>
        </is>
      </c>
      <c r="C13105" s="2" t="inlineStr">
        <is>
          <t>코스피</t>
        </is>
      </c>
      <c r="D13105" s="2" t="inlineStr">
        <is>
          <t>139990</t>
        </is>
      </c>
      <c r="E13105" s="3" t="inlineStr">
        <is>
          <t xml:space="preserve">단기차입금증가결정              </t>
        </is>
      </c>
      <c r="F13105" s="3" t="inlineStr">
        <is>
          <t>아주스틸</t>
        </is>
      </c>
      <c r="G13105" s="2" t="inlineStr">
        <is>
          <t>20260625800322</t>
        </is>
      </c>
      <c r="H13105" s="8">
        <f>HYPERLINK("https://dart.fss.or.kr/dsaf001/main.do?rcpNo=20260625800322", "공시열람")</f>
        <v/>
      </c>
    </row>
    <row r="13106">
      <c r="A13106" s="2" t="inlineStr">
        <is>
          <t>2026-06-25</t>
        </is>
      </c>
      <c r="B13106" s="3" t="inlineStr">
        <is>
          <t>디모아</t>
        </is>
      </c>
      <c r="C13106" s="2" t="inlineStr">
        <is>
          <t>코스닥</t>
        </is>
      </c>
      <c r="D13106" s="2" t="inlineStr">
        <is>
          <t>016670</t>
        </is>
      </c>
      <c r="E13106" s="3" t="inlineStr">
        <is>
          <t>철회신고서</t>
        </is>
      </c>
      <c r="F13106" s="3" t="inlineStr">
        <is>
          <t>디모아</t>
        </is>
      </c>
      <c r="G13106" s="2" t="inlineStr">
        <is>
          <t>20260625000252</t>
        </is>
      </c>
      <c r="H13106" s="8">
        <f>HYPERLINK("https://dart.fss.or.kr/dsaf001/main.do?rcpNo=20260625000252", "공시열람")</f>
        <v/>
      </c>
    </row>
    <row r="13107">
      <c r="A13107" s="2" t="inlineStr">
        <is>
          <t>2026-06-25</t>
        </is>
      </c>
      <c r="B13107" s="3" t="inlineStr">
        <is>
          <t>한화투자증권</t>
        </is>
      </c>
      <c r="C13107" s="2" t="inlineStr">
        <is>
          <t>코스피</t>
        </is>
      </c>
      <c r="D13107" s="2" t="inlineStr">
        <is>
          <t>003530</t>
        </is>
      </c>
      <c r="E13107" s="3" t="inlineStr">
        <is>
          <t>증권발행실적보고서</t>
        </is>
      </c>
      <c r="F13107" s="3" t="inlineStr">
        <is>
          <t>한화투자증권</t>
        </is>
      </c>
      <c r="G13107" s="2" t="inlineStr">
        <is>
          <t>20260625000250</t>
        </is>
      </c>
      <c r="H13107" s="8">
        <f>HYPERLINK("https://dart.fss.or.kr/dsaf001/main.do?rcpNo=20260625000250", "공시열람")</f>
        <v/>
      </c>
    </row>
    <row r="13108">
      <c r="A13108" s="2" t="inlineStr">
        <is>
          <t>2026-06-25</t>
        </is>
      </c>
      <c r="B13108" s="3" t="inlineStr">
        <is>
          <t>폴레드</t>
        </is>
      </c>
      <c r="C13108" s="2" t="inlineStr">
        <is>
          <t>코스닥</t>
        </is>
      </c>
      <c r="D13108" s="2" t="inlineStr">
        <is>
          <t>487580</t>
        </is>
      </c>
      <c r="E13108" s="3" t="inlineStr">
        <is>
          <t>현금ㆍ현물배당결정              (중간배당)</t>
        </is>
      </c>
      <c r="F13108" s="3" t="inlineStr">
        <is>
          <t>폴레드</t>
        </is>
      </c>
      <c r="G13108" s="2" t="inlineStr">
        <is>
          <t>20260625900306</t>
        </is>
      </c>
      <c r="H13108" s="8">
        <f>HYPERLINK("https://dart.fss.or.kr/dsaf001/main.do?rcpNo=20260625900306", "공시열람")</f>
        <v/>
      </c>
    </row>
    <row r="13109">
      <c r="A13109" s="2" t="inlineStr">
        <is>
          <t>2026-06-25</t>
        </is>
      </c>
      <c r="B13109" s="3" t="inlineStr">
        <is>
          <t>현대건설</t>
        </is>
      </c>
      <c r="C13109" s="2" t="inlineStr">
        <is>
          <t>코스피</t>
        </is>
      </c>
      <c r="D13109" s="2" t="inlineStr">
        <is>
          <t>000720</t>
        </is>
      </c>
      <c r="E13109" s="3" t="inlineStr">
        <is>
          <t>임원ㆍ주요주주특정증권등소유상황보고서</t>
        </is>
      </c>
      <c r="F13109" s="3" t="inlineStr">
        <is>
          <t>이형석</t>
        </is>
      </c>
      <c r="G13109" s="2" t="inlineStr">
        <is>
          <t>20260625000244</t>
        </is>
      </c>
      <c r="H13109" s="8">
        <f>HYPERLINK("https://dart.fss.or.kr/dsaf001/main.do?rcpNo=20260625000244", "공시열람")</f>
        <v/>
      </c>
    </row>
    <row r="13110">
      <c r="A13110" s="2" t="inlineStr">
        <is>
          <t>2026-06-25</t>
        </is>
      </c>
      <c r="B13110" s="3" t="inlineStr">
        <is>
          <t>평화산업</t>
        </is>
      </c>
      <c r="C13110" s="2" t="inlineStr">
        <is>
          <t>코스피</t>
        </is>
      </c>
      <c r="D13110" s="2" t="inlineStr">
        <is>
          <t>090080</t>
        </is>
      </c>
      <c r="E13110" s="3" t="inlineStr">
        <is>
          <t>임원ㆍ주요주주특정증권등거래계획보고서</t>
        </is>
      </c>
      <c r="F13110" s="3" t="inlineStr">
        <is>
          <t>평화홀딩스</t>
        </is>
      </c>
      <c r="G13110" s="2" t="inlineStr">
        <is>
          <t>20260625000240</t>
        </is>
      </c>
      <c r="H13110" s="8">
        <f>HYPERLINK("https://dart.fss.or.kr/dsaf001/main.do?rcpNo=20260625000240", "공시열람")</f>
        <v/>
      </c>
    </row>
    <row r="13111">
      <c r="A13111" s="2" t="inlineStr">
        <is>
          <t>2026-06-25</t>
        </is>
      </c>
      <c r="B13111" s="3" t="inlineStr">
        <is>
          <t>메타바이오메드</t>
        </is>
      </c>
      <c r="C13111" s="2" t="inlineStr">
        <is>
          <t>코스닥</t>
        </is>
      </c>
      <c r="D13111" s="2" t="inlineStr">
        <is>
          <t>059210</t>
        </is>
      </c>
      <c r="E13111" s="3" t="inlineStr">
        <is>
          <t xml:space="preserve">현금ㆍ현물배당결정              </t>
        </is>
      </c>
      <c r="F13111" s="3" t="inlineStr">
        <is>
          <t>메타바이오메드</t>
        </is>
      </c>
      <c r="G13111" s="2" t="inlineStr">
        <is>
          <t>20260625900295</t>
        </is>
      </c>
      <c r="H13111" s="8">
        <f>HYPERLINK("https://dart.fss.or.kr/dsaf001/main.do?rcpNo=20260625900295", "공시열람")</f>
        <v/>
      </c>
    </row>
    <row r="13112">
      <c r="A13112" s="2" t="inlineStr">
        <is>
          <t>2026-06-25</t>
        </is>
      </c>
      <c r="B13112" s="3" t="inlineStr">
        <is>
          <t>모헨즈</t>
        </is>
      </c>
      <c r="C13112" s="2" t="inlineStr">
        <is>
          <t>코스닥</t>
        </is>
      </c>
      <c r="D13112" s="2" t="inlineStr">
        <is>
          <t>006920</t>
        </is>
      </c>
      <c r="E13112" s="3" t="inlineStr">
        <is>
          <t>신탁계약해지결과보고서</t>
        </is>
      </c>
      <c r="F13112" s="3" t="inlineStr">
        <is>
          <t>모헨즈</t>
        </is>
      </c>
      <c r="G13112" s="2" t="inlineStr">
        <is>
          <t>20260625000236</t>
        </is>
      </c>
      <c r="H13112" s="8">
        <f>HYPERLINK("https://dart.fss.or.kr/dsaf001/main.do?rcpNo=20260625000236", "공시열람")</f>
        <v/>
      </c>
    </row>
    <row r="13113">
      <c r="A13113" s="2" t="inlineStr">
        <is>
          <t>2026-06-25</t>
        </is>
      </c>
      <c r="B13113" s="3" t="inlineStr">
        <is>
          <t>한화투자증권</t>
        </is>
      </c>
      <c r="C13113" s="2" t="inlineStr">
        <is>
          <t>코스피</t>
        </is>
      </c>
      <c r="D13113" s="2" t="inlineStr">
        <is>
          <t>003530</t>
        </is>
      </c>
      <c r="E13113" s="3" t="inlineStr">
        <is>
          <t>투자설명서(일괄신고)</t>
        </is>
      </c>
      <c r="F13113" s="3" t="inlineStr">
        <is>
          <t>한화투자증권</t>
        </is>
      </c>
      <c r="G13113" s="2" t="inlineStr">
        <is>
          <t>20260625000235</t>
        </is>
      </c>
      <c r="H13113" s="8">
        <f>HYPERLINK("https://dart.fss.or.kr/dsaf001/main.do?rcpNo=20260625000235", "공시열람")</f>
        <v/>
      </c>
    </row>
    <row r="13114">
      <c r="A13114" s="2" t="inlineStr">
        <is>
          <t>2026-06-25</t>
        </is>
      </c>
      <c r="B13114" s="3" t="inlineStr">
        <is>
          <t>제이에스링크</t>
        </is>
      </c>
      <c r="C13114" s="2" t="inlineStr">
        <is>
          <t>코스닥</t>
        </is>
      </c>
      <c r="D13114" s="2" t="inlineStr">
        <is>
          <t>127120</t>
        </is>
      </c>
      <c r="E13114" s="3" t="inlineStr">
        <is>
          <t>증권발행결과(자율공시)              (제18회차)</t>
        </is>
      </c>
      <c r="F13114" s="3" t="inlineStr">
        <is>
          <t>제이에스링크</t>
        </is>
      </c>
      <c r="G13114" s="2" t="inlineStr">
        <is>
          <t>20260625900286</t>
        </is>
      </c>
      <c r="H13114" s="8">
        <f>HYPERLINK("https://dart.fss.or.kr/dsaf001/main.do?rcpNo=20260625900286", "공시열람")</f>
        <v/>
      </c>
    </row>
    <row r="13115">
      <c r="A13115" s="2" t="inlineStr">
        <is>
          <t>2026-06-25</t>
        </is>
      </c>
      <c r="B13115" s="3" t="inlineStr">
        <is>
          <t>제이에스링크</t>
        </is>
      </c>
      <c r="C13115" s="2" t="inlineStr">
        <is>
          <t>코스닥</t>
        </is>
      </c>
      <c r="D13115" s="2" t="inlineStr">
        <is>
          <t>127120</t>
        </is>
      </c>
      <c r="E13115" s="3" t="inlineStr">
        <is>
          <t>증권발행결과(자율공시)              (제17회차)</t>
        </is>
      </c>
      <c r="F13115" s="3" t="inlineStr">
        <is>
          <t>제이에스링크</t>
        </is>
      </c>
      <c r="G13115" s="2" t="inlineStr">
        <is>
          <t>20260625900284</t>
        </is>
      </c>
      <c r="H13115" s="8">
        <f>HYPERLINK("https://dart.fss.or.kr/dsaf001/main.do?rcpNo=20260625900284", "공시열람")</f>
        <v/>
      </c>
    </row>
    <row r="13116">
      <c r="A13116" s="2" t="inlineStr">
        <is>
          <t>2026-06-25</t>
        </is>
      </c>
      <c r="B13116" s="3" t="inlineStr">
        <is>
          <t>한화투자증권</t>
        </is>
      </c>
      <c r="C13116" s="2" t="inlineStr">
        <is>
          <t>코스피</t>
        </is>
      </c>
      <c r="D13116" s="2" t="inlineStr">
        <is>
          <t>003530</t>
        </is>
      </c>
      <c r="E13116" s="3" t="inlineStr">
        <is>
          <t>일괄신고추가서류(기타파생결합사채)</t>
        </is>
      </c>
      <c r="F13116" s="3" t="inlineStr">
        <is>
          <t>한화투자증권</t>
        </is>
      </c>
      <c r="G13116" s="2" t="inlineStr">
        <is>
          <t>20260625000225</t>
        </is>
      </c>
      <c r="H13116" s="8">
        <f>HYPERLINK("https://dart.fss.or.kr/dsaf001/main.do?rcpNo=20260625000225", "공시열람")</f>
        <v/>
      </c>
    </row>
    <row r="13117">
      <c r="A13117" s="2" t="inlineStr">
        <is>
          <t>2026-06-25</t>
        </is>
      </c>
      <c r="B13117" s="3" t="inlineStr">
        <is>
          <t>씨앤투스</t>
        </is>
      </c>
      <c r="C13117" s="2" t="inlineStr">
        <is>
          <t>코스닥</t>
        </is>
      </c>
      <c r="D13117" s="2" t="inlineStr">
        <is>
          <t>352700</t>
        </is>
      </c>
      <c r="E13117" s="3" t="inlineStr">
        <is>
          <t>임원ㆍ주요주주특정증권등소유상황보고서</t>
        </is>
      </c>
      <c r="F13117" s="3" t="inlineStr">
        <is>
          <t>하춘욱</t>
        </is>
      </c>
      <c r="G13117" s="2" t="inlineStr">
        <is>
          <t>20260625000190</t>
        </is>
      </c>
      <c r="H13117" s="8">
        <f>HYPERLINK("https://dart.fss.or.kr/dsaf001/main.do?rcpNo=20260625000190", "공시열람")</f>
        <v/>
      </c>
    </row>
    <row r="13118">
      <c r="A13118" s="2" t="inlineStr">
        <is>
          <t>2026-06-25</t>
        </is>
      </c>
      <c r="B13118" s="3" t="inlineStr">
        <is>
          <t>이엔셀</t>
        </is>
      </c>
      <c r="C13118" s="2" t="inlineStr">
        <is>
          <t>코스닥</t>
        </is>
      </c>
      <c r="D13118" s="2" t="inlineStr">
        <is>
          <t>456070</t>
        </is>
      </c>
      <c r="E13118" s="3" t="inlineStr">
        <is>
          <t>임원ㆍ주요주주특정증권등소유상황보고서</t>
        </is>
      </c>
      <c r="F13118" s="3" t="inlineStr">
        <is>
          <t>김주열</t>
        </is>
      </c>
      <c r="G13118" s="2" t="inlineStr">
        <is>
          <t>20260625000186</t>
        </is>
      </c>
      <c r="H13118" s="8">
        <f>HYPERLINK("https://dart.fss.or.kr/dsaf001/main.do?rcpNo=20260625000186", "공시열람")</f>
        <v/>
      </c>
    </row>
    <row r="13119">
      <c r="A13119" s="2" t="inlineStr">
        <is>
          <t>2026-06-25</t>
        </is>
      </c>
      <c r="B13119" s="3" t="inlineStr">
        <is>
          <t>트리니티항공</t>
        </is>
      </c>
      <c r="C13119" s="2" t="inlineStr">
        <is>
          <t>코스피</t>
        </is>
      </c>
      <c r="D13119" s="2" t="inlineStr">
        <is>
          <t>091810</t>
        </is>
      </c>
      <c r="E13119" s="3" t="inlineStr">
        <is>
          <t>특수관계인으로부터받은담보</t>
        </is>
      </c>
      <c r="F13119" s="3" t="inlineStr">
        <is>
          <t>트리니티항공</t>
        </is>
      </c>
      <c r="G13119" s="2" t="inlineStr">
        <is>
          <t>20260625000182</t>
        </is>
      </c>
      <c r="H13119" s="8">
        <f>HYPERLINK("https://dart.fss.or.kr/dsaf001/main.do?rcpNo=20260625000182", "공시열람")</f>
        <v/>
      </c>
    </row>
    <row r="13120">
      <c r="A13120" s="2" t="inlineStr">
        <is>
          <t>2026-06-25</t>
        </is>
      </c>
      <c r="B13120" s="3" t="inlineStr">
        <is>
          <t>트리니티항공</t>
        </is>
      </c>
      <c r="C13120" s="2" t="inlineStr">
        <is>
          <t>코스피</t>
        </is>
      </c>
      <c r="D13120" s="2" t="inlineStr">
        <is>
          <t>091810</t>
        </is>
      </c>
      <c r="E13120" s="3" t="inlineStr">
        <is>
          <t>특수관계인으로부터받은담보</t>
        </is>
      </c>
      <c r="F13120" s="3" t="inlineStr">
        <is>
          <t>트리니티항공</t>
        </is>
      </c>
      <c r="G13120" s="2" t="inlineStr">
        <is>
          <t>20260625000181</t>
        </is>
      </c>
      <c r="H13120" s="8">
        <f>HYPERLINK("https://dart.fss.or.kr/dsaf001/main.do?rcpNo=20260625000181", "공시열람")</f>
        <v/>
      </c>
    </row>
    <row r="13121">
      <c r="A13121" s="2" t="inlineStr">
        <is>
          <t>2026-06-25</t>
        </is>
      </c>
      <c r="B13121" s="3" t="inlineStr">
        <is>
          <t>에스켐</t>
        </is>
      </c>
      <c r="C13121" s="2" t="inlineStr">
        <is>
          <t>코스닥</t>
        </is>
      </c>
      <c r="D13121" s="2" t="inlineStr">
        <is>
          <t>475660</t>
        </is>
      </c>
      <c r="E13121" s="3" t="inlineStr">
        <is>
          <t>임원ㆍ주요주주특정증권등소유상황보고서</t>
        </is>
      </c>
      <c r="F13121" s="3" t="inlineStr">
        <is>
          <t>서동근</t>
        </is>
      </c>
      <c r="G13121" s="2" t="inlineStr">
        <is>
          <t>20260625000180</t>
        </is>
      </c>
      <c r="H13121" s="8">
        <f>HYPERLINK("https://dart.fss.or.kr/dsaf001/main.do?rcpNo=20260625000180", "공시열람")</f>
        <v/>
      </c>
    </row>
    <row r="13122">
      <c r="A13122" s="2" t="inlineStr">
        <is>
          <t>2026-06-25</t>
        </is>
      </c>
      <c r="B13122" s="3" t="inlineStr">
        <is>
          <t>키움증권</t>
        </is>
      </c>
      <c r="C13122" s="2" t="inlineStr">
        <is>
          <t>코스피</t>
        </is>
      </c>
      <c r="D13122" s="2" t="inlineStr">
        <is>
          <t>039490</t>
        </is>
      </c>
      <c r="E13122" s="3" t="inlineStr">
        <is>
          <t>일괄신고추가서류(파생결합증권-주가연계증권)</t>
        </is>
      </c>
      <c r="F13122" s="3" t="inlineStr">
        <is>
          <t>키움증권</t>
        </is>
      </c>
      <c r="G13122" s="2" t="inlineStr">
        <is>
          <t>20260625000178</t>
        </is>
      </c>
      <c r="H13122" s="8">
        <f>HYPERLINK("https://dart.fss.or.kr/dsaf001/main.do?rcpNo=20260625000178", "공시열람")</f>
        <v/>
      </c>
    </row>
    <row r="13123">
      <c r="A13123" s="2" t="inlineStr">
        <is>
          <t>2026-06-25</t>
        </is>
      </c>
      <c r="B13123" s="3" t="inlineStr">
        <is>
          <t>유한양행</t>
        </is>
      </c>
      <c r="C13123" s="2" t="inlineStr">
        <is>
          <t>코스피</t>
        </is>
      </c>
      <c r="D13123" s="2" t="inlineStr">
        <is>
          <t>000100</t>
        </is>
      </c>
      <c r="E13123" s="3" t="inlineStr">
        <is>
          <t>임원ㆍ주요주주특정증권등소유상황보고서</t>
        </is>
      </c>
      <c r="F13123" s="3" t="inlineStr">
        <is>
          <t>김재용</t>
        </is>
      </c>
      <c r="G13123" s="2" t="inlineStr">
        <is>
          <t>20260625000160</t>
        </is>
      </c>
      <c r="H13123" s="8">
        <f>HYPERLINK("https://dart.fss.or.kr/dsaf001/main.do?rcpNo=20260625000160", "공시열람")</f>
        <v/>
      </c>
    </row>
    <row r="13124">
      <c r="A13124" s="2" t="inlineStr">
        <is>
          <t>2026-06-25</t>
        </is>
      </c>
      <c r="B13124" s="3" t="inlineStr">
        <is>
          <t>카카오뱅크</t>
        </is>
      </c>
      <c r="C13124" s="2" t="inlineStr">
        <is>
          <t>코스피</t>
        </is>
      </c>
      <c r="D13124" s="2" t="inlineStr">
        <is>
          <t>323410</t>
        </is>
      </c>
      <c r="E13124" s="3" t="inlineStr">
        <is>
          <t xml:space="preserve">타법인주식및출자증권취득결정(자율공시)              </t>
        </is>
      </c>
      <c r="F13124" s="3" t="inlineStr">
        <is>
          <t>카카오뱅크</t>
        </is>
      </c>
      <c r="G13124" s="2" t="inlineStr">
        <is>
          <t>20260625800230</t>
        </is>
      </c>
      <c r="H13124" s="8">
        <f>HYPERLINK("https://dart.fss.or.kr/dsaf001/main.do?rcpNo=20260625800230", "공시열람")</f>
        <v/>
      </c>
    </row>
    <row r="13125">
      <c r="A13125" s="2" t="inlineStr">
        <is>
          <t>2026-06-25</t>
        </is>
      </c>
      <c r="B13125" s="3" t="inlineStr">
        <is>
          <t>한국타이어앤테크놀로지</t>
        </is>
      </c>
      <c r="C13125" s="2" t="inlineStr">
        <is>
          <t>코스피</t>
        </is>
      </c>
      <c r="D13125" s="2" t="inlineStr">
        <is>
          <t>161390</t>
        </is>
      </c>
      <c r="E13125" s="3" t="inlineStr">
        <is>
          <t>동일인등출자계열회사와의상품ㆍ용역거래</t>
        </is>
      </c>
      <c r="F13125" s="3" t="inlineStr">
        <is>
          <t>한국타이어앤테크놀로지</t>
        </is>
      </c>
      <c r="G13125" s="2" t="inlineStr">
        <is>
          <t>20260625000153</t>
        </is>
      </c>
      <c r="H13125" s="8">
        <f>HYPERLINK("https://dart.fss.or.kr/dsaf001/main.do?rcpNo=20260625000153", "공시열람")</f>
        <v/>
      </c>
    </row>
    <row r="13126">
      <c r="A13126" s="2" t="inlineStr">
        <is>
          <t>2026-06-25</t>
        </is>
      </c>
      <c r="B13126" s="3" t="inlineStr">
        <is>
          <t>교보증권</t>
        </is>
      </c>
      <c r="C13126" s="2" t="inlineStr">
        <is>
          <t>코스피</t>
        </is>
      </c>
      <c r="D13126" s="2" t="inlineStr">
        <is>
          <t>030610</t>
        </is>
      </c>
      <c r="E13126" s="3" t="inlineStr">
        <is>
          <t>투자설명서(일괄신고)</t>
        </is>
      </c>
      <c r="F13126" s="3" t="inlineStr">
        <is>
          <t>교보증권</t>
        </is>
      </c>
      <c r="G13126" s="2" t="inlineStr">
        <is>
          <t>20260625000140</t>
        </is>
      </c>
      <c r="H13126" s="8">
        <f>HYPERLINK("https://dart.fss.or.kr/dsaf001/main.do?rcpNo=20260625000140", "공시열람")</f>
        <v/>
      </c>
    </row>
    <row r="13127">
      <c r="A13127" s="2" t="inlineStr">
        <is>
          <t>2026-06-25</t>
        </is>
      </c>
      <c r="B13127" s="3" t="inlineStr">
        <is>
          <t>교보증권</t>
        </is>
      </c>
      <c r="C13127" s="2" t="inlineStr">
        <is>
          <t>코스피</t>
        </is>
      </c>
      <c r="D13127" s="2" t="inlineStr">
        <is>
          <t>030610</t>
        </is>
      </c>
      <c r="E13127" s="3" t="inlineStr">
        <is>
          <t>일괄신고추가서류(파생결합증권-주가연계증권)</t>
        </is>
      </c>
      <c r="F13127" s="3" t="inlineStr">
        <is>
          <t>교보증권</t>
        </is>
      </c>
      <c r="G13127" s="2" t="inlineStr">
        <is>
          <t>20260625000137</t>
        </is>
      </c>
      <c r="H13127" s="8">
        <f>HYPERLINK("https://dart.fss.or.kr/dsaf001/main.do?rcpNo=20260625000137", "공시열람")</f>
        <v/>
      </c>
    </row>
    <row r="13128">
      <c r="A13128" s="2" t="inlineStr">
        <is>
          <t>2026-06-25</t>
        </is>
      </c>
      <c r="B13128" s="3" t="inlineStr">
        <is>
          <t>교보증권</t>
        </is>
      </c>
      <c r="C13128" s="2" t="inlineStr">
        <is>
          <t>코스피</t>
        </is>
      </c>
      <c r="D13128" s="2" t="inlineStr">
        <is>
          <t>030610</t>
        </is>
      </c>
      <c r="E13128" s="3" t="inlineStr">
        <is>
          <t>투자설명서(일괄신고)</t>
        </is>
      </c>
      <c r="F13128" s="3" t="inlineStr">
        <is>
          <t>교보증권</t>
        </is>
      </c>
      <c r="G13128" s="2" t="inlineStr">
        <is>
          <t>20260625000135</t>
        </is>
      </c>
      <c r="H13128" s="8">
        <f>HYPERLINK("https://dart.fss.or.kr/dsaf001/main.do?rcpNo=20260625000135", "공시열람")</f>
        <v/>
      </c>
    </row>
    <row r="13129">
      <c r="A13129" s="2" t="inlineStr">
        <is>
          <t>2026-06-25</t>
        </is>
      </c>
      <c r="B13129" s="3" t="inlineStr">
        <is>
          <t>교보증권</t>
        </is>
      </c>
      <c r="C13129" s="2" t="inlineStr">
        <is>
          <t>코스피</t>
        </is>
      </c>
      <c r="D13129" s="2" t="inlineStr">
        <is>
          <t>030610</t>
        </is>
      </c>
      <c r="E13129" s="3" t="inlineStr">
        <is>
          <t>일괄신고추가서류(파생결합사채-주가연계파생결합사채)</t>
        </is>
      </c>
      <c r="F13129" s="3" t="inlineStr">
        <is>
          <t>교보증권</t>
        </is>
      </c>
      <c r="G13129" s="2" t="inlineStr">
        <is>
          <t>20260625000134</t>
        </is>
      </c>
      <c r="H13129" s="8">
        <f>HYPERLINK("https://dart.fss.or.kr/dsaf001/main.do?rcpNo=20260625000134", "공시열람")</f>
        <v/>
      </c>
    </row>
    <row r="13130">
      <c r="A13130" s="2" t="inlineStr">
        <is>
          <t>2026-06-25</t>
        </is>
      </c>
      <c r="B13130" s="3" t="inlineStr">
        <is>
          <t>KG이니시스</t>
        </is>
      </c>
      <c r="C13130" s="2" t="inlineStr">
        <is>
          <t>코스닥</t>
        </is>
      </c>
      <c r="D13130" s="2" t="inlineStr">
        <is>
          <t>035600</t>
        </is>
      </c>
      <c r="E13130" s="3" t="inlineStr">
        <is>
          <t>특수관계인에대한출자</t>
        </is>
      </c>
      <c r="F13130" s="3" t="inlineStr">
        <is>
          <t>KG이니시스</t>
        </is>
      </c>
      <c r="G13130" s="2" t="inlineStr">
        <is>
          <t>20260625000131</t>
        </is>
      </c>
      <c r="H13130" s="8">
        <f>HYPERLINK("https://dart.fss.or.kr/dsaf001/main.do?rcpNo=20260625000131", "공시열람")</f>
        <v/>
      </c>
    </row>
    <row r="13131">
      <c r="A13131" s="2" t="inlineStr">
        <is>
          <t>2026-06-25</t>
        </is>
      </c>
      <c r="B13131" s="3" t="inlineStr">
        <is>
          <t>KG이니시스</t>
        </is>
      </c>
      <c r="C13131" s="2" t="inlineStr">
        <is>
          <t>코스닥</t>
        </is>
      </c>
      <c r="D13131" s="2" t="inlineStr">
        <is>
          <t>035600</t>
        </is>
      </c>
      <c r="E13131" s="3" t="inlineStr">
        <is>
          <t>특수관계인과의내부거래</t>
        </is>
      </c>
      <c r="F13131" s="3" t="inlineStr">
        <is>
          <t>KG이니시스</t>
        </is>
      </c>
      <c r="G13131" s="2" t="inlineStr">
        <is>
          <t>20260625000127</t>
        </is>
      </c>
      <c r="H13131" s="8">
        <f>HYPERLINK("https://dart.fss.or.kr/dsaf001/main.do?rcpNo=20260625000127", "공시열람")</f>
        <v/>
      </c>
    </row>
    <row r="13132">
      <c r="A13132" s="2" t="inlineStr">
        <is>
          <t>2026-06-25</t>
        </is>
      </c>
      <c r="B13132" s="3" t="inlineStr">
        <is>
          <t>키움증권</t>
        </is>
      </c>
      <c r="C13132" s="2" t="inlineStr">
        <is>
          <t>코스피</t>
        </is>
      </c>
      <c r="D13132" s="2" t="inlineStr">
        <is>
          <t>039490</t>
        </is>
      </c>
      <c r="E13132" s="3" t="inlineStr">
        <is>
          <t>일괄신고추가서류(파생결합사채-주가연계파생결합사채)</t>
        </is>
      </c>
      <c r="F13132" s="3" t="inlineStr">
        <is>
          <t>키움증권</t>
        </is>
      </c>
      <c r="G13132" s="2" t="inlineStr">
        <is>
          <t>20260625000122</t>
        </is>
      </c>
      <c r="H13132" s="8">
        <f>HYPERLINK("https://dart.fss.or.kr/dsaf001/main.do?rcpNo=20260625000122", "공시열람")</f>
        <v/>
      </c>
    </row>
    <row r="13133">
      <c r="A13133" s="2" t="inlineStr">
        <is>
          <t>2026-06-25</t>
        </is>
      </c>
      <c r="B13133" s="3" t="inlineStr">
        <is>
          <t>풍원정밀</t>
        </is>
      </c>
      <c r="C13133" s="2" t="inlineStr">
        <is>
          <t>코스닥</t>
        </is>
      </c>
      <c r="D13133" s="2" t="inlineStr">
        <is>
          <t>371950</t>
        </is>
      </c>
      <c r="E13133" s="3" t="inlineStr">
        <is>
          <t>임원ㆍ주요주주특정증권등소유상황보고서</t>
        </is>
      </c>
      <c r="F13133" s="3" t="inlineStr">
        <is>
          <t>유명훈</t>
        </is>
      </c>
      <c r="G13133" s="2" t="inlineStr">
        <is>
          <t>20260625000106</t>
        </is>
      </c>
      <c r="H13133" s="8">
        <f>HYPERLINK("https://dart.fss.or.kr/dsaf001/main.do?rcpNo=20260625000106", "공시열람")</f>
        <v/>
      </c>
    </row>
    <row r="13134">
      <c r="A13134" s="2" t="inlineStr">
        <is>
          <t>2026-06-25</t>
        </is>
      </c>
      <c r="B13134" s="3" t="inlineStr">
        <is>
          <t>엔알비</t>
        </is>
      </c>
      <c r="C13134" s="2" t="inlineStr">
        <is>
          <t>코스닥</t>
        </is>
      </c>
      <c r="D13134" s="2" t="inlineStr">
        <is>
          <t>475230</t>
        </is>
      </c>
      <c r="E13134" s="3" t="inlineStr">
        <is>
          <t>임원ㆍ주요주주특정증권등소유상황보고서</t>
        </is>
      </c>
      <c r="F13134" s="3" t="inlineStr">
        <is>
          <t>김춘식</t>
        </is>
      </c>
      <c r="G13134" s="2" t="inlineStr">
        <is>
          <t>20260625000103</t>
        </is>
      </c>
      <c r="H13134" s="8">
        <f>HYPERLINK("https://dart.fss.or.kr/dsaf001/main.do?rcpNo=20260625000103", "공시열람")</f>
        <v/>
      </c>
    </row>
    <row r="13135">
      <c r="A13135" s="2" t="inlineStr">
        <is>
          <t>2026-06-25</t>
        </is>
      </c>
      <c r="B13135" s="3" t="inlineStr">
        <is>
          <t>알체라</t>
        </is>
      </c>
      <c r="C13135" s="2" t="inlineStr">
        <is>
          <t>코스닥</t>
        </is>
      </c>
      <c r="D13135" s="2" t="inlineStr">
        <is>
          <t>347860</t>
        </is>
      </c>
      <c r="E13135" s="3" t="inlineStr">
        <is>
          <t>임원ㆍ주요주주특정증권등소유상황보고서</t>
        </is>
      </c>
      <c r="F13135" s="3" t="inlineStr">
        <is>
          <t>김용호</t>
        </is>
      </c>
      <c r="G13135" s="2" t="inlineStr">
        <is>
          <t>20260625000099</t>
        </is>
      </c>
      <c r="H13135" s="8">
        <f>HYPERLINK("https://dart.fss.or.kr/dsaf001/main.do?rcpNo=20260625000099", "공시열람")</f>
        <v/>
      </c>
    </row>
    <row r="13136">
      <c r="A13136" s="2" t="inlineStr">
        <is>
          <t>2026-06-25</t>
        </is>
      </c>
      <c r="B13136" s="3" t="inlineStr">
        <is>
          <t>삼양사</t>
        </is>
      </c>
      <c r="C13136" s="2" t="inlineStr">
        <is>
          <t>코스피</t>
        </is>
      </c>
      <c r="D13136" s="2" t="inlineStr">
        <is>
          <t>145990</t>
        </is>
      </c>
      <c r="E13136" s="3" t="inlineStr">
        <is>
          <t xml:space="preserve">지속가능경영보고서등관련사항(자율공시)              </t>
        </is>
      </c>
      <c r="F13136" s="3" t="inlineStr">
        <is>
          <t>삼양사</t>
        </is>
      </c>
      <c r="G13136" s="2" t="inlineStr">
        <is>
          <t>20260625800176</t>
        </is>
      </c>
      <c r="H13136" s="8">
        <f>HYPERLINK("https://dart.fss.or.kr/dsaf001/main.do?rcpNo=20260625800176", "공시열람")</f>
        <v/>
      </c>
    </row>
    <row r="13137">
      <c r="A13137" s="2" t="inlineStr">
        <is>
          <t>2026-06-25</t>
        </is>
      </c>
      <c r="B13137" s="3" t="inlineStr">
        <is>
          <t>와토스코리아</t>
        </is>
      </c>
      <c r="C13137" s="2" t="inlineStr">
        <is>
          <t>코스닥</t>
        </is>
      </c>
      <c r="D13137" s="2" t="inlineStr">
        <is>
          <t>079000</t>
        </is>
      </c>
      <c r="E13137" s="3" t="inlineStr">
        <is>
          <t xml:space="preserve">조회공시요구(현저한시황변동)에대한답변(중요정보없음)              </t>
        </is>
      </c>
      <c r="F13137" s="3" t="inlineStr">
        <is>
          <t>와토스코리아</t>
        </is>
      </c>
      <c r="G13137" s="2" t="inlineStr">
        <is>
          <t>20260625900174</t>
        </is>
      </c>
      <c r="H13137" s="8">
        <f>HYPERLINK("https://dart.fss.or.kr/dsaf001/main.do?rcpNo=20260625900174", "공시열람")</f>
        <v/>
      </c>
    </row>
    <row r="13138">
      <c r="A13138" s="2" t="inlineStr">
        <is>
          <t>2026-06-25</t>
        </is>
      </c>
      <c r="B13138" s="3" t="inlineStr">
        <is>
          <t>대원미디어</t>
        </is>
      </c>
      <c r="C13138" s="2" t="inlineStr">
        <is>
          <t>코스닥</t>
        </is>
      </c>
      <c r="D13138" s="2" t="inlineStr">
        <is>
          <t>048910</t>
        </is>
      </c>
      <c r="E13138" s="3" t="inlineStr">
        <is>
          <t>임원ㆍ주요주주특정증권등소유상황보고서</t>
        </is>
      </c>
      <c r="F13138" s="3" t="inlineStr">
        <is>
          <t>이선규</t>
        </is>
      </c>
      <c r="G13138" s="2" t="inlineStr">
        <is>
          <t>20260625000087</t>
        </is>
      </c>
      <c r="H13138" s="8">
        <f>HYPERLINK("https://dart.fss.or.kr/dsaf001/main.do?rcpNo=20260625000087", "공시열람")</f>
        <v/>
      </c>
    </row>
    <row r="13139">
      <c r="A13139" s="2" t="inlineStr">
        <is>
          <t>2026-06-25</t>
        </is>
      </c>
      <c r="B13139" s="3" t="inlineStr">
        <is>
          <t>넥스트바이오메디컬</t>
        </is>
      </c>
      <c r="C13139" s="2" t="inlineStr">
        <is>
          <t>코스닥</t>
        </is>
      </c>
      <c r="D13139" s="2" t="inlineStr">
        <is>
          <t>389650</t>
        </is>
      </c>
      <c r="E13139" s="3" t="inlineStr">
        <is>
          <t>임원ㆍ주요주주특정증권등소유상황보고서</t>
        </is>
      </c>
      <c r="F13139" s="3" t="inlineStr">
        <is>
          <t>남동흔</t>
        </is>
      </c>
      <c r="G13139" s="2" t="inlineStr">
        <is>
          <t>20260625000086</t>
        </is>
      </c>
      <c r="H13139" s="8">
        <f>HYPERLINK("https://dart.fss.or.kr/dsaf001/main.do?rcpNo=20260625000086", "공시열람")</f>
        <v/>
      </c>
    </row>
    <row r="13140">
      <c r="A13140" s="2" t="inlineStr">
        <is>
          <t>2026-06-25</t>
        </is>
      </c>
      <c r="B13140" s="3" t="inlineStr">
        <is>
          <t>삼양패키징</t>
        </is>
      </c>
      <c r="C13140" s="2" t="inlineStr">
        <is>
          <t>코스피</t>
        </is>
      </c>
      <c r="D13140" s="2" t="inlineStr">
        <is>
          <t>272550</t>
        </is>
      </c>
      <c r="E13140" s="3" t="inlineStr">
        <is>
          <t xml:space="preserve">지속가능경영보고서등관련사항(자율공시)              </t>
        </is>
      </c>
      <c r="F13140" s="3" t="inlineStr">
        <is>
          <t>삼양패키징</t>
        </is>
      </c>
      <c r="G13140" s="2" t="inlineStr">
        <is>
          <t>20260625800162</t>
        </is>
      </c>
      <c r="H13140" s="8">
        <f>HYPERLINK("https://dart.fss.or.kr/dsaf001/main.do?rcpNo=20260625800162", "공시열람")</f>
        <v/>
      </c>
    </row>
    <row r="13141">
      <c r="A13141" s="2" t="inlineStr">
        <is>
          <t>2026-06-25</t>
        </is>
      </c>
      <c r="B13141" s="3" t="inlineStr">
        <is>
          <t>세니젠</t>
        </is>
      </c>
      <c r="C13141" s="2" t="inlineStr">
        <is>
          <t>코스닥</t>
        </is>
      </c>
      <c r="D13141" s="2" t="inlineStr">
        <is>
          <t>188260</t>
        </is>
      </c>
      <c r="E13141" s="3" t="inlineStr">
        <is>
          <t>임원ㆍ주요주주특정증권등소유상황보고서</t>
        </is>
      </c>
      <c r="F13141" s="3" t="inlineStr">
        <is>
          <t>박정웅</t>
        </is>
      </c>
      <c r="G13141" s="2" t="inlineStr">
        <is>
          <t>20260625000073</t>
        </is>
      </c>
      <c r="H13141" s="8">
        <f>HYPERLINK("https://dart.fss.or.kr/dsaf001/main.do?rcpNo=20260625000073", "공시열람")</f>
        <v/>
      </c>
    </row>
    <row r="13142">
      <c r="A13142" s="2" t="inlineStr">
        <is>
          <t>2026-06-25</t>
        </is>
      </c>
      <c r="B13142" s="3" t="inlineStr">
        <is>
          <t>네오티스</t>
        </is>
      </c>
      <c r="C13142" s="2" t="inlineStr">
        <is>
          <t>코스닥</t>
        </is>
      </c>
      <c r="D13142" s="2" t="inlineStr">
        <is>
          <t>085910</t>
        </is>
      </c>
      <c r="E13142" s="3" t="inlineStr">
        <is>
          <t>임원ㆍ주요주주특정증권등소유상황보고서</t>
        </is>
      </c>
      <c r="F13142" s="3" t="inlineStr">
        <is>
          <t>KWON SANG HOON</t>
        </is>
      </c>
      <c r="G13142" s="2" t="inlineStr">
        <is>
          <t>20260625000071</t>
        </is>
      </c>
      <c r="H13142" s="8">
        <f>HYPERLINK("https://dart.fss.or.kr/dsaf001/main.do?rcpNo=20260625000071", "공시열람")</f>
        <v/>
      </c>
    </row>
    <row r="13143">
      <c r="A13143" s="2" t="inlineStr">
        <is>
          <t>2026-06-25</t>
        </is>
      </c>
      <c r="B13143" s="3" t="inlineStr">
        <is>
          <t>대원전선</t>
        </is>
      </c>
      <c r="C13143" s="2" t="inlineStr">
        <is>
          <t>코스피</t>
        </is>
      </c>
      <c r="D13143" s="2" t="inlineStr">
        <is>
          <t>006340</t>
        </is>
      </c>
      <c r="E13143" s="3" t="inlineStr">
        <is>
          <t>임원ㆍ주요주주특정증권등소유상황보고서</t>
        </is>
      </c>
      <c r="F13143" s="3" t="inlineStr">
        <is>
          <t>갑도물산</t>
        </is>
      </c>
      <c r="G13143" s="2" t="inlineStr">
        <is>
          <t>20260625000068</t>
        </is>
      </c>
      <c r="H13143" s="8">
        <f>HYPERLINK("https://dart.fss.or.kr/dsaf001/main.do?rcpNo=20260625000068", "공시열람")</f>
        <v/>
      </c>
    </row>
    <row r="13144">
      <c r="A13144" s="2" t="inlineStr">
        <is>
          <t>2026-06-25</t>
        </is>
      </c>
      <c r="B13144" s="3" t="inlineStr">
        <is>
          <t>에이프릴바이오</t>
        </is>
      </c>
      <c r="C13144" s="2" t="inlineStr">
        <is>
          <t>코스닥</t>
        </is>
      </c>
      <c r="D13144" s="2" t="inlineStr">
        <is>
          <t>397030</t>
        </is>
      </c>
      <c r="E13144" s="3" t="inlineStr">
        <is>
          <t xml:space="preserve">조회공시요구(풍문또는보도)에대한답변(부인)              </t>
        </is>
      </c>
      <c r="F13144" s="3" t="inlineStr">
        <is>
          <t>에이프릴바이오</t>
        </is>
      </c>
      <c r="G13144" s="2" t="inlineStr">
        <is>
          <t>20260625900142</t>
        </is>
      </c>
      <c r="H13144" s="8">
        <f>HYPERLINK("https://dart.fss.or.kr/dsaf001/main.do?rcpNo=20260625900142", "공시열람")</f>
        <v/>
      </c>
    </row>
    <row r="13145">
      <c r="A13145" s="2" t="inlineStr">
        <is>
          <t>2026-06-25</t>
        </is>
      </c>
      <c r="B13145" s="3" t="inlineStr">
        <is>
          <t>더블유에스아이</t>
        </is>
      </c>
      <c r="C13145" s="2" t="inlineStr">
        <is>
          <t>코스닥</t>
        </is>
      </c>
      <c r="D13145" s="2" t="inlineStr">
        <is>
          <t>299170</t>
        </is>
      </c>
      <c r="E13145" s="3" t="inlineStr">
        <is>
          <t>임원ㆍ주요주주특정증권등소유상황보고서</t>
        </is>
      </c>
      <c r="F13145" s="3" t="inlineStr">
        <is>
          <t>안진수</t>
        </is>
      </c>
      <c r="G13145" s="2" t="inlineStr">
        <is>
          <t>20260625000060</t>
        </is>
      </c>
      <c r="H13145" s="8">
        <f>HYPERLINK("https://dart.fss.or.kr/dsaf001/main.do?rcpNo=20260625000060", "공시열람")</f>
        <v/>
      </c>
    </row>
    <row r="13146">
      <c r="A13146" s="2" t="inlineStr">
        <is>
          <t>2026-06-25</t>
        </is>
      </c>
      <c r="B13146" s="3" t="inlineStr">
        <is>
          <t>대우건설</t>
        </is>
      </c>
      <c r="C13146" s="2" t="inlineStr">
        <is>
          <t>코스피</t>
        </is>
      </c>
      <c r="D13146" s="2" t="inlineStr">
        <is>
          <t>047040</t>
        </is>
      </c>
      <c r="E13146" s="3" t="inlineStr">
        <is>
          <t xml:space="preserve">지속가능경영보고서등관련사항(자율공시)              </t>
        </is>
      </c>
      <c r="F13146" s="3" t="inlineStr">
        <is>
          <t>대우건설</t>
        </is>
      </c>
      <c r="G13146" s="2" t="inlineStr">
        <is>
          <t>20260625800140</t>
        </is>
      </c>
      <c r="H13146" s="8">
        <f>HYPERLINK("https://dart.fss.or.kr/dsaf001/main.do?rcpNo=20260625800140", "공시열람")</f>
        <v/>
      </c>
    </row>
    <row r="13147">
      <c r="A13147" s="2" t="inlineStr">
        <is>
          <t>2026-06-25</t>
        </is>
      </c>
      <c r="B13147" s="3" t="inlineStr">
        <is>
          <t>삼양홀딩스</t>
        </is>
      </c>
      <c r="C13147" s="2" t="inlineStr">
        <is>
          <t>코스피</t>
        </is>
      </c>
      <c r="D13147" s="2" t="inlineStr">
        <is>
          <t>000070</t>
        </is>
      </c>
      <c r="E13147" s="3" t="inlineStr">
        <is>
          <t xml:space="preserve">지속가능경영보고서등관련사항(자율공시)              </t>
        </is>
      </c>
      <c r="F13147" s="3" t="inlineStr">
        <is>
          <t>삼양홀딩스</t>
        </is>
      </c>
      <c r="G13147" s="2" t="inlineStr">
        <is>
          <t>20260625800134</t>
        </is>
      </c>
      <c r="H13147" s="8">
        <f>HYPERLINK("https://dart.fss.or.kr/dsaf001/main.do?rcpNo=20260625800134", "공시열람")</f>
        <v/>
      </c>
    </row>
    <row r="13148">
      <c r="A13148" s="2" t="inlineStr">
        <is>
          <t>2026-06-25</t>
        </is>
      </c>
      <c r="B13148" s="3" t="inlineStr">
        <is>
          <t>한화</t>
        </is>
      </c>
      <c r="C13148" s="2" t="inlineStr">
        <is>
          <t>코스피</t>
        </is>
      </c>
      <c r="D13148" s="2" t="inlineStr">
        <is>
          <t>000880</t>
        </is>
      </c>
      <c r="E13148" s="3" t="inlineStr">
        <is>
          <t>의결권대리행사권유참고서류</t>
        </is>
      </c>
      <c r="F13148" s="3" t="inlineStr">
        <is>
          <t>한화</t>
        </is>
      </c>
      <c r="G13148" s="2" t="inlineStr">
        <is>
          <t>20260625000046</t>
        </is>
      </c>
      <c r="H13148" s="8">
        <f>HYPERLINK("https://dart.fss.or.kr/dsaf001/main.do?rcpNo=20260625000046", "공시열람")</f>
        <v/>
      </c>
    </row>
    <row r="13149">
      <c r="A13149" s="2" t="inlineStr">
        <is>
          <t>2026-06-25</t>
        </is>
      </c>
      <c r="B13149" s="3" t="inlineStr">
        <is>
          <t>NAVER</t>
        </is>
      </c>
      <c r="C13149" s="2" t="inlineStr">
        <is>
          <t>코스피</t>
        </is>
      </c>
      <c r="D13149" s="2" t="inlineStr">
        <is>
          <t>035420</t>
        </is>
      </c>
      <c r="E13149" s="3" t="inlineStr">
        <is>
          <t xml:space="preserve">지속가능경영보고서등관련사항(자율공시)              </t>
        </is>
      </c>
      <c r="F13149" s="3" t="inlineStr">
        <is>
          <t>NAVER</t>
        </is>
      </c>
      <c r="G13149" s="2" t="inlineStr">
        <is>
          <t>20260625800114</t>
        </is>
      </c>
      <c r="H13149" s="8">
        <f>HYPERLINK("https://dart.fss.or.kr/dsaf001/main.do?rcpNo=20260625800114", "공시열람")</f>
        <v/>
      </c>
    </row>
    <row r="13150">
      <c r="A13150" s="2" t="inlineStr">
        <is>
          <t>2026-06-25</t>
        </is>
      </c>
      <c r="B13150" s="3" t="inlineStr">
        <is>
          <t>세아제강</t>
        </is>
      </c>
      <c r="C13150" s="2" t="inlineStr">
        <is>
          <t>코스피</t>
        </is>
      </c>
      <c r="D13150" s="2" t="inlineStr">
        <is>
          <t>306200</t>
        </is>
      </c>
      <c r="E13150" s="3" t="inlineStr">
        <is>
          <t>투자설명서</t>
        </is>
      </c>
      <c r="F13150" s="3" t="inlineStr">
        <is>
          <t>세아제강</t>
        </is>
      </c>
      <c r="G13150" s="2" t="inlineStr">
        <is>
          <t>20260625000015</t>
        </is>
      </c>
      <c r="H13150" s="8">
        <f>HYPERLINK("https://dart.fss.or.kr/dsaf001/main.do?rcpNo=20260625000015", "공시열람")</f>
        <v/>
      </c>
    </row>
    <row r="13151">
      <c r="A13151" s="2" t="inlineStr">
        <is>
          <t>2026-06-25</t>
        </is>
      </c>
      <c r="B13151" s="3" t="inlineStr">
        <is>
          <t>에이프릴바이오</t>
        </is>
      </c>
      <c r="C13151" s="2" t="inlineStr">
        <is>
          <t>코스닥</t>
        </is>
      </c>
      <c r="D13151" s="2" t="inlineStr">
        <is>
          <t>397030</t>
        </is>
      </c>
      <c r="E13151" s="3" t="inlineStr">
        <is>
          <t xml:space="preserve">경영권변경등에관한계약체결              </t>
        </is>
      </c>
      <c r="F13151" s="3" t="inlineStr">
        <is>
          <t>에이프릴바이오</t>
        </is>
      </c>
      <c r="G13151" s="2" t="inlineStr">
        <is>
          <t>20260625900002</t>
        </is>
      </c>
      <c r="H13151" s="8">
        <f>HYPERLINK("https://dart.fss.or.kr/dsaf001/main.do?rcpNo=20260625900002", "공시열람")</f>
        <v/>
      </c>
    </row>
    <row r="13152">
      <c r="A13152" s="2" t="inlineStr">
        <is>
          <t>2026-06-25</t>
        </is>
      </c>
      <c r="B13152" s="3" t="inlineStr">
        <is>
          <t>티케이지휴켐스</t>
        </is>
      </c>
      <c r="C13152" s="2" t="inlineStr">
        <is>
          <t>코스피</t>
        </is>
      </c>
      <c r="D13152" s="2" t="inlineStr">
        <is>
          <t>069260</t>
        </is>
      </c>
      <c r="E13152" s="3" t="inlineStr">
        <is>
          <t xml:space="preserve">타법인주식및출자증권취득결정              </t>
        </is>
      </c>
      <c r="F13152" s="3" t="inlineStr">
        <is>
          <t>티케이지휴켐스</t>
        </is>
      </c>
      <c r="G13152" s="2" t="inlineStr">
        <is>
          <t>20260625800003</t>
        </is>
      </c>
      <c r="H13152" s="8">
        <f>HYPERLINK("https://dart.fss.or.kr/dsaf001/main.do?rcpNo=20260625800003", "공시열람")</f>
        <v/>
      </c>
    </row>
    <row r="13153">
      <c r="A13153" s="2" t="inlineStr">
        <is>
          <t>2026-06-26</t>
        </is>
      </c>
      <c r="B13153" s="3" t="inlineStr">
        <is>
          <t>한울반도체</t>
        </is>
      </c>
      <c r="C13153" s="2" t="inlineStr">
        <is>
          <t>코스닥</t>
        </is>
      </c>
      <c r="D13153" s="2" t="inlineStr">
        <is>
          <t>320000</t>
        </is>
      </c>
      <c r="E13153" s="3" t="inlineStr">
        <is>
          <t>정정신고서제출요구( 2026.06.15. 제출 증권신고서(지분증권) )</t>
        </is>
      </c>
      <c r="F13153" s="3" t="inlineStr">
        <is>
          <t>금융감독원</t>
        </is>
      </c>
      <c r="G13153" s="2" t="inlineStr">
        <is>
          <t>20260626100002</t>
        </is>
      </c>
      <c r="H13153" s="8">
        <f>HYPERLINK("https://dart.fss.or.kr/dsaf001/main.do?rcpNo=20260626100002", "공시열람")</f>
        <v/>
      </c>
    </row>
    <row r="13154">
      <c r="A13154" s="2" t="inlineStr">
        <is>
          <t>2026-06-26</t>
        </is>
      </c>
      <c r="B13154" s="3" t="inlineStr">
        <is>
          <t>삼부토건</t>
        </is>
      </c>
      <c r="C13154" s="2" t="inlineStr">
        <is>
          <t>코스피</t>
        </is>
      </c>
      <c r="D13154" s="2" t="inlineStr">
        <is>
          <t>001470</t>
        </is>
      </c>
      <c r="E13154" s="3" t="inlineStr">
        <is>
          <t xml:space="preserve">회생계획인가              </t>
        </is>
      </c>
      <c r="F13154" s="3" t="inlineStr">
        <is>
          <t>삼부토건</t>
        </is>
      </c>
      <c r="G13154" s="2" t="inlineStr">
        <is>
          <t>20260626801447</t>
        </is>
      </c>
      <c r="H13154" s="8">
        <f>HYPERLINK("https://dart.fss.or.kr/dsaf001/main.do?rcpNo=20260626801447", "공시열람")</f>
        <v/>
      </c>
    </row>
    <row r="13155">
      <c r="A13155" s="2" t="inlineStr">
        <is>
          <t>2026-06-26</t>
        </is>
      </c>
      <c r="B13155" s="3" t="inlineStr">
        <is>
          <t>SK스퀘어</t>
        </is>
      </c>
      <c r="C13155" s="2" t="inlineStr">
        <is>
          <t>코스피</t>
        </is>
      </c>
      <c r="D13155" s="2" t="inlineStr">
        <is>
          <t>402340</t>
        </is>
      </c>
      <c r="E13155" s="3" t="inlineStr">
        <is>
          <t xml:space="preserve">중대재해발생(자회사의 주요경영사항)              </t>
        </is>
      </c>
      <c r="F13155" s="3" t="inlineStr">
        <is>
          <t>SK스퀘어</t>
        </is>
      </c>
      <c r="G13155" s="2" t="inlineStr">
        <is>
          <t>20260626801399</t>
        </is>
      </c>
      <c r="H13155" s="8">
        <f>HYPERLINK("https://dart.fss.or.kr/dsaf001/main.do?rcpNo=20260626801399", "공시열람")</f>
        <v/>
      </c>
    </row>
    <row r="13156">
      <c r="A13156" s="2" t="inlineStr">
        <is>
          <t>2026-06-26</t>
        </is>
      </c>
      <c r="B13156" s="3" t="inlineStr">
        <is>
          <t>기가비스</t>
        </is>
      </c>
      <c r="C13156" s="2" t="inlineStr">
        <is>
          <t>코스닥</t>
        </is>
      </c>
      <c r="D13156" s="2" t="inlineStr">
        <is>
          <t>420770</t>
        </is>
      </c>
      <c r="E13156" s="3" t="inlineStr">
        <is>
          <t>임원ㆍ주요주주특정증권등거래계획보고서</t>
        </is>
      </c>
      <c r="F13156" s="3" t="inlineStr">
        <is>
          <t>이재곤</t>
        </is>
      </c>
      <c r="G13156" s="2" t="inlineStr">
        <is>
          <t>20260626000768</t>
        </is>
      </c>
      <c r="H13156" s="8">
        <f>HYPERLINK("https://dart.fss.or.kr/dsaf001/main.do?rcpNo=20260626000768", "공시열람")</f>
        <v/>
      </c>
    </row>
    <row r="13157">
      <c r="A13157" s="2" t="inlineStr">
        <is>
          <t>2026-06-26</t>
        </is>
      </c>
      <c r="B13157" s="3" t="inlineStr">
        <is>
          <t>TP</t>
        </is>
      </c>
      <c r="C13157" s="2" t="inlineStr">
        <is>
          <t>코스피</t>
        </is>
      </c>
      <c r="D13157" s="2" t="inlineStr">
        <is>
          <t>007980</t>
        </is>
      </c>
      <c r="E13157" s="3" t="inlineStr">
        <is>
          <t>주요사항보고서(자기주식처분결정)</t>
        </is>
      </c>
      <c r="F13157" s="3" t="inlineStr">
        <is>
          <t>TP</t>
        </is>
      </c>
      <c r="G13157" s="2" t="inlineStr">
        <is>
          <t>20260626000762</t>
        </is>
      </c>
      <c r="H13157" s="8">
        <f>HYPERLINK("https://dart.fss.or.kr/dsaf001/main.do?rcpNo=20260626000762", "공시열람")</f>
        <v/>
      </c>
    </row>
    <row r="13158">
      <c r="A13158" s="2" t="inlineStr">
        <is>
          <t>2026-06-26</t>
        </is>
      </c>
      <c r="B13158" s="3" t="inlineStr">
        <is>
          <t>SK하이닉스</t>
        </is>
      </c>
      <c r="C13158" s="2" t="inlineStr">
        <is>
          <t>코스피</t>
        </is>
      </c>
      <c r="D13158" s="2" t="inlineStr">
        <is>
          <t>000660</t>
        </is>
      </c>
      <c r="E13158" s="3" t="inlineStr">
        <is>
          <t xml:space="preserve">중대재해발생              </t>
        </is>
      </c>
      <c r="F13158" s="3" t="inlineStr">
        <is>
          <t>SK하이닉스</t>
        </is>
      </c>
      <c r="G13158" s="2" t="inlineStr">
        <is>
          <t>20260626801398</t>
        </is>
      </c>
      <c r="H13158" s="8">
        <f>HYPERLINK("https://dart.fss.or.kr/dsaf001/main.do?rcpNo=20260626801398", "공시열람")</f>
        <v/>
      </c>
    </row>
    <row r="13159">
      <c r="A13159" s="2" t="inlineStr">
        <is>
          <t>2026-06-26</t>
        </is>
      </c>
      <c r="B13159" s="3" t="inlineStr">
        <is>
          <t>코리안리</t>
        </is>
      </c>
      <c r="C13159" s="2" t="inlineStr">
        <is>
          <t>코스피</t>
        </is>
      </c>
      <c r="D13159" s="2" t="inlineStr">
        <is>
          <t>003690</t>
        </is>
      </c>
      <c r="E13159" s="3" t="inlineStr">
        <is>
          <t>임원ㆍ주요주주특정증권등소유상황보고서</t>
        </is>
      </c>
      <c r="F13159" s="3" t="inlineStr">
        <is>
          <t>정우국</t>
        </is>
      </c>
      <c r="G13159" s="2" t="inlineStr">
        <is>
          <t>20260626000764</t>
        </is>
      </c>
      <c r="H13159" s="8">
        <f>HYPERLINK("https://dart.fss.or.kr/dsaf001/main.do?rcpNo=20260626000764", "공시열람")</f>
        <v/>
      </c>
    </row>
    <row r="13160">
      <c r="A13160" s="2" t="inlineStr">
        <is>
          <t>2026-06-26</t>
        </is>
      </c>
      <c r="B13160" s="3" t="inlineStr">
        <is>
          <t>파이온엑스</t>
        </is>
      </c>
      <c r="C13160" s="2" t="inlineStr">
        <is>
          <t>코스닥</t>
        </is>
      </c>
      <c r="D13160" s="2" t="inlineStr">
        <is>
          <t>900100</t>
        </is>
      </c>
      <c r="E13160" s="3" t="inlineStr">
        <is>
          <t>기타경영사항(자율공시)              (조회공시 요구(현저한 시황변동)에 대한 답변(확정))</t>
        </is>
      </c>
      <c r="F13160" s="3" t="inlineStr">
        <is>
          <t>파이온엑스</t>
        </is>
      </c>
      <c r="G13160" s="2" t="inlineStr">
        <is>
          <t>20260626901379</t>
        </is>
      </c>
      <c r="H13160" s="8">
        <f>HYPERLINK("https://dart.fss.or.kr/dsaf001/main.do?rcpNo=20260626901379", "공시열람")</f>
        <v/>
      </c>
    </row>
    <row r="13161">
      <c r="A13161" s="2" t="inlineStr">
        <is>
          <t>2026-06-26</t>
        </is>
      </c>
      <c r="B13161" s="3" t="inlineStr">
        <is>
          <t>데브시스터즈</t>
        </is>
      </c>
      <c r="C13161" s="2" t="inlineStr">
        <is>
          <t>코스닥</t>
        </is>
      </c>
      <c r="D13161" s="2" t="inlineStr">
        <is>
          <t>194480</t>
        </is>
      </c>
      <c r="E13161" s="3" t="inlineStr">
        <is>
          <t xml:space="preserve">소속부변경              </t>
        </is>
      </c>
      <c r="F13161" s="3" t="inlineStr">
        <is>
          <t>코스닥시장본부</t>
        </is>
      </c>
      <c r="G13161" s="2" t="inlineStr">
        <is>
          <t>20260626901311</t>
        </is>
      </c>
      <c r="H13161" s="8">
        <f>HYPERLINK("https://dart.fss.or.kr/dsaf001/main.do?rcpNo=20260626901311", "공시열람")</f>
        <v/>
      </c>
    </row>
    <row r="13162">
      <c r="A13162" s="2" t="inlineStr">
        <is>
          <t>2026-06-26</t>
        </is>
      </c>
      <c r="B13162" s="3" t="inlineStr">
        <is>
          <t>차바이오텍</t>
        </is>
      </c>
      <c r="C13162" s="2" t="inlineStr">
        <is>
          <t>코스닥</t>
        </is>
      </c>
      <c r="D13162" s="2" t="inlineStr">
        <is>
          <t>085660</t>
        </is>
      </c>
      <c r="E13162" s="3" t="inlineStr">
        <is>
          <t>자기교환사채만기전취득결정              (제10회차)</t>
        </is>
      </c>
      <c r="F13162" s="3" t="inlineStr">
        <is>
          <t>차바이오텍</t>
        </is>
      </c>
      <c r="G13162" s="2" t="inlineStr">
        <is>
          <t>20260626901363</t>
        </is>
      </c>
      <c r="H13162" s="8">
        <f>HYPERLINK("https://dart.fss.or.kr/dsaf001/main.do?rcpNo=20260626901363", "공시열람")</f>
        <v/>
      </c>
    </row>
    <row r="13163">
      <c r="A13163" s="2" t="inlineStr">
        <is>
          <t>2026-06-26</t>
        </is>
      </c>
      <c r="B13163" s="3" t="inlineStr">
        <is>
          <t>유진로봇</t>
        </is>
      </c>
      <c r="C13163" s="2" t="inlineStr">
        <is>
          <t>코스닥</t>
        </is>
      </c>
      <c r="D13163" s="2" t="inlineStr">
        <is>
          <t>056080</t>
        </is>
      </c>
      <c r="E13163" s="3" t="inlineStr">
        <is>
          <t>임원ㆍ주요주주특정증권등소유상황보고서</t>
        </is>
      </c>
      <c r="F13163" s="3" t="inlineStr">
        <is>
          <t>시만</t>
        </is>
      </c>
      <c r="G13163" s="2" t="inlineStr">
        <is>
          <t>20260626000760</t>
        </is>
      </c>
      <c r="H13163" s="8">
        <f>HYPERLINK("https://dart.fss.or.kr/dsaf001/main.do?rcpNo=20260626000760", "공시열람")</f>
        <v/>
      </c>
    </row>
    <row r="13164">
      <c r="A13164" s="2" t="inlineStr">
        <is>
          <t>2026-06-26</t>
        </is>
      </c>
      <c r="B13164" s="3" t="inlineStr">
        <is>
          <t>클리오</t>
        </is>
      </c>
      <c r="C13164" s="2" t="inlineStr">
        <is>
          <t>코스닥</t>
        </is>
      </c>
      <c r="D13164" s="2" t="inlineStr">
        <is>
          <t>237880</t>
        </is>
      </c>
      <c r="E13164" s="3" t="inlineStr">
        <is>
          <t>임원ㆍ주요주주특정증권등소유상황보고서</t>
        </is>
      </c>
      <c r="F13164" s="3" t="inlineStr">
        <is>
          <t>홍명하</t>
        </is>
      </c>
      <c r="G13164" s="2" t="inlineStr">
        <is>
          <t>20260626000756</t>
        </is>
      </c>
      <c r="H13164" s="8">
        <f>HYPERLINK("https://dart.fss.or.kr/dsaf001/main.do?rcpNo=20260626000756", "공시열람")</f>
        <v/>
      </c>
    </row>
    <row r="13165">
      <c r="A13165" s="2" t="inlineStr">
        <is>
          <t>2026-06-26</t>
        </is>
      </c>
      <c r="B13165" s="3" t="inlineStr">
        <is>
          <t>OCI</t>
        </is>
      </c>
      <c r="C13165" s="2" t="inlineStr">
        <is>
          <t>코스피</t>
        </is>
      </c>
      <c r="D13165" s="2" t="inlineStr">
        <is>
          <t>456040</t>
        </is>
      </c>
      <c r="E13165" s="3" t="inlineStr">
        <is>
          <t xml:space="preserve">정보보호현황(자율공시)              </t>
        </is>
      </c>
      <c r="F13165" s="3" t="inlineStr">
        <is>
          <t>OCI</t>
        </is>
      </c>
      <c r="G13165" s="2" t="inlineStr">
        <is>
          <t>20260626801370</t>
        </is>
      </c>
      <c r="H13165" s="8">
        <f>HYPERLINK("https://dart.fss.or.kr/dsaf001/main.do?rcpNo=20260626801370", "공시열람")</f>
        <v/>
      </c>
    </row>
    <row r="13166">
      <c r="A13166" s="2" t="inlineStr">
        <is>
          <t>2026-06-26 (정정: 2026-06-26)</t>
        </is>
      </c>
      <c r="B13166" s="3" t="inlineStr">
        <is>
          <t>휴림에이텍</t>
        </is>
      </c>
      <c r="C13166" s="2" t="inlineStr">
        <is>
          <t>코스닥</t>
        </is>
      </c>
      <c r="D13166" s="2" t="inlineStr">
        <is>
          <t>078590</t>
        </is>
      </c>
      <c r="E13166" s="3" t="inlineStr">
        <is>
          <t>임원ㆍ주요주주특정증권등거래계획철회보고서 (정정: 20260626)</t>
        </is>
      </c>
      <c r="F13166" s="3" t="inlineStr">
        <is>
          <t>휴림로봇</t>
        </is>
      </c>
      <c r="G13166" s="2" t="inlineStr">
        <is>
          <t>20260626000746</t>
        </is>
      </c>
      <c r="H13166" s="8">
        <f>HYPERLINK("https://dart.fss.or.kr/dsaf001/main.do?rcpNo=20260626000746", "공시열람")</f>
        <v/>
      </c>
    </row>
    <row r="13167">
      <c r="A13167" s="2" t="inlineStr">
        <is>
          <t>2026-06-26</t>
        </is>
      </c>
      <c r="B13167" s="3" t="inlineStr">
        <is>
          <t>삼부토건</t>
        </is>
      </c>
      <c r="C13167" s="2" t="inlineStr">
        <is>
          <t>코스피</t>
        </is>
      </c>
      <c r="D13167" s="2" t="inlineStr">
        <is>
          <t>001470</t>
        </is>
      </c>
      <c r="E13167" s="3" t="inlineStr">
        <is>
          <t xml:space="preserve">투자판단관련주요경영사항              </t>
        </is>
      </c>
      <c r="F13167" s="3" t="inlineStr">
        <is>
          <t>삼부토건</t>
        </is>
      </c>
      <c r="G13167" s="2" t="inlineStr">
        <is>
          <t>20260626801353</t>
        </is>
      </c>
      <c r="H13167" s="8">
        <f>HYPERLINK("https://dart.fss.or.kr/dsaf001/main.do?rcpNo=20260626801353", "공시열람")</f>
        <v/>
      </c>
    </row>
    <row r="13168">
      <c r="A13168" s="2" t="inlineStr">
        <is>
          <t>2026-06-26</t>
        </is>
      </c>
      <c r="B13168" s="3" t="inlineStr">
        <is>
          <t>셀트리온</t>
        </is>
      </c>
      <c r="C13168" s="2" t="inlineStr">
        <is>
          <t>코스피</t>
        </is>
      </c>
      <c r="D13168" s="2" t="inlineStr">
        <is>
          <t>068270</t>
        </is>
      </c>
      <c r="E13168" s="3" t="inlineStr">
        <is>
          <t>투자판단관련주요경영사항              (CTP55(코센틱스 바이오시밀러) 한국 품목허가 신청)</t>
        </is>
      </c>
      <c r="F13168" s="3" t="inlineStr">
        <is>
          <t>셀트리온</t>
        </is>
      </c>
      <c r="G13168" s="2" t="inlineStr">
        <is>
          <t>20260626801203</t>
        </is>
      </c>
      <c r="H13168" s="8">
        <f>HYPERLINK("https://dart.fss.or.kr/dsaf001/main.do?rcpNo=20260626801203", "공시열람")</f>
        <v/>
      </c>
    </row>
    <row r="13169">
      <c r="A13169" s="2" t="inlineStr">
        <is>
          <t>2026-06-26</t>
        </is>
      </c>
      <c r="B13169" s="3" t="inlineStr">
        <is>
          <t>사조씨푸드</t>
        </is>
      </c>
      <c r="C13169" s="2" t="inlineStr">
        <is>
          <t>코스피</t>
        </is>
      </c>
      <c r="D13169" s="2" t="inlineStr">
        <is>
          <t>014710</t>
        </is>
      </c>
      <c r="E13169" s="3" t="inlineStr">
        <is>
          <t>동일인등출자계열회사와의상품ㆍ용역거래</t>
        </is>
      </c>
      <c r="F13169" s="3" t="inlineStr">
        <is>
          <t>사조씨푸드</t>
        </is>
      </c>
      <c r="G13169" s="2" t="inlineStr">
        <is>
          <t>20260626000748</t>
        </is>
      </c>
      <c r="H13169" s="8">
        <f>HYPERLINK("https://dart.fss.or.kr/dsaf001/main.do?rcpNo=20260626000748", "공시열람")</f>
        <v/>
      </c>
    </row>
    <row r="13170">
      <c r="A13170" s="2" t="inlineStr">
        <is>
          <t>2026-06-26</t>
        </is>
      </c>
      <c r="B13170" s="3" t="inlineStr">
        <is>
          <t>차바이오텍</t>
        </is>
      </c>
      <c r="C13170" s="2" t="inlineStr">
        <is>
          <t>코스닥</t>
        </is>
      </c>
      <c r="D13170" s="2" t="inlineStr">
        <is>
          <t>085660</t>
        </is>
      </c>
      <c r="E13170" s="3" t="inlineStr">
        <is>
          <t xml:space="preserve">타법인주식및출자증권취득결정              </t>
        </is>
      </c>
      <c r="F13170" s="3" t="inlineStr">
        <is>
          <t>차바이오텍</t>
        </is>
      </c>
      <c r="G13170" s="2" t="inlineStr">
        <is>
          <t>20260626901125</t>
        </is>
      </c>
      <c r="H13170" s="8">
        <f>HYPERLINK("https://dart.fss.or.kr/dsaf001/main.do?rcpNo=20260626901125", "공시열람")</f>
        <v/>
      </c>
    </row>
    <row r="13171">
      <c r="A13171" s="2" t="inlineStr">
        <is>
          <t>2026-06-26</t>
        </is>
      </c>
      <c r="B13171" s="3" t="inlineStr">
        <is>
          <t>하림지주</t>
        </is>
      </c>
      <c r="C13171" s="2" t="inlineStr">
        <is>
          <t>코스닥</t>
        </is>
      </c>
      <c r="D13171" s="2" t="inlineStr">
        <is>
          <t>003380</t>
        </is>
      </c>
      <c r="E13171" s="3" t="inlineStr">
        <is>
          <t>임원ㆍ주요주주특정증권등소유상황보고서</t>
        </is>
      </c>
      <c r="F13171" s="3" t="inlineStr">
        <is>
          <t>권지은</t>
        </is>
      </c>
      <c r="G13171" s="2" t="inlineStr">
        <is>
          <t>20260626000745</t>
        </is>
      </c>
      <c r="H13171" s="8">
        <f>HYPERLINK("https://dart.fss.or.kr/dsaf001/main.do?rcpNo=20260626000745", "공시열람")</f>
        <v/>
      </c>
    </row>
    <row r="13172">
      <c r="A13172" s="2" t="inlineStr">
        <is>
          <t>2026-06-26</t>
        </is>
      </c>
      <c r="B13172" s="3" t="inlineStr">
        <is>
          <t>싸이토젠</t>
        </is>
      </c>
      <c r="C13172" s="2" t="inlineStr">
        <is>
          <t>코스닥</t>
        </is>
      </c>
      <c r="D13172" s="2" t="inlineStr">
        <is>
          <t>217330</t>
        </is>
      </c>
      <c r="E13172" s="3" t="inlineStr">
        <is>
          <t>임원ㆍ주요주주특정증권등소유상황보고서</t>
        </is>
      </c>
      <c r="F13172" s="3" t="inlineStr">
        <is>
          <t>전병희</t>
        </is>
      </c>
      <c r="G13172" s="2" t="inlineStr">
        <is>
          <t>20260626000742</t>
        </is>
      </c>
      <c r="H13172" s="8">
        <f>HYPERLINK("https://dart.fss.or.kr/dsaf001/main.do?rcpNo=20260626000742", "공시열람")</f>
        <v/>
      </c>
    </row>
    <row r="13173">
      <c r="A13173" s="2" t="inlineStr">
        <is>
          <t>2026-06-26</t>
        </is>
      </c>
      <c r="B13173" s="3" t="inlineStr">
        <is>
          <t>한화투자증권</t>
        </is>
      </c>
      <c r="C13173" s="2" t="inlineStr">
        <is>
          <t>코스피</t>
        </is>
      </c>
      <c r="D13173" s="2" t="inlineStr">
        <is>
          <t>003530</t>
        </is>
      </c>
      <c r="E13173" s="3" t="inlineStr">
        <is>
          <t>증권발행실적보고서</t>
        </is>
      </c>
      <c r="F13173" s="3" t="inlineStr">
        <is>
          <t>한화투자증권</t>
        </is>
      </c>
      <c r="G13173" s="2" t="inlineStr">
        <is>
          <t>20260626000741</t>
        </is>
      </c>
      <c r="H13173" s="8">
        <f>HYPERLINK("https://dart.fss.or.kr/dsaf001/main.do?rcpNo=20260626000741", "공시열람")</f>
        <v/>
      </c>
    </row>
    <row r="13174">
      <c r="A13174" s="2" t="inlineStr">
        <is>
          <t>2026-06-26</t>
        </is>
      </c>
      <c r="B13174" s="3" t="inlineStr">
        <is>
          <t>삼성증권</t>
        </is>
      </c>
      <c r="C13174" s="2" t="inlineStr">
        <is>
          <t>코스피</t>
        </is>
      </c>
      <c r="D13174" s="2" t="inlineStr">
        <is>
          <t>016360</t>
        </is>
      </c>
      <c r="E13174" s="3" t="inlineStr">
        <is>
          <t>투자설명서(일괄신고)</t>
        </is>
      </c>
      <c r="F13174" s="3" t="inlineStr">
        <is>
          <t>삼성증권</t>
        </is>
      </c>
      <c r="G13174" s="2" t="inlineStr">
        <is>
          <t>20260626000739</t>
        </is>
      </c>
      <c r="H13174" s="8">
        <f>HYPERLINK("https://dart.fss.or.kr/dsaf001/main.do?rcpNo=20260626000739", "공시열람")</f>
        <v/>
      </c>
    </row>
    <row r="13175">
      <c r="A13175" s="2" t="inlineStr">
        <is>
          <t>2026-06-26</t>
        </is>
      </c>
      <c r="B13175" s="3" t="inlineStr">
        <is>
          <t>미래에셋생명</t>
        </is>
      </c>
      <c r="C13175" s="2" t="inlineStr">
        <is>
          <t>코스피</t>
        </is>
      </c>
      <c r="D13175" s="2" t="inlineStr">
        <is>
          <t>085620</t>
        </is>
      </c>
      <c r="E13175" s="3" t="inlineStr">
        <is>
          <t>[기재정정]특수관계인과의수익증권거래</t>
        </is>
      </c>
      <c r="F13175" s="3" t="inlineStr">
        <is>
          <t>미래에셋생명</t>
        </is>
      </c>
      <c r="G13175" s="2" t="inlineStr">
        <is>
          <t>20260626000738</t>
        </is>
      </c>
      <c r="H13175" s="8">
        <f>HYPERLINK("https://dart.fss.or.kr/dsaf001/main.do?rcpNo=20260626000738", "공시열람")</f>
        <v/>
      </c>
    </row>
    <row r="13176">
      <c r="A13176" s="2" t="inlineStr">
        <is>
          <t>2026-06-26</t>
        </is>
      </c>
      <c r="B13176" s="3" t="inlineStr">
        <is>
          <t>웰크론한텍</t>
        </is>
      </c>
      <c r="C13176" s="2" t="inlineStr">
        <is>
          <t>코스닥</t>
        </is>
      </c>
      <c r="D13176" s="2" t="inlineStr">
        <is>
          <t>076080</t>
        </is>
      </c>
      <c r="E13176" s="3" t="inlineStr">
        <is>
          <t>임원ㆍ주요주주특정증권등소유상황보고서</t>
        </is>
      </c>
      <c r="F13176" s="3" t="inlineStr">
        <is>
          <t>이영규</t>
        </is>
      </c>
      <c r="G13176" s="2" t="inlineStr">
        <is>
          <t>20260626000736</t>
        </is>
      </c>
      <c r="H13176" s="8">
        <f>HYPERLINK("https://dart.fss.or.kr/dsaf001/main.do?rcpNo=20260626000736", "공시열람")</f>
        <v/>
      </c>
    </row>
    <row r="13177">
      <c r="A13177" s="2" t="inlineStr">
        <is>
          <t>2026-06-26</t>
        </is>
      </c>
      <c r="B13177" s="3" t="inlineStr">
        <is>
          <t>삼립</t>
        </is>
      </c>
      <c r="C13177" s="2" t="inlineStr">
        <is>
          <t>코스피</t>
        </is>
      </c>
      <c r="D13177" s="2" t="inlineStr">
        <is>
          <t>005610</t>
        </is>
      </c>
      <c r="E13177" s="3" t="inlineStr">
        <is>
          <t xml:space="preserve">중대재해발생              </t>
        </is>
      </c>
      <c r="F13177" s="3" t="inlineStr">
        <is>
          <t>삼립</t>
        </is>
      </c>
      <c r="G13177" s="2" t="inlineStr">
        <is>
          <t>20260626801169</t>
        </is>
      </c>
      <c r="H13177" s="8">
        <f>HYPERLINK("https://dart.fss.or.kr/dsaf001/main.do?rcpNo=20260626801169", "공시열람")</f>
        <v/>
      </c>
    </row>
    <row r="13178">
      <c r="A13178" s="2" t="inlineStr">
        <is>
          <t>2026-06-26</t>
        </is>
      </c>
      <c r="B13178" s="3" t="inlineStr">
        <is>
          <t>삼성증권</t>
        </is>
      </c>
      <c r="C13178" s="2" t="inlineStr">
        <is>
          <t>코스피</t>
        </is>
      </c>
      <c r="D13178" s="2" t="inlineStr">
        <is>
          <t>016360</t>
        </is>
      </c>
      <c r="E13178" s="3" t="inlineStr">
        <is>
          <t>일괄신고추가서류(기타파생결합증권)</t>
        </is>
      </c>
      <c r="F13178" s="3" t="inlineStr">
        <is>
          <t>삼성증권</t>
        </is>
      </c>
      <c r="G13178" s="2" t="inlineStr">
        <is>
          <t>20260626000733</t>
        </is>
      </c>
      <c r="H13178" s="8">
        <f>HYPERLINK("https://dart.fss.or.kr/dsaf001/main.do?rcpNo=20260626000733", "공시열람")</f>
        <v/>
      </c>
    </row>
    <row r="13179">
      <c r="A13179" s="2" t="inlineStr">
        <is>
          <t>2026-06-26</t>
        </is>
      </c>
      <c r="B13179" s="3" t="inlineStr">
        <is>
          <t>현대건설</t>
        </is>
      </c>
      <c r="C13179" s="2" t="inlineStr">
        <is>
          <t>코스피</t>
        </is>
      </c>
      <c r="D13179" s="2" t="inlineStr">
        <is>
          <t>000720</t>
        </is>
      </c>
      <c r="E13179" s="3" t="inlineStr">
        <is>
          <t xml:space="preserve">중대재해발생              </t>
        </is>
      </c>
      <c r="F13179" s="3" t="inlineStr">
        <is>
          <t>현대건설</t>
        </is>
      </c>
      <c r="G13179" s="2" t="inlineStr">
        <is>
          <t>20260626801149</t>
        </is>
      </c>
      <c r="H13179" s="8">
        <f>HYPERLINK("https://dart.fss.or.kr/dsaf001/main.do?rcpNo=20260626801149", "공시열람")</f>
        <v/>
      </c>
    </row>
    <row r="13180">
      <c r="A13180" s="2" t="inlineStr">
        <is>
          <t>2026-06-26</t>
        </is>
      </c>
      <c r="B13180" s="3" t="inlineStr">
        <is>
          <t>풀무원</t>
        </is>
      </c>
      <c r="C13180" s="2" t="inlineStr">
        <is>
          <t>코스피</t>
        </is>
      </c>
      <c r="D13180" s="2" t="inlineStr">
        <is>
          <t>017810</t>
        </is>
      </c>
      <c r="E13180" s="3" t="inlineStr">
        <is>
          <t xml:space="preserve">기타경영사항(종속회사의주요경영사항)              </t>
        </is>
      </c>
      <c r="F13180" s="3" t="inlineStr">
        <is>
          <t>풀무원</t>
        </is>
      </c>
      <c r="G13180" s="2" t="inlineStr">
        <is>
          <t>20260626801105</t>
        </is>
      </c>
      <c r="H13180" s="8">
        <f>HYPERLINK("https://dart.fss.or.kr/dsaf001/main.do?rcpNo=20260626801105", "공시열람")</f>
        <v/>
      </c>
    </row>
    <row r="13181">
      <c r="A13181" s="2" t="inlineStr">
        <is>
          <t>2026-06-26</t>
        </is>
      </c>
      <c r="B13181" s="3" t="inlineStr">
        <is>
          <t>한화투자증권</t>
        </is>
      </c>
      <c r="C13181" s="2" t="inlineStr">
        <is>
          <t>코스피</t>
        </is>
      </c>
      <c r="D13181" s="2" t="inlineStr">
        <is>
          <t>003530</t>
        </is>
      </c>
      <c r="E13181" s="3" t="inlineStr">
        <is>
          <t>증권발행실적보고서</t>
        </is>
      </c>
      <c r="F13181" s="3" t="inlineStr">
        <is>
          <t>한화투자증권</t>
        </is>
      </c>
      <c r="G13181" s="2" t="inlineStr">
        <is>
          <t>20260626000730</t>
        </is>
      </c>
      <c r="H13181" s="8">
        <f>HYPERLINK("https://dart.fss.or.kr/dsaf001/main.do?rcpNo=20260626000730", "공시열람")</f>
        <v/>
      </c>
    </row>
    <row r="13182">
      <c r="A13182" s="2" t="inlineStr">
        <is>
          <t>2026-06-26</t>
        </is>
      </c>
      <c r="B13182" s="3" t="inlineStr">
        <is>
          <t>웰크론</t>
        </is>
      </c>
      <c r="C13182" s="2" t="inlineStr">
        <is>
          <t>코스닥</t>
        </is>
      </c>
      <c r="D13182" s="2" t="inlineStr">
        <is>
          <t>065950</t>
        </is>
      </c>
      <c r="E13182" s="3" t="inlineStr">
        <is>
          <t>임원ㆍ주요주주특정증권등소유상황보고서</t>
        </is>
      </c>
      <c r="F13182" s="3" t="inlineStr">
        <is>
          <t>웰크론헬스케어</t>
        </is>
      </c>
      <c r="G13182" s="2" t="inlineStr">
        <is>
          <t>20260626000729</t>
        </is>
      </c>
      <c r="H13182" s="8">
        <f>HYPERLINK("https://dart.fss.or.kr/dsaf001/main.do?rcpNo=20260626000729", "공시열람")</f>
        <v/>
      </c>
    </row>
    <row r="13183">
      <c r="A13183" s="2" t="inlineStr">
        <is>
          <t>2026-06-26</t>
        </is>
      </c>
      <c r="B13183" s="3" t="inlineStr">
        <is>
          <t>한화투자증권</t>
        </is>
      </c>
      <c r="C13183" s="2" t="inlineStr">
        <is>
          <t>코스피</t>
        </is>
      </c>
      <c r="D13183" s="2" t="inlineStr">
        <is>
          <t>003530</t>
        </is>
      </c>
      <c r="E13183" s="3" t="inlineStr">
        <is>
          <t>투자설명서(일괄신고)</t>
        </is>
      </c>
      <c r="F13183" s="3" t="inlineStr">
        <is>
          <t>한화투자증권</t>
        </is>
      </c>
      <c r="G13183" s="2" t="inlineStr">
        <is>
          <t>20260626000727</t>
        </is>
      </c>
      <c r="H13183" s="8">
        <f>HYPERLINK("https://dart.fss.or.kr/dsaf001/main.do?rcpNo=20260626000727", "공시열람")</f>
        <v/>
      </c>
    </row>
    <row r="13184">
      <c r="A13184" s="2" t="inlineStr">
        <is>
          <t>2026-06-26</t>
        </is>
      </c>
      <c r="B13184" s="3" t="inlineStr">
        <is>
          <t>삼성물산</t>
        </is>
      </c>
      <c r="C13184" s="2" t="inlineStr">
        <is>
          <t>코스피</t>
        </is>
      </c>
      <c r="D13184" s="2" t="inlineStr">
        <is>
          <t>028260</t>
        </is>
      </c>
      <c r="E13184" s="3" t="inlineStr">
        <is>
          <t>특수관계인으로부터부동산매수</t>
        </is>
      </c>
      <c r="F13184" s="3" t="inlineStr">
        <is>
          <t>삼성물산</t>
        </is>
      </c>
      <c r="G13184" s="2" t="inlineStr">
        <is>
          <t>20260626000726</t>
        </is>
      </c>
      <c r="H13184" s="8">
        <f>HYPERLINK("https://dart.fss.or.kr/dsaf001/main.do?rcpNo=20260626000726", "공시열람")</f>
        <v/>
      </c>
    </row>
    <row r="13185">
      <c r="A13185" s="2" t="inlineStr">
        <is>
          <t>2026-06-26</t>
        </is>
      </c>
      <c r="B13185" s="3" t="inlineStr">
        <is>
          <t>휴온스</t>
        </is>
      </c>
      <c r="C13185" s="2" t="inlineStr">
        <is>
          <t>코스닥</t>
        </is>
      </c>
      <c r="D13185" s="2" t="inlineStr">
        <is>
          <t>243070</t>
        </is>
      </c>
      <c r="E13185" s="3" t="inlineStr">
        <is>
          <t>합병등종료보고서(합병)</t>
        </is>
      </c>
      <c r="F13185" s="3" t="inlineStr">
        <is>
          <t>휴온스</t>
        </is>
      </c>
      <c r="G13185" s="2" t="inlineStr">
        <is>
          <t>20260626000722</t>
        </is>
      </c>
      <c r="H13185" s="8">
        <f>HYPERLINK("https://dart.fss.or.kr/dsaf001/main.do?rcpNo=20260626000722", "공시열람")</f>
        <v/>
      </c>
    </row>
    <row r="13186">
      <c r="A13186" s="2" t="inlineStr">
        <is>
          <t>2026-06-26</t>
        </is>
      </c>
      <c r="B13186" s="3" t="inlineStr">
        <is>
          <t>한화갤러리아</t>
        </is>
      </c>
      <c r="C13186" s="2" t="inlineStr">
        <is>
          <t>코스피</t>
        </is>
      </c>
      <c r="D13186" s="2" t="inlineStr">
        <is>
          <t>452260</t>
        </is>
      </c>
      <c r="E13186" s="3" t="inlineStr">
        <is>
          <t>특수관계인에대한자금대여</t>
        </is>
      </c>
      <c r="F13186" s="3" t="inlineStr">
        <is>
          <t>한화갤러리아</t>
        </is>
      </c>
      <c r="G13186" s="2" t="inlineStr">
        <is>
          <t>20260626000721</t>
        </is>
      </c>
      <c r="H13186" s="8">
        <f>HYPERLINK("https://dart.fss.or.kr/dsaf001/main.do?rcpNo=20260626000721", "공시열람")</f>
        <v/>
      </c>
    </row>
    <row r="13187">
      <c r="A13187" s="2" t="inlineStr">
        <is>
          <t>2026-06-26</t>
        </is>
      </c>
      <c r="B13187" s="3" t="inlineStr">
        <is>
          <t>한화투자증권</t>
        </is>
      </c>
      <c r="C13187" s="2" t="inlineStr">
        <is>
          <t>코스피</t>
        </is>
      </c>
      <c r="D13187" s="2" t="inlineStr">
        <is>
          <t>003530</t>
        </is>
      </c>
      <c r="E13187" s="3" t="inlineStr">
        <is>
          <t>일괄신고추가서류(파생결합증권-주가연계증권)</t>
        </is>
      </c>
      <c r="F13187" s="3" t="inlineStr">
        <is>
          <t>한화투자증권</t>
        </is>
      </c>
      <c r="G13187" s="2" t="inlineStr">
        <is>
          <t>20260626000718</t>
        </is>
      </c>
      <c r="H13187" s="8">
        <f>HYPERLINK("https://dart.fss.or.kr/dsaf001/main.do?rcpNo=20260626000718", "공시열람")</f>
        <v/>
      </c>
    </row>
    <row r="13188">
      <c r="A13188" s="2" t="inlineStr">
        <is>
          <t>2026-06-26</t>
        </is>
      </c>
      <c r="B13188" s="3" t="inlineStr">
        <is>
          <t>대신증권</t>
        </is>
      </c>
      <c r="C13188" s="2" t="inlineStr">
        <is>
          <t>코스피</t>
        </is>
      </c>
      <c r="D13188" s="2" t="inlineStr">
        <is>
          <t>003540</t>
        </is>
      </c>
      <c r="E13188" s="3" t="inlineStr">
        <is>
          <t>주요사항보고서(자본으로인정되는채무증권발행결정)</t>
        </is>
      </c>
      <c r="F13188" s="3" t="inlineStr">
        <is>
          <t>대신증권</t>
        </is>
      </c>
      <c r="G13188" s="2" t="inlineStr">
        <is>
          <t>20260626000717</t>
        </is>
      </c>
      <c r="H13188" s="8">
        <f>HYPERLINK("https://dart.fss.or.kr/dsaf001/main.do?rcpNo=20260626000717", "공시열람")</f>
        <v/>
      </c>
    </row>
    <row r="13189">
      <c r="A13189" s="2" t="inlineStr">
        <is>
          <t>2026-06-26</t>
        </is>
      </c>
      <c r="B13189" s="3" t="inlineStr">
        <is>
          <t>한화투자증권</t>
        </is>
      </c>
      <c r="C13189" s="2" t="inlineStr">
        <is>
          <t>코스피</t>
        </is>
      </c>
      <c r="D13189" s="2" t="inlineStr">
        <is>
          <t>003530</t>
        </is>
      </c>
      <c r="E13189" s="3" t="inlineStr">
        <is>
          <t>증권발행실적보고서</t>
        </is>
      </c>
      <c r="F13189" s="3" t="inlineStr">
        <is>
          <t>한화투자증권</t>
        </is>
      </c>
      <c r="G13189" s="2" t="inlineStr">
        <is>
          <t>20260626000713</t>
        </is>
      </c>
      <c r="H13189" s="8">
        <f>HYPERLINK("https://dart.fss.or.kr/dsaf001/main.do?rcpNo=20260626000713", "공시열람")</f>
        <v/>
      </c>
    </row>
    <row r="13190">
      <c r="A13190" s="2" t="inlineStr">
        <is>
          <t>2026-06-26</t>
        </is>
      </c>
      <c r="B13190" s="3" t="inlineStr">
        <is>
          <t>셀리드</t>
        </is>
      </c>
      <c r="C13190" s="2" t="inlineStr">
        <is>
          <t>코스닥</t>
        </is>
      </c>
      <c r="D13190" s="2" t="inlineStr">
        <is>
          <t>299660</t>
        </is>
      </c>
      <c r="E13190" s="3" t="inlineStr">
        <is>
          <t>투자판단관련주요경영사항(임상시험결과)              (COVID-19 예방 백신 AdCLD-CoV19-1 OMI의 제3상 임상시험 결과)</t>
        </is>
      </c>
      <c r="F13190" s="3" t="inlineStr">
        <is>
          <t>셀리드</t>
        </is>
      </c>
      <c r="G13190" s="2" t="inlineStr">
        <is>
          <t>20260626901072</t>
        </is>
      </c>
      <c r="H13190" s="8">
        <f>HYPERLINK("https://dart.fss.or.kr/dsaf001/main.do?rcpNo=20260626901072", "공시열람")</f>
        <v/>
      </c>
    </row>
    <row r="13191">
      <c r="A13191" s="2" t="inlineStr">
        <is>
          <t>2026-06-26</t>
        </is>
      </c>
      <c r="B13191" s="3" t="inlineStr">
        <is>
          <t>한화투자증권</t>
        </is>
      </c>
      <c r="C13191" s="2" t="inlineStr">
        <is>
          <t>코스피</t>
        </is>
      </c>
      <c r="D13191" s="2" t="inlineStr">
        <is>
          <t>003530</t>
        </is>
      </c>
      <c r="E13191" s="3" t="inlineStr">
        <is>
          <t>증권발행실적보고서</t>
        </is>
      </c>
      <c r="F13191" s="3" t="inlineStr">
        <is>
          <t>한화투자증권</t>
        </is>
      </c>
      <c r="G13191" s="2" t="inlineStr">
        <is>
          <t>20260626000706</t>
        </is>
      </c>
      <c r="H13191" s="8">
        <f>HYPERLINK("https://dart.fss.or.kr/dsaf001/main.do?rcpNo=20260626000706", "공시열람")</f>
        <v/>
      </c>
    </row>
    <row r="13192">
      <c r="A13192" s="2" t="inlineStr">
        <is>
          <t>2026-06-26</t>
        </is>
      </c>
      <c r="B13192" s="3" t="inlineStr">
        <is>
          <t>에이텍</t>
        </is>
      </c>
      <c r="C13192" s="2" t="inlineStr">
        <is>
          <t>코스닥</t>
        </is>
      </c>
      <c r="D13192" s="2" t="inlineStr">
        <is>
          <t>045660</t>
        </is>
      </c>
      <c r="E13192" s="3" t="inlineStr">
        <is>
          <t>임원ㆍ주요주주특정증권등거래계획보고서</t>
        </is>
      </c>
      <c r="F13192" s="3" t="inlineStr">
        <is>
          <t>신승영</t>
        </is>
      </c>
      <c r="G13192" s="2" t="inlineStr">
        <is>
          <t>20260626000705</t>
        </is>
      </c>
      <c r="H13192" s="8">
        <f>HYPERLINK("https://dart.fss.or.kr/dsaf001/main.do?rcpNo=20260626000705", "공시열람")</f>
        <v/>
      </c>
    </row>
    <row r="13193">
      <c r="A13193" s="2" t="inlineStr">
        <is>
          <t>2026-06-26</t>
        </is>
      </c>
      <c r="B13193" s="3" t="inlineStr">
        <is>
          <t>SK디앤디</t>
        </is>
      </c>
      <c r="C13193" s="2" t="inlineStr">
        <is>
          <t>코스피</t>
        </is>
      </c>
      <c r="D13193" s="2" t="inlineStr">
        <is>
          <t>210980</t>
        </is>
      </c>
      <c r="E13193" s="3" t="inlineStr">
        <is>
          <t>특수관계인에대한담보제공</t>
        </is>
      </c>
      <c r="F13193" s="3" t="inlineStr">
        <is>
          <t>SK디앤디</t>
        </is>
      </c>
      <c r="G13193" s="2" t="inlineStr">
        <is>
          <t>20260626000704</t>
        </is>
      </c>
      <c r="H13193" s="8">
        <f>HYPERLINK("https://dart.fss.or.kr/dsaf001/main.do?rcpNo=20260626000704", "공시열람")</f>
        <v/>
      </c>
    </row>
    <row r="13194">
      <c r="A13194" s="2" t="inlineStr">
        <is>
          <t>2026-06-26</t>
        </is>
      </c>
      <c r="B13194" s="3" t="inlineStr">
        <is>
          <t>코오롱글로벌</t>
        </is>
      </c>
      <c r="C13194" s="2" t="inlineStr">
        <is>
          <t>코스피</t>
        </is>
      </c>
      <c r="D13194" s="2" t="inlineStr">
        <is>
          <t>003070</t>
        </is>
      </c>
      <c r="E13194" s="3" t="inlineStr">
        <is>
          <t xml:space="preserve">풍문또는보도에대한해명(미확정)              </t>
        </is>
      </c>
      <c r="F13194" s="3" t="inlineStr">
        <is>
          <t>코오롱글로벌</t>
        </is>
      </c>
      <c r="G13194" s="2" t="inlineStr">
        <is>
          <t>20260626801063</t>
        </is>
      </c>
      <c r="H13194" s="8">
        <f>HYPERLINK("https://dart.fss.or.kr/dsaf001/main.do?rcpNo=20260626801063", "공시열람")</f>
        <v/>
      </c>
    </row>
    <row r="13195">
      <c r="A13195" s="2" t="inlineStr">
        <is>
          <t>2026-06-26</t>
        </is>
      </c>
      <c r="B13195" s="3" t="inlineStr">
        <is>
          <t>에이텍</t>
        </is>
      </c>
      <c r="C13195" s="2" t="inlineStr">
        <is>
          <t>코스닥</t>
        </is>
      </c>
      <c r="D13195" s="2" t="inlineStr">
        <is>
          <t>045660</t>
        </is>
      </c>
      <c r="E13195" s="3" t="inlineStr">
        <is>
          <t>임원ㆍ주요주주특정증권등소유상황보고서</t>
        </is>
      </c>
      <c r="F13195" s="3" t="inlineStr">
        <is>
          <t>신승영</t>
        </is>
      </c>
      <c r="G13195" s="2" t="inlineStr">
        <is>
          <t>20260626000702</t>
        </is>
      </c>
      <c r="H13195" s="8">
        <f>HYPERLINK("https://dart.fss.or.kr/dsaf001/main.do?rcpNo=20260626000702", "공시열람")</f>
        <v/>
      </c>
    </row>
    <row r="13196">
      <c r="A13196" s="2" t="inlineStr">
        <is>
          <t>2026-06-26</t>
        </is>
      </c>
      <c r="B13196" s="3" t="inlineStr">
        <is>
          <t>에이플러스에셋</t>
        </is>
      </c>
      <c r="C13196" s="2" t="inlineStr">
        <is>
          <t>코스피</t>
        </is>
      </c>
      <c r="D13196" s="2" t="inlineStr">
        <is>
          <t>244920</t>
        </is>
      </c>
      <c r="E13196" s="3" t="inlineStr">
        <is>
          <t>임원ㆍ주요주주특정증권등소유상황보고서</t>
        </is>
      </c>
      <c r="F13196" s="3" t="inlineStr">
        <is>
          <t>김송희</t>
        </is>
      </c>
      <c r="G13196" s="2" t="inlineStr">
        <is>
          <t>20260626000700</t>
        </is>
      </c>
      <c r="H13196" s="8">
        <f>HYPERLINK("https://dart.fss.or.kr/dsaf001/main.do?rcpNo=20260626000700", "공시열람")</f>
        <v/>
      </c>
    </row>
    <row r="13197">
      <c r="A13197" s="2" t="inlineStr">
        <is>
          <t>2026-06-26</t>
        </is>
      </c>
      <c r="B13197" s="3" t="inlineStr">
        <is>
          <t>유안타증권</t>
        </is>
      </c>
      <c r="C13197" s="2" t="inlineStr">
        <is>
          <t>코스피</t>
        </is>
      </c>
      <c r="D13197" s="2" t="inlineStr">
        <is>
          <t>003470</t>
        </is>
      </c>
      <c r="E13197" s="3" t="inlineStr">
        <is>
          <t>임원ㆍ주요주주특정증권등소유상황보고서</t>
        </is>
      </c>
      <c r="F13197" s="3" t="inlineStr">
        <is>
          <t>유안타씨큐리티즈아시아파이낸셜서비시스프라이빗리미티드</t>
        </is>
      </c>
      <c r="G13197" s="2" t="inlineStr">
        <is>
          <t>20260626000699</t>
        </is>
      </c>
      <c r="H13197" s="8">
        <f>HYPERLINK("https://dart.fss.or.kr/dsaf001/main.do?rcpNo=20260626000699", "공시열람")</f>
        <v/>
      </c>
    </row>
    <row r="13198">
      <c r="A13198" s="2" t="inlineStr">
        <is>
          <t>2026-06-26</t>
        </is>
      </c>
      <c r="B13198" s="3" t="inlineStr">
        <is>
          <t>성호전자</t>
        </is>
      </c>
      <c r="C13198" s="2" t="inlineStr">
        <is>
          <t>코스닥</t>
        </is>
      </c>
      <c r="D13198" s="2" t="inlineStr">
        <is>
          <t>043260</t>
        </is>
      </c>
      <c r="E13198" s="3" t="inlineStr">
        <is>
          <t>기타경영사항(자율공시)              (제14회차 신주인수권부사채 만기전 취득 후 재매각)</t>
        </is>
      </c>
      <c r="F13198" s="3" t="inlineStr">
        <is>
          <t>성호전자</t>
        </is>
      </c>
      <c r="G13198" s="2" t="inlineStr">
        <is>
          <t>20260626901081</t>
        </is>
      </c>
      <c r="H13198" s="8">
        <f>HYPERLINK("https://dart.fss.or.kr/dsaf001/main.do?rcpNo=20260626901081", "공시열람")</f>
        <v/>
      </c>
    </row>
    <row r="13199">
      <c r="A13199" s="2" t="inlineStr">
        <is>
          <t>2026-06-26</t>
        </is>
      </c>
      <c r="B13199" s="3" t="inlineStr">
        <is>
          <t>HS효성</t>
        </is>
      </c>
      <c r="C13199" s="2" t="inlineStr">
        <is>
          <t>코스피</t>
        </is>
      </c>
      <c r="D13199" s="2" t="inlineStr">
        <is>
          <t>487570</t>
        </is>
      </c>
      <c r="E13199" s="3" t="inlineStr">
        <is>
          <t xml:space="preserve">지속가능경영보고서등관련사항(자율공시)              </t>
        </is>
      </c>
      <c r="F13199" s="3" t="inlineStr">
        <is>
          <t>HS효성</t>
        </is>
      </c>
      <c r="G13199" s="2" t="inlineStr">
        <is>
          <t>20260626801086</t>
        </is>
      </c>
      <c r="H13199" s="8">
        <f>HYPERLINK("https://dart.fss.or.kr/dsaf001/main.do?rcpNo=20260626801086", "공시열람")</f>
        <v/>
      </c>
    </row>
    <row r="13200">
      <c r="A13200" s="2" t="inlineStr">
        <is>
          <t>2026-06-26</t>
        </is>
      </c>
      <c r="B13200" s="3" t="inlineStr">
        <is>
          <t>SK시그넷</t>
        </is>
      </c>
      <c r="C13200" s="2" t="inlineStr">
        <is>
          <t>코넥스</t>
        </is>
      </c>
      <c r="D13200" s="2" t="inlineStr">
        <is>
          <t>260870</t>
        </is>
      </c>
      <c r="E13200" s="3" t="inlineStr">
        <is>
          <t xml:space="preserve">기업설명회(IR)개최결과              </t>
        </is>
      </c>
      <c r="F13200" s="3" t="inlineStr">
        <is>
          <t>SK시그넷</t>
        </is>
      </c>
      <c r="G13200" s="2" t="inlineStr">
        <is>
          <t>20260626601075</t>
        </is>
      </c>
      <c r="H13200" s="8">
        <f>HYPERLINK("https://dart.fss.or.kr/dsaf001/main.do?rcpNo=20260626601075", "공시열람")</f>
        <v/>
      </c>
    </row>
    <row r="13201">
      <c r="A13201" s="2" t="inlineStr">
        <is>
          <t>2026-06-26</t>
        </is>
      </c>
      <c r="B13201" s="3" t="inlineStr">
        <is>
          <t>HL D&amp;I</t>
        </is>
      </c>
      <c r="C13201" s="2" t="inlineStr">
        <is>
          <t>코스피</t>
        </is>
      </c>
      <c r="D13201" s="2" t="inlineStr">
        <is>
          <t>014790</t>
        </is>
      </c>
      <c r="E13201" s="3" t="inlineStr">
        <is>
          <t xml:space="preserve">지속가능경영보고서등관련사항(자율공시)              </t>
        </is>
      </c>
      <c r="F13201" s="3" t="inlineStr">
        <is>
          <t>HL D&amp;I</t>
        </is>
      </c>
      <c r="G13201" s="2" t="inlineStr">
        <is>
          <t>20260626801082</t>
        </is>
      </c>
      <c r="H13201" s="8">
        <f>HYPERLINK("https://dart.fss.or.kr/dsaf001/main.do?rcpNo=20260626801082", "공시열람")</f>
        <v/>
      </c>
    </row>
    <row r="13202">
      <c r="A13202" s="2" t="inlineStr">
        <is>
          <t>2026-06-26</t>
        </is>
      </c>
      <c r="B13202" s="3" t="inlineStr">
        <is>
          <t>한화갤러리아</t>
        </is>
      </c>
      <c r="C13202" s="2" t="inlineStr">
        <is>
          <t>코스피</t>
        </is>
      </c>
      <c r="D13202" s="2" t="inlineStr">
        <is>
          <t>452260</t>
        </is>
      </c>
      <c r="E13202" s="3" t="inlineStr">
        <is>
          <t>주요사항보고서(유형자산양수결정)</t>
        </is>
      </c>
      <c r="F13202" s="3" t="inlineStr">
        <is>
          <t>한화갤러리아</t>
        </is>
      </c>
      <c r="G13202" s="2" t="inlineStr">
        <is>
          <t>20260626000646</t>
        </is>
      </c>
      <c r="H13202" s="8">
        <f>HYPERLINK("https://dart.fss.or.kr/dsaf001/main.do?rcpNo=20260626000646", "공시열람")</f>
        <v/>
      </c>
    </row>
    <row r="13203">
      <c r="A13203" s="2" t="inlineStr">
        <is>
          <t>2026-06-26</t>
        </is>
      </c>
      <c r="B13203" s="3" t="inlineStr">
        <is>
          <t>포스코DX</t>
        </is>
      </c>
      <c r="C13203" s="2" t="inlineStr">
        <is>
          <t>코스피</t>
        </is>
      </c>
      <c r="D13203" s="2" t="inlineStr">
        <is>
          <t>022100</t>
        </is>
      </c>
      <c r="E13203" s="3" t="inlineStr">
        <is>
          <t>임원ㆍ주요주주특정증권등소유상황보고서</t>
        </is>
      </c>
      <c r="F13203" s="3" t="inlineStr">
        <is>
          <t>김미영</t>
        </is>
      </c>
      <c r="G13203" s="2" t="inlineStr">
        <is>
          <t>20260626000691</t>
        </is>
      </c>
      <c r="H13203" s="8">
        <f>HYPERLINK("https://dart.fss.or.kr/dsaf001/main.do?rcpNo=20260626000691", "공시열람")</f>
        <v/>
      </c>
    </row>
    <row r="13204">
      <c r="A13204" s="2" t="inlineStr">
        <is>
          <t>2026-06-26</t>
        </is>
      </c>
      <c r="B13204" s="3" t="inlineStr">
        <is>
          <t>삼성증권</t>
        </is>
      </c>
      <c r="C13204" s="2" t="inlineStr">
        <is>
          <t>코스피</t>
        </is>
      </c>
      <c r="D13204" s="2" t="inlineStr">
        <is>
          <t>016360</t>
        </is>
      </c>
      <c r="E13204" s="3" t="inlineStr">
        <is>
          <t>증권발행실적보고서</t>
        </is>
      </c>
      <c r="F13204" s="3" t="inlineStr">
        <is>
          <t>삼성증권</t>
        </is>
      </c>
      <c r="G13204" s="2" t="inlineStr">
        <is>
          <t>20260626000690</t>
        </is>
      </c>
      <c r="H13204" s="8">
        <f>HYPERLINK("https://dart.fss.or.kr/dsaf001/main.do?rcpNo=20260626000690", "공시열람")</f>
        <v/>
      </c>
    </row>
    <row r="13205">
      <c r="A13205" s="2" t="inlineStr">
        <is>
          <t>2026-06-26</t>
        </is>
      </c>
      <c r="B13205" s="3" t="inlineStr">
        <is>
          <t>신라섬유</t>
        </is>
      </c>
      <c r="C13205" s="2" t="inlineStr">
        <is>
          <t>코스닥</t>
        </is>
      </c>
      <c r="D13205" s="2" t="inlineStr">
        <is>
          <t>001000</t>
        </is>
      </c>
      <c r="E13205" s="3" t="inlineStr">
        <is>
          <t xml:space="preserve">주주명부폐쇄기간또는기준일설정              </t>
        </is>
      </c>
      <c r="F13205" s="3" t="inlineStr">
        <is>
          <t>신라섬유</t>
        </is>
      </c>
      <c r="G13205" s="2" t="inlineStr">
        <is>
          <t>20260626901066</t>
        </is>
      </c>
      <c r="H13205" s="8">
        <f>HYPERLINK("https://dart.fss.or.kr/dsaf001/main.do?rcpNo=20260626901066", "공시열람")</f>
        <v/>
      </c>
    </row>
    <row r="13206">
      <c r="A13206" s="2" t="inlineStr">
        <is>
          <t>2026-06-26</t>
        </is>
      </c>
      <c r="B13206" s="3" t="inlineStr">
        <is>
          <t>삼성증권</t>
        </is>
      </c>
      <c r="C13206" s="2" t="inlineStr">
        <is>
          <t>코스피</t>
        </is>
      </c>
      <c r="D13206" s="2" t="inlineStr">
        <is>
          <t>016360</t>
        </is>
      </c>
      <c r="E13206" s="3" t="inlineStr">
        <is>
          <t>증권발행실적보고서</t>
        </is>
      </c>
      <c r="F13206" s="3" t="inlineStr">
        <is>
          <t>삼성증권</t>
        </is>
      </c>
      <c r="G13206" s="2" t="inlineStr">
        <is>
          <t>20260626000684</t>
        </is>
      </c>
      <c r="H13206" s="8">
        <f>HYPERLINK("https://dart.fss.or.kr/dsaf001/main.do?rcpNo=20260626000684", "공시열람")</f>
        <v/>
      </c>
    </row>
    <row r="13207">
      <c r="A13207" s="2" t="inlineStr">
        <is>
          <t>2026-06-26 (정정: 2026-06-26)</t>
        </is>
      </c>
      <c r="B13207" s="3" t="inlineStr">
        <is>
          <t>앱토크롬</t>
        </is>
      </c>
      <c r="C13207" s="2" t="inlineStr">
        <is>
          <t>코스닥</t>
        </is>
      </c>
      <c r="D13207" s="2" t="inlineStr">
        <is>
          <t>109960</t>
        </is>
      </c>
      <c r="E13207" s="3" t="inlineStr">
        <is>
          <t>[기재정정]주요사항보고서(주권관련사채권양도결정) (정정: 20260626)</t>
        </is>
      </c>
      <c r="F13207" s="3" t="inlineStr">
        <is>
          <t>앱토크롬</t>
        </is>
      </c>
      <c r="G13207" s="2" t="inlineStr">
        <is>
          <t>20260626901005</t>
        </is>
      </c>
      <c r="H13207" s="8">
        <f>HYPERLINK("https://dart.fss.or.kr/dsaf001/main.do?rcpNo=20260626901005", "공시열람")</f>
        <v/>
      </c>
    </row>
    <row r="13208">
      <c r="A13208" s="2" t="inlineStr">
        <is>
          <t>2026-06-26</t>
        </is>
      </c>
      <c r="B13208" s="3" t="inlineStr">
        <is>
          <t>아이씨에이치</t>
        </is>
      </c>
      <c r="C13208" s="2" t="inlineStr">
        <is>
          <t>코스닥</t>
        </is>
      </c>
      <c r="D13208" s="2" t="inlineStr">
        <is>
          <t>368600</t>
        </is>
      </c>
      <c r="E13208" s="3" t="inlineStr">
        <is>
          <t>임원ㆍ주요주주특정증권등소유상황보고서</t>
        </is>
      </c>
      <c r="F13208" s="3" t="inlineStr">
        <is>
          <t>이규수</t>
        </is>
      </c>
      <c r="G13208" s="2" t="inlineStr">
        <is>
          <t>20260626000682</t>
        </is>
      </c>
      <c r="H13208" s="8">
        <f>HYPERLINK("https://dart.fss.or.kr/dsaf001/main.do?rcpNo=20260626000682", "공시열람")</f>
        <v/>
      </c>
    </row>
    <row r="13209">
      <c r="A13209" s="2" t="inlineStr">
        <is>
          <t>2026-06-26</t>
        </is>
      </c>
      <c r="B13209" s="3" t="inlineStr">
        <is>
          <t>스틱인베스트먼트</t>
        </is>
      </c>
      <c r="C13209" s="2" t="inlineStr">
        <is>
          <t>코스피</t>
        </is>
      </c>
      <c r="D13209" s="2" t="inlineStr">
        <is>
          <t>026890</t>
        </is>
      </c>
      <c r="E13209" s="3" t="inlineStr">
        <is>
          <t>임원ㆍ주요주주특정증권등소유상황보고서</t>
        </is>
      </c>
      <c r="F13209" s="3" t="inlineStr">
        <is>
          <t>강신우</t>
        </is>
      </c>
      <c r="G13209" s="2" t="inlineStr">
        <is>
          <t>20260626000681</t>
        </is>
      </c>
      <c r="H13209" s="8">
        <f>HYPERLINK("https://dart.fss.or.kr/dsaf001/main.do?rcpNo=20260626000681", "공시열람")</f>
        <v/>
      </c>
    </row>
    <row r="13210">
      <c r="A13210" s="2" t="inlineStr">
        <is>
          <t>2026-06-26</t>
        </is>
      </c>
      <c r="B13210" s="3" t="inlineStr">
        <is>
          <t>HD현대일렉트릭</t>
        </is>
      </c>
      <c r="C13210" s="2" t="inlineStr">
        <is>
          <t>코스피</t>
        </is>
      </c>
      <c r="D13210" s="2" t="inlineStr">
        <is>
          <t>267260</t>
        </is>
      </c>
      <c r="E13210" s="3" t="inlineStr">
        <is>
          <t xml:space="preserve">지속가능경영보고서등관련사항(자율공시)              </t>
        </is>
      </c>
      <c r="F13210" s="3" t="inlineStr">
        <is>
          <t>HD현대일렉트릭</t>
        </is>
      </c>
      <c r="G13210" s="2" t="inlineStr">
        <is>
          <t>20260626801057</t>
        </is>
      </c>
      <c r="H13210" s="8">
        <f>HYPERLINK("https://dart.fss.or.kr/dsaf001/main.do?rcpNo=20260626801057", "공시열람")</f>
        <v/>
      </c>
    </row>
    <row r="13211">
      <c r="A13211" s="2" t="inlineStr">
        <is>
          <t>2026-06-26</t>
        </is>
      </c>
      <c r="B13211" s="3" t="inlineStr">
        <is>
          <t>삼성증권</t>
        </is>
      </c>
      <c r="C13211" s="2" t="inlineStr">
        <is>
          <t>코스피</t>
        </is>
      </c>
      <c r="D13211" s="2" t="inlineStr">
        <is>
          <t>016360</t>
        </is>
      </c>
      <c r="E13211" s="3" t="inlineStr">
        <is>
          <t>증권발행실적보고서</t>
        </is>
      </c>
      <c r="F13211" s="3" t="inlineStr">
        <is>
          <t>삼성증권</t>
        </is>
      </c>
      <c r="G13211" s="2" t="inlineStr">
        <is>
          <t>20260626000679</t>
        </is>
      </c>
      <c r="H13211" s="8">
        <f>HYPERLINK("https://dart.fss.or.kr/dsaf001/main.do?rcpNo=20260626000679", "공시열람")</f>
        <v/>
      </c>
    </row>
    <row r="13212">
      <c r="A13212" s="2" t="inlineStr">
        <is>
          <t>2026-06-26</t>
        </is>
      </c>
      <c r="B13212" s="3" t="inlineStr">
        <is>
          <t>에이팩트</t>
        </is>
      </c>
      <c r="C13212" s="2" t="inlineStr">
        <is>
          <t>코스닥</t>
        </is>
      </c>
      <c r="D13212" s="2" t="inlineStr">
        <is>
          <t>200470</t>
        </is>
      </c>
      <c r="E13212" s="3" t="inlineStr">
        <is>
          <t>임원ㆍ주요주주특정증권등소유상황보고서</t>
        </is>
      </c>
      <c r="F13212" s="3" t="inlineStr">
        <is>
          <t>다이내믹그로우쓰</t>
        </is>
      </c>
      <c r="G13212" s="2" t="inlineStr">
        <is>
          <t>20260626000678</t>
        </is>
      </c>
      <c r="H13212" s="8">
        <f>HYPERLINK("https://dart.fss.or.kr/dsaf001/main.do?rcpNo=20260626000678", "공시열람")</f>
        <v/>
      </c>
    </row>
    <row r="13213">
      <c r="A13213" s="2" t="inlineStr">
        <is>
          <t>2026-06-26</t>
        </is>
      </c>
      <c r="B13213" s="3" t="inlineStr">
        <is>
          <t>DXVX</t>
        </is>
      </c>
      <c r="C13213" s="2" t="inlineStr">
        <is>
          <t>코스닥</t>
        </is>
      </c>
      <c r="D13213" s="2" t="inlineStr">
        <is>
          <t>180400</t>
        </is>
      </c>
      <c r="E13213" s="3" t="inlineStr">
        <is>
          <t>임원ㆍ주요주주특정증권등소유상황보고서</t>
        </is>
      </c>
      <c r="F13213" s="3" t="inlineStr">
        <is>
          <t>임종윤</t>
        </is>
      </c>
      <c r="G13213" s="2" t="inlineStr">
        <is>
          <t>20260626000677</t>
        </is>
      </c>
      <c r="H13213" s="8">
        <f>HYPERLINK("https://dart.fss.or.kr/dsaf001/main.do?rcpNo=20260626000677", "공시열람")</f>
        <v/>
      </c>
    </row>
    <row r="13214">
      <c r="A13214" s="2" t="inlineStr">
        <is>
          <t>2026-06-26</t>
        </is>
      </c>
      <c r="B13214" s="3" t="inlineStr">
        <is>
          <t>SK증권</t>
        </is>
      </c>
      <c r="C13214" s="2" t="inlineStr">
        <is>
          <t>코스피</t>
        </is>
      </c>
      <c r="D13214" s="2" t="inlineStr">
        <is>
          <t>001510</t>
        </is>
      </c>
      <c r="E13214" s="3" t="inlineStr">
        <is>
          <t>증권발행실적보고서</t>
        </is>
      </c>
      <c r="F13214" s="3" t="inlineStr">
        <is>
          <t>SK증권</t>
        </is>
      </c>
      <c r="G13214" s="2" t="inlineStr">
        <is>
          <t>20260626000676</t>
        </is>
      </c>
      <c r="H13214" s="8">
        <f>HYPERLINK("https://dart.fss.or.kr/dsaf001/main.do?rcpNo=20260626000676", "공시열람")</f>
        <v/>
      </c>
    </row>
    <row r="13215">
      <c r="A13215" s="2" t="inlineStr">
        <is>
          <t>2026-06-26</t>
        </is>
      </c>
      <c r="B13215" s="3" t="inlineStr">
        <is>
          <t>삼성전자</t>
        </is>
      </c>
      <c r="C13215" s="2" t="inlineStr">
        <is>
          <t>코스피</t>
        </is>
      </c>
      <c r="D13215" s="2" t="inlineStr">
        <is>
          <t>005930</t>
        </is>
      </c>
      <c r="E13215" s="3" t="inlineStr">
        <is>
          <t>임원ㆍ주요주주특정증권등소유상황보고서</t>
        </is>
      </c>
      <c r="F13215" s="3" t="inlineStr">
        <is>
          <t>Lee Sungki</t>
        </is>
      </c>
      <c r="G13215" s="2" t="inlineStr">
        <is>
          <t>20260626000675</t>
        </is>
      </c>
      <c r="H13215" s="8">
        <f>HYPERLINK("https://dart.fss.or.kr/dsaf001/main.do?rcpNo=20260626000675", "공시열람")</f>
        <v/>
      </c>
    </row>
    <row r="13216">
      <c r="A13216" s="2" t="inlineStr">
        <is>
          <t>2026-06-26</t>
        </is>
      </c>
      <c r="B13216" s="3" t="inlineStr">
        <is>
          <t>에코글로우</t>
        </is>
      </c>
      <c r="C13216" s="2" t="inlineStr">
        <is>
          <t>코스닥</t>
        </is>
      </c>
      <c r="D13216" s="2" t="inlineStr">
        <is>
          <t>159910</t>
        </is>
      </c>
      <c r="E13216" s="3" t="inlineStr">
        <is>
          <t>임원ㆍ주요주주특정증권등소유상황보고서</t>
        </is>
      </c>
      <c r="F13216" s="3" t="inlineStr">
        <is>
          <t>김기훈</t>
        </is>
      </c>
      <c r="G13216" s="2" t="inlineStr">
        <is>
          <t>20260626000673</t>
        </is>
      </c>
      <c r="H13216" s="8">
        <f>HYPERLINK("https://dart.fss.or.kr/dsaf001/main.do?rcpNo=20260626000673", "공시열람")</f>
        <v/>
      </c>
    </row>
    <row r="13217">
      <c r="A13217" s="2" t="inlineStr">
        <is>
          <t>2026-06-26</t>
        </is>
      </c>
      <c r="B13217" s="3" t="inlineStr">
        <is>
          <t>삼성증권</t>
        </is>
      </c>
      <c r="C13217" s="2" t="inlineStr">
        <is>
          <t>코스피</t>
        </is>
      </c>
      <c r="D13217" s="2" t="inlineStr">
        <is>
          <t>016360</t>
        </is>
      </c>
      <c r="E13217" s="3" t="inlineStr">
        <is>
          <t>증권발행실적보고서</t>
        </is>
      </c>
      <c r="F13217" s="3" t="inlineStr">
        <is>
          <t>삼성증권</t>
        </is>
      </c>
      <c r="G13217" s="2" t="inlineStr">
        <is>
          <t>20260626000672</t>
        </is>
      </c>
      <c r="H13217" s="8">
        <f>HYPERLINK("https://dart.fss.or.kr/dsaf001/main.do?rcpNo=20260626000672", "공시열람")</f>
        <v/>
      </c>
    </row>
    <row r="13218">
      <c r="A13218" s="2" t="inlineStr">
        <is>
          <t>2026-06-26</t>
        </is>
      </c>
      <c r="B13218" s="3" t="inlineStr">
        <is>
          <t>대림통상</t>
        </is>
      </c>
      <c r="C13218" s="2" t="inlineStr">
        <is>
          <t>코스피</t>
        </is>
      </c>
      <c r="D13218" s="2" t="inlineStr">
        <is>
          <t>006570</t>
        </is>
      </c>
      <c r="E13218" s="3" t="inlineStr">
        <is>
          <t>임원ㆍ주요주주특정증권등소유상황보고서</t>
        </is>
      </c>
      <c r="F13218" s="3" t="inlineStr">
        <is>
          <t>디앤디파트너스</t>
        </is>
      </c>
      <c r="G13218" s="2" t="inlineStr">
        <is>
          <t>20260626000667</t>
        </is>
      </c>
      <c r="H13218" s="8">
        <f>HYPERLINK("https://dart.fss.or.kr/dsaf001/main.do?rcpNo=20260626000667", "공시열람")</f>
        <v/>
      </c>
    </row>
    <row r="13219">
      <c r="A13219" s="2" t="inlineStr">
        <is>
          <t>2026-06-26</t>
        </is>
      </c>
      <c r="B13219" s="3" t="inlineStr">
        <is>
          <t>NH투자증권</t>
        </is>
      </c>
      <c r="C13219" s="2" t="inlineStr">
        <is>
          <t>코스피</t>
        </is>
      </c>
      <c r="D13219" s="2" t="inlineStr">
        <is>
          <t>005940</t>
        </is>
      </c>
      <c r="E13219" s="3" t="inlineStr">
        <is>
          <t>증권발행실적보고서</t>
        </is>
      </c>
      <c r="F13219" s="3" t="inlineStr">
        <is>
          <t>NH투자증권</t>
        </is>
      </c>
      <c r="G13219" s="2" t="inlineStr">
        <is>
          <t>20260626000666</t>
        </is>
      </c>
      <c r="H13219" s="8">
        <f>HYPERLINK("https://dart.fss.or.kr/dsaf001/main.do?rcpNo=20260626000666", "공시열람")</f>
        <v/>
      </c>
    </row>
    <row r="13220">
      <c r="A13220" s="2" t="inlineStr">
        <is>
          <t>2026-06-26</t>
        </is>
      </c>
      <c r="B13220" s="3" t="inlineStr">
        <is>
          <t>엔젠바이오</t>
        </is>
      </c>
      <c r="C13220" s="2" t="inlineStr">
        <is>
          <t>코스닥</t>
        </is>
      </c>
      <c r="D13220" s="2" t="inlineStr">
        <is>
          <t>354200</t>
        </is>
      </c>
      <c r="E13220" s="3" t="inlineStr">
        <is>
          <t>임원ㆍ주요주주특정증권등소유상황보고서</t>
        </is>
      </c>
      <c r="F13220" s="3" t="inlineStr">
        <is>
          <t>에스에이치헬스케어투자1호조합</t>
        </is>
      </c>
      <c r="G13220" s="2" t="inlineStr">
        <is>
          <t>20260626000664</t>
        </is>
      </c>
      <c r="H13220" s="8">
        <f>HYPERLINK("https://dart.fss.or.kr/dsaf001/main.do?rcpNo=20260626000664", "공시열람")</f>
        <v/>
      </c>
    </row>
    <row r="13221">
      <c r="A13221" s="2" t="inlineStr">
        <is>
          <t>2026-06-26</t>
        </is>
      </c>
      <c r="B13221" s="3" t="inlineStr">
        <is>
          <t>BNK금융지주</t>
        </is>
      </c>
      <c r="C13221" s="2" t="inlineStr">
        <is>
          <t>코스피</t>
        </is>
      </c>
      <c r="D13221" s="2" t="inlineStr">
        <is>
          <t>138930</t>
        </is>
      </c>
      <c r="E13221" s="3" t="inlineStr">
        <is>
          <t>증권발행실적보고서</t>
        </is>
      </c>
      <c r="F13221" s="3" t="inlineStr">
        <is>
          <t>BNK금융지주</t>
        </is>
      </c>
      <c r="G13221" s="2" t="inlineStr">
        <is>
          <t>20260626000661</t>
        </is>
      </c>
      <c r="H13221" s="8">
        <f>HYPERLINK("https://dart.fss.or.kr/dsaf001/main.do?rcpNo=20260626000661", "공시열람")</f>
        <v/>
      </c>
    </row>
    <row r="13222">
      <c r="A13222" s="2" t="inlineStr">
        <is>
          <t>2026-06-26</t>
        </is>
      </c>
      <c r="B13222" s="3" t="inlineStr">
        <is>
          <t>에코글로우</t>
        </is>
      </c>
      <c r="C13222" s="2" t="inlineStr">
        <is>
          <t>코스닥</t>
        </is>
      </c>
      <c r="D13222" s="2" t="inlineStr">
        <is>
          <t>159910</t>
        </is>
      </c>
      <c r="E13222" s="3" t="inlineStr">
        <is>
          <t>임원ㆍ주요주주특정증권등소유상황보고서</t>
        </is>
      </c>
      <c r="F13222" s="3" t="inlineStr">
        <is>
          <t>크리스티아너티</t>
        </is>
      </c>
      <c r="G13222" s="2" t="inlineStr">
        <is>
          <t>20260626000660</t>
        </is>
      </c>
      <c r="H13222" s="8">
        <f>HYPERLINK("https://dart.fss.or.kr/dsaf001/main.do?rcpNo=20260626000660", "공시열람")</f>
        <v/>
      </c>
    </row>
    <row r="13223">
      <c r="A13223" s="2" t="inlineStr">
        <is>
          <t>2026-06-26</t>
        </is>
      </c>
      <c r="B13223" s="3" t="inlineStr">
        <is>
          <t>메리츠금융지주</t>
        </is>
      </c>
      <c r="C13223" s="2" t="inlineStr">
        <is>
          <t>코스피</t>
        </is>
      </c>
      <c r="D13223" s="2" t="inlineStr">
        <is>
          <t>138040</t>
        </is>
      </c>
      <c r="E13223" s="3" t="inlineStr">
        <is>
          <t>임원ㆍ주요주주특정증권등소유상황보고서</t>
        </is>
      </c>
      <c r="F13223" s="3" t="inlineStr">
        <is>
          <t>권동찬</t>
        </is>
      </c>
      <c r="G13223" s="2" t="inlineStr">
        <is>
          <t>20260626000656</t>
        </is>
      </c>
      <c r="H13223" s="8">
        <f>HYPERLINK("https://dart.fss.or.kr/dsaf001/main.do?rcpNo=20260626000656", "공시열람")</f>
        <v/>
      </c>
    </row>
    <row r="13224">
      <c r="A13224" s="2" t="inlineStr">
        <is>
          <t>2026-06-26</t>
        </is>
      </c>
      <c r="B13224" s="3" t="inlineStr">
        <is>
          <t>애드바이오텍</t>
        </is>
      </c>
      <c r="C13224" s="2" t="inlineStr">
        <is>
          <t>코스닥</t>
        </is>
      </c>
      <c r="D13224" s="2" t="inlineStr">
        <is>
          <t>179530</t>
        </is>
      </c>
      <c r="E13224" s="3" t="inlineStr">
        <is>
          <t xml:space="preserve">주주명부폐쇄기간또는기준일설정              </t>
        </is>
      </c>
      <c r="F13224" s="3" t="inlineStr">
        <is>
          <t>애드바이오텍</t>
        </is>
      </c>
      <c r="G13224" s="2" t="inlineStr">
        <is>
          <t>20260626901031</t>
        </is>
      </c>
      <c r="H13224" s="8">
        <f>HYPERLINK("https://dart.fss.or.kr/dsaf001/main.do?rcpNo=20260626901031", "공시열람")</f>
        <v/>
      </c>
    </row>
    <row r="13225">
      <c r="A13225" s="2" t="inlineStr">
        <is>
          <t>2026-06-26</t>
        </is>
      </c>
      <c r="B13225" s="3" t="inlineStr">
        <is>
          <t>한화투자증권</t>
        </is>
      </c>
      <c r="C13225" s="2" t="inlineStr">
        <is>
          <t>코스피</t>
        </is>
      </c>
      <c r="D13225" s="2" t="inlineStr">
        <is>
          <t>003530</t>
        </is>
      </c>
      <c r="E13225" s="3" t="inlineStr">
        <is>
          <t>증권발행실적보고서</t>
        </is>
      </c>
      <c r="F13225" s="3" t="inlineStr">
        <is>
          <t>한화투자증권</t>
        </is>
      </c>
      <c r="G13225" s="2" t="inlineStr">
        <is>
          <t>20260626000652</t>
        </is>
      </c>
      <c r="H13225" s="8">
        <f>HYPERLINK("https://dart.fss.or.kr/dsaf001/main.do?rcpNo=20260626000652", "공시열람")</f>
        <v/>
      </c>
    </row>
    <row r="13226">
      <c r="A13226" s="2" t="inlineStr">
        <is>
          <t>2026-06-26</t>
        </is>
      </c>
      <c r="B13226" s="3" t="inlineStr">
        <is>
          <t>키움증권</t>
        </is>
      </c>
      <c r="C13226" s="2" t="inlineStr">
        <is>
          <t>코스피</t>
        </is>
      </c>
      <c r="D13226" s="2" t="inlineStr">
        <is>
          <t>039490</t>
        </is>
      </c>
      <c r="E13226" s="3" t="inlineStr">
        <is>
          <t>증권발행실적보고서</t>
        </is>
      </c>
      <c r="F13226" s="3" t="inlineStr">
        <is>
          <t>키움증권</t>
        </is>
      </c>
      <c r="G13226" s="2" t="inlineStr">
        <is>
          <t>20260626000650</t>
        </is>
      </c>
      <c r="H13226" s="8">
        <f>HYPERLINK("https://dart.fss.or.kr/dsaf001/main.do?rcpNo=20260626000650", "공시열람")</f>
        <v/>
      </c>
    </row>
    <row r="13227">
      <c r="A13227" s="2" t="inlineStr">
        <is>
          <t>2026-06-26</t>
        </is>
      </c>
      <c r="B13227" s="3" t="inlineStr">
        <is>
          <t>SK증권</t>
        </is>
      </c>
      <c r="C13227" s="2" t="inlineStr">
        <is>
          <t>코스피</t>
        </is>
      </c>
      <c r="D13227" s="2" t="inlineStr">
        <is>
          <t>001510</t>
        </is>
      </c>
      <c r="E13227" s="3" t="inlineStr">
        <is>
          <t>증권발행실적보고서</t>
        </is>
      </c>
      <c r="F13227" s="3" t="inlineStr">
        <is>
          <t>SK증권</t>
        </is>
      </c>
      <c r="G13227" s="2" t="inlineStr">
        <is>
          <t>20260626000643</t>
        </is>
      </c>
      <c r="H13227" s="8">
        <f>HYPERLINK("https://dart.fss.or.kr/dsaf001/main.do?rcpNo=20260626000643", "공시열람")</f>
        <v/>
      </c>
    </row>
    <row r="13228">
      <c r="A13228" s="2" t="inlineStr">
        <is>
          <t>2026-06-26</t>
        </is>
      </c>
      <c r="B13228" s="3" t="inlineStr">
        <is>
          <t>삼성증권</t>
        </is>
      </c>
      <c r="C13228" s="2" t="inlineStr">
        <is>
          <t>코스피</t>
        </is>
      </c>
      <c r="D13228" s="2" t="inlineStr">
        <is>
          <t>016360</t>
        </is>
      </c>
      <c r="E13228" s="3" t="inlineStr">
        <is>
          <t>증권발행실적보고서</t>
        </is>
      </c>
      <c r="F13228" s="3" t="inlineStr">
        <is>
          <t>삼성증권</t>
        </is>
      </c>
      <c r="G13228" s="2" t="inlineStr">
        <is>
          <t>20260626000642</t>
        </is>
      </c>
      <c r="H13228" s="8">
        <f>HYPERLINK("https://dart.fss.or.kr/dsaf001/main.do?rcpNo=20260626000642", "공시열람")</f>
        <v/>
      </c>
    </row>
    <row r="13229">
      <c r="A13229" s="2" t="inlineStr">
        <is>
          <t>2026-06-26</t>
        </is>
      </c>
      <c r="B13229" s="3" t="inlineStr">
        <is>
          <t>페니트리움바이오</t>
        </is>
      </c>
      <c r="C13229" s="2" t="inlineStr">
        <is>
          <t>코스닥</t>
        </is>
      </c>
      <c r="D13229" s="2" t="inlineStr">
        <is>
          <t>187660</t>
        </is>
      </c>
      <c r="E13229" s="3" t="inlineStr">
        <is>
          <t>권리락              (유상증자)</t>
        </is>
      </c>
      <c r="F13229" s="3" t="inlineStr">
        <is>
          <t>코스닥시장본부</t>
        </is>
      </c>
      <c r="G13229" s="2" t="inlineStr">
        <is>
          <t>20260626901006</t>
        </is>
      </c>
      <c r="H13229" s="8">
        <f>HYPERLINK("https://dart.fss.or.kr/dsaf001/main.do?rcpNo=20260626901006", "공시열람")</f>
        <v/>
      </c>
    </row>
    <row r="13230">
      <c r="A13230" s="2" t="inlineStr">
        <is>
          <t>2026-06-26</t>
        </is>
      </c>
      <c r="B13230" s="3" t="inlineStr">
        <is>
          <t>알지노믹스</t>
        </is>
      </c>
      <c r="C13230" s="2" t="inlineStr">
        <is>
          <t>코스닥</t>
        </is>
      </c>
      <c r="D13230" s="2" t="inlineStr">
        <is>
          <t>476830</t>
        </is>
      </c>
      <c r="E13230" s="3" t="inlineStr">
        <is>
          <t>권리락              (무상증자)</t>
        </is>
      </c>
      <c r="F13230" s="3" t="inlineStr">
        <is>
          <t>코스닥시장본부</t>
        </is>
      </c>
      <c r="G13230" s="2" t="inlineStr">
        <is>
          <t>20260626901004</t>
        </is>
      </c>
      <c r="H13230" s="8">
        <f>HYPERLINK("https://dart.fss.or.kr/dsaf001/main.do?rcpNo=20260626901004", "공시열람")</f>
        <v/>
      </c>
    </row>
    <row r="13231">
      <c r="A13231" s="2" t="inlineStr">
        <is>
          <t>2026-06-26</t>
        </is>
      </c>
      <c r="B13231" s="3" t="inlineStr">
        <is>
          <t>현대차증권</t>
        </is>
      </c>
      <c r="C13231" s="2" t="inlineStr">
        <is>
          <t>코스피</t>
        </is>
      </c>
      <c r="D13231" s="2" t="inlineStr">
        <is>
          <t>001500</t>
        </is>
      </c>
      <c r="E13231" s="3" t="inlineStr">
        <is>
          <t>증권발행실적보고서</t>
        </is>
      </c>
      <c r="F13231" s="3" t="inlineStr">
        <is>
          <t>현대차증권</t>
        </is>
      </c>
      <c r="G13231" s="2" t="inlineStr">
        <is>
          <t>20260626000641</t>
        </is>
      </c>
      <c r="H13231" s="8">
        <f>HYPERLINK("https://dart.fss.or.kr/dsaf001/main.do?rcpNo=20260626000641", "공시열람")</f>
        <v/>
      </c>
    </row>
    <row r="13232">
      <c r="A13232" s="2" t="inlineStr">
        <is>
          <t>2026-06-26</t>
        </is>
      </c>
      <c r="B13232" s="3" t="inlineStr">
        <is>
          <t>키움증권</t>
        </is>
      </c>
      <c r="C13232" s="2" t="inlineStr">
        <is>
          <t>코스피</t>
        </is>
      </c>
      <c r="D13232" s="2" t="inlineStr">
        <is>
          <t>039490</t>
        </is>
      </c>
      <c r="E13232" s="3" t="inlineStr">
        <is>
          <t>증권발행실적보고서</t>
        </is>
      </c>
      <c r="F13232" s="3" t="inlineStr">
        <is>
          <t>키움증권</t>
        </is>
      </c>
      <c r="G13232" s="2" t="inlineStr">
        <is>
          <t>20260626000640</t>
        </is>
      </c>
      <c r="H13232" s="8">
        <f>HYPERLINK("https://dart.fss.or.kr/dsaf001/main.do?rcpNo=20260626000640", "공시열람")</f>
        <v/>
      </c>
    </row>
    <row r="13233">
      <c r="A13233" s="2" t="inlineStr">
        <is>
          <t>2026-06-26</t>
        </is>
      </c>
      <c r="B13233" s="3" t="inlineStr">
        <is>
          <t>한화투자증권</t>
        </is>
      </c>
      <c r="C13233" s="2" t="inlineStr">
        <is>
          <t>코스피</t>
        </is>
      </c>
      <c r="D13233" s="2" t="inlineStr">
        <is>
          <t>003530</t>
        </is>
      </c>
      <c r="E13233" s="3" t="inlineStr">
        <is>
          <t>증권발행실적보고서</t>
        </is>
      </c>
      <c r="F13233" s="3" t="inlineStr">
        <is>
          <t>한화투자증권</t>
        </is>
      </c>
      <c r="G13233" s="2" t="inlineStr">
        <is>
          <t>20260626000638</t>
        </is>
      </c>
      <c r="H13233" s="8">
        <f>HYPERLINK("https://dart.fss.or.kr/dsaf001/main.do?rcpNo=20260626000638", "공시열람")</f>
        <v/>
      </c>
    </row>
    <row r="13234">
      <c r="A13234" s="2" t="inlineStr">
        <is>
          <t>2026-06-26</t>
        </is>
      </c>
      <c r="B13234" s="3" t="inlineStr">
        <is>
          <t>메리츠금융지주</t>
        </is>
      </c>
      <c r="C13234" s="2" t="inlineStr">
        <is>
          <t>코스피</t>
        </is>
      </c>
      <c r="D13234" s="2" t="inlineStr">
        <is>
          <t>138040</t>
        </is>
      </c>
      <c r="E13234" s="3" t="inlineStr">
        <is>
          <t>임원ㆍ주요주주특정증권등소유상황보고서</t>
        </is>
      </c>
      <c r="F13234" s="3" t="inlineStr">
        <is>
          <t>여은석</t>
        </is>
      </c>
      <c r="G13234" s="2" t="inlineStr">
        <is>
          <t>20260626000637</t>
        </is>
      </c>
      <c r="H13234" s="8">
        <f>HYPERLINK("https://dart.fss.or.kr/dsaf001/main.do?rcpNo=20260626000637", "공시열람")</f>
        <v/>
      </c>
    </row>
    <row r="13235">
      <c r="A13235" s="2" t="inlineStr">
        <is>
          <t>2026-06-26</t>
        </is>
      </c>
      <c r="B13235" s="3" t="inlineStr">
        <is>
          <t>신라섬유</t>
        </is>
      </c>
      <c r="C13235" s="2" t="inlineStr">
        <is>
          <t>코스닥</t>
        </is>
      </c>
      <c r="D13235" s="2" t="inlineStr">
        <is>
          <t>001000</t>
        </is>
      </c>
      <c r="E13235" s="3" t="inlineStr">
        <is>
          <t xml:space="preserve">주식병합결정              </t>
        </is>
      </c>
      <c r="F13235" s="3" t="inlineStr">
        <is>
          <t>신라섬유</t>
        </is>
      </c>
      <c r="G13235" s="2" t="inlineStr">
        <is>
          <t>20260626901007</t>
        </is>
      </c>
      <c r="H13235" s="8">
        <f>HYPERLINK("https://dart.fss.or.kr/dsaf001/main.do?rcpNo=20260626901007", "공시열람")</f>
        <v/>
      </c>
    </row>
    <row r="13236">
      <c r="A13236" s="2" t="inlineStr">
        <is>
          <t>2026-06-26</t>
        </is>
      </c>
      <c r="B13236" s="3" t="inlineStr">
        <is>
          <t>미래에셋증권</t>
        </is>
      </c>
      <c r="C13236" s="2" t="inlineStr">
        <is>
          <t>코스피</t>
        </is>
      </c>
      <c r="D13236" s="2" t="inlineStr">
        <is>
          <t>006800</t>
        </is>
      </c>
      <c r="E13236" s="3" t="inlineStr">
        <is>
          <t>투자설명서(일괄신고)</t>
        </is>
      </c>
      <c r="F13236" s="3" t="inlineStr">
        <is>
          <t>미래에셋증권</t>
        </is>
      </c>
      <c r="G13236" s="2" t="inlineStr">
        <is>
          <t>20260626000636</t>
        </is>
      </c>
      <c r="H13236" s="8">
        <f>HYPERLINK("https://dart.fss.or.kr/dsaf001/main.do?rcpNo=20260626000636", "공시열람")</f>
        <v/>
      </c>
    </row>
    <row r="13237">
      <c r="A13237" s="2" t="inlineStr">
        <is>
          <t>2026-06-26</t>
        </is>
      </c>
      <c r="B13237" s="3" t="inlineStr">
        <is>
          <t>만호제강</t>
        </is>
      </c>
      <c r="C13237" s="2" t="inlineStr">
        <is>
          <t>코스피</t>
        </is>
      </c>
      <c r="D13237" s="2" t="inlineStr">
        <is>
          <t>001080</t>
        </is>
      </c>
      <c r="E13237" s="3" t="inlineStr">
        <is>
          <t>신탁계약해지결과보고서</t>
        </is>
      </c>
      <c r="F13237" s="3" t="inlineStr">
        <is>
          <t>만호제강</t>
        </is>
      </c>
      <c r="G13237" s="2" t="inlineStr">
        <is>
          <t>20260626000635</t>
        </is>
      </c>
      <c r="H13237" s="8">
        <f>HYPERLINK("https://dart.fss.or.kr/dsaf001/main.do?rcpNo=20260626000635", "공시열람")</f>
        <v/>
      </c>
    </row>
    <row r="13238">
      <c r="A13238" s="2" t="inlineStr">
        <is>
          <t>2026-06-26</t>
        </is>
      </c>
      <c r="B13238" s="3" t="inlineStr">
        <is>
          <t>키움증권</t>
        </is>
      </c>
      <c r="C13238" s="2" t="inlineStr">
        <is>
          <t>코스피</t>
        </is>
      </c>
      <c r="D13238" s="2" t="inlineStr">
        <is>
          <t>039490</t>
        </is>
      </c>
      <c r="E13238" s="3" t="inlineStr">
        <is>
          <t>증권발행실적보고서</t>
        </is>
      </c>
      <c r="F13238" s="3" t="inlineStr">
        <is>
          <t>키움증권</t>
        </is>
      </c>
      <c r="G13238" s="2" t="inlineStr">
        <is>
          <t>20260626000634</t>
        </is>
      </c>
      <c r="H13238" s="8">
        <f>HYPERLINK("https://dart.fss.or.kr/dsaf001/main.do?rcpNo=20260626000634", "공시열람")</f>
        <v/>
      </c>
    </row>
    <row r="13239">
      <c r="A13239" s="2" t="inlineStr">
        <is>
          <t>2026-06-26</t>
        </is>
      </c>
      <c r="B13239" s="3" t="inlineStr">
        <is>
          <t>한화투자증권</t>
        </is>
      </c>
      <c r="C13239" s="2" t="inlineStr">
        <is>
          <t>코스피</t>
        </is>
      </c>
      <c r="D13239" s="2" t="inlineStr">
        <is>
          <t>003530</t>
        </is>
      </c>
      <c r="E13239" s="3" t="inlineStr">
        <is>
          <t>투자설명서(일괄신고)</t>
        </is>
      </c>
      <c r="F13239" s="3" t="inlineStr">
        <is>
          <t>한화투자증권</t>
        </is>
      </c>
      <c r="G13239" s="2" t="inlineStr">
        <is>
          <t>20260626000633</t>
        </is>
      </c>
      <c r="H13239" s="8">
        <f>HYPERLINK("https://dart.fss.or.kr/dsaf001/main.do?rcpNo=20260626000633", "공시열람")</f>
        <v/>
      </c>
    </row>
    <row r="13240">
      <c r="A13240" s="2" t="inlineStr">
        <is>
          <t>2026-06-26</t>
        </is>
      </c>
      <c r="B13240" s="3" t="inlineStr">
        <is>
          <t>에코앤드림</t>
        </is>
      </c>
      <c r="C13240" s="2" t="inlineStr">
        <is>
          <t>코스닥</t>
        </is>
      </c>
      <c r="D13240" s="2" t="inlineStr">
        <is>
          <t>101360</t>
        </is>
      </c>
      <c r="E13240" s="3" t="inlineStr">
        <is>
          <t xml:space="preserve">기업설명회(IR)개최              </t>
        </is>
      </c>
      <c r="F13240" s="3" t="inlineStr">
        <is>
          <t>에코앤드림</t>
        </is>
      </c>
      <c r="G13240" s="2" t="inlineStr">
        <is>
          <t>20260626900996</t>
        </is>
      </c>
      <c r="H13240" s="8">
        <f>HYPERLINK("https://dart.fss.or.kr/dsaf001/main.do?rcpNo=20260626900996", "공시열람")</f>
        <v/>
      </c>
    </row>
    <row r="13241">
      <c r="A13241" s="2" t="inlineStr">
        <is>
          <t>2026-06-26</t>
        </is>
      </c>
      <c r="B13241" s="3" t="inlineStr">
        <is>
          <t>앤로보틱스</t>
        </is>
      </c>
      <c r="C13241" s="2" t="inlineStr">
        <is>
          <t>코스닥</t>
        </is>
      </c>
      <c r="D13241" s="2" t="inlineStr">
        <is>
          <t>138360</t>
        </is>
      </c>
      <c r="E13241" s="3" t="inlineStr">
        <is>
          <t>증권발행결과(자율공시)              (제3자배정 유상증자)</t>
        </is>
      </c>
      <c r="F13241" s="3" t="inlineStr">
        <is>
          <t>앤로보틱스</t>
        </is>
      </c>
      <c r="G13241" s="2" t="inlineStr">
        <is>
          <t>20260626900960</t>
        </is>
      </c>
      <c r="H13241" s="8">
        <f>HYPERLINK("https://dart.fss.or.kr/dsaf001/main.do?rcpNo=20260626900960", "공시열람")</f>
        <v/>
      </c>
    </row>
    <row r="13242">
      <c r="A13242" s="2" t="inlineStr">
        <is>
          <t>2026-06-26</t>
        </is>
      </c>
      <c r="B13242" s="3" t="inlineStr">
        <is>
          <t>경보제약</t>
        </is>
      </c>
      <c r="C13242" s="2" t="inlineStr">
        <is>
          <t>코스피</t>
        </is>
      </c>
      <c r="D13242" s="2" t="inlineStr">
        <is>
          <t>214390</t>
        </is>
      </c>
      <c r="E13242" s="3" t="inlineStr">
        <is>
          <t xml:space="preserve">지속가능경영보고서등관련사항(자율공시)              </t>
        </is>
      </c>
      <c r="F13242" s="3" t="inlineStr">
        <is>
          <t>경보제약</t>
        </is>
      </c>
      <c r="G13242" s="2" t="inlineStr">
        <is>
          <t>20260626800995</t>
        </is>
      </c>
      <c r="H13242" s="8">
        <f>HYPERLINK("https://dart.fss.or.kr/dsaf001/main.do?rcpNo=20260626800995", "공시열람")</f>
        <v/>
      </c>
    </row>
    <row r="13243">
      <c r="A13243" s="2" t="inlineStr">
        <is>
          <t>2026-06-26</t>
        </is>
      </c>
      <c r="B13243" s="3" t="inlineStr">
        <is>
          <t>넥써쓰</t>
        </is>
      </c>
      <c r="C13243" s="2" t="inlineStr">
        <is>
          <t>코스닥</t>
        </is>
      </c>
      <c r="D13243" s="2" t="inlineStr">
        <is>
          <t>205500</t>
        </is>
      </c>
      <c r="E13243" s="3" t="inlineStr">
        <is>
          <t xml:space="preserve">증권발행결과(자율공시)              </t>
        </is>
      </c>
      <c r="F13243" s="3" t="inlineStr">
        <is>
          <t>넥써쓰</t>
        </is>
      </c>
      <c r="G13243" s="2" t="inlineStr">
        <is>
          <t>20260626900992</t>
        </is>
      </c>
      <c r="H13243" s="8">
        <f>HYPERLINK("https://dart.fss.or.kr/dsaf001/main.do?rcpNo=20260626900992", "공시열람")</f>
        <v/>
      </c>
    </row>
    <row r="13244">
      <c r="A13244" s="2" t="inlineStr">
        <is>
          <t>2026-06-26</t>
        </is>
      </c>
      <c r="B13244" s="3" t="inlineStr">
        <is>
          <t>삼성증권</t>
        </is>
      </c>
      <c r="C13244" s="2" t="inlineStr">
        <is>
          <t>코스피</t>
        </is>
      </c>
      <c r="D13244" s="2" t="inlineStr">
        <is>
          <t>016360</t>
        </is>
      </c>
      <c r="E13244" s="3" t="inlineStr">
        <is>
          <t>증권발행실적보고서</t>
        </is>
      </c>
      <c r="F13244" s="3" t="inlineStr">
        <is>
          <t>삼성증권</t>
        </is>
      </c>
      <c r="G13244" s="2" t="inlineStr">
        <is>
          <t>20260626000632</t>
        </is>
      </c>
      <c r="H13244" s="8">
        <f>HYPERLINK("https://dart.fss.or.kr/dsaf001/main.do?rcpNo=20260626000632", "공시열람")</f>
        <v/>
      </c>
    </row>
    <row r="13245">
      <c r="A13245" s="2" t="inlineStr">
        <is>
          <t>2026-06-26</t>
        </is>
      </c>
      <c r="B13245" s="3" t="inlineStr">
        <is>
          <t>메리츠금융지주</t>
        </is>
      </c>
      <c r="C13245" s="2" t="inlineStr">
        <is>
          <t>코스피</t>
        </is>
      </c>
      <c r="D13245" s="2" t="inlineStr">
        <is>
          <t>138040</t>
        </is>
      </c>
      <c r="E13245" s="3" t="inlineStr">
        <is>
          <t xml:space="preserve">기타경영사항(종속회사의주요경영사항)              </t>
        </is>
      </c>
      <c r="F13245" s="3" t="inlineStr">
        <is>
          <t>메리츠금융지주</t>
        </is>
      </c>
      <c r="G13245" s="2" t="inlineStr">
        <is>
          <t>20260626800981</t>
        </is>
      </c>
      <c r="H13245" s="8">
        <f>HYPERLINK("https://dart.fss.or.kr/dsaf001/main.do?rcpNo=20260626800981", "공시열람")</f>
        <v/>
      </c>
    </row>
    <row r="13246">
      <c r="A13246" s="2" t="inlineStr">
        <is>
          <t>2026-06-26</t>
        </is>
      </c>
      <c r="B13246" s="3" t="inlineStr">
        <is>
          <t>한화투자증권</t>
        </is>
      </c>
      <c r="C13246" s="2" t="inlineStr">
        <is>
          <t>코스피</t>
        </is>
      </c>
      <c r="D13246" s="2" t="inlineStr">
        <is>
          <t>003530</t>
        </is>
      </c>
      <c r="E13246" s="3" t="inlineStr">
        <is>
          <t>일괄신고추가서류(파생결합사채-주가연계파생결합사채)</t>
        </is>
      </c>
      <c r="F13246" s="3" t="inlineStr">
        <is>
          <t>한화투자증권</t>
        </is>
      </c>
      <c r="G13246" s="2" t="inlineStr">
        <is>
          <t>20260626000627</t>
        </is>
      </c>
      <c r="H13246" s="8">
        <f>HYPERLINK("https://dart.fss.or.kr/dsaf001/main.do?rcpNo=20260626000627", "공시열람")</f>
        <v/>
      </c>
    </row>
    <row r="13247">
      <c r="A13247" s="2" t="inlineStr">
        <is>
          <t>2026-06-26</t>
        </is>
      </c>
      <c r="B13247" s="3" t="inlineStr">
        <is>
          <t>케이피엠테크</t>
        </is>
      </c>
      <c r="C13247" s="2" t="inlineStr">
        <is>
          <t>코스닥</t>
        </is>
      </c>
      <c r="D13247" s="2" t="inlineStr">
        <is>
          <t>042040</t>
        </is>
      </c>
      <c r="E13247" s="3" t="inlineStr">
        <is>
          <t>임원ㆍ주요주주특정증권등소유상황보고서</t>
        </is>
      </c>
      <c r="F13247" s="3" t="inlineStr">
        <is>
          <t>텔콘RF제약</t>
        </is>
      </c>
      <c r="G13247" s="2" t="inlineStr">
        <is>
          <t>20260626000625</t>
        </is>
      </c>
      <c r="H13247" s="8">
        <f>HYPERLINK("https://dart.fss.or.kr/dsaf001/main.do?rcpNo=20260626000625", "공시열람")</f>
        <v/>
      </c>
    </row>
    <row r="13248">
      <c r="A13248" s="2" t="inlineStr">
        <is>
          <t>2026-06-26</t>
        </is>
      </c>
      <c r="B13248" s="3" t="inlineStr">
        <is>
          <t>삼천리</t>
        </is>
      </c>
      <c r="C13248" s="2" t="inlineStr">
        <is>
          <t>코스피</t>
        </is>
      </c>
      <c r="D13248" s="2" t="inlineStr">
        <is>
          <t>004690</t>
        </is>
      </c>
      <c r="E13248" s="3" t="inlineStr">
        <is>
          <t>임원ㆍ주요주주특정증권등소유상황보고서</t>
        </is>
      </c>
      <c r="F13248" s="3" t="inlineStr">
        <is>
          <t>손민석</t>
        </is>
      </c>
      <c r="G13248" s="2" t="inlineStr">
        <is>
          <t>20260626000624</t>
        </is>
      </c>
      <c r="H13248" s="8">
        <f>HYPERLINK("https://dart.fss.or.kr/dsaf001/main.do?rcpNo=20260626000624", "공시열람")</f>
        <v/>
      </c>
    </row>
    <row r="13249">
      <c r="A13249" s="2" t="inlineStr">
        <is>
          <t>2026-06-26</t>
        </is>
      </c>
      <c r="B13249" s="3" t="inlineStr">
        <is>
          <t>키움증권</t>
        </is>
      </c>
      <c r="C13249" s="2" t="inlineStr">
        <is>
          <t>코스피</t>
        </is>
      </c>
      <c r="D13249" s="2" t="inlineStr">
        <is>
          <t>039490</t>
        </is>
      </c>
      <c r="E13249" s="3" t="inlineStr">
        <is>
          <t>투자설명서(일괄신고)</t>
        </is>
      </c>
      <c r="F13249" s="3" t="inlineStr">
        <is>
          <t>키움증권</t>
        </is>
      </c>
      <c r="G13249" s="2" t="inlineStr">
        <is>
          <t>20260626000623</t>
        </is>
      </c>
      <c r="H13249" s="8">
        <f>HYPERLINK("https://dart.fss.or.kr/dsaf001/main.do?rcpNo=20260626000623", "공시열람")</f>
        <v/>
      </c>
    </row>
    <row r="13250">
      <c r="A13250" s="2" t="inlineStr">
        <is>
          <t>2026-06-26</t>
        </is>
      </c>
      <c r="B13250" s="3" t="inlineStr">
        <is>
          <t>대신증권</t>
        </is>
      </c>
      <c r="C13250" s="2" t="inlineStr">
        <is>
          <t>코스피</t>
        </is>
      </c>
      <c r="D13250" s="2" t="inlineStr">
        <is>
          <t>003540</t>
        </is>
      </c>
      <c r="E13250" s="3" t="inlineStr">
        <is>
          <t>투자설명서(일괄신고)</t>
        </is>
      </c>
      <c r="F13250" s="3" t="inlineStr">
        <is>
          <t>대신증권</t>
        </is>
      </c>
      <c r="G13250" s="2" t="inlineStr">
        <is>
          <t>20260626000622</t>
        </is>
      </c>
      <c r="H13250" s="8">
        <f>HYPERLINK("https://dart.fss.or.kr/dsaf001/main.do?rcpNo=20260626000622", "공시열람")</f>
        <v/>
      </c>
    </row>
    <row r="13251">
      <c r="A13251" s="2" t="inlineStr">
        <is>
          <t>2026-06-26</t>
        </is>
      </c>
      <c r="B13251" s="3" t="inlineStr">
        <is>
          <t>한국금융지주</t>
        </is>
      </c>
      <c r="C13251" s="2" t="inlineStr">
        <is>
          <t>코스피</t>
        </is>
      </c>
      <c r="D13251" s="2" t="inlineStr">
        <is>
          <t>071050</t>
        </is>
      </c>
      <c r="E13251" s="3" t="inlineStr">
        <is>
          <t>[발행조건확정]증권신고서(채무증권)</t>
        </is>
      </c>
      <c r="F13251" s="3" t="inlineStr">
        <is>
          <t>한국금융지주</t>
        </is>
      </c>
      <c r="G13251" s="2" t="inlineStr">
        <is>
          <t>20260626000621</t>
        </is>
      </c>
      <c r="H13251" s="8">
        <f>HYPERLINK("https://dart.fss.or.kr/dsaf001/main.do?rcpNo=20260626000621", "공시열람")</f>
        <v/>
      </c>
    </row>
    <row r="13252">
      <c r="A13252" s="2" t="inlineStr">
        <is>
          <t>2026-06-26</t>
        </is>
      </c>
      <c r="B13252" s="3" t="inlineStr">
        <is>
          <t>NH투자증권</t>
        </is>
      </c>
      <c r="C13252" s="2" t="inlineStr">
        <is>
          <t>코스피</t>
        </is>
      </c>
      <c r="D13252" s="2" t="inlineStr">
        <is>
          <t>005940</t>
        </is>
      </c>
      <c r="E13252" s="3" t="inlineStr">
        <is>
          <t>증권발행실적보고서</t>
        </is>
      </c>
      <c r="F13252" s="3" t="inlineStr">
        <is>
          <t>NH투자증권</t>
        </is>
      </c>
      <c r="G13252" s="2" t="inlineStr">
        <is>
          <t>20260626000620</t>
        </is>
      </c>
      <c r="H13252" s="8">
        <f>HYPERLINK("https://dart.fss.or.kr/dsaf001/main.do?rcpNo=20260626000620", "공시열람")</f>
        <v/>
      </c>
    </row>
    <row r="13253">
      <c r="A13253" s="2" t="inlineStr">
        <is>
          <t>2026-06-26</t>
        </is>
      </c>
      <c r="B13253" s="3" t="inlineStr">
        <is>
          <t>삼성증권</t>
        </is>
      </c>
      <c r="C13253" s="2" t="inlineStr">
        <is>
          <t>코스피</t>
        </is>
      </c>
      <c r="D13253" s="2" t="inlineStr">
        <is>
          <t>016360</t>
        </is>
      </c>
      <c r="E13253" s="3" t="inlineStr">
        <is>
          <t>증권발행실적보고서</t>
        </is>
      </c>
      <c r="F13253" s="3" t="inlineStr">
        <is>
          <t>삼성증권</t>
        </is>
      </c>
      <c r="G13253" s="2" t="inlineStr">
        <is>
          <t>20260626000615</t>
        </is>
      </c>
      <c r="H13253" s="8">
        <f>HYPERLINK("https://dart.fss.or.kr/dsaf001/main.do?rcpNo=20260626000615", "공시열람")</f>
        <v/>
      </c>
    </row>
    <row r="13254">
      <c r="A13254" s="2" t="inlineStr">
        <is>
          <t>2026-06-26</t>
        </is>
      </c>
      <c r="B13254" s="3" t="inlineStr">
        <is>
          <t>대신증권</t>
        </is>
      </c>
      <c r="C13254" s="2" t="inlineStr">
        <is>
          <t>코스피</t>
        </is>
      </c>
      <c r="D13254" s="2" t="inlineStr">
        <is>
          <t>003540</t>
        </is>
      </c>
      <c r="E13254" s="3" t="inlineStr">
        <is>
          <t>투자설명서(일괄신고)</t>
        </is>
      </c>
      <c r="F13254" s="3" t="inlineStr">
        <is>
          <t>대신증권</t>
        </is>
      </c>
      <c r="G13254" s="2" t="inlineStr">
        <is>
          <t>20260626000614</t>
        </is>
      </c>
      <c r="H13254" s="8">
        <f>HYPERLINK("https://dart.fss.or.kr/dsaf001/main.do?rcpNo=20260626000614", "공시열람")</f>
        <v/>
      </c>
    </row>
    <row r="13255">
      <c r="A13255" s="2" t="inlineStr">
        <is>
          <t>2026-06-26</t>
        </is>
      </c>
      <c r="B13255" s="3" t="inlineStr">
        <is>
          <t>현대차증권</t>
        </is>
      </c>
      <c r="C13255" s="2" t="inlineStr">
        <is>
          <t>코스피</t>
        </is>
      </c>
      <c r="D13255" s="2" t="inlineStr">
        <is>
          <t>001500</t>
        </is>
      </c>
      <c r="E13255" s="3" t="inlineStr">
        <is>
          <t>투자설명서(일괄신고)</t>
        </is>
      </c>
      <c r="F13255" s="3" t="inlineStr">
        <is>
          <t>현대차증권</t>
        </is>
      </c>
      <c r="G13255" s="2" t="inlineStr">
        <is>
          <t>20260626000613</t>
        </is>
      </c>
      <c r="H13255" s="8">
        <f>HYPERLINK("https://dart.fss.or.kr/dsaf001/main.do?rcpNo=20260626000613", "공시열람")</f>
        <v/>
      </c>
    </row>
    <row r="13256">
      <c r="A13256" s="2" t="inlineStr">
        <is>
          <t>2026-06-26</t>
        </is>
      </c>
      <c r="B13256" s="3" t="inlineStr">
        <is>
          <t>대양전기공업</t>
        </is>
      </c>
      <c r="C13256" s="2" t="inlineStr">
        <is>
          <t>코스닥</t>
        </is>
      </c>
      <c r="D13256" s="2" t="inlineStr">
        <is>
          <t>108380</t>
        </is>
      </c>
      <c r="E13256" s="3" t="inlineStr">
        <is>
          <t>자기주식처분결과보고서</t>
        </is>
      </c>
      <c r="F13256" s="3" t="inlineStr">
        <is>
          <t>대양전기공업</t>
        </is>
      </c>
      <c r="G13256" s="2" t="inlineStr">
        <is>
          <t>20260626000609</t>
        </is>
      </c>
      <c r="H13256" s="8">
        <f>HYPERLINK("https://dart.fss.or.kr/dsaf001/main.do?rcpNo=20260626000609", "공시열람")</f>
        <v/>
      </c>
    </row>
    <row r="13257">
      <c r="A13257" s="2" t="inlineStr">
        <is>
          <t>2026-06-26</t>
        </is>
      </c>
      <c r="B13257" s="3" t="inlineStr">
        <is>
          <t>대신증권</t>
        </is>
      </c>
      <c r="C13257" s="2" t="inlineStr">
        <is>
          <t>코스피</t>
        </is>
      </c>
      <c r="D13257" s="2" t="inlineStr">
        <is>
          <t>003540</t>
        </is>
      </c>
      <c r="E13257" s="3" t="inlineStr">
        <is>
          <t>증권발행실적보고서</t>
        </is>
      </c>
      <c r="F13257" s="3" t="inlineStr">
        <is>
          <t>대신증권</t>
        </is>
      </c>
      <c r="G13257" s="2" t="inlineStr">
        <is>
          <t>20260626000608</t>
        </is>
      </c>
      <c r="H13257" s="8">
        <f>HYPERLINK("https://dart.fss.or.kr/dsaf001/main.do?rcpNo=20260626000608", "공시열람")</f>
        <v/>
      </c>
    </row>
    <row r="13258">
      <c r="A13258" s="2" t="inlineStr">
        <is>
          <t>2026-06-26</t>
        </is>
      </c>
      <c r="B13258" s="3" t="inlineStr">
        <is>
          <t>키움증권</t>
        </is>
      </c>
      <c r="C13258" s="2" t="inlineStr">
        <is>
          <t>코스피</t>
        </is>
      </c>
      <c r="D13258" s="2" t="inlineStr">
        <is>
          <t>039490</t>
        </is>
      </c>
      <c r="E13258" s="3" t="inlineStr">
        <is>
          <t>일괄신고추가서류(파생결합사채-주가연계파생결합사채)</t>
        </is>
      </c>
      <c r="F13258" s="3" t="inlineStr">
        <is>
          <t>키움증권</t>
        </is>
      </c>
      <c r="G13258" s="2" t="inlineStr">
        <is>
          <t>20260626000605</t>
        </is>
      </c>
      <c r="H13258" s="8">
        <f>HYPERLINK("https://dart.fss.or.kr/dsaf001/main.do?rcpNo=20260626000605", "공시열람")</f>
        <v/>
      </c>
    </row>
    <row r="13259">
      <c r="A13259" s="2" t="inlineStr">
        <is>
          <t>2026-06-26</t>
        </is>
      </c>
      <c r="B13259" s="3" t="inlineStr">
        <is>
          <t>대신증권</t>
        </is>
      </c>
      <c r="C13259" s="2" t="inlineStr">
        <is>
          <t>코스피</t>
        </is>
      </c>
      <c r="D13259" s="2" t="inlineStr">
        <is>
          <t>003540</t>
        </is>
      </c>
      <c r="E13259" s="3" t="inlineStr">
        <is>
          <t>증권발행실적보고서</t>
        </is>
      </c>
      <c r="F13259" s="3" t="inlineStr">
        <is>
          <t>대신증권</t>
        </is>
      </c>
      <c r="G13259" s="2" t="inlineStr">
        <is>
          <t>20260626000602</t>
        </is>
      </c>
      <c r="H13259" s="8">
        <f>HYPERLINK("https://dart.fss.or.kr/dsaf001/main.do?rcpNo=20260626000602", "공시열람")</f>
        <v/>
      </c>
    </row>
    <row r="13260">
      <c r="A13260" s="2" t="inlineStr">
        <is>
          <t>2026-06-26</t>
        </is>
      </c>
      <c r="B13260" s="3" t="inlineStr">
        <is>
          <t>미래에셋증권</t>
        </is>
      </c>
      <c r="C13260" s="2" t="inlineStr">
        <is>
          <t>코스피</t>
        </is>
      </c>
      <c r="D13260" s="2" t="inlineStr">
        <is>
          <t>006800</t>
        </is>
      </c>
      <c r="E13260" s="3" t="inlineStr">
        <is>
          <t>일괄신고추가서류(파생결합사채-주가연계파생결합사채)</t>
        </is>
      </c>
      <c r="F13260" s="3" t="inlineStr">
        <is>
          <t>미래에셋증권</t>
        </is>
      </c>
      <c r="G13260" s="2" t="inlineStr">
        <is>
          <t>20260626000601</t>
        </is>
      </c>
      <c r="H13260" s="8">
        <f>HYPERLINK("https://dart.fss.or.kr/dsaf001/main.do?rcpNo=20260626000601", "공시열람")</f>
        <v/>
      </c>
    </row>
    <row r="13261">
      <c r="A13261" s="2" t="inlineStr">
        <is>
          <t>2026-06-26</t>
        </is>
      </c>
      <c r="B13261" s="3" t="inlineStr">
        <is>
          <t>에이루트</t>
        </is>
      </c>
      <c r="C13261" s="2" t="inlineStr">
        <is>
          <t>코스닥</t>
        </is>
      </c>
      <c r="D13261" s="2" t="inlineStr">
        <is>
          <t>096690</t>
        </is>
      </c>
      <c r="E13261" s="3" t="inlineStr">
        <is>
          <t>임원ㆍ주요주주특정증권등소유상황보고서</t>
        </is>
      </c>
      <c r="F13261" s="3" t="inlineStr">
        <is>
          <t>임현수</t>
        </is>
      </c>
      <c r="G13261" s="2" t="inlineStr">
        <is>
          <t>20260626000600</t>
        </is>
      </c>
      <c r="H13261" s="8">
        <f>HYPERLINK("https://dart.fss.or.kr/dsaf001/main.do?rcpNo=20260626000600", "공시열람")</f>
        <v/>
      </c>
    </row>
    <row r="13262">
      <c r="A13262" s="2" t="inlineStr">
        <is>
          <t>2026-06-26</t>
        </is>
      </c>
      <c r="B13262" s="3" t="inlineStr">
        <is>
          <t>토비스</t>
        </is>
      </c>
      <c r="C13262" s="2" t="inlineStr">
        <is>
          <t>코스닥</t>
        </is>
      </c>
      <c r="D13262" s="2" t="inlineStr">
        <is>
          <t>051360</t>
        </is>
      </c>
      <c r="E13262" s="3" t="inlineStr">
        <is>
          <t>임원ㆍ주요주주특정증권등소유상황보고서</t>
        </is>
      </c>
      <c r="F13262" s="3" t="inlineStr">
        <is>
          <t>윤현권</t>
        </is>
      </c>
      <c r="G13262" s="2" t="inlineStr">
        <is>
          <t>20260626000599</t>
        </is>
      </c>
      <c r="H13262" s="8">
        <f>HYPERLINK("https://dart.fss.or.kr/dsaf001/main.do?rcpNo=20260626000599", "공시열람")</f>
        <v/>
      </c>
    </row>
    <row r="13263">
      <c r="A13263" s="2" t="inlineStr">
        <is>
          <t>2026-06-26</t>
        </is>
      </c>
      <c r="B13263" s="3" t="inlineStr">
        <is>
          <t>제이에스코퍼레이션</t>
        </is>
      </c>
      <c r="C13263" s="2" t="inlineStr">
        <is>
          <t>코스피</t>
        </is>
      </c>
      <c r="D13263" s="2" t="inlineStr">
        <is>
          <t>194370</t>
        </is>
      </c>
      <c r="E13263" s="3" t="inlineStr">
        <is>
          <t xml:space="preserve">현금ㆍ현물배당결정              </t>
        </is>
      </c>
      <c r="F13263" s="3" t="inlineStr">
        <is>
          <t>제이에스코퍼레이션</t>
        </is>
      </c>
      <c r="G13263" s="2" t="inlineStr">
        <is>
          <t>20260626800876</t>
        </is>
      </c>
      <c r="H13263" s="8">
        <f>HYPERLINK("https://dart.fss.or.kr/dsaf001/main.do?rcpNo=20260626800876", "공시열람")</f>
        <v/>
      </c>
    </row>
    <row r="13264">
      <c r="A13264" s="2" t="inlineStr">
        <is>
          <t>2026-06-26</t>
        </is>
      </c>
      <c r="B13264" s="3" t="inlineStr">
        <is>
          <t>NH투자증권</t>
        </is>
      </c>
      <c r="C13264" s="2" t="inlineStr">
        <is>
          <t>코스피</t>
        </is>
      </c>
      <c r="D13264" s="2" t="inlineStr">
        <is>
          <t>005940</t>
        </is>
      </c>
      <c r="E13264" s="3" t="inlineStr">
        <is>
          <t>증권발행실적보고서</t>
        </is>
      </c>
      <c r="F13264" s="3" t="inlineStr">
        <is>
          <t>NH투자증권</t>
        </is>
      </c>
      <c r="G13264" s="2" t="inlineStr">
        <is>
          <t>20260626000598</t>
        </is>
      </c>
      <c r="H13264" s="8">
        <f>HYPERLINK("https://dart.fss.or.kr/dsaf001/main.do?rcpNo=20260626000598", "공시열람")</f>
        <v/>
      </c>
    </row>
    <row r="13265">
      <c r="A13265" s="2" t="inlineStr">
        <is>
          <t>2026-06-26</t>
        </is>
      </c>
      <c r="B13265" s="3" t="inlineStr">
        <is>
          <t>삼성전자</t>
        </is>
      </c>
      <c r="C13265" s="2" t="inlineStr">
        <is>
          <t>코스피</t>
        </is>
      </c>
      <c r="D13265" s="2" t="inlineStr">
        <is>
          <t>005930</t>
        </is>
      </c>
      <c r="E13265" s="3" t="inlineStr">
        <is>
          <t>임원ㆍ주요주주특정증권등소유상황보고서</t>
        </is>
      </c>
      <c r="F13265" s="3" t="inlineStr">
        <is>
          <t>하지훈</t>
        </is>
      </c>
      <c r="G13265" s="2" t="inlineStr">
        <is>
          <t>20260626000597</t>
        </is>
      </c>
      <c r="H13265" s="8">
        <f>HYPERLINK("https://dart.fss.or.kr/dsaf001/main.do?rcpNo=20260626000597", "공시열람")</f>
        <v/>
      </c>
    </row>
    <row r="13266">
      <c r="A13266" s="2" t="inlineStr">
        <is>
          <t>2026-06-26</t>
        </is>
      </c>
      <c r="B13266" s="3" t="inlineStr">
        <is>
          <t>제이에스코퍼레이션</t>
        </is>
      </c>
      <c r="C13266" s="2" t="inlineStr">
        <is>
          <t>코스피</t>
        </is>
      </c>
      <c r="D13266" s="2" t="inlineStr">
        <is>
          <t>194370</t>
        </is>
      </c>
      <c r="E13266" s="3" t="inlineStr">
        <is>
          <t>주요사항보고서(자본으로인정되는채무증권발행결정)</t>
        </is>
      </c>
      <c r="F13266" s="3" t="inlineStr">
        <is>
          <t>제이에스코퍼레이션</t>
        </is>
      </c>
      <c r="G13266" s="2" t="inlineStr">
        <is>
          <t>20260626000594</t>
        </is>
      </c>
      <c r="H13266" s="8">
        <f>HYPERLINK("https://dart.fss.or.kr/dsaf001/main.do?rcpNo=20260626000594", "공시열람")</f>
        <v/>
      </c>
    </row>
    <row r="13267">
      <c r="A13267" s="2" t="inlineStr">
        <is>
          <t>2026-06-26</t>
        </is>
      </c>
      <c r="B13267" s="3" t="inlineStr">
        <is>
          <t>에이루트</t>
        </is>
      </c>
      <c r="C13267" s="2" t="inlineStr">
        <is>
          <t>코스닥</t>
        </is>
      </c>
      <c r="D13267" s="2" t="inlineStr">
        <is>
          <t>096690</t>
        </is>
      </c>
      <c r="E13267" s="3" t="inlineStr">
        <is>
          <t>임원ㆍ주요주주특정증권등소유상황보고서</t>
        </is>
      </c>
      <c r="F13267" s="3" t="inlineStr">
        <is>
          <t>최철순</t>
        </is>
      </c>
      <c r="G13267" s="2" t="inlineStr">
        <is>
          <t>20260626000592</t>
        </is>
      </c>
      <c r="H13267" s="8">
        <f>HYPERLINK("https://dart.fss.or.kr/dsaf001/main.do?rcpNo=20260626000592", "공시열람")</f>
        <v/>
      </c>
    </row>
    <row r="13268">
      <c r="A13268" s="2" t="inlineStr">
        <is>
          <t>2026-06-26</t>
        </is>
      </c>
      <c r="B13268" s="3" t="inlineStr">
        <is>
          <t>키스트론</t>
        </is>
      </c>
      <c r="C13268" s="2" t="inlineStr">
        <is>
          <t>코스닥</t>
        </is>
      </c>
      <c r="D13268" s="2" t="inlineStr">
        <is>
          <t>475430</t>
        </is>
      </c>
      <c r="E13268" s="3" t="inlineStr">
        <is>
          <t>임원ㆍ주요주주특정증권등거래계획보고서</t>
        </is>
      </c>
      <c r="F13268" s="3" t="inlineStr">
        <is>
          <t>키스트론홀딩스</t>
        </is>
      </c>
      <c r="G13268" s="2" t="inlineStr">
        <is>
          <t>20260626000590</t>
        </is>
      </c>
      <c r="H13268" s="8">
        <f>HYPERLINK("https://dart.fss.or.kr/dsaf001/main.do?rcpNo=20260626000590", "공시열람")</f>
        <v/>
      </c>
    </row>
    <row r="13269">
      <c r="A13269" s="2" t="inlineStr">
        <is>
          <t>2026-06-26</t>
        </is>
      </c>
      <c r="B13269" s="3" t="inlineStr">
        <is>
          <t>디와이에이</t>
        </is>
      </c>
      <c r="C13269" s="2" t="inlineStr">
        <is>
          <t>코스피</t>
        </is>
      </c>
      <c r="D13269" s="2" t="inlineStr">
        <is>
          <t>002880</t>
        </is>
      </c>
      <c r="E13269" s="3" t="inlineStr">
        <is>
          <t>임원ㆍ주요주주특정증권등소유상황보고서</t>
        </is>
      </c>
      <c r="F13269" s="3" t="inlineStr">
        <is>
          <t>푸른산수목원</t>
        </is>
      </c>
      <c r="G13269" s="2" t="inlineStr">
        <is>
          <t>20260626000586</t>
        </is>
      </c>
      <c r="H13269" s="8">
        <f>HYPERLINK("https://dart.fss.or.kr/dsaf001/main.do?rcpNo=20260626000586", "공시열람")</f>
        <v/>
      </c>
    </row>
    <row r="13270">
      <c r="A13270" s="2" t="inlineStr">
        <is>
          <t>2026-06-26</t>
        </is>
      </c>
      <c r="B13270" s="3" t="inlineStr">
        <is>
          <t>NH투자증권</t>
        </is>
      </c>
      <c r="C13270" s="2" t="inlineStr">
        <is>
          <t>코스피</t>
        </is>
      </c>
      <c r="D13270" s="2" t="inlineStr">
        <is>
          <t>005940</t>
        </is>
      </c>
      <c r="E13270" s="3" t="inlineStr">
        <is>
          <t>증권발행실적보고서</t>
        </is>
      </c>
      <c r="F13270" s="3" t="inlineStr">
        <is>
          <t>NH투자증권</t>
        </is>
      </c>
      <c r="G13270" s="2" t="inlineStr">
        <is>
          <t>20260626000585</t>
        </is>
      </c>
      <c r="H13270" s="8">
        <f>HYPERLINK("https://dart.fss.or.kr/dsaf001/main.do?rcpNo=20260626000585", "공시열람")</f>
        <v/>
      </c>
    </row>
    <row r="13271">
      <c r="A13271" s="2" t="inlineStr">
        <is>
          <t>2026-06-26</t>
        </is>
      </c>
      <c r="B13271" s="3" t="inlineStr">
        <is>
          <t>토비스</t>
        </is>
      </c>
      <c r="C13271" s="2" t="inlineStr">
        <is>
          <t>코스닥</t>
        </is>
      </c>
      <c r="D13271" s="2" t="inlineStr">
        <is>
          <t>051360</t>
        </is>
      </c>
      <c r="E13271" s="3" t="inlineStr">
        <is>
          <t>임원ㆍ주요주주특정증권등소유상황보고서</t>
        </is>
      </c>
      <c r="F13271" s="3" t="inlineStr">
        <is>
          <t>김상옥</t>
        </is>
      </c>
      <c r="G13271" s="2" t="inlineStr">
        <is>
          <t>20260626000584</t>
        </is>
      </c>
      <c r="H13271" s="8">
        <f>HYPERLINK("https://dart.fss.or.kr/dsaf001/main.do?rcpNo=20260626000584", "공시열람")</f>
        <v/>
      </c>
    </row>
    <row r="13272">
      <c r="A13272" s="2" t="inlineStr">
        <is>
          <t>2026-06-26</t>
        </is>
      </c>
      <c r="B13272" s="3" t="inlineStr">
        <is>
          <t>에이루트</t>
        </is>
      </c>
      <c r="C13272" s="2" t="inlineStr">
        <is>
          <t>코스닥</t>
        </is>
      </c>
      <c r="D13272" s="2" t="inlineStr">
        <is>
          <t>096690</t>
        </is>
      </c>
      <c r="E13272" s="3" t="inlineStr">
        <is>
          <t>임원ㆍ주요주주특정증권등소유상황보고서</t>
        </is>
      </c>
      <c r="F13272" s="3" t="inlineStr">
        <is>
          <t>서문동군</t>
        </is>
      </c>
      <c r="G13272" s="2" t="inlineStr">
        <is>
          <t>20260626000582</t>
        </is>
      </c>
      <c r="H13272" s="8">
        <f>HYPERLINK("https://dart.fss.or.kr/dsaf001/main.do?rcpNo=20260626000582", "공시열람")</f>
        <v/>
      </c>
    </row>
    <row r="13273">
      <c r="A13273" s="2" t="inlineStr">
        <is>
          <t>2026-06-26</t>
        </is>
      </c>
      <c r="B13273" s="3" t="inlineStr">
        <is>
          <t>미래에셋증권</t>
        </is>
      </c>
      <c r="C13273" s="2" t="inlineStr">
        <is>
          <t>코스피</t>
        </is>
      </c>
      <c r="D13273" s="2" t="inlineStr">
        <is>
          <t>006800</t>
        </is>
      </c>
      <c r="E13273" s="3" t="inlineStr">
        <is>
          <t>투자설명서(일괄신고)</t>
        </is>
      </c>
      <c r="F13273" s="3" t="inlineStr">
        <is>
          <t>미래에셋증권</t>
        </is>
      </c>
      <c r="G13273" s="2" t="inlineStr">
        <is>
          <t>20260626000581</t>
        </is>
      </c>
      <c r="H13273" s="8">
        <f>HYPERLINK("https://dart.fss.or.kr/dsaf001/main.do?rcpNo=20260626000581", "공시열람")</f>
        <v/>
      </c>
    </row>
    <row r="13274">
      <c r="A13274" s="2" t="inlineStr">
        <is>
          <t>2026-06-26</t>
        </is>
      </c>
      <c r="B13274" s="3" t="inlineStr">
        <is>
          <t>키스트론</t>
        </is>
      </c>
      <c r="C13274" s="2" t="inlineStr">
        <is>
          <t>코스닥</t>
        </is>
      </c>
      <c r="D13274" s="2" t="inlineStr">
        <is>
          <t>475430</t>
        </is>
      </c>
      <c r="E13274" s="3" t="inlineStr">
        <is>
          <t>임원ㆍ주요주주특정증권등거래계획보고서</t>
        </is>
      </c>
      <c r="F13274" s="3" t="inlineStr">
        <is>
          <t>홍석표</t>
        </is>
      </c>
      <c r="G13274" s="2" t="inlineStr">
        <is>
          <t>20260626000576</t>
        </is>
      </c>
      <c r="H13274" s="8">
        <f>HYPERLINK("https://dart.fss.or.kr/dsaf001/main.do?rcpNo=20260626000576", "공시열람")</f>
        <v/>
      </c>
    </row>
    <row r="13275">
      <c r="A13275" s="2" t="inlineStr">
        <is>
          <t>2026-06-26</t>
        </is>
      </c>
      <c r="B13275" s="3" t="inlineStr">
        <is>
          <t>에이루트</t>
        </is>
      </c>
      <c r="C13275" s="2" t="inlineStr">
        <is>
          <t>코스닥</t>
        </is>
      </c>
      <c r="D13275" s="2" t="inlineStr">
        <is>
          <t>096690</t>
        </is>
      </c>
      <c r="E13275" s="3" t="inlineStr">
        <is>
          <t>임원ㆍ주요주주특정증권등소유상황보고서</t>
        </is>
      </c>
      <c r="F13275" s="3" t="inlineStr">
        <is>
          <t>이대성</t>
        </is>
      </c>
      <c r="G13275" s="2" t="inlineStr">
        <is>
          <t>20260626000574</t>
        </is>
      </c>
      <c r="H13275" s="8">
        <f>HYPERLINK("https://dart.fss.or.kr/dsaf001/main.do?rcpNo=20260626000574", "공시열람")</f>
        <v/>
      </c>
    </row>
    <row r="13276">
      <c r="A13276" s="2" t="inlineStr">
        <is>
          <t>2026-06-26</t>
        </is>
      </c>
      <c r="B13276" s="3" t="inlineStr">
        <is>
          <t>삼천리</t>
        </is>
      </c>
      <c r="C13276" s="2" t="inlineStr">
        <is>
          <t>코스피</t>
        </is>
      </c>
      <c r="D13276" s="2" t="inlineStr">
        <is>
          <t>004690</t>
        </is>
      </c>
      <c r="E13276" s="3" t="inlineStr">
        <is>
          <t>임원ㆍ주요주주특정증권등소유상황보고서</t>
        </is>
      </c>
      <c r="F13276" s="3" t="inlineStr">
        <is>
          <t>허재혁</t>
        </is>
      </c>
      <c r="G13276" s="2" t="inlineStr">
        <is>
          <t>20260626000572</t>
        </is>
      </c>
      <c r="H13276" s="8">
        <f>HYPERLINK("https://dart.fss.or.kr/dsaf001/main.do?rcpNo=20260626000572", "공시열람")</f>
        <v/>
      </c>
    </row>
    <row r="13277">
      <c r="A13277" s="2" t="inlineStr">
        <is>
          <t>2026-06-26</t>
        </is>
      </c>
      <c r="B13277" s="3" t="inlineStr">
        <is>
          <t>키스트론</t>
        </is>
      </c>
      <c r="C13277" s="2" t="inlineStr">
        <is>
          <t>코스닥</t>
        </is>
      </c>
      <c r="D13277" s="2" t="inlineStr">
        <is>
          <t>475430</t>
        </is>
      </c>
      <c r="E13277" s="3" t="inlineStr">
        <is>
          <t>임원ㆍ주요주주특정증권등거래계획보고서</t>
        </is>
      </c>
      <c r="F13277" s="3" t="inlineStr">
        <is>
          <t>홍덕산업</t>
        </is>
      </c>
      <c r="G13277" s="2" t="inlineStr">
        <is>
          <t>20260626000570</t>
        </is>
      </c>
      <c r="H13277" s="8">
        <f>HYPERLINK("https://dart.fss.or.kr/dsaf001/main.do?rcpNo=20260626000570", "공시열람")</f>
        <v/>
      </c>
    </row>
    <row r="13278">
      <c r="A13278" s="2" t="inlineStr">
        <is>
          <t>2026-06-26</t>
        </is>
      </c>
      <c r="B13278" s="3" t="inlineStr">
        <is>
          <t>종근당바이오</t>
        </is>
      </c>
      <c r="C13278" s="2" t="inlineStr">
        <is>
          <t>코스피</t>
        </is>
      </c>
      <c r="D13278" s="2" t="inlineStr">
        <is>
          <t>063160</t>
        </is>
      </c>
      <c r="E13278" s="3" t="inlineStr">
        <is>
          <t xml:space="preserve">지속가능경영보고서등관련사항(자율공시)              </t>
        </is>
      </c>
      <c r="F13278" s="3" t="inlineStr">
        <is>
          <t>종근당바이오</t>
        </is>
      </c>
      <c r="G13278" s="2" t="inlineStr">
        <is>
          <t>20260626800896</t>
        </is>
      </c>
      <c r="H13278" s="8">
        <f>HYPERLINK("https://dart.fss.or.kr/dsaf001/main.do?rcpNo=20260626800896", "공시열람")</f>
        <v/>
      </c>
    </row>
    <row r="13279">
      <c r="A13279" s="2" t="inlineStr">
        <is>
          <t>2026-06-26</t>
        </is>
      </c>
      <c r="B13279" s="3" t="inlineStr">
        <is>
          <t>LX홀딩스</t>
        </is>
      </c>
      <c r="C13279" s="2" t="inlineStr">
        <is>
          <t>코스피</t>
        </is>
      </c>
      <c r="D13279" s="2" t="inlineStr">
        <is>
          <t>383800</t>
        </is>
      </c>
      <c r="E13279" s="3" t="inlineStr">
        <is>
          <t xml:space="preserve">단기차입금증가결정(자회사의 주요경영사항)              </t>
        </is>
      </c>
      <c r="F13279" s="3" t="inlineStr">
        <is>
          <t>LX홀딩스</t>
        </is>
      </c>
      <c r="G13279" s="2" t="inlineStr">
        <is>
          <t>20260626800830</t>
        </is>
      </c>
      <c r="H13279" s="8">
        <f>HYPERLINK("https://dart.fss.or.kr/dsaf001/main.do?rcpNo=20260626800830", "공시열람")</f>
        <v/>
      </c>
    </row>
    <row r="13280">
      <c r="A13280" s="2" t="inlineStr">
        <is>
          <t>2026-06-26</t>
        </is>
      </c>
      <c r="B13280" s="3" t="inlineStr">
        <is>
          <t>크래프톤</t>
        </is>
      </c>
      <c r="C13280" s="2" t="inlineStr">
        <is>
          <t>코스피</t>
        </is>
      </c>
      <c r="D13280" s="2" t="inlineStr">
        <is>
          <t>259960</t>
        </is>
      </c>
      <c r="E13280" s="3" t="inlineStr">
        <is>
          <t>자기주식취득결과보고서</t>
        </is>
      </c>
      <c r="F13280" s="3" t="inlineStr">
        <is>
          <t>크래프톤</t>
        </is>
      </c>
      <c r="G13280" s="2" t="inlineStr">
        <is>
          <t>20260626000565</t>
        </is>
      </c>
      <c r="H13280" s="8">
        <f>HYPERLINK("https://dart.fss.or.kr/dsaf001/main.do?rcpNo=20260626000565", "공시열람")</f>
        <v/>
      </c>
    </row>
    <row r="13281">
      <c r="A13281" s="2" t="inlineStr">
        <is>
          <t>2026-06-26</t>
        </is>
      </c>
      <c r="B13281" s="3" t="inlineStr">
        <is>
          <t>한화투자증권</t>
        </is>
      </c>
      <c r="C13281" s="2" t="inlineStr">
        <is>
          <t>코스피</t>
        </is>
      </c>
      <c r="D13281" s="2" t="inlineStr">
        <is>
          <t>003530</t>
        </is>
      </c>
      <c r="E13281" s="3" t="inlineStr">
        <is>
          <t>투자설명서(일괄신고)</t>
        </is>
      </c>
      <c r="F13281" s="3" t="inlineStr">
        <is>
          <t>한화투자증권</t>
        </is>
      </c>
      <c r="G13281" s="2" t="inlineStr">
        <is>
          <t>20260626000564</t>
        </is>
      </c>
      <c r="H13281" s="8">
        <f>HYPERLINK("https://dart.fss.or.kr/dsaf001/main.do?rcpNo=20260626000564", "공시열람")</f>
        <v/>
      </c>
    </row>
    <row r="13282">
      <c r="A13282" s="2" t="inlineStr">
        <is>
          <t>2026-06-26</t>
        </is>
      </c>
      <c r="B13282" s="3" t="inlineStr">
        <is>
          <t>키스트론</t>
        </is>
      </c>
      <c r="C13282" s="2" t="inlineStr">
        <is>
          <t>코스닥</t>
        </is>
      </c>
      <c r="D13282" s="2" t="inlineStr">
        <is>
          <t>475430</t>
        </is>
      </c>
      <c r="E13282" s="3" t="inlineStr">
        <is>
          <t>임원ㆍ주요주주특정증권등거래계획보고서</t>
        </is>
      </c>
      <c r="F13282" s="3" t="inlineStr">
        <is>
          <t>홍희연</t>
        </is>
      </c>
      <c r="G13282" s="2" t="inlineStr">
        <is>
          <t>20260626000563</t>
        </is>
      </c>
      <c r="H13282" s="8">
        <f>HYPERLINK("https://dart.fss.or.kr/dsaf001/main.do?rcpNo=20260626000563", "공시열람")</f>
        <v/>
      </c>
    </row>
    <row r="13283">
      <c r="A13283" s="2" t="inlineStr">
        <is>
          <t>2026-06-26</t>
        </is>
      </c>
      <c r="B13283" s="3" t="inlineStr">
        <is>
          <t>얼라인드</t>
        </is>
      </c>
      <c r="C13283" s="2" t="inlineStr">
        <is>
          <t>코스닥</t>
        </is>
      </c>
      <c r="D13283" s="2" t="inlineStr">
        <is>
          <t>238120</t>
        </is>
      </c>
      <c r="E13283" s="3" t="inlineStr">
        <is>
          <t>임원ㆍ주요주주특정증권등소유상황보고서</t>
        </is>
      </c>
      <c r="F13283" s="3" t="inlineStr">
        <is>
          <t>정연석</t>
        </is>
      </c>
      <c r="G13283" s="2" t="inlineStr">
        <is>
          <t>20260626000562</t>
        </is>
      </c>
      <c r="H13283" s="8">
        <f>HYPERLINK("https://dart.fss.or.kr/dsaf001/main.do?rcpNo=20260626000562", "공시열람")</f>
        <v/>
      </c>
    </row>
    <row r="13284">
      <c r="A13284" s="2" t="inlineStr">
        <is>
          <t>2026-06-26</t>
        </is>
      </c>
      <c r="B13284" s="3" t="inlineStr">
        <is>
          <t>미래에셋증권</t>
        </is>
      </c>
      <c r="C13284" s="2" t="inlineStr">
        <is>
          <t>코스피</t>
        </is>
      </c>
      <c r="D13284" s="2" t="inlineStr">
        <is>
          <t>006800</t>
        </is>
      </c>
      <c r="E13284" s="3" t="inlineStr">
        <is>
          <t>일괄신고추가서류(파생결합증권-주가연계증권)</t>
        </is>
      </c>
      <c r="F13284" s="3" t="inlineStr">
        <is>
          <t>미래에셋증권</t>
        </is>
      </c>
      <c r="G13284" s="2" t="inlineStr">
        <is>
          <t>20260626000560</t>
        </is>
      </c>
      <c r="H13284" s="8">
        <f>HYPERLINK("https://dart.fss.or.kr/dsaf001/main.do?rcpNo=20260626000560", "공시열람")</f>
        <v/>
      </c>
    </row>
    <row r="13285">
      <c r="A13285" s="2" t="inlineStr">
        <is>
          <t>2026-06-26</t>
        </is>
      </c>
      <c r="B13285" s="3" t="inlineStr">
        <is>
          <t>하이즈항공</t>
        </is>
      </c>
      <c r="C13285" s="2" t="inlineStr">
        <is>
          <t>코스닥</t>
        </is>
      </c>
      <c r="D13285" s="2" t="inlineStr">
        <is>
          <t>221840</t>
        </is>
      </c>
      <c r="E13285" s="3" t="inlineStr">
        <is>
          <t>소송등의판결ㆍ결정              (회계장부 등 열람등사 신청)</t>
        </is>
      </c>
      <c r="F13285" s="3" t="inlineStr">
        <is>
          <t>하이즈항공</t>
        </is>
      </c>
      <c r="G13285" s="2" t="inlineStr">
        <is>
          <t>20260626900836</t>
        </is>
      </c>
      <c r="H13285" s="8">
        <f>HYPERLINK("https://dart.fss.or.kr/dsaf001/main.do?rcpNo=20260626900836", "공시열람")</f>
        <v/>
      </c>
    </row>
    <row r="13286">
      <c r="A13286" s="2" t="inlineStr">
        <is>
          <t>2026-06-26</t>
        </is>
      </c>
      <c r="B13286" s="3" t="inlineStr">
        <is>
          <t>토비스</t>
        </is>
      </c>
      <c r="C13286" s="2" t="inlineStr">
        <is>
          <t>코스닥</t>
        </is>
      </c>
      <c r="D13286" s="2" t="inlineStr">
        <is>
          <t>051360</t>
        </is>
      </c>
      <c r="E13286" s="3" t="inlineStr">
        <is>
          <t>임원ㆍ주요주주특정증권등소유상황보고서</t>
        </is>
      </c>
      <c r="F13286" s="3" t="inlineStr">
        <is>
          <t>김준기</t>
        </is>
      </c>
      <c r="G13286" s="2" t="inlineStr">
        <is>
          <t>20260626000559</t>
        </is>
      </c>
      <c r="H13286" s="8">
        <f>HYPERLINK("https://dart.fss.or.kr/dsaf001/main.do?rcpNo=20260626000559", "공시열람")</f>
        <v/>
      </c>
    </row>
    <row r="13287">
      <c r="A13287" s="2" t="inlineStr">
        <is>
          <t>2026-06-26</t>
        </is>
      </c>
      <c r="B13287" s="3" t="inlineStr">
        <is>
          <t>우리이앤엘하루틴</t>
        </is>
      </c>
      <c r="C13287" s="2" t="inlineStr">
        <is>
          <t>코스닥</t>
        </is>
      </c>
      <c r="D13287" s="2" t="inlineStr">
        <is>
          <t>153490</t>
        </is>
      </c>
      <c r="E13287" s="3" t="inlineStr">
        <is>
          <t>자기주식취득결과보고서</t>
        </is>
      </c>
      <c r="F13287" s="3" t="inlineStr">
        <is>
          <t>우리이앤엘하루틴</t>
        </is>
      </c>
      <c r="G13287" s="2" t="inlineStr">
        <is>
          <t>20260626000553</t>
        </is>
      </c>
      <c r="H13287" s="8">
        <f>HYPERLINK("https://dart.fss.or.kr/dsaf001/main.do?rcpNo=20260626000553", "공시열람")</f>
        <v/>
      </c>
    </row>
    <row r="13288">
      <c r="A13288" s="2" t="inlineStr">
        <is>
          <t>2026-06-26</t>
        </is>
      </c>
      <c r="B13288" s="3" t="inlineStr">
        <is>
          <t>에이루트</t>
        </is>
      </c>
      <c r="C13288" s="2" t="inlineStr">
        <is>
          <t>코스닥</t>
        </is>
      </c>
      <c r="D13288" s="2" t="inlineStr">
        <is>
          <t>096690</t>
        </is>
      </c>
      <c r="E13288" s="3" t="inlineStr">
        <is>
          <t>임원ㆍ주요주주특정증권등소유상황보고서</t>
        </is>
      </c>
      <c r="F13288" s="3" t="inlineStr">
        <is>
          <t>최정임</t>
        </is>
      </c>
      <c r="G13288" s="2" t="inlineStr">
        <is>
          <t>20260626000548</t>
        </is>
      </c>
      <c r="H13288" s="8">
        <f>HYPERLINK("https://dart.fss.or.kr/dsaf001/main.do?rcpNo=20260626000548", "공시열람")</f>
        <v/>
      </c>
    </row>
    <row r="13289">
      <c r="A13289" s="2" t="inlineStr">
        <is>
          <t>2026-06-26</t>
        </is>
      </c>
      <c r="B13289" s="3" t="inlineStr">
        <is>
          <t>삼성전자</t>
        </is>
      </c>
      <c r="C13289" s="2" t="inlineStr">
        <is>
          <t>코스피</t>
        </is>
      </c>
      <c r="D13289" s="2" t="inlineStr">
        <is>
          <t>005930</t>
        </is>
      </c>
      <c r="E13289" s="3" t="inlineStr">
        <is>
          <t xml:space="preserve">지속가능경영보고서등관련사항(자율공시)              </t>
        </is>
      </c>
      <c r="F13289" s="3" t="inlineStr">
        <is>
          <t>삼성전자</t>
        </is>
      </c>
      <c r="G13289" s="2" t="inlineStr">
        <is>
          <t>20260626800871</t>
        </is>
      </c>
      <c r="H13289" s="8">
        <f>HYPERLINK("https://dart.fss.or.kr/dsaf001/main.do?rcpNo=20260626800871", "공시열람")</f>
        <v/>
      </c>
    </row>
    <row r="13290">
      <c r="A13290" s="2" t="inlineStr">
        <is>
          <t>2026-06-26</t>
        </is>
      </c>
      <c r="B13290" s="3" t="inlineStr">
        <is>
          <t>플레이위드</t>
        </is>
      </c>
      <c r="C13290" s="2" t="inlineStr">
        <is>
          <t>코스닥</t>
        </is>
      </c>
      <c r="D13290" s="2" t="inlineStr">
        <is>
          <t>023770</t>
        </is>
      </c>
      <c r="E13290" s="3" t="inlineStr">
        <is>
          <t>임원ㆍ주요주주특정증권등소유상황보고서</t>
        </is>
      </c>
      <c r="F13290" s="3" t="inlineStr">
        <is>
          <t>김학준</t>
        </is>
      </c>
      <c r="G13290" s="2" t="inlineStr">
        <is>
          <t>20260626000546</t>
        </is>
      </c>
      <c r="H13290" s="8">
        <f>HYPERLINK("https://dart.fss.or.kr/dsaf001/main.do?rcpNo=20260626000546", "공시열람")</f>
        <v/>
      </c>
    </row>
    <row r="13291">
      <c r="A13291" s="2" t="inlineStr">
        <is>
          <t>2026-06-26</t>
        </is>
      </c>
      <c r="B13291" s="3" t="inlineStr">
        <is>
          <t>S&amp;K폴리텍</t>
        </is>
      </c>
      <c r="C13291" s="2" t="inlineStr">
        <is>
          <t>코스닥</t>
        </is>
      </c>
      <c r="D13291" s="2" t="inlineStr">
        <is>
          <t>091340</t>
        </is>
      </c>
      <c r="E13291" s="3" t="inlineStr">
        <is>
          <t xml:space="preserve">타법인주식및출자증권취득결정              </t>
        </is>
      </c>
      <c r="F13291" s="3" t="inlineStr">
        <is>
          <t>S&amp;K폴리텍</t>
        </is>
      </c>
      <c r="G13291" s="2" t="inlineStr">
        <is>
          <t>20260626900847</t>
        </is>
      </c>
      <c r="H13291" s="8">
        <f>HYPERLINK("https://dart.fss.or.kr/dsaf001/main.do?rcpNo=20260626900847", "공시열람")</f>
        <v/>
      </c>
    </row>
    <row r="13292">
      <c r="A13292" s="2" t="inlineStr">
        <is>
          <t>2026-06-26</t>
        </is>
      </c>
      <c r="B13292" s="3" t="inlineStr">
        <is>
          <t>KG케미칼</t>
        </is>
      </c>
      <c r="C13292" s="2" t="inlineStr">
        <is>
          <t>코스피</t>
        </is>
      </c>
      <c r="D13292" s="2" t="inlineStr">
        <is>
          <t>001390</t>
        </is>
      </c>
      <c r="E13292" s="3" t="inlineStr">
        <is>
          <t xml:space="preserve">주주명부폐쇄기간또는기준일설정              </t>
        </is>
      </c>
      <c r="F13292" s="3" t="inlineStr">
        <is>
          <t>KG케미칼</t>
        </is>
      </c>
      <c r="G13292" s="2" t="inlineStr">
        <is>
          <t>20260626800810</t>
        </is>
      </c>
      <c r="H13292" s="8">
        <f>HYPERLINK("https://dart.fss.or.kr/dsaf001/main.do?rcpNo=20260626800810", "공시열람")</f>
        <v/>
      </c>
    </row>
    <row r="13293">
      <c r="A13293" s="2" t="inlineStr">
        <is>
          <t>2026-06-26</t>
        </is>
      </c>
      <c r="B13293" s="3" t="inlineStr">
        <is>
          <t>키스트론</t>
        </is>
      </c>
      <c r="C13293" s="2" t="inlineStr">
        <is>
          <t>코스닥</t>
        </is>
      </c>
      <c r="D13293" s="2" t="inlineStr">
        <is>
          <t>475430</t>
        </is>
      </c>
      <c r="E13293" s="3" t="inlineStr">
        <is>
          <t>임원ㆍ주요주주특정증권등거래계획보고서</t>
        </is>
      </c>
      <c r="F13293" s="3" t="inlineStr">
        <is>
          <t>키스와이어홀딩스</t>
        </is>
      </c>
      <c r="G13293" s="2" t="inlineStr">
        <is>
          <t>20260626000540</t>
        </is>
      </c>
      <c r="H13293" s="8">
        <f>HYPERLINK("https://dart.fss.or.kr/dsaf001/main.do?rcpNo=20260626000540", "공시열람")</f>
        <v/>
      </c>
    </row>
    <row r="13294">
      <c r="A13294" s="2" t="inlineStr">
        <is>
          <t>2026-06-26</t>
        </is>
      </c>
      <c r="B13294" s="3" t="inlineStr">
        <is>
          <t>한익스프레스</t>
        </is>
      </c>
      <c r="C13294" s="2" t="inlineStr">
        <is>
          <t>코스피</t>
        </is>
      </c>
      <c r="D13294" s="2" t="inlineStr">
        <is>
          <t>014130</t>
        </is>
      </c>
      <c r="E13294" s="3" t="inlineStr">
        <is>
          <t>임원ㆍ주요주주특정증권등소유상황보고서</t>
        </is>
      </c>
      <c r="F13294" s="3" t="inlineStr">
        <is>
          <t>Lee Drew Sukhwan 이석환</t>
        </is>
      </c>
      <c r="G13294" s="2" t="inlineStr">
        <is>
          <t>20260626000538</t>
        </is>
      </c>
      <c r="H13294" s="8">
        <f>HYPERLINK("https://dart.fss.or.kr/dsaf001/main.do?rcpNo=20260626000538", "공시열람")</f>
        <v/>
      </c>
    </row>
    <row r="13295">
      <c r="A13295" s="2" t="inlineStr">
        <is>
          <t>2026-06-26</t>
        </is>
      </c>
      <c r="B13295" s="3" t="inlineStr">
        <is>
          <t>광동헬스바이오</t>
        </is>
      </c>
      <c r="C13295" s="2" t="inlineStr">
        <is>
          <t>코넥스</t>
        </is>
      </c>
      <c r="D13295" s="2" t="inlineStr">
        <is>
          <t>086220</t>
        </is>
      </c>
      <c r="E13295" s="3" t="inlineStr">
        <is>
          <t xml:space="preserve">기업설명회(IR)개최결과              </t>
        </is>
      </c>
      <c r="F13295" s="3" t="inlineStr">
        <is>
          <t>광동헬스바이오</t>
        </is>
      </c>
      <c r="G13295" s="2" t="inlineStr">
        <is>
          <t>20260626600795</t>
        </is>
      </c>
      <c r="H13295" s="8">
        <f>HYPERLINK("https://dart.fss.or.kr/dsaf001/main.do?rcpNo=20260626600795", "공시열람")</f>
        <v/>
      </c>
    </row>
    <row r="13296">
      <c r="A13296" s="2" t="inlineStr">
        <is>
          <t>2026-06-26</t>
        </is>
      </c>
      <c r="B13296" s="3" t="inlineStr">
        <is>
          <t>펨토바이오메드</t>
        </is>
      </c>
      <c r="C13296" s="2" t="inlineStr">
        <is>
          <t>코넥스</t>
        </is>
      </c>
      <c r="D13296" s="2" t="inlineStr">
        <is>
          <t>327610</t>
        </is>
      </c>
      <c r="E13296" s="3" t="inlineStr">
        <is>
          <t>주권매매거래정지기간변경              (지정자문인 계약해지)</t>
        </is>
      </c>
      <c r="F13296" s="3" t="inlineStr">
        <is>
          <t>코넥스시장</t>
        </is>
      </c>
      <c r="G13296" s="2" t="inlineStr">
        <is>
          <t>20260626600841</t>
        </is>
      </c>
      <c r="H13296" s="8">
        <f>HYPERLINK("https://dart.fss.or.kr/dsaf001/main.do?rcpNo=20260626600841", "공시열람")</f>
        <v/>
      </c>
    </row>
    <row r="13297">
      <c r="A13297" s="2" t="inlineStr">
        <is>
          <t>2026-06-26</t>
        </is>
      </c>
      <c r="B13297" s="3" t="inlineStr">
        <is>
          <t>미래에셋생명</t>
        </is>
      </c>
      <c r="C13297" s="2" t="inlineStr">
        <is>
          <t>코스피</t>
        </is>
      </c>
      <c r="D13297" s="2" t="inlineStr">
        <is>
          <t>085620</t>
        </is>
      </c>
      <c r="E13297" s="3" t="inlineStr">
        <is>
          <t>특수관계인과의수익증권거래</t>
        </is>
      </c>
      <c r="F13297" s="3" t="inlineStr">
        <is>
          <t>미래에셋생명</t>
        </is>
      </c>
      <c r="G13297" s="2" t="inlineStr">
        <is>
          <t>20260626000536</t>
        </is>
      </c>
      <c r="H13297" s="8">
        <f>HYPERLINK("https://dart.fss.or.kr/dsaf001/main.do?rcpNo=20260626000536", "공시열람")</f>
        <v/>
      </c>
    </row>
    <row r="13298">
      <c r="A13298" s="2" t="inlineStr">
        <is>
          <t>2026-06-26</t>
        </is>
      </c>
      <c r="B13298" s="3" t="inlineStr">
        <is>
          <t>펨토바이오메드</t>
        </is>
      </c>
      <c r="C13298" s="2" t="inlineStr">
        <is>
          <t>코넥스</t>
        </is>
      </c>
      <c r="D13298" s="2" t="inlineStr">
        <is>
          <t>327610</t>
        </is>
      </c>
      <c r="E13298" s="3" t="inlineStr">
        <is>
          <t>기타시장안내              (지정자문인 계약해지)</t>
        </is>
      </c>
      <c r="F13298" s="3" t="inlineStr">
        <is>
          <t>코넥스시장</t>
        </is>
      </c>
      <c r="G13298" s="2" t="inlineStr">
        <is>
          <t>20260626600818</t>
        </is>
      </c>
      <c r="H13298" s="8">
        <f>HYPERLINK("https://dart.fss.or.kr/dsaf001/main.do?rcpNo=20260626600818", "공시열람")</f>
        <v/>
      </c>
    </row>
    <row r="13299">
      <c r="A13299" s="2" t="inlineStr">
        <is>
          <t>2026-06-26</t>
        </is>
      </c>
      <c r="B13299" s="3" t="inlineStr">
        <is>
          <t>펨토바이오메드</t>
        </is>
      </c>
      <c r="C13299" s="2" t="inlineStr">
        <is>
          <t>코넥스</t>
        </is>
      </c>
      <c r="D13299" s="2" t="inlineStr">
        <is>
          <t>327610</t>
        </is>
      </c>
      <c r="E13299" s="3" t="inlineStr">
        <is>
          <t xml:space="preserve">지정자문인선임계약의해지              </t>
        </is>
      </c>
      <c r="F13299" s="3" t="inlineStr">
        <is>
          <t>펨토바이오메드</t>
        </is>
      </c>
      <c r="G13299" s="2" t="inlineStr">
        <is>
          <t>20260626600794</t>
        </is>
      </c>
      <c r="H13299" s="8">
        <f>HYPERLINK("https://dart.fss.or.kr/dsaf001/main.do?rcpNo=20260626600794", "공시열람")</f>
        <v/>
      </c>
    </row>
    <row r="13300">
      <c r="A13300" s="2" t="inlineStr">
        <is>
          <t>2026-06-26</t>
        </is>
      </c>
      <c r="B13300" s="3" t="inlineStr">
        <is>
          <t>미래에셋생명</t>
        </is>
      </c>
      <c r="C13300" s="2" t="inlineStr">
        <is>
          <t>코스피</t>
        </is>
      </c>
      <c r="D13300" s="2" t="inlineStr">
        <is>
          <t>085620</t>
        </is>
      </c>
      <c r="E13300" s="3" t="inlineStr">
        <is>
          <t>특수관계인과의수익증권거래</t>
        </is>
      </c>
      <c r="F13300" s="3" t="inlineStr">
        <is>
          <t>미래에셋생명</t>
        </is>
      </c>
      <c r="G13300" s="2" t="inlineStr">
        <is>
          <t>20260626000532</t>
        </is>
      </c>
      <c r="H13300" s="8">
        <f>HYPERLINK("https://dart.fss.or.kr/dsaf001/main.do?rcpNo=20260626000532", "공시열람")</f>
        <v/>
      </c>
    </row>
    <row r="13301">
      <c r="A13301" s="2" t="inlineStr">
        <is>
          <t>2026-06-26</t>
        </is>
      </c>
      <c r="B13301" s="3" t="inlineStr">
        <is>
          <t>현대차증권</t>
        </is>
      </c>
      <c r="C13301" s="2" t="inlineStr">
        <is>
          <t>코스피</t>
        </is>
      </c>
      <c r="D13301" s="2" t="inlineStr">
        <is>
          <t>001500</t>
        </is>
      </c>
      <c r="E13301" s="3" t="inlineStr">
        <is>
          <t>일괄신고추가서류(파생결합증권-주가연계증권)</t>
        </is>
      </c>
      <c r="F13301" s="3" t="inlineStr">
        <is>
          <t>현대차증권</t>
        </is>
      </c>
      <c r="G13301" s="2" t="inlineStr">
        <is>
          <t>20260626000527</t>
        </is>
      </c>
      <c r="H13301" s="8">
        <f>HYPERLINK("https://dart.fss.or.kr/dsaf001/main.do?rcpNo=20260626000527", "공시열람")</f>
        <v/>
      </c>
    </row>
    <row r="13302">
      <c r="A13302" s="2" t="inlineStr">
        <is>
          <t>2026-06-26</t>
        </is>
      </c>
      <c r="B13302" s="3" t="inlineStr">
        <is>
          <t>미래에셋생명</t>
        </is>
      </c>
      <c r="C13302" s="2" t="inlineStr">
        <is>
          <t>코스피</t>
        </is>
      </c>
      <c r="D13302" s="2" t="inlineStr">
        <is>
          <t>085620</t>
        </is>
      </c>
      <c r="E13302" s="3" t="inlineStr">
        <is>
          <t>특수관계인과의수익증권거래</t>
        </is>
      </c>
      <c r="F13302" s="3" t="inlineStr">
        <is>
          <t>미래에셋생명</t>
        </is>
      </c>
      <c r="G13302" s="2" t="inlineStr">
        <is>
          <t>20260626000526</t>
        </is>
      </c>
      <c r="H13302" s="8">
        <f>HYPERLINK("https://dart.fss.or.kr/dsaf001/main.do?rcpNo=20260626000526", "공시열람")</f>
        <v/>
      </c>
    </row>
    <row r="13303">
      <c r="A13303" s="2" t="inlineStr">
        <is>
          <t>2026-06-26</t>
        </is>
      </c>
      <c r="B13303" s="3" t="inlineStr">
        <is>
          <t>토비스</t>
        </is>
      </c>
      <c r="C13303" s="2" t="inlineStr">
        <is>
          <t>코스닥</t>
        </is>
      </c>
      <c r="D13303" s="2" t="inlineStr">
        <is>
          <t>051360</t>
        </is>
      </c>
      <c r="E13303" s="3" t="inlineStr">
        <is>
          <t>임원ㆍ주요주주특정증권등소유상황보고서</t>
        </is>
      </c>
      <c r="F13303" s="3" t="inlineStr">
        <is>
          <t>유병일</t>
        </is>
      </c>
      <c r="G13303" s="2" t="inlineStr">
        <is>
          <t>20260626000525</t>
        </is>
      </c>
      <c r="H13303" s="8">
        <f>HYPERLINK("https://dart.fss.or.kr/dsaf001/main.do?rcpNo=20260626000525", "공시열람")</f>
        <v/>
      </c>
    </row>
    <row r="13304">
      <c r="A13304" s="2" t="inlineStr">
        <is>
          <t>2026-06-26</t>
        </is>
      </c>
      <c r="B13304" s="3" t="inlineStr">
        <is>
          <t>POSCO홀딩스</t>
        </is>
      </c>
      <c r="C13304" s="2" t="inlineStr">
        <is>
          <t>코스피</t>
        </is>
      </c>
      <c r="D13304" s="2" t="inlineStr">
        <is>
          <t>005490</t>
        </is>
      </c>
      <c r="E13304" s="3" t="inlineStr">
        <is>
          <t xml:space="preserve">지속가능경영보고서등관련사항(자율공시)              </t>
        </is>
      </c>
      <c r="F13304" s="3" t="inlineStr">
        <is>
          <t>POSCO홀딩스</t>
        </is>
      </c>
      <c r="G13304" s="2" t="inlineStr">
        <is>
          <t>20260626800833</t>
        </is>
      </c>
      <c r="H13304" s="8">
        <f>HYPERLINK("https://dart.fss.or.kr/dsaf001/main.do?rcpNo=20260626800833", "공시열람")</f>
        <v/>
      </c>
    </row>
    <row r="13305">
      <c r="A13305" s="2" t="inlineStr">
        <is>
          <t>2026-06-26 (정정: 2026-06-26)</t>
        </is>
      </c>
      <c r="B13305" s="3" t="inlineStr">
        <is>
          <t>대한항공</t>
        </is>
      </c>
      <c r="C13305" s="2" t="inlineStr">
        <is>
          <t>코스피</t>
        </is>
      </c>
      <c r="D13305" s="2" t="inlineStr">
        <is>
          <t>003490</t>
        </is>
      </c>
      <c r="E13305" s="3" t="inlineStr">
        <is>
          <t>임원ㆍ주요주주특정증권등소유상황보고서 (정정: 20260626) (정정: 20260626)</t>
        </is>
      </c>
      <c r="F13305" s="3" t="inlineStr">
        <is>
          <t>이종혁</t>
        </is>
      </c>
      <c r="G13305" s="2" t="inlineStr">
        <is>
          <t>20260626000005</t>
        </is>
      </c>
      <c r="H13305" s="8">
        <f>HYPERLINK("https://dart.fss.or.kr/dsaf001/main.do?rcpNo=20260626000005", "공시열람")</f>
        <v/>
      </c>
    </row>
    <row r="13306">
      <c r="A13306" s="2" t="inlineStr">
        <is>
          <t>2026-06-26</t>
        </is>
      </c>
      <c r="B13306" s="3" t="inlineStr">
        <is>
          <t>미스토홀딩스</t>
        </is>
      </c>
      <c r="C13306" s="2" t="inlineStr">
        <is>
          <t>코스피</t>
        </is>
      </c>
      <c r="D13306" s="2" t="inlineStr">
        <is>
          <t>081660</t>
        </is>
      </c>
      <c r="E13306" s="3" t="inlineStr">
        <is>
          <t xml:space="preserve">지속가능경영보고서등관련사항(자율공시)              </t>
        </is>
      </c>
      <c r="F13306" s="3" t="inlineStr">
        <is>
          <t>미스토홀딩스</t>
        </is>
      </c>
      <c r="G13306" s="2" t="inlineStr">
        <is>
          <t>20260626800827</t>
        </is>
      </c>
      <c r="H13306" s="8">
        <f>HYPERLINK("https://dart.fss.or.kr/dsaf001/main.do?rcpNo=20260626800827", "공시열람")</f>
        <v/>
      </c>
    </row>
    <row r="13307">
      <c r="A13307" s="2" t="inlineStr">
        <is>
          <t>2026-06-26</t>
        </is>
      </c>
      <c r="B13307" s="3" t="inlineStr">
        <is>
          <t>이녹스첨단소재</t>
        </is>
      </c>
      <c r="C13307" s="2" t="inlineStr">
        <is>
          <t>코스닥</t>
        </is>
      </c>
      <c r="D13307" s="2" t="inlineStr">
        <is>
          <t>272290</t>
        </is>
      </c>
      <c r="E13307" s="3" t="inlineStr">
        <is>
          <t>임원ㆍ주요주주특정증권등소유상황보고서</t>
        </is>
      </c>
      <c r="F13307" s="3" t="inlineStr">
        <is>
          <t>이녹스</t>
        </is>
      </c>
      <c r="G13307" s="2" t="inlineStr">
        <is>
          <t>20260626000523</t>
        </is>
      </c>
      <c r="H13307" s="8">
        <f>HYPERLINK("https://dart.fss.or.kr/dsaf001/main.do?rcpNo=20260626000523", "공시열람")</f>
        <v/>
      </c>
    </row>
    <row r="13308">
      <c r="A13308" s="2" t="inlineStr">
        <is>
          <t>2026-06-26</t>
        </is>
      </c>
      <c r="B13308" s="3" t="inlineStr">
        <is>
          <t>테라사이언스</t>
        </is>
      </c>
      <c r="C13308" s="2" t="inlineStr">
        <is>
          <t>코스닥</t>
        </is>
      </c>
      <c r="D13308" s="2" t="inlineStr">
        <is>
          <t>073640</t>
        </is>
      </c>
      <c r="E13308" s="3" t="inlineStr">
        <is>
          <t>증권발행결과(자율공시)              (제3자배정)</t>
        </is>
      </c>
      <c r="F13308" s="3" t="inlineStr">
        <is>
          <t>테라사이언스</t>
        </is>
      </c>
      <c r="G13308" s="2" t="inlineStr">
        <is>
          <t>20260626900784</t>
        </is>
      </c>
      <c r="H13308" s="8">
        <f>HYPERLINK("https://dart.fss.or.kr/dsaf001/main.do?rcpNo=20260626900784", "공시열람")</f>
        <v/>
      </c>
    </row>
    <row r="13309">
      <c r="A13309" s="2" t="inlineStr">
        <is>
          <t>2026-06-26</t>
        </is>
      </c>
      <c r="B13309" s="3" t="inlineStr">
        <is>
          <t>LX하우시스</t>
        </is>
      </c>
      <c r="C13309" s="2" t="inlineStr">
        <is>
          <t>코스피</t>
        </is>
      </c>
      <c r="D13309" s="2" t="inlineStr">
        <is>
          <t>108670</t>
        </is>
      </c>
      <c r="E13309" s="3" t="inlineStr">
        <is>
          <t xml:space="preserve">단기차입금증가결정              </t>
        </is>
      </c>
      <c r="F13309" s="3" t="inlineStr">
        <is>
          <t>LX하우시스</t>
        </is>
      </c>
      <c r="G13309" s="2" t="inlineStr">
        <is>
          <t>20260626800829</t>
        </is>
      </c>
      <c r="H13309" s="8">
        <f>HYPERLINK("https://dart.fss.or.kr/dsaf001/main.do?rcpNo=20260626800829", "공시열람")</f>
        <v/>
      </c>
    </row>
    <row r="13310">
      <c r="A13310" s="2" t="inlineStr">
        <is>
          <t>2026-06-26</t>
        </is>
      </c>
      <c r="B13310" s="3" t="inlineStr">
        <is>
          <t>다원시스</t>
        </is>
      </c>
      <c r="C13310" s="2" t="inlineStr">
        <is>
          <t>코스닥</t>
        </is>
      </c>
      <c r="D13310" s="2" t="inlineStr">
        <is>
          <t>068240</t>
        </is>
      </c>
      <c r="E13310" s="3" t="inlineStr">
        <is>
          <t>기타시장안내              (개선계획서 제출)</t>
        </is>
      </c>
      <c r="F13310" s="3" t="inlineStr">
        <is>
          <t>코스닥시장본부</t>
        </is>
      </c>
      <c r="G13310" s="2" t="inlineStr">
        <is>
          <t>20260626900811</t>
        </is>
      </c>
      <c r="H13310" s="8">
        <f>HYPERLINK("https://dart.fss.or.kr/dsaf001/main.do?rcpNo=20260626900811", "공시열람")</f>
        <v/>
      </c>
    </row>
    <row r="13311">
      <c r="A13311" s="2" t="inlineStr">
        <is>
          <t>2026-06-26</t>
        </is>
      </c>
      <c r="B13311" s="3" t="inlineStr">
        <is>
          <t>NH투자증권</t>
        </is>
      </c>
      <c r="C13311" s="2" t="inlineStr">
        <is>
          <t>코스피</t>
        </is>
      </c>
      <c r="D13311" s="2" t="inlineStr">
        <is>
          <t>005940</t>
        </is>
      </c>
      <c r="E13311" s="3" t="inlineStr">
        <is>
          <t>증권발행실적보고서</t>
        </is>
      </c>
      <c r="F13311" s="3" t="inlineStr">
        <is>
          <t>NH투자증권</t>
        </is>
      </c>
      <c r="G13311" s="2" t="inlineStr">
        <is>
          <t>20260626000517</t>
        </is>
      </c>
      <c r="H13311" s="8">
        <f>HYPERLINK("https://dart.fss.or.kr/dsaf001/main.do?rcpNo=20260626000517", "공시열람")</f>
        <v/>
      </c>
    </row>
    <row r="13312">
      <c r="A13312" s="2" t="inlineStr">
        <is>
          <t>2026-06-26</t>
        </is>
      </c>
      <c r="B13312" s="3" t="inlineStr">
        <is>
          <t>교보증권</t>
        </is>
      </c>
      <c r="C13312" s="2" t="inlineStr">
        <is>
          <t>코스피</t>
        </is>
      </c>
      <c r="D13312" s="2" t="inlineStr">
        <is>
          <t>030610</t>
        </is>
      </c>
      <c r="E13312" s="3" t="inlineStr">
        <is>
          <t>증권발행실적보고서</t>
        </is>
      </c>
      <c r="F13312" s="3" t="inlineStr">
        <is>
          <t>교보증권</t>
        </is>
      </c>
      <c r="G13312" s="2" t="inlineStr">
        <is>
          <t>20260626000515</t>
        </is>
      </c>
      <c r="H13312" s="8">
        <f>HYPERLINK("https://dart.fss.or.kr/dsaf001/main.do?rcpNo=20260626000515", "공시열람")</f>
        <v/>
      </c>
    </row>
    <row r="13313">
      <c r="A13313" s="2" t="inlineStr">
        <is>
          <t>2026-06-26</t>
        </is>
      </c>
      <c r="B13313" s="3" t="inlineStr">
        <is>
          <t>큐라티스</t>
        </is>
      </c>
      <c r="C13313" s="2" t="inlineStr">
        <is>
          <t>코스닥</t>
        </is>
      </c>
      <c r="D13313" s="2" t="inlineStr">
        <is>
          <t>348080</t>
        </is>
      </c>
      <c r="E13313" s="3" t="inlineStr">
        <is>
          <t>주권매매거래정지              (주식의 병합, 분할 등 전자등록 변경, 말소)</t>
        </is>
      </c>
      <c r="F13313" s="3" t="inlineStr">
        <is>
          <t>코스닥시장본부</t>
        </is>
      </c>
      <c r="G13313" s="2" t="inlineStr">
        <is>
          <t>20260626900761</t>
        </is>
      </c>
      <c r="H13313" s="8">
        <f>HYPERLINK("https://dart.fss.or.kr/dsaf001/main.do?rcpNo=20260626900761", "공시열람")</f>
        <v/>
      </c>
    </row>
    <row r="13314">
      <c r="A13314" s="2" t="inlineStr">
        <is>
          <t>2026-06-26</t>
        </is>
      </c>
      <c r="B13314" s="3" t="inlineStr">
        <is>
          <t>삼성카드</t>
        </is>
      </c>
      <c r="C13314" s="2" t="inlineStr">
        <is>
          <t>코스피</t>
        </is>
      </c>
      <c r="D13314" s="2" t="inlineStr">
        <is>
          <t>029780</t>
        </is>
      </c>
      <c r="E13314" s="3" t="inlineStr">
        <is>
          <t>특수관계인과의수익증권거래</t>
        </is>
      </c>
      <c r="F13314" s="3" t="inlineStr">
        <is>
          <t>삼성카드</t>
        </is>
      </c>
      <c r="G13314" s="2" t="inlineStr">
        <is>
          <t>20260626000514</t>
        </is>
      </c>
      <c r="H13314" s="8">
        <f>HYPERLINK("https://dart.fss.or.kr/dsaf001/main.do?rcpNo=20260626000514", "공시열람")</f>
        <v/>
      </c>
    </row>
    <row r="13315">
      <c r="A13315" s="2" t="inlineStr">
        <is>
          <t>2026-06-26</t>
        </is>
      </c>
      <c r="B13315" s="3" t="inlineStr">
        <is>
          <t>기가레인</t>
        </is>
      </c>
      <c r="C13315" s="2" t="inlineStr">
        <is>
          <t>코스닥</t>
        </is>
      </c>
      <c r="D13315" s="2" t="inlineStr">
        <is>
          <t>049080</t>
        </is>
      </c>
      <c r="E13315" s="3" t="inlineStr">
        <is>
          <t>주권매매거래정지해제              (액면병합 주권 변경상장)</t>
        </is>
      </c>
      <c r="F13315" s="3" t="inlineStr">
        <is>
          <t>코스닥시장본부</t>
        </is>
      </c>
      <c r="G13315" s="2" t="inlineStr">
        <is>
          <t>20260626900757</t>
        </is>
      </c>
      <c r="H13315" s="8">
        <f>HYPERLINK("https://dart.fss.or.kr/dsaf001/main.do?rcpNo=20260626900757", "공시열람")</f>
        <v/>
      </c>
    </row>
    <row r="13316">
      <c r="A13316" s="2" t="inlineStr">
        <is>
          <t>2026-06-26</t>
        </is>
      </c>
      <c r="B13316" s="3" t="inlineStr">
        <is>
          <t>한화손해보험</t>
        </is>
      </c>
      <c r="C13316" s="2" t="inlineStr">
        <is>
          <t>코스피</t>
        </is>
      </c>
      <c r="D13316" s="2" t="inlineStr">
        <is>
          <t>000370</t>
        </is>
      </c>
      <c r="E13316" s="3" t="inlineStr">
        <is>
          <t xml:space="preserve">지속가능경영보고서등관련사항(자율공시)              </t>
        </is>
      </c>
      <c r="F13316" s="3" t="inlineStr">
        <is>
          <t>한화손해보험</t>
        </is>
      </c>
      <c r="G13316" s="2" t="inlineStr">
        <is>
          <t>20260626800814</t>
        </is>
      </c>
      <c r="H13316" s="8">
        <f>HYPERLINK("https://dart.fss.or.kr/dsaf001/main.do?rcpNo=20260626800814", "공시열람")</f>
        <v/>
      </c>
    </row>
    <row r="13317">
      <c r="A13317" s="2" t="inlineStr">
        <is>
          <t>2026-06-26</t>
        </is>
      </c>
      <c r="B13317" s="3" t="inlineStr">
        <is>
          <t>유니퀘스트</t>
        </is>
      </c>
      <c r="C13317" s="2" t="inlineStr">
        <is>
          <t>코스피</t>
        </is>
      </c>
      <c r="D13317" s="2" t="inlineStr">
        <is>
          <t>077500</t>
        </is>
      </c>
      <c r="E13317" s="3" t="inlineStr">
        <is>
          <t>임원ㆍ주요주주특정증권등소유상황보고서</t>
        </is>
      </c>
      <c r="F13317" s="3" t="inlineStr">
        <is>
          <t>Kim, Andrew</t>
        </is>
      </c>
      <c r="G13317" s="2" t="inlineStr">
        <is>
          <t>20260626000512</t>
        </is>
      </c>
      <c r="H13317" s="8">
        <f>HYPERLINK("https://dart.fss.or.kr/dsaf001/main.do?rcpNo=20260626000512", "공시열람")</f>
        <v/>
      </c>
    </row>
    <row r="13318">
      <c r="A13318" s="2" t="inlineStr">
        <is>
          <t>2026-06-26</t>
        </is>
      </c>
      <c r="B13318" s="3" t="inlineStr">
        <is>
          <t>한솔테크닉스</t>
        </is>
      </c>
      <c r="C13318" s="2" t="inlineStr">
        <is>
          <t>코스피</t>
        </is>
      </c>
      <c r="D13318" s="2" t="inlineStr">
        <is>
          <t>004710</t>
        </is>
      </c>
      <c r="E13318" s="3" t="inlineStr">
        <is>
          <t>임원ㆍ주요주주특정증권등소유상황보고서</t>
        </is>
      </c>
      <c r="F13318" s="3" t="inlineStr">
        <is>
          <t>한솔홀딩스</t>
        </is>
      </c>
      <c r="G13318" s="2" t="inlineStr">
        <is>
          <t>20260626000506</t>
        </is>
      </c>
      <c r="H13318" s="8">
        <f>HYPERLINK("https://dart.fss.or.kr/dsaf001/main.do?rcpNo=20260626000506", "공시열람")</f>
        <v/>
      </c>
    </row>
    <row r="13319">
      <c r="A13319" s="2" t="inlineStr">
        <is>
          <t>2026-06-26</t>
        </is>
      </c>
      <c r="B13319" s="3" t="inlineStr">
        <is>
          <t>하나금융지주</t>
        </is>
      </c>
      <c r="C13319" s="2" t="inlineStr">
        <is>
          <t>코스피</t>
        </is>
      </c>
      <c r="D13319" s="2" t="inlineStr">
        <is>
          <t>086790</t>
        </is>
      </c>
      <c r="E13319" s="3" t="inlineStr">
        <is>
          <t>증권발행실적보고서</t>
        </is>
      </c>
      <c r="F13319" s="3" t="inlineStr">
        <is>
          <t>하나금융지주</t>
        </is>
      </c>
      <c r="G13319" s="2" t="inlineStr">
        <is>
          <t>20260626000503</t>
        </is>
      </c>
      <c r="H13319" s="8">
        <f>HYPERLINK("https://dart.fss.or.kr/dsaf001/main.do?rcpNo=20260626000503", "공시열람")</f>
        <v/>
      </c>
    </row>
    <row r="13320">
      <c r="A13320" s="2" t="inlineStr">
        <is>
          <t>2026-06-26</t>
        </is>
      </c>
      <c r="B13320" s="3" t="inlineStr">
        <is>
          <t>대구백화점</t>
        </is>
      </c>
      <c r="C13320" s="2" t="inlineStr">
        <is>
          <t>코스피</t>
        </is>
      </c>
      <c r="D13320" s="2" t="inlineStr">
        <is>
          <t>006370</t>
        </is>
      </c>
      <c r="E13320" s="3" t="inlineStr">
        <is>
          <t xml:space="preserve">단기차입금증가결정              </t>
        </is>
      </c>
      <c r="F13320" s="3" t="inlineStr">
        <is>
          <t>대구백화점</t>
        </is>
      </c>
      <c r="G13320" s="2" t="inlineStr">
        <is>
          <t>20260626800769</t>
        </is>
      </c>
      <c r="H13320" s="8">
        <f>HYPERLINK("https://dart.fss.or.kr/dsaf001/main.do?rcpNo=20260626800769", "공시열람")</f>
        <v/>
      </c>
    </row>
    <row r="13321">
      <c r="A13321" s="2" t="inlineStr">
        <is>
          <t>2026-06-26</t>
        </is>
      </c>
      <c r="B13321" s="3" t="inlineStr">
        <is>
          <t>토비스</t>
        </is>
      </c>
      <c r="C13321" s="2" t="inlineStr">
        <is>
          <t>코스닥</t>
        </is>
      </c>
      <c r="D13321" s="2" t="inlineStr">
        <is>
          <t>051360</t>
        </is>
      </c>
      <c r="E13321" s="3" t="inlineStr">
        <is>
          <t>임원ㆍ주요주주특정증권등소유상황보고서</t>
        </is>
      </c>
      <c r="F13321" s="3" t="inlineStr">
        <is>
          <t>차제형</t>
        </is>
      </c>
      <c r="G13321" s="2" t="inlineStr">
        <is>
          <t>20260626000502</t>
        </is>
      </c>
      <c r="H13321" s="8">
        <f>HYPERLINK("https://dart.fss.or.kr/dsaf001/main.do?rcpNo=20260626000502", "공시열람")</f>
        <v/>
      </c>
    </row>
    <row r="13322">
      <c r="A13322" s="2" t="inlineStr">
        <is>
          <t>2026-06-26</t>
        </is>
      </c>
      <c r="B13322" s="3" t="inlineStr">
        <is>
          <t>사조산업</t>
        </is>
      </c>
      <c r="C13322" s="2" t="inlineStr">
        <is>
          <t>코스피</t>
        </is>
      </c>
      <c r="D13322" s="2" t="inlineStr">
        <is>
          <t>007160</t>
        </is>
      </c>
      <c r="E13322" s="3" t="inlineStr">
        <is>
          <t>동일인등출자계열회사와의상품ㆍ용역거래</t>
        </is>
      </c>
      <c r="F13322" s="3" t="inlineStr">
        <is>
          <t>사조산업</t>
        </is>
      </c>
      <c r="G13322" s="2" t="inlineStr">
        <is>
          <t>20260626000501</t>
        </is>
      </c>
      <c r="H13322" s="8">
        <f>HYPERLINK("https://dart.fss.or.kr/dsaf001/main.do?rcpNo=20260626000501", "공시열람")</f>
        <v/>
      </c>
    </row>
    <row r="13323">
      <c r="A13323" s="2" t="inlineStr">
        <is>
          <t>2026-06-26</t>
        </is>
      </c>
      <c r="B13323" s="3" t="inlineStr">
        <is>
          <t>NH투자증권</t>
        </is>
      </c>
      <c r="C13323" s="2" t="inlineStr">
        <is>
          <t>코스피</t>
        </is>
      </c>
      <c r="D13323" s="2" t="inlineStr">
        <is>
          <t>005940</t>
        </is>
      </c>
      <c r="E13323" s="3" t="inlineStr">
        <is>
          <t>증권발행실적보고서</t>
        </is>
      </c>
      <c r="F13323" s="3" t="inlineStr">
        <is>
          <t>NH투자증권</t>
        </is>
      </c>
      <c r="G13323" s="2" t="inlineStr">
        <is>
          <t>20260626000496</t>
        </is>
      </c>
      <c r="H13323" s="8">
        <f>HYPERLINK("https://dart.fss.or.kr/dsaf001/main.do?rcpNo=20260626000496", "공시열람")</f>
        <v/>
      </c>
    </row>
    <row r="13324">
      <c r="A13324" s="2" t="inlineStr">
        <is>
          <t>2026-06-26</t>
        </is>
      </c>
      <c r="B13324" s="3" t="inlineStr">
        <is>
          <t>기가비스</t>
        </is>
      </c>
      <c r="C13324" s="2" t="inlineStr">
        <is>
          <t>코스닥</t>
        </is>
      </c>
      <c r="D13324" s="2" t="inlineStr">
        <is>
          <t>420770</t>
        </is>
      </c>
      <c r="E13324" s="3" t="inlineStr">
        <is>
          <t>임원ㆍ주요주주특정증권등소유상황보고서</t>
        </is>
      </c>
      <c r="F13324" s="3" t="inlineStr">
        <is>
          <t>신찬희</t>
        </is>
      </c>
      <c r="G13324" s="2" t="inlineStr">
        <is>
          <t>20260626000495</t>
        </is>
      </c>
      <c r="H13324" s="8">
        <f>HYPERLINK("https://dart.fss.or.kr/dsaf001/main.do?rcpNo=20260626000495", "공시열람")</f>
        <v/>
      </c>
    </row>
    <row r="13325">
      <c r="A13325" s="2" t="inlineStr">
        <is>
          <t>2026-06-26</t>
        </is>
      </c>
      <c r="B13325" s="3" t="inlineStr">
        <is>
          <t>토비스</t>
        </is>
      </c>
      <c r="C13325" s="2" t="inlineStr">
        <is>
          <t>코스닥</t>
        </is>
      </c>
      <c r="D13325" s="2" t="inlineStr">
        <is>
          <t>051360</t>
        </is>
      </c>
      <c r="E13325" s="3" t="inlineStr">
        <is>
          <t>임원ㆍ주요주주특정증권등소유상황보고서</t>
        </is>
      </c>
      <c r="F13325" s="3" t="inlineStr">
        <is>
          <t>한정훈</t>
        </is>
      </c>
      <c r="G13325" s="2" t="inlineStr">
        <is>
          <t>20260626000486</t>
        </is>
      </c>
      <c r="H13325" s="8">
        <f>HYPERLINK("https://dart.fss.or.kr/dsaf001/main.do?rcpNo=20260626000486", "공시열람")</f>
        <v/>
      </c>
    </row>
    <row r="13326">
      <c r="A13326" s="2" t="inlineStr">
        <is>
          <t>2026-06-26</t>
        </is>
      </c>
      <c r="B13326" s="3" t="inlineStr">
        <is>
          <t>DB증권</t>
        </is>
      </c>
      <c r="C13326" s="2" t="inlineStr">
        <is>
          <t>코스피</t>
        </is>
      </c>
      <c r="D13326" s="2" t="inlineStr">
        <is>
          <t>016610</t>
        </is>
      </c>
      <c r="E13326" s="3" t="inlineStr">
        <is>
          <t>증권발행실적보고서</t>
        </is>
      </c>
      <c r="F13326" s="3" t="inlineStr">
        <is>
          <t>DB증권</t>
        </is>
      </c>
      <c r="G13326" s="2" t="inlineStr">
        <is>
          <t>20260626000485</t>
        </is>
      </c>
      <c r="H13326" s="8">
        <f>HYPERLINK("https://dart.fss.or.kr/dsaf001/main.do?rcpNo=20260626000485", "공시열람")</f>
        <v/>
      </c>
    </row>
    <row r="13327">
      <c r="A13327" s="2" t="inlineStr">
        <is>
          <t>2026-06-26</t>
        </is>
      </c>
      <c r="B13327" s="3" t="inlineStr">
        <is>
          <t>HC보광산업</t>
        </is>
      </c>
      <c r="C13327" s="2" t="inlineStr">
        <is>
          <t>코스닥</t>
        </is>
      </c>
      <c r="D13327" s="2" t="inlineStr">
        <is>
          <t>225530</t>
        </is>
      </c>
      <c r="E13327" s="3" t="inlineStr">
        <is>
          <t xml:space="preserve">전환가액의조정              </t>
        </is>
      </c>
      <c r="F13327" s="3" t="inlineStr">
        <is>
          <t>HC보광산업</t>
        </is>
      </c>
      <c r="G13327" s="2" t="inlineStr">
        <is>
          <t>20260626900775</t>
        </is>
      </c>
      <c r="H13327" s="8">
        <f>HYPERLINK("https://dart.fss.or.kr/dsaf001/main.do?rcpNo=20260626900775", "공시열람")</f>
        <v/>
      </c>
    </row>
    <row r="13328">
      <c r="A13328" s="2" t="inlineStr">
        <is>
          <t>2026-06-26</t>
        </is>
      </c>
      <c r="B13328" s="3" t="inlineStr">
        <is>
          <t>DB증권</t>
        </is>
      </c>
      <c r="C13328" s="2" t="inlineStr">
        <is>
          <t>코스피</t>
        </is>
      </c>
      <c r="D13328" s="2" t="inlineStr">
        <is>
          <t>016610</t>
        </is>
      </c>
      <c r="E13328" s="3" t="inlineStr">
        <is>
          <t>증권발행실적보고서</t>
        </is>
      </c>
      <c r="F13328" s="3" t="inlineStr">
        <is>
          <t>DB증권</t>
        </is>
      </c>
      <c r="G13328" s="2" t="inlineStr">
        <is>
          <t>20260626000484</t>
        </is>
      </c>
      <c r="H13328" s="8">
        <f>HYPERLINK("https://dart.fss.or.kr/dsaf001/main.do?rcpNo=20260626000484", "공시열람")</f>
        <v/>
      </c>
    </row>
    <row r="13329">
      <c r="A13329" s="2" t="inlineStr">
        <is>
          <t>2026-06-26</t>
        </is>
      </c>
      <c r="B13329" s="3" t="inlineStr">
        <is>
          <t>신영증권</t>
        </is>
      </c>
      <c r="C13329" s="2" t="inlineStr">
        <is>
          <t>코스피</t>
        </is>
      </c>
      <c r="D13329" s="2" t="inlineStr">
        <is>
          <t>001720</t>
        </is>
      </c>
      <c r="E13329" s="3" t="inlineStr">
        <is>
          <t>증권발행실적보고서</t>
        </is>
      </c>
      <c r="F13329" s="3" t="inlineStr">
        <is>
          <t>신영증권</t>
        </is>
      </c>
      <c r="G13329" s="2" t="inlineStr">
        <is>
          <t>20260626000483</t>
        </is>
      </c>
      <c r="H13329" s="8">
        <f>HYPERLINK("https://dart.fss.or.kr/dsaf001/main.do?rcpNo=20260626000483", "공시열람")</f>
        <v/>
      </c>
    </row>
    <row r="13330">
      <c r="A13330" s="2" t="inlineStr">
        <is>
          <t>2026-06-26</t>
        </is>
      </c>
      <c r="B13330" s="3" t="inlineStr">
        <is>
          <t>엠로</t>
        </is>
      </c>
      <c r="C13330" s="2" t="inlineStr">
        <is>
          <t>코스닥</t>
        </is>
      </c>
      <c r="D13330" s="2" t="inlineStr">
        <is>
          <t>058970</t>
        </is>
      </c>
      <c r="E13330" s="3" t="inlineStr">
        <is>
          <t xml:space="preserve">지속가능경영보고서등관련사항(자율공시)              </t>
        </is>
      </c>
      <c r="F13330" s="3" t="inlineStr">
        <is>
          <t>엠로</t>
        </is>
      </c>
      <c r="G13330" s="2" t="inlineStr">
        <is>
          <t>20260626900765</t>
        </is>
      </c>
      <c r="H13330" s="8">
        <f>HYPERLINK("https://dart.fss.or.kr/dsaf001/main.do?rcpNo=20260626900765", "공시열람")</f>
        <v/>
      </c>
    </row>
    <row r="13331">
      <c r="A13331" s="2" t="inlineStr">
        <is>
          <t>2026-06-26</t>
        </is>
      </c>
      <c r="B13331" s="3" t="inlineStr">
        <is>
          <t>코리아에프티</t>
        </is>
      </c>
      <c r="C13331" s="2" t="inlineStr">
        <is>
          <t>코스닥</t>
        </is>
      </c>
      <c r="D13331" s="2" t="inlineStr">
        <is>
          <t>123410</t>
        </is>
      </c>
      <c r="E13331" s="3" t="inlineStr">
        <is>
          <t>임원ㆍ주요주주특정증권등소유상황보고서</t>
        </is>
      </c>
      <c r="F13331" s="3" t="inlineStr">
        <is>
          <t>임호균</t>
        </is>
      </c>
      <c r="G13331" s="2" t="inlineStr">
        <is>
          <t>20260626000479</t>
        </is>
      </c>
      <c r="H13331" s="8">
        <f>HYPERLINK("https://dart.fss.or.kr/dsaf001/main.do?rcpNo=20260626000479", "공시열람")</f>
        <v/>
      </c>
    </row>
    <row r="13332">
      <c r="A13332" s="2" t="inlineStr">
        <is>
          <t>2026-06-26</t>
        </is>
      </c>
      <c r="B13332" s="3" t="inlineStr">
        <is>
          <t>카카오뱅크</t>
        </is>
      </c>
      <c r="C13332" s="2" t="inlineStr">
        <is>
          <t>코스피</t>
        </is>
      </c>
      <c r="D13332" s="2" t="inlineStr">
        <is>
          <t>323410</t>
        </is>
      </c>
      <c r="E13332" s="3" t="inlineStr">
        <is>
          <t xml:space="preserve">기업설명회(IR)개최(안내공시)              </t>
        </is>
      </c>
      <c r="F13332" s="3" t="inlineStr">
        <is>
          <t>카카오뱅크</t>
        </is>
      </c>
      <c r="G13332" s="2" t="inlineStr">
        <is>
          <t>20260626800728</t>
        </is>
      </c>
      <c r="H13332" s="8">
        <f>HYPERLINK("https://dart.fss.or.kr/dsaf001/main.do?rcpNo=20260626800728", "공시열람")</f>
        <v/>
      </c>
    </row>
    <row r="13333">
      <c r="A13333" s="2" t="inlineStr">
        <is>
          <t>2026-06-26</t>
        </is>
      </c>
      <c r="B13333" s="3" t="inlineStr">
        <is>
          <t>토비스</t>
        </is>
      </c>
      <c r="C13333" s="2" t="inlineStr">
        <is>
          <t>코스닥</t>
        </is>
      </c>
      <c r="D13333" s="2" t="inlineStr">
        <is>
          <t>051360</t>
        </is>
      </c>
      <c r="E13333" s="3" t="inlineStr">
        <is>
          <t>임원ㆍ주요주주특정증권등소유상황보고서</t>
        </is>
      </c>
      <c r="F13333" s="3" t="inlineStr">
        <is>
          <t>김용욱</t>
        </is>
      </c>
      <c r="G13333" s="2" t="inlineStr">
        <is>
          <t>20260626000478</t>
        </is>
      </c>
      <c r="H13333" s="8">
        <f>HYPERLINK("https://dart.fss.or.kr/dsaf001/main.do?rcpNo=20260626000478", "공시열람")</f>
        <v/>
      </c>
    </row>
    <row r="13334">
      <c r="A13334" s="2" t="inlineStr">
        <is>
          <t>2026-06-26</t>
        </is>
      </c>
      <c r="B13334" s="3" t="inlineStr">
        <is>
          <t>사조대림</t>
        </is>
      </c>
      <c r="C13334" s="2" t="inlineStr">
        <is>
          <t>코스피</t>
        </is>
      </c>
      <c r="D13334" s="2" t="inlineStr">
        <is>
          <t>003960</t>
        </is>
      </c>
      <c r="E13334" s="3" t="inlineStr">
        <is>
          <t>동일인등출자계열회사와의상품ㆍ용역거래</t>
        </is>
      </c>
      <c r="F13334" s="3" t="inlineStr">
        <is>
          <t>사조대림</t>
        </is>
      </c>
      <c r="G13334" s="2" t="inlineStr">
        <is>
          <t>20260626000477</t>
        </is>
      </c>
      <c r="H13334" s="8">
        <f>HYPERLINK("https://dart.fss.or.kr/dsaf001/main.do?rcpNo=20260626000477", "공시열람")</f>
        <v/>
      </c>
    </row>
    <row r="13335">
      <c r="A13335" s="2" t="inlineStr">
        <is>
          <t>2026-06-26</t>
        </is>
      </c>
      <c r="B13335" s="3" t="inlineStr">
        <is>
          <t>NAVER</t>
        </is>
      </c>
      <c r="C13335" s="2" t="inlineStr">
        <is>
          <t>코스피</t>
        </is>
      </c>
      <c r="D13335" s="2" t="inlineStr">
        <is>
          <t>035420</t>
        </is>
      </c>
      <c r="E13335" s="3" t="inlineStr">
        <is>
          <t>임원ㆍ주요주주특정증권등소유상황보고서</t>
        </is>
      </c>
      <c r="F13335" s="3" t="inlineStr">
        <is>
          <t>임준현</t>
        </is>
      </c>
      <c r="G13335" s="2" t="inlineStr">
        <is>
          <t>20260626000476</t>
        </is>
      </c>
      <c r="H13335" s="8">
        <f>HYPERLINK("https://dart.fss.or.kr/dsaf001/main.do?rcpNo=20260626000476", "공시열람")</f>
        <v/>
      </c>
    </row>
    <row r="13336">
      <c r="A13336" s="2" t="inlineStr">
        <is>
          <t>2026-06-26</t>
        </is>
      </c>
      <c r="B13336" s="3" t="inlineStr">
        <is>
          <t>두산에너빌리티</t>
        </is>
      </c>
      <c r="C13336" s="2" t="inlineStr">
        <is>
          <t>코스피</t>
        </is>
      </c>
      <c r="D13336" s="2" t="inlineStr">
        <is>
          <t>034020</t>
        </is>
      </c>
      <c r="E13336" s="3" t="inlineStr">
        <is>
          <t xml:space="preserve">기업설명회(IR)개최(안내공시)              </t>
        </is>
      </c>
      <c r="F13336" s="3" t="inlineStr">
        <is>
          <t>두산에너빌리티</t>
        </is>
      </c>
      <c r="G13336" s="2" t="inlineStr">
        <is>
          <t>20260626800753</t>
        </is>
      </c>
      <c r="H13336" s="8">
        <f>HYPERLINK("https://dart.fss.or.kr/dsaf001/main.do?rcpNo=20260626800753", "공시열람")</f>
        <v/>
      </c>
    </row>
    <row r="13337">
      <c r="A13337" s="2" t="inlineStr">
        <is>
          <t>2026-06-26</t>
        </is>
      </c>
      <c r="B13337" s="3" t="inlineStr">
        <is>
          <t>메이슨캐피탈</t>
        </is>
      </c>
      <c r="C13337" s="2" t="inlineStr">
        <is>
          <t>코스닥</t>
        </is>
      </c>
      <c r="D13337" s="2" t="inlineStr">
        <is>
          <t>021880</t>
        </is>
      </c>
      <c r="E13337" s="3" t="inlineStr">
        <is>
          <t>사외이사의선임ㆍ해임또는중도퇴임에관한신고</t>
        </is>
      </c>
      <c r="F13337" s="3" t="inlineStr">
        <is>
          <t>메이슨캐피탈</t>
        </is>
      </c>
      <c r="G13337" s="2" t="inlineStr">
        <is>
          <t>20260626000474</t>
        </is>
      </c>
      <c r="H13337" s="8">
        <f>HYPERLINK("https://dart.fss.or.kr/dsaf001/main.do?rcpNo=20260626000474", "공시열람")</f>
        <v/>
      </c>
    </row>
    <row r="13338">
      <c r="A13338" s="2" t="inlineStr">
        <is>
          <t>2026-06-26</t>
        </is>
      </c>
      <c r="B13338" s="3" t="inlineStr">
        <is>
          <t>이엠앤아이</t>
        </is>
      </c>
      <c r="C13338" s="2" t="inlineStr">
        <is>
          <t>코스닥</t>
        </is>
      </c>
      <c r="D13338" s="2" t="inlineStr">
        <is>
          <t>083470</t>
        </is>
      </c>
      <c r="E13338" s="3" t="inlineStr">
        <is>
          <t xml:space="preserve">조회공시요구(현저한시황변동)에대한답변(미확정)              </t>
        </is>
      </c>
      <c r="F13338" s="3" t="inlineStr">
        <is>
          <t>이엠앤아이</t>
        </is>
      </c>
      <c r="G13338" s="2" t="inlineStr">
        <is>
          <t>20260626900715</t>
        </is>
      </c>
      <c r="H13338" s="8">
        <f>HYPERLINK("https://dart.fss.or.kr/dsaf001/main.do?rcpNo=20260626900715", "공시열람")</f>
        <v/>
      </c>
    </row>
    <row r="13339">
      <c r="A13339" s="2" t="inlineStr">
        <is>
          <t>2026-06-26</t>
        </is>
      </c>
      <c r="B13339" s="3" t="inlineStr">
        <is>
          <t>한화솔루션</t>
        </is>
      </c>
      <c r="C13339" s="2" t="inlineStr">
        <is>
          <t>코스피</t>
        </is>
      </c>
      <c r="D13339" s="2" t="inlineStr">
        <is>
          <t>009830</t>
        </is>
      </c>
      <c r="E13339" s="3" t="inlineStr">
        <is>
          <t xml:space="preserve">지속가능경영보고서등관련사항(자율공시)              </t>
        </is>
      </c>
      <c r="F13339" s="3" t="inlineStr">
        <is>
          <t>한화솔루션</t>
        </is>
      </c>
      <c r="G13339" s="2" t="inlineStr">
        <is>
          <t>20260626800747</t>
        </is>
      </c>
      <c r="H13339" s="8">
        <f>HYPERLINK("https://dart.fss.or.kr/dsaf001/main.do?rcpNo=20260626800747", "공시열람")</f>
        <v/>
      </c>
    </row>
    <row r="13340">
      <c r="A13340" s="2" t="inlineStr">
        <is>
          <t>2026-06-26</t>
        </is>
      </c>
      <c r="B13340" s="3" t="inlineStr">
        <is>
          <t>링크드</t>
        </is>
      </c>
      <c r="C13340" s="2" t="inlineStr">
        <is>
          <t>코스닥</t>
        </is>
      </c>
      <c r="D13340" s="2" t="inlineStr">
        <is>
          <t>193250</t>
        </is>
      </c>
      <c r="E13340" s="3" t="inlineStr">
        <is>
          <t xml:space="preserve">전환가액의조정              </t>
        </is>
      </c>
      <c r="F13340" s="3" t="inlineStr">
        <is>
          <t>링크드</t>
        </is>
      </c>
      <c r="G13340" s="2" t="inlineStr">
        <is>
          <t>20260626900746</t>
        </is>
      </c>
      <c r="H13340" s="8">
        <f>HYPERLINK("https://dart.fss.or.kr/dsaf001/main.do?rcpNo=20260626900746", "공시열람")</f>
        <v/>
      </c>
    </row>
    <row r="13341">
      <c r="A13341" s="2" t="inlineStr">
        <is>
          <t>2026-06-26</t>
        </is>
      </c>
      <c r="B13341" s="3" t="inlineStr">
        <is>
          <t>교보증권</t>
        </is>
      </c>
      <c r="C13341" s="2" t="inlineStr">
        <is>
          <t>코스피</t>
        </is>
      </c>
      <c r="D13341" s="2" t="inlineStr">
        <is>
          <t>030610</t>
        </is>
      </c>
      <c r="E13341" s="3" t="inlineStr">
        <is>
          <t>증권발행실적보고서</t>
        </is>
      </c>
      <c r="F13341" s="3" t="inlineStr">
        <is>
          <t>교보증권</t>
        </is>
      </c>
      <c r="G13341" s="2" t="inlineStr">
        <is>
          <t>20260626000471</t>
        </is>
      </c>
      <c r="H13341" s="8">
        <f>HYPERLINK("https://dart.fss.or.kr/dsaf001/main.do?rcpNo=20260626000471", "공시열람")</f>
        <v/>
      </c>
    </row>
    <row r="13342">
      <c r="A13342" s="2" t="inlineStr">
        <is>
          <t>2026-06-26</t>
        </is>
      </c>
      <c r="B13342" s="3" t="inlineStr">
        <is>
          <t>미래에셋증권</t>
        </is>
      </c>
      <c r="C13342" s="2" t="inlineStr">
        <is>
          <t>코스피</t>
        </is>
      </c>
      <c r="D13342" s="2" t="inlineStr">
        <is>
          <t>006800</t>
        </is>
      </c>
      <c r="E13342" s="3" t="inlineStr">
        <is>
          <t>[기재정정]특수관계인과의수익증권거래</t>
        </is>
      </c>
      <c r="F13342" s="3" t="inlineStr">
        <is>
          <t>미래에셋증권</t>
        </is>
      </c>
      <c r="G13342" s="2" t="inlineStr">
        <is>
          <t>20260626000470</t>
        </is>
      </c>
      <c r="H13342" s="8">
        <f>HYPERLINK("https://dart.fss.or.kr/dsaf001/main.do?rcpNo=20260626000470", "공시열람")</f>
        <v/>
      </c>
    </row>
    <row r="13343">
      <c r="A13343" s="2" t="inlineStr">
        <is>
          <t>2026-06-26</t>
        </is>
      </c>
      <c r="B13343" s="3" t="inlineStr">
        <is>
          <t>엘디티</t>
        </is>
      </c>
      <c r="C13343" s="2" t="inlineStr">
        <is>
          <t>코스닥</t>
        </is>
      </c>
      <c r="D13343" s="2" t="inlineStr">
        <is>
          <t>096870</t>
        </is>
      </c>
      <c r="E13343" s="3" t="inlineStr">
        <is>
          <t xml:space="preserve">기업설명회(IR)개최              </t>
        </is>
      </c>
      <c r="F13343" s="3" t="inlineStr">
        <is>
          <t>엘디티</t>
        </is>
      </c>
      <c r="G13343" s="2" t="inlineStr">
        <is>
          <t>20260626900740</t>
        </is>
      </c>
      <c r="H13343" s="8">
        <f>HYPERLINK("https://dart.fss.or.kr/dsaf001/main.do?rcpNo=20260626900740", "공시열람")</f>
        <v/>
      </c>
    </row>
    <row r="13344">
      <c r="A13344" s="2" t="inlineStr">
        <is>
          <t>2026-06-26</t>
        </is>
      </c>
      <c r="B13344" s="3" t="inlineStr">
        <is>
          <t>교보증권</t>
        </is>
      </c>
      <c r="C13344" s="2" t="inlineStr">
        <is>
          <t>코스피</t>
        </is>
      </c>
      <c r="D13344" s="2" t="inlineStr">
        <is>
          <t>030610</t>
        </is>
      </c>
      <c r="E13344" s="3" t="inlineStr">
        <is>
          <t>증권발행실적보고서</t>
        </is>
      </c>
      <c r="F13344" s="3" t="inlineStr">
        <is>
          <t>교보증권</t>
        </is>
      </c>
      <c r="G13344" s="2" t="inlineStr">
        <is>
          <t>20260626000468</t>
        </is>
      </c>
      <c r="H13344" s="8">
        <f>HYPERLINK("https://dart.fss.or.kr/dsaf001/main.do?rcpNo=20260626000468", "공시열람")</f>
        <v/>
      </c>
    </row>
    <row r="13345">
      <c r="A13345" s="2" t="inlineStr">
        <is>
          <t>2026-06-26</t>
        </is>
      </c>
      <c r="B13345" s="3" t="inlineStr">
        <is>
          <t>현대바이오랜드</t>
        </is>
      </c>
      <c r="C13345" s="2" t="inlineStr">
        <is>
          <t>코스닥</t>
        </is>
      </c>
      <c r="D13345" s="2" t="inlineStr">
        <is>
          <t>052260</t>
        </is>
      </c>
      <c r="E13345" s="3" t="inlineStr">
        <is>
          <t xml:space="preserve">단기차입금증가결정              </t>
        </is>
      </c>
      <c r="F13345" s="3" t="inlineStr">
        <is>
          <t>현대바이오랜드</t>
        </is>
      </c>
      <c r="G13345" s="2" t="inlineStr">
        <is>
          <t>20260626900737</t>
        </is>
      </c>
      <c r="H13345" s="8">
        <f>HYPERLINK("https://dart.fss.or.kr/dsaf001/main.do?rcpNo=20260626900737", "공시열람")</f>
        <v/>
      </c>
    </row>
    <row r="13346">
      <c r="A13346" s="2" t="inlineStr">
        <is>
          <t>2026-06-26</t>
        </is>
      </c>
      <c r="B13346" s="3" t="inlineStr">
        <is>
          <t>코웨이</t>
        </is>
      </c>
      <c r="C13346" s="2" t="inlineStr">
        <is>
          <t>코스피</t>
        </is>
      </c>
      <c r="D13346" s="2" t="inlineStr">
        <is>
          <t>021240</t>
        </is>
      </c>
      <c r="E13346" s="3" t="inlineStr">
        <is>
          <t>임원ㆍ주요주주특정증권등소유상황보고서</t>
        </is>
      </c>
      <c r="F13346" s="3" t="inlineStr">
        <is>
          <t>서장원</t>
        </is>
      </c>
      <c r="G13346" s="2" t="inlineStr">
        <is>
          <t>20260626000464</t>
        </is>
      </c>
      <c r="H13346" s="8">
        <f>HYPERLINK("https://dart.fss.or.kr/dsaf001/main.do?rcpNo=20260626000464", "공시열람")</f>
        <v/>
      </c>
    </row>
    <row r="13347">
      <c r="A13347" s="2" t="inlineStr">
        <is>
          <t>2026-06-26</t>
        </is>
      </c>
      <c r="B13347" s="3" t="inlineStr">
        <is>
          <t>미래생명자원</t>
        </is>
      </c>
      <c r="C13347" s="2" t="inlineStr">
        <is>
          <t>코스닥</t>
        </is>
      </c>
      <c r="D13347" s="2" t="inlineStr">
        <is>
          <t>218150</t>
        </is>
      </c>
      <c r="E13347" s="3" t="inlineStr">
        <is>
          <t>[기재정정]주요사항보고서(타법인주식및출자증권양수결정)</t>
        </is>
      </c>
      <c r="F13347" s="3" t="inlineStr">
        <is>
          <t>미래생명자원</t>
        </is>
      </c>
      <c r="G13347" s="2" t="inlineStr">
        <is>
          <t>20260626000452</t>
        </is>
      </c>
      <c r="H13347" s="8">
        <f>HYPERLINK("https://dart.fss.or.kr/dsaf001/main.do?rcpNo=20260626000452", "공시열람")</f>
        <v/>
      </c>
    </row>
    <row r="13348">
      <c r="A13348" s="2" t="inlineStr">
        <is>
          <t>2026-06-26</t>
        </is>
      </c>
      <c r="B13348" s="3" t="inlineStr">
        <is>
          <t>이노벡스</t>
        </is>
      </c>
      <c r="C13348" s="2" t="inlineStr">
        <is>
          <t>코넥스</t>
        </is>
      </c>
      <c r="D13348" s="2" t="inlineStr">
        <is>
          <t>279060</t>
        </is>
      </c>
      <c r="E13348" s="3" t="inlineStr">
        <is>
          <t xml:space="preserve">본점소재지변경              </t>
        </is>
      </c>
      <c r="F13348" s="3" t="inlineStr">
        <is>
          <t>이노벡스</t>
        </is>
      </c>
      <c r="G13348" s="2" t="inlineStr">
        <is>
          <t>20260626600699</t>
        </is>
      </c>
      <c r="H13348" s="8">
        <f>HYPERLINK("https://dart.fss.or.kr/dsaf001/main.do?rcpNo=20260626600699", "공시열람")</f>
        <v/>
      </c>
    </row>
    <row r="13349">
      <c r="A13349" s="2" t="inlineStr">
        <is>
          <t>2026-06-26</t>
        </is>
      </c>
      <c r="B13349" s="3" t="inlineStr">
        <is>
          <t>교보증권</t>
        </is>
      </c>
      <c r="C13349" s="2" t="inlineStr">
        <is>
          <t>코스피</t>
        </is>
      </c>
      <c r="D13349" s="2" t="inlineStr">
        <is>
          <t>030610</t>
        </is>
      </c>
      <c r="E13349" s="3" t="inlineStr">
        <is>
          <t>증권발행실적보고서</t>
        </is>
      </c>
      <c r="F13349" s="3" t="inlineStr">
        <is>
          <t>교보증권</t>
        </is>
      </c>
      <c r="G13349" s="2" t="inlineStr">
        <is>
          <t>20260626000462</t>
        </is>
      </c>
      <c r="H13349" s="8">
        <f>HYPERLINK("https://dart.fss.or.kr/dsaf001/main.do?rcpNo=20260626000462", "공시열람")</f>
        <v/>
      </c>
    </row>
    <row r="13350">
      <c r="A13350" s="2" t="inlineStr">
        <is>
          <t>2026-06-26</t>
        </is>
      </c>
      <c r="B13350" s="3" t="inlineStr">
        <is>
          <t>엔더블유시</t>
        </is>
      </c>
      <c r="C13350" s="2" t="inlineStr">
        <is>
          <t>코넥스</t>
        </is>
      </c>
      <c r="D13350" s="2" t="inlineStr">
        <is>
          <t>059180</t>
        </is>
      </c>
      <c r="E13350" s="3" t="inlineStr">
        <is>
          <t xml:space="preserve">기업설명회(IR)개최결과              </t>
        </is>
      </c>
      <c r="F13350" s="3" t="inlineStr">
        <is>
          <t>엔더블유시</t>
        </is>
      </c>
      <c r="G13350" s="2" t="inlineStr">
        <is>
          <t>20260626600697</t>
        </is>
      </c>
      <c r="H13350" s="8">
        <f>HYPERLINK("https://dart.fss.or.kr/dsaf001/main.do?rcpNo=20260626600697", "공시열람")</f>
        <v/>
      </c>
    </row>
    <row r="13351">
      <c r="A13351" s="2" t="inlineStr">
        <is>
          <t>2026-06-26</t>
        </is>
      </c>
      <c r="B13351" s="3" t="inlineStr">
        <is>
          <t>휴온스글로벌</t>
        </is>
      </c>
      <c r="C13351" s="2" t="inlineStr">
        <is>
          <t>코스닥</t>
        </is>
      </c>
      <c r="D13351" s="2" t="inlineStr">
        <is>
          <t>084110</t>
        </is>
      </c>
      <c r="E13351" s="3" t="inlineStr">
        <is>
          <t xml:space="preserve">지속가능경영보고서등관련사항(자율공시)              </t>
        </is>
      </c>
      <c r="F13351" s="3" t="inlineStr">
        <is>
          <t>휴온스글로벌</t>
        </is>
      </c>
      <c r="G13351" s="2" t="inlineStr">
        <is>
          <t>20260626900727</t>
        </is>
      </c>
      <c r="H13351" s="8">
        <f>HYPERLINK("https://dart.fss.or.kr/dsaf001/main.do?rcpNo=20260626900727", "공시열람")</f>
        <v/>
      </c>
    </row>
    <row r="13352">
      <c r="A13352" s="2" t="inlineStr">
        <is>
          <t>2026-06-26</t>
        </is>
      </c>
      <c r="B13352" s="3" t="inlineStr">
        <is>
          <t>LX인터내셔널</t>
        </is>
      </c>
      <c r="C13352" s="2" t="inlineStr">
        <is>
          <t>코스피</t>
        </is>
      </c>
      <c r="D13352" s="2" t="inlineStr">
        <is>
          <t>001120</t>
        </is>
      </c>
      <c r="E13352" s="3" t="inlineStr">
        <is>
          <t>임원ㆍ주요주주특정증권등소유상황보고서</t>
        </is>
      </c>
      <c r="F13352" s="3" t="inlineStr">
        <is>
          <t>국민연금공단</t>
        </is>
      </c>
      <c r="G13352" s="2" t="inlineStr">
        <is>
          <t>20260626000457</t>
        </is>
      </c>
      <c r="H13352" s="8">
        <f>HYPERLINK("https://dart.fss.or.kr/dsaf001/main.do?rcpNo=20260626000457", "공시열람")</f>
        <v/>
      </c>
    </row>
    <row r="13353">
      <c r="A13353" s="2" t="inlineStr">
        <is>
          <t>2026-06-26</t>
        </is>
      </c>
      <c r="B13353" s="3" t="inlineStr">
        <is>
          <t>대신정보통신</t>
        </is>
      </c>
      <c r="C13353" s="2" t="inlineStr">
        <is>
          <t>코스닥</t>
        </is>
      </c>
      <c r="D13353" s="2" t="inlineStr">
        <is>
          <t>020180</t>
        </is>
      </c>
      <c r="E13353" s="3" t="inlineStr">
        <is>
          <t>사외이사의선임ㆍ해임또는중도퇴임에관한신고</t>
        </is>
      </c>
      <c r="F13353" s="3" t="inlineStr">
        <is>
          <t>대신정보통신</t>
        </is>
      </c>
      <c r="G13353" s="2" t="inlineStr">
        <is>
          <t>20260626000455</t>
        </is>
      </c>
      <c r="H13353" s="8">
        <f>HYPERLINK("https://dart.fss.or.kr/dsaf001/main.do?rcpNo=20260626000455", "공시열람")</f>
        <v/>
      </c>
    </row>
    <row r="13354">
      <c r="A13354" s="2" t="inlineStr">
        <is>
          <t>2026-06-26</t>
        </is>
      </c>
      <c r="B13354" s="3" t="inlineStr">
        <is>
          <t>한화투자증권</t>
        </is>
      </c>
      <c r="C13354" s="2" t="inlineStr">
        <is>
          <t>코스피</t>
        </is>
      </c>
      <c r="D13354" s="2" t="inlineStr">
        <is>
          <t>003530</t>
        </is>
      </c>
      <c r="E13354" s="3" t="inlineStr">
        <is>
          <t>증권발행실적보고서</t>
        </is>
      </c>
      <c r="F13354" s="3" t="inlineStr">
        <is>
          <t>한화투자증권</t>
        </is>
      </c>
      <c r="G13354" s="2" t="inlineStr">
        <is>
          <t>20260626000454</t>
        </is>
      </c>
      <c r="H13354" s="8">
        <f>HYPERLINK("https://dart.fss.or.kr/dsaf001/main.do?rcpNo=20260626000454", "공시열람")</f>
        <v/>
      </c>
    </row>
    <row r="13355">
      <c r="A13355" s="2" t="inlineStr">
        <is>
          <t>2026-06-26</t>
        </is>
      </c>
      <c r="B13355" s="3" t="inlineStr">
        <is>
          <t>세아홀딩스</t>
        </is>
      </c>
      <c r="C13355" s="2" t="inlineStr">
        <is>
          <t>코스피</t>
        </is>
      </c>
      <c r="D13355" s="2" t="inlineStr">
        <is>
          <t>058650</t>
        </is>
      </c>
      <c r="E13355" s="3" t="inlineStr">
        <is>
          <t xml:space="preserve">현금ㆍ현물배당결정(자회사의 주요경영사항)              </t>
        </is>
      </c>
      <c r="F13355" s="3" t="inlineStr">
        <is>
          <t>세아홀딩스</t>
        </is>
      </c>
      <c r="G13355" s="2" t="inlineStr">
        <is>
          <t>20260626800679</t>
        </is>
      </c>
      <c r="H13355" s="8">
        <f>HYPERLINK("https://dart.fss.or.kr/dsaf001/main.do?rcpNo=20260626800679", "공시열람")</f>
        <v/>
      </c>
    </row>
    <row r="13356">
      <c r="A13356" s="2" t="inlineStr">
        <is>
          <t>2026-06-26</t>
        </is>
      </c>
      <c r="B13356" s="3" t="inlineStr">
        <is>
          <t>현대엘리베이터</t>
        </is>
      </c>
      <c r="C13356" s="2" t="inlineStr">
        <is>
          <t>코스피</t>
        </is>
      </c>
      <c r="D13356" s="2" t="inlineStr">
        <is>
          <t>017800</t>
        </is>
      </c>
      <c r="E13356" s="3" t="inlineStr">
        <is>
          <t>임원ㆍ주요주주특정증권등소유상황보고서</t>
        </is>
      </c>
      <c r="F13356" s="3" t="inlineStr">
        <is>
          <t>국민연금공단</t>
        </is>
      </c>
      <c r="G13356" s="2" t="inlineStr">
        <is>
          <t>20260626000453</t>
        </is>
      </c>
      <c r="H13356" s="8">
        <f>HYPERLINK("https://dart.fss.or.kr/dsaf001/main.do?rcpNo=20260626000453", "공시열람")</f>
        <v/>
      </c>
    </row>
    <row r="13357">
      <c r="A13357" s="2" t="inlineStr">
        <is>
          <t>2026-06-26</t>
        </is>
      </c>
      <c r="B13357" s="3" t="inlineStr">
        <is>
          <t>에이치엔에스하이텍</t>
        </is>
      </c>
      <c r="C13357" s="2" t="inlineStr">
        <is>
          <t>코스닥</t>
        </is>
      </c>
      <c r="D13357" s="2" t="inlineStr">
        <is>
          <t>044990</t>
        </is>
      </c>
      <c r="E13357" s="3" t="inlineStr">
        <is>
          <t>임원ㆍ주요주주특정증권등소유상황보고서</t>
        </is>
      </c>
      <c r="F13357" s="3" t="inlineStr">
        <is>
          <t>김정희</t>
        </is>
      </c>
      <c r="G13357" s="2" t="inlineStr">
        <is>
          <t>20260626000451</t>
        </is>
      </c>
      <c r="H13357" s="8">
        <f>HYPERLINK("https://dart.fss.or.kr/dsaf001/main.do?rcpNo=20260626000451", "공시열람")</f>
        <v/>
      </c>
    </row>
    <row r="13358">
      <c r="A13358" s="2" t="inlineStr">
        <is>
          <t>2026-06-26</t>
        </is>
      </c>
      <c r="B13358" s="3" t="inlineStr">
        <is>
          <t>케이씨에스</t>
        </is>
      </c>
      <c r="C13358" s="2" t="inlineStr">
        <is>
          <t>코스닥</t>
        </is>
      </c>
      <c r="D13358" s="2" t="inlineStr">
        <is>
          <t>115500</t>
        </is>
      </c>
      <c r="E13358" s="3" t="inlineStr">
        <is>
          <t>임원ㆍ주요주주특정증권등소유상황보고서</t>
        </is>
      </c>
      <c r="F13358" s="3" t="inlineStr">
        <is>
          <t>이호성</t>
        </is>
      </c>
      <c r="G13358" s="2" t="inlineStr">
        <is>
          <t>20260626000449</t>
        </is>
      </c>
      <c r="H13358" s="8">
        <f>HYPERLINK("https://dart.fss.or.kr/dsaf001/main.do?rcpNo=20260626000449", "공시열람")</f>
        <v/>
      </c>
    </row>
    <row r="13359">
      <c r="A13359" s="2" t="inlineStr">
        <is>
          <t>2026-06-26</t>
        </is>
      </c>
      <c r="B13359" s="3" t="inlineStr">
        <is>
          <t>SK증권</t>
        </is>
      </c>
      <c r="C13359" s="2" t="inlineStr">
        <is>
          <t>코스피</t>
        </is>
      </c>
      <c r="D13359" s="2" t="inlineStr">
        <is>
          <t>001510</t>
        </is>
      </c>
      <c r="E13359" s="3" t="inlineStr">
        <is>
          <t>증권발행실적보고서</t>
        </is>
      </c>
      <c r="F13359" s="3" t="inlineStr">
        <is>
          <t>SK증권</t>
        </is>
      </c>
      <c r="G13359" s="2" t="inlineStr">
        <is>
          <t>20260626000448</t>
        </is>
      </c>
      <c r="H13359" s="8">
        <f>HYPERLINK("https://dart.fss.or.kr/dsaf001/main.do?rcpNo=20260626000448", "공시열람")</f>
        <v/>
      </c>
    </row>
    <row r="13360">
      <c r="A13360" s="2" t="inlineStr">
        <is>
          <t>2026-06-26</t>
        </is>
      </c>
      <c r="B13360" s="3" t="inlineStr">
        <is>
          <t>미래에셋증권</t>
        </is>
      </c>
      <c r="C13360" s="2" t="inlineStr">
        <is>
          <t>코스피</t>
        </is>
      </c>
      <c r="D13360" s="2" t="inlineStr">
        <is>
          <t>006800</t>
        </is>
      </c>
      <c r="E13360" s="3" t="inlineStr">
        <is>
          <t>증권발행실적보고서</t>
        </is>
      </c>
      <c r="F13360" s="3" t="inlineStr">
        <is>
          <t>미래에셋증권</t>
        </is>
      </c>
      <c r="G13360" s="2" t="inlineStr">
        <is>
          <t>20260626000446</t>
        </is>
      </c>
      <c r="H13360" s="8">
        <f>HYPERLINK("https://dart.fss.or.kr/dsaf001/main.do?rcpNo=20260626000446", "공시열람")</f>
        <v/>
      </c>
    </row>
    <row r="13361">
      <c r="A13361" s="2" t="inlineStr">
        <is>
          <t>2026-06-26</t>
        </is>
      </c>
      <c r="B13361" s="3" t="inlineStr">
        <is>
          <t>DB증권</t>
        </is>
      </c>
      <c r="C13361" s="2" t="inlineStr">
        <is>
          <t>코스피</t>
        </is>
      </c>
      <c r="D13361" s="2" t="inlineStr">
        <is>
          <t>016610</t>
        </is>
      </c>
      <c r="E13361" s="3" t="inlineStr">
        <is>
          <t>투자설명서(일괄신고)</t>
        </is>
      </c>
      <c r="F13361" s="3" t="inlineStr">
        <is>
          <t>DB증권</t>
        </is>
      </c>
      <c r="G13361" s="2" t="inlineStr">
        <is>
          <t>20260626000443</t>
        </is>
      </c>
      <c r="H13361" s="8">
        <f>HYPERLINK("https://dart.fss.or.kr/dsaf001/main.do?rcpNo=20260626000443", "공시열람")</f>
        <v/>
      </c>
    </row>
    <row r="13362">
      <c r="A13362" s="2" t="inlineStr">
        <is>
          <t>2026-06-26</t>
        </is>
      </c>
      <c r="B13362" s="3" t="inlineStr">
        <is>
          <t>광진실업</t>
        </is>
      </c>
      <c r="C13362" s="2" t="inlineStr">
        <is>
          <t>코스닥</t>
        </is>
      </c>
      <c r="D13362" s="2" t="inlineStr">
        <is>
          <t>026910</t>
        </is>
      </c>
      <c r="E13362" s="3" t="inlineStr">
        <is>
          <t>사외이사의선임ㆍ해임또는중도퇴임에관한신고</t>
        </is>
      </c>
      <c r="F13362" s="3" t="inlineStr">
        <is>
          <t>광진실업</t>
        </is>
      </c>
      <c r="G13362" s="2" t="inlineStr">
        <is>
          <t>20260626000442</t>
        </is>
      </c>
      <c r="H13362" s="8">
        <f>HYPERLINK("https://dart.fss.or.kr/dsaf001/main.do?rcpNo=20260626000442", "공시열람")</f>
        <v/>
      </c>
    </row>
    <row r="13363">
      <c r="A13363" s="2" t="inlineStr">
        <is>
          <t>2026-06-26</t>
        </is>
      </c>
      <c r="B13363" s="3" t="inlineStr">
        <is>
          <t>소노스퀘어</t>
        </is>
      </c>
      <c r="C13363" s="2" t="inlineStr">
        <is>
          <t>코스닥</t>
        </is>
      </c>
      <c r="D13363" s="2" t="inlineStr">
        <is>
          <t>007720</t>
        </is>
      </c>
      <c r="E13363" s="3" t="inlineStr">
        <is>
          <t>임원ㆍ주요주주특정증권등소유상황보고서</t>
        </is>
      </c>
      <c r="F13363" s="3" t="inlineStr">
        <is>
          <t>소노인터내셔널</t>
        </is>
      </c>
      <c r="G13363" s="2" t="inlineStr">
        <is>
          <t>20260626000441</t>
        </is>
      </c>
      <c r="H13363" s="8">
        <f>HYPERLINK("https://dart.fss.or.kr/dsaf001/main.do?rcpNo=20260626000441", "공시열람")</f>
        <v/>
      </c>
    </row>
    <row r="13364">
      <c r="A13364" s="2" t="inlineStr">
        <is>
          <t>2026-06-26</t>
        </is>
      </c>
      <c r="B13364" s="3" t="inlineStr">
        <is>
          <t>스피어</t>
        </is>
      </c>
      <c r="C13364" s="2" t="inlineStr">
        <is>
          <t>코스닥</t>
        </is>
      </c>
      <c r="D13364" s="2" t="inlineStr">
        <is>
          <t>347700</t>
        </is>
      </c>
      <c r="E13364" s="3" t="inlineStr">
        <is>
          <t xml:space="preserve">타법인주식및출자증권취득결정              </t>
        </is>
      </c>
      <c r="F13364" s="3" t="inlineStr">
        <is>
          <t>스피어</t>
        </is>
      </c>
      <c r="G13364" s="2" t="inlineStr">
        <is>
          <t>20260626900672</t>
        </is>
      </c>
      <c r="H13364" s="8">
        <f>HYPERLINK("https://dart.fss.or.kr/dsaf001/main.do?rcpNo=20260626900672", "공시열람")</f>
        <v/>
      </c>
    </row>
    <row r="13365">
      <c r="A13365" s="2" t="inlineStr">
        <is>
          <t>2026-06-26</t>
        </is>
      </c>
      <c r="B13365" s="3" t="inlineStr">
        <is>
          <t>에이팩트</t>
        </is>
      </c>
      <c r="C13365" s="2" t="inlineStr">
        <is>
          <t>코스닥</t>
        </is>
      </c>
      <c r="D13365" s="2" t="inlineStr">
        <is>
          <t>200470</t>
        </is>
      </c>
      <c r="E13365" s="3" t="inlineStr">
        <is>
          <t>임원ㆍ주요주주특정증권등소유상황보고서</t>
        </is>
      </c>
      <c r="F13365" s="3" t="inlineStr">
        <is>
          <t>뮤츄얼그로우쓰</t>
        </is>
      </c>
      <c r="G13365" s="2" t="inlineStr">
        <is>
          <t>20260626000440</t>
        </is>
      </c>
      <c r="H13365" s="8">
        <f>HYPERLINK("https://dart.fss.or.kr/dsaf001/main.do?rcpNo=20260626000440", "공시열람")</f>
        <v/>
      </c>
    </row>
    <row r="13366">
      <c r="A13366" s="2" t="inlineStr">
        <is>
          <t>2026-06-26</t>
        </is>
      </c>
      <c r="B13366" s="3" t="inlineStr">
        <is>
          <t>DB증권</t>
        </is>
      </c>
      <c r="C13366" s="2" t="inlineStr">
        <is>
          <t>코스피</t>
        </is>
      </c>
      <c r="D13366" s="2" t="inlineStr">
        <is>
          <t>016610</t>
        </is>
      </c>
      <c r="E13366" s="3" t="inlineStr">
        <is>
          <t>일괄신고추가서류(파생결합사채-주가연계파생결합사채)</t>
        </is>
      </c>
      <c r="F13366" s="3" t="inlineStr">
        <is>
          <t>DB증권</t>
        </is>
      </c>
      <c r="G13366" s="2" t="inlineStr">
        <is>
          <t>20260626000439</t>
        </is>
      </c>
      <c r="H13366" s="8">
        <f>HYPERLINK("https://dart.fss.or.kr/dsaf001/main.do?rcpNo=20260626000439", "공시열람")</f>
        <v/>
      </c>
    </row>
    <row r="13367">
      <c r="A13367" s="2" t="inlineStr">
        <is>
          <t>2026-06-26</t>
        </is>
      </c>
      <c r="B13367" s="3" t="inlineStr">
        <is>
          <t>대신증권</t>
        </is>
      </c>
      <c r="C13367" s="2" t="inlineStr">
        <is>
          <t>코스피</t>
        </is>
      </c>
      <c r="D13367" s="2" t="inlineStr">
        <is>
          <t>003540</t>
        </is>
      </c>
      <c r="E13367" s="3" t="inlineStr">
        <is>
          <t>일괄신고추가서류(기타파생결합사채)</t>
        </is>
      </c>
      <c r="F13367" s="3" t="inlineStr">
        <is>
          <t>대신증권</t>
        </is>
      </c>
      <c r="G13367" s="2" t="inlineStr">
        <is>
          <t>20260626000438</t>
        </is>
      </c>
      <c r="H13367" s="8">
        <f>HYPERLINK("https://dart.fss.or.kr/dsaf001/main.do?rcpNo=20260626000438", "공시열람")</f>
        <v/>
      </c>
    </row>
    <row r="13368">
      <c r="A13368" s="2" t="inlineStr">
        <is>
          <t>2026-06-26</t>
        </is>
      </c>
      <c r="B13368" s="3" t="inlineStr">
        <is>
          <t>대신증권</t>
        </is>
      </c>
      <c r="C13368" s="2" t="inlineStr">
        <is>
          <t>코스피</t>
        </is>
      </c>
      <c r="D13368" s="2" t="inlineStr">
        <is>
          <t>003540</t>
        </is>
      </c>
      <c r="E13368" s="3" t="inlineStr">
        <is>
          <t>일괄신고추가서류(파생결합사채-주가연계파생결합사채)</t>
        </is>
      </c>
      <c r="F13368" s="3" t="inlineStr">
        <is>
          <t>대신증권</t>
        </is>
      </c>
      <c r="G13368" s="2" t="inlineStr">
        <is>
          <t>20260626000437</t>
        </is>
      </c>
      <c r="H13368" s="8">
        <f>HYPERLINK("https://dart.fss.or.kr/dsaf001/main.do?rcpNo=20260626000437", "공시열람")</f>
        <v/>
      </c>
    </row>
    <row r="13369">
      <c r="A13369" s="2" t="inlineStr">
        <is>
          <t>2026-06-26</t>
        </is>
      </c>
      <c r="B13369" s="3" t="inlineStr">
        <is>
          <t>한화투자증권</t>
        </is>
      </c>
      <c r="C13369" s="2" t="inlineStr">
        <is>
          <t>코스피</t>
        </is>
      </c>
      <c r="D13369" s="2" t="inlineStr">
        <is>
          <t>003530</t>
        </is>
      </c>
      <c r="E13369" s="3" t="inlineStr">
        <is>
          <t>일괄신고추가서류(파생결합사채-주가연계파생결합사채)</t>
        </is>
      </c>
      <c r="F13369" s="3" t="inlineStr">
        <is>
          <t>한화투자증권</t>
        </is>
      </c>
      <c r="G13369" s="2" t="inlineStr">
        <is>
          <t>20260626000433</t>
        </is>
      </c>
      <c r="H13369" s="8">
        <f>HYPERLINK("https://dart.fss.or.kr/dsaf001/main.do?rcpNo=20260626000433", "공시열람")</f>
        <v/>
      </c>
    </row>
    <row r="13370">
      <c r="A13370" s="2" t="inlineStr">
        <is>
          <t>2026-06-26</t>
        </is>
      </c>
      <c r="B13370" s="3" t="inlineStr">
        <is>
          <t>YTN</t>
        </is>
      </c>
      <c r="C13370" s="2" t="inlineStr">
        <is>
          <t>코스닥</t>
        </is>
      </c>
      <c r="D13370" s="2" t="inlineStr">
        <is>
          <t>040300</t>
        </is>
      </c>
      <c r="E13370" s="3" t="inlineStr">
        <is>
          <t>사외이사의선임ㆍ해임또는중도퇴임에관한신고</t>
        </is>
      </c>
      <c r="F13370" s="3" t="inlineStr">
        <is>
          <t>YTN</t>
        </is>
      </c>
      <c r="G13370" s="2" t="inlineStr">
        <is>
          <t>20260626000432</t>
        </is>
      </c>
      <c r="H13370" s="8">
        <f>HYPERLINK("https://dart.fss.or.kr/dsaf001/main.do?rcpNo=20260626000432", "공시열람")</f>
        <v/>
      </c>
    </row>
    <row r="13371">
      <c r="A13371" s="2" t="inlineStr">
        <is>
          <t>2026-06-26</t>
        </is>
      </c>
      <c r="B13371" s="3" t="inlineStr">
        <is>
          <t>한온시스템</t>
        </is>
      </c>
      <c r="C13371" s="2" t="inlineStr">
        <is>
          <t>코스피</t>
        </is>
      </c>
      <c r="D13371" s="2" t="inlineStr">
        <is>
          <t>018880</t>
        </is>
      </c>
      <c r="E13371" s="3" t="inlineStr">
        <is>
          <t>임원ㆍ주요주주특정증권등소유상황보고서</t>
        </is>
      </c>
      <c r="F13371" s="3" t="inlineStr">
        <is>
          <t>김종윤</t>
        </is>
      </c>
      <c r="G13371" s="2" t="inlineStr">
        <is>
          <t>20260626000431</t>
        </is>
      </c>
      <c r="H13371" s="8">
        <f>HYPERLINK("https://dart.fss.or.kr/dsaf001/main.do?rcpNo=20260626000431", "공시열람")</f>
        <v/>
      </c>
    </row>
    <row r="13372">
      <c r="A13372" s="2" t="inlineStr">
        <is>
          <t>2026-06-26</t>
        </is>
      </c>
      <c r="B13372" s="3" t="inlineStr">
        <is>
          <t>RF시스템즈</t>
        </is>
      </c>
      <c r="C13372" s="2" t="inlineStr">
        <is>
          <t>코스닥</t>
        </is>
      </c>
      <c r="D13372" s="2" t="inlineStr">
        <is>
          <t>474610</t>
        </is>
      </c>
      <c r="E13372" s="3" t="inlineStr">
        <is>
          <t>임원ㆍ주요주주특정증권등소유상황보고서</t>
        </is>
      </c>
      <c r="F13372" s="3" t="inlineStr">
        <is>
          <t>강대룡</t>
        </is>
      </c>
      <c r="G13372" s="2" t="inlineStr">
        <is>
          <t>20260626000428</t>
        </is>
      </c>
      <c r="H13372" s="8">
        <f>HYPERLINK("https://dart.fss.or.kr/dsaf001/main.do?rcpNo=20260626000428", "공시열람")</f>
        <v/>
      </c>
    </row>
    <row r="13373">
      <c r="A13373" s="2" t="inlineStr">
        <is>
          <t>2026-06-26</t>
        </is>
      </c>
      <c r="B13373" s="3" t="inlineStr">
        <is>
          <t>인터로조</t>
        </is>
      </c>
      <c r="C13373" s="2" t="inlineStr">
        <is>
          <t>코스닥</t>
        </is>
      </c>
      <c r="D13373" s="2" t="inlineStr">
        <is>
          <t>119610</t>
        </is>
      </c>
      <c r="E13373" s="3" t="inlineStr">
        <is>
          <t>임원ㆍ주요주주특정증권등소유상황보고서</t>
        </is>
      </c>
      <c r="F13373" s="3" t="inlineStr">
        <is>
          <t>김용직</t>
        </is>
      </c>
      <c r="G13373" s="2" t="inlineStr">
        <is>
          <t>20260626000427</t>
        </is>
      </c>
      <c r="H13373" s="8">
        <f>HYPERLINK("https://dart.fss.or.kr/dsaf001/main.do?rcpNo=20260626000427", "공시열람")</f>
        <v/>
      </c>
    </row>
    <row r="13374">
      <c r="A13374" s="2" t="inlineStr">
        <is>
          <t>2026-06-26</t>
        </is>
      </c>
      <c r="B13374" s="3" t="inlineStr">
        <is>
          <t>드림씨아이에스</t>
        </is>
      </c>
      <c r="C13374" s="2" t="inlineStr">
        <is>
          <t>코스닥</t>
        </is>
      </c>
      <c r="D13374" s="2" t="inlineStr">
        <is>
          <t>223250</t>
        </is>
      </c>
      <c r="E13374" s="3" t="inlineStr">
        <is>
          <t>임원ㆍ주요주주특정증권등소유상황보고서</t>
        </is>
      </c>
      <c r="F13374" s="3" t="inlineStr">
        <is>
          <t>양태식</t>
        </is>
      </c>
      <c r="G13374" s="2" t="inlineStr">
        <is>
          <t>20260626000424</t>
        </is>
      </c>
      <c r="H13374" s="8">
        <f>HYPERLINK("https://dart.fss.or.kr/dsaf001/main.do?rcpNo=20260626000424", "공시열람")</f>
        <v/>
      </c>
    </row>
    <row r="13375">
      <c r="A13375" s="2" t="inlineStr">
        <is>
          <t>2026-06-26</t>
        </is>
      </c>
      <c r="B13375" s="3" t="inlineStr">
        <is>
          <t>세아홀딩스</t>
        </is>
      </c>
      <c r="C13375" s="2" t="inlineStr">
        <is>
          <t>코스피</t>
        </is>
      </c>
      <c r="D13375" s="2" t="inlineStr">
        <is>
          <t>058650</t>
        </is>
      </c>
      <c r="E13375" s="3" t="inlineStr">
        <is>
          <t xml:space="preserve">현금ㆍ현물배당을위한주주명부폐쇄(기준일)결정(자회사의 주요경영사항)              </t>
        </is>
      </c>
      <c r="F13375" s="3" t="inlineStr">
        <is>
          <t>세아홀딩스</t>
        </is>
      </c>
      <c r="G13375" s="2" t="inlineStr">
        <is>
          <t>20260626800645</t>
        </is>
      </c>
      <c r="H13375" s="8">
        <f>HYPERLINK("https://dart.fss.or.kr/dsaf001/main.do?rcpNo=20260626800645", "공시열람")</f>
        <v/>
      </c>
    </row>
    <row r="13376">
      <c r="A13376" s="2" t="inlineStr">
        <is>
          <t>2026-06-26</t>
        </is>
      </c>
      <c r="B13376" s="3" t="inlineStr">
        <is>
          <t>RF시스템즈</t>
        </is>
      </c>
      <c r="C13376" s="2" t="inlineStr">
        <is>
          <t>코스닥</t>
        </is>
      </c>
      <c r="D13376" s="2" t="inlineStr">
        <is>
          <t>474610</t>
        </is>
      </c>
      <c r="E13376" s="3" t="inlineStr">
        <is>
          <t>임원ㆍ주요주주특정증권등소유상황보고서</t>
        </is>
      </c>
      <c r="F13376" s="3" t="inlineStr">
        <is>
          <t>김주현</t>
        </is>
      </c>
      <c r="G13376" s="2" t="inlineStr">
        <is>
          <t>20260626000421</t>
        </is>
      </c>
      <c r="H13376" s="8">
        <f>HYPERLINK("https://dart.fss.or.kr/dsaf001/main.do?rcpNo=20260626000421", "공시열람")</f>
        <v/>
      </c>
    </row>
    <row r="13377">
      <c r="A13377" s="2" t="inlineStr">
        <is>
          <t>2026-06-26</t>
        </is>
      </c>
      <c r="B13377" s="3" t="inlineStr">
        <is>
          <t>소노스퀘어</t>
        </is>
      </c>
      <c r="C13377" s="2" t="inlineStr">
        <is>
          <t>코스닥</t>
        </is>
      </c>
      <c r="D13377" s="2" t="inlineStr">
        <is>
          <t>007720</t>
        </is>
      </c>
      <c r="E13377" s="3" t="inlineStr">
        <is>
          <t>임원ㆍ주요주주특정증권등소유상황보고서</t>
        </is>
      </c>
      <c r="F13377" s="3" t="inlineStr">
        <is>
          <t>서준혁</t>
        </is>
      </c>
      <c r="G13377" s="2" t="inlineStr">
        <is>
          <t>20260626000414</t>
        </is>
      </c>
      <c r="H13377" s="8">
        <f>HYPERLINK("https://dart.fss.or.kr/dsaf001/main.do?rcpNo=20260626000414", "공시열람")</f>
        <v/>
      </c>
    </row>
    <row r="13378">
      <c r="A13378" s="2" t="inlineStr">
        <is>
          <t>2026-06-26</t>
        </is>
      </c>
      <c r="B13378" s="3" t="inlineStr">
        <is>
          <t>페니트리움바이오</t>
        </is>
      </c>
      <c r="C13378" s="2" t="inlineStr">
        <is>
          <t>코스닥</t>
        </is>
      </c>
      <c r="D13378" s="2" t="inlineStr">
        <is>
          <t>187660</t>
        </is>
      </c>
      <c r="E13378" s="3" t="inlineStr">
        <is>
          <t>투자설명서</t>
        </is>
      </c>
      <c r="F13378" s="3" t="inlineStr">
        <is>
          <t>페니트리움바이오</t>
        </is>
      </c>
      <c r="G13378" s="2" t="inlineStr">
        <is>
          <t>20260626000411</t>
        </is>
      </c>
      <c r="H13378" s="8">
        <f>HYPERLINK("https://dart.fss.or.kr/dsaf001/main.do?rcpNo=20260626000411", "공시열람")</f>
        <v/>
      </c>
    </row>
    <row r="13379">
      <c r="A13379" s="2" t="inlineStr">
        <is>
          <t>2026-06-26</t>
        </is>
      </c>
      <c r="B13379" s="3" t="inlineStr">
        <is>
          <t>꿈비</t>
        </is>
      </c>
      <c r="C13379" s="2" t="inlineStr">
        <is>
          <t>코스닥</t>
        </is>
      </c>
      <c r="D13379" s="2" t="inlineStr">
        <is>
          <t>407400</t>
        </is>
      </c>
      <c r="E13379" s="3" t="inlineStr">
        <is>
          <t xml:space="preserve">타법인주식및출자증권취득결정              </t>
        </is>
      </c>
      <c r="F13379" s="3" t="inlineStr">
        <is>
          <t>꿈비</t>
        </is>
      </c>
      <c r="G13379" s="2" t="inlineStr">
        <is>
          <t>20260626900597</t>
        </is>
      </c>
      <c r="H13379" s="8">
        <f>HYPERLINK("https://dart.fss.or.kr/dsaf001/main.do?rcpNo=20260626900597", "공시열람")</f>
        <v/>
      </c>
    </row>
    <row r="13380">
      <c r="A13380" s="2" t="inlineStr">
        <is>
          <t>2026-06-26</t>
        </is>
      </c>
      <c r="B13380" s="3" t="inlineStr">
        <is>
          <t>한국비엔씨</t>
        </is>
      </c>
      <c r="C13380" s="2" t="inlineStr">
        <is>
          <t>코스닥</t>
        </is>
      </c>
      <c r="D13380" s="2" t="inlineStr">
        <is>
          <t>256840</t>
        </is>
      </c>
      <c r="E13380" s="3" t="inlineStr">
        <is>
          <t>기타경영사항(자율공시)              (의약품 회수·폐기 및 잠정 제조중지 등 명령 취소 소송 상고심 판결)</t>
        </is>
      </c>
      <c r="F13380" s="3" t="inlineStr">
        <is>
          <t>한국비엔씨</t>
        </is>
      </c>
      <c r="G13380" s="2" t="inlineStr">
        <is>
          <t>20260626900642</t>
        </is>
      </c>
      <c r="H13380" s="8">
        <f>HYPERLINK("https://dart.fss.or.kr/dsaf001/main.do?rcpNo=20260626900642", "공시열람")</f>
        <v/>
      </c>
    </row>
    <row r="13381">
      <c r="A13381" s="2" t="inlineStr">
        <is>
          <t>2026-06-26</t>
        </is>
      </c>
      <c r="B13381" s="3" t="inlineStr">
        <is>
          <t>페니트리움바이오</t>
        </is>
      </c>
      <c r="C13381" s="2" t="inlineStr">
        <is>
          <t>코스닥</t>
        </is>
      </c>
      <c r="D13381" s="2" t="inlineStr">
        <is>
          <t>187660</t>
        </is>
      </c>
      <c r="E13381" s="3" t="inlineStr">
        <is>
          <t>[발행조건확정]증권신고서(지분증권)</t>
        </is>
      </c>
      <c r="F13381" s="3" t="inlineStr">
        <is>
          <t>페니트리움바이오</t>
        </is>
      </c>
      <c r="G13381" s="2" t="inlineStr">
        <is>
          <t>20260626000404</t>
        </is>
      </c>
      <c r="H13381" s="8">
        <f>HYPERLINK("https://dart.fss.or.kr/dsaf001/main.do?rcpNo=20260626000404", "공시열람")</f>
        <v/>
      </c>
    </row>
    <row r="13382">
      <c r="A13382" s="2" t="inlineStr">
        <is>
          <t>2026-06-26</t>
        </is>
      </c>
      <c r="B13382" s="3" t="inlineStr">
        <is>
          <t>교보증권</t>
        </is>
      </c>
      <c r="C13382" s="2" t="inlineStr">
        <is>
          <t>코스피</t>
        </is>
      </c>
      <c r="D13382" s="2" t="inlineStr">
        <is>
          <t>030610</t>
        </is>
      </c>
      <c r="E13382" s="3" t="inlineStr">
        <is>
          <t>투자설명서(일괄신고)</t>
        </is>
      </c>
      <c r="F13382" s="3" t="inlineStr">
        <is>
          <t>교보증권</t>
        </is>
      </c>
      <c r="G13382" s="2" t="inlineStr">
        <is>
          <t>20260626000403</t>
        </is>
      </c>
      <c r="H13382" s="8">
        <f>HYPERLINK("https://dart.fss.or.kr/dsaf001/main.do?rcpNo=20260626000403", "공시열람")</f>
        <v/>
      </c>
    </row>
    <row r="13383">
      <c r="A13383" s="2" t="inlineStr">
        <is>
          <t>2026-06-26</t>
        </is>
      </c>
      <c r="B13383" s="3" t="inlineStr">
        <is>
          <t>티에스이</t>
        </is>
      </c>
      <c r="C13383" s="2" t="inlineStr">
        <is>
          <t>코스닥</t>
        </is>
      </c>
      <c r="D13383" s="2" t="inlineStr">
        <is>
          <t>131290</t>
        </is>
      </c>
      <c r="E13383" s="3" t="inlineStr">
        <is>
          <t xml:space="preserve">기업설명회(IR)개최              </t>
        </is>
      </c>
      <c r="F13383" s="3" t="inlineStr">
        <is>
          <t>티에스이</t>
        </is>
      </c>
      <c r="G13383" s="2" t="inlineStr">
        <is>
          <t>20260626900651</t>
        </is>
      </c>
      <c r="H13383" s="8">
        <f>HYPERLINK("https://dart.fss.or.kr/dsaf001/main.do?rcpNo=20260626900651", "공시열람")</f>
        <v/>
      </c>
    </row>
    <row r="13384">
      <c r="A13384" s="2" t="inlineStr">
        <is>
          <t>2026-06-26</t>
        </is>
      </c>
      <c r="B13384" s="3" t="inlineStr">
        <is>
          <t>현대모비스</t>
        </is>
      </c>
      <c r="C13384" s="2" t="inlineStr">
        <is>
          <t>코스피</t>
        </is>
      </c>
      <c r="D13384" s="2" t="inlineStr">
        <is>
          <t>012330</t>
        </is>
      </c>
      <c r="E13384" s="3" t="inlineStr">
        <is>
          <t xml:space="preserve">지속가능경영보고서등관련사항(자율공시)              </t>
        </is>
      </c>
      <c r="F13384" s="3" t="inlineStr">
        <is>
          <t>현대모비스</t>
        </is>
      </c>
      <c r="G13384" s="2" t="inlineStr">
        <is>
          <t>20260626800643</t>
        </is>
      </c>
      <c r="H13384" s="8">
        <f>HYPERLINK("https://dart.fss.or.kr/dsaf001/main.do?rcpNo=20260626800643", "공시열람")</f>
        <v/>
      </c>
    </row>
    <row r="13385">
      <c r="A13385" s="2" t="inlineStr">
        <is>
          <t>2026-06-26</t>
        </is>
      </c>
      <c r="B13385" s="3" t="inlineStr">
        <is>
          <t>오성첨단소재</t>
        </is>
      </c>
      <c r="C13385" s="2" t="inlineStr">
        <is>
          <t>코스닥</t>
        </is>
      </c>
      <c r="D13385" s="2" t="inlineStr">
        <is>
          <t>052420</t>
        </is>
      </c>
      <c r="E13385" s="3" t="inlineStr">
        <is>
          <t xml:space="preserve">대표이사변경              </t>
        </is>
      </c>
      <c r="F13385" s="3" t="inlineStr">
        <is>
          <t>오성첨단소재</t>
        </is>
      </c>
      <c r="G13385" s="2" t="inlineStr">
        <is>
          <t>20260626900601</t>
        </is>
      </c>
      <c r="H13385" s="8">
        <f>HYPERLINK("https://dart.fss.or.kr/dsaf001/main.do?rcpNo=20260626900601", "공시열람")</f>
        <v/>
      </c>
    </row>
    <row r="13386">
      <c r="A13386" s="2" t="inlineStr">
        <is>
          <t>2026-06-26</t>
        </is>
      </c>
      <c r="B13386" s="3" t="inlineStr">
        <is>
          <t>삼성중공업</t>
        </is>
      </c>
      <c r="C13386" s="2" t="inlineStr">
        <is>
          <t>코스피</t>
        </is>
      </c>
      <c r="D13386" s="2" t="inlineStr">
        <is>
          <t>010140</t>
        </is>
      </c>
      <c r="E13386" s="3" t="inlineStr">
        <is>
          <t xml:space="preserve">지속가능경영보고서등관련사항(자율공시)              </t>
        </is>
      </c>
      <c r="F13386" s="3" t="inlineStr">
        <is>
          <t>삼성중공업</t>
        </is>
      </c>
      <c r="G13386" s="2" t="inlineStr">
        <is>
          <t>20260626800634</t>
        </is>
      </c>
      <c r="H13386" s="8">
        <f>HYPERLINK("https://dart.fss.or.kr/dsaf001/main.do?rcpNo=20260626800634", "공시열람")</f>
        <v/>
      </c>
    </row>
    <row r="13387">
      <c r="A13387" s="2" t="inlineStr">
        <is>
          <t>2026-06-26</t>
        </is>
      </c>
      <c r="B13387" s="3" t="inlineStr">
        <is>
          <t>교보증권</t>
        </is>
      </c>
      <c r="C13387" s="2" t="inlineStr">
        <is>
          <t>코스피</t>
        </is>
      </c>
      <c r="D13387" s="2" t="inlineStr">
        <is>
          <t>030610</t>
        </is>
      </c>
      <c r="E13387" s="3" t="inlineStr">
        <is>
          <t>증권발행실적보고서</t>
        </is>
      </c>
      <c r="F13387" s="3" t="inlineStr">
        <is>
          <t>교보증권</t>
        </is>
      </c>
      <c r="G13387" s="2" t="inlineStr">
        <is>
          <t>20260626000395</t>
        </is>
      </c>
      <c r="H13387" s="8">
        <f>HYPERLINK("https://dart.fss.or.kr/dsaf001/main.do?rcpNo=20260626000395", "공시열람")</f>
        <v/>
      </c>
    </row>
    <row r="13388">
      <c r="A13388" s="2" t="inlineStr">
        <is>
          <t>2026-06-26</t>
        </is>
      </c>
      <c r="B13388" s="3" t="inlineStr">
        <is>
          <t>대신밸런스제20호스팩</t>
        </is>
      </c>
      <c r="C13388" s="2" t="inlineStr">
        <is>
          <t>코스닥</t>
        </is>
      </c>
      <c r="D13388" s="2" t="inlineStr">
        <is>
          <t>0134X0</t>
        </is>
      </c>
      <c r="E13388" s="3" t="inlineStr">
        <is>
          <t>임원ㆍ주요주주특정증권등소유상황보고서</t>
        </is>
      </c>
      <c r="F13388" s="3" t="inlineStr">
        <is>
          <t>대신증권</t>
        </is>
      </c>
      <c r="G13388" s="2" t="inlineStr">
        <is>
          <t>20260626000393</t>
        </is>
      </c>
      <c r="H13388" s="8">
        <f>HYPERLINK("https://dart.fss.or.kr/dsaf001/main.do?rcpNo=20260626000393", "공시열람")</f>
        <v/>
      </c>
    </row>
    <row r="13389">
      <c r="A13389" s="2" t="inlineStr">
        <is>
          <t>2026-06-26</t>
        </is>
      </c>
      <c r="B13389" s="3" t="inlineStr">
        <is>
          <t>드림씨아이에스</t>
        </is>
      </c>
      <c r="C13389" s="2" t="inlineStr">
        <is>
          <t>코스닥</t>
        </is>
      </c>
      <c r="D13389" s="2" t="inlineStr">
        <is>
          <t>223250</t>
        </is>
      </c>
      <c r="E13389" s="3" t="inlineStr">
        <is>
          <t>임원ㆍ주요주주특정증권등소유상황보고서</t>
        </is>
      </c>
      <c r="F13389" s="3" t="inlineStr">
        <is>
          <t>최화섭</t>
        </is>
      </c>
      <c r="G13389" s="2" t="inlineStr">
        <is>
          <t>20260626000390</t>
        </is>
      </c>
      <c r="H13389" s="8">
        <f>HYPERLINK("https://dart.fss.or.kr/dsaf001/main.do?rcpNo=20260626000390", "공시열람")</f>
        <v/>
      </c>
    </row>
    <row r="13390">
      <c r="A13390" s="2" t="inlineStr">
        <is>
          <t>2026-06-26</t>
        </is>
      </c>
      <c r="B13390" s="3" t="inlineStr">
        <is>
          <t>SH에너지화학</t>
        </is>
      </c>
      <c r="C13390" s="2" t="inlineStr">
        <is>
          <t>코스피</t>
        </is>
      </c>
      <c r="D13390" s="2" t="inlineStr">
        <is>
          <t>002360</t>
        </is>
      </c>
      <c r="E13390" s="3" t="inlineStr">
        <is>
          <t>임원ㆍ주요주주특정증권등소유상황보고서</t>
        </is>
      </c>
      <c r="F13390" s="3" t="inlineStr">
        <is>
          <t>최찬욱</t>
        </is>
      </c>
      <c r="G13390" s="2" t="inlineStr">
        <is>
          <t>20260626000386</t>
        </is>
      </c>
      <c r="H13390" s="8">
        <f>HYPERLINK("https://dart.fss.or.kr/dsaf001/main.do?rcpNo=20260626000386", "공시열람")</f>
        <v/>
      </c>
    </row>
    <row r="13391">
      <c r="A13391" s="2" t="inlineStr">
        <is>
          <t>2026-06-26 (정정: 2026-06-30)</t>
        </is>
      </c>
      <c r="B13391" s="3" t="inlineStr">
        <is>
          <t>아나패스</t>
        </is>
      </c>
      <c r="C13391" s="2" t="inlineStr">
        <is>
          <t>코스닥</t>
        </is>
      </c>
      <c r="D13391" s="2" t="inlineStr">
        <is>
          <t>123860</t>
        </is>
      </c>
      <c r="E13391" s="3" t="inlineStr">
        <is>
          <t>임원ㆍ주요주주특정증권등소유상황보고서 (정정: 20260630)</t>
        </is>
      </c>
      <c r="F13391" s="3" t="inlineStr">
        <is>
          <t>이경호</t>
        </is>
      </c>
      <c r="G13391" s="2" t="inlineStr">
        <is>
          <t>20260630900474</t>
        </is>
      </c>
      <c r="H13391" s="8">
        <f>HYPERLINK("https://dart.fss.or.kr/dsaf001/main.do?rcpNo=20260630900474", "공시열람")</f>
        <v/>
      </c>
    </row>
    <row r="13392">
      <c r="A13392" s="2" t="inlineStr">
        <is>
          <t>2026-06-26</t>
        </is>
      </c>
      <c r="B13392" s="3" t="inlineStr">
        <is>
          <t>유틸렉스</t>
        </is>
      </c>
      <c r="C13392" s="2" t="inlineStr">
        <is>
          <t>코스닥</t>
        </is>
      </c>
      <c r="D13392" s="2" t="inlineStr">
        <is>
          <t>263050</t>
        </is>
      </c>
      <c r="E13392" s="3" t="inlineStr">
        <is>
          <t>기타시장안내              (상장적격성 실질심사 관련 안내)</t>
        </is>
      </c>
      <c r="F13392" s="3" t="inlineStr">
        <is>
          <t>코스닥시장본부</t>
        </is>
      </c>
      <c r="G13392" s="2" t="inlineStr">
        <is>
          <t>20260626900583</t>
        </is>
      </c>
      <c r="H13392" s="8">
        <f>HYPERLINK("https://dart.fss.or.kr/dsaf001/main.do?rcpNo=20260626900583", "공시열람")</f>
        <v/>
      </c>
    </row>
    <row r="13393">
      <c r="A13393" s="2" t="inlineStr">
        <is>
          <t>2026-06-26</t>
        </is>
      </c>
      <c r="B13393" s="3" t="inlineStr">
        <is>
          <t>에이텍모빌리티</t>
        </is>
      </c>
      <c r="C13393" s="2" t="inlineStr">
        <is>
          <t>코스닥</t>
        </is>
      </c>
      <c r="D13393" s="2" t="inlineStr">
        <is>
          <t>224110</t>
        </is>
      </c>
      <c r="E13393" s="3" t="inlineStr">
        <is>
          <t>임원ㆍ주요주주특정증권등거래계획보고서</t>
        </is>
      </c>
      <c r="F13393" s="3" t="inlineStr">
        <is>
          <t>신종찬</t>
        </is>
      </c>
      <c r="G13393" s="2" t="inlineStr">
        <is>
          <t>20260626000381</t>
        </is>
      </c>
      <c r="H13393" s="8">
        <f>HYPERLINK("https://dart.fss.or.kr/dsaf001/main.do?rcpNo=20260626000381", "공시열람")</f>
        <v/>
      </c>
    </row>
    <row r="13394">
      <c r="A13394" s="2" t="inlineStr">
        <is>
          <t>2026-06-26</t>
        </is>
      </c>
      <c r="B13394" s="3" t="inlineStr">
        <is>
          <t>삼성화재해상보험</t>
        </is>
      </c>
      <c r="C13394" s="2" t="inlineStr">
        <is>
          <t>코스피</t>
        </is>
      </c>
      <c r="D13394" s="2" t="inlineStr">
        <is>
          <t>000810</t>
        </is>
      </c>
      <c r="E13394" s="3" t="inlineStr">
        <is>
          <t>특수관계인과의수익증권거래</t>
        </is>
      </c>
      <c r="F13394" s="3" t="inlineStr">
        <is>
          <t>삼성화재해상보험</t>
        </is>
      </c>
      <c r="G13394" s="2" t="inlineStr">
        <is>
          <t>20260626000380</t>
        </is>
      </c>
      <c r="H13394" s="8">
        <f>HYPERLINK("https://dart.fss.or.kr/dsaf001/main.do?rcpNo=20260626000380", "공시열람")</f>
        <v/>
      </c>
    </row>
    <row r="13395">
      <c r="A13395" s="2" t="inlineStr">
        <is>
          <t>2026-06-26</t>
        </is>
      </c>
      <c r="B13395" s="3" t="inlineStr">
        <is>
          <t>키움증권</t>
        </is>
      </c>
      <c r="C13395" s="2" t="inlineStr">
        <is>
          <t>코스피</t>
        </is>
      </c>
      <c r="D13395" s="2" t="inlineStr">
        <is>
          <t>039490</t>
        </is>
      </c>
      <c r="E13395" s="3" t="inlineStr">
        <is>
          <t>증권발행실적보고서</t>
        </is>
      </c>
      <c r="F13395" s="3" t="inlineStr">
        <is>
          <t>키움증권</t>
        </is>
      </c>
      <c r="G13395" s="2" t="inlineStr">
        <is>
          <t>20260626000379</t>
        </is>
      </c>
      <c r="H13395" s="8">
        <f>HYPERLINK("https://dart.fss.or.kr/dsaf001/main.do?rcpNo=20260626000379", "공시열람")</f>
        <v/>
      </c>
    </row>
    <row r="13396">
      <c r="A13396" s="2" t="inlineStr">
        <is>
          <t>2026-06-26</t>
        </is>
      </c>
      <c r="B13396" s="3" t="inlineStr">
        <is>
          <t>삼성화재해상보험</t>
        </is>
      </c>
      <c r="C13396" s="2" t="inlineStr">
        <is>
          <t>코스피</t>
        </is>
      </c>
      <c r="D13396" s="2" t="inlineStr">
        <is>
          <t>000810</t>
        </is>
      </c>
      <c r="E13396" s="3" t="inlineStr">
        <is>
          <t>특수관계인과의수익증권거래</t>
        </is>
      </c>
      <c r="F13396" s="3" t="inlineStr">
        <is>
          <t>삼성화재해상보험</t>
        </is>
      </c>
      <c r="G13396" s="2" t="inlineStr">
        <is>
          <t>20260626000378</t>
        </is>
      </c>
      <c r="H13396" s="8">
        <f>HYPERLINK("https://dart.fss.or.kr/dsaf001/main.do?rcpNo=20260626000378", "공시열람")</f>
        <v/>
      </c>
    </row>
    <row r="13397">
      <c r="A13397" s="2" t="inlineStr">
        <is>
          <t>2026-06-26</t>
        </is>
      </c>
      <c r="B13397" s="3" t="inlineStr">
        <is>
          <t>모비데이즈</t>
        </is>
      </c>
      <c r="C13397" s="2" t="inlineStr">
        <is>
          <t>코스닥</t>
        </is>
      </c>
      <c r="D13397" s="2" t="inlineStr">
        <is>
          <t>363260</t>
        </is>
      </c>
      <c r="E13397" s="3" t="inlineStr">
        <is>
          <t xml:space="preserve">주주명부폐쇄기간또는기준일설정              </t>
        </is>
      </c>
      <c r="F13397" s="3" t="inlineStr">
        <is>
          <t>모비데이즈</t>
        </is>
      </c>
      <c r="G13397" s="2" t="inlineStr">
        <is>
          <t>20260626900598</t>
        </is>
      </c>
      <c r="H13397" s="8">
        <f>HYPERLINK("https://dart.fss.or.kr/dsaf001/main.do?rcpNo=20260626900598", "공시열람")</f>
        <v/>
      </c>
    </row>
    <row r="13398">
      <c r="A13398" s="2" t="inlineStr">
        <is>
          <t>2026-06-26</t>
        </is>
      </c>
      <c r="B13398" s="3" t="inlineStr">
        <is>
          <t>모비데이즈</t>
        </is>
      </c>
      <c r="C13398" s="2" t="inlineStr">
        <is>
          <t>코스닥</t>
        </is>
      </c>
      <c r="D13398" s="2" t="inlineStr">
        <is>
          <t>363260</t>
        </is>
      </c>
      <c r="E13398" s="3" t="inlineStr">
        <is>
          <t xml:space="preserve">주식병합결정              </t>
        </is>
      </c>
      <c r="F13398" s="3" t="inlineStr">
        <is>
          <t>모비데이즈</t>
        </is>
      </c>
      <c r="G13398" s="2" t="inlineStr">
        <is>
          <t>20260626900594</t>
        </is>
      </c>
      <c r="H13398" s="8">
        <f>HYPERLINK("https://dart.fss.or.kr/dsaf001/main.do?rcpNo=20260626900594", "공시열람")</f>
        <v/>
      </c>
    </row>
    <row r="13399">
      <c r="A13399" s="2" t="inlineStr">
        <is>
          <t>2026-06-26</t>
        </is>
      </c>
      <c r="B13399" s="3" t="inlineStr">
        <is>
          <t>삼성화재해상보험</t>
        </is>
      </c>
      <c r="C13399" s="2" t="inlineStr">
        <is>
          <t>코스피</t>
        </is>
      </c>
      <c r="D13399" s="2" t="inlineStr">
        <is>
          <t>000810</t>
        </is>
      </c>
      <c r="E13399" s="3" t="inlineStr">
        <is>
          <t>특수관계인과의수익증권거래</t>
        </is>
      </c>
      <c r="F13399" s="3" t="inlineStr">
        <is>
          <t>삼성화재해상보험</t>
        </is>
      </c>
      <c r="G13399" s="2" t="inlineStr">
        <is>
          <t>20260626000377</t>
        </is>
      </c>
      <c r="H13399" s="8">
        <f>HYPERLINK("https://dart.fss.or.kr/dsaf001/main.do?rcpNo=20260626000377", "공시열람")</f>
        <v/>
      </c>
    </row>
    <row r="13400">
      <c r="A13400" s="2" t="inlineStr">
        <is>
          <t>2026-06-26</t>
        </is>
      </c>
      <c r="B13400" s="3" t="inlineStr">
        <is>
          <t>삼성화재해상보험</t>
        </is>
      </c>
      <c r="C13400" s="2" t="inlineStr">
        <is>
          <t>코스피</t>
        </is>
      </c>
      <c r="D13400" s="2" t="inlineStr">
        <is>
          <t>000810</t>
        </is>
      </c>
      <c r="E13400" s="3" t="inlineStr">
        <is>
          <t>특수관계인과의수익증권거래</t>
        </is>
      </c>
      <c r="F13400" s="3" t="inlineStr">
        <is>
          <t>삼성화재해상보험</t>
        </is>
      </c>
      <c r="G13400" s="2" t="inlineStr">
        <is>
          <t>20260626000373</t>
        </is>
      </c>
      <c r="H13400" s="8">
        <f>HYPERLINK("https://dart.fss.or.kr/dsaf001/main.do?rcpNo=20260626000373", "공시열람")</f>
        <v/>
      </c>
    </row>
    <row r="13401">
      <c r="A13401" s="2" t="inlineStr">
        <is>
          <t>2026-06-26</t>
        </is>
      </c>
      <c r="B13401" s="3" t="inlineStr">
        <is>
          <t>에임드바이오</t>
        </is>
      </c>
      <c r="C13401" s="2" t="inlineStr">
        <is>
          <t>코스닥</t>
        </is>
      </c>
      <c r="D13401" s="2" t="inlineStr">
        <is>
          <t>0009K0</t>
        </is>
      </c>
      <c r="E13401" s="3" t="inlineStr">
        <is>
          <t>투자판단관련주요경영사항              (ODS025 기술이전계약 관련 마일스톤 기술료 수령)</t>
        </is>
      </c>
      <c r="F13401" s="3" t="inlineStr">
        <is>
          <t>에임드바이오</t>
        </is>
      </c>
      <c r="G13401" s="2" t="inlineStr">
        <is>
          <t>20260626900557</t>
        </is>
      </c>
      <c r="H13401" s="8">
        <f>HYPERLINK("https://dart.fss.or.kr/dsaf001/main.do?rcpNo=20260626900557", "공시열람")</f>
        <v/>
      </c>
    </row>
    <row r="13402">
      <c r="A13402" s="2" t="inlineStr">
        <is>
          <t>2026-06-26</t>
        </is>
      </c>
      <c r="B13402" s="3" t="inlineStr">
        <is>
          <t>교보증권</t>
        </is>
      </c>
      <c r="C13402" s="2" t="inlineStr">
        <is>
          <t>코스피</t>
        </is>
      </c>
      <c r="D13402" s="2" t="inlineStr">
        <is>
          <t>030610</t>
        </is>
      </c>
      <c r="E13402" s="3" t="inlineStr">
        <is>
          <t>일괄신고추가서류(파생결합사채-주가연계파생결합사채)</t>
        </is>
      </c>
      <c r="F13402" s="3" t="inlineStr">
        <is>
          <t>교보증권</t>
        </is>
      </c>
      <c r="G13402" s="2" t="inlineStr">
        <is>
          <t>20260626000370</t>
        </is>
      </c>
      <c r="H13402" s="8">
        <f>HYPERLINK("https://dart.fss.or.kr/dsaf001/main.do?rcpNo=20260626000370", "공시열람")</f>
        <v/>
      </c>
    </row>
    <row r="13403">
      <c r="A13403" s="2" t="inlineStr">
        <is>
          <t>2026-06-26</t>
        </is>
      </c>
      <c r="B13403" s="3" t="inlineStr">
        <is>
          <t>콜마비앤에이치</t>
        </is>
      </c>
      <c r="C13403" s="2" t="inlineStr">
        <is>
          <t>코스닥</t>
        </is>
      </c>
      <c r="D13403" s="2" t="inlineStr">
        <is>
          <t>200130</t>
        </is>
      </c>
      <c r="E13403" s="3" t="inlineStr">
        <is>
          <t xml:space="preserve">지속가능경영보고서등관련사항(자율공시)              </t>
        </is>
      </c>
      <c r="F13403" s="3" t="inlineStr">
        <is>
          <t>콜마비앤에이치</t>
        </is>
      </c>
      <c r="G13403" s="2" t="inlineStr">
        <is>
          <t>20260626900569</t>
        </is>
      </c>
      <c r="H13403" s="8">
        <f>HYPERLINK("https://dart.fss.or.kr/dsaf001/main.do?rcpNo=20260626900569", "공시열람")</f>
        <v/>
      </c>
    </row>
    <row r="13404">
      <c r="A13404" s="2" t="inlineStr">
        <is>
          <t>2026-06-26</t>
        </is>
      </c>
      <c r="B13404" s="3" t="inlineStr">
        <is>
          <t>한화손해보험</t>
        </is>
      </c>
      <c r="C13404" s="2" t="inlineStr">
        <is>
          <t>코스피</t>
        </is>
      </c>
      <c r="D13404" s="2" t="inlineStr">
        <is>
          <t>000370</t>
        </is>
      </c>
      <c r="E13404" s="3" t="inlineStr">
        <is>
          <t>특수관계인과의수익증권거래</t>
        </is>
      </c>
      <c r="F13404" s="3" t="inlineStr">
        <is>
          <t>한화손해보험</t>
        </is>
      </c>
      <c r="G13404" s="2" t="inlineStr">
        <is>
          <t>20260626000368</t>
        </is>
      </c>
      <c r="H13404" s="8">
        <f>HYPERLINK("https://dart.fss.or.kr/dsaf001/main.do?rcpNo=20260626000368", "공시열람")</f>
        <v/>
      </c>
    </row>
    <row r="13405">
      <c r="A13405" s="2" t="inlineStr">
        <is>
          <t>2026-06-26</t>
        </is>
      </c>
      <c r="B13405" s="3" t="inlineStr">
        <is>
          <t>삼성화재해상보험</t>
        </is>
      </c>
      <c r="C13405" s="2" t="inlineStr">
        <is>
          <t>코스피</t>
        </is>
      </c>
      <c r="D13405" s="2" t="inlineStr">
        <is>
          <t>000810</t>
        </is>
      </c>
      <c r="E13405" s="3" t="inlineStr">
        <is>
          <t>특수관계인과의수익증권거래</t>
        </is>
      </c>
      <c r="F13405" s="3" t="inlineStr">
        <is>
          <t>삼성화재해상보험</t>
        </is>
      </c>
      <c r="G13405" s="2" t="inlineStr">
        <is>
          <t>20260626000367</t>
        </is>
      </c>
      <c r="H13405" s="8">
        <f>HYPERLINK("https://dart.fss.or.kr/dsaf001/main.do?rcpNo=20260626000367", "공시열람")</f>
        <v/>
      </c>
    </row>
    <row r="13406">
      <c r="A13406" s="2" t="inlineStr">
        <is>
          <t>2026-06-26</t>
        </is>
      </c>
      <c r="B13406" s="3" t="inlineStr">
        <is>
          <t>SK하이닉스</t>
        </is>
      </c>
      <c r="C13406" s="2" t="inlineStr">
        <is>
          <t>코스피</t>
        </is>
      </c>
      <c r="D13406" s="2" t="inlineStr">
        <is>
          <t>000660</t>
        </is>
      </c>
      <c r="E13406" s="3" t="inlineStr">
        <is>
          <t>특수관계인으로부터자산양수</t>
        </is>
      </c>
      <c r="F13406" s="3" t="inlineStr">
        <is>
          <t>SK하이닉스</t>
        </is>
      </c>
      <c r="G13406" s="2" t="inlineStr">
        <is>
          <t>20260626000363</t>
        </is>
      </c>
      <c r="H13406" s="8">
        <f>HYPERLINK("https://dart.fss.or.kr/dsaf001/main.do?rcpNo=20260626000363", "공시열람")</f>
        <v/>
      </c>
    </row>
    <row r="13407">
      <c r="A13407" s="2" t="inlineStr">
        <is>
          <t>2026-06-26</t>
        </is>
      </c>
      <c r="B13407" s="3" t="inlineStr">
        <is>
          <t>SK하이닉스</t>
        </is>
      </c>
      <c r="C13407" s="2" t="inlineStr">
        <is>
          <t>코스피</t>
        </is>
      </c>
      <c r="D13407" s="2" t="inlineStr">
        <is>
          <t>000660</t>
        </is>
      </c>
      <c r="E13407" s="3" t="inlineStr">
        <is>
          <t>특수관계인으로부터자산양수</t>
        </is>
      </c>
      <c r="F13407" s="3" t="inlineStr">
        <is>
          <t>SK하이닉스</t>
        </is>
      </c>
      <c r="G13407" s="2" t="inlineStr">
        <is>
          <t>20260626000359</t>
        </is>
      </c>
      <c r="H13407" s="8">
        <f>HYPERLINK("https://dart.fss.or.kr/dsaf001/main.do?rcpNo=20260626000359", "공시열람")</f>
        <v/>
      </c>
    </row>
    <row r="13408">
      <c r="A13408" s="2" t="inlineStr">
        <is>
          <t>2026-06-26</t>
        </is>
      </c>
      <c r="B13408" s="3" t="inlineStr">
        <is>
          <t>유틸렉스</t>
        </is>
      </c>
      <c r="C13408" s="2" t="inlineStr">
        <is>
          <t>코스닥</t>
        </is>
      </c>
      <c r="D13408" s="2" t="inlineStr">
        <is>
          <t>263050</t>
        </is>
      </c>
      <c r="E13408" s="3" t="inlineStr">
        <is>
          <t xml:space="preserve">회생절차폐지결정              </t>
        </is>
      </c>
      <c r="F13408" s="3" t="inlineStr">
        <is>
          <t>유틸렉스</t>
        </is>
      </c>
      <c r="G13408" s="2" t="inlineStr">
        <is>
          <t>20260626900533</t>
        </is>
      </c>
      <c r="H13408" s="8">
        <f>HYPERLINK("https://dart.fss.or.kr/dsaf001/main.do?rcpNo=20260626900533", "공시열람")</f>
        <v/>
      </c>
    </row>
    <row r="13409">
      <c r="A13409" s="2" t="inlineStr">
        <is>
          <t>2026-06-26</t>
        </is>
      </c>
      <c r="B13409" s="3" t="inlineStr">
        <is>
          <t>SK하이닉스</t>
        </is>
      </c>
      <c r="C13409" s="2" t="inlineStr">
        <is>
          <t>코스피</t>
        </is>
      </c>
      <c r="D13409" s="2" t="inlineStr">
        <is>
          <t>000660</t>
        </is>
      </c>
      <c r="E13409" s="3" t="inlineStr">
        <is>
          <t>특수관계인과의내부거래</t>
        </is>
      </c>
      <c r="F13409" s="3" t="inlineStr">
        <is>
          <t>SK하이닉스</t>
        </is>
      </c>
      <c r="G13409" s="2" t="inlineStr">
        <is>
          <t>20260626000357</t>
        </is>
      </c>
      <c r="H13409" s="8">
        <f>HYPERLINK("https://dart.fss.or.kr/dsaf001/main.do?rcpNo=20260626000357", "공시열람")</f>
        <v/>
      </c>
    </row>
    <row r="13410">
      <c r="A13410" s="2" t="inlineStr">
        <is>
          <t>2026-06-26</t>
        </is>
      </c>
      <c r="B13410" s="3" t="inlineStr">
        <is>
          <t>한양증권</t>
        </is>
      </c>
      <c r="C13410" s="2" t="inlineStr">
        <is>
          <t>코스피</t>
        </is>
      </c>
      <c r="D13410" s="2" t="inlineStr">
        <is>
          <t>001750</t>
        </is>
      </c>
      <c r="E13410" s="3" t="inlineStr">
        <is>
          <t>임원ㆍ주요주주특정증권등소유상황보고서</t>
        </is>
      </c>
      <c r="F13410" s="3" t="inlineStr">
        <is>
          <t>김태연</t>
        </is>
      </c>
      <c r="G13410" s="2" t="inlineStr">
        <is>
          <t>20260626000355</t>
        </is>
      </c>
      <c r="H13410" s="8">
        <f>HYPERLINK("https://dart.fss.or.kr/dsaf001/main.do?rcpNo=20260626000355", "공시열람")</f>
        <v/>
      </c>
    </row>
    <row r="13411">
      <c r="A13411" s="2" t="inlineStr">
        <is>
          <t>2026-06-26</t>
        </is>
      </c>
      <c r="B13411" s="3" t="inlineStr">
        <is>
          <t>RF머트리얼즈</t>
        </is>
      </c>
      <c r="C13411" s="2" t="inlineStr">
        <is>
          <t>코스닥</t>
        </is>
      </c>
      <c r="D13411" s="2" t="inlineStr">
        <is>
          <t>327260</t>
        </is>
      </c>
      <c r="E13411" s="3" t="inlineStr">
        <is>
          <t>증권발행실적보고서</t>
        </is>
      </c>
      <c r="F13411" s="3" t="inlineStr">
        <is>
          <t>RF머트리얼즈</t>
        </is>
      </c>
      <c r="G13411" s="2" t="inlineStr">
        <is>
          <t>20260626000354</t>
        </is>
      </c>
      <c r="H13411" s="8">
        <f>HYPERLINK("https://dart.fss.or.kr/dsaf001/main.do?rcpNo=20260626000354", "공시열람")</f>
        <v/>
      </c>
    </row>
    <row r="13412">
      <c r="A13412" s="2" t="inlineStr">
        <is>
          <t>2026-06-26</t>
        </is>
      </c>
      <c r="B13412" s="3" t="inlineStr">
        <is>
          <t>삼성화재해상보험</t>
        </is>
      </c>
      <c r="C13412" s="2" t="inlineStr">
        <is>
          <t>코스피</t>
        </is>
      </c>
      <c r="D13412" s="2" t="inlineStr">
        <is>
          <t>000810</t>
        </is>
      </c>
      <c r="E13412" s="3" t="inlineStr">
        <is>
          <t>특수관계인으로부터부동산임차</t>
        </is>
      </c>
      <c r="F13412" s="3" t="inlineStr">
        <is>
          <t>삼성화재해상보험</t>
        </is>
      </c>
      <c r="G13412" s="2" t="inlineStr">
        <is>
          <t>20260626000353</t>
        </is>
      </c>
      <c r="H13412" s="8">
        <f>HYPERLINK("https://dart.fss.or.kr/dsaf001/main.do?rcpNo=20260626000353", "공시열람")</f>
        <v/>
      </c>
    </row>
    <row r="13413">
      <c r="A13413" s="2" t="inlineStr">
        <is>
          <t>2026-06-26</t>
        </is>
      </c>
      <c r="B13413" s="3" t="inlineStr">
        <is>
          <t>인터로이드</t>
        </is>
      </c>
      <c r="C13413" s="2" t="inlineStr">
        <is>
          <t>코넥스</t>
        </is>
      </c>
      <c r="D13413" s="2" t="inlineStr">
        <is>
          <t>311960</t>
        </is>
      </c>
      <c r="E13413" s="3" t="inlineStr">
        <is>
          <t xml:space="preserve">기업설명회(IR)개최결과              </t>
        </is>
      </c>
      <c r="F13413" s="3" t="inlineStr">
        <is>
          <t>인터로이드</t>
        </is>
      </c>
      <c r="G13413" s="2" t="inlineStr">
        <is>
          <t>20260626600537</t>
        </is>
      </c>
      <c r="H13413" s="8">
        <f>HYPERLINK("https://dart.fss.or.kr/dsaf001/main.do?rcpNo=20260626600537", "공시열람")</f>
        <v/>
      </c>
    </row>
    <row r="13414">
      <c r="A13414" s="2" t="inlineStr">
        <is>
          <t>2026-06-26</t>
        </is>
      </c>
      <c r="B13414" s="3" t="inlineStr">
        <is>
          <t>SK하이닉스</t>
        </is>
      </c>
      <c r="C13414" s="2" t="inlineStr">
        <is>
          <t>코스피</t>
        </is>
      </c>
      <c r="D13414" s="2" t="inlineStr">
        <is>
          <t>000660</t>
        </is>
      </c>
      <c r="E13414" s="3" t="inlineStr">
        <is>
          <t>동일인등출자계열회사와의상품ㆍ용역거래변경</t>
        </is>
      </c>
      <c r="F13414" s="3" t="inlineStr">
        <is>
          <t>SK하이닉스</t>
        </is>
      </c>
      <c r="G13414" s="2" t="inlineStr">
        <is>
          <t>20260626000346</t>
        </is>
      </c>
      <c r="H13414" s="8">
        <f>HYPERLINK("https://dart.fss.or.kr/dsaf001/main.do?rcpNo=20260626000346", "공시열람")</f>
        <v/>
      </c>
    </row>
    <row r="13415">
      <c r="A13415" s="2" t="inlineStr">
        <is>
          <t>2026-06-26</t>
        </is>
      </c>
      <c r="B13415" s="3" t="inlineStr">
        <is>
          <t>계양전기</t>
        </is>
      </c>
      <c r="C13415" s="2" t="inlineStr">
        <is>
          <t>코스피</t>
        </is>
      </c>
      <c r="D13415" s="2" t="inlineStr">
        <is>
          <t>012200</t>
        </is>
      </c>
      <c r="E13415" s="3" t="inlineStr">
        <is>
          <t>투자설명서</t>
        </is>
      </c>
      <c r="F13415" s="3" t="inlineStr">
        <is>
          <t>계양전기</t>
        </is>
      </c>
      <c r="G13415" s="2" t="inlineStr">
        <is>
          <t>20260626000345</t>
        </is>
      </c>
      <c r="H13415" s="8">
        <f>HYPERLINK("https://dart.fss.or.kr/dsaf001/main.do?rcpNo=20260626000345", "공시열람")</f>
        <v/>
      </c>
    </row>
    <row r="13416">
      <c r="A13416" s="2" t="inlineStr">
        <is>
          <t>2026-06-26</t>
        </is>
      </c>
      <c r="B13416" s="3" t="inlineStr">
        <is>
          <t>SK하이닉스</t>
        </is>
      </c>
      <c r="C13416" s="2" t="inlineStr">
        <is>
          <t>코스피</t>
        </is>
      </c>
      <c r="D13416" s="2" t="inlineStr">
        <is>
          <t>000660</t>
        </is>
      </c>
      <c r="E13416" s="3" t="inlineStr">
        <is>
          <t>동일인등출자계열회사와의상품ㆍ용역거래변경</t>
        </is>
      </c>
      <c r="F13416" s="3" t="inlineStr">
        <is>
          <t>SK하이닉스</t>
        </is>
      </c>
      <c r="G13416" s="2" t="inlineStr">
        <is>
          <t>20260626000340</t>
        </is>
      </c>
      <c r="H13416" s="8">
        <f>HYPERLINK("https://dart.fss.or.kr/dsaf001/main.do?rcpNo=20260626000340", "공시열람")</f>
        <v/>
      </c>
    </row>
    <row r="13417">
      <c r="A13417" s="2" t="inlineStr">
        <is>
          <t>2026-06-26</t>
        </is>
      </c>
      <c r="B13417" s="3" t="inlineStr">
        <is>
          <t>딥커머스</t>
        </is>
      </c>
      <c r="C13417" s="2" t="inlineStr">
        <is>
          <t>코스닥</t>
        </is>
      </c>
      <c r="D13417" s="2" t="inlineStr">
        <is>
          <t>900110</t>
        </is>
      </c>
      <c r="E13417" s="3" t="inlineStr">
        <is>
          <t xml:space="preserve">주주명부폐쇄기간또는기준일설정              </t>
        </is>
      </c>
      <c r="F13417" s="3" t="inlineStr">
        <is>
          <t>딥커머스</t>
        </is>
      </c>
      <c r="G13417" s="2" t="inlineStr">
        <is>
          <t>20260626900526</t>
        </is>
      </c>
      <c r="H13417" s="8">
        <f>HYPERLINK("https://dart.fss.or.kr/dsaf001/main.do?rcpNo=20260626900526", "공시열람")</f>
        <v/>
      </c>
    </row>
    <row r="13418">
      <c r="A13418" s="2" t="inlineStr">
        <is>
          <t>2026-06-26</t>
        </is>
      </c>
      <c r="B13418" s="3" t="inlineStr">
        <is>
          <t>한양증권</t>
        </is>
      </c>
      <c r="C13418" s="2" t="inlineStr">
        <is>
          <t>코스피</t>
        </is>
      </c>
      <c r="D13418" s="2" t="inlineStr">
        <is>
          <t>001750</t>
        </is>
      </c>
      <c r="E13418" s="3" t="inlineStr">
        <is>
          <t>임원ㆍ주요주주특정증권등소유상황보고서</t>
        </is>
      </c>
      <c r="F13418" s="3" t="inlineStr">
        <is>
          <t>박성주</t>
        </is>
      </c>
      <c r="G13418" s="2" t="inlineStr">
        <is>
          <t>20260626000339</t>
        </is>
      </c>
      <c r="H13418" s="8">
        <f>HYPERLINK("https://dart.fss.or.kr/dsaf001/main.do?rcpNo=20260626000339", "공시열람")</f>
        <v/>
      </c>
    </row>
    <row r="13419">
      <c r="A13419" s="2" t="inlineStr">
        <is>
          <t>2026-06-26</t>
        </is>
      </c>
      <c r="B13419" s="3" t="inlineStr">
        <is>
          <t>영풍</t>
        </is>
      </c>
      <c r="C13419" s="2" t="inlineStr">
        <is>
          <t>코스피</t>
        </is>
      </c>
      <c r="D13419" s="2" t="inlineStr">
        <is>
          <t>000670</t>
        </is>
      </c>
      <c r="E13419" s="3" t="inlineStr">
        <is>
          <t>임원ㆍ주요주주특정증권등소유상황보고서</t>
        </is>
      </c>
      <c r="F13419" s="3" t="inlineStr">
        <is>
          <t>박진순</t>
        </is>
      </c>
      <c r="G13419" s="2" t="inlineStr">
        <is>
          <t>20260626000338</t>
        </is>
      </c>
      <c r="H13419" s="8">
        <f>HYPERLINK("https://dart.fss.or.kr/dsaf001/main.do?rcpNo=20260626000338", "공시열람")</f>
        <v/>
      </c>
    </row>
    <row r="13420">
      <c r="A13420" s="2" t="inlineStr">
        <is>
          <t>2026-06-26</t>
        </is>
      </c>
      <c r="B13420" s="3" t="inlineStr">
        <is>
          <t>제우스</t>
        </is>
      </c>
      <c r="C13420" s="2" t="inlineStr">
        <is>
          <t>코스닥</t>
        </is>
      </c>
      <c r="D13420" s="2" t="inlineStr">
        <is>
          <t>079370</t>
        </is>
      </c>
      <c r="E13420" s="3" t="inlineStr">
        <is>
          <t>임원ㆍ주요주주특정증권등소유상황보고서</t>
        </is>
      </c>
      <c r="F13420" s="3" t="inlineStr">
        <is>
          <t>정광일</t>
        </is>
      </c>
      <c r="G13420" s="2" t="inlineStr">
        <is>
          <t>20260626000337</t>
        </is>
      </c>
      <c r="H13420" s="8">
        <f>HYPERLINK("https://dart.fss.or.kr/dsaf001/main.do?rcpNo=20260626000337", "공시열람")</f>
        <v/>
      </c>
    </row>
    <row r="13421">
      <c r="A13421" s="2" t="inlineStr">
        <is>
          <t>2026-06-26</t>
        </is>
      </c>
      <c r="B13421" s="3" t="inlineStr">
        <is>
          <t>교보증권</t>
        </is>
      </c>
      <c r="C13421" s="2" t="inlineStr">
        <is>
          <t>코스피</t>
        </is>
      </c>
      <c r="D13421" s="2" t="inlineStr">
        <is>
          <t>030610</t>
        </is>
      </c>
      <c r="E13421" s="3" t="inlineStr">
        <is>
          <t>증권발행실적보고서</t>
        </is>
      </c>
      <c r="F13421" s="3" t="inlineStr">
        <is>
          <t>교보증권</t>
        </is>
      </c>
      <c r="G13421" s="2" t="inlineStr">
        <is>
          <t>20260626000336</t>
        </is>
      </c>
      <c r="H13421" s="8">
        <f>HYPERLINK("https://dart.fss.or.kr/dsaf001/main.do?rcpNo=20260626000336", "공시열람")</f>
        <v/>
      </c>
    </row>
    <row r="13422">
      <c r="A13422" s="2" t="inlineStr">
        <is>
          <t>2026-06-26</t>
        </is>
      </c>
      <c r="B13422" s="3" t="inlineStr">
        <is>
          <t>옵트론텍</t>
        </is>
      </c>
      <c r="C13422" s="2" t="inlineStr">
        <is>
          <t>코스닥</t>
        </is>
      </c>
      <c r="D13422" s="2" t="inlineStr">
        <is>
          <t>082210</t>
        </is>
      </c>
      <c r="E13422" s="3" t="inlineStr">
        <is>
          <t xml:space="preserve">타법인주식및출자증권취득결정              </t>
        </is>
      </c>
      <c r="F13422" s="3" t="inlineStr">
        <is>
          <t>옵트론텍</t>
        </is>
      </c>
      <c r="G13422" s="2" t="inlineStr">
        <is>
          <t>20260626900512</t>
        </is>
      </c>
      <c r="H13422" s="8">
        <f>HYPERLINK("https://dart.fss.or.kr/dsaf001/main.do?rcpNo=20260626900512", "공시열람")</f>
        <v/>
      </c>
    </row>
    <row r="13423">
      <c r="A13423" s="2" t="inlineStr">
        <is>
          <t>2026-06-26</t>
        </is>
      </c>
      <c r="B13423" s="3" t="inlineStr">
        <is>
          <t>딥커머스</t>
        </is>
      </c>
      <c r="C13423" s="2" t="inlineStr">
        <is>
          <t>코스닥</t>
        </is>
      </c>
      <c r="D13423" s="2" t="inlineStr">
        <is>
          <t>900110</t>
        </is>
      </c>
      <c r="E13423" s="3" t="inlineStr">
        <is>
          <t xml:space="preserve">주식병합결정              </t>
        </is>
      </c>
      <c r="F13423" s="3" t="inlineStr">
        <is>
          <t>딥커머스</t>
        </is>
      </c>
      <c r="G13423" s="2" t="inlineStr">
        <is>
          <t>20260626900506</t>
        </is>
      </c>
      <c r="H13423" s="8">
        <f>HYPERLINK("https://dart.fss.or.kr/dsaf001/main.do?rcpNo=20260626900506", "공시열람")</f>
        <v/>
      </c>
    </row>
    <row r="13424">
      <c r="A13424" s="2" t="inlineStr">
        <is>
          <t>2026-06-26</t>
        </is>
      </c>
      <c r="B13424" s="3" t="inlineStr">
        <is>
          <t>HD한국조선해양</t>
        </is>
      </c>
      <c r="C13424" s="2" t="inlineStr">
        <is>
          <t>코스피</t>
        </is>
      </c>
      <c r="D13424" s="2" t="inlineStr">
        <is>
          <t>009540</t>
        </is>
      </c>
      <c r="E13424" s="3" t="inlineStr">
        <is>
          <t xml:space="preserve">유형자산처분결정(자회사의 주요경영사항)              </t>
        </is>
      </c>
      <c r="F13424" s="3" t="inlineStr">
        <is>
          <t>HD한국조선해양</t>
        </is>
      </c>
      <c r="G13424" s="2" t="inlineStr">
        <is>
          <t>20260626800504</t>
        </is>
      </c>
      <c r="H13424" s="8">
        <f>HYPERLINK("https://dart.fss.or.kr/dsaf001/main.do?rcpNo=20260626800504", "공시열람")</f>
        <v/>
      </c>
    </row>
    <row r="13425">
      <c r="A13425" s="2" t="inlineStr">
        <is>
          <t>2026-06-26</t>
        </is>
      </c>
      <c r="B13425" s="3" t="inlineStr">
        <is>
          <t>파라다이스</t>
        </is>
      </c>
      <c r="C13425" s="2" t="inlineStr">
        <is>
          <t>코스피</t>
        </is>
      </c>
      <c r="D13425" s="2" t="inlineStr">
        <is>
          <t>034230</t>
        </is>
      </c>
      <c r="E13425" s="3" t="inlineStr">
        <is>
          <t xml:space="preserve">지속가능경영보고서등관련사항(자율공시)              </t>
        </is>
      </c>
      <c r="F13425" s="3" t="inlineStr">
        <is>
          <t>파라다이스</t>
        </is>
      </c>
      <c r="G13425" s="2" t="inlineStr">
        <is>
          <t>20260626800516</t>
        </is>
      </c>
      <c r="H13425" s="8">
        <f>HYPERLINK("https://dart.fss.or.kr/dsaf001/main.do?rcpNo=20260626800516", "공시열람")</f>
        <v/>
      </c>
    </row>
    <row r="13426">
      <c r="A13426" s="2" t="inlineStr">
        <is>
          <t>2026-06-26</t>
        </is>
      </c>
      <c r="B13426" s="3" t="inlineStr">
        <is>
          <t>교보증권</t>
        </is>
      </c>
      <c r="C13426" s="2" t="inlineStr">
        <is>
          <t>코스피</t>
        </is>
      </c>
      <c r="D13426" s="2" t="inlineStr">
        <is>
          <t>030610</t>
        </is>
      </c>
      <c r="E13426" s="3" t="inlineStr">
        <is>
          <t>증권발행실적보고서</t>
        </is>
      </c>
      <c r="F13426" s="3" t="inlineStr">
        <is>
          <t>교보증권</t>
        </is>
      </c>
      <c r="G13426" s="2" t="inlineStr">
        <is>
          <t>20260626000330</t>
        </is>
      </c>
      <c r="H13426" s="8">
        <f>HYPERLINK("https://dart.fss.or.kr/dsaf001/main.do?rcpNo=20260626000330", "공시열람")</f>
        <v/>
      </c>
    </row>
    <row r="13427">
      <c r="A13427" s="2" t="inlineStr">
        <is>
          <t>2026-06-26</t>
        </is>
      </c>
      <c r="B13427" s="3" t="inlineStr">
        <is>
          <t>제우스</t>
        </is>
      </c>
      <c r="C13427" s="2" t="inlineStr">
        <is>
          <t>코스닥</t>
        </is>
      </c>
      <c r="D13427" s="2" t="inlineStr">
        <is>
          <t>079370</t>
        </is>
      </c>
      <c r="E13427" s="3" t="inlineStr">
        <is>
          <t>임원ㆍ주요주주특정증권등소유상황보고서</t>
        </is>
      </c>
      <c r="F13427" s="3" t="inlineStr">
        <is>
          <t>김영석</t>
        </is>
      </c>
      <c r="G13427" s="2" t="inlineStr">
        <is>
          <t>20260626000329</t>
        </is>
      </c>
      <c r="H13427" s="8">
        <f>HYPERLINK("https://dart.fss.or.kr/dsaf001/main.do?rcpNo=20260626000329", "공시열람")</f>
        <v/>
      </c>
    </row>
    <row r="13428">
      <c r="A13428" s="2" t="inlineStr">
        <is>
          <t>2026-06-26</t>
        </is>
      </c>
      <c r="B13428" s="3" t="inlineStr">
        <is>
          <t>신한지주</t>
        </is>
      </c>
      <c r="C13428" s="2" t="inlineStr">
        <is>
          <t>코스피</t>
        </is>
      </c>
      <c r="D13428" s="2" t="inlineStr">
        <is>
          <t>055550</t>
        </is>
      </c>
      <c r="E13428" s="3" t="inlineStr">
        <is>
          <t>증권발행실적보고서</t>
        </is>
      </c>
      <c r="F13428" s="3" t="inlineStr">
        <is>
          <t>신한지주</t>
        </is>
      </c>
      <c r="G13428" s="2" t="inlineStr">
        <is>
          <t>20260626000328</t>
        </is>
      </c>
      <c r="H13428" s="8">
        <f>HYPERLINK("https://dart.fss.or.kr/dsaf001/main.do?rcpNo=20260626000328", "공시열람")</f>
        <v/>
      </c>
    </row>
    <row r="13429">
      <c r="A13429" s="2" t="inlineStr">
        <is>
          <t>2026-06-26</t>
        </is>
      </c>
      <c r="B13429" s="3" t="inlineStr">
        <is>
          <t>코아시아씨엠</t>
        </is>
      </c>
      <c r="C13429" s="2" t="inlineStr">
        <is>
          <t>코스닥</t>
        </is>
      </c>
      <c r="D13429" s="2" t="inlineStr">
        <is>
          <t>196450</t>
        </is>
      </c>
      <c r="E13429" s="3" t="inlineStr">
        <is>
          <t xml:space="preserve">주주명부폐쇄기간또는기준일설정              </t>
        </is>
      </c>
      <c r="F13429" s="3" t="inlineStr">
        <is>
          <t>코아시아씨엠</t>
        </is>
      </c>
      <c r="G13429" s="2" t="inlineStr">
        <is>
          <t>20260626900511</t>
        </is>
      </c>
      <c r="H13429" s="8">
        <f>HYPERLINK("https://dart.fss.or.kr/dsaf001/main.do?rcpNo=20260626900511", "공시열람")</f>
        <v/>
      </c>
    </row>
    <row r="13430">
      <c r="A13430" s="2" t="inlineStr">
        <is>
          <t>2026-06-26</t>
        </is>
      </c>
      <c r="B13430" s="3" t="inlineStr">
        <is>
          <t>알로이스</t>
        </is>
      </c>
      <c r="C13430" s="2" t="inlineStr">
        <is>
          <t>코스닥</t>
        </is>
      </c>
      <c r="D13430" s="2" t="inlineStr">
        <is>
          <t>297570</t>
        </is>
      </c>
      <c r="E13430" s="3" t="inlineStr">
        <is>
          <t xml:space="preserve">주주명부폐쇄기간또는기준일설정              </t>
        </is>
      </c>
      <c r="F13430" s="3" t="inlineStr">
        <is>
          <t>알로이스</t>
        </is>
      </c>
      <c r="G13430" s="2" t="inlineStr">
        <is>
          <t>20260626900507</t>
        </is>
      </c>
      <c r="H13430" s="8">
        <f>HYPERLINK("https://dart.fss.or.kr/dsaf001/main.do?rcpNo=20260626900507", "공시열람")</f>
        <v/>
      </c>
    </row>
    <row r="13431">
      <c r="A13431" s="2" t="inlineStr">
        <is>
          <t>2026-06-26</t>
        </is>
      </c>
      <c r="B13431" s="3" t="inlineStr">
        <is>
          <t>HD현대중공업</t>
        </is>
      </c>
      <c r="C13431" s="2" t="inlineStr">
        <is>
          <t>코스피</t>
        </is>
      </c>
      <c r="D13431" s="2" t="inlineStr">
        <is>
          <t>329180</t>
        </is>
      </c>
      <c r="E13431" s="3" t="inlineStr">
        <is>
          <t xml:space="preserve">유형자산처분결정              </t>
        </is>
      </c>
      <c r="F13431" s="3" t="inlineStr">
        <is>
          <t>HD현대중공업</t>
        </is>
      </c>
      <c r="G13431" s="2" t="inlineStr">
        <is>
          <t>20260626800492</t>
        </is>
      </c>
      <c r="H13431" s="8">
        <f>HYPERLINK("https://dart.fss.or.kr/dsaf001/main.do?rcpNo=20260626800492", "공시열람")</f>
        <v/>
      </c>
    </row>
    <row r="13432">
      <c r="A13432" s="2" t="inlineStr">
        <is>
          <t>2026-06-26</t>
        </is>
      </c>
      <c r="B13432" s="3" t="inlineStr">
        <is>
          <t>농심</t>
        </is>
      </c>
      <c r="C13432" s="2" t="inlineStr">
        <is>
          <t>코스피</t>
        </is>
      </c>
      <c r="D13432" s="2" t="inlineStr">
        <is>
          <t>004370</t>
        </is>
      </c>
      <c r="E13432" s="3" t="inlineStr">
        <is>
          <t>임원ㆍ주요주주특정증권등소유상황보고서</t>
        </is>
      </c>
      <c r="F13432" s="3" t="inlineStr">
        <is>
          <t>조용철</t>
        </is>
      </c>
      <c r="G13432" s="2" t="inlineStr">
        <is>
          <t>20260626000320</t>
        </is>
      </c>
      <c r="H13432" s="8">
        <f>HYPERLINK("https://dart.fss.or.kr/dsaf001/main.do?rcpNo=20260626000320", "공시열람")</f>
        <v/>
      </c>
    </row>
    <row r="13433">
      <c r="A13433" s="2" t="inlineStr">
        <is>
          <t>2026-06-26</t>
        </is>
      </c>
      <c r="B13433" s="3" t="inlineStr">
        <is>
          <t>씨앤투스</t>
        </is>
      </c>
      <c r="C13433" s="2" t="inlineStr">
        <is>
          <t>코스닥</t>
        </is>
      </c>
      <c r="D13433" s="2" t="inlineStr">
        <is>
          <t>352700</t>
        </is>
      </c>
      <c r="E13433" s="3" t="inlineStr">
        <is>
          <t xml:space="preserve">주주명부폐쇄기간또는기준일설정              </t>
        </is>
      </c>
      <c r="F13433" s="3" t="inlineStr">
        <is>
          <t>씨앤투스</t>
        </is>
      </c>
      <c r="G13433" s="2" t="inlineStr">
        <is>
          <t>20260626900500</t>
        </is>
      </c>
      <c r="H13433" s="8">
        <f>HYPERLINK("https://dart.fss.or.kr/dsaf001/main.do?rcpNo=20260626900500", "공시열람")</f>
        <v/>
      </c>
    </row>
    <row r="13434">
      <c r="A13434" s="2" t="inlineStr">
        <is>
          <t>2026-06-26</t>
        </is>
      </c>
      <c r="B13434" s="3" t="inlineStr">
        <is>
          <t>메이슨캐피탈</t>
        </is>
      </c>
      <c r="C13434" s="2" t="inlineStr">
        <is>
          <t>코스닥</t>
        </is>
      </c>
      <c r="D13434" s="2" t="inlineStr">
        <is>
          <t>021880</t>
        </is>
      </c>
      <c r="E13434" s="3" t="inlineStr">
        <is>
          <t xml:space="preserve">결산기변경안내              </t>
        </is>
      </c>
      <c r="F13434" s="3" t="inlineStr">
        <is>
          <t>메이슨캐피탈</t>
        </is>
      </c>
      <c r="G13434" s="2" t="inlineStr">
        <is>
          <t>20260626900495</t>
        </is>
      </c>
      <c r="H13434" s="8">
        <f>HYPERLINK("https://dart.fss.or.kr/dsaf001/main.do?rcpNo=20260626900495", "공시열람")</f>
        <v/>
      </c>
    </row>
    <row r="13435">
      <c r="A13435" s="2" t="inlineStr">
        <is>
          <t>2026-06-26</t>
        </is>
      </c>
      <c r="B13435" s="3" t="inlineStr">
        <is>
          <t>루트락</t>
        </is>
      </c>
      <c r="C13435" s="2" t="inlineStr">
        <is>
          <t>코넥스</t>
        </is>
      </c>
      <c r="D13435" s="2" t="inlineStr">
        <is>
          <t>253610</t>
        </is>
      </c>
      <c r="E13435" s="3" t="inlineStr">
        <is>
          <t xml:space="preserve">기업설명회(IR)개최결과              </t>
        </is>
      </c>
      <c r="F13435" s="3" t="inlineStr">
        <is>
          <t>루트락</t>
        </is>
      </c>
      <c r="G13435" s="2" t="inlineStr">
        <is>
          <t>20260626600472</t>
        </is>
      </c>
      <c r="H13435" s="8">
        <f>HYPERLINK("https://dart.fss.or.kr/dsaf001/main.do?rcpNo=20260626600472", "공시열람")</f>
        <v/>
      </c>
    </row>
    <row r="13436">
      <c r="A13436" s="2" t="inlineStr">
        <is>
          <t>2026-06-26</t>
        </is>
      </c>
      <c r="B13436" s="3" t="inlineStr">
        <is>
          <t>디와이피엔에프</t>
        </is>
      </c>
      <c r="C13436" s="2" t="inlineStr">
        <is>
          <t>코스닥</t>
        </is>
      </c>
      <c r="D13436" s="2" t="inlineStr">
        <is>
          <t>104460</t>
        </is>
      </c>
      <c r="E13436" s="3" t="inlineStr">
        <is>
          <t>임원ㆍ주요주주특정증권등소유상황보고서</t>
        </is>
      </c>
      <c r="F13436" s="3" t="inlineStr">
        <is>
          <t>유병욱</t>
        </is>
      </c>
      <c r="G13436" s="2" t="inlineStr">
        <is>
          <t>20260626000313</t>
        </is>
      </c>
      <c r="H13436" s="8">
        <f>HYPERLINK("https://dart.fss.or.kr/dsaf001/main.do?rcpNo=20260626000313", "공시열람")</f>
        <v/>
      </c>
    </row>
    <row r="13437">
      <c r="A13437" s="2" t="inlineStr">
        <is>
          <t>2026-06-26</t>
        </is>
      </c>
      <c r="B13437" s="3" t="inlineStr">
        <is>
          <t>제이엠멀티</t>
        </is>
      </c>
      <c r="C13437" s="2" t="inlineStr">
        <is>
          <t>코넥스</t>
        </is>
      </c>
      <c r="D13437" s="2" t="inlineStr">
        <is>
          <t>254160</t>
        </is>
      </c>
      <c r="E13437" s="3" t="inlineStr">
        <is>
          <t xml:space="preserve">기업설명회(IR)개최결과              </t>
        </is>
      </c>
      <c r="F13437" s="3" t="inlineStr">
        <is>
          <t>제이엠멀티</t>
        </is>
      </c>
      <c r="G13437" s="2" t="inlineStr">
        <is>
          <t>20260626600458</t>
        </is>
      </c>
      <c r="H13437" s="8">
        <f>HYPERLINK("https://dart.fss.or.kr/dsaf001/main.do?rcpNo=20260626600458", "공시열람")</f>
        <v/>
      </c>
    </row>
    <row r="13438">
      <c r="A13438" s="2" t="inlineStr">
        <is>
          <t>2026-06-26</t>
        </is>
      </c>
      <c r="B13438" s="3" t="inlineStr">
        <is>
          <t>삼성에스디에스</t>
        </is>
      </c>
      <c r="C13438" s="2" t="inlineStr">
        <is>
          <t>코스피</t>
        </is>
      </c>
      <c r="D13438" s="2" t="inlineStr">
        <is>
          <t>018260</t>
        </is>
      </c>
      <c r="E13438" s="3" t="inlineStr">
        <is>
          <t>임원ㆍ주요주주특정증권등소유상황보고서</t>
        </is>
      </c>
      <c r="F13438" s="3" t="inlineStr">
        <is>
          <t>김민</t>
        </is>
      </c>
      <c r="G13438" s="2" t="inlineStr">
        <is>
          <t>20260626000301</t>
        </is>
      </c>
      <c r="H13438" s="8">
        <f>HYPERLINK("https://dart.fss.or.kr/dsaf001/main.do?rcpNo=20260626000301", "공시열람")</f>
        <v/>
      </c>
    </row>
    <row r="13439">
      <c r="A13439" s="2" t="inlineStr">
        <is>
          <t>2026-06-26</t>
        </is>
      </c>
      <c r="B13439" s="3" t="inlineStr">
        <is>
          <t>삼성증권</t>
        </is>
      </c>
      <c r="C13439" s="2" t="inlineStr">
        <is>
          <t>코스피</t>
        </is>
      </c>
      <c r="D13439" s="2" t="inlineStr">
        <is>
          <t>016360</t>
        </is>
      </c>
      <c r="E13439" s="3" t="inlineStr">
        <is>
          <t>투자설명서(일괄신고)</t>
        </is>
      </c>
      <c r="F13439" s="3" t="inlineStr">
        <is>
          <t>삼성증권</t>
        </is>
      </c>
      <c r="G13439" s="2" t="inlineStr">
        <is>
          <t>20260626000297</t>
        </is>
      </c>
      <c r="H13439" s="8">
        <f>HYPERLINK("https://dart.fss.or.kr/dsaf001/main.do?rcpNo=20260626000297", "공시열람")</f>
        <v/>
      </c>
    </row>
    <row r="13440">
      <c r="A13440" s="2" t="inlineStr">
        <is>
          <t>2026-06-26</t>
        </is>
      </c>
      <c r="B13440" s="3" t="inlineStr">
        <is>
          <t>RF머트리얼즈</t>
        </is>
      </c>
      <c r="C13440" s="2" t="inlineStr">
        <is>
          <t>코스닥</t>
        </is>
      </c>
      <c r="D13440" s="2" t="inlineStr">
        <is>
          <t>327260</t>
        </is>
      </c>
      <c r="E13440" s="3" t="inlineStr">
        <is>
          <t xml:space="preserve">증권발행결과(자율공시)              </t>
        </is>
      </c>
      <c r="F13440" s="3" t="inlineStr">
        <is>
          <t>RF머트리얼즈</t>
        </is>
      </c>
      <c r="G13440" s="2" t="inlineStr">
        <is>
          <t>20260626900452</t>
        </is>
      </c>
      <c r="H13440" s="8">
        <f>HYPERLINK("https://dart.fss.or.kr/dsaf001/main.do?rcpNo=20260626900452", "공시열람")</f>
        <v/>
      </c>
    </row>
    <row r="13441">
      <c r="A13441" s="2" t="inlineStr">
        <is>
          <t>2026-06-26</t>
        </is>
      </c>
      <c r="B13441" s="3" t="inlineStr">
        <is>
          <t>코아시아씨엠</t>
        </is>
      </c>
      <c r="C13441" s="2" t="inlineStr">
        <is>
          <t>코스닥</t>
        </is>
      </c>
      <c r="D13441" s="2" t="inlineStr">
        <is>
          <t>196450</t>
        </is>
      </c>
      <c r="E13441" s="3" t="inlineStr">
        <is>
          <t xml:space="preserve">주식병합결정              </t>
        </is>
      </c>
      <c r="F13441" s="3" t="inlineStr">
        <is>
          <t>코아시아씨엠</t>
        </is>
      </c>
      <c r="G13441" s="2" t="inlineStr">
        <is>
          <t>20260626900446</t>
        </is>
      </c>
      <c r="H13441" s="8">
        <f>HYPERLINK("https://dart.fss.or.kr/dsaf001/main.do?rcpNo=20260626900446", "공시열람")</f>
        <v/>
      </c>
    </row>
    <row r="13442">
      <c r="A13442" s="2" t="inlineStr">
        <is>
          <t>2026-06-26</t>
        </is>
      </c>
      <c r="B13442" s="3" t="inlineStr">
        <is>
          <t>교보증권</t>
        </is>
      </c>
      <c r="C13442" s="2" t="inlineStr">
        <is>
          <t>코스피</t>
        </is>
      </c>
      <c r="D13442" s="2" t="inlineStr">
        <is>
          <t>030610</t>
        </is>
      </c>
      <c r="E13442" s="3" t="inlineStr">
        <is>
          <t>투자설명서(일괄신고)</t>
        </is>
      </c>
      <c r="F13442" s="3" t="inlineStr">
        <is>
          <t>교보증권</t>
        </is>
      </c>
      <c r="G13442" s="2" t="inlineStr">
        <is>
          <t>20260626000285</t>
        </is>
      </c>
      <c r="H13442" s="8">
        <f>HYPERLINK("https://dart.fss.or.kr/dsaf001/main.do?rcpNo=20260626000285", "공시열람")</f>
        <v/>
      </c>
    </row>
    <row r="13443">
      <c r="A13443" s="2" t="inlineStr">
        <is>
          <t>2026-06-26</t>
        </is>
      </c>
      <c r="B13443" s="3" t="inlineStr">
        <is>
          <t>이엘피</t>
        </is>
      </c>
      <c r="C13443" s="2" t="inlineStr">
        <is>
          <t>코스닥</t>
        </is>
      </c>
      <c r="D13443" s="2" t="inlineStr">
        <is>
          <t>063760</t>
        </is>
      </c>
      <c r="E13443" s="3" t="inlineStr">
        <is>
          <t>임원ㆍ주요주주특정증권등소유상황보고서</t>
        </is>
      </c>
      <c r="F13443" s="3" t="inlineStr">
        <is>
          <t>이재혁</t>
        </is>
      </c>
      <c r="G13443" s="2" t="inlineStr">
        <is>
          <t>20260626000276</t>
        </is>
      </c>
      <c r="H13443" s="8">
        <f>HYPERLINK("https://dart.fss.or.kr/dsaf001/main.do?rcpNo=20260626000276", "공시열람")</f>
        <v/>
      </c>
    </row>
    <row r="13444">
      <c r="A13444" s="2" t="inlineStr">
        <is>
          <t>2026-06-26</t>
        </is>
      </c>
      <c r="B13444" s="3" t="inlineStr">
        <is>
          <t>삼성카드</t>
        </is>
      </c>
      <c r="C13444" s="2" t="inlineStr">
        <is>
          <t>코스피</t>
        </is>
      </c>
      <c r="D13444" s="2" t="inlineStr">
        <is>
          <t>029780</t>
        </is>
      </c>
      <c r="E13444" s="3" t="inlineStr">
        <is>
          <t xml:space="preserve">지속가능경영보고서등관련사항(자율공시)              </t>
        </is>
      </c>
      <c r="F13444" s="3" t="inlineStr">
        <is>
          <t>삼성카드</t>
        </is>
      </c>
      <c r="G13444" s="2" t="inlineStr">
        <is>
          <t>20260626800435</t>
        </is>
      </c>
      <c r="H13444" s="8">
        <f>HYPERLINK("https://dart.fss.or.kr/dsaf001/main.do?rcpNo=20260626800435", "공시열람")</f>
        <v/>
      </c>
    </row>
    <row r="13445">
      <c r="A13445" s="2" t="inlineStr">
        <is>
          <t>2026-06-26</t>
        </is>
      </c>
      <c r="B13445" s="3" t="inlineStr">
        <is>
          <t>HD현대</t>
        </is>
      </c>
      <c r="C13445" s="2" t="inlineStr">
        <is>
          <t>코스피</t>
        </is>
      </c>
      <c r="D13445" s="2" t="inlineStr">
        <is>
          <t>267250</t>
        </is>
      </c>
      <c r="E13445" s="3" t="inlineStr">
        <is>
          <t xml:space="preserve">생산중단(자회사의 주요경영사항)              </t>
        </is>
      </c>
      <c r="F13445" s="3" t="inlineStr">
        <is>
          <t>HD현대</t>
        </is>
      </c>
      <c r="G13445" s="2" t="inlineStr">
        <is>
          <t>20260626800425</t>
        </is>
      </c>
      <c r="H13445" s="8">
        <f>HYPERLINK("https://dart.fss.or.kr/dsaf001/main.do?rcpNo=20260626800425", "공시열람")</f>
        <v/>
      </c>
    </row>
    <row r="13446">
      <c r="A13446" s="2" t="inlineStr">
        <is>
          <t>2026-06-26</t>
        </is>
      </c>
      <c r="B13446" s="3" t="inlineStr">
        <is>
          <t>미래에셋증권</t>
        </is>
      </c>
      <c r="C13446" s="2" t="inlineStr">
        <is>
          <t>코스피</t>
        </is>
      </c>
      <c r="D13446" s="2" t="inlineStr">
        <is>
          <t>006800</t>
        </is>
      </c>
      <c r="E13446" s="3" t="inlineStr">
        <is>
          <t>투자설명서(일괄신고)</t>
        </is>
      </c>
      <c r="F13446" s="3" t="inlineStr">
        <is>
          <t>미래에셋증권</t>
        </is>
      </c>
      <c r="G13446" s="2" t="inlineStr">
        <is>
          <t>20260626000271</t>
        </is>
      </c>
      <c r="H13446" s="8">
        <f>HYPERLINK("https://dart.fss.or.kr/dsaf001/main.do?rcpNo=20260626000271", "공시열람")</f>
        <v/>
      </c>
    </row>
    <row r="13447">
      <c r="A13447" s="2" t="inlineStr">
        <is>
          <t>2026-06-26</t>
        </is>
      </c>
      <c r="B13447" s="3" t="inlineStr">
        <is>
          <t>교보증권</t>
        </is>
      </c>
      <c r="C13447" s="2" t="inlineStr">
        <is>
          <t>코스피</t>
        </is>
      </c>
      <c r="D13447" s="2" t="inlineStr">
        <is>
          <t>030610</t>
        </is>
      </c>
      <c r="E13447" s="3" t="inlineStr">
        <is>
          <t>일괄신고추가서류(파생결합증권-주가연계증권)</t>
        </is>
      </c>
      <c r="F13447" s="3" t="inlineStr">
        <is>
          <t>교보증권</t>
        </is>
      </c>
      <c r="G13447" s="2" t="inlineStr">
        <is>
          <t>20260626000270</t>
        </is>
      </c>
      <c r="H13447" s="8">
        <f>HYPERLINK("https://dart.fss.or.kr/dsaf001/main.do?rcpNo=20260626000270", "공시열람")</f>
        <v/>
      </c>
    </row>
    <row r="13448">
      <c r="A13448" s="2" t="inlineStr">
        <is>
          <t>2026-06-26</t>
        </is>
      </c>
      <c r="B13448" s="3" t="inlineStr">
        <is>
          <t>미래에셋증권</t>
        </is>
      </c>
      <c r="C13448" s="2" t="inlineStr">
        <is>
          <t>코스피</t>
        </is>
      </c>
      <c r="D13448" s="2" t="inlineStr">
        <is>
          <t>006800</t>
        </is>
      </c>
      <c r="E13448" s="3" t="inlineStr">
        <is>
          <t>일괄신고추가서류(파생결합사채-주가연계파생결합사채)</t>
        </is>
      </c>
      <c r="F13448" s="3" t="inlineStr">
        <is>
          <t>미래에셋증권</t>
        </is>
      </c>
      <c r="G13448" s="2" t="inlineStr">
        <is>
          <t>20260626000265</t>
        </is>
      </c>
      <c r="H13448" s="8">
        <f>HYPERLINK("https://dart.fss.or.kr/dsaf001/main.do?rcpNo=20260626000265", "공시열람")</f>
        <v/>
      </c>
    </row>
    <row r="13449">
      <c r="A13449" s="2" t="inlineStr">
        <is>
          <t>2026-06-26</t>
        </is>
      </c>
      <c r="B13449" s="3" t="inlineStr">
        <is>
          <t>HD한국조선해양</t>
        </is>
      </c>
      <c r="C13449" s="2" t="inlineStr">
        <is>
          <t>코스피</t>
        </is>
      </c>
      <c r="D13449" s="2" t="inlineStr">
        <is>
          <t>009540</t>
        </is>
      </c>
      <c r="E13449" s="3" t="inlineStr">
        <is>
          <t xml:space="preserve">생산중단(자회사의 주요경영사항)              </t>
        </is>
      </c>
      <c r="F13449" s="3" t="inlineStr">
        <is>
          <t>HD한국조선해양</t>
        </is>
      </c>
      <c r="G13449" s="2" t="inlineStr">
        <is>
          <t>20260626800416</t>
        </is>
      </c>
      <c r="H13449" s="8">
        <f>HYPERLINK("https://dart.fss.or.kr/dsaf001/main.do?rcpNo=20260626800416", "공시열람")</f>
        <v/>
      </c>
    </row>
    <row r="13450">
      <c r="A13450" s="2" t="inlineStr">
        <is>
          <t>2026-06-26</t>
        </is>
      </c>
      <c r="B13450" s="3" t="inlineStr">
        <is>
          <t>대창단조</t>
        </is>
      </c>
      <c r="C13450" s="2" t="inlineStr">
        <is>
          <t>코스피</t>
        </is>
      </c>
      <c r="D13450" s="2" t="inlineStr">
        <is>
          <t>015230</t>
        </is>
      </c>
      <c r="E13450" s="3" t="inlineStr">
        <is>
          <t>임원ㆍ주요주주특정증권등소유상황보고서</t>
        </is>
      </c>
      <c r="F13450" s="3" t="inlineStr">
        <is>
          <t>박권일</t>
        </is>
      </c>
      <c r="G13450" s="2" t="inlineStr">
        <is>
          <t>20260626000258</t>
        </is>
      </c>
      <c r="H13450" s="8">
        <f>HYPERLINK("https://dart.fss.or.kr/dsaf001/main.do?rcpNo=20260626000258", "공시열람")</f>
        <v/>
      </c>
    </row>
    <row r="13451">
      <c r="A13451" s="2" t="inlineStr">
        <is>
          <t>2026-06-26</t>
        </is>
      </c>
      <c r="B13451" s="3" t="inlineStr">
        <is>
          <t>교보증권</t>
        </is>
      </c>
      <c r="C13451" s="2" t="inlineStr">
        <is>
          <t>코스피</t>
        </is>
      </c>
      <c r="D13451" s="2" t="inlineStr">
        <is>
          <t>030610</t>
        </is>
      </c>
      <c r="E13451" s="3" t="inlineStr">
        <is>
          <t>투자설명서(일괄신고)</t>
        </is>
      </c>
      <c r="F13451" s="3" t="inlineStr">
        <is>
          <t>교보증권</t>
        </is>
      </c>
      <c r="G13451" s="2" t="inlineStr">
        <is>
          <t>20260626000256</t>
        </is>
      </c>
      <c r="H13451" s="8">
        <f>HYPERLINK("https://dart.fss.or.kr/dsaf001/main.do?rcpNo=20260626000256", "공시열람")</f>
        <v/>
      </c>
    </row>
    <row r="13452">
      <c r="A13452" s="2" t="inlineStr">
        <is>
          <t>2026-06-26</t>
        </is>
      </c>
      <c r="B13452" s="3" t="inlineStr">
        <is>
          <t>교보증권</t>
        </is>
      </c>
      <c r="C13452" s="2" t="inlineStr">
        <is>
          <t>코스피</t>
        </is>
      </c>
      <c r="D13452" s="2" t="inlineStr">
        <is>
          <t>030610</t>
        </is>
      </c>
      <c r="E13452" s="3" t="inlineStr">
        <is>
          <t>투자설명서(일괄신고)</t>
        </is>
      </c>
      <c r="F13452" s="3" t="inlineStr">
        <is>
          <t>교보증권</t>
        </is>
      </c>
      <c r="G13452" s="2" t="inlineStr">
        <is>
          <t>20260626000255</t>
        </is>
      </c>
      <c r="H13452" s="8">
        <f>HYPERLINK("https://dart.fss.or.kr/dsaf001/main.do?rcpNo=20260626000255", "공시열람")</f>
        <v/>
      </c>
    </row>
    <row r="13453">
      <c r="A13453" s="2" t="inlineStr">
        <is>
          <t>2026-06-26</t>
        </is>
      </c>
      <c r="B13453" s="3" t="inlineStr">
        <is>
          <t>지엠비코리아</t>
        </is>
      </c>
      <c r="C13453" s="2" t="inlineStr">
        <is>
          <t>코스피</t>
        </is>
      </c>
      <c r="D13453" s="2" t="inlineStr">
        <is>
          <t>013870</t>
        </is>
      </c>
      <c r="E13453" s="3" t="inlineStr">
        <is>
          <t>임원ㆍ주요주주특정증권등소유상황보고서</t>
        </is>
      </c>
      <c r="F13453" s="3" t="inlineStr">
        <is>
          <t>송병영</t>
        </is>
      </c>
      <c r="G13453" s="2" t="inlineStr">
        <is>
          <t>20260626000253</t>
        </is>
      </c>
      <c r="H13453" s="8">
        <f>HYPERLINK("https://dart.fss.or.kr/dsaf001/main.do?rcpNo=20260626000253", "공시열람")</f>
        <v/>
      </c>
    </row>
    <row r="13454">
      <c r="A13454" s="2" t="inlineStr">
        <is>
          <t>2026-06-26</t>
        </is>
      </c>
      <c r="B13454" s="3" t="inlineStr">
        <is>
          <t>파마리서치</t>
        </is>
      </c>
      <c r="C13454" s="2" t="inlineStr">
        <is>
          <t>코스닥</t>
        </is>
      </c>
      <c r="D13454" s="2" t="inlineStr">
        <is>
          <t>214450</t>
        </is>
      </c>
      <c r="E13454" s="3" t="inlineStr">
        <is>
          <t xml:space="preserve">기업설명회(IR)개최              </t>
        </is>
      </c>
      <c r="F13454" s="3" t="inlineStr">
        <is>
          <t>파마리서치</t>
        </is>
      </c>
      <c r="G13454" s="2" t="inlineStr">
        <is>
          <t>20260626900400</t>
        </is>
      </c>
      <c r="H13454" s="8">
        <f>HYPERLINK("https://dart.fss.or.kr/dsaf001/main.do?rcpNo=20260626900400", "공시열람")</f>
        <v/>
      </c>
    </row>
    <row r="13455">
      <c r="A13455" s="2" t="inlineStr">
        <is>
          <t>2026-06-26</t>
        </is>
      </c>
      <c r="B13455" s="3" t="inlineStr">
        <is>
          <t>삼양엔씨켐</t>
        </is>
      </c>
      <c r="C13455" s="2" t="inlineStr">
        <is>
          <t>코스닥</t>
        </is>
      </c>
      <c r="D13455" s="2" t="inlineStr">
        <is>
          <t>482630</t>
        </is>
      </c>
      <c r="E13455" s="3" t="inlineStr">
        <is>
          <t>임원ㆍ주요주주특정증권등소유상황보고서</t>
        </is>
      </c>
      <c r="F13455" s="3" t="inlineStr">
        <is>
          <t>이상규</t>
        </is>
      </c>
      <c r="G13455" s="2" t="inlineStr">
        <is>
          <t>20260626000252</t>
        </is>
      </c>
      <c r="H13455" s="8">
        <f>HYPERLINK("https://dart.fss.or.kr/dsaf001/main.do?rcpNo=20260626000252", "공시열람")</f>
        <v/>
      </c>
    </row>
    <row r="13456">
      <c r="A13456" s="2" t="inlineStr">
        <is>
          <t>2026-06-26</t>
        </is>
      </c>
      <c r="B13456" s="3" t="inlineStr">
        <is>
          <t>코칩</t>
        </is>
      </c>
      <c r="C13456" s="2" t="inlineStr">
        <is>
          <t>코스닥</t>
        </is>
      </c>
      <c r="D13456" s="2" t="inlineStr">
        <is>
          <t>126730</t>
        </is>
      </c>
      <c r="E13456" s="3" t="inlineStr">
        <is>
          <t>임원ㆍ주요주주특정증권등소유상황보고서</t>
        </is>
      </c>
      <c r="F13456" s="3" t="inlineStr">
        <is>
          <t>손진형</t>
        </is>
      </c>
      <c r="G13456" s="2" t="inlineStr">
        <is>
          <t>20260626000248</t>
        </is>
      </c>
      <c r="H13456" s="8">
        <f>HYPERLINK("https://dart.fss.or.kr/dsaf001/main.do?rcpNo=20260626000248", "공시열람")</f>
        <v/>
      </c>
    </row>
    <row r="13457">
      <c r="A13457" s="2" t="inlineStr">
        <is>
          <t>2026-06-26</t>
        </is>
      </c>
      <c r="B13457" s="3" t="inlineStr">
        <is>
          <t>넥써쓰</t>
        </is>
      </c>
      <c r="C13457" s="2" t="inlineStr">
        <is>
          <t>코스닥</t>
        </is>
      </c>
      <c r="D13457" s="2" t="inlineStr">
        <is>
          <t>205500</t>
        </is>
      </c>
      <c r="E13457" s="3" t="inlineStr">
        <is>
          <t xml:space="preserve">증권발행결과(자율공시)              </t>
        </is>
      </c>
      <c r="F13457" s="3" t="inlineStr">
        <is>
          <t>넥써쓰</t>
        </is>
      </c>
      <c r="G13457" s="2" t="inlineStr">
        <is>
          <t>20260626900371</t>
        </is>
      </c>
      <c r="H13457" s="8">
        <f>HYPERLINK("https://dart.fss.or.kr/dsaf001/main.do?rcpNo=20260626900371", "공시열람")</f>
        <v/>
      </c>
    </row>
    <row r="13458">
      <c r="A13458" s="2" t="inlineStr">
        <is>
          <t>2026-06-26</t>
        </is>
      </c>
      <c r="B13458" s="3" t="inlineStr">
        <is>
          <t>와이엠씨</t>
        </is>
      </c>
      <c r="C13458" s="2" t="inlineStr">
        <is>
          <t>코스닥</t>
        </is>
      </c>
      <c r="D13458" s="2" t="inlineStr">
        <is>
          <t>155650</t>
        </is>
      </c>
      <c r="E13458" s="3" t="inlineStr">
        <is>
          <t>임원ㆍ주요주주특정증권등소유상황보고서</t>
        </is>
      </c>
      <c r="F13458" s="3" t="inlineStr">
        <is>
          <t>이윤용</t>
        </is>
      </c>
      <c r="G13458" s="2" t="inlineStr">
        <is>
          <t>20260626000244</t>
        </is>
      </c>
      <c r="H13458" s="8">
        <f>HYPERLINK("https://dart.fss.or.kr/dsaf001/main.do?rcpNo=20260626000244", "공시열람")</f>
        <v/>
      </c>
    </row>
    <row r="13459">
      <c r="A13459" s="2" t="inlineStr">
        <is>
          <t>2026-06-26</t>
        </is>
      </c>
      <c r="B13459" s="3" t="inlineStr">
        <is>
          <t>태양3C</t>
        </is>
      </c>
      <c r="C13459" s="2" t="inlineStr">
        <is>
          <t>코넥스</t>
        </is>
      </c>
      <c r="D13459" s="2" t="inlineStr">
        <is>
          <t>052960</t>
        </is>
      </c>
      <c r="E13459" s="3" t="inlineStr">
        <is>
          <t xml:space="preserve">기업설명회(IR)개최결과              </t>
        </is>
      </c>
      <c r="F13459" s="3" t="inlineStr">
        <is>
          <t>태양3C</t>
        </is>
      </c>
      <c r="G13459" s="2" t="inlineStr">
        <is>
          <t>20260626600360</t>
        </is>
      </c>
      <c r="H13459" s="8">
        <f>HYPERLINK("https://dart.fss.or.kr/dsaf001/main.do?rcpNo=20260626600360", "공시열람")</f>
        <v/>
      </c>
    </row>
    <row r="13460">
      <c r="A13460" s="2" t="inlineStr">
        <is>
          <t>2026-06-26</t>
        </is>
      </c>
      <c r="B13460" s="3" t="inlineStr">
        <is>
          <t>페니트리움바이오</t>
        </is>
      </c>
      <c r="C13460" s="2" t="inlineStr">
        <is>
          <t>코스닥</t>
        </is>
      </c>
      <c r="D13460" s="2" t="inlineStr">
        <is>
          <t>187660</t>
        </is>
      </c>
      <c r="E13460" s="3" t="inlineStr">
        <is>
          <t xml:space="preserve">유상증자1차발행가액결정              </t>
        </is>
      </c>
      <c r="F13460" s="3" t="inlineStr">
        <is>
          <t>페니트리움바이오</t>
        </is>
      </c>
      <c r="G13460" s="2" t="inlineStr">
        <is>
          <t>20260626900349</t>
        </is>
      </c>
      <c r="H13460" s="8">
        <f>HYPERLINK("https://dart.fss.or.kr/dsaf001/main.do?rcpNo=20260626900349", "공시열람")</f>
        <v/>
      </c>
    </row>
    <row r="13461">
      <c r="A13461" s="2" t="inlineStr">
        <is>
          <t>2026-06-26</t>
        </is>
      </c>
      <c r="B13461" s="3" t="inlineStr">
        <is>
          <t>JYP Ent.</t>
        </is>
      </c>
      <c r="C13461" s="2" t="inlineStr">
        <is>
          <t>코스닥</t>
        </is>
      </c>
      <c r="D13461" s="2" t="inlineStr">
        <is>
          <t>035900</t>
        </is>
      </c>
      <c r="E13461" s="3" t="inlineStr">
        <is>
          <t xml:space="preserve">지속가능경영보고서등관련사항(자율공시)              </t>
        </is>
      </c>
      <c r="F13461" s="3" t="inlineStr">
        <is>
          <t>JYP Ent.</t>
        </is>
      </c>
      <c r="G13461" s="2" t="inlineStr">
        <is>
          <t>20260626900331</t>
        </is>
      </c>
      <c r="H13461" s="8">
        <f>HYPERLINK("https://dart.fss.or.kr/dsaf001/main.do?rcpNo=20260626900331", "공시열람")</f>
        <v/>
      </c>
    </row>
    <row r="13462">
      <c r="A13462" s="2" t="inlineStr">
        <is>
          <t>2026-06-26</t>
        </is>
      </c>
      <c r="B13462" s="3" t="inlineStr">
        <is>
          <t>인지소프트</t>
        </is>
      </c>
      <c r="C13462" s="2" t="inlineStr">
        <is>
          <t>코스닥</t>
        </is>
      </c>
      <c r="D13462" s="2" t="inlineStr">
        <is>
          <t>100030</t>
        </is>
      </c>
      <c r="E13462" s="3" t="inlineStr">
        <is>
          <t>자기주식취득결과보고서</t>
        </is>
      </c>
      <c r="F13462" s="3" t="inlineStr">
        <is>
          <t>인지소프트</t>
        </is>
      </c>
      <c r="G13462" s="2" t="inlineStr">
        <is>
          <t>20260626000212</t>
        </is>
      </c>
      <c r="H13462" s="8">
        <f>HYPERLINK("https://dart.fss.or.kr/dsaf001/main.do?rcpNo=20260626000212", "공시열람")</f>
        <v/>
      </c>
    </row>
    <row r="13463">
      <c r="A13463" s="2" t="inlineStr">
        <is>
          <t>2026-06-26</t>
        </is>
      </c>
      <c r="B13463" s="3" t="inlineStr">
        <is>
          <t>LG화학</t>
        </is>
      </c>
      <c r="C13463" s="2" t="inlineStr">
        <is>
          <t>코스피</t>
        </is>
      </c>
      <c r="D13463" s="2" t="inlineStr">
        <is>
          <t>051910</t>
        </is>
      </c>
      <c r="E13463" s="3" t="inlineStr">
        <is>
          <t xml:space="preserve">기업설명회(IR)개최(안내공시)              </t>
        </is>
      </c>
      <c r="F13463" s="3" t="inlineStr">
        <is>
          <t>LG화학</t>
        </is>
      </c>
      <c r="G13463" s="2" t="inlineStr">
        <is>
          <t>20260626800328</t>
        </is>
      </c>
      <c r="H13463" s="8">
        <f>HYPERLINK("https://dart.fss.or.kr/dsaf001/main.do?rcpNo=20260626800328", "공시열람")</f>
        <v/>
      </c>
    </row>
    <row r="13464">
      <c r="A13464" s="2" t="inlineStr">
        <is>
          <t>2026-06-26</t>
        </is>
      </c>
      <c r="B13464" s="3" t="inlineStr">
        <is>
          <t>케이엔에스</t>
        </is>
      </c>
      <c r="C13464" s="2" t="inlineStr">
        <is>
          <t>코스닥</t>
        </is>
      </c>
      <c r="D13464" s="2" t="inlineStr">
        <is>
          <t>432470</t>
        </is>
      </c>
      <c r="E13464" s="3" t="inlineStr">
        <is>
          <t>임원ㆍ주요주주특정증권등거래계획보고서</t>
        </is>
      </c>
      <c r="F13464" s="3" t="inlineStr">
        <is>
          <t>정봉진</t>
        </is>
      </c>
      <c r="G13464" s="2" t="inlineStr">
        <is>
          <t>20260626000211</t>
        </is>
      </c>
      <c r="H13464" s="8">
        <f>HYPERLINK("https://dart.fss.or.kr/dsaf001/main.do?rcpNo=20260626000211", "공시열람")</f>
        <v/>
      </c>
    </row>
    <row r="13465">
      <c r="A13465" s="2" t="inlineStr">
        <is>
          <t>2026-06-26</t>
        </is>
      </c>
      <c r="B13465" s="3" t="inlineStr">
        <is>
          <t>금호건설</t>
        </is>
      </c>
      <c r="C13465" s="2" t="inlineStr">
        <is>
          <t>코스피</t>
        </is>
      </c>
      <c r="D13465" s="2" t="inlineStr">
        <is>
          <t>002990</t>
        </is>
      </c>
      <c r="E13465" s="3" t="inlineStr">
        <is>
          <t>주요사항보고서(자본으로인정되는채무증권발행결정)</t>
        </is>
      </c>
      <c r="F13465" s="3" t="inlineStr">
        <is>
          <t>금호건설</t>
        </is>
      </c>
      <c r="G13465" s="2" t="inlineStr">
        <is>
          <t>20260626000209</t>
        </is>
      </c>
      <c r="H13465" s="8">
        <f>HYPERLINK("https://dart.fss.or.kr/dsaf001/main.do?rcpNo=20260626000209", "공시열람")</f>
        <v/>
      </c>
    </row>
    <row r="13466">
      <c r="A13466" s="2" t="inlineStr">
        <is>
          <t>2026-06-26</t>
        </is>
      </c>
      <c r="B13466" s="3" t="inlineStr">
        <is>
          <t>에임드바이오</t>
        </is>
      </c>
      <c r="C13466" s="2" t="inlineStr">
        <is>
          <t>코스닥</t>
        </is>
      </c>
      <c r="D13466" s="2" t="inlineStr">
        <is>
          <t>0009K0</t>
        </is>
      </c>
      <c r="E13466" s="3" t="inlineStr">
        <is>
          <t>투자판단관련주요경영사항(임상시험계획승인신청등결정)              (BI 4060107 (ODS025)의 제 1상 임상시험계획 승인)</t>
        </is>
      </c>
      <c r="F13466" s="3" t="inlineStr">
        <is>
          <t>에임드바이오</t>
        </is>
      </c>
      <c r="G13466" s="2" t="inlineStr">
        <is>
          <t>20260626900210</t>
        </is>
      </c>
      <c r="H13466" s="8">
        <f>HYPERLINK("https://dart.fss.or.kr/dsaf001/main.do?rcpNo=20260626900210", "공시열람")</f>
        <v/>
      </c>
    </row>
    <row r="13467">
      <c r="A13467" s="2" t="inlineStr">
        <is>
          <t>2026-06-26</t>
        </is>
      </c>
      <c r="B13467" s="3" t="inlineStr">
        <is>
          <t>삼성증권</t>
        </is>
      </c>
      <c r="C13467" s="2" t="inlineStr">
        <is>
          <t>코스피</t>
        </is>
      </c>
      <c r="D13467" s="2" t="inlineStr">
        <is>
          <t>016360</t>
        </is>
      </c>
      <c r="E13467" s="3" t="inlineStr">
        <is>
          <t>일괄신고추가서류(파생결합사채-주가연계파생결합사채)</t>
        </is>
      </c>
      <c r="F13467" s="3" t="inlineStr">
        <is>
          <t>삼성증권</t>
        </is>
      </c>
      <c r="G13467" s="2" t="inlineStr">
        <is>
          <t>20260626000208</t>
        </is>
      </c>
      <c r="H13467" s="8">
        <f>HYPERLINK("https://dart.fss.or.kr/dsaf001/main.do?rcpNo=20260626000208", "공시열람")</f>
        <v/>
      </c>
    </row>
    <row r="13468">
      <c r="A13468" s="2" t="inlineStr">
        <is>
          <t>2026-06-26</t>
        </is>
      </c>
      <c r="B13468" s="3" t="inlineStr">
        <is>
          <t>디케이락</t>
        </is>
      </c>
      <c r="C13468" s="2" t="inlineStr">
        <is>
          <t>코스닥</t>
        </is>
      </c>
      <c r="D13468" s="2" t="inlineStr">
        <is>
          <t>105740</t>
        </is>
      </c>
      <c r="E13468" s="3" t="inlineStr">
        <is>
          <t>임원ㆍ주요주주특정증권등소유상황보고서</t>
        </is>
      </c>
      <c r="F13468" s="3" t="inlineStr">
        <is>
          <t>노은식</t>
        </is>
      </c>
      <c r="G13468" s="2" t="inlineStr">
        <is>
          <t>20260626000204</t>
        </is>
      </c>
      <c r="H13468" s="8">
        <f>HYPERLINK("https://dart.fss.or.kr/dsaf001/main.do?rcpNo=20260626000204", "공시열람")</f>
        <v/>
      </c>
    </row>
    <row r="13469">
      <c r="A13469" s="2" t="inlineStr">
        <is>
          <t>2026-06-26</t>
        </is>
      </c>
      <c r="B13469" s="3" t="inlineStr">
        <is>
          <t>교보증권</t>
        </is>
      </c>
      <c r="C13469" s="2" t="inlineStr">
        <is>
          <t>코스피</t>
        </is>
      </c>
      <c r="D13469" s="2" t="inlineStr">
        <is>
          <t>030610</t>
        </is>
      </c>
      <c r="E13469" s="3" t="inlineStr">
        <is>
          <t>투자설명서(일괄신고)</t>
        </is>
      </c>
      <c r="F13469" s="3" t="inlineStr">
        <is>
          <t>교보증권</t>
        </is>
      </c>
      <c r="G13469" s="2" t="inlineStr">
        <is>
          <t>20260626000203</t>
        </is>
      </c>
      <c r="H13469" s="8">
        <f>HYPERLINK("https://dart.fss.or.kr/dsaf001/main.do?rcpNo=20260626000203", "공시열람")</f>
        <v/>
      </c>
    </row>
    <row r="13470">
      <c r="A13470" s="2" t="inlineStr">
        <is>
          <t>2026-06-26</t>
        </is>
      </c>
      <c r="B13470" s="3" t="inlineStr">
        <is>
          <t>삼성중공업</t>
        </is>
      </c>
      <c r="C13470" s="2" t="inlineStr">
        <is>
          <t>코스피</t>
        </is>
      </c>
      <c r="D13470" s="2" t="inlineStr">
        <is>
          <t>010140</t>
        </is>
      </c>
      <c r="E13470" s="3" t="inlineStr">
        <is>
          <t>임원ㆍ주요주주특정증권등소유상황보고서</t>
        </is>
      </c>
      <c r="F13470" s="3" t="inlineStr">
        <is>
          <t>안영규</t>
        </is>
      </c>
      <c r="G13470" s="2" t="inlineStr">
        <is>
          <t>20260626000200</t>
        </is>
      </c>
      <c r="H13470" s="8">
        <f>HYPERLINK("https://dart.fss.or.kr/dsaf001/main.do?rcpNo=20260626000200", "공시열람")</f>
        <v/>
      </c>
    </row>
    <row r="13471">
      <c r="A13471" s="2" t="inlineStr">
        <is>
          <t>2026-06-26</t>
        </is>
      </c>
      <c r="B13471" s="3" t="inlineStr">
        <is>
          <t>교보증권</t>
        </is>
      </c>
      <c r="C13471" s="2" t="inlineStr">
        <is>
          <t>코스피</t>
        </is>
      </c>
      <c r="D13471" s="2" t="inlineStr">
        <is>
          <t>030610</t>
        </is>
      </c>
      <c r="E13471" s="3" t="inlineStr">
        <is>
          <t>일괄신고추가서류(기타파생결합사채)</t>
        </is>
      </c>
      <c r="F13471" s="3" t="inlineStr">
        <is>
          <t>교보증권</t>
        </is>
      </c>
      <c r="G13471" s="2" t="inlineStr">
        <is>
          <t>20260626000196</t>
        </is>
      </c>
      <c r="H13471" s="8">
        <f>HYPERLINK("https://dart.fss.or.kr/dsaf001/main.do?rcpNo=20260626000196", "공시열람")</f>
        <v/>
      </c>
    </row>
    <row r="13472">
      <c r="A13472" s="2" t="inlineStr">
        <is>
          <t>2026-06-26</t>
        </is>
      </c>
      <c r="B13472" s="3" t="inlineStr">
        <is>
          <t>교보증권</t>
        </is>
      </c>
      <c r="C13472" s="2" t="inlineStr">
        <is>
          <t>코스피</t>
        </is>
      </c>
      <c r="D13472" s="2" t="inlineStr">
        <is>
          <t>030610</t>
        </is>
      </c>
      <c r="E13472" s="3" t="inlineStr">
        <is>
          <t>일괄신고추가서류(파생결합사채-주가연계파생결합사채)</t>
        </is>
      </c>
      <c r="F13472" s="3" t="inlineStr">
        <is>
          <t>교보증권</t>
        </is>
      </c>
      <c r="G13472" s="2" t="inlineStr">
        <is>
          <t>20260626000195</t>
        </is>
      </c>
      <c r="H13472" s="8">
        <f>HYPERLINK("https://dart.fss.or.kr/dsaf001/main.do?rcpNo=20260626000195", "공시열람")</f>
        <v/>
      </c>
    </row>
    <row r="13473">
      <c r="A13473" s="2" t="inlineStr">
        <is>
          <t>2026-06-26</t>
        </is>
      </c>
      <c r="B13473" s="3" t="inlineStr">
        <is>
          <t>교보증권</t>
        </is>
      </c>
      <c r="C13473" s="2" t="inlineStr">
        <is>
          <t>코스피</t>
        </is>
      </c>
      <c r="D13473" s="2" t="inlineStr">
        <is>
          <t>030610</t>
        </is>
      </c>
      <c r="E13473" s="3" t="inlineStr">
        <is>
          <t>일괄신고추가서류(파생결합증권-주가연계증권)</t>
        </is>
      </c>
      <c r="F13473" s="3" t="inlineStr">
        <is>
          <t>교보증권</t>
        </is>
      </c>
      <c r="G13473" s="2" t="inlineStr">
        <is>
          <t>20260626000193</t>
        </is>
      </c>
      <c r="H13473" s="8">
        <f>HYPERLINK("https://dart.fss.or.kr/dsaf001/main.do?rcpNo=20260626000193", "공시열람")</f>
        <v/>
      </c>
    </row>
    <row r="13474">
      <c r="A13474" s="2" t="inlineStr">
        <is>
          <t>2026-06-26</t>
        </is>
      </c>
      <c r="B13474" s="3" t="inlineStr">
        <is>
          <t>큐엠씨</t>
        </is>
      </c>
      <c r="C13474" s="2" t="inlineStr">
        <is>
          <t>코넥스</t>
        </is>
      </c>
      <c r="D13474" s="2" t="inlineStr">
        <is>
          <t>136660</t>
        </is>
      </c>
      <c r="E13474" s="3" t="inlineStr">
        <is>
          <t xml:space="preserve">기업설명회(IR)개최결과              </t>
        </is>
      </c>
      <c r="F13474" s="3" t="inlineStr">
        <is>
          <t>큐엠씨</t>
        </is>
      </c>
      <c r="G13474" s="2" t="inlineStr">
        <is>
          <t>20260626600295</t>
        </is>
      </c>
      <c r="H13474" s="8">
        <f>HYPERLINK("https://dart.fss.or.kr/dsaf001/main.do?rcpNo=20260626600295", "공시열람")</f>
        <v/>
      </c>
    </row>
    <row r="13475">
      <c r="A13475" s="2" t="inlineStr">
        <is>
          <t>2026-06-26</t>
        </is>
      </c>
      <c r="B13475" s="3" t="inlineStr">
        <is>
          <t>SK텔레콤</t>
        </is>
      </c>
      <c r="C13475" s="2" t="inlineStr">
        <is>
          <t>코스피</t>
        </is>
      </c>
      <c r="D13475" s="2" t="inlineStr">
        <is>
          <t>017670</t>
        </is>
      </c>
      <c r="E13475" s="3" t="inlineStr">
        <is>
          <t>동일인등출자계열회사와의상품ㆍ용역거래변경</t>
        </is>
      </c>
      <c r="F13475" s="3" t="inlineStr">
        <is>
          <t>SK텔레콤</t>
        </is>
      </c>
      <c r="G13475" s="2" t="inlineStr">
        <is>
          <t>20260626000192</t>
        </is>
      </c>
      <c r="H13475" s="8">
        <f>HYPERLINK("https://dart.fss.or.kr/dsaf001/main.do?rcpNo=20260626000192", "공시열람")</f>
        <v/>
      </c>
    </row>
    <row r="13476">
      <c r="A13476" s="2" t="inlineStr">
        <is>
          <t>2026-06-26</t>
        </is>
      </c>
      <c r="B13476" s="3" t="inlineStr">
        <is>
          <t>SK텔레콤</t>
        </is>
      </c>
      <c r="C13476" s="2" t="inlineStr">
        <is>
          <t>코스피</t>
        </is>
      </c>
      <c r="D13476" s="2" t="inlineStr">
        <is>
          <t>017670</t>
        </is>
      </c>
      <c r="E13476" s="3" t="inlineStr">
        <is>
          <t>특수관계인과의내부거래</t>
        </is>
      </c>
      <c r="F13476" s="3" t="inlineStr">
        <is>
          <t>SK텔레콤</t>
        </is>
      </c>
      <c r="G13476" s="2" t="inlineStr">
        <is>
          <t>20260626000191</t>
        </is>
      </c>
      <c r="H13476" s="8">
        <f>HYPERLINK("https://dart.fss.or.kr/dsaf001/main.do?rcpNo=20260626000191", "공시열람")</f>
        <v/>
      </c>
    </row>
    <row r="13477">
      <c r="A13477" s="2" t="inlineStr">
        <is>
          <t>2026-06-26</t>
        </is>
      </c>
      <c r="B13477" s="3" t="inlineStr">
        <is>
          <t>키움증권</t>
        </is>
      </c>
      <c r="C13477" s="2" t="inlineStr">
        <is>
          <t>코스피</t>
        </is>
      </c>
      <c r="D13477" s="2" t="inlineStr">
        <is>
          <t>039490</t>
        </is>
      </c>
      <c r="E13477" s="3" t="inlineStr">
        <is>
          <t>증권발행실적보고서</t>
        </is>
      </c>
      <c r="F13477" s="3" t="inlineStr">
        <is>
          <t>키움증권</t>
        </is>
      </c>
      <c r="G13477" s="2" t="inlineStr">
        <is>
          <t>20260626000190</t>
        </is>
      </c>
      <c r="H13477" s="8">
        <f>HYPERLINK("https://dart.fss.or.kr/dsaf001/main.do?rcpNo=20260626000190", "공시열람")</f>
        <v/>
      </c>
    </row>
    <row r="13478">
      <c r="A13478" s="2" t="inlineStr">
        <is>
          <t>2026-06-26</t>
        </is>
      </c>
      <c r="B13478" s="3" t="inlineStr">
        <is>
          <t>다보링크</t>
        </is>
      </c>
      <c r="C13478" s="2" t="inlineStr">
        <is>
          <t>코스닥</t>
        </is>
      </c>
      <c r="D13478" s="2" t="inlineStr">
        <is>
          <t>340360</t>
        </is>
      </c>
      <c r="E13478" s="3" t="inlineStr">
        <is>
          <t>전환가액의조정              (제2회차)</t>
        </is>
      </c>
      <c r="F13478" s="3" t="inlineStr">
        <is>
          <t>다보링크</t>
        </is>
      </c>
      <c r="G13478" s="2" t="inlineStr">
        <is>
          <t>20260626900269</t>
        </is>
      </c>
      <c r="H13478" s="8">
        <f>HYPERLINK("https://dart.fss.or.kr/dsaf001/main.do?rcpNo=20260626900269", "공시열람")</f>
        <v/>
      </c>
    </row>
    <row r="13479">
      <c r="A13479" s="2" t="inlineStr">
        <is>
          <t>2026-06-26</t>
        </is>
      </c>
      <c r="B13479" s="3" t="inlineStr">
        <is>
          <t>SK텔레콤</t>
        </is>
      </c>
      <c r="C13479" s="2" t="inlineStr">
        <is>
          <t>코스피</t>
        </is>
      </c>
      <c r="D13479" s="2" t="inlineStr">
        <is>
          <t>017670</t>
        </is>
      </c>
      <c r="E13479" s="3" t="inlineStr">
        <is>
          <t>특수관계인에대한자산양도</t>
        </is>
      </c>
      <c r="F13479" s="3" t="inlineStr">
        <is>
          <t>SK텔레콤</t>
        </is>
      </c>
      <c r="G13479" s="2" t="inlineStr">
        <is>
          <t>20260626000188</t>
        </is>
      </c>
      <c r="H13479" s="8">
        <f>HYPERLINK("https://dart.fss.or.kr/dsaf001/main.do?rcpNo=20260626000188", "공시열람")</f>
        <v/>
      </c>
    </row>
    <row r="13480">
      <c r="A13480" s="2" t="inlineStr">
        <is>
          <t>2026-06-26</t>
        </is>
      </c>
      <c r="B13480" s="3" t="inlineStr">
        <is>
          <t>큐캐피탈</t>
        </is>
      </c>
      <c r="C13480" s="2" t="inlineStr">
        <is>
          <t>코스닥</t>
        </is>
      </c>
      <c r="D13480" s="2" t="inlineStr">
        <is>
          <t>016600</t>
        </is>
      </c>
      <c r="E13480" s="3" t="inlineStr">
        <is>
          <t>임원ㆍ주요주주특정증권등소유상황보고서</t>
        </is>
      </c>
      <c r="F13480" s="3" t="inlineStr">
        <is>
          <t>감경일</t>
        </is>
      </c>
      <c r="G13480" s="2" t="inlineStr">
        <is>
          <t>20260626000186</t>
        </is>
      </c>
      <c r="H13480" s="8">
        <f>HYPERLINK("https://dart.fss.or.kr/dsaf001/main.do?rcpNo=20260626000186", "공시열람")</f>
        <v/>
      </c>
    </row>
    <row r="13481">
      <c r="A13481" s="2" t="inlineStr">
        <is>
          <t>2026-06-26</t>
        </is>
      </c>
      <c r="B13481" s="3" t="inlineStr">
        <is>
          <t>케이엔에스</t>
        </is>
      </c>
      <c r="C13481" s="2" t="inlineStr">
        <is>
          <t>코스닥</t>
        </is>
      </c>
      <c r="D13481" s="2" t="inlineStr">
        <is>
          <t>432470</t>
        </is>
      </c>
      <c r="E13481" s="3" t="inlineStr">
        <is>
          <t>임원ㆍ주요주주특정증권등소유상황보고서</t>
        </is>
      </c>
      <c r="F13481" s="3" t="inlineStr">
        <is>
          <t>정연직</t>
        </is>
      </c>
      <c r="G13481" s="2" t="inlineStr">
        <is>
          <t>20260626000184</t>
        </is>
      </c>
      <c r="H13481" s="8">
        <f>HYPERLINK("https://dart.fss.or.kr/dsaf001/main.do?rcpNo=20260626000184", "공시열람")</f>
        <v/>
      </c>
    </row>
    <row r="13482">
      <c r="A13482" s="2" t="inlineStr">
        <is>
          <t>2026-06-26</t>
        </is>
      </c>
      <c r="B13482" s="3" t="inlineStr">
        <is>
          <t>키움증권</t>
        </is>
      </c>
      <c r="C13482" s="2" t="inlineStr">
        <is>
          <t>코스피</t>
        </is>
      </c>
      <c r="D13482" s="2" t="inlineStr">
        <is>
          <t>039490</t>
        </is>
      </c>
      <c r="E13482" s="3" t="inlineStr">
        <is>
          <t>증권발행실적보고서</t>
        </is>
      </c>
      <c r="F13482" s="3" t="inlineStr">
        <is>
          <t>키움증권</t>
        </is>
      </c>
      <c r="G13482" s="2" t="inlineStr">
        <is>
          <t>20260626000183</t>
        </is>
      </c>
      <c r="H13482" s="8">
        <f>HYPERLINK("https://dart.fss.or.kr/dsaf001/main.do?rcpNo=20260626000183", "공시열람")</f>
        <v/>
      </c>
    </row>
    <row r="13483">
      <c r="A13483" s="2" t="inlineStr">
        <is>
          <t>2026-06-26</t>
        </is>
      </c>
      <c r="B13483" s="3" t="inlineStr">
        <is>
          <t>큐캐피탈</t>
        </is>
      </c>
      <c r="C13483" s="2" t="inlineStr">
        <is>
          <t>코스닥</t>
        </is>
      </c>
      <c r="D13483" s="2" t="inlineStr">
        <is>
          <t>016600</t>
        </is>
      </c>
      <c r="E13483" s="3" t="inlineStr">
        <is>
          <t>임원ㆍ주요주주특정증권등소유상황보고서</t>
        </is>
      </c>
      <c r="F13483" s="3" t="inlineStr">
        <is>
          <t>진윤정</t>
        </is>
      </c>
      <c r="G13483" s="2" t="inlineStr">
        <is>
          <t>20260626000181</t>
        </is>
      </c>
      <c r="H13483" s="8">
        <f>HYPERLINK("https://dart.fss.or.kr/dsaf001/main.do?rcpNo=20260626000181", "공시열람")</f>
        <v/>
      </c>
    </row>
    <row r="13484">
      <c r="A13484" s="2" t="inlineStr">
        <is>
          <t>2026-06-26</t>
        </is>
      </c>
      <c r="B13484" s="3" t="inlineStr">
        <is>
          <t>큐캐피탈</t>
        </is>
      </c>
      <c r="C13484" s="2" t="inlineStr">
        <is>
          <t>코스닥</t>
        </is>
      </c>
      <c r="D13484" s="2" t="inlineStr">
        <is>
          <t>016600</t>
        </is>
      </c>
      <c r="E13484" s="3" t="inlineStr">
        <is>
          <t>임원ㆍ주요주주특정증권등소유상황보고서</t>
        </is>
      </c>
      <c r="F13484" s="3" t="inlineStr">
        <is>
          <t>김재현</t>
        </is>
      </c>
      <c r="G13484" s="2" t="inlineStr">
        <is>
          <t>20260626000176</t>
        </is>
      </c>
      <c r="H13484" s="8">
        <f>HYPERLINK("https://dart.fss.or.kr/dsaf001/main.do?rcpNo=20260626000176", "공시열람")</f>
        <v/>
      </c>
    </row>
    <row r="13485">
      <c r="A13485" s="2" t="inlineStr">
        <is>
          <t>2026-06-26</t>
        </is>
      </c>
      <c r="B13485" s="3" t="inlineStr">
        <is>
          <t>엠게임</t>
        </is>
      </c>
      <c r="C13485" s="2" t="inlineStr">
        <is>
          <t>코스닥</t>
        </is>
      </c>
      <c r="D13485" s="2" t="inlineStr">
        <is>
          <t>058630</t>
        </is>
      </c>
      <c r="E13485" s="3" t="inlineStr">
        <is>
          <t>임원ㆍ주요주주특정증권등소유상황보고서</t>
        </is>
      </c>
      <c r="F13485" s="3" t="inlineStr">
        <is>
          <t>권이형</t>
        </is>
      </c>
      <c r="G13485" s="2" t="inlineStr">
        <is>
          <t>20260626000173</t>
        </is>
      </c>
      <c r="H13485" s="8">
        <f>HYPERLINK("https://dart.fss.or.kr/dsaf001/main.do?rcpNo=20260626000173", "공시열람")</f>
        <v/>
      </c>
    </row>
    <row r="13486">
      <c r="A13486" s="2" t="inlineStr">
        <is>
          <t>2026-06-26</t>
        </is>
      </c>
      <c r="B13486" s="3" t="inlineStr">
        <is>
          <t>큐캐피탈</t>
        </is>
      </c>
      <c r="C13486" s="2" t="inlineStr">
        <is>
          <t>코스닥</t>
        </is>
      </c>
      <c r="D13486" s="2" t="inlineStr">
        <is>
          <t>016600</t>
        </is>
      </c>
      <c r="E13486" s="3" t="inlineStr">
        <is>
          <t>임원ㆍ주요주주특정증권등소유상황보고서</t>
        </is>
      </c>
      <c r="F13486" s="3" t="inlineStr">
        <is>
          <t>김성훈</t>
        </is>
      </c>
      <c r="G13486" s="2" t="inlineStr">
        <is>
          <t>20260626000169</t>
        </is>
      </c>
      <c r="H13486" s="8">
        <f>HYPERLINK("https://dart.fss.or.kr/dsaf001/main.do?rcpNo=20260626000169", "공시열람")</f>
        <v/>
      </c>
    </row>
    <row r="13487">
      <c r="A13487" s="2" t="inlineStr">
        <is>
          <t>2026-06-26</t>
        </is>
      </c>
      <c r="B13487" s="3" t="inlineStr">
        <is>
          <t>큐캐피탈</t>
        </is>
      </c>
      <c r="C13487" s="2" t="inlineStr">
        <is>
          <t>코스닥</t>
        </is>
      </c>
      <c r="D13487" s="2" t="inlineStr">
        <is>
          <t>016600</t>
        </is>
      </c>
      <c r="E13487" s="3" t="inlineStr">
        <is>
          <t>임원ㆍ주요주주특정증권등소유상황보고서</t>
        </is>
      </c>
      <c r="F13487" s="3" t="inlineStr">
        <is>
          <t>평기호</t>
        </is>
      </c>
      <c r="G13487" s="2" t="inlineStr">
        <is>
          <t>20260626000166</t>
        </is>
      </c>
      <c r="H13487" s="8">
        <f>HYPERLINK("https://dart.fss.or.kr/dsaf001/main.do?rcpNo=20260626000166", "공시열람")</f>
        <v/>
      </c>
    </row>
    <row r="13488">
      <c r="A13488" s="2" t="inlineStr">
        <is>
          <t>2026-06-26</t>
        </is>
      </c>
      <c r="B13488" s="3" t="inlineStr">
        <is>
          <t>삼성증권</t>
        </is>
      </c>
      <c r="C13488" s="2" t="inlineStr">
        <is>
          <t>코스피</t>
        </is>
      </c>
      <c r="D13488" s="2" t="inlineStr">
        <is>
          <t>016360</t>
        </is>
      </c>
      <c r="E13488" s="3" t="inlineStr">
        <is>
          <t>투자설명서(일괄신고)</t>
        </is>
      </c>
      <c r="F13488" s="3" t="inlineStr">
        <is>
          <t>삼성증권</t>
        </is>
      </c>
      <c r="G13488" s="2" t="inlineStr">
        <is>
          <t>20260626000164</t>
        </is>
      </c>
      <c r="H13488" s="8">
        <f>HYPERLINK("https://dart.fss.or.kr/dsaf001/main.do?rcpNo=20260626000164", "공시열람")</f>
        <v/>
      </c>
    </row>
    <row r="13489">
      <c r="A13489" s="2" t="inlineStr">
        <is>
          <t>2026-06-26</t>
        </is>
      </c>
      <c r="B13489" s="3" t="inlineStr">
        <is>
          <t>큐캐피탈</t>
        </is>
      </c>
      <c r="C13489" s="2" t="inlineStr">
        <is>
          <t>코스닥</t>
        </is>
      </c>
      <c r="D13489" s="2" t="inlineStr">
        <is>
          <t>016600</t>
        </is>
      </c>
      <c r="E13489" s="3" t="inlineStr">
        <is>
          <t>임원ㆍ주요주주특정증권등소유상황보고서</t>
        </is>
      </c>
      <c r="F13489" s="3" t="inlineStr">
        <is>
          <t>이창민</t>
        </is>
      </c>
      <c r="G13489" s="2" t="inlineStr">
        <is>
          <t>20260626000161</t>
        </is>
      </c>
      <c r="H13489" s="8">
        <f>HYPERLINK("https://dart.fss.or.kr/dsaf001/main.do?rcpNo=20260626000161", "공시열람")</f>
        <v/>
      </c>
    </row>
    <row r="13490">
      <c r="A13490" s="2" t="inlineStr">
        <is>
          <t>2026-06-26</t>
        </is>
      </c>
      <c r="B13490" s="3" t="inlineStr">
        <is>
          <t>카카오게임즈</t>
        </is>
      </c>
      <c r="C13490" s="2" t="inlineStr">
        <is>
          <t>코스닥</t>
        </is>
      </c>
      <c r="D13490" s="2" t="inlineStr">
        <is>
          <t>293490</t>
        </is>
      </c>
      <c r="E13490" s="3" t="inlineStr">
        <is>
          <t xml:space="preserve">지속가능경영보고서등관련사항(자율공시)              </t>
        </is>
      </c>
      <c r="F13490" s="3" t="inlineStr">
        <is>
          <t>카카오게임즈</t>
        </is>
      </c>
      <c r="G13490" s="2" t="inlineStr">
        <is>
          <t>20260626900275</t>
        </is>
      </c>
      <c r="H13490" s="8">
        <f>HYPERLINK("https://dart.fss.or.kr/dsaf001/main.do?rcpNo=20260626900275", "공시열람")</f>
        <v/>
      </c>
    </row>
    <row r="13491">
      <c r="A13491" s="2" t="inlineStr">
        <is>
          <t>2026-06-26</t>
        </is>
      </c>
      <c r="B13491" s="3" t="inlineStr">
        <is>
          <t>큐캐피탈</t>
        </is>
      </c>
      <c r="C13491" s="2" t="inlineStr">
        <is>
          <t>코스닥</t>
        </is>
      </c>
      <c r="D13491" s="2" t="inlineStr">
        <is>
          <t>016600</t>
        </is>
      </c>
      <c r="E13491" s="3" t="inlineStr">
        <is>
          <t>임원ㆍ주요주주특정증권등소유상황보고서</t>
        </is>
      </c>
      <c r="F13491" s="3" t="inlineStr">
        <is>
          <t>윤동현</t>
        </is>
      </c>
      <c r="G13491" s="2" t="inlineStr">
        <is>
          <t>20260626000159</t>
        </is>
      </c>
      <c r="H13491" s="8">
        <f>HYPERLINK("https://dart.fss.or.kr/dsaf001/main.do?rcpNo=20260626000159", "공시열람")</f>
        <v/>
      </c>
    </row>
    <row r="13492">
      <c r="A13492" s="2" t="inlineStr">
        <is>
          <t>2026-06-26</t>
        </is>
      </c>
      <c r="B13492" s="3" t="inlineStr">
        <is>
          <t>큐캐피탈</t>
        </is>
      </c>
      <c r="C13492" s="2" t="inlineStr">
        <is>
          <t>코스닥</t>
        </is>
      </c>
      <c r="D13492" s="2" t="inlineStr">
        <is>
          <t>016600</t>
        </is>
      </c>
      <c r="E13492" s="3" t="inlineStr">
        <is>
          <t>임원ㆍ주요주주특정증권등소유상황보고서</t>
        </is>
      </c>
      <c r="F13492" s="3" t="inlineStr">
        <is>
          <t>황희연</t>
        </is>
      </c>
      <c r="G13492" s="2" t="inlineStr">
        <is>
          <t>20260626000154</t>
        </is>
      </c>
      <c r="H13492" s="8">
        <f>HYPERLINK("https://dart.fss.or.kr/dsaf001/main.do?rcpNo=20260626000154", "공시열람")</f>
        <v/>
      </c>
    </row>
    <row r="13493">
      <c r="A13493" s="2" t="inlineStr">
        <is>
          <t>2026-06-26</t>
        </is>
      </c>
      <c r="B13493" s="3" t="inlineStr">
        <is>
          <t>큐캐피탈</t>
        </is>
      </c>
      <c r="C13493" s="2" t="inlineStr">
        <is>
          <t>코스닥</t>
        </is>
      </c>
      <c r="D13493" s="2" t="inlineStr">
        <is>
          <t>016600</t>
        </is>
      </c>
      <c r="E13493" s="3" t="inlineStr">
        <is>
          <t>임원ㆍ주요주주특정증권등소유상황보고서</t>
        </is>
      </c>
      <c r="F13493" s="3" t="inlineStr">
        <is>
          <t>권경훈</t>
        </is>
      </c>
      <c r="G13493" s="2" t="inlineStr">
        <is>
          <t>20260626000149</t>
        </is>
      </c>
      <c r="H13493" s="8">
        <f>HYPERLINK("https://dart.fss.or.kr/dsaf001/main.do?rcpNo=20260626000149", "공시열람")</f>
        <v/>
      </c>
    </row>
    <row r="13494">
      <c r="A13494" s="2" t="inlineStr">
        <is>
          <t>2026-06-26</t>
        </is>
      </c>
      <c r="B13494" s="3" t="inlineStr">
        <is>
          <t>메디톡스</t>
        </is>
      </c>
      <c r="C13494" s="2" t="inlineStr">
        <is>
          <t>코스닥</t>
        </is>
      </c>
      <c r="D13494" s="2" t="inlineStr">
        <is>
          <t>086900</t>
        </is>
      </c>
      <c r="E13494" s="3" t="inlineStr">
        <is>
          <t>임원ㆍ주요주주특정증권등소유상황보고서</t>
        </is>
      </c>
      <c r="F13494" s="3" t="inlineStr">
        <is>
          <t>정현호</t>
        </is>
      </c>
      <c r="G13494" s="2" t="inlineStr">
        <is>
          <t>20260626000148</t>
        </is>
      </c>
      <c r="H13494" s="8">
        <f>HYPERLINK("https://dart.fss.or.kr/dsaf001/main.do?rcpNo=20260626000148", "공시열람")</f>
        <v/>
      </c>
    </row>
    <row r="13495">
      <c r="A13495" s="2" t="inlineStr">
        <is>
          <t>2026-06-26</t>
        </is>
      </c>
      <c r="B13495" s="3" t="inlineStr">
        <is>
          <t>삼현</t>
        </is>
      </c>
      <c r="C13495" s="2" t="inlineStr">
        <is>
          <t>코스닥</t>
        </is>
      </c>
      <c r="D13495" s="2" t="inlineStr">
        <is>
          <t>437730</t>
        </is>
      </c>
      <c r="E13495" s="3" t="inlineStr">
        <is>
          <t>임원ㆍ주요주주특정증권등소유상황보고서</t>
        </is>
      </c>
      <c r="F13495" s="3" t="inlineStr">
        <is>
          <t>김창곤</t>
        </is>
      </c>
      <c r="G13495" s="2" t="inlineStr">
        <is>
          <t>20260626000134</t>
        </is>
      </c>
      <c r="H13495" s="8">
        <f>HYPERLINK("https://dart.fss.or.kr/dsaf001/main.do?rcpNo=20260626000134", "공시열람")</f>
        <v/>
      </c>
    </row>
    <row r="13496">
      <c r="A13496" s="2" t="inlineStr">
        <is>
          <t>2026-06-26</t>
        </is>
      </c>
      <c r="B13496" s="3" t="inlineStr">
        <is>
          <t>한화투자증권</t>
        </is>
      </c>
      <c r="C13496" s="2" t="inlineStr">
        <is>
          <t>코스피</t>
        </is>
      </c>
      <c r="D13496" s="2" t="inlineStr">
        <is>
          <t>003530</t>
        </is>
      </c>
      <c r="E13496" s="3" t="inlineStr">
        <is>
          <t>투자설명서(일괄신고)</t>
        </is>
      </c>
      <c r="F13496" s="3" t="inlineStr">
        <is>
          <t>한화투자증권</t>
        </is>
      </c>
      <c r="G13496" s="2" t="inlineStr">
        <is>
          <t>20260626000131</t>
        </is>
      </c>
      <c r="H13496" s="8">
        <f>HYPERLINK("https://dart.fss.or.kr/dsaf001/main.do?rcpNo=20260626000131", "공시열람")</f>
        <v/>
      </c>
    </row>
    <row r="13497">
      <c r="A13497" s="2" t="inlineStr">
        <is>
          <t>2026-06-26</t>
        </is>
      </c>
      <c r="B13497" s="3" t="inlineStr">
        <is>
          <t>삼현</t>
        </is>
      </c>
      <c r="C13497" s="2" t="inlineStr">
        <is>
          <t>코스닥</t>
        </is>
      </c>
      <c r="D13497" s="2" t="inlineStr">
        <is>
          <t>437730</t>
        </is>
      </c>
      <c r="E13497" s="3" t="inlineStr">
        <is>
          <t>임원ㆍ주요주주특정증권등소유상황보고서</t>
        </is>
      </c>
      <c r="F13497" s="3" t="inlineStr">
        <is>
          <t>황성호</t>
        </is>
      </c>
      <c r="G13497" s="2" t="inlineStr">
        <is>
          <t>20260626000130</t>
        </is>
      </c>
      <c r="H13497" s="8">
        <f>HYPERLINK("https://dart.fss.or.kr/dsaf001/main.do?rcpNo=20260626000130", "공시열람")</f>
        <v/>
      </c>
    </row>
    <row r="13498">
      <c r="A13498" s="2" t="inlineStr">
        <is>
          <t>2026-06-26</t>
        </is>
      </c>
      <c r="B13498" s="3" t="inlineStr">
        <is>
          <t>NH투자증권</t>
        </is>
      </c>
      <c r="C13498" s="2" t="inlineStr">
        <is>
          <t>코스피</t>
        </is>
      </c>
      <c r="D13498" s="2" t="inlineStr">
        <is>
          <t>005940</t>
        </is>
      </c>
      <c r="E13498" s="3" t="inlineStr">
        <is>
          <t>증권발행실적보고서</t>
        </is>
      </c>
      <c r="F13498" s="3" t="inlineStr">
        <is>
          <t>NH투자증권</t>
        </is>
      </c>
      <c r="G13498" s="2" t="inlineStr">
        <is>
          <t>20260626000127</t>
        </is>
      </c>
      <c r="H13498" s="8">
        <f>HYPERLINK("https://dart.fss.or.kr/dsaf001/main.do?rcpNo=20260626000127", "공시열람")</f>
        <v/>
      </c>
    </row>
    <row r="13499">
      <c r="A13499" s="2" t="inlineStr">
        <is>
          <t>2026-06-26</t>
        </is>
      </c>
      <c r="B13499" s="3" t="inlineStr">
        <is>
          <t>광동제약</t>
        </is>
      </c>
      <c r="C13499" s="2" t="inlineStr">
        <is>
          <t>코스피</t>
        </is>
      </c>
      <c r="D13499" s="2" t="inlineStr">
        <is>
          <t>009290</t>
        </is>
      </c>
      <c r="E13499" s="3" t="inlineStr">
        <is>
          <t xml:space="preserve">지속가능경영보고서등관련사항(자율공시)              </t>
        </is>
      </c>
      <c r="F13499" s="3" t="inlineStr">
        <is>
          <t>광동제약</t>
        </is>
      </c>
      <c r="G13499" s="2" t="inlineStr">
        <is>
          <t>20260626800243</t>
        </is>
      </c>
      <c r="H13499" s="8">
        <f>HYPERLINK("https://dart.fss.or.kr/dsaf001/main.do?rcpNo=20260626800243", "공시열람")</f>
        <v/>
      </c>
    </row>
    <row r="13500">
      <c r="A13500" s="2" t="inlineStr">
        <is>
          <t>2026-06-26</t>
        </is>
      </c>
      <c r="B13500" s="3" t="inlineStr">
        <is>
          <t>한화투자증권</t>
        </is>
      </c>
      <c r="C13500" s="2" t="inlineStr">
        <is>
          <t>코스피</t>
        </is>
      </c>
      <c r="D13500" s="2" t="inlineStr">
        <is>
          <t>003530</t>
        </is>
      </c>
      <c r="E13500" s="3" t="inlineStr">
        <is>
          <t>일괄신고추가서류(기타파생결합사채)</t>
        </is>
      </c>
      <c r="F13500" s="3" t="inlineStr">
        <is>
          <t>한화투자증권</t>
        </is>
      </c>
      <c r="G13500" s="2" t="inlineStr">
        <is>
          <t>20260626000120</t>
        </is>
      </c>
      <c r="H13500" s="8">
        <f>HYPERLINK("https://dart.fss.or.kr/dsaf001/main.do?rcpNo=20260626000120", "공시열람")</f>
        <v/>
      </c>
    </row>
    <row r="13501">
      <c r="A13501" s="2" t="inlineStr">
        <is>
          <t>2026-06-26</t>
        </is>
      </c>
      <c r="B13501" s="3" t="inlineStr">
        <is>
          <t>달바글로벌</t>
        </is>
      </c>
      <c r="C13501" s="2" t="inlineStr">
        <is>
          <t>코스피</t>
        </is>
      </c>
      <c r="D13501" s="2" t="inlineStr">
        <is>
          <t>483650</t>
        </is>
      </c>
      <c r="E13501" s="3" t="inlineStr">
        <is>
          <t>임원ㆍ주요주주특정증권등거래계획보고서</t>
        </is>
      </c>
      <c r="F13501" s="3" t="inlineStr">
        <is>
          <t>반성연</t>
        </is>
      </c>
      <c r="G13501" s="2" t="inlineStr">
        <is>
          <t>20260626000114</t>
        </is>
      </c>
      <c r="H13501" s="8">
        <f>HYPERLINK("https://dart.fss.or.kr/dsaf001/main.do?rcpNo=20260626000114", "공시열람")</f>
        <v/>
      </c>
    </row>
    <row r="13502">
      <c r="A13502" s="2" t="inlineStr">
        <is>
          <t>2026-06-26</t>
        </is>
      </c>
      <c r="B13502" s="3" t="inlineStr">
        <is>
          <t>삼성증권</t>
        </is>
      </c>
      <c r="C13502" s="2" t="inlineStr">
        <is>
          <t>코스피</t>
        </is>
      </c>
      <c r="D13502" s="2" t="inlineStr">
        <is>
          <t>016360</t>
        </is>
      </c>
      <c r="E13502" s="3" t="inlineStr">
        <is>
          <t>일괄신고추가서류(파생결합사채-주가연계파생결합사채)</t>
        </is>
      </c>
      <c r="F13502" s="3" t="inlineStr">
        <is>
          <t>삼성증권</t>
        </is>
      </c>
      <c r="G13502" s="2" t="inlineStr">
        <is>
          <t>20260626000105</t>
        </is>
      </c>
      <c r="H13502" s="8">
        <f>HYPERLINK("https://dart.fss.or.kr/dsaf001/main.do?rcpNo=20260626000105", "공시열람")</f>
        <v/>
      </c>
    </row>
    <row r="13503">
      <c r="A13503" s="2" t="inlineStr">
        <is>
          <t>2026-06-26</t>
        </is>
      </c>
      <c r="B13503" s="3" t="inlineStr">
        <is>
          <t>한화투자증권</t>
        </is>
      </c>
      <c r="C13503" s="2" t="inlineStr">
        <is>
          <t>코스피</t>
        </is>
      </c>
      <c r="D13503" s="2" t="inlineStr">
        <is>
          <t>003530</t>
        </is>
      </c>
      <c r="E13503" s="3" t="inlineStr">
        <is>
          <t>투자설명서(일괄신고)</t>
        </is>
      </c>
      <c r="F13503" s="3" t="inlineStr">
        <is>
          <t>한화투자증권</t>
        </is>
      </c>
      <c r="G13503" s="2" t="inlineStr">
        <is>
          <t>20260626000096</t>
        </is>
      </c>
      <c r="H13503" s="8">
        <f>HYPERLINK("https://dart.fss.or.kr/dsaf001/main.do?rcpNo=20260626000096", "공시열람")</f>
        <v/>
      </c>
    </row>
    <row r="13504">
      <c r="A13504" s="2" t="inlineStr">
        <is>
          <t>2026-06-26</t>
        </is>
      </c>
      <c r="B13504" s="3" t="inlineStr">
        <is>
          <t>유안타증권</t>
        </is>
      </c>
      <c r="C13504" s="2" t="inlineStr">
        <is>
          <t>코스피</t>
        </is>
      </c>
      <c r="D13504" s="2" t="inlineStr">
        <is>
          <t>003470</t>
        </is>
      </c>
      <c r="E13504" s="3" t="inlineStr">
        <is>
          <t>증권발행실적보고서</t>
        </is>
      </c>
      <c r="F13504" s="3" t="inlineStr">
        <is>
          <t>유안타증권</t>
        </is>
      </c>
      <c r="G13504" s="2" t="inlineStr">
        <is>
          <t>20260626000094</t>
        </is>
      </c>
      <c r="H13504" s="8">
        <f>HYPERLINK("https://dart.fss.or.kr/dsaf001/main.do?rcpNo=20260626000094", "공시열람")</f>
        <v/>
      </c>
    </row>
    <row r="13505">
      <c r="A13505" s="2" t="inlineStr">
        <is>
          <t>2026-06-26</t>
        </is>
      </c>
      <c r="B13505" s="3" t="inlineStr">
        <is>
          <t>삼성증권</t>
        </is>
      </c>
      <c r="C13505" s="2" t="inlineStr">
        <is>
          <t>코스피</t>
        </is>
      </c>
      <c r="D13505" s="2" t="inlineStr">
        <is>
          <t>016360</t>
        </is>
      </c>
      <c r="E13505" s="3" t="inlineStr">
        <is>
          <t>투자설명서(일괄신고)</t>
        </is>
      </c>
      <c r="F13505" s="3" t="inlineStr">
        <is>
          <t>삼성증권</t>
        </is>
      </c>
      <c r="G13505" s="2" t="inlineStr">
        <is>
          <t>20260626000089</t>
        </is>
      </c>
      <c r="H13505" s="8">
        <f>HYPERLINK("https://dart.fss.or.kr/dsaf001/main.do?rcpNo=20260626000089", "공시열람")</f>
        <v/>
      </c>
    </row>
    <row r="13506">
      <c r="A13506" s="2" t="inlineStr">
        <is>
          <t>2026-06-26</t>
        </is>
      </c>
      <c r="B13506" s="3" t="inlineStr">
        <is>
          <t>디지털대성</t>
        </is>
      </c>
      <c r="C13506" s="2" t="inlineStr">
        <is>
          <t>코스닥</t>
        </is>
      </c>
      <c r="D13506" s="2" t="inlineStr">
        <is>
          <t>068930</t>
        </is>
      </c>
      <c r="E13506" s="3" t="inlineStr">
        <is>
          <t>임원ㆍ주요주주특정증권등소유상황보고서</t>
        </is>
      </c>
      <c r="F13506" s="3" t="inlineStr">
        <is>
          <t>김정열</t>
        </is>
      </c>
      <c r="G13506" s="2" t="inlineStr">
        <is>
          <t>20260626000088</t>
        </is>
      </c>
      <c r="H13506" s="8">
        <f>HYPERLINK("https://dart.fss.or.kr/dsaf001/main.do?rcpNo=20260626000088", "공시열람")</f>
        <v/>
      </c>
    </row>
    <row r="13507">
      <c r="A13507" s="2" t="inlineStr">
        <is>
          <t>2026-06-26</t>
        </is>
      </c>
      <c r="B13507" s="3" t="inlineStr">
        <is>
          <t>삼성증권</t>
        </is>
      </c>
      <c r="C13507" s="2" t="inlineStr">
        <is>
          <t>코스피</t>
        </is>
      </c>
      <c r="D13507" s="2" t="inlineStr">
        <is>
          <t>016360</t>
        </is>
      </c>
      <c r="E13507" s="3" t="inlineStr">
        <is>
          <t>일괄신고추가서류(파생결합사채-주가연계파생결합사채)</t>
        </is>
      </c>
      <c r="F13507" s="3" t="inlineStr">
        <is>
          <t>삼성증권</t>
        </is>
      </c>
      <c r="G13507" s="2" t="inlineStr">
        <is>
          <t>20260626000086</t>
        </is>
      </c>
      <c r="H13507" s="8">
        <f>HYPERLINK("https://dart.fss.or.kr/dsaf001/main.do?rcpNo=20260626000086", "공시열람")</f>
        <v/>
      </c>
    </row>
    <row r="13508">
      <c r="A13508" s="2" t="inlineStr">
        <is>
          <t>2026-06-26</t>
        </is>
      </c>
      <c r="B13508" s="3" t="inlineStr">
        <is>
          <t>엔케이</t>
        </is>
      </c>
      <c r="C13508" s="2" t="inlineStr">
        <is>
          <t>코스피</t>
        </is>
      </c>
      <c r="D13508" s="2" t="inlineStr">
        <is>
          <t>085310</t>
        </is>
      </c>
      <c r="E13508" s="3" t="inlineStr">
        <is>
          <t>임원ㆍ주요주주특정증권등소유상황보고서</t>
        </is>
      </c>
      <c r="F13508" s="3" t="inlineStr">
        <is>
          <t>더세이프티</t>
        </is>
      </c>
      <c r="G13508" s="2" t="inlineStr">
        <is>
          <t>20260626000084</t>
        </is>
      </c>
      <c r="H13508" s="8">
        <f>HYPERLINK("https://dart.fss.or.kr/dsaf001/main.do?rcpNo=20260626000084", "공시열람")</f>
        <v/>
      </c>
    </row>
    <row r="13509">
      <c r="A13509" s="2" t="inlineStr">
        <is>
          <t>2026-06-26</t>
        </is>
      </c>
      <c r="B13509" s="3" t="inlineStr">
        <is>
          <t>한화투자증권</t>
        </is>
      </c>
      <c r="C13509" s="2" t="inlineStr">
        <is>
          <t>코스피</t>
        </is>
      </c>
      <c r="D13509" s="2" t="inlineStr">
        <is>
          <t>003530</t>
        </is>
      </c>
      <c r="E13509" s="3" t="inlineStr">
        <is>
          <t>일괄신고추가서류(파생결합사채-주가연계파생결합사채)</t>
        </is>
      </c>
      <c r="F13509" s="3" t="inlineStr">
        <is>
          <t>한화투자증권</t>
        </is>
      </c>
      <c r="G13509" s="2" t="inlineStr">
        <is>
          <t>20260626000078</t>
        </is>
      </c>
      <c r="H13509" s="8">
        <f>HYPERLINK("https://dart.fss.or.kr/dsaf001/main.do?rcpNo=20260626000078", "공시열람")</f>
        <v/>
      </c>
    </row>
    <row r="13510">
      <c r="A13510" s="2" t="inlineStr">
        <is>
          <t>2026-06-26</t>
        </is>
      </c>
      <c r="B13510" s="3" t="inlineStr">
        <is>
          <t>케이티</t>
        </is>
      </c>
      <c r="C13510" s="2" t="inlineStr">
        <is>
          <t>코스피</t>
        </is>
      </c>
      <c r="D13510" s="2" t="inlineStr">
        <is>
          <t>030200</t>
        </is>
      </c>
      <c r="E13510" s="3" t="inlineStr">
        <is>
          <t xml:space="preserve">조회공시요구(풍문또는보도)에대한답변(미확정)              </t>
        </is>
      </c>
      <c r="F13510" s="3" t="inlineStr">
        <is>
          <t>케이티</t>
        </is>
      </c>
      <c r="G13510" s="2" t="inlineStr">
        <is>
          <t>20260626800212</t>
        </is>
      </c>
      <c r="H13510" s="8">
        <f>HYPERLINK("https://dart.fss.or.kr/dsaf001/main.do?rcpNo=20260626800212", "공시열람")</f>
        <v/>
      </c>
    </row>
    <row r="13511">
      <c r="A13511" s="2" t="inlineStr">
        <is>
          <t>2026-06-26</t>
        </is>
      </c>
      <c r="B13511" s="3" t="inlineStr">
        <is>
          <t>엔알비</t>
        </is>
      </c>
      <c r="C13511" s="2" t="inlineStr">
        <is>
          <t>코스닥</t>
        </is>
      </c>
      <c r="D13511" s="2" t="inlineStr">
        <is>
          <t>475230</t>
        </is>
      </c>
      <c r="E13511" s="3" t="inlineStr">
        <is>
          <t>임원ㆍ주요주주특정증권등소유상황보고서</t>
        </is>
      </c>
      <c r="F13511" s="3" t="inlineStr">
        <is>
          <t>송성훈</t>
        </is>
      </c>
      <c r="G13511" s="2" t="inlineStr">
        <is>
          <t>20260626000066</t>
        </is>
      </c>
      <c r="H13511" s="8">
        <f>HYPERLINK("https://dart.fss.or.kr/dsaf001/main.do?rcpNo=20260626000066", "공시열람")</f>
        <v/>
      </c>
    </row>
    <row r="13512">
      <c r="A13512" s="2" t="inlineStr">
        <is>
          <t>2026-06-26</t>
        </is>
      </c>
      <c r="B13512" s="3" t="inlineStr">
        <is>
          <t>LX하우시스</t>
        </is>
      </c>
      <c r="C13512" s="2" t="inlineStr">
        <is>
          <t>코스피</t>
        </is>
      </c>
      <c r="D13512" s="2" t="inlineStr">
        <is>
          <t>108670</t>
        </is>
      </c>
      <c r="E13512" s="3" t="inlineStr">
        <is>
          <t xml:space="preserve">지속가능경영보고서등관련사항(자율공시)              </t>
        </is>
      </c>
      <c r="F13512" s="3" t="inlineStr">
        <is>
          <t>LX하우시스</t>
        </is>
      </c>
      <c r="G13512" s="2" t="inlineStr">
        <is>
          <t>20260626800208</t>
        </is>
      </c>
      <c r="H13512" s="8">
        <f>HYPERLINK("https://dart.fss.or.kr/dsaf001/main.do?rcpNo=20260626800208", "공시열람")</f>
        <v/>
      </c>
    </row>
    <row r="13513">
      <c r="A13513" s="2" t="inlineStr">
        <is>
          <t>2026-06-26</t>
        </is>
      </c>
      <c r="B13513" s="3" t="inlineStr">
        <is>
          <t>삼성출판사</t>
        </is>
      </c>
      <c r="C13513" s="2" t="inlineStr">
        <is>
          <t>코스피</t>
        </is>
      </c>
      <c r="D13513" s="2" t="inlineStr">
        <is>
          <t>068290</t>
        </is>
      </c>
      <c r="E13513" s="3" t="inlineStr">
        <is>
          <t>임원ㆍ주요주주특정증권등소유상황보고서</t>
        </is>
      </c>
      <c r="F13513" s="3" t="inlineStr">
        <is>
          <t>김민권</t>
        </is>
      </c>
      <c r="G13513" s="2" t="inlineStr">
        <is>
          <t>20260626000058</t>
        </is>
      </c>
      <c r="H13513" s="8">
        <f>HYPERLINK("https://dart.fss.or.kr/dsaf001/main.do?rcpNo=20260626000058", "공시열람")</f>
        <v/>
      </c>
    </row>
    <row r="13514">
      <c r="A13514" s="2" t="inlineStr">
        <is>
          <t>2026-06-26</t>
        </is>
      </c>
      <c r="B13514" s="3" t="inlineStr">
        <is>
          <t>현대차증권</t>
        </is>
      </c>
      <c r="C13514" s="2" t="inlineStr">
        <is>
          <t>코스피</t>
        </is>
      </c>
      <c r="D13514" s="2" t="inlineStr">
        <is>
          <t>001500</t>
        </is>
      </c>
      <c r="E13514" s="3" t="inlineStr">
        <is>
          <t>증권발행실적보고서</t>
        </is>
      </c>
      <c r="F13514" s="3" t="inlineStr">
        <is>
          <t>현대차증권</t>
        </is>
      </c>
      <c r="G13514" s="2" t="inlineStr">
        <is>
          <t>20260626000031</t>
        </is>
      </c>
      <c r="H13514" s="8">
        <f>HYPERLINK("https://dart.fss.or.kr/dsaf001/main.do?rcpNo=20260626000031", "공시열람")</f>
        <v/>
      </c>
    </row>
    <row r="13515">
      <c r="A13515" s="2" t="inlineStr">
        <is>
          <t>2026-06-26</t>
        </is>
      </c>
      <c r="B13515" s="3" t="inlineStr">
        <is>
          <t>화성밸브</t>
        </is>
      </c>
      <c r="C13515" s="2" t="inlineStr">
        <is>
          <t>코스닥</t>
        </is>
      </c>
      <c r="D13515" s="2" t="inlineStr">
        <is>
          <t>039610</t>
        </is>
      </c>
      <c r="E13515" s="3" t="inlineStr">
        <is>
          <t>임원ㆍ주요주주특정증권등소유상황보고서</t>
        </is>
      </c>
      <c r="F13515" s="3" t="inlineStr">
        <is>
          <t>장원규</t>
        </is>
      </c>
      <c r="G13515" s="2" t="inlineStr">
        <is>
          <t>20260626000029</t>
        </is>
      </c>
      <c r="H13515" s="8">
        <f>HYPERLINK("https://dart.fss.or.kr/dsaf001/main.do?rcpNo=20260626000029", "공시열람")</f>
        <v/>
      </c>
    </row>
    <row r="13516">
      <c r="A13516" s="2" t="inlineStr">
        <is>
          <t>2026-06-26</t>
        </is>
      </c>
      <c r="B13516" s="3" t="inlineStr">
        <is>
          <t>제이엠아이</t>
        </is>
      </c>
      <c r="C13516" s="2" t="inlineStr">
        <is>
          <t>코스닥</t>
        </is>
      </c>
      <c r="D13516" s="2" t="inlineStr">
        <is>
          <t>033050</t>
        </is>
      </c>
      <c r="E13516" s="3" t="inlineStr">
        <is>
          <t>임원ㆍ주요주주특정증권등거래계획보고서</t>
        </is>
      </c>
      <c r="F13516" s="3" t="inlineStr">
        <is>
          <t>정광훈</t>
        </is>
      </c>
      <c r="G13516" s="2" t="inlineStr">
        <is>
          <t>20260626000020</t>
        </is>
      </c>
      <c r="H13516" s="8">
        <f>HYPERLINK("https://dart.fss.or.kr/dsaf001/main.do?rcpNo=20260626000020", "공시열람")</f>
        <v/>
      </c>
    </row>
    <row r="13517">
      <c r="A13517" s="2" t="inlineStr">
        <is>
          <t>2026-06-26</t>
        </is>
      </c>
      <c r="B13517" s="3" t="inlineStr">
        <is>
          <t>성신양회</t>
        </is>
      </c>
      <c r="C13517" s="2" t="inlineStr">
        <is>
          <t>코스피</t>
        </is>
      </c>
      <c r="D13517" s="2" t="inlineStr">
        <is>
          <t>004980</t>
        </is>
      </c>
      <c r="E13517" s="3" t="inlineStr">
        <is>
          <t xml:space="preserve">지속가능경영보고서등관련사항(자율공시)              </t>
        </is>
      </c>
      <c r="F13517" s="3" t="inlineStr">
        <is>
          <t>성신양회</t>
        </is>
      </c>
      <c r="G13517" s="2" t="inlineStr">
        <is>
          <t>20260626800178</t>
        </is>
      </c>
      <c r="H13517" s="8">
        <f>HYPERLINK("https://dart.fss.or.kr/dsaf001/main.do?rcpNo=20260626800178", "공시열람")</f>
        <v/>
      </c>
    </row>
    <row r="13518">
      <c r="A13518" s="2" t="inlineStr">
        <is>
          <t>2026-06-26</t>
        </is>
      </c>
      <c r="B13518" s="3" t="inlineStr">
        <is>
          <t>미래에셋증권</t>
        </is>
      </c>
      <c r="C13518" s="2" t="inlineStr">
        <is>
          <t>코스피</t>
        </is>
      </c>
      <c r="D13518" s="2" t="inlineStr">
        <is>
          <t>006800</t>
        </is>
      </c>
      <c r="E13518" s="3" t="inlineStr">
        <is>
          <t>증권발행실적보고서</t>
        </is>
      </c>
      <c r="F13518" s="3" t="inlineStr">
        <is>
          <t>미래에셋증권</t>
        </is>
      </c>
      <c r="G13518" s="2" t="inlineStr">
        <is>
          <t>20260626000013</t>
        </is>
      </c>
      <c r="H13518" s="8">
        <f>HYPERLINK("https://dart.fss.or.kr/dsaf001/main.do?rcpNo=20260626000013", "공시열람")</f>
        <v/>
      </c>
    </row>
    <row r="13519">
      <c r="A13519" s="2" t="inlineStr">
        <is>
          <t>2026-06-26</t>
        </is>
      </c>
      <c r="B13519" s="3" t="inlineStr">
        <is>
          <t>롯데케미칼</t>
        </is>
      </c>
      <c r="C13519" s="2" t="inlineStr">
        <is>
          <t>코스피</t>
        </is>
      </c>
      <c r="D13519" s="2" t="inlineStr">
        <is>
          <t>011170</t>
        </is>
      </c>
      <c r="E13519" s="3" t="inlineStr">
        <is>
          <t xml:space="preserve">지속가능경영보고서등관련사항(자율공시)              </t>
        </is>
      </c>
      <c r="F13519" s="3" t="inlineStr">
        <is>
          <t>롯데케미칼</t>
        </is>
      </c>
      <c r="G13519" s="2" t="inlineStr">
        <is>
          <t>20260626800164</t>
        </is>
      </c>
      <c r="H13519" s="8">
        <f>HYPERLINK("https://dart.fss.or.kr/dsaf001/main.do?rcpNo=20260626800164", "공시열람")</f>
        <v/>
      </c>
    </row>
    <row r="13520">
      <c r="A13520" s="2" t="inlineStr">
        <is>
          <t>2026-06-26</t>
        </is>
      </c>
      <c r="B13520" s="3" t="inlineStr">
        <is>
          <t>키움증권</t>
        </is>
      </c>
      <c r="C13520" s="2" t="inlineStr">
        <is>
          <t>코스피</t>
        </is>
      </c>
      <c r="D13520" s="2" t="inlineStr">
        <is>
          <t>039490</t>
        </is>
      </c>
      <c r="E13520" s="3" t="inlineStr">
        <is>
          <t>증권발행실적보고서</t>
        </is>
      </c>
      <c r="F13520" s="3" t="inlineStr">
        <is>
          <t>키움증권</t>
        </is>
      </c>
      <c r="G13520" s="2" t="inlineStr">
        <is>
          <t>20260626000010</t>
        </is>
      </c>
      <c r="H13520" s="8">
        <f>HYPERLINK("https://dart.fss.or.kr/dsaf001/main.do?rcpNo=20260626000010", "공시열람")</f>
        <v/>
      </c>
    </row>
    <row r="13521">
      <c r="A13521" s="2" t="inlineStr">
        <is>
          <t>2026-06-26</t>
        </is>
      </c>
      <c r="B13521" s="3" t="inlineStr">
        <is>
          <t>오리온</t>
        </is>
      </c>
      <c r="C13521" s="2" t="inlineStr">
        <is>
          <t>코스피</t>
        </is>
      </c>
      <c r="D13521" s="2" t="inlineStr">
        <is>
          <t>271560</t>
        </is>
      </c>
      <c r="E13521" s="3" t="inlineStr">
        <is>
          <t xml:space="preserve">주권관련사채권의취득결정(자율공시)(종속회사의주요경영사항)              </t>
        </is>
      </c>
      <c r="F13521" s="3" t="inlineStr">
        <is>
          <t>오리온</t>
        </is>
      </c>
      <c r="G13521" s="2" t="inlineStr">
        <is>
          <t>20260626800017</t>
        </is>
      </c>
      <c r="H13521" s="8">
        <f>HYPERLINK("https://dart.fss.or.kr/dsaf001/main.do?rcpNo=20260626800017", "공시열람")</f>
        <v/>
      </c>
    </row>
    <row r="13522">
      <c r="A13522" s="2" t="inlineStr">
        <is>
          <t>2026-06-26</t>
        </is>
      </c>
      <c r="B13522" s="3" t="inlineStr">
        <is>
          <t>오리온</t>
        </is>
      </c>
      <c r="C13522" s="2" t="inlineStr">
        <is>
          <t>코스피</t>
        </is>
      </c>
      <c r="D13522" s="2" t="inlineStr">
        <is>
          <t>271560</t>
        </is>
      </c>
      <c r="E13522" s="3" t="inlineStr">
        <is>
          <t xml:space="preserve">타법인주식및출자증권취득결정(자율공시)(종속회사의주요경영사항)              </t>
        </is>
      </c>
      <c r="F13522" s="3" t="inlineStr">
        <is>
          <t>오리온</t>
        </is>
      </c>
      <c r="G13522" s="2" t="inlineStr">
        <is>
          <t>20260626800014</t>
        </is>
      </c>
      <c r="H13522" s="8">
        <f>HYPERLINK("https://dart.fss.or.kr/dsaf001/main.do?rcpNo=20260626800014", "공시열람")</f>
        <v/>
      </c>
    </row>
    <row r="13523">
      <c r="A13523" s="2" t="inlineStr">
        <is>
          <t>2026-06-26</t>
        </is>
      </c>
      <c r="B13523" s="3" t="inlineStr">
        <is>
          <t>오리온홀딩스</t>
        </is>
      </c>
      <c r="C13523" s="2" t="inlineStr">
        <is>
          <t>코스피</t>
        </is>
      </c>
      <c r="D13523" s="2" t="inlineStr">
        <is>
          <t>001800</t>
        </is>
      </c>
      <c r="E13523" s="3" t="inlineStr">
        <is>
          <t xml:space="preserve">주권관련사채권의취득결정(자율공시)(종속회사의주요경영사항)              </t>
        </is>
      </c>
      <c r="F13523" s="3" t="inlineStr">
        <is>
          <t>오리온홀딩스</t>
        </is>
      </c>
      <c r="G13523" s="2" t="inlineStr">
        <is>
          <t>20260626800008</t>
        </is>
      </c>
      <c r="H13523" s="8">
        <f>HYPERLINK("https://dart.fss.or.kr/dsaf001/main.do?rcpNo=20260626800008", "공시열람")</f>
        <v/>
      </c>
    </row>
    <row r="13524">
      <c r="A13524" s="2" t="inlineStr">
        <is>
          <t>2026-06-26</t>
        </is>
      </c>
      <c r="B13524" s="3" t="inlineStr">
        <is>
          <t>오리온홀딩스</t>
        </is>
      </c>
      <c r="C13524" s="2" t="inlineStr">
        <is>
          <t>코스피</t>
        </is>
      </c>
      <c r="D13524" s="2" t="inlineStr">
        <is>
          <t>001800</t>
        </is>
      </c>
      <c r="E13524" s="3" t="inlineStr">
        <is>
          <t xml:space="preserve">타법인주식및출자증권취득결정(자율공시)(종속회사의주요경영사항)              </t>
        </is>
      </c>
      <c r="F13524" s="3" t="inlineStr">
        <is>
          <t>오리온홀딩스</t>
        </is>
      </c>
      <c r="G13524" s="2" t="inlineStr">
        <is>
          <t>20260626800004</t>
        </is>
      </c>
      <c r="H13524" s="8">
        <f>HYPERLINK("https://dart.fss.or.kr/dsaf001/main.do?rcpNo=20260626800004", "공시열람")</f>
        <v/>
      </c>
    </row>
    <row r="13525">
      <c r="A13525" s="2" t="inlineStr">
        <is>
          <t>2026-06-26</t>
        </is>
      </c>
      <c r="B13525" s="3" t="inlineStr">
        <is>
          <t>계양전기</t>
        </is>
      </c>
      <c r="C13525" s="2" t="inlineStr">
        <is>
          <t>코스피</t>
        </is>
      </c>
      <c r="D13525" s="2" t="inlineStr">
        <is>
          <t>012200</t>
        </is>
      </c>
      <c r="E13525" s="3" t="inlineStr">
        <is>
          <t>효력발생안내( 2026.6.11. 제출 증권신고서(지분증권) )</t>
        </is>
      </c>
      <c r="F13525" s="3" t="inlineStr">
        <is>
          <t>금융감독원</t>
        </is>
      </c>
      <c r="G13525" s="2" t="inlineStr">
        <is>
          <t>20260611100044</t>
        </is>
      </c>
      <c r="H13525" s="8">
        <f>HYPERLINK("https://dart.fss.or.kr/dsaf001/main.do?rcpNo=20260611100044", "공시열람")</f>
        <v/>
      </c>
    </row>
    <row r="13526">
      <c r="A13526" s="2" t="inlineStr">
        <is>
          <t>2026-06-26</t>
        </is>
      </c>
      <c r="B13526" s="3" t="inlineStr">
        <is>
          <t>페니트리움바이오</t>
        </is>
      </c>
      <c r="C13526" s="2" t="inlineStr">
        <is>
          <t>코스닥</t>
        </is>
      </c>
      <c r="D13526" s="2" t="inlineStr">
        <is>
          <t>187660</t>
        </is>
      </c>
      <c r="E13526" s="3" t="inlineStr">
        <is>
          <t>효력발생안내( 2026.6.11. 제출 증권신고서(지분증권) )</t>
        </is>
      </c>
      <c r="F13526" s="3" t="inlineStr">
        <is>
          <t>금융감독원</t>
        </is>
      </c>
      <c r="G13526" s="2" t="inlineStr">
        <is>
          <t>20260611100010</t>
        </is>
      </c>
      <c r="H13526" s="8">
        <f>HYPERLINK("https://dart.fss.or.kr/dsaf001/main.do?rcpNo=20260611100010", "공시열람")</f>
        <v/>
      </c>
    </row>
    <row r="13527">
      <c r="A13527" s="2" t="inlineStr">
        <is>
          <t>2026-06-26</t>
        </is>
      </c>
      <c r="B13527" s="3" t="inlineStr">
        <is>
          <t>광명전기</t>
        </is>
      </c>
      <c r="C13527" s="2" t="inlineStr">
        <is>
          <t>코스피</t>
        </is>
      </c>
      <c r="D13527" s="2" t="inlineStr">
        <is>
          <t>017040</t>
        </is>
      </c>
      <c r="E13527" s="3" t="inlineStr">
        <is>
          <t>[기재정정]주요사항보고서(감자결정)</t>
        </is>
      </c>
      <c r="F13527" s="3" t="inlineStr">
        <is>
          <t>광명전기</t>
        </is>
      </c>
      <c r="G13527" s="2" t="inlineStr">
        <is>
          <t>20260625000640</t>
        </is>
      </c>
      <c r="H13527" s="8">
        <f>HYPERLINK("https://dart.fss.or.kr/dsaf001/main.do?rcpNo=20260625000640", "공시열람")</f>
        <v/>
      </c>
    </row>
    <row r="13528">
      <c r="A13528" s="2" t="inlineStr">
        <is>
          <t>2026-06-29</t>
        </is>
      </c>
      <c r="B13528" s="3" t="inlineStr">
        <is>
          <t>삼부토건</t>
        </is>
      </c>
      <c r="C13528" s="2" t="inlineStr">
        <is>
          <t>코스피</t>
        </is>
      </c>
      <c r="D13528" s="2" t="inlineStr">
        <is>
          <t>001470</t>
        </is>
      </c>
      <c r="E13528" s="3" t="inlineStr">
        <is>
          <t>주요사항보고서(감자결정)</t>
        </is>
      </c>
      <c r="F13528" s="3" t="inlineStr">
        <is>
          <t>삼부토건</t>
        </is>
      </c>
      <c r="G13528" s="2" t="inlineStr">
        <is>
          <t>20260626000773</t>
        </is>
      </c>
      <c r="H13528" s="8">
        <f>HYPERLINK("https://dart.fss.or.kr/dsaf001/main.do?rcpNo=20260626000773", "공시열람")</f>
        <v/>
      </c>
    </row>
    <row r="13529">
      <c r="A13529" s="2" t="inlineStr">
        <is>
          <t>2026-06-29</t>
        </is>
      </c>
      <c r="B13529" s="3" t="inlineStr">
        <is>
          <t>삼부토건</t>
        </is>
      </c>
      <c r="C13529" s="2" t="inlineStr">
        <is>
          <t>코스피</t>
        </is>
      </c>
      <c r="D13529" s="2" t="inlineStr">
        <is>
          <t>001470</t>
        </is>
      </c>
      <c r="E13529" s="3" t="inlineStr">
        <is>
          <t>주요사항보고서(감자결정)</t>
        </is>
      </c>
      <c r="F13529" s="3" t="inlineStr">
        <is>
          <t>삼부토건</t>
        </is>
      </c>
      <c r="G13529" s="2" t="inlineStr">
        <is>
          <t>20260626000771</t>
        </is>
      </c>
      <c r="H13529" s="8">
        <f>HYPERLINK("https://dart.fss.or.kr/dsaf001/main.do?rcpNo=20260626000771", "공시열람")</f>
        <v/>
      </c>
    </row>
    <row r="13530">
      <c r="A13530" s="2" t="inlineStr">
        <is>
          <t>2026-06-30</t>
        </is>
      </c>
      <c r="B13530" s="3" t="inlineStr">
        <is>
          <t>현대차증권</t>
        </is>
      </c>
      <c r="C13530" s="2" t="inlineStr">
        <is>
          <t>코스피</t>
        </is>
      </c>
      <c r="D13530" s="2" t="inlineStr">
        <is>
          <t>001500</t>
        </is>
      </c>
      <c r="E13530" s="3" t="inlineStr">
        <is>
          <t>투자설명서(일괄신고)</t>
        </is>
      </c>
      <c r="F13530" s="3" t="inlineStr">
        <is>
          <t>현대차증권</t>
        </is>
      </c>
      <c r="G13530" s="2" t="inlineStr">
        <is>
          <t>20260630000953</t>
        </is>
      </c>
      <c r="H13530" s="8">
        <f>HYPERLINK("https://dart.fss.or.kr/dsaf001/main.do?rcpNo=20260630000953", "공시열람")</f>
        <v/>
      </c>
    </row>
    <row r="13531">
      <c r="A13531" s="2" t="inlineStr">
        <is>
          <t>2026-06-30</t>
        </is>
      </c>
      <c r="B13531" s="3" t="inlineStr">
        <is>
          <t>현대지에프홀딩스</t>
        </is>
      </c>
      <c r="C13531" s="2" t="inlineStr">
        <is>
          <t>코스피</t>
        </is>
      </c>
      <c r="D13531" s="2" t="inlineStr">
        <is>
          <t>005440</t>
        </is>
      </c>
      <c r="E13531" s="3" t="inlineStr">
        <is>
          <t>임원ㆍ주요주주특정증권등소유상황보고서</t>
        </is>
      </c>
      <c r="F13531" s="3" t="inlineStr">
        <is>
          <t>정몽근</t>
        </is>
      </c>
      <c r="G13531" s="2" t="inlineStr">
        <is>
          <t>20260630000952</t>
        </is>
      </c>
      <c r="H13531" s="8">
        <f>HYPERLINK("https://dart.fss.or.kr/dsaf001/main.do?rcpNo=20260630000952", "공시열람")</f>
        <v/>
      </c>
    </row>
    <row r="13532">
      <c r="A13532" s="2" t="inlineStr">
        <is>
          <t>2026-06-30</t>
        </is>
      </c>
      <c r="B13532" s="3" t="inlineStr">
        <is>
          <t>부국증권</t>
        </is>
      </c>
      <c r="C13532" s="2" t="inlineStr">
        <is>
          <t>코스피</t>
        </is>
      </c>
      <c r="D13532" s="2" t="inlineStr">
        <is>
          <t>001270</t>
        </is>
      </c>
      <c r="E13532" s="3" t="inlineStr">
        <is>
          <t xml:space="preserve">자산재평가결과(자율공시)              </t>
        </is>
      </c>
      <c r="F13532" s="3" t="inlineStr">
        <is>
          <t>부국증권</t>
        </is>
      </c>
      <c r="G13532" s="2" t="inlineStr">
        <is>
          <t>20260630801229</t>
        </is>
      </c>
      <c r="H13532" s="8">
        <f>HYPERLINK("https://dart.fss.or.kr/dsaf001/main.do?rcpNo=20260630801229", "공시열람")</f>
        <v/>
      </c>
    </row>
    <row r="13533">
      <c r="A13533" s="2" t="inlineStr">
        <is>
          <t>2026-06-30</t>
        </is>
      </c>
      <c r="B13533" s="3" t="inlineStr">
        <is>
          <t>현대홈쇼핑</t>
        </is>
      </c>
      <c r="C13533" s="2" t="inlineStr">
        <is>
          <t>코스피</t>
        </is>
      </c>
      <c r="D13533" s="2" t="inlineStr">
        <is>
          <t>057050</t>
        </is>
      </c>
      <c r="E13533" s="3" t="inlineStr">
        <is>
          <t>임원ㆍ주요주주특정증권등소유상황보고서</t>
        </is>
      </c>
      <c r="F13533" s="3" t="inlineStr">
        <is>
          <t>홍성일</t>
        </is>
      </c>
      <c r="G13533" s="2" t="inlineStr">
        <is>
          <t>20260630000951</t>
        </is>
      </c>
      <c r="H13533" s="8">
        <f>HYPERLINK("https://dart.fss.or.kr/dsaf001/main.do?rcpNo=20260630000951", "공시열람")</f>
        <v/>
      </c>
    </row>
    <row r="13534">
      <c r="A13534" s="2" t="inlineStr">
        <is>
          <t>2026-06-30</t>
        </is>
      </c>
      <c r="B13534" s="3" t="inlineStr">
        <is>
          <t>HC홈센타</t>
        </is>
      </c>
      <c r="C13534" s="2" t="inlineStr">
        <is>
          <t>코스닥</t>
        </is>
      </c>
      <c r="D13534" s="2" t="inlineStr">
        <is>
          <t>060560</t>
        </is>
      </c>
      <c r="E13534" s="3" t="inlineStr">
        <is>
          <t>임원ㆍ주요주주특정증권등소유상황보고서</t>
        </is>
      </c>
      <c r="F13534" s="3" t="inlineStr">
        <is>
          <t>에이치씨파트너스</t>
        </is>
      </c>
      <c r="G13534" s="2" t="inlineStr">
        <is>
          <t>20260630000950</t>
        </is>
      </c>
      <c r="H13534" s="8">
        <f>HYPERLINK("https://dart.fss.or.kr/dsaf001/main.do?rcpNo=20260630000950", "공시열람")</f>
        <v/>
      </c>
    </row>
    <row r="13535">
      <c r="A13535" s="2" t="inlineStr">
        <is>
          <t>2026-06-30</t>
        </is>
      </c>
      <c r="B13535" s="3" t="inlineStr">
        <is>
          <t>현대지에프홀딩스</t>
        </is>
      </c>
      <c r="C13535" s="2" t="inlineStr">
        <is>
          <t>코스피</t>
        </is>
      </c>
      <c r="D13535" s="2" t="inlineStr">
        <is>
          <t>005440</t>
        </is>
      </c>
      <c r="E13535" s="3" t="inlineStr">
        <is>
          <t>임원ㆍ주요주주특정증권등소유상황보고서</t>
        </is>
      </c>
      <c r="F13535" s="3" t="inlineStr">
        <is>
          <t>정지선</t>
        </is>
      </c>
      <c r="G13535" s="2" t="inlineStr">
        <is>
          <t>20260630000945</t>
        </is>
      </c>
      <c r="H13535" s="8">
        <f>HYPERLINK("https://dart.fss.or.kr/dsaf001/main.do?rcpNo=20260630000945", "공시열람")</f>
        <v/>
      </c>
    </row>
    <row r="13536">
      <c r="A13536" s="2" t="inlineStr">
        <is>
          <t>2026-06-30</t>
        </is>
      </c>
      <c r="B13536" s="3" t="inlineStr">
        <is>
          <t>원익큐브</t>
        </is>
      </c>
      <c r="C13536" s="2" t="inlineStr">
        <is>
          <t>코스닥</t>
        </is>
      </c>
      <c r="D13536" s="2" t="inlineStr">
        <is>
          <t>014190</t>
        </is>
      </c>
      <c r="E13536" s="3" t="inlineStr">
        <is>
          <t>임원ㆍ주요주주특정증권등소유상황보고서</t>
        </is>
      </c>
      <c r="F13536" s="3" t="inlineStr">
        <is>
          <t>고건호</t>
        </is>
      </c>
      <c r="G13536" s="2" t="inlineStr">
        <is>
          <t>20260630000943</t>
        </is>
      </c>
      <c r="H13536" s="8">
        <f>HYPERLINK("https://dart.fss.or.kr/dsaf001/main.do?rcpNo=20260630000943", "공시열람")</f>
        <v/>
      </c>
    </row>
    <row r="13537">
      <c r="A13537" s="2" t="inlineStr">
        <is>
          <t>2026-06-30</t>
        </is>
      </c>
      <c r="B13537" s="3" t="inlineStr">
        <is>
          <t>HD현대마린솔루션</t>
        </is>
      </c>
      <c r="C13537" s="2" t="inlineStr">
        <is>
          <t>코스피</t>
        </is>
      </c>
      <c r="D13537" s="2" t="inlineStr">
        <is>
          <t>443060</t>
        </is>
      </c>
      <c r="E13537" s="3" t="inlineStr">
        <is>
          <t xml:space="preserve">지속가능경영보고서등관련사항(자율공시)              </t>
        </is>
      </c>
      <c r="F13537" s="3" t="inlineStr">
        <is>
          <t>HD현대마린솔루션</t>
        </is>
      </c>
      <c r="G13537" s="2" t="inlineStr">
        <is>
          <t>20260630801217</t>
        </is>
      </c>
      <c r="H13537" s="8">
        <f>HYPERLINK("https://dart.fss.or.kr/dsaf001/main.do?rcpNo=20260630801217", "공시열람")</f>
        <v/>
      </c>
    </row>
    <row r="13538">
      <c r="A13538" s="2" t="inlineStr">
        <is>
          <t>2026-06-30</t>
        </is>
      </c>
      <c r="B13538" s="3" t="inlineStr">
        <is>
          <t>상상인증권</t>
        </is>
      </c>
      <c r="C13538" s="2" t="inlineStr">
        <is>
          <t>코스피</t>
        </is>
      </c>
      <c r="D13538" s="2" t="inlineStr">
        <is>
          <t>001290</t>
        </is>
      </c>
      <c r="E13538" s="3" t="inlineStr">
        <is>
          <t xml:space="preserve">주주명부폐쇄기간또는기준일설정              </t>
        </is>
      </c>
      <c r="F13538" s="3" t="inlineStr">
        <is>
          <t>상상인증권</t>
        </is>
      </c>
      <c r="G13538" s="2" t="inlineStr">
        <is>
          <t>20260630801196</t>
        </is>
      </c>
      <c r="H13538" s="8">
        <f>HYPERLINK("https://dart.fss.or.kr/dsaf001/main.do?rcpNo=20260630801196", "공시열람")</f>
        <v/>
      </c>
    </row>
    <row r="13539">
      <c r="A13539" s="2" t="inlineStr">
        <is>
          <t>2026-06-30</t>
        </is>
      </c>
      <c r="B13539" s="3" t="inlineStr">
        <is>
          <t>현대지에프홀딩스</t>
        </is>
      </c>
      <c r="C13539" s="2" t="inlineStr">
        <is>
          <t>코스피</t>
        </is>
      </c>
      <c r="D13539" s="2" t="inlineStr">
        <is>
          <t>005440</t>
        </is>
      </c>
      <c r="E13539" s="3" t="inlineStr">
        <is>
          <t>임원ㆍ주요주주특정증권등소유상황보고서</t>
        </is>
      </c>
      <c r="F13539" s="3" t="inlineStr">
        <is>
          <t>정교선</t>
        </is>
      </c>
      <c r="G13539" s="2" t="inlineStr">
        <is>
          <t>20260630000935</t>
        </is>
      </c>
      <c r="H13539" s="8">
        <f>HYPERLINK("https://dart.fss.or.kr/dsaf001/main.do?rcpNo=20260630000935", "공시열람")</f>
        <v/>
      </c>
    </row>
    <row r="13540">
      <c r="A13540" s="2" t="inlineStr">
        <is>
          <t>2026-06-30</t>
        </is>
      </c>
      <c r="B13540" s="3" t="inlineStr">
        <is>
          <t>웰크론한텍</t>
        </is>
      </c>
      <c r="C13540" s="2" t="inlineStr">
        <is>
          <t>코스닥</t>
        </is>
      </c>
      <c r="D13540" s="2" t="inlineStr">
        <is>
          <t>076080</t>
        </is>
      </c>
      <c r="E13540" s="3" t="inlineStr">
        <is>
          <t xml:space="preserve">[기재정정]채무인수결정              </t>
        </is>
      </c>
      <c r="F13540" s="3" t="inlineStr">
        <is>
          <t>웰크론한텍</t>
        </is>
      </c>
      <c r="G13540" s="2" t="inlineStr">
        <is>
          <t>20260630901208</t>
        </is>
      </c>
      <c r="H13540" s="8">
        <f>HYPERLINK("https://dart.fss.or.kr/dsaf001/main.do?rcpNo=20260630901208", "공시열람")</f>
        <v/>
      </c>
    </row>
    <row r="13541">
      <c r="A13541" s="2" t="inlineStr">
        <is>
          <t>2026-06-30</t>
        </is>
      </c>
      <c r="B13541" s="3" t="inlineStr">
        <is>
          <t>현대차증권</t>
        </is>
      </c>
      <c r="C13541" s="2" t="inlineStr">
        <is>
          <t>코스피</t>
        </is>
      </c>
      <c r="D13541" s="2" t="inlineStr">
        <is>
          <t>001500</t>
        </is>
      </c>
      <c r="E13541" s="3" t="inlineStr">
        <is>
          <t>일괄신고추가서류(기타파생결합사채)</t>
        </is>
      </c>
      <c r="F13541" s="3" t="inlineStr">
        <is>
          <t>현대차증권</t>
        </is>
      </c>
      <c r="G13541" s="2" t="inlineStr">
        <is>
          <t>20260630000932</t>
        </is>
      </c>
      <c r="H13541" s="8">
        <f>HYPERLINK("https://dart.fss.or.kr/dsaf001/main.do?rcpNo=20260630000932", "공시열람")</f>
        <v/>
      </c>
    </row>
    <row r="13542">
      <c r="A13542" s="2" t="inlineStr">
        <is>
          <t>2026-06-30</t>
        </is>
      </c>
      <c r="B13542" s="3" t="inlineStr">
        <is>
          <t>현대차증권</t>
        </is>
      </c>
      <c r="C13542" s="2" t="inlineStr">
        <is>
          <t>코스피</t>
        </is>
      </c>
      <c r="D13542" s="2" t="inlineStr">
        <is>
          <t>001500</t>
        </is>
      </c>
      <c r="E13542" s="3" t="inlineStr">
        <is>
          <t>일괄신고추가서류(파생결합사채-주가연계파생결합사채)</t>
        </is>
      </c>
      <c r="F13542" s="3" t="inlineStr">
        <is>
          <t>현대차증권</t>
        </is>
      </c>
      <c r="G13542" s="2" t="inlineStr">
        <is>
          <t>20260630000925</t>
        </is>
      </c>
      <c r="H13542" s="8">
        <f>HYPERLINK("https://dart.fss.or.kr/dsaf001/main.do?rcpNo=20260630000925", "공시열람")</f>
        <v/>
      </c>
    </row>
    <row r="13543">
      <c r="A13543" s="2" t="inlineStr">
        <is>
          <t>2026-06-30</t>
        </is>
      </c>
      <c r="B13543" s="3" t="inlineStr">
        <is>
          <t>파라다이스</t>
        </is>
      </c>
      <c r="C13543" s="2" t="inlineStr">
        <is>
          <t>코스피</t>
        </is>
      </c>
      <c r="D13543" s="2" t="inlineStr">
        <is>
          <t>034230</t>
        </is>
      </c>
      <c r="E13543" s="3" t="inlineStr">
        <is>
          <t xml:space="preserve">불성실공시법인지정              </t>
        </is>
      </c>
      <c r="F13543" s="3" t="inlineStr">
        <is>
          <t>유가증권시장본부</t>
        </is>
      </c>
      <c r="G13543" s="2" t="inlineStr">
        <is>
          <t>20260630801187</t>
        </is>
      </c>
      <c r="H13543" s="8">
        <f>HYPERLINK("https://dart.fss.or.kr/dsaf001/main.do?rcpNo=20260630801187", "공시열람")</f>
        <v/>
      </c>
    </row>
    <row r="13544">
      <c r="A13544" s="2" t="inlineStr">
        <is>
          <t>2026-06-30</t>
        </is>
      </c>
      <c r="B13544" s="3" t="inlineStr">
        <is>
          <t>동원산업</t>
        </is>
      </c>
      <c r="C13544" s="2" t="inlineStr">
        <is>
          <t>코스피</t>
        </is>
      </c>
      <c r="D13544" s="2" t="inlineStr">
        <is>
          <t>006040</t>
        </is>
      </c>
      <c r="E13544" s="3" t="inlineStr">
        <is>
          <t>불성실공시법인미지정              (지정유예)</t>
        </is>
      </c>
      <c r="F13544" s="3" t="inlineStr">
        <is>
          <t>유가증권시장본부</t>
        </is>
      </c>
      <c r="G13544" s="2" t="inlineStr">
        <is>
          <t>20260630801181</t>
        </is>
      </c>
      <c r="H13544" s="8">
        <f>HYPERLINK("https://dart.fss.or.kr/dsaf001/main.do?rcpNo=20260630801181", "공시열람")</f>
        <v/>
      </c>
    </row>
    <row r="13545">
      <c r="A13545" s="2" t="inlineStr">
        <is>
          <t>2026-06-30</t>
        </is>
      </c>
      <c r="B13545" s="3" t="inlineStr">
        <is>
          <t>HD현대에너지솔루션</t>
        </is>
      </c>
      <c r="C13545" s="2" t="inlineStr">
        <is>
          <t>코스피</t>
        </is>
      </c>
      <c r="D13545" s="2" t="inlineStr">
        <is>
          <t>322000</t>
        </is>
      </c>
      <c r="E13545" s="3" t="inlineStr">
        <is>
          <t xml:space="preserve">지속가능경영보고서등관련사항(자율공시)              </t>
        </is>
      </c>
      <c r="F13545" s="3" t="inlineStr">
        <is>
          <t>HD현대에너지솔루션</t>
        </is>
      </c>
      <c r="G13545" s="2" t="inlineStr">
        <is>
          <t>20260630801178</t>
        </is>
      </c>
      <c r="H13545" s="8">
        <f>HYPERLINK("https://dart.fss.or.kr/dsaf001/main.do?rcpNo=20260630801178", "공시열람")</f>
        <v/>
      </c>
    </row>
    <row r="13546">
      <c r="A13546" s="2" t="inlineStr">
        <is>
          <t>2026-06-30</t>
        </is>
      </c>
      <c r="B13546" s="3" t="inlineStr">
        <is>
          <t>인바이오</t>
        </is>
      </c>
      <c r="C13546" s="2" t="inlineStr">
        <is>
          <t>코스닥</t>
        </is>
      </c>
      <c r="D13546" s="2" t="inlineStr">
        <is>
          <t>352940</t>
        </is>
      </c>
      <c r="E13546" s="3" t="inlineStr">
        <is>
          <t>임원ㆍ주요주주특정증권등소유상황보고서</t>
        </is>
      </c>
      <c r="F13546" s="3" t="inlineStr">
        <is>
          <t>조인선</t>
        </is>
      </c>
      <c r="G13546" s="2" t="inlineStr">
        <is>
          <t>20260630000910</t>
        </is>
      </c>
      <c r="H13546" s="8">
        <f>HYPERLINK("https://dart.fss.or.kr/dsaf001/main.do?rcpNo=20260630000910", "공시열람")</f>
        <v/>
      </c>
    </row>
    <row r="13547">
      <c r="A13547" s="2" t="inlineStr">
        <is>
          <t>2026-06-30</t>
        </is>
      </c>
      <c r="B13547" s="3" t="inlineStr">
        <is>
          <t>티앤알바이오팹</t>
        </is>
      </c>
      <c r="C13547" s="2" t="inlineStr">
        <is>
          <t>코스닥</t>
        </is>
      </c>
      <c r="D13547" s="2" t="inlineStr">
        <is>
          <t>246710</t>
        </is>
      </c>
      <c r="E13547" s="3" t="inlineStr">
        <is>
          <t>임원ㆍ주요주주특정증권등소유상황보고서</t>
        </is>
      </c>
      <c r="F13547" s="3" t="inlineStr">
        <is>
          <t>김현정</t>
        </is>
      </c>
      <c r="G13547" s="2" t="inlineStr">
        <is>
          <t>20260630000909</t>
        </is>
      </c>
      <c r="H13547" s="8">
        <f>HYPERLINK("https://dart.fss.or.kr/dsaf001/main.do?rcpNo=20260630000909", "공시열람")</f>
        <v/>
      </c>
    </row>
    <row r="13548">
      <c r="A13548" s="2" t="inlineStr">
        <is>
          <t>2026-06-30</t>
        </is>
      </c>
      <c r="B13548" s="3" t="inlineStr">
        <is>
          <t>태광산업</t>
        </is>
      </c>
      <c r="C13548" s="2" t="inlineStr">
        <is>
          <t>코스피</t>
        </is>
      </c>
      <c r="D13548" s="2" t="inlineStr">
        <is>
          <t>003240</t>
        </is>
      </c>
      <c r="E13548" s="3" t="inlineStr">
        <is>
          <t xml:space="preserve">기업설명회(IR)개최(안내공시)              </t>
        </is>
      </c>
      <c r="F13548" s="3" t="inlineStr">
        <is>
          <t>태광산업</t>
        </is>
      </c>
      <c r="G13548" s="2" t="inlineStr">
        <is>
          <t>20260630801077</t>
        </is>
      </c>
      <c r="H13548" s="8">
        <f>HYPERLINK("https://dart.fss.or.kr/dsaf001/main.do?rcpNo=20260630801077", "공시열람")</f>
        <v/>
      </c>
    </row>
    <row r="13549">
      <c r="A13549" s="2" t="inlineStr">
        <is>
          <t>2026-06-30</t>
        </is>
      </c>
      <c r="B13549" s="3" t="inlineStr">
        <is>
          <t>해성에어로보틱스</t>
        </is>
      </c>
      <c r="C13549" s="2" t="inlineStr">
        <is>
          <t>코스닥</t>
        </is>
      </c>
      <c r="D13549" s="2" t="inlineStr">
        <is>
          <t>059270</t>
        </is>
      </c>
      <c r="E13549" s="3" t="inlineStr">
        <is>
          <t>주요사항보고서(소송등의제기)</t>
        </is>
      </c>
      <c r="F13549" s="3" t="inlineStr">
        <is>
          <t>해성에어로보틱스</t>
        </is>
      </c>
      <c r="G13549" s="2" t="inlineStr">
        <is>
          <t>20260630000878</t>
        </is>
      </c>
      <c r="H13549" s="8">
        <f>HYPERLINK("https://dart.fss.or.kr/dsaf001/main.do?rcpNo=20260630000878", "공시열람")</f>
        <v/>
      </c>
    </row>
    <row r="13550">
      <c r="A13550" s="2" t="inlineStr">
        <is>
          <t>2026-06-30</t>
        </is>
      </c>
      <c r="B13550" s="3" t="inlineStr">
        <is>
          <t>SK스퀘어</t>
        </is>
      </c>
      <c r="C13550" s="2" t="inlineStr">
        <is>
          <t>코스피</t>
        </is>
      </c>
      <c r="D13550" s="2" t="inlineStr">
        <is>
          <t>402340</t>
        </is>
      </c>
      <c r="E13550" s="3" t="inlineStr">
        <is>
          <t>자기주식취득결과보고서</t>
        </is>
      </c>
      <c r="F13550" s="3" t="inlineStr">
        <is>
          <t>SK스퀘어</t>
        </is>
      </c>
      <c r="G13550" s="2" t="inlineStr">
        <is>
          <t>20260630000897</t>
        </is>
      </c>
      <c r="H13550" s="8">
        <f>HYPERLINK("https://dart.fss.or.kr/dsaf001/main.do?rcpNo=20260630000897", "공시열람")</f>
        <v/>
      </c>
    </row>
    <row r="13551">
      <c r="A13551" s="2" t="inlineStr">
        <is>
          <t>2026-06-30</t>
        </is>
      </c>
      <c r="B13551" s="3" t="inlineStr">
        <is>
          <t>두산밥캣</t>
        </is>
      </c>
      <c r="C13551" s="2" t="inlineStr">
        <is>
          <t>코스피</t>
        </is>
      </c>
      <c r="D13551" s="2" t="inlineStr">
        <is>
          <t>241560</t>
        </is>
      </c>
      <c r="E13551" s="3" t="inlineStr">
        <is>
          <t xml:space="preserve">지속가능경영보고서등관련사항(자율공시)              </t>
        </is>
      </c>
      <c r="F13551" s="3" t="inlineStr">
        <is>
          <t>두산밥캣</t>
        </is>
      </c>
      <c r="G13551" s="2" t="inlineStr">
        <is>
          <t>20260630801168</t>
        </is>
      </c>
      <c r="H13551" s="8">
        <f>HYPERLINK("https://dart.fss.or.kr/dsaf001/main.do?rcpNo=20260630801168", "공시열람")</f>
        <v/>
      </c>
    </row>
    <row r="13552">
      <c r="A13552" s="2" t="inlineStr">
        <is>
          <t>2026-06-30</t>
        </is>
      </c>
      <c r="B13552" s="3" t="inlineStr">
        <is>
          <t>콘텐트리중앙</t>
        </is>
      </c>
      <c r="C13552" s="2" t="inlineStr">
        <is>
          <t>코스피</t>
        </is>
      </c>
      <c r="D13552" s="2" t="inlineStr">
        <is>
          <t>036420</t>
        </is>
      </c>
      <c r="E13552" s="3" t="inlineStr">
        <is>
          <t xml:space="preserve">[기재정정]자기전환사채만기전취득결정              </t>
        </is>
      </c>
      <c r="F13552" s="3" t="inlineStr">
        <is>
          <t>콘텐트리중앙</t>
        </is>
      </c>
      <c r="G13552" s="2" t="inlineStr">
        <is>
          <t>20260630801106</t>
        </is>
      </c>
      <c r="H13552" s="8">
        <f>HYPERLINK("https://dart.fss.or.kr/dsaf001/main.do?rcpNo=20260630801106", "공시열람")</f>
        <v/>
      </c>
    </row>
    <row r="13553">
      <c r="A13553" s="2" t="inlineStr">
        <is>
          <t>2026-06-30</t>
        </is>
      </c>
      <c r="B13553" s="3" t="inlineStr">
        <is>
          <t>한일홀딩스</t>
        </is>
      </c>
      <c r="C13553" s="2" t="inlineStr">
        <is>
          <t>코스피</t>
        </is>
      </c>
      <c r="D13553" s="2" t="inlineStr">
        <is>
          <t>003300</t>
        </is>
      </c>
      <c r="E13553" s="3" t="inlineStr">
        <is>
          <t xml:space="preserve">지속가능경영보고서등관련사항(자율공시)              </t>
        </is>
      </c>
      <c r="F13553" s="3" t="inlineStr">
        <is>
          <t>한일홀딩스</t>
        </is>
      </c>
      <c r="G13553" s="2" t="inlineStr">
        <is>
          <t>20260630801164</t>
        </is>
      </c>
      <c r="H13553" s="8">
        <f>HYPERLINK("https://dart.fss.or.kr/dsaf001/main.do?rcpNo=20260630801164", "공시열람")</f>
        <v/>
      </c>
    </row>
    <row r="13554">
      <c r="A13554" s="2" t="inlineStr">
        <is>
          <t>2026-06-30</t>
        </is>
      </c>
      <c r="B13554" s="3" t="inlineStr">
        <is>
          <t>현대홈쇼핑</t>
        </is>
      </c>
      <c r="C13554" s="2" t="inlineStr">
        <is>
          <t>코스피</t>
        </is>
      </c>
      <c r="D13554" s="2" t="inlineStr">
        <is>
          <t>057050</t>
        </is>
      </c>
      <c r="E13554" s="3" t="inlineStr">
        <is>
          <t>임원ㆍ주요주주특정증권등소유상황보고서</t>
        </is>
      </c>
      <c r="F13554" s="3" t="inlineStr">
        <is>
          <t>현대지에프홀딩스</t>
        </is>
      </c>
      <c r="G13554" s="2" t="inlineStr">
        <is>
          <t>20260630000892</t>
        </is>
      </c>
      <c r="H13554" s="8">
        <f>HYPERLINK("https://dart.fss.or.kr/dsaf001/main.do?rcpNo=20260630000892", "공시열람")</f>
        <v/>
      </c>
    </row>
    <row r="13555">
      <c r="A13555" s="2" t="inlineStr">
        <is>
          <t>2026-06-30</t>
        </is>
      </c>
      <c r="B13555" s="3" t="inlineStr">
        <is>
          <t>원익큐브</t>
        </is>
      </c>
      <c r="C13555" s="2" t="inlineStr">
        <is>
          <t>코스닥</t>
        </is>
      </c>
      <c r="D13555" s="2" t="inlineStr">
        <is>
          <t>014190</t>
        </is>
      </c>
      <c r="E13555" s="3" t="inlineStr">
        <is>
          <t>임원ㆍ주요주주특정증권등소유상황보고서</t>
        </is>
      </c>
      <c r="F13555" s="3" t="inlineStr">
        <is>
          <t>김응선</t>
        </is>
      </c>
      <c r="G13555" s="2" t="inlineStr">
        <is>
          <t>20260630000891</t>
        </is>
      </c>
      <c r="H13555" s="8">
        <f>HYPERLINK("https://dart.fss.or.kr/dsaf001/main.do?rcpNo=20260630000891", "공시열람")</f>
        <v/>
      </c>
    </row>
    <row r="13556">
      <c r="A13556" s="2" t="inlineStr">
        <is>
          <t>2026-06-30</t>
        </is>
      </c>
      <c r="B13556" s="3" t="inlineStr">
        <is>
          <t>텔콘RF제약</t>
        </is>
      </c>
      <c r="C13556" s="2" t="inlineStr">
        <is>
          <t>코스닥</t>
        </is>
      </c>
      <c r="D13556" s="2" t="inlineStr">
        <is>
          <t>200230</t>
        </is>
      </c>
      <c r="E13556" s="3" t="inlineStr">
        <is>
          <t>임원ㆍ주요주주특정증권등소유상황보고서</t>
        </is>
      </c>
      <c r="F13556" s="3" t="inlineStr">
        <is>
          <t>뉴온</t>
        </is>
      </c>
      <c r="G13556" s="2" t="inlineStr">
        <is>
          <t>20260630000887</t>
        </is>
      </c>
      <c r="H13556" s="8">
        <f>HYPERLINK("https://dart.fss.or.kr/dsaf001/main.do?rcpNo=20260630000887", "공시열람")</f>
        <v/>
      </c>
    </row>
    <row r="13557">
      <c r="A13557" s="2" t="inlineStr">
        <is>
          <t>2026-06-30</t>
        </is>
      </c>
      <c r="B13557" s="3" t="inlineStr">
        <is>
          <t>한일시멘트</t>
        </is>
      </c>
      <c r="C13557" s="2" t="inlineStr">
        <is>
          <t>코스피</t>
        </is>
      </c>
      <c r="D13557" s="2" t="inlineStr">
        <is>
          <t>300720</t>
        </is>
      </c>
      <c r="E13557" s="3" t="inlineStr">
        <is>
          <t xml:space="preserve">지속가능경영보고서등관련사항(자율공시)              </t>
        </is>
      </c>
      <c r="F13557" s="3" t="inlineStr">
        <is>
          <t>한일시멘트</t>
        </is>
      </c>
      <c r="G13557" s="2" t="inlineStr">
        <is>
          <t>20260630801148</t>
        </is>
      </c>
      <c r="H13557" s="8">
        <f>HYPERLINK("https://dart.fss.or.kr/dsaf001/main.do?rcpNo=20260630801148", "공시열람")</f>
        <v/>
      </c>
    </row>
    <row r="13558">
      <c r="A13558" s="2" t="inlineStr">
        <is>
          <t>2026-06-30</t>
        </is>
      </c>
      <c r="B13558" s="3" t="inlineStr">
        <is>
          <t>대신증권</t>
        </is>
      </c>
      <c r="C13558" s="2" t="inlineStr">
        <is>
          <t>코스피</t>
        </is>
      </c>
      <c r="D13558" s="2" t="inlineStr">
        <is>
          <t>003540</t>
        </is>
      </c>
      <c r="E13558" s="3" t="inlineStr">
        <is>
          <t>증권발행실적보고서</t>
        </is>
      </c>
      <c r="F13558" s="3" t="inlineStr">
        <is>
          <t>대신증권</t>
        </is>
      </c>
      <c r="G13558" s="2" t="inlineStr">
        <is>
          <t>20260630000883</t>
        </is>
      </c>
      <c r="H13558" s="8">
        <f>HYPERLINK("https://dart.fss.or.kr/dsaf001/main.do?rcpNo=20260630000883", "공시열람")</f>
        <v/>
      </c>
    </row>
    <row r="13559">
      <c r="A13559" s="2" t="inlineStr">
        <is>
          <t>2026-06-30</t>
        </is>
      </c>
      <c r="B13559" s="3" t="inlineStr">
        <is>
          <t>현대홈쇼핑</t>
        </is>
      </c>
      <c r="C13559" s="2" t="inlineStr">
        <is>
          <t>코스피</t>
        </is>
      </c>
      <c r="D13559" s="2" t="inlineStr">
        <is>
          <t>057050</t>
        </is>
      </c>
      <c r="E13559" s="3" t="inlineStr">
        <is>
          <t>합병등종료보고서(주식의포괄적교환ㆍ이전)</t>
        </is>
      </c>
      <c r="F13559" s="3" t="inlineStr">
        <is>
          <t>현대홈쇼핑</t>
        </is>
      </c>
      <c r="G13559" s="2" t="inlineStr">
        <is>
          <t>20260630000880</t>
        </is>
      </c>
      <c r="H13559" s="8">
        <f>HYPERLINK("https://dart.fss.or.kr/dsaf001/main.do?rcpNo=20260630000880", "공시열람")</f>
        <v/>
      </c>
    </row>
    <row r="13560">
      <c r="A13560" s="2" t="inlineStr">
        <is>
          <t>2026-06-30</t>
        </is>
      </c>
      <c r="B13560" s="3" t="inlineStr">
        <is>
          <t>사토시홀딩스</t>
        </is>
      </c>
      <c r="C13560" s="2" t="inlineStr">
        <is>
          <t>코스닥</t>
        </is>
      </c>
      <c r="D13560" s="2" t="inlineStr">
        <is>
          <t>223310</t>
        </is>
      </c>
      <c r="E13560" s="3" t="inlineStr">
        <is>
          <t>증권발행결과(자율공시)              (제13회차 CB)</t>
        </is>
      </c>
      <c r="F13560" s="3" t="inlineStr">
        <is>
          <t>사토시홀딩스</t>
        </is>
      </c>
      <c r="G13560" s="2" t="inlineStr">
        <is>
          <t>20260630901059</t>
        </is>
      </c>
      <c r="H13560" s="8">
        <f>HYPERLINK("https://dart.fss.or.kr/dsaf001/main.do?rcpNo=20260630901059", "공시열람")</f>
        <v/>
      </c>
    </row>
    <row r="13561">
      <c r="A13561" s="2" t="inlineStr">
        <is>
          <t>2026-06-30</t>
        </is>
      </c>
      <c r="B13561" s="3" t="inlineStr">
        <is>
          <t>알비더블유</t>
        </is>
      </c>
      <c r="C13561" s="2" t="inlineStr">
        <is>
          <t>코스닥</t>
        </is>
      </c>
      <c r="D13561" s="2" t="inlineStr">
        <is>
          <t>361570</t>
        </is>
      </c>
      <c r="E13561" s="3" t="inlineStr">
        <is>
          <t xml:space="preserve">주주명부폐쇄기간또는기준일설정              </t>
        </is>
      </c>
      <c r="F13561" s="3" t="inlineStr">
        <is>
          <t>알비더블유</t>
        </is>
      </c>
      <c r="G13561" s="2" t="inlineStr">
        <is>
          <t>20260630901045</t>
        </is>
      </c>
      <c r="H13561" s="8">
        <f>HYPERLINK("https://dart.fss.or.kr/dsaf001/main.do?rcpNo=20260630901045", "공시열람")</f>
        <v/>
      </c>
    </row>
    <row r="13562">
      <c r="A13562" s="2" t="inlineStr">
        <is>
          <t>2026-06-30</t>
        </is>
      </c>
      <c r="B13562" s="3" t="inlineStr">
        <is>
          <t>시프트업</t>
        </is>
      </c>
      <c r="C13562" s="2" t="inlineStr">
        <is>
          <t>코스피</t>
        </is>
      </c>
      <c r="D13562" s="2" t="inlineStr">
        <is>
          <t>462870</t>
        </is>
      </c>
      <c r="E13562" s="3" t="inlineStr">
        <is>
          <t>임원ㆍ주요주주특정증권등소유상황보고서</t>
        </is>
      </c>
      <c r="F13562" s="3" t="inlineStr">
        <is>
          <t>박주민</t>
        </is>
      </c>
      <c r="G13562" s="2" t="inlineStr">
        <is>
          <t>20260630000876</t>
        </is>
      </c>
      <c r="H13562" s="8">
        <f>HYPERLINK("https://dart.fss.or.kr/dsaf001/main.do?rcpNo=20260630000876", "공시열람")</f>
        <v/>
      </c>
    </row>
    <row r="13563">
      <c r="A13563" s="2" t="inlineStr">
        <is>
          <t>2026-06-30</t>
        </is>
      </c>
      <c r="B13563" s="3" t="inlineStr">
        <is>
          <t>대신증권</t>
        </is>
      </c>
      <c r="C13563" s="2" t="inlineStr">
        <is>
          <t>코스피</t>
        </is>
      </c>
      <c r="D13563" s="2" t="inlineStr">
        <is>
          <t>003540</t>
        </is>
      </c>
      <c r="E13563" s="3" t="inlineStr">
        <is>
          <t>증권발행실적보고서</t>
        </is>
      </c>
      <c r="F13563" s="3" t="inlineStr">
        <is>
          <t>대신증권</t>
        </is>
      </c>
      <c r="G13563" s="2" t="inlineStr">
        <is>
          <t>20260630000875</t>
        </is>
      </c>
      <c r="H13563" s="8">
        <f>HYPERLINK("https://dart.fss.or.kr/dsaf001/main.do?rcpNo=20260630000875", "공시열람")</f>
        <v/>
      </c>
    </row>
    <row r="13564">
      <c r="A13564" s="2" t="inlineStr">
        <is>
          <t>2026-06-30</t>
        </is>
      </c>
      <c r="B13564" s="3" t="inlineStr">
        <is>
          <t>하이딥</t>
        </is>
      </c>
      <c r="C13564" s="2" t="inlineStr">
        <is>
          <t>코스닥</t>
        </is>
      </c>
      <c r="D13564" s="2" t="inlineStr">
        <is>
          <t>365590</t>
        </is>
      </c>
      <c r="E13564" s="3" t="inlineStr">
        <is>
          <t xml:space="preserve">주주명부폐쇄기간또는기준일설정              </t>
        </is>
      </c>
      <c r="F13564" s="3" t="inlineStr">
        <is>
          <t>하이딥</t>
        </is>
      </c>
      <c r="G13564" s="2" t="inlineStr">
        <is>
          <t>20260630901103</t>
        </is>
      </c>
      <c r="H13564" s="8">
        <f>HYPERLINK("https://dart.fss.or.kr/dsaf001/main.do?rcpNo=20260630901103", "공시열람")</f>
        <v/>
      </c>
    </row>
    <row r="13565">
      <c r="A13565" s="2" t="inlineStr">
        <is>
          <t>2026-06-30</t>
        </is>
      </c>
      <c r="B13565" s="3" t="inlineStr">
        <is>
          <t>코오롱</t>
        </is>
      </c>
      <c r="C13565" s="2" t="inlineStr">
        <is>
          <t>코스피</t>
        </is>
      </c>
      <c r="D13565" s="2" t="inlineStr">
        <is>
          <t>002020</t>
        </is>
      </c>
      <c r="E13565" s="3" t="inlineStr">
        <is>
          <t xml:space="preserve">주요사항보고서(자기주식처분결정)(자회사의 주요경영사항)              </t>
        </is>
      </c>
      <c r="F13565" s="3" t="inlineStr">
        <is>
          <t>코오롱</t>
        </is>
      </c>
      <c r="G13565" s="2" t="inlineStr">
        <is>
          <t>20260630801038</t>
        </is>
      </c>
      <c r="H13565" s="8">
        <f>HYPERLINK("https://dart.fss.or.kr/dsaf001/main.do?rcpNo=20260630801038", "공시열람")</f>
        <v/>
      </c>
    </row>
    <row r="13566">
      <c r="A13566" s="2" t="inlineStr">
        <is>
          <t>2026-06-30</t>
        </is>
      </c>
      <c r="B13566" s="3" t="inlineStr">
        <is>
          <t>SK이노베이션</t>
        </is>
      </c>
      <c r="C13566" s="2" t="inlineStr">
        <is>
          <t>코스피</t>
        </is>
      </c>
      <c r="D13566" s="2" t="inlineStr">
        <is>
          <t>096770</t>
        </is>
      </c>
      <c r="E13566" s="3" t="inlineStr">
        <is>
          <t>특수관계인으로부터부동산임차</t>
        </is>
      </c>
      <c r="F13566" s="3" t="inlineStr">
        <is>
          <t>SK이노베이션</t>
        </is>
      </c>
      <c r="G13566" s="2" t="inlineStr">
        <is>
          <t>20260630000868</t>
        </is>
      </c>
      <c r="H13566" s="8">
        <f>HYPERLINK("https://dart.fss.or.kr/dsaf001/main.do?rcpNo=20260630000868", "공시열람")</f>
        <v/>
      </c>
    </row>
    <row r="13567">
      <c r="A13567" s="2" t="inlineStr">
        <is>
          <t>2026-06-30</t>
        </is>
      </c>
      <c r="B13567" s="3" t="inlineStr">
        <is>
          <t>삼목에스폼</t>
        </is>
      </c>
      <c r="C13567" s="2" t="inlineStr">
        <is>
          <t>코스닥</t>
        </is>
      </c>
      <c r="D13567" s="2" t="inlineStr">
        <is>
          <t>018310</t>
        </is>
      </c>
      <c r="E13567" s="3" t="inlineStr">
        <is>
          <t>임원ㆍ주요주주특정증권등소유상황보고서</t>
        </is>
      </c>
      <c r="F13567" s="3" t="inlineStr">
        <is>
          <t>박규혁</t>
        </is>
      </c>
      <c r="G13567" s="2" t="inlineStr">
        <is>
          <t>20260630000866</t>
        </is>
      </c>
      <c r="H13567" s="8">
        <f>HYPERLINK("https://dart.fss.or.kr/dsaf001/main.do?rcpNo=20260630000866", "공시열람")</f>
        <v/>
      </c>
    </row>
    <row r="13568">
      <c r="A13568" s="2" t="inlineStr">
        <is>
          <t>2026-06-30</t>
        </is>
      </c>
      <c r="B13568" s="3" t="inlineStr">
        <is>
          <t>대신증권</t>
        </is>
      </c>
      <c r="C13568" s="2" t="inlineStr">
        <is>
          <t>코스피</t>
        </is>
      </c>
      <c r="D13568" s="2" t="inlineStr">
        <is>
          <t>003540</t>
        </is>
      </c>
      <c r="E13568" s="3" t="inlineStr">
        <is>
          <t>투자설명서(일괄신고)</t>
        </is>
      </c>
      <c r="F13568" s="3" t="inlineStr">
        <is>
          <t>대신증권</t>
        </is>
      </c>
      <c r="G13568" s="2" t="inlineStr">
        <is>
          <t>20260630000864</t>
        </is>
      </c>
      <c r="H13568" s="8">
        <f>HYPERLINK("https://dart.fss.or.kr/dsaf001/main.do?rcpNo=20260630000864", "공시열람")</f>
        <v/>
      </c>
    </row>
    <row r="13569">
      <c r="A13569" s="2" t="inlineStr">
        <is>
          <t>2026-06-30</t>
        </is>
      </c>
      <c r="B13569" s="3" t="inlineStr">
        <is>
          <t>체시스</t>
        </is>
      </c>
      <c r="C13569" s="2" t="inlineStr">
        <is>
          <t>코스피</t>
        </is>
      </c>
      <c r="D13569" s="2" t="inlineStr">
        <is>
          <t>033250</t>
        </is>
      </c>
      <c r="E13569" s="3" t="inlineStr">
        <is>
          <t>임원ㆍ주요주주특정증권등소유상황보고서</t>
        </is>
      </c>
      <c r="F13569" s="3" t="inlineStr">
        <is>
          <t>엠에스에이치씨</t>
        </is>
      </c>
      <c r="G13569" s="2" t="inlineStr">
        <is>
          <t>20260630000863</t>
        </is>
      </c>
      <c r="H13569" s="8">
        <f>HYPERLINK("https://dart.fss.or.kr/dsaf001/main.do?rcpNo=20260630000863", "공시열람")</f>
        <v/>
      </c>
    </row>
    <row r="13570">
      <c r="A13570" s="2" t="inlineStr">
        <is>
          <t>2026-06-30</t>
        </is>
      </c>
      <c r="B13570" s="3" t="inlineStr">
        <is>
          <t>코오롱글로벌</t>
        </is>
      </c>
      <c r="C13570" s="2" t="inlineStr">
        <is>
          <t>코스피</t>
        </is>
      </c>
      <c r="D13570" s="2" t="inlineStr">
        <is>
          <t>003070</t>
        </is>
      </c>
      <c r="E13570" s="3" t="inlineStr">
        <is>
          <t xml:space="preserve">지속가능경영보고서등관련사항(자율공시)              </t>
        </is>
      </c>
      <c r="F13570" s="3" t="inlineStr">
        <is>
          <t>코오롱글로벌</t>
        </is>
      </c>
      <c r="G13570" s="2" t="inlineStr">
        <is>
          <t>20260630801090</t>
        </is>
      </c>
      <c r="H13570" s="8">
        <f>HYPERLINK("https://dart.fss.or.kr/dsaf001/main.do?rcpNo=20260630801090", "공시열람")</f>
        <v/>
      </c>
    </row>
    <row r="13571">
      <c r="A13571" s="2" t="inlineStr">
        <is>
          <t>2026-06-30</t>
        </is>
      </c>
      <c r="B13571" s="3" t="inlineStr">
        <is>
          <t>모아데이타</t>
        </is>
      </c>
      <c r="C13571" s="2" t="inlineStr">
        <is>
          <t>코스닥</t>
        </is>
      </c>
      <c r="D13571" s="2" t="inlineStr">
        <is>
          <t>288980</t>
        </is>
      </c>
      <c r="E13571" s="3" t="inlineStr">
        <is>
          <t xml:space="preserve">전환가액의조정              </t>
        </is>
      </c>
      <c r="F13571" s="3" t="inlineStr">
        <is>
          <t>모아데이타</t>
        </is>
      </c>
      <c r="G13571" s="2" t="inlineStr">
        <is>
          <t>20260630901096</t>
        </is>
      </c>
      <c r="H13571" s="8">
        <f>HYPERLINK("https://dart.fss.or.kr/dsaf001/main.do?rcpNo=20260630901096", "공시열람")</f>
        <v/>
      </c>
    </row>
    <row r="13572">
      <c r="A13572" s="2" t="inlineStr">
        <is>
          <t>2026-06-30</t>
        </is>
      </c>
      <c r="B13572" s="3" t="inlineStr">
        <is>
          <t>태광산업</t>
        </is>
      </c>
      <c r="C13572" s="2" t="inlineStr">
        <is>
          <t>코스피</t>
        </is>
      </c>
      <c r="D13572" s="2" t="inlineStr">
        <is>
          <t>003240</t>
        </is>
      </c>
      <c r="E13572" s="3" t="inlineStr">
        <is>
          <t>특수관계인에대한자금대여</t>
        </is>
      </c>
      <c r="F13572" s="3" t="inlineStr">
        <is>
          <t>태광산업</t>
        </is>
      </c>
      <c r="G13572" s="2" t="inlineStr">
        <is>
          <t>20260630000860</t>
        </is>
      </c>
      <c r="H13572" s="8">
        <f>HYPERLINK("https://dart.fss.or.kr/dsaf001/main.do?rcpNo=20260630000860", "공시열람")</f>
        <v/>
      </c>
    </row>
    <row r="13573">
      <c r="A13573" s="2" t="inlineStr">
        <is>
          <t>2026-06-30</t>
        </is>
      </c>
      <c r="B13573" s="3" t="inlineStr">
        <is>
          <t>화승코퍼레이션</t>
        </is>
      </c>
      <c r="C13573" s="2" t="inlineStr">
        <is>
          <t>코스피</t>
        </is>
      </c>
      <c r="D13573" s="2" t="inlineStr">
        <is>
          <t>013520</t>
        </is>
      </c>
      <c r="E13573" s="3" t="inlineStr">
        <is>
          <t xml:space="preserve">지속가능경영보고서등관련사항(자율공시)              </t>
        </is>
      </c>
      <c r="F13573" s="3" t="inlineStr">
        <is>
          <t>화승코퍼레이션</t>
        </is>
      </c>
      <c r="G13573" s="2" t="inlineStr">
        <is>
          <t>20260630801089</t>
        </is>
      </c>
      <c r="H13573" s="8">
        <f>HYPERLINK("https://dart.fss.or.kr/dsaf001/main.do?rcpNo=20260630801089", "공시열람")</f>
        <v/>
      </c>
    </row>
    <row r="13574">
      <c r="A13574" s="2" t="inlineStr">
        <is>
          <t>2026-06-30</t>
        </is>
      </c>
      <c r="B13574" s="3" t="inlineStr">
        <is>
          <t>현대지에프홀딩스</t>
        </is>
      </c>
      <c r="C13574" s="2" t="inlineStr">
        <is>
          <t>코스피</t>
        </is>
      </c>
      <c r="D13574" s="2" t="inlineStr">
        <is>
          <t>005440</t>
        </is>
      </c>
      <c r="E13574" s="3" t="inlineStr">
        <is>
          <t>증권발행실적보고서(합병등)</t>
        </is>
      </c>
      <c r="F13574" s="3" t="inlineStr">
        <is>
          <t>현대지에프홀딩스</t>
        </is>
      </c>
      <c r="G13574" s="2" t="inlineStr">
        <is>
          <t>20260630000857</t>
        </is>
      </c>
      <c r="H13574" s="8">
        <f>HYPERLINK("https://dart.fss.or.kr/dsaf001/main.do?rcpNo=20260630000857", "공시열람")</f>
        <v/>
      </c>
    </row>
    <row r="13575">
      <c r="A13575" s="2" t="inlineStr">
        <is>
          <t>2026-06-30</t>
        </is>
      </c>
      <c r="B13575" s="3" t="inlineStr">
        <is>
          <t>화승알앤에이</t>
        </is>
      </c>
      <c r="C13575" s="2" t="inlineStr">
        <is>
          <t>코스피</t>
        </is>
      </c>
      <c r="D13575" s="2" t="inlineStr">
        <is>
          <t>378850</t>
        </is>
      </c>
      <c r="E13575" s="3" t="inlineStr">
        <is>
          <t xml:space="preserve">지속가능경영보고서등관련사항(자율공시)              </t>
        </is>
      </c>
      <c r="F13575" s="3" t="inlineStr">
        <is>
          <t>화승알앤에이</t>
        </is>
      </c>
      <c r="G13575" s="2" t="inlineStr">
        <is>
          <t>20260630801085</t>
        </is>
      </c>
      <c r="H13575" s="8">
        <f>HYPERLINK("https://dart.fss.or.kr/dsaf001/main.do?rcpNo=20260630801085", "공시열람")</f>
        <v/>
      </c>
    </row>
    <row r="13576">
      <c r="A13576" s="2" t="inlineStr">
        <is>
          <t>2026-06-30</t>
        </is>
      </c>
      <c r="B13576" s="3" t="inlineStr">
        <is>
          <t>인바이오젠</t>
        </is>
      </c>
      <c r="C13576" s="2" t="inlineStr">
        <is>
          <t>코스피</t>
        </is>
      </c>
      <c r="D13576" s="2" t="inlineStr">
        <is>
          <t>101140</t>
        </is>
      </c>
      <c r="E13576" s="3" t="inlineStr">
        <is>
          <t>사외이사의선임ㆍ해임또는중도퇴임에관한신고</t>
        </is>
      </c>
      <c r="F13576" s="3" t="inlineStr">
        <is>
          <t>인바이오젠</t>
        </is>
      </c>
      <c r="G13576" s="2" t="inlineStr">
        <is>
          <t>20260630000855</t>
        </is>
      </c>
      <c r="H13576" s="8">
        <f>HYPERLINK("https://dart.fss.or.kr/dsaf001/main.do?rcpNo=20260630000855", "공시열람")</f>
        <v/>
      </c>
    </row>
    <row r="13577">
      <c r="A13577" s="2" t="inlineStr">
        <is>
          <t>2026-06-30</t>
        </is>
      </c>
      <c r="B13577" s="3" t="inlineStr">
        <is>
          <t>하이브</t>
        </is>
      </c>
      <c r="C13577" s="2" t="inlineStr">
        <is>
          <t>코스피</t>
        </is>
      </c>
      <c r="D13577" s="2" t="inlineStr">
        <is>
          <t>352820</t>
        </is>
      </c>
      <c r="E13577" s="3" t="inlineStr">
        <is>
          <t>동일인등출자계열회사와의상품ㆍ용역거래변경</t>
        </is>
      </c>
      <c r="F13577" s="3" t="inlineStr">
        <is>
          <t>하이브</t>
        </is>
      </c>
      <c r="G13577" s="2" t="inlineStr">
        <is>
          <t>20260630000850</t>
        </is>
      </c>
      <c r="H13577" s="8">
        <f>HYPERLINK("https://dart.fss.or.kr/dsaf001/main.do?rcpNo=20260630000850", "공시열람")</f>
        <v/>
      </c>
    </row>
    <row r="13578">
      <c r="A13578" s="2" t="inlineStr">
        <is>
          <t>2026-06-30</t>
        </is>
      </c>
      <c r="B13578" s="3" t="inlineStr">
        <is>
          <t>다산디엠씨</t>
        </is>
      </c>
      <c r="C13578" s="2" t="inlineStr">
        <is>
          <t>코스닥</t>
        </is>
      </c>
      <c r="D13578" s="2" t="inlineStr">
        <is>
          <t>208860</t>
        </is>
      </c>
      <c r="E13578" s="3" t="inlineStr">
        <is>
          <t>임원ㆍ주요주주특정증권등소유상황보고서</t>
        </is>
      </c>
      <c r="F13578" s="3" t="inlineStr">
        <is>
          <t>김장식</t>
        </is>
      </c>
      <c r="G13578" s="2" t="inlineStr">
        <is>
          <t>20260630000844</t>
        </is>
      </c>
      <c r="H13578" s="8">
        <f>HYPERLINK("https://dart.fss.or.kr/dsaf001/main.do?rcpNo=20260630000844", "공시열람")</f>
        <v/>
      </c>
    </row>
    <row r="13579">
      <c r="A13579" s="2" t="inlineStr">
        <is>
          <t>2026-06-30</t>
        </is>
      </c>
      <c r="B13579" s="3" t="inlineStr">
        <is>
          <t>오텍</t>
        </is>
      </c>
      <c r="C13579" s="2" t="inlineStr">
        <is>
          <t>코스닥</t>
        </is>
      </c>
      <c r="D13579" s="2" t="inlineStr">
        <is>
          <t>067170</t>
        </is>
      </c>
      <c r="E13579" s="3" t="inlineStr">
        <is>
          <t>신주인수권행사              (제13회차)</t>
        </is>
      </c>
      <c r="F13579" s="3" t="inlineStr">
        <is>
          <t>오텍</t>
        </is>
      </c>
      <c r="G13579" s="2" t="inlineStr">
        <is>
          <t>20260630901025</t>
        </is>
      </c>
      <c r="H13579" s="8">
        <f>HYPERLINK("https://dart.fss.or.kr/dsaf001/main.do?rcpNo=20260630901025", "공시열람")</f>
        <v/>
      </c>
    </row>
    <row r="13580">
      <c r="A13580" s="2" t="inlineStr">
        <is>
          <t>2026-06-30</t>
        </is>
      </c>
      <c r="B13580" s="3" t="inlineStr">
        <is>
          <t>SK텔레콤</t>
        </is>
      </c>
      <c r="C13580" s="2" t="inlineStr">
        <is>
          <t>코스피</t>
        </is>
      </c>
      <c r="D13580" s="2" t="inlineStr">
        <is>
          <t>017670</t>
        </is>
      </c>
      <c r="E13580" s="3" t="inlineStr">
        <is>
          <t xml:space="preserve">지속가능경영보고서등관련사항(자율공시)              </t>
        </is>
      </c>
      <c r="F13580" s="3" t="inlineStr">
        <is>
          <t>SK텔레콤</t>
        </is>
      </c>
      <c r="G13580" s="2" t="inlineStr">
        <is>
          <t>20260630801073</t>
        </is>
      </c>
      <c r="H13580" s="8">
        <f>HYPERLINK("https://dart.fss.or.kr/dsaf001/main.do?rcpNo=20260630801073", "공시열람")</f>
        <v/>
      </c>
    </row>
    <row r="13581">
      <c r="A13581" s="2" t="inlineStr">
        <is>
          <t>2026-06-30</t>
        </is>
      </c>
      <c r="B13581" s="3" t="inlineStr">
        <is>
          <t>하이브</t>
        </is>
      </c>
      <c r="C13581" s="2" t="inlineStr">
        <is>
          <t>코스피</t>
        </is>
      </c>
      <c r="D13581" s="2" t="inlineStr">
        <is>
          <t>352820</t>
        </is>
      </c>
      <c r="E13581" s="3" t="inlineStr">
        <is>
          <t>동일인등출자계열회사와의상품ㆍ용역거래변경</t>
        </is>
      </c>
      <c r="F13581" s="3" t="inlineStr">
        <is>
          <t>하이브</t>
        </is>
      </c>
      <c r="G13581" s="2" t="inlineStr">
        <is>
          <t>20260630000838</t>
        </is>
      </c>
      <c r="H13581" s="8">
        <f>HYPERLINK("https://dart.fss.or.kr/dsaf001/main.do?rcpNo=20260630000838", "공시열람")</f>
        <v/>
      </c>
    </row>
    <row r="13582">
      <c r="A13582" s="2" t="inlineStr">
        <is>
          <t>2026-06-30</t>
        </is>
      </c>
      <c r="B13582" s="3" t="inlineStr">
        <is>
          <t>파루</t>
        </is>
      </c>
      <c r="C13582" s="2" t="inlineStr">
        <is>
          <t>코스닥</t>
        </is>
      </c>
      <c r="D13582" s="2" t="inlineStr">
        <is>
          <t>043200</t>
        </is>
      </c>
      <c r="E13582" s="3" t="inlineStr">
        <is>
          <t>의결권대리행사권유참고서류</t>
        </is>
      </c>
      <c r="F13582" s="3" t="inlineStr">
        <is>
          <t>파루</t>
        </is>
      </c>
      <c r="G13582" s="2" t="inlineStr">
        <is>
          <t>20260630000836</t>
        </is>
      </c>
      <c r="H13582" s="8">
        <f>HYPERLINK("https://dart.fss.or.kr/dsaf001/main.do?rcpNo=20260630000836", "공시열람")</f>
        <v/>
      </c>
    </row>
    <row r="13583">
      <c r="A13583" s="2" t="inlineStr">
        <is>
          <t>2026-06-30</t>
        </is>
      </c>
      <c r="B13583" s="3" t="inlineStr">
        <is>
          <t>세경하이테크</t>
        </is>
      </c>
      <c r="C13583" s="2" t="inlineStr">
        <is>
          <t>코스닥</t>
        </is>
      </c>
      <c r="D13583" s="2" t="inlineStr">
        <is>
          <t>148150</t>
        </is>
      </c>
      <c r="E13583" s="3" t="inlineStr">
        <is>
          <t>전환주식의전환가액조정              (상환전환우선주)</t>
        </is>
      </c>
      <c r="F13583" s="3" t="inlineStr">
        <is>
          <t>세경하이테크</t>
        </is>
      </c>
      <c r="G13583" s="2" t="inlineStr">
        <is>
          <t>20260630901018</t>
        </is>
      </c>
      <c r="H13583" s="8">
        <f>HYPERLINK("https://dart.fss.or.kr/dsaf001/main.do?rcpNo=20260630901018", "공시열람")</f>
        <v/>
      </c>
    </row>
    <row r="13584">
      <c r="A13584" s="2" t="inlineStr">
        <is>
          <t>2026-06-30</t>
        </is>
      </c>
      <c r="B13584" s="3" t="inlineStr">
        <is>
          <t>휴네시온</t>
        </is>
      </c>
      <c r="C13584" s="2" t="inlineStr">
        <is>
          <t>코스닥</t>
        </is>
      </c>
      <c r="D13584" s="2" t="inlineStr">
        <is>
          <t>290270</t>
        </is>
      </c>
      <c r="E13584" s="3" t="inlineStr">
        <is>
          <t>신탁계약해지결과보고서</t>
        </is>
      </c>
      <c r="F13584" s="3" t="inlineStr">
        <is>
          <t>휴네시온</t>
        </is>
      </c>
      <c r="G13584" s="2" t="inlineStr">
        <is>
          <t>20260630000831</t>
        </is>
      </c>
      <c r="H13584" s="8">
        <f>HYPERLINK("https://dart.fss.or.kr/dsaf001/main.do?rcpNo=20260630000831", "공시열람")</f>
        <v/>
      </c>
    </row>
    <row r="13585">
      <c r="A13585" s="2" t="inlineStr">
        <is>
          <t>2026-06-30</t>
        </is>
      </c>
      <c r="B13585" s="3" t="inlineStr">
        <is>
          <t>에이비온</t>
        </is>
      </c>
      <c r="C13585" s="2" t="inlineStr">
        <is>
          <t>코스닥</t>
        </is>
      </c>
      <c r="D13585" s="2" t="inlineStr">
        <is>
          <t>203400</t>
        </is>
      </c>
      <c r="E13585" s="3" t="inlineStr">
        <is>
          <t xml:space="preserve">기업설명회(IR)개최              </t>
        </is>
      </c>
      <c r="F13585" s="3" t="inlineStr">
        <is>
          <t>에이비온</t>
        </is>
      </c>
      <c r="G13585" s="2" t="inlineStr">
        <is>
          <t>20260630901057</t>
        </is>
      </c>
      <c r="H13585" s="8">
        <f>HYPERLINK("https://dart.fss.or.kr/dsaf001/main.do?rcpNo=20260630901057", "공시열람")</f>
        <v/>
      </c>
    </row>
    <row r="13586">
      <c r="A13586" s="2" t="inlineStr">
        <is>
          <t>2026-06-30</t>
        </is>
      </c>
      <c r="B13586" s="3" t="inlineStr">
        <is>
          <t>F&amp;F 홀딩스</t>
        </is>
      </c>
      <c r="C13586" s="2" t="inlineStr">
        <is>
          <t>코스피</t>
        </is>
      </c>
      <c r="D13586" s="2" t="inlineStr">
        <is>
          <t>007700</t>
        </is>
      </c>
      <c r="E13586" s="3" t="inlineStr">
        <is>
          <t xml:space="preserve">기업가치제고계획(자율공시)              </t>
        </is>
      </c>
      <c r="F13586" s="3" t="inlineStr">
        <is>
          <t>F&amp;F 홀딩스</t>
        </is>
      </c>
      <c r="G13586" s="2" t="inlineStr">
        <is>
          <t>20260630800976</t>
        </is>
      </c>
      <c r="H13586" s="8">
        <f>HYPERLINK("https://dart.fss.or.kr/dsaf001/main.do?rcpNo=20260630800976", "공시열람")</f>
        <v/>
      </c>
    </row>
    <row r="13587">
      <c r="A13587" s="2" t="inlineStr">
        <is>
          <t>2026-06-30</t>
        </is>
      </c>
      <c r="B13587" s="3" t="inlineStr">
        <is>
          <t>태광산업</t>
        </is>
      </c>
      <c r="C13587" s="2" t="inlineStr">
        <is>
          <t>코스피</t>
        </is>
      </c>
      <c r="D13587" s="2" t="inlineStr">
        <is>
          <t>003240</t>
        </is>
      </c>
      <c r="E13587" s="3" t="inlineStr">
        <is>
          <t xml:space="preserve">기업가치제고계획(자율공시)              </t>
        </is>
      </c>
      <c r="F13587" s="3" t="inlineStr">
        <is>
          <t>태광산업</t>
        </is>
      </c>
      <c r="G13587" s="2" t="inlineStr">
        <is>
          <t>20260630800891</t>
        </is>
      </c>
      <c r="H13587" s="8">
        <f>HYPERLINK("https://dart.fss.or.kr/dsaf001/main.do?rcpNo=20260630800891", "공시열람")</f>
        <v/>
      </c>
    </row>
    <row r="13588">
      <c r="A13588" s="2" t="inlineStr">
        <is>
          <t>2026-06-30</t>
        </is>
      </c>
      <c r="B13588" s="3" t="inlineStr">
        <is>
          <t>SK이노베이션</t>
        </is>
      </c>
      <c r="C13588" s="2" t="inlineStr">
        <is>
          <t>코스피</t>
        </is>
      </c>
      <c r="D13588" s="2" t="inlineStr">
        <is>
          <t>096770</t>
        </is>
      </c>
      <c r="E13588" s="3" t="inlineStr">
        <is>
          <t xml:space="preserve">지속가능경영보고서등관련사항(자율공시)              </t>
        </is>
      </c>
      <c r="F13588" s="3" t="inlineStr">
        <is>
          <t>SK이노베이션</t>
        </is>
      </c>
      <c r="G13588" s="2" t="inlineStr">
        <is>
          <t>20260630801049</t>
        </is>
      </c>
      <c r="H13588" s="8">
        <f>HYPERLINK("https://dart.fss.or.kr/dsaf001/main.do?rcpNo=20260630801049", "공시열람")</f>
        <v/>
      </c>
    </row>
    <row r="13589">
      <c r="A13589" s="2" t="inlineStr">
        <is>
          <t>2026-06-30</t>
        </is>
      </c>
      <c r="B13589" s="3" t="inlineStr">
        <is>
          <t>형지글로벌</t>
        </is>
      </c>
      <c r="C13589" s="2" t="inlineStr">
        <is>
          <t>코스닥</t>
        </is>
      </c>
      <c r="D13589" s="2" t="inlineStr">
        <is>
          <t>308100</t>
        </is>
      </c>
      <c r="E13589" s="3" t="inlineStr">
        <is>
          <t>임원ㆍ주요주주특정증권등소유상황보고서</t>
        </is>
      </c>
      <c r="F13589" s="3" t="inlineStr">
        <is>
          <t>최준호</t>
        </is>
      </c>
      <c r="G13589" s="2" t="inlineStr">
        <is>
          <t>20260630000825</t>
        </is>
      </c>
      <c r="H13589" s="8">
        <f>HYPERLINK("https://dart.fss.or.kr/dsaf001/main.do?rcpNo=20260630000825", "공시열람")</f>
        <v/>
      </c>
    </row>
    <row r="13590">
      <c r="A13590" s="2" t="inlineStr">
        <is>
          <t>2026-06-30</t>
        </is>
      </c>
      <c r="B13590" s="3" t="inlineStr">
        <is>
          <t>하이딥</t>
        </is>
      </c>
      <c r="C13590" s="2" t="inlineStr">
        <is>
          <t>코스닥</t>
        </is>
      </c>
      <c r="D13590" s="2" t="inlineStr">
        <is>
          <t>365590</t>
        </is>
      </c>
      <c r="E13590" s="3" t="inlineStr">
        <is>
          <t xml:space="preserve">주식병합결정              </t>
        </is>
      </c>
      <c r="F13590" s="3" t="inlineStr">
        <is>
          <t>하이딥</t>
        </is>
      </c>
      <c r="G13590" s="2" t="inlineStr">
        <is>
          <t>20260630901043</t>
        </is>
      </c>
      <c r="H13590" s="8">
        <f>HYPERLINK("https://dart.fss.or.kr/dsaf001/main.do?rcpNo=20260630901043", "공시열람")</f>
        <v/>
      </c>
    </row>
    <row r="13591">
      <c r="A13591" s="2" t="inlineStr">
        <is>
          <t>2026-06-30</t>
        </is>
      </c>
      <c r="B13591" s="3" t="inlineStr">
        <is>
          <t>지씨셀</t>
        </is>
      </c>
      <c r="C13591" s="2" t="inlineStr">
        <is>
          <t>코스닥</t>
        </is>
      </c>
      <c r="D13591" s="2" t="inlineStr">
        <is>
          <t>144510</t>
        </is>
      </c>
      <c r="E13591" s="3" t="inlineStr">
        <is>
          <t>주요사항보고서(자기주식처분결정)</t>
        </is>
      </c>
      <c r="F13591" s="3" t="inlineStr">
        <is>
          <t>지씨셀</t>
        </is>
      </c>
      <c r="G13591" s="2" t="inlineStr">
        <is>
          <t>20260630000800</t>
        </is>
      </c>
      <c r="H13591" s="8">
        <f>HYPERLINK("https://dart.fss.or.kr/dsaf001/main.do?rcpNo=20260630000800", "공시열람")</f>
        <v/>
      </c>
    </row>
    <row r="13592">
      <c r="A13592" s="2" t="inlineStr">
        <is>
          <t>2026-06-30</t>
        </is>
      </c>
      <c r="B13592" s="3" t="inlineStr">
        <is>
          <t>알피바이오</t>
        </is>
      </c>
      <c r="C13592" s="2" t="inlineStr">
        <is>
          <t>코스닥</t>
        </is>
      </c>
      <c r="D13592" s="2" t="inlineStr">
        <is>
          <t>314140</t>
        </is>
      </c>
      <c r="E13592" s="3" t="inlineStr">
        <is>
          <t xml:space="preserve">대표이사변경              </t>
        </is>
      </c>
      <c r="F13592" s="3" t="inlineStr">
        <is>
          <t>알피바이오</t>
        </is>
      </c>
      <c r="G13592" s="2" t="inlineStr">
        <is>
          <t>20260630901014</t>
        </is>
      </c>
      <c r="H13592" s="8">
        <f>HYPERLINK("https://dart.fss.or.kr/dsaf001/main.do?rcpNo=20260630901014", "공시열람")</f>
        <v/>
      </c>
    </row>
    <row r="13593">
      <c r="A13593" s="2" t="inlineStr">
        <is>
          <t>2026-06-30</t>
        </is>
      </c>
      <c r="B13593" s="3" t="inlineStr">
        <is>
          <t>태광산업</t>
        </is>
      </c>
      <c r="C13593" s="2" t="inlineStr">
        <is>
          <t>코스피</t>
        </is>
      </c>
      <c r="D13593" s="2" t="inlineStr">
        <is>
          <t>003240</t>
        </is>
      </c>
      <c r="E13593" s="3" t="inlineStr">
        <is>
          <t>[기재정정]특수관계인과의수익증권거래</t>
        </is>
      </c>
      <c r="F13593" s="3" t="inlineStr">
        <is>
          <t>태광산업</t>
        </is>
      </c>
      <c r="G13593" s="2" t="inlineStr">
        <is>
          <t>20260630000822</t>
        </is>
      </c>
      <c r="H13593" s="8">
        <f>HYPERLINK("https://dart.fss.or.kr/dsaf001/main.do?rcpNo=20260630000822", "공시열람")</f>
        <v/>
      </c>
    </row>
    <row r="13594">
      <c r="A13594" s="2" t="inlineStr">
        <is>
          <t>2026-06-30</t>
        </is>
      </c>
      <c r="B13594" s="3" t="inlineStr">
        <is>
          <t>코오롱글로벌</t>
        </is>
      </c>
      <c r="C13594" s="2" t="inlineStr">
        <is>
          <t>코스피</t>
        </is>
      </c>
      <c r="D13594" s="2" t="inlineStr">
        <is>
          <t>003070</t>
        </is>
      </c>
      <c r="E13594" s="3" t="inlineStr">
        <is>
          <t>주요사항보고서(자기주식처분결정)</t>
        </is>
      </c>
      <c r="F13594" s="3" t="inlineStr">
        <is>
          <t>코오롱글로벌</t>
        </is>
      </c>
      <c r="G13594" s="2" t="inlineStr">
        <is>
          <t>20260630000762</t>
        </is>
      </c>
      <c r="H13594" s="8">
        <f>HYPERLINK("https://dart.fss.or.kr/dsaf001/main.do?rcpNo=20260630000762", "공시열람")</f>
        <v/>
      </c>
    </row>
    <row r="13595">
      <c r="A13595" s="2" t="inlineStr">
        <is>
          <t>2026-06-30</t>
        </is>
      </c>
      <c r="B13595" s="3" t="inlineStr">
        <is>
          <t>차이커뮤니케이션</t>
        </is>
      </c>
      <c r="C13595" s="2" t="inlineStr">
        <is>
          <t>코스닥</t>
        </is>
      </c>
      <c r="D13595" s="2" t="inlineStr">
        <is>
          <t>351870</t>
        </is>
      </c>
      <c r="E13595" s="3" t="inlineStr">
        <is>
          <t>임원ㆍ주요주주특정증권등거래계획보고서</t>
        </is>
      </c>
      <c r="F13595" s="3" t="inlineStr">
        <is>
          <t>최승호</t>
        </is>
      </c>
      <c r="G13595" s="2" t="inlineStr">
        <is>
          <t>20260630000820</t>
        </is>
      </c>
      <c r="H13595" s="8">
        <f>HYPERLINK("https://dart.fss.or.kr/dsaf001/main.do?rcpNo=20260630000820", "공시열람")</f>
        <v/>
      </c>
    </row>
    <row r="13596">
      <c r="A13596" s="2" t="inlineStr">
        <is>
          <t>2026-06-30</t>
        </is>
      </c>
      <c r="B13596" s="3" t="inlineStr">
        <is>
          <t>대신증권</t>
        </is>
      </c>
      <c r="C13596" s="2" t="inlineStr">
        <is>
          <t>코스피</t>
        </is>
      </c>
      <c r="D13596" s="2" t="inlineStr">
        <is>
          <t>003540</t>
        </is>
      </c>
      <c r="E13596" s="3" t="inlineStr">
        <is>
          <t>일괄신고추가서류(파생결합사채-주가연계파생결합사채)</t>
        </is>
      </c>
      <c r="F13596" s="3" t="inlineStr">
        <is>
          <t>대신증권</t>
        </is>
      </c>
      <c r="G13596" s="2" t="inlineStr">
        <is>
          <t>20260630000818</t>
        </is>
      </c>
      <c r="H13596" s="8">
        <f>HYPERLINK("https://dart.fss.or.kr/dsaf001/main.do?rcpNo=20260630000818", "공시열람")</f>
        <v/>
      </c>
    </row>
    <row r="13597">
      <c r="A13597" s="2" t="inlineStr">
        <is>
          <t>2026-06-30</t>
        </is>
      </c>
      <c r="B13597" s="3" t="inlineStr">
        <is>
          <t>현대오토에버</t>
        </is>
      </c>
      <c r="C13597" s="2" t="inlineStr">
        <is>
          <t>코스피</t>
        </is>
      </c>
      <c r="D13597" s="2" t="inlineStr">
        <is>
          <t>307950</t>
        </is>
      </c>
      <c r="E13597" s="3" t="inlineStr">
        <is>
          <t xml:space="preserve">지속가능경영보고서등관련사항(자율공시)              </t>
        </is>
      </c>
      <c r="F13597" s="3" t="inlineStr">
        <is>
          <t>현대오토에버</t>
        </is>
      </c>
      <c r="G13597" s="2" t="inlineStr">
        <is>
          <t>20260630801026</t>
        </is>
      </c>
      <c r="H13597" s="8">
        <f>HYPERLINK("https://dart.fss.or.kr/dsaf001/main.do?rcpNo=20260630801026", "공시열람")</f>
        <v/>
      </c>
    </row>
    <row r="13598">
      <c r="A13598" s="2" t="inlineStr">
        <is>
          <t>2026-06-30</t>
        </is>
      </c>
      <c r="B13598" s="3" t="inlineStr">
        <is>
          <t>주성코퍼레이션</t>
        </is>
      </c>
      <c r="C13598" s="2" t="inlineStr">
        <is>
          <t>코스피</t>
        </is>
      </c>
      <c r="D13598" s="2" t="inlineStr">
        <is>
          <t>109070</t>
        </is>
      </c>
      <c r="E13598" s="3" t="inlineStr">
        <is>
          <t xml:space="preserve">주주명부폐쇄기간또는기준일설정              </t>
        </is>
      </c>
      <c r="F13598" s="3" t="inlineStr">
        <is>
          <t>주성코퍼레이션</t>
        </is>
      </c>
      <c r="G13598" s="2" t="inlineStr">
        <is>
          <t>20260630801001</t>
        </is>
      </c>
      <c r="H13598" s="8">
        <f>HYPERLINK("https://dart.fss.or.kr/dsaf001/main.do?rcpNo=20260630801001", "공시열람")</f>
        <v/>
      </c>
    </row>
    <row r="13599">
      <c r="A13599" s="2" t="inlineStr">
        <is>
          <t>2026-06-30</t>
        </is>
      </c>
      <c r="B13599" s="3" t="inlineStr">
        <is>
          <t>하이딥</t>
        </is>
      </c>
      <c r="C13599" s="2" t="inlineStr">
        <is>
          <t>코스닥</t>
        </is>
      </c>
      <c r="D13599" s="2" t="inlineStr">
        <is>
          <t>365590</t>
        </is>
      </c>
      <c r="E13599" s="3" t="inlineStr">
        <is>
          <t>[기재정정]주식매수선택권부여에관한신고</t>
        </is>
      </c>
      <c r="F13599" s="3" t="inlineStr">
        <is>
          <t>하이딥</t>
        </is>
      </c>
      <c r="G13599" s="2" t="inlineStr">
        <is>
          <t>20260630000811</t>
        </is>
      </c>
      <c r="H13599" s="8">
        <f>HYPERLINK("https://dart.fss.or.kr/dsaf001/main.do?rcpNo=20260630000811", "공시열람")</f>
        <v/>
      </c>
    </row>
    <row r="13600">
      <c r="A13600" s="2" t="inlineStr">
        <is>
          <t>2026-06-30</t>
        </is>
      </c>
      <c r="B13600" s="3" t="inlineStr">
        <is>
          <t>비투엔</t>
        </is>
      </c>
      <c r="C13600" s="2" t="inlineStr">
        <is>
          <t>코스닥</t>
        </is>
      </c>
      <c r="D13600" s="2" t="inlineStr">
        <is>
          <t>307870</t>
        </is>
      </c>
      <c r="E13600" s="3" t="inlineStr">
        <is>
          <t>전환가액의조정              (제6회차)</t>
        </is>
      </c>
      <c r="F13600" s="3" t="inlineStr">
        <is>
          <t>비투엔</t>
        </is>
      </c>
      <c r="G13600" s="2" t="inlineStr">
        <is>
          <t>20260630900934</t>
        </is>
      </c>
      <c r="H13600" s="8">
        <f>HYPERLINK("https://dart.fss.or.kr/dsaf001/main.do?rcpNo=20260630900934", "공시열람")</f>
        <v/>
      </c>
    </row>
    <row r="13601">
      <c r="A13601" s="2" t="inlineStr">
        <is>
          <t>2026-06-30</t>
        </is>
      </c>
      <c r="B13601" s="3" t="inlineStr">
        <is>
          <t>인바이오</t>
        </is>
      </c>
      <c r="C13601" s="2" t="inlineStr">
        <is>
          <t>코스닥</t>
        </is>
      </c>
      <c r="D13601" s="2" t="inlineStr">
        <is>
          <t>352940</t>
        </is>
      </c>
      <c r="E13601" s="3" t="inlineStr">
        <is>
          <t xml:space="preserve">[기재정정]본점소재지변경              </t>
        </is>
      </c>
      <c r="F13601" s="3" t="inlineStr">
        <is>
          <t>인바이오</t>
        </is>
      </c>
      <c r="G13601" s="2" t="inlineStr">
        <is>
          <t>20260630901019</t>
        </is>
      </c>
      <c r="H13601" s="8">
        <f>HYPERLINK("https://dart.fss.or.kr/dsaf001/main.do?rcpNo=20260630901019", "공시열람")</f>
        <v/>
      </c>
    </row>
    <row r="13602">
      <c r="A13602" s="2" t="inlineStr">
        <is>
          <t>2026-06-30</t>
        </is>
      </c>
      <c r="B13602" s="3" t="inlineStr">
        <is>
          <t>삼성증권</t>
        </is>
      </c>
      <c r="C13602" s="2" t="inlineStr">
        <is>
          <t>코스피</t>
        </is>
      </c>
      <c r="D13602" s="2" t="inlineStr">
        <is>
          <t>016360</t>
        </is>
      </c>
      <c r="E13602" s="3" t="inlineStr">
        <is>
          <t>증권신고서(채무증권)</t>
        </is>
      </c>
      <c r="F13602" s="3" t="inlineStr">
        <is>
          <t>삼성증권</t>
        </is>
      </c>
      <c r="G13602" s="2" t="inlineStr">
        <is>
          <t>20260630000808</t>
        </is>
      </c>
      <c r="H13602" s="8">
        <f>HYPERLINK("https://dart.fss.or.kr/dsaf001/main.do?rcpNo=20260630000808", "공시열람")</f>
        <v/>
      </c>
    </row>
    <row r="13603">
      <c r="A13603" s="2" t="inlineStr">
        <is>
          <t>2026-06-30</t>
        </is>
      </c>
      <c r="B13603" s="3" t="inlineStr">
        <is>
          <t>바이오텐</t>
        </is>
      </c>
      <c r="C13603" s="2" t="inlineStr">
        <is>
          <t>코넥스</t>
        </is>
      </c>
      <c r="D13603" s="2" t="inlineStr">
        <is>
          <t>289170</t>
        </is>
      </c>
      <c r="E13603" s="3" t="inlineStr">
        <is>
          <t xml:space="preserve">기업설명회(IR)개최결과              </t>
        </is>
      </c>
      <c r="F13603" s="3" t="inlineStr">
        <is>
          <t>바이오텐</t>
        </is>
      </c>
      <c r="G13603" s="2" t="inlineStr">
        <is>
          <t>20260630600981</t>
        </is>
      </c>
      <c r="H13603" s="8">
        <f>HYPERLINK("https://dart.fss.or.kr/dsaf001/main.do?rcpNo=20260630600981", "공시열람")</f>
        <v/>
      </c>
    </row>
    <row r="13604">
      <c r="A13604" s="2" t="inlineStr">
        <is>
          <t>2026-06-30</t>
        </is>
      </c>
      <c r="B13604" s="3" t="inlineStr">
        <is>
          <t>하이딥</t>
        </is>
      </c>
      <c r="C13604" s="2" t="inlineStr">
        <is>
          <t>코스닥</t>
        </is>
      </c>
      <c r="D13604" s="2" t="inlineStr">
        <is>
          <t>365590</t>
        </is>
      </c>
      <c r="E13604" s="3" t="inlineStr">
        <is>
          <t>[기재정정]주식매수선택권부여에관한신고</t>
        </is>
      </c>
      <c r="F13604" s="3" t="inlineStr">
        <is>
          <t>하이딥</t>
        </is>
      </c>
      <c r="G13604" s="2" t="inlineStr">
        <is>
          <t>20260630000803</t>
        </is>
      </c>
      <c r="H13604" s="8">
        <f>HYPERLINK("https://dart.fss.or.kr/dsaf001/main.do?rcpNo=20260630000803", "공시열람")</f>
        <v/>
      </c>
    </row>
    <row r="13605">
      <c r="A13605" s="2" t="inlineStr">
        <is>
          <t>2026-06-30</t>
        </is>
      </c>
      <c r="B13605" s="3" t="inlineStr">
        <is>
          <t>크래프톤</t>
        </is>
      </c>
      <c r="C13605" s="2" t="inlineStr">
        <is>
          <t>코스피</t>
        </is>
      </c>
      <c r="D13605" s="2" t="inlineStr">
        <is>
          <t>259960</t>
        </is>
      </c>
      <c r="E13605" s="3" t="inlineStr">
        <is>
          <t xml:space="preserve">기업설명회(IR)개최(안내공시)              </t>
        </is>
      </c>
      <c r="F13605" s="3" t="inlineStr">
        <is>
          <t>크래프톤</t>
        </is>
      </c>
      <c r="G13605" s="2" t="inlineStr">
        <is>
          <t>20260630800960</t>
        </is>
      </c>
      <c r="H13605" s="8">
        <f>HYPERLINK("https://dart.fss.or.kr/dsaf001/main.do?rcpNo=20260630800960", "공시열람")</f>
        <v/>
      </c>
    </row>
    <row r="13606">
      <c r="A13606" s="2" t="inlineStr">
        <is>
          <t>2026-06-30</t>
        </is>
      </c>
      <c r="B13606" s="3" t="inlineStr">
        <is>
          <t>동아쏘시오홀딩스</t>
        </is>
      </c>
      <c r="C13606" s="2" t="inlineStr">
        <is>
          <t>코스피</t>
        </is>
      </c>
      <c r="D13606" s="2" t="inlineStr">
        <is>
          <t>000640</t>
        </is>
      </c>
      <c r="E13606" s="3" t="inlineStr">
        <is>
          <t xml:space="preserve">[기재정정]유형자산처분결정(종속회사의주요경영사항)              </t>
        </is>
      </c>
      <c r="F13606" s="3" t="inlineStr">
        <is>
          <t>동아쏘시오홀딩스</t>
        </is>
      </c>
      <c r="G13606" s="2" t="inlineStr">
        <is>
          <t>20260630801009</t>
        </is>
      </c>
      <c r="H13606" s="8">
        <f>HYPERLINK("https://dart.fss.or.kr/dsaf001/main.do?rcpNo=20260630801009", "공시열람")</f>
        <v/>
      </c>
    </row>
    <row r="13607">
      <c r="A13607" s="2" t="inlineStr">
        <is>
          <t>2026-06-30</t>
        </is>
      </c>
      <c r="B13607" s="3" t="inlineStr">
        <is>
          <t>선진</t>
        </is>
      </c>
      <c r="C13607" s="2" t="inlineStr">
        <is>
          <t>코스피</t>
        </is>
      </c>
      <c r="D13607" s="2" t="inlineStr">
        <is>
          <t>136490</t>
        </is>
      </c>
      <c r="E13607" s="3" t="inlineStr">
        <is>
          <t>동일인등출자계열회사와의상품ㆍ용역거래</t>
        </is>
      </c>
      <c r="F13607" s="3" t="inlineStr">
        <is>
          <t>선진</t>
        </is>
      </c>
      <c r="G13607" s="2" t="inlineStr">
        <is>
          <t>20260630000801</t>
        </is>
      </c>
      <c r="H13607" s="8">
        <f>HYPERLINK("https://dart.fss.or.kr/dsaf001/main.do?rcpNo=20260630000801", "공시열람")</f>
        <v/>
      </c>
    </row>
    <row r="13608">
      <c r="A13608" s="2" t="inlineStr">
        <is>
          <t>2026-06-30</t>
        </is>
      </c>
      <c r="B13608" s="3" t="inlineStr">
        <is>
          <t>하나금융지주</t>
        </is>
      </c>
      <c r="C13608" s="2" t="inlineStr">
        <is>
          <t>코스피</t>
        </is>
      </c>
      <c r="D13608" s="2" t="inlineStr">
        <is>
          <t>086790</t>
        </is>
      </c>
      <c r="E13608" s="3" t="inlineStr">
        <is>
          <t xml:space="preserve">지속가능경영보고서등관련사항(자율공시)              </t>
        </is>
      </c>
      <c r="F13608" s="3" t="inlineStr">
        <is>
          <t>하나금융지주</t>
        </is>
      </c>
      <c r="G13608" s="2" t="inlineStr">
        <is>
          <t>20260630800995</t>
        </is>
      </c>
      <c r="H13608" s="8">
        <f>HYPERLINK("https://dart.fss.or.kr/dsaf001/main.do?rcpNo=20260630800995", "공시열람")</f>
        <v/>
      </c>
    </row>
    <row r="13609">
      <c r="A13609" s="2" t="inlineStr">
        <is>
          <t>2026-06-30</t>
        </is>
      </c>
      <c r="B13609" s="3" t="inlineStr">
        <is>
          <t>한창</t>
        </is>
      </c>
      <c r="C13609" s="2" t="inlineStr">
        <is>
          <t>코스피</t>
        </is>
      </c>
      <c r="D13609" s="2" t="inlineStr">
        <is>
          <t>005110</t>
        </is>
      </c>
      <c r="E13609" s="3" t="inlineStr">
        <is>
          <t xml:space="preserve">소송등의판결ㆍ결정(일정금액이상의청구)              </t>
        </is>
      </c>
      <c r="F13609" s="3" t="inlineStr">
        <is>
          <t>한창</t>
        </is>
      </c>
      <c r="G13609" s="2" t="inlineStr">
        <is>
          <t>20260630800954</t>
        </is>
      </c>
      <c r="H13609" s="8">
        <f>HYPERLINK("https://dart.fss.or.kr/dsaf001/main.do?rcpNo=20260630800954", "공시열람")</f>
        <v/>
      </c>
    </row>
    <row r="13610">
      <c r="A13610" s="2" t="inlineStr">
        <is>
          <t>2026-06-30</t>
        </is>
      </c>
      <c r="B13610" s="3" t="inlineStr">
        <is>
          <t>이마트</t>
        </is>
      </c>
      <c r="C13610" s="2" t="inlineStr">
        <is>
          <t>코스피</t>
        </is>
      </c>
      <c r="D13610" s="2" t="inlineStr">
        <is>
          <t>139480</t>
        </is>
      </c>
      <c r="E13610" s="3" t="inlineStr">
        <is>
          <t xml:space="preserve">지속가능경영보고서등관련사항(자율공시)              </t>
        </is>
      </c>
      <c r="F13610" s="3" t="inlineStr">
        <is>
          <t>이마트</t>
        </is>
      </c>
      <c r="G13610" s="2" t="inlineStr">
        <is>
          <t>20260630800997</t>
        </is>
      </c>
      <c r="H13610" s="8">
        <f>HYPERLINK("https://dart.fss.or.kr/dsaf001/main.do?rcpNo=20260630800997", "공시열람")</f>
        <v/>
      </c>
    </row>
    <row r="13611">
      <c r="A13611" s="2" t="inlineStr">
        <is>
          <t>2026-06-30</t>
        </is>
      </c>
      <c r="B13611" s="3" t="inlineStr">
        <is>
          <t>SGA솔루션즈</t>
        </is>
      </c>
      <c r="C13611" s="2" t="inlineStr">
        <is>
          <t>코스닥</t>
        </is>
      </c>
      <c r="D13611" s="2" t="inlineStr">
        <is>
          <t>184230</t>
        </is>
      </c>
      <c r="E13611" s="3" t="inlineStr">
        <is>
          <t>합병등종료보고서(합병)</t>
        </is>
      </c>
      <c r="F13611" s="3" t="inlineStr">
        <is>
          <t>SGA솔루션즈</t>
        </is>
      </c>
      <c r="G13611" s="2" t="inlineStr">
        <is>
          <t>20260630000798</t>
        </is>
      </c>
      <c r="H13611" s="8">
        <f>HYPERLINK("https://dart.fss.or.kr/dsaf001/main.do?rcpNo=20260630000798", "공시열람")</f>
        <v/>
      </c>
    </row>
    <row r="13612">
      <c r="A13612" s="2" t="inlineStr">
        <is>
          <t>2026-06-30</t>
        </is>
      </c>
      <c r="B13612" s="3" t="inlineStr">
        <is>
          <t>유진증권</t>
        </is>
      </c>
      <c r="C13612" s="2" t="inlineStr">
        <is>
          <t>코스피</t>
        </is>
      </c>
      <c r="D13612" s="2" t="inlineStr">
        <is>
          <t>001200</t>
        </is>
      </c>
      <c r="E13612" s="3" t="inlineStr">
        <is>
          <t xml:space="preserve">지속가능경영보고서등관련사항(자율공시)              </t>
        </is>
      </c>
      <c r="F13612" s="3" t="inlineStr">
        <is>
          <t>유진증권</t>
        </is>
      </c>
      <c r="G13612" s="2" t="inlineStr">
        <is>
          <t>20260630800999</t>
        </is>
      </c>
      <c r="H13612" s="8">
        <f>HYPERLINK("https://dart.fss.or.kr/dsaf001/main.do?rcpNo=20260630800999", "공시열람")</f>
        <v/>
      </c>
    </row>
    <row r="13613">
      <c r="A13613" s="2" t="inlineStr">
        <is>
          <t>2026-06-30</t>
        </is>
      </c>
      <c r="B13613" s="3" t="inlineStr">
        <is>
          <t>키움증권</t>
        </is>
      </c>
      <c r="C13613" s="2" t="inlineStr">
        <is>
          <t>코스피</t>
        </is>
      </c>
      <c r="D13613" s="2" t="inlineStr">
        <is>
          <t>039490</t>
        </is>
      </c>
      <c r="E13613" s="3" t="inlineStr">
        <is>
          <t>자기주식취득결과보고서</t>
        </is>
      </c>
      <c r="F13613" s="3" t="inlineStr">
        <is>
          <t>키움증권</t>
        </is>
      </c>
      <c r="G13613" s="2" t="inlineStr">
        <is>
          <t>20260630000793</t>
        </is>
      </c>
      <c r="H13613" s="8">
        <f>HYPERLINK("https://dart.fss.or.kr/dsaf001/main.do?rcpNo=20260630000793", "공시열람")</f>
        <v/>
      </c>
    </row>
    <row r="13614">
      <c r="A13614" s="2" t="inlineStr">
        <is>
          <t>2026-06-30</t>
        </is>
      </c>
      <c r="B13614" s="3" t="inlineStr">
        <is>
          <t>셀트리온</t>
        </is>
      </c>
      <c r="C13614" s="2" t="inlineStr">
        <is>
          <t>코스피</t>
        </is>
      </c>
      <c r="D13614" s="2" t="inlineStr">
        <is>
          <t>068270</t>
        </is>
      </c>
      <c r="E13614" s="3" t="inlineStr">
        <is>
          <t>자기주식취득결과보고서</t>
        </is>
      </c>
      <c r="F13614" s="3" t="inlineStr">
        <is>
          <t>셀트리온</t>
        </is>
      </c>
      <c r="G13614" s="2" t="inlineStr">
        <is>
          <t>20260630000787</t>
        </is>
      </c>
      <c r="H13614" s="8">
        <f>HYPERLINK("https://dart.fss.or.kr/dsaf001/main.do?rcpNo=20260630000787", "공시열람")</f>
        <v/>
      </c>
    </row>
    <row r="13615">
      <c r="A13615" s="2" t="inlineStr">
        <is>
          <t>2026-06-30</t>
        </is>
      </c>
      <c r="B13615" s="3" t="inlineStr">
        <is>
          <t>웰크론</t>
        </is>
      </c>
      <c r="C13615" s="2" t="inlineStr">
        <is>
          <t>코스닥</t>
        </is>
      </c>
      <c r="D13615" s="2" t="inlineStr">
        <is>
          <t>065950</t>
        </is>
      </c>
      <c r="E13615" s="3" t="inlineStr">
        <is>
          <t>임원ㆍ주요주주특정증권등소유상황보고서</t>
        </is>
      </c>
      <c r="F13615" s="3" t="inlineStr">
        <is>
          <t>신정재</t>
        </is>
      </c>
      <c r="G13615" s="2" t="inlineStr">
        <is>
          <t>20260630000786</t>
        </is>
      </c>
      <c r="H13615" s="8">
        <f>HYPERLINK("https://dart.fss.or.kr/dsaf001/main.do?rcpNo=20260630000786", "공시열람")</f>
        <v/>
      </c>
    </row>
    <row r="13616">
      <c r="A13616" s="2" t="inlineStr">
        <is>
          <t>2026-06-30</t>
        </is>
      </c>
      <c r="B13616" s="3" t="inlineStr">
        <is>
          <t>한국알콜</t>
        </is>
      </c>
      <c r="C13616" s="2" t="inlineStr">
        <is>
          <t>코스닥</t>
        </is>
      </c>
      <c r="D13616" s="2" t="inlineStr">
        <is>
          <t>017890</t>
        </is>
      </c>
      <c r="E13616" s="3" t="inlineStr">
        <is>
          <t>의결권대리행사권유참고서류</t>
        </is>
      </c>
      <c r="F13616" s="3" t="inlineStr">
        <is>
          <t>한국알콜</t>
        </is>
      </c>
      <c r="G13616" s="2" t="inlineStr">
        <is>
          <t>20260630000784</t>
        </is>
      </c>
      <c r="H13616" s="8">
        <f>HYPERLINK("https://dart.fss.or.kr/dsaf001/main.do?rcpNo=20260630000784", "공시열람")</f>
        <v/>
      </c>
    </row>
    <row r="13617">
      <c r="A13617" s="2" t="inlineStr">
        <is>
          <t>2026-06-30</t>
        </is>
      </c>
      <c r="B13617" s="3" t="inlineStr">
        <is>
          <t>차이커뮤니케이션</t>
        </is>
      </c>
      <c r="C13617" s="2" t="inlineStr">
        <is>
          <t>코스닥</t>
        </is>
      </c>
      <c r="D13617" s="2" t="inlineStr">
        <is>
          <t>351870</t>
        </is>
      </c>
      <c r="E13617" s="3" t="inlineStr">
        <is>
          <t>임원ㆍ주요주주특정증권등거래계획보고서</t>
        </is>
      </c>
      <c r="F13617" s="3" t="inlineStr">
        <is>
          <t>이연호</t>
        </is>
      </c>
      <c r="G13617" s="2" t="inlineStr">
        <is>
          <t>20260630000783</t>
        </is>
      </c>
      <c r="H13617" s="8">
        <f>HYPERLINK("https://dart.fss.or.kr/dsaf001/main.do?rcpNo=20260630000783", "공시열람")</f>
        <v/>
      </c>
    </row>
    <row r="13618">
      <c r="A13618" s="2" t="inlineStr">
        <is>
          <t>2026-06-30</t>
        </is>
      </c>
      <c r="B13618" s="3" t="inlineStr">
        <is>
          <t>나우로보틱스</t>
        </is>
      </c>
      <c r="C13618" s="2" t="inlineStr">
        <is>
          <t>코스닥</t>
        </is>
      </c>
      <c r="D13618" s="2" t="inlineStr">
        <is>
          <t>459510</t>
        </is>
      </c>
      <c r="E13618" s="3" t="inlineStr">
        <is>
          <t>합병등종료보고서(합병)</t>
        </is>
      </c>
      <c r="F13618" s="3" t="inlineStr">
        <is>
          <t>나우로보틱스</t>
        </is>
      </c>
      <c r="G13618" s="2" t="inlineStr">
        <is>
          <t>20260630000775</t>
        </is>
      </c>
      <c r="H13618" s="8">
        <f>HYPERLINK("https://dart.fss.or.kr/dsaf001/main.do?rcpNo=20260630000775", "공시열람")</f>
        <v/>
      </c>
    </row>
    <row r="13619">
      <c r="A13619" s="2" t="inlineStr">
        <is>
          <t>2026-06-30</t>
        </is>
      </c>
      <c r="B13619" s="3" t="inlineStr">
        <is>
          <t>디젠스</t>
        </is>
      </c>
      <c r="C13619" s="2" t="inlineStr">
        <is>
          <t>코스닥</t>
        </is>
      </c>
      <c r="D13619" s="2" t="inlineStr">
        <is>
          <t>113810</t>
        </is>
      </c>
      <c r="E13619" s="3" t="inlineStr">
        <is>
          <t>주권매매거래정지              (주식의 병합, 분할 등 전자등록 변경, 말소)</t>
        </is>
      </c>
      <c r="F13619" s="3" t="inlineStr">
        <is>
          <t>코스닥시장본부</t>
        </is>
      </c>
      <c r="G13619" s="2" t="inlineStr">
        <is>
          <t>20260630900872</t>
        </is>
      </c>
      <c r="H13619" s="8">
        <f>HYPERLINK("https://dart.fss.or.kr/dsaf001/main.do?rcpNo=20260630900872", "공시열람")</f>
        <v/>
      </c>
    </row>
    <row r="13620">
      <c r="A13620" s="2" t="inlineStr">
        <is>
          <t>2026-06-30</t>
        </is>
      </c>
      <c r="B13620" s="3" t="inlineStr">
        <is>
          <t>상상인증권</t>
        </is>
      </c>
      <c r="C13620" s="2" t="inlineStr">
        <is>
          <t>코스피</t>
        </is>
      </c>
      <c r="D13620" s="2" t="inlineStr">
        <is>
          <t>001290</t>
        </is>
      </c>
      <c r="E13620" s="3" t="inlineStr">
        <is>
          <t xml:space="preserve">주식병합결정              </t>
        </is>
      </c>
      <c r="F13620" s="3" t="inlineStr">
        <is>
          <t>상상인증권</t>
        </is>
      </c>
      <c r="G13620" s="2" t="inlineStr">
        <is>
          <t>20260630800886</t>
        </is>
      </c>
      <c r="H13620" s="8">
        <f>HYPERLINK("https://dart.fss.or.kr/dsaf001/main.do?rcpNo=20260630800886", "공시열람")</f>
        <v/>
      </c>
    </row>
    <row r="13621">
      <c r="A13621" s="2" t="inlineStr">
        <is>
          <t>2026-06-30</t>
        </is>
      </c>
      <c r="B13621" s="3" t="inlineStr">
        <is>
          <t>DB하이텍</t>
        </is>
      </c>
      <c r="C13621" s="2" t="inlineStr">
        <is>
          <t>코스피</t>
        </is>
      </c>
      <c r="D13621" s="2" t="inlineStr">
        <is>
          <t>000990</t>
        </is>
      </c>
      <c r="E13621" s="3" t="inlineStr">
        <is>
          <t xml:space="preserve">지속가능경영보고서등관련사항(자율공시)              </t>
        </is>
      </c>
      <c r="F13621" s="3" t="inlineStr">
        <is>
          <t>DB하이텍</t>
        </is>
      </c>
      <c r="G13621" s="2" t="inlineStr">
        <is>
          <t>20260630800970</t>
        </is>
      </c>
      <c r="H13621" s="8">
        <f>HYPERLINK("https://dart.fss.or.kr/dsaf001/main.do?rcpNo=20260630800970", "공시열람")</f>
        <v/>
      </c>
    </row>
    <row r="13622">
      <c r="A13622" s="2" t="inlineStr">
        <is>
          <t>2026-06-30</t>
        </is>
      </c>
      <c r="B13622" s="3" t="inlineStr">
        <is>
          <t>미래에셋생명</t>
        </is>
      </c>
      <c r="C13622" s="2" t="inlineStr">
        <is>
          <t>코스피</t>
        </is>
      </c>
      <c r="D13622" s="2" t="inlineStr">
        <is>
          <t>085620</t>
        </is>
      </c>
      <c r="E13622" s="3" t="inlineStr">
        <is>
          <t xml:space="preserve">지속가능경영보고서등관련사항(자율공시)              </t>
        </is>
      </c>
      <c r="F13622" s="3" t="inlineStr">
        <is>
          <t>미래에셋생명</t>
        </is>
      </c>
      <c r="G13622" s="2" t="inlineStr">
        <is>
          <t>20260630800971</t>
        </is>
      </c>
      <c r="H13622" s="8">
        <f>HYPERLINK("https://dart.fss.or.kr/dsaf001/main.do?rcpNo=20260630800971", "공시열람")</f>
        <v/>
      </c>
    </row>
    <row r="13623">
      <c r="A13623" s="2" t="inlineStr">
        <is>
          <t>2026-06-30</t>
        </is>
      </c>
      <c r="B13623" s="3" t="inlineStr">
        <is>
          <t>우리엔터프라이즈</t>
        </is>
      </c>
      <c r="C13623" s="2" t="inlineStr">
        <is>
          <t>코스닥</t>
        </is>
      </c>
      <c r="D13623" s="2" t="inlineStr">
        <is>
          <t>037400</t>
        </is>
      </c>
      <c r="E13623" s="3" t="inlineStr">
        <is>
          <t>의결권대리행사권유참고서류</t>
        </is>
      </c>
      <c r="F13623" s="3" t="inlineStr">
        <is>
          <t>우리엔터프라이즈</t>
        </is>
      </c>
      <c r="G13623" s="2" t="inlineStr">
        <is>
          <t>20260630000771</t>
        </is>
      </c>
      <c r="H13623" s="8">
        <f>HYPERLINK("https://dart.fss.or.kr/dsaf001/main.do?rcpNo=20260630000771", "공시열람")</f>
        <v/>
      </c>
    </row>
    <row r="13624">
      <c r="A13624" s="2" t="inlineStr">
        <is>
          <t>2026-06-30</t>
        </is>
      </c>
      <c r="B13624" s="3" t="inlineStr">
        <is>
          <t>대한약품</t>
        </is>
      </c>
      <c r="C13624" s="2" t="inlineStr">
        <is>
          <t>코스닥</t>
        </is>
      </c>
      <c r="D13624" s="2" t="inlineStr">
        <is>
          <t>023910</t>
        </is>
      </c>
      <c r="E13624" s="3" t="inlineStr">
        <is>
          <t>임원ㆍ주요주주특정증권등소유상황보고서</t>
        </is>
      </c>
      <c r="F13624" s="3" t="inlineStr">
        <is>
          <t>이윤우</t>
        </is>
      </c>
      <c r="G13624" s="2" t="inlineStr">
        <is>
          <t>20260630000770</t>
        </is>
      </c>
      <c r="H13624" s="8">
        <f>HYPERLINK("https://dart.fss.or.kr/dsaf001/main.do?rcpNo=20260630000770", "공시열람")</f>
        <v/>
      </c>
    </row>
    <row r="13625">
      <c r="A13625" s="2" t="inlineStr">
        <is>
          <t>2026-06-30</t>
        </is>
      </c>
      <c r="B13625" s="3" t="inlineStr">
        <is>
          <t>오리온</t>
        </is>
      </c>
      <c r="C13625" s="2" t="inlineStr">
        <is>
          <t>코스피</t>
        </is>
      </c>
      <c r="D13625" s="2" t="inlineStr">
        <is>
          <t>271560</t>
        </is>
      </c>
      <c r="E13625" s="3" t="inlineStr">
        <is>
          <t>기업가치제고계획(자율공시)              (2025년 이행현황)</t>
        </is>
      </c>
      <c r="F13625" s="3" t="inlineStr">
        <is>
          <t>오리온</t>
        </is>
      </c>
      <c r="G13625" s="2" t="inlineStr">
        <is>
          <t>20260630800908</t>
        </is>
      </c>
      <c r="H13625" s="8">
        <f>HYPERLINK("https://dart.fss.or.kr/dsaf001/main.do?rcpNo=20260630800908", "공시열람")</f>
        <v/>
      </c>
    </row>
    <row r="13626">
      <c r="A13626" s="2" t="inlineStr">
        <is>
          <t>2026-06-30</t>
        </is>
      </c>
      <c r="B13626" s="3" t="inlineStr">
        <is>
          <t>KB금융</t>
        </is>
      </c>
      <c r="C13626" s="2" t="inlineStr">
        <is>
          <t>코스피</t>
        </is>
      </c>
      <c r="D13626" s="2" t="inlineStr">
        <is>
          <t>105560</t>
        </is>
      </c>
      <c r="E13626" s="3" t="inlineStr">
        <is>
          <t xml:space="preserve">지속가능경영보고서등관련사항(자율공시)              </t>
        </is>
      </c>
      <c r="F13626" s="3" t="inlineStr">
        <is>
          <t>KB금융</t>
        </is>
      </c>
      <c r="G13626" s="2" t="inlineStr">
        <is>
          <t>20260630800958</t>
        </is>
      </c>
      <c r="H13626" s="8">
        <f>HYPERLINK("https://dart.fss.or.kr/dsaf001/main.do?rcpNo=20260630800958", "공시열람")</f>
        <v/>
      </c>
    </row>
    <row r="13627">
      <c r="A13627" s="2" t="inlineStr">
        <is>
          <t>2026-06-30</t>
        </is>
      </c>
      <c r="B13627" s="3" t="inlineStr">
        <is>
          <t>코셈</t>
        </is>
      </c>
      <c r="C13627" s="2" t="inlineStr">
        <is>
          <t>코스닥</t>
        </is>
      </c>
      <c r="D13627" s="2" t="inlineStr">
        <is>
          <t>360350</t>
        </is>
      </c>
      <c r="E13627" s="3" t="inlineStr">
        <is>
          <t>임원ㆍ주요주주특정증권등소유상황보고서</t>
        </is>
      </c>
      <c r="F13627" s="3" t="inlineStr">
        <is>
          <t>이준희</t>
        </is>
      </c>
      <c r="G13627" s="2" t="inlineStr">
        <is>
          <t>20260630000768</t>
        </is>
      </c>
      <c r="H13627" s="8">
        <f>HYPERLINK("https://dart.fss.or.kr/dsaf001/main.do?rcpNo=20260630000768", "공시열람")</f>
        <v/>
      </c>
    </row>
    <row r="13628">
      <c r="A13628" s="2" t="inlineStr">
        <is>
          <t>2026-06-30</t>
        </is>
      </c>
      <c r="B13628" s="3" t="inlineStr">
        <is>
          <t>에스트래픽</t>
        </is>
      </c>
      <c r="C13628" s="2" t="inlineStr">
        <is>
          <t>코스닥</t>
        </is>
      </c>
      <c r="D13628" s="2" t="inlineStr">
        <is>
          <t>234300</t>
        </is>
      </c>
      <c r="E13628" s="3" t="inlineStr">
        <is>
          <t xml:space="preserve">주주명부폐쇄기간또는기준일설정              </t>
        </is>
      </c>
      <c r="F13628" s="3" t="inlineStr">
        <is>
          <t>에스트래픽</t>
        </is>
      </c>
      <c r="G13628" s="2" t="inlineStr">
        <is>
          <t>20260630900955</t>
        </is>
      </c>
      <c r="H13628" s="8">
        <f>HYPERLINK("https://dart.fss.or.kr/dsaf001/main.do?rcpNo=20260630900955", "공시열람")</f>
        <v/>
      </c>
    </row>
    <row r="13629">
      <c r="A13629" s="2" t="inlineStr">
        <is>
          <t>2026-06-30</t>
        </is>
      </c>
      <c r="B13629" s="3" t="inlineStr">
        <is>
          <t>메디콕스</t>
        </is>
      </c>
      <c r="C13629" s="2" t="inlineStr">
        <is>
          <t>코스닥</t>
        </is>
      </c>
      <c r="D13629" s="2" t="inlineStr">
        <is>
          <t>054180</t>
        </is>
      </c>
      <c r="E13629" s="3" t="inlineStr">
        <is>
          <t xml:space="preserve">횡령ㆍ배임혐의진행사항              </t>
        </is>
      </c>
      <c r="F13629" s="3" t="inlineStr">
        <is>
          <t>메디콕스</t>
        </is>
      </c>
      <c r="G13629" s="2" t="inlineStr">
        <is>
          <t>20260630900829</t>
        </is>
      </c>
      <c r="H13629" s="8">
        <f>HYPERLINK("https://dart.fss.or.kr/dsaf001/main.do?rcpNo=20260630900829", "공시열람")</f>
        <v/>
      </c>
    </row>
    <row r="13630">
      <c r="A13630" s="2" t="inlineStr">
        <is>
          <t>2026-06-30</t>
        </is>
      </c>
      <c r="B13630" s="3" t="inlineStr">
        <is>
          <t>에코프로비엠</t>
        </is>
      </c>
      <c r="C13630" s="2" t="inlineStr">
        <is>
          <t>코스닥</t>
        </is>
      </c>
      <c r="D13630" s="2" t="inlineStr">
        <is>
          <t>247540</t>
        </is>
      </c>
      <c r="E13630" s="3" t="inlineStr">
        <is>
          <t xml:space="preserve">주주명부폐쇄기간또는기준일설정              </t>
        </is>
      </c>
      <c r="F13630" s="3" t="inlineStr">
        <is>
          <t>에코프로비엠</t>
        </is>
      </c>
      <c r="G13630" s="2" t="inlineStr">
        <is>
          <t>20260630900950</t>
        </is>
      </c>
      <c r="H13630" s="8">
        <f>HYPERLINK("https://dart.fss.or.kr/dsaf001/main.do?rcpNo=20260630900950", "공시열람")</f>
        <v/>
      </c>
    </row>
    <row r="13631">
      <c r="A13631" s="2" t="inlineStr">
        <is>
          <t>2026-06-30</t>
        </is>
      </c>
      <c r="B13631" s="3" t="inlineStr">
        <is>
          <t>하나금융지주</t>
        </is>
      </c>
      <c r="C13631" s="2" t="inlineStr">
        <is>
          <t>코스피</t>
        </is>
      </c>
      <c r="D13631" s="2" t="inlineStr">
        <is>
          <t>086790</t>
        </is>
      </c>
      <c r="E13631" s="3" t="inlineStr">
        <is>
          <t>임원ㆍ주요주주특정증권등소유상황보고서</t>
        </is>
      </c>
      <c r="F13631" s="3" t="inlineStr">
        <is>
          <t>박동문</t>
        </is>
      </c>
      <c r="G13631" s="2" t="inlineStr">
        <is>
          <t>20260630000765</t>
        </is>
      </c>
      <c r="H13631" s="8">
        <f>HYPERLINK("https://dart.fss.or.kr/dsaf001/main.do?rcpNo=20260630000765", "공시열람")</f>
        <v/>
      </c>
    </row>
    <row r="13632">
      <c r="A13632" s="2" t="inlineStr">
        <is>
          <t>2026-06-30</t>
        </is>
      </c>
      <c r="B13632" s="3" t="inlineStr">
        <is>
          <t>넷마블</t>
        </is>
      </c>
      <c r="C13632" s="2" t="inlineStr">
        <is>
          <t>코스피</t>
        </is>
      </c>
      <c r="D13632" s="2" t="inlineStr">
        <is>
          <t>251270</t>
        </is>
      </c>
      <c r="E13632" s="3" t="inlineStr">
        <is>
          <t xml:space="preserve">지속가능경영보고서등관련사항(자율공시)              </t>
        </is>
      </c>
      <c r="F13632" s="3" t="inlineStr">
        <is>
          <t>넷마블</t>
        </is>
      </c>
      <c r="G13632" s="2" t="inlineStr">
        <is>
          <t>20260630800923</t>
        </is>
      </c>
      <c r="H13632" s="8">
        <f>HYPERLINK("https://dart.fss.or.kr/dsaf001/main.do?rcpNo=20260630800923", "공시열람")</f>
        <v/>
      </c>
    </row>
    <row r="13633">
      <c r="A13633" s="2" t="inlineStr">
        <is>
          <t>2026-06-30</t>
        </is>
      </c>
      <c r="B13633" s="3" t="inlineStr">
        <is>
          <t>에코프로비엠</t>
        </is>
      </c>
      <c r="C13633" s="2" t="inlineStr">
        <is>
          <t>코스닥</t>
        </is>
      </c>
      <c r="D13633" s="2" t="inlineStr">
        <is>
          <t>247540</t>
        </is>
      </c>
      <c r="E13633" s="3" t="inlineStr">
        <is>
          <t xml:space="preserve">기업설명회(IR)개최              </t>
        </is>
      </c>
      <c r="F13633" s="3" t="inlineStr">
        <is>
          <t>에코프로비엠</t>
        </is>
      </c>
      <c r="G13633" s="2" t="inlineStr">
        <is>
          <t>20260630900926</t>
        </is>
      </c>
      <c r="H13633" s="8">
        <f>HYPERLINK("https://dart.fss.or.kr/dsaf001/main.do?rcpNo=20260630900926", "공시열람")</f>
        <v/>
      </c>
    </row>
    <row r="13634">
      <c r="A13634" s="2" t="inlineStr">
        <is>
          <t>2026-06-30</t>
        </is>
      </c>
      <c r="B13634" s="3" t="inlineStr">
        <is>
          <t>NH투자증권</t>
        </is>
      </c>
      <c r="C13634" s="2" t="inlineStr">
        <is>
          <t>코스피</t>
        </is>
      </c>
      <c r="D13634" s="2" t="inlineStr">
        <is>
          <t>005940</t>
        </is>
      </c>
      <c r="E13634" s="3" t="inlineStr">
        <is>
          <t>증권발행실적보고서</t>
        </is>
      </c>
      <c r="F13634" s="3" t="inlineStr">
        <is>
          <t>NH투자증권</t>
        </is>
      </c>
      <c r="G13634" s="2" t="inlineStr">
        <is>
          <t>20260630000763</t>
        </is>
      </c>
      <c r="H13634" s="8">
        <f>HYPERLINK("https://dart.fss.or.kr/dsaf001/main.do?rcpNo=20260630000763", "공시열람")</f>
        <v/>
      </c>
    </row>
    <row r="13635">
      <c r="A13635" s="2" t="inlineStr">
        <is>
          <t>2026-06-30</t>
        </is>
      </c>
      <c r="B13635" s="3" t="inlineStr">
        <is>
          <t>한올바이오파마</t>
        </is>
      </c>
      <c r="C13635" s="2" t="inlineStr">
        <is>
          <t>코스피</t>
        </is>
      </c>
      <c r="D13635" s="2" t="inlineStr">
        <is>
          <t>009420</t>
        </is>
      </c>
      <c r="E13635" s="3" t="inlineStr">
        <is>
          <t xml:space="preserve">지속가능경영보고서등관련사항(자율공시)              </t>
        </is>
      </c>
      <c r="F13635" s="3" t="inlineStr">
        <is>
          <t>한올바이오파마</t>
        </is>
      </c>
      <c r="G13635" s="2" t="inlineStr">
        <is>
          <t>20260630800932</t>
        </is>
      </c>
      <c r="H13635" s="8">
        <f>HYPERLINK("https://dart.fss.or.kr/dsaf001/main.do?rcpNo=20260630800932", "공시열람")</f>
        <v/>
      </c>
    </row>
    <row r="13636">
      <c r="A13636" s="2" t="inlineStr">
        <is>
          <t>2026-06-30</t>
        </is>
      </c>
      <c r="B13636" s="3" t="inlineStr">
        <is>
          <t>우리바이오</t>
        </is>
      </c>
      <c r="C13636" s="2" t="inlineStr">
        <is>
          <t>코스닥</t>
        </is>
      </c>
      <c r="D13636" s="2" t="inlineStr">
        <is>
          <t>082850</t>
        </is>
      </c>
      <c r="E13636" s="3" t="inlineStr">
        <is>
          <t>의결권대리행사권유참고서류</t>
        </is>
      </c>
      <c r="F13636" s="3" t="inlineStr">
        <is>
          <t>우리바이오</t>
        </is>
      </c>
      <c r="G13636" s="2" t="inlineStr">
        <is>
          <t>20260630000761</t>
        </is>
      </c>
      <c r="H13636" s="8">
        <f>HYPERLINK("https://dart.fss.or.kr/dsaf001/main.do?rcpNo=20260630000761", "공시열람")</f>
        <v/>
      </c>
    </row>
    <row r="13637">
      <c r="A13637" s="2" t="inlineStr">
        <is>
          <t>2026-06-30</t>
        </is>
      </c>
      <c r="B13637" s="3" t="inlineStr">
        <is>
          <t>소노스퀘어</t>
        </is>
      </c>
      <c r="C13637" s="2" t="inlineStr">
        <is>
          <t>코스닥</t>
        </is>
      </c>
      <c r="D13637" s="2" t="inlineStr">
        <is>
          <t>007720</t>
        </is>
      </c>
      <c r="E13637" s="3" t="inlineStr">
        <is>
          <t>동일인등출자계열회사와의상품ㆍ용역거래</t>
        </is>
      </c>
      <c r="F13637" s="3" t="inlineStr">
        <is>
          <t>소노스퀘어</t>
        </is>
      </c>
      <c r="G13637" s="2" t="inlineStr">
        <is>
          <t>20260630000760</t>
        </is>
      </c>
      <c r="H13637" s="8">
        <f>HYPERLINK("https://dart.fss.or.kr/dsaf001/main.do?rcpNo=20260630000760", "공시열람")</f>
        <v/>
      </c>
    </row>
    <row r="13638">
      <c r="A13638" s="2" t="inlineStr">
        <is>
          <t>2026-06-30</t>
        </is>
      </c>
      <c r="B13638" s="3" t="inlineStr">
        <is>
          <t>차이커뮤니케이션</t>
        </is>
      </c>
      <c r="C13638" s="2" t="inlineStr">
        <is>
          <t>코스닥</t>
        </is>
      </c>
      <c r="D13638" s="2" t="inlineStr">
        <is>
          <t>351870</t>
        </is>
      </c>
      <c r="E13638" s="3" t="inlineStr">
        <is>
          <t>임원ㆍ주요주주특정증권등거래계획보고서</t>
        </is>
      </c>
      <c r="F13638" s="3" t="inlineStr">
        <is>
          <t>김용현</t>
        </is>
      </c>
      <c r="G13638" s="2" t="inlineStr">
        <is>
          <t>20260630000759</t>
        </is>
      </c>
      <c r="H13638" s="8">
        <f>HYPERLINK("https://dart.fss.or.kr/dsaf001/main.do?rcpNo=20260630000759", "공시열람")</f>
        <v/>
      </c>
    </row>
    <row r="13639">
      <c r="A13639" s="2" t="inlineStr">
        <is>
          <t>2026-06-30</t>
        </is>
      </c>
      <c r="B13639" s="3" t="inlineStr">
        <is>
          <t>STX</t>
        </is>
      </c>
      <c r="C13639" s="2" t="inlineStr">
        <is>
          <t>코스피</t>
        </is>
      </c>
      <c r="D13639" s="2" t="inlineStr">
        <is>
          <t>011810</t>
        </is>
      </c>
      <c r="E13639" s="3" t="inlineStr">
        <is>
          <t>기타시장안내              (개선계획 이행 여부 심의 요청)</t>
        </is>
      </c>
      <c r="F13639" s="3" t="inlineStr">
        <is>
          <t>유가증권시장본부</t>
        </is>
      </c>
      <c r="G13639" s="2" t="inlineStr">
        <is>
          <t>20260630800871</t>
        </is>
      </c>
      <c r="H13639" s="8">
        <f>HYPERLINK("https://dart.fss.or.kr/dsaf001/main.do?rcpNo=20260630800871", "공시열람")</f>
        <v/>
      </c>
    </row>
    <row r="13640">
      <c r="A13640" s="2" t="inlineStr">
        <is>
          <t>2026-06-30</t>
        </is>
      </c>
      <c r="B13640" s="3" t="inlineStr">
        <is>
          <t>SK오션플랜트</t>
        </is>
      </c>
      <c r="C13640" s="2" t="inlineStr">
        <is>
          <t>코스피</t>
        </is>
      </c>
      <c r="D13640" s="2" t="inlineStr">
        <is>
          <t>100090</t>
        </is>
      </c>
      <c r="E13640" s="3" t="inlineStr">
        <is>
          <t xml:space="preserve">[기재정정]투자판단관련주요경영사항              </t>
        </is>
      </c>
      <c r="F13640" s="3" t="inlineStr">
        <is>
          <t>SK오션플랜트</t>
        </is>
      </c>
      <c r="G13640" s="2" t="inlineStr">
        <is>
          <t>20260630800879</t>
        </is>
      </c>
      <c r="H13640" s="8">
        <f>HYPERLINK("https://dart.fss.or.kr/dsaf001/main.do?rcpNo=20260630800879", "공시열람")</f>
        <v/>
      </c>
    </row>
    <row r="13641">
      <c r="A13641" s="2" t="inlineStr">
        <is>
          <t>2026-06-30</t>
        </is>
      </c>
      <c r="B13641" s="3" t="inlineStr">
        <is>
          <t>윤성에프앤씨</t>
        </is>
      </c>
      <c r="C13641" s="2" t="inlineStr">
        <is>
          <t>코스닥</t>
        </is>
      </c>
      <c r="D13641" s="2" t="inlineStr">
        <is>
          <t>372170</t>
        </is>
      </c>
      <c r="E13641" s="3" t="inlineStr">
        <is>
          <t>전환가액의조정              (제1회차)</t>
        </is>
      </c>
      <c r="F13641" s="3" t="inlineStr">
        <is>
          <t>윤성에프앤씨</t>
        </is>
      </c>
      <c r="G13641" s="2" t="inlineStr">
        <is>
          <t>20260630900743</t>
        </is>
      </c>
      <c r="H13641" s="8">
        <f>HYPERLINK("https://dart.fss.or.kr/dsaf001/main.do?rcpNo=20260630900743", "공시열람")</f>
        <v/>
      </c>
    </row>
    <row r="13642">
      <c r="A13642" s="2" t="inlineStr">
        <is>
          <t>2026-06-30</t>
        </is>
      </c>
      <c r="B13642" s="3" t="inlineStr">
        <is>
          <t>젠큐릭스</t>
        </is>
      </c>
      <c r="C13642" s="2" t="inlineStr">
        <is>
          <t>코스닥</t>
        </is>
      </c>
      <c r="D13642" s="2" t="inlineStr">
        <is>
          <t>229000</t>
        </is>
      </c>
      <c r="E13642" s="3" t="inlineStr">
        <is>
          <t>[기재정정]합병등종료보고서(자산양수도)</t>
        </is>
      </c>
      <c r="F13642" s="3" t="inlineStr">
        <is>
          <t>젠큐릭스</t>
        </is>
      </c>
      <c r="G13642" s="2" t="inlineStr">
        <is>
          <t>20260630000754</t>
        </is>
      </c>
      <c r="H13642" s="8">
        <f>HYPERLINK("https://dart.fss.or.kr/dsaf001/main.do?rcpNo=20260630000754", "공시열람")</f>
        <v/>
      </c>
    </row>
    <row r="13643">
      <c r="A13643" s="2" t="inlineStr">
        <is>
          <t>2026-06-30</t>
        </is>
      </c>
      <c r="B13643" s="3" t="inlineStr">
        <is>
          <t>코스맥스엔비티</t>
        </is>
      </c>
      <c r="C13643" s="2" t="inlineStr">
        <is>
          <t>코스닥</t>
        </is>
      </c>
      <c r="D13643" s="2" t="inlineStr">
        <is>
          <t>222040</t>
        </is>
      </c>
      <c r="E13643" s="3" t="inlineStr">
        <is>
          <t>합병등종료보고서(합병)</t>
        </is>
      </c>
      <c r="F13643" s="3" t="inlineStr">
        <is>
          <t>코스맥스엔비티</t>
        </is>
      </c>
      <c r="G13643" s="2" t="inlineStr">
        <is>
          <t>20260630000752</t>
        </is>
      </c>
      <c r="H13643" s="8">
        <f>HYPERLINK("https://dart.fss.or.kr/dsaf001/main.do?rcpNo=20260630000752", "공시열람")</f>
        <v/>
      </c>
    </row>
    <row r="13644">
      <c r="A13644" s="2" t="inlineStr">
        <is>
          <t>2026-06-30</t>
        </is>
      </c>
      <c r="B13644" s="3" t="inlineStr">
        <is>
          <t>이지스밸류플러스리츠</t>
        </is>
      </c>
      <c r="C13644" s="2" t="inlineStr">
        <is>
          <t>코스피</t>
        </is>
      </c>
      <c r="D13644" s="2" t="inlineStr">
        <is>
          <t>334890</t>
        </is>
      </c>
      <c r="E13644" s="3" t="inlineStr">
        <is>
          <t>임원ㆍ주요주주특정증권등소유상황보고서</t>
        </is>
      </c>
      <c r="F13644" s="3" t="inlineStr">
        <is>
          <t>코람코주택도시기금위탁관리부동산투자회사</t>
        </is>
      </c>
      <c r="G13644" s="2" t="inlineStr">
        <is>
          <t>20260630000751</t>
        </is>
      </c>
      <c r="H13644" s="8">
        <f>HYPERLINK("https://dart.fss.or.kr/dsaf001/main.do?rcpNo=20260630000751", "공시열람")</f>
        <v/>
      </c>
    </row>
    <row r="13645">
      <c r="A13645" s="2" t="inlineStr">
        <is>
          <t>2026-06-30</t>
        </is>
      </c>
      <c r="B13645" s="3" t="inlineStr">
        <is>
          <t>일양약품</t>
        </is>
      </c>
      <c r="C13645" s="2" t="inlineStr">
        <is>
          <t>코스피</t>
        </is>
      </c>
      <c r="D13645" s="2" t="inlineStr">
        <is>
          <t>007570</t>
        </is>
      </c>
      <c r="E13645" s="3" t="inlineStr">
        <is>
          <t>임원ㆍ주요주주특정증권등거래계획보고서</t>
        </is>
      </c>
      <c r="F13645" s="3" t="inlineStr">
        <is>
          <t>정유석</t>
        </is>
      </c>
      <c r="G13645" s="2" t="inlineStr">
        <is>
          <t>20260630000750</t>
        </is>
      </c>
      <c r="H13645" s="8">
        <f>HYPERLINK("https://dart.fss.or.kr/dsaf001/main.do?rcpNo=20260630000750", "공시열람")</f>
        <v/>
      </c>
    </row>
    <row r="13646">
      <c r="A13646" s="2" t="inlineStr">
        <is>
          <t>2026-06-30</t>
        </is>
      </c>
      <c r="B13646" s="3" t="inlineStr">
        <is>
          <t>엘앤에프</t>
        </is>
      </c>
      <c r="C13646" s="2" t="inlineStr">
        <is>
          <t>코스피</t>
        </is>
      </c>
      <c r="D13646" s="2" t="inlineStr">
        <is>
          <t>066970</t>
        </is>
      </c>
      <c r="E13646" s="3" t="inlineStr">
        <is>
          <t xml:space="preserve">지속가능경영보고서등관련사항(자율공시)              </t>
        </is>
      </c>
      <c r="F13646" s="3" t="inlineStr">
        <is>
          <t>엘앤에프</t>
        </is>
      </c>
      <c r="G13646" s="2" t="inlineStr">
        <is>
          <t>20260630800907</t>
        </is>
      </c>
      <c r="H13646" s="8">
        <f>HYPERLINK("https://dart.fss.or.kr/dsaf001/main.do?rcpNo=20260630800907", "공시열람")</f>
        <v/>
      </c>
    </row>
    <row r="13647">
      <c r="A13647" s="2" t="inlineStr">
        <is>
          <t>2026-06-30</t>
        </is>
      </c>
      <c r="B13647" s="3" t="inlineStr">
        <is>
          <t>KPX케미칼</t>
        </is>
      </c>
      <c r="C13647" s="2" t="inlineStr">
        <is>
          <t>코스피</t>
        </is>
      </c>
      <c r="D13647" s="2" t="inlineStr">
        <is>
          <t>025000</t>
        </is>
      </c>
      <c r="E13647" s="3" t="inlineStr">
        <is>
          <t>사외이사의선임ㆍ해임또는중도퇴임에관한신고</t>
        </is>
      </c>
      <c r="F13647" s="3" t="inlineStr">
        <is>
          <t>KPX케미칼</t>
        </is>
      </c>
      <c r="G13647" s="2" t="inlineStr">
        <is>
          <t>20260630000748</t>
        </is>
      </c>
      <c r="H13647" s="8">
        <f>HYPERLINK("https://dart.fss.or.kr/dsaf001/main.do?rcpNo=20260630000748", "공시열람")</f>
        <v/>
      </c>
    </row>
    <row r="13648">
      <c r="A13648" s="2" t="inlineStr">
        <is>
          <t>2026-06-30</t>
        </is>
      </c>
      <c r="B13648" s="3" t="inlineStr">
        <is>
          <t>현대차증권</t>
        </is>
      </c>
      <c r="C13648" s="2" t="inlineStr">
        <is>
          <t>코스피</t>
        </is>
      </c>
      <c r="D13648" s="2" t="inlineStr">
        <is>
          <t>001500</t>
        </is>
      </c>
      <c r="E13648" s="3" t="inlineStr">
        <is>
          <t>투자설명서(일괄신고)</t>
        </is>
      </c>
      <c r="F13648" s="3" t="inlineStr">
        <is>
          <t>현대차증권</t>
        </is>
      </c>
      <c r="G13648" s="2" t="inlineStr">
        <is>
          <t>20260630000747</t>
        </is>
      </c>
      <c r="H13648" s="8">
        <f>HYPERLINK("https://dart.fss.or.kr/dsaf001/main.do?rcpNo=20260630000747", "공시열람")</f>
        <v/>
      </c>
    </row>
    <row r="13649">
      <c r="A13649" s="2" t="inlineStr">
        <is>
          <t>2026-06-30</t>
        </is>
      </c>
      <c r="B13649" s="3" t="inlineStr">
        <is>
          <t>일양약품</t>
        </is>
      </c>
      <c r="C13649" s="2" t="inlineStr">
        <is>
          <t>코스피</t>
        </is>
      </c>
      <c r="D13649" s="2" t="inlineStr">
        <is>
          <t>007570</t>
        </is>
      </c>
      <c r="E13649" s="3" t="inlineStr">
        <is>
          <t>임원ㆍ주요주주특정증권등거래계획보고서</t>
        </is>
      </c>
      <c r="F13649" s="3" t="inlineStr">
        <is>
          <t>정도언</t>
        </is>
      </c>
      <c r="G13649" s="2" t="inlineStr">
        <is>
          <t>20260630000746</t>
        </is>
      </c>
      <c r="H13649" s="8">
        <f>HYPERLINK("https://dart.fss.or.kr/dsaf001/main.do?rcpNo=20260630000746", "공시열람")</f>
        <v/>
      </c>
    </row>
    <row r="13650">
      <c r="A13650" s="2" t="inlineStr">
        <is>
          <t>2026-06-30</t>
        </is>
      </c>
      <c r="B13650" s="3" t="inlineStr">
        <is>
          <t>SKC</t>
        </is>
      </c>
      <c r="C13650" s="2" t="inlineStr">
        <is>
          <t>코스피</t>
        </is>
      </c>
      <c r="D13650" s="2" t="inlineStr">
        <is>
          <t>011790</t>
        </is>
      </c>
      <c r="E13650" s="3" t="inlineStr">
        <is>
          <t xml:space="preserve">지속가능경영보고서등관련사항(자율공시)              </t>
        </is>
      </c>
      <c r="F13650" s="3" t="inlineStr">
        <is>
          <t>SKC</t>
        </is>
      </c>
      <c r="G13650" s="2" t="inlineStr">
        <is>
          <t>20260630800906</t>
        </is>
      </c>
      <c r="H13650" s="8">
        <f>HYPERLINK("https://dart.fss.or.kr/dsaf001/main.do?rcpNo=20260630800906", "공시열람")</f>
        <v/>
      </c>
    </row>
    <row r="13651">
      <c r="A13651" s="2" t="inlineStr">
        <is>
          <t>2026-06-30</t>
        </is>
      </c>
      <c r="B13651" s="3" t="inlineStr">
        <is>
          <t>바이브컴퍼니</t>
        </is>
      </c>
      <c r="C13651" s="2" t="inlineStr">
        <is>
          <t>코스닥</t>
        </is>
      </c>
      <c r="D13651" s="2" t="inlineStr">
        <is>
          <t>301300</t>
        </is>
      </c>
      <c r="E13651" s="3" t="inlineStr">
        <is>
          <t xml:space="preserve">주주명부폐쇄기간또는기준일설정              </t>
        </is>
      </c>
      <c r="F13651" s="3" t="inlineStr">
        <is>
          <t>바이브컴퍼니</t>
        </is>
      </c>
      <c r="G13651" s="2" t="inlineStr">
        <is>
          <t>20260630900905</t>
        </is>
      </c>
      <c r="H13651" s="8">
        <f>HYPERLINK("https://dart.fss.or.kr/dsaf001/main.do?rcpNo=20260630900905", "공시열람")</f>
        <v/>
      </c>
    </row>
    <row r="13652">
      <c r="A13652" s="2" t="inlineStr">
        <is>
          <t>2026-06-30</t>
        </is>
      </c>
      <c r="B13652" s="3" t="inlineStr">
        <is>
          <t>메디포스트</t>
        </is>
      </c>
      <c r="C13652" s="2" t="inlineStr">
        <is>
          <t>코스닥</t>
        </is>
      </c>
      <c r="D13652" s="2" t="inlineStr">
        <is>
          <t>078160</t>
        </is>
      </c>
      <c r="E13652" s="3" t="inlineStr">
        <is>
          <t xml:space="preserve">전환가액의조정              </t>
        </is>
      </c>
      <c r="F13652" s="3" t="inlineStr">
        <is>
          <t>메디포스트</t>
        </is>
      </c>
      <c r="G13652" s="2" t="inlineStr">
        <is>
          <t>20260630900903</t>
        </is>
      </c>
      <c r="H13652" s="8">
        <f>HYPERLINK("https://dart.fss.or.kr/dsaf001/main.do?rcpNo=20260630900903", "공시열람")</f>
        <v/>
      </c>
    </row>
    <row r="13653">
      <c r="A13653" s="2" t="inlineStr">
        <is>
          <t>2026-06-30</t>
        </is>
      </c>
      <c r="B13653" s="3" t="inlineStr">
        <is>
          <t>와이즈버즈</t>
        </is>
      </c>
      <c r="C13653" s="2" t="inlineStr">
        <is>
          <t>코스닥</t>
        </is>
      </c>
      <c r="D13653" s="2" t="inlineStr">
        <is>
          <t>273060</t>
        </is>
      </c>
      <c r="E13653" s="3" t="inlineStr">
        <is>
          <t xml:space="preserve">[기재정정]주식병합결정              </t>
        </is>
      </c>
      <c r="F13653" s="3" t="inlineStr">
        <is>
          <t>와이즈버즈</t>
        </is>
      </c>
      <c r="G13653" s="2" t="inlineStr">
        <is>
          <t>20260630900901</t>
        </is>
      </c>
      <c r="H13653" s="8">
        <f>HYPERLINK("https://dart.fss.or.kr/dsaf001/main.do?rcpNo=20260630900901", "공시열람")</f>
        <v/>
      </c>
    </row>
    <row r="13654">
      <c r="A13654" s="2" t="inlineStr">
        <is>
          <t>2026-06-30</t>
        </is>
      </c>
      <c r="B13654" s="3" t="inlineStr">
        <is>
          <t>젠큐릭스</t>
        </is>
      </c>
      <c r="C13654" s="2" t="inlineStr">
        <is>
          <t>코스닥</t>
        </is>
      </c>
      <c r="D13654" s="2" t="inlineStr">
        <is>
          <t>229000</t>
        </is>
      </c>
      <c r="E13654" s="3" t="inlineStr">
        <is>
          <t>[기재정정]주요사항보고서(타법인주식및출자증권양도결정)</t>
        </is>
      </c>
      <c r="F13654" s="3" t="inlineStr">
        <is>
          <t>젠큐릭스</t>
        </is>
      </c>
      <c r="G13654" s="2" t="inlineStr">
        <is>
          <t>20260630000681</t>
        </is>
      </c>
      <c r="H13654" s="8">
        <f>HYPERLINK("https://dart.fss.or.kr/dsaf001/main.do?rcpNo=20260630000681", "공시열람")</f>
        <v/>
      </c>
    </row>
    <row r="13655">
      <c r="A13655" s="2" t="inlineStr">
        <is>
          <t>2026-06-30</t>
        </is>
      </c>
      <c r="B13655" s="3" t="inlineStr">
        <is>
          <t>제닉스로보틱스</t>
        </is>
      </c>
      <c r="C13655" s="2" t="inlineStr">
        <is>
          <t>코스닥</t>
        </is>
      </c>
      <c r="D13655" s="2" t="inlineStr">
        <is>
          <t>381620</t>
        </is>
      </c>
      <c r="E13655" s="3" t="inlineStr">
        <is>
          <t>[기재정정]주식매수선택권부여에관한신고</t>
        </is>
      </c>
      <c r="F13655" s="3" t="inlineStr">
        <is>
          <t>제닉스로보틱스</t>
        </is>
      </c>
      <c r="G13655" s="2" t="inlineStr">
        <is>
          <t>20260630000744</t>
        </is>
      </c>
      <c r="H13655" s="8">
        <f>HYPERLINK("https://dart.fss.or.kr/dsaf001/main.do?rcpNo=20260630000744", "공시열람")</f>
        <v/>
      </c>
    </row>
    <row r="13656">
      <c r="A13656" s="2" t="inlineStr">
        <is>
          <t>2026-06-30</t>
        </is>
      </c>
      <c r="B13656" s="3" t="inlineStr">
        <is>
          <t>HLB</t>
        </is>
      </c>
      <c r="C13656" s="2" t="inlineStr">
        <is>
          <t>코스닥</t>
        </is>
      </c>
      <c r="D13656" s="2" t="inlineStr">
        <is>
          <t>028300</t>
        </is>
      </c>
      <c r="E13656" s="3" t="inlineStr">
        <is>
          <t>기타시장안내(약명및영문명)              (영문상호)</t>
        </is>
      </c>
      <c r="F13656" s="3" t="inlineStr">
        <is>
          <t>코스닥시장본부</t>
        </is>
      </c>
      <c r="G13656" s="2" t="inlineStr">
        <is>
          <t>20260630900881</t>
        </is>
      </c>
      <c r="H13656" s="8">
        <f>HYPERLINK("https://dart.fss.or.kr/dsaf001/main.do?rcpNo=20260630900881", "공시열람")</f>
        <v/>
      </c>
    </row>
    <row r="13657">
      <c r="A13657" s="2" t="inlineStr">
        <is>
          <t>2026-06-30</t>
        </is>
      </c>
      <c r="B13657" s="3" t="inlineStr">
        <is>
          <t>POSCO홀딩스</t>
        </is>
      </c>
      <c r="C13657" s="2" t="inlineStr">
        <is>
          <t>코스피</t>
        </is>
      </c>
      <c r="D13657" s="2" t="inlineStr">
        <is>
          <t>005490</t>
        </is>
      </c>
      <c r="E13657" s="3" t="inlineStr">
        <is>
          <t xml:space="preserve">조회공시요구(풍문또는보도)에대한답변(미확정)              </t>
        </is>
      </c>
      <c r="F13657" s="3" t="inlineStr">
        <is>
          <t>POSCO홀딩스</t>
        </is>
      </c>
      <c r="G13657" s="2" t="inlineStr">
        <is>
          <t>20260630800794</t>
        </is>
      </c>
      <c r="H13657" s="8">
        <f>HYPERLINK("https://dart.fss.or.kr/dsaf001/main.do?rcpNo=20260630800794", "공시열람")</f>
        <v/>
      </c>
    </row>
    <row r="13658">
      <c r="A13658" s="2" t="inlineStr">
        <is>
          <t>2026-06-30</t>
        </is>
      </c>
      <c r="B13658" s="3" t="inlineStr">
        <is>
          <t>삼성E&amp;A</t>
        </is>
      </c>
      <c r="C13658" s="2" t="inlineStr">
        <is>
          <t>코스피</t>
        </is>
      </c>
      <c r="D13658" s="2" t="inlineStr">
        <is>
          <t>028050</t>
        </is>
      </c>
      <c r="E13658" s="3" t="inlineStr">
        <is>
          <t xml:space="preserve">지속가능경영보고서등관련사항(자율공시)              </t>
        </is>
      </c>
      <c r="F13658" s="3" t="inlineStr">
        <is>
          <t>삼성E&amp;A</t>
        </is>
      </c>
      <c r="G13658" s="2" t="inlineStr">
        <is>
          <t>20260630800894</t>
        </is>
      </c>
      <c r="H13658" s="8">
        <f>HYPERLINK("https://dart.fss.or.kr/dsaf001/main.do?rcpNo=20260630800894", "공시열람")</f>
        <v/>
      </c>
    </row>
    <row r="13659">
      <c r="A13659" s="2" t="inlineStr">
        <is>
          <t>2026-06-30</t>
        </is>
      </c>
      <c r="B13659" s="3" t="inlineStr">
        <is>
          <t>다보링크</t>
        </is>
      </c>
      <c r="C13659" s="2" t="inlineStr">
        <is>
          <t>코스닥</t>
        </is>
      </c>
      <c r="D13659" s="2" t="inlineStr">
        <is>
          <t>340360</t>
        </is>
      </c>
      <c r="E13659" s="3" t="inlineStr">
        <is>
          <t>[기재정정]소액공모공시서류(지분증권)</t>
        </is>
      </c>
      <c r="F13659" s="3" t="inlineStr">
        <is>
          <t>다보링크</t>
        </is>
      </c>
      <c r="G13659" s="2" t="inlineStr">
        <is>
          <t>20260630000740</t>
        </is>
      </c>
      <c r="H13659" s="8">
        <f>HYPERLINK("https://dart.fss.or.kr/dsaf001/main.do?rcpNo=20260630000740", "공시열람")</f>
        <v/>
      </c>
    </row>
    <row r="13660">
      <c r="A13660" s="2" t="inlineStr">
        <is>
          <t>2026-06-30</t>
        </is>
      </c>
      <c r="B13660" s="3" t="inlineStr">
        <is>
          <t>3S</t>
        </is>
      </c>
      <c r="C13660" s="2" t="inlineStr">
        <is>
          <t>코스닥</t>
        </is>
      </c>
      <c r="D13660" s="2" t="inlineStr">
        <is>
          <t>060310</t>
        </is>
      </c>
      <c r="E13660" s="3" t="inlineStr">
        <is>
          <t>임원ㆍ주요주주특정증권등소유상황보고서</t>
        </is>
      </c>
      <c r="F13660" s="3" t="inlineStr">
        <is>
          <t>한국웨이퍼홀딩스</t>
        </is>
      </c>
      <c r="G13660" s="2" t="inlineStr">
        <is>
          <t>20260630000738</t>
        </is>
      </c>
      <c r="H13660" s="8">
        <f>HYPERLINK("https://dart.fss.or.kr/dsaf001/main.do?rcpNo=20260630000738", "공시열람")</f>
        <v/>
      </c>
    </row>
    <row r="13661">
      <c r="A13661" s="2" t="inlineStr">
        <is>
          <t>2026-06-30</t>
        </is>
      </c>
      <c r="B13661" s="3" t="inlineStr">
        <is>
          <t>형지I&amp;C</t>
        </is>
      </c>
      <c r="C13661" s="2" t="inlineStr">
        <is>
          <t>코스닥</t>
        </is>
      </c>
      <c r="D13661" s="2" t="inlineStr">
        <is>
          <t>011080</t>
        </is>
      </c>
      <c r="E13661" s="3" t="inlineStr">
        <is>
          <t>임원ㆍ주요주주특정증권등소유상황보고서</t>
        </is>
      </c>
      <c r="F13661" s="3" t="inlineStr">
        <is>
          <t>최병오</t>
        </is>
      </c>
      <c r="G13661" s="2" t="inlineStr">
        <is>
          <t>20260630000737</t>
        </is>
      </c>
      <c r="H13661" s="8">
        <f>HYPERLINK("https://dart.fss.or.kr/dsaf001/main.do?rcpNo=20260630000737", "공시열람")</f>
        <v/>
      </c>
    </row>
    <row r="13662">
      <c r="A13662" s="2" t="inlineStr">
        <is>
          <t>2026-06-30</t>
        </is>
      </c>
      <c r="B13662" s="3" t="inlineStr">
        <is>
          <t>KNN</t>
        </is>
      </c>
      <c r="C13662" s="2" t="inlineStr">
        <is>
          <t>코스닥</t>
        </is>
      </c>
      <c r="D13662" s="2" t="inlineStr">
        <is>
          <t>058400</t>
        </is>
      </c>
      <c r="E13662" s="3" t="inlineStr">
        <is>
          <t>주권매매거래정지              (주식의 병합, 분할 등 전자등록 변경, 말소)</t>
        </is>
      </c>
      <c r="F13662" s="3" t="inlineStr">
        <is>
          <t>코스닥시장본부</t>
        </is>
      </c>
      <c r="G13662" s="2" t="inlineStr">
        <is>
          <t>20260630900777</t>
        </is>
      </c>
      <c r="H13662" s="8">
        <f>HYPERLINK("https://dart.fss.or.kr/dsaf001/main.do?rcpNo=20260630900777", "공시열람")</f>
        <v/>
      </c>
    </row>
    <row r="13663">
      <c r="A13663" s="2" t="inlineStr">
        <is>
          <t>2026-06-30</t>
        </is>
      </c>
      <c r="B13663" s="3" t="inlineStr">
        <is>
          <t>우리이앤엘하루틴</t>
        </is>
      </c>
      <c r="C13663" s="2" t="inlineStr">
        <is>
          <t>코스닥</t>
        </is>
      </c>
      <c r="D13663" s="2" t="inlineStr">
        <is>
          <t>153490</t>
        </is>
      </c>
      <c r="E13663" s="3" t="inlineStr">
        <is>
          <t>의결권대리행사권유참고서류</t>
        </is>
      </c>
      <c r="F13663" s="3" t="inlineStr">
        <is>
          <t>우리이앤엘하루틴</t>
        </is>
      </c>
      <c r="G13663" s="2" t="inlineStr">
        <is>
          <t>20260630000735</t>
        </is>
      </c>
      <c r="H13663" s="8">
        <f>HYPERLINK("https://dart.fss.or.kr/dsaf001/main.do?rcpNo=20260630000735", "공시열람")</f>
        <v/>
      </c>
    </row>
    <row r="13664">
      <c r="A13664" s="2" t="inlineStr">
        <is>
          <t>2026-06-30</t>
        </is>
      </c>
      <c r="B13664" s="3" t="inlineStr">
        <is>
          <t>차이커뮤니케이션</t>
        </is>
      </c>
      <c r="C13664" s="2" t="inlineStr">
        <is>
          <t>코스닥</t>
        </is>
      </c>
      <c r="D13664" s="2" t="inlineStr">
        <is>
          <t>351870</t>
        </is>
      </c>
      <c r="E13664" s="3" t="inlineStr">
        <is>
          <t>임원ㆍ주요주주특정증권등거래계획보고서</t>
        </is>
      </c>
      <c r="F13664" s="3" t="inlineStr">
        <is>
          <t>최영섭</t>
        </is>
      </c>
      <c r="G13664" s="2" t="inlineStr">
        <is>
          <t>20260630000733</t>
        </is>
      </c>
      <c r="H13664" s="8">
        <f>HYPERLINK("https://dart.fss.or.kr/dsaf001/main.do?rcpNo=20260630000733", "공시열람")</f>
        <v/>
      </c>
    </row>
    <row r="13665">
      <c r="A13665" s="2" t="inlineStr">
        <is>
          <t>2026-06-30</t>
        </is>
      </c>
      <c r="B13665" s="3" t="inlineStr">
        <is>
          <t>경인전자</t>
        </is>
      </c>
      <c r="C13665" s="2" t="inlineStr">
        <is>
          <t>코스피</t>
        </is>
      </c>
      <c r="D13665" s="2" t="inlineStr">
        <is>
          <t>009140</t>
        </is>
      </c>
      <c r="E13665" s="3" t="inlineStr">
        <is>
          <t>임원ㆍ주요주주특정증권등소유상황보고서</t>
        </is>
      </c>
      <c r="F13665" s="3" t="inlineStr">
        <is>
          <t>한영운</t>
        </is>
      </c>
      <c r="G13665" s="2" t="inlineStr">
        <is>
          <t>20260630000732</t>
        </is>
      </c>
      <c r="H13665" s="8">
        <f>HYPERLINK("https://dart.fss.or.kr/dsaf001/main.do?rcpNo=20260630000732", "공시열람")</f>
        <v/>
      </c>
    </row>
    <row r="13666">
      <c r="A13666" s="2" t="inlineStr">
        <is>
          <t>2026-06-30</t>
        </is>
      </c>
      <c r="B13666" s="3" t="inlineStr">
        <is>
          <t>코스나인</t>
        </is>
      </c>
      <c r="C13666" s="2" t="inlineStr">
        <is>
          <t>코스닥</t>
        </is>
      </c>
      <c r="D13666" s="2" t="inlineStr">
        <is>
          <t>082660</t>
        </is>
      </c>
      <c r="E13666" s="3" t="inlineStr">
        <is>
          <t xml:space="preserve">[기재정정]주주명부폐쇄기간또는기준일설정              </t>
        </is>
      </c>
      <c r="F13666" s="3" t="inlineStr">
        <is>
          <t>코스나인</t>
        </is>
      </c>
      <c r="G13666" s="2" t="inlineStr">
        <is>
          <t>20260630900818</t>
        </is>
      </c>
      <c r="H13666" s="8">
        <f>HYPERLINK("https://dart.fss.or.kr/dsaf001/main.do?rcpNo=20260630900818", "공시열람")</f>
        <v/>
      </c>
    </row>
    <row r="13667">
      <c r="A13667" s="2" t="inlineStr">
        <is>
          <t>2026-06-30</t>
        </is>
      </c>
      <c r="B13667" s="3" t="inlineStr">
        <is>
          <t>호텔신라</t>
        </is>
      </c>
      <c r="C13667" s="2" t="inlineStr">
        <is>
          <t>코스피</t>
        </is>
      </c>
      <c r="D13667" s="2" t="inlineStr">
        <is>
          <t>008770</t>
        </is>
      </c>
      <c r="E13667" s="3" t="inlineStr">
        <is>
          <t xml:space="preserve">지속가능경영보고서등관련사항(자율공시)              </t>
        </is>
      </c>
      <c r="F13667" s="3" t="inlineStr">
        <is>
          <t>호텔신라</t>
        </is>
      </c>
      <c r="G13667" s="2" t="inlineStr">
        <is>
          <t>20260630800865</t>
        </is>
      </c>
      <c r="H13667" s="8">
        <f>HYPERLINK("https://dart.fss.or.kr/dsaf001/main.do?rcpNo=20260630800865", "공시열람")</f>
        <v/>
      </c>
    </row>
    <row r="13668">
      <c r="A13668" s="2" t="inlineStr">
        <is>
          <t>2026-06-30</t>
        </is>
      </c>
      <c r="B13668" s="3" t="inlineStr">
        <is>
          <t>미래에셋증권</t>
        </is>
      </c>
      <c r="C13668" s="2" t="inlineStr">
        <is>
          <t>코스피</t>
        </is>
      </c>
      <c r="D13668" s="2" t="inlineStr">
        <is>
          <t>006800</t>
        </is>
      </c>
      <c r="E13668" s="3" t="inlineStr">
        <is>
          <t>증권발행실적보고서</t>
        </is>
      </c>
      <c r="F13668" s="3" t="inlineStr">
        <is>
          <t>미래에셋증권</t>
        </is>
      </c>
      <c r="G13668" s="2" t="inlineStr">
        <is>
          <t>20260630000730</t>
        </is>
      </c>
      <c r="H13668" s="8">
        <f>HYPERLINK("https://dart.fss.or.kr/dsaf001/main.do?rcpNo=20260630000730", "공시열람")</f>
        <v/>
      </c>
    </row>
    <row r="13669">
      <c r="A13669" s="2" t="inlineStr">
        <is>
          <t>2026-06-30</t>
        </is>
      </c>
      <c r="B13669" s="3" t="inlineStr">
        <is>
          <t>삼성화재해상보험</t>
        </is>
      </c>
      <c r="C13669" s="2" t="inlineStr">
        <is>
          <t>코스피</t>
        </is>
      </c>
      <c r="D13669" s="2" t="inlineStr">
        <is>
          <t>000810</t>
        </is>
      </c>
      <c r="E13669" s="3" t="inlineStr">
        <is>
          <t xml:space="preserve">지속가능경영보고서등관련사항(자율공시)              </t>
        </is>
      </c>
      <c r="F13669" s="3" t="inlineStr">
        <is>
          <t>삼성화재해상보험</t>
        </is>
      </c>
      <c r="G13669" s="2" t="inlineStr">
        <is>
          <t>20260630800857</t>
        </is>
      </c>
      <c r="H13669" s="8">
        <f>HYPERLINK("https://dart.fss.or.kr/dsaf001/main.do?rcpNo=20260630800857", "공시열람")</f>
        <v/>
      </c>
    </row>
    <row r="13670">
      <c r="A13670" s="2" t="inlineStr">
        <is>
          <t>2026-06-30</t>
        </is>
      </c>
      <c r="B13670" s="3" t="inlineStr">
        <is>
          <t>형지I&amp;C</t>
        </is>
      </c>
      <c r="C13670" s="2" t="inlineStr">
        <is>
          <t>코스닥</t>
        </is>
      </c>
      <c r="D13670" s="2" t="inlineStr">
        <is>
          <t>011080</t>
        </is>
      </c>
      <c r="E13670" s="3" t="inlineStr">
        <is>
          <t>임원ㆍ주요주주특정증권등소유상황보고서</t>
        </is>
      </c>
      <c r="F13670" s="3" t="inlineStr">
        <is>
          <t>최혜원</t>
        </is>
      </c>
      <c r="G13670" s="2" t="inlineStr">
        <is>
          <t>20260630000723</t>
        </is>
      </c>
      <c r="H13670" s="8">
        <f>HYPERLINK("https://dart.fss.or.kr/dsaf001/main.do?rcpNo=20260630000723", "공시열람")</f>
        <v/>
      </c>
    </row>
    <row r="13671">
      <c r="A13671" s="2" t="inlineStr">
        <is>
          <t>2026-06-30</t>
        </is>
      </c>
      <c r="B13671" s="3" t="inlineStr">
        <is>
          <t>아리바이오LAB</t>
        </is>
      </c>
      <c r="C13671" s="2" t="inlineStr">
        <is>
          <t>코스닥</t>
        </is>
      </c>
      <c r="D13671" s="2" t="inlineStr">
        <is>
          <t>261780</t>
        </is>
      </c>
      <c r="E13671" s="3" t="inlineStr">
        <is>
          <t>[기재정정]주식매수선택권부여에관한신고</t>
        </is>
      </c>
      <c r="F13671" s="3" t="inlineStr">
        <is>
          <t>아리바이오LAB</t>
        </is>
      </c>
      <c r="G13671" s="2" t="inlineStr">
        <is>
          <t>20260630000718</t>
        </is>
      </c>
      <c r="H13671" s="8">
        <f>HYPERLINK("https://dart.fss.or.kr/dsaf001/main.do?rcpNo=20260630000718", "공시열람")</f>
        <v/>
      </c>
    </row>
    <row r="13672">
      <c r="A13672" s="2" t="inlineStr">
        <is>
          <t>2026-06-30</t>
        </is>
      </c>
      <c r="B13672" s="3" t="inlineStr">
        <is>
          <t>엠씨넥스</t>
        </is>
      </c>
      <c r="C13672" s="2" t="inlineStr">
        <is>
          <t>코스피</t>
        </is>
      </c>
      <c r="D13672" s="2" t="inlineStr">
        <is>
          <t>097520</t>
        </is>
      </c>
      <c r="E13672" s="3" t="inlineStr">
        <is>
          <t>자기주식취득결과보고서</t>
        </is>
      </c>
      <c r="F13672" s="3" t="inlineStr">
        <is>
          <t>엠씨넥스</t>
        </is>
      </c>
      <c r="G13672" s="2" t="inlineStr">
        <is>
          <t>20260630000717</t>
        </is>
      </c>
      <c r="H13672" s="8">
        <f>HYPERLINK("https://dart.fss.or.kr/dsaf001/main.do?rcpNo=20260630000717", "공시열람")</f>
        <v/>
      </c>
    </row>
    <row r="13673">
      <c r="A13673" s="2" t="inlineStr">
        <is>
          <t>2026-06-30</t>
        </is>
      </c>
      <c r="B13673" s="3" t="inlineStr">
        <is>
          <t>크리스탈신소재</t>
        </is>
      </c>
      <c r="C13673" s="2" t="inlineStr">
        <is>
          <t>코스닥</t>
        </is>
      </c>
      <c r="D13673" s="2" t="inlineStr">
        <is>
          <t>900250</t>
        </is>
      </c>
      <c r="E13673" s="3" t="inlineStr">
        <is>
          <t xml:space="preserve">[기재정정]외국지주회사의자회사편입ㆍ탈퇴              </t>
        </is>
      </c>
      <c r="F13673" s="3" t="inlineStr">
        <is>
          <t>크리스탈신소재</t>
        </is>
      </c>
      <c r="G13673" s="2" t="inlineStr">
        <is>
          <t>20260630900749</t>
        </is>
      </c>
      <c r="H13673" s="8">
        <f>HYPERLINK("https://dart.fss.or.kr/dsaf001/main.do?rcpNo=20260630900749", "공시열람")</f>
        <v/>
      </c>
    </row>
    <row r="13674">
      <c r="A13674" s="2" t="inlineStr">
        <is>
          <t>2026-06-30</t>
        </is>
      </c>
      <c r="B13674" s="3" t="inlineStr">
        <is>
          <t>형지I&amp;C</t>
        </is>
      </c>
      <c r="C13674" s="2" t="inlineStr">
        <is>
          <t>코스닥</t>
        </is>
      </c>
      <c r="D13674" s="2" t="inlineStr">
        <is>
          <t>011080</t>
        </is>
      </c>
      <c r="E13674" s="3" t="inlineStr">
        <is>
          <t>임원ㆍ주요주주특정증권등소유상황보고서</t>
        </is>
      </c>
      <c r="F13674" s="3" t="inlineStr">
        <is>
          <t>패션그룹형지</t>
        </is>
      </c>
      <c r="G13674" s="2" t="inlineStr">
        <is>
          <t>20260630000715</t>
        </is>
      </c>
      <c r="H13674" s="8">
        <f>HYPERLINK("https://dart.fss.or.kr/dsaf001/main.do?rcpNo=20260630000715", "공시열람")</f>
        <v/>
      </c>
    </row>
    <row r="13675">
      <c r="A13675" s="2" t="inlineStr">
        <is>
          <t>2026-06-30</t>
        </is>
      </c>
      <c r="B13675" s="3" t="inlineStr">
        <is>
          <t>티이엠씨씨엔에스</t>
        </is>
      </c>
      <c r="C13675" s="2" t="inlineStr">
        <is>
          <t>코스닥</t>
        </is>
      </c>
      <c r="D13675" s="2" t="inlineStr">
        <is>
          <t>241790</t>
        </is>
      </c>
      <c r="E13675" s="3" t="inlineStr">
        <is>
          <t>임원ㆍ주요주주특정증권등소유상황보고서</t>
        </is>
      </c>
      <c r="F13675" s="3" t="inlineStr">
        <is>
          <t>유원양</t>
        </is>
      </c>
      <c r="G13675" s="2" t="inlineStr">
        <is>
          <t>20260630000714</t>
        </is>
      </c>
      <c r="H13675" s="8">
        <f>HYPERLINK("https://dart.fss.or.kr/dsaf001/main.do?rcpNo=20260630000714", "공시열람")</f>
        <v/>
      </c>
    </row>
    <row r="13676">
      <c r="A13676" s="2" t="inlineStr">
        <is>
          <t>2026-06-30</t>
        </is>
      </c>
      <c r="B13676" s="3" t="inlineStr">
        <is>
          <t>까뮤이앤씨</t>
        </is>
      </c>
      <c r="C13676" s="2" t="inlineStr">
        <is>
          <t>코스피</t>
        </is>
      </c>
      <c r="D13676" s="2" t="inlineStr">
        <is>
          <t>013700</t>
        </is>
      </c>
      <c r="E13676" s="3" t="inlineStr">
        <is>
          <t xml:space="preserve">[기재정정]채무인수결정              </t>
        </is>
      </c>
      <c r="F13676" s="3" t="inlineStr">
        <is>
          <t>까뮤이앤씨</t>
        </is>
      </c>
      <c r="G13676" s="2" t="inlineStr">
        <is>
          <t>20260630800844</t>
        </is>
      </c>
      <c r="H13676" s="8">
        <f>HYPERLINK("https://dart.fss.or.kr/dsaf001/main.do?rcpNo=20260630800844", "공시열람")</f>
        <v/>
      </c>
    </row>
    <row r="13677">
      <c r="A13677" s="2" t="inlineStr">
        <is>
          <t>2026-06-30</t>
        </is>
      </c>
      <c r="B13677" s="3" t="inlineStr">
        <is>
          <t>서남</t>
        </is>
      </c>
      <c r="C13677" s="2" t="inlineStr">
        <is>
          <t>코스닥</t>
        </is>
      </c>
      <c r="D13677" s="2" t="inlineStr">
        <is>
          <t>294630</t>
        </is>
      </c>
      <c r="E13677" s="3" t="inlineStr">
        <is>
          <t>임원ㆍ주요주주특정증권등소유상황보고서</t>
        </is>
      </c>
      <c r="F13677" s="3" t="inlineStr">
        <is>
          <t>이복형</t>
        </is>
      </c>
      <c r="G13677" s="2" t="inlineStr">
        <is>
          <t>20260630000708</t>
        </is>
      </c>
      <c r="H13677" s="8">
        <f>HYPERLINK("https://dart.fss.or.kr/dsaf001/main.do?rcpNo=20260630000708", "공시열람")</f>
        <v/>
      </c>
    </row>
    <row r="13678">
      <c r="A13678" s="2" t="inlineStr">
        <is>
          <t>2026-06-30</t>
        </is>
      </c>
      <c r="B13678" s="3" t="inlineStr">
        <is>
          <t>SK증권</t>
        </is>
      </c>
      <c r="C13678" s="2" t="inlineStr">
        <is>
          <t>코스피</t>
        </is>
      </c>
      <c r="D13678" s="2" t="inlineStr">
        <is>
          <t>001510</t>
        </is>
      </c>
      <c r="E13678" s="3" t="inlineStr">
        <is>
          <t>증권발행실적보고서</t>
        </is>
      </c>
      <c r="F13678" s="3" t="inlineStr">
        <is>
          <t>SK증권</t>
        </is>
      </c>
      <c r="G13678" s="2" t="inlineStr">
        <is>
          <t>20260630000707</t>
        </is>
      </c>
      <c r="H13678" s="8">
        <f>HYPERLINK("https://dart.fss.or.kr/dsaf001/main.do?rcpNo=20260630000707", "공시열람")</f>
        <v/>
      </c>
    </row>
    <row r="13679">
      <c r="A13679" s="2" t="inlineStr">
        <is>
          <t>2026-06-30</t>
        </is>
      </c>
      <c r="B13679" s="3" t="inlineStr">
        <is>
          <t>BYC</t>
        </is>
      </c>
      <c r="C13679" s="2" t="inlineStr">
        <is>
          <t>코스피</t>
        </is>
      </c>
      <c r="D13679" s="2" t="inlineStr">
        <is>
          <t>001460</t>
        </is>
      </c>
      <c r="E13679" s="3" t="inlineStr">
        <is>
          <t>임원ㆍ주요주주특정증권등소유상황보고서</t>
        </is>
      </c>
      <c r="F13679" s="3" t="inlineStr">
        <is>
          <t>신한에디피스</t>
        </is>
      </c>
      <c r="G13679" s="2" t="inlineStr">
        <is>
          <t>20260630000705</t>
        </is>
      </c>
      <c r="H13679" s="8">
        <f>HYPERLINK("https://dart.fss.or.kr/dsaf001/main.do?rcpNo=20260630000705", "공시열람")</f>
        <v/>
      </c>
    </row>
    <row r="13680">
      <c r="A13680" s="2" t="inlineStr">
        <is>
          <t>2026-06-30</t>
        </is>
      </c>
      <c r="B13680" s="3" t="inlineStr">
        <is>
          <t>삼성증권</t>
        </is>
      </c>
      <c r="C13680" s="2" t="inlineStr">
        <is>
          <t>코스피</t>
        </is>
      </c>
      <c r="D13680" s="2" t="inlineStr">
        <is>
          <t>016360</t>
        </is>
      </c>
      <c r="E13680" s="3" t="inlineStr">
        <is>
          <t>증권발행실적보고서</t>
        </is>
      </c>
      <c r="F13680" s="3" t="inlineStr">
        <is>
          <t>삼성증권</t>
        </is>
      </c>
      <c r="G13680" s="2" t="inlineStr">
        <is>
          <t>20260630000701</t>
        </is>
      </c>
      <c r="H13680" s="8">
        <f>HYPERLINK("https://dart.fss.or.kr/dsaf001/main.do?rcpNo=20260630000701", "공시열람")</f>
        <v/>
      </c>
    </row>
    <row r="13681">
      <c r="A13681" s="2" t="inlineStr">
        <is>
          <t>2026-06-30</t>
        </is>
      </c>
      <c r="B13681" s="3" t="inlineStr">
        <is>
          <t>HLB파나진</t>
        </is>
      </c>
      <c r="C13681" s="2" t="inlineStr">
        <is>
          <t>코스닥</t>
        </is>
      </c>
      <c r="D13681" s="2" t="inlineStr">
        <is>
          <t>046210</t>
        </is>
      </c>
      <c r="E13681" s="3" t="inlineStr">
        <is>
          <t>임원ㆍ주요주주특정증권등소유상황보고서</t>
        </is>
      </c>
      <c r="F13681" s="3" t="inlineStr">
        <is>
          <t>박재진</t>
        </is>
      </c>
      <c r="G13681" s="2" t="inlineStr">
        <is>
          <t>20260630000700</t>
        </is>
      </c>
      <c r="H13681" s="8">
        <f>HYPERLINK("https://dart.fss.or.kr/dsaf001/main.do?rcpNo=20260630000700", "공시열람")</f>
        <v/>
      </c>
    </row>
    <row r="13682">
      <c r="A13682" s="2" t="inlineStr">
        <is>
          <t>2026-06-30</t>
        </is>
      </c>
      <c r="B13682" s="3" t="inlineStr">
        <is>
          <t>KTis</t>
        </is>
      </c>
      <c r="C13682" s="2" t="inlineStr">
        <is>
          <t>코스피</t>
        </is>
      </c>
      <c r="D13682" s="2" t="inlineStr">
        <is>
          <t>058860</t>
        </is>
      </c>
      <c r="E13682" s="3" t="inlineStr">
        <is>
          <t xml:space="preserve">지속가능경영보고서등관련사항(자율공시)              </t>
        </is>
      </c>
      <c r="F13682" s="3" t="inlineStr">
        <is>
          <t>KTis</t>
        </is>
      </c>
      <c r="G13682" s="2" t="inlineStr">
        <is>
          <t>20260630800826</t>
        </is>
      </c>
      <c r="H13682" s="8">
        <f>HYPERLINK("https://dart.fss.or.kr/dsaf001/main.do?rcpNo=20260630800826", "공시열람")</f>
        <v/>
      </c>
    </row>
    <row r="13683">
      <c r="A13683" s="2" t="inlineStr">
        <is>
          <t>2026-06-30</t>
        </is>
      </c>
      <c r="B13683" s="3" t="inlineStr">
        <is>
          <t>삼천리</t>
        </is>
      </c>
      <c r="C13683" s="2" t="inlineStr">
        <is>
          <t>코스피</t>
        </is>
      </c>
      <c r="D13683" s="2" t="inlineStr">
        <is>
          <t>004690</t>
        </is>
      </c>
      <c r="E13683" s="3" t="inlineStr">
        <is>
          <t>임원ㆍ주요주주특정증권등소유상황보고서</t>
        </is>
      </c>
      <c r="F13683" s="3" t="inlineStr">
        <is>
          <t>오태호</t>
        </is>
      </c>
      <c r="G13683" s="2" t="inlineStr">
        <is>
          <t>20260630000699</t>
        </is>
      </c>
      <c r="H13683" s="8">
        <f>HYPERLINK("https://dart.fss.or.kr/dsaf001/main.do?rcpNo=20260630000699", "공시열람")</f>
        <v/>
      </c>
    </row>
    <row r="13684">
      <c r="A13684" s="2" t="inlineStr">
        <is>
          <t>2026-06-30</t>
        </is>
      </c>
      <c r="B13684" s="3" t="inlineStr">
        <is>
          <t>LG생활건강</t>
        </is>
      </c>
      <c r="C13684" s="2" t="inlineStr">
        <is>
          <t>코스피</t>
        </is>
      </c>
      <c r="D13684" s="2" t="inlineStr">
        <is>
          <t>051900</t>
        </is>
      </c>
      <c r="E13684" s="3" t="inlineStr">
        <is>
          <t xml:space="preserve">지속가능경영보고서등관련사항(자율공시)              </t>
        </is>
      </c>
      <c r="F13684" s="3" t="inlineStr">
        <is>
          <t>LG생활건강</t>
        </is>
      </c>
      <c r="G13684" s="2" t="inlineStr">
        <is>
          <t>20260630800815</t>
        </is>
      </c>
      <c r="H13684" s="8">
        <f>HYPERLINK("https://dart.fss.or.kr/dsaf001/main.do?rcpNo=20260630800815", "공시열람")</f>
        <v/>
      </c>
    </row>
    <row r="13685">
      <c r="A13685" s="2" t="inlineStr">
        <is>
          <t>2026-06-30</t>
        </is>
      </c>
      <c r="B13685" s="3" t="inlineStr">
        <is>
          <t>아리바이오LAB</t>
        </is>
      </c>
      <c r="C13685" s="2" t="inlineStr">
        <is>
          <t>코스닥</t>
        </is>
      </c>
      <c r="D13685" s="2" t="inlineStr">
        <is>
          <t>261780</t>
        </is>
      </c>
      <c r="E13685" s="3" t="inlineStr">
        <is>
          <t>[기재정정]주식매수선택권부여에관한신고</t>
        </is>
      </c>
      <c r="F13685" s="3" t="inlineStr">
        <is>
          <t>아리바이오LAB</t>
        </is>
      </c>
      <c r="G13685" s="2" t="inlineStr">
        <is>
          <t>20260630000695</t>
        </is>
      </c>
      <c r="H13685" s="8">
        <f>HYPERLINK("https://dart.fss.or.kr/dsaf001/main.do?rcpNo=20260630000695", "공시열람")</f>
        <v/>
      </c>
    </row>
    <row r="13686">
      <c r="A13686" s="2" t="inlineStr">
        <is>
          <t>2026-06-30</t>
        </is>
      </c>
      <c r="B13686" s="3" t="inlineStr">
        <is>
          <t>청보</t>
        </is>
      </c>
      <c r="C13686" s="2" t="inlineStr">
        <is>
          <t>코스닥</t>
        </is>
      </c>
      <c r="D13686" s="2" t="inlineStr">
        <is>
          <t>013720</t>
        </is>
      </c>
      <c r="E13686" s="3" t="inlineStr">
        <is>
          <t>[기재정정]주요사항보고서(자기전환사채매도결정)</t>
        </is>
      </c>
      <c r="F13686" s="3" t="inlineStr">
        <is>
          <t>청보</t>
        </is>
      </c>
      <c r="G13686" s="2" t="inlineStr">
        <is>
          <t>20260630000620</t>
        </is>
      </c>
      <c r="H13686" s="8">
        <f>HYPERLINK("https://dart.fss.or.kr/dsaf001/main.do?rcpNo=20260630000620", "공시열람")</f>
        <v/>
      </c>
    </row>
    <row r="13687">
      <c r="A13687" s="2" t="inlineStr">
        <is>
          <t>2026-06-30</t>
        </is>
      </c>
      <c r="B13687" s="3" t="inlineStr">
        <is>
          <t>솔브레인홀딩스</t>
        </is>
      </c>
      <c r="C13687" s="2" t="inlineStr">
        <is>
          <t>코스닥</t>
        </is>
      </c>
      <c r="D13687" s="2" t="inlineStr">
        <is>
          <t>036830</t>
        </is>
      </c>
      <c r="E13687" s="3" t="inlineStr">
        <is>
          <t xml:space="preserve">증권발행결과(자율공시)              </t>
        </is>
      </c>
      <c r="F13687" s="3" t="inlineStr">
        <is>
          <t>솔브레인홀딩스</t>
        </is>
      </c>
      <c r="G13687" s="2" t="inlineStr">
        <is>
          <t>20260630900811</t>
        </is>
      </c>
      <c r="H13687" s="8">
        <f>HYPERLINK("https://dart.fss.or.kr/dsaf001/main.do?rcpNo=20260630900811", "공시열람")</f>
        <v/>
      </c>
    </row>
    <row r="13688">
      <c r="A13688" s="2" t="inlineStr">
        <is>
          <t>2026-06-30</t>
        </is>
      </c>
      <c r="B13688" s="3" t="inlineStr">
        <is>
          <t>청보</t>
        </is>
      </c>
      <c r="C13688" s="2" t="inlineStr">
        <is>
          <t>코스닥</t>
        </is>
      </c>
      <c r="D13688" s="2" t="inlineStr">
        <is>
          <t>013720</t>
        </is>
      </c>
      <c r="E13688" s="3" t="inlineStr">
        <is>
          <t>기타경영사항(자율공시)              (자기사채(제13회 전환사채) 소각 결정의 건)</t>
        </is>
      </c>
      <c r="F13688" s="3" t="inlineStr">
        <is>
          <t>청보</t>
        </is>
      </c>
      <c r="G13688" s="2" t="inlineStr">
        <is>
          <t>20260630900680</t>
        </is>
      </c>
      <c r="H13688" s="8">
        <f>HYPERLINK("https://dart.fss.or.kr/dsaf001/main.do?rcpNo=20260630900680", "공시열람")</f>
        <v/>
      </c>
    </row>
    <row r="13689">
      <c r="A13689" s="2" t="inlineStr">
        <is>
          <t>2026-06-30</t>
        </is>
      </c>
      <c r="B13689" s="3" t="inlineStr">
        <is>
          <t>메가터치</t>
        </is>
      </c>
      <c r="C13689" s="2" t="inlineStr">
        <is>
          <t>코스닥</t>
        </is>
      </c>
      <c r="D13689" s="2" t="inlineStr">
        <is>
          <t>446540</t>
        </is>
      </c>
      <c r="E13689" s="3" t="inlineStr">
        <is>
          <t>임원ㆍ주요주주특정증권등소유상황보고서</t>
        </is>
      </c>
      <c r="F13689" s="3" t="inlineStr">
        <is>
          <t>최우용</t>
        </is>
      </c>
      <c r="G13689" s="2" t="inlineStr">
        <is>
          <t>20260630000691</t>
        </is>
      </c>
      <c r="H13689" s="8">
        <f>HYPERLINK("https://dart.fss.or.kr/dsaf001/main.do?rcpNo=20260630000691", "공시열람")</f>
        <v/>
      </c>
    </row>
    <row r="13690">
      <c r="A13690" s="2" t="inlineStr">
        <is>
          <t>2026-06-30</t>
        </is>
      </c>
      <c r="B13690" s="3" t="inlineStr">
        <is>
          <t>상상인증권</t>
        </is>
      </c>
      <c r="C13690" s="2" t="inlineStr">
        <is>
          <t>코스피</t>
        </is>
      </c>
      <c r="D13690" s="2" t="inlineStr">
        <is>
          <t>001290</t>
        </is>
      </c>
      <c r="E13690" s="3" t="inlineStr">
        <is>
          <t xml:space="preserve">[첨부정정]지속가능경영보고서등관련사항(자율공시)              </t>
        </is>
      </c>
      <c r="F13690" s="3" t="inlineStr">
        <is>
          <t>상상인증권</t>
        </is>
      </c>
      <c r="G13690" s="2" t="inlineStr">
        <is>
          <t>20260630800806</t>
        </is>
      </c>
      <c r="H13690" s="8">
        <f>HYPERLINK("https://dart.fss.or.kr/dsaf001/main.do?rcpNo=20260630800806", "공시열람")</f>
        <v/>
      </c>
    </row>
    <row r="13691">
      <c r="A13691" s="2" t="inlineStr">
        <is>
          <t>2026-06-30</t>
        </is>
      </c>
      <c r="B13691" s="3" t="inlineStr">
        <is>
          <t>이오플로우</t>
        </is>
      </c>
      <c r="C13691" s="2" t="inlineStr">
        <is>
          <t>코스닥</t>
        </is>
      </c>
      <c r="D13691" s="2" t="inlineStr">
        <is>
          <t>294090</t>
        </is>
      </c>
      <c r="E13691" s="3" t="inlineStr">
        <is>
          <t>기타시장안내              (상장적격성 실질심사 대상 결정)</t>
        </is>
      </c>
      <c r="F13691" s="3" t="inlineStr">
        <is>
          <t>코스닥시장본부</t>
        </is>
      </c>
      <c r="G13691" s="2" t="inlineStr">
        <is>
          <t>20260630900776</t>
        </is>
      </c>
      <c r="H13691" s="8">
        <f>HYPERLINK("https://dart.fss.or.kr/dsaf001/main.do?rcpNo=20260630900776", "공시열람")</f>
        <v/>
      </c>
    </row>
    <row r="13692">
      <c r="A13692" s="2" t="inlineStr">
        <is>
          <t>2026-06-30</t>
        </is>
      </c>
      <c r="B13692" s="3" t="inlineStr">
        <is>
          <t>엔젯</t>
        </is>
      </c>
      <c r="C13692" s="2" t="inlineStr">
        <is>
          <t>코스닥</t>
        </is>
      </c>
      <c r="D13692" s="2" t="inlineStr">
        <is>
          <t>419080</t>
        </is>
      </c>
      <c r="E13692" s="3" t="inlineStr">
        <is>
          <t>임원ㆍ주요주주특정증권등소유상황보고서</t>
        </is>
      </c>
      <c r="F13692" s="3" t="inlineStr">
        <is>
          <t>변도영</t>
        </is>
      </c>
      <c r="G13692" s="2" t="inlineStr">
        <is>
          <t>20260630000683</t>
        </is>
      </c>
      <c r="H13692" s="8">
        <f>HYPERLINK("https://dart.fss.or.kr/dsaf001/main.do?rcpNo=20260630000683", "공시열람")</f>
        <v/>
      </c>
    </row>
    <row r="13693">
      <c r="A13693" s="2" t="inlineStr">
        <is>
          <t>2026-06-30</t>
        </is>
      </c>
      <c r="B13693" s="3" t="inlineStr">
        <is>
          <t>아리바이오LAB</t>
        </is>
      </c>
      <c r="C13693" s="2" t="inlineStr">
        <is>
          <t>코스닥</t>
        </is>
      </c>
      <c r="D13693" s="2" t="inlineStr">
        <is>
          <t>261780</t>
        </is>
      </c>
      <c r="E13693" s="3" t="inlineStr">
        <is>
          <t xml:space="preserve">전환가액의조정              </t>
        </is>
      </c>
      <c r="F13693" s="3" t="inlineStr">
        <is>
          <t>아리바이오LAB</t>
        </is>
      </c>
      <c r="G13693" s="2" t="inlineStr">
        <is>
          <t>20260630900796</t>
        </is>
      </c>
      <c r="H13693" s="8">
        <f>HYPERLINK("https://dart.fss.or.kr/dsaf001/main.do?rcpNo=20260630900796", "공시열람")</f>
        <v/>
      </c>
    </row>
    <row r="13694">
      <c r="A13694" s="2" t="inlineStr">
        <is>
          <t>2026-06-30</t>
        </is>
      </c>
      <c r="B13694" s="3" t="inlineStr">
        <is>
          <t>삼성증권</t>
        </is>
      </c>
      <c r="C13694" s="2" t="inlineStr">
        <is>
          <t>코스피</t>
        </is>
      </c>
      <c r="D13694" s="2" t="inlineStr">
        <is>
          <t>016360</t>
        </is>
      </c>
      <c r="E13694" s="3" t="inlineStr">
        <is>
          <t>증권발행실적보고서</t>
        </is>
      </c>
      <c r="F13694" s="3" t="inlineStr">
        <is>
          <t>삼성증권</t>
        </is>
      </c>
      <c r="G13694" s="2" t="inlineStr">
        <is>
          <t>20260630000682</t>
        </is>
      </c>
      <c r="H13694" s="8">
        <f>HYPERLINK("https://dart.fss.or.kr/dsaf001/main.do?rcpNo=20260630000682", "공시열람")</f>
        <v/>
      </c>
    </row>
    <row r="13695">
      <c r="A13695" s="2" t="inlineStr">
        <is>
          <t>2026-06-30</t>
        </is>
      </c>
      <c r="B13695" s="3" t="inlineStr">
        <is>
          <t>로체시스템즈</t>
        </is>
      </c>
      <c r="C13695" s="2" t="inlineStr">
        <is>
          <t>코스닥</t>
        </is>
      </c>
      <c r="D13695" s="2" t="inlineStr">
        <is>
          <t>071280</t>
        </is>
      </c>
      <c r="E13695" s="3" t="inlineStr">
        <is>
          <t>임원ㆍ주요주주특정증권등소유상황보고서</t>
        </is>
      </c>
      <c r="F13695" s="3" t="inlineStr">
        <is>
          <t>박기환</t>
        </is>
      </c>
      <c r="G13695" s="2" t="inlineStr">
        <is>
          <t>20260630000678</t>
        </is>
      </c>
      <c r="H13695" s="8">
        <f>HYPERLINK("https://dart.fss.or.kr/dsaf001/main.do?rcpNo=20260630000678", "공시열람")</f>
        <v/>
      </c>
    </row>
    <row r="13696">
      <c r="A13696" s="2" t="inlineStr">
        <is>
          <t>2026-06-30</t>
        </is>
      </c>
      <c r="B13696" s="3" t="inlineStr">
        <is>
          <t>키움증권</t>
        </is>
      </c>
      <c r="C13696" s="2" t="inlineStr">
        <is>
          <t>코스피</t>
        </is>
      </c>
      <c r="D13696" s="2" t="inlineStr">
        <is>
          <t>039490</t>
        </is>
      </c>
      <c r="E13696" s="3" t="inlineStr">
        <is>
          <t>증권발행실적보고서</t>
        </is>
      </c>
      <c r="F13696" s="3" t="inlineStr">
        <is>
          <t>키움증권</t>
        </is>
      </c>
      <c r="G13696" s="2" t="inlineStr">
        <is>
          <t>20260630000677</t>
        </is>
      </c>
      <c r="H13696" s="8">
        <f>HYPERLINK("https://dart.fss.or.kr/dsaf001/main.do?rcpNo=20260630000677", "공시열람")</f>
        <v/>
      </c>
    </row>
    <row r="13697">
      <c r="A13697" s="2" t="inlineStr">
        <is>
          <t>2026-06-30</t>
        </is>
      </c>
      <c r="B13697" s="3" t="inlineStr">
        <is>
          <t>HLB파나진</t>
        </is>
      </c>
      <c r="C13697" s="2" t="inlineStr">
        <is>
          <t>코스닥</t>
        </is>
      </c>
      <c r="D13697" s="2" t="inlineStr">
        <is>
          <t>046210</t>
        </is>
      </c>
      <c r="E13697" s="3" t="inlineStr">
        <is>
          <t>임원ㆍ주요주주특정증권등소유상황보고서</t>
        </is>
      </c>
      <c r="F13697" s="3" t="inlineStr">
        <is>
          <t>장인근</t>
        </is>
      </c>
      <c r="G13697" s="2" t="inlineStr">
        <is>
          <t>20260630000675</t>
        </is>
      </c>
      <c r="H13697" s="8">
        <f>HYPERLINK("https://dart.fss.or.kr/dsaf001/main.do?rcpNo=20260630000675", "공시열람")</f>
        <v/>
      </c>
    </row>
    <row r="13698">
      <c r="A13698" s="2" t="inlineStr">
        <is>
          <t>2026-06-30</t>
        </is>
      </c>
      <c r="B13698" s="3" t="inlineStr">
        <is>
          <t>고려아연</t>
        </is>
      </c>
      <c r="C13698" s="2" t="inlineStr">
        <is>
          <t>코스피</t>
        </is>
      </c>
      <c r="D13698" s="2" t="inlineStr">
        <is>
          <t>010130</t>
        </is>
      </c>
      <c r="E13698" s="3" t="inlineStr">
        <is>
          <t xml:space="preserve">지속가능경영보고서등관련사항(자율공시)              </t>
        </is>
      </c>
      <c r="F13698" s="3" t="inlineStr">
        <is>
          <t>고려아연</t>
        </is>
      </c>
      <c r="G13698" s="2" t="inlineStr">
        <is>
          <t>20260630800783</t>
        </is>
      </c>
      <c r="H13698" s="8">
        <f>HYPERLINK("https://dart.fss.or.kr/dsaf001/main.do?rcpNo=20260630800783", "공시열람")</f>
        <v/>
      </c>
    </row>
    <row r="13699">
      <c r="A13699" s="2" t="inlineStr">
        <is>
          <t>2026-06-30</t>
        </is>
      </c>
      <c r="B13699" s="3" t="inlineStr">
        <is>
          <t>롯데렌탈</t>
        </is>
      </c>
      <c r="C13699" s="2" t="inlineStr">
        <is>
          <t>코스피</t>
        </is>
      </c>
      <c r="D13699" s="2" t="inlineStr">
        <is>
          <t>089860</t>
        </is>
      </c>
      <c r="E13699" s="3" t="inlineStr">
        <is>
          <t xml:space="preserve">지속가능경영보고서등관련사항(자율공시)              </t>
        </is>
      </c>
      <c r="F13699" s="3" t="inlineStr">
        <is>
          <t>롯데렌탈</t>
        </is>
      </c>
      <c r="G13699" s="2" t="inlineStr">
        <is>
          <t>20260630800780</t>
        </is>
      </c>
      <c r="H13699" s="8">
        <f>HYPERLINK("https://dart.fss.or.kr/dsaf001/main.do?rcpNo=20260630800780", "공시열람")</f>
        <v/>
      </c>
    </row>
    <row r="13700">
      <c r="A13700" s="2" t="inlineStr">
        <is>
          <t>2026-06-30</t>
        </is>
      </c>
      <c r="B13700" s="3" t="inlineStr">
        <is>
          <t>SK스퀘어</t>
        </is>
      </c>
      <c r="C13700" s="2" t="inlineStr">
        <is>
          <t>코스피</t>
        </is>
      </c>
      <c r="D13700" s="2" t="inlineStr">
        <is>
          <t>402340</t>
        </is>
      </c>
      <c r="E13700" s="3" t="inlineStr">
        <is>
          <t xml:space="preserve">지속가능경영보고서등관련사항(자율공시)              </t>
        </is>
      </c>
      <c r="F13700" s="3" t="inlineStr">
        <is>
          <t>SK스퀘어</t>
        </is>
      </c>
      <c r="G13700" s="2" t="inlineStr">
        <is>
          <t>20260630800779</t>
        </is>
      </c>
      <c r="H13700" s="8">
        <f>HYPERLINK("https://dart.fss.or.kr/dsaf001/main.do?rcpNo=20260630800779", "공시열람")</f>
        <v/>
      </c>
    </row>
    <row r="13701">
      <c r="A13701" s="2" t="inlineStr">
        <is>
          <t>2026-06-30</t>
        </is>
      </c>
      <c r="B13701" s="3" t="inlineStr">
        <is>
          <t>대한과학</t>
        </is>
      </c>
      <c r="C13701" s="2" t="inlineStr">
        <is>
          <t>코스닥</t>
        </is>
      </c>
      <c r="D13701" s="2" t="inlineStr">
        <is>
          <t>131220</t>
        </is>
      </c>
      <c r="E13701" s="3" t="inlineStr">
        <is>
          <t>임원ㆍ주요주주특정증권등소유상황보고서</t>
        </is>
      </c>
      <c r="F13701" s="3" t="inlineStr">
        <is>
          <t>이충형</t>
        </is>
      </c>
      <c r="G13701" s="2" t="inlineStr">
        <is>
          <t>20260630000671</t>
        </is>
      </c>
      <c r="H13701" s="8">
        <f>HYPERLINK("https://dart.fss.or.kr/dsaf001/main.do?rcpNo=20260630000671", "공시열람")</f>
        <v/>
      </c>
    </row>
    <row r="13702">
      <c r="A13702" s="2" t="inlineStr">
        <is>
          <t>2026-06-30</t>
        </is>
      </c>
      <c r="B13702" s="3" t="inlineStr">
        <is>
          <t>GS리테일</t>
        </is>
      </c>
      <c r="C13702" s="2" t="inlineStr">
        <is>
          <t>코스피</t>
        </is>
      </c>
      <c r="D13702" s="2" t="inlineStr">
        <is>
          <t>007070</t>
        </is>
      </c>
      <c r="E13702" s="3" t="inlineStr">
        <is>
          <t xml:space="preserve">지속가능경영보고서등관련사항(자율공시)              </t>
        </is>
      </c>
      <c r="F13702" s="3" t="inlineStr">
        <is>
          <t>GS리테일</t>
        </is>
      </c>
      <c r="G13702" s="2" t="inlineStr">
        <is>
          <t>20260630800768</t>
        </is>
      </c>
      <c r="H13702" s="8">
        <f>HYPERLINK("https://dart.fss.or.kr/dsaf001/main.do?rcpNo=20260630800768", "공시열람")</f>
        <v/>
      </c>
    </row>
    <row r="13703">
      <c r="A13703" s="2" t="inlineStr">
        <is>
          <t>2026-06-30</t>
        </is>
      </c>
      <c r="B13703" s="3" t="inlineStr">
        <is>
          <t>삼성중공업</t>
        </is>
      </c>
      <c r="C13703" s="2" t="inlineStr">
        <is>
          <t>코스피</t>
        </is>
      </c>
      <c r="D13703" s="2" t="inlineStr">
        <is>
          <t>010140</t>
        </is>
      </c>
      <c r="E13703" s="3" t="inlineStr">
        <is>
          <t>임원ㆍ주요주주특정증권등소유상황보고서</t>
        </is>
      </c>
      <c r="F13703" s="3" t="inlineStr">
        <is>
          <t>이성락</t>
        </is>
      </c>
      <c r="G13703" s="2" t="inlineStr">
        <is>
          <t>20260630000662</t>
        </is>
      </c>
      <c r="H13703" s="8">
        <f>HYPERLINK("https://dart.fss.or.kr/dsaf001/main.do?rcpNo=20260630000662", "공시열람")</f>
        <v/>
      </c>
    </row>
    <row r="13704">
      <c r="A13704" s="2" t="inlineStr">
        <is>
          <t>2026-06-30</t>
        </is>
      </c>
      <c r="B13704" s="3" t="inlineStr">
        <is>
          <t>BYC</t>
        </is>
      </c>
      <c r="C13704" s="2" t="inlineStr">
        <is>
          <t>코스피</t>
        </is>
      </c>
      <c r="D13704" s="2" t="inlineStr">
        <is>
          <t>001460</t>
        </is>
      </c>
      <c r="E13704" s="3" t="inlineStr">
        <is>
          <t>임원ㆍ주요주주특정증권등소유상황보고서</t>
        </is>
      </c>
      <c r="F13704" s="3" t="inlineStr">
        <is>
          <t>한승홀딩스</t>
        </is>
      </c>
      <c r="G13704" s="2" t="inlineStr">
        <is>
          <t>20260630000659</t>
        </is>
      </c>
      <c r="H13704" s="8">
        <f>HYPERLINK("https://dart.fss.or.kr/dsaf001/main.do?rcpNo=20260630000659", "공시열람")</f>
        <v/>
      </c>
    </row>
    <row r="13705">
      <c r="A13705" s="2" t="inlineStr">
        <is>
          <t>2026-06-30</t>
        </is>
      </c>
      <c r="B13705" s="3" t="inlineStr">
        <is>
          <t>LG헬로비전</t>
        </is>
      </c>
      <c r="C13705" s="2" t="inlineStr">
        <is>
          <t>코스피</t>
        </is>
      </c>
      <c r="D13705" s="2" t="inlineStr">
        <is>
          <t>037560</t>
        </is>
      </c>
      <c r="E13705" s="3" t="inlineStr">
        <is>
          <t xml:space="preserve">지속가능경영보고서등관련사항(자율공시)              </t>
        </is>
      </c>
      <c r="F13705" s="3" t="inlineStr">
        <is>
          <t>LG헬로비전</t>
        </is>
      </c>
      <c r="G13705" s="2" t="inlineStr">
        <is>
          <t>20260630800756</t>
        </is>
      </c>
      <c r="H13705" s="8">
        <f>HYPERLINK("https://dart.fss.or.kr/dsaf001/main.do?rcpNo=20260630800756", "공시열람")</f>
        <v/>
      </c>
    </row>
    <row r="13706">
      <c r="A13706" s="2" t="inlineStr">
        <is>
          <t>2026-06-30</t>
        </is>
      </c>
      <c r="B13706" s="3" t="inlineStr">
        <is>
          <t>대한과학</t>
        </is>
      </c>
      <c r="C13706" s="2" t="inlineStr">
        <is>
          <t>코스닥</t>
        </is>
      </c>
      <c r="D13706" s="2" t="inlineStr">
        <is>
          <t>131220</t>
        </is>
      </c>
      <c r="E13706" s="3" t="inlineStr">
        <is>
          <t>임원ㆍ주요주주특정증권등소유상황보고서</t>
        </is>
      </c>
      <c r="F13706" s="3" t="inlineStr">
        <is>
          <t>서현정</t>
        </is>
      </c>
      <c r="G13706" s="2" t="inlineStr">
        <is>
          <t>20260630000653</t>
        </is>
      </c>
      <c r="H13706" s="8">
        <f>HYPERLINK("https://dart.fss.or.kr/dsaf001/main.do?rcpNo=20260630000653", "공시열람")</f>
        <v/>
      </c>
    </row>
    <row r="13707">
      <c r="A13707" s="2" t="inlineStr">
        <is>
          <t>2026-06-30</t>
        </is>
      </c>
      <c r="B13707" s="3" t="inlineStr">
        <is>
          <t>상상인증권</t>
        </is>
      </c>
      <c r="C13707" s="2" t="inlineStr">
        <is>
          <t>코스피</t>
        </is>
      </c>
      <c r="D13707" s="2" t="inlineStr">
        <is>
          <t>001290</t>
        </is>
      </c>
      <c r="E13707" s="3" t="inlineStr">
        <is>
          <t xml:space="preserve">지속가능경영보고서등관련사항(자율공시)              </t>
        </is>
      </c>
      <c r="F13707" s="3" t="inlineStr">
        <is>
          <t>상상인증권</t>
        </is>
      </c>
      <c r="G13707" s="2" t="inlineStr">
        <is>
          <t>20260630800748</t>
        </is>
      </c>
      <c r="H13707" s="8">
        <f>HYPERLINK("https://dart.fss.or.kr/dsaf001/main.do?rcpNo=20260630800748", "공시열람")</f>
        <v/>
      </c>
    </row>
    <row r="13708">
      <c r="A13708" s="2" t="inlineStr">
        <is>
          <t>2026-06-30</t>
        </is>
      </c>
      <c r="B13708" s="3" t="inlineStr">
        <is>
          <t>현대엘리베이터</t>
        </is>
      </c>
      <c r="C13708" s="2" t="inlineStr">
        <is>
          <t>코스피</t>
        </is>
      </c>
      <c r="D13708" s="2" t="inlineStr">
        <is>
          <t>017800</t>
        </is>
      </c>
      <c r="E13708" s="3" t="inlineStr">
        <is>
          <t xml:space="preserve">지속가능경영보고서등관련사항(자율공시)              </t>
        </is>
      </c>
      <c r="F13708" s="3" t="inlineStr">
        <is>
          <t>현대엘리베이터</t>
        </is>
      </c>
      <c r="G13708" s="2" t="inlineStr">
        <is>
          <t>20260630800747</t>
        </is>
      </c>
      <c r="H13708" s="8">
        <f>HYPERLINK("https://dart.fss.or.kr/dsaf001/main.do?rcpNo=20260630800747", "공시열람")</f>
        <v/>
      </c>
    </row>
    <row r="13709">
      <c r="A13709" s="2" t="inlineStr">
        <is>
          <t>2026-06-30</t>
        </is>
      </c>
      <c r="B13709" s="3" t="inlineStr">
        <is>
          <t>핑거</t>
        </is>
      </c>
      <c r="C13709" s="2" t="inlineStr">
        <is>
          <t>코스닥</t>
        </is>
      </c>
      <c r="D13709" s="2" t="inlineStr">
        <is>
          <t>163730</t>
        </is>
      </c>
      <c r="E13709" s="3" t="inlineStr">
        <is>
          <t>임원ㆍ주요주주특정증권등소유상황보고서</t>
        </is>
      </c>
      <c r="F13709" s="3" t="inlineStr">
        <is>
          <t>전용환</t>
        </is>
      </c>
      <c r="G13709" s="2" t="inlineStr">
        <is>
          <t>20260630000649</t>
        </is>
      </c>
      <c r="H13709" s="8">
        <f>HYPERLINK("https://dart.fss.or.kr/dsaf001/main.do?rcpNo=20260630000649", "공시열람")</f>
        <v/>
      </c>
    </row>
    <row r="13710">
      <c r="A13710" s="2" t="inlineStr">
        <is>
          <t>2026-06-30</t>
        </is>
      </c>
      <c r="B13710" s="3" t="inlineStr">
        <is>
          <t>신성이엔지</t>
        </is>
      </c>
      <c r="C13710" s="2" t="inlineStr">
        <is>
          <t>코스피</t>
        </is>
      </c>
      <c r="D13710" s="2" t="inlineStr">
        <is>
          <t>011930</t>
        </is>
      </c>
      <c r="E13710" s="3" t="inlineStr">
        <is>
          <t xml:space="preserve">지속가능경영보고서등관련사항(자율공시)              </t>
        </is>
      </c>
      <c r="F13710" s="3" t="inlineStr">
        <is>
          <t>신성이엔지</t>
        </is>
      </c>
      <c r="G13710" s="2" t="inlineStr">
        <is>
          <t>20260630800739</t>
        </is>
      </c>
      <c r="H13710" s="8">
        <f>HYPERLINK("https://dart.fss.or.kr/dsaf001/main.do?rcpNo=20260630800739", "공시열람")</f>
        <v/>
      </c>
    </row>
    <row r="13711">
      <c r="A13711" s="2" t="inlineStr">
        <is>
          <t>2026-06-30</t>
        </is>
      </c>
      <c r="B13711" s="3" t="inlineStr">
        <is>
          <t>현대사료</t>
        </is>
      </c>
      <c r="C13711" s="2" t="inlineStr">
        <is>
          <t>코스닥</t>
        </is>
      </c>
      <c r="D13711" s="2" t="inlineStr">
        <is>
          <t>016790</t>
        </is>
      </c>
      <c r="E13711" s="3" t="inlineStr">
        <is>
          <t>사외이사의선임ㆍ해임또는중도퇴임에관한신고</t>
        </is>
      </c>
      <c r="F13711" s="3" t="inlineStr">
        <is>
          <t>현대사료</t>
        </is>
      </c>
      <c r="G13711" s="2" t="inlineStr">
        <is>
          <t>20260630000647</t>
        </is>
      </c>
      <c r="H13711" s="8">
        <f>HYPERLINK("https://dart.fss.or.kr/dsaf001/main.do?rcpNo=20260630000647", "공시열람")</f>
        <v/>
      </c>
    </row>
    <row r="13712">
      <c r="A13712" s="2" t="inlineStr">
        <is>
          <t>2026-06-30</t>
        </is>
      </c>
      <c r="B13712" s="3" t="inlineStr">
        <is>
          <t>비덴트</t>
        </is>
      </c>
      <c r="C13712" s="2" t="inlineStr">
        <is>
          <t>코스닥</t>
        </is>
      </c>
      <c r="D13712" s="2" t="inlineStr">
        <is>
          <t>121800</t>
        </is>
      </c>
      <c r="E13712" s="3" t="inlineStr">
        <is>
          <t>사외이사의선임ㆍ해임또는중도퇴임에관한신고</t>
        </is>
      </c>
      <c r="F13712" s="3" t="inlineStr">
        <is>
          <t>비덴트</t>
        </is>
      </c>
      <c r="G13712" s="2" t="inlineStr">
        <is>
          <t>20260630000646</t>
        </is>
      </c>
      <c r="H13712" s="8">
        <f>HYPERLINK("https://dart.fss.or.kr/dsaf001/main.do?rcpNo=20260630000646", "공시열람")</f>
        <v/>
      </c>
    </row>
    <row r="13713">
      <c r="A13713" s="2" t="inlineStr">
        <is>
          <t>2026-06-30</t>
        </is>
      </c>
      <c r="B13713" s="3" t="inlineStr">
        <is>
          <t>핑거</t>
        </is>
      </c>
      <c r="C13713" s="2" t="inlineStr">
        <is>
          <t>코스닥</t>
        </is>
      </c>
      <c r="D13713" s="2" t="inlineStr">
        <is>
          <t>163730</t>
        </is>
      </c>
      <c r="E13713" s="3" t="inlineStr">
        <is>
          <t>임원ㆍ주요주주특정증권등소유상황보고서</t>
        </is>
      </c>
      <c r="F13713" s="3" t="inlineStr">
        <is>
          <t>김정환</t>
        </is>
      </c>
      <c r="G13713" s="2" t="inlineStr">
        <is>
          <t>20260630000643</t>
        </is>
      </c>
      <c r="H13713" s="8">
        <f>HYPERLINK("https://dart.fss.or.kr/dsaf001/main.do?rcpNo=20260630000643", "공시열람")</f>
        <v/>
      </c>
    </row>
    <row r="13714">
      <c r="A13714" s="2" t="inlineStr">
        <is>
          <t>2026-06-30</t>
        </is>
      </c>
      <c r="B13714" s="3" t="inlineStr">
        <is>
          <t>삼성증권</t>
        </is>
      </c>
      <c r="C13714" s="2" t="inlineStr">
        <is>
          <t>코스피</t>
        </is>
      </c>
      <c r="D13714" s="2" t="inlineStr">
        <is>
          <t>016360</t>
        </is>
      </c>
      <c r="E13714" s="3" t="inlineStr">
        <is>
          <t>증권발행실적보고서</t>
        </is>
      </c>
      <c r="F13714" s="3" t="inlineStr">
        <is>
          <t>삼성증권</t>
        </is>
      </c>
      <c r="G13714" s="2" t="inlineStr">
        <is>
          <t>20260630000642</t>
        </is>
      </c>
      <c r="H13714" s="8">
        <f>HYPERLINK("https://dart.fss.or.kr/dsaf001/main.do?rcpNo=20260630000642", "공시열람")</f>
        <v/>
      </c>
    </row>
    <row r="13715">
      <c r="A13715" s="2" t="inlineStr">
        <is>
          <t>2026-06-30</t>
        </is>
      </c>
      <c r="B13715" s="3" t="inlineStr">
        <is>
          <t>IBKS제25호스팩</t>
        </is>
      </c>
      <c r="C13715" s="2" t="inlineStr">
        <is>
          <t>코스닥</t>
        </is>
      </c>
      <c r="D13715" s="2" t="inlineStr">
        <is>
          <t>0099X0</t>
        </is>
      </c>
      <c r="E13715" s="3" t="inlineStr">
        <is>
          <t>주권매매거래정지              (SPAC 합병(예비심사청구대상))</t>
        </is>
      </c>
      <c r="F13715" s="3" t="inlineStr">
        <is>
          <t>코스닥시장본부</t>
        </is>
      </c>
      <c r="G13715" s="2" t="inlineStr">
        <is>
          <t>20260630900710</t>
        </is>
      </c>
      <c r="H13715" s="8">
        <f>HYPERLINK("https://dart.fss.or.kr/dsaf001/main.do?rcpNo=20260630900710", "공시열람")</f>
        <v/>
      </c>
    </row>
    <row r="13716">
      <c r="A13716" s="2" t="inlineStr">
        <is>
          <t>2026-06-30</t>
        </is>
      </c>
      <c r="B13716" s="3" t="inlineStr">
        <is>
          <t>삼성중공업</t>
        </is>
      </c>
      <c r="C13716" s="2" t="inlineStr">
        <is>
          <t>코스피</t>
        </is>
      </c>
      <c r="D13716" s="2" t="inlineStr">
        <is>
          <t>010140</t>
        </is>
      </c>
      <c r="E13716" s="3" t="inlineStr">
        <is>
          <t>임원ㆍ주요주주특정증권등소유상황보고서</t>
        </is>
      </c>
      <c r="F13716" s="3" t="inlineStr">
        <is>
          <t>이승훈</t>
        </is>
      </c>
      <c r="G13716" s="2" t="inlineStr">
        <is>
          <t>20260630000640</t>
        </is>
      </c>
      <c r="H13716" s="8">
        <f>HYPERLINK("https://dart.fss.or.kr/dsaf001/main.do?rcpNo=20260630000640", "공시열람")</f>
        <v/>
      </c>
    </row>
    <row r="13717">
      <c r="A13717" s="2" t="inlineStr">
        <is>
          <t>2026-06-30</t>
        </is>
      </c>
      <c r="B13717" s="3" t="inlineStr">
        <is>
          <t>버킷스튜디오</t>
        </is>
      </c>
      <c r="C13717" s="2" t="inlineStr">
        <is>
          <t>코스닥</t>
        </is>
      </c>
      <c r="D13717" s="2" t="inlineStr">
        <is>
          <t>066410</t>
        </is>
      </c>
      <c r="E13717" s="3" t="inlineStr">
        <is>
          <t>사외이사의선임ㆍ해임또는중도퇴임에관한신고</t>
        </is>
      </c>
      <c r="F13717" s="3" t="inlineStr">
        <is>
          <t>버킷스튜디오</t>
        </is>
      </c>
      <c r="G13717" s="2" t="inlineStr">
        <is>
          <t>20260630000638</t>
        </is>
      </c>
      <c r="H13717" s="8">
        <f>HYPERLINK("https://dart.fss.or.kr/dsaf001/main.do?rcpNo=20260630000638", "공시열람")</f>
        <v/>
      </c>
    </row>
    <row r="13718">
      <c r="A13718" s="2" t="inlineStr">
        <is>
          <t>2026-06-30</t>
        </is>
      </c>
      <c r="B13718" s="3" t="inlineStr">
        <is>
          <t>DS단석</t>
        </is>
      </c>
      <c r="C13718" s="2" t="inlineStr">
        <is>
          <t>코스피</t>
        </is>
      </c>
      <c r="D13718" s="2" t="inlineStr">
        <is>
          <t>017860</t>
        </is>
      </c>
      <c r="E13718" s="3" t="inlineStr">
        <is>
          <t xml:space="preserve">지속가능경영보고서등관련사항(자율공시)              </t>
        </is>
      </c>
      <c r="F13718" s="3" t="inlineStr">
        <is>
          <t>DS단석</t>
        </is>
      </c>
      <c r="G13718" s="2" t="inlineStr">
        <is>
          <t>20260630800724</t>
        </is>
      </c>
      <c r="H13718" s="8">
        <f>HYPERLINK("https://dart.fss.or.kr/dsaf001/main.do?rcpNo=20260630800724", "공시열람")</f>
        <v/>
      </c>
    </row>
    <row r="13719">
      <c r="A13719" s="2" t="inlineStr">
        <is>
          <t>2026-06-30</t>
        </is>
      </c>
      <c r="B13719" s="3" t="inlineStr">
        <is>
          <t>드림어스컴퍼니</t>
        </is>
      </c>
      <c r="C13719" s="2" t="inlineStr">
        <is>
          <t>코스닥</t>
        </is>
      </c>
      <c r="D13719" s="2" t="inlineStr">
        <is>
          <t>060570</t>
        </is>
      </c>
      <c r="E13719" s="3" t="inlineStr">
        <is>
          <t>사외이사의선임ㆍ해임또는중도퇴임에관한신고</t>
        </is>
      </c>
      <c r="F13719" s="3" t="inlineStr">
        <is>
          <t>드림어스컴퍼니</t>
        </is>
      </c>
      <c r="G13719" s="2" t="inlineStr">
        <is>
          <t>20260630000633</t>
        </is>
      </c>
      <c r="H13719" s="8">
        <f>HYPERLINK("https://dart.fss.or.kr/dsaf001/main.do?rcpNo=20260630000633", "공시열람")</f>
        <v/>
      </c>
    </row>
    <row r="13720">
      <c r="A13720" s="2" t="inlineStr">
        <is>
          <t>2026-06-30</t>
        </is>
      </c>
      <c r="B13720" s="3" t="inlineStr">
        <is>
          <t>현대사료</t>
        </is>
      </c>
      <c r="C13720" s="2" t="inlineStr">
        <is>
          <t>코스닥</t>
        </is>
      </c>
      <c r="D13720" s="2" t="inlineStr">
        <is>
          <t>016790</t>
        </is>
      </c>
      <c r="E13720" s="3" t="inlineStr">
        <is>
          <t xml:space="preserve">대표이사변경              </t>
        </is>
      </c>
      <c r="F13720" s="3" t="inlineStr">
        <is>
          <t>현대사료</t>
        </is>
      </c>
      <c r="G13720" s="2" t="inlineStr">
        <is>
          <t>20260630900637</t>
        </is>
      </c>
      <c r="H13720" s="8">
        <f>HYPERLINK("https://dart.fss.or.kr/dsaf001/main.do?rcpNo=20260630900637", "공시열람")</f>
        <v/>
      </c>
    </row>
    <row r="13721">
      <c r="A13721" s="2" t="inlineStr">
        <is>
          <t>2026-06-30</t>
        </is>
      </c>
      <c r="B13721" s="3" t="inlineStr">
        <is>
          <t>하림</t>
        </is>
      </c>
      <c r="C13721" s="2" t="inlineStr">
        <is>
          <t>코스닥</t>
        </is>
      </c>
      <c r="D13721" s="2" t="inlineStr">
        <is>
          <t>136480</t>
        </is>
      </c>
      <c r="E13721" s="3" t="inlineStr">
        <is>
          <t xml:space="preserve">지속가능경영보고서등관련사항(자율공시)              </t>
        </is>
      </c>
      <c r="F13721" s="3" t="inlineStr">
        <is>
          <t>하림</t>
        </is>
      </c>
      <c r="G13721" s="2" t="inlineStr">
        <is>
          <t>20260630900720</t>
        </is>
      </c>
      <c r="H13721" s="8">
        <f>HYPERLINK("https://dart.fss.or.kr/dsaf001/main.do?rcpNo=20260630900720", "공시열람")</f>
        <v/>
      </c>
    </row>
    <row r="13722">
      <c r="A13722" s="2" t="inlineStr">
        <is>
          <t>2026-06-30</t>
        </is>
      </c>
      <c r="B13722" s="3" t="inlineStr">
        <is>
          <t>삼성중공업</t>
        </is>
      </c>
      <c r="C13722" s="2" t="inlineStr">
        <is>
          <t>코스피</t>
        </is>
      </c>
      <c r="D13722" s="2" t="inlineStr">
        <is>
          <t>010140</t>
        </is>
      </c>
      <c r="E13722" s="3" t="inlineStr">
        <is>
          <t>임원ㆍ주요주주특정증권등소유상황보고서</t>
        </is>
      </c>
      <c r="F13722" s="3" t="inlineStr">
        <is>
          <t>윤재균</t>
        </is>
      </c>
      <c r="G13722" s="2" t="inlineStr">
        <is>
          <t>20260630000632</t>
        </is>
      </c>
      <c r="H13722" s="8">
        <f>HYPERLINK("https://dart.fss.or.kr/dsaf001/main.do?rcpNo=20260630000632", "공시열람")</f>
        <v/>
      </c>
    </row>
    <row r="13723">
      <c r="A13723" s="2" t="inlineStr">
        <is>
          <t>2026-06-30</t>
        </is>
      </c>
      <c r="B13723" s="3" t="inlineStr">
        <is>
          <t>현대자동차</t>
        </is>
      </c>
      <c r="C13723" s="2" t="inlineStr">
        <is>
          <t>코스피</t>
        </is>
      </c>
      <c r="D13723" s="2" t="inlineStr">
        <is>
          <t>005380</t>
        </is>
      </c>
      <c r="E13723" s="3" t="inlineStr">
        <is>
          <t xml:space="preserve">지속가능경영보고서등관련사항(자율공시)              </t>
        </is>
      </c>
      <c r="F13723" s="3" t="inlineStr">
        <is>
          <t>현대자동차</t>
        </is>
      </c>
      <c r="G13723" s="2" t="inlineStr">
        <is>
          <t>20260630800715</t>
        </is>
      </c>
      <c r="H13723" s="8">
        <f>HYPERLINK("https://dart.fss.or.kr/dsaf001/main.do?rcpNo=20260630800715", "공시열람")</f>
        <v/>
      </c>
    </row>
    <row r="13724">
      <c r="A13724" s="2" t="inlineStr">
        <is>
          <t>2026-06-30</t>
        </is>
      </c>
      <c r="B13724" s="3" t="inlineStr">
        <is>
          <t>인베니아</t>
        </is>
      </c>
      <c r="C13724" s="2" t="inlineStr">
        <is>
          <t>코스닥</t>
        </is>
      </c>
      <c r="D13724" s="2" t="inlineStr">
        <is>
          <t>079950</t>
        </is>
      </c>
      <c r="E13724" s="3" t="inlineStr">
        <is>
          <t>임원ㆍ주요주주특정증권등소유상황보고서</t>
        </is>
      </c>
      <c r="F13724" s="3" t="inlineStr">
        <is>
          <t>구동진</t>
        </is>
      </c>
      <c r="G13724" s="2" t="inlineStr">
        <is>
          <t>20260630000627</t>
        </is>
      </c>
      <c r="H13724" s="8">
        <f>HYPERLINK("https://dart.fss.or.kr/dsaf001/main.do?rcpNo=20260630000627", "공시열람")</f>
        <v/>
      </c>
    </row>
    <row r="13725">
      <c r="A13725" s="2" t="inlineStr">
        <is>
          <t>2026-06-30</t>
        </is>
      </c>
      <c r="B13725" s="3" t="inlineStr">
        <is>
          <t>코리아에셋투자증권</t>
        </is>
      </c>
      <c r="C13725" s="2" t="inlineStr">
        <is>
          <t>코스닥</t>
        </is>
      </c>
      <c r="D13725" s="2" t="inlineStr">
        <is>
          <t>190650</t>
        </is>
      </c>
      <c r="E13725" s="3" t="inlineStr">
        <is>
          <t xml:space="preserve">대표이사변경              </t>
        </is>
      </c>
      <c r="F13725" s="3" t="inlineStr">
        <is>
          <t>코리아에셋투자증권</t>
        </is>
      </c>
      <c r="G13725" s="2" t="inlineStr">
        <is>
          <t>20260630900597</t>
        </is>
      </c>
      <c r="H13725" s="8">
        <f>HYPERLINK("https://dart.fss.or.kr/dsaf001/main.do?rcpNo=20260630900597", "공시열람")</f>
        <v/>
      </c>
    </row>
    <row r="13726">
      <c r="A13726" s="2" t="inlineStr">
        <is>
          <t>2026-06-30</t>
        </is>
      </c>
      <c r="B13726" s="3" t="inlineStr">
        <is>
          <t>삼성중공업</t>
        </is>
      </c>
      <c r="C13726" s="2" t="inlineStr">
        <is>
          <t>코스피</t>
        </is>
      </c>
      <c r="D13726" s="2" t="inlineStr">
        <is>
          <t>010140</t>
        </is>
      </c>
      <c r="E13726" s="3" t="inlineStr">
        <is>
          <t>임원ㆍ주요주주특정증권등소유상황보고서</t>
        </is>
      </c>
      <c r="F13726" s="3" t="inlineStr">
        <is>
          <t>염철성</t>
        </is>
      </c>
      <c r="G13726" s="2" t="inlineStr">
        <is>
          <t>20260630000623</t>
        </is>
      </c>
      <c r="H13726" s="8">
        <f>HYPERLINK("https://dart.fss.or.kr/dsaf001/main.do?rcpNo=20260630000623", "공시열람")</f>
        <v/>
      </c>
    </row>
    <row r="13727">
      <c r="A13727" s="2" t="inlineStr">
        <is>
          <t>2026-06-30</t>
        </is>
      </c>
      <c r="B13727" s="3" t="inlineStr">
        <is>
          <t>롯데이노베이트</t>
        </is>
      </c>
      <c r="C13727" s="2" t="inlineStr">
        <is>
          <t>코스피</t>
        </is>
      </c>
      <c r="D13727" s="2" t="inlineStr">
        <is>
          <t>286940</t>
        </is>
      </c>
      <c r="E13727" s="3" t="inlineStr">
        <is>
          <t xml:space="preserve">지속가능경영보고서등관련사항(자율공시)              </t>
        </is>
      </c>
      <c r="F13727" s="3" t="inlineStr">
        <is>
          <t>롯데이노베이트</t>
        </is>
      </c>
      <c r="G13727" s="2" t="inlineStr">
        <is>
          <t>20260630800702</t>
        </is>
      </c>
      <c r="H13727" s="8">
        <f>HYPERLINK("https://dart.fss.or.kr/dsaf001/main.do?rcpNo=20260630800702", "공시열람")</f>
        <v/>
      </c>
    </row>
    <row r="13728">
      <c r="A13728" s="2" t="inlineStr">
        <is>
          <t>2026-06-30</t>
        </is>
      </c>
      <c r="B13728" s="3" t="inlineStr">
        <is>
          <t>삼양홀딩스</t>
        </is>
      </c>
      <c r="C13728" s="2" t="inlineStr">
        <is>
          <t>코스피</t>
        </is>
      </c>
      <c r="D13728" s="2" t="inlineStr">
        <is>
          <t>000070</t>
        </is>
      </c>
      <c r="E13728" s="3" t="inlineStr">
        <is>
          <t xml:space="preserve">[기재정정]벌금등의부과(자회사의 주요경영사항)              </t>
        </is>
      </c>
      <c r="F13728" s="3" t="inlineStr">
        <is>
          <t>삼양홀딩스</t>
        </is>
      </c>
      <c r="G13728" s="2" t="inlineStr">
        <is>
          <t>20260630800688</t>
        </is>
      </c>
      <c r="H13728" s="8">
        <f>HYPERLINK("https://dart.fss.or.kr/dsaf001/main.do?rcpNo=20260630800688", "공시열람")</f>
        <v/>
      </c>
    </row>
    <row r="13729">
      <c r="A13729" s="2" t="inlineStr">
        <is>
          <t>2026-06-30</t>
        </is>
      </c>
      <c r="B13729" s="3" t="inlineStr">
        <is>
          <t>삼양사</t>
        </is>
      </c>
      <c r="C13729" s="2" t="inlineStr">
        <is>
          <t>코스피</t>
        </is>
      </c>
      <c r="D13729" s="2" t="inlineStr">
        <is>
          <t>145990</t>
        </is>
      </c>
      <c r="E13729" s="3" t="inlineStr">
        <is>
          <t xml:space="preserve">[기재정정]벌금등의부과              </t>
        </is>
      </c>
      <c r="F13729" s="3" t="inlineStr">
        <is>
          <t>삼양사</t>
        </is>
      </c>
      <c r="G13729" s="2" t="inlineStr">
        <is>
          <t>20260630800687</t>
        </is>
      </c>
      <c r="H13729" s="8">
        <f>HYPERLINK("https://dart.fss.or.kr/dsaf001/main.do?rcpNo=20260630800687", "공시열람")</f>
        <v/>
      </c>
    </row>
    <row r="13730">
      <c r="A13730" s="2" t="inlineStr">
        <is>
          <t>2026-06-30</t>
        </is>
      </c>
      <c r="B13730" s="3" t="inlineStr">
        <is>
          <t>비덴트</t>
        </is>
      </c>
      <c r="C13730" s="2" t="inlineStr">
        <is>
          <t>코스닥</t>
        </is>
      </c>
      <c r="D13730" s="2" t="inlineStr">
        <is>
          <t>121800</t>
        </is>
      </c>
      <c r="E13730" s="3" t="inlineStr">
        <is>
          <t xml:space="preserve">대표이사변경              </t>
        </is>
      </c>
      <c r="F13730" s="3" t="inlineStr">
        <is>
          <t>비덴트</t>
        </is>
      </c>
      <c r="G13730" s="2" t="inlineStr">
        <is>
          <t>20260630900656</t>
        </is>
      </c>
      <c r="H13730" s="8">
        <f>HYPERLINK("https://dart.fss.or.kr/dsaf001/main.do?rcpNo=20260630900656", "공시열람")</f>
        <v/>
      </c>
    </row>
    <row r="13731">
      <c r="A13731" s="2" t="inlineStr">
        <is>
          <t>2026-06-30</t>
        </is>
      </c>
      <c r="B13731" s="3" t="inlineStr">
        <is>
          <t>현대로템</t>
        </is>
      </c>
      <c r="C13731" s="2" t="inlineStr">
        <is>
          <t>코스피</t>
        </is>
      </c>
      <c r="D13731" s="2" t="inlineStr">
        <is>
          <t>064350</t>
        </is>
      </c>
      <c r="E13731" s="3" t="inlineStr">
        <is>
          <t xml:space="preserve">지속가능경영보고서등관련사항(자율공시)              </t>
        </is>
      </c>
      <c r="F13731" s="3" t="inlineStr">
        <is>
          <t>현대로템</t>
        </is>
      </c>
      <c r="G13731" s="2" t="inlineStr">
        <is>
          <t>20260630800683</t>
        </is>
      </c>
      <c r="H13731" s="8">
        <f>HYPERLINK("https://dart.fss.or.kr/dsaf001/main.do?rcpNo=20260630800683", "공시열람")</f>
        <v/>
      </c>
    </row>
    <row r="13732">
      <c r="A13732" s="2" t="inlineStr">
        <is>
          <t>2026-06-30</t>
        </is>
      </c>
      <c r="B13732" s="3" t="inlineStr">
        <is>
          <t>디바이스</t>
        </is>
      </c>
      <c r="C13732" s="2" t="inlineStr">
        <is>
          <t>코스닥</t>
        </is>
      </c>
      <c r="D13732" s="2" t="inlineStr">
        <is>
          <t>187870</t>
        </is>
      </c>
      <c r="E13732" s="3" t="inlineStr">
        <is>
          <t>[기재정정]주식매수선택권부여에관한신고</t>
        </is>
      </c>
      <c r="F13732" s="3" t="inlineStr">
        <is>
          <t>디바이스</t>
        </is>
      </c>
      <c r="G13732" s="2" t="inlineStr">
        <is>
          <t>20260630000605</t>
        </is>
      </c>
      <c r="H13732" s="8">
        <f>HYPERLINK("https://dart.fss.or.kr/dsaf001/main.do?rcpNo=20260630000605", "공시열람")</f>
        <v/>
      </c>
    </row>
    <row r="13733">
      <c r="A13733" s="2" t="inlineStr">
        <is>
          <t>2026-06-30</t>
        </is>
      </c>
      <c r="B13733" s="3" t="inlineStr">
        <is>
          <t>미원상사</t>
        </is>
      </c>
      <c r="C13733" s="2" t="inlineStr">
        <is>
          <t>코스피</t>
        </is>
      </c>
      <c r="D13733" s="2" t="inlineStr">
        <is>
          <t>002840</t>
        </is>
      </c>
      <c r="E13733" s="3" t="inlineStr">
        <is>
          <t>임원ㆍ주요주주특정증권등소유상황보고서</t>
        </is>
      </c>
      <c r="F13733" s="3" t="inlineStr">
        <is>
          <t>문홍무</t>
        </is>
      </c>
      <c r="G13733" s="2" t="inlineStr">
        <is>
          <t>20260630000598</t>
        </is>
      </c>
      <c r="H13733" s="8">
        <f>HYPERLINK("https://dart.fss.or.kr/dsaf001/main.do?rcpNo=20260630000598", "공시열람")</f>
        <v/>
      </c>
    </row>
    <row r="13734">
      <c r="A13734" s="2" t="inlineStr">
        <is>
          <t>2026-06-30</t>
        </is>
      </c>
      <c r="B13734" s="3" t="inlineStr">
        <is>
          <t>아세아</t>
        </is>
      </c>
      <c r="C13734" s="2" t="inlineStr">
        <is>
          <t>코스피</t>
        </is>
      </c>
      <c r="D13734" s="2" t="inlineStr">
        <is>
          <t>002030</t>
        </is>
      </c>
      <c r="E13734" s="3" t="inlineStr">
        <is>
          <t xml:space="preserve">지속가능경영보고서등관련사항(자율공시)              </t>
        </is>
      </c>
      <c r="F13734" s="3" t="inlineStr">
        <is>
          <t>아세아</t>
        </is>
      </c>
      <c r="G13734" s="2" t="inlineStr">
        <is>
          <t>20260630800674</t>
        </is>
      </c>
      <c r="H13734" s="8">
        <f>HYPERLINK("https://dart.fss.or.kr/dsaf001/main.do?rcpNo=20260630800674", "공시열람")</f>
        <v/>
      </c>
    </row>
    <row r="13735">
      <c r="A13735" s="2" t="inlineStr">
        <is>
          <t>2026-06-30</t>
        </is>
      </c>
      <c r="B13735" s="3" t="inlineStr">
        <is>
          <t>한섬</t>
        </is>
      </c>
      <c r="C13735" s="2" t="inlineStr">
        <is>
          <t>코스피</t>
        </is>
      </c>
      <c r="D13735" s="2" t="inlineStr">
        <is>
          <t>020000</t>
        </is>
      </c>
      <c r="E13735" s="3" t="inlineStr">
        <is>
          <t xml:space="preserve">지속가능경영보고서등관련사항(자율공시)              </t>
        </is>
      </c>
      <c r="F13735" s="3" t="inlineStr">
        <is>
          <t>한섬</t>
        </is>
      </c>
      <c r="G13735" s="2" t="inlineStr">
        <is>
          <t>20260630800671</t>
        </is>
      </c>
      <c r="H13735" s="8">
        <f>HYPERLINK("https://dart.fss.or.kr/dsaf001/main.do?rcpNo=20260630800671", "공시열람")</f>
        <v/>
      </c>
    </row>
    <row r="13736">
      <c r="A13736" s="2" t="inlineStr">
        <is>
          <t>2026-06-30</t>
        </is>
      </c>
      <c r="B13736" s="3" t="inlineStr">
        <is>
          <t>세종메디칼</t>
        </is>
      </c>
      <c r="C13736" s="2" t="inlineStr">
        <is>
          <t>코스닥</t>
        </is>
      </c>
      <c r="D13736" s="2" t="inlineStr">
        <is>
          <t>258830</t>
        </is>
      </c>
      <c r="E13736" s="3" t="inlineStr">
        <is>
          <t xml:space="preserve">대표이사변경              </t>
        </is>
      </c>
      <c r="F13736" s="3" t="inlineStr">
        <is>
          <t>세종메디칼</t>
        </is>
      </c>
      <c r="G13736" s="2" t="inlineStr">
        <is>
          <t>20260630900617</t>
        </is>
      </c>
      <c r="H13736" s="8">
        <f>HYPERLINK("https://dart.fss.or.kr/dsaf001/main.do?rcpNo=20260630900617", "공시열람")</f>
        <v/>
      </c>
    </row>
    <row r="13737">
      <c r="A13737" s="2" t="inlineStr">
        <is>
          <t>2026-06-30</t>
        </is>
      </c>
      <c r="B13737" s="3" t="inlineStr">
        <is>
          <t>알파AI</t>
        </is>
      </c>
      <c r="C13737" s="2" t="inlineStr">
        <is>
          <t>코스닥</t>
        </is>
      </c>
      <c r="D13737" s="2" t="inlineStr">
        <is>
          <t>043100</t>
        </is>
      </c>
      <c r="E13737" s="3" t="inlineStr">
        <is>
          <t xml:space="preserve">[기재정정]주식병합결정              </t>
        </is>
      </c>
      <c r="F13737" s="3" t="inlineStr">
        <is>
          <t>알파AI</t>
        </is>
      </c>
      <c r="G13737" s="2" t="inlineStr">
        <is>
          <t>20260630900613</t>
        </is>
      </c>
      <c r="H13737" s="8">
        <f>HYPERLINK("https://dart.fss.or.kr/dsaf001/main.do?rcpNo=20260630900613", "공시열람")</f>
        <v/>
      </c>
    </row>
    <row r="13738">
      <c r="A13738" s="2" t="inlineStr">
        <is>
          <t>2026-06-30</t>
        </is>
      </c>
      <c r="B13738" s="3" t="inlineStr">
        <is>
          <t>제우스</t>
        </is>
      </c>
      <c r="C13738" s="2" t="inlineStr">
        <is>
          <t>코스닥</t>
        </is>
      </c>
      <c r="D13738" s="2" t="inlineStr">
        <is>
          <t>079370</t>
        </is>
      </c>
      <c r="E13738" s="3" t="inlineStr">
        <is>
          <t>임원ㆍ주요주주특정증권등소유상황보고서</t>
        </is>
      </c>
      <c r="F13738" s="3" t="inlineStr">
        <is>
          <t>정호륜</t>
        </is>
      </c>
      <c r="G13738" s="2" t="inlineStr">
        <is>
          <t>20260630000586</t>
        </is>
      </c>
      <c r="H13738" s="8">
        <f>HYPERLINK("https://dart.fss.or.kr/dsaf001/main.do?rcpNo=20260630000586", "공시열람")</f>
        <v/>
      </c>
    </row>
    <row r="13739">
      <c r="A13739" s="2" t="inlineStr">
        <is>
          <t>2026-06-30</t>
        </is>
      </c>
      <c r="B13739" s="3" t="inlineStr">
        <is>
          <t>한화</t>
        </is>
      </c>
      <c r="C13739" s="2" t="inlineStr">
        <is>
          <t>코스피</t>
        </is>
      </c>
      <c r="D13739" s="2" t="inlineStr">
        <is>
          <t>000880</t>
        </is>
      </c>
      <c r="E13739" s="3" t="inlineStr">
        <is>
          <t xml:space="preserve">지속가능경영보고서등관련사항(자율공시)              </t>
        </is>
      </c>
      <c r="F13739" s="3" t="inlineStr">
        <is>
          <t>한화</t>
        </is>
      </c>
      <c r="G13739" s="2" t="inlineStr">
        <is>
          <t>20260630800648</t>
        </is>
      </c>
      <c r="H13739" s="8">
        <f>HYPERLINK("https://dart.fss.or.kr/dsaf001/main.do?rcpNo=20260630800648", "공시열람")</f>
        <v/>
      </c>
    </row>
    <row r="13740">
      <c r="A13740" s="2" t="inlineStr">
        <is>
          <t>2026-06-30</t>
        </is>
      </c>
      <c r="B13740" s="3" t="inlineStr">
        <is>
          <t>삼일씨엔에스</t>
        </is>
      </c>
      <c r="C13740" s="2" t="inlineStr">
        <is>
          <t>코스피</t>
        </is>
      </c>
      <c r="D13740" s="2" t="inlineStr">
        <is>
          <t>004440</t>
        </is>
      </c>
      <c r="E13740" s="3" t="inlineStr">
        <is>
          <t xml:space="preserve">대표이사(대표집행임원)변경(안내공시)              </t>
        </is>
      </c>
      <c r="F13740" s="3" t="inlineStr">
        <is>
          <t>삼일씨엔에스</t>
        </is>
      </c>
      <c r="G13740" s="2" t="inlineStr">
        <is>
          <t>20260630800580</t>
        </is>
      </c>
      <c r="H13740" s="8">
        <f>HYPERLINK("https://dart.fss.or.kr/dsaf001/main.do?rcpNo=20260630800580", "공시열람")</f>
        <v/>
      </c>
    </row>
    <row r="13741">
      <c r="A13741" s="2" t="inlineStr">
        <is>
          <t>2026-06-30</t>
        </is>
      </c>
      <c r="B13741" s="3" t="inlineStr">
        <is>
          <t>현대백화점</t>
        </is>
      </c>
      <c r="C13741" s="2" t="inlineStr">
        <is>
          <t>코스피</t>
        </is>
      </c>
      <c r="D13741" s="2" t="inlineStr">
        <is>
          <t>069960</t>
        </is>
      </c>
      <c r="E13741" s="3" t="inlineStr">
        <is>
          <t xml:space="preserve">지속가능경영보고서등관련사항(자율공시)              </t>
        </is>
      </c>
      <c r="F13741" s="3" t="inlineStr">
        <is>
          <t>현대백화점</t>
        </is>
      </c>
      <c r="G13741" s="2" t="inlineStr">
        <is>
          <t>20260630800647</t>
        </is>
      </c>
      <c r="H13741" s="8">
        <f>HYPERLINK("https://dart.fss.or.kr/dsaf001/main.do?rcpNo=20260630800647", "공시열람")</f>
        <v/>
      </c>
    </row>
    <row r="13742">
      <c r="A13742" s="2" t="inlineStr">
        <is>
          <t>2026-06-30</t>
        </is>
      </c>
      <c r="B13742" s="3" t="inlineStr">
        <is>
          <t>웅진씽크빅</t>
        </is>
      </c>
      <c r="C13742" s="2" t="inlineStr">
        <is>
          <t>코스피</t>
        </is>
      </c>
      <c r="D13742" s="2" t="inlineStr">
        <is>
          <t>095720</t>
        </is>
      </c>
      <c r="E13742" s="3" t="inlineStr">
        <is>
          <t>동일인등출자계열회사와의상품ㆍ용역거래</t>
        </is>
      </c>
      <c r="F13742" s="3" t="inlineStr">
        <is>
          <t>웅진씽크빅</t>
        </is>
      </c>
      <c r="G13742" s="2" t="inlineStr">
        <is>
          <t>20260630000573</t>
        </is>
      </c>
      <c r="H13742" s="8">
        <f>HYPERLINK("https://dart.fss.or.kr/dsaf001/main.do?rcpNo=20260630000573", "공시열람")</f>
        <v/>
      </c>
    </row>
    <row r="13743">
      <c r="A13743" s="2" t="inlineStr">
        <is>
          <t>2026-06-30</t>
        </is>
      </c>
      <c r="B13743" s="3" t="inlineStr">
        <is>
          <t>현대차증권</t>
        </is>
      </c>
      <c r="C13743" s="2" t="inlineStr">
        <is>
          <t>코스피</t>
        </is>
      </c>
      <c r="D13743" s="2" t="inlineStr">
        <is>
          <t>001500</t>
        </is>
      </c>
      <c r="E13743" s="3" t="inlineStr">
        <is>
          <t>일괄신고추가서류(기타파생결합사채)</t>
        </is>
      </c>
      <c r="F13743" s="3" t="inlineStr">
        <is>
          <t>현대차증권</t>
        </is>
      </c>
      <c r="G13743" s="2" t="inlineStr">
        <is>
          <t>20260630000568</t>
        </is>
      </c>
      <c r="H13743" s="8">
        <f>HYPERLINK("https://dart.fss.or.kr/dsaf001/main.do?rcpNo=20260630000568", "공시열람")</f>
        <v/>
      </c>
    </row>
    <row r="13744">
      <c r="A13744" s="2" t="inlineStr">
        <is>
          <t>2026-06-30</t>
        </is>
      </c>
      <c r="B13744" s="3" t="inlineStr">
        <is>
          <t>현대차증권</t>
        </is>
      </c>
      <c r="C13744" s="2" t="inlineStr">
        <is>
          <t>코스피</t>
        </is>
      </c>
      <c r="D13744" s="2" t="inlineStr">
        <is>
          <t>001500</t>
        </is>
      </c>
      <c r="E13744" s="3" t="inlineStr">
        <is>
          <t>투자설명서(일괄신고)</t>
        </is>
      </c>
      <c r="F13744" s="3" t="inlineStr">
        <is>
          <t>현대차증권</t>
        </is>
      </c>
      <c r="G13744" s="2" t="inlineStr">
        <is>
          <t>20260630000552</t>
        </is>
      </c>
      <c r="H13744" s="8">
        <f>HYPERLINK("https://dart.fss.or.kr/dsaf001/main.do?rcpNo=20260630000552", "공시열람")</f>
        <v/>
      </c>
    </row>
    <row r="13745">
      <c r="A13745" s="2" t="inlineStr">
        <is>
          <t>2026-06-30</t>
        </is>
      </c>
      <c r="B13745" s="3" t="inlineStr">
        <is>
          <t>BGF리테일</t>
        </is>
      </c>
      <c r="C13745" s="2" t="inlineStr">
        <is>
          <t>코스피</t>
        </is>
      </c>
      <c r="D13745" s="2" t="inlineStr">
        <is>
          <t>282330</t>
        </is>
      </c>
      <c r="E13745" s="3" t="inlineStr">
        <is>
          <t xml:space="preserve">지속가능경영보고서등관련사항(자율공시)              </t>
        </is>
      </c>
      <c r="F13745" s="3" t="inlineStr">
        <is>
          <t>BGF리테일</t>
        </is>
      </c>
      <c r="G13745" s="2" t="inlineStr">
        <is>
          <t>20260630800618</t>
        </is>
      </c>
      <c r="H13745" s="8">
        <f>HYPERLINK("https://dart.fss.or.kr/dsaf001/main.do?rcpNo=20260630800618", "공시열람")</f>
        <v/>
      </c>
    </row>
    <row r="13746">
      <c r="A13746" s="2" t="inlineStr">
        <is>
          <t>2026-06-30</t>
        </is>
      </c>
      <c r="B13746" s="3" t="inlineStr">
        <is>
          <t>유진증권</t>
        </is>
      </c>
      <c r="C13746" s="2" t="inlineStr">
        <is>
          <t>코스피</t>
        </is>
      </c>
      <c r="D13746" s="2" t="inlineStr">
        <is>
          <t>001200</t>
        </is>
      </c>
      <c r="E13746" s="3" t="inlineStr">
        <is>
          <t>증권발행실적보고서</t>
        </is>
      </c>
      <c r="F13746" s="3" t="inlineStr">
        <is>
          <t>유진증권</t>
        </is>
      </c>
      <c r="G13746" s="2" t="inlineStr">
        <is>
          <t>20260630000548</t>
        </is>
      </c>
      <c r="H13746" s="8">
        <f>HYPERLINK("https://dart.fss.or.kr/dsaf001/main.do?rcpNo=20260630000548", "공시열람")</f>
        <v/>
      </c>
    </row>
    <row r="13747">
      <c r="A13747" s="2" t="inlineStr">
        <is>
          <t>2026-06-30</t>
        </is>
      </c>
      <c r="B13747" s="3" t="inlineStr">
        <is>
          <t>아세아시멘트</t>
        </is>
      </c>
      <c r="C13747" s="2" t="inlineStr">
        <is>
          <t>코스피</t>
        </is>
      </c>
      <c r="D13747" s="2" t="inlineStr">
        <is>
          <t>183190</t>
        </is>
      </c>
      <c r="E13747" s="3" t="inlineStr">
        <is>
          <t xml:space="preserve">지속가능경영보고서등관련사항(자율공시)              </t>
        </is>
      </c>
      <c r="F13747" s="3" t="inlineStr">
        <is>
          <t>아세아시멘트</t>
        </is>
      </c>
      <c r="G13747" s="2" t="inlineStr">
        <is>
          <t>20260630800611</t>
        </is>
      </c>
      <c r="H13747" s="8">
        <f>HYPERLINK("https://dart.fss.or.kr/dsaf001/main.do?rcpNo=20260630800611", "공시열람")</f>
        <v/>
      </c>
    </row>
    <row r="13748">
      <c r="A13748" s="2" t="inlineStr">
        <is>
          <t>2026-06-30</t>
        </is>
      </c>
      <c r="B13748" s="3" t="inlineStr">
        <is>
          <t>삼성전자</t>
        </is>
      </c>
      <c r="C13748" s="2" t="inlineStr">
        <is>
          <t>코스피</t>
        </is>
      </c>
      <c r="D13748" s="2" t="inlineStr">
        <is>
          <t>005930</t>
        </is>
      </c>
      <c r="E13748" s="3" t="inlineStr">
        <is>
          <t>임원ㆍ주요주주특정증권등소유상황보고서</t>
        </is>
      </c>
      <c r="F13748" s="3" t="inlineStr">
        <is>
          <t>박정민</t>
        </is>
      </c>
      <c r="G13748" s="2" t="inlineStr">
        <is>
          <t>20260630000544</t>
        </is>
      </c>
      <c r="H13748" s="8">
        <f>HYPERLINK("https://dart.fss.or.kr/dsaf001/main.do?rcpNo=20260630000544", "공시열람")</f>
        <v/>
      </c>
    </row>
    <row r="13749">
      <c r="A13749" s="2" t="inlineStr">
        <is>
          <t>2026-06-30</t>
        </is>
      </c>
      <c r="B13749" s="3" t="inlineStr">
        <is>
          <t>디젠스</t>
        </is>
      </c>
      <c r="C13749" s="2" t="inlineStr">
        <is>
          <t>코스닥</t>
        </is>
      </c>
      <c r="D13749" s="2" t="inlineStr">
        <is>
          <t>113810</t>
        </is>
      </c>
      <c r="E13749" s="3" t="inlineStr">
        <is>
          <t>임원ㆍ주요주주특정증권등소유상황보고서</t>
        </is>
      </c>
      <c r="F13749" s="3" t="inlineStr">
        <is>
          <t>이석우</t>
        </is>
      </c>
      <c r="G13749" s="2" t="inlineStr">
        <is>
          <t>20260630000542</t>
        </is>
      </c>
      <c r="H13749" s="8">
        <f>HYPERLINK("https://dart.fss.or.kr/dsaf001/main.do?rcpNo=20260630000542", "공시열람")</f>
        <v/>
      </c>
    </row>
    <row r="13750">
      <c r="A13750" s="2" t="inlineStr">
        <is>
          <t>2026-06-30</t>
        </is>
      </c>
      <c r="B13750" s="3" t="inlineStr">
        <is>
          <t>LG화학</t>
        </is>
      </c>
      <c r="C13750" s="2" t="inlineStr">
        <is>
          <t>코스피</t>
        </is>
      </c>
      <c r="D13750" s="2" t="inlineStr">
        <is>
          <t>051910</t>
        </is>
      </c>
      <c r="E13750" s="3" t="inlineStr">
        <is>
          <t xml:space="preserve">지속가능경영보고서등관련사항(자율공시)              </t>
        </is>
      </c>
      <c r="F13750" s="3" t="inlineStr">
        <is>
          <t>LG화학</t>
        </is>
      </c>
      <c r="G13750" s="2" t="inlineStr">
        <is>
          <t>20260630800603</t>
        </is>
      </c>
      <c r="H13750" s="8">
        <f>HYPERLINK("https://dart.fss.or.kr/dsaf001/main.do?rcpNo=20260630800603", "공시열람")</f>
        <v/>
      </c>
    </row>
    <row r="13751">
      <c r="A13751" s="2" t="inlineStr">
        <is>
          <t>2026-06-30</t>
        </is>
      </c>
      <c r="B13751" s="3" t="inlineStr">
        <is>
          <t>한화생명</t>
        </is>
      </c>
      <c r="C13751" s="2" t="inlineStr">
        <is>
          <t>코스피</t>
        </is>
      </c>
      <c r="D13751" s="2" t="inlineStr">
        <is>
          <t>088350</t>
        </is>
      </c>
      <c r="E13751" s="3" t="inlineStr">
        <is>
          <t xml:space="preserve">지속가능경영보고서등관련사항(자율공시)              </t>
        </is>
      </c>
      <c r="F13751" s="3" t="inlineStr">
        <is>
          <t>한화생명</t>
        </is>
      </c>
      <c r="G13751" s="2" t="inlineStr">
        <is>
          <t>20260630800602</t>
        </is>
      </c>
      <c r="H13751" s="8">
        <f>HYPERLINK("https://dart.fss.or.kr/dsaf001/main.do?rcpNo=20260630800602", "공시열람")</f>
        <v/>
      </c>
    </row>
    <row r="13752">
      <c r="A13752" s="2" t="inlineStr">
        <is>
          <t>2026-06-30</t>
        </is>
      </c>
      <c r="B13752" s="3" t="inlineStr">
        <is>
          <t>DGI</t>
        </is>
      </c>
      <c r="C13752" s="2" t="inlineStr">
        <is>
          <t>코스닥</t>
        </is>
      </c>
      <c r="D13752" s="2" t="inlineStr">
        <is>
          <t>099520</t>
        </is>
      </c>
      <c r="E13752" s="3" t="inlineStr">
        <is>
          <t xml:space="preserve">상장적격성실질심사관련주요개선계획(자율공시)              </t>
        </is>
      </c>
      <c r="F13752" s="3" t="inlineStr">
        <is>
          <t>DGI</t>
        </is>
      </c>
      <c r="G13752" s="2" t="inlineStr">
        <is>
          <t>20260630900578</t>
        </is>
      </c>
      <c r="H13752" s="8">
        <f>HYPERLINK("https://dart.fss.or.kr/dsaf001/main.do?rcpNo=20260630900578", "공시열람")</f>
        <v/>
      </c>
    </row>
    <row r="13753">
      <c r="A13753" s="2" t="inlineStr">
        <is>
          <t>2026-06-30</t>
        </is>
      </c>
      <c r="B13753" s="3" t="inlineStr">
        <is>
          <t>현대차증권</t>
        </is>
      </c>
      <c r="C13753" s="2" t="inlineStr">
        <is>
          <t>코스피</t>
        </is>
      </c>
      <c r="D13753" s="2" t="inlineStr">
        <is>
          <t>001500</t>
        </is>
      </c>
      <c r="E13753" s="3" t="inlineStr">
        <is>
          <t>증권발행실적보고서</t>
        </is>
      </c>
      <c r="F13753" s="3" t="inlineStr">
        <is>
          <t>현대차증권</t>
        </is>
      </c>
      <c r="G13753" s="2" t="inlineStr">
        <is>
          <t>20260630000533</t>
        </is>
      </c>
      <c r="H13753" s="8">
        <f>HYPERLINK("https://dart.fss.or.kr/dsaf001/main.do?rcpNo=20260630000533", "공시열람")</f>
        <v/>
      </c>
    </row>
    <row r="13754">
      <c r="A13754" s="2" t="inlineStr">
        <is>
          <t>2026-06-30</t>
        </is>
      </c>
      <c r="B13754" s="3" t="inlineStr">
        <is>
          <t>콘텐트리중앙</t>
        </is>
      </c>
      <c r="C13754" s="2" t="inlineStr">
        <is>
          <t>코스피</t>
        </is>
      </c>
      <c r="D13754" s="2" t="inlineStr">
        <is>
          <t>036420</t>
        </is>
      </c>
      <c r="E13754" s="3" t="inlineStr">
        <is>
          <t xml:space="preserve">[기재정정]회생절차개시신청(종속회사의주요경영사항)              </t>
        </is>
      </c>
      <c r="F13754" s="3" t="inlineStr">
        <is>
          <t>콘텐트리중앙</t>
        </is>
      </c>
      <c r="G13754" s="2" t="inlineStr">
        <is>
          <t>20260630800581</t>
        </is>
      </c>
      <c r="H13754" s="8">
        <f>HYPERLINK("https://dart.fss.or.kr/dsaf001/main.do?rcpNo=20260630800581", "공시열람")</f>
        <v/>
      </c>
    </row>
    <row r="13755">
      <c r="A13755" s="2" t="inlineStr">
        <is>
          <t>2026-06-30</t>
        </is>
      </c>
      <c r="B13755" s="3" t="inlineStr">
        <is>
          <t>지역난방공사</t>
        </is>
      </c>
      <c r="C13755" s="2" t="inlineStr">
        <is>
          <t>코스피</t>
        </is>
      </c>
      <c r="D13755" s="2" t="inlineStr">
        <is>
          <t>071320</t>
        </is>
      </c>
      <c r="E13755" s="3" t="inlineStr">
        <is>
          <t>사외이사의선임ㆍ해임또는중도퇴임에관한신고</t>
        </is>
      </c>
      <c r="F13755" s="3" t="inlineStr">
        <is>
          <t>지역난방공사</t>
        </is>
      </c>
      <c r="G13755" s="2" t="inlineStr">
        <is>
          <t>20260630000530</t>
        </is>
      </c>
      <c r="H13755" s="8">
        <f>HYPERLINK("https://dart.fss.or.kr/dsaf001/main.do?rcpNo=20260630000530", "공시열람")</f>
        <v/>
      </c>
    </row>
    <row r="13756">
      <c r="A13756" s="2" t="inlineStr">
        <is>
          <t>2026-06-30</t>
        </is>
      </c>
      <c r="B13756" s="3" t="inlineStr">
        <is>
          <t>미래에셋증권</t>
        </is>
      </c>
      <c r="C13756" s="2" t="inlineStr">
        <is>
          <t>코스피</t>
        </is>
      </c>
      <c r="D13756" s="2" t="inlineStr">
        <is>
          <t>006800</t>
        </is>
      </c>
      <c r="E13756" s="3" t="inlineStr">
        <is>
          <t>투자설명서(일괄신고)</t>
        </is>
      </c>
      <c r="F13756" s="3" t="inlineStr">
        <is>
          <t>미래에셋증권</t>
        </is>
      </c>
      <c r="G13756" s="2" t="inlineStr">
        <is>
          <t>20260630000527</t>
        </is>
      </c>
      <c r="H13756" s="8">
        <f>HYPERLINK("https://dart.fss.or.kr/dsaf001/main.do?rcpNo=20260630000527", "공시열람")</f>
        <v/>
      </c>
    </row>
    <row r="13757">
      <c r="A13757" s="2" t="inlineStr">
        <is>
          <t>2026-06-30</t>
        </is>
      </c>
      <c r="B13757" s="3" t="inlineStr">
        <is>
          <t>옵트론텍</t>
        </is>
      </c>
      <c r="C13757" s="2" t="inlineStr">
        <is>
          <t>코스닥</t>
        </is>
      </c>
      <c r="D13757" s="2" t="inlineStr">
        <is>
          <t>082210</t>
        </is>
      </c>
      <c r="E13757" s="3" t="inlineStr">
        <is>
          <t>전환가액의조정              (제16회차)</t>
        </is>
      </c>
      <c r="F13757" s="3" t="inlineStr">
        <is>
          <t>옵트론텍</t>
        </is>
      </c>
      <c r="G13757" s="2" t="inlineStr">
        <is>
          <t>20260630900557</t>
        </is>
      </c>
      <c r="H13757" s="8">
        <f>HYPERLINK("https://dart.fss.or.kr/dsaf001/main.do?rcpNo=20260630900557", "공시열람")</f>
        <v/>
      </c>
    </row>
    <row r="13758">
      <c r="A13758" s="2" t="inlineStr">
        <is>
          <t>2026-06-30</t>
        </is>
      </c>
      <c r="B13758" s="3" t="inlineStr">
        <is>
          <t>콘텐트리중앙</t>
        </is>
      </c>
      <c r="C13758" s="2" t="inlineStr">
        <is>
          <t>코스피</t>
        </is>
      </c>
      <c r="D13758" s="2" t="inlineStr">
        <is>
          <t>036420</t>
        </is>
      </c>
      <c r="E13758" s="3" t="inlineStr">
        <is>
          <t xml:space="preserve">회생절차개시결정              </t>
        </is>
      </c>
      <c r="F13758" s="3" t="inlineStr">
        <is>
          <t>콘텐트리중앙</t>
        </is>
      </c>
      <c r="G13758" s="2" t="inlineStr">
        <is>
          <t>20260630800563</t>
        </is>
      </c>
      <c r="H13758" s="8">
        <f>HYPERLINK("https://dart.fss.or.kr/dsaf001/main.do?rcpNo=20260630800563", "공시열람")</f>
        <v/>
      </c>
    </row>
    <row r="13759">
      <c r="A13759" s="2" t="inlineStr">
        <is>
          <t>2026-06-30</t>
        </is>
      </c>
      <c r="B13759" s="3" t="inlineStr">
        <is>
          <t>피앤씨테크</t>
        </is>
      </c>
      <c r="C13759" s="2" t="inlineStr">
        <is>
          <t>코스닥</t>
        </is>
      </c>
      <c r="D13759" s="2" t="inlineStr">
        <is>
          <t>237750</t>
        </is>
      </c>
      <c r="E13759" s="3" t="inlineStr">
        <is>
          <t xml:space="preserve">대표이사변경              </t>
        </is>
      </c>
      <c r="F13759" s="3" t="inlineStr">
        <is>
          <t>피앤씨테크</t>
        </is>
      </c>
      <c r="G13759" s="2" t="inlineStr">
        <is>
          <t>20260630900473</t>
        </is>
      </c>
      <c r="H13759" s="8">
        <f>HYPERLINK("https://dart.fss.or.kr/dsaf001/main.do?rcpNo=20260630900473", "공시열람")</f>
        <v/>
      </c>
    </row>
    <row r="13760">
      <c r="A13760" s="2" t="inlineStr">
        <is>
          <t>2026-06-30</t>
        </is>
      </c>
      <c r="B13760" s="3" t="inlineStr">
        <is>
          <t>교보증권</t>
        </is>
      </c>
      <c r="C13760" s="2" t="inlineStr">
        <is>
          <t>코스피</t>
        </is>
      </c>
      <c r="D13760" s="2" t="inlineStr">
        <is>
          <t>030610</t>
        </is>
      </c>
      <c r="E13760" s="3" t="inlineStr">
        <is>
          <t>증권발행실적보고서</t>
        </is>
      </c>
      <c r="F13760" s="3" t="inlineStr">
        <is>
          <t>교보증권</t>
        </is>
      </c>
      <c r="G13760" s="2" t="inlineStr">
        <is>
          <t>20260630000513</t>
        </is>
      </c>
      <c r="H13760" s="8">
        <f>HYPERLINK("https://dart.fss.or.kr/dsaf001/main.do?rcpNo=20260630000513", "공시열람")</f>
        <v/>
      </c>
    </row>
    <row r="13761">
      <c r="A13761" s="2" t="inlineStr">
        <is>
          <t>2026-06-30</t>
        </is>
      </c>
      <c r="B13761" s="3" t="inlineStr">
        <is>
          <t>시노펙스</t>
        </is>
      </c>
      <c r="C13761" s="2" t="inlineStr">
        <is>
          <t>코스닥</t>
        </is>
      </c>
      <c r="D13761" s="2" t="inlineStr">
        <is>
          <t>025320</t>
        </is>
      </c>
      <c r="E13761" s="3" t="inlineStr">
        <is>
          <t>합병등종료보고서(합병)</t>
        </is>
      </c>
      <c r="F13761" s="3" t="inlineStr">
        <is>
          <t>시노펙스</t>
        </is>
      </c>
      <c r="G13761" s="2" t="inlineStr">
        <is>
          <t>20260630000512</t>
        </is>
      </c>
      <c r="H13761" s="8">
        <f>HYPERLINK("https://dart.fss.or.kr/dsaf001/main.do?rcpNo=20260630000512", "공시열람")</f>
        <v/>
      </c>
    </row>
    <row r="13762">
      <c r="A13762" s="2" t="inlineStr">
        <is>
          <t>2026-06-30</t>
        </is>
      </c>
      <c r="B13762" s="3" t="inlineStr">
        <is>
          <t>미원상사</t>
        </is>
      </c>
      <c r="C13762" s="2" t="inlineStr">
        <is>
          <t>코스피</t>
        </is>
      </c>
      <c r="D13762" s="2" t="inlineStr">
        <is>
          <t>002840</t>
        </is>
      </c>
      <c r="E13762" s="3" t="inlineStr">
        <is>
          <t>임원ㆍ주요주주특정증권등소유상황보고서</t>
        </is>
      </c>
      <c r="F13762" s="3" t="inlineStr">
        <is>
          <t>가제순</t>
        </is>
      </c>
      <c r="G13762" s="2" t="inlineStr">
        <is>
          <t>20260630000510</t>
        </is>
      </c>
      <c r="H13762" s="8">
        <f>HYPERLINK("https://dart.fss.or.kr/dsaf001/main.do?rcpNo=20260630000510", "공시열람")</f>
        <v/>
      </c>
    </row>
    <row r="13763">
      <c r="A13763" s="2" t="inlineStr">
        <is>
          <t>2026-06-30</t>
        </is>
      </c>
      <c r="B13763" s="3" t="inlineStr">
        <is>
          <t>미래에셋증권</t>
        </is>
      </c>
      <c r="C13763" s="2" t="inlineStr">
        <is>
          <t>코스피</t>
        </is>
      </c>
      <c r="D13763" s="2" t="inlineStr">
        <is>
          <t>006800</t>
        </is>
      </c>
      <c r="E13763" s="3" t="inlineStr">
        <is>
          <t>투자설명서(일괄신고)</t>
        </is>
      </c>
      <c r="F13763" s="3" t="inlineStr">
        <is>
          <t>미래에셋증권</t>
        </is>
      </c>
      <c r="G13763" s="2" t="inlineStr">
        <is>
          <t>20260630000508</t>
        </is>
      </c>
      <c r="H13763" s="8">
        <f>HYPERLINK("https://dart.fss.or.kr/dsaf001/main.do?rcpNo=20260630000508", "공시열람")</f>
        <v/>
      </c>
    </row>
    <row r="13764">
      <c r="A13764" s="2" t="inlineStr">
        <is>
          <t>2026-06-30</t>
        </is>
      </c>
      <c r="B13764" s="3" t="inlineStr">
        <is>
          <t>LB인베스트먼트</t>
        </is>
      </c>
      <c r="C13764" s="2" t="inlineStr">
        <is>
          <t>코스닥</t>
        </is>
      </c>
      <c r="D13764" s="2" t="inlineStr">
        <is>
          <t>309960</t>
        </is>
      </c>
      <c r="E13764" s="3" t="inlineStr">
        <is>
          <t>임원ㆍ주요주주특정증권등소유상황보고서</t>
        </is>
      </c>
      <c r="F13764" s="3" t="inlineStr">
        <is>
          <t>박기호</t>
        </is>
      </c>
      <c r="G13764" s="2" t="inlineStr">
        <is>
          <t>20260630000507</t>
        </is>
      </c>
      <c r="H13764" s="8">
        <f>HYPERLINK("https://dart.fss.or.kr/dsaf001/main.do?rcpNo=20260630000507", "공시열람")</f>
        <v/>
      </c>
    </row>
    <row r="13765">
      <c r="A13765" s="2" t="inlineStr">
        <is>
          <t>2026-06-30</t>
        </is>
      </c>
      <c r="B13765" s="3" t="inlineStr">
        <is>
          <t>두산</t>
        </is>
      </c>
      <c r="C13765" s="2" t="inlineStr">
        <is>
          <t>코스피</t>
        </is>
      </c>
      <c r="D13765" s="2" t="inlineStr">
        <is>
          <t>000150</t>
        </is>
      </c>
      <c r="E13765" s="3" t="inlineStr">
        <is>
          <t xml:space="preserve">지속가능경영보고서등관련사항(자율공시)              </t>
        </is>
      </c>
      <c r="F13765" s="3" t="inlineStr">
        <is>
          <t>두산</t>
        </is>
      </c>
      <c r="G13765" s="2" t="inlineStr">
        <is>
          <t>20260630800566</t>
        </is>
      </c>
      <c r="H13765" s="8">
        <f>HYPERLINK("https://dart.fss.or.kr/dsaf001/main.do?rcpNo=20260630800566", "공시열람")</f>
        <v/>
      </c>
    </row>
    <row r="13766">
      <c r="A13766" s="2" t="inlineStr">
        <is>
          <t>2026-06-30</t>
        </is>
      </c>
      <c r="B13766" s="3" t="inlineStr">
        <is>
          <t>미래에셋증권</t>
        </is>
      </c>
      <c r="C13766" s="2" t="inlineStr">
        <is>
          <t>코스피</t>
        </is>
      </c>
      <c r="D13766" s="2" t="inlineStr">
        <is>
          <t>006800</t>
        </is>
      </c>
      <c r="E13766" s="3" t="inlineStr">
        <is>
          <t>일괄신고추가서류(파생결합증권-주가연계증권)</t>
        </is>
      </c>
      <c r="F13766" s="3" t="inlineStr">
        <is>
          <t>미래에셋증권</t>
        </is>
      </c>
      <c r="G13766" s="2" t="inlineStr">
        <is>
          <t>20260630000505</t>
        </is>
      </c>
      <c r="H13766" s="8">
        <f>HYPERLINK("https://dart.fss.or.kr/dsaf001/main.do?rcpNo=20260630000505", "공시열람")</f>
        <v/>
      </c>
    </row>
    <row r="13767">
      <c r="A13767" s="2" t="inlineStr">
        <is>
          <t>2026-06-30</t>
        </is>
      </c>
      <c r="B13767" s="3" t="inlineStr">
        <is>
          <t>아리바이오LAB</t>
        </is>
      </c>
      <c r="C13767" s="2" t="inlineStr">
        <is>
          <t>코스닥</t>
        </is>
      </c>
      <c r="D13767" s="2" t="inlineStr">
        <is>
          <t>261780</t>
        </is>
      </c>
      <c r="E13767" s="3" t="inlineStr">
        <is>
          <t xml:space="preserve">증권발행결과(자율공시)              </t>
        </is>
      </c>
      <c r="F13767" s="3" t="inlineStr">
        <is>
          <t>아리바이오LAB</t>
        </is>
      </c>
      <c r="G13767" s="2" t="inlineStr">
        <is>
          <t>20260630900561</t>
        </is>
      </c>
      <c r="H13767" s="8">
        <f>HYPERLINK("https://dart.fss.or.kr/dsaf001/main.do?rcpNo=20260630900561", "공시열람")</f>
        <v/>
      </c>
    </row>
    <row r="13768">
      <c r="A13768" s="2" t="inlineStr">
        <is>
          <t>2026-06-30</t>
        </is>
      </c>
      <c r="B13768" s="3" t="inlineStr">
        <is>
          <t>아이엠비디엑스</t>
        </is>
      </c>
      <c r="C13768" s="2" t="inlineStr">
        <is>
          <t>코스닥</t>
        </is>
      </c>
      <c r="D13768" s="2" t="inlineStr">
        <is>
          <t>461030</t>
        </is>
      </c>
      <c r="E13768" s="3" t="inlineStr">
        <is>
          <t>임원ㆍ주요주주특정증권등소유상황보고서</t>
        </is>
      </c>
      <c r="F13768" s="3" t="inlineStr">
        <is>
          <t>김태유</t>
        </is>
      </c>
      <c r="G13768" s="2" t="inlineStr">
        <is>
          <t>20260630000503</t>
        </is>
      </c>
      <c r="H13768" s="8">
        <f>HYPERLINK("https://dart.fss.or.kr/dsaf001/main.do?rcpNo=20260630000503", "공시열람")</f>
        <v/>
      </c>
    </row>
    <row r="13769">
      <c r="A13769" s="2" t="inlineStr">
        <is>
          <t>2026-06-30</t>
        </is>
      </c>
      <c r="B13769" s="3" t="inlineStr">
        <is>
          <t>넥스틸</t>
        </is>
      </c>
      <c r="C13769" s="2" t="inlineStr">
        <is>
          <t>코스피</t>
        </is>
      </c>
      <c r="D13769" s="2" t="inlineStr">
        <is>
          <t>092790</t>
        </is>
      </c>
      <c r="E13769" s="3" t="inlineStr">
        <is>
          <t xml:space="preserve">유상증자또는주식관련사채등의발행결과(자율공시)              </t>
        </is>
      </c>
      <c r="F13769" s="3" t="inlineStr">
        <is>
          <t>넥스틸</t>
        </is>
      </c>
      <c r="G13769" s="2" t="inlineStr">
        <is>
          <t>20260630800532</t>
        </is>
      </c>
      <c r="H13769" s="8">
        <f>HYPERLINK("https://dart.fss.or.kr/dsaf001/main.do?rcpNo=20260630800532", "공시열람")</f>
        <v/>
      </c>
    </row>
    <row r="13770">
      <c r="A13770" s="2" t="inlineStr">
        <is>
          <t>2026-06-30</t>
        </is>
      </c>
      <c r="B13770" s="3" t="inlineStr">
        <is>
          <t>교보증권</t>
        </is>
      </c>
      <c r="C13770" s="2" t="inlineStr">
        <is>
          <t>코스피</t>
        </is>
      </c>
      <c r="D13770" s="2" t="inlineStr">
        <is>
          <t>030610</t>
        </is>
      </c>
      <c r="E13770" s="3" t="inlineStr">
        <is>
          <t>증권발행실적보고서</t>
        </is>
      </c>
      <c r="F13770" s="3" t="inlineStr">
        <is>
          <t>교보증권</t>
        </is>
      </c>
      <c r="G13770" s="2" t="inlineStr">
        <is>
          <t>20260630000502</t>
        </is>
      </c>
      <c r="H13770" s="8">
        <f>HYPERLINK("https://dart.fss.or.kr/dsaf001/main.do?rcpNo=20260630000502", "공시열람")</f>
        <v/>
      </c>
    </row>
    <row r="13771">
      <c r="A13771" s="2" t="inlineStr">
        <is>
          <t>2026-06-30</t>
        </is>
      </c>
      <c r="B13771" s="3" t="inlineStr">
        <is>
          <t>iM금융지주</t>
        </is>
      </c>
      <c r="C13771" s="2" t="inlineStr">
        <is>
          <t>코스피</t>
        </is>
      </c>
      <c r="D13771" s="2" t="inlineStr">
        <is>
          <t>139130</t>
        </is>
      </c>
      <c r="E13771" s="3" t="inlineStr">
        <is>
          <t xml:space="preserve">지속가능경영보고서등관련사항(자율공시)              </t>
        </is>
      </c>
      <c r="F13771" s="3" t="inlineStr">
        <is>
          <t>iM금융지주</t>
        </is>
      </c>
      <c r="G13771" s="2" t="inlineStr">
        <is>
          <t>20260630800544</t>
        </is>
      </c>
      <c r="H13771" s="8">
        <f>HYPERLINK("https://dart.fss.or.kr/dsaf001/main.do?rcpNo=20260630800544", "공시열람")</f>
        <v/>
      </c>
    </row>
    <row r="13772">
      <c r="A13772" s="2" t="inlineStr">
        <is>
          <t>2026-06-30</t>
        </is>
      </c>
      <c r="B13772" s="3" t="inlineStr">
        <is>
          <t>현대로템</t>
        </is>
      </c>
      <c r="C13772" s="2" t="inlineStr">
        <is>
          <t>코스피</t>
        </is>
      </c>
      <c r="D13772" s="2" t="inlineStr">
        <is>
          <t>064350</t>
        </is>
      </c>
      <c r="E13772" s="3" t="inlineStr">
        <is>
          <t xml:space="preserve">정보보호현황(자율공시)              </t>
        </is>
      </c>
      <c r="F13772" s="3" t="inlineStr">
        <is>
          <t>현대로템</t>
        </is>
      </c>
      <c r="G13772" s="2" t="inlineStr">
        <is>
          <t>20260630800519</t>
        </is>
      </c>
      <c r="H13772" s="8">
        <f>HYPERLINK("https://dart.fss.or.kr/dsaf001/main.do?rcpNo=20260630800519", "공시열람")</f>
        <v/>
      </c>
    </row>
    <row r="13773">
      <c r="A13773" s="2" t="inlineStr">
        <is>
          <t>2026-06-30</t>
        </is>
      </c>
      <c r="B13773" s="3" t="inlineStr">
        <is>
          <t>한국앤컴퍼니</t>
        </is>
      </c>
      <c r="C13773" s="2" t="inlineStr">
        <is>
          <t>코스피</t>
        </is>
      </c>
      <c r="D13773" s="2" t="inlineStr">
        <is>
          <t>000240</t>
        </is>
      </c>
      <c r="E13773" s="3" t="inlineStr">
        <is>
          <t xml:space="preserve">지속가능경영보고서등관련사항(자율공시)              </t>
        </is>
      </c>
      <c r="F13773" s="3" t="inlineStr">
        <is>
          <t>한국앤컴퍼니</t>
        </is>
      </c>
      <c r="G13773" s="2" t="inlineStr">
        <is>
          <t>20260630800513</t>
        </is>
      </c>
      <c r="H13773" s="8">
        <f>HYPERLINK("https://dart.fss.or.kr/dsaf001/main.do?rcpNo=20260630800513", "공시열람")</f>
        <v/>
      </c>
    </row>
    <row r="13774">
      <c r="A13774" s="2" t="inlineStr">
        <is>
          <t>2026-06-30</t>
        </is>
      </c>
      <c r="B13774" s="3" t="inlineStr">
        <is>
          <t>유한양행</t>
        </is>
      </c>
      <c r="C13774" s="2" t="inlineStr">
        <is>
          <t>코스피</t>
        </is>
      </c>
      <c r="D13774" s="2" t="inlineStr">
        <is>
          <t>000100</t>
        </is>
      </c>
      <c r="E13774" s="3" t="inlineStr">
        <is>
          <t xml:space="preserve">지속가능경영보고서등관련사항(자율공시)              </t>
        </is>
      </c>
      <c r="F13774" s="3" t="inlineStr">
        <is>
          <t>유한양행</t>
        </is>
      </c>
      <c r="G13774" s="2" t="inlineStr">
        <is>
          <t>20260630800507</t>
        </is>
      </c>
      <c r="H13774" s="8">
        <f>HYPERLINK("https://dart.fss.or.kr/dsaf001/main.do?rcpNo=20260630800507", "공시열람")</f>
        <v/>
      </c>
    </row>
    <row r="13775">
      <c r="A13775" s="2" t="inlineStr">
        <is>
          <t>2026-06-30</t>
        </is>
      </c>
      <c r="B13775" s="3" t="inlineStr">
        <is>
          <t>소노스퀘어</t>
        </is>
      </c>
      <c r="C13775" s="2" t="inlineStr">
        <is>
          <t>코스닥</t>
        </is>
      </c>
      <c r="D13775" s="2" t="inlineStr">
        <is>
          <t>007720</t>
        </is>
      </c>
      <c r="E13775" s="3" t="inlineStr">
        <is>
          <t xml:space="preserve">감자완료              </t>
        </is>
      </c>
      <c r="F13775" s="3" t="inlineStr">
        <is>
          <t>소노스퀘어</t>
        </is>
      </c>
      <c r="G13775" s="2" t="inlineStr">
        <is>
          <t>20260630900547</t>
        </is>
      </c>
      <c r="H13775" s="8">
        <f>HYPERLINK("https://dart.fss.or.kr/dsaf001/main.do?rcpNo=20260630900547", "공시열람")</f>
        <v/>
      </c>
    </row>
    <row r="13776">
      <c r="A13776" s="2" t="inlineStr">
        <is>
          <t>2026-06-30</t>
        </is>
      </c>
      <c r="B13776" s="3" t="inlineStr">
        <is>
          <t>유안타증권</t>
        </is>
      </c>
      <c r="C13776" s="2" t="inlineStr">
        <is>
          <t>코스피</t>
        </is>
      </c>
      <c r="D13776" s="2" t="inlineStr">
        <is>
          <t>003470</t>
        </is>
      </c>
      <c r="E13776" s="3" t="inlineStr">
        <is>
          <t>투자설명서(일괄신고)</t>
        </is>
      </c>
      <c r="F13776" s="3" t="inlineStr">
        <is>
          <t>유안타증권</t>
        </is>
      </c>
      <c r="G13776" s="2" t="inlineStr">
        <is>
          <t>20260630000483</t>
        </is>
      </c>
      <c r="H13776" s="8">
        <f>HYPERLINK("https://dart.fss.or.kr/dsaf001/main.do?rcpNo=20260630000483", "공시열람")</f>
        <v/>
      </c>
    </row>
    <row r="13777">
      <c r="A13777" s="2" t="inlineStr">
        <is>
          <t>2026-06-30</t>
        </is>
      </c>
      <c r="B13777" s="3" t="inlineStr">
        <is>
          <t>미래에셋증권</t>
        </is>
      </c>
      <c r="C13777" s="2" t="inlineStr">
        <is>
          <t>코스피</t>
        </is>
      </c>
      <c r="D13777" s="2" t="inlineStr">
        <is>
          <t>006800</t>
        </is>
      </c>
      <c r="E13777" s="3" t="inlineStr">
        <is>
          <t>일괄신고추가서류(파생결합사채-주가연계파생결합사채)</t>
        </is>
      </c>
      <c r="F13777" s="3" t="inlineStr">
        <is>
          <t>미래에셋증권</t>
        </is>
      </c>
      <c r="G13777" s="2" t="inlineStr">
        <is>
          <t>20260630000481</t>
        </is>
      </c>
      <c r="H13777" s="8">
        <f>HYPERLINK("https://dart.fss.or.kr/dsaf001/main.do?rcpNo=20260630000481", "공시열람")</f>
        <v/>
      </c>
    </row>
    <row r="13778">
      <c r="A13778" s="2" t="inlineStr">
        <is>
          <t>2026-06-30</t>
        </is>
      </c>
      <c r="B13778" s="3" t="inlineStr">
        <is>
          <t>유안타증권</t>
        </is>
      </c>
      <c r="C13778" s="2" t="inlineStr">
        <is>
          <t>코스피</t>
        </is>
      </c>
      <c r="D13778" s="2" t="inlineStr">
        <is>
          <t>003470</t>
        </is>
      </c>
      <c r="E13778" s="3" t="inlineStr">
        <is>
          <t>일괄신고추가서류(파생결합증권-주가연계증권)</t>
        </is>
      </c>
      <c r="F13778" s="3" t="inlineStr">
        <is>
          <t>유안타증권</t>
        </is>
      </c>
      <c r="G13778" s="2" t="inlineStr">
        <is>
          <t>20260630000475</t>
        </is>
      </c>
      <c r="H13778" s="8">
        <f>HYPERLINK("https://dart.fss.or.kr/dsaf001/main.do?rcpNo=20260630000475", "공시열람")</f>
        <v/>
      </c>
    </row>
    <row r="13779">
      <c r="A13779" s="2" t="inlineStr">
        <is>
          <t>2026-06-30</t>
        </is>
      </c>
      <c r="B13779" s="3" t="inlineStr">
        <is>
          <t>현대위아</t>
        </is>
      </c>
      <c r="C13779" s="2" t="inlineStr">
        <is>
          <t>코스피</t>
        </is>
      </c>
      <c r="D13779" s="2" t="inlineStr">
        <is>
          <t>011210</t>
        </is>
      </c>
      <c r="E13779" s="3" t="inlineStr">
        <is>
          <t>임원ㆍ주요주주특정증권등소유상황보고서</t>
        </is>
      </c>
      <c r="F13779" s="3" t="inlineStr">
        <is>
          <t>편광현</t>
        </is>
      </c>
      <c r="G13779" s="2" t="inlineStr">
        <is>
          <t>20260630000473</t>
        </is>
      </c>
      <c r="H13779" s="8">
        <f>HYPERLINK("https://dart.fss.or.kr/dsaf001/main.do?rcpNo=20260630000473", "공시열람")</f>
        <v/>
      </c>
    </row>
    <row r="13780">
      <c r="A13780" s="2" t="inlineStr">
        <is>
          <t>2026-06-30</t>
        </is>
      </c>
      <c r="B13780" s="3" t="inlineStr">
        <is>
          <t>동국제강</t>
        </is>
      </c>
      <c r="C13780" s="2" t="inlineStr">
        <is>
          <t>코스피</t>
        </is>
      </c>
      <c r="D13780" s="2" t="inlineStr">
        <is>
          <t>460860</t>
        </is>
      </c>
      <c r="E13780" s="3" t="inlineStr">
        <is>
          <t xml:space="preserve">지속가능경영보고서등관련사항(자율공시)              </t>
        </is>
      </c>
      <c r="F13780" s="3" t="inlineStr">
        <is>
          <t>동국제강</t>
        </is>
      </c>
      <c r="G13780" s="2" t="inlineStr">
        <is>
          <t>20260630800521</t>
        </is>
      </c>
      <c r="H13780" s="8">
        <f>HYPERLINK("https://dart.fss.or.kr/dsaf001/main.do?rcpNo=20260630800521", "공시열람")</f>
        <v/>
      </c>
    </row>
    <row r="13781">
      <c r="A13781" s="2" t="inlineStr">
        <is>
          <t>2026-06-30</t>
        </is>
      </c>
      <c r="B13781" s="3" t="inlineStr">
        <is>
          <t>지아이이노베이션</t>
        </is>
      </c>
      <c r="C13781" s="2" t="inlineStr">
        <is>
          <t>코스닥</t>
        </is>
      </c>
      <c r="D13781" s="2" t="inlineStr">
        <is>
          <t>358570</t>
        </is>
      </c>
      <c r="E13781" s="3" t="inlineStr">
        <is>
          <t>[기재정정]투자판단관련주요경영사항(임상시험계획승인신청등결정)              (전이성 거세저항성 전립선암 환자를 대상으로 GI102와 pasritamig 병용 요법의 항암 활성, 안전성 및 내약성을 평가하기 위한 제1b/2상 임상시험계획 승인)</t>
        </is>
      </c>
      <c r="F13781" s="3" t="inlineStr">
        <is>
          <t>지아이이노베이션</t>
        </is>
      </c>
      <c r="G13781" s="2" t="inlineStr">
        <is>
          <t>20260630900439</t>
        </is>
      </c>
      <c r="H13781" s="8">
        <f>HYPERLINK("https://dart.fss.or.kr/dsaf001/main.do?rcpNo=20260630900439", "공시열람")</f>
        <v/>
      </c>
    </row>
    <row r="13782">
      <c r="A13782" s="2" t="inlineStr">
        <is>
          <t>2026-06-30</t>
        </is>
      </c>
      <c r="B13782" s="3" t="inlineStr">
        <is>
          <t>삼성전자</t>
        </is>
      </c>
      <c r="C13782" s="2" t="inlineStr">
        <is>
          <t>코스피</t>
        </is>
      </c>
      <c r="D13782" s="2" t="inlineStr">
        <is>
          <t>005930</t>
        </is>
      </c>
      <c r="E13782" s="3" t="inlineStr">
        <is>
          <t>임원ㆍ주요주주특정증권등소유상황보고서</t>
        </is>
      </c>
      <c r="F13782" s="3" t="inlineStr">
        <is>
          <t>유송</t>
        </is>
      </c>
      <c r="G13782" s="2" t="inlineStr">
        <is>
          <t>20260630000459</t>
        </is>
      </c>
      <c r="H13782" s="8">
        <f>HYPERLINK("https://dart.fss.or.kr/dsaf001/main.do?rcpNo=20260630000459", "공시열람")</f>
        <v/>
      </c>
    </row>
    <row r="13783">
      <c r="A13783" s="2" t="inlineStr">
        <is>
          <t>2026-06-30</t>
        </is>
      </c>
      <c r="B13783" s="3" t="inlineStr">
        <is>
          <t>아이씨티케이</t>
        </is>
      </c>
      <c r="C13783" s="2" t="inlineStr">
        <is>
          <t>코스닥</t>
        </is>
      </c>
      <c r="D13783" s="2" t="inlineStr">
        <is>
          <t>456010</t>
        </is>
      </c>
      <c r="E13783" s="3" t="inlineStr">
        <is>
          <t>임원ㆍ주요주주특정증권등소유상황보고서</t>
        </is>
      </c>
      <c r="F13783" s="3" t="inlineStr">
        <is>
          <t>강봉호</t>
        </is>
      </c>
      <c r="G13783" s="2" t="inlineStr">
        <is>
          <t>20260630000458</t>
        </is>
      </c>
      <c r="H13783" s="8">
        <f>HYPERLINK("https://dart.fss.or.kr/dsaf001/main.do?rcpNo=20260630000458", "공시열람")</f>
        <v/>
      </c>
    </row>
    <row r="13784">
      <c r="A13784" s="2" t="inlineStr">
        <is>
          <t>2026-06-30</t>
        </is>
      </c>
      <c r="B13784" s="3" t="inlineStr">
        <is>
          <t>삼천당제약</t>
        </is>
      </c>
      <c r="C13784" s="2" t="inlineStr">
        <is>
          <t>코스닥</t>
        </is>
      </c>
      <c r="D13784" s="2" t="inlineStr">
        <is>
          <t>000250</t>
        </is>
      </c>
      <c r="E13784" s="3" t="inlineStr">
        <is>
          <t>사외이사의선임ㆍ해임또는중도퇴임에관한신고</t>
        </is>
      </c>
      <c r="F13784" s="3" t="inlineStr">
        <is>
          <t>삼천당제약</t>
        </is>
      </c>
      <c r="G13784" s="2" t="inlineStr">
        <is>
          <t>20260630000453</t>
        </is>
      </c>
      <c r="H13784" s="8">
        <f>HYPERLINK("https://dart.fss.or.kr/dsaf001/main.do?rcpNo=20260630000453", "공시열람")</f>
        <v/>
      </c>
    </row>
    <row r="13785">
      <c r="A13785" s="2" t="inlineStr">
        <is>
          <t>2026-06-30</t>
        </is>
      </c>
      <c r="B13785" s="3" t="inlineStr">
        <is>
          <t>농심</t>
        </is>
      </c>
      <c r="C13785" s="2" t="inlineStr">
        <is>
          <t>코스피</t>
        </is>
      </c>
      <c r="D13785" s="2" t="inlineStr">
        <is>
          <t>004370</t>
        </is>
      </c>
      <c r="E13785" s="3" t="inlineStr">
        <is>
          <t>임원ㆍ주요주주특정증권등소유상황보고서</t>
        </is>
      </c>
      <c r="F13785" s="3" t="inlineStr">
        <is>
          <t>김보규</t>
        </is>
      </c>
      <c r="G13785" s="2" t="inlineStr">
        <is>
          <t>20260630000451</t>
        </is>
      </c>
      <c r="H13785" s="8">
        <f>HYPERLINK("https://dart.fss.or.kr/dsaf001/main.do?rcpNo=20260630000451", "공시열람")</f>
        <v/>
      </c>
    </row>
    <row r="13786">
      <c r="A13786" s="2" t="inlineStr">
        <is>
          <t>2026-06-30</t>
        </is>
      </c>
      <c r="B13786" s="3" t="inlineStr">
        <is>
          <t>아이엠비디엑스</t>
        </is>
      </c>
      <c r="C13786" s="2" t="inlineStr">
        <is>
          <t>코스닥</t>
        </is>
      </c>
      <c r="D13786" s="2" t="inlineStr">
        <is>
          <t>461030</t>
        </is>
      </c>
      <c r="E13786" s="3" t="inlineStr">
        <is>
          <t>임원ㆍ주요주주특정증권등소유상황보고서</t>
        </is>
      </c>
      <c r="F13786" s="3" t="inlineStr">
        <is>
          <t>최정실</t>
        </is>
      </c>
      <c r="G13786" s="2" t="inlineStr">
        <is>
          <t>20260630000450</t>
        </is>
      </c>
      <c r="H13786" s="8">
        <f>HYPERLINK("https://dart.fss.or.kr/dsaf001/main.do?rcpNo=20260630000450", "공시열람")</f>
        <v/>
      </c>
    </row>
    <row r="13787">
      <c r="A13787" s="2" t="inlineStr">
        <is>
          <t>2026-06-30</t>
        </is>
      </c>
      <c r="B13787" s="3" t="inlineStr">
        <is>
          <t>현대글로비스</t>
        </is>
      </c>
      <c r="C13787" s="2" t="inlineStr">
        <is>
          <t>코스피</t>
        </is>
      </c>
      <c r="D13787" s="2" t="inlineStr">
        <is>
          <t>086280</t>
        </is>
      </c>
      <c r="E13787" s="3" t="inlineStr">
        <is>
          <t xml:space="preserve">지속가능경영보고서등관련사항(자율공시)              </t>
        </is>
      </c>
      <c r="F13787" s="3" t="inlineStr">
        <is>
          <t>현대글로비스</t>
        </is>
      </c>
      <c r="G13787" s="2" t="inlineStr">
        <is>
          <t>20260630800492</t>
        </is>
      </c>
      <c r="H13787" s="8">
        <f>HYPERLINK("https://dart.fss.or.kr/dsaf001/main.do?rcpNo=20260630800492", "공시열람")</f>
        <v/>
      </c>
    </row>
    <row r="13788">
      <c r="A13788" s="2" t="inlineStr">
        <is>
          <t>2026-06-30</t>
        </is>
      </c>
      <c r="B13788" s="3" t="inlineStr">
        <is>
          <t>롯데정밀화학</t>
        </is>
      </c>
      <c r="C13788" s="2" t="inlineStr">
        <is>
          <t>코스피</t>
        </is>
      </c>
      <c r="D13788" s="2" t="inlineStr">
        <is>
          <t>004000</t>
        </is>
      </c>
      <c r="E13788" s="3" t="inlineStr">
        <is>
          <t xml:space="preserve">지속가능경영보고서등관련사항(자율공시)              </t>
        </is>
      </c>
      <c r="F13788" s="3" t="inlineStr">
        <is>
          <t>롯데정밀화학</t>
        </is>
      </c>
      <c r="G13788" s="2" t="inlineStr">
        <is>
          <t>20260630800494</t>
        </is>
      </c>
      <c r="H13788" s="8">
        <f>HYPERLINK("https://dart.fss.or.kr/dsaf001/main.do?rcpNo=20260630800494", "공시열람")</f>
        <v/>
      </c>
    </row>
    <row r="13789">
      <c r="A13789" s="2" t="inlineStr">
        <is>
          <t>2026-06-30</t>
        </is>
      </c>
      <c r="B13789" s="3" t="inlineStr">
        <is>
          <t>아세아제지</t>
        </is>
      </c>
      <c r="C13789" s="2" t="inlineStr">
        <is>
          <t>코스피</t>
        </is>
      </c>
      <c r="D13789" s="2" t="inlineStr">
        <is>
          <t>002310</t>
        </is>
      </c>
      <c r="E13789" s="3" t="inlineStr">
        <is>
          <t xml:space="preserve">지속가능경영보고서등관련사항(자율공시)              </t>
        </is>
      </c>
      <c r="F13789" s="3" t="inlineStr">
        <is>
          <t>아세아제지</t>
        </is>
      </c>
      <c r="G13789" s="2" t="inlineStr">
        <is>
          <t>20260630800493</t>
        </is>
      </c>
      <c r="H13789" s="8">
        <f>HYPERLINK("https://dart.fss.or.kr/dsaf001/main.do?rcpNo=20260630800493", "공시열람")</f>
        <v/>
      </c>
    </row>
    <row r="13790">
      <c r="A13790" s="2" t="inlineStr">
        <is>
          <t>2026-06-30</t>
        </is>
      </c>
      <c r="B13790" s="3" t="inlineStr">
        <is>
          <t>동양</t>
        </is>
      </c>
      <c r="C13790" s="2" t="inlineStr">
        <is>
          <t>코스피</t>
        </is>
      </c>
      <c r="D13790" s="2" t="inlineStr">
        <is>
          <t>001520</t>
        </is>
      </c>
      <c r="E13790" s="3" t="inlineStr">
        <is>
          <t>임원ㆍ주요주주특정증권등소유상황보고서</t>
        </is>
      </c>
      <c r="F13790" s="3" t="inlineStr">
        <is>
          <t>황이석</t>
        </is>
      </c>
      <c r="G13790" s="2" t="inlineStr">
        <is>
          <t>20260630000445</t>
        </is>
      </c>
      <c r="H13790" s="8">
        <f>HYPERLINK("https://dart.fss.or.kr/dsaf001/main.do?rcpNo=20260630000445", "공시열람")</f>
        <v/>
      </c>
    </row>
    <row r="13791">
      <c r="A13791" s="2" t="inlineStr">
        <is>
          <t>2026-06-30</t>
        </is>
      </c>
      <c r="B13791" s="3" t="inlineStr">
        <is>
          <t>현대위아</t>
        </is>
      </c>
      <c r="C13791" s="2" t="inlineStr">
        <is>
          <t>코스피</t>
        </is>
      </c>
      <c r="D13791" s="2" t="inlineStr">
        <is>
          <t>011210</t>
        </is>
      </c>
      <c r="E13791" s="3" t="inlineStr">
        <is>
          <t xml:space="preserve">지속가능경영보고서등관련사항(자율공시)              </t>
        </is>
      </c>
      <c r="F13791" s="3" t="inlineStr">
        <is>
          <t>현대위아</t>
        </is>
      </c>
      <c r="G13791" s="2" t="inlineStr">
        <is>
          <t>20260630800489</t>
        </is>
      </c>
      <c r="H13791" s="8">
        <f>HYPERLINK("https://dart.fss.or.kr/dsaf001/main.do?rcpNo=20260630800489", "공시열람")</f>
        <v/>
      </c>
    </row>
    <row r="13792">
      <c r="A13792" s="2" t="inlineStr">
        <is>
          <t>2026-06-30</t>
        </is>
      </c>
      <c r="B13792" s="3" t="inlineStr">
        <is>
          <t>SK디앤디</t>
        </is>
      </c>
      <c r="C13792" s="2" t="inlineStr">
        <is>
          <t>코스피</t>
        </is>
      </c>
      <c r="D13792" s="2" t="inlineStr">
        <is>
          <t>210980</t>
        </is>
      </c>
      <c r="E13792" s="3" t="inlineStr">
        <is>
          <t xml:space="preserve">지속가능경영보고서등관련사항(자율공시)              </t>
        </is>
      </c>
      <c r="F13792" s="3" t="inlineStr">
        <is>
          <t>SK디앤디</t>
        </is>
      </c>
      <c r="G13792" s="2" t="inlineStr">
        <is>
          <t>20260630800481</t>
        </is>
      </c>
      <c r="H13792" s="8">
        <f>HYPERLINK("https://dart.fss.or.kr/dsaf001/main.do?rcpNo=20260630800481", "공시열람")</f>
        <v/>
      </c>
    </row>
    <row r="13793">
      <c r="A13793" s="2" t="inlineStr">
        <is>
          <t>2026-06-30</t>
        </is>
      </c>
      <c r="B13793" s="3" t="inlineStr">
        <is>
          <t>INVENI</t>
        </is>
      </c>
      <c r="C13793" s="2" t="inlineStr">
        <is>
          <t>코스피</t>
        </is>
      </c>
      <c r="D13793" s="2" t="inlineStr">
        <is>
          <t>015360</t>
        </is>
      </c>
      <c r="E13793" s="3" t="inlineStr">
        <is>
          <t>임원ㆍ주요주주특정증권등소유상황보고서</t>
        </is>
      </c>
      <c r="F13793" s="3" t="inlineStr">
        <is>
          <t>구자은</t>
        </is>
      </c>
      <c r="G13793" s="2" t="inlineStr">
        <is>
          <t>20260630000434</t>
        </is>
      </c>
      <c r="H13793" s="8">
        <f>HYPERLINK("https://dart.fss.or.kr/dsaf001/main.do?rcpNo=20260630000434", "공시열람")</f>
        <v/>
      </c>
    </row>
    <row r="13794">
      <c r="A13794" s="2" t="inlineStr">
        <is>
          <t>2026-06-30</t>
        </is>
      </c>
      <c r="B13794" s="3" t="inlineStr">
        <is>
          <t>에임드바이오</t>
        </is>
      </c>
      <c r="C13794" s="2" t="inlineStr">
        <is>
          <t>코스닥</t>
        </is>
      </c>
      <c r="D13794" s="2" t="inlineStr">
        <is>
          <t>0009K0</t>
        </is>
      </c>
      <c r="E13794" s="3" t="inlineStr">
        <is>
          <t xml:space="preserve">기업설명회(IR)개최              </t>
        </is>
      </c>
      <c r="F13794" s="3" t="inlineStr">
        <is>
          <t>에임드바이오</t>
        </is>
      </c>
      <c r="G13794" s="2" t="inlineStr">
        <is>
          <t>20260630900417</t>
        </is>
      </c>
      <c r="H13794" s="8">
        <f>HYPERLINK("https://dart.fss.or.kr/dsaf001/main.do?rcpNo=20260630900417", "공시열람")</f>
        <v/>
      </c>
    </row>
    <row r="13795">
      <c r="A13795" s="2" t="inlineStr">
        <is>
          <t>2026-06-30</t>
        </is>
      </c>
      <c r="B13795" s="3" t="inlineStr">
        <is>
          <t>컴투스</t>
        </is>
      </c>
      <c r="C13795" s="2" t="inlineStr">
        <is>
          <t>코스닥</t>
        </is>
      </c>
      <c r="D13795" s="2" t="inlineStr">
        <is>
          <t>078340</t>
        </is>
      </c>
      <c r="E13795" s="3" t="inlineStr">
        <is>
          <t xml:space="preserve">지속가능경영보고서등관련사항(자율공시)              </t>
        </is>
      </c>
      <c r="F13795" s="3" t="inlineStr">
        <is>
          <t>컴투스</t>
        </is>
      </c>
      <c r="G13795" s="2" t="inlineStr">
        <is>
          <t>20260630900468</t>
        </is>
      </c>
      <c r="H13795" s="8">
        <f>HYPERLINK("https://dart.fss.or.kr/dsaf001/main.do?rcpNo=20260630900468", "공시열람")</f>
        <v/>
      </c>
    </row>
    <row r="13796">
      <c r="A13796" s="2" t="inlineStr">
        <is>
          <t>2026-06-30</t>
        </is>
      </c>
      <c r="B13796" s="3" t="inlineStr">
        <is>
          <t>셀피글로벌</t>
        </is>
      </c>
      <c r="C13796" s="2" t="inlineStr">
        <is>
          <t>코스닥</t>
        </is>
      </c>
      <c r="D13796" s="2" t="inlineStr">
        <is>
          <t>068940</t>
        </is>
      </c>
      <c r="E13796" s="3" t="inlineStr">
        <is>
          <t>소송등의판결ㆍ결정              (신주발행금지가처분)</t>
        </is>
      </c>
      <c r="F13796" s="3" t="inlineStr">
        <is>
          <t>셀피글로벌</t>
        </is>
      </c>
      <c r="G13796" s="2" t="inlineStr">
        <is>
          <t>20260630900334</t>
        </is>
      </c>
      <c r="H13796" s="8">
        <f>HYPERLINK("https://dart.fss.or.kr/dsaf001/main.do?rcpNo=20260630900334", "공시열람")</f>
        <v/>
      </c>
    </row>
    <row r="13797">
      <c r="A13797" s="2" t="inlineStr">
        <is>
          <t>2026-06-30</t>
        </is>
      </c>
      <c r="B13797" s="3" t="inlineStr">
        <is>
          <t>인바이오</t>
        </is>
      </c>
      <c r="C13797" s="2" t="inlineStr">
        <is>
          <t>코스닥</t>
        </is>
      </c>
      <c r="D13797" s="2" t="inlineStr">
        <is>
          <t>352940</t>
        </is>
      </c>
      <c r="E13797" s="3" t="inlineStr">
        <is>
          <t>임원ㆍ주요주주특정증권등소유상황보고서</t>
        </is>
      </c>
      <c r="F13797" s="3" t="inlineStr">
        <is>
          <t>이혁재</t>
        </is>
      </c>
      <c r="G13797" s="2" t="inlineStr">
        <is>
          <t>20260630000424</t>
        </is>
      </c>
      <c r="H13797" s="8">
        <f>HYPERLINK("https://dart.fss.or.kr/dsaf001/main.do?rcpNo=20260630000424", "공시열람")</f>
        <v/>
      </c>
    </row>
    <row r="13798">
      <c r="A13798" s="2" t="inlineStr">
        <is>
          <t>2026-06-30</t>
        </is>
      </c>
      <c r="B13798" s="3" t="inlineStr">
        <is>
          <t>롯데웰푸드</t>
        </is>
      </c>
      <c r="C13798" s="2" t="inlineStr">
        <is>
          <t>코스피</t>
        </is>
      </c>
      <c r="D13798" s="2" t="inlineStr">
        <is>
          <t>280360</t>
        </is>
      </c>
      <c r="E13798" s="3" t="inlineStr">
        <is>
          <t xml:space="preserve">지속가능경영보고서등관련사항(자율공시)              </t>
        </is>
      </c>
      <c r="F13798" s="3" t="inlineStr">
        <is>
          <t>롯데웰푸드</t>
        </is>
      </c>
      <c r="G13798" s="2" t="inlineStr">
        <is>
          <t>20260630800464</t>
        </is>
      </c>
      <c r="H13798" s="8">
        <f>HYPERLINK("https://dart.fss.or.kr/dsaf001/main.do?rcpNo=20260630800464", "공시열람")</f>
        <v/>
      </c>
    </row>
    <row r="13799">
      <c r="A13799" s="2" t="inlineStr">
        <is>
          <t>2026-06-30</t>
        </is>
      </c>
      <c r="B13799" s="3" t="inlineStr">
        <is>
          <t>한국타이어앤테크놀로지</t>
        </is>
      </c>
      <c r="C13799" s="2" t="inlineStr">
        <is>
          <t>코스피</t>
        </is>
      </c>
      <c r="D13799" s="2" t="inlineStr">
        <is>
          <t>161390</t>
        </is>
      </c>
      <c r="E13799" s="3" t="inlineStr">
        <is>
          <t xml:space="preserve">지속가능경영보고서등관련사항(자율공시)              </t>
        </is>
      </c>
      <c r="F13799" s="3" t="inlineStr">
        <is>
          <t>한국타이어앤테크놀로지</t>
        </is>
      </c>
      <c r="G13799" s="2" t="inlineStr">
        <is>
          <t>20260630800460</t>
        </is>
      </c>
      <c r="H13799" s="8">
        <f>HYPERLINK("https://dart.fss.or.kr/dsaf001/main.do?rcpNo=20260630800460", "공시열람")</f>
        <v/>
      </c>
    </row>
    <row r="13800">
      <c r="A13800" s="2" t="inlineStr">
        <is>
          <t>2026-06-30</t>
        </is>
      </c>
      <c r="B13800" s="3" t="inlineStr">
        <is>
          <t>LX세미콘</t>
        </is>
      </c>
      <c r="C13800" s="2" t="inlineStr">
        <is>
          <t>코스피</t>
        </is>
      </c>
      <c r="D13800" s="2" t="inlineStr">
        <is>
          <t>108320</t>
        </is>
      </c>
      <c r="E13800" s="3" t="inlineStr">
        <is>
          <t xml:space="preserve">지속가능경영보고서등관련사항(자율공시)              </t>
        </is>
      </c>
      <c r="F13800" s="3" t="inlineStr">
        <is>
          <t>LX세미콘</t>
        </is>
      </c>
      <c r="G13800" s="2" t="inlineStr">
        <is>
          <t>20260630800463</t>
        </is>
      </c>
      <c r="H13800" s="8">
        <f>HYPERLINK("https://dart.fss.or.kr/dsaf001/main.do?rcpNo=20260630800463", "공시열람")</f>
        <v/>
      </c>
    </row>
    <row r="13801">
      <c r="A13801" s="2" t="inlineStr">
        <is>
          <t>2026-06-30</t>
        </is>
      </c>
      <c r="B13801" s="3" t="inlineStr">
        <is>
          <t>영원무역</t>
        </is>
      </c>
      <c r="C13801" s="2" t="inlineStr">
        <is>
          <t>코스피</t>
        </is>
      </c>
      <c r="D13801" s="2" t="inlineStr">
        <is>
          <t>111770</t>
        </is>
      </c>
      <c r="E13801" s="3" t="inlineStr">
        <is>
          <t xml:space="preserve">지속가능경영보고서등관련사항(자율공시)              </t>
        </is>
      </c>
      <c r="F13801" s="3" t="inlineStr">
        <is>
          <t>영원무역</t>
        </is>
      </c>
      <c r="G13801" s="2" t="inlineStr">
        <is>
          <t>20260630800456</t>
        </is>
      </c>
      <c r="H13801" s="8">
        <f>HYPERLINK("https://dart.fss.or.kr/dsaf001/main.do?rcpNo=20260630800456", "공시열람")</f>
        <v/>
      </c>
    </row>
    <row r="13802">
      <c r="A13802" s="2" t="inlineStr">
        <is>
          <t>2026-06-30</t>
        </is>
      </c>
      <c r="B13802" s="3" t="inlineStr">
        <is>
          <t>휴먼테크놀로지</t>
        </is>
      </c>
      <c r="C13802" s="2" t="inlineStr">
        <is>
          <t>코스닥</t>
        </is>
      </c>
      <c r="D13802" s="2" t="inlineStr">
        <is>
          <t>175140</t>
        </is>
      </c>
      <c r="E13802" s="3" t="inlineStr">
        <is>
          <t xml:space="preserve">상호변경안내              </t>
        </is>
      </c>
      <c r="F13802" s="3" t="inlineStr">
        <is>
          <t>휴먼테크놀로지</t>
        </is>
      </c>
      <c r="G13802" s="2" t="inlineStr">
        <is>
          <t>20260630900424</t>
        </is>
      </c>
      <c r="H13802" s="8">
        <f>HYPERLINK("https://dart.fss.or.kr/dsaf001/main.do?rcpNo=20260630900424", "공시열람")</f>
        <v/>
      </c>
    </row>
    <row r="13803">
      <c r="A13803" s="2" t="inlineStr">
        <is>
          <t>2026-06-30</t>
        </is>
      </c>
      <c r="B13803" s="3" t="inlineStr">
        <is>
          <t>SG세계물산</t>
        </is>
      </c>
      <c r="C13803" s="2" t="inlineStr">
        <is>
          <t>코스피</t>
        </is>
      </c>
      <c r="D13803" s="2" t="inlineStr">
        <is>
          <t>004060</t>
        </is>
      </c>
      <c r="E13803" s="3" t="inlineStr">
        <is>
          <t>임원ㆍ주요주주특정증권등소유상황보고서</t>
        </is>
      </c>
      <c r="F13803" s="3" t="inlineStr">
        <is>
          <t>에스지유</t>
        </is>
      </c>
      <c r="G13803" s="2" t="inlineStr">
        <is>
          <t>20260630000416</t>
        </is>
      </c>
      <c r="H13803" s="8">
        <f>HYPERLINK("https://dart.fss.or.kr/dsaf001/main.do?rcpNo=20260630000416", "공시열람")</f>
        <v/>
      </c>
    </row>
    <row r="13804">
      <c r="A13804" s="2" t="inlineStr">
        <is>
          <t>2026-06-30</t>
        </is>
      </c>
      <c r="B13804" s="3" t="inlineStr">
        <is>
          <t>뉴인텍</t>
        </is>
      </c>
      <c r="C13804" s="2" t="inlineStr">
        <is>
          <t>코스닥</t>
        </is>
      </c>
      <c r="D13804" s="2" t="inlineStr">
        <is>
          <t>012340</t>
        </is>
      </c>
      <c r="E13804" s="3" t="inlineStr">
        <is>
          <t>증권발행실적보고서</t>
        </is>
      </c>
      <c r="F13804" s="3" t="inlineStr">
        <is>
          <t>뉴인텍</t>
        </is>
      </c>
      <c r="G13804" s="2" t="inlineStr">
        <is>
          <t>20260630000413</t>
        </is>
      </c>
      <c r="H13804" s="8">
        <f>HYPERLINK("https://dart.fss.or.kr/dsaf001/main.do?rcpNo=20260630000413", "공시열람")</f>
        <v/>
      </c>
    </row>
    <row r="13805">
      <c r="A13805" s="2" t="inlineStr">
        <is>
          <t>2026-06-30</t>
        </is>
      </c>
      <c r="B13805" s="3" t="inlineStr">
        <is>
          <t>한국캐피탈</t>
        </is>
      </c>
      <c r="C13805" s="2" t="inlineStr">
        <is>
          <t>코스닥</t>
        </is>
      </c>
      <c r="D13805" s="2" t="inlineStr">
        <is>
          <t>023760</t>
        </is>
      </c>
      <c r="E13805" s="3" t="inlineStr">
        <is>
          <t>[첨부정정]일괄신고서</t>
        </is>
      </c>
      <c r="F13805" s="3" t="inlineStr">
        <is>
          <t>한국캐피탈</t>
        </is>
      </c>
      <c r="G13805" s="2" t="inlineStr">
        <is>
          <t>20260630000412</t>
        </is>
      </c>
      <c r="H13805" s="8">
        <f>HYPERLINK("https://dart.fss.or.kr/dsaf001/main.do?rcpNo=20260630000412", "공시열람")</f>
        <v/>
      </c>
    </row>
    <row r="13806">
      <c r="A13806" s="2" t="inlineStr">
        <is>
          <t>2026-06-30</t>
        </is>
      </c>
      <c r="B13806" s="3" t="inlineStr">
        <is>
          <t>한화투자증권</t>
        </is>
      </c>
      <c r="C13806" s="2" t="inlineStr">
        <is>
          <t>코스피</t>
        </is>
      </c>
      <c r="D13806" s="2" t="inlineStr">
        <is>
          <t>003530</t>
        </is>
      </c>
      <c r="E13806" s="3" t="inlineStr">
        <is>
          <t>증권발행실적보고서</t>
        </is>
      </c>
      <c r="F13806" s="3" t="inlineStr">
        <is>
          <t>한화투자증권</t>
        </is>
      </c>
      <c r="G13806" s="2" t="inlineStr">
        <is>
          <t>20260630000410</t>
        </is>
      </c>
      <c r="H13806" s="8">
        <f>HYPERLINK("https://dart.fss.or.kr/dsaf001/main.do?rcpNo=20260630000410", "공시열람")</f>
        <v/>
      </c>
    </row>
    <row r="13807">
      <c r="A13807" s="2" t="inlineStr">
        <is>
          <t>2026-06-30</t>
        </is>
      </c>
      <c r="B13807" s="3" t="inlineStr">
        <is>
          <t>메지온</t>
        </is>
      </c>
      <c r="C13807" s="2" t="inlineStr">
        <is>
          <t>코스닥</t>
        </is>
      </c>
      <c r="D13807" s="2" t="inlineStr">
        <is>
          <t>140410</t>
        </is>
      </c>
      <c r="E13807" s="3" t="inlineStr">
        <is>
          <t>임원ㆍ주요주주특정증권등소유상황보고서</t>
        </is>
      </c>
      <c r="F13807" s="3" t="inlineStr">
        <is>
          <t>박동현</t>
        </is>
      </c>
      <c r="G13807" s="2" t="inlineStr">
        <is>
          <t>20260630000409</t>
        </is>
      </c>
      <c r="H13807" s="8">
        <f>HYPERLINK("https://dart.fss.or.kr/dsaf001/main.do?rcpNo=20260630000409", "공시열람")</f>
        <v/>
      </c>
    </row>
    <row r="13808">
      <c r="A13808" s="2" t="inlineStr">
        <is>
          <t>2026-06-30</t>
        </is>
      </c>
      <c r="B13808" s="3" t="inlineStr">
        <is>
          <t>에스엠씨지</t>
        </is>
      </c>
      <c r="C13808" s="2" t="inlineStr">
        <is>
          <t>코스닥</t>
        </is>
      </c>
      <c r="D13808" s="2" t="inlineStr">
        <is>
          <t>460870</t>
        </is>
      </c>
      <c r="E13808" s="3" t="inlineStr">
        <is>
          <t>임원ㆍ주요주주특정증권등소유상황보고서</t>
        </is>
      </c>
      <c r="F13808" s="3" t="inlineStr">
        <is>
          <t>최승호</t>
        </is>
      </c>
      <c r="G13808" s="2" t="inlineStr">
        <is>
          <t>20260630000404</t>
        </is>
      </c>
      <c r="H13808" s="8">
        <f>HYPERLINK("https://dart.fss.or.kr/dsaf001/main.do?rcpNo=20260630000404", "공시열람")</f>
        <v/>
      </c>
    </row>
    <row r="13809">
      <c r="A13809" s="2" t="inlineStr">
        <is>
          <t>2026-06-30</t>
        </is>
      </c>
      <c r="B13809" s="3" t="inlineStr">
        <is>
          <t>한화투자증권</t>
        </is>
      </c>
      <c r="C13809" s="2" t="inlineStr">
        <is>
          <t>코스피</t>
        </is>
      </c>
      <c r="D13809" s="2" t="inlineStr">
        <is>
          <t>003530</t>
        </is>
      </c>
      <c r="E13809" s="3" t="inlineStr">
        <is>
          <t>증권발행실적보고서</t>
        </is>
      </c>
      <c r="F13809" s="3" t="inlineStr">
        <is>
          <t>한화투자증권</t>
        </is>
      </c>
      <c r="G13809" s="2" t="inlineStr">
        <is>
          <t>20260630000402</t>
        </is>
      </c>
      <c r="H13809" s="8">
        <f>HYPERLINK("https://dart.fss.or.kr/dsaf001/main.do?rcpNo=20260630000402", "공시열람")</f>
        <v/>
      </c>
    </row>
    <row r="13810">
      <c r="A13810" s="2" t="inlineStr">
        <is>
          <t>2026-06-30</t>
        </is>
      </c>
      <c r="B13810" s="3" t="inlineStr">
        <is>
          <t>리센스메디컬</t>
        </is>
      </c>
      <c r="C13810" s="2" t="inlineStr">
        <is>
          <t>코스닥</t>
        </is>
      </c>
      <c r="D13810" s="2" t="inlineStr">
        <is>
          <t>394420</t>
        </is>
      </c>
      <c r="E13810" s="3" t="inlineStr">
        <is>
          <t>임원ㆍ주요주주특정증권등소유상황보고서</t>
        </is>
      </c>
      <c r="F13810" s="3" t="inlineStr">
        <is>
          <t>김세왕</t>
        </is>
      </c>
      <c r="G13810" s="2" t="inlineStr">
        <is>
          <t>20260630000401</t>
        </is>
      </c>
      <c r="H13810" s="8">
        <f>HYPERLINK("https://dart.fss.or.kr/dsaf001/main.do?rcpNo=20260630000401", "공시열람")</f>
        <v/>
      </c>
    </row>
    <row r="13811">
      <c r="A13811" s="2" t="inlineStr">
        <is>
          <t>2026-06-30</t>
        </is>
      </c>
      <c r="B13811" s="3" t="inlineStr">
        <is>
          <t>뉴인텍</t>
        </is>
      </c>
      <c r="C13811" s="2" t="inlineStr">
        <is>
          <t>코스닥</t>
        </is>
      </c>
      <c r="D13811" s="2" t="inlineStr">
        <is>
          <t>012340</t>
        </is>
      </c>
      <c r="E13811" s="3" t="inlineStr">
        <is>
          <t>증권발행결과(자율공시)              (주주배정후 실권주 일반공모)</t>
        </is>
      </c>
      <c r="F13811" s="3" t="inlineStr">
        <is>
          <t>뉴인텍</t>
        </is>
      </c>
      <c r="G13811" s="2" t="inlineStr">
        <is>
          <t>20260630900357</t>
        </is>
      </c>
      <c r="H13811" s="8">
        <f>HYPERLINK("https://dart.fss.or.kr/dsaf001/main.do?rcpNo=20260630900357", "공시열람")</f>
        <v/>
      </c>
    </row>
    <row r="13812">
      <c r="A13812" s="2" t="inlineStr">
        <is>
          <t>2026-06-30</t>
        </is>
      </c>
      <c r="B13812" s="3" t="inlineStr">
        <is>
          <t>RF시스템즈</t>
        </is>
      </c>
      <c r="C13812" s="2" t="inlineStr">
        <is>
          <t>코스닥</t>
        </is>
      </c>
      <c r="D13812" s="2" t="inlineStr">
        <is>
          <t>474610</t>
        </is>
      </c>
      <c r="E13812" s="3" t="inlineStr">
        <is>
          <t>임원ㆍ주요주주특정증권등거래계획보고서</t>
        </is>
      </c>
      <c r="F13812" s="3" t="inlineStr">
        <is>
          <t>RFHIC</t>
        </is>
      </c>
      <c r="G13812" s="2" t="inlineStr">
        <is>
          <t>20260630000397</t>
        </is>
      </c>
      <c r="H13812" s="8">
        <f>HYPERLINK("https://dart.fss.or.kr/dsaf001/main.do?rcpNo=20260630000397", "공시열람")</f>
        <v/>
      </c>
    </row>
    <row r="13813">
      <c r="A13813" s="2" t="inlineStr">
        <is>
          <t>2026-06-30</t>
        </is>
      </c>
      <c r="B13813" s="3" t="inlineStr">
        <is>
          <t>삼성전기</t>
        </is>
      </c>
      <c r="C13813" s="2" t="inlineStr">
        <is>
          <t>코스피</t>
        </is>
      </c>
      <c r="D13813" s="2" t="inlineStr">
        <is>
          <t>009150</t>
        </is>
      </c>
      <c r="E13813" s="3" t="inlineStr">
        <is>
          <t xml:space="preserve">지속가능경영보고서등관련사항(자율공시)              </t>
        </is>
      </c>
      <c r="F13813" s="3" t="inlineStr">
        <is>
          <t>삼성전기</t>
        </is>
      </c>
      <c r="G13813" s="2" t="inlineStr">
        <is>
          <t>20260630800419</t>
        </is>
      </c>
      <c r="H13813" s="8">
        <f>HYPERLINK("https://dart.fss.or.kr/dsaf001/main.do?rcpNo=20260630800419", "공시열람")</f>
        <v/>
      </c>
    </row>
    <row r="13814">
      <c r="A13814" s="2" t="inlineStr">
        <is>
          <t>2026-06-30</t>
        </is>
      </c>
      <c r="B13814" s="3" t="inlineStr">
        <is>
          <t>셀비온</t>
        </is>
      </c>
      <c r="C13814" s="2" t="inlineStr">
        <is>
          <t>코스닥</t>
        </is>
      </c>
      <c r="D13814" s="2" t="inlineStr">
        <is>
          <t>308430</t>
        </is>
      </c>
      <c r="E13814" s="3" t="inlineStr">
        <is>
          <t>투자판단관련주요경영사항(임상시험계획승인신청)              (전이성 거세저항성 전립선암 환자에서 Lutetium(177Lu) DGUL(포큐보타이드 사테트라세탄)의 유효성 및 안전성을 평가하기 위한 다기관, 공개, 무작위배정, 제 3상 임상시험 계획 승인신청)</t>
        </is>
      </c>
      <c r="F13814" s="3" t="inlineStr">
        <is>
          <t>셀비온</t>
        </is>
      </c>
      <c r="G13814" s="2" t="inlineStr">
        <is>
          <t>20260630900376</t>
        </is>
      </c>
      <c r="H13814" s="8">
        <f>HYPERLINK("https://dart.fss.or.kr/dsaf001/main.do?rcpNo=20260630900376", "공시열람")</f>
        <v/>
      </c>
    </row>
    <row r="13815">
      <c r="A13815" s="2" t="inlineStr">
        <is>
          <t>2026-06-30</t>
        </is>
      </c>
      <c r="B13815" s="3" t="inlineStr">
        <is>
          <t>신흥</t>
        </is>
      </c>
      <c r="C13815" s="2" t="inlineStr">
        <is>
          <t>코스피</t>
        </is>
      </c>
      <c r="D13815" s="2" t="inlineStr">
        <is>
          <t>004080</t>
        </is>
      </c>
      <c r="E13815" s="3" t="inlineStr">
        <is>
          <t>임원ㆍ주요주주특정증권등소유상황보고서</t>
        </is>
      </c>
      <c r="F13815" s="3" t="inlineStr">
        <is>
          <t>류정근</t>
        </is>
      </c>
      <c r="G13815" s="2" t="inlineStr">
        <is>
          <t>20260630000395</t>
        </is>
      </c>
      <c r="H13815" s="8">
        <f>HYPERLINK("https://dart.fss.or.kr/dsaf001/main.do?rcpNo=20260630000395", "공시열람")</f>
        <v/>
      </c>
    </row>
    <row r="13816">
      <c r="A13816" s="2" t="inlineStr">
        <is>
          <t>2026-06-30</t>
        </is>
      </c>
      <c r="B13816" s="3" t="inlineStr">
        <is>
          <t>피앤씨테크</t>
        </is>
      </c>
      <c r="C13816" s="2" t="inlineStr">
        <is>
          <t>코스닥</t>
        </is>
      </c>
      <c r="D13816" s="2" t="inlineStr">
        <is>
          <t>237750</t>
        </is>
      </c>
      <c r="E13816" s="3" t="inlineStr">
        <is>
          <t>합병등종료보고서(합병)</t>
        </is>
      </c>
      <c r="F13816" s="3" t="inlineStr">
        <is>
          <t>피앤씨테크</t>
        </is>
      </c>
      <c r="G13816" s="2" t="inlineStr">
        <is>
          <t>20260630000393</t>
        </is>
      </c>
      <c r="H13816" s="8">
        <f>HYPERLINK("https://dart.fss.or.kr/dsaf001/main.do?rcpNo=20260630000393", "공시열람")</f>
        <v/>
      </c>
    </row>
    <row r="13817">
      <c r="A13817" s="2" t="inlineStr">
        <is>
          <t>2026-06-30</t>
        </is>
      </c>
      <c r="B13817" s="3" t="inlineStr">
        <is>
          <t>아이엘로보틱스</t>
        </is>
      </c>
      <c r="C13817" s="2" t="inlineStr">
        <is>
          <t>코넥스</t>
        </is>
      </c>
      <c r="D13817" s="2" t="inlineStr">
        <is>
          <t>403810</t>
        </is>
      </c>
      <c r="E13817" s="3" t="inlineStr">
        <is>
          <t xml:space="preserve">기업설명회(IR)개최결과              </t>
        </is>
      </c>
      <c r="F13817" s="3" t="inlineStr">
        <is>
          <t>아이엘로보틱스</t>
        </is>
      </c>
      <c r="G13817" s="2" t="inlineStr">
        <is>
          <t>20260630600402</t>
        </is>
      </c>
      <c r="H13817" s="8">
        <f>HYPERLINK("https://dart.fss.or.kr/dsaf001/main.do?rcpNo=20260630600402", "공시열람")</f>
        <v/>
      </c>
    </row>
    <row r="13818">
      <c r="A13818" s="2" t="inlineStr">
        <is>
          <t>2026-06-30</t>
        </is>
      </c>
      <c r="B13818" s="3" t="inlineStr">
        <is>
          <t>티엘비</t>
        </is>
      </c>
      <c r="C13818" s="2" t="inlineStr">
        <is>
          <t>코스닥</t>
        </is>
      </c>
      <c r="D13818" s="2" t="inlineStr">
        <is>
          <t>356860</t>
        </is>
      </c>
      <c r="E13818" s="3" t="inlineStr">
        <is>
          <t xml:space="preserve">기업설명회(IR)개최              </t>
        </is>
      </c>
      <c r="F13818" s="3" t="inlineStr">
        <is>
          <t>티엘비</t>
        </is>
      </c>
      <c r="G13818" s="2" t="inlineStr">
        <is>
          <t>20260630900409</t>
        </is>
      </c>
      <c r="H13818" s="8">
        <f>HYPERLINK("https://dart.fss.or.kr/dsaf001/main.do?rcpNo=20260630900409", "공시열람")</f>
        <v/>
      </c>
    </row>
    <row r="13819">
      <c r="A13819" s="2" t="inlineStr">
        <is>
          <t>2026-06-30</t>
        </is>
      </c>
      <c r="B13819" s="3" t="inlineStr">
        <is>
          <t>동원산업</t>
        </is>
      </c>
      <c r="C13819" s="2" t="inlineStr">
        <is>
          <t>코스피</t>
        </is>
      </c>
      <c r="D13819" s="2" t="inlineStr">
        <is>
          <t>006040</t>
        </is>
      </c>
      <c r="E13819" s="3" t="inlineStr">
        <is>
          <t xml:space="preserve">지속가능경영보고서등관련사항(자율공시)              </t>
        </is>
      </c>
      <c r="F13819" s="3" t="inlineStr">
        <is>
          <t>동원산업</t>
        </is>
      </c>
      <c r="G13819" s="2" t="inlineStr">
        <is>
          <t>20260630800405</t>
        </is>
      </c>
      <c r="H13819" s="8">
        <f>HYPERLINK("https://dart.fss.or.kr/dsaf001/main.do?rcpNo=20260630800405", "공시열람")</f>
        <v/>
      </c>
    </row>
    <row r="13820">
      <c r="A13820" s="2" t="inlineStr">
        <is>
          <t>2026-06-30</t>
        </is>
      </c>
      <c r="B13820" s="3" t="inlineStr">
        <is>
          <t>스틱인베스트먼트</t>
        </is>
      </c>
      <c r="C13820" s="2" t="inlineStr">
        <is>
          <t>코스피</t>
        </is>
      </c>
      <c r="D13820" s="2" t="inlineStr">
        <is>
          <t>026890</t>
        </is>
      </c>
      <c r="E13820" s="3" t="inlineStr">
        <is>
          <t>임원ㆍ주요주주특정증권등소유상황보고서</t>
        </is>
      </c>
      <c r="F13820" s="3" t="inlineStr">
        <is>
          <t>이경형</t>
        </is>
      </c>
      <c r="G13820" s="2" t="inlineStr">
        <is>
          <t>20260630000384</t>
        </is>
      </c>
      <c r="H13820" s="8">
        <f>HYPERLINK("https://dart.fss.or.kr/dsaf001/main.do?rcpNo=20260630000384", "공시열람")</f>
        <v/>
      </c>
    </row>
    <row r="13821">
      <c r="A13821" s="2" t="inlineStr">
        <is>
          <t>2026-06-30</t>
        </is>
      </c>
      <c r="B13821" s="3" t="inlineStr">
        <is>
          <t>소마젠</t>
        </is>
      </c>
      <c r="C13821" s="2" t="inlineStr">
        <is>
          <t>코스닥</t>
        </is>
      </c>
      <c r="D13821" s="2" t="inlineStr">
        <is>
          <t>950200</t>
        </is>
      </c>
      <c r="E13821" s="3" t="inlineStr">
        <is>
          <t>투자판단관련주요경영사항              (자본잉여금 감액 및 결손금 보전 결정(이사회 결의))</t>
        </is>
      </c>
      <c r="F13821" s="3" t="inlineStr">
        <is>
          <t>소마젠</t>
        </is>
      </c>
      <c r="G13821" s="2" t="inlineStr">
        <is>
          <t>20260630900373</t>
        </is>
      </c>
      <c r="H13821" s="8">
        <f>HYPERLINK("https://dart.fss.or.kr/dsaf001/main.do?rcpNo=20260630900373", "공시열람")</f>
        <v/>
      </c>
    </row>
    <row r="13822">
      <c r="A13822" s="2" t="inlineStr">
        <is>
          <t>2026-06-30</t>
        </is>
      </c>
      <c r="B13822" s="3" t="inlineStr">
        <is>
          <t>교보증권</t>
        </is>
      </c>
      <c r="C13822" s="2" t="inlineStr">
        <is>
          <t>코스피</t>
        </is>
      </c>
      <c r="D13822" s="2" t="inlineStr">
        <is>
          <t>030610</t>
        </is>
      </c>
      <c r="E13822" s="3" t="inlineStr">
        <is>
          <t>투자설명서(일괄신고)</t>
        </is>
      </c>
      <c r="F13822" s="3" t="inlineStr">
        <is>
          <t>교보증권</t>
        </is>
      </c>
      <c r="G13822" s="2" t="inlineStr">
        <is>
          <t>20260630000378</t>
        </is>
      </c>
      <c r="H13822" s="8">
        <f>HYPERLINK("https://dart.fss.or.kr/dsaf001/main.do?rcpNo=20260630000378", "공시열람")</f>
        <v/>
      </c>
    </row>
    <row r="13823">
      <c r="A13823" s="2" t="inlineStr">
        <is>
          <t>2026-06-30</t>
        </is>
      </c>
      <c r="B13823" s="3" t="inlineStr">
        <is>
          <t>케이지에이</t>
        </is>
      </c>
      <c r="C13823" s="2" t="inlineStr">
        <is>
          <t>코스닥</t>
        </is>
      </c>
      <c r="D13823" s="2" t="inlineStr">
        <is>
          <t>455180</t>
        </is>
      </c>
      <c r="E13823" s="3" t="inlineStr">
        <is>
          <t>임원ㆍ주요주주특정증권등소유상황보고서</t>
        </is>
      </c>
      <c r="F13823" s="3" t="inlineStr">
        <is>
          <t>김기태</t>
        </is>
      </c>
      <c r="G13823" s="2" t="inlineStr">
        <is>
          <t>20260630000371</t>
        </is>
      </c>
      <c r="H13823" s="8">
        <f>HYPERLINK("https://dart.fss.or.kr/dsaf001/main.do?rcpNo=20260630000371", "공시열람")</f>
        <v/>
      </c>
    </row>
    <row r="13824">
      <c r="A13824" s="2" t="inlineStr">
        <is>
          <t>2026-06-30</t>
        </is>
      </c>
      <c r="B13824" s="3" t="inlineStr">
        <is>
          <t>대원전선</t>
        </is>
      </c>
      <c r="C13824" s="2" t="inlineStr">
        <is>
          <t>코스피</t>
        </is>
      </c>
      <c r="D13824" s="2" t="inlineStr">
        <is>
          <t>006340</t>
        </is>
      </c>
      <c r="E13824" s="3" t="inlineStr">
        <is>
          <t>임원ㆍ주요주주특정증권등소유상황보고서</t>
        </is>
      </c>
      <c r="F13824" s="3" t="inlineStr">
        <is>
          <t>금성실업</t>
        </is>
      </c>
      <c r="G13824" s="2" t="inlineStr">
        <is>
          <t>20260630000369</t>
        </is>
      </c>
      <c r="H13824" s="8">
        <f>HYPERLINK("https://dart.fss.or.kr/dsaf001/main.do?rcpNo=20260630000369", "공시열람")</f>
        <v/>
      </c>
    </row>
    <row r="13825">
      <c r="A13825" s="2" t="inlineStr">
        <is>
          <t>2026-06-30</t>
        </is>
      </c>
      <c r="B13825" s="3" t="inlineStr">
        <is>
          <t>SG글로벌</t>
        </is>
      </c>
      <c r="C13825" s="2" t="inlineStr">
        <is>
          <t>코스피</t>
        </is>
      </c>
      <c r="D13825" s="2" t="inlineStr">
        <is>
          <t>001380</t>
        </is>
      </c>
      <c r="E13825" s="3" t="inlineStr">
        <is>
          <t>임원ㆍ주요주주특정증권등소유상황보고서</t>
        </is>
      </c>
      <c r="F13825" s="3" t="inlineStr">
        <is>
          <t>에스지유</t>
        </is>
      </c>
      <c r="G13825" s="2" t="inlineStr">
        <is>
          <t>20260630000365</t>
        </is>
      </c>
      <c r="H13825" s="8">
        <f>HYPERLINK("https://dart.fss.or.kr/dsaf001/main.do?rcpNo=20260630000365", "공시열람")</f>
        <v/>
      </c>
    </row>
    <row r="13826">
      <c r="A13826" s="2" t="inlineStr">
        <is>
          <t>2026-06-30</t>
        </is>
      </c>
      <c r="B13826" s="3" t="inlineStr">
        <is>
          <t>대원전선</t>
        </is>
      </c>
      <c r="C13826" s="2" t="inlineStr">
        <is>
          <t>코스피</t>
        </is>
      </c>
      <c r="D13826" s="2" t="inlineStr">
        <is>
          <t>006340</t>
        </is>
      </c>
      <c r="E13826" s="3" t="inlineStr">
        <is>
          <t>임원ㆍ주요주주특정증권등소유상황보고서</t>
        </is>
      </c>
      <c r="F13826" s="3" t="inlineStr">
        <is>
          <t>갑도물산</t>
        </is>
      </c>
      <c r="G13826" s="2" t="inlineStr">
        <is>
          <t>20260630000363</t>
        </is>
      </c>
      <c r="H13826" s="8">
        <f>HYPERLINK("https://dart.fss.or.kr/dsaf001/main.do?rcpNo=20260630000363", "공시열람")</f>
        <v/>
      </c>
    </row>
    <row r="13827">
      <c r="A13827" s="2" t="inlineStr">
        <is>
          <t>2026-06-30</t>
        </is>
      </c>
      <c r="B13827" s="3" t="inlineStr">
        <is>
          <t>케이지에이</t>
        </is>
      </c>
      <c r="C13827" s="2" t="inlineStr">
        <is>
          <t>코스닥</t>
        </is>
      </c>
      <c r="D13827" s="2" t="inlineStr">
        <is>
          <t>455180</t>
        </is>
      </c>
      <c r="E13827" s="3" t="inlineStr">
        <is>
          <t>임원ㆍ주요주주특정증권등소유상황보고서</t>
        </is>
      </c>
      <c r="F13827" s="3" t="inlineStr">
        <is>
          <t>이성일</t>
        </is>
      </c>
      <c r="G13827" s="2" t="inlineStr">
        <is>
          <t>20260630000358</t>
        </is>
      </c>
      <c r="H13827" s="8">
        <f>HYPERLINK("https://dart.fss.or.kr/dsaf001/main.do?rcpNo=20260630000358", "공시열람")</f>
        <v/>
      </c>
    </row>
    <row r="13828">
      <c r="A13828" s="2" t="inlineStr">
        <is>
          <t>2026-06-30</t>
        </is>
      </c>
      <c r="B13828" s="3" t="inlineStr">
        <is>
          <t>솔루엠</t>
        </is>
      </c>
      <c r="C13828" s="2" t="inlineStr">
        <is>
          <t>코스피</t>
        </is>
      </c>
      <c r="D13828" s="2" t="inlineStr">
        <is>
          <t>248070</t>
        </is>
      </c>
      <c r="E13828" s="3" t="inlineStr">
        <is>
          <t>임원ㆍ주요주주특정증권등소유상황보고서</t>
        </is>
      </c>
      <c r="F13828" s="3" t="inlineStr">
        <is>
          <t>전성호</t>
        </is>
      </c>
      <c r="G13828" s="2" t="inlineStr">
        <is>
          <t>20260630000357</t>
        </is>
      </c>
      <c r="H13828" s="8">
        <f>HYPERLINK("https://dart.fss.or.kr/dsaf001/main.do?rcpNo=20260630000357", "공시열람")</f>
        <v/>
      </c>
    </row>
    <row r="13829">
      <c r="A13829" s="2" t="inlineStr">
        <is>
          <t>2026-06-30</t>
        </is>
      </c>
      <c r="B13829" s="3" t="inlineStr">
        <is>
          <t>현대차증권</t>
        </is>
      </c>
      <c r="C13829" s="2" t="inlineStr">
        <is>
          <t>코스피</t>
        </is>
      </c>
      <c r="D13829" s="2" t="inlineStr">
        <is>
          <t>001500</t>
        </is>
      </c>
      <c r="E13829" s="3" t="inlineStr">
        <is>
          <t>일괄신고추가서류(파생결합사채-주가연계파생결합사채)</t>
        </is>
      </c>
      <c r="F13829" s="3" t="inlineStr">
        <is>
          <t>현대차증권</t>
        </is>
      </c>
      <c r="G13829" s="2" t="inlineStr">
        <is>
          <t>20260630000355</t>
        </is>
      </c>
      <c r="H13829" s="8">
        <f>HYPERLINK("https://dart.fss.or.kr/dsaf001/main.do?rcpNo=20260630000355", "공시열람")</f>
        <v/>
      </c>
    </row>
    <row r="13830">
      <c r="A13830" s="2" t="inlineStr">
        <is>
          <t>2026-06-30</t>
        </is>
      </c>
      <c r="B13830" s="3" t="inlineStr">
        <is>
          <t>교보증권</t>
        </is>
      </c>
      <c r="C13830" s="2" t="inlineStr">
        <is>
          <t>코스피</t>
        </is>
      </c>
      <c r="D13830" s="2" t="inlineStr">
        <is>
          <t>030610</t>
        </is>
      </c>
      <c r="E13830" s="3" t="inlineStr">
        <is>
          <t>일괄신고추가서류(파생결합사채-주가연계파생결합사채)</t>
        </is>
      </c>
      <c r="F13830" s="3" t="inlineStr">
        <is>
          <t>교보증권</t>
        </is>
      </c>
      <c r="G13830" s="2" t="inlineStr">
        <is>
          <t>20260630000351</t>
        </is>
      </c>
      <c r="H13830" s="8">
        <f>HYPERLINK("https://dart.fss.or.kr/dsaf001/main.do?rcpNo=20260630000351", "공시열람")</f>
        <v/>
      </c>
    </row>
    <row r="13831">
      <c r="A13831" s="2" t="inlineStr">
        <is>
          <t>2026-06-30</t>
        </is>
      </c>
      <c r="B13831" s="3" t="inlineStr">
        <is>
          <t>케이지에이</t>
        </is>
      </c>
      <c r="C13831" s="2" t="inlineStr">
        <is>
          <t>코스닥</t>
        </is>
      </c>
      <c r="D13831" s="2" t="inlineStr">
        <is>
          <t>455180</t>
        </is>
      </c>
      <c r="E13831" s="3" t="inlineStr">
        <is>
          <t>임원ㆍ주요주주특정증권등소유상황보고서</t>
        </is>
      </c>
      <c r="F13831" s="3" t="inlineStr">
        <is>
          <t>장창수</t>
        </is>
      </c>
      <c r="G13831" s="2" t="inlineStr">
        <is>
          <t>20260630000348</t>
        </is>
      </c>
      <c r="H13831" s="8">
        <f>HYPERLINK("https://dart.fss.or.kr/dsaf001/main.do?rcpNo=20260630000348", "공시열람")</f>
        <v/>
      </c>
    </row>
    <row r="13832">
      <c r="A13832" s="2" t="inlineStr">
        <is>
          <t>2026-06-30</t>
        </is>
      </c>
      <c r="B13832" s="3" t="inlineStr">
        <is>
          <t>동국씨엠</t>
        </is>
      </c>
      <c r="C13832" s="2" t="inlineStr">
        <is>
          <t>코스피</t>
        </is>
      </c>
      <c r="D13832" s="2" t="inlineStr">
        <is>
          <t>460850</t>
        </is>
      </c>
      <c r="E13832" s="3" t="inlineStr">
        <is>
          <t xml:space="preserve">지속가능경영보고서등관련사항(자율공시)              </t>
        </is>
      </c>
      <c r="F13832" s="3" t="inlineStr">
        <is>
          <t>동국씨엠</t>
        </is>
      </c>
      <c r="G13832" s="2" t="inlineStr">
        <is>
          <t>20260630800360</t>
        </is>
      </c>
      <c r="H13832" s="8">
        <f>HYPERLINK("https://dart.fss.or.kr/dsaf001/main.do?rcpNo=20260630800360", "공시열람")</f>
        <v/>
      </c>
    </row>
    <row r="13833">
      <c r="A13833" s="2" t="inlineStr">
        <is>
          <t>2026-06-30</t>
        </is>
      </c>
      <c r="B13833" s="3" t="inlineStr">
        <is>
          <t>에스트래픽</t>
        </is>
      </c>
      <c r="C13833" s="2" t="inlineStr">
        <is>
          <t>코스닥</t>
        </is>
      </c>
      <c r="D13833" s="2" t="inlineStr">
        <is>
          <t>234300</t>
        </is>
      </c>
      <c r="E13833" s="3" t="inlineStr">
        <is>
          <t>임원ㆍ주요주주특정증권등소유상황보고서</t>
        </is>
      </c>
      <c r="F13833" s="3" t="inlineStr">
        <is>
          <t>이장한</t>
        </is>
      </c>
      <c r="G13833" s="2" t="inlineStr">
        <is>
          <t>20260630000345</t>
        </is>
      </c>
      <c r="H13833" s="8">
        <f>HYPERLINK("https://dart.fss.or.kr/dsaf001/main.do?rcpNo=20260630000345", "공시열람")</f>
        <v/>
      </c>
    </row>
    <row r="13834">
      <c r="A13834" s="2" t="inlineStr">
        <is>
          <t>2026-06-30</t>
        </is>
      </c>
      <c r="B13834" s="3" t="inlineStr">
        <is>
          <t>삼성에스디에스</t>
        </is>
      </c>
      <c r="C13834" s="2" t="inlineStr">
        <is>
          <t>코스피</t>
        </is>
      </c>
      <c r="D13834" s="2" t="inlineStr">
        <is>
          <t>018260</t>
        </is>
      </c>
      <c r="E13834" s="3" t="inlineStr">
        <is>
          <t>임원ㆍ주요주주특정증권등소유상황보고서</t>
        </is>
      </c>
      <c r="F13834" s="3" t="inlineStr">
        <is>
          <t>김성곤</t>
        </is>
      </c>
      <c r="G13834" s="2" t="inlineStr">
        <is>
          <t>20260630000344</t>
        </is>
      </c>
      <c r="H13834" s="8">
        <f>HYPERLINK("https://dart.fss.or.kr/dsaf001/main.do?rcpNo=20260630000344", "공시열람")</f>
        <v/>
      </c>
    </row>
    <row r="13835">
      <c r="A13835" s="2" t="inlineStr">
        <is>
          <t>2026-06-30</t>
        </is>
      </c>
      <c r="B13835" s="3" t="inlineStr">
        <is>
          <t>코미코</t>
        </is>
      </c>
      <c r="C13835" s="2" t="inlineStr">
        <is>
          <t>코스닥</t>
        </is>
      </c>
      <c r="D13835" s="2" t="inlineStr">
        <is>
          <t>183300</t>
        </is>
      </c>
      <c r="E13835" s="3" t="inlineStr">
        <is>
          <t>의결권대리행사권유참고서류</t>
        </is>
      </c>
      <c r="F13835" s="3" t="inlineStr">
        <is>
          <t>코미코</t>
        </is>
      </c>
      <c r="G13835" s="2" t="inlineStr">
        <is>
          <t>20260630000343</t>
        </is>
      </c>
      <c r="H13835" s="8">
        <f>HYPERLINK("https://dart.fss.or.kr/dsaf001/main.do?rcpNo=20260630000343", "공시열람")</f>
        <v/>
      </c>
    </row>
    <row r="13836">
      <c r="A13836" s="2" t="inlineStr">
        <is>
          <t>2026-06-30</t>
        </is>
      </c>
      <c r="B13836" s="3" t="inlineStr">
        <is>
          <t>한온시스템</t>
        </is>
      </c>
      <c r="C13836" s="2" t="inlineStr">
        <is>
          <t>코스피</t>
        </is>
      </c>
      <c r="D13836" s="2" t="inlineStr">
        <is>
          <t>018880</t>
        </is>
      </c>
      <c r="E13836" s="3" t="inlineStr">
        <is>
          <t xml:space="preserve">지속가능경영보고서등관련사항(자율공시)              </t>
        </is>
      </c>
      <c r="F13836" s="3" t="inlineStr">
        <is>
          <t>한온시스템</t>
        </is>
      </c>
      <c r="G13836" s="2" t="inlineStr">
        <is>
          <t>20260630800355</t>
        </is>
      </c>
      <c r="H13836" s="8">
        <f>HYPERLINK("https://dart.fss.or.kr/dsaf001/main.do?rcpNo=20260630800355", "공시열람")</f>
        <v/>
      </c>
    </row>
    <row r="13837">
      <c r="A13837" s="2" t="inlineStr">
        <is>
          <t>2026-06-30</t>
        </is>
      </c>
      <c r="B13837" s="3" t="inlineStr">
        <is>
          <t>나무기술</t>
        </is>
      </c>
      <c r="C13837" s="2" t="inlineStr">
        <is>
          <t>코스닥</t>
        </is>
      </c>
      <c r="D13837" s="2" t="inlineStr">
        <is>
          <t>242040</t>
        </is>
      </c>
      <c r="E13837" s="3" t="inlineStr">
        <is>
          <t xml:space="preserve">상호변경안내              </t>
        </is>
      </c>
      <c r="F13837" s="3" t="inlineStr">
        <is>
          <t>나무기술</t>
        </is>
      </c>
      <c r="G13837" s="2" t="inlineStr">
        <is>
          <t>20260630900344</t>
        </is>
      </c>
      <c r="H13837" s="8">
        <f>HYPERLINK("https://dart.fss.or.kr/dsaf001/main.do?rcpNo=20260630900344", "공시열람")</f>
        <v/>
      </c>
    </row>
    <row r="13838">
      <c r="A13838" s="2" t="inlineStr">
        <is>
          <t>2026-06-30</t>
        </is>
      </c>
      <c r="B13838" s="3" t="inlineStr">
        <is>
          <t>한국금융지주</t>
        </is>
      </c>
      <c r="C13838" s="2" t="inlineStr">
        <is>
          <t>코스피</t>
        </is>
      </c>
      <c r="D13838" s="2" t="inlineStr">
        <is>
          <t>071050</t>
        </is>
      </c>
      <c r="E13838" s="3" t="inlineStr">
        <is>
          <t xml:space="preserve">지속가능경영보고서등관련사항(자율공시)              </t>
        </is>
      </c>
      <c r="F13838" s="3" t="inlineStr">
        <is>
          <t>한국금융지주</t>
        </is>
      </c>
      <c r="G13838" s="2" t="inlineStr">
        <is>
          <t>20260630800343</t>
        </is>
      </c>
      <c r="H13838" s="8">
        <f>HYPERLINK("https://dart.fss.or.kr/dsaf001/main.do?rcpNo=20260630800343", "공시열람")</f>
        <v/>
      </c>
    </row>
    <row r="13839">
      <c r="A13839" s="2" t="inlineStr">
        <is>
          <t>2026-06-30</t>
        </is>
      </c>
      <c r="B13839" s="3" t="inlineStr">
        <is>
          <t>메타바이오메드</t>
        </is>
      </c>
      <c r="C13839" s="2" t="inlineStr">
        <is>
          <t>코스닥</t>
        </is>
      </c>
      <c r="D13839" s="2" t="inlineStr">
        <is>
          <t>059210</t>
        </is>
      </c>
      <c r="E13839" s="3" t="inlineStr">
        <is>
          <t xml:space="preserve">[기재정정]현금ㆍ현물배당결정              </t>
        </is>
      </c>
      <c r="F13839" s="3" t="inlineStr">
        <is>
          <t>메타바이오메드</t>
        </is>
      </c>
      <c r="G13839" s="2" t="inlineStr">
        <is>
          <t>20260630900323</t>
        </is>
      </c>
      <c r="H13839" s="8">
        <f>HYPERLINK("https://dart.fss.or.kr/dsaf001/main.do?rcpNo=20260630900323", "공시열람")</f>
        <v/>
      </c>
    </row>
    <row r="13840">
      <c r="A13840" s="2" t="inlineStr">
        <is>
          <t>2026-06-30</t>
        </is>
      </c>
      <c r="B13840" s="3" t="inlineStr">
        <is>
          <t>동양</t>
        </is>
      </c>
      <c r="C13840" s="2" t="inlineStr">
        <is>
          <t>코스피</t>
        </is>
      </c>
      <c r="D13840" s="2" t="inlineStr">
        <is>
          <t>001520</t>
        </is>
      </c>
      <c r="E13840" s="3" t="inlineStr">
        <is>
          <t>임원ㆍ주요주주특정증권등소유상황보고서</t>
        </is>
      </c>
      <c r="F13840" s="3" t="inlineStr">
        <is>
          <t>황병욱</t>
        </is>
      </c>
      <c r="G13840" s="2" t="inlineStr">
        <is>
          <t>20260630000309</t>
        </is>
      </c>
      <c r="H13840" s="8">
        <f>HYPERLINK("https://dart.fss.or.kr/dsaf001/main.do?rcpNo=20260630000309", "공시열람")</f>
        <v/>
      </c>
    </row>
    <row r="13841">
      <c r="A13841" s="2" t="inlineStr">
        <is>
          <t>2026-06-30</t>
        </is>
      </c>
      <c r="B13841" s="3" t="inlineStr">
        <is>
          <t>대한제당</t>
        </is>
      </c>
      <c r="C13841" s="2" t="inlineStr">
        <is>
          <t>코스피</t>
        </is>
      </c>
      <c r="D13841" s="2" t="inlineStr">
        <is>
          <t>001790</t>
        </is>
      </c>
      <c r="E13841" s="3" t="inlineStr">
        <is>
          <t xml:space="preserve">[기재정정]벌금등의부과              </t>
        </is>
      </c>
      <c r="F13841" s="3" t="inlineStr">
        <is>
          <t>대한제당</t>
        </is>
      </c>
      <c r="G13841" s="2" t="inlineStr">
        <is>
          <t>20260630800337</t>
        </is>
      </c>
      <c r="H13841" s="8">
        <f>HYPERLINK("https://dart.fss.or.kr/dsaf001/main.do?rcpNo=20260630800337", "공시열람")</f>
        <v/>
      </c>
    </row>
    <row r="13842">
      <c r="A13842" s="2" t="inlineStr">
        <is>
          <t>2026-06-30</t>
        </is>
      </c>
      <c r="B13842" s="3" t="inlineStr">
        <is>
          <t>삼성출판사</t>
        </is>
      </c>
      <c r="C13842" s="2" t="inlineStr">
        <is>
          <t>코스피</t>
        </is>
      </c>
      <c r="D13842" s="2" t="inlineStr">
        <is>
          <t>068290</t>
        </is>
      </c>
      <c r="E13842" s="3" t="inlineStr">
        <is>
          <t>임원ㆍ주요주주특정증권등소유상황보고서</t>
        </is>
      </c>
      <c r="F13842" s="3" t="inlineStr">
        <is>
          <t>김민권</t>
        </is>
      </c>
      <c r="G13842" s="2" t="inlineStr">
        <is>
          <t>20260630000302</t>
        </is>
      </c>
      <c r="H13842" s="8">
        <f>HYPERLINK("https://dart.fss.or.kr/dsaf001/main.do?rcpNo=20260630000302", "공시열람")</f>
        <v/>
      </c>
    </row>
    <row r="13843">
      <c r="A13843" s="2" t="inlineStr">
        <is>
          <t>2026-06-30</t>
        </is>
      </c>
      <c r="B13843" s="3" t="inlineStr">
        <is>
          <t>동양</t>
        </is>
      </c>
      <c r="C13843" s="2" t="inlineStr">
        <is>
          <t>코스피</t>
        </is>
      </c>
      <c r="D13843" s="2" t="inlineStr">
        <is>
          <t>001520</t>
        </is>
      </c>
      <c r="E13843" s="3" t="inlineStr">
        <is>
          <t>임원ㆍ주요주주특정증권등소유상황보고서</t>
        </is>
      </c>
      <c r="F13843" s="3" t="inlineStr">
        <is>
          <t>이동호</t>
        </is>
      </c>
      <c r="G13843" s="2" t="inlineStr">
        <is>
          <t>20260630000300</t>
        </is>
      </c>
      <c r="H13843" s="8">
        <f>HYPERLINK("https://dart.fss.or.kr/dsaf001/main.do?rcpNo=20260630000300", "공시열람")</f>
        <v/>
      </c>
    </row>
    <row r="13844">
      <c r="A13844" s="2" t="inlineStr">
        <is>
          <t>2026-06-30</t>
        </is>
      </c>
      <c r="B13844" s="3" t="inlineStr">
        <is>
          <t>에스켐</t>
        </is>
      </c>
      <c r="C13844" s="2" t="inlineStr">
        <is>
          <t>코스닥</t>
        </is>
      </c>
      <c r="D13844" s="2" t="inlineStr">
        <is>
          <t>475660</t>
        </is>
      </c>
      <c r="E13844" s="3" t="inlineStr">
        <is>
          <t>임원ㆍ주요주주특정증권등소유상황보고서</t>
        </is>
      </c>
      <c r="F13844" s="3" t="inlineStr">
        <is>
          <t>박진균</t>
        </is>
      </c>
      <c r="G13844" s="2" t="inlineStr">
        <is>
          <t>20260630000298</t>
        </is>
      </c>
      <c r="H13844" s="8">
        <f>HYPERLINK("https://dart.fss.or.kr/dsaf001/main.do?rcpNo=20260630000298", "공시열람")</f>
        <v/>
      </c>
    </row>
    <row r="13845">
      <c r="A13845" s="2" t="inlineStr">
        <is>
          <t>2026-06-30</t>
        </is>
      </c>
      <c r="B13845" s="3" t="inlineStr">
        <is>
          <t>LG전자</t>
        </is>
      </c>
      <c r="C13845" s="2" t="inlineStr">
        <is>
          <t>코스피</t>
        </is>
      </c>
      <c r="D13845" s="2" t="inlineStr">
        <is>
          <t>066570</t>
        </is>
      </c>
      <c r="E13845" s="3" t="inlineStr">
        <is>
          <t xml:space="preserve">지속가능경영보고서등관련사항(자율공시)              </t>
        </is>
      </c>
      <c r="F13845" s="3" t="inlineStr">
        <is>
          <t>LG전자</t>
        </is>
      </c>
      <c r="G13845" s="2" t="inlineStr">
        <is>
          <t>20260630800321</t>
        </is>
      </c>
      <c r="H13845" s="8">
        <f>HYPERLINK("https://dart.fss.or.kr/dsaf001/main.do?rcpNo=20260630800321", "공시열람")</f>
        <v/>
      </c>
    </row>
    <row r="13846">
      <c r="A13846" s="2" t="inlineStr">
        <is>
          <t>2026-06-30</t>
        </is>
      </c>
      <c r="B13846" s="3" t="inlineStr">
        <is>
          <t>옵트론텍</t>
        </is>
      </c>
      <c r="C13846" s="2" t="inlineStr">
        <is>
          <t>코스닥</t>
        </is>
      </c>
      <c r="D13846" s="2" t="inlineStr">
        <is>
          <t>082210</t>
        </is>
      </c>
      <c r="E13846" s="3" t="inlineStr">
        <is>
          <t>임원ㆍ주요주주특정증권등소유상황보고서</t>
        </is>
      </c>
      <c r="F13846" s="3" t="inlineStr">
        <is>
          <t>CHOI SANG HO</t>
        </is>
      </c>
      <c r="G13846" s="2" t="inlineStr">
        <is>
          <t>20260630000293</t>
        </is>
      </c>
      <c r="H13846" s="8">
        <f>HYPERLINK("https://dart.fss.or.kr/dsaf001/main.do?rcpNo=20260630000293", "공시열람")</f>
        <v/>
      </c>
    </row>
    <row r="13847">
      <c r="A13847" s="2" t="inlineStr">
        <is>
          <t>2026-06-30</t>
        </is>
      </c>
      <c r="B13847" s="3" t="inlineStr">
        <is>
          <t>에스켐</t>
        </is>
      </c>
      <c r="C13847" s="2" t="inlineStr">
        <is>
          <t>코스닥</t>
        </is>
      </c>
      <c r="D13847" s="2" t="inlineStr">
        <is>
          <t>475660</t>
        </is>
      </c>
      <c r="E13847" s="3" t="inlineStr">
        <is>
          <t>임원ㆍ주요주주특정증권등소유상황보고서</t>
        </is>
      </c>
      <c r="F13847" s="3" t="inlineStr">
        <is>
          <t>이대원</t>
        </is>
      </c>
      <c r="G13847" s="2" t="inlineStr">
        <is>
          <t>20260630000292</t>
        </is>
      </c>
      <c r="H13847" s="8">
        <f>HYPERLINK("https://dart.fss.or.kr/dsaf001/main.do?rcpNo=20260630000292", "공시열람")</f>
        <v/>
      </c>
    </row>
    <row r="13848">
      <c r="A13848" s="2" t="inlineStr">
        <is>
          <t>2026-06-30</t>
        </is>
      </c>
      <c r="B13848" s="3" t="inlineStr">
        <is>
          <t>옵트론텍</t>
        </is>
      </c>
      <c r="C13848" s="2" t="inlineStr">
        <is>
          <t>코스닥</t>
        </is>
      </c>
      <c r="D13848" s="2" t="inlineStr">
        <is>
          <t>082210</t>
        </is>
      </c>
      <c r="E13848" s="3" t="inlineStr">
        <is>
          <t>임원ㆍ주요주주특정증권등소유상황보고서</t>
        </is>
      </c>
      <c r="F13848" s="3" t="inlineStr">
        <is>
          <t>CHOISANGHO,CORP.</t>
        </is>
      </c>
      <c r="G13848" s="2" t="inlineStr">
        <is>
          <t>20260630000286</t>
        </is>
      </c>
      <c r="H13848" s="8">
        <f>HYPERLINK("https://dart.fss.or.kr/dsaf001/main.do?rcpNo=20260630000286", "공시열람")</f>
        <v/>
      </c>
    </row>
    <row r="13849">
      <c r="A13849" s="2" t="inlineStr">
        <is>
          <t>2026-06-30</t>
        </is>
      </c>
      <c r="B13849" s="3" t="inlineStr">
        <is>
          <t>삼성생명</t>
        </is>
      </c>
      <c r="C13849" s="2" t="inlineStr">
        <is>
          <t>코스피</t>
        </is>
      </c>
      <c r="D13849" s="2" t="inlineStr">
        <is>
          <t>032830</t>
        </is>
      </c>
      <c r="E13849" s="3" t="inlineStr">
        <is>
          <t>특수관계인과의수익증권거래</t>
        </is>
      </c>
      <c r="F13849" s="3" t="inlineStr">
        <is>
          <t>삼성생명</t>
        </is>
      </c>
      <c r="G13849" s="2" t="inlineStr">
        <is>
          <t>20260630000280</t>
        </is>
      </c>
      <c r="H13849" s="8">
        <f>HYPERLINK("https://dart.fss.or.kr/dsaf001/main.do?rcpNo=20260630000280", "공시열람")</f>
        <v/>
      </c>
    </row>
    <row r="13850">
      <c r="A13850" s="2" t="inlineStr">
        <is>
          <t>2026-06-30</t>
        </is>
      </c>
      <c r="B13850" s="3" t="inlineStr">
        <is>
          <t>SK이터닉스</t>
        </is>
      </c>
      <c r="C13850" s="2" t="inlineStr">
        <is>
          <t>코스피</t>
        </is>
      </c>
      <c r="D13850" s="2" t="inlineStr">
        <is>
          <t>475150</t>
        </is>
      </c>
      <c r="E13850" s="3" t="inlineStr">
        <is>
          <t>[첨부정정]주요사항보고서(유형자산양도결정)</t>
        </is>
      </c>
      <c r="F13850" s="3" t="inlineStr">
        <is>
          <t>SK이터닉스</t>
        </is>
      </c>
      <c r="G13850" s="2" t="inlineStr">
        <is>
          <t>20260630000277</t>
        </is>
      </c>
      <c r="H13850" s="8">
        <f>HYPERLINK("https://dart.fss.or.kr/dsaf001/main.do?rcpNo=20260630000277", "공시열람")</f>
        <v/>
      </c>
    </row>
    <row r="13851">
      <c r="A13851" s="2" t="inlineStr">
        <is>
          <t>2026-06-30</t>
        </is>
      </c>
      <c r="B13851" s="3" t="inlineStr">
        <is>
          <t>삼성에스디에스</t>
        </is>
      </c>
      <c r="C13851" s="2" t="inlineStr">
        <is>
          <t>코스피</t>
        </is>
      </c>
      <c r="D13851" s="2" t="inlineStr">
        <is>
          <t>018260</t>
        </is>
      </c>
      <c r="E13851" s="3" t="inlineStr">
        <is>
          <t>임원ㆍ주요주주특정증권등소유상황보고서</t>
        </is>
      </c>
      <c r="F13851" s="3" t="inlineStr">
        <is>
          <t>김학길</t>
        </is>
      </c>
      <c r="G13851" s="2" t="inlineStr">
        <is>
          <t>20260630000278</t>
        </is>
      </c>
      <c r="H13851" s="8">
        <f>HYPERLINK("https://dart.fss.or.kr/dsaf001/main.do?rcpNo=20260630000278", "공시열람")</f>
        <v/>
      </c>
    </row>
    <row r="13852">
      <c r="A13852" s="2" t="inlineStr">
        <is>
          <t>2026-06-30</t>
        </is>
      </c>
      <c r="B13852" s="3" t="inlineStr">
        <is>
          <t>삼성생명</t>
        </is>
      </c>
      <c r="C13852" s="2" t="inlineStr">
        <is>
          <t>코스피</t>
        </is>
      </c>
      <c r="D13852" s="2" t="inlineStr">
        <is>
          <t>032830</t>
        </is>
      </c>
      <c r="E13852" s="3" t="inlineStr">
        <is>
          <t>특수관계인에대한부동산임대</t>
        </is>
      </c>
      <c r="F13852" s="3" t="inlineStr">
        <is>
          <t>삼성생명</t>
        </is>
      </c>
      <c r="G13852" s="2" t="inlineStr">
        <is>
          <t>20260630000274</t>
        </is>
      </c>
      <c r="H13852" s="8">
        <f>HYPERLINK("https://dart.fss.or.kr/dsaf001/main.do?rcpNo=20260630000274", "공시열람")</f>
        <v/>
      </c>
    </row>
    <row r="13853">
      <c r="A13853" s="2" t="inlineStr">
        <is>
          <t>2026-06-30</t>
        </is>
      </c>
      <c r="B13853" s="3" t="inlineStr">
        <is>
          <t>삼성생명</t>
        </is>
      </c>
      <c r="C13853" s="2" t="inlineStr">
        <is>
          <t>코스피</t>
        </is>
      </c>
      <c r="D13853" s="2" t="inlineStr">
        <is>
          <t>032830</t>
        </is>
      </c>
      <c r="E13853" s="3" t="inlineStr">
        <is>
          <t>특수관계인과의수익증권거래</t>
        </is>
      </c>
      <c r="F13853" s="3" t="inlineStr">
        <is>
          <t>삼성생명</t>
        </is>
      </c>
      <c r="G13853" s="2" t="inlineStr">
        <is>
          <t>20260630000271</t>
        </is>
      </c>
      <c r="H13853" s="8">
        <f>HYPERLINK("https://dart.fss.or.kr/dsaf001/main.do?rcpNo=20260630000271", "공시열람")</f>
        <v/>
      </c>
    </row>
    <row r="13854">
      <c r="A13854" s="2" t="inlineStr">
        <is>
          <t>2026-06-30</t>
        </is>
      </c>
      <c r="B13854" s="3" t="inlineStr">
        <is>
          <t>삼성생명</t>
        </is>
      </c>
      <c r="C13854" s="2" t="inlineStr">
        <is>
          <t>코스피</t>
        </is>
      </c>
      <c r="D13854" s="2" t="inlineStr">
        <is>
          <t>032830</t>
        </is>
      </c>
      <c r="E13854" s="3" t="inlineStr">
        <is>
          <t>특수관계인과의수익증권거래</t>
        </is>
      </c>
      <c r="F13854" s="3" t="inlineStr">
        <is>
          <t>삼성생명</t>
        </is>
      </c>
      <c r="G13854" s="2" t="inlineStr">
        <is>
          <t>20260630000267</t>
        </is>
      </c>
      <c r="H13854" s="8">
        <f>HYPERLINK("https://dart.fss.or.kr/dsaf001/main.do?rcpNo=20260630000267", "공시열람")</f>
        <v/>
      </c>
    </row>
    <row r="13855">
      <c r="A13855" s="2" t="inlineStr">
        <is>
          <t>2026-06-30</t>
        </is>
      </c>
      <c r="B13855" s="3" t="inlineStr">
        <is>
          <t>풍전약품</t>
        </is>
      </c>
      <c r="C13855" s="2" t="inlineStr">
        <is>
          <t>코스닥</t>
        </is>
      </c>
      <c r="D13855" s="2" t="inlineStr">
        <is>
          <t>298060</t>
        </is>
      </c>
      <c r="E13855" s="3" t="inlineStr">
        <is>
          <t>증권발행결과(자율공시)              (제3자배정)</t>
        </is>
      </c>
      <c r="F13855" s="3" t="inlineStr">
        <is>
          <t>풍전약품</t>
        </is>
      </c>
      <c r="G13855" s="2" t="inlineStr">
        <is>
          <t>20260630900284</t>
        </is>
      </c>
      <c r="H13855" s="8">
        <f>HYPERLINK("https://dart.fss.or.kr/dsaf001/main.do?rcpNo=20260630900284", "공시열람")</f>
        <v/>
      </c>
    </row>
    <row r="13856">
      <c r="A13856" s="2" t="inlineStr">
        <is>
          <t>2026-06-30</t>
        </is>
      </c>
      <c r="B13856" s="3" t="inlineStr">
        <is>
          <t>녹십자엠에스</t>
        </is>
      </c>
      <c r="C13856" s="2" t="inlineStr">
        <is>
          <t>코스닥</t>
        </is>
      </c>
      <c r="D13856" s="2" t="inlineStr">
        <is>
          <t>142280</t>
        </is>
      </c>
      <c r="E13856" s="3" t="inlineStr">
        <is>
          <t>임원ㆍ주요주주특정증권등소유상황보고서</t>
        </is>
      </c>
      <c r="F13856" s="3" t="inlineStr">
        <is>
          <t>김원기</t>
        </is>
      </c>
      <c r="G13856" s="2" t="inlineStr">
        <is>
          <t>20260630000262</t>
        </is>
      </c>
      <c r="H13856" s="8">
        <f>HYPERLINK("https://dart.fss.or.kr/dsaf001/main.do?rcpNo=20260630000262", "공시열람")</f>
        <v/>
      </c>
    </row>
    <row r="13857">
      <c r="A13857" s="2" t="inlineStr">
        <is>
          <t>2026-06-30</t>
        </is>
      </c>
      <c r="B13857" s="3" t="inlineStr">
        <is>
          <t>녹십자엠에스</t>
        </is>
      </c>
      <c r="C13857" s="2" t="inlineStr">
        <is>
          <t>코스닥</t>
        </is>
      </c>
      <c r="D13857" s="2" t="inlineStr">
        <is>
          <t>142280</t>
        </is>
      </c>
      <c r="E13857" s="3" t="inlineStr">
        <is>
          <t>임원ㆍ주요주주특정증권등소유상황보고서</t>
        </is>
      </c>
      <c r="F13857" s="3" t="inlineStr">
        <is>
          <t>김연근</t>
        </is>
      </c>
      <c r="G13857" s="2" t="inlineStr">
        <is>
          <t>20260630000251</t>
        </is>
      </c>
      <c r="H13857" s="8">
        <f>HYPERLINK("https://dart.fss.or.kr/dsaf001/main.do?rcpNo=20260630000251", "공시열람")</f>
        <v/>
      </c>
    </row>
    <row r="13858">
      <c r="A13858" s="2" t="inlineStr">
        <is>
          <t>2026-06-30</t>
        </is>
      </c>
      <c r="B13858" s="3" t="inlineStr">
        <is>
          <t>페이퍼코리아</t>
        </is>
      </c>
      <c r="C13858" s="2" t="inlineStr">
        <is>
          <t>코스피</t>
        </is>
      </c>
      <c r="D13858" s="2" t="inlineStr">
        <is>
          <t>001020</t>
        </is>
      </c>
      <c r="E13858" s="3" t="inlineStr">
        <is>
          <t>사외이사의선임ㆍ해임또는중도퇴임에관한신고</t>
        </is>
      </c>
      <c r="F13858" s="3" t="inlineStr">
        <is>
          <t>페이퍼코리아</t>
        </is>
      </c>
      <c r="G13858" s="2" t="inlineStr">
        <is>
          <t>20260630000245</t>
        </is>
      </c>
      <c r="H13858" s="8">
        <f>HYPERLINK("https://dart.fss.or.kr/dsaf001/main.do?rcpNo=20260630000245", "공시열람")</f>
        <v/>
      </c>
    </row>
    <row r="13859">
      <c r="A13859" s="2" t="inlineStr">
        <is>
          <t>2026-06-30</t>
        </is>
      </c>
      <c r="B13859" s="3" t="inlineStr">
        <is>
          <t>핌스</t>
        </is>
      </c>
      <c r="C13859" s="2" t="inlineStr">
        <is>
          <t>코스닥</t>
        </is>
      </c>
      <c r="D13859" s="2" t="inlineStr">
        <is>
          <t>347770</t>
        </is>
      </c>
      <c r="E13859" s="3" t="inlineStr">
        <is>
          <t xml:space="preserve">자산재평가결과(자율공시)              </t>
        </is>
      </c>
      <c r="F13859" s="3" t="inlineStr">
        <is>
          <t>핌스</t>
        </is>
      </c>
      <c r="G13859" s="2" t="inlineStr">
        <is>
          <t>20260630900277</t>
        </is>
      </c>
      <c r="H13859" s="8">
        <f>HYPERLINK("https://dart.fss.or.kr/dsaf001/main.do?rcpNo=20260630900277", "공시열람")</f>
        <v/>
      </c>
    </row>
    <row r="13860">
      <c r="A13860" s="2" t="inlineStr">
        <is>
          <t>2026-06-30</t>
        </is>
      </c>
      <c r="B13860" s="3" t="inlineStr">
        <is>
          <t>하이브</t>
        </is>
      </c>
      <c r="C13860" s="2" t="inlineStr">
        <is>
          <t>코스피</t>
        </is>
      </c>
      <c r="D13860" s="2" t="inlineStr">
        <is>
          <t>352820</t>
        </is>
      </c>
      <c r="E13860" s="3" t="inlineStr">
        <is>
          <t xml:space="preserve">지속가능경영보고서등관련사항(자율공시)              </t>
        </is>
      </c>
      <c r="F13860" s="3" t="inlineStr">
        <is>
          <t>하이브</t>
        </is>
      </c>
      <c r="G13860" s="2" t="inlineStr">
        <is>
          <t>20260630800274</t>
        </is>
      </c>
      <c r="H13860" s="8">
        <f>HYPERLINK("https://dart.fss.or.kr/dsaf001/main.do?rcpNo=20260630800274", "공시열람")</f>
        <v/>
      </c>
    </row>
    <row r="13861">
      <c r="A13861" s="2" t="inlineStr">
        <is>
          <t>2026-06-30</t>
        </is>
      </c>
      <c r="B13861" s="3" t="inlineStr">
        <is>
          <t>두산퓨얼셀</t>
        </is>
      </c>
      <c r="C13861" s="2" t="inlineStr">
        <is>
          <t>코스피</t>
        </is>
      </c>
      <c r="D13861" s="2" t="inlineStr">
        <is>
          <t>336260</t>
        </is>
      </c>
      <c r="E13861" s="3" t="inlineStr">
        <is>
          <t xml:space="preserve">지속가능경영보고서등관련사항(자율공시)              </t>
        </is>
      </c>
      <c r="F13861" s="3" t="inlineStr">
        <is>
          <t>두산퓨얼셀</t>
        </is>
      </c>
      <c r="G13861" s="2" t="inlineStr">
        <is>
          <t>20260630800273</t>
        </is>
      </c>
      <c r="H13861" s="8">
        <f>HYPERLINK("https://dart.fss.or.kr/dsaf001/main.do?rcpNo=20260630800273", "공시열람")</f>
        <v/>
      </c>
    </row>
    <row r="13862">
      <c r="A13862" s="2" t="inlineStr">
        <is>
          <t>2026-06-30</t>
        </is>
      </c>
      <c r="B13862" s="3" t="inlineStr">
        <is>
          <t>삼성생명</t>
        </is>
      </c>
      <c r="C13862" s="2" t="inlineStr">
        <is>
          <t>코스피</t>
        </is>
      </c>
      <c r="D13862" s="2" t="inlineStr">
        <is>
          <t>032830</t>
        </is>
      </c>
      <c r="E13862" s="3" t="inlineStr">
        <is>
          <t>특수관계인에대한증여</t>
        </is>
      </c>
      <c r="F13862" s="3" t="inlineStr">
        <is>
          <t>삼성생명</t>
        </is>
      </c>
      <c r="G13862" s="2" t="inlineStr">
        <is>
          <t>20260630000224</t>
        </is>
      </c>
      <c r="H13862" s="8">
        <f>HYPERLINK("https://dart.fss.or.kr/dsaf001/main.do?rcpNo=20260630000224", "공시열람")</f>
        <v/>
      </c>
    </row>
    <row r="13863">
      <c r="A13863" s="2" t="inlineStr">
        <is>
          <t>2026-06-30</t>
        </is>
      </c>
      <c r="B13863" s="3" t="inlineStr">
        <is>
          <t>NH투자증권</t>
        </is>
      </c>
      <c r="C13863" s="2" t="inlineStr">
        <is>
          <t>코스피</t>
        </is>
      </c>
      <c r="D13863" s="2" t="inlineStr">
        <is>
          <t>005940</t>
        </is>
      </c>
      <c r="E13863" s="3" t="inlineStr">
        <is>
          <t>사외이사의선임ㆍ해임또는중도퇴임에관한신고</t>
        </is>
      </c>
      <c r="F13863" s="3" t="inlineStr">
        <is>
          <t>NH투자증권</t>
        </is>
      </c>
      <c r="G13863" s="2" t="inlineStr">
        <is>
          <t>20260630000220</t>
        </is>
      </c>
      <c r="H13863" s="8">
        <f>HYPERLINK("https://dart.fss.or.kr/dsaf001/main.do?rcpNo=20260630000220", "공시열람")</f>
        <v/>
      </c>
    </row>
    <row r="13864">
      <c r="A13864" s="2" t="inlineStr">
        <is>
          <t>2026-06-30</t>
        </is>
      </c>
      <c r="B13864" s="3" t="inlineStr">
        <is>
          <t>대한제당</t>
        </is>
      </c>
      <c r="C13864" s="2" t="inlineStr">
        <is>
          <t>코스피</t>
        </is>
      </c>
      <c r="D13864" s="2" t="inlineStr">
        <is>
          <t>001790</t>
        </is>
      </c>
      <c r="E13864" s="3" t="inlineStr">
        <is>
          <t xml:space="preserve">[기재정정]벌금등의부과              </t>
        </is>
      </c>
      <c r="F13864" s="3" t="inlineStr">
        <is>
          <t>대한제당</t>
        </is>
      </c>
      <c r="G13864" s="2" t="inlineStr">
        <is>
          <t>20260630800260</t>
        </is>
      </c>
      <c r="H13864" s="8">
        <f>HYPERLINK("https://dart.fss.or.kr/dsaf001/main.do?rcpNo=20260630800260", "공시열람")</f>
        <v/>
      </c>
    </row>
    <row r="13865">
      <c r="A13865" s="2" t="inlineStr">
        <is>
          <t>2026-06-30</t>
        </is>
      </c>
      <c r="B13865" s="3" t="inlineStr">
        <is>
          <t>유진증권</t>
        </is>
      </c>
      <c r="C13865" s="2" t="inlineStr">
        <is>
          <t>코스피</t>
        </is>
      </c>
      <c r="D13865" s="2" t="inlineStr">
        <is>
          <t>001200</t>
        </is>
      </c>
      <c r="E13865" s="3" t="inlineStr">
        <is>
          <t>투자설명서(일괄신고)</t>
        </is>
      </c>
      <c r="F13865" s="3" t="inlineStr">
        <is>
          <t>유진증권</t>
        </is>
      </c>
      <c r="G13865" s="2" t="inlineStr">
        <is>
          <t>20260630000212</t>
        </is>
      </c>
      <c r="H13865" s="8">
        <f>HYPERLINK("https://dart.fss.or.kr/dsaf001/main.do?rcpNo=20260630000212", "공시열람")</f>
        <v/>
      </c>
    </row>
    <row r="13866">
      <c r="A13866" s="2" t="inlineStr">
        <is>
          <t>2026-06-30</t>
        </is>
      </c>
      <c r="B13866" s="3" t="inlineStr">
        <is>
          <t>차이커뮤니케이션</t>
        </is>
      </c>
      <c r="C13866" s="2" t="inlineStr">
        <is>
          <t>코스닥</t>
        </is>
      </c>
      <c r="D13866" s="2" t="inlineStr">
        <is>
          <t>351870</t>
        </is>
      </c>
      <c r="E13866" s="3" t="inlineStr">
        <is>
          <t>[기재정정]주식매수선택권부여에관한신고</t>
        </is>
      </c>
      <c r="F13866" s="3" t="inlineStr">
        <is>
          <t>차이커뮤니케이션</t>
        </is>
      </c>
      <c r="G13866" s="2" t="inlineStr">
        <is>
          <t>20260630000204</t>
        </is>
      </c>
      <c r="H13866" s="8">
        <f>HYPERLINK("https://dart.fss.or.kr/dsaf001/main.do?rcpNo=20260630000204", "공시열람")</f>
        <v/>
      </c>
    </row>
    <row r="13867">
      <c r="A13867" s="2" t="inlineStr">
        <is>
          <t>2026-06-30</t>
        </is>
      </c>
      <c r="B13867" s="3" t="inlineStr">
        <is>
          <t>한세예스24홀딩스</t>
        </is>
      </c>
      <c r="C13867" s="2" t="inlineStr">
        <is>
          <t>코스피</t>
        </is>
      </c>
      <c r="D13867" s="2" t="inlineStr">
        <is>
          <t>016450</t>
        </is>
      </c>
      <c r="E13867" s="3" t="inlineStr">
        <is>
          <t xml:space="preserve">지속가능경영보고서등관련사항(자율공시)              </t>
        </is>
      </c>
      <c r="F13867" s="3" t="inlineStr">
        <is>
          <t>한세예스24홀딩스</t>
        </is>
      </c>
      <c r="G13867" s="2" t="inlineStr">
        <is>
          <t>20260630800250</t>
        </is>
      </c>
      <c r="H13867" s="8">
        <f>HYPERLINK("https://dart.fss.or.kr/dsaf001/main.do?rcpNo=20260630800250", "공시열람")</f>
        <v/>
      </c>
    </row>
    <row r="13868">
      <c r="A13868" s="2" t="inlineStr">
        <is>
          <t>2026-06-30</t>
        </is>
      </c>
      <c r="B13868" s="3" t="inlineStr">
        <is>
          <t>한샘</t>
        </is>
      </c>
      <c r="C13868" s="2" t="inlineStr">
        <is>
          <t>코스피</t>
        </is>
      </c>
      <c r="D13868" s="2" t="inlineStr">
        <is>
          <t>009240</t>
        </is>
      </c>
      <c r="E13868" s="3" t="inlineStr">
        <is>
          <t xml:space="preserve">지속가능경영보고서등관련사항(자율공시)              </t>
        </is>
      </c>
      <c r="F13868" s="3" t="inlineStr">
        <is>
          <t>한샘</t>
        </is>
      </c>
      <c r="G13868" s="2" t="inlineStr">
        <is>
          <t>20260630800249</t>
        </is>
      </c>
      <c r="H13868" s="8">
        <f>HYPERLINK("https://dart.fss.or.kr/dsaf001/main.do?rcpNo=20260630800249", "공시열람")</f>
        <v/>
      </c>
    </row>
    <row r="13869">
      <c r="A13869" s="2" t="inlineStr">
        <is>
          <t>2026-06-30</t>
        </is>
      </c>
      <c r="B13869" s="3" t="inlineStr">
        <is>
          <t>세나테크놀로지</t>
        </is>
      </c>
      <c r="C13869" s="2" t="inlineStr">
        <is>
          <t>코스닥</t>
        </is>
      </c>
      <c r="D13869" s="2" t="inlineStr">
        <is>
          <t>061090</t>
        </is>
      </c>
      <c r="E13869" s="3" t="inlineStr">
        <is>
          <t xml:space="preserve">결산실적공시예고              </t>
        </is>
      </c>
      <c r="F13869" s="3" t="inlineStr">
        <is>
          <t>세나테크놀로지</t>
        </is>
      </c>
      <c r="G13869" s="2" t="inlineStr">
        <is>
          <t>20260630900247</t>
        </is>
      </c>
      <c r="H13869" s="8">
        <f>HYPERLINK("https://dart.fss.or.kr/dsaf001/main.do?rcpNo=20260630900247", "공시열람")</f>
        <v/>
      </c>
    </row>
    <row r="13870">
      <c r="A13870" s="2" t="inlineStr">
        <is>
          <t>2026-06-30</t>
        </is>
      </c>
      <c r="B13870" s="3" t="inlineStr">
        <is>
          <t>덕산테코피아</t>
        </is>
      </c>
      <c r="C13870" s="2" t="inlineStr">
        <is>
          <t>코스닥</t>
        </is>
      </c>
      <c r="D13870" s="2" t="inlineStr">
        <is>
          <t>317330</t>
        </is>
      </c>
      <c r="E13870" s="3" t="inlineStr">
        <is>
          <t>임원ㆍ주요주주특정증권등소유상황보고서</t>
        </is>
      </c>
      <c r="F13870" s="3" t="inlineStr">
        <is>
          <t>이수완</t>
        </is>
      </c>
      <c r="G13870" s="2" t="inlineStr">
        <is>
          <t>20260630000190</t>
        </is>
      </c>
      <c r="H13870" s="8">
        <f>HYPERLINK("https://dart.fss.or.kr/dsaf001/main.do?rcpNo=20260630000190", "공시열람")</f>
        <v/>
      </c>
    </row>
    <row r="13871">
      <c r="A13871" s="2" t="inlineStr">
        <is>
          <t>2026-06-30</t>
        </is>
      </c>
      <c r="B13871" s="3" t="inlineStr">
        <is>
          <t>코웨이</t>
        </is>
      </c>
      <c r="C13871" s="2" t="inlineStr">
        <is>
          <t>코스피</t>
        </is>
      </c>
      <c r="D13871" s="2" t="inlineStr">
        <is>
          <t>021240</t>
        </is>
      </c>
      <c r="E13871" s="3" t="inlineStr">
        <is>
          <t xml:space="preserve">지속가능경영보고서등관련사항(자율공시)              </t>
        </is>
      </c>
      <c r="F13871" s="3" t="inlineStr">
        <is>
          <t>코웨이</t>
        </is>
      </c>
      <c r="G13871" s="2" t="inlineStr">
        <is>
          <t>20260630800241</t>
        </is>
      </c>
      <c r="H13871" s="8">
        <f>HYPERLINK("https://dart.fss.or.kr/dsaf001/main.do?rcpNo=20260630800241", "공시열람")</f>
        <v/>
      </c>
    </row>
    <row r="13872">
      <c r="A13872" s="2" t="inlineStr">
        <is>
          <t>2026-06-30</t>
        </is>
      </c>
      <c r="B13872" s="3" t="inlineStr">
        <is>
          <t>NH투자증권</t>
        </is>
      </c>
      <c r="C13872" s="2" t="inlineStr">
        <is>
          <t>코스피</t>
        </is>
      </c>
      <c r="D13872" s="2" t="inlineStr">
        <is>
          <t>005940</t>
        </is>
      </c>
      <c r="E13872" s="3" t="inlineStr">
        <is>
          <t xml:space="preserve">대표이사(대표집행임원)변경(안내공시)              </t>
        </is>
      </c>
      <c r="F13872" s="3" t="inlineStr">
        <is>
          <t>NH투자증권</t>
        </is>
      </c>
      <c r="G13872" s="2" t="inlineStr">
        <is>
          <t>20260630800235</t>
        </is>
      </c>
      <c r="H13872" s="8">
        <f>HYPERLINK("https://dart.fss.or.kr/dsaf001/main.do?rcpNo=20260630800235", "공시열람")</f>
        <v/>
      </c>
    </row>
    <row r="13873">
      <c r="A13873" s="2" t="inlineStr">
        <is>
          <t>2026-06-30</t>
        </is>
      </c>
      <c r="B13873" s="3" t="inlineStr">
        <is>
          <t>신흥</t>
        </is>
      </c>
      <c r="C13873" s="2" t="inlineStr">
        <is>
          <t>코스피</t>
        </is>
      </c>
      <c r="D13873" s="2" t="inlineStr">
        <is>
          <t>004080</t>
        </is>
      </c>
      <c r="E13873" s="3" t="inlineStr">
        <is>
          <t>임원ㆍ주요주주특정증권등소유상황보고서</t>
        </is>
      </c>
      <c r="F13873" s="3" t="inlineStr">
        <is>
          <t>이용익</t>
        </is>
      </c>
      <c r="G13873" s="2" t="inlineStr">
        <is>
          <t>20260630000179</t>
        </is>
      </c>
      <c r="H13873" s="8">
        <f>HYPERLINK("https://dart.fss.or.kr/dsaf001/main.do?rcpNo=20260630000179", "공시열람")</f>
        <v/>
      </c>
    </row>
    <row r="13874">
      <c r="A13874" s="2" t="inlineStr">
        <is>
          <t>2026-06-30</t>
        </is>
      </c>
      <c r="B13874" s="3" t="inlineStr">
        <is>
          <t>리가켐바이오</t>
        </is>
      </c>
      <c r="C13874" s="2" t="inlineStr">
        <is>
          <t>코스닥</t>
        </is>
      </c>
      <c r="D13874" s="2" t="inlineStr">
        <is>
          <t>141080</t>
        </is>
      </c>
      <c r="E13874" s="3" t="inlineStr">
        <is>
          <t xml:space="preserve">기업설명회(IR)개최              </t>
        </is>
      </c>
      <c r="F13874" s="3" t="inlineStr">
        <is>
          <t>리가켐바이오</t>
        </is>
      </c>
      <c r="G13874" s="2" t="inlineStr">
        <is>
          <t>20260630900227</t>
        </is>
      </c>
      <c r="H13874" s="8">
        <f>HYPERLINK("https://dart.fss.or.kr/dsaf001/main.do?rcpNo=20260630900227", "공시열람")</f>
        <v/>
      </c>
    </row>
    <row r="13875">
      <c r="A13875" s="2" t="inlineStr">
        <is>
          <t>2026-06-30</t>
        </is>
      </c>
      <c r="B13875" s="3" t="inlineStr">
        <is>
          <t>유진증권</t>
        </is>
      </c>
      <c r="C13875" s="2" t="inlineStr">
        <is>
          <t>코스피</t>
        </is>
      </c>
      <c r="D13875" s="2" t="inlineStr">
        <is>
          <t>001200</t>
        </is>
      </c>
      <c r="E13875" s="3" t="inlineStr">
        <is>
          <t>일괄신고추가서류(파생결합사채-주가연계파생결합사채)</t>
        </is>
      </c>
      <c r="F13875" s="3" t="inlineStr">
        <is>
          <t>유진증권</t>
        </is>
      </c>
      <c r="G13875" s="2" t="inlineStr">
        <is>
          <t>20260630000163</t>
        </is>
      </c>
      <c r="H13875" s="8">
        <f>HYPERLINK("https://dart.fss.or.kr/dsaf001/main.do?rcpNo=20260630000163", "공시열람")</f>
        <v/>
      </c>
    </row>
    <row r="13876">
      <c r="A13876" s="2" t="inlineStr">
        <is>
          <t>2026-06-30</t>
        </is>
      </c>
      <c r="B13876" s="3" t="inlineStr">
        <is>
          <t>퓨쳐켐</t>
        </is>
      </c>
      <c r="C13876" s="2" t="inlineStr">
        <is>
          <t>코스닥</t>
        </is>
      </c>
      <c r="D13876" s="2" t="inlineStr">
        <is>
          <t>220100</t>
        </is>
      </c>
      <c r="E13876" s="3" t="inlineStr">
        <is>
          <t>투자설명서</t>
        </is>
      </c>
      <c r="F13876" s="3" t="inlineStr">
        <is>
          <t>퓨쳐켐</t>
        </is>
      </c>
      <c r="G13876" s="2" t="inlineStr">
        <is>
          <t>20260630000160</t>
        </is>
      </c>
      <c r="H13876" s="8">
        <f>HYPERLINK("https://dart.fss.or.kr/dsaf001/main.do?rcpNo=20260630000160", "공시열람")</f>
        <v/>
      </c>
    </row>
    <row r="13877">
      <c r="A13877" s="2" t="inlineStr">
        <is>
          <t>2026-06-30</t>
        </is>
      </c>
      <c r="B13877" s="3" t="inlineStr">
        <is>
          <t>지아이텍</t>
        </is>
      </c>
      <c r="C13877" s="2" t="inlineStr">
        <is>
          <t>코스닥</t>
        </is>
      </c>
      <c r="D13877" s="2" t="inlineStr">
        <is>
          <t>382480</t>
        </is>
      </c>
      <c r="E13877" s="3" t="inlineStr">
        <is>
          <t>임원ㆍ주요주주특정증권등소유상황보고서</t>
        </is>
      </c>
      <c r="F13877" s="3" t="inlineStr">
        <is>
          <t>이상권</t>
        </is>
      </c>
      <c r="G13877" s="2" t="inlineStr">
        <is>
          <t>20260630000158</t>
        </is>
      </c>
      <c r="H13877" s="8">
        <f>HYPERLINK("https://dart.fss.or.kr/dsaf001/main.do?rcpNo=20260630000158", "공시열람")</f>
        <v/>
      </c>
    </row>
    <row r="13878">
      <c r="A13878" s="2" t="inlineStr">
        <is>
          <t>2026-06-30</t>
        </is>
      </c>
      <c r="B13878" s="3" t="inlineStr">
        <is>
          <t>한세실업</t>
        </is>
      </c>
      <c r="C13878" s="2" t="inlineStr">
        <is>
          <t>코스피</t>
        </is>
      </c>
      <c r="D13878" s="2" t="inlineStr">
        <is>
          <t>105630</t>
        </is>
      </c>
      <c r="E13878" s="3" t="inlineStr">
        <is>
          <t xml:space="preserve">지속가능경영보고서등관련사항(자율공시)              </t>
        </is>
      </c>
      <c r="F13878" s="3" t="inlineStr">
        <is>
          <t>한세실업</t>
        </is>
      </c>
      <c r="G13878" s="2" t="inlineStr">
        <is>
          <t>20260630800214</t>
        </is>
      </c>
      <c r="H13878" s="8">
        <f>HYPERLINK("https://dart.fss.or.kr/dsaf001/main.do?rcpNo=20260630800214", "공시열람")</f>
        <v/>
      </c>
    </row>
    <row r="13879">
      <c r="A13879" s="2" t="inlineStr">
        <is>
          <t>2026-06-30</t>
        </is>
      </c>
      <c r="B13879" s="3" t="inlineStr">
        <is>
          <t>지역난방공사</t>
        </is>
      </c>
      <c r="C13879" s="2" t="inlineStr">
        <is>
          <t>코스피</t>
        </is>
      </c>
      <c r="D13879" s="2" t="inlineStr">
        <is>
          <t>071320</t>
        </is>
      </c>
      <c r="E13879" s="3" t="inlineStr">
        <is>
          <t>일괄신고서</t>
        </is>
      </c>
      <c r="F13879" s="3" t="inlineStr">
        <is>
          <t>지역난방공사</t>
        </is>
      </c>
      <c r="G13879" s="2" t="inlineStr">
        <is>
          <t>20260630000152</t>
        </is>
      </c>
      <c r="H13879" s="8">
        <f>HYPERLINK("https://dart.fss.or.kr/dsaf001/main.do?rcpNo=20260630000152", "공시열람")</f>
        <v/>
      </c>
    </row>
    <row r="13880">
      <c r="A13880" s="2" t="inlineStr">
        <is>
          <t>2026-06-30</t>
        </is>
      </c>
      <c r="B13880" s="3" t="inlineStr">
        <is>
          <t>한화비전</t>
        </is>
      </c>
      <c r="C13880" s="2" t="inlineStr">
        <is>
          <t>코스피</t>
        </is>
      </c>
      <c r="D13880" s="2" t="inlineStr">
        <is>
          <t>489790</t>
        </is>
      </c>
      <c r="E13880" s="3" t="inlineStr">
        <is>
          <t xml:space="preserve">지속가능경영보고서등관련사항(자율공시)              </t>
        </is>
      </c>
      <c r="F13880" s="3" t="inlineStr">
        <is>
          <t>한화비전</t>
        </is>
      </c>
      <c r="G13880" s="2" t="inlineStr">
        <is>
          <t>20260630800211</t>
        </is>
      </c>
      <c r="H13880" s="8">
        <f>HYPERLINK("https://dart.fss.or.kr/dsaf001/main.do?rcpNo=20260630800211", "공시열람")</f>
        <v/>
      </c>
    </row>
    <row r="13881">
      <c r="A13881" s="2" t="inlineStr">
        <is>
          <t>2026-06-30</t>
        </is>
      </c>
      <c r="B13881" s="3" t="inlineStr">
        <is>
          <t>농심</t>
        </is>
      </c>
      <c r="C13881" s="2" t="inlineStr">
        <is>
          <t>코스피</t>
        </is>
      </c>
      <c r="D13881" s="2" t="inlineStr">
        <is>
          <t>004370</t>
        </is>
      </c>
      <c r="E13881" s="3" t="inlineStr">
        <is>
          <t>동일인등출자계열회사와의상품ㆍ용역거래</t>
        </is>
      </c>
      <c r="F13881" s="3" t="inlineStr">
        <is>
          <t>농심</t>
        </is>
      </c>
      <c r="G13881" s="2" t="inlineStr">
        <is>
          <t>20260630000142</t>
        </is>
      </c>
      <c r="H13881" s="8">
        <f>HYPERLINK("https://dart.fss.or.kr/dsaf001/main.do?rcpNo=20260630000142", "공시열람")</f>
        <v/>
      </c>
    </row>
    <row r="13882">
      <c r="A13882" s="2" t="inlineStr">
        <is>
          <t>2026-06-30</t>
        </is>
      </c>
      <c r="B13882" s="3" t="inlineStr">
        <is>
          <t>엘디티</t>
        </is>
      </c>
      <c r="C13882" s="2" t="inlineStr">
        <is>
          <t>코스닥</t>
        </is>
      </c>
      <c r="D13882" s="2" t="inlineStr">
        <is>
          <t>096870</t>
        </is>
      </c>
      <c r="E13882" s="3" t="inlineStr">
        <is>
          <t>임원ㆍ주요주주특정증권등소유상황보고서</t>
        </is>
      </c>
      <c r="F13882" s="3" t="inlineStr">
        <is>
          <t>장경진</t>
        </is>
      </c>
      <c r="G13882" s="2" t="inlineStr">
        <is>
          <t>20260630000136</t>
        </is>
      </c>
      <c r="H13882" s="8">
        <f>HYPERLINK("https://dart.fss.or.kr/dsaf001/main.do?rcpNo=20260630000136", "공시열람")</f>
        <v/>
      </c>
    </row>
    <row r="13883">
      <c r="A13883" s="2" t="inlineStr">
        <is>
          <t>2026-06-30</t>
        </is>
      </c>
      <c r="B13883" s="3" t="inlineStr">
        <is>
          <t>농심</t>
        </is>
      </c>
      <c r="C13883" s="2" t="inlineStr">
        <is>
          <t>코스피</t>
        </is>
      </c>
      <c r="D13883" s="2" t="inlineStr">
        <is>
          <t>004370</t>
        </is>
      </c>
      <c r="E13883" s="3" t="inlineStr">
        <is>
          <t>동일인등출자계열회사와의상품ㆍ용역거래변경</t>
        </is>
      </c>
      <c r="F13883" s="3" t="inlineStr">
        <is>
          <t>농심</t>
        </is>
      </c>
      <c r="G13883" s="2" t="inlineStr">
        <is>
          <t>20260630000134</t>
        </is>
      </c>
      <c r="H13883" s="8">
        <f>HYPERLINK("https://dart.fss.or.kr/dsaf001/main.do?rcpNo=20260630000134", "공시열람")</f>
        <v/>
      </c>
    </row>
    <row r="13884">
      <c r="A13884" s="2" t="inlineStr">
        <is>
          <t>2026-06-30</t>
        </is>
      </c>
      <c r="B13884" s="3" t="inlineStr">
        <is>
          <t>프레스티지바이오로직스</t>
        </is>
      </c>
      <c r="C13884" s="2" t="inlineStr">
        <is>
          <t>코스닥</t>
        </is>
      </c>
      <c r="D13884" s="2" t="inlineStr">
        <is>
          <t>334970</t>
        </is>
      </c>
      <c r="E13884" s="3" t="inlineStr">
        <is>
          <t>임원ㆍ주요주주특정증권등소유상황보고서</t>
        </is>
      </c>
      <c r="F13884" s="3" t="inlineStr">
        <is>
          <t>김 마이클 진우</t>
        </is>
      </c>
      <c r="G13884" s="2" t="inlineStr">
        <is>
          <t>20260630000128</t>
        </is>
      </c>
      <c r="H13884" s="8">
        <f>HYPERLINK("https://dart.fss.or.kr/dsaf001/main.do?rcpNo=20260630000128", "공시열람")</f>
        <v/>
      </c>
    </row>
    <row r="13885">
      <c r="A13885" s="2" t="inlineStr">
        <is>
          <t>2026-06-30</t>
        </is>
      </c>
      <c r="B13885" s="3" t="inlineStr">
        <is>
          <t>케이피항공산업</t>
        </is>
      </c>
      <c r="C13885" s="2" t="inlineStr">
        <is>
          <t>코스닥</t>
        </is>
      </c>
      <c r="D13885" s="2" t="inlineStr">
        <is>
          <t>288180</t>
        </is>
      </c>
      <c r="E13885" s="3" t="inlineStr">
        <is>
          <t>임원ㆍ주요주주특정증권등소유상황보고서</t>
        </is>
      </c>
      <c r="F13885" s="3" t="inlineStr">
        <is>
          <t>윤성태</t>
        </is>
      </c>
      <c r="G13885" s="2" t="inlineStr">
        <is>
          <t>20260630000126</t>
        </is>
      </c>
      <c r="H13885" s="8">
        <f>HYPERLINK("https://dart.fss.or.kr/dsaf001/main.do?rcpNo=20260630000126", "공시열람")</f>
        <v/>
      </c>
    </row>
    <row r="13886">
      <c r="A13886" s="2" t="inlineStr">
        <is>
          <t>2026-06-30</t>
        </is>
      </c>
      <c r="B13886" s="3" t="inlineStr">
        <is>
          <t>한화생명</t>
        </is>
      </c>
      <c r="C13886" s="2" t="inlineStr">
        <is>
          <t>코스피</t>
        </is>
      </c>
      <c r="D13886" s="2" t="inlineStr">
        <is>
          <t>088350</t>
        </is>
      </c>
      <c r="E13886" s="3" t="inlineStr">
        <is>
          <t xml:space="preserve">조회공시요구(풍문또는보도)              </t>
        </is>
      </c>
      <c r="F13886" s="3" t="inlineStr">
        <is>
          <t>유가증권시장본부</t>
        </is>
      </c>
      <c r="G13886" s="2" t="inlineStr">
        <is>
          <t>20260630800195</t>
        </is>
      </c>
      <c r="H13886" s="8">
        <f>HYPERLINK("https://dart.fss.or.kr/dsaf001/main.do?rcpNo=20260630800195", "공시열람")</f>
        <v/>
      </c>
    </row>
    <row r="13887">
      <c r="A13887" s="2" t="inlineStr">
        <is>
          <t>2026-06-30</t>
        </is>
      </c>
      <c r="B13887" s="3" t="inlineStr">
        <is>
          <t>한화에어로스페이스</t>
        </is>
      </c>
      <c r="C13887" s="2" t="inlineStr">
        <is>
          <t>코스피</t>
        </is>
      </c>
      <c r="D13887" s="2" t="inlineStr">
        <is>
          <t>012450</t>
        </is>
      </c>
      <c r="E13887" s="3" t="inlineStr">
        <is>
          <t xml:space="preserve">지속가능경영보고서등관련사항(자율공시)              </t>
        </is>
      </c>
      <c r="F13887" s="3" t="inlineStr">
        <is>
          <t>한화에어로스페이스</t>
        </is>
      </c>
      <c r="G13887" s="2" t="inlineStr">
        <is>
          <t>20260630800196</t>
        </is>
      </c>
      <c r="H13887" s="8">
        <f>HYPERLINK("https://dart.fss.or.kr/dsaf001/main.do?rcpNo=20260630800196", "공시열람")</f>
        <v/>
      </c>
    </row>
    <row r="13888">
      <c r="A13888" s="2" t="inlineStr">
        <is>
          <t>2026-06-30</t>
        </is>
      </c>
      <c r="B13888" s="3" t="inlineStr">
        <is>
          <t>NICE평가정보</t>
        </is>
      </c>
      <c r="C13888" s="2" t="inlineStr">
        <is>
          <t>코스피</t>
        </is>
      </c>
      <c r="D13888" s="2" t="inlineStr">
        <is>
          <t>030190</t>
        </is>
      </c>
      <c r="E13888" s="3" t="inlineStr">
        <is>
          <t xml:space="preserve">지속가능경영보고서등관련사항(자율공시)              </t>
        </is>
      </c>
      <c r="F13888" s="3" t="inlineStr">
        <is>
          <t>NICE평가정보</t>
        </is>
      </c>
      <c r="G13888" s="2" t="inlineStr">
        <is>
          <t>20260630800194</t>
        </is>
      </c>
      <c r="H13888" s="8">
        <f>HYPERLINK("https://dart.fss.or.kr/dsaf001/main.do?rcpNo=20260630800194", "공시열람")</f>
        <v/>
      </c>
    </row>
    <row r="13889">
      <c r="A13889" s="2" t="inlineStr">
        <is>
          <t>2026-06-30</t>
        </is>
      </c>
      <c r="B13889" s="3" t="inlineStr">
        <is>
          <t>한화투자증권</t>
        </is>
      </c>
      <c r="C13889" s="2" t="inlineStr">
        <is>
          <t>코스피</t>
        </is>
      </c>
      <c r="D13889" s="2" t="inlineStr">
        <is>
          <t>003530</t>
        </is>
      </c>
      <c r="E13889" s="3" t="inlineStr">
        <is>
          <t xml:space="preserve">지속가능경영보고서등관련사항(자율공시)              </t>
        </is>
      </c>
      <c r="F13889" s="3" t="inlineStr">
        <is>
          <t>한화투자증권</t>
        </is>
      </c>
      <c r="G13889" s="2" t="inlineStr">
        <is>
          <t>20260630800191</t>
        </is>
      </c>
      <c r="H13889" s="8">
        <f>HYPERLINK("https://dart.fss.or.kr/dsaf001/main.do?rcpNo=20260630800191", "공시열람")</f>
        <v/>
      </c>
    </row>
    <row r="13890">
      <c r="A13890" s="2" t="inlineStr">
        <is>
          <t>2026-06-30</t>
        </is>
      </c>
      <c r="B13890" s="3" t="inlineStr">
        <is>
          <t>제놀루션</t>
        </is>
      </c>
      <c r="C13890" s="2" t="inlineStr">
        <is>
          <t>코스닥</t>
        </is>
      </c>
      <c r="D13890" s="2" t="inlineStr">
        <is>
          <t>225220</t>
        </is>
      </c>
      <c r="E13890" s="3" t="inlineStr">
        <is>
          <t>임원ㆍ주요주주특정증권등소유상황보고서</t>
        </is>
      </c>
      <c r="F13890" s="3" t="inlineStr">
        <is>
          <t>김민이</t>
        </is>
      </c>
      <c r="G13890" s="2" t="inlineStr">
        <is>
          <t>20260630000113</t>
        </is>
      </c>
      <c r="H13890" s="8">
        <f>HYPERLINK("https://dart.fss.or.kr/dsaf001/main.do?rcpNo=20260630000113", "공시열람")</f>
        <v/>
      </c>
    </row>
    <row r="13891">
      <c r="A13891" s="2" t="inlineStr">
        <is>
          <t>2026-06-30</t>
        </is>
      </c>
      <c r="B13891" s="3" t="inlineStr">
        <is>
          <t>iM금융지주</t>
        </is>
      </c>
      <c r="C13891" s="2" t="inlineStr">
        <is>
          <t>코스피</t>
        </is>
      </c>
      <c r="D13891" s="2" t="inlineStr">
        <is>
          <t>139130</t>
        </is>
      </c>
      <c r="E13891" s="3" t="inlineStr">
        <is>
          <t>임원ㆍ주요주주특정증권등소유상황보고서</t>
        </is>
      </c>
      <c r="F13891" s="3" t="inlineStr">
        <is>
          <t>박은숙</t>
        </is>
      </c>
      <c r="G13891" s="2" t="inlineStr">
        <is>
          <t>20260630000109</t>
        </is>
      </c>
      <c r="H13891" s="8">
        <f>HYPERLINK("https://dart.fss.or.kr/dsaf001/main.do?rcpNo=20260630000109", "공시열람")</f>
        <v/>
      </c>
    </row>
    <row r="13892">
      <c r="A13892" s="2" t="inlineStr">
        <is>
          <t>2026-06-30</t>
        </is>
      </c>
      <c r="B13892" s="3" t="inlineStr">
        <is>
          <t>제놀루션</t>
        </is>
      </c>
      <c r="C13892" s="2" t="inlineStr">
        <is>
          <t>코스닥</t>
        </is>
      </c>
      <c r="D13892" s="2" t="inlineStr">
        <is>
          <t>225220</t>
        </is>
      </c>
      <c r="E13892" s="3" t="inlineStr">
        <is>
          <t>임원ㆍ주요주주특정증권등소유상황보고서</t>
        </is>
      </c>
      <c r="F13892" s="3" t="inlineStr">
        <is>
          <t>김우진</t>
        </is>
      </c>
      <c r="G13892" s="2" t="inlineStr">
        <is>
          <t>20260630000108</t>
        </is>
      </c>
      <c r="H13892" s="8">
        <f>HYPERLINK("https://dart.fss.or.kr/dsaf001/main.do?rcpNo=20260630000108", "공시열람")</f>
        <v/>
      </c>
    </row>
    <row r="13893">
      <c r="A13893" s="2" t="inlineStr">
        <is>
          <t>2026-06-30</t>
        </is>
      </c>
      <c r="B13893" s="3" t="inlineStr">
        <is>
          <t>알지노믹스</t>
        </is>
      </c>
      <c r="C13893" s="2" t="inlineStr">
        <is>
          <t>코스닥</t>
        </is>
      </c>
      <c r="D13893" s="2" t="inlineStr">
        <is>
          <t>476830</t>
        </is>
      </c>
      <c r="E13893" s="3" t="inlineStr">
        <is>
          <t xml:space="preserve">기업설명회(IR)개최              </t>
        </is>
      </c>
      <c r="F13893" s="3" t="inlineStr">
        <is>
          <t>알지노믹스</t>
        </is>
      </c>
      <c r="G13893" s="2" t="inlineStr">
        <is>
          <t>20260630900163</t>
        </is>
      </c>
      <c r="H13893" s="8">
        <f>HYPERLINK("https://dart.fss.or.kr/dsaf001/main.do?rcpNo=20260630900163", "공시열람")</f>
        <v/>
      </c>
    </row>
    <row r="13894">
      <c r="A13894" s="2" t="inlineStr">
        <is>
          <t>2026-06-30</t>
        </is>
      </c>
      <c r="B13894" s="3" t="inlineStr">
        <is>
          <t>코오롱인더</t>
        </is>
      </c>
      <c r="C13894" s="2" t="inlineStr">
        <is>
          <t>코스피</t>
        </is>
      </c>
      <c r="D13894" s="2" t="inlineStr">
        <is>
          <t>120110</t>
        </is>
      </c>
      <c r="E13894" s="3" t="inlineStr">
        <is>
          <t xml:space="preserve">지속가능경영보고서등관련사항(자율공시)              </t>
        </is>
      </c>
      <c r="F13894" s="3" t="inlineStr">
        <is>
          <t>코오롱인더</t>
        </is>
      </c>
      <c r="G13894" s="2" t="inlineStr">
        <is>
          <t>20260630800182</t>
        </is>
      </c>
      <c r="H13894" s="8">
        <f>HYPERLINK("https://dart.fss.or.kr/dsaf001/main.do?rcpNo=20260630800182", "공시열람")</f>
        <v/>
      </c>
    </row>
    <row r="13895">
      <c r="A13895" s="2" t="inlineStr">
        <is>
          <t>2026-06-30</t>
        </is>
      </c>
      <c r="B13895" s="3" t="inlineStr">
        <is>
          <t>유한양행</t>
        </is>
      </c>
      <c r="C13895" s="2" t="inlineStr">
        <is>
          <t>코스피</t>
        </is>
      </c>
      <c r="D13895" s="2" t="inlineStr">
        <is>
          <t>000100</t>
        </is>
      </c>
      <c r="E13895" s="3" t="inlineStr">
        <is>
          <t>임원ㆍ주요주주특정증권등소유상황보고서</t>
        </is>
      </c>
      <c r="F13895" s="3" t="inlineStr">
        <is>
          <t>이학주</t>
        </is>
      </c>
      <c r="G13895" s="2" t="inlineStr">
        <is>
          <t>20260630000106</t>
        </is>
      </c>
      <c r="H13895" s="8">
        <f>HYPERLINK("https://dart.fss.or.kr/dsaf001/main.do?rcpNo=20260630000106", "공시열람")</f>
        <v/>
      </c>
    </row>
    <row r="13896">
      <c r="A13896" s="2" t="inlineStr">
        <is>
          <t>2026-06-30</t>
        </is>
      </c>
      <c r="B13896" s="3" t="inlineStr">
        <is>
          <t>태영건설</t>
        </is>
      </c>
      <c r="C13896" s="2" t="inlineStr">
        <is>
          <t>코스피</t>
        </is>
      </c>
      <c r="D13896" s="2" t="inlineStr">
        <is>
          <t>009410</t>
        </is>
      </c>
      <c r="E13896" s="3" t="inlineStr">
        <is>
          <t xml:space="preserve">지속가능경영보고서등관련사항(자율공시)              </t>
        </is>
      </c>
      <c r="F13896" s="3" t="inlineStr">
        <is>
          <t>태영건설</t>
        </is>
      </c>
      <c r="G13896" s="2" t="inlineStr">
        <is>
          <t>20260630800179</t>
        </is>
      </c>
      <c r="H13896" s="8">
        <f>HYPERLINK("https://dart.fss.or.kr/dsaf001/main.do?rcpNo=20260630800179", "공시열람")</f>
        <v/>
      </c>
    </row>
    <row r="13897">
      <c r="A13897" s="2" t="inlineStr">
        <is>
          <t>2026-06-30</t>
        </is>
      </c>
      <c r="B13897" s="3" t="inlineStr">
        <is>
          <t>동원시스템즈</t>
        </is>
      </c>
      <c r="C13897" s="2" t="inlineStr">
        <is>
          <t>코스피</t>
        </is>
      </c>
      <c r="D13897" s="2" t="inlineStr">
        <is>
          <t>014820</t>
        </is>
      </c>
      <c r="E13897" s="3" t="inlineStr">
        <is>
          <t xml:space="preserve">지속가능경영보고서등관련사항(자율공시)              </t>
        </is>
      </c>
      <c r="F13897" s="3" t="inlineStr">
        <is>
          <t>동원시스템즈</t>
        </is>
      </c>
      <c r="G13897" s="2" t="inlineStr">
        <is>
          <t>20260630800178</t>
        </is>
      </c>
      <c r="H13897" s="8">
        <f>HYPERLINK("https://dart.fss.or.kr/dsaf001/main.do?rcpNo=20260630800178", "공시열람")</f>
        <v/>
      </c>
    </row>
    <row r="13898">
      <c r="A13898" s="2" t="inlineStr">
        <is>
          <t>2026-06-30</t>
        </is>
      </c>
      <c r="B13898" s="3" t="inlineStr">
        <is>
          <t>시알홀딩스</t>
        </is>
      </c>
      <c r="C13898" s="2" t="inlineStr">
        <is>
          <t>코스피</t>
        </is>
      </c>
      <c r="D13898" s="2" t="inlineStr">
        <is>
          <t>000480</t>
        </is>
      </c>
      <c r="E13898" s="3" t="inlineStr">
        <is>
          <t xml:space="preserve">현금ㆍ현물배당결정(자회사의 주요경영사항)              </t>
        </is>
      </c>
      <c r="F13898" s="3" t="inlineStr">
        <is>
          <t>시알홀딩스</t>
        </is>
      </c>
      <c r="G13898" s="2" t="inlineStr">
        <is>
          <t>20260630800177</t>
        </is>
      </c>
      <c r="H13898" s="8">
        <f>HYPERLINK("https://dart.fss.or.kr/dsaf001/main.do?rcpNo=20260630800177", "공시열람")</f>
        <v/>
      </c>
    </row>
    <row r="13899">
      <c r="A13899" s="2" t="inlineStr">
        <is>
          <t>2026-06-30</t>
        </is>
      </c>
      <c r="B13899" s="3" t="inlineStr">
        <is>
          <t>조선내화</t>
        </is>
      </c>
      <c r="C13899" s="2" t="inlineStr">
        <is>
          <t>코스피</t>
        </is>
      </c>
      <c r="D13899" s="2" t="inlineStr">
        <is>
          <t>462520</t>
        </is>
      </c>
      <c r="E13899" s="3" t="inlineStr">
        <is>
          <t xml:space="preserve">현금ㆍ현물배당결정              </t>
        </is>
      </c>
      <c r="F13899" s="3" t="inlineStr">
        <is>
          <t>조선내화</t>
        </is>
      </c>
      <c r="G13899" s="2" t="inlineStr">
        <is>
          <t>20260630800172</t>
        </is>
      </c>
      <c r="H13899" s="8">
        <f>HYPERLINK("https://dart.fss.or.kr/dsaf001/main.do?rcpNo=20260630800172", "공시열람")</f>
        <v/>
      </c>
    </row>
    <row r="13900">
      <c r="A13900" s="2" t="inlineStr">
        <is>
          <t>2026-06-30</t>
        </is>
      </c>
      <c r="B13900" s="3" t="inlineStr">
        <is>
          <t>솔트웨어</t>
        </is>
      </c>
      <c r="C13900" s="2" t="inlineStr">
        <is>
          <t>코스닥</t>
        </is>
      </c>
      <c r="D13900" s="2" t="inlineStr">
        <is>
          <t>328380</t>
        </is>
      </c>
      <c r="E13900" s="3" t="inlineStr">
        <is>
          <t>임원ㆍ주요주주특정증권등소유상황보고서</t>
        </is>
      </c>
      <c r="F13900" s="3" t="inlineStr">
        <is>
          <t>이상훈</t>
        </is>
      </c>
      <c r="G13900" s="2" t="inlineStr">
        <is>
          <t>20260630000103</t>
        </is>
      </c>
      <c r="H13900" s="8">
        <f>HYPERLINK("https://dart.fss.or.kr/dsaf001/main.do?rcpNo=20260630000103", "공시열람")</f>
        <v/>
      </c>
    </row>
    <row r="13901">
      <c r="A13901" s="2" t="inlineStr">
        <is>
          <t>2026-06-30</t>
        </is>
      </c>
      <c r="B13901" s="3" t="inlineStr">
        <is>
          <t>KG모빌리티</t>
        </is>
      </c>
      <c r="C13901" s="2" t="inlineStr">
        <is>
          <t>코스피</t>
        </is>
      </c>
      <c r="D13901" s="2" t="inlineStr">
        <is>
          <t>003620</t>
        </is>
      </c>
      <c r="E13901" s="3" t="inlineStr">
        <is>
          <t xml:space="preserve">지속가능경영보고서등관련사항(자율공시)              </t>
        </is>
      </c>
      <c r="F13901" s="3" t="inlineStr">
        <is>
          <t>KG모빌리티</t>
        </is>
      </c>
      <c r="G13901" s="2" t="inlineStr">
        <is>
          <t>20260630800171</t>
        </is>
      </c>
      <c r="H13901" s="8">
        <f>HYPERLINK("https://dart.fss.or.kr/dsaf001/main.do?rcpNo=20260630800171", "공시열람")</f>
        <v/>
      </c>
    </row>
    <row r="13902">
      <c r="A13902" s="2" t="inlineStr">
        <is>
          <t>2026-06-30</t>
        </is>
      </c>
      <c r="B13902" s="3" t="inlineStr">
        <is>
          <t>유라클</t>
        </is>
      </c>
      <c r="C13902" s="2" t="inlineStr">
        <is>
          <t>코스닥</t>
        </is>
      </c>
      <c r="D13902" s="2" t="inlineStr">
        <is>
          <t>088340</t>
        </is>
      </c>
      <c r="E13902" s="3" t="inlineStr">
        <is>
          <t>임원ㆍ주요주주특정증권등소유상황보고서</t>
        </is>
      </c>
      <c r="F13902" s="3" t="inlineStr">
        <is>
          <t>조준희</t>
        </is>
      </c>
      <c r="G13902" s="2" t="inlineStr">
        <is>
          <t>20260630000097</t>
        </is>
      </c>
      <c r="H13902" s="8">
        <f>HYPERLINK("https://dart.fss.or.kr/dsaf001/main.do?rcpNo=20260630000097", "공시열람")</f>
        <v/>
      </c>
    </row>
    <row r="13903">
      <c r="A13903" s="2" t="inlineStr">
        <is>
          <t>2026-06-30</t>
        </is>
      </c>
      <c r="B13903" s="3" t="inlineStr">
        <is>
          <t>시알홀딩스</t>
        </is>
      </c>
      <c r="C13903" s="2" t="inlineStr">
        <is>
          <t>코스피</t>
        </is>
      </c>
      <c r="D13903" s="2" t="inlineStr">
        <is>
          <t>000480</t>
        </is>
      </c>
      <c r="E13903" s="3" t="inlineStr">
        <is>
          <t xml:space="preserve">현금ㆍ현물배당을위한주주명부폐쇄(기준일)결정(자회사의 주요경영사항)              </t>
        </is>
      </c>
      <c r="F13903" s="3" t="inlineStr">
        <is>
          <t>시알홀딩스</t>
        </is>
      </c>
      <c r="G13903" s="2" t="inlineStr">
        <is>
          <t>20260630800169</t>
        </is>
      </c>
      <c r="H13903" s="8">
        <f>HYPERLINK("https://dart.fss.or.kr/dsaf001/main.do?rcpNo=20260630800169", "공시열람")</f>
        <v/>
      </c>
    </row>
    <row r="13904">
      <c r="A13904" s="2" t="inlineStr">
        <is>
          <t>2026-06-30</t>
        </is>
      </c>
      <c r="B13904" s="3" t="inlineStr">
        <is>
          <t>조선내화</t>
        </is>
      </c>
      <c r="C13904" s="2" t="inlineStr">
        <is>
          <t>코스피</t>
        </is>
      </c>
      <c r="D13904" s="2" t="inlineStr">
        <is>
          <t>462520</t>
        </is>
      </c>
      <c r="E13904" s="3" t="inlineStr">
        <is>
          <t xml:space="preserve">현금ㆍ현물배당을위한주주명부폐쇄(기준일)결정              </t>
        </is>
      </c>
      <c r="F13904" s="3" t="inlineStr">
        <is>
          <t>조선내화</t>
        </is>
      </c>
      <c r="G13904" s="2" t="inlineStr">
        <is>
          <t>20260630800121</t>
        </is>
      </c>
      <c r="H13904" s="8">
        <f>HYPERLINK("https://dart.fss.or.kr/dsaf001/main.do?rcpNo=20260630800121", "공시열람")</f>
        <v/>
      </c>
    </row>
    <row r="13905">
      <c r="A13905" s="2" t="inlineStr">
        <is>
          <t>2026-06-30</t>
        </is>
      </c>
      <c r="B13905" s="3" t="inlineStr">
        <is>
          <t>더존비즈온</t>
        </is>
      </c>
      <c r="C13905" s="2" t="inlineStr">
        <is>
          <t>코스피</t>
        </is>
      </c>
      <c r="D13905" s="2" t="inlineStr">
        <is>
          <t>012510</t>
        </is>
      </c>
      <c r="E13905" s="3" t="inlineStr">
        <is>
          <t>합병등종료보고서(주식의포괄적교환ㆍ이전)</t>
        </is>
      </c>
      <c r="F13905" s="3" t="inlineStr">
        <is>
          <t>더존비즈온</t>
        </is>
      </c>
      <c r="G13905" s="2" t="inlineStr">
        <is>
          <t>20260630000093</t>
        </is>
      </c>
      <c r="H13905" s="8">
        <f>HYPERLINK("https://dart.fss.or.kr/dsaf001/main.do?rcpNo=20260630000093", "공시열람")</f>
        <v/>
      </c>
    </row>
    <row r="13906">
      <c r="A13906" s="2" t="inlineStr">
        <is>
          <t>2026-06-30</t>
        </is>
      </c>
      <c r="B13906" s="3" t="inlineStr">
        <is>
          <t>애경케미칼</t>
        </is>
      </c>
      <c r="C13906" s="2" t="inlineStr">
        <is>
          <t>코스피</t>
        </is>
      </c>
      <c r="D13906" s="2" t="inlineStr">
        <is>
          <t>161000</t>
        </is>
      </c>
      <c r="E13906" s="3" t="inlineStr">
        <is>
          <t xml:space="preserve">지속가능경영보고서등관련사항(자율공시)              </t>
        </is>
      </c>
      <c r="F13906" s="3" t="inlineStr">
        <is>
          <t>애경케미칼</t>
        </is>
      </c>
      <c r="G13906" s="2" t="inlineStr">
        <is>
          <t>20260630800161</t>
        </is>
      </c>
      <c r="H13906" s="8">
        <f>HYPERLINK("https://dart.fss.or.kr/dsaf001/main.do?rcpNo=20260630800161", "공시열람")</f>
        <v/>
      </c>
    </row>
    <row r="13907">
      <c r="A13907" s="2" t="inlineStr">
        <is>
          <t>2026-06-30</t>
        </is>
      </c>
      <c r="B13907" s="3" t="inlineStr">
        <is>
          <t>유라클</t>
        </is>
      </c>
      <c r="C13907" s="2" t="inlineStr">
        <is>
          <t>코스닥</t>
        </is>
      </c>
      <c r="D13907" s="2" t="inlineStr">
        <is>
          <t>088340</t>
        </is>
      </c>
      <c r="E13907" s="3" t="inlineStr">
        <is>
          <t>임원ㆍ주요주주특정증권등소유상황보고서</t>
        </is>
      </c>
      <c r="F13907" s="3" t="inlineStr">
        <is>
          <t>유웅진</t>
        </is>
      </c>
      <c r="G13907" s="2" t="inlineStr">
        <is>
          <t>20260630000089</t>
        </is>
      </c>
      <c r="H13907" s="8">
        <f>HYPERLINK("https://dart.fss.or.kr/dsaf001/main.do?rcpNo=20260630000089", "공시열람")</f>
        <v/>
      </c>
    </row>
    <row r="13908">
      <c r="A13908" s="2" t="inlineStr">
        <is>
          <t>2026-06-30</t>
        </is>
      </c>
      <c r="B13908" s="3" t="inlineStr">
        <is>
          <t>우리금융지주</t>
        </is>
      </c>
      <c r="C13908" s="2" t="inlineStr">
        <is>
          <t>코스피</t>
        </is>
      </c>
      <c r="D13908" s="2" t="inlineStr">
        <is>
          <t>316140</t>
        </is>
      </c>
      <c r="E13908" s="3" t="inlineStr">
        <is>
          <t xml:space="preserve">지속가능경영보고서등관련사항(자율공시)              </t>
        </is>
      </c>
      <c r="F13908" s="3" t="inlineStr">
        <is>
          <t>우리금융지주</t>
        </is>
      </c>
      <c r="G13908" s="2" t="inlineStr">
        <is>
          <t>20260630800162</t>
        </is>
      </c>
      <c r="H13908" s="8">
        <f>HYPERLINK("https://dart.fss.or.kr/dsaf001/main.do?rcpNo=20260630800162", "공시열람")</f>
        <v/>
      </c>
    </row>
    <row r="13909">
      <c r="A13909" s="2" t="inlineStr">
        <is>
          <t>2026-06-30</t>
        </is>
      </c>
      <c r="B13909" s="3" t="inlineStr">
        <is>
          <t>모바일어플라이언스</t>
        </is>
      </c>
      <c r="C13909" s="2" t="inlineStr">
        <is>
          <t>코스닥</t>
        </is>
      </c>
      <c r="D13909" s="2" t="inlineStr">
        <is>
          <t>087260</t>
        </is>
      </c>
      <c r="E13909" s="3" t="inlineStr">
        <is>
          <t>사외이사의선임ㆍ해임또는중도퇴임에관한신고</t>
        </is>
      </c>
      <c r="F13909" s="3" t="inlineStr">
        <is>
          <t>모바일어플라이언스</t>
        </is>
      </c>
      <c r="G13909" s="2" t="inlineStr">
        <is>
          <t>20260630000082</t>
        </is>
      </c>
      <c r="H13909" s="8">
        <f>HYPERLINK("https://dart.fss.or.kr/dsaf001/main.do?rcpNo=20260630000082", "공시열람")</f>
        <v/>
      </c>
    </row>
    <row r="13910">
      <c r="A13910" s="2" t="inlineStr">
        <is>
          <t>2026-06-30</t>
        </is>
      </c>
      <c r="B13910" s="3" t="inlineStr">
        <is>
          <t>LG디스플레이</t>
        </is>
      </c>
      <c r="C13910" s="2" t="inlineStr">
        <is>
          <t>코스피</t>
        </is>
      </c>
      <c r="D13910" s="2" t="inlineStr">
        <is>
          <t>034220</t>
        </is>
      </c>
      <c r="E13910" s="3" t="inlineStr">
        <is>
          <t xml:space="preserve">지속가능경영보고서등관련사항(자율공시)              </t>
        </is>
      </c>
      <c r="F13910" s="3" t="inlineStr">
        <is>
          <t>LG디스플레이</t>
        </is>
      </c>
      <c r="G13910" s="2" t="inlineStr">
        <is>
          <t>20260630800152</t>
        </is>
      </c>
      <c r="H13910" s="8">
        <f>HYPERLINK("https://dart.fss.or.kr/dsaf001/main.do?rcpNo=20260630800152", "공시열람")</f>
        <v/>
      </c>
    </row>
    <row r="13911">
      <c r="A13911" s="2" t="inlineStr">
        <is>
          <t>2026-06-30</t>
        </is>
      </c>
      <c r="B13911" s="3" t="inlineStr">
        <is>
          <t>현대해상</t>
        </is>
      </c>
      <c r="C13911" s="2" t="inlineStr">
        <is>
          <t>코스피</t>
        </is>
      </c>
      <c r="D13911" s="2" t="inlineStr">
        <is>
          <t>001450</t>
        </is>
      </c>
      <c r="E13911" s="3" t="inlineStr">
        <is>
          <t>특수관계인과의수익증권거래</t>
        </is>
      </c>
      <c r="F13911" s="3" t="inlineStr">
        <is>
          <t>현대해상</t>
        </is>
      </c>
      <c r="G13911" s="2" t="inlineStr">
        <is>
          <t>20260630000070</t>
        </is>
      </c>
      <c r="H13911" s="8">
        <f>HYPERLINK("https://dart.fss.or.kr/dsaf001/main.do?rcpNo=20260630000070", "공시열람")</f>
        <v/>
      </c>
    </row>
    <row r="13912">
      <c r="A13912" s="2" t="inlineStr">
        <is>
          <t>2026-06-30</t>
        </is>
      </c>
      <c r="B13912" s="3" t="inlineStr">
        <is>
          <t>엔피케이</t>
        </is>
      </c>
      <c r="C13912" s="2" t="inlineStr">
        <is>
          <t>코스닥</t>
        </is>
      </c>
      <c r="D13912" s="2" t="inlineStr">
        <is>
          <t>048830</t>
        </is>
      </c>
      <c r="E13912" s="3" t="inlineStr">
        <is>
          <t>임원ㆍ주요주주특정증권등소유상황보고서</t>
        </is>
      </c>
      <c r="F13912" s="3" t="inlineStr">
        <is>
          <t>엔피아이</t>
        </is>
      </c>
      <c r="G13912" s="2" t="inlineStr">
        <is>
          <t>20260630000063</t>
        </is>
      </c>
      <c r="H13912" s="8">
        <f>HYPERLINK("https://dart.fss.or.kr/dsaf001/main.do?rcpNo=20260630000063", "공시열람")</f>
        <v/>
      </c>
    </row>
    <row r="13913">
      <c r="A13913" s="2" t="inlineStr">
        <is>
          <t>2026-06-30</t>
        </is>
      </c>
      <c r="B13913" s="3" t="inlineStr">
        <is>
          <t>유바이오로직스</t>
        </is>
      </c>
      <c r="C13913" s="2" t="inlineStr">
        <is>
          <t>코스닥</t>
        </is>
      </c>
      <c r="D13913" s="2" t="inlineStr">
        <is>
          <t>206650</t>
        </is>
      </c>
      <c r="E13913" s="3" t="inlineStr">
        <is>
          <t xml:space="preserve">기업설명회(IR)개최              </t>
        </is>
      </c>
      <c r="F13913" s="3" t="inlineStr">
        <is>
          <t>유바이오로직스</t>
        </is>
      </c>
      <c r="G13913" s="2" t="inlineStr">
        <is>
          <t>20260630900140</t>
        </is>
      </c>
      <c r="H13913" s="8">
        <f>HYPERLINK("https://dart.fss.or.kr/dsaf001/main.do?rcpNo=20260630900140", "공시열람")</f>
        <v/>
      </c>
    </row>
    <row r="13914">
      <c r="A13914" s="2" t="inlineStr">
        <is>
          <t>2026-06-30</t>
        </is>
      </c>
      <c r="B13914" s="3" t="inlineStr">
        <is>
          <t>웹스</t>
        </is>
      </c>
      <c r="C13914" s="2" t="inlineStr">
        <is>
          <t>코스닥</t>
        </is>
      </c>
      <c r="D13914" s="2" t="inlineStr">
        <is>
          <t>196700</t>
        </is>
      </c>
      <c r="E13914" s="3" t="inlineStr">
        <is>
          <t>임원ㆍ주요주주특정증권등소유상황보고서</t>
        </is>
      </c>
      <c r="F13914" s="3" t="inlineStr">
        <is>
          <t>이재춘</t>
        </is>
      </c>
      <c r="G13914" s="2" t="inlineStr">
        <is>
          <t>20260630000057</t>
        </is>
      </c>
      <c r="H13914" s="8">
        <f>HYPERLINK("https://dart.fss.or.kr/dsaf001/main.do?rcpNo=20260630000057", "공시열람")</f>
        <v/>
      </c>
    </row>
    <row r="13915">
      <c r="A13915" s="2" t="inlineStr">
        <is>
          <t>2026-06-30</t>
        </is>
      </c>
      <c r="B13915" s="3" t="inlineStr">
        <is>
          <t>남양유업</t>
        </is>
      </c>
      <c r="C13915" s="2" t="inlineStr">
        <is>
          <t>코스피</t>
        </is>
      </c>
      <c r="D13915" s="2" t="inlineStr">
        <is>
          <t>003920</t>
        </is>
      </c>
      <c r="E13915" s="3" t="inlineStr">
        <is>
          <t>임원ㆍ주요주주특정증권등소유상황보고서</t>
        </is>
      </c>
      <c r="F13915" s="3" t="inlineStr">
        <is>
          <t>한앤코유업홀딩스</t>
        </is>
      </c>
      <c r="G13915" s="2" t="inlineStr">
        <is>
          <t>20260630000055</t>
        </is>
      </c>
      <c r="H13915" s="8">
        <f>HYPERLINK("https://dart.fss.or.kr/dsaf001/main.do?rcpNo=20260630000055", "공시열람")</f>
        <v/>
      </c>
    </row>
    <row r="13916">
      <c r="A13916" s="2" t="inlineStr">
        <is>
          <t>2026-06-30</t>
        </is>
      </c>
      <c r="B13916" s="3" t="inlineStr">
        <is>
          <t>LX인터내셔널</t>
        </is>
      </c>
      <c r="C13916" s="2" t="inlineStr">
        <is>
          <t>코스피</t>
        </is>
      </c>
      <c r="D13916" s="2" t="inlineStr">
        <is>
          <t>001120</t>
        </is>
      </c>
      <c r="E13916" s="3" t="inlineStr">
        <is>
          <t xml:space="preserve">지속가능경영보고서등관련사항(자율공시)              </t>
        </is>
      </c>
      <c r="F13916" s="3" t="inlineStr">
        <is>
          <t>LX인터내셔널</t>
        </is>
      </c>
      <c r="G13916" s="2" t="inlineStr">
        <is>
          <t>20260630800136</t>
        </is>
      </c>
      <c r="H13916" s="8">
        <f>HYPERLINK("https://dart.fss.or.kr/dsaf001/main.do?rcpNo=20260630800136", "공시열람")</f>
        <v/>
      </c>
    </row>
    <row r="13917">
      <c r="A13917" s="2" t="inlineStr">
        <is>
          <t>2026-06-30</t>
        </is>
      </c>
      <c r="B13917" s="3" t="inlineStr">
        <is>
          <t>아이센스</t>
        </is>
      </c>
      <c r="C13917" s="2" t="inlineStr">
        <is>
          <t>코스닥</t>
        </is>
      </c>
      <c r="D13917" s="2" t="inlineStr">
        <is>
          <t>099190</t>
        </is>
      </c>
      <c r="E13917" s="3" t="inlineStr">
        <is>
          <t>임원ㆍ주요주주특정증권등소유상황보고서</t>
        </is>
      </c>
      <c r="F13917" s="3" t="inlineStr">
        <is>
          <t>남학현</t>
        </is>
      </c>
      <c r="G13917" s="2" t="inlineStr">
        <is>
          <t>20260630000047</t>
        </is>
      </c>
      <c r="H13917" s="8">
        <f>HYPERLINK("https://dart.fss.or.kr/dsaf001/main.do?rcpNo=20260630000047", "공시열람")</f>
        <v/>
      </c>
    </row>
    <row r="13918">
      <c r="A13918" s="2" t="inlineStr">
        <is>
          <t>2026-06-30</t>
        </is>
      </c>
      <c r="B13918" s="3" t="inlineStr">
        <is>
          <t>더존비즈온</t>
        </is>
      </c>
      <c r="C13918" s="2" t="inlineStr">
        <is>
          <t>코스피</t>
        </is>
      </c>
      <c r="D13918" s="2" t="inlineStr">
        <is>
          <t>012510</t>
        </is>
      </c>
      <c r="E13918" s="3" t="inlineStr">
        <is>
          <t xml:space="preserve">지속가능경영보고서등관련사항(자율공시)              </t>
        </is>
      </c>
      <c r="F13918" s="3" t="inlineStr">
        <is>
          <t>더존비즈온</t>
        </is>
      </c>
      <c r="G13918" s="2" t="inlineStr">
        <is>
          <t>20260630800126</t>
        </is>
      </c>
      <c r="H13918" s="8">
        <f>HYPERLINK("https://dart.fss.or.kr/dsaf001/main.do?rcpNo=20260630800126", "공시열람")</f>
        <v/>
      </c>
    </row>
    <row r="13919">
      <c r="A13919" s="2" t="inlineStr">
        <is>
          <t>2026-06-30</t>
        </is>
      </c>
      <c r="B13919" s="3" t="inlineStr">
        <is>
          <t>제이브이엠</t>
        </is>
      </c>
      <c r="C13919" s="2" t="inlineStr">
        <is>
          <t>코스닥</t>
        </is>
      </c>
      <c r="D13919" s="2" t="inlineStr">
        <is>
          <t>054950</t>
        </is>
      </c>
      <c r="E13919" s="3" t="inlineStr">
        <is>
          <t xml:space="preserve">기업설명회(IR)개최              </t>
        </is>
      </c>
      <c r="F13919" s="3" t="inlineStr">
        <is>
          <t>제이브이엠</t>
        </is>
      </c>
      <c r="G13919" s="2" t="inlineStr">
        <is>
          <t>20260630900117</t>
        </is>
      </c>
      <c r="H13919" s="8">
        <f>HYPERLINK("https://dart.fss.or.kr/dsaf001/main.do?rcpNo=20260630900117", "공시열람")</f>
        <v/>
      </c>
    </row>
    <row r="13920">
      <c r="A13920" s="2" t="inlineStr">
        <is>
          <t>2026-06-30</t>
        </is>
      </c>
      <c r="B13920" s="3" t="inlineStr">
        <is>
          <t>종근당홀딩스</t>
        </is>
      </c>
      <c r="C13920" s="2" t="inlineStr">
        <is>
          <t>코스피</t>
        </is>
      </c>
      <c r="D13920" s="2" t="inlineStr">
        <is>
          <t>001630</t>
        </is>
      </c>
      <c r="E13920" s="3" t="inlineStr">
        <is>
          <t xml:space="preserve">지속가능경영보고서등관련사항(자율공시)              </t>
        </is>
      </c>
      <c r="F13920" s="3" t="inlineStr">
        <is>
          <t>종근당홀딩스</t>
        </is>
      </c>
      <c r="G13920" s="2" t="inlineStr">
        <is>
          <t>20260630800113</t>
        </is>
      </c>
      <c r="H13920" s="8">
        <f>HYPERLINK("https://dart.fss.or.kr/dsaf001/main.do?rcpNo=20260630800113", "공시열람")</f>
        <v/>
      </c>
    </row>
    <row r="13921">
      <c r="A13921" s="2" t="inlineStr">
        <is>
          <t>2026-06-30</t>
        </is>
      </c>
      <c r="B13921" s="3" t="inlineStr">
        <is>
          <t>LG이노텍</t>
        </is>
      </c>
      <c r="C13921" s="2" t="inlineStr">
        <is>
          <t>코스피</t>
        </is>
      </c>
      <c r="D13921" s="2" t="inlineStr">
        <is>
          <t>011070</t>
        </is>
      </c>
      <c r="E13921" s="3" t="inlineStr">
        <is>
          <t xml:space="preserve">지속가능경영보고서등관련사항(자율공시)              </t>
        </is>
      </c>
      <c r="F13921" s="3" t="inlineStr">
        <is>
          <t>LG이노텍</t>
        </is>
      </c>
      <c r="G13921" s="2" t="inlineStr">
        <is>
          <t>20260630800110</t>
        </is>
      </c>
      <c r="H13921" s="8">
        <f>HYPERLINK("https://dart.fss.or.kr/dsaf001/main.do?rcpNo=20260630800110", "공시열람")</f>
        <v/>
      </c>
    </row>
    <row r="13922">
      <c r="A13922" s="2" t="inlineStr">
        <is>
          <t>2026-06-30</t>
        </is>
      </c>
      <c r="B13922" s="3" t="inlineStr">
        <is>
          <t>종근당</t>
        </is>
      </c>
      <c r="C13922" s="2" t="inlineStr">
        <is>
          <t>코스피</t>
        </is>
      </c>
      <c r="D13922" s="2" t="inlineStr">
        <is>
          <t>185750</t>
        </is>
      </c>
      <c r="E13922" s="3" t="inlineStr">
        <is>
          <t xml:space="preserve">지속가능경영보고서등관련사항(자율공시)              </t>
        </is>
      </c>
      <c r="F13922" s="3" t="inlineStr">
        <is>
          <t>종근당</t>
        </is>
      </c>
      <c r="G13922" s="2" t="inlineStr">
        <is>
          <t>20260630800100</t>
        </is>
      </c>
      <c r="H13922" s="8">
        <f>HYPERLINK("https://dart.fss.or.kr/dsaf001/main.do?rcpNo=20260630800100", "공시열람")</f>
        <v/>
      </c>
    </row>
    <row r="13923">
      <c r="A13923" s="2" t="inlineStr">
        <is>
          <t>2026-06-30</t>
        </is>
      </c>
      <c r="B13923" s="3" t="inlineStr">
        <is>
          <t>삼성SDI</t>
        </is>
      </c>
      <c r="C13923" s="2" t="inlineStr">
        <is>
          <t>코스피</t>
        </is>
      </c>
      <c r="D13923" s="2" t="inlineStr">
        <is>
          <t>006400</t>
        </is>
      </c>
      <c r="E13923" s="3" t="inlineStr">
        <is>
          <t xml:space="preserve">지속가능경영보고서등관련사항(자율공시)              </t>
        </is>
      </c>
      <c r="F13923" s="3" t="inlineStr">
        <is>
          <t>삼성SDI</t>
        </is>
      </c>
      <c r="G13923" s="2" t="inlineStr">
        <is>
          <t>20260630800097</t>
        </is>
      </c>
      <c r="H13923" s="8">
        <f>HYPERLINK("https://dart.fss.or.kr/dsaf001/main.do?rcpNo=20260630800097", "공시열람")</f>
        <v/>
      </c>
    </row>
    <row r="13924">
      <c r="A13924" s="2" t="inlineStr">
        <is>
          <t>2026-06-30</t>
        </is>
      </c>
      <c r="B13924" s="3" t="inlineStr">
        <is>
          <t>셀리드</t>
        </is>
      </c>
      <c r="C13924" s="2" t="inlineStr">
        <is>
          <t>코스닥</t>
        </is>
      </c>
      <c r="D13924" s="2" t="inlineStr">
        <is>
          <t>299660</t>
        </is>
      </c>
      <c r="E13924" s="3" t="inlineStr">
        <is>
          <t>임원ㆍ주요주주특정증권등소유상황보고서</t>
        </is>
      </c>
      <c r="F13924" s="3" t="inlineStr">
        <is>
          <t>강창율</t>
        </is>
      </c>
      <c r="G13924" s="2" t="inlineStr">
        <is>
          <t>20260630000021</t>
        </is>
      </c>
      <c r="H13924" s="8">
        <f>HYPERLINK("https://dart.fss.or.kr/dsaf001/main.do?rcpNo=20260630000021", "공시열람")</f>
        <v/>
      </c>
    </row>
    <row r="13925">
      <c r="A13925" s="2" t="inlineStr">
        <is>
          <t>2026-06-30</t>
        </is>
      </c>
      <c r="B13925" s="3" t="inlineStr">
        <is>
          <t>두산에너빌리티</t>
        </is>
      </c>
      <c r="C13925" s="2" t="inlineStr">
        <is>
          <t>코스피</t>
        </is>
      </c>
      <c r="D13925" s="2" t="inlineStr">
        <is>
          <t>034020</t>
        </is>
      </c>
      <c r="E13925" s="3" t="inlineStr">
        <is>
          <t xml:space="preserve">지속가능경영보고서등관련사항(자율공시)              </t>
        </is>
      </c>
      <c r="F13925" s="3" t="inlineStr">
        <is>
          <t>두산에너빌리티</t>
        </is>
      </c>
      <c r="G13925" s="2" t="inlineStr">
        <is>
          <t>20260630800070</t>
        </is>
      </c>
      <c r="H13925" s="8">
        <f>HYPERLINK("https://dart.fss.or.kr/dsaf001/main.do?rcpNo=20260630800070", "공시열람")</f>
        <v/>
      </c>
    </row>
    <row r="13926">
      <c r="A13926" s="2" t="inlineStr">
        <is>
          <t>2026-06-30</t>
        </is>
      </c>
      <c r="B13926" s="3" t="inlineStr">
        <is>
          <t>퓨쳐켐</t>
        </is>
      </c>
      <c r="C13926" s="2" t="inlineStr">
        <is>
          <t>코스닥</t>
        </is>
      </c>
      <c r="D13926" s="2" t="inlineStr">
        <is>
          <t>220100</t>
        </is>
      </c>
      <c r="E13926" s="3" t="inlineStr">
        <is>
          <t>효력발생안내( 2026.6.15. 제출 증권신고서(지분증권) )</t>
        </is>
      </c>
      <c r="F13926" s="3" t="inlineStr">
        <is>
          <t>금융감독원</t>
        </is>
      </c>
      <c r="G13926" s="2" t="inlineStr">
        <is>
          <t>20260616100001</t>
        </is>
      </c>
      <c r="H13926" s="8">
        <f>HYPERLINK("https://dart.fss.or.kr/dsaf001/main.do?rcpNo=20260616100001", "공시열람")</f>
        <v/>
      </c>
    </row>
    <row r="13927">
      <c r="A13927" s="2" t="inlineStr">
        <is>
          <t>2026-06-30</t>
        </is>
      </c>
      <c r="B13927" s="3" t="inlineStr">
        <is>
          <t>시너지이노베이션</t>
        </is>
      </c>
      <c r="C13927" s="2" t="inlineStr">
        <is>
          <t>코스닥</t>
        </is>
      </c>
      <c r="D13927" s="2" t="inlineStr">
        <is>
          <t>048870</t>
        </is>
      </c>
      <c r="E13927" s="3" t="inlineStr">
        <is>
          <t>[기재정정]주요사항보고서(타법인주식및출자증권양도결정)</t>
        </is>
      </c>
      <c r="F13927" s="3" t="inlineStr">
        <is>
          <t>시너지이노베이션</t>
        </is>
      </c>
      <c r="G13927" s="2" t="inlineStr">
        <is>
          <t>20260629000589</t>
        </is>
      </c>
      <c r="H13927" s="8">
        <f>HYPERLINK("https://dart.fss.or.kr/dsaf001/main.do?rcpNo=20260629000589", "공시열람")</f>
        <v/>
      </c>
    </row>
    <row r="13928">
      <c r="A13928" s="2" t="inlineStr">
        <is>
          <t>2026-06-30</t>
        </is>
      </c>
      <c r="B13928" s="3" t="inlineStr">
        <is>
          <t>현대힘스</t>
        </is>
      </c>
      <c r="C13928" s="2" t="inlineStr">
        <is>
          <t>코스닥</t>
        </is>
      </c>
      <c r="D13928" s="2" t="inlineStr">
        <is>
          <t>460930</t>
        </is>
      </c>
      <c r="E13928" s="3" t="inlineStr">
        <is>
          <t>주요사항보고서(타법인주식및출자증권양수결정)</t>
        </is>
      </c>
      <c r="F13928" s="3" t="inlineStr">
        <is>
          <t>현대힘스</t>
        </is>
      </c>
      <c r="G13928" s="2" t="inlineStr">
        <is>
          <t>20260629000587</t>
        </is>
      </c>
      <c r="H13928" s="8">
        <f>HYPERLINK("https://dart.fss.or.kr/dsaf001/main.do?rcpNo=20260629000587", "공시열람")</f>
        <v/>
      </c>
    </row>
  </sheetData>
  <autoFilter ref="A1:H139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15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10" customWidth="1" min="4" max="4"/>
    <col width="20" customWidth="1" min="5" max="5"/>
    <col width="14" customWidth="1" min="6" max="6"/>
    <col width="14" customWidth="1" min="7" max="7"/>
    <col width="14" customWidth="1" min="8" max="8"/>
    <col width="12" customWidth="1" min="9" max="9"/>
    <col width="16" customWidth="1" min="10" max="10"/>
    <col width="10" customWidth="1" min="11" max="11"/>
    <col width="18" customWidth="1" min="12" max="12"/>
    <col width="10" customWidth="1" min="13" max="13"/>
  </cols>
  <sheetData>
    <row r="1" ht="25" customHeight="1">
      <c r="A1" s="1" t="inlineStr">
        <is>
          <t>접수일자</t>
        </is>
      </c>
      <c r="B1" s="1" t="inlineStr">
        <is>
          <t>회사명</t>
        </is>
      </c>
      <c r="C1" s="1" t="inlineStr">
        <is>
          <t>종목코드</t>
        </is>
      </c>
      <c r="D1" s="1" t="inlineStr">
        <is>
          <t>보고구분</t>
        </is>
      </c>
      <c r="E1" s="1" t="inlineStr">
        <is>
          <t>보고자(주체)</t>
        </is>
      </c>
      <c r="F1" s="1" t="inlineStr">
        <is>
          <t>관계</t>
        </is>
      </c>
      <c r="G1" s="1" t="inlineStr">
        <is>
          <t>변동사유</t>
        </is>
      </c>
      <c r="H1" s="1" t="inlineStr">
        <is>
          <t>증감(주)</t>
        </is>
      </c>
      <c r="I1" s="1" t="inlineStr">
        <is>
          <t>단가(원)</t>
        </is>
      </c>
      <c r="J1" s="1" t="inlineStr">
        <is>
          <t>변동후 보유(주)</t>
        </is>
      </c>
      <c r="K1" s="1" t="inlineStr">
        <is>
          <t>보유비율(%)</t>
        </is>
      </c>
      <c r="L1" s="1" t="inlineStr">
        <is>
          <t>접수번호</t>
        </is>
      </c>
      <c r="M1" s="1" t="inlineStr">
        <is>
          <t>DART링크</t>
        </is>
      </c>
    </row>
    <row r="2" ht="22" customHeight="1">
      <c r="A2" s="2" t="inlineStr">
        <is>
          <t>2026-01-19</t>
        </is>
      </c>
      <c r="B2" s="3" t="inlineStr">
        <is>
          <t>피에스케이</t>
        </is>
      </c>
      <c r="C2" s="2" t="inlineStr">
        <is>
          <t>319660</t>
        </is>
      </c>
      <c r="D2" s="2" t="inlineStr">
        <is>
          <t>대량보유</t>
        </is>
      </c>
      <c r="E2" s="3" t="inlineStr">
        <is>
          <t>삼성자산운용</t>
        </is>
      </c>
      <c r="F2" s="3" t="inlineStr">
        <is>
          <t>특별관계자</t>
        </is>
      </c>
      <c r="G2" s="3" t="inlineStr">
        <is>
          <t>신규보고(+)</t>
        </is>
      </c>
      <c r="H2" s="15" t="n">
        <v>1449733</v>
      </c>
      <c r="I2" s="6" t="inlineStr"/>
      <c r="J2" s="6" t="n">
        <v>1449733</v>
      </c>
      <c r="K2" s="16" t="n">
        <v>5</v>
      </c>
      <c r="L2" s="2" t="inlineStr">
        <is>
          <t>20260119000290</t>
        </is>
      </c>
      <c r="M2" s="8">
        <f>HYPERLINK("https://dart.fss.or.kr/dsaf001/main.do?rcpNo=20260119000290", "공시열람")</f>
        <v/>
      </c>
    </row>
    <row r="3" ht="22" customHeight="1">
      <c r="A3" s="2" t="inlineStr">
        <is>
          <t>2026-01-19</t>
        </is>
      </c>
      <c r="B3" s="3" t="inlineStr">
        <is>
          <t>에이텍모빌리티</t>
        </is>
      </c>
      <c r="C3" s="2" t="inlineStr">
        <is>
          <t>224110</t>
        </is>
      </c>
      <c r="D3" s="2" t="inlineStr">
        <is>
          <t>대량보유</t>
        </is>
      </c>
      <c r="E3" s="3" t="inlineStr">
        <is>
          <t>김다예</t>
        </is>
      </c>
      <c r="F3" s="3" t="inlineStr">
        <is>
          <t>특별관계자</t>
        </is>
      </c>
      <c r="G3" s="3" t="inlineStr">
        <is>
          <t>장내매수(+)</t>
        </is>
      </c>
      <c r="H3" s="15" t="n">
        <v>2000</v>
      </c>
      <c r="I3" s="6" t="n">
        <v>9310</v>
      </c>
      <c r="J3" s="6" t="n">
        <v>15273</v>
      </c>
      <c r="K3" s="16" t="n">
        <v>5</v>
      </c>
      <c r="L3" s="2" t="inlineStr">
        <is>
          <t>20260119000286</t>
        </is>
      </c>
      <c r="M3" s="8">
        <f>HYPERLINK("https://dart.fss.or.kr/dsaf001/main.do?rcpNo=20260119000286", "공시열람")</f>
        <v/>
      </c>
    </row>
    <row r="4" ht="22" customHeight="1">
      <c r="A4" s="2" t="inlineStr">
        <is>
          <t>2026-01-19</t>
        </is>
      </c>
      <c r="B4" s="3" t="inlineStr">
        <is>
          <t>에이텍모빌리티</t>
        </is>
      </c>
      <c r="C4" s="2" t="inlineStr">
        <is>
          <t>224110</t>
        </is>
      </c>
      <c r="D4" s="2" t="inlineStr">
        <is>
          <t>대량보유</t>
        </is>
      </c>
      <c r="E4" s="3" t="inlineStr">
        <is>
          <t>신재하</t>
        </is>
      </c>
      <c r="F4" s="3" t="inlineStr">
        <is>
          <t>특별관계자</t>
        </is>
      </c>
      <c r="G4" s="3" t="inlineStr">
        <is>
          <t>장내매수(+)</t>
        </is>
      </c>
      <c r="H4" s="15" t="n">
        <v>192</v>
      </c>
      <c r="I4" s="6" t="n">
        <v>9270</v>
      </c>
      <c r="J4" s="6" t="n">
        <v>192</v>
      </c>
      <c r="K4" s="16" t="n">
        <v>5</v>
      </c>
      <c r="L4" s="2" t="inlineStr">
        <is>
          <t>20260119000286</t>
        </is>
      </c>
      <c r="M4" s="8">
        <f>HYPERLINK("https://dart.fss.or.kr/dsaf001/main.do?rcpNo=20260119000286", "공시열람")</f>
        <v/>
      </c>
    </row>
    <row r="5" ht="22" customHeight="1">
      <c r="A5" s="2" t="inlineStr">
        <is>
          <t>2026-01-19</t>
        </is>
      </c>
      <c r="B5" s="3" t="inlineStr">
        <is>
          <t>ESR켄달스퀘어리츠</t>
        </is>
      </c>
      <c r="C5" s="2" t="inlineStr">
        <is>
          <t>365550</t>
        </is>
      </c>
      <c r="D5" s="2" t="inlineStr">
        <is>
          <t>대량보유</t>
        </is>
      </c>
      <c r="E5" s="3" t="inlineStr">
        <is>
          <t>삼성자산운용</t>
        </is>
      </c>
      <c r="F5" s="3" t="inlineStr">
        <is>
          <t>특별관계자</t>
        </is>
      </c>
      <c r="G5" s="3" t="inlineStr">
        <is>
          <t>신규보고(+)</t>
        </is>
      </c>
      <c r="H5" s="15" t="n">
        <v>12330425</v>
      </c>
      <c r="I5" s="6" t="inlineStr"/>
      <c r="J5" s="6" t="n">
        <v>12330425</v>
      </c>
      <c r="K5" s="16" t="n">
        <v>5.01</v>
      </c>
      <c r="L5" s="2" t="inlineStr">
        <is>
          <t>20260119000285</t>
        </is>
      </c>
      <c r="M5" s="8">
        <f>HYPERLINK("https://dart.fss.or.kr/dsaf001/main.do?rcpNo=20260119000285", "공시열람")</f>
        <v/>
      </c>
    </row>
    <row r="6" ht="22" customHeight="1">
      <c r="A6" s="2" t="inlineStr">
        <is>
          <t>2026-01-19</t>
        </is>
      </c>
      <c r="B6" s="3" t="inlineStr">
        <is>
          <t>FSN</t>
        </is>
      </c>
      <c r="C6" s="2" t="inlineStr">
        <is>
          <t>214270</t>
        </is>
      </c>
      <c r="D6" s="2" t="inlineStr">
        <is>
          <t>대량보유</t>
        </is>
      </c>
      <c r="E6" s="3" t="inlineStr">
        <is>
          <t>제이브이씨(주)</t>
        </is>
      </c>
      <c r="F6" s="3" t="inlineStr">
        <is>
          <t>특별관계자</t>
        </is>
      </c>
      <c r="G6" s="3" t="inlineStr">
        <is>
          <t>CB인수(+)</t>
        </is>
      </c>
      <c r="H6" s="15" t="n">
        <v>730994</v>
      </c>
      <c r="I6" s="6" t="n">
        <v>2052</v>
      </c>
      <c r="J6" s="6" t="n">
        <v>730994</v>
      </c>
      <c r="K6" s="16" t="n">
        <v>17</v>
      </c>
      <c r="L6" s="2" t="inlineStr">
        <is>
          <t>20260119000277</t>
        </is>
      </c>
      <c r="M6" s="8">
        <f>HYPERLINK("https://dart.fss.or.kr/dsaf001/main.do?rcpNo=20260119000277", "공시열람")</f>
        <v/>
      </c>
    </row>
    <row r="7" ht="22" customHeight="1">
      <c r="A7" s="2" t="inlineStr">
        <is>
          <t>2026-01-19</t>
        </is>
      </c>
      <c r="B7" s="3" t="inlineStr">
        <is>
          <t>스맥</t>
        </is>
      </c>
      <c r="C7" s="2" t="inlineStr">
        <is>
          <t>099440</t>
        </is>
      </c>
      <c r="D7" s="2" t="inlineStr">
        <is>
          <t>대량보유</t>
        </is>
      </c>
      <c r="E7" s="3" t="inlineStr">
        <is>
          <t>권오혁</t>
        </is>
      </c>
      <c r="F7" s="3" t="inlineStr">
        <is>
          <t>특별관계자</t>
        </is>
      </c>
      <c r="G7" s="3" t="inlineStr">
        <is>
          <t>장내매수(+)</t>
        </is>
      </c>
      <c r="H7" s="15" t="n">
        <v>276070</v>
      </c>
      <c r="I7" s="6" t="n">
        <v>6696</v>
      </c>
      <c r="J7" s="6" t="n">
        <v>680000</v>
      </c>
      <c r="K7" s="16" t="n">
        <v>2</v>
      </c>
      <c r="L7" s="2" t="inlineStr">
        <is>
          <t>20260119000274</t>
        </is>
      </c>
      <c r="M7" s="8">
        <f>HYPERLINK("https://dart.fss.or.kr/dsaf001/main.do?rcpNo=20260119000274", "공시열람")</f>
        <v/>
      </c>
    </row>
    <row r="8" ht="22" customHeight="1">
      <c r="A8" s="2" t="inlineStr">
        <is>
          <t>2026-01-19</t>
        </is>
      </c>
      <c r="B8" s="3" t="inlineStr">
        <is>
          <t>네오크레마</t>
        </is>
      </c>
      <c r="C8" s="2" t="inlineStr">
        <is>
          <t>311390</t>
        </is>
      </c>
      <c r="D8" s="2" t="inlineStr">
        <is>
          <t>대량보유</t>
        </is>
      </c>
      <c r="E8" s="3" t="inlineStr">
        <is>
          <t>아시아홀딩컴퍼니 주식회사</t>
        </is>
      </c>
      <c r="F8" s="3" t="inlineStr">
        <is>
          <t>보고자</t>
        </is>
      </c>
      <c r="G8" s="3" t="inlineStr">
        <is>
          <t>주가하락에 따른 기존 한도대출(마이너스대출) 추가 담보 제공</t>
        </is>
      </c>
      <c r="H8" s="6" t="inlineStr"/>
      <c r="I8" s="6" t="inlineStr"/>
      <c r="J8" s="6" t="n">
        <v>5679064</v>
      </c>
      <c r="K8" s="16" t="n">
        <v>1</v>
      </c>
      <c r="L8" s="2" t="inlineStr">
        <is>
          <t>20260119000271</t>
        </is>
      </c>
      <c r="M8" s="8">
        <f>HYPERLINK("https://dart.fss.or.kr/dsaf001/main.do?rcpNo=20260119000271", "공시열람")</f>
        <v/>
      </c>
    </row>
    <row r="9" ht="22" customHeight="1">
      <c r="A9" s="2" t="inlineStr">
        <is>
          <t>2026-01-19</t>
        </is>
      </c>
      <c r="B9" s="3" t="inlineStr">
        <is>
          <t>블루산업개발</t>
        </is>
      </c>
      <c r="C9" s="2" t="inlineStr">
        <is>
          <t>006740</t>
        </is>
      </c>
      <c r="D9" s="2" t="inlineStr">
        <is>
          <t>대량보유</t>
        </is>
      </c>
      <c r="E9" s="3" t="inlineStr">
        <is>
          <t>피엠에이조합</t>
        </is>
      </c>
      <c r="F9" s="3" t="inlineStr">
        <is>
          <t>보고자</t>
        </is>
      </c>
      <c r="G9" s="3" t="inlineStr">
        <is>
          <t>주식담보대출</t>
        </is>
      </c>
      <c r="H9" s="6" t="inlineStr"/>
      <c r="I9" s="6" t="inlineStr"/>
      <c r="J9" s="6" t="n">
        <v>3895915</v>
      </c>
      <c r="K9" s="16" t="n">
        <v>2</v>
      </c>
      <c r="L9" s="2" t="inlineStr">
        <is>
          <t>20260119000270</t>
        </is>
      </c>
      <c r="M9" s="8">
        <f>HYPERLINK("https://dart.fss.or.kr/dsaf001/main.do?rcpNo=20260119000270", "공시열람")</f>
        <v/>
      </c>
    </row>
    <row r="10" ht="22" customHeight="1">
      <c r="A10" s="2" t="inlineStr">
        <is>
          <t>2026-01-19</t>
        </is>
      </c>
      <c r="B10" s="3" t="inlineStr">
        <is>
          <t>아톤</t>
        </is>
      </c>
      <c r="C10" s="2" t="inlineStr">
        <is>
          <t>158430</t>
        </is>
      </c>
      <c r="D10" s="2" t="inlineStr">
        <is>
          <t>대량보유</t>
        </is>
      </c>
      <c r="E10" s="3" t="inlineStr">
        <is>
          <t>김종서</t>
        </is>
      </c>
      <c r="F10" s="3" t="inlineStr">
        <is>
          <t>특별관계자</t>
        </is>
      </c>
      <c r="G10" s="3" t="inlineStr">
        <is>
          <t>자기주식 소각에 따른 발행주식 총수 감소로 보유비율 변동</t>
        </is>
      </c>
      <c r="H10" s="6" t="inlineStr"/>
      <c r="I10" s="6" t="inlineStr"/>
      <c r="J10" s="6" t="n">
        <v>5768160</v>
      </c>
      <c r="K10" s="16" t="n">
        <v>4</v>
      </c>
      <c r="L10" s="2" t="inlineStr">
        <is>
          <t>20260119000269</t>
        </is>
      </c>
      <c r="M10" s="8">
        <f>HYPERLINK("https://dart.fss.or.kr/dsaf001/main.do?rcpNo=20260119000269", "공시열람")</f>
        <v/>
      </c>
    </row>
    <row r="11" ht="22" customHeight="1">
      <c r="A11" s="2" t="inlineStr">
        <is>
          <t>2026-01-19</t>
        </is>
      </c>
      <c r="B11" s="3" t="inlineStr">
        <is>
          <t>아톤</t>
        </is>
      </c>
      <c r="C11" s="2" t="inlineStr">
        <is>
          <t>158430</t>
        </is>
      </c>
      <c r="D11" s="2" t="inlineStr">
        <is>
          <t>대량보유</t>
        </is>
      </c>
      <c r="E11" s="3" t="inlineStr">
        <is>
          <t>이성미</t>
        </is>
      </c>
      <c r="F11" s="3" t="inlineStr">
        <is>
          <t>특별관계자</t>
        </is>
      </c>
      <c r="G11" s="3" t="inlineStr">
        <is>
          <t>자기주식 소각에 따른 발행주식 총수 감소로 보유비율 변동</t>
        </is>
      </c>
      <c r="H11" s="6" t="inlineStr"/>
      <c r="I11" s="6" t="inlineStr"/>
      <c r="J11" s="6" t="n">
        <v>963600</v>
      </c>
      <c r="K11" s="16" t="n">
        <v>4</v>
      </c>
      <c r="L11" s="2" t="inlineStr">
        <is>
          <t>20260119000269</t>
        </is>
      </c>
      <c r="M11" s="8">
        <f>HYPERLINK("https://dart.fss.or.kr/dsaf001/main.do?rcpNo=20260119000269", "공시열람")</f>
        <v/>
      </c>
    </row>
    <row r="12" ht="22" customHeight="1">
      <c r="A12" s="2" t="inlineStr">
        <is>
          <t>2026-01-19</t>
        </is>
      </c>
      <c r="B12" s="3" t="inlineStr">
        <is>
          <t>아톤</t>
        </is>
      </c>
      <c r="C12" s="2" t="inlineStr">
        <is>
          <t>158430</t>
        </is>
      </c>
      <c r="D12" s="2" t="inlineStr">
        <is>
          <t>대량보유</t>
        </is>
      </c>
      <c r="E12" s="3" t="inlineStr">
        <is>
          <t>우길수</t>
        </is>
      </c>
      <c r="F12" s="3" t="inlineStr">
        <is>
          <t>특별관계자</t>
        </is>
      </c>
      <c r="G12" s="3" t="inlineStr">
        <is>
          <t>자기주식 소각에 따른 발행주식 총수 감소로 보유비율 변동</t>
        </is>
      </c>
      <c r="H12" s="6" t="inlineStr"/>
      <c r="I12" s="6" t="inlineStr"/>
      <c r="J12" s="6" t="n">
        <v>50000</v>
      </c>
      <c r="K12" s="16" t="n">
        <v>4</v>
      </c>
      <c r="L12" s="2" t="inlineStr">
        <is>
          <t>20260119000269</t>
        </is>
      </c>
      <c r="M12" s="8">
        <f>HYPERLINK("https://dart.fss.or.kr/dsaf001/main.do?rcpNo=20260119000269", "공시열람")</f>
        <v/>
      </c>
    </row>
    <row r="13" ht="22" customHeight="1">
      <c r="A13" s="2" t="inlineStr">
        <is>
          <t>2026-01-19</t>
        </is>
      </c>
      <c r="B13" s="3" t="inlineStr">
        <is>
          <t>아톤</t>
        </is>
      </c>
      <c r="C13" s="2" t="inlineStr">
        <is>
          <t>158430</t>
        </is>
      </c>
      <c r="D13" s="2" t="inlineStr">
        <is>
          <t>대량보유</t>
        </is>
      </c>
      <c r="E13" s="3" t="inlineStr">
        <is>
          <t>함성진</t>
        </is>
      </c>
      <c r="F13" s="3" t="inlineStr">
        <is>
          <t>특별관계자</t>
        </is>
      </c>
      <c r="G13" s="3" t="inlineStr">
        <is>
          <t>자기주식 소각에 따른 발행주식 총수 감소로 보유비율 변동</t>
        </is>
      </c>
      <c r="H13" s="6" t="inlineStr"/>
      <c r="I13" s="6" t="inlineStr"/>
      <c r="J13" s="6" t="n">
        <v>50000</v>
      </c>
      <c r="K13" s="16" t="n">
        <v>4</v>
      </c>
      <c r="L13" s="2" t="inlineStr">
        <is>
          <t>20260119000269</t>
        </is>
      </c>
      <c r="M13" s="8">
        <f>HYPERLINK("https://dart.fss.or.kr/dsaf001/main.do?rcpNo=20260119000269", "공시열람")</f>
        <v/>
      </c>
    </row>
    <row r="14" ht="22" customHeight="1">
      <c r="A14" s="2" t="inlineStr">
        <is>
          <t>2026-01-19</t>
        </is>
      </c>
      <c r="B14" s="3" t="inlineStr">
        <is>
          <t>아톤</t>
        </is>
      </c>
      <c r="C14" s="2" t="inlineStr">
        <is>
          <t>158430</t>
        </is>
      </c>
      <c r="D14" s="2" t="inlineStr">
        <is>
          <t>대량보유</t>
        </is>
      </c>
      <c r="E14" s="3" t="inlineStr">
        <is>
          <t>(주)폰티스</t>
        </is>
      </c>
      <c r="F14" s="3" t="inlineStr">
        <is>
          <t>특별관계자</t>
        </is>
      </c>
      <c r="G14" s="3" t="inlineStr">
        <is>
          <t>자기주식 소각에 따른 발행주식 총수 감소로 보유비율 변동</t>
        </is>
      </c>
      <c r="H14" s="6" t="inlineStr"/>
      <c r="I14" s="6" t="inlineStr"/>
      <c r="J14" s="6" t="n">
        <v>758750</v>
      </c>
      <c r="K14" s="16" t="n">
        <v>4</v>
      </c>
      <c r="L14" s="2" t="inlineStr">
        <is>
          <t>20260119000269</t>
        </is>
      </c>
      <c r="M14" s="8">
        <f>HYPERLINK("https://dart.fss.or.kr/dsaf001/main.do?rcpNo=20260119000269", "공시열람")</f>
        <v/>
      </c>
    </row>
    <row r="15" ht="22" customHeight="1">
      <c r="A15" s="2" t="inlineStr">
        <is>
          <t>2026-01-19</t>
        </is>
      </c>
      <c r="B15" s="3" t="inlineStr">
        <is>
          <t>유안타증권</t>
        </is>
      </c>
      <c r="C15" s="2" t="inlineStr">
        <is>
          <t>003470</t>
        </is>
      </c>
      <c r="D15" s="2" t="inlineStr">
        <is>
          <t>대량보유</t>
        </is>
      </c>
      <c r="E15" s="3" t="inlineStr">
        <is>
          <t>뤄즈펑</t>
        </is>
      </c>
      <c r="F15" s="3" t="inlineStr">
        <is>
          <t>특별관계자</t>
        </is>
      </c>
      <c r="G15" s="3" t="inlineStr">
        <is>
          <t>장내매수(+)</t>
        </is>
      </c>
      <c r="H15" s="15" t="n">
        <v>9332</v>
      </c>
      <c r="I15" s="6" t="n">
        <v>3646</v>
      </c>
      <c r="J15" s="6" t="n">
        <v>10779</v>
      </c>
      <c r="K15" s="16" t="n">
        <v>3</v>
      </c>
      <c r="L15" s="2" t="inlineStr">
        <is>
          <t>20260119000267</t>
        </is>
      </c>
      <c r="M15" s="8">
        <f>HYPERLINK("https://dart.fss.or.kr/dsaf001/main.do?rcpNo=20260119000267", "공시열람")</f>
        <v/>
      </c>
    </row>
    <row r="16" ht="22" customHeight="1">
      <c r="A16" s="2" t="inlineStr">
        <is>
          <t>2026-01-19</t>
        </is>
      </c>
      <c r="B16" s="3" t="inlineStr">
        <is>
          <t>HD현대중공업</t>
        </is>
      </c>
      <c r="C16" s="2" t="inlineStr">
        <is>
          <t>329180</t>
        </is>
      </c>
      <c r="D16" s="2" t="inlineStr">
        <is>
          <t>임원보고</t>
        </is>
      </c>
      <c r="E16" s="3" t="inlineStr">
        <is>
          <t>-</t>
        </is>
      </c>
      <c r="F16" s="3" t="inlineStr">
        <is>
          <t>-</t>
        </is>
      </c>
      <c r="G16" s="3" t="inlineStr">
        <is>
          <t>-</t>
        </is>
      </c>
      <c r="H16" s="6" t="inlineStr"/>
      <c r="I16" s="6" t="inlineStr"/>
      <c r="J16" s="6" t="inlineStr"/>
      <c r="K16" s="16" t="n">
        <v>12</v>
      </c>
      <c r="L16" s="2" t="inlineStr">
        <is>
          <t>20260119800917</t>
        </is>
      </c>
      <c r="M16" s="8">
        <f>HYPERLINK("https://dart.fss.or.kr/dsaf001/main.do?rcpNo=20260119800917", "공시열람")</f>
        <v/>
      </c>
    </row>
    <row r="17" ht="22" customHeight="1">
      <c r="A17" s="2" t="inlineStr">
        <is>
          <t>2026-01-19</t>
        </is>
      </c>
      <c r="B17" s="3" t="inlineStr">
        <is>
          <t>이엠텍</t>
        </is>
      </c>
      <c r="C17" s="2" t="inlineStr">
        <is>
          <t>091120</t>
        </is>
      </c>
      <c r="D17" s="2" t="inlineStr">
        <is>
          <t>대량보유</t>
        </is>
      </c>
      <c r="E17" s="3" t="inlineStr">
        <is>
          <t>정승규</t>
        </is>
      </c>
      <c r="F17" s="3" t="inlineStr">
        <is>
          <t>보고자</t>
        </is>
      </c>
      <c r="G17" s="3" t="inlineStr">
        <is>
          <t>주식담보대출 일부 상환</t>
        </is>
      </c>
      <c r="H17" s="6" t="inlineStr"/>
      <c r="I17" s="6" t="inlineStr"/>
      <c r="J17" s="6" t="n">
        <v>2581751</v>
      </c>
      <c r="K17" s="16" t="n">
        <v>4</v>
      </c>
      <c r="L17" s="2" t="inlineStr">
        <is>
          <t>20260119000261</t>
        </is>
      </c>
      <c r="M17" s="8">
        <f>HYPERLINK("https://dart.fss.or.kr/dsaf001/main.do?rcpNo=20260119000261", "공시열람")</f>
        <v/>
      </c>
    </row>
    <row r="18" ht="22" customHeight="1">
      <c r="A18" s="2" t="inlineStr">
        <is>
          <t>2026-01-19</t>
        </is>
      </c>
      <c r="B18" s="3" t="inlineStr">
        <is>
          <t>엘컴텍</t>
        </is>
      </c>
      <c r="C18" s="2" t="inlineStr">
        <is>
          <t>037950</t>
        </is>
      </c>
      <c r="D18" s="2" t="inlineStr">
        <is>
          <t>대량보유</t>
        </is>
      </c>
      <c r="E18" s="3" t="inlineStr">
        <is>
          <t>㈜파트론</t>
        </is>
      </c>
      <c r="F18" s="3" t="inlineStr">
        <is>
          <t>특별관계자</t>
        </is>
      </c>
      <c r="G18" s="3" t="inlineStr">
        <is>
          <t>장내매도(-), 장내매수(+)</t>
        </is>
      </c>
      <c r="H18" s="15" t="n">
        <v>445848</v>
      </c>
      <c r="I18" s="6" t="n">
        <v>1248</v>
      </c>
      <c r="J18" s="6" t="n">
        <v>47750161</v>
      </c>
      <c r="K18" s="16" t="n">
        <v>3</v>
      </c>
      <c r="L18" s="2" t="inlineStr">
        <is>
          <t>20260119000256</t>
        </is>
      </c>
      <c r="M18" s="8">
        <f>HYPERLINK("https://dart.fss.or.kr/dsaf001/main.do?rcpNo=20260119000256", "공시열람")</f>
        <v/>
      </c>
    </row>
    <row r="19" ht="22" customHeight="1">
      <c r="A19" s="2" t="inlineStr">
        <is>
          <t>2026-01-19</t>
        </is>
      </c>
      <c r="B19" s="3" t="inlineStr">
        <is>
          <t>엘컴텍</t>
        </is>
      </c>
      <c r="C19" s="2" t="inlineStr">
        <is>
          <t>037950</t>
        </is>
      </c>
      <c r="D19" s="2" t="inlineStr">
        <is>
          <t>대량보유</t>
        </is>
      </c>
      <c r="E19" s="3" t="inlineStr">
        <is>
          <t>김종구</t>
        </is>
      </c>
      <c r="F19" s="3" t="inlineStr">
        <is>
          <t>특별관계자</t>
        </is>
      </c>
      <c r="G19" s="3" t="inlineStr">
        <is>
          <t>장내매수(+)</t>
        </is>
      </c>
      <c r="H19" s="15" t="n">
        <v>844107</v>
      </c>
      <c r="I19" s="6" t="n">
        <v>847</v>
      </c>
      <c r="J19" s="6" t="n">
        <v>1834617</v>
      </c>
      <c r="K19" s="16" t="n">
        <v>3</v>
      </c>
      <c r="L19" s="2" t="inlineStr">
        <is>
          <t>20260119000256</t>
        </is>
      </c>
      <c r="M19" s="8">
        <f>HYPERLINK("https://dart.fss.or.kr/dsaf001/main.do?rcpNo=20260119000256", "공시열람")</f>
        <v/>
      </c>
    </row>
    <row r="20" ht="22" customHeight="1">
      <c r="A20" s="2" t="inlineStr">
        <is>
          <t>2026-01-19</t>
        </is>
      </c>
      <c r="B20" s="3" t="inlineStr">
        <is>
          <t>엘컴텍</t>
        </is>
      </c>
      <c r="C20" s="2" t="inlineStr">
        <is>
          <t>037950</t>
        </is>
      </c>
      <c r="D20" s="2" t="inlineStr">
        <is>
          <t>대량보유</t>
        </is>
      </c>
      <c r="E20" s="3" t="inlineStr">
        <is>
          <t>김원근</t>
        </is>
      </c>
      <c r="F20" s="3" t="inlineStr">
        <is>
          <t>특별관계자</t>
        </is>
      </c>
      <c r="G20" s="3" t="inlineStr">
        <is>
          <t>신규보고(+), 장내매도(-)</t>
        </is>
      </c>
      <c r="H20" s="15" t="n">
        <v>50824</v>
      </c>
      <c r="I20" s="6" t="n">
        <v>1456</v>
      </c>
      <c r="J20" s="6" t="n">
        <v>50824</v>
      </c>
      <c r="K20" s="16" t="n">
        <v>3</v>
      </c>
      <c r="L20" s="2" t="inlineStr">
        <is>
          <t>20260119000256</t>
        </is>
      </c>
      <c r="M20" s="8">
        <f>HYPERLINK("https://dart.fss.or.kr/dsaf001/main.do?rcpNo=20260119000256", "공시열람")</f>
        <v/>
      </c>
    </row>
    <row r="21" ht="22" customHeight="1">
      <c r="A21" s="2" t="inlineStr">
        <is>
          <t>2026-01-19</t>
        </is>
      </c>
      <c r="B21" s="3" t="inlineStr">
        <is>
          <t>비보존 제약</t>
        </is>
      </c>
      <c r="C21" s="2" t="inlineStr">
        <is>
          <t>082800</t>
        </is>
      </c>
      <c r="D21" s="2" t="inlineStr">
        <is>
          <t>대량보유</t>
        </is>
      </c>
      <c r="E21" s="3" t="inlineStr">
        <is>
          <t>주식회사 비보존홀딩스</t>
        </is>
      </c>
      <c r="F21" s="3" t="inlineStr">
        <is>
          <t>보고자</t>
        </is>
      </c>
      <c r="G21" s="3" t="inlineStr">
        <is>
          <t>담보유지비율 유지를 위한 추가 근질권 설정납세완료에 따른 납세담보 해제차입금 상환에 따른 근질권 해지</t>
        </is>
      </c>
      <c r="H21" s="6" t="inlineStr"/>
      <c r="I21" s="6" t="inlineStr"/>
      <c r="J21" s="6" t="n">
        <v>19695841</v>
      </c>
      <c r="K21" s="16" t="n">
        <v>2</v>
      </c>
      <c r="L21" s="2" t="inlineStr">
        <is>
          <t>20260119000245</t>
        </is>
      </c>
      <c r="M21" s="8">
        <f>HYPERLINK("https://dart.fss.or.kr/dsaf001/main.do?rcpNo=20260119000245", "공시열람")</f>
        <v/>
      </c>
    </row>
    <row r="22" ht="22" customHeight="1">
      <c r="A22" s="2" t="inlineStr">
        <is>
          <t>2026-01-19</t>
        </is>
      </c>
      <c r="B22" s="3" t="inlineStr">
        <is>
          <t>드림씨아이에스</t>
        </is>
      </c>
      <c r="C22" s="2" t="inlineStr">
        <is>
          <t>223250</t>
        </is>
      </c>
      <c r="D22" s="2" t="inlineStr">
        <is>
          <t>대량보유</t>
        </is>
      </c>
      <c r="E22" s="3" t="inlineStr">
        <is>
          <t>유정희</t>
        </is>
      </c>
      <c r="F22" s="3" t="inlineStr">
        <is>
          <t>특별관계자</t>
        </is>
      </c>
      <c r="G22" s="3" t="inlineStr">
        <is>
          <t>주식매수선택권행사(-), 주식매수선택권행사(+)</t>
        </is>
      </c>
      <c r="H22" s="6" t="inlineStr"/>
      <c r="I22" s="6" t="n">
        <v>3520</v>
      </c>
      <c r="J22" s="6" t="n">
        <v>1249072</v>
      </c>
      <c r="K22" s="16" t="n">
        <v>4</v>
      </c>
      <c r="L22" s="2" t="inlineStr">
        <is>
          <t>20260119000239</t>
        </is>
      </c>
      <c r="M22" s="8">
        <f>HYPERLINK("https://dart.fss.or.kr/dsaf001/main.do?rcpNo=20260119000239", "공시열람")</f>
        <v/>
      </c>
    </row>
    <row r="23" ht="22" customHeight="1">
      <c r="A23" s="2" t="inlineStr">
        <is>
          <t>2026-01-19</t>
        </is>
      </c>
      <c r="B23" s="3" t="inlineStr">
        <is>
          <t>오텍</t>
        </is>
      </c>
      <c r="C23" s="2" t="inlineStr">
        <is>
          <t>067170</t>
        </is>
      </c>
      <c r="D23" s="2" t="inlineStr">
        <is>
          <t>대량보유</t>
        </is>
      </c>
      <c r="E23" s="3" t="inlineStr">
        <is>
          <t>에코리드(주)</t>
        </is>
      </c>
      <c r="F23" s="3" t="inlineStr">
        <is>
          <t>특별관계자</t>
        </is>
      </c>
      <c r="G23" s="3" t="inlineStr">
        <is>
          <t>장내매수(+)</t>
        </is>
      </c>
      <c r="H23" s="15" t="n">
        <v>21006</v>
      </c>
      <c r="I23" s="6" t="n">
        <v>1861</v>
      </c>
      <c r="J23" s="6" t="n">
        <v>999991</v>
      </c>
      <c r="K23" s="16" t="n">
        <v>1</v>
      </c>
      <c r="L23" s="2" t="inlineStr">
        <is>
          <t>20260119000228</t>
        </is>
      </c>
      <c r="M23" s="8">
        <f>HYPERLINK("https://dart.fss.or.kr/dsaf001/main.do?rcpNo=20260119000228", "공시열람")</f>
        <v/>
      </c>
    </row>
    <row r="24" ht="22" customHeight="1">
      <c r="A24" s="2" t="inlineStr">
        <is>
          <t>2026-01-19</t>
        </is>
      </c>
      <c r="B24" s="3" t="inlineStr">
        <is>
          <t>DSR제강</t>
        </is>
      </c>
      <c r="C24" s="2" t="inlineStr">
        <is>
          <t>069730</t>
        </is>
      </c>
      <c r="D24" s="2" t="inlineStr">
        <is>
          <t>임원보고</t>
        </is>
      </c>
      <c r="E24" s="3" t="inlineStr">
        <is>
          <t>-</t>
        </is>
      </c>
      <c r="F24" s="3" t="inlineStr">
        <is>
          <t>-</t>
        </is>
      </c>
      <c r="G24" s="3" t="inlineStr">
        <is>
          <t>-</t>
        </is>
      </c>
      <c r="H24" s="6" t="inlineStr"/>
      <c r="I24" s="6" t="inlineStr"/>
      <c r="J24" s="6" t="inlineStr"/>
      <c r="K24" s="16" t="n">
        <v>12</v>
      </c>
      <c r="L24" s="2" t="inlineStr">
        <is>
          <t>20260119800813</t>
        </is>
      </c>
      <c r="M24" s="8">
        <f>HYPERLINK("https://dart.fss.or.kr/dsaf001/main.do?rcpNo=20260119800813", "공시열람")</f>
        <v/>
      </c>
    </row>
    <row r="25" ht="22" customHeight="1">
      <c r="A25" s="2" t="inlineStr">
        <is>
          <t>2026-01-19</t>
        </is>
      </c>
      <c r="B25" s="3" t="inlineStr">
        <is>
          <t>에쓰씨엔지니어링</t>
        </is>
      </c>
      <c r="C25" s="2" t="inlineStr">
        <is>
          <t>023960</t>
        </is>
      </c>
      <c r="D25" s="2" t="inlineStr">
        <is>
          <t>대량보유</t>
        </is>
      </c>
      <c r="E25" s="3" t="inlineStr">
        <is>
          <t>(주)반도홀딩스</t>
        </is>
      </c>
      <c r="F25" s="3" t="inlineStr">
        <is>
          <t>특별관계자</t>
        </is>
      </c>
      <c r="G25" s="3" t="inlineStr">
        <is>
          <t>장외매수(+)</t>
        </is>
      </c>
      <c r="H25" s="15" t="n">
        <v>4140224</v>
      </c>
      <c r="I25" s="6" t="n">
        <v>5796</v>
      </c>
      <c r="J25" s="6" t="n">
        <v>4140224</v>
      </c>
      <c r="K25" s="16" t="n">
        <v>43.39</v>
      </c>
      <c r="L25" s="2" t="inlineStr">
        <is>
          <t>20260119000225</t>
        </is>
      </c>
      <c r="M25" s="8">
        <f>HYPERLINK("https://dart.fss.or.kr/dsaf001/main.do?rcpNo=20260119000225", "공시열람")</f>
        <v/>
      </c>
    </row>
    <row r="26" ht="22" customHeight="1">
      <c r="A26" s="2" t="inlineStr">
        <is>
          <t>2026-01-19</t>
        </is>
      </c>
      <c r="B26" s="3" t="inlineStr">
        <is>
          <t>윙스풋</t>
        </is>
      </c>
      <c r="C26" s="2" t="inlineStr">
        <is>
          <t>335870</t>
        </is>
      </c>
      <c r="D26" s="2" t="inlineStr">
        <is>
          <t>대량보유</t>
        </is>
      </c>
      <c r="E26" s="3" t="inlineStr">
        <is>
          <t>임신영</t>
        </is>
      </c>
      <c r="F26" s="3" t="inlineStr">
        <is>
          <t>특별관계자</t>
        </is>
      </c>
      <c r="G26" s="3" t="inlineStr">
        <is>
          <t>장내매수(+)</t>
        </is>
      </c>
      <c r="H26" s="15" t="n">
        <v>637047</v>
      </c>
      <c r="I26" s="6" t="n">
        <v>1963</v>
      </c>
      <c r="J26" s="6" t="n">
        <v>1483481</v>
      </c>
      <c r="K26" s="16" t="n">
        <v>4</v>
      </c>
      <c r="L26" s="2" t="inlineStr">
        <is>
          <t>20260119000202</t>
        </is>
      </c>
      <c r="M26" s="8">
        <f>HYPERLINK("https://dart.fss.or.kr/dsaf001/main.do?rcpNo=20260119000202", "공시열람")</f>
        <v/>
      </c>
    </row>
    <row r="27" ht="22" customHeight="1">
      <c r="A27" s="2" t="inlineStr">
        <is>
          <t>2026-01-19</t>
        </is>
      </c>
      <c r="B27" s="3" t="inlineStr">
        <is>
          <t>위메이드</t>
        </is>
      </c>
      <c r="C27" s="2" t="inlineStr">
        <is>
          <t>112040</t>
        </is>
      </c>
      <c r="D27" s="2" t="inlineStr">
        <is>
          <t>대량보유</t>
        </is>
      </c>
      <c r="E27" s="3" t="inlineStr">
        <is>
          <t>박관호</t>
        </is>
      </c>
      <c r="F27" s="3" t="inlineStr">
        <is>
          <t>보고자</t>
        </is>
      </c>
      <c r="G27" s="3" t="inlineStr">
        <is>
          <t>- 기존 보유주식등에 대한 담보계약 만기 연장</t>
        </is>
      </c>
      <c r="H27" s="6" t="inlineStr"/>
      <c r="I27" s="6" t="inlineStr"/>
      <c r="J27" s="6" t="n">
        <v>13353738</v>
      </c>
      <c r="K27" s="16" t="n">
        <v>2</v>
      </c>
      <c r="L27" s="2" t="inlineStr">
        <is>
          <t>20260119000201</t>
        </is>
      </c>
      <c r="M27" s="8">
        <f>HYPERLINK("https://dart.fss.or.kr/dsaf001/main.do?rcpNo=20260119000201", "공시열람")</f>
        <v/>
      </c>
    </row>
    <row r="28" ht="22" customHeight="1">
      <c r="A28" s="2" t="inlineStr">
        <is>
          <t>2026-01-19</t>
        </is>
      </c>
      <c r="B28" s="3" t="inlineStr">
        <is>
          <t>다산솔루에타</t>
        </is>
      </c>
      <c r="C28" s="2" t="inlineStr">
        <is>
          <t>154040</t>
        </is>
      </c>
      <c r="D28" s="2" t="inlineStr">
        <is>
          <t>대량보유</t>
        </is>
      </c>
      <c r="E28" s="3" t="inlineStr">
        <is>
          <t>(주)다산벤처스</t>
        </is>
      </c>
      <c r="F28" s="3" t="inlineStr">
        <is>
          <t>특별관계자</t>
        </is>
      </c>
      <c r="G28" s="3" t="inlineStr">
        <is>
          <t>장내매수(+)</t>
        </is>
      </c>
      <c r="H28" s="15" t="n">
        <v>199811</v>
      </c>
      <c r="I28" s="6" t="n">
        <v>1148</v>
      </c>
      <c r="J28" s="6" t="n">
        <v>6973313</v>
      </c>
      <c r="K28" s="16" t="n">
        <v>5</v>
      </c>
      <c r="L28" s="2" t="inlineStr">
        <is>
          <t>20260119000197</t>
        </is>
      </c>
      <c r="M28" s="8">
        <f>HYPERLINK("https://dart.fss.or.kr/dsaf001/main.do?rcpNo=20260119000197", "공시열람")</f>
        <v/>
      </c>
    </row>
    <row r="29" ht="22" customHeight="1">
      <c r="A29" s="2" t="inlineStr">
        <is>
          <t>2026-01-19</t>
        </is>
      </c>
      <c r="B29" s="3" t="inlineStr">
        <is>
          <t>고영</t>
        </is>
      </c>
      <c r="C29" s="2" t="inlineStr">
        <is>
          <t>098460</t>
        </is>
      </c>
      <c r="D29" s="2" t="inlineStr">
        <is>
          <t>대량보유</t>
        </is>
      </c>
      <c r="E29" s="3" t="inlineStr">
        <is>
          <t>신종훈</t>
        </is>
      </c>
      <c r="F29" s="3" t="inlineStr">
        <is>
          <t>특별관계자</t>
        </is>
      </c>
      <c r="G29" s="3" t="inlineStr">
        <is>
          <t>임원퇴임(-)</t>
        </is>
      </c>
      <c r="H29" s="17" t="n">
        <v>-5569</v>
      </c>
      <c r="I29" s="6" t="inlineStr"/>
      <c r="J29" s="6" t="inlineStr"/>
      <c r="K29" s="16" t="n">
        <v>19</v>
      </c>
      <c r="L29" s="2" t="inlineStr">
        <is>
          <t>20260119000190</t>
        </is>
      </c>
      <c r="M29" s="8">
        <f>HYPERLINK("https://dart.fss.or.kr/dsaf001/main.do?rcpNo=20260119000190", "공시열람")</f>
        <v/>
      </c>
    </row>
    <row r="30" ht="22" customHeight="1">
      <c r="A30" s="2" t="inlineStr">
        <is>
          <t>2026-01-19</t>
        </is>
      </c>
      <c r="B30" s="3" t="inlineStr">
        <is>
          <t>와이투솔루션</t>
        </is>
      </c>
      <c r="C30" s="2" t="inlineStr">
        <is>
          <t>011690</t>
        </is>
      </c>
      <c r="D30" s="2" t="inlineStr">
        <is>
          <t>임원보고</t>
        </is>
      </c>
      <c r="E30" s="3" t="inlineStr">
        <is>
          <t>-</t>
        </is>
      </c>
      <c r="F30" s="3" t="inlineStr">
        <is>
          <t>-</t>
        </is>
      </c>
      <c r="G30" s="3" t="inlineStr">
        <is>
          <t>-</t>
        </is>
      </c>
      <c r="H30" s="6" t="inlineStr"/>
      <c r="I30" s="6" t="inlineStr"/>
      <c r="J30" s="6" t="inlineStr"/>
      <c r="K30" s="16" t="n">
        <v>12</v>
      </c>
      <c r="L30" s="2" t="inlineStr">
        <is>
          <t>20260119800698</t>
        </is>
      </c>
      <c r="M30" s="8">
        <f>HYPERLINK("https://dart.fss.or.kr/dsaf001/main.do?rcpNo=20260119800698", "공시열람")</f>
        <v/>
      </c>
    </row>
    <row r="31" ht="22" customHeight="1">
      <c r="A31" s="2" t="inlineStr">
        <is>
          <t>2026-01-19</t>
        </is>
      </c>
      <c r="B31" s="3" t="inlineStr">
        <is>
          <t>백산</t>
        </is>
      </c>
      <c r="C31" s="2" t="inlineStr">
        <is>
          <t>035150</t>
        </is>
      </c>
      <c r="D31" s="2" t="inlineStr">
        <is>
          <t>임원보고</t>
        </is>
      </c>
      <c r="E31" s="3" t="inlineStr">
        <is>
          <t>-</t>
        </is>
      </c>
      <c r="F31" s="3" t="inlineStr">
        <is>
          <t>-</t>
        </is>
      </c>
      <c r="G31" s="3" t="inlineStr">
        <is>
          <t>-</t>
        </is>
      </c>
      <c r="H31" s="6" t="inlineStr"/>
      <c r="I31" s="6" t="inlineStr"/>
      <c r="J31" s="6" t="inlineStr"/>
      <c r="K31" s="16" t="n">
        <v>12</v>
      </c>
      <c r="L31" s="2" t="inlineStr">
        <is>
          <t>20260119800689</t>
        </is>
      </c>
      <c r="M31" s="8">
        <f>HYPERLINK("https://dart.fss.or.kr/dsaf001/main.do?rcpNo=20260119800689", "공시열람")</f>
        <v/>
      </c>
    </row>
    <row r="32" ht="22" customHeight="1">
      <c r="A32" s="2" t="inlineStr">
        <is>
          <t>2026-01-19</t>
        </is>
      </c>
      <c r="B32" s="3" t="inlineStr">
        <is>
          <t>페스카로</t>
        </is>
      </c>
      <c r="C32" s="2" t="inlineStr">
        <is>
          <t>0015S0</t>
        </is>
      </c>
      <c r="D32" s="2" t="inlineStr">
        <is>
          <t>대량보유</t>
        </is>
      </c>
      <c r="E32" s="3" t="inlineStr">
        <is>
          <t>한화시큐리티테크신기술투자조합</t>
        </is>
      </c>
      <c r="F32" s="3" t="inlineStr">
        <is>
          <t>특별관계자</t>
        </is>
      </c>
      <c r="G32" s="3" t="inlineStr">
        <is>
          <t>장내매도(-)</t>
        </is>
      </c>
      <c r="H32" s="17" t="n">
        <v>-193906</v>
      </c>
      <c r="I32" s="6" t="n">
        <v>18143</v>
      </c>
      <c r="J32" s="6" t="n">
        <v>307123</v>
      </c>
      <c r="K32" s="16" t="n">
        <v>1</v>
      </c>
      <c r="L32" s="2" t="inlineStr">
        <is>
          <t>20260119000178</t>
        </is>
      </c>
      <c r="M32" s="8">
        <f>HYPERLINK("https://dart.fss.or.kr/dsaf001/main.do?rcpNo=20260119000178", "공시열람")</f>
        <v/>
      </c>
    </row>
    <row r="33" ht="22" customHeight="1">
      <c r="A33" s="2" t="inlineStr">
        <is>
          <t>2026-01-19</t>
        </is>
      </c>
      <c r="B33" s="3" t="inlineStr">
        <is>
          <t>와이투솔루션</t>
        </is>
      </c>
      <c r="C33" s="2" t="inlineStr">
        <is>
          <t>011690</t>
        </is>
      </c>
      <c r="D33" s="2" t="inlineStr">
        <is>
          <t>대량보유</t>
        </is>
      </c>
      <c r="E33" s="3" t="inlineStr">
        <is>
          <t>이준용</t>
        </is>
      </c>
      <c r="F33" s="3" t="inlineStr">
        <is>
          <t>특별관계자</t>
        </is>
      </c>
      <c r="G33" s="3" t="inlineStr">
        <is>
          <t>장내매수(+)</t>
        </is>
      </c>
      <c r="H33" s="15" t="n">
        <v>68000</v>
      </c>
      <c r="I33" s="6" t="n">
        <v>4293</v>
      </c>
      <c r="J33" s="6" t="n">
        <v>227739</v>
      </c>
      <c r="K33" s="16" t="n">
        <v>1</v>
      </c>
      <c r="L33" s="2" t="inlineStr">
        <is>
          <t>20260119000173</t>
        </is>
      </c>
      <c r="M33" s="8">
        <f>HYPERLINK("https://dart.fss.or.kr/dsaf001/main.do?rcpNo=20260119000173", "공시열람")</f>
        <v/>
      </c>
    </row>
    <row r="34" ht="22" customHeight="1">
      <c r="A34" s="2" t="inlineStr">
        <is>
          <t>2026-01-19</t>
        </is>
      </c>
      <c r="B34" s="3" t="inlineStr">
        <is>
          <t>애드바이오텍</t>
        </is>
      </c>
      <c r="C34" s="2" t="inlineStr">
        <is>
          <t>179530</t>
        </is>
      </c>
      <c r="D34" s="2" t="inlineStr">
        <is>
          <t>대량보유</t>
        </is>
      </c>
      <c r="E34" s="3" t="inlineStr">
        <is>
          <t>문나혜</t>
        </is>
      </c>
      <c r="F34" s="3" t="inlineStr">
        <is>
          <t>특별관계자</t>
        </is>
      </c>
      <c r="G34" s="3" t="inlineStr">
        <is>
          <t>장외매도(-)</t>
        </is>
      </c>
      <c r="H34" s="17" t="n">
        <v>-28363</v>
      </c>
      <c r="I34" s="6" t="n">
        <v>1687</v>
      </c>
      <c r="J34" s="6" t="inlineStr"/>
      <c r="K34" s="16" t="n">
        <v>1</v>
      </c>
      <c r="L34" s="2" t="inlineStr">
        <is>
          <t>20260119000150</t>
        </is>
      </c>
      <c r="M34" s="8">
        <f>HYPERLINK("https://dart.fss.or.kr/dsaf001/main.do?rcpNo=20260119000150", "공시열람")</f>
        <v/>
      </c>
    </row>
    <row r="35" ht="22" customHeight="1">
      <c r="A35" s="2" t="inlineStr">
        <is>
          <t>2026-01-19</t>
        </is>
      </c>
      <c r="B35" s="3" t="inlineStr">
        <is>
          <t>애드바이오텍</t>
        </is>
      </c>
      <c r="C35" s="2" t="inlineStr">
        <is>
          <t>179530</t>
        </is>
      </c>
      <c r="D35" s="2" t="inlineStr">
        <is>
          <t>대량보유</t>
        </is>
      </c>
      <c r="E35" s="3" t="inlineStr">
        <is>
          <t>이트론주식회사</t>
        </is>
      </c>
      <c r="F35" s="3" t="inlineStr">
        <is>
          <t>특별관계자</t>
        </is>
      </c>
      <c r="G35" s="3" t="inlineStr">
        <is>
          <t>장외매수(+), 제3자배정유상증자(+)</t>
        </is>
      </c>
      <c r="H35" s="15" t="n">
        <v>3347614</v>
      </c>
      <c r="I35" s="6" t="n">
        <v>1687</v>
      </c>
      <c r="J35" s="6" t="n">
        <v>3319251</v>
      </c>
      <c r="K35" s="16" t="n">
        <v>1</v>
      </c>
      <c r="L35" s="2" t="inlineStr">
        <is>
          <t>20260119000150</t>
        </is>
      </c>
      <c r="M35" s="8">
        <f>HYPERLINK("https://dart.fss.or.kr/dsaf001/main.do?rcpNo=20260119000150", "공시열람")</f>
        <v/>
      </c>
    </row>
    <row r="36" ht="22" customHeight="1">
      <c r="A36" s="2" t="inlineStr">
        <is>
          <t>2026-01-19</t>
        </is>
      </c>
      <c r="B36" s="3" t="inlineStr">
        <is>
          <t>에이에스텍</t>
        </is>
      </c>
      <c r="C36" s="2" t="inlineStr">
        <is>
          <t>453860</t>
        </is>
      </c>
      <c r="D36" s="2" t="inlineStr">
        <is>
          <t>대량보유</t>
        </is>
      </c>
      <c r="E36" s="3" t="inlineStr">
        <is>
          <t>윤종배</t>
        </is>
      </c>
      <c r="F36" s="3" t="inlineStr">
        <is>
          <t>보고자</t>
        </is>
      </c>
      <c r="G36" s="3" t="inlineStr">
        <is>
          <t>주식담보계약 변경</t>
        </is>
      </c>
      <c r="H36" s="6" t="inlineStr"/>
      <c r="I36" s="6" t="inlineStr"/>
      <c r="J36" s="6" t="n">
        <v>2836697</v>
      </c>
      <c r="K36" s="16" t="n">
        <v>4</v>
      </c>
      <c r="L36" s="2" t="inlineStr">
        <is>
          <t>20260119000148</t>
        </is>
      </c>
      <c r="M36" s="8">
        <f>HYPERLINK("https://dart.fss.or.kr/dsaf001/main.do?rcpNo=20260119000148", "공시열람")</f>
        <v/>
      </c>
    </row>
    <row r="37" ht="22" customHeight="1">
      <c r="A37" s="2" t="inlineStr">
        <is>
          <t>2026-01-19</t>
        </is>
      </c>
      <c r="B37" s="3" t="inlineStr">
        <is>
          <t>현대사료</t>
        </is>
      </c>
      <c r="C37" s="2" t="inlineStr">
        <is>
          <t>016790</t>
        </is>
      </c>
      <c r="D37" s="2" t="inlineStr">
        <is>
          <t>대량보유</t>
        </is>
      </c>
      <c r="E37" s="3" t="inlineStr">
        <is>
          <t>(주)비에스제이에스</t>
        </is>
      </c>
      <c r="F37" s="3" t="inlineStr">
        <is>
          <t>특별관계자</t>
        </is>
      </c>
      <c r="G37" s="3" t="inlineStr">
        <is>
          <t>회사분할</t>
        </is>
      </c>
      <c r="H37" s="15" t="n">
        <v>76226883</v>
      </c>
      <c r="I37" s="6" t="inlineStr"/>
      <c r="J37" s="6" t="n">
        <v>76226883</v>
      </c>
      <c r="K37" s="16" t="n">
        <v>3</v>
      </c>
      <c r="L37" s="2" t="inlineStr">
        <is>
          <t>20260119000136</t>
        </is>
      </c>
      <c r="M37" s="8">
        <f>HYPERLINK("https://dart.fss.or.kr/dsaf001/main.do?rcpNo=20260119000136", "공시열람")</f>
        <v/>
      </c>
    </row>
    <row r="38" ht="22" customHeight="1">
      <c r="A38" s="2" t="inlineStr">
        <is>
          <t>2026-01-19</t>
        </is>
      </c>
      <c r="B38" s="3" t="inlineStr">
        <is>
          <t>현대사료</t>
        </is>
      </c>
      <c r="C38" s="2" t="inlineStr">
        <is>
          <t>016790</t>
        </is>
      </c>
      <c r="D38" s="2" t="inlineStr">
        <is>
          <t>대량보유</t>
        </is>
      </c>
      <c r="E38" s="3" t="inlineStr">
        <is>
          <t>(주)비에스제이홀딩스</t>
        </is>
      </c>
      <c r="F38" s="3" t="inlineStr">
        <is>
          <t>특별관계자</t>
        </is>
      </c>
      <c r="G38" s="3" t="inlineStr">
        <is>
          <t>신규보고(+)</t>
        </is>
      </c>
      <c r="H38" s="15" t="n">
        <v>999128</v>
      </c>
      <c r="I38" s="6" t="inlineStr"/>
      <c r="J38" s="6" t="n">
        <v>999128</v>
      </c>
      <c r="K38" s="16" t="n">
        <v>3</v>
      </c>
      <c r="L38" s="2" t="inlineStr">
        <is>
          <t>20260119000136</t>
        </is>
      </c>
      <c r="M38" s="8">
        <f>HYPERLINK("https://dart.fss.or.kr/dsaf001/main.do?rcpNo=20260119000136", "공시열람")</f>
        <v/>
      </c>
    </row>
    <row r="39" ht="22" customHeight="1">
      <c r="A39" s="2" t="inlineStr">
        <is>
          <t>2026-01-19</t>
        </is>
      </c>
      <c r="B39" s="3" t="inlineStr">
        <is>
          <t>현대사료</t>
        </is>
      </c>
      <c r="C39" s="2" t="inlineStr">
        <is>
          <t>016790</t>
        </is>
      </c>
      <c r="D39" s="2" t="inlineStr">
        <is>
          <t>대량보유</t>
        </is>
      </c>
      <c r="E39" s="3" t="inlineStr">
        <is>
          <t>윤희정</t>
        </is>
      </c>
      <c r="F39" s="3" t="inlineStr">
        <is>
          <t>특별관계자</t>
        </is>
      </c>
      <c r="G39" s="3" t="inlineStr">
        <is>
          <t>신규보고(+)</t>
        </is>
      </c>
      <c r="H39" s="15" t="n">
        <v>70146</v>
      </c>
      <c r="I39" s="6" t="inlineStr"/>
      <c r="J39" s="6" t="n">
        <v>70146</v>
      </c>
      <c r="K39" s="16" t="n">
        <v>3</v>
      </c>
      <c r="L39" s="2" t="inlineStr">
        <is>
          <t>20260119000136</t>
        </is>
      </c>
      <c r="M39" s="8">
        <f>HYPERLINK("https://dart.fss.or.kr/dsaf001/main.do?rcpNo=20260119000136", "공시열람")</f>
        <v/>
      </c>
    </row>
    <row r="40" ht="22" customHeight="1">
      <c r="A40" s="2" t="inlineStr">
        <is>
          <t>2026-01-19</t>
        </is>
      </c>
      <c r="B40" s="3" t="inlineStr">
        <is>
          <t>현대사료</t>
        </is>
      </c>
      <c r="C40" s="2" t="inlineStr">
        <is>
          <t>016790</t>
        </is>
      </c>
      <c r="D40" s="2" t="inlineStr">
        <is>
          <t>대량보유</t>
        </is>
      </c>
      <c r="E40" s="3" t="inlineStr">
        <is>
          <t>(주)뜰안채건설</t>
        </is>
      </c>
      <c r="F40" s="3" t="inlineStr">
        <is>
          <t>특별관계자</t>
        </is>
      </c>
      <c r="G40" s="3" t="inlineStr">
        <is>
          <t>회사분할</t>
        </is>
      </c>
      <c r="H40" s="17" t="n">
        <v>-76226883</v>
      </c>
      <c r="I40" s="6" t="inlineStr"/>
      <c r="J40" s="6" t="inlineStr"/>
      <c r="K40" s="16" t="n">
        <v>1</v>
      </c>
      <c r="L40" s="2" t="inlineStr">
        <is>
          <t>20260119000125</t>
        </is>
      </c>
      <c r="M40" s="8">
        <f>HYPERLINK("https://dart.fss.or.kr/dsaf001/main.do?rcpNo=20260119000125", "공시열람")</f>
        <v/>
      </c>
    </row>
    <row r="41" ht="22" customHeight="1">
      <c r="A41" s="2" t="inlineStr">
        <is>
          <t>2026-01-19</t>
        </is>
      </c>
      <c r="B41" s="3" t="inlineStr">
        <is>
          <t>에코프로</t>
        </is>
      </c>
      <c r="C41" s="2" t="inlineStr">
        <is>
          <t>086520</t>
        </is>
      </c>
      <c r="D41" s="2" t="inlineStr">
        <is>
          <t>대량보유</t>
        </is>
      </c>
      <c r="E41" s="3" t="inlineStr">
        <is>
          <t>김수연</t>
        </is>
      </c>
      <c r="F41" s="3" t="inlineStr">
        <is>
          <t>특별관계자</t>
        </is>
      </c>
      <c r="G41" s="3" t="inlineStr">
        <is>
          <t>장내매도(-)</t>
        </is>
      </c>
      <c r="H41" s="17" t="n">
        <v>-1566</v>
      </c>
      <c r="I41" s="6" t="n">
        <v>92700</v>
      </c>
      <c r="J41" s="6" t="inlineStr"/>
      <c r="K41" s="16" t="n">
        <v>14</v>
      </c>
      <c r="L41" s="2" t="inlineStr">
        <is>
          <t>20260119000100</t>
        </is>
      </c>
      <c r="M41" s="8">
        <f>HYPERLINK("https://dart.fss.or.kr/dsaf001/main.do?rcpNo=20260119000100", "공시열람")</f>
        <v/>
      </c>
    </row>
    <row r="42" ht="22" customHeight="1">
      <c r="A42" s="2" t="inlineStr">
        <is>
          <t>2026-01-19</t>
        </is>
      </c>
      <c r="B42" s="3" t="inlineStr">
        <is>
          <t>백금T&amp;A</t>
        </is>
      </c>
      <c r="C42" s="2" t="inlineStr">
        <is>
          <t>046310</t>
        </is>
      </c>
      <c r="D42" s="2" t="inlineStr">
        <is>
          <t>대량보유</t>
        </is>
      </c>
      <c r="E42" s="3" t="inlineStr">
        <is>
          <t>김병남</t>
        </is>
      </c>
      <c r="F42" s="3" t="inlineStr">
        <is>
          <t>특별관계자</t>
        </is>
      </c>
      <c r="G42" s="3" t="inlineStr">
        <is>
          <t>장내매수(+)</t>
        </is>
      </c>
      <c r="H42" s="15" t="n">
        <v>10100</v>
      </c>
      <c r="I42" s="6" t="n">
        <v>2030</v>
      </c>
      <c r="J42" s="6" t="n">
        <v>30100</v>
      </c>
      <c r="K42" s="16" t="n">
        <v>5</v>
      </c>
      <c r="L42" s="2" t="inlineStr">
        <is>
          <t>20260119000082</t>
        </is>
      </c>
      <c r="M42" s="8">
        <f>HYPERLINK("https://dart.fss.or.kr/dsaf001/main.do?rcpNo=20260119000082", "공시열람")</f>
        <v/>
      </c>
    </row>
    <row r="43" ht="22" customHeight="1">
      <c r="A43" s="2" t="inlineStr">
        <is>
          <t>2026-01-19</t>
        </is>
      </c>
      <c r="B43" s="3" t="inlineStr">
        <is>
          <t>백금T&amp;A</t>
        </is>
      </c>
      <c r="C43" s="2" t="inlineStr">
        <is>
          <t>046310</t>
        </is>
      </c>
      <c r="D43" s="2" t="inlineStr">
        <is>
          <t>대량보유</t>
        </is>
      </c>
      <c r="E43" s="3" t="inlineStr">
        <is>
          <t>김이태</t>
        </is>
      </c>
      <c r="F43" s="3" t="inlineStr">
        <is>
          <t>특별관계자</t>
        </is>
      </c>
      <c r="G43" s="3" t="inlineStr">
        <is>
          <t>장내매도(-)</t>
        </is>
      </c>
      <c r="H43" s="17" t="n">
        <v>-20000</v>
      </c>
      <c r="I43" s="6" t="n">
        <v>4600</v>
      </c>
      <c r="J43" s="6" t="n">
        <v>38999</v>
      </c>
      <c r="K43" s="16" t="n">
        <v>5</v>
      </c>
      <c r="L43" s="2" t="inlineStr">
        <is>
          <t>20260119000082</t>
        </is>
      </c>
      <c r="M43" s="8">
        <f>HYPERLINK("https://dart.fss.or.kr/dsaf001/main.do?rcpNo=20260119000082", "공시열람")</f>
        <v/>
      </c>
    </row>
    <row r="44" ht="22" customHeight="1">
      <c r="A44" s="2" t="inlineStr">
        <is>
          <t>2026-01-19</t>
        </is>
      </c>
      <c r="B44" s="3" t="inlineStr">
        <is>
          <t>인산가</t>
        </is>
      </c>
      <c r="C44" s="2" t="inlineStr">
        <is>
          <t>277410</t>
        </is>
      </c>
      <c r="D44" s="2" t="inlineStr">
        <is>
          <t>대량보유</t>
        </is>
      </c>
      <c r="E44" s="3" t="inlineStr">
        <is>
          <t>김윤세</t>
        </is>
      </c>
      <c r="F44" s="3" t="inlineStr">
        <is>
          <t>특별관계자</t>
        </is>
      </c>
      <c r="G44" s="3" t="inlineStr">
        <is>
          <t>장내매수(+)</t>
        </is>
      </c>
      <c r="H44" s="15" t="n">
        <v>30000</v>
      </c>
      <c r="I44" s="6" t="n">
        <v>1169</v>
      </c>
      <c r="J44" s="6" t="n">
        <v>8500000</v>
      </c>
      <c r="K44" s="16" t="n">
        <v>7</v>
      </c>
      <c r="L44" s="2" t="inlineStr">
        <is>
          <t>20260119000076</t>
        </is>
      </c>
      <c r="M44" s="8">
        <f>HYPERLINK("https://dart.fss.or.kr/dsaf001/main.do?rcpNo=20260119000076", "공시열람")</f>
        <v/>
      </c>
    </row>
    <row r="45" ht="22" customHeight="1">
      <c r="A45" s="2" t="inlineStr">
        <is>
          <t>2026-01-19</t>
        </is>
      </c>
      <c r="B45" s="3" t="inlineStr">
        <is>
          <t>APS</t>
        </is>
      </c>
      <c r="C45" s="2" t="inlineStr">
        <is>
          <t>054620</t>
        </is>
      </c>
      <c r="D45" s="2" t="inlineStr">
        <is>
          <t>대량보유</t>
        </is>
      </c>
      <c r="E45" s="3" t="inlineStr">
        <is>
          <t>정기로</t>
        </is>
      </c>
      <c r="F45" s="3" t="inlineStr">
        <is>
          <t>특별관계자</t>
        </is>
      </c>
      <c r="G45" s="3" t="inlineStr">
        <is>
          <t>장내매수(+)</t>
        </is>
      </c>
      <c r="H45" s="15" t="n">
        <v>20000</v>
      </c>
      <c r="I45" s="6" t="n">
        <v>3688</v>
      </c>
      <c r="J45" s="6" t="n">
        <v>6505646</v>
      </c>
      <c r="K45" s="16" t="n">
        <v>5</v>
      </c>
      <c r="L45" s="2" t="inlineStr">
        <is>
          <t>20260119000063</t>
        </is>
      </c>
      <c r="M45" s="8">
        <f>HYPERLINK("https://dart.fss.or.kr/dsaf001/main.do?rcpNo=20260119000063", "공시열람")</f>
        <v/>
      </c>
    </row>
    <row r="46" ht="22" customHeight="1">
      <c r="A46" s="2" t="inlineStr">
        <is>
          <t>2026-01-19</t>
        </is>
      </c>
      <c r="B46" s="3" t="inlineStr">
        <is>
          <t>시지메드텍</t>
        </is>
      </c>
      <c r="C46" s="2" t="inlineStr">
        <is>
          <t>056090</t>
        </is>
      </c>
      <c r="D46" s="2" t="inlineStr">
        <is>
          <t>대량보유</t>
        </is>
      </c>
      <c r="E46" s="3" t="inlineStr">
        <is>
          <t>㈜시지바이오</t>
        </is>
      </c>
      <c r="F46" s="3" t="inlineStr">
        <is>
          <t>특별관계자</t>
        </is>
      </c>
      <c r="G46" s="3" t="inlineStr">
        <is>
          <t>회사분할</t>
        </is>
      </c>
      <c r="H46" s="15" t="n">
        <v>41724450</v>
      </c>
      <c r="I46" s="6" t="inlineStr"/>
      <c r="J46" s="6" t="n">
        <v>41724450</v>
      </c>
      <c r="K46" s="16" t="n">
        <v>40.41</v>
      </c>
      <c r="L46" s="2" t="inlineStr">
        <is>
          <t>20260119000049</t>
        </is>
      </c>
      <c r="M46" s="8">
        <f>HYPERLINK("https://dart.fss.or.kr/dsaf001/main.do?rcpNo=20260119000049", "공시열람")</f>
        <v/>
      </c>
    </row>
    <row r="47" ht="22" customHeight="1">
      <c r="A47" s="2" t="inlineStr">
        <is>
          <t>2026-01-19</t>
        </is>
      </c>
      <c r="B47" s="3" t="inlineStr">
        <is>
          <t>시지메드텍</t>
        </is>
      </c>
      <c r="C47" s="2" t="inlineStr">
        <is>
          <t>056090</t>
        </is>
      </c>
      <c r="D47" s="2" t="inlineStr">
        <is>
          <t>대량보유</t>
        </is>
      </c>
      <c r="E47" s="3" t="inlineStr">
        <is>
          <t>㈜에이하나</t>
        </is>
      </c>
      <c r="F47" s="3" t="inlineStr">
        <is>
          <t>특별관계자</t>
        </is>
      </c>
      <c r="G47" s="3" t="inlineStr">
        <is>
          <t>회사분할</t>
        </is>
      </c>
      <c r="H47" s="17" t="n">
        <v>-41724450</v>
      </c>
      <c r="I47" s="6" t="inlineStr"/>
      <c r="J47" s="6" t="inlineStr"/>
      <c r="K47" s="18" t="inlineStr"/>
      <c r="L47" s="2" t="inlineStr">
        <is>
          <t>20260119000047</t>
        </is>
      </c>
      <c r="M47" s="8">
        <f>HYPERLINK("https://dart.fss.or.kr/dsaf001/main.do?rcpNo=20260119000047", "공시열람")</f>
        <v/>
      </c>
    </row>
    <row r="48" ht="22" customHeight="1">
      <c r="A48" s="2" t="inlineStr">
        <is>
          <t>2026-01-19</t>
        </is>
      </c>
      <c r="B48" s="3" t="inlineStr">
        <is>
          <t>시지메드텍</t>
        </is>
      </c>
      <c r="C48" s="2" t="inlineStr">
        <is>
          <t>056090</t>
        </is>
      </c>
      <c r="D48" s="2" t="inlineStr">
        <is>
          <t>대량보유</t>
        </is>
      </c>
      <c r="E48" s="3" t="inlineStr">
        <is>
          <t>정주미</t>
        </is>
      </c>
      <c r="F48" s="3" t="inlineStr">
        <is>
          <t>특별관계자</t>
        </is>
      </c>
      <c r="G48" s="3" t="inlineStr">
        <is>
          <t>임원퇴임(-)</t>
        </is>
      </c>
      <c r="H48" s="17" t="n">
        <v>-6000</v>
      </c>
      <c r="I48" s="6" t="inlineStr"/>
      <c r="J48" s="6" t="inlineStr"/>
      <c r="K48" s="18" t="inlineStr"/>
      <c r="L48" s="2" t="inlineStr">
        <is>
          <t>20260119000047</t>
        </is>
      </c>
      <c r="M48" s="8">
        <f>HYPERLINK("https://dart.fss.or.kr/dsaf001/main.do?rcpNo=20260119000047", "공시열람")</f>
        <v/>
      </c>
    </row>
    <row r="49" ht="22" customHeight="1">
      <c r="A49" s="2" t="inlineStr">
        <is>
          <t>2026-01-19</t>
        </is>
      </c>
      <c r="B49" s="3" t="inlineStr">
        <is>
          <t>아이디스</t>
        </is>
      </c>
      <c r="C49" s="2" t="inlineStr">
        <is>
          <t>143160</t>
        </is>
      </c>
      <c r="D49" s="2" t="inlineStr">
        <is>
          <t>대량보유</t>
        </is>
      </c>
      <c r="E49" s="3" t="inlineStr">
        <is>
          <t>㈜코텍</t>
        </is>
      </c>
      <c r="F49" s="3" t="inlineStr">
        <is>
          <t>특별관계자</t>
        </is>
      </c>
      <c r="G49" s="3" t="inlineStr">
        <is>
          <t>장내매수(+)</t>
        </is>
      </c>
      <c r="H49" s="15" t="n">
        <v>113841</v>
      </c>
      <c r="I49" s="6" t="n">
        <v>17767</v>
      </c>
      <c r="J49" s="6" t="n">
        <v>455431</v>
      </c>
      <c r="K49" s="16" t="n">
        <v>3</v>
      </c>
      <c r="L49" s="2" t="inlineStr">
        <is>
          <t>20260119000034</t>
        </is>
      </c>
      <c r="M49" s="8">
        <f>HYPERLINK("https://dart.fss.or.kr/dsaf001/main.do?rcpNo=20260119000034", "공시열람")</f>
        <v/>
      </c>
    </row>
    <row r="50" ht="22" customHeight="1">
      <c r="A50" s="2" t="inlineStr">
        <is>
          <t>2026-01-19 (정정: 2026-02-02)</t>
        </is>
      </c>
      <c r="B50" s="3" t="inlineStr">
        <is>
          <t>아시아경제</t>
        </is>
      </c>
      <c r="C50" s="2" t="inlineStr">
        <is>
          <t>127710</t>
        </is>
      </c>
      <c r="D50" s="2" t="inlineStr">
        <is>
          <t>대량보유</t>
        </is>
      </c>
      <c r="E50" s="3" t="inlineStr">
        <is>
          <t>-</t>
        </is>
      </c>
      <c r="F50" s="3" t="inlineStr">
        <is>
          <t>보고자</t>
        </is>
      </c>
      <c r="G50" s="3" t="inlineStr">
        <is>
          <t>-</t>
        </is>
      </c>
      <c r="H50" s="6" t="inlineStr"/>
      <c r="I50" s="6" t="inlineStr"/>
      <c r="J50" s="6" t="inlineStr"/>
      <c r="K50" s="18" t="inlineStr"/>
      <c r="L50" s="2" t="inlineStr">
        <is>
          <t>20260202901822</t>
        </is>
      </c>
      <c r="M50" s="8">
        <f>HYPERLINK("https://dart.fss.or.kr/dsaf001/main.do?rcpNo=20260202901822", "공시열람")</f>
        <v/>
      </c>
    </row>
    <row r="51" ht="22" customHeight="1">
      <c r="A51" s="2" t="inlineStr">
        <is>
          <t>2026-01-29</t>
        </is>
      </c>
      <c r="B51" s="3" t="inlineStr">
        <is>
          <t>윙스풋</t>
        </is>
      </c>
      <c r="C51" s="2" t="inlineStr">
        <is>
          <t>335870</t>
        </is>
      </c>
      <c r="D51" s="2" t="inlineStr">
        <is>
          <t>대량보유</t>
        </is>
      </c>
      <c r="E51" s="3" t="inlineStr">
        <is>
          <t>임신영</t>
        </is>
      </c>
      <c r="F51" s="3" t="inlineStr">
        <is>
          <t>특별관계자</t>
        </is>
      </c>
      <c r="G51" s="3" t="inlineStr">
        <is>
          <t>장내매수(+)</t>
        </is>
      </c>
      <c r="H51" s="15" t="n">
        <v>28112</v>
      </c>
      <c r="I51" s="6" t="n">
        <v>2331</v>
      </c>
      <c r="J51" s="6" t="n">
        <v>1511593</v>
      </c>
      <c r="K51" s="16" t="n">
        <v>4</v>
      </c>
      <c r="L51" s="2" t="inlineStr">
        <is>
          <t>20260129000759</t>
        </is>
      </c>
      <c r="M51" s="8">
        <f>HYPERLINK("https://dart.fss.or.kr/dsaf001/main.do?rcpNo=20260129000759", "공시열람")</f>
        <v/>
      </c>
    </row>
    <row r="52" ht="22" customHeight="1">
      <c r="A52" s="2" t="inlineStr">
        <is>
          <t>2026-01-29</t>
        </is>
      </c>
      <c r="B52" s="3" t="inlineStr">
        <is>
          <t>윙스풋</t>
        </is>
      </c>
      <c r="C52" s="2" t="inlineStr">
        <is>
          <t>335870</t>
        </is>
      </c>
      <c r="D52" s="2" t="inlineStr">
        <is>
          <t>대량보유</t>
        </is>
      </c>
      <c r="E52" s="3" t="inlineStr">
        <is>
          <t>(주)모티바코리아</t>
        </is>
      </c>
      <c r="F52" s="3" t="inlineStr">
        <is>
          <t>특별관계자</t>
        </is>
      </c>
      <c r="G52" s="3" t="inlineStr">
        <is>
          <t>장외매수(+)</t>
        </is>
      </c>
      <c r="H52" s="15" t="n">
        <v>389238</v>
      </c>
      <c r="I52" s="6" t="n">
        <v>3411</v>
      </c>
      <c r="J52" s="6" t="n">
        <v>9848671</v>
      </c>
      <c r="K52" s="16" t="n">
        <v>4</v>
      </c>
      <c r="L52" s="2" t="inlineStr">
        <is>
          <t>20260129000759</t>
        </is>
      </c>
      <c r="M52" s="8">
        <f>HYPERLINK("https://dart.fss.or.kr/dsaf001/main.do?rcpNo=20260129000759", "공시열람")</f>
        <v/>
      </c>
    </row>
    <row r="53" ht="22" customHeight="1">
      <c r="A53" s="2" t="inlineStr">
        <is>
          <t>2026-01-29</t>
        </is>
      </c>
      <c r="B53" s="3" t="inlineStr">
        <is>
          <t>윙스풋</t>
        </is>
      </c>
      <c r="C53" s="2" t="inlineStr">
        <is>
          <t>335870</t>
        </is>
      </c>
      <c r="D53" s="2" t="inlineStr">
        <is>
          <t>대량보유</t>
        </is>
      </c>
      <c r="E53" s="3" t="inlineStr">
        <is>
          <t>(주)휴먼웰니스</t>
        </is>
      </c>
      <c r="F53" s="3" t="inlineStr">
        <is>
          <t>특별관계자</t>
        </is>
      </c>
      <c r="G53" s="3" t="inlineStr">
        <is>
          <t>장외매수(+)</t>
        </is>
      </c>
      <c r="H53" s="15" t="n">
        <v>1319261</v>
      </c>
      <c r="I53" s="6" t="n">
        <v>3411</v>
      </c>
      <c r="J53" s="6" t="n">
        <v>3842474</v>
      </c>
      <c r="K53" s="16" t="n">
        <v>4</v>
      </c>
      <c r="L53" s="2" t="inlineStr">
        <is>
          <t>20260129000759</t>
        </is>
      </c>
      <c r="M53" s="8">
        <f>HYPERLINK("https://dart.fss.or.kr/dsaf001/main.do?rcpNo=20260129000759", "공시열람")</f>
        <v/>
      </c>
    </row>
    <row r="54" ht="22" customHeight="1">
      <c r="A54" s="2" t="inlineStr">
        <is>
          <t>2026-01-29</t>
        </is>
      </c>
      <c r="B54" s="3" t="inlineStr">
        <is>
          <t>윙스풋</t>
        </is>
      </c>
      <c r="C54" s="2" t="inlineStr">
        <is>
          <t>335870</t>
        </is>
      </c>
      <c r="D54" s="2" t="inlineStr">
        <is>
          <t>대량보유</t>
        </is>
      </c>
      <c r="E54" s="3" t="inlineStr">
        <is>
          <t>(주)인크레더블버즈</t>
        </is>
      </c>
      <c r="F54" s="3" t="inlineStr">
        <is>
          <t>특별관계자</t>
        </is>
      </c>
      <c r="G54" s="3" t="inlineStr">
        <is>
          <t>장외매도(-)</t>
        </is>
      </c>
      <c r="H54" s="17" t="n">
        <v>-1708499</v>
      </c>
      <c r="I54" s="6" t="n">
        <v>3411</v>
      </c>
      <c r="J54" s="6" t="inlineStr"/>
      <c r="K54" s="16" t="n">
        <v>4</v>
      </c>
      <c r="L54" s="2" t="inlineStr">
        <is>
          <t>20260129000759</t>
        </is>
      </c>
      <c r="M54" s="8">
        <f>HYPERLINK("https://dart.fss.or.kr/dsaf001/main.do?rcpNo=20260129000759", "공시열람")</f>
        <v/>
      </c>
    </row>
    <row r="55" ht="22" customHeight="1">
      <c r="A55" s="2" t="inlineStr">
        <is>
          <t>2026-01-29</t>
        </is>
      </c>
      <c r="B55" s="3" t="inlineStr">
        <is>
          <t>아크릴</t>
        </is>
      </c>
      <c r="C55" s="2" t="inlineStr">
        <is>
          <t>0007C0</t>
        </is>
      </c>
      <c r="D55" s="2" t="inlineStr">
        <is>
          <t>대량보유</t>
        </is>
      </c>
      <c r="E55" s="3" t="inlineStr">
        <is>
          <t>티그리스투자조합58호</t>
        </is>
      </c>
      <c r="F55" s="3" t="inlineStr">
        <is>
          <t>특별관계자</t>
        </is>
      </c>
      <c r="G55" s="3" t="inlineStr">
        <is>
          <t>장내매도(-), 장내매수(+)</t>
        </is>
      </c>
      <c r="H55" s="17" t="n">
        <v>-219375</v>
      </c>
      <c r="I55" s="6" t="n">
        <v>38073</v>
      </c>
      <c r="J55" s="6" t="n">
        <v>365625</v>
      </c>
      <c r="K55" s="16" t="n">
        <v>3</v>
      </c>
      <c r="L55" s="2" t="inlineStr">
        <is>
          <t>20260129000740</t>
        </is>
      </c>
      <c r="M55" s="8">
        <f>HYPERLINK("https://dart.fss.or.kr/dsaf001/main.do?rcpNo=20260129000740", "공시열람")</f>
        <v/>
      </c>
    </row>
    <row r="56" ht="22" customHeight="1">
      <c r="A56" s="2" t="inlineStr">
        <is>
          <t>2026-01-29</t>
        </is>
      </c>
      <c r="B56" s="3" t="inlineStr">
        <is>
          <t>엑세스바이오</t>
        </is>
      </c>
      <c r="C56" s="2" t="inlineStr">
        <is>
          <t>950130</t>
        </is>
      </c>
      <c r="D56" s="2" t="inlineStr">
        <is>
          <t>대량보유</t>
        </is>
      </c>
      <c r="E56" s="3" t="inlineStr">
        <is>
          <t>박희덕</t>
        </is>
      </c>
      <c r="F56" s="3" t="inlineStr">
        <is>
          <t>특별관계자</t>
        </is>
      </c>
      <c r="G56" s="3" t="inlineStr">
        <is>
          <t>장내매수(+)</t>
        </is>
      </c>
      <c r="H56" s="15" t="n">
        <v>6276</v>
      </c>
      <c r="I56" s="6" t="n">
        <v>4122</v>
      </c>
      <c r="J56" s="6" t="n">
        <v>39332</v>
      </c>
      <c r="K56" s="16" t="n">
        <v>5</v>
      </c>
      <c r="L56" s="2" t="inlineStr">
        <is>
          <t>20260129000727</t>
        </is>
      </c>
      <c r="M56" s="8">
        <f>HYPERLINK("https://dart.fss.or.kr/dsaf001/main.do?rcpNo=20260129000727", "공시열람")</f>
        <v/>
      </c>
    </row>
    <row r="57" ht="22" customHeight="1">
      <c r="A57" s="2" t="inlineStr">
        <is>
          <t>2026-01-29</t>
        </is>
      </c>
      <c r="B57" s="3" t="inlineStr">
        <is>
          <t>엑세스바이오</t>
        </is>
      </c>
      <c r="C57" s="2" t="inlineStr">
        <is>
          <t>950130</t>
        </is>
      </c>
      <c r="D57" s="2" t="inlineStr">
        <is>
          <t>대량보유</t>
        </is>
      </c>
      <c r="E57" s="3" t="inlineStr">
        <is>
          <t>이근형</t>
        </is>
      </c>
      <c r="F57" s="3" t="inlineStr">
        <is>
          <t>특별관계자</t>
        </is>
      </c>
      <c r="G57" s="3" t="inlineStr">
        <is>
          <t>장내매수(+)</t>
        </is>
      </c>
      <c r="H57" s="15" t="n">
        <v>1500</v>
      </c>
      <c r="I57" s="6" t="n">
        <v>4592</v>
      </c>
      <c r="J57" s="6" t="n">
        <v>21807</v>
      </c>
      <c r="K57" s="16" t="n">
        <v>5</v>
      </c>
      <c r="L57" s="2" t="inlineStr">
        <is>
          <t>20260129000727</t>
        </is>
      </c>
      <c r="M57" s="8">
        <f>HYPERLINK("https://dart.fss.or.kr/dsaf001/main.do?rcpNo=20260129000727", "공시열람")</f>
        <v/>
      </c>
    </row>
    <row r="58" ht="22" customHeight="1">
      <c r="A58" s="2" t="inlineStr">
        <is>
          <t>2026-01-29</t>
        </is>
      </c>
      <c r="B58" s="3" t="inlineStr">
        <is>
          <t>SK하이닉스</t>
        </is>
      </c>
      <c r="C58" s="2" t="inlineStr">
        <is>
          <t>000660</t>
        </is>
      </c>
      <c r="D58" s="2" t="inlineStr">
        <is>
          <t>임원보고</t>
        </is>
      </c>
      <c r="E58" s="3" t="inlineStr">
        <is>
          <t>-</t>
        </is>
      </c>
      <c r="F58" s="3" t="inlineStr">
        <is>
          <t>-</t>
        </is>
      </c>
      <c r="G58" s="3" t="inlineStr">
        <is>
          <t>-</t>
        </is>
      </c>
      <c r="H58" s="6" t="inlineStr"/>
      <c r="I58" s="6" t="inlineStr"/>
      <c r="J58" s="6" t="inlineStr"/>
      <c r="K58" s="16" t="n">
        <v>12</v>
      </c>
      <c r="L58" s="2" t="inlineStr">
        <is>
          <t>20260129800916</t>
        </is>
      </c>
      <c r="M58" s="8">
        <f>HYPERLINK("https://dart.fss.or.kr/dsaf001/main.do?rcpNo=20260129800916", "공시열람")</f>
        <v/>
      </c>
    </row>
    <row r="59" ht="22" customHeight="1">
      <c r="A59" s="2" t="inlineStr">
        <is>
          <t>2026-01-29</t>
        </is>
      </c>
      <c r="B59" s="3" t="inlineStr">
        <is>
          <t>다우기술</t>
        </is>
      </c>
      <c r="C59" s="2" t="inlineStr">
        <is>
          <t>023590</t>
        </is>
      </c>
      <c r="D59" s="2" t="inlineStr">
        <is>
          <t>임원보고</t>
        </is>
      </c>
      <c r="E59" s="3" t="inlineStr">
        <is>
          <t>-</t>
        </is>
      </c>
      <c r="F59" s="3" t="inlineStr">
        <is>
          <t>-</t>
        </is>
      </c>
      <c r="G59" s="3" t="inlineStr">
        <is>
          <t>-</t>
        </is>
      </c>
      <c r="H59" s="6" t="inlineStr"/>
      <c r="I59" s="6" t="inlineStr"/>
      <c r="J59" s="6" t="inlineStr"/>
      <c r="K59" s="16" t="n">
        <v>12</v>
      </c>
      <c r="L59" s="2" t="inlineStr">
        <is>
          <t>20260129800909</t>
        </is>
      </c>
      <c r="M59" s="8">
        <f>HYPERLINK("https://dart.fss.or.kr/dsaf001/main.do?rcpNo=20260129800909", "공시열람")</f>
        <v/>
      </c>
    </row>
    <row r="60" ht="22" customHeight="1">
      <c r="A60" s="2" t="inlineStr">
        <is>
          <t>2026-01-29</t>
        </is>
      </c>
      <c r="B60" s="3" t="inlineStr">
        <is>
          <t>위세아이텍</t>
        </is>
      </c>
      <c r="C60" s="2" t="inlineStr">
        <is>
          <t>065370</t>
        </is>
      </c>
      <c r="D60" s="2" t="inlineStr">
        <is>
          <t>대량보유</t>
        </is>
      </c>
      <c r="E60" s="3" t="inlineStr">
        <is>
          <t>김다산</t>
        </is>
      </c>
      <c r="F60" s="3" t="inlineStr">
        <is>
          <t>보고자</t>
        </is>
      </c>
      <c r="G60" s="3" t="inlineStr">
        <is>
          <t>주식담보계약 내용 변경 및 기간 연장</t>
        </is>
      </c>
      <c r="H60" s="6" t="inlineStr"/>
      <c r="I60" s="6" t="inlineStr"/>
      <c r="J60" s="6" t="n">
        <v>2547513</v>
      </c>
      <c r="K60" s="16" t="n">
        <v>8</v>
      </c>
      <c r="L60" s="2" t="inlineStr">
        <is>
          <t>20260129000659</t>
        </is>
      </c>
      <c r="M60" s="8">
        <f>HYPERLINK("https://dart.fss.or.kr/dsaf001/main.do?rcpNo=20260129000659", "공시열람")</f>
        <v/>
      </c>
    </row>
    <row r="61" ht="22" customHeight="1">
      <c r="A61" s="2" t="inlineStr">
        <is>
          <t>2026-01-29</t>
        </is>
      </c>
      <c r="B61" s="3" t="inlineStr">
        <is>
          <t>금양</t>
        </is>
      </c>
      <c r="C61" s="2" t="inlineStr">
        <is>
          <t>001570</t>
        </is>
      </c>
      <c r="D61" s="2" t="inlineStr">
        <is>
          <t>대량보유</t>
        </is>
      </c>
      <c r="E61" s="3" t="inlineStr">
        <is>
          <t>정재욱</t>
        </is>
      </c>
      <c r="F61" s="3" t="inlineStr">
        <is>
          <t>특별관계자</t>
        </is>
      </c>
      <c r="G61" s="3" t="inlineStr">
        <is>
          <t>신규보고(+)</t>
        </is>
      </c>
      <c r="H61" s="15" t="n">
        <v>143</v>
      </c>
      <c r="I61" s="6" t="inlineStr"/>
      <c r="J61" s="6" t="n">
        <v>143</v>
      </c>
      <c r="K61" s="16" t="n">
        <v>8</v>
      </c>
      <c r="L61" s="2" t="inlineStr">
        <is>
          <t>20260129000656</t>
        </is>
      </c>
      <c r="M61" s="8">
        <f>HYPERLINK("https://dart.fss.or.kr/dsaf001/main.do?rcpNo=20260129000656", "공시열람")</f>
        <v/>
      </c>
    </row>
    <row r="62" ht="22" customHeight="1">
      <c r="A62" s="2" t="inlineStr">
        <is>
          <t>2026-01-29</t>
        </is>
      </c>
      <c r="B62" s="3" t="inlineStr">
        <is>
          <t>TP</t>
        </is>
      </c>
      <c r="C62" s="2" t="inlineStr">
        <is>
          <t>007980</t>
        </is>
      </c>
      <c r="D62" s="2" t="inlineStr">
        <is>
          <t>대량보유</t>
        </is>
      </c>
      <c r="E62" s="3" t="inlineStr">
        <is>
          <t>임석원</t>
        </is>
      </c>
      <c r="F62" s="3" t="inlineStr">
        <is>
          <t>보고자</t>
        </is>
      </c>
      <c r="G62" s="3" t="inlineStr">
        <is>
          <t>담보계약 변경</t>
        </is>
      </c>
      <c r="H62" s="6" t="inlineStr"/>
      <c r="I62" s="6" t="inlineStr"/>
      <c r="J62" s="6" t="n">
        <v>15592288</v>
      </c>
      <c r="K62" s="16" t="n">
        <v>17</v>
      </c>
      <c r="L62" s="2" t="inlineStr">
        <is>
          <t>20260129000651</t>
        </is>
      </c>
      <c r="M62" s="8">
        <f>HYPERLINK("https://dart.fss.or.kr/dsaf001/main.do?rcpNo=20260129000651", "공시열람")</f>
        <v/>
      </c>
    </row>
    <row r="63" ht="22" customHeight="1">
      <c r="A63" s="2" t="inlineStr">
        <is>
          <t>2026-01-29</t>
        </is>
      </c>
      <c r="B63" s="3" t="inlineStr">
        <is>
          <t>파워넷</t>
        </is>
      </c>
      <c r="C63" s="2" t="inlineStr">
        <is>
          <t>037030</t>
        </is>
      </c>
      <c r="D63" s="2" t="inlineStr">
        <is>
          <t>대량보유</t>
        </is>
      </c>
      <c r="E63" s="3" t="inlineStr">
        <is>
          <t>아이디어브릿지자산운용(주)</t>
        </is>
      </c>
      <c r="F63" s="3" t="inlineStr">
        <is>
          <t>특별관계자</t>
        </is>
      </c>
      <c r="G63" s="3" t="inlineStr">
        <is>
          <t>장내매도(-)</t>
        </is>
      </c>
      <c r="H63" s="17" t="n">
        <v>-128805</v>
      </c>
      <c r="I63" s="6" t="n">
        <v>2298</v>
      </c>
      <c r="J63" s="6" t="n">
        <v>1234385</v>
      </c>
      <c r="K63" s="16" t="n">
        <v>4.9</v>
      </c>
      <c r="L63" s="2" t="inlineStr">
        <is>
          <t>20260129000641</t>
        </is>
      </c>
      <c r="M63" s="8">
        <f>HYPERLINK("https://dart.fss.or.kr/dsaf001/main.do?rcpNo=20260129000641", "공시열람")</f>
        <v/>
      </c>
    </row>
    <row r="64" ht="22" customHeight="1">
      <c r="A64" s="2" t="inlineStr">
        <is>
          <t>2026-01-29</t>
        </is>
      </c>
      <c r="B64" s="3" t="inlineStr">
        <is>
          <t>아센디오</t>
        </is>
      </c>
      <c r="C64" s="2" t="inlineStr">
        <is>
          <t>012170</t>
        </is>
      </c>
      <c r="D64" s="2" t="inlineStr">
        <is>
          <t>대량보유</t>
        </is>
      </c>
      <c r="E64" s="3" t="inlineStr">
        <is>
          <t>티디엠투자조합2호</t>
        </is>
      </c>
      <c r="F64" s="3" t="inlineStr">
        <is>
          <t>특별관계자</t>
        </is>
      </c>
      <c r="G64" s="3" t="inlineStr">
        <is>
          <t>자본감소</t>
        </is>
      </c>
      <c r="H64" s="17" t="n">
        <v>-10661401</v>
      </c>
      <c r="I64" s="6" t="inlineStr"/>
      <c r="J64" s="6" t="n">
        <v>1184600</v>
      </c>
      <c r="K64" s="16" t="n">
        <v>2</v>
      </c>
      <c r="L64" s="2" t="inlineStr">
        <is>
          <t>20260129000638</t>
        </is>
      </c>
      <c r="M64" s="8">
        <f>HYPERLINK("https://dart.fss.or.kr/dsaf001/main.do?rcpNo=20260129000638", "공시열람")</f>
        <v/>
      </c>
    </row>
    <row r="65" ht="22" customHeight="1">
      <c r="A65" s="2" t="inlineStr">
        <is>
          <t>2026-01-29</t>
        </is>
      </c>
      <c r="B65" s="3" t="inlineStr">
        <is>
          <t>켐트로스</t>
        </is>
      </c>
      <c r="C65" s="2" t="inlineStr">
        <is>
          <t>220260</t>
        </is>
      </c>
      <c r="D65" s="2" t="inlineStr">
        <is>
          <t>대량보유</t>
        </is>
      </c>
      <c r="E65" s="3" t="inlineStr">
        <is>
          <t>챔피온홀딩스유한회사</t>
        </is>
      </c>
      <c r="F65" s="3" t="inlineStr">
        <is>
          <t>특별관계자</t>
        </is>
      </c>
      <c r="G65" s="3" t="inlineStr">
        <is>
          <t>행사가액조정, 전환등(-), 신주인수권사채의권리행사(+)</t>
        </is>
      </c>
      <c r="H65" s="15" t="n">
        <v>2170766</v>
      </c>
      <c r="I65" s="6" t="n">
        <v>4837</v>
      </c>
      <c r="J65" s="6" t="n">
        <v>9313748</v>
      </c>
      <c r="K65" s="16" t="n">
        <v>5</v>
      </c>
      <c r="L65" s="2" t="inlineStr">
        <is>
          <t>20260129000636</t>
        </is>
      </c>
      <c r="M65" s="8">
        <f>HYPERLINK("https://dart.fss.or.kr/dsaf001/main.do?rcpNo=20260129000636", "공시열람")</f>
        <v/>
      </c>
    </row>
    <row r="66" ht="22" customHeight="1">
      <c r="A66" s="2" t="inlineStr">
        <is>
          <t>2026-01-29</t>
        </is>
      </c>
      <c r="B66" s="3" t="inlineStr">
        <is>
          <t>가온칩스</t>
        </is>
      </c>
      <c r="C66" s="2" t="inlineStr">
        <is>
          <t>399720</t>
        </is>
      </c>
      <c r="D66" s="2" t="inlineStr">
        <is>
          <t>대량보유</t>
        </is>
      </c>
      <c r="E66" s="3" t="inlineStr">
        <is>
          <t>정규동</t>
        </is>
      </c>
      <c r="F66" s="3" t="inlineStr">
        <is>
          <t>보고자</t>
        </is>
      </c>
      <c r="G66" s="3" t="inlineStr">
        <is>
          <t>특수관계인의 주식담보 대출계약 체결</t>
        </is>
      </c>
      <c r="H66" s="6" t="inlineStr"/>
      <c r="I66" s="6" t="inlineStr"/>
      <c r="J66" s="6" t="n">
        <v>5577061</v>
      </c>
      <c r="K66" s="16" t="n">
        <v>15</v>
      </c>
      <c r="L66" s="2" t="inlineStr">
        <is>
          <t>20260129000633</t>
        </is>
      </c>
      <c r="M66" s="8">
        <f>HYPERLINK("https://dart.fss.or.kr/dsaf001/main.do?rcpNo=20260129000633", "공시열람")</f>
        <v/>
      </c>
    </row>
    <row r="67" ht="22" customHeight="1">
      <c r="A67" s="2" t="inlineStr">
        <is>
          <t>2026-01-29</t>
        </is>
      </c>
      <c r="B67" s="3" t="inlineStr">
        <is>
          <t>청담글로벌</t>
        </is>
      </c>
      <c r="C67" s="2" t="inlineStr">
        <is>
          <t>362320</t>
        </is>
      </c>
      <c r="D67" s="2" t="inlineStr">
        <is>
          <t>대량보유</t>
        </is>
      </c>
      <c r="E67" s="3" t="inlineStr">
        <is>
          <t>최석주</t>
        </is>
      </c>
      <c r="F67" s="3" t="inlineStr">
        <is>
          <t>보고자</t>
        </is>
      </c>
      <c r="G67" s="3" t="inlineStr">
        <is>
          <t>주식담보대출 계약조건 변경</t>
        </is>
      </c>
      <c r="H67" s="6" t="inlineStr"/>
      <c r="I67" s="6" t="inlineStr"/>
      <c r="J67" s="6" t="n">
        <v>8357378</v>
      </c>
      <c r="K67" s="16" t="n">
        <v>39.51</v>
      </c>
      <c r="L67" s="2" t="inlineStr">
        <is>
          <t>20260129000621</t>
        </is>
      </c>
      <c r="M67" s="8">
        <f>HYPERLINK("https://dart.fss.or.kr/dsaf001/main.do?rcpNo=20260129000621", "공시열람")</f>
        <v/>
      </c>
    </row>
    <row r="68" ht="22" customHeight="1">
      <c r="A68" s="2" t="inlineStr">
        <is>
          <t>2026-01-29</t>
        </is>
      </c>
      <c r="B68" s="3" t="inlineStr">
        <is>
          <t>인크레더블버즈</t>
        </is>
      </c>
      <c r="C68" s="2" t="inlineStr">
        <is>
          <t>064090</t>
        </is>
      </c>
      <c r="D68" s="2" t="inlineStr">
        <is>
          <t>대량보유</t>
        </is>
      </c>
      <c r="E68" s="3" t="inlineStr">
        <is>
          <t>임신영</t>
        </is>
      </c>
      <c r="F68" s="3" t="inlineStr">
        <is>
          <t>특별관계자</t>
        </is>
      </c>
      <c r="G68" s="3" t="inlineStr">
        <is>
          <t>장내매수(+)</t>
        </is>
      </c>
      <c r="H68" s="15" t="n">
        <v>542733</v>
      </c>
      <c r="I68" s="6" t="n">
        <v>1615</v>
      </c>
      <c r="J68" s="6" t="n">
        <v>1221043</v>
      </c>
      <c r="K68" s="16" t="n">
        <v>3</v>
      </c>
      <c r="L68" s="2" t="inlineStr">
        <is>
          <t>20260129000615</t>
        </is>
      </c>
      <c r="M68" s="8">
        <f>HYPERLINK("https://dart.fss.or.kr/dsaf001/main.do?rcpNo=20260129000615", "공시열람")</f>
        <v/>
      </c>
    </row>
    <row r="69" ht="22" customHeight="1">
      <c r="A69" s="2" t="inlineStr">
        <is>
          <t>2026-01-29</t>
        </is>
      </c>
      <c r="B69" s="3" t="inlineStr">
        <is>
          <t>뉴로핏</t>
        </is>
      </c>
      <c r="C69" s="2" t="inlineStr">
        <is>
          <t>380550</t>
        </is>
      </c>
      <c r="D69" s="2" t="inlineStr">
        <is>
          <t>대량보유</t>
        </is>
      </c>
      <c r="E69" s="3" t="inlineStr">
        <is>
          <t>삼성액티브자산운용</t>
        </is>
      </c>
      <c r="F69" s="3" t="inlineStr">
        <is>
          <t>특별관계자</t>
        </is>
      </c>
      <c r="G69" s="3" t="inlineStr">
        <is>
          <t>신규보고(+), 기타(+)</t>
        </is>
      </c>
      <c r="H69" s="15" t="n">
        <v>582764</v>
      </c>
      <c r="I69" s="6" t="n">
        <v>23650</v>
      </c>
      <c r="J69" s="6" t="n">
        <v>582764</v>
      </c>
      <c r="K69" s="16" t="n">
        <v>5.01</v>
      </c>
      <c r="L69" s="2" t="inlineStr">
        <is>
          <t>20260129000613</t>
        </is>
      </c>
      <c r="M69" s="8">
        <f>HYPERLINK("https://dart.fss.or.kr/dsaf001/main.do?rcpNo=20260129000613", "공시열람")</f>
        <v/>
      </c>
    </row>
    <row r="70" ht="22" customHeight="1">
      <c r="A70" s="2" t="inlineStr">
        <is>
          <t>2026-01-29 (정정: 2026-03-09)</t>
        </is>
      </c>
      <c r="B70" s="3" t="inlineStr">
        <is>
          <t>엠투엔</t>
        </is>
      </c>
      <c r="C70" s="2" t="inlineStr">
        <is>
          <t>033310</t>
        </is>
      </c>
      <c r="D70" s="2" t="inlineStr">
        <is>
          <t>대량보유</t>
        </is>
      </c>
      <c r="E70" s="3" t="inlineStr">
        <is>
          <t>-</t>
        </is>
      </c>
      <c r="F70" s="3" t="inlineStr">
        <is>
          <t>보고자</t>
        </is>
      </c>
      <c r="G70" s="3" t="inlineStr">
        <is>
          <t>-</t>
        </is>
      </c>
      <c r="H70" s="6" t="inlineStr"/>
      <c r="I70" s="6" t="inlineStr"/>
      <c r="J70" s="6" t="inlineStr"/>
      <c r="K70" s="18" t="inlineStr"/>
      <c r="L70" s="2" t="inlineStr">
        <is>
          <t>20260309901557</t>
        </is>
      </c>
      <c r="M70" s="8">
        <f>HYPERLINK("https://dart.fss.or.kr/dsaf001/main.do?rcpNo=20260309901557", "공시열람")</f>
        <v/>
      </c>
    </row>
    <row r="71" ht="22" customHeight="1">
      <c r="A71" s="2" t="inlineStr">
        <is>
          <t>2026-01-29</t>
        </is>
      </c>
      <c r="B71" s="3" t="inlineStr">
        <is>
          <t>JB금융지주</t>
        </is>
      </c>
      <c r="C71" s="2" t="inlineStr">
        <is>
          <t>175330</t>
        </is>
      </c>
      <c r="D71" s="2" t="inlineStr">
        <is>
          <t>대량보유</t>
        </is>
      </c>
      <c r="E71" s="3" t="inlineStr">
        <is>
          <t>삼양사</t>
        </is>
      </c>
      <c r="F71" s="3" t="inlineStr">
        <is>
          <t>특별관계자</t>
        </is>
      </c>
      <c r="G71" s="3" t="inlineStr">
        <is>
          <t>시간외매매(-)</t>
        </is>
      </c>
      <c r="H71" s="17" t="n">
        <v>-230000</v>
      </c>
      <c r="I71" s="6" t="n">
        <v>24300</v>
      </c>
      <c r="J71" s="6" t="n">
        <v>27305041</v>
      </c>
      <c r="K71" s="16" t="n">
        <v>3</v>
      </c>
      <c r="L71" s="2" t="inlineStr">
        <is>
          <t>20260129000603</t>
        </is>
      </c>
      <c r="M71" s="8">
        <f>HYPERLINK("https://dart.fss.or.kr/dsaf001/main.do?rcpNo=20260129000603", "공시열람")</f>
        <v/>
      </c>
    </row>
    <row r="72" ht="22" customHeight="1">
      <c r="A72" s="2" t="inlineStr">
        <is>
          <t>2026-01-29</t>
        </is>
      </c>
      <c r="B72" s="3" t="inlineStr">
        <is>
          <t>메가터치</t>
        </is>
      </c>
      <c r="C72" s="2" t="inlineStr">
        <is>
          <t>446540</t>
        </is>
      </c>
      <c r="D72" s="2" t="inlineStr">
        <is>
          <t>대량보유</t>
        </is>
      </c>
      <c r="E72" s="3" t="inlineStr">
        <is>
          <t>WhitstonMaterialsTechnologyCo.,Ltd.</t>
        </is>
      </c>
      <c r="F72" s="3" t="inlineStr">
        <is>
          <t>특별관계자</t>
        </is>
      </c>
      <c r="G72" s="3" t="inlineStr">
        <is>
          <t>제3자배정유상증자(+)</t>
        </is>
      </c>
      <c r="H72" s="15" t="n">
        <v>5192749</v>
      </c>
      <c r="I72" s="6" t="n">
        <v>3165</v>
      </c>
      <c r="J72" s="6" t="n">
        <v>5192749</v>
      </c>
      <c r="K72" s="16" t="n">
        <v>20</v>
      </c>
      <c r="L72" s="2" t="inlineStr">
        <is>
          <t>20260129000593</t>
        </is>
      </c>
      <c r="M72" s="8">
        <f>HYPERLINK("https://dart.fss.or.kr/dsaf001/main.do?rcpNo=20260129000593", "공시열람")</f>
        <v/>
      </c>
    </row>
    <row r="73" ht="22" customHeight="1">
      <c r="A73" s="2" t="inlineStr">
        <is>
          <t>2026-01-29</t>
        </is>
      </c>
      <c r="B73" s="3" t="inlineStr">
        <is>
          <t>에코프로머티</t>
        </is>
      </c>
      <c r="C73" s="2" t="inlineStr">
        <is>
          <t>450080</t>
        </is>
      </c>
      <c r="D73" s="2" t="inlineStr">
        <is>
          <t>임원보고</t>
        </is>
      </c>
      <c r="E73" s="3" t="inlineStr">
        <is>
          <t>-</t>
        </is>
      </c>
      <c r="F73" s="3" t="inlineStr">
        <is>
          <t>-</t>
        </is>
      </c>
      <c r="G73" s="3" t="inlineStr">
        <is>
          <t>-</t>
        </is>
      </c>
      <c r="H73" s="6" t="inlineStr"/>
      <c r="I73" s="6" t="inlineStr"/>
      <c r="J73" s="6" t="inlineStr"/>
      <c r="K73" s="16" t="n">
        <v>12</v>
      </c>
      <c r="L73" s="2" t="inlineStr">
        <is>
          <t>20260129800716</t>
        </is>
      </c>
      <c r="M73" s="8">
        <f>HYPERLINK("https://dart.fss.or.kr/dsaf001/main.do?rcpNo=20260129800716", "공시열람")</f>
        <v/>
      </c>
    </row>
    <row r="74" ht="22" customHeight="1">
      <c r="A74" s="2" t="inlineStr">
        <is>
          <t>2026-01-29</t>
        </is>
      </c>
      <c r="B74" s="3" t="inlineStr">
        <is>
          <t>데이원컴퍼니</t>
        </is>
      </c>
      <c r="C74" s="2" t="inlineStr">
        <is>
          <t>373160</t>
        </is>
      </c>
      <c r="D74" s="2" t="inlineStr">
        <is>
          <t>대량보유</t>
        </is>
      </c>
      <c r="E74" s="3" t="inlineStr">
        <is>
          <t>이강민</t>
        </is>
      </c>
      <c r="F74" s="3" t="inlineStr">
        <is>
          <t>특별관계자</t>
        </is>
      </c>
      <c r="G74" s="3" t="inlineStr">
        <is>
          <t>장내매수(+)</t>
        </is>
      </c>
      <c r="H74" s="15" t="n">
        <v>2172</v>
      </c>
      <c r="I74" s="6" t="n">
        <v>5041</v>
      </c>
      <c r="J74" s="6" t="n">
        <v>400111</v>
      </c>
      <c r="K74" s="16" t="n">
        <v>4</v>
      </c>
      <c r="L74" s="2" t="inlineStr">
        <is>
          <t>20260129000585</t>
        </is>
      </c>
      <c r="M74" s="8">
        <f>HYPERLINK("https://dart.fss.or.kr/dsaf001/main.do?rcpNo=20260129000585", "공시열람")</f>
        <v/>
      </c>
    </row>
    <row r="75" ht="22" customHeight="1">
      <c r="A75" s="2" t="inlineStr">
        <is>
          <t>2026-01-29</t>
        </is>
      </c>
      <c r="B75" s="3" t="inlineStr">
        <is>
          <t>데이원컴퍼니</t>
        </is>
      </c>
      <c r="C75" s="2" t="inlineStr">
        <is>
          <t>373160</t>
        </is>
      </c>
      <c r="D75" s="2" t="inlineStr">
        <is>
          <t>대량보유</t>
        </is>
      </c>
      <c r="E75" s="3" t="inlineStr">
        <is>
          <t>(유)아리앤댄</t>
        </is>
      </c>
      <c r="F75" s="3" t="inlineStr">
        <is>
          <t>특별관계자</t>
        </is>
      </c>
      <c r="G75" s="3" t="inlineStr">
        <is>
          <t>장내매도(-), 특별관계해소(-)</t>
        </is>
      </c>
      <c r="H75" s="17" t="n">
        <v>-403974</v>
      </c>
      <c r="I75" s="6" t="n">
        <v>5765</v>
      </c>
      <c r="J75" s="6" t="inlineStr"/>
      <c r="K75" s="16" t="n">
        <v>4</v>
      </c>
      <c r="L75" s="2" t="inlineStr">
        <is>
          <t>20260129000585</t>
        </is>
      </c>
      <c r="M75" s="8">
        <f>HYPERLINK("https://dart.fss.or.kr/dsaf001/main.do?rcpNo=20260129000585", "공시열람")</f>
        <v/>
      </c>
    </row>
    <row r="76" ht="22" customHeight="1">
      <c r="A76" s="2" t="inlineStr">
        <is>
          <t>2026-01-29</t>
        </is>
      </c>
      <c r="B76" s="3" t="inlineStr">
        <is>
          <t>데이원컴퍼니</t>
        </is>
      </c>
      <c r="C76" s="2" t="inlineStr">
        <is>
          <t>373160</t>
        </is>
      </c>
      <c r="D76" s="2" t="inlineStr">
        <is>
          <t>대량보유</t>
        </is>
      </c>
      <c r="E76" s="3" t="inlineStr">
        <is>
          <t>(유)원더홀딩스</t>
        </is>
      </c>
      <c r="F76" s="3" t="inlineStr">
        <is>
          <t>특별관계자</t>
        </is>
      </c>
      <c r="G76" s="3" t="inlineStr">
        <is>
          <t>특별관계해소(-)</t>
        </is>
      </c>
      <c r="H76" s="17" t="n">
        <v>-1479000</v>
      </c>
      <c r="I76" s="6" t="inlineStr"/>
      <c r="J76" s="6" t="inlineStr"/>
      <c r="K76" s="16" t="n">
        <v>4</v>
      </c>
      <c r="L76" s="2" t="inlineStr">
        <is>
          <t>20260129000585</t>
        </is>
      </c>
      <c r="M76" s="8">
        <f>HYPERLINK("https://dart.fss.or.kr/dsaf001/main.do?rcpNo=20260129000585", "공시열람")</f>
        <v/>
      </c>
    </row>
    <row r="77" ht="22" customHeight="1">
      <c r="A77" s="2" t="inlineStr">
        <is>
          <t>2026-01-29</t>
        </is>
      </c>
      <c r="B77" s="3" t="inlineStr">
        <is>
          <t>데이원컴퍼니</t>
        </is>
      </c>
      <c r="C77" s="2" t="inlineStr">
        <is>
          <t>373160</t>
        </is>
      </c>
      <c r="D77" s="2" t="inlineStr">
        <is>
          <t>대량보유</t>
        </is>
      </c>
      <c r="E77" s="3" t="inlineStr">
        <is>
          <t>류제일</t>
        </is>
      </c>
      <c r="F77" s="3" t="inlineStr">
        <is>
          <t>특별관계자</t>
        </is>
      </c>
      <c r="G77" s="3" t="inlineStr">
        <is>
          <t>특별관계해소(-)</t>
        </is>
      </c>
      <c r="H77" s="17" t="n">
        <v>-151000</v>
      </c>
      <c r="I77" s="6" t="inlineStr"/>
      <c r="J77" s="6" t="inlineStr"/>
      <c r="K77" s="16" t="n">
        <v>4</v>
      </c>
      <c r="L77" s="2" t="inlineStr">
        <is>
          <t>20260129000585</t>
        </is>
      </c>
      <c r="M77" s="8">
        <f>HYPERLINK("https://dart.fss.or.kr/dsaf001/main.do?rcpNo=20260129000585", "공시열람")</f>
        <v/>
      </c>
    </row>
    <row r="78" ht="22" customHeight="1">
      <c r="A78" s="2" t="inlineStr">
        <is>
          <t>2026-01-29</t>
        </is>
      </c>
      <c r="B78" s="3" t="inlineStr">
        <is>
          <t>데이원컴퍼니</t>
        </is>
      </c>
      <c r="C78" s="2" t="inlineStr">
        <is>
          <t>373160</t>
        </is>
      </c>
      <c r="D78" s="2" t="inlineStr">
        <is>
          <t>대량보유</t>
        </is>
      </c>
      <c r="E78" s="3" t="inlineStr">
        <is>
          <t>노정석</t>
        </is>
      </c>
      <c r="F78" s="3" t="inlineStr">
        <is>
          <t>특별관계자</t>
        </is>
      </c>
      <c r="G78" s="3" t="inlineStr">
        <is>
          <t>특별관계해소(-)</t>
        </is>
      </c>
      <c r="H78" s="17" t="n">
        <v>-206238</v>
      </c>
      <c r="I78" s="6" t="inlineStr"/>
      <c r="J78" s="6" t="inlineStr"/>
      <c r="K78" s="16" t="n">
        <v>4</v>
      </c>
      <c r="L78" s="2" t="inlineStr">
        <is>
          <t>20260129000585</t>
        </is>
      </c>
      <c r="M78" s="8">
        <f>HYPERLINK("https://dart.fss.or.kr/dsaf001/main.do?rcpNo=20260129000585", "공시열람")</f>
        <v/>
      </c>
    </row>
    <row r="79" ht="22" customHeight="1">
      <c r="A79" s="2" t="inlineStr">
        <is>
          <t>2026-01-29</t>
        </is>
      </c>
      <c r="B79" s="3" t="inlineStr">
        <is>
          <t>HD현대일렉트릭</t>
        </is>
      </c>
      <c r="C79" s="2" t="inlineStr">
        <is>
          <t>267260</t>
        </is>
      </c>
      <c r="D79" s="2" t="inlineStr">
        <is>
          <t>임원보고</t>
        </is>
      </c>
      <c r="E79" s="3" t="inlineStr">
        <is>
          <t>-</t>
        </is>
      </c>
      <c r="F79" s="3" t="inlineStr">
        <is>
          <t>-</t>
        </is>
      </c>
      <c r="G79" s="3" t="inlineStr">
        <is>
          <t>-</t>
        </is>
      </c>
      <c r="H79" s="6" t="inlineStr"/>
      <c r="I79" s="6" t="inlineStr"/>
      <c r="J79" s="6" t="inlineStr"/>
      <c r="K79" s="16" t="n">
        <v>12</v>
      </c>
      <c r="L79" s="2" t="inlineStr">
        <is>
          <t>20260129800704</t>
        </is>
      </c>
      <c r="M79" s="8">
        <f>HYPERLINK("https://dart.fss.or.kr/dsaf001/main.do?rcpNo=20260129800704", "공시열람")</f>
        <v/>
      </c>
    </row>
    <row r="80" ht="22" customHeight="1">
      <c r="A80" s="2" t="inlineStr">
        <is>
          <t>2026-01-29</t>
        </is>
      </c>
      <c r="B80" s="3" t="inlineStr">
        <is>
          <t>성호전자</t>
        </is>
      </c>
      <c r="C80" s="2" t="inlineStr">
        <is>
          <t>043260</t>
        </is>
      </c>
      <c r="D80" s="2" t="inlineStr">
        <is>
          <t>대량보유</t>
        </is>
      </c>
      <c r="E80" s="3" t="inlineStr">
        <is>
          <t>서룡전자(주)</t>
        </is>
      </c>
      <c r="F80" s="3" t="inlineStr">
        <is>
          <t>보고자</t>
        </is>
      </c>
      <c r="G80" s="3" t="inlineStr">
        <is>
          <t>주식 질권설정 계약 발생 및 해지</t>
        </is>
      </c>
      <c r="H80" s="6" t="inlineStr"/>
      <c r="I80" s="6" t="inlineStr"/>
      <c r="J80" s="6" t="n">
        <v>57403542</v>
      </c>
      <c r="K80" s="16" t="n">
        <v>16</v>
      </c>
      <c r="L80" s="2" t="inlineStr">
        <is>
          <t>20260129000580</t>
        </is>
      </c>
      <c r="M80" s="8">
        <f>HYPERLINK("https://dart.fss.or.kr/dsaf001/main.do?rcpNo=20260129000580", "공시열람")</f>
        <v/>
      </c>
    </row>
    <row r="81" ht="22" customHeight="1">
      <c r="A81" s="2" t="inlineStr">
        <is>
          <t>2026-01-29</t>
        </is>
      </c>
      <c r="B81" s="3" t="inlineStr">
        <is>
          <t>하나기술</t>
        </is>
      </c>
      <c r="C81" s="2" t="inlineStr">
        <is>
          <t>299030</t>
        </is>
      </c>
      <c r="D81" s="2" t="inlineStr">
        <is>
          <t>대량보유</t>
        </is>
      </c>
      <c r="E81" s="3" t="inlineStr">
        <is>
          <t>오태봉</t>
        </is>
      </c>
      <c r="F81" s="3" t="inlineStr">
        <is>
          <t>보고자</t>
        </is>
      </c>
      <c r="G81" s="3" t="inlineStr">
        <is>
          <t>주식담보대출 계약 내용 변경(기존 주식담보대출 상환 및신규 담보대출 실행에 따른 주식수 및 지분율 변경)</t>
        </is>
      </c>
      <c r="H81" s="6" t="inlineStr"/>
      <c r="I81" s="6" t="inlineStr"/>
      <c r="J81" s="6" t="n">
        <v>2343884</v>
      </c>
      <c r="K81" s="16" t="n">
        <v>2</v>
      </c>
      <c r="L81" s="2" t="inlineStr">
        <is>
          <t>20260129000567</t>
        </is>
      </c>
      <c r="M81" s="8">
        <f>HYPERLINK("https://dart.fss.or.kr/dsaf001/main.do?rcpNo=20260129000567", "공시열람")</f>
        <v/>
      </c>
    </row>
    <row r="82" ht="22" customHeight="1">
      <c r="A82" s="2" t="inlineStr">
        <is>
          <t>2026-01-29</t>
        </is>
      </c>
      <c r="B82" s="3" t="inlineStr">
        <is>
          <t>삼성에피스홀딩스</t>
        </is>
      </c>
      <c r="C82" s="2" t="inlineStr">
        <is>
          <t>0126Z0</t>
        </is>
      </c>
      <c r="D82" s="2" t="inlineStr">
        <is>
          <t>임원보고</t>
        </is>
      </c>
      <c r="E82" s="3" t="inlineStr">
        <is>
          <t>-</t>
        </is>
      </c>
      <c r="F82" s="3" t="inlineStr">
        <is>
          <t>-</t>
        </is>
      </c>
      <c r="G82" s="3" t="inlineStr">
        <is>
          <t>-</t>
        </is>
      </c>
      <c r="H82" s="6" t="inlineStr"/>
      <c r="I82" s="6" t="inlineStr"/>
      <c r="J82" s="6" t="inlineStr"/>
      <c r="K82" s="16" t="n">
        <v>12</v>
      </c>
      <c r="L82" s="2" t="inlineStr">
        <is>
          <t>20260129800675</t>
        </is>
      </c>
      <c r="M82" s="8">
        <f>HYPERLINK("https://dart.fss.or.kr/dsaf001/main.do?rcpNo=20260129800675", "공시열람")</f>
        <v/>
      </c>
    </row>
    <row r="83" ht="22" customHeight="1">
      <c r="A83" s="2" t="inlineStr">
        <is>
          <t>2026-01-29</t>
        </is>
      </c>
      <c r="B83" s="3" t="inlineStr">
        <is>
          <t>팜스코</t>
        </is>
      </c>
      <c r="C83" s="2" t="inlineStr">
        <is>
          <t>036580</t>
        </is>
      </c>
      <c r="D83" s="2" t="inlineStr">
        <is>
          <t>대량보유</t>
        </is>
      </c>
      <c r="E83" s="3" t="inlineStr">
        <is>
          <t>(주)하림지주</t>
        </is>
      </c>
      <c r="F83" s="3" t="inlineStr">
        <is>
          <t>보고자</t>
        </is>
      </c>
      <c r="G83" s="3" t="inlineStr">
        <is>
          <t>1) 보고자의 주식담보설정 계약 변경 - 한국증권금융 대출 4건 중 1건 만기 도래에 따른 연장(400억) (차입기간 : 2026.01.22.~2027.01.22.) - 기존 제공 담보주식 수 변경없음2) 보고자의 주식담보설정 계약 변경 - 농협은행 차입금 기한 만기에 따른 연장(300억) (차입기간: 2026.01.29. ~ 2027.01.29.) - 기존 제공 담보주식 수 변경없음</t>
        </is>
      </c>
      <c r="H83" s="6" t="inlineStr"/>
      <c r="I83" s="6" t="inlineStr"/>
      <c r="J83" s="6" t="n">
        <v>20800022</v>
      </c>
      <c r="K83" s="16" t="n">
        <v>6</v>
      </c>
      <c r="L83" s="2" t="inlineStr">
        <is>
          <t>20260129000558</t>
        </is>
      </c>
      <c r="M83" s="8">
        <f>HYPERLINK("https://dart.fss.or.kr/dsaf001/main.do?rcpNo=20260129000558", "공시열람")</f>
        <v/>
      </c>
    </row>
    <row r="84" ht="22" customHeight="1">
      <c r="A84" s="2" t="inlineStr">
        <is>
          <t>2026-01-29</t>
        </is>
      </c>
      <c r="B84" s="3" t="inlineStr">
        <is>
          <t>솔본</t>
        </is>
      </c>
      <c r="C84" s="2" t="inlineStr">
        <is>
          <t>035610</t>
        </is>
      </c>
      <c r="D84" s="2" t="inlineStr">
        <is>
          <t>대량보유</t>
        </is>
      </c>
      <c r="E84" s="3" t="inlineStr">
        <is>
          <t>테크하임(주)</t>
        </is>
      </c>
      <c r="F84" s="3" t="inlineStr">
        <is>
          <t>특별관계자</t>
        </is>
      </c>
      <c r="G84" s="3" t="inlineStr">
        <is>
          <t>장내매수(+), 장외매수(+)</t>
        </is>
      </c>
      <c r="H84" s="15" t="n">
        <v>267752</v>
      </c>
      <c r="I84" s="6" t="n">
        <v>3732</v>
      </c>
      <c r="J84" s="6" t="n">
        <v>2022709</v>
      </c>
      <c r="K84" s="16" t="n">
        <v>5</v>
      </c>
      <c r="L84" s="2" t="inlineStr">
        <is>
          <t>20260129000555</t>
        </is>
      </c>
      <c r="M84" s="8">
        <f>HYPERLINK("https://dart.fss.or.kr/dsaf001/main.do?rcpNo=20260129000555", "공시열람")</f>
        <v/>
      </c>
    </row>
    <row r="85" ht="22" customHeight="1">
      <c r="A85" s="2" t="inlineStr">
        <is>
          <t>2026-01-29</t>
        </is>
      </c>
      <c r="B85" s="3" t="inlineStr">
        <is>
          <t>솔본</t>
        </is>
      </c>
      <c r="C85" s="2" t="inlineStr">
        <is>
          <t>035610</t>
        </is>
      </c>
      <c r="D85" s="2" t="inlineStr">
        <is>
          <t>대량보유</t>
        </is>
      </c>
      <c r="E85" s="3" t="inlineStr">
        <is>
          <t>(주)솔본미디어</t>
        </is>
      </c>
      <c r="F85" s="3" t="inlineStr">
        <is>
          <t>특별관계자</t>
        </is>
      </c>
      <c r="G85" s="3" t="inlineStr">
        <is>
          <t>장외매도(-)</t>
        </is>
      </c>
      <c r="H85" s="17" t="n">
        <v>-120332</v>
      </c>
      <c r="I85" s="6" t="n">
        <v>3620</v>
      </c>
      <c r="J85" s="6" t="n">
        <v>424077</v>
      </c>
      <c r="K85" s="16" t="n">
        <v>5</v>
      </c>
      <c r="L85" s="2" t="inlineStr">
        <is>
          <t>20260129000555</t>
        </is>
      </c>
      <c r="M85" s="8">
        <f>HYPERLINK("https://dart.fss.or.kr/dsaf001/main.do?rcpNo=20260129000555", "공시열람")</f>
        <v/>
      </c>
    </row>
    <row r="86" ht="22" customHeight="1">
      <c r="A86" s="2" t="inlineStr">
        <is>
          <t>2026-01-29</t>
        </is>
      </c>
      <c r="B86" s="3" t="inlineStr">
        <is>
          <t>솔본</t>
        </is>
      </c>
      <c r="C86" s="2" t="inlineStr">
        <is>
          <t>035610</t>
        </is>
      </c>
      <c r="D86" s="2" t="inlineStr">
        <is>
          <t>대량보유</t>
        </is>
      </c>
      <c r="E86" s="3" t="inlineStr">
        <is>
          <t>홍기태</t>
        </is>
      </c>
      <c r="F86" s="3" t="inlineStr">
        <is>
          <t>특별관계자</t>
        </is>
      </c>
      <c r="G86" s="3" t="inlineStr">
        <is>
          <t>장외매도(-)</t>
        </is>
      </c>
      <c r="H86" s="17" t="n">
        <v>-1000000</v>
      </c>
      <c r="I86" s="6" t="n">
        <v>3510</v>
      </c>
      <c r="J86" s="6" t="n">
        <v>4326923</v>
      </c>
      <c r="K86" s="16" t="n">
        <v>5</v>
      </c>
      <c r="L86" s="2" t="inlineStr">
        <is>
          <t>20260129000555</t>
        </is>
      </c>
      <c r="M86" s="8">
        <f>HYPERLINK("https://dart.fss.or.kr/dsaf001/main.do?rcpNo=20260129000555", "공시열람")</f>
        <v/>
      </c>
    </row>
    <row r="87" ht="22" customHeight="1">
      <c r="A87" s="2" t="inlineStr">
        <is>
          <t>2026-01-29</t>
        </is>
      </c>
      <c r="B87" s="3" t="inlineStr">
        <is>
          <t>솔본</t>
        </is>
      </c>
      <c r="C87" s="2" t="inlineStr">
        <is>
          <t>035610</t>
        </is>
      </c>
      <c r="D87" s="2" t="inlineStr">
        <is>
          <t>대량보유</t>
        </is>
      </c>
      <c r="E87" s="3" t="inlineStr">
        <is>
          <t>이혜숙</t>
        </is>
      </c>
      <c r="F87" s="3" t="inlineStr">
        <is>
          <t>특별관계자</t>
        </is>
      </c>
      <c r="G87" s="3" t="inlineStr">
        <is>
          <t>장외매도(-)</t>
        </is>
      </c>
      <c r="H87" s="17" t="n">
        <v>-400000</v>
      </c>
      <c r="I87" s="6" t="n">
        <v>3510</v>
      </c>
      <c r="J87" s="6" t="n">
        <v>4316684</v>
      </c>
      <c r="K87" s="16" t="n">
        <v>5</v>
      </c>
      <c r="L87" s="2" t="inlineStr">
        <is>
          <t>20260129000555</t>
        </is>
      </c>
      <c r="M87" s="8">
        <f>HYPERLINK("https://dart.fss.or.kr/dsaf001/main.do?rcpNo=20260129000555", "공시열람")</f>
        <v/>
      </c>
    </row>
    <row r="88" ht="22" customHeight="1">
      <c r="A88" s="2" t="inlineStr">
        <is>
          <t>2026-01-29</t>
        </is>
      </c>
      <c r="B88" s="3" t="inlineStr">
        <is>
          <t>솔본</t>
        </is>
      </c>
      <c r="C88" s="2" t="inlineStr">
        <is>
          <t>035610</t>
        </is>
      </c>
      <c r="D88" s="2" t="inlineStr">
        <is>
          <t>대량보유</t>
        </is>
      </c>
      <c r="E88" s="3" t="inlineStr">
        <is>
          <t>(주)알에이지</t>
        </is>
      </c>
      <c r="F88" s="3" t="inlineStr">
        <is>
          <t>특별관계자</t>
        </is>
      </c>
      <c r="G88" s="3" t="inlineStr">
        <is>
          <t>장외매수(+)</t>
        </is>
      </c>
      <c r="H88" s="15" t="n">
        <v>1400000</v>
      </c>
      <c r="I88" s="6" t="n">
        <v>3510</v>
      </c>
      <c r="J88" s="6" t="n">
        <v>2155871</v>
      </c>
      <c r="K88" s="16" t="n">
        <v>5</v>
      </c>
      <c r="L88" s="2" t="inlineStr">
        <is>
          <t>20260129000555</t>
        </is>
      </c>
      <c r="M88" s="8">
        <f>HYPERLINK("https://dart.fss.or.kr/dsaf001/main.do?rcpNo=20260129000555", "공시열람")</f>
        <v/>
      </c>
    </row>
    <row r="89" ht="22" customHeight="1">
      <c r="A89" s="2" t="inlineStr">
        <is>
          <t>2026-01-29 (정정: 2026-03-04)</t>
        </is>
      </c>
      <c r="B89" s="3" t="inlineStr">
        <is>
          <t>서진시스템</t>
        </is>
      </c>
      <c r="C89" s="2" t="inlineStr">
        <is>
          <t>178320</t>
        </is>
      </c>
      <c r="D89" s="2" t="inlineStr">
        <is>
          <t>대량보유</t>
        </is>
      </c>
      <c r="E89" s="3" t="inlineStr">
        <is>
          <t>-</t>
        </is>
      </c>
      <c r="F89" s="3" t="inlineStr">
        <is>
          <t>보고자</t>
        </is>
      </c>
      <c r="G89" s="3" t="inlineStr">
        <is>
          <t>-</t>
        </is>
      </c>
      <c r="H89" s="6" t="inlineStr"/>
      <c r="I89" s="6" t="inlineStr"/>
      <c r="J89" s="6" t="inlineStr"/>
      <c r="K89" s="18" t="inlineStr"/>
      <c r="L89" s="2" t="inlineStr">
        <is>
          <t>20260304901252</t>
        </is>
      </c>
      <c r="M89" s="8">
        <f>HYPERLINK("https://dart.fss.or.kr/dsaf001/main.do?rcpNo=20260304901252", "공시열람")</f>
        <v/>
      </c>
    </row>
    <row r="90" ht="22" customHeight="1">
      <c r="A90" s="2" t="inlineStr">
        <is>
          <t>2026-01-29</t>
        </is>
      </c>
      <c r="B90" s="3" t="inlineStr">
        <is>
          <t>선진</t>
        </is>
      </c>
      <c r="C90" s="2" t="inlineStr">
        <is>
          <t>136490</t>
        </is>
      </c>
      <c r="D90" s="2" t="inlineStr">
        <is>
          <t>대량보유</t>
        </is>
      </c>
      <c r="E90" s="3" t="inlineStr">
        <is>
          <t>주식회사 하림지주</t>
        </is>
      </c>
      <c r="F90" s="3" t="inlineStr">
        <is>
          <t>보고자</t>
        </is>
      </c>
      <c r="G90" s="3" t="inlineStr">
        <is>
          <t>1) 보고자의 주식담보설정 계약 변경 - 한국증권금융 대출 4건 중 1건 만기 도래에 따른 연장(400억) (차입기간 : 2026.01.22.~2027.01.22.) - 기존 제공 담보주식 수 변경없음2) 보고자의 주식담보설정 계약 변경 - 농협은행 차입금 기한 만기에 따른 연장(300억) (차입기간: 2026.01.29. ~ 2027.01.29.) - 기존 제공 담보주식 수 변경없음</t>
        </is>
      </c>
      <c r="H90" s="6" t="inlineStr"/>
      <c r="I90" s="6" t="inlineStr"/>
      <c r="J90" s="6" t="n">
        <v>11909741</v>
      </c>
      <c r="K90" s="16" t="n">
        <v>5</v>
      </c>
      <c r="L90" s="2" t="inlineStr">
        <is>
          <t>20260129000542</t>
        </is>
      </c>
      <c r="M90" s="8">
        <f>HYPERLINK("https://dart.fss.or.kr/dsaf001/main.do?rcpNo=20260129000542", "공시열람")</f>
        <v/>
      </c>
    </row>
    <row r="91" ht="22" customHeight="1">
      <c r="A91" s="2" t="inlineStr">
        <is>
          <t>2026-01-29</t>
        </is>
      </c>
      <c r="B91" s="3" t="inlineStr">
        <is>
          <t>하림</t>
        </is>
      </c>
      <c r="C91" s="2" t="inlineStr">
        <is>
          <t>136480</t>
        </is>
      </c>
      <c r="D91" s="2" t="inlineStr">
        <is>
          <t>대량보유</t>
        </is>
      </c>
      <c r="E91" s="3" t="inlineStr">
        <is>
          <t>주식회사 하림지주</t>
        </is>
      </c>
      <c r="F91" s="3" t="inlineStr">
        <is>
          <t>보고자</t>
        </is>
      </c>
      <c r="G91" s="3" t="inlineStr">
        <is>
          <t>보고자의 주식담보설정 계약 변경 - 농협은행 차입금 기한 만기에 따른 연장(300억) (차입기간: 2026.01.29. ~ 2027.01.29.) - 기존 제공 담보주식 수 변경없음</t>
        </is>
      </c>
      <c r="H91" s="6" t="inlineStr"/>
      <c r="I91" s="6" t="inlineStr"/>
      <c r="J91" s="6" t="n">
        <v>62545020</v>
      </c>
      <c r="K91" s="16" t="n">
        <v>4</v>
      </c>
      <c r="L91" s="2" t="inlineStr">
        <is>
          <t>20260129000533</t>
        </is>
      </c>
      <c r="M91" s="8">
        <f>HYPERLINK("https://dart.fss.or.kr/dsaf001/main.do?rcpNo=20260129000533", "공시열람")</f>
        <v/>
      </c>
    </row>
    <row r="92" ht="22" customHeight="1">
      <c r="A92" s="2" t="inlineStr">
        <is>
          <t>2026-01-29</t>
        </is>
      </c>
      <c r="B92" s="3" t="inlineStr">
        <is>
          <t>팬오션</t>
        </is>
      </c>
      <c r="C92" s="2" t="inlineStr">
        <is>
          <t>028670</t>
        </is>
      </c>
      <c r="D92" s="2" t="inlineStr">
        <is>
          <t>대량보유</t>
        </is>
      </c>
      <c r="E92" s="3" t="inlineStr">
        <is>
          <t>주식회사 하림지주</t>
        </is>
      </c>
      <c r="F92" s="3" t="inlineStr">
        <is>
          <t>보고자</t>
        </is>
      </c>
      <c r="G92" s="3" t="inlineStr">
        <is>
          <t>보고자의 주식담보설정 계약 변경 - 한국증권금융 대출 4건 중 1건 만기 도래에 따른 연장(400억) (차입기간 : 2026.01.22.~2027.01.22.) - 기존 제공 담보주식 수 변경없음</t>
        </is>
      </c>
      <c r="H92" s="6" t="inlineStr"/>
      <c r="I92" s="6" t="inlineStr"/>
      <c r="J92" s="6" t="n">
        <v>293584255</v>
      </c>
      <c r="K92" s="16" t="n">
        <v>12</v>
      </c>
      <c r="L92" s="2" t="inlineStr">
        <is>
          <t>20260129000528</t>
        </is>
      </c>
      <c r="M92" s="8">
        <f>HYPERLINK("https://dart.fss.or.kr/dsaf001/main.do?rcpNo=20260129000528", "공시열람")</f>
        <v/>
      </c>
    </row>
    <row r="93" ht="22" customHeight="1">
      <c r="A93" s="2" t="inlineStr">
        <is>
          <t>2026-01-29</t>
        </is>
      </c>
      <c r="B93" s="3" t="inlineStr">
        <is>
          <t>다이나믹디자인</t>
        </is>
      </c>
      <c r="C93" s="2" t="inlineStr">
        <is>
          <t>145210</t>
        </is>
      </c>
      <c r="D93" s="2" t="inlineStr">
        <is>
          <t>대량보유</t>
        </is>
      </c>
      <c r="E93" s="3" t="inlineStr">
        <is>
          <t>(주)정인파트너스</t>
        </is>
      </c>
      <c r="F93" s="3" t="inlineStr">
        <is>
          <t>특별관계자</t>
        </is>
      </c>
      <c r="G93" s="3" t="inlineStr">
        <is>
          <t>장내매도(-), 행사가액조정</t>
        </is>
      </c>
      <c r="H93" s="17" t="n">
        <v>-1483717</v>
      </c>
      <c r="I93" s="6" t="n">
        <v>710</v>
      </c>
      <c r="J93" s="6" t="n">
        <v>300000</v>
      </c>
      <c r="K93" s="16" t="n">
        <v>3.5</v>
      </c>
      <c r="L93" s="2" t="inlineStr">
        <is>
          <t>20260129000509</t>
        </is>
      </c>
      <c r="M93" s="8">
        <f>HYPERLINK("https://dart.fss.or.kr/dsaf001/main.do?rcpNo=20260129000509", "공시열람")</f>
        <v/>
      </c>
    </row>
    <row r="94" ht="22" customHeight="1">
      <c r="A94" s="2" t="inlineStr">
        <is>
          <t>2026-01-29</t>
        </is>
      </c>
      <c r="B94" s="3" t="inlineStr">
        <is>
          <t>한미사이언스</t>
        </is>
      </c>
      <c r="C94" s="2" t="inlineStr">
        <is>
          <t>008930</t>
        </is>
      </c>
      <c r="D94" s="2" t="inlineStr">
        <is>
          <t>임원보고</t>
        </is>
      </c>
      <c r="E94" s="3" t="inlineStr">
        <is>
          <t>-</t>
        </is>
      </c>
      <c r="F94" s="3" t="inlineStr">
        <is>
          <t>-</t>
        </is>
      </c>
      <c r="G94" s="3" t="inlineStr">
        <is>
          <t>-</t>
        </is>
      </c>
      <c r="H94" s="6" t="inlineStr"/>
      <c r="I94" s="6" t="inlineStr"/>
      <c r="J94" s="6" t="inlineStr"/>
      <c r="K94" s="16" t="n">
        <v>12</v>
      </c>
      <c r="L94" s="2" t="inlineStr">
        <is>
          <t>20260129800527</t>
        </is>
      </c>
      <c r="M94" s="8">
        <f>HYPERLINK("https://dart.fss.or.kr/dsaf001/main.do?rcpNo=20260129800527", "공시열람")</f>
        <v/>
      </c>
    </row>
    <row r="95" ht="22" customHeight="1">
      <c r="A95" s="2" t="inlineStr">
        <is>
          <t>2026-01-29</t>
        </is>
      </c>
      <c r="B95" s="3" t="inlineStr">
        <is>
          <t>에피소드컴퍼니</t>
        </is>
      </c>
      <c r="C95" s="2" t="inlineStr">
        <is>
          <t>317530</t>
        </is>
      </c>
      <c r="D95" s="2" t="inlineStr">
        <is>
          <t>대량보유</t>
        </is>
      </c>
      <c r="E95" s="3" t="inlineStr">
        <is>
          <t>한정훈</t>
        </is>
      </c>
      <c r="F95" s="3" t="inlineStr">
        <is>
          <t>특별관계자</t>
        </is>
      </c>
      <c r="G95" s="3" t="inlineStr">
        <is>
          <t>신규보고(+), 제3자배정유상증자(+)</t>
        </is>
      </c>
      <c r="H95" s="15" t="n">
        <v>1067633</v>
      </c>
      <c r="I95" s="6" t="n">
        <v>3751</v>
      </c>
      <c r="J95" s="6" t="n">
        <v>1067633</v>
      </c>
      <c r="K95" s="16" t="n">
        <v>3</v>
      </c>
      <c r="L95" s="2" t="inlineStr">
        <is>
          <t>20260129000454</t>
        </is>
      </c>
      <c r="M95" s="8">
        <f>HYPERLINK("https://dart.fss.or.kr/dsaf001/main.do?rcpNo=20260129000454", "공시열람")</f>
        <v/>
      </c>
    </row>
    <row r="96" ht="22" customHeight="1">
      <c r="A96" s="2" t="inlineStr">
        <is>
          <t>2026-01-29</t>
        </is>
      </c>
      <c r="B96" s="3" t="inlineStr">
        <is>
          <t>에피소드컴퍼니</t>
        </is>
      </c>
      <c r="C96" s="2" t="inlineStr">
        <is>
          <t>317530</t>
        </is>
      </c>
      <c r="D96" s="2" t="inlineStr">
        <is>
          <t>대량보유</t>
        </is>
      </c>
      <c r="E96" s="3" t="inlineStr">
        <is>
          <t>박건희</t>
        </is>
      </c>
      <c r="F96" s="3" t="inlineStr">
        <is>
          <t>특별관계자</t>
        </is>
      </c>
      <c r="G96" s="3" t="inlineStr">
        <is>
          <t>제3자배정유상증자(+)</t>
        </is>
      </c>
      <c r="H96" s="15" t="n">
        <v>160000</v>
      </c>
      <c r="I96" s="6" t="n">
        <v>3750</v>
      </c>
      <c r="J96" s="6" t="n">
        <v>160000</v>
      </c>
      <c r="K96" s="16" t="n">
        <v>3</v>
      </c>
      <c r="L96" s="2" t="inlineStr">
        <is>
          <t>20260129000454</t>
        </is>
      </c>
      <c r="M96" s="8">
        <f>HYPERLINK("https://dart.fss.or.kr/dsaf001/main.do?rcpNo=20260129000454", "공시열람")</f>
        <v/>
      </c>
    </row>
    <row r="97" ht="22" customHeight="1">
      <c r="A97" s="2" t="inlineStr">
        <is>
          <t>2026-01-29</t>
        </is>
      </c>
      <c r="B97" s="3" t="inlineStr">
        <is>
          <t>에피소드컴퍼니</t>
        </is>
      </c>
      <c r="C97" s="2" t="inlineStr">
        <is>
          <t>317530</t>
        </is>
      </c>
      <c r="D97" s="2" t="inlineStr">
        <is>
          <t>대량보유</t>
        </is>
      </c>
      <c r="E97" s="3" t="inlineStr">
        <is>
          <t>이정호</t>
        </is>
      </c>
      <c r="F97" s="3" t="inlineStr">
        <is>
          <t>특별관계자</t>
        </is>
      </c>
      <c r="G97" s="3" t="inlineStr">
        <is>
          <t>제3자배정유상증자(+)</t>
        </is>
      </c>
      <c r="H97" s="15" t="n">
        <v>160000</v>
      </c>
      <c r="I97" s="6" t="n">
        <v>3750</v>
      </c>
      <c r="J97" s="6" t="n">
        <v>160000</v>
      </c>
      <c r="K97" s="16" t="n">
        <v>3</v>
      </c>
      <c r="L97" s="2" t="inlineStr">
        <is>
          <t>20260129000454</t>
        </is>
      </c>
      <c r="M97" s="8">
        <f>HYPERLINK("https://dart.fss.or.kr/dsaf001/main.do?rcpNo=20260129000454", "공시열람")</f>
        <v/>
      </c>
    </row>
    <row r="98" ht="22" customHeight="1">
      <c r="A98" s="2" t="inlineStr">
        <is>
          <t>2026-01-29</t>
        </is>
      </c>
      <c r="B98" s="3" t="inlineStr">
        <is>
          <t>케이옥션</t>
        </is>
      </c>
      <c r="C98" s="2" t="inlineStr">
        <is>
          <t>102370</t>
        </is>
      </c>
      <c r="D98" s="2" t="inlineStr">
        <is>
          <t>대량보유</t>
        </is>
      </c>
      <c r="E98" s="3" t="inlineStr">
        <is>
          <t>티에이어드바이저유한회사</t>
        </is>
      </c>
      <c r="F98" s="3" t="inlineStr">
        <is>
          <t>보고자</t>
        </is>
      </c>
      <c r="G98" s="3" t="inlineStr">
        <is>
          <t>주식담보계약 일부변경(만기연장)</t>
        </is>
      </c>
      <c r="H98" s="6" t="inlineStr"/>
      <c r="I98" s="6" t="inlineStr"/>
      <c r="J98" s="6" t="n">
        <v>13869001</v>
      </c>
      <c r="K98" s="16" t="n">
        <v>7</v>
      </c>
      <c r="L98" s="2" t="inlineStr">
        <is>
          <t>20260129000452</t>
        </is>
      </c>
      <c r="M98" s="8">
        <f>HYPERLINK("https://dart.fss.or.kr/dsaf001/main.do?rcpNo=20260129000452", "공시열람")</f>
        <v/>
      </c>
    </row>
    <row r="99" ht="22" customHeight="1">
      <c r="A99" s="2" t="inlineStr">
        <is>
          <t>2026-01-29</t>
        </is>
      </c>
      <c r="B99" s="3" t="inlineStr">
        <is>
          <t>삼미금속</t>
        </is>
      </c>
      <c r="C99" s="2" t="inlineStr">
        <is>
          <t>012210</t>
        </is>
      </c>
      <c r="D99" s="2" t="inlineStr">
        <is>
          <t>대량보유</t>
        </is>
      </c>
      <c r="E99" s="3" t="inlineStr">
        <is>
          <t>아이비케이에스와이지턴어라운드신기술투자조합제1호</t>
        </is>
      </c>
      <c r="F99" s="3" t="inlineStr">
        <is>
          <t>특별관계자</t>
        </is>
      </c>
      <c r="G99" s="3" t="inlineStr">
        <is>
          <t>장내매도(-)</t>
        </is>
      </c>
      <c r="H99" s="17" t="n">
        <v>-524071</v>
      </c>
      <c r="I99" s="6" t="n">
        <v>0</v>
      </c>
      <c r="J99" s="6" t="n">
        <v>1400000</v>
      </c>
      <c r="K99" s="16" t="n">
        <v>1</v>
      </c>
      <c r="L99" s="2" t="inlineStr">
        <is>
          <t>20260129000435</t>
        </is>
      </c>
      <c r="M99" s="8">
        <f>HYPERLINK("https://dart.fss.or.kr/dsaf001/main.do?rcpNo=20260129000435", "공시열람")</f>
        <v/>
      </c>
    </row>
    <row r="100" ht="22" customHeight="1">
      <c r="A100" s="2" t="inlineStr">
        <is>
          <t>2026-01-29</t>
        </is>
      </c>
      <c r="B100" s="3" t="inlineStr">
        <is>
          <t>삼미금속</t>
        </is>
      </c>
      <c r="C100" s="2" t="inlineStr">
        <is>
          <t>012210</t>
        </is>
      </c>
      <c r="D100" s="2" t="inlineStr">
        <is>
          <t>대량보유</t>
        </is>
      </c>
      <c r="E100" s="3" t="inlineStr">
        <is>
          <t>아이비케이에스넥스트스케일업신기술투자조합</t>
        </is>
      </c>
      <c r="F100" s="3" t="inlineStr">
        <is>
          <t>특별관계자</t>
        </is>
      </c>
      <c r="G100" s="3" t="inlineStr">
        <is>
          <t>장내매도(-)</t>
        </is>
      </c>
      <c r="H100" s="17" t="n">
        <v>-196666</v>
      </c>
      <c r="I100" s="6" t="n">
        <v>0</v>
      </c>
      <c r="J100" s="6" t="n">
        <v>50000</v>
      </c>
      <c r="K100" s="16" t="n">
        <v>1</v>
      </c>
      <c r="L100" s="2" t="inlineStr">
        <is>
          <t>20260129000435</t>
        </is>
      </c>
      <c r="M100" s="8">
        <f>HYPERLINK("https://dart.fss.or.kr/dsaf001/main.do?rcpNo=20260129000435", "공시열람")</f>
        <v/>
      </c>
    </row>
    <row r="101" ht="22" customHeight="1">
      <c r="A101" s="2" t="inlineStr">
        <is>
          <t>2026-01-29</t>
        </is>
      </c>
      <c r="B101" s="3" t="inlineStr">
        <is>
          <t>진성티이씨</t>
        </is>
      </c>
      <c r="C101" s="2" t="inlineStr">
        <is>
          <t>036890</t>
        </is>
      </c>
      <c r="D101" s="2" t="inlineStr">
        <is>
          <t>대량보유</t>
        </is>
      </c>
      <c r="E101" s="3" t="inlineStr">
        <is>
          <t>마이다스에셋자산운용</t>
        </is>
      </c>
      <c r="F101" s="3" t="inlineStr">
        <is>
          <t>특별관계자</t>
        </is>
      </c>
      <c r="G101" s="3" t="inlineStr">
        <is>
          <t>장내매도(-), 장내매수(+)</t>
        </is>
      </c>
      <c r="H101" s="15" t="n">
        <v>284900</v>
      </c>
      <c r="I101" s="6" t="n">
        <v>13925</v>
      </c>
      <c r="J101" s="6" t="n">
        <v>1427582</v>
      </c>
      <c r="K101" s="16" t="n">
        <v>1</v>
      </c>
      <c r="L101" s="2" t="inlineStr">
        <is>
          <t>20260129000399</t>
        </is>
      </c>
      <c r="M101" s="8">
        <f>HYPERLINK("https://dart.fss.or.kr/dsaf001/main.do?rcpNo=20260129000399", "공시열람")</f>
        <v/>
      </c>
    </row>
    <row r="102" ht="22" customHeight="1">
      <c r="A102" s="2" t="inlineStr">
        <is>
          <t>2026-01-29</t>
        </is>
      </c>
      <c r="B102" s="3" t="inlineStr">
        <is>
          <t>신흥</t>
        </is>
      </c>
      <c r="C102" s="2" t="inlineStr">
        <is>
          <t>004080</t>
        </is>
      </c>
      <c r="D102" s="2" t="inlineStr">
        <is>
          <t>임원보고</t>
        </is>
      </c>
      <c r="E102" s="3" t="inlineStr">
        <is>
          <t>-</t>
        </is>
      </c>
      <c r="F102" s="3" t="inlineStr">
        <is>
          <t>-</t>
        </is>
      </c>
      <c r="G102" s="3" t="inlineStr">
        <is>
          <t>-</t>
        </is>
      </c>
      <c r="H102" s="6" t="inlineStr"/>
      <c r="I102" s="6" t="inlineStr"/>
      <c r="J102" s="6" t="inlineStr"/>
      <c r="K102" s="16" t="n">
        <v>12</v>
      </c>
      <c r="L102" s="2" t="inlineStr">
        <is>
          <t>20260129800281</t>
        </is>
      </c>
      <c r="M102" s="8">
        <f>HYPERLINK("https://dart.fss.or.kr/dsaf001/main.do?rcpNo=20260129800281", "공시열람")</f>
        <v/>
      </c>
    </row>
    <row r="103" ht="22" customHeight="1">
      <c r="A103" s="2" t="inlineStr">
        <is>
          <t>2026-01-29</t>
        </is>
      </c>
      <c r="B103" s="3" t="inlineStr">
        <is>
          <t>DB손해보험</t>
        </is>
      </c>
      <c r="C103" s="2" t="inlineStr">
        <is>
          <t>005830</t>
        </is>
      </c>
      <c r="D103" s="2" t="inlineStr">
        <is>
          <t>대량보유</t>
        </is>
      </c>
      <c r="E103" s="3" t="inlineStr">
        <is>
          <t>BlackRockFundAdvisors</t>
        </is>
      </c>
      <c r="F103" s="3" t="inlineStr">
        <is>
          <t>특별관계자</t>
        </is>
      </c>
      <c r="G103" s="3" t="inlineStr">
        <is>
          <t>신규보고(+), 장내매수(+)</t>
        </is>
      </c>
      <c r="H103" s="15" t="n">
        <v>1538632</v>
      </c>
      <c r="I103" s="6" t="n">
        <v>129529</v>
      </c>
      <c r="J103" s="6" t="n">
        <v>1538632</v>
      </c>
      <c r="K103" s="16" t="n">
        <v>12</v>
      </c>
      <c r="L103" s="2" t="inlineStr">
        <is>
          <t>20260129000243</t>
        </is>
      </c>
      <c r="M103" s="8">
        <f>HYPERLINK("https://dart.fss.or.kr/dsaf001/main.do?rcpNo=20260129000243", "공시열람")</f>
        <v/>
      </c>
    </row>
    <row r="104" ht="22" customHeight="1">
      <c r="A104" s="2" t="inlineStr">
        <is>
          <t>2026-01-29</t>
        </is>
      </c>
      <c r="B104" s="3" t="inlineStr">
        <is>
          <t>DB손해보험</t>
        </is>
      </c>
      <c r="C104" s="2" t="inlineStr">
        <is>
          <t>005830</t>
        </is>
      </c>
      <c r="D104" s="2" t="inlineStr">
        <is>
          <t>대량보유</t>
        </is>
      </c>
      <c r="E104" s="3" t="inlineStr">
        <is>
          <t>BlackRockInstitutionalTrustCompany,N.A.</t>
        </is>
      </c>
      <c r="F104" s="3" t="inlineStr">
        <is>
          <t>특별관계자</t>
        </is>
      </c>
      <c r="G104" s="3" t="inlineStr">
        <is>
          <t>신규보고(+)</t>
        </is>
      </c>
      <c r="H104" s="15" t="n">
        <v>548966</v>
      </c>
      <c r="I104" s="6" t="inlineStr"/>
      <c r="J104" s="6" t="n">
        <v>548966</v>
      </c>
      <c r="K104" s="16" t="n">
        <v>12</v>
      </c>
      <c r="L104" s="2" t="inlineStr">
        <is>
          <t>20260129000243</t>
        </is>
      </c>
      <c r="M104" s="8">
        <f>HYPERLINK("https://dart.fss.or.kr/dsaf001/main.do?rcpNo=20260129000243", "공시열람")</f>
        <v/>
      </c>
    </row>
    <row r="105" ht="22" customHeight="1">
      <c r="A105" s="2" t="inlineStr">
        <is>
          <t>2026-01-29</t>
        </is>
      </c>
      <c r="B105" s="3" t="inlineStr">
        <is>
          <t>DB손해보험</t>
        </is>
      </c>
      <c r="C105" s="2" t="inlineStr">
        <is>
          <t>005830</t>
        </is>
      </c>
      <c r="D105" s="2" t="inlineStr">
        <is>
          <t>대량보유</t>
        </is>
      </c>
      <c r="E105" s="3" t="inlineStr">
        <is>
          <t>BlackRockAdvisors(UK)Limited</t>
        </is>
      </c>
      <c r="F105" s="3" t="inlineStr">
        <is>
          <t>특별관계자</t>
        </is>
      </c>
      <c r="G105" s="3" t="inlineStr">
        <is>
          <t>신규보고(+), 장내매수(+)</t>
        </is>
      </c>
      <c r="H105" s="15" t="n">
        <v>489326</v>
      </c>
      <c r="I105" s="6" t="n">
        <v>129595</v>
      </c>
      <c r="J105" s="6" t="n">
        <v>489326</v>
      </c>
      <c r="K105" s="16" t="n">
        <v>12</v>
      </c>
      <c r="L105" s="2" t="inlineStr">
        <is>
          <t>20260129000243</t>
        </is>
      </c>
      <c r="M105" s="8">
        <f>HYPERLINK("https://dart.fss.or.kr/dsaf001/main.do?rcpNo=20260129000243", "공시열람")</f>
        <v/>
      </c>
    </row>
    <row r="106" ht="22" customHeight="1">
      <c r="A106" s="2" t="inlineStr">
        <is>
          <t>2026-01-29</t>
        </is>
      </c>
      <c r="B106" s="3" t="inlineStr">
        <is>
          <t>DB손해보험</t>
        </is>
      </c>
      <c r="C106" s="2" t="inlineStr">
        <is>
          <t>005830</t>
        </is>
      </c>
      <c r="D106" s="2" t="inlineStr">
        <is>
          <t>대량보유</t>
        </is>
      </c>
      <c r="E106" s="3" t="inlineStr">
        <is>
          <t>BlackRockFinancialManagement,Inc</t>
        </is>
      </c>
      <c r="F106" s="3" t="inlineStr">
        <is>
          <t>특별관계자</t>
        </is>
      </c>
      <c r="G106" s="3" t="inlineStr">
        <is>
          <t>신규보고(+)</t>
        </is>
      </c>
      <c r="H106" s="15" t="n">
        <v>13704</v>
      </c>
      <c r="I106" s="6" t="inlineStr"/>
      <c r="J106" s="6" t="n">
        <v>13704</v>
      </c>
      <c r="K106" s="16" t="n">
        <v>12</v>
      </c>
      <c r="L106" s="2" t="inlineStr">
        <is>
          <t>20260129000243</t>
        </is>
      </c>
      <c r="M106" s="8">
        <f>HYPERLINK("https://dart.fss.or.kr/dsaf001/main.do?rcpNo=20260129000243", "공시열람")</f>
        <v/>
      </c>
    </row>
    <row r="107" ht="22" customHeight="1">
      <c r="A107" s="2" t="inlineStr">
        <is>
          <t>2026-01-29</t>
        </is>
      </c>
      <c r="B107" s="3" t="inlineStr">
        <is>
          <t>DB손해보험</t>
        </is>
      </c>
      <c r="C107" s="2" t="inlineStr">
        <is>
          <t>005830</t>
        </is>
      </c>
      <c r="D107" s="2" t="inlineStr">
        <is>
          <t>대량보유</t>
        </is>
      </c>
      <c r="E107" s="3" t="inlineStr">
        <is>
          <t>BlackRockInvestmentManagement,LLC</t>
        </is>
      </c>
      <c r="F107" s="3" t="inlineStr">
        <is>
          <t>특별관계자</t>
        </is>
      </c>
      <c r="G107" s="3" t="inlineStr">
        <is>
          <t>신규보고(+)</t>
        </is>
      </c>
      <c r="H107" s="15" t="n">
        <v>5984</v>
      </c>
      <c r="I107" s="6" t="inlineStr"/>
      <c r="J107" s="6" t="n">
        <v>5984</v>
      </c>
      <c r="K107" s="16" t="n">
        <v>12</v>
      </c>
      <c r="L107" s="2" t="inlineStr">
        <is>
          <t>20260129000243</t>
        </is>
      </c>
      <c r="M107" s="8">
        <f>HYPERLINK("https://dart.fss.or.kr/dsaf001/main.do?rcpNo=20260129000243", "공시열람")</f>
        <v/>
      </c>
    </row>
    <row r="108" ht="22" customHeight="1">
      <c r="A108" s="2" t="inlineStr">
        <is>
          <t>2026-01-29</t>
        </is>
      </c>
      <c r="B108" s="3" t="inlineStr">
        <is>
          <t>DB손해보험</t>
        </is>
      </c>
      <c r="C108" s="2" t="inlineStr">
        <is>
          <t>005830</t>
        </is>
      </c>
      <c r="D108" s="2" t="inlineStr">
        <is>
          <t>대량보유</t>
        </is>
      </c>
      <c r="E108" s="3" t="inlineStr">
        <is>
          <t>BlackRockInvestmentManagement(UK)Limited</t>
        </is>
      </c>
      <c r="F108" s="3" t="inlineStr">
        <is>
          <t>특별관계자</t>
        </is>
      </c>
      <c r="G108" s="3" t="inlineStr">
        <is>
          <t>신규보고(+), 장내매수(+)</t>
        </is>
      </c>
      <c r="H108" s="15" t="n">
        <v>228632</v>
      </c>
      <c r="I108" s="6" t="n">
        <v>130048</v>
      </c>
      <c r="J108" s="6" t="n">
        <v>228632</v>
      </c>
      <c r="K108" s="16" t="n">
        <v>12</v>
      </c>
      <c r="L108" s="2" t="inlineStr">
        <is>
          <t>20260129000243</t>
        </is>
      </c>
      <c r="M108" s="8">
        <f>HYPERLINK("https://dart.fss.or.kr/dsaf001/main.do?rcpNo=20260129000243", "공시열람")</f>
        <v/>
      </c>
    </row>
    <row r="109" ht="22" customHeight="1">
      <c r="A109" s="2" t="inlineStr">
        <is>
          <t>2026-01-29</t>
        </is>
      </c>
      <c r="B109" s="3" t="inlineStr">
        <is>
          <t>DB손해보험</t>
        </is>
      </c>
      <c r="C109" s="2" t="inlineStr">
        <is>
          <t>005830</t>
        </is>
      </c>
      <c r="D109" s="2" t="inlineStr">
        <is>
          <t>대량보유</t>
        </is>
      </c>
      <c r="E109" s="3" t="inlineStr">
        <is>
          <t>BlackRockAssetManagementCanadaLimited</t>
        </is>
      </c>
      <c r="F109" s="3" t="inlineStr">
        <is>
          <t>특별관계자</t>
        </is>
      </c>
      <c r="G109" s="3" t="inlineStr">
        <is>
          <t>신규보고(+)</t>
        </is>
      </c>
      <c r="H109" s="15" t="n">
        <v>16126</v>
      </c>
      <c r="I109" s="6" t="inlineStr"/>
      <c r="J109" s="6" t="n">
        <v>16126</v>
      </c>
      <c r="K109" s="16" t="n">
        <v>12</v>
      </c>
      <c r="L109" s="2" t="inlineStr">
        <is>
          <t>20260129000243</t>
        </is>
      </c>
      <c r="M109" s="8">
        <f>HYPERLINK("https://dart.fss.or.kr/dsaf001/main.do?rcpNo=20260129000243", "공시열람")</f>
        <v/>
      </c>
    </row>
    <row r="110" ht="22" customHeight="1">
      <c r="A110" s="2" t="inlineStr">
        <is>
          <t>2026-01-29</t>
        </is>
      </c>
      <c r="B110" s="3" t="inlineStr">
        <is>
          <t>DB손해보험</t>
        </is>
      </c>
      <c r="C110" s="2" t="inlineStr">
        <is>
          <t>005830</t>
        </is>
      </c>
      <c r="D110" s="2" t="inlineStr">
        <is>
          <t>대량보유</t>
        </is>
      </c>
      <c r="E110" s="3" t="inlineStr">
        <is>
          <t>BlackRock(Netherlands)B.V.</t>
        </is>
      </c>
      <c r="F110" s="3" t="inlineStr">
        <is>
          <t>특별관계자</t>
        </is>
      </c>
      <c r="G110" s="3" t="inlineStr">
        <is>
          <t>신규보고(+)</t>
        </is>
      </c>
      <c r="H110" s="15" t="n">
        <v>18483</v>
      </c>
      <c r="I110" s="6" t="inlineStr"/>
      <c r="J110" s="6" t="n">
        <v>18483</v>
      </c>
      <c r="K110" s="16" t="n">
        <v>12</v>
      </c>
      <c r="L110" s="2" t="inlineStr">
        <is>
          <t>20260129000243</t>
        </is>
      </c>
      <c r="M110" s="8">
        <f>HYPERLINK("https://dart.fss.or.kr/dsaf001/main.do?rcpNo=20260129000243", "공시열람")</f>
        <v/>
      </c>
    </row>
    <row r="111" ht="22" customHeight="1">
      <c r="A111" s="2" t="inlineStr">
        <is>
          <t>2026-01-29</t>
        </is>
      </c>
      <c r="B111" s="3" t="inlineStr">
        <is>
          <t>DB손해보험</t>
        </is>
      </c>
      <c r="C111" s="2" t="inlineStr">
        <is>
          <t>005830</t>
        </is>
      </c>
      <c r="D111" s="2" t="inlineStr">
        <is>
          <t>대량보유</t>
        </is>
      </c>
      <c r="E111" s="3" t="inlineStr">
        <is>
          <t>BlackRockAssetManagementNorthAsiaLimited</t>
        </is>
      </c>
      <c r="F111" s="3" t="inlineStr">
        <is>
          <t>특별관계자</t>
        </is>
      </c>
      <c r="G111" s="3" t="inlineStr">
        <is>
          <t>신규보고(+)</t>
        </is>
      </c>
      <c r="H111" s="15" t="n">
        <v>595682</v>
      </c>
      <c r="I111" s="6" t="inlineStr"/>
      <c r="J111" s="6" t="n">
        <v>595682</v>
      </c>
      <c r="K111" s="16" t="n">
        <v>12</v>
      </c>
      <c r="L111" s="2" t="inlineStr">
        <is>
          <t>20260129000243</t>
        </is>
      </c>
      <c r="M111" s="8">
        <f>HYPERLINK("https://dart.fss.or.kr/dsaf001/main.do?rcpNo=20260129000243", "공시열람")</f>
        <v/>
      </c>
    </row>
    <row r="112" ht="22" customHeight="1">
      <c r="A112" s="2" t="inlineStr">
        <is>
          <t>2026-01-29</t>
        </is>
      </c>
      <c r="B112" s="3" t="inlineStr">
        <is>
          <t>DB손해보험</t>
        </is>
      </c>
      <c r="C112" s="2" t="inlineStr">
        <is>
          <t>005830</t>
        </is>
      </c>
      <c r="D112" s="2" t="inlineStr">
        <is>
          <t>대량보유</t>
        </is>
      </c>
      <c r="E112" s="3" t="inlineStr">
        <is>
          <t>BlackRockJapanCo.,Ltd.</t>
        </is>
      </c>
      <c r="F112" s="3" t="inlineStr">
        <is>
          <t>특별관계자</t>
        </is>
      </c>
      <c r="G112" s="3" t="inlineStr">
        <is>
          <t>신규보고(+)</t>
        </is>
      </c>
      <c r="H112" s="15" t="n">
        <v>39973</v>
      </c>
      <c r="I112" s="6" t="inlineStr"/>
      <c r="J112" s="6" t="n">
        <v>39973</v>
      </c>
      <c r="K112" s="16" t="n">
        <v>12</v>
      </c>
      <c r="L112" s="2" t="inlineStr">
        <is>
          <t>20260129000243</t>
        </is>
      </c>
      <c r="M112" s="8">
        <f>HYPERLINK("https://dart.fss.or.kr/dsaf001/main.do?rcpNo=20260129000243", "공시열람")</f>
        <v/>
      </c>
    </row>
    <row r="113" ht="22" customHeight="1">
      <c r="A113" s="2" t="inlineStr">
        <is>
          <t>2026-01-29</t>
        </is>
      </c>
      <c r="B113" s="3" t="inlineStr">
        <is>
          <t>DB손해보험</t>
        </is>
      </c>
      <c r="C113" s="2" t="inlineStr">
        <is>
          <t>005830</t>
        </is>
      </c>
      <c r="D113" s="2" t="inlineStr">
        <is>
          <t>대량보유</t>
        </is>
      </c>
      <c r="E113" s="3" t="inlineStr">
        <is>
          <t>BlackRockInvestmentManagement(Australia)Limited</t>
        </is>
      </c>
      <c r="F113" s="3" t="inlineStr">
        <is>
          <t>특별관계자</t>
        </is>
      </c>
      <c r="G113" s="3" t="inlineStr">
        <is>
          <t>신규보고(+)</t>
        </is>
      </c>
      <c r="H113" s="15" t="n">
        <v>14913</v>
      </c>
      <c r="I113" s="6" t="inlineStr"/>
      <c r="J113" s="6" t="n">
        <v>14913</v>
      </c>
      <c r="K113" s="16" t="n">
        <v>12</v>
      </c>
      <c r="L113" s="2" t="inlineStr">
        <is>
          <t>20260129000243</t>
        </is>
      </c>
      <c r="M113" s="8">
        <f>HYPERLINK("https://dart.fss.or.kr/dsaf001/main.do?rcpNo=20260129000243", "공시열람")</f>
        <v/>
      </c>
    </row>
    <row r="114" ht="22" customHeight="1">
      <c r="A114" s="2" t="inlineStr">
        <is>
          <t>2026-01-29</t>
        </is>
      </c>
      <c r="B114" s="3" t="inlineStr">
        <is>
          <t>DB손해보험</t>
        </is>
      </c>
      <c r="C114" s="2" t="inlineStr">
        <is>
          <t>005830</t>
        </is>
      </c>
      <c r="D114" s="2" t="inlineStr">
        <is>
          <t>대량보유</t>
        </is>
      </c>
      <c r="E114" s="3" t="inlineStr">
        <is>
          <t>BlackRock(Singapore)Limited</t>
        </is>
      </c>
      <c r="F114" s="3" t="inlineStr">
        <is>
          <t>특별관계자</t>
        </is>
      </c>
      <c r="G114" s="3" t="inlineStr">
        <is>
          <t>신규보고(+)</t>
        </is>
      </c>
      <c r="H114" s="15" t="n">
        <v>299</v>
      </c>
      <c r="I114" s="6" t="inlineStr"/>
      <c r="J114" s="6" t="n">
        <v>299</v>
      </c>
      <c r="K114" s="16" t="n">
        <v>12</v>
      </c>
      <c r="L114" s="2" t="inlineStr">
        <is>
          <t>20260129000243</t>
        </is>
      </c>
      <c r="M114" s="8">
        <f>HYPERLINK("https://dart.fss.or.kr/dsaf001/main.do?rcpNo=20260129000243", "공시열람")</f>
        <v/>
      </c>
    </row>
    <row r="115" ht="22" customHeight="1">
      <c r="A115" s="2" t="inlineStr">
        <is>
          <t>2026-01-28 (정정: 2026-01-29)</t>
        </is>
      </c>
      <c r="B115" s="3" t="inlineStr">
        <is>
          <t>신성에스티</t>
        </is>
      </c>
      <c r="C115" s="2" t="inlineStr">
        <is>
          <t>416180</t>
        </is>
      </c>
      <c r="D115" s="2" t="inlineStr">
        <is>
          <t>대량보유</t>
        </is>
      </c>
      <c r="E115" s="3" t="inlineStr">
        <is>
          <t>안병두</t>
        </is>
      </c>
      <c r="F115" s="3" t="inlineStr">
        <is>
          <t>특별관계자</t>
        </is>
      </c>
      <c r="G115" s="3" t="inlineStr">
        <is>
          <t>시간외매매(-), 장내매도(-), 장내매수(+)</t>
        </is>
      </c>
      <c r="H115" s="17" t="n">
        <v>-2709000</v>
      </c>
      <c r="I115" s="6" t="n">
        <v>31695</v>
      </c>
      <c r="J115" s="6" t="inlineStr"/>
      <c r="K115" s="16" t="n">
        <v>1</v>
      </c>
      <c r="L115" s="2" t="inlineStr">
        <is>
          <t>20260129000223</t>
        </is>
      </c>
      <c r="M115" s="8">
        <f>HYPERLINK("https://dart.fss.or.kr/dsaf001/main.do?rcpNo=20260129000223", "공시열람")</f>
        <v/>
      </c>
    </row>
    <row r="116" ht="22" customHeight="1">
      <c r="A116" s="2" t="inlineStr">
        <is>
          <t>2026-01-29</t>
        </is>
      </c>
      <c r="B116" s="3" t="inlineStr">
        <is>
          <t>한양이엔지</t>
        </is>
      </c>
      <c r="C116" s="2" t="inlineStr">
        <is>
          <t>045100</t>
        </is>
      </c>
      <c r="D116" s="2" t="inlineStr">
        <is>
          <t>대량보유</t>
        </is>
      </c>
      <c r="E116" s="3" t="inlineStr">
        <is>
          <t>김윤상</t>
        </is>
      </c>
      <c r="F116" s="3" t="inlineStr">
        <is>
          <t>특별관계자</t>
        </is>
      </c>
      <c r="G116" s="3" t="inlineStr">
        <is>
          <t>기타(+)</t>
        </is>
      </c>
      <c r="H116" s="15" t="n">
        <v>3844294</v>
      </c>
      <c r="I116" s="6" t="inlineStr"/>
      <c r="J116" s="6" t="n">
        <v>4551010</v>
      </c>
      <c r="K116" s="16" t="n">
        <v>6</v>
      </c>
      <c r="L116" s="2" t="inlineStr">
        <is>
          <t>20260129000203</t>
        </is>
      </c>
      <c r="M116" s="8">
        <f>HYPERLINK("https://dart.fss.or.kr/dsaf001/main.do?rcpNo=20260129000203", "공시열람")</f>
        <v/>
      </c>
    </row>
    <row r="117" ht="22" customHeight="1">
      <c r="A117" s="2" t="inlineStr">
        <is>
          <t>2026-01-29</t>
        </is>
      </c>
      <c r="B117" s="3" t="inlineStr">
        <is>
          <t>한양이엔지</t>
        </is>
      </c>
      <c r="C117" s="2" t="inlineStr">
        <is>
          <t>045100</t>
        </is>
      </c>
      <c r="D117" s="2" t="inlineStr">
        <is>
          <t>대량보유</t>
        </is>
      </c>
      <c r="E117" s="3" t="inlineStr">
        <is>
          <t>김형육</t>
        </is>
      </c>
      <c r="F117" s="3" t="inlineStr">
        <is>
          <t>특별관계자</t>
        </is>
      </c>
      <c r="G117" s="3" t="inlineStr">
        <is>
          <t>기타(-)</t>
        </is>
      </c>
      <c r="H117" s="17" t="n">
        <v>-3844294</v>
      </c>
      <c r="I117" s="6" t="inlineStr"/>
      <c r="J117" s="6" t="n">
        <v>1382149</v>
      </c>
      <c r="K117" s="16" t="n">
        <v>6</v>
      </c>
      <c r="L117" s="2" t="inlineStr">
        <is>
          <t>20260129000203</t>
        </is>
      </c>
      <c r="M117" s="8">
        <f>HYPERLINK("https://dart.fss.or.kr/dsaf001/main.do?rcpNo=20260129000203", "공시열람")</f>
        <v/>
      </c>
    </row>
    <row r="118" ht="22" customHeight="1">
      <c r="A118" s="2" t="inlineStr">
        <is>
          <t>2026-01-29</t>
        </is>
      </c>
      <c r="B118" s="3" t="inlineStr">
        <is>
          <t>알로이스</t>
        </is>
      </c>
      <c r="C118" s="2" t="inlineStr">
        <is>
          <t>297570</t>
        </is>
      </c>
      <c r="D118" s="2" t="inlineStr">
        <is>
          <t>대량보유</t>
        </is>
      </c>
      <c r="E118" s="3" t="inlineStr">
        <is>
          <t>신정관</t>
        </is>
      </c>
      <c r="F118" s="3" t="inlineStr">
        <is>
          <t>특별관계자</t>
        </is>
      </c>
      <c r="G118" s="3" t="inlineStr">
        <is>
          <t>기타(+)</t>
        </is>
      </c>
      <c r="H118" s="6" t="inlineStr"/>
      <c r="I118" s="6" t="inlineStr"/>
      <c r="J118" s="6" t="n">
        <v>4295460</v>
      </c>
      <c r="K118" s="16" t="n">
        <v>2</v>
      </c>
      <c r="L118" s="2" t="inlineStr">
        <is>
          <t>20260129000199</t>
        </is>
      </c>
      <c r="M118" s="8">
        <f>HYPERLINK("https://dart.fss.or.kr/dsaf001/main.do?rcpNo=20260129000199", "공시열람")</f>
        <v/>
      </c>
    </row>
    <row r="119" ht="22" customHeight="1">
      <c r="A119" s="2" t="inlineStr">
        <is>
          <t>2026-01-29</t>
        </is>
      </c>
      <c r="B119" s="3" t="inlineStr">
        <is>
          <t>알로이스</t>
        </is>
      </c>
      <c r="C119" s="2" t="inlineStr">
        <is>
          <t>297570</t>
        </is>
      </c>
      <c r="D119" s="2" t="inlineStr">
        <is>
          <t>대량보유</t>
        </is>
      </c>
      <c r="E119" s="3" t="inlineStr">
        <is>
          <t>이시영</t>
        </is>
      </c>
      <c r="F119" s="3" t="inlineStr">
        <is>
          <t>특별관계자</t>
        </is>
      </c>
      <c r="G119" s="3" t="inlineStr">
        <is>
          <t>기타(+)</t>
        </is>
      </c>
      <c r="H119" s="6" t="inlineStr"/>
      <c r="I119" s="6" t="inlineStr"/>
      <c r="J119" s="6" t="n">
        <v>2699530</v>
      </c>
      <c r="K119" s="16" t="n">
        <v>2</v>
      </c>
      <c r="L119" s="2" t="inlineStr">
        <is>
          <t>20260129000199</t>
        </is>
      </c>
      <c r="M119" s="8">
        <f>HYPERLINK("https://dart.fss.or.kr/dsaf001/main.do?rcpNo=20260129000199", "공시열람")</f>
        <v/>
      </c>
    </row>
    <row r="120" ht="22" customHeight="1">
      <c r="A120" s="2" t="inlineStr">
        <is>
          <t>2026-01-29</t>
        </is>
      </c>
      <c r="B120" s="3" t="inlineStr">
        <is>
          <t>에코프로</t>
        </is>
      </c>
      <c r="C120" s="2" t="inlineStr">
        <is>
          <t>086520</t>
        </is>
      </c>
      <c r="D120" s="2" t="inlineStr">
        <is>
          <t>대량보유</t>
        </is>
      </c>
      <c r="E120" s="3" t="inlineStr">
        <is>
          <t>이선이</t>
        </is>
      </c>
      <c r="F120" s="3" t="inlineStr">
        <is>
          <t>특별관계자</t>
        </is>
      </c>
      <c r="G120" s="3" t="inlineStr">
        <is>
          <t>장내매도(-)</t>
        </is>
      </c>
      <c r="H120" s="17" t="n">
        <v>-2000</v>
      </c>
      <c r="I120" s="6" t="n">
        <v>125800</v>
      </c>
      <c r="J120" s="6" t="n">
        <v>1856915</v>
      </c>
      <c r="K120" s="16" t="n">
        <v>13</v>
      </c>
      <c r="L120" s="2" t="inlineStr">
        <is>
          <t>20260129000196</t>
        </is>
      </c>
      <c r="M120" s="8">
        <f>HYPERLINK("https://dart.fss.or.kr/dsaf001/main.do?rcpNo=20260129000196", "공시열람")</f>
        <v/>
      </c>
    </row>
    <row r="121" ht="22" customHeight="1">
      <c r="A121" s="2" t="inlineStr">
        <is>
          <t>2026-01-29</t>
        </is>
      </c>
      <c r="B121" s="3" t="inlineStr">
        <is>
          <t>에코프로</t>
        </is>
      </c>
      <c r="C121" s="2" t="inlineStr">
        <is>
          <t>086520</t>
        </is>
      </c>
      <c r="D121" s="2" t="inlineStr">
        <is>
          <t>대량보유</t>
        </is>
      </c>
      <c r="E121" s="3" t="inlineStr">
        <is>
          <t>강예리</t>
        </is>
      </c>
      <c r="F121" s="3" t="inlineStr">
        <is>
          <t>특별관계자</t>
        </is>
      </c>
      <c r="G121" s="3" t="inlineStr">
        <is>
          <t>장내매도(-)</t>
        </is>
      </c>
      <c r="H121" s="17" t="n">
        <v>-110</v>
      </c>
      <c r="I121" s="6" t="n">
        <v>98400</v>
      </c>
      <c r="J121" s="6" t="n">
        <v>88076</v>
      </c>
      <c r="K121" s="16" t="n">
        <v>13</v>
      </c>
      <c r="L121" s="2" t="inlineStr">
        <is>
          <t>20260129000196</t>
        </is>
      </c>
      <c r="M121" s="8">
        <f>HYPERLINK("https://dart.fss.or.kr/dsaf001/main.do?rcpNo=20260129000196", "공시열람")</f>
        <v/>
      </c>
    </row>
    <row r="122" ht="22" customHeight="1">
      <c r="A122" s="2" t="inlineStr">
        <is>
          <t>2026-01-29</t>
        </is>
      </c>
      <c r="B122" s="3" t="inlineStr">
        <is>
          <t>에코프로</t>
        </is>
      </c>
      <c r="C122" s="2" t="inlineStr">
        <is>
          <t>086520</t>
        </is>
      </c>
      <c r="D122" s="2" t="inlineStr">
        <is>
          <t>대량보유</t>
        </is>
      </c>
      <c r="E122" s="3" t="inlineStr">
        <is>
          <t>강민석</t>
        </is>
      </c>
      <c r="F122" s="3" t="inlineStr">
        <is>
          <t>특별관계자</t>
        </is>
      </c>
      <c r="G122" s="3" t="inlineStr">
        <is>
          <t>장내매도(-)</t>
        </is>
      </c>
      <c r="H122" s="17" t="n">
        <v>-450</v>
      </c>
      <c r="I122" s="6" t="n">
        <v>101556</v>
      </c>
      <c r="J122" s="6" t="n">
        <v>92306</v>
      </c>
      <c r="K122" s="16" t="n">
        <v>13</v>
      </c>
      <c r="L122" s="2" t="inlineStr">
        <is>
          <t>20260129000196</t>
        </is>
      </c>
      <c r="M122" s="8">
        <f>HYPERLINK("https://dart.fss.or.kr/dsaf001/main.do?rcpNo=20260129000196", "공시열람")</f>
        <v/>
      </c>
    </row>
    <row r="123" ht="22" customHeight="1">
      <c r="A123" s="2" t="inlineStr">
        <is>
          <t>2026-01-29</t>
        </is>
      </c>
      <c r="B123" s="3" t="inlineStr">
        <is>
          <t>캔버스엔</t>
        </is>
      </c>
      <c r="C123" s="2" t="inlineStr">
        <is>
          <t>210120</t>
        </is>
      </c>
      <c r="D123" s="2" t="inlineStr">
        <is>
          <t>대량보유</t>
        </is>
      </c>
      <c r="E123" s="3" t="inlineStr">
        <is>
          <t>(주)원정인프라홀딩스</t>
        </is>
      </c>
      <c r="F123" s="3" t="inlineStr">
        <is>
          <t>특별관계자</t>
        </is>
      </c>
      <c r="G123" s="3" t="inlineStr">
        <is>
          <t>기타(+)</t>
        </is>
      </c>
      <c r="H123" s="15" t="n">
        <v>1766013</v>
      </c>
      <c r="I123" s="6" t="inlineStr"/>
      <c r="J123" s="6" t="n">
        <v>3750000</v>
      </c>
      <c r="K123" s="16" t="n">
        <v>4</v>
      </c>
      <c r="L123" s="2" t="inlineStr">
        <is>
          <t>20260129000178</t>
        </is>
      </c>
      <c r="M123" s="8">
        <f>HYPERLINK("https://dart.fss.or.kr/dsaf001/main.do?rcpNo=20260129000178", "공시열람")</f>
        <v/>
      </c>
    </row>
    <row r="124" ht="22" customHeight="1">
      <c r="A124" s="2" t="inlineStr">
        <is>
          <t>2026-01-29</t>
        </is>
      </c>
      <c r="B124" s="3" t="inlineStr">
        <is>
          <t>캔버스엔</t>
        </is>
      </c>
      <c r="C124" s="2" t="inlineStr">
        <is>
          <t>210120</t>
        </is>
      </c>
      <c r="D124" s="2" t="inlineStr">
        <is>
          <t>대량보유</t>
        </is>
      </c>
      <c r="E124" s="3" t="inlineStr">
        <is>
          <t>디비투자조합</t>
        </is>
      </c>
      <c r="F124" s="3" t="inlineStr">
        <is>
          <t>특별관계자</t>
        </is>
      </c>
      <c r="G124" s="3" t="inlineStr">
        <is>
          <t>장외매도(-)</t>
        </is>
      </c>
      <c r="H124" s="17" t="n">
        <v>-810479</v>
      </c>
      <c r="I124" s="6" t="n">
        <v>4872</v>
      </c>
      <c r="J124" s="6" t="n">
        <v>2939521</v>
      </c>
      <c r="K124" s="16" t="n">
        <v>4</v>
      </c>
      <c r="L124" s="2" t="inlineStr">
        <is>
          <t>20260129000178</t>
        </is>
      </c>
      <c r="M124" s="8">
        <f>HYPERLINK("https://dart.fss.or.kr/dsaf001/main.do?rcpNo=20260129000178", "공시열람")</f>
        <v/>
      </c>
    </row>
    <row r="125" ht="22" customHeight="1">
      <c r="A125" s="2" t="inlineStr">
        <is>
          <t>2026-01-29</t>
        </is>
      </c>
      <c r="B125" s="3" t="inlineStr">
        <is>
          <t>타스컴</t>
        </is>
      </c>
      <c r="C125" s="2" t="inlineStr">
        <is>
          <t>336040</t>
        </is>
      </c>
      <c r="D125" s="2" t="inlineStr">
        <is>
          <t>대량보유</t>
        </is>
      </c>
      <c r="E125" s="3" t="inlineStr">
        <is>
          <t>케이에이아이(KAI)-타이온유니콘조합7호</t>
        </is>
      </c>
      <c r="F125" s="3" t="inlineStr">
        <is>
          <t>특별관계자</t>
        </is>
      </c>
      <c r="G125" s="3" t="inlineStr">
        <is>
          <t>CB인수(+)</t>
        </is>
      </c>
      <c r="H125" s="6" t="inlineStr"/>
      <c r="I125" s="6" t="inlineStr"/>
      <c r="J125" s="6" t="n">
        <v>71056</v>
      </c>
      <c r="K125" s="16" t="n">
        <v>8</v>
      </c>
      <c r="L125" s="2" t="inlineStr">
        <is>
          <t>20260129000099</t>
        </is>
      </c>
      <c r="M125" s="8">
        <f>HYPERLINK("https://dart.fss.or.kr/dsaf001/main.do?rcpNo=20260129000099", "공시열람")</f>
        <v/>
      </c>
    </row>
    <row r="126" ht="22" customHeight="1">
      <c r="A126" s="2" t="inlineStr">
        <is>
          <t>2026-01-29</t>
        </is>
      </c>
      <c r="B126" s="3" t="inlineStr">
        <is>
          <t>타스컴</t>
        </is>
      </c>
      <c r="C126" s="2" t="inlineStr">
        <is>
          <t>336040</t>
        </is>
      </c>
      <c r="D126" s="2" t="inlineStr">
        <is>
          <t>대량보유</t>
        </is>
      </c>
      <c r="E126" s="3" t="inlineStr">
        <is>
          <t>코리아에셋투자증권(주)</t>
        </is>
      </c>
      <c r="F126" s="3" t="inlineStr">
        <is>
          <t>특별관계자</t>
        </is>
      </c>
      <c r="G126" s="3" t="inlineStr">
        <is>
          <t>기타(+)</t>
        </is>
      </c>
      <c r="H126" s="6" t="inlineStr"/>
      <c r="I126" s="6" t="inlineStr"/>
      <c r="J126" s="6" t="n">
        <v>1623</v>
      </c>
      <c r="K126" s="16" t="n">
        <v>8</v>
      </c>
      <c r="L126" s="2" t="inlineStr">
        <is>
          <t>20260129000099</t>
        </is>
      </c>
      <c r="M126" s="8">
        <f>HYPERLINK("https://dart.fss.or.kr/dsaf001/main.do?rcpNo=20260129000099", "공시열람")</f>
        <v/>
      </c>
    </row>
    <row r="127" ht="22" customHeight="1">
      <c r="A127" s="2" t="inlineStr">
        <is>
          <t>2026-01-29</t>
        </is>
      </c>
      <c r="B127" s="3" t="inlineStr">
        <is>
          <t>타스컴</t>
        </is>
      </c>
      <c r="C127" s="2" t="inlineStr">
        <is>
          <t>336040</t>
        </is>
      </c>
      <c r="D127" s="2" t="inlineStr">
        <is>
          <t>대량보유</t>
        </is>
      </c>
      <c r="E127" s="3" t="inlineStr">
        <is>
          <t>케이에이아이(KAI)-타이온유니콘조합8호</t>
        </is>
      </c>
      <c r="F127" s="3" t="inlineStr">
        <is>
          <t>특별관계자</t>
        </is>
      </c>
      <c r="G127" s="3" t="inlineStr">
        <is>
          <t>유상신주취득(+)</t>
        </is>
      </c>
      <c r="H127" s="15" t="n">
        <v>518518</v>
      </c>
      <c r="I127" s="6" t="n">
        <v>2700</v>
      </c>
      <c r="J127" s="6" t="n">
        <v>518518</v>
      </c>
      <c r="K127" s="16" t="n">
        <v>8</v>
      </c>
      <c r="L127" s="2" t="inlineStr">
        <is>
          <t>20260129000099</t>
        </is>
      </c>
      <c r="M127" s="8">
        <f>HYPERLINK("https://dart.fss.or.kr/dsaf001/main.do?rcpNo=20260129000099", "공시열람")</f>
        <v/>
      </c>
    </row>
    <row r="128" ht="22" customHeight="1">
      <c r="A128" s="2" t="inlineStr">
        <is>
          <t>2026-01-29</t>
        </is>
      </c>
      <c r="B128" s="3" t="inlineStr">
        <is>
          <t>미래에셋증권</t>
        </is>
      </c>
      <c r="C128" s="2" t="inlineStr">
        <is>
          <t>006800</t>
        </is>
      </c>
      <c r="D128" s="2" t="inlineStr">
        <is>
          <t>임원보고</t>
        </is>
      </c>
      <c r="E128" s="3" t="inlineStr">
        <is>
          <t>-</t>
        </is>
      </c>
      <c r="F128" s="3" t="inlineStr">
        <is>
          <t>-</t>
        </is>
      </c>
      <c r="G128" s="3" t="inlineStr">
        <is>
          <t>-</t>
        </is>
      </c>
      <c r="H128" s="6" t="inlineStr"/>
      <c r="I128" s="6" t="inlineStr"/>
      <c r="J128" s="6" t="inlineStr"/>
      <c r="K128" s="16" t="n">
        <v>12</v>
      </c>
      <c r="L128" s="2" t="inlineStr">
        <is>
          <t>20260129800160</t>
        </is>
      </c>
      <c r="M128" s="8">
        <f>HYPERLINK("https://dart.fss.or.kr/dsaf001/main.do?rcpNo=20260129800160", "공시열람")</f>
        <v/>
      </c>
    </row>
    <row r="129" ht="22" customHeight="1">
      <c r="A129" s="2" t="inlineStr">
        <is>
          <t>2026-01-29</t>
        </is>
      </c>
      <c r="B129" s="3" t="inlineStr">
        <is>
          <t>아스테라시스</t>
        </is>
      </c>
      <c r="C129" s="2" t="inlineStr">
        <is>
          <t>450950</t>
        </is>
      </c>
      <c r="D129" s="2" t="inlineStr">
        <is>
          <t>대량보유</t>
        </is>
      </c>
      <c r="E129" s="3" t="inlineStr">
        <is>
          <t>서은택</t>
        </is>
      </c>
      <c r="F129" s="3" t="inlineStr">
        <is>
          <t>보고자</t>
        </is>
      </c>
      <c r="G129" s="3" t="inlineStr">
        <is>
          <t>- 최대주주 및 특수관계인의 주식담보대출 연장</t>
        </is>
      </c>
      <c r="H129" s="6" t="inlineStr"/>
      <c r="I129" s="6" t="inlineStr"/>
      <c r="J129" s="6" t="n">
        <v>17451135</v>
      </c>
      <c r="K129" s="16" t="n">
        <v>4</v>
      </c>
      <c r="L129" s="2" t="inlineStr">
        <is>
          <t>20260129000067</t>
        </is>
      </c>
      <c r="M129" s="8">
        <f>HYPERLINK("https://dart.fss.or.kr/dsaf001/main.do?rcpNo=20260129000067", "공시열람")</f>
        <v/>
      </c>
    </row>
    <row r="130" ht="22" customHeight="1">
      <c r="A130" s="2" t="inlineStr">
        <is>
          <t>2026-02-02</t>
        </is>
      </c>
      <c r="B130" s="3" t="inlineStr">
        <is>
          <t>영원무역</t>
        </is>
      </c>
      <c r="C130" s="2" t="inlineStr">
        <is>
          <t>111770</t>
        </is>
      </c>
      <c r="D130" s="2" t="inlineStr">
        <is>
          <t>임원보고</t>
        </is>
      </c>
      <c r="E130" s="3" t="inlineStr">
        <is>
          <t>-</t>
        </is>
      </c>
      <c r="F130" s="3" t="inlineStr">
        <is>
          <t>-</t>
        </is>
      </c>
      <c r="G130" s="3" t="inlineStr">
        <is>
          <t>-</t>
        </is>
      </c>
      <c r="H130" s="6" t="inlineStr"/>
      <c r="I130" s="6" t="inlineStr"/>
      <c r="J130" s="6" t="inlineStr"/>
      <c r="K130" s="16" t="n">
        <v>12</v>
      </c>
      <c r="L130" s="2" t="inlineStr">
        <is>
          <t>20260202802114</t>
        </is>
      </c>
      <c r="M130" s="8">
        <f>HYPERLINK("https://dart.fss.or.kr/dsaf001/main.do?rcpNo=20260202802114", "공시열람")</f>
        <v/>
      </c>
    </row>
    <row r="131" ht="22" customHeight="1">
      <c r="A131" s="2" t="inlineStr">
        <is>
          <t>2026-02-02</t>
        </is>
      </c>
      <c r="B131" s="3" t="inlineStr">
        <is>
          <t>이수스페셜티케미컬</t>
        </is>
      </c>
      <c r="C131" s="2" t="inlineStr">
        <is>
          <t>457190</t>
        </is>
      </c>
      <c r="D131" s="2" t="inlineStr">
        <is>
          <t>임원보고</t>
        </is>
      </c>
      <c r="E131" s="3" t="inlineStr">
        <is>
          <t>-</t>
        </is>
      </c>
      <c r="F131" s="3" t="inlineStr">
        <is>
          <t>-</t>
        </is>
      </c>
      <c r="G131" s="3" t="inlineStr">
        <is>
          <t>-</t>
        </is>
      </c>
      <c r="H131" s="6" t="inlineStr"/>
      <c r="I131" s="6" t="inlineStr"/>
      <c r="J131" s="6" t="inlineStr"/>
      <c r="K131" s="16" t="n">
        <v>12</v>
      </c>
      <c r="L131" s="2" t="inlineStr">
        <is>
          <t>20260202802080</t>
        </is>
      </c>
      <c r="M131" s="8">
        <f>HYPERLINK("https://dart.fss.or.kr/dsaf001/main.do?rcpNo=20260202802080", "공시열람")</f>
        <v/>
      </c>
    </row>
    <row r="132" ht="22" customHeight="1">
      <c r="A132" s="2" t="inlineStr">
        <is>
          <t>2026-02-02</t>
        </is>
      </c>
      <c r="B132" s="3" t="inlineStr">
        <is>
          <t>와이즈버즈</t>
        </is>
      </c>
      <c r="C132" s="2" t="inlineStr">
        <is>
          <t>273060</t>
        </is>
      </c>
      <c r="D132" s="2" t="inlineStr">
        <is>
          <t>대량보유</t>
        </is>
      </c>
      <c r="E132" s="3" t="inlineStr">
        <is>
          <t>코스톤성장전략엠앤에이사모투자합자회사</t>
        </is>
      </c>
      <c r="F132" s="3" t="inlineStr">
        <is>
          <t>특별관계자</t>
        </is>
      </c>
      <c r="G132" s="3" t="inlineStr">
        <is>
          <t>장내매도(-)</t>
        </is>
      </c>
      <c r="H132" s="17" t="n">
        <v>-1030000</v>
      </c>
      <c r="I132" s="6" t="n">
        <v>1149</v>
      </c>
      <c r="J132" s="6" t="n">
        <v>2018861</v>
      </c>
      <c r="K132" s="16" t="n">
        <v>2</v>
      </c>
      <c r="L132" s="2" t="inlineStr">
        <is>
          <t>20260202001314</t>
        </is>
      </c>
      <c r="M132" s="8">
        <f>HYPERLINK("https://dart.fss.or.kr/dsaf001/main.do?rcpNo=20260202001314", "공시열람")</f>
        <v/>
      </c>
    </row>
    <row r="133" ht="22" customHeight="1">
      <c r="A133" s="2" t="inlineStr">
        <is>
          <t>2026-02-02</t>
        </is>
      </c>
      <c r="B133" s="3" t="inlineStr">
        <is>
          <t>메지온</t>
        </is>
      </c>
      <c r="C133" s="2" t="inlineStr">
        <is>
          <t>140410</t>
        </is>
      </c>
      <c r="D133" s="2" t="inlineStr">
        <is>
          <t>대량보유</t>
        </is>
      </c>
      <c r="E133" s="3" t="inlineStr">
        <is>
          <t>GlamourBoxLimited</t>
        </is>
      </c>
      <c r="F133" s="3" t="inlineStr">
        <is>
          <t>특별관계자</t>
        </is>
      </c>
      <c r="G133" s="3" t="inlineStr">
        <is>
          <t>장내매도(-), 기타(-)</t>
        </is>
      </c>
      <c r="H133" s="17" t="n">
        <v>-237082</v>
      </c>
      <c r="I133" s="6" t="n">
        <v>31047</v>
      </c>
      <c r="J133" s="6" t="n">
        <v>532148</v>
      </c>
      <c r="K133" s="16" t="n">
        <v>9</v>
      </c>
      <c r="L133" s="2" t="inlineStr">
        <is>
          <t>20260202001279</t>
        </is>
      </c>
      <c r="M133" s="8">
        <f>HYPERLINK("https://dart.fss.or.kr/dsaf001/main.do?rcpNo=20260202001279", "공시열람")</f>
        <v/>
      </c>
    </row>
    <row r="134" ht="22" customHeight="1">
      <c r="A134" s="2" t="inlineStr">
        <is>
          <t>2026-02-02</t>
        </is>
      </c>
      <c r="B134" s="3" t="inlineStr">
        <is>
          <t>메지온</t>
        </is>
      </c>
      <c r="C134" s="2" t="inlineStr">
        <is>
          <t>140410</t>
        </is>
      </c>
      <c r="D134" s="2" t="inlineStr">
        <is>
          <t>대량보유</t>
        </is>
      </c>
      <c r="E134" s="3" t="inlineStr">
        <is>
          <t>최범진</t>
        </is>
      </c>
      <c r="F134" s="3" t="inlineStr">
        <is>
          <t>특별관계자</t>
        </is>
      </c>
      <c r="G134" s="3" t="inlineStr">
        <is>
          <t>기타(+), 장내매도(-)</t>
        </is>
      </c>
      <c r="H134" s="15" t="n">
        <v>27887</v>
      </c>
      <c r="I134" s="6" t="n">
        <v>30852</v>
      </c>
      <c r="J134" s="6" t="n">
        <v>28637</v>
      </c>
      <c r="K134" s="16" t="n">
        <v>9</v>
      </c>
      <c r="L134" s="2" t="inlineStr">
        <is>
          <t>20260202001279</t>
        </is>
      </c>
      <c r="M134" s="8">
        <f>HYPERLINK("https://dart.fss.or.kr/dsaf001/main.do?rcpNo=20260202001279", "공시열람")</f>
        <v/>
      </c>
    </row>
    <row r="135" ht="22" customHeight="1">
      <c r="A135" s="2" t="inlineStr">
        <is>
          <t>2026-02-02</t>
        </is>
      </c>
      <c r="B135" s="3" t="inlineStr">
        <is>
          <t>메지온</t>
        </is>
      </c>
      <c r="C135" s="2" t="inlineStr">
        <is>
          <t>140410</t>
        </is>
      </c>
      <c r="D135" s="2" t="inlineStr">
        <is>
          <t>대량보유</t>
        </is>
      </c>
      <c r="E135" s="3" t="inlineStr">
        <is>
          <t>박동애</t>
        </is>
      </c>
      <c r="F135" s="3" t="inlineStr">
        <is>
          <t>특별관계자</t>
        </is>
      </c>
      <c r="G135" s="3" t="inlineStr">
        <is>
          <t>장내매도(-)</t>
        </is>
      </c>
      <c r="H135" s="17" t="n">
        <v>-1816</v>
      </c>
      <c r="I135" s="6" t="n">
        <v>29350</v>
      </c>
      <c r="J135" s="6" t="n">
        <v>28184</v>
      </c>
      <c r="K135" s="16" t="n">
        <v>9</v>
      </c>
      <c r="L135" s="2" t="inlineStr">
        <is>
          <t>20260202001279</t>
        </is>
      </c>
      <c r="M135" s="8">
        <f>HYPERLINK("https://dart.fss.or.kr/dsaf001/main.do?rcpNo=20260202001279", "공시열람")</f>
        <v/>
      </c>
    </row>
    <row r="136" ht="22" customHeight="1">
      <c r="A136" s="2" t="inlineStr">
        <is>
          <t>2026-02-02</t>
        </is>
      </c>
      <c r="B136" s="3" t="inlineStr">
        <is>
          <t>메지온</t>
        </is>
      </c>
      <c r="C136" s="2" t="inlineStr">
        <is>
          <t>140410</t>
        </is>
      </c>
      <c r="D136" s="2" t="inlineStr">
        <is>
          <t>대량보유</t>
        </is>
      </c>
      <c r="E136" s="3" t="inlineStr">
        <is>
          <t>ParkKyungwha</t>
        </is>
      </c>
      <c r="F136" s="3" t="inlineStr">
        <is>
          <t>특별관계자</t>
        </is>
      </c>
      <c r="G136" s="3" t="inlineStr">
        <is>
          <t>장내매도(-)</t>
        </is>
      </c>
      <c r="H136" s="17" t="n">
        <v>-1680</v>
      </c>
      <c r="I136" s="6" t="n">
        <v>32316</v>
      </c>
      <c r="J136" s="6" t="n">
        <v>28320</v>
      </c>
      <c r="K136" s="16" t="n">
        <v>9</v>
      </c>
      <c r="L136" s="2" t="inlineStr">
        <is>
          <t>20260202001279</t>
        </is>
      </c>
      <c r="M136" s="8">
        <f>HYPERLINK("https://dart.fss.or.kr/dsaf001/main.do?rcpNo=20260202001279", "공시열람")</f>
        <v/>
      </c>
    </row>
    <row r="137" ht="22" customHeight="1">
      <c r="A137" s="2" t="inlineStr">
        <is>
          <t>2026-02-02</t>
        </is>
      </c>
      <c r="B137" s="3" t="inlineStr">
        <is>
          <t>메지온</t>
        </is>
      </c>
      <c r="C137" s="2" t="inlineStr">
        <is>
          <t>140410</t>
        </is>
      </c>
      <c r="D137" s="2" t="inlineStr">
        <is>
          <t>대량보유</t>
        </is>
      </c>
      <c r="E137" s="3" t="inlineStr">
        <is>
          <t>김혜수</t>
        </is>
      </c>
      <c r="F137" s="3" t="inlineStr">
        <is>
          <t>특별관계자</t>
        </is>
      </c>
      <c r="G137" s="3" t="inlineStr">
        <is>
          <t>장내매도(-)</t>
        </is>
      </c>
      <c r="H137" s="17" t="n">
        <v>-40000</v>
      </c>
      <c r="I137" s="6" t="n">
        <v>132027</v>
      </c>
      <c r="J137" s="6" t="n">
        <v>819533</v>
      </c>
      <c r="K137" s="16" t="n">
        <v>9</v>
      </c>
      <c r="L137" s="2" t="inlineStr">
        <is>
          <t>20260202001279</t>
        </is>
      </c>
      <c r="M137" s="8">
        <f>HYPERLINK("https://dart.fss.or.kr/dsaf001/main.do?rcpNo=20260202001279", "공시열람")</f>
        <v/>
      </c>
    </row>
    <row r="138" ht="22" customHeight="1">
      <c r="A138" s="2" t="inlineStr">
        <is>
          <t>2026-02-02</t>
        </is>
      </c>
      <c r="B138" s="3" t="inlineStr">
        <is>
          <t>SNT에너지</t>
        </is>
      </c>
      <c r="C138" s="2" t="inlineStr">
        <is>
          <t>100840</t>
        </is>
      </c>
      <c r="D138" s="2" t="inlineStr">
        <is>
          <t>임원보고</t>
        </is>
      </c>
      <c r="E138" s="3" t="inlineStr">
        <is>
          <t>-</t>
        </is>
      </c>
      <c r="F138" s="3" t="inlineStr">
        <is>
          <t>-</t>
        </is>
      </c>
      <c r="G138" s="3" t="inlineStr">
        <is>
          <t>-</t>
        </is>
      </c>
      <c r="H138" s="6" t="inlineStr"/>
      <c r="I138" s="6" t="inlineStr"/>
      <c r="J138" s="6" t="inlineStr"/>
      <c r="K138" s="16" t="n">
        <v>12</v>
      </c>
      <c r="L138" s="2" t="inlineStr">
        <is>
          <t>20260202801971</t>
        </is>
      </c>
      <c r="M138" s="8">
        <f>HYPERLINK("https://dart.fss.or.kr/dsaf001/main.do?rcpNo=20260202801971", "공시열람")</f>
        <v/>
      </c>
    </row>
    <row r="139" ht="22" customHeight="1">
      <c r="A139" s="2" t="inlineStr">
        <is>
          <t>2026-02-02</t>
        </is>
      </c>
      <c r="B139" s="3" t="inlineStr">
        <is>
          <t>엔비티</t>
        </is>
      </c>
      <c r="C139" s="2" t="inlineStr">
        <is>
          <t>236810</t>
        </is>
      </c>
      <c r="D139" s="2" t="inlineStr">
        <is>
          <t>대량보유</t>
        </is>
      </c>
      <c r="E139" s="3" t="inlineStr">
        <is>
          <t>박수근</t>
        </is>
      </c>
      <c r="F139" s="3" t="inlineStr">
        <is>
          <t>보고자</t>
        </is>
      </c>
      <c r="G139" s="3" t="inlineStr">
        <is>
          <t>주식담보계약의 연장</t>
        </is>
      </c>
      <c r="H139" s="6" t="inlineStr"/>
      <c r="I139" s="6" t="inlineStr"/>
      <c r="J139" s="6" t="n">
        <v>3959756</v>
      </c>
      <c r="K139" s="16" t="n">
        <v>1</v>
      </c>
      <c r="L139" s="2" t="inlineStr">
        <is>
          <t>20260202001245</t>
        </is>
      </c>
      <c r="M139" s="8">
        <f>HYPERLINK("https://dart.fss.or.kr/dsaf001/main.do?rcpNo=20260202001245", "공시열람")</f>
        <v/>
      </c>
    </row>
    <row r="140" ht="22" customHeight="1">
      <c r="A140" s="2" t="inlineStr">
        <is>
          <t>2026-02-02</t>
        </is>
      </c>
      <c r="B140" s="3" t="inlineStr">
        <is>
          <t>SNT에너지</t>
        </is>
      </c>
      <c r="C140" s="2" t="inlineStr">
        <is>
          <t>100840</t>
        </is>
      </c>
      <c r="D140" s="2" t="inlineStr">
        <is>
          <t>대량보유</t>
        </is>
      </c>
      <c r="E140" s="3" t="inlineStr">
        <is>
          <t>(주)SNT홀딩스</t>
        </is>
      </c>
      <c r="F140" s="3" t="inlineStr">
        <is>
          <t>특별관계자</t>
        </is>
      </c>
      <c r="G140" s="3" t="inlineStr">
        <is>
          <t>교환(-)</t>
        </is>
      </c>
      <c r="H140" s="17" t="n">
        <v>-451337</v>
      </c>
      <c r="I140" s="6" t="n">
        <v>43067</v>
      </c>
      <c r="J140" s="6" t="n">
        <v>10791540</v>
      </c>
      <c r="K140" s="16" t="n">
        <v>3</v>
      </c>
      <c r="L140" s="2" t="inlineStr">
        <is>
          <t>20260202001235</t>
        </is>
      </c>
      <c r="M140" s="8">
        <f>HYPERLINK("https://dart.fss.or.kr/dsaf001/main.do?rcpNo=20260202001235", "공시열람")</f>
        <v/>
      </c>
    </row>
    <row r="141" ht="22" customHeight="1">
      <c r="A141" s="2" t="inlineStr">
        <is>
          <t>2026-02-02</t>
        </is>
      </c>
      <c r="B141" s="3" t="inlineStr">
        <is>
          <t>한솔케미칼</t>
        </is>
      </c>
      <c r="C141" s="2" t="inlineStr">
        <is>
          <t>014680</t>
        </is>
      </c>
      <c r="D141" s="2" t="inlineStr">
        <is>
          <t>임원보고</t>
        </is>
      </c>
      <c r="E141" s="3" t="inlineStr">
        <is>
          <t>-</t>
        </is>
      </c>
      <c r="F141" s="3" t="inlineStr">
        <is>
          <t>-</t>
        </is>
      </c>
      <c r="G141" s="3" t="inlineStr">
        <is>
          <t>-</t>
        </is>
      </c>
      <c r="H141" s="6" t="inlineStr"/>
      <c r="I141" s="6" t="inlineStr"/>
      <c r="J141" s="6" t="inlineStr"/>
      <c r="K141" s="16" t="n">
        <v>12</v>
      </c>
      <c r="L141" s="2" t="inlineStr">
        <is>
          <t>20260202801893</t>
        </is>
      </c>
      <c r="M141" s="8">
        <f>HYPERLINK("https://dart.fss.or.kr/dsaf001/main.do?rcpNo=20260202801893", "공시열람")</f>
        <v/>
      </c>
    </row>
    <row r="142" ht="22" customHeight="1">
      <c r="A142" s="2" t="inlineStr">
        <is>
          <t>2026-02-02</t>
        </is>
      </c>
      <c r="B142" s="3" t="inlineStr">
        <is>
          <t>미원화학</t>
        </is>
      </c>
      <c r="C142" s="2" t="inlineStr">
        <is>
          <t>134380</t>
        </is>
      </c>
      <c r="D142" s="2" t="inlineStr">
        <is>
          <t>임원보고</t>
        </is>
      </c>
      <c r="E142" s="3" t="inlineStr">
        <is>
          <t>-</t>
        </is>
      </c>
      <c r="F142" s="3" t="inlineStr">
        <is>
          <t>-</t>
        </is>
      </c>
      <c r="G142" s="3" t="inlineStr">
        <is>
          <t>-</t>
        </is>
      </c>
      <c r="H142" s="6" t="inlineStr"/>
      <c r="I142" s="6" t="inlineStr"/>
      <c r="J142" s="6" t="inlineStr"/>
      <c r="K142" s="16" t="n">
        <v>12</v>
      </c>
      <c r="L142" s="2" t="inlineStr">
        <is>
          <t>20260202801882</t>
        </is>
      </c>
      <c r="M142" s="8">
        <f>HYPERLINK("https://dart.fss.or.kr/dsaf001/main.do?rcpNo=20260202801882", "공시열람")</f>
        <v/>
      </c>
    </row>
    <row r="143" ht="22" customHeight="1">
      <c r="A143" s="2" t="inlineStr">
        <is>
          <t>2026-02-02</t>
        </is>
      </c>
      <c r="B143" s="3" t="inlineStr">
        <is>
          <t>야스</t>
        </is>
      </c>
      <c r="C143" s="2" t="inlineStr">
        <is>
          <t>255440</t>
        </is>
      </c>
      <c r="D143" s="2" t="inlineStr">
        <is>
          <t>대량보유</t>
        </is>
      </c>
      <c r="E143" s="3" t="inlineStr">
        <is>
          <t>정광호</t>
        </is>
      </c>
      <c r="F143" s="3" t="inlineStr">
        <is>
          <t>보고자</t>
        </is>
      </c>
      <c r="G143" s="3" t="inlineStr">
        <is>
          <t>주식담보대출 기간연장</t>
        </is>
      </c>
      <c r="H143" s="6" t="inlineStr"/>
      <c r="I143" s="6" t="inlineStr"/>
      <c r="J143" s="6" t="n">
        <v>6083500</v>
      </c>
      <c r="K143" s="16" t="n">
        <v>4</v>
      </c>
      <c r="L143" s="2" t="inlineStr">
        <is>
          <t>20260202001208</t>
        </is>
      </c>
      <c r="M143" s="8">
        <f>HYPERLINK("https://dart.fss.or.kr/dsaf001/main.do?rcpNo=20260202001208", "공시열람")</f>
        <v/>
      </c>
    </row>
    <row r="144" ht="22" customHeight="1">
      <c r="A144" s="2" t="inlineStr">
        <is>
          <t>2026-02-02</t>
        </is>
      </c>
      <c r="B144" s="3" t="inlineStr">
        <is>
          <t>롯데에너지머티리얼즈</t>
        </is>
      </c>
      <c r="C144" s="2" t="inlineStr">
        <is>
          <t>020150</t>
        </is>
      </c>
      <c r="D144" s="2" t="inlineStr">
        <is>
          <t>임원보고</t>
        </is>
      </c>
      <c r="E144" s="3" t="inlineStr">
        <is>
          <t>-</t>
        </is>
      </c>
      <c r="F144" s="3" t="inlineStr">
        <is>
          <t>-</t>
        </is>
      </c>
      <c r="G144" s="3" t="inlineStr">
        <is>
          <t>-</t>
        </is>
      </c>
      <c r="H144" s="6" t="inlineStr"/>
      <c r="I144" s="6" t="inlineStr"/>
      <c r="J144" s="6" t="inlineStr"/>
      <c r="K144" s="16" t="n">
        <v>12</v>
      </c>
      <c r="L144" s="2" t="inlineStr">
        <is>
          <t>20260202801802</t>
        </is>
      </c>
      <c r="M144" s="8">
        <f>HYPERLINK("https://dart.fss.or.kr/dsaf001/main.do?rcpNo=20260202801802", "공시열람")</f>
        <v/>
      </c>
    </row>
    <row r="145" ht="22" customHeight="1">
      <c r="A145" s="2" t="inlineStr">
        <is>
          <t>2026-02-02</t>
        </is>
      </c>
      <c r="B145" s="3" t="inlineStr">
        <is>
          <t>에이플러스에셋</t>
        </is>
      </c>
      <c r="C145" s="2" t="inlineStr">
        <is>
          <t>244920</t>
        </is>
      </c>
      <c r="D145" s="2" t="inlineStr">
        <is>
          <t>대량보유</t>
        </is>
      </c>
      <c r="E145" s="3" t="inlineStr">
        <is>
          <t>얼라인파트너스자산운용주식회사</t>
        </is>
      </c>
      <c r="F145" s="3" t="inlineStr">
        <is>
          <t>특별관계자</t>
        </is>
      </c>
      <c r="G145" s="3" t="inlineStr">
        <is>
          <t>장내매수(+)</t>
        </is>
      </c>
      <c r="H145" s="15" t="n">
        <v>29693</v>
      </c>
      <c r="I145" s="6" t="n">
        <v>10833</v>
      </c>
      <c r="J145" s="6" t="n">
        <v>1077329</v>
      </c>
      <c r="K145" s="16" t="n">
        <v>3</v>
      </c>
      <c r="L145" s="2" t="inlineStr">
        <is>
          <t>20260202001158</t>
        </is>
      </c>
      <c r="M145" s="8">
        <f>HYPERLINK("https://dart.fss.or.kr/dsaf001/main.do?rcpNo=20260202001158", "공시열람")</f>
        <v/>
      </c>
    </row>
    <row r="146" ht="22" customHeight="1">
      <c r="A146" s="2" t="inlineStr">
        <is>
          <t>2026-02-02</t>
        </is>
      </c>
      <c r="B146" s="3" t="inlineStr">
        <is>
          <t>에이플러스에셋</t>
        </is>
      </c>
      <c r="C146" s="2" t="inlineStr">
        <is>
          <t>244920</t>
        </is>
      </c>
      <c r="D146" s="2" t="inlineStr">
        <is>
          <t>대량보유</t>
        </is>
      </c>
      <c r="E146" s="3" t="inlineStr">
        <is>
          <t>AlignPartnersKoreaFundLP</t>
        </is>
      </c>
      <c r="F146" s="3" t="inlineStr">
        <is>
          <t>특별관계자</t>
        </is>
      </c>
      <c r="G146" s="3" t="inlineStr">
        <is>
          <t>장내매수(+)</t>
        </is>
      </c>
      <c r="H146" s="15" t="n">
        <v>281515</v>
      </c>
      <c r="I146" s="6" t="n">
        <v>10744</v>
      </c>
      <c r="J146" s="6" t="n">
        <v>3003611</v>
      </c>
      <c r="K146" s="16" t="n">
        <v>3</v>
      </c>
      <c r="L146" s="2" t="inlineStr">
        <is>
          <t>20260202001158</t>
        </is>
      </c>
      <c r="M146" s="8">
        <f>HYPERLINK("https://dart.fss.or.kr/dsaf001/main.do?rcpNo=20260202001158", "공시열람")</f>
        <v/>
      </c>
    </row>
    <row r="147" ht="22" customHeight="1">
      <c r="A147" s="2" t="inlineStr">
        <is>
          <t>2026-02-02</t>
        </is>
      </c>
      <c r="B147" s="3" t="inlineStr">
        <is>
          <t>세종메디칼</t>
        </is>
      </c>
      <c r="C147" s="2" t="inlineStr">
        <is>
          <t>258830</t>
        </is>
      </c>
      <c r="D147" s="2" t="inlineStr">
        <is>
          <t>대량보유</t>
        </is>
      </c>
      <c r="E147" s="3" t="inlineStr">
        <is>
          <t>㈜비에스제이홀딩스</t>
        </is>
      </c>
      <c r="F147" s="3" t="inlineStr">
        <is>
          <t>특별관계자</t>
        </is>
      </c>
      <c r="G147" s="3" t="inlineStr">
        <is>
          <t>전환등(-), 전환사채의권리행사(+)</t>
        </is>
      </c>
      <c r="H147" s="6" t="inlineStr"/>
      <c r="I147" s="6" t="n">
        <v>100</v>
      </c>
      <c r="J147" s="6" t="n">
        <v>17820609</v>
      </c>
      <c r="K147" s="16" t="n">
        <v>6</v>
      </c>
      <c r="L147" s="2" t="inlineStr">
        <is>
          <t>20260202001156</t>
        </is>
      </c>
      <c r="M147" s="8">
        <f>HYPERLINK("https://dart.fss.or.kr/dsaf001/main.do?rcpNo=20260202001156", "공시열람")</f>
        <v/>
      </c>
    </row>
    <row r="148" ht="22" customHeight="1">
      <c r="A148" s="2" t="inlineStr">
        <is>
          <t>2026-02-02</t>
        </is>
      </c>
      <c r="B148" s="3" t="inlineStr">
        <is>
          <t>청담글로벌</t>
        </is>
      </c>
      <c r="C148" s="2" t="inlineStr">
        <is>
          <t>362320</t>
        </is>
      </c>
      <c r="D148" s="2" t="inlineStr">
        <is>
          <t>대량보유</t>
        </is>
      </c>
      <c r="E148" s="3" t="inlineStr">
        <is>
          <t>구상모</t>
        </is>
      </c>
      <c r="F148" s="3" t="inlineStr">
        <is>
          <t>보고자</t>
        </is>
      </c>
      <c r="G148" s="3" t="inlineStr">
        <is>
          <t>주식담보대출 계약조건 변경</t>
        </is>
      </c>
      <c r="H148" s="6" t="inlineStr"/>
      <c r="I148" s="6" t="inlineStr"/>
      <c r="J148" s="6" t="n">
        <v>1259000</v>
      </c>
      <c r="K148" s="16" t="n">
        <v>5.95</v>
      </c>
      <c r="L148" s="2" t="inlineStr">
        <is>
          <t>20260202001151</t>
        </is>
      </c>
      <c r="M148" s="8">
        <f>HYPERLINK("https://dart.fss.or.kr/dsaf001/main.do?rcpNo=20260202001151", "공시열람")</f>
        <v/>
      </c>
    </row>
    <row r="149" ht="22" customHeight="1">
      <c r="A149" s="2" t="inlineStr">
        <is>
          <t>2026-02-02 (정정: 2026-02-02)</t>
        </is>
      </c>
      <c r="B149" s="3" t="inlineStr">
        <is>
          <t>리더스코스메틱</t>
        </is>
      </c>
      <c r="C149" s="2" t="inlineStr">
        <is>
          <t>016100</t>
        </is>
      </c>
      <c r="D149" s="2" t="inlineStr">
        <is>
          <t>대량보유</t>
        </is>
      </c>
      <c r="E149" s="3" t="inlineStr">
        <is>
          <t>-</t>
        </is>
      </c>
      <c r="F149" s="3" t="inlineStr">
        <is>
          <t>보고자</t>
        </is>
      </c>
      <c r="G149" s="3" t="inlineStr">
        <is>
          <t>-</t>
        </is>
      </c>
      <c r="H149" s="6" t="inlineStr"/>
      <c r="I149" s="6" t="inlineStr"/>
      <c r="J149" s="6" t="inlineStr"/>
      <c r="K149" s="18" t="inlineStr"/>
      <c r="L149" s="2" t="inlineStr">
        <is>
          <t>20260202901727</t>
        </is>
      </c>
      <c r="M149" s="8">
        <f>HYPERLINK("https://dart.fss.or.kr/dsaf001/main.do?rcpNo=20260202901727", "공시열람")</f>
        <v/>
      </c>
    </row>
    <row r="150" ht="22" customHeight="1">
      <c r="A150" s="2" t="inlineStr">
        <is>
          <t>2026-02-02</t>
        </is>
      </c>
      <c r="B150" s="3" t="inlineStr">
        <is>
          <t>대원강업</t>
        </is>
      </c>
      <c r="C150" s="2" t="inlineStr">
        <is>
          <t>000430</t>
        </is>
      </c>
      <c r="D150" s="2" t="inlineStr">
        <is>
          <t>임원보고</t>
        </is>
      </c>
      <c r="E150" s="3" t="inlineStr">
        <is>
          <t>-</t>
        </is>
      </c>
      <c r="F150" s="3" t="inlineStr">
        <is>
          <t>-</t>
        </is>
      </c>
      <c r="G150" s="3" t="inlineStr">
        <is>
          <t>-</t>
        </is>
      </c>
      <c r="H150" s="6" t="inlineStr"/>
      <c r="I150" s="6" t="inlineStr"/>
      <c r="J150" s="6" t="inlineStr"/>
      <c r="K150" s="16" t="n">
        <v>12</v>
      </c>
      <c r="L150" s="2" t="inlineStr">
        <is>
          <t>20260202801757</t>
        </is>
      </c>
      <c r="M150" s="8">
        <f>HYPERLINK("https://dart.fss.or.kr/dsaf001/main.do?rcpNo=20260202801757", "공시열람")</f>
        <v/>
      </c>
    </row>
    <row r="151" ht="22" customHeight="1">
      <c r="A151" s="2" t="inlineStr">
        <is>
          <t>2026-02-02</t>
        </is>
      </c>
      <c r="B151" s="3" t="inlineStr">
        <is>
          <t>글로벌텍스프리</t>
        </is>
      </c>
      <c r="C151" s="2" t="inlineStr">
        <is>
          <t>204620</t>
        </is>
      </c>
      <c r="D151" s="2" t="inlineStr">
        <is>
          <t>대량보유</t>
        </is>
      </c>
      <c r="E151" s="3" t="inlineStr">
        <is>
          <t>문양근</t>
        </is>
      </c>
      <c r="F151" s="3" t="inlineStr">
        <is>
          <t>보고자</t>
        </is>
      </c>
      <c r="G151" s="3" t="inlineStr">
        <is>
          <t>- 주식담보대출 계약체결</t>
        </is>
      </c>
      <c r="H151" s="6" t="inlineStr"/>
      <c r="I151" s="6" t="inlineStr"/>
      <c r="J151" s="6" t="n">
        <v>16229014</v>
      </c>
      <c r="K151" s="16" t="n">
        <v>3</v>
      </c>
      <c r="L151" s="2" t="inlineStr">
        <is>
          <t>20260202001130</t>
        </is>
      </c>
      <c r="M151" s="8">
        <f>HYPERLINK("https://dart.fss.or.kr/dsaf001/main.do?rcpNo=20260202001130", "공시열람")</f>
        <v/>
      </c>
    </row>
    <row r="152" ht="22" customHeight="1">
      <c r="A152" s="2" t="inlineStr">
        <is>
          <t>2026-02-02</t>
        </is>
      </c>
      <c r="B152" s="3" t="inlineStr">
        <is>
          <t>꿈비</t>
        </is>
      </c>
      <c r="C152" s="2" t="inlineStr">
        <is>
          <t>407400</t>
        </is>
      </c>
      <c r="D152" s="2" t="inlineStr">
        <is>
          <t>대량보유</t>
        </is>
      </c>
      <c r="E152" s="3" t="inlineStr">
        <is>
          <t>이은석</t>
        </is>
      </c>
      <c r="F152" s="3" t="inlineStr">
        <is>
          <t>특별관계자</t>
        </is>
      </c>
      <c r="G152" s="3" t="inlineStr">
        <is>
          <t>장내매도(-)</t>
        </is>
      </c>
      <c r="H152" s="17" t="n">
        <v>-44500</v>
      </c>
      <c r="I152" s="6" t="n">
        <v>5019</v>
      </c>
      <c r="J152" s="6" t="n">
        <v>322708</v>
      </c>
      <c r="K152" s="16" t="n">
        <v>8</v>
      </c>
      <c r="L152" s="2" t="inlineStr">
        <is>
          <t>20260202001123</t>
        </is>
      </c>
      <c r="M152" s="8">
        <f>HYPERLINK("https://dart.fss.or.kr/dsaf001/main.do?rcpNo=20260202001123", "공시열람")</f>
        <v/>
      </c>
    </row>
    <row r="153" ht="22" customHeight="1">
      <c r="A153" s="2" t="inlineStr">
        <is>
          <t>2026-02-02</t>
        </is>
      </c>
      <c r="B153" s="3" t="inlineStr">
        <is>
          <t>차바이오텍</t>
        </is>
      </c>
      <c r="C153" s="2" t="inlineStr">
        <is>
          <t>085660</t>
        </is>
      </c>
      <c r="D153" s="2" t="inlineStr">
        <is>
          <t>대량보유</t>
        </is>
      </c>
      <c r="E153" s="3" t="inlineStr">
        <is>
          <t>고정재</t>
        </is>
      </c>
      <c r="F153" s="3" t="inlineStr">
        <is>
          <t>특별관계자</t>
        </is>
      </c>
      <c r="G153" s="3" t="inlineStr">
        <is>
          <t>장내매도(-)</t>
        </is>
      </c>
      <c r="H153" s="17" t="n">
        <v>-8000</v>
      </c>
      <c r="I153" s="6" t="n">
        <v>18220</v>
      </c>
      <c r="J153" s="6" t="n">
        <v>31868</v>
      </c>
      <c r="K153" s="16" t="n">
        <v>22</v>
      </c>
      <c r="L153" s="2" t="inlineStr">
        <is>
          <t>20260202001121</t>
        </is>
      </c>
      <c r="M153" s="8">
        <f>HYPERLINK("https://dart.fss.or.kr/dsaf001/main.do?rcpNo=20260202001121", "공시열람")</f>
        <v/>
      </c>
    </row>
    <row r="154" ht="22" customHeight="1">
      <c r="A154" s="2" t="inlineStr">
        <is>
          <t>2026-02-02</t>
        </is>
      </c>
      <c r="B154" s="3" t="inlineStr">
        <is>
          <t>대원강업</t>
        </is>
      </c>
      <c r="C154" s="2" t="inlineStr">
        <is>
          <t>000430</t>
        </is>
      </c>
      <c r="D154" s="2" t="inlineStr">
        <is>
          <t>대량보유</t>
        </is>
      </c>
      <c r="E154" s="3" t="inlineStr">
        <is>
          <t>(주)현대지에프홀딩스</t>
        </is>
      </c>
      <c r="F154" s="3" t="inlineStr">
        <is>
          <t>특별관계자</t>
        </is>
      </c>
      <c r="G154" s="3" t="inlineStr">
        <is>
          <t>장내매수(+)</t>
        </is>
      </c>
      <c r="H154" s="15" t="n">
        <v>307125</v>
      </c>
      <c r="I154" s="6" t="n">
        <v>4343</v>
      </c>
      <c r="J154" s="6" t="n">
        <v>22764248</v>
      </c>
      <c r="K154" s="16" t="n">
        <v>4</v>
      </c>
      <c r="L154" s="2" t="inlineStr">
        <is>
          <t>20260202001120</t>
        </is>
      </c>
      <c r="M154" s="8">
        <f>HYPERLINK("https://dart.fss.or.kr/dsaf001/main.do?rcpNo=20260202001120", "공시열람")</f>
        <v/>
      </c>
    </row>
    <row r="155" ht="22" customHeight="1">
      <c r="A155" s="2" t="inlineStr">
        <is>
          <t>2026-02-02 (정정: 2026-02-02)</t>
        </is>
      </c>
      <c r="B155" s="3" t="inlineStr">
        <is>
          <t>하나머티리얼즈</t>
        </is>
      </c>
      <c r="C155" s="2" t="inlineStr">
        <is>
          <t>166090</t>
        </is>
      </c>
      <c r="D155" s="2" t="inlineStr">
        <is>
          <t>대량보유</t>
        </is>
      </c>
      <c r="E155" s="3" t="inlineStr">
        <is>
          <t>-</t>
        </is>
      </c>
      <c r="F155" s="3" t="inlineStr">
        <is>
          <t>보고자</t>
        </is>
      </c>
      <c r="G155" s="3" t="inlineStr">
        <is>
          <t>-</t>
        </is>
      </c>
      <c r="H155" s="6" t="inlineStr"/>
      <c r="I155" s="6" t="inlineStr"/>
      <c r="J155" s="6" t="inlineStr"/>
      <c r="K155" s="18" t="inlineStr"/>
      <c r="L155" s="2" t="inlineStr">
        <is>
          <t>20260202901299</t>
        </is>
      </c>
      <c r="M155" s="8">
        <f>HYPERLINK("https://dart.fss.or.kr/dsaf001/main.do?rcpNo=20260202901299", "공시열람")</f>
        <v/>
      </c>
    </row>
    <row r="156" ht="22" customHeight="1">
      <c r="A156" s="2" t="inlineStr">
        <is>
          <t>2026-02-02</t>
        </is>
      </c>
      <c r="B156" s="3" t="inlineStr">
        <is>
          <t>티에프이</t>
        </is>
      </c>
      <c r="C156" s="2" t="inlineStr">
        <is>
          <t>425420</t>
        </is>
      </c>
      <c r="D156" s="2" t="inlineStr">
        <is>
          <t>대량보유</t>
        </is>
      </c>
      <c r="E156" s="3" t="inlineStr">
        <is>
          <t>미래에셋자산운용</t>
        </is>
      </c>
      <c r="F156" s="3" t="inlineStr">
        <is>
          <t>특별관계자</t>
        </is>
      </c>
      <c r="G156" s="3" t="inlineStr">
        <is>
          <t>장내매도(-), 장내매수(+), 기타(+)</t>
        </is>
      </c>
      <c r="H156" s="17" t="n">
        <v>-193493</v>
      </c>
      <c r="I156" s="6" t="n">
        <v>4921</v>
      </c>
      <c r="J156" s="6" t="n">
        <v>606579</v>
      </c>
      <c r="K156" s="16" t="n">
        <v>5.07</v>
      </c>
      <c r="L156" s="2" t="inlineStr">
        <is>
          <t>20260202001094</t>
        </is>
      </c>
      <c r="M156" s="8">
        <f>HYPERLINK("https://dart.fss.or.kr/dsaf001/main.do?rcpNo=20260202001094", "공시열람")</f>
        <v/>
      </c>
    </row>
    <row r="157" ht="22" customHeight="1">
      <c r="A157" s="2" t="inlineStr">
        <is>
          <t>2026-02-02</t>
        </is>
      </c>
      <c r="B157" s="3" t="inlineStr">
        <is>
          <t>SK리츠</t>
        </is>
      </c>
      <c r="C157" s="2" t="inlineStr">
        <is>
          <t>395400</t>
        </is>
      </c>
      <c r="D157" s="2" t="inlineStr">
        <is>
          <t>대량보유</t>
        </is>
      </c>
      <c r="E157" s="3" t="inlineStr">
        <is>
          <t>미래에셋자산운용</t>
        </is>
      </c>
      <c r="F157" s="3" t="inlineStr">
        <is>
          <t>특별관계자</t>
        </is>
      </c>
      <c r="G157" s="3" t="inlineStr">
        <is>
          <t>기타(+), 장내매수(+), 기타(-), 장내매도(-)</t>
        </is>
      </c>
      <c r="H157" s="15" t="n">
        <v>4407557</v>
      </c>
      <c r="I157" s="6" t="n">
        <v>4515</v>
      </c>
      <c r="J157" s="6" t="n">
        <v>52336952</v>
      </c>
      <c r="K157" s="16" t="n">
        <v>17.42</v>
      </c>
      <c r="L157" s="2" t="inlineStr">
        <is>
          <t>20260202001093</t>
        </is>
      </c>
      <c r="M157" s="8">
        <f>HYPERLINK("https://dart.fss.or.kr/dsaf001/main.do?rcpNo=20260202001093", "공시열람")</f>
        <v/>
      </c>
    </row>
    <row r="158" ht="22" customHeight="1">
      <c r="A158" s="2" t="inlineStr">
        <is>
          <t>2026-02-02</t>
        </is>
      </c>
      <c r="B158" s="3" t="inlineStr">
        <is>
          <t>에스넷</t>
        </is>
      </c>
      <c r="C158" s="2" t="inlineStr">
        <is>
          <t>038680</t>
        </is>
      </c>
      <c r="D158" s="2" t="inlineStr">
        <is>
          <t>대량보유</t>
        </is>
      </c>
      <c r="E158" s="3" t="inlineStr">
        <is>
          <t>박효대</t>
        </is>
      </c>
      <c r="F158" s="3" t="inlineStr">
        <is>
          <t>보고자</t>
        </is>
      </c>
      <c r="G158" s="3" t="inlineStr">
        <is>
          <t>특별관계자 주식담보대출 상환에 따른 계약만료</t>
        </is>
      </c>
      <c r="H158" s="6" t="inlineStr"/>
      <c r="I158" s="6" t="inlineStr"/>
      <c r="J158" s="6" t="n">
        <v>5178534</v>
      </c>
      <c r="K158" s="16" t="n">
        <v>2</v>
      </c>
      <c r="L158" s="2" t="inlineStr">
        <is>
          <t>20260202001092</t>
        </is>
      </c>
      <c r="M158" s="8">
        <f>HYPERLINK("https://dart.fss.or.kr/dsaf001/main.do?rcpNo=20260202001092", "공시열람")</f>
        <v/>
      </c>
    </row>
    <row r="159" ht="22" customHeight="1">
      <c r="A159" s="2" t="inlineStr">
        <is>
          <t>2026-02-02</t>
        </is>
      </c>
      <c r="B159" s="3" t="inlineStr">
        <is>
          <t>롯데리츠</t>
        </is>
      </c>
      <c r="C159" s="2" t="inlineStr">
        <is>
          <t>330590</t>
        </is>
      </c>
      <c r="D159" s="2" t="inlineStr">
        <is>
          <t>대량보유</t>
        </is>
      </c>
      <c r="E159" s="3" t="inlineStr">
        <is>
          <t>미래에셋자산운용</t>
        </is>
      </c>
      <c r="F159" s="3" t="inlineStr">
        <is>
          <t>특별관계자</t>
        </is>
      </c>
      <c r="G159" s="3" t="inlineStr">
        <is>
          <t>기타(+), 장내매도(-), 기타(-), 장내매수(+)</t>
        </is>
      </c>
      <c r="H159" s="15" t="n">
        <v>3888381</v>
      </c>
      <c r="I159" s="6" t="n">
        <v>2753</v>
      </c>
      <c r="J159" s="6" t="n">
        <v>33654373</v>
      </c>
      <c r="K159" s="16" t="n">
        <v>11.65</v>
      </c>
      <c r="L159" s="2" t="inlineStr">
        <is>
          <t>20260202001091</t>
        </is>
      </c>
      <c r="M159" s="8">
        <f>HYPERLINK("https://dart.fss.or.kr/dsaf001/main.do?rcpNo=20260202001091", "공시열람")</f>
        <v/>
      </c>
    </row>
    <row r="160" ht="22" customHeight="1">
      <c r="A160" s="2" t="inlineStr">
        <is>
          <t>2026-02-02</t>
        </is>
      </c>
      <c r="B160" s="3" t="inlineStr">
        <is>
          <t>피에스케이</t>
        </is>
      </c>
      <c r="C160" s="2" t="inlineStr">
        <is>
          <t>319660</t>
        </is>
      </c>
      <c r="D160" s="2" t="inlineStr">
        <is>
          <t>대량보유</t>
        </is>
      </c>
      <c r="E160" s="3" t="inlineStr">
        <is>
          <t>미래에셋자산운용</t>
        </is>
      </c>
      <c r="F160" s="3" t="inlineStr">
        <is>
          <t>특별관계자</t>
        </is>
      </c>
      <c r="G160" s="3" t="inlineStr">
        <is>
          <t>기타(+), 기타(-), 장내매도(-)</t>
        </is>
      </c>
      <c r="H160" s="17" t="n">
        <v>-5122</v>
      </c>
      <c r="I160" s="6" t="n">
        <v>7987</v>
      </c>
      <c r="J160" s="6" t="n">
        <v>1440687</v>
      </c>
      <c r="K160" s="16" t="n">
        <v>1</v>
      </c>
      <c r="L160" s="2" t="inlineStr">
        <is>
          <t>20260202001090</t>
        </is>
      </c>
      <c r="M160" s="8">
        <f>HYPERLINK("https://dart.fss.or.kr/dsaf001/main.do?rcpNo=20260202001090", "공시열람")</f>
        <v/>
      </c>
    </row>
    <row r="161" ht="22" customHeight="1">
      <c r="A161" s="2" t="inlineStr">
        <is>
          <t>2026-02-02</t>
        </is>
      </c>
      <c r="B161" s="3" t="inlineStr">
        <is>
          <t>피에스케이</t>
        </is>
      </c>
      <c r="C161" s="2" t="inlineStr">
        <is>
          <t>319660</t>
        </is>
      </c>
      <c r="D161" s="2" t="inlineStr">
        <is>
          <t>대량보유</t>
        </is>
      </c>
      <c r="E161" s="3" t="inlineStr">
        <is>
          <t>미래에셋드림타겟증권(주식)</t>
        </is>
      </c>
      <c r="F161" s="3" t="inlineStr">
        <is>
          <t>특별관계자</t>
        </is>
      </c>
      <c r="G161" s="3" t="inlineStr">
        <is>
          <t>장내매도(-)</t>
        </is>
      </c>
      <c r="H161" s="17" t="n">
        <v>-1126</v>
      </c>
      <c r="I161" s="6" t="n">
        <v>0</v>
      </c>
      <c r="J161" s="6" t="n">
        <v>2885</v>
      </c>
      <c r="K161" s="16" t="n">
        <v>1</v>
      </c>
      <c r="L161" s="2" t="inlineStr">
        <is>
          <t>20260202001090</t>
        </is>
      </c>
      <c r="M161" s="8">
        <f>HYPERLINK("https://dart.fss.or.kr/dsaf001/main.do?rcpNo=20260202001090", "공시열람")</f>
        <v/>
      </c>
    </row>
    <row r="162" ht="22" customHeight="1">
      <c r="A162" s="2" t="inlineStr">
        <is>
          <t>2026-02-02</t>
        </is>
      </c>
      <c r="B162" s="3" t="inlineStr">
        <is>
          <t>원익IPS</t>
        </is>
      </c>
      <c r="C162" s="2" t="inlineStr">
        <is>
          <t>240810</t>
        </is>
      </c>
      <c r="D162" s="2" t="inlineStr">
        <is>
          <t>대량보유</t>
        </is>
      </c>
      <c r="E162" s="3" t="inlineStr">
        <is>
          <t>미래에셋자산운용</t>
        </is>
      </c>
      <c r="F162" s="3" t="inlineStr">
        <is>
          <t>특별관계자</t>
        </is>
      </c>
      <c r="G162" s="3" t="inlineStr">
        <is>
          <t>기타(+), 기타(-), 장내매도(-), 장내매수(+)</t>
        </is>
      </c>
      <c r="H162" s="15" t="n">
        <v>622527</v>
      </c>
      <c r="I162" s="6" t="n">
        <v>46716</v>
      </c>
      <c r="J162" s="6" t="n">
        <v>3170053</v>
      </c>
      <c r="K162" s="16" t="n">
        <v>1</v>
      </c>
      <c r="L162" s="2" t="inlineStr">
        <is>
          <t>20260202001086</t>
        </is>
      </c>
      <c r="M162" s="8">
        <f>HYPERLINK("https://dart.fss.or.kr/dsaf001/main.do?rcpNo=20260202001086", "공시열람")</f>
        <v/>
      </c>
    </row>
    <row r="163" ht="22" customHeight="1">
      <c r="A163" s="2" t="inlineStr">
        <is>
          <t>2026-02-02</t>
        </is>
      </c>
      <c r="B163" s="3" t="inlineStr">
        <is>
          <t>원익IPS</t>
        </is>
      </c>
      <c r="C163" s="2" t="inlineStr">
        <is>
          <t>240810</t>
        </is>
      </c>
      <c r="D163" s="2" t="inlineStr">
        <is>
          <t>대량보유</t>
        </is>
      </c>
      <c r="E163" s="3" t="inlineStr">
        <is>
          <t>미래에셋드림타겟증권(주식)</t>
        </is>
      </c>
      <c r="F163" s="3" t="inlineStr">
        <is>
          <t>특별관계자</t>
        </is>
      </c>
      <c r="G163" s="3" t="inlineStr">
        <is>
          <t>장내매도(-), 장내매수(+)</t>
        </is>
      </c>
      <c r="H163" s="15" t="n">
        <v>409</v>
      </c>
      <c r="I163" s="6" t="n">
        <v>36441</v>
      </c>
      <c r="J163" s="6" t="n">
        <v>1760</v>
      </c>
      <c r="K163" s="16" t="n">
        <v>1</v>
      </c>
      <c r="L163" s="2" t="inlineStr">
        <is>
          <t>20260202001086</t>
        </is>
      </c>
      <c r="M163" s="8">
        <f>HYPERLINK("https://dart.fss.or.kr/dsaf001/main.do?rcpNo=20260202001086", "공시열람")</f>
        <v/>
      </c>
    </row>
    <row r="164" ht="22" customHeight="1">
      <c r="A164" s="2" t="inlineStr">
        <is>
          <t>2026-02-02</t>
        </is>
      </c>
      <c r="B164" s="3" t="inlineStr">
        <is>
          <t>한국내화</t>
        </is>
      </c>
      <c r="C164" s="2" t="inlineStr">
        <is>
          <t>010040</t>
        </is>
      </c>
      <c r="D164" s="2" t="inlineStr">
        <is>
          <t>임원보고</t>
        </is>
      </c>
      <c r="E164" s="3" t="inlineStr">
        <is>
          <t>-</t>
        </is>
      </c>
      <c r="F164" s="3" t="inlineStr">
        <is>
          <t>-</t>
        </is>
      </c>
      <c r="G164" s="3" t="inlineStr">
        <is>
          <t>-</t>
        </is>
      </c>
      <c r="H164" s="6" t="inlineStr"/>
      <c r="I164" s="6" t="inlineStr"/>
      <c r="J164" s="6" t="inlineStr"/>
      <c r="K164" s="16" t="n">
        <v>12</v>
      </c>
      <c r="L164" s="2" t="inlineStr">
        <is>
          <t>20260202801684</t>
        </is>
      </c>
      <c r="M164" s="8">
        <f>HYPERLINK("https://dart.fss.or.kr/dsaf001/main.do?rcpNo=20260202801684", "공시열람")</f>
        <v/>
      </c>
    </row>
    <row r="165" ht="22" customHeight="1">
      <c r="A165" s="2" t="inlineStr">
        <is>
          <t>2026-02-02</t>
        </is>
      </c>
      <c r="B165" s="3" t="inlineStr">
        <is>
          <t>ISC</t>
        </is>
      </c>
      <c r="C165" s="2" t="inlineStr">
        <is>
          <t>095340</t>
        </is>
      </c>
      <c r="D165" s="2" t="inlineStr">
        <is>
          <t>대량보유</t>
        </is>
      </c>
      <c r="E165" s="3" t="inlineStr">
        <is>
          <t>미래에셋자산운용</t>
        </is>
      </c>
      <c r="F165" s="3" t="inlineStr">
        <is>
          <t>특별관계자</t>
        </is>
      </c>
      <c r="G165" s="3" t="inlineStr">
        <is>
          <t>기타(+), 기타(-), 장내매수(+), 장내매도(-)</t>
        </is>
      </c>
      <c r="H165" s="17" t="n">
        <v>-11878</v>
      </c>
      <c r="I165" s="6" t="n">
        <v>33737</v>
      </c>
      <c r="J165" s="6" t="n">
        <v>1050207</v>
      </c>
      <c r="K165" s="16" t="n">
        <v>2</v>
      </c>
      <c r="L165" s="2" t="inlineStr">
        <is>
          <t>20260202001084</t>
        </is>
      </c>
      <c r="M165" s="8">
        <f>HYPERLINK("https://dart.fss.or.kr/dsaf001/main.do?rcpNo=20260202001084", "공시열람")</f>
        <v/>
      </c>
    </row>
    <row r="166" ht="22" customHeight="1">
      <c r="A166" s="2" t="inlineStr">
        <is>
          <t>2026-02-02</t>
        </is>
      </c>
      <c r="B166" s="3" t="inlineStr">
        <is>
          <t>맥쿼리인프라</t>
        </is>
      </c>
      <c r="C166" s="2" t="inlineStr">
        <is>
          <t>088980</t>
        </is>
      </c>
      <c r="D166" s="2" t="inlineStr">
        <is>
          <t>대량보유</t>
        </is>
      </c>
      <c r="E166" s="3" t="inlineStr">
        <is>
          <t>미래에셋자산운용</t>
        </is>
      </c>
      <c r="F166" s="3" t="inlineStr">
        <is>
          <t>특별관계자</t>
        </is>
      </c>
      <c r="G166" s="3" t="inlineStr">
        <is>
          <t>기타(-), 기타(+), 장내매도(-), 장내매수(+)</t>
        </is>
      </c>
      <c r="H166" s="15" t="n">
        <v>6020138</v>
      </c>
      <c r="I166" s="6" t="n">
        <v>8139</v>
      </c>
      <c r="J166" s="6" t="n">
        <v>35193787</v>
      </c>
      <c r="K166" s="16" t="n">
        <v>7.35</v>
      </c>
      <c r="L166" s="2" t="inlineStr">
        <is>
          <t>20260202001076</t>
        </is>
      </c>
      <c r="M166" s="8">
        <f>HYPERLINK("https://dart.fss.or.kr/dsaf001/main.do?rcpNo=20260202001076", "공시열람")</f>
        <v/>
      </c>
    </row>
    <row r="167" ht="22" customHeight="1">
      <c r="A167" s="2" t="inlineStr">
        <is>
          <t>2026-02-02</t>
        </is>
      </c>
      <c r="B167" s="3" t="inlineStr">
        <is>
          <t>DB하이텍</t>
        </is>
      </c>
      <c r="C167" s="2" t="inlineStr">
        <is>
          <t>000990</t>
        </is>
      </c>
      <c r="D167" s="2" t="inlineStr">
        <is>
          <t>대량보유</t>
        </is>
      </c>
      <c r="E167" s="3" t="inlineStr">
        <is>
          <t>미래에셋자산운용</t>
        </is>
      </c>
      <c r="F167" s="3" t="inlineStr">
        <is>
          <t>특별관계자</t>
        </is>
      </c>
      <c r="G167" s="3" t="inlineStr">
        <is>
          <t>기타(-), 기타(+), 장내매수(+), 장내매도(-)</t>
        </is>
      </c>
      <c r="H167" s="15" t="n">
        <v>508279</v>
      </c>
      <c r="I167" s="6" t="n">
        <v>50330</v>
      </c>
      <c r="J167" s="6" t="n">
        <v>3106862</v>
      </c>
      <c r="K167" s="16" t="n">
        <v>1</v>
      </c>
      <c r="L167" s="2" t="inlineStr">
        <is>
          <t>20260202001070</t>
        </is>
      </c>
      <c r="M167" s="8">
        <f>HYPERLINK("https://dart.fss.or.kr/dsaf001/main.do?rcpNo=20260202001070", "공시열람")</f>
        <v/>
      </c>
    </row>
    <row r="168" ht="22" customHeight="1">
      <c r="A168" s="2" t="inlineStr">
        <is>
          <t>2026-02-02</t>
        </is>
      </c>
      <c r="B168" s="3" t="inlineStr">
        <is>
          <t>DB하이텍</t>
        </is>
      </c>
      <c r="C168" s="2" t="inlineStr">
        <is>
          <t>000990</t>
        </is>
      </c>
      <c r="D168" s="2" t="inlineStr">
        <is>
          <t>대량보유</t>
        </is>
      </c>
      <c r="E168" s="3" t="inlineStr">
        <is>
          <t>미래에셋드림타겟증권(주식)</t>
        </is>
      </c>
      <c r="F168" s="3" t="inlineStr">
        <is>
          <t>특별관계자</t>
        </is>
      </c>
      <c r="G168" s="3" t="inlineStr">
        <is>
          <t>장내매수(+), 장내매도(-)</t>
        </is>
      </c>
      <c r="H168" s="15" t="n">
        <v>1253</v>
      </c>
      <c r="I168" s="6" t="n">
        <v>76365</v>
      </c>
      <c r="J168" s="6" t="n">
        <v>1253</v>
      </c>
      <c r="K168" s="16" t="n">
        <v>1</v>
      </c>
      <c r="L168" s="2" t="inlineStr">
        <is>
          <t>20260202001070</t>
        </is>
      </c>
      <c r="M168" s="8">
        <f>HYPERLINK("https://dart.fss.or.kr/dsaf001/main.do?rcpNo=20260202001070", "공시열람")</f>
        <v/>
      </c>
    </row>
    <row r="169" ht="22" customHeight="1">
      <c r="A169" s="2" t="inlineStr">
        <is>
          <t>2026-02-02</t>
        </is>
      </c>
      <c r="B169" s="3" t="inlineStr">
        <is>
          <t>상아프론테크</t>
        </is>
      </c>
      <c r="C169" s="2" t="inlineStr">
        <is>
          <t>089980</t>
        </is>
      </c>
      <c r="D169" s="2" t="inlineStr">
        <is>
          <t>대량보유</t>
        </is>
      </c>
      <c r="E169" s="3" t="inlineStr">
        <is>
          <t>이상식</t>
        </is>
      </c>
      <c r="F169" s="3" t="inlineStr">
        <is>
          <t>특별관계자</t>
        </is>
      </c>
      <c r="G169" s="3" t="inlineStr">
        <is>
          <t>증여(-)</t>
        </is>
      </c>
      <c r="H169" s="17" t="n">
        <v>-20000</v>
      </c>
      <c r="I169" s="6" t="inlineStr"/>
      <c r="J169" s="6" t="n">
        <v>271700</v>
      </c>
      <c r="K169" s="16" t="n">
        <v>23</v>
      </c>
      <c r="L169" s="2" t="inlineStr">
        <is>
          <t>20260202001045</t>
        </is>
      </c>
      <c r="M169" s="8">
        <f>HYPERLINK("https://dart.fss.or.kr/dsaf001/main.do?rcpNo=20260202001045", "공시열람")</f>
        <v/>
      </c>
    </row>
    <row r="170" ht="22" customHeight="1">
      <c r="A170" s="2" t="inlineStr">
        <is>
          <t>2026-02-02</t>
        </is>
      </c>
      <c r="B170" s="3" t="inlineStr">
        <is>
          <t>상아프론테크</t>
        </is>
      </c>
      <c r="C170" s="2" t="inlineStr">
        <is>
          <t>089980</t>
        </is>
      </c>
      <c r="D170" s="2" t="inlineStr">
        <is>
          <t>대량보유</t>
        </is>
      </c>
      <c r="E170" s="3" t="inlineStr">
        <is>
          <t>이수정</t>
        </is>
      </c>
      <c r="F170" s="3" t="inlineStr">
        <is>
          <t>특별관계자</t>
        </is>
      </c>
      <c r="G170" s="3" t="inlineStr">
        <is>
          <t>수증(+)</t>
        </is>
      </c>
      <c r="H170" s="15" t="n">
        <v>10000</v>
      </c>
      <c r="I170" s="6" t="inlineStr"/>
      <c r="J170" s="6" t="n">
        <v>12400</v>
      </c>
      <c r="K170" s="16" t="n">
        <v>23</v>
      </c>
      <c r="L170" s="2" t="inlineStr">
        <is>
          <t>20260202001045</t>
        </is>
      </c>
      <c r="M170" s="8">
        <f>HYPERLINK("https://dart.fss.or.kr/dsaf001/main.do?rcpNo=20260202001045", "공시열람")</f>
        <v/>
      </c>
    </row>
    <row r="171" ht="22" customHeight="1">
      <c r="A171" s="2" t="inlineStr">
        <is>
          <t>2026-02-02</t>
        </is>
      </c>
      <c r="B171" s="3" t="inlineStr">
        <is>
          <t>상아프론테크</t>
        </is>
      </c>
      <c r="C171" s="2" t="inlineStr">
        <is>
          <t>089980</t>
        </is>
      </c>
      <c r="D171" s="2" t="inlineStr">
        <is>
          <t>대량보유</t>
        </is>
      </c>
      <c r="E171" s="3" t="inlineStr">
        <is>
          <t>이진섭</t>
        </is>
      </c>
      <c r="F171" s="3" t="inlineStr">
        <is>
          <t>특별관계자</t>
        </is>
      </c>
      <c r="G171" s="3" t="inlineStr">
        <is>
          <t>수증(+)</t>
        </is>
      </c>
      <c r="H171" s="15" t="n">
        <v>10000</v>
      </c>
      <c r="I171" s="6" t="inlineStr"/>
      <c r="J171" s="6" t="n">
        <v>12400</v>
      </c>
      <c r="K171" s="16" t="n">
        <v>23</v>
      </c>
      <c r="L171" s="2" t="inlineStr">
        <is>
          <t>20260202001045</t>
        </is>
      </c>
      <c r="M171" s="8">
        <f>HYPERLINK("https://dart.fss.or.kr/dsaf001/main.do?rcpNo=20260202001045", "공시열람")</f>
        <v/>
      </c>
    </row>
    <row r="172" ht="22" customHeight="1">
      <c r="A172" s="2" t="inlineStr">
        <is>
          <t>2026-02-02</t>
        </is>
      </c>
      <c r="B172" s="3" t="inlineStr">
        <is>
          <t>롯데칠성음료</t>
        </is>
      </c>
      <c r="C172" s="2" t="inlineStr">
        <is>
          <t>005300</t>
        </is>
      </c>
      <c r="D172" s="2" t="inlineStr">
        <is>
          <t>임원보고</t>
        </is>
      </c>
      <c r="E172" s="3" t="inlineStr">
        <is>
          <t>-</t>
        </is>
      </c>
      <c r="F172" s="3" t="inlineStr">
        <is>
          <t>-</t>
        </is>
      </c>
      <c r="G172" s="3" t="inlineStr">
        <is>
          <t>-</t>
        </is>
      </c>
      <c r="H172" s="6" t="inlineStr"/>
      <c r="I172" s="6" t="inlineStr"/>
      <c r="J172" s="6" t="inlineStr"/>
      <c r="K172" s="16" t="n">
        <v>12</v>
      </c>
      <c r="L172" s="2" t="inlineStr">
        <is>
          <t>20260202801617</t>
        </is>
      </c>
      <c r="M172" s="8">
        <f>HYPERLINK("https://dart.fss.or.kr/dsaf001/main.do?rcpNo=20260202801617", "공시열람")</f>
        <v/>
      </c>
    </row>
    <row r="173" ht="22" customHeight="1">
      <c r="A173" s="2" t="inlineStr">
        <is>
          <t>2026-02-02</t>
        </is>
      </c>
      <c r="B173" s="3" t="inlineStr">
        <is>
          <t>케이티</t>
        </is>
      </c>
      <c r="C173" s="2" t="inlineStr">
        <is>
          <t>030200</t>
        </is>
      </c>
      <c r="D173" s="2" t="inlineStr">
        <is>
          <t>대량보유</t>
        </is>
      </c>
      <c r="E173" s="3" t="inlineStr">
        <is>
          <t>국민연금기금</t>
        </is>
      </c>
      <c r="F173" s="3" t="inlineStr">
        <is>
          <t>특별관계자</t>
        </is>
      </c>
      <c r="G173" s="3" t="inlineStr">
        <is>
          <t>단순투자목적에서 일반투자목적으로 보유목적 변경</t>
        </is>
      </c>
      <c r="H173" s="17" t="n">
        <v>-1556640</v>
      </c>
      <c r="I173" s="6" t="inlineStr"/>
      <c r="J173" s="6" t="n">
        <v>17778408</v>
      </c>
      <c r="K173" s="16" t="n">
        <v>1</v>
      </c>
      <c r="L173" s="2" t="inlineStr">
        <is>
          <t>20260202001008</t>
        </is>
      </c>
      <c r="M173" s="8">
        <f>HYPERLINK("https://dart.fss.or.kr/dsaf001/main.do?rcpNo=20260202001008", "공시열람")</f>
        <v/>
      </c>
    </row>
    <row r="174" ht="22" customHeight="1">
      <c r="A174" s="2" t="inlineStr">
        <is>
          <t>2026-02-02</t>
        </is>
      </c>
      <c r="B174" s="3" t="inlineStr">
        <is>
          <t>HS효성첨단소재</t>
        </is>
      </c>
      <c r="C174" s="2" t="inlineStr">
        <is>
          <t>298050</t>
        </is>
      </c>
      <c r="D174" s="2" t="inlineStr">
        <is>
          <t>대량보유</t>
        </is>
      </c>
      <c r="E174" s="3" t="inlineStr">
        <is>
          <t>국민연금기금</t>
        </is>
      </c>
      <c r="F174" s="3" t="inlineStr">
        <is>
          <t>특별관계자</t>
        </is>
      </c>
      <c r="G174" s="3" t="inlineStr">
        <is>
          <t>단순추가취득/처분</t>
        </is>
      </c>
      <c r="H174" s="17" t="n">
        <v>-45157</v>
      </c>
      <c r="I174" s="6" t="inlineStr"/>
      <c r="J174" s="6" t="n">
        <v>262362</v>
      </c>
      <c r="K174" s="16" t="n">
        <v>1</v>
      </c>
      <c r="L174" s="2" t="inlineStr">
        <is>
          <t>20260202000995</t>
        </is>
      </c>
      <c r="M174" s="8">
        <f>HYPERLINK("https://dart.fss.or.kr/dsaf001/main.do?rcpNo=20260202000995", "공시열람")</f>
        <v/>
      </c>
    </row>
    <row r="175" ht="22" customHeight="1">
      <c r="A175" s="2" t="inlineStr">
        <is>
          <t>2026-02-02</t>
        </is>
      </c>
      <c r="B175" s="3" t="inlineStr">
        <is>
          <t>효성티앤씨</t>
        </is>
      </c>
      <c r="C175" s="2" t="inlineStr">
        <is>
          <t>298020</t>
        </is>
      </c>
      <c r="D175" s="2" t="inlineStr">
        <is>
          <t>대량보유</t>
        </is>
      </c>
      <c r="E175" s="3" t="inlineStr">
        <is>
          <t>국민연금기금</t>
        </is>
      </c>
      <c r="F175" s="3" t="inlineStr">
        <is>
          <t>특별관계자</t>
        </is>
      </c>
      <c r="G175" s="3" t="inlineStr">
        <is>
          <t>단순추가취득/처분</t>
        </is>
      </c>
      <c r="H175" s="15" t="n">
        <v>43731</v>
      </c>
      <c r="I175" s="6" t="inlineStr"/>
      <c r="J175" s="6" t="n">
        <v>340107</v>
      </c>
      <c r="K175" s="16" t="n">
        <v>1</v>
      </c>
      <c r="L175" s="2" t="inlineStr">
        <is>
          <t>20260202000976</t>
        </is>
      </c>
      <c r="M175" s="8">
        <f>HYPERLINK("https://dart.fss.or.kr/dsaf001/main.do?rcpNo=20260202000976", "공시열람")</f>
        <v/>
      </c>
    </row>
    <row r="176" ht="22" customHeight="1">
      <c r="A176" s="2" t="inlineStr">
        <is>
          <t>2026-02-02</t>
        </is>
      </c>
      <c r="B176" s="3" t="inlineStr">
        <is>
          <t>KB금융</t>
        </is>
      </c>
      <c r="C176" s="2" t="inlineStr">
        <is>
          <t>105560</t>
        </is>
      </c>
      <c r="D176" s="2" t="inlineStr">
        <is>
          <t>대량보유</t>
        </is>
      </c>
      <c r="E176" s="3" t="inlineStr">
        <is>
          <t>국민연금기금</t>
        </is>
      </c>
      <c r="F176" s="3" t="inlineStr">
        <is>
          <t>특별관계자</t>
        </is>
      </c>
      <c r="G176" s="3" t="inlineStr">
        <is>
          <t>단순추가취득/처분</t>
        </is>
      </c>
      <c r="H176" s="15" t="n">
        <v>884092</v>
      </c>
      <c r="I176" s="6" t="inlineStr"/>
      <c r="J176" s="6" t="n">
        <v>33341919</v>
      </c>
      <c r="K176" s="16" t="n">
        <v>1</v>
      </c>
      <c r="L176" s="2" t="inlineStr">
        <is>
          <t>20260202000968</t>
        </is>
      </c>
      <c r="M176" s="8">
        <f>HYPERLINK("https://dart.fss.or.kr/dsaf001/main.do?rcpNo=20260202000968", "공시열람")</f>
        <v/>
      </c>
    </row>
    <row r="177" ht="22" customHeight="1">
      <c r="A177" s="2" t="inlineStr">
        <is>
          <t>2026-02-02</t>
        </is>
      </c>
      <c r="B177" s="3" t="inlineStr">
        <is>
          <t>GS</t>
        </is>
      </c>
      <c r="C177" s="2" t="inlineStr">
        <is>
          <t>078930</t>
        </is>
      </c>
      <c r="D177" s="2" t="inlineStr">
        <is>
          <t>임원보고</t>
        </is>
      </c>
      <c r="E177" s="3" t="inlineStr">
        <is>
          <t>-</t>
        </is>
      </c>
      <c r="F177" s="3" t="inlineStr">
        <is>
          <t>-</t>
        </is>
      </c>
      <c r="G177" s="3" t="inlineStr">
        <is>
          <t>-</t>
        </is>
      </c>
      <c r="H177" s="6" t="inlineStr"/>
      <c r="I177" s="6" t="inlineStr"/>
      <c r="J177" s="6" t="inlineStr"/>
      <c r="K177" s="16" t="n">
        <v>12</v>
      </c>
      <c r="L177" s="2" t="inlineStr">
        <is>
          <t>20260202801500</t>
        </is>
      </c>
      <c r="M177" s="8">
        <f>HYPERLINK("https://dart.fss.or.kr/dsaf001/main.do?rcpNo=20260202801500", "공시열람")</f>
        <v/>
      </c>
    </row>
    <row r="178" ht="22" customHeight="1">
      <c r="A178" s="2" t="inlineStr">
        <is>
          <t>2026-02-02</t>
        </is>
      </c>
      <c r="B178" s="3" t="inlineStr">
        <is>
          <t>브이엠</t>
        </is>
      </c>
      <c r="C178" s="2" t="inlineStr">
        <is>
          <t>089970</t>
        </is>
      </c>
      <c r="D178" s="2" t="inlineStr">
        <is>
          <t>대량보유</t>
        </is>
      </c>
      <c r="E178" s="3" t="inlineStr">
        <is>
          <t>임종필</t>
        </is>
      </c>
      <c r="F178" s="3" t="inlineStr">
        <is>
          <t>특별관계자</t>
        </is>
      </c>
      <c r="G178" s="3" t="inlineStr">
        <is>
          <t>장내매수(+), 장내매도(-)</t>
        </is>
      </c>
      <c r="H178" s="15" t="n">
        <v>39100</v>
      </c>
      <c r="I178" s="6" t="n">
        <v>11849</v>
      </c>
      <c r="J178" s="6" t="n">
        <v>114100</v>
      </c>
      <c r="K178" s="16" t="n">
        <v>2</v>
      </c>
      <c r="L178" s="2" t="inlineStr">
        <is>
          <t>20260202000928</t>
        </is>
      </c>
      <c r="M178" s="8">
        <f>HYPERLINK("https://dart.fss.or.kr/dsaf001/main.do?rcpNo=20260202000928", "공시열람")</f>
        <v/>
      </c>
    </row>
    <row r="179" ht="22" customHeight="1">
      <c r="A179" s="2" t="inlineStr">
        <is>
          <t>2026-02-02</t>
        </is>
      </c>
      <c r="B179" s="3" t="inlineStr">
        <is>
          <t>브이엠</t>
        </is>
      </c>
      <c r="C179" s="2" t="inlineStr">
        <is>
          <t>089970</t>
        </is>
      </c>
      <c r="D179" s="2" t="inlineStr">
        <is>
          <t>대량보유</t>
        </is>
      </c>
      <c r="E179" s="3" t="inlineStr">
        <is>
          <t>이재윤</t>
        </is>
      </c>
      <c r="F179" s="3" t="inlineStr">
        <is>
          <t>특별관계자</t>
        </is>
      </c>
      <c r="G179" s="3" t="inlineStr">
        <is>
          <t>장내매수(+), 특별관계해소(-)</t>
        </is>
      </c>
      <c r="H179" s="17" t="n">
        <v>-119181</v>
      </c>
      <c r="I179" s="6" t="n">
        <v>9715</v>
      </c>
      <c r="J179" s="6" t="n">
        <v>37000</v>
      </c>
      <c r="K179" s="16" t="n">
        <v>2</v>
      </c>
      <c r="L179" s="2" t="inlineStr">
        <is>
          <t>20260202000928</t>
        </is>
      </c>
      <c r="M179" s="8">
        <f>HYPERLINK("https://dart.fss.or.kr/dsaf001/main.do?rcpNo=20260202000928", "공시열람")</f>
        <v/>
      </c>
    </row>
    <row r="180" ht="22" customHeight="1">
      <c r="A180" s="2" t="inlineStr">
        <is>
          <t>2026-02-02</t>
        </is>
      </c>
      <c r="B180" s="3" t="inlineStr">
        <is>
          <t>에스에스알</t>
        </is>
      </c>
      <c r="C180" s="2" t="inlineStr">
        <is>
          <t>275630</t>
        </is>
      </c>
      <c r="D180" s="2" t="inlineStr">
        <is>
          <t>대량보유</t>
        </is>
      </c>
      <c r="E180" s="3" t="inlineStr">
        <is>
          <t>김진수</t>
        </is>
      </c>
      <c r="F180" s="3" t="inlineStr">
        <is>
          <t>특별관계자</t>
        </is>
      </c>
      <c r="G180" s="3" t="inlineStr">
        <is>
          <t>임원퇴임(-)</t>
        </is>
      </c>
      <c r="H180" s="17" t="n">
        <v>-191040</v>
      </c>
      <c r="I180" s="6" t="inlineStr"/>
      <c r="J180" s="6" t="inlineStr"/>
      <c r="K180" s="16" t="n">
        <v>3</v>
      </c>
      <c r="L180" s="2" t="inlineStr">
        <is>
          <t>20260202000845</t>
        </is>
      </c>
      <c r="M180" s="8">
        <f>HYPERLINK("https://dart.fss.or.kr/dsaf001/main.do?rcpNo=20260202000845", "공시열람")</f>
        <v/>
      </c>
    </row>
    <row r="181" ht="22" customHeight="1">
      <c r="A181" s="2" t="inlineStr">
        <is>
          <t>2026-02-02</t>
        </is>
      </c>
      <c r="B181" s="3" t="inlineStr">
        <is>
          <t>링네트</t>
        </is>
      </c>
      <c r="C181" s="2" t="inlineStr">
        <is>
          <t>042500</t>
        </is>
      </c>
      <c r="D181" s="2" t="inlineStr">
        <is>
          <t>대량보유</t>
        </is>
      </c>
      <c r="E181" s="3" t="inlineStr">
        <is>
          <t>링네트우리사주조합</t>
        </is>
      </c>
      <c r="F181" s="3" t="inlineStr">
        <is>
          <t>특별관계자</t>
        </is>
      </c>
      <c r="G181" s="3" t="inlineStr">
        <is>
          <t>기타(-)</t>
        </is>
      </c>
      <c r="H181" s="17" t="n">
        <v>-13314</v>
      </c>
      <c r="I181" s="6" t="inlineStr"/>
      <c r="J181" s="6" t="n">
        <v>1598117</v>
      </c>
      <c r="K181" s="16" t="n">
        <v>7.17</v>
      </c>
      <c r="L181" s="2" t="inlineStr">
        <is>
          <t>20260202000808</t>
        </is>
      </c>
      <c r="M181" s="8">
        <f>HYPERLINK("https://dart.fss.or.kr/dsaf001/main.do?rcpNo=20260202000808", "공시열람")</f>
        <v/>
      </c>
    </row>
    <row r="182" ht="22" customHeight="1">
      <c r="A182" s="2" t="inlineStr">
        <is>
          <t>2026-02-02</t>
        </is>
      </c>
      <c r="B182" s="3" t="inlineStr">
        <is>
          <t>삼성중공업</t>
        </is>
      </c>
      <c r="C182" s="2" t="inlineStr">
        <is>
          <t>010140</t>
        </is>
      </c>
      <c r="D182" s="2" t="inlineStr">
        <is>
          <t>임원보고</t>
        </is>
      </c>
      <c r="E182" s="3" t="inlineStr">
        <is>
          <t>-</t>
        </is>
      </c>
      <c r="F182" s="3" t="inlineStr">
        <is>
          <t>-</t>
        </is>
      </c>
      <c r="G182" s="3" t="inlineStr">
        <is>
          <t>-</t>
        </is>
      </c>
      <c r="H182" s="6" t="inlineStr"/>
      <c r="I182" s="6" t="inlineStr"/>
      <c r="J182" s="6" t="inlineStr"/>
      <c r="K182" s="16" t="n">
        <v>12</v>
      </c>
      <c r="L182" s="2" t="inlineStr">
        <is>
          <t>20260202801157</t>
        </is>
      </c>
      <c r="M182" s="8">
        <f>HYPERLINK("https://dart.fss.or.kr/dsaf001/main.do?rcpNo=20260202801157", "공시열람")</f>
        <v/>
      </c>
    </row>
    <row r="183" ht="22" customHeight="1">
      <c r="A183" s="2" t="inlineStr">
        <is>
          <t>2026-02-02</t>
        </is>
      </c>
      <c r="B183" s="3" t="inlineStr">
        <is>
          <t>링네트</t>
        </is>
      </c>
      <c r="C183" s="2" t="inlineStr">
        <is>
          <t>042500</t>
        </is>
      </c>
      <c r="D183" s="2" t="inlineStr">
        <is>
          <t>대량보유</t>
        </is>
      </c>
      <c r="E183" s="3" t="inlineStr">
        <is>
          <t>강동수</t>
        </is>
      </c>
      <c r="F183" s="3" t="inlineStr">
        <is>
          <t>특별관계자</t>
        </is>
      </c>
      <c r="G183" s="3" t="inlineStr">
        <is>
          <t>임원퇴임(-)</t>
        </is>
      </c>
      <c r="H183" s="17" t="n">
        <v>-15876</v>
      </c>
      <c r="I183" s="6" t="inlineStr"/>
      <c r="J183" s="6" t="n">
        <v>6578919</v>
      </c>
      <c r="K183" s="16" t="n">
        <v>35</v>
      </c>
      <c r="L183" s="2" t="inlineStr">
        <is>
          <t>20260202000741</t>
        </is>
      </c>
      <c r="M183" s="8">
        <f>HYPERLINK("https://dart.fss.or.kr/dsaf001/main.do?rcpNo=20260202000741", "공시열람")</f>
        <v/>
      </c>
    </row>
    <row r="184" ht="22" customHeight="1">
      <c r="A184" s="2" t="inlineStr">
        <is>
          <t>2026-02-02</t>
        </is>
      </c>
      <c r="B184" s="3" t="inlineStr">
        <is>
          <t>삼성E&amp;A</t>
        </is>
      </c>
      <c r="C184" s="2" t="inlineStr">
        <is>
          <t>028050</t>
        </is>
      </c>
      <c r="D184" s="2" t="inlineStr">
        <is>
          <t>임원보고</t>
        </is>
      </c>
      <c r="E184" s="3" t="inlineStr">
        <is>
          <t>-</t>
        </is>
      </c>
      <c r="F184" s="3" t="inlineStr">
        <is>
          <t>-</t>
        </is>
      </c>
      <c r="G184" s="3" t="inlineStr">
        <is>
          <t>-</t>
        </is>
      </c>
      <c r="H184" s="6" t="inlineStr"/>
      <c r="I184" s="6" t="inlineStr"/>
      <c r="J184" s="6" t="inlineStr"/>
      <c r="K184" s="16" t="n">
        <v>12</v>
      </c>
      <c r="L184" s="2" t="inlineStr">
        <is>
          <t>20260202801144</t>
        </is>
      </c>
      <c r="M184" s="8">
        <f>HYPERLINK("https://dart.fss.or.kr/dsaf001/main.do?rcpNo=20260202801144", "공시열람")</f>
        <v/>
      </c>
    </row>
    <row r="185" ht="22" customHeight="1">
      <c r="A185" s="2" t="inlineStr">
        <is>
          <t>2026-02-02 (정정: 2026-02-02)</t>
        </is>
      </c>
      <c r="B185" s="3" t="inlineStr">
        <is>
          <t>엑시큐어하이트론</t>
        </is>
      </c>
      <c r="C185" s="2" t="inlineStr">
        <is>
          <t>019490</t>
        </is>
      </c>
      <c r="D185" s="2" t="inlineStr">
        <is>
          <t>대량보유</t>
        </is>
      </c>
      <c r="E185" s="3" t="inlineStr">
        <is>
          <t>컨두잇투자자문주식회사</t>
        </is>
      </c>
      <c r="F185" s="3" t="inlineStr">
        <is>
          <t>특별관계자</t>
        </is>
      </c>
      <c r="G185" s="3" t="inlineStr">
        <is>
          <t>신규보고(+)</t>
        </is>
      </c>
      <c r="H185" s="15" t="n">
        <v>100</v>
      </c>
      <c r="I185" s="6" t="n">
        <v>541</v>
      </c>
      <c r="J185" s="6" t="n">
        <v>100</v>
      </c>
      <c r="K185" s="16" t="n">
        <v>66</v>
      </c>
      <c r="L185" s="2" t="inlineStr">
        <is>
          <t>20260202000582</t>
        </is>
      </c>
      <c r="M185" s="8">
        <f>HYPERLINK("https://dart.fss.or.kr/dsaf001/main.do?rcpNo=20260202000582", "공시열람")</f>
        <v/>
      </c>
    </row>
    <row r="186" ht="22" customHeight="1">
      <c r="A186" s="2" t="inlineStr">
        <is>
          <t>2026-02-02 (정정: 2026-02-02)</t>
        </is>
      </c>
      <c r="B186" s="3" t="inlineStr">
        <is>
          <t>엑시큐어하이트론</t>
        </is>
      </c>
      <c r="C186" s="2" t="inlineStr">
        <is>
          <t>019490</t>
        </is>
      </c>
      <c r="D186" s="2" t="inlineStr">
        <is>
          <t>대량보유</t>
        </is>
      </c>
      <c r="E186" s="3" t="inlineStr">
        <is>
          <t>텐브릭스인베스트</t>
        </is>
      </c>
      <c r="F186" s="3" t="inlineStr">
        <is>
          <t>특별관계자</t>
        </is>
      </c>
      <c r="G186" s="3" t="inlineStr">
        <is>
          <t>신규보고(+)</t>
        </is>
      </c>
      <c r="H186" s="15" t="n">
        <v>2216536</v>
      </c>
      <c r="I186" s="6" t="inlineStr"/>
      <c r="J186" s="6" t="n">
        <v>2216536</v>
      </c>
      <c r="K186" s="16" t="n">
        <v>66</v>
      </c>
      <c r="L186" s="2" t="inlineStr">
        <is>
          <t>20260202000582</t>
        </is>
      </c>
      <c r="M186" s="8">
        <f>HYPERLINK("https://dart.fss.or.kr/dsaf001/main.do?rcpNo=20260202000582", "공시열람")</f>
        <v/>
      </c>
    </row>
    <row r="187" ht="22" customHeight="1">
      <c r="A187" s="2" t="inlineStr">
        <is>
          <t>2026-02-02 (정정: 2026-02-02)</t>
        </is>
      </c>
      <c r="B187" s="3" t="inlineStr">
        <is>
          <t>엑시큐어하이트론</t>
        </is>
      </c>
      <c r="C187" s="2" t="inlineStr">
        <is>
          <t>019490</t>
        </is>
      </c>
      <c r="D187" s="2" t="inlineStr">
        <is>
          <t>대량보유</t>
        </is>
      </c>
      <c r="E187" s="3" t="inlineStr">
        <is>
          <t>라이엇위드투자조합</t>
        </is>
      </c>
      <c r="F187" s="3" t="inlineStr">
        <is>
          <t>특별관계자</t>
        </is>
      </c>
      <c r="G187" s="3" t="inlineStr">
        <is>
          <t>신규보고(+)</t>
        </is>
      </c>
      <c r="H187" s="15" t="n">
        <v>2216536</v>
      </c>
      <c r="I187" s="6" t="inlineStr"/>
      <c r="J187" s="6" t="n">
        <v>2216536</v>
      </c>
      <c r="K187" s="16" t="n">
        <v>66</v>
      </c>
      <c r="L187" s="2" t="inlineStr">
        <is>
          <t>20260202000582</t>
        </is>
      </c>
      <c r="M187" s="8">
        <f>HYPERLINK("https://dart.fss.or.kr/dsaf001/main.do?rcpNo=20260202000582", "공시열람")</f>
        <v/>
      </c>
    </row>
    <row r="188" ht="22" customHeight="1">
      <c r="A188" s="2" t="inlineStr">
        <is>
          <t>2026-02-02 (정정: 2026-02-02)</t>
        </is>
      </c>
      <c r="B188" s="3" t="inlineStr">
        <is>
          <t>엑시큐어하이트론</t>
        </is>
      </c>
      <c r="C188" s="2" t="inlineStr">
        <is>
          <t>019490</t>
        </is>
      </c>
      <c r="D188" s="2" t="inlineStr">
        <is>
          <t>대량보유</t>
        </is>
      </c>
      <c r="E188" s="3" t="inlineStr">
        <is>
          <t>나스닥2호투자조합</t>
        </is>
      </c>
      <c r="F188" s="3" t="inlineStr">
        <is>
          <t>특별관계자</t>
        </is>
      </c>
      <c r="G188" s="3" t="inlineStr">
        <is>
          <t>신규보고(+)</t>
        </is>
      </c>
      <c r="H188" s="15" t="n">
        <v>1204388</v>
      </c>
      <c r="I188" s="6" t="inlineStr"/>
      <c r="J188" s="6" t="n">
        <v>1204388</v>
      </c>
      <c r="K188" s="16" t="n">
        <v>66</v>
      </c>
      <c r="L188" s="2" t="inlineStr">
        <is>
          <t>20260202000582</t>
        </is>
      </c>
      <c r="M188" s="8">
        <f>HYPERLINK("https://dart.fss.or.kr/dsaf001/main.do?rcpNo=20260202000582", "공시열람")</f>
        <v/>
      </c>
    </row>
    <row r="189" ht="22" customHeight="1">
      <c r="A189" s="2" t="inlineStr">
        <is>
          <t>2026-02-02 (정정: 2026-02-02)</t>
        </is>
      </c>
      <c r="B189" s="3" t="inlineStr">
        <is>
          <t>엑시큐어하이트론</t>
        </is>
      </c>
      <c r="C189" s="2" t="inlineStr">
        <is>
          <t>019490</t>
        </is>
      </c>
      <c r="D189" s="2" t="inlineStr">
        <is>
          <t>대량보유</t>
        </is>
      </c>
      <c r="E189" s="3" t="inlineStr">
        <is>
          <t>정상래</t>
        </is>
      </c>
      <c r="F189" s="3" t="inlineStr">
        <is>
          <t>특별관계자</t>
        </is>
      </c>
      <c r="G189" s="3" t="inlineStr">
        <is>
          <t>신규보고(+)</t>
        </is>
      </c>
      <c r="H189" s="15" t="n">
        <v>100312</v>
      </c>
      <c r="I189" s="6" t="inlineStr"/>
      <c r="J189" s="6" t="n">
        <v>100312</v>
      </c>
      <c r="K189" s="16" t="n">
        <v>66</v>
      </c>
      <c r="L189" s="2" t="inlineStr">
        <is>
          <t>20260202000582</t>
        </is>
      </c>
      <c r="M189" s="8">
        <f>HYPERLINK("https://dart.fss.or.kr/dsaf001/main.do?rcpNo=20260202000582", "공시열람")</f>
        <v/>
      </c>
    </row>
    <row r="190" ht="22" customHeight="1">
      <c r="A190" s="2" t="inlineStr">
        <is>
          <t>2026-02-02 (정정: 2026-02-02)</t>
        </is>
      </c>
      <c r="B190" s="3" t="inlineStr">
        <is>
          <t>엑시큐어하이트론</t>
        </is>
      </c>
      <c r="C190" s="2" t="inlineStr">
        <is>
          <t>019490</t>
        </is>
      </c>
      <c r="D190" s="2" t="inlineStr">
        <is>
          <t>대량보유</t>
        </is>
      </c>
      <c r="E190" s="3" t="inlineStr">
        <is>
          <t>이규진</t>
        </is>
      </c>
      <c r="F190" s="3" t="inlineStr">
        <is>
          <t>특별관계자</t>
        </is>
      </c>
      <c r="G190" s="3" t="inlineStr">
        <is>
          <t>신규보고(+)</t>
        </is>
      </c>
      <c r="H190" s="15" t="n">
        <v>45547</v>
      </c>
      <c r="I190" s="6" t="inlineStr"/>
      <c r="J190" s="6" t="n">
        <v>45547</v>
      </c>
      <c r="K190" s="16" t="n">
        <v>66</v>
      </c>
      <c r="L190" s="2" t="inlineStr">
        <is>
          <t>20260202000582</t>
        </is>
      </c>
      <c r="M190" s="8">
        <f>HYPERLINK("https://dart.fss.or.kr/dsaf001/main.do?rcpNo=20260202000582", "공시열람")</f>
        <v/>
      </c>
    </row>
    <row r="191" ht="22" customHeight="1">
      <c r="A191" s="2" t="inlineStr">
        <is>
          <t>2026-02-02 (정정: 2026-02-02)</t>
        </is>
      </c>
      <c r="B191" s="3" t="inlineStr">
        <is>
          <t>엑시큐어하이트론</t>
        </is>
      </c>
      <c r="C191" s="2" t="inlineStr">
        <is>
          <t>019490</t>
        </is>
      </c>
      <c r="D191" s="2" t="inlineStr">
        <is>
          <t>대량보유</t>
        </is>
      </c>
      <c r="E191" s="3" t="inlineStr">
        <is>
          <t>서춘원</t>
        </is>
      </c>
      <c r="F191" s="3" t="inlineStr">
        <is>
          <t>특별관계자</t>
        </is>
      </c>
      <c r="G191" s="3" t="inlineStr">
        <is>
          <t>신규보고(+)</t>
        </is>
      </c>
      <c r="H191" s="15" t="n">
        <v>41500</v>
      </c>
      <c r="I191" s="6" t="inlineStr"/>
      <c r="J191" s="6" t="n">
        <v>41500</v>
      </c>
      <c r="K191" s="16" t="n">
        <v>66</v>
      </c>
      <c r="L191" s="2" t="inlineStr">
        <is>
          <t>20260202000582</t>
        </is>
      </c>
      <c r="M191" s="8">
        <f>HYPERLINK("https://dart.fss.or.kr/dsaf001/main.do?rcpNo=20260202000582", "공시열람")</f>
        <v/>
      </c>
    </row>
    <row r="192" ht="22" customHeight="1">
      <c r="A192" s="2" t="inlineStr">
        <is>
          <t>2026-02-02 (정정: 2026-02-02)</t>
        </is>
      </c>
      <c r="B192" s="3" t="inlineStr">
        <is>
          <t>엑시큐어하이트론</t>
        </is>
      </c>
      <c r="C192" s="2" t="inlineStr">
        <is>
          <t>019490</t>
        </is>
      </c>
      <c r="D192" s="2" t="inlineStr">
        <is>
          <t>대량보유</t>
        </is>
      </c>
      <c r="E192" s="3" t="inlineStr">
        <is>
          <t>김희용</t>
        </is>
      </c>
      <c r="F192" s="3" t="inlineStr">
        <is>
          <t>특별관계자</t>
        </is>
      </c>
      <c r="G192" s="3" t="inlineStr">
        <is>
          <t>신규보고(+)</t>
        </is>
      </c>
      <c r="H192" s="15" t="n">
        <v>110000</v>
      </c>
      <c r="I192" s="6" t="inlineStr"/>
      <c r="J192" s="6" t="n">
        <v>110000</v>
      </c>
      <c r="K192" s="16" t="n">
        <v>66</v>
      </c>
      <c r="L192" s="2" t="inlineStr">
        <is>
          <t>20260202000582</t>
        </is>
      </c>
      <c r="M192" s="8">
        <f>HYPERLINK("https://dart.fss.or.kr/dsaf001/main.do?rcpNo=20260202000582", "공시열람")</f>
        <v/>
      </c>
    </row>
    <row r="193" ht="22" customHeight="1">
      <c r="A193" s="2" t="inlineStr">
        <is>
          <t>2026-02-02 (정정: 2026-02-02)</t>
        </is>
      </c>
      <c r="B193" s="3" t="inlineStr">
        <is>
          <t>엑시큐어하이트론</t>
        </is>
      </c>
      <c r="C193" s="2" t="inlineStr">
        <is>
          <t>019490</t>
        </is>
      </c>
      <c r="D193" s="2" t="inlineStr">
        <is>
          <t>대량보유</t>
        </is>
      </c>
      <c r="E193" s="3" t="inlineStr">
        <is>
          <t>조규훈</t>
        </is>
      </c>
      <c r="F193" s="3" t="inlineStr">
        <is>
          <t>특별관계자</t>
        </is>
      </c>
      <c r="G193" s="3" t="inlineStr">
        <is>
          <t>신규보고(+)</t>
        </is>
      </c>
      <c r="H193" s="15" t="n">
        <v>127401</v>
      </c>
      <c r="I193" s="6" t="inlineStr"/>
      <c r="J193" s="6" t="n">
        <v>127401</v>
      </c>
      <c r="K193" s="16" t="n">
        <v>66</v>
      </c>
      <c r="L193" s="2" t="inlineStr">
        <is>
          <t>20260202000582</t>
        </is>
      </c>
      <c r="M193" s="8">
        <f>HYPERLINK("https://dart.fss.or.kr/dsaf001/main.do?rcpNo=20260202000582", "공시열람")</f>
        <v/>
      </c>
    </row>
    <row r="194" ht="22" customHeight="1">
      <c r="A194" s="2" t="inlineStr">
        <is>
          <t>2026-02-02 (정정: 2026-02-02)</t>
        </is>
      </c>
      <c r="B194" s="3" t="inlineStr">
        <is>
          <t>엑시큐어하이트론</t>
        </is>
      </c>
      <c r="C194" s="2" t="inlineStr">
        <is>
          <t>019490</t>
        </is>
      </c>
      <c r="D194" s="2" t="inlineStr">
        <is>
          <t>대량보유</t>
        </is>
      </c>
      <c r="E194" s="3" t="inlineStr">
        <is>
          <t>이태인</t>
        </is>
      </c>
      <c r="F194" s="3" t="inlineStr">
        <is>
          <t>특별관계자</t>
        </is>
      </c>
      <c r="G194" s="3" t="inlineStr">
        <is>
          <t>신규보고(+)</t>
        </is>
      </c>
      <c r="H194" s="15" t="n">
        <v>5052</v>
      </c>
      <c r="I194" s="6" t="inlineStr"/>
      <c r="J194" s="6" t="n">
        <v>5052</v>
      </c>
      <c r="K194" s="16" t="n">
        <v>66</v>
      </c>
      <c r="L194" s="2" t="inlineStr">
        <is>
          <t>20260202000582</t>
        </is>
      </c>
      <c r="M194" s="8">
        <f>HYPERLINK("https://dart.fss.or.kr/dsaf001/main.do?rcpNo=20260202000582", "공시열람")</f>
        <v/>
      </c>
    </row>
    <row r="195" ht="22" customHeight="1">
      <c r="A195" s="2" t="inlineStr">
        <is>
          <t>2026-02-02 (정정: 2026-02-02)</t>
        </is>
      </c>
      <c r="B195" s="3" t="inlineStr">
        <is>
          <t>엑시큐어하이트론</t>
        </is>
      </c>
      <c r="C195" s="2" t="inlineStr">
        <is>
          <t>019490</t>
        </is>
      </c>
      <c r="D195" s="2" t="inlineStr">
        <is>
          <t>대량보유</t>
        </is>
      </c>
      <c r="E195" s="3" t="inlineStr">
        <is>
          <t>김서연</t>
        </is>
      </c>
      <c r="F195" s="3" t="inlineStr">
        <is>
          <t>특별관계자</t>
        </is>
      </c>
      <c r="G195" s="3" t="inlineStr">
        <is>
          <t>신규보고(+)</t>
        </is>
      </c>
      <c r="H195" s="15" t="n">
        <v>43068</v>
      </c>
      <c r="I195" s="6" t="inlineStr"/>
      <c r="J195" s="6" t="n">
        <v>43068</v>
      </c>
      <c r="K195" s="16" t="n">
        <v>66</v>
      </c>
      <c r="L195" s="2" t="inlineStr">
        <is>
          <t>20260202000582</t>
        </is>
      </c>
      <c r="M195" s="8">
        <f>HYPERLINK("https://dart.fss.or.kr/dsaf001/main.do?rcpNo=20260202000582", "공시열람")</f>
        <v/>
      </c>
    </row>
    <row r="196" ht="22" customHeight="1">
      <c r="A196" s="2" t="inlineStr">
        <is>
          <t>2026-02-02 (정정: 2026-02-02)</t>
        </is>
      </c>
      <c r="B196" s="3" t="inlineStr">
        <is>
          <t>엑시큐어하이트론</t>
        </is>
      </c>
      <c r="C196" s="2" t="inlineStr">
        <is>
          <t>019490</t>
        </is>
      </c>
      <c r="D196" s="2" t="inlineStr">
        <is>
          <t>대량보유</t>
        </is>
      </c>
      <c r="E196" s="3" t="inlineStr">
        <is>
          <t>김윤희</t>
        </is>
      </c>
      <c r="F196" s="3" t="inlineStr">
        <is>
          <t>특별관계자</t>
        </is>
      </c>
      <c r="G196" s="3" t="inlineStr">
        <is>
          <t>신규보고(+)</t>
        </is>
      </c>
      <c r="H196" s="15" t="n">
        <v>100000</v>
      </c>
      <c r="I196" s="6" t="inlineStr"/>
      <c r="J196" s="6" t="n">
        <v>100000</v>
      </c>
      <c r="K196" s="16" t="n">
        <v>66</v>
      </c>
      <c r="L196" s="2" t="inlineStr">
        <is>
          <t>20260202000582</t>
        </is>
      </c>
      <c r="M196" s="8">
        <f>HYPERLINK("https://dart.fss.or.kr/dsaf001/main.do?rcpNo=20260202000582", "공시열람")</f>
        <v/>
      </c>
    </row>
    <row r="197" ht="22" customHeight="1">
      <c r="A197" s="2" t="inlineStr">
        <is>
          <t>2026-02-02 (정정: 2026-02-02)</t>
        </is>
      </c>
      <c r="B197" s="3" t="inlineStr">
        <is>
          <t>엑시큐어하이트론</t>
        </is>
      </c>
      <c r="C197" s="2" t="inlineStr">
        <is>
          <t>019490</t>
        </is>
      </c>
      <c r="D197" s="2" t="inlineStr">
        <is>
          <t>대량보유</t>
        </is>
      </c>
      <c r="E197" s="3" t="inlineStr">
        <is>
          <t>선은규</t>
        </is>
      </c>
      <c r="F197" s="3" t="inlineStr">
        <is>
          <t>특별관계자</t>
        </is>
      </c>
      <c r="G197" s="3" t="inlineStr">
        <is>
          <t>신규보고(+)</t>
        </is>
      </c>
      <c r="H197" s="15" t="n">
        <v>61608</v>
      </c>
      <c r="I197" s="6" t="inlineStr"/>
      <c r="J197" s="6" t="n">
        <v>61608</v>
      </c>
      <c r="K197" s="16" t="n">
        <v>66</v>
      </c>
      <c r="L197" s="2" t="inlineStr">
        <is>
          <t>20260202000582</t>
        </is>
      </c>
      <c r="M197" s="8">
        <f>HYPERLINK("https://dart.fss.or.kr/dsaf001/main.do?rcpNo=20260202000582", "공시열람")</f>
        <v/>
      </c>
    </row>
    <row r="198" ht="22" customHeight="1">
      <c r="A198" s="2" t="inlineStr">
        <is>
          <t>2026-02-02 (정정: 2026-02-02)</t>
        </is>
      </c>
      <c r="B198" s="3" t="inlineStr">
        <is>
          <t>엑시큐어하이트론</t>
        </is>
      </c>
      <c r="C198" s="2" t="inlineStr">
        <is>
          <t>019490</t>
        </is>
      </c>
      <c r="D198" s="2" t="inlineStr">
        <is>
          <t>대량보유</t>
        </is>
      </c>
      <c r="E198" s="3" t="inlineStr">
        <is>
          <t>김성규</t>
        </is>
      </c>
      <c r="F198" s="3" t="inlineStr">
        <is>
          <t>특별관계자</t>
        </is>
      </c>
      <c r="G198" s="3" t="inlineStr">
        <is>
          <t>신규보고(+)</t>
        </is>
      </c>
      <c r="H198" s="15" t="n">
        <v>22272</v>
      </c>
      <c r="I198" s="6" t="inlineStr"/>
      <c r="J198" s="6" t="n">
        <v>22272</v>
      </c>
      <c r="K198" s="16" t="n">
        <v>66</v>
      </c>
      <c r="L198" s="2" t="inlineStr">
        <is>
          <t>20260202000582</t>
        </is>
      </c>
      <c r="M198" s="8">
        <f>HYPERLINK("https://dart.fss.or.kr/dsaf001/main.do?rcpNo=20260202000582", "공시열람")</f>
        <v/>
      </c>
    </row>
    <row r="199" ht="22" customHeight="1">
      <c r="A199" s="2" t="inlineStr">
        <is>
          <t>2026-02-02 (정정: 2026-02-02)</t>
        </is>
      </c>
      <c r="B199" s="3" t="inlineStr">
        <is>
          <t>엑시큐어하이트론</t>
        </is>
      </c>
      <c r="C199" s="2" t="inlineStr">
        <is>
          <t>019490</t>
        </is>
      </c>
      <c r="D199" s="2" t="inlineStr">
        <is>
          <t>대량보유</t>
        </is>
      </c>
      <c r="E199" s="3" t="inlineStr">
        <is>
          <t>배한웅</t>
        </is>
      </c>
      <c r="F199" s="3" t="inlineStr">
        <is>
          <t>특별관계자</t>
        </is>
      </c>
      <c r="G199" s="3" t="inlineStr">
        <is>
          <t>신규보고(+)</t>
        </is>
      </c>
      <c r="H199" s="15" t="n">
        <v>15028</v>
      </c>
      <c r="I199" s="6" t="inlineStr"/>
      <c r="J199" s="6" t="n">
        <v>15028</v>
      </c>
      <c r="K199" s="16" t="n">
        <v>66</v>
      </c>
      <c r="L199" s="2" t="inlineStr">
        <is>
          <t>20260202000582</t>
        </is>
      </c>
      <c r="M199" s="8">
        <f>HYPERLINK("https://dart.fss.or.kr/dsaf001/main.do?rcpNo=20260202000582", "공시열람")</f>
        <v/>
      </c>
    </row>
    <row r="200" ht="22" customHeight="1">
      <c r="A200" s="2" t="inlineStr">
        <is>
          <t>2026-02-02 (정정: 2026-02-02)</t>
        </is>
      </c>
      <c r="B200" s="3" t="inlineStr">
        <is>
          <t>엑시큐어하이트론</t>
        </is>
      </c>
      <c r="C200" s="2" t="inlineStr">
        <is>
          <t>019490</t>
        </is>
      </c>
      <c r="D200" s="2" t="inlineStr">
        <is>
          <t>대량보유</t>
        </is>
      </c>
      <c r="E200" s="3" t="inlineStr">
        <is>
          <t>심성호</t>
        </is>
      </c>
      <c r="F200" s="3" t="inlineStr">
        <is>
          <t>특별관계자</t>
        </is>
      </c>
      <c r="G200" s="3" t="inlineStr">
        <is>
          <t>신규보고(+)</t>
        </is>
      </c>
      <c r="H200" s="15" t="n">
        <v>63159</v>
      </c>
      <c r="I200" s="6" t="inlineStr"/>
      <c r="J200" s="6" t="n">
        <v>63159</v>
      </c>
      <c r="K200" s="16" t="n">
        <v>66</v>
      </c>
      <c r="L200" s="2" t="inlineStr">
        <is>
          <t>20260202000582</t>
        </is>
      </c>
      <c r="M200" s="8">
        <f>HYPERLINK("https://dart.fss.or.kr/dsaf001/main.do?rcpNo=20260202000582", "공시열람")</f>
        <v/>
      </c>
    </row>
    <row r="201" ht="22" customHeight="1">
      <c r="A201" s="2" t="inlineStr">
        <is>
          <t>2026-02-02 (정정: 2026-02-02)</t>
        </is>
      </c>
      <c r="B201" s="3" t="inlineStr">
        <is>
          <t>엑시큐어하이트론</t>
        </is>
      </c>
      <c r="C201" s="2" t="inlineStr">
        <is>
          <t>019490</t>
        </is>
      </c>
      <c r="D201" s="2" t="inlineStr">
        <is>
          <t>대량보유</t>
        </is>
      </c>
      <c r="E201" s="3" t="inlineStr">
        <is>
          <t>안태영</t>
        </is>
      </c>
      <c r="F201" s="3" t="inlineStr">
        <is>
          <t>특별관계자</t>
        </is>
      </c>
      <c r="G201" s="3" t="inlineStr">
        <is>
          <t>신규보고(+)</t>
        </is>
      </c>
      <c r="H201" s="15" t="n">
        <v>1001</v>
      </c>
      <c r="I201" s="6" t="inlineStr"/>
      <c r="J201" s="6" t="n">
        <v>1001</v>
      </c>
      <c r="K201" s="16" t="n">
        <v>66</v>
      </c>
      <c r="L201" s="2" t="inlineStr">
        <is>
          <t>20260202000582</t>
        </is>
      </c>
      <c r="M201" s="8">
        <f>HYPERLINK("https://dart.fss.or.kr/dsaf001/main.do?rcpNo=20260202000582", "공시열람")</f>
        <v/>
      </c>
    </row>
    <row r="202" ht="22" customHeight="1">
      <c r="A202" s="2" t="inlineStr">
        <is>
          <t>2026-02-02 (정정: 2026-02-02)</t>
        </is>
      </c>
      <c r="B202" s="3" t="inlineStr">
        <is>
          <t>엑시큐어하이트론</t>
        </is>
      </c>
      <c r="C202" s="2" t="inlineStr">
        <is>
          <t>019490</t>
        </is>
      </c>
      <c r="D202" s="2" t="inlineStr">
        <is>
          <t>대량보유</t>
        </is>
      </c>
      <c r="E202" s="3" t="inlineStr">
        <is>
          <t>김광호</t>
        </is>
      </c>
      <c r="F202" s="3" t="inlineStr">
        <is>
          <t>특별관계자</t>
        </is>
      </c>
      <c r="G202" s="3" t="inlineStr">
        <is>
          <t>신규보고(+)</t>
        </is>
      </c>
      <c r="H202" s="15" t="n">
        <v>1300</v>
      </c>
      <c r="I202" s="6" t="inlineStr"/>
      <c r="J202" s="6" t="n">
        <v>1300</v>
      </c>
      <c r="K202" s="16" t="n">
        <v>66</v>
      </c>
      <c r="L202" s="2" t="inlineStr">
        <is>
          <t>20260202000582</t>
        </is>
      </c>
      <c r="M202" s="8">
        <f>HYPERLINK("https://dart.fss.or.kr/dsaf001/main.do?rcpNo=20260202000582", "공시열람")</f>
        <v/>
      </c>
    </row>
    <row r="203" ht="22" customHeight="1">
      <c r="A203" s="2" t="inlineStr">
        <is>
          <t>2026-02-02 (정정: 2026-02-02)</t>
        </is>
      </c>
      <c r="B203" s="3" t="inlineStr">
        <is>
          <t>엑시큐어하이트론</t>
        </is>
      </c>
      <c r="C203" s="2" t="inlineStr">
        <is>
          <t>019490</t>
        </is>
      </c>
      <c r="D203" s="2" t="inlineStr">
        <is>
          <t>대량보유</t>
        </is>
      </c>
      <c r="E203" s="3" t="inlineStr">
        <is>
          <t>leejungyong</t>
        </is>
      </c>
      <c r="F203" s="3" t="inlineStr">
        <is>
          <t>특별관계자</t>
        </is>
      </c>
      <c r="G203" s="3" t="inlineStr">
        <is>
          <t>신규보고(+)</t>
        </is>
      </c>
      <c r="H203" s="15" t="n">
        <v>30305</v>
      </c>
      <c r="I203" s="6" t="inlineStr"/>
      <c r="J203" s="6" t="n">
        <v>30305</v>
      </c>
      <c r="K203" s="16" t="n">
        <v>66</v>
      </c>
      <c r="L203" s="2" t="inlineStr">
        <is>
          <t>20260202000582</t>
        </is>
      </c>
      <c r="M203" s="8">
        <f>HYPERLINK("https://dart.fss.or.kr/dsaf001/main.do?rcpNo=20260202000582", "공시열람")</f>
        <v/>
      </c>
    </row>
    <row r="204" ht="22" customHeight="1">
      <c r="A204" s="2" t="inlineStr">
        <is>
          <t>2026-02-02 (정정: 2026-02-02)</t>
        </is>
      </c>
      <c r="B204" s="3" t="inlineStr">
        <is>
          <t>엑시큐어하이트론</t>
        </is>
      </c>
      <c r="C204" s="2" t="inlineStr">
        <is>
          <t>019490</t>
        </is>
      </c>
      <c r="D204" s="2" t="inlineStr">
        <is>
          <t>대량보유</t>
        </is>
      </c>
      <c r="E204" s="3" t="inlineStr">
        <is>
          <t>고은하</t>
        </is>
      </c>
      <c r="F204" s="3" t="inlineStr">
        <is>
          <t>특별관계자</t>
        </is>
      </c>
      <c r="G204" s="3" t="inlineStr">
        <is>
          <t>신규보고(+)</t>
        </is>
      </c>
      <c r="H204" s="15" t="n">
        <v>2097</v>
      </c>
      <c r="I204" s="6" t="inlineStr"/>
      <c r="J204" s="6" t="n">
        <v>2097</v>
      </c>
      <c r="K204" s="16" t="n">
        <v>66</v>
      </c>
      <c r="L204" s="2" t="inlineStr">
        <is>
          <t>20260202000582</t>
        </is>
      </c>
      <c r="M204" s="8">
        <f>HYPERLINK("https://dart.fss.or.kr/dsaf001/main.do?rcpNo=20260202000582", "공시열람")</f>
        <v/>
      </c>
    </row>
    <row r="205" ht="22" customHeight="1">
      <c r="A205" s="2" t="inlineStr">
        <is>
          <t>2026-02-02 (정정: 2026-02-02)</t>
        </is>
      </c>
      <c r="B205" s="3" t="inlineStr">
        <is>
          <t>엑시큐어하이트론</t>
        </is>
      </c>
      <c r="C205" s="2" t="inlineStr">
        <is>
          <t>019490</t>
        </is>
      </c>
      <c r="D205" s="2" t="inlineStr">
        <is>
          <t>대량보유</t>
        </is>
      </c>
      <c r="E205" s="3" t="inlineStr">
        <is>
          <t>류민아</t>
        </is>
      </c>
      <c r="F205" s="3" t="inlineStr">
        <is>
          <t>특별관계자</t>
        </is>
      </c>
      <c r="G205" s="3" t="inlineStr">
        <is>
          <t>신규보고(+)</t>
        </is>
      </c>
      <c r="H205" s="15" t="n">
        <v>3501</v>
      </c>
      <c r="I205" s="6" t="inlineStr"/>
      <c r="J205" s="6" t="n">
        <v>3501</v>
      </c>
      <c r="K205" s="16" t="n">
        <v>66</v>
      </c>
      <c r="L205" s="2" t="inlineStr">
        <is>
          <t>20260202000582</t>
        </is>
      </c>
      <c r="M205" s="8">
        <f>HYPERLINK("https://dart.fss.or.kr/dsaf001/main.do?rcpNo=20260202000582", "공시열람")</f>
        <v/>
      </c>
    </row>
    <row r="206" ht="22" customHeight="1">
      <c r="A206" s="2" t="inlineStr">
        <is>
          <t>2026-02-02 (정정: 2026-02-02)</t>
        </is>
      </c>
      <c r="B206" s="3" t="inlineStr">
        <is>
          <t>엑시큐어하이트론</t>
        </is>
      </c>
      <c r="C206" s="2" t="inlineStr">
        <is>
          <t>019490</t>
        </is>
      </c>
      <c r="D206" s="2" t="inlineStr">
        <is>
          <t>대량보유</t>
        </is>
      </c>
      <c r="E206" s="3" t="inlineStr">
        <is>
          <t>김태훈</t>
        </is>
      </c>
      <c r="F206" s="3" t="inlineStr">
        <is>
          <t>특별관계자</t>
        </is>
      </c>
      <c r="G206" s="3" t="inlineStr">
        <is>
          <t>신규보고(+)</t>
        </is>
      </c>
      <c r="H206" s="15" t="n">
        <v>10267</v>
      </c>
      <c r="I206" s="6" t="inlineStr"/>
      <c r="J206" s="6" t="n">
        <v>10267</v>
      </c>
      <c r="K206" s="16" t="n">
        <v>66</v>
      </c>
      <c r="L206" s="2" t="inlineStr">
        <is>
          <t>20260202000582</t>
        </is>
      </c>
      <c r="M206" s="8">
        <f>HYPERLINK("https://dart.fss.or.kr/dsaf001/main.do?rcpNo=20260202000582", "공시열람")</f>
        <v/>
      </c>
    </row>
    <row r="207" ht="22" customHeight="1">
      <c r="A207" s="2" t="inlineStr">
        <is>
          <t>2026-02-02 (정정: 2026-02-02)</t>
        </is>
      </c>
      <c r="B207" s="3" t="inlineStr">
        <is>
          <t>엑시큐어하이트론</t>
        </is>
      </c>
      <c r="C207" s="2" t="inlineStr">
        <is>
          <t>019490</t>
        </is>
      </c>
      <c r="D207" s="2" t="inlineStr">
        <is>
          <t>대량보유</t>
        </is>
      </c>
      <c r="E207" s="3" t="inlineStr">
        <is>
          <t>조병학</t>
        </is>
      </c>
      <c r="F207" s="3" t="inlineStr">
        <is>
          <t>특별관계자</t>
        </is>
      </c>
      <c r="G207" s="3" t="inlineStr">
        <is>
          <t>신규보고(+)</t>
        </is>
      </c>
      <c r="H207" s="15" t="n">
        <v>52141</v>
      </c>
      <c r="I207" s="6" t="inlineStr"/>
      <c r="J207" s="6" t="n">
        <v>52141</v>
      </c>
      <c r="K207" s="16" t="n">
        <v>66</v>
      </c>
      <c r="L207" s="2" t="inlineStr">
        <is>
          <t>20260202000582</t>
        </is>
      </c>
      <c r="M207" s="8">
        <f>HYPERLINK("https://dart.fss.or.kr/dsaf001/main.do?rcpNo=20260202000582", "공시열람")</f>
        <v/>
      </c>
    </row>
    <row r="208" ht="22" customHeight="1">
      <c r="A208" s="2" t="inlineStr">
        <is>
          <t>2026-02-02 (정정: 2026-02-02)</t>
        </is>
      </c>
      <c r="B208" s="3" t="inlineStr">
        <is>
          <t>엑시큐어하이트론</t>
        </is>
      </c>
      <c r="C208" s="2" t="inlineStr">
        <is>
          <t>019490</t>
        </is>
      </c>
      <c r="D208" s="2" t="inlineStr">
        <is>
          <t>대량보유</t>
        </is>
      </c>
      <c r="E208" s="3" t="inlineStr">
        <is>
          <t>김성래</t>
        </is>
      </c>
      <c r="F208" s="3" t="inlineStr">
        <is>
          <t>특별관계자</t>
        </is>
      </c>
      <c r="G208" s="3" t="inlineStr">
        <is>
          <t>신규보고(+)</t>
        </is>
      </c>
      <c r="H208" s="15" t="n">
        <v>849</v>
      </c>
      <c r="I208" s="6" t="inlineStr"/>
      <c r="J208" s="6" t="n">
        <v>849</v>
      </c>
      <c r="K208" s="16" t="n">
        <v>66</v>
      </c>
      <c r="L208" s="2" t="inlineStr">
        <is>
          <t>20260202000582</t>
        </is>
      </c>
      <c r="M208" s="8">
        <f>HYPERLINK("https://dart.fss.or.kr/dsaf001/main.do?rcpNo=20260202000582", "공시열람")</f>
        <v/>
      </c>
    </row>
    <row r="209" ht="22" customHeight="1">
      <c r="A209" s="2" t="inlineStr">
        <is>
          <t>2026-02-02 (정정: 2026-02-02)</t>
        </is>
      </c>
      <c r="B209" s="3" t="inlineStr">
        <is>
          <t>엑시큐어하이트론</t>
        </is>
      </c>
      <c r="C209" s="2" t="inlineStr">
        <is>
          <t>019490</t>
        </is>
      </c>
      <c r="D209" s="2" t="inlineStr">
        <is>
          <t>대량보유</t>
        </is>
      </c>
      <c r="E209" s="3" t="inlineStr">
        <is>
          <t>오영호</t>
        </is>
      </c>
      <c r="F209" s="3" t="inlineStr">
        <is>
          <t>특별관계자</t>
        </is>
      </c>
      <c r="G209" s="3" t="inlineStr">
        <is>
          <t>신규보고(+)</t>
        </is>
      </c>
      <c r="H209" s="15" t="n">
        <v>62000</v>
      </c>
      <c r="I209" s="6" t="inlineStr"/>
      <c r="J209" s="6" t="n">
        <v>62000</v>
      </c>
      <c r="K209" s="16" t="n">
        <v>66</v>
      </c>
      <c r="L209" s="2" t="inlineStr">
        <is>
          <t>20260202000582</t>
        </is>
      </c>
      <c r="M209" s="8">
        <f>HYPERLINK("https://dart.fss.or.kr/dsaf001/main.do?rcpNo=20260202000582", "공시열람")</f>
        <v/>
      </c>
    </row>
    <row r="210" ht="22" customHeight="1">
      <c r="A210" s="2" t="inlineStr">
        <is>
          <t>2026-02-02 (정정: 2026-02-02)</t>
        </is>
      </c>
      <c r="B210" s="3" t="inlineStr">
        <is>
          <t>엑시큐어하이트론</t>
        </is>
      </c>
      <c r="C210" s="2" t="inlineStr">
        <is>
          <t>019490</t>
        </is>
      </c>
      <c r="D210" s="2" t="inlineStr">
        <is>
          <t>대량보유</t>
        </is>
      </c>
      <c r="E210" s="3" t="inlineStr">
        <is>
          <t>오종현</t>
        </is>
      </c>
      <c r="F210" s="3" t="inlineStr">
        <is>
          <t>특별관계자</t>
        </is>
      </c>
      <c r="G210" s="3" t="inlineStr">
        <is>
          <t>신규보고(+)</t>
        </is>
      </c>
      <c r="H210" s="15" t="n">
        <v>53459</v>
      </c>
      <c r="I210" s="6" t="inlineStr"/>
      <c r="J210" s="6" t="n">
        <v>53459</v>
      </c>
      <c r="K210" s="16" t="n">
        <v>66</v>
      </c>
      <c r="L210" s="2" t="inlineStr">
        <is>
          <t>20260202000582</t>
        </is>
      </c>
      <c r="M210" s="8">
        <f>HYPERLINK("https://dart.fss.or.kr/dsaf001/main.do?rcpNo=20260202000582", "공시열람")</f>
        <v/>
      </c>
    </row>
    <row r="211" ht="22" customHeight="1">
      <c r="A211" s="2" t="inlineStr">
        <is>
          <t>2026-02-02 (정정: 2026-02-02)</t>
        </is>
      </c>
      <c r="B211" s="3" t="inlineStr">
        <is>
          <t>엑시큐어하이트론</t>
        </is>
      </c>
      <c r="C211" s="2" t="inlineStr">
        <is>
          <t>019490</t>
        </is>
      </c>
      <c r="D211" s="2" t="inlineStr">
        <is>
          <t>대량보유</t>
        </is>
      </c>
      <c r="E211" s="3" t="inlineStr">
        <is>
          <t>강화석</t>
        </is>
      </c>
      <c r="F211" s="3" t="inlineStr">
        <is>
          <t>특별관계자</t>
        </is>
      </c>
      <c r="G211" s="3" t="inlineStr">
        <is>
          <t>신규보고(+)</t>
        </is>
      </c>
      <c r="H211" s="15" t="n">
        <v>7041</v>
      </c>
      <c r="I211" s="6" t="inlineStr"/>
      <c r="J211" s="6" t="n">
        <v>7041</v>
      </c>
      <c r="K211" s="16" t="n">
        <v>66</v>
      </c>
      <c r="L211" s="2" t="inlineStr">
        <is>
          <t>20260202000582</t>
        </is>
      </c>
      <c r="M211" s="8">
        <f>HYPERLINK("https://dart.fss.or.kr/dsaf001/main.do?rcpNo=20260202000582", "공시열람")</f>
        <v/>
      </c>
    </row>
    <row r="212" ht="22" customHeight="1">
      <c r="A212" s="2" t="inlineStr">
        <is>
          <t>2026-02-02 (정정: 2026-02-02)</t>
        </is>
      </c>
      <c r="B212" s="3" t="inlineStr">
        <is>
          <t>엑시큐어하이트론</t>
        </is>
      </c>
      <c r="C212" s="2" t="inlineStr">
        <is>
          <t>019490</t>
        </is>
      </c>
      <c r="D212" s="2" t="inlineStr">
        <is>
          <t>대량보유</t>
        </is>
      </c>
      <c r="E212" s="3" t="inlineStr">
        <is>
          <t>조기태</t>
        </is>
      </c>
      <c r="F212" s="3" t="inlineStr">
        <is>
          <t>특별관계자</t>
        </is>
      </c>
      <c r="G212" s="3" t="inlineStr">
        <is>
          <t>신규보고(+)</t>
        </is>
      </c>
      <c r="H212" s="15" t="n">
        <v>7598</v>
      </c>
      <c r="I212" s="6" t="inlineStr"/>
      <c r="J212" s="6" t="n">
        <v>7598</v>
      </c>
      <c r="K212" s="16" t="n">
        <v>66</v>
      </c>
      <c r="L212" s="2" t="inlineStr">
        <is>
          <t>20260202000582</t>
        </is>
      </c>
      <c r="M212" s="8">
        <f>HYPERLINK("https://dart.fss.or.kr/dsaf001/main.do?rcpNo=20260202000582", "공시열람")</f>
        <v/>
      </c>
    </row>
    <row r="213" ht="22" customHeight="1">
      <c r="A213" s="2" t="inlineStr">
        <is>
          <t>2026-02-02 (정정: 2026-02-02)</t>
        </is>
      </c>
      <c r="B213" s="3" t="inlineStr">
        <is>
          <t>엑시큐어하이트론</t>
        </is>
      </c>
      <c r="C213" s="2" t="inlineStr">
        <is>
          <t>019490</t>
        </is>
      </c>
      <c r="D213" s="2" t="inlineStr">
        <is>
          <t>대량보유</t>
        </is>
      </c>
      <c r="E213" s="3" t="inlineStr">
        <is>
          <t>장다영</t>
        </is>
      </c>
      <c r="F213" s="3" t="inlineStr">
        <is>
          <t>특별관계자</t>
        </is>
      </c>
      <c r="G213" s="3" t="inlineStr">
        <is>
          <t>신규보고(+)</t>
        </is>
      </c>
      <c r="H213" s="15" t="n">
        <v>238</v>
      </c>
      <c r="I213" s="6" t="inlineStr"/>
      <c r="J213" s="6" t="n">
        <v>238</v>
      </c>
      <c r="K213" s="16" t="n">
        <v>66</v>
      </c>
      <c r="L213" s="2" t="inlineStr">
        <is>
          <t>20260202000582</t>
        </is>
      </c>
      <c r="M213" s="8">
        <f>HYPERLINK("https://dart.fss.or.kr/dsaf001/main.do?rcpNo=20260202000582", "공시열람")</f>
        <v/>
      </c>
    </row>
    <row r="214" ht="22" customHeight="1">
      <c r="A214" s="2" t="inlineStr">
        <is>
          <t>2026-02-02 (정정: 2026-02-02)</t>
        </is>
      </c>
      <c r="B214" s="3" t="inlineStr">
        <is>
          <t>엑시큐어하이트론</t>
        </is>
      </c>
      <c r="C214" s="2" t="inlineStr">
        <is>
          <t>019490</t>
        </is>
      </c>
      <c r="D214" s="2" t="inlineStr">
        <is>
          <t>대량보유</t>
        </is>
      </c>
      <c r="E214" s="3" t="inlineStr">
        <is>
          <t>김지훈</t>
        </is>
      </c>
      <c r="F214" s="3" t="inlineStr">
        <is>
          <t>특별관계자</t>
        </is>
      </c>
      <c r="G214" s="3" t="inlineStr">
        <is>
          <t>신규보고(+)</t>
        </is>
      </c>
      <c r="H214" s="15" t="n">
        <v>6894</v>
      </c>
      <c r="I214" s="6" t="inlineStr"/>
      <c r="J214" s="6" t="n">
        <v>3447</v>
      </c>
      <c r="K214" s="16" t="n">
        <v>66</v>
      </c>
      <c r="L214" s="2" t="inlineStr">
        <is>
          <t>20260202000582</t>
        </is>
      </c>
      <c r="M214" s="8">
        <f>HYPERLINK("https://dart.fss.or.kr/dsaf001/main.do?rcpNo=20260202000582", "공시열람")</f>
        <v/>
      </c>
    </row>
    <row r="215" ht="22" customHeight="1">
      <c r="A215" s="2" t="inlineStr">
        <is>
          <t>2026-02-02 (정정: 2026-02-02)</t>
        </is>
      </c>
      <c r="B215" s="3" t="inlineStr">
        <is>
          <t>엑시큐어하이트론</t>
        </is>
      </c>
      <c r="C215" s="2" t="inlineStr">
        <is>
          <t>019490</t>
        </is>
      </c>
      <c r="D215" s="2" t="inlineStr">
        <is>
          <t>대량보유</t>
        </is>
      </c>
      <c r="E215" s="3" t="inlineStr">
        <is>
          <t>오용석</t>
        </is>
      </c>
      <c r="F215" s="3" t="inlineStr">
        <is>
          <t>특별관계자</t>
        </is>
      </c>
      <c r="G215" s="3" t="inlineStr">
        <is>
          <t>신규보고(+)</t>
        </is>
      </c>
      <c r="H215" s="15" t="n">
        <v>78553</v>
      </c>
      <c r="I215" s="6" t="inlineStr"/>
      <c r="J215" s="6" t="n">
        <v>78553</v>
      </c>
      <c r="K215" s="16" t="n">
        <v>66</v>
      </c>
      <c r="L215" s="2" t="inlineStr">
        <is>
          <t>20260202000582</t>
        </is>
      </c>
      <c r="M215" s="8">
        <f>HYPERLINK("https://dart.fss.or.kr/dsaf001/main.do?rcpNo=20260202000582", "공시열람")</f>
        <v/>
      </c>
    </row>
    <row r="216" ht="22" customHeight="1">
      <c r="A216" s="2" t="inlineStr">
        <is>
          <t>2026-02-02 (정정: 2026-02-02)</t>
        </is>
      </c>
      <c r="B216" s="3" t="inlineStr">
        <is>
          <t>엑시큐어하이트론</t>
        </is>
      </c>
      <c r="C216" s="2" t="inlineStr">
        <is>
          <t>019490</t>
        </is>
      </c>
      <c r="D216" s="2" t="inlineStr">
        <is>
          <t>대량보유</t>
        </is>
      </c>
      <c r="E216" s="3" t="inlineStr">
        <is>
          <t>김두용</t>
        </is>
      </c>
      <c r="F216" s="3" t="inlineStr">
        <is>
          <t>특별관계자</t>
        </is>
      </c>
      <c r="G216" s="3" t="inlineStr">
        <is>
          <t>신규보고(+)</t>
        </is>
      </c>
      <c r="H216" s="15" t="n">
        <v>5890</v>
      </c>
      <c r="I216" s="6" t="inlineStr"/>
      <c r="J216" s="6" t="n">
        <v>5890</v>
      </c>
      <c r="K216" s="16" t="n">
        <v>66</v>
      </c>
      <c r="L216" s="2" t="inlineStr">
        <is>
          <t>20260202000582</t>
        </is>
      </c>
      <c r="M216" s="8">
        <f>HYPERLINK("https://dart.fss.or.kr/dsaf001/main.do?rcpNo=20260202000582", "공시열람")</f>
        <v/>
      </c>
    </row>
    <row r="217" ht="22" customHeight="1">
      <c r="A217" s="2" t="inlineStr">
        <is>
          <t>2026-02-02 (정정: 2026-02-02)</t>
        </is>
      </c>
      <c r="B217" s="3" t="inlineStr">
        <is>
          <t>엑시큐어하이트론</t>
        </is>
      </c>
      <c r="C217" s="2" t="inlineStr">
        <is>
          <t>019490</t>
        </is>
      </c>
      <c r="D217" s="2" t="inlineStr">
        <is>
          <t>대량보유</t>
        </is>
      </c>
      <c r="E217" s="3" t="inlineStr">
        <is>
          <t>임건우</t>
        </is>
      </c>
      <c r="F217" s="3" t="inlineStr">
        <is>
          <t>특별관계자</t>
        </is>
      </c>
      <c r="G217" s="3" t="inlineStr">
        <is>
          <t>신규보고(+)</t>
        </is>
      </c>
      <c r="H217" s="15" t="n">
        <v>6000</v>
      </c>
      <c r="I217" s="6" t="inlineStr"/>
      <c r="J217" s="6" t="n">
        <v>6000</v>
      </c>
      <c r="K217" s="16" t="n">
        <v>66</v>
      </c>
      <c r="L217" s="2" t="inlineStr">
        <is>
          <t>20260202000582</t>
        </is>
      </c>
      <c r="M217" s="8">
        <f>HYPERLINK("https://dart.fss.or.kr/dsaf001/main.do?rcpNo=20260202000582", "공시열람")</f>
        <v/>
      </c>
    </row>
    <row r="218" ht="22" customHeight="1">
      <c r="A218" s="2" t="inlineStr">
        <is>
          <t>2026-02-02 (정정: 2026-02-02)</t>
        </is>
      </c>
      <c r="B218" s="3" t="inlineStr">
        <is>
          <t>엑시큐어하이트론</t>
        </is>
      </c>
      <c r="C218" s="2" t="inlineStr">
        <is>
          <t>019490</t>
        </is>
      </c>
      <c r="D218" s="2" t="inlineStr">
        <is>
          <t>대량보유</t>
        </is>
      </c>
      <c r="E218" s="3" t="inlineStr">
        <is>
          <t>윤우성</t>
        </is>
      </c>
      <c r="F218" s="3" t="inlineStr">
        <is>
          <t>특별관계자</t>
        </is>
      </c>
      <c r="G218" s="3" t="inlineStr">
        <is>
          <t>신규보고(+)</t>
        </is>
      </c>
      <c r="H218" s="15" t="n">
        <v>4200</v>
      </c>
      <c r="I218" s="6" t="inlineStr"/>
      <c r="J218" s="6" t="n">
        <v>4200</v>
      </c>
      <c r="K218" s="16" t="n">
        <v>66</v>
      </c>
      <c r="L218" s="2" t="inlineStr">
        <is>
          <t>20260202000582</t>
        </is>
      </c>
      <c r="M218" s="8">
        <f>HYPERLINK("https://dart.fss.or.kr/dsaf001/main.do?rcpNo=20260202000582", "공시열람")</f>
        <v/>
      </c>
    </row>
    <row r="219" ht="22" customHeight="1">
      <c r="A219" s="2" t="inlineStr">
        <is>
          <t>2026-02-02 (정정: 2026-02-02)</t>
        </is>
      </c>
      <c r="B219" s="3" t="inlineStr">
        <is>
          <t>엑시큐어하이트론</t>
        </is>
      </c>
      <c r="C219" s="2" t="inlineStr">
        <is>
          <t>019490</t>
        </is>
      </c>
      <c r="D219" s="2" t="inlineStr">
        <is>
          <t>대량보유</t>
        </is>
      </c>
      <c r="E219" s="3" t="inlineStr">
        <is>
          <t>주현진</t>
        </is>
      </c>
      <c r="F219" s="3" t="inlineStr">
        <is>
          <t>특별관계자</t>
        </is>
      </c>
      <c r="G219" s="3" t="inlineStr">
        <is>
          <t>신규보고(+)</t>
        </is>
      </c>
      <c r="H219" s="15" t="n">
        <v>88498</v>
      </c>
      <c r="I219" s="6" t="inlineStr"/>
      <c r="J219" s="6" t="n">
        <v>88498</v>
      </c>
      <c r="K219" s="16" t="n">
        <v>66</v>
      </c>
      <c r="L219" s="2" t="inlineStr">
        <is>
          <t>20260202000582</t>
        </is>
      </c>
      <c r="M219" s="8">
        <f>HYPERLINK("https://dart.fss.or.kr/dsaf001/main.do?rcpNo=20260202000582", "공시열람")</f>
        <v/>
      </c>
    </row>
    <row r="220" ht="22" customHeight="1">
      <c r="A220" s="2" t="inlineStr">
        <is>
          <t>2026-02-02 (정정: 2026-02-02)</t>
        </is>
      </c>
      <c r="B220" s="3" t="inlineStr">
        <is>
          <t>엑시큐어하이트론</t>
        </is>
      </c>
      <c r="C220" s="2" t="inlineStr">
        <is>
          <t>019490</t>
        </is>
      </c>
      <c r="D220" s="2" t="inlineStr">
        <is>
          <t>대량보유</t>
        </is>
      </c>
      <c r="E220" s="3" t="inlineStr">
        <is>
          <t>주석연</t>
        </is>
      </c>
      <c r="F220" s="3" t="inlineStr">
        <is>
          <t>특별관계자</t>
        </is>
      </c>
      <c r="G220" s="3" t="inlineStr">
        <is>
          <t>신규보고(+)</t>
        </is>
      </c>
      <c r="H220" s="15" t="n">
        <v>35000</v>
      </c>
      <c r="I220" s="6" t="inlineStr"/>
      <c r="J220" s="6" t="n">
        <v>35000</v>
      </c>
      <c r="K220" s="16" t="n">
        <v>66</v>
      </c>
      <c r="L220" s="2" t="inlineStr">
        <is>
          <t>20260202000582</t>
        </is>
      </c>
      <c r="M220" s="8">
        <f>HYPERLINK("https://dart.fss.or.kr/dsaf001/main.do?rcpNo=20260202000582", "공시열람")</f>
        <v/>
      </c>
    </row>
    <row r="221" ht="22" customHeight="1">
      <c r="A221" s="2" t="inlineStr">
        <is>
          <t>2026-02-02 (정정: 2026-02-02)</t>
        </is>
      </c>
      <c r="B221" s="3" t="inlineStr">
        <is>
          <t>엑시큐어하이트론</t>
        </is>
      </c>
      <c r="C221" s="2" t="inlineStr">
        <is>
          <t>019490</t>
        </is>
      </c>
      <c r="D221" s="2" t="inlineStr">
        <is>
          <t>대량보유</t>
        </is>
      </c>
      <c r="E221" s="3" t="inlineStr">
        <is>
          <t>백진숙</t>
        </is>
      </c>
      <c r="F221" s="3" t="inlineStr">
        <is>
          <t>특별관계자</t>
        </is>
      </c>
      <c r="G221" s="3" t="inlineStr">
        <is>
          <t>신규보고(+)</t>
        </is>
      </c>
      <c r="H221" s="15" t="n">
        <v>26673</v>
      </c>
      <c r="I221" s="6" t="inlineStr"/>
      <c r="J221" s="6" t="n">
        <v>26673</v>
      </c>
      <c r="K221" s="16" t="n">
        <v>66</v>
      </c>
      <c r="L221" s="2" t="inlineStr">
        <is>
          <t>20260202000582</t>
        </is>
      </c>
      <c r="M221" s="8">
        <f>HYPERLINK("https://dart.fss.or.kr/dsaf001/main.do?rcpNo=20260202000582", "공시열람")</f>
        <v/>
      </c>
    </row>
    <row r="222" ht="22" customHeight="1">
      <c r="A222" s="2" t="inlineStr">
        <is>
          <t>2026-02-02 (정정: 2026-02-02)</t>
        </is>
      </c>
      <c r="B222" s="3" t="inlineStr">
        <is>
          <t>엑시큐어하이트론</t>
        </is>
      </c>
      <c r="C222" s="2" t="inlineStr">
        <is>
          <t>019490</t>
        </is>
      </c>
      <c r="D222" s="2" t="inlineStr">
        <is>
          <t>대량보유</t>
        </is>
      </c>
      <c r="E222" s="3" t="inlineStr">
        <is>
          <t>현지윤</t>
        </is>
      </c>
      <c r="F222" s="3" t="inlineStr">
        <is>
          <t>특별관계자</t>
        </is>
      </c>
      <c r="G222" s="3" t="inlineStr">
        <is>
          <t>신규보고(+)</t>
        </is>
      </c>
      <c r="H222" s="15" t="n">
        <v>400</v>
      </c>
      <c r="I222" s="6" t="inlineStr"/>
      <c r="J222" s="6" t="n">
        <v>400</v>
      </c>
      <c r="K222" s="16" t="n">
        <v>66</v>
      </c>
      <c r="L222" s="2" t="inlineStr">
        <is>
          <t>20260202000582</t>
        </is>
      </c>
      <c r="M222" s="8">
        <f>HYPERLINK("https://dart.fss.or.kr/dsaf001/main.do?rcpNo=20260202000582", "공시열람")</f>
        <v/>
      </c>
    </row>
    <row r="223" ht="22" customHeight="1">
      <c r="A223" s="2" t="inlineStr">
        <is>
          <t>2026-02-02 (정정: 2026-02-02)</t>
        </is>
      </c>
      <c r="B223" s="3" t="inlineStr">
        <is>
          <t>엑시큐어하이트론</t>
        </is>
      </c>
      <c r="C223" s="2" t="inlineStr">
        <is>
          <t>019490</t>
        </is>
      </c>
      <c r="D223" s="2" t="inlineStr">
        <is>
          <t>대량보유</t>
        </is>
      </c>
      <c r="E223" s="3" t="inlineStr">
        <is>
          <t>이영규</t>
        </is>
      </c>
      <c r="F223" s="3" t="inlineStr">
        <is>
          <t>특별관계자</t>
        </is>
      </c>
      <c r="G223" s="3" t="inlineStr">
        <is>
          <t>신규보고(+)</t>
        </is>
      </c>
      <c r="H223" s="15" t="n">
        <v>292799</v>
      </c>
      <c r="I223" s="6" t="inlineStr"/>
      <c r="J223" s="6" t="n">
        <v>292799</v>
      </c>
      <c r="K223" s="16" t="n">
        <v>66</v>
      </c>
      <c r="L223" s="2" t="inlineStr">
        <is>
          <t>20260202000582</t>
        </is>
      </c>
      <c r="M223" s="8">
        <f>HYPERLINK("https://dart.fss.or.kr/dsaf001/main.do?rcpNo=20260202000582", "공시열람")</f>
        <v/>
      </c>
    </row>
    <row r="224" ht="22" customHeight="1">
      <c r="A224" s="2" t="inlineStr">
        <is>
          <t>2026-02-02 (정정: 2026-02-02)</t>
        </is>
      </c>
      <c r="B224" s="3" t="inlineStr">
        <is>
          <t>엑시큐어하이트론</t>
        </is>
      </c>
      <c r="C224" s="2" t="inlineStr">
        <is>
          <t>019490</t>
        </is>
      </c>
      <c r="D224" s="2" t="inlineStr">
        <is>
          <t>대량보유</t>
        </is>
      </c>
      <c r="E224" s="3" t="inlineStr">
        <is>
          <t>김미경</t>
        </is>
      </c>
      <c r="F224" s="3" t="inlineStr">
        <is>
          <t>특별관계자</t>
        </is>
      </c>
      <c r="G224" s="3" t="inlineStr">
        <is>
          <t>신규보고(+)</t>
        </is>
      </c>
      <c r="H224" s="15" t="n">
        <v>23386</v>
      </c>
      <c r="I224" s="6" t="inlineStr"/>
      <c r="J224" s="6" t="n">
        <v>23386</v>
      </c>
      <c r="K224" s="16" t="n">
        <v>66</v>
      </c>
      <c r="L224" s="2" t="inlineStr">
        <is>
          <t>20260202000582</t>
        </is>
      </c>
      <c r="M224" s="8">
        <f>HYPERLINK("https://dart.fss.or.kr/dsaf001/main.do?rcpNo=20260202000582", "공시열람")</f>
        <v/>
      </c>
    </row>
    <row r="225" ht="22" customHeight="1">
      <c r="A225" s="2" t="inlineStr">
        <is>
          <t>2026-02-02 (정정: 2026-02-02)</t>
        </is>
      </c>
      <c r="B225" s="3" t="inlineStr">
        <is>
          <t>엑시큐어하이트론</t>
        </is>
      </c>
      <c r="C225" s="2" t="inlineStr">
        <is>
          <t>019490</t>
        </is>
      </c>
      <c r="D225" s="2" t="inlineStr">
        <is>
          <t>대량보유</t>
        </is>
      </c>
      <c r="E225" s="3" t="inlineStr">
        <is>
          <t>권효순</t>
        </is>
      </c>
      <c r="F225" s="3" t="inlineStr">
        <is>
          <t>특별관계자</t>
        </is>
      </c>
      <c r="G225" s="3" t="inlineStr">
        <is>
          <t>신규보고(+)</t>
        </is>
      </c>
      <c r="H225" s="15" t="n">
        <v>5065</v>
      </c>
      <c r="I225" s="6" t="inlineStr"/>
      <c r="J225" s="6" t="n">
        <v>5065</v>
      </c>
      <c r="K225" s="16" t="n">
        <v>66</v>
      </c>
      <c r="L225" s="2" t="inlineStr">
        <is>
          <t>20260202000582</t>
        </is>
      </c>
      <c r="M225" s="8">
        <f>HYPERLINK("https://dart.fss.or.kr/dsaf001/main.do?rcpNo=20260202000582", "공시열람")</f>
        <v/>
      </c>
    </row>
    <row r="226" ht="22" customHeight="1">
      <c r="A226" s="2" t="inlineStr">
        <is>
          <t>2026-02-02 (정정: 2026-02-02)</t>
        </is>
      </c>
      <c r="B226" s="3" t="inlineStr">
        <is>
          <t>엑시큐어하이트론</t>
        </is>
      </c>
      <c r="C226" s="2" t="inlineStr">
        <is>
          <t>019490</t>
        </is>
      </c>
      <c r="D226" s="2" t="inlineStr">
        <is>
          <t>대량보유</t>
        </is>
      </c>
      <c r="E226" s="3" t="inlineStr">
        <is>
          <t>이태윤</t>
        </is>
      </c>
      <c r="F226" s="3" t="inlineStr">
        <is>
          <t>특별관계자</t>
        </is>
      </c>
      <c r="G226" s="3" t="inlineStr">
        <is>
          <t>신규보고(+)</t>
        </is>
      </c>
      <c r="H226" s="15" t="n">
        <v>145004</v>
      </c>
      <c r="I226" s="6" t="inlineStr"/>
      <c r="J226" s="6" t="n">
        <v>145004</v>
      </c>
      <c r="K226" s="16" t="n">
        <v>66</v>
      </c>
      <c r="L226" s="2" t="inlineStr">
        <is>
          <t>20260202000582</t>
        </is>
      </c>
      <c r="M226" s="8">
        <f>HYPERLINK("https://dart.fss.or.kr/dsaf001/main.do?rcpNo=20260202000582", "공시열람")</f>
        <v/>
      </c>
    </row>
    <row r="227" ht="22" customHeight="1">
      <c r="A227" s="2" t="inlineStr">
        <is>
          <t>2026-02-02 (정정: 2026-02-02)</t>
        </is>
      </c>
      <c r="B227" s="3" t="inlineStr">
        <is>
          <t>엑시큐어하이트론</t>
        </is>
      </c>
      <c r="C227" s="2" t="inlineStr">
        <is>
          <t>019490</t>
        </is>
      </c>
      <c r="D227" s="2" t="inlineStr">
        <is>
          <t>대량보유</t>
        </is>
      </c>
      <c r="E227" s="3" t="inlineStr">
        <is>
          <t>최하은</t>
        </is>
      </c>
      <c r="F227" s="3" t="inlineStr">
        <is>
          <t>특별관계자</t>
        </is>
      </c>
      <c r="G227" s="3" t="inlineStr">
        <is>
          <t>신규보고(+)</t>
        </is>
      </c>
      <c r="H227" s="15" t="n">
        <v>1450</v>
      </c>
      <c r="I227" s="6" t="inlineStr"/>
      <c r="J227" s="6" t="n">
        <v>1450</v>
      </c>
      <c r="K227" s="16" t="n">
        <v>66</v>
      </c>
      <c r="L227" s="2" t="inlineStr">
        <is>
          <t>20260202000582</t>
        </is>
      </c>
      <c r="M227" s="8">
        <f>HYPERLINK("https://dart.fss.or.kr/dsaf001/main.do?rcpNo=20260202000582", "공시열람")</f>
        <v/>
      </c>
    </row>
    <row r="228" ht="22" customHeight="1">
      <c r="A228" s="2" t="inlineStr">
        <is>
          <t>2026-02-02 (정정: 2026-02-02)</t>
        </is>
      </c>
      <c r="B228" s="3" t="inlineStr">
        <is>
          <t>엑시큐어하이트론</t>
        </is>
      </c>
      <c r="C228" s="2" t="inlineStr">
        <is>
          <t>019490</t>
        </is>
      </c>
      <c r="D228" s="2" t="inlineStr">
        <is>
          <t>대량보유</t>
        </is>
      </c>
      <c r="E228" s="3" t="inlineStr">
        <is>
          <t>박락호</t>
        </is>
      </c>
      <c r="F228" s="3" t="inlineStr">
        <is>
          <t>특별관계자</t>
        </is>
      </c>
      <c r="G228" s="3" t="inlineStr">
        <is>
          <t>신규보고(+)</t>
        </is>
      </c>
      <c r="H228" s="15" t="n">
        <v>42800</v>
      </c>
      <c r="I228" s="6" t="inlineStr"/>
      <c r="J228" s="6" t="n">
        <v>42800</v>
      </c>
      <c r="K228" s="16" t="n">
        <v>66</v>
      </c>
      <c r="L228" s="2" t="inlineStr">
        <is>
          <t>20260202000582</t>
        </is>
      </c>
      <c r="M228" s="8">
        <f>HYPERLINK("https://dart.fss.or.kr/dsaf001/main.do?rcpNo=20260202000582", "공시열람")</f>
        <v/>
      </c>
    </row>
    <row r="229" ht="22" customHeight="1">
      <c r="A229" s="2" t="inlineStr">
        <is>
          <t>2026-02-02 (정정: 2026-02-02)</t>
        </is>
      </c>
      <c r="B229" s="3" t="inlineStr">
        <is>
          <t>엑시큐어하이트론</t>
        </is>
      </c>
      <c r="C229" s="2" t="inlineStr">
        <is>
          <t>019490</t>
        </is>
      </c>
      <c r="D229" s="2" t="inlineStr">
        <is>
          <t>대량보유</t>
        </is>
      </c>
      <c r="E229" s="3" t="inlineStr">
        <is>
          <t>전지은</t>
        </is>
      </c>
      <c r="F229" s="3" t="inlineStr">
        <is>
          <t>특별관계자</t>
        </is>
      </c>
      <c r="G229" s="3" t="inlineStr">
        <is>
          <t>신규보고(+)</t>
        </is>
      </c>
      <c r="H229" s="15" t="n">
        <v>10500</v>
      </c>
      <c r="I229" s="6" t="inlineStr"/>
      <c r="J229" s="6" t="n">
        <v>10500</v>
      </c>
      <c r="K229" s="16" t="n">
        <v>66</v>
      </c>
      <c r="L229" s="2" t="inlineStr">
        <is>
          <t>20260202000582</t>
        </is>
      </c>
      <c r="M229" s="8">
        <f>HYPERLINK("https://dart.fss.or.kr/dsaf001/main.do?rcpNo=20260202000582", "공시열람")</f>
        <v/>
      </c>
    </row>
    <row r="230" ht="22" customHeight="1">
      <c r="A230" s="2" t="inlineStr">
        <is>
          <t>2026-02-02 (정정: 2026-02-02)</t>
        </is>
      </c>
      <c r="B230" s="3" t="inlineStr">
        <is>
          <t>엑시큐어하이트론</t>
        </is>
      </c>
      <c r="C230" s="2" t="inlineStr">
        <is>
          <t>019490</t>
        </is>
      </c>
      <c r="D230" s="2" t="inlineStr">
        <is>
          <t>대량보유</t>
        </is>
      </c>
      <c r="E230" s="3" t="inlineStr">
        <is>
          <t>이승진</t>
        </is>
      </c>
      <c r="F230" s="3" t="inlineStr">
        <is>
          <t>특별관계자</t>
        </is>
      </c>
      <c r="G230" s="3" t="inlineStr">
        <is>
          <t>신규보고(+)</t>
        </is>
      </c>
      <c r="H230" s="15" t="n">
        <v>65000</v>
      </c>
      <c r="I230" s="6" t="inlineStr"/>
      <c r="J230" s="6" t="n">
        <v>65000</v>
      </c>
      <c r="K230" s="16" t="n">
        <v>66</v>
      </c>
      <c r="L230" s="2" t="inlineStr">
        <is>
          <t>20260202000582</t>
        </is>
      </c>
      <c r="M230" s="8">
        <f>HYPERLINK("https://dart.fss.or.kr/dsaf001/main.do?rcpNo=20260202000582", "공시열람")</f>
        <v/>
      </c>
    </row>
    <row r="231" ht="22" customHeight="1">
      <c r="A231" s="2" t="inlineStr">
        <is>
          <t>2026-02-02 (정정: 2026-02-02)</t>
        </is>
      </c>
      <c r="B231" s="3" t="inlineStr">
        <is>
          <t>엑시큐어하이트론</t>
        </is>
      </c>
      <c r="C231" s="2" t="inlineStr">
        <is>
          <t>019490</t>
        </is>
      </c>
      <c r="D231" s="2" t="inlineStr">
        <is>
          <t>대량보유</t>
        </is>
      </c>
      <c r="E231" s="3" t="inlineStr">
        <is>
          <t>박철민</t>
        </is>
      </c>
      <c r="F231" s="3" t="inlineStr">
        <is>
          <t>특별관계자</t>
        </is>
      </c>
      <c r="G231" s="3" t="inlineStr">
        <is>
          <t>신규보고(+)</t>
        </is>
      </c>
      <c r="H231" s="15" t="n">
        <v>20382</v>
      </c>
      <c r="I231" s="6" t="inlineStr"/>
      <c r="J231" s="6" t="n">
        <v>20382</v>
      </c>
      <c r="K231" s="16" t="n">
        <v>66</v>
      </c>
      <c r="L231" s="2" t="inlineStr">
        <is>
          <t>20260202000582</t>
        </is>
      </c>
      <c r="M231" s="8">
        <f>HYPERLINK("https://dart.fss.or.kr/dsaf001/main.do?rcpNo=20260202000582", "공시열람")</f>
        <v/>
      </c>
    </row>
    <row r="232" ht="22" customHeight="1">
      <c r="A232" s="2" t="inlineStr">
        <is>
          <t>2026-02-02 (정정: 2026-02-02)</t>
        </is>
      </c>
      <c r="B232" s="3" t="inlineStr">
        <is>
          <t>엑시큐어하이트론</t>
        </is>
      </c>
      <c r="C232" s="2" t="inlineStr">
        <is>
          <t>019490</t>
        </is>
      </c>
      <c r="D232" s="2" t="inlineStr">
        <is>
          <t>대량보유</t>
        </is>
      </c>
      <c r="E232" s="3" t="inlineStr">
        <is>
          <t>최재식</t>
        </is>
      </c>
      <c r="F232" s="3" t="inlineStr">
        <is>
          <t>특별관계자</t>
        </is>
      </c>
      <c r="G232" s="3" t="inlineStr">
        <is>
          <t>신규보고(+)</t>
        </is>
      </c>
      <c r="H232" s="15" t="n">
        <v>50000</v>
      </c>
      <c r="I232" s="6" t="inlineStr"/>
      <c r="J232" s="6" t="n">
        <v>50000</v>
      </c>
      <c r="K232" s="16" t="n">
        <v>66</v>
      </c>
      <c r="L232" s="2" t="inlineStr">
        <is>
          <t>20260202000582</t>
        </is>
      </c>
      <c r="M232" s="8">
        <f>HYPERLINK("https://dart.fss.or.kr/dsaf001/main.do?rcpNo=20260202000582", "공시열람")</f>
        <v/>
      </c>
    </row>
    <row r="233" ht="22" customHeight="1">
      <c r="A233" s="2" t="inlineStr">
        <is>
          <t>2026-02-02 (정정: 2026-02-02)</t>
        </is>
      </c>
      <c r="B233" s="3" t="inlineStr">
        <is>
          <t>엑시큐어하이트론</t>
        </is>
      </c>
      <c r="C233" s="2" t="inlineStr">
        <is>
          <t>019490</t>
        </is>
      </c>
      <c r="D233" s="2" t="inlineStr">
        <is>
          <t>대량보유</t>
        </is>
      </c>
      <c r="E233" s="3" t="inlineStr">
        <is>
          <t>원종갑</t>
        </is>
      </c>
      <c r="F233" s="3" t="inlineStr">
        <is>
          <t>특별관계자</t>
        </is>
      </c>
      <c r="G233" s="3" t="inlineStr">
        <is>
          <t>신규보고(+)</t>
        </is>
      </c>
      <c r="H233" s="15" t="n">
        <v>72253</v>
      </c>
      <c r="I233" s="6" t="inlineStr"/>
      <c r="J233" s="6" t="n">
        <v>72253</v>
      </c>
      <c r="K233" s="16" t="n">
        <v>66</v>
      </c>
      <c r="L233" s="2" t="inlineStr">
        <is>
          <t>20260202000582</t>
        </is>
      </c>
      <c r="M233" s="8">
        <f>HYPERLINK("https://dart.fss.or.kr/dsaf001/main.do?rcpNo=20260202000582", "공시열람")</f>
        <v/>
      </c>
    </row>
    <row r="234" ht="22" customHeight="1">
      <c r="A234" s="2" t="inlineStr">
        <is>
          <t>2026-02-02 (정정: 2026-02-02)</t>
        </is>
      </c>
      <c r="B234" s="3" t="inlineStr">
        <is>
          <t>엑시큐어하이트론</t>
        </is>
      </c>
      <c r="C234" s="2" t="inlineStr">
        <is>
          <t>019490</t>
        </is>
      </c>
      <c r="D234" s="2" t="inlineStr">
        <is>
          <t>대량보유</t>
        </is>
      </c>
      <c r="E234" s="3" t="inlineStr">
        <is>
          <t>김광성</t>
        </is>
      </c>
      <c r="F234" s="3" t="inlineStr">
        <is>
          <t>특별관계자</t>
        </is>
      </c>
      <c r="G234" s="3" t="inlineStr">
        <is>
          <t>신규보고(+)</t>
        </is>
      </c>
      <c r="H234" s="15" t="n">
        <v>850</v>
      </c>
      <c r="I234" s="6" t="inlineStr"/>
      <c r="J234" s="6" t="n">
        <v>850</v>
      </c>
      <c r="K234" s="16" t="n">
        <v>66</v>
      </c>
      <c r="L234" s="2" t="inlineStr">
        <is>
          <t>20260202000582</t>
        </is>
      </c>
      <c r="M234" s="8">
        <f>HYPERLINK("https://dart.fss.or.kr/dsaf001/main.do?rcpNo=20260202000582", "공시열람")</f>
        <v/>
      </c>
    </row>
    <row r="235" ht="22" customHeight="1">
      <c r="A235" s="2" t="inlineStr">
        <is>
          <t>2026-02-02 (정정: 2026-02-02)</t>
        </is>
      </c>
      <c r="B235" s="3" t="inlineStr">
        <is>
          <t>엑시큐어하이트론</t>
        </is>
      </c>
      <c r="C235" s="2" t="inlineStr">
        <is>
          <t>019490</t>
        </is>
      </c>
      <c r="D235" s="2" t="inlineStr">
        <is>
          <t>대량보유</t>
        </is>
      </c>
      <c r="E235" s="3" t="inlineStr">
        <is>
          <t>전웅비</t>
        </is>
      </c>
      <c r="F235" s="3" t="inlineStr">
        <is>
          <t>특별관계자</t>
        </is>
      </c>
      <c r="G235" s="3" t="inlineStr">
        <is>
          <t>신규보고(+)</t>
        </is>
      </c>
      <c r="H235" s="15" t="n">
        <v>192000</v>
      </c>
      <c r="I235" s="6" t="inlineStr"/>
      <c r="J235" s="6" t="n">
        <v>192000</v>
      </c>
      <c r="K235" s="16" t="n">
        <v>66</v>
      </c>
      <c r="L235" s="2" t="inlineStr">
        <is>
          <t>20260202000582</t>
        </is>
      </c>
      <c r="M235" s="8">
        <f>HYPERLINK("https://dart.fss.or.kr/dsaf001/main.do?rcpNo=20260202000582", "공시열람")</f>
        <v/>
      </c>
    </row>
    <row r="236" ht="22" customHeight="1">
      <c r="A236" s="2" t="inlineStr">
        <is>
          <t>2026-02-02 (정정: 2026-02-02)</t>
        </is>
      </c>
      <c r="B236" s="3" t="inlineStr">
        <is>
          <t>엑시큐어하이트론</t>
        </is>
      </c>
      <c r="C236" s="2" t="inlineStr">
        <is>
          <t>019490</t>
        </is>
      </c>
      <c r="D236" s="2" t="inlineStr">
        <is>
          <t>대량보유</t>
        </is>
      </c>
      <c r="E236" s="3" t="inlineStr">
        <is>
          <t>이형권</t>
        </is>
      </c>
      <c r="F236" s="3" t="inlineStr">
        <is>
          <t>특별관계자</t>
        </is>
      </c>
      <c r="G236" s="3" t="inlineStr">
        <is>
          <t>신규보고(+)</t>
        </is>
      </c>
      <c r="H236" s="15" t="n">
        <v>20000</v>
      </c>
      <c r="I236" s="6" t="inlineStr"/>
      <c r="J236" s="6" t="n">
        <v>20000</v>
      </c>
      <c r="K236" s="16" t="n">
        <v>66</v>
      </c>
      <c r="L236" s="2" t="inlineStr">
        <is>
          <t>20260202000582</t>
        </is>
      </c>
      <c r="M236" s="8">
        <f>HYPERLINK("https://dart.fss.or.kr/dsaf001/main.do?rcpNo=20260202000582", "공시열람")</f>
        <v/>
      </c>
    </row>
    <row r="237" ht="22" customHeight="1">
      <c r="A237" s="2" t="inlineStr">
        <is>
          <t>2026-02-02 (정정: 2026-02-02)</t>
        </is>
      </c>
      <c r="B237" s="3" t="inlineStr">
        <is>
          <t>엑시큐어하이트론</t>
        </is>
      </c>
      <c r="C237" s="2" t="inlineStr">
        <is>
          <t>019490</t>
        </is>
      </c>
      <c r="D237" s="2" t="inlineStr">
        <is>
          <t>대량보유</t>
        </is>
      </c>
      <c r="E237" s="3" t="inlineStr">
        <is>
          <t>류희성</t>
        </is>
      </c>
      <c r="F237" s="3" t="inlineStr">
        <is>
          <t>특별관계자</t>
        </is>
      </c>
      <c r="G237" s="3" t="inlineStr">
        <is>
          <t>신규보고(+)</t>
        </is>
      </c>
      <c r="H237" s="15" t="n">
        <v>7464</v>
      </c>
      <c r="I237" s="6" t="inlineStr"/>
      <c r="J237" s="6" t="n">
        <v>7464</v>
      </c>
      <c r="K237" s="16" t="n">
        <v>66</v>
      </c>
      <c r="L237" s="2" t="inlineStr">
        <is>
          <t>20260202000582</t>
        </is>
      </c>
      <c r="M237" s="8">
        <f>HYPERLINK("https://dart.fss.or.kr/dsaf001/main.do?rcpNo=20260202000582", "공시열람")</f>
        <v/>
      </c>
    </row>
    <row r="238" ht="22" customHeight="1">
      <c r="A238" s="2" t="inlineStr">
        <is>
          <t>2026-02-02 (정정: 2026-02-02)</t>
        </is>
      </c>
      <c r="B238" s="3" t="inlineStr">
        <is>
          <t>엑시큐어하이트론</t>
        </is>
      </c>
      <c r="C238" s="2" t="inlineStr">
        <is>
          <t>019490</t>
        </is>
      </c>
      <c r="D238" s="2" t="inlineStr">
        <is>
          <t>대량보유</t>
        </is>
      </c>
      <c r="E238" s="3" t="inlineStr">
        <is>
          <t>이상민</t>
        </is>
      </c>
      <c r="F238" s="3" t="inlineStr">
        <is>
          <t>특별관계자</t>
        </is>
      </c>
      <c r="G238" s="3" t="inlineStr">
        <is>
          <t>신규보고(+)</t>
        </is>
      </c>
      <c r="H238" s="15" t="n">
        <v>38787</v>
      </c>
      <c r="I238" s="6" t="inlineStr"/>
      <c r="J238" s="6" t="n">
        <v>38787</v>
      </c>
      <c r="K238" s="16" t="n">
        <v>66</v>
      </c>
      <c r="L238" s="2" t="inlineStr">
        <is>
          <t>20260202000582</t>
        </is>
      </c>
      <c r="M238" s="8">
        <f>HYPERLINK("https://dart.fss.or.kr/dsaf001/main.do?rcpNo=20260202000582", "공시열람")</f>
        <v/>
      </c>
    </row>
    <row r="239" ht="22" customHeight="1">
      <c r="A239" s="2" t="inlineStr">
        <is>
          <t>2026-02-02 (정정: 2026-02-02)</t>
        </is>
      </c>
      <c r="B239" s="3" t="inlineStr">
        <is>
          <t>엑시큐어하이트론</t>
        </is>
      </c>
      <c r="C239" s="2" t="inlineStr">
        <is>
          <t>019490</t>
        </is>
      </c>
      <c r="D239" s="2" t="inlineStr">
        <is>
          <t>대량보유</t>
        </is>
      </c>
      <c r="E239" s="3" t="inlineStr">
        <is>
          <t>지현정</t>
        </is>
      </c>
      <c r="F239" s="3" t="inlineStr">
        <is>
          <t>특별관계자</t>
        </is>
      </c>
      <c r="G239" s="3" t="inlineStr">
        <is>
          <t>신규보고(+)</t>
        </is>
      </c>
      <c r="H239" s="15" t="n">
        <v>6899</v>
      </c>
      <c r="I239" s="6" t="inlineStr"/>
      <c r="J239" s="6" t="n">
        <v>6899</v>
      </c>
      <c r="K239" s="16" t="n">
        <v>66</v>
      </c>
      <c r="L239" s="2" t="inlineStr">
        <is>
          <t>20260202000582</t>
        </is>
      </c>
      <c r="M239" s="8">
        <f>HYPERLINK("https://dart.fss.or.kr/dsaf001/main.do?rcpNo=20260202000582", "공시열람")</f>
        <v/>
      </c>
    </row>
    <row r="240" ht="22" customHeight="1">
      <c r="A240" s="2" t="inlineStr">
        <is>
          <t>2026-02-02 (정정: 2026-02-02)</t>
        </is>
      </c>
      <c r="B240" s="3" t="inlineStr">
        <is>
          <t>엑시큐어하이트론</t>
        </is>
      </c>
      <c r="C240" s="2" t="inlineStr">
        <is>
          <t>019490</t>
        </is>
      </c>
      <c r="D240" s="2" t="inlineStr">
        <is>
          <t>대량보유</t>
        </is>
      </c>
      <c r="E240" s="3" t="inlineStr">
        <is>
          <t>오찬기</t>
        </is>
      </c>
      <c r="F240" s="3" t="inlineStr">
        <is>
          <t>특별관계자</t>
        </is>
      </c>
      <c r="G240" s="3" t="inlineStr">
        <is>
          <t>신규보고(+)</t>
        </is>
      </c>
      <c r="H240" s="15" t="n">
        <v>149815</v>
      </c>
      <c r="I240" s="6" t="inlineStr"/>
      <c r="J240" s="6" t="n">
        <v>149815</v>
      </c>
      <c r="K240" s="16" t="n">
        <v>66</v>
      </c>
      <c r="L240" s="2" t="inlineStr">
        <is>
          <t>20260202000582</t>
        </is>
      </c>
      <c r="M240" s="8">
        <f>HYPERLINK("https://dart.fss.or.kr/dsaf001/main.do?rcpNo=20260202000582", "공시열람")</f>
        <v/>
      </c>
    </row>
    <row r="241" ht="22" customHeight="1">
      <c r="A241" s="2" t="inlineStr">
        <is>
          <t>2026-02-02 (정정: 2026-02-02)</t>
        </is>
      </c>
      <c r="B241" s="3" t="inlineStr">
        <is>
          <t>엑시큐어하이트론</t>
        </is>
      </c>
      <c r="C241" s="2" t="inlineStr">
        <is>
          <t>019490</t>
        </is>
      </c>
      <c r="D241" s="2" t="inlineStr">
        <is>
          <t>대량보유</t>
        </is>
      </c>
      <c r="E241" s="3" t="inlineStr">
        <is>
          <t>정남철</t>
        </is>
      </c>
      <c r="F241" s="3" t="inlineStr">
        <is>
          <t>특별관계자</t>
        </is>
      </c>
      <c r="G241" s="3" t="inlineStr">
        <is>
          <t>신규보고(+)</t>
        </is>
      </c>
      <c r="H241" s="15" t="n">
        <v>221963</v>
      </c>
      <c r="I241" s="6" t="inlineStr"/>
      <c r="J241" s="6" t="n">
        <v>221963</v>
      </c>
      <c r="K241" s="16" t="n">
        <v>66</v>
      </c>
      <c r="L241" s="2" t="inlineStr">
        <is>
          <t>20260202000582</t>
        </is>
      </c>
      <c r="M241" s="8">
        <f>HYPERLINK("https://dart.fss.or.kr/dsaf001/main.do?rcpNo=20260202000582", "공시열람")</f>
        <v/>
      </c>
    </row>
    <row r="242" ht="22" customHeight="1">
      <c r="A242" s="2" t="inlineStr">
        <is>
          <t>2026-02-02 (정정: 2026-02-02)</t>
        </is>
      </c>
      <c r="B242" s="3" t="inlineStr">
        <is>
          <t>엑시큐어하이트론</t>
        </is>
      </c>
      <c r="C242" s="2" t="inlineStr">
        <is>
          <t>019490</t>
        </is>
      </c>
      <c r="D242" s="2" t="inlineStr">
        <is>
          <t>대량보유</t>
        </is>
      </c>
      <c r="E242" s="3" t="inlineStr">
        <is>
          <t>이두환</t>
        </is>
      </c>
      <c r="F242" s="3" t="inlineStr">
        <is>
          <t>특별관계자</t>
        </is>
      </c>
      <c r="G242" s="3" t="inlineStr">
        <is>
          <t>신규보고(+)</t>
        </is>
      </c>
      <c r="H242" s="15" t="n">
        <v>74000</v>
      </c>
      <c r="I242" s="6" t="inlineStr"/>
      <c r="J242" s="6" t="n">
        <v>74000</v>
      </c>
      <c r="K242" s="16" t="n">
        <v>66</v>
      </c>
      <c r="L242" s="2" t="inlineStr">
        <is>
          <t>20260202000582</t>
        </is>
      </c>
      <c r="M242" s="8">
        <f>HYPERLINK("https://dart.fss.or.kr/dsaf001/main.do?rcpNo=20260202000582", "공시열람")</f>
        <v/>
      </c>
    </row>
    <row r="243" ht="22" customHeight="1">
      <c r="A243" s="2" t="inlineStr">
        <is>
          <t>2026-02-02 (정정: 2026-02-02)</t>
        </is>
      </c>
      <c r="B243" s="3" t="inlineStr">
        <is>
          <t>엑시큐어하이트론</t>
        </is>
      </c>
      <c r="C243" s="2" t="inlineStr">
        <is>
          <t>019490</t>
        </is>
      </c>
      <c r="D243" s="2" t="inlineStr">
        <is>
          <t>대량보유</t>
        </is>
      </c>
      <c r="E243" s="3" t="inlineStr">
        <is>
          <t>유화주</t>
        </is>
      </c>
      <c r="F243" s="3" t="inlineStr">
        <is>
          <t>특별관계자</t>
        </is>
      </c>
      <c r="G243" s="3" t="inlineStr">
        <is>
          <t>신규보고(+)</t>
        </is>
      </c>
      <c r="H243" s="15" t="n">
        <v>55000</v>
      </c>
      <c r="I243" s="6" t="inlineStr"/>
      <c r="J243" s="6" t="n">
        <v>55000</v>
      </c>
      <c r="K243" s="16" t="n">
        <v>66</v>
      </c>
      <c r="L243" s="2" t="inlineStr">
        <is>
          <t>20260202000582</t>
        </is>
      </c>
      <c r="M243" s="8">
        <f>HYPERLINK("https://dart.fss.or.kr/dsaf001/main.do?rcpNo=20260202000582", "공시열람")</f>
        <v/>
      </c>
    </row>
    <row r="244" ht="22" customHeight="1">
      <c r="A244" s="2" t="inlineStr">
        <is>
          <t>2026-02-02 (정정: 2026-02-02)</t>
        </is>
      </c>
      <c r="B244" s="3" t="inlineStr">
        <is>
          <t>엑시큐어하이트론</t>
        </is>
      </c>
      <c r="C244" s="2" t="inlineStr">
        <is>
          <t>019490</t>
        </is>
      </c>
      <c r="D244" s="2" t="inlineStr">
        <is>
          <t>대량보유</t>
        </is>
      </c>
      <c r="E244" s="3" t="inlineStr">
        <is>
          <t>김성중</t>
        </is>
      </c>
      <c r="F244" s="3" t="inlineStr">
        <is>
          <t>특별관계자</t>
        </is>
      </c>
      <c r="G244" s="3" t="inlineStr">
        <is>
          <t>신규보고(+)</t>
        </is>
      </c>
      <c r="H244" s="15" t="n">
        <v>9963</v>
      </c>
      <c r="I244" s="6" t="inlineStr"/>
      <c r="J244" s="6" t="n">
        <v>9963</v>
      </c>
      <c r="K244" s="16" t="n">
        <v>66</v>
      </c>
      <c r="L244" s="2" t="inlineStr">
        <is>
          <t>20260202000582</t>
        </is>
      </c>
      <c r="M244" s="8">
        <f>HYPERLINK("https://dart.fss.or.kr/dsaf001/main.do?rcpNo=20260202000582", "공시열람")</f>
        <v/>
      </c>
    </row>
    <row r="245" ht="22" customHeight="1">
      <c r="A245" s="2" t="inlineStr">
        <is>
          <t>2026-02-02 (정정: 2026-02-02)</t>
        </is>
      </c>
      <c r="B245" s="3" t="inlineStr">
        <is>
          <t>엑시큐어하이트론</t>
        </is>
      </c>
      <c r="C245" s="2" t="inlineStr">
        <is>
          <t>019490</t>
        </is>
      </c>
      <c r="D245" s="2" t="inlineStr">
        <is>
          <t>대량보유</t>
        </is>
      </c>
      <c r="E245" s="3" t="inlineStr">
        <is>
          <t>박준호</t>
        </is>
      </c>
      <c r="F245" s="3" t="inlineStr">
        <is>
          <t>특별관계자</t>
        </is>
      </c>
      <c r="G245" s="3" t="inlineStr">
        <is>
          <t>신규보고(+)</t>
        </is>
      </c>
      <c r="H245" s="15" t="n">
        <v>52065</v>
      </c>
      <c r="I245" s="6" t="inlineStr"/>
      <c r="J245" s="6" t="n">
        <v>52065</v>
      </c>
      <c r="K245" s="16" t="n">
        <v>66</v>
      </c>
      <c r="L245" s="2" t="inlineStr">
        <is>
          <t>20260202000582</t>
        </is>
      </c>
      <c r="M245" s="8">
        <f>HYPERLINK("https://dart.fss.or.kr/dsaf001/main.do?rcpNo=20260202000582", "공시열람")</f>
        <v/>
      </c>
    </row>
    <row r="246" ht="22" customHeight="1">
      <c r="A246" s="2" t="inlineStr">
        <is>
          <t>2026-02-02 (정정: 2026-02-02)</t>
        </is>
      </c>
      <c r="B246" s="3" t="inlineStr">
        <is>
          <t>엑시큐어하이트론</t>
        </is>
      </c>
      <c r="C246" s="2" t="inlineStr">
        <is>
          <t>019490</t>
        </is>
      </c>
      <c r="D246" s="2" t="inlineStr">
        <is>
          <t>대량보유</t>
        </is>
      </c>
      <c r="E246" s="3" t="inlineStr">
        <is>
          <t>김지영</t>
        </is>
      </c>
      <c r="F246" s="3" t="inlineStr">
        <is>
          <t>특별관계자</t>
        </is>
      </c>
      <c r="G246" s="3" t="inlineStr">
        <is>
          <t>신규보고(+)</t>
        </is>
      </c>
      <c r="H246" s="15" t="n">
        <v>3800</v>
      </c>
      <c r="I246" s="6" t="inlineStr"/>
      <c r="J246" s="6" t="n">
        <v>3800</v>
      </c>
      <c r="K246" s="16" t="n">
        <v>66</v>
      </c>
      <c r="L246" s="2" t="inlineStr">
        <is>
          <t>20260202000582</t>
        </is>
      </c>
      <c r="M246" s="8">
        <f>HYPERLINK("https://dart.fss.or.kr/dsaf001/main.do?rcpNo=20260202000582", "공시열람")</f>
        <v/>
      </c>
    </row>
    <row r="247" ht="22" customHeight="1">
      <c r="A247" s="2" t="inlineStr">
        <is>
          <t>2026-02-02 (정정: 2026-02-02)</t>
        </is>
      </c>
      <c r="B247" s="3" t="inlineStr">
        <is>
          <t>엑시큐어하이트론</t>
        </is>
      </c>
      <c r="C247" s="2" t="inlineStr">
        <is>
          <t>019490</t>
        </is>
      </c>
      <c r="D247" s="2" t="inlineStr">
        <is>
          <t>대량보유</t>
        </is>
      </c>
      <c r="E247" s="3" t="inlineStr">
        <is>
          <t>김진배</t>
        </is>
      </c>
      <c r="F247" s="3" t="inlineStr">
        <is>
          <t>특별관계자</t>
        </is>
      </c>
      <c r="G247" s="3" t="inlineStr">
        <is>
          <t>신규보고(+)</t>
        </is>
      </c>
      <c r="H247" s="15" t="n">
        <v>141425</v>
      </c>
      <c r="I247" s="6" t="inlineStr"/>
      <c r="J247" s="6" t="n">
        <v>141425</v>
      </c>
      <c r="K247" s="16" t="n">
        <v>66</v>
      </c>
      <c r="L247" s="2" t="inlineStr">
        <is>
          <t>20260202000582</t>
        </is>
      </c>
      <c r="M247" s="8">
        <f>HYPERLINK("https://dart.fss.or.kr/dsaf001/main.do?rcpNo=20260202000582", "공시열람")</f>
        <v/>
      </c>
    </row>
    <row r="248" ht="22" customHeight="1">
      <c r="A248" s="2" t="inlineStr">
        <is>
          <t>2026-02-02 (정정: 2026-03-04)</t>
        </is>
      </c>
      <c r="B248" s="3" t="inlineStr">
        <is>
          <t>태웅로직스</t>
        </is>
      </c>
      <c r="C248" s="2" t="inlineStr">
        <is>
          <t>124560</t>
        </is>
      </c>
      <c r="D248" s="2" t="inlineStr">
        <is>
          <t>대량보유</t>
        </is>
      </c>
      <c r="E248" s="3" t="inlineStr">
        <is>
          <t>-</t>
        </is>
      </c>
      <c r="F248" s="3" t="inlineStr">
        <is>
          <t>보고자</t>
        </is>
      </c>
      <c r="G248" s="3" t="inlineStr">
        <is>
          <t>-</t>
        </is>
      </c>
      <c r="H248" s="6" t="inlineStr"/>
      <c r="I248" s="6" t="inlineStr"/>
      <c r="J248" s="6" t="inlineStr"/>
      <c r="K248" s="18" t="inlineStr"/>
      <c r="L248" s="2" t="inlineStr">
        <is>
          <t>20260304901676</t>
        </is>
      </c>
      <c r="M248" s="8">
        <f>HYPERLINK("https://dart.fss.or.kr/dsaf001/main.do?rcpNo=20260304901676", "공시열람")</f>
        <v/>
      </c>
    </row>
    <row r="249" ht="22" customHeight="1">
      <c r="A249" s="2" t="inlineStr">
        <is>
          <t>2026-02-02</t>
        </is>
      </c>
      <c r="B249" s="3" t="inlineStr">
        <is>
          <t>티엘엔지니어링</t>
        </is>
      </c>
      <c r="C249" s="2" t="inlineStr">
        <is>
          <t>413300</t>
        </is>
      </c>
      <c r="D249" s="2" t="inlineStr">
        <is>
          <t>대량보유</t>
        </is>
      </c>
      <c r="E249" s="3" t="inlineStr">
        <is>
          <t>서재훈</t>
        </is>
      </c>
      <c r="F249" s="3" t="inlineStr">
        <is>
          <t>특별관계자</t>
        </is>
      </c>
      <c r="G249" s="3" t="inlineStr">
        <is>
          <t>증여(-)</t>
        </is>
      </c>
      <c r="H249" s="17" t="n">
        <v>-3499</v>
      </c>
      <c r="I249" s="6" t="inlineStr"/>
      <c r="J249" s="6" t="inlineStr"/>
      <c r="K249" s="16" t="n">
        <v>8</v>
      </c>
      <c r="L249" s="2" t="inlineStr">
        <is>
          <t>20260202000426</t>
        </is>
      </c>
      <c r="M249" s="8">
        <f>HYPERLINK("https://dart.fss.or.kr/dsaf001/main.do?rcpNo=20260202000426", "공시열람")</f>
        <v/>
      </c>
    </row>
    <row r="250" ht="22" customHeight="1">
      <c r="A250" s="2" t="inlineStr">
        <is>
          <t>2026-02-02</t>
        </is>
      </c>
      <c r="B250" s="3" t="inlineStr">
        <is>
          <t>남선알미늄</t>
        </is>
      </c>
      <c r="C250" s="2" t="inlineStr">
        <is>
          <t>008350</t>
        </is>
      </c>
      <c r="D250" s="2" t="inlineStr">
        <is>
          <t>대량보유</t>
        </is>
      </c>
      <c r="E250" s="3" t="inlineStr">
        <is>
          <t>(주)삼라</t>
        </is>
      </c>
      <c r="F250" s="3" t="inlineStr">
        <is>
          <t>보고자</t>
        </is>
      </c>
      <c r="G250" s="3" t="inlineStr">
        <is>
          <t>보고자 본인 (주)삼라의 계약(주식 담보대출 차입 연장)</t>
        </is>
      </c>
      <c r="H250" s="6" t="inlineStr"/>
      <c r="I250" s="6" t="inlineStr"/>
      <c r="J250" s="6" t="n">
        <v>38821497</v>
      </c>
      <c r="K250" s="16" t="n">
        <v>30</v>
      </c>
      <c r="L250" s="2" t="inlineStr">
        <is>
          <t>20260202000395</t>
        </is>
      </c>
      <c r="M250" s="8">
        <f>HYPERLINK("https://dart.fss.or.kr/dsaf001/main.do?rcpNo=20260202000395", "공시열람")</f>
        <v/>
      </c>
    </row>
    <row r="251" ht="22" customHeight="1">
      <c r="A251" s="2" t="inlineStr">
        <is>
          <t>2026-02-02</t>
        </is>
      </c>
      <c r="B251" s="3" t="inlineStr">
        <is>
          <t>삼성전기</t>
        </is>
      </c>
      <c r="C251" s="2" t="inlineStr">
        <is>
          <t>009150</t>
        </is>
      </c>
      <c r="D251" s="2" t="inlineStr">
        <is>
          <t>임원보고</t>
        </is>
      </c>
      <c r="E251" s="3" t="inlineStr">
        <is>
          <t>-</t>
        </is>
      </c>
      <c r="F251" s="3" t="inlineStr">
        <is>
          <t>-</t>
        </is>
      </c>
      <c r="G251" s="3" t="inlineStr">
        <is>
          <t>-</t>
        </is>
      </c>
      <c r="H251" s="6" t="inlineStr"/>
      <c r="I251" s="6" t="inlineStr"/>
      <c r="J251" s="6" t="inlineStr"/>
      <c r="K251" s="16" t="n">
        <v>12</v>
      </c>
      <c r="L251" s="2" t="inlineStr">
        <is>
          <t>20260202800726</t>
        </is>
      </c>
      <c r="M251" s="8">
        <f>HYPERLINK("https://dart.fss.or.kr/dsaf001/main.do?rcpNo=20260202800726", "공시열람")</f>
        <v/>
      </c>
    </row>
    <row r="252" ht="22" customHeight="1">
      <c r="A252" s="2" t="inlineStr">
        <is>
          <t>2026-02-02</t>
        </is>
      </c>
      <c r="B252" s="3" t="inlineStr">
        <is>
          <t>케이엠제약</t>
        </is>
      </c>
      <c r="C252" s="2" t="inlineStr">
        <is>
          <t>225430</t>
        </is>
      </c>
      <c r="D252" s="2" t="inlineStr">
        <is>
          <t>대량보유</t>
        </is>
      </c>
      <c r="E252" s="3" t="inlineStr">
        <is>
          <t>황민영</t>
        </is>
      </c>
      <c r="F252" s="3" t="inlineStr">
        <is>
          <t>특별관계자</t>
        </is>
      </c>
      <c r="G252" s="3" t="inlineStr">
        <is>
          <t>장내매수(+)</t>
        </is>
      </c>
      <c r="H252" s="15" t="n">
        <v>4138</v>
      </c>
      <c r="I252" s="6" t="n">
        <v>536</v>
      </c>
      <c r="J252" s="6" t="n">
        <v>3946</v>
      </c>
      <c r="K252" s="16" t="n">
        <v>4</v>
      </c>
      <c r="L252" s="2" t="inlineStr">
        <is>
          <t>20260202000282</t>
        </is>
      </c>
      <c r="M252" s="8">
        <f>HYPERLINK("https://dart.fss.or.kr/dsaf001/main.do?rcpNo=20260202000282", "공시열람")</f>
        <v/>
      </c>
    </row>
    <row r="253" ht="22" customHeight="1">
      <c r="A253" s="2" t="inlineStr">
        <is>
          <t>2026-02-02</t>
        </is>
      </c>
      <c r="B253" s="3" t="inlineStr">
        <is>
          <t>케이엠제약</t>
        </is>
      </c>
      <c r="C253" s="2" t="inlineStr">
        <is>
          <t>225430</t>
        </is>
      </c>
      <c r="D253" s="2" t="inlineStr">
        <is>
          <t>대량보유</t>
        </is>
      </c>
      <c r="E253" s="3" t="inlineStr">
        <is>
          <t>임영애</t>
        </is>
      </c>
      <c r="F253" s="3" t="inlineStr">
        <is>
          <t>특별관계자</t>
        </is>
      </c>
      <c r="G253" s="3" t="inlineStr">
        <is>
          <t>장내매수(+)</t>
        </is>
      </c>
      <c r="H253" s="15" t="n">
        <v>2635</v>
      </c>
      <c r="I253" s="6" t="n">
        <v>532</v>
      </c>
      <c r="J253" s="6" t="n">
        <v>2635</v>
      </c>
      <c r="K253" s="16" t="n">
        <v>4</v>
      </c>
      <c r="L253" s="2" t="inlineStr">
        <is>
          <t>20260202000282</t>
        </is>
      </c>
      <c r="M253" s="8">
        <f>HYPERLINK("https://dart.fss.or.kr/dsaf001/main.do?rcpNo=20260202000282", "공시열람")</f>
        <v/>
      </c>
    </row>
    <row r="254" ht="22" customHeight="1">
      <c r="A254" s="2" t="inlineStr">
        <is>
          <t>2026-02-02</t>
        </is>
      </c>
      <c r="B254" s="3" t="inlineStr">
        <is>
          <t>미원상사</t>
        </is>
      </c>
      <c r="C254" s="2" t="inlineStr">
        <is>
          <t>002840</t>
        </is>
      </c>
      <c r="D254" s="2" t="inlineStr">
        <is>
          <t>임원보고</t>
        </is>
      </c>
      <c r="E254" s="3" t="inlineStr">
        <is>
          <t>-</t>
        </is>
      </c>
      <c r="F254" s="3" t="inlineStr">
        <is>
          <t>-</t>
        </is>
      </c>
      <c r="G254" s="3" t="inlineStr">
        <is>
          <t>-</t>
        </is>
      </c>
      <c r="H254" s="6" t="inlineStr"/>
      <c r="I254" s="6" t="inlineStr"/>
      <c r="J254" s="6" t="inlineStr"/>
      <c r="K254" s="16" t="n">
        <v>12</v>
      </c>
      <c r="L254" s="2" t="inlineStr">
        <is>
          <t>20260202800498</t>
        </is>
      </c>
      <c r="M254" s="8">
        <f>HYPERLINK("https://dart.fss.or.kr/dsaf001/main.do?rcpNo=20260202800498", "공시열람")</f>
        <v/>
      </c>
    </row>
    <row r="255" ht="22" customHeight="1">
      <c r="A255" s="2" t="inlineStr">
        <is>
          <t>2026-02-02</t>
        </is>
      </c>
      <c r="B255" s="3" t="inlineStr">
        <is>
          <t>코나솔</t>
        </is>
      </c>
      <c r="C255" s="2" t="inlineStr">
        <is>
          <t>176590</t>
        </is>
      </c>
      <c r="D255" s="2" t="inlineStr">
        <is>
          <t>대량보유</t>
        </is>
      </c>
      <c r="E255" s="3" t="inlineStr">
        <is>
          <t>조영화</t>
        </is>
      </c>
      <c r="F255" s="3" t="inlineStr">
        <is>
          <t>특별관계자</t>
        </is>
      </c>
      <c r="G255" s="3" t="inlineStr">
        <is>
          <t>장내매수(+)</t>
        </is>
      </c>
      <c r="H255" s="15" t="n">
        <v>22587</v>
      </c>
      <c r="I255" s="6" t="n">
        <v>3467</v>
      </c>
      <c r="J255" s="6" t="n">
        <v>422587</v>
      </c>
      <c r="K255" s="16" t="n">
        <v>6</v>
      </c>
      <c r="L255" s="2" t="inlineStr">
        <is>
          <t>20260202000178</t>
        </is>
      </c>
      <c r="M255" s="8">
        <f>HYPERLINK("https://dart.fss.or.kr/dsaf001/main.do?rcpNo=20260202000178", "공시열람")</f>
        <v/>
      </c>
    </row>
    <row r="256" ht="22" customHeight="1">
      <c r="A256" s="2" t="inlineStr">
        <is>
          <t>2026-02-02</t>
        </is>
      </c>
      <c r="B256" s="3" t="inlineStr">
        <is>
          <t>선진뷰티사이언스</t>
        </is>
      </c>
      <c r="C256" s="2" t="inlineStr">
        <is>
          <t>086710</t>
        </is>
      </c>
      <c r="D256" s="2" t="inlineStr">
        <is>
          <t>대량보유</t>
        </is>
      </c>
      <c r="E256" s="3" t="inlineStr">
        <is>
          <t>이성호</t>
        </is>
      </c>
      <c r="F256" s="3" t="inlineStr">
        <is>
          <t>특별관계자</t>
        </is>
      </c>
      <c r="G256" s="3" t="inlineStr">
        <is>
          <t>증여(-)</t>
        </is>
      </c>
      <c r="H256" s="17" t="n">
        <v>-542500</v>
      </c>
      <c r="I256" s="6" t="inlineStr"/>
      <c r="J256" s="6" t="n">
        <v>4626520</v>
      </c>
      <c r="K256" s="16" t="n">
        <v>11</v>
      </c>
      <c r="L256" s="2" t="inlineStr">
        <is>
          <t>20260202000174</t>
        </is>
      </c>
      <c r="M256" s="8">
        <f>HYPERLINK("https://dart.fss.or.kr/dsaf001/main.do?rcpNo=20260202000174", "공시열람")</f>
        <v/>
      </c>
    </row>
    <row r="257" ht="22" customHeight="1">
      <c r="A257" s="2" t="inlineStr">
        <is>
          <t>2026-02-02</t>
        </is>
      </c>
      <c r="B257" s="3" t="inlineStr">
        <is>
          <t>선진뷰티사이언스</t>
        </is>
      </c>
      <c r="C257" s="2" t="inlineStr">
        <is>
          <t>086710</t>
        </is>
      </c>
      <c r="D257" s="2" t="inlineStr">
        <is>
          <t>대량보유</t>
        </is>
      </c>
      <c r="E257" s="3" t="inlineStr">
        <is>
          <t>이선진</t>
        </is>
      </c>
      <c r="F257" s="3" t="inlineStr">
        <is>
          <t>특별관계자</t>
        </is>
      </c>
      <c r="G257" s="3" t="inlineStr">
        <is>
          <t>수증(+)</t>
        </is>
      </c>
      <c r="H257" s="15" t="n">
        <v>77500</v>
      </c>
      <c r="I257" s="6" t="inlineStr"/>
      <c r="J257" s="6" t="n">
        <v>573460</v>
      </c>
      <c r="K257" s="16" t="n">
        <v>11</v>
      </c>
      <c r="L257" s="2" t="inlineStr">
        <is>
          <t>20260202000174</t>
        </is>
      </c>
      <c r="M257" s="8">
        <f>HYPERLINK("https://dart.fss.or.kr/dsaf001/main.do?rcpNo=20260202000174", "공시열람")</f>
        <v/>
      </c>
    </row>
    <row r="258" ht="22" customHeight="1">
      <c r="A258" s="2" t="inlineStr">
        <is>
          <t>2026-02-02</t>
        </is>
      </c>
      <c r="B258" s="3" t="inlineStr">
        <is>
          <t>선진뷰티사이언스</t>
        </is>
      </c>
      <c r="C258" s="2" t="inlineStr">
        <is>
          <t>086710</t>
        </is>
      </c>
      <c r="D258" s="2" t="inlineStr">
        <is>
          <t>대량보유</t>
        </is>
      </c>
      <c r="E258" s="3" t="inlineStr">
        <is>
          <t>이제휘</t>
        </is>
      </c>
      <c r="F258" s="3" t="inlineStr">
        <is>
          <t>특별관계자</t>
        </is>
      </c>
      <c r="G258" s="3" t="inlineStr">
        <is>
          <t>수증(+)</t>
        </is>
      </c>
      <c r="H258" s="15" t="n">
        <v>77500</v>
      </c>
      <c r="I258" s="6" t="inlineStr"/>
      <c r="J258" s="6" t="n">
        <v>118300</v>
      </c>
      <c r="K258" s="16" t="n">
        <v>11</v>
      </c>
      <c r="L258" s="2" t="inlineStr">
        <is>
          <t>20260202000174</t>
        </is>
      </c>
      <c r="M258" s="8">
        <f>HYPERLINK("https://dart.fss.or.kr/dsaf001/main.do?rcpNo=20260202000174", "공시열람")</f>
        <v/>
      </c>
    </row>
    <row r="259" ht="22" customHeight="1">
      <c r="A259" s="2" t="inlineStr">
        <is>
          <t>2026-02-02</t>
        </is>
      </c>
      <c r="B259" s="3" t="inlineStr">
        <is>
          <t>선진뷰티사이언스</t>
        </is>
      </c>
      <c r="C259" s="2" t="inlineStr">
        <is>
          <t>086710</t>
        </is>
      </c>
      <c r="D259" s="2" t="inlineStr">
        <is>
          <t>대량보유</t>
        </is>
      </c>
      <c r="E259" s="3" t="inlineStr">
        <is>
          <t>이찬휘</t>
        </is>
      </c>
      <c r="F259" s="3" t="inlineStr">
        <is>
          <t>특별관계자</t>
        </is>
      </c>
      <c r="G259" s="3" t="inlineStr">
        <is>
          <t>수증(+)</t>
        </is>
      </c>
      <c r="H259" s="15" t="n">
        <v>77500</v>
      </c>
      <c r="I259" s="6" t="inlineStr"/>
      <c r="J259" s="6" t="n">
        <v>118300</v>
      </c>
      <c r="K259" s="16" t="n">
        <v>11</v>
      </c>
      <c r="L259" s="2" t="inlineStr">
        <is>
          <t>20260202000174</t>
        </is>
      </c>
      <c r="M259" s="8">
        <f>HYPERLINK("https://dart.fss.or.kr/dsaf001/main.do?rcpNo=20260202000174", "공시열람")</f>
        <v/>
      </c>
    </row>
    <row r="260" ht="22" customHeight="1">
      <c r="A260" s="2" t="inlineStr">
        <is>
          <t>2026-02-02</t>
        </is>
      </c>
      <c r="B260" s="3" t="inlineStr">
        <is>
          <t>선진뷰티사이언스</t>
        </is>
      </c>
      <c r="C260" s="2" t="inlineStr">
        <is>
          <t>086710</t>
        </is>
      </c>
      <c r="D260" s="2" t="inlineStr">
        <is>
          <t>대량보유</t>
        </is>
      </c>
      <c r="E260" s="3" t="inlineStr">
        <is>
          <t>이호준</t>
        </is>
      </c>
      <c r="F260" s="3" t="inlineStr">
        <is>
          <t>특별관계자</t>
        </is>
      </c>
      <c r="G260" s="3" t="inlineStr">
        <is>
          <t>수증(+)</t>
        </is>
      </c>
      <c r="H260" s="15" t="n">
        <v>77500</v>
      </c>
      <c r="I260" s="6" t="inlineStr"/>
      <c r="J260" s="6" t="n">
        <v>118300</v>
      </c>
      <c r="K260" s="16" t="n">
        <v>11</v>
      </c>
      <c r="L260" s="2" t="inlineStr">
        <is>
          <t>20260202000174</t>
        </is>
      </c>
      <c r="M260" s="8">
        <f>HYPERLINK("https://dart.fss.or.kr/dsaf001/main.do?rcpNo=20260202000174", "공시열람")</f>
        <v/>
      </c>
    </row>
    <row r="261" ht="22" customHeight="1">
      <c r="A261" s="2" t="inlineStr">
        <is>
          <t>2026-02-02</t>
        </is>
      </c>
      <c r="B261" s="3" t="inlineStr">
        <is>
          <t>선진뷰티사이언스</t>
        </is>
      </c>
      <c r="C261" s="2" t="inlineStr">
        <is>
          <t>086710</t>
        </is>
      </c>
      <c r="D261" s="2" t="inlineStr">
        <is>
          <t>대량보유</t>
        </is>
      </c>
      <c r="E261" s="3" t="inlineStr">
        <is>
          <t>이호범</t>
        </is>
      </c>
      <c r="F261" s="3" t="inlineStr">
        <is>
          <t>특별관계자</t>
        </is>
      </c>
      <c r="G261" s="3" t="inlineStr">
        <is>
          <t>수증(+)</t>
        </is>
      </c>
      <c r="H261" s="15" t="n">
        <v>77500</v>
      </c>
      <c r="I261" s="6" t="inlineStr"/>
      <c r="J261" s="6" t="n">
        <v>118300</v>
      </c>
      <c r="K261" s="16" t="n">
        <v>11</v>
      </c>
      <c r="L261" s="2" t="inlineStr">
        <is>
          <t>20260202000174</t>
        </is>
      </c>
      <c r="M261" s="8">
        <f>HYPERLINK("https://dart.fss.or.kr/dsaf001/main.do?rcpNo=20260202000174", "공시열람")</f>
        <v/>
      </c>
    </row>
    <row r="262" ht="22" customHeight="1">
      <c r="A262" s="2" t="inlineStr">
        <is>
          <t>2026-02-02</t>
        </is>
      </c>
      <c r="B262" s="3" t="inlineStr">
        <is>
          <t>선진뷰티사이언스</t>
        </is>
      </c>
      <c r="C262" s="2" t="inlineStr">
        <is>
          <t>086710</t>
        </is>
      </c>
      <c r="D262" s="2" t="inlineStr">
        <is>
          <t>대량보유</t>
        </is>
      </c>
      <c r="E262" s="3" t="inlineStr">
        <is>
          <t>오영주</t>
        </is>
      </c>
      <c r="F262" s="3" t="inlineStr">
        <is>
          <t>특별관계자</t>
        </is>
      </c>
      <c r="G262" s="3" t="inlineStr">
        <is>
          <t>수증(+)</t>
        </is>
      </c>
      <c r="H262" s="15" t="n">
        <v>77500</v>
      </c>
      <c r="I262" s="6" t="inlineStr"/>
      <c r="J262" s="6" t="n">
        <v>91100</v>
      </c>
      <c r="K262" s="16" t="n">
        <v>11</v>
      </c>
      <c r="L262" s="2" t="inlineStr">
        <is>
          <t>20260202000174</t>
        </is>
      </c>
      <c r="M262" s="8">
        <f>HYPERLINK("https://dart.fss.or.kr/dsaf001/main.do?rcpNo=20260202000174", "공시열람")</f>
        <v/>
      </c>
    </row>
    <row r="263" ht="22" customHeight="1">
      <c r="A263" s="2" t="inlineStr">
        <is>
          <t>2026-02-02</t>
        </is>
      </c>
      <c r="B263" s="3" t="inlineStr">
        <is>
          <t>선진뷰티사이언스</t>
        </is>
      </c>
      <c r="C263" s="2" t="inlineStr">
        <is>
          <t>086710</t>
        </is>
      </c>
      <c r="D263" s="2" t="inlineStr">
        <is>
          <t>대량보유</t>
        </is>
      </c>
      <c r="E263" s="3" t="inlineStr">
        <is>
          <t>현정혜</t>
        </is>
      </c>
      <c r="F263" s="3" t="inlineStr">
        <is>
          <t>특별관계자</t>
        </is>
      </c>
      <c r="G263" s="3" t="inlineStr">
        <is>
          <t>수증(+)</t>
        </is>
      </c>
      <c r="H263" s="15" t="n">
        <v>77500</v>
      </c>
      <c r="I263" s="6" t="inlineStr"/>
      <c r="J263" s="6" t="n">
        <v>81580</v>
      </c>
      <c r="K263" s="16" t="n">
        <v>11</v>
      </c>
      <c r="L263" s="2" t="inlineStr">
        <is>
          <t>20260202000174</t>
        </is>
      </c>
      <c r="M263" s="8">
        <f>HYPERLINK("https://dart.fss.or.kr/dsaf001/main.do?rcpNo=20260202000174", "공시열람")</f>
        <v/>
      </c>
    </row>
    <row r="264" ht="22" customHeight="1">
      <c r="A264" s="2" t="inlineStr">
        <is>
          <t>2026-02-02</t>
        </is>
      </c>
      <c r="B264" s="3" t="inlineStr">
        <is>
          <t>아이티센엔텍</t>
        </is>
      </c>
      <c r="C264" s="2" t="inlineStr">
        <is>
          <t>010280</t>
        </is>
      </c>
      <c r="D264" s="2" t="inlineStr">
        <is>
          <t>대량보유</t>
        </is>
      </c>
      <c r="E264" s="3" t="inlineStr">
        <is>
          <t>이경일</t>
        </is>
      </c>
      <c r="F264" s="3" t="inlineStr">
        <is>
          <t>특별관계자</t>
        </is>
      </c>
      <c r="G264" s="3" t="inlineStr">
        <is>
          <t>장내매수(+)</t>
        </is>
      </c>
      <c r="H264" s="15" t="n">
        <v>22099</v>
      </c>
      <c r="I264" s="6" t="n">
        <v>1003</v>
      </c>
      <c r="J264" s="6" t="n">
        <v>532663</v>
      </c>
      <c r="K264" s="16" t="n">
        <v>3</v>
      </c>
      <c r="L264" s="2" t="inlineStr">
        <is>
          <t>20260202000148</t>
        </is>
      </c>
      <c r="M264" s="8">
        <f>HYPERLINK("https://dart.fss.or.kr/dsaf001/main.do?rcpNo=20260202000148", "공시열람")</f>
        <v/>
      </c>
    </row>
    <row r="265" ht="22" customHeight="1">
      <c r="A265" s="2" t="inlineStr">
        <is>
          <t>2026-02-02</t>
        </is>
      </c>
      <c r="B265" s="3" t="inlineStr">
        <is>
          <t>아이티센엔텍</t>
        </is>
      </c>
      <c r="C265" s="2" t="inlineStr">
        <is>
          <t>010280</t>
        </is>
      </c>
      <c r="D265" s="2" t="inlineStr">
        <is>
          <t>대량보유</t>
        </is>
      </c>
      <c r="E265" s="3" t="inlineStr">
        <is>
          <t>신장호</t>
        </is>
      </c>
      <c r="F265" s="3" t="inlineStr">
        <is>
          <t>특별관계자</t>
        </is>
      </c>
      <c r="G265" s="3" t="inlineStr">
        <is>
          <t>장내매수(+)</t>
        </is>
      </c>
      <c r="H265" s="15" t="n">
        <v>40000</v>
      </c>
      <c r="I265" s="6" t="n">
        <v>1125</v>
      </c>
      <c r="J265" s="6" t="n">
        <v>200000</v>
      </c>
      <c r="K265" s="16" t="n">
        <v>3</v>
      </c>
      <c r="L265" s="2" t="inlineStr">
        <is>
          <t>20260202000148</t>
        </is>
      </c>
      <c r="M265" s="8">
        <f>HYPERLINK("https://dart.fss.or.kr/dsaf001/main.do?rcpNo=20260202000148", "공시열람")</f>
        <v/>
      </c>
    </row>
    <row r="266" ht="22" customHeight="1">
      <c r="A266" s="2" t="inlineStr">
        <is>
          <t>2026-02-02</t>
        </is>
      </c>
      <c r="B266" s="3" t="inlineStr">
        <is>
          <t>네오팜</t>
        </is>
      </c>
      <c r="C266" s="2" t="inlineStr">
        <is>
          <t>092730</t>
        </is>
      </c>
      <c r="D266" s="2" t="inlineStr">
        <is>
          <t>대량보유</t>
        </is>
      </c>
      <c r="E266" s="3" t="inlineStr">
        <is>
          <t>FIDASIANVALUES</t>
        </is>
      </c>
      <c r="F266" s="3" t="inlineStr">
        <is>
          <t>특별관계자</t>
        </is>
      </c>
      <c r="G266" s="3" t="inlineStr">
        <is>
          <t>장내매수(+)</t>
        </is>
      </c>
      <c r="H266" s="15" t="n">
        <v>113656</v>
      </c>
      <c r="I266" s="6" t="n">
        <v>17908</v>
      </c>
      <c r="J266" s="6" t="n">
        <v>239681</v>
      </c>
      <c r="K266" s="16" t="n">
        <v>8</v>
      </c>
      <c r="L266" s="2" t="inlineStr">
        <is>
          <t>20260202000117</t>
        </is>
      </c>
      <c r="M266" s="8">
        <f>HYPERLINK("https://dart.fss.or.kr/dsaf001/main.do?rcpNo=20260202000117", "공시열람")</f>
        <v/>
      </c>
    </row>
    <row r="267" ht="22" customHeight="1">
      <c r="A267" s="2" t="inlineStr">
        <is>
          <t>2026-02-02</t>
        </is>
      </c>
      <c r="B267" s="3" t="inlineStr">
        <is>
          <t>네오팜</t>
        </is>
      </c>
      <c r="C267" s="2" t="inlineStr">
        <is>
          <t>092730</t>
        </is>
      </c>
      <c r="D267" s="2" t="inlineStr">
        <is>
          <t>대량보유</t>
        </is>
      </c>
      <c r="E267" s="3" t="inlineStr">
        <is>
          <t>FIDELITYFUNDS</t>
        </is>
      </c>
      <c r="F267" s="3" t="inlineStr">
        <is>
          <t>특별관계자</t>
        </is>
      </c>
      <c r="G267" s="3" t="inlineStr">
        <is>
          <t>장내매수(+)</t>
        </is>
      </c>
      <c r="H267" s="15" t="n">
        <v>84058</v>
      </c>
      <c r="I267" s="6" t="n">
        <v>18222</v>
      </c>
      <c r="J267" s="6" t="n">
        <v>438633</v>
      </c>
      <c r="K267" s="16" t="n">
        <v>8</v>
      </c>
      <c r="L267" s="2" t="inlineStr">
        <is>
          <t>20260202000117</t>
        </is>
      </c>
      <c r="M267" s="8">
        <f>HYPERLINK("https://dart.fss.or.kr/dsaf001/main.do?rcpNo=20260202000117", "공시열람")</f>
        <v/>
      </c>
    </row>
    <row r="268" ht="22" customHeight="1">
      <c r="A268" s="2" t="inlineStr">
        <is>
          <t>2026-02-02</t>
        </is>
      </c>
      <c r="B268" s="3" t="inlineStr">
        <is>
          <t>네오팜</t>
        </is>
      </c>
      <c r="C268" s="2" t="inlineStr">
        <is>
          <t>092730</t>
        </is>
      </c>
      <c r="D268" s="2" t="inlineStr">
        <is>
          <t>대량보유</t>
        </is>
      </c>
      <c r="E268" s="3" t="inlineStr">
        <is>
          <t>HI-KAPPA-14-SFONDS</t>
        </is>
      </c>
      <c r="F268" s="3" t="inlineStr">
        <is>
          <t>특별관계자</t>
        </is>
      </c>
      <c r="G268" s="3" t="inlineStr">
        <is>
          <t>장내매수(+)</t>
        </is>
      </c>
      <c r="H268" s="15" t="n">
        <v>1629</v>
      </c>
      <c r="I268" s="6" t="n">
        <v>18756</v>
      </c>
      <c r="J268" s="6" t="n">
        <v>18850</v>
      </c>
      <c r="K268" s="16" t="n">
        <v>8</v>
      </c>
      <c r="L268" s="2" t="inlineStr">
        <is>
          <t>20260202000117</t>
        </is>
      </c>
      <c r="M268" s="8">
        <f>HYPERLINK("https://dart.fss.or.kr/dsaf001/main.do?rcpNo=20260202000117", "공시열람")</f>
        <v/>
      </c>
    </row>
    <row r="269" ht="22" customHeight="1">
      <c r="A269" s="2" t="inlineStr">
        <is>
          <t>2026-02-02</t>
        </is>
      </c>
      <c r="B269" s="3" t="inlineStr">
        <is>
          <t>네오팜</t>
        </is>
      </c>
      <c r="C269" s="2" t="inlineStr">
        <is>
          <t>092730</t>
        </is>
      </c>
      <c r="D269" s="2" t="inlineStr">
        <is>
          <t>대량보유</t>
        </is>
      </c>
      <c r="E269" s="3" t="inlineStr">
        <is>
          <t>HI-SZVA-34-SFONDS</t>
        </is>
      </c>
      <c r="F269" s="3" t="inlineStr">
        <is>
          <t>특별관계자</t>
        </is>
      </c>
      <c r="G269" s="3" t="inlineStr">
        <is>
          <t>장내매수(+)</t>
        </is>
      </c>
      <c r="H269" s="15" t="n">
        <v>2856</v>
      </c>
      <c r="I269" s="6" t="n">
        <v>18629</v>
      </c>
      <c r="J269" s="6" t="n">
        <v>28801</v>
      </c>
      <c r="K269" s="16" t="n">
        <v>8</v>
      </c>
      <c r="L269" s="2" t="inlineStr">
        <is>
          <t>20260202000117</t>
        </is>
      </c>
      <c r="M269" s="8">
        <f>HYPERLINK("https://dart.fss.or.kr/dsaf001/main.do?rcpNo=20260202000117", "공시열람")</f>
        <v/>
      </c>
    </row>
    <row r="270" ht="22" customHeight="1">
      <c r="A270" s="2" t="inlineStr">
        <is>
          <t>2026-02-02</t>
        </is>
      </c>
      <c r="B270" s="3" t="inlineStr">
        <is>
          <t>네오팜</t>
        </is>
      </c>
      <c r="C270" s="2" t="inlineStr">
        <is>
          <t>092730</t>
        </is>
      </c>
      <c r="D270" s="2" t="inlineStr">
        <is>
          <t>대량보유</t>
        </is>
      </c>
      <c r="E270" s="3" t="inlineStr">
        <is>
          <t>NORDESTASSETMANAGEMENT</t>
        </is>
      </c>
      <c r="F270" s="3" t="inlineStr">
        <is>
          <t>특별관계자</t>
        </is>
      </c>
      <c r="G270" s="3" t="inlineStr">
        <is>
          <t>장내매수(+)</t>
        </is>
      </c>
      <c r="H270" s="15" t="n">
        <v>10375</v>
      </c>
      <c r="I270" s="6" t="n">
        <v>17371</v>
      </c>
      <c r="J270" s="6" t="n">
        <v>77424</v>
      </c>
      <c r="K270" s="16" t="n">
        <v>8</v>
      </c>
      <c r="L270" s="2" t="inlineStr">
        <is>
          <t>20260202000117</t>
        </is>
      </c>
      <c r="M270" s="8">
        <f>HYPERLINK("https://dart.fss.or.kr/dsaf001/main.do?rcpNo=20260202000117", "공시열람")</f>
        <v/>
      </c>
    </row>
    <row r="271" ht="22" customHeight="1">
      <c r="A271" s="2" t="inlineStr">
        <is>
          <t>2026-02-02</t>
        </is>
      </c>
      <c r="B271" s="3" t="inlineStr">
        <is>
          <t>이엠티</t>
        </is>
      </c>
      <c r="C271" s="2" t="inlineStr">
        <is>
          <t>232530</t>
        </is>
      </c>
      <c r="D271" s="2" t="inlineStr">
        <is>
          <t>대량보유</t>
        </is>
      </c>
      <c r="E271" s="3" t="inlineStr">
        <is>
          <t>유상열</t>
        </is>
      </c>
      <c r="F271" s="3" t="inlineStr">
        <is>
          <t>특별관계자</t>
        </is>
      </c>
      <c r="G271" s="3" t="inlineStr">
        <is>
          <t>장내매수(+)</t>
        </is>
      </c>
      <c r="H271" s="15" t="n">
        <v>22168</v>
      </c>
      <c r="I271" s="6" t="n">
        <v>4310</v>
      </c>
      <c r="J271" s="6" t="n">
        <v>169912</v>
      </c>
      <c r="K271" s="16" t="n">
        <v>2</v>
      </c>
      <c r="L271" s="2" t="inlineStr">
        <is>
          <t>20260202000107</t>
        </is>
      </c>
      <c r="M271" s="8">
        <f>HYPERLINK("https://dart.fss.or.kr/dsaf001/main.do?rcpNo=20260202000107", "공시열람")</f>
        <v/>
      </c>
    </row>
    <row r="272" ht="22" customHeight="1">
      <c r="A272" s="2" t="inlineStr">
        <is>
          <t>2026-02-02</t>
        </is>
      </c>
      <c r="B272" s="3" t="inlineStr">
        <is>
          <t>제이엘케이</t>
        </is>
      </c>
      <c r="C272" s="2" t="inlineStr">
        <is>
          <t>322510</t>
        </is>
      </c>
      <c r="D272" s="2" t="inlineStr">
        <is>
          <t>대량보유</t>
        </is>
      </c>
      <c r="E272" s="3" t="inlineStr">
        <is>
          <t>김동민</t>
        </is>
      </c>
      <c r="F272" s="3" t="inlineStr">
        <is>
          <t>특별관계자</t>
        </is>
      </c>
      <c r="G272" s="3" t="inlineStr">
        <is>
          <t>주식매수선택권행사(-), 주식매수선택권행사(+)</t>
        </is>
      </c>
      <c r="H272" s="6" t="inlineStr"/>
      <c r="I272" s="6" t="n">
        <v>3760</v>
      </c>
      <c r="J272" s="6" t="n">
        <v>620398</v>
      </c>
      <c r="K272" s="16" t="n">
        <v>2</v>
      </c>
      <c r="L272" s="2" t="inlineStr">
        <is>
          <t>20260202000050</t>
        </is>
      </c>
      <c r="M272" s="8">
        <f>HYPERLINK("https://dart.fss.or.kr/dsaf001/main.do?rcpNo=20260202000050", "공시열람")</f>
        <v/>
      </c>
    </row>
    <row r="273" ht="22" customHeight="1">
      <c r="A273" s="2" t="inlineStr">
        <is>
          <t>2026-02-02</t>
        </is>
      </c>
      <c r="B273" s="3" t="inlineStr">
        <is>
          <t>레이</t>
        </is>
      </c>
      <c r="C273" s="2" t="inlineStr">
        <is>
          <t>228670</t>
        </is>
      </c>
      <c r="D273" s="2" t="inlineStr">
        <is>
          <t>대량보유</t>
        </is>
      </c>
      <c r="E273" s="3" t="inlineStr">
        <is>
          <t>주식회사 레이홀딩스</t>
        </is>
      </c>
      <c r="F273" s="3" t="inlineStr">
        <is>
          <t>보고자</t>
        </is>
      </c>
      <c r="G273" s="3" t="inlineStr">
        <is>
          <t>특별관계자의 주식담보대출계약 변경</t>
        </is>
      </c>
      <c r="H273" s="6" t="inlineStr"/>
      <c r="I273" s="6" t="inlineStr"/>
      <c r="J273" s="6" t="n">
        <v>4278335</v>
      </c>
      <c r="K273" s="16" t="n">
        <v>9</v>
      </c>
      <c r="L273" s="2" t="inlineStr">
        <is>
          <t>20260202000016</t>
        </is>
      </c>
      <c r="M273" s="8">
        <f>HYPERLINK("https://dart.fss.or.kr/dsaf001/main.do?rcpNo=20260202000016", "공시열람")</f>
        <v/>
      </c>
    </row>
    <row r="274" ht="22" customHeight="1">
      <c r="A274" s="2" t="inlineStr">
        <is>
          <t>2026-02-02</t>
        </is>
      </c>
      <c r="B274" s="3" t="inlineStr">
        <is>
          <t>푸드나무</t>
        </is>
      </c>
      <c r="C274" s="2" t="inlineStr">
        <is>
          <t>290720</t>
        </is>
      </c>
      <c r="D274" s="2" t="inlineStr">
        <is>
          <t>대량보유</t>
        </is>
      </c>
      <c r="E274" s="3" t="inlineStr">
        <is>
          <t>(주)온힐파트너스(주1)</t>
        </is>
      </c>
      <c r="F274" s="3" t="inlineStr">
        <is>
          <t>특별관계자</t>
        </is>
      </c>
      <c r="G274" s="3" t="inlineStr">
        <is>
          <t>기타(-)</t>
        </is>
      </c>
      <c r="H274" s="17" t="n">
        <v>-2684995</v>
      </c>
      <c r="I274" s="6" t="inlineStr"/>
      <c r="J274" s="6" t="n">
        <v>15836929</v>
      </c>
      <c r="K274" s="16" t="n">
        <v>45.09</v>
      </c>
      <c r="L274" s="2" t="inlineStr">
        <is>
          <t>20260202000001</t>
        </is>
      </c>
      <c r="M274" s="8">
        <f>HYPERLINK("https://dart.fss.or.kr/dsaf001/main.do?rcpNo=20260202000001", "공시열람")</f>
        <v/>
      </c>
    </row>
    <row r="275" ht="22" customHeight="1">
      <c r="A275" s="2" t="inlineStr">
        <is>
          <t>2026-03-03</t>
        </is>
      </c>
      <c r="B275" s="3" t="inlineStr">
        <is>
          <t>티이엠씨</t>
        </is>
      </c>
      <c r="C275" s="2" t="inlineStr">
        <is>
          <t>425040</t>
        </is>
      </c>
      <c r="D275" s="2" t="inlineStr">
        <is>
          <t>대량보유</t>
        </is>
      </c>
      <c r="E275" s="3" t="inlineStr">
        <is>
          <t>최찬규</t>
        </is>
      </c>
      <c r="F275" s="3" t="inlineStr">
        <is>
          <t>특별관계자</t>
        </is>
      </c>
      <c r="G275" s="3" t="inlineStr">
        <is>
          <t>기타(+)</t>
        </is>
      </c>
      <c r="H275" s="15" t="n">
        <v>6000</v>
      </c>
      <c r="I275" s="6" t="n">
        <v>14000</v>
      </c>
      <c r="J275" s="6" t="n">
        <v>60000</v>
      </c>
      <c r="K275" s="16" t="n">
        <v>11</v>
      </c>
      <c r="L275" s="2" t="inlineStr">
        <is>
          <t>20260303003236</t>
        </is>
      </c>
      <c r="M275" s="8">
        <f>HYPERLINK("https://dart.fss.or.kr/dsaf001/main.do?rcpNo=20260303003236", "공시열람")</f>
        <v/>
      </c>
    </row>
    <row r="276" ht="22" customHeight="1">
      <c r="A276" s="2" t="inlineStr">
        <is>
          <t>2026-03-03</t>
        </is>
      </c>
      <c r="B276" s="3" t="inlineStr">
        <is>
          <t>티이엠씨</t>
        </is>
      </c>
      <c r="C276" s="2" t="inlineStr">
        <is>
          <t>425040</t>
        </is>
      </c>
      <c r="D276" s="2" t="inlineStr">
        <is>
          <t>대량보유</t>
        </is>
      </c>
      <c r="E276" s="3" t="inlineStr">
        <is>
          <t>유원양</t>
        </is>
      </c>
      <c r="F276" s="3" t="inlineStr">
        <is>
          <t>특별관계자</t>
        </is>
      </c>
      <c r="G276" s="3" t="inlineStr">
        <is>
          <t>기타(-), 자사주상여금(+)</t>
        </is>
      </c>
      <c r="H276" s="6" t="inlineStr"/>
      <c r="I276" s="6" t="n">
        <v>8891</v>
      </c>
      <c r="J276" s="6" t="n">
        <v>5156186</v>
      </c>
      <c r="K276" s="16" t="n">
        <v>11</v>
      </c>
      <c r="L276" s="2" t="inlineStr">
        <is>
          <t>20260303003236</t>
        </is>
      </c>
      <c r="M276" s="8">
        <f>HYPERLINK("https://dart.fss.or.kr/dsaf001/main.do?rcpNo=20260303003236", "공시열람")</f>
        <v/>
      </c>
    </row>
    <row r="277" ht="22" customHeight="1">
      <c r="A277" s="2" t="inlineStr">
        <is>
          <t>2026-03-03</t>
        </is>
      </c>
      <c r="B277" s="3" t="inlineStr">
        <is>
          <t>티이엠씨</t>
        </is>
      </c>
      <c r="C277" s="2" t="inlineStr">
        <is>
          <t>425040</t>
        </is>
      </c>
      <c r="D277" s="2" t="inlineStr">
        <is>
          <t>대량보유</t>
        </is>
      </c>
      <c r="E277" s="3" t="inlineStr">
        <is>
          <t>전상훈</t>
        </is>
      </c>
      <c r="F277" s="3" t="inlineStr">
        <is>
          <t>특별관계자</t>
        </is>
      </c>
      <c r="G277" s="3" t="inlineStr">
        <is>
          <t>기타(-), 자사주상여금(+)</t>
        </is>
      </c>
      <c r="H277" s="6" t="inlineStr"/>
      <c r="I277" s="6" t="n">
        <v>8891</v>
      </c>
      <c r="J277" s="6" t="n">
        <v>253243</v>
      </c>
      <c r="K277" s="16" t="n">
        <v>11</v>
      </c>
      <c r="L277" s="2" t="inlineStr">
        <is>
          <t>20260303003236</t>
        </is>
      </c>
      <c r="M277" s="8">
        <f>HYPERLINK("https://dart.fss.or.kr/dsaf001/main.do?rcpNo=20260303003236", "공시열람")</f>
        <v/>
      </c>
    </row>
    <row r="278" ht="22" customHeight="1">
      <c r="A278" s="2" t="inlineStr">
        <is>
          <t>2026-03-03</t>
        </is>
      </c>
      <c r="B278" s="3" t="inlineStr">
        <is>
          <t>티이엠씨</t>
        </is>
      </c>
      <c r="C278" s="2" t="inlineStr">
        <is>
          <t>425040</t>
        </is>
      </c>
      <c r="D278" s="2" t="inlineStr">
        <is>
          <t>대량보유</t>
        </is>
      </c>
      <c r="E278" s="3" t="inlineStr">
        <is>
          <t>송창근</t>
        </is>
      </c>
      <c r="F278" s="3" t="inlineStr">
        <is>
          <t>특별관계자</t>
        </is>
      </c>
      <c r="G278" s="3" t="inlineStr">
        <is>
          <t>기타(-), 자사주상여금(+)</t>
        </is>
      </c>
      <c r="H278" s="6" t="inlineStr"/>
      <c r="I278" s="6" t="n">
        <v>8891</v>
      </c>
      <c r="J278" s="6" t="n">
        <v>271757</v>
      </c>
      <c r="K278" s="16" t="n">
        <v>11</v>
      </c>
      <c r="L278" s="2" t="inlineStr">
        <is>
          <t>20260303003236</t>
        </is>
      </c>
      <c r="M278" s="8">
        <f>HYPERLINK("https://dart.fss.or.kr/dsaf001/main.do?rcpNo=20260303003236", "공시열람")</f>
        <v/>
      </c>
    </row>
    <row r="279" ht="22" customHeight="1">
      <c r="A279" s="2" t="inlineStr">
        <is>
          <t>2026-03-03</t>
        </is>
      </c>
      <c r="B279" s="3" t="inlineStr">
        <is>
          <t>티이엠씨</t>
        </is>
      </c>
      <c r="C279" s="2" t="inlineStr">
        <is>
          <t>425040</t>
        </is>
      </c>
      <c r="D279" s="2" t="inlineStr">
        <is>
          <t>대량보유</t>
        </is>
      </c>
      <c r="E279" s="3" t="inlineStr">
        <is>
          <t>김성곤</t>
        </is>
      </c>
      <c r="F279" s="3" t="inlineStr">
        <is>
          <t>특별관계자</t>
        </is>
      </c>
      <c r="G279" s="3" t="inlineStr">
        <is>
          <t>기타(-), 자사주상여금(+)</t>
        </is>
      </c>
      <c r="H279" s="6" t="inlineStr"/>
      <c r="I279" s="6" t="n">
        <v>8891</v>
      </c>
      <c r="J279" s="6" t="n">
        <v>81585</v>
      </c>
      <c r="K279" s="16" t="n">
        <v>11</v>
      </c>
      <c r="L279" s="2" t="inlineStr">
        <is>
          <t>20260303003236</t>
        </is>
      </c>
      <c r="M279" s="8">
        <f>HYPERLINK("https://dart.fss.or.kr/dsaf001/main.do?rcpNo=20260303003236", "공시열람")</f>
        <v/>
      </c>
    </row>
    <row r="280" ht="22" customHeight="1">
      <c r="A280" s="2" t="inlineStr">
        <is>
          <t>2026-03-03</t>
        </is>
      </c>
      <c r="B280" s="3" t="inlineStr">
        <is>
          <t>티이엠씨</t>
        </is>
      </c>
      <c r="C280" s="2" t="inlineStr">
        <is>
          <t>425040</t>
        </is>
      </c>
      <c r="D280" s="2" t="inlineStr">
        <is>
          <t>대량보유</t>
        </is>
      </c>
      <c r="E280" s="3" t="inlineStr">
        <is>
          <t>조익성</t>
        </is>
      </c>
      <c r="F280" s="3" t="inlineStr">
        <is>
          <t>특별관계자</t>
        </is>
      </c>
      <c r="G280" s="3" t="inlineStr">
        <is>
          <t>기타(-), 자사주상여금(+)</t>
        </is>
      </c>
      <c r="H280" s="6" t="inlineStr"/>
      <c r="I280" s="6" t="n">
        <v>8891</v>
      </c>
      <c r="J280" s="6" t="n">
        <v>1991</v>
      </c>
      <c r="K280" s="16" t="n">
        <v>11</v>
      </c>
      <c r="L280" s="2" t="inlineStr">
        <is>
          <t>20260303003236</t>
        </is>
      </c>
      <c r="M280" s="8">
        <f>HYPERLINK("https://dart.fss.or.kr/dsaf001/main.do?rcpNo=20260303003236", "공시열람")</f>
        <v/>
      </c>
    </row>
    <row r="281" ht="22" customHeight="1">
      <c r="A281" s="2" t="inlineStr">
        <is>
          <t>2026-03-03</t>
        </is>
      </c>
      <c r="B281" s="3" t="inlineStr">
        <is>
          <t>엔비티</t>
        </is>
      </c>
      <c r="C281" s="2" t="inlineStr">
        <is>
          <t>236810</t>
        </is>
      </c>
      <c r="D281" s="2" t="inlineStr">
        <is>
          <t>대량보유</t>
        </is>
      </c>
      <c r="E281" s="3" t="inlineStr">
        <is>
          <t>박수근</t>
        </is>
      </c>
      <c r="F281" s="3" t="inlineStr">
        <is>
          <t>보고자</t>
        </is>
      </c>
      <c r="G281" s="3" t="inlineStr">
        <is>
          <t>주식담보계약의 연장</t>
        </is>
      </c>
      <c r="H281" s="6" t="inlineStr"/>
      <c r="I281" s="6" t="inlineStr"/>
      <c r="J281" s="6" t="n">
        <v>3959756</v>
      </c>
      <c r="K281" s="16" t="n">
        <v>1</v>
      </c>
      <c r="L281" s="2" t="inlineStr">
        <is>
          <t>20260303003173</t>
        </is>
      </c>
      <c r="M281" s="8">
        <f>HYPERLINK("https://dart.fss.or.kr/dsaf001/main.do?rcpNo=20260303003173", "공시열람")</f>
        <v/>
      </c>
    </row>
    <row r="282" ht="22" customHeight="1">
      <c r="A282" s="2" t="inlineStr">
        <is>
          <t>2026-03-03 (정정: 2026-03-06)</t>
        </is>
      </c>
      <c r="B282" s="3" t="inlineStr">
        <is>
          <t>에스투더블유</t>
        </is>
      </c>
      <c r="C282" s="2" t="inlineStr">
        <is>
          <t>488280</t>
        </is>
      </c>
      <c r="D282" s="2" t="inlineStr">
        <is>
          <t>대량보유</t>
        </is>
      </c>
      <c r="E282" s="3" t="inlineStr">
        <is>
          <t>-</t>
        </is>
      </c>
      <c r="F282" s="3" t="inlineStr">
        <is>
          <t>보고자</t>
        </is>
      </c>
      <c r="G282" s="3" t="inlineStr">
        <is>
          <t>-</t>
        </is>
      </c>
      <c r="H282" s="6" t="inlineStr"/>
      <c r="I282" s="6" t="inlineStr"/>
      <c r="J282" s="6" t="inlineStr"/>
      <c r="K282" s="18" t="inlineStr"/>
      <c r="L282" s="2" t="inlineStr">
        <is>
          <t>20260306900665</t>
        </is>
      </c>
      <c r="M282" s="8">
        <f>HYPERLINK("https://dart.fss.or.kr/dsaf001/main.do?rcpNo=20260306900665", "공시열람")</f>
        <v/>
      </c>
    </row>
    <row r="283" ht="22" customHeight="1">
      <c r="A283" s="2" t="inlineStr">
        <is>
          <t>2026-03-03</t>
        </is>
      </c>
      <c r="B283" s="3" t="inlineStr">
        <is>
          <t>메디톡스</t>
        </is>
      </c>
      <c r="C283" s="2" t="inlineStr">
        <is>
          <t>086900</t>
        </is>
      </c>
      <c r="D283" s="2" t="inlineStr">
        <is>
          <t>대량보유</t>
        </is>
      </c>
      <c r="E283" s="3" t="inlineStr">
        <is>
          <t>엔브이7홀딩스유한회사</t>
        </is>
      </c>
      <c r="F283" s="3" t="inlineStr">
        <is>
          <t>특별관계자</t>
        </is>
      </c>
      <c r="G283" s="3" t="inlineStr">
        <is>
          <t>주식배당(+), 기타(-)</t>
        </is>
      </c>
      <c r="H283" s="17" t="n">
        <v>-330406</v>
      </c>
      <c r="I283" s="6" t="n">
        <v>206854</v>
      </c>
      <c r="J283" s="6" t="n">
        <v>69264</v>
      </c>
      <c r="K283" s="16" t="n">
        <v>7</v>
      </c>
      <c r="L283" s="2" t="inlineStr">
        <is>
          <t>20260303003121</t>
        </is>
      </c>
      <c r="M283" s="8">
        <f>HYPERLINK("https://dart.fss.or.kr/dsaf001/main.do?rcpNo=20260303003121", "공시열람")</f>
        <v/>
      </c>
    </row>
    <row r="284" ht="22" customHeight="1">
      <c r="A284" s="2" t="inlineStr">
        <is>
          <t>2026-03-03</t>
        </is>
      </c>
      <c r="B284" s="3" t="inlineStr">
        <is>
          <t>한솔케미칼</t>
        </is>
      </c>
      <c r="C284" s="2" t="inlineStr">
        <is>
          <t>014680</t>
        </is>
      </c>
      <c r="D284" s="2" t="inlineStr">
        <is>
          <t>임원보고</t>
        </is>
      </c>
      <c r="E284" s="3" t="inlineStr">
        <is>
          <t>-</t>
        </is>
      </c>
      <c r="F284" s="3" t="inlineStr">
        <is>
          <t>-</t>
        </is>
      </c>
      <c r="G284" s="3" t="inlineStr">
        <is>
          <t>-</t>
        </is>
      </c>
      <c r="H284" s="6" t="inlineStr"/>
      <c r="I284" s="6" t="inlineStr"/>
      <c r="J284" s="6" t="inlineStr"/>
      <c r="K284" s="16" t="n">
        <v>12</v>
      </c>
      <c r="L284" s="2" t="inlineStr">
        <is>
          <t>20260303801314</t>
        </is>
      </c>
      <c r="M284" s="8">
        <f>HYPERLINK("https://dart.fss.or.kr/dsaf001/main.do?rcpNo=20260303801314", "공시열람")</f>
        <v/>
      </c>
    </row>
    <row r="285" ht="22" customHeight="1">
      <c r="A285" s="2" t="inlineStr">
        <is>
          <t>2026-03-03</t>
        </is>
      </c>
      <c r="B285" s="3" t="inlineStr">
        <is>
          <t>씨유메디칼</t>
        </is>
      </c>
      <c r="C285" s="2" t="inlineStr">
        <is>
          <t>115480</t>
        </is>
      </c>
      <c r="D285" s="2" t="inlineStr">
        <is>
          <t>대량보유</t>
        </is>
      </c>
      <c r="E285" s="3" t="inlineStr">
        <is>
          <t>엑스큐어(주)</t>
        </is>
      </c>
      <c r="F285" s="3" t="inlineStr">
        <is>
          <t>특별관계자</t>
        </is>
      </c>
      <c r="G285" s="3" t="inlineStr">
        <is>
          <t>장내매도(-)</t>
        </is>
      </c>
      <c r="H285" s="17" t="n">
        <v>-2783645</v>
      </c>
      <c r="I285" s="6" t="n">
        <v>567</v>
      </c>
      <c r="J285" s="6" t="n">
        <v>1538661</v>
      </c>
      <c r="K285" s="16" t="n">
        <v>2.54</v>
      </c>
      <c r="L285" s="2" t="inlineStr">
        <is>
          <t>20260303003012</t>
        </is>
      </c>
      <c r="M285" s="8">
        <f>HYPERLINK("https://dart.fss.or.kr/dsaf001/main.do?rcpNo=20260303003012", "공시열람")</f>
        <v/>
      </c>
    </row>
    <row r="286" ht="22" customHeight="1">
      <c r="A286" s="2" t="inlineStr">
        <is>
          <t>2026-03-03</t>
        </is>
      </c>
      <c r="B286" s="3" t="inlineStr">
        <is>
          <t>푸드나무</t>
        </is>
      </c>
      <c r="C286" s="2" t="inlineStr">
        <is>
          <t>290720</t>
        </is>
      </c>
      <c r="D286" s="2" t="inlineStr">
        <is>
          <t>대량보유</t>
        </is>
      </c>
      <c r="E286" s="3" t="inlineStr">
        <is>
          <t>김유선</t>
        </is>
      </c>
      <c r="F286" s="3" t="inlineStr">
        <is>
          <t>특별관계자</t>
        </is>
      </c>
      <c r="G286" s="3" t="inlineStr">
        <is>
          <t>장외매수(+)</t>
        </is>
      </c>
      <c r="H286" s="15" t="n">
        <v>3165760</v>
      </c>
      <c r="I286" s="6" t="n">
        <v>2539</v>
      </c>
      <c r="J286" s="6" t="n">
        <v>3165760</v>
      </c>
      <c r="K286" s="16" t="n">
        <v>8.27</v>
      </c>
      <c r="L286" s="2" t="inlineStr">
        <is>
          <t>20260303002999</t>
        </is>
      </c>
      <c r="M286" s="8">
        <f>HYPERLINK("https://dart.fss.or.kr/dsaf001/main.do?rcpNo=20260303002999", "공시열람")</f>
        <v/>
      </c>
    </row>
    <row r="287" ht="22" customHeight="1">
      <c r="A287" s="2" t="inlineStr">
        <is>
          <t>2026-03-03</t>
        </is>
      </c>
      <c r="B287" s="3" t="inlineStr">
        <is>
          <t>한미사이언스</t>
        </is>
      </c>
      <c r="C287" s="2" t="inlineStr">
        <is>
          <t>008930</t>
        </is>
      </c>
      <c r="D287" s="2" t="inlineStr">
        <is>
          <t>대량보유</t>
        </is>
      </c>
      <c r="E287" s="3" t="inlineStr">
        <is>
          <t>임종윤</t>
        </is>
      </c>
      <c r="F287" s="3" t="inlineStr">
        <is>
          <t>보고자</t>
        </is>
      </c>
      <c r="G287" s="3" t="inlineStr">
        <is>
          <t>주식담보계약 신규 체결 및 변경</t>
        </is>
      </c>
      <c r="H287" s="6" t="inlineStr"/>
      <c r="I287" s="6" t="inlineStr"/>
      <c r="J287" s="6" t="n">
        <v>12973948</v>
      </c>
      <c r="K287" s="16" t="n">
        <v>11</v>
      </c>
      <c r="L287" s="2" t="inlineStr">
        <is>
          <t>20260303002972</t>
        </is>
      </c>
      <c r="M287" s="8">
        <f>HYPERLINK("https://dart.fss.or.kr/dsaf001/main.do?rcpNo=20260303002972", "공시열람")</f>
        <v/>
      </c>
    </row>
    <row r="288" ht="22" customHeight="1">
      <c r="A288" s="2" t="inlineStr">
        <is>
          <t>2026-03-03</t>
        </is>
      </c>
      <c r="B288" s="3" t="inlineStr">
        <is>
          <t>한미사이언스</t>
        </is>
      </c>
      <c r="C288" s="2" t="inlineStr">
        <is>
          <t>008930</t>
        </is>
      </c>
      <c r="D288" s="2" t="inlineStr">
        <is>
          <t>대량보유</t>
        </is>
      </c>
      <c r="E288" s="3" t="inlineStr">
        <is>
          <t>임종훈</t>
        </is>
      </c>
      <c r="F288" s="3" t="inlineStr">
        <is>
          <t>보고자</t>
        </is>
      </c>
      <c r="G288" s="3" t="inlineStr">
        <is>
          <t>주식매매계약 체결</t>
        </is>
      </c>
      <c r="H288" s="6" t="inlineStr"/>
      <c r="I288" s="6" t="inlineStr"/>
      <c r="J288" s="6" t="n">
        <v>12973948</v>
      </c>
      <c r="K288" s="16" t="n">
        <v>11</v>
      </c>
      <c r="L288" s="2" t="inlineStr">
        <is>
          <t>20260303002968</t>
        </is>
      </c>
      <c r="M288" s="8">
        <f>HYPERLINK("https://dart.fss.or.kr/dsaf001/main.do?rcpNo=20260303002968", "공시열람")</f>
        <v/>
      </c>
    </row>
    <row r="289" ht="22" customHeight="1">
      <c r="A289" s="2" t="inlineStr">
        <is>
          <t>2026-03-03</t>
        </is>
      </c>
      <c r="B289" s="3" t="inlineStr">
        <is>
          <t>대명에너지</t>
        </is>
      </c>
      <c r="C289" s="2" t="inlineStr">
        <is>
          <t>389260</t>
        </is>
      </c>
      <c r="D289" s="2" t="inlineStr">
        <is>
          <t>대량보유</t>
        </is>
      </c>
      <c r="E289" s="3" t="inlineStr">
        <is>
          <t>주식회사아네모이제3호</t>
        </is>
      </c>
      <c r="F289" s="3" t="inlineStr">
        <is>
          <t>특별관계자</t>
        </is>
      </c>
      <c r="G289" s="3" t="inlineStr">
        <is>
          <t>장내매도(-)</t>
        </is>
      </c>
      <c r="H289" s="17" t="n">
        <v>-532000</v>
      </c>
      <c r="I289" s="6" t="n">
        <v>21213</v>
      </c>
      <c r="J289" s="6" t="n">
        <v>775000</v>
      </c>
      <c r="K289" s="16" t="n">
        <v>3</v>
      </c>
      <c r="L289" s="2" t="inlineStr">
        <is>
          <t>20260303002963</t>
        </is>
      </c>
      <c r="M289" s="8">
        <f>HYPERLINK("https://dart.fss.or.kr/dsaf001/main.do?rcpNo=20260303002963", "공시열람")</f>
        <v/>
      </c>
    </row>
    <row r="290" ht="22" customHeight="1">
      <c r="A290" s="2" t="inlineStr">
        <is>
          <t>2026-03-03</t>
        </is>
      </c>
      <c r="B290" s="3" t="inlineStr">
        <is>
          <t>KISCO홀딩스</t>
        </is>
      </c>
      <c r="C290" s="2" t="inlineStr">
        <is>
          <t>001940</t>
        </is>
      </c>
      <c r="D290" s="2" t="inlineStr">
        <is>
          <t>임원보고</t>
        </is>
      </c>
      <c r="E290" s="3" t="inlineStr">
        <is>
          <t>-</t>
        </is>
      </c>
      <c r="F290" s="3" t="inlineStr">
        <is>
          <t>-</t>
        </is>
      </c>
      <c r="G290" s="3" t="inlineStr">
        <is>
          <t>-</t>
        </is>
      </c>
      <c r="H290" s="6" t="inlineStr"/>
      <c r="I290" s="6" t="inlineStr"/>
      <c r="J290" s="6" t="inlineStr"/>
      <c r="K290" s="16" t="n">
        <v>12</v>
      </c>
      <c r="L290" s="2" t="inlineStr">
        <is>
          <t>20260303801197</t>
        </is>
      </c>
      <c r="M290" s="8">
        <f>HYPERLINK("https://dart.fss.or.kr/dsaf001/main.do?rcpNo=20260303801197", "공시열람")</f>
        <v/>
      </c>
    </row>
    <row r="291" ht="22" customHeight="1">
      <c r="A291" s="2" t="inlineStr">
        <is>
          <t>2026-03-03</t>
        </is>
      </c>
      <c r="B291" s="3" t="inlineStr">
        <is>
          <t>씨티케이</t>
        </is>
      </c>
      <c r="C291" s="2" t="inlineStr">
        <is>
          <t>260930</t>
        </is>
      </c>
      <c r="D291" s="2" t="inlineStr">
        <is>
          <t>대량보유</t>
        </is>
      </c>
      <c r="E291" s="3" t="inlineStr">
        <is>
          <t>정인용</t>
        </is>
      </c>
      <c r="F291" s="3" t="inlineStr">
        <is>
          <t>보고자</t>
        </is>
      </c>
      <c r="G291" s="3" t="inlineStr">
        <is>
          <t>보고자 및 특별관계자의 보유주식 담보계약(연장)에 따른 변경보고</t>
        </is>
      </c>
      <c r="H291" s="6" t="inlineStr"/>
      <c r="I291" s="6" t="inlineStr"/>
      <c r="J291" s="6" t="n">
        <v>9514450</v>
      </c>
      <c r="K291" s="16" t="n">
        <v>9</v>
      </c>
      <c r="L291" s="2" t="inlineStr">
        <is>
          <t>20260303002943</t>
        </is>
      </c>
      <c r="M291" s="8">
        <f>HYPERLINK("https://dart.fss.or.kr/dsaf001/main.do?rcpNo=20260303002943", "공시열람")</f>
        <v/>
      </c>
    </row>
    <row r="292" ht="22" customHeight="1">
      <c r="A292" s="2" t="inlineStr">
        <is>
          <t>2026-03-03</t>
        </is>
      </c>
      <c r="B292" s="3" t="inlineStr">
        <is>
          <t>조비</t>
        </is>
      </c>
      <c r="C292" s="2" t="inlineStr">
        <is>
          <t>001550</t>
        </is>
      </c>
      <c r="D292" s="2" t="inlineStr">
        <is>
          <t>임원보고</t>
        </is>
      </c>
      <c r="E292" s="3" t="inlineStr">
        <is>
          <t>-</t>
        </is>
      </c>
      <c r="F292" s="3" t="inlineStr">
        <is>
          <t>-</t>
        </is>
      </c>
      <c r="G292" s="3" t="inlineStr">
        <is>
          <t>-</t>
        </is>
      </c>
      <c r="H292" s="6" t="inlineStr"/>
      <c r="I292" s="6" t="inlineStr"/>
      <c r="J292" s="6" t="inlineStr"/>
      <c r="K292" s="16" t="n">
        <v>12</v>
      </c>
      <c r="L292" s="2" t="inlineStr">
        <is>
          <t>20260303801180</t>
        </is>
      </c>
      <c r="M292" s="8">
        <f>HYPERLINK("https://dart.fss.or.kr/dsaf001/main.do?rcpNo=20260303801180", "공시열람")</f>
        <v/>
      </c>
    </row>
    <row r="293" ht="22" customHeight="1">
      <c r="A293" s="2" t="inlineStr">
        <is>
          <t>2026-03-03</t>
        </is>
      </c>
      <c r="B293" s="3" t="inlineStr">
        <is>
          <t>한국철강</t>
        </is>
      </c>
      <c r="C293" s="2" t="inlineStr">
        <is>
          <t>104700</t>
        </is>
      </c>
      <c r="D293" s="2" t="inlineStr">
        <is>
          <t>임원보고</t>
        </is>
      </c>
      <c r="E293" s="3" t="inlineStr">
        <is>
          <t>-</t>
        </is>
      </c>
      <c r="F293" s="3" t="inlineStr">
        <is>
          <t>-</t>
        </is>
      </c>
      <c r="G293" s="3" t="inlineStr">
        <is>
          <t>-</t>
        </is>
      </c>
      <c r="H293" s="6" t="inlineStr"/>
      <c r="I293" s="6" t="inlineStr"/>
      <c r="J293" s="6" t="inlineStr"/>
      <c r="K293" s="16" t="n">
        <v>12</v>
      </c>
      <c r="L293" s="2" t="inlineStr">
        <is>
          <t>20260303801165</t>
        </is>
      </c>
      <c r="M293" s="8">
        <f>HYPERLINK("https://dart.fss.or.kr/dsaf001/main.do?rcpNo=20260303801165", "공시열람")</f>
        <v/>
      </c>
    </row>
    <row r="294" ht="22" customHeight="1">
      <c r="A294" s="2" t="inlineStr">
        <is>
          <t>2026-03-03</t>
        </is>
      </c>
      <c r="B294" s="3" t="inlineStr">
        <is>
          <t>한스바이오메드</t>
        </is>
      </c>
      <c r="C294" s="2" t="inlineStr">
        <is>
          <t>042520</t>
        </is>
      </c>
      <c r="D294" s="2" t="inlineStr">
        <is>
          <t>대량보유</t>
        </is>
      </c>
      <c r="E294" s="3" t="inlineStr">
        <is>
          <t>KB자산운용</t>
        </is>
      </c>
      <c r="F294" s="3" t="inlineStr">
        <is>
          <t>특별관계자</t>
        </is>
      </c>
      <c r="G294" s="3" t="inlineStr">
        <is>
          <t>장내매도(-), 기타(-), 장외매수(+), 기타(+), 장내매수(+)</t>
        </is>
      </c>
      <c r="H294" s="15" t="n">
        <v>358820</v>
      </c>
      <c r="I294" s="6" t="n">
        <v>37291</v>
      </c>
      <c r="J294" s="6" t="n">
        <v>1289609</v>
      </c>
      <c r="K294" s="16" t="n">
        <v>9.039999999999999</v>
      </c>
      <c r="L294" s="2" t="inlineStr">
        <is>
          <t>20260303002909</t>
        </is>
      </c>
      <c r="M294" s="8">
        <f>HYPERLINK("https://dart.fss.or.kr/dsaf001/main.do?rcpNo=20260303002909", "공시열람")</f>
        <v/>
      </c>
    </row>
    <row r="295" ht="22" customHeight="1">
      <c r="A295" s="2" t="inlineStr">
        <is>
          <t>2026-03-03 (정정: 2026-03-12)</t>
        </is>
      </c>
      <c r="B295" s="3" t="inlineStr">
        <is>
          <t>에이직랜드</t>
        </is>
      </c>
      <c r="C295" s="2" t="inlineStr">
        <is>
          <t>445090</t>
        </is>
      </c>
      <c r="D295" s="2" t="inlineStr">
        <is>
          <t>대량보유</t>
        </is>
      </c>
      <c r="E295" s="3" t="inlineStr">
        <is>
          <t>-</t>
        </is>
      </c>
      <c r="F295" s="3" t="inlineStr">
        <is>
          <t>보고자</t>
        </is>
      </c>
      <c r="G295" s="3" t="inlineStr">
        <is>
          <t>-</t>
        </is>
      </c>
      <c r="H295" s="6" t="inlineStr"/>
      <c r="I295" s="6" t="inlineStr"/>
      <c r="J295" s="6" t="inlineStr"/>
      <c r="K295" s="18" t="inlineStr"/>
      <c r="L295" s="2" t="inlineStr">
        <is>
          <t>20260312001325</t>
        </is>
      </c>
      <c r="M295" s="8">
        <f>HYPERLINK("https://dart.fss.or.kr/dsaf001/main.do?rcpNo=20260312001325", "공시열람")</f>
        <v/>
      </c>
    </row>
    <row r="296" ht="22" customHeight="1">
      <c r="A296" s="2" t="inlineStr">
        <is>
          <t>2026-03-03</t>
        </is>
      </c>
      <c r="B296" s="3" t="inlineStr">
        <is>
          <t>KISCO홀딩스</t>
        </is>
      </c>
      <c r="C296" s="2" t="inlineStr">
        <is>
          <t>001940</t>
        </is>
      </c>
      <c r="D296" s="2" t="inlineStr">
        <is>
          <t>대량보유</t>
        </is>
      </c>
      <c r="E296" s="3" t="inlineStr">
        <is>
          <t>문종인</t>
        </is>
      </c>
      <c r="F296" s="3" t="inlineStr">
        <is>
          <t>특별관계자</t>
        </is>
      </c>
      <c r="G296" s="3" t="inlineStr">
        <is>
          <t>임원퇴임(-)</t>
        </is>
      </c>
      <c r="H296" s="17" t="n">
        <v>-40</v>
      </c>
      <c r="I296" s="6" t="inlineStr"/>
      <c r="J296" s="6" t="inlineStr"/>
      <c r="K296" s="16" t="n">
        <v>11</v>
      </c>
      <c r="L296" s="2" t="inlineStr">
        <is>
          <t>20260303002881</t>
        </is>
      </c>
      <c r="M296" s="8">
        <f>HYPERLINK("https://dart.fss.or.kr/dsaf001/main.do?rcpNo=20260303002881", "공시열람")</f>
        <v/>
      </c>
    </row>
    <row r="297" ht="22" customHeight="1">
      <c r="A297" s="2" t="inlineStr">
        <is>
          <t>2026-03-03</t>
        </is>
      </c>
      <c r="B297" s="3" t="inlineStr">
        <is>
          <t>KISCO홀딩스</t>
        </is>
      </c>
      <c r="C297" s="2" t="inlineStr">
        <is>
          <t>001940</t>
        </is>
      </c>
      <c r="D297" s="2" t="inlineStr">
        <is>
          <t>대량보유</t>
        </is>
      </c>
      <c r="E297" s="3" t="inlineStr">
        <is>
          <t>홍승식</t>
        </is>
      </c>
      <c r="F297" s="3" t="inlineStr">
        <is>
          <t>특별관계자</t>
        </is>
      </c>
      <c r="G297" s="3" t="inlineStr">
        <is>
          <t>신규선임(무상취득)(+)</t>
        </is>
      </c>
      <c r="H297" s="15" t="n">
        <v>40</v>
      </c>
      <c r="I297" s="6" t="n">
        <v>25250</v>
      </c>
      <c r="J297" s="6" t="n">
        <v>40</v>
      </c>
      <c r="K297" s="16" t="n">
        <v>11</v>
      </c>
      <c r="L297" s="2" t="inlineStr">
        <is>
          <t>20260303002881</t>
        </is>
      </c>
      <c r="M297" s="8">
        <f>HYPERLINK("https://dart.fss.or.kr/dsaf001/main.do?rcpNo=20260303002881", "공시열람")</f>
        <v/>
      </c>
    </row>
    <row r="298" ht="22" customHeight="1">
      <c r="A298" s="2" t="inlineStr">
        <is>
          <t>2026-03-03</t>
        </is>
      </c>
      <c r="B298" s="3" t="inlineStr">
        <is>
          <t>에스프리즘</t>
        </is>
      </c>
      <c r="C298" s="2" t="inlineStr">
        <is>
          <t>288620</t>
        </is>
      </c>
      <c r="D298" s="2" t="inlineStr">
        <is>
          <t>대량보유</t>
        </is>
      </c>
      <c r="E298" s="3" t="inlineStr">
        <is>
          <t>홍성민</t>
        </is>
      </c>
      <c r="F298" s="3" t="inlineStr">
        <is>
          <t>특별관계자</t>
        </is>
      </c>
      <c r="G298" s="3" t="inlineStr">
        <is>
          <t>장외매도(-)</t>
        </is>
      </c>
      <c r="H298" s="17" t="n">
        <v>-220000</v>
      </c>
      <c r="I298" s="6" t="n">
        <v>8914</v>
      </c>
      <c r="J298" s="6" t="n">
        <v>259501</v>
      </c>
      <c r="K298" s="16" t="n">
        <v>6</v>
      </c>
      <c r="L298" s="2" t="inlineStr">
        <is>
          <t>20260303002876</t>
        </is>
      </c>
      <c r="M298" s="8">
        <f>HYPERLINK("https://dart.fss.or.kr/dsaf001/main.do?rcpNo=20260303002876", "공시열람")</f>
        <v/>
      </c>
    </row>
    <row r="299" ht="22" customHeight="1">
      <c r="A299" s="2" t="inlineStr">
        <is>
          <t>2026-03-03</t>
        </is>
      </c>
      <c r="B299" s="3" t="inlineStr">
        <is>
          <t>에스프리즘</t>
        </is>
      </c>
      <c r="C299" s="2" t="inlineStr">
        <is>
          <t>288620</t>
        </is>
      </c>
      <c r="D299" s="2" t="inlineStr">
        <is>
          <t>대량보유</t>
        </is>
      </c>
      <c r="E299" s="3" t="inlineStr">
        <is>
          <t>전희권</t>
        </is>
      </c>
      <c r="F299" s="3" t="inlineStr">
        <is>
          <t>특별관계자</t>
        </is>
      </c>
      <c r="G299" s="3" t="inlineStr">
        <is>
          <t>증여(-), 임원퇴임(-)</t>
        </is>
      </c>
      <c r="H299" s="17" t="n">
        <v>-176400</v>
      </c>
      <c r="I299" s="6" t="inlineStr"/>
      <c r="J299" s="6" t="inlineStr"/>
      <c r="K299" s="16" t="n">
        <v>6</v>
      </c>
      <c r="L299" s="2" t="inlineStr">
        <is>
          <t>20260303002876</t>
        </is>
      </c>
      <c r="M299" s="8">
        <f>HYPERLINK("https://dart.fss.or.kr/dsaf001/main.do?rcpNo=20260303002876", "공시열람")</f>
        <v/>
      </c>
    </row>
    <row r="300" ht="22" customHeight="1">
      <c r="A300" s="2" t="inlineStr">
        <is>
          <t>2026-03-03</t>
        </is>
      </c>
      <c r="B300" s="3" t="inlineStr">
        <is>
          <t>에스프리즘</t>
        </is>
      </c>
      <c r="C300" s="2" t="inlineStr">
        <is>
          <t>288620</t>
        </is>
      </c>
      <c r="D300" s="2" t="inlineStr">
        <is>
          <t>대량보유</t>
        </is>
      </c>
      <c r="E300" s="3" t="inlineStr">
        <is>
          <t>김민석</t>
        </is>
      </c>
      <c r="F300" s="3" t="inlineStr">
        <is>
          <t>특별관계자</t>
        </is>
      </c>
      <c r="G300" s="3" t="inlineStr">
        <is>
          <t>장내매도(-)</t>
        </is>
      </c>
      <c r="H300" s="17" t="n">
        <v>-14926</v>
      </c>
      <c r="I300" s="6" t="n">
        <v>28597</v>
      </c>
      <c r="J300" s="6" t="n">
        <v>35324</v>
      </c>
      <c r="K300" s="16" t="n">
        <v>6</v>
      </c>
      <c r="L300" s="2" t="inlineStr">
        <is>
          <t>20260303002876</t>
        </is>
      </c>
      <c r="M300" s="8">
        <f>HYPERLINK("https://dart.fss.or.kr/dsaf001/main.do?rcpNo=20260303002876", "공시열람")</f>
        <v/>
      </c>
    </row>
    <row r="301" ht="22" customHeight="1">
      <c r="A301" s="2" t="inlineStr">
        <is>
          <t>2026-03-03</t>
        </is>
      </c>
      <c r="B301" s="3" t="inlineStr">
        <is>
          <t>에스프리즘</t>
        </is>
      </c>
      <c r="C301" s="2" t="inlineStr">
        <is>
          <t>288620</t>
        </is>
      </c>
      <c r="D301" s="2" t="inlineStr">
        <is>
          <t>대량보유</t>
        </is>
      </c>
      <c r="E301" s="3" t="inlineStr">
        <is>
          <t>조용훈</t>
        </is>
      </c>
      <c r="F301" s="3" t="inlineStr">
        <is>
          <t>특별관계자</t>
        </is>
      </c>
      <c r="G301" s="3" t="inlineStr">
        <is>
          <t>장내매도(-), 임원퇴임(-)</t>
        </is>
      </c>
      <c r="H301" s="17" t="n">
        <v>-40200</v>
      </c>
      <c r="I301" s="6" t="n">
        <v>35253</v>
      </c>
      <c r="J301" s="6" t="inlineStr"/>
      <c r="K301" s="16" t="n">
        <v>6</v>
      </c>
      <c r="L301" s="2" t="inlineStr">
        <is>
          <t>20260303002876</t>
        </is>
      </c>
      <c r="M301" s="8">
        <f>HYPERLINK("https://dart.fss.or.kr/dsaf001/main.do?rcpNo=20260303002876", "공시열람")</f>
        <v/>
      </c>
    </row>
    <row r="302" ht="22" customHeight="1">
      <c r="A302" s="2" t="inlineStr">
        <is>
          <t>2026-03-03</t>
        </is>
      </c>
      <c r="B302" s="3" t="inlineStr">
        <is>
          <t>한국철강</t>
        </is>
      </c>
      <c r="C302" s="2" t="inlineStr">
        <is>
          <t>104700</t>
        </is>
      </c>
      <c r="D302" s="2" t="inlineStr">
        <is>
          <t>대량보유</t>
        </is>
      </c>
      <c r="E302" s="3" t="inlineStr">
        <is>
          <t>문종인</t>
        </is>
      </c>
      <c r="F302" s="3" t="inlineStr">
        <is>
          <t>특별관계자</t>
        </is>
      </c>
      <c r="G302" s="3" t="inlineStr">
        <is>
          <t>임원퇴임(-)</t>
        </is>
      </c>
      <c r="H302" s="17" t="n">
        <v>-120100</v>
      </c>
      <c r="I302" s="6" t="inlineStr"/>
      <c r="J302" s="6" t="inlineStr"/>
      <c r="K302" s="16" t="n">
        <v>11</v>
      </c>
      <c r="L302" s="2" t="inlineStr">
        <is>
          <t>20260303002841</t>
        </is>
      </c>
      <c r="M302" s="8">
        <f>HYPERLINK("https://dart.fss.or.kr/dsaf001/main.do?rcpNo=20260303002841", "공시열람")</f>
        <v/>
      </c>
    </row>
    <row r="303" ht="22" customHeight="1">
      <c r="A303" s="2" t="inlineStr">
        <is>
          <t>2026-03-03</t>
        </is>
      </c>
      <c r="B303" s="3" t="inlineStr">
        <is>
          <t>한국철강</t>
        </is>
      </c>
      <c r="C303" s="2" t="inlineStr">
        <is>
          <t>104700</t>
        </is>
      </c>
      <c r="D303" s="2" t="inlineStr">
        <is>
          <t>대량보유</t>
        </is>
      </c>
      <c r="E303" s="3" t="inlineStr">
        <is>
          <t>탁송수</t>
        </is>
      </c>
      <c r="F303" s="3" t="inlineStr">
        <is>
          <t>특별관계자</t>
        </is>
      </c>
      <c r="G303" s="3" t="inlineStr">
        <is>
          <t>임원퇴임(-)</t>
        </is>
      </c>
      <c r="H303" s="17" t="n">
        <v>-12556</v>
      </c>
      <c r="I303" s="6" t="inlineStr"/>
      <c r="J303" s="6" t="inlineStr"/>
      <c r="K303" s="16" t="n">
        <v>11</v>
      </c>
      <c r="L303" s="2" t="inlineStr">
        <is>
          <t>20260303002841</t>
        </is>
      </c>
      <c r="M303" s="8">
        <f>HYPERLINK("https://dart.fss.or.kr/dsaf001/main.do?rcpNo=20260303002841", "공시열람")</f>
        <v/>
      </c>
    </row>
    <row r="304" ht="22" customHeight="1">
      <c r="A304" s="2" t="inlineStr">
        <is>
          <t>2026-03-03</t>
        </is>
      </c>
      <c r="B304" s="3" t="inlineStr">
        <is>
          <t>한국철강</t>
        </is>
      </c>
      <c r="C304" s="2" t="inlineStr">
        <is>
          <t>104700</t>
        </is>
      </c>
      <c r="D304" s="2" t="inlineStr">
        <is>
          <t>대량보유</t>
        </is>
      </c>
      <c r="E304" s="3" t="inlineStr">
        <is>
          <t>안병중</t>
        </is>
      </c>
      <c r="F304" s="3" t="inlineStr">
        <is>
          <t>특별관계자</t>
        </is>
      </c>
      <c r="G304" s="3" t="inlineStr">
        <is>
          <t>신규선임(무상취득)(+)</t>
        </is>
      </c>
      <c r="H304" s="15" t="n">
        <v>100</v>
      </c>
      <c r="I304" s="6" t="n">
        <v>9710</v>
      </c>
      <c r="J304" s="6" t="n">
        <v>100</v>
      </c>
      <c r="K304" s="16" t="n">
        <v>11</v>
      </c>
      <c r="L304" s="2" t="inlineStr">
        <is>
          <t>20260303002841</t>
        </is>
      </c>
      <c r="M304" s="8">
        <f>HYPERLINK("https://dart.fss.or.kr/dsaf001/main.do?rcpNo=20260303002841", "공시열람")</f>
        <v/>
      </c>
    </row>
    <row r="305" ht="22" customHeight="1">
      <c r="A305" s="2" t="inlineStr">
        <is>
          <t>2026-03-03</t>
        </is>
      </c>
      <c r="B305" s="3" t="inlineStr">
        <is>
          <t>피에스케이</t>
        </is>
      </c>
      <c r="C305" s="2" t="inlineStr">
        <is>
          <t>319660</t>
        </is>
      </c>
      <c r="D305" s="2" t="inlineStr">
        <is>
          <t>대량보유</t>
        </is>
      </c>
      <c r="E305" s="3" t="inlineStr">
        <is>
          <t>베어링고배당증권투자회사(주식)</t>
        </is>
      </c>
      <c r="F305" s="3" t="inlineStr">
        <is>
          <t>특별관계자</t>
        </is>
      </c>
      <c r="G305" s="3" t="inlineStr">
        <is>
          <t>장내매도(-), 장내매수(+)</t>
        </is>
      </c>
      <c r="H305" s="17" t="n">
        <v>-22490</v>
      </c>
      <c r="I305" s="6" t="n">
        <v>37152</v>
      </c>
      <c r="J305" s="6" t="n">
        <v>1463665</v>
      </c>
      <c r="K305" s="16" t="n">
        <v>3</v>
      </c>
      <c r="L305" s="2" t="inlineStr">
        <is>
          <t>20260303002827</t>
        </is>
      </c>
      <c r="M305" s="8">
        <f>HYPERLINK("https://dart.fss.or.kr/dsaf001/main.do?rcpNo=20260303002827", "공시열람")</f>
        <v/>
      </c>
    </row>
    <row r="306" ht="22" customHeight="1">
      <c r="A306" s="2" t="inlineStr">
        <is>
          <t>2026-03-03</t>
        </is>
      </c>
      <c r="B306" s="3" t="inlineStr">
        <is>
          <t>피에스케이</t>
        </is>
      </c>
      <c r="C306" s="2" t="inlineStr">
        <is>
          <t>319660</t>
        </is>
      </c>
      <c r="D306" s="2" t="inlineStr">
        <is>
          <t>대량보유</t>
        </is>
      </c>
      <c r="E306" s="3" t="inlineStr">
        <is>
          <t>베어링고배당밸런스드60증권투자회사(주식혼합)</t>
        </is>
      </c>
      <c r="F306" s="3" t="inlineStr">
        <is>
          <t>특별관계자</t>
        </is>
      </c>
      <c r="G306" s="3" t="inlineStr">
        <is>
          <t>장내매도(-), 장내매수(+)</t>
        </is>
      </c>
      <c r="H306" s="17" t="n">
        <v>-1008</v>
      </c>
      <c r="I306" s="6" t="n">
        <v>37520</v>
      </c>
      <c r="J306" s="6" t="n">
        <v>1463634</v>
      </c>
      <c r="K306" s="16" t="n">
        <v>3</v>
      </c>
      <c r="L306" s="2" t="inlineStr">
        <is>
          <t>20260303002827</t>
        </is>
      </c>
      <c r="M306" s="8">
        <f>HYPERLINK("https://dart.fss.or.kr/dsaf001/main.do?rcpNo=20260303002827", "공시열람")</f>
        <v/>
      </c>
    </row>
    <row r="307" ht="22" customHeight="1">
      <c r="A307" s="2" t="inlineStr">
        <is>
          <t>2026-03-03</t>
        </is>
      </c>
      <c r="B307" s="3" t="inlineStr">
        <is>
          <t>피에스케이</t>
        </is>
      </c>
      <c r="C307" s="2" t="inlineStr">
        <is>
          <t>319660</t>
        </is>
      </c>
      <c r="D307" s="2" t="inlineStr">
        <is>
          <t>대량보유</t>
        </is>
      </c>
      <c r="E307" s="3" t="inlineStr">
        <is>
          <t>베어링자산운용</t>
        </is>
      </c>
      <c r="F307" s="3" t="inlineStr">
        <is>
          <t>특별관계자</t>
        </is>
      </c>
      <c r="G307" s="3" t="inlineStr">
        <is>
          <t>장내매도(-), 장내매수(+), 기타(-)</t>
        </is>
      </c>
      <c r="H307" s="17" t="n">
        <v>-296357</v>
      </c>
      <c r="I307" s="6" t="n">
        <v>41191</v>
      </c>
      <c r="J307" s="6" t="n">
        <v>1433751</v>
      </c>
      <c r="K307" s="16" t="n">
        <v>3</v>
      </c>
      <c r="L307" s="2" t="inlineStr">
        <is>
          <t>20260303002827</t>
        </is>
      </c>
      <c r="M307" s="8">
        <f>HYPERLINK("https://dart.fss.or.kr/dsaf001/main.do?rcpNo=20260303002827", "공시열람")</f>
        <v/>
      </c>
    </row>
    <row r="308" ht="22" customHeight="1">
      <c r="A308" s="2" t="inlineStr">
        <is>
          <t>2026-03-03</t>
        </is>
      </c>
      <c r="B308" s="3" t="inlineStr">
        <is>
          <t>엑스큐어</t>
        </is>
      </c>
      <c r="C308" s="2" t="inlineStr">
        <is>
          <t>070300</t>
        </is>
      </c>
      <c r="D308" s="2" t="inlineStr">
        <is>
          <t>대량보유</t>
        </is>
      </c>
      <c r="E308" s="3" t="inlineStr">
        <is>
          <t>브이에스티디(VSTD)투자조합</t>
        </is>
      </c>
      <c r="F308" s="3" t="inlineStr">
        <is>
          <t>특별관계자</t>
        </is>
      </c>
      <c r="G308" s="3" t="inlineStr">
        <is>
          <t>특별관계해소(-)</t>
        </is>
      </c>
      <c r="H308" s="17" t="n">
        <v>-2385027</v>
      </c>
      <c r="I308" s="6" t="inlineStr"/>
      <c r="J308" s="6" t="n">
        <v>2959975</v>
      </c>
      <c r="K308" s="16" t="n">
        <v>3</v>
      </c>
      <c r="L308" s="2" t="inlineStr">
        <is>
          <t>20260303002714</t>
        </is>
      </c>
      <c r="M308" s="8">
        <f>HYPERLINK("https://dart.fss.or.kr/dsaf001/main.do?rcpNo=20260303002714", "공시열람")</f>
        <v/>
      </c>
    </row>
    <row r="309" ht="22" customHeight="1">
      <c r="A309" s="2" t="inlineStr">
        <is>
          <t>2026-03-03</t>
        </is>
      </c>
      <c r="B309" s="3" t="inlineStr">
        <is>
          <t>티에프이</t>
        </is>
      </c>
      <c r="C309" s="2" t="inlineStr">
        <is>
          <t>425420</t>
        </is>
      </c>
      <c r="D309" s="2" t="inlineStr">
        <is>
          <t>대량보유</t>
        </is>
      </c>
      <c r="E309" s="3" t="inlineStr">
        <is>
          <t>미래에셋자산운용</t>
        </is>
      </c>
      <c r="F309" s="3" t="inlineStr">
        <is>
          <t>특별관계자</t>
        </is>
      </c>
      <c r="G309" s="3" t="inlineStr">
        <is>
          <t>장내매도(-)</t>
        </is>
      </c>
      <c r="H309" s="17" t="n">
        <v>-41138</v>
      </c>
      <c r="I309" s="6" t="n">
        <v>0</v>
      </c>
      <c r="J309" s="6" t="n">
        <v>565441</v>
      </c>
      <c r="K309" s="16" t="n">
        <v>4.73</v>
      </c>
      <c r="L309" s="2" t="inlineStr">
        <is>
          <t>20260303002683</t>
        </is>
      </c>
      <c r="M309" s="8">
        <f>HYPERLINK("https://dart.fss.or.kr/dsaf001/main.do?rcpNo=20260303002683", "공시열람")</f>
        <v/>
      </c>
    </row>
    <row r="310" ht="22" customHeight="1">
      <c r="A310" s="2" t="inlineStr">
        <is>
          <t>2026-03-03</t>
        </is>
      </c>
      <c r="B310" s="3" t="inlineStr">
        <is>
          <t>코람코더원리츠</t>
        </is>
      </c>
      <c r="C310" s="2" t="inlineStr">
        <is>
          <t>417310</t>
        </is>
      </c>
      <c r="D310" s="2" t="inlineStr">
        <is>
          <t>대량보유</t>
        </is>
      </c>
      <c r="E310" s="3" t="inlineStr">
        <is>
          <t>미래에셋자산운용</t>
        </is>
      </c>
      <c r="F310" s="3" t="inlineStr">
        <is>
          <t>특별관계자</t>
        </is>
      </c>
      <c r="G310" s="3" t="inlineStr">
        <is>
          <t>기타(+), 장내매도(-), 기타(-)</t>
        </is>
      </c>
      <c r="H310" s="15" t="n">
        <v>531456</v>
      </c>
      <c r="I310" s="6" t="n">
        <v>6249</v>
      </c>
      <c r="J310" s="6" t="n">
        <v>5617091</v>
      </c>
      <c r="K310" s="16" t="n">
        <v>13.9</v>
      </c>
      <c r="L310" s="2" t="inlineStr">
        <is>
          <t>20260303002680</t>
        </is>
      </c>
      <c r="M310" s="8">
        <f>HYPERLINK("https://dart.fss.or.kr/dsaf001/main.do?rcpNo=20260303002680", "공시열람")</f>
        <v/>
      </c>
    </row>
    <row r="311" ht="22" customHeight="1">
      <c r="A311" s="2" t="inlineStr">
        <is>
          <t>2026-03-03</t>
        </is>
      </c>
      <c r="B311" s="3" t="inlineStr">
        <is>
          <t>씨엠티엑스</t>
        </is>
      </c>
      <c r="C311" s="2" t="inlineStr">
        <is>
          <t>388210</t>
        </is>
      </c>
      <c r="D311" s="2" t="inlineStr">
        <is>
          <t>대량보유</t>
        </is>
      </c>
      <c r="E311" s="3" t="inlineStr">
        <is>
          <t>미래에셋자산운용</t>
        </is>
      </c>
      <c r="F311" s="3" t="inlineStr">
        <is>
          <t>특별관계자</t>
        </is>
      </c>
      <c r="G311" s="3" t="inlineStr">
        <is>
          <t>장내매도(-), 기타(+), 장내매수(+), 기타(-)</t>
        </is>
      </c>
      <c r="H311" s="17" t="n">
        <v>-17130</v>
      </c>
      <c r="I311" s="6" t="n">
        <v>53295</v>
      </c>
      <c r="J311" s="6" t="n">
        <v>448776</v>
      </c>
      <c r="K311" s="16" t="n">
        <v>3</v>
      </c>
      <c r="L311" s="2" t="inlineStr">
        <is>
          <t>20260303002678</t>
        </is>
      </c>
      <c r="M311" s="8">
        <f>HYPERLINK("https://dart.fss.or.kr/dsaf001/main.do?rcpNo=20260303002678", "공시열람")</f>
        <v/>
      </c>
    </row>
    <row r="312" ht="22" customHeight="1">
      <c r="A312" s="2" t="inlineStr">
        <is>
          <t>2026-03-03</t>
        </is>
      </c>
      <c r="B312" s="3" t="inlineStr">
        <is>
          <t>씨엠티엑스</t>
        </is>
      </c>
      <c r="C312" s="2" t="inlineStr">
        <is>
          <t>388210</t>
        </is>
      </c>
      <c r="D312" s="2" t="inlineStr">
        <is>
          <t>대량보유</t>
        </is>
      </c>
      <c r="E312" s="3" t="inlineStr">
        <is>
          <t>미래에셋드림타겟증권(주식)</t>
        </is>
      </c>
      <c r="F312" s="3" t="inlineStr">
        <is>
          <t>특별관계자</t>
        </is>
      </c>
      <c r="G312" s="3" t="inlineStr">
        <is>
          <t>장내매도(-), 장내매수(+)</t>
        </is>
      </c>
      <c r="H312" s="17" t="n">
        <v>-535</v>
      </c>
      <c r="I312" s="6" t="n">
        <v>54337</v>
      </c>
      <c r="J312" s="6" t="n">
        <v>1538</v>
      </c>
      <c r="K312" s="16" t="n">
        <v>3</v>
      </c>
      <c r="L312" s="2" t="inlineStr">
        <is>
          <t>20260303002678</t>
        </is>
      </c>
      <c r="M312" s="8">
        <f>HYPERLINK("https://dart.fss.or.kr/dsaf001/main.do?rcpNo=20260303002678", "공시열람")</f>
        <v/>
      </c>
    </row>
    <row r="313" ht="22" customHeight="1">
      <c r="A313" s="2" t="inlineStr">
        <is>
          <t>2026-03-03</t>
        </is>
      </c>
      <c r="B313" s="3" t="inlineStr">
        <is>
          <t>씨엠티엑스</t>
        </is>
      </c>
      <c r="C313" s="2" t="inlineStr">
        <is>
          <t>388210</t>
        </is>
      </c>
      <c r="D313" s="2" t="inlineStr">
        <is>
          <t>대량보유</t>
        </is>
      </c>
      <c r="E313" s="3" t="inlineStr">
        <is>
          <t>미래에셋인디펜던스증권투자회사(주식)</t>
        </is>
      </c>
      <c r="F313" s="3" t="inlineStr">
        <is>
          <t>특별관계자</t>
        </is>
      </c>
      <c r="G313" s="3" t="inlineStr">
        <is>
          <t>장내매수(+)</t>
        </is>
      </c>
      <c r="H313" s="15" t="n">
        <v>3166</v>
      </c>
      <c r="I313" s="6" t="n">
        <v>99569</v>
      </c>
      <c r="J313" s="6" t="n">
        <v>3166</v>
      </c>
      <c r="K313" s="16" t="n">
        <v>3</v>
      </c>
      <c r="L313" s="2" t="inlineStr">
        <is>
          <t>20260303002678</t>
        </is>
      </c>
      <c r="M313" s="8">
        <f>HYPERLINK("https://dart.fss.or.kr/dsaf001/main.do?rcpNo=20260303002678", "공시열람")</f>
        <v/>
      </c>
    </row>
    <row r="314" ht="22" customHeight="1">
      <c r="A314" s="2" t="inlineStr">
        <is>
          <t>2026-03-03</t>
        </is>
      </c>
      <c r="B314" s="3" t="inlineStr">
        <is>
          <t>씨엠티엑스</t>
        </is>
      </c>
      <c r="C314" s="2" t="inlineStr">
        <is>
          <t>388210</t>
        </is>
      </c>
      <c r="D314" s="2" t="inlineStr">
        <is>
          <t>대량보유</t>
        </is>
      </c>
      <c r="E314" s="3" t="inlineStr">
        <is>
          <t>미래에셋디스커버리증권(주식)</t>
        </is>
      </c>
      <c r="F314" s="3" t="inlineStr">
        <is>
          <t>특별관계자</t>
        </is>
      </c>
      <c r="G314" s="3" t="inlineStr">
        <is>
          <t>장내매수(+), 장내매도(-)</t>
        </is>
      </c>
      <c r="H314" s="15" t="n">
        <v>1016</v>
      </c>
      <c r="I314" s="6" t="n">
        <v>58377</v>
      </c>
      <c r="J314" s="6" t="n">
        <v>6168</v>
      </c>
      <c r="K314" s="16" t="n">
        <v>3</v>
      </c>
      <c r="L314" s="2" t="inlineStr">
        <is>
          <t>20260303002678</t>
        </is>
      </c>
      <c r="M314" s="8">
        <f>HYPERLINK("https://dart.fss.or.kr/dsaf001/main.do?rcpNo=20260303002678", "공시열람")</f>
        <v/>
      </c>
    </row>
    <row r="315" ht="22" customHeight="1">
      <c r="A315" s="2" t="inlineStr">
        <is>
          <t>2026-03-03</t>
        </is>
      </c>
      <c r="B315" s="3" t="inlineStr">
        <is>
          <t>신한서부티엔디리츠</t>
        </is>
      </c>
      <c r="C315" s="2" t="inlineStr">
        <is>
          <t>404990</t>
        </is>
      </c>
      <c r="D315" s="2" t="inlineStr">
        <is>
          <t>대량보유</t>
        </is>
      </c>
      <c r="E315" s="3" t="inlineStr">
        <is>
          <t>미래에셋자산운용</t>
        </is>
      </c>
      <c r="F315" s="3" t="inlineStr">
        <is>
          <t>특별관계자</t>
        </is>
      </c>
      <c r="G315" s="3" t="inlineStr">
        <is>
          <t>기타(+), 장내매수(+), 기타(-), 장내매도(-)</t>
        </is>
      </c>
      <c r="H315" s="15" t="n">
        <v>1157529</v>
      </c>
      <c r="I315" s="6" t="n">
        <v>3178</v>
      </c>
      <c r="J315" s="6" t="n">
        <v>6844588</v>
      </c>
      <c r="K315" s="16" t="n">
        <v>11.58</v>
      </c>
      <c r="L315" s="2" t="inlineStr">
        <is>
          <t>20260303002676</t>
        </is>
      </c>
      <c r="M315" s="8">
        <f>HYPERLINK("https://dart.fss.or.kr/dsaf001/main.do?rcpNo=20260303002676", "공시열람")</f>
        <v/>
      </c>
    </row>
    <row r="316" ht="22" customHeight="1">
      <c r="A316" s="2" t="inlineStr">
        <is>
          <t>2026-03-03</t>
        </is>
      </c>
      <c r="B316" s="3" t="inlineStr">
        <is>
          <t>솔브레인</t>
        </is>
      </c>
      <c r="C316" s="2" t="inlineStr">
        <is>
          <t>357780</t>
        </is>
      </c>
      <c r="D316" s="2" t="inlineStr">
        <is>
          <t>대량보유</t>
        </is>
      </c>
      <c r="E316" s="3" t="inlineStr">
        <is>
          <t>미래에셋자산운용</t>
        </is>
      </c>
      <c r="F316" s="3" t="inlineStr">
        <is>
          <t>특별관계자</t>
        </is>
      </c>
      <c r="G316" s="3" t="inlineStr">
        <is>
          <t>기타(+), 기타(-), 장내매수(+), 장내매도(-)</t>
        </is>
      </c>
      <c r="H316" s="15" t="n">
        <v>118512</v>
      </c>
      <c r="I316" s="6" t="n">
        <v>325826</v>
      </c>
      <c r="J316" s="6" t="n">
        <v>519785</v>
      </c>
      <c r="K316" s="16" t="n">
        <v>1</v>
      </c>
      <c r="L316" s="2" t="inlineStr">
        <is>
          <t>20260303002674</t>
        </is>
      </c>
      <c r="M316" s="8">
        <f>HYPERLINK("https://dart.fss.or.kr/dsaf001/main.do?rcpNo=20260303002674", "공시열람")</f>
        <v/>
      </c>
    </row>
    <row r="317" ht="22" customHeight="1">
      <c r="A317" s="2" t="inlineStr">
        <is>
          <t>2026-03-03</t>
        </is>
      </c>
      <c r="B317" s="3" t="inlineStr">
        <is>
          <t>솔브레인</t>
        </is>
      </c>
      <c r="C317" s="2" t="inlineStr">
        <is>
          <t>357780</t>
        </is>
      </c>
      <c r="D317" s="2" t="inlineStr">
        <is>
          <t>대량보유</t>
        </is>
      </c>
      <c r="E317" s="3" t="inlineStr">
        <is>
          <t>미래에셋드림타겟증권(주식)</t>
        </is>
      </c>
      <c r="F317" s="3" t="inlineStr">
        <is>
          <t>특별관계자</t>
        </is>
      </c>
      <c r="G317" s="3" t="inlineStr">
        <is>
          <t>장내매수(+), 장내매도(-)</t>
        </is>
      </c>
      <c r="H317" s="6" t="inlineStr"/>
      <c r="I317" s="6" t="n">
        <v>215746</v>
      </c>
      <c r="J317" s="6" t="inlineStr"/>
      <c r="K317" s="16" t="n">
        <v>1</v>
      </c>
      <c r="L317" s="2" t="inlineStr">
        <is>
          <t>20260303002674</t>
        </is>
      </c>
      <c r="M317" s="8">
        <f>HYPERLINK("https://dart.fss.or.kr/dsaf001/main.do?rcpNo=20260303002674", "공시열람")</f>
        <v/>
      </c>
    </row>
    <row r="318" ht="22" customHeight="1">
      <c r="A318" s="2" t="inlineStr">
        <is>
          <t>2026-03-03</t>
        </is>
      </c>
      <c r="B318" s="3" t="inlineStr">
        <is>
          <t>대한조선</t>
        </is>
      </c>
      <c r="C318" s="2" t="inlineStr">
        <is>
          <t>439260</t>
        </is>
      </c>
      <c r="D318" s="2" t="inlineStr">
        <is>
          <t>임원보고</t>
        </is>
      </c>
      <c r="E318" s="3" t="inlineStr">
        <is>
          <t>-</t>
        </is>
      </c>
      <c r="F318" s="3" t="inlineStr">
        <is>
          <t>-</t>
        </is>
      </c>
      <c r="G318" s="3" t="inlineStr">
        <is>
          <t>-</t>
        </is>
      </c>
      <c r="H318" s="6" t="inlineStr"/>
      <c r="I318" s="6" t="inlineStr"/>
      <c r="J318" s="6" t="inlineStr"/>
      <c r="K318" s="16" t="n">
        <v>12</v>
      </c>
      <c r="L318" s="2" t="inlineStr">
        <is>
          <t>20260303800996</t>
        </is>
      </c>
      <c r="M318" s="8">
        <f>HYPERLINK("https://dart.fss.or.kr/dsaf001/main.do?rcpNo=20260303800996", "공시열람")</f>
        <v/>
      </c>
    </row>
    <row r="319" ht="22" customHeight="1">
      <c r="A319" s="2" t="inlineStr">
        <is>
          <t>2026-03-03</t>
        </is>
      </c>
      <c r="B319" s="3" t="inlineStr">
        <is>
          <t>미래에셋맵스리츠</t>
        </is>
      </c>
      <c r="C319" s="2" t="inlineStr">
        <is>
          <t>357250</t>
        </is>
      </c>
      <c r="D319" s="2" t="inlineStr">
        <is>
          <t>대량보유</t>
        </is>
      </c>
      <c r="E319" s="3" t="inlineStr">
        <is>
          <t>미래에셋자산운용</t>
        </is>
      </c>
      <c r="F319" s="3" t="inlineStr">
        <is>
          <t>특별관계자</t>
        </is>
      </c>
      <c r="G319" s="3" t="inlineStr">
        <is>
          <t>장내매도(-)</t>
        </is>
      </c>
      <c r="H319" s="17" t="n">
        <v>-289399</v>
      </c>
      <c r="I319" s="6" t="n">
        <v>0</v>
      </c>
      <c r="J319" s="6" t="n">
        <v>2807945</v>
      </c>
      <c r="K319" s="16" t="n">
        <v>11.23</v>
      </c>
      <c r="L319" s="2" t="inlineStr">
        <is>
          <t>20260303002672</t>
        </is>
      </c>
      <c r="M319" s="8">
        <f>HYPERLINK("https://dart.fss.or.kr/dsaf001/main.do?rcpNo=20260303002672", "공시열람")</f>
        <v/>
      </c>
    </row>
    <row r="320" ht="22" customHeight="1">
      <c r="A320" s="2" t="inlineStr">
        <is>
          <t>2026-03-03</t>
        </is>
      </c>
      <c r="B320" s="3" t="inlineStr">
        <is>
          <t>디앤디플랫폼리츠</t>
        </is>
      </c>
      <c r="C320" s="2" t="inlineStr">
        <is>
          <t>377190</t>
        </is>
      </c>
      <c r="D320" s="2" t="inlineStr">
        <is>
          <t>대량보유</t>
        </is>
      </c>
      <c r="E320" s="3" t="inlineStr">
        <is>
          <t>미래에셋자산운용</t>
        </is>
      </c>
      <c r="F320" s="3" t="inlineStr">
        <is>
          <t>특별관계자</t>
        </is>
      </c>
      <c r="G320" s="3" t="inlineStr">
        <is>
          <t>기타(+), 장내매도(-), 기타(-), 장내매수(+)</t>
        </is>
      </c>
      <c r="H320" s="15" t="n">
        <v>880074</v>
      </c>
      <c r="I320" s="6" t="n">
        <v>2199</v>
      </c>
      <c r="J320" s="6" t="n">
        <v>23313302</v>
      </c>
      <c r="K320" s="16" t="n">
        <v>26.37</v>
      </c>
      <c r="L320" s="2" t="inlineStr">
        <is>
          <t>20260303002671</t>
        </is>
      </c>
      <c r="M320" s="8">
        <f>HYPERLINK("https://dart.fss.or.kr/dsaf001/main.do?rcpNo=20260303002671", "공시열람")</f>
        <v/>
      </c>
    </row>
    <row r="321" ht="22" customHeight="1">
      <c r="A321" s="2" t="inlineStr">
        <is>
          <t>2026-03-03</t>
        </is>
      </c>
      <c r="B321" s="3" t="inlineStr">
        <is>
          <t>KB발해인프라</t>
        </is>
      </c>
      <c r="C321" s="2" t="inlineStr">
        <is>
          <t>415640</t>
        </is>
      </c>
      <c r="D321" s="2" t="inlineStr">
        <is>
          <t>대량보유</t>
        </is>
      </c>
      <c r="E321" s="3" t="inlineStr">
        <is>
          <t>미래에셋자산운용</t>
        </is>
      </c>
      <c r="F321" s="3" t="inlineStr">
        <is>
          <t>특별관계자</t>
        </is>
      </c>
      <c r="G321" s="3" t="inlineStr">
        <is>
          <t>기타(+), 장내매수(+), 기타(-), 장내매도(-)</t>
        </is>
      </c>
      <c r="H321" s="15" t="n">
        <v>2015858</v>
      </c>
      <c r="I321" s="6" t="n">
        <v>7684</v>
      </c>
      <c r="J321" s="6" t="n">
        <v>14202493</v>
      </c>
      <c r="K321" s="16" t="n">
        <v>11.59</v>
      </c>
      <c r="L321" s="2" t="inlineStr">
        <is>
          <t>20260303002670</t>
        </is>
      </c>
      <c r="M321" s="8">
        <f>HYPERLINK("https://dart.fss.or.kr/dsaf001/main.do?rcpNo=20260303002670", "공시열람")</f>
        <v/>
      </c>
    </row>
    <row r="322" ht="22" customHeight="1">
      <c r="A322" s="2" t="inlineStr">
        <is>
          <t>2026-03-03</t>
        </is>
      </c>
      <c r="B322" s="3" t="inlineStr">
        <is>
          <t>HPSP</t>
        </is>
      </c>
      <c r="C322" s="2" t="inlineStr">
        <is>
          <t>403870</t>
        </is>
      </c>
      <c r="D322" s="2" t="inlineStr">
        <is>
          <t>대량보유</t>
        </is>
      </c>
      <c r="E322" s="3" t="inlineStr">
        <is>
          <t>미래에셋자산운용</t>
        </is>
      </c>
      <c r="F322" s="3" t="inlineStr">
        <is>
          <t>특별관계자</t>
        </is>
      </c>
      <c r="G322" s="3" t="inlineStr">
        <is>
          <t>기타(+), 기타(-), 장내매도(-), 장내매수(+)</t>
        </is>
      </c>
      <c r="H322" s="15" t="n">
        <v>1493121</v>
      </c>
      <c r="I322" s="6" t="n">
        <v>26853</v>
      </c>
      <c r="J322" s="6" t="n">
        <v>5757053</v>
      </c>
      <c r="K322" s="16" t="n">
        <v>6.85</v>
      </c>
      <c r="L322" s="2" t="inlineStr">
        <is>
          <t>20260303002669</t>
        </is>
      </c>
      <c r="M322" s="8">
        <f>HYPERLINK("https://dart.fss.or.kr/dsaf001/main.do?rcpNo=20260303002669", "공시열람")</f>
        <v/>
      </c>
    </row>
    <row r="323" ht="22" customHeight="1">
      <c r="A323" s="2" t="inlineStr">
        <is>
          <t>2026-03-03</t>
        </is>
      </c>
      <c r="B323" s="3" t="inlineStr">
        <is>
          <t>ESR켄달스퀘어리츠</t>
        </is>
      </c>
      <c r="C323" s="2" t="inlineStr">
        <is>
          <t>365550</t>
        </is>
      </c>
      <c r="D323" s="2" t="inlineStr">
        <is>
          <t>대량보유</t>
        </is>
      </c>
      <c r="E323" s="3" t="inlineStr">
        <is>
          <t>미래에셋자산운용</t>
        </is>
      </c>
      <c r="F323" s="3" t="inlineStr">
        <is>
          <t>특별관계자</t>
        </is>
      </c>
      <c r="G323" s="3" t="inlineStr">
        <is>
          <t>기타(+), 장내매도(-), 장내매수(+), 기타(-)</t>
        </is>
      </c>
      <c r="H323" s="15" t="n">
        <v>3616365</v>
      </c>
      <c r="I323" s="6" t="n">
        <v>3032</v>
      </c>
      <c r="J323" s="6" t="n">
        <v>41274552</v>
      </c>
      <c r="K323" s="16" t="n">
        <v>16.77</v>
      </c>
      <c r="L323" s="2" t="inlineStr">
        <is>
          <t>20260303002667</t>
        </is>
      </c>
      <c r="M323" s="8">
        <f>HYPERLINK("https://dart.fss.or.kr/dsaf001/main.do?rcpNo=20260303002667", "공시열람")</f>
        <v/>
      </c>
    </row>
    <row r="324" ht="22" customHeight="1">
      <c r="A324" s="2" t="inlineStr">
        <is>
          <t>2026-03-03 (정정: 2026-03-03)</t>
        </is>
      </c>
      <c r="B324" s="3" t="inlineStr">
        <is>
          <t>삼성FN리츠</t>
        </is>
      </c>
      <c r="C324" s="2" t="inlineStr">
        <is>
          <t>448730</t>
        </is>
      </c>
      <c r="D324" s="2" t="inlineStr">
        <is>
          <t>대량보유</t>
        </is>
      </c>
      <c r="E324" s="3" t="inlineStr">
        <is>
          <t>-</t>
        </is>
      </c>
      <c r="F324" s="3" t="inlineStr">
        <is>
          <t>보고자</t>
        </is>
      </c>
      <c r="G324" s="3" t="inlineStr">
        <is>
          <t>-</t>
        </is>
      </c>
      <c r="H324" s="6" t="inlineStr"/>
      <c r="I324" s="6" t="inlineStr"/>
      <c r="J324" s="6" t="inlineStr"/>
      <c r="K324" s="18" t="inlineStr"/>
      <c r="L324" s="2" t="inlineStr">
        <is>
          <t>20260303800517</t>
        </is>
      </c>
      <c r="M324" s="8">
        <f>HYPERLINK("https://dart.fss.or.kr/dsaf001/main.do?rcpNo=20260303800517", "공시열람")</f>
        <v/>
      </c>
    </row>
    <row r="325" ht="22" customHeight="1">
      <c r="A325" s="2" t="inlineStr">
        <is>
          <t>2026-03-03</t>
        </is>
      </c>
      <c r="B325" s="3" t="inlineStr">
        <is>
          <t>KB스타리츠</t>
        </is>
      </c>
      <c r="C325" s="2" t="inlineStr">
        <is>
          <t>432320</t>
        </is>
      </c>
      <c r="D325" s="2" t="inlineStr">
        <is>
          <t>대량보유</t>
        </is>
      </c>
      <c r="E325" s="3" t="inlineStr">
        <is>
          <t>미래에셋자산운용</t>
        </is>
      </c>
      <c r="F325" s="3" t="inlineStr">
        <is>
          <t>특별관계자</t>
        </is>
      </c>
      <c r="G325" s="3" t="inlineStr">
        <is>
          <t>기타(+), 기타(-), 장내매도(-), 장내매수(+)</t>
        </is>
      </c>
      <c r="H325" s="15" t="n">
        <v>1439136</v>
      </c>
      <c r="I325" s="6" t="n">
        <v>2558</v>
      </c>
      <c r="J325" s="6" t="n">
        <v>10398774</v>
      </c>
      <c r="K325" s="16" t="n">
        <v>10.25</v>
      </c>
      <c r="L325" s="2" t="inlineStr">
        <is>
          <t>20260303002659</t>
        </is>
      </c>
      <c r="M325" s="8">
        <f>HYPERLINK("https://dart.fss.or.kr/dsaf001/main.do?rcpNo=20260303002659", "공시열람")</f>
        <v/>
      </c>
    </row>
    <row r="326" ht="22" customHeight="1">
      <c r="A326" s="2" t="inlineStr">
        <is>
          <t>2026-03-03</t>
        </is>
      </c>
      <c r="B326" s="3" t="inlineStr">
        <is>
          <t>코람코라이프인프라리츠</t>
        </is>
      </c>
      <c r="C326" s="2" t="inlineStr">
        <is>
          <t>357120</t>
        </is>
      </c>
      <c r="D326" s="2" t="inlineStr">
        <is>
          <t>대량보유</t>
        </is>
      </c>
      <c r="E326" s="3" t="inlineStr">
        <is>
          <t>미래에셋자산운용</t>
        </is>
      </c>
      <c r="F326" s="3" t="inlineStr">
        <is>
          <t>특별관계자</t>
        </is>
      </c>
      <c r="G326" s="3" t="inlineStr">
        <is>
          <t>기타(+), 장내매도(-), 기타(-), 장내매수(+)</t>
        </is>
      </c>
      <c r="H326" s="15" t="n">
        <v>1165778</v>
      </c>
      <c r="I326" s="6" t="n">
        <v>3091</v>
      </c>
      <c r="J326" s="6" t="n">
        <v>25481937</v>
      </c>
      <c r="K326" s="16" t="n">
        <v>26.18</v>
      </c>
      <c r="L326" s="2" t="inlineStr">
        <is>
          <t>20260303002656</t>
        </is>
      </c>
      <c r="M326" s="8">
        <f>HYPERLINK("https://dart.fss.or.kr/dsaf001/main.do?rcpNo=20260303002656", "공시열람")</f>
        <v/>
      </c>
    </row>
    <row r="327" ht="22" customHeight="1">
      <c r="A327" s="2" t="inlineStr">
        <is>
          <t>2026-03-03</t>
        </is>
      </c>
      <c r="B327" s="3" t="inlineStr">
        <is>
          <t>넥스틴</t>
        </is>
      </c>
      <c r="C327" s="2" t="inlineStr">
        <is>
          <t>348210</t>
        </is>
      </c>
      <c r="D327" s="2" t="inlineStr">
        <is>
          <t>대량보유</t>
        </is>
      </c>
      <c r="E327" s="3" t="inlineStr">
        <is>
          <t>미래에셋자산운용</t>
        </is>
      </c>
      <c r="F327" s="3" t="inlineStr">
        <is>
          <t>특별관계자</t>
        </is>
      </c>
      <c r="G327" s="3" t="inlineStr">
        <is>
          <t>기타(+), 기타(-), 장내매도(-), 장내매수(+)</t>
        </is>
      </c>
      <c r="H327" s="17" t="n">
        <v>-185778</v>
      </c>
      <c r="I327" s="6" t="n">
        <v>24921</v>
      </c>
      <c r="J327" s="6" t="n">
        <v>501650</v>
      </c>
      <c r="K327" s="16" t="n">
        <v>3</v>
      </c>
      <c r="L327" s="2" t="inlineStr">
        <is>
          <t>20260303002654</t>
        </is>
      </c>
      <c r="M327" s="8">
        <f>HYPERLINK("https://dart.fss.or.kr/dsaf001/main.do?rcpNo=20260303002654", "공시열람")</f>
        <v/>
      </c>
    </row>
    <row r="328" ht="22" customHeight="1">
      <c r="A328" s="2" t="inlineStr">
        <is>
          <t>2026-03-03</t>
        </is>
      </c>
      <c r="B328" s="3" t="inlineStr">
        <is>
          <t>넥스틴</t>
        </is>
      </c>
      <c r="C328" s="2" t="inlineStr">
        <is>
          <t>348210</t>
        </is>
      </c>
      <c r="D328" s="2" t="inlineStr">
        <is>
          <t>대량보유</t>
        </is>
      </c>
      <c r="E328" s="3" t="inlineStr">
        <is>
          <t>미래에셋드림타겟증권(주식)</t>
        </is>
      </c>
      <c r="F328" s="3" t="inlineStr">
        <is>
          <t>특별관계자</t>
        </is>
      </c>
      <c r="G328" s="3" t="inlineStr">
        <is>
          <t>장내매도(-)</t>
        </is>
      </c>
      <c r="H328" s="17" t="n">
        <v>-1211</v>
      </c>
      <c r="I328" s="6" t="n">
        <v>0</v>
      </c>
      <c r="J328" s="6" t="inlineStr"/>
      <c r="K328" s="16" t="n">
        <v>3</v>
      </c>
      <c r="L328" s="2" t="inlineStr">
        <is>
          <t>20260303002654</t>
        </is>
      </c>
      <c r="M328" s="8">
        <f>HYPERLINK("https://dart.fss.or.kr/dsaf001/main.do?rcpNo=20260303002654", "공시열람")</f>
        <v/>
      </c>
    </row>
    <row r="329" ht="22" customHeight="1">
      <c r="A329" s="2" t="inlineStr">
        <is>
          <t>2026-03-03</t>
        </is>
      </c>
      <c r="B329" s="3" t="inlineStr">
        <is>
          <t>넥스틴</t>
        </is>
      </c>
      <c r="C329" s="2" t="inlineStr">
        <is>
          <t>348210</t>
        </is>
      </c>
      <c r="D329" s="2" t="inlineStr">
        <is>
          <t>대량보유</t>
        </is>
      </c>
      <c r="E329" s="3" t="inlineStr">
        <is>
          <t>미래에셋인디펜던스증권투자회사(주식)</t>
        </is>
      </c>
      <c r="F329" s="3" t="inlineStr">
        <is>
          <t>특별관계자</t>
        </is>
      </c>
      <c r="G329" s="3" t="inlineStr">
        <is>
          <t>장내매도(-)</t>
        </is>
      </c>
      <c r="H329" s="17" t="n">
        <v>-907</v>
      </c>
      <c r="I329" s="6" t="n">
        <v>0</v>
      </c>
      <c r="J329" s="6" t="n">
        <v>7026</v>
      </c>
      <c r="K329" s="16" t="n">
        <v>3</v>
      </c>
      <c r="L329" s="2" t="inlineStr">
        <is>
          <t>20260303002654</t>
        </is>
      </c>
      <c r="M329" s="8">
        <f>HYPERLINK("https://dart.fss.or.kr/dsaf001/main.do?rcpNo=20260303002654", "공시열람")</f>
        <v/>
      </c>
    </row>
    <row r="330" ht="22" customHeight="1">
      <c r="A330" s="2" t="inlineStr">
        <is>
          <t>2026-03-03</t>
        </is>
      </c>
      <c r="B330" s="3" t="inlineStr">
        <is>
          <t>이지스밸류플러스리츠</t>
        </is>
      </c>
      <c r="C330" s="2" t="inlineStr">
        <is>
          <t>334890</t>
        </is>
      </c>
      <c r="D330" s="2" t="inlineStr">
        <is>
          <t>대량보유</t>
        </is>
      </c>
      <c r="E330" s="3" t="inlineStr">
        <is>
          <t>미래에셋자산운용</t>
        </is>
      </c>
      <c r="F330" s="3" t="inlineStr">
        <is>
          <t>특별관계자</t>
        </is>
      </c>
      <c r="G330" s="3" t="inlineStr">
        <is>
          <t>기타(+), 기타(-), 장내매수(+), 장내매도(-)</t>
        </is>
      </c>
      <c r="H330" s="15" t="n">
        <v>999936</v>
      </c>
      <c r="I330" s="6" t="n">
        <v>3652</v>
      </c>
      <c r="J330" s="6" t="n">
        <v>7965281</v>
      </c>
      <c r="K330" s="16" t="n">
        <v>11.47</v>
      </c>
      <c r="L330" s="2" t="inlineStr">
        <is>
          <t>20260303002650</t>
        </is>
      </c>
      <c r="M330" s="8">
        <f>HYPERLINK("https://dart.fss.or.kr/dsaf001/main.do?rcpNo=20260303002650", "공시열람")</f>
        <v/>
      </c>
    </row>
    <row r="331" ht="22" customHeight="1">
      <c r="A331" s="2" t="inlineStr">
        <is>
          <t>2026-03-03</t>
        </is>
      </c>
      <c r="B331" s="3" t="inlineStr">
        <is>
          <t>신한알파리츠</t>
        </is>
      </c>
      <c r="C331" s="2" t="inlineStr">
        <is>
          <t>293940</t>
        </is>
      </c>
      <c r="D331" s="2" t="inlineStr">
        <is>
          <t>대량보유</t>
        </is>
      </c>
      <c r="E331" s="3" t="inlineStr">
        <is>
          <t>미래에셋자산운용</t>
        </is>
      </c>
      <c r="F331" s="3" t="inlineStr">
        <is>
          <t>특별관계자</t>
        </is>
      </c>
      <c r="G331" s="3" t="inlineStr">
        <is>
          <t>기타(+), 장내매수(+), 장내매도(-), 기타(-)</t>
        </is>
      </c>
      <c r="H331" s="15" t="n">
        <v>1794087</v>
      </c>
      <c r="I331" s="6" t="n">
        <v>3875</v>
      </c>
      <c r="J331" s="6" t="n">
        <v>22351725</v>
      </c>
      <c r="K331" s="16" t="n">
        <v>18.48</v>
      </c>
      <c r="L331" s="2" t="inlineStr">
        <is>
          <t>20260303002647</t>
        </is>
      </c>
      <c r="M331" s="8">
        <f>HYPERLINK("https://dart.fss.or.kr/dsaf001/main.do?rcpNo=20260303002647", "공시열람")</f>
        <v/>
      </c>
    </row>
    <row r="332" ht="22" customHeight="1">
      <c r="A332" s="2" t="inlineStr">
        <is>
          <t>2026-03-03</t>
        </is>
      </c>
      <c r="B332" s="3" t="inlineStr">
        <is>
          <t>액트로</t>
        </is>
      </c>
      <c r="C332" s="2" t="inlineStr">
        <is>
          <t>290740</t>
        </is>
      </c>
      <c r="D332" s="2" t="inlineStr">
        <is>
          <t>대량보유</t>
        </is>
      </c>
      <c r="E332" s="3" t="inlineStr">
        <is>
          <t>미래에셋자산운용</t>
        </is>
      </c>
      <c r="F332" s="3" t="inlineStr">
        <is>
          <t>특별관계자</t>
        </is>
      </c>
      <c r="G332" s="3" t="inlineStr">
        <is>
          <t>신규보고(+), 장내매수(+)</t>
        </is>
      </c>
      <c r="H332" s="15" t="n">
        <v>510108</v>
      </c>
      <c r="I332" s="6" t="n">
        <v>2348</v>
      </c>
      <c r="J332" s="6" t="n">
        <v>510108</v>
      </c>
      <c r="K332" s="16" t="n">
        <v>1</v>
      </c>
      <c r="L332" s="2" t="inlineStr">
        <is>
          <t>20260303002644</t>
        </is>
      </c>
      <c r="M332" s="8">
        <f>HYPERLINK("https://dart.fss.or.kr/dsaf001/main.do?rcpNo=20260303002644", "공시열람")</f>
        <v/>
      </c>
    </row>
    <row r="333" ht="22" customHeight="1">
      <c r="A333" s="2" t="inlineStr">
        <is>
          <t>2026-03-03</t>
        </is>
      </c>
      <c r="B333" s="3" t="inlineStr">
        <is>
          <t>액트로</t>
        </is>
      </c>
      <c r="C333" s="2" t="inlineStr">
        <is>
          <t>290740</t>
        </is>
      </c>
      <c r="D333" s="2" t="inlineStr">
        <is>
          <t>대량보유</t>
        </is>
      </c>
      <c r="E333" s="3" t="inlineStr">
        <is>
          <t>미래에셋드림타겟증권(주식)</t>
        </is>
      </c>
      <c r="F333" s="3" t="inlineStr">
        <is>
          <t>특별관계자</t>
        </is>
      </c>
      <c r="G333" s="3" t="inlineStr">
        <is>
          <t>신규보고(+)</t>
        </is>
      </c>
      <c r="H333" s="15" t="n">
        <v>1293</v>
      </c>
      <c r="I333" s="6" t="n">
        <v>0</v>
      </c>
      <c r="J333" s="6" t="n">
        <v>1293</v>
      </c>
      <c r="K333" s="16" t="n">
        <v>1</v>
      </c>
      <c r="L333" s="2" t="inlineStr">
        <is>
          <t>20260303002644</t>
        </is>
      </c>
      <c r="M333" s="8">
        <f>HYPERLINK("https://dart.fss.or.kr/dsaf001/main.do?rcpNo=20260303002644", "공시열람")</f>
        <v/>
      </c>
    </row>
    <row r="334" ht="22" customHeight="1">
      <c r="A334" s="2" t="inlineStr">
        <is>
          <t>2026-03-03</t>
        </is>
      </c>
      <c r="B334" s="3" t="inlineStr">
        <is>
          <t>원익IPS</t>
        </is>
      </c>
      <c r="C334" s="2" t="inlineStr">
        <is>
          <t>240810</t>
        </is>
      </c>
      <c r="D334" s="2" t="inlineStr">
        <is>
          <t>대량보유</t>
        </is>
      </c>
      <c r="E334" s="3" t="inlineStr">
        <is>
          <t>미래에셋자산운용</t>
        </is>
      </c>
      <c r="F334" s="3" t="inlineStr">
        <is>
          <t>특별관계자</t>
        </is>
      </c>
      <c r="G334" s="3" t="inlineStr">
        <is>
          <t>기타(+), 기타(-), 장내매도(-), 장내매수(+)</t>
        </is>
      </c>
      <c r="H334" s="15" t="n">
        <v>750233</v>
      </c>
      <c r="I334" s="6" t="n">
        <v>74905</v>
      </c>
      <c r="J334" s="6" t="n">
        <v>3920286</v>
      </c>
      <c r="K334" s="16" t="n">
        <v>1</v>
      </c>
      <c r="L334" s="2" t="inlineStr">
        <is>
          <t>20260303002641</t>
        </is>
      </c>
      <c r="M334" s="8">
        <f>HYPERLINK("https://dart.fss.or.kr/dsaf001/main.do?rcpNo=20260303002641", "공시열람")</f>
        <v/>
      </c>
    </row>
    <row r="335" ht="22" customHeight="1">
      <c r="A335" s="2" t="inlineStr">
        <is>
          <t>2026-03-03</t>
        </is>
      </c>
      <c r="B335" s="3" t="inlineStr">
        <is>
          <t>원익IPS</t>
        </is>
      </c>
      <c r="C335" s="2" t="inlineStr">
        <is>
          <t>240810</t>
        </is>
      </c>
      <c r="D335" s="2" t="inlineStr">
        <is>
          <t>대량보유</t>
        </is>
      </c>
      <c r="E335" s="3" t="inlineStr">
        <is>
          <t>미래에셋드림타겟증권(주식)</t>
        </is>
      </c>
      <c r="F335" s="3" t="inlineStr">
        <is>
          <t>특별관계자</t>
        </is>
      </c>
      <c r="G335" s="3" t="inlineStr">
        <is>
          <t>장내매도(-)</t>
        </is>
      </c>
      <c r="H335" s="17" t="n">
        <v>-1760</v>
      </c>
      <c r="I335" s="6" t="n">
        <v>0</v>
      </c>
      <c r="J335" s="6" t="inlineStr"/>
      <c r="K335" s="16" t="n">
        <v>1</v>
      </c>
      <c r="L335" s="2" t="inlineStr">
        <is>
          <t>20260303002641</t>
        </is>
      </c>
      <c r="M335" s="8">
        <f>HYPERLINK("https://dart.fss.or.kr/dsaf001/main.do?rcpNo=20260303002641", "공시열람")</f>
        <v/>
      </c>
    </row>
    <row r="336" ht="22" customHeight="1">
      <c r="A336" s="2" t="inlineStr">
        <is>
          <t>2026-03-03</t>
        </is>
      </c>
      <c r="B336" s="3" t="inlineStr">
        <is>
          <t>맵스리얼티</t>
        </is>
      </c>
      <c r="C336" s="2" t="inlineStr">
        <is>
          <t>094800</t>
        </is>
      </c>
      <c r="D336" s="2" t="inlineStr">
        <is>
          <t>대량보유</t>
        </is>
      </c>
      <c r="E336" s="3" t="inlineStr">
        <is>
          <t>미래에셋자산운용</t>
        </is>
      </c>
      <c r="F336" s="3" t="inlineStr">
        <is>
          <t>특별관계자</t>
        </is>
      </c>
      <c r="G336" s="3" t="inlineStr">
        <is>
          <t>기타(+), 장내매수(+), 기타(-), 장내매도(-)</t>
        </is>
      </c>
      <c r="H336" s="15" t="n">
        <v>1171534</v>
      </c>
      <c r="I336" s="6" t="n">
        <v>3805</v>
      </c>
      <c r="J336" s="6" t="n">
        <v>20948284</v>
      </c>
      <c r="K336" s="16" t="n">
        <v>22.57</v>
      </c>
      <c r="L336" s="2" t="inlineStr">
        <is>
          <t>20260303002637</t>
        </is>
      </c>
      <c r="M336" s="8">
        <f>HYPERLINK("https://dart.fss.or.kr/dsaf001/main.do?rcpNo=20260303002637", "공시열람")</f>
        <v/>
      </c>
    </row>
    <row r="337" ht="22" customHeight="1">
      <c r="A337" s="2" t="inlineStr">
        <is>
          <t>2026-03-03</t>
        </is>
      </c>
      <c r="B337" s="3" t="inlineStr">
        <is>
          <t>이리츠코크렙</t>
        </is>
      </c>
      <c r="C337" s="2" t="inlineStr">
        <is>
          <t>088260</t>
        </is>
      </c>
      <c r="D337" s="2" t="inlineStr">
        <is>
          <t>대량보유</t>
        </is>
      </c>
      <c r="E337" s="3" t="inlineStr">
        <is>
          <t>미래에셋자산운용</t>
        </is>
      </c>
      <c r="F337" s="3" t="inlineStr">
        <is>
          <t>특별관계자</t>
        </is>
      </c>
      <c r="G337" s="3" t="inlineStr">
        <is>
          <t>기타(+), 기타(-), 장내매도(-), 장내매수(+)</t>
        </is>
      </c>
      <c r="H337" s="15" t="n">
        <v>1014011</v>
      </c>
      <c r="I337" s="6" t="n">
        <v>4442</v>
      </c>
      <c r="J337" s="6" t="n">
        <v>11003692</v>
      </c>
      <c r="K337" s="16" t="n">
        <v>17.37</v>
      </c>
      <c r="L337" s="2" t="inlineStr">
        <is>
          <t>20260303002635</t>
        </is>
      </c>
      <c r="M337" s="8">
        <f>HYPERLINK("https://dart.fss.or.kr/dsaf001/main.do?rcpNo=20260303002635", "공시열람")</f>
        <v/>
      </c>
    </row>
    <row r="338" ht="22" customHeight="1">
      <c r="A338" s="2" t="inlineStr">
        <is>
          <t>2026-03-03</t>
        </is>
      </c>
      <c r="B338" s="3" t="inlineStr">
        <is>
          <t>리노공업</t>
        </is>
      </c>
      <c r="C338" s="2" t="inlineStr">
        <is>
          <t>058470</t>
        </is>
      </c>
      <c r="D338" s="2" t="inlineStr">
        <is>
          <t>대량보유</t>
        </is>
      </c>
      <c r="E338" s="3" t="inlineStr">
        <is>
          <t>미래에셋자산운용</t>
        </is>
      </c>
      <c r="F338" s="3" t="inlineStr">
        <is>
          <t>특별관계자</t>
        </is>
      </c>
      <c r="G338" s="3" t="inlineStr">
        <is>
          <t>기타(+), 기타(-), 장내매도(-), 장내매수(+)</t>
        </is>
      </c>
      <c r="H338" s="15" t="n">
        <v>1075064</v>
      </c>
      <c r="I338" s="6" t="n">
        <v>49261</v>
      </c>
      <c r="J338" s="6" t="n">
        <v>6345033</v>
      </c>
      <c r="K338" s="16" t="n">
        <v>2</v>
      </c>
      <c r="L338" s="2" t="inlineStr">
        <is>
          <t>20260303002632</t>
        </is>
      </c>
      <c r="M338" s="8">
        <f>HYPERLINK("https://dart.fss.or.kr/dsaf001/main.do?rcpNo=20260303002632", "공시열람")</f>
        <v/>
      </c>
    </row>
    <row r="339" ht="22" customHeight="1">
      <c r="A339" s="2" t="inlineStr">
        <is>
          <t>2026-03-03</t>
        </is>
      </c>
      <c r="B339" s="3" t="inlineStr">
        <is>
          <t>리노공업</t>
        </is>
      </c>
      <c r="C339" s="2" t="inlineStr">
        <is>
          <t>058470</t>
        </is>
      </c>
      <c r="D339" s="2" t="inlineStr">
        <is>
          <t>대량보유</t>
        </is>
      </c>
      <c r="E339" s="3" t="inlineStr">
        <is>
          <t>미래에셋인디펜던스증권투자회사(주식)</t>
        </is>
      </c>
      <c r="F339" s="3" t="inlineStr">
        <is>
          <t>특별관계자</t>
        </is>
      </c>
      <c r="G339" s="3" t="inlineStr">
        <is>
          <t>장내매도(-)</t>
        </is>
      </c>
      <c r="H339" s="17" t="n">
        <v>-2824</v>
      </c>
      <c r="I339" s="6" t="n">
        <v>0</v>
      </c>
      <c r="J339" s="6" t="inlineStr"/>
      <c r="K339" s="16" t="n">
        <v>2</v>
      </c>
      <c r="L339" s="2" t="inlineStr">
        <is>
          <t>20260303002632</t>
        </is>
      </c>
      <c r="M339" s="8">
        <f>HYPERLINK("https://dart.fss.or.kr/dsaf001/main.do?rcpNo=20260303002632", "공시열람")</f>
        <v/>
      </c>
    </row>
    <row r="340" ht="22" customHeight="1">
      <c r="A340" s="2" t="inlineStr">
        <is>
          <t>2026-03-03</t>
        </is>
      </c>
      <c r="B340" s="3" t="inlineStr">
        <is>
          <t>리노공업</t>
        </is>
      </c>
      <c r="C340" s="2" t="inlineStr">
        <is>
          <t>058470</t>
        </is>
      </c>
      <c r="D340" s="2" t="inlineStr">
        <is>
          <t>대량보유</t>
        </is>
      </c>
      <c r="E340" s="3" t="inlineStr">
        <is>
          <t>미래에셋드림타겟증권(주식)</t>
        </is>
      </c>
      <c r="F340" s="3" t="inlineStr">
        <is>
          <t>특별관계자</t>
        </is>
      </c>
      <c r="G340" s="3" t="inlineStr">
        <is>
          <t>장내매수(+), 장내매도(-)</t>
        </is>
      </c>
      <c r="H340" s="15" t="n">
        <v>1814</v>
      </c>
      <c r="I340" s="6" t="n">
        <v>61577</v>
      </c>
      <c r="J340" s="6" t="n">
        <v>1814</v>
      </c>
      <c r="K340" s="16" t="n">
        <v>2</v>
      </c>
      <c r="L340" s="2" t="inlineStr">
        <is>
          <t>20260303002632</t>
        </is>
      </c>
      <c r="M340" s="8">
        <f>HYPERLINK("https://dart.fss.or.kr/dsaf001/main.do?rcpNo=20260303002632", "공시열람")</f>
        <v/>
      </c>
    </row>
    <row r="341" ht="22" customHeight="1">
      <c r="A341" s="2" t="inlineStr">
        <is>
          <t>2026-03-03</t>
        </is>
      </c>
      <c r="B341" s="3" t="inlineStr">
        <is>
          <t>이오테크닉스</t>
        </is>
      </c>
      <c r="C341" s="2" t="inlineStr">
        <is>
          <t>039030</t>
        </is>
      </c>
      <c r="D341" s="2" t="inlineStr">
        <is>
          <t>대량보유</t>
        </is>
      </c>
      <c r="E341" s="3" t="inlineStr">
        <is>
          <t>미래에셋자산운용</t>
        </is>
      </c>
      <c r="F341" s="3" t="inlineStr">
        <is>
          <t>특별관계자</t>
        </is>
      </c>
      <c r="G341" s="3" t="inlineStr">
        <is>
          <t>기타(+), 기타(-), 장내매수(+), 장내매도(-)</t>
        </is>
      </c>
      <c r="H341" s="15" t="n">
        <v>228045</v>
      </c>
      <c r="I341" s="6" t="n">
        <v>211958</v>
      </c>
      <c r="J341" s="6" t="n">
        <v>983285</v>
      </c>
      <c r="K341" s="16" t="n">
        <v>1</v>
      </c>
      <c r="L341" s="2" t="inlineStr">
        <is>
          <t>20260303002629</t>
        </is>
      </c>
      <c r="M341" s="8">
        <f>HYPERLINK("https://dart.fss.or.kr/dsaf001/main.do?rcpNo=20260303002629", "공시열람")</f>
        <v/>
      </c>
    </row>
    <row r="342" ht="22" customHeight="1">
      <c r="A342" s="2" t="inlineStr">
        <is>
          <t>2026-03-03</t>
        </is>
      </c>
      <c r="B342" s="3" t="inlineStr">
        <is>
          <t>이오테크닉스</t>
        </is>
      </c>
      <c r="C342" s="2" t="inlineStr">
        <is>
          <t>039030</t>
        </is>
      </c>
      <c r="D342" s="2" t="inlineStr">
        <is>
          <t>대량보유</t>
        </is>
      </c>
      <c r="E342" s="3" t="inlineStr">
        <is>
          <t>미래에셋드림타겟증권(주식)</t>
        </is>
      </c>
      <c r="F342" s="3" t="inlineStr">
        <is>
          <t>특별관계자</t>
        </is>
      </c>
      <c r="G342" s="3" t="inlineStr">
        <is>
          <t>장내매수(+), 장내매도(-)</t>
        </is>
      </c>
      <c r="H342" s="6" t="inlineStr"/>
      <c r="I342" s="6" t="n">
        <v>158697</v>
      </c>
      <c r="J342" s="6" t="inlineStr"/>
      <c r="K342" s="16" t="n">
        <v>1</v>
      </c>
      <c r="L342" s="2" t="inlineStr">
        <is>
          <t>20260303002629</t>
        </is>
      </c>
      <c r="M342" s="8">
        <f>HYPERLINK("https://dart.fss.or.kr/dsaf001/main.do?rcpNo=20260303002629", "공시열람")</f>
        <v/>
      </c>
    </row>
    <row r="343" ht="22" customHeight="1">
      <c r="A343" s="2" t="inlineStr">
        <is>
          <t>2026-03-03</t>
        </is>
      </c>
      <c r="B343" s="3" t="inlineStr">
        <is>
          <t>동진쎄미켐</t>
        </is>
      </c>
      <c r="C343" s="2" t="inlineStr">
        <is>
          <t>005290</t>
        </is>
      </c>
      <c r="D343" s="2" t="inlineStr">
        <is>
          <t>대량보유</t>
        </is>
      </c>
      <c r="E343" s="3" t="inlineStr">
        <is>
          <t>미래에셋자산운용</t>
        </is>
      </c>
      <c r="F343" s="3" t="inlineStr">
        <is>
          <t>특별관계자</t>
        </is>
      </c>
      <c r="G343" s="3" t="inlineStr">
        <is>
          <t>기타(+), 기타(-), 장내매도(-), 장내매수(+)</t>
        </is>
      </c>
      <c r="H343" s="15" t="n">
        <v>892951</v>
      </c>
      <c r="I343" s="6" t="n">
        <v>33438</v>
      </c>
      <c r="J343" s="6" t="n">
        <v>3475804</v>
      </c>
      <c r="K343" s="16" t="n">
        <v>1</v>
      </c>
      <c r="L343" s="2" t="inlineStr">
        <is>
          <t>20260303002626</t>
        </is>
      </c>
      <c r="M343" s="8">
        <f>HYPERLINK("https://dart.fss.or.kr/dsaf001/main.do?rcpNo=20260303002626", "공시열람")</f>
        <v/>
      </c>
    </row>
    <row r="344" ht="22" customHeight="1">
      <c r="A344" s="2" t="inlineStr">
        <is>
          <t>2026-03-03</t>
        </is>
      </c>
      <c r="B344" s="3" t="inlineStr">
        <is>
          <t>동진쎄미켐</t>
        </is>
      </c>
      <c r="C344" s="2" t="inlineStr">
        <is>
          <t>005290</t>
        </is>
      </c>
      <c r="D344" s="2" t="inlineStr">
        <is>
          <t>대량보유</t>
        </is>
      </c>
      <c r="E344" s="3" t="inlineStr">
        <is>
          <t>미래에셋드림타겟증권(주식)</t>
        </is>
      </c>
      <c r="F344" s="3" t="inlineStr">
        <is>
          <t>특별관계자</t>
        </is>
      </c>
      <c r="G344" s="3" t="inlineStr">
        <is>
          <t>장내매수(+)</t>
        </is>
      </c>
      <c r="H344" s="15" t="n">
        <v>1942</v>
      </c>
      <c r="I344" s="6" t="n">
        <v>52420</v>
      </c>
      <c r="J344" s="6" t="n">
        <v>1942</v>
      </c>
      <c r="K344" s="16" t="n">
        <v>1</v>
      </c>
      <c r="L344" s="2" t="inlineStr">
        <is>
          <t>20260303002626</t>
        </is>
      </c>
      <c r="M344" s="8">
        <f>HYPERLINK("https://dart.fss.or.kr/dsaf001/main.do?rcpNo=20260303002626", "공시열람")</f>
        <v/>
      </c>
    </row>
    <row r="345" ht="22" customHeight="1">
      <c r="A345" s="2" t="inlineStr">
        <is>
          <t>2026-03-03 (정정: 2026-03-06)</t>
        </is>
      </c>
      <c r="B345" s="3" t="inlineStr">
        <is>
          <t>DB하이텍</t>
        </is>
      </c>
      <c r="C345" s="2" t="inlineStr">
        <is>
          <t>000990</t>
        </is>
      </c>
      <c r="D345" s="2" t="inlineStr">
        <is>
          <t>대량보유</t>
        </is>
      </c>
      <c r="E345" s="3" t="inlineStr">
        <is>
          <t>-</t>
        </is>
      </c>
      <c r="F345" s="3" t="inlineStr">
        <is>
          <t>보고자</t>
        </is>
      </c>
      <c r="G345" s="3" t="inlineStr">
        <is>
          <t>-</t>
        </is>
      </c>
      <c r="H345" s="6" t="inlineStr"/>
      <c r="I345" s="6" t="inlineStr"/>
      <c r="J345" s="6" t="inlineStr"/>
      <c r="K345" s="18" t="inlineStr"/>
      <c r="L345" s="2" t="inlineStr">
        <is>
          <t>20260306000346</t>
        </is>
      </c>
      <c r="M345" s="8">
        <f>HYPERLINK("https://dart.fss.or.kr/dsaf001/main.do?rcpNo=20260306000346", "공시열람")</f>
        <v/>
      </c>
    </row>
    <row r="346" ht="22" customHeight="1">
      <c r="A346" s="2" t="inlineStr">
        <is>
          <t>2026-03-03</t>
        </is>
      </c>
      <c r="B346" s="3" t="inlineStr">
        <is>
          <t>다우데이타</t>
        </is>
      </c>
      <c r="C346" s="2" t="inlineStr">
        <is>
          <t>032190</t>
        </is>
      </c>
      <c r="D346" s="2" t="inlineStr">
        <is>
          <t>대량보유</t>
        </is>
      </c>
      <c r="E346" s="3" t="inlineStr">
        <is>
          <t>김익래</t>
        </is>
      </c>
      <c r="F346" s="3" t="inlineStr">
        <is>
          <t>보고자</t>
        </is>
      </c>
      <c r="G346" s="3" t="inlineStr">
        <is>
          <t>- 주식 담보 계약 갱신</t>
        </is>
      </c>
      <c r="H346" s="6" t="inlineStr"/>
      <c r="I346" s="6" t="inlineStr"/>
      <c r="J346" s="6" t="n">
        <v>24227787</v>
      </c>
      <c r="K346" s="16" t="n">
        <v>6</v>
      </c>
      <c r="L346" s="2" t="inlineStr">
        <is>
          <t>20260303002582</t>
        </is>
      </c>
      <c r="M346" s="8">
        <f>HYPERLINK("https://dart.fss.or.kr/dsaf001/main.do?rcpNo=20260303002582", "공시열람")</f>
        <v/>
      </c>
    </row>
    <row r="347" ht="22" customHeight="1">
      <c r="A347" s="2" t="inlineStr">
        <is>
          <t>2026-03-03</t>
        </is>
      </c>
      <c r="B347" s="3" t="inlineStr">
        <is>
          <t>효성티앤씨</t>
        </is>
      </c>
      <c r="C347" s="2" t="inlineStr">
        <is>
          <t>298020</t>
        </is>
      </c>
      <c r="D347" s="2" t="inlineStr">
        <is>
          <t>대량보유</t>
        </is>
      </c>
      <c r="E347" s="3" t="inlineStr">
        <is>
          <t>국민연금기금</t>
        </is>
      </c>
      <c r="F347" s="3" t="inlineStr">
        <is>
          <t>특별관계자</t>
        </is>
      </c>
      <c r="G347" s="3" t="inlineStr">
        <is>
          <t>단순추가취득/처분</t>
        </is>
      </c>
      <c r="H347" s="15" t="n">
        <v>47934</v>
      </c>
      <c r="I347" s="6" t="inlineStr"/>
      <c r="J347" s="6" t="n">
        <v>388041</v>
      </c>
      <c r="K347" s="16" t="n">
        <v>1</v>
      </c>
      <c r="L347" s="2" t="inlineStr">
        <is>
          <t>20260303002517</t>
        </is>
      </c>
      <c r="M347" s="8">
        <f>HYPERLINK("https://dart.fss.or.kr/dsaf001/main.do?rcpNo=20260303002517", "공시열람")</f>
        <v/>
      </c>
    </row>
    <row r="348" ht="22" customHeight="1">
      <c r="A348" s="2" t="inlineStr">
        <is>
          <t>2026-03-03</t>
        </is>
      </c>
      <c r="B348" s="3" t="inlineStr">
        <is>
          <t>아모레퍼시픽</t>
        </is>
      </c>
      <c r="C348" s="2" t="inlineStr">
        <is>
          <t>090430</t>
        </is>
      </c>
      <c r="D348" s="2" t="inlineStr">
        <is>
          <t>대량보유</t>
        </is>
      </c>
      <c r="E348" s="3" t="inlineStr">
        <is>
          <t>국민연금기금</t>
        </is>
      </c>
      <c r="F348" s="3" t="inlineStr">
        <is>
          <t>특별관계자</t>
        </is>
      </c>
      <c r="G348" s="3" t="inlineStr">
        <is>
          <t>단순추가취득/처분</t>
        </is>
      </c>
      <c r="H348" s="15" t="n">
        <v>610439</v>
      </c>
      <c r="I348" s="6" t="inlineStr"/>
      <c r="J348" s="6" t="n">
        <v>4951436</v>
      </c>
      <c r="K348" s="16" t="n">
        <v>1</v>
      </c>
      <c r="L348" s="2" t="inlineStr">
        <is>
          <t>20260303002510</t>
        </is>
      </c>
      <c r="M348" s="8">
        <f>HYPERLINK("https://dart.fss.or.kr/dsaf001/main.do?rcpNo=20260303002510", "공시열람")</f>
        <v/>
      </c>
    </row>
    <row r="349" ht="22" customHeight="1">
      <c r="A349" s="2" t="inlineStr">
        <is>
          <t>2026-03-03</t>
        </is>
      </c>
      <c r="B349" s="3" t="inlineStr">
        <is>
          <t>HMM</t>
        </is>
      </c>
      <c r="C349" s="2" t="inlineStr">
        <is>
          <t>011200</t>
        </is>
      </c>
      <c r="D349" s="2" t="inlineStr">
        <is>
          <t>대량보유</t>
        </is>
      </c>
      <c r="E349" s="3" t="inlineStr">
        <is>
          <t>국민연금기금</t>
        </is>
      </c>
      <c r="F349" s="3" t="inlineStr">
        <is>
          <t>특별관계자</t>
        </is>
      </c>
      <c r="G349" s="3" t="inlineStr">
        <is>
          <t>단순추가취득/처분</t>
        </is>
      </c>
      <c r="H349" s="17" t="n">
        <v>-14485165</v>
      </c>
      <c r="I349" s="6" t="inlineStr"/>
      <c r="J349" s="6" t="n">
        <v>46935853</v>
      </c>
      <c r="K349" s="16" t="n">
        <v>1</v>
      </c>
      <c r="L349" s="2" t="inlineStr">
        <is>
          <t>20260303002502</t>
        </is>
      </c>
      <c r="M349" s="8">
        <f>HYPERLINK("https://dart.fss.or.kr/dsaf001/main.do?rcpNo=20260303002502", "공시열람")</f>
        <v/>
      </c>
    </row>
    <row r="350" ht="22" customHeight="1">
      <c r="A350" s="2" t="inlineStr">
        <is>
          <t>2026-03-03</t>
        </is>
      </c>
      <c r="B350" s="3" t="inlineStr">
        <is>
          <t>CJ대한통운</t>
        </is>
      </c>
      <c r="C350" s="2" t="inlineStr">
        <is>
          <t>000120</t>
        </is>
      </c>
      <c r="D350" s="2" t="inlineStr">
        <is>
          <t>대량보유</t>
        </is>
      </c>
      <c r="E350" s="3" t="inlineStr">
        <is>
          <t>국민연금기금</t>
        </is>
      </c>
      <c r="F350" s="3" t="inlineStr">
        <is>
          <t>특별관계자</t>
        </is>
      </c>
      <c r="G350" s="3" t="inlineStr">
        <is>
          <t>단순추가취득/처분</t>
        </is>
      </c>
      <c r="H350" s="15" t="n">
        <v>502022</v>
      </c>
      <c r="I350" s="6" t="inlineStr"/>
      <c r="J350" s="6" t="n">
        <v>2858569</v>
      </c>
      <c r="K350" s="16" t="n">
        <v>1</v>
      </c>
      <c r="L350" s="2" t="inlineStr">
        <is>
          <t>20260303002495</t>
        </is>
      </c>
      <c r="M350" s="8">
        <f>HYPERLINK("https://dart.fss.or.kr/dsaf001/main.do?rcpNo=20260303002495", "공시열람")</f>
        <v/>
      </c>
    </row>
    <row r="351" ht="22" customHeight="1">
      <c r="A351" s="2" t="inlineStr">
        <is>
          <t>2026-03-03</t>
        </is>
      </c>
      <c r="B351" s="3" t="inlineStr">
        <is>
          <t>삼성바이오로직스</t>
        </is>
      </c>
      <c r="C351" s="2" t="inlineStr">
        <is>
          <t>207940</t>
        </is>
      </c>
      <c r="D351" s="2" t="inlineStr">
        <is>
          <t>임원보고</t>
        </is>
      </c>
      <c r="E351" s="3" t="inlineStr">
        <is>
          <t>-</t>
        </is>
      </c>
      <c r="F351" s="3" t="inlineStr">
        <is>
          <t>-</t>
        </is>
      </c>
      <c r="G351" s="3" t="inlineStr">
        <is>
          <t>-</t>
        </is>
      </c>
      <c r="H351" s="6" t="inlineStr"/>
      <c r="I351" s="6" t="inlineStr"/>
      <c r="J351" s="6" t="inlineStr"/>
      <c r="K351" s="16" t="n">
        <v>12</v>
      </c>
      <c r="L351" s="2" t="inlineStr">
        <is>
          <t>20260303800861</t>
        </is>
      </c>
      <c r="M351" s="8">
        <f>HYPERLINK("https://dart.fss.or.kr/dsaf001/main.do?rcpNo=20260303800861", "공시열람")</f>
        <v/>
      </c>
    </row>
    <row r="352" ht="22" customHeight="1">
      <c r="A352" s="2" t="inlineStr">
        <is>
          <t>2026-03-03</t>
        </is>
      </c>
      <c r="B352" s="3" t="inlineStr">
        <is>
          <t>유한양행</t>
        </is>
      </c>
      <c r="C352" s="2" t="inlineStr">
        <is>
          <t>000100</t>
        </is>
      </c>
      <c r="D352" s="2" t="inlineStr">
        <is>
          <t>대량보유</t>
        </is>
      </c>
      <c r="E352" s="3" t="inlineStr">
        <is>
          <t>국민연금기금</t>
        </is>
      </c>
      <c r="F352" s="3" t="inlineStr">
        <is>
          <t>특별관계자</t>
        </is>
      </c>
      <c r="G352" s="3" t="inlineStr">
        <is>
          <t>단순추가취득/처분</t>
        </is>
      </c>
      <c r="H352" s="17" t="n">
        <v>-837037</v>
      </c>
      <c r="I352" s="6" t="inlineStr"/>
      <c r="J352" s="6" t="n">
        <v>5439580</v>
      </c>
      <c r="K352" s="16" t="n">
        <v>1</v>
      </c>
      <c r="L352" s="2" t="inlineStr">
        <is>
          <t>20260303002485</t>
        </is>
      </c>
      <c r="M352" s="8">
        <f>HYPERLINK("https://dart.fss.or.kr/dsaf001/main.do?rcpNo=20260303002485", "공시열람")</f>
        <v/>
      </c>
    </row>
    <row r="353" ht="22" customHeight="1">
      <c r="A353" s="2" t="inlineStr">
        <is>
          <t>2026-03-03</t>
        </is>
      </c>
      <c r="B353" s="3" t="inlineStr">
        <is>
          <t>동서</t>
        </is>
      </c>
      <c r="C353" s="2" t="inlineStr">
        <is>
          <t>026960</t>
        </is>
      </c>
      <c r="D353" s="2" t="inlineStr">
        <is>
          <t>임원보고</t>
        </is>
      </c>
      <c r="E353" s="3" t="inlineStr">
        <is>
          <t>-</t>
        </is>
      </c>
      <c r="F353" s="3" t="inlineStr">
        <is>
          <t>-</t>
        </is>
      </c>
      <c r="G353" s="3" t="inlineStr">
        <is>
          <t>-</t>
        </is>
      </c>
      <c r="H353" s="6" t="inlineStr"/>
      <c r="I353" s="6" t="inlineStr"/>
      <c r="J353" s="6" t="inlineStr"/>
      <c r="K353" s="16" t="n">
        <v>12</v>
      </c>
      <c r="L353" s="2" t="inlineStr">
        <is>
          <t>20260303800843</t>
        </is>
      </c>
      <c r="M353" s="8">
        <f>HYPERLINK("https://dart.fss.or.kr/dsaf001/main.do?rcpNo=20260303800843", "공시열람")</f>
        <v/>
      </c>
    </row>
    <row r="354" ht="22" customHeight="1">
      <c r="A354" s="2" t="inlineStr">
        <is>
          <t>2026-03-03</t>
        </is>
      </c>
      <c r="B354" s="3" t="inlineStr">
        <is>
          <t>엔비알모션</t>
        </is>
      </c>
      <c r="C354" s="2" t="inlineStr">
        <is>
          <t>0004V0</t>
        </is>
      </c>
      <c r="D354" s="2" t="inlineStr">
        <is>
          <t>대량보유</t>
        </is>
      </c>
      <c r="E354" s="3" t="inlineStr">
        <is>
          <t>에스비아이성장전략M&amp;A펀드</t>
        </is>
      </c>
      <c r="F354" s="3" t="inlineStr">
        <is>
          <t>특별관계자</t>
        </is>
      </c>
      <c r="G354" s="3" t="inlineStr">
        <is>
          <t>장내매도(-)</t>
        </is>
      </c>
      <c r="H354" s="17" t="n">
        <v>-627000</v>
      </c>
      <c r="I354" s="6" t="n">
        <v>18792</v>
      </c>
      <c r="J354" s="6" t="n">
        <v>646000</v>
      </c>
      <c r="K354" s="16" t="n">
        <v>1</v>
      </c>
      <c r="L354" s="2" t="inlineStr">
        <is>
          <t>20260303002458</t>
        </is>
      </c>
      <c r="M354" s="8">
        <f>HYPERLINK("https://dart.fss.or.kr/dsaf001/main.do?rcpNo=20260303002458", "공시열람")</f>
        <v/>
      </c>
    </row>
    <row r="355" ht="22" customHeight="1">
      <c r="A355" s="2" t="inlineStr">
        <is>
          <t>2026-03-03</t>
        </is>
      </c>
      <c r="B355" s="3" t="inlineStr">
        <is>
          <t>아스타</t>
        </is>
      </c>
      <c r="C355" s="2" t="inlineStr">
        <is>
          <t>246720</t>
        </is>
      </c>
      <c r="D355" s="2" t="inlineStr">
        <is>
          <t>대량보유</t>
        </is>
      </c>
      <c r="E355" s="3" t="inlineStr">
        <is>
          <t>에스디바이오센서주식회사</t>
        </is>
      </c>
      <c r="F355" s="3" t="inlineStr">
        <is>
          <t>특별관계자</t>
        </is>
      </c>
      <c r="G355" s="3" t="inlineStr">
        <is>
          <t>제3자배정유상증자(+)</t>
        </is>
      </c>
      <c r="H355" s="15" t="n">
        <v>1200000</v>
      </c>
      <c r="I355" s="6" t="n">
        <v>8720</v>
      </c>
      <c r="J355" s="6" t="n">
        <v>5327204</v>
      </c>
      <c r="K355" s="16" t="n">
        <v>38.62</v>
      </c>
      <c r="L355" s="2" t="inlineStr">
        <is>
          <t>20260303002447</t>
        </is>
      </c>
      <c r="M355" s="8">
        <f>HYPERLINK("https://dart.fss.or.kr/dsaf001/main.do?rcpNo=20260303002447", "공시열람")</f>
        <v/>
      </c>
    </row>
    <row r="356" ht="22" customHeight="1">
      <c r="A356" s="2" t="inlineStr">
        <is>
          <t>2026-03-03 (정정: 2026-03-03)</t>
        </is>
      </c>
      <c r="B356" s="3" t="inlineStr">
        <is>
          <t>파버나인</t>
        </is>
      </c>
      <c r="C356" s="2" t="inlineStr">
        <is>
          <t>177830</t>
        </is>
      </c>
      <c r="D356" s="2" t="inlineStr">
        <is>
          <t>대량보유</t>
        </is>
      </c>
      <c r="E356" s="3" t="inlineStr">
        <is>
          <t>-</t>
        </is>
      </c>
      <c r="F356" s="3" t="inlineStr">
        <is>
          <t>보고자</t>
        </is>
      </c>
      <c r="G356" s="3" t="inlineStr">
        <is>
          <t>-</t>
        </is>
      </c>
      <c r="H356" s="6" t="inlineStr"/>
      <c r="I356" s="6" t="inlineStr"/>
      <c r="J356" s="6" t="inlineStr"/>
      <c r="K356" s="18" t="inlineStr"/>
      <c r="L356" s="2" t="inlineStr">
        <is>
          <t>20260303900577</t>
        </is>
      </c>
      <c r="M356" s="8">
        <f>HYPERLINK("https://dart.fss.or.kr/dsaf001/main.do?rcpNo=20260303900577", "공시열람")</f>
        <v/>
      </c>
    </row>
    <row r="357" ht="22" customHeight="1">
      <c r="A357" s="2" t="inlineStr">
        <is>
          <t>2026-03-03</t>
        </is>
      </c>
      <c r="B357" s="3" t="inlineStr">
        <is>
          <t>삼진제약</t>
        </is>
      </c>
      <c r="C357" s="2" t="inlineStr">
        <is>
          <t>005500</t>
        </is>
      </c>
      <c r="D357" s="2" t="inlineStr">
        <is>
          <t>대량보유</t>
        </is>
      </c>
      <c r="E357" s="3" t="inlineStr">
        <is>
          <t>최승주</t>
        </is>
      </c>
      <c r="F357" s="3" t="inlineStr">
        <is>
          <t>보고자</t>
        </is>
      </c>
      <c r="G357" s="3" t="inlineStr">
        <is>
          <t>주요 계약 내용의 변경</t>
        </is>
      </c>
      <c r="H357" s="6" t="inlineStr"/>
      <c r="I357" s="6" t="inlineStr"/>
      <c r="J357" s="6" t="n">
        <v>1375889</v>
      </c>
      <c r="K357" s="16" t="n">
        <v>12</v>
      </c>
      <c r="L357" s="2" t="inlineStr">
        <is>
          <t>20260303002434</t>
        </is>
      </c>
      <c r="M357" s="8">
        <f>HYPERLINK("https://dart.fss.or.kr/dsaf001/main.do?rcpNo=20260303002434", "공시열람")</f>
        <v/>
      </c>
    </row>
    <row r="358" ht="22" customHeight="1">
      <c r="A358" s="2" t="inlineStr">
        <is>
          <t>2026-03-03</t>
        </is>
      </c>
      <c r="B358" s="3" t="inlineStr">
        <is>
          <t>유니온</t>
        </is>
      </c>
      <c r="C358" s="2" t="inlineStr">
        <is>
          <t>000910</t>
        </is>
      </c>
      <c r="D358" s="2" t="inlineStr">
        <is>
          <t>임원보고</t>
        </is>
      </c>
      <c r="E358" s="3" t="inlineStr">
        <is>
          <t>-</t>
        </is>
      </c>
      <c r="F358" s="3" t="inlineStr">
        <is>
          <t>-</t>
        </is>
      </c>
      <c r="G358" s="3" t="inlineStr">
        <is>
          <t>-</t>
        </is>
      </c>
      <c r="H358" s="6" t="inlineStr"/>
      <c r="I358" s="6" t="inlineStr"/>
      <c r="J358" s="6" t="inlineStr"/>
      <c r="K358" s="16" t="n">
        <v>12</v>
      </c>
      <c r="L358" s="2" t="inlineStr">
        <is>
          <t>20260303800798</t>
        </is>
      </c>
      <c r="M358" s="8">
        <f>HYPERLINK("https://dart.fss.or.kr/dsaf001/main.do?rcpNo=20260303800798", "공시열람")</f>
        <v/>
      </c>
    </row>
    <row r="359" ht="22" customHeight="1">
      <c r="A359" s="2" t="inlineStr">
        <is>
          <t>2026-03-03</t>
        </is>
      </c>
      <c r="B359" s="3" t="inlineStr">
        <is>
          <t>유니온</t>
        </is>
      </c>
      <c r="C359" s="2" t="inlineStr">
        <is>
          <t>000910</t>
        </is>
      </c>
      <c r="D359" s="2" t="inlineStr">
        <is>
          <t>대량보유</t>
        </is>
      </c>
      <c r="E359" s="3" t="inlineStr">
        <is>
          <t>이건영</t>
        </is>
      </c>
      <c r="F359" s="3" t="inlineStr">
        <is>
          <t>특별관계자</t>
        </is>
      </c>
      <c r="G359" s="3" t="inlineStr">
        <is>
          <t>증여(-)</t>
        </is>
      </c>
      <c r="H359" s="17" t="n">
        <v>-1400000</v>
      </c>
      <c r="I359" s="6" t="inlineStr"/>
      <c r="J359" s="6" t="n">
        <v>2332750</v>
      </c>
      <c r="K359" s="16" t="n">
        <v>4</v>
      </c>
      <c r="L359" s="2" t="inlineStr">
        <is>
          <t>20260303002395</t>
        </is>
      </c>
      <c r="M359" s="8">
        <f>HYPERLINK("https://dart.fss.or.kr/dsaf001/main.do?rcpNo=20260303002395", "공시열람")</f>
        <v/>
      </c>
    </row>
    <row r="360" ht="22" customHeight="1">
      <c r="A360" s="2" t="inlineStr">
        <is>
          <t>2026-03-03</t>
        </is>
      </c>
      <c r="B360" s="3" t="inlineStr">
        <is>
          <t>유니온</t>
        </is>
      </c>
      <c r="C360" s="2" t="inlineStr">
        <is>
          <t>000910</t>
        </is>
      </c>
      <c r="D360" s="2" t="inlineStr">
        <is>
          <t>대량보유</t>
        </is>
      </c>
      <c r="E360" s="3" t="inlineStr">
        <is>
          <t>이우선</t>
        </is>
      </c>
      <c r="F360" s="3" t="inlineStr">
        <is>
          <t>특별관계자</t>
        </is>
      </c>
      <c r="G360" s="3" t="inlineStr">
        <is>
          <t>수증(+)</t>
        </is>
      </c>
      <c r="H360" s="15" t="n">
        <v>1400000</v>
      </c>
      <c r="I360" s="6" t="inlineStr"/>
      <c r="J360" s="6" t="n">
        <v>3501150</v>
      </c>
      <c r="K360" s="16" t="n">
        <v>4</v>
      </c>
      <c r="L360" s="2" t="inlineStr">
        <is>
          <t>20260303002395</t>
        </is>
      </c>
      <c r="M360" s="8">
        <f>HYPERLINK("https://dart.fss.or.kr/dsaf001/main.do?rcpNo=20260303002395", "공시열람")</f>
        <v/>
      </c>
    </row>
    <row r="361" ht="22" customHeight="1">
      <c r="A361" s="2" t="inlineStr">
        <is>
          <t>2026-03-03</t>
        </is>
      </c>
      <c r="B361" s="3" t="inlineStr">
        <is>
          <t>마크로젠</t>
        </is>
      </c>
      <c r="C361" s="2" t="inlineStr">
        <is>
          <t>038290</t>
        </is>
      </c>
      <c r="D361" s="2" t="inlineStr">
        <is>
          <t>대량보유</t>
        </is>
      </c>
      <c r="E361" s="3" t="inlineStr">
        <is>
          <t>서정선</t>
        </is>
      </c>
      <c r="F361" s="3" t="inlineStr">
        <is>
          <t>보고자</t>
        </is>
      </c>
      <c r="G361" s="3" t="inlineStr">
        <is>
          <t>주식담보대출 계약의 연장</t>
        </is>
      </c>
      <c r="H361" s="6" t="inlineStr"/>
      <c r="I361" s="6" t="inlineStr"/>
      <c r="J361" s="6" t="n">
        <v>2187822</v>
      </c>
      <c r="K361" s="16" t="n">
        <v>8</v>
      </c>
      <c r="L361" s="2" t="inlineStr">
        <is>
          <t>20260303002384</t>
        </is>
      </c>
      <c r="M361" s="8">
        <f>HYPERLINK("https://dart.fss.or.kr/dsaf001/main.do?rcpNo=20260303002384", "공시열람")</f>
        <v/>
      </c>
    </row>
    <row r="362" ht="22" customHeight="1">
      <c r="A362" s="2" t="inlineStr">
        <is>
          <t>2026-03-03</t>
        </is>
      </c>
      <c r="B362" s="3" t="inlineStr">
        <is>
          <t>알톤</t>
        </is>
      </c>
      <c r="C362" s="2" t="inlineStr">
        <is>
          <t>123750</t>
        </is>
      </c>
      <c r="D362" s="2" t="inlineStr">
        <is>
          <t>대량보유</t>
        </is>
      </c>
      <c r="E362" s="3" t="inlineStr">
        <is>
          <t>조정용</t>
        </is>
      </c>
      <c r="F362" s="3" t="inlineStr">
        <is>
          <t>특별관계자</t>
        </is>
      </c>
      <c r="G362" s="3" t="inlineStr">
        <is>
          <t>장내매수(+)</t>
        </is>
      </c>
      <c r="H362" s="15" t="n">
        <v>200</v>
      </c>
      <c r="I362" s="6" t="n">
        <v>2750</v>
      </c>
      <c r="J362" s="6" t="n">
        <v>200</v>
      </c>
      <c r="K362" s="16" t="n">
        <v>9</v>
      </c>
      <c r="L362" s="2" t="inlineStr">
        <is>
          <t>20260303002368</t>
        </is>
      </c>
      <c r="M362" s="8">
        <f>HYPERLINK("https://dart.fss.or.kr/dsaf001/main.do?rcpNo=20260303002368", "공시열람")</f>
        <v/>
      </c>
    </row>
    <row r="363" ht="22" customHeight="1">
      <c r="A363" s="2" t="inlineStr">
        <is>
          <t>2026-03-03</t>
        </is>
      </c>
      <c r="B363" s="3" t="inlineStr">
        <is>
          <t>알톤</t>
        </is>
      </c>
      <c r="C363" s="2" t="inlineStr">
        <is>
          <t>123750</t>
        </is>
      </c>
      <c r="D363" s="2" t="inlineStr">
        <is>
          <t>대량보유</t>
        </is>
      </c>
      <c r="E363" s="3" t="inlineStr">
        <is>
          <t>김기영</t>
        </is>
      </c>
      <c r="F363" s="3" t="inlineStr">
        <is>
          <t>특별관계자</t>
        </is>
      </c>
      <c r="G363" s="3" t="inlineStr">
        <is>
          <t>장내매수(+)</t>
        </is>
      </c>
      <c r="H363" s="15" t="n">
        <v>200</v>
      </c>
      <c r="I363" s="6" t="n">
        <v>2740</v>
      </c>
      <c r="J363" s="6" t="n">
        <v>200</v>
      </c>
      <c r="K363" s="16" t="n">
        <v>9</v>
      </c>
      <c r="L363" s="2" t="inlineStr">
        <is>
          <t>20260303002368</t>
        </is>
      </c>
      <c r="M363" s="8">
        <f>HYPERLINK("https://dart.fss.or.kr/dsaf001/main.do?rcpNo=20260303002368", "공시열람")</f>
        <v/>
      </c>
    </row>
    <row r="364" ht="22" customHeight="1">
      <c r="A364" s="2" t="inlineStr">
        <is>
          <t>2026-03-03</t>
        </is>
      </c>
      <c r="B364" s="3" t="inlineStr">
        <is>
          <t>알톤</t>
        </is>
      </c>
      <c r="C364" s="2" t="inlineStr">
        <is>
          <t>123750</t>
        </is>
      </c>
      <c r="D364" s="2" t="inlineStr">
        <is>
          <t>대량보유</t>
        </is>
      </c>
      <c r="E364" s="3" t="inlineStr">
        <is>
          <t>장동헌</t>
        </is>
      </c>
      <c r="F364" s="3" t="inlineStr">
        <is>
          <t>특별관계자</t>
        </is>
      </c>
      <c r="G364" s="3" t="inlineStr">
        <is>
          <t>장내매수(+)</t>
        </is>
      </c>
      <c r="H364" s="15" t="n">
        <v>300</v>
      </c>
      <c r="I364" s="6" t="n">
        <v>2680</v>
      </c>
      <c r="J364" s="6" t="n">
        <v>300</v>
      </c>
      <c r="K364" s="16" t="n">
        <v>9</v>
      </c>
      <c r="L364" s="2" t="inlineStr">
        <is>
          <t>20260303002368</t>
        </is>
      </c>
      <c r="M364" s="8">
        <f>HYPERLINK("https://dart.fss.or.kr/dsaf001/main.do?rcpNo=20260303002368", "공시열람")</f>
        <v/>
      </c>
    </row>
    <row r="365" ht="22" customHeight="1">
      <c r="A365" s="2" t="inlineStr">
        <is>
          <t>2026-03-03</t>
        </is>
      </c>
      <c r="B365" s="3" t="inlineStr">
        <is>
          <t>알톤</t>
        </is>
      </c>
      <c r="C365" s="2" t="inlineStr">
        <is>
          <t>123750</t>
        </is>
      </c>
      <c r="D365" s="2" t="inlineStr">
        <is>
          <t>대량보유</t>
        </is>
      </c>
      <c r="E365" s="3" t="inlineStr">
        <is>
          <t>박수현</t>
        </is>
      </c>
      <c r="F365" s="3" t="inlineStr">
        <is>
          <t>특별관계자</t>
        </is>
      </c>
      <c r="G365" s="3" t="inlineStr">
        <is>
          <t>장내매수(+)</t>
        </is>
      </c>
      <c r="H365" s="15" t="n">
        <v>100</v>
      </c>
      <c r="I365" s="6" t="n">
        <v>2712</v>
      </c>
      <c r="J365" s="6" t="n">
        <v>100</v>
      </c>
      <c r="K365" s="16" t="n">
        <v>9</v>
      </c>
      <c r="L365" s="2" t="inlineStr">
        <is>
          <t>20260303002368</t>
        </is>
      </c>
      <c r="M365" s="8">
        <f>HYPERLINK("https://dart.fss.or.kr/dsaf001/main.do?rcpNo=20260303002368", "공시열람")</f>
        <v/>
      </c>
    </row>
    <row r="366" ht="22" customHeight="1">
      <c r="A366" s="2" t="inlineStr">
        <is>
          <t>2026-03-03</t>
        </is>
      </c>
      <c r="B366" s="3" t="inlineStr">
        <is>
          <t>뉴로핏</t>
        </is>
      </c>
      <c r="C366" s="2" t="inlineStr">
        <is>
          <t>380550</t>
        </is>
      </c>
      <c r="D366" s="2" t="inlineStr">
        <is>
          <t>대량보유</t>
        </is>
      </c>
      <c r="E366" s="3" t="inlineStr">
        <is>
          <t>삼성액티브자산운용</t>
        </is>
      </c>
      <c r="F366" s="3" t="inlineStr">
        <is>
          <t>특별관계자</t>
        </is>
      </c>
      <c r="G366" s="3" t="inlineStr">
        <is>
          <t>기타(+), 장내매도(-), 기타(-)</t>
        </is>
      </c>
      <c r="H366" s="17" t="n">
        <v>-118719</v>
      </c>
      <c r="I366" s="6" t="n">
        <v>26160</v>
      </c>
      <c r="J366" s="6" t="n">
        <v>464045</v>
      </c>
      <c r="K366" s="16" t="n">
        <v>3.84</v>
      </c>
      <c r="L366" s="2" t="inlineStr">
        <is>
          <t>20260303002358</t>
        </is>
      </c>
      <c r="M366" s="8">
        <f>HYPERLINK("https://dart.fss.or.kr/dsaf001/main.do?rcpNo=20260303002358", "공시열람")</f>
        <v/>
      </c>
    </row>
    <row r="367" ht="22" customHeight="1">
      <c r="A367" s="2" t="inlineStr">
        <is>
          <t>2026-03-03</t>
        </is>
      </c>
      <c r="B367" s="3" t="inlineStr">
        <is>
          <t>큐리언트</t>
        </is>
      </c>
      <c r="C367" s="2" t="inlineStr">
        <is>
          <t>115180</t>
        </is>
      </c>
      <c r="D367" s="2" t="inlineStr">
        <is>
          <t>대량보유</t>
        </is>
      </c>
      <c r="E367" s="3" t="inlineStr">
        <is>
          <t>유암코키스톤구조혁신기업재무안정사모투자합자회사</t>
        </is>
      </c>
      <c r="F367" s="3" t="inlineStr">
        <is>
          <t>특별관계자</t>
        </is>
      </c>
      <c r="G367" s="3" t="inlineStr">
        <is>
          <t>콜옵션권리행사배정에따른주식처분(-)</t>
        </is>
      </c>
      <c r="H367" s="17" t="n">
        <v>-697242</v>
      </c>
      <c r="I367" s="6" t="n">
        <v>3857</v>
      </c>
      <c r="J367" s="6" t="n">
        <v>1626898</v>
      </c>
      <c r="K367" s="16" t="n">
        <v>7</v>
      </c>
      <c r="L367" s="2" t="inlineStr">
        <is>
          <t>20260303002340</t>
        </is>
      </c>
      <c r="M367" s="8">
        <f>HYPERLINK("https://dart.fss.or.kr/dsaf001/main.do?rcpNo=20260303002340", "공시열람")</f>
        <v/>
      </c>
    </row>
    <row r="368" ht="22" customHeight="1">
      <c r="A368" s="2" t="inlineStr">
        <is>
          <t>2026-03-03</t>
        </is>
      </c>
      <c r="B368" s="3" t="inlineStr">
        <is>
          <t>큐리언트</t>
        </is>
      </c>
      <c r="C368" s="2" t="inlineStr">
        <is>
          <t>115180</t>
        </is>
      </c>
      <c r="D368" s="2" t="inlineStr">
        <is>
          <t>대량보유</t>
        </is>
      </c>
      <c r="E368" s="3" t="inlineStr">
        <is>
          <t>(주)동구바이오제약</t>
        </is>
      </c>
      <c r="F368" s="3" t="inlineStr">
        <is>
          <t>특별관계자</t>
        </is>
      </c>
      <c r="G368" s="3" t="inlineStr">
        <is>
          <t>콜옵션권리행사에따른주식취득(+)</t>
        </is>
      </c>
      <c r="H368" s="15" t="n">
        <v>488242</v>
      </c>
      <c r="I368" s="6" t="n">
        <v>3857</v>
      </c>
      <c r="J368" s="6" t="n">
        <v>5878220</v>
      </c>
      <c r="K368" s="16" t="n">
        <v>7</v>
      </c>
      <c r="L368" s="2" t="inlineStr">
        <is>
          <t>20260303002340</t>
        </is>
      </c>
      <c r="M368" s="8">
        <f>HYPERLINK("https://dart.fss.or.kr/dsaf001/main.do?rcpNo=20260303002340", "공시열람")</f>
        <v/>
      </c>
    </row>
    <row r="369" ht="22" customHeight="1">
      <c r="A369" s="2" t="inlineStr">
        <is>
          <t>2026-03-03</t>
        </is>
      </c>
      <c r="B369" s="3" t="inlineStr">
        <is>
          <t>큐리언트</t>
        </is>
      </c>
      <c r="C369" s="2" t="inlineStr">
        <is>
          <t>115180</t>
        </is>
      </c>
      <c r="D369" s="2" t="inlineStr">
        <is>
          <t>대량보유</t>
        </is>
      </c>
      <c r="E369" s="3" t="inlineStr">
        <is>
          <t>조용준</t>
        </is>
      </c>
      <c r="F369" s="3" t="inlineStr">
        <is>
          <t>특별관계자</t>
        </is>
      </c>
      <c r="G369" s="3" t="inlineStr">
        <is>
          <t>콜옵션권리행사에따른주식취득(+)</t>
        </is>
      </c>
      <c r="H369" s="15" t="n">
        <v>104000</v>
      </c>
      <c r="I369" s="6" t="n">
        <v>3857</v>
      </c>
      <c r="J369" s="6" t="n">
        <v>104000</v>
      </c>
      <c r="K369" s="16" t="n">
        <v>7</v>
      </c>
      <c r="L369" s="2" t="inlineStr">
        <is>
          <t>20260303002340</t>
        </is>
      </c>
      <c r="M369" s="8">
        <f>HYPERLINK("https://dart.fss.or.kr/dsaf001/main.do?rcpNo=20260303002340", "공시열람")</f>
        <v/>
      </c>
    </row>
    <row r="370" ht="22" customHeight="1">
      <c r="A370" s="2" t="inlineStr">
        <is>
          <t>2026-03-03</t>
        </is>
      </c>
      <c r="B370" s="3" t="inlineStr">
        <is>
          <t>큐리언트</t>
        </is>
      </c>
      <c r="C370" s="2" t="inlineStr">
        <is>
          <t>115180</t>
        </is>
      </c>
      <c r="D370" s="2" t="inlineStr">
        <is>
          <t>대량보유</t>
        </is>
      </c>
      <c r="E370" s="3" t="inlineStr">
        <is>
          <t>장준일</t>
        </is>
      </c>
      <c r="F370" s="3" t="inlineStr">
        <is>
          <t>특별관계자</t>
        </is>
      </c>
      <c r="G370" s="3" t="inlineStr">
        <is>
          <t>콜옵션권리행사에따른주식취득(+)</t>
        </is>
      </c>
      <c r="H370" s="15" t="n">
        <v>25000</v>
      </c>
      <c r="I370" s="6" t="n">
        <v>3857</v>
      </c>
      <c r="J370" s="6" t="n">
        <v>25000</v>
      </c>
      <c r="K370" s="16" t="n">
        <v>7</v>
      </c>
      <c r="L370" s="2" t="inlineStr">
        <is>
          <t>20260303002340</t>
        </is>
      </c>
      <c r="M370" s="8">
        <f>HYPERLINK("https://dart.fss.or.kr/dsaf001/main.do?rcpNo=20260303002340", "공시열람")</f>
        <v/>
      </c>
    </row>
    <row r="371" ht="22" customHeight="1">
      <c r="A371" s="2" t="inlineStr">
        <is>
          <t>2026-03-03</t>
        </is>
      </c>
      <c r="B371" s="3" t="inlineStr">
        <is>
          <t>크레오에스지</t>
        </is>
      </c>
      <c r="C371" s="2" t="inlineStr">
        <is>
          <t>040350</t>
        </is>
      </c>
      <c r="D371" s="2" t="inlineStr">
        <is>
          <t>대량보유</t>
        </is>
      </c>
      <c r="E371" s="3" t="inlineStr">
        <is>
          <t>(주)큐로홀딩스</t>
        </is>
      </c>
      <c r="F371" s="3" t="inlineStr">
        <is>
          <t>보고자</t>
        </is>
      </c>
      <c r="G371" s="3" t="inlineStr">
        <is>
          <t>주식근질권설정변경계약 체결</t>
        </is>
      </c>
      <c r="H371" s="6" t="inlineStr"/>
      <c r="I371" s="6" t="inlineStr"/>
      <c r="J371" s="6" t="n">
        <v>43639611</v>
      </c>
      <c r="K371" s="16" t="n">
        <v>7</v>
      </c>
      <c r="L371" s="2" t="inlineStr">
        <is>
          <t>20260303002315</t>
        </is>
      </c>
      <c r="M371" s="8">
        <f>HYPERLINK("https://dart.fss.or.kr/dsaf001/main.do?rcpNo=20260303002315", "공시열람")</f>
        <v/>
      </c>
    </row>
    <row r="372" ht="22" customHeight="1">
      <c r="A372" s="2" t="inlineStr">
        <is>
          <t>2026-03-03</t>
        </is>
      </c>
      <c r="B372" s="3" t="inlineStr">
        <is>
          <t>지엔코</t>
        </is>
      </c>
      <c r="C372" s="2" t="inlineStr">
        <is>
          <t>065060</t>
        </is>
      </c>
      <c r="D372" s="2" t="inlineStr">
        <is>
          <t>대량보유</t>
        </is>
      </c>
      <c r="E372" s="3" t="inlineStr">
        <is>
          <t>(주)크레오에스지</t>
        </is>
      </c>
      <c r="F372" s="3" t="inlineStr">
        <is>
          <t>보고자</t>
        </is>
      </c>
      <c r="G372" s="3" t="inlineStr">
        <is>
          <t>특별관계자의 주식근질권설정변경계약</t>
        </is>
      </c>
      <c r="H372" s="6" t="inlineStr"/>
      <c r="I372" s="6" t="inlineStr"/>
      <c r="J372" s="6" t="n">
        <v>13335146</v>
      </c>
      <c r="K372" s="16" t="n">
        <v>2</v>
      </c>
      <c r="L372" s="2" t="inlineStr">
        <is>
          <t>20260303002308</t>
        </is>
      </c>
      <c r="M372" s="8">
        <f>HYPERLINK("https://dart.fss.or.kr/dsaf001/main.do?rcpNo=20260303002308", "공시열람")</f>
        <v/>
      </c>
    </row>
    <row r="373" ht="22" customHeight="1">
      <c r="A373" s="2" t="inlineStr">
        <is>
          <t>2026-03-03 (정정: 2026-03-10)</t>
        </is>
      </c>
      <c r="B373" s="3" t="inlineStr">
        <is>
          <t>대한제강</t>
        </is>
      </c>
      <c r="C373" s="2" t="inlineStr">
        <is>
          <t>084010</t>
        </is>
      </c>
      <c r="D373" s="2" t="inlineStr">
        <is>
          <t>대량보유</t>
        </is>
      </c>
      <c r="E373" s="3" t="inlineStr">
        <is>
          <t>-</t>
        </is>
      </c>
      <c r="F373" s="3" t="inlineStr">
        <is>
          <t>보고자</t>
        </is>
      </c>
      <c r="G373" s="3" t="inlineStr">
        <is>
          <t>-</t>
        </is>
      </c>
      <c r="H373" s="6" t="inlineStr"/>
      <c r="I373" s="6" t="inlineStr"/>
      <c r="J373" s="6" t="inlineStr"/>
      <c r="K373" s="18" t="inlineStr"/>
      <c r="L373" s="2" t="inlineStr">
        <is>
          <t>20260310002455</t>
        </is>
      </c>
      <c r="M373" s="8">
        <f>HYPERLINK("https://dart.fss.or.kr/dsaf001/main.do?rcpNo=20260310002455", "공시열람")</f>
        <v/>
      </c>
    </row>
    <row r="374" ht="22" customHeight="1">
      <c r="A374" s="2" t="inlineStr">
        <is>
          <t>2026-03-03 (정정: 2026-06-01)</t>
        </is>
      </c>
      <c r="B374" s="3" t="inlineStr">
        <is>
          <t>큐로홀딩스</t>
        </is>
      </c>
      <c r="C374" s="2" t="inlineStr">
        <is>
          <t>051780</t>
        </is>
      </c>
      <c r="D374" s="2" t="inlineStr">
        <is>
          <t>대량보유</t>
        </is>
      </c>
      <c r="E374" s="3" t="inlineStr">
        <is>
          <t>-</t>
        </is>
      </c>
      <c r="F374" s="3" t="inlineStr">
        <is>
          <t>보고자</t>
        </is>
      </c>
      <c r="G374" s="3" t="inlineStr">
        <is>
          <t>-</t>
        </is>
      </c>
      <c r="H374" s="6" t="inlineStr"/>
      <c r="I374" s="6" t="inlineStr"/>
      <c r="J374" s="6" t="inlineStr"/>
      <c r="K374" s="18" t="inlineStr"/>
      <c r="L374" s="2" t="inlineStr">
        <is>
          <t>20260601001909</t>
        </is>
      </c>
      <c r="M374" s="8">
        <f>HYPERLINK("https://dart.fss.or.kr/dsaf001/main.do?rcpNo=20260601001909", "공시열람")</f>
        <v/>
      </c>
    </row>
    <row r="375" ht="22" customHeight="1">
      <c r="A375" s="2" t="inlineStr">
        <is>
          <t>2026-03-03</t>
        </is>
      </c>
      <c r="B375" s="3" t="inlineStr">
        <is>
          <t>엠젠솔루션</t>
        </is>
      </c>
      <c r="C375" s="2" t="inlineStr">
        <is>
          <t>032790</t>
        </is>
      </c>
      <c r="D375" s="2" t="inlineStr">
        <is>
          <t>대량보유</t>
        </is>
      </c>
      <c r="E375" s="3" t="inlineStr">
        <is>
          <t>(주)그라쎈신소재</t>
        </is>
      </c>
      <c r="F375" s="3" t="inlineStr">
        <is>
          <t>특별관계자</t>
        </is>
      </c>
      <c r="G375" s="3" t="inlineStr">
        <is>
          <t>CB인수(+)</t>
        </is>
      </c>
      <c r="H375" s="15" t="n">
        <v>2793296</v>
      </c>
      <c r="I375" s="6" t="n">
        <v>1074</v>
      </c>
      <c r="J375" s="6" t="n">
        <v>2793296</v>
      </c>
      <c r="K375" s="16" t="n">
        <v>5.16</v>
      </c>
      <c r="L375" s="2" t="inlineStr">
        <is>
          <t>20260303002247</t>
        </is>
      </c>
      <c r="M375" s="8">
        <f>HYPERLINK("https://dart.fss.or.kr/dsaf001/main.do?rcpNo=20260303002247", "공시열람")</f>
        <v/>
      </c>
    </row>
    <row r="376" ht="22" customHeight="1">
      <c r="A376" s="2" t="inlineStr">
        <is>
          <t>2026-03-03</t>
        </is>
      </c>
      <c r="B376" s="3" t="inlineStr">
        <is>
          <t>케이엠제약</t>
        </is>
      </c>
      <c r="C376" s="2" t="inlineStr">
        <is>
          <t>225430</t>
        </is>
      </c>
      <c r="D376" s="2" t="inlineStr">
        <is>
          <t>대량보유</t>
        </is>
      </c>
      <c r="E376" s="3" t="inlineStr">
        <is>
          <t>백승원(BAIKBRIANSEUNGWON)</t>
        </is>
      </c>
      <c r="F376" s="3" t="inlineStr">
        <is>
          <t>특별관계자</t>
        </is>
      </c>
      <c r="G376" s="3" t="inlineStr">
        <is>
          <t>장내매수(+)</t>
        </is>
      </c>
      <c r="H376" s="15" t="n">
        <v>5000</v>
      </c>
      <c r="I376" s="6" t="n">
        <v>505</v>
      </c>
      <c r="J376" s="6" t="n">
        <v>428315</v>
      </c>
      <c r="K376" s="16" t="n">
        <v>4</v>
      </c>
      <c r="L376" s="2" t="inlineStr">
        <is>
          <t>20260303002221</t>
        </is>
      </c>
      <c r="M376" s="8">
        <f>HYPERLINK("https://dart.fss.or.kr/dsaf001/main.do?rcpNo=20260303002221", "공시열람")</f>
        <v/>
      </c>
    </row>
    <row r="377" ht="22" customHeight="1">
      <c r="A377" s="2" t="inlineStr">
        <is>
          <t>2026-03-03</t>
        </is>
      </c>
      <c r="B377" s="3" t="inlineStr">
        <is>
          <t>삼성E&amp;A</t>
        </is>
      </c>
      <c r="C377" s="2" t="inlineStr">
        <is>
          <t>028050</t>
        </is>
      </c>
      <c r="D377" s="2" t="inlineStr">
        <is>
          <t>임원보고</t>
        </is>
      </c>
      <c r="E377" s="3" t="inlineStr">
        <is>
          <t>-</t>
        </is>
      </c>
      <c r="F377" s="3" t="inlineStr">
        <is>
          <t>-</t>
        </is>
      </c>
      <c r="G377" s="3" t="inlineStr">
        <is>
          <t>-</t>
        </is>
      </c>
      <c r="H377" s="6" t="inlineStr"/>
      <c r="I377" s="6" t="inlineStr"/>
      <c r="J377" s="6" t="inlineStr"/>
      <c r="K377" s="16" t="n">
        <v>12</v>
      </c>
      <c r="L377" s="2" t="inlineStr">
        <is>
          <t>20260303800495</t>
        </is>
      </c>
      <c r="M377" s="8">
        <f>HYPERLINK("https://dart.fss.or.kr/dsaf001/main.do?rcpNo=20260303800495", "공시열람")</f>
        <v/>
      </c>
    </row>
    <row r="378" ht="22" customHeight="1">
      <c r="A378" s="2" t="inlineStr">
        <is>
          <t>2026-03-03</t>
        </is>
      </c>
      <c r="B378" s="3" t="inlineStr">
        <is>
          <t>씨씨에스</t>
        </is>
      </c>
      <c r="C378" s="2" t="inlineStr">
        <is>
          <t>066790</t>
        </is>
      </c>
      <c r="D378" s="2" t="inlineStr">
        <is>
          <t>대량보유</t>
        </is>
      </c>
      <c r="E378" s="3" t="inlineStr">
        <is>
          <t>㈜케이엑스이노베이션</t>
        </is>
      </c>
      <c r="F378" s="3" t="inlineStr">
        <is>
          <t>특별관계자</t>
        </is>
      </c>
      <c r="G378" s="3" t="inlineStr">
        <is>
          <t>장외매수(+)</t>
        </is>
      </c>
      <c r="H378" s="15" t="n">
        <v>9126983</v>
      </c>
      <c r="I378" s="6" t="n">
        <v>877</v>
      </c>
      <c r="J378" s="6" t="n">
        <v>9126983</v>
      </c>
      <c r="K378" s="16" t="n">
        <v>1</v>
      </c>
      <c r="L378" s="2" t="inlineStr">
        <is>
          <t>20260303002032</t>
        </is>
      </c>
      <c r="M378" s="8">
        <f>HYPERLINK("https://dart.fss.or.kr/dsaf001/main.do?rcpNo=20260303002032", "공시열람")</f>
        <v/>
      </c>
    </row>
    <row r="379" ht="22" customHeight="1">
      <c r="A379" s="2" t="inlineStr">
        <is>
          <t>2026-03-03</t>
        </is>
      </c>
      <c r="B379" s="3" t="inlineStr">
        <is>
          <t>삼성전기</t>
        </is>
      </c>
      <c r="C379" s="2" t="inlineStr">
        <is>
          <t>009150</t>
        </is>
      </c>
      <c r="D379" s="2" t="inlineStr">
        <is>
          <t>임원보고</t>
        </is>
      </c>
      <c r="E379" s="3" t="inlineStr">
        <is>
          <t>-</t>
        </is>
      </c>
      <c r="F379" s="3" t="inlineStr">
        <is>
          <t>-</t>
        </is>
      </c>
      <c r="G379" s="3" t="inlineStr">
        <is>
          <t>-</t>
        </is>
      </c>
      <c r="H379" s="6" t="inlineStr"/>
      <c r="I379" s="6" t="inlineStr"/>
      <c r="J379" s="6" t="inlineStr"/>
      <c r="K379" s="16" t="n">
        <v>12</v>
      </c>
      <c r="L379" s="2" t="inlineStr">
        <is>
          <t>20260303800473</t>
        </is>
      </c>
      <c r="M379" s="8">
        <f>HYPERLINK("https://dart.fss.or.kr/dsaf001/main.do?rcpNo=20260303800473", "공시열람")</f>
        <v/>
      </c>
    </row>
    <row r="380" ht="22" customHeight="1">
      <c r="A380" s="2" t="inlineStr">
        <is>
          <t>2026-03-03</t>
        </is>
      </c>
      <c r="B380" s="3" t="inlineStr">
        <is>
          <t>조비</t>
        </is>
      </c>
      <c r="C380" s="2" t="inlineStr">
        <is>
          <t>001550</t>
        </is>
      </c>
      <c r="D380" s="2" t="inlineStr">
        <is>
          <t>대량보유</t>
        </is>
      </c>
      <c r="E380" s="3" t="inlineStr">
        <is>
          <t>(주)리더스케미컬</t>
        </is>
      </c>
      <c r="F380" s="3" t="inlineStr">
        <is>
          <t>특별관계자</t>
        </is>
      </c>
      <c r="G380" s="3" t="inlineStr">
        <is>
          <t>장내매도(-)</t>
        </is>
      </c>
      <c r="H380" s="17" t="n">
        <v>-42500</v>
      </c>
      <c r="I380" s="6" t="n">
        <v>15105</v>
      </c>
      <c r="J380" s="6" t="n">
        <v>71222</v>
      </c>
      <c r="K380" s="16" t="n">
        <v>2</v>
      </c>
      <c r="L380" s="2" t="inlineStr">
        <is>
          <t>20260303001919</t>
        </is>
      </c>
      <c r="M380" s="8">
        <f>HYPERLINK("https://dart.fss.or.kr/dsaf001/main.do?rcpNo=20260303001919", "공시열람")</f>
        <v/>
      </c>
    </row>
    <row r="381" ht="22" customHeight="1">
      <c r="A381" s="2" t="inlineStr">
        <is>
          <t>2026-03-03 (정정: 2026-03-04)</t>
        </is>
      </c>
      <c r="B381" s="3" t="inlineStr">
        <is>
          <t>롯데케미칼</t>
        </is>
      </c>
      <c r="C381" s="2" t="inlineStr">
        <is>
          <t>011170</t>
        </is>
      </c>
      <c r="D381" s="2" t="inlineStr">
        <is>
          <t>임원보고</t>
        </is>
      </c>
      <c r="E381" s="3" t="inlineStr">
        <is>
          <t>-</t>
        </is>
      </c>
      <c r="F381" s="3" t="inlineStr">
        <is>
          <t>-</t>
        </is>
      </c>
      <c r="G381" s="3" t="inlineStr">
        <is>
          <t>-</t>
        </is>
      </c>
      <c r="H381" s="6" t="inlineStr"/>
      <c r="I381" s="6" t="inlineStr"/>
      <c r="J381" s="6" t="inlineStr"/>
      <c r="K381" s="18" t="inlineStr"/>
      <c r="L381" s="2" t="inlineStr">
        <is>
          <t>20260304801599</t>
        </is>
      </c>
      <c r="M381" s="8">
        <f>HYPERLINK("https://dart.fss.or.kr/dsaf001/main.do?rcpNo=20260304801599", "공시열람")</f>
        <v/>
      </c>
    </row>
    <row r="382" ht="22" customHeight="1">
      <c r="A382" s="2" t="inlineStr">
        <is>
          <t>2026-03-03</t>
        </is>
      </c>
      <c r="B382" s="3" t="inlineStr">
        <is>
          <t>현대비앤지스틸</t>
        </is>
      </c>
      <c r="C382" s="2" t="inlineStr">
        <is>
          <t>004560</t>
        </is>
      </c>
      <c r="D382" s="2" t="inlineStr">
        <is>
          <t>대량보유</t>
        </is>
      </c>
      <c r="E382" s="3" t="inlineStr">
        <is>
          <t>현대제철(주)</t>
        </is>
      </c>
      <c r="F382" s="3" t="inlineStr">
        <is>
          <t>보고자</t>
        </is>
      </c>
      <c r="G382" s="3" t="inlineStr">
        <is>
          <t>보유주식등에 관한 계약의 변경</t>
        </is>
      </c>
      <c r="H382" s="6" t="inlineStr"/>
      <c r="I382" s="6" t="inlineStr"/>
      <c r="J382" s="6" t="n">
        <v>6933013</v>
      </c>
      <c r="K382" s="16" t="n">
        <v>4</v>
      </c>
      <c r="L382" s="2" t="inlineStr">
        <is>
          <t>20260303001847</t>
        </is>
      </c>
      <c r="M382" s="8">
        <f>HYPERLINK("https://dart.fss.or.kr/dsaf001/main.do?rcpNo=20260303001847", "공시열람")</f>
        <v/>
      </c>
    </row>
    <row r="383" ht="22" customHeight="1">
      <c r="A383" s="2" t="inlineStr">
        <is>
          <t>2026-03-03</t>
        </is>
      </c>
      <c r="B383" s="3" t="inlineStr">
        <is>
          <t>파인텍</t>
        </is>
      </c>
      <c r="C383" s="2" t="inlineStr">
        <is>
          <t>131760</t>
        </is>
      </c>
      <c r="D383" s="2" t="inlineStr">
        <is>
          <t>대량보유</t>
        </is>
      </c>
      <c r="E383" s="3" t="inlineStr">
        <is>
          <t>박창욱</t>
        </is>
      </c>
      <c r="F383" s="3" t="inlineStr">
        <is>
          <t>특별관계자</t>
        </is>
      </c>
      <c r="G383" s="3" t="inlineStr">
        <is>
          <t>장내매수(+)</t>
        </is>
      </c>
      <c r="H383" s="15" t="n">
        <v>68957</v>
      </c>
      <c r="I383" s="6" t="n">
        <v>719</v>
      </c>
      <c r="J383" s="6" t="n">
        <v>190220</v>
      </c>
      <c r="K383" s="16" t="n">
        <v>7</v>
      </c>
      <c r="L383" s="2" t="inlineStr">
        <is>
          <t>20260303001794</t>
        </is>
      </c>
      <c r="M383" s="8">
        <f>HYPERLINK("https://dart.fss.or.kr/dsaf001/main.do?rcpNo=20260303001794", "공시열람")</f>
        <v/>
      </c>
    </row>
    <row r="384" ht="22" customHeight="1">
      <c r="A384" s="2" t="inlineStr">
        <is>
          <t>2026-03-03</t>
        </is>
      </c>
      <c r="B384" s="3" t="inlineStr">
        <is>
          <t>파인텍</t>
        </is>
      </c>
      <c r="C384" s="2" t="inlineStr">
        <is>
          <t>131760</t>
        </is>
      </c>
      <c r="D384" s="2" t="inlineStr">
        <is>
          <t>대량보유</t>
        </is>
      </c>
      <c r="E384" s="3" t="inlineStr">
        <is>
          <t>김기호</t>
        </is>
      </c>
      <c r="F384" s="3" t="inlineStr">
        <is>
          <t>특별관계자</t>
        </is>
      </c>
      <c r="G384" s="3" t="inlineStr">
        <is>
          <t>신규보고(+), 장내매수(+)</t>
        </is>
      </c>
      <c r="H384" s="15" t="n">
        <v>103300</v>
      </c>
      <c r="I384" s="6" t="n">
        <v>713</v>
      </c>
      <c r="J384" s="6" t="n">
        <v>103300</v>
      </c>
      <c r="K384" s="16" t="n">
        <v>7</v>
      </c>
      <c r="L384" s="2" t="inlineStr">
        <is>
          <t>20260303001794</t>
        </is>
      </c>
      <c r="M384" s="8">
        <f>HYPERLINK("https://dart.fss.or.kr/dsaf001/main.do?rcpNo=20260303001794", "공시열람")</f>
        <v/>
      </c>
    </row>
    <row r="385" ht="22" customHeight="1">
      <c r="A385" s="2" t="inlineStr">
        <is>
          <t>2026-03-03</t>
        </is>
      </c>
      <c r="B385" s="3" t="inlineStr">
        <is>
          <t>파인텍</t>
        </is>
      </c>
      <c r="C385" s="2" t="inlineStr">
        <is>
          <t>131760</t>
        </is>
      </c>
      <c r="D385" s="2" t="inlineStr">
        <is>
          <t>대량보유</t>
        </is>
      </c>
      <c r="E385" s="3" t="inlineStr">
        <is>
          <t>박중철</t>
        </is>
      </c>
      <c r="F385" s="3" t="inlineStr">
        <is>
          <t>특별관계자</t>
        </is>
      </c>
      <c r="G385" s="3" t="inlineStr">
        <is>
          <t>장내매수(+)</t>
        </is>
      </c>
      <c r="H385" s="15" t="n">
        <v>67966</v>
      </c>
      <c r="I385" s="6" t="n">
        <v>735</v>
      </c>
      <c r="J385" s="6" t="n">
        <v>67966</v>
      </c>
      <c r="K385" s="16" t="n">
        <v>7</v>
      </c>
      <c r="L385" s="2" t="inlineStr">
        <is>
          <t>20260303001794</t>
        </is>
      </c>
      <c r="M385" s="8">
        <f>HYPERLINK("https://dart.fss.or.kr/dsaf001/main.do?rcpNo=20260303001794", "공시열람")</f>
        <v/>
      </c>
    </row>
    <row r="386" ht="22" customHeight="1">
      <c r="A386" s="2" t="inlineStr">
        <is>
          <t>2026-03-03</t>
        </is>
      </c>
      <c r="B386" s="3" t="inlineStr">
        <is>
          <t>파인텍</t>
        </is>
      </c>
      <c r="C386" s="2" t="inlineStr">
        <is>
          <t>131760</t>
        </is>
      </c>
      <c r="D386" s="2" t="inlineStr">
        <is>
          <t>대량보유</t>
        </is>
      </c>
      <c r="E386" s="3" t="inlineStr">
        <is>
          <t>송상호</t>
        </is>
      </c>
      <c r="F386" s="3" t="inlineStr">
        <is>
          <t>특별관계자</t>
        </is>
      </c>
      <c r="G386" s="3" t="inlineStr">
        <is>
          <t>장내매수(+)</t>
        </is>
      </c>
      <c r="H386" s="15" t="n">
        <v>78989</v>
      </c>
      <c r="I386" s="6" t="n">
        <v>632</v>
      </c>
      <c r="J386" s="6" t="n">
        <v>78989</v>
      </c>
      <c r="K386" s="16" t="n">
        <v>7</v>
      </c>
      <c r="L386" s="2" t="inlineStr">
        <is>
          <t>20260303001794</t>
        </is>
      </c>
      <c r="M386" s="8">
        <f>HYPERLINK("https://dart.fss.or.kr/dsaf001/main.do?rcpNo=20260303001794", "공시열람")</f>
        <v/>
      </c>
    </row>
    <row r="387" ht="22" customHeight="1">
      <c r="A387" s="2" t="inlineStr">
        <is>
          <t>2026-03-03</t>
        </is>
      </c>
      <c r="B387" s="3" t="inlineStr">
        <is>
          <t>파인텍</t>
        </is>
      </c>
      <c r="C387" s="2" t="inlineStr">
        <is>
          <t>131760</t>
        </is>
      </c>
      <c r="D387" s="2" t="inlineStr">
        <is>
          <t>대량보유</t>
        </is>
      </c>
      <c r="E387" s="3" t="inlineStr">
        <is>
          <t>박광휘</t>
        </is>
      </c>
      <c r="F387" s="3" t="inlineStr">
        <is>
          <t>특별관계자</t>
        </is>
      </c>
      <c r="G387" s="3" t="inlineStr">
        <is>
          <t>신규보고(+), 장내매수(+)</t>
        </is>
      </c>
      <c r="H387" s="15" t="n">
        <v>80686</v>
      </c>
      <c r="I387" s="6" t="n">
        <v>707</v>
      </c>
      <c r="J387" s="6" t="n">
        <v>80686</v>
      </c>
      <c r="K387" s="16" t="n">
        <v>7</v>
      </c>
      <c r="L387" s="2" t="inlineStr">
        <is>
          <t>20260303001794</t>
        </is>
      </c>
      <c r="M387" s="8">
        <f>HYPERLINK("https://dart.fss.or.kr/dsaf001/main.do?rcpNo=20260303001794", "공시열람")</f>
        <v/>
      </c>
    </row>
    <row r="388" ht="22" customHeight="1">
      <c r="A388" s="2" t="inlineStr">
        <is>
          <t>2026-03-03</t>
        </is>
      </c>
      <c r="B388" s="3" t="inlineStr">
        <is>
          <t>파인텍</t>
        </is>
      </c>
      <c r="C388" s="2" t="inlineStr">
        <is>
          <t>131760</t>
        </is>
      </c>
      <c r="D388" s="2" t="inlineStr">
        <is>
          <t>대량보유</t>
        </is>
      </c>
      <c r="E388" s="3" t="inlineStr">
        <is>
          <t>김상태</t>
        </is>
      </c>
      <c r="F388" s="3" t="inlineStr">
        <is>
          <t>특별관계자</t>
        </is>
      </c>
      <c r="G388" s="3" t="inlineStr">
        <is>
          <t>신규보고(+), 장내매수(+)</t>
        </is>
      </c>
      <c r="H388" s="15" t="n">
        <v>90451</v>
      </c>
      <c r="I388" s="6" t="n">
        <v>714</v>
      </c>
      <c r="J388" s="6" t="n">
        <v>90451</v>
      </c>
      <c r="K388" s="16" t="n">
        <v>7</v>
      </c>
      <c r="L388" s="2" t="inlineStr">
        <is>
          <t>20260303001794</t>
        </is>
      </c>
      <c r="M388" s="8">
        <f>HYPERLINK("https://dart.fss.or.kr/dsaf001/main.do?rcpNo=20260303001794", "공시열람")</f>
        <v/>
      </c>
    </row>
    <row r="389" ht="22" customHeight="1">
      <c r="A389" s="2" t="inlineStr">
        <is>
          <t>2026-03-03</t>
        </is>
      </c>
      <c r="B389" s="3" t="inlineStr">
        <is>
          <t>HLB</t>
        </is>
      </c>
      <c r="C389" s="2" t="inlineStr">
        <is>
          <t>028300</t>
        </is>
      </c>
      <c r="D389" s="2" t="inlineStr">
        <is>
          <t>대량보유</t>
        </is>
      </c>
      <c r="E389" s="3" t="inlineStr">
        <is>
          <t>BlackRockFundAdvisors</t>
        </is>
      </c>
      <c r="F389" s="3" t="inlineStr">
        <is>
          <t>특별관계자</t>
        </is>
      </c>
      <c r="G389" s="3" t="inlineStr">
        <is>
          <t>신규보고(+), 장내매수(+)</t>
        </is>
      </c>
      <c r="H389" s="15" t="n">
        <v>3280282</v>
      </c>
      <c r="I389" s="6" t="n">
        <v>36677</v>
      </c>
      <c r="J389" s="6" t="n">
        <v>3280282</v>
      </c>
      <c r="K389" s="16" t="n">
        <v>12</v>
      </c>
      <c r="L389" s="2" t="inlineStr">
        <is>
          <t>20260303001765</t>
        </is>
      </c>
      <c r="M389" s="8">
        <f>HYPERLINK("https://dart.fss.or.kr/dsaf001/main.do?rcpNo=20260303001765", "공시열람")</f>
        <v/>
      </c>
    </row>
    <row r="390" ht="22" customHeight="1">
      <c r="A390" s="2" t="inlineStr">
        <is>
          <t>2026-03-03</t>
        </is>
      </c>
      <c r="B390" s="3" t="inlineStr">
        <is>
          <t>HLB</t>
        </is>
      </c>
      <c r="C390" s="2" t="inlineStr">
        <is>
          <t>028300</t>
        </is>
      </c>
      <c r="D390" s="2" t="inlineStr">
        <is>
          <t>대량보유</t>
        </is>
      </c>
      <c r="E390" s="3" t="inlineStr">
        <is>
          <t>BlackRockInstitutionalTrustCompany,N.A.</t>
        </is>
      </c>
      <c r="F390" s="3" t="inlineStr">
        <is>
          <t>특별관계자</t>
        </is>
      </c>
      <c r="G390" s="3" t="inlineStr">
        <is>
          <t>신규보고(+)</t>
        </is>
      </c>
      <c r="H390" s="15" t="n">
        <v>1430132</v>
      </c>
      <c r="I390" s="6" t="n">
        <v>56278</v>
      </c>
      <c r="J390" s="6" t="n">
        <v>1430132</v>
      </c>
      <c r="K390" s="16" t="n">
        <v>12</v>
      </c>
      <c r="L390" s="2" t="inlineStr">
        <is>
          <t>20260303001765</t>
        </is>
      </c>
      <c r="M390" s="8">
        <f>HYPERLINK("https://dart.fss.or.kr/dsaf001/main.do?rcpNo=20260303001765", "공시열람")</f>
        <v/>
      </c>
    </row>
    <row r="391" ht="22" customHeight="1">
      <c r="A391" s="2" t="inlineStr">
        <is>
          <t>2026-03-03</t>
        </is>
      </c>
      <c r="B391" s="3" t="inlineStr">
        <is>
          <t>HLB</t>
        </is>
      </c>
      <c r="C391" s="2" t="inlineStr">
        <is>
          <t>028300</t>
        </is>
      </c>
      <c r="D391" s="2" t="inlineStr">
        <is>
          <t>대량보유</t>
        </is>
      </c>
      <c r="E391" s="3" t="inlineStr">
        <is>
          <t>BlackRockAdvisors(UK)Limited</t>
        </is>
      </c>
      <c r="F391" s="3" t="inlineStr">
        <is>
          <t>특별관계자</t>
        </is>
      </c>
      <c r="G391" s="3" t="inlineStr">
        <is>
          <t>신규보고(+), 장내매수(+)</t>
        </is>
      </c>
      <c r="H391" s="15" t="n">
        <v>1122417</v>
      </c>
      <c r="I391" s="6" t="n">
        <v>51405</v>
      </c>
      <c r="J391" s="6" t="n">
        <v>1122417</v>
      </c>
      <c r="K391" s="16" t="n">
        <v>12</v>
      </c>
      <c r="L391" s="2" t="inlineStr">
        <is>
          <t>20260303001765</t>
        </is>
      </c>
      <c r="M391" s="8">
        <f>HYPERLINK("https://dart.fss.or.kr/dsaf001/main.do?rcpNo=20260303001765", "공시열람")</f>
        <v/>
      </c>
    </row>
    <row r="392" ht="22" customHeight="1">
      <c r="A392" s="2" t="inlineStr">
        <is>
          <t>2026-03-03</t>
        </is>
      </c>
      <c r="B392" s="3" t="inlineStr">
        <is>
          <t>HLB</t>
        </is>
      </c>
      <c r="C392" s="2" t="inlineStr">
        <is>
          <t>028300</t>
        </is>
      </c>
      <c r="D392" s="2" t="inlineStr">
        <is>
          <t>대량보유</t>
        </is>
      </c>
      <c r="E392" s="3" t="inlineStr">
        <is>
          <t>BlackRockFinancialManagement,Inc</t>
        </is>
      </c>
      <c r="F392" s="3" t="inlineStr">
        <is>
          <t>특별관계자</t>
        </is>
      </c>
      <c r="G392" s="3" t="inlineStr">
        <is>
          <t>신규보고(+)</t>
        </is>
      </c>
      <c r="H392" s="15" t="n">
        <v>36386</v>
      </c>
      <c r="I392" s="6" t="n">
        <v>45926</v>
      </c>
      <c r="J392" s="6" t="n">
        <v>36386</v>
      </c>
      <c r="K392" s="16" t="n">
        <v>12</v>
      </c>
      <c r="L392" s="2" t="inlineStr">
        <is>
          <t>20260303001765</t>
        </is>
      </c>
      <c r="M392" s="8">
        <f>HYPERLINK("https://dart.fss.or.kr/dsaf001/main.do?rcpNo=20260303001765", "공시열람")</f>
        <v/>
      </c>
    </row>
    <row r="393" ht="22" customHeight="1">
      <c r="A393" s="2" t="inlineStr">
        <is>
          <t>2026-03-03</t>
        </is>
      </c>
      <c r="B393" s="3" t="inlineStr">
        <is>
          <t>HLB</t>
        </is>
      </c>
      <c r="C393" s="2" t="inlineStr">
        <is>
          <t>028300</t>
        </is>
      </c>
      <c r="D393" s="2" t="inlineStr">
        <is>
          <t>대량보유</t>
        </is>
      </c>
      <c r="E393" s="3" t="inlineStr">
        <is>
          <t>BlackRockInvestmentManagement,LLC</t>
        </is>
      </c>
      <c r="F393" s="3" t="inlineStr">
        <is>
          <t>특별관계자</t>
        </is>
      </c>
      <c r="G393" s="3" t="inlineStr">
        <is>
          <t>신규보고(+)</t>
        </is>
      </c>
      <c r="H393" s="15" t="n">
        <v>13613</v>
      </c>
      <c r="I393" s="6" t="n">
        <v>52612</v>
      </c>
      <c r="J393" s="6" t="n">
        <v>13613</v>
      </c>
      <c r="K393" s="16" t="n">
        <v>12</v>
      </c>
      <c r="L393" s="2" t="inlineStr">
        <is>
          <t>20260303001765</t>
        </is>
      </c>
      <c r="M393" s="8">
        <f>HYPERLINK("https://dart.fss.or.kr/dsaf001/main.do?rcpNo=20260303001765", "공시열람")</f>
        <v/>
      </c>
    </row>
    <row r="394" ht="22" customHeight="1">
      <c r="A394" s="2" t="inlineStr">
        <is>
          <t>2026-03-03</t>
        </is>
      </c>
      <c r="B394" s="3" t="inlineStr">
        <is>
          <t>HLB</t>
        </is>
      </c>
      <c r="C394" s="2" t="inlineStr">
        <is>
          <t>028300</t>
        </is>
      </c>
      <c r="D394" s="2" t="inlineStr">
        <is>
          <t>대량보유</t>
        </is>
      </c>
      <c r="E394" s="3" t="inlineStr">
        <is>
          <t>BlackRockInvestmentManagement(UK)Limited</t>
        </is>
      </c>
      <c r="F394" s="3" t="inlineStr">
        <is>
          <t>특별관계자</t>
        </is>
      </c>
      <c r="G394" s="3" t="inlineStr">
        <is>
          <t>신규보고(+), 장내매수(+)</t>
        </is>
      </c>
      <c r="H394" s="15" t="n">
        <v>452520</v>
      </c>
      <c r="I394" s="6" t="n">
        <v>56956</v>
      </c>
      <c r="J394" s="6" t="n">
        <v>452520</v>
      </c>
      <c r="K394" s="16" t="n">
        <v>12</v>
      </c>
      <c r="L394" s="2" t="inlineStr">
        <is>
          <t>20260303001765</t>
        </is>
      </c>
      <c r="M394" s="8">
        <f>HYPERLINK("https://dart.fss.or.kr/dsaf001/main.do?rcpNo=20260303001765", "공시열람")</f>
        <v/>
      </c>
    </row>
    <row r="395" ht="22" customHeight="1">
      <c r="A395" s="2" t="inlineStr">
        <is>
          <t>2026-03-03</t>
        </is>
      </c>
      <c r="B395" s="3" t="inlineStr">
        <is>
          <t>HLB</t>
        </is>
      </c>
      <c r="C395" s="2" t="inlineStr">
        <is>
          <t>028300</t>
        </is>
      </c>
      <c r="D395" s="2" t="inlineStr">
        <is>
          <t>대량보유</t>
        </is>
      </c>
      <c r="E395" s="3" t="inlineStr">
        <is>
          <t>BlackRockAssetManagementCanadaLimited</t>
        </is>
      </c>
      <c r="F395" s="3" t="inlineStr">
        <is>
          <t>특별관계자</t>
        </is>
      </c>
      <c r="G395" s="3" t="inlineStr">
        <is>
          <t>신규보고(+)</t>
        </is>
      </c>
      <c r="H395" s="15" t="n">
        <v>36863</v>
      </c>
      <c r="I395" s="6" t="n">
        <v>40801</v>
      </c>
      <c r="J395" s="6" t="n">
        <v>36863</v>
      </c>
      <c r="K395" s="16" t="n">
        <v>12</v>
      </c>
      <c r="L395" s="2" t="inlineStr">
        <is>
          <t>20260303001765</t>
        </is>
      </c>
      <c r="M395" s="8">
        <f>HYPERLINK("https://dart.fss.or.kr/dsaf001/main.do?rcpNo=20260303001765", "공시열람")</f>
        <v/>
      </c>
    </row>
    <row r="396" ht="22" customHeight="1">
      <c r="A396" s="2" t="inlineStr">
        <is>
          <t>2026-03-03</t>
        </is>
      </c>
      <c r="B396" s="3" t="inlineStr">
        <is>
          <t>HLB</t>
        </is>
      </c>
      <c r="C396" s="2" t="inlineStr">
        <is>
          <t>028300</t>
        </is>
      </c>
      <c r="D396" s="2" t="inlineStr">
        <is>
          <t>대량보유</t>
        </is>
      </c>
      <c r="E396" s="3" t="inlineStr">
        <is>
          <t>BlackRockAssetManagementNorthAsiaLimited</t>
        </is>
      </c>
      <c r="F396" s="3" t="inlineStr">
        <is>
          <t>특별관계자</t>
        </is>
      </c>
      <c r="G396" s="3" t="inlineStr">
        <is>
          <t>신규보고(+)</t>
        </is>
      </c>
      <c r="H396" s="15" t="n">
        <v>65268</v>
      </c>
      <c r="I396" s="6" t="n">
        <v>78673</v>
      </c>
      <c r="J396" s="6" t="n">
        <v>65268</v>
      </c>
      <c r="K396" s="16" t="n">
        <v>12</v>
      </c>
      <c r="L396" s="2" t="inlineStr">
        <is>
          <t>20260303001765</t>
        </is>
      </c>
      <c r="M396" s="8">
        <f>HYPERLINK("https://dart.fss.or.kr/dsaf001/main.do?rcpNo=20260303001765", "공시열람")</f>
        <v/>
      </c>
    </row>
    <row r="397" ht="22" customHeight="1">
      <c r="A397" s="2" t="inlineStr">
        <is>
          <t>2026-03-03</t>
        </is>
      </c>
      <c r="B397" s="3" t="inlineStr">
        <is>
          <t>HLB</t>
        </is>
      </c>
      <c r="C397" s="2" t="inlineStr">
        <is>
          <t>028300</t>
        </is>
      </c>
      <c r="D397" s="2" t="inlineStr">
        <is>
          <t>대량보유</t>
        </is>
      </c>
      <c r="E397" s="3" t="inlineStr">
        <is>
          <t>BlackRockJapanCo.,Ltd.</t>
        </is>
      </c>
      <c r="F397" s="3" t="inlineStr">
        <is>
          <t>특별관계자</t>
        </is>
      </c>
      <c r="G397" s="3" t="inlineStr">
        <is>
          <t>신규보고(+)</t>
        </is>
      </c>
      <c r="H397" s="15" t="n">
        <v>100153</v>
      </c>
      <c r="I397" s="6" t="n">
        <v>43078</v>
      </c>
      <c r="J397" s="6" t="n">
        <v>100153</v>
      </c>
      <c r="K397" s="16" t="n">
        <v>12</v>
      </c>
      <c r="L397" s="2" t="inlineStr">
        <is>
          <t>20260303001765</t>
        </is>
      </c>
      <c r="M397" s="8">
        <f>HYPERLINK("https://dart.fss.or.kr/dsaf001/main.do?rcpNo=20260303001765", "공시열람")</f>
        <v/>
      </c>
    </row>
    <row r="398" ht="22" customHeight="1">
      <c r="A398" s="2" t="inlineStr">
        <is>
          <t>2026-03-03</t>
        </is>
      </c>
      <c r="B398" s="3" t="inlineStr">
        <is>
          <t>HLB</t>
        </is>
      </c>
      <c r="C398" s="2" t="inlineStr">
        <is>
          <t>028300</t>
        </is>
      </c>
      <c r="D398" s="2" t="inlineStr">
        <is>
          <t>대량보유</t>
        </is>
      </c>
      <c r="E398" s="3" t="inlineStr">
        <is>
          <t>BlackRock(Netherlands)B.V.</t>
        </is>
      </c>
      <c r="F398" s="3" t="inlineStr">
        <is>
          <t>특별관계자</t>
        </is>
      </c>
      <c r="G398" s="3" t="inlineStr">
        <is>
          <t>신규보고(+)</t>
        </is>
      </c>
      <c r="H398" s="15" t="n">
        <v>44427</v>
      </c>
      <c r="I398" s="6" t="n">
        <v>50890</v>
      </c>
      <c r="J398" s="6" t="n">
        <v>44427</v>
      </c>
      <c r="K398" s="16" t="n">
        <v>12</v>
      </c>
      <c r="L398" s="2" t="inlineStr">
        <is>
          <t>20260303001765</t>
        </is>
      </c>
      <c r="M398" s="8">
        <f>HYPERLINK("https://dart.fss.or.kr/dsaf001/main.do?rcpNo=20260303001765", "공시열람")</f>
        <v/>
      </c>
    </row>
    <row r="399" ht="22" customHeight="1">
      <c r="A399" s="2" t="inlineStr">
        <is>
          <t>2026-03-03</t>
        </is>
      </c>
      <c r="B399" s="3" t="inlineStr">
        <is>
          <t>HLB</t>
        </is>
      </c>
      <c r="C399" s="2" t="inlineStr">
        <is>
          <t>028300</t>
        </is>
      </c>
      <c r="D399" s="2" t="inlineStr">
        <is>
          <t>대량보유</t>
        </is>
      </c>
      <c r="E399" s="3" t="inlineStr">
        <is>
          <t>BlackRockInvestmentManagement(Australia)Limited</t>
        </is>
      </c>
      <c r="F399" s="3" t="inlineStr">
        <is>
          <t>특별관계자</t>
        </is>
      </c>
      <c r="G399" s="3" t="inlineStr">
        <is>
          <t>신규보고(+)</t>
        </is>
      </c>
      <c r="H399" s="15" t="n">
        <v>35644</v>
      </c>
      <c r="I399" s="6" t="n">
        <v>51158</v>
      </c>
      <c r="J399" s="6" t="n">
        <v>35644</v>
      </c>
      <c r="K399" s="16" t="n">
        <v>12</v>
      </c>
      <c r="L399" s="2" t="inlineStr">
        <is>
          <t>20260303001765</t>
        </is>
      </c>
      <c r="M399" s="8">
        <f>HYPERLINK("https://dart.fss.or.kr/dsaf001/main.do?rcpNo=20260303001765", "공시열람")</f>
        <v/>
      </c>
    </row>
    <row r="400" ht="22" customHeight="1">
      <c r="A400" s="2" t="inlineStr">
        <is>
          <t>2026-03-03</t>
        </is>
      </c>
      <c r="B400" s="3" t="inlineStr">
        <is>
          <t>HLB</t>
        </is>
      </c>
      <c r="C400" s="2" t="inlineStr">
        <is>
          <t>028300</t>
        </is>
      </c>
      <c r="D400" s="2" t="inlineStr">
        <is>
          <t>대량보유</t>
        </is>
      </c>
      <c r="E400" s="3" t="inlineStr">
        <is>
          <t>BlackRock(Singapore)Limited</t>
        </is>
      </c>
      <c r="F400" s="3" t="inlineStr">
        <is>
          <t>특별관계자</t>
        </is>
      </c>
      <c r="G400" s="3" t="inlineStr">
        <is>
          <t>신규보고(+)</t>
        </is>
      </c>
      <c r="H400" s="15" t="n">
        <v>47216</v>
      </c>
      <c r="I400" s="6" t="n">
        <v>57527</v>
      </c>
      <c r="J400" s="6" t="n">
        <v>47216</v>
      </c>
      <c r="K400" s="16" t="n">
        <v>12</v>
      </c>
      <c r="L400" s="2" t="inlineStr">
        <is>
          <t>20260303001765</t>
        </is>
      </c>
      <c r="M400" s="8">
        <f>HYPERLINK("https://dart.fss.or.kr/dsaf001/main.do?rcpNo=20260303001765", "공시열람")</f>
        <v/>
      </c>
    </row>
    <row r="401" ht="22" customHeight="1">
      <c r="A401" s="2" t="inlineStr">
        <is>
          <t>2026-03-03</t>
        </is>
      </c>
      <c r="B401" s="3" t="inlineStr">
        <is>
          <t>삼성E&amp;A</t>
        </is>
      </c>
      <c r="C401" s="2" t="inlineStr">
        <is>
          <t>028050</t>
        </is>
      </c>
      <c r="D401" s="2" t="inlineStr">
        <is>
          <t>대량보유</t>
        </is>
      </c>
      <c r="E401" s="3" t="inlineStr">
        <is>
          <t>BlackRockFundAdvisors</t>
        </is>
      </c>
      <c r="F401" s="3" t="inlineStr">
        <is>
          <t>특별관계자</t>
        </is>
      </c>
      <c r="G401" s="3" t="inlineStr">
        <is>
          <t>장내매수(+), 장내매도(-)</t>
        </is>
      </c>
      <c r="H401" s="15" t="n">
        <v>141845</v>
      </c>
      <c r="I401" s="6" t="n">
        <v>26426</v>
      </c>
      <c r="J401" s="6" t="n">
        <v>1974984</v>
      </c>
      <c r="K401" s="16" t="n">
        <v>12</v>
      </c>
      <c r="L401" s="2" t="inlineStr">
        <is>
          <t>20260303001699</t>
        </is>
      </c>
      <c r="M401" s="8">
        <f>HYPERLINK("https://dart.fss.or.kr/dsaf001/main.do?rcpNo=20260303001699", "공시열람")</f>
        <v/>
      </c>
    </row>
    <row r="402" ht="22" customHeight="1">
      <c r="A402" s="2" t="inlineStr">
        <is>
          <t>2026-03-03</t>
        </is>
      </c>
      <c r="B402" s="3" t="inlineStr">
        <is>
          <t>삼성E&amp;A</t>
        </is>
      </c>
      <c r="C402" s="2" t="inlineStr">
        <is>
          <t>028050</t>
        </is>
      </c>
      <c r="D402" s="2" t="inlineStr">
        <is>
          <t>대량보유</t>
        </is>
      </c>
      <c r="E402" s="3" t="inlineStr">
        <is>
          <t>BlackRockInstitutionalTrustCompany,N.A.</t>
        </is>
      </c>
      <c r="F402" s="3" t="inlineStr">
        <is>
          <t>특별관계자</t>
        </is>
      </c>
      <c r="G402" s="3" t="inlineStr">
        <is>
          <t>장내매수(+), 장내매도(-)</t>
        </is>
      </c>
      <c r="H402" s="17" t="n">
        <v>-736211</v>
      </c>
      <c r="I402" s="6" t="n">
        <v>27611</v>
      </c>
      <c r="J402" s="6" t="n">
        <v>2689538</v>
      </c>
      <c r="K402" s="16" t="n">
        <v>12</v>
      </c>
      <c r="L402" s="2" t="inlineStr">
        <is>
          <t>20260303001699</t>
        </is>
      </c>
      <c r="M402" s="8">
        <f>HYPERLINK("https://dart.fss.or.kr/dsaf001/main.do?rcpNo=20260303001699", "공시열람")</f>
        <v/>
      </c>
    </row>
    <row r="403" ht="22" customHeight="1">
      <c r="A403" s="2" t="inlineStr">
        <is>
          <t>2026-03-03</t>
        </is>
      </c>
      <c r="B403" s="3" t="inlineStr">
        <is>
          <t>삼성E&amp;A</t>
        </is>
      </c>
      <c r="C403" s="2" t="inlineStr">
        <is>
          <t>028050</t>
        </is>
      </c>
      <c r="D403" s="2" t="inlineStr">
        <is>
          <t>대량보유</t>
        </is>
      </c>
      <c r="E403" s="3" t="inlineStr">
        <is>
          <t>BlackRockAdvisors(UK)Limited</t>
        </is>
      </c>
      <c r="F403" s="3" t="inlineStr">
        <is>
          <t>특별관계자</t>
        </is>
      </c>
      <c r="G403" s="3" t="inlineStr">
        <is>
          <t>장내매도(-), 장내매수(+)</t>
        </is>
      </c>
      <c r="H403" s="17" t="n">
        <v>-68869</v>
      </c>
      <c r="I403" s="6" t="n">
        <v>26663</v>
      </c>
      <c r="J403" s="6" t="n">
        <v>1142727</v>
      </c>
      <c r="K403" s="16" t="n">
        <v>12</v>
      </c>
      <c r="L403" s="2" t="inlineStr">
        <is>
          <t>20260303001699</t>
        </is>
      </c>
      <c r="M403" s="8">
        <f>HYPERLINK("https://dart.fss.or.kr/dsaf001/main.do?rcpNo=20260303001699", "공시열람")</f>
        <v/>
      </c>
    </row>
    <row r="404" ht="22" customHeight="1">
      <c r="A404" s="2" t="inlineStr">
        <is>
          <t>2026-03-03</t>
        </is>
      </c>
      <c r="B404" s="3" t="inlineStr">
        <is>
          <t>삼성E&amp;A</t>
        </is>
      </c>
      <c r="C404" s="2" t="inlineStr">
        <is>
          <t>028050</t>
        </is>
      </c>
      <c r="D404" s="2" t="inlineStr">
        <is>
          <t>대량보유</t>
        </is>
      </c>
      <c r="E404" s="3" t="inlineStr">
        <is>
          <t>BlackRockFinancialManagement,Inc</t>
        </is>
      </c>
      <c r="F404" s="3" t="inlineStr">
        <is>
          <t>특별관계자</t>
        </is>
      </c>
      <c r="G404" s="3" t="inlineStr">
        <is>
          <t>장내매수(+), 장내매도(-)</t>
        </is>
      </c>
      <c r="H404" s="17" t="n">
        <v>-621422</v>
      </c>
      <c r="I404" s="6" t="n">
        <v>27633</v>
      </c>
      <c r="J404" s="6" t="n">
        <v>603006</v>
      </c>
      <c r="K404" s="16" t="n">
        <v>12</v>
      </c>
      <c r="L404" s="2" t="inlineStr">
        <is>
          <t>20260303001699</t>
        </is>
      </c>
      <c r="M404" s="8">
        <f>HYPERLINK("https://dart.fss.or.kr/dsaf001/main.do?rcpNo=20260303001699", "공시열람")</f>
        <v/>
      </c>
    </row>
    <row r="405" ht="22" customHeight="1">
      <c r="A405" s="2" t="inlineStr">
        <is>
          <t>2026-03-03</t>
        </is>
      </c>
      <c r="B405" s="3" t="inlineStr">
        <is>
          <t>삼성E&amp;A</t>
        </is>
      </c>
      <c r="C405" s="2" t="inlineStr">
        <is>
          <t>028050</t>
        </is>
      </c>
      <c r="D405" s="2" t="inlineStr">
        <is>
          <t>대량보유</t>
        </is>
      </c>
      <c r="E405" s="3" t="inlineStr">
        <is>
          <t>BlackRockInvestmentManagement,LLC</t>
        </is>
      </c>
      <c r="F405" s="3" t="inlineStr">
        <is>
          <t>특별관계자</t>
        </is>
      </c>
      <c r="G405" s="3" t="inlineStr">
        <is>
          <t>장내매도(-), 장내매수(+)</t>
        </is>
      </c>
      <c r="H405" s="17" t="n">
        <v>-139245</v>
      </c>
      <c r="I405" s="6" t="n">
        <v>27526</v>
      </c>
      <c r="J405" s="6" t="n">
        <v>204288</v>
      </c>
      <c r="K405" s="16" t="n">
        <v>12</v>
      </c>
      <c r="L405" s="2" t="inlineStr">
        <is>
          <t>20260303001699</t>
        </is>
      </c>
      <c r="M405" s="8">
        <f>HYPERLINK("https://dart.fss.or.kr/dsaf001/main.do?rcpNo=20260303001699", "공시열람")</f>
        <v/>
      </c>
    </row>
    <row r="406" ht="22" customHeight="1">
      <c r="A406" s="2" t="inlineStr">
        <is>
          <t>2026-03-03</t>
        </is>
      </c>
      <c r="B406" s="3" t="inlineStr">
        <is>
          <t>삼성E&amp;A</t>
        </is>
      </c>
      <c r="C406" s="2" t="inlineStr">
        <is>
          <t>028050</t>
        </is>
      </c>
      <c r="D406" s="2" t="inlineStr">
        <is>
          <t>대량보유</t>
        </is>
      </c>
      <c r="E406" s="3" t="inlineStr">
        <is>
          <t>BlackRockInvestmentManagement(UK)Limited</t>
        </is>
      </c>
      <c r="F406" s="3" t="inlineStr">
        <is>
          <t>특별관계자</t>
        </is>
      </c>
      <c r="G406" s="3" t="inlineStr">
        <is>
          <t>장내매도(-), 장내매수(+)</t>
        </is>
      </c>
      <c r="H406" s="17" t="n">
        <v>-452509</v>
      </c>
      <c r="I406" s="6" t="n">
        <v>27576</v>
      </c>
      <c r="J406" s="6" t="n">
        <v>759202</v>
      </c>
      <c r="K406" s="16" t="n">
        <v>12</v>
      </c>
      <c r="L406" s="2" t="inlineStr">
        <is>
          <t>20260303001699</t>
        </is>
      </c>
      <c r="M406" s="8">
        <f>HYPERLINK("https://dart.fss.or.kr/dsaf001/main.do?rcpNo=20260303001699", "공시열람")</f>
        <v/>
      </c>
    </row>
    <row r="407" ht="22" customHeight="1">
      <c r="A407" s="2" t="inlineStr">
        <is>
          <t>2026-03-03</t>
        </is>
      </c>
      <c r="B407" s="3" t="inlineStr">
        <is>
          <t>삼성E&amp;A</t>
        </is>
      </c>
      <c r="C407" s="2" t="inlineStr">
        <is>
          <t>028050</t>
        </is>
      </c>
      <c r="D407" s="2" t="inlineStr">
        <is>
          <t>대량보유</t>
        </is>
      </c>
      <c r="E407" s="3" t="inlineStr">
        <is>
          <t>BlackRockAssetManagementCanadaLimited</t>
        </is>
      </c>
      <c r="F407" s="3" t="inlineStr">
        <is>
          <t>특별관계자</t>
        </is>
      </c>
      <c r="G407" s="3" t="inlineStr">
        <is>
          <t>장내매수(+), 장내매도(-)</t>
        </is>
      </c>
      <c r="H407" s="15" t="n">
        <v>18942</v>
      </c>
      <c r="I407" s="6" t="n">
        <v>25702</v>
      </c>
      <c r="J407" s="6" t="n">
        <v>52687</v>
      </c>
      <c r="K407" s="16" t="n">
        <v>12</v>
      </c>
      <c r="L407" s="2" t="inlineStr">
        <is>
          <t>20260303001699</t>
        </is>
      </c>
      <c r="M407" s="8">
        <f>HYPERLINK("https://dart.fss.or.kr/dsaf001/main.do?rcpNo=20260303001699", "공시열람")</f>
        <v/>
      </c>
    </row>
    <row r="408" ht="22" customHeight="1">
      <c r="A408" s="2" t="inlineStr">
        <is>
          <t>2026-03-03</t>
        </is>
      </c>
      <c r="B408" s="3" t="inlineStr">
        <is>
          <t>삼성E&amp;A</t>
        </is>
      </c>
      <c r="C408" s="2" t="inlineStr">
        <is>
          <t>028050</t>
        </is>
      </c>
      <c r="D408" s="2" t="inlineStr">
        <is>
          <t>대량보유</t>
        </is>
      </c>
      <c r="E408" s="3" t="inlineStr">
        <is>
          <t>BlackRock(Netherlands)B.V.</t>
        </is>
      </c>
      <c r="F408" s="3" t="inlineStr">
        <is>
          <t>특별관계자</t>
        </is>
      </c>
      <c r="G408" s="3" t="inlineStr">
        <is>
          <t>장내매도(-)</t>
        </is>
      </c>
      <c r="H408" s="17" t="n">
        <v>-93411</v>
      </c>
      <c r="I408" s="6" t="n">
        <v>25050</v>
      </c>
      <c r="J408" s="6" t="inlineStr"/>
      <c r="K408" s="16" t="n">
        <v>12</v>
      </c>
      <c r="L408" s="2" t="inlineStr">
        <is>
          <t>20260303001699</t>
        </is>
      </c>
      <c r="M408" s="8">
        <f>HYPERLINK("https://dart.fss.or.kr/dsaf001/main.do?rcpNo=20260303001699", "공시열람")</f>
        <v/>
      </c>
    </row>
    <row r="409" ht="22" customHeight="1">
      <c r="A409" s="2" t="inlineStr">
        <is>
          <t>2026-03-03</t>
        </is>
      </c>
      <c r="B409" s="3" t="inlineStr">
        <is>
          <t>삼성E&amp;A</t>
        </is>
      </c>
      <c r="C409" s="2" t="inlineStr">
        <is>
          <t>028050</t>
        </is>
      </c>
      <c r="D409" s="2" t="inlineStr">
        <is>
          <t>대량보유</t>
        </is>
      </c>
      <c r="E409" s="3" t="inlineStr">
        <is>
          <t>BlackRockJapanCo.,Ltd.</t>
        </is>
      </c>
      <c r="F409" s="3" t="inlineStr">
        <is>
          <t>특별관계자</t>
        </is>
      </c>
      <c r="G409" s="3" t="inlineStr">
        <is>
          <t>장내매수(+)</t>
        </is>
      </c>
      <c r="H409" s="15" t="n">
        <v>2194</v>
      </c>
      <c r="I409" s="6" t="n">
        <v>27566</v>
      </c>
      <c r="J409" s="6" t="n">
        <v>45148</v>
      </c>
      <c r="K409" s="16" t="n">
        <v>12</v>
      </c>
      <c r="L409" s="2" t="inlineStr">
        <is>
          <t>20260303001699</t>
        </is>
      </c>
      <c r="M409" s="8">
        <f>HYPERLINK("https://dart.fss.or.kr/dsaf001/main.do?rcpNo=20260303001699", "공시열람")</f>
        <v/>
      </c>
    </row>
    <row r="410" ht="22" customHeight="1">
      <c r="A410" s="2" t="inlineStr">
        <is>
          <t>2026-03-03</t>
        </is>
      </c>
      <c r="B410" s="3" t="inlineStr">
        <is>
          <t>삼성E&amp;A</t>
        </is>
      </c>
      <c r="C410" s="2" t="inlineStr">
        <is>
          <t>028050</t>
        </is>
      </c>
      <c r="D410" s="2" t="inlineStr">
        <is>
          <t>대량보유</t>
        </is>
      </c>
      <c r="E410" s="3" t="inlineStr">
        <is>
          <t>BlackRockAdvisors,LLC</t>
        </is>
      </c>
      <c r="F410" s="3" t="inlineStr">
        <is>
          <t>특별관계자</t>
        </is>
      </c>
      <c r="G410" s="3" t="inlineStr">
        <is>
          <t>장내매도(-), 장내매수(+)</t>
        </is>
      </c>
      <c r="H410" s="17" t="n">
        <v>-13097</v>
      </c>
      <c r="I410" s="6" t="n">
        <v>26559</v>
      </c>
      <c r="J410" s="6" t="n">
        <v>44738</v>
      </c>
      <c r="K410" s="16" t="n">
        <v>12</v>
      </c>
      <c r="L410" s="2" t="inlineStr">
        <is>
          <t>20260303001699</t>
        </is>
      </c>
      <c r="M410" s="8">
        <f>HYPERLINK("https://dart.fss.or.kr/dsaf001/main.do?rcpNo=20260303001699", "공시열람")</f>
        <v/>
      </c>
    </row>
    <row r="411" ht="22" customHeight="1">
      <c r="A411" s="2" t="inlineStr">
        <is>
          <t>2026-03-03</t>
        </is>
      </c>
      <c r="B411" s="3" t="inlineStr">
        <is>
          <t>삼성E&amp;A</t>
        </is>
      </c>
      <c r="C411" s="2" t="inlineStr">
        <is>
          <t>028050</t>
        </is>
      </c>
      <c r="D411" s="2" t="inlineStr">
        <is>
          <t>대량보유</t>
        </is>
      </c>
      <c r="E411" s="3" t="inlineStr">
        <is>
          <t>BlackRockInvestmentManagement(Australia)Limited</t>
        </is>
      </c>
      <c r="F411" s="3" t="inlineStr">
        <is>
          <t>특별관계자</t>
        </is>
      </c>
      <c r="G411" s="3" t="inlineStr">
        <is>
          <t>장내매수(+), 장내매도(-)</t>
        </is>
      </c>
      <c r="H411" s="17" t="n">
        <v>-27952</v>
      </c>
      <c r="I411" s="6" t="n">
        <v>26777</v>
      </c>
      <c r="J411" s="6" t="n">
        <v>138648</v>
      </c>
      <c r="K411" s="16" t="n">
        <v>12</v>
      </c>
      <c r="L411" s="2" t="inlineStr">
        <is>
          <t>20260303001699</t>
        </is>
      </c>
      <c r="M411" s="8">
        <f>HYPERLINK("https://dart.fss.or.kr/dsaf001/main.do?rcpNo=20260303001699", "공시열람")</f>
        <v/>
      </c>
    </row>
    <row r="412" ht="22" customHeight="1">
      <c r="A412" s="2" t="inlineStr">
        <is>
          <t>2026-03-03</t>
        </is>
      </c>
      <c r="B412" s="3" t="inlineStr">
        <is>
          <t>삼성E&amp;A</t>
        </is>
      </c>
      <c r="C412" s="2" t="inlineStr">
        <is>
          <t>028050</t>
        </is>
      </c>
      <c r="D412" s="2" t="inlineStr">
        <is>
          <t>대량보유</t>
        </is>
      </c>
      <c r="E412" s="3" t="inlineStr">
        <is>
          <t>BlackRock(Singapore)Limited</t>
        </is>
      </c>
      <c r="F412" s="3" t="inlineStr">
        <is>
          <t>특별관계자</t>
        </is>
      </c>
      <c r="G412" s="3" t="inlineStr">
        <is>
          <t>장내매도(-), 장내매수(+)</t>
        </is>
      </c>
      <c r="H412" s="17" t="n">
        <v>-94608</v>
      </c>
      <c r="I412" s="6" t="n">
        <v>28481</v>
      </c>
      <c r="J412" s="6" t="n">
        <v>67445</v>
      </c>
      <c r="K412" s="16" t="n">
        <v>12</v>
      </c>
      <c r="L412" s="2" t="inlineStr">
        <is>
          <t>20260303001699</t>
        </is>
      </c>
      <c r="M412" s="8">
        <f>HYPERLINK("https://dart.fss.or.kr/dsaf001/main.do?rcpNo=20260303001699", "공시열람")</f>
        <v/>
      </c>
    </row>
    <row r="413" ht="22" customHeight="1">
      <c r="A413" s="2" t="inlineStr">
        <is>
          <t>2026-03-03</t>
        </is>
      </c>
      <c r="B413" s="3" t="inlineStr">
        <is>
          <t>케이엠제약</t>
        </is>
      </c>
      <c r="C413" s="2" t="inlineStr">
        <is>
          <t>225430</t>
        </is>
      </c>
      <c r="D413" s="2" t="inlineStr">
        <is>
          <t>대량보유</t>
        </is>
      </c>
      <c r="E413" s="3" t="inlineStr">
        <is>
          <t>강일모</t>
        </is>
      </c>
      <c r="F413" s="3" t="inlineStr">
        <is>
          <t>특별관계자</t>
        </is>
      </c>
      <c r="G413" s="3" t="inlineStr">
        <is>
          <t>장내매수(+)</t>
        </is>
      </c>
      <c r="H413" s="15" t="n">
        <v>24821</v>
      </c>
      <c r="I413" s="6" t="n">
        <v>493</v>
      </c>
      <c r="J413" s="6" t="n">
        <v>10424313</v>
      </c>
      <c r="K413" s="16" t="n">
        <v>4</v>
      </c>
      <c r="L413" s="2" t="inlineStr">
        <is>
          <t>20260303001597</t>
        </is>
      </c>
      <c r="M413" s="8">
        <f>HYPERLINK("https://dart.fss.or.kr/dsaf001/main.do?rcpNo=20260303001597", "공시열람")</f>
        <v/>
      </c>
    </row>
    <row r="414" ht="22" customHeight="1">
      <c r="A414" s="2" t="inlineStr">
        <is>
          <t>2026-03-03 (정정: 2026-03-06)</t>
        </is>
      </c>
      <c r="B414" s="3" t="inlineStr">
        <is>
          <t>다이나믹디자인</t>
        </is>
      </c>
      <c r="C414" s="2" t="inlineStr">
        <is>
          <t>145210</t>
        </is>
      </c>
      <c r="D414" s="2" t="inlineStr">
        <is>
          <t>대량보유</t>
        </is>
      </c>
      <c r="E414" s="3" t="inlineStr">
        <is>
          <t>-</t>
        </is>
      </c>
      <c r="F414" s="3" t="inlineStr">
        <is>
          <t>보고자</t>
        </is>
      </c>
      <c r="G414" s="3" t="inlineStr">
        <is>
          <t>-</t>
        </is>
      </c>
      <c r="H414" s="6" t="inlineStr"/>
      <c r="I414" s="6" t="inlineStr"/>
      <c r="J414" s="6" t="inlineStr"/>
      <c r="K414" s="18" t="inlineStr"/>
      <c r="L414" s="2" t="inlineStr">
        <is>
          <t>20260306801419</t>
        </is>
      </c>
      <c r="M414" s="8">
        <f>HYPERLINK("https://dart.fss.or.kr/dsaf001/main.do?rcpNo=20260306801419", "공시열람")</f>
        <v/>
      </c>
    </row>
    <row r="415" ht="22" customHeight="1">
      <c r="A415" s="2" t="inlineStr">
        <is>
          <t>2026-03-03 (정정: 2026-03-12)</t>
        </is>
      </c>
      <c r="B415" s="3" t="inlineStr">
        <is>
          <t>에프엔에스테크</t>
        </is>
      </c>
      <c r="C415" s="2" t="inlineStr">
        <is>
          <t>083500</t>
        </is>
      </c>
      <c r="D415" s="2" t="inlineStr">
        <is>
          <t>대량보유</t>
        </is>
      </c>
      <c r="E415" s="3" t="inlineStr">
        <is>
          <t>-</t>
        </is>
      </c>
      <c r="F415" s="3" t="inlineStr">
        <is>
          <t>보고자</t>
        </is>
      </c>
      <c r="G415" s="3" t="inlineStr">
        <is>
          <t>-</t>
        </is>
      </c>
      <c r="H415" s="6" t="inlineStr"/>
      <c r="I415" s="6" t="inlineStr"/>
      <c r="J415" s="6" t="inlineStr"/>
      <c r="K415" s="18" t="inlineStr"/>
      <c r="L415" s="2" t="inlineStr">
        <is>
          <t>20260312000930</t>
        </is>
      </c>
      <c r="M415" s="8">
        <f>HYPERLINK("https://dart.fss.or.kr/dsaf001/main.do?rcpNo=20260312000930", "공시열람")</f>
        <v/>
      </c>
    </row>
    <row r="416" ht="22" customHeight="1">
      <c r="A416" s="2" t="inlineStr">
        <is>
          <t>2026-03-03</t>
        </is>
      </c>
      <c r="B416" s="3" t="inlineStr">
        <is>
          <t>롯데에너지머티리얼즈</t>
        </is>
      </c>
      <c r="C416" s="2" t="inlineStr">
        <is>
          <t>020150</t>
        </is>
      </c>
      <c r="D416" s="2" t="inlineStr">
        <is>
          <t>임원보고</t>
        </is>
      </c>
      <c r="E416" s="3" t="inlineStr">
        <is>
          <t>-</t>
        </is>
      </c>
      <c r="F416" s="3" t="inlineStr">
        <is>
          <t>-</t>
        </is>
      </c>
      <c r="G416" s="3" t="inlineStr">
        <is>
          <t>-</t>
        </is>
      </c>
      <c r="H416" s="6" t="inlineStr"/>
      <c r="I416" s="6" t="inlineStr"/>
      <c r="J416" s="6" t="inlineStr"/>
      <c r="K416" s="16" t="n">
        <v>12</v>
      </c>
      <c r="L416" s="2" t="inlineStr">
        <is>
          <t>20260303800116</t>
        </is>
      </c>
      <c r="M416" s="8">
        <f>HYPERLINK("https://dart.fss.or.kr/dsaf001/main.do?rcpNo=20260303800116", "공시열람")</f>
        <v/>
      </c>
    </row>
    <row r="417" ht="22" customHeight="1">
      <c r="A417" s="2" t="inlineStr">
        <is>
          <t>2026-03-03</t>
        </is>
      </c>
      <c r="B417" s="3" t="inlineStr">
        <is>
          <t>삼성중공업</t>
        </is>
      </c>
      <c r="C417" s="2" t="inlineStr">
        <is>
          <t>010140</t>
        </is>
      </c>
      <c r="D417" s="2" t="inlineStr">
        <is>
          <t>임원보고</t>
        </is>
      </c>
      <c r="E417" s="3" t="inlineStr">
        <is>
          <t>-</t>
        </is>
      </c>
      <c r="F417" s="3" t="inlineStr">
        <is>
          <t>-</t>
        </is>
      </c>
      <c r="G417" s="3" t="inlineStr">
        <is>
          <t>-</t>
        </is>
      </c>
      <c r="H417" s="6" t="inlineStr"/>
      <c r="I417" s="6" t="inlineStr"/>
      <c r="J417" s="6" t="inlineStr"/>
      <c r="K417" s="16" t="n">
        <v>12</v>
      </c>
      <c r="L417" s="2" t="inlineStr">
        <is>
          <t>20260303800087</t>
        </is>
      </c>
      <c r="M417" s="8">
        <f>HYPERLINK("https://dart.fss.or.kr/dsaf001/main.do?rcpNo=20260303800087", "공시열람")</f>
        <v/>
      </c>
    </row>
    <row r="418" ht="22" customHeight="1">
      <c r="A418" s="2" t="inlineStr">
        <is>
          <t>2026-03-04</t>
        </is>
      </c>
      <c r="B418" s="3" t="inlineStr">
        <is>
          <t>온타이드</t>
        </is>
      </c>
      <c r="C418" s="2" t="inlineStr">
        <is>
          <t>005320</t>
        </is>
      </c>
      <c r="D418" s="2" t="inlineStr">
        <is>
          <t>임원보고</t>
        </is>
      </c>
      <c r="E418" s="3" t="inlineStr">
        <is>
          <t>-</t>
        </is>
      </c>
      <c r="F418" s="3" t="inlineStr">
        <is>
          <t>-</t>
        </is>
      </c>
      <c r="G418" s="3" t="inlineStr">
        <is>
          <t>-</t>
        </is>
      </c>
      <c r="H418" s="6" t="inlineStr"/>
      <c r="I418" s="6" t="inlineStr"/>
      <c r="J418" s="6" t="inlineStr"/>
      <c r="K418" s="16" t="n">
        <v>12</v>
      </c>
      <c r="L418" s="2" t="inlineStr">
        <is>
          <t>20260304801678</t>
        </is>
      </c>
      <c r="M418" s="8">
        <f>HYPERLINK("https://dart.fss.or.kr/dsaf001/main.do?rcpNo=20260304801678", "공시열람")</f>
        <v/>
      </c>
    </row>
    <row r="419" ht="22" customHeight="1">
      <c r="A419" s="2" t="inlineStr">
        <is>
          <t>2026-03-04</t>
        </is>
      </c>
      <c r="B419" s="3" t="inlineStr">
        <is>
          <t>알에프텍</t>
        </is>
      </c>
      <c r="C419" s="2" t="inlineStr">
        <is>
          <t>061040</t>
        </is>
      </c>
      <c r="D419" s="2" t="inlineStr">
        <is>
          <t>대량보유</t>
        </is>
      </c>
      <c r="E419" s="3" t="inlineStr">
        <is>
          <t>오성첨단소재(주)</t>
        </is>
      </c>
      <c r="F419" s="3" t="inlineStr">
        <is>
          <t>특별관계자</t>
        </is>
      </c>
      <c r="G419" s="3" t="inlineStr">
        <is>
          <t>장외매수(+)</t>
        </is>
      </c>
      <c r="H419" s="15" t="n">
        <v>4920446</v>
      </c>
      <c r="I419" s="6" t="n">
        <v>6503</v>
      </c>
      <c r="J419" s="6" t="n">
        <v>4920446</v>
      </c>
      <c r="K419" s="16" t="n">
        <v>15.33</v>
      </c>
      <c r="L419" s="2" t="inlineStr">
        <is>
          <t>20260304001704</t>
        </is>
      </c>
      <c r="M419" s="8">
        <f>HYPERLINK("https://dart.fss.or.kr/dsaf001/main.do?rcpNo=20260304001704", "공시열람")</f>
        <v/>
      </c>
    </row>
    <row r="420" ht="22" customHeight="1">
      <c r="A420" s="2" t="inlineStr">
        <is>
          <t>2026-03-04</t>
        </is>
      </c>
      <c r="B420" s="3" t="inlineStr">
        <is>
          <t>이수스페셜티케미컬</t>
        </is>
      </c>
      <c r="C420" s="2" t="inlineStr">
        <is>
          <t>457190</t>
        </is>
      </c>
      <c r="D420" s="2" t="inlineStr">
        <is>
          <t>임원보고</t>
        </is>
      </c>
      <c r="E420" s="3" t="inlineStr">
        <is>
          <t>-</t>
        </is>
      </c>
      <c r="F420" s="3" t="inlineStr">
        <is>
          <t>-</t>
        </is>
      </c>
      <c r="G420" s="3" t="inlineStr">
        <is>
          <t>-</t>
        </is>
      </c>
      <c r="H420" s="6" t="inlineStr"/>
      <c r="I420" s="6" t="inlineStr"/>
      <c r="J420" s="6" t="inlineStr"/>
      <c r="K420" s="16" t="n">
        <v>12</v>
      </c>
      <c r="L420" s="2" t="inlineStr">
        <is>
          <t>20260304801647</t>
        </is>
      </c>
      <c r="M420" s="8">
        <f>HYPERLINK("https://dart.fss.or.kr/dsaf001/main.do?rcpNo=20260304801647", "공시열람")</f>
        <v/>
      </c>
    </row>
    <row r="421" ht="22" customHeight="1">
      <c r="A421" s="2" t="inlineStr">
        <is>
          <t>2026-03-04</t>
        </is>
      </c>
      <c r="B421" s="3" t="inlineStr">
        <is>
          <t>미트박스</t>
        </is>
      </c>
      <c r="C421" s="2" t="inlineStr">
        <is>
          <t>475460</t>
        </is>
      </c>
      <c r="D421" s="2" t="inlineStr">
        <is>
          <t>대량보유</t>
        </is>
      </c>
      <c r="E421" s="3" t="inlineStr">
        <is>
          <t>서영직</t>
        </is>
      </c>
      <c r="F421" s="3" t="inlineStr">
        <is>
          <t>특별관계자</t>
        </is>
      </c>
      <c r="G421" s="3" t="inlineStr">
        <is>
          <t>장내매도(-)</t>
        </is>
      </c>
      <c r="H421" s="17" t="n">
        <v>-87954</v>
      </c>
      <c r="I421" s="6" t="n">
        <v>10347</v>
      </c>
      <c r="J421" s="6" t="n">
        <v>58612</v>
      </c>
      <c r="K421" s="16" t="n">
        <v>7</v>
      </c>
      <c r="L421" s="2" t="inlineStr">
        <is>
          <t>20260304001666</t>
        </is>
      </c>
      <c r="M421" s="8">
        <f>HYPERLINK("https://dart.fss.or.kr/dsaf001/main.do?rcpNo=20260304001666", "공시열람")</f>
        <v/>
      </c>
    </row>
    <row r="422" ht="22" customHeight="1">
      <c r="A422" s="2" t="inlineStr">
        <is>
          <t>2026-03-04</t>
        </is>
      </c>
      <c r="B422" s="3" t="inlineStr">
        <is>
          <t>미트박스</t>
        </is>
      </c>
      <c r="C422" s="2" t="inlineStr">
        <is>
          <t>475460</t>
        </is>
      </c>
      <c r="D422" s="2" t="inlineStr">
        <is>
          <t>대량보유</t>
        </is>
      </c>
      <c r="E422" s="3" t="inlineStr">
        <is>
          <t>김만섭</t>
        </is>
      </c>
      <c r="F422" s="3" t="inlineStr">
        <is>
          <t>특별관계자</t>
        </is>
      </c>
      <c r="G422" s="3" t="inlineStr">
        <is>
          <t>장내매수(+)</t>
        </is>
      </c>
      <c r="H422" s="15" t="n">
        <v>2865</v>
      </c>
      <c r="I422" s="6" t="n">
        <v>7640</v>
      </c>
      <c r="J422" s="6" t="n">
        <v>10250</v>
      </c>
      <c r="K422" s="16" t="n">
        <v>7</v>
      </c>
      <c r="L422" s="2" t="inlineStr">
        <is>
          <t>20260304001666</t>
        </is>
      </c>
      <c r="M422" s="8">
        <f>HYPERLINK("https://dart.fss.or.kr/dsaf001/main.do?rcpNo=20260304001666", "공시열람")</f>
        <v/>
      </c>
    </row>
    <row r="423" ht="22" customHeight="1">
      <c r="A423" s="2" t="inlineStr">
        <is>
          <t>2026-03-04</t>
        </is>
      </c>
      <c r="B423" s="3" t="inlineStr">
        <is>
          <t>미트박스</t>
        </is>
      </c>
      <c r="C423" s="2" t="inlineStr">
        <is>
          <t>475460</t>
        </is>
      </c>
      <c r="D423" s="2" t="inlineStr">
        <is>
          <t>대량보유</t>
        </is>
      </c>
      <c r="E423" s="3" t="inlineStr">
        <is>
          <t>김재중</t>
        </is>
      </c>
      <c r="F423" s="3" t="inlineStr">
        <is>
          <t>특별관계자</t>
        </is>
      </c>
      <c r="G423" s="3" t="inlineStr">
        <is>
          <t>주식매수선택권행사(-), 주식매수선택권행사(+)</t>
        </is>
      </c>
      <c r="H423" s="15" t="n">
        <v>2500</v>
      </c>
      <c r="I423" s="6" t="n">
        <v>4000</v>
      </c>
      <c r="J423" s="6" t="n">
        <v>6750</v>
      </c>
      <c r="K423" s="16" t="n">
        <v>7</v>
      </c>
      <c r="L423" s="2" t="inlineStr">
        <is>
          <t>20260304001666</t>
        </is>
      </c>
      <c r="M423" s="8">
        <f>HYPERLINK("https://dart.fss.or.kr/dsaf001/main.do?rcpNo=20260304001666", "공시열람")</f>
        <v/>
      </c>
    </row>
    <row r="424" ht="22" customHeight="1">
      <c r="A424" s="2" t="inlineStr">
        <is>
          <t>2026-03-04</t>
        </is>
      </c>
      <c r="B424" s="3" t="inlineStr">
        <is>
          <t>미트박스</t>
        </is>
      </c>
      <c r="C424" s="2" t="inlineStr">
        <is>
          <t>475460</t>
        </is>
      </c>
      <c r="D424" s="2" t="inlineStr">
        <is>
          <t>대량보유</t>
        </is>
      </c>
      <c r="E424" s="3" t="inlineStr">
        <is>
          <t>천용헌</t>
        </is>
      </c>
      <c r="F424" s="3" t="inlineStr">
        <is>
          <t>특별관계자</t>
        </is>
      </c>
      <c r="G424" s="3" t="inlineStr">
        <is>
          <t>- 특별관계자 주식 장내 매도- 주식매수선택권 행사에 따른 발행주식 수 변동</t>
        </is>
      </c>
      <c r="H424" s="15" t="n">
        <v>3750</v>
      </c>
      <c r="I424" s="6" t="inlineStr"/>
      <c r="J424" s="6" t="n">
        <v>12500</v>
      </c>
      <c r="K424" s="16" t="n">
        <v>7</v>
      </c>
      <c r="L424" s="2" t="inlineStr">
        <is>
          <t>20260304001666</t>
        </is>
      </c>
      <c r="M424" s="8">
        <f>HYPERLINK("https://dart.fss.or.kr/dsaf001/main.do?rcpNo=20260304001666", "공시열람")</f>
        <v/>
      </c>
    </row>
    <row r="425" ht="22" customHeight="1">
      <c r="A425" s="2" t="inlineStr">
        <is>
          <t>2026-03-04</t>
        </is>
      </c>
      <c r="B425" s="3" t="inlineStr">
        <is>
          <t>미트박스</t>
        </is>
      </c>
      <c r="C425" s="2" t="inlineStr">
        <is>
          <t>475460</t>
        </is>
      </c>
      <c r="D425" s="2" t="inlineStr">
        <is>
          <t>대량보유</t>
        </is>
      </c>
      <c r="E425" s="3" t="inlineStr">
        <is>
          <t>윤희성</t>
        </is>
      </c>
      <c r="F425" s="3" t="inlineStr">
        <is>
          <t>특별관계자</t>
        </is>
      </c>
      <c r="G425" s="3" t="inlineStr">
        <is>
          <t>- 특별관계자 주식 장내 매도- 주식매수선택권 행사에 따른 발행주식 수 변동</t>
        </is>
      </c>
      <c r="H425" s="15" t="n">
        <v>250</v>
      </c>
      <c r="I425" s="6" t="inlineStr"/>
      <c r="J425" s="6" t="n">
        <v>250</v>
      </c>
      <c r="K425" s="16" t="n">
        <v>7</v>
      </c>
      <c r="L425" s="2" t="inlineStr">
        <is>
          <t>20260304001666</t>
        </is>
      </c>
      <c r="M425" s="8">
        <f>HYPERLINK("https://dart.fss.or.kr/dsaf001/main.do?rcpNo=20260304001666", "공시열람")</f>
        <v/>
      </c>
    </row>
    <row r="426" ht="22" customHeight="1">
      <c r="A426" s="2" t="inlineStr">
        <is>
          <t>2026-03-04</t>
        </is>
      </c>
      <c r="B426" s="3" t="inlineStr">
        <is>
          <t>파마리서치바이오</t>
        </is>
      </c>
      <c r="C426" s="2" t="inlineStr">
        <is>
          <t>217950</t>
        </is>
      </c>
      <c r="D426" s="2" t="inlineStr">
        <is>
          <t>대량보유</t>
        </is>
      </c>
      <c r="E426" s="3" t="inlineStr">
        <is>
          <t>신한캐피탈(주)</t>
        </is>
      </c>
      <c r="F426" s="3" t="inlineStr">
        <is>
          <t>특별관계자</t>
        </is>
      </c>
      <c r="G426" s="3" t="inlineStr">
        <is>
          <t>콜옵션권리행사배정에따른주식처분(-)</t>
        </is>
      </c>
      <c r="H426" s="17" t="n">
        <v>-106225</v>
      </c>
      <c r="I426" s="6" t="inlineStr"/>
      <c r="J426" s="6" t="n">
        <v>247857</v>
      </c>
      <c r="K426" s="16" t="n">
        <v>5.6</v>
      </c>
      <c r="L426" s="2" t="inlineStr">
        <is>
          <t>20260304001653</t>
        </is>
      </c>
      <c r="M426" s="8">
        <f>HYPERLINK("https://dart.fss.or.kr/dsaf001/main.do?rcpNo=20260304001653", "공시열람")</f>
        <v/>
      </c>
    </row>
    <row r="427" ht="22" customHeight="1">
      <c r="A427" s="2" t="inlineStr">
        <is>
          <t>2026-03-04</t>
        </is>
      </c>
      <c r="B427" s="3" t="inlineStr">
        <is>
          <t>블루산업개발</t>
        </is>
      </c>
      <c r="C427" s="2" t="inlineStr">
        <is>
          <t>006740</t>
        </is>
      </c>
      <c r="D427" s="2" t="inlineStr">
        <is>
          <t>대량보유</t>
        </is>
      </c>
      <c r="E427" s="3" t="inlineStr">
        <is>
          <t>피엠에이조합</t>
        </is>
      </c>
      <c r="F427" s="3" t="inlineStr">
        <is>
          <t>특별관계자</t>
        </is>
      </c>
      <c r="G427" s="3" t="inlineStr">
        <is>
          <t>대물변제수령(+), 대물변제(-)</t>
        </is>
      </c>
      <c r="H427" s="15" t="n">
        <v>4580541</v>
      </c>
      <c r="I427" s="6" t="n">
        <v>2477</v>
      </c>
      <c r="J427" s="6" t="n">
        <v>8476456</v>
      </c>
      <c r="K427" s="16" t="n">
        <v>3</v>
      </c>
      <c r="L427" s="2" t="inlineStr">
        <is>
          <t>20260304001651</t>
        </is>
      </c>
      <c r="M427" s="8">
        <f>HYPERLINK("https://dart.fss.or.kr/dsaf001/main.do?rcpNo=20260304001651", "공시열람")</f>
        <v/>
      </c>
    </row>
    <row r="428" ht="22" customHeight="1">
      <c r="A428" s="2" t="inlineStr">
        <is>
          <t>2026-03-04</t>
        </is>
      </c>
      <c r="B428" s="3" t="inlineStr">
        <is>
          <t>블루산업개발</t>
        </is>
      </c>
      <c r="C428" s="2" t="inlineStr">
        <is>
          <t>006740</t>
        </is>
      </c>
      <c r="D428" s="2" t="inlineStr">
        <is>
          <t>대량보유</t>
        </is>
      </c>
      <c r="E428" s="3" t="inlineStr">
        <is>
          <t>(주)파일엔지니어링</t>
        </is>
      </c>
      <c r="F428" s="3" t="inlineStr">
        <is>
          <t>특별관계자</t>
        </is>
      </c>
      <c r="G428" s="3" t="inlineStr">
        <is>
          <t>대물변제수령(+)</t>
        </is>
      </c>
      <c r="H428" s="15" t="n">
        <v>4844529</v>
      </c>
      <c r="I428" s="6" t="n">
        <v>2477</v>
      </c>
      <c r="J428" s="6" t="n">
        <v>4844529</v>
      </c>
      <c r="K428" s="16" t="n">
        <v>3</v>
      </c>
      <c r="L428" s="2" t="inlineStr">
        <is>
          <t>20260304001651</t>
        </is>
      </c>
      <c r="M428" s="8">
        <f>HYPERLINK("https://dart.fss.or.kr/dsaf001/main.do?rcpNo=20260304001651", "공시열람")</f>
        <v/>
      </c>
    </row>
    <row r="429" ht="22" customHeight="1">
      <c r="A429" s="2" t="inlineStr">
        <is>
          <t>2026-03-04</t>
        </is>
      </c>
      <c r="B429" s="3" t="inlineStr">
        <is>
          <t>블루산업개발</t>
        </is>
      </c>
      <c r="C429" s="2" t="inlineStr">
        <is>
          <t>006740</t>
        </is>
      </c>
      <c r="D429" s="2" t="inlineStr">
        <is>
          <t>임원보고</t>
        </is>
      </c>
      <c r="E429" s="3" t="inlineStr">
        <is>
          <t>-</t>
        </is>
      </c>
      <c r="F429" s="3" t="inlineStr">
        <is>
          <t>-</t>
        </is>
      </c>
      <c r="G429" s="3" t="inlineStr">
        <is>
          <t>-</t>
        </is>
      </c>
      <c r="H429" s="6" t="inlineStr"/>
      <c r="I429" s="6" t="inlineStr"/>
      <c r="J429" s="6" t="inlineStr"/>
      <c r="K429" s="16" t="n">
        <v>12</v>
      </c>
      <c r="L429" s="2" t="inlineStr">
        <is>
          <t>20260304801524</t>
        </is>
      </c>
      <c r="M429" s="8">
        <f>HYPERLINK("https://dart.fss.or.kr/dsaf001/main.do?rcpNo=20260304801524", "공시열람")</f>
        <v/>
      </c>
    </row>
    <row r="430" ht="22" customHeight="1">
      <c r="A430" s="2" t="inlineStr">
        <is>
          <t>2026-03-04</t>
        </is>
      </c>
      <c r="B430" s="3" t="inlineStr">
        <is>
          <t>에르코스</t>
        </is>
      </c>
      <c r="C430" s="2" t="inlineStr">
        <is>
          <t>435570</t>
        </is>
      </c>
      <c r="D430" s="2" t="inlineStr">
        <is>
          <t>대량보유</t>
        </is>
      </c>
      <c r="E430" s="3" t="inlineStr">
        <is>
          <t>박진우</t>
        </is>
      </c>
      <c r="F430" s="3" t="inlineStr">
        <is>
          <t>특별관계자</t>
        </is>
      </c>
      <c r="G430" s="3" t="inlineStr">
        <is>
          <t>장내매도(-)</t>
        </is>
      </c>
      <c r="H430" s="17" t="n">
        <v>-5000</v>
      </c>
      <c r="I430" s="6" t="n">
        <v>13680</v>
      </c>
      <c r="J430" s="6" t="n">
        <v>5000</v>
      </c>
      <c r="K430" s="16" t="n">
        <v>6</v>
      </c>
      <c r="L430" s="2" t="inlineStr">
        <is>
          <t>20260304001527</t>
        </is>
      </c>
      <c r="M430" s="8">
        <f>HYPERLINK("https://dart.fss.or.kr/dsaf001/main.do?rcpNo=20260304001527", "공시열람")</f>
        <v/>
      </c>
    </row>
    <row r="431" ht="22" customHeight="1">
      <c r="A431" s="2" t="inlineStr">
        <is>
          <t>2026-03-04</t>
        </is>
      </c>
      <c r="B431" s="3" t="inlineStr">
        <is>
          <t>메타케어</t>
        </is>
      </c>
      <c r="C431" s="2" t="inlineStr">
        <is>
          <t>118000</t>
        </is>
      </c>
      <c r="D431" s="2" t="inlineStr">
        <is>
          <t>대량보유</t>
        </is>
      </c>
      <c r="E431" s="3" t="inlineStr">
        <is>
          <t>청담메이힐스신기술조합</t>
        </is>
      </c>
      <c r="F431" s="3" t="inlineStr">
        <is>
          <t>특별관계자</t>
        </is>
      </c>
      <c r="G431" s="3" t="inlineStr">
        <is>
          <t>장내매도(-)</t>
        </is>
      </c>
      <c r="H431" s="17" t="n">
        <v>-3589876</v>
      </c>
      <c r="I431" s="6" t="n">
        <v>364</v>
      </c>
      <c r="J431" s="6" t="n">
        <v>8580077</v>
      </c>
      <c r="K431" s="16" t="n">
        <v>4.99</v>
      </c>
      <c r="L431" s="2" t="inlineStr">
        <is>
          <t>20260304001518</t>
        </is>
      </c>
      <c r="M431" s="8">
        <f>HYPERLINK("https://dart.fss.or.kr/dsaf001/main.do?rcpNo=20260304001518", "공시열람")</f>
        <v/>
      </c>
    </row>
    <row r="432" ht="22" customHeight="1">
      <c r="A432" s="2" t="inlineStr">
        <is>
          <t>2026-03-04</t>
        </is>
      </c>
      <c r="B432" s="3" t="inlineStr">
        <is>
          <t>베노티앤알</t>
        </is>
      </c>
      <c r="C432" s="2" t="inlineStr">
        <is>
          <t>206400</t>
        </is>
      </c>
      <c r="D432" s="2" t="inlineStr">
        <is>
          <t>대량보유</t>
        </is>
      </c>
      <c r="E432" s="3" t="inlineStr">
        <is>
          <t>(주)압타머사이언스</t>
        </is>
      </c>
      <c r="F432" s="3" t="inlineStr">
        <is>
          <t>특별관계자</t>
        </is>
      </c>
      <c r="G432" s="3" t="inlineStr">
        <is>
          <t>장내매수(+)</t>
        </is>
      </c>
      <c r="H432" s="15" t="n">
        <v>807900</v>
      </c>
      <c r="I432" s="6" t="n">
        <v>1310</v>
      </c>
      <c r="J432" s="6" t="n">
        <v>2072061</v>
      </c>
      <c r="K432" s="16" t="n">
        <v>10</v>
      </c>
      <c r="L432" s="2" t="inlineStr">
        <is>
          <t>20260304001502</t>
        </is>
      </c>
      <c r="M432" s="8">
        <f>HYPERLINK("https://dart.fss.or.kr/dsaf001/main.do?rcpNo=20260304001502", "공시열람")</f>
        <v/>
      </c>
    </row>
    <row r="433" ht="22" customHeight="1">
      <c r="A433" s="2" t="inlineStr">
        <is>
          <t>2026-03-04</t>
        </is>
      </c>
      <c r="B433" s="3" t="inlineStr">
        <is>
          <t>고영</t>
        </is>
      </c>
      <c r="C433" s="2" t="inlineStr">
        <is>
          <t>098460</t>
        </is>
      </c>
      <c r="D433" s="2" t="inlineStr">
        <is>
          <t>대량보유</t>
        </is>
      </c>
      <c r="E433" s="3" t="inlineStr">
        <is>
          <t>삼성자산운용</t>
        </is>
      </c>
      <c r="F433" s="3" t="inlineStr">
        <is>
          <t>특별관계자</t>
        </is>
      </c>
      <c r="G433" s="3" t="inlineStr">
        <is>
          <t>기타(+), 장내매도(-), 기타(-), 장내매수(+)</t>
        </is>
      </c>
      <c r="H433" s="15" t="n">
        <v>1052130</v>
      </c>
      <c r="I433" s="6" t="n">
        <v>32898</v>
      </c>
      <c r="J433" s="6" t="n">
        <v>4633706</v>
      </c>
      <c r="K433" s="16" t="n">
        <v>6.75</v>
      </c>
      <c r="L433" s="2" t="inlineStr">
        <is>
          <t>20260304001500</t>
        </is>
      </c>
      <c r="M433" s="8">
        <f>HYPERLINK("https://dart.fss.or.kr/dsaf001/main.do?rcpNo=20260304001500", "공시열람")</f>
        <v/>
      </c>
    </row>
    <row r="434" ht="22" customHeight="1">
      <c r="A434" s="2" t="inlineStr">
        <is>
          <t>2026-03-04</t>
        </is>
      </c>
      <c r="B434" s="3" t="inlineStr">
        <is>
          <t>알지노믹스</t>
        </is>
      </c>
      <c r="C434" s="2" t="inlineStr">
        <is>
          <t>476830</t>
        </is>
      </c>
      <c r="D434" s="2" t="inlineStr">
        <is>
          <t>대량보유</t>
        </is>
      </c>
      <c r="E434" s="3" t="inlineStr">
        <is>
          <t>글로벌혁신RNA신약벤처투자조합</t>
        </is>
      </c>
      <c r="F434" s="3" t="inlineStr">
        <is>
          <t>특별관계자</t>
        </is>
      </c>
      <c r="G434" s="3" t="inlineStr">
        <is>
          <t>장내매도(-)</t>
        </is>
      </c>
      <c r="H434" s="17" t="n">
        <v>-121690</v>
      </c>
      <c r="I434" s="6" t="n">
        <v>153483</v>
      </c>
      <c r="J434" s="6" t="n">
        <v>347125</v>
      </c>
      <c r="K434" s="16" t="n">
        <v>3</v>
      </c>
      <c r="L434" s="2" t="inlineStr">
        <is>
          <t>20260304001495</t>
        </is>
      </c>
      <c r="M434" s="8">
        <f>HYPERLINK("https://dart.fss.or.kr/dsaf001/main.do?rcpNo=20260304001495", "공시열람")</f>
        <v/>
      </c>
    </row>
    <row r="435" ht="22" customHeight="1">
      <c r="A435" s="2" t="inlineStr">
        <is>
          <t>2026-03-04</t>
        </is>
      </c>
      <c r="B435" s="3" t="inlineStr">
        <is>
          <t>알지노믹스</t>
        </is>
      </c>
      <c r="C435" s="2" t="inlineStr">
        <is>
          <t>476830</t>
        </is>
      </c>
      <c r="D435" s="2" t="inlineStr">
        <is>
          <t>대량보유</t>
        </is>
      </c>
      <c r="E435" s="3" t="inlineStr">
        <is>
          <t>에이온글로벌RNA유니콘벤처투자조합</t>
        </is>
      </c>
      <c r="F435" s="3" t="inlineStr">
        <is>
          <t>특별관계자</t>
        </is>
      </c>
      <c r="G435" s="3" t="inlineStr">
        <is>
          <t>장내매도(-)</t>
        </is>
      </c>
      <c r="H435" s="17" t="n">
        <v>-59799</v>
      </c>
      <c r="I435" s="6" t="n">
        <v>153919</v>
      </c>
      <c r="J435" s="6" t="n">
        <v>258117</v>
      </c>
      <c r="K435" s="16" t="n">
        <v>3</v>
      </c>
      <c r="L435" s="2" t="inlineStr">
        <is>
          <t>20260304001495</t>
        </is>
      </c>
      <c r="M435" s="8">
        <f>HYPERLINK("https://dart.fss.or.kr/dsaf001/main.do?rcpNo=20260304001495", "공시열람")</f>
        <v/>
      </c>
    </row>
    <row r="436" ht="22" customHeight="1">
      <c r="A436" s="2" t="inlineStr">
        <is>
          <t>2026-03-04</t>
        </is>
      </c>
      <c r="B436" s="3" t="inlineStr">
        <is>
          <t>에이플러스에셋</t>
        </is>
      </c>
      <c r="C436" s="2" t="inlineStr">
        <is>
          <t>244920</t>
        </is>
      </c>
      <c r="D436" s="2" t="inlineStr">
        <is>
          <t>임원보고</t>
        </is>
      </c>
      <c r="E436" s="3" t="inlineStr">
        <is>
          <t>-</t>
        </is>
      </c>
      <c r="F436" s="3" t="inlineStr">
        <is>
          <t>-</t>
        </is>
      </c>
      <c r="G436" s="3" t="inlineStr">
        <is>
          <t>-</t>
        </is>
      </c>
      <c r="H436" s="6" t="inlineStr"/>
      <c r="I436" s="6" t="inlineStr"/>
      <c r="J436" s="6" t="inlineStr"/>
      <c r="K436" s="16" t="n">
        <v>12</v>
      </c>
      <c r="L436" s="2" t="inlineStr">
        <is>
          <t>20260304801431</t>
        </is>
      </c>
      <c r="M436" s="8">
        <f>HYPERLINK("https://dart.fss.or.kr/dsaf001/main.do?rcpNo=20260304801431", "공시열람")</f>
        <v/>
      </c>
    </row>
    <row r="437" ht="22" customHeight="1">
      <c r="A437" s="2" t="inlineStr">
        <is>
          <t>2026-03-04</t>
        </is>
      </c>
      <c r="B437" s="3" t="inlineStr">
        <is>
          <t>두산테스나</t>
        </is>
      </c>
      <c r="C437" s="2" t="inlineStr">
        <is>
          <t>131970</t>
        </is>
      </c>
      <c r="D437" s="2" t="inlineStr">
        <is>
          <t>대량보유</t>
        </is>
      </c>
      <c r="E437" s="3" t="inlineStr">
        <is>
          <t>삼성자산운용</t>
        </is>
      </c>
      <c r="F437" s="3" t="inlineStr">
        <is>
          <t>특별관계자</t>
        </is>
      </c>
      <c r="G437" s="3" t="inlineStr">
        <is>
          <t>기타(+), 장내매수(+), 기타(-), 장내매도(-)</t>
        </is>
      </c>
      <c r="H437" s="15" t="n">
        <v>341566</v>
      </c>
      <c r="I437" s="6" t="n">
        <v>65322</v>
      </c>
      <c r="J437" s="6" t="n">
        <v>1349581</v>
      </c>
      <c r="K437" s="16" t="n">
        <v>6.98</v>
      </c>
      <c r="L437" s="2" t="inlineStr">
        <is>
          <t>20260304001485</t>
        </is>
      </c>
      <c r="M437" s="8">
        <f>HYPERLINK("https://dart.fss.or.kr/dsaf001/main.do?rcpNo=20260304001485", "공시열람")</f>
        <v/>
      </c>
    </row>
    <row r="438" ht="22" customHeight="1">
      <c r="A438" s="2" t="inlineStr">
        <is>
          <t>2026-03-04</t>
        </is>
      </c>
      <c r="B438" s="3" t="inlineStr">
        <is>
          <t>HPSP</t>
        </is>
      </c>
      <c r="C438" s="2" t="inlineStr">
        <is>
          <t>403870</t>
        </is>
      </c>
      <c r="D438" s="2" t="inlineStr">
        <is>
          <t>대량보유</t>
        </is>
      </c>
      <c r="E438" s="3" t="inlineStr">
        <is>
          <t>삼성자산운용</t>
        </is>
      </c>
      <c r="F438" s="3" t="inlineStr">
        <is>
          <t>특별관계자</t>
        </is>
      </c>
      <c r="G438" s="3" t="inlineStr">
        <is>
          <t>기타(+), 장내매수(+), 장내매도(-), 기타(-)</t>
        </is>
      </c>
      <c r="H438" s="15" t="n">
        <v>1372833</v>
      </c>
      <c r="I438" s="6" t="n">
        <v>43949</v>
      </c>
      <c r="J438" s="6" t="n">
        <v>5668167</v>
      </c>
      <c r="K438" s="16" t="n">
        <v>6.75</v>
      </c>
      <c r="L438" s="2" t="inlineStr">
        <is>
          <t>20260304001480</t>
        </is>
      </c>
      <c r="M438" s="8">
        <f>HYPERLINK("https://dart.fss.or.kr/dsaf001/main.do?rcpNo=20260304001480", "공시열람")</f>
        <v/>
      </c>
    </row>
    <row r="439" ht="22" customHeight="1">
      <c r="A439" s="2" t="inlineStr">
        <is>
          <t>2026-03-04 (정정: 2026-05-21)</t>
        </is>
      </c>
      <c r="B439" s="3" t="inlineStr">
        <is>
          <t>제주반도체</t>
        </is>
      </c>
      <c r="C439" s="2" t="inlineStr">
        <is>
          <t>080220</t>
        </is>
      </c>
      <c r="D439" s="2" t="inlineStr">
        <is>
          <t>대량보유</t>
        </is>
      </c>
      <c r="E439" s="3" t="inlineStr">
        <is>
          <t>-</t>
        </is>
      </c>
      <c r="F439" s="3" t="inlineStr">
        <is>
          <t>보고자</t>
        </is>
      </c>
      <c r="G439" s="3" t="inlineStr">
        <is>
          <t>-</t>
        </is>
      </c>
      <c r="H439" s="6" t="inlineStr"/>
      <c r="I439" s="6" t="inlineStr"/>
      <c r="J439" s="6" t="inlineStr"/>
      <c r="K439" s="18" t="inlineStr"/>
      <c r="L439" s="2" t="inlineStr">
        <is>
          <t>20260521000324</t>
        </is>
      </c>
      <c r="M439" s="8">
        <f>HYPERLINK("https://dart.fss.or.kr/dsaf001/main.do?rcpNo=20260521000324", "공시열람")</f>
        <v/>
      </c>
    </row>
    <row r="440" ht="22" customHeight="1">
      <c r="A440" s="2" t="inlineStr">
        <is>
          <t>2026-03-04</t>
        </is>
      </c>
      <c r="B440" s="3" t="inlineStr">
        <is>
          <t>앱튼</t>
        </is>
      </c>
      <c r="C440" s="2" t="inlineStr">
        <is>
          <t>270520</t>
        </is>
      </c>
      <c r="D440" s="2" t="inlineStr">
        <is>
          <t>대량보유</t>
        </is>
      </c>
      <c r="E440" s="3" t="inlineStr">
        <is>
          <t>라르고스브릭투자조합</t>
        </is>
      </c>
      <c r="F440" s="3" t="inlineStr">
        <is>
          <t>특별관계자</t>
        </is>
      </c>
      <c r="G440" s="3" t="inlineStr">
        <is>
          <t>신규보고(+), 기타(-)</t>
        </is>
      </c>
      <c r="H440" s="15" t="n">
        <v>1</v>
      </c>
      <c r="I440" s="6" t="n">
        <v>699</v>
      </c>
      <c r="J440" s="6" t="n">
        <v>1</v>
      </c>
      <c r="K440" s="16" t="n">
        <v>6</v>
      </c>
      <c r="L440" s="2" t="inlineStr">
        <is>
          <t>20260304001455</t>
        </is>
      </c>
      <c r="M440" s="8">
        <f>HYPERLINK("https://dart.fss.or.kr/dsaf001/main.do?rcpNo=20260304001455", "공시열람")</f>
        <v/>
      </c>
    </row>
    <row r="441" ht="22" customHeight="1">
      <c r="A441" s="2" t="inlineStr">
        <is>
          <t>2026-03-04</t>
        </is>
      </c>
      <c r="B441" s="3" t="inlineStr">
        <is>
          <t>앱튼</t>
        </is>
      </c>
      <c r="C441" s="2" t="inlineStr">
        <is>
          <t>270520</t>
        </is>
      </c>
      <c r="D441" s="2" t="inlineStr">
        <is>
          <t>대량보유</t>
        </is>
      </c>
      <c r="E441" s="3" t="inlineStr">
        <is>
          <t>(주)오션인더블유</t>
        </is>
      </c>
      <c r="F441" s="3" t="inlineStr">
        <is>
          <t>특별관계자</t>
        </is>
      </c>
      <c r="G441" s="3" t="inlineStr">
        <is>
          <t>기타(+)</t>
        </is>
      </c>
      <c r="H441" s="15" t="n">
        <v>16094420</v>
      </c>
      <c r="I441" s="6" t="n">
        <v>1398</v>
      </c>
      <c r="J441" s="6" t="n">
        <v>16094420</v>
      </c>
      <c r="K441" s="16" t="n">
        <v>6</v>
      </c>
      <c r="L441" s="2" t="inlineStr">
        <is>
          <t>20260304001455</t>
        </is>
      </c>
      <c r="M441" s="8">
        <f>HYPERLINK("https://dart.fss.or.kr/dsaf001/main.do?rcpNo=20260304001455", "공시열람")</f>
        <v/>
      </c>
    </row>
    <row r="442" ht="22" customHeight="1">
      <c r="A442" s="2" t="inlineStr">
        <is>
          <t>2026-03-04</t>
        </is>
      </c>
      <c r="B442" s="3" t="inlineStr">
        <is>
          <t>앱튼</t>
        </is>
      </c>
      <c r="C442" s="2" t="inlineStr">
        <is>
          <t>270520</t>
        </is>
      </c>
      <c r="D442" s="2" t="inlineStr">
        <is>
          <t>대량보유</t>
        </is>
      </c>
      <c r="E442" s="3" t="inlineStr">
        <is>
          <t>(주)유에스씨</t>
        </is>
      </c>
      <c r="F442" s="3" t="inlineStr">
        <is>
          <t>특별관계자</t>
        </is>
      </c>
      <c r="G442" s="3" t="inlineStr">
        <is>
          <t>기타(+)</t>
        </is>
      </c>
      <c r="H442" s="15" t="n">
        <v>3218884</v>
      </c>
      <c r="I442" s="6" t="n">
        <v>1398</v>
      </c>
      <c r="J442" s="6" t="n">
        <v>3218884</v>
      </c>
      <c r="K442" s="16" t="n">
        <v>6</v>
      </c>
      <c r="L442" s="2" t="inlineStr">
        <is>
          <t>20260304001455</t>
        </is>
      </c>
      <c r="M442" s="8">
        <f>HYPERLINK("https://dart.fss.or.kr/dsaf001/main.do?rcpNo=20260304001455", "공시열람")</f>
        <v/>
      </c>
    </row>
    <row r="443" ht="22" customHeight="1">
      <c r="A443" s="2" t="inlineStr">
        <is>
          <t>2026-03-04</t>
        </is>
      </c>
      <c r="B443" s="3" t="inlineStr">
        <is>
          <t>앱튼</t>
        </is>
      </c>
      <c r="C443" s="2" t="inlineStr">
        <is>
          <t>270520</t>
        </is>
      </c>
      <c r="D443" s="2" t="inlineStr">
        <is>
          <t>대량보유</t>
        </is>
      </c>
      <c r="E443" s="3" t="inlineStr">
        <is>
          <t>정영진</t>
        </is>
      </c>
      <c r="F443" s="3" t="inlineStr">
        <is>
          <t>특별관계자</t>
        </is>
      </c>
      <c r="G443" s="3" t="inlineStr">
        <is>
          <t>기타(+)</t>
        </is>
      </c>
      <c r="H443" s="15" t="n">
        <v>321888</v>
      </c>
      <c r="I443" s="6" t="n">
        <v>1398</v>
      </c>
      <c r="J443" s="6" t="n">
        <v>321888</v>
      </c>
      <c r="K443" s="16" t="n">
        <v>6</v>
      </c>
      <c r="L443" s="2" t="inlineStr">
        <is>
          <t>20260304001455</t>
        </is>
      </c>
      <c r="M443" s="8">
        <f>HYPERLINK("https://dart.fss.or.kr/dsaf001/main.do?rcpNo=20260304001455", "공시열람")</f>
        <v/>
      </c>
    </row>
    <row r="444" ht="22" customHeight="1">
      <c r="A444" s="2" t="inlineStr">
        <is>
          <t>2026-03-04</t>
        </is>
      </c>
      <c r="B444" s="3" t="inlineStr">
        <is>
          <t>앱튼</t>
        </is>
      </c>
      <c r="C444" s="2" t="inlineStr">
        <is>
          <t>270520</t>
        </is>
      </c>
      <c r="D444" s="2" t="inlineStr">
        <is>
          <t>대량보유</t>
        </is>
      </c>
      <c r="E444" s="3" t="inlineStr">
        <is>
          <t>원영식</t>
        </is>
      </c>
      <c r="F444" s="3" t="inlineStr">
        <is>
          <t>특별관계자</t>
        </is>
      </c>
      <c r="G444" s="3" t="inlineStr">
        <is>
          <t>기타(+)</t>
        </is>
      </c>
      <c r="H444" s="15" t="n">
        <v>29574924</v>
      </c>
      <c r="I444" s="6" t="n">
        <v>999</v>
      </c>
      <c r="J444" s="6" t="n">
        <v>29574924</v>
      </c>
      <c r="K444" s="16" t="n">
        <v>6</v>
      </c>
      <c r="L444" s="2" t="inlineStr">
        <is>
          <t>20260304001455</t>
        </is>
      </c>
      <c r="M444" s="8">
        <f>HYPERLINK("https://dart.fss.or.kr/dsaf001/main.do?rcpNo=20260304001455", "공시열람")</f>
        <v/>
      </c>
    </row>
    <row r="445" ht="22" customHeight="1">
      <c r="A445" s="2" t="inlineStr">
        <is>
          <t>2026-03-04</t>
        </is>
      </c>
      <c r="B445" s="3" t="inlineStr">
        <is>
          <t>앱튼</t>
        </is>
      </c>
      <c r="C445" s="2" t="inlineStr">
        <is>
          <t>270520</t>
        </is>
      </c>
      <c r="D445" s="2" t="inlineStr">
        <is>
          <t>대량보유</t>
        </is>
      </c>
      <c r="E445" s="3" t="inlineStr">
        <is>
          <t>강수진</t>
        </is>
      </c>
      <c r="F445" s="3" t="inlineStr">
        <is>
          <t>특별관계자</t>
        </is>
      </c>
      <c r="G445" s="3" t="inlineStr">
        <is>
          <t>신규보고(+)</t>
        </is>
      </c>
      <c r="H445" s="15" t="n">
        <v>4255319</v>
      </c>
      <c r="I445" s="6" t="n">
        <v>705</v>
      </c>
      <c r="J445" s="6" t="n">
        <v>4255319</v>
      </c>
      <c r="K445" s="16" t="n">
        <v>6</v>
      </c>
      <c r="L445" s="2" t="inlineStr">
        <is>
          <t>20260304001455</t>
        </is>
      </c>
      <c r="M445" s="8">
        <f>HYPERLINK("https://dart.fss.or.kr/dsaf001/main.do?rcpNo=20260304001455", "공시열람")</f>
        <v/>
      </c>
    </row>
    <row r="446" ht="22" customHeight="1">
      <c r="A446" s="2" t="inlineStr">
        <is>
          <t>2026-03-04</t>
        </is>
      </c>
      <c r="B446" s="3" t="inlineStr">
        <is>
          <t>하나머티리얼즈</t>
        </is>
      </c>
      <c r="C446" s="2" t="inlineStr">
        <is>
          <t>166090</t>
        </is>
      </c>
      <c r="D446" s="2" t="inlineStr">
        <is>
          <t>대량보유</t>
        </is>
      </c>
      <c r="E446" s="3" t="inlineStr">
        <is>
          <t>김태민</t>
        </is>
      </c>
      <c r="F446" s="3" t="inlineStr">
        <is>
          <t>특별관계자</t>
        </is>
      </c>
      <c r="G446" s="3" t="inlineStr">
        <is>
          <t>장내매도(-), 임원퇴임(-)</t>
        </is>
      </c>
      <c r="H446" s="17" t="n">
        <v>-50000</v>
      </c>
      <c r="I446" s="6" t="n">
        <v>70000</v>
      </c>
      <c r="J446" s="6" t="inlineStr"/>
      <c r="K446" s="16" t="n">
        <v>8</v>
      </c>
      <c r="L446" s="2" t="inlineStr">
        <is>
          <t>20260304001454</t>
        </is>
      </c>
      <c r="M446" s="8">
        <f>HYPERLINK("https://dart.fss.or.kr/dsaf001/main.do?rcpNo=20260304001454", "공시열람")</f>
        <v/>
      </c>
    </row>
    <row r="447" ht="22" customHeight="1">
      <c r="A447" s="2" t="inlineStr">
        <is>
          <t>2026-03-04</t>
        </is>
      </c>
      <c r="B447" s="3" t="inlineStr">
        <is>
          <t>원익IPS</t>
        </is>
      </c>
      <c r="C447" s="2" t="inlineStr">
        <is>
          <t>240810</t>
        </is>
      </c>
      <c r="D447" s="2" t="inlineStr">
        <is>
          <t>대량보유</t>
        </is>
      </c>
      <c r="E447" s="3" t="inlineStr">
        <is>
          <t>삼성자산운용</t>
        </is>
      </c>
      <c r="F447" s="3" t="inlineStr">
        <is>
          <t>특별관계자</t>
        </is>
      </c>
      <c r="G447" s="3" t="inlineStr">
        <is>
          <t>장내매수(+), 기타(+), 기타(-), 장내매도(-)</t>
        </is>
      </c>
      <c r="H447" s="15" t="n">
        <v>1056238</v>
      </c>
      <c r="I447" s="6" t="n">
        <v>106953</v>
      </c>
      <c r="J447" s="6" t="n">
        <v>3514941</v>
      </c>
      <c r="K447" s="16" t="n">
        <v>7.16</v>
      </c>
      <c r="L447" s="2" t="inlineStr">
        <is>
          <t>20260304001451</t>
        </is>
      </c>
      <c r="M447" s="8">
        <f>HYPERLINK("https://dart.fss.or.kr/dsaf001/main.do?rcpNo=20260304001451", "공시열람")</f>
        <v/>
      </c>
    </row>
    <row r="448" ht="22" customHeight="1">
      <c r="A448" s="2" t="inlineStr">
        <is>
          <t>2026-03-04</t>
        </is>
      </c>
      <c r="B448" s="3" t="inlineStr">
        <is>
          <t>대림통상</t>
        </is>
      </c>
      <c r="C448" s="2" t="inlineStr">
        <is>
          <t>006570</t>
        </is>
      </c>
      <c r="D448" s="2" t="inlineStr">
        <is>
          <t>대량보유</t>
        </is>
      </c>
      <c r="E448" s="3" t="inlineStr">
        <is>
          <t>디앤디파트너스(주)</t>
        </is>
      </c>
      <c r="F448" s="3" t="inlineStr">
        <is>
          <t>보고자</t>
        </is>
      </c>
      <c r="G448" s="3" t="inlineStr">
        <is>
          <t>주식담보계약 변경</t>
        </is>
      </c>
      <c r="H448" s="6" t="inlineStr"/>
      <c r="I448" s="6" t="inlineStr"/>
      <c r="J448" s="6" t="n">
        <v>11072825</v>
      </c>
      <c r="K448" s="16" t="n">
        <v>4</v>
      </c>
      <c r="L448" s="2" t="inlineStr">
        <is>
          <t>20260304001446</t>
        </is>
      </c>
      <c r="M448" s="8">
        <f>HYPERLINK("https://dart.fss.or.kr/dsaf001/main.do?rcpNo=20260304001446", "공시열람")</f>
        <v/>
      </c>
    </row>
    <row r="449" ht="22" customHeight="1">
      <c r="A449" s="2" t="inlineStr">
        <is>
          <t>2026-03-04</t>
        </is>
      </c>
      <c r="B449" s="3" t="inlineStr">
        <is>
          <t>이노뎁</t>
        </is>
      </c>
      <c r="C449" s="2" t="inlineStr">
        <is>
          <t>303530</t>
        </is>
      </c>
      <c r="D449" s="2" t="inlineStr">
        <is>
          <t>대량보유</t>
        </is>
      </c>
      <c r="E449" s="3" t="inlineStr">
        <is>
          <t>김장환</t>
        </is>
      </c>
      <c r="F449" s="3" t="inlineStr">
        <is>
          <t>특별관계자</t>
        </is>
      </c>
      <c r="G449" s="3" t="inlineStr">
        <is>
          <t>임원퇴임(-)</t>
        </is>
      </c>
      <c r="H449" s="17" t="n">
        <v>-28500</v>
      </c>
      <c r="I449" s="6" t="inlineStr"/>
      <c r="J449" s="6" t="inlineStr"/>
      <c r="K449" s="16" t="n">
        <v>3</v>
      </c>
      <c r="L449" s="2" t="inlineStr">
        <is>
          <t>20260304001426</t>
        </is>
      </c>
      <c r="M449" s="8">
        <f>HYPERLINK("https://dart.fss.or.kr/dsaf001/main.do?rcpNo=20260304001426", "공시열람")</f>
        <v/>
      </c>
    </row>
    <row r="450" ht="22" customHeight="1">
      <c r="A450" s="2" t="inlineStr">
        <is>
          <t>2026-03-04</t>
        </is>
      </c>
      <c r="B450" s="3" t="inlineStr">
        <is>
          <t>앱튼</t>
        </is>
      </c>
      <c r="C450" s="2" t="inlineStr">
        <is>
          <t>270520</t>
        </is>
      </c>
      <c r="D450" s="2" t="inlineStr">
        <is>
          <t>대량보유</t>
        </is>
      </c>
      <c r="E450" s="3" t="inlineStr">
        <is>
          <t>(주)아름드리코퍼레이션</t>
        </is>
      </c>
      <c r="F450" s="3" t="inlineStr">
        <is>
          <t>특별관계자</t>
        </is>
      </c>
      <c r="G450" s="3" t="inlineStr">
        <is>
          <t>기타(-), 장외매도(-)</t>
        </is>
      </c>
      <c r="H450" s="17" t="n">
        <v>-27392474</v>
      </c>
      <c r="I450" s="6" t="n">
        <v>0</v>
      </c>
      <c r="J450" s="6" t="inlineStr"/>
      <c r="K450" s="16" t="n">
        <v>6</v>
      </c>
      <c r="L450" s="2" t="inlineStr">
        <is>
          <t>20260304001406</t>
        </is>
      </c>
      <c r="M450" s="8">
        <f>HYPERLINK("https://dart.fss.or.kr/dsaf001/main.do?rcpNo=20260304001406", "공시열람")</f>
        <v/>
      </c>
    </row>
    <row r="451" ht="22" customHeight="1">
      <c r="A451" s="2" t="inlineStr">
        <is>
          <t>2026-03-04</t>
        </is>
      </c>
      <c r="B451" s="3" t="inlineStr">
        <is>
          <t>앱튼</t>
        </is>
      </c>
      <c r="C451" s="2" t="inlineStr">
        <is>
          <t>270520</t>
        </is>
      </c>
      <c r="D451" s="2" t="inlineStr">
        <is>
          <t>대량보유</t>
        </is>
      </c>
      <c r="E451" s="3" t="inlineStr">
        <is>
          <t>원영식</t>
        </is>
      </c>
      <c r="F451" s="3" t="inlineStr">
        <is>
          <t>특별관계자</t>
        </is>
      </c>
      <c r="G451" s="3" t="inlineStr">
        <is>
          <t>기타(+), 장외매수(+), 기타(-)</t>
        </is>
      </c>
      <c r="H451" s="17" t="n">
        <v>-6437768</v>
      </c>
      <c r="I451" s="6" t="n">
        <v>390</v>
      </c>
      <c r="J451" s="6" t="inlineStr"/>
      <c r="K451" s="16" t="n">
        <v>6</v>
      </c>
      <c r="L451" s="2" t="inlineStr">
        <is>
          <t>20260304001406</t>
        </is>
      </c>
      <c r="M451" s="8">
        <f>HYPERLINK("https://dart.fss.or.kr/dsaf001/main.do?rcpNo=20260304001406", "공시열람")</f>
        <v/>
      </c>
    </row>
    <row r="452" ht="22" customHeight="1">
      <c r="A452" s="2" t="inlineStr">
        <is>
          <t>2026-03-04</t>
        </is>
      </c>
      <c r="B452" s="3" t="inlineStr">
        <is>
          <t>앱튼</t>
        </is>
      </c>
      <c r="C452" s="2" t="inlineStr">
        <is>
          <t>270520</t>
        </is>
      </c>
      <c r="D452" s="2" t="inlineStr">
        <is>
          <t>대량보유</t>
        </is>
      </c>
      <c r="E452" s="3" t="inlineStr">
        <is>
          <t>강수진</t>
        </is>
      </c>
      <c r="F452" s="3" t="inlineStr">
        <is>
          <t>특별관계자</t>
        </is>
      </c>
      <c r="G452" s="3" t="inlineStr">
        <is>
          <t>장외매수(+), 기타(-)</t>
        </is>
      </c>
      <c r="H452" s="6" t="inlineStr"/>
      <c r="I452" s="6" t="n">
        <v>352</v>
      </c>
      <c r="J452" s="6" t="inlineStr"/>
      <c r="K452" s="16" t="n">
        <v>6</v>
      </c>
      <c r="L452" s="2" t="inlineStr">
        <is>
          <t>20260304001406</t>
        </is>
      </c>
      <c r="M452" s="8">
        <f>HYPERLINK("https://dart.fss.or.kr/dsaf001/main.do?rcpNo=20260304001406", "공시열람")</f>
        <v/>
      </c>
    </row>
    <row r="453" ht="22" customHeight="1">
      <c r="A453" s="2" t="inlineStr">
        <is>
          <t>2026-03-04</t>
        </is>
      </c>
      <c r="B453" s="3" t="inlineStr">
        <is>
          <t>앱튼</t>
        </is>
      </c>
      <c r="C453" s="2" t="inlineStr">
        <is>
          <t>270520</t>
        </is>
      </c>
      <c r="D453" s="2" t="inlineStr">
        <is>
          <t>대량보유</t>
        </is>
      </c>
      <c r="E453" s="3" t="inlineStr">
        <is>
          <t>(주)오션인더블유</t>
        </is>
      </c>
      <c r="F453" s="3" t="inlineStr">
        <is>
          <t>특별관계자</t>
        </is>
      </c>
      <c r="G453" s="3" t="inlineStr">
        <is>
          <t>기타(-)</t>
        </is>
      </c>
      <c r="H453" s="17" t="n">
        <v>-16094420</v>
      </c>
      <c r="I453" s="6" t="n">
        <v>0</v>
      </c>
      <c r="J453" s="6" t="inlineStr"/>
      <c r="K453" s="16" t="n">
        <v>6</v>
      </c>
      <c r="L453" s="2" t="inlineStr">
        <is>
          <t>20260304001406</t>
        </is>
      </c>
      <c r="M453" s="8">
        <f>HYPERLINK("https://dart.fss.or.kr/dsaf001/main.do?rcpNo=20260304001406", "공시열람")</f>
        <v/>
      </c>
    </row>
    <row r="454" ht="22" customHeight="1">
      <c r="A454" s="2" t="inlineStr">
        <is>
          <t>2026-03-04</t>
        </is>
      </c>
      <c r="B454" s="3" t="inlineStr">
        <is>
          <t>앱튼</t>
        </is>
      </c>
      <c r="C454" s="2" t="inlineStr">
        <is>
          <t>270520</t>
        </is>
      </c>
      <c r="D454" s="2" t="inlineStr">
        <is>
          <t>대량보유</t>
        </is>
      </c>
      <c r="E454" s="3" t="inlineStr">
        <is>
          <t>(주)유에스씨</t>
        </is>
      </c>
      <c r="F454" s="3" t="inlineStr">
        <is>
          <t>특별관계자</t>
        </is>
      </c>
      <c r="G454" s="3" t="inlineStr">
        <is>
          <t>기타(-)</t>
        </is>
      </c>
      <c r="H454" s="17" t="n">
        <v>-3218884</v>
      </c>
      <c r="I454" s="6" t="n">
        <v>0</v>
      </c>
      <c r="J454" s="6" t="inlineStr"/>
      <c r="K454" s="16" t="n">
        <v>6</v>
      </c>
      <c r="L454" s="2" t="inlineStr">
        <is>
          <t>20260304001406</t>
        </is>
      </c>
      <c r="M454" s="8">
        <f>HYPERLINK("https://dart.fss.or.kr/dsaf001/main.do?rcpNo=20260304001406", "공시열람")</f>
        <v/>
      </c>
    </row>
    <row r="455" ht="22" customHeight="1">
      <c r="A455" s="2" t="inlineStr">
        <is>
          <t>2026-03-04</t>
        </is>
      </c>
      <c r="B455" s="3" t="inlineStr">
        <is>
          <t>앱튼</t>
        </is>
      </c>
      <c r="C455" s="2" t="inlineStr">
        <is>
          <t>270520</t>
        </is>
      </c>
      <c r="D455" s="2" t="inlineStr">
        <is>
          <t>대량보유</t>
        </is>
      </c>
      <c r="E455" s="3" t="inlineStr">
        <is>
          <t>정영진</t>
        </is>
      </c>
      <c r="F455" s="3" t="inlineStr">
        <is>
          <t>특별관계자</t>
        </is>
      </c>
      <c r="G455" s="3" t="inlineStr">
        <is>
          <t>기타(-)</t>
        </is>
      </c>
      <c r="H455" s="17" t="n">
        <v>-321888</v>
      </c>
      <c r="I455" s="6" t="n">
        <v>0</v>
      </c>
      <c r="J455" s="6" t="inlineStr"/>
      <c r="K455" s="16" t="n">
        <v>6</v>
      </c>
      <c r="L455" s="2" t="inlineStr">
        <is>
          <t>20260304001406</t>
        </is>
      </c>
      <c r="M455" s="8">
        <f>HYPERLINK("https://dart.fss.or.kr/dsaf001/main.do?rcpNo=20260304001406", "공시열람")</f>
        <v/>
      </c>
    </row>
    <row r="456" ht="22" customHeight="1">
      <c r="A456" s="2" t="inlineStr">
        <is>
          <t>2026-03-04</t>
        </is>
      </c>
      <c r="B456" s="3" t="inlineStr">
        <is>
          <t>앱튼</t>
        </is>
      </c>
      <c r="C456" s="2" t="inlineStr">
        <is>
          <t>270520</t>
        </is>
      </c>
      <c r="D456" s="2" t="inlineStr">
        <is>
          <t>대량보유</t>
        </is>
      </c>
      <c r="E456" s="3" t="inlineStr">
        <is>
          <t>라르고스브릭투자조합</t>
        </is>
      </c>
      <c r="F456" s="3" t="inlineStr">
        <is>
          <t>특별관계자</t>
        </is>
      </c>
      <c r="G456" s="3" t="inlineStr">
        <is>
          <t>기타(+), 기타(-)</t>
        </is>
      </c>
      <c r="H456" s="17" t="n">
        <v>-2</v>
      </c>
      <c r="I456" s="6" t="n">
        <v>699</v>
      </c>
      <c r="J456" s="6" t="inlineStr"/>
      <c r="K456" s="16" t="n">
        <v>6</v>
      </c>
      <c r="L456" s="2" t="inlineStr">
        <is>
          <t>20260304001406</t>
        </is>
      </c>
      <c r="M456" s="8">
        <f>HYPERLINK("https://dart.fss.or.kr/dsaf001/main.do?rcpNo=20260304001406", "공시열람")</f>
        <v/>
      </c>
    </row>
    <row r="457" ht="22" customHeight="1">
      <c r="A457" s="2" t="inlineStr">
        <is>
          <t>2026-03-04</t>
        </is>
      </c>
      <c r="B457" s="3" t="inlineStr">
        <is>
          <t>온코닉테라퓨틱스</t>
        </is>
      </c>
      <c r="C457" s="2" t="inlineStr">
        <is>
          <t>476060</t>
        </is>
      </c>
      <c r="D457" s="2" t="inlineStr">
        <is>
          <t>대량보유</t>
        </is>
      </c>
      <c r="E457" s="3" t="inlineStr">
        <is>
          <t>에스앤피혁신기술1호조합</t>
        </is>
      </c>
      <c r="F457" s="3" t="inlineStr">
        <is>
          <t>특별관계자</t>
        </is>
      </c>
      <c r="G457" s="3" t="inlineStr">
        <is>
          <t>장내매도(-)</t>
        </is>
      </c>
      <c r="H457" s="17" t="n">
        <v>-846400</v>
      </c>
      <c r="I457" s="6" t="n">
        <v>25710</v>
      </c>
      <c r="J457" s="6" t="n">
        <v>1773600</v>
      </c>
      <c r="K457" s="16" t="n">
        <v>6</v>
      </c>
      <c r="L457" s="2" t="inlineStr">
        <is>
          <t>20260304001398</t>
        </is>
      </c>
      <c r="M457" s="8">
        <f>HYPERLINK("https://dart.fss.or.kr/dsaf001/main.do?rcpNo=20260304001398", "공시열람")</f>
        <v/>
      </c>
    </row>
    <row r="458" ht="22" customHeight="1">
      <c r="A458" s="2" t="inlineStr">
        <is>
          <t>2026-03-04</t>
        </is>
      </c>
      <c r="B458" s="3" t="inlineStr">
        <is>
          <t>온코닉테라퓨틱스</t>
        </is>
      </c>
      <c r="C458" s="2" t="inlineStr">
        <is>
          <t>476060</t>
        </is>
      </c>
      <c r="D458" s="2" t="inlineStr">
        <is>
          <t>대량보유</t>
        </is>
      </c>
      <c r="E458" s="3" t="inlineStr">
        <is>
          <t>신종길</t>
        </is>
      </c>
      <c r="F458" s="3" t="inlineStr">
        <is>
          <t>특별관계자</t>
        </is>
      </c>
      <c r="G458" s="3" t="inlineStr">
        <is>
          <t>장내매수(+)</t>
        </is>
      </c>
      <c r="H458" s="15" t="n">
        <v>67391</v>
      </c>
      <c r="I458" s="6" t="n">
        <v>18820</v>
      </c>
      <c r="J458" s="6" t="n">
        <v>199365</v>
      </c>
      <c r="K458" s="16" t="n">
        <v>6</v>
      </c>
      <c r="L458" s="2" t="inlineStr">
        <is>
          <t>20260304001398</t>
        </is>
      </c>
      <c r="M458" s="8">
        <f>HYPERLINK("https://dart.fss.or.kr/dsaf001/main.do?rcpNo=20260304001398", "공시열람")</f>
        <v/>
      </c>
    </row>
    <row r="459" ht="22" customHeight="1">
      <c r="A459" s="2" t="inlineStr">
        <is>
          <t>2026-03-04</t>
        </is>
      </c>
      <c r="B459" s="3" t="inlineStr">
        <is>
          <t>온코닉테라퓨틱스</t>
        </is>
      </c>
      <c r="C459" s="2" t="inlineStr">
        <is>
          <t>476060</t>
        </is>
      </c>
      <c r="D459" s="2" t="inlineStr">
        <is>
          <t>대량보유</t>
        </is>
      </c>
      <c r="E459" s="3" t="inlineStr">
        <is>
          <t>한상철</t>
        </is>
      </c>
      <c r="F459" s="3" t="inlineStr">
        <is>
          <t>특별관계자</t>
        </is>
      </c>
      <c r="G459" s="3" t="inlineStr">
        <is>
          <t>장내매수(+)</t>
        </is>
      </c>
      <c r="H459" s="15" t="n">
        <v>22847</v>
      </c>
      <c r="I459" s="6" t="n">
        <v>17381</v>
      </c>
      <c r="J459" s="6" t="n">
        <v>22847</v>
      </c>
      <c r="K459" s="16" t="n">
        <v>6</v>
      </c>
      <c r="L459" s="2" t="inlineStr">
        <is>
          <t>20260304001398</t>
        </is>
      </c>
      <c r="M459" s="8">
        <f>HYPERLINK("https://dart.fss.or.kr/dsaf001/main.do?rcpNo=20260304001398", "공시열람")</f>
        <v/>
      </c>
    </row>
    <row r="460" ht="22" customHeight="1">
      <c r="A460" s="2" t="inlineStr">
        <is>
          <t>2026-03-04</t>
        </is>
      </c>
      <c r="B460" s="3" t="inlineStr">
        <is>
          <t>현대약품</t>
        </is>
      </c>
      <c r="C460" s="2" t="inlineStr">
        <is>
          <t>004310</t>
        </is>
      </c>
      <c r="D460" s="2" t="inlineStr">
        <is>
          <t>대량보유</t>
        </is>
      </c>
      <c r="E460" s="3" t="inlineStr">
        <is>
          <t>신풍제약주식회사</t>
        </is>
      </c>
      <c r="F460" s="3" t="inlineStr">
        <is>
          <t>특별관계자</t>
        </is>
      </c>
      <c r="G460" s="3" t="inlineStr">
        <is>
          <t>장외매수(+)</t>
        </is>
      </c>
      <c r="H460" s="15" t="n">
        <v>2307929</v>
      </c>
      <c r="I460" s="6" t="n">
        <v>12810</v>
      </c>
      <c r="J460" s="6" t="n">
        <v>2307929</v>
      </c>
      <c r="K460" s="16" t="n">
        <v>7.21</v>
      </c>
      <c r="L460" s="2" t="inlineStr">
        <is>
          <t>20260304001381</t>
        </is>
      </c>
      <c r="M460" s="8">
        <f>HYPERLINK("https://dart.fss.or.kr/dsaf001/main.do?rcpNo=20260304001381", "공시열람")</f>
        <v/>
      </c>
    </row>
    <row r="461" ht="22" customHeight="1">
      <c r="A461" s="2" t="inlineStr">
        <is>
          <t>2026-03-04</t>
        </is>
      </c>
      <c r="B461" s="3" t="inlineStr">
        <is>
          <t>에피소드컴퍼니</t>
        </is>
      </c>
      <c r="C461" s="2" t="inlineStr">
        <is>
          <t>317530</t>
        </is>
      </c>
      <c r="D461" s="2" t="inlineStr">
        <is>
          <t>대량보유</t>
        </is>
      </c>
      <c r="E461" s="3" t="inlineStr">
        <is>
          <t>최정우</t>
        </is>
      </c>
      <c r="F461" s="3" t="inlineStr">
        <is>
          <t>특별관계자</t>
        </is>
      </c>
      <c r="G461" s="3" t="inlineStr">
        <is>
          <t>장내매수(+)</t>
        </is>
      </c>
      <c r="H461" s="15" t="n">
        <v>35189</v>
      </c>
      <c r="I461" s="6" t="n">
        <v>4531</v>
      </c>
      <c r="J461" s="6" t="n">
        <v>35735</v>
      </c>
      <c r="K461" s="16" t="n">
        <v>6</v>
      </c>
      <c r="L461" s="2" t="inlineStr">
        <is>
          <t>20260304001375</t>
        </is>
      </c>
      <c r="M461" s="8">
        <f>HYPERLINK("https://dart.fss.or.kr/dsaf001/main.do?rcpNo=20260304001375", "공시열람")</f>
        <v/>
      </c>
    </row>
    <row r="462" ht="22" customHeight="1">
      <c r="A462" s="2" t="inlineStr">
        <is>
          <t>2026-03-04</t>
        </is>
      </c>
      <c r="B462" s="3" t="inlineStr">
        <is>
          <t>에피소드컴퍼니</t>
        </is>
      </c>
      <c r="C462" s="2" t="inlineStr">
        <is>
          <t>317530</t>
        </is>
      </c>
      <c r="D462" s="2" t="inlineStr">
        <is>
          <t>대량보유</t>
        </is>
      </c>
      <c r="E462" s="3" t="inlineStr">
        <is>
          <t>박창신</t>
        </is>
      </c>
      <c r="F462" s="3" t="inlineStr">
        <is>
          <t>특별관계자</t>
        </is>
      </c>
      <c r="G462" s="3" t="inlineStr">
        <is>
          <t>장내매수(+)</t>
        </is>
      </c>
      <c r="H462" s="15" t="n">
        <v>16641</v>
      </c>
      <c r="I462" s="6" t="n">
        <v>4051</v>
      </c>
      <c r="J462" s="6" t="n">
        <v>1479197</v>
      </c>
      <c r="K462" s="16" t="n">
        <v>6</v>
      </c>
      <c r="L462" s="2" t="inlineStr">
        <is>
          <t>20260304001375</t>
        </is>
      </c>
      <c r="M462" s="8">
        <f>HYPERLINK("https://dart.fss.or.kr/dsaf001/main.do?rcpNo=20260304001375", "공시열람")</f>
        <v/>
      </c>
    </row>
    <row r="463" ht="22" customHeight="1">
      <c r="A463" s="2" t="inlineStr">
        <is>
          <t>2026-03-04</t>
        </is>
      </c>
      <c r="B463" s="3" t="inlineStr">
        <is>
          <t>크레버스</t>
        </is>
      </c>
      <c r="C463" s="2" t="inlineStr">
        <is>
          <t>096240</t>
        </is>
      </c>
      <c r="D463" s="2" t="inlineStr">
        <is>
          <t>대량보유</t>
        </is>
      </c>
      <c r="E463" s="3" t="inlineStr">
        <is>
          <t>김영화</t>
        </is>
      </c>
      <c r="F463" s="3" t="inlineStr">
        <is>
          <t>보고자</t>
        </is>
      </c>
      <c r="G463" s="3" t="inlineStr">
        <is>
          <t>- 보고자의 보유주식 등에 관한 계약 내용 변경</t>
        </is>
      </c>
      <c r="H463" s="6" t="inlineStr"/>
      <c r="I463" s="6" t="inlineStr"/>
      <c r="J463" s="6" t="n">
        <v>2795987</v>
      </c>
      <c r="K463" s="16" t="n">
        <v>9</v>
      </c>
      <c r="L463" s="2" t="inlineStr">
        <is>
          <t>20260304001330</t>
        </is>
      </c>
      <c r="M463" s="8">
        <f>HYPERLINK("https://dart.fss.or.kr/dsaf001/main.do?rcpNo=20260304001330", "공시열람")</f>
        <v/>
      </c>
    </row>
    <row r="464" ht="22" customHeight="1">
      <c r="A464" s="2" t="inlineStr">
        <is>
          <t>2026-03-04</t>
        </is>
      </c>
      <c r="B464" s="3" t="inlineStr">
        <is>
          <t>나무기술</t>
        </is>
      </c>
      <c r="C464" s="2" t="inlineStr">
        <is>
          <t>242040</t>
        </is>
      </c>
      <c r="D464" s="2" t="inlineStr">
        <is>
          <t>대량보유</t>
        </is>
      </c>
      <c r="E464" s="3" t="inlineStr">
        <is>
          <t>정철</t>
        </is>
      </c>
      <c r="F464" s="3" t="inlineStr">
        <is>
          <t>특별관계자</t>
        </is>
      </c>
      <c r="G464" s="3" t="inlineStr">
        <is>
          <t>장내매수(+)</t>
        </is>
      </c>
      <c r="H464" s="15" t="n">
        <v>70000</v>
      </c>
      <c r="I464" s="6" t="n">
        <v>1441</v>
      </c>
      <c r="J464" s="6" t="n">
        <v>1458238</v>
      </c>
      <c r="K464" s="16" t="n">
        <v>5</v>
      </c>
      <c r="L464" s="2" t="inlineStr">
        <is>
          <t>20260304001325</t>
        </is>
      </c>
      <c r="M464" s="8">
        <f>HYPERLINK("https://dart.fss.or.kr/dsaf001/main.do?rcpNo=20260304001325", "공시열람")</f>
        <v/>
      </c>
    </row>
    <row r="465" ht="22" customHeight="1">
      <c r="A465" s="2" t="inlineStr">
        <is>
          <t>2026-03-04</t>
        </is>
      </c>
      <c r="B465" s="3" t="inlineStr">
        <is>
          <t>나무기술</t>
        </is>
      </c>
      <c r="C465" s="2" t="inlineStr">
        <is>
          <t>242040</t>
        </is>
      </c>
      <c r="D465" s="2" t="inlineStr">
        <is>
          <t>대량보유</t>
        </is>
      </c>
      <c r="E465" s="3" t="inlineStr">
        <is>
          <t>조재우</t>
        </is>
      </c>
      <c r="F465" s="3" t="inlineStr">
        <is>
          <t>특별관계자</t>
        </is>
      </c>
      <c r="G465" s="3" t="inlineStr">
        <is>
          <t>장내매도(-)</t>
        </is>
      </c>
      <c r="H465" s="17" t="n">
        <v>-20000</v>
      </c>
      <c r="I465" s="6" t="n">
        <v>4800</v>
      </c>
      <c r="J465" s="6" t="n">
        <v>47085</v>
      </c>
      <c r="K465" s="16" t="n">
        <v>5</v>
      </c>
      <c r="L465" s="2" t="inlineStr">
        <is>
          <t>20260304001325</t>
        </is>
      </c>
      <c r="M465" s="8">
        <f>HYPERLINK("https://dart.fss.or.kr/dsaf001/main.do?rcpNo=20260304001325", "공시열람")</f>
        <v/>
      </c>
    </row>
    <row r="466" ht="22" customHeight="1">
      <c r="A466" s="2" t="inlineStr">
        <is>
          <t>2026-03-04</t>
        </is>
      </c>
      <c r="B466" s="3" t="inlineStr">
        <is>
          <t>나무기술</t>
        </is>
      </c>
      <c r="C466" s="2" t="inlineStr">
        <is>
          <t>242040</t>
        </is>
      </c>
      <c r="D466" s="2" t="inlineStr">
        <is>
          <t>대량보유</t>
        </is>
      </c>
      <c r="E466" s="3" t="inlineStr">
        <is>
          <t>이존욱</t>
        </is>
      </c>
      <c r="F466" s="3" t="inlineStr">
        <is>
          <t>특별관계자</t>
        </is>
      </c>
      <c r="G466" s="3" t="inlineStr">
        <is>
          <t>장내매도(-)</t>
        </is>
      </c>
      <c r="H466" s="17" t="n">
        <v>-74243</v>
      </c>
      <c r="I466" s="6" t="n">
        <v>6098</v>
      </c>
      <c r="J466" s="6" t="n">
        <v>62757</v>
      </c>
      <c r="K466" s="16" t="n">
        <v>5</v>
      </c>
      <c r="L466" s="2" t="inlineStr">
        <is>
          <t>20260304001325</t>
        </is>
      </c>
      <c r="M466" s="8">
        <f>HYPERLINK("https://dart.fss.or.kr/dsaf001/main.do?rcpNo=20260304001325", "공시열람")</f>
        <v/>
      </c>
    </row>
    <row r="467" ht="22" customHeight="1">
      <c r="A467" s="2" t="inlineStr">
        <is>
          <t>2026-03-04</t>
        </is>
      </c>
      <c r="B467" s="3" t="inlineStr">
        <is>
          <t>코스모화학</t>
        </is>
      </c>
      <c r="C467" s="2" t="inlineStr">
        <is>
          <t>005420</t>
        </is>
      </c>
      <c r="D467" s="2" t="inlineStr">
        <is>
          <t>대량보유</t>
        </is>
      </c>
      <c r="E467" s="3" t="inlineStr">
        <is>
          <t>(주)코스모앤컴퍼니</t>
        </is>
      </c>
      <c r="F467" s="3" t="inlineStr">
        <is>
          <t>보고자</t>
        </is>
      </c>
      <c r="G467" s="3" t="inlineStr">
        <is>
          <t>담보 계약 해지</t>
        </is>
      </c>
      <c r="H467" s="6" t="inlineStr"/>
      <c r="I467" s="6" t="inlineStr"/>
      <c r="J467" s="6" t="n">
        <v>11728017</v>
      </c>
      <c r="K467" s="16" t="n">
        <v>6</v>
      </c>
      <c r="L467" s="2" t="inlineStr">
        <is>
          <t>20260304001321</t>
        </is>
      </c>
      <c r="M467" s="8">
        <f>HYPERLINK("https://dart.fss.or.kr/dsaf001/main.do?rcpNo=20260304001321", "공시열람")</f>
        <v/>
      </c>
    </row>
    <row r="468" ht="22" customHeight="1">
      <c r="A468" s="2" t="inlineStr">
        <is>
          <t>2026-03-04</t>
        </is>
      </c>
      <c r="B468" s="3" t="inlineStr">
        <is>
          <t>삼양바이오팜</t>
        </is>
      </c>
      <c r="C468" s="2" t="inlineStr">
        <is>
          <t>0120G0</t>
        </is>
      </c>
      <c r="D468" s="2" t="inlineStr">
        <is>
          <t>대량보유</t>
        </is>
      </c>
      <c r="E468" s="3" t="inlineStr">
        <is>
          <t>김 윤</t>
        </is>
      </c>
      <c r="F468" s="3" t="inlineStr">
        <is>
          <t>보고자</t>
        </is>
      </c>
      <c r="G468" s="3" t="inlineStr">
        <is>
          <t>특별관계자의 주식담보대출 계약내용 변경</t>
        </is>
      </c>
      <c r="H468" s="6" t="inlineStr"/>
      <c r="I468" s="6" t="inlineStr"/>
      <c r="J468" s="6" t="n">
        <v>3449570</v>
      </c>
      <c r="K468" s="16" t="n">
        <v>24</v>
      </c>
      <c r="L468" s="2" t="inlineStr">
        <is>
          <t>20260304001303</t>
        </is>
      </c>
      <c r="M468" s="8">
        <f>HYPERLINK("https://dart.fss.or.kr/dsaf001/main.do?rcpNo=20260304001303", "공시열람")</f>
        <v/>
      </c>
    </row>
    <row r="469" ht="22" customHeight="1">
      <c r="A469" s="2" t="inlineStr">
        <is>
          <t>2026-03-04</t>
        </is>
      </c>
      <c r="B469" s="3" t="inlineStr">
        <is>
          <t>자람테크놀로지</t>
        </is>
      </c>
      <c r="C469" s="2" t="inlineStr">
        <is>
          <t>389020</t>
        </is>
      </c>
      <c r="D469" s="2" t="inlineStr">
        <is>
          <t>대량보유</t>
        </is>
      </c>
      <c r="E469" s="3" t="inlineStr">
        <is>
          <t>백준현</t>
        </is>
      </c>
      <c r="F469" s="3" t="inlineStr">
        <is>
          <t>보고자</t>
        </is>
      </c>
      <c r="G469" s="3" t="inlineStr">
        <is>
          <t>보고자 및 특별관계자의 주식담보대출 연장에 따른 변경 보고</t>
        </is>
      </c>
      <c r="H469" s="6" t="inlineStr"/>
      <c r="I469" s="6" t="inlineStr"/>
      <c r="J469" s="6" t="n">
        <v>3573400</v>
      </c>
      <c r="K469" s="16" t="n">
        <v>4</v>
      </c>
      <c r="L469" s="2" t="inlineStr">
        <is>
          <t>20260304001282</t>
        </is>
      </c>
      <c r="M469" s="8">
        <f>HYPERLINK("https://dart.fss.or.kr/dsaf001/main.do?rcpNo=20260304001282", "공시열람")</f>
        <v/>
      </c>
    </row>
    <row r="470" ht="22" customHeight="1">
      <c r="A470" s="2" t="inlineStr">
        <is>
          <t>2026-03-04</t>
        </is>
      </c>
      <c r="B470" s="3" t="inlineStr">
        <is>
          <t>DSR제강</t>
        </is>
      </c>
      <c r="C470" s="2" t="inlineStr">
        <is>
          <t>069730</t>
        </is>
      </c>
      <c r="D470" s="2" t="inlineStr">
        <is>
          <t>임원보고</t>
        </is>
      </c>
      <c r="E470" s="3" t="inlineStr">
        <is>
          <t>-</t>
        </is>
      </c>
      <c r="F470" s="3" t="inlineStr">
        <is>
          <t>-</t>
        </is>
      </c>
      <c r="G470" s="3" t="inlineStr">
        <is>
          <t>-</t>
        </is>
      </c>
      <c r="H470" s="6" t="inlineStr"/>
      <c r="I470" s="6" t="inlineStr"/>
      <c r="J470" s="6" t="inlineStr"/>
      <c r="K470" s="16" t="n">
        <v>12</v>
      </c>
      <c r="L470" s="2" t="inlineStr">
        <is>
          <t>20260304801179</t>
        </is>
      </c>
      <c r="M470" s="8">
        <f>HYPERLINK("https://dart.fss.or.kr/dsaf001/main.do?rcpNo=20260304801179", "공시열람")</f>
        <v/>
      </c>
    </row>
    <row r="471" ht="22" customHeight="1">
      <c r="A471" s="2" t="inlineStr">
        <is>
          <t>2026-03-04</t>
        </is>
      </c>
      <c r="B471" s="3" t="inlineStr">
        <is>
          <t>삼양홀딩스</t>
        </is>
      </c>
      <c r="C471" s="2" t="inlineStr">
        <is>
          <t>000070</t>
        </is>
      </c>
      <c r="D471" s="2" t="inlineStr">
        <is>
          <t>대량보유</t>
        </is>
      </c>
      <c r="E471" s="3" t="inlineStr">
        <is>
          <t>김 윤</t>
        </is>
      </c>
      <c r="F471" s="3" t="inlineStr">
        <is>
          <t>보고자</t>
        </is>
      </c>
      <c r="G471" s="3" t="inlineStr">
        <is>
          <t>특별관계자의 주식담보대출 계약내용 변경</t>
        </is>
      </c>
      <c r="H471" s="6" t="inlineStr"/>
      <c r="I471" s="6" t="inlineStr"/>
      <c r="J471" s="6" t="n">
        <v>3245478</v>
      </c>
      <c r="K471" s="16" t="n">
        <v>28</v>
      </c>
      <c r="L471" s="2" t="inlineStr">
        <is>
          <t>20260304001242</t>
        </is>
      </c>
      <c r="M471" s="8">
        <f>HYPERLINK("https://dart.fss.or.kr/dsaf001/main.do?rcpNo=20260304001242", "공시열람")</f>
        <v/>
      </c>
    </row>
    <row r="472" ht="22" customHeight="1">
      <c r="A472" s="2" t="inlineStr">
        <is>
          <t>2026-03-04</t>
        </is>
      </c>
      <c r="B472" s="3" t="inlineStr">
        <is>
          <t>링네트</t>
        </is>
      </c>
      <c r="C472" s="2" t="inlineStr">
        <is>
          <t>042500</t>
        </is>
      </c>
      <c r="D472" s="2" t="inlineStr">
        <is>
          <t>대량보유</t>
        </is>
      </c>
      <c r="E472" s="3" t="inlineStr">
        <is>
          <t>신동익</t>
        </is>
      </c>
      <c r="F472" s="3" t="inlineStr">
        <is>
          <t>특별관계자</t>
        </is>
      </c>
      <c r="G472" s="3" t="inlineStr">
        <is>
          <t>장내매수(+)</t>
        </is>
      </c>
      <c r="H472" s="15" t="n">
        <v>8</v>
      </c>
      <c r="I472" s="6" t="n">
        <v>3915</v>
      </c>
      <c r="J472" s="6" t="n">
        <v>6679359</v>
      </c>
      <c r="K472" s="16" t="n">
        <v>39</v>
      </c>
      <c r="L472" s="2" t="inlineStr">
        <is>
          <t>20260304001228</t>
        </is>
      </c>
      <c r="M472" s="8">
        <f>HYPERLINK("https://dart.fss.or.kr/dsaf001/main.do?rcpNo=20260304001228", "공시열람")</f>
        <v/>
      </c>
    </row>
    <row r="473" ht="22" customHeight="1">
      <c r="A473" s="2" t="inlineStr">
        <is>
          <t>2026-03-04</t>
        </is>
      </c>
      <c r="B473" s="3" t="inlineStr">
        <is>
          <t>링네트</t>
        </is>
      </c>
      <c r="C473" s="2" t="inlineStr">
        <is>
          <t>042500</t>
        </is>
      </c>
      <c r="D473" s="2" t="inlineStr">
        <is>
          <t>대량보유</t>
        </is>
      </c>
      <c r="E473" s="3" t="inlineStr">
        <is>
          <t>이지윤</t>
        </is>
      </c>
      <c r="F473" s="3" t="inlineStr">
        <is>
          <t>특별관계자</t>
        </is>
      </c>
      <c r="G473" s="3" t="inlineStr">
        <is>
          <t>장내매도(-)</t>
        </is>
      </c>
      <c r="H473" s="17" t="n">
        <v>-3900</v>
      </c>
      <c r="I473" s="6" t="n">
        <v>3720</v>
      </c>
      <c r="J473" s="6" t="n">
        <v>6675459</v>
      </c>
      <c r="K473" s="16" t="n">
        <v>39</v>
      </c>
      <c r="L473" s="2" t="inlineStr">
        <is>
          <t>20260304001228</t>
        </is>
      </c>
      <c r="M473" s="8">
        <f>HYPERLINK("https://dart.fss.or.kr/dsaf001/main.do?rcpNo=20260304001228", "공시열람")</f>
        <v/>
      </c>
    </row>
    <row r="474" ht="22" customHeight="1">
      <c r="A474" s="2" t="inlineStr">
        <is>
          <t>2026-03-04</t>
        </is>
      </c>
      <c r="B474" s="3" t="inlineStr">
        <is>
          <t>링네트</t>
        </is>
      </c>
      <c r="C474" s="2" t="inlineStr">
        <is>
          <t>042500</t>
        </is>
      </c>
      <c r="D474" s="2" t="inlineStr">
        <is>
          <t>대량보유</t>
        </is>
      </c>
      <c r="E474" s="3" t="inlineStr">
        <is>
          <t>오승철</t>
        </is>
      </c>
      <c r="F474" s="3" t="inlineStr">
        <is>
          <t>특별관계자</t>
        </is>
      </c>
      <c r="G474" s="3" t="inlineStr">
        <is>
          <t>신규보고(+)</t>
        </is>
      </c>
      <c r="H474" s="15" t="n">
        <v>2787</v>
      </c>
      <c r="I474" s="6" t="n">
        <v>3925</v>
      </c>
      <c r="J474" s="6" t="n">
        <v>6678246</v>
      </c>
      <c r="K474" s="16" t="n">
        <v>39</v>
      </c>
      <c r="L474" s="2" t="inlineStr">
        <is>
          <t>20260304001228</t>
        </is>
      </c>
      <c r="M474" s="8">
        <f>HYPERLINK("https://dart.fss.or.kr/dsaf001/main.do?rcpNo=20260304001228", "공시열람")</f>
        <v/>
      </c>
    </row>
    <row r="475" ht="22" customHeight="1">
      <c r="A475" s="2" t="inlineStr">
        <is>
          <t>2026-03-04</t>
        </is>
      </c>
      <c r="B475" s="3" t="inlineStr">
        <is>
          <t>DSR제강</t>
        </is>
      </c>
      <c r="C475" s="2" t="inlineStr">
        <is>
          <t>069730</t>
        </is>
      </c>
      <c r="D475" s="2" t="inlineStr">
        <is>
          <t>대량보유</t>
        </is>
      </c>
      <c r="E475" s="3" t="inlineStr">
        <is>
          <t>홍진우</t>
        </is>
      </c>
      <c r="F475" s="3" t="inlineStr">
        <is>
          <t>특별관계자</t>
        </is>
      </c>
      <c r="G475" s="3" t="inlineStr">
        <is>
          <t>장내매수(+)</t>
        </is>
      </c>
      <c r="H475" s="15" t="n">
        <v>12949</v>
      </c>
      <c r="I475" s="6" t="n">
        <v>3648</v>
      </c>
      <c r="J475" s="6" t="n">
        <v>527775</v>
      </c>
      <c r="K475" s="16" t="n">
        <v>15</v>
      </c>
      <c r="L475" s="2" t="inlineStr">
        <is>
          <t>20260304001214</t>
        </is>
      </c>
      <c r="M475" s="8">
        <f>HYPERLINK("https://dart.fss.or.kr/dsaf001/main.do?rcpNo=20260304001214", "공시열람")</f>
        <v/>
      </c>
    </row>
    <row r="476" ht="22" customHeight="1">
      <c r="A476" s="2" t="inlineStr">
        <is>
          <t>2026-03-04</t>
        </is>
      </c>
      <c r="B476" s="3" t="inlineStr">
        <is>
          <t>DSR제강</t>
        </is>
      </c>
      <c r="C476" s="2" t="inlineStr">
        <is>
          <t>069730</t>
        </is>
      </c>
      <c r="D476" s="2" t="inlineStr">
        <is>
          <t>대량보유</t>
        </is>
      </c>
      <c r="E476" s="3" t="inlineStr">
        <is>
          <t>홍희진</t>
        </is>
      </c>
      <c r="F476" s="3" t="inlineStr">
        <is>
          <t>특별관계자</t>
        </is>
      </c>
      <c r="G476" s="3" t="inlineStr">
        <is>
          <t>장내매수(+)</t>
        </is>
      </c>
      <c r="H476" s="15" t="n">
        <v>6000</v>
      </c>
      <c r="I476" s="6" t="n">
        <v>3720</v>
      </c>
      <c r="J476" s="6" t="n">
        <v>190430</v>
      </c>
      <c r="K476" s="16" t="n">
        <v>15</v>
      </c>
      <c r="L476" s="2" t="inlineStr">
        <is>
          <t>20260304001214</t>
        </is>
      </c>
      <c r="M476" s="8">
        <f>HYPERLINK("https://dart.fss.or.kr/dsaf001/main.do?rcpNo=20260304001214", "공시열람")</f>
        <v/>
      </c>
    </row>
    <row r="477" ht="22" customHeight="1">
      <c r="A477" s="2" t="inlineStr">
        <is>
          <t>2026-03-04</t>
        </is>
      </c>
      <c r="B477" s="3" t="inlineStr">
        <is>
          <t>DSR제강</t>
        </is>
      </c>
      <c r="C477" s="2" t="inlineStr">
        <is>
          <t>069730</t>
        </is>
      </c>
      <c r="D477" s="2" t="inlineStr">
        <is>
          <t>대량보유</t>
        </is>
      </c>
      <c r="E477" s="3" t="inlineStr">
        <is>
          <t>김소윤</t>
        </is>
      </c>
      <c r="F477" s="3" t="inlineStr">
        <is>
          <t>특별관계자</t>
        </is>
      </c>
      <c r="G477" s="3" t="inlineStr">
        <is>
          <t>장내매수(+)</t>
        </is>
      </c>
      <c r="H477" s="15" t="n">
        <v>5000</v>
      </c>
      <c r="I477" s="6" t="n">
        <v>3438</v>
      </c>
      <c r="J477" s="6" t="n">
        <v>25000</v>
      </c>
      <c r="K477" s="16" t="n">
        <v>15</v>
      </c>
      <c r="L477" s="2" t="inlineStr">
        <is>
          <t>20260304001214</t>
        </is>
      </c>
      <c r="M477" s="8">
        <f>HYPERLINK("https://dart.fss.or.kr/dsaf001/main.do?rcpNo=20260304001214", "공시열람")</f>
        <v/>
      </c>
    </row>
    <row r="478" ht="22" customHeight="1">
      <c r="A478" s="2" t="inlineStr">
        <is>
          <t>2026-03-04</t>
        </is>
      </c>
      <c r="B478" s="3" t="inlineStr">
        <is>
          <t>DSR제강</t>
        </is>
      </c>
      <c r="C478" s="2" t="inlineStr">
        <is>
          <t>069730</t>
        </is>
      </c>
      <c r="D478" s="2" t="inlineStr">
        <is>
          <t>대량보유</t>
        </is>
      </c>
      <c r="E478" s="3" t="inlineStr">
        <is>
          <t>홍하종</t>
        </is>
      </c>
      <c r="F478" s="3" t="inlineStr">
        <is>
          <t>특별관계자</t>
        </is>
      </c>
      <c r="G478" s="3" t="inlineStr">
        <is>
          <t>장내매수(+)</t>
        </is>
      </c>
      <c r="H478" s="15" t="n">
        <v>134823</v>
      </c>
      <c r="I478" s="6" t="n">
        <v>3717</v>
      </c>
      <c r="J478" s="6" t="n">
        <v>3412375</v>
      </c>
      <c r="K478" s="16" t="n">
        <v>15</v>
      </c>
      <c r="L478" s="2" t="inlineStr">
        <is>
          <t>20260304001214</t>
        </is>
      </c>
      <c r="M478" s="8">
        <f>HYPERLINK("https://dart.fss.or.kr/dsaf001/main.do?rcpNo=20260304001214", "공시열람")</f>
        <v/>
      </c>
    </row>
    <row r="479" ht="22" customHeight="1">
      <c r="A479" s="2" t="inlineStr">
        <is>
          <t>2026-03-04</t>
        </is>
      </c>
      <c r="B479" s="3" t="inlineStr">
        <is>
          <t>와이엠티</t>
        </is>
      </c>
      <c r="C479" s="2" t="inlineStr">
        <is>
          <t>251370</t>
        </is>
      </c>
      <c r="D479" s="2" t="inlineStr">
        <is>
          <t>대량보유</t>
        </is>
      </c>
      <c r="E479" s="3" t="inlineStr">
        <is>
          <t>전성욱</t>
        </is>
      </c>
      <c r="F479" s="3" t="inlineStr">
        <is>
          <t>보고자</t>
        </is>
      </c>
      <c r="G479" s="3" t="inlineStr">
        <is>
          <t>- 보고자의 주식담보대출 일부 상환- 특관자의 주식담보대출 신규 실행 및 만기 연장</t>
        </is>
      </c>
      <c r="H479" s="6" t="inlineStr"/>
      <c r="I479" s="6" t="inlineStr"/>
      <c r="J479" s="6" t="n">
        <v>6453467</v>
      </c>
      <c r="K479" s="16" t="n">
        <v>8</v>
      </c>
      <c r="L479" s="2" t="inlineStr">
        <is>
          <t>20260304001195</t>
        </is>
      </c>
      <c r="M479" s="8">
        <f>HYPERLINK("https://dart.fss.or.kr/dsaf001/main.do?rcpNo=20260304001195", "공시열람")</f>
        <v/>
      </c>
    </row>
    <row r="480" ht="22" customHeight="1">
      <c r="A480" s="2" t="inlineStr">
        <is>
          <t>2026-03-04</t>
        </is>
      </c>
      <c r="B480" s="3" t="inlineStr">
        <is>
          <t>노랑풍선</t>
        </is>
      </c>
      <c r="C480" s="2" t="inlineStr">
        <is>
          <t>104620</t>
        </is>
      </c>
      <c r="D480" s="2" t="inlineStr">
        <is>
          <t>대량보유</t>
        </is>
      </c>
      <c r="E480" s="3" t="inlineStr">
        <is>
          <t>브이씨엠그로쓰제1호사모투자합자회사</t>
        </is>
      </c>
      <c r="F480" s="3" t="inlineStr">
        <is>
          <t>특별관계자</t>
        </is>
      </c>
      <c r="G480" s="3" t="inlineStr">
        <is>
          <t>장내매도(-), 행사가액조정</t>
        </is>
      </c>
      <c r="H480" s="15" t="n">
        <v>90668</v>
      </c>
      <c r="I480" s="6" t="n">
        <v>5290</v>
      </c>
      <c r="J480" s="6" t="n">
        <v>1864628</v>
      </c>
      <c r="K480" s="16" t="n">
        <v>1</v>
      </c>
      <c r="L480" s="2" t="inlineStr">
        <is>
          <t>20260304001192</t>
        </is>
      </c>
      <c r="M480" s="8">
        <f>HYPERLINK("https://dart.fss.or.kr/dsaf001/main.do?rcpNo=20260304001192", "공시열람")</f>
        <v/>
      </c>
    </row>
    <row r="481" ht="22" customHeight="1">
      <c r="A481" s="2" t="inlineStr">
        <is>
          <t>2026-03-04</t>
        </is>
      </c>
      <c r="B481" s="3" t="inlineStr">
        <is>
          <t>엔브이에이치코리아</t>
        </is>
      </c>
      <c r="C481" s="2" t="inlineStr">
        <is>
          <t>067570</t>
        </is>
      </c>
      <c r="D481" s="2" t="inlineStr">
        <is>
          <t>대량보유</t>
        </is>
      </c>
      <c r="E481" s="3" t="inlineStr">
        <is>
          <t>송경호</t>
        </is>
      </c>
      <c r="F481" s="3" t="inlineStr">
        <is>
          <t>특별관계자</t>
        </is>
      </c>
      <c r="G481" s="3" t="inlineStr">
        <is>
          <t>특별관계해소(-)</t>
        </is>
      </c>
      <c r="H481" s="17" t="n">
        <v>-8631</v>
      </c>
      <c r="I481" s="6" t="inlineStr"/>
      <c r="J481" s="6" t="inlineStr"/>
      <c r="K481" s="16" t="n">
        <v>9</v>
      </c>
      <c r="L481" s="2" t="inlineStr">
        <is>
          <t>20260304001167</t>
        </is>
      </c>
      <c r="M481" s="8">
        <f>HYPERLINK("https://dart.fss.or.kr/dsaf001/main.do?rcpNo=20260304001167", "공시열람")</f>
        <v/>
      </c>
    </row>
    <row r="482" ht="22" customHeight="1">
      <c r="A482" s="2" t="inlineStr">
        <is>
          <t>2026-03-04</t>
        </is>
      </c>
      <c r="B482" s="3" t="inlineStr">
        <is>
          <t>상아프론테크</t>
        </is>
      </c>
      <c r="C482" s="2" t="inlineStr">
        <is>
          <t>089980</t>
        </is>
      </c>
      <c r="D482" s="2" t="inlineStr">
        <is>
          <t>대량보유</t>
        </is>
      </c>
      <c r="E482" s="3" t="inlineStr">
        <is>
          <t>이상원</t>
        </is>
      </c>
      <c r="F482" s="3" t="inlineStr">
        <is>
          <t>보고자</t>
        </is>
      </c>
      <c r="G482" s="3" t="inlineStr">
        <is>
          <t>- 주식담보대출 계약기간 연장</t>
        </is>
      </c>
      <c r="H482" s="6" t="inlineStr"/>
      <c r="I482" s="6" t="inlineStr"/>
      <c r="J482" s="6" t="n">
        <v>6769940</v>
      </c>
      <c r="K482" s="16" t="n">
        <v>23</v>
      </c>
      <c r="L482" s="2" t="inlineStr">
        <is>
          <t>20260304001149</t>
        </is>
      </c>
      <c r="M482" s="8">
        <f>HYPERLINK("https://dart.fss.or.kr/dsaf001/main.do?rcpNo=20260304001149", "공시열람")</f>
        <v/>
      </c>
    </row>
    <row r="483" ht="22" customHeight="1">
      <c r="A483" s="2" t="inlineStr">
        <is>
          <t>2026-03-04</t>
        </is>
      </c>
      <c r="B483" s="3" t="inlineStr">
        <is>
          <t>EG</t>
        </is>
      </c>
      <c r="C483" s="2" t="inlineStr">
        <is>
          <t>037370</t>
        </is>
      </c>
      <c r="D483" s="2" t="inlineStr">
        <is>
          <t>대량보유</t>
        </is>
      </c>
      <c r="E483" s="3" t="inlineStr">
        <is>
          <t>박지만</t>
        </is>
      </c>
      <c r="F483" s="3" t="inlineStr">
        <is>
          <t>보고자</t>
        </is>
      </c>
      <c r="G483" s="3" t="inlineStr">
        <is>
          <t>주식담보대출연장</t>
        </is>
      </c>
      <c r="H483" s="6" t="inlineStr"/>
      <c r="I483" s="6" t="inlineStr"/>
      <c r="J483" s="6" t="n">
        <v>2100617</v>
      </c>
      <c r="K483" s="16" t="n">
        <v>2</v>
      </c>
      <c r="L483" s="2" t="inlineStr">
        <is>
          <t>20260304001148</t>
        </is>
      </c>
      <c r="M483" s="8">
        <f>HYPERLINK("https://dart.fss.or.kr/dsaf001/main.do?rcpNo=20260304001148", "공시열람")</f>
        <v/>
      </c>
    </row>
    <row r="484" ht="22" customHeight="1">
      <c r="A484" s="2" t="inlineStr">
        <is>
          <t>2026-03-04</t>
        </is>
      </c>
      <c r="B484" s="3" t="inlineStr">
        <is>
          <t>HLB제약</t>
        </is>
      </c>
      <c r="C484" s="2" t="inlineStr">
        <is>
          <t>047920</t>
        </is>
      </c>
      <c r="D484" s="2" t="inlineStr">
        <is>
          <t>대량보유</t>
        </is>
      </c>
      <c r="E484" s="3" t="inlineStr">
        <is>
          <t>에이치엘비생명과학(주)</t>
        </is>
      </c>
      <c r="F484" s="3" t="inlineStr">
        <is>
          <t>보고자</t>
        </is>
      </c>
      <c r="G484" s="3" t="inlineStr">
        <is>
          <t>특별관계자 주식담보대출 연장</t>
        </is>
      </c>
      <c r="H484" s="6" t="inlineStr"/>
      <c r="I484" s="6" t="inlineStr"/>
      <c r="J484" s="6" t="n">
        <v>7206491</v>
      </c>
      <c r="K484" s="16" t="n">
        <v>5</v>
      </c>
      <c r="L484" s="2" t="inlineStr">
        <is>
          <t>20260304001139</t>
        </is>
      </c>
      <c r="M484" s="8">
        <f>HYPERLINK("https://dart.fss.or.kr/dsaf001/main.do?rcpNo=20260304001139", "공시열람")</f>
        <v/>
      </c>
    </row>
    <row r="485" ht="22" customHeight="1">
      <c r="A485" s="2" t="inlineStr">
        <is>
          <t>2026-03-04</t>
        </is>
      </c>
      <c r="B485" s="3" t="inlineStr">
        <is>
          <t>온타이드</t>
        </is>
      </c>
      <c r="C485" s="2" t="inlineStr">
        <is>
          <t>005320</t>
        </is>
      </c>
      <c r="D485" s="2" t="inlineStr">
        <is>
          <t>임원보고</t>
        </is>
      </c>
      <c r="E485" s="3" t="inlineStr">
        <is>
          <t>-</t>
        </is>
      </c>
      <c r="F485" s="3" t="inlineStr">
        <is>
          <t>-</t>
        </is>
      </c>
      <c r="G485" s="3" t="inlineStr">
        <is>
          <t>-</t>
        </is>
      </c>
      <c r="H485" s="6" t="inlineStr"/>
      <c r="I485" s="6" t="inlineStr"/>
      <c r="J485" s="6" t="inlineStr"/>
      <c r="K485" s="16" t="n">
        <v>12</v>
      </c>
      <c r="L485" s="2" t="inlineStr">
        <is>
          <t>20260304800953</t>
        </is>
      </c>
      <c r="M485" s="8">
        <f>HYPERLINK("https://dart.fss.or.kr/dsaf001/main.do?rcpNo=20260304800953", "공시열람")</f>
        <v/>
      </c>
    </row>
    <row r="486" ht="22" customHeight="1">
      <c r="A486" s="2" t="inlineStr">
        <is>
          <t>2026-03-04</t>
        </is>
      </c>
      <c r="B486" s="3" t="inlineStr">
        <is>
          <t>로젠</t>
        </is>
      </c>
      <c r="C486" s="2" t="inlineStr">
        <is>
          <t>033290</t>
        </is>
      </c>
      <c r="D486" s="2" t="inlineStr">
        <is>
          <t>대량보유</t>
        </is>
      </c>
      <c r="E486" s="3" t="inlineStr">
        <is>
          <t>(주)대명화학</t>
        </is>
      </c>
      <c r="F486" s="3" t="inlineStr">
        <is>
          <t>보고자</t>
        </is>
      </c>
      <c r="G486" s="3" t="inlineStr">
        <is>
          <t>주식담보계약 등의 주요계약 일부변경(만기연장,일부상환)</t>
        </is>
      </c>
      <c r="H486" s="6" t="inlineStr"/>
      <c r="I486" s="6" t="inlineStr"/>
      <c r="J486" s="6" t="n">
        <v>38047192</v>
      </c>
      <c r="K486" s="16" t="n">
        <v>3</v>
      </c>
      <c r="L486" s="2" t="inlineStr">
        <is>
          <t>20260304000957</t>
        </is>
      </c>
      <c r="M486" s="8">
        <f>HYPERLINK("https://dart.fss.or.kr/dsaf001/main.do?rcpNo=20260304000957", "공시열람")</f>
        <v/>
      </c>
    </row>
    <row r="487" ht="22" customHeight="1">
      <c r="A487" s="2" t="inlineStr">
        <is>
          <t>2026-03-04</t>
        </is>
      </c>
      <c r="B487" s="3" t="inlineStr">
        <is>
          <t>두산퓨얼셀</t>
        </is>
      </c>
      <c r="C487" s="2" t="inlineStr">
        <is>
          <t>336260</t>
        </is>
      </c>
      <c r="D487" s="2" t="inlineStr">
        <is>
          <t>임원보고</t>
        </is>
      </c>
      <c r="E487" s="3" t="inlineStr">
        <is>
          <t>-</t>
        </is>
      </c>
      <c r="F487" s="3" t="inlineStr">
        <is>
          <t>-</t>
        </is>
      </c>
      <c r="G487" s="3" t="inlineStr">
        <is>
          <t>-</t>
        </is>
      </c>
      <c r="H487" s="6" t="inlineStr"/>
      <c r="I487" s="6" t="inlineStr"/>
      <c r="J487" s="6" t="inlineStr"/>
      <c r="K487" s="16" t="n">
        <v>12</v>
      </c>
      <c r="L487" s="2" t="inlineStr">
        <is>
          <t>20260304800817</t>
        </is>
      </c>
      <c r="M487" s="8">
        <f>HYPERLINK("https://dart.fss.or.kr/dsaf001/main.do?rcpNo=20260304800817", "공시열람")</f>
        <v/>
      </c>
    </row>
    <row r="488" ht="22" customHeight="1">
      <c r="A488" s="2" t="inlineStr">
        <is>
          <t>2026-03-04</t>
        </is>
      </c>
      <c r="B488" s="3" t="inlineStr">
        <is>
          <t>라닉스</t>
        </is>
      </c>
      <c r="C488" s="2" t="inlineStr">
        <is>
          <t>317120</t>
        </is>
      </c>
      <c r="D488" s="2" t="inlineStr">
        <is>
          <t>대량보유</t>
        </is>
      </c>
      <c r="E488" s="3" t="inlineStr">
        <is>
          <t>최승욱</t>
        </is>
      </c>
      <c r="F488" s="3" t="inlineStr">
        <is>
          <t>특별관계자</t>
        </is>
      </c>
      <c r="G488" s="3" t="inlineStr">
        <is>
          <t>시간외매매(+)</t>
        </is>
      </c>
      <c r="H488" s="15" t="n">
        <v>25710</v>
      </c>
      <c r="I488" s="6" t="n">
        <v>1969</v>
      </c>
      <c r="J488" s="6" t="n">
        <v>2706153</v>
      </c>
      <c r="K488" s="16" t="n">
        <v>4</v>
      </c>
      <c r="L488" s="2" t="inlineStr">
        <is>
          <t>20260304000872</t>
        </is>
      </c>
      <c r="M488" s="8">
        <f>HYPERLINK("https://dart.fss.or.kr/dsaf001/main.do?rcpNo=20260304000872", "공시열람")</f>
        <v/>
      </c>
    </row>
    <row r="489" ht="22" customHeight="1">
      <c r="A489" s="2" t="inlineStr">
        <is>
          <t>2026-03-04</t>
        </is>
      </c>
      <c r="B489" s="3" t="inlineStr">
        <is>
          <t>라닉스</t>
        </is>
      </c>
      <c r="C489" s="2" t="inlineStr">
        <is>
          <t>317120</t>
        </is>
      </c>
      <c r="D489" s="2" t="inlineStr">
        <is>
          <t>대량보유</t>
        </is>
      </c>
      <c r="E489" s="3" t="inlineStr">
        <is>
          <t>이노형</t>
        </is>
      </c>
      <c r="F489" s="3" t="inlineStr">
        <is>
          <t>특별관계자</t>
        </is>
      </c>
      <c r="G489" s="3" t="inlineStr">
        <is>
          <t>임원퇴임(-)</t>
        </is>
      </c>
      <c r="H489" s="17" t="n">
        <v>-1359</v>
      </c>
      <c r="I489" s="6" t="inlineStr"/>
      <c r="J489" s="6" t="inlineStr"/>
      <c r="K489" s="16" t="n">
        <v>4</v>
      </c>
      <c r="L489" s="2" t="inlineStr">
        <is>
          <t>20260304000872</t>
        </is>
      </c>
      <c r="M489" s="8">
        <f>HYPERLINK("https://dart.fss.or.kr/dsaf001/main.do?rcpNo=20260304000872", "공시열람")</f>
        <v/>
      </c>
    </row>
    <row r="490" ht="22" customHeight="1">
      <c r="A490" s="2" t="inlineStr">
        <is>
          <t>2026-03-04</t>
        </is>
      </c>
      <c r="B490" s="3" t="inlineStr">
        <is>
          <t>애경케미칼</t>
        </is>
      </c>
      <c r="C490" s="2" t="inlineStr">
        <is>
          <t>161000</t>
        </is>
      </c>
      <c r="D490" s="2" t="inlineStr">
        <is>
          <t>대량보유</t>
        </is>
      </c>
      <c r="E490" s="3" t="inlineStr">
        <is>
          <t>에이케이홀딩스(주)</t>
        </is>
      </c>
      <c r="F490" s="3" t="inlineStr">
        <is>
          <t>보고자</t>
        </is>
      </c>
      <c r="G490" s="3" t="inlineStr">
        <is>
          <t>- 특별관계자 보유주식등에 관한 계약(담보계약) 변경</t>
        </is>
      </c>
      <c r="H490" s="6" t="inlineStr"/>
      <c r="I490" s="6" t="inlineStr"/>
      <c r="J490" s="6" t="n">
        <v>30358832</v>
      </c>
      <c r="K490" s="16" t="n">
        <v>11</v>
      </c>
      <c r="L490" s="2" t="inlineStr">
        <is>
          <t>20260304000871</t>
        </is>
      </c>
      <c r="M490" s="8">
        <f>HYPERLINK("https://dart.fss.or.kr/dsaf001/main.do?rcpNo=20260304000871", "공시열람")</f>
        <v/>
      </c>
    </row>
    <row r="491" ht="22" customHeight="1">
      <c r="A491" s="2" t="inlineStr">
        <is>
          <t>2026-03-04</t>
        </is>
      </c>
      <c r="B491" s="3" t="inlineStr">
        <is>
          <t>스틱인베스트먼트</t>
        </is>
      </c>
      <c r="C491" s="2" t="inlineStr">
        <is>
          <t>026890</t>
        </is>
      </c>
      <c r="D491" s="2" t="inlineStr">
        <is>
          <t>임원보고</t>
        </is>
      </c>
      <c r="E491" s="3" t="inlineStr">
        <is>
          <t>-</t>
        </is>
      </c>
      <c r="F491" s="3" t="inlineStr">
        <is>
          <t>-</t>
        </is>
      </c>
      <c r="G491" s="3" t="inlineStr">
        <is>
          <t>-</t>
        </is>
      </c>
      <c r="H491" s="6" t="inlineStr"/>
      <c r="I491" s="6" t="inlineStr"/>
      <c r="J491" s="6" t="inlineStr"/>
      <c r="K491" s="16" t="n">
        <v>12</v>
      </c>
      <c r="L491" s="2" t="inlineStr">
        <is>
          <t>20260304800710</t>
        </is>
      </c>
      <c r="M491" s="8">
        <f>HYPERLINK("https://dart.fss.or.kr/dsaf001/main.do?rcpNo=20260304800710", "공시열람")</f>
        <v/>
      </c>
    </row>
    <row r="492" ht="22" customHeight="1">
      <c r="A492" s="2" t="inlineStr">
        <is>
          <t>2026-03-04</t>
        </is>
      </c>
      <c r="B492" s="3" t="inlineStr">
        <is>
          <t>HLB</t>
        </is>
      </c>
      <c r="C492" s="2" t="inlineStr">
        <is>
          <t>028300</t>
        </is>
      </c>
      <c r="D492" s="2" t="inlineStr">
        <is>
          <t>대량보유</t>
        </is>
      </c>
      <c r="E492" s="3" t="inlineStr">
        <is>
          <t>김태한</t>
        </is>
      </c>
      <c r="F492" s="3" t="inlineStr">
        <is>
          <t>특별관계자</t>
        </is>
      </c>
      <c r="G492" s="3" t="inlineStr">
        <is>
          <t>주식매수선택권부여(+)</t>
        </is>
      </c>
      <c r="H492" s="15" t="n">
        <v>100000</v>
      </c>
      <c r="I492" s="6" t="inlineStr"/>
      <c r="J492" s="6" t="n">
        <v>100000</v>
      </c>
      <c r="K492" s="16" t="n">
        <v>12</v>
      </c>
      <c r="L492" s="2" t="inlineStr">
        <is>
          <t>20260304000747</t>
        </is>
      </c>
      <c r="M492" s="8">
        <f>HYPERLINK("https://dart.fss.or.kr/dsaf001/main.do?rcpNo=20260304000747", "공시열람")</f>
        <v/>
      </c>
    </row>
    <row r="493" ht="22" customHeight="1">
      <c r="A493" s="2" t="inlineStr">
        <is>
          <t>2026-03-04</t>
        </is>
      </c>
      <c r="B493" s="3" t="inlineStr">
        <is>
          <t>대원전선</t>
        </is>
      </c>
      <c r="C493" s="2" t="inlineStr">
        <is>
          <t>006340</t>
        </is>
      </c>
      <c r="D493" s="2" t="inlineStr">
        <is>
          <t>임원보고</t>
        </is>
      </c>
      <c r="E493" s="3" t="inlineStr">
        <is>
          <t>-</t>
        </is>
      </c>
      <c r="F493" s="3" t="inlineStr">
        <is>
          <t>-</t>
        </is>
      </c>
      <c r="G493" s="3" t="inlineStr">
        <is>
          <t>-</t>
        </is>
      </c>
      <c r="H493" s="6" t="inlineStr"/>
      <c r="I493" s="6" t="inlineStr"/>
      <c r="J493" s="6" t="inlineStr"/>
      <c r="K493" s="16" t="n">
        <v>12</v>
      </c>
      <c r="L493" s="2" t="inlineStr">
        <is>
          <t>20260304800697</t>
        </is>
      </c>
      <c r="M493" s="8">
        <f>HYPERLINK("https://dart.fss.or.kr/dsaf001/main.do?rcpNo=20260304800697", "공시열람")</f>
        <v/>
      </c>
    </row>
    <row r="494" ht="22" customHeight="1">
      <c r="A494" s="2" t="inlineStr">
        <is>
          <t>2026-03-04</t>
        </is>
      </c>
      <c r="B494" s="3" t="inlineStr">
        <is>
          <t>유라클</t>
        </is>
      </c>
      <c r="C494" s="2" t="inlineStr">
        <is>
          <t>088340</t>
        </is>
      </c>
      <c r="D494" s="2" t="inlineStr">
        <is>
          <t>대량보유</t>
        </is>
      </c>
      <c r="E494" s="3" t="inlineStr">
        <is>
          <t>조준희</t>
        </is>
      </c>
      <c r="F494" s="3" t="inlineStr">
        <is>
          <t>특별관계자</t>
        </is>
      </c>
      <c r="G494" s="3" t="inlineStr">
        <is>
          <t>장내매수(+)</t>
        </is>
      </c>
      <c r="H494" s="15" t="n">
        <v>10000</v>
      </c>
      <c r="I494" s="6" t="n">
        <v>12138</v>
      </c>
      <c r="J494" s="6" t="n">
        <v>626780</v>
      </c>
      <c r="K494" s="16" t="n">
        <v>14</v>
      </c>
      <c r="L494" s="2" t="inlineStr">
        <is>
          <t>20260304000662</t>
        </is>
      </c>
      <c r="M494" s="8">
        <f>HYPERLINK("https://dart.fss.or.kr/dsaf001/main.do?rcpNo=20260304000662", "공시열람")</f>
        <v/>
      </c>
    </row>
    <row r="495" ht="22" customHeight="1">
      <c r="A495" s="2" t="inlineStr">
        <is>
          <t>2026-03-04</t>
        </is>
      </c>
      <c r="B495" s="3" t="inlineStr">
        <is>
          <t>피플바이오</t>
        </is>
      </c>
      <c r="C495" s="2" t="inlineStr">
        <is>
          <t>304840</t>
        </is>
      </c>
      <c r="D495" s="2" t="inlineStr">
        <is>
          <t>대량보유</t>
        </is>
      </c>
      <c r="E495" s="3" t="inlineStr">
        <is>
          <t>(유)휴먼데이타</t>
        </is>
      </c>
      <c r="F495" s="3" t="inlineStr">
        <is>
          <t>보고자</t>
        </is>
      </c>
      <c r="G495" s="3" t="inlineStr">
        <is>
          <t>영구전환사채의 담보제공 계약 체결</t>
        </is>
      </c>
      <c r="H495" s="6" t="inlineStr"/>
      <c r="I495" s="6" t="inlineStr"/>
      <c r="J495" s="6" t="n">
        <v>28825910</v>
      </c>
      <c r="K495" s="16" t="n">
        <v>56.92</v>
      </c>
      <c r="L495" s="2" t="inlineStr">
        <is>
          <t>20260304000590</t>
        </is>
      </c>
      <c r="M495" s="8">
        <f>HYPERLINK("https://dart.fss.or.kr/dsaf001/main.do?rcpNo=20260304000590", "공시열람")</f>
        <v/>
      </c>
    </row>
    <row r="496" ht="22" customHeight="1">
      <c r="A496" s="2" t="inlineStr">
        <is>
          <t>2026-03-04</t>
        </is>
      </c>
      <c r="B496" s="3" t="inlineStr">
        <is>
          <t>엑셈</t>
        </is>
      </c>
      <c r="C496" s="2" t="inlineStr">
        <is>
          <t>205100</t>
        </is>
      </c>
      <c r="D496" s="2" t="inlineStr">
        <is>
          <t>대량보유</t>
        </is>
      </c>
      <c r="E496" s="3" t="inlineStr">
        <is>
          <t>조종암</t>
        </is>
      </c>
      <c r="F496" s="3" t="inlineStr">
        <is>
          <t>보고자</t>
        </is>
      </c>
      <c r="G496" s="3" t="inlineStr">
        <is>
          <t>보고자의 주식담보계약 만기 연장</t>
        </is>
      </c>
      <c r="H496" s="6" t="inlineStr"/>
      <c r="I496" s="6" t="inlineStr"/>
      <c r="J496" s="6" t="n">
        <v>31023853</v>
      </c>
      <c r="K496" s="16" t="n">
        <v>10</v>
      </c>
      <c r="L496" s="2" t="inlineStr">
        <is>
          <t>20260304000537</t>
        </is>
      </c>
      <c r="M496" s="8">
        <f>HYPERLINK("https://dart.fss.or.kr/dsaf001/main.do?rcpNo=20260304000537", "공시열람")</f>
        <v/>
      </c>
    </row>
    <row r="497" ht="22" customHeight="1">
      <c r="A497" s="2" t="inlineStr">
        <is>
          <t>2026-03-04</t>
        </is>
      </c>
      <c r="B497" s="3" t="inlineStr">
        <is>
          <t>신흥</t>
        </is>
      </c>
      <c r="C497" s="2" t="inlineStr">
        <is>
          <t>004080</t>
        </is>
      </c>
      <c r="D497" s="2" t="inlineStr">
        <is>
          <t>임원보고</t>
        </is>
      </c>
      <c r="E497" s="3" t="inlineStr">
        <is>
          <t>-</t>
        </is>
      </c>
      <c r="F497" s="3" t="inlineStr">
        <is>
          <t>-</t>
        </is>
      </c>
      <c r="G497" s="3" t="inlineStr">
        <is>
          <t>-</t>
        </is>
      </c>
      <c r="H497" s="6" t="inlineStr"/>
      <c r="I497" s="6" t="inlineStr"/>
      <c r="J497" s="6" t="inlineStr"/>
      <c r="K497" s="16" t="n">
        <v>12</v>
      </c>
      <c r="L497" s="2" t="inlineStr">
        <is>
          <t>20260304800374</t>
        </is>
      </c>
      <c r="M497" s="8">
        <f>HYPERLINK("https://dart.fss.or.kr/dsaf001/main.do?rcpNo=20260304800374", "공시열람")</f>
        <v/>
      </c>
    </row>
    <row r="498" ht="22" customHeight="1">
      <c r="A498" s="2" t="inlineStr">
        <is>
          <t>2026-03-04</t>
        </is>
      </c>
      <c r="B498" s="3" t="inlineStr">
        <is>
          <t>한국앤컴퍼니</t>
        </is>
      </c>
      <c r="C498" s="2" t="inlineStr">
        <is>
          <t>000240</t>
        </is>
      </c>
      <c r="D498" s="2" t="inlineStr">
        <is>
          <t>대량보유</t>
        </is>
      </c>
      <c r="E498" s="3" t="inlineStr">
        <is>
          <t>조현범</t>
        </is>
      </c>
      <c r="F498" s="3" t="inlineStr">
        <is>
          <t>보고자</t>
        </is>
      </c>
      <c r="G498" s="3" t="inlineStr">
        <is>
          <t>보유주식에 관한 계약의 변경</t>
        </is>
      </c>
      <c r="H498" s="6" t="inlineStr"/>
      <c r="I498" s="6" t="inlineStr"/>
      <c r="J498" s="6" t="n">
        <v>44861150</v>
      </c>
      <c r="K498" s="16" t="n">
        <v>9</v>
      </c>
      <c r="L498" s="2" t="inlineStr">
        <is>
          <t>20260304000368</t>
        </is>
      </c>
      <c r="M498" s="8">
        <f>HYPERLINK("https://dart.fss.or.kr/dsaf001/main.do?rcpNo=20260304000368", "공시열람")</f>
        <v/>
      </c>
    </row>
    <row r="499" ht="22" customHeight="1">
      <c r="A499" s="2" t="inlineStr">
        <is>
          <t>2026-03-04</t>
        </is>
      </c>
      <c r="B499" s="3" t="inlineStr">
        <is>
          <t>티비에이치글로벌</t>
        </is>
      </c>
      <c r="C499" s="2" t="inlineStr">
        <is>
          <t>084870</t>
        </is>
      </c>
      <c r="D499" s="2" t="inlineStr">
        <is>
          <t>임원보고</t>
        </is>
      </c>
      <c r="E499" s="3" t="inlineStr">
        <is>
          <t>-</t>
        </is>
      </c>
      <c r="F499" s="3" t="inlineStr">
        <is>
          <t>-</t>
        </is>
      </c>
      <c r="G499" s="3" t="inlineStr">
        <is>
          <t>-</t>
        </is>
      </c>
      <c r="H499" s="6" t="inlineStr"/>
      <c r="I499" s="6" t="inlineStr"/>
      <c r="J499" s="6" t="inlineStr"/>
      <c r="K499" s="16" t="n">
        <v>12</v>
      </c>
      <c r="L499" s="2" t="inlineStr">
        <is>
          <t>20260304800347</t>
        </is>
      </c>
      <c r="M499" s="8">
        <f>HYPERLINK("https://dart.fss.or.kr/dsaf001/main.do?rcpNo=20260304800347", "공시열람")</f>
        <v/>
      </c>
    </row>
    <row r="500" ht="22" customHeight="1">
      <c r="A500" s="2" t="inlineStr">
        <is>
          <t>2026-03-04</t>
        </is>
      </c>
      <c r="B500" s="3" t="inlineStr">
        <is>
          <t>대한해운</t>
        </is>
      </c>
      <c r="C500" s="2" t="inlineStr">
        <is>
          <t>005880</t>
        </is>
      </c>
      <c r="D500" s="2" t="inlineStr">
        <is>
          <t>대량보유</t>
        </is>
      </c>
      <c r="E500" s="3" t="inlineStr">
        <is>
          <t>에스엠상선(주)</t>
        </is>
      </c>
      <c r="F500" s="3" t="inlineStr">
        <is>
          <t>보고자</t>
        </is>
      </c>
      <c r="G500" s="3" t="inlineStr">
        <is>
          <t>- 특별관계자 (주)우방의 보유 주식에 관한 신규 주식담보대출 체결</t>
        </is>
      </c>
      <c r="H500" s="6" t="inlineStr"/>
      <c r="I500" s="6" t="inlineStr"/>
      <c r="J500" s="6" t="n">
        <v>157528554</v>
      </c>
      <c r="K500" s="16" t="n">
        <v>2</v>
      </c>
      <c r="L500" s="2" t="inlineStr">
        <is>
          <t>20260304000317</t>
        </is>
      </c>
      <c r="M500" s="8">
        <f>HYPERLINK("https://dart.fss.or.kr/dsaf001/main.do?rcpNo=20260304000317", "공시열람")</f>
        <v/>
      </c>
    </row>
    <row r="501" ht="22" customHeight="1">
      <c r="A501" s="2" t="inlineStr">
        <is>
          <t>2026-03-04</t>
        </is>
      </c>
      <c r="B501" s="3" t="inlineStr">
        <is>
          <t>핑거스토리</t>
        </is>
      </c>
      <c r="C501" s="2" t="inlineStr">
        <is>
          <t>417180</t>
        </is>
      </c>
      <c r="D501" s="2" t="inlineStr">
        <is>
          <t>대량보유</t>
        </is>
      </c>
      <c r="E501" s="3" t="inlineStr">
        <is>
          <t>문양근</t>
        </is>
      </c>
      <c r="F501" s="3" t="inlineStr">
        <is>
          <t>특별관계자</t>
        </is>
      </c>
      <c r="G501" s="3" t="inlineStr">
        <is>
          <t>장내매수(+)</t>
        </is>
      </c>
      <c r="H501" s="15" t="n">
        <v>174000</v>
      </c>
      <c r="I501" s="6" t="n">
        <v>1772</v>
      </c>
      <c r="J501" s="6" t="n">
        <v>7109069</v>
      </c>
      <c r="K501" s="16" t="n">
        <v>4</v>
      </c>
      <c r="L501" s="2" t="inlineStr">
        <is>
          <t>20260304000260</t>
        </is>
      </c>
      <c r="M501" s="8">
        <f>HYPERLINK("https://dart.fss.or.kr/dsaf001/main.do?rcpNo=20260304000260", "공시열람")</f>
        <v/>
      </c>
    </row>
    <row r="502" ht="22" customHeight="1">
      <c r="A502" s="2" t="inlineStr">
        <is>
          <t>2026-03-04</t>
        </is>
      </c>
      <c r="B502" s="3" t="inlineStr">
        <is>
          <t>메디톡스</t>
        </is>
      </c>
      <c r="C502" s="2" t="inlineStr">
        <is>
          <t>086900</t>
        </is>
      </c>
      <c r="D502" s="2" t="inlineStr">
        <is>
          <t>대량보유</t>
        </is>
      </c>
      <c r="E502" s="3" t="inlineStr">
        <is>
          <t>박경희</t>
        </is>
      </c>
      <c r="F502" s="3" t="inlineStr">
        <is>
          <t>특별관계자</t>
        </is>
      </c>
      <c r="G502" s="3" t="inlineStr">
        <is>
          <t>장내매수(+)</t>
        </is>
      </c>
      <c r="H502" s="15" t="n">
        <v>100</v>
      </c>
      <c r="I502" s="6" t="n">
        <v>128000</v>
      </c>
      <c r="J502" s="6" t="n">
        <v>13726</v>
      </c>
      <c r="K502" s="16" t="n">
        <v>6</v>
      </c>
      <c r="L502" s="2" t="inlineStr">
        <is>
          <t>20260304000181</t>
        </is>
      </c>
      <c r="M502" s="8">
        <f>HYPERLINK("https://dart.fss.or.kr/dsaf001/main.do?rcpNo=20260304000181", "공시열람")</f>
        <v/>
      </c>
    </row>
    <row r="503" ht="22" customHeight="1">
      <c r="A503" s="2" t="inlineStr">
        <is>
          <t>2026-03-04</t>
        </is>
      </c>
      <c r="B503" s="3" t="inlineStr">
        <is>
          <t>이수페타시스</t>
        </is>
      </c>
      <c r="C503" s="2" t="inlineStr">
        <is>
          <t>007660</t>
        </is>
      </c>
      <c r="D503" s="2" t="inlineStr">
        <is>
          <t>대량보유</t>
        </is>
      </c>
      <c r="E503" s="3" t="inlineStr">
        <is>
          <t>BlackRockFundAdvisors</t>
        </is>
      </c>
      <c r="F503" s="3" t="inlineStr">
        <is>
          <t>특별관계자</t>
        </is>
      </c>
      <c r="G503" s="3" t="inlineStr">
        <is>
          <t>장내매수(+), 장내매도(-)</t>
        </is>
      </c>
      <c r="H503" s="17" t="n">
        <v>-601884</v>
      </c>
      <c r="I503" s="6" t="n">
        <v>107234</v>
      </c>
      <c r="J503" s="6" t="n">
        <v>1528507</v>
      </c>
      <c r="K503" s="16" t="n">
        <v>10</v>
      </c>
      <c r="L503" s="2" t="inlineStr">
        <is>
          <t>20260304000180</t>
        </is>
      </c>
      <c r="M503" s="8">
        <f>HYPERLINK("https://dart.fss.or.kr/dsaf001/main.do?rcpNo=20260304000180", "공시열람")</f>
        <v/>
      </c>
    </row>
    <row r="504" ht="22" customHeight="1">
      <c r="A504" s="2" t="inlineStr">
        <is>
          <t>2026-03-04</t>
        </is>
      </c>
      <c r="B504" s="3" t="inlineStr">
        <is>
          <t>이수페타시스</t>
        </is>
      </c>
      <c r="C504" s="2" t="inlineStr">
        <is>
          <t>007660</t>
        </is>
      </c>
      <c r="D504" s="2" t="inlineStr">
        <is>
          <t>대량보유</t>
        </is>
      </c>
      <c r="E504" s="3" t="inlineStr">
        <is>
          <t>BlackRockInstitutionalTrustCompany,N.A.</t>
        </is>
      </c>
      <c r="F504" s="3" t="inlineStr">
        <is>
          <t>특별관계자</t>
        </is>
      </c>
      <c r="G504" s="3" t="inlineStr">
        <is>
          <t>장내매도(-), 장내매수(+)</t>
        </is>
      </c>
      <c r="H504" s="15" t="n">
        <v>3075</v>
      </c>
      <c r="I504" s="6" t="n">
        <v>111310</v>
      </c>
      <c r="J504" s="6" t="n">
        <v>498710</v>
      </c>
      <c r="K504" s="16" t="n">
        <v>10</v>
      </c>
      <c r="L504" s="2" t="inlineStr">
        <is>
          <t>20260304000180</t>
        </is>
      </c>
      <c r="M504" s="8">
        <f>HYPERLINK("https://dart.fss.or.kr/dsaf001/main.do?rcpNo=20260304000180", "공시열람")</f>
        <v/>
      </c>
    </row>
    <row r="505" ht="22" customHeight="1">
      <c r="A505" s="2" t="inlineStr">
        <is>
          <t>2026-03-04</t>
        </is>
      </c>
      <c r="B505" s="3" t="inlineStr">
        <is>
          <t>이수페타시스</t>
        </is>
      </c>
      <c r="C505" s="2" t="inlineStr">
        <is>
          <t>007660</t>
        </is>
      </c>
      <c r="D505" s="2" t="inlineStr">
        <is>
          <t>대량보유</t>
        </is>
      </c>
      <c r="E505" s="3" t="inlineStr">
        <is>
          <t>BlackRockAdvisors(UK)Limited</t>
        </is>
      </c>
      <c r="F505" s="3" t="inlineStr">
        <is>
          <t>특별관계자</t>
        </is>
      </c>
      <c r="G505" s="3" t="inlineStr">
        <is>
          <t>장내매수(+), 장내매도(-)</t>
        </is>
      </c>
      <c r="H505" s="17" t="n">
        <v>-4908</v>
      </c>
      <c r="I505" s="6" t="n">
        <v>108863</v>
      </c>
      <c r="J505" s="6" t="n">
        <v>234666</v>
      </c>
      <c r="K505" s="16" t="n">
        <v>10</v>
      </c>
      <c r="L505" s="2" t="inlineStr">
        <is>
          <t>20260304000180</t>
        </is>
      </c>
      <c r="M505" s="8">
        <f>HYPERLINK("https://dart.fss.or.kr/dsaf001/main.do?rcpNo=20260304000180", "공시열람")</f>
        <v/>
      </c>
    </row>
    <row r="506" ht="22" customHeight="1">
      <c r="A506" s="2" t="inlineStr">
        <is>
          <t>2026-03-04</t>
        </is>
      </c>
      <c r="B506" s="3" t="inlineStr">
        <is>
          <t>이수페타시스</t>
        </is>
      </c>
      <c r="C506" s="2" t="inlineStr">
        <is>
          <t>007660</t>
        </is>
      </c>
      <c r="D506" s="2" t="inlineStr">
        <is>
          <t>대량보유</t>
        </is>
      </c>
      <c r="E506" s="3" t="inlineStr">
        <is>
          <t>BlackRockFinancialManagement,Inc</t>
        </is>
      </c>
      <c r="F506" s="3" t="inlineStr">
        <is>
          <t>특별관계자</t>
        </is>
      </c>
      <c r="G506" s="3" t="inlineStr">
        <is>
          <t>장내매수(+), 장내매도(-)</t>
        </is>
      </c>
      <c r="H506" s="15" t="n">
        <v>639</v>
      </c>
      <c r="I506" s="6" t="n">
        <v>105899</v>
      </c>
      <c r="J506" s="6" t="n">
        <v>11237</v>
      </c>
      <c r="K506" s="16" t="n">
        <v>10</v>
      </c>
      <c r="L506" s="2" t="inlineStr">
        <is>
          <t>20260304000180</t>
        </is>
      </c>
      <c r="M506" s="8">
        <f>HYPERLINK("https://dart.fss.or.kr/dsaf001/main.do?rcpNo=20260304000180", "공시열람")</f>
        <v/>
      </c>
    </row>
    <row r="507" ht="22" customHeight="1">
      <c r="A507" s="2" t="inlineStr">
        <is>
          <t>2026-03-04</t>
        </is>
      </c>
      <c r="B507" s="3" t="inlineStr">
        <is>
          <t>이수페타시스</t>
        </is>
      </c>
      <c r="C507" s="2" t="inlineStr">
        <is>
          <t>007660</t>
        </is>
      </c>
      <c r="D507" s="2" t="inlineStr">
        <is>
          <t>대량보유</t>
        </is>
      </c>
      <c r="E507" s="3" t="inlineStr">
        <is>
          <t>BlackRockInvestmentManagement,LLC</t>
        </is>
      </c>
      <c r="F507" s="3" t="inlineStr">
        <is>
          <t>특별관계자</t>
        </is>
      </c>
      <c r="G507" s="3" t="inlineStr">
        <is>
          <t>장내매수(+), 장내매도(-)</t>
        </is>
      </c>
      <c r="H507" s="17" t="n">
        <v>-137357</v>
      </c>
      <c r="I507" s="6" t="n">
        <v>103544</v>
      </c>
      <c r="J507" s="6" t="n">
        <v>611169</v>
      </c>
      <c r="K507" s="16" t="n">
        <v>10</v>
      </c>
      <c r="L507" s="2" t="inlineStr">
        <is>
          <t>20260304000180</t>
        </is>
      </c>
      <c r="M507" s="8">
        <f>HYPERLINK("https://dart.fss.or.kr/dsaf001/main.do?rcpNo=20260304000180", "공시열람")</f>
        <v/>
      </c>
    </row>
    <row r="508" ht="22" customHeight="1">
      <c r="A508" s="2" t="inlineStr">
        <is>
          <t>2026-03-04</t>
        </is>
      </c>
      <c r="B508" s="3" t="inlineStr">
        <is>
          <t>이수페타시스</t>
        </is>
      </c>
      <c r="C508" s="2" t="inlineStr">
        <is>
          <t>007660</t>
        </is>
      </c>
      <c r="D508" s="2" t="inlineStr">
        <is>
          <t>대량보유</t>
        </is>
      </c>
      <c r="E508" s="3" t="inlineStr">
        <is>
          <t>BlackRockInvestmentManagement(UK)Limited</t>
        </is>
      </c>
      <c r="F508" s="3" t="inlineStr">
        <is>
          <t>특별관계자</t>
        </is>
      </c>
      <c r="G508" s="3" t="inlineStr">
        <is>
          <t>장내매도(-)</t>
        </is>
      </c>
      <c r="H508" s="17" t="n">
        <v>-142</v>
      </c>
      <c r="I508" s="6" t="n">
        <v>103243</v>
      </c>
      <c r="J508" s="6" t="n">
        <v>1145</v>
      </c>
      <c r="K508" s="16" t="n">
        <v>10</v>
      </c>
      <c r="L508" s="2" t="inlineStr">
        <is>
          <t>20260304000180</t>
        </is>
      </c>
      <c r="M508" s="8">
        <f>HYPERLINK("https://dart.fss.or.kr/dsaf001/main.do?rcpNo=20260304000180", "공시열람")</f>
        <v/>
      </c>
    </row>
    <row r="509" ht="22" customHeight="1">
      <c r="A509" s="2" t="inlineStr">
        <is>
          <t>2026-03-04</t>
        </is>
      </c>
      <c r="B509" s="3" t="inlineStr">
        <is>
          <t>이수페타시스</t>
        </is>
      </c>
      <c r="C509" s="2" t="inlineStr">
        <is>
          <t>007660</t>
        </is>
      </c>
      <c r="D509" s="2" t="inlineStr">
        <is>
          <t>대량보유</t>
        </is>
      </c>
      <c r="E509" s="3" t="inlineStr">
        <is>
          <t>BlackRockAssetManagementCanadaLimited</t>
        </is>
      </c>
      <c r="F509" s="3" t="inlineStr">
        <is>
          <t>특별관계자</t>
        </is>
      </c>
      <c r="G509" s="3" t="inlineStr">
        <is>
          <t>장내매수(+)</t>
        </is>
      </c>
      <c r="H509" s="15" t="n">
        <v>195</v>
      </c>
      <c r="I509" s="6" t="n">
        <v>105292</v>
      </c>
      <c r="J509" s="6" t="n">
        <v>11572</v>
      </c>
      <c r="K509" s="16" t="n">
        <v>10</v>
      </c>
      <c r="L509" s="2" t="inlineStr">
        <is>
          <t>20260304000180</t>
        </is>
      </c>
      <c r="M509" s="8">
        <f>HYPERLINK("https://dart.fss.or.kr/dsaf001/main.do?rcpNo=20260304000180", "공시열람")</f>
        <v/>
      </c>
    </row>
    <row r="510" ht="22" customHeight="1">
      <c r="A510" s="2" t="inlineStr">
        <is>
          <t>2026-03-04</t>
        </is>
      </c>
      <c r="B510" s="3" t="inlineStr">
        <is>
          <t>자연과환경</t>
        </is>
      </c>
      <c r="C510" s="2" t="inlineStr">
        <is>
          <t>043910</t>
        </is>
      </c>
      <c r="D510" s="2" t="inlineStr">
        <is>
          <t>대량보유</t>
        </is>
      </c>
      <c r="E510" s="3" t="inlineStr">
        <is>
          <t>(주)데이터테크놀로지</t>
        </is>
      </c>
      <c r="F510" s="3" t="inlineStr">
        <is>
          <t>특별관계자</t>
        </is>
      </c>
      <c r="G510" s="3" t="inlineStr">
        <is>
          <t>장내매수(+), 행사가액조정</t>
        </is>
      </c>
      <c r="H510" s="15" t="n">
        <v>1058539</v>
      </c>
      <c r="I510" s="6" t="n">
        <v>593</v>
      </c>
      <c r="J510" s="6" t="n">
        <v>3436426</v>
      </c>
      <c r="K510" s="16" t="n">
        <v>2</v>
      </c>
      <c r="L510" s="2" t="inlineStr">
        <is>
          <t>20260304000110</t>
        </is>
      </c>
      <c r="M510" s="8">
        <f>HYPERLINK("https://dart.fss.or.kr/dsaf001/main.do?rcpNo=20260304000110", "공시열람")</f>
        <v/>
      </c>
    </row>
    <row r="511" ht="22" customHeight="1">
      <c r="A511" s="2" t="inlineStr">
        <is>
          <t>2026-03-04</t>
        </is>
      </c>
      <c r="B511" s="3" t="inlineStr">
        <is>
          <t>자연과환경</t>
        </is>
      </c>
      <c r="C511" s="2" t="inlineStr">
        <is>
          <t>043910</t>
        </is>
      </c>
      <c r="D511" s="2" t="inlineStr">
        <is>
          <t>대량보유</t>
        </is>
      </c>
      <c r="E511" s="3" t="inlineStr">
        <is>
          <t>이병용</t>
        </is>
      </c>
      <c r="F511" s="3" t="inlineStr">
        <is>
          <t>특별관계자</t>
        </is>
      </c>
      <c r="G511" s="3" t="inlineStr">
        <is>
          <t>장내매수(+)</t>
        </is>
      </c>
      <c r="H511" s="15" t="n">
        <v>145178</v>
      </c>
      <c r="I511" s="6" t="n">
        <v>650</v>
      </c>
      <c r="J511" s="6" t="n">
        <v>3297734</v>
      </c>
      <c r="K511" s="16" t="n">
        <v>2</v>
      </c>
      <c r="L511" s="2" t="inlineStr">
        <is>
          <t>20260304000110</t>
        </is>
      </c>
      <c r="M511" s="8">
        <f>HYPERLINK("https://dart.fss.or.kr/dsaf001/main.do?rcpNo=20260304000110", "공시열람")</f>
        <v/>
      </c>
    </row>
    <row r="512" ht="22" customHeight="1">
      <c r="A512" s="2" t="inlineStr">
        <is>
          <t>2026-03-05</t>
        </is>
      </c>
      <c r="B512" s="3" t="inlineStr">
        <is>
          <t>케이씨씨글라스</t>
        </is>
      </c>
      <c r="C512" s="2" t="inlineStr">
        <is>
          <t>344820</t>
        </is>
      </c>
      <c r="D512" s="2" t="inlineStr">
        <is>
          <t>대량보유</t>
        </is>
      </c>
      <c r="E512" s="3" t="inlineStr">
        <is>
          <t>정연선</t>
        </is>
      </c>
      <c r="F512" s="3" t="inlineStr">
        <is>
          <t>특별관계자</t>
        </is>
      </c>
      <c r="G512" s="3" t="inlineStr">
        <is>
          <t>장내매수(+)</t>
        </is>
      </c>
      <c r="H512" s="15" t="n">
        <v>149503</v>
      </c>
      <c r="I512" s="6" t="n">
        <v>29566</v>
      </c>
      <c r="J512" s="6" t="n">
        <v>471000</v>
      </c>
      <c r="K512" s="16" t="n">
        <v>16</v>
      </c>
      <c r="L512" s="2" t="inlineStr">
        <is>
          <t>20260305001612</t>
        </is>
      </c>
      <c r="M512" s="8">
        <f>HYPERLINK("https://dart.fss.or.kr/dsaf001/main.do?rcpNo=20260305001612", "공시열람")</f>
        <v/>
      </c>
    </row>
    <row r="513" ht="22" customHeight="1">
      <c r="A513" s="2" t="inlineStr">
        <is>
          <t>2026-03-05</t>
        </is>
      </c>
      <c r="B513" s="3" t="inlineStr">
        <is>
          <t>우신시스템</t>
        </is>
      </c>
      <c r="C513" s="2" t="inlineStr">
        <is>
          <t>017370</t>
        </is>
      </c>
      <c r="D513" s="2" t="inlineStr">
        <is>
          <t>대량보유</t>
        </is>
      </c>
      <c r="E513" s="3" t="inlineStr">
        <is>
          <t>허우영</t>
        </is>
      </c>
      <c r="F513" s="3" t="inlineStr">
        <is>
          <t>보고자</t>
        </is>
      </c>
      <c r="G513" s="3" t="inlineStr">
        <is>
          <t>보고자의 주식담보대출 연장</t>
        </is>
      </c>
      <c r="H513" s="6" t="inlineStr"/>
      <c r="I513" s="6" t="inlineStr"/>
      <c r="J513" s="6" t="n">
        <v>6719787</v>
      </c>
      <c r="K513" s="16" t="n">
        <v>6</v>
      </c>
      <c r="L513" s="2" t="inlineStr">
        <is>
          <t>20260305001610</t>
        </is>
      </c>
      <c r="M513" s="8">
        <f>HYPERLINK("https://dart.fss.or.kr/dsaf001/main.do?rcpNo=20260305001610", "공시열람")</f>
        <v/>
      </c>
    </row>
    <row r="514" ht="22" customHeight="1">
      <c r="A514" s="2" t="inlineStr">
        <is>
          <t>2026-03-05</t>
        </is>
      </c>
      <c r="B514" s="3" t="inlineStr">
        <is>
          <t>오리콤</t>
        </is>
      </c>
      <c r="C514" s="2" t="inlineStr">
        <is>
          <t>010470</t>
        </is>
      </c>
      <c r="D514" s="2" t="inlineStr">
        <is>
          <t>대량보유</t>
        </is>
      </c>
      <c r="E514" s="3" t="inlineStr">
        <is>
          <t>박혜원</t>
        </is>
      </c>
      <c r="F514" s="3" t="inlineStr">
        <is>
          <t>특별관계자</t>
        </is>
      </c>
      <c r="G514" s="3" t="inlineStr">
        <is>
          <t>기타(-), 자사주상여금(+)</t>
        </is>
      </c>
      <c r="H514" s="17" t="n">
        <v>-48910</v>
      </c>
      <c r="I514" s="6" t="inlineStr"/>
      <c r="J514" s="6" t="n">
        <v>77938</v>
      </c>
      <c r="K514" s="16" t="n">
        <v>4</v>
      </c>
      <c r="L514" s="2" t="inlineStr">
        <is>
          <t>20260305001609</t>
        </is>
      </c>
      <c r="M514" s="8">
        <f>HYPERLINK("https://dart.fss.or.kr/dsaf001/main.do?rcpNo=20260305001609", "공시열람")</f>
        <v/>
      </c>
    </row>
    <row r="515" ht="22" customHeight="1">
      <c r="A515" s="2" t="inlineStr">
        <is>
          <t>2026-03-05</t>
        </is>
      </c>
      <c r="B515" s="3" t="inlineStr">
        <is>
          <t>오리콤</t>
        </is>
      </c>
      <c r="C515" s="2" t="inlineStr">
        <is>
          <t>010470</t>
        </is>
      </c>
      <c r="D515" s="2" t="inlineStr">
        <is>
          <t>대량보유</t>
        </is>
      </c>
      <c r="E515" s="3" t="inlineStr">
        <is>
          <t>박태원</t>
        </is>
      </c>
      <c r="F515" s="3" t="inlineStr">
        <is>
          <t>특별관계자</t>
        </is>
      </c>
      <c r="G515" s="3" t="inlineStr">
        <is>
          <t>장내매수(+)</t>
        </is>
      </c>
      <c r="H515" s="15" t="n">
        <v>13048</v>
      </c>
      <c r="I515" s="6" t="n">
        <v>5777</v>
      </c>
      <c r="J515" s="6" t="n">
        <v>42248</v>
      </c>
      <c r="K515" s="16" t="n">
        <v>4</v>
      </c>
      <c r="L515" s="2" t="inlineStr">
        <is>
          <t>20260305001609</t>
        </is>
      </c>
      <c r="M515" s="8">
        <f>HYPERLINK("https://dart.fss.or.kr/dsaf001/main.do?rcpNo=20260305001609", "공시열람")</f>
        <v/>
      </c>
    </row>
    <row r="516" ht="22" customHeight="1">
      <c r="A516" s="2" t="inlineStr">
        <is>
          <t>2026-03-05</t>
        </is>
      </c>
      <c r="B516" s="3" t="inlineStr">
        <is>
          <t>두산밥캣</t>
        </is>
      </c>
      <c r="C516" s="2" t="inlineStr">
        <is>
          <t>241560</t>
        </is>
      </c>
      <c r="D516" s="2" t="inlineStr">
        <is>
          <t>임원보고</t>
        </is>
      </c>
      <c r="E516" s="3" t="inlineStr">
        <is>
          <t>-</t>
        </is>
      </c>
      <c r="F516" s="3" t="inlineStr">
        <is>
          <t>-</t>
        </is>
      </c>
      <c r="G516" s="3" t="inlineStr">
        <is>
          <t>-</t>
        </is>
      </c>
      <c r="H516" s="6" t="inlineStr"/>
      <c r="I516" s="6" t="inlineStr"/>
      <c r="J516" s="6" t="inlineStr"/>
      <c r="K516" s="16" t="n">
        <v>12</v>
      </c>
      <c r="L516" s="2" t="inlineStr">
        <is>
          <t>20260305801815</t>
        </is>
      </c>
      <c r="M516" s="8">
        <f>HYPERLINK("https://dart.fss.or.kr/dsaf001/main.do?rcpNo=20260305801815", "공시열람")</f>
        <v/>
      </c>
    </row>
    <row r="517" ht="22" customHeight="1">
      <c r="A517" s="2" t="inlineStr">
        <is>
          <t>2026-03-05</t>
        </is>
      </c>
      <c r="B517" s="3" t="inlineStr">
        <is>
          <t>iM금융지주</t>
        </is>
      </c>
      <c r="C517" s="2" t="inlineStr">
        <is>
          <t>139130</t>
        </is>
      </c>
      <c r="D517" s="2" t="inlineStr">
        <is>
          <t>임원보고</t>
        </is>
      </c>
      <c r="E517" s="3" t="inlineStr">
        <is>
          <t>-</t>
        </is>
      </c>
      <c r="F517" s="3" t="inlineStr">
        <is>
          <t>-</t>
        </is>
      </c>
      <c r="G517" s="3" t="inlineStr">
        <is>
          <t>-</t>
        </is>
      </c>
      <c r="H517" s="6" t="inlineStr"/>
      <c r="I517" s="6" t="inlineStr"/>
      <c r="J517" s="6" t="inlineStr"/>
      <c r="K517" s="16" t="n">
        <v>12</v>
      </c>
      <c r="L517" s="2" t="inlineStr">
        <is>
          <t>20260305801811</t>
        </is>
      </c>
      <c r="M517" s="8">
        <f>HYPERLINK("https://dart.fss.or.kr/dsaf001/main.do?rcpNo=20260305801811", "공시열람")</f>
        <v/>
      </c>
    </row>
    <row r="518" ht="22" customHeight="1">
      <c r="A518" s="2" t="inlineStr">
        <is>
          <t>2026-03-05</t>
        </is>
      </c>
      <c r="B518" s="3" t="inlineStr">
        <is>
          <t>라온피플</t>
        </is>
      </c>
      <c r="C518" s="2" t="inlineStr">
        <is>
          <t>300120</t>
        </is>
      </c>
      <c r="D518" s="2" t="inlineStr">
        <is>
          <t>대량보유</t>
        </is>
      </c>
      <c r="E518" s="3" t="inlineStr">
        <is>
          <t>이석중</t>
        </is>
      </c>
      <c r="F518" s="3" t="inlineStr">
        <is>
          <t>특별관계자</t>
        </is>
      </c>
      <c r="G518" s="3" t="inlineStr">
        <is>
          <t>기타(-), 유상신주취득(+)</t>
        </is>
      </c>
      <c r="H518" s="6" t="inlineStr"/>
      <c r="I518" s="6" t="n">
        <v>1360</v>
      </c>
      <c r="J518" s="6" t="n">
        <v>10074820</v>
      </c>
      <c r="K518" s="16" t="n">
        <v>3</v>
      </c>
      <c r="L518" s="2" t="inlineStr">
        <is>
          <t>20260305001576</t>
        </is>
      </c>
      <c r="M518" s="8">
        <f>HYPERLINK("https://dart.fss.or.kr/dsaf001/main.do?rcpNo=20260305001576", "공시열람")</f>
        <v/>
      </c>
    </row>
    <row r="519" ht="22" customHeight="1">
      <c r="A519" s="2" t="inlineStr">
        <is>
          <t>2026-03-05</t>
        </is>
      </c>
      <c r="B519" s="3" t="inlineStr">
        <is>
          <t>라온피플</t>
        </is>
      </c>
      <c r="C519" s="2" t="inlineStr">
        <is>
          <t>300120</t>
        </is>
      </c>
      <c r="D519" s="2" t="inlineStr">
        <is>
          <t>대량보유</t>
        </is>
      </c>
      <c r="E519" s="3" t="inlineStr">
        <is>
          <t>노소라</t>
        </is>
      </c>
      <c r="F519" s="3" t="inlineStr">
        <is>
          <t>특별관계자</t>
        </is>
      </c>
      <c r="G519" s="3" t="inlineStr">
        <is>
          <t>기타(-), 유상신주취득(+)</t>
        </is>
      </c>
      <c r="H519" s="6" t="inlineStr"/>
      <c r="I519" s="6" t="n">
        <v>1360</v>
      </c>
      <c r="J519" s="6" t="n">
        <v>1000000</v>
      </c>
      <c r="K519" s="16" t="n">
        <v>3</v>
      </c>
      <c r="L519" s="2" t="inlineStr">
        <is>
          <t>20260305001576</t>
        </is>
      </c>
      <c r="M519" s="8">
        <f>HYPERLINK("https://dart.fss.or.kr/dsaf001/main.do?rcpNo=20260305001576", "공시열람")</f>
        <v/>
      </c>
    </row>
    <row r="520" ht="22" customHeight="1">
      <c r="A520" s="2" t="inlineStr">
        <is>
          <t>2026-03-05</t>
        </is>
      </c>
      <c r="B520" s="3" t="inlineStr">
        <is>
          <t>라온피플</t>
        </is>
      </c>
      <c r="C520" s="2" t="inlineStr">
        <is>
          <t>300120</t>
        </is>
      </c>
      <c r="D520" s="2" t="inlineStr">
        <is>
          <t>대량보유</t>
        </is>
      </c>
      <c r="E520" s="3" t="inlineStr">
        <is>
          <t>윤기욱</t>
        </is>
      </c>
      <c r="F520" s="3" t="inlineStr">
        <is>
          <t>특별관계자</t>
        </is>
      </c>
      <c r="G520" s="3" t="inlineStr">
        <is>
          <t>기타(-), 유상신주취득(+)</t>
        </is>
      </c>
      <c r="H520" s="6" t="inlineStr"/>
      <c r="I520" s="6" t="n">
        <v>1360</v>
      </c>
      <c r="J520" s="6" t="n">
        <v>47463</v>
      </c>
      <c r="K520" s="16" t="n">
        <v>3</v>
      </c>
      <c r="L520" s="2" t="inlineStr">
        <is>
          <t>20260305001576</t>
        </is>
      </c>
      <c r="M520" s="8">
        <f>HYPERLINK("https://dart.fss.or.kr/dsaf001/main.do?rcpNo=20260305001576", "공시열람")</f>
        <v/>
      </c>
    </row>
    <row r="521" ht="22" customHeight="1">
      <c r="A521" s="2" t="inlineStr">
        <is>
          <t>2026-03-05</t>
        </is>
      </c>
      <c r="B521" s="3" t="inlineStr">
        <is>
          <t>엔비알모션</t>
        </is>
      </c>
      <c r="C521" s="2" t="inlineStr">
        <is>
          <t>0004V0</t>
        </is>
      </c>
      <c r="D521" s="2" t="inlineStr">
        <is>
          <t>대량보유</t>
        </is>
      </c>
      <c r="E521" s="3" t="inlineStr">
        <is>
          <t>아이비케이스톤브릿지혁신성장사모투자합자회사</t>
        </is>
      </c>
      <c r="F521" s="3" t="inlineStr">
        <is>
          <t>특별관계자</t>
        </is>
      </c>
      <c r="G521" s="3" t="inlineStr">
        <is>
          <t>장내매도(-)</t>
        </is>
      </c>
      <c r="H521" s="17" t="n">
        <v>-177222</v>
      </c>
      <c r="I521" s="6" t="n">
        <v>21574</v>
      </c>
      <c r="J521" s="6" t="n">
        <v>269443</v>
      </c>
      <c r="K521" s="16" t="n">
        <v>3</v>
      </c>
      <c r="L521" s="2" t="inlineStr">
        <is>
          <t>20260305001572</t>
        </is>
      </c>
      <c r="M521" s="8">
        <f>HYPERLINK("https://dart.fss.or.kr/dsaf001/main.do?rcpNo=20260305001572", "공시열람")</f>
        <v/>
      </c>
    </row>
    <row r="522" ht="22" customHeight="1">
      <c r="A522" s="2" t="inlineStr">
        <is>
          <t>2026-03-05</t>
        </is>
      </c>
      <c r="B522" s="3" t="inlineStr">
        <is>
          <t>엔비알모션</t>
        </is>
      </c>
      <c r="C522" s="2" t="inlineStr">
        <is>
          <t>0004V0</t>
        </is>
      </c>
      <c r="D522" s="2" t="inlineStr">
        <is>
          <t>대량보유</t>
        </is>
      </c>
      <c r="E522" s="3" t="inlineStr">
        <is>
          <t>앨리스-하나에스앤비소부장신기술투자조합</t>
        </is>
      </c>
      <c r="F522" s="3" t="inlineStr">
        <is>
          <t>특별관계자</t>
        </is>
      </c>
      <c r="G522" s="3" t="inlineStr">
        <is>
          <t>장내매도(-)</t>
        </is>
      </c>
      <c r="H522" s="17" t="n">
        <v>-138000</v>
      </c>
      <c r="I522" s="6" t="n">
        <v>19164</v>
      </c>
      <c r="J522" s="6" t="n">
        <v>264000</v>
      </c>
      <c r="K522" s="16" t="n">
        <v>3</v>
      </c>
      <c r="L522" s="2" t="inlineStr">
        <is>
          <t>20260305001572</t>
        </is>
      </c>
      <c r="M522" s="8">
        <f>HYPERLINK("https://dart.fss.or.kr/dsaf001/main.do?rcpNo=20260305001572", "공시열람")</f>
        <v/>
      </c>
    </row>
    <row r="523" ht="22" customHeight="1">
      <c r="A523" s="2" t="inlineStr">
        <is>
          <t>2026-03-05</t>
        </is>
      </c>
      <c r="B523" s="3" t="inlineStr">
        <is>
          <t>코칩</t>
        </is>
      </c>
      <c r="C523" s="2" t="inlineStr">
        <is>
          <t>126730</t>
        </is>
      </c>
      <c r="D523" s="2" t="inlineStr">
        <is>
          <t>대량보유</t>
        </is>
      </c>
      <c r="E523" s="3" t="inlineStr">
        <is>
          <t>윤동호</t>
        </is>
      </c>
      <c r="F523" s="3" t="inlineStr">
        <is>
          <t>특별관계자</t>
        </is>
      </c>
      <c r="G523" s="3" t="inlineStr">
        <is>
          <t>주식매수선택권부여취소(-)</t>
        </is>
      </c>
      <c r="H523" s="17" t="n">
        <v>-45000</v>
      </c>
      <c r="I523" s="6" t="inlineStr"/>
      <c r="J523" s="6" t="inlineStr"/>
      <c r="K523" s="16" t="n">
        <v>10</v>
      </c>
      <c r="L523" s="2" t="inlineStr">
        <is>
          <t>20260305001557</t>
        </is>
      </c>
      <c r="M523" s="8">
        <f>HYPERLINK("https://dart.fss.or.kr/dsaf001/main.do?rcpNo=20260305001557", "공시열람")</f>
        <v/>
      </c>
    </row>
    <row r="524" ht="22" customHeight="1">
      <c r="A524" s="2" t="inlineStr">
        <is>
          <t>2026-03-05</t>
        </is>
      </c>
      <c r="B524" s="3" t="inlineStr">
        <is>
          <t>코칩</t>
        </is>
      </c>
      <c r="C524" s="2" t="inlineStr">
        <is>
          <t>126730</t>
        </is>
      </c>
      <c r="D524" s="2" t="inlineStr">
        <is>
          <t>대량보유</t>
        </is>
      </c>
      <c r="E524" s="3" t="inlineStr">
        <is>
          <t>임병일</t>
        </is>
      </c>
      <c r="F524" s="3" t="inlineStr">
        <is>
          <t>특별관계자</t>
        </is>
      </c>
      <c r="G524" s="3" t="inlineStr">
        <is>
          <t>주식매수선택권부여취소(-)</t>
        </is>
      </c>
      <c r="H524" s="17" t="n">
        <v>-60366</v>
      </c>
      <c r="I524" s="6" t="inlineStr"/>
      <c r="J524" s="6" t="n">
        <v>60364</v>
      </c>
      <c r="K524" s="16" t="n">
        <v>10</v>
      </c>
      <c r="L524" s="2" t="inlineStr">
        <is>
          <t>20260305001557</t>
        </is>
      </c>
      <c r="M524" s="8">
        <f>HYPERLINK("https://dart.fss.or.kr/dsaf001/main.do?rcpNo=20260305001557", "공시열람")</f>
        <v/>
      </c>
    </row>
    <row r="525" ht="22" customHeight="1">
      <c r="A525" s="2" t="inlineStr">
        <is>
          <t>2026-03-05</t>
        </is>
      </c>
      <c r="B525" s="3" t="inlineStr">
        <is>
          <t>탑코미디어</t>
        </is>
      </c>
      <c r="C525" s="2" t="inlineStr">
        <is>
          <t>134580</t>
        </is>
      </c>
      <c r="D525" s="2" t="inlineStr">
        <is>
          <t>대량보유</t>
        </is>
      </c>
      <c r="E525" s="3" t="inlineStr">
        <is>
          <t>김기해</t>
        </is>
      </c>
      <c r="F525" s="3" t="inlineStr">
        <is>
          <t>특별관계자</t>
        </is>
      </c>
      <c r="G525" s="3" t="inlineStr">
        <is>
          <t>자사주상여금(+)</t>
        </is>
      </c>
      <c r="H525" s="15" t="n">
        <v>100000</v>
      </c>
      <c r="I525" s="6" t="n">
        <v>1732</v>
      </c>
      <c r="J525" s="6" t="n">
        <v>239917</v>
      </c>
      <c r="K525" s="16" t="n">
        <v>3</v>
      </c>
      <c r="L525" s="2" t="inlineStr">
        <is>
          <t>20260305001520</t>
        </is>
      </c>
      <c r="M525" s="8">
        <f>HYPERLINK("https://dart.fss.or.kr/dsaf001/main.do?rcpNo=20260305001520", "공시열람")</f>
        <v/>
      </c>
    </row>
    <row r="526" ht="22" customHeight="1">
      <c r="A526" s="2" t="inlineStr">
        <is>
          <t>2026-03-05</t>
        </is>
      </c>
      <c r="B526" s="3" t="inlineStr">
        <is>
          <t>쎄트렉아이</t>
        </is>
      </c>
      <c r="C526" s="2" t="inlineStr">
        <is>
          <t>099320</t>
        </is>
      </c>
      <c r="D526" s="2" t="inlineStr">
        <is>
          <t>대량보유</t>
        </is>
      </c>
      <c r="E526" s="3" t="inlineStr">
        <is>
          <t>박성동</t>
        </is>
      </c>
      <c r="F526" s="3" t="inlineStr">
        <is>
          <t>특별관계자</t>
        </is>
      </c>
      <c r="G526" s="3" t="inlineStr">
        <is>
          <t>장내매도(-)</t>
        </is>
      </c>
      <c r="H526" s="17" t="n">
        <v>-116699</v>
      </c>
      <c r="I526" s="6" t="n">
        <v>141558</v>
      </c>
      <c r="J526" s="6" t="n">
        <v>707061</v>
      </c>
      <c r="K526" s="16" t="n">
        <v>6.46</v>
      </c>
      <c r="L526" s="2" t="inlineStr">
        <is>
          <t>20260305001491</t>
        </is>
      </c>
      <c r="M526" s="8">
        <f>HYPERLINK("https://dart.fss.or.kr/dsaf001/main.do?rcpNo=20260305001491", "공시열람")</f>
        <v/>
      </c>
    </row>
    <row r="527" ht="22" customHeight="1">
      <c r="A527" s="2" t="inlineStr">
        <is>
          <t>2026-03-05</t>
        </is>
      </c>
      <c r="B527" s="3" t="inlineStr">
        <is>
          <t>두산</t>
        </is>
      </c>
      <c r="C527" s="2" t="inlineStr">
        <is>
          <t>000150</t>
        </is>
      </c>
      <c r="D527" s="2" t="inlineStr">
        <is>
          <t>임원보고</t>
        </is>
      </c>
      <c r="E527" s="3" t="inlineStr">
        <is>
          <t>-</t>
        </is>
      </c>
      <c r="F527" s="3" t="inlineStr">
        <is>
          <t>-</t>
        </is>
      </c>
      <c r="G527" s="3" t="inlineStr">
        <is>
          <t>-</t>
        </is>
      </c>
      <c r="H527" s="6" t="inlineStr"/>
      <c r="I527" s="6" t="inlineStr"/>
      <c r="J527" s="6" t="inlineStr"/>
      <c r="K527" s="16" t="n">
        <v>12</v>
      </c>
      <c r="L527" s="2" t="inlineStr">
        <is>
          <t>20260305801666</t>
        </is>
      </c>
      <c r="M527" s="8">
        <f>HYPERLINK("https://dart.fss.or.kr/dsaf001/main.do?rcpNo=20260305801666", "공시열람")</f>
        <v/>
      </c>
    </row>
    <row r="528" ht="22" customHeight="1">
      <c r="A528" s="2" t="inlineStr">
        <is>
          <t>2026-03-05</t>
        </is>
      </c>
      <c r="B528" s="3" t="inlineStr">
        <is>
          <t>오비고</t>
        </is>
      </c>
      <c r="C528" s="2" t="inlineStr">
        <is>
          <t>352910</t>
        </is>
      </c>
      <c r="D528" s="2" t="inlineStr">
        <is>
          <t>대량보유</t>
        </is>
      </c>
      <c r="E528" s="3" t="inlineStr">
        <is>
          <t>장영준</t>
        </is>
      </c>
      <c r="F528" s="3" t="inlineStr">
        <is>
          <t>보고자</t>
        </is>
      </c>
      <c r="G528" s="3" t="inlineStr">
        <is>
          <t>보유주식등에 관한 계약 변경</t>
        </is>
      </c>
      <c r="H528" s="6" t="inlineStr"/>
      <c r="I528" s="6" t="inlineStr"/>
      <c r="J528" s="6" t="n">
        <v>4075657</v>
      </c>
      <c r="K528" s="16" t="n">
        <v>3</v>
      </c>
      <c r="L528" s="2" t="inlineStr">
        <is>
          <t>20260305001451</t>
        </is>
      </c>
      <c r="M528" s="8">
        <f>HYPERLINK("https://dart.fss.or.kr/dsaf001/main.do?rcpNo=20260305001451", "공시열람")</f>
        <v/>
      </c>
    </row>
    <row r="529" ht="22" customHeight="1">
      <c r="A529" s="2" t="inlineStr">
        <is>
          <t>2026-03-05</t>
        </is>
      </c>
      <c r="B529" s="3" t="inlineStr">
        <is>
          <t>글로벌텍스프리</t>
        </is>
      </c>
      <c r="C529" s="2" t="inlineStr">
        <is>
          <t>204620</t>
        </is>
      </c>
      <c r="D529" s="2" t="inlineStr">
        <is>
          <t>대량보유</t>
        </is>
      </c>
      <c r="E529" s="3" t="inlineStr">
        <is>
          <t>㈜지티에프홀딩스</t>
        </is>
      </c>
      <c r="F529" s="3" t="inlineStr">
        <is>
          <t>보고자</t>
        </is>
      </c>
      <c r="G529" s="3" t="inlineStr">
        <is>
          <t>- 주식 및 경영권 양수도 계약 변경 합의- 매도인의 매도청구권 변경 및 매수인의 매수청구권 설정 합의</t>
        </is>
      </c>
      <c r="H529" s="6" t="inlineStr"/>
      <c r="I529" s="6" t="inlineStr"/>
      <c r="J529" s="6" t="n">
        <v>16580372</v>
      </c>
      <c r="K529" s="16" t="n">
        <v>2</v>
      </c>
      <c r="L529" s="2" t="inlineStr">
        <is>
          <t>20260305001442</t>
        </is>
      </c>
      <c r="M529" s="8">
        <f>HYPERLINK("https://dart.fss.or.kr/dsaf001/main.do?rcpNo=20260305001442", "공시열람")</f>
        <v/>
      </c>
    </row>
    <row r="530" ht="22" customHeight="1">
      <c r="A530" s="2" t="inlineStr">
        <is>
          <t>2026-03-05 (정정: 2026-03-06)</t>
        </is>
      </c>
      <c r="B530" s="3" t="inlineStr">
        <is>
          <t>이수화학</t>
        </is>
      </c>
      <c r="C530" s="2" t="inlineStr">
        <is>
          <t>005950</t>
        </is>
      </c>
      <c r="D530" s="2" t="inlineStr">
        <is>
          <t>대량보유</t>
        </is>
      </c>
      <c r="E530" s="3" t="inlineStr">
        <is>
          <t>-</t>
        </is>
      </c>
      <c r="F530" s="3" t="inlineStr">
        <is>
          <t>보고자</t>
        </is>
      </c>
      <c r="G530" s="3" t="inlineStr">
        <is>
          <t>-</t>
        </is>
      </c>
      <c r="H530" s="6" t="inlineStr"/>
      <c r="I530" s="6" t="inlineStr"/>
      <c r="J530" s="6" t="inlineStr"/>
      <c r="K530" s="18" t="inlineStr"/>
      <c r="L530" s="2" t="inlineStr">
        <is>
          <t>20260306801671</t>
        </is>
      </c>
      <c r="M530" s="8">
        <f>HYPERLINK("https://dart.fss.or.kr/dsaf001/main.do?rcpNo=20260306801671", "공시열람")</f>
        <v/>
      </c>
    </row>
    <row r="531" ht="22" customHeight="1">
      <c r="A531" s="2" t="inlineStr">
        <is>
          <t>2026-03-05</t>
        </is>
      </c>
      <c r="B531" s="3" t="inlineStr">
        <is>
          <t>LG화학</t>
        </is>
      </c>
      <c r="C531" s="2" t="inlineStr">
        <is>
          <t>051910</t>
        </is>
      </c>
      <c r="D531" s="2" t="inlineStr">
        <is>
          <t>대량보유</t>
        </is>
      </c>
      <c r="E531" s="3" t="inlineStr">
        <is>
          <t>BlackRockFundAdvisors</t>
        </is>
      </c>
      <c r="F531" s="3" t="inlineStr">
        <is>
          <t>특별관계자</t>
        </is>
      </c>
      <c r="G531" s="3" t="inlineStr">
        <is>
          <t>신규보고(+), 장내매수(+)</t>
        </is>
      </c>
      <c r="H531" s="15" t="n">
        <v>1497189</v>
      </c>
      <c r="I531" s="6" t="n">
        <v>316439</v>
      </c>
      <c r="J531" s="6" t="n">
        <v>1497189</v>
      </c>
      <c r="K531" s="16" t="n">
        <v>14</v>
      </c>
      <c r="L531" s="2" t="inlineStr">
        <is>
          <t>20260305001433</t>
        </is>
      </c>
      <c r="M531" s="8">
        <f>HYPERLINK("https://dart.fss.or.kr/dsaf001/main.do?rcpNo=20260305001433", "공시열람")</f>
        <v/>
      </c>
    </row>
    <row r="532" ht="22" customHeight="1">
      <c r="A532" s="2" t="inlineStr">
        <is>
          <t>2026-03-05</t>
        </is>
      </c>
      <c r="B532" s="3" t="inlineStr">
        <is>
          <t>LG화학</t>
        </is>
      </c>
      <c r="C532" s="2" t="inlineStr">
        <is>
          <t>051910</t>
        </is>
      </c>
      <c r="D532" s="2" t="inlineStr">
        <is>
          <t>대량보유</t>
        </is>
      </c>
      <c r="E532" s="3" t="inlineStr">
        <is>
          <t>BlackRockInstitutionalTrustCompany,N.A.</t>
        </is>
      </c>
      <c r="F532" s="3" t="inlineStr">
        <is>
          <t>특별관계자</t>
        </is>
      </c>
      <c r="G532" s="3" t="inlineStr">
        <is>
          <t>신규보고(+), 장내매수(+)</t>
        </is>
      </c>
      <c r="H532" s="15" t="n">
        <v>612542</v>
      </c>
      <c r="I532" s="6" t="n">
        <v>413142</v>
      </c>
      <c r="J532" s="6" t="n">
        <v>612542</v>
      </c>
      <c r="K532" s="16" t="n">
        <v>14</v>
      </c>
      <c r="L532" s="2" t="inlineStr">
        <is>
          <t>20260305001433</t>
        </is>
      </c>
      <c r="M532" s="8">
        <f>HYPERLINK("https://dart.fss.or.kr/dsaf001/main.do?rcpNo=20260305001433", "공시열람")</f>
        <v/>
      </c>
    </row>
    <row r="533" ht="22" customHeight="1">
      <c r="A533" s="2" t="inlineStr">
        <is>
          <t>2026-03-05</t>
        </is>
      </c>
      <c r="B533" s="3" t="inlineStr">
        <is>
          <t>LG화학</t>
        </is>
      </c>
      <c r="C533" s="2" t="inlineStr">
        <is>
          <t>051910</t>
        </is>
      </c>
      <c r="D533" s="2" t="inlineStr">
        <is>
          <t>대량보유</t>
        </is>
      </c>
      <c r="E533" s="3" t="inlineStr">
        <is>
          <t>BlackRockAdvisors(UK)Limited</t>
        </is>
      </c>
      <c r="F533" s="3" t="inlineStr">
        <is>
          <t>특별관계자</t>
        </is>
      </c>
      <c r="G533" s="3" t="inlineStr">
        <is>
          <t>신규보고(+), 장내매도(-)</t>
        </is>
      </c>
      <c r="H533" s="15" t="n">
        <v>536157</v>
      </c>
      <c r="I533" s="6" t="n">
        <v>411896</v>
      </c>
      <c r="J533" s="6" t="n">
        <v>536157</v>
      </c>
      <c r="K533" s="16" t="n">
        <v>14</v>
      </c>
      <c r="L533" s="2" t="inlineStr">
        <is>
          <t>20260305001433</t>
        </is>
      </c>
      <c r="M533" s="8">
        <f>HYPERLINK("https://dart.fss.or.kr/dsaf001/main.do?rcpNo=20260305001433", "공시열람")</f>
        <v/>
      </c>
    </row>
    <row r="534" ht="22" customHeight="1">
      <c r="A534" s="2" t="inlineStr">
        <is>
          <t>2026-03-05</t>
        </is>
      </c>
      <c r="B534" s="3" t="inlineStr">
        <is>
          <t>LG화학</t>
        </is>
      </c>
      <c r="C534" s="2" t="inlineStr">
        <is>
          <t>051910</t>
        </is>
      </c>
      <c r="D534" s="2" t="inlineStr">
        <is>
          <t>대량보유</t>
        </is>
      </c>
      <c r="E534" s="3" t="inlineStr">
        <is>
          <t>BlackRockFinancialManagement,Inc</t>
        </is>
      </c>
      <c r="F534" s="3" t="inlineStr">
        <is>
          <t>특별관계자</t>
        </is>
      </c>
      <c r="G534" s="3" t="inlineStr">
        <is>
          <t>신규보고(+)</t>
        </is>
      </c>
      <c r="H534" s="15" t="n">
        <v>36994</v>
      </c>
      <c r="I534" s="6" t="n">
        <v>329790</v>
      </c>
      <c r="J534" s="6" t="n">
        <v>36994</v>
      </c>
      <c r="K534" s="16" t="n">
        <v>14</v>
      </c>
      <c r="L534" s="2" t="inlineStr">
        <is>
          <t>20260305001433</t>
        </is>
      </c>
      <c r="M534" s="8">
        <f>HYPERLINK("https://dart.fss.or.kr/dsaf001/main.do?rcpNo=20260305001433", "공시열람")</f>
        <v/>
      </c>
    </row>
    <row r="535" ht="22" customHeight="1">
      <c r="A535" s="2" t="inlineStr">
        <is>
          <t>2026-03-05</t>
        </is>
      </c>
      <c r="B535" s="3" t="inlineStr">
        <is>
          <t>LG화학</t>
        </is>
      </c>
      <c r="C535" s="2" t="inlineStr">
        <is>
          <t>051910</t>
        </is>
      </c>
      <c r="D535" s="2" t="inlineStr">
        <is>
          <t>대량보유</t>
        </is>
      </c>
      <c r="E535" s="3" t="inlineStr">
        <is>
          <t>BlackRockInvestmentManagement,LLC</t>
        </is>
      </c>
      <c r="F535" s="3" t="inlineStr">
        <is>
          <t>특별관계자</t>
        </is>
      </c>
      <c r="G535" s="3" t="inlineStr">
        <is>
          <t>신규보고(+), 장내매수(+)</t>
        </is>
      </c>
      <c r="H535" s="15" t="n">
        <v>6739</v>
      </c>
      <c r="I535" s="6" t="n">
        <v>325795</v>
      </c>
      <c r="J535" s="6" t="n">
        <v>6739</v>
      </c>
      <c r="K535" s="16" t="n">
        <v>14</v>
      </c>
      <c r="L535" s="2" t="inlineStr">
        <is>
          <t>20260305001433</t>
        </is>
      </c>
      <c r="M535" s="8">
        <f>HYPERLINK("https://dart.fss.or.kr/dsaf001/main.do?rcpNo=20260305001433", "공시열람")</f>
        <v/>
      </c>
    </row>
    <row r="536" ht="22" customHeight="1">
      <c r="A536" s="2" t="inlineStr">
        <is>
          <t>2026-03-05</t>
        </is>
      </c>
      <c r="B536" s="3" t="inlineStr">
        <is>
          <t>LG화학</t>
        </is>
      </c>
      <c r="C536" s="2" t="inlineStr">
        <is>
          <t>051910</t>
        </is>
      </c>
      <c r="D536" s="2" t="inlineStr">
        <is>
          <t>대량보유</t>
        </is>
      </c>
      <c r="E536" s="3" t="inlineStr">
        <is>
          <t>BlackRockInvestmentManagement(UK)Limited</t>
        </is>
      </c>
      <c r="F536" s="3" t="inlineStr">
        <is>
          <t>특별관계자</t>
        </is>
      </c>
      <c r="G536" s="3" t="inlineStr">
        <is>
          <t>신규보고(+), 장내매도(-)</t>
        </is>
      </c>
      <c r="H536" s="15" t="n">
        <v>669889</v>
      </c>
      <c r="I536" s="6" t="n">
        <v>348529</v>
      </c>
      <c r="J536" s="6" t="n">
        <v>669889</v>
      </c>
      <c r="K536" s="16" t="n">
        <v>14</v>
      </c>
      <c r="L536" s="2" t="inlineStr">
        <is>
          <t>20260305001433</t>
        </is>
      </c>
      <c r="M536" s="8">
        <f>HYPERLINK("https://dart.fss.or.kr/dsaf001/main.do?rcpNo=20260305001433", "공시열람")</f>
        <v/>
      </c>
    </row>
    <row r="537" ht="22" customHeight="1">
      <c r="A537" s="2" t="inlineStr">
        <is>
          <t>2026-03-05</t>
        </is>
      </c>
      <c r="B537" s="3" t="inlineStr">
        <is>
          <t>LG화학</t>
        </is>
      </c>
      <c r="C537" s="2" t="inlineStr">
        <is>
          <t>051910</t>
        </is>
      </c>
      <c r="D537" s="2" t="inlineStr">
        <is>
          <t>대량보유</t>
        </is>
      </c>
      <c r="E537" s="3" t="inlineStr">
        <is>
          <t>BlackRockAssetManagementCanadaLimited</t>
        </is>
      </c>
      <c r="F537" s="3" t="inlineStr">
        <is>
          <t>특별관계자</t>
        </is>
      </c>
      <c r="G537" s="3" t="inlineStr">
        <is>
          <t>신규보고(+)</t>
        </is>
      </c>
      <c r="H537" s="15" t="n">
        <v>38943</v>
      </c>
      <c r="I537" s="6" t="n">
        <v>409829</v>
      </c>
      <c r="J537" s="6" t="n">
        <v>38943</v>
      </c>
      <c r="K537" s="16" t="n">
        <v>14</v>
      </c>
      <c r="L537" s="2" t="inlineStr">
        <is>
          <t>20260305001433</t>
        </is>
      </c>
      <c r="M537" s="8">
        <f>HYPERLINK("https://dart.fss.or.kr/dsaf001/main.do?rcpNo=20260305001433", "공시열람")</f>
        <v/>
      </c>
    </row>
    <row r="538" ht="22" customHeight="1">
      <c r="A538" s="2" t="inlineStr">
        <is>
          <t>2026-03-05</t>
        </is>
      </c>
      <c r="B538" s="3" t="inlineStr">
        <is>
          <t>LG화학</t>
        </is>
      </c>
      <c r="C538" s="2" t="inlineStr">
        <is>
          <t>051910</t>
        </is>
      </c>
      <c r="D538" s="2" t="inlineStr">
        <is>
          <t>대량보유</t>
        </is>
      </c>
      <c r="E538" s="3" t="inlineStr">
        <is>
          <t>BlackRockAssetManagementNorthAsiaLimited</t>
        </is>
      </c>
      <c r="F538" s="3" t="inlineStr">
        <is>
          <t>특별관계자</t>
        </is>
      </c>
      <c r="G538" s="3" t="inlineStr">
        <is>
          <t>신규보고(+)</t>
        </is>
      </c>
      <c r="H538" s="15" t="n">
        <v>28693</v>
      </c>
      <c r="I538" s="6" t="n">
        <v>366097</v>
      </c>
      <c r="J538" s="6" t="n">
        <v>28693</v>
      </c>
      <c r="K538" s="16" t="n">
        <v>14</v>
      </c>
      <c r="L538" s="2" t="inlineStr">
        <is>
          <t>20260305001433</t>
        </is>
      </c>
      <c r="M538" s="8">
        <f>HYPERLINK("https://dart.fss.or.kr/dsaf001/main.do?rcpNo=20260305001433", "공시열람")</f>
        <v/>
      </c>
    </row>
    <row r="539" ht="22" customHeight="1">
      <c r="A539" s="2" t="inlineStr">
        <is>
          <t>2026-03-05</t>
        </is>
      </c>
      <c r="B539" s="3" t="inlineStr">
        <is>
          <t>LG화학</t>
        </is>
      </c>
      <c r="C539" s="2" t="inlineStr">
        <is>
          <t>051910</t>
        </is>
      </c>
      <c r="D539" s="2" t="inlineStr">
        <is>
          <t>대량보유</t>
        </is>
      </c>
      <c r="E539" s="3" t="inlineStr">
        <is>
          <t>BlackRockJapanCo.,Ltd.</t>
        </is>
      </c>
      <c r="F539" s="3" t="inlineStr">
        <is>
          <t>특별관계자</t>
        </is>
      </c>
      <c r="G539" s="3" t="inlineStr">
        <is>
          <t>신규보고(+)</t>
        </is>
      </c>
      <c r="H539" s="15" t="n">
        <v>45536</v>
      </c>
      <c r="I539" s="6" t="n">
        <v>379201</v>
      </c>
      <c r="J539" s="6" t="n">
        <v>45536</v>
      </c>
      <c r="K539" s="16" t="n">
        <v>14</v>
      </c>
      <c r="L539" s="2" t="inlineStr">
        <is>
          <t>20260305001433</t>
        </is>
      </c>
      <c r="M539" s="8">
        <f>HYPERLINK("https://dart.fss.or.kr/dsaf001/main.do?rcpNo=20260305001433", "공시열람")</f>
        <v/>
      </c>
    </row>
    <row r="540" ht="22" customHeight="1">
      <c r="A540" s="2" t="inlineStr">
        <is>
          <t>2026-03-05</t>
        </is>
      </c>
      <c r="B540" s="3" t="inlineStr">
        <is>
          <t>LG화학</t>
        </is>
      </c>
      <c r="C540" s="2" t="inlineStr">
        <is>
          <t>051910</t>
        </is>
      </c>
      <c r="D540" s="2" t="inlineStr">
        <is>
          <t>대량보유</t>
        </is>
      </c>
      <c r="E540" s="3" t="inlineStr">
        <is>
          <t>BlackRockAdvisors,LLC</t>
        </is>
      </c>
      <c r="F540" s="3" t="inlineStr">
        <is>
          <t>특별관계자</t>
        </is>
      </c>
      <c r="G540" s="3" t="inlineStr">
        <is>
          <t>신규보고(+)</t>
        </is>
      </c>
      <c r="H540" s="15" t="n">
        <v>4832</v>
      </c>
      <c r="I540" s="6" t="n">
        <v>307758</v>
      </c>
      <c r="J540" s="6" t="n">
        <v>4832</v>
      </c>
      <c r="K540" s="16" t="n">
        <v>14</v>
      </c>
      <c r="L540" s="2" t="inlineStr">
        <is>
          <t>20260305001433</t>
        </is>
      </c>
      <c r="M540" s="8">
        <f>HYPERLINK("https://dart.fss.or.kr/dsaf001/main.do?rcpNo=20260305001433", "공시열람")</f>
        <v/>
      </c>
    </row>
    <row r="541" ht="22" customHeight="1">
      <c r="A541" s="2" t="inlineStr">
        <is>
          <t>2026-03-05</t>
        </is>
      </c>
      <c r="B541" s="3" t="inlineStr">
        <is>
          <t>LG화학</t>
        </is>
      </c>
      <c r="C541" s="2" t="inlineStr">
        <is>
          <t>051910</t>
        </is>
      </c>
      <c r="D541" s="2" t="inlineStr">
        <is>
          <t>대량보유</t>
        </is>
      </c>
      <c r="E541" s="3" t="inlineStr">
        <is>
          <t>BlackRockInvestmentManagement(Australia)Limited</t>
        </is>
      </c>
      <c r="F541" s="3" t="inlineStr">
        <is>
          <t>특별관계자</t>
        </is>
      </c>
      <c r="G541" s="3" t="inlineStr">
        <is>
          <t>신규보고(+), 장내매수(+)</t>
        </is>
      </c>
      <c r="H541" s="15" t="n">
        <v>18734</v>
      </c>
      <c r="I541" s="6" t="n">
        <v>505685</v>
      </c>
      <c r="J541" s="6" t="n">
        <v>18734</v>
      </c>
      <c r="K541" s="16" t="n">
        <v>14</v>
      </c>
      <c r="L541" s="2" t="inlineStr">
        <is>
          <t>20260305001433</t>
        </is>
      </c>
      <c r="M541" s="8">
        <f>HYPERLINK("https://dart.fss.or.kr/dsaf001/main.do?rcpNo=20260305001433", "공시열람")</f>
        <v/>
      </c>
    </row>
    <row r="542" ht="22" customHeight="1">
      <c r="A542" s="2" t="inlineStr">
        <is>
          <t>2026-03-05</t>
        </is>
      </c>
      <c r="B542" s="3" t="inlineStr">
        <is>
          <t>LG화학</t>
        </is>
      </c>
      <c r="C542" s="2" t="inlineStr">
        <is>
          <t>051910</t>
        </is>
      </c>
      <c r="D542" s="2" t="inlineStr">
        <is>
          <t>대량보유</t>
        </is>
      </c>
      <c r="E542" s="3" t="inlineStr">
        <is>
          <t>BlackRock(Singapore)Limited</t>
        </is>
      </c>
      <c r="F542" s="3" t="inlineStr">
        <is>
          <t>특별관계자</t>
        </is>
      </c>
      <c r="G542" s="3" t="inlineStr">
        <is>
          <t>신규보고(+)</t>
        </is>
      </c>
      <c r="H542" s="15" t="n">
        <v>19310</v>
      </c>
      <c r="I542" s="6" t="n">
        <v>433384</v>
      </c>
      <c r="J542" s="6" t="n">
        <v>19310</v>
      </c>
      <c r="K542" s="16" t="n">
        <v>14</v>
      </c>
      <c r="L542" s="2" t="inlineStr">
        <is>
          <t>20260305001433</t>
        </is>
      </c>
      <c r="M542" s="8">
        <f>HYPERLINK("https://dart.fss.or.kr/dsaf001/main.do?rcpNo=20260305001433", "공시열람")</f>
        <v/>
      </c>
    </row>
    <row r="543" ht="22" customHeight="1">
      <c r="A543" s="2" t="inlineStr">
        <is>
          <t>2026-03-05</t>
        </is>
      </c>
      <c r="B543" s="3" t="inlineStr">
        <is>
          <t>LG화학</t>
        </is>
      </c>
      <c r="C543" s="2" t="inlineStr">
        <is>
          <t>051910</t>
        </is>
      </c>
      <c r="D543" s="2" t="inlineStr">
        <is>
          <t>대량보유</t>
        </is>
      </c>
      <c r="E543" s="3" t="inlineStr">
        <is>
          <t>BlackRock(Netherlands)B.V.</t>
        </is>
      </c>
      <c r="F543" s="3" t="inlineStr">
        <is>
          <t>특별관계자</t>
        </is>
      </c>
      <c r="G543" s="3" t="inlineStr">
        <is>
          <t>신규보고(+)</t>
        </is>
      </c>
      <c r="H543" s="15" t="n">
        <v>18820</v>
      </c>
      <c r="I543" s="6" t="n">
        <v>538477</v>
      </c>
      <c r="J543" s="6" t="n">
        <v>18820</v>
      </c>
      <c r="K543" s="16" t="n">
        <v>14</v>
      </c>
      <c r="L543" s="2" t="inlineStr">
        <is>
          <t>20260305001433</t>
        </is>
      </c>
      <c r="M543" s="8">
        <f>HYPERLINK("https://dart.fss.or.kr/dsaf001/main.do?rcpNo=20260305001433", "공시열람")</f>
        <v/>
      </c>
    </row>
    <row r="544" ht="22" customHeight="1">
      <c r="A544" s="2" t="inlineStr">
        <is>
          <t>2026-03-05</t>
        </is>
      </c>
      <c r="B544" s="3" t="inlineStr">
        <is>
          <t>LG화학</t>
        </is>
      </c>
      <c r="C544" s="2" t="inlineStr">
        <is>
          <t>051910</t>
        </is>
      </c>
      <c r="D544" s="2" t="inlineStr">
        <is>
          <t>대량보유</t>
        </is>
      </c>
      <c r="E544" s="3" t="inlineStr">
        <is>
          <t>AperioGroupLLC</t>
        </is>
      </c>
      <c r="F544" s="3" t="inlineStr">
        <is>
          <t>특별관계자</t>
        </is>
      </c>
      <c r="G544" s="3" t="inlineStr">
        <is>
          <t>신규보고(+)</t>
        </is>
      </c>
      <c r="H544" s="15" t="n">
        <v>5207</v>
      </c>
      <c r="I544" s="6" t="n">
        <v>595766</v>
      </c>
      <c r="J544" s="6" t="n">
        <v>5207</v>
      </c>
      <c r="K544" s="16" t="n">
        <v>14</v>
      </c>
      <c r="L544" s="2" t="inlineStr">
        <is>
          <t>20260305001433</t>
        </is>
      </c>
      <c r="M544" s="8">
        <f>HYPERLINK("https://dart.fss.or.kr/dsaf001/main.do?rcpNo=20260305001433", "공시열람")</f>
        <v/>
      </c>
    </row>
    <row r="545" ht="22" customHeight="1">
      <c r="A545" s="2" t="inlineStr">
        <is>
          <t>2026-03-05</t>
        </is>
      </c>
      <c r="B545" s="3" t="inlineStr">
        <is>
          <t>이수스페셜티케미컬</t>
        </is>
      </c>
      <c r="C545" s="2" t="inlineStr">
        <is>
          <t>457190</t>
        </is>
      </c>
      <c r="D545" s="2" t="inlineStr">
        <is>
          <t>대량보유</t>
        </is>
      </c>
      <c r="E545" s="3" t="inlineStr">
        <is>
          <t>(주)이수</t>
        </is>
      </c>
      <c r="F545" s="3" t="inlineStr">
        <is>
          <t>특별관계자</t>
        </is>
      </c>
      <c r="G545" s="3" t="inlineStr">
        <is>
          <t>교환(-)</t>
        </is>
      </c>
      <c r="H545" s="17" t="n">
        <v>-16312</v>
      </c>
      <c r="I545" s="6" t="n">
        <v>79693</v>
      </c>
      <c r="J545" s="6" t="n">
        <v>7235659</v>
      </c>
      <c r="K545" s="16" t="n">
        <v>8</v>
      </c>
      <c r="L545" s="2" t="inlineStr">
        <is>
          <t>20260305001432</t>
        </is>
      </c>
      <c r="M545" s="8">
        <f>HYPERLINK("https://dart.fss.or.kr/dsaf001/main.do?rcpNo=20260305001432", "공시열람")</f>
        <v/>
      </c>
    </row>
    <row r="546" ht="22" customHeight="1">
      <c r="A546" s="2" t="inlineStr">
        <is>
          <t>2026-03-05</t>
        </is>
      </c>
      <c r="B546" s="3" t="inlineStr">
        <is>
          <t>알티캐스트</t>
        </is>
      </c>
      <c r="C546" s="2" t="inlineStr">
        <is>
          <t>085810</t>
        </is>
      </c>
      <c r="D546" s="2" t="inlineStr">
        <is>
          <t>대량보유</t>
        </is>
      </c>
      <c r="E546" s="3" t="inlineStr">
        <is>
          <t>주식회사베노티앤알</t>
        </is>
      </c>
      <c r="F546" s="3" t="inlineStr">
        <is>
          <t>특별관계자</t>
        </is>
      </c>
      <c r="G546" s="3" t="inlineStr">
        <is>
          <t>전환등(-), 전환사채의권리행사(+)</t>
        </is>
      </c>
      <c r="H546" s="17" t="n">
        <v>-1</v>
      </c>
      <c r="I546" s="6" t="n">
        <v>675</v>
      </c>
      <c r="J546" s="6" t="n">
        <v>14941229</v>
      </c>
      <c r="K546" s="16" t="n">
        <v>1</v>
      </c>
      <c r="L546" s="2" t="inlineStr">
        <is>
          <t>20260305001421</t>
        </is>
      </c>
      <c r="M546" s="8">
        <f>HYPERLINK("https://dart.fss.or.kr/dsaf001/main.do?rcpNo=20260305001421", "공시열람")</f>
        <v/>
      </c>
    </row>
    <row r="547" ht="22" customHeight="1">
      <c r="A547" s="2" t="inlineStr">
        <is>
          <t>2026-03-05</t>
        </is>
      </c>
      <c r="B547" s="3" t="inlineStr">
        <is>
          <t>SKAI</t>
        </is>
      </c>
      <c r="C547" s="2" t="inlineStr">
        <is>
          <t>357880</t>
        </is>
      </c>
      <c r="D547" s="2" t="inlineStr">
        <is>
          <t>대량보유</t>
        </is>
      </c>
      <c r="E547" s="3" t="inlineStr">
        <is>
          <t>㈜디렉터스컴퍼니</t>
        </is>
      </c>
      <c r="F547" s="3" t="inlineStr">
        <is>
          <t>특별관계자</t>
        </is>
      </c>
      <c r="G547" s="3" t="inlineStr">
        <is>
          <t>장내매도(-)</t>
        </is>
      </c>
      <c r="H547" s="17" t="n">
        <v>-1235129</v>
      </c>
      <c r="I547" s="6" t="n">
        <v>2641</v>
      </c>
      <c r="J547" s="6" t="n">
        <v>11228297</v>
      </c>
      <c r="K547" s="16" t="n">
        <v>3</v>
      </c>
      <c r="L547" s="2" t="inlineStr">
        <is>
          <t>20260305001413</t>
        </is>
      </c>
      <c r="M547" s="8">
        <f>HYPERLINK("https://dart.fss.or.kr/dsaf001/main.do?rcpNo=20260305001413", "공시열람")</f>
        <v/>
      </c>
    </row>
    <row r="548" ht="22" customHeight="1">
      <c r="A548" s="2" t="inlineStr">
        <is>
          <t>2026-03-05</t>
        </is>
      </c>
      <c r="B548" s="3" t="inlineStr">
        <is>
          <t>SKAI</t>
        </is>
      </c>
      <c r="C548" s="2" t="inlineStr">
        <is>
          <t>357880</t>
        </is>
      </c>
      <c r="D548" s="2" t="inlineStr">
        <is>
          <t>대량보유</t>
        </is>
      </c>
      <c r="E548" s="3" t="inlineStr">
        <is>
          <t>신재혁</t>
        </is>
      </c>
      <c r="F548" s="3" t="inlineStr">
        <is>
          <t>특별관계자</t>
        </is>
      </c>
      <c r="G548" s="3" t="inlineStr">
        <is>
          <t>콜옵션취득(+), 행사가액조정</t>
        </is>
      </c>
      <c r="H548" s="15" t="n">
        <v>835525</v>
      </c>
      <c r="I548" s="6" t="n">
        <v>1972</v>
      </c>
      <c r="J548" s="6" t="n">
        <v>834293</v>
      </c>
      <c r="K548" s="16" t="n">
        <v>3</v>
      </c>
      <c r="L548" s="2" t="inlineStr">
        <is>
          <t>20260305001413</t>
        </is>
      </c>
      <c r="M548" s="8">
        <f>HYPERLINK("https://dart.fss.or.kr/dsaf001/main.do?rcpNo=20260305001413", "공시열람")</f>
        <v/>
      </c>
    </row>
    <row r="549" ht="22" customHeight="1">
      <c r="A549" s="2" t="inlineStr">
        <is>
          <t>2026-03-05</t>
        </is>
      </c>
      <c r="B549" s="3" t="inlineStr">
        <is>
          <t>코웨이</t>
        </is>
      </c>
      <c r="C549" s="2" t="inlineStr">
        <is>
          <t>021240</t>
        </is>
      </c>
      <c r="D549" s="2" t="inlineStr">
        <is>
          <t>대량보유</t>
        </is>
      </c>
      <c r="E549" s="3" t="inlineStr">
        <is>
          <t>BlackRockFundAdvisors</t>
        </is>
      </c>
      <c r="F549" s="3" t="inlineStr">
        <is>
          <t>특별관계자</t>
        </is>
      </c>
      <c r="G549" s="3" t="inlineStr">
        <is>
          <t>장내매수(+), 장내매도(-)</t>
        </is>
      </c>
      <c r="H549" s="17" t="n">
        <v>-841058</v>
      </c>
      <c r="I549" s="6" t="n">
        <v>70293</v>
      </c>
      <c r="J549" s="6" t="n">
        <v>732555</v>
      </c>
      <c r="K549" s="16" t="n">
        <v>7</v>
      </c>
      <c r="L549" s="2" t="inlineStr">
        <is>
          <t>20260305001398</t>
        </is>
      </c>
      <c r="M549" s="8">
        <f>HYPERLINK("https://dart.fss.or.kr/dsaf001/main.do?rcpNo=20260305001398", "공시열람")</f>
        <v/>
      </c>
    </row>
    <row r="550" ht="22" customHeight="1">
      <c r="A550" s="2" t="inlineStr">
        <is>
          <t>2026-03-05</t>
        </is>
      </c>
      <c r="B550" s="3" t="inlineStr">
        <is>
          <t>코웨이</t>
        </is>
      </c>
      <c r="C550" s="2" t="inlineStr">
        <is>
          <t>021240</t>
        </is>
      </c>
      <c r="D550" s="2" t="inlineStr">
        <is>
          <t>대량보유</t>
        </is>
      </c>
      <c r="E550" s="3" t="inlineStr">
        <is>
          <t>BlackRockInstitutionalTrustCompany,N.A.</t>
        </is>
      </c>
      <c r="F550" s="3" t="inlineStr">
        <is>
          <t>특별관계자</t>
        </is>
      </c>
      <c r="G550" s="3" t="inlineStr">
        <is>
          <t>장내매수(+), 장내매도(-)</t>
        </is>
      </c>
      <c r="H550" s="17" t="n">
        <v>-6293</v>
      </c>
      <c r="I550" s="6" t="n">
        <v>73355</v>
      </c>
      <c r="J550" s="6" t="n">
        <v>486290</v>
      </c>
      <c r="K550" s="16" t="n">
        <v>7</v>
      </c>
      <c r="L550" s="2" t="inlineStr">
        <is>
          <t>20260305001398</t>
        </is>
      </c>
      <c r="M550" s="8">
        <f>HYPERLINK("https://dart.fss.or.kr/dsaf001/main.do?rcpNo=20260305001398", "공시열람")</f>
        <v/>
      </c>
    </row>
    <row r="551" ht="22" customHeight="1">
      <c r="A551" s="2" t="inlineStr">
        <is>
          <t>2026-03-05</t>
        </is>
      </c>
      <c r="B551" s="3" t="inlineStr">
        <is>
          <t>코웨이</t>
        </is>
      </c>
      <c r="C551" s="2" t="inlineStr">
        <is>
          <t>021240</t>
        </is>
      </c>
      <c r="D551" s="2" t="inlineStr">
        <is>
          <t>대량보유</t>
        </is>
      </c>
      <c r="E551" s="3" t="inlineStr">
        <is>
          <t>BlackRockAdvisors(UK)Limited</t>
        </is>
      </c>
      <c r="F551" s="3" t="inlineStr">
        <is>
          <t>특별관계자</t>
        </is>
      </c>
      <c r="G551" s="3" t="inlineStr">
        <is>
          <t>장내매수(+), 장내매도(-)</t>
        </is>
      </c>
      <c r="H551" s="17" t="n">
        <v>-583347</v>
      </c>
      <c r="I551" s="6" t="n">
        <v>67005</v>
      </c>
      <c r="J551" s="6" t="n">
        <v>461128</v>
      </c>
      <c r="K551" s="16" t="n">
        <v>7</v>
      </c>
      <c r="L551" s="2" t="inlineStr">
        <is>
          <t>20260305001398</t>
        </is>
      </c>
      <c r="M551" s="8">
        <f>HYPERLINK("https://dart.fss.or.kr/dsaf001/main.do?rcpNo=20260305001398", "공시열람")</f>
        <v/>
      </c>
    </row>
    <row r="552" ht="22" customHeight="1">
      <c r="A552" s="2" t="inlineStr">
        <is>
          <t>2026-03-05</t>
        </is>
      </c>
      <c r="B552" s="3" t="inlineStr">
        <is>
          <t>코웨이</t>
        </is>
      </c>
      <c r="C552" s="2" t="inlineStr">
        <is>
          <t>021240</t>
        </is>
      </c>
      <c r="D552" s="2" t="inlineStr">
        <is>
          <t>대량보유</t>
        </is>
      </c>
      <c r="E552" s="3" t="inlineStr">
        <is>
          <t>BlackRockInvestmentManagement,LLC</t>
        </is>
      </c>
      <c r="F552" s="3" t="inlineStr">
        <is>
          <t>특별관계자</t>
        </is>
      </c>
      <c r="G552" s="3" t="inlineStr">
        <is>
          <t>장내매도(-), 장내매수(+)</t>
        </is>
      </c>
      <c r="H552" s="17" t="n">
        <v>-19602</v>
      </c>
      <c r="I552" s="6" t="n">
        <v>69366</v>
      </c>
      <c r="J552" s="6" t="inlineStr"/>
      <c r="K552" s="16" t="n">
        <v>7</v>
      </c>
      <c r="L552" s="2" t="inlineStr">
        <is>
          <t>20260305001398</t>
        </is>
      </c>
      <c r="M552" s="8">
        <f>HYPERLINK("https://dart.fss.or.kr/dsaf001/main.do?rcpNo=20260305001398", "공시열람")</f>
        <v/>
      </c>
    </row>
    <row r="553" ht="22" customHeight="1">
      <c r="A553" s="2" t="inlineStr">
        <is>
          <t>2026-03-05</t>
        </is>
      </c>
      <c r="B553" s="3" t="inlineStr">
        <is>
          <t>코웨이</t>
        </is>
      </c>
      <c r="C553" s="2" t="inlineStr">
        <is>
          <t>021240</t>
        </is>
      </c>
      <c r="D553" s="2" t="inlineStr">
        <is>
          <t>대량보유</t>
        </is>
      </c>
      <c r="E553" s="3" t="inlineStr">
        <is>
          <t>BlackRockInvestmentManagement(Australia)Limited</t>
        </is>
      </c>
      <c r="F553" s="3" t="inlineStr">
        <is>
          <t>특별관계자</t>
        </is>
      </c>
      <c r="G553" s="3" t="inlineStr">
        <is>
          <t>장내매수(+), 장내매도(-)</t>
        </is>
      </c>
      <c r="H553" s="17" t="n">
        <v>-25712</v>
      </c>
      <c r="I553" s="6" t="n">
        <v>59378</v>
      </c>
      <c r="J553" s="6" t="n">
        <v>1149</v>
      </c>
      <c r="K553" s="16" t="n">
        <v>7</v>
      </c>
      <c r="L553" s="2" t="inlineStr">
        <is>
          <t>20260305001398</t>
        </is>
      </c>
      <c r="M553" s="8">
        <f>HYPERLINK("https://dart.fss.or.kr/dsaf001/main.do?rcpNo=20260305001398", "공시열람")</f>
        <v/>
      </c>
    </row>
    <row r="554" ht="22" customHeight="1">
      <c r="A554" s="2" t="inlineStr">
        <is>
          <t>2026-03-05</t>
        </is>
      </c>
      <c r="B554" s="3" t="inlineStr">
        <is>
          <t>코웨이</t>
        </is>
      </c>
      <c r="C554" s="2" t="inlineStr">
        <is>
          <t>021240</t>
        </is>
      </c>
      <c r="D554" s="2" t="inlineStr">
        <is>
          <t>대량보유</t>
        </is>
      </c>
      <c r="E554" s="3" t="inlineStr">
        <is>
          <t>BlackRockAssetManagementNorthAsiaLimited</t>
        </is>
      </c>
      <c r="F554" s="3" t="inlineStr">
        <is>
          <t>특별관계자</t>
        </is>
      </c>
      <c r="G554" s="3" t="inlineStr">
        <is>
          <t>장내매도(-), 장내매수(+)</t>
        </is>
      </c>
      <c r="H554" s="17" t="n">
        <v>-22779</v>
      </c>
      <c r="I554" s="6" t="n">
        <v>71814</v>
      </c>
      <c r="J554" s="6" t="n">
        <v>623</v>
      </c>
      <c r="K554" s="16" t="n">
        <v>7</v>
      </c>
      <c r="L554" s="2" t="inlineStr">
        <is>
          <t>20260305001398</t>
        </is>
      </c>
      <c r="M554" s="8">
        <f>HYPERLINK("https://dart.fss.or.kr/dsaf001/main.do?rcpNo=20260305001398", "공시열람")</f>
        <v/>
      </c>
    </row>
    <row r="555" ht="22" customHeight="1">
      <c r="A555" s="2" t="inlineStr">
        <is>
          <t>2026-03-05</t>
        </is>
      </c>
      <c r="B555" s="3" t="inlineStr">
        <is>
          <t>코웨이</t>
        </is>
      </c>
      <c r="C555" s="2" t="inlineStr">
        <is>
          <t>021240</t>
        </is>
      </c>
      <c r="D555" s="2" t="inlineStr">
        <is>
          <t>대량보유</t>
        </is>
      </c>
      <c r="E555" s="3" t="inlineStr">
        <is>
          <t>BlackRockAdvisors,LLC</t>
        </is>
      </c>
      <c r="F555" s="3" t="inlineStr">
        <is>
          <t>특별관계자</t>
        </is>
      </c>
      <c r="G555" s="3" t="inlineStr">
        <is>
          <t>장내매수(+), 장내매도(-)</t>
        </is>
      </c>
      <c r="H555" s="17" t="n">
        <v>-385</v>
      </c>
      <c r="I555" s="6" t="n">
        <v>66497</v>
      </c>
      <c r="J555" s="6" t="inlineStr"/>
      <c r="K555" s="16" t="n">
        <v>7</v>
      </c>
      <c r="L555" s="2" t="inlineStr">
        <is>
          <t>20260305001398</t>
        </is>
      </c>
      <c r="M555" s="8">
        <f>HYPERLINK("https://dart.fss.or.kr/dsaf001/main.do?rcpNo=20260305001398", "공시열람")</f>
        <v/>
      </c>
    </row>
    <row r="556" ht="22" customHeight="1">
      <c r="A556" s="2" t="inlineStr">
        <is>
          <t>2026-03-05</t>
        </is>
      </c>
      <c r="B556" s="3" t="inlineStr">
        <is>
          <t>코웨이</t>
        </is>
      </c>
      <c r="C556" s="2" t="inlineStr">
        <is>
          <t>021240</t>
        </is>
      </c>
      <c r="D556" s="2" t="inlineStr">
        <is>
          <t>대량보유</t>
        </is>
      </c>
      <c r="E556" s="3" t="inlineStr">
        <is>
          <t>BlackRockFinancialManagement,Inc.</t>
        </is>
      </c>
      <c r="F556" s="3" t="inlineStr">
        <is>
          <t>특별관계자</t>
        </is>
      </c>
      <c r="G556" s="3" t="inlineStr">
        <is>
          <t>장내매도(-), 장내매수(+)</t>
        </is>
      </c>
      <c r="H556" s="17" t="n">
        <v>-40729</v>
      </c>
      <c r="I556" s="6" t="n">
        <v>63345</v>
      </c>
      <c r="J556" s="6" t="inlineStr"/>
      <c r="K556" s="16" t="n">
        <v>7</v>
      </c>
      <c r="L556" s="2" t="inlineStr">
        <is>
          <t>20260305001398</t>
        </is>
      </c>
      <c r="M556" s="8">
        <f>HYPERLINK("https://dart.fss.or.kr/dsaf001/main.do?rcpNo=20260305001398", "공시열람")</f>
        <v/>
      </c>
    </row>
    <row r="557" ht="22" customHeight="1">
      <c r="A557" s="2" t="inlineStr">
        <is>
          <t>2026-03-05</t>
        </is>
      </c>
      <c r="B557" s="3" t="inlineStr">
        <is>
          <t>코웨이</t>
        </is>
      </c>
      <c r="C557" s="2" t="inlineStr">
        <is>
          <t>021240</t>
        </is>
      </c>
      <c r="D557" s="2" t="inlineStr">
        <is>
          <t>대량보유</t>
        </is>
      </c>
      <c r="E557" s="3" t="inlineStr">
        <is>
          <t>BlackRockInvestmentManagement(UK)Limited</t>
        </is>
      </c>
      <c r="F557" s="3" t="inlineStr">
        <is>
          <t>특별관계자</t>
        </is>
      </c>
      <c r="G557" s="3" t="inlineStr">
        <is>
          <t>장내매수(+), 장내매도(-)</t>
        </is>
      </c>
      <c r="H557" s="17" t="n">
        <v>-136580</v>
      </c>
      <c r="I557" s="6" t="n">
        <v>71958</v>
      </c>
      <c r="J557" s="6" t="n">
        <v>203847</v>
      </c>
      <c r="K557" s="16" t="n">
        <v>7</v>
      </c>
      <c r="L557" s="2" t="inlineStr">
        <is>
          <t>20260305001398</t>
        </is>
      </c>
      <c r="M557" s="8">
        <f>HYPERLINK("https://dart.fss.or.kr/dsaf001/main.do?rcpNo=20260305001398", "공시열람")</f>
        <v/>
      </c>
    </row>
    <row r="558" ht="22" customHeight="1">
      <c r="A558" s="2" t="inlineStr">
        <is>
          <t>2026-03-05</t>
        </is>
      </c>
      <c r="B558" s="3" t="inlineStr">
        <is>
          <t>코웨이</t>
        </is>
      </c>
      <c r="C558" s="2" t="inlineStr">
        <is>
          <t>021240</t>
        </is>
      </c>
      <c r="D558" s="2" t="inlineStr">
        <is>
          <t>대량보유</t>
        </is>
      </c>
      <c r="E558" s="3" t="inlineStr">
        <is>
          <t>BlackRockAssetManagementCanadaLimited</t>
        </is>
      </c>
      <c r="F558" s="3" t="inlineStr">
        <is>
          <t>특별관계자</t>
        </is>
      </c>
      <c r="G558" s="3" t="inlineStr">
        <is>
          <t>장내매수(+), 장내매도(-)</t>
        </is>
      </c>
      <c r="H558" s="17" t="n">
        <v>-16150</v>
      </c>
      <c r="I558" s="6" t="n">
        <v>72181</v>
      </c>
      <c r="J558" s="6" t="n">
        <v>30842</v>
      </c>
      <c r="K558" s="16" t="n">
        <v>7</v>
      </c>
      <c r="L558" s="2" t="inlineStr">
        <is>
          <t>20260305001398</t>
        </is>
      </c>
      <c r="M558" s="8">
        <f>HYPERLINK("https://dart.fss.or.kr/dsaf001/main.do?rcpNo=20260305001398", "공시열람")</f>
        <v/>
      </c>
    </row>
    <row r="559" ht="22" customHeight="1">
      <c r="A559" s="2" t="inlineStr">
        <is>
          <t>2026-03-05</t>
        </is>
      </c>
      <c r="B559" s="3" t="inlineStr">
        <is>
          <t>코웨이</t>
        </is>
      </c>
      <c r="C559" s="2" t="inlineStr">
        <is>
          <t>021240</t>
        </is>
      </c>
      <c r="D559" s="2" t="inlineStr">
        <is>
          <t>대량보유</t>
        </is>
      </c>
      <c r="E559" s="3" t="inlineStr">
        <is>
          <t>BlackRock(Netherlands)B.V.</t>
        </is>
      </c>
      <c r="F559" s="3" t="inlineStr">
        <is>
          <t>특별관계자</t>
        </is>
      </c>
      <c r="G559" s="3" t="inlineStr">
        <is>
          <t>장내매수(+), 장내매도(-)</t>
        </is>
      </c>
      <c r="H559" s="17" t="n">
        <v>-8770</v>
      </c>
      <c r="I559" s="6" t="n">
        <v>72959</v>
      </c>
      <c r="J559" s="6" t="inlineStr"/>
      <c r="K559" s="16" t="n">
        <v>7</v>
      </c>
      <c r="L559" s="2" t="inlineStr">
        <is>
          <t>20260305001398</t>
        </is>
      </c>
      <c r="M559" s="8">
        <f>HYPERLINK("https://dart.fss.or.kr/dsaf001/main.do?rcpNo=20260305001398", "공시열람")</f>
        <v/>
      </c>
    </row>
    <row r="560" ht="22" customHeight="1">
      <c r="A560" s="2" t="inlineStr">
        <is>
          <t>2026-03-05</t>
        </is>
      </c>
      <c r="B560" s="3" t="inlineStr">
        <is>
          <t>코웨이</t>
        </is>
      </c>
      <c r="C560" s="2" t="inlineStr">
        <is>
          <t>021240</t>
        </is>
      </c>
      <c r="D560" s="2" t="inlineStr">
        <is>
          <t>대량보유</t>
        </is>
      </c>
      <c r="E560" s="3" t="inlineStr">
        <is>
          <t>BlackRock(Singapore)Limited</t>
        </is>
      </c>
      <c r="F560" s="3" t="inlineStr">
        <is>
          <t>특별관계자</t>
        </is>
      </c>
      <c r="G560" s="3" t="inlineStr">
        <is>
          <t>장내매수(+), 장내매도(-)</t>
        </is>
      </c>
      <c r="H560" s="17" t="n">
        <v>-9304</v>
      </c>
      <c r="I560" s="6" t="n">
        <v>56067</v>
      </c>
      <c r="J560" s="6" t="inlineStr"/>
      <c r="K560" s="16" t="n">
        <v>7</v>
      </c>
      <c r="L560" s="2" t="inlineStr">
        <is>
          <t>20260305001398</t>
        </is>
      </c>
      <c r="M560" s="8">
        <f>HYPERLINK("https://dart.fss.or.kr/dsaf001/main.do?rcpNo=20260305001398", "공시열람")</f>
        <v/>
      </c>
    </row>
    <row r="561" ht="22" customHeight="1">
      <c r="A561" s="2" t="inlineStr">
        <is>
          <t>2026-03-05</t>
        </is>
      </c>
      <c r="B561" s="3" t="inlineStr">
        <is>
          <t>코웨이</t>
        </is>
      </c>
      <c r="C561" s="2" t="inlineStr">
        <is>
          <t>021240</t>
        </is>
      </c>
      <c r="D561" s="2" t="inlineStr">
        <is>
          <t>대량보유</t>
        </is>
      </c>
      <c r="E561" s="3" t="inlineStr">
        <is>
          <t>BlackRockJapanCo.,Ltd.</t>
        </is>
      </c>
      <c r="F561" s="3" t="inlineStr">
        <is>
          <t>특별관계자</t>
        </is>
      </c>
      <c r="G561" s="3" t="inlineStr">
        <is>
          <t>장내매수(+), 장내매도(-)</t>
        </is>
      </c>
      <c r="H561" s="17" t="n">
        <v>-64381</v>
      </c>
      <c r="I561" s="6" t="n">
        <v>72487</v>
      </c>
      <c r="J561" s="6" t="inlineStr"/>
      <c r="K561" s="16" t="n">
        <v>7</v>
      </c>
      <c r="L561" s="2" t="inlineStr">
        <is>
          <t>20260305001398</t>
        </is>
      </c>
      <c r="M561" s="8">
        <f>HYPERLINK("https://dart.fss.or.kr/dsaf001/main.do?rcpNo=20260305001398", "공시열람")</f>
        <v/>
      </c>
    </row>
    <row r="562" ht="22" customHeight="1">
      <c r="A562" s="2" t="inlineStr">
        <is>
          <t>2026-03-05</t>
        </is>
      </c>
      <c r="B562" s="3" t="inlineStr">
        <is>
          <t>한세예스24홀딩스</t>
        </is>
      </c>
      <c r="C562" s="2" t="inlineStr">
        <is>
          <t>016450</t>
        </is>
      </c>
      <c r="D562" s="2" t="inlineStr">
        <is>
          <t>대량보유</t>
        </is>
      </c>
      <c r="E562" s="3" t="inlineStr">
        <is>
          <t>김동녕</t>
        </is>
      </c>
      <c r="F562" s="3" t="inlineStr">
        <is>
          <t>보고자</t>
        </is>
      </c>
      <c r="G562" s="3" t="inlineStr">
        <is>
          <t>주식담보대출 만기연장</t>
        </is>
      </c>
      <c r="H562" s="6" t="inlineStr"/>
      <c r="I562" s="6" t="inlineStr"/>
      <c r="J562" s="6" t="n">
        <v>31873085</v>
      </c>
      <c r="K562" s="16" t="n">
        <v>20</v>
      </c>
      <c r="L562" s="2" t="inlineStr">
        <is>
          <t>20260305001390</t>
        </is>
      </c>
      <c r="M562" s="8">
        <f>HYPERLINK("https://dart.fss.or.kr/dsaf001/main.do?rcpNo=20260305001390", "공시열람")</f>
        <v/>
      </c>
    </row>
    <row r="563" ht="22" customHeight="1">
      <c r="A563" s="2" t="inlineStr">
        <is>
          <t>2026-03-05</t>
        </is>
      </c>
      <c r="B563" s="3" t="inlineStr">
        <is>
          <t>SK오션플랜트</t>
        </is>
      </c>
      <c r="C563" s="2" t="inlineStr">
        <is>
          <t>100090</t>
        </is>
      </c>
      <c r="D563" s="2" t="inlineStr">
        <is>
          <t>대량보유</t>
        </is>
      </c>
      <c r="E563" s="3" t="inlineStr">
        <is>
          <t>송무석</t>
        </is>
      </c>
      <c r="F563" s="3" t="inlineStr">
        <is>
          <t>보고자</t>
        </is>
      </c>
      <c r="G563" s="3" t="inlineStr">
        <is>
          <t>담보계약 변경(기존계약 연장 및 신규계약 체결)</t>
        </is>
      </c>
      <c r="H563" s="6" t="inlineStr"/>
      <c r="I563" s="6" t="inlineStr"/>
      <c r="J563" s="6" t="n">
        <v>9343693</v>
      </c>
      <c r="K563" s="16" t="n">
        <v>4</v>
      </c>
      <c r="L563" s="2" t="inlineStr">
        <is>
          <t>20260305001360</t>
        </is>
      </c>
      <c r="M563" s="8">
        <f>HYPERLINK("https://dart.fss.or.kr/dsaf001/main.do?rcpNo=20260305001360", "공시열람")</f>
        <v/>
      </c>
    </row>
    <row r="564" ht="22" customHeight="1">
      <c r="A564" s="2" t="inlineStr">
        <is>
          <t>2026-03-05</t>
        </is>
      </c>
      <c r="B564" s="3" t="inlineStr">
        <is>
          <t>더존비즈온</t>
        </is>
      </c>
      <c r="C564" s="2" t="inlineStr">
        <is>
          <t>012510</t>
        </is>
      </c>
      <c r="D564" s="2" t="inlineStr">
        <is>
          <t>임원보고</t>
        </is>
      </c>
      <c r="E564" s="3" t="inlineStr">
        <is>
          <t>-</t>
        </is>
      </c>
      <c r="F564" s="3" t="inlineStr">
        <is>
          <t>-</t>
        </is>
      </c>
      <c r="G564" s="3" t="inlineStr">
        <is>
          <t>-</t>
        </is>
      </c>
      <c r="H564" s="6" t="inlineStr"/>
      <c r="I564" s="6" t="inlineStr"/>
      <c r="J564" s="6" t="inlineStr"/>
      <c r="K564" s="16" t="n">
        <v>12</v>
      </c>
      <c r="L564" s="2" t="inlineStr">
        <is>
          <t>20260305801444</t>
        </is>
      </c>
      <c r="M564" s="8">
        <f>HYPERLINK("https://dart.fss.or.kr/dsaf001/main.do?rcpNo=20260305801444", "공시열람")</f>
        <v/>
      </c>
    </row>
    <row r="565" ht="22" customHeight="1">
      <c r="A565" s="2" t="inlineStr">
        <is>
          <t>2026-03-05</t>
        </is>
      </c>
      <c r="B565" s="3" t="inlineStr">
        <is>
          <t>더존비즈온</t>
        </is>
      </c>
      <c r="C565" s="2" t="inlineStr">
        <is>
          <t>012510</t>
        </is>
      </c>
      <c r="D565" s="2" t="inlineStr">
        <is>
          <t>대량보유</t>
        </is>
      </c>
      <c r="E565" s="3" t="inlineStr">
        <is>
          <t>이강수</t>
        </is>
      </c>
      <c r="F565" s="3" t="inlineStr">
        <is>
          <t>특별관계자</t>
        </is>
      </c>
      <c r="G565" s="3" t="inlineStr">
        <is>
          <t>장내매도(-)</t>
        </is>
      </c>
      <c r="H565" s="17" t="n">
        <v>-44000</v>
      </c>
      <c r="I565" s="6" t="n">
        <v>118500</v>
      </c>
      <c r="J565" s="6" t="inlineStr"/>
      <c r="K565" s="16" t="n">
        <v>2</v>
      </c>
      <c r="L565" s="2" t="inlineStr">
        <is>
          <t>20260305001346</t>
        </is>
      </c>
      <c r="M565" s="8">
        <f>HYPERLINK("https://dart.fss.or.kr/dsaf001/main.do?rcpNo=20260305001346", "공시열람")</f>
        <v/>
      </c>
    </row>
    <row r="566" ht="22" customHeight="1">
      <c r="A566" s="2" t="inlineStr">
        <is>
          <t>2026-03-05</t>
        </is>
      </c>
      <c r="B566" s="3" t="inlineStr">
        <is>
          <t>더존비즈온</t>
        </is>
      </c>
      <c r="C566" s="2" t="inlineStr">
        <is>
          <t>012510</t>
        </is>
      </c>
      <c r="D566" s="2" t="inlineStr">
        <is>
          <t>대량보유</t>
        </is>
      </c>
      <c r="E566" s="3" t="inlineStr">
        <is>
          <t>옥현만</t>
        </is>
      </c>
      <c r="F566" s="3" t="inlineStr">
        <is>
          <t>특별관계자</t>
        </is>
      </c>
      <c r="G566" s="3" t="inlineStr">
        <is>
          <t>임원퇴임(-)</t>
        </is>
      </c>
      <c r="H566" s="17" t="n">
        <v>-10000</v>
      </c>
      <c r="I566" s="6" t="inlineStr"/>
      <c r="J566" s="6" t="inlineStr"/>
      <c r="K566" s="16" t="n">
        <v>2</v>
      </c>
      <c r="L566" s="2" t="inlineStr">
        <is>
          <t>20260305001346</t>
        </is>
      </c>
      <c r="M566" s="8">
        <f>HYPERLINK("https://dart.fss.or.kr/dsaf001/main.do?rcpNo=20260305001346", "공시열람")</f>
        <v/>
      </c>
    </row>
    <row r="567" ht="22" customHeight="1">
      <c r="A567" s="2" t="inlineStr">
        <is>
          <t>2026-03-05</t>
        </is>
      </c>
      <c r="B567" s="3" t="inlineStr">
        <is>
          <t>더존비즈온</t>
        </is>
      </c>
      <c r="C567" s="2" t="inlineStr">
        <is>
          <t>012510</t>
        </is>
      </c>
      <c r="D567" s="2" t="inlineStr">
        <is>
          <t>대량보유</t>
        </is>
      </c>
      <c r="E567" s="3" t="inlineStr">
        <is>
          <t>윤성태</t>
        </is>
      </c>
      <c r="F567" s="3" t="inlineStr">
        <is>
          <t>특별관계자</t>
        </is>
      </c>
      <c r="G567" s="3" t="inlineStr">
        <is>
          <t>장내매도(-)</t>
        </is>
      </c>
      <c r="H567" s="17" t="n">
        <v>-14850</v>
      </c>
      <c r="I567" s="6" t="n">
        <v>118900</v>
      </c>
      <c r="J567" s="6" t="inlineStr"/>
      <c r="K567" s="16" t="n">
        <v>2</v>
      </c>
      <c r="L567" s="2" t="inlineStr">
        <is>
          <t>20260305001346</t>
        </is>
      </c>
      <c r="M567" s="8">
        <f>HYPERLINK("https://dart.fss.or.kr/dsaf001/main.do?rcpNo=20260305001346", "공시열람")</f>
        <v/>
      </c>
    </row>
    <row r="568" ht="22" customHeight="1">
      <c r="A568" s="2" t="inlineStr">
        <is>
          <t>2026-03-05</t>
        </is>
      </c>
      <c r="B568" s="3" t="inlineStr">
        <is>
          <t>더존비즈온</t>
        </is>
      </c>
      <c r="C568" s="2" t="inlineStr">
        <is>
          <t>012510</t>
        </is>
      </c>
      <c r="D568" s="2" t="inlineStr">
        <is>
          <t>대량보유</t>
        </is>
      </c>
      <c r="E568" s="3" t="inlineStr">
        <is>
          <t>지용구</t>
        </is>
      </c>
      <c r="F568" s="3" t="inlineStr">
        <is>
          <t>특별관계자</t>
        </is>
      </c>
      <c r="G568" s="3" t="inlineStr">
        <is>
          <t>장내매도(-)</t>
        </is>
      </c>
      <c r="H568" s="17" t="n">
        <v>-10017</v>
      </c>
      <c r="I568" s="6" t="n">
        <v>118800</v>
      </c>
      <c r="J568" s="6" t="inlineStr"/>
      <c r="K568" s="16" t="n">
        <v>2</v>
      </c>
      <c r="L568" s="2" t="inlineStr">
        <is>
          <t>20260305001346</t>
        </is>
      </c>
      <c r="M568" s="8">
        <f>HYPERLINK("https://dart.fss.or.kr/dsaf001/main.do?rcpNo=20260305001346", "공시열람")</f>
        <v/>
      </c>
    </row>
    <row r="569" ht="22" customHeight="1">
      <c r="A569" s="2" t="inlineStr">
        <is>
          <t>2026-03-05</t>
        </is>
      </c>
      <c r="B569" s="3" t="inlineStr">
        <is>
          <t>더존비즈온</t>
        </is>
      </c>
      <c r="C569" s="2" t="inlineStr">
        <is>
          <t>012510</t>
        </is>
      </c>
      <c r="D569" s="2" t="inlineStr">
        <is>
          <t>대량보유</t>
        </is>
      </c>
      <c r="E569" s="3" t="inlineStr">
        <is>
          <t>송호철</t>
        </is>
      </c>
      <c r="F569" s="3" t="inlineStr">
        <is>
          <t>특별관계자</t>
        </is>
      </c>
      <c r="G569" s="3" t="inlineStr">
        <is>
          <t>장내매도(-)</t>
        </is>
      </c>
      <c r="H569" s="17" t="n">
        <v>-8500</v>
      </c>
      <c r="I569" s="6" t="n">
        <v>118541</v>
      </c>
      <c r="J569" s="6" t="inlineStr"/>
      <c r="K569" s="16" t="n">
        <v>2</v>
      </c>
      <c r="L569" s="2" t="inlineStr">
        <is>
          <t>20260305001346</t>
        </is>
      </c>
      <c r="M569" s="8">
        <f>HYPERLINK("https://dart.fss.or.kr/dsaf001/main.do?rcpNo=20260305001346", "공시열람")</f>
        <v/>
      </c>
    </row>
    <row r="570" ht="22" customHeight="1">
      <c r="A570" s="2" t="inlineStr">
        <is>
          <t>2026-03-05</t>
        </is>
      </c>
      <c r="B570" s="3" t="inlineStr">
        <is>
          <t>더존비즈온</t>
        </is>
      </c>
      <c r="C570" s="2" t="inlineStr">
        <is>
          <t>012510</t>
        </is>
      </c>
      <c r="D570" s="2" t="inlineStr">
        <is>
          <t>대량보유</t>
        </is>
      </c>
      <c r="E570" s="3" t="inlineStr">
        <is>
          <t>조선경</t>
        </is>
      </c>
      <c r="F570" s="3" t="inlineStr">
        <is>
          <t>특별관계자</t>
        </is>
      </c>
      <c r="G570" s="3" t="inlineStr">
        <is>
          <t>장내매도(-)</t>
        </is>
      </c>
      <c r="H570" s="17" t="n">
        <v>-2000</v>
      </c>
      <c r="I570" s="6" t="n">
        <v>118700</v>
      </c>
      <c r="J570" s="6" t="inlineStr"/>
      <c r="K570" s="16" t="n">
        <v>2</v>
      </c>
      <c r="L570" s="2" t="inlineStr">
        <is>
          <t>20260305001346</t>
        </is>
      </c>
      <c r="M570" s="8">
        <f>HYPERLINK("https://dart.fss.or.kr/dsaf001/main.do?rcpNo=20260305001346", "공시열람")</f>
        <v/>
      </c>
    </row>
    <row r="571" ht="22" customHeight="1">
      <c r="A571" s="2" t="inlineStr">
        <is>
          <t>2026-03-05</t>
        </is>
      </c>
      <c r="B571" s="3" t="inlineStr">
        <is>
          <t>ISC</t>
        </is>
      </c>
      <c r="C571" s="2" t="inlineStr">
        <is>
          <t>095340</t>
        </is>
      </c>
      <c r="D571" s="2" t="inlineStr">
        <is>
          <t>대량보유</t>
        </is>
      </c>
      <c r="E571" s="3" t="inlineStr">
        <is>
          <t>헬리오스제8호사모투자합자회사</t>
        </is>
      </c>
      <c r="F571" s="3" t="inlineStr">
        <is>
          <t>특별관계자</t>
        </is>
      </c>
      <c r="G571" s="3" t="inlineStr">
        <is>
          <t>콜옵션권리행사배정에따른주식처분(-)</t>
        </is>
      </c>
      <c r="H571" s="17" t="n">
        <v>-734490</v>
      </c>
      <c r="I571" s="6" t="n">
        <v>68612</v>
      </c>
      <c r="J571" s="6" t="n">
        <v>56230</v>
      </c>
      <c r="K571" s="16" t="n">
        <v>8</v>
      </c>
      <c r="L571" s="2" t="inlineStr">
        <is>
          <t>20260305001334</t>
        </is>
      </c>
      <c r="M571" s="8">
        <f>HYPERLINK("https://dart.fss.or.kr/dsaf001/main.do?rcpNo=20260305001334", "공시열람")</f>
        <v/>
      </c>
    </row>
    <row r="572" ht="22" customHeight="1">
      <c r="A572" s="2" t="inlineStr">
        <is>
          <t>2026-03-05</t>
        </is>
      </c>
      <c r="B572" s="3" t="inlineStr">
        <is>
          <t>ISC</t>
        </is>
      </c>
      <c r="C572" s="2" t="inlineStr">
        <is>
          <t>095340</t>
        </is>
      </c>
      <c r="D572" s="2" t="inlineStr">
        <is>
          <t>대량보유</t>
        </is>
      </c>
      <c r="E572" s="3" t="inlineStr">
        <is>
          <t>에스케이씨(주)</t>
        </is>
      </c>
      <c r="F572" s="3" t="inlineStr">
        <is>
          <t>특별관계자</t>
        </is>
      </c>
      <c r="G572" s="3" t="inlineStr">
        <is>
          <t>콜옵션권리행사에따른주식취득(+), 특별관계해소(-)</t>
        </is>
      </c>
      <c r="H572" s="17" t="n">
        <v>-9544647</v>
      </c>
      <c r="I572" s="6" t="n">
        <v>68612</v>
      </c>
      <c r="J572" s="6" t="n">
        <v>10279137</v>
      </c>
      <c r="K572" s="16" t="n">
        <v>8</v>
      </c>
      <c r="L572" s="2" t="inlineStr">
        <is>
          <t>20260305001334</t>
        </is>
      </c>
      <c r="M572" s="8">
        <f>HYPERLINK("https://dart.fss.or.kr/dsaf001/main.do?rcpNo=20260305001334", "공시열람")</f>
        <v/>
      </c>
    </row>
    <row r="573" ht="22" customHeight="1">
      <c r="A573" s="2" t="inlineStr">
        <is>
          <t>2026-03-05</t>
        </is>
      </c>
      <c r="B573" s="3" t="inlineStr">
        <is>
          <t>차바이오텍</t>
        </is>
      </c>
      <c r="C573" s="2" t="inlineStr">
        <is>
          <t>085660</t>
        </is>
      </c>
      <c r="D573" s="2" t="inlineStr">
        <is>
          <t>대량보유</t>
        </is>
      </c>
      <c r="E573" s="3" t="inlineStr">
        <is>
          <t>장원규</t>
        </is>
      </c>
      <c r="F573" s="3" t="inlineStr">
        <is>
          <t>특별관계자</t>
        </is>
      </c>
      <c r="G573" s="3" t="inlineStr">
        <is>
          <t>임원퇴임(-), 특별관계해소(-)</t>
        </is>
      </c>
      <c r="H573" s="17" t="n">
        <v>-3000</v>
      </c>
      <c r="I573" s="6" t="inlineStr"/>
      <c r="J573" s="6" t="inlineStr"/>
      <c r="K573" s="16" t="n">
        <v>21</v>
      </c>
      <c r="L573" s="2" t="inlineStr">
        <is>
          <t>20260305001332</t>
        </is>
      </c>
      <c r="M573" s="8">
        <f>HYPERLINK("https://dart.fss.or.kr/dsaf001/main.do?rcpNo=20260305001332", "공시열람")</f>
        <v/>
      </c>
    </row>
    <row r="574" ht="22" customHeight="1">
      <c r="A574" s="2" t="inlineStr">
        <is>
          <t>2026-03-05</t>
        </is>
      </c>
      <c r="B574" s="3" t="inlineStr">
        <is>
          <t>BGF리테일</t>
        </is>
      </c>
      <c r="C574" s="2" t="inlineStr">
        <is>
          <t>282330</t>
        </is>
      </c>
      <c r="D574" s="2" t="inlineStr">
        <is>
          <t>임원보고</t>
        </is>
      </c>
      <c r="E574" s="3" t="inlineStr">
        <is>
          <t>-</t>
        </is>
      </c>
      <c r="F574" s="3" t="inlineStr">
        <is>
          <t>-</t>
        </is>
      </c>
      <c r="G574" s="3" t="inlineStr">
        <is>
          <t>-</t>
        </is>
      </c>
      <c r="H574" s="6" t="inlineStr"/>
      <c r="I574" s="6" t="inlineStr"/>
      <c r="J574" s="6" t="inlineStr"/>
      <c r="K574" s="16" t="n">
        <v>12</v>
      </c>
      <c r="L574" s="2" t="inlineStr">
        <is>
          <t>20260305801385</t>
        </is>
      </c>
      <c r="M574" s="8">
        <f>HYPERLINK("https://dart.fss.or.kr/dsaf001/main.do?rcpNo=20260305801385", "공시열람")</f>
        <v/>
      </c>
    </row>
    <row r="575" ht="22" customHeight="1">
      <c r="A575" s="2" t="inlineStr">
        <is>
          <t>2026-03-05 (정정: 2026-03-11)</t>
        </is>
      </c>
      <c r="B575" s="3" t="inlineStr">
        <is>
          <t>비투엔</t>
        </is>
      </c>
      <c r="C575" s="2" t="inlineStr">
        <is>
          <t>307870</t>
        </is>
      </c>
      <c r="D575" s="2" t="inlineStr">
        <is>
          <t>대량보유</t>
        </is>
      </c>
      <c r="E575" s="3" t="inlineStr">
        <is>
          <t>-</t>
        </is>
      </c>
      <c r="F575" s="3" t="inlineStr">
        <is>
          <t>보고자</t>
        </is>
      </c>
      <c r="G575" s="3" t="inlineStr">
        <is>
          <t>-</t>
        </is>
      </c>
      <c r="H575" s="6" t="inlineStr"/>
      <c r="I575" s="6" t="inlineStr"/>
      <c r="J575" s="6" t="inlineStr"/>
      <c r="K575" s="18" t="inlineStr"/>
      <c r="L575" s="2" t="inlineStr">
        <is>
          <t>20260311902486</t>
        </is>
      </c>
      <c r="M575" s="8">
        <f>HYPERLINK("https://dart.fss.or.kr/dsaf001/main.do?rcpNo=20260311902486", "공시열람")</f>
        <v/>
      </c>
    </row>
    <row r="576" ht="22" customHeight="1">
      <c r="A576" s="2" t="inlineStr">
        <is>
          <t>2026-03-05</t>
        </is>
      </c>
      <c r="B576" s="3" t="inlineStr">
        <is>
          <t>ISC</t>
        </is>
      </c>
      <c r="C576" s="2" t="inlineStr">
        <is>
          <t>095340</t>
        </is>
      </c>
      <c r="D576" s="2" t="inlineStr">
        <is>
          <t>대량보유</t>
        </is>
      </c>
      <c r="E576" s="3" t="inlineStr">
        <is>
          <t>에스케이씨(주)</t>
        </is>
      </c>
      <c r="F576" s="3" t="inlineStr">
        <is>
          <t>특별관계자</t>
        </is>
      </c>
      <c r="G576" s="3" t="inlineStr">
        <is>
          <t>콜옵션권리행사에따른주식취득(+)</t>
        </is>
      </c>
      <c r="H576" s="15" t="n">
        <v>734490</v>
      </c>
      <c r="I576" s="6" t="n">
        <v>68612</v>
      </c>
      <c r="J576" s="6" t="n">
        <v>10279137</v>
      </c>
      <c r="K576" s="16" t="n">
        <v>3</v>
      </c>
      <c r="L576" s="2" t="inlineStr">
        <is>
          <t>20260305001303</t>
        </is>
      </c>
      <c r="M576" s="8">
        <f>HYPERLINK("https://dart.fss.or.kr/dsaf001/main.do?rcpNo=20260305001303", "공시열람")</f>
        <v/>
      </c>
    </row>
    <row r="577" ht="22" customHeight="1">
      <c r="A577" s="2" t="inlineStr">
        <is>
          <t>2026-03-05</t>
        </is>
      </c>
      <c r="B577" s="3" t="inlineStr">
        <is>
          <t>ISC</t>
        </is>
      </c>
      <c r="C577" s="2" t="inlineStr">
        <is>
          <t>095340</t>
        </is>
      </c>
      <c r="D577" s="2" t="inlineStr">
        <is>
          <t>대량보유</t>
        </is>
      </c>
      <c r="E577" s="3" t="inlineStr">
        <is>
          <t>헬리오스제8호사모투자합자회사</t>
        </is>
      </c>
      <c r="F577" s="3" t="inlineStr">
        <is>
          <t>특별관계자</t>
        </is>
      </c>
      <c r="G577" s="3" t="inlineStr">
        <is>
          <t>콜옵션권리행사배정에따른주식처분(-), 특별관계해소(-)</t>
        </is>
      </c>
      <c r="H577" s="17" t="n">
        <v>-1468979</v>
      </c>
      <c r="I577" s="6" t="n">
        <v>68612</v>
      </c>
      <c r="J577" s="6" t="n">
        <v>56230</v>
      </c>
      <c r="K577" s="16" t="n">
        <v>3</v>
      </c>
      <c r="L577" s="2" t="inlineStr">
        <is>
          <t>20260305001303</t>
        </is>
      </c>
      <c r="M577" s="8">
        <f>HYPERLINK("https://dart.fss.or.kr/dsaf001/main.do?rcpNo=20260305001303", "공시열람")</f>
        <v/>
      </c>
    </row>
    <row r="578" ht="22" customHeight="1">
      <c r="A578" s="2" t="inlineStr">
        <is>
          <t>2026-03-06 (정정: 2026-03-12)</t>
        </is>
      </c>
      <c r="B578" s="3" t="inlineStr">
        <is>
          <t>태광산업</t>
        </is>
      </c>
      <c r="C578" s="2" t="inlineStr">
        <is>
          <t>003240</t>
        </is>
      </c>
      <c r="D578" s="2" t="inlineStr">
        <is>
          <t>대량보유</t>
        </is>
      </c>
      <c r="E578" s="3" t="inlineStr">
        <is>
          <t>트러스톤자산운용(주)</t>
        </is>
      </c>
      <c r="F578" s="3" t="inlineStr">
        <is>
          <t>특별관계자</t>
        </is>
      </c>
      <c r="G578" s="3" t="inlineStr">
        <is>
          <t>장내매수(+), 기타(-), 기타(+), 장내매도(-), 시간외매매(-)</t>
        </is>
      </c>
      <c r="H578" s="17" t="n">
        <v>-13744</v>
      </c>
      <c r="I578" s="6" t="n">
        <v>809959</v>
      </c>
      <c r="J578" s="6" t="n">
        <v>19279</v>
      </c>
      <c r="K578" s="16" t="n">
        <v>1</v>
      </c>
      <c r="L578" s="2" t="inlineStr">
        <is>
          <t>20260312000717</t>
        </is>
      </c>
      <c r="M578" s="8">
        <f>HYPERLINK("https://dart.fss.or.kr/dsaf001/main.do?rcpNo=20260312000717", "공시열람")</f>
        <v/>
      </c>
    </row>
    <row r="579" ht="22" customHeight="1">
      <c r="A579" s="2" t="inlineStr">
        <is>
          <t>2026-03-06 (정정: 2026-03-12)</t>
        </is>
      </c>
      <c r="B579" s="3" t="inlineStr">
        <is>
          <t>태광산업</t>
        </is>
      </c>
      <c r="C579" s="2" t="inlineStr">
        <is>
          <t>003240</t>
        </is>
      </c>
      <c r="D579" s="2" t="inlineStr">
        <is>
          <t>대량보유</t>
        </is>
      </c>
      <c r="E579" s="3" t="inlineStr">
        <is>
          <t>오케이캐피탈(주)</t>
        </is>
      </c>
      <c r="F579" s="3" t="inlineStr">
        <is>
          <t>특별관계자</t>
        </is>
      </c>
      <c r="G579" s="3" t="inlineStr">
        <is>
          <t>시간외매매(+)</t>
        </is>
      </c>
      <c r="H579" s="15" t="n">
        <v>5000</v>
      </c>
      <c r="I579" s="6" t="n">
        <v>790340</v>
      </c>
      <c r="J579" s="6" t="n">
        <v>35362</v>
      </c>
      <c r="K579" s="16" t="n">
        <v>1</v>
      </c>
      <c r="L579" s="2" t="inlineStr">
        <is>
          <t>20260312000717</t>
        </is>
      </c>
      <c r="M579" s="8">
        <f>HYPERLINK("https://dart.fss.or.kr/dsaf001/main.do?rcpNo=20260312000717", "공시열람")</f>
        <v/>
      </c>
    </row>
    <row r="580" ht="22" customHeight="1">
      <c r="A580" s="2" t="inlineStr">
        <is>
          <t>2026-03-06 (정정: 2026-03-12)</t>
        </is>
      </c>
      <c r="B580" s="3" t="inlineStr">
        <is>
          <t>태광산업</t>
        </is>
      </c>
      <c r="C580" s="2" t="inlineStr">
        <is>
          <t>003240</t>
        </is>
      </c>
      <c r="D580" s="2" t="inlineStr">
        <is>
          <t>대량보유</t>
        </is>
      </c>
      <c r="E580" s="3" t="inlineStr">
        <is>
          <t>(주)오케이저축은행</t>
        </is>
      </c>
      <c r="F580" s="3" t="inlineStr">
        <is>
          <t>특별관계자</t>
        </is>
      </c>
      <c r="G580" s="3" t="inlineStr">
        <is>
          <t>신규등록(+)</t>
        </is>
      </c>
      <c r="H580" s="15" t="n">
        <v>200</v>
      </c>
      <c r="I580" s="6" t="n">
        <v>1231000</v>
      </c>
      <c r="J580" s="6" t="n">
        <v>200</v>
      </c>
      <c r="K580" s="16" t="n">
        <v>1</v>
      </c>
      <c r="L580" s="2" t="inlineStr">
        <is>
          <t>20260312000717</t>
        </is>
      </c>
      <c r="M580" s="8">
        <f>HYPERLINK("https://dart.fss.or.kr/dsaf001/main.do?rcpNo=20260312000717", "공시열람")</f>
        <v/>
      </c>
    </row>
    <row r="581" ht="22" customHeight="1">
      <c r="A581" s="2" t="inlineStr">
        <is>
          <t>2026-03-06 (정정: 2026-03-12)</t>
        </is>
      </c>
      <c r="B581" s="3" t="inlineStr">
        <is>
          <t>태광산업</t>
        </is>
      </c>
      <c r="C581" s="2" t="inlineStr">
        <is>
          <t>003240</t>
        </is>
      </c>
      <c r="D581" s="2" t="inlineStr">
        <is>
          <t>대량보유</t>
        </is>
      </c>
      <c r="E581" s="3" t="inlineStr">
        <is>
          <t>최윤</t>
        </is>
      </c>
      <c r="F581" s="3" t="inlineStr">
        <is>
          <t>특별관계자</t>
        </is>
      </c>
      <c r="G581" s="3" t="inlineStr">
        <is>
          <t>신규등록(+), 장내매수(+)</t>
        </is>
      </c>
      <c r="H581" s="15" t="n">
        <v>1300</v>
      </c>
      <c r="I581" s="6" t="n">
        <v>1197154</v>
      </c>
      <c r="J581" s="6" t="n">
        <v>1300</v>
      </c>
      <c r="K581" s="16" t="n">
        <v>1</v>
      </c>
      <c r="L581" s="2" t="inlineStr">
        <is>
          <t>20260312000717</t>
        </is>
      </c>
      <c r="M581" s="8">
        <f>HYPERLINK("https://dart.fss.or.kr/dsaf001/main.do?rcpNo=20260312000717", "공시열람")</f>
        <v/>
      </c>
    </row>
    <row r="582" ht="22" customHeight="1">
      <c r="A582" s="2" t="inlineStr">
        <is>
          <t>2026-03-06</t>
        </is>
      </c>
      <c r="B582" s="3" t="inlineStr">
        <is>
          <t>폴라리스오피스</t>
        </is>
      </c>
      <c r="C582" s="2" t="inlineStr">
        <is>
          <t>041020</t>
        </is>
      </c>
      <c r="D582" s="2" t="inlineStr">
        <is>
          <t>대량보유</t>
        </is>
      </c>
      <c r="E582" s="3" t="inlineStr">
        <is>
          <t>(주)폴라리스우노</t>
        </is>
      </c>
      <c r="F582" s="3" t="inlineStr">
        <is>
          <t>특별관계자</t>
        </is>
      </c>
      <c r="G582" s="3" t="inlineStr">
        <is>
          <t>시간외매매(-)</t>
        </is>
      </c>
      <c r="H582" s="17" t="n">
        <v>-3937559</v>
      </c>
      <c r="I582" s="6" t="n">
        <v>3320</v>
      </c>
      <c r="J582" s="6" t="inlineStr"/>
      <c r="K582" s="16" t="n">
        <v>6</v>
      </c>
      <c r="L582" s="2" t="inlineStr">
        <is>
          <t>20260306001005</t>
        </is>
      </c>
      <c r="M582" s="8">
        <f>HYPERLINK("https://dart.fss.or.kr/dsaf001/main.do?rcpNo=20260306001005", "공시열람")</f>
        <v/>
      </c>
    </row>
    <row r="583" ht="22" customHeight="1">
      <c r="A583" s="2" t="inlineStr">
        <is>
          <t>2026-03-06</t>
        </is>
      </c>
      <c r="B583" s="3" t="inlineStr">
        <is>
          <t>폴라리스오피스</t>
        </is>
      </c>
      <c r="C583" s="2" t="inlineStr">
        <is>
          <t>041020</t>
        </is>
      </c>
      <c r="D583" s="2" t="inlineStr">
        <is>
          <t>대량보유</t>
        </is>
      </c>
      <c r="E583" s="3" t="inlineStr">
        <is>
          <t>(주)핸디소프트</t>
        </is>
      </c>
      <c r="F583" s="3" t="inlineStr">
        <is>
          <t>특별관계자</t>
        </is>
      </c>
      <c r="G583" s="3" t="inlineStr">
        <is>
          <t>시간외매매(+)</t>
        </is>
      </c>
      <c r="H583" s="15" t="n">
        <v>3937559</v>
      </c>
      <c r="I583" s="6" t="n">
        <v>3320</v>
      </c>
      <c r="J583" s="6" t="n">
        <v>5617973</v>
      </c>
      <c r="K583" s="16" t="n">
        <v>6</v>
      </c>
      <c r="L583" s="2" t="inlineStr">
        <is>
          <t>20260306001005</t>
        </is>
      </c>
      <c r="M583" s="8">
        <f>HYPERLINK("https://dart.fss.or.kr/dsaf001/main.do?rcpNo=20260306001005", "공시열람")</f>
        <v/>
      </c>
    </row>
    <row r="584" ht="22" customHeight="1">
      <c r="A584" s="2" t="inlineStr">
        <is>
          <t>2026-03-06</t>
        </is>
      </c>
      <c r="B584" s="3" t="inlineStr">
        <is>
          <t>디아이</t>
        </is>
      </c>
      <c r="C584" s="2" t="inlineStr">
        <is>
          <t>003160</t>
        </is>
      </c>
      <c r="D584" s="2" t="inlineStr">
        <is>
          <t>대량보유</t>
        </is>
      </c>
      <c r="E584" s="3" t="inlineStr">
        <is>
          <t>박원호</t>
        </is>
      </c>
      <c r="F584" s="3" t="inlineStr">
        <is>
          <t>보고자</t>
        </is>
      </c>
      <c r="G584" s="3" t="inlineStr">
        <is>
          <t>보고자 및 특별관계자의 보유주식등에 관한 계약내용 변경(주식담보대출 만기연장) 보고</t>
        </is>
      </c>
      <c r="H584" s="6" t="inlineStr"/>
      <c r="I584" s="6" t="inlineStr"/>
      <c r="J584" s="6" t="n">
        <v>8281271</v>
      </c>
      <c r="K584" s="16" t="n">
        <v>1</v>
      </c>
      <c r="L584" s="2" t="inlineStr">
        <is>
          <t>20260306001003</t>
        </is>
      </c>
      <c r="M584" s="8">
        <f>HYPERLINK("https://dart.fss.or.kr/dsaf001/main.do?rcpNo=20260306001003", "공시열람")</f>
        <v/>
      </c>
    </row>
    <row r="585" ht="22" customHeight="1">
      <c r="A585" s="2" t="inlineStr">
        <is>
          <t>2026-03-06</t>
        </is>
      </c>
      <c r="B585" s="3" t="inlineStr">
        <is>
          <t>HDC</t>
        </is>
      </c>
      <c r="C585" s="2" t="inlineStr">
        <is>
          <t>012630</t>
        </is>
      </c>
      <c r="D585" s="2" t="inlineStr">
        <is>
          <t>임원보고</t>
        </is>
      </c>
      <c r="E585" s="3" t="inlineStr">
        <is>
          <t>-</t>
        </is>
      </c>
      <c r="F585" s="3" t="inlineStr">
        <is>
          <t>-</t>
        </is>
      </c>
      <c r="G585" s="3" t="inlineStr">
        <is>
          <t>-</t>
        </is>
      </c>
      <c r="H585" s="6" t="inlineStr"/>
      <c r="I585" s="6" t="inlineStr"/>
      <c r="J585" s="6" t="inlineStr"/>
      <c r="K585" s="16" t="n">
        <v>12</v>
      </c>
      <c r="L585" s="2" t="inlineStr">
        <is>
          <t>20260306801646</t>
        </is>
      </c>
      <c r="M585" s="8">
        <f>HYPERLINK("https://dart.fss.or.kr/dsaf001/main.do?rcpNo=20260306801646", "공시열람")</f>
        <v/>
      </c>
    </row>
    <row r="586" ht="22" customHeight="1">
      <c r="A586" s="2" t="inlineStr">
        <is>
          <t>2026-03-06</t>
        </is>
      </c>
      <c r="B586" s="3" t="inlineStr">
        <is>
          <t>HDC</t>
        </is>
      </c>
      <c r="C586" s="2" t="inlineStr">
        <is>
          <t>012630</t>
        </is>
      </c>
      <c r="D586" s="2" t="inlineStr">
        <is>
          <t>대량보유</t>
        </is>
      </c>
      <c r="E586" s="3" t="inlineStr">
        <is>
          <t>더블유앤씨인베스트먼트(유)</t>
        </is>
      </c>
      <c r="F586" s="3" t="inlineStr">
        <is>
          <t>특별관계자</t>
        </is>
      </c>
      <c r="G586" s="3" t="inlineStr">
        <is>
          <t>장내매수(+)</t>
        </is>
      </c>
      <c r="H586" s="15" t="n">
        <v>10000</v>
      </c>
      <c r="I586" s="6" t="n">
        <v>22427</v>
      </c>
      <c r="J586" s="6" t="n">
        <v>180000</v>
      </c>
      <c r="K586" s="16" t="n">
        <v>9</v>
      </c>
      <c r="L586" s="2" t="inlineStr">
        <is>
          <t>20260306000995</t>
        </is>
      </c>
      <c r="M586" s="8">
        <f>HYPERLINK("https://dart.fss.or.kr/dsaf001/main.do?rcpNo=20260306000995", "공시열람")</f>
        <v/>
      </c>
    </row>
    <row r="587" ht="22" customHeight="1">
      <c r="A587" s="2" t="inlineStr">
        <is>
          <t>2026-03-06</t>
        </is>
      </c>
      <c r="B587" s="3" t="inlineStr">
        <is>
          <t>HDC</t>
        </is>
      </c>
      <c r="C587" s="2" t="inlineStr">
        <is>
          <t>012630</t>
        </is>
      </c>
      <c r="D587" s="2" t="inlineStr">
        <is>
          <t>대량보유</t>
        </is>
      </c>
      <c r="E587" s="3" t="inlineStr">
        <is>
          <t>에스비디인베스트먼트(유)</t>
        </is>
      </c>
      <c r="F587" s="3" t="inlineStr">
        <is>
          <t>특별관계자</t>
        </is>
      </c>
      <c r="G587" s="3" t="inlineStr">
        <is>
          <t>장내매수(+)</t>
        </is>
      </c>
      <c r="H587" s="15" t="n">
        <v>3000</v>
      </c>
      <c r="I587" s="6" t="n">
        <v>22577</v>
      </c>
      <c r="J587" s="6" t="n">
        <v>136300</v>
      </c>
      <c r="K587" s="16" t="n">
        <v>9</v>
      </c>
      <c r="L587" s="2" t="inlineStr">
        <is>
          <t>20260306000995</t>
        </is>
      </c>
      <c r="M587" s="8">
        <f>HYPERLINK("https://dart.fss.or.kr/dsaf001/main.do?rcpNo=20260306000995", "공시열람")</f>
        <v/>
      </c>
    </row>
    <row r="588" ht="22" customHeight="1">
      <c r="A588" s="2" t="inlineStr">
        <is>
          <t>2026-03-06</t>
        </is>
      </c>
      <c r="B588" s="3" t="inlineStr">
        <is>
          <t>HDC</t>
        </is>
      </c>
      <c r="C588" s="2" t="inlineStr">
        <is>
          <t>012630</t>
        </is>
      </c>
      <c r="D588" s="2" t="inlineStr">
        <is>
          <t>대량보유</t>
        </is>
      </c>
      <c r="E588" s="3" t="inlineStr">
        <is>
          <t>제이앤씨인베스트먼트(유)</t>
        </is>
      </c>
      <c r="F588" s="3" t="inlineStr">
        <is>
          <t>특별관계자</t>
        </is>
      </c>
      <c r="G588" s="3" t="inlineStr">
        <is>
          <t>장내매수(+)</t>
        </is>
      </c>
      <c r="H588" s="15" t="n">
        <v>12000</v>
      </c>
      <c r="I588" s="6" t="n">
        <v>22368</v>
      </c>
      <c r="J588" s="6" t="n">
        <v>302000</v>
      </c>
      <c r="K588" s="16" t="n">
        <v>9</v>
      </c>
      <c r="L588" s="2" t="inlineStr">
        <is>
          <t>20260306000995</t>
        </is>
      </c>
      <c r="M588" s="8">
        <f>HYPERLINK("https://dart.fss.or.kr/dsaf001/main.do?rcpNo=20260306000995", "공시열람")</f>
        <v/>
      </c>
    </row>
    <row r="589" ht="22" customHeight="1">
      <c r="A589" s="2" t="inlineStr">
        <is>
          <t>2026-03-06</t>
        </is>
      </c>
      <c r="B589" s="3" t="inlineStr">
        <is>
          <t>탑런토탈솔루션</t>
        </is>
      </c>
      <c r="C589" s="2" t="inlineStr">
        <is>
          <t>336680</t>
        </is>
      </c>
      <c r="D589" s="2" t="inlineStr">
        <is>
          <t>대량보유</t>
        </is>
      </c>
      <c r="E589" s="3" t="inlineStr">
        <is>
          <t>유암코-케이비크레딧제1호사모투자합자회사</t>
        </is>
      </c>
      <c r="F589" s="3" t="inlineStr">
        <is>
          <t>특별관계자</t>
        </is>
      </c>
      <c r="G589" s="3" t="inlineStr">
        <is>
          <t>무상신주취득(+)</t>
        </is>
      </c>
      <c r="H589" s="15" t="n">
        <v>2521064</v>
      </c>
      <c r="I589" s="6" t="inlineStr"/>
      <c r="J589" s="6" t="n">
        <v>5042128</v>
      </c>
      <c r="K589" s="16" t="n">
        <v>1</v>
      </c>
      <c r="L589" s="2" t="inlineStr">
        <is>
          <t>20260306000989</t>
        </is>
      </c>
      <c r="M589" s="8">
        <f>HYPERLINK("https://dart.fss.or.kr/dsaf001/main.do?rcpNo=20260306000989", "공시열람")</f>
        <v/>
      </c>
    </row>
    <row r="590" ht="22" customHeight="1">
      <c r="A590" s="2" t="inlineStr">
        <is>
          <t>2026-03-06</t>
        </is>
      </c>
      <c r="B590" s="3" t="inlineStr">
        <is>
          <t>탑런토탈솔루션</t>
        </is>
      </c>
      <c r="C590" s="2" t="inlineStr">
        <is>
          <t>336680</t>
        </is>
      </c>
      <c r="D590" s="2" t="inlineStr">
        <is>
          <t>대량보유</t>
        </is>
      </c>
      <c r="E590" s="3" t="inlineStr">
        <is>
          <t>케이비증권(주)</t>
        </is>
      </c>
      <c r="F590" s="3" t="inlineStr">
        <is>
          <t>특별관계자</t>
        </is>
      </c>
      <c r="G590" s="3" t="inlineStr">
        <is>
          <t>장내매도(-)</t>
        </is>
      </c>
      <c r="H590" s="17" t="n">
        <v>-55555</v>
      </c>
      <c r="I590" s="6" t="n">
        <v>9506</v>
      </c>
      <c r="J590" s="6" t="inlineStr"/>
      <c r="K590" s="16" t="n">
        <v>1</v>
      </c>
      <c r="L590" s="2" t="inlineStr">
        <is>
          <t>20260306000989</t>
        </is>
      </c>
      <c r="M590" s="8">
        <f>HYPERLINK("https://dart.fss.or.kr/dsaf001/main.do?rcpNo=20260306000989", "공시열람")</f>
        <v/>
      </c>
    </row>
    <row r="591" ht="22" customHeight="1">
      <c r="A591" s="2" t="inlineStr">
        <is>
          <t>2026-03-06</t>
        </is>
      </c>
      <c r="B591" s="3" t="inlineStr">
        <is>
          <t>탑런토탈솔루션</t>
        </is>
      </c>
      <c r="C591" s="2" t="inlineStr">
        <is>
          <t>336680</t>
        </is>
      </c>
      <c r="D591" s="2" t="inlineStr">
        <is>
          <t>대량보유</t>
        </is>
      </c>
      <c r="E591" s="3" t="inlineStr">
        <is>
          <t>케이비에스비아이글로벌첨단전략사모투자합자회사</t>
        </is>
      </c>
      <c r="F591" s="3" t="inlineStr">
        <is>
          <t>특별관계자</t>
        </is>
      </c>
      <c r="G591" s="3" t="inlineStr">
        <is>
          <t>CB인수(+)</t>
        </is>
      </c>
      <c r="H591" s="15" t="n">
        <v>2994608</v>
      </c>
      <c r="I591" s="6" t="n">
        <v>5009</v>
      </c>
      <c r="J591" s="6" t="n">
        <v>2994608</v>
      </c>
      <c r="K591" s="16" t="n">
        <v>1</v>
      </c>
      <c r="L591" s="2" t="inlineStr">
        <is>
          <t>20260306000989</t>
        </is>
      </c>
      <c r="M591" s="8">
        <f>HYPERLINK("https://dart.fss.or.kr/dsaf001/main.do?rcpNo=20260306000989", "공시열람")</f>
        <v/>
      </c>
    </row>
    <row r="592" ht="22" customHeight="1">
      <c r="A592" s="2" t="inlineStr">
        <is>
          <t>2026-03-06</t>
        </is>
      </c>
      <c r="B592" s="3" t="inlineStr">
        <is>
          <t>대아티아이</t>
        </is>
      </c>
      <c r="C592" s="2" t="inlineStr">
        <is>
          <t>045390</t>
        </is>
      </c>
      <c r="D592" s="2" t="inlineStr">
        <is>
          <t>대량보유</t>
        </is>
      </c>
      <c r="E592" s="3" t="inlineStr">
        <is>
          <t>최진우</t>
        </is>
      </c>
      <c r="F592" s="3" t="inlineStr">
        <is>
          <t>보고자</t>
        </is>
      </c>
      <c r="G592" s="3" t="inlineStr">
        <is>
          <t>- 주식담보대출 연장</t>
        </is>
      </c>
      <c r="H592" s="6" t="inlineStr"/>
      <c r="I592" s="6" t="inlineStr"/>
      <c r="J592" s="6" t="n">
        <v>11384355</v>
      </c>
      <c r="K592" s="16" t="n">
        <v>3</v>
      </c>
      <c r="L592" s="2" t="inlineStr">
        <is>
          <t>20260306000979</t>
        </is>
      </c>
      <c r="M592" s="8">
        <f>HYPERLINK("https://dart.fss.or.kr/dsaf001/main.do?rcpNo=20260306000979", "공시열람")</f>
        <v/>
      </c>
    </row>
    <row r="593" ht="22" customHeight="1">
      <c r="A593" s="2" t="inlineStr">
        <is>
          <t>2026-03-06</t>
        </is>
      </c>
      <c r="B593" s="3" t="inlineStr">
        <is>
          <t>LS</t>
        </is>
      </c>
      <c r="C593" s="2" t="inlineStr">
        <is>
          <t>006260</t>
        </is>
      </c>
      <c r="D593" s="2" t="inlineStr">
        <is>
          <t>대량보유</t>
        </is>
      </c>
      <c r="E593" s="3" t="inlineStr">
        <is>
          <t>구본혁</t>
        </is>
      </c>
      <c r="F593" s="3" t="inlineStr">
        <is>
          <t>특별관계자</t>
        </is>
      </c>
      <c r="G593" s="3" t="inlineStr">
        <is>
          <t>장내매도(-)</t>
        </is>
      </c>
      <c r="H593" s="17" t="n">
        <v>-5000</v>
      </c>
      <c r="I593" s="6" t="n">
        <v>267430</v>
      </c>
      <c r="J593" s="6" t="n">
        <v>395000</v>
      </c>
      <c r="K593" s="16" t="n">
        <v>45</v>
      </c>
      <c r="L593" s="2" t="inlineStr">
        <is>
          <t>20260306000975</t>
        </is>
      </c>
      <c r="M593" s="8">
        <f>HYPERLINK("https://dart.fss.or.kr/dsaf001/main.do?rcpNo=20260306000975", "공시열람")</f>
        <v/>
      </c>
    </row>
    <row r="594" ht="22" customHeight="1">
      <c r="A594" s="2" t="inlineStr">
        <is>
          <t>2026-03-06</t>
        </is>
      </c>
      <c r="B594" s="3" t="inlineStr">
        <is>
          <t>LS</t>
        </is>
      </c>
      <c r="C594" s="2" t="inlineStr">
        <is>
          <t>006260</t>
        </is>
      </c>
      <c r="D594" s="2" t="inlineStr">
        <is>
          <t>대량보유</t>
        </is>
      </c>
      <c r="E594" s="3" t="inlineStr">
        <is>
          <t>구윤희</t>
        </is>
      </c>
      <c r="F594" s="3" t="inlineStr">
        <is>
          <t>특별관계자</t>
        </is>
      </c>
      <c r="G594" s="3" t="inlineStr">
        <is>
          <t>장내매도(-)</t>
        </is>
      </c>
      <c r="H594" s="17" t="n">
        <v>-1100</v>
      </c>
      <c r="I594" s="6" t="n">
        <v>292000</v>
      </c>
      <c r="J594" s="6" t="n">
        <v>258900</v>
      </c>
      <c r="K594" s="16" t="n">
        <v>45</v>
      </c>
      <c r="L594" s="2" t="inlineStr">
        <is>
          <t>20260306000975</t>
        </is>
      </c>
      <c r="M594" s="8">
        <f>HYPERLINK("https://dart.fss.or.kr/dsaf001/main.do?rcpNo=20260306000975", "공시열람")</f>
        <v/>
      </c>
    </row>
    <row r="595" ht="22" customHeight="1">
      <c r="A595" s="2" t="inlineStr">
        <is>
          <t>2026-03-06</t>
        </is>
      </c>
      <c r="B595" s="3" t="inlineStr">
        <is>
          <t>드림시큐리티</t>
        </is>
      </c>
      <c r="C595" s="2" t="inlineStr">
        <is>
          <t>203650</t>
        </is>
      </c>
      <c r="D595" s="2" t="inlineStr">
        <is>
          <t>대량보유</t>
        </is>
      </c>
      <c r="E595" s="3" t="inlineStr">
        <is>
          <t>범미경</t>
        </is>
      </c>
      <c r="F595" s="3" t="inlineStr">
        <is>
          <t>특별관계자</t>
        </is>
      </c>
      <c r="G595" s="3" t="inlineStr">
        <is>
          <t>장내매도(-)</t>
        </is>
      </c>
      <c r="H595" s="17" t="n">
        <v>-40010</v>
      </c>
      <c r="I595" s="6" t="n">
        <v>1668</v>
      </c>
      <c r="J595" s="6" t="n">
        <v>5010</v>
      </c>
      <c r="K595" s="16" t="n">
        <v>7</v>
      </c>
      <c r="L595" s="2" t="inlineStr">
        <is>
          <t>20260306000957</t>
        </is>
      </c>
      <c r="M595" s="8">
        <f>HYPERLINK("https://dart.fss.or.kr/dsaf001/main.do?rcpNo=20260306000957", "공시열람")</f>
        <v/>
      </c>
    </row>
    <row r="596" ht="22" customHeight="1">
      <c r="A596" s="2" t="inlineStr">
        <is>
          <t>2026-03-06</t>
        </is>
      </c>
      <c r="B596" s="3" t="inlineStr">
        <is>
          <t>드림시큐리티</t>
        </is>
      </c>
      <c r="C596" s="2" t="inlineStr">
        <is>
          <t>203650</t>
        </is>
      </c>
      <c r="D596" s="2" t="inlineStr">
        <is>
          <t>대량보유</t>
        </is>
      </c>
      <c r="E596" s="3" t="inlineStr">
        <is>
          <t>(주)디지캡</t>
        </is>
      </c>
      <c r="F596" s="3" t="inlineStr">
        <is>
          <t>특별관계자</t>
        </is>
      </c>
      <c r="G596" s="3" t="inlineStr">
        <is>
          <t>장내매수(+)</t>
        </is>
      </c>
      <c r="H596" s="15" t="n">
        <v>982100</v>
      </c>
      <c r="I596" s="6" t="n">
        <v>1640</v>
      </c>
      <c r="J596" s="6" t="n">
        <v>6029000</v>
      </c>
      <c r="K596" s="16" t="n">
        <v>7</v>
      </c>
      <c r="L596" s="2" t="inlineStr">
        <is>
          <t>20260306000957</t>
        </is>
      </c>
      <c r="M596" s="8">
        <f>HYPERLINK("https://dart.fss.or.kr/dsaf001/main.do?rcpNo=20260306000957", "공시열람")</f>
        <v/>
      </c>
    </row>
    <row r="597" ht="22" customHeight="1">
      <c r="A597" s="2" t="inlineStr">
        <is>
          <t>2026-03-06</t>
        </is>
      </c>
      <c r="B597" s="3" t="inlineStr">
        <is>
          <t>셀트리온</t>
        </is>
      </c>
      <c r="C597" s="2" t="inlineStr">
        <is>
          <t>068270</t>
        </is>
      </c>
      <c r="D597" s="2" t="inlineStr">
        <is>
          <t>대량보유</t>
        </is>
      </c>
      <c r="E597" s="3" t="inlineStr">
        <is>
          <t>(주)셀트리온스킨큐어</t>
        </is>
      </c>
      <c r="F597" s="3" t="inlineStr">
        <is>
          <t>특별관계자</t>
        </is>
      </c>
      <c r="G597" s="3" t="inlineStr">
        <is>
          <t>기타(+)</t>
        </is>
      </c>
      <c r="H597" s="15" t="n">
        <v>39621</v>
      </c>
      <c r="I597" s="6" t="inlineStr"/>
      <c r="J597" s="6" t="n">
        <v>4837305</v>
      </c>
      <c r="K597" s="16" t="n">
        <v>31.8</v>
      </c>
      <c r="L597" s="2" t="inlineStr">
        <is>
          <t>20260306000955</t>
        </is>
      </c>
      <c r="M597" s="8">
        <f>HYPERLINK("https://dart.fss.or.kr/dsaf001/main.do?rcpNo=20260306000955", "공시열람")</f>
        <v/>
      </c>
    </row>
    <row r="598" ht="22" customHeight="1">
      <c r="A598" s="2" t="inlineStr">
        <is>
          <t>2026-03-06</t>
        </is>
      </c>
      <c r="B598" s="3" t="inlineStr">
        <is>
          <t>셀트리온</t>
        </is>
      </c>
      <c r="C598" s="2" t="inlineStr">
        <is>
          <t>068270</t>
        </is>
      </c>
      <c r="D598" s="2" t="inlineStr">
        <is>
          <t>대량보유</t>
        </is>
      </c>
      <c r="E598" s="3" t="inlineStr">
        <is>
          <t>박찬홍</t>
        </is>
      </c>
      <c r="F598" s="3" t="inlineStr">
        <is>
          <t>특별관계자</t>
        </is>
      </c>
      <c r="G598" s="3" t="inlineStr">
        <is>
          <t>증여(-)</t>
        </is>
      </c>
      <c r="H598" s="17" t="n">
        <v>-4500</v>
      </c>
      <c r="I598" s="6" t="inlineStr"/>
      <c r="J598" s="6" t="n">
        <v>10860</v>
      </c>
      <c r="K598" s="16" t="n">
        <v>31.8</v>
      </c>
      <c r="L598" s="2" t="inlineStr">
        <is>
          <t>20260306000955</t>
        </is>
      </c>
      <c r="M598" s="8">
        <f>HYPERLINK("https://dart.fss.or.kr/dsaf001/main.do?rcpNo=20260306000955", "공시열람")</f>
        <v/>
      </c>
    </row>
    <row r="599" ht="22" customHeight="1">
      <c r="A599" s="2" t="inlineStr">
        <is>
          <t>2026-03-06</t>
        </is>
      </c>
      <c r="B599" s="3" t="inlineStr">
        <is>
          <t>셀트리온</t>
        </is>
      </c>
      <c r="C599" s="2" t="inlineStr">
        <is>
          <t>068270</t>
        </is>
      </c>
      <c r="D599" s="2" t="inlineStr">
        <is>
          <t>대량보유</t>
        </is>
      </c>
      <c r="E599" s="3" t="inlineStr">
        <is>
          <t>최승희</t>
        </is>
      </c>
      <c r="F599" s="3" t="inlineStr">
        <is>
          <t>특별관계자</t>
        </is>
      </c>
      <c r="G599" s="3" t="inlineStr">
        <is>
          <t>장내매도(-)</t>
        </is>
      </c>
      <c r="H599" s="17" t="n">
        <v>-1000</v>
      </c>
      <c r="I599" s="6" t="n">
        <v>215500</v>
      </c>
      <c r="J599" s="6" t="n">
        <v>9189</v>
      </c>
      <c r="K599" s="16" t="n">
        <v>31.8</v>
      </c>
      <c r="L599" s="2" t="inlineStr">
        <is>
          <t>20260306000955</t>
        </is>
      </c>
      <c r="M599" s="8">
        <f>HYPERLINK("https://dart.fss.or.kr/dsaf001/main.do?rcpNo=20260306000955", "공시열람")</f>
        <v/>
      </c>
    </row>
    <row r="600" ht="22" customHeight="1">
      <c r="A600" s="2" t="inlineStr">
        <is>
          <t>2026-03-06</t>
        </is>
      </c>
      <c r="B600" s="3" t="inlineStr">
        <is>
          <t>셀트리온</t>
        </is>
      </c>
      <c r="C600" s="2" t="inlineStr">
        <is>
          <t>068270</t>
        </is>
      </c>
      <c r="D600" s="2" t="inlineStr">
        <is>
          <t>대량보유</t>
        </is>
      </c>
      <c r="E600" s="3" t="inlineStr">
        <is>
          <t>이종관</t>
        </is>
      </c>
      <c r="F600" s="3" t="inlineStr">
        <is>
          <t>특별관계자</t>
        </is>
      </c>
      <c r="G600" s="3" t="inlineStr">
        <is>
          <t>장내매도(-)</t>
        </is>
      </c>
      <c r="H600" s="17" t="n">
        <v>-2000</v>
      </c>
      <c r="I600" s="6" t="n">
        <v>176200</v>
      </c>
      <c r="J600" s="6" t="n">
        <v>44487</v>
      </c>
      <c r="K600" s="16" t="n">
        <v>31.8</v>
      </c>
      <c r="L600" s="2" t="inlineStr">
        <is>
          <t>20260306000955</t>
        </is>
      </c>
      <c r="M600" s="8">
        <f>HYPERLINK("https://dart.fss.or.kr/dsaf001/main.do?rcpNo=20260306000955", "공시열람")</f>
        <v/>
      </c>
    </row>
    <row r="601" ht="22" customHeight="1">
      <c r="A601" s="2" t="inlineStr">
        <is>
          <t>2026-03-06</t>
        </is>
      </c>
      <c r="B601" s="3" t="inlineStr">
        <is>
          <t>셀트리온</t>
        </is>
      </c>
      <c r="C601" s="2" t="inlineStr">
        <is>
          <t>068270</t>
        </is>
      </c>
      <c r="D601" s="2" t="inlineStr">
        <is>
          <t>대량보유</t>
        </is>
      </c>
      <c r="E601" s="3" t="inlineStr">
        <is>
          <t>백경민</t>
        </is>
      </c>
      <c r="F601" s="3" t="inlineStr">
        <is>
          <t>특별관계자</t>
        </is>
      </c>
      <c r="G601" s="3" t="inlineStr">
        <is>
          <t>주식매수선택권행사(+), 주식매수선택권행사(-)</t>
        </is>
      </c>
      <c r="H601" s="6" t="inlineStr"/>
      <c r="I601" s="6" t="n">
        <v>79311</v>
      </c>
      <c r="J601" s="6" t="n">
        <v>13740</v>
      </c>
      <c r="K601" s="16" t="n">
        <v>31.8</v>
      </c>
      <c r="L601" s="2" t="inlineStr">
        <is>
          <t>20260306000955</t>
        </is>
      </c>
      <c r="M601" s="8">
        <f>HYPERLINK("https://dart.fss.or.kr/dsaf001/main.do?rcpNo=20260306000955", "공시열람")</f>
        <v/>
      </c>
    </row>
    <row r="602" ht="22" customHeight="1">
      <c r="A602" s="2" t="inlineStr">
        <is>
          <t>2026-03-06</t>
        </is>
      </c>
      <c r="B602" s="3" t="inlineStr">
        <is>
          <t>셀트리온</t>
        </is>
      </c>
      <c r="C602" s="2" t="inlineStr">
        <is>
          <t>068270</t>
        </is>
      </c>
      <c r="D602" s="2" t="inlineStr">
        <is>
          <t>대량보유</t>
        </is>
      </c>
      <c r="E602" s="3" t="inlineStr">
        <is>
          <t>박상민</t>
        </is>
      </c>
      <c r="F602" s="3" t="inlineStr">
        <is>
          <t>특별관계자</t>
        </is>
      </c>
      <c r="G602" s="3" t="inlineStr">
        <is>
          <t>장내매도(-)</t>
        </is>
      </c>
      <c r="H602" s="17" t="n">
        <v>-1000</v>
      </c>
      <c r="I602" s="6" t="n">
        <v>217020</v>
      </c>
      <c r="J602" s="6" t="n">
        <v>3270</v>
      </c>
      <c r="K602" s="16" t="n">
        <v>31.8</v>
      </c>
      <c r="L602" s="2" t="inlineStr">
        <is>
          <t>20260306000955</t>
        </is>
      </c>
      <c r="M602" s="8">
        <f>HYPERLINK("https://dart.fss.or.kr/dsaf001/main.do?rcpNo=20260306000955", "공시열람")</f>
        <v/>
      </c>
    </row>
    <row r="603" ht="22" customHeight="1">
      <c r="A603" s="2" t="inlineStr">
        <is>
          <t>2026-03-06</t>
        </is>
      </c>
      <c r="B603" s="3" t="inlineStr">
        <is>
          <t>셀트리온</t>
        </is>
      </c>
      <c r="C603" s="2" t="inlineStr">
        <is>
          <t>068270</t>
        </is>
      </c>
      <c r="D603" s="2" t="inlineStr">
        <is>
          <t>대량보유</t>
        </is>
      </c>
      <c r="E603" s="3" t="inlineStr">
        <is>
          <t>박관우</t>
        </is>
      </c>
      <c r="F603" s="3" t="inlineStr">
        <is>
          <t>특별관계자</t>
        </is>
      </c>
      <c r="G603" s="3" t="inlineStr">
        <is>
          <t>장내매도(-)</t>
        </is>
      </c>
      <c r="H603" s="17" t="n">
        <v>-890</v>
      </c>
      <c r="I603" s="6" t="n">
        <v>212488</v>
      </c>
      <c r="J603" s="6" t="n">
        <v>6000</v>
      </c>
      <c r="K603" s="16" t="n">
        <v>31.8</v>
      </c>
      <c r="L603" s="2" t="inlineStr">
        <is>
          <t>20260306000955</t>
        </is>
      </c>
      <c r="M603" s="8">
        <f>HYPERLINK("https://dart.fss.or.kr/dsaf001/main.do?rcpNo=20260306000955", "공시열람")</f>
        <v/>
      </c>
    </row>
    <row r="604" ht="22" customHeight="1">
      <c r="A604" s="2" t="inlineStr">
        <is>
          <t>2026-03-06</t>
        </is>
      </c>
      <c r="B604" s="3" t="inlineStr">
        <is>
          <t>셀트리온</t>
        </is>
      </c>
      <c r="C604" s="2" t="inlineStr">
        <is>
          <t>068270</t>
        </is>
      </c>
      <c r="D604" s="2" t="inlineStr">
        <is>
          <t>대량보유</t>
        </is>
      </c>
      <c r="E604" s="3" t="inlineStr">
        <is>
          <t>백성준</t>
        </is>
      </c>
      <c r="F604" s="3" t="inlineStr">
        <is>
          <t>특별관계자</t>
        </is>
      </c>
      <c r="G604" s="3" t="inlineStr">
        <is>
          <t>장내매도(-)</t>
        </is>
      </c>
      <c r="H604" s="17" t="n">
        <v>-200</v>
      </c>
      <c r="I604" s="6" t="n">
        <v>231250</v>
      </c>
      <c r="J604" s="6" t="n">
        <v>2328</v>
      </c>
      <c r="K604" s="16" t="n">
        <v>31.8</v>
      </c>
      <c r="L604" s="2" t="inlineStr">
        <is>
          <t>20260306000955</t>
        </is>
      </c>
      <c r="M604" s="8">
        <f>HYPERLINK("https://dart.fss.or.kr/dsaf001/main.do?rcpNo=20260306000955", "공시열람")</f>
        <v/>
      </c>
    </row>
    <row r="605" ht="22" customHeight="1">
      <c r="A605" s="2" t="inlineStr">
        <is>
          <t>2026-03-06</t>
        </is>
      </c>
      <c r="B605" s="3" t="inlineStr">
        <is>
          <t>셀트리온</t>
        </is>
      </c>
      <c r="C605" s="2" t="inlineStr">
        <is>
          <t>068270</t>
        </is>
      </c>
      <c r="D605" s="2" t="inlineStr">
        <is>
          <t>대량보유</t>
        </is>
      </c>
      <c r="E605" s="3" t="inlineStr">
        <is>
          <t>김영식</t>
        </is>
      </c>
      <c r="F605" s="3" t="inlineStr">
        <is>
          <t>특별관계자</t>
        </is>
      </c>
      <c r="G605" s="3" t="inlineStr">
        <is>
          <t>주식매수선택권행사(+), 주식매수선택권행사(-)</t>
        </is>
      </c>
      <c r="H605" s="6" t="inlineStr"/>
      <c r="I605" s="6" t="n">
        <v>156746</v>
      </c>
      <c r="J605" s="6" t="n">
        <v>15733</v>
      </c>
      <c r="K605" s="16" t="n">
        <v>31.8</v>
      </c>
      <c r="L605" s="2" t="inlineStr">
        <is>
          <t>20260306000955</t>
        </is>
      </c>
      <c r="M605" s="8">
        <f>HYPERLINK("https://dart.fss.or.kr/dsaf001/main.do?rcpNo=20260306000955", "공시열람")</f>
        <v/>
      </c>
    </row>
    <row r="606" ht="22" customHeight="1">
      <c r="A606" s="2" t="inlineStr">
        <is>
          <t>2026-03-06</t>
        </is>
      </c>
      <c r="B606" s="3" t="inlineStr">
        <is>
          <t>셀트리온</t>
        </is>
      </c>
      <c r="C606" s="2" t="inlineStr">
        <is>
          <t>068270</t>
        </is>
      </c>
      <c r="D606" s="2" t="inlineStr">
        <is>
          <t>대량보유</t>
        </is>
      </c>
      <c r="E606" s="3" t="inlineStr">
        <is>
          <t>박이찬</t>
        </is>
      </c>
      <c r="F606" s="3" t="inlineStr">
        <is>
          <t>특별관계자</t>
        </is>
      </c>
      <c r="G606" s="3" t="inlineStr">
        <is>
          <t>수증(+), 장내매도(-)</t>
        </is>
      </c>
      <c r="H606" s="15" t="n">
        <v>1202</v>
      </c>
      <c r="I606" s="6" t="n">
        <v>185504</v>
      </c>
      <c r="J606" s="6" t="n">
        <v>2150</v>
      </c>
      <c r="K606" s="16" t="n">
        <v>31.8</v>
      </c>
      <c r="L606" s="2" t="inlineStr">
        <is>
          <t>20260306000955</t>
        </is>
      </c>
      <c r="M606" s="8">
        <f>HYPERLINK("https://dart.fss.or.kr/dsaf001/main.do?rcpNo=20260306000955", "공시열람")</f>
        <v/>
      </c>
    </row>
    <row r="607" ht="22" customHeight="1">
      <c r="A607" s="2" t="inlineStr">
        <is>
          <t>2026-03-06</t>
        </is>
      </c>
      <c r="B607" s="3" t="inlineStr">
        <is>
          <t>셀트리온</t>
        </is>
      </c>
      <c r="C607" s="2" t="inlineStr">
        <is>
          <t>068270</t>
        </is>
      </c>
      <c r="D607" s="2" t="inlineStr">
        <is>
          <t>대량보유</t>
        </is>
      </c>
      <c r="E607" s="3" t="inlineStr">
        <is>
          <t>박민희</t>
        </is>
      </c>
      <c r="F607" s="3" t="inlineStr">
        <is>
          <t>특별관계자</t>
        </is>
      </c>
      <c r="G607" s="3" t="inlineStr">
        <is>
          <t>수증(+), 장내매도(-)</t>
        </is>
      </c>
      <c r="H607" s="15" t="n">
        <v>1345</v>
      </c>
      <c r="I607" s="6" t="n">
        <v>187058</v>
      </c>
      <c r="J607" s="6" t="n">
        <v>2465</v>
      </c>
      <c r="K607" s="16" t="n">
        <v>31.8</v>
      </c>
      <c r="L607" s="2" t="inlineStr">
        <is>
          <t>20260306000955</t>
        </is>
      </c>
      <c r="M607" s="8">
        <f>HYPERLINK("https://dart.fss.or.kr/dsaf001/main.do?rcpNo=20260306000955", "공시열람")</f>
        <v/>
      </c>
    </row>
    <row r="608" ht="22" customHeight="1">
      <c r="A608" s="2" t="inlineStr">
        <is>
          <t>2026-03-06</t>
        </is>
      </c>
      <c r="B608" s="3" t="inlineStr">
        <is>
          <t>셀트리온</t>
        </is>
      </c>
      <c r="C608" s="2" t="inlineStr">
        <is>
          <t>068270</t>
        </is>
      </c>
      <c r="D608" s="2" t="inlineStr">
        <is>
          <t>대량보유</t>
        </is>
      </c>
      <c r="E608" s="3" t="inlineStr">
        <is>
          <t>이응섭</t>
        </is>
      </c>
      <c r="F608" s="3" t="inlineStr">
        <is>
          <t>특별관계자</t>
        </is>
      </c>
      <c r="G608" s="3" t="inlineStr">
        <is>
          <t>주식매수선택권행사(+), 주식매수선택권행사(-)</t>
        </is>
      </c>
      <c r="H608" s="6" t="inlineStr"/>
      <c r="I608" s="6" t="n">
        <v>156746</v>
      </c>
      <c r="J608" s="6" t="n">
        <v>2348</v>
      </c>
      <c r="K608" s="16" t="n">
        <v>31.8</v>
      </c>
      <c r="L608" s="2" t="inlineStr">
        <is>
          <t>20260306000955</t>
        </is>
      </c>
      <c r="M608" s="8">
        <f>HYPERLINK("https://dart.fss.or.kr/dsaf001/main.do?rcpNo=20260306000955", "공시열람")</f>
        <v/>
      </c>
    </row>
    <row r="609" ht="22" customHeight="1">
      <c r="A609" s="2" t="inlineStr">
        <is>
          <t>2026-03-06</t>
        </is>
      </c>
      <c r="B609" s="3" t="inlineStr">
        <is>
          <t>셀트리온</t>
        </is>
      </c>
      <c r="C609" s="2" t="inlineStr">
        <is>
          <t>068270</t>
        </is>
      </c>
      <c r="D609" s="2" t="inlineStr">
        <is>
          <t>대량보유</t>
        </is>
      </c>
      <c r="E609" s="3" t="inlineStr">
        <is>
          <t>김수현</t>
        </is>
      </c>
      <c r="F609" s="3" t="inlineStr">
        <is>
          <t>특별관계자</t>
        </is>
      </c>
      <c r="G609" s="3" t="inlineStr">
        <is>
          <t>주식매수선택권행사(+), 장내매도(-), 주식매수선택권행사(-)</t>
        </is>
      </c>
      <c r="H609" s="17" t="n">
        <v>-3500</v>
      </c>
      <c r="I609" s="6" t="n">
        <v>128339</v>
      </c>
      <c r="J609" s="6" t="n">
        <v>9927</v>
      </c>
      <c r="K609" s="16" t="n">
        <v>31.8</v>
      </c>
      <c r="L609" s="2" t="inlineStr">
        <is>
          <t>20260306000955</t>
        </is>
      </c>
      <c r="M609" s="8">
        <f>HYPERLINK("https://dart.fss.or.kr/dsaf001/main.do?rcpNo=20260306000955", "공시열람")</f>
        <v/>
      </c>
    </row>
    <row r="610" ht="22" customHeight="1">
      <c r="A610" s="2" t="inlineStr">
        <is>
          <t>2026-03-06</t>
        </is>
      </c>
      <c r="B610" s="3" t="inlineStr">
        <is>
          <t>셀트리온</t>
        </is>
      </c>
      <c r="C610" s="2" t="inlineStr">
        <is>
          <t>068270</t>
        </is>
      </c>
      <c r="D610" s="2" t="inlineStr">
        <is>
          <t>대량보유</t>
        </is>
      </c>
      <c r="E610" s="3" t="inlineStr">
        <is>
          <t>이수연</t>
        </is>
      </c>
      <c r="F610" s="3" t="inlineStr">
        <is>
          <t>특별관계자</t>
        </is>
      </c>
      <c r="G610" s="3" t="inlineStr">
        <is>
          <t>장내매수(+), 장내매도(-)</t>
        </is>
      </c>
      <c r="H610" s="15" t="n">
        <v>124</v>
      </c>
      <c r="I610" s="6" t="n">
        <v>202859</v>
      </c>
      <c r="J610" s="6" t="n">
        <v>2415</v>
      </c>
      <c r="K610" s="16" t="n">
        <v>31.8</v>
      </c>
      <c r="L610" s="2" t="inlineStr">
        <is>
          <t>20260306000955</t>
        </is>
      </c>
      <c r="M610" s="8">
        <f>HYPERLINK("https://dart.fss.or.kr/dsaf001/main.do?rcpNo=20260306000955", "공시열람")</f>
        <v/>
      </c>
    </row>
    <row r="611" ht="22" customHeight="1">
      <c r="A611" s="2" t="inlineStr">
        <is>
          <t>2026-03-06</t>
        </is>
      </c>
      <c r="B611" s="3" t="inlineStr">
        <is>
          <t>셀트리온</t>
        </is>
      </c>
      <c r="C611" s="2" t="inlineStr">
        <is>
          <t>068270</t>
        </is>
      </c>
      <c r="D611" s="2" t="inlineStr">
        <is>
          <t>대량보유</t>
        </is>
      </c>
      <c r="E611" s="3" t="inlineStr">
        <is>
          <t>정희용</t>
        </is>
      </c>
      <c r="F611" s="3" t="inlineStr">
        <is>
          <t>특별관계자</t>
        </is>
      </c>
      <c r="G611" s="3" t="inlineStr">
        <is>
          <t>장내매도(-), 기타(-)</t>
        </is>
      </c>
      <c r="H611" s="17" t="n">
        <v>-102</v>
      </c>
      <c r="I611" s="6" t="n">
        <v>156800</v>
      </c>
      <c r="J611" s="6" t="n">
        <v>3</v>
      </c>
      <c r="K611" s="16" t="n">
        <v>31.8</v>
      </c>
      <c r="L611" s="2" t="inlineStr">
        <is>
          <t>20260306000955</t>
        </is>
      </c>
      <c r="M611" s="8">
        <f>HYPERLINK("https://dart.fss.or.kr/dsaf001/main.do?rcpNo=20260306000955", "공시열람")</f>
        <v/>
      </c>
    </row>
    <row r="612" ht="22" customHeight="1">
      <c r="A612" s="2" t="inlineStr">
        <is>
          <t>2026-03-06</t>
        </is>
      </c>
      <c r="B612" s="3" t="inlineStr">
        <is>
          <t>셀트리온</t>
        </is>
      </c>
      <c r="C612" s="2" t="inlineStr">
        <is>
          <t>068270</t>
        </is>
      </c>
      <c r="D612" s="2" t="inlineStr">
        <is>
          <t>대량보유</t>
        </is>
      </c>
      <c r="E612" s="3" t="inlineStr">
        <is>
          <t>정태억</t>
        </is>
      </c>
      <c r="F612" s="3" t="inlineStr">
        <is>
          <t>특별관계자</t>
        </is>
      </c>
      <c r="G612" s="3" t="inlineStr">
        <is>
          <t>장내매도(-), 장내매수(+), 기타(-)</t>
        </is>
      </c>
      <c r="H612" s="17" t="n">
        <v>-114</v>
      </c>
      <c r="I612" s="6" t="n">
        <v>160069</v>
      </c>
      <c r="J612" s="6" t="n">
        <v>17</v>
      </c>
      <c r="K612" s="16" t="n">
        <v>31.8</v>
      </c>
      <c r="L612" s="2" t="inlineStr">
        <is>
          <t>20260306000955</t>
        </is>
      </c>
      <c r="M612" s="8">
        <f>HYPERLINK("https://dart.fss.or.kr/dsaf001/main.do?rcpNo=20260306000955", "공시열람")</f>
        <v/>
      </c>
    </row>
    <row r="613" ht="22" customHeight="1">
      <c r="A613" s="2" t="inlineStr">
        <is>
          <t>2026-03-06</t>
        </is>
      </c>
      <c r="B613" s="3" t="inlineStr">
        <is>
          <t>셀트리온</t>
        </is>
      </c>
      <c r="C613" s="2" t="inlineStr">
        <is>
          <t>068270</t>
        </is>
      </c>
      <c r="D613" s="2" t="inlineStr">
        <is>
          <t>대량보유</t>
        </is>
      </c>
      <c r="E613" s="3" t="inlineStr">
        <is>
          <t>박이안</t>
        </is>
      </c>
      <c r="F613" s="3" t="inlineStr">
        <is>
          <t>특별관계자</t>
        </is>
      </c>
      <c r="G613" s="3" t="inlineStr">
        <is>
          <t>신규보고(+)</t>
        </is>
      </c>
      <c r="H613" s="15" t="n">
        <v>1500</v>
      </c>
      <c r="I613" s="6" t="inlineStr"/>
      <c r="J613" s="6" t="n">
        <v>1500</v>
      </c>
      <c r="K613" s="16" t="n">
        <v>31.8</v>
      </c>
      <c r="L613" s="2" t="inlineStr">
        <is>
          <t>20260306000955</t>
        </is>
      </c>
      <c r="M613" s="8">
        <f>HYPERLINK("https://dart.fss.or.kr/dsaf001/main.do?rcpNo=20260306000955", "공시열람")</f>
        <v/>
      </c>
    </row>
    <row r="614" ht="22" customHeight="1">
      <c r="A614" s="2" t="inlineStr">
        <is>
          <t>2026-03-06</t>
        </is>
      </c>
      <c r="B614" s="3" t="inlineStr">
        <is>
          <t>셀트리온</t>
        </is>
      </c>
      <c r="C614" s="2" t="inlineStr">
        <is>
          <t>068270</t>
        </is>
      </c>
      <c r="D614" s="2" t="inlineStr">
        <is>
          <t>대량보유</t>
        </is>
      </c>
      <c r="E614" s="3" t="inlineStr">
        <is>
          <t>조성일</t>
        </is>
      </c>
      <c r="F614" s="3" t="inlineStr">
        <is>
          <t>특별관계자</t>
        </is>
      </c>
      <c r="G614" s="3" t="inlineStr">
        <is>
          <t>신규보고(+)</t>
        </is>
      </c>
      <c r="H614" s="15" t="n">
        <v>1088</v>
      </c>
      <c r="I614" s="6" t="inlineStr"/>
      <c r="J614" s="6" t="n">
        <v>1088</v>
      </c>
      <c r="K614" s="16" t="n">
        <v>31.8</v>
      </c>
      <c r="L614" s="2" t="inlineStr">
        <is>
          <t>20260306000955</t>
        </is>
      </c>
      <c r="M614" s="8">
        <f>HYPERLINK("https://dart.fss.or.kr/dsaf001/main.do?rcpNo=20260306000955", "공시열람")</f>
        <v/>
      </c>
    </row>
    <row r="615" ht="22" customHeight="1">
      <c r="A615" s="2" t="inlineStr">
        <is>
          <t>2026-03-06</t>
        </is>
      </c>
      <c r="B615" s="3" t="inlineStr">
        <is>
          <t>셀트리온</t>
        </is>
      </c>
      <c r="C615" s="2" t="inlineStr">
        <is>
          <t>068270</t>
        </is>
      </c>
      <c r="D615" s="2" t="inlineStr">
        <is>
          <t>대량보유</t>
        </is>
      </c>
      <c r="E615" s="3" t="inlineStr">
        <is>
          <t>강경두</t>
        </is>
      </c>
      <c r="F615" s="3" t="inlineStr">
        <is>
          <t>특별관계자</t>
        </is>
      </c>
      <c r="G615" s="3" t="inlineStr">
        <is>
          <t>신규보고(+)</t>
        </is>
      </c>
      <c r="H615" s="15" t="n">
        <v>31217</v>
      </c>
      <c r="I615" s="6" t="n">
        <v>123765</v>
      </c>
      <c r="J615" s="6" t="n">
        <v>30367</v>
      </c>
      <c r="K615" s="16" t="n">
        <v>31.8</v>
      </c>
      <c r="L615" s="2" t="inlineStr">
        <is>
          <t>20260306000955</t>
        </is>
      </c>
      <c r="M615" s="8">
        <f>HYPERLINK("https://dart.fss.or.kr/dsaf001/main.do?rcpNo=20260306000955", "공시열람")</f>
        <v/>
      </c>
    </row>
    <row r="616" ht="22" customHeight="1">
      <c r="A616" s="2" t="inlineStr">
        <is>
          <t>2026-03-06</t>
        </is>
      </c>
      <c r="B616" s="3" t="inlineStr">
        <is>
          <t>셀트리온</t>
        </is>
      </c>
      <c r="C616" s="2" t="inlineStr">
        <is>
          <t>068270</t>
        </is>
      </c>
      <c r="D616" s="2" t="inlineStr">
        <is>
          <t>대량보유</t>
        </is>
      </c>
      <c r="E616" s="3" t="inlineStr">
        <is>
          <t>강철구</t>
        </is>
      </c>
      <c r="F616" s="3" t="inlineStr">
        <is>
          <t>특별관계자</t>
        </is>
      </c>
      <c r="G616" s="3" t="inlineStr">
        <is>
          <t>신규보고(+)</t>
        </is>
      </c>
      <c r="H616" s="15" t="n">
        <v>17992</v>
      </c>
      <c r="I616" s="6" t="n">
        <v>161753</v>
      </c>
      <c r="J616" s="6" t="n">
        <v>17992</v>
      </c>
      <c r="K616" s="16" t="n">
        <v>31.8</v>
      </c>
      <c r="L616" s="2" t="inlineStr">
        <is>
          <t>20260306000955</t>
        </is>
      </c>
      <c r="M616" s="8">
        <f>HYPERLINK("https://dart.fss.or.kr/dsaf001/main.do?rcpNo=20260306000955", "공시열람")</f>
        <v/>
      </c>
    </row>
    <row r="617" ht="22" customHeight="1">
      <c r="A617" s="2" t="inlineStr">
        <is>
          <t>2026-03-06</t>
        </is>
      </c>
      <c r="B617" s="3" t="inlineStr">
        <is>
          <t>셀트리온</t>
        </is>
      </c>
      <c r="C617" s="2" t="inlineStr">
        <is>
          <t>068270</t>
        </is>
      </c>
      <c r="D617" s="2" t="inlineStr">
        <is>
          <t>대량보유</t>
        </is>
      </c>
      <c r="E617" s="3" t="inlineStr">
        <is>
          <t>김동연</t>
        </is>
      </c>
      <c r="F617" s="3" t="inlineStr">
        <is>
          <t>특별관계자</t>
        </is>
      </c>
      <c r="G617" s="3" t="inlineStr">
        <is>
          <t>신규보고(+)</t>
        </is>
      </c>
      <c r="H617" s="15" t="n">
        <v>10865</v>
      </c>
      <c r="I617" s="6" t="n">
        <v>139147</v>
      </c>
      <c r="J617" s="6" t="n">
        <v>10865</v>
      </c>
      <c r="K617" s="16" t="n">
        <v>31.8</v>
      </c>
      <c r="L617" s="2" t="inlineStr">
        <is>
          <t>20260306000955</t>
        </is>
      </c>
      <c r="M617" s="8">
        <f>HYPERLINK("https://dart.fss.or.kr/dsaf001/main.do?rcpNo=20260306000955", "공시열람")</f>
        <v/>
      </c>
    </row>
    <row r="618" ht="22" customHeight="1">
      <c r="A618" s="2" t="inlineStr">
        <is>
          <t>2026-03-06</t>
        </is>
      </c>
      <c r="B618" s="3" t="inlineStr">
        <is>
          <t>셀트리온</t>
        </is>
      </c>
      <c r="C618" s="2" t="inlineStr">
        <is>
          <t>068270</t>
        </is>
      </c>
      <c r="D618" s="2" t="inlineStr">
        <is>
          <t>대량보유</t>
        </is>
      </c>
      <c r="E618" s="3" t="inlineStr">
        <is>
          <t>김영환</t>
        </is>
      </c>
      <c r="F618" s="3" t="inlineStr">
        <is>
          <t>특별관계자</t>
        </is>
      </c>
      <c r="G618" s="3" t="inlineStr">
        <is>
          <t>신규보고(+)</t>
        </is>
      </c>
      <c r="H618" s="15" t="n">
        <v>6901</v>
      </c>
      <c r="I618" s="6" t="n">
        <v>139147</v>
      </c>
      <c r="J618" s="6" t="n">
        <v>5745</v>
      </c>
      <c r="K618" s="16" t="n">
        <v>31.8</v>
      </c>
      <c r="L618" s="2" t="inlineStr">
        <is>
          <t>20260306000955</t>
        </is>
      </c>
      <c r="M618" s="8">
        <f>HYPERLINK("https://dart.fss.or.kr/dsaf001/main.do?rcpNo=20260306000955", "공시열람")</f>
        <v/>
      </c>
    </row>
    <row r="619" ht="22" customHeight="1">
      <c r="A619" s="2" t="inlineStr">
        <is>
          <t>2026-03-06</t>
        </is>
      </c>
      <c r="B619" s="3" t="inlineStr">
        <is>
          <t>셀트리온</t>
        </is>
      </c>
      <c r="C619" s="2" t="inlineStr">
        <is>
          <t>068270</t>
        </is>
      </c>
      <c r="D619" s="2" t="inlineStr">
        <is>
          <t>대량보유</t>
        </is>
      </c>
      <c r="E619" s="3" t="inlineStr">
        <is>
          <t>문대만</t>
        </is>
      </c>
      <c r="F619" s="3" t="inlineStr">
        <is>
          <t>특별관계자</t>
        </is>
      </c>
      <c r="G619" s="3" t="inlineStr">
        <is>
          <t>신규보고(+)</t>
        </is>
      </c>
      <c r="H619" s="15" t="n">
        <v>381</v>
      </c>
      <c r="I619" s="6" t="inlineStr"/>
      <c r="J619" s="6" t="n">
        <v>381</v>
      </c>
      <c r="K619" s="16" t="n">
        <v>31.8</v>
      </c>
      <c r="L619" s="2" t="inlineStr">
        <is>
          <t>20260306000955</t>
        </is>
      </c>
      <c r="M619" s="8">
        <f>HYPERLINK("https://dart.fss.or.kr/dsaf001/main.do?rcpNo=20260306000955", "공시열람")</f>
        <v/>
      </c>
    </row>
    <row r="620" ht="22" customHeight="1">
      <c r="A620" s="2" t="inlineStr">
        <is>
          <t>2026-03-06</t>
        </is>
      </c>
      <c r="B620" s="3" t="inlineStr">
        <is>
          <t>셀트리온</t>
        </is>
      </c>
      <c r="C620" s="2" t="inlineStr">
        <is>
          <t>068270</t>
        </is>
      </c>
      <c r="D620" s="2" t="inlineStr">
        <is>
          <t>대량보유</t>
        </is>
      </c>
      <c r="E620" s="3" t="inlineStr">
        <is>
          <t>신동익</t>
        </is>
      </c>
      <c r="F620" s="3" t="inlineStr">
        <is>
          <t>특별관계자</t>
        </is>
      </c>
      <c r="G620" s="3" t="inlineStr">
        <is>
          <t>신규보고(+), 장내매도(-)</t>
        </is>
      </c>
      <c r="H620" s="15" t="n">
        <v>21019</v>
      </c>
      <c r="I620" s="6" t="n">
        <v>150442</v>
      </c>
      <c r="J620" s="6" t="n">
        <v>21019</v>
      </c>
      <c r="K620" s="16" t="n">
        <v>31.8</v>
      </c>
      <c r="L620" s="2" t="inlineStr">
        <is>
          <t>20260306000955</t>
        </is>
      </c>
      <c r="M620" s="8">
        <f>HYPERLINK("https://dart.fss.or.kr/dsaf001/main.do?rcpNo=20260306000955", "공시열람")</f>
        <v/>
      </c>
    </row>
    <row r="621" ht="22" customHeight="1">
      <c r="A621" s="2" t="inlineStr">
        <is>
          <t>2026-03-06</t>
        </is>
      </c>
      <c r="B621" s="3" t="inlineStr">
        <is>
          <t>셀트리온</t>
        </is>
      </c>
      <c r="C621" s="2" t="inlineStr">
        <is>
          <t>068270</t>
        </is>
      </c>
      <c r="D621" s="2" t="inlineStr">
        <is>
          <t>대량보유</t>
        </is>
      </c>
      <c r="E621" s="3" t="inlineStr">
        <is>
          <t>염동림</t>
        </is>
      </c>
      <c r="F621" s="3" t="inlineStr">
        <is>
          <t>특별관계자</t>
        </is>
      </c>
      <c r="G621" s="3" t="inlineStr">
        <is>
          <t>신규보고(+)</t>
        </is>
      </c>
      <c r="H621" s="15" t="n">
        <v>7283</v>
      </c>
      <c r="I621" s="6" t="n">
        <v>171530</v>
      </c>
      <c r="J621" s="6" t="n">
        <v>7283</v>
      </c>
      <c r="K621" s="16" t="n">
        <v>31.8</v>
      </c>
      <c r="L621" s="2" t="inlineStr">
        <is>
          <t>20260306000955</t>
        </is>
      </c>
      <c r="M621" s="8">
        <f>HYPERLINK("https://dart.fss.or.kr/dsaf001/main.do?rcpNo=20260306000955", "공시열람")</f>
        <v/>
      </c>
    </row>
    <row r="622" ht="22" customHeight="1">
      <c r="A622" s="2" t="inlineStr">
        <is>
          <t>2026-03-06</t>
        </is>
      </c>
      <c r="B622" s="3" t="inlineStr">
        <is>
          <t>셀트리온</t>
        </is>
      </c>
      <c r="C622" s="2" t="inlineStr">
        <is>
          <t>068270</t>
        </is>
      </c>
      <c r="D622" s="2" t="inlineStr">
        <is>
          <t>대량보유</t>
        </is>
      </c>
      <c r="E622" s="3" t="inlineStr">
        <is>
          <t>성용근</t>
        </is>
      </c>
      <c r="F622" s="3" t="inlineStr">
        <is>
          <t>특별관계자</t>
        </is>
      </c>
      <c r="G622" s="3" t="inlineStr">
        <is>
          <t>신규보고(+)</t>
        </is>
      </c>
      <c r="H622" s="15" t="n">
        <v>228</v>
      </c>
      <c r="I622" s="6" t="inlineStr"/>
      <c r="J622" s="6" t="n">
        <v>228</v>
      </c>
      <c r="K622" s="16" t="n">
        <v>31.8</v>
      </c>
      <c r="L622" s="2" t="inlineStr">
        <is>
          <t>20260306000955</t>
        </is>
      </c>
      <c r="M622" s="8">
        <f>HYPERLINK("https://dart.fss.or.kr/dsaf001/main.do?rcpNo=20260306000955", "공시열람")</f>
        <v/>
      </c>
    </row>
    <row r="623" ht="22" customHeight="1">
      <c r="A623" s="2" t="inlineStr">
        <is>
          <t>2026-03-06</t>
        </is>
      </c>
      <c r="B623" s="3" t="inlineStr">
        <is>
          <t>셀트리온</t>
        </is>
      </c>
      <c r="C623" s="2" t="inlineStr">
        <is>
          <t>068270</t>
        </is>
      </c>
      <c r="D623" s="2" t="inlineStr">
        <is>
          <t>대량보유</t>
        </is>
      </c>
      <c r="E623" s="3" t="inlineStr">
        <is>
          <t>고경옥</t>
        </is>
      </c>
      <c r="F623" s="3" t="inlineStr">
        <is>
          <t>특별관계자</t>
        </is>
      </c>
      <c r="G623" s="3" t="inlineStr">
        <is>
          <t>신규보고(+)</t>
        </is>
      </c>
      <c r="H623" s="15" t="n">
        <v>310</v>
      </c>
      <c r="I623" s="6" t="inlineStr"/>
      <c r="J623" s="6" t="n">
        <v>310</v>
      </c>
      <c r="K623" s="16" t="n">
        <v>31.8</v>
      </c>
      <c r="L623" s="2" t="inlineStr">
        <is>
          <t>20260306000955</t>
        </is>
      </c>
      <c r="M623" s="8">
        <f>HYPERLINK("https://dart.fss.or.kr/dsaf001/main.do?rcpNo=20260306000955", "공시열람")</f>
        <v/>
      </c>
    </row>
    <row r="624" ht="22" customHeight="1">
      <c r="A624" s="2" t="inlineStr">
        <is>
          <t>2026-03-06</t>
        </is>
      </c>
      <c r="B624" s="3" t="inlineStr">
        <is>
          <t>LS</t>
        </is>
      </c>
      <c r="C624" s="2" t="inlineStr">
        <is>
          <t>006260</t>
        </is>
      </c>
      <c r="D624" s="2" t="inlineStr">
        <is>
          <t>임원보고</t>
        </is>
      </c>
      <c r="E624" s="3" t="inlineStr">
        <is>
          <t>-</t>
        </is>
      </c>
      <c r="F624" s="3" t="inlineStr">
        <is>
          <t>-</t>
        </is>
      </c>
      <c r="G624" s="3" t="inlineStr">
        <is>
          <t>-</t>
        </is>
      </c>
      <c r="H624" s="6" t="inlineStr"/>
      <c r="I624" s="6" t="inlineStr"/>
      <c r="J624" s="6" t="inlineStr"/>
      <c r="K624" s="16" t="n">
        <v>12</v>
      </c>
      <c r="L624" s="2" t="inlineStr">
        <is>
          <t>20260306801560</t>
        </is>
      </c>
      <c r="M624" s="8">
        <f>HYPERLINK("https://dart.fss.or.kr/dsaf001/main.do?rcpNo=20260306801560", "공시열람")</f>
        <v/>
      </c>
    </row>
    <row r="625" ht="22" customHeight="1">
      <c r="A625" s="2" t="inlineStr">
        <is>
          <t>2026-03-06</t>
        </is>
      </c>
      <c r="B625" s="3" t="inlineStr">
        <is>
          <t>노을</t>
        </is>
      </c>
      <c r="C625" s="2" t="inlineStr">
        <is>
          <t>376930</t>
        </is>
      </c>
      <c r="D625" s="2" t="inlineStr">
        <is>
          <t>대량보유</t>
        </is>
      </c>
      <c r="E625" s="3" t="inlineStr">
        <is>
          <t>MSEED, INC</t>
        </is>
      </c>
      <c r="F625" s="3" t="inlineStr">
        <is>
          <t>보고자</t>
        </is>
      </c>
      <c r="G625" s="3" t="inlineStr">
        <is>
          <t>환매조건부 주식매매계약 주식수 변경</t>
        </is>
      </c>
      <c r="H625" s="6" t="inlineStr"/>
      <c r="I625" s="6" t="inlineStr"/>
      <c r="J625" s="6" t="n">
        <v>9605282</v>
      </c>
      <c r="K625" s="16" t="n">
        <v>3</v>
      </c>
      <c r="L625" s="2" t="inlineStr">
        <is>
          <t>20260306000949</t>
        </is>
      </c>
      <c r="M625" s="8">
        <f>HYPERLINK("https://dart.fss.or.kr/dsaf001/main.do?rcpNo=20260306000949", "공시열람")</f>
        <v/>
      </c>
    </row>
    <row r="626" ht="22" customHeight="1">
      <c r="A626" s="2" t="inlineStr">
        <is>
          <t>2026-03-06</t>
        </is>
      </c>
      <c r="B626" s="3" t="inlineStr">
        <is>
          <t>큐라티스</t>
        </is>
      </c>
      <c r="C626" s="2" t="inlineStr">
        <is>
          <t>348080</t>
        </is>
      </c>
      <c r="D626" s="2" t="inlineStr">
        <is>
          <t>대량보유</t>
        </is>
      </c>
      <c r="E626" s="3" t="inlineStr">
        <is>
          <t>(주)인벤티지랩</t>
        </is>
      </c>
      <c r="F626" s="3" t="inlineStr">
        <is>
          <t>특별관계자</t>
        </is>
      </c>
      <c r="G626" s="3" t="inlineStr">
        <is>
          <t>행사가액조정, 기타(-), 전환등(-), 전환사채의권리행사(+)</t>
        </is>
      </c>
      <c r="H626" s="17" t="n">
        <v>-2006325</v>
      </c>
      <c r="I626" s="6" t="n">
        <v>631</v>
      </c>
      <c r="J626" s="6" t="n">
        <v>37294611</v>
      </c>
      <c r="K626" s="16" t="n">
        <v>2</v>
      </c>
      <c r="L626" s="2" t="inlineStr">
        <is>
          <t>20260306000943</t>
        </is>
      </c>
      <c r="M626" s="8">
        <f>HYPERLINK("https://dart.fss.or.kr/dsaf001/main.do?rcpNo=20260306000943", "공시열람")</f>
        <v/>
      </c>
    </row>
    <row r="627" ht="22" customHeight="1">
      <c r="A627" s="2" t="inlineStr">
        <is>
          <t>2026-03-06</t>
        </is>
      </c>
      <c r="B627" s="3" t="inlineStr">
        <is>
          <t>큐라티스</t>
        </is>
      </c>
      <c r="C627" s="2" t="inlineStr">
        <is>
          <t>348080</t>
        </is>
      </c>
      <c r="D627" s="2" t="inlineStr">
        <is>
          <t>대량보유</t>
        </is>
      </c>
      <c r="E627" s="3" t="inlineStr">
        <is>
          <t>(주)피스투에스코리아</t>
        </is>
      </c>
      <c r="F627" s="3" t="inlineStr">
        <is>
          <t>특별관계자</t>
        </is>
      </c>
      <c r="G627" s="3" t="inlineStr">
        <is>
          <t>콜옵션취득(+), 기타(-), 콜옵션권리행사에따른CB취득(+), 전환등(-), 전환사채의권리행사(+)</t>
        </is>
      </c>
      <c r="H627" s="15" t="n">
        <v>2377179</v>
      </c>
      <c r="I627" s="6" t="n">
        <v>631</v>
      </c>
      <c r="J627" s="6" t="n">
        <v>15077179</v>
      </c>
      <c r="K627" s="16" t="n">
        <v>2</v>
      </c>
      <c r="L627" s="2" t="inlineStr">
        <is>
          <t>20260306000943</t>
        </is>
      </c>
      <c r="M627" s="8">
        <f>HYPERLINK("https://dart.fss.or.kr/dsaf001/main.do?rcpNo=20260306000943", "공시열람")</f>
        <v/>
      </c>
    </row>
    <row r="628" ht="22" customHeight="1">
      <c r="A628" s="2" t="inlineStr">
        <is>
          <t>2026-03-06</t>
        </is>
      </c>
      <c r="B628" s="3" t="inlineStr">
        <is>
          <t>신테카바이오</t>
        </is>
      </c>
      <c r="C628" s="2" t="inlineStr">
        <is>
          <t>226330</t>
        </is>
      </c>
      <c r="D628" s="2" t="inlineStr">
        <is>
          <t>대량보유</t>
        </is>
      </c>
      <c r="E628" s="3" t="inlineStr">
        <is>
          <t>정종선</t>
        </is>
      </c>
      <c r="F628" s="3" t="inlineStr">
        <is>
          <t>보고자</t>
        </is>
      </c>
      <c r="G628" s="3" t="inlineStr">
        <is>
          <t>- 보고자의 주식담보계약 일부해소- 보고자의 주식담보계약 조건변경</t>
        </is>
      </c>
      <c r="H628" s="6" t="inlineStr"/>
      <c r="I628" s="6" t="inlineStr"/>
      <c r="J628" s="6" t="n">
        <v>3717031</v>
      </c>
      <c r="K628" s="16" t="n">
        <v>7</v>
      </c>
      <c r="L628" s="2" t="inlineStr">
        <is>
          <t>20260306000924</t>
        </is>
      </c>
      <c r="M628" s="8">
        <f>HYPERLINK("https://dart.fss.or.kr/dsaf001/main.do?rcpNo=20260306000924", "공시열람")</f>
        <v/>
      </c>
    </row>
    <row r="629" ht="22" customHeight="1">
      <c r="A629" s="2" t="inlineStr">
        <is>
          <t>2026-03-06</t>
        </is>
      </c>
      <c r="B629" s="3" t="inlineStr">
        <is>
          <t>파인엠텍</t>
        </is>
      </c>
      <c r="C629" s="2" t="inlineStr">
        <is>
          <t>441270</t>
        </is>
      </c>
      <c r="D629" s="2" t="inlineStr">
        <is>
          <t>대량보유</t>
        </is>
      </c>
      <c r="E629" s="3" t="inlineStr">
        <is>
          <t>홍정훈</t>
        </is>
      </c>
      <c r="F629" s="3" t="inlineStr">
        <is>
          <t>특별관계자</t>
        </is>
      </c>
      <c r="G629" s="3" t="inlineStr">
        <is>
          <t>장내매도(-)</t>
        </is>
      </c>
      <c r="H629" s="17" t="n">
        <v>-5246</v>
      </c>
      <c r="I629" s="6" t="n">
        <v>9635</v>
      </c>
      <c r="J629" s="6" t="inlineStr"/>
      <c r="K629" s="16" t="n">
        <v>21</v>
      </c>
      <c r="L629" s="2" t="inlineStr">
        <is>
          <t>20260306000891</t>
        </is>
      </c>
      <c r="M629" s="8">
        <f>HYPERLINK("https://dart.fss.or.kr/dsaf001/main.do?rcpNo=20260306000891", "공시열람")</f>
        <v/>
      </c>
    </row>
    <row r="630" ht="22" customHeight="1">
      <c r="A630" s="2" t="inlineStr">
        <is>
          <t>2026-03-06 (정정: 2026-03-10)</t>
        </is>
      </c>
      <c r="B630" s="3" t="inlineStr">
        <is>
          <t>콜마홀딩스</t>
        </is>
      </c>
      <c r="C630" s="2" t="inlineStr">
        <is>
          <t>024720</t>
        </is>
      </c>
      <c r="D630" s="2" t="inlineStr">
        <is>
          <t>대량보유</t>
        </is>
      </c>
      <c r="E630" s="3" t="inlineStr">
        <is>
          <t>-</t>
        </is>
      </c>
      <c r="F630" s="3" t="inlineStr">
        <is>
          <t>보고자</t>
        </is>
      </c>
      <c r="G630" s="3" t="inlineStr">
        <is>
          <t>-</t>
        </is>
      </c>
      <c r="H630" s="6" t="inlineStr"/>
      <c r="I630" s="6" t="inlineStr"/>
      <c r="J630" s="6" t="inlineStr"/>
      <c r="K630" s="18" t="inlineStr"/>
      <c r="L630" s="2" t="inlineStr">
        <is>
          <t>20260310802020</t>
        </is>
      </c>
      <c r="M630" s="8">
        <f>HYPERLINK("https://dart.fss.or.kr/dsaf001/main.do?rcpNo=20260310802020", "공시열람")</f>
        <v/>
      </c>
    </row>
    <row r="631" ht="22" customHeight="1">
      <c r="A631" s="2" t="inlineStr">
        <is>
          <t>2026-03-06 (정정: 2026-03-12)</t>
        </is>
      </c>
      <c r="B631" s="3" t="inlineStr">
        <is>
          <t>꿈비</t>
        </is>
      </c>
      <c r="C631" s="2" t="inlineStr">
        <is>
          <t>407400</t>
        </is>
      </c>
      <c r="D631" s="2" t="inlineStr">
        <is>
          <t>대량보유</t>
        </is>
      </c>
      <c r="E631" s="3" t="inlineStr">
        <is>
          <t>-</t>
        </is>
      </c>
      <c r="F631" s="3" t="inlineStr">
        <is>
          <t>보고자</t>
        </is>
      </c>
      <c r="G631" s="3" t="inlineStr">
        <is>
          <t>-</t>
        </is>
      </c>
      <c r="H631" s="6" t="inlineStr"/>
      <c r="I631" s="6" t="inlineStr"/>
      <c r="J631" s="6" t="inlineStr"/>
      <c r="K631" s="18" t="inlineStr"/>
      <c r="L631" s="2" t="inlineStr">
        <is>
          <t>20260312900932</t>
        </is>
      </c>
      <c r="M631" s="8">
        <f>HYPERLINK("https://dart.fss.or.kr/dsaf001/main.do?rcpNo=20260312900932", "공시열람")</f>
        <v/>
      </c>
    </row>
    <row r="632" ht="22" customHeight="1">
      <c r="A632" s="2" t="inlineStr">
        <is>
          <t>2026-03-06 (정정: 2026-03-06)</t>
        </is>
      </c>
      <c r="B632" s="3" t="inlineStr">
        <is>
          <t>한울반도체</t>
        </is>
      </c>
      <c r="C632" s="2" t="inlineStr">
        <is>
          <t>320000</t>
        </is>
      </c>
      <c r="D632" s="2" t="inlineStr">
        <is>
          <t>대량보유</t>
        </is>
      </c>
      <c r="E632" s="3" t="inlineStr">
        <is>
          <t>-</t>
        </is>
      </c>
      <c r="F632" s="3" t="inlineStr">
        <is>
          <t>보고자</t>
        </is>
      </c>
      <c r="G632" s="3" t="inlineStr">
        <is>
          <t>-</t>
        </is>
      </c>
      <c r="H632" s="6" t="inlineStr"/>
      <c r="I632" s="6" t="inlineStr"/>
      <c r="J632" s="6" t="inlineStr"/>
      <c r="K632" s="18" t="inlineStr"/>
      <c r="L632" s="2" t="inlineStr">
        <is>
          <t>20260306901323</t>
        </is>
      </c>
      <c r="M632" s="8">
        <f>HYPERLINK("https://dart.fss.or.kr/dsaf001/main.do?rcpNo=20260306901323", "공시열람")</f>
        <v/>
      </c>
    </row>
    <row r="633" ht="22" customHeight="1">
      <c r="A633" s="2" t="inlineStr">
        <is>
          <t>2026-03-06</t>
        </is>
      </c>
      <c r="B633" s="3" t="inlineStr">
        <is>
          <t>빌리언스</t>
        </is>
      </c>
      <c r="C633" s="2" t="inlineStr">
        <is>
          <t>044480</t>
        </is>
      </c>
      <c r="D633" s="2" t="inlineStr">
        <is>
          <t>대량보유</t>
        </is>
      </c>
      <c r="E633" s="3" t="inlineStr">
        <is>
          <t>휴마시스주식회사</t>
        </is>
      </c>
      <c r="F633" s="3" t="inlineStr">
        <is>
          <t>특별관계자</t>
        </is>
      </c>
      <c r="G633" s="3" t="inlineStr">
        <is>
          <t>행사가액조정</t>
        </is>
      </c>
      <c r="H633" s="15" t="n">
        <v>470251</v>
      </c>
      <c r="I633" s="6" t="n">
        <v>259</v>
      </c>
      <c r="J633" s="6" t="n">
        <v>9169884</v>
      </c>
      <c r="K633" s="16" t="n">
        <v>4</v>
      </c>
      <c r="L633" s="2" t="inlineStr">
        <is>
          <t>20260306000852</t>
        </is>
      </c>
      <c r="M633" s="8">
        <f>HYPERLINK("https://dart.fss.or.kr/dsaf001/main.do?rcpNo=20260306000852", "공시열람")</f>
        <v/>
      </c>
    </row>
    <row r="634" ht="22" customHeight="1">
      <c r="A634" s="2" t="inlineStr">
        <is>
          <t>2026-03-06</t>
        </is>
      </c>
      <c r="B634" s="3" t="inlineStr">
        <is>
          <t>빌리언스</t>
        </is>
      </c>
      <c r="C634" s="2" t="inlineStr">
        <is>
          <t>044480</t>
        </is>
      </c>
      <c r="D634" s="2" t="inlineStr">
        <is>
          <t>대량보유</t>
        </is>
      </c>
      <c r="E634" s="3" t="inlineStr">
        <is>
          <t>경남제약주식회사</t>
        </is>
      </c>
      <c r="F634" s="3" t="inlineStr">
        <is>
          <t>특별관계자</t>
        </is>
      </c>
      <c r="G634" s="3" t="inlineStr">
        <is>
          <t>행사가액조정</t>
        </is>
      </c>
      <c r="H634" s="15" t="n">
        <v>1188002</v>
      </c>
      <c r="I634" s="6" t="n">
        <v>259</v>
      </c>
      <c r="J634" s="6" t="n">
        <v>27746175</v>
      </c>
      <c r="K634" s="16" t="n">
        <v>4</v>
      </c>
      <c r="L634" s="2" t="inlineStr">
        <is>
          <t>20260306000852</t>
        </is>
      </c>
      <c r="M634" s="8">
        <f>HYPERLINK("https://dart.fss.or.kr/dsaf001/main.do?rcpNo=20260306000852", "공시열람")</f>
        <v/>
      </c>
    </row>
    <row r="635" ht="22" customHeight="1">
      <c r="A635" s="2" t="inlineStr">
        <is>
          <t>2026-03-06</t>
        </is>
      </c>
      <c r="B635" s="3" t="inlineStr">
        <is>
          <t>하이퍼코퍼레이션</t>
        </is>
      </c>
      <c r="C635" s="2" t="inlineStr">
        <is>
          <t>065650</t>
        </is>
      </c>
      <c r="D635" s="2" t="inlineStr">
        <is>
          <t>대량보유</t>
        </is>
      </c>
      <c r="E635" s="3" t="inlineStr">
        <is>
          <t>제이케이(JK)신기술투자조합제12호</t>
        </is>
      </c>
      <c r="F635" s="3" t="inlineStr">
        <is>
          <t>특별관계자</t>
        </is>
      </c>
      <c r="G635" s="3" t="inlineStr">
        <is>
          <t>제3자배정유상증자(+)</t>
        </is>
      </c>
      <c r="H635" s="15" t="n">
        <v>8556759</v>
      </c>
      <c r="I635" s="6" t="n">
        <v>1753</v>
      </c>
      <c r="J635" s="6" t="n">
        <v>8556759</v>
      </c>
      <c r="K635" s="16" t="n">
        <v>12</v>
      </c>
      <c r="L635" s="2" t="inlineStr">
        <is>
          <t>20260306000841</t>
        </is>
      </c>
      <c r="M635" s="8">
        <f>HYPERLINK("https://dart.fss.or.kr/dsaf001/main.do?rcpNo=20260306000841", "공시열람")</f>
        <v/>
      </c>
    </row>
    <row r="636" ht="22" customHeight="1">
      <c r="A636" s="2" t="inlineStr">
        <is>
          <t>2026-03-06</t>
        </is>
      </c>
      <c r="B636" s="3" t="inlineStr">
        <is>
          <t>하이퍼코퍼레이션</t>
        </is>
      </c>
      <c r="C636" s="2" t="inlineStr">
        <is>
          <t>065650</t>
        </is>
      </c>
      <c r="D636" s="2" t="inlineStr">
        <is>
          <t>대량보유</t>
        </is>
      </c>
      <c r="E636" s="3" t="inlineStr">
        <is>
          <t>이상석</t>
        </is>
      </c>
      <c r="F636" s="3" t="inlineStr">
        <is>
          <t>특별관계자</t>
        </is>
      </c>
      <c r="G636" s="3" t="inlineStr">
        <is>
          <t>기타(+)</t>
        </is>
      </c>
      <c r="H636" s="15" t="n">
        <v>300049</v>
      </c>
      <c r="I636" s="6" t="inlineStr"/>
      <c r="J636" s="6" t="n">
        <v>300049</v>
      </c>
      <c r="K636" s="16" t="n">
        <v>12</v>
      </c>
      <c r="L636" s="2" t="inlineStr">
        <is>
          <t>20260306000841</t>
        </is>
      </c>
      <c r="M636" s="8">
        <f>HYPERLINK("https://dart.fss.or.kr/dsaf001/main.do?rcpNo=20260306000841", "공시열람")</f>
        <v/>
      </c>
    </row>
    <row r="637" ht="22" customHeight="1">
      <c r="A637" s="2" t="inlineStr">
        <is>
          <t>2026-03-06</t>
        </is>
      </c>
      <c r="B637" s="3" t="inlineStr">
        <is>
          <t>하이퍼코퍼레이션</t>
        </is>
      </c>
      <c r="C637" s="2" t="inlineStr">
        <is>
          <t>065650</t>
        </is>
      </c>
      <c r="D637" s="2" t="inlineStr">
        <is>
          <t>대량보유</t>
        </is>
      </c>
      <c r="E637" s="3" t="inlineStr">
        <is>
          <t>최복규</t>
        </is>
      </c>
      <c r="F637" s="3" t="inlineStr">
        <is>
          <t>특별관계자</t>
        </is>
      </c>
      <c r="G637" s="3" t="inlineStr">
        <is>
          <t>기타(+)</t>
        </is>
      </c>
      <c r="H637" s="15" t="n">
        <v>84196</v>
      </c>
      <c r="I637" s="6" t="inlineStr"/>
      <c r="J637" s="6" t="n">
        <v>84196</v>
      </c>
      <c r="K637" s="16" t="n">
        <v>12</v>
      </c>
      <c r="L637" s="2" t="inlineStr">
        <is>
          <t>20260306000841</t>
        </is>
      </c>
      <c r="M637" s="8">
        <f>HYPERLINK("https://dart.fss.or.kr/dsaf001/main.do?rcpNo=20260306000841", "공시열람")</f>
        <v/>
      </c>
    </row>
    <row r="638" ht="22" customHeight="1">
      <c r="A638" s="2" t="inlineStr">
        <is>
          <t>2026-03-06</t>
        </is>
      </c>
      <c r="B638" s="3" t="inlineStr">
        <is>
          <t>하이퍼코퍼레이션</t>
        </is>
      </c>
      <c r="C638" s="2" t="inlineStr">
        <is>
          <t>065650</t>
        </is>
      </c>
      <c r="D638" s="2" t="inlineStr">
        <is>
          <t>대량보유</t>
        </is>
      </c>
      <c r="E638" s="3" t="inlineStr">
        <is>
          <t>이정찬</t>
        </is>
      </c>
      <c r="F638" s="3" t="inlineStr">
        <is>
          <t>특별관계자</t>
        </is>
      </c>
      <c r="G638" s="3" t="inlineStr">
        <is>
          <t>기타(+)</t>
        </is>
      </c>
      <c r="H638" s="15" t="n">
        <v>24655</v>
      </c>
      <c r="I638" s="6" t="inlineStr"/>
      <c r="J638" s="6" t="n">
        <v>24655</v>
      </c>
      <c r="K638" s="16" t="n">
        <v>12</v>
      </c>
      <c r="L638" s="2" t="inlineStr">
        <is>
          <t>20260306000841</t>
        </is>
      </c>
      <c r="M638" s="8">
        <f>HYPERLINK("https://dart.fss.or.kr/dsaf001/main.do?rcpNo=20260306000841", "공시열람")</f>
        <v/>
      </c>
    </row>
    <row r="639" ht="22" customHeight="1">
      <c r="A639" s="2" t="inlineStr">
        <is>
          <t>2026-03-06</t>
        </is>
      </c>
      <c r="B639" s="3" t="inlineStr">
        <is>
          <t>하이퍼코퍼레이션</t>
        </is>
      </c>
      <c r="C639" s="2" t="inlineStr">
        <is>
          <t>065650</t>
        </is>
      </c>
      <c r="D639" s="2" t="inlineStr">
        <is>
          <t>대량보유</t>
        </is>
      </c>
      <c r="E639" s="3" t="inlineStr">
        <is>
          <t>강승진</t>
        </is>
      </c>
      <c r="F639" s="3" t="inlineStr">
        <is>
          <t>특별관계자</t>
        </is>
      </c>
      <c r="G639" s="3" t="inlineStr">
        <is>
          <t>기타(+)</t>
        </is>
      </c>
      <c r="H639" s="15" t="n">
        <v>27983</v>
      </c>
      <c r="I639" s="6" t="inlineStr"/>
      <c r="J639" s="6" t="n">
        <v>27983</v>
      </c>
      <c r="K639" s="16" t="n">
        <v>12</v>
      </c>
      <c r="L639" s="2" t="inlineStr">
        <is>
          <t>20260306000841</t>
        </is>
      </c>
      <c r="M639" s="8">
        <f>HYPERLINK("https://dart.fss.or.kr/dsaf001/main.do?rcpNo=20260306000841", "공시열람")</f>
        <v/>
      </c>
    </row>
    <row r="640" ht="22" customHeight="1">
      <c r="A640" s="2" t="inlineStr">
        <is>
          <t>2026-03-06</t>
        </is>
      </c>
      <c r="B640" s="3" t="inlineStr">
        <is>
          <t>하이퍼코퍼레이션</t>
        </is>
      </c>
      <c r="C640" s="2" t="inlineStr">
        <is>
          <t>065650</t>
        </is>
      </c>
      <c r="D640" s="2" t="inlineStr">
        <is>
          <t>대량보유</t>
        </is>
      </c>
      <c r="E640" s="3" t="inlineStr">
        <is>
          <t>석봉상</t>
        </is>
      </c>
      <c r="F640" s="3" t="inlineStr">
        <is>
          <t>특별관계자</t>
        </is>
      </c>
      <c r="G640" s="3" t="inlineStr">
        <is>
          <t>기타(+)</t>
        </is>
      </c>
      <c r="H640" s="15" t="n">
        <v>2155172</v>
      </c>
      <c r="I640" s="6" t="n">
        <v>1856</v>
      </c>
      <c r="J640" s="6" t="n">
        <v>2155172</v>
      </c>
      <c r="K640" s="16" t="n">
        <v>12</v>
      </c>
      <c r="L640" s="2" t="inlineStr">
        <is>
          <t>20260306000841</t>
        </is>
      </c>
      <c r="M640" s="8">
        <f>HYPERLINK("https://dart.fss.or.kr/dsaf001/main.do?rcpNo=20260306000841", "공시열람")</f>
        <v/>
      </c>
    </row>
    <row r="641" ht="22" customHeight="1">
      <c r="A641" s="2" t="inlineStr">
        <is>
          <t>2026-03-06</t>
        </is>
      </c>
      <c r="B641" s="3" t="inlineStr">
        <is>
          <t>하나마이크론</t>
        </is>
      </c>
      <c r="C641" s="2" t="inlineStr">
        <is>
          <t>067310</t>
        </is>
      </c>
      <c r="D641" s="2" t="inlineStr">
        <is>
          <t>대량보유</t>
        </is>
      </c>
      <c r="E641" s="3" t="inlineStr">
        <is>
          <t>김정제</t>
        </is>
      </c>
      <c r="F641" s="3" t="inlineStr">
        <is>
          <t>특별관계자</t>
        </is>
      </c>
      <c r="G641" s="3" t="inlineStr">
        <is>
          <t>임원퇴임(-)</t>
        </is>
      </c>
      <c r="H641" s="6" t="inlineStr"/>
      <c r="I641" s="6" t="inlineStr"/>
      <c r="J641" s="6" t="inlineStr"/>
      <c r="K641" s="16" t="n">
        <v>15</v>
      </c>
      <c r="L641" s="2" t="inlineStr">
        <is>
          <t>20260306000840</t>
        </is>
      </c>
      <c r="M641" s="8">
        <f>HYPERLINK("https://dart.fss.or.kr/dsaf001/main.do?rcpNo=20260306000840", "공시열람")</f>
        <v/>
      </c>
    </row>
    <row r="642" ht="22" customHeight="1">
      <c r="A642" s="2" t="inlineStr">
        <is>
          <t>2026-03-06</t>
        </is>
      </c>
      <c r="B642" s="3" t="inlineStr">
        <is>
          <t>하나마이크론</t>
        </is>
      </c>
      <c r="C642" s="2" t="inlineStr">
        <is>
          <t>067310</t>
        </is>
      </c>
      <c r="D642" s="2" t="inlineStr">
        <is>
          <t>대량보유</t>
        </is>
      </c>
      <c r="E642" s="3" t="inlineStr">
        <is>
          <t>이희봉</t>
        </is>
      </c>
      <c r="F642" s="3" t="inlineStr">
        <is>
          <t>특별관계자</t>
        </is>
      </c>
      <c r="G642" s="3" t="inlineStr">
        <is>
          <t>장내매도(-)</t>
        </is>
      </c>
      <c r="H642" s="17" t="n">
        <v>-20700</v>
      </c>
      <c r="I642" s="6" t="n">
        <v>35383</v>
      </c>
      <c r="J642" s="6" t="inlineStr"/>
      <c r="K642" s="16" t="n">
        <v>15</v>
      </c>
      <c r="L642" s="2" t="inlineStr">
        <is>
          <t>20260306000840</t>
        </is>
      </c>
      <c r="M642" s="8">
        <f>HYPERLINK("https://dart.fss.or.kr/dsaf001/main.do?rcpNo=20260306000840", "공시열람")</f>
        <v/>
      </c>
    </row>
    <row r="643" ht="22" customHeight="1">
      <c r="A643" s="2" t="inlineStr">
        <is>
          <t>2026-03-06</t>
        </is>
      </c>
      <c r="B643" s="3" t="inlineStr">
        <is>
          <t>LG</t>
        </is>
      </c>
      <c r="C643" s="2" t="inlineStr">
        <is>
          <t>003550</t>
        </is>
      </c>
      <c r="D643" s="2" t="inlineStr">
        <is>
          <t>대량보유</t>
        </is>
      </c>
      <c r="E643" s="3" t="inlineStr">
        <is>
          <t>LG연암학원</t>
        </is>
      </c>
      <c r="F643" s="3" t="inlineStr">
        <is>
          <t>보고자</t>
        </is>
      </c>
      <c r="G643" s="3" t="inlineStr">
        <is>
          <t>주식담보계약 변경</t>
        </is>
      </c>
      <c r="H643" s="6" t="inlineStr"/>
      <c r="I643" s="6" t="inlineStr"/>
      <c r="J643" s="6" t="n">
        <v>65598735</v>
      </c>
      <c r="K643" s="16" t="n">
        <v>30</v>
      </c>
      <c r="L643" s="2" t="inlineStr">
        <is>
          <t>20260306000836</t>
        </is>
      </c>
      <c r="M643" s="8">
        <f>HYPERLINK("https://dart.fss.or.kr/dsaf001/main.do?rcpNo=20260306000836", "공시열람")</f>
        <v/>
      </c>
    </row>
    <row r="644" ht="22" customHeight="1">
      <c r="A644" s="2" t="inlineStr">
        <is>
          <t>2026-03-06</t>
        </is>
      </c>
      <c r="B644" s="3" t="inlineStr">
        <is>
          <t>SK</t>
        </is>
      </c>
      <c r="C644" s="2" t="inlineStr">
        <is>
          <t>034730</t>
        </is>
      </c>
      <c r="D644" s="2" t="inlineStr">
        <is>
          <t>임원보고</t>
        </is>
      </c>
      <c r="E644" s="3" t="inlineStr">
        <is>
          <t>-</t>
        </is>
      </c>
      <c r="F644" s="3" t="inlineStr">
        <is>
          <t>-</t>
        </is>
      </c>
      <c r="G644" s="3" t="inlineStr">
        <is>
          <t>-</t>
        </is>
      </c>
      <c r="H644" s="6" t="inlineStr"/>
      <c r="I644" s="6" t="inlineStr"/>
      <c r="J644" s="6" t="inlineStr"/>
      <c r="K644" s="16" t="n">
        <v>12</v>
      </c>
      <c r="L644" s="2" t="inlineStr">
        <is>
          <t>20260306801373</t>
        </is>
      </c>
      <c r="M644" s="8">
        <f>HYPERLINK("https://dart.fss.or.kr/dsaf001/main.do?rcpNo=20260306801373", "공시열람")</f>
        <v/>
      </c>
    </row>
    <row r="645" ht="22" customHeight="1">
      <c r="A645" s="2" t="inlineStr">
        <is>
          <t>2026-03-06</t>
        </is>
      </c>
      <c r="B645" s="3" t="inlineStr">
        <is>
          <t>유니슨</t>
        </is>
      </c>
      <c r="C645" s="2" t="inlineStr">
        <is>
          <t>018000</t>
        </is>
      </c>
      <c r="D645" s="2" t="inlineStr">
        <is>
          <t>대량보유</t>
        </is>
      </c>
      <c r="E645" s="3" t="inlineStr">
        <is>
          <t>명운산업개발(주)</t>
        </is>
      </c>
      <c r="F645" s="3" t="inlineStr">
        <is>
          <t>특별관계자</t>
        </is>
      </c>
      <c r="G645" s="3" t="inlineStr">
        <is>
          <t>행사가액조정</t>
        </is>
      </c>
      <c r="H645" s="17" t="n">
        <v>-3667616</v>
      </c>
      <c r="I645" s="6" t="inlineStr"/>
      <c r="J645" s="6" t="n">
        <v>28746177</v>
      </c>
      <c r="K645" s="16" t="n">
        <v>19.04</v>
      </c>
      <c r="L645" s="2" t="inlineStr">
        <is>
          <t>20260306000819</t>
        </is>
      </c>
      <c r="M645" s="8">
        <f>HYPERLINK("https://dart.fss.or.kr/dsaf001/main.do?rcpNo=20260306000819", "공시열람")</f>
        <v/>
      </c>
    </row>
    <row r="646" ht="22" customHeight="1">
      <c r="A646" s="2" t="inlineStr">
        <is>
          <t>2026-03-06</t>
        </is>
      </c>
      <c r="B646" s="3" t="inlineStr">
        <is>
          <t>흥구석유</t>
        </is>
      </c>
      <c r="C646" s="2" t="inlineStr">
        <is>
          <t>024060</t>
        </is>
      </c>
      <c r="D646" s="2" t="inlineStr">
        <is>
          <t>대량보유</t>
        </is>
      </c>
      <c r="E646" s="3" t="inlineStr">
        <is>
          <t>김상우</t>
        </is>
      </c>
      <c r="F646" s="3" t="inlineStr">
        <is>
          <t>특별관계자</t>
        </is>
      </c>
      <c r="G646" s="3" t="inlineStr">
        <is>
          <t>장내매도(-)</t>
        </is>
      </c>
      <c r="H646" s="17" t="n">
        <v>-7808</v>
      </c>
      <c r="I646" s="6" t="n">
        <v>12570</v>
      </c>
      <c r="J646" s="6" t="n">
        <v>4434897</v>
      </c>
      <c r="K646" s="16" t="n">
        <v>3</v>
      </c>
      <c r="L646" s="2" t="inlineStr">
        <is>
          <t>20260306000816</t>
        </is>
      </c>
      <c r="M646" s="8">
        <f>HYPERLINK("https://dart.fss.or.kr/dsaf001/main.do?rcpNo=20260306000816", "공시열람")</f>
        <v/>
      </c>
    </row>
    <row r="647" ht="22" customHeight="1">
      <c r="A647" s="2" t="inlineStr">
        <is>
          <t>2026-03-06</t>
        </is>
      </c>
      <c r="B647" s="3" t="inlineStr">
        <is>
          <t>흥구석유</t>
        </is>
      </c>
      <c r="C647" s="2" t="inlineStr">
        <is>
          <t>024060</t>
        </is>
      </c>
      <c r="D647" s="2" t="inlineStr">
        <is>
          <t>대량보유</t>
        </is>
      </c>
      <c r="E647" s="3" t="inlineStr">
        <is>
          <t>김도룬</t>
        </is>
      </c>
      <c r="F647" s="3" t="inlineStr">
        <is>
          <t>특별관계자</t>
        </is>
      </c>
      <c r="G647" s="3" t="inlineStr">
        <is>
          <t>장내매도(-)</t>
        </is>
      </c>
      <c r="H647" s="17" t="n">
        <v>-7657</v>
      </c>
      <c r="I647" s="6" t="n">
        <v>2664</v>
      </c>
      <c r="J647" s="6" t="n">
        <v>20000</v>
      </c>
      <c r="K647" s="16" t="n">
        <v>3</v>
      </c>
      <c r="L647" s="2" t="inlineStr">
        <is>
          <t>20260306000816</t>
        </is>
      </c>
      <c r="M647" s="8">
        <f>HYPERLINK("https://dart.fss.or.kr/dsaf001/main.do?rcpNo=20260306000816", "공시열람")</f>
        <v/>
      </c>
    </row>
    <row r="648" ht="22" customHeight="1">
      <c r="A648" s="2" t="inlineStr">
        <is>
          <t>2026-03-06</t>
        </is>
      </c>
      <c r="B648" s="3" t="inlineStr">
        <is>
          <t>와이투솔루션</t>
        </is>
      </c>
      <c r="C648" s="2" t="inlineStr">
        <is>
          <t>011690</t>
        </is>
      </c>
      <c r="D648" s="2" t="inlineStr">
        <is>
          <t>임원보고</t>
        </is>
      </c>
      <c r="E648" s="3" t="inlineStr">
        <is>
          <t>-</t>
        </is>
      </c>
      <c r="F648" s="3" t="inlineStr">
        <is>
          <t>-</t>
        </is>
      </c>
      <c r="G648" s="3" t="inlineStr">
        <is>
          <t>-</t>
        </is>
      </c>
      <c r="H648" s="6" t="inlineStr"/>
      <c r="I648" s="6" t="inlineStr"/>
      <c r="J648" s="6" t="inlineStr"/>
      <c r="K648" s="16" t="n">
        <v>12</v>
      </c>
      <c r="L648" s="2" t="inlineStr">
        <is>
          <t>20260306801352</t>
        </is>
      </c>
      <c r="M648" s="8">
        <f>HYPERLINK("https://dart.fss.or.kr/dsaf001/main.do?rcpNo=20260306801352", "공시열람")</f>
        <v/>
      </c>
    </row>
    <row r="649" ht="22" customHeight="1">
      <c r="A649" s="2" t="inlineStr">
        <is>
          <t>2026-03-06</t>
        </is>
      </c>
      <c r="B649" s="3" t="inlineStr">
        <is>
          <t>삼성전자</t>
        </is>
      </c>
      <c r="C649" s="2" t="inlineStr">
        <is>
          <t>005930</t>
        </is>
      </c>
      <c r="D649" s="2" t="inlineStr">
        <is>
          <t>임원보고</t>
        </is>
      </c>
      <c r="E649" s="3" t="inlineStr">
        <is>
          <t>-</t>
        </is>
      </c>
      <c r="F649" s="3" t="inlineStr">
        <is>
          <t>-</t>
        </is>
      </c>
      <c r="G649" s="3" t="inlineStr">
        <is>
          <t>-</t>
        </is>
      </c>
      <c r="H649" s="6" t="inlineStr"/>
      <c r="I649" s="6" t="inlineStr"/>
      <c r="J649" s="6" t="inlineStr"/>
      <c r="K649" s="16" t="n">
        <v>12</v>
      </c>
      <c r="L649" s="2" t="inlineStr">
        <is>
          <t>20260306801340</t>
        </is>
      </c>
      <c r="M649" s="8">
        <f>HYPERLINK("https://dart.fss.or.kr/dsaf001/main.do?rcpNo=20260306801340", "공시열람")</f>
        <v/>
      </c>
    </row>
    <row r="650" ht="22" customHeight="1">
      <c r="A650" s="2" t="inlineStr">
        <is>
          <t>2026-03-06</t>
        </is>
      </c>
      <c r="B650" s="3" t="inlineStr">
        <is>
          <t>금호에이치티</t>
        </is>
      </c>
      <c r="C650" s="2" t="inlineStr">
        <is>
          <t>214330</t>
        </is>
      </c>
      <c r="D650" s="2" t="inlineStr">
        <is>
          <t>임원보고</t>
        </is>
      </c>
      <c r="E650" s="3" t="inlineStr">
        <is>
          <t>-</t>
        </is>
      </c>
      <c r="F650" s="3" t="inlineStr">
        <is>
          <t>-</t>
        </is>
      </c>
      <c r="G650" s="3" t="inlineStr">
        <is>
          <t>-</t>
        </is>
      </c>
      <c r="H650" s="6" t="inlineStr"/>
      <c r="I650" s="6" t="inlineStr"/>
      <c r="J650" s="6" t="inlineStr"/>
      <c r="K650" s="16" t="n">
        <v>12</v>
      </c>
      <c r="L650" s="2" t="inlineStr">
        <is>
          <t>20260306801302</t>
        </is>
      </c>
      <c r="M650" s="8">
        <f>HYPERLINK("https://dart.fss.or.kr/dsaf001/main.do?rcpNo=20260306801302", "공시열람")</f>
        <v/>
      </c>
    </row>
    <row r="651" ht="22" customHeight="1">
      <c r="A651" s="2" t="inlineStr">
        <is>
          <t>2026-03-06</t>
        </is>
      </c>
      <c r="B651" s="3" t="inlineStr">
        <is>
          <t>엣지파운드리</t>
        </is>
      </c>
      <c r="C651" s="2" t="inlineStr">
        <is>
          <t>105550</t>
        </is>
      </c>
      <c r="D651" s="2" t="inlineStr">
        <is>
          <t>대량보유</t>
        </is>
      </c>
      <c r="E651" s="3" t="inlineStr">
        <is>
          <t>휴림로봇(주)</t>
        </is>
      </c>
      <c r="F651" s="3" t="inlineStr">
        <is>
          <t>특별관계자</t>
        </is>
      </c>
      <c r="G651" s="3" t="inlineStr">
        <is>
          <t>장외매수(+)</t>
        </is>
      </c>
      <c r="H651" s="15" t="n">
        <v>4740834</v>
      </c>
      <c r="I651" s="6" t="n">
        <v>1582</v>
      </c>
      <c r="J651" s="6" t="n">
        <v>4740834</v>
      </c>
      <c r="K651" s="16" t="n">
        <v>5.71</v>
      </c>
      <c r="L651" s="2" t="inlineStr">
        <is>
          <t>20260306000791</t>
        </is>
      </c>
      <c r="M651" s="8">
        <f>HYPERLINK("https://dart.fss.or.kr/dsaf001/main.do?rcpNo=20260306000791", "공시열람")</f>
        <v/>
      </c>
    </row>
    <row r="652" ht="22" customHeight="1">
      <c r="A652" s="2" t="inlineStr">
        <is>
          <t>2026-03-06 (정정: 2026-03-11)</t>
        </is>
      </c>
      <c r="B652" s="3" t="inlineStr">
        <is>
          <t>이스타코</t>
        </is>
      </c>
      <c r="C652" s="2" t="inlineStr">
        <is>
          <t>015020</t>
        </is>
      </c>
      <c r="D652" s="2" t="inlineStr">
        <is>
          <t>임원보고</t>
        </is>
      </c>
      <c r="E652" s="3" t="inlineStr">
        <is>
          <t>-</t>
        </is>
      </c>
      <c r="F652" s="3" t="inlineStr">
        <is>
          <t>-</t>
        </is>
      </c>
      <c r="G652" s="3" t="inlineStr">
        <is>
          <t>-</t>
        </is>
      </c>
      <c r="H652" s="6" t="inlineStr"/>
      <c r="I652" s="6" t="inlineStr"/>
      <c r="J652" s="6" t="inlineStr"/>
      <c r="K652" s="18" t="inlineStr"/>
      <c r="L652" s="2" t="inlineStr">
        <is>
          <t>20260311801074</t>
        </is>
      </c>
      <c r="M652" s="8">
        <f>HYPERLINK("https://dart.fss.or.kr/dsaf001/main.do?rcpNo=20260311801074", "공시열람")</f>
        <v/>
      </c>
    </row>
    <row r="653" ht="22" customHeight="1">
      <c r="A653" s="2" t="inlineStr">
        <is>
          <t>2026-03-06</t>
        </is>
      </c>
      <c r="B653" s="3" t="inlineStr">
        <is>
          <t>오가닉티코스메틱</t>
        </is>
      </c>
      <c r="C653" s="2" t="inlineStr">
        <is>
          <t>900300</t>
        </is>
      </c>
      <c r="D653" s="2" t="inlineStr">
        <is>
          <t>대량보유</t>
        </is>
      </c>
      <c r="E653" s="3" t="inlineStr">
        <is>
          <t>임국강</t>
        </is>
      </c>
      <c r="F653" s="3" t="inlineStr">
        <is>
          <t>특별관계자</t>
        </is>
      </c>
      <c r="G653" s="3" t="inlineStr">
        <is>
          <t>장내매수(+)</t>
        </is>
      </c>
      <c r="H653" s="15" t="n">
        <v>939736</v>
      </c>
      <c r="I653" s="6" t="n">
        <v>128</v>
      </c>
      <c r="J653" s="6" t="n">
        <v>20939736</v>
      </c>
      <c r="K653" s="16" t="n">
        <v>8.34</v>
      </c>
      <c r="L653" s="2" t="inlineStr">
        <is>
          <t>20260306000784</t>
        </is>
      </c>
      <c r="M653" s="8">
        <f>HYPERLINK("https://dart.fss.or.kr/dsaf001/main.do?rcpNo=20260306000784", "공시열람")</f>
        <v/>
      </c>
    </row>
    <row r="654" ht="22" customHeight="1">
      <c r="A654" s="2" t="inlineStr">
        <is>
          <t>2026-03-06 (정정: 2026-03-11)</t>
        </is>
      </c>
      <c r="B654" s="3" t="inlineStr">
        <is>
          <t>현대바이오</t>
        </is>
      </c>
      <c r="C654" s="2" t="inlineStr">
        <is>
          <t>048410</t>
        </is>
      </c>
      <c r="D654" s="2" t="inlineStr">
        <is>
          <t>대량보유</t>
        </is>
      </c>
      <c r="E654" s="3" t="inlineStr">
        <is>
          <t>-</t>
        </is>
      </c>
      <c r="F654" s="3" t="inlineStr">
        <is>
          <t>보고자</t>
        </is>
      </c>
      <c r="G654" s="3" t="inlineStr">
        <is>
          <t>-</t>
        </is>
      </c>
      <c r="H654" s="6" t="inlineStr"/>
      <c r="I654" s="6" t="inlineStr"/>
      <c r="J654" s="6" t="inlineStr"/>
      <c r="K654" s="18" t="inlineStr"/>
      <c r="L654" s="2" t="inlineStr">
        <is>
          <t>20260311004366</t>
        </is>
      </c>
      <c r="M654" s="8">
        <f>HYPERLINK("https://dart.fss.or.kr/dsaf001/main.do?rcpNo=20260311004366", "공시열람")</f>
        <v/>
      </c>
    </row>
    <row r="655" ht="22" customHeight="1">
      <c r="A655" s="2" t="inlineStr">
        <is>
          <t>2026-03-06</t>
        </is>
      </c>
      <c r="B655" s="3" t="inlineStr">
        <is>
          <t>저스템</t>
        </is>
      </c>
      <c r="C655" s="2" t="inlineStr">
        <is>
          <t>417840</t>
        </is>
      </c>
      <c r="D655" s="2" t="inlineStr">
        <is>
          <t>대량보유</t>
        </is>
      </c>
      <c r="E655" s="3" t="inlineStr">
        <is>
          <t>임영진</t>
        </is>
      </c>
      <c r="F655" s="3" t="inlineStr">
        <is>
          <t>특별관계자</t>
        </is>
      </c>
      <c r="G655" s="3" t="inlineStr">
        <is>
          <t>기타(+), 무상신주취득(+)</t>
        </is>
      </c>
      <c r="H655" s="15" t="n">
        <v>3875125</v>
      </c>
      <c r="I655" s="6" t="inlineStr"/>
      <c r="J655" s="6" t="n">
        <v>72377</v>
      </c>
      <c r="K655" s="16" t="n">
        <v>6</v>
      </c>
      <c r="L655" s="2" t="inlineStr">
        <is>
          <t>20260306000771</t>
        </is>
      </c>
      <c r="M655" s="8">
        <f>HYPERLINK("https://dart.fss.or.kr/dsaf001/main.do?rcpNo=20260306000771", "공시열람")</f>
        <v/>
      </c>
    </row>
    <row r="656" ht="22" customHeight="1">
      <c r="A656" s="2" t="inlineStr">
        <is>
          <t>2026-03-06</t>
        </is>
      </c>
      <c r="B656" s="3" t="inlineStr">
        <is>
          <t>저스템</t>
        </is>
      </c>
      <c r="C656" s="2" t="inlineStr">
        <is>
          <t>417840</t>
        </is>
      </c>
      <c r="D656" s="2" t="inlineStr">
        <is>
          <t>대량보유</t>
        </is>
      </c>
      <c r="E656" s="3" t="inlineStr">
        <is>
          <t>하정민</t>
        </is>
      </c>
      <c r="F656" s="3" t="inlineStr">
        <is>
          <t>특별관계자</t>
        </is>
      </c>
      <c r="G656" s="3" t="inlineStr">
        <is>
          <t>기타(+), 무상신주취득(+), 행사가액조정</t>
        </is>
      </c>
      <c r="H656" s="15" t="n">
        <v>147900</v>
      </c>
      <c r="I656" s="6" t="inlineStr"/>
      <c r="J656" s="6" t="n">
        <v>161400</v>
      </c>
      <c r="K656" s="16" t="n">
        <v>6</v>
      </c>
      <c r="L656" s="2" t="inlineStr">
        <is>
          <t>20260306000771</t>
        </is>
      </c>
      <c r="M656" s="8">
        <f>HYPERLINK("https://dart.fss.or.kr/dsaf001/main.do?rcpNo=20260306000771", "공시열람")</f>
        <v/>
      </c>
    </row>
    <row r="657" ht="22" customHeight="1">
      <c r="A657" s="2" t="inlineStr">
        <is>
          <t>2026-03-06</t>
        </is>
      </c>
      <c r="B657" s="3" t="inlineStr">
        <is>
          <t>저스템</t>
        </is>
      </c>
      <c r="C657" s="2" t="inlineStr">
        <is>
          <t>417840</t>
        </is>
      </c>
      <c r="D657" s="2" t="inlineStr">
        <is>
          <t>대량보유</t>
        </is>
      </c>
      <c r="E657" s="3" t="inlineStr">
        <is>
          <t>김용진</t>
        </is>
      </c>
      <c r="F657" s="3" t="inlineStr">
        <is>
          <t>특별관계자</t>
        </is>
      </c>
      <c r="G657" s="3" t="inlineStr">
        <is>
          <t>기타(+), 무상신주취득(+), 행사가액조정</t>
        </is>
      </c>
      <c r="H657" s="15" t="n">
        <v>630300</v>
      </c>
      <c r="I657" s="6" t="inlineStr"/>
      <c r="J657" s="6" t="n">
        <v>243000</v>
      </c>
      <c r="K657" s="16" t="n">
        <v>6</v>
      </c>
      <c r="L657" s="2" t="inlineStr">
        <is>
          <t>20260306000771</t>
        </is>
      </c>
      <c r="M657" s="8">
        <f>HYPERLINK("https://dart.fss.or.kr/dsaf001/main.do?rcpNo=20260306000771", "공시열람")</f>
        <v/>
      </c>
    </row>
    <row r="658" ht="22" customHeight="1">
      <c r="A658" s="2" t="inlineStr">
        <is>
          <t>2026-03-06</t>
        </is>
      </c>
      <c r="B658" s="3" t="inlineStr">
        <is>
          <t>저스템</t>
        </is>
      </c>
      <c r="C658" s="2" t="inlineStr">
        <is>
          <t>417840</t>
        </is>
      </c>
      <c r="D658" s="2" t="inlineStr">
        <is>
          <t>대량보유</t>
        </is>
      </c>
      <c r="E658" s="3" t="inlineStr">
        <is>
          <t>고대홍</t>
        </is>
      </c>
      <c r="F658" s="3" t="inlineStr">
        <is>
          <t>특별관계자</t>
        </is>
      </c>
      <c r="G658" s="3" t="inlineStr">
        <is>
          <t>무상신주취득(+), 행사가액조정</t>
        </is>
      </c>
      <c r="H658" s="15" t="n">
        <v>26000</v>
      </c>
      <c r="I658" s="6" t="inlineStr"/>
      <c r="J658" s="6" t="n">
        <v>10500</v>
      </c>
      <c r="K658" s="16" t="n">
        <v>6</v>
      </c>
      <c r="L658" s="2" t="inlineStr">
        <is>
          <t>20260306000771</t>
        </is>
      </c>
      <c r="M658" s="8">
        <f>HYPERLINK("https://dart.fss.or.kr/dsaf001/main.do?rcpNo=20260306000771", "공시열람")</f>
        <v/>
      </c>
    </row>
    <row r="659" ht="22" customHeight="1">
      <c r="A659" s="2" t="inlineStr">
        <is>
          <t>2026-03-06</t>
        </is>
      </c>
      <c r="B659" s="3" t="inlineStr">
        <is>
          <t>저스템</t>
        </is>
      </c>
      <c r="C659" s="2" t="inlineStr">
        <is>
          <t>417840</t>
        </is>
      </c>
      <c r="D659" s="2" t="inlineStr">
        <is>
          <t>대량보유</t>
        </is>
      </c>
      <c r="E659" s="3" t="inlineStr">
        <is>
          <t>조광희</t>
        </is>
      </c>
      <c r="F659" s="3" t="inlineStr">
        <is>
          <t>특별관계자</t>
        </is>
      </c>
      <c r="G659" s="3" t="inlineStr">
        <is>
          <t>행사가액조정</t>
        </is>
      </c>
      <c r="H659" s="15" t="n">
        <v>5000</v>
      </c>
      <c r="I659" s="6" t="inlineStr"/>
      <c r="J659" s="6" t="n">
        <v>7500</v>
      </c>
      <c r="K659" s="16" t="n">
        <v>6</v>
      </c>
      <c r="L659" s="2" t="inlineStr">
        <is>
          <t>20260306000771</t>
        </is>
      </c>
      <c r="M659" s="8">
        <f>HYPERLINK("https://dart.fss.or.kr/dsaf001/main.do?rcpNo=20260306000771", "공시열람")</f>
        <v/>
      </c>
    </row>
    <row r="660" ht="22" customHeight="1">
      <c r="A660" s="2" t="inlineStr">
        <is>
          <t>2026-03-06</t>
        </is>
      </c>
      <c r="B660" s="3" t="inlineStr">
        <is>
          <t>저스템</t>
        </is>
      </c>
      <c r="C660" s="2" t="inlineStr">
        <is>
          <t>417840</t>
        </is>
      </c>
      <c r="D660" s="2" t="inlineStr">
        <is>
          <t>대량보유</t>
        </is>
      </c>
      <c r="E660" s="3" t="inlineStr">
        <is>
          <t>권태호</t>
        </is>
      </c>
      <c r="F660" s="3" t="inlineStr">
        <is>
          <t>특별관계자</t>
        </is>
      </c>
      <c r="G660" s="3" t="inlineStr">
        <is>
          <t>행사가액조정</t>
        </is>
      </c>
      <c r="H660" s="15" t="n">
        <v>5000</v>
      </c>
      <c r="I660" s="6" t="inlineStr"/>
      <c r="J660" s="6" t="n">
        <v>7500</v>
      </c>
      <c r="K660" s="16" t="n">
        <v>6</v>
      </c>
      <c r="L660" s="2" t="inlineStr">
        <is>
          <t>20260306000771</t>
        </is>
      </c>
      <c r="M660" s="8">
        <f>HYPERLINK("https://dart.fss.or.kr/dsaf001/main.do?rcpNo=20260306000771", "공시열람")</f>
        <v/>
      </c>
    </row>
    <row r="661" ht="22" customHeight="1">
      <c r="A661" s="2" t="inlineStr">
        <is>
          <t>2026-03-06</t>
        </is>
      </c>
      <c r="B661" s="3" t="inlineStr">
        <is>
          <t>저스템</t>
        </is>
      </c>
      <c r="C661" s="2" t="inlineStr">
        <is>
          <t>417840</t>
        </is>
      </c>
      <c r="D661" s="2" t="inlineStr">
        <is>
          <t>대량보유</t>
        </is>
      </c>
      <c r="E661" s="3" t="inlineStr">
        <is>
          <t>최용남</t>
        </is>
      </c>
      <c r="F661" s="3" t="inlineStr">
        <is>
          <t>특별관계자</t>
        </is>
      </c>
      <c r="G661" s="3" t="inlineStr">
        <is>
          <t>행사가액조정</t>
        </is>
      </c>
      <c r="H661" s="15" t="n">
        <v>10000</v>
      </c>
      <c r="I661" s="6" t="inlineStr"/>
      <c r="J661" s="6" t="n">
        <v>15000</v>
      </c>
      <c r="K661" s="16" t="n">
        <v>6</v>
      </c>
      <c r="L661" s="2" t="inlineStr">
        <is>
          <t>20260306000771</t>
        </is>
      </c>
      <c r="M661" s="8">
        <f>HYPERLINK("https://dart.fss.or.kr/dsaf001/main.do?rcpNo=20260306000771", "공시열람")</f>
        <v/>
      </c>
    </row>
    <row r="662" ht="22" customHeight="1">
      <c r="A662" s="2" t="inlineStr">
        <is>
          <t>2026-03-06 (정정: 2026-03-10)</t>
        </is>
      </c>
      <c r="B662" s="3" t="inlineStr">
        <is>
          <t>야스</t>
        </is>
      </c>
      <c r="C662" s="2" t="inlineStr">
        <is>
          <t>255440</t>
        </is>
      </c>
      <c r="D662" s="2" t="inlineStr">
        <is>
          <t>대량보유</t>
        </is>
      </c>
      <c r="E662" s="3" t="inlineStr">
        <is>
          <t>-</t>
        </is>
      </c>
      <c r="F662" s="3" t="inlineStr">
        <is>
          <t>보고자</t>
        </is>
      </c>
      <c r="G662" s="3" t="inlineStr">
        <is>
          <t>-</t>
        </is>
      </c>
      <c r="H662" s="6" t="inlineStr"/>
      <c r="I662" s="6" t="inlineStr"/>
      <c r="J662" s="6" t="inlineStr"/>
      <c r="K662" s="18" t="inlineStr"/>
      <c r="L662" s="2" t="inlineStr">
        <is>
          <t>20260310901269</t>
        </is>
      </c>
      <c r="M662" s="8">
        <f>HYPERLINK("https://dart.fss.or.kr/dsaf001/main.do?rcpNo=20260310901269", "공시열람")</f>
        <v/>
      </c>
    </row>
    <row r="663" ht="22" customHeight="1">
      <c r="A663" s="2" t="inlineStr">
        <is>
          <t>2026-03-06</t>
        </is>
      </c>
      <c r="B663" s="3" t="inlineStr">
        <is>
          <t>아이티엠반도체</t>
        </is>
      </c>
      <c r="C663" s="2" t="inlineStr">
        <is>
          <t>084850</t>
        </is>
      </c>
      <c r="D663" s="2" t="inlineStr">
        <is>
          <t>대량보유</t>
        </is>
      </c>
      <c r="E663" s="3" t="inlineStr">
        <is>
          <t>(주)나이스홀딩스</t>
        </is>
      </c>
      <c r="F663" s="3" t="inlineStr">
        <is>
          <t>보고자</t>
        </is>
      </c>
      <c r="G663" s="3" t="inlineStr">
        <is>
          <t>특별관계자의 주식담보계약 변경</t>
        </is>
      </c>
      <c r="H663" s="6" t="inlineStr"/>
      <c r="I663" s="6" t="inlineStr"/>
      <c r="J663" s="6" t="n">
        <v>14373703</v>
      </c>
      <c r="K663" s="16" t="n">
        <v>15</v>
      </c>
      <c r="L663" s="2" t="inlineStr">
        <is>
          <t>20260306000760</t>
        </is>
      </c>
      <c r="M663" s="8">
        <f>HYPERLINK("https://dart.fss.or.kr/dsaf001/main.do?rcpNo=20260306000760", "공시열람")</f>
        <v/>
      </c>
    </row>
    <row r="664" ht="22" customHeight="1">
      <c r="A664" s="2" t="inlineStr">
        <is>
          <t>2026-03-06</t>
        </is>
      </c>
      <c r="B664" s="3" t="inlineStr">
        <is>
          <t>에코글로우</t>
        </is>
      </c>
      <c r="C664" s="2" t="inlineStr">
        <is>
          <t>159910</t>
        </is>
      </c>
      <c r="D664" s="2" t="inlineStr">
        <is>
          <t>대량보유</t>
        </is>
      </c>
      <c r="E664" s="3" t="inlineStr">
        <is>
          <t>조승용</t>
        </is>
      </c>
      <c r="F664" s="3" t="inlineStr">
        <is>
          <t>특별관계자</t>
        </is>
      </c>
      <c r="G664" s="3" t="inlineStr">
        <is>
          <t>장내매수(+)</t>
        </is>
      </c>
      <c r="H664" s="15" t="n">
        <v>20000</v>
      </c>
      <c r="I664" s="6" t="n">
        <v>627</v>
      </c>
      <c r="J664" s="6" t="n">
        <v>20000</v>
      </c>
      <c r="K664" s="16" t="n">
        <v>3</v>
      </c>
      <c r="L664" s="2" t="inlineStr">
        <is>
          <t>20260306000758</t>
        </is>
      </c>
      <c r="M664" s="8">
        <f>HYPERLINK("https://dart.fss.or.kr/dsaf001/main.do?rcpNo=20260306000758", "공시열람")</f>
        <v/>
      </c>
    </row>
    <row r="665" ht="22" customHeight="1">
      <c r="A665" s="2" t="inlineStr">
        <is>
          <t>2026-03-06</t>
        </is>
      </c>
      <c r="B665" s="3" t="inlineStr">
        <is>
          <t>효성</t>
        </is>
      </c>
      <c r="C665" s="2" t="inlineStr">
        <is>
          <t>004800</t>
        </is>
      </c>
      <c r="D665" s="2" t="inlineStr">
        <is>
          <t>임원보고</t>
        </is>
      </c>
      <c r="E665" s="3" t="inlineStr">
        <is>
          <t>-</t>
        </is>
      </c>
      <c r="F665" s="3" t="inlineStr">
        <is>
          <t>-</t>
        </is>
      </c>
      <c r="G665" s="3" t="inlineStr">
        <is>
          <t>-</t>
        </is>
      </c>
      <c r="H665" s="6" t="inlineStr"/>
      <c r="I665" s="6" t="inlineStr"/>
      <c r="J665" s="6" t="inlineStr"/>
      <c r="K665" s="16" t="n">
        <v>12</v>
      </c>
      <c r="L665" s="2" t="inlineStr">
        <is>
          <t>20260306801213</t>
        </is>
      </c>
      <c r="M665" s="8">
        <f>HYPERLINK("https://dart.fss.or.kr/dsaf001/main.do?rcpNo=20260306801213", "공시열람")</f>
        <v/>
      </c>
    </row>
    <row r="666" ht="22" customHeight="1">
      <c r="A666" s="2" t="inlineStr">
        <is>
          <t>2026-03-06</t>
        </is>
      </c>
      <c r="B666" s="3" t="inlineStr">
        <is>
          <t>신라섬유</t>
        </is>
      </c>
      <c r="C666" s="2" t="inlineStr">
        <is>
          <t>001000</t>
        </is>
      </c>
      <c r="D666" s="2" t="inlineStr">
        <is>
          <t>대량보유</t>
        </is>
      </c>
      <c r="E666" s="3" t="inlineStr">
        <is>
          <t>박주희</t>
        </is>
      </c>
      <c r="F666" s="3" t="inlineStr">
        <is>
          <t>특별관계자</t>
        </is>
      </c>
      <c r="G666" s="3" t="inlineStr">
        <is>
          <t>장내매도(-)</t>
        </is>
      </c>
      <c r="H666" s="17" t="n">
        <v>-130058</v>
      </c>
      <c r="I666" s="6" t="n">
        <v>0</v>
      </c>
      <c r="J666" s="6" t="inlineStr"/>
      <c r="K666" s="16" t="n">
        <v>8</v>
      </c>
      <c r="L666" s="2" t="inlineStr">
        <is>
          <t>20260306000756</t>
        </is>
      </c>
      <c r="M666" s="8">
        <f>HYPERLINK("https://dart.fss.or.kr/dsaf001/main.do?rcpNo=20260306000756", "공시열람")</f>
        <v/>
      </c>
    </row>
    <row r="667" ht="22" customHeight="1">
      <c r="A667" s="2" t="inlineStr">
        <is>
          <t>2026-03-06</t>
        </is>
      </c>
      <c r="B667" s="3" t="inlineStr">
        <is>
          <t>신라섬유</t>
        </is>
      </c>
      <c r="C667" s="2" t="inlineStr">
        <is>
          <t>001000</t>
        </is>
      </c>
      <c r="D667" s="2" t="inlineStr">
        <is>
          <t>대량보유</t>
        </is>
      </c>
      <c r="E667" s="3" t="inlineStr">
        <is>
          <t>박수진</t>
        </is>
      </c>
      <c r="F667" s="3" t="inlineStr">
        <is>
          <t>특별관계자</t>
        </is>
      </c>
      <c r="G667" s="3" t="inlineStr">
        <is>
          <t>장내매도(-)</t>
        </is>
      </c>
      <c r="H667" s="17" t="n">
        <v>-35200</v>
      </c>
      <c r="I667" s="6" t="n">
        <v>0</v>
      </c>
      <c r="J667" s="6" t="n">
        <v>28897</v>
      </c>
      <c r="K667" s="16" t="n">
        <v>8</v>
      </c>
      <c r="L667" s="2" t="inlineStr">
        <is>
          <t>20260306000756</t>
        </is>
      </c>
      <c r="M667" s="8">
        <f>HYPERLINK("https://dart.fss.or.kr/dsaf001/main.do?rcpNo=20260306000756", "공시열람")</f>
        <v/>
      </c>
    </row>
    <row r="668" ht="22" customHeight="1">
      <c r="A668" s="2" t="inlineStr">
        <is>
          <t>2026-03-06</t>
        </is>
      </c>
      <c r="B668" s="3" t="inlineStr">
        <is>
          <t>신라섬유</t>
        </is>
      </c>
      <c r="C668" s="2" t="inlineStr">
        <is>
          <t>001000</t>
        </is>
      </c>
      <c r="D668" s="2" t="inlineStr">
        <is>
          <t>대량보유</t>
        </is>
      </c>
      <c r="E668" s="3" t="inlineStr">
        <is>
          <t>박연진</t>
        </is>
      </c>
      <c r="F668" s="3" t="inlineStr">
        <is>
          <t>특별관계자</t>
        </is>
      </c>
      <c r="G668" s="3" t="inlineStr">
        <is>
          <t>장내매도(-)</t>
        </is>
      </c>
      <c r="H668" s="17" t="n">
        <v>-14097</v>
      </c>
      <c r="I668" s="6" t="n">
        <v>0</v>
      </c>
      <c r="J668" s="6" t="n">
        <v>50000</v>
      </c>
      <c r="K668" s="16" t="n">
        <v>8</v>
      </c>
      <c r="L668" s="2" t="inlineStr">
        <is>
          <t>20260306000756</t>
        </is>
      </c>
      <c r="M668" s="8">
        <f>HYPERLINK("https://dart.fss.or.kr/dsaf001/main.do?rcpNo=20260306000756", "공시열람")</f>
        <v/>
      </c>
    </row>
    <row r="669" ht="22" customHeight="1">
      <c r="A669" s="2" t="inlineStr">
        <is>
          <t>2026-03-06</t>
        </is>
      </c>
      <c r="B669" s="3" t="inlineStr">
        <is>
          <t>큐캐피탈</t>
        </is>
      </c>
      <c r="C669" s="2" t="inlineStr">
        <is>
          <t>016600</t>
        </is>
      </c>
      <c r="D669" s="2" t="inlineStr">
        <is>
          <t>대량보유</t>
        </is>
      </c>
      <c r="E669" s="3" t="inlineStr">
        <is>
          <t>(주)지엔코</t>
        </is>
      </c>
      <c r="F669" s="3" t="inlineStr">
        <is>
          <t>보고자</t>
        </is>
      </c>
      <c r="G669" s="3" t="inlineStr">
        <is>
          <t>주식근질권설정변경계약체결</t>
        </is>
      </c>
      <c r="H669" s="6" t="inlineStr"/>
      <c r="I669" s="6" t="inlineStr"/>
      <c r="J669" s="6" t="n">
        <v>69950000</v>
      </c>
      <c r="K669" s="16" t="n">
        <v>1</v>
      </c>
      <c r="L669" s="2" t="inlineStr">
        <is>
          <t>20260306000748</t>
        </is>
      </c>
      <c r="M669" s="8">
        <f>HYPERLINK("https://dart.fss.or.kr/dsaf001/main.do?rcpNo=20260306000748", "공시열람")</f>
        <v/>
      </c>
    </row>
    <row r="670" ht="22" customHeight="1">
      <c r="A670" s="2" t="inlineStr">
        <is>
          <t>2026-03-06</t>
        </is>
      </c>
      <c r="B670" s="3" t="inlineStr">
        <is>
          <t>대덕</t>
        </is>
      </c>
      <c r="C670" s="2" t="inlineStr">
        <is>
          <t>008060</t>
        </is>
      </c>
      <c r="D670" s="2" t="inlineStr">
        <is>
          <t>대량보유</t>
        </is>
      </c>
      <c r="E670" s="3" t="inlineStr">
        <is>
          <t>김영재</t>
        </is>
      </c>
      <c r="F670" s="3" t="inlineStr">
        <is>
          <t>특별관계자</t>
        </is>
      </c>
      <c r="G670" s="3" t="inlineStr">
        <is>
          <t>증여(-)</t>
        </is>
      </c>
      <c r="H670" s="17" t="n">
        <v>-2000000</v>
      </c>
      <c r="I670" s="6" t="inlineStr"/>
      <c r="J670" s="6" t="n">
        <v>5368082</v>
      </c>
      <c r="K670" s="16" t="n">
        <v>8</v>
      </c>
      <c r="L670" s="2" t="inlineStr">
        <is>
          <t>20260306000746</t>
        </is>
      </c>
      <c r="M670" s="8">
        <f>HYPERLINK("https://dart.fss.or.kr/dsaf001/main.do?rcpNo=20260306000746", "공시열람")</f>
        <v/>
      </c>
    </row>
    <row r="671" ht="22" customHeight="1">
      <c r="A671" s="2" t="inlineStr">
        <is>
          <t>2026-03-06</t>
        </is>
      </c>
      <c r="B671" s="3" t="inlineStr">
        <is>
          <t>대덕</t>
        </is>
      </c>
      <c r="C671" s="2" t="inlineStr">
        <is>
          <t>008060</t>
        </is>
      </c>
      <c r="D671" s="2" t="inlineStr">
        <is>
          <t>대량보유</t>
        </is>
      </c>
      <c r="E671" s="3" t="inlineStr">
        <is>
          <t>김정미</t>
        </is>
      </c>
      <c r="F671" s="3" t="inlineStr">
        <is>
          <t>특별관계자</t>
        </is>
      </c>
      <c r="G671" s="3" t="inlineStr">
        <is>
          <t>수증(+)</t>
        </is>
      </c>
      <c r="H671" s="15" t="n">
        <v>1000000</v>
      </c>
      <c r="I671" s="6" t="inlineStr"/>
      <c r="J671" s="6" t="n">
        <v>3000000</v>
      </c>
      <c r="K671" s="16" t="n">
        <v>8</v>
      </c>
      <c r="L671" s="2" t="inlineStr">
        <is>
          <t>20260306000746</t>
        </is>
      </c>
      <c r="M671" s="8">
        <f>HYPERLINK("https://dart.fss.or.kr/dsaf001/main.do?rcpNo=20260306000746", "공시열람")</f>
        <v/>
      </c>
    </row>
    <row r="672" ht="22" customHeight="1">
      <c r="A672" s="2" t="inlineStr">
        <is>
          <t>2026-03-06</t>
        </is>
      </c>
      <c r="B672" s="3" t="inlineStr">
        <is>
          <t>대덕</t>
        </is>
      </c>
      <c r="C672" s="2" t="inlineStr">
        <is>
          <t>008060</t>
        </is>
      </c>
      <c r="D672" s="2" t="inlineStr">
        <is>
          <t>대량보유</t>
        </is>
      </c>
      <c r="E672" s="3" t="inlineStr">
        <is>
          <t>김윤정</t>
        </is>
      </c>
      <c r="F672" s="3" t="inlineStr">
        <is>
          <t>특별관계자</t>
        </is>
      </c>
      <c r="G672" s="3" t="inlineStr">
        <is>
          <t>수증(+)</t>
        </is>
      </c>
      <c r="H672" s="15" t="n">
        <v>1000000</v>
      </c>
      <c r="I672" s="6" t="inlineStr"/>
      <c r="J672" s="6" t="n">
        <v>3000000</v>
      </c>
      <c r="K672" s="16" t="n">
        <v>8</v>
      </c>
      <c r="L672" s="2" t="inlineStr">
        <is>
          <t>20260306000746</t>
        </is>
      </c>
      <c r="M672" s="8">
        <f>HYPERLINK("https://dart.fss.or.kr/dsaf001/main.do?rcpNo=20260306000746", "공시열람")</f>
        <v/>
      </c>
    </row>
    <row r="673" ht="22" customHeight="1">
      <c r="A673" s="2" t="inlineStr">
        <is>
          <t>2026-03-06</t>
        </is>
      </c>
      <c r="B673" s="3" t="inlineStr">
        <is>
          <t>대덕</t>
        </is>
      </c>
      <c r="C673" s="2" t="inlineStr">
        <is>
          <t>008060</t>
        </is>
      </c>
      <c r="D673" s="2" t="inlineStr">
        <is>
          <t>임원보고</t>
        </is>
      </c>
      <c r="E673" s="3" t="inlineStr">
        <is>
          <t>-</t>
        </is>
      </c>
      <c r="F673" s="3" t="inlineStr">
        <is>
          <t>-</t>
        </is>
      </c>
      <c r="G673" s="3" t="inlineStr">
        <is>
          <t>-</t>
        </is>
      </c>
      <c r="H673" s="6" t="inlineStr"/>
      <c r="I673" s="6" t="inlineStr"/>
      <c r="J673" s="6" t="inlineStr"/>
      <c r="K673" s="16" t="n">
        <v>12</v>
      </c>
      <c r="L673" s="2" t="inlineStr">
        <is>
          <t>20260306801171</t>
        </is>
      </c>
      <c r="M673" s="8">
        <f>HYPERLINK("https://dart.fss.or.kr/dsaf001/main.do?rcpNo=20260306801171", "공시열람")</f>
        <v/>
      </c>
    </row>
    <row r="674" ht="22" customHeight="1">
      <c r="A674" s="2" t="inlineStr">
        <is>
          <t>2026-03-06</t>
        </is>
      </c>
      <c r="B674" s="3" t="inlineStr">
        <is>
          <t>NICE</t>
        </is>
      </c>
      <c r="C674" s="2" t="inlineStr">
        <is>
          <t>034310</t>
        </is>
      </c>
      <c r="D674" s="2" t="inlineStr">
        <is>
          <t>대량보유</t>
        </is>
      </c>
      <c r="E674" s="3" t="inlineStr">
        <is>
          <t>김원우</t>
        </is>
      </c>
      <c r="F674" s="3" t="inlineStr">
        <is>
          <t>보고자</t>
        </is>
      </c>
      <c r="G674" s="3" t="inlineStr">
        <is>
          <t>보고자 본인의 주식담보계약 변경</t>
        </is>
      </c>
      <c r="H674" s="6" t="inlineStr"/>
      <c r="I674" s="6" t="inlineStr"/>
      <c r="J674" s="6" t="n">
        <v>19062991</v>
      </c>
      <c r="K674" s="16" t="n">
        <v>6</v>
      </c>
      <c r="L674" s="2" t="inlineStr">
        <is>
          <t>20260306000737</t>
        </is>
      </c>
      <c r="M674" s="8">
        <f>HYPERLINK("https://dart.fss.or.kr/dsaf001/main.do?rcpNo=20260306000737", "공시열람")</f>
        <v/>
      </c>
    </row>
    <row r="675" ht="22" customHeight="1">
      <c r="A675" s="2" t="inlineStr">
        <is>
          <t>2026-03-06</t>
        </is>
      </c>
      <c r="B675" s="3" t="inlineStr">
        <is>
          <t>동운아나텍</t>
        </is>
      </c>
      <c r="C675" s="2" t="inlineStr">
        <is>
          <t>094170</t>
        </is>
      </c>
      <c r="D675" s="2" t="inlineStr">
        <is>
          <t>대량보유</t>
        </is>
      </c>
      <c r="E675" s="3" t="inlineStr">
        <is>
          <t>김동수</t>
        </is>
      </c>
      <c r="F675" s="3" t="inlineStr">
        <is>
          <t>특별관계자</t>
        </is>
      </c>
      <c r="G675" s="3" t="inlineStr">
        <is>
          <t>장내매도(-)</t>
        </is>
      </c>
      <c r="H675" s="17" t="n">
        <v>-3000</v>
      </c>
      <c r="I675" s="6" t="n">
        <v>22432</v>
      </c>
      <c r="J675" s="6" t="n">
        <v>92623</v>
      </c>
      <c r="K675" s="16" t="n">
        <v>13</v>
      </c>
      <c r="L675" s="2" t="inlineStr">
        <is>
          <t>20260306000735</t>
        </is>
      </c>
      <c r="M675" s="8">
        <f>HYPERLINK("https://dart.fss.or.kr/dsaf001/main.do?rcpNo=20260306000735", "공시열람")</f>
        <v/>
      </c>
    </row>
    <row r="676" ht="22" customHeight="1">
      <c r="A676" s="2" t="inlineStr">
        <is>
          <t>2026-03-06</t>
        </is>
      </c>
      <c r="B676" s="3" t="inlineStr">
        <is>
          <t>동운아나텍</t>
        </is>
      </c>
      <c r="C676" s="2" t="inlineStr">
        <is>
          <t>094170</t>
        </is>
      </c>
      <c r="D676" s="2" t="inlineStr">
        <is>
          <t>대량보유</t>
        </is>
      </c>
      <c r="E676" s="3" t="inlineStr">
        <is>
          <t>김은숙</t>
        </is>
      </c>
      <c r="F676" s="3" t="inlineStr">
        <is>
          <t>특별관계자</t>
        </is>
      </c>
      <c r="G676" s="3" t="inlineStr">
        <is>
          <t>피상속(-)</t>
        </is>
      </c>
      <c r="H676" s="17" t="n">
        <v>-58564</v>
      </c>
      <c r="I676" s="6" t="inlineStr"/>
      <c r="J676" s="6" t="inlineStr"/>
      <c r="K676" s="16" t="n">
        <v>13</v>
      </c>
      <c r="L676" s="2" t="inlineStr">
        <is>
          <t>20260306000735</t>
        </is>
      </c>
      <c r="M676" s="8">
        <f>HYPERLINK("https://dart.fss.or.kr/dsaf001/main.do?rcpNo=20260306000735", "공시열람")</f>
        <v/>
      </c>
    </row>
    <row r="677" ht="22" customHeight="1">
      <c r="A677" s="2" t="inlineStr">
        <is>
          <t>2026-03-06</t>
        </is>
      </c>
      <c r="B677" s="3" t="inlineStr">
        <is>
          <t>동운아나텍</t>
        </is>
      </c>
      <c r="C677" s="2" t="inlineStr">
        <is>
          <t>094170</t>
        </is>
      </c>
      <c r="D677" s="2" t="inlineStr">
        <is>
          <t>대량보유</t>
        </is>
      </c>
      <c r="E677" s="3" t="inlineStr">
        <is>
          <t>유준민</t>
        </is>
      </c>
      <c r="F677" s="3" t="inlineStr">
        <is>
          <t>특별관계자</t>
        </is>
      </c>
      <c r="G677" s="3" t="inlineStr">
        <is>
          <t>상속(+)</t>
        </is>
      </c>
      <c r="H677" s="15" t="n">
        <v>29282</v>
      </c>
      <c r="I677" s="6" t="inlineStr"/>
      <c r="J677" s="6" t="n">
        <v>29282</v>
      </c>
      <c r="K677" s="16" t="n">
        <v>13</v>
      </c>
      <c r="L677" s="2" t="inlineStr">
        <is>
          <t>20260306000735</t>
        </is>
      </c>
      <c r="M677" s="8">
        <f>HYPERLINK("https://dart.fss.or.kr/dsaf001/main.do?rcpNo=20260306000735", "공시열람")</f>
        <v/>
      </c>
    </row>
    <row r="678" ht="22" customHeight="1">
      <c r="A678" s="2" t="inlineStr">
        <is>
          <t>2026-03-06</t>
        </is>
      </c>
      <c r="B678" s="3" t="inlineStr">
        <is>
          <t>동운아나텍</t>
        </is>
      </c>
      <c r="C678" s="2" t="inlineStr">
        <is>
          <t>094170</t>
        </is>
      </c>
      <c r="D678" s="2" t="inlineStr">
        <is>
          <t>대량보유</t>
        </is>
      </c>
      <c r="E678" s="3" t="inlineStr">
        <is>
          <t>유정호</t>
        </is>
      </c>
      <c r="F678" s="3" t="inlineStr">
        <is>
          <t>특별관계자</t>
        </is>
      </c>
      <c r="G678" s="3" t="inlineStr">
        <is>
          <t>상속(+)</t>
        </is>
      </c>
      <c r="H678" s="15" t="n">
        <v>29282</v>
      </c>
      <c r="I678" s="6" t="inlineStr"/>
      <c r="J678" s="6" t="n">
        <v>29282</v>
      </c>
      <c r="K678" s="16" t="n">
        <v>13</v>
      </c>
      <c r="L678" s="2" t="inlineStr">
        <is>
          <t>20260306000735</t>
        </is>
      </c>
      <c r="M678" s="8">
        <f>HYPERLINK("https://dart.fss.or.kr/dsaf001/main.do?rcpNo=20260306000735", "공시열람")</f>
        <v/>
      </c>
    </row>
    <row r="679" ht="22" customHeight="1">
      <c r="A679" s="2" t="inlineStr">
        <is>
          <t>2026-03-06</t>
        </is>
      </c>
      <c r="B679" s="3" t="inlineStr">
        <is>
          <t>동운아나텍</t>
        </is>
      </c>
      <c r="C679" s="2" t="inlineStr">
        <is>
          <t>094170</t>
        </is>
      </c>
      <c r="D679" s="2" t="inlineStr">
        <is>
          <t>대량보유</t>
        </is>
      </c>
      <c r="E679" s="3" t="inlineStr">
        <is>
          <t>이재식</t>
        </is>
      </c>
      <c r="F679" s="3" t="inlineStr">
        <is>
          <t>특별관계자</t>
        </is>
      </c>
      <c r="G679" s="3" t="inlineStr">
        <is>
          <t>임원퇴임(-)</t>
        </is>
      </c>
      <c r="H679" s="17" t="n">
        <v>-1555</v>
      </c>
      <c r="I679" s="6" t="inlineStr"/>
      <c r="J679" s="6" t="inlineStr"/>
      <c r="K679" s="16" t="n">
        <v>13</v>
      </c>
      <c r="L679" s="2" t="inlineStr">
        <is>
          <t>20260306000735</t>
        </is>
      </c>
      <c r="M679" s="8">
        <f>HYPERLINK("https://dart.fss.or.kr/dsaf001/main.do?rcpNo=20260306000735", "공시열람")</f>
        <v/>
      </c>
    </row>
    <row r="680" ht="22" customHeight="1">
      <c r="A680" s="2" t="inlineStr">
        <is>
          <t>2026-03-06</t>
        </is>
      </c>
      <c r="B680" s="3" t="inlineStr">
        <is>
          <t>동운아나텍</t>
        </is>
      </c>
      <c r="C680" s="2" t="inlineStr">
        <is>
          <t>094170</t>
        </is>
      </c>
      <c r="D680" s="2" t="inlineStr">
        <is>
          <t>대량보유</t>
        </is>
      </c>
      <c r="E680" s="3" t="inlineStr">
        <is>
          <t>조재원</t>
        </is>
      </c>
      <c r="F680" s="3" t="inlineStr">
        <is>
          <t>특별관계자</t>
        </is>
      </c>
      <c r="G680" s="3" t="inlineStr">
        <is>
          <t>장내매도(-)</t>
        </is>
      </c>
      <c r="H680" s="17" t="n">
        <v>-8000</v>
      </c>
      <c r="I680" s="6" t="n">
        <v>19251</v>
      </c>
      <c r="J680" s="6" t="n">
        <v>80000</v>
      </c>
      <c r="K680" s="16" t="n">
        <v>13</v>
      </c>
      <c r="L680" s="2" t="inlineStr">
        <is>
          <t>20260306000735</t>
        </is>
      </c>
      <c r="M680" s="8">
        <f>HYPERLINK("https://dart.fss.or.kr/dsaf001/main.do?rcpNo=20260306000735", "공시열람")</f>
        <v/>
      </c>
    </row>
    <row r="681" ht="22" customHeight="1">
      <c r="A681" s="2" t="inlineStr">
        <is>
          <t>2026-03-06</t>
        </is>
      </c>
      <c r="B681" s="3" t="inlineStr">
        <is>
          <t>제룡전기</t>
        </is>
      </c>
      <c r="C681" s="2" t="inlineStr">
        <is>
          <t>033100</t>
        </is>
      </c>
      <c r="D681" s="2" t="inlineStr">
        <is>
          <t>대량보유</t>
        </is>
      </c>
      <c r="E681" s="3" t="inlineStr">
        <is>
          <t>삼성자산운용</t>
        </is>
      </c>
      <c r="F681" s="3" t="inlineStr">
        <is>
          <t>특별관계자</t>
        </is>
      </c>
      <c r="G681" s="3" t="inlineStr">
        <is>
          <t>기타(+), 기타(-), 장내매수(+), 장내매도(-)</t>
        </is>
      </c>
      <c r="H681" s="15" t="n">
        <v>265263</v>
      </c>
      <c r="I681" s="6" t="n">
        <v>51151</v>
      </c>
      <c r="J681" s="6" t="n">
        <v>1098686</v>
      </c>
      <c r="K681" s="16" t="n">
        <v>6.84</v>
      </c>
      <c r="L681" s="2" t="inlineStr">
        <is>
          <t>20260306000734</t>
        </is>
      </c>
      <c r="M681" s="8">
        <f>HYPERLINK("https://dart.fss.or.kr/dsaf001/main.do?rcpNo=20260306000734", "공시열람")</f>
        <v/>
      </c>
    </row>
    <row r="682" ht="22" customHeight="1">
      <c r="A682" s="2" t="inlineStr">
        <is>
          <t>2026-03-06</t>
        </is>
      </c>
      <c r="B682" s="3" t="inlineStr">
        <is>
          <t>넥스틴</t>
        </is>
      </c>
      <c r="C682" s="2" t="inlineStr">
        <is>
          <t>348210</t>
        </is>
      </c>
      <c r="D682" s="2" t="inlineStr">
        <is>
          <t>대량보유</t>
        </is>
      </c>
      <c r="E682" s="3" t="inlineStr">
        <is>
          <t>삼성자산운용</t>
        </is>
      </c>
      <c r="F682" s="3" t="inlineStr">
        <is>
          <t>특별관계자</t>
        </is>
      </c>
      <c r="G682" s="3" t="inlineStr">
        <is>
          <t>장내매수(+), 기타(+), 기타(-), 장내매도(-)</t>
        </is>
      </c>
      <c r="H682" s="15" t="n">
        <v>156054</v>
      </c>
      <c r="I682" s="6" t="n">
        <v>82948</v>
      </c>
      <c r="J682" s="6" t="n">
        <v>703690</v>
      </c>
      <c r="K682" s="16" t="n">
        <v>6.72</v>
      </c>
      <c r="L682" s="2" t="inlineStr">
        <is>
          <t>20260306000727</t>
        </is>
      </c>
      <c r="M682" s="8">
        <f>HYPERLINK("https://dart.fss.or.kr/dsaf001/main.do?rcpNo=20260306000727", "공시열람")</f>
        <v/>
      </c>
    </row>
    <row r="683" ht="22" customHeight="1">
      <c r="A683" s="2" t="inlineStr">
        <is>
          <t>2026-03-06</t>
        </is>
      </c>
      <c r="B683" s="3" t="inlineStr">
        <is>
          <t>심텍</t>
        </is>
      </c>
      <c r="C683" s="2" t="inlineStr">
        <is>
          <t>222800</t>
        </is>
      </c>
      <c r="D683" s="2" t="inlineStr">
        <is>
          <t>대량보유</t>
        </is>
      </c>
      <c r="E683" s="3" t="inlineStr">
        <is>
          <t>삼성자산운용</t>
        </is>
      </c>
      <c r="F683" s="3" t="inlineStr">
        <is>
          <t>특별관계자</t>
        </is>
      </c>
      <c r="G683" s="3" t="inlineStr">
        <is>
          <t>기타(+), 장내매수(+), 기타(-), 장내매도(-)</t>
        </is>
      </c>
      <c r="H683" s="15" t="n">
        <v>605152</v>
      </c>
      <c r="I683" s="6" t="n">
        <v>54567</v>
      </c>
      <c r="J683" s="6" t="n">
        <v>2586746</v>
      </c>
      <c r="K683" s="16" t="n">
        <v>6.93</v>
      </c>
      <c r="L683" s="2" t="inlineStr">
        <is>
          <t>20260306000722</t>
        </is>
      </c>
      <c r="M683" s="8">
        <f>HYPERLINK("https://dart.fss.or.kr/dsaf001/main.do?rcpNo=20260306000722", "공시열람")</f>
        <v/>
      </c>
    </row>
    <row r="684" ht="22" customHeight="1">
      <c r="A684" s="2" t="inlineStr">
        <is>
          <t>2026-03-06</t>
        </is>
      </c>
      <c r="B684" s="3" t="inlineStr">
        <is>
          <t>SK이터닉스</t>
        </is>
      </c>
      <c r="C684" s="2" t="inlineStr">
        <is>
          <t>475150</t>
        </is>
      </c>
      <c r="D684" s="2" t="inlineStr">
        <is>
          <t>대량보유</t>
        </is>
      </c>
      <c r="E684" s="3" t="inlineStr">
        <is>
          <t>김도현</t>
        </is>
      </c>
      <c r="F684" s="3" t="inlineStr">
        <is>
          <t>특별관계자</t>
        </is>
      </c>
      <c r="G684" s="3" t="inlineStr">
        <is>
          <t>주식매수선택권행사(-)</t>
        </is>
      </c>
      <c r="H684" s="17" t="n">
        <v>-23037</v>
      </c>
      <c r="I684" s="6" t="inlineStr"/>
      <c r="J684" s="6" t="n">
        <v>187754</v>
      </c>
      <c r="K684" s="16" t="n">
        <v>7</v>
      </c>
      <c r="L684" s="2" t="inlineStr">
        <is>
          <t>20260306000716</t>
        </is>
      </c>
      <c r="M684" s="8">
        <f>HYPERLINK("https://dart.fss.or.kr/dsaf001/main.do?rcpNo=20260306000716", "공시열람")</f>
        <v/>
      </c>
    </row>
    <row r="685" ht="22" customHeight="1">
      <c r="A685" s="2" t="inlineStr">
        <is>
          <t>2026-03-06</t>
        </is>
      </c>
      <c r="B685" s="3" t="inlineStr">
        <is>
          <t>오상자이엘</t>
        </is>
      </c>
      <c r="C685" s="2" t="inlineStr">
        <is>
          <t>053980</t>
        </is>
      </c>
      <c r="D685" s="2" t="inlineStr">
        <is>
          <t>대량보유</t>
        </is>
      </c>
      <c r="E685" s="3" t="inlineStr">
        <is>
          <t>(주)오상</t>
        </is>
      </c>
      <c r="F685" s="3" t="inlineStr">
        <is>
          <t>보고자</t>
        </is>
      </c>
      <c r="G685" s="3" t="inlineStr">
        <is>
          <t>최대주주의 주식담보제공 계약 변경</t>
        </is>
      </c>
      <c r="H685" s="6" t="inlineStr"/>
      <c r="I685" s="6" t="inlineStr"/>
      <c r="J685" s="6" t="n">
        <v>7108982</v>
      </c>
      <c r="K685" s="16" t="n">
        <v>5</v>
      </c>
      <c r="L685" s="2" t="inlineStr">
        <is>
          <t>20260306000710</t>
        </is>
      </c>
      <c r="M685" s="8">
        <f>HYPERLINK("https://dart.fss.or.kr/dsaf001/main.do?rcpNo=20260306000710", "공시열람")</f>
        <v/>
      </c>
    </row>
    <row r="686" ht="22" customHeight="1">
      <c r="A686" s="2" t="inlineStr">
        <is>
          <t>2026-03-06 (정정: 2026-03-10)</t>
        </is>
      </c>
      <c r="B686" s="3" t="inlineStr">
        <is>
          <t>루닛</t>
        </is>
      </c>
      <c r="C686" s="2" t="inlineStr">
        <is>
          <t>328130</t>
        </is>
      </c>
      <c r="D686" s="2" t="inlineStr">
        <is>
          <t>대량보유</t>
        </is>
      </c>
      <c r="E686" s="3" t="inlineStr">
        <is>
          <t>-</t>
        </is>
      </c>
      <c r="F686" s="3" t="inlineStr">
        <is>
          <t>보고자</t>
        </is>
      </c>
      <c r="G686" s="3" t="inlineStr">
        <is>
          <t>-</t>
        </is>
      </c>
      <c r="H686" s="6" t="inlineStr"/>
      <c r="I686" s="6" t="inlineStr"/>
      <c r="J686" s="6" t="inlineStr"/>
      <c r="K686" s="18" t="inlineStr"/>
      <c r="L686" s="2" t="inlineStr">
        <is>
          <t>20260310002847</t>
        </is>
      </c>
      <c r="M686" s="8">
        <f>HYPERLINK("https://dart.fss.or.kr/dsaf001/main.do?rcpNo=20260310002847", "공시열람")</f>
        <v/>
      </c>
    </row>
    <row r="687" ht="22" customHeight="1">
      <c r="A687" s="2" t="inlineStr">
        <is>
          <t>2026-03-06</t>
        </is>
      </c>
      <c r="B687" s="3" t="inlineStr">
        <is>
          <t>엑스플러스</t>
        </is>
      </c>
      <c r="C687" s="2" t="inlineStr">
        <is>
          <t>373200</t>
        </is>
      </c>
      <c r="D687" s="2" t="inlineStr">
        <is>
          <t>대량보유</t>
        </is>
      </c>
      <c r="E687" s="3" t="inlineStr">
        <is>
          <t>(주)엑스페릭스</t>
        </is>
      </c>
      <c r="F687" s="3" t="inlineStr">
        <is>
          <t>특별관계자</t>
        </is>
      </c>
      <c r="G687" s="3" t="inlineStr">
        <is>
          <t>기타(-)</t>
        </is>
      </c>
      <c r="H687" s="17" t="n">
        <v>-2014834</v>
      </c>
      <c r="I687" s="6" t="inlineStr"/>
      <c r="J687" s="6" t="n">
        <v>23349834</v>
      </c>
      <c r="K687" s="16" t="n">
        <v>2</v>
      </c>
      <c r="L687" s="2" t="inlineStr">
        <is>
          <t>20260306000698</t>
        </is>
      </c>
      <c r="M687" s="8">
        <f>HYPERLINK("https://dart.fss.or.kr/dsaf001/main.do?rcpNo=20260306000698", "공시열람")</f>
        <v/>
      </c>
    </row>
    <row r="688" ht="22" customHeight="1">
      <c r="A688" s="2" t="inlineStr">
        <is>
          <t>2026-03-06</t>
        </is>
      </c>
      <c r="B688" s="3" t="inlineStr">
        <is>
          <t>바이오톡스텍</t>
        </is>
      </c>
      <c r="C688" s="2" t="inlineStr">
        <is>
          <t>086040</t>
        </is>
      </c>
      <c r="D688" s="2" t="inlineStr">
        <is>
          <t>대량보유</t>
        </is>
      </c>
      <c r="E688" s="3" t="inlineStr">
        <is>
          <t>강종구</t>
        </is>
      </c>
      <c r="F688" s="3" t="inlineStr">
        <is>
          <t>보고자</t>
        </is>
      </c>
      <c r="G688" s="3" t="inlineStr">
        <is>
          <t>보유주식등에 관한 계약 변경</t>
        </is>
      </c>
      <c r="H688" s="6" t="inlineStr"/>
      <c r="I688" s="6" t="inlineStr"/>
      <c r="J688" s="6" t="n">
        <v>3843882</v>
      </c>
      <c r="K688" s="16" t="n">
        <v>11</v>
      </c>
      <c r="L688" s="2" t="inlineStr">
        <is>
          <t>20260306000695</t>
        </is>
      </c>
      <c r="M688" s="8">
        <f>HYPERLINK("https://dart.fss.or.kr/dsaf001/main.do?rcpNo=20260306000695", "공시열람")</f>
        <v/>
      </c>
    </row>
    <row r="689" ht="22" customHeight="1">
      <c r="A689" s="2" t="inlineStr">
        <is>
          <t>2026-03-06</t>
        </is>
      </c>
      <c r="B689" s="3" t="inlineStr">
        <is>
          <t>우리기술투자</t>
        </is>
      </c>
      <c r="C689" s="2" t="inlineStr">
        <is>
          <t>041190</t>
        </is>
      </c>
      <c r="D689" s="2" t="inlineStr">
        <is>
          <t>대량보유</t>
        </is>
      </c>
      <c r="E689" s="3" t="inlineStr">
        <is>
          <t>이완근</t>
        </is>
      </c>
      <c r="F689" s="3" t="inlineStr">
        <is>
          <t>보고자</t>
        </is>
      </c>
      <c r="G689" s="3" t="inlineStr">
        <is>
          <t>최대주주 보유주식 담보계약 추가</t>
        </is>
      </c>
      <c r="H689" s="6" t="inlineStr"/>
      <c r="I689" s="6" t="inlineStr"/>
      <c r="J689" s="6" t="n">
        <v>25961047</v>
      </c>
      <c r="K689" s="16" t="n">
        <v>6</v>
      </c>
      <c r="L689" s="2" t="inlineStr">
        <is>
          <t>20260306000690</t>
        </is>
      </c>
      <c r="M689" s="8">
        <f>HYPERLINK("https://dart.fss.or.kr/dsaf001/main.do?rcpNo=20260306000690", "공시열람")</f>
        <v/>
      </c>
    </row>
    <row r="690" ht="22" customHeight="1">
      <c r="A690" s="2" t="inlineStr">
        <is>
          <t>2026-03-06</t>
        </is>
      </c>
      <c r="B690" s="3" t="inlineStr">
        <is>
          <t>바이넥스</t>
        </is>
      </c>
      <c r="C690" s="2" t="inlineStr">
        <is>
          <t>053030</t>
        </is>
      </c>
      <c r="D690" s="2" t="inlineStr">
        <is>
          <t>대량보유</t>
        </is>
      </c>
      <c r="E690" s="3" t="inlineStr">
        <is>
          <t>(주)더에이블</t>
        </is>
      </c>
      <c r="F690" s="3" t="inlineStr">
        <is>
          <t>보고자</t>
        </is>
      </c>
      <c r="G690" s="3" t="inlineStr">
        <is>
          <t>특별관계자의 추가 주식담보대출로 인한 주요계약체결 주식등의 수 및 비율 변경</t>
        </is>
      </c>
      <c r="H690" s="6" t="inlineStr"/>
      <c r="I690" s="6" t="inlineStr"/>
      <c r="J690" s="6" t="n">
        <v>3516305</v>
      </c>
      <c r="K690" s="16" t="n">
        <v>3</v>
      </c>
      <c r="L690" s="2" t="inlineStr">
        <is>
          <t>20260306000670</t>
        </is>
      </c>
      <c r="M690" s="8">
        <f>HYPERLINK("https://dart.fss.or.kr/dsaf001/main.do?rcpNo=20260306000670", "공시열람")</f>
        <v/>
      </c>
    </row>
    <row r="691" ht="22" customHeight="1">
      <c r="A691" s="2" t="inlineStr">
        <is>
          <t>2026-03-06</t>
        </is>
      </c>
      <c r="B691" s="3" t="inlineStr">
        <is>
          <t>한솔홈데코</t>
        </is>
      </c>
      <c r="C691" s="2" t="inlineStr">
        <is>
          <t>025750</t>
        </is>
      </c>
      <c r="D691" s="2" t="inlineStr">
        <is>
          <t>임원보고</t>
        </is>
      </c>
      <c r="E691" s="3" t="inlineStr">
        <is>
          <t>-</t>
        </is>
      </c>
      <c r="F691" s="3" t="inlineStr">
        <is>
          <t>-</t>
        </is>
      </c>
      <c r="G691" s="3" t="inlineStr">
        <is>
          <t>-</t>
        </is>
      </c>
      <c r="H691" s="6" t="inlineStr"/>
      <c r="I691" s="6" t="inlineStr"/>
      <c r="J691" s="6" t="inlineStr"/>
      <c r="K691" s="16" t="n">
        <v>12</v>
      </c>
      <c r="L691" s="2" t="inlineStr">
        <is>
          <t>20260306801036</t>
        </is>
      </c>
      <c r="M691" s="8">
        <f>HYPERLINK("https://dart.fss.or.kr/dsaf001/main.do?rcpNo=20260306801036", "공시열람")</f>
        <v/>
      </c>
    </row>
    <row r="692" ht="22" customHeight="1">
      <c r="A692" s="2" t="inlineStr">
        <is>
          <t>2026-03-06</t>
        </is>
      </c>
      <c r="B692" s="3" t="inlineStr">
        <is>
          <t>씨아이테크</t>
        </is>
      </c>
      <c r="C692" s="2" t="inlineStr">
        <is>
          <t>004920</t>
        </is>
      </c>
      <c r="D692" s="2" t="inlineStr">
        <is>
          <t>대량보유</t>
        </is>
      </c>
      <c r="E692" s="3" t="inlineStr">
        <is>
          <t>(주)씨엔씨기술</t>
        </is>
      </c>
      <c r="F692" s="3" t="inlineStr">
        <is>
          <t>보고자</t>
        </is>
      </c>
      <c r="G692" s="3" t="inlineStr">
        <is>
          <t>특별관계자의 물상보증 계약 연장</t>
        </is>
      </c>
      <c r="H692" s="6" t="inlineStr"/>
      <c r="I692" s="6" t="inlineStr"/>
      <c r="J692" s="6" t="n">
        <v>16404852</v>
      </c>
      <c r="K692" s="16" t="n">
        <v>12</v>
      </c>
      <c r="L692" s="2" t="inlineStr">
        <is>
          <t>20260306000660</t>
        </is>
      </c>
      <c r="M692" s="8">
        <f>HYPERLINK("https://dart.fss.or.kr/dsaf001/main.do?rcpNo=20260306000660", "공시열람")</f>
        <v/>
      </c>
    </row>
    <row r="693" ht="22" customHeight="1">
      <c r="A693" s="2" t="inlineStr">
        <is>
          <t>2026-03-06</t>
        </is>
      </c>
      <c r="B693" s="3" t="inlineStr">
        <is>
          <t>유아이디</t>
        </is>
      </c>
      <c r="C693" s="2" t="inlineStr">
        <is>
          <t>069330</t>
        </is>
      </c>
      <c r="D693" s="2" t="inlineStr">
        <is>
          <t>대량보유</t>
        </is>
      </c>
      <c r="E693" s="3" t="inlineStr">
        <is>
          <t>(주)정광</t>
        </is>
      </c>
      <c r="F693" s="3" t="inlineStr">
        <is>
          <t>특별관계자</t>
        </is>
      </c>
      <c r="G693" s="3" t="inlineStr">
        <is>
          <t>장내매수(+)</t>
        </is>
      </c>
      <c r="H693" s="15" t="n">
        <v>150000</v>
      </c>
      <c r="I693" s="6" t="n">
        <v>1046</v>
      </c>
      <c r="J693" s="6" t="n">
        <v>911369</v>
      </c>
      <c r="K693" s="16" t="n">
        <v>4</v>
      </c>
      <c r="L693" s="2" t="inlineStr">
        <is>
          <t>20260306000601</t>
        </is>
      </c>
      <c r="M693" s="8">
        <f>HYPERLINK("https://dart.fss.or.kr/dsaf001/main.do?rcpNo=20260306000601", "공시열람")</f>
        <v/>
      </c>
    </row>
    <row r="694" ht="22" customHeight="1">
      <c r="A694" s="2" t="inlineStr">
        <is>
          <t>2026-03-06</t>
        </is>
      </c>
      <c r="B694" s="3" t="inlineStr">
        <is>
          <t>미원홀딩스</t>
        </is>
      </c>
      <c r="C694" s="2" t="inlineStr">
        <is>
          <t>107590</t>
        </is>
      </c>
      <c r="D694" s="2" t="inlineStr">
        <is>
          <t>임원보고</t>
        </is>
      </c>
      <c r="E694" s="3" t="inlineStr">
        <is>
          <t>-</t>
        </is>
      </c>
      <c r="F694" s="3" t="inlineStr">
        <is>
          <t>-</t>
        </is>
      </c>
      <c r="G694" s="3" t="inlineStr">
        <is>
          <t>-</t>
        </is>
      </c>
      <c r="H694" s="6" t="inlineStr"/>
      <c r="I694" s="6" t="inlineStr"/>
      <c r="J694" s="6" t="inlineStr"/>
      <c r="K694" s="16" t="n">
        <v>12</v>
      </c>
      <c r="L694" s="2" t="inlineStr">
        <is>
          <t>20260306800940</t>
        </is>
      </c>
      <c r="M694" s="8">
        <f>HYPERLINK("https://dart.fss.or.kr/dsaf001/main.do?rcpNo=20260306800940", "공시열람")</f>
        <v/>
      </c>
    </row>
    <row r="695" ht="22" customHeight="1">
      <c r="A695" s="2" t="inlineStr">
        <is>
          <t>2026-03-06</t>
        </is>
      </c>
      <c r="B695" s="3" t="inlineStr">
        <is>
          <t>아이티켐</t>
        </is>
      </c>
      <c r="C695" s="2" t="inlineStr">
        <is>
          <t>309710</t>
        </is>
      </c>
      <c r="D695" s="2" t="inlineStr">
        <is>
          <t>대량보유</t>
        </is>
      </c>
      <c r="E695" s="3" t="inlineStr">
        <is>
          <t>㈜타임폴리오자산운용</t>
        </is>
      </c>
      <c r="F695" s="3" t="inlineStr">
        <is>
          <t>특별관계자</t>
        </is>
      </c>
      <c r="G695" s="3" t="inlineStr">
        <is>
          <t>장외매수(+), CB인수(+)</t>
        </is>
      </c>
      <c r="H695" s="15" t="n">
        <v>768032</v>
      </c>
      <c r="I695" s="6" t="n">
        <v>31249</v>
      </c>
      <c r="J695" s="6" t="n">
        <v>683850</v>
      </c>
      <c r="K695" s="16" t="n">
        <v>2</v>
      </c>
      <c r="L695" s="2" t="inlineStr">
        <is>
          <t>20260306000594</t>
        </is>
      </c>
      <c r="M695" s="8">
        <f>HYPERLINK("https://dart.fss.or.kr/dsaf001/main.do?rcpNo=20260306000594", "공시열람")</f>
        <v/>
      </c>
    </row>
    <row r="696" ht="22" customHeight="1">
      <c r="A696" s="2" t="inlineStr">
        <is>
          <t>2026-03-06</t>
        </is>
      </c>
      <c r="B696" s="3" t="inlineStr">
        <is>
          <t>아이티켐</t>
        </is>
      </c>
      <c r="C696" s="2" t="inlineStr">
        <is>
          <t>309710</t>
        </is>
      </c>
      <c r="D696" s="2" t="inlineStr">
        <is>
          <t>대량보유</t>
        </is>
      </c>
      <c r="E696" s="3" t="inlineStr">
        <is>
          <t>신한타임비엠소부장신기술조합</t>
        </is>
      </c>
      <c r="F696" s="3" t="inlineStr">
        <is>
          <t>특별관계자</t>
        </is>
      </c>
      <c r="G696" s="3" t="inlineStr">
        <is>
          <t>CB인수(+)</t>
        </is>
      </c>
      <c r="H696" s="15" t="n">
        <v>29732</v>
      </c>
      <c r="I696" s="6" t="n">
        <v>33633</v>
      </c>
      <c r="J696" s="6" t="n">
        <v>29732</v>
      </c>
      <c r="K696" s="16" t="n">
        <v>2</v>
      </c>
      <c r="L696" s="2" t="inlineStr">
        <is>
          <t>20260306000594</t>
        </is>
      </c>
      <c r="M696" s="8">
        <f>HYPERLINK("https://dart.fss.or.kr/dsaf001/main.do?rcpNo=20260306000594", "공시열람")</f>
        <v/>
      </c>
    </row>
    <row r="697" ht="22" customHeight="1">
      <c r="A697" s="2" t="inlineStr">
        <is>
          <t>2026-03-06</t>
        </is>
      </c>
      <c r="B697" s="3" t="inlineStr">
        <is>
          <t>아이티켐</t>
        </is>
      </c>
      <c r="C697" s="2" t="inlineStr">
        <is>
          <t>309710</t>
        </is>
      </c>
      <c r="D697" s="2" t="inlineStr">
        <is>
          <t>대량보유</t>
        </is>
      </c>
      <c r="E697" s="3" t="inlineStr">
        <is>
          <t>신한-타임프리미어메자닌신기술투자조합</t>
        </is>
      </c>
      <c r="F697" s="3" t="inlineStr">
        <is>
          <t>특별관계자</t>
        </is>
      </c>
      <c r="G697" s="3" t="inlineStr">
        <is>
          <t>CB인수(+)</t>
        </is>
      </c>
      <c r="H697" s="15" t="n">
        <v>29732</v>
      </c>
      <c r="I697" s="6" t="n">
        <v>33633</v>
      </c>
      <c r="J697" s="6" t="n">
        <v>29732</v>
      </c>
      <c r="K697" s="16" t="n">
        <v>2</v>
      </c>
      <c r="L697" s="2" t="inlineStr">
        <is>
          <t>20260306000594</t>
        </is>
      </c>
      <c r="M697" s="8">
        <f>HYPERLINK("https://dart.fss.or.kr/dsaf001/main.do?rcpNo=20260306000594", "공시열람")</f>
        <v/>
      </c>
    </row>
    <row r="698" ht="22" customHeight="1">
      <c r="A698" s="2" t="inlineStr">
        <is>
          <t>2026-03-06</t>
        </is>
      </c>
      <c r="B698" s="3" t="inlineStr">
        <is>
          <t>비트맥스</t>
        </is>
      </c>
      <c r="C698" s="2" t="inlineStr">
        <is>
          <t>377030</t>
        </is>
      </c>
      <c r="D698" s="2" t="inlineStr">
        <is>
          <t>대량보유</t>
        </is>
      </c>
      <c r="E698" s="3" t="inlineStr">
        <is>
          <t>이니텍(주)</t>
        </is>
      </c>
      <c r="F698" s="3" t="inlineStr">
        <is>
          <t>특별관계자</t>
        </is>
      </c>
      <c r="G698" s="3" t="inlineStr">
        <is>
          <t>행사가액조정, 장외매도(-)</t>
        </is>
      </c>
      <c r="H698" s="17" t="n">
        <v>-4071661</v>
      </c>
      <c r="I698" s="6" t="n">
        <v>2429</v>
      </c>
      <c r="J698" s="6" t="inlineStr"/>
      <c r="K698" s="18" t="inlineStr"/>
      <c r="L698" s="2" t="inlineStr">
        <is>
          <t>20260306000583</t>
        </is>
      </c>
      <c r="M698" s="8">
        <f>HYPERLINK("https://dart.fss.or.kr/dsaf001/main.do?rcpNo=20260306000583", "공시열람")</f>
        <v/>
      </c>
    </row>
    <row r="699" ht="22" customHeight="1">
      <c r="A699" s="2" t="inlineStr">
        <is>
          <t>2026-03-06</t>
        </is>
      </c>
      <c r="B699" s="3" t="inlineStr">
        <is>
          <t>성호전자</t>
        </is>
      </c>
      <c r="C699" s="2" t="inlineStr">
        <is>
          <t>043260</t>
        </is>
      </c>
      <c r="D699" s="2" t="inlineStr">
        <is>
          <t>대량보유</t>
        </is>
      </c>
      <c r="E699" s="3" t="inlineStr">
        <is>
          <t>서룡전자(주)</t>
        </is>
      </c>
      <c r="F699" s="3" t="inlineStr">
        <is>
          <t>보고자</t>
        </is>
      </c>
      <c r="G699" s="3" t="inlineStr">
        <is>
          <t>주식 질권설정 계약 해지</t>
        </is>
      </c>
      <c r="H699" s="6" t="inlineStr"/>
      <c r="I699" s="6" t="inlineStr"/>
      <c r="J699" s="6" t="n">
        <v>57403542</v>
      </c>
      <c r="K699" s="16" t="n">
        <v>16</v>
      </c>
      <c r="L699" s="2" t="inlineStr">
        <is>
          <t>20260306000557</t>
        </is>
      </c>
      <c r="M699" s="8">
        <f>HYPERLINK("https://dart.fss.or.kr/dsaf001/main.do?rcpNo=20260306000557", "공시열람")</f>
        <v/>
      </c>
    </row>
    <row r="700" ht="22" customHeight="1">
      <c r="A700" s="2" t="inlineStr">
        <is>
          <t>2026-03-06</t>
        </is>
      </c>
      <c r="B700" s="3" t="inlineStr">
        <is>
          <t>상상인증권</t>
        </is>
      </c>
      <c r="C700" s="2" t="inlineStr">
        <is>
          <t>001290</t>
        </is>
      </c>
      <c r="D700" s="2" t="inlineStr">
        <is>
          <t>대량보유</t>
        </is>
      </c>
      <c r="E700" s="3" t="inlineStr">
        <is>
          <t>(주)상상인</t>
        </is>
      </c>
      <c r="F700" s="3" t="inlineStr">
        <is>
          <t>보고자</t>
        </is>
      </c>
      <c r="G700" s="3" t="inlineStr">
        <is>
          <t>- 특별관계자 주식담보대출 계약변경</t>
        </is>
      </c>
      <c r="H700" s="6" t="inlineStr"/>
      <c r="I700" s="6" t="inlineStr"/>
      <c r="J700" s="6" t="n">
        <v>70967265</v>
      </c>
      <c r="K700" s="16" t="n">
        <v>6</v>
      </c>
      <c r="L700" s="2" t="inlineStr">
        <is>
          <t>20260306000539</t>
        </is>
      </c>
      <c r="M700" s="8">
        <f>HYPERLINK("https://dart.fss.or.kr/dsaf001/main.do?rcpNo=20260306000539", "공시열람")</f>
        <v/>
      </c>
    </row>
    <row r="701" ht="22" customHeight="1">
      <c r="A701" s="2" t="inlineStr">
        <is>
          <t>2026-03-06</t>
        </is>
      </c>
      <c r="B701" s="3" t="inlineStr">
        <is>
          <t>동아에스티</t>
        </is>
      </c>
      <c r="C701" s="2" t="inlineStr">
        <is>
          <t>170900</t>
        </is>
      </c>
      <c r="D701" s="2" t="inlineStr">
        <is>
          <t>대량보유</t>
        </is>
      </c>
      <c r="E701" s="3" t="inlineStr">
        <is>
          <t>김학준</t>
        </is>
      </c>
      <c r="F701" s="3" t="inlineStr">
        <is>
          <t>특별관계자</t>
        </is>
      </c>
      <c r="G701" s="3" t="inlineStr">
        <is>
          <t>장내매수(+)</t>
        </is>
      </c>
      <c r="H701" s="15" t="n">
        <v>20</v>
      </c>
      <c r="I701" s="6" t="n">
        <v>53150</v>
      </c>
      <c r="J701" s="6" t="n">
        <v>384</v>
      </c>
      <c r="K701" s="16" t="n">
        <v>33</v>
      </c>
      <c r="L701" s="2" t="inlineStr">
        <is>
          <t>20260306000508</t>
        </is>
      </c>
      <c r="M701" s="8">
        <f>HYPERLINK("https://dart.fss.or.kr/dsaf001/main.do?rcpNo=20260306000508", "공시열람")</f>
        <v/>
      </c>
    </row>
    <row r="702" ht="22" customHeight="1">
      <c r="A702" s="2" t="inlineStr">
        <is>
          <t>2026-03-06</t>
        </is>
      </c>
      <c r="B702" s="3" t="inlineStr">
        <is>
          <t>동아에스티</t>
        </is>
      </c>
      <c r="C702" s="2" t="inlineStr">
        <is>
          <t>170900</t>
        </is>
      </c>
      <c r="D702" s="2" t="inlineStr">
        <is>
          <t>대량보유</t>
        </is>
      </c>
      <c r="E702" s="3" t="inlineStr">
        <is>
          <t>박희범</t>
        </is>
      </c>
      <c r="F702" s="3" t="inlineStr">
        <is>
          <t>특별관계자</t>
        </is>
      </c>
      <c r="G702" s="3" t="inlineStr">
        <is>
          <t>임원퇴임(-)</t>
        </is>
      </c>
      <c r="H702" s="17" t="n">
        <v>-3076</v>
      </c>
      <c r="I702" s="6" t="inlineStr"/>
      <c r="J702" s="6" t="inlineStr"/>
      <c r="K702" s="16" t="n">
        <v>33</v>
      </c>
      <c r="L702" s="2" t="inlineStr">
        <is>
          <t>20260306000508</t>
        </is>
      </c>
      <c r="M702" s="8">
        <f>HYPERLINK("https://dart.fss.or.kr/dsaf001/main.do?rcpNo=20260306000508", "공시열람")</f>
        <v/>
      </c>
    </row>
    <row r="703" ht="22" customHeight="1">
      <c r="A703" s="2" t="inlineStr">
        <is>
          <t>2026-03-06</t>
        </is>
      </c>
      <c r="B703" s="3" t="inlineStr">
        <is>
          <t>동아에스티</t>
        </is>
      </c>
      <c r="C703" s="2" t="inlineStr">
        <is>
          <t>170900</t>
        </is>
      </c>
      <c r="D703" s="2" t="inlineStr">
        <is>
          <t>대량보유</t>
        </is>
      </c>
      <c r="E703" s="3" t="inlineStr">
        <is>
          <t>정성원</t>
        </is>
      </c>
      <c r="F703" s="3" t="inlineStr">
        <is>
          <t>특별관계자</t>
        </is>
      </c>
      <c r="G703" s="3" t="inlineStr">
        <is>
          <t>임원퇴임(-)</t>
        </is>
      </c>
      <c r="H703" s="17" t="n">
        <v>-385</v>
      </c>
      <c r="I703" s="6" t="inlineStr"/>
      <c r="J703" s="6" t="inlineStr"/>
      <c r="K703" s="16" t="n">
        <v>33</v>
      </c>
      <c r="L703" s="2" t="inlineStr">
        <is>
          <t>20260306000508</t>
        </is>
      </c>
      <c r="M703" s="8">
        <f>HYPERLINK("https://dart.fss.or.kr/dsaf001/main.do?rcpNo=20260306000508", "공시열람")</f>
        <v/>
      </c>
    </row>
    <row r="704" ht="22" customHeight="1">
      <c r="A704" s="2" t="inlineStr">
        <is>
          <t>2026-03-06</t>
        </is>
      </c>
      <c r="B704" s="3" t="inlineStr">
        <is>
          <t>동아에스티</t>
        </is>
      </c>
      <c r="C704" s="2" t="inlineStr">
        <is>
          <t>170900</t>
        </is>
      </c>
      <c r="D704" s="2" t="inlineStr">
        <is>
          <t>대량보유</t>
        </is>
      </c>
      <c r="E704" s="3" t="inlineStr">
        <is>
          <t>수석문화재단</t>
        </is>
      </c>
      <c r="F704" s="3" t="inlineStr">
        <is>
          <t>특별관계자</t>
        </is>
      </c>
      <c r="G704" s="3" t="inlineStr">
        <is>
          <t>장내매도(-)</t>
        </is>
      </c>
      <c r="H704" s="17" t="n">
        <v>-1830</v>
      </c>
      <c r="I704" s="6" t="n">
        <v>53576</v>
      </c>
      <c r="J704" s="6" t="n">
        <v>45338</v>
      </c>
      <c r="K704" s="16" t="n">
        <v>33</v>
      </c>
      <c r="L704" s="2" t="inlineStr">
        <is>
          <t>20260306000508</t>
        </is>
      </c>
      <c r="M704" s="8">
        <f>HYPERLINK("https://dart.fss.or.kr/dsaf001/main.do?rcpNo=20260306000508", "공시열람")</f>
        <v/>
      </c>
    </row>
    <row r="705" ht="22" customHeight="1">
      <c r="A705" s="2" t="inlineStr">
        <is>
          <t>2026-03-06</t>
        </is>
      </c>
      <c r="B705" s="3" t="inlineStr">
        <is>
          <t>동아에스티</t>
        </is>
      </c>
      <c r="C705" s="2" t="inlineStr">
        <is>
          <t>170900</t>
        </is>
      </c>
      <c r="D705" s="2" t="inlineStr">
        <is>
          <t>대량보유</t>
        </is>
      </c>
      <c r="E705" s="3" t="inlineStr">
        <is>
          <t>김윤경</t>
        </is>
      </c>
      <c r="F705" s="3" t="inlineStr">
        <is>
          <t>특별관계자</t>
        </is>
      </c>
      <c r="G705" s="3" t="inlineStr">
        <is>
          <t>기타(+)</t>
        </is>
      </c>
      <c r="H705" s="15" t="n">
        <v>163</v>
      </c>
      <c r="I705" s="6" t="n">
        <v>52424</v>
      </c>
      <c r="J705" s="6" t="n">
        <v>1693</v>
      </c>
      <c r="K705" s="16" t="n">
        <v>33</v>
      </c>
      <c r="L705" s="2" t="inlineStr">
        <is>
          <t>20260306000508</t>
        </is>
      </c>
      <c r="M705" s="8">
        <f>HYPERLINK("https://dart.fss.or.kr/dsaf001/main.do?rcpNo=20260306000508", "공시열람")</f>
        <v/>
      </c>
    </row>
    <row r="706" ht="22" customHeight="1">
      <c r="A706" s="2" t="inlineStr">
        <is>
          <t>2026-03-06</t>
        </is>
      </c>
      <c r="B706" s="3" t="inlineStr">
        <is>
          <t>동아에스티</t>
        </is>
      </c>
      <c r="C706" s="2" t="inlineStr">
        <is>
          <t>170900</t>
        </is>
      </c>
      <c r="D706" s="2" t="inlineStr">
        <is>
          <t>대량보유</t>
        </is>
      </c>
      <c r="E706" s="3" t="inlineStr">
        <is>
          <t>방미영</t>
        </is>
      </c>
      <c r="F706" s="3" t="inlineStr">
        <is>
          <t>특별관계자</t>
        </is>
      </c>
      <c r="G706" s="3" t="inlineStr">
        <is>
          <t>기타(+)</t>
        </is>
      </c>
      <c r="H706" s="15" t="n">
        <v>65</v>
      </c>
      <c r="I706" s="6" t="n">
        <v>52421</v>
      </c>
      <c r="J706" s="6" t="n">
        <v>1558</v>
      </c>
      <c r="K706" s="16" t="n">
        <v>33</v>
      </c>
      <c r="L706" s="2" t="inlineStr">
        <is>
          <t>20260306000508</t>
        </is>
      </c>
      <c r="M706" s="8">
        <f>HYPERLINK("https://dart.fss.or.kr/dsaf001/main.do?rcpNo=20260306000508", "공시열람")</f>
        <v/>
      </c>
    </row>
    <row r="707" ht="22" customHeight="1">
      <c r="A707" s="2" t="inlineStr">
        <is>
          <t>2026-03-06</t>
        </is>
      </c>
      <c r="B707" s="3" t="inlineStr">
        <is>
          <t>동아에스티</t>
        </is>
      </c>
      <c r="C707" s="2" t="inlineStr">
        <is>
          <t>170900</t>
        </is>
      </c>
      <c r="D707" s="2" t="inlineStr">
        <is>
          <t>대량보유</t>
        </is>
      </c>
      <c r="E707" s="3" t="inlineStr">
        <is>
          <t>김미경</t>
        </is>
      </c>
      <c r="F707" s="3" t="inlineStr">
        <is>
          <t>특별관계자</t>
        </is>
      </c>
      <c r="G707" s="3" t="inlineStr">
        <is>
          <t>기타(+)</t>
        </is>
      </c>
      <c r="H707" s="15" t="n">
        <v>48</v>
      </c>
      <c r="I707" s="6" t="n">
        <v>52419</v>
      </c>
      <c r="J707" s="6" t="n">
        <v>830</v>
      </c>
      <c r="K707" s="16" t="n">
        <v>33</v>
      </c>
      <c r="L707" s="2" t="inlineStr">
        <is>
          <t>20260306000508</t>
        </is>
      </c>
      <c r="M707" s="8">
        <f>HYPERLINK("https://dart.fss.or.kr/dsaf001/main.do?rcpNo=20260306000508", "공시열람")</f>
        <v/>
      </c>
    </row>
    <row r="708" ht="22" customHeight="1">
      <c r="A708" s="2" t="inlineStr">
        <is>
          <t>2026-03-06</t>
        </is>
      </c>
      <c r="B708" s="3" t="inlineStr">
        <is>
          <t>동아에스티</t>
        </is>
      </c>
      <c r="C708" s="2" t="inlineStr">
        <is>
          <t>170900</t>
        </is>
      </c>
      <c r="D708" s="2" t="inlineStr">
        <is>
          <t>대량보유</t>
        </is>
      </c>
      <c r="E708" s="3" t="inlineStr">
        <is>
          <t>임진순</t>
        </is>
      </c>
      <c r="F708" s="3" t="inlineStr">
        <is>
          <t>특별관계자</t>
        </is>
      </c>
      <c r="G708" s="3" t="inlineStr">
        <is>
          <t>기타(+)</t>
        </is>
      </c>
      <c r="H708" s="15" t="n">
        <v>114</v>
      </c>
      <c r="I708" s="6" t="n">
        <v>52431</v>
      </c>
      <c r="J708" s="6" t="n">
        <v>2468</v>
      </c>
      <c r="K708" s="16" t="n">
        <v>33</v>
      </c>
      <c r="L708" s="2" t="inlineStr">
        <is>
          <t>20260306000508</t>
        </is>
      </c>
      <c r="M708" s="8">
        <f>HYPERLINK("https://dart.fss.or.kr/dsaf001/main.do?rcpNo=20260306000508", "공시열람")</f>
        <v/>
      </c>
    </row>
    <row r="709" ht="22" customHeight="1">
      <c r="A709" s="2" t="inlineStr">
        <is>
          <t>2026-03-06</t>
        </is>
      </c>
      <c r="B709" s="3" t="inlineStr">
        <is>
          <t>동아에스티</t>
        </is>
      </c>
      <c r="C709" s="2" t="inlineStr">
        <is>
          <t>170900</t>
        </is>
      </c>
      <c r="D709" s="2" t="inlineStr">
        <is>
          <t>대량보유</t>
        </is>
      </c>
      <c r="E709" s="3" t="inlineStr">
        <is>
          <t>박창현</t>
        </is>
      </c>
      <c r="F709" s="3" t="inlineStr">
        <is>
          <t>특별관계자</t>
        </is>
      </c>
      <c r="G709" s="3" t="inlineStr">
        <is>
          <t>기타(+)</t>
        </is>
      </c>
      <c r="H709" s="15" t="n">
        <v>15</v>
      </c>
      <c r="I709" s="6" t="n">
        <v>52375</v>
      </c>
      <c r="J709" s="6" t="n">
        <v>572</v>
      </c>
      <c r="K709" s="16" t="n">
        <v>33</v>
      </c>
      <c r="L709" s="2" t="inlineStr">
        <is>
          <t>20260306000508</t>
        </is>
      </c>
      <c r="M709" s="8">
        <f>HYPERLINK("https://dart.fss.or.kr/dsaf001/main.do?rcpNo=20260306000508", "공시열람")</f>
        <v/>
      </c>
    </row>
    <row r="710" ht="22" customHeight="1">
      <c r="A710" s="2" t="inlineStr">
        <is>
          <t>2026-03-06</t>
        </is>
      </c>
      <c r="B710" s="3" t="inlineStr">
        <is>
          <t>동아에스티</t>
        </is>
      </c>
      <c r="C710" s="2" t="inlineStr">
        <is>
          <t>170900</t>
        </is>
      </c>
      <c r="D710" s="2" t="inlineStr">
        <is>
          <t>대량보유</t>
        </is>
      </c>
      <c r="E710" s="3" t="inlineStr">
        <is>
          <t>조상욱</t>
        </is>
      </c>
      <c r="F710" s="3" t="inlineStr">
        <is>
          <t>특별관계자</t>
        </is>
      </c>
      <c r="G710" s="3" t="inlineStr">
        <is>
          <t>기타(+)</t>
        </is>
      </c>
      <c r="H710" s="15" t="n">
        <v>65</v>
      </c>
      <c r="I710" s="6" t="n">
        <v>52421</v>
      </c>
      <c r="J710" s="6" t="n">
        <v>993</v>
      </c>
      <c r="K710" s="16" t="n">
        <v>33</v>
      </c>
      <c r="L710" s="2" t="inlineStr">
        <is>
          <t>20260306000508</t>
        </is>
      </c>
      <c r="M710" s="8">
        <f>HYPERLINK("https://dart.fss.or.kr/dsaf001/main.do?rcpNo=20260306000508", "공시열람")</f>
        <v/>
      </c>
    </row>
    <row r="711" ht="22" customHeight="1">
      <c r="A711" s="2" t="inlineStr">
        <is>
          <t>2026-03-06</t>
        </is>
      </c>
      <c r="B711" s="3" t="inlineStr">
        <is>
          <t>동아에스티</t>
        </is>
      </c>
      <c r="C711" s="2" t="inlineStr">
        <is>
          <t>170900</t>
        </is>
      </c>
      <c r="D711" s="2" t="inlineStr">
        <is>
          <t>대량보유</t>
        </is>
      </c>
      <c r="E711" s="3" t="inlineStr">
        <is>
          <t>최수원</t>
        </is>
      </c>
      <c r="F711" s="3" t="inlineStr">
        <is>
          <t>특별관계자</t>
        </is>
      </c>
      <c r="G711" s="3" t="inlineStr">
        <is>
          <t>기타(+)</t>
        </is>
      </c>
      <c r="H711" s="15" t="n">
        <v>48</v>
      </c>
      <c r="I711" s="6" t="n">
        <v>52419</v>
      </c>
      <c r="J711" s="6" t="n">
        <v>1518</v>
      </c>
      <c r="K711" s="16" t="n">
        <v>33</v>
      </c>
      <c r="L711" s="2" t="inlineStr">
        <is>
          <t>20260306000508</t>
        </is>
      </c>
      <c r="M711" s="8">
        <f>HYPERLINK("https://dart.fss.or.kr/dsaf001/main.do?rcpNo=20260306000508", "공시열람")</f>
        <v/>
      </c>
    </row>
    <row r="712" ht="22" customHeight="1">
      <c r="A712" s="2" t="inlineStr">
        <is>
          <t>2026-03-06</t>
        </is>
      </c>
      <c r="B712" s="3" t="inlineStr">
        <is>
          <t>동아에스티</t>
        </is>
      </c>
      <c r="C712" s="2" t="inlineStr">
        <is>
          <t>170900</t>
        </is>
      </c>
      <c r="D712" s="2" t="inlineStr">
        <is>
          <t>대량보유</t>
        </is>
      </c>
      <c r="E712" s="3" t="inlineStr">
        <is>
          <t>김종덕</t>
        </is>
      </c>
      <c r="F712" s="3" t="inlineStr">
        <is>
          <t>특별관계자</t>
        </is>
      </c>
      <c r="G712" s="3" t="inlineStr">
        <is>
          <t>기타(+)</t>
        </is>
      </c>
      <c r="H712" s="15" t="n">
        <v>163</v>
      </c>
      <c r="I712" s="6" t="n">
        <v>52424</v>
      </c>
      <c r="J712" s="6" t="n">
        <v>2440</v>
      </c>
      <c r="K712" s="16" t="n">
        <v>33</v>
      </c>
      <c r="L712" s="2" t="inlineStr">
        <is>
          <t>20260306000508</t>
        </is>
      </c>
      <c r="M712" s="8">
        <f>HYPERLINK("https://dart.fss.or.kr/dsaf001/main.do?rcpNo=20260306000508", "공시열람")</f>
        <v/>
      </c>
    </row>
    <row r="713" ht="22" customHeight="1">
      <c r="A713" s="2" t="inlineStr">
        <is>
          <t>2026-03-06</t>
        </is>
      </c>
      <c r="B713" s="3" t="inlineStr">
        <is>
          <t>동아에스티</t>
        </is>
      </c>
      <c r="C713" s="2" t="inlineStr">
        <is>
          <t>170900</t>
        </is>
      </c>
      <c r="D713" s="2" t="inlineStr">
        <is>
          <t>대량보유</t>
        </is>
      </c>
      <c r="E713" s="3" t="inlineStr">
        <is>
          <t>최형석</t>
        </is>
      </c>
      <c r="F713" s="3" t="inlineStr">
        <is>
          <t>특별관계자</t>
        </is>
      </c>
      <c r="G713" s="3" t="inlineStr">
        <is>
          <t>기타(+)</t>
        </is>
      </c>
      <c r="H713" s="15" t="n">
        <v>162</v>
      </c>
      <c r="I713" s="6" t="n">
        <v>52417</v>
      </c>
      <c r="J713" s="6" t="n">
        <v>335</v>
      </c>
      <c r="K713" s="16" t="n">
        <v>33</v>
      </c>
      <c r="L713" s="2" t="inlineStr">
        <is>
          <t>20260306000508</t>
        </is>
      </c>
      <c r="M713" s="8">
        <f>HYPERLINK("https://dart.fss.or.kr/dsaf001/main.do?rcpNo=20260306000508", "공시열람")</f>
        <v/>
      </c>
    </row>
    <row r="714" ht="22" customHeight="1">
      <c r="A714" s="2" t="inlineStr">
        <is>
          <t>2026-03-06</t>
        </is>
      </c>
      <c r="B714" s="3" t="inlineStr">
        <is>
          <t>동아에스티</t>
        </is>
      </c>
      <c r="C714" s="2" t="inlineStr">
        <is>
          <t>170900</t>
        </is>
      </c>
      <c r="D714" s="2" t="inlineStr">
        <is>
          <t>대량보유</t>
        </is>
      </c>
      <c r="E714" s="3" t="inlineStr">
        <is>
          <t>성수기</t>
        </is>
      </c>
      <c r="F714" s="3" t="inlineStr">
        <is>
          <t>특별관계자</t>
        </is>
      </c>
      <c r="G714" s="3" t="inlineStr">
        <is>
          <t>기타(+)</t>
        </is>
      </c>
      <c r="H714" s="15" t="n">
        <v>76</v>
      </c>
      <c r="I714" s="6" t="n">
        <v>52790</v>
      </c>
      <c r="J714" s="6" t="n">
        <v>397</v>
      </c>
      <c r="K714" s="16" t="n">
        <v>33</v>
      </c>
      <c r="L714" s="2" t="inlineStr">
        <is>
          <t>20260306000508</t>
        </is>
      </c>
      <c r="M714" s="8">
        <f>HYPERLINK("https://dart.fss.or.kr/dsaf001/main.do?rcpNo=20260306000508", "공시열람")</f>
        <v/>
      </c>
    </row>
    <row r="715" ht="22" customHeight="1">
      <c r="A715" s="2" t="inlineStr">
        <is>
          <t>2026-03-06</t>
        </is>
      </c>
      <c r="B715" s="3" t="inlineStr">
        <is>
          <t>동아에스티</t>
        </is>
      </c>
      <c r="C715" s="2" t="inlineStr">
        <is>
          <t>170900</t>
        </is>
      </c>
      <c r="D715" s="2" t="inlineStr">
        <is>
          <t>대량보유</t>
        </is>
      </c>
      <c r="E715" s="3" t="inlineStr">
        <is>
          <t>최영진</t>
        </is>
      </c>
      <c r="F715" s="3" t="inlineStr">
        <is>
          <t>특별관계자</t>
        </is>
      </c>
      <c r="G715" s="3" t="inlineStr">
        <is>
          <t>기타(+)</t>
        </is>
      </c>
      <c r="H715" s="15" t="n">
        <v>163</v>
      </c>
      <c r="I715" s="6" t="n">
        <v>52424</v>
      </c>
      <c r="J715" s="6" t="n">
        <v>1370</v>
      </c>
      <c r="K715" s="16" t="n">
        <v>33</v>
      </c>
      <c r="L715" s="2" t="inlineStr">
        <is>
          <t>20260306000508</t>
        </is>
      </c>
      <c r="M715" s="8">
        <f>HYPERLINK("https://dart.fss.or.kr/dsaf001/main.do?rcpNo=20260306000508", "공시열람")</f>
        <v/>
      </c>
    </row>
    <row r="716" ht="22" customHeight="1">
      <c r="A716" s="2" t="inlineStr">
        <is>
          <t>2026-03-06</t>
        </is>
      </c>
      <c r="B716" s="3" t="inlineStr">
        <is>
          <t>동아에스티</t>
        </is>
      </c>
      <c r="C716" s="2" t="inlineStr">
        <is>
          <t>170900</t>
        </is>
      </c>
      <c r="D716" s="2" t="inlineStr">
        <is>
          <t>대량보유</t>
        </is>
      </c>
      <c r="E716" s="3" t="inlineStr">
        <is>
          <t>김민영</t>
        </is>
      </c>
      <c r="F716" s="3" t="inlineStr">
        <is>
          <t>특별관계자</t>
        </is>
      </c>
      <c r="G716" s="3" t="inlineStr">
        <is>
          <t>장내매수(+)</t>
        </is>
      </c>
      <c r="H716" s="15" t="n">
        <v>1049</v>
      </c>
      <c r="I716" s="6" t="n">
        <v>52007</v>
      </c>
      <c r="J716" s="6" t="n">
        <v>7074</v>
      </c>
      <c r="K716" s="16" t="n">
        <v>33</v>
      </c>
      <c r="L716" s="2" t="inlineStr">
        <is>
          <t>20260306000508</t>
        </is>
      </c>
      <c r="M716" s="8">
        <f>HYPERLINK("https://dart.fss.or.kr/dsaf001/main.do?rcpNo=20260306000508", "공시열람")</f>
        <v/>
      </c>
    </row>
    <row r="717" ht="22" customHeight="1">
      <c r="A717" s="2" t="inlineStr">
        <is>
          <t>2026-03-06</t>
        </is>
      </c>
      <c r="B717" s="3" t="inlineStr">
        <is>
          <t>동아에스티</t>
        </is>
      </c>
      <c r="C717" s="2" t="inlineStr">
        <is>
          <t>170900</t>
        </is>
      </c>
      <c r="D717" s="2" t="inlineStr">
        <is>
          <t>대량보유</t>
        </is>
      </c>
      <c r="E717" s="3" t="inlineStr">
        <is>
          <t>이혁수</t>
        </is>
      </c>
      <c r="F717" s="3" t="inlineStr">
        <is>
          <t>특별관계자</t>
        </is>
      </c>
      <c r="G717" s="3" t="inlineStr">
        <is>
          <t>신규보고(+)</t>
        </is>
      </c>
      <c r="H717" s="15" t="n">
        <v>1000</v>
      </c>
      <c r="I717" s="6" t="n">
        <v>48550</v>
      </c>
      <c r="J717" s="6" t="n">
        <v>1000</v>
      </c>
      <c r="K717" s="16" t="n">
        <v>33</v>
      </c>
      <c r="L717" s="2" t="inlineStr">
        <is>
          <t>20260306000508</t>
        </is>
      </c>
      <c r="M717" s="8">
        <f>HYPERLINK("https://dart.fss.or.kr/dsaf001/main.do?rcpNo=20260306000508", "공시열람")</f>
        <v/>
      </c>
    </row>
    <row r="718" ht="22" customHeight="1">
      <c r="A718" s="2" t="inlineStr">
        <is>
          <t>2026-03-06</t>
        </is>
      </c>
      <c r="B718" s="3" t="inlineStr">
        <is>
          <t>동아에스티</t>
        </is>
      </c>
      <c r="C718" s="2" t="inlineStr">
        <is>
          <t>170900</t>
        </is>
      </c>
      <c r="D718" s="2" t="inlineStr">
        <is>
          <t>임원보고</t>
        </is>
      </c>
      <c r="E718" s="3" t="inlineStr">
        <is>
          <t>-</t>
        </is>
      </c>
      <c r="F718" s="3" t="inlineStr">
        <is>
          <t>-</t>
        </is>
      </c>
      <c r="G718" s="3" t="inlineStr">
        <is>
          <t>-</t>
        </is>
      </c>
      <c r="H718" s="6" t="inlineStr"/>
      <c r="I718" s="6" t="inlineStr"/>
      <c r="J718" s="6" t="inlineStr"/>
      <c r="K718" s="16" t="n">
        <v>12</v>
      </c>
      <c r="L718" s="2" t="inlineStr">
        <is>
          <t>20260306800805</t>
        </is>
      </c>
      <c r="M718" s="8">
        <f>HYPERLINK("https://dart.fss.or.kr/dsaf001/main.do?rcpNo=20260306800805", "공시열람")</f>
        <v/>
      </c>
    </row>
    <row r="719" ht="22" customHeight="1">
      <c r="A719" s="2" t="inlineStr">
        <is>
          <t>2026-03-06</t>
        </is>
      </c>
      <c r="B719" s="3" t="inlineStr">
        <is>
          <t>농심홀딩스</t>
        </is>
      </c>
      <c r="C719" s="2" t="inlineStr">
        <is>
          <t>072710</t>
        </is>
      </c>
      <c r="D719" s="2" t="inlineStr">
        <is>
          <t>임원보고</t>
        </is>
      </c>
      <c r="E719" s="3" t="inlineStr">
        <is>
          <t>-</t>
        </is>
      </c>
      <c r="F719" s="3" t="inlineStr">
        <is>
          <t>-</t>
        </is>
      </c>
      <c r="G719" s="3" t="inlineStr">
        <is>
          <t>-</t>
        </is>
      </c>
      <c r="H719" s="6" t="inlineStr"/>
      <c r="I719" s="6" t="inlineStr"/>
      <c r="J719" s="6" t="inlineStr"/>
      <c r="K719" s="16" t="n">
        <v>12</v>
      </c>
      <c r="L719" s="2" t="inlineStr">
        <is>
          <t>20260306800799</t>
        </is>
      </c>
      <c r="M719" s="8">
        <f>HYPERLINK("https://dart.fss.or.kr/dsaf001/main.do?rcpNo=20260306800799", "공시열람")</f>
        <v/>
      </c>
    </row>
    <row r="720" ht="22" customHeight="1">
      <c r="A720" s="2" t="inlineStr">
        <is>
          <t>2026-03-06</t>
        </is>
      </c>
      <c r="B720" s="3" t="inlineStr">
        <is>
          <t>아이씨에이치</t>
        </is>
      </c>
      <c r="C720" s="2" t="inlineStr">
        <is>
          <t>368600</t>
        </is>
      </c>
      <c r="D720" s="2" t="inlineStr">
        <is>
          <t>대량보유</t>
        </is>
      </c>
      <c r="E720" s="3" t="inlineStr">
        <is>
          <t>엔에이치헤지자산운용(주)</t>
        </is>
      </c>
      <c r="F720" s="3" t="inlineStr">
        <is>
          <t>특별관계자</t>
        </is>
      </c>
      <c r="G720" s="3" t="inlineStr">
        <is>
          <t>풋옵션권리행사에따른주식처분(-), 행사가액조정</t>
        </is>
      </c>
      <c r="H720" s="15" t="n">
        <v>291063</v>
      </c>
      <c r="I720" s="6" t="n">
        <v>2537</v>
      </c>
      <c r="J720" s="6" t="n">
        <v>1258389</v>
      </c>
      <c r="K720" s="16" t="n">
        <v>4.7</v>
      </c>
      <c r="L720" s="2" t="inlineStr">
        <is>
          <t>20260306000482</t>
        </is>
      </c>
      <c r="M720" s="8">
        <f>HYPERLINK("https://dart.fss.or.kr/dsaf001/main.do?rcpNo=20260306000482", "공시열람")</f>
        <v/>
      </c>
    </row>
    <row r="721" ht="22" customHeight="1">
      <c r="A721" s="2" t="inlineStr">
        <is>
          <t>2026-03-06</t>
        </is>
      </c>
      <c r="B721" s="3" t="inlineStr">
        <is>
          <t>신스틸</t>
        </is>
      </c>
      <c r="C721" s="2" t="inlineStr">
        <is>
          <t>162300</t>
        </is>
      </c>
      <c r="D721" s="2" t="inlineStr">
        <is>
          <t>대량보유</t>
        </is>
      </c>
      <c r="E721" s="3" t="inlineStr">
        <is>
          <t>서명환</t>
        </is>
      </c>
      <c r="F721" s="3" t="inlineStr">
        <is>
          <t>특별관계자</t>
        </is>
      </c>
      <c r="G721" s="3" t="inlineStr">
        <is>
          <t>증여(-)</t>
        </is>
      </c>
      <c r="H721" s="17" t="n">
        <v>-300000</v>
      </c>
      <c r="I721" s="6" t="inlineStr"/>
      <c r="J721" s="6" t="n">
        <v>1370550</v>
      </c>
      <c r="K721" s="16" t="n">
        <v>9</v>
      </c>
      <c r="L721" s="2" t="inlineStr">
        <is>
          <t>20260306000467</t>
        </is>
      </c>
      <c r="M721" s="8">
        <f>HYPERLINK("https://dart.fss.or.kr/dsaf001/main.do?rcpNo=20260306000467", "공시열람")</f>
        <v/>
      </c>
    </row>
    <row r="722" ht="22" customHeight="1">
      <c r="A722" s="2" t="inlineStr">
        <is>
          <t>2026-03-06</t>
        </is>
      </c>
      <c r="B722" s="3" t="inlineStr">
        <is>
          <t>에스엠벡셀</t>
        </is>
      </c>
      <c r="C722" s="2" t="inlineStr">
        <is>
          <t>010580</t>
        </is>
      </c>
      <c r="D722" s="2" t="inlineStr">
        <is>
          <t>임원보고</t>
        </is>
      </c>
      <c r="E722" s="3" t="inlineStr">
        <is>
          <t>-</t>
        </is>
      </c>
      <c r="F722" s="3" t="inlineStr">
        <is>
          <t>-</t>
        </is>
      </c>
      <c r="G722" s="3" t="inlineStr">
        <is>
          <t>-</t>
        </is>
      </c>
      <c r="H722" s="6" t="inlineStr"/>
      <c r="I722" s="6" t="inlineStr"/>
      <c r="J722" s="6" t="inlineStr"/>
      <c r="K722" s="16" t="n">
        <v>12</v>
      </c>
      <c r="L722" s="2" t="inlineStr">
        <is>
          <t>20260306800751</t>
        </is>
      </c>
      <c r="M722" s="8">
        <f>HYPERLINK("https://dart.fss.or.kr/dsaf001/main.do?rcpNo=20260306800751", "공시열람")</f>
        <v/>
      </c>
    </row>
    <row r="723" ht="22" customHeight="1">
      <c r="A723" s="2" t="inlineStr">
        <is>
          <t>2026-03-06</t>
        </is>
      </c>
      <c r="B723" s="3" t="inlineStr">
        <is>
          <t>HD현대일렉트릭</t>
        </is>
      </c>
      <c r="C723" s="2" t="inlineStr">
        <is>
          <t>267260</t>
        </is>
      </c>
      <c r="D723" s="2" t="inlineStr">
        <is>
          <t>임원보고</t>
        </is>
      </c>
      <c r="E723" s="3" t="inlineStr">
        <is>
          <t>-</t>
        </is>
      </c>
      <c r="F723" s="3" t="inlineStr">
        <is>
          <t>-</t>
        </is>
      </c>
      <c r="G723" s="3" t="inlineStr">
        <is>
          <t>-</t>
        </is>
      </c>
      <c r="H723" s="6" t="inlineStr"/>
      <c r="I723" s="6" t="inlineStr"/>
      <c r="J723" s="6" t="inlineStr"/>
      <c r="K723" s="16" t="n">
        <v>12</v>
      </c>
      <c r="L723" s="2" t="inlineStr">
        <is>
          <t>20260306800740</t>
        </is>
      </c>
      <c r="M723" s="8">
        <f>HYPERLINK("https://dart.fss.or.kr/dsaf001/main.do?rcpNo=20260306800740", "공시열람")</f>
        <v/>
      </c>
    </row>
    <row r="724" ht="22" customHeight="1">
      <c r="A724" s="2" t="inlineStr">
        <is>
          <t>2026-03-06</t>
        </is>
      </c>
      <c r="B724" s="3" t="inlineStr">
        <is>
          <t>코퍼스코리아</t>
        </is>
      </c>
      <c r="C724" s="2" t="inlineStr">
        <is>
          <t>322780</t>
        </is>
      </c>
      <c r="D724" s="2" t="inlineStr">
        <is>
          <t>대량보유</t>
        </is>
      </c>
      <c r="E724" s="3" t="inlineStr">
        <is>
          <t>제이비우리-디에스콘텐츠신기조합</t>
        </is>
      </c>
      <c r="F724" s="3" t="inlineStr">
        <is>
          <t>특별관계자</t>
        </is>
      </c>
      <c r="G724" s="3" t="inlineStr">
        <is>
          <t>행사가액조정, 장외매도(-)</t>
        </is>
      </c>
      <c r="H724" s="15" t="n">
        <v>860449</v>
      </c>
      <c r="I724" s="6" t="n">
        <v>1261</v>
      </c>
      <c r="J724" s="6" t="n">
        <v>7205626</v>
      </c>
      <c r="K724" s="16" t="n">
        <v>2</v>
      </c>
      <c r="L724" s="2" t="inlineStr">
        <is>
          <t>20260306000452</t>
        </is>
      </c>
      <c r="M724" s="8">
        <f>HYPERLINK("https://dart.fss.or.kr/dsaf001/main.do?rcpNo=20260306000452", "공시열람")</f>
        <v/>
      </c>
    </row>
    <row r="725" ht="22" customHeight="1">
      <c r="A725" s="2" t="inlineStr">
        <is>
          <t>2026-03-06</t>
        </is>
      </c>
      <c r="B725" s="3" t="inlineStr">
        <is>
          <t>코퍼스코리아</t>
        </is>
      </c>
      <c r="C725" s="2" t="inlineStr">
        <is>
          <t>322780</t>
        </is>
      </c>
      <c r="D725" s="2" t="inlineStr">
        <is>
          <t>대량보유</t>
        </is>
      </c>
      <c r="E725" s="3" t="inlineStr">
        <is>
          <t>키움-디에스메자닌블라인드신기술투자조합</t>
        </is>
      </c>
      <c r="F725" s="3" t="inlineStr">
        <is>
          <t>특별관계자</t>
        </is>
      </c>
      <c r="G725" s="3" t="inlineStr">
        <is>
          <t>행사가액조정, 장외매도(-)</t>
        </is>
      </c>
      <c r="H725" s="15" t="n">
        <v>258134</v>
      </c>
      <c r="I725" s="6" t="n">
        <v>1261</v>
      </c>
      <c r="J725" s="6" t="n">
        <v>2161687</v>
      </c>
      <c r="K725" s="16" t="n">
        <v>2</v>
      </c>
      <c r="L725" s="2" t="inlineStr">
        <is>
          <t>20260306000452</t>
        </is>
      </c>
      <c r="M725" s="8">
        <f>HYPERLINK("https://dart.fss.or.kr/dsaf001/main.do?rcpNo=20260306000452", "공시열람")</f>
        <v/>
      </c>
    </row>
    <row r="726" ht="22" customHeight="1">
      <c r="A726" s="2" t="inlineStr">
        <is>
          <t>2026-03-06</t>
        </is>
      </c>
      <c r="B726" s="3" t="inlineStr">
        <is>
          <t>HC홈센타</t>
        </is>
      </c>
      <c r="C726" s="2" t="inlineStr">
        <is>
          <t>060560</t>
        </is>
      </c>
      <c r="D726" s="2" t="inlineStr">
        <is>
          <t>대량보유</t>
        </is>
      </c>
      <c r="E726" s="3" t="inlineStr">
        <is>
          <t>에이치씨파트너스(주)</t>
        </is>
      </c>
      <c r="F726" s="3" t="inlineStr">
        <is>
          <t>특별관계자</t>
        </is>
      </c>
      <c r="G726" s="3" t="inlineStr">
        <is>
          <t>장내매수(+)</t>
        </is>
      </c>
      <c r="H726" s="15" t="n">
        <v>43410</v>
      </c>
      <c r="I726" s="6" t="n">
        <v>659</v>
      </c>
      <c r="J726" s="6" t="n">
        <v>31980802</v>
      </c>
      <c r="K726" s="16" t="n">
        <v>12</v>
      </c>
      <c r="L726" s="2" t="inlineStr">
        <is>
          <t>20260306000450</t>
        </is>
      </c>
      <c r="M726" s="8">
        <f>HYPERLINK("https://dart.fss.or.kr/dsaf001/main.do?rcpNo=20260306000450", "공시열람")</f>
        <v/>
      </c>
    </row>
    <row r="727" ht="22" customHeight="1">
      <c r="A727" s="2" t="inlineStr">
        <is>
          <t>2026-03-06</t>
        </is>
      </c>
      <c r="B727" s="3" t="inlineStr">
        <is>
          <t>상상인</t>
        </is>
      </c>
      <c r="C727" s="2" t="inlineStr">
        <is>
          <t>038540</t>
        </is>
      </c>
      <c r="D727" s="2" t="inlineStr">
        <is>
          <t>대량보유</t>
        </is>
      </c>
      <c r="E727" s="3" t="inlineStr">
        <is>
          <t>유준원</t>
        </is>
      </c>
      <c r="F727" s="3" t="inlineStr">
        <is>
          <t>보고자</t>
        </is>
      </c>
      <c r="G727" s="3" t="inlineStr">
        <is>
          <t>- 보고자 주식담보대출 만기 연장</t>
        </is>
      </c>
      <c r="H727" s="6" t="inlineStr"/>
      <c r="I727" s="6" t="inlineStr"/>
      <c r="J727" s="6" t="n">
        <v>18490600</v>
      </c>
      <c r="K727" s="16" t="n">
        <v>10</v>
      </c>
      <c r="L727" s="2" t="inlineStr">
        <is>
          <t>20260306000444</t>
        </is>
      </c>
      <c r="M727" s="8">
        <f>HYPERLINK("https://dart.fss.or.kr/dsaf001/main.do?rcpNo=20260306000444", "공시열람")</f>
        <v/>
      </c>
    </row>
    <row r="728" ht="22" customHeight="1">
      <c r="A728" s="2" t="inlineStr">
        <is>
          <t>2026-03-06 (정정: 2026-03-17)</t>
        </is>
      </c>
      <c r="B728" s="3" t="inlineStr">
        <is>
          <t>모다이노칩</t>
        </is>
      </c>
      <c r="C728" s="2" t="inlineStr">
        <is>
          <t>080420</t>
        </is>
      </c>
      <c r="D728" s="2" t="inlineStr">
        <is>
          <t>대량보유</t>
        </is>
      </c>
      <c r="E728" s="3" t="inlineStr">
        <is>
          <t>-</t>
        </is>
      </c>
      <c r="F728" s="3" t="inlineStr">
        <is>
          <t>보고자</t>
        </is>
      </c>
      <c r="G728" s="3" t="inlineStr">
        <is>
          <t>-</t>
        </is>
      </c>
      <c r="H728" s="6" t="inlineStr"/>
      <c r="I728" s="6" t="inlineStr"/>
      <c r="J728" s="6" t="inlineStr"/>
      <c r="K728" s="18" t="inlineStr"/>
      <c r="L728" s="2" t="inlineStr">
        <is>
          <t>20260317000819</t>
        </is>
      </c>
      <c r="M728" s="8">
        <f>HYPERLINK("https://dart.fss.or.kr/dsaf001/main.do?rcpNo=20260317000819", "공시열람")</f>
        <v/>
      </c>
    </row>
    <row r="729" ht="22" customHeight="1">
      <c r="A729" s="2" t="inlineStr">
        <is>
          <t>2026-03-06</t>
        </is>
      </c>
      <c r="B729" s="3" t="inlineStr">
        <is>
          <t>링크드</t>
        </is>
      </c>
      <c r="C729" s="2" t="inlineStr">
        <is>
          <t>193250</t>
        </is>
      </c>
      <c r="D729" s="2" t="inlineStr">
        <is>
          <t>대량보유</t>
        </is>
      </c>
      <c r="E729" s="3" t="inlineStr">
        <is>
          <t>민용재</t>
        </is>
      </c>
      <c r="F729" s="3" t="inlineStr">
        <is>
          <t>특별관계자</t>
        </is>
      </c>
      <c r="G729" s="3" t="inlineStr">
        <is>
          <t>제3자배정유상증자(+)</t>
        </is>
      </c>
      <c r="H729" s="15" t="n">
        <v>1126127</v>
      </c>
      <c r="I729" s="6" t="n">
        <v>444</v>
      </c>
      <c r="J729" s="6" t="n">
        <v>7207331</v>
      </c>
      <c r="K729" s="16" t="n">
        <v>4</v>
      </c>
      <c r="L729" s="2" t="inlineStr">
        <is>
          <t>20260306000379</t>
        </is>
      </c>
      <c r="M729" s="8">
        <f>HYPERLINK("https://dart.fss.or.kr/dsaf001/main.do?rcpNo=20260306000379", "공시열람")</f>
        <v/>
      </c>
    </row>
    <row r="730" ht="22" customHeight="1">
      <c r="A730" s="2" t="inlineStr">
        <is>
          <t>2026-03-06</t>
        </is>
      </c>
      <c r="B730" s="3" t="inlineStr">
        <is>
          <t>링크드</t>
        </is>
      </c>
      <c r="C730" s="2" t="inlineStr">
        <is>
          <t>193250</t>
        </is>
      </c>
      <c r="D730" s="2" t="inlineStr">
        <is>
          <t>대량보유</t>
        </is>
      </c>
      <c r="E730" s="3" t="inlineStr">
        <is>
          <t>(주)애자일스톤</t>
        </is>
      </c>
      <c r="F730" s="3" t="inlineStr">
        <is>
          <t>특별관계자</t>
        </is>
      </c>
      <c r="G730" s="3" t="inlineStr">
        <is>
          <t>제3자배정유상증자(+)</t>
        </is>
      </c>
      <c r="H730" s="15" t="n">
        <v>1126127</v>
      </c>
      <c r="I730" s="6" t="n">
        <v>444</v>
      </c>
      <c r="J730" s="6" t="n">
        <v>7111642</v>
      </c>
      <c r="K730" s="16" t="n">
        <v>4</v>
      </c>
      <c r="L730" s="2" t="inlineStr">
        <is>
          <t>20260306000379</t>
        </is>
      </c>
      <c r="M730" s="8">
        <f>HYPERLINK("https://dart.fss.or.kr/dsaf001/main.do?rcpNo=20260306000379", "공시열람")</f>
        <v/>
      </c>
    </row>
    <row r="731" ht="22" customHeight="1">
      <c r="A731" s="2" t="inlineStr">
        <is>
          <t>2026-03-06</t>
        </is>
      </c>
      <c r="B731" s="3" t="inlineStr">
        <is>
          <t>링크드</t>
        </is>
      </c>
      <c r="C731" s="2" t="inlineStr">
        <is>
          <t>193250</t>
        </is>
      </c>
      <c r="D731" s="2" t="inlineStr">
        <is>
          <t>대량보유</t>
        </is>
      </c>
      <c r="E731" s="3" t="inlineStr">
        <is>
          <t>조동성</t>
        </is>
      </c>
      <c r="F731" s="3" t="inlineStr">
        <is>
          <t>특별관계자</t>
        </is>
      </c>
      <c r="G731" s="3" t="inlineStr">
        <is>
          <t>특별관계해소(-)</t>
        </is>
      </c>
      <c r="H731" s="17" t="n">
        <v>-45250</v>
      </c>
      <c r="I731" s="6" t="inlineStr"/>
      <c r="J731" s="6" t="inlineStr"/>
      <c r="K731" s="16" t="n">
        <v>4</v>
      </c>
      <c r="L731" s="2" t="inlineStr">
        <is>
          <t>20260306000379</t>
        </is>
      </c>
      <c r="M731" s="8">
        <f>HYPERLINK("https://dart.fss.or.kr/dsaf001/main.do?rcpNo=20260306000379", "공시열람")</f>
        <v/>
      </c>
    </row>
    <row r="732" ht="22" customHeight="1">
      <c r="A732" s="2" t="inlineStr">
        <is>
          <t>2026-03-06</t>
        </is>
      </c>
      <c r="B732" s="3" t="inlineStr">
        <is>
          <t>셀레믹스</t>
        </is>
      </c>
      <c r="C732" s="2" t="inlineStr">
        <is>
          <t>331920</t>
        </is>
      </c>
      <c r="D732" s="2" t="inlineStr">
        <is>
          <t>대량보유</t>
        </is>
      </c>
      <c r="E732" s="3" t="inlineStr">
        <is>
          <t>박종갑</t>
        </is>
      </c>
      <c r="F732" s="3" t="inlineStr">
        <is>
          <t>특별관계자</t>
        </is>
      </c>
      <c r="G732" s="3" t="inlineStr">
        <is>
          <t>장내매수(+), 장내매도(-), CB인수(+)</t>
        </is>
      </c>
      <c r="H732" s="15" t="n">
        <v>1068955</v>
      </c>
      <c r="I732" s="6" t="n">
        <v>2971</v>
      </c>
      <c r="J732" s="6" t="n">
        <v>1011463</v>
      </c>
      <c r="K732" s="16" t="n">
        <v>2</v>
      </c>
      <c r="L732" s="2" t="inlineStr">
        <is>
          <t>20260306000371</t>
        </is>
      </c>
      <c r="M732" s="8">
        <f>HYPERLINK("https://dart.fss.or.kr/dsaf001/main.do?rcpNo=20260306000371", "공시열람")</f>
        <v/>
      </c>
    </row>
    <row r="733" ht="22" customHeight="1">
      <c r="A733" s="2" t="inlineStr">
        <is>
          <t>2026-03-06</t>
        </is>
      </c>
      <c r="B733" s="3" t="inlineStr">
        <is>
          <t>셀레믹스</t>
        </is>
      </c>
      <c r="C733" s="2" t="inlineStr">
        <is>
          <t>331920</t>
        </is>
      </c>
      <c r="D733" s="2" t="inlineStr">
        <is>
          <t>대량보유</t>
        </is>
      </c>
      <c r="E733" s="3" t="inlineStr">
        <is>
          <t>윤소정</t>
        </is>
      </c>
      <c r="F733" s="3" t="inlineStr">
        <is>
          <t>특별관계자</t>
        </is>
      </c>
      <c r="G733" s="3" t="inlineStr">
        <is>
          <t>장내매수(+)</t>
        </is>
      </c>
      <c r="H733" s="15" t="n">
        <v>37000</v>
      </c>
      <c r="I733" s="6" t="n">
        <v>3545</v>
      </c>
      <c r="J733" s="6" t="n">
        <v>37000</v>
      </c>
      <c r="K733" s="16" t="n">
        <v>2</v>
      </c>
      <c r="L733" s="2" t="inlineStr">
        <is>
          <t>20260306000371</t>
        </is>
      </c>
      <c r="M733" s="8">
        <f>HYPERLINK("https://dart.fss.or.kr/dsaf001/main.do?rcpNo=20260306000371", "공시열람")</f>
        <v/>
      </c>
    </row>
    <row r="734" ht="22" customHeight="1">
      <c r="A734" s="2" t="inlineStr">
        <is>
          <t>2026-03-06</t>
        </is>
      </c>
      <c r="B734" s="3" t="inlineStr">
        <is>
          <t>도화엔지니어링</t>
        </is>
      </c>
      <c r="C734" s="2" t="inlineStr">
        <is>
          <t>002150</t>
        </is>
      </c>
      <c r="D734" s="2" t="inlineStr">
        <is>
          <t>임원보고</t>
        </is>
      </c>
      <c r="E734" s="3" t="inlineStr">
        <is>
          <t>-</t>
        </is>
      </c>
      <c r="F734" s="3" t="inlineStr">
        <is>
          <t>-</t>
        </is>
      </c>
      <c r="G734" s="3" t="inlineStr">
        <is>
          <t>-</t>
        </is>
      </c>
      <c r="H734" s="6" t="inlineStr"/>
      <c r="I734" s="6" t="inlineStr"/>
      <c r="J734" s="6" t="inlineStr"/>
      <c r="K734" s="16" t="n">
        <v>12</v>
      </c>
      <c r="L734" s="2" t="inlineStr">
        <is>
          <t>20260306800597</t>
        </is>
      </c>
      <c r="M734" s="8">
        <f>HYPERLINK("https://dart.fss.or.kr/dsaf001/main.do?rcpNo=20260306800597", "공시열람")</f>
        <v/>
      </c>
    </row>
    <row r="735" ht="22" customHeight="1">
      <c r="A735" s="2" t="inlineStr">
        <is>
          <t>2026-03-06</t>
        </is>
      </c>
      <c r="B735" s="3" t="inlineStr">
        <is>
          <t>에스엠벡셀</t>
        </is>
      </c>
      <c r="C735" s="2" t="inlineStr">
        <is>
          <t>010580</t>
        </is>
      </c>
      <c r="D735" s="2" t="inlineStr">
        <is>
          <t>대량보유</t>
        </is>
      </c>
      <c r="E735" s="3" t="inlineStr">
        <is>
          <t>동아건설산업(주)</t>
        </is>
      </c>
      <c r="F735" s="3" t="inlineStr">
        <is>
          <t>특별관계자</t>
        </is>
      </c>
      <c r="G735" s="3" t="inlineStr">
        <is>
          <t>장내매수(+)</t>
        </is>
      </c>
      <c r="H735" s="15" t="n">
        <v>7500</v>
      </c>
      <c r="I735" s="6" t="n">
        <v>1863</v>
      </c>
      <c r="J735" s="6" t="n">
        <v>2523625</v>
      </c>
      <c r="K735" s="16" t="n">
        <v>3</v>
      </c>
      <c r="L735" s="2" t="inlineStr">
        <is>
          <t>20260306000299</t>
        </is>
      </c>
      <c r="M735" s="8">
        <f>HYPERLINK("https://dart.fss.or.kr/dsaf001/main.do?rcpNo=20260306000299", "공시열람")</f>
        <v/>
      </c>
    </row>
    <row r="736" ht="22" customHeight="1">
      <c r="A736" s="2" t="inlineStr">
        <is>
          <t>2026-03-06 (정정: 2026-04-16)</t>
        </is>
      </c>
      <c r="B736" s="3" t="inlineStr">
        <is>
          <t>유티아이</t>
        </is>
      </c>
      <c r="C736" s="2" t="inlineStr">
        <is>
          <t>179900</t>
        </is>
      </c>
      <c r="D736" s="2" t="inlineStr">
        <is>
          <t>대량보유</t>
        </is>
      </c>
      <c r="E736" s="3" t="inlineStr">
        <is>
          <t>장내매수(+)</t>
        </is>
      </c>
      <c r="F736" s="3" t="inlineStr">
        <is>
          <t>특별관계자</t>
        </is>
      </c>
      <c r="G736" s="3" t="inlineStr">
        <is>
          <t>3,285,780, 3,308,780</t>
        </is>
      </c>
      <c r="H736" s="15" t="n">
        <v>126203</v>
      </c>
      <c r="I736" s="6" t="inlineStr"/>
      <c r="J736" s="6" t="inlineStr"/>
      <c r="K736" s="16" t="n">
        <v>16.83</v>
      </c>
      <c r="L736" s="2" t="inlineStr">
        <is>
          <t>20260416000390</t>
        </is>
      </c>
      <c r="M736" s="8">
        <f>HYPERLINK("https://dart.fss.or.kr/dsaf001/main.do?rcpNo=20260416000390", "공시열람")</f>
        <v/>
      </c>
    </row>
    <row r="737" ht="22" customHeight="1">
      <c r="A737" s="2" t="inlineStr">
        <is>
          <t>2026-03-06</t>
        </is>
      </c>
      <c r="B737" s="3" t="inlineStr">
        <is>
          <t>버킷스튜디오</t>
        </is>
      </c>
      <c r="C737" s="2" t="inlineStr">
        <is>
          <t>066410</t>
        </is>
      </c>
      <c r="D737" s="2" t="inlineStr">
        <is>
          <t>대량보유</t>
        </is>
      </c>
      <c r="E737" s="3" t="inlineStr">
        <is>
          <t>(주)와비사비홀딩스</t>
        </is>
      </c>
      <c r="F737" s="3" t="inlineStr">
        <is>
          <t>보고자</t>
        </is>
      </c>
      <c r="G737" s="3" t="inlineStr">
        <is>
          <t>주식매매계약 변경합의서 체결에 따른 잔금일 변경</t>
        </is>
      </c>
      <c r="H737" s="6" t="inlineStr"/>
      <c r="I737" s="6" t="inlineStr"/>
      <c r="J737" s="6" t="n">
        <v>51223106</v>
      </c>
      <c r="K737" s="16" t="n">
        <v>1</v>
      </c>
      <c r="L737" s="2" t="inlineStr">
        <is>
          <t>20260306000208</t>
        </is>
      </c>
      <c r="M737" s="8">
        <f>HYPERLINK("https://dart.fss.or.kr/dsaf001/main.do?rcpNo=20260306000208", "공시열람")</f>
        <v/>
      </c>
    </row>
    <row r="738" ht="22" customHeight="1">
      <c r="A738" s="2" t="inlineStr">
        <is>
          <t>2026-03-06</t>
        </is>
      </c>
      <c r="B738" s="3" t="inlineStr">
        <is>
          <t>버킷스튜디오</t>
        </is>
      </c>
      <c r="C738" s="2" t="inlineStr">
        <is>
          <t>066410</t>
        </is>
      </c>
      <c r="D738" s="2" t="inlineStr">
        <is>
          <t>대량보유</t>
        </is>
      </c>
      <c r="E738" s="3" t="inlineStr">
        <is>
          <t>-</t>
        </is>
      </c>
      <c r="F738" s="3" t="inlineStr">
        <is>
          <t>보고자</t>
        </is>
      </c>
      <c r="G738" s="3" t="inlineStr">
        <is>
          <t>주식매매계약 변경합의서 체결에 따른 잔금일 변경</t>
        </is>
      </c>
      <c r="H738" s="6" t="inlineStr"/>
      <c r="I738" s="6" t="inlineStr"/>
      <c r="J738" s="6" t="n">
        <v>51223106</v>
      </c>
      <c r="K738" s="16" t="n">
        <v>1</v>
      </c>
      <c r="L738" s="2" t="inlineStr">
        <is>
          <t>20260306000207</t>
        </is>
      </c>
      <c r="M738" s="8">
        <f>HYPERLINK("https://dart.fss.or.kr/dsaf001/main.do?rcpNo=20260306000207", "공시열람")</f>
        <v/>
      </c>
    </row>
    <row r="739" ht="22" customHeight="1">
      <c r="A739" s="2" t="inlineStr">
        <is>
          <t>2026-03-06</t>
        </is>
      </c>
      <c r="B739" s="3" t="inlineStr">
        <is>
          <t>유안타증권</t>
        </is>
      </c>
      <c r="C739" s="2" t="inlineStr">
        <is>
          <t>003470</t>
        </is>
      </c>
      <c r="D739" s="2" t="inlineStr">
        <is>
          <t>임원보고</t>
        </is>
      </c>
      <c r="E739" s="3" t="inlineStr">
        <is>
          <t>-</t>
        </is>
      </c>
      <c r="F739" s="3" t="inlineStr">
        <is>
          <t>-</t>
        </is>
      </c>
      <c r="G739" s="3" t="inlineStr">
        <is>
          <t>-</t>
        </is>
      </c>
      <c r="H739" s="6" t="inlineStr"/>
      <c r="I739" s="6" t="inlineStr"/>
      <c r="J739" s="6" t="inlineStr"/>
      <c r="K739" s="16" t="n">
        <v>12</v>
      </c>
      <c r="L739" s="2" t="inlineStr">
        <is>
          <t>20260306800380</t>
        </is>
      </c>
      <c r="M739" s="8">
        <f>HYPERLINK("https://dart.fss.or.kr/dsaf001/main.do?rcpNo=20260306800380", "공시열람")</f>
        <v/>
      </c>
    </row>
    <row r="740" ht="22" customHeight="1">
      <c r="A740" s="2" t="inlineStr">
        <is>
          <t>2026-03-06 (정정: 2026-05-22)</t>
        </is>
      </c>
      <c r="B740" s="3" t="inlineStr">
        <is>
          <t>BNK금융지주</t>
        </is>
      </c>
      <c r="C740" s="2" t="inlineStr">
        <is>
          <t>138930</t>
        </is>
      </c>
      <c r="D740" s="2" t="inlineStr">
        <is>
          <t>대량보유</t>
        </is>
      </c>
      <c r="E740" s="3" t="inlineStr">
        <is>
          <t>-</t>
        </is>
      </c>
      <c r="F740" s="3" t="inlineStr">
        <is>
          <t>보고자</t>
        </is>
      </c>
      <c r="G740" s="3" t="inlineStr">
        <is>
          <t>-</t>
        </is>
      </c>
      <c r="H740" s="6" t="inlineStr"/>
      <c r="I740" s="6" t="inlineStr"/>
      <c r="J740" s="6" t="inlineStr"/>
      <c r="K740" s="18" t="inlineStr"/>
      <c r="L740" s="2" t="inlineStr">
        <is>
          <t>20260522800669</t>
        </is>
      </c>
      <c r="M740" s="8">
        <f>HYPERLINK("https://dart.fss.or.kr/dsaf001/main.do?rcpNo=20260522800669", "공시열람")</f>
        <v/>
      </c>
    </row>
    <row r="741" ht="22" customHeight="1">
      <c r="A741" s="2" t="inlineStr">
        <is>
          <t>2026-03-06</t>
        </is>
      </c>
      <c r="B741" s="3" t="inlineStr">
        <is>
          <t>토비스</t>
        </is>
      </c>
      <c r="C741" s="2" t="inlineStr">
        <is>
          <t>051360</t>
        </is>
      </c>
      <c r="D741" s="2" t="inlineStr">
        <is>
          <t>대량보유</t>
        </is>
      </c>
      <c r="E741" s="3" t="inlineStr">
        <is>
          <t>한국투자밸류자산운용(주)</t>
        </is>
      </c>
      <c r="F741" s="3" t="inlineStr">
        <is>
          <t>특별관계자</t>
        </is>
      </c>
      <c r="G741" s="3" t="inlineStr">
        <is>
          <t>장내매도(-), 장내매수(+), 기타(-)</t>
        </is>
      </c>
      <c r="H741" s="17" t="n">
        <v>-404638</v>
      </c>
      <c r="I741" s="6" t="n">
        <v>17250</v>
      </c>
      <c r="J741" s="6" t="n">
        <v>409199</v>
      </c>
      <c r="K741" s="16" t="n">
        <v>2.72</v>
      </c>
      <c r="L741" s="2" t="inlineStr">
        <is>
          <t>20260306000180</t>
        </is>
      </c>
      <c r="M741" s="8">
        <f>HYPERLINK("https://dart.fss.or.kr/dsaf001/main.do?rcpNo=20260306000180", "공시열람")</f>
        <v/>
      </c>
    </row>
    <row r="742" ht="22" customHeight="1">
      <c r="A742" s="2" t="inlineStr">
        <is>
          <t>2026-03-06</t>
        </is>
      </c>
      <c r="B742" s="3" t="inlineStr">
        <is>
          <t>다이나믹디자인</t>
        </is>
      </c>
      <c r="C742" s="2" t="inlineStr">
        <is>
          <t>145210</t>
        </is>
      </c>
      <c r="D742" s="2" t="inlineStr">
        <is>
          <t>대량보유</t>
        </is>
      </c>
      <c r="E742" s="3" t="inlineStr">
        <is>
          <t>(주)로아앤코</t>
        </is>
      </c>
      <c r="F742" s="3" t="inlineStr">
        <is>
          <t>특별관계자</t>
        </is>
      </c>
      <c r="G742" s="3" t="inlineStr">
        <is>
          <t>장내매수(+)</t>
        </is>
      </c>
      <c r="H742" s="15" t="n">
        <v>224000</v>
      </c>
      <c r="I742" s="6" t="n">
        <v>347</v>
      </c>
      <c r="J742" s="6" t="n">
        <v>344755</v>
      </c>
      <c r="K742" s="16" t="n">
        <v>0.8100000000000001</v>
      </c>
      <c r="L742" s="2" t="inlineStr">
        <is>
          <t>20260306000154</t>
        </is>
      </c>
      <c r="M742" s="8">
        <f>HYPERLINK("https://dart.fss.or.kr/dsaf001/main.do?rcpNo=20260306000154", "공시열람")</f>
        <v/>
      </c>
    </row>
    <row r="743" ht="22" customHeight="1">
      <c r="A743" s="2" t="inlineStr">
        <is>
          <t>2026-03-06</t>
        </is>
      </c>
      <c r="B743" s="3" t="inlineStr">
        <is>
          <t>두산에너빌리티</t>
        </is>
      </c>
      <c r="C743" s="2" t="inlineStr">
        <is>
          <t>034020</t>
        </is>
      </c>
      <c r="D743" s="2" t="inlineStr">
        <is>
          <t>임원보고</t>
        </is>
      </c>
      <c r="E743" s="3" t="inlineStr">
        <is>
          <t>-</t>
        </is>
      </c>
      <c r="F743" s="3" t="inlineStr">
        <is>
          <t>-</t>
        </is>
      </c>
      <c r="G743" s="3" t="inlineStr">
        <is>
          <t>-</t>
        </is>
      </c>
      <c r="H743" s="6" t="inlineStr"/>
      <c r="I743" s="6" t="inlineStr"/>
      <c r="J743" s="6" t="inlineStr"/>
      <c r="K743" s="16" t="n">
        <v>12</v>
      </c>
      <c r="L743" s="2" t="inlineStr">
        <is>
          <t>20260306800249</t>
        </is>
      </c>
      <c r="M743" s="8">
        <f>HYPERLINK("https://dart.fss.or.kr/dsaf001/main.do?rcpNo=20260306800249", "공시열람")</f>
        <v/>
      </c>
    </row>
    <row r="744" ht="22" customHeight="1">
      <c r="A744" s="2" t="inlineStr">
        <is>
          <t>2026-03-06</t>
        </is>
      </c>
      <c r="B744" s="3" t="inlineStr">
        <is>
          <t>태웅로직스</t>
        </is>
      </c>
      <c r="C744" s="2" t="inlineStr">
        <is>
          <t>124560</t>
        </is>
      </c>
      <c r="D744" s="2" t="inlineStr">
        <is>
          <t>대량보유</t>
        </is>
      </c>
      <c r="E744" s="3" t="inlineStr">
        <is>
          <t>한재동</t>
        </is>
      </c>
      <c r="F744" s="3" t="inlineStr">
        <is>
          <t>특별관계자</t>
        </is>
      </c>
      <c r="G744" s="3" t="inlineStr">
        <is>
          <t>장내매수(+)</t>
        </is>
      </c>
      <c r="H744" s="15" t="n">
        <v>75500</v>
      </c>
      <c r="I744" s="6" t="n">
        <v>2833</v>
      </c>
      <c r="J744" s="6" t="n">
        <v>12715500</v>
      </c>
      <c r="K744" s="16" t="n">
        <v>5</v>
      </c>
      <c r="L744" s="2" t="inlineStr">
        <is>
          <t>20260306000047</t>
        </is>
      </c>
      <c r="M744" s="8">
        <f>HYPERLINK("https://dart.fss.or.kr/dsaf001/main.do?rcpNo=20260306000047", "공시열람")</f>
        <v/>
      </c>
    </row>
    <row r="745" ht="22" customHeight="1">
      <c r="A745" s="2" t="inlineStr">
        <is>
          <t>2026-03-06</t>
        </is>
      </c>
      <c r="B745" s="3" t="inlineStr">
        <is>
          <t>지누스</t>
        </is>
      </c>
      <c r="C745" s="2" t="inlineStr">
        <is>
          <t>013890</t>
        </is>
      </c>
      <c r="D745" s="2" t="inlineStr">
        <is>
          <t>대량보유</t>
        </is>
      </c>
      <c r="E745" s="3" t="inlineStr">
        <is>
          <t>주식회사리빙모어</t>
        </is>
      </c>
      <c r="F745" s="3" t="inlineStr">
        <is>
          <t>특별관계자</t>
        </is>
      </c>
      <c r="G745" s="3" t="inlineStr">
        <is>
          <t>장내매수(+)</t>
        </is>
      </c>
      <c r="H745" s="15" t="n">
        <v>222548</v>
      </c>
      <c r="I745" s="6" t="n">
        <v>12130</v>
      </c>
      <c r="J745" s="6" t="n">
        <v>1353081</v>
      </c>
      <c r="K745" s="16" t="n">
        <v>6.08</v>
      </c>
      <c r="L745" s="2" t="inlineStr">
        <is>
          <t>20260306000040</t>
        </is>
      </c>
      <c r="M745" s="8">
        <f>HYPERLINK("https://dart.fss.or.kr/dsaf001/main.do?rcpNo=20260306000040", "공시열람")</f>
        <v/>
      </c>
    </row>
    <row r="746" ht="22" customHeight="1">
      <c r="A746" s="2" t="inlineStr">
        <is>
          <t>2026-03-09</t>
        </is>
      </c>
      <c r="B746" s="3" t="inlineStr">
        <is>
          <t>에코마케팅</t>
        </is>
      </c>
      <c r="C746" s="2" t="inlineStr">
        <is>
          <t>230360</t>
        </is>
      </c>
      <c r="D746" s="2" t="inlineStr">
        <is>
          <t>대량보유</t>
        </is>
      </c>
      <c r="E746" s="3" t="inlineStr">
        <is>
          <t>비씨피이이에이비드코원주식회사</t>
        </is>
      </c>
      <c r="F746" s="3" t="inlineStr">
        <is>
          <t>보고자</t>
        </is>
      </c>
      <c r="G746" s="3" t="inlineStr">
        <is>
          <t>- 주식매매계약의 거래종결(거래종결일: 2026년 3월 9일)에 따른 주식의 보유형태 변경 (보유에서 소유로의 변경)- 보유주식등에 관한 계약 해지</t>
        </is>
      </c>
      <c r="H746" s="6" t="inlineStr"/>
      <c r="I746" s="6" t="inlineStr"/>
      <c r="J746" s="6" t="n">
        <v>28168744</v>
      </c>
      <c r="K746" s="16" t="n">
        <v>3</v>
      </c>
      <c r="L746" s="2" t="inlineStr">
        <is>
          <t>20260309001910</t>
        </is>
      </c>
      <c r="M746" s="8">
        <f>HYPERLINK("https://dart.fss.or.kr/dsaf001/main.do?rcpNo=20260309001910", "공시열람")</f>
        <v/>
      </c>
    </row>
    <row r="747" ht="22" customHeight="1">
      <c r="A747" s="2" t="inlineStr">
        <is>
          <t>2026-03-09</t>
        </is>
      </c>
      <c r="B747" s="3" t="inlineStr">
        <is>
          <t>에스엠씨지</t>
        </is>
      </c>
      <c r="C747" s="2" t="inlineStr">
        <is>
          <t>460870</t>
        </is>
      </c>
      <c r="D747" s="2" t="inlineStr">
        <is>
          <t>대량보유</t>
        </is>
      </c>
      <c r="E747" s="3" t="inlineStr">
        <is>
          <t>최승호</t>
        </is>
      </c>
      <c r="F747" s="3" t="inlineStr">
        <is>
          <t>보고자</t>
        </is>
      </c>
      <c r="G747" s="3" t="inlineStr">
        <is>
          <t>신규 주식담보대출 및 기존 주식담보계약 연장에 따른 변경</t>
        </is>
      </c>
      <c r="H747" s="6" t="inlineStr"/>
      <c r="I747" s="6" t="inlineStr"/>
      <c r="J747" s="6" t="n">
        <v>9175482</v>
      </c>
      <c r="K747" s="16" t="n">
        <v>6</v>
      </c>
      <c r="L747" s="2" t="inlineStr">
        <is>
          <t>20260309001905</t>
        </is>
      </c>
      <c r="M747" s="8">
        <f>HYPERLINK("https://dart.fss.or.kr/dsaf001/main.do?rcpNo=20260309001905", "공시열람")</f>
        <v/>
      </c>
    </row>
    <row r="748" ht="22" customHeight="1">
      <c r="A748" s="2" t="inlineStr">
        <is>
          <t>2026-03-09</t>
        </is>
      </c>
      <c r="B748" s="3" t="inlineStr">
        <is>
          <t>지에프씨생명과학</t>
        </is>
      </c>
      <c r="C748" s="2" t="inlineStr">
        <is>
          <t>388610</t>
        </is>
      </c>
      <c r="D748" s="2" t="inlineStr">
        <is>
          <t>대량보유</t>
        </is>
      </c>
      <c r="E748" s="3" t="inlineStr">
        <is>
          <t>비엔비자산운용(주)</t>
        </is>
      </c>
      <c r="F748" s="3" t="inlineStr">
        <is>
          <t>특별관계자</t>
        </is>
      </c>
      <c r="G748" s="3" t="inlineStr">
        <is>
          <t>장내매수(+)</t>
        </is>
      </c>
      <c r="H748" s="15" t="n">
        <v>311622</v>
      </c>
      <c r="I748" s="6" t="n">
        <v>12750</v>
      </c>
      <c r="J748" s="6" t="n">
        <v>311622</v>
      </c>
      <c r="K748" s="16" t="n">
        <v>5.92</v>
      </c>
      <c r="L748" s="2" t="inlineStr">
        <is>
          <t>20260309001898</t>
        </is>
      </c>
      <c r="M748" s="8">
        <f>HYPERLINK("https://dart.fss.or.kr/dsaf001/main.do?rcpNo=20260309001898", "공시열람")</f>
        <v/>
      </c>
    </row>
    <row r="749" ht="22" customHeight="1">
      <c r="A749" s="2" t="inlineStr">
        <is>
          <t>2026-03-09</t>
        </is>
      </c>
      <c r="B749" s="3" t="inlineStr">
        <is>
          <t>광동제약</t>
        </is>
      </c>
      <c r="C749" s="2" t="inlineStr">
        <is>
          <t>009290</t>
        </is>
      </c>
      <c r="D749" s="2" t="inlineStr">
        <is>
          <t>대량보유</t>
        </is>
      </c>
      <c r="E749" s="3" t="inlineStr">
        <is>
          <t>모과균</t>
        </is>
      </c>
      <c r="F749" s="3" t="inlineStr">
        <is>
          <t>특별관계자</t>
        </is>
      </c>
      <c r="G749" s="3" t="inlineStr">
        <is>
          <t>임원퇴임(-)</t>
        </is>
      </c>
      <c r="H749" s="17" t="n">
        <v>-58758</v>
      </c>
      <c r="I749" s="6" t="inlineStr"/>
      <c r="J749" s="6" t="inlineStr"/>
      <c r="K749" s="16" t="n">
        <v>15</v>
      </c>
      <c r="L749" s="2" t="inlineStr">
        <is>
          <t>20260309001894</t>
        </is>
      </c>
      <c r="M749" s="8">
        <f>HYPERLINK("https://dart.fss.or.kr/dsaf001/main.do?rcpNo=20260309001894", "공시열람")</f>
        <v/>
      </c>
    </row>
    <row r="750" ht="22" customHeight="1">
      <c r="A750" s="2" t="inlineStr">
        <is>
          <t>2026-03-09</t>
        </is>
      </c>
      <c r="B750" s="3" t="inlineStr">
        <is>
          <t>광동제약</t>
        </is>
      </c>
      <c r="C750" s="2" t="inlineStr">
        <is>
          <t>009290</t>
        </is>
      </c>
      <c r="D750" s="2" t="inlineStr">
        <is>
          <t>대량보유</t>
        </is>
      </c>
      <c r="E750" s="3" t="inlineStr">
        <is>
          <t>박상영</t>
        </is>
      </c>
      <c r="F750" s="3" t="inlineStr">
        <is>
          <t>특별관계자</t>
        </is>
      </c>
      <c r="G750" s="3" t="inlineStr">
        <is>
          <t>주식매수선택권행사(-), 주식매수선택권행사(+)</t>
        </is>
      </c>
      <c r="H750" s="17" t="n">
        <v>-17653</v>
      </c>
      <c r="I750" s="6" t="n">
        <v>7260</v>
      </c>
      <c r="J750" s="6" t="n">
        <v>11972</v>
      </c>
      <c r="K750" s="16" t="n">
        <v>15</v>
      </c>
      <c r="L750" s="2" t="inlineStr">
        <is>
          <t>20260309001894</t>
        </is>
      </c>
      <c r="M750" s="8">
        <f>HYPERLINK("https://dart.fss.or.kr/dsaf001/main.do?rcpNo=20260309001894", "공시열람")</f>
        <v/>
      </c>
    </row>
    <row r="751" ht="22" customHeight="1">
      <c r="A751" s="2" t="inlineStr">
        <is>
          <t>2026-03-09</t>
        </is>
      </c>
      <c r="B751" s="3" t="inlineStr">
        <is>
          <t>광동제약</t>
        </is>
      </c>
      <c r="C751" s="2" t="inlineStr">
        <is>
          <t>009290</t>
        </is>
      </c>
      <c r="D751" s="2" t="inlineStr">
        <is>
          <t>대량보유</t>
        </is>
      </c>
      <c r="E751" s="3" t="inlineStr">
        <is>
          <t>이채주</t>
        </is>
      </c>
      <c r="F751" s="3" t="inlineStr">
        <is>
          <t>특별관계자</t>
        </is>
      </c>
      <c r="G751" s="3" t="inlineStr">
        <is>
          <t>주식매수선택권행사(-), 주식매수선택권행사(+)</t>
        </is>
      </c>
      <c r="H751" s="17" t="n">
        <v>-14122</v>
      </c>
      <c r="I751" s="6" t="n">
        <v>7260</v>
      </c>
      <c r="J751" s="6" t="n">
        <v>9096</v>
      </c>
      <c r="K751" s="16" t="n">
        <v>15</v>
      </c>
      <c r="L751" s="2" t="inlineStr">
        <is>
          <t>20260309001894</t>
        </is>
      </c>
      <c r="M751" s="8">
        <f>HYPERLINK("https://dart.fss.or.kr/dsaf001/main.do?rcpNo=20260309001894", "공시열람")</f>
        <v/>
      </c>
    </row>
    <row r="752" ht="22" customHeight="1">
      <c r="A752" s="2" t="inlineStr">
        <is>
          <t>2026-03-09</t>
        </is>
      </c>
      <c r="B752" s="3" t="inlineStr">
        <is>
          <t>광동제약</t>
        </is>
      </c>
      <c r="C752" s="2" t="inlineStr">
        <is>
          <t>009290</t>
        </is>
      </c>
      <c r="D752" s="2" t="inlineStr">
        <is>
          <t>대량보유</t>
        </is>
      </c>
      <c r="E752" s="3" t="inlineStr">
        <is>
          <t>설상현</t>
        </is>
      </c>
      <c r="F752" s="3" t="inlineStr">
        <is>
          <t>특별관계자</t>
        </is>
      </c>
      <c r="G752" s="3" t="inlineStr">
        <is>
          <t>주식매수선택권행사(-), 주식매수선택권행사(+)</t>
        </is>
      </c>
      <c r="H752" s="17" t="n">
        <v>-14122</v>
      </c>
      <c r="I752" s="6" t="n">
        <v>7260</v>
      </c>
      <c r="J752" s="6" t="n">
        <v>10083</v>
      </c>
      <c r="K752" s="16" t="n">
        <v>15</v>
      </c>
      <c r="L752" s="2" t="inlineStr">
        <is>
          <t>20260309001894</t>
        </is>
      </c>
      <c r="M752" s="8">
        <f>HYPERLINK("https://dart.fss.or.kr/dsaf001/main.do?rcpNo=20260309001894", "공시열람")</f>
        <v/>
      </c>
    </row>
    <row r="753" ht="22" customHeight="1">
      <c r="A753" s="2" t="inlineStr">
        <is>
          <t>2026-03-09</t>
        </is>
      </c>
      <c r="B753" s="3" t="inlineStr">
        <is>
          <t>광동제약</t>
        </is>
      </c>
      <c r="C753" s="2" t="inlineStr">
        <is>
          <t>009290</t>
        </is>
      </c>
      <c r="D753" s="2" t="inlineStr">
        <is>
          <t>대량보유</t>
        </is>
      </c>
      <c r="E753" s="3" t="inlineStr">
        <is>
          <t>이강주</t>
        </is>
      </c>
      <c r="F753" s="3" t="inlineStr">
        <is>
          <t>특별관계자</t>
        </is>
      </c>
      <c r="G753" s="3" t="inlineStr">
        <is>
          <t>주식매수선택권행사(-), 주식매수선택권행사(+)</t>
        </is>
      </c>
      <c r="H753" s="17" t="n">
        <v>-11298</v>
      </c>
      <c r="I753" s="6" t="n">
        <v>7260</v>
      </c>
      <c r="J753" s="6" t="n">
        <v>7937</v>
      </c>
      <c r="K753" s="16" t="n">
        <v>15</v>
      </c>
      <c r="L753" s="2" t="inlineStr">
        <is>
          <t>20260309001894</t>
        </is>
      </c>
      <c r="M753" s="8">
        <f>HYPERLINK("https://dart.fss.or.kr/dsaf001/main.do?rcpNo=20260309001894", "공시열람")</f>
        <v/>
      </c>
    </row>
    <row r="754" ht="22" customHeight="1">
      <c r="A754" s="2" t="inlineStr">
        <is>
          <t>2026-03-09 (정정: 2026-03-09)</t>
        </is>
      </c>
      <c r="B754" s="3" t="inlineStr">
        <is>
          <t>대한광통신</t>
        </is>
      </c>
      <c r="C754" s="2" t="inlineStr">
        <is>
          <t>010170</t>
        </is>
      </c>
      <c r="D754" s="2" t="inlineStr">
        <is>
          <t>대량보유</t>
        </is>
      </c>
      <c r="E754" s="3" t="inlineStr">
        <is>
          <t>티에프오인더스트리(주)</t>
        </is>
      </c>
      <c r="F754" s="3" t="inlineStr">
        <is>
          <t>특별관계자</t>
        </is>
      </c>
      <c r="G754" s="3" t="inlineStr">
        <is>
          <t>기타(+), 장외매도(-)</t>
        </is>
      </c>
      <c r="H754" s="15" t="n">
        <v>665842</v>
      </c>
      <c r="I754" s="6" t="n">
        <v>1408</v>
      </c>
      <c r="J754" s="6" t="n">
        <v>665842</v>
      </c>
      <c r="K754" s="16" t="n">
        <v>3</v>
      </c>
      <c r="L754" s="2" t="inlineStr">
        <is>
          <t>20260309001872</t>
        </is>
      </c>
      <c r="M754" s="8">
        <f>HYPERLINK("https://dart.fss.or.kr/dsaf001/main.do?rcpNo=20260309001872", "공시열람")</f>
        <v/>
      </c>
    </row>
    <row r="755" ht="22" customHeight="1">
      <c r="A755" s="2" t="inlineStr">
        <is>
          <t>2026-03-09 (정정: 2026-03-09)</t>
        </is>
      </c>
      <c r="B755" s="3" t="inlineStr">
        <is>
          <t>대한광통신</t>
        </is>
      </c>
      <c r="C755" s="2" t="inlineStr">
        <is>
          <t>010170</t>
        </is>
      </c>
      <c r="D755" s="2" t="inlineStr">
        <is>
          <t>대량보유</t>
        </is>
      </c>
      <c r="E755" s="3" t="inlineStr">
        <is>
          <t>설윤석</t>
        </is>
      </c>
      <c r="F755" s="3" t="inlineStr">
        <is>
          <t>특별관계자</t>
        </is>
      </c>
      <c r="G755" s="3" t="inlineStr">
        <is>
          <t>기타(+), 장외매도(-)</t>
        </is>
      </c>
      <c r="H755" s="15" t="n">
        <v>802501</v>
      </c>
      <c r="I755" s="6" t="n">
        <v>1408</v>
      </c>
      <c r="J755" s="6" t="n">
        <v>802501</v>
      </c>
      <c r="K755" s="16" t="n">
        <v>3</v>
      </c>
      <c r="L755" s="2" t="inlineStr">
        <is>
          <t>20260309001872</t>
        </is>
      </c>
      <c r="M755" s="8">
        <f>HYPERLINK("https://dart.fss.or.kr/dsaf001/main.do?rcpNo=20260309001872", "공시열람")</f>
        <v/>
      </c>
    </row>
    <row r="756" ht="22" customHeight="1">
      <c r="A756" s="2" t="inlineStr">
        <is>
          <t>2026-03-09 (정정: 2026-03-09)</t>
        </is>
      </c>
      <c r="B756" s="3" t="inlineStr">
        <is>
          <t>대한광통신</t>
        </is>
      </c>
      <c r="C756" s="2" t="inlineStr">
        <is>
          <t>010170</t>
        </is>
      </c>
      <c r="D756" s="2" t="inlineStr">
        <is>
          <t>대량보유</t>
        </is>
      </c>
      <c r="E756" s="3" t="inlineStr">
        <is>
          <t>양귀애</t>
        </is>
      </c>
      <c r="F756" s="3" t="inlineStr">
        <is>
          <t>특별관계자</t>
        </is>
      </c>
      <c r="G756" s="3" t="inlineStr">
        <is>
          <t>기타(+)</t>
        </is>
      </c>
      <c r="H756" s="15" t="n">
        <v>658076</v>
      </c>
      <c r="I756" s="6" t="inlineStr"/>
      <c r="J756" s="6" t="n">
        <v>658076</v>
      </c>
      <c r="K756" s="16" t="n">
        <v>3</v>
      </c>
      <c r="L756" s="2" t="inlineStr">
        <is>
          <t>20260309001872</t>
        </is>
      </c>
      <c r="M756" s="8">
        <f>HYPERLINK("https://dart.fss.or.kr/dsaf001/main.do?rcpNo=20260309001872", "공시열람")</f>
        <v/>
      </c>
    </row>
    <row r="757" ht="22" customHeight="1">
      <c r="A757" s="2" t="inlineStr">
        <is>
          <t>2026-03-09 (정정: 2026-03-09)</t>
        </is>
      </c>
      <c r="B757" s="3" t="inlineStr">
        <is>
          <t>대한광통신</t>
        </is>
      </c>
      <c r="C757" s="2" t="inlineStr">
        <is>
          <t>010170</t>
        </is>
      </c>
      <c r="D757" s="2" t="inlineStr">
        <is>
          <t>대량보유</t>
        </is>
      </c>
      <c r="E757" s="3" t="inlineStr">
        <is>
          <t>설윤성</t>
        </is>
      </c>
      <c r="F757" s="3" t="inlineStr">
        <is>
          <t>특별관계자</t>
        </is>
      </c>
      <c r="G757" s="3" t="inlineStr">
        <is>
          <t>기타(+), 장내매도(-)</t>
        </is>
      </c>
      <c r="H757" s="6" t="inlineStr"/>
      <c r="I757" s="6" t="n">
        <v>1389</v>
      </c>
      <c r="J757" s="6" t="inlineStr"/>
      <c r="K757" s="16" t="n">
        <v>3</v>
      </c>
      <c r="L757" s="2" t="inlineStr">
        <is>
          <t>20260309001872</t>
        </is>
      </c>
      <c r="M757" s="8">
        <f>HYPERLINK("https://dart.fss.or.kr/dsaf001/main.do?rcpNo=20260309001872", "공시열람")</f>
        <v/>
      </c>
    </row>
    <row r="758" ht="22" customHeight="1">
      <c r="A758" s="2" t="inlineStr">
        <is>
          <t>2026-03-09</t>
        </is>
      </c>
      <c r="B758" s="3" t="inlineStr">
        <is>
          <t>광동제약</t>
        </is>
      </c>
      <c r="C758" s="2" t="inlineStr">
        <is>
          <t>009290</t>
        </is>
      </c>
      <c r="D758" s="2" t="inlineStr">
        <is>
          <t>임원보고</t>
        </is>
      </c>
      <c r="E758" s="3" t="inlineStr">
        <is>
          <t>-</t>
        </is>
      </c>
      <c r="F758" s="3" t="inlineStr">
        <is>
          <t>-</t>
        </is>
      </c>
      <c r="G758" s="3" t="inlineStr">
        <is>
          <t>-</t>
        </is>
      </c>
      <c r="H758" s="6" t="inlineStr"/>
      <c r="I758" s="6" t="inlineStr"/>
      <c r="J758" s="6" t="inlineStr"/>
      <c r="K758" s="16" t="n">
        <v>12</v>
      </c>
      <c r="L758" s="2" t="inlineStr">
        <is>
          <t>20260309801506</t>
        </is>
      </c>
      <c r="M758" s="8">
        <f>HYPERLINK("https://dart.fss.or.kr/dsaf001/main.do?rcpNo=20260309801506", "공시열람")</f>
        <v/>
      </c>
    </row>
    <row r="759" ht="22" customHeight="1">
      <c r="A759" s="2" t="inlineStr">
        <is>
          <t>2026-03-09</t>
        </is>
      </c>
      <c r="B759" s="3" t="inlineStr">
        <is>
          <t>흥구석유</t>
        </is>
      </c>
      <c r="C759" s="2" t="inlineStr">
        <is>
          <t>024060</t>
        </is>
      </c>
      <c r="D759" s="2" t="inlineStr">
        <is>
          <t>대량보유</t>
        </is>
      </c>
      <c r="E759" s="3" t="inlineStr">
        <is>
          <t>서상덕</t>
        </is>
      </c>
      <c r="F759" s="3" t="inlineStr">
        <is>
          <t>특별관계자</t>
        </is>
      </c>
      <c r="G759" s="3" t="inlineStr">
        <is>
          <t>장내매도(-)</t>
        </is>
      </c>
      <c r="H759" s="17" t="n">
        <v>-800000</v>
      </c>
      <c r="I759" s="6" t="n">
        <v>0</v>
      </c>
      <c r="J759" s="6" t="n">
        <v>1104183</v>
      </c>
      <c r="K759" s="16" t="n">
        <v>7.36</v>
      </c>
      <c r="L759" s="2" t="inlineStr">
        <is>
          <t>20260309001853</t>
        </is>
      </c>
      <c r="M759" s="8">
        <f>HYPERLINK("https://dart.fss.or.kr/dsaf001/main.do?rcpNo=20260309001853", "공시열람")</f>
        <v/>
      </c>
    </row>
    <row r="760" ht="22" customHeight="1">
      <c r="A760" s="2" t="inlineStr">
        <is>
          <t>2026-03-09</t>
        </is>
      </c>
      <c r="B760" s="3" t="inlineStr">
        <is>
          <t>에이엔피</t>
        </is>
      </c>
      <c r="C760" s="2" t="inlineStr">
        <is>
          <t>015260</t>
        </is>
      </c>
      <c r="D760" s="2" t="inlineStr">
        <is>
          <t>임원보고</t>
        </is>
      </c>
      <c r="E760" s="3" t="inlineStr">
        <is>
          <t>-</t>
        </is>
      </c>
      <c r="F760" s="3" t="inlineStr">
        <is>
          <t>-</t>
        </is>
      </c>
      <c r="G760" s="3" t="inlineStr">
        <is>
          <t>-</t>
        </is>
      </c>
      <c r="H760" s="6" t="inlineStr"/>
      <c r="I760" s="6" t="inlineStr"/>
      <c r="J760" s="6" t="inlineStr"/>
      <c r="K760" s="16" t="n">
        <v>12</v>
      </c>
      <c r="L760" s="2" t="inlineStr">
        <is>
          <t>20260309801438</t>
        </is>
      </c>
      <c r="M760" s="8">
        <f>HYPERLINK("https://dart.fss.or.kr/dsaf001/main.do?rcpNo=20260309801438", "공시열람")</f>
        <v/>
      </c>
    </row>
    <row r="761" ht="22" customHeight="1">
      <c r="A761" s="2" t="inlineStr">
        <is>
          <t>2026-03-09</t>
        </is>
      </c>
      <c r="B761" s="3" t="inlineStr">
        <is>
          <t>제노코</t>
        </is>
      </c>
      <c r="C761" s="2" t="inlineStr">
        <is>
          <t>361390</t>
        </is>
      </c>
      <c r="D761" s="2" t="inlineStr">
        <is>
          <t>대량보유</t>
        </is>
      </c>
      <c r="E761" s="3" t="inlineStr">
        <is>
          <t>삼성이노베이티브신기술사업투자조합제2호</t>
        </is>
      </c>
      <c r="F761" s="3" t="inlineStr">
        <is>
          <t>특별관계자</t>
        </is>
      </c>
      <c r="G761" s="3" t="inlineStr">
        <is>
          <t>장내매도(-)</t>
        </is>
      </c>
      <c r="H761" s="17" t="n">
        <v>-543248</v>
      </c>
      <c r="I761" s="6" t="n">
        <v>27829</v>
      </c>
      <c r="J761" s="6" t="n">
        <v>100000</v>
      </c>
      <c r="K761" s="16" t="n">
        <v>2</v>
      </c>
      <c r="L761" s="2" t="inlineStr">
        <is>
          <t>20260309001847</t>
        </is>
      </c>
      <c r="M761" s="8">
        <f>HYPERLINK("https://dart.fss.or.kr/dsaf001/main.do?rcpNo=20260309001847", "공시열람")</f>
        <v/>
      </c>
    </row>
    <row r="762" ht="22" customHeight="1">
      <c r="A762" s="2" t="inlineStr">
        <is>
          <t>2026-03-09</t>
        </is>
      </c>
      <c r="B762" s="3" t="inlineStr">
        <is>
          <t>제노코</t>
        </is>
      </c>
      <c r="C762" s="2" t="inlineStr">
        <is>
          <t>361390</t>
        </is>
      </c>
      <c r="D762" s="2" t="inlineStr">
        <is>
          <t>대량보유</t>
        </is>
      </c>
      <c r="E762" s="3" t="inlineStr">
        <is>
          <t>삼성-라이노스메자닌신기술사업투자조합제1호</t>
        </is>
      </c>
      <c r="F762" s="3" t="inlineStr">
        <is>
          <t>특별관계자</t>
        </is>
      </c>
      <c r="G762" s="3" t="inlineStr">
        <is>
          <t>장내매도(-)</t>
        </is>
      </c>
      <c r="H762" s="17" t="n">
        <v>-60360</v>
      </c>
      <c r="I762" s="6" t="n">
        <v>27146</v>
      </c>
      <c r="J762" s="6" t="n">
        <v>15000</v>
      </c>
      <c r="K762" s="16" t="n">
        <v>2</v>
      </c>
      <c r="L762" s="2" t="inlineStr">
        <is>
          <t>20260309001847</t>
        </is>
      </c>
      <c r="M762" s="8">
        <f>HYPERLINK("https://dart.fss.or.kr/dsaf001/main.do?rcpNo=20260309001847", "공시열람")</f>
        <v/>
      </c>
    </row>
    <row r="763" ht="22" customHeight="1">
      <c r="A763" s="2" t="inlineStr">
        <is>
          <t>2026-03-09</t>
        </is>
      </c>
      <c r="B763" s="3" t="inlineStr">
        <is>
          <t>제노코</t>
        </is>
      </c>
      <c r="C763" s="2" t="inlineStr">
        <is>
          <t>361390</t>
        </is>
      </c>
      <c r="D763" s="2" t="inlineStr">
        <is>
          <t>대량보유</t>
        </is>
      </c>
      <c r="E763" s="3" t="inlineStr">
        <is>
          <t>삼성증권주식회사</t>
        </is>
      </c>
      <c r="F763" s="3" t="inlineStr">
        <is>
          <t>특별관계자</t>
        </is>
      </c>
      <c r="G763" s="3" t="inlineStr">
        <is>
          <t>차입(+), 대여(-), 기타(-)</t>
        </is>
      </c>
      <c r="H763" s="6" t="inlineStr"/>
      <c r="I763" s="6" t="inlineStr"/>
      <c r="J763" s="6" t="n">
        <v>2000</v>
      </c>
      <c r="K763" s="16" t="n">
        <v>2</v>
      </c>
      <c r="L763" s="2" t="inlineStr">
        <is>
          <t>20260309001847</t>
        </is>
      </c>
      <c r="M763" s="8">
        <f>HYPERLINK("https://dart.fss.or.kr/dsaf001/main.do?rcpNo=20260309001847", "공시열람")</f>
        <v/>
      </c>
    </row>
    <row r="764" ht="22" customHeight="1">
      <c r="A764" s="2" t="inlineStr">
        <is>
          <t>2026-03-09 (정정: 2026-03-10)</t>
        </is>
      </c>
      <c r="B764" s="3" t="inlineStr">
        <is>
          <t>코리안리</t>
        </is>
      </c>
      <c r="C764" s="2" t="inlineStr">
        <is>
          <t>003690</t>
        </is>
      </c>
      <c r="D764" s="2" t="inlineStr">
        <is>
          <t>임원보고</t>
        </is>
      </c>
      <c r="E764" s="3" t="inlineStr">
        <is>
          <t>-</t>
        </is>
      </c>
      <c r="F764" s="3" t="inlineStr">
        <is>
          <t>-</t>
        </is>
      </c>
      <c r="G764" s="3" t="inlineStr">
        <is>
          <t>-</t>
        </is>
      </c>
      <c r="H764" s="6" t="inlineStr"/>
      <c r="I764" s="6" t="inlineStr"/>
      <c r="J764" s="6" t="inlineStr"/>
      <c r="K764" s="16" t="n">
        <v>12</v>
      </c>
      <c r="L764" s="2" t="inlineStr">
        <is>
          <t>20260310800301</t>
        </is>
      </c>
      <c r="M764" s="8">
        <f>HYPERLINK("https://dart.fss.or.kr/dsaf001/main.do?rcpNo=20260310800301", "공시열람")</f>
        <v/>
      </c>
    </row>
    <row r="765" ht="22" customHeight="1">
      <c r="A765" s="2" t="inlineStr">
        <is>
          <t>2026-03-09</t>
        </is>
      </c>
      <c r="B765" s="3" t="inlineStr">
        <is>
          <t>솔루엠</t>
        </is>
      </c>
      <c r="C765" s="2" t="inlineStr">
        <is>
          <t>248070</t>
        </is>
      </c>
      <c r="D765" s="2" t="inlineStr">
        <is>
          <t>대량보유</t>
        </is>
      </c>
      <c r="E765" s="3" t="inlineStr">
        <is>
          <t>장대현</t>
        </is>
      </c>
      <c r="F765" s="3" t="inlineStr">
        <is>
          <t>특별관계자</t>
        </is>
      </c>
      <c r="G765" s="3" t="inlineStr">
        <is>
          <t>기타(-)</t>
        </is>
      </c>
      <c r="H765" s="17" t="n">
        <v>-20000</v>
      </c>
      <c r="I765" s="6" t="inlineStr"/>
      <c r="J765" s="6" t="n">
        <v>2000</v>
      </c>
      <c r="K765" s="16" t="n">
        <v>21</v>
      </c>
      <c r="L765" s="2" t="inlineStr">
        <is>
          <t>20260309001832</t>
        </is>
      </c>
      <c r="M765" s="8">
        <f>HYPERLINK("https://dart.fss.or.kr/dsaf001/main.do?rcpNo=20260309001832", "공시열람")</f>
        <v/>
      </c>
    </row>
    <row r="766" ht="22" customHeight="1">
      <c r="A766" s="2" t="inlineStr">
        <is>
          <t>2026-03-09</t>
        </is>
      </c>
      <c r="B766" s="3" t="inlineStr">
        <is>
          <t>솔루엠</t>
        </is>
      </c>
      <c r="C766" s="2" t="inlineStr">
        <is>
          <t>248070</t>
        </is>
      </c>
      <c r="D766" s="2" t="inlineStr">
        <is>
          <t>대량보유</t>
        </is>
      </c>
      <c r="E766" s="3" t="inlineStr">
        <is>
          <t>서보일</t>
        </is>
      </c>
      <c r="F766" s="3" t="inlineStr">
        <is>
          <t>특별관계자</t>
        </is>
      </c>
      <c r="G766" s="3" t="inlineStr">
        <is>
          <t>기타(-)</t>
        </is>
      </c>
      <c r="H766" s="17" t="n">
        <v>-20000</v>
      </c>
      <c r="I766" s="6" t="inlineStr"/>
      <c r="J766" s="6" t="n">
        <v>14940</v>
      </c>
      <c r="K766" s="16" t="n">
        <v>21</v>
      </c>
      <c r="L766" s="2" t="inlineStr">
        <is>
          <t>20260309001832</t>
        </is>
      </c>
      <c r="M766" s="8">
        <f>HYPERLINK("https://dart.fss.or.kr/dsaf001/main.do?rcpNo=20260309001832", "공시열람")</f>
        <v/>
      </c>
    </row>
    <row r="767" ht="22" customHeight="1">
      <c r="A767" s="2" t="inlineStr">
        <is>
          <t>2026-03-09</t>
        </is>
      </c>
      <c r="B767" s="3" t="inlineStr">
        <is>
          <t>솔루엠</t>
        </is>
      </c>
      <c r="C767" s="2" t="inlineStr">
        <is>
          <t>248070</t>
        </is>
      </c>
      <c r="D767" s="2" t="inlineStr">
        <is>
          <t>대량보유</t>
        </is>
      </c>
      <c r="E767" s="3" t="inlineStr">
        <is>
          <t>조정현</t>
        </is>
      </c>
      <c r="F767" s="3" t="inlineStr">
        <is>
          <t>특별관계자</t>
        </is>
      </c>
      <c r="G767" s="3" t="inlineStr">
        <is>
          <t>기타(-)</t>
        </is>
      </c>
      <c r="H767" s="17" t="n">
        <v>-20000</v>
      </c>
      <c r="I767" s="6" t="inlineStr"/>
      <c r="J767" s="6" t="inlineStr"/>
      <c r="K767" s="16" t="n">
        <v>21</v>
      </c>
      <c r="L767" s="2" t="inlineStr">
        <is>
          <t>20260309001832</t>
        </is>
      </c>
      <c r="M767" s="8">
        <f>HYPERLINK("https://dart.fss.or.kr/dsaf001/main.do?rcpNo=20260309001832", "공시열람")</f>
        <v/>
      </c>
    </row>
    <row r="768" ht="22" customHeight="1">
      <c r="A768" s="2" t="inlineStr">
        <is>
          <t>2026-03-09</t>
        </is>
      </c>
      <c r="B768" s="3" t="inlineStr">
        <is>
          <t>엔알비</t>
        </is>
      </c>
      <c r="C768" s="2" t="inlineStr">
        <is>
          <t>475230</t>
        </is>
      </c>
      <c r="D768" s="2" t="inlineStr">
        <is>
          <t>대량보유</t>
        </is>
      </c>
      <c r="E768" s="3" t="inlineStr">
        <is>
          <t>SLiNext이노베이션펀드</t>
        </is>
      </c>
      <c r="F768" s="3" t="inlineStr">
        <is>
          <t>특별관계자</t>
        </is>
      </c>
      <c r="G768" s="3" t="inlineStr">
        <is>
          <t>장내매도(-)</t>
        </is>
      </c>
      <c r="H768" s="17" t="n">
        <v>-147534</v>
      </c>
      <c r="I768" s="6" t="n">
        <v>18922</v>
      </c>
      <c r="J768" s="6" t="n">
        <v>227026</v>
      </c>
      <c r="K768" s="16" t="n">
        <v>3</v>
      </c>
      <c r="L768" s="2" t="inlineStr">
        <is>
          <t>20260309001818</t>
        </is>
      </c>
      <c r="M768" s="8">
        <f>HYPERLINK("https://dart.fss.or.kr/dsaf001/main.do?rcpNo=20260309001818", "공시열람")</f>
        <v/>
      </c>
    </row>
    <row r="769" ht="22" customHeight="1">
      <c r="A769" s="2" t="inlineStr">
        <is>
          <t>2026-03-09</t>
        </is>
      </c>
      <c r="B769" s="3" t="inlineStr">
        <is>
          <t>SK이터닉스</t>
        </is>
      </c>
      <c r="C769" s="2" t="inlineStr">
        <is>
          <t>475150</t>
        </is>
      </c>
      <c r="D769" s="2" t="inlineStr">
        <is>
          <t>임원보고</t>
        </is>
      </c>
      <c r="E769" s="3" t="inlineStr">
        <is>
          <t>-</t>
        </is>
      </c>
      <c r="F769" s="3" t="inlineStr">
        <is>
          <t>-</t>
        </is>
      </c>
      <c r="G769" s="3" t="inlineStr">
        <is>
          <t>-</t>
        </is>
      </c>
      <c r="H769" s="6" t="inlineStr"/>
      <c r="I769" s="6" t="inlineStr"/>
      <c r="J769" s="6" t="inlineStr"/>
      <c r="K769" s="16" t="n">
        <v>12</v>
      </c>
      <c r="L769" s="2" t="inlineStr">
        <is>
          <t>20260309801373</t>
        </is>
      </c>
      <c r="M769" s="8">
        <f>HYPERLINK("https://dart.fss.or.kr/dsaf001/main.do?rcpNo=20260309801373", "공시열람")</f>
        <v/>
      </c>
    </row>
    <row r="770" ht="22" customHeight="1">
      <c r="A770" s="2" t="inlineStr">
        <is>
          <t>2026-03-10</t>
        </is>
      </c>
      <c r="B770" s="3" t="inlineStr">
        <is>
          <t>우정바이오</t>
        </is>
      </c>
      <c r="C770" s="2" t="inlineStr">
        <is>
          <t>215380</t>
        </is>
      </c>
      <c r="D770" s="2" t="inlineStr">
        <is>
          <t>대량보유</t>
        </is>
      </c>
      <c r="E770" s="3" t="inlineStr">
        <is>
          <t>콜마홀딩스주식회사</t>
        </is>
      </c>
      <c r="F770" s="3" t="inlineStr">
        <is>
          <t>특별관계자</t>
        </is>
      </c>
      <c r="G770" s="3" t="inlineStr">
        <is>
          <t>CB인수(+)</t>
        </is>
      </c>
      <c r="H770" s="15" t="n">
        <v>15053763</v>
      </c>
      <c r="I770" s="6" t="n">
        <v>2325</v>
      </c>
      <c r="J770" s="6" t="n">
        <v>15053763</v>
      </c>
      <c r="K770" s="16" t="n">
        <v>47.22</v>
      </c>
      <c r="L770" s="2" t="inlineStr">
        <is>
          <t>20260310003085</t>
        </is>
      </c>
      <c r="M770" s="8">
        <f>HYPERLINK("https://dart.fss.or.kr/dsaf001/main.do?rcpNo=20260310003085", "공시열람")</f>
        <v/>
      </c>
    </row>
    <row r="771" ht="22" customHeight="1">
      <c r="A771" s="2" t="inlineStr">
        <is>
          <t>2026-03-10 (정정: 2026-03-11)</t>
        </is>
      </c>
      <c r="B771" s="3" t="inlineStr">
        <is>
          <t>선익시스템</t>
        </is>
      </c>
      <c r="C771" s="2" t="inlineStr">
        <is>
          <t>171090</t>
        </is>
      </c>
      <c r="D771" s="2" t="inlineStr">
        <is>
          <t>대량보유</t>
        </is>
      </c>
      <c r="E771" s="3" t="inlineStr">
        <is>
          <t>(주)타임폴리오자산운용</t>
        </is>
      </c>
      <c r="F771" s="3" t="inlineStr">
        <is>
          <t>특별관계자</t>
        </is>
      </c>
      <c r="G771" s="3" t="inlineStr">
        <is>
          <t>행사가액조정, 장외매도(-), 전환등(-), 전환사채의권리행사(+), 교환(-), 교환사채의권리행사(+), 장내매도(-)</t>
        </is>
      </c>
      <c r="H771" s="17" t="n">
        <v>-72348</v>
      </c>
      <c r="I771" s="6" t="n">
        <v>68025</v>
      </c>
      <c r="J771" s="6" t="n">
        <v>28103</v>
      </c>
      <c r="K771" s="16" t="n">
        <v>1</v>
      </c>
      <c r="L771" s="2" t="inlineStr">
        <is>
          <t>20260310003115</t>
        </is>
      </c>
      <c r="M771" s="8">
        <f>HYPERLINK("https://dart.fss.or.kr/dsaf001/main.do?rcpNo=20260310003115", "공시열람")</f>
        <v/>
      </c>
    </row>
    <row r="772" ht="22" customHeight="1">
      <c r="A772" s="2" t="inlineStr">
        <is>
          <t>2026-03-10 (정정: 2026-03-11)</t>
        </is>
      </c>
      <c r="B772" s="3" t="inlineStr">
        <is>
          <t>선익시스템</t>
        </is>
      </c>
      <c r="C772" s="2" t="inlineStr">
        <is>
          <t>171090</t>
        </is>
      </c>
      <c r="D772" s="2" t="inlineStr">
        <is>
          <t>대량보유</t>
        </is>
      </c>
      <c r="E772" s="3" t="inlineStr">
        <is>
          <t>타임폴리오흥국에이오에이알지비신기술투자조합제1호</t>
        </is>
      </c>
      <c r="F772" s="3" t="inlineStr">
        <is>
          <t>특별관계자</t>
        </is>
      </c>
      <c r="G772" s="3" t="inlineStr">
        <is>
          <t>행사가액조정, 장외매도(-), 전환등(-), 전환사채의권리행사(+), 교환(-), 교환사채의권리행사(+), 장내매도(-)</t>
        </is>
      </c>
      <c r="H772" s="17" t="n">
        <v>-194522</v>
      </c>
      <c r="I772" s="6" t="n">
        <v>71773</v>
      </c>
      <c r="J772" s="6" t="n">
        <v>76720</v>
      </c>
      <c r="K772" s="16" t="n">
        <v>1</v>
      </c>
      <c r="L772" s="2" t="inlineStr">
        <is>
          <t>20260310003115</t>
        </is>
      </c>
      <c r="M772" s="8">
        <f>HYPERLINK("https://dart.fss.or.kr/dsaf001/main.do?rcpNo=20260310003115", "공시열람")</f>
        <v/>
      </c>
    </row>
    <row r="773" ht="22" customHeight="1">
      <c r="A773" s="2" t="inlineStr">
        <is>
          <t>2026-03-10</t>
        </is>
      </c>
      <c r="B773" s="3" t="inlineStr">
        <is>
          <t>제테마</t>
        </is>
      </c>
      <c r="C773" s="2" t="inlineStr">
        <is>
          <t>216080</t>
        </is>
      </c>
      <c r="D773" s="2" t="inlineStr">
        <is>
          <t>대량보유</t>
        </is>
      </c>
      <c r="E773" s="3" t="inlineStr">
        <is>
          <t>한국투자증권(주)</t>
        </is>
      </c>
      <c r="F773" s="3" t="inlineStr">
        <is>
          <t>특별관계자</t>
        </is>
      </c>
      <c r="G773" s="3" t="inlineStr">
        <is>
          <t>차입(+), 기타(-)</t>
        </is>
      </c>
      <c r="H773" s="6" t="inlineStr"/>
      <c r="I773" s="6" t="n">
        <v>6060</v>
      </c>
      <c r="J773" s="6" t="inlineStr"/>
      <c r="K773" s="16" t="n">
        <v>4</v>
      </c>
      <c r="L773" s="2" t="inlineStr">
        <is>
          <t>20260310003075</t>
        </is>
      </c>
      <c r="M773" s="8">
        <f>HYPERLINK("https://dart.fss.or.kr/dsaf001/main.do?rcpNo=20260310003075", "공시열람")</f>
        <v/>
      </c>
    </row>
    <row r="774" ht="22" customHeight="1">
      <c r="A774" s="2" t="inlineStr">
        <is>
          <t>2026-03-10</t>
        </is>
      </c>
      <c r="B774" s="3" t="inlineStr">
        <is>
          <t>제테마</t>
        </is>
      </c>
      <c r="C774" s="2" t="inlineStr">
        <is>
          <t>216080</t>
        </is>
      </c>
      <c r="D774" s="2" t="inlineStr">
        <is>
          <t>대량보유</t>
        </is>
      </c>
      <c r="E774" s="3" t="inlineStr">
        <is>
          <t>한투신한레이크케이뷰티신기술사업투자조합</t>
        </is>
      </c>
      <c r="F774" s="3" t="inlineStr">
        <is>
          <t>특별관계자</t>
        </is>
      </c>
      <c r="G774" s="3" t="inlineStr">
        <is>
          <t>장외매도(-), 전환등(-), 전환사채의권리행사(+)</t>
        </is>
      </c>
      <c r="H774" s="17" t="n">
        <v>-494770</v>
      </c>
      <c r="I774" s="6" t="n">
        <v>7074</v>
      </c>
      <c r="J774" s="6" t="n">
        <v>706813</v>
      </c>
      <c r="K774" s="16" t="n">
        <v>4</v>
      </c>
      <c r="L774" s="2" t="inlineStr">
        <is>
          <t>20260310003075</t>
        </is>
      </c>
      <c r="M774" s="8">
        <f>HYPERLINK("https://dart.fss.or.kr/dsaf001/main.do?rcpNo=20260310003075", "공시열람")</f>
        <v/>
      </c>
    </row>
    <row r="775" ht="22" customHeight="1">
      <c r="A775" s="2" t="inlineStr">
        <is>
          <t>2026-03-10</t>
        </is>
      </c>
      <c r="B775" s="3" t="inlineStr">
        <is>
          <t>리브스메드</t>
        </is>
      </c>
      <c r="C775" s="2" t="inlineStr">
        <is>
          <t>491000</t>
        </is>
      </c>
      <c r="D775" s="2" t="inlineStr">
        <is>
          <t>대량보유</t>
        </is>
      </c>
      <c r="E775" s="3" t="inlineStr">
        <is>
          <t>스톤브릿지이노베이션쿼터투자조합</t>
        </is>
      </c>
      <c r="F775" s="3" t="inlineStr">
        <is>
          <t>특별관계자</t>
        </is>
      </c>
      <c r="G775" s="3" t="inlineStr">
        <is>
          <t>장내매도(-)</t>
        </is>
      </c>
      <c r="H775" s="17" t="n">
        <v>-154592</v>
      </c>
      <c r="I775" s="6" t="n">
        <v>90396</v>
      </c>
      <c r="J775" s="6" t="n">
        <v>218058</v>
      </c>
      <c r="K775" s="16" t="n">
        <v>5</v>
      </c>
      <c r="L775" s="2" t="inlineStr">
        <is>
          <t>20260310003065</t>
        </is>
      </c>
      <c r="M775" s="8">
        <f>HYPERLINK("https://dart.fss.or.kr/dsaf001/main.do?rcpNo=20260310003065", "공시열람")</f>
        <v/>
      </c>
    </row>
    <row r="776" ht="22" customHeight="1">
      <c r="A776" s="2" t="inlineStr">
        <is>
          <t>2026-03-10</t>
        </is>
      </c>
      <c r="B776" s="3" t="inlineStr">
        <is>
          <t>리브스메드</t>
        </is>
      </c>
      <c r="C776" s="2" t="inlineStr">
        <is>
          <t>491000</t>
        </is>
      </c>
      <c r="D776" s="2" t="inlineStr">
        <is>
          <t>대량보유</t>
        </is>
      </c>
      <c r="E776" s="3" t="inlineStr">
        <is>
          <t>2015KIF스톤브릿지IT전문투자조합</t>
        </is>
      </c>
      <c r="F776" s="3" t="inlineStr">
        <is>
          <t>특별관계자</t>
        </is>
      </c>
      <c r="G776" s="3" t="inlineStr">
        <is>
          <t>장내매도(-)</t>
        </is>
      </c>
      <c r="H776" s="17" t="n">
        <v>-21256</v>
      </c>
      <c r="I776" s="6" t="n">
        <v>90323</v>
      </c>
      <c r="J776" s="6" t="n">
        <v>33324</v>
      </c>
      <c r="K776" s="16" t="n">
        <v>5</v>
      </c>
      <c r="L776" s="2" t="inlineStr">
        <is>
          <t>20260310003065</t>
        </is>
      </c>
      <c r="M776" s="8">
        <f>HYPERLINK("https://dart.fss.or.kr/dsaf001/main.do?rcpNo=20260310003065", "공시열람")</f>
        <v/>
      </c>
    </row>
    <row r="777" ht="22" customHeight="1">
      <c r="A777" s="2" t="inlineStr">
        <is>
          <t>2026-03-10</t>
        </is>
      </c>
      <c r="B777" s="3" t="inlineStr">
        <is>
          <t>리브스메드</t>
        </is>
      </c>
      <c r="C777" s="2" t="inlineStr">
        <is>
          <t>491000</t>
        </is>
      </c>
      <c r="D777" s="2" t="inlineStr">
        <is>
          <t>대량보유</t>
        </is>
      </c>
      <c r="E777" s="3" t="inlineStr">
        <is>
          <t>스톤브릿지영프론티어투자조합</t>
        </is>
      </c>
      <c r="F777" s="3" t="inlineStr">
        <is>
          <t>특별관계자</t>
        </is>
      </c>
      <c r="G777" s="3" t="inlineStr">
        <is>
          <t>장내매도(-)</t>
        </is>
      </c>
      <c r="H777" s="17" t="n">
        <v>-18050</v>
      </c>
      <c r="I777" s="6" t="n">
        <v>90315</v>
      </c>
      <c r="J777" s="6" t="n">
        <v>27130</v>
      </c>
      <c r="K777" s="16" t="n">
        <v>5</v>
      </c>
      <c r="L777" s="2" t="inlineStr">
        <is>
          <t>20260310003065</t>
        </is>
      </c>
      <c r="M777" s="8">
        <f>HYPERLINK("https://dart.fss.or.kr/dsaf001/main.do?rcpNo=20260310003065", "공시열람")</f>
        <v/>
      </c>
    </row>
    <row r="778" ht="22" customHeight="1">
      <c r="A778" s="2" t="inlineStr">
        <is>
          <t>2026-03-10</t>
        </is>
      </c>
      <c r="B778" s="3" t="inlineStr">
        <is>
          <t>리브스메드</t>
        </is>
      </c>
      <c r="C778" s="2" t="inlineStr">
        <is>
          <t>491000</t>
        </is>
      </c>
      <c r="D778" s="2" t="inlineStr">
        <is>
          <t>대량보유</t>
        </is>
      </c>
      <c r="E778" s="3" t="inlineStr">
        <is>
          <t>2019KIF스톤브릿지혁신기술성장TCB투자조합</t>
        </is>
      </c>
      <c r="F778" s="3" t="inlineStr">
        <is>
          <t>특별관계자</t>
        </is>
      </c>
      <c r="G778" s="3" t="inlineStr">
        <is>
          <t>장내매도(-)</t>
        </is>
      </c>
      <c r="H778" s="17" t="n">
        <v>-47460</v>
      </c>
      <c r="I778" s="6" t="n">
        <v>90332</v>
      </c>
      <c r="J778" s="6" t="n">
        <v>68740</v>
      </c>
      <c r="K778" s="16" t="n">
        <v>5</v>
      </c>
      <c r="L778" s="2" t="inlineStr">
        <is>
          <t>20260310003065</t>
        </is>
      </c>
      <c r="M778" s="8">
        <f>HYPERLINK("https://dart.fss.or.kr/dsaf001/main.do?rcpNo=20260310003065", "공시열람")</f>
        <v/>
      </c>
    </row>
    <row r="779" ht="22" customHeight="1">
      <c r="A779" s="2" t="inlineStr">
        <is>
          <t>2026-03-10</t>
        </is>
      </c>
      <c r="B779" s="3" t="inlineStr">
        <is>
          <t>주성엔지니어링</t>
        </is>
      </c>
      <c r="C779" s="2" t="inlineStr">
        <is>
          <t>036930</t>
        </is>
      </c>
      <c r="D779" s="2" t="inlineStr">
        <is>
          <t>대량보유</t>
        </is>
      </c>
      <c r="E779" s="3" t="inlineStr">
        <is>
          <t>황철두</t>
        </is>
      </c>
      <c r="F779" s="3" t="inlineStr">
        <is>
          <t>특별관계자</t>
        </is>
      </c>
      <c r="G779" s="3" t="inlineStr">
        <is>
          <t>장내매도(-)</t>
        </is>
      </c>
      <c r="H779" s="17" t="n">
        <v>-5000</v>
      </c>
      <c r="I779" s="6" t="n">
        <v>35116</v>
      </c>
      <c r="J779" s="6" t="n">
        <v>118266</v>
      </c>
      <c r="K779" s="16" t="n">
        <v>9</v>
      </c>
      <c r="L779" s="2" t="inlineStr">
        <is>
          <t>20260310003057</t>
        </is>
      </c>
      <c r="M779" s="8">
        <f>HYPERLINK("https://dart.fss.or.kr/dsaf001/main.do?rcpNo=20260310003057", "공시열람")</f>
        <v/>
      </c>
    </row>
    <row r="780" ht="22" customHeight="1">
      <c r="A780" s="2" t="inlineStr">
        <is>
          <t>2026-03-10</t>
        </is>
      </c>
      <c r="B780" s="3" t="inlineStr">
        <is>
          <t>주성엔지니어링</t>
        </is>
      </c>
      <c r="C780" s="2" t="inlineStr">
        <is>
          <t>036930</t>
        </is>
      </c>
      <c r="D780" s="2" t="inlineStr">
        <is>
          <t>대량보유</t>
        </is>
      </c>
      <c r="E780" s="3" t="inlineStr">
        <is>
          <t>루미에스트라</t>
        </is>
      </c>
      <c r="F780" s="3" t="inlineStr">
        <is>
          <t>특별관계자</t>
        </is>
      </c>
      <c r="G780" s="3" t="inlineStr">
        <is>
          <t>장내매수(+)</t>
        </is>
      </c>
      <c r="H780" s="15" t="n">
        <v>353810</v>
      </c>
      <c r="I780" s="6" t="n">
        <v>54974</v>
      </c>
      <c r="J780" s="6" t="n">
        <v>427577</v>
      </c>
      <c r="K780" s="16" t="n">
        <v>9</v>
      </c>
      <c r="L780" s="2" t="inlineStr">
        <is>
          <t>20260310003057</t>
        </is>
      </c>
      <c r="M780" s="8">
        <f>HYPERLINK("https://dart.fss.or.kr/dsaf001/main.do?rcpNo=20260310003057", "공시열람")</f>
        <v/>
      </c>
    </row>
    <row r="781" ht="22" customHeight="1">
      <c r="A781" s="2" t="inlineStr">
        <is>
          <t>2026-03-10</t>
        </is>
      </c>
      <c r="B781" s="3" t="inlineStr">
        <is>
          <t>주성엔지니어링</t>
        </is>
      </c>
      <c r="C781" s="2" t="inlineStr">
        <is>
          <t>036930</t>
        </is>
      </c>
      <c r="D781" s="2" t="inlineStr">
        <is>
          <t>대량보유</t>
        </is>
      </c>
      <c r="E781" s="3" t="inlineStr">
        <is>
          <t>안중동</t>
        </is>
      </c>
      <c r="F781" s="3" t="inlineStr">
        <is>
          <t>특별관계자</t>
        </is>
      </c>
      <c r="G781" s="3" t="inlineStr">
        <is>
          <t>임원퇴임(-)</t>
        </is>
      </c>
      <c r="H781" s="17" t="n">
        <v>-139</v>
      </c>
      <c r="I781" s="6" t="inlineStr"/>
      <c r="J781" s="6" t="inlineStr"/>
      <c r="K781" s="16" t="n">
        <v>9</v>
      </c>
      <c r="L781" s="2" t="inlineStr">
        <is>
          <t>20260310003057</t>
        </is>
      </c>
      <c r="M781" s="8">
        <f>HYPERLINK("https://dart.fss.or.kr/dsaf001/main.do?rcpNo=20260310003057", "공시열람")</f>
        <v/>
      </c>
    </row>
    <row r="782" ht="22" customHeight="1">
      <c r="A782" s="2" t="inlineStr">
        <is>
          <t>2026-03-10</t>
        </is>
      </c>
      <c r="B782" s="3" t="inlineStr">
        <is>
          <t>한솔케미칼</t>
        </is>
      </c>
      <c r="C782" s="2" t="inlineStr">
        <is>
          <t>014680</t>
        </is>
      </c>
      <c r="D782" s="2" t="inlineStr">
        <is>
          <t>임원보고</t>
        </is>
      </c>
      <c r="E782" s="3" t="inlineStr">
        <is>
          <t>-</t>
        </is>
      </c>
      <c r="F782" s="3" t="inlineStr">
        <is>
          <t>-</t>
        </is>
      </c>
      <c r="G782" s="3" t="inlineStr">
        <is>
          <t>-</t>
        </is>
      </c>
      <c r="H782" s="6" t="inlineStr"/>
      <c r="I782" s="6" t="inlineStr"/>
      <c r="J782" s="6" t="inlineStr"/>
      <c r="K782" s="16" t="n">
        <v>12</v>
      </c>
      <c r="L782" s="2" t="inlineStr">
        <is>
          <t>20260310801883</t>
        </is>
      </c>
      <c r="M782" s="8">
        <f>HYPERLINK("https://dart.fss.or.kr/dsaf001/main.do?rcpNo=20260310801883", "공시열람")</f>
        <v/>
      </c>
    </row>
    <row r="783" ht="22" customHeight="1">
      <c r="A783" s="2" t="inlineStr">
        <is>
          <t>2026-03-10</t>
        </is>
      </c>
      <c r="B783" s="3" t="inlineStr">
        <is>
          <t>엘리비젼</t>
        </is>
      </c>
      <c r="C783" s="2" t="inlineStr">
        <is>
          <t>276240</t>
        </is>
      </c>
      <c r="D783" s="2" t="inlineStr">
        <is>
          <t>대량보유</t>
        </is>
      </c>
      <c r="E783" s="3" t="inlineStr">
        <is>
          <t>이종수</t>
        </is>
      </c>
      <c r="F783" s="3" t="inlineStr">
        <is>
          <t>특별관계자</t>
        </is>
      </c>
      <c r="G783" s="3" t="inlineStr">
        <is>
          <t>장내매수(+)</t>
        </is>
      </c>
      <c r="H783" s="15" t="n">
        <v>352721</v>
      </c>
      <c r="I783" s="6" t="n">
        <v>315</v>
      </c>
      <c r="J783" s="6" t="n">
        <v>2585111</v>
      </c>
      <c r="K783" s="16" t="n">
        <v>2</v>
      </c>
      <c r="L783" s="2" t="inlineStr">
        <is>
          <t>20260310003053</t>
        </is>
      </c>
      <c r="M783" s="8">
        <f>HYPERLINK("https://dart.fss.or.kr/dsaf001/main.do?rcpNo=20260310003053", "공시열람")</f>
        <v/>
      </c>
    </row>
    <row r="784" ht="22" customHeight="1">
      <c r="A784" s="2" t="inlineStr">
        <is>
          <t>2026-03-10</t>
        </is>
      </c>
      <c r="B784" s="3" t="inlineStr">
        <is>
          <t>엘리비젼</t>
        </is>
      </c>
      <c r="C784" s="2" t="inlineStr">
        <is>
          <t>276240</t>
        </is>
      </c>
      <c r="D784" s="2" t="inlineStr">
        <is>
          <t>대량보유</t>
        </is>
      </c>
      <c r="E784" s="3" t="inlineStr">
        <is>
          <t>김미경</t>
        </is>
      </c>
      <c r="F784" s="3" t="inlineStr">
        <is>
          <t>특별관계자</t>
        </is>
      </c>
      <c r="G784" s="3" t="inlineStr">
        <is>
          <t>장내매수(+)</t>
        </is>
      </c>
      <c r="H784" s="15" t="n">
        <v>19596</v>
      </c>
      <c r="I784" s="6" t="n">
        <v>315</v>
      </c>
      <c r="J784" s="6" t="n">
        <v>488448</v>
      </c>
      <c r="K784" s="16" t="n">
        <v>2</v>
      </c>
      <c r="L784" s="2" t="inlineStr">
        <is>
          <t>20260310003053</t>
        </is>
      </c>
      <c r="M784" s="8">
        <f>HYPERLINK("https://dart.fss.or.kr/dsaf001/main.do?rcpNo=20260310003053", "공시열람")</f>
        <v/>
      </c>
    </row>
    <row r="785" ht="22" customHeight="1">
      <c r="A785" s="2" t="inlineStr">
        <is>
          <t>2026-03-10</t>
        </is>
      </c>
      <c r="B785" s="3" t="inlineStr">
        <is>
          <t>엘리비젼</t>
        </is>
      </c>
      <c r="C785" s="2" t="inlineStr">
        <is>
          <t>276240</t>
        </is>
      </c>
      <c r="D785" s="2" t="inlineStr">
        <is>
          <t>대량보유</t>
        </is>
      </c>
      <c r="E785" s="3" t="inlineStr">
        <is>
          <t>(주)엘제이파트너스</t>
        </is>
      </c>
      <c r="F785" s="3" t="inlineStr">
        <is>
          <t>특별관계자</t>
        </is>
      </c>
      <c r="G785" s="3" t="inlineStr">
        <is>
          <t>단순추가취득</t>
        </is>
      </c>
      <c r="H785" s="6" t="inlineStr"/>
      <c r="I785" s="6" t="inlineStr"/>
      <c r="J785" s="6" t="n">
        <v>600000</v>
      </c>
      <c r="K785" s="16" t="n">
        <v>2</v>
      </c>
      <c r="L785" s="2" t="inlineStr">
        <is>
          <t>20260310003053</t>
        </is>
      </c>
      <c r="M785" s="8">
        <f>HYPERLINK("https://dart.fss.or.kr/dsaf001/main.do?rcpNo=20260310003053", "공시열람")</f>
        <v/>
      </c>
    </row>
    <row r="786" ht="22" customHeight="1">
      <c r="A786" s="2" t="inlineStr">
        <is>
          <t>2026-03-10</t>
        </is>
      </c>
      <c r="B786" s="3" t="inlineStr">
        <is>
          <t>DSR제강</t>
        </is>
      </c>
      <c r="C786" s="2" t="inlineStr">
        <is>
          <t>069730</t>
        </is>
      </c>
      <c r="D786" s="2" t="inlineStr">
        <is>
          <t>임원보고</t>
        </is>
      </c>
      <c r="E786" s="3" t="inlineStr">
        <is>
          <t>-</t>
        </is>
      </c>
      <c r="F786" s="3" t="inlineStr">
        <is>
          <t>-</t>
        </is>
      </c>
      <c r="G786" s="3" t="inlineStr">
        <is>
          <t>-</t>
        </is>
      </c>
      <c r="H786" s="6" t="inlineStr"/>
      <c r="I786" s="6" t="inlineStr"/>
      <c r="J786" s="6" t="inlineStr"/>
      <c r="K786" s="16" t="n">
        <v>12</v>
      </c>
      <c r="L786" s="2" t="inlineStr">
        <is>
          <t>20260310801855</t>
        </is>
      </c>
      <c r="M786" s="8">
        <f>HYPERLINK("https://dart.fss.or.kr/dsaf001/main.do?rcpNo=20260310801855", "공시열람")</f>
        <v/>
      </c>
    </row>
    <row r="787" ht="22" customHeight="1">
      <c r="A787" s="2" t="inlineStr">
        <is>
          <t>2026-03-10 (정정: 2026-03-11)</t>
        </is>
      </c>
      <c r="B787" s="3" t="inlineStr">
        <is>
          <t>바이오노트</t>
        </is>
      </c>
      <c r="C787" s="2" t="inlineStr">
        <is>
          <t>377740</t>
        </is>
      </c>
      <c r="D787" s="2" t="inlineStr">
        <is>
          <t>대량보유</t>
        </is>
      </c>
      <c r="E787" s="3" t="inlineStr">
        <is>
          <t>-</t>
        </is>
      </c>
      <c r="F787" s="3" t="inlineStr">
        <is>
          <t>보고자</t>
        </is>
      </c>
      <c r="G787" s="3" t="inlineStr">
        <is>
          <t>-</t>
        </is>
      </c>
      <c r="H787" s="6" t="inlineStr"/>
      <c r="I787" s="6" t="inlineStr"/>
      <c r="J787" s="6" t="inlineStr"/>
      <c r="K787" s="18" t="inlineStr"/>
      <c r="L787" s="2" t="inlineStr">
        <is>
          <t>20260311004461</t>
        </is>
      </c>
      <c r="M787" s="8">
        <f>HYPERLINK("https://dart.fss.or.kr/dsaf001/main.do?rcpNo=20260311004461", "공시열람")</f>
        <v/>
      </c>
    </row>
    <row r="788" ht="22" customHeight="1">
      <c r="A788" s="2" t="inlineStr">
        <is>
          <t>2026-03-10</t>
        </is>
      </c>
      <c r="B788" s="3" t="inlineStr">
        <is>
          <t>제이알글로벌리츠</t>
        </is>
      </c>
      <c r="C788" s="2" t="inlineStr">
        <is>
          <t>348950</t>
        </is>
      </c>
      <c r="D788" s="2" t="inlineStr">
        <is>
          <t>대량보유</t>
        </is>
      </c>
      <c r="E788" s="3" t="inlineStr">
        <is>
          <t>지브이에이자산운용㈜</t>
        </is>
      </c>
      <c r="F788" s="3" t="inlineStr">
        <is>
          <t>특별관계자</t>
        </is>
      </c>
      <c r="G788" s="3" t="inlineStr">
        <is>
          <t>장내매도(-)</t>
        </is>
      </c>
      <c r="H788" s="17" t="n">
        <v>-3939959</v>
      </c>
      <c r="I788" s="6" t="n">
        <v>2190</v>
      </c>
      <c r="J788" s="6" t="n">
        <v>6983913</v>
      </c>
      <c r="K788" s="16" t="n">
        <v>3.53</v>
      </c>
      <c r="L788" s="2" t="inlineStr">
        <is>
          <t>20260310003013</t>
        </is>
      </c>
      <c r="M788" s="8">
        <f>HYPERLINK("https://dart.fss.or.kr/dsaf001/main.do?rcpNo=20260310003013", "공시열람")</f>
        <v/>
      </c>
    </row>
    <row r="789" ht="22" customHeight="1">
      <c r="A789" s="2" t="inlineStr">
        <is>
          <t>2026-03-10</t>
        </is>
      </c>
      <c r="B789" s="3" t="inlineStr">
        <is>
          <t>웰킵스하이텍</t>
        </is>
      </c>
      <c r="C789" s="2" t="inlineStr">
        <is>
          <t>043590</t>
        </is>
      </c>
      <c r="D789" s="2" t="inlineStr">
        <is>
          <t>대량보유</t>
        </is>
      </c>
      <c r="E789" s="3" t="inlineStr">
        <is>
          <t>웰킵스홀딩스(주)</t>
        </is>
      </c>
      <c r="F789" s="3" t="inlineStr">
        <is>
          <t>특별관계자</t>
        </is>
      </c>
      <c r="G789" s="3" t="inlineStr">
        <is>
          <t>장내매수(+)</t>
        </is>
      </c>
      <c r="H789" s="15" t="n">
        <v>663203</v>
      </c>
      <c r="I789" s="6" t="n">
        <v>629</v>
      </c>
      <c r="J789" s="6" t="n">
        <v>11384530</v>
      </c>
      <c r="K789" s="16" t="n">
        <v>2</v>
      </c>
      <c r="L789" s="2" t="inlineStr">
        <is>
          <t>20260310003008</t>
        </is>
      </c>
      <c r="M789" s="8">
        <f>HYPERLINK("https://dart.fss.or.kr/dsaf001/main.do?rcpNo=20260310003008", "공시열람")</f>
        <v/>
      </c>
    </row>
    <row r="790" ht="22" customHeight="1">
      <c r="A790" s="2" t="inlineStr">
        <is>
          <t>2026-03-10</t>
        </is>
      </c>
      <c r="B790" s="3" t="inlineStr">
        <is>
          <t>제주항공</t>
        </is>
      </c>
      <c r="C790" s="2" t="inlineStr">
        <is>
          <t>089590</t>
        </is>
      </c>
      <c r="D790" s="2" t="inlineStr">
        <is>
          <t>대량보유</t>
        </is>
      </c>
      <c r="E790" s="3" t="inlineStr">
        <is>
          <t>에이케이홀딩스(주)</t>
        </is>
      </c>
      <c r="F790" s="3" t="inlineStr">
        <is>
          <t>보고자</t>
        </is>
      </c>
      <c r="G790" s="3" t="inlineStr">
        <is>
          <t>- 특별관계자 보유주식등에 관한 계약(담보계약) 변경</t>
        </is>
      </c>
      <c r="H790" s="6" t="inlineStr"/>
      <c r="I790" s="6" t="inlineStr"/>
      <c r="J790" s="6" t="n">
        <v>43255517</v>
      </c>
      <c r="K790" s="16" t="n">
        <v>6</v>
      </c>
      <c r="L790" s="2" t="inlineStr">
        <is>
          <t>20260310003005</t>
        </is>
      </c>
      <c r="M790" s="8">
        <f>HYPERLINK("https://dart.fss.or.kr/dsaf001/main.do?rcpNo=20260310003005", "공시열람")</f>
        <v/>
      </c>
    </row>
    <row r="791" ht="22" customHeight="1">
      <c r="A791" s="2" t="inlineStr">
        <is>
          <t>2026-03-10</t>
        </is>
      </c>
      <c r="B791" s="3" t="inlineStr">
        <is>
          <t>문배철강</t>
        </is>
      </c>
      <c r="C791" s="2" t="inlineStr">
        <is>
          <t>008420</t>
        </is>
      </c>
      <c r="D791" s="2" t="inlineStr">
        <is>
          <t>임원보고</t>
        </is>
      </c>
      <c r="E791" s="3" t="inlineStr">
        <is>
          <t>-</t>
        </is>
      </c>
      <c r="F791" s="3" t="inlineStr">
        <is>
          <t>-</t>
        </is>
      </c>
      <c r="G791" s="3" t="inlineStr">
        <is>
          <t>-</t>
        </is>
      </c>
      <c r="H791" s="6" t="inlineStr"/>
      <c r="I791" s="6" t="inlineStr"/>
      <c r="J791" s="6" t="inlineStr"/>
      <c r="K791" s="16" t="n">
        <v>12</v>
      </c>
      <c r="L791" s="2" t="inlineStr">
        <is>
          <t>20260310801779</t>
        </is>
      </c>
      <c r="M791" s="8">
        <f>HYPERLINK("https://dart.fss.or.kr/dsaf001/main.do?rcpNo=20260310801779", "공시열람")</f>
        <v/>
      </c>
    </row>
    <row r="792" ht="22" customHeight="1">
      <c r="A792" s="2" t="inlineStr">
        <is>
          <t>2026-03-10</t>
        </is>
      </c>
      <c r="B792" s="3" t="inlineStr">
        <is>
          <t>바이오노트</t>
        </is>
      </c>
      <c r="C792" s="2" t="inlineStr">
        <is>
          <t>377740</t>
        </is>
      </c>
      <c r="D792" s="2" t="inlineStr">
        <is>
          <t>임원보고</t>
        </is>
      </c>
      <c r="E792" s="3" t="inlineStr">
        <is>
          <t>-</t>
        </is>
      </c>
      <c r="F792" s="3" t="inlineStr">
        <is>
          <t>-</t>
        </is>
      </c>
      <c r="G792" s="3" t="inlineStr">
        <is>
          <t>-</t>
        </is>
      </c>
      <c r="H792" s="6" t="inlineStr"/>
      <c r="I792" s="6" t="inlineStr"/>
      <c r="J792" s="6" t="inlineStr"/>
      <c r="K792" s="16" t="n">
        <v>12</v>
      </c>
      <c r="L792" s="2" t="inlineStr">
        <is>
          <t>20260310801768</t>
        </is>
      </c>
      <c r="M792" s="8">
        <f>HYPERLINK("https://dart.fss.or.kr/dsaf001/main.do?rcpNo=20260310801768", "공시열람")</f>
        <v/>
      </c>
    </row>
    <row r="793" ht="22" customHeight="1">
      <c r="A793" s="2" t="inlineStr">
        <is>
          <t>2026-03-10</t>
        </is>
      </c>
      <c r="B793" s="3" t="inlineStr">
        <is>
          <t>인티큐브</t>
        </is>
      </c>
      <c r="C793" s="2" t="inlineStr">
        <is>
          <t>070590</t>
        </is>
      </c>
      <c r="D793" s="2" t="inlineStr">
        <is>
          <t>대량보유</t>
        </is>
      </c>
      <c r="E793" s="3" t="inlineStr">
        <is>
          <t>(주)플레이버스</t>
        </is>
      </c>
      <c r="F793" s="3" t="inlineStr">
        <is>
          <t>특별관계자</t>
        </is>
      </c>
      <c r="G793" s="3" t="inlineStr">
        <is>
          <t>장외매수(+)</t>
        </is>
      </c>
      <c r="H793" s="15" t="n">
        <v>5864088</v>
      </c>
      <c r="I793" s="6" t="n">
        <v>2558</v>
      </c>
      <c r="J793" s="6" t="n">
        <v>5864088</v>
      </c>
      <c r="K793" s="16" t="n">
        <v>1</v>
      </c>
      <c r="L793" s="2" t="inlineStr">
        <is>
          <t>20260310002993</t>
        </is>
      </c>
      <c r="M793" s="8">
        <f>HYPERLINK("https://dart.fss.or.kr/dsaf001/main.do?rcpNo=20260310002993", "공시열람")</f>
        <v/>
      </c>
    </row>
    <row r="794" ht="22" customHeight="1">
      <c r="A794" s="2" t="inlineStr">
        <is>
          <t>2026-03-10</t>
        </is>
      </c>
      <c r="B794" s="3" t="inlineStr">
        <is>
          <t>아이엠</t>
        </is>
      </c>
      <c r="C794" s="2" t="inlineStr">
        <is>
          <t>101390</t>
        </is>
      </c>
      <c r="D794" s="2" t="inlineStr">
        <is>
          <t>대량보유</t>
        </is>
      </c>
      <c r="E794" s="3" t="inlineStr">
        <is>
          <t>(주)상상인플러스저축은행</t>
        </is>
      </c>
      <c r="F794" s="3" t="inlineStr">
        <is>
          <t>특별관계자</t>
        </is>
      </c>
      <c r="G794" s="3" t="inlineStr">
        <is>
          <t>담보주식처분권보유</t>
        </is>
      </c>
      <c r="H794" s="17" t="n">
        <v>-5497694</v>
      </c>
      <c r="I794" s="6" t="inlineStr"/>
      <c r="J794" s="6" t="inlineStr"/>
      <c r="K794" s="16" t="n">
        <v>2</v>
      </c>
      <c r="L794" s="2" t="inlineStr">
        <is>
          <t>20260310002980</t>
        </is>
      </c>
      <c r="M794" s="8">
        <f>HYPERLINK("https://dart.fss.or.kr/dsaf001/main.do?rcpNo=20260310002980", "공시열람")</f>
        <v/>
      </c>
    </row>
    <row r="795" ht="22" customHeight="1">
      <c r="A795" s="2" t="inlineStr">
        <is>
          <t>2026-03-10</t>
        </is>
      </c>
      <c r="B795" s="3" t="inlineStr">
        <is>
          <t>코텍</t>
        </is>
      </c>
      <c r="C795" s="2" t="inlineStr">
        <is>
          <t>052330</t>
        </is>
      </c>
      <c r="D795" s="2" t="inlineStr">
        <is>
          <t>대량보유</t>
        </is>
      </c>
      <c r="E795" s="3" t="inlineStr">
        <is>
          <t>대신-뉴젠신기술투자조합제2호</t>
        </is>
      </c>
      <c r="F795" s="3" t="inlineStr">
        <is>
          <t>특별관계자</t>
        </is>
      </c>
      <c r="G795" s="3" t="inlineStr">
        <is>
          <t>전환등(-), 전환사채의권리행사(+), 행사가액조정, 장내매도(-)</t>
        </is>
      </c>
      <c r="H795" s="17" t="n">
        <v>-1128251</v>
      </c>
      <c r="I795" s="6" t="n">
        <v>8691</v>
      </c>
      <c r="J795" s="6" t="n">
        <v>814426</v>
      </c>
      <c r="K795" s="16" t="n">
        <v>2</v>
      </c>
      <c r="L795" s="2" t="inlineStr">
        <is>
          <t>20260310002975</t>
        </is>
      </c>
      <c r="M795" s="8">
        <f>HYPERLINK("https://dart.fss.or.kr/dsaf001/main.do?rcpNo=20260310002975", "공시열람")</f>
        <v/>
      </c>
    </row>
    <row r="796" ht="22" customHeight="1">
      <c r="A796" s="2" t="inlineStr">
        <is>
          <t>2026-03-10</t>
        </is>
      </c>
      <c r="B796" s="3" t="inlineStr">
        <is>
          <t>수성웹툰</t>
        </is>
      </c>
      <c r="C796" s="2" t="inlineStr">
        <is>
          <t>084180</t>
        </is>
      </c>
      <c r="D796" s="2" t="inlineStr">
        <is>
          <t>대량보유</t>
        </is>
      </c>
      <c r="E796" s="3" t="inlineStr">
        <is>
          <t>(주)상상인증권</t>
        </is>
      </c>
      <c r="F796" s="3" t="inlineStr">
        <is>
          <t>특별관계자</t>
        </is>
      </c>
      <c r="G796" s="3" t="inlineStr">
        <is>
          <t>담보주식처분권보유, 장내매도(-)</t>
        </is>
      </c>
      <c r="H796" s="6" t="inlineStr"/>
      <c r="I796" s="6" t="n">
        <v>1645</v>
      </c>
      <c r="J796" s="6" t="n">
        <v>746268</v>
      </c>
      <c r="K796" s="16" t="n">
        <v>3</v>
      </c>
      <c r="L796" s="2" t="inlineStr">
        <is>
          <t>20260310002970</t>
        </is>
      </c>
      <c r="M796" s="8">
        <f>HYPERLINK("https://dart.fss.or.kr/dsaf001/main.do?rcpNo=20260310002970", "공시열람")</f>
        <v/>
      </c>
    </row>
    <row r="797" ht="22" customHeight="1">
      <c r="A797" s="2" t="inlineStr">
        <is>
          <t>2026-03-10</t>
        </is>
      </c>
      <c r="B797" s="3" t="inlineStr">
        <is>
          <t>대호에이엘</t>
        </is>
      </c>
      <c r="C797" s="2" t="inlineStr">
        <is>
          <t>069460</t>
        </is>
      </c>
      <c r="D797" s="2" t="inlineStr">
        <is>
          <t>대량보유</t>
        </is>
      </c>
      <c r="E797" s="3" t="inlineStr">
        <is>
          <t>(주)상상인저축은행</t>
        </is>
      </c>
      <c r="F797" s="3" t="inlineStr">
        <is>
          <t>특별관계자</t>
        </is>
      </c>
      <c r="G797" s="3" t="inlineStr">
        <is>
          <t>담보주식처분권보유, 장내매도(-)</t>
        </is>
      </c>
      <c r="H797" s="15" t="n">
        <v>602940</v>
      </c>
      <c r="I797" s="6" t="n">
        <v>672</v>
      </c>
      <c r="J797" s="6" t="n">
        <v>3905841</v>
      </c>
      <c r="K797" s="16" t="n">
        <v>2</v>
      </c>
      <c r="L797" s="2" t="inlineStr">
        <is>
          <t>20260310002962</t>
        </is>
      </c>
      <c r="M797" s="8">
        <f>HYPERLINK("https://dart.fss.or.kr/dsaf001/main.do?rcpNo=20260310002962", "공시열람")</f>
        <v/>
      </c>
    </row>
    <row r="798" ht="22" customHeight="1">
      <c r="A798" s="2" t="inlineStr">
        <is>
          <t>2026-03-10</t>
        </is>
      </c>
      <c r="B798" s="3" t="inlineStr">
        <is>
          <t>우정바이오</t>
        </is>
      </c>
      <c r="C798" s="2" t="inlineStr">
        <is>
          <t>215380</t>
        </is>
      </c>
      <c r="D798" s="2" t="inlineStr">
        <is>
          <t>대량보유</t>
        </is>
      </c>
      <c r="E798" s="3" t="inlineStr">
        <is>
          <t>천희정</t>
        </is>
      </c>
      <c r="F798" s="3" t="inlineStr">
        <is>
          <t>보고자</t>
        </is>
      </c>
      <c r="G798" s="3" t="inlineStr">
        <is>
          <t>의결권 위임 협약 체결</t>
        </is>
      </c>
      <c r="H798" s="6" t="inlineStr"/>
      <c r="I798" s="6" t="inlineStr"/>
      <c r="J798" s="6" t="n">
        <v>5657027</v>
      </c>
      <c r="K798" s="16" t="n">
        <v>8</v>
      </c>
      <c r="L798" s="2" t="inlineStr">
        <is>
          <t>20260310002955</t>
        </is>
      </c>
      <c r="M798" s="8">
        <f>HYPERLINK("https://dart.fss.or.kr/dsaf001/main.do?rcpNo=20260310002955", "공시열람")</f>
        <v/>
      </c>
    </row>
    <row r="799" ht="22" customHeight="1">
      <c r="A799" s="2" t="inlineStr">
        <is>
          <t>2026-03-10</t>
        </is>
      </c>
      <c r="B799" s="3" t="inlineStr">
        <is>
          <t>쎄니트</t>
        </is>
      </c>
      <c r="C799" s="2" t="inlineStr">
        <is>
          <t>037760</t>
        </is>
      </c>
      <c r="D799" s="2" t="inlineStr">
        <is>
          <t>대량보유</t>
        </is>
      </c>
      <c r="E799" s="3" t="inlineStr">
        <is>
          <t>최재관</t>
        </is>
      </c>
      <c r="F799" s="3" t="inlineStr">
        <is>
          <t>특별관계자</t>
        </is>
      </c>
      <c r="G799" s="3" t="inlineStr">
        <is>
          <t>증여(-)</t>
        </is>
      </c>
      <c r="H799" s="17" t="n">
        <v>-300000</v>
      </c>
      <c r="I799" s="6" t="inlineStr"/>
      <c r="J799" s="6" t="n">
        <v>12030404</v>
      </c>
      <c r="K799" s="16" t="n">
        <v>11</v>
      </c>
      <c r="L799" s="2" t="inlineStr">
        <is>
          <t>20260310002950</t>
        </is>
      </c>
      <c r="M799" s="8">
        <f>HYPERLINK("https://dart.fss.or.kr/dsaf001/main.do?rcpNo=20260310002950", "공시열람")</f>
        <v/>
      </c>
    </row>
    <row r="800" ht="22" customHeight="1">
      <c r="A800" s="2" t="inlineStr">
        <is>
          <t>2026-03-10</t>
        </is>
      </c>
      <c r="B800" s="3" t="inlineStr">
        <is>
          <t>쎄니트</t>
        </is>
      </c>
      <c r="C800" s="2" t="inlineStr">
        <is>
          <t>037760</t>
        </is>
      </c>
      <c r="D800" s="2" t="inlineStr">
        <is>
          <t>대량보유</t>
        </is>
      </c>
      <c r="E800" s="3" t="inlineStr">
        <is>
          <t>박승배</t>
        </is>
      </c>
      <c r="F800" s="3" t="inlineStr">
        <is>
          <t>특별관계자</t>
        </is>
      </c>
      <c r="G800" s="3" t="inlineStr">
        <is>
          <t>장내매수(+)</t>
        </is>
      </c>
      <c r="H800" s="15" t="n">
        <v>120000</v>
      </c>
      <c r="I800" s="6" t="n">
        <v>1655</v>
      </c>
      <c r="J800" s="6" t="n">
        <v>4545000</v>
      </c>
      <c r="K800" s="16" t="n">
        <v>11</v>
      </c>
      <c r="L800" s="2" t="inlineStr">
        <is>
          <t>20260310002950</t>
        </is>
      </c>
      <c r="M800" s="8">
        <f>HYPERLINK("https://dart.fss.or.kr/dsaf001/main.do?rcpNo=20260310002950", "공시열람")</f>
        <v/>
      </c>
    </row>
    <row r="801" ht="22" customHeight="1">
      <c r="A801" s="2" t="inlineStr">
        <is>
          <t>2026-03-10</t>
        </is>
      </c>
      <c r="B801" s="3" t="inlineStr">
        <is>
          <t>쎄니트</t>
        </is>
      </c>
      <c r="C801" s="2" t="inlineStr">
        <is>
          <t>037760</t>
        </is>
      </c>
      <c r="D801" s="2" t="inlineStr">
        <is>
          <t>대량보유</t>
        </is>
      </c>
      <c r="E801" s="3" t="inlineStr">
        <is>
          <t>최재명</t>
        </is>
      </c>
      <c r="F801" s="3" t="inlineStr">
        <is>
          <t>특별관계자</t>
        </is>
      </c>
      <c r="G801" s="3" t="inlineStr">
        <is>
          <t>장내매도(-)</t>
        </is>
      </c>
      <c r="H801" s="17" t="n">
        <v>-100</v>
      </c>
      <c r="I801" s="6" t="n">
        <v>1738</v>
      </c>
      <c r="J801" s="6" t="n">
        <v>230976</v>
      </c>
      <c r="K801" s="16" t="n">
        <v>11</v>
      </c>
      <c r="L801" s="2" t="inlineStr">
        <is>
          <t>20260310002950</t>
        </is>
      </c>
      <c r="M801" s="8">
        <f>HYPERLINK("https://dart.fss.or.kr/dsaf001/main.do?rcpNo=20260310002950", "공시열람")</f>
        <v/>
      </c>
    </row>
    <row r="802" ht="22" customHeight="1">
      <c r="A802" s="2" t="inlineStr">
        <is>
          <t>2026-03-10</t>
        </is>
      </c>
      <c r="B802" s="3" t="inlineStr">
        <is>
          <t>쎄니트</t>
        </is>
      </c>
      <c r="C802" s="2" t="inlineStr">
        <is>
          <t>037760</t>
        </is>
      </c>
      <c r="D802" s="2" t="inlineStr">
        <is>
          <t>대량보유</t>
        </is>
      </c>
      <c r="E802" s="3" t="inlineStr">
        <is>
          <t>지윤정</t>
        </is>
      </c>
      <c r="F802" s="3" t="inlineStr">
        <is>
          <t>특별관계자</t>
        </is>
      </c>
      <c r="G802" s="3" t="inlineStr">
        <is>
          <t>장내매도(-)</t>
        </is>
      </c>
      <c r="H802" s="17" t="n">
        <v>-15413</v>
      </c>
      <c r="I802" s="6" t="n">
        <v>1852</v>
      </c>
      <c r="J802" s="6" t="n">
        <v>87150</v>
      </c>
      <c r="K802" s="16" t="n">
        <v>11</v>
      </c>
      <c r="L802" s="2" t="inlineStr">
        <is>
          <t>20260310002950</t>
        </is>
      </c>
      <c r="M802" s="8">
        <f>HYPERLINK("https://dart.fss.or.kr/dsaf001/main.do?rcpNo=20260310002950", "공시열람")</f>
        <v/>
      </c>
    </row>
    <row r="803" ht="22" customHeight="1">
      <c r="A803" s="2" t="inlineStr">
        <is>
          <t>2026-03-10</t>
        </is>
      </c>
      <c r="B803" s="3" t="inlineStr">
        <is>
          <t>쎄니트</t>
        </is>
      </c>
      <c r="C803" s="2" t="inlineStr">
        <is>
          <t>037760</t>
        </is>
      </c>
      <c r="D803" s="2" t="inlineStr">
        <is>
          <t>대량보유</t>
        </is>
      </c>
      <c r="E803" s="3" t="inlineStr">
        <is>
          <t>최정욱</t>
        </is>
      </c>
      <c r="F803" s="3" t="inlineStr">
        <is>
          <t>특별관계자</t>
        </is>
      </c>
      <c r="G803" s="3" t="inlineStr">
        <is>
          <t>장내매수(+), 수증(+)</t>
        </is>
      </c>
      <c r="H803" s="15" t="n">
        <v>610820</v>
      </c>
      <c r="I803" s="6" t="n">
        <v>1826</v>
      </c>
      <c r="J803" s="6" t="n">
        <v>675772</v>
      </c>
      <c r="K803" s="16" t="n">
        <v>11</v>
      </c>
      <c r="L803" s="2" t="inlineStr">
        <is>
          <t>20260310002950</t>
        </is>
      </c>
      <c r="M803" s="8">
        <f>HYPERLINK("https://dart.fss.or.kr/dsaf001/main.do?rcpNo=20260310002950", "공시열람")</f>
        <v/>
      </c>
    </row>
    <row r="804" ht="22" customHeight="1">
      <c r="A804" s="2" t="inlineStr">
        <is>
          <t>2026-03-10</t>
        </is>
      </c>
      <c r="B804" s="3" t="inlineStr">
        <is>
          <t>쎄니트</t>
        </is>
      </c>
      <c r="C804" s="2" t="inlineStr">
        <is>
          <t>037760</t>
        </is>
      </c>
      <c r="D804" s="2" t="inlineStr">
        <is>
          <t>대량보유</t>
        </is>
      </c>
      <c r="E804" s="3" t="inlineStr">
        <is>
          <t>한창석</t>
        </is>
      </c>
      <c r="F804" s="3" t="inlineStr">
        <is>
          <t>특별관계자</t>
        </is>
      </c>
      <c r="G804" s="3" t="inlineStr">
        <is>
          <t>장내매수(+)</t>
        </is>
      </c>
      <c r="H804" s="15" t="n">
        <v>56221</v>
      </c>
      <c r="I804" s="6" t="n">
        <v>1713</v>
      </c>
      <c r="J804" s="6" t="n">
        <v>90000</v>
      </c>
      <c r="K804" s="16" t="n">
        <v>11</v>
      </c>
      <c r="L804" s="2" t="inlineStr">
        <is>
          <t>20260310002950</t>
        </is>
      </c>
      <c r="M804" s="8">
        <f>HYPERLINK("https://dart.fss.or.kr/dsaf001/main.do?rcpNo=20260310002950", "공시열람")</f>
        <v/>
      </c>
    </row>
    <row r="805" ht="22" customHeight="1">
      <c r="A805" s="2" t="inlineStr">
        <is>
          <t>2026-03-10</t>
        </is>
      </c>
      <c r="B805" s="3" t="inlineStr">
        <is>
          <t>쎄니트</t>
        </is>
      </c>
      <c r="C805" s="2" t="inlineStr">
        <is>
          <t>037760</t>
        </is>
      </c>
      <c r="D805" s="2" t="inlineStr">
        <is>
          <t>대량보유</t>
        </is>
      </c>
      <c r="E805" s="3" t="inlineStr">
        <is>
          <t>최재진</t>
        </is>
      </c>
      <c r="F805" s="3" t="inlineStr">
        <is>
          <t>특별관계자</t>
        </is>
      </c>
      <c r="G805" s="3" t="inlineStr">
        <is>
          <t>장내매수(+)</t>
        </is>
      </c>
      <c r="H805" s="15" t="n">
        <v>50000</v>
      </c>
      <c r="I805" s="6" t="n">
        <v>1811</v>
      </c>
      <c r="J805" s="6" t="n">
        <v>50000</v>
      </c>
      <c r="K805" s="16" t="n">
        <v>11</v>
      </c>
      <c r="L805" s="2" t="inlineStr">
        <is>
          <t>20260310002950</t>
        </is>
      </c>
      <c r="M805" s="8">
        <f>HYPERLINK("https://dart.fss.or.kr/dsaf001/main.do?rcpNo=20260310002950", "공시열람")</f>
        <v/>
      </c>
    </row>
    <row r="806" ht="22" customHeight="1">
      <c r="A806" s="2" t="inlineStr">
        <is>
          <t>2026-03-10</t>
        </is>
      </c>
      <c r="B806" s="3" t="inlineStr">
        <is>
          <t>쎄니트</t>
        </is>
      </c>
      <c r="C806" s="2" t="inlineStr">
        <is>
          <t>037760</t>
        </is>
      </c>
      <c r="D806" s="2" t="inlineStr">
        <is>
          <t>대량보유</t>
        </is>
      </c>
      <c r="E806" s="3" t="inlineStr">
        <is>
          <t>최창우</t>
        </is>
      </c>
      <c r="F806" s="3" t="inlineStr">
        <is>
          <t>특별관계자</t>
        </is>
      </c>
      <c r="G806" s="3" t="inlineStr">
        <is>
          <t>장내매수(+)</t>
        </is>
      </c>
      <c r="H806" s="15" t="n">
        <v>50000</v>
      </c>
      <c r="I806" s="6" t="n">
        <v>1807</v>
      </c>
      <c r="J806" s="6" t="n">
        <v>50000</v>
      </c>
      <c r="K806" s="16" t="n">
        <v>11</v>
      </c>
      <c r="L806" s="2" t="inlineStr">
        <is>
          <t>20260310002950</t>
        </is>
      </c>
      <c r="M806" s="8">
        <f>HYPERLINK("https://dart.fss.or.kr/dsaf001/main.do?rcpNo=20260310002950", "공시열람")</f>
        <v/>
      </c>
    </row>
    <row r="807" ht="22" customHeight="1">
      <c r="A807" s="2" t="inlineStr">
        <is>
          <t>2026-03-10</t>
        </is>
      </c>
      <c r="B807" s="3" t="inlineStr">
        <is>
          <t>대양금속</t>
        </is>
      </c>
      <c r="C807" s="2" t="inlineStr">
        <is>
          <t>009190</t>
        </is>
      </c>
      <c r="D807" s="2" t="inlineStr">
        <is>
          <t>대량보유</t>
        </is>
      </c>
      <c r="E807" s="3" t="inlineStr">
        <is>
          <t>(주)디와이엠파트너스</t>
        </is>
      </c>
      <c r="F807" s="3" t="inlineStr">
        <is>
          <t>보고자</t>
        </is>
      </c>
      <c r="G807" s="3" t="inlineStr">
        <is>
          <t>주식담보대출 변경</t>
        </is>
      </c>
      <c r="H807" s="6" t="inlineStr"/>
      <c r="I807" s="6" t="inlineStr"/>
      <c r="J807" s="6" t="n">
        <v>8899628</v>
      </c>
      <c r="K807" s="16" t="n">
        <v>3</v>
      </c>
      <c r="L807" s="2" t="inlineStr">
        <is>
          <t>20260310002948</t>
        </is>
      </c>
      <c r="M807" s="8">
        <f>HYPERLINK("https://dart.fss.or.kr/dsaf001/main.do?rcpNo=20260310002948", "공시열람")</f>
        <v/>
      </c>
    </row>
    <row r="808" ht="22" customHeight="1">
      <c r="A808" s="2" t="inlineStr">
        <is>
          <t>2026-03-10</t>
        </is>
      </c>
      <c r="B808" s="3" t="inlineStr">
        <is>
          <t>에이전트AI</t>
        </is>
      </c>
      <c r="C808" s="2" t="inlineStr">
        <is>
          <t>060900</t>
        </is>
      </c>
      <c r="D808" s="2" t="inlineStr">
        <is>
          <t>대량보유</t>
        </is>
      </c>
      <c r="E808" s="3" t="inlineStr">
        <is>
          <t>(주)상상인플러스저축은행</t>
        </is>
      </c>
      <c r="F808" s="3" t="inlineStr">
        <is>
          <t>특별관계자</t>
        </is>
      </c>
      <c r="G808" s="3" t="inlineStr">
        <is>
          <t>장내매도(-)</t>
        </is>
      </c>
      <c r="H808" s="17" t="n">
        <v>-1066249</v>
      </c>
      <c r="I808" s="6" t="n">
        <v>488</v>
      </c>
      <c r="J808" s="6" t="n">
        <v>2627050</v>
      </c>
      <c r="K808" s="16" t="n">
        <v>2</v>
      </c>
      <c r="L808" s="2" t="inlineStr">
        <is>
          <t>20260310002947</t>
        </is>
      </c>
      <c r="M808" s="8">
        <f>HYPERLINK("https://dart.fss.or.kr/dsaf001/main.do?rcpNo=20260310002947", "공시열람")</f>
        <v/>
      </c>
    </row>
    <row r="809" ht="22" customHeight="1">
      <c r="A809" s="2" t="inlineStr">
        <is>
          <t>2026-03-10</t>
        </is>
      </c>
      <c r="B809" s="3" t="inlineStr">
        <is>
          <t>유안타증권</t>
        </is>
      </c>
      <c r="C809" s="2" t="inlineStr">
        <is>
          <t>003470</t>
        </is>
      </c>
      <c r="D809" s="2" t="inlineStr">
        <is>
          <t>임원보고</t>
        </is>
      </c>
      <c r="E809" s="3" t="inlineStr">
        <is>
          <t>-</t>
        </is>
      </c>
      <c r="F809" s="3" t="inlineStr">
        <is>
          <t>-</t>
        </is>
      </c>
      <c r="G809" s="3" t="inlineStr">
        <is>
          <t>-</t>
        </is>
      </c>
      <c r="H809" s="6" t="inlineStr"/>
      <c r="I809" s="6" t="inlineStr"/>
      <c r="J809" s="6" t="inlineStr"/>
      <c r="K809" s="16" t="n">
        <v>12</v>
      </c>
      <c r="L809" s="2" t="inlineStr">
        <is>
          <t>20260310801636</t>
        </is>
      </c>
      <c r="M809" s="8">
        <f>HYPERLINK("https://dart.fss.or.kr/dsaf001/main.do?rcpNo=20260310801636", "공시열람")</f>
        <v/>
      </c>
    </row>
    <row r="810" ht="22" customHeight="1">
      <c r="A810" s="2" t="inlineStr">
        <is>
          <t>2026-03-10</t>
        </is>
      </c>
      <c r="B810" s="3" t="inlineStr">
        <is>
          <t>에코프로머티</t>
        </is>
      </c>
      <c r="C810" s="2" t="inlineStr">
        <is>
          <t>450080</t>
        </is>
      </c>
      <c r="D810" s="2" t="inlineStr">
        <is>
          <t>대량보유</t>
        </is>
      </c>
      <c r="E810" s="3" t="inlineStr">
        <is>
          <t>BRVLotusGrowthFund2015,L.P.</t>
        </is>
      </c>
      <c r="F810" s="3" t="inlineStr">
        <is>
          <t>특별관계자</t>
        </is>
      </c>
      <c r="G810" s="3" t="inlineStr">
        <is>
          <t>장내매도(-)</t>
        </is>
      </c>
      <c r="H810" s="17" t="n">
        <v>-830732</v>
      </c>
      <c r="I810" s="6" t="n">
        <v>71930</v>
      </c>
      <c r="J810" s="6" t="n">
        <v>6647939</v>
      </c>
      <c r="K810" s="16" t="n">
        <v>2</v>
      </c>
      <c r="L810" s="2" t="inlineStr">
        <is>
          <t>20260310002930</t>
        </is>
      </c>
      <c r="M810" s="8">
        <f>HYPERLINK("https://dart.fss.or.kr/dsaf001/main.do?rcpNo=20260310002930", "공시열람")</f>
        <v/>
      </c>
    </row>
    <row r="811" ht="22" customHeight="1">
      <c r="A811" s="2" t="inlineStr">
        <is>
          <t>2026-03-10</t>
        </is>
      </c>
      <c r="B811" s="3" t="inlineStr">
        <is>
          <t>에코프로머티</t>
        </is>
      </c>
      <c r="C811" s="2" t="inlineStr">
        <is>
          <t>450080</t>
        </is>
      </c>
      <c r="D811" s="2" t="inlineStr">
        <is>
          <t>대량보유</t>
        </is>
      </c>
      <c r="E811" s="3" t="inlineStr">
        <is>
          <t>BRVLotusFundIII,L.P.</t>
        </is>
      </c>
      <c r="F811" s="3" t="inlineStr">
        <is>
          <t>특별관계자</t>
        </is>
      </c>
      <c r="G811" s="3" t="inlineStr">
        <is>
          <t>장내매도(-)</t>
        </is>
      </c>
      <c r="H811" s="17" t="n">
        <v>-445386</v>
      </c>
      <c r="I811" s="6" t="n">
        <v>71939</v>
      </c>
      <c r="J811" s="6" t="n">
        <v>3555136</v>
      </c>
      <c r="K811" s="16" t="n">
        <v>2</v>
      </c>
      <c r="L811" s="2" t="inlineStr">
        <is>
          <t>20260310002930</t>
        </is>
      </c>
      <c r="M811" s="8">
        <f>HYPERLINK("https://dart.fss.or.kr/dsaf001/main.do?rcpNo=20260310002930", "공시열람")</f>
        <v/>
      </c>
    </row>
    <row r="812" ht="22" customHeight="1">
      <c r="A812" s="2" t="inlineStr">
        <is>
          <t>2026-03-10</t>
        </is>
      </c>
      <c r="B812" s="3" t="inlineStr">
        <is>
          <t>영원무역홀딩스</t>
        </is>
      </c>
      <c r="C812" s="2" t="inlineStr">
        <is>
          <t>009970</t>
        </is>
      </c>
      <c r="D812" s="2" t="inlineStr">
        <is>
          <t>대량보유</t>
        </is>
      </c>
      <c r="E812" s="3" t="inlineStr">
        <is>
          <t>(주)브이아이피자산운용</t>
        </is>
      </c>
      <c r="F812" s="3" t="inlineStr">
        <is>
          <t>특별관계자</t>
        </is>
      </c>
      <c r="G812" s="3" t="inlineStr">
        <is>
          <t>장내매수(+), 기타(-), 장내매도(-)</t>
        </is>
      </c>
      <c r="H812" s="17" t="n">
        <v>-185130</v>
      </c>
      <c r="I812" s="6" t="n">
        <v>148391</v>
      </c>
      <c r="J812" s="6" t="n">
        <v>645915</v>
      </c>
      <c r="K812" s="16" t="n">
        <v>4.78</v>
      </c>
      <c r="L812" s="2" t="inlineStr">
        <is>
          <t>20260310002927</t>
        </is>
      </c>
      <c r="M812" s="8">
        <f>HYPERLINK("https://dart.fss.or.kr/dsaf001/main.do?rcpNo=20260310002927", "공시열람")</f>
        <v/>
      </c>
    </row>
    <row r="813" ht="22" customHeight="1">
      <c r="A813" s="2" t="inlineStr">
        <is>
          <t>2026-03-10</t>
        </is>
      </c>
      <c r="B813" s="3" t="inlineStr">
        <is>
          <t>KB발해인프라</t>
        </is>
      </c>
      <c r="C813" s="2" t="inlineStr">
        <is>
          <t>415640</t>
        </is>
      </c>
      <c r="D813" s="2" t="inlineStr">
        <is>
          <t>대량보유</t>
        </is>
      </c>
      <c r="E813" s="3" t="inlineStr">
        <is>
          <t>KB증권㈜</t>
        </is>
      </c>
      <c r="F813" s="3" t="inlineStr">
        <is>
          <t>특별관계자</t>
        </is>
      </c>
      <c r="G813" s="3" t="inlineStr">
        <is>
          <t>장내매도(-), 차입(+), 장내매수(+)</t>
        </is>
      </c>
      <c r="H813" s="17" t="n">
        <v>-1482245</v>
      </c>
      <c r="I813" s="6" t="n">
        <v>10065</v>
      </c>
      <c r="J813" s="6" t="n">
        <v>2221015</v>
      </c>
      <c r="K813" s="16" t="n">
        <v>8</v>
      </c>
      <c r="L813" s="2" t="inlineStr">
        <is>
          <t>20260310002920</t>
        </is>
      </c>
      <c r="M813" s="8">
        <f>HYPERLINK("https://dart.fss.or.kr/dsaf001/main.do?rcpNo=20260310002920", "공시열람")</f>
        <v/>
      </c>
    </row>
    <row r="814" ht="22" customHeight="1">
      <c r="A814" s="2" t="inlineStr">
        <is>
          <t>2026-03-10</t>
        </is>
      </c>
      <c r="B814" s="3" t="inlineStr">
        <is>
          <t>KB발해인프라</t>
        </is>
      </c>
      <c r="C814" s="2" t="inlineStr">
        <is>
          <t>415640</t>
        </is>
      </c>
      <c r="D814" s="2" t="inlineStr">
        <is>
          <t>대량보유</t>
        </is>
      </c>
      <c r="E814" s="3" t="inlineStr">
        <is>
          <t>강진두</t>
        </is>
      </c>
      <c r="F814" s="3" t="inlineStr">
        <is>
          <t>특별관계자</t>
        </is>
      </c>
      <c r="G814" s="3" t="inlineStr">
        <is>
          <t>신규선임(+)</t>
        </is>
      </c>
      <c r="H814" s="15" t="n">
        <v>1388</v>
      </c>
      <c r="I814" s="6" t="inlineStr"/>
      <c r="J814" s="6" t="n">
        <v>1388</v>
      </c>
      <c r="K814" s="16" t="n">
        <v>8</v>
      </c>
      <c r="L814" s="2" t="inlineStr">
        <is>
          <t>20260310002920</t>
        </is>
      </c>
      <c r="M814" s="8">
        <f>HYPERLINK("https://dart.fss.or.kr/dsaf001/main.do?rcpNo=20260310002920", "공시열람")</f>
        <v/>
      </c>
    </row>
    <row r="815" ht="22" customHeight="1">
      <c r="A815" s="2" t="inlineStr">
        <is>
          <t>2026-03-10</t>
        </is>
      </c>
      <c r="B815" s="3" t="inlineStr">
        <is>
          <t>KB발해인프라</t>
        </is>
      </c>
      <c r="C815" s="2" t="inlineStr">
        <is>
          <t>415640</t>
        </is>
      </c>
      <c r="D815" s="2" t="inlineStr">
        <is>
          <t>대량보유</t>
        </is>
      </c>
      <c r="E815" s="3" t="inlineStr">
        <is>
          <t>김성현</t>
        </is>
      </c>
      <c r="F815" s="3" t="inlineStr">
        <is>
          <t>특별관계자</t>
        </is>
      </c>
      <c r="G815" s="3" t="inlineStr">
        <is>
          <t>장내매수(+), 임원퇴임(-)</t>
        </is>
      </c>
      <c r="H815" s="17" t="n">
        <v>-42630</v>
      </c>
      <c r="I815" s="6" t="n">
        <v>9324</v>
      </c>
      <c r="J815" s="6" t="n">
        <v>82630</v>
      </c>
      <c r="K815" s="16" t="n">
        <v>8</v>
      </c>
      <c r="L815" s="2" t="inlineStr">
        <is>
          <t>20260310002920</t>
        </is>
      </c>
      <c r="M815" s="8">
        <f>HYPERLINK("https://dart.fss.or.kr/dsaf001/main.do?rcpNo=20260310002920", "공시열람")</f>
        <v/>
      </c>
    </row>
    <row r="816" ht="22" customHeight="1">
      <c r="A816" s="2" t="inlineStr">
        <is>
          <t>2026-03-10</t>
        </is>
      </c>
      <c r="B816" s="3" t="inlineStr">
        <is>
          <t>KB발해인프라</t>
        </is>
      </c>
      <c r="C816" s="2" t="inlineStr">
        <is>
          <t>415640</t>
        </is>
      </c>
      <c r="D816" s="2" t="inlineStr">
        <is>
          <t>대량보유</t>
        </is>
      </c>
      <c r="E816" s="3" t="inlineStr">
        <is>
          <t>조영서</t>
        </is>
      </c>
      <c r="F816" s="3" t="inlineStr">
        <is>
          <t>특별관계자</t>
        </is>
      </c>
      <c r="G816" s="3" t="inlineStr">
        <is>
          <t>신규선임(+)</t>
        </is>
      </c>
      <c r="H816" s="15" t="n">
        <v>1991</v>
      </c>
      <c r="I816" s="6" t="inlineStr"/>
      <c r="J816" s="6" t="n">
        <v>1991</v>
      </c>
      <c r="K816" s="16" t="n">
        <v>8</v>
      </c>
      <c r="L816" s="2" t="inlineStr">
        <is>
          <t>20260310002920</t>
        </is>
      </c>
      <c r="M816" s="8">
        <f>HYPERLINK("https://dart.fss.or.kr/dsaf001/main.do?rcpNo=20260310002920", "공시열람")</f>
        <v/>
      </c>
    </row>
    <row r="817" ht="22" customHeight="1">
      <c r="A817" s="2" t="inlineStr">
        <is>
          <t>2026-03-10</t>
        </is>
      </c>
      <c r="B817" s="3" t="inlineStr">
        <is>
          <t>KB발해인프라</t>
        </is>
      </c>
      <c r="C817" s="2" t="inlineStr">
        <is>
          <t>415640</t>
        </is>
      </c>
      <c r="D817" s="2" t="inlineStr">
        <is>
          <t>대량보유</t>
        </is>
      </c>
      <c r="E817" s="3" t="inlineStr">
        <is>
          <t>구본욱</t>
        </is>
      </c>
      <c r="F817" s="3" t="inlineStr">
        <is>
          <t>특별관계자</t>
        </is>
      </c>
      <c r="G817" s="3" t="inlineStr">
        <is>
          <t>장내매수(+)</t>
        </is>
      </c>
      <c r="H817" s="15" t="n">
        <v>3500</v>
      </c>
      <c r="I817" s="6" t="n">
        <v>9944</v>
      </c>
      <c r="J817" s="6" t="n">
        <v>7500</v>
      </c>
      <c r="K817" s="16" t="n">
        <v>8</v>
      </c>
      <c r="L817" s="2" t="inlineStr">
        <is>
          <t>20260310002920</t>
        </is>
      </c>
      <c r="M817" s="8">
        <f>HYPERLINK("https://dart.fss.or.kr/dsaf001/main.do?rcpNo=20260310002920", "공시열람")</f>
        <v/>
      </c>
    </row>
    <row r="818" ht="22" customHeight="1">
      <c r="A818" s="2" t="inlineStr">
        <is>
          <t>2026-03-10</t>
        </is>
      </c>
      <c r="B818" s="3" t="inlineStr">
        <is>
          <t>에이치브이엠</t>
        </is>
      </c>
      <c r="C818" s="2" t="inlineStr">
        <is>
          <t>295310</t>
        </is>
      </c>
      <c r="D818" s="2" t="inlineStr">
        <is>
          <t>대량보유</t>
        </is>
      </c>
      <c r="E818" s="3" t="inlineStr">
        <is>
          <t>김병환</t>
        </is>
      </c>
      <c r="F818" s="3" t="inlineStr">
        <is>
          <t>특별관계자</t>
        </is>
      </c>
      <c r="G818" s="3" t="inlineStr">
        <is>
          <t>주식매수선택권행사(-), 주식매수선택권행사(+)</t>
        </is>
      </c>
      <c r="H818" s="6" t="inlineStr"/>
      <c r="I818" s="6" t="n">
        <v>12800</v>
      </c>
      <c r="J818" s="6" t="n">
        <v>25000</v>
      </c>
      <c r="K818" s="16" t="n">
        <v>5</v>
      </c>
      <c r="L818" s="2" t="inlineStr">
        <is>
          <t>20260310002909</t>
        </is>
      </c>
      <c r="M818" s="8">
        <f>HYPERLINK("https://dart.fss.or.kr/dsaf001/main.do?rcpNo=20260310002909", "공시열람")</f>
        <v/>
      </c>
    </row>
    <row r="819" ht="22" customHeight="1">
      <c r="A819" s="2" t="inlineStr">
        <is>
          <t>2026-03-10</t>
        </is>
      </c>
      <c r="B819" s="3" t="inlineStr">
        <is>
          <t>아이텍</t>
        </is>
      </c>
      <c r="C819" s="2" t="inlineStr">
        <is>
          <t>119830</t>
        </is>
      </c>
      <c r="D819" s="2" t="inlineStr">
        <is>
          <t>대량보유</t>
        </is>
      </c>
      <c r="E819" s="3" t="inlineStr">
        <is>
          <t>컴파-키움OSAT신기술사업투자조합</t>
        </is>
      </c>
      <c r="F819" s="3" t="inlineStr">
        <is>
          <t>특별관계자</t>
        </is>
      </c>
      <c r="G819" s="3" t="inlineStr">
        <is>
          <t>행사가액조정, 전환등(-), 전환사채의권리행사(+)</t>
        </is>
      </c>
      <c r="H819" s="17" t="n">
        <v>-127367</v>
      </c>
      <c r="I819" s="6" t="n">
        <v>6329</v>
      </c>
      <c r="J819" s="6" t="n">
        <v>473783</v>
      </c>
      <c r="K819" s="16" t="n">
        <v>2</v>
      </c>
      <c r="L819" s="2" t="inlineStr">
        <is>
          <t>20260310002902</t>
        </is>
      </c>
      <c r="M819" s="8">
        <f>HYPERLINK("https://dart.fss.or.kr/dsaf001/main.do?rcpNo=20260310002902", "공시열람")</f>
        <v/>
      </c>
    </row>
    <row r="820" ht="22" customHeight="1">
      <c r="A820" s="2" t="inlineStr">
        <is>
          <t>2026-03-10</t>
        </is>
      </c>
      <c r="B820" s="3" t="inlineStr">
        <is>
          <t>아이텍</t>
        </is>
      </c>
      <c r="C820" s="2" t="inlineStr">
        <is>
          <t>119830</t>
        </is>
      </c>
      <c r="D820" s="2" t="inlineStr">
        <is>
          <t>대량보유</t>
        </is>
      </c>
      <c r="E820" s="3" t="inlineStr">
        <is>
          <t>키움-디에스메자닌블라인드신기술투자조합</t>
        </is>
      </c>
      <c r="F820" s="3" t="inlineStr">
        <is>
          <t>특별관계자</t>
        </is>
      </c>
      <c r="G820" s="3" t="inlineStr">
        <is>
          <t>행사가액조정, 전환등(-), 전환사채의권리행사(+)</t>
        </is>
      </c>
      <c r="H820" s="17" t="n">
        <v>-24852</v>
      </c>
      <c r="I820" s="6" t="n">
        <v>6330</v>
      </c>
      <c r="J820" s="6" t="n">
        <v>126342</v>
      </c>
      <c r="K820" s="16" t="n">
        <v>2</v>
      </c>
      <c r="L820" s="2" t="inlineStr">
        <is>
          <t>20260310002902</t>
        </is>
      </c>
      <c r="M820" s="8">
        <f>HYPERLINK("https://dart.fss.or.kr/dsaf001/main.do?rcpNo=20260310002902", "공시열람")</f>
        <v/>
      </c>
    </row>
    <row r="821" ht="22" customHeight="1">
      <c r="A821" s="2" t="inlineStr">
        <is>
          <t>2026-03-10</t>
        </is>
      </c>
      <c r="B821" s="3" t="inlineStr">
        <is>
          <t>아이텍</t>
        </is>
      </c>
      <c r="C821" s="2" t="inlineStr">
        <is>
          <t>119830</t>
        </is>
      </c>
      <c r="D821" s="2" t="inlineStr">
        <is>
          <t>대량보유</t>
        </is>
      </c>
      <c r="E821" s="3" t="inlineStr">
        <is>
          <t>키움포커스제1호신기술사업투자조합</t>
        </is>
      </c>
      <c r="F821" s="3" t="inlineStr">
        <is>
          <t>특별관계자</t>
        </is>
      </c>
      <c r="G821" s="3" t="inlineStr">
        <is>
          <t>행사가액조정</t>
        </is>
      </c>
      <c r="H821" s="17" t="n">
        <v>-18639</v>
      </c>
      <c r="I821" s="6" t="n">
        <v>6310</v>
      </c>
      <c r="J821" s="6" t="n">
        <v>189513</v>
      </c>
      <c r="K821" s="16" t="n">
        <v>2</v>
      </c>
      <c r="L821" s="2" t="inlineStr">
        <is>
          <t>20260310002902</t>
        </is>
      </c>
      <c r="M821" s="8">
        <f>HYPERLINK("https://dart.fss.or.kr/dsaf001/main.do?rcpNo=20260310002902", "공시열람")</f>
        <v/>
      </c>
    </row>
    <row r="822" ht="22" customHeight="1">
      <c r="A822" s="2" t="inlineStr">
        <is>
          <t>2026-03-10</t>
        </is>
      </c>
      <c r="B822" s="3" t="inlineStr">
        <is>
          <t>DB하이텍</t>
        </is>
      </c>
      <c r="C822" s="2" t="inlineStr">
        <is>
          <t>000990</t>
        </is>
      </c>
      <c r="D822" s="2" t="inlineStr">
        <is>
          <t>임원보고</t>
        </is>
      </c>
      <c r="E822" s="3" t="inlineStr">
        <is>
          <t>-</t>
        </is>
      </c>
      <c r="F822" s="3" t="inlineStr">
        <is>
          <t>-</t>
        </is>
      </c>
      <c r="G822" s="3" t="inlineStr">
        <is>
          <t>-</t>
        </is>
      </c>
      <c r="H822" s="6" t="inlineStr"/>
      <c r="I822" s="6" t="inlineStr"/>
      <c r="J822" s="6" t="inlineStr"/>
      <c r="K822" s="16" t="n">
        <v>12</v>
      </c>
      <c r="L822" s="2" t="inlineStr">
        <is>
          <t>20260310801560</t>
        </is>
      </c>
      <c r="M822" s="8">
        <f>HYPERLINK("https://dart.fss.or.kr/dsaf001/main.do?rcpNo=20260310801560", "공시열람")</f>
        <v/>
      </c>
    </row>
    <row r="823" ht="22" customHeight="1">
      <c r="A823" s="2" t="inlineStr">
        <is>
          <t>2026-03-10</t>
        </is>
      </c>
      <c r="B823" s="3" t="inlineStr">
        <is>
          <t>SK이터닉스</t>
        </is>
      </c>
      <c r="C823" s="2" t="inlineStr">
        <is>
          <t>475150</t>
        </is>
      </c>
      <c r="D823" s="2" t="inlineStr">
        <is>
          <t>대량보유</t>
        </is>
      </c>
      <c r="E823" s="3" t="inlineStr">
        <is>
          <t>에스케이디스커버리㈜</t>
        </is>
      </c>
      <c r="F823" s="3" t="inlineStr">
        <is>
          <t>특별관계자</t>
        </is>
      </c>
      <c r="G823" s="3" t="inlineStr">
        <is>
          <t>- 특별관계자의 주식매수선택권 행사(신주교부형)</t>
        </is>
      </c>
      <c r="H823" s="6" t="inlineStr"/>
      <c r="I823" s="6" t="inlineStr"/>
      <c r="J823" s="6" t="n">
        <v>10455825</v>
      </c>
      <c r="K823" s="16" t="n">
        <v>7</v>
      </c>
      <c r="L823" s="2" t="inlineStr">
        <is>
          <t>20260310002881</t>
        </is>
      </c>
      <c r="M823" s="8">
        <f>HYPERLINK("https://dart.fss.or.kr/dsaf001/main.do?rcpNo=20260310002881", "공시열람")</f>
        <v/>
      </c>
    </row>
    <row r="824" ht="22" customHeight="1">
      <c r="A824" s="2" t="inlineStr">
        <is>
          <t>2026-03-10</t>
        </is>
      </c>
      <c r="B824" s="3" t="inlineStr">
        <is>
          <t>SK이터닉스</t>
        </is>
      </c>
      <c r="C824" s="2" t="inlineStr">
        <is>
          <t>475150</t>
        </is>
      </c>
      <c r="D824" s="2" t="inlineStr">
        <is>
          <t>대량보유</t>
        </is>
      </c>
      <c r="E824" s="3" t="inlineStr">
        <is>
          <t>김도현</t>
        </is>
      </c>
      <c r="F824" s="3" t="inlineStr">
        <is>
          <t>특별관계자</t>
        </is>
      </c>
      <c r="G824" s="3" t="inlineStr">
        <is>
          <t>주식매수선택권행사(-), 주식매수선택권행사(+)</t>
        </is>
      </c>
      <c r="H824" s="6" t="inlineStr"/>
      <c r="I824" s="6" t="n">
        <v>5030</v>
      </c>
      <c r="J824" s="6" t="n">
        <v>196738</v>
      </c>
      <c r="K824" s="16" t="n">
        <v>7</v>
      </c>
      <c r="L824" s="2" t="inlineStr">
        <is>
          <t>20260310002881</t>
        </is>
      </c>
      <c r="M824" s="8">
        <f>HYPERLINK("https://dart.fss.or.kr/dsaf001/main.do?rcpNo=20260310002881", "공시열람")</f>
        <v/>
      </c>
    </row>
    <row r="825" ht="22" customHeight="1">
      <c r="A825" s="2" t="inlineStr">
        <is>
          <t>2026-03-10</t>
        </is>
      </c>
      <c r="B825" s="3" t="inlineStr">
        <is>
          <t>SK이터닉스</t>
        </is>
      </c>
      <c r="C825" s="2" t="inlineStr">
        <is>
          <t>475150</t>
        </is>
      </c>
      <c r="D825" s="2" t="inlineStr">
        <is>
          <t>대량보유</t>
        </is>
      </c>
      <c r="E825" s="3" t="inlineStr">
        <is>
          <t>한앤코더블유피홀딩스유한회사</t>
        </is>
      </c>
      <c r="F825" s="3" t="inlineStr">
        <is>
          <t>특별관계자</t>
        </is>
      </c>
      <c r="G825" s="3" t="inlineStr">
        <is>
          <t>- 특별관계자의 주식매수선택권 행사(신주교부형)</t>
        </is>
      </c>
      <c r="H825" s="6" t="inlineStr"/>
      <c r="I825" s="6" t="inlineStr"/>
      <c r="J825" s="6" t="n">
        <v>4225455</v>
      </c>
      <c r="K825" s="16" t="n">
        <v>7</v>
      </c>
      <c r="L825" s="2" t="inlineStr">
        <is>
          <t>20260310002881</t>
        </is>
      </c>
      <c r="M825" s="8">
        <f>HYPERLINK("https://dart.fss.or.kr/dsaf001/main.do?rcpNo=20260310002881", "공시열람")</f>
        <v/>
      </c>
    </row>
    <row r="826" ht="22" customHeight="1">
      <c r="A826" s="2" t="inlineStr">
        <is>
          <t>2026-03-10</t>
        </is>
      </c>
      <c r="B826" s="3" t="inlineStr">
        <is>
          <t>알체라</t>
        </is>
      </c>
      <c r="C826" s="2" t="inlineStr">
        <is>
          <t>347860</t>
        </is>
      </c>
      <c r="D826" s="2" t="inlineStr">
        <is>
          <t>대량보유</t>
        </is>
      </c>
      <c r="E826" s="3" t="inlineStr">
        <is>
          <t>황영규</t>
        </is>
      </c>
      <c r="F826" s="3" t="inlineStr">
        <is>
          <t>특별관계자</t>
        </is>
      </c>
      <c r="G826" s="3" t="inlineStr">
        <is>
          <t>장내매수(+)</t>
        </is>
      </c>
      <c r="H826" s="15" t="n">
        <v>32000</v>
      </c>
      <c r="I826" s="6" t="n">
        <v>1540</v>
      </c>
      <c r="J826" s="6" t="n">
        <v>3035352</v>
      </c>
      <c r="K826" s="16" t="n">
        <v>5</v>
      </c>
      <c r="L826" s="2" t="inlineStr">
        <is>
          <t>20260310002865</t>
        </is>
      </c>
      <c r="M826" s="8">
        <f>HYPERLINK("https://dart.fss.or.kr/dsaf001/main.do?rcpNo=20260310002865", "공시열람")</f>
        <v/>
      </c>
    </row>
    <row r="827" ht="22" customHeight="1">
      <c r="A827" s="2" t="inlineStr">
        <is>
          <t>2026-03-10</t>
        </is>
      </c>
      <c r="B827" s="3" t="inlineStr">
        <is>
          <t>이랜텍</t>
        </is>
      </c>
      <c r="C827" s="2" t="inlineStr">
        <is>
          <t>054210</t>
        </is>
      </c>
      <c r="D827" s="2" t="inlineStr">
        <is>
          <t>대량보유</t>
        </is>
      </c>
      <c r="E827" s="3" t="inlineStr">
        <is>
          <t>이해성</t>
        </is>
      </c>
      <c r="F827" s="3" t="inlineStr">
        <is>
          <t>보고자</t>
        </is>
      </c>
      <c r="G827" s="3" t="inlineStr">
        <is>
          <t>보유주식등에 관한 계약의 체결</t>
        </is>
      </c>
      <c r="H827" s="6" t="inlineStr"/>
      <c r="I827" s="6" t="inlineStr"/>
      <c r="J827" s="6" t="n">
        <v>9647744</v>
      </c>
      <c r="K827" s="16" t="n">
        <v>9</v>
      </c>
      <c r="L827" s="2" t="inlineStr">
        <is>
          <t>20260310002862</t>
        </is>
      </c>
      <c r="M827" s="8">
        <f>HYPERLINK("https://dart.fss.or.kr/dsaf001/main.do?rcpNo=20260310002862", "공시열람")</f>
        <v/>
      </c>
    </row>
    <row r="828" ht="22" customHeight="1">
      <c r="A828" s="2" t="inlineStr">
        <is>
          <t>2026-03-10</t>
        </is>
      </c>
      <c r="B828" s="3" t="inlineStr">
        <is>
          <t>코디</t>
        </is>
      </c>
      <c r="C828" s="2" t="inlineStr">
        <is>
          <t>080530</t>
        </is>
      </c>
      <c r="D828" s="2" t="inlineStr">
        <is>
          <t>대량보유</t>
        </is>
      </c>
      <c r="E828" s="3" t="inlineStr">
        <is>
          <t>구자형</t>
        </is>
      </c>
      <c r="F828" s="3" t="inlineStr">
        <is>
          <t>특별관계자</t>
        </is>
      </c>
      <c r="G828" s="3" t="inlineStr">
        <is>
          <t>장내매도(-)</t>
        </is>
      </c>
      <c r="H828" s="17" t="n">
        <v>-173215</v>
      </c>
      <c r="I828" s="6" t="n">
        <v>1037</v>
      </c>
      <c r="J828" s="6" t="n">
        <v>722744</v>
      </c>
      <c r="K828" s="16" t="n">
        <v>7</v>
      </c>
      <c r="L828" s="2" t="inlineStr">
        <is>
          <t>20260310002852</t>
        </is>
      </c>
      <c r="M828" s="8">
        <f>HYPERLINK("https://dart.fss.or.kr/dsaf001/main.do?rcpNo=20260310002852", "공시열람")</f>
        <v/>
      </c>
    </row>
    <row r="829" ht="22" customHeight="1">
      <c r="A829" s="2" t="inlineStr">
        <is>
          <t>2026-03-10</t>
        </is>
      </c>
      <c r="B829" s="3" t="inlineStr">
        <is>
          <t>코디</t>
        </is>
      </c>
      <c r="C829" s="2" t="inlineStr">
        <is>
          <t>080530</t>
        </is>
      </c>
      <c r="D829" s="2" t="inlineStr">
        <is>
          <t>대량보유</t>
        </is>
      </c>
      <c r="E829" s="3" t="inlineStr">
        <is>
          <t>구본영</t>
        </is>
      </c>
      <c r="F829" s="3" t="inlineStr">
        <is>
          <t>특별관계자</t>
        </is>
      </c>
      <c r="G829" s="3" t="inlineStr">
        <is>
          <t>장내매도(-)</t>
        </is>
      </c>
      <c r="H829" s="17" t="n">
        <v>-171300</v>
      </c>
      <c r="I829" s="6" t="n">
        <v>1038</v>
      </c>
      <c r="J829" s="6" t="n">
        <v>45944</v>
      </c>
      <c r="K829" s="16" t="n">
        <v>7</v>
      </c>
      <c r="L829" s="2" t="inlineStr">
        <is>
          <t>20260310002852</t>
        </is>
      </c>
      <c r="M829" s="8">
        <f>HYPERLINK("https://dart.fss.or.kr/dsaf001/main.do?rcpNo=20260310002852", "공시열람")</f>
        <v/>
      </c>
    </row>
    <row r="830" ht="22" customHeight="1">
      <c r="A830" s="2" t="inlineStr">
        <is>
          <t>2026-03-10</t>
        </is>
      </c>
      <c r="B830" s="3" t="inlineStr">
        <is>
          <t>코디</t>
        </is>
      </c>
      <c r="C830" s="2" t="inlineStr">
        <is>
          <t>080530</t>
        </is>
      </c>
      <c r="D830" s="2" t="inlineStr">
        <is>
          <t>대량보유</t>
        </is>
      </c>
      <c r="E830" s="3" t="inlineStr">
        <is>
          <t>구혜민</t>
        </is>
      </c>
      <c r="F830" s="3" t="inlineStr">
        <is>
          <t>특별관계자</t>
        </is>
      </c>
      <c r="G830" s="3" t="inlineStr">
        <is>
          <t>장내매도(-)</t>
        </is>
      </c>
      <c r="H830" s="17" t="n">
        <v>-171400</v>
      </c>
      <c r="I830" s="6" t="n">
        <v>1023</v>
      </c>
      <c r="J830" s="6" t="n">
        <v>34438</v>
      </c>
      <c r="K830" s="16" t="n">
        <v>7</v>
      </c>
      <c r="L830" s="2" t="inlineStr">
        <is>
          <t>20260310002852</t>
        </is>
      </c>
      <c r="M830" s="8">
        <f>HYPERLINK("https://dart.fss.or.kr/dsaf001/main.do?rcpNo=20260310002852", "공시열람")</f>
        <v/>
      </c>
    </row>
    <row r="831" ht="22" customHeight="1">
      <c r="A831" s="2" t="inlineStr">
        <is>
          <t>2026-03-10</t>
        </is>
      </c>
      <c r="B831" s="3" t="inlineStr">
        <is>
          <t>코디</t>
        </is>
      </c>
      <c r="C831" s="2" t="inlineStr">
        <is>
          <t>080530</t>
        </is>
      </c>
      <c r="D831" s="2" t="inlineStr">
        <is>
          <t>대량보유</t>
        </is>
      </c>
      <c r="E831" s="3" t="inlineStr">
        <is>
          <t>구혜진</t>
        </is>
      </c>
      <c r="F831" s="3" t="inlineStr">
        <is>
          <t>특별관계자</t>
        </is>
      </c>
      <c r="G831" s="3" t="inlineStr">
        <is>
          <t>장내매도(-)</t>
        </is>
      </c>
      <c r="H831" s="17" t="n">
        <v>-171430</v>
      </c>
      <c r="I831" s="6" t="n">
        <v>1018</v>
      </c>
      <c r="J831" s="6" t="n">
        <v>107140</v>
      </c>
      <c r="K831" s="16" t="n">
        <v>7</v>
      </c>
      <c r="L831" s="2" t="inlineStr">
        <is>
          <t>20260310002852</t>
        </is>
      </c>
      <c r="M831" s="8">
        <f>HYPERLINK("https://dart.fss.or.kr/dsaf001/main.do?rcpNo=20260310002852", "공시열람")</f>
        <v/>
      </c>
    </row>
    <row r="832" ht="22" customHeight="1">
      <c r="A832" s="2" t="inlineStr">
        <is>
          <t>2026-03-10</t>
        </is>
      </c>
      <c r="B832" s="3" t="inlineStr">
        <is>
          <t>엑스큐어</t>
        </is>
      </c>
      <c r="C832" s="2" t="inlineStr">
        <is>
          <t>070300</t>
        </is>
      </c>
      <c r="D832" s="2" t="inlineStr">
        <is>
          <t>대량보유</t>
        </is>
      </c>
      <c r="E832" s="3" t="inlineStr">
        <is>
          <t>(주)오션인더블유</t>
        </is>
      </c>
      <c r="F832" s="3" t="inlineStr">
        <is>
          <t>특별관계자</t>
        </is>
      </c>
      <c r="G832" s="3" t="inlineStr">
        <is>
          <t>기타(-), 기타(+)</t>
        </is>
      </c>
      <c r="H832" s="17" t="n">
        <v>-1221682</v>
      </c>
      <c r="I832" s="6" t="n">
        <v>656</v>
      </c>
      <c r="J832" s="6" t="n">
        <v>3422330</v>
      </c>
      <c r="K832" s="16" t="n">
        <v>5</v>
      </c>
      <c r="L832" s="2" t="inlineStr">
        <is>
          <t>20260310002848</t>
        </is>
      </c>
      <c r="M832" s="8">
        <f>HYPERLINK("https://dart.fss.or.kr/dsaf001/main.do?rcpNo=20260310002848", "공시열람")</f>
        <v/>
      </c>
    </row>
    <row r="833" ht="22" customHeight="1">
      <c r="A833" s="2" t="inlineStr">
        <is>
          <t>2026-03-10</t>
        </is>
      </c>
      <c r="B833" s="3" t="inlineStr">
        <is>
          <t>엑스큐어</t>
        </is>
      </c>
      <c r="C833" s="2" t="inlineStr">
        <is>
          <t>070300</t>
        </is>
      </c>
      <c r="D833" s="2" t="inlineStr">
        <is>
          <t>대량보유</t>
        </is>
      </c>
      <c r="E833" s="3" t="inlineStr">
        <is>
          <t>원성준</t>
        </is>
      </c>
      <c r="F833" s="3" t="inlineStr">
        <is>
          <t>특별관계자</t>
        </is>
      </c>
      <c r="G833" s="3" t="inlineStr">
        <is>
          <t>기타(-), 기타(+)</t>
        </is>
      </c>
      <c r="H833" s="17" t="n">
        <v>-1119709</v>
      </c>
      <c r="I833" s="6" t="n">
        <v>655</v>
      </c>
      <c r="J833" s="6" t="n">
        <v>3111682</v>
      </c>
      <c r="K833" s="16" t="n">
        <v>5</v>
      </c>
      <c r="L833" s="2" t="inlineStr">
        <is>
          <t>20260310002848</t>
        </is>
      </c>
      <c r="M833" s="8">
        <f>HYPERLINK("https://dart.fss.or.kr/dsaf001/main.do?rcpNo=20260310002848", "공시열람")</f>
        <v/>
      </c>
    </row>
    <row r="834" ht="22" customHeight="1">
      <c r="A834" s="2" t="inlineStr">
        <is>
          <t>2026-03-10</t>
        </is>
      </c>
      <c r="B834" s="3" t="inlineStr">
        <is>
          <t>엑스큐어</t>
        </is>
      </c>
      <c r="C834" s="2" t="inlineStr">
        <is>
          <t>070300</t>
        </is>
      </c>
      <c r="D834" s="2" t="inlineStr">
        <is>
          <t>대량보유</t>
        </is>
      </c>
      <c r="E834" s="3" t="inlineStr">
        <is>
          <t>정영진</t>
        </is>
      </c>
      <c r="F834" s="3" t="inlineStr">
        <is>
          <t>특별관계자</t>
        </is>
      </c>
      <c r="G834" s="3" t="inlineStr">
        <is>
          <t>기타(-), 기타(+)</t>
        </is>
      </c>
      <c r="H834" s="17" t="n">
        <v>-53430</v>
      </c>
      <c r="I834" s="6" t="n">
        <v>643</v>
      </c>
      <c r="J834" s="6" t="n">
        <v>132653</v>
      </c>
      <c r="K834" s="16" t="n">
        <v>5</v>
      </c>
      <c r="L834" s="2" t="inlineStr">
        <is>
          <t>20260310002848</t>
        </is>
      </c>
      <c r="M834" s="8">
        <f>HYPERLINK("https://dart.fss.or.kr/dsaf001/main.do?rcpNo=20260310002848", "공시열람")</f>
        <v/>
      </c>
    </row>
    <row r="835" ht="22" customHeight="1">
      <c r="A835" s="2" t="inlineStr">
        <is>
          <t>2026-03-10</t>
        </is>
      </c>
      <c r="B835" s="3" t="inlineStr">
        <is>
          <t>엑스큐어</t>
        </is>
      </c>
      <c r="C835" s="2" t="inlineStr">
        <is>
          <t>070300</t>
        </is>
      </c>
      <c r="D835" s="2" t="inlineStr">
        <is>
          <t>대량보유</t>
        </is>
      </c>
      <c r="E835" s="3" t="inlineStr">
        <is>
          <t>하이츠투자조합</t>
        </is>
      </c>
      <c r="F835" s="3" t="inlineStr">
        <is>
          <t>특별관계자</t>
        </is>
      </c>
      <c r="G835" s="3" t="inlineStr">
        <is>
          <t>기타(+), 장외매도(-), 기타(-)</t>
        </is>
      </c>
      <c r="H835" s="17" t="n">
        <v>-1</v>
      </c>
      <c r="I835" s="6" t="n">
        <v>772</v>
      </c>
      <c r="J835" s="6" t="inlineStr"/>
      <c r="K835" s="16" t="n">
        <v>5</v>
      </c>
      <c r="L835" s="2" t="inlineStr">
        <is>
          <t>20260310002848</t>
        </is>
      </c>
      <c r="M835" s="8">
        <f>HYPERLINK("https://dart.fss.or.kr/dsaf001/main.do?rcpNo=20260310002848", "공시열람")</f>
        <v/>
      </c>
    </row>
    <row r="836" ht="22" customHeight="1">
      <c r="A836" s="2" t="inlineStr">
        <is>
          <t>2026-03-10</t>
        </is>
      </c>
      <c r="B836" s="3" t="inlineStr">
        <is>
          <t>엑스큐어</t>
        </is>
      </c>
      <c r="C836" s="2" t="inlineStr">
        <is>
          <t>070300</t>
        </is>
      </c>
      <c r="D836" s="2" t="inlineStr">
        <is>
          <t>대량보유</t>
        </is>
      </c>
      <c r="E836" s="3" t="inlineStr">
        <is>
          <t>돌핀에이아이투자조합</t>
        </is>
      </c>
      <c r="F836" s="3" t="inlineStr">
        <is>
          <t>특별관계자</t>
        </is>
      </c>
      <c r="G836" s="3" t="inlineStr">
        <is>
          <t>기타(+), 장외매도(-), 기타(-)</t>
        </is>
      </c>
      <c r="H836" s="6" t="inlineStr"/>
      <c r="I836" s="6" t="n">
        <v>772</v>
      </c>
      <c r="J836" s="6" t="n">
        <v>1</v>
      </c>
      <c r="K836" s="16" t="n">
        <v>5</v>
      </c>
      <c r="L836" s="2" t="inlineStr">
        <is>
          <t>20260310002848</t>
        </is>
      </c>
      <c r="M836" s="8">
        <f>HYPERLINK("https://dart.fss.or.kr/dsaf001/main.do?rcpNo=20260310002848", "공시열람")</f>
        <v/>
      </c>
    </row>
    <row r="837" ht="22" customHeight="1">
      <c r="A837" s="2" t="inlineStr">
        <is>
          <t>2026-03-10</t>
        </is>
      </c>
      <c r="B837" s="3" t="inlineStr">
        <is>
          <t>엠투엔</t>
        </is>
      </c>
      <c r="C837" s="2" t="inlineStr">
        <is>
          <t>033310</t>
        </is>
      </c>
      <c r="D837" s="2" t="inlineStr">
        <is>
          <t>대량보유</t>
        </is>
      </c>
      <c r="E837" s="3" t="inlineStr">
        <is>
          <t>(주)디케이마린</t>
        </is>
      </c>
      <c r="F837" s="3" t="inlineStr">
        <is>
          <t>보고자</t>
        </is>
      </c>
      <c r="G837" s="3" t="inlineStr">
        <is>
          <t>주식담보차입 연장 및 담보추가제공</t>
        </is>
      </c>
      <c r="H837" s="6" t="inlineStr"/>
      <c r="I837" s="6" t="inlineStr"/>
      <c r="J837" s="6" t="n">
        <v>15048583</v>
      </c>
      <c r="K837" s="16" t="n">
        <v>3</v>
      </c>
      <c r="L837" s="2" t="inlineStr">
        <is>
          <t>20260310002846</t>
        </is>
      </c>
      <c r="M837" s="8">
        <f>HYPERLINK("https://dart.fss.or.kr/dsaf001/main.do?rcpNo=20260310002846", "공시열람")</f>
        <v/>
      </c>
    </row>
    <row r="838" ht="22" customHeight="1">
      <c r="A838" s="2" t="inlineStr">
        <is>
          <t>2026-03-10</t>
        </is>
      </c>
      <c r="B838" s="3" t="inlineStr">
        <is>
          <t>온타이드</t>
        </is>
      </c>
      <c r="C838" s="2" t="inlineStr">
        <is>
          <t>005320</t>
        </is>
      </c>
      <c r="D838" s="2" t="inlineStr">
        <is>
          <t>대량보유</t>
        </is>
      </c>
      <c r="E838" s="3" t="inlineStr">
        <is>
          <t>(주)크리스에프앤씨</t>
        </is>
      </c>
      <c r="F838" s="3" t="inlineStr">
        <is>
          <t>특별관계자</t>
        </is>
      </c>
      <c r="G838" s="3" t="inlineStr">
        <is>
          <t>장외매도(-)</t>
        </is>
      </c>
      <c r="H838" s="17" t="n">
        <v>-30809824</v>
      </c>
      <c r="I838" s="6" t="n">
        <v>1255</v>
      </c>
      <c r="J838" s="6" t="inlineStr"/>
      <c r="K838" s="16" t="n">
        <v>1</v>
      </c>
      <c r="L838" s="2" t="inlineStr">
        <is>
          <t>20260310002823</t>
        </is>
      </c>
      <c r="M838" s="8">
        <f>HYPERLINK("https://dart.fss.or.kr/dsaf001/main.do?rcpNo=20260310002823", "공시열람")</f>
        <v/>
      </c>
    </row>
    <row r="839" ht="22" customHeight="1">
      <c r="A839" s="2" t="inlineStr">
        <is>
          <t>2026-03-10</t>
        </is>
      </c>
      <c r="B839" s="3" t="inlineStr">
        <is>
          <t>온타이드</t>
        </is>
      </c>
      <c r="C839" s="2" t="inlineStr">
        <is>
          <t>005320</t>
        </is>
      </c>
      <c r="D839" s="2" t="inlineStr">
        <is>
          <t>대량보유</t>
        </is>
      </c>
      <c r="E839" s="3" t="inlineStr">
        <is>
          <t>우진석</t>
        </is>
      </c>
      <c r="F839" s="3" t="inlineStr">
        <is>
          <t>특별관계자</t>
        </is>
      </c>
      <c r="G839" s="3" t="inlineStr">
        <is>
          <t>장외매도(-)</t>
        </is>
      </c>
      <c r="H839" s="17" t="n">
        <v>-43000</v>
      </c>
      <c r="I839" s="6" t="n">
        <v>1340</v>
      </c>
      <c r="J839" s="6" t="inlineStr"/>
      <c r="K839" s="16" t="n">
        <v>1</v>
      </c>
      <c r="L839" s="2" t="inlineStr">
        <is>
          <t>20260310002823</t>
        </is>
      </c>
      <c r="M839" s="8">
        <f>HYPERLINK("https://dart.fss.or.kr/dsaf001/main.do?rcpNo=20260310002823", "공시열람")</f>
        <v/>
      </c>
    </row>
    <row r="840" ht="22" customHeight="1">
      <c r="A840" s="2" t="inlineStr">
        <is>
          <t>2026-03-10 (정정: 2026-05-29)</t>
        </is>
      </c>
      <c r="B840" s="3" t="inlineStr">
        <is>
          <t>지아이이노베이션</t>
        </is>
      </c>
      <c r="C840" s="2" t="inlineStr">
        <is>
          <t>358570</t>
        </is>
      </c>
      <c r="D840" s="2" t="inlineStr">
        <is>
          <t>대량보유</t>
        </is>
      </c>
      <c r="E840" s="3" t="inlineStr">
        <is>
          <t>-</t>
        </is>
      </c>
      <c r="F840" s="3" t="inlineStr">
        <is>
          <t>보고자</t>
        </is>
      </c>
      <c r="G840" s="3" t="inlineStr">
        <is>
          <t>-</t>
        </is>
      </c>
      <c r="H840" s="6" t="inlineStr"/>
      <c r="I840" s="6" t="inlineStr"/>
      <c r="J840" s="6" t="inlineStr"/>
      <c r="K840" s="18" t="inlineStr"/>
      <c r="L840" s="2" t="inlineStr">
        <is>
          <t>20260529902134</t>
        </is>
      </c>
      <c r="M840" s="8">
        <f>HYPERLINK("https://dart.fss.or.kr/dsaf001/main.do?rcpNo=20260529902134", "공시열람")</f>
        <v/>
      </c>
    </row>
    <row r="841" ht="22" customHeight="1">
      <c r="A841" s="2" t="inlineStr">
        <is>
          <t>2026-03-10</t>
        </is>
      </c>
      <c r="B841" s="3" t="inlineStr">
        <is>
          <t>헝셩그룹</t>
        </is>
      </c>
      <c r="C841" s="2" t="inlineStr">
        <is>
          <t>900270</t>
        </is>
      </c>
      <c r="D841" s="2" t="inlineStr">
        <is>
          <t>대량보유</t>
        </is>
      </c>
      <c r="E841" s="3" t="inlineStr">
        <is>
          <t>후이훙위엔</t>
        </is>
      </c>
      <c r="F841" s="3" t="inlineStr">
        <is>
          <t>특별관계자</t>
        </is>
      </c>
      <c r="G841" s="3" t="inlineStr">
        <is>
          <t>주식병합</t>
        </is>
      </c>
      <c r="H841" s="17" t="n">
        <v>-58500000</v>
      </c>
      <c r="I841" s="6" t="inlineStr"/>
      <c r="J841" s="6" t="n">
        <v>6500000</v>
      </c>
      <c r="K841" s="16" t="n">
        <v>2</v>
      </c>
      <c r="L841" s="2" t="inlineStr">
        <is>
          <t>20260310002793</t>
        </is>
      </c>
      <c r="M841" s="8">
        <f>HYPERLINK("https://dart.fss.or.kr/dsaf001/main.do?rcpNo=20260310002793", "공시열람")</f>
        <v/>
      </c>
    </row>
    <row r="842" ht="22" customHeight="1">
      <c r="A842" s="2" t="inlineStr">
        <is>
          <t>2026-03-10</t>
        </is>
      </c>
      <c r="B842" s="3" t="inlineStr">
        <is>
          <t>헝셩그룹</t>
        </is>
      </c>
      <c r="C842" s="2" t="inlineStr">
        <is>
          <t>900270</t>
        </is>
      </c>
      <c r="D842" s="2" t="inlineStr">
        <is>
          <t>대량보유</t>
        </is>
      </c>
      <c r="E842" s="3" t="inlineStr">
        <is>
          <t>후이만킷</t>
        </is>
      </c>
      <c r="F842" s="3" t="inlineStr">
        <is>
          <t>특별관계자</t>
        </is>
      </c>
      <c r="G842" s="3" t="inlineStr">
        <is>
          <t>주식병합</t>
        </is>
      </c>
      <c r="H842" s="17" t="n">
        <v>-15960042</v>
      </c>
      <c r="I842" s="6" t="inlineStr"/>
      <c r="J842" s="6" t="n">
        <v>1773338</v>
      </c>
      <c r="K842" s="16" t="n">
        <v>2</v>
      </c>
      <c r="L842" s="2" t="inlineStr">
        <is>
          <t>20260310002793</t>
        </is>
      </c>
      <c r="M842" s="8">
        <f>HYPERLINK("https://dart.fss.or.kr/dsaf001/main.do?rcpNo=20260310002793", "공시열람")</f>
        <v/>
      </c>
    </row>
    <row r="843" ht="22" customHeight="1">
      <c r="A843" s="2" t="inlineStr">
        <is>
          <t>2026-03-10</t>
        </is>
      </c>
      <c r="B843" s="3" t="inlineStr">
        <is>
          <t>헝셩그룹</t>
        </is>
      </c>
      <c r="C843" s="2" t="inlineStr">
        <is>
          <t>900270</t>
        </is>
      </c>
      <c r="D843" s="2" t="inlineStr">
        <is>
          <t>대량보유</t>
        </is>
      </c>
      <c r="E843" s="3" t="inlineStr">
        <is>
          <t>후이훙룬</t>
        </is>
      </c>
      <c r="F843" s="3" t="inlineStr">
        <is>
          <t>특별관계자</t>
        </is>
      </c>
      <c r="G843" s="3" t="inlineStr">
        <is>
          <t>주식병합</t>
        </is>
      </c>
      <c r="H843" s="17" t="n">
        <v>-9000000</v>
      </c>
      <c r="I843" s="6" t="inlineStr"/>
      <c r="J843" s="6" t="n">
        <v>1000000</v>
      </c>
      <c r="K843" s="16" t="n">
        <v>2</v>
      </c>
      <c r="L843" s="2" t="inlineStr">
        <is>
          <t>20260310002793</t>
        </is>
      </c>
      <c r="M843" s="8">
        <f>HYPERLINK("https://dart.fss.or.kr/dsaf001/main.do?rcpNo=20260310002793", "공시열람")</f>
        <v/>
      </c>
    </row>
    <row r="844" ht="22" customHeight="1">
      <c r="A844" s="2" t="inlineStr">
        <is>
          <t>2026-03-10</t>
        </is>
      </c>
      <c r="B844" s="3" t="inlineStr">
        <is>
          <t>포커스에이아이</t>
        </is>
      </c>
      <c r="C844" s="2" t="inlineStr">
        <is>
          <t>331380</t>
        </is>
      </c>
      <c r="D844" s="2" t="inlineStr">
        <is>
          <t>대량보유</t>
        </is>
      </c>
      <c r="E844" s="3" t="inlineStr">
        <is>
          <t>(주)상상인플러스저축은행</t>
        </is>
      </c>
      <c r="F844" s="3" t="inlineStr">
        <is>
          <t>특별관계자</t>
        </is>
      </c>
      <c r="G844" s="3" t="inlineStr">
        <is>
          <t>행사가액조정, 전환등(-), 전환사채의권리행사(+), 장내매도(-)</t>
        </is>
      </c>
      <c r="H844" s="17" t="n">
        <v>-548577</v>
      </c>
      <c r="I844" s="6" t="n">
        <v>2521</v>
      </c>
      <c r="J844" s="6" t="n">
        <v>1843119</v>
      </c>
      <c r="K844" s="16" t="n">
        <v>3</v>
      </c>
      <c r="L844" s="2" t="inlineStr">
        <is>
          <t>20260310002787</t>
        </is>
      </c>
      <c r="M844" s="8">
        <f>HYPERLINK("https://dart.fss.or.kr/dsaf001/main.do?rcpNo=20260310002787", "공시열람")</f>
        <v/>
      </c>
    </row>
    <row r="845" ht="22" customHeight="1">
      <c r="A845" s="2" t="inlineStr">
        <is>
          <t>2026-03-10</t>
        </is>
      </c>
      <c r="B845" s="3" t="inlineStr">
        <is>
          <t>포커스에이아이</t>
        </is>
      </c>
      <c r="C845" s="2" t="inlineStr">
        <is>
          <t>331380</t>
        </is>
      </c>
      <c r="D845" s="2" t="inlineStr">
        <is>
          <t>대량보유</t>
        </is>
      </c>
      <c r="E845" s="3" t="inlineStr">
        <is>
          <t>(주)상상인저축은행</t>
        </is>
      </c>
      <c r="F845" s="3" t="inlineStr">
        <is>
          <t>특별관계자</t>
        </is>
      </c>
      <c r="G845" s="3" t="inlineStr">
        <is>
          <t>담보주식처분권보유, 행사가액조정, 전환등(-), 전환사채의권리행사(+), 장내매도(-)</t>
        </is>
      </c>
      <c r="H845" s="17" t="n">
        <v>-386679</v>
      </c>
      <c r="I845" s="6" t="n">
        <v>2550</v>
      </c>
      <c r="J845" s="6" t="n">
        <v>642201</v>
      </c>
      <c r="K845" s="16" t="n">
        <v>3</v>
      </c>
      <c r="L845" s="2" t="inlineStr">
        <is>
          <t>20260310002787</t>
        </is>
      </c>
      <c r="M845" s="8">
        <f>HYPERLINK("https://dart.fss.or.kr/dsaf001/main.do?rcpNo=20260310002787", "공시열람")</f>
        <v/>
      </c>
    </row>
    <row r="846" ht="22" customHeight="1">
      <c r="A846" s="2" t="inlineStr">
        <is>
          <t>2026-03-10</t>
        </is>
      </c>
      <c r="B846" s="3" t="inlineStr">
        <is>
          <t>포커스에이아이</t>
        </is>
      </c>
      <c r="C846" s="2" t="inlineStr">
        <is>
          <t>331380</t>
        </is>
      </c>
      <c r="D846" s="2" t="inlineStr">
        <is>
          <t>대량보유</t>
        </is>
      </c>
      <c r="E846" s="3" t="inlineStr">
        <is>
          <t>(주)상상인증권</t>
        </is>
      </c>
      <c r="F846" s="3" t="inlineStr">
        <is>
          <t>특별관계자</t>
        </is>
      </c>
      <c r="G846" s="3" t="inlineStr">
        <is>
          <t>행사가액조정, 전환등(-), 전환사채의권리행사(+), 장내매도(-)</t>
        </is>
      </c>
      <c r="H846" s="17" t="n">
        <v>-321479</v>
      </c>
      <c r="I846" s="6" t="n">
        <v>2477</v>
      </c>
      <c r="J846" s="6" t="n">
        <v>1483575</v>
      </c>
      <c r="K846" s="16" t="n">
        <v>3</v>
      </c>
      <c r="L846" s="2" t="inlineStr">
        <is>
          <t>20260310002787</t>
        </is>
      </c>
      <c r="M846" s="8">
        <f>HYPERLINK("https://dart.fss.or.kr/dsaf001/main.do?rcpNo=20260310002787", "공시열람")</f>
        <v/>
      </c>
    </row>
    <row r="847" ht="22" customHeight="1">
      <c r="A847" s="2" t="inlineStr">
        <is>
          <t>2026-03-10</t>
        </is>
      </c>
      <c r="B847" s="3" t="inlineStr">
        <is>
          <t>다산솔루에타</t>
        </is>
      </c>
      <c r="C847" s="2" t="inlineStr">
        <is>
          <t>154040</t>
        </is>
      </c>
      <c r="D847" s="2" t="inlineStr">
        <is>
          <t>대량보유</t>
        </is>
      </c>
      <c r="E847" s="3" t="inlineStr">
        <is>
          <t>(주)다산벤처스</t>
        </is>
      </c>
      <c r="F847" s="3" t="inlineStr">
        <is>
          <t>특별관계자</t>
        </is>
      </c>
      <c r="G847" s="3" t="inlineStr">
        <is>
          <t>장내매수(+)</t>
        </is>
      </c>
      <c r="H847" s="15" t="n">
        <v>209365</v>
      </c>
      <c r="I847" s="6" t="n">
        <v>1167</v>
      </c>
      <c r="J847" s="6" t="n">
        <v>7182678</v>
      </c>
      <c r="K847" s="16" t="n">
        <v>5</v>
      </c>
      <c r="L847" s="2" t="inlineStr">
        <is>
          <t>20260310002782</t>
        </is>
      </c>
      <c r="M847" s="8">
        <f>HYPERLINK("https://dart.fss.or.kr/dsaf001/main.do?rcpNo=20260310002782", "공시열람")</f>
        <v/>
      </c>
    </row>
    <row r="848" ht="22" customHeight="1">
      <c r="A848" s="2" t="inlineStr">
        <is>
          <t>2026-03-10 (정정: 2026-03-13)</t>
        </is>
      </c>
      <c r="B848" s="3" t="inlineStr">
        <is>
          <t>야스</t>
        </is>
      </c>
      <c r="C848" s="2" t="inlineStr">
        <is>
          <t>255440</t>
        </is>
      </c>
      <c r="D848" s="2" t="inlineStr">
        <is>
          <t>대량보유</t>
        </is>
      </c>
      <c r="E848" s="3" t="inlineStr">
        <is>
          <t>-</t>
        </is>
      </c>
      <c r="F848" s="3" t="inlineStr">
        <is>
          <t>보고자</t>
        </is>
      </c>
      <c r="G848" s="3" t="inlineStr">
        <is>
          <t>-</t>
        </is>
      </c>
      <c r="H848" s="6" t="inlineStr"/>
      <c r="I848" s="6" t="inlineStr"/>
      <c r="J848" s="6" t="inlineStr"/>
      <c r="K848" s="18" t="inlineStr"/>
      <c r="L848" s="2" t="inlineStr">
        <is>
          <t>20260313902140</t>
        </is>
      </c>
      <c r="M848" s="8">
        <f>HYPERLINK("https://dart.fss.or.kr/dsaf001/main.do?rcpNo=20260313902140", "공시열람")</f>
        <v/>
      </c>
    </row>
    <row r="849" ht="22" customHeight="1">
      <c r="A849" s="2" t="inlineStr">
        <is>
          <t>2026-03-10</t>
        </is>
      </c>
      <c r="B849" s="3" t="inlineStr">
        <is>
          <t>한울반도체</t>
        </is>
      </c>
      <c r="C849" s="2" t="inlineStr">
        <is>
          <t>320000</t>
        </is>
      </c>
      <c r="D849" s="2" t="inlineStr">
        <is>
          <t>대량보유</t>
        </is>
      </c>
      <c r="E849" s="3" t="inlineStr">
        <is>
          <t>(주)빛과전자</t>
        </is>
      </c>
      <c r="F849" s="3" t="inlineStr">
        <is>
          <t>특별관계자</t>
        </is>
      </c>
      <c r="G849" s="3" t="inlineStr">
        <is>
          <t>장외매도(-)</t>
        </is>
      </c>
      <c r="H849" s="17" t="n">
        <v>-1454742</v>
      </c>
      <c r="I849" s="6" t="n">
        <v>2749</v>
      </c>
      <c r="J849" s="6" t="n">
        <v>1454742</v>
      </c>
      <c r="K849" s="16" t="n">
        <v>4.42</v>
      </c>
      <c r="L849" s="2" t="inlineStr">
        <is>
          <t>20260310002769</t>
        </is>
      </c>
      <c r="M849" s="8">
        <f>HYPERLINK("https://dart.fss.or.kr/dsaf001/main.do?rcpNo=20260310002769", "공시열람")</f>
        <v/>
      </c>
    </row>
    <row r="850" ht="22" customHeight="1">
      <c r="A850" s="2" t="inlineStr">
        <is>
          <t>2026-03-10 (정정: 2026-04-14)</t>
        </is>
      </c>
      <c r="B850" s="3" t="inlineStr">
        <is>
          <t>수성웹툰</t>
        </is>
      </c>
      <c r="C850" s="2" t="inlineStr">
        <is>
          <t>084180</t>
        </is>
      </c>
      <c r="D850" s="2" t="inlineStr">
        <is>
          <t>대량보유</t>
        </is>
      </c>
      <c r="E850" s="3" t="inlineStr">
        <is>
          <t>-</t>
        </is>
      </c>
      <c r="F850" s="3" t="inlineStr">
        <is>
          <t>보고자</t>
        </is>
      </c>
      <c r="G850" s="3" t="inlineStr">
        <is>
          <t>-</t>
        </is>
      </c>
      <c r="H850" s="6" t="inlineStr"/>
      <c r="I850" s="6" t="inlineStr"/>
      <c r="J850" s="6" t="inlineStr"/>
      <c r="K850" s="18" t="inlineStr"/>
      <c r="L850" s="2" t="inlineStr">
        <is>
          <t>20260414002468</t>
        </is>
      </c>
      <c r="M850" s="8">
        <f>HYPERLINK("https://dart.fss.or.kr/dsaf001/main.do?rcpNo=20260414002468", "공시열람")</f>
        <v/>
      </c>
    </row>
    <row r="851" ht="22" customHeight="1">
      <c r="A851" s="2" t="inlineStr">
        <is>
          <t>2026-03-10</t>
        </is>
      </c>
      <c r="B851" s="3" t="inlineStr">
        <is>
          <t>HC보광산업</t>
        </is>
      </c>
      <c r="C851" s="2" t="inlineStr">
        <is>
          <t>225530</t>
        </is>
      </c>
      <c r="D851" s="2" t="inlineStr">
        <is>
          <t>대량보유</t>
        </is>
      </c>
      <c r="E851" s="3" t="inlineStr">
        <is>
          <t>에이치씨파트너스(주)</t>
        </is>
      </c>
      <c r="F851" s="3" t="inlineStr">
        <is>
          <t>특별관계자</t>
        </is>
      </c>
      <c r="G851" s="3" t="inlineStr">
        <is>
          <t>장내매수(+)</t>
        </is>
      </c>
      <c r="H851" s="15" t="n">
        <v>18835</v>
      </c>
      <c r="I851" s="6" t="n">
        <v>2665</v>
      </c>
      <c r="J851" s="6" t="n">
        <v>922038</v>
      </c>
      <c r="K851" s="16" t="n">
        <v>10</v>
      </c>
      <c r="L851" s="2" t="inlineStr">
        <is>
          <t>20260310002757</t>
        </is>
      </c>
      <c r="M851" s="8">
        <f>HYPERLINK("https://dart.fss.or.kr/dsaf001/main.do?rcpNo=20260310002757", "공시열람")</f>
        <v/>
      </c>
    </row>
    <row r="852" ht="22" customHeight="1">
      <c r="A852" s="2" t="inlineStr">
        <is>
          <t>2026-03-10</t>
        </is>
      </c>
      <c r="B852" s="3" t="inlineStr">
        <is>
          <t>이엔셀</t>
        </is>
      </c>
      <c r="C852" s="2" t="inlineStr">
        <is>
          <t>456070</t>
        </is>
      </c>
      <c r="D852" s="2" t="inlineStr">
        <is>
          <t>대량보유</t>
        </is>
      </c>
      <c r="E852" s="3" t="inlineStr">
        <is>
          <t>NH투자증권㈜</t>
        </is>
      </c>
      <c r="F852" s="3" t="inlineStr">
        <is>
          <t>특별관계자</t>
        </is>
      </c>
      <c r="G852" s="3" t="inlineStr">
        <is>
          <t>기타(+), 기타(-), 장내매도(-), 차입(+)</t>
        </is>
      </c>
      <c r="H852" s="17" t="n">
        <v>-70600</v>
      </c>
      <c r="I852" s="6" t="n">
        <v>17184</v>
      </c>
      <c r="J852" s="6" t="n">
        <v>30625</v>
      </c>
      <c r="K852" s="16" t="n">
        <v>5</v>
      </c>
      <c r="L852" s="2" t="inlineStr">
        <is>
          <t>20260310002747</t>
        </is>
      </c>
      <c r="M852" s="8">
        <f>HYPERLINK("https://dart.fss.or.kr/dsaf001/main.do?rcpNo=20260310002747", "공시열람")</f>
        <v/>
      </c>
    </row>
    <row r="853" ht="22" customHeight="1">
      <c r="A853" s="2" t="inlineStr">
        <is>
          <t>2026-03-10</t>
        </is>
      </c>
      <c r="B853" s="3" t="inlineStr">
        <is>
          <t>이엔셀</t>
        </is>
      </c>
      <c r="C853" s="2" t="inlineStr">
        <is>
          <t>456070</t>
        </is>
      </c>
      <c r="D853" s="2" t="inlineStr">
        <is>
          <t>대량보유</t>
        </is>
      </c>
      <c r="E853" s="3" t="inlineStr">
        <is>
          <t>엔에이치-아주코스닥스케일업펀드</t>
        </is>
      </c>
      <c r="F853" s="3" t="inlineStr">
        <is>
          <t>특별관계자</t>
        </is>
      </c>
      <c r="G853" s="3" t="inlineStr">
        <is>
          <t>장내매도(-)</t>
        </is>
      </c>
      <c r="H853" s="17" t="n">
        <v>-30000</v>
      </c>
      <c r="I853" s="6" t="n">
        <v>17404</v>
      </c>
      <c r="J853" s="6" t="n">
        <v>31225</v>
      </c>
      <c r="K853" s="16" t="n">
        <v>5</v>
      </c>
      <c r="L853" s="2" t="inlineStr">
        <is>
          <t>20260310002747</t>
        </is>
      </c>
      <c r="M853" s="8">
        <f>HYPERLINK("https://dart.fss.or.kr/dsaf001/main.do?rcpNo=20260310002747", "공시열람")</f>
        <v/>
      </c>
    </row>
    <row r="854" ht="22" customHeight="1">
      <c r="A854" s="2" t="inlineStr">
        <is>
          <t>2026-03-10</t>
        </is>
      </c>
      <c r="B854" s="3" t="inlineStr">
        <is>
          <t>이엔셀</t>
        </is>
      </c>
      <c r="C854" s="2" t="inlineStr">
        <is>
          <t>456070</t>
        </is>
      </c>
      <c r="D854" s="2" t="inlineStr">
        <is>
          <t>대량보유</t>
        </is>
      </c>
      <c r="E854" s="3" t="inlineStr">
        <is>
          <t>아주좋은벤처펀드2.0</t>
        </is>
      </c>
      <c r="F854" s="3" t="inlineStr">
        <is>
          <t>특별관계자</t>
        </is>
      </c>
      <c r="G854" s="3" t="inlineStr">
        <is>
          <t>장내매도(-)</t>
        </is>
      </c>
      <c r="H854" s="17" t="n">
        <v>-40000</v>
      </c>
      <c r="I854" s="6" t="n">
        <v>17590</v>
      </c>
      <c r="J854" s="6" t="n">
        <v>55850</v>
      </c>
      <c r="K854" s="16" t="n">
        <v>5</v>
      </c>
      <c r="L854" s="2" t="inlineStr">
        <is>
          <t>20260310002747</t>
        </is>
      </c>
      <c r="M854" s="8">
        <f>HYPERLINK("https://dart.fss.or.kr/dsaf001/main.do?rcpNo=20260310002747", "공시열람")</f>
        <v/>
      </c>
    </row>
    <row r="855" ht="22" customHeight="1">
      <c r="A855" s="2" t="inlineStr">
        <is>
          <t>2026-03-10</t>
        </is>
      </c>
      <c r="B855" s="3" t="inlineStr">
        <is>
          <t>이엔셀</t>
        </is>
      </c>
      <c r="C855" s="2" t="inlineStr">
        <is>
          <t>456070</t>
        </is>
      </c>
      <c r="D855" s="2" t="inlineStr">
        <is>
          <t>대량보유</t>
        </is>
      </c>
      <c r="E855" s="3" t="inlineStr">
        <is>
          <t>메리츠증권</t>
        </is>
      </c>
      <c r="F855" s="3" t="inlineStr">
        <is>
          <t>특별관계자</t>
        </is>
      </c>
      <c r="G855" s="3" t="inlineStr">
        <is>
          <t>차입(+), 기타(-)</t>
        </is>
      </c>
      <c r="H855" s="17" t="n">
        <v>-85</v>
      </c>
      <c r="I855" s="6" t="inlineStr"/>
      <c r="J855" s="6" t="inlineStr"/>
      <c r="K855" s="16" t="n">
        <v>5</v>
      </c>
      <c r="L855" s="2" t="inlineStr">
        <is>
          <t>20260310002747</t>
        </is>
      </c>
      <c r="M855" s="8">
        <f>HYPERLINK("https://dart.fss.or.kr/dsaf001/main.do?rcpNo=20260310002747", "공시열람")</f>
        <v/>
      </c>
    </row>
    <row r="856" ht="22" customHeight="1">
      <c r="A856" s="2" t="inlineStr">
        <is>
          <t>2026-03-10</t>
        </is>
      </c>
      <c r="B856" s="3" t="inlineStr">
        <is>
          <t>쏘카</t>
        </is>
      </c>
      <c r="C856" s="2" t="inlineStr">
        <is>
          <t>403550</t>
        </is>
      </c>
      <c r="D856" s="2" t="inlineStr">
        <is>
          <t>임원보고</t>
        </is>
      </c>
      <c r="E856" s="3" t="inlineStr">
        <is>
          <t>-</t>
        </is>
      </c>
      <c r="F856" s="3" t="inlineStr">
        <is>
          <t>-</t>
        </is>
      </c>
      <c r="G856" s="3" t="inlineStr">
        <is>
          <t>-</t>
        </is>
      </c>
      <c r="H856" s="6" t="inlineStr"/>
      <c r="I856" s="6" t="inlineStr"/>
      <c r="J856" s="6" t="inlineStr"/>
      <c r="K856" s="16" t="n">
        <v>12</v>
      </c>
      <c r="L856" s="2" t="inlineStr">
        <is>
          <t>20260310801235</t>
        </is>
      </c>
      <c r="M856" s="8">
        <f>HYPERLINK("https://dart.fss.or.kr/dsaf001/main.do?rcpNo=20260310801235", "공시열람")</f>
        <v/>
      </c>
    </row>
    <row r="857" ht="22" customHeight="1">
      <c r="A857" s="2" t="inlineStr">
        <is>
          <t>2026-03-10</t>
        </is>
      </c>
      <c r="B857" s="3" t="inlineStr">
        <is>
          <t>파수AI</t>
        </is>
      </c>
      <c r="C857" s="2" t="inlineStr">
        <is>
          <t>150900</t>
        </is>
      </c>
      <c r="D857" s="2" t="inlineStr">
        <is>
          <t>대량보유</t>
        </is>
      </c>
      <c r="E857" s="3" t="inlineStr">
        <is>
          <t>조규곤</t>
        </is>
      </c>
      <c r="F857" s="3" t="inlineStr">
        <is>
          <t>보고자</t>
        </is>
      </c>
      <c r="G857" s="3" t="inlineStr">
        <is>
          <t>보고자의 주식 담보 계약 변경</t>
        </is>
      </c>
      <c r="H857" s="6" t="inlineStr"/>
      <c r="I857" s="6" t="inlineStr"/>
      <c r="J857" s="6" t="n">
        <v>2287420</v>
      </c>
      <c r="K857" s="16" t="n">
        <v>5</v>
      </c>
      <c r="L857" s="2" t="inlineStr">
        <is>
          <t>20260310002743</t>
        </is>
      </c>
      <c r="M857" s="8">
        <f>HYPERLINK("https://dart.fss.or.kr/dsaf001/main.do?rcpNo=20260310002743", "공시열람")</f>
        <v/>
      </c>
    </row>
    <row r="858" ht="22" customHeight="1">
      <c r="A858" s="2" t="inlineStr">
        <is>
          <t>2026-03-10</t>
        </is>
      </c>
      <c r="B858" s="3" t="inlineStr">
        <is>
          <t>하나머티리얼즈</t>
        </is>
      </c>
      <c r="C858" s="2" t="inlineStr">
        <is>
          <t>166090</t>
        </is>
      </c>
      <c r="D858" s="2" t="inlineStr">
        <is>
          <t>대량보유</t>
        </is>
      </c>
      <c r="E858" s="3" t="inlineStr">
        <is>
          <t>삼성자산운용</t>
        </is>
      </c>
      <c r="F858" s="3" t="inlineStr">
        <is>
          <t>특별관계자</t>
        </is>
      </c>
      <c r="G858" s="3" t="inlineStr">
        <is>
          <t>신규보고(+), 장내매수(+), 기타(+), 기타(-)</t>
        </is>
      </c>
      <c r="H858" s="15" t="n">
        <v>1044292</v>
      </c>
      <c r="I858" s="6" t="n">
        <v>59229</v>
      </c>
      <c r="J858" s="6" t="n">
        <v>1044292</v>
      </c>
      <c r="K858" s="16" t="n">
        <v>5.28</v>
      </c>
      <c r="L858" s="2" t="inlineStr">
        <is>
          <t>20260310002738</t>
        </is>
      </c>
      <c r="M858" s="8">
        <f>HYPERLINK("https://dart.fss.or.kr/dsaf001/main.do?rcpNo=20260310002738", "공시열람")</f>
        <v/>
      </c>
    </row>
    <row r="859" ht="22" customHeight="1">
      <c r="A859" s="2" t="inlineStr">
        <is>
          <t>2026-03-10</t>
        </is>
      </c>
      <c r="B859" s="3" t="inlineStr">
        <is>
          <t>인티큐브</t>
        </is>
      </c>
      <c r="C859" s="2" t="inlineStr">
        <is>
          <t>070590</t>
        </is>
      </c>
      <c r="D859" s="2" t="inlineStr">
        <is>
          <t>대량보유</t>
        </is>
      </c>
      <c r="E859" s="3" t="inlineStr">
        <is>
          <t>한솔홀딩스(주)</t>
        </is>
      </c>
      <c r="F859" s="3" t="inlineStr">
        <is>
          <t>특별관계자</t>
        </is>
      </c>
      <c r="G859" s="3" t="inlineStr">
        <is>
          <t>장외매도(-)</t>
        </is>
      </c>
      <c r="H859" s="17" t="n">
        <v>-4719037</v>
      </c>
      <c r="I859" s="6" t="n">
        <v>2558</v>
      </c>
      <c r="J859" s="6" t="inlineStr"/>
      <c r="K859" s="18" t="inlineStr"/>
      <c r="L859" s="2" t="inlineStr">
        <is>
          <t>20260310002731</t>
        </is>
      </c>
      <c r="M859" s="8">
        <f>HYPERLINK("https://dart.fss.or.kr/dsaf001/main.do?rcpNo=20260310002731", "공시열람")</f>
        <v/>
      </c>
    </row>
    <row r="860" ht="22" customHeight="1">
      <c r="A860" s="2" t="inlineStr">
        <is>
          <t>2026-03-10</t>
        </is>
      </c>
      <c r="B860" s="3" t="inlineStr">
        <is>
          <t>인티큐브</t>
        </is>
      </c>
      <c r="C860" s="2" t="inlineStr">
        <is>
          <t>070590</t>
        </is>
      </c>
      <c r="D860" s="2" t="inlineStr">
        <is>
          <t>대량보유</t>
        </is>
      </c>
      <c r="E860" s="3" t="inlineStr">
        <is>
          <t>조현승</t>
        </is>
      </c>
      <c r="F860" s="3" t="inlineStr">
        <is>
          <t>특별관계자</t>
        </is>
      </c>
      <c r="G860" s="3" t="inlineStr">
        <is>
          <t>장외매도(-)</t>
        </is>
      </c>
      <c r="H860" s="17" t="n">
        <v>-356526</v>
      </c>
      <c r="I860" s="6" t="n">
        <v>2558</v>
      </c>
      <c r="J860" s="6" t="inlineStr"/>
      <c r="K860" s="18" t="inlineStr"/>
      <c r="L860" s="2" t="inlineStr">
        <is>
          <t>20260310002731</t>
        </is>
      </c>
      <c r="M860" s="8">
        <f>HYPERLINK("https://dart.fss.or.kr/dsaf001/main.do?rcpNo=20260310002731", "공시열람")</f>
        <v/>
      </c>
    </row>
    <row r="861" ht="22" customHeight="1">
      <c r="A861" s="2" t="inlineStr">
        <is>
          <t>2026-03-10</t>
        </is>
      </c>
      <c r="B861" s="3" t="inlineStr">
        <is>
          <t>인티큐브</t>
        </is>
      </c>
      <c r="C861" s="2" t="inlineStr">
        <is>
          <t>070590</t>
        </is>
      </c>
      <c r="D861" s="2" t="inlineStr">
        <is>
          <t>대량보유</t>
        </is>
      </c>
      <c r="E861" s="3" t="inlineStr">
        <is>
          <t>이미성</t>
        </is>
      </c>
      <c r="F861" s="3" t="inlineStr">
        <is>
          <t>특별관계자</t>
        </is>
      </c>
      <c r="G861" s="3" t="inlineStr">
        <is>
          <t>장외매도(-)</t>
        </is>
      </c>
      <c r="H861" s="17" t="n">
        <v>-788525</v>
      </c>
      <c r="I861" s="6" t="n">
        <v>2558</v>
      </c>
      <c r="J861" s="6" t="inlineStr"/>
      <c r="K861" s="18" t="inlineStr"/>
      <c r="L861" s="2" t="inlineStr">
        <is>
          <t>20260310002731</t>
        </is>
      </c>
      <c r="M861" s="8">
        <f>HYPERLINK("https://dart.fss.or.kr/dsaf001/main.do?rcpNo=20260310002731", "공시열람")</f>
        <v/>
      </c>
    </row>
    <row r="862" ht="22" customHeight="1">
      <c r="A862" s="2" t="inlineStr">
        <is>
          <t>2026-03-10</t>
        </is>
      </c>
      <c r="B862" s="3" t="inlineStr">
        <is>
          <t>넥써쓰</t>
        </is>
      </c>
      <c r="C862" s="2" t="inlineStr">
        <is>
          <t>205500</t>
        </is>
      </c>
      <c r="D862" s="2" t="inlineStr">
        <is>
          <t>대량보유</t>
        </is>
      </c>
      <c r="E862" s="3" t="inlineStr">
        <is>
          <t>에스티45호신기술투자조합</t>
        </is>
      </c>
      <c r="F862" s="3" t="inlineStr">
        <is>
          <t>특별관계자</t>
        </is>
      </c>
      <c r="G862" s="3" t="inlineStr">
        <is>
          <t>전환등(-), 전환사채의권리행사(+), 장내매도(-)</t>
        </is>
      </c>
      <c r="H862" s="17" t="n">
        <v>-661694</v>
      </c>
      <c r="I862" s="6" t="n">
        <v>1179</v>
      </c>
      <c r="J862" s="6" t="n">
        <v>826401</v>
      </c>
      <c r="K862" s="16" t="n">
        <v>45</v>
      </c>
      <c r="L862" s="2" t="inlineStr">
        <is>
          <t>20260310002727</t>
        </is>
      </c>
      <c r="M862" s="8">
        <f>HYPERLINK("https://dart.fss.or.kr/dsaf001/main.do?rcpNo=20260310002727", "공시열람")</f>
        <v/>
      </c>
    </row>
    <row r="863" ht="22" customHeight="1">
      <c r="A863" s="2" t="inlineStr">
        <is>
          <t>2026-03-10</t>
        </is>
      </c>
      <c r="B863" s="3" t="inlineStr">
        <is>
          <t>와이지-원</t>
        </is>
      </c>
      <c r="C863" s="2" t="inlineStr">
        <is>
          <t>019210</t>
        </is>
      </c>
      <c r="D863" s="2" t="inlineStr">
        <is>
          <t>대량보유</t>
        </is>
      </c>
      <c r="E863" s="3" t="inlineStr">
        <is>
          <t>송호근</t>
        </is>
      </c>
      <c r="F863" s="3" t="inlineStr">
        <is>
          <t>보고자</t>
        </is>
      </c>
      <c r="G863" s="3" t="inlineStr">
        <is>
          <t>1. 주식담보계약 연장 및 해지2. 주식담보계약 내용변경 (주식담보 일부 해제)</t>
        </is>
      </c>
      <c r="H863" s="6" t="inlineStr"/>
      <c r="I863" s="6" t="inlineStr"/>
      <c r="J863" s="6" t="n">
        <v>11542233</v>
      </c>
      <c r="K863" s="16" t="n">
        <v>11</v>
      </c>
      <c r="L863" s="2" t="inlineStr">
        <is>
          <t>20260310002724</t>
        </is>
      </c>
      <c r="M863" s="8">
        <f>HYPERLINK("https://dart.fss.or.kr/dsaf001/main.do?rcpNo=20260310002724", "공시열람")</f>
        <v/>
      </c>
    </row>
    <row r="864" ht="22" customHeight="1">
      <c r="A864" s="2" t="inlineStr">
        <is>
          <t>2026-03-10</t>
        </is>
      </c>
      <c r="B864" s="3" t="inlineStr">
        <is>
          <t>펩트론</t>
        </is>
      </c>
      <c r="C864" s="2" t="inlineStr">
        <is>
          <t>087010</t>
        </is>
      </c>
      <c r="D864" s="2" t="inlineStr">
        <is>
          <t>대량보유</t>
        </is>
      </c>
      <c r="E864" s="3" t="inlineStr">
        <is>
          <t>삼성자산운용</t>
        </is>
      </c>
      <c r="F864" s="3" t="inlineStr">
        <is>
          <t>특별관계자</t>
        </is>
      </c>
      <c r="G864" s="3" t="inlineStr">
        <is>
          <t>신규보고(+), 장내매수(+), 기타(+), 기타(-)</t>
        </is>
      </c>
      <c r="H864" s="15" t="n">
        <v>1188225</v>
      </c>
      <c r="I864" s="6" t="n">
        <v>231841</v>
      </c>
      <c r="J864" s="6" t="n">
        <v>1188225</v>
      </c>
      <c r="K864" s="16" t="n">
        <v>5.1</v>
      </c>
      <c r="L864" s="2" t="inlineStr">
        <is>
          <t>20260310002723</t>
        </is>
      </c>
      <c r="M864" s="8">
        <f>HYPERLINK("https://dart.fss.or.kr/dsaf001/main.do?rcpNo=20260310002723", "공시열람")</f>
        <v/>
      </c>
    </row>
    <row r="865" ht="22" customHeight="1">
      <c r="A865" s="2" t="inlineStr">
        <is>
          <t>2026-03-10</t>
        </is>
      </c>
      <c r="B865" s="3" t="inlineStr">
        <is>
          <t>티쓰리</t>
        </is>
      </c>
      <c r="C865" s="2" t="inlineStr">
        <is>
          <t>204610</t>
        </is>
      </c>
      <c r="D865" s="2" t="inlineStr">
        <is>
          <t>대량보유</t>
        </is>
      </c>
      <c r="E865" s="3" t="inlineStr">
        <is>
          <t>(주)브이아이피자산운용</t>
        </is>
      </c>
      <c r="F865" s="3" t="inlineStr">
        <is>
          <t>특별관계자</t>
        </is>
      </c>
      <c r="G865" s="3" t="inlineStr">
        <is>
          <t>장내매수(+), 장내매도(-), 기타(-)</t>
        </is>
      </c>
      <c r="H865" s="15" t="n">
        <v>752559</v>
      </c>
      <c r="I865" s="6" t="n">
        <v>1995</v>
      </c>
      <c r="J865" s="6" t="n">
        <v>9149350</v>
      </c>
      <c r="K865" s="16" t="n">
        <v>15.59</v>
      </c>
      <c r="L865" s="2" t="inlineStr">
        <is>
          <t>20260310002720</t>
        </is>
      </c>
      <c r="M865" s="8">
        <f>HYPERLINK("https://dart.fss.or.kr/dsaf001/main.do?rcpNo=20260310002720", "공시열람")</f>
        <v/>
      </c>
    </row>
    <row r="866" ht="22" customHeight="1">
      <c r="A866" s="2" t="inlineStr">
        <is>
          <t>2026-03-10</t>
        </is>
      </c>
      <c r="B866" s="3" t="inlineStr">
        <is>
          <t>덕산네오룩스</t>
        </is>
      </c>
      <c r="C866" s="2" t="inlineStr">
        <is>
          <t>213420</t>
        </is>
      </c>
      <c r="D866" s="2" t="inlineStr">
        <is>
          <t>대량보유</t>
        </is>
      </c>
      <c r="E866" s="3" t="inlineStr">
        <is>
          <t>삼성자산운용</t>
        </is>
      </c>
      <c r="F866" s="3" t="inlineStr">
        <is>
          <t>특별관계자</t>
        </is>
      </c>
      <c r="G866" s="3" t="inlineStr">
        <is>
          <t>신규보고(+), 장내매수(+), 기타(+), 기타(-)</t>
        </is>
      </c>
      <c r="H866" s="15" t="n">
        <v>1288853</v>
      </c>
      <c r="I866" s="6" t="n">
        <v>36570</v>
      </c>
      <c r="J866" s="6" t="n">
        <v>1288853</v>
      </c>
      <c r="K866" s="16" t="n">
        <v>5.19</v>
      </c>
      <c r="L866" s="2" t="inlineStr">
        <is>
          <t>20260310002715</t>
        </is>
      </c>
      <c r="M866" s="8">
        <f>HYPERLINK("https://dart.fss.or.kr/dsaf001/main.do?rcpNo=20260310002715", "공시열람")</f>
        <v/>
      </c>
    </row>
    <row r="867" ht="22" customHeight="1">
      <c r="A867" s="2" t="inlineStr">
        <is>
          <t>2026-03-10</t>
        </is>
      </c>
      <c r="B867" s="3" t="inlineStr">
        <is>
          <t>롯데칠성음료</t>
        </is>
      </c>
      <c r="C867" s="2" t="inlineStr">
        <is>
          <t>005300</t>
        </is>
      </c>
      <c r="D867" s="2" t="inlineStr">
        <is>
          <t>대량보유</t>
        </is>
      </c>
      <c r="E867" s="3" t="inlineStr">
        <is>
          <t>(주)브이아이피자산운용</t>
        </is>
      </c>
      <c r="F867" s="3" t="inlineStr">
        <is>
          <t>특별관계자</t>
        </is>
      </c>
      <c r="G867" s="3" t="inlineStr">
        <is>
          <t>장내매수(+), 장내매도(-), 기타(+), 기타(-)</t>
        </is>
      </c>
      <c r="H867" s="17" t="n">
        <v>-83685</v>
      </c>
      <c r="I867" s="6" t="n">
        <v>127326</v>
      </c>
      <c r="J867" s="6" t="n">
        <v>639676</v>
      </c>
      <c r="K867" s="16" t="n">
        <v>6.89</v>
      </c>
      <c r="L867" s="2" t="inlineStr">
        <is>
          <t>20260310002711</t>
        </is>
      </c>
      <c r="M867" s="8">
        <f>HYPERLINK("https://dart.fss.or.kr/dsaf001/main.do?rcpNo=20260310002711", "공시열람")</f>
        <v/>
      </c>
    </row>
    <row r="868" ht="22" customHeight="1">
      <c r="A868" s="2" t="inlineStr">
        <is>
          <t>2026-03-10</t>
        </is>
      </c>
      <c r="B868" s="3" t="inlineStr">
        <is>
          <t>넥스틴</t>
        </is>
      </c>
      <c r="C868" s="2" t="inlineStr">
        <is>
          <t>348210</t>
        </is>
      </c>
      <c r="D868" s="2" t="inlineStr">
        <is>
          <t>대량보유</t>
        </is>
      </c>
      <c r="E868" s="3" t="inlineStr">
        <is>
          <t>(주)브이아이피자산운용</t>
        </is>
      </c>
      <c r="F868" s="3" t="inlineStr">
        <is>
          <t>특별관계자</t>
        </is>
      </c>
      <c r="G868" s="3" t="inlineStr">
        <is>
          <t>장내매도(-), 장내매수(+)</t>
        </is>
      </c>
      <c r="H868" s="15" t="n">
        <v>31962</v>
      </c>
      <c r="I868" s="6" t="n">
        <v>79896</v>
      </c>
      <c r="J868" s="6" t="n">
        <v>548666</v>
      </c>
      <c r="K868" s="16" t="n">
        <v>5.24</v>
      </c>
      <c r="L868" s="2" t="inlineStr">
        <is>
          <t>20260310002700</t>
        </is>
      </c>
      <c r="M868" s="8">
        <f>HYPERLINK("https://dart.fss.or.kr/dsaf001/main.do?rcpNo=20260310002700", "공시열람")</f>
        <v/>
      </c>
    </row>
    <row r="869" ht="22" customHeight="1">
      <c r="A869" s="2" t="inlineStr">
        <is>
          <t>2026-03-10</t>
        </is>
      </c>
      <c r="B869" s="3" t="inlineStr">
        <is>
          <t>가온칩스</t>
        </is>
      </c>
      <c r="C869" s="2" t="inlineStr">
        <is>
          <t>399720</t>
        </is>
      </c>
      <c r="D869" s="2" t="inlineStr">
        <is>
          <t>대량보유</t>
        </is>
      </c>
      <c r="E869" s="3" t="inlineStr">
        <is>
          <t>삼성자산운용</t>
        </is>
      </c>
      <c r="F869" s="3" t="inlineStr">
        <is>
          <t>특별관계자</t>
        </is>
      </c>
      <c r="G869" s="3" t="inlineStr">
        <is>
          <t>신규보고(+), 장내매수(+), 기타(+), 기타(-)</t>
        </is>
      </c>
      <c r="H869" s="15" t="n">
        <v>597999</v>
      </c>
      <c r="I869" s="6" t="n">
        <v>16261</v>
      </c>
      <c r="J869" s="6" t="n">
        <v>597999</v>
      </c>
      <c r="K869" s="16" t="n">
        <v>5.15</v>
      </c>
      <c r="L869" s="2" t="inlineStr">
        <is>
          <t>20260310002693</t>
        </is>
      </c>
      <c r="M869" s="8">
        <f>HYPERLINK("https://dart.fss.or.kr/dsaf001/main.do?rcpNo=20260310002693", "공시열람")</f>
        <v/>
      </c>
    </row>
    <row r="870" ht="22" customHeight="1">
      <c r="A870" s="2" t="inlineStr">
        <is>
          <t>2026-03-10</t>
        </is>
      </c>
      <c r="B870" s="3" t="inlineStr">
        <is>
          <t>알파AI</t>
        </is>
      </c>
      <c r="C870" s="2" t="inlineStr">
        <is>
          <t>043100</t>
        </is>
      </c>
      <c r="D870" s="2" t="inlineStr">
        <is>
          <t>대량보유</t>
        </is>
      </c>
      <c r="E870" s="3" t="inlineStr">
        <is>
          <t>김일</t>
        </is>
      </c>
      <c r="F870" s="3" t="inlineStr">
        <is>
          <t>특별관계자</t>
        </is>
      </c>
      <c r="G870" s="3" t="inlineStr">
        <is>
          <t>장내매도(-)</t>
        </is>
      </c>
      <c r="H870" s="17" t="n">
        <v>-140000</v>
      </c>
      <c r="I870" s="6" t="n">
        <v>1415</v>
      </c>
      <c r="J870" s="6" t="n">
        <v>954628</v>
      </c>
      <c r="K870" s="16" t="n">
        <v>3</v>
      </c>
      <c r="L870" s="2" t="inlineStr">
        <is>
          <t>20260310002691</t>
        </is>
      </c>
      <c r="M870" s="8">
        <f>HYPERLINK("https://dart.fss.or.kr/dsaf001/main.do?rcpNo=20260310002691", "공시열람")</f>
        <v/>
      </c>
    </row>
    <row r="871" ht="22" customHeight="1">
      <c r="A871" s="2" t="inlineStr">
        <is>
          <t>2026-03-10</t>
        </is>
      </c>
      <c r="B871" s="3" t="inlineStr">
        <is>
          <t>알파AI</t>
        </is>
      </c>
      <c r="C871" s="2" t="inlineStr">
        <is>
          <t>043100</t>
        </is>
      </c>
      <c r="D871" s="2" t="inlineStr">
        <is>
          <t>대량보유</t>
        </is>
      </c>
      <c r="E871" s="3" t="inlineStr">
        <is>
          <t>김대순</t>
        </is>
      </c>
      <c r="F871" s="3" t="inlineStr">
        <is>
          <t>특별관계자</t>
        </is>
      </c>
      <c r="G871" s="3" t="inlineStr">
        <is>
          <t>장내매도(-)</t>
        </is>
      </c>
      <c r="H871" s="17" t="n">
        <v>-123612</v>
      </c>
      <c r="I871" s="6" t="n">
        <v>1475</v>
      </c>
      <c r="J871" s="6" t="inlineStr"/>
      <c r="K871" s="16" t="n">
        <v>3</v>
      </c>
      <c r="L871" s="2" t="inlineStr">
        <is>
          <t>20260310002691</t>
        </is>
      </c>
      <c r="M871" s="8">
        <f>HYPERLINK("https://dart.fss.or.kr/dsaf001/main.do?rcpNo=20260310002691", "공시열람")</f>
        <v/>
      </c>
    </row>
    <row r="872" ht="22" customHeight="1">
      <c r="A872" s="2" t="inlineStr">
        <is>
          <t>2026-03-10</t>
        </is>
      </c>
      <c r="B872" s="3" t="inlineStr">
        <is>
          <t>티씨케이</t>
        </is>
      </c>
      <c r="C872" s="2" t="inlineStr">
        <is>
          <t>064760</t>
        </is>
      </c>
      <c r="D872" s="2" t="inlineStr">
        <is>
          <t>대량보유</t>
        </is>
      </c>
      <c r="E872" s="3" t="inlineStr">
        <is>
          <t>(주)케이씨</t>
        </is>
      </c>
      <c r="F872" s="3" t="inlineStr">
        <is>
          <t>특별관계자</t>
        </is>
      </c>
      <c r="G872" s="3" t="inlineStr">
        <is>
          <t>주식소각, 장내매도(-)</t>
        </is>
      </c>
      <c r="H872" s="17" t="n">
        <v>-183994</v>
      </c>
      <c r="I872" s="6" t="n">
        <v>220115</v>
      </c>
      <c r="J872" s="6" t="n">
        <v>771256</v>
      </c>
      <c r="K872" s="16" t="n">
        <v>6.9</v>
      </c>
      <c r="L872" s="2" t="inlineStr">
        <is>
          <t>20260310002688</t>
        </is>
      </c>
      <c r="M872" s="8">
        <f>HYPERLINK("https://dart.fss.or.kr/dsaf001/main.do?rcpNo=20260310002688", "공시열람")</f>
        <v/>
      </c>
    </row>
    <row r="873" ht="22" customHeight="1">
      <c r="A873" s="2" t="inlineStr">
        <is>
          <t>2026-03-10</t>
        </is>
      </c>
      <c r="B873" s="3" t="inlineStr">
        <is>
          <t>한국알콜</t>
        </is>
      </c>
      <c r="C873" s="2" t="inlineStr">
        <is>
          <t>017890</t>
        </is>
      </c>
      <c r="D873" s="2" t="inlineStr">
        <is>
          <t>대량보유</t>
        </is>
      </c>
      <c r="E873" s="3" t="inlineStr">
        <is>
          <t>트러스톤자산운용(주)</t>
        </is>
      </c>
      <c r="F873" s="3" t="inlineStr">
        <is>
          <t>특별관계자</t>
        </is>
      </c>
      <c r="G873" s="3" t="inlineStr">
        <is>
          <t>장내매도(-)</t>
        </is>
      </c>
      <c r="H873" s="17" t="n">
        <v>-483140</v>
      </c>
      <c r="I873" s="6" t="n">
        <v>11979</v>
      </c>
      <c r="J873" s="6" t="n">
        <v>1062334</v>
      </c>
      <c r="K873" s="16" t="n">
        <v>4.99</v>
      </c>
      <c r="L873" s="2" t="inlineStr">
        <is>
          <t>20260310002678</t>
        </is>
      </c>
      <c r="M873" s="8">
        <f>HYPERLINK("https://dart.fss.or.kr/dsaf001/main.do?rcpNo=20260310002678", "공시열람")</f>
        <v/>
      </c>
    </row>
    <row r="874" ht="22" customHeight="1">
      <c r="A874" s="2" t="inlineStr">
        <is>
          <t>2026-03-10 (정정: 2026-03-12)</t>
        </is>
      </c>
      <c r="B874" s="3" t="inlineStr">
        <is>
          <t>마이크로컨텍솔</t>
        </is>
      </c>
      <c r="C874" s="2" t="inlineStr">
        <is>
          <t>098120</t>
        </is>
      </c>
      <c r="D874" s="2" t="inlineStr">
        <is>
          <t>대량보유</t>
        </is>
      </c>
      <c r="E874" s="3" t="inlineStr">
        <is>
          <t>-</t>
        </is>
      </c>
      <c r="F874" s="3" t="inlineStr">
        <is>
          <t>보고자</t>
        </is>
      </c>
      <c r="G874" s="3" t="inlineStr">
        <is>
          <t>-</t>
        </is>
      </c>
      <c r="H874" s="6" t="inlineStr"/>
      <c r="I874" s="6" t="inlineStr"/>
      <c r="J874" s="6" t="inlineStr"/>
      <c r="K874" s="18" t="inlineStr"/>
      <c r="L874" s="2" t="inlineStr">
        <is>
          <t>20260312901710</t>
        </is>
      </c>
      <c r="M874" s="8">
        <f>HYPERLINK("https://dart.fss.or.kr/dsaf001/main.do?rcpNo=20260312901710", "공시열람")</f>
        <v/>
      </c>
    </row>
    <row r="875" ht="22" customHeight="1">
      <c r="A875" s="2" t="inlineStr">
        <is>
          <t>2026-03-10</t>
        </is>
      </c>
      <c r="B875" s="3" t="inlineStr">
        <is>
          <t>솔브레인</t>
        </is>
      </c>
      <c r="C875" s="2" t="inlineStr">
        <is>
          <t>357780</t>
        </is>
      </c>
      <c r="D875" s="2" t="inlineStr">
        <is>
          <t>대량보유</t>
        </is>
      </c>
      <c r="E875" s="3" t="inlineStr">
        <is>
          <t>정호경</t>
        </is>
      </c>
      <c r="F875" s="3" t="inlineStr">
        <is>
          <t>특별관계자</t>
        </is>
      </c>
      <c r="G875" s="3" t="inlineStr">
        <is>
          <t>장내매도(-)</t>
        </is>
      </c>
      <c r="H875" s="17" t="n">
        <v>-13200</v>
      </c>
      <c r="I875" s="6" t="n">
        <v>460063</v>
      </c>
      <c r="J875" s="6" t="n">
        <v>120740</v>
      </c>
      <c r="K875" s="16" t="n">
        <v>10</v>
      </c>
      <c r="L875" s="2" t="inlineStr">
        <is>
          <t>20260310002673</t>
        </is>
      </c>
      <c r="M875" s="8">
        <f>HYPERLINK("https://dart.fss.or.kr/dsaf001/main.do?rcpNo=20260310002673", "공시열람")</f>
        <v/>
      </c>
    </row>
    <row r="876" ht="22" customHeight="1">
      <c r="A876" s="2" t="inlineStr">
        <is>
          <t>2026-03-10</t>
        </is>
      </c>
      <c r="B876" s="3" t="inlineStr">
        <is>
          <t>엑스플러스</t>
        </is>
      </c>
      <c r="C876" s="2" t="inlineStr">
        <is>
          <t>373200</t>
        </is>
      </c>
      <c r="D876" s="2" t="inlineStr">
        <is>
          <t>대량보유</t>
        </is>
      </c>
      <c r="E876" s="3" t="inlineStr">
        <is>
          <t>팩토링플러스투자조합</t>
        </is>
      </c>
      <c r="F876" s="3" t="inlineStr">
        <is>
          <t>보고자</t>
        </is>
      </c>
      <c r="G876" s="3" t="inlineStr">
        <is>
          <t>조합 출자지분 양수도에 따른 특별관계자 변경</t>
        </is>
      </c>
      <c r="H876" s="6" t="inlineStr"/>
      <c r="I876" s="6" t="inlineStr"/>
      <c r="J876" s="6" t="n">
        <v>9140767</v>
      </c>
      <c r="K876" s="16" t="n">
        <v>3</v>
      </c>
      <c r="L876" s="2" t="inlineStr">
        <is>
          <t>20260310002669</t>
        </is>
      </c>
      <c r="M876" s="8">
        <f>HYPERLINK("https://dart.fss.or.kr/dsaf001/main.do?rcpNo=20260310002669", "공시열람")</f>
        <v/>
      </c>
    </row>
    <row r="877" ht="22" customHeight="1">
      <c r="A877" s="2" t="inlineStr">
        <is>
          <t>2026-03-10</t>
        </is>
      </c>
      <c r="B877" s="3" t="inlineStr">
        <is>
          <t>바이브컴퍼니</t>
        </is>
      </c>
      <c r="C877" s="2" t="inlineStr">
        <is>
          <t>301300</t>
        </is>
      </c>
      <c r="D877" s="2" t="inlineStr">
        <is>
          <t>대량보유</t>
        </is>
      </c>
      <c r="E877" s="3" t="inlineStr">
        <is>
          <t>에이원자산운용(주)</t>
        </is>
      </c>
      <c r="F877" s="3" t="inlineStr">
        <is>
          <t>특별관계자</t>
        </is>
      </c>
      <c r="G877" s="3" t="inlineStr">
        <is>
          <t>풋옵션권리행사에따른주식처분(-)</t>
        </is>
      </c>
      <c r="H877" s="17" t="n">
        <v>-585740</v>
      </c>
      <c r="I877" s="6" t="n">
        <v>4951</v>
      </c>
      <c r="J877" s="6" t="n">
        <v>111088</v>
      </c>
      <c r="K877" s="16" t="n">
        <v>0.84</v>
      </c>
      <c r="L877" s="2" t="inlineStr">
        <is>
          <t>20260310002640</t>
        </is>
      </c>
      <c r="M877" s="8">
        <f>HYPERLINK("https://dart.fss.or.kr/dsaf001/main.do?rcpNo=20260310002640", "공시열람")</f>
        <v/>
      </c>
    </row>
    <row r="878" ht="22" customHeight="1">
      <c r="A878" s="2" t="inlineStr">
        <is>
          <t>2026-03-10</t>
        </is>
      </c>
      <c r="B878" s="3" t="inlineStr">
        <is>
          <t>핸즈코퍼레이션</t>
        </is>
      </c>
      <c r="C878" s="2" t="inlineStr">
        <is>
          <t>143210</t>
        </is>
      </c>
      <c r="D878" s="2" t="inlineStr">
        <is>
          <t>대량보유</t>
        </is>
      </c>
      <c r="E878" s="3" t="inlineStr">
        <is>
          <t>유용희</t>
        </is>
      </c>
      <c r="F878" s="3" t="inlineStr">
        <is>
          <t>특별관계자</t>
        </is>
      </c>
      <c r="G878" s="3" t="inlineStr">
        <is>
          <t>임원퇴임(-)</t>
        </is>
      </c>
      <c r="H878" s="17" t="n">
        <v>-1435</v>
      </c>
      <c r="I878" s="6" t="inlineStr"/>
      <c r="J878" s="6" t="inlineStr"/>
      <c r="K878" s="16" t="n">
        <v>15</v>
      </c>
      <c r="L878" s="2" t="inlineStr">
        <is>
          <t>20260310002634</t>
        </is>
      </c>
      <c r="M878" s="8">
        <f>HYPERLINK("https://dart.fss.or.kr/dsaf001/main.do?rcpNo=20260310002634", "공시열람")</f>
        <v/>
      </c>
    </row>
    <row r="879" ht="22" customHeight="1">
      <c r="A879" s="2" t="inlineStr">
        <is>
          <t>2026-03-10</t>
        </is>
      </c>
      <c r="B879" s="3" t="inlineStr">
        <is>
          <t>핸즈코퍼레이션</t>
        </is>
      </c>
      <c r="C879" s="2" t="inlineStr">
        <is>
          <t>143210</t>
        </is>
      </c>
      <c r="D879" s="2" t="inlineStr">
        <is>
          <t>임원보고</t>
        </is>
      </c>
      <c r="E879" s="3" t="inlineStr">
        <is>
          <t>-</t>
        </is>
      </c>
      <c r="F879" s="3" t="inlineStr">
        <is>
          <t>-</t>
        </is>
      </c>
      <c r="G879" s="3" t="inlineStr">
        <is>
          <t>-</t>
        </is>
      </c>
      <c r="H879" s="6" t="inlineStr"/>
      <c r="I879" s="6" t="inlineStr"/>
      <c r="J879" s="6" t="inlineStr"/>
      <c r="K879" s="16" t="n">
        <v>12</v>
      </c>
      <c r="L879" s="2" t="inlineStr">
        <is>
          <t>20260310801030</t>
        </is>
      </c>
      <c r="M879" s="8">
        <f>HYPERLINK("https://dart.fss.or.kr/dsaf001/main.do?rcpNo=20260310801030", "공시열람")</f>
        <v/>
      </c>
    </row>
    <row r="880" ht="22" customHeight="1">
      <c r="A880" s="2" t="inlineStr">
        <is>
          <t>2026-03-10</t>
        </is>
      </c>
      <c r="B880" s="3" t="inlineStr">
        <is>
          <t>삼성SDI</t>
        </is>
      </c>
      <c r="C880" s="2" t="inlineStr">
        <is>
          <t>006400</t>
        </is>
      </c>
      <c r="D880" s="2" t="inlineStr">
        <is>
          <t>임원보고</t>
        </is>
      </c>
      <c r="E880" s="3" t="inlineStr">
        <is>
          <t>-</t>
        </is>
      </c>
      <c r="F880" s="3" t="inlineStr">
        <is>
          <t>-</t>
        </is>
      </c>
      <c r="G880" s="3" t="inlineStr">
        <is>
          <t>-</t>
        </is>
      </c>
      <c r="H880" s="6" t="inlineStr"/>
      <c r="I880" s="6" t="inlineStr"/>
      <c r="J880" s="6" t="inlineStr"/>
      <c r="K880" s="16" t="n">
        <v>12</v>
      </c>
      <c r="L880" s="2" t="inlineStr">
        <is>
          <t>20260310800985</t>
        </is>
      </c>
      <c r="M880" s="8">
        <f>HYPERLINK("https://dart.fss.or.kr/dsaf001/main.do?rcpNo=20260310800985", "공시열람")</f>
        <v/>
      </c>
    </row>
    <row r="881" ht="22" customHeight="1">
      <c r="A881" s="2" t="inlineStr">
        <is>
          <t>2026-03-10</t>
        </is>
      </c>
      <c r="B881" s="3" t="inlineStr">
        <is>
          <t>액스비스</t>
        </is>
      </c>
      <c r="C881" s="2" t="inlineStr">
        <is>
          <t>0011A0</t>
        </is>
      </c>
      <c r="D881" s="2" t="inlineStr">
        <is>
          <t>대량보유</t>
        </is>
      </c>
      <c r="E881" s="3" t="inlineStr">
        <is>
          <t>김명진</t>
        </is>
      </c>
      <c r="F881" s="3" t="inlineStr">
        <is>
          <t>특별관계자</t>
        </is>
      </c>
      <c r="G881" s="3" t="inlineStr">
        <is>
          <t>신규상장(무상취득)(+)</t>
        </is>
      </c>
      <c r="H881" s="15" t="n">
        <v>3618000</v>
      </c>
      <c r="I881" s="6" t="inlineStr"/>
      <c r="J881" s="6" t="n">
        <v>3618000</v>
      </c>
      <c r="K881" s="16" t="n">
        <v>3</v>
      </c>
      <c r="L881" s="2" t="inlineStr">
        <is>
          <t>20260310002561</t>
        </is>
      </c>
      <c r="M881" s="8">
        <f>HYPERLINK("https://dart.fss.or.kr/dsaf001/main.do?rcpNo=20260310002561", "공시열람")</f>
        <v/>
      </c>
    </row>
    <row r="882" ht="22" customHeight="1">
      <c r="A882" s="2" t="inlineStr">
        <is>
          <t>2026-03-10</t>
        </is>
      </c>
      <c r="B882" s="3" t="inlineStr">
        <is>
          <t>액스비스</t>
        </is>
      </c>
      <c r="C882" s="2" t="inlineStr">
        <is>
          <t>0011A0</t>
        </is>
      </c>
      <c r="D882" s="2" t="inlineStr">
        <is>
          <t>대량보유</t>
        </is>
      </c>
      <c r="E882" s="3" t="inlineStr">
        <is>
          <t>김남희</t>
        </is>
      </c>
      <c r="F882" s="3" t="inlineStr">
        <is>
          <t>특별관계자</t>
        </is>
      </c>
      <c r="G882" s="3" t="inlineStr">
        <is>
          <t>신규상장(무상취득)(+)</t>
        </is>
      </c>
      <c r="H882" s="15" t="n">
        <v>485593</v>
      </c>
      <c r="I882" s="6" t="inlineStr"/>
      <c r="J882" s="6" t="n">
        <v>485593</v>
      </c>
      <c r="K882" s="16" t="n">
        <v>3</v>
      </c>
      <c r="L882" s="2" t="inlineStr">
        <is>
          <t>20260310002561</t>
        </is>
      </c>
      <c r="M882" s="8">
        <f>HYPERLINK("https://dart.fss.or.kr/dsaf001/main.do?rcpNo=20260310002561", "공시열람")</f>
        <v/>
      </c>
    </row>
    <row r="883" ht="22" customHeight="1">
      <c r="A883" s="2" t="inlineStr">
        <is>
          <t>2026-03-10</t>
        </is>
      </c>
      <c r="B883" s="3" t="inlineStr">
        <is>
          <t>액스비스</t>
        </is>
      </c>
      <c r="C883" s="2" t="inlineStr">
        <is>
          <t>0011A0</t>
        </is>
      </c>
      <c r="D883" s="2" t="inlineStr">
        <is>
          <t>대량보유</t>
        </is>
      </c>
      <c r="E883" s="3" t="inlineStr">
        <is>
          <t>김민건</t>
        </is>
      </c>
      <c r="F883" s="3" t="inlineStr">
        <is>
          <t>특별관계자</t>
        </is>
      </c>
      <c r="G883" s="3" t="inlineStr">
        <is>
          <t>신규상장(무상취득)(+)</t>
        </is>
      </c>
      <c r="H883" s="15" t="n">
        <v>486000</v>
      </c>
      <c r="I883" s="6" t="inlineStr"/>
      <c r="J883" s="6" t="n">
        <v>486000</v>
      </c>
      <c r="K883" s="16" t="n">
        <v>3</v>
      </c>
      <c r="L883" s="2" t="inlineStr">
        <is>
          <t>20260310002561</t>
        </is>
      </c>
      <c r="M883" s="8">
        <f>HYPERLINK("https://dart.fss.or.kr/dsaf001/main.do?rcpNo=20260310002561", "공시열람")</f>
        <v/>
      </c>
    </row>
    <row r="884" ht="22" customHeight="1">
      <c r="A884" s="2" t="inlineStr">
        <is>
          <t>2026-03-10</t>
        </is>
      </c>
      <c r="B884" s="3" t="inlineStr">
        <is>
          <t>액스비스</t>
        </is>
      </c>
      <c r="C884" s="2" t="inlineStr">
        <is>
          <t>0011A0</t>
        </is>
      </c>
      <c r="D884" s="2" t="inlineStr">
        <is>
          <t>대량보유</t>
        </is>
      </c>
      <c r="E884" s="3" t="inlineStr">
        <is>
          <t>김모건</t>
        </is>
      </c>
      <c r="F884" s="3" t="inlineStr">
        <is>
          <t>특별관계자</t>
        </is>
      </c>
      <c r="G884" s="3" t="inlineStr">
        <is>
          <t>신규상장(무상취득)(+)</t>
        </is>
      </c>
      <c r="H884" s="15" t="n">
        <v>486000</v>
      </c>
      <c r="I884" s="6" t="inlineStr"/>
      <c r="J884" s="6" t="n">
        <v>486000</v>
      </c>
      <c r="K884" s="16" t="n">
        <v>3</v>
      </c>
      <c r="L884" s="2" t="inlineStr">
        <is>
          <t>20260310002561</t>
        </is>
      </c>
      <c r="M884" s="8">
        <f>HYPERLINK("https://dart.fss.or.kr/dsaf001/main.do?rcpNo=20260310002561", "공시열람")</f>
        <v/>
      </c>
    </row>
    <row r="885" ht="22" customHeight="1">
      <c r="A885" s="2" t="inlineStr">
        <is>
          <t>2026-03-10</t>
        </is>
      </c>
      <c r="B885" s="3" t="inlineStr">
        <is>
          <t>천보</t>
        </is>
      </c>
      <c r="C885" s="2" t="inlineStr">
        <is>
          <t>278280</t>
        </is>
      </c>
      <c r="D885" s="2" t="inlineStr">
        <is>
          <t>대량보유</t>
        </is>
      </c>
      <c r="E885" s="3" t="inlineStr">
        <is>
          <t>KB증권㈜</t>
        </is>
      </c>
      <c r="F885" s="3" t="inlineStr">
        <is>
          <t>특별관계자</t>
        </is>
      </c>
      <c r="G885" s="3" t="inlineStr">
        <is>
          <t>장내매도(-), 장내매수(+), 기타(+), 차입(+), 기타(-), 대여(-)</t>
        </is>
      </c>
      <c r="H885" s="17" t="n">
        <v>-322423</v>
      </c>
      <c r="I885" s="6" t="n">
        <v>52942</v>
      </c>
      <c r="J885" s="6" t="n">
        <v>826870</v>
      </c>
      <c r="K885" s="16" t="n">
        <v>6.48</v>
      </c>
      <c r="L885" s="2" t="inlineStr">
        <is>
          <t>20260310002555</t>
        </is>
      </c>
      <c r="M885" s="8">
        <f>HYPERLINK("https://dart.fss.or.kr/dsaf001/main.do?rcpNo=20260310002555", "공시열람")</f>
        <v/>
      </c>
    </row>
    <row r="886" ht="22" customHeight="1">
      <c r="A886" s="2" t="inlineStr">
        <is>
          <t>2026-03-10</t>
        </is>
      </c>
      <c r="B886" s="3" t="inlineStr">
        <is>
          <t>메카로</t>
        </is>
      </c>
      <c r="C886" s="2" t="inlineStr">
        <is>
          <t>241770</t>
        </is>
      </c>
      <c r="D886" s="2" t="inlineStr">
        <is>
          <t>대량보유</t>
        </is>
      </c>
      <c r="E886" s="3" t="inlineStr">
        <is>
          <t>김영래</t>
        </is>
      </c>
      <c r="F886" s="3" t="inlineStr">
        <is>
          <t>특별관계자</t>
        </is>
      </c>
      <c r="G886" s="3" t="inlineStr">
        <is>
          <t>신규보고(+)</t>
        </is>
      </c>
      <c r="H886" s="15" t="n">
        <v>300</v>
      </c>
      <c r="I886" s="6" t="n">
        <v>26850</v>
      </c>
      <c r="J886" s="6" t="n">
        <v>300</v>
      </c>
      <c r="K886" s="16" t="n">
        <v>24</v>
      </c>
      <c r="L886" s="2" t="inlineStr">
        <is>
          <t>20260310002543</t>
        </is>
      </c>
      <c r="M886" s="8">
        <f>HYPERLINK("https://dart.fss.or.kr/dsaf001/main.do?rcpNo=20260310002543", "공시열람")</f>
        <v/>
      </c>
    </row>
    <row r="887" ht="22" customHeight="1">
      <c r="A887" s="2" t="inlineStr">
        <is>
          <t>2026-03-10</t>
        </is>
      </c>
      <c r="B887" s="3" t="inlineStr">
        <is>
          <t>메카로</t>
        </is>
      </c>
      <c r="C887" s="2" t="inlineStr">
        <is>
          <t>241770</t>
        </is>
      </c>
      <c r="D887" s="2" t="inlineStr">
        <is>
          <t>대량보유</t>
        </is>
      </c>
      <c r="E887" s="3" t="inlineStr">
        <is>
          <t>장성춘</t>
        </is>
      </c>
      <c r="F887" s="3" t="inlineStr">
        <is>
          <t>특별관계자</t>
        </is>
      </c>
      <c r="G887" s="3" t="inlineStr">
        <is>
          <t>장내매도(-)</t>
        </is>
      </c>
      <c r="H887" s="17" t="n">
        <v>-1000</v>
      </c>
      <c r="I887" s="6" t="n">
        <v>30100</v>
      </c>
      <c r="J887" s="6" t="n">
        <v>1310</v>
      </c>
      <c r="K887" s="16" t="n">
        <v>24</v>
      </c>
      <c r="L887" s="2" t="inlineStr">
        <is>
          <t>20260310002543</t>
        </is>
      </c>
      <c r="M887" s="8">
        <f>HYPERLINK("https://dart.fss.or.kr/dsaf001/main.do?rcpNo=20260310002543", "공시열람")</f>
        <v/>
      </c>
    </row>
    <row r="888" ht="22" customHeight="1">
      <c r="A888" s="2" t="inlineStr">
        <is>
          <t>2026-03-10</t>
        </is>
      </c>
      <c r="B888" s="3" t="inlineStr">
        <is>
          <t>미래에셋비전스팩8호</t>
        </is>
      </c>
      <c r="C888" s="2" t="inlineStr">
        <is>
          <t>0093G0</t>
        </is>
      </c>
      <c r="D888" s="2" t="inlineStr">
        <is>
          <t>대량보유</t>
        </is>
      </c>
      <c r="E888" s="3" t="inlineStr">
        <is>
          <t>비엔비자산운용(주)</t>
        </is>
      </c>
      <c r="F888" s="3" t="inlineStr">
        <is>
          <t>특별관계자</t>
        </is>
      </c>
      <c r="G888" s="3" t="inlineStr">
        <is>
          <t>장내매수(+)</t>
        </is>
      </c>
      <c r="H888" s="15" t="n">
        <v>76200</v>
      </c>
      <c r="I888" s="6" t="n">
        <v>1988</v>
      </c>
      <c r="J888" s="6" t="n">
        <v>408000</v>
      </c>
      <c r="K888" s="16" t="n">
        <v>6.38</v>
      </c>
      <c r="L888" s="2" t="inlineStr">
        <is>
          <t>20260310002529</t>
        </is>
      </c>
      <c r="M888" s="8">
        <f>HYPERLINK("https://dart.fss.or.kr/dsaf001/main.do?rcpNo=20260310002529", "공시열람")</f>
        <v/>
      </c>
    </row>
    <row r="889" ht="22" customHeight="1">
      <c r="A889" s="2" t="inlineStr">
        <is>
          <t>2026-03-10</t>
        </is>
      </c>
      <c r="B889" s="3" t="inlineStr">
        <is>
          <t>아이에이</t>
        </is>
      </c>
      <c r="C889" s="2" t="inlineStr">
        <is>
          <t>038880</t>
        </is>
      </c>
      <c r="D889" s="2" t="inlineStr">
        <is>
          <t>대량보유</t>
        </is>
      </c>
      <c r="E889" s="3" t="inlineStr">
        <is>
          <t>한성용</t>
        </is>
      </c>
      <c r="F889" s="3" t="inlineStr">
        <is>
          <t>특별관계자</t>
        </is>
      </c>
      <c r="G889" s="3" t="inlineStr">
        <is>
          <t>장내매수(+)</t>
        </is>
      </c>
      <c r="H889" s="15" t="n">
        <v>100000</v>
      </c>
      <c r="I889" s="6" t="n">
        <v>150</v>
      </c>
      <c r="J889" s="6" t="n">
        <v>100000</v>
      </c>
      <c r="K889" s="16" t="n">
        <v>4</v>
      </c>
      <c r="L889" s="2" t="inlineStr">
        <is>
          <t>20260310002479</t>
        </is>
      </c>
      <c r="M889" s="8">
        <f>HYPERLINK("https://dart.fss.or.kr/dsaf001/main.do?rcpNo=20260310002479", "공시열람")</f>
        <v/>
      </c>
    </row>
    <row r="890" ht="22" customHeight="1">
      <c r="A890" s="2" t="inlineStr">
        <is>
          <t>2026-03-10</t>
        </is>
      </c>
      <c r="B890" s="3" t="inlineStr">
        <is>
          <t>한중엔시에스</t>
        </is>
      </c>
      <c r="C890" s="2" t="inlineStr">
        <is>
          <t>107640</t>
        </is>
      </c>
      <c r="D890" s="2" t="inlineStr">
        <is>
          <t>대량보유</t>
        </is>
      </c>
      <c r="E890" s="3" t="inlineStr">
        <is>
          <t>한화자산운용㈜</t>
        </is>
      </c>
      <c r="F890" s="3" t="inlineStr">
        <is>
          <t>특별관계자</t>
        </is>
      </c>
      <c r="G890" s="3" t="inlineStr">
        <is>
          <t>장내매도(-), 장내매수(+), 기타(-), 기타(+)</t>
        </is>
      </c>
      <c r="H890" s="17" t="n">
        <v>-75790</v>
      </c>
      <c r="I890" s="6" t="n">
        <v>44369</v>
      </c>
      <c r="J890" s="6" t="n">
        <v>474370</v>
      </c>
      <c r="K890" s="16" t="n">
        <v>2</v>
      </c>
      <c r="L890" s="2" t="inlineStr">
        <is>
          <t>20260310002475</t>
        </is>
      </c>
      <c r="M890" s="8">
        <f>HYPERLINK("https://dart.fss.or.kr/dsaf001/main.do?rcpNo=20260310002475", "공시열람")</f>
        <v/>
      </c>
    </row>
    <row r="891" ht="22" customHeight="1">
      <c r="A891" s="2" t="inlineStr">
        <is>
          <t>2026-03-10</t>
        </is>
      </c>
      <c r="B891" s="3" t="inlineStr">
        <is>
          <t>한중엔시에스</t>
        </is>
      </c>
      <c r="C891" s="2" t="inlineStr">
        <is>
          <t>107640</t>
        </is>
      </c>
      <c r="D891" s="2" t="inlineStr">
        <is>
          <t>대량보유</t>
        </is>
      </c>
      <c r="E891" s="3" t="inlineStr">
        <is>
          <t>한화생명보험㈜</t>
        </is>
      </c>
      <c r="F891" s="3" t="inlineStr">
        <is>
          <t>특별관계자</t>
        </is>
      </c>
      <c r="G891" s="3" t="inlineStr">
        <is>
          <t>장내매수(+), 장내매도(-)</t>
        </is>
      </c>
      <c r="H891" s="17" t="n">
        <v>-19020</v>
      </c>
      <c r="I891" s="6" t="n">
        <v>45023</v>
      </c>
      <c r="J891" s="6" t="inlineStr"/>
      <c r="K891" s="16" t="n">
        <v>2</v>
      </c>
      <c r="L891" s="2" t="inlineStr">
        <is>
          <t>20260310002475</t>
        </is>
      </c>
      <c r="M891" s="8">
        <f>HYPERLINK("https://dart.fss.or.kr/dsaf001/main.do?rcpNo=20260310002475", "공시열람")</f>
        <v/>
      </c>
    </row>
    <row r="892" ht="22" customHeight="1">
      <c r="A892" s="2" t="inlineStr">
        <is>
          <t>2026-03-10</t>
        </is>
      </c>
      <c r="B892" s="3" t="inlineStr">
        <is>
          <t>블리츠웨이엔터테인먼트</t>
        </is>
      </c>
      <c r="C892" s="2" t="inlineStr">
        <is>
          <t>369370</t>
        </is>
      </c>
      <c r="D892" s="2" t="inlineStr">
        <is>
          <t>대량보유</t>
        </is>
      </c>
      <c r="E892" s="3" t="inlineStr">
        <is>
          <t>배용준</t>
        </is>
      </c>
      <c r="F892" s="3" t="inlineStr">
        <is>
          <t>특별관계자</t>
        </is>
      </c>
      <c r="G892" s="3" t="inlineStr">
        <is>
          <t>장내매수(+)</t>
        </is>
      </c>
      <c r="H892" s="15" t="n">
        <v>453714</v>
      </c>
      <c r="I892" s="6" t="n">
        <v>1165</v>
      </c>
      <c r="J892" s="6" t="n">
        <v>4301876</v>
      </c>
      <c r="K892" s="16" t="n">
        <v>8.630000000000001</v>
      </c>
      <c r="L892" s="2" t="inlineStr">
        <is>
          <t>20260310002456</t>
        </is>
      </c>
      <c r="M892" s="8">
        <f>HYPERLINK("https://dart.fss.or.kr/dsaf001/main.do?rcpNo=20260310002456", "공시열람")</f>
        <v/>
      </c>
    </row>
    <row r="893" ht="22" customHeight="1">
      <c r="A893" s="2" t="inlineStr">
        <is>
          <t>2026-03-10</t>
        </is>
      </c>
      <c r="B893" s="3" t="inlineStr">
        <is>
          <t>조비</t>
        </is>
      </c>
      <c r="C893" s="2" t="inlineStr">
        <is>
          <t>001550</t>
        </is>
      </c>
      <c r="D893" s="2" t="inlineStr">
        <is>
          <t>대량보유</t>
        </is>
      </c>
      <c r="E893" s="3" t="inlineStr">
        <is>
          <t>(주)리더스케미컬</t>
        </is>
      </c>
      <c r="F893" s="3" t="inlineStr">
        <is>
          <t>특별관계자</t>
        </is>
      </c>
      <c r="G893" s="3" t="inlineStr">
        <is>
          <t>장내매도(-)</t>
        </is>
      </c>
      <c r="H893" s="17" t="n">
        <v>-41222</v>
      </c>
      <c r="I893" s="6" t="n">
        <v>18745</v>
      </c>
      <c r="J893" s="6" t="n">
        <v>30000</v>
      </c>
      <c r="K893" s="16" t="n">
        <v>2</v>
      </c>
      <c r="L893" s="2" t="inlineStr">
        <is>
          <t>20260310002452</t>
        </is>
      </c>
      <c r="M893" s="8">
        <f>HYPERLINK("https://dart.fss.or.kr/dsaf001/main.do?rcpNo=20260310002452", "공시열람")</f>
        <v/>
      </c>
    </row>
    <row r="894" ht="22" customHeight="1">
      <c r="A894" s="2" t="inlineStr">
        <is>
          <t>2026-03-10</t>
        </is>
      </c>
      <c r="B894" s="3" t="inlineStr">
        <is>
          <t>코리안리</t>
        </is>
      </c>
      <c r="C894" s="2" t="inlineStr">
        <is>
          <t>003690</t>
        </is>
      </c>
      <c r="D894" s="2" t="inlineStr">
        <is>
          <t>대량보유</t>
        </is>
      </c>
      <c r="E894" s="3" t="inlineStr">
        <is>
          <t>이필규</t>
        </is>
      </c>
      <c r="F894" s="3" t="inlineStr">
        <is>
          <t>특별관계자</t>
        </is>
      </c>
      <c r="G894" s="3" t="inlineStr">
        <is>
          <t>증여(-)</t>
        </is>
      </c>
      <c r="H894" s="17" t="n">
        <v>-2000000</v>
      </c>
      <c r="I894" s="6" t="inlineStr"/>
      <c r="J894" s="6" t="n">
        <v>2678788</v>
      </c>
      <c r="K894" s="16" t="n">
        <v>5</v>
      </c>
      <c r="L894" s="2" t="inlineStr">
        <is>
          <t>20260310002414</t>
        </is>
      </c>
      <c r="M894" s="8">
        <f>HYPERLINK("https://dart.fss.or.kr/dsaf001/main.do?rcpNo=20260310002414", "공시열람")</f>
        <v/>
      </c>
    </row>
    <row r="895" ht="22" customHeight="1">
      <c r="A895" s="2" t="inlineStr">
        <is>
          <t>2026-03-10</t>
        </is>
      </c>
      <c r="B895" s="3" t="inlineStr">
        <is>
          <t>제이엠멀티</t>
        </is>
      </c>
      <c r="C895" s="2" t="inlineStr">
        <is>
          <t>254160</t>
        </is>
      </c>
      <c r="D895" s="2" t="inlineStr">
        <is>
          <t>대량보유</t>
        </is>
      </c>
      <c r="E895" s="3" t="inlineStr">
        <is>
          <t>박훈웅</t>
        </is>
      </c>
      <c r="F895" s="3" t="inlineStr">
        <is>
          <t>특별관계자</t>
        </is>
      </c>
      <c r="G895" s="3" t="inlineStr">
        <is>
          <t>장내매수(+)</t>
        </is>
      </c>
      <c r="H895" s="15" t="n">
        <v>18853</v>
      </c>
      <c r="I895" s="6" t="n">
        <v>3756</v>
      </c>
      <c r="J895" s="6" t="n">
        <v>1914853</v>
      </c>
      <c r="K895" s="16" t="n">
        <v>6</v>
      </c>
      <c r="L895" s="2" t="inlineStr">
        <is>
          <t>20260310002408</t>
        </is>
      </c>
      <c r="M895" s="8">
        <f>HYPERLINK("https://dart.fss.or.kr/dsaf001/main.do?rcpNo=20260310002408", "공시열람")</f>
        <v/>
      </c>
    </row>
    <row r="896" ht="22" customHeight="1">
      <c r="A896" s="2" t="inlineStr">
        <is>
          <t>2026-03-10</t>
        </is>
      </c>
      <c r="B896" s="3" t="inlineStr">
        <is>
          <t>제이엠멀티</t>
        </is>
      </c>
      <c r="C896" s="2" t="inlineStr">
        <is>
          <t>254160</t>
        </is>
      </c>
      <c r="D896" s="2" t="inlineStr">
        <is>
          <t>대량보유</t>
        </is>
      </c>
      <c r="E896" s="3" t="inlineStr">
        <is>
          <t>고문정</t>
        </is>
      </c>
      <c r="F896" s="3" t="inlineStr">
        <is>
          <t>특별관계자</t>
        </is>
      </c>
      <c r="G896" s="3" t="inlineStr">
        <is>
          <t>장내매수(+)</t>
        </is>
      </c>
      <c r="H896" s="15" t="n">
        <v>12588</v>
      </c>
      <c r="I896" s="6" t="n">
        <v>3788</v>
      </c>
      <c r="J896" s="6" t="n">
        <v>1878618</v>
      </c>
      <c r="K896" s="16" t="n">
        <v>6</v>
      </c>
      <c r="L896" s="2" t="inlineStr">
        <is>
          <t>20260310002408</t>
        </is>
      </c>
      <c r="M896" s="8">
        <f>HYPERLINK("https://dart.fss.or.kr/dsaf001/main.do?rcpNo=20260310002408", "공시열람")</f>
        <v/>
      </c>
    </row>
    <row r="897" ht="22" customHeight="1">
      <c r="A897" s="2" t="inlineStr">
        <is>
          <t>2026-03-10</t>
        </is>
      </c>
      <c r="B897" s="3" t="inlineStr">
        <is>
          <t>제이엠멀티</t>
        </is>
      </c>
      <c r="C897" s="2" t="inlineStr">
        <is>
          <t>254160</t>
        </is>
      </c>
      <c r="D897" s="2" t="inlineStr">
        <is>
          <t>대량보유</t>
        </is>
      </c>
      <c r="E897" s="3" t="inlineStr">
        <is>
          <t>김남균</t>
        </is>
      </c>
      <c r="F897" s="3" t="inlineStr">
        <is>
          <t>특별관계자</t>
        </is>
      </c>
      <c r="G897" s="3" t="inlineStr">
        <is>
          <t>장내매수(+), 장내매도(-)</t>
        </is>
      </c>
      <c r="H897" s="15" t="n">
        <v>1409</v>
      </c>
      <c r="I897" s="6" t="n">
        <v>2816</v>
      </c>
      <c r="J897" s="6" t="n">
        <v>55409</v>
      </c>
      <c r="K897" s="16" t="n">
        <v>6</v>
      </c>
      <c r="L897" s="2" t="inlineStr">
        <is>
          <t>20260310002408</t>
        </is>
      </c>
      <c r="M897" s="8">
        <f>HYPERLINK("https://dart.fss.or.kr/dsaf001/main.do?rcpNo=20260310002408", "공시열람")</f>
        <v/>
      </c>
    </row>
    <row r="898" ht="22" customHeight="1">
      <c r="A898" s="2" t="inlineStr">
        <is>
          <t>2026-03-10</t>
        </is>
      </c>
      <c r="B898" s="3" t="inlineStr">
        <is>
          <t>제이엠멀티</t>
        </is>
      </c>
      <c r="C898" s="2" t="inlineStr">
        <is>
          <t>254160</t>
        </is>
      </c>
      <c r="D898" s="2" t="inlineStr">
        <is>
          <t>대량보유</t>
        </is>
      </c>
      <c r="E898" s="3" t="inlineStr">
        <is>
          <t>박보준</t>
        </is>
      </c>
      <c r="F898" s="3" t="inlineStr">
        <is>
          <t>특별관계자</t>
        </is>
      </c>
      <c r="G898" s="3" t="inlineStr">
        <is>
          <t>장내매수(+)</t>
        </is>
      </c>
      <c r="H898" s="15" t="n">
        <v>848</v>
      </c>
      <c r="I898" s="6" t="n">
        <v>2623</v>
      </c>
      <c r="J898" s="6" t="n">
        <v>51838</v>
      </c>
      <c r="K898" s="16" t="n">
        <v>6</v>
      </c>
      <c r="L898" s="2" t="inlineStr">
        <is>
          <t>20260310002408</t>
        </is>
      </c>
      <c r="M898" s="8">
        <f>HYPERLINK("https://dart.fss.or.kr/dsaf001/main.do?rcpNo=20260310002408", "공시열람")</f>
        <v/>
      </c>
    </row>
    <row r="899" ht="22" customHeight="1">
      <c r="A899" s="2" t="inlineStr">
        <is>
          <t>2026-03-10</t>
        </is>
      </c>
      <c r="B899" s="3" t="inlineStr">
        <is>
          <t>미원상사</t>
        </is>
      </c>
      <c r="C899" s="2" t="inlineStr">
        <is>
          <t>002840</t>
        </is>
      </c>
      <c r="D899" s="2" t="inlineStr">
        <is>
          <t>임원보고</t>
        </is>
      </c>
      <c r="E899" s="3" t="inlineStr">
        <is>
          <t>-</t>
        </is>
      </c>
      <c r="F899" s="3" t="inlineStr">
        <is>
          <t>-</t>
        </is>
      </c>
      <c r="G899" s="3" t="inlineStr">
        <is>
          <t>-</t>
        </is>
      </c>
      <c r="H899" s="6" t="inlineStr"/>
      <c r="I899" s="6" t="inlineStr"/>
      <c r="J899" s="6" t="inlineStr"/>
      <c r="K899" s="16" t="n">
        <v>12</v>
      </c>
      <c r="L899" s="2" t="inlineStr">
        <is>
          <t>20260310800679</t>
        </is>
      </c>
      <c r="M899" s="8">
        <f>HYPERLINK("https://dart.fss.or.kr/dsaf001/main.do?rcpNo=20260310800679", "공시열람")</f>
        <v/>
      </c>
    </row>
    <row r="900" ht="22" customHeight="1">
      <c r="A900" s="2" t="inlineStr">
        <is>
          <t>2026-03-10</t>
        </is>
      </c>
      <c r="B900" s="3" t="inlineStr">
        <is>
          <t>KB금융</t>
        </is>
      </c>
      <c r="C900" s="2" t="inlineStr">
        <is>
          <t>105560</t>
        </is>
      </c>
      <c r="D900" s="2" t="inlineStr">
        <is>
          <t>임원보고</t>
        </is>
      </c>
      <c r="E900" s="3" t="inlineStr">
        <is>
          <t>-</t>
        </is>
      </c>
      <c r="F900" s="3" t="inlineStr">
        <is>
          <t>-</t>
        </is>
      </c>
      <c r="G900" s="3" t="inlineStr">
        <is>
          <t>-</t>
        </is>
      </c>
      <c r="H900" s="6" t="inlineStr"/>
      <c r="I900" s="6" t="inlineStr"/>
      <c r="J900" s="6" t="inlineStr"/>
      <c r="K900" s="16" t="n">
        <v>12</v>
      </c>
      <c r="L900" s="2" t="inlineStr">
        <is>
          <t>20260310800647</t>
        </is>
      </c>
      <c r="M900" s="8">
        <f>HYPERLINK("https://dart.fss.or.kr/dsaf001/main.do?rcpNo=20260310800647", "공시열람")</f>
        <v/>
      </c>
    </row>
    <row r="901" ht="22" customHeight="1">
      <c r="A901" s="2" t="inlineStr">
        <is>
          <t>2026-03-10</t>
        </is>
      </c>
      <c r="B901" s="3" t="inlineStr">
        <is>
          <t>부국증권</t>
        </is>
      </c>
      <c r="C901" s="2" t="inlineStr">
        <is>
          <t>001270</t>
        </is>
      </c>
      <c r="D901" s="2" t="inlineStr">
        <is>
          <t>대량보유</t>
        </is>
      </c>
      <c r="E901" s="3" t="inlineStr">
        <is>
          <t>케이프투자증권(주)</t>
        </is>
      </c>
      <c r="F901" s="3" t="inlineStr">
        <is>
          <t>특별관계자</t>
        </is>
      </c>
      <c r="G901" s="3" t="inlineStr">
        <is>
          <t>장내매수(+), 장내매도(-)</t>
        </is>
      </c>
      <c r="H901" s="17" t="n">
        <v>-396293</v>
      </c>
      <c r="I901" s="6" t="n">
        <v>81461</v>
      </c>
      <c r="J901" s="6" t="n">
        <v>603707</v>
      </c>
      <c r="K901" s="16" t="n">
        <v>5.82</v>
      </c>
      <c r="L901" s="2" t="inlineStr">
        <is>
          <t>20260310002348</t>
        </is>
      </c>
      <c r="M901" s="8">
        <f>HYPERLINK("https://dart.fss.or.kr/dsaf001/main.do?rcpNo=20260310002348", "공시열람")</f>
        <v/>
      </c>
    </row>
    <row r="902" ht="22" customHeight="1">
      <c r="A902" s="2" t="inlineStr">
        <is>
          <t>2026-03-10</t>
        </is>
      </c>
      <c r="B902" s="3" t="inlineStr">
        <is>
          <t>한선엔지니어링</t>
        </is>
      </c>
      <c r="C902" s="2" t="inlineStr">
        <is>
          <t>452280</t>
        </is>
      </c>
      <c r="D902" s="2" t="inlineStr">
        <is>
          <t>대량보유</t>
        </is>
      </c>
      <c r="E902" s="3" t="inlineStr">
        <is>
          <t>대신신기술투자조합제18호</t>
        </is>
      </c>
      <c r="F902" s="3" t="inlineStr">
        <is>
          <t>특별관계자</t>
        </is>
      </c>
      <c r="G902" s="3" t="inlineStr">
        <is>
          <t>행사가액조정, 전환등(-), 전환사채의권리행사(+), 장내매도(-)</t>
        </is>
      </c>
      <c r="H902" s="17" t="n">
        <v>-280413</v>
      </c>
      <c r="I902" s="6" t="n">
        <v>8316</v>
      </c>
      <c r="J902" s="6" t="n">
        <v>19995</v>
      </c>
      <c r="K902" s="16" t="n">
        <v>2</v>
      </c>
      <c r="L902" s="2" t="inlineStr">
        <is>
          <t>20260310002336</t>
        </is>
      </c>
      <c r="M902" s="8">
        <f>HYPERLINK("https://dart.fss.or.kr/dsaf001/main.do?rcpNo=20260310002336", "공시열람")</f>
        <v/>
      </c>
    </row>
    <row r="903" ht="22" customHeight="1">
      <c r="A903" s="2" t="inlineStr">
        <is>
          <t>2026-03-10</t>
        </is>
      </c>
      <c r="B903" s="3" t="inlineStr">
        <is>
          <t>한선엔지니어링</t>
        </is>
      </c>
      <c r="C903" s="2" t="inlineStr">
        <is>
          <t>452280</t>
        </is>
      </c>
      <c r="D903" s="2" t="inlineStr">
        <is>
          <t>대량보유</t>
        </is>
      </c>
      <c r="E903" s="3" t="inlineStr">
        <is>
          <t>2024대신-킹고GrowthCapital신기술투자조합</t>
        </is>
      </c>
      <c r="F903" s="3" t="inlineStr">
        <is>
          <t>특별관계자</t>
        </is>
      </c>
      <c r="G903" s="3" t="inlineStr">
        <is>
          <t>행사가액조정, 기타(-), 전환등(-), 전환사채의권리행사(+), 장내매도(-)</t>
        </is>
      </c>
      <c r="H903" s="15" t="n">
        <v>9954</v>
      </c>
      <c r="I903" s="6" t="n">
        <v>7836</v>
      </c>
      <c r="J903" s="6" t="n">
        <v>39471</v>
      </c>
      <c r="K903" s="16" t="n">
        <v>2</v>
      </c>
      <c r="L903" s="2" t="inlineStr">
        <is>
          <t>20260310002336</t>
        </is>
      </c>
      <c r="M903" s="8">
        <f>HYPERLINK("https://dart.fss.or.kr/dsaf001/main.do?rcpNo=20260310002336", "공시열람")</f>
        <v/>
      </c>
    </row>
    <row r="904" ht="22" customHeight="1">
      <c r="A904" s="2" t="inlineStr">
        <is>
          <t>2026-03-10</t>
        </is>
      </c>
      <c r="B904" s="3" t="inlineStr">
        <is>
          <t>일정실업</t>
        </is>
      </c>
      <c r="C904" s="2" t="inlineStr">
        <is>
          <t>008500</t>
        </is>
      </c>
      <c r="D904" s="2" t="inlineStr">
        <is>
          <t>임원보고</t>
        </is>
      </c>
      <c r="E904" s="3" t="inlineStr">
        <is>
          <t>-</t>
        </is>
      </c>
      <c r="F904" s="3" t="inlineStr">
        <is>
          <t>-</t>
        </is>
      </c>
      <c r="G904" s="3" t="inlineStr">
        <is>
          <t>-</t>
        </is>
      </c>
      <c r="H904" s="6" t="inlineStr"/>
      <c r="I904" s="6" t="inlineStr"/>
      <c r="J904" s="6" t="inlineStr"/>
      <c r="K904" s="16" t="n">
        <v>12</v>
      </c>
      <c r="L904" s="2" t="inlineStr">
        <is>
          <t>20260310800529</t>
        </is>
      </c>
      <c r="M904" s="8">
        <f>HYPERLINK("https://dart.fss.or.kr/dsaf001/main.do?rcpNo=20260310800529", "공시열람")</f>
        <v/>
      </c>
    </row>
    <row r="905" ht="22" customHeight="1">
      <c r="A905" s="2" t="inlineStr">
        <is>
          <t>2026-03-10</t>
        </is>
      </c>
      <c r="B905" s="3" t="inlineStr">
        <is>
          <t>솔브레인</t>
        </is>
      </c>
      <c r="C905" s="2" t="inlineStr">
        <is>
          <t>357780</t>
        </is>
      </c>
      <c r="D905" s="2" t="inlineStr">
        <is>
          <t>대량보유</t>
        </is>
      </c>
      <c r="E905" s="3" t="inlineStr">
        <is>
          <t>FIAMINTSCVALPLTT21808</t>
        </is>
      </c>
      <c r="F905" s="3" t="inlineStr">
        <is>
          <t>특별관계자</t>
        </is>
      </c>
      <c r="G905" s="3" t="inlineStr">
        <is>
          <t>장내매도(-)</t>
        </is>
      </c>
      <c r="H905" s="17" t="n">
        <v>-44</v>
      </c>
      <c r="I905" s="6" t="n">
        <v>405718</v>
      </c>
      <c r="J905" s="6" t="inlineStr"/>
      <c r="K905" s="16" t="n">
        <v>32</v>
      </c>
      <c r="L905" s="2" t="inlineStr">
        <is>
          <t>20260310002274</t>
        </is>
      </c>
      <c r="M905" s="8">
        <f>HYPERLINK("https://dart.fss.or.kr/dsaf001/main.do?rcpNo=20260310002274", "공시열람")</f>
        <v/>
      </c>
    </row>
    <row r="906" ht="22" customHeight="1">
      <c r="A906" s="2" t="inlineStr">
        <is>
          <t>2026-03-10</t>
        </is>
      </c>
      <c r="B906" s="3" t="inlineStr">
        <is>
          <t>솔브레인</t>
        </is>
      </c>
      <c r="C906" s="2" t="inlineStr">
        <is>
          <t>357780</t>
        </is>
      </c>
      <c r="D906" s="2" t="inlineStr">
        <is>
          <t>대량보유</t>
        </is>
      </c>
      <c r="E906" s="3" t="inlineStr">
        <is>
          <t>FIDEMERGINGMKTSDISCOVERYFD</t>
        </is>
      </c>
      <c r="F906" s="3" t="inlineStr">
        <is>
          <t>특별관계자</t>
        </is>
      </c>
      <c r="G906" s="3" t="inlineStr">
        <is>
          <t>장내매도(-)</t>
        </is>
      </c>
      <c r="H906" s="17" t="n">
        <v>-9720</v>
      </c>
      <c r="I906" s="6" t="n">
        <v>417298</v>
      </c>
      <c r="J906" s="6" t="n">
        <v>46247</v>
      </c>
      <c r="K906" s="16" t="n">
        <v>32</v>
      </c>
      <c r="L906" s="2" t="inlineStr">
        <is>
          <t>20260310002274</t>
        </is>
      </c>
      <c r="M906" s="8">
        <f>HYPERLINK("https://dart.fss.or.kr/dsaf001/main.do?rcpNo=20260310002274", "공시열람")</f>
        <v/>
      </c>
    </row>
    <row r="907" ht="22" customHeight="1">
      <c r="A907" s="2" t="inlineStr">
        <is>
          <t>2026-03-10</t>
        </is>
      </c>
      <c r="B907" s="3" t="inlineStr">
        <is>
          <t>솔브레인</t>
        </is>
      </c>
      <c r="C907" s="2" t="inlineStr">
        <is>
          <t>357780</t>
        </is>
      </c>
      <c r="D907" s="2" t="inlineStr">
        <is>
          <t>대량보유</t>
        </is>
      </c>
      <c r="E907" s="3" t="inlineStr">
        <is>
          <t>FIDLOWPRICESTKCASH</t>
        </is>
      </c>
      <c r="F907" s="3" t="inlineStr">
        <is>
          <t>특별관계자</t>
        </is>
      </c>
      <c r="G907" s="3" t="inlineStr">
        <is>
          <t>장내매도(-)</t>
        </is>
      </c>
      <c r="H907" s="17" t="n">
        <v>-25437</v>
      </c>
      <c r="I907" s="6" t="n">
        <v>412892</v>
      </c>
      <c r="J907" s="6" t="n">
        <v>62877</v>
      </c>
      <c r="K907" s="16" t="n">
        <v>32</v>
      </c>
      <c r="L907" s="2" t="inlineStr">
        <is>
          <t>20260310002274</t>
        </is>
      </c>
      <c r="M907" s="8">
        <f>HYPERLINK("https://dart.fss.or.kr/dsaf001/main.do?rcpNo=20260310002274", "공시열람")</f>
        <v/>
      </c>
    </row>
    <row r="908" ht="22" customHeight="1">
      <c r="A908" s="2" t="inlineStr">
        <is>
          <t>2026-03-10</t>
        </is>
      </c>
      <c r="B908" s="3" t="inlineStr">
        <is>
          <t>솔브레인</t>
        </is>
      </c>
      <c r="C908" s="2" t="inlineStr">
        <is>
          <t>357780</t>
        </is>
      </c>
      <c r="D908" s="2" t="inlineStr">
        <is>
          <t>대량보유</t>
        </is>
      </c>
      <c r="E908" s="3" t="inlineStr">
        <is>
          <t>FIDLPSTKCPCASHSBT16851</t>
        </is>
      </c>
      <c r="F908" s="3" t="inlineStr">
        <is>
          <t>특별관계자</t>
        </is>
      </c>
      <c r="G908" s="3" t="inlineStr">
        <is>
          <t>장내매도(-)</t>
        </is>
      </c>
      <c r="H908" s="17" t="n">
        <v>-5700</v>
      </c>
      <c r="I908" s="6" t="n">
        <v>413802</v>
      </c>
      <c r="J908" s="6" t="n">
        <v>9900</v>
      </c>
      <c r="K908" s="16" t="n">
        <v>32</v>
      </c>
      <c r="L908" s="2" t="inlineStr">
        <is>
          <t>20260310002274</t>
        </is>
      </c>
      <c r="M908" s="8">
        <f>HYPERLINK("https://dart.fss.or.kr/dsaf001/main.do?rcpNo=20260310002274", "공시열람")</f>
        <v/>
      </c>
    </row>
    <row r="909" ht="22" customHeight="1">
      <c r="A909" s="2" t="inlineStr">
        <is>
          <t>2026-03-10</t>
        </is>
      </c>
      <c r="B909" s="3" t="inlineStr">
        <is>
          <t>솔브레인</t>
        </is>
      </c>
      <c r="C909" s="2" t="inlineStr">
        <is>
          <t>357780</t>
        </is>
      </c>
      <c r="D909" s="2" t="inlineStr">
        <is>
          <t>대량보유</t>
        </is>
      </c>
      <c r="E909" s="3" t="inlineStr">
        <is>
          <t>FIDLWPRSTKK6CASHSUB</t>
        </is>
      </c>
      <c r="F909" s="3" t="inlineStr">
        <is>
          <t>특별관계자</t>
        </is>
      </c>
      <c r="G909" s="3" t="inlineStr">
        <is>
          <t>장내매도(-)</t>
        </is>
      </c>
      <c r="H909" s="17" t="n">
        <v>-4900</v>
      </c>
      <c r="I909" s="6" t="n">
        <v>413380</v>
      </c>
      <c r="J909" s="6" t="n">
        <v>9600</v>
      </c>
      <c r="K909" s="16" t="n">
        <v>32</v>
      </c>
      <c r="L909" s="2" t="inlineStr">
        <is>
          <t>20260310002274</t>
        </is>
      </c>
      <c r="M909" s="8">
        <f>HYPERLINK("https://dart.fss.or.kr/dsaf001/main.do?rcpNo=20260310002274", "공시열람")</f>
        <v/>
      </c>
    </row>
    <row r="910" ht="22" customHeight="1">
      <c r="A910" s="2" t="inlineStr">
        <is>
          <t>2026-03-10</t>
        </is>
      </c>
      <c r="B910" s="3" t="inlineStr">
        <is>
          <t>솔브레인</t>
        </is>
      </c>
      <c r="C910" s="2" t="inlineStr">
        <is>
          <t>357780</t>
        </is>
      </c>
      <c r="D910" s="2" t="inlineStr">
        <is>
          <t>대량보유</t>
        </is>
      </c>
      <c r="E910" s="3" t="inlineStr">
        <is>
          <t>FIDSRSINLSMCPSUBA</t>
        </is>
      </c>
      <c r="F910" s="3" t="inlineStr">
        <is>
          <t>특별관계자</t>
        </is>
      </c>
      <c r="G910" s="3" t="inlineStr">
        <is>
          <t>장내매도(-)</t>
        </is>
      </c>
      <c r="H910" s="17" t="n">
        <v>-13795</v>
      </c>
      <c r="I910" s="6" t="n">
        <v>410822</v>
      </c>
      <c r="J910" s="6" t="inlineStr"/>
      <c r="K910" s="16" t="n">
        <v>32</v>
      </c>
      <c r="L910" s="2" t="inlineStr">
        <is>
          <t>20260310002274</t>
        </is>
      </c>
      <c r="M910" s="8">
        <f>HYPERLINK("https://dart.fss.or.kr/dsaf001/main.do?rcpNo=20260310002274", "공시열람")</f>
        <v/>
      </c>
    </row>
    <row r="911" ht="22" customHeight="1">
      <c r="A911" s="2" t="inlineStr">
        <is>
          <t>2026-03-10</t>
        </is>
      </c>
      <c r="B911" s="3" t="inlineStr">
        <is>
          <t>솔브레인</t>
        </is>
      </c>
      <c r="C911" s="2" t="inlineStr">
        <is>
          <t>357780</t>
        </is>
      </c>
      <c r="D911" s="2" t="inlineStr">
        <is>
          <t>대량보유</t>
        </is>
      </c>
      <c r="E911" s="3" t="inlineStr">
        <is>
          <t>FIDSRSINTRINSICOPPFND</t>
        </is>
      </c>
      <c r="F911" s="3" t="inlineStr">
        <is>
          <t>특별관계자</t>
        </is>
      </c>
      <c r="G911" s="3" t="inlineStr">
        <is>
          <t>장내매도(-)</t>
        </is>
      </c>
      <c r="H911" s="17" t="n">
        <v>-10910</v>
      </c>
      <c r="I911" s="6" t="n">
        <v>414417</v>
      </c>
      <c r="J911" s="6" t="n">
        <v>10100</v>
      </c>
      <c r="K911" s="16" t="n">
        <v>32</v>
      </c>
      <c r="L911" s="2" t="inlineStr">
        <is>
          <t>20260310002274</t>
        </is>
      </c>
      <c r="M911" s="8">
        <f>HYPERLINK("https://dart.fss.or.kr/dsaf001/main.do?rcpNo=20260310002274", "공시열람")</f>
        <v/>
      </c>
    </row>
    <row r="912" ht="22" customHeight="1">
      <c r="A912" s="2" t="inlineStr">
        <is>
          <t>2026-03-10</t>
        </is>
      </c>
      <c r="B912" s="3" t="inlineStr">
        <is>
          <t>솔브레인</t>
        </is>
      </c>
      <c r="C912" s="2" t="inlineStr">
        <is>
          <t>357780</t>
        </is>
      </c>
      <c r="D912" s="2" t="inlineStr">
        <is>
          <t>대량보유</t>
        </is>
      </c>
      <c r="E912" s="3" t="inlineStr">
        <is>
          <t>FIDELITYNORTHSTARFUNDSUBB</t>
        </is>
      </c>
      <c r="F912" s="3" t="inlineStr">
        <is>
          <t>특별관계자</t>
        </is>
      </c>
      <c r="G912" s="3" t="inlineStr">
        <is>
          <t>장내매도(-)</t>
        </is>
      </c>
      <c r="H912" s="17" t="n">
        <v>-4600</v>
      </c>
      <c r="I912" s="6" t="n">
        <v>413087</v>
      </c>
      <c r="J912" s="6" t="n">
        <v>11400</v>
      </c>
      <c r="K912" s="16" t="n">
        <v>32</v>
      </c>
      <c r="L912" s="2" t="inlineStr">
        <is>
          <t>20260310002274</t>
        </is>
      </c>
      <c r="M912" s="8">
        <f>HYPERLINK("https://dart.fss.or.kr/dsaf001/main.do?rcpNo=20260310002274", "공시열람")</f>
        <v/>
      </c>
    </row>
    <row r="913" ht="22" customHeight="1">
      <c r="A913" s="2" t="inlineStr">
        <is>
          <t>2026-03-10</t>
        </is>
      </c>
      <c r="B913" s="3" t="inlineStr">
        <is>
          <t>솔브레인</t>
        </is>
      </c>
      <c r="C913" s="2" t="inlineStr">
        <is>
          <t>357780</t>
        </is>
      </c>
      <c r="D913" s="2" t="inlineStr">
        <is>
          <t>대량보유</t>
        </is>
      </c>
      <c r="E913" s="3" t="inlineStr">
        <is>
          <t>FIJITEMTVALADEQMTH</t>
        </is>
      </c>
      <c r="F913" s="3" t="inlineStr">
        <is>
          <t>특별관계자</t>
        </is>
      </c>
      <c r="G913" s="3" t="inlineStr">
        <is>
          <t>장내매도(-)</t>
        </is>
      </c>
      <c r="H913" s="17" t="n">
        <v>-5191</v>
      </c>
      <c r="I913" s="6" t="n">
        <v>417490</v>
      </c>
      <c r="J913" s="6" t="n">
        <v>24368</v>
      </c>
      <c r="K913" s="16" t="n">
        <v>32</v>
      </c>
      <c r="L913" s="2" t="inlineStr">
        <is>
          <t>20260310002274</t>
        </is>
      </c>
      <c r="M913" s="8">
        <f>HYPERLINK("https://dart.fss.or.kr/dsaf001/main.do?rcpNo=20260310002274", "공시열람")</f>
        <v/>
      </c>
    </row>
    <row r="914" ht="22" customHeight="1">
      <c r="A914" s="2" t="inlineStr">
        <is>
          <t>2026-03-10</t>
        </is>
      </c>
      <c r="B914" s="3" t="inlineStr">
        <is>
          <t>솔브레인</t>
        </is>
      </c>
      <c r="C914" s="2" t="inlineStr">
        <is>
          <t>357780</t>
        </is>
      </c>
      <c r="D914" s="2" t="inlineStr">
        <is>
          <t>대량보유</t>
        </is>
      </c>
      <c r="E914" s="3" t="inlineStr">
        <is>
          <t>FIJITGLBValAdMother</t>
        </is>
      </c>
      <c r="F914" s="3" t="inlineStr">
        <is>
          <t>특별관계자</t>
        </is>
      </c>
      <c r="G914" s="3" t="inlineStr">
        <is>
          <t>장내매도(-)</t>
        </is>
      </c>
      <c r="H914" s="17" t="n">
        <v>-70307</v>
      </c>
      <c r="I914" s="6" t="n">
        <v>413417</v>
      </c>
      <c r="J914" s="6" t="n">
        <v>36395</v>
      </c>
      <c r="K914" s="16" t="n">
        <v>32</v>
      </c>
      <c r="L914" s="2" t="inlineStr">
        <is>
          <t>20260310002274</t>
        </is>
      </c>
      <c r="M914" s="8">
        <f>HYPERLINK("https://dart.fss.or.kr/dsaf001/main.do?rcpNo=20260310002274", "공시열람")</f>
        <v/>
      </c>
    </row>
    <row r="915" ht="22" customHeight="1">
      <c r="A915" s="2" t="inlineStr">
        <is>
          <t>2026-03-10</t>
        </is>
      </c>
      <c r="B915" s="3" t="inlineStr">
        <is>
          <t>솔브레인</t>
        </is>
      </c>
      <c r="C915" s="2" t="inlineStr">
        <is>
          <t>357780</t>
        </is>
      </c>
      <c r="D915" s="2" t="inlineStr">
        <is>
          <t>대량보유</t>
        </is>
      </c>
      <c r="E915" s="3" t="inlineStr">
        <is>
          <t>NRRITEMERGMRKTEQTYT55900</t>
        </is>
      </c>
      <c r="F915" s="3" t="inlineStr">
        <is>
          <t>특별관계자</t>
        </is>
      </c>
      <c r="G915" s="3" t="inlineStr">
        <is>
          <t>장내매도(-)</t>
        </is>
      </c>
      <c r="H915" s="17" t="n">
        <v>-600</v>
      </c>
      <c r="I915" s="6" t="n">
        <v>409740</v>
      </c>
      <c r="J915" s="6" t="n">
        <v>3240</v>
      </c>
      <c r="K915" s="16" t="n">
        <v>32</v>
      </c>
      <c r="L915" s="2" t="inlineStr">
        <is>
          <t>20260310002274</t>
        </is>
      </c>
      <c r="M915" s="8">
        <f>HYPERLINK("https://dart.fss.or.kr/dsaf001/main.do?rcpNo=20260310002274", "공시열람")</f>
        <v/>
      </c>
    </row>
    <row r="916" ht="22" customHeight="1">
      <c r="A916" s="2" t="inlineStr">
        <is>
          <t>2026-03-10</t>
        </is>
      </c>
      <c r="B916" s="3" t="inlineStr">
        <is>
          <t>솔브레인</t>
        </is>
      </c>
      <c r="C916" s="2" t="inlineStr">
        <is>
          <t>357780</t>
        </is>
      </c>
      <c r="D916" s="2" t="inlineStr">
        <is>
          <t>대량보유</t>
        </is>
      </c>
      <c r="E916" s="3" t="inlineStr">
        <is>
          <t>NYCTCHRETSLINSMCPT27179</t>
        </is>
      </c>
      <c r="F916" s="3" t="inlineStr">
        <is>
          <t>특별관계자</t>
        </is>
      </c>
      <c r="G916" s="3" t="inlineStr">
        <is>
          <t>장내매도(-)</t>
        </is>
      </c>
      <c r="H916" s="17" t="n">
        <v>-7731</v>
      </c>
      <c r="I916" s="6" t="n">
        <v>410874</v>
      </c>
      <c r="J916" s="6" t="inlineStr"/>
      <c r="K916" s="16" t="n">
        <v>32</v>
      </c>
      <c r="L916" s="2" t="inlineStr">
        <is>
          <t>20260310002274</t>
        </is>
      </c>
      <c r="M916" s="8">
        <f>HYPERLINK("https://dart.fss.or.kr/dsaf001/main.do?rcpNo=20260310002274", "공시열람")</f>
        <v/>
      </c>
    </row>
    <row r="917" ht="22" customHeight="1">
      <c r="A917" s="2" t="inlineStr">
        <is>
          <t>2026-03-10</t>
        </is>
      </c>
      <c r="B917" s="3" t="inlineStr">
        <is>
          <t>솔브레인</t>
        </is>
      </c>
      <c r="C917" s="2" t="inlineStr">
        <is>
          <t>357780</t>
        </is>
      </c>
      <c r="D917" s="2" t="inlineStr">
        <is>
          <t>대량보유</t>
        </is>
      </c>
      <c r="E917" s="3" t="inlineStr">
        <is>
          <t>PACSELINTLSMCAPT35720</t>
        </is>
      </c>
      <c r="F917" s="3" t="inlineStr">
        <is>
          <t>특별관계자</t>
        </is>
      </c>
      <c r="G917" s="3" t="inlineStr">
        <is>
          <t>장내매도(-)</t>
        </is>
      </c>
      <c r="H917" s="17" t="n">
        <v>-2100</v>
      </c>
      <c r="I917" s="6" t="n">
        <v>413705</v>
      </c>
      <c r="J917" s="6" t="n">
        <v>1750</v>
      </c>
      <c r="K917" s="16" t="n">
        <v>32</v>
      </c>
      <c r="L917" s="2" t="inlineStr">
        <is>
          <t>20260310002274</t>
        </is>
      </c>
      <c r="M917" s="8">
        <f>HYPERLINK("https://dart.fss.or.kr/dsaf001/main.do?rcpNo=20260310002274", "공시열람")</f>
        <v/>
      </c>
    </row>
    <row r="918" ht="22" customHeight="1">
      <c r="A918" s="2" t="inlineStr">
        <is>
          <t>2026-03-10</t>
        </is>
      </c>
      <c r="B918" s="3" t="inlineStr">
        <is>
          <t>솔브레인</t>
        </is>
      </c>
      <c r="C918" s="2" t="inlineStr">
        <is>
          <t>357780</t>
        </is>
      </c>
      <c r="D918" s="2" t="inlineStr">
        <is>
          <t>대량보유</t>
        </is>
      </c>
      <c r="E918" s="3" t="inlineStr">
        <is>
          <t>SAFIDUSTOTSTKINTOPP</t>
        </is>
      </c>
      <c r="F918" s="3" t="inlineStr">
        <is>
          <t>특별관계자</t>
        </is>
      </c>
      <c r="G918" s="3" t="inlineStr">
        <is>
          <t>장내매도(-)</t>
        </is>
      </c>
      <c r="H918" s="17" t="n">
        <v>-15906</v>
      </c>
      <c r="I918" s="6" t="n">
        <v>413262</v>
      </c>
      <c r="J918" s="6" t="n">
        <v>7840</v>
      </c>
      <c r="K918" s="16" t="n">
        <v>32</v>
      </c>
      <c r="L918" s="2" t="inlineStr">
        <is>
          <t>20260310002274</t>
        </is>
      </c>
      <c r="M918" s="8">
        <f>HYPERLINK("https://dart.fss.or.kr/dsaf001/main.do?rcpNo=20260310002274", "공시열람")</f>
        <v/>
      </c>
    </row>
    <row r="919" ht="22" customHeight="1">
      <c r="A919" s="2" t="inlineStr">
        <is>
          <t>2026-03-10</t>
        </is>
      </c>
      <c r="B919" s="3" t="inlineStr">
        <is>
          <t>솔브레인</t>
        </is>
      </c>
      <c r="C919" s="2" t="inlineStr">
        <is>
          <t>357780</t>
        </is>
      </c>
      <c r="D919" s="2" t="inlineStr">
        <is>
          <t>대량보유</t>
        </is>
      </c>
      <c r="E919" s="3" t="inlineStr">
        <is>
          <t>VERZFIAMSELINTSMCPT55882</t>
        </is>
      </c>
      <c r="F919" s="3" t="inlineStr">
        <is>
          <t>특별관계자</t>
        </is>
      </c>
      <c r="G919" s="3" t="inlineStr">
        <is>
          <t>장내매도(-)</t>
        </is>
      </c>
      <c r="H919" s="17" t="n">
        <v>-1100</v>
      </c>
      <c r="I919" s="6" t="n">
        <v>415319</v>
      </c>
      <c r="J919" s="6" t="n">
        <v>5300</v>
      </c>
      <c r="K919" s="16" t="n">
        <v>32</v>
      </c>
      <c r="L919" s="2" t="inlineStr">
        <is>
          <t>20260310002274</t>
        </is>
      </c>
      <c r="M919" s="8">
        <f>HYPERLINK("https://dart.fss.or.kr/dsaf001/main.do?rcpNo=20260310002274", "공시열람")</f>
        <v/>
      </c>
    </row>
    <row r="920" ht="22" customHeight="1">
      <c r="A920" s="2" t="inlineStr">
        <is>
          <t>2026-03-10</t>
        </is>
      </c>
      <c r="B920" s="3" t="inlineStr">
        <is>
          <t>모베이스</t>
        </is>
      </c>
      <c r="C920" s="2" t="inlineStr">
        <is>
          <t>101330</t>
        </is>
      </c>
      <c r="D920" s="2" t="inlineStr">
        <is>
          <t>대량보유</t>
        </is>
      </c>
      <c r="E920" s="3" t="inlineStr">
        <is>
          <t>김낙순</t>
        </is>
      </c>
      <c r="F920" s="3" t="inlineStr">
        <is>
          <t>특별관계자</t>
        </is>
      </c>
      <c r="G920" s="3" t="inlineStr">
        <is>
          <t>임원퇴임(-)</t>
        </is>
      </c>
      <c r="H920" s="17" t="n">
        <v>-60432</v>
      </c>
      <c r="I920" s="6" t="inlineStr"/>
      <c r="J920" s="6" t="inlineStr"/>
      <c r="K920" s="16" t="n">
        <v>3</v>
      </c>
      <c r="L920" s="2" t="inlineStr">
        <is>
          <t>20260310002272</t>
        </is>
      </c>
      <c r="M920" s="8">
        <f>HYPERLINK("https://dart.fss.or.kr/dsaf001/main.do?rcpNo=20260310002272", "공시열람")</f>
        <v/>
      </c>
    </row>
    <row r="921" ht="22" customHeight="1">
      <c r="A921" s="2" t="inlineStr">
        <is>
          <t>2026-03-10</t>
        </is>
      </c>
      <c r="B921" s="3" t="inlineStr">
        <is>
          <t>모베이스</t>
        </is>
      </c>
      <c r="C921" s="2" t="inlineStr">
        <is>
          <t>101330</t>
        </is>
      </c>
      <c r="D921" s="2" t="inlineStr">
        <is>
          <t>대량보유</t>
        </is>
      </c>
      <c r="E921" s="3" t="inlineStr">
        <is>
          <t>테크노에스(주)</t>
        </is>
      </c>
      <c r="F921" s="3" t="inlineStr">
        <is>
          <t>특별관계자</t>
        </is>
      </c>
      <c r="G921" s="3" t="inlineStr">
        <is>
          <t>장내매수(+)</t>
        </is>
      </c>
      <c r="H921" s="15" t="n">
        <v>366408</v>
      </c>
      <c r="I921" s="6" t="n">
        <v>5212</v>
      </c>
      <c r="J921" s="6" t="n">
        <v>366408</v>
      </c>
      <c r="K921" s="16" t="n">
        <v>3</v>
      </c>
      <c r="L921" s="2" t="inlineStr">
        <is>
          <t>20260310002272</t>
        </is>
      </c>
      <c r="M921" s="8">
        <f>HYPERLINK("https://dart.fss.or.kr/dsaf001/main.do?rcpNo=20260310002272", "공시열람")</f>
        <v/>
      </c>
    </row>
    <row r="922" ht="22" customHeight="1">
      <c r="A922" s="2" t="inlineStr">
        <is>
          <t>2026-03-10</t>
        </is>
      </c>
      <c r="B922" s="3" t="inlineStr">
        <is>
          <t>바텍</t>
        </is>
      </c>
      <c r="C922" s="2" t="inlineStr">
        <is>
          <t>043150</t>
        </is>
      </c>
      <c r="D922" s="2" t="inlineStr">
        <is>
          <t>대량보유</t>
        </is>
      </c>
      <c r="E922" s="3" t="inlineStr">
        <is>
          <t>FIAMSLINTLSMCEQLLCT51489</t>
        </is>
      </c>
      <c r="F922" s="3" t="inlineStr">
        <is>
          <t>특별관계자</t>
        </is>
      </c>
      <c r="G922" s="3" t="inlineStr">
        <is>
          <t>장내매도(-)</t>
        </is>
      </c>
      <c r="H922" s="17" t="n">
        <v>-27300</v>
      </c>
      <c r="I922" s="6" t="n">
        <v>20831</v>
      </c>
      <c r="J922" s="6" t="inlineStr"/>
      <c r="K922" s="16" t="n">
        <v>18</v>
      </c>
      <c r="L922" s="2" t="inlineStr">
        <is>
          <t>20260310002268</t>
        </is>
      </c>
      <c r="M922" s="8">
        <f>HYPERLINK("https://dart.fss.or.kr/dsaf001/main.do?rcpNo=20260310002268", "공시열람")</f>
        <v/>
      </c>
    </row>
    <row r="923" ht="22" customHeight="1">
      <c r="A923" s="2" t="inlineStr">
        <is>
          <t>2026-03-10</t>
        </is>
      </c>
      <c r="B923" s="3" t="inlineStr">
        <is>
          <t>바텍</t>
        </is>
      </c>
      <c r="C923" s="2" t="inlineStr">
        <is>
          <t>043150</t>
        </is>
      </c>
      <c r="D923" s="2" t="inlineStr">
        <is>
          <t>대량보유</t>
        </is>
      </c>
      <c r="E923" s="3" t="inlineStr">
        <is>
          <t>MSSELECTINTLSMCAPT51923</t>
        </is>
      </c>
      <c r="F923" s="3" t="inlineStr">
        <is>
          <t>특별관계자</t>
        </is>
      </c>
      <c r="G923" s="3" t="inlineStr">
        <is>
          <t>장내매도(-)</t>
        </is>
      </c>
      <c r="H923" s="17" t="n">
        <v>-15795</v>
      </c>
      <c r="I923" s="6" t="n">
        <v>20775</v>
      </c>
      <c r="J923" s="6" t="inlineStr"/>
      <c r="K923" s="16" t="n">
        <v>18</v>
      </c>
      <c r="L923" s="2" t="inlineStr">
        <is>
          <t>20260310002268</t>
        </is>
      </c>
      <c r="M923" s="8">
        <f>HYPERLINK("https://dart.fss.or.kr/dsaf001/main.do?rcpNo=20260310002268", "공시열람")</f>
        <v/>
      </c>
    </row>
    <row r="924" ht="22" customHeight="1">
      <c r="A924" s="2" t="inlineStr">
        <is>
          <t>2026-03-10</t>
        </is>
      </c>
      <c r="B924" s="3" t="inlineStr">
        <is>
          <t>바텍</t>
        </is>
      </c>
      <c r="C924" s="2" t="inlineStr">
        <is>
          <t>043150</t>
        </is>
      </c>
      <c r="D924" s="2" t="inlineStr">
        <is>
          <t>대량보유</t>
        </is>
      </c>
      <c r="E924" s="3" t="inlineStr">
        <is>
          <t>NRRITEMERGMRKTEQTYT55900</t>
        </is>
      </c>
      <c r="F924" s="3" t="inlineStr">
        <is>
          <t>특별관계자</t>
        </is>
      </c>
      <c r="G924" s="3" t="inlineStr">
        <is>
          <t>장내매도(-)</t>
        </is>
      </c>
      <c r="H924" s="17" t="n">
        <v>-600</v>
      </c>
      <c r="I924" s="6" t="n">
        <v>20186</v>
      </c>
      <c r="J924" s="6" t="n">
        <v>20290</v>
      </c>
      <c r="K924" s="16" t="n">
        <v>18</v>
      </c>
      <c r="L924" s="2" t="inlineStr">
        <is>
          <t>20260310002268</t>
        </is>
      </c>
      <c r="M924" s="8">
        <f>HYPERLINK("https://dart.fss.or.kr/dsaf001/main.do?rcpNo=20260310002268", "공시열람")</f>
        <v/>
      </c>
    </row>
    <row r="925" ht="22" customHeight="1">
      <c r="A925" s="2" t="inlineStr">
        <is>
          <t>2026-03-10</t>
        </is>
      </c>
      <c r="B925" s="3" t="inlineStr">
        <is>
          <t>다우데이타</t>
        </is>
      </c>
      <c r="C925" s="2" t="inlineStr">
        <is>
          <t>032190</t>
        </is>
      </c>
      <c r="D925" s="2" t="inlineStr">
        <is>
          <t>대량보유</t>
        </is>
      </c>
      <c r="E925" s="3" t="inlineStr">
        <is>
          <t>OrbisSICAVEmergingMarketsEquityFund</t>
        </is>
      </c>
      <c r="F925" s="3" t="inlineStr">
        <is>
          <t>특별관계자</t>
        </is>
      </c>
      <c r="G925" s="3" t="inlineStr">
        <is>
          <t>장내매수(+)</t>
        </is>
      </c>
      <c r="H925" s="15" t="n">
        <v>352949</v>
      </c>
      <c r="I925" s="6" t="n">
        <v>23574</v>
      </c>
      <c r="J925" s="6" t="n">
        <v>2113281</v>
      </c>
      <c r="K925" s="16" t="n">
        <v>4</v>
      </c>
      <c r="L925" s="2" t="inlineStr">
        <is>
          <t>20260310002255</t>
        </is>
      </c>
      <c r="M925" s="8">
        <f>HYPERLINK("https://dart.fss.or.kr/dsaf001/main.do?rcpNo=20260310002255", "공시열람")</f>
        <v/>
      </c>
    </row>
    <row r="926" ht="22" customHeight="1">
      <c r="A926" s="2" t="inlineStr">
        <is>
          <t>2026-03-10</t>
        </is>
      </c>
      <c r="B926" s="3" t="inlineStr">
        <is>
          <t>다우데이타</t>
        </is>
      </c>
      <c r="C926" s="2" t="inlineStr">
        <is>
          <t>032190</t>
        </is>
      </c>
      <c r="D926" s="2" t="inlineStr">
        <is>
          <t>대량보유</t>
        </is>
      </c>
      <c r="E926" s="3" t="inlineStr">
        <is>
          <t>OrbisEmergingMarketsEquityFund(AustraliaRegistered)</t>
        </is>
      </c>
      <c r="F926" s="3" t="inlineStr">
        <is>
          <t>특별관계자</t>
        </is>
      </c>
      <c r="G926" s="3" t="inlineStr">
        <is>
          <t>장내매수(+), 장내매도(-)</t>
        </is>
      </c>
      <c r="H926" s="15" t="n">
        <v>19484</v>
      </c>
      <c r="I926" s="6" t="n">
        <v>20920</v>
      </c>
      <c r="J926" s="6" t="n">
        <v>153354</v>
      </c>
      <c r="K926" s="16" t="n">
        <v>4</v>
      </c>
      <c r="L926" s="2" t="inlineStr">
        <is>
          <t>20260310002255</t>
        </is>
      </c>
      <c r="M926" s="8">
        <f>HYPERLINK("https://dart.fss.or.kr/dsaf001/main.do?rcpNo=20260310002255", "공시열람")</f>
        <v/>
      </c>
    </row>
    <row r="927" ht="22" customHeight="1">
      <c r="A927" s="2" t="inlineStr">
        <is>
          <t>2026-03-10</t>
        </is>
      </c>
      <c r="B927" s="3" t="inlineStr">
        <is>
          <t>다우데이타</t>
        </is>
      </c>
      <c r="C927" s="2" t="inlineStr">
        <is>
          <t>032190</t>
        </is>
      </c>
      <c r="D927" s="2" t="inlineStr">
        <is>
          <t>대량보유</t>
        </is>
      </c>
      <c r="E927" s="3" t="inlineStr">
        <is>
          <t>OrbisInstitutionalEmergingMarketsEquityL.P.</t>
        </is>
      </c>
      <c r="F927" s="3" t="inlineStr">
        <is>
          <t>특별관계자</t>
        </is>
      </c>
      <c r="G927" s="3" t="inlineStr">
        <is>
          <t>장내매수(+), 장내매도(-)</t>
        </is>
      </c>
      <c r="H927" s="15" t="n">
        <v>23791</v>
      </c>
      <c r="I927" s="6" t="n">
        <v>22191</v>
      </c>
      <c r="J927" s="6" t="n">
        <v>548641</v>
      </c>
      <c r="K927" s="16" t="n">
        <v>4</v>
      </c>
      <c r="L927" s="2" t="inlineStr">
        <is>
          <t>20260310002255</t>
        </is>
      </c>
      <c r="M927" s="8">
        <f>HYPERLINK("https://dart.fss.or.kr/dsaf001/main.do?rcpNo=20260310002255", "공시열람")</f>
        <v/>
      </c>
    </row>
    <row r="928" ht="22" customHeight="1">
      <c r="A928" s="2" t="inlineStr">
        <is>
          <t>2026-03-10</t>
        </is>
      </c>
      <c r="B928" s="3" t="inlineStr">
        <is>
          <t>비나텍</t>
        </is>
      </c>
      <c r="C928" s="2" t="inlineStr">
        <is>
          <t>126340</t>
        </is>
      </c>
      <c r="D928" s="2" t="inlineStr">
        <is>
          <t>대량보유</t>
        </is>
      </c>
      <c r="E928" s="3" t="inlineStr">
        <is>
          <t>성도경</t>
        </is>
      </c>
      <c r="F928" s="3" t="inlineStr">
        <is>
          <t>특별관계자</t>
        </is>
      </c>
      <c r="G928" s="3" t="inlineStr">
        <is>
          <t>콜옵션권리행사에따른주식취득(+)</t>
        </is>
      </c>
      <c r="H928" s="15" t="n">
        <v>139996</v>
      </c>
      <c r="I928" s="6" t="n">
        <v>37495</v>
      </c>
      <c r="J928" s="6" t="n">
        <v>1906244</v>
      </c>
      <c r="K928" s="16" t="n">
        <v>9</v>
      </c>
      <c r="L928" s="2" t="inlineStr">
        <is>
          <t>20260310002253</t>
        </is>
      </c>
      <c r="M928" s="8">
        <f>HYPERLINK("https://dart.fss.or.kr/dsaf001/main.do?rcpNo=20260310002253", "공시열람")</f>
        <v/>
      </c>
    </row>
    <row r="929" ht="22" customHeight="1">
      <c r="A929" s="2" t="inlineStr">
        <is>
          <t>2026-03-10</t>
        </is>
      </c>
      <c r="B929" s="3" t="inlineStr">
        <is>
          <t>비나텍</t>
        </is>
      </c>
      <c r="C929" s="2" t="inlineStr">
        <is>
          <t>126340</t>
        </is>
      </c>
      <c r="D929" s="2" t="inlineStr">
        <is>
          <t>대량보유</t>
        </is>
      </c>
      <c r="E929" s="3" t="inlineStr">
        <is>
          <t>정한기</t>
        </is>
      </c>
      <c r="F929" s="3" t="inlineStr">
        <is>
          <t>특별관계자</t>
        </is>
      </c>
      <c r="G929" s="3" t="inlineStr">
        <is>
          <t>콜옵션권리행사에따른주식취득(+)</t>
        </is>
      </c>
      <c r="H929" s="15" t="n">
        <v>5000</v>
      </c>
      <c r="I929" s="6" t="n">
        <v>37495</v>
      </c>
      <c r="J929" s="6" t="n">
        <v>38039</v>
      </c>
      <c r="K929" s="16" t="n">
        <v>9</v>
      </c>
      <c r="L929" s="2" t="inlineStr">
        <is>
          <t>20260310002253</t>
        </is>
      </c>
      <c r="M929" s="8">
        <f>HYPERLINK("https://dart.fss.or.kr/dsaf001/main.do?rcpNo=20260310002253", "공시열람")</f>
        <v/>
      </c>
    </row>
    <row r="930" ht="22" customHeight="1">
      <c r="A930" s="2" t="inlineStr">
        <is>
          <t>2026-03-10</t>
        </is>
      </c>
      <c r="B930" s="3" t="inlineStr">
        <is>
          <t>비나텍</t>
        </is>
      </c>
      <c r="C930" s="2" t="inlineStr">
        <is>
          <t>126340</t>
        </is>
      </c>
      <c r="D930" s="2" t="inlineStr">
        <is>
          <t>대량보유</t>
        </is>
      </c>
      <c r="E930" s="3" t="inlineStr">
        <is>
          <t>김경철</t>
        </is>
      </c>
      <c r="F930" s="3" t="inlineStr">
        <is>
          <t>특별관계자</t>
        </is>
      </c>
      <c r="G930" s="3" t="inlineStr">
        <is>
          <t>콜옵션권리행사에따른주식취득(+)</t>
        </is>
      </c>
      <c r="H930" s="15" t="n">
        <v>6000</v>
      </c>
      <c r="I930" s="6" t="n">
        <v>37495</v>
      </c>
      <c r="J930" s="6" t="n">
        <v>9969</v>
      </c>
      <c r="K930" s="16" t="n">
        <v>9</v>
      </c>
      <c r="L930" s="2" t="inlineStr">
        <is>
          <t>20260310002253</t>
        </is>
      </c>
      <c r="M930" s="8">
        <f>HYPERLINK("https://dart.fss.or.kr/dsaf001/main.do?rcpNo=20260310002253", "공시열람")</f>
        <v/>
      </c>
    </row>
    <row r="931" ht="22" customHeight="1">
      <c r="A931" s="2" t="inlineStr">
        <is>
          <t>2026-03-10 (정정: 2026-03-17)</t>
        </is>
      </c>
      <c r="B931" s="3" t="inlineStr">
        <is>
          <t>로젠</t>
        </is>
      </c>
      <c r="C931" s="2" t="inlineStr">
        <is>
          <t>033290</t>
        </is>
      </c>
      <c r="D931" s="2" t="inlineStr">
        <is>
          <t>대량보유</t>
        </is>
      </c>
      <c r="E931" s="3" t="inlineStr">
        <is>
          <t>-</t>
        </is>
      </c>
      <c r="F931" s="3" t="inlineStr">
        <is>
          <t>보고자</t>
        </is>
      </c>
      <c r="G931" s="3" t="inlineStr">
        <is>
          <t>-</t>
        </is>
      </c>
      <c r="H931" s="6" t="inlineStr"/>
      <c r="I931" s="6" t="inlineStr"/>
      <c r="J931" s="6" t="inlineStr"/>
      <c r="K931" s="18" t="inlineStr"/>
      <c r="L931" s="2" t="inlineStr">
        <is>
          <t>20260317000539</t>
        </is>
      </c>
      <c r="M931" s="8">
        <f>HYPERLINK("https://dart.fss.or.kr/dsaf001/main.do?rcpNo=20260317000539", "공시열람")</f>
        <v/>
      </c>
    </row>
    <row r="932" ht="22" customHeight="1">
      <c r="A932" s="2" t="inlineStr">
        <is>
          <t>2026-03-10</t>
        </is>
      </c>
      <c r="B932" s="3" t="inlineStr">
        <is>
          <t>HLB테라퓨틱스</t>
        </is>
      </c>
      <c r="C932" s="2" t="inlineStr">
        <is>
          <t>115450</t>
        </is>
      </c>
      <c r="D932" s="2" t="inlineStr">
        <is>
          <t>대량보유</t>
        </is>
      </c>
      <c r="E932" s="3" t="inlineStr">
        <is>
          <t>진양곤</t>
        </is>
      </c>
      <c r="F932" s="3" t="inlineStr">
        <is>
          <t>특별관계자</t>
        </is>
      </c>
      <c r="G932" s="3" t="inlineStr">
        <is>
          <t>장내매수(+)</t>
        </is>
      </c>
      <c r="H932" s="15" t="n">
        <v>33000</v>
      </c>
      <c r="I932" s="6" t="n">
        <v>2570</v>
      </c>
      <c r="J932" s="6" t="n">
        <v>224940</v>
      </c>
      <c r="K932" s="16" t="n">
        <v>13</v>
      </c>
      <c r="L932" s="2" t="inlineStr">
        <is>
          <t>20260310002207</t>
        </is>
      </c>
      <c r="M932" s="8">
        <f>HYPERLINK("https://dart.fss.or.kr/dsaf001/main.do?rcpNo=20260310002207", "공시열람")</f>
        <v/>
      </c>
    </row>
    <row r="933" ht="22" customHeight="1">
      <c r="A933" s="2" t="inlineStr">
        <is>
          <t>2026-03-10</t>
        </is>
      </c>
      <c r="B933" s="3" t="inlineStr">
        <is>
          <t>HLB이노베이션</t>
        </is>
      </c>
      <c r="C933" s="2" t="inlineStr">
        <is>
          <t>024850</t>
        </is>
      </c>
      <c r="D933" s="2" t="inlineStr">
        <is>
          <t>대량보유</t>
        </is>
      </c>
      <c r="E933" s="3" t="inlineStr">
        <is>
          <t>진양곤</t>
        </is>
      </c>
      <c r="F933" s="3" t="inlineStr">
        <is>
          <t>특별관계자</t>
        </is>
      </c>
      <c r="G933" s="3" t="inlineStr">
        <is>
          <t>장내매수(+)</t>
        </is>
      </c>
      <c r="H933" s="15" t="n">
        <v>38000</v>
      </c>
      <c r="I933" s="6" t="n">
        <v>2568</v>
      </c>
      <c r="J933" s="6" t="n">
        <v>740407</v>
      </c>
      <c r="K933" s="16" t="n">
        <v>14</v>
      </c>
      <c r="L933" s="2" t="inlineStr">
        <is>
          <t>20260310002204</t>
        </is>
      </c>
      <c r="M933" s="8">
        <f>HYPERLINK("https://dart.fss.or.kr/dsaf001/main.do?rcpNo=20260310002204", "공시열람")</f>
        <v/>
      </c>
    </row>
    <row r="934" ht="22" customHeight="1">
      <c r="A934" s="2" t="inlineStr">
        <is>
          <t>2026-03-10</t>
        </is>
      </c>
      <c r="B934" s="3" t="inlineStr">
        <is>
          <t>HLB파나진</t>
        </is>
      </c>
      <c r="C934" s="2" t="inlineStr">
        <is>
          <t>046210</t>
        </is>
      </c>
      <c r="D934" s="2" t="inlineStr">
        <is>
          <t>대량보유</t>
        </is>
      </c>
      <c r="E934" s="3" t="inlineStr">
        <is>
          <t>진양곤</t>
        </is>
      </c>
      <c r="F934" s="3" t="inlineStr">
        <is>
          <t>특별관계자</t>
        </is>
      </c>
      <c r="G934" s="3" t="inlineStr">
        <is>
          <t>장내매수(+)</t>
        </is>
      </c>
      <c r="H934" s="15" t="n">
        <v>71000</v>
      </c>
      <c r="I934" s="6" t="n">
        <v>1766</v>
      </c>
      <c r="J934" s="6" t="n">
        <v>370811</v>
      </c>
      <c r="K934" s="16" t="n">
        <v>7</v>
      </c>
      <c r="L934" s="2" t="inlineStr">
        <is>
          <t>20260310002201</t>
        </is>
      </c>
      <c r="M934" s="8">
        <f>HYPERLINK("https://dart.fss.or.kr/dsaf001/main.do?rcpNo=20260310002201", "공시열람")</f>
        <v/>
      </c>
    </row>
    <row r="935" ht="22" customHeight="1">
      <c r="A935" s="2" t="inlineStr">
        <is>
          <t>2026-03-10</t>
        </is>
      </c>
      <c r="B935" s="3" t="inlineStr">
        <is>
          <t>HLB파나진</t>
        </is>
      </c>
      <c r="C935" s="2" t="inlineStr">
        <is>
          <t>046210</t>
        </is>
      </c>
      <c r="D935" s="2" t="inlineStr">
        <is>
          <t>대량보유</t>
        </is>
      </c>
      <c r="E935" s="3" t="inlineStr">
        <is>
          <t>에이치엘비㈜</t>
        </is>
      </c>
      <c r="F935" s="3" t="inlineStr">
        <is>
          <t>특별관계자</t>
        </is>
      </c>
      <c r="G935" s="3" t="inlineStr">
        <is>
          <t>기타(-)</t>
        </is>
      </c>
      <c r="H935" s="17" t="n">
        <v>-3266475</v>
      </c>
      <c r="I935" s="6" t="inlineStr"/>
      <c r="J935" s="6" t="inlineStr"/>
      <c r="K935" s="16" t="n">
        <v>7</v>
      </c>
      <c r="L935" s="2" t="inlineStr">
        <is>
          <t>20260310002201</t>
        </is>
      </c>
      <c r="M935" s="8">
        <f>HYPERLINK("https://dart.fss.or.kr/dsaf001/main.do?rcpNo=20260310002201", "공시열람")</f>
        <v/>
      </c>
    </row>
    <row r="936" ht="22" customHeight="1">
      <c r="A936" s="2" t="inlineStr">
        <is>
          <t>2026-03-10 (정정: 2026-03-13)</t>
        </is>
      </c>
      <c r="B936" s="3" t="inlineStr">
        <is>
          <t>에이엔피</t>
        </is>
      </c>
      <c r="C936" s="2" t="inlineStr">
        <is>
          <t>015260</t>
        </is>
      </c>
      <c r="D936" s="2" t="inlineStr">
        <is>
          <t>대량보유</t>
        </is>
      </c>
      <c r="E936" s="3" t="inlineStr">
        <is>
          <t>-</t>
        </is>
      </c>
      <c r="F936" s="3" t="inlineStr">
        <is>
          <t>보고자</t>
        </is>
      </c>
      <c r="G936" s="3" t="inlineStr">
        <is>
          <t>-</t>
        </is>
      </c>
      <c r="H936" s="6" t="inlineStr"/>
      <c r="I936" s="6" t="inlineStr"/>
      <c r="J936" s="6" t="inlineStr"/>
      <c r="K936" s="18" t="inlineStr"/>
      <c r="L936" s="2" t="inlineStr">
        <is>
          <t>20260313001239</t>
        </is>
      </c>
      <c r="M936" s="8">
        <f>HYPERLINK("https://dart.fss.or.kr/dsaf001/main.do?rcpNo=20260313001239", "공시열람")</f>
        <v/>
      </c>
    </row>
    <row r="937" ht="22" customHeight="1">
      <c r="A937" s="2" t="inlineStr">
        <is>
          <t>2026-03-10</t>
        </is>
      </c>
      <c r="B937" s="3" t="inlineStr">
        <is>
          <t>월덱스</t>
        </is>
      </c>
      <c r="C937" s="2" t="inlineStr">
        <is>
          <t>101160</t>
        </is>
      </c>
      <c r="D937" s="2" t="inlineStr">
        <is>
          <t>대량보유</t>
        </is>
      </c>
      <c r="E937" s="3" t="inlineStr">
        <is>
          <t>(주)브이아이피자산운용</t>
        </is>
      </c>
      <c r="F937" s="3" t="inlineStr">
        <is>
          <t>특별관계자</t>
        </is>
      </c>
      <c r="G937" s="3" t="inlineStr">
        <is>
          <t>장내매수(+), 장내매도(-)</t>
        </is>
      </c>
      <c r="H937" s="15" t="n">
        <v>170082</v>
      </c>
      <c r="I937" s="6" t="n">
        <v>29972</v>
      </c>
      <c r="J937" s="6" t="n">
        <v>2557121</v>
      </c>
      <c r="K937" s="16" t="n">
        <v>15.49</v>
      </c>
      <c r="L937" s="2" t="inlineStr">
        <is>
          <t>20260310002087</t>
        </is>
      </c>
      <c r="M937" s="8">
        <f>HYPERLINK("https://dart.fss.or.kr/dsaf001/main.do?rcpNo=20260310002087", "공시열람")</f>
        <v/>
      </c>
    </row>
    <row r="938" ht="22" customHeight="1">
      <c r="A938" s="2" t="inlineStr">
        <is>
          <t>2026-03-10</t>
        </is>
      </c>
      <c r="B938" s="3" t="inlineStr">
        <is>
          <t>한화오션</t>
        </is>
      </c>
      <c r="C938" s="2" t="inlineStr">
        <is>
          <t>042660</t>
        </is>
      </c>
      <c r="D938" s="2" t="inlineStr">
        <is>
          <t>대량보유</t>
        </is>
      </c>
      <c r="E938" s="3" t="inlineStr">
        <is>
          <t>국민연금기금</t>
        </is>
      </c>
      <c r="F938" s="3" t="inlineStr">
        <is>
          <t>특별관계자</t>
        </is>
      </c>
      <c r="G938" s="3" t="inlineStr">
        <is>
          <t>일반투자목적에서 단순투자목적으로 보유목적 변경</t>
        </is>
      </c>
      <c r="H938" s="15" t="n">
        <v>2035083</v>
      </c>
      <c r="I938" s="6" t="inlineStr"/>
      <c r="J938" s="6" t="n">
        <v>19834812</v>
      </c>
      <c r="K938" s="16" t="n">
        <v>1</v>
      </c>
      <c r="L938" s="2" t="inlineStr">
        <is>
          <t>20260310002026</t>
        </is>
      </c>
      <c r="M938" s="8">
        <f>HYPERLINK("https://dart.fss.or.kr/dsaf001/main.do?rcpNo=20260310002026", "공시열람")</f>
        <v/>
      </c>
    </row>
    <row r="939" ht="22" customHeight="1">
      <c r="A939" s="2" t="inlineStr">
        <is>
          <t>2026-03-10</t>
        </is>
      </c>
      <c r="B939" s="3" t="inlineStr">
        <is>
          <t>한솔케미칼</t>
        </is>
      </c>
      <c r="C939" s="2" t="inlineStr">
        <is>
          <t>014680</t>
        </is>
      </c>
      <c r="D939" s="2" t="inlineStr">
        <is>
          <t>대량보유</t>
        </is>
      </c>
      <c r="E939" s="3" t="inlineStr">
        <is>
          <t>국민연금기금</t>
        </is>
      </c>
      <c r="F939" s="3" t="inlineStr">
        <is>
          <t>특별관계자</t>
        </is>
      </c>
      <c r="G939" s="3" t="inlineStr">
        <is>
          <t>일반투자목적에서 단순투자목적으로 보유목적 변경</t>
        </is>
      </c>
      <c r="H939" s="17" t="n">
        <v>-13357</v>
      </c>
      <c r="I939" s="6" t="inlineStr"/>
      <c r="J939" s="6" t="n">
        <v>1477593</v>
      </c>
      <c r="K939" s="16" t="n">
        <v>1</v>
      </c>
      <c r="L939" s="2" t="inlineStr">
        <is>
          <t>20260310002022</t>
        </is>
      </c>
      <c r="M939" s="8">
        <f>HYPERLINK("https://dart.fss.or.kr/dsaf001/main.do?rcpNo=20260310002022", "공시열람")</f>
        <v/>
      </c>
    </row>
    <row r="940" ht="22" customHeight="1">
      <c r="A940" s="2" t="inlineStr">
        <is>
          <t>2026-03-10</t>
        </is>
      </c>
      <c r="B940" s="3" t="inlineStr">
        <is>
          <t>현대위아</t>
        </is>
      </c>
      <c r="C940" s="2" t="inlineStr">
        <is>
          <t>011210</t>
        </is>
      </c>
      <c r="D940" s="2" t="inlineStr">
        <is>
          <t>대량보유</t>
        </is>
      </c>
      <c r="E940" s="3" t="inlineStr">
        <is>
          <t>국민연금기금</t>
        </is>
      </c>
      <c r="F940" s="3" t="inlineStr">
        <is>
          <t>특별관계자</t>
        </is>
      </c>
      <c r="G940" s="3" t="inlineStr">
        <is>
          <t>일반투자목적에서 단순투자목적으로 보유목적 변경</t>
        </is>
      </c>
      <c r="H940" s="15" t="n">
        <v>2838</v>
      </c>
      <c r="I940" s="6" t="inlineStr"/>
      <c r="J940" s="6" t="n">
        <v>2549466</v>
      </c>
      <c r="K940" s="16" t="n">
        <v>1</v>
      </c>
      <c r="L940" s="2" t="inlineStr">
        <is>
          <t>20260310002014</t>
        </is>
      </c>
      <c r="M940" s="8">
        <f>HYPERLINK("https://dart.fss.or.kr/dsaf001/main.do?rcpNo=20260310002014", "공시열람")</f>
        <v/>
      </c>
    </row>
    <row r="941" ht="22" customHeight="1">
      <c r="A941" s="2" t="inlineStr">
        <is>
          <t>2026-03-10</t>
        </is>
      </c>
      <c r="B941" s="3" t="inlineStr">
        <is>
          <t>코미코</t>
        </is>
      </c>
      <c r="C941" s="2" t="inlineStr">
        <is>
          <t>183300</t>
        </is>
      </c>
      <c r="D941" s="2" t="inlineStr">
        <is>
          <t>대량보유</t>
        </is>
      </c>
      <c r="E941" s="3" t="inlineStr">
        <is>
          <t>(주)미코</t>
        </is>
      </c>
      <c r="F941" s="3" t="inlineStr">
        <is>
          <t>보고자</t>
        </is>
      </c>
      <c r="G941" s="3" t="inlineStr">
        <is>
          <t>보고자의 주식담보 대출계약 연장</t>
        </is>
      </c>
      <c r="H941" s="6" t="inlineStr"/>
      <c r="I941" s="6" t="inlineStr"/>
      <c r="J941" s="6" t="n">
        <v>4299326</v>
      </c>
      <c r="K941" s="16" t="n">
        <v>41.1</v>
      </c>
      <c r="L941" s="2" t="inlineStr">
        <is>
          <t>20260310001993</t>
        </is>
      </c>
      <c r="M941" s="8">
        <f>HYPERLINK("https://dart.fss.or.kr/dsaf001/main.do?rcpNo=20260310001993", "공시열람")</f>
        <v/>
      </c>
    </row>
    <row r="942" ht="22" customHeight="1">
      <c r="A942" s="2" t="inlineStr">
        <is>
          <t>2026-03-10</t>
        </is>
      </c>
      <c r="B942" s="3" t="inlineStr">
        <is>
          <t>SGA솔루션즈</t>
        </is>
      </c>
      <c r="C942" s="2" t="inlineStr">
        <is>
          <t>184230</t>
        </is>
      </c>
      <c r="D942" s="2" t="inlineStr">
        <is>
          <t>대량보유</t>
        </is>
      </c>
      <c r="E942" s="3" t="inlineStr">
        <is>
          <t>시너지메자닌블라인드10호신기술사업투자조합</t>
        </is>
      </c>
      <c r="F942" s="3" t="inlineStr">
        <is>
          <t>특별관계자</t>
        </is>
      </c>
      <c r="G942" s="3" t="inlineStr">
        <is>
          <t>장내매도(-), 행사가액조정</t>
        </is>
      </c>
      <c r="H942" s="17" t="n">
        <v>-206520</v>
      </c>
      <c r="I942" s="6" t="n">
        <v>602</v>
      </c>
      <c r="J942" s="6" t="n">
        <v>292153</v>
      </c>
      <c r="K942" s="16" t="n">
        <v>7</v>
      </c>
      <c r="L942" s="2" t="inlineStr">
        <is>
          <t>20260309001927</t>
        </is>
      </c>
      <c r="M942" s="8">
        <f>HYPERLINK("https://dart.fss.or.kr/dsaf001/main.do?rcpNo=20260309001927", "공시열람")</f>
        <v/>
      </c>
    </row>
    <row r="943" ht="22" customHeight="1">
      <c r="A943" s="2" t="inlineStr">
        <is>
          <t>2026-03-10</t>
        </is>
      </c>
      <c r="B943" s="3" t="inlineStr">
        <is>
          <t>SGA솔루션즈</t>
        </is>
      </c>
      <c r="C943" s="2" t="inlineStr">
        <is>
          <t>184230</t>
        </is>
      </c>
      <c r="D943" s="2" t="inlineStr">
        <is>
          <t>대량보유</t>
        </is>
      </c>
      <c r="E943" s="3" t="inlineStr">
        <is>
          <t>시너지아이비디지털대전환신기술투자조합</t>
        </is>
      </c>
      <c r="F943" s="3" t="inlineStr">
        <is>
          <t>특별관계자</t>
        </is>
      </c>
      <c r="G943" s="3" t="inlineStr">
        <is>
          <t>장내매도(-), 행사가액조정</t>
        </is>
      </c>
      <c r="H943" s="17" t="n">
        <v>-1625512</v>
      </c>
      <c r="I943" s="6" t="n">
        <v>602</v>
      </c>
      <c r="J943" s="6" t="n">
        <v>2045075</v>
      </c>
      <c r="K943" s="16" t="n">
        <v>7</v>
      </c>
      <c r="L943" s="2" t="inlineStr">
        <is>
          <t>20260309001927</t>
        </is>
      </c>
      <c r="M943" s="8">
        <f>HYPERLINK("https://dart.fss.or.kr/dsaf001/main.do?rcpNo=20260309001927", "공시열람")</f>
        <v/>
      </c>
    </row>
    <row r="944" ht="22" customHeight="1">
      <c r="A944" s="2" t="inlineStr">
        <is>
          <t>2026-03-10</t>
        </is>
      </c>
      <c r="B944" s="3" t="inlineStr">
        <is>
          <t>SGA솔루션즈</t>
        </is>
      </c>
      <c r="C944" s="2" t="inlineStr">
        <is>
          <t>184230</t>
        </is>
      </c>
      <c r="D944" s="2" t="inlineStr">
        <is>
          <t>대량보유</t>
        </is>
      </c>
      <c r="E944" s="3" t="inlineStr">
        <is>
          <t>시너지아이비상생혁신신기술투자조합</t>
        </is>
      </c>
      <c r="F944" s="3" t="inlineStr">
        <is>
          <t>특별관계자</t>
        </is>
      </c>
      <c r="G944" s="3" t="inlineStr">
        <is>
          <t>장내매도(-), 행사가액조정</t>
        </is>
      </c>
      <c r="H944" s="17" t="n">
        <v>-423476</v>
      </c>
      <c r="I944" s="6" t="n">
        <v>602</v>
      </c>
      <c r="J944" s="6" t="n">
        <v>584307</v>
      </c>
      <c r="K944" s="16" t="n">
        <v>7</v>
      </c>
      <c r="L944" s="2" t="inlineStr">
        <is>
          <t>20260309001927</t>
        </is>
      </c>
      <c r="M944" s="8">
        <f>HYPERLINK("https://dart.fss.or.kr/dsaf001/main.do?rcpNo=20260309001927", "공시열람")</f>
        <v/>
      </c>
    </row>
    <row r="945" ht="22" customHeight="1">
      <c r="A945" s="2" t="inlineStr">
        <is>
          <t>2026-03-10</t>
        </is>
      </c>
      <c r="B945" s="3" t="inlineStr">
        <is>
          <t>국전</t>
        </is>
      </c>
      <c r="C945" s="2" t="inlineStr">
        <is>
          <t>307750</t>
        </is>
      </c>
      <c r="D945" s="2" t="inlineStr">
        <is>
          <t>대량보유</t>
        </is>
      </c>
      <c r="E945" s="3" t="inlineStr">
        <is>
          <t>홍종학</t>
        </is>
      </c>
      <c r="F945" s="3" t="inlineStr">
        <is>
          <t>특별관계자</t>
        </is>
      </c>
      <c r="G945" s="3" t="inlineStr">
        <is>
          <t>시간외매매(-)</t>
        </is>
      </c>
      <c r="H945" s="17" t="n">
        <v>-1198716</v>
      </c>
      <c r="I945" s="6" t="n">
        <v>4128</v>
      </c>
      <c r="J945" s="6" t="n">
        <v>1000000</v>
      </c>
      <c r="K945" s="16" t="n">
        <v>8</v>
      </c>
      <c r="L945" s="2" t="inlineStr">
        <is>
          <t>20260309001929</t>
        </is>
      </c>
      <c r="M945" s="8">
        <f>HYPERLINK("https://dart.fss.or.kr/dsaf001/main.do?rcpNo=20260309001929", "공시열람")</f>
        <v/>
      </c>
    </row>
    <row r="946" ht="22" customHeight="1">
      <c r="A946" s="2" t="inlineStr">
        <is>
          <t>2026-03-11</t>
        </is>
      </c>
      <c r="B946" s="3" t="inlineStr">
        <is>
          <t>에이텍</t>
        </is>
      </c>
      <c r="C946" s="2" t="inlineStr">
        <is>
          <t>045660</t>
        </is>
      </c>
      <c r="D946" s="2" t="inlineStr">
        <is>
          <t>대량보유</t>
        </is>
      </c>
      <c r="E946" s="3" t="inlineStr">
        <is>
          <t>신승영</t>
        </is>
      </c>
      <c r="F946" s="3" t="inlineStr">
        <is>
          <t>특별관계자</t>
        </is>
      </c>
      <c r="G946" s="3" t="inlineStr">
        <is>
          <t>장내매수(+)</t>
        </is>
      </c>
      <c r="H946" s="15" t="n">
        <v>63929</v>
      </c>
      <c r="I946" s="6" t="n">
        <v>9241</v>
      </c>
      <c r="J946" s="6" t="n">
        <v>2148028</v>
      </c>
      <c r="K946" s="16" t="n">
        <v>6</v>
      </c>
      <c r="L946" s="2" t="inlineStr">
        <is>
          <t>20260311004624</t>
        </is>
      </c>
      <c r="M946" s="8">
        <f>HYPERLINK("https://dart.fss.or.kr/dsaf001/main.do?rcpNo=20260311004624", "공시열람")</f>
        <v/>
      </c>
    </row>
    <row r="947" ht="22" customHeight="1">
      <c r="A947" s="2" t="inlineStr">
        <is>
          <t>2026-03-11</t>
        </is>
      </c>
      <c r="B947" s="3" t="inlineStr">
        <is>
          <t>에이텍</t>
        </is>
      </c>
      <c r="C947" s="2" t="inlineStr">
        <is>
          <t>045660</t>
        </is>
      </c>
      <c r="D947" s="2" t="inlineStr">
        <is>
          <t>대량보유</t>
        </is>
      </c>
      <c r="E947" s="3" t="inlineStr">
        <is>
          <t>신종수</t>
        </is>
      </c>
      <c r="F947" s="3" t="inlineStr">
        <is>
          <t>특별관계자</t>
        </is>
      </c>
      <c r="G947" s="3" t="inlineStr">
        <is>
          <t>장내매수(+)</t>
        </is>
      </c>
      <c r="H947" s="15" t="n">
        <v>7023</v>
      </c>
      <c r="I947" s="6" t="n">
        <v>8957</v>
      </c>
      <c r="J947" s="6" t="n">
        <v>7023</v>
      </c>
      <c r="K947" s="16" t="n">
        <v>6</v>
      </c>
      <c r="L947" s="2" t="inlineStr">
        <is>
          <t>20260311004624</t>
        </is>
      </c>
      <c r="M947" s="8">
        <f>HYPERLINK("https://dart.fss.or.kr/dsaf001/main.do?rcpNo=20260311004624", "공시열람")</f>
        <v/>
      </c>
    </row>
    <row r="948" ht="22" customHeight="1">
      <c r="A948" s="2" t="inlineStr">
        <is>
          <t>2026-03-11 (정정: 2026-03-11)</t>
        </is>
      </c>
      <c r="B948" s="3" t="inlineStr">
        <is>
          <t>온타이드</t>
        </is>
      </c>
      <c r="C948" s="2" t="inlineStr">
        <is>
          <t>005320</t>
        </is>
      </c>
      <c r="D948" s="2" t="inlineStr">
        <is>
          <t>대량보유</t>
        </is>
      </c>
      <c r="E948" s="3" t="inlineStr">
        <is>
          <t>-</t>
        </is>
      </c>
      <c r="F948" s="3" t="inlineStr">
        <is>
          <t>보고자</t>
        </is>
      </c>
      <c r="G948" s="3" t="inlineStr">
        <is>
          <t>-</t>
        </is>
      </c>
      <c r="H948" s="6" t="inlineStr"/>
      <c r="I948" s="6" t="inlineStr"/>
      <c r="J948" s="6" t="inlineStr"/>
      <c r="K948" s="18" t="inlineStr"/>
      <c r="L948" s="2" t="inlineStr">
        <is>
          <t>20260311801813</t>
        </is>
      </c>
      <c r="M948" s="8">
        <f>HYPERLINK("https://dart.fss.or.kr/dsaf001/main.do?rcpNo=20260311801813", "공시열람")</f>
        <v/>
      </c>
    </row>
    <row r="949" ht="22" customHeight="1">
      <c r="A949" s="2" t="inlineStr">
        <is>
          <t>2026-03-11</t>
        </is>
      </c>
      <c r="B949" s="3" t="inlineStr">
        <is>
          <t>아이엘</t>
        </is>
      </c>
      <c r="C949" s="2" t="inlineStr">
        <is>
          <t>307180</t>
        </is>
      </c>
      <c r="D949" s="2" t="inlineStr">
        <is>
          <t>대량보유</t>
        </is>
      </c>
      <c r="E949" s="3" t="inlineStr">
        <is>
          <t>송주호</t>
        </is>
      </c>
      <c r="F949" s="3" t="inlineStr">
        <is>
          <t>특별관계자</t>
        </is>
      </c>
      <c r="G949" s="3" t="inlineStr">
        <is>
          <t>장내매수(+)</t>
        </is>
      </c>
      <c r="H949" s="15" t="n">
        <v>287</v>
      </c>
      <c r="I949" s="6" t="n">
        <v>2765</v>
      </c>
      <c r="J949" s="6" t="n">
        <v>5417</v>
      </c>
      <c r="K949" s="16" t="n">
        <v>14</v>
      </c>
      <c r="L949" s="2" t="inlineStr">
        <is>
          <t>20260311004521</t>
        </is>
      </c>
      <c r="M949" s="8">
        <f>HYPERLINK("https://dart.fss.or.kr/dsaf001/main.do?rcpNo=20260311004521", "공시열람")</f>
        <v/>
      </c>
    </row>
    <row r="950" ht="22" customHeight="1">
      <c r="A950" s="2" t="inlineStr">
        <is>
          <t>2026-03-11</t>
        </is>
      </c>
      <c r="B950" s="3" t="inlineStr">
        <is>
          <t>아이엘</t>
        </is>
      </c>
      <c r="C950" s="2" t="inlineStr">
        <is>
          <t>307180</t>
        </is>
      </c>
      <c r="D950" s="2" t="inlineStr">
        <is>
          <t>대량보유</t>
        </is>
      </c>
      <c r="E950" s="3" t="inlineStr">
        <is>
          <t>조은구</t>
        </is>
      </c>
      <c r="F950" s="3" t="inlineStr">
        <is>
          <t>특별관계자</t>
        </is>
      </c>
      <c r="G950" s="3" t="inlineStr">
        <is>
          <t>증여(-), 장내매도(-)</t>
        </is>
      </c>
      <c r="H950" s="17" t="n">
        <v>-127131</v>
      </c>
      <c r="I950" s="6" t="n">
        <v>4840</v>
      </c>
      <c r="J950" s="6" t="inlineStr"/>
      <c r="K950" s="16" t="n">
        <v>14</v>
      </c>
      <c r="L950" s="2" t="inlineStr">
        <is>
          <t>20260311004521</t>
        </is>
      </c>
      <c r="M950" s="8">
        <f>HYPERLINK("https://dart.fss.or.kr/dsaf001/main.do?rcpNo=20260311004521", "공시열람")</f>
        <v/>
      </c>
    </row>
    <row r="951" ht="22" customHeight="1">
      <c r="A951" s="2" t="inlineStr">
        <is>
          <t>2026-03-11</t>
        </is>
      </c>
      <c r="B951" s="3" t="inlineStr">
        <is>
          <t>아이엘</t>
        </is>
      </c>
      <c r="C951" s="2" t="inlineStr">
        <is>
          <t>307180</t>
        </is>
      </c>
      <c r="D951" s="2" t="inlineStr">
        <is>
          <t>대량보유</t>
        </is>
      </c>
      <c r="E951" s="3" t="inlineStr">
        <is>
          <t>백옥주</t>
        </is>
      </c>
      <c r="F951" s="3" t="inlineStr">
        <is>
          <t>특별관계자</t>
        </is>
      </c>
      <c r="G951" s="3" t="inlineStr">
        <is>
          <t>수증(+), 장내매도(-)</t>
        </is>
      </c>
      <c r="H951" s="15" t="n">
        <v>22523</v>
      </c>
      <c r="I951" s="6" t="n">
        <v>3488</v>
      </c>
      <c r="J951" s="6" t="n">
        <v>50000</v>
      </c>
      <c r="K951" s="16" t="n">
        <v>14</v>
      </c>
      <c r="L951" s="2" t="inlineStr">
        <is>
          <t>20260311004521</t>
        </is>
      </c>
      <c r="M951" s="8">
        <f>HYPERLINK("https://dart.fss.or.kr/dsaf001/main.do?rcpNo=20260311004521", "공시열람")</f>
        <v/>
      </c>
    </row>
    <row r="952" ht="22" customHeight="1">
      <c r="A952" s="2" t="inlineStr">
        <is>
          <t>2026-03-11</t>
        </is>
      </c>
      <c r="B952" s="3" t="inlineStr">
        <is>
          <t>아이엘</t>
        </is>
      </c>
      <c r="C952" s="2" t="inlineStr">
        <is>
          <t>307180</t>
        </is>
      </c>
      <c r="D952" s="2" t="inlineStr">
        <is>
          <t>대량보유</t>
        </is>
      </c>
      <c r="E952" s="3" t="inlineStr">
        <is>
          <t>한국인</t>
        </is>
      </c>
      <c r="F952" s="3" t="inlineStr">
        <is>
          <t>특별관계자</t>
        </is>
      </c>
      <c r="G952" s="3" t="inlineStr">
        <is>
          <t>장내매도(-)</t>
        </is>
      </c>
      <c r="H952" s="17" t="n">
        <v>-2128</v>
      </c>
      <c r="I952" s="6" t="n">
        <v>4010</v>
      </c>
      <c r="J952" s="6" t="n">
        <v>67230</v>
      </c>
      <c r="K952" s="16" t="n">
        <v>14</v>
      </c>
      <c r="L952" s="2" t="inlineStr">
        <is>
          <t>20260311004521</t>
        </is>
      </c>
      <c r="M952" s="8">
        <f>HYPERLINK("https://dart.fss.or.kr/dsaf001/main.do?rcpNo=20260311004521", "공시열람")</f>
        <v/>
      </c>
    </row>
    <row r="953" ht="22" customHeight="1">
      <c r="A953" s="2" t="inlineStr">
        <is>
          <t>2026-03-11</t>
        </is>
      </c>
      <c r="B953" s="3" t="inlineStr">
        <is>
          <t>아이엘</t>
        </is>
      </c>
      <c r="C953" s="2" t="inlineStr">
        <is>
          <t>307180</t>
        </is>
      </c>
      <c r="D953" s="2" t="inlineStr">
        <is>
          <t>대량보유</t>
        </is>
      </c>
      <c r="E953" s="3" t="inlineStr">
        <is>
          <t>서대근</t>
        </is>
      </c>
      <c r="F953" s="3" t="inlineStr">
        <is>
          <t>특별관계자</t>
        </is>
      </c>
      <c r="G953" s="3" t="inlineStr">
        <is>
          <t>장내매도(-)</t>
        </is>
      </c>
      <c r="H953" s="17" t="n">
        <v>-42500</v>
      </c>
      <c r="I953" s="6" t="n">
        <v>9168</v>
      </c>
      <c r="J953" s="6" t="n">
        <v>110090</v>
      </c>
      <c r="K953" s="16" t="n">
        <v>14</v>
      </c>
      <c r="L953" s="2" t="inlineStr">
        <is>
          <t>20260311004521</t>
        </is>
      </c>
      <c r="M953" s="8">
        <f>HYPERLINK("https://dart.fss.or.kr/dsaf001/main.do?rcpNo=20260311004521", "공시열람")</f>
        <v/>
      </c>
    </row>
    <row r="954" ht="22" customHeight="1">
      <c r="A954" s="2" t="inlineStr">
        <is>
          <t>2026-03-11</t>
        </is>
      </c>
      <c r="B954" s="3" t="inlineStr">
        <is>
          <t>아이엘</t>
        </is>
      </c>
      <c r="C954" s="2" t="inlineStr">
        <is>
          <t>307180</t>
        </is>
      </c>
      <c r="D954" s="2" t="inlineStr">
        <is>
          <t>대량보유</t>
        </is>
      </c>
      <c r="E954" s="3" t="inlineStr">
        <is>
          <t>김택성</t>
        </is>
      </c>
      <c r="F954" s="3" t="inlineStr">
        <is>
          <t>특별관계자</t>
        </is>
      </c>
      <c r="G954" s="3" t="inlineStr">
        <is>
          <t>장내매도(-)</t>
        </is>
      </c>
      <c r="H954" s="17" t="n">
        <v>-11866</v>
      </c>
      <c r="I954" s="6" t="n">
        <v>8153</v>
      </c>
      <c r="J954" s="6" t="inlineStr"/>
      <c r="K954" s="16" t="n">
        <v>14</v>
      </c>
      <c r="L954" s="2" t="inlineStr">
        <is>
          <t>20260311004521</t>
        </is>
      </c>
      <c r="M954" s="8">
        <f>HYPERLINK("https://dart.fss.or.kr/dsaf001/main.do?rcpNo=20260311004521", "공시열람")</f>
        <v/>
      </c>
    </row>
    <row r="955" ht="22" customHeight="1">
      <c r="A955" s="2" t="inlineStr">
        <is>
          <t>2026-03-11</t>
        </is>
      </c>
      <c r="B955" s="3" t="inlineStr">
        <is>
          <t>아이엘</t>
        </is>
      </c>
      <c r="C955" s="2" t="inlineStr">
        <is>
          <t>307180</t>
        </is>
      </c>
      <c r="D955" s="2" t="inlineStr">
        <is>
          <t>대량보유</t>
        </is>
      </c>
      <c r="E955" s="3" t="inlineStr">
        <is>
          <t>송성근</t>
        </is>
      </c>
      <c r="F955" s="3" t="inlineStr">
        <is>
          <t>특별관계자</t>
        </is>
      </c>
      <c r="G955" s="3" t="inlineStr">
        <is>
          <t>콜옵션권리행사에따른CB취득(+)</t>
        </is>
      </c>
      <c r="H955" s="15" t="n">
        <v>655068</v>
      </c>
      <c r="I955" s="6" t="inlineStr"/>
      <c r="J955" s="6" t="n">
        <v>655068</v>
      </c>
      <c r="K955" s="16" t="n">
        <v>14</v>
      </c>
      <c r="L955" s="2" t="inlineStr">
        <is>
          <t>20260311004521</t>
        </is>
      </c>
      <c r="M955" s="8">
        <f>HYPERLINK("https://dart.fss.or.kr/dsaf001/main.do?rcpNo=20260311004521", "공시열람")</f>
        <v/>
      </c>
    </row>
    <row r="956" ht="22" customHeight="1">
      <c r="A956" s="2" t="inlineStr">
        <is>
          <t>2026-03-11</t>
        </is>
      </c>
      <c r="B956" s="3" t="inlineStr">
        <is>
          <t>케이뱅크</t>
        </is>
      </c>
      <c r="C956" s="2" t="inlineStr">
        <is>
          <t>279570</t>
        </is>
      </c>
      <c r="D956" s="2" t="inlineStr">
        <is>
          <t>대량보유</t>
        </is>
      </c>
      <c r="E956" s="3" t="inlineStr">
        <is>
          <t>비씨카드(주)</t>
        </is>
      </c>
      <c r="F956" s="3" t="inlineStr">
        <is>
          <t>특별관계자</t>
        </is>
      </c>
      <c r="G956" s="3" t="inlineStr">
        <is>
          <t>신규상장(유상취득)(+)</t>
        </is>
      </c>
      <c r="H956" s="15" t="n">
        <v>126690193</v>
      </c>
      <c r="I956" s="6" t="inlineStr"/>
      <c r="J956" s="6" t="n">
        <v>126690193</v>
      </c>
      <c r="K956" s="16" t="n">
        <v>1</v>
      </c>
      <c r="L956" s="2" t="inlineStr">
        <is>
          <t>20260311004501</t>
        </is>
      </c>
      <c r="M956" s="8">
        <f>HYPERLINK("https://dart.fss.or.kr/dsaf001/main.do?rcpNo=20260311004501", "공시열람")</f>
        <v/>
      </c>
    </row>
    <row r="957" ht="22" customHeight="1">
      <c r="A957" s="2" t="inlineStr">
        <is>
          <t>2026-03-11</t>
        </is>
      </c>
      <c r="B957" s="3" t="inlineStr">
        <is>
          <t>오이솔루션</t>
        </is>
      </c>
      <c r="C957" s="2" t="inlineStr">
        <is>
          <t>138080</t>
        </is>
      </c>
      <c r="D957" s="2" t="inlineStr">
        <is>
          <t>대량보유</t>
        </is>
      </c>
      <c r="E957" s="3" t="inlineStr">
        <is>
          <t>박환</t>
        </is>
      </c>
      <c r="F957" s="3" t="inlineStr">
        <is>
          <t>특별관계자</t>
        </is>
      </c>
      <c r="G957" s="3" t="inlineStr">
        <is>
          <t>장내매도(-)</t>
        </is>
      </c>
      <c r="H957" s="17" t="n">
        <v>-4522</v>
      </c>
      <c r="I957" s="6" t="n">
        <v>22095</v>
      </c>
      <c r="J957" s="6" t="n">
        <v>57613</v>
      </c>
      <c r="K957" s="16" t="n">
        <v>4</v>
      </c>
      <c r="L957" s="2" t="inlineStr">
        <is>
          <t>20260311004453</t>
        </is>
      </c>
      <c r="M957" s="8">
        <f>HYPERLINK("https://dart.fss.or.kr/dsaf001/main.do?rcpNo=20260311004453", "공시열람")</f>
        <v/>
      </c>
    </row>
    <row r="958" ht="22" customHeight="1">
      <c r="A958" s="2" t="inlineStr">
        <is>
          <t>2026-03-11 (정정: 2026-03-11)</t>
        </is>
      </c>
      <c r="B958" s="3" t="inlineStr">
        <is>
          <t>한텍</t>
        </is>
      </c>
      <c r="C958" s="2" t="inlineStr">
        <is>
          <t>098070</t>
        </is>
      </c>
      <c r="D958" s="2" t="inlineStr">
        <is>
          <t>대량보유</t>
        </is>
      </c>
      <c r="E958" s="3" t="inlineStr">
        <is>
          <t>-</t>
        </is>
      </c>
      <c r="F958" s="3" t="inlineStr">
        <is>
          <t>보고자</t>
        </is>
      </c>
      <c r="G958" s="3" t="inlineStr">
        <is>
          <t>-</t>
        </is>
      </c>
      <c r="H958" s="6" t="inlineStr"/>
      <c r="I958" s="6" t="inlineStr"/>
      <c r="J958" s="6" t="inlineStr"/>
      <c r="K958" s="18" t="inlineStr"/>
      <c r="L958" s="2" t="inlineStr">
        <is>
          <t>20260311004088</t>
        </is>
      </c>
      <c r="M958" s="8">
        <f>HYPERLINK("https://dart.fss.or.kr/dsaf001/main.do?rcpNo=20260311004088", "공시열람")</f>
        <v/>
      </c>
    </row>
    <row r="959" ht="22" customHeight="1">
      <c r="A959" s="2" t="inlineStr">
        <is>
          <t>2026-03-11</t>
        </is>
      </c>
      <c r="B959" s="3" t="inlineStr">
        <is>
          <t>NICE</t>
        </is>
      </c>
      <c r="C959" s="2" t="inlineStr">
        <is>
          <t>034310</t>
        </is>
      </c>
      <c r="D959" s="2" t="inlineStr">
        <is>
          <t>대량보유</t>
        </is>
      </c>
      <c r="E959" s="3" t="inlineStr">
        <is>
          <t>김원우</t>
        </is>
      </c>
      <c r="F959" s="3" t="inlineStr">
        <is>
          <t>보고자</t>
        </is>
      </c>
      <c r="G959" s="3" t="inlineStr">
        <is>
          <t>보고자 본인 및 특별관계자의 주식담보계약 변경</t>
        </is>
      </c>
      <c r="H959" s="6" t="inlineStr"/>
      <c r="I959" s="6" t="inlineStr"/>
      <c r="J959" s="6" t="n">
        <v>19062991</v>
      </c>
      <c r="K959" s="16" t="n">
        <v>6</v>
      </c>
      <c r="L959" s="2" t="inlineStr">
        <is>
          <t>20260311004437</t>
        </is>
      </c>
      <c r="M959" s="8">
        <f>HYPERLINK("https://dart.fss.or.kr/dsaf001/main.do?rcpNo=20260311004437", "공시열람")</f>
        <v/>
      </c>
    </row>
    <row r="960" ht="22" customHeight="1">
      <c r="A960" s="2" t="inlineStr">
        <is>
          <t>2026-03-11</t>
        </is>
      </c>
      <c r="B960" s="3" t="inlineStr">
        <is>
          <t>차바이오텍</t>
        </is>
      </c>
      <c r="C960" s="2" t="inlineStr">
        <is>
          <t>085660</t>
        </is>
      </c>
      <c r="D960" s="2" t="inlineStr">
        <is>
          <t>대량보유</t>
        </is>
      </c>
      <c r="E960" s="3" t="inlineStr">
        <is>
          <t>최석윤</t>
        </is>
      </c>
      <c r="F960" s="3" t="inlineStr">
        <is>
          <t>특별관계자</t>
        </is>
      </c>
      <c r="G960" s="3" t="inlineStr">
        <is>
          <t>임원퇴임(-), 특별관계해소(-)</t>
        </is>
      </c>
      <c r="H960" s="17" t="n">
        <v>-44501</v>
      </c>
      <c r="I960" s="6" t="inlineStr"/>
      <c r="J960" s="6" t="inlineStr"/>
      <c r="K960" s="16" t="n">
        <v>19</v>
      </c>
      <c r="L960" s="2" t="inlineStr">
        <is>
          <t>20260311004401</t>
        </is>
      </c>
      <c r="M960" s="8">
        <f>HYPERLINK("https://dart.fss.or.kr/dsaf001/main.do?rcpNo=20260311004401", "공시열람")</f>
        <v/>
      </c>
    </row>
    <row r="961" ht="22" customHeight="1">
      <c r="A961" s="2" t="inlineStr">
        <is>
          <t>2026-03-11</t>
        </is>
      </c>
      <c r="B961" s="3" t="inlineStr">
        <is>
          <t>차바이오텍</t>
        </is>
      </c>
      <c r="C961" s="2" t="inlineStr">
        <is>
          <t>085660</t>
        </is>
      </c>
      <c r="D961" s="2" t="inlineStr">
        <is>
          <t>대량보유</t>
        </is>
      </c>
      <c r="E961" s="3" t="inlineStr">
        <is>
          <t>박번</t>
        </is>
      </c>
      <c r="F961" s="3" t="inlineStr">
        <is>
          <t>특별관계자</t>
        </is>
      </c>
      <c r="G961" s="3" t="inlineStr">
        <is>
          <t>임원퇴임(-), 특별관계해소(-)</t>
        </is>
      </c>
      <c r="H961" s="17" t="n">
        <v>-16688</v>
      </c>
      <c r="I961" s="6" t="inlineStr"/>
      <c r="J961" s="6" t="inlineStr"/>
      <c r="K961" s="16" t="n">
        <v>19</v>
      </c>
      <c r="L961" s="2" t="inlineStr">
        <is>
          <t>20260311004401</t>
        </is>
      </c>
      <c r="M961" s="8">
        <f>HYPERLINK("https://dart.fss.or.kr/dsaf001/main.do?rcpNo=20260311004401", "공시열람")</f>
        <v/>
      </c>
    </row>
    <row r="962" ht="22" customHeight="1">
      <c r="A962" s="2" t="inlineStr">
        <is>
          <t>2026-03-11</t>
        </is>
      </c>
      <c r="B962" s="3" t="inlineStr">
        <is>
          <t>에스디바이오센서</t>
        </is>
      </c>
      <c r="C962" s="2" t="inlineStr">
        <is>
          <t>137310</t>
        </is>
      </c>
      <c r="D962" s="2" t="inlineStr">
        <is>
          <t>대량보유</t>
        </is>
      </c>
      <c r="E962" s="3" t="inlineStr">
        <is>
          <t>이효근</t>
        </is>
      </c>
      <c r="F962" s="3" t="inlineStr">
        <is>
          <t>특별관계자</t>
        </is>
      </c>
      <c r="G962" s="3" t="inlineStr">
        <is>
          <t>장내매수(+)</t>
        </is>
      </c>
      <c r="H962" s="15" t="n">
        <v>20000</v>
      </c>
      <c r="I962" s="6" t="n">
        <v>7640</v>
      </c>
      <c r="J962" s="6" t="n">
        <v>4221989</v>
      </c>
      <c r="K962" s="16" t="n">
        <v>18</v>
      </c>
      <c r="L962" s="2" t="inlineStr">
        <is>
          <t>20260311004400</t>
        </is>
      </c>
      <c r="M962" s="8">
        <f>HYPERLINK("https://dart.fss.or.kr/dsaf001/main.do?rcpNo=20260311004400", "공시열람")</f>
        <v/>
      </c>
    </row>
    <row r="963" ht="22" customHeight="1">
      <c r="A963" s="2" t="inlineStr">
        <is>
          <t>2026-03-11</t>
        </is>
      </c>
      <c r="B963" s="3" t="inlineStr">
        <is>
          <t>문배철강</t>
        </is>
      </c>
      <c r="C963" s="2" t="inlineStr">
        <is>
          <t>008420</t>
        </is>
      </c>
      <c r="D963" s="2" t="inlineStr">
        <is>
          <t>임원보고</t>
        </is>
      </c>
      <c r="E963" s="3" t="inlineStr">
        <is>
          <t>-</t>
        </is>
      </c>
      <c r="F963" s="3" t="inlineStr">
        <is>
          <t>-</t>
        </is>
      </c>
      <c r="G963" s="3" t="inlineStr">
        <is>
          <t>-</t>
        </is>
      </c>
      <c r="H963" s="6" t="inlineStr"/>
      <c r="I963" s="6" t="inlineStr"/>
      <c r="J963" s="6" t="inlineStr"/>
      <c r="K963" s="16" t="n">
        <v>12</v>
      </c>
      <c r="L963" s="2" t="inlineStr">
        <is>
          <t>20260311802109</t>
        </is>
      </c>
      <c r="M963" s="8">
        <f>HYPERLINK("https://dart.fss.or.kr/dsaf001/main.do?rcpNo=20260311802109", "공시열람")</f>
        <v/>
      </c>
    </row>
    <row r="964" ht="22" customHeight="1">
      <c r="A964" s="2" t="inlineStr">
        <is>
          <t>2026-03-11</t>
        </is>
      </c>
      <c r="B964" s="3" t="inlineStr">
        <is>
          <t>이엔셀</t>
        </is>
      </c>
      <c r="C964" s="2" t="inlineStr">
        <is>
          <t>456070</t>
        </is>
      </c>
      <c r="D964" s="2" t="inlineStr">
        <is>
          <t>대량보유</t>
        </is>
      </c>
      <c r="E964" s="3" t="inlineStr">
        <is>
          <t>전홍배</t>
        </is>
      </c>
      <c r="F964" s="3" t="inlineStr">
        <is>
          <t>특별관계자</t>
        </is>
      </c>
      <c r="G964" s="3" t="inlineStr">
        <is>
          <t>주식매수청구권 행사(-), 주식매수청구권 행사(+), 주식매수선택권행사(+)</t>
        </is>
      </c>
      <c r="H964" s="6" t="inlineStr"/>
      <c r="I964" s="6" t="n">
        <v>3500</v>
      </c>
      <c r="J964" s="6" t="n">
        <v>52500</v>
      </c>
      <c r="K964" s="16" t="n">
        <v>6</v>
      </c>
      <c r="L964" s="2" t="inlineStr">
        <is>
          <t>20260311004337</t>
        </is>
      </c>
      <c r="M964" s="8">
        <f>HYPERLINK("https://dart.fss.or.kr/dsaf001/main.do?rcpNo=20260311004337", "공시열람")</f>
        <v/>
      </c>
    </row>
    <row r="965" ht="22" customHeight="1">
      <c r="A965" s="2" t="inlineStr">
        <is>
          <t>2026-03-11</t>
        </is>
      </c>
      <c r="B965" s="3" t="inlineStr">
        <is>
          <t>일월지엠엘</t>
        </is>
      </c>
      <c r="C965" s="2" t="inlineStr">
        <is>
          <t>178780</t>
        </is>
      </c>
      <c r="D965" s="2" t="inlineStr">
        <is>
          <t>대량보유</t>
        </is>
      </c>
      <c r="E965" s="3" t="inlineStr">
        <is>
          <t>허희선</t>
        </is>
      </c>
      <c r="F965" s="3" t="inlineStr">
        <is>
          <t>특별관계자</t>
        </is>
      </c>
      <c r="G965" s="3" t="inlineStr">
        <is>
          <t>장내매수(+)</t>
        </is>
      </c>
      <c r="H965" s="15" t="n">
        <v>15000</v>
      </c>
      <c r="I965" s="6" t="n">
        <v>2446</v>
      </c>
      <c r="J965" s="6" t="n">
        <v>767000</v>
      </c>
      <c r="K965" s="16" t="n">
        <v>6</v>
      </c>
      <c r="L965" s="2" t="inlineStr">
        <is>
          <t>20260311004228</t>
        </is>
      </c>
      <c r="M965" s="8">
        <f>HYPERLINK("https://dart.fss.or.kr/dsaf001/main.do?rcpNo=20260311004228", "공시열람")</f>
        <v/>
      </c>
    </row>
    <row r="966" ht="22" customHeight="1">
      <c r="A966" s="2" t="inlineStr">
        <is>
          <t>2026-03-11</t>
        </is>
      </c>
      <c r="B966" s="3" t="inlineStr">
        <is>
          <t>일월지엠엘</t>
        </is>
      </c>
      <c r="C966" s="2" t="inlineStr">
        <is>
          <t>178780</t>
        </is>
      </c>
      <c r="D966" s="2" t="inlineStr">
        <is>
          <t>대량보유</t>
        </is>
      </c>
      <c r="E966" s="3" t="inlineStr">
        <is>
          <t>(주)일월황금스파</t>
        </is>
      </c>
      <c r="F966" s="3" t="inlineStr">
        <is>
          <t>특별관계자</t>
        </is>
      </c>
      <c r="G966" s="3" t="inlineStr">
        <is>
          <t>장내매수(+)</t>
        </is>
      </c>
      <c r="H966" s="15" t="n">
        <v>38637</v>
      </c>
      <c r="I966" s="6" t="n">
        <v>2575</v>
      </c>
      <c r="J966" s="6" t="n">
        <v>432937</v>
      </c>
      <c r="K966" s="16" t="n">
        <v>6</v>
      </c>
      <c r="L966" s="2" t="inlineStr">
        <is>
          <t>20260311004228</t>
        </is>
      </c>
      <c r="M966" s="8">
        <f>HYPERLINK("https://dart.fss.or.kr/dsaf001/main.do?rcpNo=20260311004228", "공시열람")</f>
        <v/>
      </c>
    </row>
    <row r="967" ht="22" customHeight="1">
      <c r="A967" s="2" t="inlineStr">
        <is>
          <t>2026-03-11</t>
        </is>
      </c>
      <c r="B967" s="3" t="inlineStr">
        <is>
          <t>유안타증권</t>
        </is>
      </c>
      <c r="C967" s="2" t="inlineStr">
        <is>
          <t>003470</t>
        </is>
      </c>
      <c r="D967" s="2" t="inlineStr">
        <is>
          <t>임원보고</t>
        </is>
      </c>
      <c r="E967" s="3" t="inlineStr">
        <is>
          <t>-</t>
        </is>
      </c>
      <c r="F967" s="3" t="inlineStr">
        <is>
          <t>-</t>
        </is>
      </c>
      <c r="G967" s="3" t="inlineStr">
        <is>
          <t>-</t>
        </is>
      </c>
      <c r="H967" s="6" t="inlineStr"/>
      <c r="I967" s="6" t="inlineStr"/>
      <c r="J967" s="6" t="inlineStr"/>
      <c r="K967" s="16" t="n">
        <v>12</v>
      </c>
      <c r="L967" s="2" t="inlineStr">
        <is>
          <t>20260311801766</t>
        </is>
      </c>
      <c r="M967" s="8">
        <f>HYPERLINK("https://dart.fss.or.kr/dsaf001/main.do?rcpNo=20260311801766", "공시열람")</f>
        <v/>
      </c>
    </row>
    <row r="968" ht="22" customHeight="1">
      <c r="A968" s="2" t="inlineStr">
        <is>
          <t>2026-03-11</t>
        </is>
      </c>
      <c r="B968" s="3" t="inlineStr">
        <is>
          <t>KB금융</t>
        </is>
      </c>
      <c r="C968" s="2" t="inlineStr">
        <is>
          <t>105560</t>
        </is>
      </c>
      <c r="D968" s="2" t="inlineStr">
        <is>
          <t>대량보유</t>
        </is>
      </c>
      <c r="E968" s="3" t="inlineStr">
        <is>
          <t>BlackRockFundAdvisors</t>
        </is>
      </c>
      <c r="F968" s="3" t="inlineStr">
        <is>
          <t>특별관계자</t>
        </is>
      </c>
      <c r="G968" s="3" t="inlineStr">
        <is>
          <t>기타(-), 장내매도(-), 장내매수(+), 기타(+), 장외매수(+), 장외매도(-)</t>
        </is>
      </c>
      <c r="H968" s="17" t="n">
        <v>-870784</v>
      </c>
      <c r="I968" s="6" t="n">
        <v>68238</v>
      </c>
      <c r="J968" s="6" t="n">
        <v>2361</v>
      </c>
      <c r="K968" s="16" t="n">
        <v>15</v>
      </c>
      <c r="L968" s="2" t="inlineStr">
        <is>
          <t>20260311004186</t>
        </is>
      </c>
      <c r="M968" s="8">
        <f>HYPERLINK("https://dart.fss.or.kr/dsaf001/main.do?rcpNo=20260311004186", "공시열람")</f>
        <v/>
      </c>
    </row>
    <row r="969" ht="22" customHeight="1">
      <c r="A969" s="2" t="inlineStr">
        <is>
          <t>2026-03-11</t>
        </is>
      </c>
      <c r="B969" s="3" t="inlineStr">
        <is>
          <t>KB금융</t>
        </is>
      </c>
      <c r="C969" s="2" t="inlineStr">
        <is>
          <t>105560</t>
        </is>
      </c>
      <c r="D969" s="2" t="inlineStr">
        <is>
          <t>대량보유</t>
        </is>
      </c>
      <c r="E969" s="3" t="inlineStr">
        <is>
          <t>BlackRockInstitutionalTrustCompany,N.A.</t>
        </is>
      </c>
      <c r="F969" s="3" t="inlineStr">
        <is>
          <t>특별관계자</t>
        </is>
      </c>
      <c r="G969" s="3" t="inlineStr">
        <is>
          <t>기타(-), 장내매도(-), 장내매수(+), 기타(+), 장외매도(-), 장외매수(+)</t>
        </is>
      </c>
      <c r="H969" s="15" t="n">
        <v>231709</v>
      </c>
      <c r="I969" s="6" t="n">
        <v>57950</v>
      </c>
      <c r="J969" s="6" t="n">
        <v>73128</v>
      </c>
      <c r="K969" s="16" t="n">
        <v>15</v>
      </c>
      <c r="L969" s="2" t="inlineStr">
        <is>
          <t>20260311004186</t>
        </is>
      </c>
      <c r="M969" s="8">
        <f>HYPERLINK("https://dart.fss.or.kr/dsaf001/main.do?rcpNo=20260311004186", "공시열람")</f>
        <v/>
      </c>
    </row>
    <row r="970" ht="22" customHeight="1">
      <c r="A970" s="2" t="inlineStr">
        <is>
          <t>2026-03-11</t>
        </is>
      </c>
      <c r="B970" s="3" t="inlineStr">
        <is>
          <t>KB금융</t>
        </is>
      </c>
      <c r="C970" s="2" t="inlineStr">
        <is>
          <t>105560</t>
        </is>
      </c>
      <c r="D970" s="2" t="inlineStr">
        <is>
          <t>대량보유</t>
        </is>
      </c>
      <c r="E970" s="3" t="inlineStr">
        <is>
          <t>BlackRockAdvisors(UK)Limited</t>
        </is>
      </c>
      <c r="F970" s="3" t="inlineStr">
        <is>
          <t>특별관계자</t>
        </is>
      </c>
      <c r="G970" s="3" t="inlineStr">
        <is>
          <t>기타(-), 장내매도(-), 장내매수(+), 기타(+), 장외매수(+), 장외매도(-)</t>
        </is>
      </c>
      <c r="H970" s="15" t="n">
        <v>1216808</v>
      </c>
      <c r="I970" s="6" t="n">
        <v>70347</v>
      </c>
      <c r="J970" s="6" t="n">
        <v>36505</v>
      </c>
      <c r="K970" s="16" t="n">
        <v>15</v>
      </c>
      <c r="L970" s="2" t="inlineStr">
        <is>
          <t>20260311004186</t>
        </is>
      </c>
      <c r="M970" s="8">
        <f>HYPERLINK("https://dart.fss.or.kr/dsaf001/main.do?rcpNo=20260311004186", "공시열람")</f>
        <v/>
      </c>
    </row>
    <row r="971" ht="22" customHeight="1">
      <c r="A971" s="2" t="inlineStr">
        <is>
          <t>2026-03-11</t>
        </is>
      </c>
      <c r="B971" s="3" t="inlineStr">
        <is>
          <t>KB금융</t>
        </is>
      </c>
      <c r="C971" s="2" t="inlineStr">
        <is>
          <t>105560</t>
        </is>
      </c>
      <c r="D971" s="2" t="inlineStr">
        <is>
          <t>대량보유</t>
        </is>
      </c>
      <c r="E971" s="3" t="inlineStr">
        <is>
          <t>BlackRockFinancialManagement,Inc</t>
        </is>
      </c>
      <c r="F971" s="3" t="inlineStr">
        <is>
          <t>특별관계자</t>
        </is>
      </c>
      <c r="G971" s="3" t="inlineStr">
        <is>
          <t>장내매도(-), 장내매수(+), 장외매수(+), 장외매도(-)</t>
        </is>
      </c>
      <c r="H971" s="17" t="n">
        <v>-292241</v>
      </c>
      <c r="I971" s="6" t="n">
        <v>49151</v>
      </c>
      <c r="J971" s="6" t="n">
        <v>24184</v>
      </c>
      <c r="K971" s="16" t="n">
        <v>15</v>
      </c>
      <c r="L971" s="2" t="inlineStr">
        <is>
          <t>20260311004186</t>
        </is>
      </c>
      <c r="M971" s="8">
        <f>HYPERLINK("https://dart.fss.or.kr/dsaf001/main.do?rcpNo=20260311004186", "공시열람")</f>
        <v/>
      </c>
    </row>
    <row r="972" ht="22" customHeight="1">
      <c r="A972" s="2" t="inlineStr">
        <is>
          <t>2026-03-11</t>
        </is>
      </c>
      <c r="B972" s="3" t="inlineStr">
        <is>
          <t>KB금융</t>
        </is>
      </c>
      <c r="C972" s="2" t="inlineStr">
        <is>
          <t>105560</t>
        </is>
      </c>
      <c r="D972" s="2" t="inlineStr">
        <is>
          <t>대량보유</t>
        </is>
      </c>
      <c r="E972" s="3" t="inlineStr">
        <is>
          <t>BlackRockInvestmentManagement,LLC</t>
        </is>
      </c>
      <c r="F972" s="3" t="inlineStr">
        <is>
          <t>특별관계자</t>
        </is>
      </c>
      <c r="G972" s="3" t="inlineStr">
        <is>
          <t>기타(-), 장내매수(+), 장내매도(-), 기타(+), 장외매도(-), 장외매수(+)</t>
        </is>
      </c>
      <c r="H972" s="17" t="n">
        <v>-184747</v>
      </c>
      <c r="I972" s="6" t="n">
        <v>53397</v>
      </c>
      <c r="J972" s="6" t="n">
        <v>21302</v>
      </c>
      <c r="K972" s="16" t="n">
        <v>15</v>
      </c>
      <c r="L972" s="2" t="inlineStr">
        <is>
          <t>20260311004186</t>
        </is>
      </c>
      <c r="M972" s="8">
        <f>HYPERLINK("https://dart.fss.or.kr/dsaf001/main.do?rcpNo=20260311004186", "공시열람")</f>
        <v/>
      </c>
    </row>
    <row r="973" ht="22" customHeight="1">
      <c r="A973" s="2" t="inlineStr">
        <is>
          <t>2026-03-11</t>
        </is>
      </c>
      <c r="B973" s="3" t="inlineStr">
        <is>
          <t>KB금융</t>
        </is>
      </c>
      <c r="C973" s="2" t="inlineStr">
        <is>
          <t>105560</t>
        </is>
      </c>
      <c r="D973" s="2" t="inlineStr">
        <is>
          <t>대량보유</t>
        </is>
      </c>
      <c r="E973" s="3" t="inlineStr">
        <is>
          <t>BlackRockInvestmentManagement(UK)Limited</t>
        </is>
      </c>
      <c r="F973" s="3" t="inlineStr">
        <is>
          <t>특별관계자</t>
        </is>
      </c>
      <c r="G973" s="3" t="inlineStr">
        <is>
          <t>장내매수(+), 장내매도(-), 장외매수(+), 장외매도(-), 기타(+)</t>
        </is>
      </c>
      <c r="H973" s="15" t="n">
        <v>25308</v>
      </c>
      <c r="I973" s="6" t="n">
        <v>69509</v>
      </c>
      <c r="J973" s="6" t="n">
        <v>15000</v>
      </c>
      <c r="K973" s="16" t="n">
        <v>15</v>
      </c>
      <c r="L973" s="2" t="inlineStr">
        <is>
          <t>20260311004186</t>
        </is>
      </c>
      <c r="M973" s="8">
        <f>HYPERLINK("https://dart.fss.or.kr/dsaf001/main.do?rcpNo=20260311004186", "공시열람")</f>
        <v/>
      </c>
    </row>
    <row r="974" ht="22" customHeight="1">
      <c r="A974" s="2" t="inlineStr">
        <is>
          <t>2026-03-11</t>
        </is>
      </c>
      <c r="B974" s="3" t="inlineStr">
        <is>
          <t>KB금융</t>
        </is>
      </c>
      <c r="C974" s="2" t="inlineStr">
        <is>
          <t>105560</t>
        </is>
      </c>
      <c r="D974" s="2" t="inlineStr">
        <is>
          <t>대량보유</t>
        </is>
      </c>
      <c r="E974" s="3" t="inlineStr">
        <is>
          <t>BlackRockAssetManagementCanadaLimited</t>
        </is>
      </c>
      <c r="F974" s="3" t="inlineStr">
        <is>
          <t>특별관계자</t>
        </is>
      </c>
      <c r="G974" s="3" t="inlineStr">
        <is>
          <t>장내매수(+), 장내매도(-), 장외매수(+)</t>
        </is>
      </c>
      <c r="H974" s="15" t="n">
        <v>278488</v>
      </c>
      <c r="I974" s="6" t="n">
        <v>66017</v>
      </c>
      <c r="J974" s="6" t="n">
        <v>2432</v>
      </c>
      <c r="K974" s="16" t="n">
        <v>15</v>
      </c>
      <c r="L974" s="2" t="inlineStr">
        <is>
          <t>20260311004186</t>
        </is>
      </c>
      <c r="M974" s="8">
        <f>HYPERLINK("https://dart.fss.or.kr/dsaf001/main.do?rcpNo=20260311004186", "공시열람")</f>
        <v/>
      </c>
    </row>
    <row r="975" ht="22" customHeight="1">
      <c r="A975" s="2" t="inlineStr">
        <is>
          <t>2026-03-11</t>
        </is>
      </c>
      <c r="B975" s="3" t="inlineStr">
        <is>
          <t>KB금융</t>
        </is>
      </c>
      <c r="C975" s="2" t="inlineStr">
        <is>
          <t>105560</t>
        </is>
      </c>
      <c r="D975" s="2" t="inlineStr">
        <is>
          <t>대량보유</t>
        </is>
      </c>
      <c r="E975" s="3" t="inlineStr">
        <is>
          <t>BlackRock(Netherlands)B.V.</t>
        </is>
      </c>
      <c r="F975" s="3" t="inlineStr">
        <is>
          <t>특별관계자</t>
        </is>
      </c>
      <c r="G975" s="3" t="inlineStr">
        <is>
          <t>장내매도(-), 장내매수(+)</t>
        </is>
      </c>
      <c r="H975" s="15" t="n">
        <v>84100</v>
      </c>
      <c r="I975" s="6" t="n">
        <v>87577</v>
      </c>
      <c r="J975" s="6" t="n">
        <v>137105</v>
      </c>
      <c r="K975" s="16" t="n">
        <v>15</v>
      </c>
      <c r="L975" s="2" t="inlineStr">
        <is>
          <t>20260311004186</t>
        </is>
      </c>
      <c r="M975" s="8">
        <f>HYPERLINK("https://dart.fss.or.kr/dsaf001/main.do?rcpNo=20260311004186", "공시열람")</f>
        <v/>
      </c>
    </row>
    <row r="976" ht="22" customHeight="1">
      <c r="A976" s="2" t="inlineStr">
        <is>
          <t>2026-03-11</t>
        </is>
      </c>
      <c r="B976" s="3" t="inlineStr">
        <is>
          <t>KB금융</t>
        </is>
      </c>
      <c r="C976" s="2" t="inlineStr">
        <is>
          <t>105560</t>
        </is>
      </c>
      <c r="D976" s="2" t="inlineStr">
        <is>
          <t>대량보유</t>
        </is>
      </c>
      <c r="E976" s="3" t="inlineStr">
        <is>
          <t>BlackRockAssetManagementNorthAsiaLimited</t>
        </is>
      </c>
      <c r="F976" s="3" t="inlineStr">
        <is>
          <t>특별관계자</t>
        </is>
      </c>
      <c r="G976" s="3" t="inlineStr">
        <is>
          <t>장내매수(+), 장내매도(-)</t>
        </is>
      </c>
      <c r="H976" s="15" t="n">
        <v>65830</v>
      </c>
      <c r="I976" s="6" t="n">
        <v>70479</v>
      </c>
      <c r="J976" s="6" t="n">
        <v>207716</v>
      </c>
      <c r="K976" s="16" t="n">
        <v>15</v>
      </c>
      <c r="L976" s="2" t="inlineStr">
        <is>
          <t>20260311004186</t>
        </is>
      </c>
      <c r="M976" s="8">
        <f>HYPERLINK("https://dart.fss.or.kr/dsaf001/main.do?rcpNo=20260311004186", "공시열람")</f>
        <v/>
      </c>
    </row>
    <row r="977" ht="22" customHeight="1">
      <c r="A977" s="2" t="inlineStr">
        <is>
          <t>2026-03-11</t>
        </is>
      </c>
      <c r="B977" s="3" t="inlineStr">
        <is>
          <t>KB금융</t>
        </is>
      </c>
      <c r="C977" s="2" t="inlineStr">
        <is>
          <t>105560</t>
        </is>
      </c>
      <c r="D977" s="2" t="inlineStr">
        <is>
          <t>대량보유</t>
        </is>
      </c>
      <c r="E977" s="3" t="inlineStr">
        <is>
          <t>BlackRockJapanCo.,Ltd.</t>
        </is>
      </c>
      <c r="F977" s="3" t="inlineStr">
        <is>
          <t>특별관계자</t>
        </is>
      </c>
      <c r="G977" s="3" t="inlineStr">
        <is>
          <t>기타(-), 장내매도(-), 장내매수(+), 기타(+)</t>
        </is>
      </c>
      <c r="H977" s="15" t="n">
        <v>63806</v>
      </c>
      <c r="I977" s="6" t="n">
        <v>70291</v>
      </c>
      <c r="J977" s="6" t="n">
        <v>10</v>
      </c>
      <c r="K977" s="16" t="n">
        <v>15</v>
      </c>
      <c r="L977" s="2" t="inlineStr">
        <is>
          <t>20260311004186</t>
        </is>
      </c>
      <c r="M977" s="8">
        <f>HYPERLINK("https://dart.fss.or.kr/dsaf001/main.do?rcpNo=20260311004186", "공시열람")</f>
        <v/>
      </c>
    </row>
    <row r="978" ht="22" customHeight="1">
      <c r="A978" s="2" t="inlineStr">
        <is>
          <t>2026-03-11</t>
        </is>
      </c>
      <c r="B978" s="3" t="inlineStr">
        <is>
          <t>KB금융</t>
        </is>
      </c>
      <c r="C978" s="2" t="inlineStr">
        <is>
          <t>105560</t>
        </is>
      </c>
      <c r="D978" s="2" t="inlineStr">
        <is>
          <t>대량보유</t>
        </is>
      </c>
      <c r="E978" s="3" t="inlineStr">
        <is>
          <t>BlackRockInvestmentManagement(Australia)Limited</t>
        </is>
      </c>
      <c r="F978" s="3" t="inlineStr">
        <is>
          <t>특별관계자</t>
        </is>
      </c>
      <c r="G978" s="3" t="inlineStr">
        <is>
          <t>기타(-), 장내매도(-), 장내매수(+), 기타(+), 장외매도(-), 장외매수(+)</t>
        </is>
      </c>
      <c r="H978" s="17" t="n">
        <v>-19667</v>
      </c>
      <c r="I978" s="6" t="n">
        <v>64544</v>
      </c>
      <c r="J978" s="6" t="n">
        <v>1085</v>
      </c>
      <c r="K978" s="16" t="n">
        <v>15</v>
      </c>
      <c r="L978" s="2" t="inlineStr">
        <is>
          <t>20260311004186</t>
        </is>
      </c>
      <c r="M978" s="8">
        <f>HYPERLINK("https://dart.fss.or.kr/dsaf001/main.do?rcpNo=20260311004186", "공시열람")</f>
        <v/>
      </c>
    </row>
    <row r="979" ht="22" customHeight="1">
      <c r="A979" s="2" t="inlineStr">
        <is>
          <t>2026-03-11</t>
        </is>
      </c>
      <c r="B979" s="3" t="inlineStr">
        <is>
          <t>KB금융</t>
        </is>
      </c>
      <c r="C979" s="2" t="inlineStr">
        <is>
          <t>105560</t>
        </is>
      </c>
      <c r="D979" s="2" t="inlineStr">
        <is>
          <t>대량보유</t>
        </is>
      </c>
      <c r="E979" s="3" t="inlineStr">
        <is>
          <t>BlackRockAdvisors,LLC</t>
        </is>
      </c>
      <c r="F979" s="3" t="inlineStr">
        <is>
          <t>특별관계자</t>
        </is>
      </c>
      <c r="G979" s="3" t="inlineStr">
        <is>
          <t>장내매수(+), 장내매도(-), 장외매수(+), 장외매도(-)</t>
        </is>
      </c>
      <c r="H979" s="17" t="n">
        <v>-28590</v>
      </c>
      <c r="I979" s="6" t="n">
        <v>60139</v>
      </c>
      <c r="J979" s="6" t="n">
        <v>851</v>
      </c>
      <c r="K979" s="16" t="n">
        <v>15</v>
      </c>
      <c r="L979" s="2" t="inlineStr">
        <is>
          <t>20260311004186</t>
        </is>
      </c>
      <c r="M979" s="8">
        <f>HYPERLINK("https://dart.fss.or.kr/dsaf001/main.do?rcpNo=20260311004186", "공시열람")</f>
        <v/>
      </c>
    </row>
    <row r="980" ht="22" customHeight="1">
      <c r="A980" s="2" t="inlineStr">
        <is>
          <t>2026-03-11</t>
        </is>
      </c>
      <c r="B980" s="3" t="inlineStr">
        <is>
          <t>KB금융</t>
        </is>
      </c>
      <c r="C980" s="2" t="inlineStr">
        <is>
          <t>105560</t>
        </is>
      </c>
      <c r="D980" s="2" t="inlineStr">
        <is>
          <t>대량보유</t>
        </is>
      </c>
      <c r="E980" s="3" t="inlineStr">
        <is>
          <t>BlackRock(Singapore)Limited</t>
        </is>
      </c>
      <c r="F980" s="3" t="inlineStr">
        <is>
          <t>특별관계자</t>
        </is>
      </c>
      <c r="G980" s="3" t="inlineStr">
        <is>
          <t>기타(-), 장내매도(-), 장내매수(+), 기타(+), 장외매도(-), 장외매수(+)</t>
        </is>
      </c>
      <c r="H980" s="15" t="n">
        <v>74424</v>
      </c>
      <c r="I980" s="6" t="n">
        <v>67167</v>
      </c>
      <c r="J980" s="6" t="n">
        <v>2696</v>
      </c>
      <c r="K980" s="16" t="n">
        <v>15</v>
      </c>
      <c r="L980" s="2" t="inlineStr">
        <is>
          <t>20260311004186</t>
        </is>
      </c>
      <c r="M980" s="8">
        <f>HYPERLINK("https://dart.fss.or.kr/dsaf001/main.do?rcpNo=20260311004186", "공시열람")</f>
        <v/>
      </c>
    </row>
    <row r="981" ht="22" customHeight="1">
      <c r="A981" s="2" t="inlineStr">
        <is>
          <t>2026-03-11</t>
        </is>
      </c>
      <c r="B981" s="3" t="inlineStr">
        <is>
          <t>KB금융</t>
        </is>
      </c>
      <c r="C981" s="2" t="inlineStr">
        <is>
          <t>105560</t>
        </is>
      </c>
      <c r="D981" s="2" t="inlineStr">
        <is>
          <t>대량보유</t>
        </is>
      </c>
      <c r="E981" s="3" t="inlineStr">
        <is>
          <t>AperioGroupLLC</t>
        </is>
      </c>
      <c r="F981" s="3" t="inlineStr">
        <is>
          <t>특별관계자</t>
        </is>
      </c>
      <c r="G981" s="3" t="inlineStr">
        <is>
          <t>기타(-), 장내매수(+), 장내매도(-), 기타(+), 장외매도(-), 장외매수(+)</t>
        </is>
      </c>
      <c r="H981" s="15" t="n">
        <v>592560</v>
      </c>
      <c r="I981" s="6" t="n">
        <v>1394</v>
      </c>
      <c r="J981" s="6" t="n">
        <v>1827965</v>
      </c>
      <c r="K981" s="16" t="n">
        <v>15</v>
      </c>
      <c r="L981" s="2" t="inlineStr">
        <is>
          <t>20260311004186</t>
        </is>
      </c>
      <c r="M981" s="8">
        <f>HYPERLINK("https://dart.fss.or.kr/dsaf001/main.do?rcpNo=20260311004186", "공시열람")</f>
        <v/>
      </c>
    </row>
    <row r="982" ht="22" customHeight="1">
      <c r="A982" s="2" t="inlineStr">
        <is>
          <t>2026-03-11</t>
        </is>
      </c>
      <c r="B982" s="3" t="inlineStr">
        <is>
          <t>KB금융</t>
        </is>
      </c>
      <c r="C982" s="2" t="inlineStr">
        <is>
          <t>105560</t>
        </is>
      </c>
      <c r="D982" s="2" t="inlineStr">
        <is>
          <t>대량보유</t>
        </is>
      </c>
      <c r="E982" s="3" t="inlineStr">
        <is>
          <t>SpiderRockAdvisors,LLC</t>
        </is>
      </c>
      <c r="F982" s="3" t="inlineStr">
        <is>
          <t>특별관계자</t>
        </is>
      </c>
      <c r="G982" s="3" t="inlineStr">
        <is>
          <t>장외매수(+), 장외매도(-)</t>
        </is>
      </c>
      <c r="H982" s="15" t="n">
        <v>680</v>
      </c>
      <c r="I982" s="6" t="n">
        <v>90</v>
      </c>
      <c r="J982" s="6" t="n">
        <v>680</v>
      </c>
      <c r="K982" s="16" t="n">
        <v>15</v>
      </c>
      <c r="L982" s="2" t="inlineStr">
        <is>
          <t>20260311004186</t>
        </is>
      </c>
      <c r="M982" s="8">
        <f>HYPERLINK("https://dart.fss.or.kr/dsaf001/main.do?rcpNo=20260311004186", "공시열람")</f>
        <v/>
      </c>
    </row>
    <row r="983" ht="22" customHeight="1">
      <c r="A983" s="2" t="inlineStr">
        <is>
          <t>2026-03-11</t>
        </is>
      </c>
      <c r="B983" s="3" t="inlineStr">
        <is>
          <t>에이치엘사이언스</t>
        </is>
      </c>
      <c r="C983" s="2" t="inlineStr">
        <is>
          <t>239610</t>
        </is>
      </c>
      <c r="D983" s="2" t="inlineStr">
        <is>
          <t>대량보유</t>
        </is>
      </c>
      <c r="E983" s="3" t="inlineStr">
        <is>
          <t>이동현</t>
        </is>
      </c>
      <c r="F983" s="3" t="inlineStr">
        <is>
          <t>특별관계자</t>
        </is>
      </c>
      <c r="G983" s="3" t="inlineStr">
        <is>
          <t>장내매수(+)</t>
        </is>
      </c>
      <c r="H983" s="15" t="n">
        <v>53342</v>
      </c>
      <c r="I983" s="6" t="n">
        <v>8165</v>
      </c>
      <c r="J983" s="6" t="n">
        <v>1435714</v>
      </c>
      <c r="K983" s="16" t="n">
        <v>2</v>
      </c>
      <c r="L983" s="2" t="inlineStr">
        <is>
          <t>20260311004171</t>
        </is>
      </c>
      <c r="M983" s="8">
        <f>HYPERLINK("https://dart.fss.or.kr/dsaf001/main.do?rcpNo=20260311004171", "공시열람")</f>
        <v/>
      </c>
    </row>
    <row r="984" ht="22" customHeight="1">
      <c r="A984" s="2" t="inlineStr">
        <is>
          <t>2026-03-11</t>
        </is>
      </c>
      <c r="B984" s="3" t="inlineStr">
        <is>
          <t>에이치엘사이언스</t>
        </is>
      </c>
      <c r="C984" s="2" t="inlineStr">
        <is>
          <t>239610</t>
        </is>
      </c>
      <c r="D984" s="2" t="inlineStr">
        <is>
          <t>대량보유</t>
        </is>
      </c>
      <c r="E984" s="3" t="inlineStr">
        <is>
          <t>허유빈</t>
        </is>
      </c>
      <c r="F984" s="3" t="inlineStr">
        <is>
          <t>특별관계자</t>
        </is>
      </c>
      <c r="G984" s="3" t="inlineStr">
        <is>
          <t>장내매수(+)</t>
        </is>
      </c>
      <c r="H984" s="15" t="n">
        <v>805</v>
      </c>
      <c r="I984" s="6" t="n">
        <v>7297</v>
      </c>
      <c r="J984" s="6" t="n">
        <v>6310</v>
      </c>
      <c r="K984" s="16" t="n">
        <v>2</v>
      </c>
      <c r="L984" s="2" t="inlineStr">
        <is>
          <t>20260311004171</t>
        </is>
      </c>
      <c r="M984" s="8">
        <f>HYPERLINK("https://dart.fss.or.kr/dsaf001/main.do?rcpNo=20260311004171", "공시열람")</f>
        <v/>
      </c>
    </row>
    <row r="985" ht="22" customHeight="1">
      <c r="A985" s="2" t="inlineStr">
        <is>
          <t>2026-03-11</t>
        </is>
      </c>
      <c r="B985" s="3" t="inlineStr">
        <is>
          <t>휴림로봇</t>
        </is>
      </c>
      <c r="C985" s="2" t="inlineStr">
        <is>
          <t>090710</t>
        </is>
      </c>
      <c r="D985" s="2" t="inlineStr">
        <is>
          <t>대량보유</t>
        </is>
      </c>
      <c r="E985" s="3" t="inlineStr">
        <is>
          <t>(주)휴림홀딩스</t>
        </is>
      </c>
      <c r="F985" s="3" t="inlineStr">
        <is>
          <t>보고자</t>
        </is>
      </c>
      <c r="G985" s="3" t="inlineStr">
        <is>
          <t>보고자의 주식근질권설정계약 체결</t>
        </is>
      </c>
      <c r="H985" s="6" t="inlineStr"/>
      <c r="I985" s="6" t="inlineStr"/>
      <c r="J985" s="6" t="n">
        <v>6274437</v>
      </c>
      <c r="K985" s="16" t="n">
        <v>4</v>
      </c>
      <c r="L985" s="2" t="inlineStr">
        <is>
          <t>20260311004167</t>
        </is>
      </c>
      <c r="M985" s="8">
        <f>HYPERLINK("https://dart.fss.or.kr/dsaf001/main.do?rcpNo=20260311004167", "공시열람")</f>
        <v/>
      </c>
    </row>
    <row r="986" ht="22" customHeight="1">
      <c r="A986" s="2" t="inlineStr">
        <is>
          <t>2026-03-11</t>
        </is>
      </c>
      <c r="B986" s="3" t="inlineStr">
        <is>
          <t>한울반도체</t>
        </is>
      </c>
      <c r="C986" s="2" t="inlineStr">
        <is>
          <t>320000</t>
        </is>
      </c>
      <c r="D986" s="2" t="inlineStr">
        <is>
          <t>대량보유</t>
        </is>
      </c>
      <c r="E986" s="3" t="inlineStr">
        <is>
          <t>주식회사한울소재과학</t>
        </is>
      </c>
      <c r="F986" s="3" t="inlineStr">
        <is>
          <t>보고자</t>
        </is>
      </c>
      <c r="G986" s="3" t="inlineStr">
        <is>
          <t>- 특별관계자 주식매매계약 변경 계약 체결에 따른 변경보고- 특별관계자 주식매매계약 2차 중도금 이행에 따른 주식 취득</t>
        </is>
      </c>
      <c r="H986" s="6" t="inlineStr"/>
      <c r="I986" s="6" t="inlineStr"/>
      <c r="J986" s="6" t="n">
        <v>12352655</v>
      </c>
      <c r="K986" s="16" t="n">
        <v>6</v>
      </c>
      <c r="L986" s="2" t="inlineStr">
        <is>
          <t>20260311004150</t>
        </is>
      </c>
      <c r="M986" s="8">
        <f>HYPERLINK("https://dart.fss.or.kr/dsaf001/main.do?rcpNo=20260311004150", "공시열람")</f>
        <v/>
      </c>
    </row>
    <row r="987" ht="22" customHeight="1">
      <c r="A987" s="2" t="inlineStr">
        <is>
          <t>2026-03-11</t>
        </is>
      </c>
      <c r="B987" s="3" t="inlineStr">
        <is>
          <t>엔지켐생명과학</t>
        </is>
      </c>
      <c r="C987" s="2" t="inlineStr">
        <is>
          <t>183490</t>
        </is>
      </c>
      <c r="D987" s="2" t="inlineStr">
        <is>
          <t>대량보유</t>
        </is>
      </c>
      <c r="E987" s="3" t="inlineStr">
        <is>
          <t>(주)브리짓라이프사이언스</t>
        </is>
      </c>
      <c r="F987" s="3" t="inlineStr">
        <is>
          <t>보고자</t>
        </is>
      </c>
      <c r="G987" s="3" t="inlineStr">
        <is>
          <t>[변경] 특별관계자 보유주식 관련 계약 변경</t>
        </is>
      </c>
      <c r="H987" s="6" t="inlineStr"/>
      <c r="I987" s="6" t="inlineStr"/>
      <c r="J987" s="6" t="n">
        <v>17132629</v>
      </c>
      <c r="K987" s="16" t="n">
        <v>6</v>
      </c>
      <c r="L987" s="2" t="inlineStr">
        <is>
          <t>20260311004127</t>
        </is>
      </c>
      <c r="M987" s="8">
        <f>HYPERLINK("https://dart.fss.or.kr/dsaf001/main.do?rcpNo=20260311004127", "공시열람")</f>
        <v/>
      </c>
    </row>
    <row r="988" ht="22" customHeight="1">
      <c r="A988" s="2" t="inlineStr">
        <is>
          <t>2026-03-11</t>
        </is>
      </c>
      <c r="B988" s="3" t="inlineStr">
        <is>
          <t>한라캐스트</t>
        </is>
      </c>
      <c r="C988" s="2" t="inlineStr">
        <is>
          <t>125490</t>
        </is>
      </c>
      <c r="D988" s="2" t="inlineStr">
        <is>
          <t>대량보유</t>
        </is>
      </c>
      <c r="E988" s="3" t="inlineStr">
        <is>
          <t>박지용</t>
        </is>
      </c>
      <c r="F988" s="3" t="inlineStr">
        <is>
          <t>특별관계자</t>
        </is>
      </c>
      <c r="G988" s="3" t="inlineStr">
        <is>
          <t>장내매수(+), 장내매도(-)</t>
        </is>
      </c>
      <c r="H988" s="15" t="n">
        <v>500</v>
      </c>
      <c r="I988" s="6" t="n">
        <v>11583</v>
      </c>
      <c r="J988" s="6" t="n">
        <v>500</v>
      </c>
      <c r="K988" s="16" t="n">
        <v>7</v>
      </c>
      <c r="L988" s="2" t="inlineStr">
        <is>
          <t>20260311004099</t>
        </is>
      </c>
      <c r="M988" s="8">
        <f>HYPERLINK("https://dart.fss.or.kr/dsaf001/main.do?rcpNo=20260311004099", "공시열람")</f>
        <v/>
      </c>
    </row>
    <row r="989" ht="22" customHeight="1">
      <c r="A989" s="2" t="inlineStr">
        <is>
          <t>2026-03-11</t>
        </is>
      </c>
      <c r="B989" s="3" t="inlineStr">
        <is>
          <t>한라캐스트</t>
        </is>
      </c>
      <c r="C989" s="2" t="inlineStr">
        <is>
          <t>125490</t>
        </is>
      </c>
      <c r="D989" s="2" t="inlineStr">
        <is>
          <t>대량보유</t>
        </is>
      </c>
      <c r="E989" s="3" t="inlineStr">
        <is>
          <t>오택원</t>
        </is>
      </c>
      <c r="F989" s="3" t="inlineStr">
        <is>
          <t>특별관계자</t>
        </is>
      </c>
      <c r="G989" s="3" t="inlineStr">
        <is>
          <t>장내매수(+)</t>
        </is>
      </c>
      <c r="H989" s="15" t="n">
        <v>3850</v>
      </c>
      <c r="I989" s="6" t="n">
        <v>14101</v>
      </c>
      <c r="J989" s="6" t="n">
        <v>3850</v>
      </c>
      <c r="K989" s="16" t="n">
        <v>7</v>
      </c>
      <c r="L989" s="2" t="inlineStr">
        <is>
          <t>20260311004099</t>
        </is>
      </c>
      <c r="M989" s="8">
        <f>HYPERLINK("https://dart.fss.or.kr/dsaf001/main.do?rcpNo=20260311004099", "공시열람")</f>
        <v/>
      </c>
    </row>
    <row r="990" ht="22" customHeight="1">
      <c r="A990" s="2" t="inlineStr">
        <is>
          <t>2026-03-11</t>
        </is>
      </c>
      <c r="B990" s="3" t="inlineStr">
        <is>
          <t>에이텍모빌리티</t>
        </is>
      </c>
      <c r="C990" s="2" t="inlineStr">
        <is>
          <t>224110</t>
        </is>
      </c>
      <c r="D990" s="2" t="inlineStr">
        <is>
          <t>대량보유</t>
        </is>
      </c>
      <c r="E990" s="3" t="inlineStr">
        <is>
          <t>신승영</t>
        </is>
      </c>
      <c r="F990" s="3" t="inlineStr">
        <is>
          <t>특별관계자</t>
        </is>
      </c>
      <c r="G990" s="3" t="inlineStr">
        <is>
          <t>장내매수(+)</t>
        </is>
      </c>
      <c r="H990" s="15" t="n">
        <v>5000</v>
      </c>
      <c r="I990" s="6" t="n">
        <v>8879</v>
      </c>
      <c r="J990" s="6" t="n">
        <v>1574433</v>
      </c>
      <c r="K990" s="16" t="n">
        <v>6</v>
      </c>
      <c r="L990" s="2" t="inlineStr">
        <is>
          <t>20260311004091</t>
        </is>
      </c>
      <c r="M990" s="8">
        <f>HYPERLINK("https://dart.fss.or.kr/dsaf001/main.do?rcpNo=20260311004091", "공시열람")</f>
        <v/>
      </c>
    </row>
    <row r="991" ht="22" customHeight="1">
      <c r="A991" s="2" t="inlineStr">
        <is>
          <t>2026-03-11</t>
        </is>
      </c>
      <c r="B991" s="3" t="inlineStr">
        <is>
          <t>에이텍모빌리티</t>
        </is>
      </c>
      <c r="C991" s="2" t="inlineStr">
        <is>
          <t>224110</t>
        </is>
      </c>
      <c r="D991" s="2" t="inlineStr">
        <is>
          <t>대량보유</t>
        </is>
      </c>
      <c r="E991" s="3" t="inlineStr">
        <is>
          <t>신종찬</t>
        </is>
      </c>
      <c r="F991" s="3" t="inlineStr">
        <is>
          <t>특별관계자</t>
        </is>
      </c>
      <c r="G991" s="3" t="inlineStr">
        <is>
          <t>장내매수(+)</t>
        </is>
      </c>
      <c r="H991" s="15" t="n">
        <v>5652</v>
      </c>
      <c r="I991" s="6" t="n">
        <v>8829</v>
      </c>
      <c r="J991" s="6" t="n">
        <v>11290</v>
      </c>
      <c r="K991" s="16" t="n">
        <v>6</v>
      </c>
      <c r="L991" s="2" t="inlineStr">
        <is>
          <t>20260311004091</t>
        </is>
      </c>
      <c r="M991" s="8">
        <f>HYPERLINK("https://dart.fss.or.kr/dsaf001/main.do?rcpNo=20260311004091", "공시열람")</f>
        <v/>
      </c>
    </row>
    <row r="992" ht="22" customHeight="1">
      <c r="A992" s="2" t="inlineStr">
        <is>
          <t>2026-03-11</t>
        </is>
      </c>
      <c r="B992" s="3" t="inlineStr">
        <is>
          <t>에이텍모빌리티</t>
        </is>
      </c>
      <c r="C992" s="2" t="inlineStr">
        <is>
          <t>224110</t>
        </is>
      </c>
      <c r="D992" s="2" t="inlineStr">
        <is>
          <t>대량보유</t>
        </is>
      </c>
      <c r="E992" s="3" t="inlineStr">
        <is>
          <t>김다예</t>
        </is>
      </c>
      <c r="F992" s="3" t="inlineStr">
        <is>
          <t>특별관계자</t>
        </is>
      </c>
      <c r="G992" s="3" t="inlineStr">
        <is>
          <t>장내매수(+)</t>
        </is>
      </c>
      <c r="H992" s="15" t="n">
        <v>14000</v>
      </c>
      <c r="I992" s="6" t="n">
        <v>8793</v>
      </c>
      <c r="J992" s="6" t="n">
        <v>29273</v>
      </c>
      <c r="K992" s="16" t="n">
        <v>6</v>
      </c>
      <c r="L992" s="2" t="inlineStr">
        <is>
          <t>20260311004091</t>
        </is>
      </c>
      <c r="M992" s="8">
        <f>HYPERLINK("https://dart.fss.or.kr/dsaf001/main.do?rcpNo=20260311004091", "공시열람")</f>
        <v/>
      </c>
    </row>
    <row r="993" ht="22" customHeight="1">
      <c r="A993" s="2" t="inlineStr">
        <is>
          <t>2026-03-11</t>
        </is>
      </c>
      <c r="B993" s="3" t="inlineStr">
        <is>
          <t>에이텍모빌리티</t>
        </is>
      </c>
      <c r="C993" s="2" t="inlineStr">
        <is>
          <t>224110</t>
        </is>
      </c>
      <c r="D993" s="2" t="inlineStr">
        <is>
          <t>대량보유</t>
        </is>
      </c>
      <c r="E993" s="3" t="inlineStr">
        <is>
          <t>신재하</t>
        </is>
      </c>
      <c r="F993" s="3" t="inlineStr">
        <is>
          <t>특별관계자</t>
        </is>
      </c>
      <c r="G993" s="3" t="inlineStr">
        <is>
          <t>장내매수(+)</t>
        </is>
      </c>
      <c r="H993" s="15" t="n">
        <v>1688</v>
      </c>
      <c r="I993" s="6" t="n">
        <v>8629</v>
      </c>
      <c r="J993" s="6" t="n">
        <v>1880</v>
      </c>
      <c r="K993" s="16" t="n">
        <v>6</v>
      </c>
      <c r="L993" s="2" t="inlineStr">
        <is>
          <t>20260311004091</t>
        </is>
      </c>
      <c r="M993" s="8">
        <f>HYPERLINK("https://dart.fss.or.kr/dsaf001/main.do?rcpNo=20260311004091", "공시열람")</f>
        <v/>
      </c>
    </row>
    <row r="994" ht="22" customHeight="1">
      <c r="A994" s="2" t="inlineStr">
        <is>
          <t>2026-03-11</t>
        </is>
      </c>
      <c r="B994" s="3" t="inlineStr">
        <is>
          <t>에이텍모빌리티</t>
        </is>
      </c>
      <c r="C994" s="2" t="inlineStr">
        <is>
          <t>224110</t>
        </is>
      </c>
      <c r="D994" s="2" t="inlineStr">
        <is>
          <t>대량보유</t>
        </is>
      </c>
      <c r="E994" s="3" t="inlineStr">
        <is>
          <t>신동하</t>
        </is>
      </c>
      <c r="F994" s="3" t="inlineStr">
        <is>
          <t>특별관계자</t>
        </is>
      </c>
      <c r="G994" s="3" t="inlineStr">
        <is>
          <t>장내매수(+)</t>
        </is>
      </c>
      <c r="H994" s="15" t="n">
        <v>1565</v>
      </c>
      <c r="I994" s="6" t="n">
        <v>8618</v>
      </c>
      <c r="J994" s="6" t="n">
        <v>1565</v>
      </c>
      <c r="K994" s="16" t="n">
        <v>6</v>
      </c>
      <c r="L994" s="2" t="inlineStr">
        <is>
          <t>20260311004091</t>
        </is>
      </c>
      <c r="M994" s="8">
        <f>HYPERLINK("https://dart.fss.or.kr/dsaf001/main.do?rcpNo=20260311004091", "공시열람")</f>
        <v/>
      </c>
    </row>
    <row r="995" ht="22" customHeight="1">
      <c r="A995" s="2" t="inlineStr">
        <is>
          <t>2026-03-11</t>
        </is>
      </c>
      <c r="B995" s="3" t="inlineStr">
        <is>
          <t>동원개발</t>
        </is>
      </c>
      <c r="C995" s="2" t="inlineStr">
        <is>
          <t>013120</t>
        </is>
      </c>
      <c r="D995" s="2" t="inlineStr">
        <is>
          <t>대량보유</t>
        </is>
      </c>
      <c r="E995" s="3" t="inlineStr">
        <is>
          <t>장복만</t>
        </is>
      </c>
      <c r="F995" s="3" t="inlineStr">
        <is>
          <t>보고자</t>
        </is>
      </c>
      <c r="G995" s="3" t="inlineStr">
        <is>
          <t>주식담보대출 기간연장</t>
        </is>
      </c>
      <c r="H995" s="6" t="inlineStr"/>
      <c r="I995" s="6" t="inlineStr"/>
      <c r="J995" s="6" t="n">
        <v>59732641</v>
      </c>
      <c r="K995" s="16" t="n">
        <v>9</v>
      </c>
      <c r="L995" s="2" t="inlineStr">
        <is>
          <t>20260311003990</t>
        </is>
      </c>
      <c r="M995" s="8">
        <f>HYPERLINK("https://dart.fss.or.kr/dsaf001/main.do?rcpNo=20260311003990", "공시열람")</f>
        <v/>
      </c>
    </row>
    <row r="996" ht="22" customHeight="1">
      <c r="A996" s="2" t="inlineStr">
        <is>
          <t>2026-03-11</t>
        </is>
      </c>
      <c r="B996" s="3" t="inlineStr">
        <is>
          <t>엔비티</t>
        </is>
      </c>
      <c r="C996" s="2" t="inlineStr">
        <is>
          <t>236810</t>
        </is>
      </c>
      <c r="D996" s="2" t="inlineStr">
        <is>
          <t>대량보유</t>
        </is>
      </c>
      <c r="E996" s="3" t="inlineStr">
        <is>
          <t>박수근</t>
        </is>
      </c>
      <c r="F996" s="3" t="inlineStr">
        <is>
          <t>보고자</t>
        </is>
      </c>
      <c r="G996" s="3" t="inlineStr">
        <is>
          <t>주식담보계약의 상환</t>
        </is>
      </c>
      <c r="H996" s="6" t="inlineStr"/>
      <c r="I996" s="6" t="inlineStr"/>
      <c r="J996" s="6" t="n">
        <v>3959756</v>
      </c>
      <c r="K996" s="16" t="n">
        <v>1</v>
      </c>
      <c r="L996" s="2" t="inlineStr">
        <is>
          <t>20260311003976</t>
        </is>
      </c>
      <c r="M996" s="8">
        <f>HYPERLINK("https://dart.fss.or.kr/dsaf001/main.do?rcpNo=20260311003976", "공시열람")</f>
        <v/>
      </c>
    </row>
    <row r="997" ht="22" customHeight="1">
      <c r="A997" s="2" t="inlineStr">
        <is>
          <t>2026-03-11</t>
        </is>
      </c>
      <c r="B997" s="3" t="inlineStr">
        <is>
          <t>미원에스씨</t>
        </is>
      </c>
      <c r="C997" s="2" t="inlineStr">
        <is>
          <t>268280</t>
        </is>
      </c>
      <c r="D997" s="2" t="inlineStr">
        <is>
          <t>임원보고</t>
        </is>
      </c>
      <c r="E997" s="3" t="inlineStr">
        <is>
          <t>-</t>
        </is>
      </c>
      <c r="F997" s="3" t="inlineStr">
        <is>
          <t>-</t>
        </is>
      </c>
      <c r="G997" s="3" t="inlineStr">
        <is>
          <t>-</t>
        </is>
      </c>
      <c r="H997" s="6" t="inlineStr"/>
      <c r="I997" s="6" t="inlineStr"/>
      <c r="J997" s="6" t="inlineStr"/>
      <c r="K997" s="16" t="n">
        <v>12</v>
      </c>
      <c r="L997" s="2" t="inlineStr">
        <is>
          <t>20260311801322</t>
        </is>
      </c>
      <c r="M997" s="8">
        <f>HYPERLINK("https://dart.fss.or.kr/dsaf001/main.do?rcpNo=20260311801322", "공시열람")</f>
        <v/>
      </c>
    </row>
    <row r="998" ht="22" customHeight="1">
      <c r="A998" s="2" t="inlineStr">
        <is>
          <t>2026-03-11</t>
        </is>
      </c>
      <c r="B998" s="3" t="inlineStr">
        <is>
          <t>HD현대일렉트릭</t>
        </is>
      </c>
      <c r="C998" s="2" t="inlineStr">
        <is>
          <t>267260</t>
        </is>
      </c>
      <c r="D998" s="2" t="inlineStr">
        <is>
          <t>임원보고</t>
        </is>
      </c>
      <c r="E998" s="3" t="inlineStr">
        <is>
          <t>-</t>
        </is>
      </c>
      <c r="F998" s="3" t="inlineStr">
        <is>
          <t>-</t>
        </is>
      </c>
      <c r="G998" s="3" t="inlineStr">
        <is>
          <t>-</t>
        </is>
      </c>
      <c r="H998" s="6" t="inlineStr"/>
      <c r="I998" s="6" t="inlineStr"/>
      <c r="J998" s="6" t="inlineStr"/>
      <c r="K998" s="16" t="n">
        <v>12</v>
      </c>
      <c r="L998" s="2" t="inlineStr">
        <is>
          <t>20260311801310</t>
        </is>
      </c>
      <c r="M998" s="8">
        <f>HYPERLINK("https://dart.fss.or.kr/dsaf001/main.do?rcpNo=20260311801310", "공시열람")</f>
        <v/>
      </c>
    </row>
    <row r="999" ht="22" customHeight="1">
      <c r="A999" s="2" t="inlineStr">
        <is>
          <t>2026-03-11</t>
        </is>
      </c>
      <c r="B999" s="3" t="inlineStr">
        <is>
          <t>iM금융지주</t>
        </is>
      </c>
      <c r="C999" s="2" t="inlineStr">
        <is>
          <t>139130</t>
        </is>
      </c>
      <c r="D999" s="2" t="inlineStr">
        <is>
          <t>대량보유</t>
        </is>
      </c>
      <c r="E999" s="3" t="inlineStr">
        <is>
          <t>오케이캐피탈(주)</t>
        </is>
      </c>
      <c r="F999" s="3" t="inlineStr">
        <is>
          <t>특별관계자</t>
        </is>
      </c>
      <c r="G999" s="3" t="inlineStr">
        <is>
          <t>기타(+)</t>
        </is>
      </c>
      <c r="H999" s="15" t="n">
        <v>5834588</v>
      </c>
      <c r="I999" s="6" t="inlineStr"/>
      <c r="J999" s="6" t="n">
        <v>5834588</v>
      </c>
      <c r="K999" s="16" t="n">
        <v>3</v>
      </c>
      <c r="L999" s="2" t="inlineStr">
        <is>
          <t>20260311003939</t>
        </is>
      </c>
      <c r="M999" s="8">
        <f>HYPERLINK("https://dart.fss.or.kr/dsaf001/main.do?rcpNo=20260311003939", "공시열람")</f>
        <v/>
      </c>
    </row>
    <row r="1000" ht="22" customHeight="1">
      <c r="A1000" s="2" t="inlineStr">
        <is>
          <t>2026-03-11</t>
        </is>
      </c>
      <c r="B1000" s="3" t="inlineStr">
        <is>
          <t>iM금융지주</t>
        </is>
      </c>
      <c r="C1000" s="2" t="inlineStr">
        <is>
          <t>139130</t>
        </is>
      </c>
      <c r="D1000" s="2" t="inlineStr">
        <is>
          <t>대량보유</t>
        </is>
      </c>
      <c r="E1000" s="3" t="inlineStr">
        <is>
          <t>㈜오케이저축은행</t>
        </is>
      </c>
      <c r="F1000" s="3" t="inlineStr">
        <is>
          <t>특별관계자</t>
        </is>
      </c>
      <c r="G1000" s="3" t="inlineStr">
        <is>
          <t>기타(+)</t>
        </is>
      </c>
      <c r="H1000" s="15" t="n">
        <v>4984970</v>
      </c>
      <c r="I1000" s="6" t="inlineStr"/>
      <c r="J1000" s="6" t="n">
        <v>4984970</v>
      </c>
      <c r="K1000" s="16" t="n">
        <v>3</v>
      </c>
      <c r="L1000" s="2" t="inlineStr">
        <is>
          <t>20260311003939</t>
        </is>
      </c>
      <c r="M1000" s="8">
        <f>HYPERLINK("https://dart.fss.or.kr/dsaf001/main.do?rcpNo=20260311003939", "공시열람")</f>
        <v/>
      </c>
    </row>
    <row r="1001" ht="22" customHeight="1">
      <c r="A1001" s="2" t="inlineStr">
        <is>
          <t>2026-03-11</t>
        </is>
      </c>
      <c r="B1001" s="3" t="inlineStr">
        <is>
          <t>iM금융지주</t>
        </is>
      </c>
      <c r="C1001" s="2" t="inlineStr">
        <is>
          <t>139130</t>
        </is>
      </c>
      <c r="D1001" s="2" t="inlineStr">
        <is>
          <t>대량보유</t>
        </is>
      </c>
      <c r="E1001" s="3" t="inlineStr">
        <is>
          <t>오케이에프앤아이대부(주)</t>
        </is>
      </c>
      <c r="F1001" s="3" t="inlineStr">
        <is>
          <t>특별관계자</t>
        </is>
      </c>
      <c r="G1001" s="3" t="inlineStr">
        <is>
          <t>기타(+)</t>
        </is>
      </c>
      <c r="H1001" s="15" t="n">
        <v>5220000</v>
      </c>
      <c r="I1001" s="6" t="inlineStr"/>
      <c r="J1001" s="6" t="n">
        <v>5220000</v>
      </c>
      <c r="K1001" s="16" t="n">
        <v>3</v>
      </c>
      <c r="L1001" s="2" t="inlineStr">
        <is>
          <t>20260311003939</t>
        </is>
      </c>
      <c r="M1001" s="8">
        <f>HYPERLINK("https://dart.fss.or.kr/dsaf001/main.do?rcpNo=20260311003939", "공시열람")</f>
        <v/>
      </c>
    </row>
    <row r="1002" ht="22" customHeight="1">
      <c r="A1002" s="2" t="inlineStr">
        <is>
          <t>2026-03-11</t>
        </is>
      </c>
      <c r="B1002" s="3" t="inlineStr">
        <is>
          <t>KB스타리츠</t>
        </is>
      </c>
      <c r="C1002" s="2" t="inlineStr">
        <is>
          <t>432320</t>
        </is>
      </c>
      <c r="D1002" s="2" t="inlineStr">
        <is>
          <t>대량보유</t>
        </is>
      </c>
      <c r="E1002" s="3" t="inlineStr">
        <is>
          <t>(주)코람코주택도시기금위탁관리부동산투자회사</t>
        </is>
      </c>
      <c r="F1002" s="3" t="inlineStr">
        <is>
          <t>특별관계자</t>
        </is>
      </c>
      <c r="G1002" s="3" t="inlineStr">
        <is>
          <t>신규보고(+), 기타(+)</t>
        </is>
      </c>
      <c r="H1002" s="15" t="n">
        <v>6067826</v>
      </c>
      <c r="I1002" s="6" t="n">
        <v>4900</v>
      </c>
      <c r="J1002" s="6" t="n">
        <v>1986194</v>
      </c>
      <c r="K1002" s="16" t="n">
        <v>1</v>
      </c>
      <c r="L1002" s="2" t="inlineStr">
        <is>
          <t>20260311003937</t>
        </is>
      </c>
      <c r="M1002" s="8">
        <f>HYPERLINK("https://dart.fss.or.kr/dsaf001/main.do?rcpNo=20260311003937", "공시열람")</f>
        <v/>
      </c>
    </row>
    <row r="1003" ht="22" customHeight="1">
      <c r="A1003" s="2" t="inlineStr">
        <is>
          <t>2026-03-11</t>
        </is>
      </c>
      <c r="B1003" s="3" t="inlineStr">
        <is>
          <t>세아홀딩스</t>
        </is>
      </c>
      <c r="C1003" s="2" t="inlineStr">
        <is>
          <t>058650</t>
        </is>
      </c>
      <c r="D1003" s="2" t="inlineStr">
        <is>
          <t>대량보유</t>
        </is>
      </c>
      <c r="E1003" s="3" t="inlineStr">
        <is>
          <t>이태성</t>
        </is>
      </c>
      <c r="F1003" s="3" t="inlineStr">
        <is>
          <t>보고자</t>
        </is>
      </c>
      <c r="G1003" s="3" t="inlineStr">
        <is>
          <t>보고자의 주식담보대출 계약연장 따른 변경보고</t>
        </is>
      </c>
      <c r="H1003" s="6" t="inlineStr"/>
      <c r="I1003" s="6" t="inlineStr"/>
      <c r="J1003" s="6" t="n">
        <v>3227507</v>
      </c>
      <c r="K1003" s="16" t="n">
        <v>16</v>
      </c>
      <c r="L1003" s="2" t="inlineStr">
        <is>
          <t>20260311003884</t>
        </is>
      </c>
      <c r="M1003" s="8">
        <f>HYPERLINK("https://dart.fss.or.kr/dsaf001/main.do?rcpNo=20260311003884", "공시열람")</f>
        <v/>
      </c>
    </row>
    <row r="1004" ht="22" customHeight="1">
      <c r="A1004" s="2" t="inlineStr">
        <is>
          <t>2026-03-11</t>
        </is>
      </c>
      <c r="B1004" s="3" t="inlineStr">
        <is>
          <t>케이뱅크</t>
        </is>
      </c>
      <c r="C1004" s="2" t="inlineStr">
        <is>
          <t>279570</t>
        </is>
      </c>
      <c r="D1004" s="2" t="inlineStr">
        <is>
          <t>대량보유</t>
        </is>
      </c>
      <c r="E1004" s="3" t="inlineStr">
        <is>
          <t>NH투자증권(주)</t>
        </is>
      </c>
      <c r="F1004" s="3" t="inlineStr">
        <is>
          <t>특별관계자</t>
        </is>
      </c>
      <c r="G1004" s="3" t="inlineStr">
        <is>
          <t>신규상장(+)</t>
        </is>
      </c>
      <c r="H1004" s="15" t="n">
        <v>20722052</v>
      </c>
      <c r="I1004" s="6" t="n">
        <v>5351</v>
      </c>
      <c r="J1004" s="6" t="n">
        <v>20722052</v>
      </c>
      <c r="K1004" s="16" t="n">
        <v>5.11</v>
      </c>
      <c r="L1004" s="2" t="inlineStr">
        <is>
          <t>20260311003869</t>
        </is>
      </c>
      <c r="M1004" s="8">
        <f>HYPERLINK("https://dart.fss.or.kr/dsaf001/main.do?rcpNo=20260311003869", "공시열람")</f>
        <v/>
      </c>
    </row>
    <row r="1005" ht="22" customHeight="1">
      <c r="A1005" s="2" t="inlineStr">
        <is>
          <t>2026-03-11</t>
        </is>
      </c>
      <c r="B1005" s="3" t="inlineStr">
        <is>
          <t>지엔코</t>
        </is>
      </c>
      <c r="C1005" s="2" t="inlineStr">
        <is>
          <t>065060</t>
        </is>
      </c>
      <c r="D1005" s="2" t="inlineStr">
        <is>
          <t>대량보유</t>
        </is>
      </c>
      <c r="E1005" s="3" t="inlineStr">
        <is>
          <t>(주)크레오에스지</t>
        </is>
      </c>
      <c r="F1005" s="3" t="inlineStr">
        <is>
          <t>보고자</t>
        </is>
      </c>
      <c r="G1005" s="3" t="inlineStr">
        <is>
          <t>특별관계자의 주식근질권설정변경계약</t>
        </is>
      </c>
      <c r="H1005" s="6" t="inlineStr"/>
      <c r="I1005" s="6" t="inlineStr"/>
      <c r="J1005" s="6" t="n">
        <v>13335146</v>
      </c>
      <c r="K1005" s="16" t="n">
        <v>2</v>
      </c>
      <c r="L1005" s="2" t="inlineStr">
        <is>
          <t>20260311003851</t>
        </is>
      </c>
      <c r="M1005" s="8">
        <f>HYPERLINK("https://dart.fss.or.kr/dsaf001/main.do?rcpNo=20260311003851", "공시열람")</f>
        <v/>
      </c>
    </row>
    <row r="1006" ht="22" customHeight="1">
      <c r="A1006" s="2" t="inlineStr">
        <is>
          <t>2026-03-11</t>
        </is>
      </c>
      <c r="B1006" s="3" t="inlineStr">
        <is>
          <t>크레오에스지</t>
        </is>
      </c>
      <c r="C1006" s="2" t="inlineStr">
        <is>
          <t>040350</t>
        </is>
      </c>
      <c r="D1006" s="2" t="inlineStr">
        <is>
          <t>대량보유</t>
        </is>
      </c>
      <c r="E1006" s="3" t="inlineStr">
        <is>
          <t>(주)큐로홀딩스</t>
        </is>
      </c>
      <c r="F1006" s="3" t="inlineStr">
        <is>
          <t>보고자</t>
        </is>
      </c>
      <c r="G1006" s="3" t="inlineStr">
        <is>
          <t>주식근질권설정변경계약 체결</t>
        </is>
      </c>
      <c r="H1006" s="6" t="inlineStr"/>
      <c r="I1006" s="6" t="inlineStr"/>
      <c r="J1006" s="6" t="n">
        <v>43639611</v>
      </c>
      <c r="K1006" s="16" t="n">
        <v>7</v>
      </c>
      <c r="L1006" s="2" t="inlineStr">
        <is>
          <t>20260311003844</t>
        </is>
      </c>
      <c r="M1006" s="8">
        <f>HYPERLINK("https://dart.fss.or.kr/dsaf001/main.do?rcpNo=20260311003844", "공시열람")</f>
        <v/>
      </c>
    </row>
    <row r="1007" ht="22" customHeight="1">
      <c r="A1007" s="2" t="inlineStr">
        <is>
          <t>2026-03-11</t>
        </is>
      </c>
      <c r="B1007" s="3" t="inlineStr">
        <is>
          <t>티피씨글로벌</t>
        </is>
      </c>
      <c r="C1007" s="2" t="inlineStr">
        <is>
          <t>130740</t>
        </is>
      </c>
      <c r="D1007" s="2" t="inlineStr">
        <is>
          <t>대량보유</t>
        </is>
      </c>
      <c r="E1007" s="3" t="inlineStr">
        <is>
          <t>이정훈</t>
        </is>
      </c>
      <c r="F1007" s="3" t="inlineStr">
        <is>
          <t>특별관계자</t>
        </is>
      </c>
      <c r="G1007" s="3" t="inlineStr">
        <is>
          <t>장내매수(+)</t>
        </is>
      </c>
      <c r="H1007" s="15" t="n">
        <v>100000</v>
      </c>
      <c r="I1007" s="6" t="n">
        <v>2034</v>
      </c>
      <c r="J1007" s="6" t="n">
        <v>2251126</v>
      </c>
      <c r="K1007" s="16" t="n">
        <v>2</v>
      </c>
      <c r="L1007" s="2" t="inlineStr">
        <is>
          <t>20260311003841</t>
        </is>
      </c>
      <c r="M1007" s="8">
        <f>HYPERLINK("https://dart.fss.or.kr/dsaf001/main.do?rcpNo=20260311003841", "공시열람")</f>
        <v/>
      </c>
    </row>
    <row r="1008" ht="22" customHeight="1">
      <c r="A1008" s="2" t="inlineStr">
        <is>
          <t>2026-03-11 (정정: 2026-04-16)</t>
        </is>
      </c>
      <c r="B1008" s="3" t="inlineStr">
        <is>
          <t>iM금융지주</t>
        </is>
      </c>
      <c r="C1008" s="2" t="inlineStr">
        <is>
          <t>139130</t>
        </is>
      </c>
      <c r="D1008" s="2" t="inlineStr">
        <is>
          <t>대량보유</t>
        </is>
      </c>
      <c r="E1008" s="3" t="inlineStr">
        <is>
          <t>장내매수(+)</t>
        </is>
      </c>
      <c r="F1008" s="3" t="inlineStr">
        <is>
          <t>특별관계자</t>
        </is>
      </c>
      <c r="G1008" s="3" t="inlineStr">
        <is>
          <t>16,000</t>
        </is>
      </c>
      <c r="H1008" s="15" t="n">
        <v>18300</v>
      </c>
      <c r="I1008" s="6" t="inlineStr"/>
      <c r="J1008" s="6" t="inlineStr"/>
      <c r="K1008" s="16" t="n">
        <v>0.01</v>
      </c>
      <c r="L1008" s="2" t="inlineStr">
        <is>
          <t>20260416000378</t>
        </is>
      </c>
      <c r="M1008" s="8">
        <f>HYPERLINK("https://dart.fss.or.kr/dsaf001/main.do?rcpNo=20260416000378", "공시열람")</f>
        <v/>
      </c>
    </row>
    <row r="1009" ht="22" customHeight="1">
      <c r="A1009" s="2" t="inlineStr">
        <is>
          <t>2026-03-11</t>
        </is>
      </c>
      <c r="B1009" s="3" t="inlineStr">
        <is>
          <t>에코프로비엠</t>
        </is>
      </c>
      <c r="C1009" s="2" t="inlineStr">
        <is>
          <t>247540</t>
        </is>
      </c>
      <c r="D1009" s="2" t="inlineStr">
        <is>
          <t>대량보유</t>
        </is>
      </c>
      <c r="E1009" s="3" t="inlineStr">
        <is>
          <t>에코프로</t>
        </is>
      </c>
      <c r="F1009" s="3" t="inlineStr">
        <is>
          <t>보고자</t>
        </is>
      </c>
      <c r="G1009" s="3" t="inlineStr">
        <is>
          <t>만기연장, 신규차입</t>
        </is>
      </c>
      <c r="H1009" s="6" t="inlineStr"/>
      <c r="I1009" s="6" t="inlineStr"/>
      <c r="J1009" s="6" t="n">
        <v>44587104</v>
      </c>
      <c r="K1009" s="16" t="n">
        <v>15</v>
      </c>
      <c r="L1009" s="2" t="inlineStr">
        <is>
          <t>20260311003686</t>
        </is>
      </c>
      <c r="M1009" s="8">
        <f>HYPERLINK("https://dart.fss.or.kr/dsaf001/main.do?rcpNo=20260311003686", "공시열람")</f>
        <v/>
      </c>
    </row>
    <row r="1010" ht="22" customHeight="1">
      <c r="A1010" s="2" t="inlineStr">
        <is>
          <t>2026-03-11</t>
        </is>
      </c>
      <c r="B1010" s="3" t="inlineStr">
        <is>
          <t>큐로셀</t>
        </is>
      </c>
      <c r="C1010" s="2" t="inlineStr">
        <is>
          <t>372320</t>
        </is>
      </c>
      <c r="D1010" s="2" t="inlineStr">
        <is>
          <t>대량보유</t>
        </is>
      </c>
      <c r="E1010" s="3" t="inlineStr">
        <is>
          <t>강혁</t>
        </is>
      </c>
      <c r="F1010" s="3" t="inlineStr">
        <is>
          <t>특별관계자</t>
        </is>
      </c>
      <c r="G1010" s="3" t="inlineStr">
        <is>
          <t>장내매수(+)</t>
        </is>
      </c>
      <c r="H1010" s="15" t="n">
        <v>400</v>
      </c>
      <c r="I1010" s="6" t="n">
        <v>42275</v>
      </c>
      <c r="J1010" s="6" t="n">
        <v>3400</v>
      </c>
      <c r="K1010" s="16" t="n">
        <v>5</v>
      </c>
      <c r="L1010" s="2" t="inlineStr">
        <is>
          <t>20260311003659</t>
        </is>
      </c>
      <c r="M1010" s="8">
        <f>HYPERLINK("https://dart.fss.or.kr/dsaf001/main.do?rcpNo=20260311003659", "공시열람")</f>
        <v/>
      </c>
    </row>
    <row r="1011" ht="22" customHeight="1">
      <c r="A1011" s="2" t="inlineStr">
        <is>
          <t>2026-03-11</t>
        </is>
      </c>
      <c r="B1011" s="3" t="inlineStr">
        <is>
          <t>농심홀딩스</t>
        </is>
      </c>
      <c r="C1011" s="2" t="inlineStr">
        <is>
          <t>072710</t>
        </is>
      </c>
      <c r="D1011" s="2" t="inlineStr">
        <is>
          <t>임원보고</t>
        </is>
      </c>
      <c r="E1011" s="3" t="inlineStr">
        <is>
          <t>-</t>
        </is>
      </c>
      <c r="F1011" s="3" t="inlineStr">
        <is>
          <t>-</t>
        </is>
      </c>
      <c r="G1011" s="3" t="inlineStr">
        <is>
          <t>-</t>
        </is>
      </c>
      <c r="H1011" s="6" t="inlineStr"/>
      <c r="I1011" s="6" t="inlineStr"/>
      <c r="J1011" s="6" t="inlineStr"/>
      <c r="K1011" s="16" t="n">
        <v>12</v>
      </c>
      <c r="L1011" s="2" t="inlineStr">
        <is>
          <t>20260311800789</t>
        </is>
      </c>
      <c r="M1011" s="8">
        <f>HYPERLINK("https://dart.fss.or.kr/dsaf001/main.do?rcpNo=20260311800789", "공시열람")</f>
        <v/>
      </c>
    </row>
    <row r="1012" ht="22" customHeight="1">
      <c r="A1012" s="2" t="inlineStr">
        <is>
          <t>2026-03-05 (정정: 2026-03-11)</t>
        </is>
      </c>
      <c r="B1012" s="3" t="inlineStr">
        <is>
          <t>흥국에프엔비</t>
        </is>
      </c>
      <c r="C1012" s="2" t="inlineStr">
        <is>
          <t>189980</t>
        </is>
      </c>
      <c r="D1012" s="2" t="inlineStr">
        <is>
          <t>대량보유</t>
        </is>
      </c>
      <c r="E1012" s="3" t="inlineStr">
        <is>
          <t>박준하</t>
        </is>
      </c>
      <c r="F1012" s="3" t="inlineStr">
        <is>
          <t>특별관계자</t>
        </is>
      </c>
      <c r="G1012" s="3" t="inlineStr">
        <is>
          <t>장내매수(+)</t>
        </is>
      </c>
      <c r="H1012" s="15" t="n">
        <v>252</v>
      </c>
      <c r="I1012" s="6" t="n">
        <v>1967</v>
      </c>
      <c r="J1012" s="6" t="n">
        <v>16883</v>
      </c>
      <c r="K1012" s="16" t="n">
        <v>5</v>
      </c>
      <c r="L1012" s="2" t="inlineStr">
        <is>
          <t>20260311003619</t>
        </is>
      </c>
      <c r="M1012" s="8">
        <f>HYPERLINK("https://dart.fss.or.kr/dsaf001/main.do?rcpNo=20260311003619", "공시열람")</f>
        <v/>
      </c>
    </row>
    <row r="1013" ht="22" customHeight="1">
      <c r="A1013" s="2" t="inlineStr">
        <is>
          <t>2026-03-05 (정정: 2026-03-11)</t>
        </is>
      </c>
      <c r="B1013" s="3" t="inlineStr">
        <is>
          <t>흥국에프엔비</t>
        </is>
      </c>
      <c r="C1013" s="2" t="inlineStr">
        <is>
          <t>189980</t>
        </is>
      </c>
      <c r="D1013" s="2" t="inlineStr">
        <is>
          <t>대량보유</t>
        </is>
      </c>
      <c r="E1013" s="3" t="inlineStr">
        <is>
          <t>박상하</t>
        </is>
      </c>
      <c r="F1013" s="3" t="inlineStr">
        <is>
          <t>특별관계자</t>
        </is>
      </c>
      <c r="G1013" s="3" t="inlineStr">
        <is>
          <t>장내매수(+)</t>
        </is>
      </c>
      <c r="H1013" s="15" t="n">
        <v>3323</v>
      </c>
      <c r="I1013" s="6" t="n">
        <v>1798</v>
      </c>
      <c r="J1013" s="6" t="n">
        <v>18288</v>
      </c>
      <c r="K1013" s="16" t="n">
        <v>5</v>
      </c>
      <c r="L1013" s="2" t="inlineStr">
        <is>
          <t>20260311003619</t>
        </is>
      </c>
      <c r="M1013" s="8">
        <f>HYPERLINK("https://dart.fss.or.kr/dsaf001/main.do?rcpNo=20260311003619", "공시열람")</f>
        <v/>
      </c>
    </row>
    <row r="1014" ht="22" customHeight="1">
      <c r="A1014" s="2" t="inlineStr">
        <is>
          <t>2026-03-05 (정정: 2026-03-11)</t>
        </is>
      </c>
      <c r="B1014" s="3" t="inlineStr">
        <is>
          <t>흥국에프엔비</t>
        </is>
      </c>
      <c r="C1014" s="2" t="inlineStr">
        <is>
          <t>189980</t>
        </is>
      </c>
      <c r="D1014" s="2" t="inlineStr">
        <is>
          <t>대량보유</t>
        </is>
      </c>
      <c r="E1014" s="3" t="inlineStr">
        <is>
          <t>오길영</t>
        </is>
      </c>
      <c r="F1014" s="3" t="inlineStr">
        <is>
          <t>특별관계자</t>
        </is>
      </c>
      <c r="G1014" s="3" t="inlineStr">
        <is>
          <t>증여(-)</t>
        </is>
      </c>
      <c r="H1014" s="17" t="n">
        <v>-177000</v>
      </c>
      <c r="I1014" s="6" t="n">
        <v>1758</v>
      </c>
      <c r="J1014" s="6" t="n">
        <v>19134044</v>
      </c>
      <c r="K1014" s="16" t="n">
        <v>5</v>
      </c>
      <c r="L1014" s="2" t="inlineStr">
        <is>
          <t>20260311003619</t>
        </is>
      </c>
      <c r="M1014" s="8">
        <f>HYPERLINK("https://dart.fss.or.kr/dsaf001/main.do?rcpNo=20260311003619", "공시열람")</f>
        <v/>
      </c>
    </row>
    <row r="1015" ht="22" customHeight="1">
      <c r="A1015" s="2" t="inlineStr">
        <is>
          <t>2026-03-05 (정정: 2026-03-11)</t>
        </is>
      </c>
      <c r="B1015" s="3" t="inlineStr">
        <is>
          <t>흥국에프엔비</t>
        </is>
      </c>
      <c r="C1015" s="2" t="inlineStr">
        <is>
          <t>189980</t>
        </is>
      </c>
      <c r="D1015" s="2" t="inlineStr">
        <is>
          <t>대량보유</t>
        </is>
      </c>
      <c r="E1015" s="3" t="inlineStr">
        <is>
          <t>(주)벤디노</t>
        </is>
      </c>
      <c r="F1015" s="3" t="inlineStr">
        <is>
          <t>특별관계자</t>
        </is>
      </c>
      <c r="G1015" s="3" t="inlineStr">
        <is>
          <t>수증(+)</t>
        </is>
      </c>
      <c r="H1015" s="15" t="n">
        <v>177000</v>
      </c>
      <c r="I1015" s="6" t="n">
        <v>1758</v>
      </c>
      <c r="J1015" s="6" t="n">
        <v>498100</v>
      </c>
      <c r="K1015" s="16" t="n">
        <v>5</v>
      </c>
      <c r="L1015" s="2" t="inlineStr">
        <is>
          <t>20260311003619</t>
        </is>
      </c>
      <c r="M1015" s="8">
        <f>HYPERLINK("https://dart.fss.or.kr/dsaf001/main.do?rcpNo=20260311003619", "공시열람")</f>
        <v/>
      </c>
    </row>
    <row r="1016" ht="22" customHeight="1">
      <c r="A1016" s="2" t="inlineStr">
        <is>
          <t>2026-03-11</t>
        </is>
      </c>
      <c r="B1016" s="3" t="inlineStr">
        <is>
          <t>F&amp;F</t>
        </is>
      </c>
      <c r="C1016" s="2" t="inlineStr">
        <is>
          <t>383220</t>
        </is>
      </c>
      <c r="D1016" s="2" t="inlineStr">
        <is>
          <t>대량보유</t>
        </is>
      </c>
      <c r="E1016" s="3" t="inlineStr">
        <is>
          <t>NorgesBank</t>
        </is>
      </c>
      <c r="F1016" s="3" t="inlineStr">
        <is>
          <t>특별관계자</t>
        </is>
      </c>
      <c r="G1016" s="3" t="inlineStr">
        <is>
          <t>신규보고(+)</t>
        </is>
      </c>
      <c r="H1016" s="15" t="n">
        <v>1931333</v>
      </c>
      <c r="I1016" s="6" t="inlineStr"/>
      <c r="J1016" s="6" t="n">
        <v>1931333</v>
      </c>
      <c r="K1016" s="16" t="n">
        <v>1</v>
      </c>
      <c r="L1016" s="2" t="inlineStr">
        <is>
          <t>20260311003468</t>
        </is>
      </c>
      <c r="M1016" s="8">
        <f>HYPERLINK("https://dart.fss.or.kr/dsaf001/main.do?rcpNo=20260311003468", "공시열람")</f>
        <v/>
      </c>
    </row>
    <row r="1017" ht="22" customHeight="1">
      <c r="A1017" s="2" t="inlineStr">
        <is>
          <t>2026-03-11</t>
        </is>
      </c>
      <c r="B1017" s="3" t="inlineStr">
        <is>
          <t>워트</t>
        </is>
      </c>
      <c r="C1017" s="2" t="inlineStr">
        <is>
          <t>396470</t>
        </is>
      </c>
      <c r="D1017" s="2" t="inlineStr">
        <is>
          <t>대량보유</t>
        </is>
      </c>
      <c r="E1017" s="3" t="inlineStr">
        <is>
          <t>박승배</t>
        </is>
      </c>
      <c r="F1017" s="3" t="inlineStr">
        <is>
          <t>특별관계자</t>
        </is>
      </c>
      <c r="G1017" s="3" t="inlineStr">
        <is>
          <t>장내매수(+)</t>
        </is>
      </c>
      <c r="H1017" s="15" t="n">
        <v>10000</v>
      </c>
      <c r="I1017" s="6" t="n">
        <v>6403</v>
      </c>
      <c r="J1017" s="6" t="n">
        <v>8410000</v>
      </c>
      <c r="K1017" s="16" t="n">
        <v>4</v>
      </c>
      <c r="L1017" s="2" t="inlineStr">
        <is>
          <t>20260311003385</t>
        </is>
      </c>
      <c r="M1017" s="8">
        <f>HYPERLINK("https://dart.fss.or.kr/dsaf001/main.do?rcpNo=20260311003385", "공시열람")</f>
        <v/>
      </c>
    </row>
    <row r="1018" ht="22" customHeight="1">
      <c r="A1018" s="2" t="inlineStr">
        <is>
          <t>2026-03-11</t>
        </is>
      </c>
      <c r="B1018" s="3" t="inlineStr">
        <is>
          <t>모아데이타</t>
        </is>
      </c>
      <c r="C1018" s="2" t="inlineStr">
        <is>
          <t>288980</t>
        </is>
      </c>
      <c r="D1018" s="2" t="inlineStr">
        <is>
          <t>대량보유</t>
        </is>
      </c>
      <c r="E1018" s="3" t="inlineStr">
        <is>
          <t>상상콘텐츠투자조합</t>
        </is>
      </c>
      <c r="F1018" s="3" t="inlineStr">
        <is>
          <t>특별관계자</t>
        </is>
      </c>
      <c r="G1018" s="3" t="inlineStr">
        <is>
          <t>CB인수(+)</t>
        </is>
      </c>
      <c r="H1018" s="15" t="n">
        <v>1924927</v>
      </c>
      <c r="I1018" s="6" t="n">
        <v>1039</v>
      </c>
      <c r="J1018" s="6" t="n">
        <v>1924927</v>
      </c>
      <c r="K1018" s="16" t="n">
        <v>1</v>
      </c>
      <c r="L1018" s="2" t="inlineStr">
        <is>
          <t>20260311003360</t>
        </is>
      </c>
      <c r="M1018" s="8">
        <f>HYPERLINK("https://dart.fss.or.kr/dsaf001/main.do?rcpNo=20260311003360", "공시열람")</f>
        <v/>
      </c>
    </row>
    <row r="1019" ht="22" customHeight="1">
      <c r="A1019" s="2" t="inlineStr">
        <is>
          <t>2026-03-11</t>
        </is>
      </c>
      <c r="B1019" s="3" t="inlineStr">
        <is>
          <t>KBI메탈</t>
        </is>
      </c>
      <c r="C1019" s="2" t="inlineStr">
        <is>
          <t>024840</t>
        </is>
      </c>
      <c r="D1019" s="2" t="inlineStr">
        <is>
          <t>대량보유</t>
        </is>
      </c>
      <c r="E1019" s="3" t="inlineStr">
        <is>
          <t>(주)케이비아이국인산업</t>
        </is>
      </c>
      <c r="F1019" s="3" t="inlineStr">
        <is>
          <t>보고자</t>
        </is>
      </c>
      <c r="G1019" s="3" t="inlineStr">
        <is>
          <t>주식담보제공 계약의 종료</t>
        </is>
      </c>
      <c r="H1019" s="6" t="inlineStr"/>
      <c r="I1019" s="6" t="inlineStr"/>
      <c r="J1019" s="6" t="n">
        <v>10861987</v>
      </c>
      <c r="K1019" s="16" t="n">
        <v>5</v>
      </c>
      <c r="L1019" s="2" t="inlineStr">
        <is>
          <t>20260311003338</t>
        </is>
      </c>
      <c r="M1019" s="8">
        <f>HYPERLINK("https://dart.fss.or.kr/dsaf001/main.do?rcpNo=20260311003338", "공시열람")</f>
        <v/>
      </c>
    </row>
    <row r="1020" ht="22" customHeight="1">
      <c r="A1020" s="2" t="inlineStr">
        <is>
          <t>2026-03-11</t>
        </is>
      </c>
      <c r="B1020" s="3" t="inlineStr">
        <is>
          <t>미트박스</t>
        </is>
      </c>
      <c r="C1020" s="2" t="inlineStr">
        <is>
          <t>475460</t>
        </is>
      </c>
      <c r="D1020" s="2" t="inlineStr">
        <is>
          <t>대량보유</t>
        </is>
      </c>
      <c r="E1020" s="3" t="inlineStr">
        <is>
          <t>박정호</t>
        </is>
      </c>
      <c r="F1020" s="3" t="inlineStr">
        <is>
          <t>특별관계자</t>
        </is>
      </c>
      <c r="G1020" s="3" t="inlineStr">
        <is>
          <t>장내매수(+)</t>
        </is>
      </c>
      <c r="H1020" s="15" t="n">
        <v>21113</v>
      </c>
      <c r="I1020" s="6" t="n">
        <v>7260</v>
      </c>
      <c r="J1020" s="6" t="n">
        <v>149272</v>
      </c>
      <c r="K1020" s="16" t="n">
        <v>2</v>
      </c>
      <c r="L1020" s="2" t="inlineStr">
        <is>
          <t>20260311003287</t>
        </is>
      </c>
      <c r="M1020" s="8">
        <f>HYPERLINK("https://dart.fss.or.kr/dsaf001/main.do?rcpNo=20260311003287", "공시열람")</f>
        <v/>
      </c>
    </row>
    <row r="1021" ht="22" customHeight="1">
      <c r="A1021" s="2" t="inlineStr">
        <is>
          <t>2026-03-11</t>
        </is>
      </c>
      <c r="B1021" s="3" t="inlineStr">
        <is>
          <t>미트박스</t>
        </is>
      </c>
      <c r="C1021" s="2" t="inlineStr">
        <is>
          <t>475460</t>
        </is>
      </c>
      <c r="D1021" s="2" t="inlineStr">
        <is>
          <t>대량보유</t>
        </is>
      </c>
      <c r="E1021" s="3" t="inlineStr">
        <is>
          <t>(주)더맛있는하루</t>
        </is>
      </c>
      <c r="F1021" s="3" t="inlineStr">
        <is>
          <t>특별관계자</t>
        </is>
      </c>
      <c r="G1021" s="3" t="inlineStr">
        <is>
          <t>장내매수(+)</t>
        </is>
      </c>
      <c r="H1021" s="15" t="n">
        <v>45940</v>
      </c>
      <c r="I1021" s="6" t="n">
        <v>7272</v>
      </c>
      <c r="J1021" s="6" t="n">
        <v>80371</v>
      </c>
      <c r="K1021" s="16" t="n">
        <v>2</v>
      </c>
      <c r="L1021" s="2" t="inlineStr">
        <is>
          <t>20260311003287</t>
        </is>
      </c>
      <c r="M1021" s="8">
        <f>HYPERLINK("https://dart.fss.or.kr/dsaf001/main.do?rcpNo=20260311003287", "공시열람")</f>
        <v/>
      </c>
    </row>
    <row r="1022" ht="22" customHeight="1">
      <c r="A1022" s="2" t="inlineStr">
        <is>
          <t>2026-03-11</t>
        </is>
      </c>
      <c r="B1022" s="3" t="inlineStr">
        <is>
          <t>슈프리마</t>
        </is>
      </c>
      <c r="C1022" s="2" t="inlineStr">
        <is>
          <t>236200</t>
        </is>
      </c>
      <c r="D1022" s="2" t="inlineStr">
        <is>
          <t>대량보유</t>
        </is>
      </c>
      <c r="E1022" s="3" t="inlineStr">
        <is>
          <t>더제이자산운용(주)</t>
        </is>
      </c>
      <c r="F1022" s="3" t="inlineStr">
        <is>
          <t>특별관계자</t>
        </is>
      </c>
      <c r="G1022" s="3" t="inlineStr">
        <is>
          <t>신규보고(+)</t>
        </is>
      </c>
      <c r="H1022" s="15" t="n">
        <v>350510</v>
      </c>
      <c r="I1022" s="6" t="n">
        <v>40834</v>
      </c>
      <c r="J1022" s="6" t="n">
        <v>350510</v>
      </c>
      <c r="K1022" s="16" t="n">
        <v>5.03</v>
      </c>
      <c r="L1022" s="2" t="inlineStr">
        <is>
          <t>20260311003239</t>
        </is>
      </c>
      <c r="M1022" s="8">
        <f>HYPERLINK("https://dart.fss.or.kr/dsaf001/main.do?rcpNo=20260311003239", "공시열람")</f>
        <v/>
      </c>
    </row>
    <row r="1023" ht="22" customHeight="1">
      <c r="A1023" s="2" t="inlineStr">
        <is>
          <t>2026-03-11</t>
        </is>
      </c>
      <c r="B1023" s="3" t="inlineStr">
        <is>
          <t>케이엠제약</t>
        </is>
      </c>
      <c r="C1023" s="2" t="inlineStr">
        <is>
          <t>225430</t>
        </is>
      </c>
      <c r="D1023" s="2" t="inlineStr">
        <is>
          <t>대량보유</t>
        </is>
      </c>
      <c r="E1023" s="3" t="inlineStr">
        <is>
          <t>강일모</t>
        </is>
      </c>
      <c r="F1023" s="3" t="inlineStr">
        <is>
          <t>특별관계자</t>
        </is>
      </c>
      <c r="G1023" s="3" t="inlineStr">
        <is>
          <t>장내매수(+)</t>
        </is>
      </c>
      <c r="H1023" s="15" t="n">
        <v>38485</v>
      </c>
      <c r="I1023" s="6" t="n">
        <v>391</v>
      </c>
      <c r="J1023" s="6" t="n">
        <v>10462798</v>
      </c>
      <c r="K1023" s="16" t="n">
        <v>4</v>
      </c>
      <c r="L1023" s="2" t="inlineStr">
        <is>
          <t>20260311003218</t>
        </is>
      </c>
      <c r="M1023" s="8">
        <f>HYPERLINK("https://dart.fss.or.kr/dsaf001/main.do?rcpNo=20260311003218", "공시열람")</f>
        <v/>
      </c>
    </row>
    <row r="1024" ht="22" customHeight="1">
      <c r="A1024" s="2" t="inlineStr">
        <is>
          <t>2026-03-12</t>
        </is>
      </c>
      <c r="B1024" s="3" t="inlineStr">
        <is>
          <t>코웨이</t>
        </is>
      </c>
      <c r="C1024" s="2" t="inlineStr">
        <is>
          <t>021240</t>
        </is>
      </c>
      <c r="D1024" s="2" t="inlineStr">
        <is>
          <t>대량보유</t>
        </is>
      </c>
      <c r="E1024" s="3" t="inlineStr">
        <is>
          <t>얼라인파트너스자산운용주식회사</t>
        </is>
      </c>
      <c r="F1024" s="3" t="inlineStr">
        <is>
          <t>특별관계자</t>
        </is>
      </c>
      <c r="G1024" s="3" t="inlineStr">
        <is>
          <t>장내매수(+)</t>
        </is>
      </c>
      <c r="H1024" s="15" t="n">
        <v>1856028</v>
      </c>
      <c r="I1024" s="6" t="n">
        <v>68314</v>
      </c>
      <c r="J1024" s="6" t="n">
        <v>1856028</v>
      </c>
      <c r="K1024" s="16" t="n">
        <v>4</v>
      </c>
      <c r="L1024" s="2" t="inlineStr">
        <is>
          <t>20260312001409</t>
        </is>
      </c>
      <c r="M1024" s="8">
        <f>HYPERLINK("https://dart.fss.or.kr/dsaf001/main.do?rcpNo=20260312001409", "공시열람")</f>
        <v/>
      </c>
    </row>
    <row r="1025" ht="22" customHeight="1">
      <c r="A1025" s="2" t="inlineStr">
        <is>
          <t>2026-03-12</t>
        </is>
      </c>
      <c r="B1025" s="3" t="inlineStr">
        <is>
          <t>코웨이</t>
        </is>
      </c>
      <c r="C1025" s="2" t="inlineStr">
        <is>
          <t>021240</t>
        </is>
      </c>
      <c r="D1025" s="2" t="inlineStr">
        <is>
          <t>대량보유</t>
        </is>
      </c>
      <c r="E1025" s="3" t="inlineStr">
        <is>
          <t>AlignPartnersKoreaFundLP</t>
        </is>
      </c>
      <c r="F1025" s="3" t="inlineStr">
        <is>
          <t>특별관계자</t>
        </is>
      </c>
      <c r="G1025" s="3" t="inlineStr">
        <is>
          <t>장내매수(+)</t>
        </is>
      </c>
      <c r="H1025" s="15" t="n">
        <v>1221655</v>
      </c>
      <c r="I1025" s="6" t="n">
        <v>80288</v>
      </c>
      <c r="J1025" s="6" t="n">
        <v>1221655</v>
      </c>
      <c r="K1025" s="16" t="n">
        <v>4</v>
      </c>
      <c r="L1025" s="2" t="inlineStr">
        <is>
          <t>20260312001409</t>
        </is>
      </c>
      <c r="M1025" s="8">
        <f>HYPERLINK("https://dart.fss.or.kr/dsaf001/main.do?rcpNo=20260312001409", "공시열람")</f>
        <v/>
      </c>
    </row>
    <row r="1026" ht="22" customHeight="1">
      <c r="A1026" s="2" t="inlineStr">
        <is>
          <t>2026-03-12</t>
        </is>
      </c>
      <c r="B1026" s="3" t="inlineStr">
        <is>
          <t>코웨이</t>
        </is>
      </c>
      <c r="C1026" s="2" t="inlineStr">
        <is>
          <t>021240</t>
        </is>
      </c>
      <c r="D1026" s="2" t="inlineStr">
        <is>
          <t>대량보유</t>
        </is>
      </c>
      <c r="E1026" s="3" t="inlineStr">
        <is>
          <t>얼라인파트너스셀레스티얼사모투자합자회사</t>
        </is>
      </c>
      <c r="F1026" s="3" t="inlineStr">
        <is>
          <t>특별관계자</t>
        </is>
      </c>
      <c r="G1026" s="3" t="inlineStr">
        <is>
          <t>장내매수(+)</t>
        </is>
      </c>
      <c r="H1026" s="15" t="n">
        <v>512712</v>
      </c>
      <c r="I1026" s="6" t="n">
        <v>74346</v>
      </c>
      <c r="J1026" s="6" t="n">
        <v>512712</v>
      </c>
      <c r="K1026" s="16" t="n">
        <v>4</v>
      </c>
      <c r="L1026" s="2" t="inlineStr">
        <is>
          <t>20260312001409</t>
        </is>
      </c>
      <c r="M1026" s="8">
        <f>HYPERLINK("https://dart.fss.or.kr/dsaf001/main.do?rcpNo=20260312001409", "공시열람")</f>
        <v/>
      </c>
    </row>
    <row r="1027" ht="22" customHeight="1">
      <c r="A1027" s="2" t="inlineStr">
        <is>
          <t>2026-03-12</t>
        </is>
      </c>
      <c r="B1027" s="3" t="inlineStr">
        <is>
          <t>케이뱅크</t>
        </is>
      </c>
      <c r="C1027" s="2" t="inlineStr">
        <is>
          <t>279570</t>
        </is>
      </c>
      <c r="D1027" s="2" t="inlineStr">
        <is>
          <t>대량보유</t>
        </is>
      </c>
      <c r="E1027" s="3" t="inlineStr">
        <is>
          <t>(주)우리은행</t>
        </is>
      </c>
      <c r="F1027" s="3" t="inlineStr">
        <is>
          <t>특별관계자</t>
        </is>
      </c>
      <c r="G1027" s="3" t="inlineStr">
        <is>
          <t>신규상장(+), 장내매도(-)</t>
        </is>
      </c>
      <c r="H1027" s="15" t="n">
        <v>37394971</v>
      </c>
      <c r="I1027" s="6" t="n">
        <v>8738</v>
      </c>
      <c r="J1027" s="6" t="n">
        <v>37394971</v>
      </c>
      <c r="K1027" s="16" t="n">
        <v>9.220000000000001</v>
      </c>
      <c r="L1027" s="2" t="inlineStr">
        <is>
          <t>20260312001393</t>
        </is>
      </c>
      <c r="M1027" s="8">
        <f>HYPERLINK("https://dart.fss.or.kr/dsaf001/main.do?rcpNo=20260312001393", "공시열람")</f>
        <v/>
      </c>
    </row>
    <row r="1028" ht="22" customHeight="1">
      <c r="A1028" s="2" t="inlineStr">
        <is>
          <t>2026-03-12</t>
        </is>
      </c>
      <c r="B1028" s="3" t="inlineStr">
        <is>
          <t>이렘</t>
        </is>
      </c>
      <c r="C1028" s="2" t="inlineStr">
        <is>
          <t>009730</t>
        </is>
      </c>
      <c r="D1028" s="2" t="inlineStr">
        <is>
          <t>대량보유</t>
        </is>
      </c>
      <c r="E1028" s="3" t="inlineStr">
        <is>
          <t>(주)코스틸</t>
        </is>
      </c>
      <c r="F1028" s="3" t="inlineStr">
        <is>
          <t>보고자</t>
        </is>
      </c>
      <c r="G1028" s="3" t="inlineStr">
        <is>
          <t>경영권에 영향을 주기 위한 목적에서 단순 투자 목적으로 변경 함.</t>
        </is>
      </c>
      <c r="H1028" s="6" t="inlineStr"/>
      <c r="I1028" s="6" t="inlineStr"/>
      <c r="J1028" s="6" t="n">
        <v>10106534</v>
      </c>
      <c r="K1028" s="16" t="n">
        <v>1</v>
      </c>
      <c r="L1028" s="2" t="inlineStr">
        <is>
          <t>20260312001371</t>
        </is>
      </c>
      <c r="M1028" s="8">
        <f>HYPERLINK("https://dart.fss.or.kr/dsaf001/main.do?rcpNo=20260312001371", "공시열람")</f>
        <v/>
      </c>
    </row>
    <row r="1029" ht="22" customHeight="1">
      <c r="A1029" s="2" t="inlineStr">
        <is>
          <t>2026-03-12</t>
        </is>
      </c>
      <c r="B1029" s="3" t="inlineStr">
        <is>
          <t>신한지주</t>
        </is>
      </c>
      <c r="C1029" s="2" t="inlineStr">
        <is>
          <t>055550</t>
        </is>
      </c>
      <c r="D1029" s="2" t="inlineStr">
        <is>
          <t>임원보고</t>
        </is>
      </c>
      <c r="E1029" s="3" t="inlineStr">
        <is>
          <t>-</t>
        </is>
      </c>
      <c r="F1029" s="3" t="inlineStr">
        <is>
          <t>-</t>
        </is>
      </c>
      <c r="G1029" s="3" t="inlineStr">
        <is>
          <t>-</t>
        </is>
      </c>
      <c r="H1029" s="6" t="inlineStr"/>
      <c r="I1029" s="6" t="inlineStr"/>
      <c r="J1029" s="6" t="inlineStr"/>
      <c r="K1029" s="16" t="n">
        <v>12</v>
      </c>
      <c r="L1029" s="2" t="inlineStr">
        <is>
          <t>20260312802275</t>
        </is>
      </c>
      <c r="M1029" s="8">
        <f>HYPERLINK("https://dart.fss.or.kr/dsaf001/main.do?rcpNo=20260312802275", "공시열람")</f>
        <v/>
      </c>
    </row>
    <row r="1030" ht="22" customHeight="1">
      <c r="A1030" s="2" t="inlineStr">
        <is>
          <t>2026-03-12</t>
        </is>
      </c>
      <c r="B1030" s="3" t="inlineStr">
        <is>
          <t>콜마홀딩스</t>
        </is>
      </c>
      <c r="C1030" s="2" t="inlineStr">
        <is>
          <t>024720</t>
        </is>
      </c>
      <c r="D1030" s="2" t="inlineStr">
        <is>
          <t>대량보유</t>
        </is>
      </c>
      <c r="E1030" s="3" t="inlineStr">
        <is>
          <t>윤상현</t>
        </is>
      </c>
      <c r="F1030" s="3" t="inlineStr">
        <is>
          <t>보고자</t>
        </is>
      </c>
      <c r="G1030" s="3" t="inlineStr">
        <is>
          <t>- 특별관계자 주식 담보 계약 변경</t>
        </is>
      </c>
      <c r="H1030" s="6" t="inlineStr"/>
      <c r="I1030" s="6" t="inlineStr"/>
      <c r="J1030" s="6" t="n">
        <v>16610226</v>
      </c>
      <c r="K1030" s="16" t="n">
        <v>10</v>
      </c>
      <c r="L1030" s="2" t="inlineStr">
        <is>
          <t>20260312001344</t>
        </is>
      </c>
      <c r="M1030" s="8">
        <f>HYPERLINK("https://dart.fss.or.kr/dsaf001/main.do?rcpNo=20260312001344", "공시열람")</f>
        <v/>
      </c>
    </row>
    <row r="1031" ht="22" customHeight="1">
      <c r="A1031" s="2" t="inlineStr">
        <is>
          <t>2026-03-12 (정정: 2026-03-12)</t>
        </is>
      </c>
      <c r="B1031" s="3" t="inlineStr">
        <is>
          <t>남양유업</t>
        </is>
      </c>
      <c r="C1031" s="2" t="inlineStr">
        <is>
          <t>003920</t>
        </is>
      </c>
      <c r="D1031" s="2" t="inlineStr">
        <is>
          <t>대량보유</t>
        </is>
      </c>
      <c r="E1031" s="3" t="inlineStr">
        <is>
          <t>-</t>
        </is>
      </c>
      <c r="F1031" s="3" t="inlineStr">
        <is>
          <t>보고자</t>
        </is>
      </c>
      <c r="G1031" s="3" t="inlineStr">
        <is>
          <t>-</t>
        </is>
      </c>
      <c r="H1031" s="6" t="inlineStr"/>
      <c r="I1031" s="6" t="inlineStr"/>
      <c r="J1031" s="6" t="inlineStr"/>
      <c r="K1031" s="18" t="inlineStr"/>
      <c r="L1031" s="2" t="inlineStr">
        <is>
          <t>20260312801847</t>
        </is>
      </c>
      <c r="M1031" s="8">
        <f>HYPERLINK("https://dart.fss.or.kr/dsaf001/main.do?rcpNo=20260312801847", "공시열람")</f>
        <v/>
      </c>
    </row>
    <row r="1032" ht="22" customHeight="1">
      <c r="A1032" s="2" t="inlineStr">
        <is>
          <t>2026-03-12</t>
        </is>
      </c>
      <c r="B1032" s="3" t="inlineStr">
        <is>
          <t>씨엑스아이</t>
        </is>
      </c>
      <c r="C1032" s="2" t="inlineStr">
        <is>
          <t>900120</t>
        </is>
      </c>
      <c r="D1032" s="2" t="inlineStr">
        <is>
          <t>대량보유</t>
        </is>
      </c>
      <c r="E1032" s="3" t="inlineStr">
        <is>
          <t>RUIXINGINTERNATIONALHOLDINGSLIMITED</t>
        </is>
      </c>
      <c r="F1032" s="3" t="inlineStr">
        <is>
          <t>특별관계자</t>
        </is>
      </c>
      <c r="G1032" s="3" t="inlineStr">
        <is>
          <t>제3자배정유상증자(+)</t>
        </is>
      </c>
      <c r="H1032" s="15" t="n">
        <v>2513972</v>
      </c>
      <c r="I1032" s="6" t="n">
        <v>730</v>
      </c>
      <c r="J1032" s="6" t="n">
        <v>2873935</v>
      </c>
      <c r="K1032" s="16" t="n">
        <v>7.69</v>
      </c>
      <c r="L1032" s="2" t="inlineStr">
        <is>
          <t>20260312001274</t>
        </is>
      </c>
      <c r="M1032" s="8">
        <f>HYPERLINK("https://dart.fss.or.kr/dsaf001/main.do?rcpNo=20260312001274", "공시열람")</f>
        <v/>
      </c>
    </row>
    <row r="1033" ht="22" customHeight="1">
      <c r="A1033" s="2" t="inlineStr">
        <is>
          <t>2026-03-12</t>
        </is>
      </c>
      <c r="B1033" s="3" t="inlineStr">
        <is>
          <t>에스팀</t>
        </is>
      </c>
      <c r="C1033" s="2" t="inlineStr">
        <is>
          <t>458350</t>
        </is>
      </c>
      <c r="D1033" s="2" t="inlineStr">
        <is>
          <t>대량보유</t>
        </is>
      </c>
      <c r="E1033" s="3" t="inlineStr">
        <is>
          <t>김소연</t>
        </is>
      </c>
      <c r="F1033" s="3" t="inlineStr">
        <is>
          <t>특별관계자</t>
        </is>
      </c>
      <c r="G1033" s="3" t="inlineStr">
        <is>
          <t>신규상장(무상취득)(+)</t>
        </is>
      </c>
      <c r="H1033" s="15" t="n">
        <v>3575150</v>
      </c>
      <c r="I1033" s="6" t="inlineStr"/>
      <c r="J1033" s="6" t="n">
        <v>3575150</v>
      </c>
      <c r="K1033" s="16" t="n">
        <v>5</v>
      </c>
      <c r="L1033" s="2" t="inlineStr">
        <is>
          <t>20260312001262</t>
        </is>
      </c>
      <c r="M1033" s="8">
        <f>HYPERLINK("https://dart.fss.or.kr/dsaf001/main.do?rcpNo=20260312001262", "공시열람")</f>
        <v/>
      </c>
    </row>
    <row r="1034" ht="22" customHeight="1">
      <c r="A1034" s="2" t="inlineStr">
        <is>
          <t>2026-03-12</t>
        </is>
      </c>
      <c r="B1034" s="3" t="inlineStr">
        <is>
          <t>에스팀</t>
        </is>
      </c>
      <c r="C1034" s="2" t="inlineStr">
        <is>
          <t>458350</t>
        </is>
      </c>
      <c r="D1034" s="2" t="inlineStr">
        <is>
          <t>대량보유</t>
        </is>
      </c>
      <c r="E1034" s="3" t="inlineStr">
        <is>
          <t>현수진</t>
        </is>
      </c>
      <c r="F1034" s="3" t="inlineStr">
        <is>
          <t>특별관계자</t>
        </is>
      </c>
      <c r="G1034" s="3" t="inlineStr">
        <is>
          <t>신규상장(무상취득)(+)</t>
        </is>
      </c>
      <c r="H1034" s="15" t="n">
        <v>329000</v>
      </c>
      <c r="I1034" s="6" t="inlineStr"/>
      <c r="J1034" s="6" t="n">
        <v>196000</v>
      </c>
      <c r="K1034" s="16" t="n">
        <v>5</v>
      </c>
      <c r="L1034" s="2" t="inlineStr">
        <is>
          <t>20260312001262</t>
        </is>
      </c>
      <c r="M1034" s="8">
        <f>HYPERLINK("https://dart.fss.or.kr/dsaf001/main.do?rcpNo=20260312001262", "공시열람")</f>
        <v/>
      </c>
    </row>
    <row r="1035" ht="22" customHeight="1">
      <c r="A1035" s="2" t="inlineStr">
        <is>
          <t>2026-03-12</t>
        </is>
      </c>
      <c r="B1035" s="3" t="inlineStr">
        <is>
          <t>에스팀</t>
        </is>
      </c>
      <c r="C1035" s="2" t="inlineStr">
        <is>
          <t>458350</t>
        </is>
      </c>
      <c r="D1035" s="2" t="inlineStr">
        <is>
          <t>대량보유</t>
        </is>
      </c>
      <c r="E1035" s="3" t="inlineStr">
        <is>
          <t>성혜진</t>
        </is>
      </c>
      <c r="F1035" s="3" t="inlineStr">
        <is>
          <t>특별관계자</t>
        </is>
      </c>
      <c r="G1035" s="3" t="inlineStr">
        <is>
          <t>신규상장(무상취득)(+)</t>
        </is>
      </c>
      <c r="H1035" s="15" t="n">
        <v>329000</v>
      </c>
      <c r="I1035" s="6" t="inlineStr"/>
      <c r="J1035" s="6" t="n">
        <v>315700</v>
      </c>
      <c r="K1035" s="16" t="n">
        <v>5</v>
      </c>
      <c r="L1035" s="2" t="inlineStr">
        <is>
          <t>20260312001262</t>
        </is>
      </c>
      <c r="M1035" s="8">
        <f>HYPERLINK("https://dart.fss.or.kr/dsaf001/main.do?rcpNo=20260312001262", "공시열람")</f>
        <v/>
      </c>
    </row>
    <row r="1036" ht="22" customHeight="1">
      <c r="A1036" s="2" t="inlineStr">
        <is>
          <t>2026-03-12</t>
        </is>
      </c>
      <c r="B1036" s="3" t="inlineStr">
        <is>
          <t>에스팀</t>
        </is>
      </c>
      <c r="C1036" s="2" t="inlineStr">
        <is>
          <t>458350</t>
        </is>
      </c>
      <c r="D1036" s="2" t="inlineStr">
        <is>
          <t>대량보유</t>
        </is>
      </c>
      <c r="E1036" s="3" t="inlineStr">
        <is>
          <t>전미경</t>
        </is>
      </c>
      <c r="F1036" s="3" t="inlineStr">
        <is>
          <t>특별관계자</t>
        </is>
      </c>
      <c r="G1036" s="3" t="inlineStr">
        <is>
          <t>신규상장(무상취득)(+)</t>
        </is>
      </c>
      <c r="H1036" s="15" t="n">
        <v>164500</v>
      </c>
      <c r="I1036" s="6" t="inlineStr"/>
      <c r="J1036" s="6" t="n">
        <v>164500</v>
      </c>
      <c r="K1036" s="16" t="n">
        <v>5</v>
      </c>
      <c r="L1036" s="2" t="inlineStr">
        <is>
          <t>20260312001262</t>
        </is>
      </c>
      <c r="M1036" s="8">
        <f>HYPERLINK("https://dart.fss.or.kr/dsaf001/main.do?rcpNo=20260312001262", "공시열람")</f>
        <v/>
      </c>
    </row>
    <row r="1037" ht="22" customHeight="1">
      <c r="A1037" s="2" t="inlineStr">
        <is>
          <t>2026-03-12</t>
        </is>
      </c>
      <c r="B1037" s="3" t="inlineStr">
        <is>
          <t>에스팀</t>
        </is>
      </c>
      <c r="C1037" s="2" t="inlineStr">
        <is>
          <t>458350</t>
        </is>
      </c>
      <c r="D1037" s="2" t="inlineStr">
        <is>
          <t>대량보유</t>
        </is>
      </c>
      <c r="E1037" s="3" t="inlineStr">
        <is>
          <t>이정은</t>
        </is>
      </c>
      <c r="F1037" s="3" t="inlineStr">
        <is>
          <t>특별관계자</t>
        </is>
      </c>
      <c r="G1037" s="3" t="inlineStr">
        <is>
          <t>신규상장(무상취득)(+)</t>
        </is>
      </c>
      <c r="H1037" s="15" t="n">
        <v>63000</v>
      </c>
      <c r="I1037" s="6" t="inlineStr"/>
      <c r="J1037" s="6" t="n">
        <v>63000</v>
      </c>
      <c r="K1037" s="16" t="n">
        <v>5</v>
      </c>
      <c r="L1037" s="2" t="inlineStr">
        <is>
          <t>20260312001262</t>
        </is>
      </c>
      <c r="M1037" s="8">
        <f>HYPERLINK("https://dart.fss.or.kr/dsaf001/main.do?rcpNo=20260312001262", "공시열람")</f>
        <v/>
      </c>
    </row>
    <row r="1038" ht="22" customHeight="1">
      <c r="A1038" s="2" t="inlineStr">
        <is>
          <t>2026-03-12</t>
        </is>
      </c>
      <c r="B1038" s="3" t="inlineStr">
        <is>
          <t>코웨이</t>
        </is>
      </c>
      <c r="C1038" s="2" t="inlineStr">
        <is>
          <t>021240</t>
        </is>
      </c>
      <c r="D1038" s="2" t="inlineStr">
        <is>
          <t>임원보고</t>
        </is>
      </c>
      <c r="E1038" s="3" t="inlineStr">
        <is>
          <t>-</t>
        </is>
      </c>
      <c r="F1038" s="3" t="inlineStr">
        <is>
          <t>-</t>
        </is>
      </c>
      <c r="G1038" s="3" t="inlineStr">
        <is>
          <t>-</t>
        </is>
      </c>
      <c r="H1038" s="6" t="inlineStr"/>
      <c r="I1038" s="6" t="inlineStr"/>
      <c r="J1038" s="6" t="inlineStr"/>
      <c r="K1038" s="16" t="n">
        <v>12</v>
      </c>
      <c r="L1038" s="2" t="inlineStr">
        <is>
          <t>20260312802091</t>
        </is>
      </c>
      <c r="M1038" s="8">
        <f>HYPERLINK("https://dart.fss.or.kr/dsaf001/main.do?rcpNo=20260312802091", "공시열람")</f>
        <v/>
      </c>
    </row>
    <row r="1039" ht="22" customHeight="1">
      <c r="A1039" s="2" t="inlineStr">
        <is>
          <t>2026-03-12</t>
        </is>
      </c>
      <c r="B1039" s="3" t="inlineStr">
        <is>
          <t>핌스</t>
        </is>
      </c>
      <c r="C1039" s="2" t="inlineStr">
        <is>
          <t>347770</t>
        </is>
      </c>
      <c r="D1039" s="2" t="inlineStr">
        <is>
          <t>대량보유</t>
        </is>
      </c>
      <c r="E1039" s="3" t="inlineStr">
        <is>
          <t>김민용</t>
        </is>
      </c>
      <c r="F1039" s="3" t="inlineStr">
        <is>
          <t>특별관계자</t>
        </is>
      </c>
      <c r="G1039" s="3" t="inlineStr">
        <is>
          <t>장내매수(+)</t>
        </is>
      </c>
      <c r="H1039" s="15" t="n">
        <v>50000</v>
      </c>
      <c r="I1039" s="6" t="n">
        <v>1057</v>
      </c>
      <c r="J1039" s="6" t="n">
        <v>50000</v>
      </c>
      <c r="K1039" s="16" t="n">
        <v>8</v>
      </c>
      <c r="L1039" s="2" t="inlineStr">
        <is>
          <t>20260312001216</t>
        </is>
      </c>
      <c r="M1039" s="8">
        <f>HYPERLINK("https://dart.fss.or.kr/dsaf001/main.do?rcpNo=20260312001216", "공시열람")</f>
        <v/>
      </c>
    </row>
    <row r="1040" ht="22" customHeight="1">
      <c r="A1040" s="2" t="inlineStr">
        <is>
          <t>2026-03-12</t>
        </is>
      </c>
      <c r="B1040" s="3" t="inlineStr">
        <is>
          <t>핌스</t>
        </is>
      </c>
      <c r="C1040" s="2" t="inlineStr">
        <is>
          <t>347770</t>
        </is>
      </c>
      <c r="D1040" s="2" t="inlineStr">
        <is>
          <t>대량보유</t>
        </is>
      </c>
      <c r="E1040" s="3" t="inlineStr">
        <is>
          <t>정종수</t>
        </is>
      </c>
      <c r="F1040" s="3" t="inlineStr">
        <is>
          <t>특별관계자</t>
        </is>
      </c>
      <c r="G1040" s="3" t="inlineStr">
        <is>
          <t>장내매수(+)</t>
        </is>
      </c>
      <c r="H1040" s="15" t="n">
        <v>21137</v>
      </c>
      <c r="I1040" s="6" t="n">
        <v>1039</v>
      </c>
      <c r="J1040" s="6" t="n">
        <v>21137</v>
      </c>
      <c r="K1040" s="16" t="n">
        <v>8</v>
      </c>
      <c r="L1040" s="2" t="inlineStr">
        <is>
          <t>20260312001216</t>
        </is>
      </c>
      <c r="M1040" s="8">
        <f>HYPERLINK("https://dart.fss.or.kr/dsaf001/main.do?rcpNo=20260312001216", "공시열람")</f>
        <v/>
      </c>
    </row>
    <row r="1041" ht="22" customHeight="1">
      <c r="A1041" s="2" t="inlineStr">
        <is>
          <t>2026-03-12</t>
        </is>
      </c>
      <c r="B1041" s="3" t="inlineStr">
        <is>
          <t>핌스</t>
        </is>
      </c>
      <c r="C1041" s="2" t="inlineStr">
        <is>
          <t>347770</t>
        </is>
      </c>
      <c r="D1041" s="2" t="inlineStr">
        <is>
          <t>대량보유</t>
        </is>
      </c>
      <c r="E1041" s="3" t="inlineStr">
        <is>
          <t>최일</t>
        </is>
      </c>
      <c r="F1041" s="3" t="inlineStr">
        <is>
          <t>특별관계자</t>
        </is>
      </c>
      <c r="G1041" s="3" t="inlineStr">
        <is>
          <t>장내매수(+)</t>
        </is>
      </c>
      <c r="H1041" s="15" t="n">
        <v>9993</v>
      </c>
      <c r="I1041" s="6" t="n">
        <v>1001</v>
      </c>
      <c r="J1041" s="6" t="n">
        <v>9993</v>
      </c>
      <c r="K1041" s="16" t="n">
        <v>8</v>
      </c>
      <c r="L1041" s="2" t="inlineStr">
        <is>
          <t>20260312001216</t>
        </is>
      </c>
      <c r="M1041" s="8">
        <f>HYPERLINK("https://dart.fss.or.kr/dsaf001/main.do?rcpNo=20260312001216", "공시열람")</f>
        <v/>
      </c>
    </row>
    <row r="1042" ht="22" customHeight="1">
      <c r="A1042" s="2" t="inlineStr">
        <is>
          <t>2026-03-12</t>
        </is>
      </c>
      <c r="B1042" s="3" t="inlineStr">
        <is>
          <t>핌스</t>
        </is>
      </c>
      <c r="C1042" s="2" t="inlineStr">
        <is>
          <t>347770</t>
        </is>
      </c>
      <c r="D1042" s="2" t="inlineStr">
        <is>
          <t>대량보유</t>
        </is>
      </c>
      <c r="E1042" s="3" t="inlineStr">
        <is>
          <t>조영수</t>
        </is>
      </c>
      <c r="F1042" s="3" t="inlineStr">
        <is>
          <t>특별관계자</t>
        </is>
      </c>
      <c r="G1042" s="3" t="inlineStr">
        <is>
          <t>장내매수(+)</t>
        </is>
      </c>
      <c r="H1042" s="15" t="n">
        <v>17506</v>
      </c>
      <c r="I1042" s="6" t="n">
        <v>1041</v>
      </c>
      <c r="J1042" s="6" t="n">
        <v>17506</v>
      </c>
      <c r="K1042" s="16" t="n">
        <v>8</v>
      </c>
      <c r="L1042" s="2" t="inlineStr">
        <is>
          <t>20260312001216</t>
        </is>
      </c>
      <c r="M1042" s="8">
        <f>HYPERLINK("https://dart.fss.or.kr/dsaf001/main.do?rcpNo=20260312001216", "공시열람")</f>
        <v/>
      </c>
    </row>
    <row r="1043" ht="22" customHeight="1">
      <c r="A1043" s="2" t="inlineStr">
        <is>
          <t>2026-03-12</t>
        </is>
      </c>
      <c r="B1043" s="3" t="inlineStr">
        <is>
          <t>디와이파워</t>
        </is>
      </c>
      <c r="C1043" s="2" t="inlineStr">
        <is>
          <t>210540</t>
        </is>
      </c>
      <c r="D1043" s="2" t="inlineStr">
        <is>
          <t>대량보유</t>
        </is>
      </c>
      <c r="E1043" s="3" t="inlineStr">
        <is>
          <t>디와이파워주식회사사내근로복지기금</t>
        </is>
      </c>
      <c r="F1043" s="3" t="inlineStr">
        <is>
          <t>특별관계자</t>
        </is>
      </c>
      <c r="G1043" s="3" t="inlineStr">
        <is>
          <t>합병(-)</t>
        </is>
      </c>
      <c r="H1043" s="17" t="n">
        <v>-5857</v>
      </c>
      <c r="I1043" s="6" t="inlineStr"/>
      <c r="J1043" s="6" t="inlineStr"/>
      <c r="K1043" s="16" t="n">
        <v>5</v>
      </c>
      <c r="L1043" s="2" t="inlineStr">
        <is>
          <t>20260312001204</t>
        </is>
      </c>
      <c r="M1043" s="8">
        <f>HYPERLINK("https://dart.fss.or.kr/dsaf001/main.do?rcpNo=20260312001204", "공시열람")</f>
        <v/>
      </c>
    </row>
    <row r="1044" ht="22" customHeight="1">
      <c r="A1044" s="2" t="inlineStr">
        <is>
          <t>2026-03-12</t>
        </is>
      </c>
      <c r="B1044" s="3" t="inlineStr">
        <is>
          <t>디와이파워</t>
        </is>
      </c>
      <c r="C1044" s="2" t="inlineStr">
        <is>
          <t>210540</t>
        </is>
      </c>
      <c r="D1044" s="2" t="inlineStr">
        <is>
          <t>대량보유</t>
        </is>
      </c>
      <c r="E1044" s="3" t="inlineStr">
        <is>
          <t>디와이공동근로복지기금</t>
        </is>
      </c>
      <c r="F1044" s="3" t="inlineStr">
        <is>
          <t>특별관계자</t>
        </is>
      </c>
      <c r="G1044" s="3" t="inlineStr">
        <is>
          <t>합병(+)</t>
        </is>
      </c>
      <c r="H1044" s="15" t="n">
        <v>5857</v>
      </c>
      <c r="I1044" s="6" t="inlineStr"/>
      <c r="J1044" s="6" t="n">
        <v>5857</v>
      </c>
      <c r="K1044" s="16" t="n">
        <v>5</v>
      </c>
      <c r="L1044" s="2" t="inlineStr">
        <is>
          <t>20260312001204</t>
        </is>
      </c>
      <c r="M1044" s="8">
        <f>HYPERLINK("https://dart.fss.or.kr/dsaf001/main.do?rcpNo=20260312001204", "공시열람")</f>
        <v/>
      </c>
    </row>
    <row r="1045" ht="22" customHeight="1">
      <c r="A1045" s="2" t="inlineStr">
        <is>
          <t>2026-03-12</t>
        </is>
      </c>
      <c r="B1045" s="3" t="inlineStr">
        <is>
          <t>빌리언스</t>
        </is>
      </c>
      <c r="C1045" s="2" t="inlineStr">
        <is>
          <t>044480</t>
        </is>
      </c>
      <c r="D1045" s="2" t="inlineStr">
        <is>
          <t>대량보유</t>
        </is>
      </c>
      <c r="E1045" s="3" t="inlineStr">
        <is>
          <t>주식회사인콘</t>
        </is>
      </c>
      <c r="F1045" s="3" t="inlineStr">
        <is>
          <t>특별관계자</t>
        </is>
      </c>
      <c r="G1045" s="3" t="inlineStr">
        <is>
          <t>행사가액조정</t>
        </is>
      </c>
      <c r="H1045" s="15" t="n">
        <v>1194061</v>
      </c>
      <c r="I1045" s="6" t="n">
        <v>218</v>
      </c>
      <c r="J1045" s="6" t="n">
        <v>7110091</v>
      </c>
      <c r="K1045" s="16" t="n">
        <v>4</v>
      </c>
      <c r="L1045" s="2" t="inlineStr">
        <is>
          <t>20260312001191</t>
        </is>
      </c>
      <c r="M1045" s="8">
        <f>HYPERLINK("https://dart.fss.or.kr/dsaf001/main.do?rcpNo=20260312001191", "공시열람")</f>
        <v/>
      </c>
    </row>
    <row r="1046" ht="22" customHeight="1">
      <c r="A1046" s="2" t="inlineStr">
        <is>
          <t>2026-03-12</t>
        </is>
      </c>
      <c r="B1046" s="3" t="inlineStr">
        <is>
          <t>빌리언스</t>
        </is>
      </c>
      <c r="C1046" s="2" t="inlineStr">
        <is>
          <t>044480</t>
        </is>
      </c>
      <c r="D1046" s="2" t="inlineStr">
        <is>
          <t>대량보유</t>
        </is>
      </c>
      <c r="E1046" s="3" t="inlineStr">
        <is>
          <t>경남제약주식회사</t>
        </is>
      </c>
      <c r="F1046" s="3" t="inlineStr">
        <is>
          <t>특별관계자</t>
        </is>
      </c>
      <c r="G1046" s="3" t="inlineStr">
        <is>
          <t>행사가액조정</t>
        </is>
      </c>
      <c r="H1046" s="15" t="n">
        <v>924435</v>
      </c>
      <c r="I1046" s="6" t="n">
        <v>218</v>
      </c>
      <c r="J1046" s="6" t="n">
        <v>28670610</v>
      </c>
      <c r="K1046" s="16" t="n">
        <v>4</v>
      </c>
      <c r="L1046" s="2" t="inlineStr">
        <is>
          <t>20260312001191</t>
        </is>
      </c>
      <c r="M1046" s="8">
        <f>HYPERLINK("https://dart.fss.or.kr/dsaf001/main.do?rcpNo=20260312001191", "공시열람")</f>
        <v/>
      </c>
    </row>
    <row r="1047" ht="22" customHeight="1">
      <c r="A1047" s="2" t="inlineStr">
        <is>
          <t>2026-03-12</t>
        </is>
      </c>
      <c r="B1047" s="3" t="inlineStr">
        <is>
          <t>디와이파워</t>
        </is>
      </c>
      <c r="C1047" s="2" t="inlineStr">
        <is>
          <t>210540</t>
        </is>
      </c>
      <c r="D1047" s="2" t="inlineStr">
        <is>
          <t>임원보고</t>
        </is>
      </c>
      <c r="E1047" s="3" t="inlineStr">
        <is>
          <t>-</t>
        </is>
      </c>
      <c r="F1047" s="3" t="inlineStr">
        <is>
          <t>-</t>
        </is>
      </c>
      <c r="G1047" s="3" t="inlineStr">
        <is>
          <t>-</t>
        </is>
      </c>
      <c r="H1047" s="6" t="inlineStr"/>
      <c r="I1047" s="6" t="inlineStr"/>
      <c r="J1047" s="6" t="inlineStr"/>
      <c r="K1047" s="16" t="n">
        <v>12</v>
      </c>
      <c r="L1047" s="2" t="inlineStr">
        <is>
          <t>20260312801933</t>
        </is>
      </c>
      <c r="M1047" s="8">
        <f>HYPERLINK("https://dart.fss.or.kr/dsaf001/main.do?rcpNo=20260312801933", "공시열람")</f>
        <v/>
      </c>
    </row>
    <row r="1048" ht="22" customHeight="1">
      <c r="A1048" s="2" t="inlineStr">
        <is>
          <t>2026-03-12</t>
        </is>
      </c>
      <c r="B1048" s="3" t="inlineStr">
        <is>
          <t>케이뱅크</t>
        </is>
      </c>
      <c r="C1048" s="2" t="inlineStr">
        <is>
          <t>279570</t>
        </is>
      </c>
      <c r="D1048" s="2" t="inlineStr">
        <is>
          <t>대량보유</t>
        </is>
      </c>
      <c r="E1048" s="3" t="inlineStr">
        <is>
          <t>BCCKingpin,LLC</t>
        </is>
      </c>
      <c r="F1048" s="3" t="inlineStr">
        <is>
          <t>특별관계자</t>
        </is>
      </c>
      <c r="G1048" s="3" t="inlineStr">
        <is>
          <t>신규상장(+), 장내매도(-)</t>
        </is>
      </c>
      <c r="H1048" s="15" t="n">
        <v>20807721</v>
      </c>
      <c r="I1048" s="6" t="n">
        <v>9081</v>
      </c>
      <c r="J1048" s="6" t="n">
        <v>20807721</v>
      </c>
      <c r="K1048" s="16" t="n">
        <v>2</v>
      </c>
      <c r="L1048" s="2" t="inlineStr">
        <is>
          <t>20260312001174</t>
        </is>
      </c>
      <c r="M1048" s="8">
        <f>HYPERLINK("https://dart.fss.or.kr/dsaf001/main.do?rcpNo=20260312001174", "공시열람")</f>
        <v/>
      </c>
    </row>
    <row r="1049" ht="22" customHeight="1">
      <c r="A1049" s="2" t="inlineStr">
        <is>
          <t>2026-03-12 (정정: 2026-06-11)</t>
        </is>
      </c>
      <c r="B1049" s="3" t="inlineStr">
        <is>
          <t>페니트리움바이오</t>
        </is>
      </c>
      <c r="C1049" s="2" t="inlineStr">
        <is>
          <t>187660</t>
        </is>
      </c>
      <c r="D1049" s="2" t="inlineStr">
        <is>
          <t>대량보유</t>
        </is>
      </c>
      <c r="E1049" s="3" t="inlineStr">
        <is>
          <t>-</t>
        </is>
      </c>
      <c r="F1049" s="3" t="inlineStr">
        <is>
          <t>보고자</t>
        </is>
      </c>
      <c r="G1049" s="3" t="inlineStr">
        <is>
          <t>-</t>
        </is>
      </c>
      <c r="H1049" s="6" t="inlineStr"/>
      <c r="I1049" s="6" t="inlineStr"/>
      <c r="J1049" s="6" t="inlineStr"/>
      <c r="K1049" s="18" t="inlineStr"/>
      <c r="L1049" s="2" t="inlineStr">
        <is>
          <t>20260611000585</t>
        </is>
      </c>
      <c r="M1049" s="8">
        <f>HYPERLINK("https://dart.fss.or.kr/dsaf001/main.do?rcpNo=20260611000585", "공시열람")</f>
        <v/>
      </c>
    </row>
    <row r="1050" ht="22" customHeight="1">
      <c r="A1050" s="2" t="inlineStr">
        <is>
          <t>2026-03-12</t>
        </is>
      </c>
      <c r="B1050" s="3" t="inlineStr">
        <is>
          <t>씨엑스아이</t>
        </is>
      </c>
      <c r="C1050" s="2" t="inlineStr">
        <is>
          <t>900120</t>
        </is>
      </c>
      <c r="D1050" s="2" t="inlineStr">
        <is>
          <t>대량보유</t>
        </is>
      </c>
      <c r="E1050" s="3" t="inlineStr">
        <is>
          <t>LINJINSHENG</t>
        </is>
      </c>
      <c r="F1050" s="3" t="inlineStr">
        <is>
          <t>특별관계자</t>
        </is>
      </c>
      <c r="G1050" s="3" t="inlineStr">
        <is>
          <t>주식매수선택권부여(+), 제3자배정유상증자(+)</t>
        </is>
      </c>
      <c r="H1050" s="15" t="n">
        <v>5776547</v>
      </c>
      <c r="I1050" s="6" t="n">
        <v>723</v>
      </c>
      <c r="J1050" s="6" t="n">
        <v>4776547</v>
      </c>
      <c r="K1050" s="16" t="n">
        <v>8</v>
      </c>
      <c r="L1050" s="2" t="inlineStr">
        <is>
          <t>20260312001139</t>
        </is>
      </c>
      <c r="M1050" s="8">
        <f>HYPERLINK("https://dart.fss.or.kr/dsaf001/main.do?rcpNo=20260312001139", "공시열람")</f>
        <v/>
      </c>
    </row>
    <row r="1051" ht="22" customHeight="1">
      <c r="A1051" s="2" t="inlineStr">
        <is>
          <t>2026-03-12</t>
        </is>
      </c>
      <c r="B1051" s="3" t="inlineStr">
        <is>
          <t>씨엑스아이</t>
        </is>
      </c>
      <c r="C1051" s="2" t="inlineStr">
        <is>
          <t>900120</t>
        </is>
      </c>
      <c r="D1051" s="2" t="inlineStr">
        <is>
          <t>대량보유</t>
        </is>
      </c>
      <c r="E1051" s="3" t="inlineStr">
        <is>
          <t>LINXIAO</t>
        </is>
      </c>
      <c r="F1051" s="3" t="inlineStr">
        <is>
          <t>특별관계자</t>
        </is>
      </c>
      <c r="G1051" s="3" t="inlineStr">
        <is>
          <t>주식매수선택권부여(+)</t>
        </is>
      </c>
      <c r="H1051" s="15" t="n">
        <v>200000</v>
      </c>
      <c r="I1051" s="6" t="n">
        <v>689</v>
      </c>
      <c r="J1051" s="6" t="n">
        <v>200000</v>
      </c>
      <c r="K1051" s="16" t="n">
        <v>8</v>
      </c>
      <c r="L1051" s="2" t="inlineStr">
        <is>
          <t>20260312001139</t>
        </is>
      </c>
      <c r="M1051" s="8">
        <f>HYPERLINK("https://dart.fss.or.kr/dsaf001/main.do?rcpNo=20260312001139", "공시열람")</f>
        <v/>
      </c>
    </row>
    <row r="1052" ht="22" customHeight="1">
      <c r="A1052" s="2" t="inlineStr">
        <is>
          <t>2026-03-12</t>
        </is>
      </c>
      <c r="B1052" s="3" t="inlineStr">
        <is>
          <t>씨엑스아이</t>
        </is>
      </c>
      <c r="C1052" s="2" t="inlineStr">
        <is>
          <t>900120</t>
        </is>
      </c>
      <c r="D1052" s="2" t="inlineStr">
        <is>
          <t>대량보유</t>
        </is>
      </c>
      <c r="E1052" s="3" t="inlineStr">
        <is>
          <t>JINMEIHUA</t>
        </is>
      </c>
      <c r="F1052" s="3" t="inlineStr">
        <is>
          <t>특별관계자</t>
        </is>
      </c>
      <c r="G1052" s="3" t="inlineStr">
        <is>
          <t>주식매수선택권부여(+)</t>
        </is>
      </c>
      <c r="H1052" s="15" t="n">
        <v>500000</v>
      </c>
      <c r="I1052" s="6" t="n">
        <v>689</v>
      </c>
      <c r="J1052" s="6" t="n">
        <v>1200000</v>
      </c>
      <c r="K1052" s="16" t="n">
        <v>8</v>
      </c>
      <c r="L1052" s="2" t="inlineStr">
        <is>
          <t>20260312001139</t>
        </is>
      </c>
      <c r="M1052" s="8">
        <f>HYPERLINK("https://dart.fss.or.kr/dsaf001/main.do?rcpNo=20260312001139", "공시열람")</f>
        <v/>
      </c>
    </row>
    <row r="1053" ht="22" customHeight="1">
      <c r="A1053" s="2" t="inlineStr">
        <is>
          <t>2026-03-12</t>
        </is>
      </c>
      <c r="B1053" s="3" t="inlineStr">
        <is>
          <t>씨엑스아이</t>
        </is>
      </c>
      <c r="C1053" s="2" t="inlineStr">
        <is>
          <t>900120</t>
        </is>
      </c>
      <c r="D1053" s="2" t="inlineStr">
        <is>
          <t>대량보유</t>
        </is>
      </c>
      <c r="E1053" s="3" t="inlineStr">
        <is>
          <t>LIUFENFANG</t>
        </is>
      </c>
      <c r="F1053" s="3" t="inlineStr">
        <is>
          <t>특별관계자</t>
        </is>
      </c>
      <c r="G1053" s="3" t="inlineStr">
        <is>
          <t>주식매수선택권부여(+)</t>
        </is>
      </c>
      <c r="H1053" s="15" t="n">
        <v>300000</v>
      </c>
      <c r="I1053" s="6" t="n">
        <v>689</v>
      </c>
      <c r="J1053" s="6" t="n">
        <v>300000</v>
      </c>
      <c r="K1053" s="16" t="n">
        <v>8</v>
      </c>
      <c r="L1053" s="2" t="inlineStr">
        <is>
          <t>20260312001139</t>
        </is>
      </c>
      <c r="M1053" s="8">
        <f>HYPERLINK("https://dart.fss.or.kr/dsaf001/main.do?rcpNo=20260312001139", "공시열람")</f>
        <v/>
      </c>
    </row>
    <row r="1054" ht="22" customHeight="1">
      <c r="A1054" s="2" t="inlineStr">
        <is>
          <t>2026-03-12 (정정: 2026-03-12)</t>
        </is>
      </c>
      <c r="B1054" s="3" t="inlineStr">
        <is>
          <t>유안타증권</t>
        </is>
      </c>
      <c r="C1054" s="2" t="inlineStr">
        <is>
          <t>003470</t>
        </is>
      </c>
      <c r="D1054" s="2" t="inlineStr">
        <is>
          <t>임원보고</t>
        </is>
      </c>
      <c r="E1054" s="3" t="inlineStr">
        <is>
          <t>-</t>
        </is>
      </c>
      <c r="F1054" s="3" t="inlineStr">
        <is>
          <t>-</t>
        </is>
      </c>
      <c r="G1054" s="3" t="inlineStr">
        <is>
          <t>-</t>
        </is>
      </c>
      <c r="H1054" s="6" t="inlineStr"/>
      <c r="I1054" s="6" t="inlineStr"/>
      <c r="J1054" s="6" t="inlineStr"/>
      <c r="K1054" s="18" t="inlineStr"/>
      <c r="L1054" s="2" t="inlineStr">
        <is>
          <t>20260312000458</t>
        </is>
      </c>
      <c r="M1054" s="8">
        <f>HYPERLINK("https://dart.fss.or.kr/dsaf001/main.do?rcpNo=20260312000458", "공시열람")</f>
        <v/>
      </c>
    </row>
    <row r="1055" ht="22" customHeight="1">
      <c r="A1055" s="2" t="inlineStr">
        <is>
          <t>2026-03-12</t>
        </is>
      </c>
      <c r="B1055" s="3" t="inlineStr">
        <is>
          <t>아이엘</t>
        </is>
      </c>
      <c r="C1055" s="2" t="inlineStr">
        <is>
          <t>307180</t>
        </is>
      </c>
      <c r="D1055" s="2" t="inlineStr">
        <is>
          <t>대량보유</t>
        </is>
      </c>
      <c r="E1055" s="3" t="inlineStr">
        <is>
          <t>송성근</t>
        </is>
      </c>
      <c r="F1055" s="3" t="inlineStr">
        <is>
          <t>특별관계자</t>
        </is>
      </c>
      <c r="G1055" s="3" t="inlineStr">
        <is>
          <t>전환등(-), 전환사채의권리행사(+)</t>
        </is>
      </c>
      <c r="H1055" s="17" t="n">
        <v>-4</v>
      </c>
      <c r="I1055" s="6" t="inlineStr"/>
      <c r="J1055" s="6" t="n">
        <v>7257505</v>
      </c>
      <c r="K1055" s="16" t="n">
        <v>12</v>
      </c>
      <c r="L1055" s="2" t="inlineStr">
        <is>
          <t>20260312001131</t>
        </is>
      </c>
      <c r="M1055" s="8">
        <f>HYPERLINK("https://dart.fss.or.kr/dsaf001/main.do?rcpNo=20260312001131", "공시열람")</f>
        <v/>
      </c>
    </row>
    <row r="1056" ht="22" customHeight="1">
      <c r="A1056" s="2" t="inlineStr">
        <is>
          <t>2026-03-12</t>
        </is>
      </c>
      <c r="B1056" s="3" t="inlineStr">
        <is>
          <t>디와이</t>
        </is>
      </c>
      <c r="C1056" s="2" t="inlineStr">
        <is>
          <t>013570</t>
        </is>
      </c>
      <c r="D1056" s="2" t="inlineStr">
        <is>
          <t>대량보유</t>
        </is>
      </c>
      <c r="E1056" s="3" t="inlineStr">
        <is>
          <t>디와이주식회사사내근로복지기금</t>
        </is>
      </c>
      <c r="F1056" s="3" t="inlineStr">
        <is>
          <t>특별관계자</t>
        </is>
      </c>
      <c r="G1056" s="3" t="inlineStr">
        <is>
          <t>합병(-)</t>
        </is>
      </c>
      <c r="H1056" s="17" t="n">
        <v>-1910442</v>
      </c>
      <c r="I1056" s="6" t="inlineStr"/>
      <c r="J1056" s="6" t="inlineStr"/>
      <c r="K1056" s="16" t="n">
        <v>4</v>
      </c>
      <c r="L1056" s="2" t="inlineStr">
        <is>
          <t>20260312001111</t>
        </is>
      </c>
      <c r="M1056" s="8">
        <f>HYPERLINK("https://dart.fss.or.kr/dsaf001/main.do?rcpNo=20260312001111", "공시열람")</f>
        <v/>
      </c>
    </row>
    <row r="1057" ht="22" customHeight="1">
      <c r="A1057" s="2" t="inlineStr">
        <is>
          <t>2026-03-12</t>
        </is>
      </c>
      <c r="B1057" s="3" t="inlineStr">
        <is>
          <t>디와이</t>
        </is>
      </c>
      <c r="C1057" s="2" t="inlineStr">
        <is>
          <t>013570</t>
        </is>
      </c>
      <c r="D1057" s="2" t="inlineStr">
        <is>
          <t>대량보유</t>
        </is>
      </c>
      <c r="E1057" s="3" t="inlineStr">
        <is>
          <t>디와이공동근로복지기금</t>
        </is>
      </c>
      <c r="F1057" s="3" t="inlineStr">
        <is>
          <t>특별관계자</t>
        </is>
      </c>
      <c r="G1057" s="3" t="inlineStr">
        <is>
          <t>합병(+)</t>
        </is>
      </c>
      <c r="H1057" s="15" t="n">
        <v>1910442</v>
      </c>
      <c r="I1057" s="6" t="inlineStr"/>
      <c r="J1057" s="6" t="n">
        <v>1910442</v>
      </c>
      <c r="K1057" s="16" t="n">
        <v>4</v>
      </c>
      <c r="L1057" s="2" t="inlineStr">
        <is>
          <t>20260312001111</t>
        </is>
      </c>
      <c r="M1057" s="8">
        <f>HYPERLINK("https://dart.fss.or.kr/dsaf001/main.do?rcpNo=20260312001111", "공시열람")</f>
        <v/>
      </c>
    </row>
    <row r="1058" ht="22" customHeight="1">
      <c r="A1058" s="2" t="inlineStr">
        <is>
          <t>2026-03-12</t>
        </is>
      </c>
      <c r="B1058" s="3" t="inlineStr">
        <is>
          <t>미코</t>
        </is>
      </c>
      <c r="C1058" s="2" t="inlineStr">
        <is>
          <t>059090</t>
        </is>
      </c>
      <c r="D1058" s="2" t="inlineStr">
        <is>
          <t>대량보유</t>
        </is>
      </c>
      <c r="E1058" s="3" t="inlineStr">
        <is>
          <t>전선규</t>
        </is>
      </c>
      <c r="F1058" s="3" t="inlineStr">
        <is>
          <t>보고자</t>
        </is>
      </c>
      <c r="G1058" s="3" t="inlineStr">
        <is>
          <t>특별관계자 주식담보대출 연장</t>
        </is>
      </c>
      <c r="H1058" s="6" t="inlineStr"/>
      <c r="I1058" s="6" t="inlineStr"/>
      <c r="J1058" s="6" t="n">
        <v>6823155</v>
      </c>
      <c r="K1058" s="16" t="n">
        <v>5</v>
      </c>
      <c r="L1058" s="2" t="inlineStr">
        <is>
          <t>20260312001099</t>
        </is>
      </c>
      <c r="M1058" s="8">
        <f>HYPERLINK("https://dart.fss.or.kr/dsaf001/main.do?rcpNo=20260312001099", "공시열람")</f>
        <v/>
      </c>
    </row>
    <row r="1059" ht="22" customHeight="1">
      <c r="A1059" s="2" t="inlineStr">
        <is>
          <t>2026-03-12</t>
        </is>
      </c>
      <c r="B1059" s="3" t="inlineStr">
        <is>
          <t>엠케이전자</t>
        </is>
      </c>
      <c r="C1059" s="2" t="inlineStr">
        <is>
          <t>033160</t>
        </is>
      </c>
      <c r="D1059" s="2" t="inlineStr">
        <is>
          <t>대량보유</t>
        </is>
      </c>
      <c r="E1059" s="3" t="inlineStr">
        <is>
          <t>(주)오션비홀딩스</t>
        </is>
      </c>
      <c r="F1059" s="3" t="inlineStr">
        <is>
          <t>보고자</t>
        </is>
      </c>
      <c r="G1059" s="3" t="inlineStr">
        <is>
          <t>보고자의 보유주식등에 관한 계약 변경</t>
        </is>
      </c>
      <c r="H1059" s="6" t="inlineStr"/>
      <c r="I1059" s="6" t="inlineStr"/>
      <c r="J1059" s="6" t="n">
        <v>7818045</v>
      </c>
      <c r="K1059" s="16" t="n">
        <v>2</v>
      </c>
      <c r="L1059" s="2" t="inlineStr">
        <is>
          <t>20260312001065</t>
        </is>
      </c>
      <c r="M1059" s="8">
        <f>HYPERLINK("https://dart.fss.or.kr/dsaf001/main.do?rcpNo=20260312001065", "공시열람")</f>
        <v/>
      </c>
    </row>
    <row r="1060" ht="22" customHeight="1">
      <c r="A1060" s="2" t="inlineStr">
        <is>
          <t>2026-03-12</t>
        </is>
      </c>
      <c r="B1060" s="3" t="inlineStr">
        <is>
          <t>팬오션</t>
        </is>
      </c>
      <c r="C1060" s="2" t="inlineStr">
        <is>
          <t>028670</t>
        </is>
      </c>
      <c r="D1060" s="2" t="inlineStr">
        <is>
          <t>대량보유</t>
        </is>
      </c>
      <c r="E1060" s="3" t="inlineStr">
        <is>
          <t>이범권</t>
        </is>
      </c>
      <c r="F1060" s="3" t="inlineStr">
        <is>
          <t>특별관계자</t>
        </is>
      </c>
      <c r="G1060" s="3" t="inlineStr">
        <is>
          <t>장내매도(-)</t>
        </is>
      </c>
      <c r="H1060" s="17" t="n">
        <v>-12441</v>
      </c>
      <c r="I1060" s="6" t="n">
        <v>6000</v>
      </c>
      <c r="J1060" s="6" t="inlineStr"/>
      <c r="K1060" s="16" t="n">
        <v>10</v>
      </c>
      <c r="L1060" s="2" t="inlineStr">
        <is>
          <t>20260312001038</t>
        </is>
      </c>
      <c r="M1060" s="8">
        <f>HYPERLINK("https://dart.fss.or.kr/dsaf001/main.do?rcpNo=20260312001038", "공시열람")</f>
        <v/>
      </c>
    </row>
    <row r="1061" ht="22" customHeight="1">
      <c r="A1061" s="2" t="inlineStr">
        <is>
          <t>2026-03-12</t>
        </is>
      </c>
      <c r="B1061" s="3" t="inlineStr">
        <is>
          <t>비보존 제약</t>
        </is>
      </c>
      <c r="C1061" s="2" t="inlineStr">
        <is>
          <t>082800</t>
        </is>
      </c>
      <c r="D1061" s="2" t="inlineStr">
        <is>
          <t>대량보유</t>
        </is>
      </c>
      <c r="E1061" s="3" t="inlineStr">
        <is>
          <t>주식회사비보존홀딩스</t>
        </is>
      </c>
      <c r="F1061" s="3" t="inlineStr">
        <is>
          <t>특별관계자</t>
        </is>
      </c>
      <c r="G1061" s="3" t="inlineStr">
        <is>
          <t>기타(-), 유상신주취득(+)</t>
        </is>
      </c>
      <c r="H1061" s="6" t="inlineStr"/>
      <c r="I1061" s="6" t="n">
        <v>3065</v>
      </c>
      <c r="J1061" s="6" t="n">
        <v>12995359</v>
      </c>
      <c r="K1061" s="16" t="n">
        <v>2</v>
      </c>
      <c r="L1061" s="2" t="inlineStr">
        <is>
          <t>20260312001007</t>
        </is>
      </c>
      <c r="M1061" s="8">
        <f>HYPERLINK("https://dart.fss.or.kr/dsaf001/main.do?rcpNo=20260312001007", "공시열람")</f>
        <v/>
      </c>
    </row>
    <row r="1062" ht="22" customHeight="1">
      <c r="A1062" s="2" t="inlineStr">
        <is>
          <t>2026-03-12</t>
        </is>
      </c>
      <c r="B1062" s="3" t="inlineStr">
        <is>
          <t>비보존 제약</t>
        </is>
      </c>
      <c r="C1062" s="2" t="inlineStr">
        <is>
          <t>082800</t>
        </is>
      </c>
      <c r="D1062" s="2" t="inlineStr">
        <is>
          <t>대량보유</t>
        </is>
      </c>
      <c r="E1062" s="3" t="inlineStr">
        <is>
          <t>이두현</t>
        </is>
      </c>
      <c r="F1062" s="3" t="inlineStr">
        <is>
          <t>특별관계자</t>
        </is>
      </c>
      <c r="G1062" s="3" t="inlineStr">
        <is>
          <t>기타(-), 유상신주취득(+)</t>
        </is>
      </c>
      <c r="H1062" s="15" t="n">
        <v>2218</v>
      </c>
      <c r="I1062" s="6" t="n">
        <v>3065</v>
      </c>
      <c r="J1062" s="6" t="n">
        <v>81610</v>
      </c>
      <c r="K1062" s="16" t="n">
        <v>2</v>
      </c>
      <c r="L1062" s="2" t="inlineStr">
        <is>
          <t>20260312001007</t>
        </is>
      </c>
      <c r="M1062" s="8">
        <f>HYPERLINK("https://dart.fss.or.kr/dsaf001/main.do?rcpNo=20260312001007", "공시열람")</f>
        <v/>
      </c>
    </row>
    <row r="1063" ht="22" customHeight="1">
      <c r="A1063" s="2" t="inlineStr">
        <is>
          <t>2026-03-12</t>
        </is>
      </c>
      <c r="B1063" s="3" t="inlineStr">
        <is>
          <t>HD현대일렉트릭</t>
        </is>
      </c>
      <c r="C1063" s="2" t="inlineStr">
        <is>
          <t>267260</t>
        </is>
      </c>
      <c r="D1063" s="2" t="inlineStr">
        <is>
          <t>임원보고</t>
        </is>
      </c>
      <c r="E1063" s="3" t="inlineStr">
        <is>
          <t>-</t>
        </is>
      </c>
      <c r="F1063" s="3" t="inlineStr">
        <is>
          <t>-</t>
        </is>
      </c>
      <c r="G1063" s="3" t="inlineStr">
        <is>
          <t>-</t>
        </is>
      </c>
      <c r="H1063" s="6" t="inlineStr"/>
      <c r="I1063" s="6" t="inlineStr"/>
      <c r="J1063" s="6" t="inlineStr"/>
      <c r="K1063" s="16" t="n">
        <v>12</v>
      </c>
      <c r="L1063" s="2" t="inlineStr">
        <is>
          <t>20260312801532</t>
        </is>
      </c>
      <c r="M1063" s="8">
        <f>HYPERLINK("https://dart.fss.or.kr/dsaf001/main.do?rcpNo=20260312801532", "공시열람")</f>
        <v/>
      </c>
    </row>
    <row r="1064" ht="22" customHeight="1">
      <c r="A1064" s="2" t="inlineStr">
        <is>
          <t>2026-03-12</t>
        </is>
      </c>
      <c r="B1064" s="3" t="inlineStr">
        <is>
          <t>디와이</t>
        </is>
      </c>
      <c r="C1064" s="2" t="inlineStr">
        <is>
          <t>013570</t>
        </is>
      </c>
      <c r="D1064" s="2" t="inlineStr">
        <is>
          <t>임원보고</t>
        </is>
      </c>
      <c r="E1064" s="3" t="inlineStr">
        <is>
          <t>-</t>
        </is>
      </c>
      <c r="F1064" s="3" t="inlineStr">
        <is>
          <t>-</t>
        </is>
      </c>
      <c r="G1064" s="3" t="inlineStr">
        <is>
          <t>-</t>
        </is>
      </c>
      <c r="H1064" s="6" t="inlineStr"/>
      <c r="I1064" s="6" t="inlineStr"/>
      <c r="J1064" s="6" t="inlineStr"/>
      <c r="K1064" s="16" t="n">
        <v>12</v>
      </c>
      <c r="L1064" s="2" t="inlineStr">
        <is>
          <t>20260312801445</t>
        </is>
      </c>
      <c r="M1064" s="8">
        <f>HYPERLINK("https://dart.fss.or.kr/dsaf001/main.do?rcpNo=20260312801445", "공시열람")</f>
        <v/>
      </c>
    </row>
    <row r="1065" ht="22" customHeight="1">
      <c r="A1065" s="2" t="inlineStr">
        <is>
          <t>2026-03-12</t>
        </is>
      </c>
      <c r="B1065" s="3" t="inlineStr">
        <is>
          <t>리메드</t>
        </is>
      </c>
      <c r="C1065" s="2" t="inlineStr">
        <is>
          <t>302550</t>
        </is>
      </c>
      <c r="D1065" s="2" t="inlineStr">
        <is>
          <t>대량보유</t>
        </is>
      </c>
      <c r="E1065" s="3" t="inlineStr">
        <is>
          <t>이근용</t>
        </is>
      </c>
      <c r="F1065" s="3" t="inlineStr">
        <is>
          <t>보고자</t>
        </is>
      </c>
      <c r="G1065" s="3" t="inlineStr">
        <is>
          <t>보고자 및 특별관계자의 주식담보대출 변경특별관계자 변동 및 장내매수</t>
        </is>
      </c>
      <c r="H1065" s="6" t="inlineStr"/>
      <c r="I1065" s="6" t="inlineStr"/>
      <c r="J1065" s="6" t="n">
        <v>11092776</v>
      </c>
      <c r="K1065" s="16" t="n">
        <v>8</v>
      </c>
      <c r="L1065" s="2" t="inlineStr">
        <is>
          <t>20260312000926</t>
        </is>
      </c>
      <c r="M1065" s="8">
        <f>HYPERLINK("https://dart.fss.or.kr/dsaf001/main.do?rcpNo=20260312000926", "공시열람")</f>
        <v/>
      </c>
    </row>
    <row r="1066" ht="22" customHeight="1">
      <c r="A1066" s="2" t="inlineStr">
        <is>
          <t>2026-03-12</t>
        </is>
      </c>
      <c r="B1066" s="3" t="inlineStr">
        <is>
          <t>젬백스</t>
        </is>
      </c>
      <c r="C1066" s="2" t="inlineStr">
        <is>
          <t>082270</t>
        </is>
      </c>
      <c r="D1066" s="2" t="inlineStr">
        <is>
          <t>대량보유</t>
        </is>
      </c>
      <c r="E1066" s="3" t="inlineStr">
        <is>
          <t>김상재</t>
        </is>
      </c>
      <c r="F1066" s="3" t="inlineStr">
        <is>
          <t>특별관계자</t>
        </is>
      </c>
      <c r="G1066" s="3" t="inlineStr">
        <is>
          <t>기타(-)</t>
        </is>
      </c>
      <c r="H1066" s="17" t="n">
        <v>-210000</v>
      </c>
      <c r="I1066" s="6" t="n">
        <v>0</v>
      </c>
      <c r="J1066" s="6" t="n">
        <v>474740</v>
      </c>
      <c r="K1066" s="16" t="n">
        <v>14</v>
      </c>
      <c r="L1066" s="2" t="inlineStr">
        <is>
          <t>20260312000914</t>
        </is>
      </c>
      <c r="M1066" s="8">
        <f>HYPERLINK("https://dart.fss.or.kr/dsaf001/main.do?rcpNo=20260312000914", "공시열람")</f>
        <v/>
      </c>
    </row>
    <row r="1067" ht="22" customHeight="1">
      <c r="A1067" s="2" t="inlineStr">
        <is>
          <t>2026-03-12</t>
        </is>
      </c>
      <c r="B1067" s="3" t="inlineStr">
        <is>
          <t>젬백스</t>
        </is>
      </c>
      <c r="C1067" s="2" t="inlineStr">
        <is>
          <t>082270</t>
        </is>
      </c>
      <c r="D1067" s="2" t="inlineStr">
        <is>
          <t>대량보유</t>
        </is>
      </c>
      <c r="E1067" s="3" t="inlineStr">
        <is>
          <t>㈜젬앤컴퍼니</t>
        </is>
      </c>
      <c r="F1067" s="3" t="inlineStr">
        <is>
          <t>특별관계자</t>
        </is>
      </c>
      <c r="G1067" s="3" t="inlineStr">
        <is>
          <t>기타(+)</t>
        </is>
      </c>
      <c r="H1067" s="15" t="n">
        <v>210000</v>
      </c>
      <c r="I1067" s="6" t="n">
        <v>0</v>
      </c>
      <c r="J1067" s="6" t="n">
        <v>5106326</v>
      </c>
      <c r="K1067" s="16" t="n">
        <v>14</v>
      </c>
      <c r="L1067" s="2" t="inlineStr">
        <is>
          <t>20260312000914</t>
        </is>
      </c>
      <c r="M1067" s="8">
        <f>HYPERLINK("https://dart.fss.or.kr/dsaf001/main.do?rcpNo=20260312000914", "공시열람")</f>
        <v/>
      </c>
    </row>
    <row r="1068" ht="22" customHeight="1">
      <c r="A1068" s="2" t="inlineStr">
        <is>
          <t>2026-03-12</t>
        </is>
      </c>
      <c r="B1068" s="3" t="inlineStr">
        <is>
          <t>젬백스</t>
        </is>
      </c>
      <c r="C1068" s="2" t="inlineStr">
        <is>
          <t>082270</t>
        </is>
      </c>
      <c r="D1068" s="2" t="inlineStr">
        <is>
          <t>대량보유</t>
        </is>
      </c>
      <c r="E1068" s="3" t="inlineStr">
        <is>
          <t>㈜지엘케이에쿼티인베스트먼트</t>
        </is>
      </c>
      <c r="F1068" s="3" t="inlineStr">
        <is>
          <t>특별관계자</t>
        </is>
      </c>
      <c r="G1068" s="3" t="inlineStr">
        <is>
          <t>장내매도(-)</t>
        </is>
      </c>
      <c r="H1068" s="17" t="n">
        <v>-30000</v>
      </c>
      <c r="I1068" s="6" t="n">
        <v>43089</v>
      </c>
      <c r="J1068" s="6" t="n">
        <v>3175215</v>
      </c>
      <c r="K1068" s="16" t="n">
        <v>14</v>
      </c>
      <c r="L1068" s="2" t="inlineStr">
        <is>
          <t>20260312000914</t>
        </is>
      </c>
      <c r="M1068" s="8">
        <f>HYPERLINK("https://dart.fss.or.kr/dsaf001/main.do?rcpNo=20260312000914", "공시열람")</f>
        <v/>
      </c>
    </row>
    <row r="1069" ht="22" customHeight="1">
      <c r="A1069" s="2" t="inlineStr">
        <is>
          <t>2026-03-12</t>
        </is>
      </c>
      <c r="B1069" s="3" t="inlineStr">
        <is>
          <t>이수페타시스</t>
        </is>
      </c>
      <c r="C1069" s="2" t="inlineStr">
        <is>
          <t>007660</t>
        </is>
      </c>
      <c r="D1069" s="2" t="inlineStr">
        <is>
          <t>대량보유</t>
        </is>
      </c>
      <c r="E1069" s="3" t="inlineStr">
        <is>
          <t>(주)이수</t>
        </is>
      </c>
      <c r="F1069" s="3" t="inlineStr">
        <is>
          <t>보고자</t>
        </is>
      </c>
      <c r="G1069" s="3" t="inlineStr">
        <is>
          <t>보유주식에 관한 계약내용 변경 (근질권 설정)</t>
        </is>
      </c>
      <c r="H1069" s="6" t="inlineStr"/>
      <c r="I1069" s="6" t="inlineStr"/>
      <c r="J1069" s="6" t="n">
        <v>19183225</v>
      </c>
      <c r="K1069" s="16" t="n">
        <v>5</v>
      </c>
      <c r="L1069" s="2" t="inlineStr">
        <is>
          <t>20260312000876</t>
        </is>
      </c>
      <c r="M1069" s="8">
        <f>HYPERLINK("https://dart.fss.or.kr/dsaf001/main.do?rcpNo=20260312000876", "공시열람")</f>
        <v/>
      </c>
    </row>
    <row r="1070" ht="22" customHeight="1">
      <c r="A1070" s="2" t="inlineStr">
        <is>
          <t>2026-03-12</t>
        </is>
      </c>
      <c r="B1070" s="3" t="inlineStr">
        <is>
          <t>현대바이오</t>
        </is>
      </c>
      <c r="C1070" s="2" t="inlineStr">
        <is>
          <t>048410</t>
        </is>
      </c>
      <c r="D1070" s="2" t="inlineStr">
        <is>
          <t>대량보유</t>
        </is>
      </c>
      <c r="E1070" s="3" t="inlineStr">
        <is>
          <t>삼성자산운용</t>
        </is>
      </c>
      <c r="F1070" s="3" t="inlineStr">
        <is>
          <t>특별관계자</t>
        </is>
      </c>
      <c r="G1070" s="3" t="inlineStr">
        <is>
          <t>신규보고(+), 기타(+), 장내매수(+), 기타(-)</t>
        </is>
      </c>
      <c r="H1070" s="15" t="n">
        <v>4815404</v>
      </c>
      <c r="I1070" s="6" t="n">
        <v>11789</v>
      </c>
      <c r="J1070" s="6" t="n">
        <v>4815404</v>
      </c>
      <c r="K1070" s="16" t="n">
        <v>5.01</v>
      </c>
      <c r="L1070" s="2" t="inlineStr">
        <is>
          <t>20260312000866</t>
        </is>
      </c>
      <c r="M1070" s="8">
        <f>HYPERLINK("https://dart.fss.or.kr/dsaf001/main.do?rcpNo=20260312000866", "공시열람")</f>
        <v/>
      </c>
    </row>
    <row r="1071" ht="22" customHeight="1">
      <c r="A1071" s="2" t="inlineStr">
        <is>
          <t>2026-03-12</t>
        </is>
      </c>
      <c r="B1071" s="3" t="inlineStr">
        <is>
          <t>문배철강</t>
        </is>
      </c>
      <c r="C1071" s="2" t="inlineStr">
        <is>
          <t>008420</t>
        </is>
      </c>
      <c r="D1071" s="2" t="inlineStr">
        <is>
          <t>임원보고</t>
        </is>
      </c>
      <c r="E1071" s="3" t="inlineStr">
        <is>
          <t>-</t>
        </is>
      </c>
      <c r="F1071" s="3" t="inlineStr">
        <is>
          <t>-</t>
        </is>
      </c>
      <c r="G1071" s="3" t="inlineStr">
        <is>
          <t>-</t>
        </is>
      </c>
      <c r="H1071" s="6" t="inlineStr"/>
      <c r="I1071" s="6" t="inlineStr"/>
      <c r="J1071" s="6" t="inlineStr"/>
      <c r="K1071" s="16" t="n">
        <v>12</v>
      </c>
      <c r="L1071" s="2" t="inlineStr">
        <is>
          <t>20260312801315</t>
        </is>
      </c>
      <c r="M1071" s="8">
        <f>HYPERLINK("https://dart.fss.or.kr/dsaf001/main.do?rcpNo=20260312801315", "공시열람")</f>
        <v/>
      </c>
    </row>
    <row r="1072" ht="22" customHeight="1">
      <c r="A1072" s="2" t="inlineStr">
        <is>
          <t>2026-03-12</t>
        </is>
      </c>
      <c r="B1072" s="3" t="inlineStr">
        <is>
          <t>티씨케이</t>
        </is>
      </c>
      <c r="C1072" s="2" t="inlineStr">
        <is>
          <t>064760</t>
        </is>
      </c>
      <c r="D1072" s="2" t="inlineStr">
        <is>
          <t>대량보유</t>
        </is>
      </c>
      <c r="E1072" s="3" t="inlineStr">
        <is>
          <t>삼성자산운용</t>
        </is>
      </c>
      <c r="F1072" s="3" t="inlineStr">
        <is>
          <t>특별관계자</t>
        </is>
      </c>
      <c r="G1072" s="3" t="inlineStr">
        <is>
          <t>신규보고(+), 기타(+), 장내매수(+), 기타(-), 장내매도(-)</t>
        </is>
      </c>
      <c r="H1072" s="15" t="n">
        <v>563497</v>
      </c>
      <c r="I1072" s="6" t="n">
        <v>220508</v>
      </c>
      <c r="J1072" s="6" t="n">
        <v>563497</v>
      </c>
      <c r="K1072" s="16" t="n">
        <v>5.04</v>
      </c>
      <c r="L1072" s="2" t="inlineStr">
        <is>
          <t>20260312000837</t>
        </is>
      </c>
      <c r="M1072" s="8">
        <f>HYPERLINK("https://dart.fss.or.kr/dsaf001/main.do?rcpNo=20260312000837", "공시열람")</f>
        <v/>
      </c>
    </row>
    <row r="1073" ht="22" customHeight="1">
      <c r="A1073" s="2" t="inlineStr">
        <is>
          <t>2026-03-12</t>
        </is>
      </c>
      <c r="B1073" s="3" t="inlineStr">
        <is>
          <t>오스코텍</t>
        </is>
      </c>
      <c r="C1073" s="2" t="inlineStr">
        <is>
          <t>039200</t>
        </is>
      </c>
      <c r="D1073" s="2" t="inlineStr">
        <is>
          <t>대량보유</t>
        </is>
      </c>
      <c r="E1073" s="3" t="inlineStr">
        <is>
          <t>삼성자산운용</t>
        </is>
      </c>
      <c r="F1073" s="3" t="inlineStr">
        <is>
          <t>특별관계자</t>
        </is>
      </c>
      <c r="G1073" s="3" t="inlineStr">
        <is>
          <t>신규보고(+), 기타(+), 장내매수(+), 기타(-)</t>
        </is>
      </c>
      <c r="H1073" s="15" t="n">
        <v>1964796</v>
      </c>
      <c r="I1073" s="6" t="n">
        <v>46514</v>
      </c>
      <c r="J1073" s="6" t="n">
        <v>1964796</v>
      </c>
      <c r="K1073" s="16" t="n">
        <v>5.14</v>
      </c>
      <c r="L1073" s="2" t="inlineStr">
        <is>
          <t>20260312000825</t>
        </is>
      </c>
      <c r="M1073" s="8">
        <f>HYPERLINK("https://dart.fss.or.kr/dsaf001/main.do?rcpNo=20260312000825", "공시열람")</f>
        <v/>
      </c>
    </row>
    <row r="1074" ht="22" customHeight="1">
      <c r="A1074" s="2" t="inlineStr">
        <is>
          <t>2026-03-12</t>
        </is>
      </c>
      <c r="B1074" s="3" t="inlineStr">
        <is>
          <t>에프에스티</t>
        </is>
      </c>
      <c r="C1074" s="2" t="inlineStr">
        <is>
          <t>036810</t>
        </is>
      </c>
      <c r="D1074" s="2" t="inlineStr">
        <is>
          <t>대량보유</t>
        </is>
      </c>
      <c r="E1074" s="3" t="inlineStr">
        <is>
          <t>삼성자산운용</t>
        </is>
      </c>
      <c r="F1074" s="3" t="inlineStr">
        <is>
          <t>특별관계자</t>
        </is>
      </c>
      <c r="G1074" s="3" t="inlineStr">
        <is>
          <t>신규보고(+), 기타(+), 장내매수(+), 기타(-)</t>
        </is>
      </c>
      <c r="H1074" s="15" t="n">
        <v>1111387</v>
      </c>
      <c r="I1074" s="6" t="n">
        <v>31121</v>
      </c>
      <c r="J1074" s="6" t="n">
        <v>1111387</v>
      </c>
      <c r="K1074" s="16" t="n">
        <v>5.06</v>
      </c>
      <c r="L1074" s="2" t="inlineStr">
        <is>
          <t>20260312000818</t>
        </is>
      </c>
      <c r="M1074" s="8">
        <f>HYPERLINK("https://dart.fss.or.kr/dsaf001/main.do?rcpNo=20260312000818", "공시열람")</f>
        <v/>
      </c>
    </row>
    <row r="1075" ht="22" customHeight="1">
      <c r="A1075" s="2" t="inlineStr">
        <is>
          <t>2026-03-12</t>
        </is>
      </c>
      <c r="B1075" s="3" t="inlineStr">
        <is>
          <t>현대글로비스</t>
        </is>
      </c>
      <c r="C1075" s="2" t="inlineStr">
        <is>
          <t>086280</t>
        </is>
      </c>
      <c r="D1075" s="2" t="inlineStr">
        <is>
          <t>임원보고</t>
        </is>
      </c>
      <c r="E1075" s="3" t="inlineStr">
        <is>
          <t>-</t>
        </is>
      </c>
      <c r="F1075" s="3" t="inlineStr">
        <is>
          <t>-</t>
        </is>
      </c>
      <c r="G1075" s="3" t="inlineStr">
        <is>
          <t>-</t>
        </is>
      </c>
      <c r="H1075" s="6" t="inlineStr"/>
      <c r="I1075" s="6" t="inlineStr"/>
      <c r="J1075" s="6" t="inlineStr"/>
      <c r="K1075" s="16" t="n">
        <v>12</v>
      </c>
      <c r="L1075" s="2" t="inlineStr">
        <is>
          <t>20260312801236</t>
        </is>
      </c>
      <c r="M1075" s="8">
        <f>HYPERLINK("https://dart.fss.or.kr/dsaf001/main.do?rcpNo=20260312801236", "공시열람")</f>
        <v/>
      </c>
    </row>
    <row r="1076" ht="22" customHeight="1">
      <c r="A1076" s="2" t="inlineStr">
        <is>
          <t>2026-03-12</t>
        </is>
      </c>
      <c r="B1076" s="3" t="inlineStr">
        <is>
          <t>씨아이에스</t>
        </is>
      </c>
      <c r="C1076" s="2" t="inlineStr">
        <is>
          <t>222080</t>
        </is>
      </c>
      <c r="D1076" s="2" t="inlineStr">
        <is>
          <t>대량보유</t>
        </is>
      </c>
      <c r="E1076" s="3" t="inlineStr">
        <is>
          <t>삼성자산운용</t>
        </is>
      </c>
      <c r="F1076" s="3" t="inlineStr">
        <is>
          <t>특별관계자</t>
        </is>
      </c>
      <c r="G1076" s="3" t="inlineStr">
        <is>
          <t>신규보고(+), 기타(+), 장내매수(+), 장내매도(-), 기타(-)</t>
        </is>
      </c>
      <c r="H1076" s="15" t="n">
        <v>3992098</v>
      </c>
      <c r="I1076" s="6" t="n">
        <v>11423</v>
      </c>
      <c r="J1076" s="6" t="n">
        <v>3992098</v>
      </c>
      <c r="K1076" s="16" t="n">
        <v>5.15</v>
      </c>
      <c r="L1076" s="2" t="inlineStr">
        <is>
          <t>20260312000789</t>
        </is>
      </c>
      <c r="M1076" s="8">
        <f>HYPERLINK("https://dart.fss.or.kr/dsaf001/main.do?rcpNo=20260312000789", "공시열람")</f>
        <v/>
      </c>
    </row>
    <row r="1077" ht="22" customHeight="1">
      <c r="A1077" s="2" t="inlineStr">
        <is>
          <t>2026-03-12</t>
        </is>
      </c>
      <c r="B1077" s="3" t="inlineStr">
        <is>
          <t>크래프톤</t>
        </is>
      </c>
      <c r="C1077" s="2" t="inlineStr">
        <is>
          <t>259960</t>
        </is>
      </c>
      <c r="D1077" s="2" t="inlineStr">
        <is>
          <t>임원보고</t>
        </is>
      </c>
      <c r="E1077" s="3" t="inlineStr">
        <is>
          <t>-</t>
        </is>
      </c>
      <c r="F1077" s="3" t="inlineStr">
        <is>
          <t>-</t>
        </is>
      </c>
      <c r="G1077" s="3" t="inlineStr">
        <is>
          <t>-</t>
        </is>
      </c>
      <c r="H1077" s="6" t="inlineStr"/>
      <c r="I1077" s="6" t="inlineStr"/>
      <c r="J1077" s="6" t="inlineStr"/>
      <c r="K1077" s="16" t="n">
        <v>12</v>
      </c>
      <c r="L1077" s="2" t="inlineStr">
        <is>
          <t>20260312801185</t>
        </is>
      </c>
      <c r="M1077" s="8">
        <f>HYPERLINK("https://dart.fss.or.kr/dsaf001/main.do?rcpNo=20260312801185", "공시열람")</f>
        <v/>
      </c>
    </row>
    <row r="1078" ht="22" customHeight="1">
      <c r="A1078" s="2" t="inlineStr">
        <is>
          <t>2026-03-12</t>
        </is>
      </c>
      <c r="B1078" s="3" t="inlineStr">
        <is>
          <t>대주전자재료</t>
        </is>
      </c>
      <c r="C1078" s="2" t="inlineStr">
        <is>
          <t>078600</t>
        </is>
      </c>
      <c r="D1078" s="2" t="inlineStr">
        <is>
          <t>대량보유</t>
        </is>
      </c>
      <c r="E1078" s="3" t="inlineStr">
        <is>
          <t>삼성자산운용</t>
        </is>
      </c>
      <c r="F1078" s="3" t="inlineStr">
        <is>
          <t>특별관계자</t>
        </is>
      </c>
      <c r="G1078" s="3" t="inlineStr">
        <is>
          <t>신규보고(+), 기타(+), 장내매수(+), 기타(-)</t>
        </is>
      </c>
      <c r="H1078" s="15" t="n">
        <v>802892</v>
      </c>
      <c r="I1078" s="6" t="n">
        <v>83420</v>
      </c>
      <c r="J1078" s="6" t="n">
        <v>802892</v>
      </c>
      <c r="K1078" s="16" t="n">
        <v>5.19</v>
      </c>
      <c r="L1078" s="2" t="inlineStr">
        <is>
          <t>20260312000784</t>
        </is>
      </c>
      <c r="M1078" s="8">
        <f>HYPERLINK("https://dart.fss.or.kr/dsaf001/main.do?rcpNo=20260312000784", "공시열람")</f>
        <v/>
      </c>
    </row>
    <row r="1079" ht="22" customHeight="1">
      <c r="A1079" s="2" t="inlineStr">
        <is>
          <t>2026-03-12</t>
        </is>
      </c>
      <c r="B1079" s="3" t="inlineStr">
        <is>
          <t>크래프톤</t>
        </is>
      </c>
      <c r="C1079" s="2" t="inlineStr">
        <is>
          <t>259960</t>
        </is>
      </c>
      <c r="D1079" s="2" t="inlineStr">
        <is>
          <t>대량보유</t>
        </is>
      </c>
      <c r="E1079" s="3" t="inlineStr">
        <is>
          <t>이병욱</t>
        </is>
      </c>
      <c r="F1079" s="3" t="inlineStr">
        <is>
          <t>특별관계자</t>
        </is>
      </c>
      <c r="G1079" s="3" t="inlineStr">
        <is>
          <t>주식매수선택권행사(-), 주식매수선택권행사(+)</t>
        </is>
      </c>
      <c r="H1079" s="6" t="inlineStr"/>
      <c r="I1079" s="6" t="n">
        <v>190000</v>
      </c>
      <c r="J1079" s="6" t="n">
        <v>12295</v>
      </c>
      <c r="K1079" s="16" t="n">
        <v>32</v>
      </c>
      <c r="L1079" s="2" t="inlineStr">
        <is>
          <t>20260312000766</t>
        </is>
      </c>
      <c r="M1079" s="8">
        <f>HYPERLINK("https://dart.fss.or.kr/dsaf001/main.do?rcpNo=20260312000766", "공시열람")</f>
        <v/>
      </c>
    </row>
    <row r="1080" ht="22" customHeight="1">
      <c r="A1080" s="2" t="inlineStr">
        <is>
          <t>2026-03-12 (정정: 2026-03-27)</t>
        </is>
      </c>
      <c r="B1080" s="3" t="inlineStr">
        <is>
          <t>엠젠솔루션</t>
        </is>
      </c>
      <c r="C1080" s="2" t="inlineStr">
        <is>
          <t>032790</t>
        </is>
      </c>
      <c r="D1080" s="2" t="inlineStr">
        <is>
          <t>대량보유</t>
        </is>
      </c>
      <c r="E1080" s="3" t="inlineStr">
        <is>
          <t>-</t>
        </is>
      </c>
      <c r="F1080" s="3" t="inlineStr">
        <is>
          <t>보고자</t>
        </is>
      </c>
      <c r="G1080" s="3" t="inlineStr">
        <is>
          <t>-</t>
        </is>
      </c>
      <c r="H1080" s="6" t="inlineStr"/>
      <c r="I1080" s="6" t="inlineStr"/>
      <c r="J1080" s="6" t="inlineStr"/>
      <c r="K1080" s="18" t="inlineStr"/>
      <c r="L1080" s="2" t="inlineStr">
        <is>
          <t>20260327001587</t>
        </is>
      </c>
      <c r="M1080" s="8">
        <f>HYPERLINK("https://dart.fss.or.kr/dsaf001/main.do?rcpNo=20260327001587", "공시열람")</f>
        <v/>
      </c>
    </row>
    <row r="1081" ht="22" customHeight="1">
      <c r="A1081" s="2" t="inlineStr">
        <is>
          <t>2026-03-12 (정정: 2026-04-16)</t>
        </is>
      </c>
      <c r="B1081" s="3" t="inlineStr">
        <is>
          <t>알에프텍</t>
        </is>
      </c>
      <c r="C1081" s="2" t="inlineStr">
        <is>
          <t>061040</t>
        </is>
      </c>
      <c r="D1081" s="2" t="inlineStr">
        <is>
          <t>대량보유</t>
        </is>
      </c>
      <c r="E1081" s="3" t="inlineStr">
        <is>
          <t>-</t>
        </is>
      </c>
      <c r="F1081" s="3" t="inlineStr">
        <is>
          <t>보고자</t>
        </is>
      </c>
      <c r="G1081" s="3" t="inlineStr">
        <is>
          <t>-</t>
        </is>
      </c>
      <c r="H1081" s="6" t="inlineStr"/>
      <c r="I1081" s="6" t="inlineStr"/>
      <c r="J1081" s="6" t="inlineStr"/>
      <c r="K1081" s="18" t="inlineStr"/>
      <c r="L1081" s="2" t="inlineStr">
        <is>
          <t>20260416900683</t>
        </is>
      </c>
      <c r="M1081" s="8">
        <f>HYPERLINK("https://dart.fss.or.kr/dsaf001/main.do?rcpNo=20260416900683", "공시열람")</f>
        <v/>
      </c>
    </row>
    <row r="1082" ht="22" customHeight="1">
      <c r="A1082" s="2" t="inlineStr">
        <is>
          <t>2026-03-12</t>
        </is>
      </c>
      <c r="B1082" s="3" t="inlineStr">
        <is>
          <t>HLB</t>
        </is>
      </c>
      <c r="C1082" s="2" t="inlineStr">
        <is>
          <t>028300</t>
        </is>
      </c>
      <c r="D1082" s="2" t="inlineStr">
        <is>
          <t>대량보유</t>
        </is>
      </c>
      <c r="E1082" s="3" t="inlineStr">
        <is>
          <t>삼성자산운용</t>
        </is>
      </c>
      <c r="F1082" s="3" t="inlineStr">
        <is>
          <t>특별관계자</t>
        </is>
      </c>
      <c r="G1082" s="3" t="inlineStr">
        <is>
          <t>신규보고(+), 기타(+), 장내매수(+), 기타(-)</t>
        </is>
      </c>
      <c r="H1082" s="15" t="n">
        <v>6772753</v>
      </c>
      <c r="I1082" s="6" t="n">
        <v>45716</v>
      </c>
      <c r="J1082" s="6" t="n">
        <v>6772753</v>
      </c>
      <c r="K1082" s="16" t="n">
        <v>5.09</v>
      </c>
      <c r="L1082" s="2" t="inlineStr">
        <is>
          <t>20260312000758</t>
        </is>
      </c>
      <c r="M1082" s="8">
        <f>HYPERLINK("https://dart.fss.or.kr/dsaf001/main.do?rcpNo=20260312000758", "공시열람")</f>
        <v/>
      </c>
    </row>
    <row r="1083" ht="22" customHeight="1">
      <c r="A1083" s="2" t="inlineStr">
        <is>
          <t>2026-03-12</t>
        </is>
      </c>
      <c r="B1083" s="3" t="inlineStr">
        <is>
          <t>현대글로비스</t>
        </is>
      </c>
      <c r="C1083" s="2" t="inlineStr">
        <is>
          <t>086280</t>
        </is>
      </c>
      <c r="D1083" s="2" t="inlineStr">
        <is>
          <t>대량보유</t>
        </is>
      </c>
      <c r="E1083" s="3" t="inlineStr">
        <is>
          <t>최현만</t>
        </is>
      </c>
      <c r="F1083" s="3" t="inlineStr">
        <is>
          <t>특별관계자</t>
        </is>
      </c>
      <c r="G1083" s="3" t="inlineStr">
        <is>
          <t>장내매도(-)</t>
        </is>
      </c>
      <c r="H1083" s="17" t="n">
        <v>-300</v>
      </c>
      <c r="I1083" s="6" t="n">
        <v>252500</v>
      </c>
      <c r="J1083" s="6" t="n">
        <v>1500</v>
      </c>
      <c r="K1083" s="16" t="n">
        <v>8</v>
      </c>
      <c r="L1083" s="2" t="inlineStr">
        <is>
          <t>20260312000754</t>
        </is>
      </c>
      <c r="M1083" s="8">
        <f>HYPERLINK("https://dart.fss.or.kr/dsaf001/main.do?rcpNo=20260312000754", "공시열람")</f>
        <v/>
      </c>
    </row>
    <row r="1084" ht="22" customHeight="1">
      <c r="A1084" s="2" t="inlineStr">
        <is>
          <t>2026-03-12</t>
        </is>
      </c>
      <c r="B1084" s="3" t="inlineStr">
        <is>
          <t>미래생명자원</t>
        </is>
      </c>
      <c r="C1084" s="2" t="inlineStr">
        <is>
          <t>218150</t>
        </is>
      </c>
      <c r="D1084" s="2" t="inlineStr">
        <is>
          <t>대량보유</t>
        </is>
      </c>
      <c r="E1084" s="3" t="inlineStr">
        <is>
          <t>김윤주</t>
        </is>
      </c>
      <c r="F1084" s="3" t="inlineStr">
        <is>
          <t>특별관계자</t>
        </is>
      </c>
      <c r="G1084" s="3" t="inlineStr">
        <is>
          <t>장내매수(+)</t>
        </is>
      </c>
      <c r="H1084" s="15" t="n">
        <v>2678</v>
      </c>
      <c r="I1084" s="6" t="n">
        <v>4410</v>
      </c>
      <c r="J1084" s="6" t="n">
        <v>308040</v>
      </c>
      <c r="K1084" s="16" t="n">
        <v>5</v>
      </c>
      <c r="L1084" s="2" t="inlineStr">
        <is>
          <t>20260312000683</t>
        </is>
      </c>
      <c r="M1084" s="8">
        <f>HYPERLINK("https://dart.fss.or.kr/dsaf001/main.do?rcpNo=20260312000683", "공시열람")</f>
        <v/>
      </c>
    </row>
    <row r="1085" ht="22" customHeight="1">
      <c r="A1085" s="2" t="inlineStr">
        <is>
          <t>2026-03-12</t>
        </is>
      </c>
      <c r="B1085" s="3" t="inlineStr">
        <is>
          <t>미래생명자원</t>
        </is>
      </c>
      <c r="C1085" s="2" t="inlineStr">
        <is>
          <t>218150</t>
        </is>
      </c>
      <c r="D1085" s="2" t="inlineStr">
        <is>
          <t>대량보유</t>
        </is>
      </c>
      <c r="E1085" s="3" t="inlineStr">
        <is>
          <t>김나은</t>
        </is>
      </c>
      <c r="F1085" s="3" t="inlineStr">
        <is>
          <t>특별관계자</t>
        </is>
      </c>
      <c r="G1085" s="3" t="inlineStr">
        <is>
          <t>장내매수(+), 장내매도(-)</t>
        </is>
      </c>
      <c r="H1085" s="6" t="inlineStr"/>
      <c r="I1085" s="6" t="n">
        <v>3650</v>
      </c>
      <c r="J1085" s="6" t="n">
        <v>1</v>
      </c>
      <c r="K1085" s="16" t="n">
        <v>5</v>
      </c>
      <c r="L1085" s="2" t="inlineStr">
        <is>
          <t>20260312000683</t>
        </is>
      </c>
      <c r="M1085" s="8">
        <f>HYPERLINK("https://dart.fss.or.kr/dsaf001/main.do?rcpNo=20260312000683", "공시열람")</f>
        <v/>
      </c>
    </row>
    <row r="1086" ht="22" customHeight="1">
      <c r="A1086" s="2" t="inlineStr">
        <is>
          <t>2026-03-12</t>
        </is>
      </c>
      <c r="B1086" s="3" t="inlineStr">
        <is>
          <t>신성이엔지</t>
        </is>
      </c>
      <c r="C1086" s="2" t="inlineStr">
        <is>
          <t>011930</t>
        </is>
      </c>
      <c r="D1086" s="2" t="inlineStr">
        <is>
          <t>임원보고</t>
        </is>
      </c>
      <c r="E1086" s="3" t="inlineStr">
        <is>
          <t>-</t>
        </is>
      </c>
      <c r="F1086" s="3" t="inlineStr">
        <is>
          <t>-</t>
        </is>
      </c>
      <c r="G1086" s="3" t="inlineStr">
        <is>
          <t>-</t>
        </is>
      </c>
      <c r="H1086" s="6" t="inlineStr"/>
      <c r="I1086" s="6" t="inlineStr"/>
      <c r="J1086" s="6" t="inlineStr"/>
      <c r="K1086" s="16" t="n">
        <v>12</v>
      </c>
      <c r="L1086" s="2" t="inlineStr">
        <is>
          <t>20260312800840</t>
        </is>
      </c>
      <c r="M1086" s="8">
        <f>HYPERLINK("https://dart.fss.or.kr/dsaf001/main.do?rcpNo=20260312800840", "공시열람")</f>
        <v/>
      </c>
    </row>
    <row r="1087" ht="22" customHeight="1">
      <c r="A1087" s="2" t="inlineStr">
        <is>
          <t>2026-03-12</t>
        </is>
      </c>
      <c r="B1087" s="3" t="inlineStr">
        <is>
          <t>아크릴</t>
        </is>
      </c>
      <c r="C1087" s="2" t="inlineStr">
        <is>
          <t>0007C0</t>
        </is>
      </c>
      <c r="D1087" s="2" t="inlineStr">
        <is>
          <t>대량보유</t>
        </is>
      </c>
      <c r="E1087" s="3" t="inlineStr">
        <is>
          <t>염익준</t>
        </is>
      </c>
      <c r="F1087" s="3" t="inlineStr">
        <is>
          <t>특별관계자</t>
        </is>
      </c>
      <c r="G1087" s="3" t="inlineStr">
        <is>
          <t>장내매수(+)</t>
        </is>
      </c>
      <c r="H1087" s="15" t="n">
        <v>1000</v>
      </c>
      <c r="I1087" s="6" t="n">
        <v>33414</v>
      </c>
      <c r="J1087" s="6" t="n">
        <v>55739</v>
      </c>
      <c r="K1087" s="16" t="n">
        <v>2</v>
      </c>
      <c r="L1087" s="2" t="inlineStr">
        <is>
          <t>20260312000545</t>
        </is>
      </c>
      <c r="M1087" s="8">
        <f>HYPERLINK("https://dart.fss.or.kr/dsaf001/main.do?rcpNo=20260312000545", "공시열람")</f>
        <v/>
      </c>
    </row>
    <row r="1088" ht="22" customHeight="1">
      <c r="A1088" s="2" t="inlineStr">
        <is>
          <t>2026-03-12</t>
        </is>
      </c>
      <c r="B1088" s="3" t="inlineStr">
        <is>
          <t>매커스</t>
        </is>
      </c>
      <c r="C1088" s="2" t="inlineStr">
        <is>
          <t>093520</t>
        </is>
      </c>
      <c r="D1088" s="2" t="inlineStr">
        <is>
          <t>대량보유</t>
        </is>
      </c>
      <c r="E1088" s="3" t="inlineStr">
        <is>
          <t>FIDGLOBALMICRO-CAPFUND</t>
        </is>
      </c>
      <c r="F1088" s="3" t="inlineStr">
        <is>
          <t>특별관계자</t>
        </is>
      </c>
      <c r="G1088" s="3" t="inlineStr">
        <is>
          <t>장내매수(+)</t>
        </is>
      </c>
      <c r="H1088" s="15" t="n">
        <v>7487</v>
      </c>
      <c r="I1088" s="6" t="n">
        <v>20665</v>
      </c>
      <c r="J1088" s="6" t="n">
        <v>7921</v>
      </c>
      <c r="K1088" s="16" t="n">
        <v>11</v>
      </c>
      <c r="L1088" s="2" t="inlineStr">
        <is>
          <t>20260312000527</t>
        </is>
      </c>
      <c r="M1088" s="8">
        <f>HYPERLINK("https://dart.fss.or.kr/dsaf001/main.do?rcpNo=20260312000527", "공시열람")</f>
        <v/>
      </c>
    </row>
    <row r="1089" ht="22" customHeight="1">
      <c r="A1089" s="2" t="inlineStr">
        <is>
          <t>2026-03-12</t>
        </is>
      </c>
      <c r="B1089" s="3" t="inlineStr">
        <is>
          <t>매커스</t>
        </is>
      </c>
      <c r="C1089" s="2" t="inlineStr">
        <is>
          <t>093520</t>
        </is>
      </c>
      <c r="D1089" s="2" t="inlineStr">
        <is>
          <t>대량보유</t>
        </is>
      </c>
      <c r="E1089" s="3" t="inlineStr">
        <is>
          <t>FIDGLOBALSM-MDCAPEQ-SUBD</t>
        </is>
      </c>
      <c r="F1089" s="3" t="inlineStr">
        <is>
          <t>특별관계자</t>
        </is>
      </c>
      <c r="G1089" s="3" t="inlineStr">
        <is>
          <t>장내매수(+)</t>
        </is>
      </c>
      <c r="H1089" s="15" t="n">
        <v>300</v>
      </c>
      <c r="I1089" s="6" t="n">
        <v>24376</v>
      </c>
      <c r="J1089" s="6" t="n">
        <v>300</v>
      </c>
      <c r="K1089" s="16" t="n">
        <v>11</v>
      </c>
      <c r="L1089" s="2" t="inlineStr">
        <is>
          <t>20260312000527</t>
        </is>
      </c>
      <c r="M1089" s="8">
        <f>HYPERLINK("https://dart.fss.or.kr/dsaf001/main.do?rcpNo=20260312000527", "공시열람")</f>
        <v/>
      </c>
    </row>
    <row r="1090" ht="22" customHeight="1">
      <c r="A1090" s="2" t="inlineStr">
        <is>
          <t>2026-03-12</t>
        </is>
      </c>
      <c r="B1090" s="3" t="inlineStr">
        <is>
          <t>매커스</t>
        </is>
      </c>
      <c r="C1090" s="2" t="inlineStr">
        <is>
          <t>093520</t>
        </is>
      </c>
      <c r="D1090" s="2" t="inlineStr">
        <is>
          <t>대량보유</t>
        </is>
      </c>
      <c r="E1090" s="3" t="inlineStr">
        <is>
          <t>FIJITGLBValAdMother</t>
        </is>
      </c>
      <c r="F1090" s="3" t="inlineStr">
        <is>
          <t>특별관계자</t>
        </is>
      </c>
      <c r="G1090" s="3" t="inlineStr">
        <is>
          <t>장내매도(-)</t>
        </is>
      </c>
      <c r="H1090" s="17" t="n">
        <v>-98836</v>
      </c>
      <c r="I1090" s="6" t="n">
        <v>21639</v>
      </c>
      <c r="J1090" s="6" t="n">
        <v>266345</v>
      </c>
      <c r="K1090" s="16" t="n">
        <v>11</v>
      </c>
      <c r="L1090" s="2" t="inlineStr">
        <is>
          <t>20260312000527</t>
        </is>
      </c>
      <c r="M1090" s="8">
        <f>HYPERLINK("https://dart.fss.or.kr/dsaf001/main.do?rcpNo=20260312000527", "공시열람")</f>
        <v/>
      </c>
    </row>
    <row r="1091" ht="22" customHeight="1">
      <c r="A1091" s="2" t="inlineStr">
        <is>
          <t>2026-03-12</t>
        </is>
      </c>
      <c r="B1091" s="3" t="inlineStr">
        <is>
          <t>에코마케팅</t>
        </is>
      </c>
      <c r="C1091" s="2" t="inlineStr">
        <is>
          <t>230360</t>
        </is>
      </c>
      <c r="D1091" s="2" t="inlineStr">
        <is>
          <t>대량보유</t>
        </is>
      </c>
      <c r="E1091" s="3" t="inlineStr">
        <is>
          <t>김철웅</t>
        </is>
      </c>
      <c r="F1091" s="3" t="inlineStr">
        <is>
          <t>특별관계자</t>
        </is>
      </c>
      <c r="G1091" s="3" t="inlineStr">
        <is>
          <t>장외매도(-)</t>
        </is>
      </c>
      <c r="H1091" s="17" t="n">
        <v>-11481008</v>
      </c>
      <c r="I1091" s="6" t="n">
        <v>16000</v>
      </c>
      <c r="J1091" s="6" t="inlineStr"/>
      <c r="K1091" s="16" t="n">
        <v>2</v>
      </c>
      <c r="L1091" s="2" t="inlineStr">
        <is>
          <t>20260312000526</t>
        </is>
      </c>
      <c r="M1091" s="8">
        <f>HYPERLINK("https://dart.fss.or.kr/dsaf001/main.do?rcpNo=20260312000526", "공시열람")</f>
        <v/>
      </c>
    </row>
    <row r="1092" ht="22" customHeight="1">
      <c r="A1092" s="2" t="inlineStr">
        <is>
          <t>2026-03-12</t>
        </is>
      </c>
      <c r="B1092" s="3" t="inlineStr">
        <is>
          <t>에코마케팅</t>
        </is>
      </c>
      <c r="C1092" s="2" t="inlineStr">
        <is>
          <t>230360</t>
        </is>
      </c>
      <c r="D1092" s="2" t="inlineStr">
        <is>
          <t>대량보유</t>
        </is>
      </c>
      <c r="E1092" s="3" t="inlineStr">
        <is>
          <t>(주)에이아이마케팅그룹</t>
        </is>
      </c>
      <c r="F1092" s="3" t="inlineStr">
        <is>
          <t>특별관계자</t>
        </is>
      </c>
      <c r="G1092" s="3" t="inlineStr">
        <is>
          <t>장외매도(-)</t>
        </is>
      </c>
      <c r="H1092" s="17" t="n">
        <v>-2053550</v>
      </c>
      <c r="I1092" s="6" t="n">
        <v>16000</v>
      </c>
      <c r="J1092" s="6" t="inlineStr"/>
      <c r="K1092" s="16" t="n">
        <v>2</v>
      </c>
      <c r="L1092" s="2" t="inlineStr">
        <is>
          <t>20260312000526</t>
        </is>
      </c>
      <c r="M1092" s="8">
        <f>HYPERLINK("https://dart.fss.or.kr/dsaf001/main.do?rcpNo=20260312000526", "공시열람")</f>
        <v/>
      </c>
    </row>
    <row r="1093" ht="22" customHeight="1">
      <c r="A1093" s="2" t="inlineStr">
        <is>
          <t>2026-03-12</t>
        </is>
      </c>
      <c r="B1093" s="3" t="inlineStr">
        <is>
          <t>러셀</t>
        </is>
      </c>
      <c r="C1093" s="2" t="inlineStr">
        <is>
          <t>217500</t>
        </is>
      </c>
      <c r="D1093" s="2" t="inlineStr">
        <is>
          <t>대량보유</t>
        </is>
      </c>
      <c r="E1093" s="3" t="inlineStr">
        <is>
          <t>권순욱</t>
        </is>
      </c>
      <c r="F1093" s="3" t="inlineStr">
        <is>
          <t>특별관계자</t>
        </is>
      </c>
      <c r="G1093" s="3" t="inlineStr">
        <is>
          <t>장내매수(+)</t>
        </is>
      </c>
      <c r="H1093" s="15" t="n">
        <v>10000</v>
      </c>
      <c r="I1093" s="6" t="n">
        <v>4558</v>
      </c>
      <c r="J1093" s="6" t="n">
        <v>11938354</v>
      </c>
      <c r="K1093" s="16" t="n">
        <v>4</v>
      </c>
      <c r="L1093" s="2" t="inlineStr">
        <is>
          <t>20260312000515</t>
        </is>
      </c>
      <c r="M1093" s="8">
        <f>HYPERLINK("https://dart.fss.or.kr/dsaf001/main.do?rcpNo=20260312000515", "공시열람")</f>
        <v/>
      </c>
    </row>
    <row r="1094" ht="22" customHeight="1">
      <c r="A1094" s="2" t="inlineStr">
        <is>
          <t>2026-03-12</t>
        </is>
      </c>
      <c r="B1094" s="3" t="inlineStr">
        <is>
          <t>러셀</t>
        </is>
      </c>
      <c r="C1094" s="2" t="inlineStr">
        <is>
          <t>217500</t>
        </is>
      </c>
      <c r="D1094" s="2" t="inlineStr">
        <is>
          <t>대량보유</t>
        </is>
      </c>
      <c r="E1094" s="3" t="inlineStr">
        <is>
          <t>박성욱</t>
        </is>
      </c>
      <c r="F1094" s="3" t="inlineStr">
        <is>
          <t>특별관계자</t>
        </is>
      </c>
      <c r="G1094" s="3" t="inlineStr">
        <is>
          <t>장내매도(-)</t>
        </is>
      </c>
      <c r="H1094" s="17" t="n">
        <v>-100000</v>
      </c>
      <c r="I1094" s="6" t="n">
        <v>4700</v>
      </c>
      <c r="J1094" s="6" t="inlineStr"/>
      <c r="K1094" s="16" t="n">
        <v>4</v>
      </c>
      <c r="L1094" s="2" t="inlineStr">
        <is>
          <t>20260312000515</t>
        </is>
      </c>
      <c r="M1094" s="8">
        <f>HYPERLINK("https://dart.fss.or.kr/dsaf001/main.do?rcpNo=20260312000515", "공시열람")</f>
        <v/>
      </c>
    </row>
    <row r="1095" ht="22" customHeight="1">
      <c r="A1095" s="2" t="inlineStr">
        <is>
          <t>2026-03-12</t>
        </is>
      </c>
      <c r="B1095" s="3" t="inlineStr">
        <is>
          <t>러셀</t>
        </is>
      </c>
      <c r="C1095" s="2" t="inlineStr">
        <is>
          <t>217500</t>
        </is>
      </c>
      <c r="D1095" s="2" t="inlineStr">
        <is>
          <t>대량보유</t>
        </is>
      </c>
      <c r="E1095" s="3" t="inlineStr">
        <is>
          <t>김정호</t>
        </is>
      </c>
      <c r="F1095" s="3" t="inlineStr">
        <is>
          <t>특별관계자</t>
        </is>
      </c>
      <c r="G1095" s="3" t="inlineStr">
        <is>
          <t>장내매도(-)</t>
        </is>
      </c>
      <c r="H1095" s="17" t="n">
        <v>-150000</v>
      </c>
      <c r="I1095" s="6" t="n">
        <v>4359</v>
      </c>
      <c r="J1095" s="6" t="inlineStr"/>
      <c r="K1095" s="16" t="n">
        <v>4</v>
      </c>
      <c r="L1095" s="2" t="inlineStr">
        <is>
          <t>20260312000515</t>
        </is>
      </c>
      <c r="M1095" s="8">
        <f>HYPERLINK("https://dart.fss.or.kr/dsaf001/main.do?rcpNo=20260312000515", "공시열람")</f>
        <v/>
      </c>
    </row>
    <row r="1096" ht="22" customHeight="1">
      <c r="A1096" s="2" t="inlineStr">
        <is>
          <t>2026-03-12</t>
        </is>
      </c>
      <c r="B1096" s="3" t="inlineStr">
        <is>
          <t>러셀</t>
        </is>
      </c>
      <c r="C1096" s="2" t="inlineStr">
        <is>
          <t>217500</t>
        </is>
      </c>
      <c r="D1096" s="2" t="inlineStr">
        <is>
          <t>대량보유</t>
        </is>
      </c>
      <c r="E1096" s="3" t="inlineStr">
        <is>
          <t>(주)러셀</t>
        </is>
      </c>
      <c r="F1096" s="3" t="inlineStr">
        <is>
          <t>특별관계자</t>
        </is>
      </c>
      <c r="G1096" s="3" t="inlineStr">
        <is>
          <t>시간외매매(-)</t>
        </is>
      </c>
      <c r="H1096" s="17" t="n">
        <v>-1400000</v>
      </c>
      <c r="I1096" s="6" t="n">
        <v>2775</v>
      </c>
      <c r="J1096" s="6" t="n">
        <v>1404126</v>
      </c>
      <c r="K1096" s="16" t="n">
        <v>4</v>
      </c>
      <c r="L1096" s="2" t="inlineStr">
        <is>
          <t>20260312000515</t>
        </is>
      </c>
      <c r="M1096" s="8">
        <f>HYPERLINK("https://dart.fss.or.kr/dsaf001/main.do?rcpNo=20260312000515", "공시열람")</f>
        <v/>
      </c>
    </row>
    <row r="1097" ht="22" customHeight="1">
      <c r="A1097" s="2" t="inlineStr">
        <is>
          <t>2026-03-12</t>
        </is>
      </c>
      <c r="B1097" s="3" t="inlineStr">
        <is>
          <t>대진첨단소재</t>
        </is>
      </c>
      <c r="C1097" s="2" t="inlineStr">
        <is>
          <t>393970</t>
        </is>
      </c>
      <c r="D1097" s="2" t="inlineStr">
        <is>
          <t>대량보유</t>
        </is>
      </c>
      <c r="E1097" s="3" t="inlineStr">
        <is>
          <t>곽윤창</t>
        </is>
      </c>
      <c r="F1097" s="3" t="inlineStr">
        <is>
          <t>특별관계자</t>
        </is>
      </c>
      <c r="G1097" s="3" t="inlineStr">
        <is>
          <t>장내매도(-)</t>
        </is>
      </c>
      <c r="H1097" s="17" t="n">
        <v>-52520</v>
      </c>
      <c r="I1097" s="6" t="n">
        <v>0</v>
      </c>
      <c r="J1097" s="6" t="inlineStr"/>
      <c r="K1097" s="16" t="n">
        <v>6</v>
      </c>
      <c r="L1097" s="2" t="inlineStr">
        <is>
          <t>20260312000465</t>
        </is>
      </c>
      <c r="M1097" s="8">
        <f>HYPERLINK("https://dart.fss.or.kr/dsaf001/main.do?rcpNo=20260312000465", "공시열람")</f>
        <v/>
      </c>
    </row>
    <row r="1098" ht="22" customHeight="1">
      <c r="A1098" s="2" t="inlineStr">
        <is>
          <t>2026-03-12</t>
        </is>
      </c>
      <c r="B1098" s="3" t="inlineStr">
        <is>
          <t>케이뱅크</t>
        </is>
      </c>
      <c r="C1098" s="2" t="inlineStr">
        <is>
          <t>279570</t>
        </is>
      </c>
      <c r="D1098" s="2" t="inlineStr">
        <is>
          <t>임원보고</t>
        </is>
      </c>
      <c r="E1098" s="3" t="inlineStr">
        <is>
          <t>-</t>
        </is>
      </c>
      <c r="F1098" s="3" t="inlineStr">
        <is>
          <t>-</t>
        </is>
      </c>
      <c r="G1098" s="3" t="inlineStr">
        <is>
          <t>-</t>
        </is>
      </c>
      <c r="H1098" s="6" t="inlineStr"/>
      <c r="I1098" s="6" t="inlineStr"/>
      <c r="J1098" s="6" t="inlineStr"/>
      <c r="K1098" s="16" t="n">
        <v>12</v>
      </c>
      <c r="L1098" s="2" t="inlineStr">
        <is>
          <t>20260312800593</t>
        </is>
      </c>
      <c r="M1098" s="8">
        <f>HYPERLINK("https://dart.fss.or.kr/dsaf001/main.do?rcpNo=20260312800593", "공시열람")</f>
        <v/>
      </c>
    </row>
    <row r="1099" ht="22" customHeight="1">
      <c r="A1099" s="2" t="inlineStr">
        <is>
          <t>2026-03-12</t>
        </is>
      </c>
      <c r="B1099" s="3" t="inlineStr">
        <is>
          <t>이지스</t>
        </is>
      </c>
      <c r="C1099" s="2" t="inlineStr">
        <is>
          <t>261520</t>
        </is>
      </c>
      <c r="D1099" s="2" t="inlineStr">
        <is>
          <t>대량보유</t>
        </is>
      </c>
      <c r="E1099" s="3" t="inlineStr">
        <is>
          <t>박광목</t>
        </is>
      </c>
      <c r="F1099" s="3" t="inlineStr">
        <is>
          <t>특별관계자</t>
        </is>
      </c>
      <c r="G1099" s="3" t="inlineStr">
        <is>
          <t>주식매수선택권행사(-), 주식매수선택권행사(+)</t>
        </is>
      </c>
      <c r="H1099" s="6" t="inlineStr"/>
      <c r="I1099" s="6" t="n">
        <v>1960</v>
      </c>
      <c r="J1099" s="6" t="n">
        <v>34320</v>
      </c>
      <c r="K1099" s="16" t="n">
        <v>9</v>
      </c>
      <c r="L1099" s="2" t="inlineStr">
        <is>
          <t>20260312000400</t>
        </is>
      </c>
      <c r="M1099" s="8">
        <f>HYPERLINK("https://dart.fss.or.kr/dsaf001/main.do?rcpNo=20260312000400", "공시열람")</f>
        <v/>
      </c>
    </row>
    <row r="1100" ht="22" customHeight="1">
      <c r="A1100" s="2" t="inlineStr">
        <is>
          <t>2026-03-12</t>
        </is>
      </c>
      <c r="B1100" s="3" t="inlineStr">
        <is>
          <t>네오위즈</t>
        </is>
      </c>
      <c r="C1100" s="2" t="inlineStr">
        <is>
          <t>095660</t>
        </is>
      </c>
      <c r="D1100" s="2" t="inlineStr">
        <is>
          <t>대량보유</t>
        </is>
      </c>
      <c r="E1100" s="3" t="inlineStr">
        <is>
          <t>NorgesBank</t>
        </is>
      </c>
      <c r="F1100" s="3" t="inlineStr">
        <is>
          <t>특별관계자</t>
        </is>
      </c>
      <c r="G1100" s="3" t="inlineStr">
        <is>
          <t>신규보고(+)</t>
        </is>
      </c>
      <c r="H1100" s="15" t="n">
        <v>1133642</v>
      </c>
      <c r="I1100" s="6" t="inlineStr"/>
      <c r="J1100" s="6" t="n">
        <v>1133642</v>
      </c>
      <c r="K1100" s="16" t="n">
        <v>1</v>
      </c>
      <c r="L1100" s="2" t="inlineStr">
        <is>
          <t>20260312000340</t>
        </is>
      </c>
      <c r="M1100" s="8">
        <f>HYPERLINK("https://dart.fss.or.kr/dsaf001/main.do?rcpNo=20260312000340", "공시열람")</f>
        <v/>
      </c>
    </row>
    <row r="1101" ht="22" customHeight="1">
      <c r="A1101" s="2" t="inlineStr">
        <is>
          <t>2026-03-12</t>
        </is>
      </c>
      <c r="B1101" s="3" t="inlineStr">
        <is>
          <t>미원에스씨</t>
        </is>
      </c>
      <c r="C1101" s="2" t="inlineStr">
        <is>
          <t>268280</t>
        </is>
      </c>
      <c r="D1101" s="2" t="inlineStr">
        <is>
          <t>임원보고</t>
        </is>
      </c>
      <c r="E1101" s="3" t="inlineStr">
        <is>
          <t>-</t>
        </is>
      </c>
      <c r="F1101" s="3" t="inlineStr">
        <is>
          <t>-</t>
        </is>
      </c>
      <c r="G1101" s="3" t="inlineStr">
        <is>
          <t>-</t>
        </is>
      </c>
      <c r="H1101" s="6" t="inlineStr"/>
      <c r="I1101" s="6" t="inlineStr"/>
      <c r="J1101" s="6" t="inlineStr"/>
      <c r="K1101" s="16" t="n">
        <v>12</v>
      </c>
      <c r="L1101" s="2" t="inlineStr">
        <is>
          <t>20260312800355</t>
        </is>
      </c>
      <c r="M1101" s="8">
        <f>HYPERLINK("https://dart.fss.or.kr/dsaf001/main.do?rcpNo=20260312800355", "공시열람")</f>
        <v/>
      </c>
    </row>
    <row r="1102" ht="22" customHeight="1">
      <c r="A1102" s="2" t="inlineStr">
        <is>
          <t>2026-03-12</t>
        </is>
      </c>
      <c r="B1102" s="3" t="inlineStr">
        <is>
          <t>한국타이어앤테크놀로지</t>
        </is>
      </c>
      <c r="C1102" s="2" t="inlineStr">
        <is>
          <t>161390</t>
        </is>
      </c>
      <c r="D1102" s="2" t="inlineStr">
        <is>
          <t>대량보유</t>
        </is>
      </c>
      <c r="E1102" s="3" t="inlineStr">
        <is>
          <t>한국앤컴퍼니(주)</t>
        </is>
      </c>
      <c r="F1102" s="3" t="inlineStr">
        <is>
          <t>보고자</t>
        </is>
      </c>
      <c r="G1102" s="3" t="inlineStr">
        <is>
          <t>보유주식에 관한 계약의 변경</t>
        </is>
      </c>
      <c r="H1102" s="6" t="inlineStr"/>
      <c r="I1102" s="6" t="inlineStr"/>
      <c r="J1102" s="6" t="n">
        <v>53501364</v>
      </c>
      <c r="K1102" s="16" t="n">
        <v>15</v>
      </c>
      <c r="L1102" s="2" t="inlineStr">
        <is>
          <t>20260312000280</t>
        </is>
      </c>
      <c r="M1102" s="8">
        <f>HYPERLINK("https://dart.fss.or.kr/dsaf001/main.do?rcpNo=20260312000280", "공시열람")</f>
        <v/>
      </c>
    </row>
    <row r="1103" ht="22" customHeight="1">
      <c r="A1103" s="2" t="inlineStr">
        <is>
          <t>2026-03-12</t>
        </is>
      </c>
      <c r="B1103" s="3" t="inlineStr">
        <is>
          <t>동남합성</t>
        </is>
      </c>
      <c r="C1103" s="2" t="inlineStr">
        <is>
          <t>023450</t>
        </is>
      </c>
      <c r="D1103" s="2" t="inlineStr">
        <is>
          <t>임원보고</t>
        </is>
      </c>
      <c r="E1103" s="3" t="inlineStr">
        <is>
          <t>-</t>
        </is>
      </c>
      <c r="F1103" s="3" t="inlineStr">
        <is>
          <t>-</t>
        </is>
      </c>
      <c r="G1103" s="3" t="inlineStr">
        <is>
          <t>-</t>
        </is>
      </c>
      <c r="H1103" s="6" t="inlineStr"/>
      <c r="I1103" s="6" t="inlineStr"/>
      <c r="J1103" s="6" t="inlineStr"/>
      <c r="K1103" s="16" t="n">
        <v>12</v>
      </c>
      <c r="L1103" s="2" t="inlineStr">
        <is>
          <t>20260312800302</t>
        </is>
      </c>
      <c r="M1103" s="8">
        <f>HYPERLINK("https://dart.fss.or.kr/dsaf001/main.do?rcpNo=20260312800302", "공시열람")</f>
        <v/>
      </c>
    </row>
    <row r="1104" ht="22" customHeight="1">
      <c r="A1104" s="2" t="inlineStr">
        <is>
          <t>2026-03-12</t>
        </is>
      </c>
      <c r="B1104" s="3" t="inlineStr">
        <is>
          <t>케이뱅크</t>
        </is>
      </c>
      <c r="C1104" s="2" t="inlineStr">
        <is>
          <t>279570</t>
        </is>
      </c>
      <c r="D1104" s="2" t="inlineStr">
        <is>
          <t>대량보유</t>
        </is>
      </c>
      <c r="E1104" s="3" t="inlineStr">
        <is>
          <t>KHANSSL.P.</t>
        </is>
      </c>
      <c r="F1104" s="3" t="inlineStr">
        <is>
          <t>특별관계자</t>
        </is>
      </c>
      <c r="G1104" s="3" t="inlineStr">
        <is>
          <t>신규상장(+)</t>
        </is>
      </c>
      <c r="H1104" s="15" t="n">
        <v>21761507</v>
      </c>
      <c r="I1104" s="6" t="inlineStr"/>
      <c r="J1104" s="6" t="n">
        <v>21761507</v>
      </c>
      <c r="K1104" s="16" t="n">
        <v>2</v>
      </c>
      <c r="L1104" s="2" t="inlineStr">
        <is>
          <t>20260312000263</t>
        </is>
      </c>
      <c r="M1104" s="8">
        <f>HYPERLINK("https://dart.fss.or.kr/dsaf001/main.do?rcpNo=20260312000263", "공시열람")</f>
        <v/>
      </c>
    </row>
    <row r="1105" ht="22" customHeight="1">
      <c r="A1105" s="2" t="inlineStr">
        <is>
          <t>2026-03-12</t>
        </is>
      </c>
      <c r="B1105" s="3" t="inlineStr">
        <is>
          <t>DMS</t>
        </is>
      </c>
      <c r="C1105" s="2" t="inlineStr">
        <is>
          <t>068790</t>
        </is>
      </c>
      <c r="D1105" s="2" t="inlineStr">
        <is>
          <t>대량보유</t>
        </is>
      </c>
      <c r="E1105" s="3" t="inlineStr">
        <is>
          <t>박용석</t>
        </is>
      </c>
      <c r="F1105" s="3" t="inlineStr">
        <is>
          <t>특별관계자</t>
        </is>
      </c>
      <c r="G1105" s="3" t="inlineStr">
        <is>
          <t>장내매수(+)</t>
        </is>
      </c>
      <c r="H1105" s="15" t="n">
        <v>133500</v>
      </c>
      <c r="I1105" s="6" t="n">
        <v>7503</v>
      </c>
      <c r="J1105" s="6" t="n">
        <v>5453500</v>
      </c>
      <c r="K1105" s="16" t="n">
        <v>4</v>
      </c>
      <c r="L1105" s="2" t="inlineStr">
        <is>
          <t>20260312000218</t>
        </is>
      </c>
      <c r="M1105" s="8">
        <f>HYPERLINK("https://dart.fss.or.kr/dsaf001/main.do?rcpNo=20260312000218", "공시열람")</f>
        <v/>
      </c>
    </row>
    <row r="1106" ht="22" customHeight="1">
      <c r="A1106" s="2" t="inlineStr">
        <is>
          <t>2026-03-12</t>
        </is>
      </c>
      <c r="B1106" s="3" t="inlineStr">
        <is>
          <t>DMS</t>
        </is>
      </c>
      <c r="C1106" s="2" t="inlineStr">
        <is>
          <t>068790</t>
        </is>
      </c>
      <c r="D1106" s="2" t="inlineStr">
        <is>
          <t>대량보유</t>
        </is>
      </c>
      <c r="E1106" s="3" t="inlineStr">
        <is>
          <t>손태봉</t>
        </is>
      </c>
      <c r="F1106" s="3" t="inlineStr">
        <is>
          <t>특별관계자</t>
        </is>
      </c>
      <c r="G1106" s="3" t="inlineStr">
        <is>
          <t>임원퇴임(-)</t>
        </is>
      </c>
      <c r="H1106" s="17" t="n">
        <v>-15000</v>
      </c>
      <c r="I1106" s="6" t="inlineStr"/>
      <c r="J1106" s="6" t="inlineStr"/>
      <c r="K1106" s="16" t="n">
        <v>4</v>
      </c>
      <c r="L1106" s="2" t="inlineStr">
        <is>
          <t>20260312000218</t>
        </is>
      </c>
      <c r="M1106" s="8">
        <f>HYPERLINK("https://dart.fss.or.kr/dsaf001/main.do?rcpNo=20260312000218", "공시열람")</f>
        <v/>
      </c>
    </row>
    <row r="1107" ht="22" customHeight="1">
      <c r="A1107" s="2" t="inlineStr">
        <is>
          <t>2026-03-12</t>
        </is>
      </c>
      <c r="B1107" s="3" t="inlineStr">
        <is>
          <t>서플러스글로벌</t>
        </is>
      </c>
      <c r="C1107" s="2" t="inlineStr">
        <is>
          <t>140070</t>
        </is>
      </c>
      <c r="D1107" s="2" t="inlineStr">
        <is>
          <t>대량보유</t>
        </is>
      </c>
      <c r="E1107" s="3" t="inlineStr">
        <is>
          <t>김정웅</t>
        </is>
      </c>
      <c r="F1107" s="3" t="inlineStr">
        <is>
          <t>보고자</t>
        </is>
      </c>
      <c r="G1107" s="3" t="inlineStr">
        <is>
          <t>주식담보대출 변경</t>
        </is>
      </c>
      <c r="H1107" s="6" t="inlineStr"/>
      <c r="I1107" s="6" t="inlineStr"/>
      <c r="J1107" s="6" t="n">
        <v>20975116</v>
      </c>
      <c r="K1107" s="16" t="n">
        <v>9</v>
      </c>
      <c r="L1107" s="2" t="inlineStr">
        <is>
          <t>20260312000154</t>
        </is>
      </c>
      <c r="M1107" s="8">
        <f>HYPERLINK("https://dart.fss.or.kr/dsaf001/main.do?rcpNo=20260312000154", "공시열람")</f>
        <v/>
      </c>
    </row>
    <row r="1108" ht="22" customHeight="1">
      <c r="A1108" s="2" t="inlineStr">
        <is>
          <t>2026-03-12</t>
        </is>
      </c>
      <c r="B1108" s="3" t="inlineStr">
        <is>
          <t>이노테나</t>
        </is>
      </c>
      <c r="C1108" s="2" t="inlineStr">
        <is>
          <t>333050</t>
        </is>
      </c>
      <c r="D1108" s="2" t="inlineStr">
        <is>
          <t>대량보유</t>
        </is>
      </c>
      <c r="E1108" s="3" t="inlineStr">
        <is>
          <t>김현지</t>
        </is>
      </c>
      <c r="F1108" s="3" t="inlineStr">
        <is>
          <t>특별관계자</t>
        </is>
      </c>
      <c r="G1108" s="3" t="inlineStr">
        <is>
          <t>장내매수(+)</t>
        </is>
      </c>
      <c r="H1108" s="15" t="n">
        <v>100000</v>
      </c>
      <c r="I1108" s="6" t="n">
        <v>1087</v>
      </c>
      <c r="J1108" s="6" t="n">
        <v>100000</v>
      </c>
      <c r="K1108" s="16" t="n">
        <v>6</v>
      </c>
      <c r="L1108" s="2" t="inlineStr">
        <is>
          <t>20260312000073</t>
        </is>
      </c>
      <c r="M1108" s="8">
        <f>HYPERLINK("https://dart.fss.or.kr/dsaf001/main.do?rcpNo=20260312000073", "공시열람")</f>
        <v/>
      </c>
    </row>
    <row r="1109" ht="22" customHeight="1">
      <c r="A1109" s="2" t="inlineStr">
        <is>
          <t>2026-03-12</t>
        </is>
      </c>
      <c r="B1109" s="3" t="inlineStr">
        <is>
          <t>이노테나</t>
        </is>
      </c>
      <c r="C1109" s="2" t="inlineStr">
        <is>
          <t>333050</t>
        </is>
      </c>
      <c r="D1109" s="2" t="inlineStr">
        <is>
          <t>대량보유</t>
        </is>
      </c>
      <c r="E1109" s="3" t="inlineStr">
        <is>
          <t>김성호</t>
        </is>
      </c>
      <c r="F1109" s="3" t="inlineStr">
        <is>
          <t>특별관계자</t>
        </is>
      </c>
      <c r="G1109" s="3" t="inlineStr">
        <is>
          <t>장내매수(+)</t>
        </is>
      </c>
      <c r="H1109" s="15" t="n">
        <v>100000</v>
      </c>
      <c r="I1109" s="6" t="n">
        <v>1089</v>
      </c>
      <c r="J1109" s="6" t="n">
        <v>100000</v>
      </c>
      <c r="K1109" s="16" t="n">
        <v>6</v>
      </c>
      <c r="L1109" s="2" t="inlineStr">
        <is>
          <t>20260312000073</t>
        </is>
      </c>
      <c r="M1109" s="8">
        <f>HYPERLINK("https://dart.fss.or.kr/dsaf001/main.do?rcpNo=20260312000073", "공시열람")</f>
        <v/>
      </c>
    </row>
    <row r="1110" ht="22" customHeight="1">
      <c r="A1110" s="2" t="inlineStr">
        <is>
          <t>2026-03-12</t>
        </is>
      </c>
      <c r="B1110" s="3" t="inlineStr">
        <is>
          <t>지어소프트</t>
        </is>
      </c>
      <c r="C1110" s="2" t="inlineStr">
        <is>
          <t>051160</t>
        </is>
      </c>
      <c r="D1110" s="2" t="inlineStr">
        <is>
          <t>대량보유</t>
        </is>
      </c>
      <c r="E1110" s="3" t="inlineStr">
        <is>
          <t>MiriCapitalManagementLLC</t>
        </is>
      </c>
      <c r="F1110" s="3" t="inlineStr">
        <is>
          <t>특별관계자</t>
        </is>
      </c>
      <c r="G1110" s="3" t="inlineStr">
        <is>
          <t>장내매수(+)</t>
        </is>
      </c>
      <c r="H1110" s="15" t="n">
        <v>157000</v>
      </c>
      <c r="I1110" s="6" t="n">
        <v>7184</v>
      </c>
      <c r="J1110" s="6" t="n">
        <v>950900</v>
      </c>
      <c r="K1110" s="16" t="n">
        <v>2</v>
      </c>
      <c r="L1110" s="2" t="inlineStr">
        <is>
          <t>20260312000064</t>
        </is>
      </c>
      <c r="M1110" s="8">
        <f>HYPERLINK("https://dart.fss.or.kr/dsaf001/main.do?rcpNo=20260312000064", "공시열람")</f>
        <v/>
      </c>
    </row>
    <row r="1111" ht="22" customHeight="1">
      <c r="A1111" s="2" t="inlineStr">
        <is>
          <t>2026-03-12</t>
        </is>
      </c>
      <c r="B1111" s="3" t="inlineStr">
        <is>
          <t>대한해운</t>
        </is>
      </c>
      <c r="C1111" s="2" t="inlineStr">
        <is>
          <t>005880</t>
        </is>
      </c>
      <c r="D1111" s="2" t="inlineStr">
        <is>
          <t>대량보유</t>
        </is>
      </c>
      <c r="E1111" s="3" t="inlineStr">
        <is>
          <t>에스엠상선(주)</t>
        </is>
      </c>
      <c r="F1111" s="3" t="inlineStr">
        <is>
          <t>보고자</t>
        </is>
      </c>
      <c r="G1111" s="3" t="inlineStr">
        <is>
          <t>- 특별관계자 (주)우방의 보유 주식에 관한 주식담보대출 만기 연장</t>
        </is>
      </c>
      <c r="H1111" s="6" t="inlineStr"/>
      <c r="I1111" s="6" t="inlineStr"/>
      <c r="J1111" s="6" t="n">
        <v>157528554</v>
      </c>
      <c r="K1111" s="16" t="n">
        <v>2</v>
      </c>
      <c r="L1111" s="2" t="inlineStr">
        <is>
          <t>20260312000017</t>
        </is>
      </c>
      <c r="M1111" s="8">
        <f>HYPERLINK("https://dart.fss.or.kr/dsaf001/main.do?rcpNo=20260312000017", "공시열람")</f>
        <v/>
      </c>
    </row>
    <row r="1112" ht="22" customHeight="1">
      <c r="A1112" s="2" t="inlineStr">
        <is>
          <t>2026-03-12</t>
        </is>
      </c>
      <c r="B1112" s="3" t="inlineStr">
        <is>
          <t>모아데이타</t>
        </is>
      </c>
      <c r="C1112" s="2" t="inlineStr">
        <is>
          <t>288980</t>
        </is>
      </c>
      <c r="D1112" s="2" t="inlineStr">
        <is>
          <t>대량보유</t>
        </is>
      </c>
      <c r="E1112" s="3" t="inlineStr">
        <is>
          <t>상상콘텐츠투자조합</t>
        </is>
      </c>
      <c r="F1112" s="3" t="inlineStr">
        <is>
          <t>특별관계자</t>
        </is>
      </c>
      <c r="G1112" s="3" t="inlineStr">
        <is>
          <t>CB인수(+)</t>
        </is>
      </c>
      <c r="H1112" s="15" t="n">
        <v>1449275</v>
      </c>
      <c r="I1112" s="6" t="n">
        <v>690</v>
      </c>
      <c r="J1112" s="6" t="n">
        <v>3374202</v>
      </c>
      <c r="K1112" s="16" t="n">
        <v>2</v>
      </c>
      <c r="L1112" s="2" t="inlineStr">
        <is>
          <t>20260311004651</t>
        </is>
      </c>
      <c r="M1112" s="8">
        <f>HYPERLINK("https://dart.fss.or.kr/dsaf001/main.do?rcpNo=20260311004651", "공시열람")</f>
        <v/>
      </c>
    </row>
    <row r="1113" ht="22" customHeight="1">
      <c r="A1113" s="2" t="inlineStr">
        <is>
          <t>2026-03-12</t>
        </is>
      </c>
      <c r="B1113" s="3" t="inlineStr">
        <is>
          <t>모아데이타</t>
        </is>
      </c>
      <c r="C1113" s="2" t="inlineStr">
        <is>
          <t>288980</t>
        </is>
      </c>
      <c r="D1113" s="2" t="inlineStr">
        <is>
          <t>대량보유</t>
        </is>
      </c>
      <c r="E1113" s="3" t="inlineStr">
        <is>
          <t>넥스트지지역혁신산업펀드</t>
        </is>
      </c>
      <c r="F1113" s="3" t="inlineStr">
        <is>
          <t>특별관계자</t>
        </is>
      </c>
      <c r="G1113" s="3" t="inlineStr">
        <is>
          <t>BW인수(+)</t>
        </is>
      </c>
      <c r="H1113" s="15" t="n">
        <v>1449275</v>
      </c>
      <c r="I1113" s="6" t="n">
        <v>690</v>
      </c>
      <c r="J1113" s="6" t="n">
        <v>1449275</v>
      </c>
      <c r="K1113" s="16" t="n">
        <v>2</v>
      </c>
      <c r="L1113" s="2" t="inlineStr">
        <is>
          <t>20260311004651</t>
        </is>
      </c>
      <c r="M1113" s="8">
        <f>HYPERLINK("https://dart.fss.or.kr/dsaf001/main.do?rcpNo=20260311004651", "공시열람")</f>
        <v/>
      </c>
    </row>
    <row r="1114" ht="22" customHeight="1">
      <c r="A1114" s="2" t="inlineStr">
        <is>
          <t>2026-03-13</t>
        </is>
      </c>
      <c r="B1114" s="3" t="inlineStr">
        <is>
          <t>대호에이엘</t>
        </is>
      </c>
      <c r="C1114" s="2" t="inlineStr">
        <is>
          <t>069460</t>
        </is>
      </c>
      <c r="D1114" s="2" t="inlineStr">
        <is>
          <t>대량보유</t>
        </is>
      </c>
      <c r="E1114" s="3" t="inlineStr">
        <is>
          <t>대호신기술투자조합</t>
        </is>
      </c>
      <c r="F1114" s="3" t="inlineStr">
        <is>
          <t>특별관계자</t>
        </is>
      </c>
      <c r="G1114" s="3" t="inlineStr">
        <is>
          <t>장외매수(+)</t>
        </is>
      </c>
      <c r="H1114" s="15" t="n">
        <v>12000000</v>
      </c>
      <c r="I1114" s="6" t="n">
        <v>1000</v>
      </c>
      <c r="J1114" s="6" t="n">
        <v>12000000</v>
      </c>
      <c r="K1114" s="16" t="n">
        <v>13.78</v>
      </c>
      <c r="L1114" s="2" t="inlineStr">
        <is>
          <t>20260313001356</t>
        </is>
      </c>
      <c r="M1114" s="8">
        <f>HYPERLINK("https://dart.fss.or.kr/dsaf001/main.do?rcpNo=20260313001356", "공시열람")</f>
        <v/>
      </c>
    </row>
    <row r="1115" ht="22" customHeight="1">
      <c r="A1115" s="2" t="inlineStr">
        <is>
          <t>2026-03-13</t>
        </is>
      </c>
      <c r="B1115" s="3" t="inlineStr">
        <is>
          <t>케이엔알시스템</t>
        </is>
      </c>
      <c r="C1115" s="2" t="inlineStr">
        <is>
          <t>199430</t>
        </is>
      </c>
      <c r="D1115" s="2" t="inlineStr">
        <is>
          <t>대량보유</t>
        </is>
      </c>
      <c r="E1115" s="3" t="inlineStr">
        <is>
          <t>김성규</t>
        </is>
      </c>
      <c r="F1115" s="3" t="inlineStr">
        <is>
          <t>특별관계자</t>
        </is>
      </c>
      <c r="G1115" s="3" t="inlineStr">
        <is>
          <t>장내매도(-)</t>
        </is>
      </c>
      <c r="H1115" s="17" t="n">
        <v>-10700</v>
      </c>
      <c r="I1115" s="6" t="n">
        <v>31603</v>
      </c>
      <c r="J1115" s="6" t="n">
        <v>1089</v>
      </c>
      <c r="K1115" s="16" t="n">
        <v>17</v>
      </c>
      <c r="L1115" s="2" t="inlineStr">
        <is>
          <t>20260313001350</t>
        </is>
      </c>
      <c r="M1115" s="8">
        <f>HYPERLINK("https://dart.fss.or.kr/dsaf001/main.do?rcpNo=20260313001350", "공시열람")</f>
        <v/>
      </c>
    </row>
    <row r="1116" ht="22" customHeight="1">
      <c r="A1116" s="2" t="inlineStr">
        <is>
          <t>2026-03-13</t>
        </is>
      </c>
      <c r="B1116" s="3" t="inlineStr">
        <is>
          <t>케이엔알시스템</t>
        </is>
      </c>
      <c r="C1116" s="2" t="inlineStr">
        <is>
          <t>199430</t>
        </is>
      </c>
      <c r="D1116" s="2" t="inlineStr">
        <is>
          <t>대량보유</t>
        </is>
      </c>
      <c r="E1116" s="3" t="inlineStr">
        <is>
          <t>이세라</t>
        </is>
      </c>
      <c r="F1116" s="3" t="inlineStr">
        <is>
          <t>특별관계자</t>
        </is>
      </c>
      <c r="G1116" s="3" t="inlineStr">
        <is>
          <t>장내매도(-)</t>
        </is>
      </c>
      <c r="H1116" s="17" t="n">
        <v>-5000</v>
      </c>
      <c r="I1116" s="6" t="n">
        <v>40200</v>
      </c>
      <c r="J1116" s="6" t="n">
        <v>36050</v>
      </c>
      <c r="K1116" s="16" t="n">
        <v>17</v>
      </c>
      <c r="L1116" s="2" t="inlineStr">
        <is>
          <t>20260313001350</t>
        </is>
      </c>
      <c r="M1116" s="8">
        <f>HYPERLINK("https://dart.fss.or.kr/dsaf001/main.do?rcpNo=20260313001350", "공시열람")</f>
        <v/>
      </c>
    </row>
    <row r="1117" ht="22" customHeight="1">
      <c r="A1117" s="2" t="inlineStr">
        <is>
          <t>2026-03-13</t>
        </is>
      </c>
      <c r="B1117" s="3" t="inlineStr">
        <is>
          <t>케이엔알시스템</t>
        </is>
      </c>
      <c r="C1117" s="2" t="inlineStr">
        <is>
          <t>199430</t>
        </is>
      </c>
      <c r="D1117" s="2" t="inlineStr">
        <is>
          <t>대량보유</t>
        </is>
      </c>
      <c r="E1117" s="3" t="inlineStr">
        <is>
          <t>이규영</t>
        </is>
      </c>
      <c r="F1117" s="3" t="inlineStr">
        <is>
          <t>특별관계자</t>
        </is>
      </c>
      <c r="G1117" s="3" t="inlineStr">
        <is>
          <t>장내매도(-)</t>
        </is>
      </c>
      <c r="H1117" s="17" t="n">
        <v>-3000</v>
      </c>
      <c r="I1117" s="6" t="n">
        <v>40000</v>
      </c>
      <c r="J1117" s="6" t="n">
        <v>5000</v>
      </c>
      <c r="K1117" s="16" t="n">
        <v>17</v>
      </c>
      <c r="L1117" s="2" t="inlineStr">
        <is>
          <t>20260313001350</t>
        </is>
      </c>
      <c r="M1117" s="8">
        <f>HYPERLINK("https://dart.fss.or.kr/dsaf001/main.do?rcpNo=20260313001350", "공시열람")</f>
        <v/>
      </c>
    </row>
    <row r="1118" ht="22" customHeight="1">
      <c r="A1118" s="2" t="inlineStr">
        <is>
          <t>2026-03-13</t>
        </is>
      </c>
      <c r="B1118" s="3" t="inlineStr">
        <is>
          <t>케이엔알시스템</t>
        </is>
      </c>
      <c r="C1118" s="2" t="inlineStr">
        <is>
          <t>199430</t>
        </is>
      </c>
      <c r="D1118" s="2" t="inlineStr">
        <is>
          <t>대량보유</t>
        </is>
      </c>
      <c r="E1118" s="3" t="inlineStr">
        <is>
          <t>신건식</t>
        </is>
      </c>
      <c r="F1118" s="3" t="inlineStr">
        <is>
          <t>특별관계자</t>
        </is>
      </c>
      <c r="G1118" s="3" t="inlineStr">
        <is>
          <t>주식매수선택권행사(-), 주식매수선택권행사(+), 임원퇴임(-)</t>
        </is>
      </c>
      <c r="H1118" s="17" t="n">
        <v>-88000</v>
      </c>
      <c r="I1118" s="6" t="n">
        <v>6600</v>
      </c>
      <c r="J1118" s="6" t="n">
        <v>78000</v>
      </c>
      <c r="K1118" s="16" t="n">
        <v>17</v>
      </c>
      <c r="L1118" s="2" t="inlineStr">
        <is>
          <t>20260313001350</t>
        </is>
      </c>
      <c r="M1118" s="8">
        <f>HYPERLINK("https://dart.fss.or.kr/dsaf001/main.do?rcpNo=20260313001350", "공시열람")</f>
        <v/>
      </c>
    </row>
    <row r="1119" ht="22" customHeight="1">
      <c r="A1119" s="2" t="inlineStr">
        <is>
          <t>2026-03-13</t>
        </is>
      </c>
      <c r="B1119" s="3" t="inlineStr">
        <is>
          <t>케이엔알시스템</t>
        </is>
      </c>
      <c r="C1119" s="2" t="inlineStr">
        <is>
          <t>199430</t>
        </is>
      </c>
      <c r="D1119" s="2" t="inlineStr">
        <is>
          <t>대량보유</t>
        </is>
      </c>
      <c r="E1119" s="3" t="inlineStr">
        <is>
          <t>김진현</t>
        </is>
      </c>
      <c r="F1119" s="3" t="inlineStr">
        <is>
          <t>특별관계자</t>
        </is>
      </c>
      <c r="G1119" s="3" t="inlineStr">
        <is>
          <t>주식매수선택권행사(-), 주식매수선택권행사(+)</t>
        </is>
      </c>
      <c r="H1119" s="6" t="inlineStr"/>
      <c r="I1119" s="6" t="n">
        <v>6600</v>
      </c>
      <c r="J1119" s="6" t="n">
        <v>130000</v>
      </c>
      <c r="K1119" s="16" t="n">
        <v>17</v>
      </c>
      <c r="L1119" s="2" t="inlineStr">
        <is>
          <t>20260313001350</t>
        </is>
      </c>
      <c r="M1119" s="8">
        <f>HYPERLINK("https://dart.fss.or.kr/dsaf001/main.do?rcpNo=20260313001350", "공시열람")</f>
        <v/>
      </c>
    </row>
    <row r="1120" ht="22" customHeight="1">
      <c r="A1120" s="2" t="inlineStr">
        <is>
          <t>2026-03-13</t>
        </is>
      </c>
      <c r="B1120" s="3" t="inlineStr">
        <is>
          <t>케이엔알시스템</t>
        </is>
      </c>
      <c r="C1120" s="2" t="inlineStr">
        <is>
          <t>199430</t>
        </is>
      </c>
      <c r="D1120" s="2" t="inlineStr">
        <is>
          <t>대량보유</t>
        </is>
      </c>
      <c r="E1120" s="3" t="inlineStr">
        <is>
          <t>김종수</t>
        </is>
      </c>
      <c r="F1120" s="3" t="inlineStr">
        <is>
          <t>특별관계자</t>
        </is>
      </c>
      <c r="G1120" s="3" t="inlineStr">
        <is>
          <t>주식매수선택권행사(-), 주식매수선택권행사(+)</t>
        </is>
      </c>
      <c r="H1120" s="6" t="inlineStr"/>
      <c r="I1120" s="6" t="n">
        <v>6600</v>
      </c>
      <c r="J1120" s="6" t="n">
        <v>13000</v>
      </c>
      <c r="K1120" s="16" t="n">
        <v>17</v>
      </c>
      <c r="L1120" s="2" t="inlineStr">
        <is>
          <t>20260313001350</t>
        </is>
      </c>
      <c r="M1120" s="8">
        <f>HYPERLINK("https://dart.fss.or.kr/dsaf001/main.do?rcpNo=20260313001350", "공시열람")</f>
        <v/>
      </c>
    </row>
    <row r="1121" ht="22" customHeight="1">
      <c r="A1121" s="2" t="inlineStr">
        <is>
          <t>2026-03-13</t>
        </is>
      </c>
      <c r="B1121" s="3" t="inlineStr">
        <is>
          <t>케이엔알시스템</t>
        </is>
      </c>
      <c r="C1121" s="2" t="inlineStr">
        <is>
          <t>199430</t>
        </is>
      </c>
      <c r="D1121" s="2" t="inlineStr">
        <is>
          <t>대량보유</t>
        </is>
      </c>
      <c r="E1121" s="3" t="inlineStr">
        <is>
          <t>이정훈</t>
        </is>
      </c>
      <c r="F1121" s="3" t="inlineStr">
        <is>
          <t>특별관계자</t>
        </is>
      </c>
      <c r="G1121" s="3" t="inlineStr">
        <is>
          <t>주식매수선택권행사(-), 주식매수선택권행사(+)</t>
        </is>
      </c>
      <c r="H1121" s="6" t="inlineStr"/>
      <c r="I1121" s="6" t="n">
        <v>6600</v>
      </c>
      <c r="J1121" s="6" t="n">
        <v>12000</v>
      </c>
      <c r="K1121" s="16" t="n">
        <v>17</v>
      </c>
      <c r="L1121" s="2" t="inlineStr">
        <is>
          <t>20260313001350</t>
        </is>
      </c>
      <c r="M1121" s="8">
        <f>HYPERLINK("https://dart.fss.or.kr/dsaf001/main.do?rcpNo=20260313001350", "공시열람")</f>
        <v/>
      </c>
    </row>
    <row r="1122" ht="22" customHeight="1">
      <c r="A1122" s="2" t="inlineStr">
        <is>
          <t>2026-03-13</t>
        </is>
      </c>
      <c r="B1122" s="3" t="inlineStr">
        <is>
          <t>케이엔알시스템</t>
        </is>
      </c>
      <c r="C1122" s="2" t="inlineStr">
        <is>
          <t>199430</t>
        </is>
      </c>
      <c r="D1122" s="2" t="inlineStr">
        <is>
          <t>대량보유</t>
        </is>
      </c>
      <c r="E1122" s="3" t="inlineStr">
        <is>
          <t>문정환</t>
        </is>
      </c>
      <c r="F1122" s="3" t="inlineStr">
        <is>
          <t>특별관계자</t>
        </is>
      </c>
      <c r="G1122" s="3" t="inlineStr">
        <is>
          <t>주식매수선택권행사(-), 주식매수선택권행사(+)</t>
        </is>
      </c>
      <c r="H1122" s="6" t="inlineStr"/>
      <c r="I1122" s="6" t="n">
        <v>6600</v>
      </c>
      <c r="J1122" s="6" t="n">
        <v>22500</v>
      </c>
      <c r="K1122" s="16" t="n">
        <v>17</v>
      </c>
      <c r="L1122" s="2" t="inlineStr">
        <is>
          <t>20260313001350</t>
        </is>
      </c>
      <c r="M1122" s="8">
        <f>HYPERLINK("https://dart.fss.or.kr/dsaf001/main.do?rcpNo=20260313001350", "공시열람")</f>
        <v/>
      </c>
    </row>
    <row r="1123" ht="22" customHeight="1">
      <c r="A1123" s="2" t="inlineStr">
        <is>
          <t>2026-03-13</t>
        </is>
      </c>
      <c r="B1123" s="3" t="inlineStr">
        <is>
          <t>케이엔알시스템</t>
        </is>
      </c>
      <c r="C1123" s="2" t="inlineStr">
        <is>
          <t>199430</t>
        </is>
      </c>
      <c r="D1123" s="2" t="inlineStr">
        <is>
          <t>대량보유</t>
        </is>
      </c>
      <c r="E1123" s="3" t="inlineStr">
        <is>
          <t>조택성</t>
        </is>
      </c>
      <c r="F1123" s="3" t="inlineStr">
        <is>
          <t>특별관계자</t>
        </is>
      </c>
      <c r="G1123" s="3" t="inlineStr">
        <is>
          <t>임원퇴임(-)</t>
        </is>
      </c>
      <c r="H1123" s="17" t="n">
        <v>-10203</v>
      </c>
      <c r="I1123" s="6" t="n">
        <v>25840</v>
      </c>
      <c r="J1123" s="6" t="n">
        <v>65782</v>
      </c>
      <c r="K1123" s="16" t="n">
        <v>17</v>
      </c>
      <c r="L1123" s="2" t="inlineStr">
        <is>
          <t>20260313001350</t>
        </is>
      </c>
      <c r="M1123" s="8">
        <f>HYPERLINK("https://dart.fss.or.kr/dsaf001/main.do?rcpNo=20260313001350", "공시열람")</f>
        <v/>
      </c>
    </row>
    <row r="1124" ht="22" customHeight="1">
      <c r="A1124" s="2" t="inlineStr">
        <is>
          <t>2026-03-13</t>
        </is>
      </c>
      <c r="B1124" s="3" t="inlineStr">
        <is>
          <t>성호전자</t>
        </is>
      </c>
      <c r="C1124" s="2" t="inlineStr">
        <is>
          <t>043260</t>
        </is>
      </c>
      <c r="D1124" s="2" t="inlineStr">
        <is>
          <t>대량보유</t>
        </is>
      </c>
      <c r="E1124" s="3" t="inlineStr">
        <is>
          <t>서룡전자(주)</t>
        </is>
      </c>
      <c r="F1124" s="3" t="inlineStr">
        <is>
          <t>보고자</t>
        </is>
      </c>
      <c r="G1124" s="3" t="inlineStr">
        <is>
          <t>주식 질권설정 담보 계약 및 질권해지</t>
        </is>
      </c>
      <c r="H1124" s="6" t="inlineStr"/>
      <c r="I1124" s="6" t="inlineStr"/>
      <c r="J1124" s="6" t="n">
        <v>57403542</v>
      </c>
      <c r="K1124" s="16" t="n">
        <v>16</v>
      </c>
      <c r="L1124" s="2" t="inlineStr">
        <is>
          <t>20260313001346</t>
        </is>
      </c>
      <c r="M1124" s="8">
        <f>HYPERLINK("https://dart.fss.or.kr/dsaf001/main.do?rcpNo=20260313001346", "공시열람")</f>
        <v/>
      </c>
    </row>
    <row r="1125" ht="22" customHeight="1">
      <c r="A1125" s="2" t="inlineStr">
        <is>
          <t>2026-03-13</t>
        </is>
      </c>
      <c r="B1125" s="3" t="inlineStr">
        <is>
          <t>한빛레이저</t>
        </is>
      </c>
      <c r="C1125" s="2" t="inlineStr">
        <is>
          <t>452190</t>
        </is>
      </c>
      <c r="D1125" s="2" t="inlineStr">
        <is>
          <t>대량보유</t>
        </is>
      </c>
      <c r="E1125" s="3" t="inlineStr">
        <is>
          <t>최병규</t>
        </is>
      </c>
      <c r="F1125" s="3" t="inlineStr">
        <is>
          <t>특별관계자</t>
        </is>
      </c>
      <c r="G1125" s="3" t="inlineStr">
        <is>
          <t>장내매도(-), 주식매수선택권행사(-), 주식매수선택권행사(+)</t>
        </is>
      </c>
      <c r="H1125" s="17" t="n">
        <v>-70000</v>
      </c>
      <c r="I1125" s="6" t="n">
        <v>1080</v>
      </c>
      <c r="J1125" s="6" t="n">
        <v>384500</v>
      </c>
      <c r="K1125" s="16" t="n">
        <v>24</v>
      </c>
      <c r="L1125" s="2" t="inlineStr">
        <is>
          <t>20260313001327</t>
        </is>
      </c>
      <c r="M1125" s="8">
        <f>HYPERLINK("https://dart.fss.or.kr/dsaf001/main.do?rcpNo=20260313001327", "공시열람")</f>
        <v/>
      </c>
    </row>
    <row r="1126" ht="22" customHeight="1">
      <c r="A1126" s="2" t="inlineStr">
        <is>
          <t>2026-03-13</t>
        </is>
      </c>
      <c r="B1126" s="3" t="inlineStr">
        <is>
          <t>한빛레이저</t>
        </is>
      </c>
      <c r="C1126" s="2" t="inlineStr">
        <is>
          <t>452190</t>
        </is>
      </c>
      <c r="D1126" s="2" t="inlineStr">
        <is>
          <t>대량보유</t>
        </is>
      </c>
      <c r="E1126" s="3" t="inlineStr">
        <is>
          <t>장주환</t>
        </is>
      </c>
      <c r="F1126" s="3" t="inlineStr">
        <is>
          <t>특별관계자</t>
        </is>
      </c>
      <c r="G1126" s="3" t="inlineStr">
        <is>
          <t>장내매도(-), 주식매수선택권행사(-), 주식매수선택권행사(+)</t>
        </is>
      </c>
      <c r="H1126" s="17" t="n">
        <v>-40000</v>
      </c>
      <c r="I1126" s="6" t="n">
        <v>1284</v>
      </c>
      <c r="J1126" s="6" t="n">
        <v>100000</v>
      </c>
      <c r="K1126" s="16" t="n">
        <v>24</v>
      </c>
      <c r="L1126" s="2" t="inlineStr">
        <is>
          <t>20260313001327</t>
        </is>
      </c>
      <c r="M1126" s="8">
        <f>HYPERLINK("https://dart.fss.or.kr/dsaf001/main.do?rcpNo=20260313001327", "공시열람")</f>
        <v/>
      </c>
    </row>
    <row r="1127" ht="22" customHeight="1">
      <c r="A1127" s="2" t="inlineStr">
        <is>
          <t>2026-03-13</t>
        </is>
      </c>
      <c r="B1127" s="3" t="inlineStr">
        <is>
          <t>한빛레이저</t>
        </is>
      </c>
      <c r="C1127" s="2" t="inlineStr">
        <is>
          <t>452190</t>
        </is>
      </c>
      <c r="D1127" s="2" t="inlineStr">
        <is>
          <t>대량보유</t>
        </is>
      </c>
      <c r="E1127" s="3" t="inlineStr">
        <is>
          <t>조영훈</t>
        </is>
      </c>
      <c r="F1127" s="3" t="inlineStr">
        <is>
          <t>특별관계자</t>
        </is>
      </c>
      <c r="G1127" s="3" t="inlineStr">
        <is>
          <t>주식매수선택권행사(-), 주식매수선택권행사(+)</t>
        </is>
      </c>
      <c r="H1127" s="6" t="inlineStr"/>
      <c r="I1127" s="6" t="n">
        <v>440</v>
      </c>
      <c r="J1127" s="6" t="n">
        <v>100000</v>
      </c>
      <c r="K1127" s="16" t="n">
        <v>24</v>
      </c>
      <c r="L1127" s="2" t="inlineStr">
        <is>
          <t>20260313001327</t>
        </is>
      </c>
      <c r="M1127" s="8">
        <f>HYPERLINK("https://dart.fss.or.kr/dsaf001/main.do?rcpNo=20260313001327", "공시열람")</f>
        <v/>
      </c>
    </row>
    <row r="1128" ht="22" customHeight="1">
      <c r="A1128" s="2" t="inlineStr">
        <is>
          <t>2026-03-13</t>
        </is>
      </c>
      <c r="B1128" s="3" t="inlineStr">
        <is>
          <t>한빛레이저</t>
        </is>
      </c>
      <c r="C1128" s="2" t="inlineStr">
        <is>
          <t>452190</t>
        </is>
      </c>
      <c r="D1128" s="2" t="inlineStr">
        <is>
          <t>대량보유</t>
        </is>
      </c>
      <c r="E1128" s="3" t="inlineStr">
        <is>
          <t>최상국</t>
        </is>
      </c>
      <c r="F1128" s="3" t="inlineStr">
        <is>
          <t>특별관계자</t>
        </is>
      </c>
      <c r="G1128" s="3" t="inlineStr">
        <is>
          <t>주식매수선택권행사(-), 주식매수선택권행사(+)</t>
        </is>
      </c>
      <c r="H1128" s="6" t="inlineStr"/>
      <c r="I1128" s="6" t="n">
        <v>666</v>
      </c>
      <c r="J1128" s="6" t="n">
        <v>67000</v>
      </c>
      <c r="K1128" s="16" t="n">
        <v>24</v>
      </c>
      <c r="L1128" s="2" t="inlineStr">
        <is>
          <t>20260313001327</t>
        </is>
      </c>
      <c r="M1128" s="8">
        <f>HYPERLINK("https://dart.fss.or.kr/dsaf001/main.do?rcpNo=20260313001327", "공시열람")</f>
        <v/>
      </c>
    </row>
    <row r="1129" ht="22" customHeight="1">
      <c r="A1129" s="2" t="inlineStr">
        <is>
          <t>2026-03-13</t>
        </is>
      </c>
      <c r="B1129" s="3" t="inlineStr">
        <is>
          <t>한빛레이저</t>
        </is>
      </c>
      <c r="C1129" s="2" t="inlineStr">
        <is>
          <t>452190</t>
        </is>
      </c>
      <c r="D1129" s="2" t="inlineStr">
        <is>
          <t>대량보유</t>
        </is>
      </c>
      <c r="E1129" s="3" t="inlineStr">
        <is>
          <t>정명진</t>
        </is>
      </c>
      <c r="F1129" s="3" t="inlineStr">
        <is>
          <t>특별관계자</t>
        </is>
      </c>
      <c r="G1129" s="3" t="inlineStr">
        <is>
          <t>주식매수선택권행사(-), 주식매수선택권행사(+)</t>
        </is>
      </c>
      <c r="H1129" s="6" t="inlineStr"/>
      <c r="I1129" s="6" t="n">
        <v>666</v>
      </c>
      <c r="J1129" s="6" t="n">
        <v>67000</v>
      </c>
      <c r="K1129" s="16" t="n">
        <v>24</v>
      </c>
      <c r="L1129" s="2" t="inlineStr">
        <is>
          <t>20260313001327</t>
        </is>
      </c>
      <c r="M1129" s="8">
        <f>HYPERLINK("https://dart.fss.or.kr/dsaf001/main.do?rcpNo=20260313001327", "공시열람")</f>
        <v/>
      </c>
    </row>
    <row r="1130" ht="22" customHeight="1">
      <c r="A1130" s="2" t="inlineStr">
        <is>
          <t>2026-03-13</t>
        </is>
      </c>
      <c r="B1130" s="3" t="inlineStr">
        <is>
          <t>TPC로보틱스</t>
        </is>
      </c>
      <c r="C1130" s="2" t="inlineStr">
        <is>
          <t>048770</t>
        </is>
      </c>
      <c r="D1130" s="2" t="inlineStr">
        <is>
          <t>대량보유</t>
        </is>
      </c>
      <c r="E1130" s="3" t="inlineStr">
        <is>
          <t>엄재웅</t>
        </is>
      </c>
      <c r="F1130" s="3" t="inlineStr">
        <is>
          <t>특별관계자</t>
        </is>
      </c>
      <c r="G1130" s="3" t="inlineStr">
        <is>
          <t>증여(-)</t>
        </is>
      </c>
      <c r="H1130" s="17" t="n">
        <v>-150000</v>
      </c>
      <c r="I1130" s="6" t="inlineStr"/>
      <c r="J1130" s="6" t="n">
        <v>1339660</v>
      </c>
      <c r="K1130" s="16" t="n">
        <v>11</v>
      </c>
      <c r="L1130" s="2" t="inlineStr">
        <is>
          <t>20260313001319</t>
        </is>
      </c>
      <c r="M1130" s="8">
        <f>HYPERLINK("https://dart.fss.or.kr/dsaf001/main.do?rcpNo=20260313001319", "공시열람")</f>
        <v/>
      </c>
    </row>
    <row r="1131" ht="22" customHeight="1">
      <c r="A1131" s="2" t="inlineStr">
        <is>
          <t>2026-03-13</t>
        </is>
      </c>
      <c r="B1131" s="3" t="inlineStr">
        <is>
          <t>TPC로보틱스</t>
        </is>
      </c>
      <c r="C1131" s="2" t="inlineStr">
        <is>
          <t>048770</t>
        </is>
      </c>
      <c r="D1131" s="2" t="inlineStr">
        <is>
          <t>대량보유</t>
        </is>
      </c>
      <c r="E1131" s="3" t="inlineStr">
        <is>
          <t>UhmLawrence</t>
        </is>
      </c>
      <c r="F1131" s="3" t="inlineStr">
        <is>
          <t>특별관계자</t>
        </is>
      </c>
      <c r="G1131" s="3" t="inlineStr">
        <is>
          <t>수증(+)</t>
        </is>
      </c>
      <c r="H1131" s="15" t="n">
        <v>150000</v>
      </c>
      <c r="I1131" s="6" t="inlineStr"/>
      <c r="J1131" s="6" t="n">
        <v>1254539</v>
      </c>
      <c r="K1131" s="16" t="n">
        <v>11</v>
      </c>
      <c r="L1131" s="2" t="inlineStr">
        <is>
          <t>20260313001319</t>
        </is>
      </c>
      <c r="M1131" s="8">
        <f>HYPERLINK("https://dart.fss.or.kr/dsaf001/main.do?rcpNo=20260313001319", "공시열람")</f>
        <v/>
      </c>
    </row>
    <row r="1132" ht="22" customHeight="1">
      <c r="A1132" s="2" t="inlineStr">
        <is>
          <t>2026-03-13</t>
        </is>
      </c>
      <c r="B1132" s="3" t="inlineStr">
        <is>
          <t>TPC로보틱스</t>
        </is>
      </c>
      <c r="C1132" s="2" t="inlineStr">
        <is>
          <t>048770</t>
        </is>
      </c>
      <c r="D1132" s="2" t="inlineStr">
        <is>
          <t>대량보유</t>
        </is>
      </c>
      <c r="E1132" s="3" t="inlineStr">
        <is>
          <t>UhmDianeJungrae</t>
        </is>
      </c>
      <c r="F1132" s="3" t="inlineStr">
        <is>
          <t>특별관계자</t>
        </is>
      </c>
      <c r="G1132" s="3" t="inlineStr">
        <is>
          <t>장내매수(+)</t>
        </is>
      </c>
      <c r="H1132" s="15" t="n">
        <v>16000</v>
      </c>
      <c r="I1132" s="6" t="n">
        <v>3631</v>
      </c>
      <c r="J1132" s="6" t="n">
        <v>431874</v>
      </c>
      <c r="K1132" s="16" t="n">
        <v>11</v>
      </c>
      <c r="L1132" s="2" t="inlineStr">
        <is>
          <t>20260313001319</t>
        </is>
      </c>
      <c r="M1132" s="8">
        <f>HYPERLINK("https://dart.fss.or.kr/dsaf001/main.do?rcpNo=20260313001319", "공시열람")</f>
        <v/>
      </c>
    </row>
    <row r="1133" ht="22" customHeight="1">
      <c r="A1133" s="2" t="inlineStr">
        <is>
          <t>2026-03-13</t>
        </is>
      </c>
      <c r="B1133" s="3" t="inlineStr">
        <is>
          <t>TPC로보틱스</t>
        </is>
      </c>
      <c r="C1133" s="2" t="inlineStr">
        <is>
          <t>048770</t>
        </is>
      </c>
      <c r="D1133" s="2" t="inlineStr">
        <is>
          <t>대량보유</t>
        </is>
      </c>
      <c r="E1133" s="3" t="inlineStr">
        <is>
          <t>신현태</t>
        </is>
      </c>
      <c r="F1133" s="3" t="inlineStr">
        <is>
          <t>특별관계자</t>
        </is>
      </c>
      <c r="G1133" s="3" t="inlineStr">
        <is>
          <t>임원퇴임(-)</t>
        </is>
      </c>
      <c r="H1133" s="17" t="n">
        <v>-20528</v>
      </c>
      <c r="I1133" s="6" t="inlineStr"/>
      <c r="J1133" s="6" t="inlineStr"/>
      <c r="K1133" s="16" t="n">
        <v>11</v>
      </c>
      <c r="L1133" s="2" t="inlineStr">
        <is>
          <t>20260313001319</t>
        </is>
      </c>
      <c r="M1133" s="8">
        <f>HYPERLINK("https://dart.fss.or.kr/dsaf001/main.do?rcpNo=20260313001319", "공시열람")</f>
        <v/>
      </c>
    </row>
    <row r="1134" ht="22" customHeight="1">
      <c r="A1134" s="2" t="inlineStr">
        <is>
          <t>2026-03-13</t>
        </is>
      </c>
      <c r="B1134" s="3" t="inlineStr">
        <is>
          <t>소룩스</t>
        </is>
      </c>
      <c r="C1134" s="2" t="inlineStr">
        <is>
          <t>290690</t>
        </is>
      </c>
      <c r="D1134" s="2" t="inlineStr">
        <is>
          <t>대량보유</t>
        </is>
      </c>
      <c r="E1134" s="3" t="inlineStr">
        <is>
          <t>정재준</t>
        </is>
      </c>
      <c r="F1134" s="3" t="inlineStr">
        <is>
          <t>보고자</t>
        </is>
      </c>
      <c r="G1134" s="3" t="inlineStr">
        <is>
          <t>- 기존 주식담보대출 일부 상환 및 계약 연장</t>
        </is>
      </c>
      <c r="H1134" s="6" t="inlineStr"/>
      <c r="I1134" s="6" t="inlineStr"/>
      <c r="J1134" s="6" t="n">
        <v>4582987</v>
      </c>
      <c r="K1134" s="16" t="n">
        <v>9.4</v>
      </c>
      <c r="L1134" s="2" t="inlineStr">
        <is>
          <t>20260313001315</t>
        </is>
      </c>
      <c r="M1134" s="8">
        <f>HYPERLINK("https://dart.fss.or.kr/dsaf001/main.do?rcpNo=20260313001315", "공시열람")</f>
        <v/>
      </c>
    </row>
    <row r="1135" ht="22" customHeight="1">
      <c r="A1135" s="2" t="inlineStr">
        <is>
          <t>2026-03-13</t>
        </is>
      </c>
      <c r="B1135" s="3" t="inlineStr">
        <is>
          <t>앱튼</t>
        </is>
      </c>
      <c r="C1135" s="2" t="inlineStr">
        <is>
          <t>270520</t>
        </is>
      </c>
      <c r="D1135" s="2" t="inlineStr">
        <is>
          <t>대량보유</t>
        </is>
      </c>
      <c r="E1135" s="3" t="inlineStr">
        <is>
          <t>(주)에이프로젠</t>
        </is>
      </c>
      <c r="F1135" s="3" t="inlineStr">
        <is>
          <t>보고자</t>
        </is>
      </c>
      <c r="G1135" s="3" t="inlineStr">
        <is>
          <t>보고자 보유 발행회사 주식의 담보제공에 따른 변경</t>
        </is>
      </c>
      <c r="H1135" s="6" t="inlineStr"/>
      <c r="I1135" s="6" t="inlineStr"/>
      <c r="J1135" s="6" t="n">
        <v>64789948</v>
      </c>
      <c r="K1135" s="16" t="n">
        <v>2</v>
      </c>
      <c r="L1135" s="2" t="inlineStr">
        <is>
          <t>20260313001303</t>
        </is>
      </c>
      <c r="M1135" s="8">
        <f>HYPERLINK("https://dart.fss.or.kr/dsaf001/main.do?rcpNo=20260313001303", "공시열람")</f>
        <v/>
      </c>
    </row>
    <row r="1136" ht="22" customHeight="1">
      <c r="A1136" s="2" t="inlineStr">
        <is>
          <t>2026-03-13 (정정: 2026-03-17)</t>
        </is>
      </c>
      <c r="B1136" s="3" t="inlineStr">
        <is>
          <t>아이티엠반도체</t>
        </is>
      </c>
      <c r="C1136" s="2" t="inlineStr">
        <is>
          <t>084850</t>
        </is>
      </c>
      <c r="D1136" s="2" t="inlineStr">
        <is>
          <t>대량보유</t>
        </is>
      </c>
      <c r="E1136" s="3" t="inlineStr">
        <is>
          <t>-</t>
        </is>
      </c>
      <c r="F1136" s="3" t="inlineStr">
        <is>
          <t>보고자</t>
        </is>
      </c>
      <c r="G1136" s="3" t="inlineStr">
        <is>
          <t>-</t>
        </is>
      </c>
      <c r="H1136" s="6" t="inlineStr"/>
      <c r="I1136" s="6" t="inlineStr"/>
      <c r="J1136" s="6" t="inlineStr"/>
      <c r="K1136" s="18" t="inlineStr"/>
      <c r="L1136" s="2" t="inlineStr">
        <is>
          <t>20260317000752</t>
        </is>
      </c>
      <c r="M1136" s="8">
        <f>HYPERLINK("https://dart.fss.or.kr/dsaf001/main.do?rcpNo=20260317000752", "공시열람")</f>
        <v/>
      </c>
    </row>
    <row r="1137" ht="22" customHeight="1">
      <c r="A1137" s="2" t="inlineStr">
        <is>
          <t>2026-03-13</t>
        </is>
      </c>
      <c r="B1137" s="3" t="inlineStr">
        <is>
          <t>삼성전자</t>
        </is>
      </c>
      <c r="C1137" s="2" t="inlineStr">
        <is>
          <t>005930</t>
        </is>
      </c>
      <c r="D1137" s="2" t="inlineStr">
        <is>
          <t>임원보고</t>
        </is>
      </c>
      <c r="E1137" s="3" t="inlineStr">
        <is>
          <t>-</t>
        </is>
      </c>
      <c r="F1137" s="3" t="inlineStr">
        <is>
          <t>-</t>
        </is>
      </c>
      <c r="G1137" s="3" t="inlineStr">
        <is>
          <t>-</t>
        </is>
      </c>
      <c r="H1137" s="6" t="inlineStr"/>
      <c r="I1137" s="6" t="inlineStr"/>
      <c r="J1137" s="6" t="inlineStr"/>
      <c r="K1137" s="16" t="n">
        <v>12</v>
      </c>
      <c r="L1137" s="2" t="inlineStr">
        <is>
          <t>20260313801958</t>
        </is>
      </c>
      <c r="M1137" s="8">
        <f>HYPERLINK("https://dart.fss.or.kr/dsaf001/main.do?rcpNo=20260313801958", "공시열람")</f>
        <v/>
      </c>
    </row>
    <row r="1138" ht="22" customHeight="1">
      <c r="A1138" s="2" t="inlineStr">
        <is>
          <t>2026-03-13</t>
        </is>
      </c>
      <c r="B1138" s="3" t="inlineStr">
        <is>
          <t>종근당</t>
        </is>
      </c>
      <c r="C1138" s="2" t="inlineStr">
        <is>
          <t>185750</t>
        </is>
      </c>
      <c r="D1138" s="2" t="inlineStr">
        <is>
          <t>임원보고</t>
        </is>
      </c>
      <c r="E1138" s="3" t="inlineStr">
        <is>
          <t>-</t>
        </is>
      </c>
      <c r="F1138" s="3" t="inlineStr">
        <is>
          <t>-</t>
        </is>
      </c>
      <c r="G1138" s="3" t="inlineStr">
        <is>
          <t>-</t>
        </is>
      </c>
      <c r="H1138" s="6" t="inlineStr"/>
      <c r="I1138" s="6" t="inlineStr"/>
      <c r="J1138" s="6" t="inlineStr"/>
      <c r="K1138" s="16" t="n">
        <v>12</v>
      </c>
      <c r="L1138" s="2" t="inlineStr">
        <is>
          <t>20260313801944</t>
        </is>
      </c>
      <c r="M1138" s="8">
        <f>HYPERLINK("https://dart.fss.or.kr/dsaf001/main.do?rcpNo=20260313801944", "공시열람")</f>
        <v/>
      </c>
    </row>
    <row r="1139" ht="22" customHeight="1">
      <c r="A1139" s="2" t="inlineStr">
        <is>
          <t>2026-03-13</t>
        </is>
      </c>
      <c r="B1139" s="3" t="inlineStr">
        <is>
          <t>폰드그룹</t>
        </is>
      </c>
      <c r="C1139" s="2" t="inlineStr">
        <is>
          <t>472850</t>
        </is>
      </c>
      <c r="D1139" s="2" t="inlineStr">
        <is>
          <t>대량보유</t>
        </is>
      </c>
      <c r="E1139" s="3" t="inlineStr">
        <is>
          <t>㈜대명화학</t>
        </is>
      </c>
      <c r="F1139" s="3" t="inlineStr">
        <is>
          <t>보고자</t>
        </is>
      </c>
      <c r="G1139" s="3" t="inlineStr">
        <is>
          <t>- 주식담보계약 등의 주요계약 일부변경</t>
        </is>
      </c>
      <c r="H1139" s="6" t="inlineStr"/>
      <c r="I1139" s="6" t="inlineStr"/>
      <c r="J1139" s="6" t="n">
        <v>44342607</v>
      </c>
      <c r="K1139" s="16" t="n">
        <v>3</v>
      </c>
      <c r="L1139" s="2" t="inlineStr">
        <is>
          <t>20260313001214</t>
        </is>
      </c>
      <c r="M1139" s="8">
        <f>HYPERLINK("https://dart.fss.or.kr/dsaf001/main.do?rcpNo=20260313001214", "공시열람")</f>
        <v/>
      </c>
    </row>
    <row r="1140" ht="22" customHeight="1">
      <c r="A1140" s="2" t="inlineStr">
        <is>
          <t>2026-03-13</t>
        </is>
      </c>
      <c r="B1140" s="3" t="inlineStr">
        <is>
          <t>미래에셋생명</t>
        </is>
      </c>
      <c r="C1140" s="2" t="inlineStr">
        <is>
          <t>085620</t>
        </is>
      </c>
      <c r="D1140" s="2" t="inlineStr">
        <is>
          <t>대량보유</t>
        </is>
      </c>
      <c r="E1140" s="3" t="inlineStr">
        <is>
          <t>미래에셋자산운용</t>
        </is>
      </c>
      <c r="F1140" s="3" t="inlineStr">
        <is>
          <t>특별관계자</t>
        </is>
      </c>
      <c r="G1140" s="3" t="inlineStr">
        <is>
          <t>장내매수(+)</t>
        </is>
      </c>
      <c r="H1140" s="15" t="n">
        <v>1393125</v>
      </c>
      <c r="I1140" s="6" t="n">
        <v>9222</v>
      </c>
      <c r="J1140" s="6" t="n">
        <v>31404967</v>
      </c>
      <c r="K1140" s="16" t="n">
        <v>22</v>
      </c>
      <c r="L1140" s="2" t="inlineStr">
        <is>
          <t>20260313001212</t>
        </is>
      </c>
      <c r="M1140" s="8">
        <f>HYPERLINK("https://dart.fss.or.kr/dsaf001/main.do?rcpNo=20260313001212", "공시열람")</f>
        <v/>
      </c>
    </row>
    <row r="1141" ht="22" customHeight="1">
      <c r="A1141" s="2" t="inlineStr">
        <is>
          <t>2026-03-13</t>
        </is>
      </c>
      <c r="B1141" s="3" t="inlineStr">
        <is>
          <t>미래에셋생명</t>
        </is>
      </c>
      <c r="C1141" s="2" t="inlineStr">
        <is>
          <t>085620</t>
        </is>
      </c>
      <c r="D1141" s="2" t="inlineStr">
        <is>
          <t>대량보유</t>
        </is>
      </c>
      <c r="E1141" s="3" t="inlineStr">
        <is>
          <t>미래에셋캐피탈</t>
        </is>
      </c>
      <c r="F1141" s="3" t="inlineStr">
        <is>
          <t>특별관계자</t>
        </is>
      </c>
      <c r="G1141" s="3" t="inlineStr">
        <is>
          <t>장내매수(+)</t>
        </is>
      </c>
      <c r="H1141" s="15" t="n">
        <v>500000</v>
      </c>
      <c r="I1141" s="6" t="n">
        <v>14135</v>
      </c>
      <c r="J1141" s="6" t="n">
        <v>28101633</v>
      </c>
      <c r="K1141" s="16" t="n">
        <v>22</v>
      </c>
      <c r="L1141" s="2" t="inlineStr">
        <is>
          <t>20260313001212</t>
        </is>
      </c>
      <c r="M1141" s="8">
        <f>HYPERLINK("https://dart.fss.or.kr/dsaf001/main.do?rcpNo=20260313001212", "공시열람")</f>
        <v/>
      </c>
    </row>
    <row r="1142" ht="22" customHeight="1">
      <c r="A1142" s="2" t="inlineStr">
        <is>
          <t>2026-03-13</t>
        </is>
      </c>
      <c r="B1142" s="3" t="inlineStr">
        <is>
          <t>미래에셋생명</t>
        </is>
      </c>
      <c r="C1142" s="2" t="inlineStr">
        <is>
          <t>085620</t>
        </is>
      </c>
      <c r="D1142" s="2" t="inlineStr">
        <is>
          <t>대량보유</t>
        </is>
      </c>
      <c r="E1142" s="3" t="inlineStr">
        <is>
          <t>이정기</t>
        </is>
      </c>
      <c r="F1142" s="3" t="inlineStr">
        <is>
          <t>특별관계자</t>
        </is>
      </c>
      <c r="G1142" s="3" t="inlineStr">
        <is>
          <t>신규등록(+), 자사주상여금(+)</t>
        </is>
      </c>
      <c r="H1142" s="15" t="n">
        <v>9914</v>
      </c>
      <c r="I1142" s="6" t="n">
        <v>14570</v>
      </c>
      <c r="J1142" s="6" t="n">
        <v>9914</v>
      </c>
      <c r="K1142" s="16" t="n">
        <v>22</v>
      </c>
      <c r="L1142" s="2" t="inlineStr">
        <is>
          <t>20260313001212</t>
        </is>
      </c>
      <c r="M1142" s="8">
        <f>HYPERLINK("https://dart.fss.or.kr/dsaf001/main.do?rcpNo=20260313001212", "공시열람")</f>
        <v/>
      </c>
    </row>
    <row r="1143" ht="22" customHeight="1">
      <c r="A1143" s="2" t="inlineStr">
        <is>
          <t>2026-03-13</t>
        </is>
      </c>
      <c r="B1143" s="3" t="inlineStr">
        <is>
          <t>미래에셋생명</t>
        </is>
      </c>
      <c r="C1143" s="2" t="inlineStr">
        <is>
          <t>085620</t>
        </is>
      </c>
      <c r="D1143" s="2" t="inlineStr">
        <is>
          <t>대량보유</t>
        </is>
      </c>
      <c r="E1143" s="3" t="inlineStr">
        <is>
          <t>이준철</t>
        </is>
      </c>
      <c r="F1143" s="3" t="inlineStr">
        <is>
          <t>특별관계자</t>
        </is>
      </c>
      <c r="G1143" s="3" t="inlineStr">
        <is>
          <t>신규등록(+)</t>
        </is>
      </c>
      <c r="H1143" s="15" t="n">
        <v>87</v>
      </c>
      <c r="I1143" s="6" t="inlineStr"/>
      <c r="J1143" s="6" t="n">
        <v>87</v>
      </c>
      <c r="K1143" s="16" t="n">
        <v>22</v>
      </c>
      <c r="L1143" s="2" t="inlineStr">
        <is>
          <t>20260313001212</t>
        </is>
      </c>
      <c r="M1143" s="8">
        <f>HYPERLINK("https://dart.fss.or.kr/dsaf001/main.do?rcpNo=20260313001212", "공시열람")</f>
        <v/>
      </c>
    </row>
    <row r="1144" ht="22" customHeight="1">
      <c r="A1144" s="2" t="inlineStr">
        <is>
          <t>2026-03-13</t>
        </is>
      </c>
      <c r="B1144" s="3" t="inlineStr">
        <is>
          <t>미래에셋생명</t>
        </is>
      </c>
      <c r="C1144" s="2" t="inlineStr">
        <is>
          <t>085620</t>
        </is>
      </c>
      <c r="D1144" s="2" t="inlineStr">
        <is>
          <t>대량보유</t>
        </is>
      </c>
      <c r="E1144" s="3" t="inlineStr">
        <is>
          <t>김재식</t>
        </is>
      </c>
      <c r="F1144" s="3" t="inlineStr">
        <is>
          <t>특별관계자</t>
        </is>
      </c>
      <c r="G1144" s="3" t="inlineStr">
        <is>
          <t>자사주상여금(+)</t>
        </is>
      </c>
      <c r="H1144" s="15" t="n">
        <v>8852</v>
      </c>
      <c r="I1144" s="6" t="n">
        <v>14570</v>
      </c>
      <c r="J1144" s="6" t="n">
        <v>178852</v>
      </c>
      <c r="K1144" s="16" t="n">
        <v>22</v>
      </c>
      <c r="L1144" s="2" t="inlineStr">
        <is>
          <t>20260313001212</t>
        </is>
      </c>
      <c r="M1144" s="8">
        <f>HYPERLINK("https://dart.fss.or.kr/dsaf001/main.do?rcpNo=20260313001212", "공시열람")</f>
        <v/>
      </c>
    </row>
    <row r="1145" ht="22" customHeight="1">
      <c r="A1145" s="2" t="inlineStr">
        <is>
          <t>2026-03-13</t>
        </is>
      </c>
      <c r="B1145" s="3" t="inlineStr">
        <is>
          <t>미래에셋생명</t>
        </is>
      </c>
      <c r="C1145" s="2" t="inlineStr">
        <is>
          <t>085620</t>
        </is>
      </c>
      <c r="D1145" s="2" t="inlineStr">
        <is>
          <t>대량보유</t>
        </is>
      </c>
      <c r="E1145" s="3" t="inlineStr">
        <is>
          <t>조성식</t>
        </is>
      </c>
      <c r="F1145" s="3" t="inlineStr">
        <is>
          <t>특별관계자</t>
        </is>
      </c>
      <c r="G1145" s="3" t="inlineStr">
        <is>
          <t>자사주상여금(+)</t>
        </is>
      </c>
      <c r="H1145" s="15" t="n">
        <v>5901</v>
      </c>
      <c r="I1145" s="6" t="n">
        <v>14570</v>
      </c>
      <c r="J1145" s="6" t="n">
        <v>35782</v>
      </c>
      <c r="K1145" s="16" t="n">
        <v>22</v>
      </c>
      <c r="L1145" s="2" t="inlineStr">
        <is>
          <t>20260313001212</t>
        </is>
      </c>
      <c r="M1145" s="8">
        <f>HYPERLINK("https://dart.fss.or.kr/dsaf001/main.do?rcpNo=20260313001212", "공시열람")</f>
        <v/>
      </c>
    </row>
    <row r="1146" ht="22" customHeight="1">
      <c r="A1146" s="2" t="inlineStr">
        <is>
          <t>2026-03-13</t>
        </is>
      </c>
      <c r="B1146" s="3" t="inlineStr">
        <is>
          <t>미래에셋생명</t>
        </is>
      </c>
      <c r="C1146" s="2" t="inlineStr">
        <is>
          <t>085620</t>
        </is>
      </c>
      <c r="D1146" s="2" t="inlineStr">
        <is>
          <t>대량보유</t>
        </is>
      </c>
      <c r="E1146" s="3" t="inlineStr">
        <is>
          <t>황문규</t>
        </is>
      </c>
      <c r="F1146" s="3" t="inlineStr">
        <is>
          <t>특별관계자</t>
        </is>
      </c>
      <c r="G1146" s="3" t="inlineStr">
        <is>
          <t>자사주상여금(+)</t>
        </is>
      </c>
      <c r="H1146" s="15" t="n">
        <v>4918</v>
      </c>
      <c r="I1146" s="6" t="n">
        <v>14570</v>
      </c>
      <c r="J1146" s="6" t="n">
        <v>10304</v>
      </c>
      <c r="K1146" s="16" t="n">
        <v>22</v>
      </c>
      <c r="L1146" s="2" t="inlineStr">
        <is>
          <t>20260313001212</t>
        </is>
      </c>
      <c r="M1146" s="8">
        <f>HYPERLINK("https://dart.fss.or.kr/dsaf001/main.do?rcpNo=20260313001212", "공시열람")</f>
        <v/>
      </c>
    </row>
    <row r="1147" ht="22" customHeight="1">
      <c r="A1147" s="2" t="inlineStr">
        <is>
          <t>2026-03-13</t>
        </is>
      </c>
      <c r="B1147" s="3" t="inlineStr">
        <is>
          <t>미래에셋생명</t>
        </is>
      </c>
      <c r="C1147" s="2" t="inlineStr">
        <is>
          <t>085620</t>
        </is>
      </c>
      <c r="D1147" s="2" t="inlineStr">
        <is>
          <t>대량보유</t>
        </is>
      </c>
      <c r="E1147" s="3" t="inlineStr">
        <is>
          <t>배수동</t>
        </is>
      </c>
      <c r="F1147" s="3" t="inlineStr">
        <is>
          <t>특별관계자</t>
        </is>
      </c>
      <c r="G1147" s="3" t="inlineStr">
        <is>
          <t>임원퇴임(-)</t>
        </is>
      </c>
      <c r="H1147" s="17" t="n">
        <v>-6557</v>
      </c>
      <c r="I1147" s="6" t="inlineStr"/>
      <c r="J1147" s="6" t="inlineStr"/>
      <c r="K1147" s="16" t="n">
        <v>22</v>
      </c>
      <c r="L1147" s="2" t="inlineStr">
        <is>
          <t>20260313001212</t>
        </is>
      </c>
      <c r="M1147" s="8">
        <f>HYPERLINK("https://dart.fss.or.kr/dsaf001/main.do?rcpNo=20260313001212", "공시열람")</f>
        <v/>
      </c>
    </row>
    <row r="1148" ht="22" customHeight="1">
      <c r="A1148" s="2" t="inlineStr">
        <is>
          <t>2026-03-13</t>
        </is>
      </c>
      <c r="B1148" s="3" t="inlineStr">
        <is>
          <t>미래에셋생명</t>
        </is>
      </c>
      <c r="C1148" s="2" t="inlineStr">
        <is>
          <t>085620</t>
        </is>
      </c>
      <c r="D1148" s="2" t="inlineStr">
        <is>
          <t>대량보유</t>
        </is>
      </c>
      <c r="E1148" s="3" t="inlineStr">
        <is>
          <t>이철성</t>
        </is>
      </c>
      <c r="F1148" s="3" t="inlineStr">
        <is>
          <t>특별관계자</t>
        </is>
      </c>
      <c r="G1148" s="3" t="inlineStr">
        <is>
          <t>임원퇴임(-)</t>
        </is>
      </c>
      <c r="H1148" s="17" t="n">
        <v>-30854</v>
      </c>
      <c r="I1148" s="6" t="inlineStr"/>
      <c r="J1148" s="6" t="inlineStr"/>
      <c r="K1148" s="16" t="n">
        <v>22</v>
      </c>
      <c r="L1148" s="2" t="inlineStr">
        <is>
          <t>20260313001212</t>
        </is>
      </c>
      <c r="M1148" s="8">
        <f>HYPERLINK("https://dart.fss.or.kr/dsaf001/main.do?rcpNo=20260313001212", "공시열람")</f>
        <v/>
      </c>
    </row>
    <row r="1149" ht="22" customHeight="1">
      <c r="A1149" s="2" t="inlineStr">
        <is>
          <t>2026-03-13</t>
        </is>
      </c>
      <c r="B1149" s="3" t="inlineStr">
        <is>
          <t>미래에셋생명</t>
        </is>
      </c>
      <c r="C1149" s="2" t="inlineStr">
        <is>
          <t>085620</t>
        </is>
      </c>
      <c r="D1149" s="2" t="inlineStr">
        <is>
          <t>대량보유</t>
        </is>
      </c>
      <c r="E1149" s="3" t="inlineStr">
        <is>
          <t>이정호</t>
        </is>
      </c>
      <c r="F1149" s="3" t="inlineStr">
        <is>
          <t>특별관계자</t>
        </is>
      </c>
      <c r="G1149" s="3" t="inlineStr">
        <is>
          <t>임원퇴임(-)</t>
        </is>
      </c>
      <c r="H1149" s="17" t="n">
        <v>-4710</v>
      </c>
      <c r="I1149" s="6" t="inlineStr"/>
      <c r="J1149" s="6" t="inlineStr"/>
      <c r="K1149" s="16" t="n">
        <v>22</v>
      </c>
      <c r="L1149" s="2" t="inlineStr">
        <is>
          <t>20260313001212</t>
        </is>
      </c>
      <c r="M1149" s="8">
        <f>HYPERLINK("https://dart.fss.or.kr/dsaf001/main.do?rcpNo=20260313001212", "공시열람")</f>
        <v/>
      </c>
    </row>
    <row r="1150" ht="22" customHeight="1">
      <c r="A1150" s="2" t="inlineStr">
        <is>
          <t>2026-03-13</t>
        </is>
      </c>
      <c r="B1150" s="3" t="inlineStr">
        <is>
          <t>유니켐</t>
        </is>
      </c>
      <c r="C1150" s="2" t="inlineStr">
        <is>
          <t>011330</t>
        </is>
      </c>
      <c r="D1150" s="2" t="inlineStr">
        <is>
          <t>대량보유</t>
        </is>
      </c>
      <c r="E1150" s="3" t="inlineStr">
        <is>
          <t>주식회사이노네트</t>
        </is>
      </c>
      <c r="F1150" s="3" t="inlineStr">
        <is>
          <t>특별관계자</t>
        </is>
      </c>
      <c r="G1150" s="3" t="inlineStr">
        <is>
          <t>담보주식처분권보유</t>
        </is>
      </c>
      <c r="H1150" s="15" t="n">
        <v>7200000</v>
      </c>
      <c r="I1150" s="6" t="inlineStr"/>
      <c r="J1150" s="6" t="n">
        <v>7200000</v>
      </c>
      <c r="K1150" s="16" t="n">
        <v>1</v>
      </c>
      <c r="L1150" s="2" t="inlineStr">
        <is>
          <t>20260313001209</t>
        </is>
      </c>
      <c r="M1150" s="8">
        <f>HYPERLINK("https://dart.fss.or.kr/dsaf001/main.do?rcpNo=20260313001209", "공시열람")</f>
        <v/>
      </c>
    </row>
    <row r="1151" ht="22" customHeight="1">
      <c r="A1151" s="2" t="inlineStr">
        <is>
          <t>2026-03-13</t>
        </is>
      </c>
      <c r="B1151" s="3" t="inlineStr">
        <is>
          <t>세진중공업</t>
        </is>
      </c>
      <c r="C1151" s="2" t="inlineStr">
        <is>
          <t>075580</t>
        </is>
      </c>
      <c r="D1151" s="2" t="inlineStr">
        <is>
          <t>대량보유</t>
        </is>
      </c>
      <c r="E1151" s="3" t="inlineStr">
        <is>
          <t>윤지원</t>
        </is>
      </c>
      <c r="F1151" s="3" t="inlineStr">
        <is>
          <t>보고자</t>
        </is>
      </c>
      <c r="G1151" s="3" t="inlineStr">
        <is>
          <t>보고자의 담보계약 변경</t>
        </is>
      </c>
      <c r="H1151" s="6" t="inlineStr"/>
      <c r="I1151" s="6" t="inlineStr"/>
      <c r="J1151" s="6" t="n">
        <v>33779809</v>
      </c>
      <c r="K1151" s="16" t="n">
        <v>5</v>
      </c>
      <c r="L1151" s="2" t="inlineStr">
        <is>
          <t>20260313001151</t>
        </is>
      </c>
      <c r="M1151" s="8">
        <f>HYPERLINK("https://dart.fss.or.kr/dsaf001/main.do?rcpNo=20260313001151", "공시열람")</f>
        <v/>
      </c>
    </row>
    <row r="1152" ht="22" customHeight="1">
      <c r="A1152" s="2" t="inlineStr">
        <is>
          <t>2026-03-13</t>
        </is>
      </c>
      <c r="B1152" s="3" t="inlineStr">
        <is>
          <t>유니켐</t>
        </is>
      </c>
      <c r="C1152" s="2" t="inlineStr">
        <is>
          <t>011330</t>
        </is>
      </c>
      <c r="D1152" s="2" t="inlineStr">
        <is>
          <t>대량보유</t>
        </is>
      </c>
      <c r="E1152" s="3" t="inlineStr">
        <is>
          <t>(주)엠제이홀딩컴퍼니</t>
        </is>
      </c>
      <c r="F1152" s="3" t="inlineStr">
        <is>
          <t>특별관계자</t>
        </is>
      </c>
      <c r="G1152" s="3" t="inlineStr">
        <is>
          <t>담보주식처분권보유</t>
        </is>
      </c>
      <c r="H1152" s="15" t="n">
        <v>7700000</v>
      </c>
      <c r="I1152" s="6" t="inlineStr"/>
      <c r="J1152" s="6" t="n">
        <v>7700000</v>
      </c>
      <c r="K1152" s="16" t="n">
        <v>1</v>
      </c>
      <c r="L1152" s="2" t="inlineStr">
        <is>
          <t>20260313001121</t>
        </is>
      </c>
      <c r="M1152" s="8">
        <f>HYPERLINK("https://dart.fss.or.kr/dsaf001/main.do?rcpNo=20260313001121", "공시열람")</f>
        <v/>
      </c>
    </row>
    <row r="1153" ht="22" customHeight="1">
      <c r="A1153" s="2" t="inlineStr">
        <is>
          <t>2026-03-13</t>
        </is>
      </c>
      <c r="B1153" s="3" t="inlineStr">
        <is>
          <t>에이치피오</t>
        </is>
      </c>
      <c r="C1153" s="2" t="inlineStr">
        <is>
          <t>357230</t>
        </is>
      </c>
      <c r="D1153" s="2" t="inlineStr">
        <is>
          <t>대량보유</t>
        </is>
      </c>
      <c r="E1153" s="3" t="inlineStr">
        <is>
          <t>이현용</t>
        </is>
      </c>
      <c r="F1153" s="3" t="inlineStr">
        <is>
          <t>보고자</t>
        </is>
      </c>
      <c r="G1153" s="3" t="inlineStr">
        <is>
          <t>- 보고자의 신규 주식담보대출 계약</t>
        </is>
      </c>
      <c r="H1153" s="6" t="inlineStr"/>
      <c r="I1153" s="6" t="inlineStr"/>
      <c r="J1153" s="6" t="n">
        <v>30207757</v>
      </c>
      <c r="K1153" s="16" t="n">
        <v>14</v>
      </c>
      <c r="L1153" s="2" t="inlineStr">
        <is>
          <t>20260313001117</t>
        </is>
      </c>
      <c r="M1153" s="8">
        <f>HYPERLINK("https://dart.fss.or.kr/dsaf001/main.do?rcpNo=20260313001117", "공시열람")</f>
        <v/>
      </c>
    </row>
    <row r="1154" ht="22" customHeight="1">
      <c r="A1154" s="2" t="inlineStr">
        <is>
          <t>2026-03-13</t>
        </is>
      </c>
      <c r="B1154" s="3" t="inlineStr">
        <is>
          <t>아이에스동서</t>
        </is>
      </c>
      <c r="C1154" s="2" t="inlineStr">
        <is>
          <t>010780</t>
        </is>
      </c>
      <c r="D1154" s="2" t="inlineStr">
        <is>
          <t>대량보유</t>
        </is>
      </c>
      <c r="E1154" s="3" t="inlineStr">
        <is>
          <t>권혁운</t>
        </is>
      </c>
      <c r="F1154" s="3" t="inlineStr">
        <is>
          <t>보고자</t>
        </is>
      </c>
      <c r="G1154" s="3" t="inlineStr">
        <is>
          <t>보유주식등에 관한 계약 변경</t>
        </is>
      </c>
      <c r="H1154" s="6" t="inlineStr"/>
      <c r="I1154" s="6" t="inlineStr"/>
      <c r="J1154" s="6" t="n">
        <v>16871628</v>
      </c>
      <c r="K1154" s="16" t="n">
        <v>7</v>
      </c>
      <c r="L1154" s="2" t="inlineStr">
        <is>
          <t>20260313001115</t>
        </is>
      </c>
      <c r="M1154" s="8">
        <f>HYPERLINK("https://dart.fss.or.kr/dsaf001/main.do?rcpNo=20260313001115", "공시열람")</f>
        <v/>
      </c>
    </row>
    <row r="1155" ht="22" customHeight="1">
      <c r="A1155" s="2" t="inlineStr">
        <is>
          <t>2026-03-13</t>
        </is>
      </c>
      <c r="B1155" s="3" t="inlineStr">
        <is>
          <t>하림지주</t>
        </is>
      </c>
      <c r="C1155" s="2" t="inlineStr">
        <is>
          <t>003380</t>
        </is>
      </c>
      <c r="D1155" s="2" t="inlineStr">
        <is>
          <t>대량보유</t>
        </is>
      </c>
      <c r="E1155" s="3" t="inlineStr">
        <is>
          <t>(주)한국바이오텍</t>
        </is>
      </c>
      <c r="F1155" s="3" t="inlineStr">
        <is>
          <t>특별관계자</t>
        </is>
      </c>
      <c r="G1155" s="3" t="inlineStr">
        <is>
          <t>장내매수(+)</t>
        </is>
      </c>
      <c r="H1155" s="15" t="n">
        <v>570000</v>
      </c>
      <c r="I1155" s="6" t="n">
        <v>14740</v>
      </c>
      <c r="J1155" s="6" t="n">
        <v>20730000</v>
      </c>
      <c r="K1155" s="16" t="n">
        <v>23</v>
      </c>
      <c r="L1155" s="2" t="inlineStr">
        <is>
          <t>20260313001110</t>
        </is>
      </c>
      <c r="M1155" s="8">
        <f>HYPERLINK("https://dart.fss.or.kr/dsaf001/main.do?rcpNo=20260313001110", "공시열람")</f>
        <v/>
      </c>
    </row>
    <row r="1156" ht="22" customHeight="1">
      <c r="A1156" s="2" t="inlineStr">
        <is>
          <t>2026-03-13</t>
        </is>
      </c>
      <c r="B1156" s="3" t="inlineStr">
        <is>
          <t>이노벡스</t>
        </is>
      </c>
      <c r="C1156" s="2" t="inlineStr">
        <is>
          <t>279060</t>
        </is>
      </c>
      <c r="D1156" s="2" t="inlineStr">
        <is>
          <t>대량보유</t>
        </is>
      </c>
      <c r="E1156" s="3" t="inlineStr">
        <is>
          <t>채균</t>
        </is>
      </c>
      <c r="F1156" s="3" t="inlineStr">
        <is>
          <t>보고자</t>
        </is>
      </c>
      <c r="G1156" s="3" t="inlineStr">
        <is>
          <t>보고자 보유주식의 가압류 결정에 따른 보유 형태 변경</t>
        </is>
      </c>
      <c r="H1156" s="6" t="inlineStr"/>
      <c r="I1156" s="6" t="inlineStr"/>
      <c r="J1156" s="6" t="n">
        <v>3404075</v>
      </c>
      <c r="K1156" s="16" t="n">
        <v>3</v>
      </c>
      <c r="L1156" s="2" t="inlineStr">
        <is>
          <t>20260313001108</t>
        </is>
      </c>
      <c r="M1156" s="8">
        <f>HYPERLINK("https://dart.fss.or.kr/dsaf001/main.do?rcpNo=20260313001108", "공시열람")</f>
        <v/>
      </c>
    </row>
    <row r="1157" ht="22" customHeight="1">
      <c r="A1157" s="2" t="inlineStr">
        <is>
          <t>2026-03-13</t>
        </is>
      </c>
      <c r="B1157" s="3" t="inlineStr">
        <is>
          <t>트리니티항공</t>
        </is>
      </c>
      <c r="C1157" s="2" t="inlineStr">
        <is>
          <t>091810</t>
        </is>
      </c>
      <c r="D1157" s="2" t="inlineStr">
        <is>
          <t>임원보고</t>
        </is>
      </c>
      <c r="E1157" s="3" t="inlineStr">
        <is>
          <t>-</t>
        </is>
      </c>
      <c r="F1157" s="3" t="inlineStr">
        <is>
          <t>-</t>
        </is>
      </c>
      <c r="G1157" s="3" t="inlineStr">
        <is>
          <t>-</t>
        </is>
      </c>
      <c r="H1157" s="6" t="inlineStr"/>
      <c r="I1157" s="6" t="inlineStr"/>
      <c r="J1157" s="6" t="inlineStr"/>
      <c r="K1157" s="16" t="n">
        <v>12</v>
      </c>
      <c r="L1157" s="2" t="inlineStr">
        <is>
          <t>20260313801653</t>
        </is>
      </c>
      <c r="M1157" s="8">
        <f>HYPERLINK("https://dart.fss.or.kr/dsaf001/main.do?rcpNo=20260313801653", "공시열람")</f>
        <v/>
      </c>
    </row>
    <row r="1158" ht="22" customHeight="1">
      <c r="A1158" s="2" t="inlineStr">
        <is>
          <t>2026-03-13</t>
        </is>
      </c>
      <c r="B1158" s="3" t="inlineStr">
        <is>
          <t>LF</t>
        </is>
      </c>
      <c r="C1158" s="2" t="inlineStr">
        <is>
          <t>093050</t>
        </is>
      </c>
      <c r="D1158" s="2" t="inlineStr">
        <is>
          <t>임원보고</t>
        </is>
      </c>
      <c r="E1158" s="3" t="inlineStr">
        <is>
          <t>-</t>
        </is>
      </c>
      <c r="F1158" s="3" t="inlineStr">
        <is>
          <t>-</t>
        </is>
      </c>
      <c r="G1158" s="3" t="inlineStr">
        <is>
          <t>-</t>
        </is>
      </c>
      <c r="H1158" s="6" t="inlineStr"/>
      <c r="I1158" s="6" t="inlineStr"/>
      <c r="J1158" s="6" t="inlineStr"/>
      <c r="K1158" s="16" t="n">
        <v>12</v>
      </c>
      <c r="L1158" s="2" t="inlineStr">
        <is>
          <t>20260313801631</t>
        </is>
      </c>
      <c r="M1158" s="8">
        <f>HYPERLINK("https://dart.fss.or.kr/dsaf001/main.do?rcpNo=20260313801631", "공시열람")</f>
        <v/>
      </c>
    </row>
    <row r="1159" ht="22" customHeight="1">
      <c r="A1159" s="2" t="inlineStr">
        <is>
          <t>2026-03-13</t>
        </is>
      </c>
      <c r="B1159" s="3" t="inlineStr">
        <is>
          <t>유안타증권</t>
        </is>
      </c>
      <c r="C1159" s="2" t="inlineStr">
        <is>
          <t>003470</t>
        </is>
      </c>
      <c r="D1159" s="2" t="inlineStr">
        <is>
          <t>임원보고</t>
        </is>
      </c>
      <c r="E1159" s="3" t="inlineStr">
        <is>
          <t>-</t>
        </is>
      </c>
      <c r="F1159" s="3" t="inlineStr">
        <is>
          <t>-</t>
        </is>
      </c>
      <c r="G1159" s="3" t="inlineStr">
        <is>
          <t>-</t>
        </is>
      </c>
      <c r="H1159" s="6" t="inlineStr"/>
      <c r="I1159" s="6" t="inlineStr"/>
      <c r="J1159" s="6" t="inlineStr"/>
      <c r="K1159" s="16" t="n">
        <v>12</v>
      </c>
      <c r="L1159" s="2" t="inlineStr">
        <is>
          <t>20260313801629</t>
        </is>
      </c>
      <c r="M1159" s="8">
        <f>HYPERLINK("https://dart.fss.or.kr/dsaf001/main.do?rcpNo=20260313801629", "공시열람")</f>
        <v/>
      </c>
    </row>
    <row r="1160" ht="22" customHeight="1">
      <c r="A1160" s="2" t="inlineStr">
        <is>
          <t>2026-03-13</t>
        </is>
      </c>
      <c r="B1160" s="3" t="inlineStr">
        <is>
          <t>대성미생물</t>
        </is>
      </c>
      <c r="C1160" s="2" t="inlineStr">
        <is>
          <t>036480</t>
        </is>
      </c>
      <c r="D1160" s="2" t="inlineStr">
        <is>
          <t>대량보유</t>
        </is>
      </c>
      <c r="E1160" s="3" t="inlineStr">
        <is>
          <t>주식회사인실리코</t>
        </is>
      </c>
      <c r="F1160" s="3" t="inlineStr">
        <is>
          <t>특별관계자</t>
        </is>
      </c>
      <c r="G1160" s="3" t="inlineStr">
        <is>
          <t>장외매수(+)</t>
        </is>
      </c>
      <c r="H1160" s="15" t="n">
        <v>1466740</v>
      </c>
      <c r="I1160" s="6" t="n">
        <v>11000</v>
      </c>
      <c r="J1160" s="6" t="n">
        <v>1466740</v>
      </c>
      <c r="K1160" s="16" t="n">
        <v>38.6</v>
      </c>
      <c r="L1160" s="2" t="inlineStr">
        <is>
          <t>20260313001062</t>
        </is>
      </c>
      <c r="M1160" s="8">
        <f>HYPERLINK("https://dart.fss.or.kr/dsaf001/main.do?rcpNo=20260313001062", "공시열람")</f>
        <v/>
      </c>
    </row>
    <row r="1161" ht="22" customHeight="1">
      <c r="A1161" s="2" t="inlineStr">
        <is>
          <t>2026-03-13</t>
        </is>
      </c>
      <c r="B1161" s="3" t="inlineStr">
        <is>
          <t>HD현대</t>
        </is>
      </c>
      <c r="C1161" s="2" t="inlineStr">
        <is>
          <t>267250</t>
        </is>
      </c>
      <c r="D1161" s="2" t="inlineStr">
        <is>
          <t>대량보유</t>
        </is>
      </c>
      <c r="E1161" s="3" t="inlineStr">
        <is>
          <t>정몽준</t>
        </is>
      </c>
      <c r="F1161" s="3" t="inlineStr">
        <is>
          <t>보고자</t>
        </is>
      </c>
      <c r="G1161" s="3" t="inlineStr">
        <is>
          <t>- 보유주식에 대한 담보계약 연장</t>
        </is>
      </c>
      <c r="H1161" s="6" t="inlineStr"/>
      <c r="I1161" s="6" t="inlineStr"/>
      <c r="J1161" s="6" t="n">
        <v>29374637</v>
      </c>
      <c r="K1161" s="16" t="n">
        <v>9</v>
      </c>
      <c r="L1161" s="2" t="inlineStr">
        <is>
          <t>20260313001058</t>
        </is>
      </c>
      <c r="M1161" s="8">
        <f>HYPERLINK("https://dart.fss.or.kr/dsaf001/main.do?rcpNo=20260313001058", "공시열람")</f>
        <v/>
      </c>
    </row>
    <row r="1162" ht="22" customHeight="1">
      <c r="A1162" s="2" t="inlineStr">
        <is>
          <t>2026-04-16</t>
        </is>
      </c>
      <c r="B1162" s="3" t="inlineStr">
        <is>
          <t>에이프로젠바이오로직스</t>
        </is>
      </c>
      <c r="C1162" s="2" t="inlineStr">
        <is>
          <t>003060</t>
        </is>
      </c>
      <c r="D1162" s="2" t="inlineStr">
        <is>
          <t>대량보유</t>
        </is>
      </c>
      <c r="E1162" s="3" t="inlineStr">
        <is>
          <t>(주)에이프로젠</t>
        </is>
      </c>
      <c r="F1162" s="3" t="inlineStr">
        <is>
          <t>특별관계자</t>
        </is>
      </c>
      <c r="G1162" s="3" t="inlineStr">
        <is>
          <t>주식병합</t>
        </is>
      </c>
      <c r="H1162" s="17" t="n">
        <v>-105308856</v>
      </c>
      <c r="I1162" s="6" t="inlineStr"/>
      <c r="J1162" s="6" t="n">
        <v>7522061</v>
      </c>
      <c r="K1162" s="16" t="n">
        <v>5</v>
      </c>
      <c r="L1162" s="2" t="inlineStr">
        <is>
          <t>20260416000553</t>
        </is>
      </c>
      <c r="M1162" s="8">
        <f>HYPERLINK("https://dart.fss.or.kr/dsaf001/main.do?rcpNo=20260416000553", "공시열람")</f>
        <v/>
      </c>
    </row>
    <row r="1163" ht="22" customHeight="1">
      <c r="A1163" s="2" t="inlineStr">
        <is>
          <t>2026-04-16</t>
        </is>
      </c>
      <c r="B1163" s="3" t="inlineStr">
        <is>
          <t>에이프로젠바이오로직스</t>
        </is>
      </c>
      <c r="C1163" s="2" t="inlineStr">
        <is>
          <t>003060</t>
        </is>
      </c>
      <c r="D1163" s="2" t="inlineStr">
        <is>
          <t>대량보유</t>
        </is>
      </c>
      <c r="E1163" s="3" t="inlineStr">
        <is>
          <t>김정출</t>
        </is>
      </c>
      <c r="F1163" s="3" t="inlineStr">
        <is>
          <t>특별관계자</t>
        </is>
      </c>
      <c r="G1163" s="3" t="inlineStr">
        <is>
          <t>주식병합</t>
        </is>
      </c>
      <c r="H1163" s="17" t="n">
        <v>-20422</v>
      </c>
      <c r="I1163" s="6" t="inlineStr"/>
      <c r="J1163" s="6" t="n">
        <v>1458</v>
      </c>
      <c r="K1163" s="16" t="n">
        <v>5</v>
      </c>
      <c r="L1163" s="2" t="inlineStr">
        <is>
          <t>20260416000553</t>
        </is>
      </c>
      <c r="M1163" s="8">
        <f>HYPERLINK("https://dart.fss.or.kr/dsaf001/main.do?rcpNo=20260416000553", "공시열람")</f>
        <v/>
      </c>
    </row>
    <row r="1164" ht="22" customHeight="1">
      <c r="A1164" s="2" t="inlineStr">
        <is>
          <t>2026-04-16</t>
        </is>
      </c>
      <c r="B1164" s="3" t="inlineStr">
        <is>
          <t>에이프로젠바이오로직스</t>
        </is>
      </c>
      <c r="C1164" s="2" t="inlineStr">
        <is>
          <t>003060</t>
        </is>
      </c>
      <c r="D1164" s="2" t="inlineStr">
        <is>
          <t>대량보유</t>
        </is>
      </c>
      <c r="E1164" s="3" t="inlineStr">
        <is>
          <t>(주)지베이스</t>
        </is>
      </c>
      <c r="F1164" s="3" t="inlineStr">
        <is>
          <t>특별관계자</t>
        </is>
      </c>
      <c r="G1164" s="3" t="inlineStr">
        <is>
          <t>주식병합</t>
        </is>
      </c>
      <c r="H1164" s="17" t="n">
        <v>-47</v>
      </c>
      <c r="I1164" s="6" t="inlineStr"/>
      <c r="J1164" s="6" t="n">
        <v>3</v>
      </c>
      <c r="K1164" s="16" t="n">
        <v>5</v>
      </c>
      <c r="L1164" s="2" t="inlineStr">
        <is>
          <t>20260416000553</t>
        </is>
      </c>
      <c r="M1164" s="8">
        <f>HYPERLINK("https://dart.fss.or.kr/dsaf001/main.do?rcpNo=20260416000553", "공시열람")</f>
        <v/>
      </c>
    </row>
    <row r="1165" ht="22" customHeight="1">
      <c r="A1165" s="2" t="inlineStr">
        <is>
          <t>2026-04-16</t>
        </is>
      </c>
      <c r="B1165" s="3" t="inlineStr">
        <is>
          <t>에이프로젠바이오로직스</t>
        </is>
      </c>
      <c r="C1165" s="2" t="inlineStr">
        <is>
          <t>003060</t>
        </is>
      </c>
      <c r="D1165" s="2" t="inlineStr">
        <is>
          <t>대량보유</t>
        </is>
      </c>
      <c r="E1165" s="3" t="inlineStr">
        <is>
          <t>(주)앱튼(舊.(주)앱트뉴로사이언스)</t>
        </is>
      </c>
      <c r="F1165" s="3" t="inlineStr">
        <is>
          <t>특별관계자</t>
        </is>
      </c>
      <c r="G1165" s="3" t="inlineStr">
        <is>
          <t>행사가액조정</t>
        </is>
      </c>
      <c r="H1165" s="17" t="n">
        <v>-136251207</v>
      </c>
      <c r="I1165" s="6" t="n">
        <v>7649</v>
      </c>
      <c r="J1165" s="6" t="n">
        <v>3058103</v>
      </c>
      <c r="K1165" s="16" t="n">
        <v>5</v>
      </c>
      <c r="L1165" s="2" t="inlineStr">
        <is>
          <t>20260416000553</t>
        </is>
      </c>
      <c r="M1165" s="8">
        <f>HYPERLINK("https://dart.fss.or.kr/dsaf001/main.do?rcpNo=20260416000553", "공시열람")</f>
        <v/>
      </c>
    </row>
    <row r="1166" ht="22" customHeight="1">
      <c r="A1166" s="2" t="inlineStr">
        <is>
          <t>2026-04-16</t>
        </is>
      </c>
      <c r="B1166" s="3" t="inlineStr">
        <is>
          <t>에이프로젠바이오로직스</t>
        </is>
      </c>
      <c r="C1166" s="2" t="inlineStr">
        <is>
          <t>003060</t>
        </is>
      </c>
      <c r="D1166" s="2" t="inlineStr">
        <is>
          <t>대량보유</t>
        </is>
      </c>
      <c r="E1166" s="3" t="inlineStr">
        <is>
          <t>제이드신기술조합제79호</t>
        </is>
      </c>
      <c r="F1166" s="3" t="inlineStr">
        <is>
          <t>특별관계자</t>
        </is>
      </c>
      <c r="G1166" s="3" t="inlineStr">
        <is>
          <t>행사가액조정</t>
        </is>
      </c>
      <c r="H1166" s="17" t="n">
        <v>-73202614</v>
      </c>
      <c r="I1166" s="6" t="n">
        <v>7650</v>
      </c>
      <c r="J1166" s="6" t="n">
        <v>5228758</v>
      </c>
      <c r="K1166" s="16" t="n">
        <v>5</v>
      </c>
      <c r="L1166" s="2" t="inlineStr">
        <is>
          <t>20260416000553</t>
        </is>
      </c>
      <c r="M1166" s="8">
        <f>HYPERLINK("https://dart.fss.or.kr/dsaf001/main.do?rcpNo=20260416000553", "공시열람")</f>
        <v/>
      </c>
    </row>
    <row r="1167" ht="22" customHeight="1">
      <c r="A1167" s="2" t="inlineStr">
        <is>
          <t>2026-04-16</t>
        </is>
      </c>
      <c r="B1167" s="3" t="inlineStr">
        <is>
          <t>엔비알모션</t>
        </is>
      </c>
      <c r="C1167" s="2" t="inlineStr">
        <is>
          <t>0004V0</t>
        </is>
      </c>
      <c r="D1167" s="2" t="inlineStr">
        <is>
          <t>대량보유</t>
        </is>
      </c>
      <c r="E1167" s="3" t="inlineStr">
        <is>
          <t>에스비아이성장전략M&amp;A펀드</t>
        </is>
      </c>
      <c r="F1167" s="3" t="inlineStr">
        <is>
          <t>특별관계자</t>
        </is>
      </c>
      <c r="G1167" s="3" t="inlineStr">
        <is>
          <t>장내매도(-)</t>
        </is>
      </c>
      <c r="H1167" s="17" t="n">
        <v>-126000</v>
      </c>
      <c r="I1167" s="6" t="n">
        <v>18515</v>
      </c>
      <c r="J1167" s="6" t="n">
        <v>520000</v>
      </c>
      <c r="K1167" s="16" t="n">
        <v>1</v>
      </c>
      <c r="L1167" s="2" t="inlineStr">
        <is>
          <t>20260416000548</t>
        </is>
      </c>
      <c r="M1167" s="8">
        <f>HYPERLINK("https://dart.fss.or.kr/dsaf001/main.do?rcpNo=20260416000548", "공시열람")</f>
        <v/>
      </c>
    </row>
    <row r="1168" ht="22" customHeight="1">
      <c r="A1168" s="2" t="inlineStr">
        <is>
          <t>2026-04-16</t>
        </is>
      </c>
      <c r="B1168" s="3" t="inlineStr">
        <is>
          <t>질경이</t>
        </is>
      </c>
      <c r="C1168" s="2" t="inlineStr">
        <is>
          <t>233990</t>
        </is>
      </c>
      <c r="D1168" s="2" t="inlineStr">
        <is>
          <t>대량보유</t>
        </is>
      </c>
      <c r="E1168" s="3" t="inlineStr">
        <is>
          <t>2022대신-SBI코넥스스케일업펀드</t>
        </is>
      </c>
      <c r="F1168" s="3" t="inlineStr">
        <is>
          <t>특별관계자</t>
        </is>
      </c>
      <c r="G1168" s="3" t="inlineStr">
        <is>
          <t>제3자배정유상증자(+)</t>
        </is>
      </c>
      <c r="H1168" s="15" t="n">
        <v>1363636</v>
      </c>
      <c r="I1168" s="6" t="n">
        <v>2200</v>
      </c>
      <c r="J1168" s="6" t="n">
        <v>1363636</v>
      </c>
      <c r="K1168" s="16" t="n">
        <v>1</v>
      </c>
      <c r="L1168" s="2" t="inlineStr">
        <is>
          <t>20260416000542</t>
        </is>
      </c>
      <c r="M1168" s="8">
        <f>HYPERLINK("https://dart.fss.or.kr/dsaf001/main.do?rcpNo=20260416000542", "공시열람")</f>
        <v/>
      </c>
    </row>
    <row r="1169" ht="22" customHeight="1">
      <c r="A1169" s="2" t="inlineStr">
        <is>
          <t>2026-04-16</t>
        </is>
      </c>
      <c r="B1169" s="3" t="inlineStr">
        <is>
          <t>유안타증권</t>
        </is>
      </c>
      <c r="C1169" s="2" t="inlineStr">
        <is>
          <t>003470</t>
        </is>
      </c>
      <c r="D1169" s="2" t="inlineStr">
        <is>
          <t>임원보고</t>
        </is>
      </c>
      <c r="E1169" s="3" t="inlineStr">
        <is>
          <t>-</t>
        </is>
      </c>
      <c r="F1169" s="3" t="inlineStr">
        <is>
          <t>-</t>
        </is>
      </c>
      <c r="G1169" s="3" t="inlineStr">
        <is>
          <t>-</t>
        </is>
      </c>
      <c r="H1169" s="6" t="inlineStr"/>
      <c r="I1169" s="6" t="inlineStr"/>
      <c r="J1169" s="6" t="inlineStr"/>
      <c r="K1169" s="16" t="n">
        <v>12</v>
      </c>
      <c r="L1169" s="2" t="inlineStr">
        <is>
          <t>20260416800641</t>
        </is>
      </c>
      <c r="M1169" s="8">
        <f>HYPERLINK("https://dart.fss.or.kr/dsaf001/main.do?rcpNo=20260416800641", "공시열람")</f>
        <v/>
      </c>
    </row>
    <row r="1170" ht="22" customHeight="1">
      <c r="A1170" s="2" t="inlineStr">
        <is>
          <t>2026-04-16</t>
        </is>
      </c>
      <c r="B1170" s="3" t="inlineStr">
        <is>
          <t>삼성E&amp;A</t>
        </is>
      </c>
      <c r="C1170" s="2" t="inlineStr">
        <is>
          <t>028050</t>
        </is>
      </c>
      <c r="D1170" s="2" t="inlineStr">
        <is>
          <t>대량보유</t>
        </is>
      </c>
      <c r="E1170" s="3" t="inlineStr">
        <is>
          <t>InvescoAssetManagementLimited</t>
        </is>
      </c>
      <c r="F1170" s="3" t="inlineStr">
        <is>
          <t>특별관계자</t>
        </is>
      </c>
      <c r="G1170" s="3" t="inlineStr">
        <is>
          <t>장내매도(-), 장내매수(+)</t>
        </is>
      </c>
      <c r="H1170" s="17" t="n">
        <v>-1825329</v>
      </c>
      <c r="I1170" s="6" t="n">
        <v>41249</v>
      </c>
      <c r="J1170" s="6" t="n">
        <v>7450111</v>
      </c>
      <c r="K1170" s="16" t="n">
        <v>3</v>
      </c>
      <c r="L1170" s="2" t="inlineStr">
        <is>
          <t>20260416000508</t>
        </is>
      </c>
      <c r="M1170" s="8">
        <f>HYPERLINK("https://dart.fss.or.kr/dsaf001/main.do?rcpNo=20260416000508", "공시열람")</f>
        <v/>
      </c>
    </row>
    <row r="1171" ht="22" customHeight="1">
      <c r="A1171" s="2" t="inlineStr">
        <is>
          <t>2026-04-16</t>
        </is>
      </c>
      <c r="B1171" s="3" t="inlineStr">
        <is>
          <t>삼성E&amp;A</t>
        </is>
      </c>
      <c r="C1171" s="2" t="inlineStr">
        <is>
          <t>028050</t>
        </is>
      </c>
      <c r="D1171" s="2" t="inlineStr">
        <is>
          <t>대량보유</t>
        </is>
      </c>
      <c r="E1171" s="3" t="inlineStr">
        <is>
          <t>InvescoAssetManagementSingaporeLtd</t>
        </is>
      </c>
      <c r="F1171" s="3" t="inlineStr">
        <is>
          <t>특별관계자</t>
        </is>
      </c>
      <c r="G1171" s="3" t="inlineStr">
        <is>
          <t>장내매도(-)</t>
        </is>
      </c>
      <c r="H1171" s="17" t="n">
        <v>-178819</v>
      </c>
      <c r="I1171" s="6" t="n">
        <v>51261</v>
      </c>
      <c r="J1171" s="6" t="n">
        <v>1370912</v>
      </c>
      <c r="K1171" s="16" t="n">
        <v>3</v>
      </c>
      <c r="L1171" s="2" t="inlineStr">
        <is>
          <t>20260416000508</t>
        </is>
      </c>
      <c r="M1171" s="8">
        <f>HYPERLINK("https://dart.fss.or.kr/dsaf001/main.do?rcpNo=20260416000508", "공시열람")</f>
        <v/>
      </c>
    </row>
    <row r="1172" ht="22" customHeight="1">
      <c r="A1172" s="2" t="inlineStr">
        <is>
          <t>2026-04-16</t>
        </is>
      </c>
      <c r="B1172" s="3" t="inlineStr">
        <is>
          <t>삼성E&amp;A</t>
        </is>
      </c>
      <c r="C1172" s="2" t="inlineStr">
        <is>
          <t>028050</t>
        </is>
      </c>
      <c r="D1172" s="2" t="inlineStr">
        <is>
          <t>대량보유</t>
        </is>
      </c>
      <c r="E1172" s="3" t="inlineStr">
        <is>
          <t>InvescoCapitalManagemetLLC</t>
        </is>
      </c>
      <c r="F1172" s="3" t="inlineStr">
        <is>
          <t>특별관계자</t>
        </is>
      </c>
      <c r="G1172" s="3" t="inlineStr">
        <is>
          <t>장내매수(+), 장내매도(-)</t>
        </is>
      </c>
      <c r="H1172" s="17" t="n">
        <v>-19513</v>
      </c>
      <c r="I1172" s="6" t="n">
        <v>45868</v>
      </c>
      <c r="J1172" s="6" t="n">
        <v>96081</v>
      </c>
      <c r="K1172" s="16" t="n">
        <v>3</v>
      </c>
      <c r="L1172" s="2" t="inlineStr">
        <is>
          <t>20260416000508</t>
        </is>
      </c>
      <c r="M1172" s="8">
        <f>HYPERLINK("https://dart.fss.or.kr/dsaf001/main.do?rcpNo=20260416000508", "공시열람")</f>
        <v/>
      </c>
    </row>
    <row r="1173" ht="22" customHeight="1">
      <c r="A1173" s="2" t="inlineStr">
        <is>
          <t>2026-04-16</t>
        </is>
      </c>
      <c r="B1173" s="3" t="inlineStr">
        <is>
          <t>남화토건</t>
        </is>
      </c>
      <c r="C1173" s="2" t="inlineStr">
        <is>
          <t>091590</t>
        </is>
      </c>
      <c r="D1173" s="2" t="inlineStr">
        <is>
          <t>대량보유</t>
        </is>
      </c>
      <c r="E1173" s="3" t="inlineStr">
        <is>
          <t>최재훈 외</t>
        </is>
      </c>
      <c r="F1173" s="3" t="inlineStr">
        <is>
          <t>보고자</t>
        </is>
      </c>
      <c r="G1173" s="3" t="inlineStr">
        <is>
          <t>주식담보대출 계약변경(계약기간)으로 인한 보고</t>
        </is>
      </c>
      <c r="H1173" s="6" t="inlineStr"/>
      <c r="I1173" s="6" t="inlineStr"/>
      <c r="J1173" s="6" t="n">
        <v>6910226</v>
      </c>
      <c r="K1173" s="16" t="n">
        <v>22</v>
      </c>
      <c r="L1173" s="2" t="inlineStr">
        <is>
          <t>20260416000506</t>
        </is>
      </c>
      <c r="M1173" s="8">
        <f>HYPERLINK("https://dart.fss.or.kr/dsaf001/main.do?rcpNo=20260416000506", "공시열람")</f>
        <v/>
      </c>
    </row>
    <row r="1174" ht="22" customHeight="1">
      <c r="A1174" s="2" t="inlineStr">
        <is>
          <t>2026-04-16</t>
        </is>
      </c>
      <c r="B1174" s="3" t="inlineStr">
        <is>
          <t>민테크</t>
        </is>
      </c>
      <c r="C1174" s="2" t="inlineStr">
        <is>
          <t>452200</t>
        </is>
      </c>
      <c r="D1174" s="2" t="inlineStr">
        <is>
          <t>대량보유</t>
        </is>
      </c>
      <c r="E1174" s="3" t="inlineStr">
        <is>
          <t>홍영진</t>
        </is>
      </c>
      <c r="F1174" s="3" t="inlineStr">
        <is>
          <t>특별관계자</t>
        </is>
      </c>
      <c r="G1174" s="3" t="inlineStr">
        <is>
          <t>장내매수(+)</t>
        </is>
      </c>
      <c r="H1174" s="15" t="n">
        <v>20000</v>
      </c>
      <c r="I1174" s="6" t="n">
        <v>2321</v>
      </c>
      <c r="J1174" s="6" t="n">
        <v>2975000</v>
      </c>
      <c r="K1174" s="16" t="n">
        <v>9</v>
      </c>
      <c r="L1174" s="2" t="inlineStr">
        <is>
          <t>20260416000504</t>
        </is>
      </c>
      <c r="M1174" s="8">
        <f>HYPERLINK("https://dart.fss.or.kr/dsaf001/main.do?rcpNo=20260416000504", "공시열람")</f>
        <v/>
      </c>
    </row>
    <row r="1175" ht="22" customHeight="1">
      <c r="A1175" s="2" t="inlineStr">
        <is>
          <t>2026-04-16</t>
        </is>
      </c>
      <c r="B1175" s="3" t="inlineStr">
        <is>
          <t>민테크</t>
        </is>
      </c>
      <c r="C1175" s="2" t="inlineStr">
        <is>
          <t>452200</t>
        </is>
      </c>
      <c r="D1175" s="2" t="inlineStr">
        <is>
          <t>대량보유</t>
        </is>
      </c>
      <c r="E1175" s="3" t="inlineStr">
        <is>
          <t>명재영</t>
        </is>
      </c>
      <c r="F1175" s="3" t="inlineStr">
        <is>
          <t>특별관계자</t>
        </is>
      </c>
      <c r="G1175" s="3" t="inlineStr">
        <is>
          <t>장내매수(+)</t>
        </is>
      </c>
      <c r="H1175" s="15" t="n">
        <v>5000</v>
      </c>
      <c r="I1175" s="6" t="n">
        <v>2330</v>
      </c>
      <c r="J1175" s="6" t="n">
        <v>230000</v>
      </c>
      <c r="K1175" s="16" t="n">
        <v>9</v>
      </c>
      <c r="L1175" s="2" t="inlineStr">
        <is>
          <t>20260416000504</t>
        </is>
      </c>
      <c r="M1175" s="8">
        <f>HYPERLINK("https://dart.fss.or.kr/dsaf001/main.do?rcpNo=20260416000504", "공시열람")</f>
        <v/>
      </c>
    </row>
    <row r="1176" ht="22" customHeight="1">
      <c r="A1176" s="2" t="inlineStr">
        <is>
          <t>2026-04-16</t>
        </is>
      </c>
      <c r="B1176" s="3" t="inlineStr">
        <is>
          <t>민테크</t>
        </is>
      </c>
      <c r="C1176" s="2" t="inlineStr">
        <is>
          <t>452200</t>
        </is>
      </c>
      <c r="D1176" s="2" t="inlineStr">
        <is>
          <t>대량보유</t>
        </is>
      </c>
      <c r="E1176" s="3" t="inlineStr">
        <is>
          <t>이재훈</t>
        </is>
      </c>
      <c r="F1176" s="3" t="inlineStr">
        <is>
          <t>특별관계자</t>
        </is>
      </c>
      <c r="G1176" s="3" t="inlineStr">
        <is>
          <t>장내매수(+)</t>
        </is>
      </c>
      <c r="H1176" s="15" t="n">
        <v>5000</v>
      </c>
      <c r="I1176" s="6" t="n">
        <v>2291</v>
      </c>
      <c r="J1176" s="6" t="n">
        <v>830000</v>
      </c>
      <c r="K1176" s="16" t="n">
        <v>9</v>
      </c>
      <c r="L1176" s="2" t="inlineStr">
        <is>
          <t>20260416000504</t>
        </is>
      </c>
      <c r="M1176" s="8">
        <f>HYPERLINK("https://dart.fss.or.kr/dsaf001/main.do?rcpNo=20260416000504", "공시열람")</f>
        <v/>
      </c>
    </row>
    <row r="1177" ht="22" customHeight="1">
      <c r="A1177" s="2" t="inlineStr">
        <is>
          <t>2026-04-16</t>
        </is>
      </c>
      <c r="B1177" s="3" t="inlineStr">
        <is>
          <t>민테크</t>
        </is>
      </c>
      <c r="C1177" s="2" t="inlineStr">
        <is>
          <t>452200</t>
        </is>
      </c>
      <c r="D1177" s="2" t="inlineStr">
        <is>
          <t>대량보유</t>
        </is>
      </c>
      <c r="E1177" s="3" t="inlineStr">
        <is>
          <t>정민영</t>
        </is>
      </c>
      <c r="F1177" s="3" t="inlineStr">
        <is>
          <t>특별관계자</t>
        </is>
      </c>
      <c r="G1177" s="3" t="inlineStr">
        <is>
          <t>장내매수(+), 주식매수선택권부여(+)</t>
        </is>
      </c>
      <c r="H1177" s="15" t="n">
        <v>53600</v>
      </c>
      <c r="I1177" s="6" t="n">
        <v>2341</v>
      </c>
      <c r="J1177" s="6" t="n">
        <v>50000</v>
      </c>
      <c r="K1177" s="16" t="n">
        <v>9</v>
      </c>
      <c r="L1177" s="2" t="inlineStr">
        <is>
          <t>20260416000504</t>
        </is>
      </c>
      <c r="M1177" s="8">
        <f>HYPERLINK("https://dart.fss.or.kr/dsaf001/main.do?rcpNo=20260416000504", "공시열람")</f>
        <v/>
      </c>
    </row>
    <row r="1178" ht="22" customHeight="1">
      <c r="A1178" s="2" t="inlineStr">
        <is>
          <t>2026-04-16</t>
        </is>
      </c>
      <c r="B1178" s="3" t="inlineStr">
        <is>
          <t>민테크</t>
        </is>
      </c>
      <c r="C1178" s="2" t="inlineStr">
        <is>
          <t>452200</t>
        </is>
      </c>
      <c r="D1178" s="2" t="inlineStr">
        <is>
          <t>대량보유</t>
        </is>
      </c>
      <c r="E1178" s="3" t="inlineStr">
        <is>
          <t>김재규</t>
        </is>
      </c>
      <c r="F1178" s="3" t="inlineStr">
        <is>
          <t>특별관계자</t>
        </is>
      </c>
      <c r="G1178" s="3" t="inlineStr">
        <is>
          <t>주식매수선택권행사(+), 주식매수선택권행사(-), 장내매수(+)</t>
        </is>
      </c>
      <c r="H1178" s="15" t="n">
        <v>3500</v>
      </c>
      <c r="I1178" s="6" t="n">
        <v>378</v>
      </c>
      <c r="J1178" s="6" t="n">
        <v>3500</v>
      </c>
      <c r="K1178" s="16" t="n">
        <v>9</v>
      </c>
      <c r="L1178" s="2" t="inlineStr">
        <is>
          <t>20260416000504</t>
        </is>
      </c>
      <c r="M1178" s="8">
        <f>HYPERLINK("https://dart.fss.or.kr/dsaf001/main.do?rcpNo=20260416000504", "공시열람")</f>
        <v/>
      </c>
    </row>
    <row r="1179" ht="22" customHeight="1">
      <c r="A1179" s="2" t="inlineStr">
        <is>
          <t>2026-04-16</t>
        </is>
      </c>
      <c r="B1179" s="3" t="inlineStr">
        <is>
          <t>민테크</t>
        </is>
      </c>
      <c r="C1179" s="2" t="inlineStr">
        <is>
          <t>452200</t>
        </is>
      </c>
      <c r="D1179" s="2" t="inlineStr">
        <is>
          <t>대량보유</t>
        </is>
      </c>
      <c r="E1179" s="3" t="inlineStr">
        <is>
          <t>이영재</t>
        </is>
      </c>
      <c r="F1179" s="3" t="inlineStr">
        <is>
          <t>특별관계자</t>
        </is>
      </c>
      <c r="G1179" s="3" t="inlineStr">
        <is>
          <t>임원퇴임(-)</t>
        </is>
      </c>
      <c r="H1179" s="17" t="n">
        <v>-825000</v>
      </c>
      <c r="I1179" s="6" t="inlineStr"/>
      <c r="J1179" s="6" t="inlineStr"/>
      <c r="K1179" s="16" t="n">
        <v>9</v>
      </c>
      <c r="L1179" s="2" t="inlineStr">
        <is>
          <t>20260416000504</t>
        </is>
      </c>
      <c r="M1179" s="8">
        <f>HYPERLINK("https://dart.fss.or.kr/dsaf001/main.do?rcpNo=20260416000504", "공시열람")</f>
        <v/>
      </c>
    </row>
    <row r="1180" ht="22" customHeight="1">
      <c r="A1180" s="2" t="inlineStr">
        <is>
          <t>2026-04-16</t>
        </is>
      </c>
      <c r="B1180" s="3" t="inlineStr">
        <is>
          <t>민테크</t>
        </is>
      </c>
      <c r="C1180" s="2" t="inlineStr">
        <is>
          <t>452200</t>
        </is>
      </c>
      <c r="D1180" s="2" t="inlineStr">
        <is>
          <t>대량보유</t>
        </is>
      </c>
      <c r="E1180" s="3" t="inlineStr">
        <is>
          <t>조인호</t>
        </is>
      </c>
      <c r="F1180" s="3" t="inlineStr">
        <is>
          <t>특별관계자</t>
        </is>
      </c>
      <c r="G1180" s="3" t="inlineStr">
        <is>
          <t>임원퇴임(-)</t>
        </is>
      </c>
      <c r="H1180" s="17" t="n">
        <v>-100000</v>
      </c>
      <c r="I1180" s="6" t="inlineStr"/>
      <c r="J1180" s="6" t="inlineStr"/>
      <c r="K1180" s="16" t="n">
        <v>9</v>
      </c>
      <c r="L1180" s="2" t="inlineStr">
        <is>
          <t>20260416000504</t>
        </is>
      </c>
      <c r="M1180" s="8">
        <f>HYPERLINK("https://dart.fss.or.kr/dsaf001/main.do?rcpNo=20260416000504", "공시열람")</f>
        <v/>
      </c>
    </row>
    <row r="1181" ht="22" customHeight="1">
      <c r="A1181" s="2" t="inlineStr">
        <is>
          <t>2026-04-16</t>
        </is>
      </c>
      <c r="B1181" s="3" t="inlineStr">
        <is>
          <t>민테크</t>
        </is>
      </c>
      <c r="C1181" s="2" t="inlineStr">
        <is>
          <t>452200</t>
        </is>
      </c>
      <c r="D1181" s="2" t="inlineStr">
        <is>
          <t>대량보유</t>
        </is>
      </c>
      <c r="E1181" s="3" t="inlineStr">
        <is>
          <t>김호기</t>
        </is>
      </c>
      <c r="F1181" s="3" t="inlineStr">
        <is>
          <t>특별관계자</t>
        </is>
      </c>
      <c r="G1181" s="3" t="inlineStr">
        <is>
          <t>장내매수(+), 주식매수선택권행사(-), 주식매수선택권행사(+)</t>
        </is>
      </c>
      <c r="H1181" s="15" t="n">
        <v>15770</v>
      </c>
      <c r="I1181" s="6" t="n">
        <v>388</v>
      </c>
      <c r="J1181" s="6" t="n">
        <v>10500</v>
      </c>
      <c r="K1181" s="16" t="n">
        <v>9</v>
      </c>
      <c r="L1181" s="2" t="inlineStr">
        <is>
          <t>20260416000504</t>
        </is>
      </c>
      <c r="M1181" s="8">
        <f>HYPERLINK("https://dart.fss.or.kr/dsaf001/main.do?rcpNo=20260416000504", "공시열람")</f>
        <v/>
      </c>
    </row>
    <row r="1182" ht="22" customHeight="1">
      <c r="A1182" s="2" t="inlineStr">
        <is>
          <t>2026-04-16</t>
        </is>
      </c>
      <c r="B1182" s="3" t="inlineStr">
        <is>
          <t>민테크</t>
        </is>
      </c>
      <c r="C1182" s="2" t="inlineStr">
        <is>
          <t>452200</t>
        </is>
      </c>
      <c r="D1182" s="2" t="inlineStr">
        <is>
          <t>대량보유</t>
        </is>
      </c>
      <c r="E1182" s="3" t="inlineStr">
        <is>
          <t>홍지민</t>
        </is>
      </c>
      <c r="F1182" s="3" t="inlineStr">
        <is>
          <t>특별관계자</t>
        </is>
      </c>
      <c r="G1182" s="3" t="inlineStr">
        <is>
          <t>장내매수(+)</t>
        </is>
      </c>
      <c r="H1182" s="15" t="n">
        <v>4000</v>
      </c>
      <c r="I1182" s="6" t="n">
        <v>7354</v>
      </c>
      <c r="J1182" s="6" t="n">
        <v>5000</v>
      </c>
      <c r="K1182" s="16" t="n">
        <v>9</v>
      </c>
      <c r="L1182" s="2" t="inlineStr">
        <is>
          <t>20260416000504</t>
        </is>
      </c>
      <c r="M1182" s="8">
        <f>HYPERLINK("https://dart.fss.or.kr/dsaf001/main.do?rcpNo=20260416000504", "공시열람")</f>
        <v/>
      </c>
    </row>
    <row r="1183" ht="22" customHeight="1">
      <c r="A1183" s="2" t="inlineStr">
        <is>
          <t>2026-04-16</t>
        </is>
      </c>
      <c r="B1183" s="3" t="inlineStr">
        <is>
          <t>민테크</t>
        </is>
      </c>
      <c r="C1183" s="2" t="inlineStr">
        <is>
          <t>452200</t>
        </is>
      </c>
      <c r="D1183" s="2" t="inlineStr">
        <is>
          <t>대량보유</t>
        </is>
      </c>
      <c r="E1183" s="3" t="inlineStr">
        <is>
          <t>홍민준</t>
        </is>
      </c>
      <c r="F1183" s="3" t="inlineStr">
        <is>
          <t>특별관계자</t>
        </is>
      </c>
      <c r="G1183" s="3" t="inlineStr">
        <is>
          <t>장내매수(+)</t>
        </is>
      </c>
      <c r="H1183" s="15" t="n">
        <v>4000</v>
      </c>
      <c r="I1183" s="6" t="n">
        <v>7359</v>
      </c>
      <c r="J1183" s="6" t="n">
        <v>5000</v>
      </c>
      <c r="K1183" s="16" t="n">
        <v>9</v>
      </c>
      <c r="L1183" s="2" t="inlineStr">
        <is>
          <t>20260416000504</t>
        </is>
      </c>
      <c r="M1183" s="8">
        <f>HYPERLINK("https://dart.fss.or.kr/dsaf001/main.do?rcpNo=20260416000504", "공시열람")</f>
        <v/>
      </c>
    </row>
    <row r="1184" ht="22" customHeight="1">
      <c r="A1184" s="2" t="inlineStr">
        <is>
          <t>2026-04-16</t>
        </is>
      </c>
      <c r="B1184" s="3" t="inlineStr">
        <is>
          <t>헥토이노베이션</t>
        </is>
      </c>
      <c r="C1184" s="2" t="inlineStr">
        <is>
          <t>214180</t>
        </is>
      </c>
      <c r="D1184" s="2" t="inlineStr">
        <is>
          <t>대량보유</t>
        </is>
      </c>
      <c r="E1184" s="3" t="inlineStr">
        <is>
          <t>이경민</t>
        </is>
      </c>
      <c r="F1184" s="3" t="inlineStr">
        <is>
          <t>보고자</t>
        </is>
      </c>
      <c r="G1184" s="3" t="inlineStr">
        <is>
          <t>담보 대출 일부 상환</t>
        </is>
      </c>
      <c r="H1184" s="6" t="inlineStr"/>
      <c r="I1184" s="6" t="inlineStr"/>
      <c r="J1184" s="6" t="n">
        <v>5116140</v>
      </c>
      <c r="K1184" s="16" t="n">
        <v>4</v>
      </c>
      <c r="L1184" s="2" t="inlineStr">
        <is>
          <t>20260416000498</t>
        </is>
      </c>
      <c r="M1184" s="8">
        <f>HYPERLINK("https://dart.fss.or.kr/dsaf001/main.do?rcpNo=20260416000498", "공시열람")</f>
        <v/>
      </c>
    </row>
    <row r="1185" ht="22" customHeight="1">
      <c r="A1185" s="2" t="inlineStr">
        <is>
          <t>2026-04-16</t>
        </is>
      </c>
      <c r="B1185" s="3" t="inlineStr">
        <is>
          <t>로젠</t>
        </is>
      </c>
      <c r="C1185" s="2" t="inlineStr">
        <is>
          <t>033290</t>
        </is>
      </c>
      <c r="D1185" s="2" t="inlineStr">
        <is>
          <t>대량보유</t>
        </is>
      </c>
      <c r="E1185" s="3" t="inlineStr">
        <is>
          <t>(주)대명화학</t>
        </is>
      </c>
      <c r="F1185" s="3" t="inlineStr">
        <is>
          <t>보고자</t>
        </is>
      </c>
      <c r="G1185" s="3" t="inlineStr">
        <is>
          <t>주식담보계약 등의 주요계약 일부변경(만기연장,일부상환)</t>
        </is>
      </c>
      <c r="H1185" s="6" t="inlineStr"/>
      <c r="I1185" s="6" t="inlineStr"/>
      <c r="J1185" s="6" t="n">
        <v>38047192</v>
      </c>
      <c r="K1185" s="16" t="n">
        <v>3</v>
      </c>
      <c r="L1185" s="2" t="inlineStr">
        <is>
          <t>20260416000494</t>
        </is>
      </c>
      <c r="M1185" s="8">
        <f>HYPERLINK("https://dart.fss.or.kr/dsaf001/main.do?rcpNo=20260416000494", "공시열람")</f>
        <v/>
      </c>
    </row>
    <row r="1186" ht="22" customHeight="1">
      <c r="A1186" s="2" t="inlineStr">
        <is>
          <t>2026-04-16</t>
        </is>
      </c>
      <c r="B1186" s="3" t="inlineStr">
        <is>
          <t>효성중공업</t>
        </is>
      </c>
      <c r="C1186" s="2" t="inlineStr">
        <is>
          <t>298040</t>
        </is>
      </c>
      <c r="D1186" s="2" t="inlineStr">
        <is>
          <t>임원보고</t>
        </is>
      </c>
      <c r="E1186" s="3" t="inlineStr">
        <is>
          <t>-</t>
        </is>
      </c>
      <c r="F1186" s="3" t="inlineStr">
        <is>
          <t>-</t>
        </is>
      </c>
      <c r="G1186" s="3" t="inlineStr">
        <is>
          <t>-</t>
        </is>
      </c>
      <c r="H1186" s="6" t="inlineStr"/>
      <c r="I1186" s="6" t="inlineStr"/>
      <c r="J1186" s="6" t="inlineStr"/>
      <c r="K1186" s="16" t="n">
        <v>12</v>
      </c>
      <c r="L1186" s="2" t="inlineStr">
        <is>
          <t>20260416800604</t>
        </is>
      </c>
      <c r="M1186" s="8">
        <f>HYPERLINK("https://dart.fss.or.kr/dsaf001/main.do?rcpNo=20260416800604", "공시열람")</f>
        <v/>
      </c>
    </row>
    <row r="1187" ht="22" customHeight="1">
      <c r="A1187" s="2" t="inlineStr">
        <is>
          <t>2026-04-16</t>
        </is>
      </c>
      <c r="B1187" s="3" t="inlineStr">
        <is>
          <t>엘앤씨바이오</t>
        </is>
      </c>
      <c r="C1187" s="2" t="inlineStr">
        <is>
          <t>290650</t>
        </is>
      </c>
      <c r="D1187" s="2" t="inlineStr">
        <is>
          <t>대량보유</t>
        </is>
      </c>
      <c r="E1187" s="3" t="inlineStr">
        <is>
          <t>이환철</t>
        </is>
      </c>
      <c r="F1187" s="3" t="inlineStr">
        <is>
          <t>보고자</t>
        </is>
      </c>
      <c r="G1187" s="3" t="inlineStr">
        <is>
          <t>계약내용 변경</t>
        </is>
      </c>
      <c r="H1187" s="6" t="inlineStr"/>
      <c r="I1187" s="6" t="inlineStr"/>
      <c r="J1187" s="6" t="n">
        <v>6738428</v>
      </c>
      <c r="K1187" s="16" t="n">
        <v>11</v>
      </c>
      <c r="L1187" s="2" t="inlineStr">
        <is>
          <t>20260416000481</t>
        </is>
      </c>
      <c r="M1187" s="8">
        <f>HYPERLINK("https://dart.fss.or.kr/dsaf001/main.do?rcpNo=20260416000481", "공시열람")</f>
        <v/>
      </c>
    </row>
    <row r="1188" ht="22" customHeight="1">
      <c r="A1188" s="2" t="inlineStr">
        <is>
          <t>2026-04-16</t>
        </is>
      </c>
      <c r="B1188" s="3" t="inlineStr">
        <is>
          <t>블루산업개발</t>
        </is>
      </c>
      <c r="C1188" s="2" t="inlineStr">
        <is>
          <t>006740</t>
        </is>
      </c>
      <c r="D1188" s="2" t="inlineStr">
        <is>
          <t>대량보유</t>
        </is>
      </c>
      <c r="E1188" s="3" t="inlineStr">
        <is>
          <t>피엠에이조합</t>
        </is>
      </c>
      <c r="F1188" s="3" t="inlineStr">
        <is>
          <t>보고자</t>
        </is>
      </c>
      <c r="G1188" s="3" t="inlineStr">
        <is>
          <t>주식담보대출</t>
        </is>
      </c>
      <c r="H1188" s="6" t="inlineStr"/>
      <c r="I1188" s="6" t="inlineStr"/>
      <c r="J1188" s="6" t="n">
        <v>13320985</v>
      </c>
      <c r="K1188" s="16" t="n">
        <v>3</v>
      </c>
      <c r="L1188" s="2" t="inlineStr">
        <is>
          <t>20260416000473</t>
        </is>
      </c>
      <c r="M1188" s="8">
        <f>HYPERLINK("https://dart.fss.or.kr/dsaf001/main.do?rcpNo=20260416000473", "공시열람")</f>
        <v/>
      </c>
    </row>
    <row r="1189" ht="22" customHeight="1">
      <c r="A1189" s="2" t="inlineStr">
        <is>
          <t>2026-04-16</t>
        </is>
      </c>
      <c r="B1189" s="3" t="inlineStr">
        <is>
          <t>대원강업</t>
        </is>
      </c>
      <c r="C1189" s="2" t="inlineStr">
        <is>
          <t>000430</t>
        </is>
      </c>
      <c r="D1189" s="2" t="inlineStr">
        <is>
          <t>임원보고</t>
        </is>
      </c>
      <c r="E1189" s="3" t="inlineStr">
        <is>
          <t>-</t>
        </is>
      </c>
      <c r="F1189" s="3" t="inlineStr">
        <is>
          <t>-</t>
        </is>
      </c>
      <c r="G1189" s="3" t="inlineStr">
        <is>
          <t>-</t>
        </is>
      </c>
      <c r="H1189" s="6" t="inlineStr"/>
      <c r="I1189" s="6" t="inlineStr"/>
      <c r="J1189" s="6" t="inlineStr"/>
      <c r="K1189" s="16" t="n">
        <v>12</v>
      </c>
      <c r="L1189" s="2" t="inlineStr">
        <is>
          <t>20260416800590</t>
        </is>
      </c>
      <c r="M1189" s="8">
        <f>HYPERLINK("https://dart.fss.or.kr/dsaf001/main.do?rcpNo=20260416800590", "공시열람")</f>
        <v/>
      </c>
    </row>
    <row r="1190" ht="22" customHeight="1">
      <c r="A1190" s="2" t="inlineStr">
        <is>
          <t>2026-04-16</t>
        </is>
      </c>
      <c r="B1190" s="3" t="inlineStr">
        <is>
          <t>대원강업</t>
        </is>
      </c>
      <c r="C1190" s="2" t="inlineStr">
        <is>
          <t>000430</t>
        </is>
      </c>
      <c r="D1190" s="2" t="inlineStr">
        <is>
          <t>대량보유</t>
        </is>
      </c>
      <c r="E1190" s="3" t="inlineStr">
        <is>
          <t>(주)현대지에프홀딩스</t>
        </is>
      </c>
      <c r="F1190" s="3" t="inlineStr">
        <is>
          <t>특별관계자</t>
        </is>
      </c>
      <c r="G1190" s="3" t="inlineStr">
        <is>
          <t>장내매수(+)</t>
        </is>
      </c>
      <c r="H1190" s="15" t="n">
        <v>304000</v>
      </c>
      <c r="I1190" s="6" t="n">
        <v>4244</v>
      </c>
      <c r="J1190" s="6" t="n">
        <v>23372348</v>
      </c>
      <c r="K1190" s="16" t="n">
        <v>3</v>
      </c>
      <c r="L1190" s="2" t="inlineStr">
        <is>
          <t>20260416000465</t>
        </is>
      </c>
      <c r="M1190" s="8">
        <f>HYPERLINK("https://dart.fss.or.kr/dsaf001/main.do?rcpNo=20260416000465", "공시열람")</f>
        <v/>
      </c>
    </row>
    <row r="1191" ht="22" customHeight="1">
      <c r="A1191" s="2" t="inlineStr">
        <is>
          <t>2026-04-16</t>
        </is>
      </c>
      <c r="B1191" s="3" t="inlineStr">
        <is>
          <t>BGF</t>
        </is>
      </c>
      <c r="C1191" s="2" t="inlineStr">
        <is>
          <t>027410</t>
        </is>
      </c>
      <c r="D1191" s="2" t="inlineStr">
        <is>
          <t>대량보유</t>
        </is>
      </c>
      <c r="E1191" s="3" t="inlineStr">
        <is>
          <t>홍석조</t>
        </is>
      </c>
      <c r="F1191" s="3" t="inlineStr">
        <is>
          <t>보고자</t>
        </is>
      </c>
      <c r="G1191" s="3" t="inlineStr">
        <is>
          <t>특별관계자 주요계약 변경</t>
        </is>
      </c>
      <c r="H1191" s="6" t="inlineStr"/>
      <c r="I1191" s="6" t="inlineStr"/>
      <c r="J1191" s="6" t="n">
        <v>66731783</v>
      </c>
      <c r="K1191" s="16" t="n">
        <v>25</v>
      </c>
      <c r="L1191" s="2" t="inlineStr">
        <is>
          <t>20260416000463</t>
        </is>
      </c>
      <c r="M1191" s="8">
        <f>HYPERLINK("https://dart.fss.or.kr/dsaf001/main.do?rcpNo=20260416000463", "공시열람")</f>
        <v/>
      </c>
    </row>
    <row r="1192" ht="22" customHeight="1">
      <c r="A1192" s="2" t="inlineStr">
        <is>
          <t>2026-04-16 (정정: 2026-04-16)</t>
        </is>
      </c>
      <c r="B1192" s="3" t="inlineStr">
        <is>
          <t>와이바이오로직스</t>
        </is>
      </c>
      <c r="C1192" s="2" t="inlineStr">
        <is>
          <t>338840</t>
        </is>
      </c>
      <c r="D1192" s="2" t="inlineStr">
        <is>
          <t>대량보유</t>
        </is>
      </c>
      <c r="E1192" s="3" t="inlineStr">
        <is>
          <t>-</t>
        </is>
      </c>
      <c r="F1192" s="3" t="inlineStr">
        <is>
          <t>보고자</t>
        </is>
      </c>
      <c r="G1192" s="3" t="inlineStr">
        <is>
          <t>-</t>
        </is>
      </c>
      <c r="H1192" s="6" t="inlineStr"/>
      <c r="I1192" s="6" t="inlineStr"/>
      <c r="J1192" s="6" t="inlineStr"/>
      <c r="K1192" s="18" t="inlineStr"/>
      <c r="L1192" s="2" t="inlineStr">
        <is>
          <t>20260416900427</t>
        </is>
      </c>
      <c r="M1192" s="8">
        <f>HYPERLINK("https://dart.fss.or.kr/dsaf001/main.do?rcpNo=20260416900427", "공시열람")</f>
        <v/>
      </c>
    </row>
    <row r="1193" ht="22" customHeight="1">
      <c r="A1193" s="2" t="inlineStr">
        <is>
          <t>2026-04-16</t>
        </is>
      </c>
      <c r="B1193" s="3" t="inlineStr">
        <is>
          <t>삼기에너지솔루션즈</t>
        </is>
      </c>
      <c r="C1193" s="2" t="inlineStr">
        <is>
          <t>419050</t>
        </is>
      </c>
      <c r="D1193" s="2" t="inlineStr">
        <is>
          <t>대량보유</t>
        </is>
      </c>
      <c r="E1193" s="3" t="inlineStr">
        <is>
          <t>지브이에이자산운용(주)</t>
        </is>
      </c>
      <c r="F1193" s="3" t="inlineStr">
        <is>
          <t>특별관계자</t>
        </is>
      </c>
      <c r="G1193" s="3" t="inlineStr">
        <is>
          <t>CB인수(+), 행사가액조정</t>
        </is>
      </c>
      <c r="H1193" s="15" t="n">
        <v>3351955</v>
      </c>
      <c r="I1193" s="6" t="n">
        <v>2148</v>
      </c>
      <c r="J1193" s="6" t="n">
        <v>3351955</v>
      </c>
      <c r="K1193" s="16" t="n">
        <v>5.54</v>
      </c>
      <c r="L1193" s="2" t="inlineStr">
        <is>
          <t>20260416000450</t>
        </is>
      </c>
      <c r="M1193" s="8">
        <f>HYPERLINK("https://dart.fss.or.kr/dsaf001/main.do?rcpNo=20260416000450", "공시열람")</f>
        <v/>
      </c>
    </row>
    <row r="1194" ht="22" customHeight="1">
      <c r="A1194" s="2" t="inlineStr">
        <is>
          <t>2026-04-16</t>
        </is>
      </c>
      <c r="B1194" s="3" t="inlineStr">
        <is>
          <t>대신증권</t>
        </is>
      </c>
      <c r="C1194" s="2" t="inlineStr">
        <is>
          <t>003540</t>
        </is>
      </c>
      <c r="D1194" s="2" t="inlineStr">
        <is>
          <t>대량보유</t>
        </is>
      </c>
      <c r="E1194" s="3" t="inlineStr">
        <is>
          <t>양승주</t>
        </is>
      </c>
      <c r="F1194" s="3" t="inlineStr">
        <is>
          <t>특별관계자</t>
        </is>
      </c>
      <c r="G1194" s="3" t="inlineStr">
        <is>
          <t>장내매수(+)</t>
        </is>
      </c>
      <c r="H1194" s="15" t="n">
        <v>3350</v>
      </c>
      <c r="I1194" s="6" t="n">
        <v>39178</v>
      </c>
      <c r="J1194" s="6" t="n">
        <v>394374</v>
      </c>
      <c r="K1194" s="16" t="n">
        <v>11</v>
      </c>
      <c r="L1194" s="2" t="inlineStr">
        <is>
          <t>20260416000446</t>
        </is>
      </c>
      <c r="M1194" s="8">
        <f>HYPERLINK("https://dart.fss.or.kr/dsaf001/main.do?rcpNo=20260416000446", "공시열람")</f>
        <v/>
      </c>
    </row>
    <row r="1195" ht="22" customHeight="1">
      <c r="A1195" s="2" t="inlineStr">
        <is>
          <t>2026-04-16</t>
        </is>
      </c>
      <c r="B1195" s="3" t="inlineStr">
        <is>
          <t>대신증권</t>
        </is>
      </c>
      <c r="C1195" s="2" t="inlineStr">
        <is>
          <t>003540</t>
        </is>
      </c>
      <c r="D1195" s="2" t="inlineStr">
        <is>
          <t>대량보유</t>
        </is>
      </c>
      <c r="E1195" s="3" t="inlineStr">
        <is>
          <t>양채유</t>
        </is>
      </c>
      <c r="F1195" s="3" t="inlineStr">
        <is>
          <t>특별관계자</t>
        </is>
      </c>
      <c r="G1195" s="3" t="inlineStr">
        <is>
          <t>장내매수(+)</t>
        </is>
      </c>
      <c r="H1195" s="15" t="n">
        <v>1650</v>
      </c>
      <c r="I1195" s="6" t="n">
        <v>39159</v>
      </c>
      <c r="J1195" s="6" t="n">
        <v>48497</v>
      </c>
      <c r="K1195" s="16" t="n">
        <v>11</v>
      </c>
      <c r="L1195" s="2" t="inlineStr">
        <is>
          <t>20260416000446</t>
        </is>
      </c>
      <c r="M1195" s="8">
        <f>HYPERLINK("https://dart.fss.or.kr/dsaf001/main.do?rcpNo=20260416000446", "공시열람")</f>
        <v/>
      </c>
    </row>
    <row r="1196" ht="22" customHeight="1">
      <c r="A1196" s="2" t="inlineStr">
        <is>
          <t>2026-04-16</t>
        </is>
      </c>
      <c r="B1196" s="3" t="inlineStr">
        <is>
          <t>대신증권</t>
        </is>
      </c>
      <c r="C1196" s="2" t="inlineStr">
        <is>
          <t>003540</t>
        </is>
      </c>
      <c r="D1196" s="2" t="inlineStr">
        <is>
          <t>대량보유</t>
        </is>
      </c>
      <c r="E1196" s="3" t="inlineStr">
        <is>
          <t>양채린</t>
        </is>
      </c>
      <c r="F1196" s="3" t="inlineStr">
        <is>
          <t>특별관계자</t>
        </is>
      </c>
      <c r="G1196" s="3" t="inlineStr">
        <is>
          <t>장내매수(+)</t>
        </is>
      </c>
      <c r="H1196" s="15" t="n">
        <v>1620</v>
      </c>
      <c r="I1196" s="6" t="n">
        <v>39184</v>
      </c>
      <c r="J1196" s="6" t="n">
        <v>47892</v>
      </c>
      <c r="K1196" s="16" t="n">
        <v>11</v>
      </c>
      <c r="L1196" s="2" t="inlineStr">
        <is>
          <t>20260416000446</t>
        </is>
      </c>
      <c r="M1196" s="8">
        <f>HYPERLINK("https://dart.fss.or.kr/dsaf001/main.do?rcpNo=20260416000446", "공시열람")</f>
        <v/>
      </c>
    </row>
    <row r="1197" ht="22" customHeight="1">
      <c r="A1197" s="2" t="inlineStr">
        <is>
          <t>2026-04-16</t>
        </is>
      </c>
      <c r="B1197" s="3" t="inlineStr">
        <is>
          <t>화일약품</t>
        </is>
      </c>
      <c r="C1197" s="2" t="inlineStr">
        <is>
          <t>061250</t>
        </is>
      </c>
      <c r="D1197" s="2" t="inlineStr">
        <is>
          <t>대량보유</t>
        </is>
      </c>
      <c r="E1197" s="3" t="inlineStr">
        <is>
          <t>오성첨단소재㈜</t>
        </is>
      </c>
      <c r="F1197" s="3" t="inlineStr">
        <is>
          <t>특별관계자</t>
        </is>
      </c>
      <c r="G1197" s="3" t="inlineStr">
        <is>
          <t>주식병합</t>
        </is>
      </c>
      <c r="H1197" s="17" t="n">
        <v>-19848242</v>
      </c>
      <c r="I1197" s="6" t="inlineStr"/>
      <c r="J1197" s="6" t="n">
        <v>2205360</v>
      </c>
      <c r="K1197" s="16" t="n">
        <v>2</v>
      </c>
      <c r="L1197" s="2" t="inlineStr">
        <is>
          <t>20260416000443</t>
        </is>
      </c>
      <c r="M1197" s="8">
        <f>HYPERLINK("https://dart.fss.or.kr/dsaf001/main.do?rcpNo=20260416000443", "공시열람")</f>
        <v/>
      </c>
    </row>
    <row r="1198" ht="22" customHeight="1">
      <c r="A1198" s="2" t="inlineStr">
        <is>
          <t>2026-04-16</t>
        </is>
      </c>
      <c r="B1198" s="3" t="inlineStr">
        <is>
          <t>화일약품</t>
        </is>
      </c>
      <c r="C1198" s="2" t="inlineStr">
        <is>
          <t>061250</t>
        </is>
      </c>
      <c r="D1198" s="2" t="inlineStr">
        <is>
          <t>대량보유</t>
        </is>
      </c>
      <c r="E1198" s="3" t="inlineStr">
        <is>
          <t>㈜금호에이치티</t>
        </is>
      </c>
      <c r="F1198" s="3" t="inlineStr">
        <is>
          <t>특별관계자</t>
        </is>
      </c>
      <c r="G1198" s="3" t="inlineStr">
        <is>
          <t>주식병합</t>
        </is>
      </c>
      <c r="H1198" s="17" t="n">
        <v>-8276597</v>
      </c>
      <c r="I1198" s="6" t="inlineStr"/>
      <c r="J1198" s="6" t="n">
        <v>919621</v>
      </c>
      <c r="K1198" s="16" t="n">
        <v>2</v>
      </c>
      <c r="L1198" s="2" t="inlineStr">
        <is>
          <t>20260416000443</t>
        </is>
      </c>
      <c r="M1198" s="8">
        <f>HYPERLINK("https://dart.fss.or.kr/dsaf001/main.do?rcpNo=20260416000443", "공시열람")</f>
        <v/>
      </c>
    </row>
    <row r="1199" ht="22" customHeight="1">
      <c r="A1199" s="2" t="inlineStr">
        <is>
          <t>2026-04-16</t>
        </is>
      </c>
      <c r="B1199" s="3" t="inlineStr">
        <is>
          <t>화일약품</t>
        </is>
      </c>
      <c r="C1199" s="2" t="inlineStr">
        <is>
          <t>061250</t>
        </is>
      </c>
      <c r="D1199" s="2" t="inlineStr">
        <is>
          <t>대량보유</t>
        </is>
      </c>
      <c r="E1199" s="3" t="inlineStr">
        <is>
          <t>㈜더블라썸묵동</t>
        </is>
      </c>
      <c r="F1199" s="3" t="inlineStr">
        <is>
          <t>특별관계자</t>
        </is>
      </c>
      <c r="G1199" s="3" t="inlineStr">
        <is>
          <t>주식병합</t>
        </is>
      </c>
      <c r="H1199" s="17" t="n">
        <v>-1030389</v>
      </c>
      <c r="I1199" s="6" t="inlineStr"/>
      <c r="J1199" s="6" t="n">
        <v>114486</v>
      </c>
      <c r="K1199" s="16" t="n">
        <v>2</v>
      </c>
      <c r="L1199" s="2" t="inlineStr">
        <is>
          <t>20260416000443</t>
        </is>
      </c>
      <c r="M1199" s="8">
        <f>HYPERLINK("https://dart.fss.or.kr/dsaf001/main.do?rcpNo=20260416000443", "공시열람")</f>
        <v/>
      </c>
    </row>
    <row r="1200" ht="22" customHeight="1">
      <c r="A1200" s="2" t="inlineStr">
        <is>
          <t>2026-04-16</t>
        </is>
      </c>
      <c r="B1200" s="3" t="inlineStr">
        <is>
          <t>대신증권</t>
        </is>
      </c>
      <c r="C1200" s="2" t="inlineStr">
        <is>
          <t>003540</t>
        </is>
      </c>
      <c r="D1200" s="2" t="inlineStr">
        <is>
          <t>임원보고</t>
        </is>
      </c>
      <c r="E1200" s="3" t="inlineStr">
        <is>
          <t>-</t>
        </is>
      </c>
      <c r="F1200" s="3" t="inlineStr">
        <is>
          <t>-</t>
        </is>
      </c>
      <c r="G1200" s="3" t="inlineStr">
        <is>
          <t>-</t>
        </is>
      </c>
      <c r="H1200" s="6" t="inlineStr"/>
      <c r="I1200" s="6" t="inlineStr"/>
      <c r="J1200" s="6" t="inlineStr"/>
      <c r="K1200" s="16" t="n">
        <v>12</v>
      </c>
      <c r="L1200" s="2" t="inlineStr">
        <is>
          <t>20260416800541</t>
        </is>
      </c>
      <c r="M1200" s="8">
        <f>HYPERLINK("https://dart.fss.or.kr/dsaf001/main.do?rcpNo=20260416800541", "공시열람")</f>
        <v/>
      </c>
    </row>
    <row r="1201" ht="22" customHeight="1">
      <c r="A1201" s="2" t="inlineStr">
        <is>
          <t>2026-04-16 (정정: 2026-04-16)</t>
        </is>
      </c>
      <c r="B1201" s="3" t="inlineStr">
        <is>
          <t>금호에이치티</t>
        </is>
      </c>
      <c r="C1201" s="2" t="inlineStr">
        <is>
          <t>214330</t>
        </is>
      </c>
      <c r="D1201" s="2" t="inlineStr">
        <is>
          <t>임원보고</t>
        </is>
      </c>
      <c r="E1201" s="3" t="inlineStr">
        <is>
          <t>김두인</t>
        </is>
      </c>
      <c r="F1201" s="3" t="inlineStr">
        <is>
          <t>임원(등기여부) 등기임원 직위명 대표이사</t>
        </is>
      </c>
      <c r="G1201" s="3" t="inlineStr">
        <is>
          <t>주식병합</t>
        </is>
      </c>
      <c r="H1201" s="17" t="n">
        <v>-360000</v>
      </c>
      <c r="I1201" s="6" t="inlineStr"/>
      <c r="J1201" s="6" t="n">
        <v>40000</v>
      </c>
      <c r="K1201" s="16" t="n">
        <v>0.18</v>
      </c>
      <c r="L1201" s="2" t="inlineStr">
        <is>
          <t>20260416000140</t>
        </is>
      </c>
      <c r="M1201" s="8">
        <f>HYPERLINK("https://dart.fss.or.kr/dsaf001/main.do?rcpNo=20260416000140", "공시열람")</f>
        <v/>
      </c>
    </row>
    <row r="1202" ht="22" customHeight="1">
      <c r="A1202" s="2" t="inlineStr">
        <is>
          <t>2026-04-16</t>
        </is>
      </c>
      <c r="B1202" s="3" t="inlineStr">
        <is>
          <t>대동금속</t>
        </is>
      </c>
      <c r="C1202" s="2" t="inlineStr">
        <is>
          <t>020400</t>
        </is>
      </c>
      <c r="D1202" s="2" t="inlineStr">
        <is>
          <t>대량보유</t>
        </is>
      </c>
      <c r="E1202" s="3" t="inlineStr">
        <is>
          <t>(주)대동</t>
        </is>
      </c>
      <c r="F1202" s="3" t="inlineStr">
        <is>
          <t>특별관계자</t>
        </is>
      </c>
      <c r="G1202" s="3" t="inlineStr">
        <is>
          <t>주식분할, 무상신주취득(+)</t>
        </is>
      </c>
      <c r="H1202" s="15" t="n">
        <v>3029580</v>
      </c>
      <c r="I1202" s="6" t="inlineStr"/>
      <c r="J1202" s="6" t="n">
        <v>3366200</v>
      </c>
      <c r="K1202" s="16" t="n">
        <v>52.78</v>
      </c>
      <c r="L1202" s="2" t="inlineStr">
        <is>
          <t>20260416000404</t>
        </is>
      </c>
      <c r="M1202" s="8">
        <f>HYPERLINK("https://dart.fss.or.kr/dsaf001/main.do?rcpNo=20260416000404", "공시열람")</f>
        <v/>
      </c>
    </row>
    <row r="1203" ht="22" customHeight="1">
      <c r="A1203" s="2" t="inlineStr">
        <is>
          <t>2026-04-16</t>
        </is>
      </c>
      <c r="B1203" s="3" t="inlineStr">
        <is>
          <t>오상자이엘</t>
        </is>
      </c>
      <c r="C1203" s="2" t="inlineStr">
        <is>
          <t>053980</t>
        </is>
      </c>
      <c r="D1203" s="2" t="inlineStr">
        <is>
          <t>대량보유</t>
        </is>
      </c>
      <c r="E1203" s="3" t="inlineStr">
        <is>
          <t>(주)오상</t>
        </is>
      </c>
      <c r="F1203" s="3" t="inlineStr">
        <is>
          <t>보고자</t>
        </is>
      </c>
      <c r="G1203" s="3" t="inlineStr">
        <is>
          <t>최대주주의 주식담보제공 계약 변경</t>
        </is>
      </c>
      <c r="H1203" s="6" t="inlineStr"/>
      <c r="I1203" s="6" t="inlineStr"/>
      <c r="J1203" s="6" t="n">
        <v>7148982</v>
      </c>
      <c r="K1203" s="16" t="n">
        <v>5</v>
      </c>
      <c r="L1203" s="2" t="inlineStr">
        <is>
          <t>20260416000402</t>
        </is>
      </c>
      <c r="M1203" s="8">
        <f>HYPERLINK("https://dart.fss.or.kr/dsaf001/main.do?rcpNo=20260416000402", "공시열람")</f>
        <v/>
      </c>
    </row>
    <row r="1204" ht="22" customHeight="1">
      <c r="A1204" s="2" t="inlineStr">
        <is>
          <t>2026-04-16</t>
        </is>
      </c>
      <c r="B1204" s="3" t="inlineStr">
        <is>
          <t>현대비앤지스틸</t>
        </is>
      </c>
      <c r="C1204" s="2" t="inlineStr">
        <is>
          <t>004560</t>
        </is>
      </c>
      <c r="D1204" s="2" t="inlineStr">
        <is>
          <t>대량보유</t>
        </is>
      </c>
      <c r="E1204" s="3" t="inlineStr">
        <is>
          <t>현대제철(주)</t>
        </is>
      </c>
      <c r="F1204" s="3" t="inlineStr">
        <is>
          <t>보고자</t>
        </is>
      </c>
      <c r="G1204" s="3" t="inlineStr">
        <is>
          <t>보유주식등에 관한 계약의 변경</t>
        </is>
      </c>
      <c r="H1204" s="6" t="inlineStr"/>
      <c r="I1204" s="6" t="inlineStr"/>
      <c r="J1204" s="6" t="n">
        <v>6933013</v>
      </c>
      <c r="K1204" s="16" t="n">
        <v>4</v>
      </c>
      <c r="L1204" s="2" t="inlineStr">
        <is>
          <t>20260416000400</t>
        </is>
      </c>
      <c r="M1204" s="8">
        <f>HYPERLINK("https://dart.fss.or.kr/dsaf001/main.do?rcpNo=20260416000400", "공시열람")</f>
        <v/>
      </c>
    </row>
    <row r="1205" ht="22" customHeight="1">
      <c r="A1205" s="2" t="inlineStr">
        <is>
          <t>2026-04-16</t>
        </is>
      </c>
      <c r="B1205" s="3" t="inlineStr">
        <is>
          <t>싸이맥스</t>
        </is>
      </c>
      <c r="C1205" s="2" t="inlineStr">
        <is>
          <t>160980</t>
        </is>
      </c>
      <c r="D1205" s="2" t="inlineStr">
        <is>
          <t>대량보유</t>
        </is>
      </c>
      <c r="E1205" s="3" t="inlineStr">
        <is>
          <t>인지컨트롤스(주)</t>
        </is>
      </c>
      <c r="F1205" s="3" t="inlineStr">
        <is>
          <t>보고자</t>
        </is>
      </c>
      <c r="G1205" s="3" t="inlineStr">
        <is>
          <t>주식담보 질권해지로인한 변경</t>
        </is>
      </c>
      <c r="H1205" s="6" t="inlineStr"/>
      <c r="I1205" s="6" t="inlineStr"/>
      <c r="J1205" s="6" t="n">
        <v>5176981</v>
      </c>
      <c r="K1205" s="16" t="n">
        <v>5</v>
      </c>
      <c r="L1205" s="2" t="inlineStr">
        <is>
          <t>20260416000384</t>
        </is>
      </c>
      <c r="M1205" s="8">
        <f>HYPERLINK("https://dart.fss.or.kr/dsaf001/main.do?rcpNo=20260416000384", "공시열람")</f>
        <v/>
      </c>
    </row>
    <row r="1206" ht="22" customHeight="1">
      <c r="A1206" s="2" t="inlineStr">
        <is>
          <t>2026-04-16</t>
        </is>
      </c>
      <c r="B1206" s="3" t="inlineStr">
        <is>
          <t>미래에셋생명</t>
        </is>
      </c>
      <c r="C1206" s="2" t="inlineStr">
        <is>
          <t>085620</t>
        </is>
      </c>
      <c r="D1206" s="2" t="inlineStr">
        <is>
          <t>임원보고</t>
        </is>
      </c>
      <c r="E1206" s="3" t="inlineStr">
        <is>
          <t>-</t>
        </is>
      </c>
      <c r="F1206" s="3" t="inlineStr">
        <is>
          <t>-</t>
        </is>
      </c>
      <c r="G1206" s="3" t="inlineStr">
        <is>
          <t>-</t>
        </is>
      </c>
      <c r="H1206" s="6" t="inlineStr"/>
      <c r="I1206" s="6" t="inlineStr"/>
      <c r="J1206" s="6" t="inlineStr"/>
      <c r="K1206" s="16" t="n">
        <v>12</v>
      </c>
      <c r="L1206" s="2" t="inlineStr">
        <is>
          <t>20260416800476</t>
        </is>
      </c>
      <c r="M1206" s="8">
        <f>HYPERLINK("https://dart.fss.or.kr/dsaf001/main.do?rcpNo=20260416800476", "공시열람")</f>
        <v/>
      </c>
    </row>
    <row r="1207" ht="22" customHeight="1">
      <c r="A1207" s="2" t="inlineStr">
        <is>
          <t>2026-04-16 (정정: 2026-05-29)</t>
        </is>
      </c>
      <c r="B1207" s="3" t="inlineStr">
        <is>
          <t>한화</t>
        </is>
      </c>
      <c r="C1207" s="2" t="inlineStr">
        <is>
          <t>000880</t>
        </is>
      </c>
      <c r="D1207" s="2" t="inlineStr">
        <is>
          <t>대량보유</t>
        </is>
      </c>
      <c r="E1207" s="3" t="inlineStr">
        <is>
          <t>-</t>
        </is>
      </c>
      <c r="F1207" s="3" t="inlineStr">
        <is>
          <t>보고자</t>
        </is>
      </c>
      <c r="G1207" s="3" t="inlineStr">
        <is>
          <t>-</t>
        </is>
      </c>
      <c r="H1207" s="6" t="inlineStr"/>
      <c r="I1207" s="6" t="inlineStr"/>
      <c r="J1207" s="6" t="inlineStr"/>
      <c r="K1207" s="18" t="inlineStr"/>
      <c r="L1207" s="2" t="inlineStr">
        <is>
          <t>20260529001733</t>
        </is>
      </c>
      <c r="M1207" s="8">
        <f>HYPERLINK("https://dart.fss.or.kr/dsaf001/main.do?rcpNo=20260529001733", "공시열람")</f>
        <v/>
      </c>
    </row>
    <row r="1208" ht="22" customHeight="1">
      <c r="A1208" s="2" t="inlineStr">
        <is>
          <t>2026-04-16</t>
        </is>
      </c>
      <c r="B1208" s="3" t="inlineStr">
        <is>
          <t>삼천리</t>
        </is>
      </c>
      <c r="C1208" s="2" t="inlineStr">
        <is>
          <t>004690</t>
        </is>
      </c>
      <c r="D1208" s="2" t="inlineStr">
        <is>
          <t>임원보고</t>
        </is>
      </c>
      <c r="E1208" s="3" t="inlineStr">
        <is>
          <t>-</t>
        </is>
      </c>
      <c r="F1208" s="3" t="inlineStr">
        <is>
          <t>-</t>
        </is>
      </c>
      <c r="G1208" s="3" t="inlineStr">
        <is>
          <t>-</t>
        </is>
      </c>
      <c r="H1208" s="6" t="inlineStr"/>
      <c r="I1208" s="6" t="inlineStr"/>
      <c r="J1208" s="6" t="inlineStr"/>
      <c r="K1208" s="16" t="n">
        <v>12</v>
      </c>
      <c r="L1208" s="2" t="inlineStr">
        <is>
          <t>20260416800441</t>
        </is>
      </c>
      <c r="M1208" s="8">
        <f>HYPERLINK("https://dart.fss.or.kr/dsaf001/main.do?rcpNo=20260416800441", "공시열람")</f>
        <v/>
      </c>
    </row>
    <row r="1209" ht="22" customHeight="1">
      <c r="A1209" s="2" t="inlineStr">
        <is>
          <t>2026-04-16</t>
        </is>
      </c>
      <c r="B1209" s="3" t="inlineStr">
        <is>
          <t>체시스</t>
        </is>
      </c>
      <c r="C1209" s="2" t="inlineStr">
        <is>
          <t>033250</t>
        </is>
      </c>
      <c r="D1209" s="2" t="inlineStr">
        <is>
          <t>임원보고</t>
        </is>
      </c>
      <c r="E1209" s="3" t="inlineStr">
        <is>
          <t>-</t>
        </is>
      </c>
      <c r="F1209" s="3" t="inlineStr">
        <is>
          <t>-</t>
        </is>
      </c>
      <c r="G1209" s="3" t="inlineStr">
        <is>
          <t>-</t>
        </is>
      </c>
      <c r="H1209" s="6" t="inlineStr"/>
      <c r="I1209" s="6" t="inlineStr"/>
      <c r="J1209" s="6" t="inlineStr"/>
      <c r="K1209" s="16" t="n">
        <v>12</v>
      </c>
      <c r="L1209" s="2" t="inlineStr">
        <is>
          <t>20260416800438</t>
        </is>
      </c>
      <c r="M1209" s="8">
        <f>HYPERLINK("https://dart.fss.or.kr/dsaf001/main.do?rcpNo=20260416800438", "공시열람")</f>
        <v/>
      </c>
    </row>
    <row r="1210" ht="22" customHeight="1">
      <c r="A1210" s="2" t="inlineStr">
        <is>
          <t>2026-04-16 (정정: 2026-05-21)</t>
        </is>
      </c>
      <c r="B1210" s="3" t="inlineStr">
        <is>
          <t>소룩스</t>
        </is>
      </c>
      <c r="C1210" s="2" t="inlineStr">
        <is>
          <t>290690</t>
        </is>
      </c>
      <c r="D1210" s="2" t="inlineStr">
        <is>
          <t>대량보유</t>
        </is>
      </c>
      <c r="E1210" s="3" t="inlineStr">
        <is>
          <t>-</t>
        </is>
      </c>
      <c r="F1210" s="3" t="inlineStr">
        <is>
          <t>보고자</t>
        </is>
      </c>
      <c r="G1210" s="3" t="inlineStr">
        <is>
          <t>-</t>
        </is>
      </c>
      <c r="H1210" s="6" t="inlineStr"/>
      <c r="I1210" s="6" t="inlineStr"/>
      <c r="J1210" s="6" t="inlineStr"/>
      <c r="K1210" s="18" t="inlineStr"/>
      <c r="L1210" s="2" t="inlineStr">
        <is>
          <t>20260521900083</t>
        </is>
      </c>
      <c r="M1210" s="8">
        <f>HYPERLINK("https://dart.fss.or.kr/dsaf001/main.do?rcpNo=20260521900083", "공시열람")</f>
        <v/>
      </c>
    </row>
    <row r="1211" ht="22" customHeight="1">
      <c r="A1211" s="2" t="inlineStr">
        <is>
          <t>2026-04-16</t>
        </is>
      </c>
      <c r="B1211" s="3" t="inlineStr">
        <is>
          <t>DSR</t>
        </is>
      </c>
      <c r="C1211" s="2" t="inlineStr">
        <is>
          <t>155660</t>
        </is>
      </c>
      <c r="D1211" s="2" t="inlineStr">
        <is>
          <t>임원보고</t>
        </is>
      </c>
      <c r="E1211" s="3" t="inlineStr">
        <is>
          <t>-</t>
        </is>
      </c>
      <c r="F1211" s="3" t="inlineStr">
        <is>
          <t>-</t>
        </is>
      </c>
      <c r="G1211" s="3" t="inlineStr">
        <is>
          <t>-</t>
        </is>
      </c>
      <c r="H1211" s="6" t="inlineStr"/>
      <c r="I1211" s="6" t="inlineStr"/>
      <c r="J1211" s="6" t="inlineStr"/>
      <c r="K1211" s="16" t="n">
        <v>12</v>
      </c>
      <c r="L1211" s="2" t="inlineStr">
        <is>
          <t>20260416800367</t>
        </is>
      </c>
      <c r="M1211" s="8">
        <f>HYPERLINK("https://dart.fss.or.kr/dsaf001/main.do?rcpNo=20260416800367", "공시열람")</f>
        <v/>
      </c>
    </row>
    <row r="1212" ht="22" customHeight="1">
      <c r="A1212" s="2" t="inlineStr">
        <is>
          <t>2026-04-16</t>
        </is>
      </c>
      <c r="B1212" s="3" t="inlineStr">
        <is>
          <t>제이앤티씨</t>
        </is>
      </c>
      <c r="C1212" s="2" t="inlineStr">
        <is>
          <t>204270</t>
        </is>
      </c>
      <c r="D1212" s="2" t="inlineStr">
        <is>
          <t>대량보유</t>
        </is>
      </c>
      <c r="E1212" s="3" t="inlineStr">
        <is>
          <t>(주)진우엔지니어링</t>
        </is>
      </c>
      <c r="F1212" s="3" t="inlineStr">
        <is>
          <t>보고자</t>
        </is>
      </c>
      <c r="G1212" s="3" t="inlineStr">
        <is>
          <t>(주)제이앤티씨 일반자금대출 주식담보 보증계약 체결주식담보대출 계약 연장</t>
        </is>
      </c>
      <c r="H1212" s="6" t="inlineStr"/>
      <c r="I1212" s="6" t="inlineStr"/>
      <c r="J1212" s="6" t="n">
        <v>38101397</v>
      </c>
      <c r="K1212" s="16" t="n">
        <v>4</v>
      </c>
      <c r="L1212" s="2" t="inlineStr">
        <is>
          <t>20260416000283</t>
        </is>
      </c>
      <c r="M1212" s="8">
        <f>HYPERLINK("https://dart.fss.or.kr/dsaf001/main.do?rcpNo=20260416000283", "공시열람")</f>
        <v/>
      </c>
    </row>
    <row r="1213" ht="22" customHeight="1">
      <c r="A1213" s="2" t="inlineStr">
        <is>
          <t>2026-04-16</t>
        </is>
      </c>
      <c r="B1213" s="3" t="inlineStr">
        <is>
          <t>DN오토모티브</t>
        </is>
      </c>
      <c r="C1213" s="2" t="inlineStr">
        <is>
          <t>007340</t>
        </is>
      </c>
      <c r="D1213" s="2" t="inlineStr">
        <is>
          <t>대량보유</t>
        </is>
      </c>
      <c r="E1213" s="3" t="inlineStr">
        <is>
          <t>김상헌</t>
        </is>
      </c>
      <c r="F1213" s="3" t="inlineStr">
        <is>
          <t>보고자</t>
        </is>
      </c>
      <c r="G1213" s="3" t="inlineStr">
        <is>
          <t>본인 보유주식의 계약 내용 변경</t>
        </is>
      </c>
      <c r="H1213" s="6" t="inlineStr"/>
      <c r="I1213" s="6" t="inlineStr"/>
      <c r="J1213" s="6" t="n">
        <v>30521335</v>
      </c>
      <c r="K1213" s="16" t="n">
        <v>4</v>
      </c>
      <c r="L1213" s="2" t="inlineStr">
        <is>
          <t>20260416000256</t>
        </is>
      </c>
      <c r="M1213" s="8">
        <f>HYPERLINK("https://dart.fss.or.kr/dsaf001/main.do?rcpNo=20260416000256", "공시열람")</f>
        <v/>
      </c>
    </row>
    <row r="1214" ht="22" customHeight="1">
      <c r="A1214" s="2" t="inlineStr">
        <is>
          <t>2026-04-16</t>
        </is>
      </c>
      <c r="B1214" s="3" t="inlineStr">
        <is>
          <t>금호에이치티</t>
        </is>
      </c>
      <c r="C1214" s="2" t="inlineStr">
        <is>
          <t>214330</t>
        </is>
      </c>
      <c r="D1214" s="2" t="inlineStr">
        <is>
          <t>대량보유</t>
        </is>
      </c>
      <c r="E1214" s="3" t="inlineStr">
        <is>
          <t>에코볼트주식회사</t>
        </is>
      </c>
      <c r="F1214" s="3" t="inlineStr">
        <is>
          <t>특별관계자</t>
        </is>
      </c>
      <c r="G1214" s="3" t="inlineStr">
        <is>
          <t>주식병합</t>
        </is>
      </c>
      <c r="H1214" s="17" t="n">
        <v>-63453296</v>
      </c>
      <c r="I1214" s="6" t="inlineStr"/>
      <c r="J1214" s="6" t="n">
        <v>7050366</v>
      </c>
      <c r="K1214" s="16" t="n">
        <v>3</v>
      </c>
      <c r="L1214" s="2" t="inlineStr">
        <is>
          <t>20260416000188</t>
        </is>
      </c>
      <c r="M1214" s="8">
        <f>HYPERLINK("https://dart.fss.or.kr/dsaf001/main.do?rcpNo=20260416000188", "공시열람")</f>
        <v/>
      </c>
    </row>
    <row r="1215" ht="22" customHeight="1">
      <c r="A1215" s="2" t="inlineStr">
        <is>
          <t>2026-04-16</t>
        </is>
      </c>
      <c r="B1215" s="3" t="inlineStr">
        <is>
          <t>금호에이치티</t>
        </is>
      </c>
      <c r="C1215" s="2" t="inlineStr">
        <is>
          <t>214330</t>
        </is>
      </c>
      <c r="D1215" s="2" t="inlineStr">
        <is>
          <t>대량보유</t>
        </is>
      </c>
      <c r="E1215" s="3" t="inlineStr">
        <is>
          <t>오성첨단소재주식회사</t>
        </is>
      </c>
      <c r="F1215" s="3" t="inlineStr">
        <is>
          <t>특별관계자</t>
        </is>
      </c>
      <c r="G1215" s="3" t="inlineStr">
        <is>
          <t>주식병합</t>
        </is>
      </c>
      <c r="H1215" s="17" t="n">
        <v>-15480648</v>
      </c>
      <c r="I1215" s="6" t="inlineStr"/>
      <c r="J1215" s="6" t="n">
        <v>1720071</v>
      </c>
      <c r="K1215" s="16" t="n">
        <v>3</v>
      </c>
      <c r="L1215" s="2" t="inlineStr">
        <is>
          <t>20260416000188</t>
        </is>
      </c>
      <c r="M1215" s="8">
        <f>HYPERLINK("https://dart.fss.or.kr/dsaf001/main.do?rcpNo=20260416000188", "공시열람")</f>
        <v/>
      </c>
    </row>
    <row r="1216" ht="22" customHeight="1">
      <c r="A1216" s="2" t="inlineStr">
        <is>
          <t>2026-04-16</t>
        </is>
      </c>
      <c r="B1216" s="3" t="inlineStr">
        <is>
          <t>금호에이치티</t>
        </is>
      </c>
      <c r="C1216" s="2" t="inlineStr">
        <is>
          <t>214330</t>
        </is>
      </c>
      <c r="D1216" s="2" t="inlineStr">
        <is>
          <t>대량보유</t>
        </is>
      </c>
      <c r="E1216" s="3" t="inlineStr">
        <is>
          <t>김진곤</t>
        </is>
      </c>
      <c r="F1216" s="3" t="inlineStr">
        <is>
          <t>특별관계자</t>
        </is>
      </c>
      <c r="G1216" s="3" t="inlineStr">
        <is>
          <t>주식병합</t>
        </is>
      </c>
      <c r="H1216" s="17" t="n">
        <v>-90322</v>
      </c>
      <c r="I1216" s="6" t="inlineStr"/>
      <c r="J1216" s="6" t="n">
        <v>10035</v>
      </c>
      <c r="K1216" s="16" t="n">
        <v>3</v>
      </c>
      <c r="L1216" s="2" t="inlineStr">
        <is>
          <t>20260416000188</t>
        </is>
      </c>
      <c r="M1216" s="8">
        <f>HYPERLINK("https://dart.fss.or.kr/dsaf001/main.do?rcpNo=20260416000188", "공시열람")</f>
        <v/>
      </c>
    </row>
    <row r="1217" ht="22" customHeight="1">
      <c r="A1217" s="2" t="inlineStr">
        <is>
          <t>2026-04-16</t>
        </is>
      </c>
      <c r="B1217" s="3" t="inlineStr">
        <is>
          <t>금호에이치티</t>
        </is>
      </c>
      <c r="C1217" s="2" t="inlineStr">
        <is>
          <t>214330</t>
        </is>
      </c>
      <c r="D1217" s="2" t="inlineStr">
        <is>
          <t>대량보유</t>
        </is>
      </c>
      <c r="E1217" s="3" t="inlineStr">
        <is>
          <t>김두인</t>
        </is>
      </c>
      <c r="F1217" s="3" t="inlineStr">
        <is>
          <t>특별관계자</t>
        </is>
      </c>
      <c r="G1217" s="3" t="inlineStr">
        <is>
          <t>주식병합</t>
        </is>
      </c>
      <c r="H1217" s="17" t="n">
        <v>-360000</v>
      </c>
      <c r="I1217" s="6" t="inlineStr"/>
      <c r="J1217" s="6" t="n">
        <v>40000</v>
      </c>
      <c r="K1217" s="16" t="n">
        <v>3</v>
      </c>
      <c r="L1217" s="2" t="inlineStr">
        <is>
          <t>20260416000188</t>
        </is>
      </c>
      <c r="M1217" s="8">
        <f>HYPERLINK("https://dart.fss.or.kr/dsaf001/main.do?rcpNo=20260416000188", "공시열람")</f>
        <v/>
      </c>
    </row>
    <row r="1218" ht="22" customHeight="1">
      <c r="A1218" s="2" t="inlineStr">
        <is>
          <t>2026-04-16</t>
        </is>
      </c>
      <c r="B1218" s="3" t="inlineStr">
        <is>
          <t>HLB제넥스</t>
        </is>
      </c>
      <c r="C1218" s="2" t="inlineStr">
        <is>
          <t>187420</t>
        </is>
      </c>
      <c r="D1218" s="2" t="inlineStr">
        <is>
          <t>대량보유</t>
        </is>
      </c>
      <c r="E1218" s="3" t="inlineStr">
        <is>
          <t>진양곤</t>
        </is>
      </c>
      <c r="F1218" s="3" t="inlineStr">
        <is>
          <t>특별관계자</t>
        </is>
      </c>
      <c r="G1218" s="3" t="inlineStr">
        <is>
          <t>장내매수(+)</t>
        </is>
      </c>
      <c r="H1218" s="15" t="n">
        <v>68401</v>
      </c>
      <c r="I1218" s="6" t="n">
        <v>2831</v>
      </c>
      <c r="J1218" s="6" t="n">
        <v>601695</v>
      </c>
      <c r="K1218" s="16" t="n">
        <v>10</v>
      </c>
      <c r="L1218" s="2" t="inlineStr">
        <is>
          <t>20260416000156</t>
        </is>
      </c>
      <c r="M1218" s="8">
        <f>HYPERLINK("https://dart.fss.or.kr/dsaf001/main.do?rcpNo=20260416000156", "공시열람")</f>
        <v/>
      </c>
    </row>
    <row r="1219" ht="22" customHeight="1">
      <c r="A1219" s="2" t="inlineStr">
        <is>
          <t>2026-04-16</t>
        </is>
      </c>
      <c r="B1219" s="3" t="inlineStr">
        <is>
          <t>THE E&amp;M</t>
        </is>
      </c>
      <c r="C1219" s="2" t="inlineStr">
        <is>
          <t>089230</t>
        </is>
      </c>
      <c r="D1219" s="2" t="inlineStr">
        <is>
          <t>대량보유</t>
        </is>
      </c>
      <c r="E1219" s="3" t="inlineStr">
        <is>
          <t>유한책임회사선대인경제연구소</t>
        </is>
      </c>
      <c r="F1219" s="3" t="inlineStr">
        <is>
          <t>특별관계자</t>
        </is>
      </c>
      <c r="G1219" s="3" t="inlineStr">
        <is>
          <t>장외매수(+)</t>
        </is>
      </c>
      <c r="H1219" s="15" t="n">
        <v>2728512</v>
      </c>
      <c r="I1219" s="6" t="n">
        <v>1466</v>
      </c>
      <c r="J1219" s="6" t="n">
        <v>2728512</v>
      </c>
      <c r="K1219" s="16" t="n">
        <v>6.98</v>
      </c>
      <c r="L1219" s="2" t="inlineStr">
        <is>
          <t>20260416000154</t>
        </is>
      </c>
      <c r="M1219" s="8">
        <f>HYPERLINK("https://dart.fss.or.kr/dsaf001/main.do?rcpNo=20260416000154", "공시열람")</f>
        <v/>
      </c>
    </row>
    <row r="1220" ht="22" customHeight="1">
      <c r="A1220" s="2" t="inlineStr">
        <is>
          <t>2026-04-16</t>
        </is>
      </c>
      <c r="B1220" s="3" t="inlineStr">
        <is>
          <t>남화토건</t>
        </is>
      </c>
      <c r="C1220" s="2" t="inlineStr">
        <is>
          <t>091590</t>
        </is>
      </c>
      <c r="D1220" s="2" t="inlineStr">
        <is>
          <t>대량보유</t>
        </is>
      </c>
      <c r="E1220" s="3" t="inlineStr">
        <is>
          <t>조영환</t>
        </is>
      </c>
      <c r="F1220" s="3" t="inlineStr">
        <is>
          <t>특별관계자</t>
        </is>
      </c>
      <c r="G1220" s="3" t="inlineStr">
        <is>
          <t>장내매수(+)</t>
        </is>
      </c>
      <c r="H1220" s="15" t="n">
        <v>266</v>
      </c>
      <c r="I1220" s="6" t="n">
        <v>15150</v>
      </c>
      <c r="J1220" s="6" t="n">
        <v>266</v>
      </c>
      <c r="K1220" s="16" t="n">
        <v>22</v>
      </c>
      <c r="L1220" s="2" t="inlineStr">
        <is>
          <t>20260416000148</t>
        </is>
      </c>
      <c r="M1220" s="8">
        <f>HYPERLINK("https://dart.fss.or.kr/dsaf001/main.do?rcpNo=20260416000148", "공시열람")</f>
        <v/>
      </c>
    </row>
    <row r="1221" ht="22" customHeight="1">
      <c r="A1221" s="2" t="inlineStr">
        <is>
          <t>2026-04-16</t>
        </is>
      </c>
      <c r="B1221" s="3" t="inlineStr">
        <is>
          <t>파이버프로</t>
        </is>
      </c>
      <c r="C1221" s="2" t="inlineStr">
        <is>
          <t>368770</t>
        </is>
      </c>
      <c r="D1221" s="2" t="inlineStr">
        <is>
          <t>대량보유</t>
        </is>
      </c>
      <c r="E1221" s="3" t="inlineStr">
        <is>
          <t>김종관</t>
        </is>
      </c>
      <c r="F1221" s="3" t="inlineStr">
        <is>
          <t>특별관계자</t>
        </is>
      </c>
      <c r="G1221" s="3" t="inlineStr">
        <is>
          <t>기타(+)</t>
        </is>
      </c>
      <c r="H1221" s="15" t="n">
        <v>348</v>
      </c>
      <c r="I1221" s="6" t="n">
        <v>18830</v>
      </c>
      <c r="J1221" s="6" t="n">
        <v>213548</v>
      </c>
      <c r="K1221" s="16" t="n">
        <v>8</v>
      </c>
      <c r="L1221" s="2" t="inlineStr">
        <is>
          <t>20260416000098</t>
        </is>
      </c>
      <c r="M1221" s="8">
        <f>HYPERLINK("https://dart.fss.or.kr/dsaf001/main.do?rcpNo=20260416000098", "공시열람")</f>
        <v/>
      </c>
    </row>
    <row r="1222" ht="22" customHeight="1">
      <c r="A1222" s="2" t="inlineStr">
        <is>
          <t>2026-04-16</t>
        </is>
      </c>
      <c r="B1222" s="3" t="inlineStr">
        <is>
          <t>파이버프로</t>
        </is>
      </c>
      <c r="C1222" s="2" t="inlineStr">
        <is>
          <t>368770</t>
        </is>
      </c>
      <c r="D1222" s="2" t="inlineStr">
        <is>
          <t>대량보유</t>
        </is>
      </c>
      <c r="E1222" s="3" t="inlineStr">
        <is>
          <t>이길호</t>
        </is>
      </c>
      <c r="F1222" s="3" t="inlineStr">
        <is>
          <t>특별관계자</t>
        </is>
      </c>
      <c r="G1222" s="3" t="inlineStr">
        <is>
          <t>기타(+)</t>
        </is>
      </c>
      <c r="H1222" s="15" t="n">
        <v>348</v>
      </c>
      <c r="I1222" s="6" t="n">
        <v>18830</v>
      </c>
      <c r="J1222" s="6" t="n">
        <v>11639</v>
      </c>
      <c r="K1222" s="16" t="n">
        <v>8</v>
      </c>
      <c r="L1222" s="2" t="inlineStr">
        <is>
          <t>20260416000098</t>
        </is>
      </c>
      <c r="M1222" s="8">
        <f>HYPERLINK("https://dart.fss.or.kr/dsaf001/main.do?rcpNo=20260416000098", "공시열람")</f>
        <v/>
      </c>
    </row>
    <row r="1223" ht="22" customHeight="1">
      <c r="A1223" s="2" t="inlineStr">
        <is>
          <t>2026-04-16</t>
        </is>
      </c>
      <c r="B1223" s="3" t="inlineStr">
        <is>
          <t>파이버프로</t>
        </is>
      </c>
      <c r="C1223" s="2" t="inlineStr">
        <is>
          <t>368770</t>
        </is>
      </c>
      <c r="D1223" s="2" t="inlineStr">
        <is>
          <t>대량보유</t>
        </is>
      </c>
      <c r="E1223" s="3" t="inlineStr">
        <is>
          <t>차상준</t>
        </is>
      </c>
      <c r="F1223" s="3" t="inlineStr">
        <is>
          <t>특별관계자</t>
        </is>
      </c>
      <c r="G1223" s="3" t="inlineStr">
        <is>
          <t>기타(+)</t>
        </is>
      </c>
      <c r="H1223" s="15" t="n">
        <v>348</v>
      </c>
      <c r="I1223" s="6" t="n">
        <v>18830</v>
      </c>
      <c r="J1223" s="6" t="n">
        <v>214449</v>
      </c>
      <c r="K1223" s="16" t="n">
        <v>8</v>
      </c>
      <c r="L1223" s="2" t="inlineStr">
        <is>
          <t>20260416000098</t>
        </is>
      </c>
      <c r="M1223" s="8">
        <f>HYPERLINK("https://dart.fss.or.kr/dsaf001/main.do?rcpNo=20260416000098", "공시열람")</f>
        <v/>
      </c>
    </row>
    <row r="1224" ht="22" customHeight="1">
      <c r="A1224" s="2" t="inlineStr">
        <is>
          <t>2026-04-16</t>
        </is>
      </c>
      <c r="B1224" s="3" t="inlineStr">
        <is>
          <t>파이버프로</t>
        </is>
      </c>
      <c r="C1224" s="2" t="inlineStr">
        <is>
          <t>368770</t>
        </is>
      </c>
      <c r="D1224" s="2" t="inlineStr">
        <is>
          <t>대량보유</t>
        </is>
      </c>
      <c r="E1224" s="3" t="inlineStr">
        <is>
          <t>이정우</t>
        </is>
      </c>
      <c r="F1224" s="3" t="inlineStr">
        <is>
          <t>특별관계자</t>
        </is>
      </c>
      <c r="G1224" s="3" t="inlineStr">
        <is>
          <t>기타(+)</t>
        </is>
      </c>
      <c r="H1224" s="15" t="n">
        <v>348</v>
      </c>
      <c r="I1224" s="6" t="n">
        <v>18830</v>
      </c>
      <c r="J1224" s="6" t="n">
        <v>27848</v>
      </c>
      <c r="K1224" s="16" t="n">
        <v>8</v>
      </c>
      <c r="L1224" s="2" t="inlineStr">
        <is>
          <t>20260416000098</t>
        </is>
      </c>
      <c r="M1224" s="8">
        <f>HYPERLINK("https://dart.fss.or.kr/dsaf001/main.do?rcpNo=20260416000098", "공시열람")</f>
        <v/>
      </c>
    </row>
    <row r="1225" ht="22" customHeight="1">
      <c r="A1225" s="2" t="inlineStr">
        <is>
          <t>2026-04-16</t>
        </is>
      </c>
      <c r="B1225" s="3" t="inlineStr">
        <is>
          <t>신성이엔지</t>
        </is>
      </c>
      <c r="C1225" s="2" t="inlineStr">
        <is>
          <t>011930</t>
        </is>
      </c>
      <c r="D1225" s="2" t="inlineStr">
        <is>
          <t>대량보유</t>
        </is>
      </c>
      <c r="E1225" s="3" t="inlineStr">
        <is>
          <t>J.P.MorganSecuritiesPLC</t>
        </is>
      </c>
      <c r="F1225" s="3" t="inlineStr">
        <is>
          <t>특별관계자</t>
        </is>
      </c>
      <c r="G1225" s="3" t="inlineStr">
        <is>
          <t>장내매도(-), 장내매수(+), 차입(+), 기타(+), 기타(-)</t>
        </is>
      </c>
      <c r="H1225" s="17" t="n">
        <v>-1129589</v>
      </c>
      <c r="I1225" s="6" t="n">
        <v>3719</v>
      </c>
      <c r="J1225" s="6" t="n">
        <v>12015200</v>
      </c>
      <c r="K1225" s="16" t="n">
        <v>1</v>
      </c>
      <c r="L1225" s="2" t="inlineStr">
        <is>
          <t>20260416000070</t>
        </is>
      </c>
      <c r="M1225" s="8">
        <f>HYPERLINK("https://dart.fss.or.kr/dsaf001/main.do?rcpNo=20260416000070", "공시열람")</f>
        <v/>
      </c>
    </row>
    <row r="1226" ht="22" customHeight="1">
      <c r="A1226" s="2" t="inlineStr">
        <is>
          <t>2026-04-16</t>
        </is>
      </c>
      <c r="B1226" s="3" t="inlineStr">
        <is>
          <t>에프앤가이드</t>
        </is>
      </c>
      <c r="C1226" s="2" t="inlineStr">
        <is>
          <t>064850</t>
        </is>
      </c>
      <c r="D1226" s="2" t="inlineStr">
        <is>
          <t>대량보유</t>
        </is>
      </c>
      <c r="E1226" s="3" t="inlineStr">
        <is>
          <t>BoxHoldingsLP</t>
        </is>
      </c>
      <c r="F1226" s="3" t="inlineStr">
        <is>
          <t>특별관계자</t>
        </is>
      </c>
      <c r="G1226" s="3" t="inlineStr">
        <is>
          <t>장내매수(+), 장내매도(-)</t>
        </is>
      </c>
      <c r="H1226" s="17" t="n">
        <v>-182610</v>
      </c>
      <c r="I1226" s="6" t="n">
        <v>22192</v>
      </c>
      <c r="J1226" s="6" t="n">
        <v>903632</v>
      </c>
      <c r="K1226" s="16" t="n">
        <v>1</v>
      </c>
      <c r="L1226" s="2" t="inlineStr">
        <is>
          <t>20260416000051</t>
        </is>
      </c>
      <c r="M1226" s="8">
        <f>HYPERLINK("https://dart.fss.or.kr/dsaf001/main.do?rcpNo=20260416000051", "공시열람")</f>
        <v/>
      </c>
    </row>
    <row r="1227" ht="22" customHeight="1">
      <c r="A1227" s="2" t="inlineStr">
        <is>
          <t>2026-04-16</t>
        </is>
      </c>
      <c r="B1227" s="3" t="inlineStr">
        <is>
          <t>성우</t>
        </is>
      </c>
      <c r="C1227" s="2" t="inlineStr">
        <is>
          <t>458650</t>
        </is>
      </c>
      <c r="D1227" s="2" t="inlineStr">
        <is>
          <t>대량보유</t>
        </is>
      </c>
      <c r="E1227" s="3" t="inlineStr">
        <is>
          <t>소재용</t>
        </is>
      </c>
      <c r="F1227" s="3" t="inlineStr">
        <is>
          <t>특별관계자</t>
        </is>
      </c>
      <c r="G1227" s="3" t="inlineStr">
        <is>
          <t>신규보고(+)</t>
        </is>
      </c>
      <c r="H1227" s="15" t="n">
        <v>39</v>
      </c>
      <c r="I1227" s="6" t="inlineStr"/>
      <c r="J1227" s="6" t="n">
        <v>39</v>
      </c>
      <c r="K1227" s="16" t="n">
        <v>12</v>
      </c>
      <c r="L1227" s="2" t="inlineStr">
        <is>
          <t>20260416000047</t>
        </is>
      </c>
      <c r="M1227" s="8">
        <f>HYPERLINK("https://dart.fss.or.kr/dsaf001/main.do?rcpNo=20260416000047", "공시열람")</f>
        <v/>
      </c>
    </row>
    <row r="1228" ht="22" customHeight="1">
      <c r="A1228" s="2" t="inlineStr">
        <is>
          <t>2026-04-16</t>
        </is>
      </c>
      <c r="B1228" s="3" t="inlineStr">
        <is>
          <t>HLB펩</t>
        </is>
      </c>
      <c r="C1228" s="2" t="inlineStr">
        <is>
          <t>196300</t>
        </is>
      </c>
      <c r="D1228" s="2" t="inlineStr">
        <is>
          <t>대량보유</t>
        </is>
      </c>
      <c r="E1228" s="3" t="inlineStr">
        <is>
          <t>에이치엘비(주)</t>
        </is>
      </c>
      <c r="F1228" s="3" t="inlineStr">
        <is>
          <t>특별관계자</t>
        </is>
      </c>
      <c r="G1228" s="3" t="inlineStr">
        <is>
          <t>행사가액조정</t>
        </is>
      </c>
      <c r="H1228" s="15" t="n">
        <v>180767</v>
      </c>
      <c r="I1228" s="6" t="inlineStr"/>
      <c r="J1228" s="6" t="n">
        <v>1004883</v>
      </c>
      <c r="K1228" s="16" t="n">
        <v>32</v>
      </c>
      <c r="L1228" s="2" t="inlineStr">
        <is>
          <t>20260416000002</t>
        </is>
      </c>
      <c r="M1228" s="8">
        <f>HYPERLINK("https://dart.fss.or.kr/dsaf001/main.do?rcpNo=20260416000002", "공시열람")</f>
        <v/>
      </c>
    </row>
    <row r="1229" ht="22" customHeight="1">
      <c r="A1229" s="2" t="inlineStr">
        <is>
          <t>2026-04-16</t>
        </is>
      </c>
      <c r="B1229" s="3" t="inlineStr">
        <is>
          <t>HLB펩</t>
        </is>
      </c>
      <c r="C1229" s="2" t="inlineStr">
        <is>
          <t>196300</t>
        </is>
      </c>
      <c r="D1229" s="2" t="inlineStr">
        <is>
          <t>대량보유</t>
        </is>
      </c>
      <c r="E1229" s="3" t="inlineStr">
        <is>
          <t>에이치엘비생명과학(주)</t>
        </is>
      </c>
      <c r="F1229" s="3" t="inlineStr">
        <is>
          <t>특별관계자</t>
        </is>
      </c>
      <c r="G1229" s="3" t="inlineStr">
        <is>
          <t>행사가액조정</t>
        </is>
      </c>
      <c r="H1229" s="15" t="n">
        <v>44089</v>
      </c>
      <c r="I1229" s="6" t="inlineStr"/>
      <c r="J1229" s="6" t="n">
        <v>279134</v>
      </c>
      <c r="K1229" s="16" t="n">
        <v>32</v>
      </c>
      <c r="L1229" s="2" t="inlineStr">
        <is>
          <t>20260416000002</t>
        </is>
      </c>
      <c r="M1229" s="8">
        <f>HYPERLINK("https://dart.fss.or.kr/dsaf001/main.do?rcpNo=20260416000002", "공시열람")</f>
        <v/>
      </c>
    </row>
    <row r="1230" ht="22" customHeight="1">
      <c r="A1230" s="2" t="inlineStr">
        <is>
          <t>2026-04-16</t>
        </is>
      </c>
      <c r="B1230" s="3" t="inlineStr">
        <is>
          <t>HLB펩</t>
        </is>
      </c>
      <c r="C1230" s="2" t="inlineStr">
        <is>
          <t>196300</t>
        </is>
      </c>
      <c r="D1230" s="2" t="inlineStr">
        <is>
          <t>대량보유</t>
        </is>
      </c>
      <c r="E1230" s="3" t="inlineStr">
        <is>
          <t>에이치엘비바이오스텝(주)</t>
        </is>
      </c>
      <c r="F1230" s="3" t="inlineStr">
        <is>
          <t>특별관계자</t>
        </is>
      </c>
      <c r="G1230" s="3" t="inlineStr">
        <is>
          <t>행사가액조정</t>
        </is>
      </c>
      <c r="H1230" s="15" t="n">
        <v>22045</v>
      </c>
      <c r="I1230" s="6" t="inlineStr"/>
      <c r="J1230" s="6" t="n">
        <v>139567</v>
      </c>
      <c r="K1230" s="16" t="n">
        <v>32</v>
      </c>
      <c r="L1230" s="2" t="inlineStr">
        <is>
          <t>20260416000002</t>
        </is>
      </c>
      <c r="M1230" s="8">
        <f>HYPERLINK("https://dart.fss.or.kr/dsaf001/main.do?rcpNo=20260416000002", "공시열람")</f>
        <v/>
      </c>
    </row>
    <row r="1231" ht="22" customHeight="1">
      <c r="A1231" s="2" t="inlineStr">
        <is>
          <t>2026-04-16</t>
        </is>
      </c>
      <c r="B1231" s="3" t="inlineStr">
        <is>
          <t>HLB펩</t>
        </is>
      </c>
      <c r="C1231" s="2" t="inlineStr">
        <is>
          <t>196300</t>
        </is>
      </c>
      <c r="D1231" s="2" t="inlineStr">
        <is>
          <t>대량보유</t>
        </is>
      </c>
      <c r="E1231" s="3" t="inlineStr">
        <is>
          <t>에이치엘비파나진(주)</t>
        </is>
      </c>
      <c r="F1231" s="3" t="inlineStr">
        <is>
          <t>특별관계자</t>
        </is>
      </c>
      <c r="G1231" s="3" t="inlineStr">
        <is>
          <t>행사가액조정</t>
        </is>
      </c>
      <c r="H1231" s="15" t="n">
        <v>22045</v>
      </c>
      <c r="I1231" s="6" t="inlineStr"/>
      <c r="J1231" s="6" t="n">
        <v>139567</v>
      </c>
      <c r="K1231" s="16" t="n">
        <v>32</v>
      </c>
      <c r="L1231" s="2" t="inlineStr">
        <is>
          <t>20260416000002</t>
        </is>
      </c>
      <c r="M1231" s="8">
        <f>HYPERLINK("https://dart.fss.or.kr/dsaf001/main.do?rcpNo=20260416000002", "공시열람")</f>
        <v/>
      </c>
    </row>
    <row r="1232" ht="22" customHeight="1">
      <c r="A1232" s="2" t="inlineStr">
        <is>
          <t>2026-04-16</t>
        </is>
      </c>
      <c r="B1232" s="3" t="inlineStr">
        <is>
          <t>HLB펩</t>
        </is>
      </c>
      <c r="C1232" s="2" t="inlineStr">
        <is>
          <t>196300</t>
        </is>
      </c>
      <c r="D1232" s="2" t="inlineStr">
        <is>
          <t>대량보유</t>
        </is>
      </c>
      <c r="E1232" s="3" t="inlineStr">
        <is>
          <t>에이치엘비네트웍스(주)</t>
        </is>
      </c>
      <c r="F1232" s="3" t="inlineStr">
        <is>
          <t>특별관계자</t>
        </is>
      </c>
      <c r="G1232" s="3" t="inlineStr">
        <is>
          <t>행사가액조정</t>
        </is>
      </c>
      <c r="H1232" s="15" t="n">
        <v>22045</v>
      </c>
      <c r="I1232" s="6" t="inlineStr"/>
      <c r="J1232" s="6" t="n">
        <v>139567</v>
      </c>
      <c r="K1232" s="16" t="n">
        <v>32</v>
      </c>
      <c r="L1232" s="2" t="inlineStr">
        <is>
          <t>20260416000002</t>
        </is>
      </c>
      <c r="M1232" s="8">
        <f>HYPERLINK("https://dart.fss.or.kr/dsaf001/main.do?rcpNo=20260416000002", "공시열람")</f>
        <v/>
      </c>
    </row>
    <row r="1233" ht="22" customHeight="1">
      <c r="A1233" s="2" t="inlineStr">
        <is>
          <t>2026-04-16</t>
        </is>
      </c>
      <c r="B1233" s="3" t="inlineStr">
        <is>
          <t>HLB펩</t>
        </is>
      </c>
      <c r="C1233" s="2" t="inlineStr">
        <is>
          <t>196300</t>
        </is>
      </c>
      <c r="D1233" s="2" t="inlineStr">
        <is>
          <t>대량보유</t>
        </is>
      </c>
      <c r="E1233" s="3" t="inlineStr">
        <is>
          <t>노마드제6호조합</t>
        </is>
      </c>
      <c r="F1233" s="3" t="inlineStr">
        <is>
          <t>특별관계자</t>
        </is>
      </c>
      <c r="G1233" s="3" t="inlineStr">
        <is>
          <t>행사가액조정, 기타(-)</t>
        </is>
      </c>
      <c r="H1233" s="17" t="n">
        <v>-1110589</v>
      </c>
      <c r="I1233" s="6" t="inlineStr"/>
      <c r="J1233" s="6" t="n">
        <v>565247</v>
      </c>
      <c r="K1233" s="16" t="n">
        <v>32</v>
      </c>
      <c r="L1233" s="2" t="inlineStr">
        <is>
          <t>20260416000002</t>
        </is>
      </c>
      <c r="M1233" s="8">
        <f>HYPERLINK("https://dart.fss.or.kr/dsaf001/main.do?rcpNo=20260416000002", "공시열람")</f>
        <v/>
      </c>
    </row>
    <row r="1234" ht="22" customHeight="1">
      <c r="A1234" s="2" t="inlineStr">
        <is>
          <t>2026-04-16</t>
        </is>
      </c>
      <c r="B1234" s="3" t="inlineStr">
        <is>
          <t>HLB펩</t>
        </is>
      </c>
      <c r="C1234" s="2" t="inlineStr">
        <is>
          <t>196300</t>
        </is>
      </c>
      <c r="D1234" s="2" t="inlineStr">
        <is>
          <t>대량보유</t>
        </is>
      </c>
      <c r="E1234" s="3" t="inlineStr">
        <is>
          <t>진유림</t>
        </is>
      </c>
      <c r="F1234" s="3" t="inlineStr">
        <is>
          <t>특별관계자</t>
        </is>
      </c>
      <c r="G1234" s="3" t="inlineStr">
        <is>
          <t>기타(+)</t>
        </is>
      </c>
      <c r="H1234" s="15" t="n">
        <v>48849</v>
      </c>
      <c r="I1234" s="6" t="inlineStr"/>
      <c r="J1234" s="6" t="n">
        <v>48849</v>
      </c>
      <c r="K1234" s="16" t="n">
        <v>32</v>
      </c>
      <c r="L1234" s="2" t="inlineStr">
        <is>
          <t>20260416000002</t>
        </is>
      </c>
      <c r="M1234" s="8">
        <f>HYPERLINK("https://dart.fss.or.kr/dsaf001/main.do?rcpNo=20260416000002", "공시열람")</f>
        <v/>
      </c>
    </row>
    <row r="1235" ht="22" customHeight="1">
      <c r="A1235" s="2" t="inlineStr">
        <is>
          <t>2026-04-16</t>
        </is>
      </c>
      <c r="B1235" s="3" t="inlineStr">
        <is>
          <t>HLB펩</t>
        </is>
      </c>
      <c r="C1235" s="2" t="inlineStr">
        <is>
          <t>196300</t>
        </is>
      </c>
      <c r="D1235" s="2" t="inlineStr">
        <is>
          <t>대량보유</t>
        </is>
      </c>
      <c r="E1235" s="3" t="inlineStr">
        <is>
          <t>진인혜</t>
        </is>
      </c>
      <c r="F1235" s="3" t="inlineStr">
        <is>
          <t>특별관계자</t>
        </is>
      </c>
      <c r="G1235" s="3" t="inlineStr">
        <is>
          <t>기타(+)</t>
        </is>
      </c>
      <c r="H1235" s="15" t="n">
        <v>48849</v>
      </c>
      <c r="I1235" s="6" t="inlineStr"/>
      <c r="J1235" s="6" t="n">
        <v>48849</v>
      </c>
      <c r="K1235" s="16" t="n">
        <v>32</v>
      </c>
      <c r="L1235" s="2" t="inlineStr">
        <is>
          <t>20260416000002</t>
        </is>
      </c>
      <c r="M1235" s="8">
        <f>HYPERLINK("https://dart.fss.or.kr/dsaf001/main.do?rcpNo=20260416000002", "공시열람")</f>
        <v/>
      </c>
    </row>
    <row r="1236" ht="22" customHeight="1">
      <c r="A1236" s="2" t="inlineStr">
        <is>
          <t>2026-04-16</t>
        </is>
      </c>
      <c r="B1236" s="3" t="inlineStr">
        <is>
          <t>삼익THK</t>
        </is>
      </c>
      <c r="C1236" s="2" t="inlineStr">
        <is>
          <t>004380</t>
        </is>
      </c>
      <c r="D1236" s="2" t="inlineStr">
        <is>
          <t>대량보유</t>
        </is>
      </c>
      <c r="E1236" s="3" t="inlineStr">
        <is>
          <t>심갑보</t>
        </is>
      </c>
      <c r="F1236" s="3" t="inlineStr">
        <is>
          <t>특별관계자</t>
        </is>
      </c>
      <c r="G1236" s="3" t="inlineStr">
        <is>
          <t>장내매도(-), 피상속(-)</t>
        </is>
      </c>
      <c r="H1236" s="17" t="n">
        <v>-438072</v>
      </c>
      <c r="I1236" s="6" t="n">
        <v>44953</v>
      </c>
      <c r="J1236" s="6" t="inlineStr"/>
      <c r="K1236" s="16" t="n">
        <v>21</v>
      </c>
      <c r="L1236" s="2" t="inlineStr">
        <is>
          <t>20260415000705</t>
        </is>
      </c>
      <c r="M1236" s="8">
        <f>HYPERLINK("https://dart.fss.or.kr/dsaf001/main.do?rcpNo=20260415000705", "공시열람")</f>
        <v/>
      </c>
    </row>
    <row r="1237" ht="22" customHeight="1">
      <c r="A1237" s="2" t="inlineStr">
        <is>
          <t>2026-04-16</t>
        </is>
      </c>
      <c r="B1237" s="3" t="inlineStr">
        <is>
          <t>삼익THK</t>
        </is>
      </c>
      <c r="C1237" s="2" t="inlineStr">
        <is>
          <t>004380</t>
        </is>
      </c>
      <c r="D1237" s="2" t="inlineStr">
        <is>
          <t>대량보유</t>
        </is>
      </c>
      <c r="E1237" s="3" t="inlineStr">
        <is>
          <t>진영민</t>
        </is>
      </c>
      <c r="F1237" s="3" t="inlineStr">
        <is>
          <t>특별관계자</t>
        </is>
      </c>
      <c r="G1237" s="3" t="inlineStr">
        <is>
          <t>장내매도(-)</t>
        </is>
      </c>
      <c r="H1237" s="17" t="n">
        <v>-22000</v>
      </c>
      <c r="I1237" s="6" t="n">
        <v>3811</v>
      </c>
      <c r="J1237" s="6" t="n">
        <v>488292</v>
      </c>
      <c r="K1237" s="16" t="n">
        <v>21</v>
      </c>
      <c r="L1237" s="2" t="inlineStr">
        <is>
          <t>20260415000705</t>
        </is>
      </c>
      <c r="M1237" s="8">
        <f>HYPERLINK("https://dart.fss.or.kr/dsaf001/main.do?rcpNo=20260415000705", "공시열람")</f>
        <v/>
      </c>
    </row>
    <row r="1238" ht="22" customHeight="1">
      <c r="A1238" s="2" t="inlineStr">
        <is>
          <t>2026-04-16</t>
        </is>
      </c>
      <c r="B1238" s="3" t="inlineStr">
        <is>
          <t>삼익THK</t>
        </is>
      </c>
      <c r="C1238" s="2" t="inlineStr">
        <is>
          <t>004380</t>
        </is>
      </c>
      <c r="D1238" s="2" t="inlineStr">
        <is>
          <t>대량보유</t>
        </is>
      </c>
      <c r="E1238" s="3" t="inlineStr">
        <is>
          <t>심규석</t>
        </is>
      </c>
      <c r="F1238" s="3" t="inlineStr">
        <is>
          <t>특별관계자</t>
        </is>
      </c>
      <c r="G1238" s="3" t="inlineStr">
        <is>
          <t>장내매도(-), 상속(+)</t>
        </is>
      </c>
      <c r="H1238" s="15" t="n">
        <v>111863</v>
      </c>
      <c r="I1238" s="6" t="n">
        <v>20566</v>
      </c>
      <c r="J1238" s="6" t="n">
        <v>226863</v>
      </c>
      <c r="K1238" s="16" t="n">
        <v>21</v>
      </c>
      <c r="L1238" s="2" t="inlineStr">
        <is>
          <t>20260415000705</t>
        </is>
      </c>
      <c r="M1238" s="8">
        <f>HYPERLINK("https://dart.fss.or.kr/dsaf001/main.do?rcpNo=20260415000705", "공시열람")</f>
        <v/>
      </c>
    </row>
    <row r="1239" ht="22" customHeight="1">
      <c r="A1239" s="2" t="inlineStr">
        <is>
          <t>2026-04-16</t>
        </is>
      </c>
      <c r="B1239" s="3" t="inlineStr">
        <is>
          <t>삼익THK</t>
        </is>
      </c>
      <c r="C1239" s="2" t="inlineStr">
        <is>
          <t>004380</t>
        </is>
      </c>
      <c r="D1239" s="2" t="inlineStr">
        <is>
          <t>대량보유</t>
        </is>
      </c>
      <c r="E1239" s="3" t="inlineStr">
        <is>
          <t>진영환</t>
        </is>
      </c>
      <c r="F1239" s="3" t="inlineStr">
        <is>
          <t>특별관계자</t>
        </is>
      </c>
      <c r="G1239" s="3" t="inlineStr">
        <is>
          <t>증여(-)</t>
        </is>
      </c>
      <c r="H1239" s="17" t="n">
        <v>-111463</v>
      </c>
      <c r="I1239" s="6" t="inlineStr"/>
      <c r="J1239" s="6" t="n">
        <v>1470000</v>
      </c>
      <c r="K1239" s="16" t="n">
        <v>21</v>
      </c>
      <c r="L1239" s="2" t="inlineStr">
        <is>
          <t>20260415000705</t>
        </is>
      </c>
      <c r="M1239" s="8">
        <f>HYPERLINK("https://dart.fss.or.kr/dsaf001/main.do?rcpNo=20260415000705", "공시열람")</f>
        <v/>
      </c>
    </row>
    <row r="1240" ht="22" customHeight="1">
      <c r="A1240" s="2" t="inlineStr">
        <is>
          <t>2026-04-16</t>
        </is>
      </c>
      <c r="B1240" s="3" t="inlineStr">
        <is>
          <t>삼익THK</t>
        </is>
      </c>
      <c r="C1240" s="2" t="inlineStr">
        <is>
          <t>004380</t>
        </is>
      </c>
      <c r="D1240" s="2" t="inlineStr">
        <is>
          <t>대량보유</t>
        </is>
      </c>
      <c r="E1240" s="3" t="inlineStr">
        <is>
          <t>진윤지</t>
        </is>
      </c>
      <c r="F1240" s="3" t="inlineStr">
        <is>
          <t>특별관계자</t>
        </is>
      </c>
      <c r="G1240" s="3" t="inlineStr">
        <is>
          <t>수증(+)</t>
        </is>
      </c>
      <c r="H1240" s="15" t="n">
        <v>111463</v>
      </c>
      <c r="I1240" s="6" t="inlineStr"/>
      <c r="J1240" s="6" t="n">
        <v>116123</v>
      </c>
      <c r="K1240" s="16" t="n">
        <v>21</v>
      </c>
      <c r="L1240" s="2" t="inlineStr">
        <is>
          <t>20260415000705</t>
        </is>
      </c>
      <c r="M1240" s="8">
        <f>HYPERLINK("https://dart.fss.or.kr/dsaf001/main.do?rcpNo=20260415000705", "공시열람")</f>
        <v/>
      </c>
    </row>
    <row r="1241" ht="22" customHeight="1">
      <c r="A1241" s="2" t="inlineStr">
        <is>
          <t>2026-04-16</t>
        </is>
      </c>
      <c r="B1241" s="3" t="inlineStr">
        <is>
          <t>삼익THK</t>
        </is>
      </c>
      <c r="C1241" s="2" t="inlineStr">
        <is>
          <t>004380</t>
        </is>
      </c>
      <c r="D1241" s="2" t="inlineStr">
        <is>
          <t>대량보유</t>
        </is>
      </c>
      <c r="E1241" s="3" t="inlineStr">
        <is>
          <t>진건우</t>
        </is>
      </c>
      <c r="F1241" s="3" t="inlineStr">
        <is>
          <t>특별관계자</t>
        </is>
      </c>
      <c r="G1241" s="3" t="inlineStr">
        <is>
          <t>장내매도(-)</t>
        </is>
      </c>
      <c r="H1241" s="17" t="n">
        <v>-5100</v>
      </c>
      <c r="I1241" s="6" t="n">
        <v>5100</v>
      </c>
      <c r="J1241" s="6" t="inlineStr"/>
      <c r="K1241" s="16" t="n">
        <v>21</v>
      </c>
      <c r="L1241" s="2" t="inlineStr">
        <is>
          <t>20260415000705</t>
        </is>
      </c>
      <c r="M1241" s="8">
        <f>HYPERLINK("https://dart.fss.or.kr/dsaf001/main.do?rcpNo=20260415000705", "공시열람")</f>
        <v/>
      </c>
    </row>
    <row r="1242" ht="22" customHeight="1">
      <c r="A1242" s="2" t="inlineStr">
        <is>
          <t>2026-04-16</t>
        </is>
      </c>
      <c r="B1242" s="3" t="inlineStr">
        <is>
          <t>삼익THK</t>
        </is>
      </c>
      <c r="C1242" s="2" t="inlineStr">
        <is>
          <t>004380</t>
        </is>
      </c>
      <c r="D1242" s="2" t="inlineStr">
        <is>
          <t>대량보유</t>
        </is>
      </c>
      <c r="E1242" s="3" t="inlineStr">
        <is>
          <t>심언정</t>
        </is>
      </c>
      <c r="F1242" s="3" t="inlineStr">
        <is>
          <t>특별관계자</t>
        </is>
      </c>
      <c r="G1242" s="3" t="inlineStr">
        <is>
          <t>상속(+)</t>
        </is>
      </c>
      <c r="H1242" s="15" t="n">
        <v>176863</v>
      </c>
      <c r="I1242" s="6" t="inlineStr"/>
      <c r="J1242" s="6" t="n">
        <v>291863</v>
      </c>
      <c r="K1242" s="16" t="n">
        <v>21</v>
      </c>
      <c r="L1242" s="2" t="inlineStr">
        <is>
          <t>20260415000705</t>
        </is>
      </c>
      <c r="M1242" s="8">
        <f>HYPERLINK("https://dart.fss.or.kr/dsaf001/main.do?rcpNo=20260415000705", "공시열람")</f>
        <v/>
      </c>
    </row>
    <row r="1243" ht="22" customHeight="1">
      <c r="A1243" s="2" t="inlineStr">
        <is>
          <t>2026-04-16</t>
        </is>
      </c>
      <c r="B1243" s="3" t="inlineStr">
        <is>
          <t>삼익THK</t>
        </is>
      </c>
      <c r="C1243" s="2" t="inlineStr">
        <is>
          <t>004380</t>
        </is>
      </c>
      <c r="D1243" s="2" t="inlineStr">
        <is>
          <t>대량보유</t>
        </is>
      </c>
      <c r="E1243" s="3" t="inlineStr">
        <is>
          <t>진영길</t>
        </is>
      </c>
      <c r="F1243" s="3" t="inlineStr">
        <is>
          <t>특별관계자</t>
        </is>
      </c>
      <c r="G1243" s="3" t="inlineStr">
        <is>
          <t>장내매도(-)</t>
        </is>
      </c>
      <c r="H1243" s="17" t="n">
        <v>-222029</v>
      </c>
      <c r="I1243" s="6" t="n">
        <v>222029</v>
      </c>
      <c r="J1243" s="6" t="n">
        <v>283571</v>
      </c>
      <c r="K1243" s="16" t="n">
        <v>21</v>
      </c>
      <c r="L1243" s="2" t="inlineStr">
        <is>
          <t>20260415000705</t>
        </is>
      </c>
      <c r="M1243" s="8">
        <f>HYPERLINK("https://dart.fss.or.kr/dsaf001/main.do?rcpNo=20260415000705", "공시열람")</f>
        <v/>
      </c>
    </row>
    <row r="1244" ht="22" customHeight="1">
      <c r="A1244" s="2" t="inlineStr">
        <is>
          <t>2026-04-16</t>
        </is>
      </c>
      <c r="B1244" s="3" t="inlineStr">
        <is>
          <t>삼익THK</t>
        </is>
      </c>
      <c r="C1244" s="2" t="inlineStr">
        <is>
          <t>004380</t>
        </is>
      </c>
      <c r="D1244" s="2" t="inlineStr">
        <is>
          <t>대량보유</t>
        </is>
      </c>
      <c r="E1244" s="3" t="inlineStr">
        <is>
          <t>진주완</t>
        </is>
      </c>
      <c r="F1244" s="3" t="inlineStr">
        <is>
          <t>특별관계자</t>
        </is>
      </c>
      <c r="G1244" s="3" t="inlineStr">
        <is>
          <t>장내매도(-)</t>
        </is>
      </c>
      <c r="H1244" s="17" t="n">
        <v>-219653</v>
      </c>
      <c r="I1244" s="6" t="n">
        <v>219653</v>
      </c>
      <c r="J1244" s="6" t="n">
        <v>380330</v>
      </c>
      <c r="K1244" s="16" t="n">
        <v>21</v>
      </c>
      <c r="L1244" s="2" t="inlineStr">
        <is>
          <t>20260415000705</t>
        </is>
      </c>
      <c r="M1244" s="8">
        <f>HYPERLINK("https://dart.fss.or.kr/dsaf001/main.do?rcpNo=20260415000705", "공시열람")</f>
        <v/>
      </c>
    </row>
    <row r="1245" ht="22" customHeight="1">
      <c r="A1245" s="2" t="inlineStr">
        <is>
          <t>2026-04-16</t>
        </is>
      </c>
      <c r="B1245" s="3" t="inlineStr">
        <is>
          <t>삼익THK</t>
        </is>
      </c>
      <c r="C1245" s="2" t="inlineStr">
        <is>
          <t>004380</t>
        </is>
      </c>
      <c r="D1245" s="2" t="inlineStr">
        <is>
          <t>대량보유</t>
        </is>
      </c>
      <c r="E1245" s="3" t="inlineStr">
        <is>
          <t>진영환</t>
        </is>
      </c>
      <c r="F1245" s="3" t="inlineStr">
        <is>
          <t>보고자</t>
        </is>
      </c>
      <c r="G1245" s="3" t="inlineStr">
        <is>
          <t>특수관계자의 주식담보 계약 체결</t>
        </is>
      </c>
      <c r="H1245" s="6" t="inlineStr"/>
      <c r="I1245" s="6" t="inlineStr"/>
      <c r="J1245" s="6" t="n">
        <v>13608690</v>
      </c>
      <c r="K1245" s="16" t="n">
        <v>21</v>
      </c>
      <c r="L1245" s="2" t="inlineStr">
        <is>
          <t>20260415000696</t>
        </is>
      </c>
      <c r="M1245" s="8">
        <f>HYPERLINK("https://dart.fss.or.kr/dsaf001/main.do?rcpNo=20260415000696", "공시열람")</f>
        <v/>
      </c>
    </row>
    <row r="1246" ht="22" customHeight="1">
      <c r="A1246" s="2" t="inlineStr">
        <is>
          <t>2026-05-20</t>
        </is>
      </c>
      <c r="B1246" s="3" t="inlineStr">
        <is>
          <t>웨이버스</t>
        </is>
      </c>
      <c r="C1246" s="2" t="inlineStr">
        <is>
          <t>336060</t>
        </is>
      </c>
      <c r="D1246" s="2" t="inlineStr">
        <is>
          <t>대량보유</t>
        </is>
      </c>
      <c r="E1246" s="3" t="inlineStr">
        <is>
          <t>김학성</t>
        </is>
      </c>
      <c r="F1246" s="3" t="inlineStr">
        <is>
          <t>특별관계자</t>
        </is>
      </c>
      <c r="G1246" s="3" t="inlineStr">
        <is>
          <t>장내매수(+)</t>
        </is>
      </c>
      <c r="H1246" s="15" t="n">
        <v>24000</v>
      </c>
      <c r="I1246" s="6" t="n">
        <v>927</v>
      </c>
      <c r="J1246" s="6" t="n">
        <v>12003024</v>
      </c>
      <c r="K1246" s="16" t="n">
        <v>14</v>
      </c>
      <c r="L1246" s="2" t="inlineStr">
        <is>
          <t>20260520000397</t>
        </is>
      </c>
      <c r="M1246" s="8">
        <f>HYPERLINK("https://dart.fss.or.kr/dsaf001/main.do?rcpNo=20260520000397", "공시열람")</f>
        <v/>
      </c>
    </row>
    <row r="1247" ht="22" customHeight="1">
      <c r="A1247" s="2" t="inlineStr">
        <is>
          <t>2026-05-20</t>
        </is>
      </c>
      <c r="B1247" s="3" t="inlineStr">
        <is>
          <t>웨이버스</t>
        </is>
      </c>
      <c r="C1247" s="2" t="inlineStr">
        <is>
          <t>336060</t>
        </is>
      </c>
      <c r="D1247" s="2" t="inlineStr">
        <is>
          <t>대량보유</t>
        </is>
      </c>
      <c r="E1247" s="3" t="inlineStr">
        <is>
          <t>박창훈</t>
        </is>
      </c>
      <c r="F1247" s="3" t="inlineStr">
        <is>
          <t>특별관계자</t>
        </is>
      </c>
      <c r="G1247" s="3" t="inlineStr">
        <is>
          <t>장내매수(+)</t>
        </is>
      </c>
      <c r="H1247" s="15" t="n">
        <v>12428</v>
      </c>
      <c r="I1247" s="6" t="n">
        <v>911</v>
      </c>
      <c r="J1247" s="6" t="n">
        <v>1171263</v>
      </c>
      <c r="K1247" s="16" t="n">
        <v>14</v>
      </c>
      <c r="L1247" s="2" t="inlineStr">
        <is>
          <t>20260520000397</t>
        </is>
      </c>
      <c r="M1247" s="8">
        <f>HYPERLINK("https://dart.fss.or.kr/dsaf001/main.do?rcpNo=20260520000397", "공시열람")</f>
        <v/>
      </c>
    </row>
    <row r="1248" ht="22" customHeight="1">
      <c r="A1248" s="2" t="inlineStr">
        <is>
          <t>2026-05-20</t>
        </is>
      </c>
      <c r="B1248" s="3" t="inlineStr">
        <is>
          <t>웨이버스</t>
        </is>
      </c>
      <c r="C1248" s="2" t="inlineStr">
        <is>
          <t>336060</t>
        </is>
      </c>
      <c r="D1248" s="2" t="inlineStr">
        <is>
          <t>대량보유</t>
        </is>
      </c>
      <c r="E1248" s="3" t="inlineStr">
        <is>
          <t>조문기</t>
        </is>
      </c>
      <c r="F1248" s="3" t="inlineStr">
        <is>
          <t>특별관계자</t>
        </is>
      </c>
      <c r="G1248" s="3" t="inlineStr">
        <is>
          <t>장내매수(+)</t>
        </is>
      </c>
      <c r="H1248" s="15" t="n">
        <v>21000</v>
      </c>
      <c r="I1248" s="6" t="n">
        <v>937</v>
      </c>
      <c r="J1248" s="6" t="n">
        <v>1240920</v>
      </c>
      <c r="K1248" s="16" t="n">
        <v>14</v>
      </c>
      <c r="L1248" s="2" t="inlineStr">
        <is>
          <t>20260520000397</t>
        </is>
      </c>
      <c r="M1248" s="8">
        <f>HYPERLINK("https://dart.fss.or.kr/dsaf001/main.do?rcpNo=20260520000397", "공시열람")</f>
        <v/>
      </c>
    </row>
    <row r="1249" ht="22" customHeight="1">
      <c r="A1249" s="2" t="inlineStr">
        <is>
          <t>2026-05-20</t>
        </is>
      </c>
      <c r="B1249" s="3" t="inlineStr">
        <is>
          <t>웨이버스</t>
        </is>
      </c>
      <c r="C1249" s="2" t="inlineStr">
        <is>
          <t>336060</t>
        </is>
      </c>
      <c r="D1249" s="2" t="inlineStr">
        <is>
          <t>대량보유</t>
        </is>
      </c>
      <c r="E1249" s="3" t="inlineStr">
        <is>
          <t>송치봉</t>
        </is>
      </c>
      <c r="F1249" s="3" t="inlineStr">
        <is>
          <t>특별관계자</t>
        </is>
      </c>
      <c r="G1249" s="3" t="inlineStr">
        <is>
          <t>장내매수(+)</t>
        </is>
      </c>
      <c r="H1249" s="15" t="n">
        <v>5476</v>
      </c>
      <c r="I1249" s="6" t="n">
        <v>924</v>
      </c>
      <c r="J1249" s="6" t="n">
        <v>48000</v>
      </c>
      <c r="K1249" s="16" t="n">
        <v>14</v>
      </c>
      <c r="L1249" s="2" t="inlineStr">
        <is>
          <t>20260520000397</t>
        </is>
      </c>
      <c r="M1249" s="8">
        <f>HYPERLINK("https://dart.fss.or.kr/dsaf001/main.do?rcpNo=20260520000397", "공시열람")</f>
        <v/>
      </c>
    </row>
    <row r="1250" ht="22" customHeight="1">
      <c r="A1250" s="2" t="inlineStr">
        <is>
          <t>2026-05-20</t>
        </is>
      </c>
      <c r="B1250" s="3" t="inlineStr">
        <is>
          <t>웨이버스</t>
        </is>
      </c>
      <c r="C1250" s="2" t="inlineStr">
        <is>
          <t>336060</t>
        </is>
      </c>
      <c r="D1250" s="2" t="inlineStr">
        <is>
          <t>대량보유</t>
        </is>
      </c>
      <c r="E1250" s="3" t="inlineStr">
        <is>
          <t>양정훈</t>
        </is>
      </c>
      <c r="F1250" s="3" t="inlineStr">
        <is>
          <t>특별관계자</t>
        </is>
      </c>
      <c r="G1250" s="3" t="inlineStr">
        <is>
          <t>장내매수(+), 장내매도(-)</t>
        </is>
      </c>
      <c r="H1250" s="17" t="n">
        <v>-38000</v>
      </c>
      <c r="I1250" s="6" t="n">
        <v>1014</v>
      </c>
      <c r="J1250" s="6" t="n">
        <v>80000</v>
      </c>
      <c r="K1250" s="16" t="n">
        <v>14</v>
      </c>
      <c r="L1250" s="2" t="inlineStr">
        <is>
          <t>20260520000397</t>
        </is>
      </c>
      <c r="M1250" s="8">
        <f>HYPERLINK("https://dart.fss.or.kr/dsaf001/main.do?rcpNo=20260520000397", "공시열람")</f>
        <v/>
      </c>
    </row>
    <row r="1251" ht="22" customHeight="1">
      <c r="A1251" s="2" t="inlineStr">
        <is>
          <t>2026-05-20</t>
        </is>
      </c>
      <c r="B1251" s="3" t="inlineStr">
        <is>
          <t>웨이버스</t>
        </is>
      </c>
      <c r="C1251" s="2" t="inlineStr">
        <is>
          <t>336060</t>
        </is>
      </c>
      <c r="D1251" s="2" t="inlineStr">
        <is>
          <t>대량보유</t>
        </is>
      </c>
      <c r="E1251" s="3" t="inlineStr">
        <is>
          <t>황인서</t>
        </is>
      </c>
      <c r="F1251" s="3" t="inlineStr">
        <is>
          <t>특별관계자</t>
        </is>
      </c>
      <c r="G1251" s="3" t="inlineStr">
        <is>
          <t>장내매수(+)</t>
        </is>
      </c>
      <c r="H1251" s="15" t="n">
        <v>131277</v>
      </c>
      <c r="I1251" s="6" t="n">
        <v>905</v>
      </c>
      <c r="J1251" s="6" t="n">
        <v>131277</v>
      </c>
      <c r="K1251" s="16" t="n">
        <v>14</v>
      </c>
      <c r="L1251" s="2" t="inlineStr">
        <is>
          <t>20260520000397</t>
        </is>
      </c>
      <c r="M1251" s="8">
        <f>HYPERLINK("https://dart.fss.or.kr/dsaf001/main.do?rcpNo=20260520000397", "공시열람")</f>
        <v/>
      </c>
    </row>
    <row r="1252" ht="22" customHeight="1">
      <c r="A1252" s="2" t="inlineStr">
        <is>
          <t>2026-05-20</t>
        </is>
      </c>
      <c r="B1252" s="3" t="inlineStr">
        <is>
          <t>엔시스</t>
        </is>
      </c>
      <c r="C1252" s="2" t="inlineStr">
        <is>
          <t>333620</t>
        </is>
      </c>
      <c r="D1252" s="2" t="inlineStr">
        <is>
          <t>대량보유</t>
        </is>
      </c>
      <c r="E1252" s="3" t="inlineStr">
        <is>
          <t>장성완</t>
        </is>
      </c>
      <c r="F1252" s="3" t="inlineStr">
        <is>
          <t>특별관계자</t>
        </is>
      </c>
      <c r="G1252" s="3" t="inlineStr">
        <is>
          <t>신규선임(유상취득)(+)</t>
        </is>
      </c>
      <c r="H1252" s="15" t="n">
        <v>754</v>
      </c>
      <c r="I1252" s="6" t="n">
        <v>12231</v>
      </c>
      <c r="J1252" s="6" t="n">
        <v>754</v>
      </c>
      <c r="K1252" s="16" t="n">
        <v>3</v>
      </c>
      <c r="L1252" s="2" t="inlineStr">
        <is>
          <t>20260520000366</t>
        </is>
      </c>
      <c r="M1252" s="8">
        <f>HYPERLINK("https://dart.fss.or.kr/dsaf001/main.do?rcpNo=20260520000366", "공시열람")</f>
        <v/>
      </c>
    </row>
    <row r="1253" ht="22" customHeight="1">
      <c r="A1253" s="2" t="inlineStr">
        <is>
          <t>2026-05-20</t>
        </is>
      </c>
      <c r="B1253" s="3" t="inlineStr">
        <is>
          <t>에코볼트</t>
        </is>
      </c>
      <c r="C1253" s="2" t="inlineStr">
        <is>
          <t>097780</t>
        </is>
      </c>
      <c r="D1253" s="2" t="inlineStr">
        <is>
          <t>대량보유</t>
        </is>
      </c>
      <c r="E1253" s="3" t="inlineStr">
        <is>
          <t>오성첨단소재주식회사</t>
        </is>
      </c>
      <c r="F1253" s="3" t="inlineStr">
        <is>
          <t>특별관계자</t>
        </is>
      </c>
      <c r="G1253" s="3" t="inlineStr">
        <is>
          <t>주식분할</t>
        </is>
      </c>
      <c r="H1253" s="15" t="n">
        <v>15163416</v>
      </c>
      <c r="I1253" s="6" t="inlineStr"/>
      <c r="J1253" s="6" t="n">
        <v>30326832</v>
      </c>
      <c r="K1253" s="16" t="n">
        <v>1</v>
      </c>
      <c r="L1253" s="2" t="inlineStr">
        <is>
          <t>20260520000348</t>
        </is>
      </c>
      <c r="M1253" s="8">
        <f>HYPERLINK("https://dart.fss.or.kr/dsaf001/main.do?rcpNo=20260520000348", "공시열람")</f>
        <v/>
      </c>
    </row>
    <row r="1254" ht="22" customHeight="1">
      <c r="A1254" s="2" t="inlineStr">
        <is>
          <t>2026-05-20</t>
        </is>
      </c>
      <c r="B1254" s="3" t="inlineStr">
        <is>
          <t>에코볼트</t>
        </is>
      </c>
      <c r="C1254" s="2" t="inlineStr">
        <is>
          <t>097780</t>
        </is>
      </c>
      <c r="D1254" s="2" t="inlineStr">
        <is>
          <t>대량보유</t>
        </is>
      </c>
      <c r="E1254" s="3" t="inlineStr">
        <is>
          <t>한재관</t>
        </is>
      </c>
      <c r="F1254" s="3" t="inlineStr">
        <is>
          <t>특별관계자</t>
        </is>
      </c>
      <c r="G1254" s="3" t="inlineStr">
        <is>
          <t>주식분할</t>
        </is>
      </c>
      <c r="H1254" s="15" t="n">
        <v>24000</v>
      </c>
      <c r="I1254" s="6" t="inlineStr"/>
      <c r="J1254" s="6" t="n">
        <v>48000</v>
      </c>
      <c r="K1254" s="16" t="n">
        <v>1</v>
      </c>
      <c r="L1254" s="2" t="inlineStr">
        <is>
          <t>20260520000348</t>
        </is>
      </c>
      <c r="M1254" s="8">
        <f>HYPERLINK("https://dart.fss.or.kr/dsaf001/main.do?rcpNo=20260520000348", "공시열람")</f>
        <v/>
      </c>
    </row>
    <row r="1255" ht="22" customHeight="1">
      <c r="A1255" s="2" t="inlineStr">
        <is>
          <t>2026-05-20 (정정: 2026-05-20)</t>
        </is>
      </c>
      <c r="B1255" s="3" t="inlineStr">
        <is>
          <t>플루토스</t>
        </is>
      </c>
      <c r="C1255" s="2" t="inlineStr">
        <is>
          <t>019570</t>
        </is>
      </c>
      <c r="D1255" s="2" t="inlineStr">
        <is>
          <t>대량보유</t>
        </is>
      </c>
      <c r="E1255" s="3" t="inlineStr">
        <is>
          <t>-</t>
        </is>
      </c>
      <c r="F1255" s="3" t="inlineStr">
        <is>
          <t>보고자</t>
        </is>
      </c>
      <c r="G1255" s="3" t="inlineStr">
        <is>
          <t>-</t>
        </is>
      </c>
      <c r="H1255" s="6" t="inlineStr"/>
      <c r="I1255" s="6" t="inlineStr"/>
      <c r="J1255" s="6" t="inlineStr"/>
      <c r="K1255" s="18" t="inlineStr"/>
      <c r="L1255" s="2" t="inlineStr">
        <is>
          <t>20260520900533</t>
        </is>
      </c>
      <c r="M1255" s="8">
        <f>HYPERLINK("https://dart.fss.or.kr/dsaf001/main.do?rcpNo=20260520900533", "공시열람")</f>
        <v/>
      </c>
    </row>
    <row r="1256" ht="22" customHeight="1">
      <c r="A1256" s="2" t="inlineStr">
        <is>
          <t>2026-05-20</t>
        </is>
      </c>
      <c r="B1256" s="3" t="inlineStr">
        <is>
          <t>에스와이스틸텍</t>
        </is>
      </c>
      <c r="C1256" s="2" t="inlineStr">
        <is>
          <t>365330</t>
        </is>
      </c>
      <c r="D1256" s="2" t="inlineStr">
        <is>
          <t>대량보유</t>
        </is>
      </c>
      <c r="E1256" s="3" t="inlineStr">
        <is>
          <t>홍영돈</t>
        </is>
      </c>
      <c r="F1256" s="3" t="inlineStr">
        <is>
          <t>특별관계자</t>
        </is>
      </c>
      <c r="G1256" s="3" t="inlineStr">
        <is>
          <t>시간외매매(-)</t>
        </is>
      </c>
      <c r="H1256" s="17" t="n">
        <v>-3000000</v>
      </c>
      <c r="I1256" s="6" t="n">
        <v>2986</v>
      </c>
      <c r="J1256" s="6" t="n">
        <v>1444000</v>
      </c>
      <c r="K1256" s="16" t="n">
        <v>9</v>
      </c>
      <c r="L1256" s="2" t="inlineStr">
        <is>
          <t>20260520000340</t>
        </is>
      </c>
      <c r="M1256" s="8">
        <f>HYPERLINK("https://dart.fss.or.kr/dsaf001/main.do?rcpNo=20260520000340", "공시열람")</f>
        <v/>
      </c>
    </row>
    <row r="1257" ht="22" customHeight="1">
      <c r="A1257" s="2" t="inlineStr">
        <is>
          <t>2026-05-20</t>
        </is>
      </c>
      <c r="B1257" s="3" t="inlineStr">
        <is>
          <t>부국증권</t>
        </is>
      </c>
      <c r="C1257" s="2" t="inlineStr">
        <is>
          <t>001270</t>
        </is>
      </c>
      <c r="D1257" s="2" t="inlineStr">
        <is>
          <t>대량보유</t>
        </is>
      </c>
      <c r="E1257" s="3" t="inlineStr">
        <is>
          <t>김중건</t>
        </is>
      </c>
      <c r="F1257" s="3" t="inlineStr">
        <is>
          <t>특별관계자</t>
        </is>
      </c>
      <c r="G1257" s="3" t="inlineStr">
        <is>
          <t>장내매수(+)</t>
        </is>
      </c>
      <c r="H1257" s="15" t="n">
        <v>3916</v>
      </c>
      <c r="I1257" s="6" t="n">
        <v>63657</v>
      </c>
      <c r="J1257" s="6" t="n">
        <v>1277103</v>
      </c>
      <c r="K1257" s="16" t="n">
        <v>9</v>
      </c>
      <c r="L1257" s="2" t="inlineStr">
        <is>
          <t>20260520000334</t>
        </is>
      </c>
      <c r="M1257" s="8">
        <f>HYPERLINK("https://dart.fss.or.kr/dsaf001/main.do?rcpNo=20260520000334", "공시열람")</f>
        <v/>
      </c>
    </row>
    <row r="1258" ht="22" customHeight="1">
      <c r="A1258" s="2" t="inlineStr">
        <is>
          <t>2026-05-20</t>
        </is>
      </c>
      <c r="B1258" s="3" t="inlineStr">
        <is>
          <t>부국증권</t>
        </is>
      </c>
      <c r="C1258" s="2" t="inlineStr">
        <is>
          <t>001270</t>
        </is>
      </c>
      <c r="D1258" s="2" t="inlineStr">
        <is>
          <t>대량보유</t>
        </is>
      </c>
      <c r="E1258" s="3" t="inlineStr">
        <is>
          <t>이진우</t>
        </is>
      </c>
      <c r="F1258" s="3" t="inlineStr">
        <is>
          <t>특별관계자</t>
        </is>
      </c>
      <c r="G1258" s="3" t="inlineStr">
        <is>
          <t>장내매수(+)</t>
        </is>
      </c>
      <c r="H1258" s="15" t="n">
        <v>323</v>
      </c>
      <c r="I1258" s="6" t="n">
        <v>64675</v>
      </c>
      <c r="J1258" s="6" t="n">
        <v>65400</v>
      </c>
      <c r="K1258" s="16" t="n">
        <v>9</v>
      </c>
      <c r="L1258" s="2" t="inlineStr">
        <is>
          <t>20260520000334</t>
        </is>
      </c>
      <c r="M1258" s="8">
        <f>HYPERLINK("https://dart.fss.or.kr/dsaf001/main.do?rcpNo=20260520000334", "공시열람")</f>
        <v/>
      </c>
    </row>
    <row r="1259" ht="22" customHeight="1">
      <c r="A1259" s="2" t="inlineStr">
        <is>
          <t>2026-05-20</t>
        </is>
      </c>
      <c r="B1259" s="3" t="inlineStr">
        <is>
          <t>범한퓨얼셀</t>
        </is>
      </c>
      <c r="C1259" s="2" t="inlineStr">
        <is>
          <t>382900</t>
        </is>
      </c>
      <c r="D1259" s="2" t="inlineStr">
        <is>
          <t>대량보유</t>
        </is>
      </c>
      <c r="E1259" s="3" t="inlineStr">
        <is>
          <t>황순심</t>
        </is>
      </c>
      <c r="F1259" s="3" t="inlineStr">
        <is>
          <t>특별관계자</t>
        </is>
      </c>
      <c r="G1259" s="3" t="inlineStr">
        <is>
          <t>신규상장(무상취득)(+), 신규상장(유상취득)(+), 장내매수(+), 주식매수선택권부여취소(-)</t>
        </is>
      </c>
      <c r="H1259" s="15" t="n">
        <v>17547</v>
      </c>
      <c r="I1259" s="6" t="n">
        <v>39525</v>
      </c>
      <c r="J1259" s="6" t="n">
        <v>17547</v>
      </c>
      <c r="K1259" s="16" t="n">
        <v>5</v>
      </c>
      <c r="L1259" s="2" t="inlineStr">
        <is>
          <t>20260520000329</t>
        </is>
      </c>
      <c r="M1259" s="8">
        <f>HYPERLINK("https://dart.fss.or.kr/dsaf001/main.do?rcpNo=20260520000329", "공시열람")</f>
        <v/>
      </c>
    </row>
    <row r="1260" ht="22" customHeight="1">
      <c r="A1260" s="2" t="inlineStr">
        <is>
          <t>2026-05-20</t>
        </is>
      </c>
      <c r="B1260" s="3" t="inlineStr">
        <is>
          <t>범한퓨얼셀</t>
        </is>
      </c>
      <c r="C1260" s="2" t="inlineStr">
        <is>
          <t>382900</t>
        </is>
      </c>
      <c r="D1260" s="2" t="inlineStr">
        <is>
          <t>대량보유</t>
        </is>
      </c>
      <c r="E1260" s="3" t="inlineStr">
        <is>
          <t>최동호</t>
        </is>
      </c>
      <c r="F1260" s="3" t="inlineStr">
        <is>
          <t>특별관계자</t>
        </is>
      </c>
      <c r="G1260" s="3" t="inlineStr">
        <is>
          <t>주식매수선택권부여취소(-)</t>
        </is>
      </c>
      <c r="H1260" s="17" t="n">
        <v>-7500</v>
      </c>
      <c r="I1260" s="6" t="inlineStr"/>
      <c r="J1260" s="6" t="n">
        <v>7500</v>
      </c>
      <c r="K1260" s="16" t="n">
        <v>5</v>
      </c>
      <c r="L1260" s="2" t="inlineStr">
        <is>
          <t>20260520000329</t>
        </is>
      </c>
      <c r="M1260" s="8">
        <f>HYPERLINK("https://dart.fss.or.kr/dsaf001/main.do?rcpNo=20260520000329", "공시열람")</f>
        <v/>
      </c>
    </row>
    <row r="1261" ht="22" customHeight="1">
      <c r="A1261" s="2" t="inlineStr">
        <is>
          <t>2026-05-20</t>
        </is>
      </c>
      <c r="B1261" s="3" t="inlineStr">
        <is>
          <t>범한퓨얼셀</t>
        </is>
      </c>
      <c r="C1261" s="2" t="inlineStr">
        <is>
          <t>382900</t>
        </is>
      </c>
      <c r="D1261" s="2" t="inlineStr">
        <is>
          <t>대량보유</t>
        </is>
      </c>
      <c r="E1261" s="3" t="inlineStr">
        <is>
          <t>곽대연</t>
        </is>
      </c>
      <c r="F1261" s="3" t="inlineStr">
        <is>
          <t>특별관계자</t>
        </is>
      </c>
      <c r="G1261" s="3" t="inlineStr">
        <is>
          <t>신규상장(유상취득)(+), 주식매수선택권부여취소(-)</t>
        </is>
      </c>
      <c r="H1261" s="17" t="n">
        <v>-17000</v>
      </c>
      <c r="I1261" s="6" t="n">
        <v>40000</v>
      </c>
      <c r="J1261" s="6" t="n">
        <v>3000</v>
      </c>
      <c r="K1261" s="16" t="n">
        <v>5</v>
      </c>
      <c r="L1261" s="2" t="inlineStr">
        <is>
          <t>20260520000329</t>
        </is>
      </c>
      <c r="M1261" s="8">
        <f>HYPERLINK("https://dart.fss.or.kr/dsaf001/main.do?rcpNo=20260520000329", "공시열람")</f>
        <v/>
      </c>
    </row>
    <row r="1262" ht="22" customHeight="1">
      <c r="A1262" s="2" t="inlineStr">
        <is>
          <t>2026-05-20</t>
        </is>
      </c>
      <c r="B1262" s="3" t="inlineStr">
        <is>
          <t>범한퓨얼셀</t>
        </is>
      </c>
      <c r="C1262" s="2" t="inlineStr">
        <is>
          <t>382900</t>
        </is>
      </c>
      <c r="D1262" s="2" t="inlineStr">
        <is>
          <t>대량보유</t>
        </is>
      </c>
      <c r="E1262" s="3" t="inlineStr">
        <is>
          <t>김형석</t>
        </is>
      </c>
      <c r="F1262" s="3" t="inlineStr">
        <is>
          <t>특별관계자</t>
        </is>
      </c>
      <c r="G1262" s="3" t="inlineStr">
        <is>
          <t>신규상장(유상취득)(+), 기타(-), 장내매도(-)</t>
        </is>
      </c>
      <c r="H1262" s="15" t="n">
        <v>1000</v>
      </c>
      <c r="I1262" s="6" t="n">
        <v>40391</v>
      </c>
      <c r="J1262" s="6" t="n">
        <v>1000</v>
      </c>
      <c r="K1262" s="16" t="n">
        <v>5</v>
      </c>
      <c r="L1262" s="2" t="inlineStr">
        <is>
          <t>20260520000329</t>
        </is>
      </c>
      <c r="M1262" s="8">
        <f>HYPERLINK("https://dart.fss.or.kr/dsaf001/main.do?rcpNo=20260520000329", "공시열람")</f>
        <v/>
      </c>
    </row>
    <row r="1263" ht="22" customHeight="1">
      <c r="A1263" s="2" t="inlineStr">
        <is>
          <t>2026-05-20</t>
        </is>
      </c>
      <c r="B1263" s="3" t="inlineStr">
        <is>
          <t>범한퓨얼셀</t>
        </is>
      </c>
      <c r="C1263" s="2" t="inlineStr">
        <is>
          <t>382900</t>
        </is>
      </c>
      <c r="D1263" s="2" t="inlineStr">
        <is>
          <t>대량보유</t>
        </is>
      </c>
      <c r="E1263" s="3" t="inlineStr">
        <is>
          <t>신현길</t>
        </is>
      </c>
      <c r="F1263" s="3" t="inlineStr">
        <is>
          <t>특별관계자</t>
        </is>
      </c>
      <c r="G1263" s="3" t="inlineStr">
        <is>
          <t>특별관계해소(-)</t>
        </is>
      </c>
      <c r="H1263" s="17" t="n">
        <v>-60000</v>
      </c>
      <c r="I1263" s="6" t="inlineStr"/>
      <c r="J1263" s="6" t="inlineStr"/>
      <c r="K1263" s="16" t="n">
        <v>5</v>
      </c>
      <c r="L1263" s="2" t="inlineStr">
        <is>
          <t>20260520000329</t>
        </is>
      </c>
      <c r="M1263" s="8">
        <f>HYPERLINK("https://dart.fss.or.kr/dsaf001/main.do?rcpNo=20260520000329", "공시열람")</f>
        <v/>
      </c>
    </row>
    <row r="1264" ht="22" customHeight="1">
      <c r="A1264" s="2" t="inlineStr">
        <is>
          <t>2026-05-20</t>
        </is>
      </c>
      <c r="B1264" s="3" t="inlineStr">
        <is>
          <t>범한퓨얼셀</t>
        </is>
      </c>
      <c r="C1264" s="2" t="inlineStr">
        <is>
          <t>382900</t>
        </is>
      </c>
      <c r="D1264" s="2" t="inlineStr">
        <is>
          <t>대량보유</t>
        </is>
      </c>
      <c r="E1264" s="3" t="inlineStr">
        <is>
          <t>정현석</t>
        </is>
      </c>
      <c r="F1264" s="3" t="inlineStr">
        <is>
          <t>특별관계자</t>
        </is>
      </c>
      <c r="G1264" s="3" t="inlineStr">
        <is>
          <t>특별관계해소(-)</t>
        </is>
      </c>
      <c r="H1264" s="17" t="n">
        <v>-10000</v>
      </c>
      <c r="I1264" s="6" t="inlineStr"/>
      <c r="J1264" s="6" t="inlineStr"/>
      <c r="K1264" s="16" t="n">
        <v>5</v>
      </c>
      <c r="L1264" s="2" t="inlineStr">
        <is>
          <t>20260520000329</t>
        </is>
      </c>
      <c r="M1264" s="8">
        <f>HYPERLINK("https://dart.fss.or.kr/dsaf001/main.do?rcpNo=20260520000329", "공시열람")</f>
        <v/>
      </c>
    </row>
    <row r="1265" ht="22" customHeight="1">
      <c r="A1265" s="2" t="inlineStr">
        <is>
          <t>2026-05-20</t>
        </is>
      </c>
      <c r="B1265" s="3" t="inlineStr">
        <is>
          <t>범한퓨얼셀</t>
        </is>
      </c>
      <c r="C1265" s="2" t="inlineStr">
        <is>
          <t>382900</t>
        </is>
      </c>
      <c r="D1265" s="2" t="inlineStr">
        <is>
          <t>대량보유</t>
        </is>
      </c>
      <c r="E1265" s="3" t="inlineStr">
        <is>
          <t>조우섭</t>
        </is>
      </c>
      <c r="F1265" s="3" t="inlineStr">
        <is>
          <t>특별관계자</t>
        </is>
      </c>
      <c r="G1265" s="3" t="inlineStr">
        <is>
          <t>특별관계해소(-)</t>
        </is>
      </c>
      <c r="H1265" s="17" t="n">
        <v>-1</v>
      </c>
      <c r="I1265" s="6" t="inlineStr"/>
      <c r="J1265" s="6" t="inlineStr"/>
      <c r="K1265" s="16" t="n">
        <v>5</v>
      </c>
      <c r="L1265" s="2" t="inlineStr">
        <is>
          <t>20260520000329</t>
        </is>
      </c>
      <c r="M1265" s="8">
        <f>HYPERLINK("https://dart.fss.or.kr/dsaf001/main.do?rcpNo=20260520000329", "공시열람")</f>
        <v/>
      </c>
    </row>
    <row r="1266" ht="22" customHeight="1">
      <c r="A1266" s="2" t="inlineStr">
        <is>
          <t>2026-05-20</t>
        </is>
      </c>
      <c r="B1266" s="3" t="inlineStr">
        <is>
          <t>한창</t>
        </is>
      </c>
      <c r="C1266" s="2" t="inlineStr">
        <is>
          <t>005110</t>
        </is>
      </c>
      <c r="D1266" s="2" t="inlineStr">
        <is>
          <t>대량보유</t>
        </is>
      </c>
      <c r="E1266" s="3" t="inlineStr">
        <is>
          <t>김혜임</t>
        </is>
      </c>
      <c r="F1266" s="3" t="inlineStr">
        <is>
          <t>특별관계자</t>
        </is>
      </c>
      <c r="G1266" s="3" t="inlineStr">
        <is>
          <t>특별관계해소(-)</t>
        </is>
      </c>
      <c r="H1266" s="17" t="n">
        <v>-2500000</v>
      </c>
      <c r="I1266" s="6" t="inlineStr"/>
      <c r="J1266" s="6" t="inlineStr"/>
      <c r="K1266" s="16" t="n">
        <v>1</v>
      </c>
      <c r="L1266" s="2" t="inlineStr">
        <is>
          <t>20260520000328</t>
        </is>
      </c>
      <c r="M1266" s="8">
        <f>HYPERLINK("https://dart.fss.or.kr/dsaf001/main.do?rcpNo=20260520000328", "공시열람")</f>
        <v/>
      </c>
    </row>
    <row r="1267" ht="22" customHeight="1">
      <c r="A1267" s="2" t="inlineStr">
        <is>
          <t>2026-05-20</t>
        </is>
      </c>
      <c r="B1267" s="3" t="inlineStr">
        <is>
          <t>스맥</t>
        </is>
      </c>
      <c r="C1267" s="2" t="inlineStr">
        <is>
          <t>099440</t>
        </is>
      </c>
      <c r="D1267" s="2" t="inlineStr">
        <is>
          <t>대량보유</t>
        </is>
      </c>
      <c r="E1267" s="3" t="inlineStr">
        <is>
          <t>최영섭</t>
        </is>
      </c>
      <c r="F1267" s="3" t="inlineStr">
        <is>
          <t>보고자</t>
        </is>
      </c>
      <c r="G1267" s="3" t="inlineStr">
        <is>
          <t>주식담보계약 변경</t>
        </is>
      </c>
      <c r="H1267" s="6" t="inlineStr"/>
      <c r="I1267" s="6" t="inlineStr"/>
      <c r="J1267" s="6" t="n">
        <v>8675436</v>
      </c>
      <c r="K1267" s="16" t="n">
        <v>3</v>
      </c>
      <c r="L1267" s="2" t="inlineStr">
        <is>
          <t>20260520000323</t>
        </is>
      </c>
      <c r="M1267" s="8">
        <f>HYPERLINK("https://dart.fss.or.kr/dsaf001/main.do?rcpNo=20260520000323", "공시열람")</f>
        <v/>
      </c>
    </row>
    <row r="1268" ht="22" customHeight="1">
      <c r="A1268" s="2" t="inlineStr">
        <is>
          <t>2026-05-20</t>
        </is>
      </c>
      <c r="B1268" s="3" t="inlineStr">
        <is>
          <t>상상인증권</t>
        </is>
      </c>
      <c r="C1268" s="2" t="inlineStr">
        <is>
          <t>001290</t>
        </is>
      </c>
      <c r="D1268" s="2" t="inlineStr">
        <is>
          <t>대량보유</t>
        </is>
      </c>
      <c r="E1268" s="3" t="inlineStr">
        <is>
          <t>(주)상상인</t>
        </is>
      </c>
      <c r="F1268" s="3" t="inlineStr">
        <is>
          <t>보고자</t>
        </is>
      </c>
      <c r="G1268" s="3" t="inlineStr">
        <is>
          <t>- 특별관계자 주식담보대출 계약변경</t>
        </is>
      </c>
      <c r="H1268" s="6" t="inlineStr"/>
      <c r="I1268" s="6" t="inlineStr"/>
      <c r="J1268" s="6" t="n">
        <v>70451020</v>
      </c>
      <c r="K1268" s="16" t="n">
        <v>6</v>
      </c>
      <c r="L1268" s="2" t="inlineStr">
        <is>
          <t>20260520000317</t>
        </is>
      </c>
      <c r="M1268" s="8">
        <f>HYPERLINK("https://dart.fss.or.kr/dsaf001/main.do?rcpNo=20260520000317", "공시열람")</f>
        <v/>
      </c>
    </row>
    <row r="1269" ht="22" customHeight="1">
      <c r="A1269" s="2" t="inlineStr">
        <is>
          <t>2026-05-20</t>
        </is>
      </c>
      <c r="B1269" s="3" t="inlineStr">
        <is>
          <t>우리넷</t>
        </is>
      </c>
      <c r="C1269" s="2" t="inlineStr">
        <is>
          <t>115440</t>
        </is>
      </c>
      <c r="D1269" s="2" t="inlineStr">
        <is>
          <t>대량보유</t>
        </is>
      </c>
      <c r="E1269" s="3" t="inlineStr">
        <is>
          <t>넷솔루션즈홀딩스(주)</t>
        </is>
      </c>
      <c r="F1269" s="3" t="inlineStr">
        <is>
          <t>보고자</t>
        </is>
      </c>
      <c r="G1269" s="3" t="inlineStr">
        <is>
          <t>- 기담보대출 연장</t>
        </is>
      </c>
      <c r="H1269" s="6" t="inlineStr"/>
      <c r="I1269" s="6" t="inlineStr"/>
      <c r="J1269" s="6" t="n">
        <v>2840435</v>
      </c>
      <c r="K1269" s="16" t="n">
        <v>26.31</v>
      </c>
      <c r="L1269" s="2" t="inlineStr">
        <is>
          <t>20260520000316</t>
        </is>
      </c>
      <c r="M1269" s="8">
        <f>HYPERLINK("https://dart.fss.or.kr/dsaf001/main.do?rcpNo=20260520000316", "공시열람")</f>
        <v/>
      </c>
    </row>
    <row r="1270" ht="22" customHeight="1">
      <c r="A1270" s="2" t="inlineStr">
        <is>
          <t>2026-05-20 (정정: 2026-06-08)</t>
        </is>
      </c>
      <c r="B1270" s="3" t="inlineStr">
        <is>
          <t>모아데이타</t>
        </is>
      </c>
      <c r="C1270" s="2" t="inlineStr">
        <is>
          <t>288980</t>
        </is>
      </c>
      <c r="D1270" s="2" t="inlineStr">
        <is>
          <t>대량보유</t>
        </is>
      </c>
      <c r="E1270" s="3" t="inlineStr">
        <is>
          <t>-</t>
        </is>
      </c>
      <c r="F1270" s="3" t="inlineStr">
        <is>
          <t>보고자</t>
        </is>
      </c>
      <c r="G1270" s="3" t="inlineStr">
        <is>
          <t>-</t>
        </is>
      </c>
      <c r="H1270" s="6" t="inlineStr"/>
      <c r="I1270" s="6" t="inlineStr"/>
      <c r="J1270" s="6" t="inlineStr"/>
      <c r="K1270" s="18" t="inlineStr"/>
      <c r="L1270" s="2" t="inlineStr">
        <is>
          <t>20260608900924</t>
        </is>
      </c>
      <c r="M1270" s="8">
        <f>HYPERLINK("https://dart.fss.or.kr/dsaf001/main.do?rcpNo=20260608900924", "공시열람")</f>
        <v/>
      </c>
    </row>
    <row r="1271" ht="22" customHeight="1">
      <c r="A1271" s="2" t="inlineStr">
        <is>
          <t>2026-05-20</t>
        </is>
      </c>
      <c r="B1271" s="3" t="inlineStr">
        <is>
          <t>상상인</t>
        </is>
      </c>
      <c r="C1271" s="2" t="inlineStr">
        <is>
          <t>038540</t>
        </is>
      </c>
      <c r="D1271" s="2" t="inlineStr">
        <is>
          <t>대량보유</t>
        </is>
      </c>
      <c r="E1271" s="3" t="inlineStr">
        <is>
          <t>유준원</t>
        </is>
      </c>
      <c r="F1271" s="3" t="inlineStr">
        <is>
          <t>보고자</t>
        </is>
      </c>
      <c r="G1271" s="3" t="inlineStr">
        <is>
          <t>- 보고자 대출원금 일부상환 및 주식담보대출 만기 연장</t>
        </is>
      </c>
      <c r="H1271" s="6" t="inlineStr"/>
      <c r="I1271" s="6" t="inlineStr"/>
      <c r="J1271" s="6" t="n">
        <v>18490600</v>
      </c>
      <c r="K1271" s="16" t="n">
        <v>10</v>
      </c>
      <c r="L1271" s="2" t="inlineStr">
        <is>
          <t>20260520000312</t>
        </is>
      </c>
      <c r="M1271" s="8">
        <f>HYPERLINK("https://dart.fss.or.kr/dsaf001/main.do?rcpNo=20260520000312", "공시열람")</f>
        <v/>
      </c>
    </row>
    <row r="1272" ht="22" customHeight="1">
      <c r="A1272" s="2" t="inlineStr">
        <is>
          <t>2026-05-20</t>
        </is>
      </c>
      <c r="B1272" s="3" t="inlineStr">
        <is>
          <t>일진전기</t>
        </is>
      </c>
      <c r="C1272" s="2" t="inlineStr">
        <is>
          <t>103590</t>
        </is>
      </c>
      <c r="D1272" s="2" t="inlineStr">
        <is>
          <t>임원보고</t>
        </is>
      </c>
      <c r="E1272" s="3" t="inlineStr">
        <is>
          <t>-</t>
        </is>
      </c>
      <c r="F1272" s="3" t="inlineStr">
        <is>
          <t>-</t>
        </is>
      </c>
      <c r="G1272" s="3" t="inlineStr">
        <is>
          <t>-</t>
        </is>
      </c>
      <c r="H1272" s="6" t="inlineStr"/>
      <c r="I1272" s="6" t="inlineStr"/>
      <c r="J1272" s="6" t="inlineStr"/>
      <c r="K1272" s="16" t="n">
        <v>12</v>
      </c>
      <c r="L1272" s="2" t="inlineStr">
        <is>
          <t>20260520800633</t>
        </is>
      </c>
      <c r="M1272" s="8">
        <f>HYPERLINK("https://dart.fss.or.kr/dsaf001/main.do?rcpNo=20260520800633", "공시열람")</f>
        <v/>
      </c>
    </row>
    <row r="1273" ht="22" customHeight="1">
      <c r="A1273" s="2" t="inlineStr">
        <is>
          <t>2026-05-20</t>
        </is>
      </c>
      <c r="B1273" s="3" t="inlineStr">
        <is>
          <t>일진전기</t>
        </is>
      </c>
      <c r="C1273" s="2" t="inlineStr">
        <is>
          <t>103590</t>
        </is>
      </c>
      <c r="D1273" s="2" t="inlineStr">
        <is>
          <t>대량보유</t>
        </is>
      </c>
      <c r="E1273" s="3" t="inlineStr">
        <is>
          <t>일진홀딩스(주)</t>
        </is>
      </c>
      <c r="F1273" s="3" t="inlineStr">
        <is>
          <t>특별관계자</t>
        </is>
      </c>
      <c r="G1273" s="3" t="inlineStr">
        <is>
          <t>장내매도(-)</t>
        </is>
      </c>
      <c r="H1273" s="17" t="n">
        <v>-1091519</v>
      </c>
      <c r="I1273" s="6" t="n">
        <v>119100</v>
      </c>
      <c r="J1273" s="6" t="n">
        <v>20496998</v>
      </c>
      <c r="K1273" s="16" t="n">
        <v>2</v>
      </c>
      <c r="L1273" s="2" t="inlineStr">
        <is>
          <t>20260520000302</t>
        </is>
      </c>
      <c r="M1273" s="8">
        <f>HYPERLINK("https://dart.fss.or.kr/dsaf001/main.do?rcpNo=20260520000302", "공시열람")</f>
        <v/>
      </c>
    </row>
    <row r="1274" ht="22" customHeight="1">
      <c r="A1274" s="2" t="inlineStr">
        <is>
          <t>2026-05-20</t>
        </is>
      </c>
      <c r="B1274" s="3" t="inlineStr">
        <is>
          <t>코웨이</t>
        </is>
      </c>
      <c r="C1274" s="2" t="inlineStr">
        <is>
          <t>021240</t>
        </is>
      </c>
      <c r="D1274" s="2" t="inlineStr">
        <is>
          <t>임원보고</t>
        </is>
      </c>
      <c r="E1274" s="3" t="inlineStr">
        <is>
          <t>-</t>
        </is>
      </c>
      <c r="F1274" s="3" t="inlineStr">
        <is>
          <t>-</t>
        </is>
      </c>
      <c r="G1274" s="3" t="inlineStr">
        <is>
          <t>-</t>
        </is>
      </c>
      <c r="H1274" s="6" t="inlineStr"/>
      <c r="I1274" s="6" t="inlineStr"/>
      <c r="J1274" s="6" t="inlineStr"/>
      <c r="K1274" s="16" t="n">
        <v>12</v>
      </c>
      <c r="L1274" s="2" t="inlineStr">
        <is>
          <t>20260520800616</t>
        </is>
      </c>
      <c r="M1274" s="8">
        <f>HYPERLINK("https://dart.fss.or.kr/dsaf001/main.do?rcpNo=20260520800616", "공시열람")</f>
        <v/>
      </c>
    </row>
    <row r="1275" ht="22" customHeight="1">
      <c r="A1275" s="2" t="inlineStr">
        <is>
          <t>2026-05-20</t>
        </is>
      </c>
      <c r="B1275" s="3" t="inlineStr">
        <is>
          <t>SK</t>
        </is>
      </c>
      <c r="C1275" s="2" t="inlineStr">
        <is>
          <t>034730</t>
        </is>
      </c>
      <c r="D1275" s="2" t="inlineStr">
        <is>
          <t>임원보고</t>
        </is>
      </c>
      <c r="E1275" s="3" t="inlineStr">
        <is>
          <t>-</t>
        </is>
      </c>
      <c r="F1275" s="3" t="inlineStr">
        <is>
          <t>-</t>
        </is>
      </c>
      <c r="G1275" s="3" t="inlineStr">
        <is>
          <t>-</t>
        </is>
      </c>
      <c r="H1275" s="6" t="inlineStr"/>
      <c r="I1275" s="6" t="inlineStr"/>
      <c r="J1275" s="6" t="inlineStr"/>
      <c r="K1275" s="16" t="n">
        <v>12</v>
      </c>
      <c r="L1275" s="2" t="inlineStr">
        <is>
          <t>20260520800611</t>
        </is>
      </c>
      <c r="M1275" s="8">
        <f>HYPERLINK("https://dart.fss.or.kr/dsaf001/main.do?rcpNo=20260520800611", "공시열람")</f>
        <v/>
      </c>
    </row>
    <row r="1276" ht="22" customHeight="1">
      <c r="A1276" s="2" t="inlineStr">
        <is>
          <t>2026-05-20</t>
        </is>
      </c>
      <c r="B1276" s="3" t="inlineStr">
        <is>
          <t>네오위즈</t>
        </is>
      </c>
      <c r="C1276" s="2" t="inlineStr">
        <is>
          <t>095660</t>
        </is>
      </c>
      <c r="D1276" s="2" t="inlineStr">
        <is>
          <t>대량보유</t>
        </is>
      </c>
      <c r="E1276" s="3" t="inlineStr">
        <is>
          <t>홍지철</t>
        </is>
      </c>
      <c r="F1276" s="3" t="inlineStr">
        <is>
          <t>특별관계자</t>
        </is>
      </c>
      <c r="G1276" s="3" t="inlineStr">
        <is>
          <t>특별관계해소(-)</t>
        </is>
      </c>
      <c r="H1276" s="17" t="n">
        <v>-59170</v>
      </c>
      <c r="I1276" s="6" t="inlineStr"/>
      <c r="J1276" s="6" t="inlineStr"/>
      <c r="K1276" s="16" t="n">
        <v>14</v>
      </c>
      <c r="L1276" s="2" t="inlineStr">
        <is>
          <t>20260520000298</t>
        </is>
      </c>
      <c r="M1276" s="8">
        <f>HYPERLINK("https://dart.fss.or.kr/dsaf001/main.do?rcpNo=20260520000298", "공시열람")</f>
        <v/>
      </c>
    </row>
    <row r="1277" ht="22" customHeight="1">
      <c r="A1277" s="2" t="inlineStr">
        <is>
          <t>2026-05-20</t>
        </is>
      </c>
      <c r="B1277" s="3" t="inlineStr">
        <is>
          <t>미래나노텍</t>
        </is>
      </c>
      <c r="C1277" s="2" t="inlineStr">
        <is>
          <t>095500</t>
        </is>
      </c>
      <c r="D1277" s="2" t="inlineStr">
        <is>
          <t>대량보유</t>
        </is>
      </c>
      <c r="E1277" s="3" t="inlineStr">
        <is>
          <t>김철영</t>
        </is>
      </c>
      <c r="F1277" s="3" t="inlineStr">
        <is>
          <t>보고자</t>
        </is>
      </c>
      <c r="G1277" s="3" t="inlineStr">
        <is>
          <t>보유주식등에 대한 담보대출 연장</t>
        </is>
      </c>
      <c r="H1277" s="6" t="inlineStr"/>
      <c r="I1277" s="6" t="inlineStr"/>
      <c r="J1277" s="6" t="n">
        <v>6978123</v>
      </c>
      <c r="K1277" s="16" t="n">
        <v>1</v>
      </c>
      <c r="L1277" s="2" t="inlineStr">
        <is>
          <t>20260520000296</t>
        </is>
      </c>
      <c r="M1277" s="8">
        <f>HYPERLINK("https://dart.fss.or.kr/dsaf001/main.do?rcpNo=20260520000296", "공시열람")</f>
        <v/>
      </c>
    </row>
    <row r="1278" ht="22" customHeight="1">
      <c r="A1278" s="2" t="inlineStr">
        <is>
          <t>2026-05-20</t>
        </is>
      </c>
      <c r="B1278" s="3" t="inlineStr">
        <is>
          <t>에스테크엠</t>
        </is>
      </c>
      <c r="C1278" s="2" t="inlineStr">
        <is>
          <t>0070X0</t>
        </is>
      </c>
      <c r="D1278" s="2" t="inlineStr">
        <is>
          <t>대량보유</t>
        </is>
      </c>
      <c r="E1278" s="3" t="inlineStr">
        <is>
          <t>아르떼인베스트</t>
        </is>
      </c>
      <c r="F1278" s="3" t="inlineStr">
        <is>
          <t>특별관계자</t>
        </is>
      </c>
      <c r="G1278" s="3" t="inlineStr">
        <is>
          <t>기타(+)</t>
        </is>
      </c>
      <c r="H1278" s="15" t="n">
        <v>202500</v>
      </c>
      <c r="I1278" s="6" t="inlineStr"/>
      <c r="J1278" s="6" t="n">
        <v>202500</v>
      </c>
      <c r="K1278" s="16" t="n">
        <v>1</v>
      </c>
      <c r="L1278" s="2" t="inlineStr">
        <is>
          <t>20260520000294</t>
        </is>
      </c>
      <c r="M1278" s="8">
        <f>HYPERLINK("https://dart.fss.or.kr/dsaf001/main.do?rcpNo=20260520000294", "공시열람")</f>
        <v/>
      </c>
    </row>
    <row r="1279" ht="22" customHeight="1">
      <c r="A1279" s="2" t="inlineStr">
        <is>
          <t>2026-05-20</t>
        </is>
      </c>
      <c r="B1279" s="3" t="inlineStr">
        <is>
          <t>한국내화</t>
        </is>
      </c>
      <c r="C1279" s="2" t="inlineStr">
        <is>
          <t>010040</t>
        </is>
      </c>
      <c r="D1279" s="2" t="inlineStr">
        <is>
          <t>임원보고</t>
        </is>
      </c>
      <c r="E1279" s="3" t="inlineStr">
        <is>
          <t>-</t>
        </is>
      </c>
      <c r="F1279" s="3" t="inlineStr">
        <is>
          <t>-</t>
        </is>
      </c>
      <c r="G1279" s="3" t="inlineStr">
        <is>
          <t>-</t>
        </is>
      </c>
      <c r="H1279" s="6" t="inlineStr"/>
      <c r="I1279" s="6" t="inlineStr"/>
      <c r="J1279" s="6" t="inlineStr"/>
      <c r="K1279" s="16" t="n">
        <v>12</v>
      </c>
      <c r="L1279" s="2" t="inlineStr">
        <is>
          <t>20260520800569</t>
        </is>
      </c>
      <c r="M1279" s="8">
        <f>HYPERLINK("https://dart.fss.or.kr/dsaf001/main.do?rcpNo=20260520800569", "공시열람")</f>
        <v/>
      </c>
    </row>
    <row r="1280" ht="22" customHeight="1">
      <c r="A1280" s="2" t="inlineStr">
        <is>
          <t>2026-05-20</t>
        </is>
      </c>
      <c r="B1280" s="3" t="inlineStr">
        <is>
          <t>고려아연</t>
        </is>
      </c>
      <c r="C1280" s="2" t="inlineStr">
        <is>
          <t>010130</t>
        </is>
      </c>
      <c r="D1280" s="2" t="inlineStr">
        <is>
          <t>대량보유</t>
        </is>
      </c>
      <c r="E1280" s="3" t="inlineStr">
        <is>
          <t>(주)영풍</t>
        </is>
      </c>
      <c r="F1280" s="3" t="inlineStr">
        <is>
          <t>보고자</t>
        </is>
      </c>
      <c r="G1280" s="3" t="inlineStr">
        <is>
          <t>보유주식 등에 관한 계약 변경</t>
        </is>
      </c>
      <c r="H1280" s="6" t="inlineStr"/>
      <c r="I1280" s="6" t="inlineStr"/>
      <c r="J1280" s="6" t="n">
        <v>8585655</v>
      </c>
      <c r="K1280" s="16" t="n">
        <v>20</v>
      </c>
      <c r="L1280" s="2" t="inlineStr">
        <is>
          <t>20260520000264</t>
        </is>
      </c>
      <c r="M1280" s="8">
        <f>HYPERLINK("https://dart.fss.or.kr/dsaf001/main.do?rcpNo=20260520000264", "공시열람")</f>
        <v/>
      </c>
    </row>
    <row r="1281" ht="22" customHeight="1">
      <c r="A1281" s="2" t="inlineStr">
        <is>
          <t>2026-05-20</t>
        </is>
      </c>
      <c r="B1281" s="3" t="inlineStr">
        <is>
          <t>DKME</t>
        </is>
      </c>
      <c r="C1281" s="2" t="inlineStr">
        <is>
          <t>015590</t>
        </is>
      </c>
      <c r="D1281" s="2" t="inlineStr">
        <is>
          <t>임원보고</t>
        </is>
      </c>
      <c r="E1281" s="3" t="inlineStr">
        <is>
          <t>-</t>
        </is>
      </c>
      <c r="F1281" s="3" t="inlineStr">
        <is>
          <t>-</t>
        </is>
      </c>
      <c r="G1281" s="3" t="inlineStr">
        <is>
          <t>-</t>
        </is>
      </c>
      <c r="H1281" s="6" t="inlineStr"/>
      <c r="I1281" s="6" t="inlineStr"/>
      <c r="J1281" s="6" t="inlineStr"/>
      <c r="K1281" s="16" t="n">
        <v>12</v>
      </c>
      <c r="L1281" s="2" t="inlineStr">
        <is>
          <t>20260520800481</t>
        </is>
      </c>
      <c r="M1281" s="8">
        <f>HYPERLINK("https://dart.fss.or.kr/dsaf001/main.do?rcpNo=20260520800481", "공시열람")</f>
        <v/>
      </c>
    </row>
    <row r="1282" ht="22" customHeight="1">
      <c r="A1282" s="2" t="inlineStr">
        <is>
          <t>2026-05-20</t>
        </is>
      </c>
      <c r="B1282" s="3" t="inlineStr">
        <is>
          <t>동부건설</t>
        </is>
      </c>
      <c r="C1282" s="2" t="inlineStr">
        <is>
          <t>005960</t>
        </is>
      </c>
      <c r="D1282" s="2" t="inlineStr">
        <is>
          <t>대량보유</t>
        </is>
      </c>
      <c r="E1282" s="3" t="inlineStr">
        <is>
          <t>키스톤에코프라임 (주)</t>
        </is>
      </c>
      <c r="F1282" s="3" t="inlineStr">
        <is>
          <t>보고자</t>
        </is>
      </c>
      <c r="G1282" s="3" t="inlineStr">
        <is>
          <t>변동 없음</t>
        </is>
      </c>
      <c r="H1282" s="6" t="inlineStr"/>
      <c r="I1282" s="6" t="inlineStr"/>
      <c r="J1282" s="6" t="n">
        <v>12917647</v>
      </c>
      <c r="K1282" s="16" t="n">
        <v>1</v>
      </c>
      <c r="L1282" s="2" t="inlineStr">
        <is>
          <t>20260520000249</t>
        </is>
      </c>
      <c r="M1282" s="8">
        <f>HYPERLINK("https://dart.fss.or.kr/dsaf001/main.do?rcpNo=20260520000249", "공시열람")</f>
        <v/>
      </c>
    </row>
    <row r="1283" ht="22" customHeight="1">
      <c r="A1283" s="2" t="inlineStr">
        <is>
          <t>2026-05-20</t>
        </is>
      </c>
      <c r="B1283" s="3" t="inlineStr">
        <is>
          <t>GC메디아이</t>
        </is>
      </c>
      <c r="C1283" s="2" t="inlineStr">
        <is>
          <t>032620</t>
        </is>
      </c>
      <c r="D1283" s="2" t="inlineStr">
        <is>
          <t>대량보유</t>
        </is>
      </c>
      <c r="E1283" s="3" t="inlineStr">
        <is>
          <t>백성환</t>
        </is>
      </c>
      <c r="F1283" s="3" t="inlineStr">
        <is>
          <t>특별관계자</t>
        </is>
      </c>
      <c r="G1283" s="3" t="inlineStr">
        <is>
          <t>장내매수(+)</t>
        </is>
      </c>
      <c r="H1283" s="15" t="n">
        <v>6915</v>
      </c>
      <c r="I1283" s="6" t="n">
        <v>3635</v>
      </c>
      <c r="J1283" s="6" t="n">
        <v>10199</v>
      </c>
      <c r="K1283" s="16" t="n">
        <v>5</v>
      </c>
      <c r="L1283" s="2" t="inlineStr">
        <is>
          <t>20260520000242</t>
        </is>
      </c>
      <c r="M1283" s="8">
        <f>HYPERLINK("https://dart.fss.or.kr/dsaf001/main.do?rcpNo=20260520000242", "공시열람")</f>
        <v/>
      </c>
    </row>
    <row r="1284" ht="22" customHeight="1">
      <c r="A1284" s="2" t="inlineStr">
        <is>
          <t>2026-05-20</t>
        </is>
      </c>
      <c r="B1284" s="3" t="inlineStr">
        <is>
          <t>세니젠</t>
        </is>
      </c>
      <c r="C1284" s="2" t="inlineStr">
        <is>
          <t>188260</t>
        </is>
      </c>
      <c r="D1284" s="2" t="inlineStr">
        <is>
          <t>대량보유</t>
        </is>
      </c>
      <c r="E1284" s="3" t="inlineStr">
        <is>
          <t>주식회사지씨파트너스</t>
        </is>
      </c>
      <c r="F1284" s="3" t="inlineStr">
        <is>
          <t>특별관계자</t>
        </is>
      </c>
      <c r="G1284" s="3" t="inlineStr">
        <is>
          <t>제3자배정유상증자(+)</t>
        </is>
      </c>
      <c r="H1284" s="15" t="n">
        <v>6035003</v>
      </c>
      <c r="I1284" s="6" t="n">
        <v>1657</v>
      </c>
      <c r="J1284" s="6" t="n">
        <v>6035003</v>
      </c>
      <c r="K1284" s="16" t="n">
        <v>9</v>
      </c>
      <c r="L1284" s="2" t="inlineStr">
        <is>
          <t>20260520000224</t>
        </is>
      </c>
      <c r="M1284" s="8">
        <f>HYPERLINK("https://dart.fss.or.kr/dsaf001/main.do?rcpNo=20260520000224", "공시열람")</f>
        <v/>
      </c>
    </row>
    <row r="1285" ht="22" customHeight="1">
      <c r="A1285" s="2" t="inlineStr">
        <is>
          <t>2026-05-20</t>
        </is>
      </c>
      <c r="B1285" s="3" t="inlineStr">
        <is>
          <t>세니젠</t>
        </is>
      </c>
      <c r="C1285" s="2" t="inlineStr">
        <is>
          <t>188260</t>
        </is>
      </c>
      <c r="D1285" s="2" t="inlineStr">
        <is>
          <t>대량보유</t>
        </is>
      </c>
      <c r="E1285" s="3" t="inlineStr">
        <is>
          <t>지씨1호조합</t>
        </is>
      </c>
      <c r="F1285" s="3" t="inlineStr">
        <is>
          <t>특별관계자</t>
        </is>
      </c>
      <c r="G1285" s="3" t="inlineStr">
        <is>
          <t>CB인수(+), 장외매도(-)</t>
        </is>
      </c>
      <c r="H1285" s="15" t="n">
        <v>1826484</v>
      </c>
      <c r="I1285" s="6" t="n">
        <v>2190</v>
      </c>
      <c r="J1285" s="6" t="n">
        <v>1826484</v>
      </c>
      <c r="K1285" s="16" t="n">
        <v>9</v>
      </c>
      <c r="L1285" s="2" t="inlineStr">
        <is>
          <t>20260520000224</t>
        </is>
      </c>
      <c r="M1285" s="8">
        <f>HYPERLINK("https://dart.fss.or.kr/dsaf001/main.do?rcpNo=20260520000224", "공시열람")</f>
        <v/>
      </c>
    </row>
    <row r="1286" ht="22" customHeight="1">
      <c r="A1286" s="2" t="inlineStr">
        <is>
          <t>2026-05-20 (정정: 2026-05-20)</t>
        </is>
      </c>
      <c r="B1286" s="3" t="inlineStr">
        <is>
          <t>폴레드</t>
        </is>
      </c>
      <c r="C1286" s="2" t="inlineStr">
        <is>
          <t>487580</t>
        </is>
      </c>
      <c r="D1286" s="2" t="inlineStr">
        <is>
          <t>대량보유</t>
        </is>
      </c>
      <c r="E1286" s="3" t="inlineStr">
        <is>
          <t>코오롱2020소재부품장비투자조합</t>
        </is>
      </c>
      <c r="F1286" s="3" t="inlineStr">
        <is>
          <t>특별관계자</t>
        </is>
      </c>
      <c r="G1286" s="3" t="inlineStr">
        <is>
          <t>신규상장(+), 장내매도(-)</t>
        </is>
      </c>
      <c r="H1286" s="15" t="n">
        <v>2454963</v>
      </c>
      <c r="I1286" s="6" t="n">
        <v>13857</v>
      </c>
      <c r="J1286" s="6" t="n">
        <v>818321</v>
      </c>
      <c r="K1286" s="16" t="n">
        <v>3</v>
      </c>
      <c r="L1286" s="2" t="inlineStr">
        <is>
          <t>20260520000221</t>
        </is>
      </c>
      <c r="M1286" s="8">
        <f>HYPERLINK("https://dart.fss.or.kr/dsaf001/main.do?rcpNo=20260520000221", "공시열람")</f>
        <v/>
      </c>
    </row>
    <row r="1287" ht="22" customHeight="1">
      <c r="A1287" s="2" t="inlineStr">
        <is>
          <t>2026-05-20 (정정: 2026-05-20)</t>
        </is>
      </c>
      <c r="B1287" s="3" t="inlineStr">
        <is>
          <t>폴레드</t>
        </is>
      </c>
      <c r="C1287" s="2" t="inlineStr">
        <is>
          <t>487580</t>
        </is>
      </c>
      <c r="D1287" s="2" t="inlineStr">
        <is>
          <t>대량보유</t>
        </is>
      </c>
      <c r="E1287" s="3" t="inlineStr">
        <is>
          <t>코오롱2021이노베이션투자조합</t>
        </is>
      </c>
      <c r="F1287" s="3" t="inlineStr">
        <is>
          <t>특별관계자</t>
        </is>
      </c>
      <c r="G1287" s="3" t="inlineStr">
        <is>
          <t>신규상장(+), 장내매도(-)</t>
        </is>
      </c>
      <c r="H1287" s="15" t="n">
        <v>2016960</v>
      </c>
      <c r="I1287" s="6" t="n">
        <v>14289</v>
      </c>
      <c r="J1287" s="6" t="n">
        <v>672320</v>
      </c>
      <c r="K1287" s="16" t="n">
        <v>3</v>
      </c>
      <c r="L1287" s="2" t="inlineStr">
        <is>
          <t>20260520000221</t>
        </is>
      </c>
      <c r="M1287" s="8">
        <f>HYPERLINK("https://dart.fss.or.kr/dsaf001/main.do?rcpNo=20260520000221", "공시열람")</f>
        <v/>
      </c>
    </row>
    <row r="1288" ht="22" customHeight="1">
      <c r="A1288" s="2" t="inlineStr">
        <is>
          <t>2026-05-20</t>
        </is>
      </c>
      <c r="B1288" s="3" t="inlineStr">
        <is>
          <t>DKME</t>
        </is>
      </c>
      <c r="C1288" s="2" t="inlineStr">
        <is>
          <t>015590</t>
        </is>
      </c>
      <c r="D1288" s="2" t="inlineStr">
        <is>
          <t>대량보유</t>
        </is>
      </c>
      <c r="E1288" s="3" t="inlineStr">
        <is>
          <t>김기철</t>
        </is>
      </c>
      <c r="F1288" s="3" t="inlineStr">
        <is>
          <t>특별관계자</t>
        </is>
      </c>
      <c r="G1288" s="3" t="inlineStr">
        <is>
          <t>장내매수(+)</t>
        </is>
      </c>
      <c r="H1288" s="15" t="n">
        <v>200000</v>
      </c>
      <c r="I1288" s="6" t="n">
        <v>2632</v>
      </c>
      <c r="J1288" s="6" t="n">
        <v>200000</v>
      </c>
      <c r="K1288" s="16" t="n">
        <v>5</v>
      </c>
      <c r="L1288" s="2" t="inlineStr">
        <is>
          <t>20260520000206</t>
        </is>
      </c>
      <c r="M1288" s="8">
        <f>HYPERLINK("https://dart.fss.or.kr/dsaf001/main.do?rcpNo=20260520000206", "공시열람")</f>
        <v/>
      </c>
    </row>
    <row r="1289" ht="22" customHeight="1">
      <c r="A1289" s="2" t="inlineStr">
        <is>
          <t>2026-05-20</t>
        </is>
      </c>
      <c r="B1289" s="3" t="inlineStr">
        <is>
          <t>DKME</t>
        </is>
      </c>
      <c r="C1289" s="2" t="inlineStr">
        <is>
          <t>015590</t>
        </is>
      </c>
      <c r="D1289" s="2" t="inlineStr">
        <is>
          <t>대량보유</t>
        </is>
      </c>
      <c r="E1289" s="3" t="inlineStr">
        <is>
          <t>이정민</t>
        </is>
      </c>
      <c r="F1289" s="3" t="inlineStr">
        <is>
          <t>특별관계자</t>
        </is>
      </c>
      <c r="G1289" s="3" t="inlineStr">
        <is>
          <t>장내매수(+)</t>
        </is>
      </c>
      <c r="H1289" s="15" t="n">
        <v>313300</v>
      </c>
      <c r="I1289" s="6" t="n">
        <v>2895</v>
      </c>
      <c r="J1289" s="6" t="n">
        <v>313300</v>
      </c>
      <c r="K1289" s="16" t="n">
        <v>5</v>
      </c>
      <c r="L1289" s="2" t="inlineStr">
        <is>
          <t>20260520000206</t>
        </is>
      </c>
      <c r="M1289" s="8">
        <f>HYPERLINK("https://dart.fss.or.kr/dsaf001/main.do?rcpNo=20260520000206", "공시열람")</f>
        <v/>
      </c>
    </row>
    <row r="1290" ht="22" customHeight="1">
      <c r="A1290" s="2" t="inlineStr">
        <is>
          <t>2026-05-20</t>
        </is>
      </c>
      <c r="B1290" s="3" t="inlineStr">
        <is>
          <t>DKME</t>
        </is>
      </c>
      <c r="C1290" s="2" t="inlineStr">
        <is>
          <t>015590</t>
        </is>
      </c>
      <c r="D1290" s="2" t="inlineStr">
        <is>
          <t>대량보유</t>
        </is>
      </c>
      <c r="E1290" s="3" t="inlineStr">
        <is>
          <t>김민석</t>
        </is>
      </c>
      <c r="F1290" s="3" t="inlineStr">
        <is>
          <t>특별관계자</t>
        </is>
      </c>
      <c r="G1290" s="3" t="inlineStr">
        <is>
          <t>장내매수(+)</t>
        </is>
      </c>
      <c r="H1290" s="15" t="n">
        <v>53019</v>
      </c>
      <c r="I1290" s="6" t="n">
        <v>2533</v>
      </c>
      <c r="J1290" s="6" t="n">
        <v>53019</v>
      </c>
      <c r="K1290" s="16" t="n">
        <v>5</v>
      </c>
      <c r="L1290" s="2" t="inlineStr">
        <is>
          <t>20260520000206</t>
        </is>
      </c>
      <c r="M1290" s="8">
        <f>HYPERLINK("https://dart.fss.or.kr/dsaf001/main.do?rcpNo=20260520000206", "공시열람")</f>
        <v/>
      </c>
    </row>
    <row r="1291" ht="22" customHeight="1">
      <c r="A1291" s="2" t="inlineStr">
        <is>
          <t>2026-05-20 (정정: 2026-05-22)</t>
        </is>
      </c>
      <c r="B1291" s="3" t="inlineStr">
        <is>
          <t>더네이쳐홀딩스</t>
        </is>
      </c>
      <c r="C1291" s="2" t="inlineStr">
        <is>
          <t>298540</t>
        </is>
      </c>
      <c r="D1291" s="2" t="inlineStr">
        <is>
          <t>대량보유</t>
        </is>
      </c>
      <c r="E1291" s="3" t="inlineStr">
        <is>
          <t>-</t>
        </is>
      </c>
      <c r="F1291" s="3" t="inlineStr">
        <is>
          <t>보고자</t>
        </is>
      </c>
      <c r="G1291" s="3" t="inlineStr">
        <is>
          <t>-</t>
        </is>
      </c>
      <c r="H1291" s="6" t="inlineStr"/>
      <c r="I1291" s="6" t="inlineStr"/>
      <c r="J1291" s="6" t="inlineStr"/>
      <c r="K1291" s="18" t="inlineStr"/>
      <c r="L1291" s="2" t="inlineStr">
        <is>
          <t>20260522900551</t>
        </is>
      </c>
      <c r="M1291" s="8">
        <f>HYPERLINK("https://dart.fss.or.kr/dsaf001/main.do?rcpNo=20260522900551", "공시열람")</f>
        <v/>
      </c>
    </row>
    <row r="1292" ht="22" customHeight="1">
      <c r="A1292" s="2" t="inlineStr">
        <is>
          <t>2026-05-20</t>
        </is>
      </c>
      <c r="B1292" s="3" t="inlineStr">
        <is>
          <t>우림피티에스</t>
        </is>
      </c>
      <c r="C1292" s="2" t="inlineStr">
        <is>
          <t>101170</t>
        </is>
      </c>
      <c r="D1292" s="2" t="inlineStr">
        <is>
          <t>대량보유</t>
        </is>
      </c>
      <c r="E1292" s="3" t="inlineStr">
        <is>
          <t>한민주</t>
        </is>
      </c>
      <c r="F1292" s="3" t="inlineStr">
        <is>
          <t>특별관계자</t>
        </is>
      </c>
      <c r="G1292" s="3" t="inlineStr">
        <is>
          <t>장내매수(+)</t>
        </is>
      </c>
      <c r="H1292" s="15" t="n">
        <v>41217</v>
      </c>
      <c r="I1292" s="6" t="n">
        <v>13629</v>
      </c>
      <c r="J1292" s="6" t="n">
        <v>547597</v>
      </c>
      <c r="K1292" s="16" t="n">
        <v>3</v>
      </c>
      <c r="L1292" s="2" t="inlineStr">
        <is>
          <t>20260520000200</t>
        </is>
      </c>
      <c r="M1292" s="8">
        <f>HYPERLINK("https://dart.fss.or.kr/dsaf001/main.do?rcpNo=20260520000200", "공시열람")</f>
        <v/>
      </c>
    </row>
    <row r="1293" ht="22" customHeight="1">
      <c r="A1293" s="2" t="inlineStr">
        <is>
          <t>2026-05-20</t>
        </is>
      </c>
      <c r="B1293" s="3" t="inlineStr">
        <is>
          <t>애경산업</t>
        </is>
      </c>
      <c r="C1293" s="2" t="inlineStr">
        <is>
          <t>018250</t>
        </is>
      </c>
      <c r="D1293" s="2" t="inlineStr">
        <is>
          <t>대량보유</t>
        </is>
      </c>
      <c r="E1293" s="3" t="inlineStr">
        <is>
          <t>뷰티라이프원(유)</t>
        </is>
      </c>
      <c r="F1293" s="3" t="inlineStr">
        <is>
          <t>특별관계자</t>
        </is>
      </c>
      <c r="G1293" s="3" t="inlineStr">
        <is>
          <t>장외매수(+)</t>
        </is>
      </c>
      <c r="H1293" s="15" t="n">
        <v>8336290</v>
      </c>
      <c r="I1293" s="6" t="n">
        <v>26642</v>
      </c>
      <c r="J1293" s="6" t="n">
        <v>8336290</v>
      </c>
      <c r="K1293" s="16" t="n">
        <v>5</v>
      </c>
      <c r="L1293" s="2" t="inlineStr">
        <is>
          <t>20260520000196</t>
        </is>
      </c>
      <c r="M1293" s="8">
        <f>HYPERLINK("https://dart.fss.or.kr/dsaf001/main.do?rcpNo=20260520000196", "공시열람")</f>
        <v/>
      </c>
    </row>
    <row r="1294" ht="22" customHeight="1">
      <c r="A1294" s="2" t="inlineStr">
        <is>
          <t>2026-05-20</t>
        </is>
      </c>
      <c r="B1294" s="3" t="inlineStr">
        <is>
          <t>애경산업</t>
        </is>
      </c>
      <c r="C1294" s="2" t="inlineStr">
        <is>
          <t>018250</t>
        </is>
      </c>
      <c r="D1294" s="2" t="inlineStr">
        <is>
          <t>대량보유</t>
        </is>
      </c>
      <c r="E1294" s="3" t="inlineStr">
        <is>
          <t>티투프라이빗에쿼티(주)</t>
        </is>
      </c>
      <c r="F1294" s="3" t="inlineStr">
        <is>
          <t>특별관계자</t>
        </is>
      </c>
      <c r="G1294" s="3" t="inlineStr">
        <is>
          <t>기타(-)</t>
        </is>
      </c>
      <c r="H1294" s="17" t="n">
        <v>-4168145</v>
      </c>
      <c r="I1294" s="6" t="inlineStr"/>
      <c r="J1294" s="6" t="inlineStr"/>
      <c r="K1294" s="16" t="n">
        <v>5</v>
      </c>
      <c r="L1294" s="2" t="inlineStr">
        <is>
          <t>20260520000196</t>
        </is>
      </c>
      <c r="M1294" s="8">
        <f>HYPERLINK("https://dart.fss.or.kr/dsaf001/main.do?rcpNo=20260520000196", "공시열람")</f>
        <v/>
      </c>
    </row>
    <row r="1295" ht="22" customHeight="1">
      <c r="A1295" s="2" t="inlineStr">
        <is>
          <t>2026-05-20</t>
        </is>
      </c>
      <c r="B1295" s="3" t="inlineStr">
        <is>
          <t>애경산업</t>
        </is>
      </c>
      <c r="C1295" s="2" t="inlineStr">
        <is>
          <t>018250</t>
        </is>
      </c>
      <c r="D1295" s="2" t="inlineStr">
        <is>
          <t>대량보유</t>
        </is>
      </c>
      <c r="E1295" s="3" t="inlineStr">
        <is>
          <t>유안타인베스트먼트(주)</t>
        </is>
      </c>
      <c r="F1295" s="3" t="inlineStr">
        <is>
          <t>특별관계자</t>
        </is>
      </c>
      <c r="G1295" s="3" t="inlineStr">
        <is>
          <t>기타(-)</t>
        </is>
      </c>
      <c r="H1295" s="17" t="n">
        <v>-4168145</v>
      </c>
      <c r="I1295" s="6" t="inlineStr"/>
      <c r="J1295" s="6" t="inlineStr"/>
      <c r="K1295" s="16" t="n">
        <v>5</v>
      </c>
      <c r="L1295" s="2" t="inlineStr">
        <is>
          <t>20260520000196</t>
        </is>
      </c>
      <c r="M1295" s="8">
        <f>HYPERLINK("https://dart.fss.or.kr/dsaf001/main.do?rcpNo=20260520000196", "공시열람")</f>
        <v/>
      </c>
    </row>
    <row r="1296" ht="22" customHeight="1">
      <c r="A1296" s="2" t="inlineStr">
        <is>
          <t>2026-05-20</t>
        </is>
      </c>
      <c r="B1296" s="3" t="inlineStr">
        <is>
          <t>폴레드</t>
        </is>
      </c>
      <c r="C1296" s="2" t="inlineStr">
        <is>
          <t>487580</t>
        </is>
      </c>
      <c r="D1296" s="2" t="inlineStr">
        <is>
          <t>대량보유</t>
        </is>
      </c>
      <c r="E1296" s="3" t="inlineStr">
        <is>
          <t>코오롱2020소재부품장비투자조합</t>
        </is>
      </c>
      <c r="F1296" s="3" t="inlineStr">
        <is>
          <t>특별관계자</t>
        </is>
      </c>
      <c r="G1296" s="3" t="inlineStr">
        <is>
          <t>신규상장(+), 장내매도(-)</t>
        </is>
      </c>
      <c r="H1296" s="15" t="n">
        <v>818321</v>
      </c>
      <c r="I1296" s="6" t="n">
        <v>1570</v>
      </c>
      <c r="J1296" s="6" t="n">
        <v>818321</v>
      </c>
      <c r="K1296" s="16" t="n">
        <v>3</v>
      </c>
      <c r="L1296" s="2" t="inlineStr">
        <is>
          <t>20260520000173</t>
        </is>
      </c>
      <c r="M1296" s="8">
        <f>HYPERLINK("https://dart.fss.or.kr/dsaf001/main.do?rcpNo=20260520000173", "공시열람")</f>
        <v/>
      </c>
    </row>
    <row r="1297" ht="22" customHeight="1">
      <c r="A1297" s="2" t="inlineStr">
        <is>
          <t>2026-05-20</t>
        </is>
      </c>
      <c r="B1297" s="3" t="inlineStr">
        <is>
          <t>폴레드</t>
        </is>
      </c>
      <c r="C1297" s="2" t="inlineStr">
        <is>
          <t>487580</t>
        </is>
      </c>
      <c r="D1297" s="2" t="inlineStr">
        <is>
          <t>대량보유</t>
        </is>
      </c>
      <c r="E1297" s="3" t="inlineStr">
        <is>
          <t>코오롱2021이노베이션투자조합</t>
        </is>
      </c>
      <c r="F1297" s="3" t="inlineStr">
        <is>
          <t>특별관계자</t>
        </is>
      </c>
      <c r="G1297" s="3" t="inlineStr">
        <is>
          <t>신규상장(+), 장내매도(-)</t>
        </is>
      </c>
      <c r="H1297" s="15" t="n">
        <v>672320</v>
      </c>
      <c r="I1297" s="6" t="n">
        <v>2867</v>
      </c>
      <c r="J1297" s="6" t="n">
        <v>672320</v>
      </c>
      <c r="K1297" s="16" t="n">
        <v>3</v>
      </c>
      <c r="L1297" s="2" t="inlineStr">
        <is>
          <t>20260520000173</t>
        </is>
      </c>
      <c r="M1297" s="8">
        <f>HYPERLINK("https://dart.fss.or.kr/dsaf001/main.do?rcpNo=20260520000173", "공시열람")</f>
        <v/>
      </c>
    </row>
    <row r="1298" ht="22" customHeight="1">
      <c r="A1298" s="2" t="inlineStr">
        <is>
          <t>2026-05-20</t>
        </is>
      </c>
      <c r="B1298" s="3" t="inlineStr">
        <is>
          <t>에코프로비엠</t>
        </is>
      </c>
      <c r="C1298" s="2" t="inlineStr">
        <is>
          <t>247540</t>
        </is>
      </c>
      <c r="D1298" s="2" t="inlineStr">
        <is>
          <t>대량보유</t>
        </is>
      </c>
      <c r="E1298" s="3" t="inlineStr">
        <is>
          <t>에코프로</t>
        </is>
      </c>
      <c r="F1298" s="3" t="inlineStr">
        <is>
          <t>보고자</t>
        </is>
      </c>
      <c r="G1298" s="3" t="inlineStr">
        <is>
          <t>만기연장</t>
        </is>
      </c>
      <c r="H1298" s="6" t="inlineStr"/>
      <c r="I1298" s="6" t="inlineStr"/>
      <c r="J1298" s="6" t="n">
        <v>44248514</v>
      </c>
      <c r="K1298" s="16" t="n">
        <v>12</v>
      </c>
      <c r="L1298" s="2" t="inlineStr">
        <is>
          <t>20260520000166</t>
        </is>
      </c>
      <c r="M1298" s="8">
        <f>HYPERLINK("https://dart.fss.or.kr/dsaf001/main.do?rcpNo=20260520000166", "공시열람")</f>
        <v/>
      </c>
    </row>
    <row r="1299" ht="22" customHeight="1">
      <c r="A1299" s="2" t="inlineStr">
        <is>
          <t>2026-05-20</t>
        </is>
      </c>
      <c r="B1299" s="3" t="inlineStr">
        <is>
          <t>삼일제약</t>
        </is>
      </c>
      <c r="C1299" s="2" t="inlineStr">
        <is>
          <t>000520</t>
        </is>
      </c>
      <c r="D1299" s="2" t="inlineStr">
        <is>
          <t>임원보고</t>
        </is>
      </c>
      <c r="E1299" s="3" t="inlineStr">
        <is>
          <t>-</t>
        </is>
      </c>
      <c r="F1299" s="3" t="inlineStr">
        <is>
          <t>-</t>
        </is>
      </c>
      <c r="G1299" s="3" t="inlineStr">
        <is>
          <t>-</t>
        </is>
      </c>
      <c r="H1299" s="6" t="inlineStr"/>
      <c r="I1299" s="6" t="inlineStr"/>
      <c r="J1299" s="6" t="inlineStr"/>
      <c r="K1299" s="16" t="n">
        <v>12</v>
      </c>
      <c r="L1299" s="2" t="inlineStr">
        <is>
          <t>20260520800238</t>
        </is>
      </c>
      <c r="M1299" s="8">
        <f>HYPERLINK("https://dart.fss.or.kr/dsaf001/main.do?rcpNo=20260520800238", "공시열람")</f>
        <v/>
      </c>
    </row>
    <row r="1300" ht="22" customHeight="1">
      <c r="A1300" s="2" t="inlineStr">
        <is>
          <t>2026-05-20</t>
        </is>
      </c>
      <c r="B1300" s="3" t="inlineStr">
        <is>
          <t>한일단조</t>
        </is>
      </c>
      <c r="C1300" s="2" t="inlineStr">
        <is>
          <t>024740</t>
        </is>
      </c>
      <c r="D1300" s="2" t="inlineStr">
        <is>
          <t>대량보유</t>
        </is>
      </c>
      <c r="E1300" s="3" t="inlineStr">
        <is>
          <t>홍진산업(주)</t>
        </is>
      </c>
      <c r="F1300" s="3" t="inlineStr">
        <is>
          <t>보고자</t>
        </is>
      </c>
      <c r="G1300" s="3" t="inlineStr">
        <is>
          <t>담보만기연장</t>
        </is>
      </c>
      <c r="H1300" s="6" t="inlineStr"/>
      <c r="I1300" s="6" t="inlineStr"/>
      <c r="J1300" s="6" t="n">
        <v>10663791</v>
      </c>
      <c r="K1300" s="16" t="n">
        <v>1</v>
      </c>
      <c r="L1300" s="2" t="inlineStr">
        <is>
          <t>20260520000139</t>
        </is>
      </c>
      <c r="M1300" s="8">
        <f>HYPERLINK("https://dart.fss.or.kr/dsaf001/main.do?rcpNo=20260520000139", "공시열람")</f>
        <v/>
      </c>
    </row>
    <row r="1301" ht="22" customHeight="1">
      <c r="A1301" s="2" t="inlineStr">
        <is>
          <t>2026-05-20</t>
        </is>
      </c>
      <c r="B1301" s="3" t="inlineStr">
        <is>
          <t>에브리봇</t>
        </is>
      </c>
      <c r="C1301" s="2" t="inlineStr">
        <is>
          <t>270660</t>
        </is>
      </c>
      <c r="D1301" s="2" t="inlineStr">
        <is>
          <t>대량보유</t>
        </is>
      </c>
      <c r="E1301" s="3" t="inlineStr">
        <is>
          <t>정우철</t>
        </is>
      </c>
      <c r="F1301" s="3" t="inlineStr">
        <is>
          <t>보고자</t>
        </is>
      </c>
      <c r="G1301" s="3" t="inlineStr">
        <is>
          <t>최대주주 주식담보계약의 계약내용 변경</t>
        </is>
      </c>
      <c r="H1301" s="6" t="inlineStr"/>
      <c r="I1301" s="6" t="inlineStr"/>
      <c r="J1301" s="6" t="n">
        <v>4192716</v>
      </c>
      <c r="K1301" s="16" t="n">
        <v>1</v>
      </c>
      <c r="L1301" s="2" t="inlineStr">
        <is>
          <t>20260520000134</t>
        </is>
      </c>
      <c r="M1301" s="8">
        <f>HYPERLINK("https://dart.fss.or.kr/dsaf001/main.do?rcpNo=20260520000134", "공시열람")</f>
        <v/>
      </c>
    </row>
    <row r="1302" ht="22" customHeight="1">
      <c r="A1302" s="2" t="inlineStr">
        <is>
          <t>2026-05-20</t>
        </is>
      </c>
      <c r="B1302" s="3" t="inlineStr">
        <is>
          <t>에스테크엠</t>
        </is>
      </c>
      <c r="C1302" s="2" t="inlineStr">
        <is>
          <t>0070X0</t>
        </is>
      </c>
      <c r="D1302" s="2" t="inlineStr">
        <is>
          <t>대량보유</t>
        </is>
      </c>
      <c r="E1302" s="3" t="inlineStr">
        <is>
          <t>아르떼투자조합</t>
        </is>
      </c>
      <c r="F1302" s="3" t="inlineStr">
        <is>
          <t>특별관계자</t>
        </is>
      </c>
      <c r="G1302" s="3" t="inlineStr">
        <is>
          <t>특별관계해소(-)</t>
        </is>
      </c>
      <c r="H1302" s="17" t="n">
        <v>-364500</v>
      </c>
      <c r="I1302" s="6" t="n">
        <v>500</v>
      </c>
      <c r="J1302" s="6" t="n">
        <v>40500</v>
      </c>
      <c r="K1302" s="16" t="n">
        <v>1</v>
      </c>
      <c r="L1302" s="2" t="inlineStr">
        <is>
          <t>20260520000115</t>
        </is>
      </c>
      <c r="M1302" s="8">
        <f>HYPERLINK("https://dart.fss.or.kr/dsaf001/main.do?rcpNo=20260520000115", "공시열람")</f>
        <v/>
      </c>
    </row>
    <row r="1303" ht="22" customHeight="1">
      <c r="A1303" s="2" t="inlineStr">
        <is>
          <t>2026-05-20</t>
        </is>
      </c>
      <c r="B1303" s="3" t="inlineStr">
        <is>
          <t>에스테크엠</t>
        </is>
      </c>
      <c r="C1303" s="2" t="inlineStr">
        <is>
          <t>0070X0</t>
        </is>
      </c>
      <c r="D1303" s="2" t="inlineStr">
        <is>
          <t>대량보유</t>
        </is>
      </c>
      <c r="E1303" s="3" t="inlineStr">
        <is>
          <t>아르떼인베스트</t>
        </is>
      </c>
      <c r="F1303" s="3" t="inlineStr">
        <is>
          <t>특별관계자</t>
        </is>
      </c>
      <c r="G1303" s="3" t="inlineStr">
        <is>
          <t>기타(+), 특별관계해소(-)</t>
        </is>
      </c>
      <c r="H1303" s="6" t="inlineStr"/>
      <c r="I1303" s="6" t="n">
        <v>500</v>
      </c>
      <c r="J1303" s="6" t="n">
        <v>202500</v>
      </c>
      <c r="K1303" s="16" t="n">
        <v>1</v>
      </c>
      <c r="L1303" s="2" t="inlineStr">
        <is>
          <t>20260520000115</t>
        </is>
      </c>
      <c r="M1303" s="8">
        <f>HYPERLINK("https://dart.fss.or.kr/dsaf001/main.do?rcpNo=20260520000115", "공시열람")</f>
        <v/>
      </c>
    </row>
    <row r="1304" ht="22" customHeight="1">
      <c r="A1304" s="2" t="inlineStr">
        <is>
          <t>2026-05-20</t>
        </is>
      </c>
      <c r="B1304" s="3" t="inlineStr">
        <is>
          <t>에스테크엠</t>
        </is>
      </c>
      <c r="C1304" s="2" t="inlineStr">
        <is>
          <t>0070X0</t>
        </is>
      </c>
      <c r="D1304" s="2" t="inlineStr">
        <is>
          <t>대량보유</t>
        </is>
      </c>
      <c r="E1304" s="3" t="inlineStr">
        <is>
          <t>금호인베스트</t>
        </is>
      </c>
      <c r="F1304" s="3" t="inlineStr">
        <is>
          <t>특별관계자</t>
        </is>
      </c>
      <c r="G1304" s="3" t="inlineStr">
        <is>
          <t>기타(+), 특별관계해소(-)</t>
        </is>
      </c>
      <c r="H1304" s="6" t="inlineStr"/>
      <c r="I1304" s="6" t="n">
        <v>500</v>
      </c>
      <c r="J1304" s="6" t="n">
        <v>60750</v>
      </c>
      <c r="K1304" s="16" t="n">
        <v>1</v>
      </c>
      <c r="L1304" s="2" t="inlineStr">
        <is>
          <t>20260520000115</t>
        </is>
      </c>
      <c r="M1304" s="8">
        <f>HYPERLINK("https://dart.fss.or.kr/dsaf001/main.do?rcpNo=20260520000115", "공시열람")</f>
        <v/>
      </c>
    </row>
    <row r="1305" ht="22" customHeight="1">
      <c r="A1305" s="2" t="inlineStr">
        <is>
          <t>2026-05-20</t>
        </is>
      </c>
      <c r="B1305" s="3" t="inlineStr">
        <is>
          <t>에스테크엠</t>
        </is>
      </c>
      <c r="C1305" s="2" t="inlineStr">
        <is>
          <t>0070X0</t>
        </is>
      </c>
      <c r="D1305" s="2" t="inlineStr">
        <is>
          <t>대량보유</t>
        </is>
      </c>
      <c r="E1305" s="3" t="inlineStr">
        <is>
          <t>허건행</t>
        </is>
      </c>
      <c r="F1305" s="3" t="inlineStr">
        <is>
          <t>특별관계자</t>
        </is>
      </c>
      <c r="G1305" s="3" t="inlineStr">
        <is>
          <t>기타(+), 특별관계해소(-)</t>
        </is>
      </c>
      <c r="H1305" s="6" t="inlineStr"/>
      <c r="I1305" s="6" t="n">
        <v>500</v>
      </c>
      <c r="J1305" s="6" t="n">
        <v>40500</v>
      </c>
      <c r="K1305" s="16" t="n">
        <v>1</v>
      </c>
      <c r="L1305" s="2" t="inlineStr">
        <is>
          <t>20260520000115</t>
        </is>
      </c>
      <c r="M1305" s="8">
        <f>HYPERLINK("https://dart.fss.or.kr/dsaf001/main.do?rcpNo=20260520000115", "공시열람")</f>
        <v/>
      </c>
    </row>
    <row r="1306" ht="22" customHeight="1">
      <c r="A1306" s="2" t="inlineStr">
        <is>
          <t>2026-05-20</t>
        </is>
      </c>
      <c r="B1306" s="3" t="inlineStr">
        <is>
          <t>에스테크엠</t>
        </is>
      </c>
      <c r="C1306" s="2" t="inlineStr">
        <is>
          <t>0070X0</t>
        </is>
      </c>
      <c r="D1306" s="2" t="inlineStr">
        <is>
          <t>대량보유</t>
        </is>
      </c>
      <c r="E1306" s="3" t="inlineStr">
        <is>
          <t>에스아이비즈</t>
        </is>
      </c>
      <c r="F1306" s="3" t="inlineStr">
        <is>
          <t>특별관계자</t>
        </is>
      </c>
      <c r="G1306" s="3" t="inlineStr">
        <is>
          <t>기타(+), 특별관계해소(-)</t>
        </is>
      </c>
      <c r="H1306" s="6" t="inlineStr"/>
      <c r="I1306" s="6" t="n">
        <v>500</v>
      </c>
      <c r="J1306" s="6" t="n">
        <v>60750</v>
      </c>
      <c r="K1306" s="16" t="n">
        <v>1</v>
      </c>
      <c r="L1306" s="2" t="inlineStr">
        <is>
          <t>20260520000115</t>
        </is>
      </c>
      <c r="M1306" s="8">
        <f>HYPERLINK("https://dart.fss.or.kr/dsaf001/main.do?rcpNo=20260520000115", "공시열람")</f>
        <v/>
      </c>
    </row>
    <row r="1307" ht="22" customHeight="1">
      <c r="A1307" s="2" t="inlineStr">
        <is>
          <t>2026-05-20</t>
        </is>
      </c>
      <c r="B1307" s="3" t="inlineStr">
        <is>
          <t>신성델타테크</t>
        </is>
      </c>
      <c r="C1307" s="2" t="inlineStr">
        <is>
          <t>065350</t>
        </is>
      </c>
      <c r="D1307" s="2" t="inlineStr">
        <is>
          <t>대량보유</t>
        </is>
      </c>
      <c r="E1307" s="3" t="inlineStr">
        <is>
          <t>신성토탈(주)</t>
        </is>
      </c>
      <c r="F1307" s="3" t="inlineStr">
        <is>
          <t>특별관계자</t>
        </is>
      </c>
      <c r="G1307" s="3" t="inlineStr">
        <is>
          <t>교환(-)</t>
        </is>
      </c>
      <c r="H1307" s="17" t="n">
        <v>-122949</v>
      </c>
      <c r="I1307" s="6" t="n">
        <v>61000</v>
      </c>
      <c r="J1307" s="6" t="n">
        <v>3945568</v>
      </c>
      <c r="K1307" s="16" t="n">
        <v>9</v>
      </c>
      <c r="L1307" s="2" t="inlineStr">
        <is>
          <t>20260520000112</t>
        </is>
      </c>
      <c r="M1307" s="8">
        <f>HYPERLINK("https://dart.fss.or.kr/dsaf001/main.do?rcpNo=20260520000112", "공시열람")</f>
        <v/>
      </c>
    </row>
    <row r="1308" ht="22" customHeight="1">
      <c r="A1308" s="2" t="inlineStr">
        <is>
          <t>2026-05-20</t>
        </is>
      </c>
      <c r="B1308" s="3" t="inlineStr">
        <is>
          <t>손오공</t>
        </is>
      </c>
      <c r="C1308" s="2" t="inlineStr">
        <is>
          <t>066910</t>
        </is>
      </c>
      <c r="D1308" s="2" t="inlineStr">
        <is>
          <t>대량보유</t>
        </is>
      </c>
      <c r="E1308" s="3" t="inlineStr">
        <is>
          <t>에이치케이모빌리티컴퍼니㈜</t>
        </is>
      </c>
      <c r="F1308" s="3" t="inlineStr">
        <is>
          <t>보고자</t>
        </is>
      </c>
      <c r="G1308" s="3" t="inlineStr">
        <is>
          <t>주식질권설정계약 연장</t>
        </is>
      </c>
      <c r="H1308" s="6" t="inlineStr"/>
      <c r="I1308" s="6" t="inlineStr"/>
      <c r="J1308" s="6" t="n">
        <v>11613845</v>
      </c>
      <c r="K1308" s="16" t="n">
        <v>17.35</v>
      </c>
      <c r="L1308" s="2" t="inlineStr">
        <is>
          <t>20260520000111</t>
        </is>
      </c>
      <c r="M1308" s="8">
        <f>HYPERLINK("https://dart.fss.or.kr/dsaf001/main.do?rcpNo=20260520000111", "공시열람")</f>
        <v/>
      </c>
    </row>
    <row r="1309" ht="22" customHeight="1">
      <c r="A1309" s="2" t="inlineStr">
        <is>
          <t>2026-05-20 (정정: 2026-06-01)</t>
        </is>
      </c>
      <c r="B1309" s="3" t="inlineStr">
        <is>
          <t>고려아연</t>
        </is>
      </c>
      <c r="C1309" s="2" t="inlineStr">
        <is>
          <t>010130</t>
        </is>
      </c>
      <c r="D1309" s="2" t="inlineStr">
        <is>
          <t>대량보유</t>
        </is>
      </c>
      <c r="E1309" s="3" t="inlineStr">
        <is>
          <t>-</t>
        </is>
      </c>
      <c r="F1309" s="3" t="inlineStr">
        <is>
          <t>보고자</t>
        </is>
      </c>
      <c r="G1309" s="3" t="inlineStr">
        <is>
          <t>-</t>
        </is>
      </c>
      <c r="H1309" s="6" t="inlineStr"/>
      <c r="I1309" s="6" t="inlineStr"/>
      <c r="J1309" s="6" t="inlineStr"/>
      <c r="K1309" s="18" t="inlineStr"/>
      <c r="L1309" s="2" t="inlineStr">
        <is>
          <t>20260601001725</t>
        </is>
      </c>
      <c r="M1309" s="8">
        <f>HYPERLINK("https://dart.fss.or.kr/dsaf001/main.do?rcpNo=20260601001725", "공시열람")</f>
        <v/>
      </c>
    </row>
    <row r="1310" ht="22" customHeight="1">
      <c r="A1310" s="2" t="inlineStr">
        <is>
          <t>2026-05-20</t>
        </is>
      </c>
      <c r="B1310" s="3" t="inlineStr">
        <is>
          <t>한솔테크닉스</t>
        </is>
      </c>
      <c r="C1310" s="2" t="inlineStr">
        <is>
          <t>004710</t>
        </is>
      </c>
      <c r="D1310" s="2" t="inlineStr">
        <is>
          <t>임원보고</t>
        </is>
      </c>
      <c r="E1310" s="3" t="inlineStr">
        <is>
          <t>-</t>
        </is>
      </c>
      <c r="F1310" s="3" t="inlineStr">
        <is>
          <t>-</t>
        </is>
      </c>
      <c r="G1310" s="3" t="inlineStr">
        <is>
          <t>-</t>
        </is>
      </c>
      <c r="H1310" s="6" t="inlineStr"/>
      <c r="I1310" s="6" t="inlineStr"/>
      <c r="J1310" s="6" t="inlineStr"/>
      <c r="K1310" s="16" t="n">
        <v>12</v>
      </c>
      <c r="L1310" s="2" t="inlineStr">
        <is>
          <t>20260520800190</t>
        </is>
      </c>
      <c r="M1310" s="8">
        <f>HYPERLINK("https://dart.fss.or.kr/dsaf001/main.do?rcpNo=20260520800190", "공시열람")</f>
        <v/>
      </c>
    </row>
    <row r="1311" ht="22" customHeight="1">
      <c r="A1311" s="2" t="inlineStr">
        <is>
          <t>2026-05-20</t>
        </is>
      </c>
      <c r="B1311" s="3" t="inlineStr">
        <is>
          <t>유라클</t>
        </is>
      </c>
      <c r="C1311" s="2" t="inlineStr">
        <is>
          <t>088340</t>
        </is>
      </c>
      <c r="D1311" s="2" t="inlineStr">
        <is>
          <t>대량보유</t>
        </is>
      </c>
      <c r="E1311" s="3" t="inlineStr">
        <is>
          <t>조준희</t>
        </is>
      </c>
      <c r="F1311" s="3" t="inlineStr">
        <is>
          <t>특별관계자</t>
        </is>
      </c>
      <c r="G1311" s="3" t="inlineStr">
        <is>
          <t>장내매수(+)</t>
        </is>
      </c>
      <c r="H1311" s="15" t="n">
        <v>8000</v>
      </c>
      <c r="I1311" s="6" t="n">
        <v>10806</v>
      </c>
      <c r="J1311" s="6" t="n">
        <v>634780</v>
      </c>
      <c r="K1311" s="16" t="n">
        <v>14</v>
      </c>
      <c r="L1311" s="2" t="inlineStr">
        <is>
          <t>20260520000101</t>
        </is>
      </c>
      <c r="M1311" s="8">
        <f>HYPERLINK("https://dart.fss.or.kr/dsaf001/main.do?rcpNo=20260520000101", "공시열람")</f>
        <v/>
      </c>
    </row>
    <row r="1312" ht="22" customHeight="1">
      <c r="A1312" s="2" t="inlineStr">
        <is>
          <t>2026-05-20</t>
        </is>
      </c>
      <c r="B1312" s="3" t="inlineStr">
        <is>
          <t>유라클</t>
        </is>
      </c>
      <c r="C1312" s="2" t="inlineStr">
        <is>
          <t>088340</t>
        </is>
      </c>
      <c r="D1312" s="2" t="inlineStr">
        <is>
          <t>대량보유</t>
        </is>
      </c>
      <c r="E1312" s="3" t="inlineStr">
        <is>
          <t>권태일</t>
        </is>
      </c>
      <c r="F1312" s="3" t="inlineStr">
        <is>
          <t>특별관계자</t>
        </is>
      </c>
      <c r="G1312" s="3" t="inlineStr">
        <is>
          <t>장내매수(+)</t>
        </is>
      </c>
      <c r="H1312" s="15" t="n">
        <v>1020</v>
      </c>
      <c r="I1312" s="6" t="n">
        <v>10691</v>
      </c>
      <c r="J1312" s="6" t="n">
        <v>102456</v>
      </c>
      <c r="K1312" s="16" t="n">
        <v>14</v>
      </c>
      <c r="L1312" s="2" t="inlineStr">
        <is>
          <t>20260520000101</t>
        </is>
      </c>
      <c r="M1312" s="8">
        <f>HYPERLINK("https://dart.fss.or.kr/dsaf001/main.do?rcpNo=20260520000101", "공시열람")</f>
        <v/>
      </c>
    </row>
    <row r="1313" ht="22" customHeight="1">
      <c r="A1313" s="2" t="inlineStr">
        <is>
          <t>2026-05-20</t>
        </is>
      </c>
      <c r="B1313" s="3" t="inlineStr">
        <is>
          <t>유라클</t>
        </is>
      </c>
      <c r="C1313" s="2" t="inlineStr">
        <is>
          <t>088340</t>
        </is>
      </c>
      <c r="D1313" s="2" t="inlineStr">
        <is>
          <t>대량보유</t>
        </is>
      </c>
      <c r="E1313" s="3" t="inlineStr">
        <is>
          <t>유웅진</t>
        </is>
      </c>
      <c r="F1313" s="3" t="inlineStr">
        <is>
          <t>특별관계자</t>
        </is>
      </c>
      <c r="G1313" s="3" t="inlineStr">
        <is>
          <t>장내매수(+)</t>
        </is>
      </c>
      <c r="H1313" s="15" t="n">
        <v>1000</v>
      </c>
      <c r="I1313" s="6" t="n">
        <v>10684</v>
      </c>
      <c r="J1313" s="6" t="n">
        <v>7430</v>
      </c>
      <c r="K1313" s="16" t="n">
        <v>14</v>
      </c>
      <c r="L1313" s="2" t="inlineStr">
        <is>
          <t>20260520000101</t>
        </is>
      </c>
      <c r="M1313" s="8">
        <f>HYPERLINK("https://dart.fss.or.kr/dsaf001/main.do?rcpNo=20260520000101", "공시열람")</f>
        <v/>
      </c>
    </row>
    <row r="1314" ht="22" customHeight="1">
      <c r="A1314" s="2" t="inlineStr">
        <is>
          <t>2026-05-20</t>
        </is>
      </c>
      <c r="B1314" s="3" t="inlineStr">
        <is>
          <t>유라클</t>
        </is>
      </c>
      <c r="C1314" s="2" t="inlineStr">
        <is>
          <t>088340</t>
        </is>
      </c>
      <c r="D1314" s="2" t="inlineStr">
        <is>
          <t>대량보유</t>
        </is>
      </c>
      <c r="E1314" s="3" t="inlineStr">
        <is>
          <t>이찬중</t>
        </is>
      </c>
      <c r="F1314" s="3" t="inlineStr">
        <is>
          <t>특별관계자</t>
        </is>
      </c>
      <c r="G1314" s="3" t="inlineStr">
        <is>
          <t>주식매수선택권부여(+)</t>
        </is>
      </c>
      <c r="H1314" s="15" t="n">
        <v>1000</v>
      </c>
      <c r="I1314" s="6" t="n">
        <v>12742</v>
      </c>
      <c r="J1314" s="6" t="n">
        <v>2140</v>
      </c>
      <c r="K1314" s="16" t="n">
        <v>14</v>
      </c>
      <c r="L1314" s="2" t="inlineStr">
        <is>
          <t>20260520000101</t>
        </is>
      </c>
      <c r="M1314" s="8">
        <f>HYPERLINK("https://dart.fss.or.kr/dsaf001/main.do?rcpNo=20260520000101", "공시열람")</f>
        <v/>
      </c>
    </row>
    <row r="1315" ht="22" customHeight="1">
      <c r="A1315" s="2" t="inlineStr">
        <is>
          <t>2026-05-20</t>
        </is>
      </c>
      <c r="B1315" s="3" t="inlineStr">
        <is>
          <t>유라클</t>
        </is>
      </c>
      <c r="C1315" s="2" t="inlineStr">
        <is>
          <t>088340</t>
        </is>
      </c>
      <c r="D1315" s="2" t="inlineStr">
        <is>
          <t>대량보유</t>
        </is>
      </c>
      <c r="E1315" s="3" t="inlineStr">
        <is>
          <t>신정호</t>
        </is>
      </c>
      <c r="F1315" s="3" t="inlineStr">
        <is>
          <t>특별관계자</t>
        </is>
      </c>
      <c r="G1315" s="3" t="inlineStr">
        <is>
          <t>주식매수선택권부여(+)</t>
        </is>
      </c>
      <c r="H1315" s="15" t="n">
        <v>3000</v>
      </c>
      <c r="I1315" s="6" t="n">
        <v>12742</v>
      </c>
      <c r="J1315" s="6" t="n">
        <v>4500</v>
      </c>
      <c r="K1315" s="16" t="n">
        <v>14</v>
      </c>
      <c r="L1315" s="2" t="inlineStr">
        <is>
          <t>20260520000101</t>
        </is>
      </c>
      <c r="M1315" s="8">
        <f>HYPERLINK("https://dart.fss.or.kr/dsaf001/main.do?rcpNo=20260520000101", "공시열람")</f>
        <v/>
      </c>
    </row>
    <row r="1316" ht="22" customHeight="1">
      <c r="A1316" s="2" t="inlineStr">
        <is>
          <t>2026-05-20</t>
        </is>
      </c>
      <c r="B1316" s="3" t="inlineStr">
        <is>
          <t>유라클</t>
        </is>
      </c>
      <c r="C1316" s="2" t="inlineStr">
        <is>
          <t>088340</t>
        </is>
      </c>
      <c r="D1316" s="2" t="inlineStr">
        <is>
          <t>대량보유</t>
        </is>
      </c>
      <c r="E1316" s="3" t="inlineStr">
        <is>
          <t>이용재</t>
        </is>
      </c>
      <c r="F1316" s="3" t="inlineStr">
        <is>
          <t>특별관계자</t>
        </is>
      </c>
      <c r="G1316" s="3" t="inlineStr">
        <is>
          <t>주식매수선택권부여(+)</t>
        </is>
      </c>
      <c r="H1316" s="15" t="n">
        <v>5000</v>
      </c>
      <c r="I1316" s="6" t="n">
        <v>12742</v>
      </c>
      <c r="J1316" s="6" t="n">
        <v>10000</v>
      </c>
      <c r="K1316" s="16" t="n">
        <v>14</v>
      </c>
      <c r="L1316" s="2" t="inlineStr">
        <is>
          <t>20260520000101</t>
        </is>
      </c>
      <c r="M1316" s="8">
        <f>HYPERLINK("https://dart.fss.or.kr/dsaf001/main.do?rcpNo=20260520000101", "공시열람")</f>
        <v/>
      </c>
    </row>
    <row r="1317" ht="22" customHeight="1">
      <c r="A1317" s="2" t="inlineStr">
        <is>
          <t>2026-05-20</t>
        </is>
      </c>
      <c r="B1317" s="3" t="inlineStr">
        <is>
          <t>엠씨넥스</t>
        </is>
      </c>
      <c r="C1317" s="2" t="inlineStr">
        <is>
          <t>097520</t>
        </is>
      </c>
      <c r="D1317" s="2" t="inlineStr">
        <is>
          <t>임원보고</t>
        </is>
      </c>
      <c r="E1317" s="3" t="inlineStr">
        <is>
          <t>-</t>
        </is>
      </c>
      <c r="F1317" s="3" t="inlineStr">
        <is>
          <t>-</t>
        </is>
      </c>
      <c r="G1317" s="3" t="inlineStr">
        <is>
          <t>-</t>
        </is>
      </c>
      <c r="H1317" s="6" t="inlineStr"/>
      <c r="I1317" s="6" t="inlineStr"/>
      <c r="J1317" s="6" t="inlineStr"/>
      <c r="K1317" s="16" t="n">
        <v>12</v>
      </c>
      <c r="L1317" s="2" t="inlineStr">
        <is>
          <t>20260520800181</t>
        </is>
      </c>
      <c r="M1317" s="8">
        <f>HYPERLINK("https://dart.fss.or.kr/dsaf001/main.do?rcpNo=20260520800181", "공시열람")</f>
        <v/>
      </c>
    </row>
    <row r="1318" ht="22" customHeight="1">
      <c r="A1318" s="2" t="inlineStr">
        <is>
          <t>2026-05-20</t>
        </is>
      </c>
      <c r="B1318" s="3" t="inlineStr">
        <is>
          <t>엠씨넥스</t>
        </is>
      </c>
      <c r="C1318" s="2" t="inlineStr">
        <is>
          <t>097520</t>
        </is>
      </c>
      <c r="D1318" s="2" t="inlineStr">
        <is>
          <t>대량보유</t>
        </is>
      </c>
      <c r="E1318" s="3" t="inlineStr">
        <is>
          <t>민동욱</t>
        </is>
      </c>
      <c r="F1318" s="3" t="inlineStr">
        <is>
          <t>특별관계자</t>
        </is>
      </c>
      <c r="G1318" s="3" t="inlineStr">
        <is>
          <t>장내매수(+)</t>
        </is>
      </c>
      <c r="H1318" s="15" t="n">
        <v>116000</v>
      </c>
      <c r="I1318" s="6" t="n">
        <v>22546</v>
      </c>
      <c r="J1318" s="6" t="n">
        <v>4840000</v>
      </c>
      <c r="K1318" s="16" t="n">
        <v>3</v>
      </c>
      <c r="L1318" s="2" t="inlineStr">
        <is>
          <t>20260520000090</t>
        </is>
      </c>
      <c r="M1318" s="8">
        <f>HYPERLINK("https://dart.fss.or.kr/dsaf001/main.do?rcpNo=20260520000090", "공시열람")</f>
        <v/>
      </c>
    </row>
    <row r="1319" ht="22" customHeight="1">
      <c r="A1319" s="2" t="inlineStr">
        <is>
          <t>2026-05-20</t>
        </is>
      </c>
      <c r="B1319" s="3" t="inlineStr">
        <is>
          <t>엠씨넥스</t>
        </is>
      </c>
      <c r="C1319" s="2" t="inlineStr">
        <is>
          <t>097520</t>
        </is>
      </c>
      <c r="D1319" s="2" t="inlineStr">
        <is>
          <t>대량보유</t>
        </is>
      </c>
      <c r="E1319" s="3" t="inlineStr">
        <is>
          <t>최선희</t>
        </is>
      </c>
      <c r="F1319" s="3" t="inlineStr">
        <is>
          <t>특별관계자</t>
        </is>
      </c>
      <c r="G1319" s="3" t="inlineStr">
        <is>
          <t>장내매수(+)</t>
        </is>
      </c>
      <c r="H1319" s="15" t="n">
        <v>9500</v>
      </c>
      <c r="I1319" s="6" t="n">
        <v>22589</v>
      </c>
      <c r="J1319" s="6" t="n">
        <v>460000</v>
      </c>
      <c r="K1319" s="16" t="n">
        <v>3</v>
      </c>
      <c r="L1319" s="2" t="inlineStr">
        <is>
          <t>20260520000090</t>
        </is>
      </c>
      <c r="M1319" s="8">
        <f>HYPERLINK("https://dart.fss.or.kr/dsaf001/main.do?rcpNo=20260520000090", "공시열람")</f>
        <v/>
      </c>
    </row>
    <row r="1320" ht="22" customHeight="1">
      <c r="A1320" s="2" t="inlineStr">
        <is>
          <t>2026-05-20</t>
        </is>
      </c>
      <c r="B1320" s="3" t="inlineStr">
        <is>
          <t>엠씨넥스</t>
        </is>
      </c>
      <c r="C1320" s="2" t="inlineStr">
        <is>
          <t>097520</t>
        </is>
      </c>
      <c r="D1320" s="2" t="inlineStr">
        <is>
          <t>대량보유</t>
        </is>
      </c>
      <c r="E1320" s="3" t="inlineStr">
        <is>
          <t>민성희</t>
        </is>
      </c>
      <c r="F1320" s="3" t="inlineStr">
        <is>
          <t>특별관계자</t>
        </is>
      </c>
      <c r="G1320" s="3" t="inlineStr">
        <is>
          <t>장내매수(+)</t>
        </is>
      </c>
      <c r="H1320" s="15" t="n">
        <v>2050</v>
      </c>
      <c r="I1320" s="6" t="n">
        <v>21791</v>
      </c>
      <c r="J1320" s="6" t="n">
        <v>51250</v>
      </c>
      <c r="K1320" s="16" t="n">
        <v>3</v>
      </c>
      <c r="L1320" s="2" t="inlineStr">
        <is>
          <t>20260520000090</t>
        </is>
      </c>
      <c r="M1320" s="8">
        <f>HYPERLINK("https://dart.fss.or.kr/dsaf001/main.do?rcpNo=20260520000090", "공시열람")</f>
        <v/>
      </c>
    </row>
    <row r="1321" ht="22" customHeight="1">
      <c r="A1321" s="2" t="inlineStr">
        <is>
          <t>2026-05-20</t>
        </is>
      </c>
      <c r="B1321" s="3" t="inlineStr">
        <is>
          <t>엠씨넥스</t>
        </is>
      </c>
      <c r="C1321" s="2" t="inlineStr">
        <is>
          <t>097520</t>
        </is>
      </c>
      <c r="D1321" s="2" t="inlineStr">
        <is>
          <t>대량보유</t>
        </is>
      </c>
      <c r="E1321" s="3" t="inlineStr">
        <is>
          <t>민혜성</t>
        </is>
      </c>
      <c r="F1321" s="3" t="inlineStr">
        <is>
          <t>특별관계자</t>
        </is>
      </c>
      <c r="G1321" s="3" t="inlineStr">
        <is>
          <t>장내매수(+)</t>
        </is>
      </c>
      <c r="H1321" s="15" t="n">
        <v>1600</v>
      </c>
      <c r="I1321" s="6" t="n">
        <v>21844</v>
      </c>
      <c r="J1321" s="6" t="n">
        <v>47800</v>
      </c>
      <c r="K1321" s="16" t="n">
        <v>3</v>
      </c>
      <c r="L1321" s="2" t="inlineStr">
        <is>
          <t>20260520000090</t>
        </is>
      </c>
      <c r="M1321" s="8">
        <f>HYPERLINK("https://dart.fss.or.kr/dsaf001/main.do?rcpNo=20260520000090", "공시열람")</f>
        <v/>
      </c>
    </row>
    <row r="1322" ht="22" customHeight="1">
      <c r="A1322" s="2" t="inlineStr">
        <is>
          <t>2026-05-20</t>
        </is>
      </c>
      <c r="B1322" s="3" t="inlineStr">
        <is>
          <t>폴레드</t>
        </is>
      </c>
      <c r="C1322" s="2" t="inlineStr">
        <is>
          <t>487580</t>
        </is>
      </c>
      <c r="D1322" s="2" t="inlineStr">
        <is>
          <t>대량보유</t>
        </is>
      </c>
      <c r="E1322" s="3" t="inlineStr">
        <is>
          <t>이형무</t>
        </is>
      </c>
      <c r="F1322" s="3" t="inlineStr">
        <is>
          <t>특별관계자</t>
        </is>
      </c>
      <c r="G1322" s="3" t="inlineStr">
        <is>
          <t>신규상장(무상취득)(+)</t>
        </is>
      </c>
      <c r="H1322" s="15" t="n">
        <v>3279280</v>
      </c>
      <c r="I1322" s="6" t="inlineStr"/>
      <c r="J1322" s="6" t="n">
        <v>3279280</v>
      </c>
      <c r="K1322" s="16" t="n">
        <v>6</v>
      </c>
      <c r="L1322" s="2" t="inlineStr">
        <is>
          <t>20260520000068</t>
        </is>
      </c>
      <c r="M1322" s="8">
        <f>HYPERLINK("https://dart.fss.or.kr/dsaf001/main.do?rcpNo=20260520000068", "공시열람")</f>
        <v/>
      </c>
    </row>
    <row r="1323" ht="22" customHeight="1">
      <c r="A1323" s="2" t="inlineStr">
        <is>
          <t>2026-05-20</t>
        </is>
      </c>
      <c r="B1323" s="3" t="inlineStr">
        <is>
          <t>폴레드</t>
        </is>
      </c>
      <c r="C1323" s="2" t="inlineStr">
        <is>
          <t>487580</t>
        </is>
      </c>
      <c r="D1323" s="2" t="inlineStr">
        <is>
          <t>대량보유</t>
        </is>
      </c>
      <c r="E1323" s="3" t="inlineStr">
        <is>
          <t>이인주</t>
        </is>
      </c>
      <c r="F1323" s="3" t="inlineStr">
        <is>
          <t>특별관계자</t>
        </is>
      </c>
      <c r="G1323" s="3" t="inlineStr">
        <is>
          <t>신규상장(무상취득)(+)</t>
        </is>
      </c>
      <c r="H1323" s="15" t="n">
        <v>2250000</v>
      </c>
      <c r="I1323" s="6" t="inlineStr"/>
      <c r="J1323" s="6" t="n">
        <v>2250000</v>
      </c>
      <c r="K1323" s="16" t="n">
        <v>6</v>
      </c>
      <c r="L1323" s="2" t="inlineStr">
        <is>
          <t>20260520000068</t>
        </is>
      </c>
      <c r="M1323" s="8">
        <f>HYPERLINK("https://dart.fss.or.kr/dsaf001/main.do?rcpNo=20260520000068", "공시열람")</f>
        <v/>
      </c>
    </row>
    <row r="1324" ht="22" customHeight="1">
      <c r="A1324" s="2" t="inlineStr">
        <is>
          <t>2026-05-20</t>
        </is>
      </c>
      <c r="B1324" s="3" t="inlineStr">
        <is>
          <t>폴레드</t>
        </is>
      </c>
      <c r="C1324" s="2" t="inlineStr">
        <is>
          <t>487580</t>
        </is>
      </c>
      <c r="D1324" s="2" t="inlineStr">
        <is>
          <t>대량보유</t>
        </is>
      </c>
      <c r="E1324" s="3" t="inlineStr">
        <is>
          <t>강석준</t>
        </is>
      </c>
      <c r="F1324" s="3" t="inlineStr">
        <is>
          <t>특별관계자</t>
        </is>
      </c>
      <c r="G1324" s="3" t="inlineStr">
        <is>
          <t>신규상장(무상취득)(+)</t>
        </is>
      </c>
      <c r="H1324" s="15" t="n">
        <v>892500</v>
      </c>
      <c r="I1324" s="6" t="inlineStr"/>
      <c r="J1324" s="6" t="n">
        <v>892500</v>
      </c>
      <c r="K1324" s="16" t="n">
        <v>6</v>
      </c>
      <c r="L1324" s="2" t="inlineStr">
        <is>
          <t>20260520000068</t>
        </is>
      </c>
      <c r="M1324" s="8">
        <f>HYPERLINK("https://dart.fss.or.kr/dsaf001/main.do?rcpNo=20260520000068", "공시열람")</f>
        <v/>
      </c>
    </row>
    <row r="1325" ht="22" customHeight="1">
      <c r="A1325" s="2" t="inlineStr">
        <is>
          <t>2026-05-20</t>
        </is>
      </c>
      <c r="B1325" s="3" t="inlineStr">
        <is>
          <t>폴레드</t>
        </is>
      </c>
      <c r="C1325" s="2" t="inlineStr">
        <is>
          <t>487580</t>
        </is>
      </c>
      <c r="D1325" s="2" t="inlineStr">
        <is>
          <t>대량보유</t>
        </is>
      </c>
      <c r="E1325" s="3" t="inlineStr">
        <is>
          <t>박동현</t>
        </is>
      </c>
      <c r="F1325" s="3" t="inlineStr">
        <is>
          <t>특별관계자</t>
        </is>
      </c>
      <c r="G1325" s="3" t="inlineStr">
        <is>
          <t>신규상장(무상취득)(+)</t>
        </is>
      </c>
      <c r="H1325" s="15" t="n">
        <v>642500</v>
      </c>
      <c r="I1325" s="6" t="inlineStr"/>
      <c r="J1325" s="6" t="n">
        <v>642500</v>
      </c>
      <c r="K1325" s="16" t="n">
        <v>6</v>
      </c>
      <c r="L1325" s="2" t="inlineStr">
        <is>
          <t>20260520000068</t>
        </is>
      </c>
      <c r="M1325" s="8">
        <f>HYPERLINK("https://dart.fss.or.kr/dsaf001/main.do?rcpNo=20260520000068", "공시열람")</f>
        <v/>
      </c>
    </row>
    <row r="1326" ht="22" customHeight="1">
      <c r="A1326" s="2" t="inlineStr">
        <is>
          <t>2026-05-20</t>
        </is>
      </c>
      <c r="B1326" s="3" t="inlineStr">
        <is>
          <t>폴레드</t>
        </is>
      </c>
      <c r="C1326" s="2" t="inlineStr">
        <is>
          <t>487580</t>
        </is>
      </c>
      <c r="D1326" s="2" t="inlineStr">
        <is>
          <t>대량보유</t>
        </is>
      </c>
      <c r="E1326" s="3" t="inlineStr">
        <is>
          <t>박문석</t>
        </is>
      </c>
      <c r="F1326" s="3" t="inlineStr">
        <is>
          <t>특별관계자</t>
        </is>
      </c>
      <c r="G1326" s="3" t="inlineStr">
        <is>
          <t>신규상장(무상취득)(+)</t>
        </is>
      </c>
      <c r="H1326" s="15" t="n">
        <v>250000</v>
      </c>
      <c r="I1326" s="6" t="inlineStr"/>
      <c r="J1326" s="6" t="n">
        <v>250000</v>
      </c>
      <c r="K1326" s="16" t="n">
        <v>6</v>
      </c>
      <c r="L1326" s="2" t="inlineStr">
        <is>
          <t>20260520000068</t>
        </is>
      </c>
      <c r="M1326" s="8">
        <f>HYPERLINK("https://dart.fss.or.kr/dsaf001/main.do?rcpNo=20260520000068", "공시열람")</f>
        <v/>
      </c>
    </row>
    <row r="1327" ht="22" customHeight="1">
      <c r="A1327" s="2" t="inlineStr">
        <is>
          <t>2026-05-20</t>
        </is>
      </c>
      <c r="B1327" s="3" t="inlineStr">
        <is>
          <t>폴레드</t>
        </is>
      </c>
      <c r="C1327" s="2" t="inlineStr">
        <is>
          <t>487580</t>
        </is>
      </c>
      <c r="D1327" s="2" t="inlineStr">
        <is>
          <t>대량보유</t>
        </is>
      </c>
      <c r="E1327" s="3" t="inlineStr">
        <is>
          <t>김남일</t>
        </is>
      </c>
      <c r="F1327" s="3" t="inlineStr">
        <is>
          <t>특별관계자</t>
        </is>
      </c>
      <c r="G1327" s="3" t="inlineStr">
        <is>
          <t>신규상장(무상취득)(+)</t>
        </is>
      </c>
      <c r="H1327" s="15" t="n">
        <v>25476</v>
      </c>
      <c r="I1327" s="6" t="inlineStr"/>
      <c r="J1327" s="6" t="n">
        <v>25476</v>
      </c>
      <c r="K1327" s="16" t="n">
        <v>6</v>
      </c>
      <c r="L1327" s="2" t="inlineStr">
        <is>
          <t>20260520000068</t>
        </is>
      </c>
      <c r="M1327" s="8">
        <f>HYPERLINK("https://dart.fss.or.kr/dsaf001/main.do?rcpNo=20260520000068", "공시열람")</f>
        <v/>
      </c>
    </row>
    <row r="1328" ht="22" customHeight="1">
      <c r="A1328" s="2" t="inlineStr">
        <is>
          <t>2026-05-20</t>
        </is>
      </c>
      <c r="B1328" s="3" t="inlineStr">
        <is>
          <t>폴레드</t>
        </is>
      </c>
      <c r="C1328" s="2" t="inlineStr">
        <is>
          <t>487580</t>
        </is>
      </c>
      <c r="D1328" s="2" t="inlineStr">
        <is>
          <t>대량보유</t>
        </is>
      </c>
      <c r="E1328" s="3" t="inlineStr">
        <is>
          <t>정세영</t>
        </is>
      </c>
      <c r="F1328" s="3" t="inlineStr">
        <is>
          <t>특별관계자</t>
        </is>
      </c>
      <c r="G1328" s="3" t="inlineStr">
        <is>
          <t>신규상장(무상취득)(+)</t>
        </is>
      </c>
      <c r="H1328" s="15" t="n">
        <v>25000</v>
      </c>
      <c r="I1328" s="6" t="inlineStr"/>
      <c r="J1328" s="6" t="n">
        <v>25000</v>
      </c>
      <c r="K1328" s="16" t="n">
        <v>6</v>
      </c>
      <c r="L1328" s="2" t="inlineStr">
        <is>
          <t>20260520000068</t>
        </is>
      </c>
      <c r="M1328" s="8">
        <f>HYPERLINK("https://dart.fss.or.kr/dsaf001/main.do?rcpNo=20260520000068", "공시열람")</f>
        <v/>
      </c>
    </row>
    <row r="1329" ht="22" customHeight="1">
      <c r="A1329" s="2" t="inlineStr">
        <is>
          <t>2026-05-20</t>
        </is>
      </c>
      <c r="B1329" s="3" t="inlineStr">
        <is>
          <t>신한제13호스팩</t>
        </is>
      </c>
      <c r="C1329" s="2" t="inlineStr">
        <is>
          <t>474930</t>
        </is>
      </c>
      <c r="D1329" s="2" t="inlineStr">
        <is>
          <t>대량보유</t>
        </is>
      </c>
      <c r="E1329" s="3" t="inlineStr">
        <is>
          <t>더블유자산운용</t>
        </is>
      </c>
      <c r="F1329" s="3" t="inlineStr">
        <is>
          <t>특별관계자</t>
        </is>
      </c>
      <c r="G1329" s="3" t="inlineStr">
        <is>
          <t>신규등록(+), 장내매도(-), 장내매수(+)</t>
        </is>
      </c>
      <c r="H1329" s="15" t="n">
        <v>201088</v>
      </c>
      <c r="I1329" s="6" t="n">
        <v>2216</v>
      </c>
      <c r="J1329" s="6" t="n">
        <v>201088</v>
      </c>
      <c r="K1329" s="16" t="n">
        <v>5.55</v>
      </c>
      <c r="L1329" s="2" t="inlineStr">
        <is>
          <t>20260520000049</t>
        </is>
      </c>
      <c r="M1329" s="8">
        <f>HYPERLINK("https://dart.fss.or.kr/dsaf001/main.do?rcpNo=20260520000049", "공시열람")</f>
        <v/>
      </c>
    </row>
    <row r="1330" ht="22" customHeight="1">
      <c r="A1330" s="2" t="inlineStr">
        <is>
          <t>2026-05-20</t>
        </is>
      </c>
      <c r="B1330" s="3" t="inlineStr">
        <is>
          <t>성호전자</t>
        </is>
      </c>
      <c r="C1330" s="2" t="inlineStr">
        <is>
          <t>043260</t>
        </is>
      </c>
      <c r="D1330" s="2" t="inlineStr">
        <is>
          <t>대량보유</t>
        </is>
      </c>
      <c r="E1330" s="3" t="inlineStr">
        <is>
          <t>서룡전자(주)</t>
        </is>
      </c>
      <c r="F1330" s="3" t="inlineStr">
        <is>
          <t>특별관계자</t>
        </is>
      </c>
      <c r="G1330" s="3" t="inlineStr">
        <is>
          <t>장내매수(+)</t>
        </is>
      </c>
      <c r="H1330" s="15" t="n">
        <v>13922</v>
      </c>
      <c r="I1330" s="6" t="n">
        <v>34402</v>
      </c>
      <c r="J1330" s="6" t="n">
        <v>27284015</v>
      </c>
      <c r="K1330" s="16" t="n">
        <v>17</v>
      </c>
      <c r="L1330" s="2" t="inlineStr">
        <is>
          <t>20260520000030</t>
        </is>
      </c>
      <c r="M1330" s="8">
        <f>HYPERLINK("https://dart.fss.or.kr/dsaf001/main.do?rcpNo=20260520000030", "공시열람")</f>
        <v/>
      </c>
    </row>
    <row r="1331" ht="22" customHeight="1">
      <c r="A1331" s="2" t="inlineStr">
        <is>
          <t>2026-05-20</t>
        </is>
      </c>
      <c r="B1331" s="3" t="inlineStr">
        <is>
          <t>엠투엔</t>
        </is>
      </c>
      <c r="C1331" s="2" t="inlineStr">
        <is>
          <t>033310</t>
        </is>
      </c>
      <c r="D1331" s="2" t="inlineStr">
        <is>
          <t>대량보유</t>
        </is>
      </c>
      <c r="E1331" s="3" t="inlineStr">
        <is>
          <t>(주)디케이마린</t>
        </is>
      </c>
      <c r="F1331" s="3" t="inlineStr">
        <is>
          <t>보고자</t>
        </is>
      </c>
      <c r="G1331" s="3" t="inlineStr">
        <is>
          <t>주식담보차입 연장</t>
        </is>
      </c>
      <c r="H1331" s="6" t="inlineStr"/>
      <c r="I1331" s="6" t="inlineStr"/>
      <c r="J1331" s="6" t="n">
        <v>15048583</v>
      </c>
      <c r="K1331" s="16" t="n">
        <v>3</v>
      </c>
      <c r="L1331" s="2" t="inlineStr">
        <is>
          <t>20260520000007</t>
        </is>
      </c>
      <c r="M1331" s="8">
        <f>HYPERLINK("https://dart.fss.or.kr/dsaf001/main.do?rcpNo=20260520000007", "공시열람")</f>
        <v/>
      </c>
    </row>
    <row r="1332" ht="22" customHeight="1">
      <c r="A1332" s="2" t="inlineStr">
        <is>
          <t>2026-05-20</t>
        </is>
      </c>
      <c r="B1332" s="3" t="inlineStr">
        <is>
          <t>SV인베스트먼트</t>
        </is>
      </c>
      <c r="C1332" s="2" t="inlineStr">
        <is>
          <t>289080</t>
        </is>
      </c>
      <c r="D1332" s="2" t="inlineStr">
        <is>
          <t>대량보유</t>
        </is>
      </c>
      <c r="E1332" s="3" t="inlineStr">
        <is>
          <t>에이스투자금융</t>
        </is>
      </c>
      <c r="F1332" s="3" t="inlineStr">
        <is>
          <t>특별관계자</t>
        </is>
      </c>
      <c r="G1332" s="3" t="inlineStr">
        <is>
          <t>시간외매매(-)</t>
        </is>
      </c>
      <c r="H1332" s="17" t="n">
        <v>-2397260</v>
      </c>
      <c r="I1332" s="6" t="n">
        <v>2817</v>
      </c>
      <c r="J1332" s="6" t="inlineStr"/>
      <c r="K1332" s="16" t="n">
        <v>2</v>
      </c>
      <c r="L1332" s="2" t="inlineStr">
        <is>
          <t>20260520000004</t>
        </is>
      </c>
      <c r="M1332" s="8">
        <f>HYPERLINK("https://dart.fss.or.kr/dsaf001/main.do?rcpNo=20260520000004", "공시열람")</f>
        <v/>
      </c>
    </row>
    <row r="1333" ht="22" customHeight="1">
      <c r="A1333" s="2" t="inlineStr">
        <is>
          <t>2026-05-20</t>
        </is>
      </c>
      <c r="B1333" s="3" t="inlineStr">
        <is>
          <t>에이팩트</t>
        </is>
      </c>
      <c r="C1333" s="2" t="inlineStr">
        <is>
          <t>200470</t>
        </is>
      </c>
      <c r="D1333" s="2" t="inlineStr">
        <is>
          <t>대량보유</t>
        </is>
      </c>
      <c r="E1333" s="3" t="inlineStr">
        <is>
          <t>오로라동반성장프로젝트펀드제3호사모투자합자회사</t>
        </is>
      </c>
      <c r="F1333" s="3" t="inlineStr">
        <is>
          <t>특별관계자</t>
        </is>
      </c>
      <c r="G1333" s="3" t="inlineStr">
        <is>
          <t>다이내믹그로우쓰 유한회사 지분매매계약 체결 계약체결일 : 2026 년 4 월 14 일 매도자 : 이재한 매수인 : 오로라동반성장프로젝트펀드제 3 호사모투자 합자회사 잔금 지급일 및 지분양도일 : 2026 년 4 월 15 일</t>
        </is>
      </c>
      <c r="H1333" s="6" t="inlineStr"/>
      <c r="I1333" s="6" t="inlineStr"/>
      <c r="J1333" s="6" t="inlineStr"/>
      <c r="K1333" s="16" t="n">
        <v>3</v>
      </c>
      <c r="L1333" s="2" t="inlineStr">
        <is>
          <t>20260519000317</t>
        </is>
      </c>
      <c r="M1333" s="8">
        <f>HYPERLINK("https://dart.fss.or.kr/dsaf001/main.do?rcpNo=20260519000317", "공시열람")</f>
        <v/>
      </c>
    </row>
    <row r="1334" ht="22" customHeight="1">
      <c r="A1334" s="2" t="inlineStr">
        <is>
          <t>2026-05-20</t>
        </is>
      </c>
      <c r="B1334" s="3" t="inlineStr">
        <is>
          <t>에이팩트</t>
        </is>
      </c>
      <c r="C1334" s="2" t="inlineStr">
        <is>
          <t>200470</t>
        </is>
      </c>
      <c r="D1334" s="2" t="inlineStr">
        <is>
          <t>대량보유</t>
        </is>
      </c>
      <c r="E1334" s="3" t="inlineStr">
        <is>
          <t>오로라파트너스주식회사</t>
        </is>
      </c>
      <c r="F1334" s="3" t="inlineStr">
        <is>
          <t>특별관계자</t>
        </is>
      </c>
      <c r="G1334" s="3" t="inlineStr">
        <is>
          <t>다이내믹그로우쓰 유한회사 지분매매계약 체결 계약체결일 : 2026 년 4 월 14 일 매도자 : 이재한 매수인 : 오로라동반성장프로젝트펀드제 3 호사모투자 합자회사 잔금 지급일 및 지분양도일 : 2026 년 4 월 15 일</t>
        </is>
      </c>
      <c r="H1334" s="6" t="inlineStr"/>
      <c r="I1334" s="6" t="inlineStr"/>
      <c r="J1334" s="6" t="inlineStr"/>
      <c r="K1334" s="16" t="n">
        <v>3</v>
      </c>
      <c r="L1334" s="2" t="inlineStr">
        <is>
          <t>20260519000317</t>
        </is>
      </c>
      <c r="M1334" s="8">
        <f>HYPERLINK("https://dart.fss.or.kr/dsaf001/main.do?rcpNo=20260519000317", "공시열람")</f>
        <v/>
      </c>
    </row>
    <row r="1335" ht="22" customHeight="1">
      <c r="A1335" s="2" t="inlineStr">
        <is>
          <t>2026-05-21</t>
        </is>
      </c>
      <c r="B1335" s="3" t="inlineStr">
        <is>
          <t>팬오션</t>
        </is>
      </c>
      <c r="C1335" s="2" t="inlineStr">
        <is>
          <t>028670</t>
        </is>
      </c>
      <c r="D1335" s="2" t="inlineStr">
        <is>
          <t>대량보유</t>
        </is>
      </c>
      <c r="E1335" s="3" t="inlineStr">
        <is>
          <t>김기만</t>
        </is>
      </c>
      <c r="F1335" s="3" t="inlineStr">
        <is>
          <t>특별관계자</t>
        </is>
      </c>
      <c r="G1335" s="3" t="inlineStr">
        <is>
          <t>장내매도(-)</t>
        </is>
      </c>
      <c r="H1335" s="17" t="n">
        <v>-22000</v>
      </c>
      <c r="I1335" s="6" t="n">
        <v>5912</v>
      </c>
      <c r="J1335" s="6" t="n">
        <v>53008</v>
      </c>
      <c r="K1335" s="16" t="n">
        <v>10</v>
      </c>
      <c r="L1335" s="2" t="inlineStr">
        <is>
          <t>20260521000800</t>
        </is>
      </c>
      <c r="M1335" s="8">
        <f>HYPERLINK("https://dart.fss.or.kr/dsaf001/main.do?rcpNo=20260521000800", "공시열람")</f>
        <v/>
      </c>
    </row>
    <row r="1336" ht="22" customHeight="1">
      <c r="A1336" s="2" t="inlineStr">
        <is>
          <t>2026-05-21</t>
        </is>
      </c>
      <c r="B1336" s="3" t="inlineStr">
        <is>
          <t>사토시홀딩스</t>
        </is>
      </c>
      <c r="C1336" s="2" t="inlineStr">
        <is>
          <t>223310</t>
        </is>
      </c>
      <c r="D1336" s="2" t="inlineStr">
        <is>
          <t>대량보유</t>
        </is>
      </c>
      <c r="E1336" s="3" t="inlineStr">
        <is>
          <t>KB증권㈜</t>
        </is>
      </c>
      <c r="F1336" s="3" t="inlineStr">
        <is>
          <t>특별관계자</t>
        </is>
      </c>
      <c r="G1336" s="3" t="inlineStr">
        <is>
          <t>신규보고(+), 대여(-), 기타(+), 차입(+), 기타(-), 장내매수(+), 장내매도(-)</t>
        </is>
      </c>
      <c r="H1336" s="15" t="n">
        <v>1014541</v>
      </c>
      <c r="I1336" s="6" t="n">
        <v>11550</v>
      </c>
      <c r="J1336" s="6" t="n">
        <v>1014541</v>
      </c>
      <c r="K1336" s="16" t="n">
        <v>16.31</v>
      </c>
      <c r="L1336" s="2" t="inlineStr">
        <is>
          <t>20260521000787</t>
        </is>
      </c>
      <c r="M1336" s="8">
        <f>HYPERLINK("https://dart.fss.or.kr/dsaf001/main.do?rcpNo=20260521000787", "공시열람")</f>
        <v/>
      </c>
    </row>
    <row r="1337" ht="22" customHeight="1">
      <c r="A1337" s="2" t="inlineStr">
        <is>
          <t>2026-05-21</t>
        </is>
      </c>
      <c r="B1337" s="3" t="inlineStr">
        <is>
          <t>나우로보틱스</t>
        </is>
      </c>
      <c r="C1337" s="2" t="inlineStr">
        <is>
          <t>459510</t>
        </is>
      </c>
      <c r="D1337" s="2" t="inlineStr">
        <is>
          <t>대량보유</t>
        </is>
      </c>
      <c r="E1337" s="3" t="inlineStr">
        <is>
          <t>㈜에스큐엑셀러레이터</t>
        </is>
      </c>
      <c r="F1337" s="3" t="inlineStr">
        <is>
          <t>특별관계자</t>
        </is>
      </c>
      <c r="G1337" s="3" t="inlineStr">
        <is>
          <t>특별관계해소(-)</t>
        </is>
      </c>
      <c r="H1337" s="17" t="n">
        <v>-359700</v>
      </c>
      <c r="I1337" s="6" t="inlineStr"/>
      <c r="J1337" s="6" t="inlineStr"/>
      <c r="K1337" s="16" t="n">
        <v>2</v>
      </c>
      <c r="L1337" s="2" t="inlineStr">
        <is>
          <t>20260521000780</t>
        </is>
      </c>
      <c r="M1337" s="8">
        <f>HYPERLINK("https://dart.fss.or.kr/dsaf001/main.do?rcpNo=20260521000780", "공시열람")</f>
        <v/>
      </c>
    </row>
    <row r="1338" ht="22" customHeight="1">
      <c r="A1338" s="2" t="inlineStr">
        <is>
          <t>2026-05-21</t>
        </is>
      </c>
      <c r="B1338" s="3" t="inlineStr">
        <is>
          <t>하나마이크론</t>
        </is>
      </c>
      <c r="C1338" s="2" t="inlineStr">
        <is>
          <t>067310</t>
        </is>
      </c>
      <c r="D1338" s="2" t="inlineStr">
        <is>
          <t>대량보유</t>
        </is>
      </c>
      <c r="E1338" s="3" t="inlineStr">
        <is>
          <t>오문숙</t>
        </is>
      </c>
      <c r="F1338" s="3" t="inlineStr">
        <is>
          <t>특별관계자</t>
        </is>
      </c>
      <c r="G1338" s="3" t="inlineStr">
        <is>
          <t>장내매도(-)</t>
        </is>
      </c>
      <c r="H1338" s="17" t="n">
        <v>-10000</v>
      </c>
      <c r="I1338" s="6" t="n">
        <v>52105</v>
      </c>
      <c r="J1338" s="6" t="n">
        <v>485245</v>
      </c>
      <c r="K1338" s="16" t="n">
        <v>26</v>
      </c>
      <c r="L1338" s="2" t="inlineStr">
        <is>
          <t>20260521000778</t>
        </is>
      </c>
      <c r="M1338" s="8">
        <f>HYPERLINK("https://dart.fss.or.kr/dsaf001/main.do?rcpNo=20260521000778", "공시열람")</f>
        <v/>
      </c>
    </row>
    <row r="1339" ht="22" customHeight="1">
      <c r="A1339" s="2" t="inlineStr">
        <is>
          <t>2026-05-21</t>
        </is>
      </c>
      <c r="B1339" s="3" t="inlineStr">
        <is>
          <t>하나마이크론</t>
        </is>
      </c>
      <c r="C1339" s="2" t="inlineStr">
        <is>
          <t>067310</t>
        </is>
      </c>
      <c r="D1339" s="2" t="inlineStr">
        <is>
          <t>대량보유</t>
        </is>
      </c>
      <c r="E1339" s="3" t="inlineStr">
        <is>
          <t>장진욱</t>
        </is>
      </c>
      <c r="F1339" s="3" t="inlineStr">
        <is>
          <t>특별관계자</t>
        </is>
      </c>
      <c r="G1339" s="3" t="inlineStr">
        <is>
          <t>주식매수선택권부여(+)</t>
        </is>
      </c>
      <c r="H1339" s="15" t="n">
        <v>30000</v>
      </c>
      <c r="I1339" s="6" t="inlineStr"/>
      <c r="J1339" s="6" t="n">
        <v>30000</v>
      </c>
      <c r="K1339" s="16" t="n">
        <v>26</v>
      </c>
      <c r="L1339" s="2" t="inlineStr">
        <is>
          <t>20260521000778</t>
        </is>
      </c>
      <c r="M1339" s="8">
        <f>HYPERLINK("https://dart.fss.or.kr/dsaf001/main.do?rcpNo=20260521000778", "공시열람")</f>
        <v/>
      </c>
    </row>
    <row r="1340" ht="22" customHeight="1">
      <c r="A1340" s="2" t="inlineStr">
        <is>
          <t>2026-05-21</t>
        </is>
      </c>
      <c r="B1340" s="3" t="inlineStr">
        <is>
          <t>하나마이크론</t>
        </is>
      </c>
      <c r="C1340" s="2" t="inlineStr">
        <is>
          <t>067310</t>
        </is>
      </c>
      <c r="D1340" s="2" t="inlineStr">
        <is>
          <t>대량보유</t>
        </is>
      </c>
      <c r="E1340" s="3" t="inlineStr">
        <is>
          <t>노정근</t>
        </is>
      </c>
      <c r="F1340" s="3" t="inlineStr">
        <is>
          <t>특별관계자</t>
        </is>
      </c>
      <c r="G1340" s="3" t="inlineStr">
        <is>
          <t>장내매도(-)</t>
        </is>
      </c>
      <c r="H1340" s="17" t="n">
        <v>-18700</v>
      </c>
      <c r="I1340" s="6" t="n">
        <v>40614</v>
      </c>
      <c r="J1340" s="6" t="n">
        <v>2000</v>
      </c>
      <c r="K1340" s="16" t="n">
        <v>26</v>
      </c>
      <c r="L1340" s="2" t="inlineStr">
        <is>
          <t>20260521000778</t>
        </is>
      </c>
      <c r="M1340" s="8">
        <f>HYPERLINK("https://dart.fss.or.kr/dsaf001/main.do?rcpNo=20260521000778", "공시열람")</f>
        <v/>
      </c>
    </row>
    <row r="1341" ht="22" customHeight="1">
      <c r="A1341" s="2" t="inlineStr">
        <is>
          <t>2026-05-21</t>
        </is>
      </c>
      <c r="B1341" s="3" t="inlineStr">
        <is>
          <t>하나마이크론</t>
        </is>
      </c>
      <c r="C1341" s="2" t="inlineStr">
        <is>
          <t>067310</t>
        </is>
      </c>
      <c r="D1341" s="2" t="inlineStr">
        <is>
          <t>대량보유</t>
        </is>
      </c>
      <c r="E1341" s="3" t="inlineStr">
        <is>
          <t>이유영</t>
        </is>
      </c>
      <c r="F1341" s="3" t="inlineStr">
        <is>
          <t>특별관계자</t>
        </is>
      </c>
      <c r="G1341" s="3" t="inlineStr">
        <is>
          <t>장내매도(-)</t>
        </is>
      </c>
      <c r="H1341" s="17" t="n">
        <v>-10000</v>
      </c>
      <c r="I1341" s="6" t="n">
        <v>43000</v>
      </c>
      <c r="J1341" s="6" t="n">
        <v>13080</v>
      </c>
      <c r="K1341" s="16" t="n">
        <v>26</v>
      </c>
      <c r="L1341" s="2" t="inlineStr">
        <is>
          <t>20260521000778</t>
        </is>
      </c>
      <c r="M1341" s="8">
        <f>HYPERLINK("https://dart.fss.or.kr/dsaf001/main.do?rcpNo=20260521000778", "공시열람")</f>
        <v/>
      </c>
    </row>
    <row r="1342" ht="22" customHeight="1">
      <c r="A1342" s="2" t="inlineStr">
        <is>
          <t>2026-05-21</t>
        </is>
      </c>
      <c r="B1342" s="3" t="inlineStr">
        <is>
          <t>하나마이크론</t>
        </is>
      </c>
      <c r="C1342" s="2" t="inlineStr">
        <is>
          <t>067310</t>
        </is>
      </c>
      <c r="D1342" s="2" t="inlineStr">
        <is>
          <t>대량보유</t>
        </is>
      </c>
      <c r="E1342" s="3" t="inlineStr">
        <is>
          <t>김강표</t>
        </is>
      </c>
      <c r="F1342" s="3" t="inlineStr">
        <is>
          <t>특별관계자</t>
        </is>
      </c>
      <c r="G1342" s="3" t="inlineStr">
        <is>
          <t>장내매도(-)</t>
        </is>
      </c>
      <c r="H1342" s="17" t="n">
        <v>-10000</v>
      </c>
      <c r="I1342" s="6" t="n">
        <v>34283</v>
      </c>
      <c r="J1342" s="6" t="inlineStr"/>
      <c r="K1342" s="16" t="n">
        <v>26</v>
      </c>
      <c r="L1342" s="2" t="inlineStr">
        <is>
          <t>20260521000778</t>
        </is>
      </c>
      <c r="M1342" s="8">
        <f>HYPERLINK("https://dart.fss.or.kr/dsaf001/main.do?rcpNo=20260521000778", "공시열람")</f>
        <v/>
      </c>
    </row>
    <row r="1343" ht="22" customHeight="1">
      <c r="A1343" s="2" t="inlineStr">
        <is>
          <t>2026-05-21</t>
        </is>
      </c>
      <c r="B1343" s="3" t="inlineStr">
        <is>
          <t>하나마이크론</t>
        </is>
      </c>
      <c r="C1343" s="2" t="inlineStr">
        <is>
          <t>067310</t>
        </is>
      </c>
      <c r="D1343" s="2" t="inlineStr">
        <is>
          <t>대량보유</t>
        </is>
      </c>
      <c r="E1343" s="3" t="inlineStr">
        <is>
          <t>장상재</t>
        </is>
      </c>
      <c r="F1343" s="3" t="inlineStr">
        <is>
          <t>특별관계자</t>
        </is>
      </c>
      <c r="G1343" s="3" t="inlineStr">
        <is>
          <t>주식매수선택권부여(+)</t>
        </is>
      </c>
      <c r="H1343" s="15" t="n">
        <v>20000</v>
      </c>
      <c r="I1343" s="6" t="inlineStr"/>
      <c r="J1343" s="6" t="n">
        <v>20000</v>
      </c>
      <c r="K1343" s="16" t="n">
        <v>26</v>
      </c>
      <c r="L1343" s="2" t="inlineStr">
        <is>
          <t>20260521000778</t>
        </is>
      </c>
      <c r="M1343" s="8">
        <f>HYPERLINK("https://dart.fss.or.kr/dsaf001/main.do?rcpNo=20260521000778", "공시열람")</f>
        <v/>
      </c>
    </row>
    <row r="1344" ht="22" customHeight="1">
      <c r="A1344" s="2" t="inlineStr">
        <is>
          <t>2026-05-21</t>
        </is>
      </c>
      <c r="B1344" s="3" t="inlineStr">
        <is>
          <t>하나마이크론</t>
        </is>
      </c>
      <c r="C1344" s="2" t="inlineStr">
        <is>
          <t>067310</t>
        </is>
      </c>
      <c r="D1344" s="2" t="inlineStr">
        <is>
          <t>대량보유</t>
        </is>
      </c>
      <c r="E1344" s="3" t="inlineStr">
        <is>
          <t>이병현</t>
        </is>
      </c>
      <c r="F1344" s="3" t="inlineStr">
        <is>
          <t>특별관계자</t>
        </is>
      </c>
      <c r="G1344" s="3" t="inlineStr">
        <is>
          <t>주식매수선택권부여(+)</t>
        </is>
      </c>
      <c r="H1344" s="15" t="n">
        <v>20000</v>
      </c>
      <c r="I1344" s="6" t="inlineStr"/>
      <c r="J1344" s="6" t="n">
        <v>20000</v>
      </c>
      <c r="K1344" s="16" t="n">
        <v>26</v>
      </c>
      <c r="L1344" s="2" t="inlineStr">
        <is>
          <t>20260521000778</t>
        </is>
      </c>
      <c r="M1344" s="8">
        <f>HYPERLINK("https://dart.fss.or.kr/dsaf001/main.do?rcpNo=20260521000778", "공시열람")</f>
        <v/>
      </c>
    </row>
    <row r="1345" ht="22" customHeight="1">
      <c r="A1345" s="2" t="inlineStr">
        <is>
          <t>2026-05-21</t>
        </is>
      </c>
      <c r="B1345" s="3" t="inlineStr">
        <is>
          <t>하나마이크론</t>
        </is>
      </c>
      <c r="C1345" s="2" t="inlineStr">
        <is>
          <t>067310</t>
        </is>
      </c>
      <c r="D1345" s="2" t="inlineStr">
        <is>
          <t>대량보유</t>
        </is>
      </c>
      <c r="E1345" s="3" t="inlineStr">
        <is>
          <t>이재진</t>
        </is>
      </c>
      <c r="F1345" s="3" t="inlineStr">
        <is>
          <t>특별관계자</t>
        </is>
      </c>
      <c r="G1345" s="3" t="inlineStr">
        <is>
          <t>주식매수선택권부여(+)</t>
        </is>
      </c>
      <c r="H1345" s="15" t="n">
        <v>15000</v>
      </c>
      <c r="I1345" s="6" t="inlineStr"/>
      <c r="J1345" s="6" t="n">
        <v>15000</v>
      </c>
      <c r="K1345" s="16" t="n">
        <v>26</v>
      </c>
      <c r="L1345" s="2" t="inlineStr">
        <is>
          <t>20260521000778</t>
        </is>
      </c>
      <c r="M1345" s="8">
        <f>HYPERLINK("https://dart.fss.or.kr/dsaf001/main.do?rcpNo=20260521000778", "공시열람")</f>
        <v/>
      </c>
    </row>
    <row r="1346" ht="22" customHeight="1">
      <c r="A1346" s="2" t="inlineStr">
        <is>
          <t>2026-05-21</t>
        </is>
      </c>
      <c r="B1346" s="3" t="inlineStr">
        <is>
          <t>하나마이크론</t>
        </is>
      </c>
      <c r="C1346" s="2" t="inlineStr">
        <is>
          <t>067310</t>
        </is>
      </c>
      <c r="D1346" s="2" t="inlineStr">
        <is>
          <t>대량보유</t>
        </is>
      </c>
      <c r="E1346" s="3" t="inlineStr">
        <is>
          <t>조병우</t>
        </is>
      </c>
      <c r="F1346" s="3" t="inlineStr">
        <is>
          <t>특별관계자</t>
        </is>
      </c>
      <c r="G1346" s="3" t="inlineStr">
        <is>
          <t>주식매수선택권부여(+)</t>
        </is>
      </c>
      <c r="H1346" s="15" t="n">
        <v>15000</v>
      </c>
      <c r="I1346" s="6" t="inlineStr"/>
      <c r="J1346" s="6" t="n">
        <v>15000</v>
      </c>
      <c r="K1346" s="16" t="n">
        <v>26</v>
      </c>
      <c r="L1346" s="2" t="inlineStr">
        <is>
          <t>20260521000778</t>
        </is>
      </c>
      <c r="M1346" s="8">
        <f>HYPERLINK("https://dart.fss.or.kr/dsaf001/main.do?rcpNo=20260521000778", "공시열람")</f>
        <v/>
      </c>
    </row>
    <row r="1347" ht="22" customHeight="1">
      <c r="A1347" s="2" t="inlineStr">
        <is>
          <t>2026-05-21</t>
        </is>
      </c>
      <c r="B1347" s="3" t="inlineStr">
        <is>
          <t>하나마이크론</t>
        </is>
      </c>
      <c r="C1347" s="2" t="inlineStr">
        <is>
          <t>067310</t>
        </is>
      </c>
      <c r="D1347" s="2" t="inlineStr">
        <is>
          <t>대량보유</t>
        </is>
      </c>
      <c r="E1347" s="3" t="inlineStr">
        <is>
          <t>홍진석</t>
        </is>
      </c>
      <c r="F1347" s="3" t="inlineStr">
        <is>
          <t>특별관계자</t>
        </is>
      </c>
      <c r="G1347" s="3" t="inlineStr">
        <is>
          <t>주식매수선택권부여(+)</t>
        </is>
      </c>
      <c r="H1347" s="15" t="n">
        <v>20000</v>
      </c>
      <c r="I1347" s="6" t="inlineStr"/>
      <c r="J1347" s="6" t="n">
        <v>20000</v>
      </c>
      <c r="K1347" s="16" t="n">
        <v>26</v>
      </c>
      <c r="L1347" s="2" t="inlineStr">
        <is>
          <t>20260521000778</t>
        </is>
      </c>
      <c r="M1347" s="8">
        <f>HYPERLINK("https://dart.fss.or.kr/dsaf001/main.do?rcpNo=20260521000778", "공시열람")</f>
        <v/>
      </c>
    </row>
    <row r="1348" ht="22" customHeight="1">
      <c r="A1348" s="2" t="inlineStr">
        <is>
          <t>2026-05-21</t>
        </is>
      </c>
      <c r="B1348" s="3" t="inlineStr">
        <is>
          <t>하나마이크론</t>
        </is>
      </c>
      <c r="C1348" s="2" t="inlineStr">
        <is>
          <t>067310</t>
        </is>
      </c>
      <c r="D1348" s="2" t="inlineStr">
        <is>
          <t>대량보유</t>
        </is>
      </c>
      <c r="E1348" s="3" t="inlineStr">
        <is>
          <t>견문수</t>
        </is>
      </c>
      <c r="F1348" s="3" t="inlineStr">
        <is>
          <t>특별관계자</t>
        </is>
      </c>
      <c r="G1348" s="3" t="inlineStr">
        <is>
          <t>주식매수선택권부여(+)</t>
        </is>
      </c>
      <c r="H1348" s="15" t="n">
        <v>20000</v>
      </c>
      <c r="I1348" s="6" t="inlineStr"/>
      <c r="J1348" s="6" t="n">
        <v>20000</v>
      </c>
      <c r="K1348" s="16" t="n">
        <v>26</v>
      </c>
      <c r="L1348" s="2" t="inlineStr">
        <is>
          <t>20260521000778</t>
        </is>
      </c>
      <c r="M1348" s="8">
        <f>HYPERLINK("https://dart.fss.or.kr/dsaf001/main.do?rcpNo=20260521000778", "공시열람")</f>
        <v/>
      </c>
    </row>
    <row r="1349" ht="22" customHeight="1">
      <c r="A1349" s="2" t="inlineStr">
        <is>
          <t>2026-05-21</t>
        </is>
      </c>
      <c r="B1349" s="3" t="inlineStr">
        <is>
          <t>하나마이크론</t>
        </is>
      </c>
      <c r="C1349" s="2" t="inlineStr">
        <is>
          <t>067310</t>
        </is>
      </c>
      <c r="D1349" s="2" t="inlineStr">
        <is>
          <t>대량보유</t>
        </is>
      </c>
      <c r="E1349" s="3" t="inlineStr">
        <is>
          <t>조형래</t>
        </is>
      </c>
      <c r="F1349" s="3" t="inlineStr">
        <is>
          <t>특별관계자</t>
        </is>
      </c>
      <c r="G1349" s="3" t="inlineStr">
        <is>
          <t>주식매수선택권부여(+)</t>
        </is>
      </c>
      <c r="H1349" s="15" t="n">
        <v>20000</v>
      </c>
      <c r="I1349" s="6" t="inlineStr"/>
      <c r="J1349" s="6" t="n">
        <v>20000</v>
      </c>
      <c r="K1349" s="16" t="n">
        <v>26</v>
      </c>
      <c r="L1349" s="2" t="inlineStr">
        <is>
          <t>20260521000778</t>
        </is>
      </c>
      <c r="M1349" s="8">
        <f>HYPERLINK("https://dart.fss.or.kr/dsaf001/main.do?rcpNo=20260521000778", "공시열람")</f>
        <v/>
      </c>
    </row>
    <row r="1350" ht="22" customHeight="1">
      <c r="A1350" s="2" t="inlineStr">
        <is>
          <t>2026-05-21</t>
        </is>
      </c>
      <c r="B1350" s="3" t="inlineStr">
        <is>
          <t>하나마이크론</t>
        </is>
      </c>
      <c r="C1350" s="2" t="inlineStr">
        <is>
          <t>067310</t>
        </is>
      </c>
      <c r="D1350" s="2" t="inlineStr">
        <is>
          <t>대량보유</t>
        </is>
      </c>
      <c r="E1350" s="3" t="inlineStr">
        <is>
          <t>황철민</t>
        </is>
      </c>
      <c r="F1350" s="3" t="inlineStr">
        <is>
          <t>특별관계자</t>
        </is>
      </c>
      <c r="G1350" s="3" t="inlineStr">
        <is>
          <t>주식매수선택권부여(+)</t>
        </is>
      </c>
      <c r="H1350" s="15" t="n">
        <v>15000</v>
      </c>
      <c r="I1350" s="6" t="inlineStr"/>
      <c r="J1350" s="6" t="n">
        <v>15000</v>
      </c>
      <c r="K1350" s="16" t="n">
        <v>26</v>
      </c>
      <c r="L1350" s="2" t="inlineStr">
        <is>
          <t>20260521000778</t>
        </is>
      </c>
      <c r="M1350" s="8">
        <f>HYPERLINK("https://dart.fss.or.kr/dsaf001/main.do?rcpNo=20260521000778", "공시열람")</f>
        <v/>
      </c>
    </row>
    <row r="1351" ht="22" customHeight="1">
      <c r="A1351" s="2" t="inlineStr">
        <is>
          <t>2026-05-21</t>
        </is>
      </c>
      <c r="B1351" s="3" t="inlineStr">
        <is>
          <t>하나마이크론</t>
        </is>
      </c>
      <c r="C1351" s="2" t="inlineStr">
        <is>
          <t>067310</t>
        </is>
      </c>
      <c r="D1351" s="2" t="inlineStr">
        <is>
          <t>대량보유</t>
        </is>
      </c>
      <c r="E1351" s="3" t="inlineStr">
        <is>
          <t>이경동</t>
        </is>
      </c>
      <c r="F1351" s="3" t="inlineStr">
        <is>
          <t>특별관계자</t>
        </is>
      </c>
      <c r="G1351" s="3" t="inlineStr">
        <is>
          <t>주식매수선택권부여(+)</t>
        </is>
      </c>
      <c r="H1351" s="15" t="n">
        <v>15000</v>
      </c>
      <c r="I1351" s="6" t="inlineStr"/>
      <c r="J1351" s="6" t="n">
        <v>15000</v>
      </c>
      <c r="K1351" s="16" t="n">
        <v>26</v>
      </c>
      <c r="L1351" s="2" t="inlineStr">
        <is>
          <t>20260521000778</t>
        </is>
      </c>
      <c r="M1351" s="8">
        <f>HYPERLINK("https://dart.fss.or.kr/dsaf001/main.do?rcpNo=20260521000778", "공시열람")</f>
        <v/>
      </c>
    </row>
    <row r="1352" ht="22" customHeight="1">
      <c r="A1352" s="2" t="inlineStr">
        <is>
          <t>2026-05-21</t>
        </is>
      </c>
      <c r="B1352" s="3" t="inlineStr">
        <is>
          <t>하나마이크론</t>
        </is>
      </c>
      <c r="C1352" s="2" t="inlineStr">
        <is>
          <t>067310</t>
        </is>
      </c>
      <c r="D1352" s="2" t="inlineStr">
        <is>
          <t>대량보유</t>
        </is>
      </c>
      <c r="E1352" s="3" t="inlineStr">
        <is>
          <t>이종원</t>
        </is>
      </c>
      <c r="F1352" s="3" t="inlineStr">
        <is>
          <t>특별관계자</t>
        </is>
      </c>
      <c r="G1352" s="3" t="inlineStr">
        <is>
          <t>주식매수선택권부여(+)</t>
        </is>
      </c>
      <c r="H1352" s="15" t="n">
        <v>20000</v>
      </c>
      <c r="I1352" s="6" t="inlineStr"/>
      <c r="J1352" s="6" t="n">
        <v>20000</v>
      </c>
      <c r="K1352" s="16" t="n">
        <v>26</v>
      </c>
      <c r="L1352" s="2" t="inlineStr">
        <is>
          <t>20260521000778</t>
        </is>
      </c>
      <c r="M1352" s="8">
        <f>HYPERLINK("https://dart.fss.or.kr/dsaf001/main.do?rcpNo=20260521000778", "공시열람")</f>
        <v/>
      </c>
    </row>
    <row r="1353" ht="22" customHeight="1">
      <c r="A1353" s="2" t="inlineStr">
        <is>
          <t>2026-05-21</t>
        </is>
      </c>
      <c r="B1353" s="3" t="inlineStr">
        <is>
          <t>모바일어플라이언스</t>
        </is>
      </c>
      <c r="C1353" s="2" t="inlineStr">
        <is>
          <t>087260</t>
        </is>
      </c>
      <c r="D1353" s="2" t="inlineStr">
        <is>
          <t>대량보유</t>
        </is>
      </c>
      <c r="E1353" s="3" t="inlineStr">
        <is>
          <t>이재신</t>
        </is>
      </c>
      <c r="F1353" s="3" t="inlineStr">
        <is>
          <t>특별관계자</t>
        </is>
      </c>
      <c r="G1353" s="3" t="inlineStr">
        <is>
          <t>기존 최대주주의 반대매매에 따른 지분감소로 최대주주 변경</t>
        </is>
      </c>
      <c r="H1353" s="6" t="inlineStr"/>
      <c r="I1353" s="6" t="inlineStr"/>
      <c r="J1353" s="6" t="n">
        <v>2324140</v>
      </c>
      <c r="K1353" s="16" t="n">
        <v>7.14</v>
      </c>
      <c r="L1353" s="2" t="inlineStr">
        <is>
          <t>20260521000761</t>
        </is>
      </c>
      <c r="M1353" s="8">
        <f>HYPERLINK("https://dart.fss.or.kr/dsaf001/main.do?rcpNo=20260521000761", "공시열람")</f>
        <v/>
      </c>
    </row>
    <row r="1354" ht="22" customHeight="1">
      <c r="A1354" s="2" t="inlineStr">
        <is>
          <t>2026-05-21</t>
        </is>
      </c>
      <c r="B1354" s="3" t="inlineStr">
        <is>
          <t>아이티엠반도체</t>
        </is>
      </c>
      <c r="C1354" s="2" t="inlineStr">
        <is>
          <t>084850</t>
        </is>
      </c>
      <c r="D1354" s="2" t="inlineStr">
        <is>
          <t>대량보유</t>
        </is>
      </c>
      <c r="E1354" s="3" t="inlineStr">
        <is>
          <t>서울전자통신㈜</t>
        </is>
      </c>
      <c r="F1354" s="3" t="inlineStr">
        <is>
          <t>특별관계자</t>
        </is>
      </c>
      <c r="G1354" s="3" t="inlineStr">
        <is>
          <t>특별관계해소(-)</t>
        </is>
      </c>
      <c r="H1354" s="17" t="n">
        <v>-429583</v>
      </c>
      <c r="I1354" s="6" t="inlineStr"/>
      <c r="J1354" s="6" t="inlineStr"/>
      <c r="K1354" s="16" t="n">
        <v>14</v>
      </c>
      <c r="L1354" s="2" t="inlineStr">
        <is>
          <t>20260521000751</t>
        </is>
      </c>
      <c r="M1354" s="8">
        <f>HYPERLINK("https://dart.fss.or.kr/dsaf001/main.do?rcpNo=20260521000751", "공시열람")</f>
        <v/>
      </c>
    </row>
    <row r="1355" ht="22" customHeight="1">
      <c r="A1355" s="2" t="inlineStr">
        <is>
          <t>2026-05-21 (정정: 2026-06-16)</t>
        </is>
      </c>
      <c r="B1355" s="3" t="inlineStr">
        <is>
          <t>서울전자통신</t>
        </is>
      </c>
      <c r="C1355" s="2" t="inlineStr">
        <is>
          <t>027040</t>
        </is>
      </c>
      <c r="D1355" s="2" t="inlineStr">
        <is>
          <t>대량보유</t>
        </is>
      </c>
      <c r="E1355" s="3" t="inlineStr">
        <is>
          <t>-</t>
        </is>
      </c>
      <c r="F1355" s="3" t="inlineStr">
        <is>
          <t>보고자</t>
        </is>
      </c>
      <c r="G1355" s="3" t="inlineStr">
        <is>
          <t>-</t>
        </is>
      </c>
      <c r="H1355" s="6" t="inlineStr"/>
      <c r="I1355" s="6" t="inlineStr"/>
      <c r="J1355" s="6" t="inlineStr"/>
      <c r="K1355" s="18" t="inlineStr"/>
      <c r="L1355" s="2" t="inlineStr">
        <is>
          <t>20260616900636</t>
        </is>
      </c>
      <c r="M1355" s="8">
        <f>HYPERLINK("https://dart.fss.or.kr/dsaf001/main.do?rcpNo=20260616900636", "공시열람")</f>
        <v/>
      </c>
    </row>
    <row r="1356" ht="22" customHeight="1">
      <c r="A1356" s="2" t="inlineStr">
        <is>
          <t>2026-05-21</t>
        </is>
      </c>
      <c r="B1356" s="3" t="inlineStr">
        <is>
          <t>오로라</t>
        </is>
      </c>
      <c r="C1356" s="2" t="inlineStr">
        <is>
          <t>039830</t>
        </is>
      </c>
      <c r="D1356" s="2" t="inlineStr">
        <is>
          <t>대량보유</t>
        </is>
      </c>
      <c r="E1356" s="3" t="inlineStr">
        <is>
          <t>지브이에이자산운용(주)</t>
        </is>
      </c>
      <c r="F1356" s="3" t="inlineStr">
        <is>
          <t>특별관계자</t>
        </is>
      </c>
      <c r="G1356" s="3" t="inlineStr">
        <is>
          <t>장내매수(+), 기타(+), 장내매도(-)</t>
        </is>
      </c>
      <c r="H1356" s="15" t="n">
        <v>570356</v>
      </c>
      <c r="I1356" s="6" t="n">
        <v>16066</v>
      </c>
      <c r="J1356" s="6" t="n">
        <v>570356</v>
      </c>
      <c r="K1356" s="16" t="n">
        <v>5.3</v>
      </c>
      <c r="L1356" s="2" t="inlineStr">
        <is>
          <t>20260521000739</t>
        </is>
      </c>
      <c r="M1356" s="8">
        <f>HYPERLINK("https://dart.fss.or.kr/dsaf001/main.do?rcpNo=20260521000739", "공시열람")</f>
        <v/>
      </c>
    </row>
    <row r="1357" ht="22" customHeight="1">
      <c r="A1357" s="2" t="inlineStr">
        <is>
          <t>2026-05-21</t>
        </is>
      </c>
      <c r="B1357" s="3" t="inlineStr">
        <is>
          <t>한중엔시에스</t>
        </is>
      </c>
      <c r="C1357" s="2" t="inlineStr">
        <is>
          <t>107640</t>
        </is>
      </c>
      <c r="D1357" s="2" t="inlineStr">
        <is>
          <t>대량보유</t>
        </is>
      </c>
      <c r="E1357" s="3" t="inlineStr">
        <is>
          <t>김환식</t>
        </is>
      </c>
      <c r="F1357" s="3" t="inlineStr">
        <is>
          <t>보고자</t>
        </is>
      </c>
      <c r="G1357" s="3" t="inlineStr">
        <is>
          <t>- 담보계약 연장- 특별관계자 보유주식 담보(공탁) 계약</t>
        </is>
      </c>
      <c r="H1357" s="6" t="inlineStr"/>
      <c r="I1357" s="6" t="inlineStr"/>
      <c r="J1357" s="6" t="n">
        <v>3215300</v>
      </c>
      <c r="K1357" s="16" t="n">
        <v>8</v>
      </c>
      <c r="L1357" s="2" t="inlineStr">
        <is>
          <t>20260521000711</t>
        </is>
      </c>
      <c r="M1357" s="8">
        <f>HYPERLINK("https://dart.fss.or.kr/dsaf001/main.do?rcpNo=20260521000711", "공시열람")</f>
        <v/>
      </c>
    </row>
    <row r="1358" ht="22" customHeight="1">
      <c r="A1358" s="2" t="inlineStr">
        <is>
          <t>2026-05-21 (정정: 2026-05-22)</t>
        </is>
      </c>
      <c r="B1358" s="3" t="inlineStr">
        <is>
          <t>젬백스</t>
        </is>
      </c>
      <c r="C1358" s="2" t="inlineStr">
        <is>
          <t>082270</t>
        </is>
      </c>
      <c r="D1358" s="2" t="inlineStr">
        <is>
          <t>대량보유</t>
        </is>
      </c>
      <c r="E1358" s="3" t="inlineStr">
        <is>
          <t>-</t>
        </is>
      </c>
      <c r="F1358" s="3" t="inlineStr">
        <is>
          <t>보고자</t>
        </is>
      </c>
      <c r="G1358" s="3" t="inlineStr">
        <is>
          <t>-</t>
        </is>
      </c>
      <c r="H1358" s="6" t="inlineStr"/>
      <c r="I1358" s="6" t="inlineStr"/>
      <c r="J1358" s="6" t="inlineStr"/>
      <c r="K1358" s="18" t="inlineStr"/>
      <c r="L1358" s="2" t="inlineStr">
        <is>
          <t>20260522900736</t>
        </is>
      </c>
      <c r="M1358" s="8">
        <f>HYPERLINK("https://dart.fss.or.kr/dsaf001/main.do?rcpNo=20260522900736", "공시열람")</f>
        <v/>
      </c>
    </row>
    <row r="1359" ht="22" customHeight="1">
      <c r="A1359" s="2" t="inlineStr">
        <is>
          <t>2026-05-21</t>
        </is>
      </c>
      <c r="B1359" s="3" t="inlineStr">
        <is>
          <t>DB손해보험</t>
        </is>
      </c>
      <c r="C1359" s="2" t="inlineStr">
        <is>
          <t>005830</t>
        </is>
      </c>
      <c r="D1359" s="2" t="inlineStr">
        <is>
          <t>임원보고</t>
        </is>
      </c>
      <c r="E1359" s="3" t="inlineStr">
        <is>
          <t>-</t>
        </is>
      </c>
      <c r="F1359" s="3" t="inlineStr">
        <is>
          <t>-</t>
        </is>
      </c>
      <c r="G1359" s="3" t="inlineStr">
        <is>
          <t>-</t>
        </is>
      </c>
      <c r="H1359" s="6" t="inlineStr"/>
      <c r="I1359" s="6" t="inlineStr"/>
      <c r="J1359" s="6" t="inlineStr"/>
      <c r="K1359" s="16" t="n">
        <v>12</v>
      </c>
      <c r="L1359" s="2" t="inlineStr">
        <is>
          <t>20260521800887</t>
        </is>
      </c>
      <c r="M1359" s="8">
        <f>HYPERLINK("https://dart.fss.or.kr/dsaf001/main.do?rcpNo=20260521800887", "공시열람")</f>
        <v/>
      </c>
    </row>
    <row r="1360" ht="22" customHeight="1">
      <c r="A1360" s="2" t="inlineStr">
        <is>
          <t>2026-05-21</t>
        </is>
      </c>
      <c r="B1360" s="3" t="inlineStr">
        <is>
          <t>DB증권</t>
        </is>
      </c>
      <c r="C1360" s="2" t="inlineStr">
        <is>
          <t>016610</t>
        </is>
      </c>
      <c r="D1360" s="2" t="inlineStr">
        <is>
          <t>임원보고</t>
        </is>
      </c>
      <c r="E1360" s="3" t="inlineStr">
        <is>
          <t>-</t>
        </is>
      </c>
      <c r="F1360" s="3" t="inlineStr">
        <is>
          <t>-</t>
        </is>
      </c>
      <c r="G1360" s="3" t="inlineStr">
        <is>
          <t>-</t>
        </is>
      </c>
      <c r="H1360" s="6" t="inlineStr"/>
      <c r="I1360" s="6" t="inlineStr"/>
      <c r="J1360" s="6" t="inlineStr"/>
      <c r="K1360" s="16" t="n">
        <v>12</v>
      </c>
      <c r="L1360" s="2" t="inlineStr">
        <is>
          <t>20260521800879</t>
        </is>
      </c>
      <c r="M1360" s="8">
        <f>HYPERLINK("https://dart.fss.or.kr/dsaf001/main.do?rcpNo=20260521800879", "공시열람")</f>
        <v/>
      </c>
    </row>
    <row r="1361" ht="22" customHeight="1">
      <c r="A1361" s="2" t="inlineStr">
        <is>
          <t>2026-05-21</t>
        </is>
      </c>
      <c r="B1361" s="3" t="inlineStr">
        <is>
          <t>로킷헬스케어</t>
        </is>
      </c>
      <c r="C1361" s="2" t="inlineStr">
        <is>
          <t>376900</t>
        </is>
      </c>
      <c r="D1361" s="2" t="inlineStr">
        <is>
          <t>대량보유</t>
        </is>
      </c>
      <c r="E1361" s="3" t="inlineStr">
        <is>
          <t>유석환</t>
        </is>
      </c>
      <c r="F1361" s="3" t="inlineStr">
        <is>
          <t>특별관계자</t>
        </is>
      </c>
      <c r="G1361" s="3" t="inlineStr">
        <is>
          <t>신규상장(무상취득)(+)</t>
        </is>
      </c>
      <c r="H1361" s="6" t="inlineStr"/>
      <c r="I1361" s="6" t="inlineStr"/>
      <c r="J1361" s="6" t="n">
        <v>3786624</v>
      </c>
      <c r="K1361" s="16" t="n">
        <v>7</v>
      </c>
      <c r="L1361" s="2" t="inlineStr">
        <is>
          <t>20260521000680</t>
        </is>
      </c>
      <c r="M1361" s="8">
        <f>HYPERLINK("https://dart.fss.or.kr/dsaf001/main.do?rcpNo=20260521000680", "공시열람")</f>
        <v/>
      </c>
    </row>
    <row r="1362" ht="22" customHeight="1">
      <c r="A1362" s="2" t="inlineStr">
        <is>
          <t>2026-05-21</t>
        </is>
      </c>
      <c r="B1362" s="3" t="inlineStr">
        <is>
          <t>로킷헬스케어</t>
        </is>
      </c>
      <c r="C1362" s="2" t="inlineStr">
        <is>
          <t>376900</t>
        </is>
      </c>
      <c r="D1362" s="2" t="inlineStr">
        <is>
          <t>대량보유</t>
        </is>
      </c>
      <c r="E1362" s="3" t="inlineStr">
        <is>
          <t>김대영</t>
        </is>
      </c>
      <c r="F1362" s="3" t="inlineStr">
        <is>
          <t>특별관계자</t>
        </is>
      </c>
      <c r="G1362" s="3" t="inlineStr">
        <is>
          <t>신규상장(무상취득)(+)</t>
        </is>
      </c>
      <c r="H1362" s="6" t="inlineStr"/>
      <c r="I1362" s="6" t="inlineStr"/>
      <c r="J1362" s="6" t="n">
        <v>15000</v>
      </c>
      <c r="K1362" s="16" t="n">
        <v>7</v>
      </c>
      <c r="L1362" s="2" t="inlineStr">
        <is>
          <t>20260521000680</t>
        </is>
      </c>
      <c r="M1362" s="8">
        <f>HYPERLINK("https://dart.fss.or.kr/dsaf001/main.do?rcpNo=20260521000680", "공시열람")</f>
        <v/>
      </c>
    </row>
    <row r="1363" ht="22" customHeight="1">
      <c r="A1363" s="2" t="inlineStr">
        <is>
          <t>2026-05-21</t>
        </is>
      </c>
      <c r="B1363" s="3" t="inlineStr">
        <is>
          <t>로킷헬스케어</t>
        </is>
      </c>
      <c r="C1363" s="2" t="inlineStr">
        <is>
          <t>376900</t>
        </is>
      </c>
      <c r="D1363" s="2" t="inlineStr">
        <is>
          <t>대량보유</t>
        </is>
      </c>
      <c r="E1363" s="3" t="inlineStr">
        <is>
          <t>이민구</t>
        </is>
      </c>
      <c r="F1363" s="3" t="inlineStr">
        <is>
          <t>특별관계자</t>
        </is>
      </c>
      <c r="G1363" s="3" t="inlineStr">
        <is>
          <t>주식매수선택권행사(+), 주식매수선택권부여취소(-), 주식매수선택권부여(+), 주식매수선택권행사(-)</t>
        </is>
      </c>
      <c r="H1363" s="15" t="n">
        <v>1500</v>
      </c>
      <c r="I1363" s="6" t="inlineStr"/>
      <c r="J1363" s="6" t="n">
        <v>-2500</v>
      </c>
      <c r="K1363" s="16" t="n">
        <v>7</v>
      </c>
      <c r="L1363" s="2" t="inlineStr">
        <is>
          <t>20260521000680</t>
        </is>
      </c>
      <c r="M1363" s="8">
        <f>HYPERLINK("https://dart.fss.or.kr/dsaf001/main.do?rcpNo=20260521000680", "공시열람")</f>
        <v/>
      </c>
    </row>
    <row r="1364" ht="22" customHeight="1">
      <c r="A1364" s="2" t="inlineStr">
        <is>
          <t>2026-05-21</t>
        </is>
      </c>
      <c r="B1364" s="3" t="inlineStr">
        <is>
          <t>로킷헬스케어</t>
        </is>
      </c>
      <c r="C1364" s="2" t="inlineStr">
        <is>
          <t>376900</t>
        </is>
      </c>
      <c r="D1364" s="2" t="inlineStr">
        <is>
          <t>대량보유</t>
        </is>
      </c>
      <c r="E1364" s="3" t="inlineStr">
        <is>
          <t>이상민</t>
        </is>
      </c>
      <c r="F1364" s="3" t="inlineStr">
        <is>
          <t>특별관계자</t>
        </is>
      </c>
      <c r="G1364" s="3" t="inlineStr">
        <is>
          <t>신규상장(무상취득)(+)</t>
        </is>
      </c>
      <c r="H1364" s="6" t="inlineStr"/>
      <c r="I1364" s="6" t="inlineStr"/>
      <c r="J1364" s="6" t="n">
        <v>10000</v>
      </c>
      <c r="K1364" s="16" t="n">
        <v>7</v>
      </c>
      <c r="L1364" s="2" t="inlineStr">
        <is>
          <t>20260521000680</t>
        </is>
      </c>
      <c r="M1364" s="8">
        <f>HYPERLINK("https://dart.fss.or.kr/dsaf001/main.do?rcpNo=20260521000680", "공시열람")</f>
        <v/>
      </c>
    </row>
    <row r="1365" ht="22" customHeight="1">
      <c r="A1365" s="2" t="inlineStr">
        <is>
          <t>2026-05-21</t>
        </is>
      </c>
      <c r="B1365" s="3" t="inlineStr">
        <is>
          <t>로킷헬스케어</t>
        </is>
      </c>
      <c r="C1365" s="2" t="inlineStr">
        <is>
          <t>376900</t>
        </is>
      </c>
      <c r="D1365" s="2" t="inlineStr">
        <is>
          <t>대량보유</t>
        </is>
      </c>
      <c r="E1365" s="3" t="inlineStr">
        <is>
          <t>이영일</t>
        </is>
      </c>
      <c r="F1365" s="3" t="inlineStr">
        <is>
          <t>특별관계자</t>
        </is>
      </c>
      <c r="G1365" s="3" t="inlineStr">
        <is>
          <t>신규상장(무상취득)(+), 주식매수선택권부여(+)</t>
        </is>
      </c>
      <c r="H1365" s="15" t="n">
        <v>20000</v>
      </c>
      <c r="I1365" s="6" t="inlineStr"/>
      <c r="J1365" s="6" t="n">
        <v>10000</v>
      </c>
      <c r="K1365" s="16" t="n">
        <v>7</v>
      </c>
      <c r="L1365" s="2" t="inlineStr">
        <is>
          <t>20260521000680</t>
        </is>
      </c>
      <c r="M1365" s="8">
        <f>HYPERLINK("https://dart.fss.or.kr/dsaf001/main.do?rcpNo=20260521000680", "공시열람")</f>
        <v/>
      </c>
    </row>
    <row r="1366" ht="22" customHeight="1">
      <c r="A1366" s="2" t="inlineStr">
        <is>
          <t>2026-05-21</t>
        </is>
      </c>
      <c r="B1366" s="3" t="inlineStr">
        <is>
          <t>로킷헬스케어</t>
        </is>
      </c>
      <c r="C1366" s="2" t="inlineStr">
        <is>
          <t>376900</t>
        </is>
      </c>
      <c r="D1366" s="2" t="inlineStr">
        <is>
          <t>대량보유</t>
        </is>
      </c>
      <c r="E1366" s="3" t="inlineStr">
        <is>
          <t>길윤기</t>
        </is>
      </c>
      <c r="F1366" s="3" t="inlineStr">
        <is>
          <t>특별관계자</t>
        </is>
      </c>
      <c r="G1366" s="3" t="inlineStr">
        <is>
          <t>주식매수선택권행사(+), 주식매수선택권부여취소(-), 주식매수선택권행사(-)</t>
        </is>
      </c>
      <c r="H1366" s="17" t="n">
        <v>-20000</v>
      </c>
      <c r="I1366" s="6" t="inlineStr"/>
      <c r="J1366" s="6" t="n">
        <v>-2500</v>
      </c>
      <c r="K1366" s="16" t="n">
        <v>7</v>
      </c>
      <c r="L1366" s="2" t="inlineStr">
        <is>
          <t>20260521000680</t>
        </is>
      </c>
      <c r="M1366" s="8">
        <f>HYPERLINK("https://dart.fss.or.kr/dsaf001/main.do?rcpNo=20260521000680", "공시열람")</f>
        <v/>
      </c>
    </row>
    <row r="1367" ht="22" customHeight="1">
      <c r="A1367" s="2" t="inlineStr">
        <is>
          <t>2026-05-21</t>
        </is>
      </c>
      <c r="B1367" s="3" t="inlineStr">
        <is>
          <t>로킷헬스케어</t>
        </is>
      </c>
      <c r="C1367" s="2" t="inlineStr">
        <is>
          <t>376900</t>
        </is>
      </c>
      <c r="D1367" s="2" t="inlineStr">
        <is>
          <t>대량보유</t>
        </is>
      </c>
      <c r="E1367" s="3" t="inlineStr">
        <is>
          <t>김재윤</t>
        </is>
      </c>
      <c r="F1367" s="3" t="inlineStr">
        <is>
          <t>특별관계자</t>
        </is>
      </c>
      <c r="G1367" s="3" t="inlineStr">
        <is>
          <t>임원퇴임(-)</t>
        </is>
      </c>
      <c r="H1367" s="17" t="n">
        <v>-36950</v>
      </c>
      <c r="I1367" s="6" t="inlineStr"/>
      <c r="J1367" s="6" t="inlineStr"/>
      <c r="K1367" s="16" t="n">
        <v>7</v>
      </c>
      <c r="L1367" s="2" t="inlineStr">
        <is>
          <t>20260521000680</t>
        </is>
      </c>
      <c r="M1367" s="8">
        <f>HYPERLINK("https://dart.fss.or.kr/dsaf001/main.do?rcpNo=20260521000680", "공시열람")</f>
        <v/>
      </c>
    </row>
    <row r="1368" ht="22" customHeight="1">
      <c r="A1368" s="2" t="inlineStr">
        <is>
          <t>2026-05-21</t>
        </is>
      </c>
      <c r="B1368" s="3" t="inlineStr">
        <is>
          <t>로킷헬스케어</t>
        </is>
      </c>
      <c r="C1368" s="2" t="inlineStr">
        <is>
          <t>376900</t>
        </is>
      </c>
      <c r="D1368" s="2" t="inlineStr">
        <is>
          <t>대량보유</t>
        </is>
      </c>
      <c r="E1368" s="3" t="inlineStr">
        <is>
          <t>이용규</t>
        </is>
      </c>
      <c r="F1368" s="3" t="inlineStr">
        <is>
          <t>특별관계자</t>
        </is>
      </c>
      <c r="G1368" s="3" t="inlineStr">
        <is>
          <t>주식매수선택권부여(+)</t>
        </is>
      </c>
      <c r="H1368" s="15" t="n">
        <v>10000</v>
      </c>
      <c r="I1368" s="6" t="inlineStr"/>
      <c r="J1368" s="6" t="n">
        <v>105000</v>
      </c>
      <c r="K1368" s="16" t="n">
        <v>7</v>
      </c>
      <c r="L1368" s="2" t="inlineStr">
        <is>
          <t>20260521000680</t>
        </is>
      </c>
      <c r="M1368" s="8">
        <f>HYPERLINK("https://dart.fss.or.kr/dsaf001/main.do?rcpNo=20260521000680", "공시열람")</f>
        <v/>
      </c>
    </row>
    <row r="1369" ht="22" customHeight="1">
      <c r="A1369" s="2" t="inlineStr">
        <is>
          <t>2026-05-21</t>
        </is>
      </c>
      <c r="B1369" s="3" t="inlineStr">
        <is>
          <t>로킷헬스케어</t>
        </is>
      </c>
      <c r="C1369" s="2" t="inlineStr">
        <is>
          <t>376900</t>
        </is>
      </c>
      <c r="D1369" s="2" t="inlineStr">
        <is>
          <t>대량보유</t>
        </is>
      </c>
      <c r="E1369" s="3" t="inlineStr">
        <is>
          <t>정철화</t>
        </is>
      </c>
      <c r="F1369" s="3" t="inlineStr">
        <is>
          <t>특별관계자</t>
        </is>
      </c>
      <c r="G1369" s="3" t="inlineStr">
        <is>
          <t>신규보고(+)</t>
        </is>
      </c>
      <c r="H1369" s="15" t="n">
        <v>6000</v>
      </c>
      <c r="I1369" s="6" t="inlineStr"/>
      <c r="J1369" s="6" t="n">
        <v>6000</v>
      </c>
      <c r="K1369" s="16" t="n">
        <v>7</v>
      </c>
      <c r="L1369" s="2" t="inlineStr">
        <is>
          <t>20260521000680</t>
        </is>
      </c>
      <c r="M1369" s="8">
        <f>HYPERLINK("https://dart.fss.or.kr/dsaf001/main.do?rcpNo=20260521000680", "공시열람")</f>
        <v/>
      </c>
    </row>
    <row r="1370" ht="22" customHeight="1">
      <c r="A1370" s="2" t="inlineStr">
        <is>
          <t>2026-05-21</t>
        </is>
      </c>
      <c r="B1370" s="3" t="inlineStr">
        <is>
          <t>DB증권</t>
        </is>
      </c>
      <c r="C1370" s="2" t="inlineStr">
        <is>
          <t>016610</t>
        </is>
      </c>
      <c r="D1370" s="2" t="inlineStr">
        <is>
          <t>대량보유</t>
        </is>
      </c>
      <c r="E1370" s="3" t="inlineStr">
        <is>
          <t>신해철</t>
        </is>
      </c>
      <c r="F1370" s="3" t="inlineStr">
        <is>
          <t>특별관계자</t>
        </is>
      </c>
      <c r="G1370" s="3" t="inlineStr">
        <is>
          <t>특별관계해소(-)</t>
        </is>
      </c>
      <c r="H1370" s="17" t="n">
        <v>-200</v>
      </c>
      <c r="I1370" s="6" t="inlineStr"/>
      <c r="J1370" s="6" t="inlineStr"/>
      <c r="K1370" s="16" t="n">
        <v>14</v>
      </c>
      <c r="L1370" s="2" t="inlineStr">
        <is>
          <t>20260521000678</t>
        </is>
      </c>
      <c r="M1370" s="8">
        <f>HYPERLINK("https://dart.fss.or.kr/dsaf001/main.do?rcpNo=20260521000678", "공시열람")</f>
        <v/>
      </c>
    </row>
    <row r="1371" ht="22" customHeight="1">
      <c r="A1371" s="2" t="inlineStr">
        <is>
          <t>2026-05-21</t>
        </is>
      </c>
      <c r="B1371" s="3" t="inlineStr">
        <is>
          <t>모바일어플라이언스</t>
        </is>
      </c>
      <c r="C1371" s="2" t="inlineStr">
        <is>
          <t>087260</t>
        </is>
      </c>
      <c r="D1371" s="2" t="inlineStr">
        <is>
          <t>대량보유</t>
        </is>
      </c>
      <c r="E1371" s="3" t="inlineStr">
        <is>
          <t>주식회사대광</t>
        </is>
      </c>
      <c r="F1371" s="3" t="inlineStr">
        <is>
          <t>특별관계자</t>
        </is>
      </c>
      <c r="G1371" s="3" t="inlineStr">
        <is>
          <t>장내매도(-)</t>
        </is>
      </c>
      <c r="H1371" s="17" t="n">
        <v>-2588210</v>
      </c>
      <c r="I1371" s="6" t="n">
        <v>1634</v>
      </c>
      <c r="J1371" s="6" t="n">
        <v>898000</v>
      </c>
      <c r="K1371" s="16" t="n">
        <v>2.76</v>
      </c>
      <c r="L1371" s="2" t="inlineStr">
        <is>
          <t>20260521000677</t>
        </is>
      </c>
      <c r="M1371" s="8">
        <f>HYPERLINK("https://dart.fss.or.kr/dsaf001/main.do?rcpNo=20260521000677", "공시열람")</f>
        <v/>
      </c>
    </row>
    <row r="1372" ht="22" customHeight="1">
      <c r="A1372" s="2" t="inlineStr">
        <is>
          <t>2026-05-21</t>
        </is>
      </c>
      <c r="B1372" s="3" t="inlineStr">
        <is>
          <t>뉴로메카</t>
        </is>
      </c>
      <c r="C1372" s="2" t="inlineStr">
        <is>
          <t>348340</t>
        </is>
      </c>
      <c r="D1372" s="2" t="inlineStr">
        <is>
          <t>대량보유</t>
        </is>
      </c>
      <c r="E1372" s="3" t="inlineStr">
        <is>
          <t>미래에셋자산운용</t>
        </is>
      </c>
      <c r="F1372" s="3" t="inlineStr">
        <is>
          <t>특별관계자</t>
        </is>
      </c>
      <c r="G1372" s="3" t="inlineStr">
        <is>
          <t>신규보고(+), 기타(+)</t>
        </is>
      </c>
      <c r="H1372" s="15" t="n">
        <v>626808</v>
      </c>
      <c r="I1372" s="6" t="n">
        <v>1247</v>
      </c>
      <c r="J1372" s="6" t="n">
        <v>626808</v>
      </c>
      <c r="K1372" s="16" t="n">
        <v>5.07</v>
      </c>
      <c r="L1372" s="2" t="inlineStr">
        <is>
          <t>20260521000654</t>
        </is>
      </c>
      <c r="M1372" s="8">
        <f>HYPERLINK("https://dart.fss.or.kr/dsaf001/main.do?rcpNo=20260521000654", "공시열람")</f>
        <v/>
      </c>
    </row>
    <row r="1373" ht="22" customHeight="1">
      <c r="A1373" s="2" t="inlineStr">
        <is>
          <t>2026-05-21 (정정: 2026-05-21)</t>
        </is>
      </c>
      <c r="B1373" s="3" t="inlineStr">
        <is>
          <t>한솔테크닉스</t>
        </is>
      </c>
      <c r="C1373" s="2" t="inlineStr">
        <is>
          <t>004710</t>
        </is>
      </c>
      <c r="D1373" s="2" t="inlineStr">
        <is>
          <t>대량보유</t>
        </is>
      </c>
      <c r="E1373" s="3" t="inlineStr">
        <is>
          <t>-</t>
        </is>
      </c>
      <c r="F1373" s="3" t="inlineStr">
        <is>
          <t>보고자</t>
        </is>
      </c>
      <c r="G1373" s="3" t="inlineStr">
        <is>
          <t>-</t>
        </is>
      </c>
      <c r="H1373" s="6" t="inlineStr"/>
      <c r="I1373" s="6" t="inlineStr"/>
      <c r="J1373" s="6" t="inlineStr"/>
      <c r="K1373" s="18" t="inlineStr"/>
      <c r="L1373" s="2" t="inlineStr">
        <is>
          <t>20260521000584</t>
        </is>
      </c>
      <c r="M1373" s="8">
        <f>HYPERLINK("https://dart.fss.or.kr/dsaf001/main.do?rcpNo=20260521000584", "공시열람")</f>
        <v/>
      </c>
    </row>
    <row r="1374" ht="22" customHeight="1">
      <c r="A1374" s="2" t="inlineStr">
        <is>
          <t>2026-05-21</t>
        </is>
      </c>
      <c r="B1374" s="3" t="inlineStr">
        <is>
          <t>GST</t>
        </is>
      </c>
      <c r="C1374" s="2" t="inlineStr">
        <is>
          <t>083450</t>
        </is>
      </c>
      <c r="D1374" s="2" t="inlineStr">
        <is>
          <t>대량보유</t>
        </is>
      </c>
      <c r="E1374" s="3" t="inlineStr">
        <is>
          <t>이순창</t>
        </is>
      </c>
      <c r="F1374" s="3" t="inlineStr">
        <is>
          <t>특별관계자</t>
        </is>
      </c>
      <c r="G1374" s="3" t="inlineStr">
        <is>
          <t>장내매수(+)</t>
        </is>
      </c>
      <c r="H1374" s="15" t="n">
        <v>330</v>
      </c>
      <c r="I1374" s="6" t="n">
        <v>58900</v>
      </c>
      <c r="J1374" s="6" t="n">
        <v>330</v>
      </c>
      <c r="K1374" s="16" t="n">
        <v>6</v>
      </c>
      <c r="L1374" s="2" t="inlineStr">
        <is>
          <t>20260521000646</t>
        </is>
      </c>
      <c r="M1374" s="8">
        <f>HYPERLINK("https://dart.fss.or.kr/dsaf001/main.do?rcpNo=20260521000646", "공시열람")</f>
        <v/>
      </c>
    </row>
    <row r="1375" ht="22" customHeight="1">
      <c r="A1375" s="2" t="inlineStr">
        <is>
          <t>2026-05-21</t>
        </is>
      </c>
      <c r="B1375" s="3" t="inlineStr">
        <is>
          <t>모바일어플라이언스</t>
        </is>
      </c>
      <c r="C1375" s="2" t="inlineStr">
        <is>
          <t>087260</t>
        </is>
      </c>
      <c r="D1375" s="2" t="inlineStr">
        <is>
          <t>대량보유</t>
        </is>
      </c>
      <c r="E1375" s="3" t="inlineStr">
        <is>
          <t>주식회사대광</t>
        </is>
      </c>
      <c r="F1375" s="3" t="inlineStr">
        <is>
          <t>특별관계자</t>
        </is>
      </c>
      <c r="G1375" s="3" t="inlineStr">
        <is>
          <t>주식담보대출 계약 체결</t>
        </is>
      </c>
      <c r="H1375" s="6" t="inlineStr"/>
      <c r="I1375" s="6" t="inlineStr"/>
      <c r="J1375" s="6" t="inlineStr"/>
      <c r="K1375" s="16" t="n">
        <v>10.71</v>
      </c>
      <c r="L1375" s="2" t="inlineStr">
        <is>
          <t>20260521000643</t>
        </is>
      </c>
      <c r="M1375" s="8">
        <f>HYPERLINK("https://dart.fss.or.kr/dsaf001/main.do?rcpNo=20260521000643", "공시열람")</f>
        <v/>
      </c>
    </row>
    <row r="1376" ht="22" customHeight="1">
      <c r="A1376" s="2" t="inlineStr">
        <is>
          <t>2026-05-21 (정정: 2026-05-22)</t>
        </is>
      </c>
      <c r="B1376" s="3" t="inlineStr">
        <is>
          <t>DB손해보험</t>
        </is>
      </c>
      <c r="C1376" s="2" t="inlineStr">
        <is>
          <t>005830</t>
        </is>
      </c>
      <c r="D1376" s="2" t="inlineStr">
        <is>
          <t>대량보유</t>
        </is>
      </c>
      <c r="E1376" s="3" t="inlineStr">
        <is>
          <t>-</t>
        </is>
      </c>
      <c r="F1376" s="3" t="inlineStr">
        <is>
          <t>보고자</t>
        </is>
      </c>
      <c r="G1376" s="3" t="inlineStr">
        <is>
          <t>-</t>
        </is>
      </c>
      <c r="H1376" s="6" t="inlineStr"/>
      <c r="I1376" s="6" t="inlineStr"/>
      <c r="J1376" s="6" t="inlineStr"/>
      <c r="K1376" s="18" t="inlineStr"/>
      <c r="L1376" s="2" t="inlineStr">
        <is>
          <t>20260522800441</t>
        </is>
      </c>
      <c r="M1376" s="8">
        <f>HYPERLINK("https://dart.fss.or.kr/dsaf001/main.do?rcpNo=20260522800441", "공시열람")</f>
        <v/>
      </c>
    </row>
    <row r="1377" ht="22" customHeight="1">
      <c r="A1377" s="2" t="inlineStr">
        <is>
          <t>2026-05-21</t>
        </is>
      </c>
      <c r="B1377" s="3" t="inlineStr">
        <is>
          <t>서연</t>
        </is>
      </c>
      <c r="C1377" s="2" t="inlineStr">
        <is>
          <t>007860</t>
        </is>
      </c>
      <c r="D1377" s="2" t="inlineStr">
        <is>
          <t>임원보고</t>
        </is>
      </c>
      <c r="E1377" s="3" t="inlineStr">
        <is>
          <t>-</t>
        </is>
      </c>
      <c r="F1377" s="3" t="inlineStr">
        <is>
          <t>-</t>
        </is>
      </c>
      <c r="G1377" s="3" t="inlineStr">
        <is>
          <t>-</t>
        </is>
      </c>
      <c r="H1377" s="6" t="inlineStr"/>
      <c r="I1377" s="6" t="inlineStr"/>
      <c r="J1377" s="6" t="inlineStr"/>
      <c r="K1377" s="16" t="n">
        <v>12</v>
      </c>
      <c r="L1377" s="2" t="inlineStr">
        <is>
          <t>20260521800794</t>
        </is>
      </c>
      <c r="M1377" s="8">
        <f>HYPERLINK("https://dart.fss.or.kr/dsaf001/main.do?rcpNo=20260521800794", "공시열람")</f>
        <v/>
      </c>
    </row>
    <row r="1378" ht="22" customHeight="1">
      <c r="A1378" s="2" t="inlineStr">
        <is>
          <t>2026-05-21</t>
        </is>
      </c>
      <c r="B1378" s="3" t="inlineStr">
        <is>
          <t>서연</t>
        </is>
      </c>
      <c r="C1378" s="2" t="inlineStr">
        <is>
          <t>007860</t>
        </is>
      </c>
      <c r="D1378" s="2" t="inlineStr">
        <is>
          <t>대량보유</t>
        </is>
      </c>
      <c r="E1378" s="3" t="inlineStr">
        <is>
          <t>박성정</t>
        </is>
      </c>
      <c r="F1378" s="3" t="inlineStr">
        <is>
          <t>특별관계자</t>
        </is>
      </c>
      <c r="G1378" s="3" t="inlineStr">
        <is>
          <t>장내매수(+)</t>
        </is>
      </c>
      <c r="H1378" s="15" t="n">
        <v>56479</v>
      </c>
      <c r="I1378" s="6" t="n">
        <v>9097</v>
      </c>
      <c r="J1378" s="6" t="n">
        <v>240000</v>
      </c>
      <c r="K1378" s="16" t="n">
        <v>5</v>
      </c>
      <c r="L1378" s="2" t="inlineStr">
        <is>
          <t>20260521000618</t>
        </is>
      </c>
      <c r="M1378" s="8">
        <f>HYPERLINK("https://dart.fss.or.kr/dsaf001/main.do?rcpNo=20260521000618", "공시열람")</f>
        <v/>
      </c>
    </row>
    <row r="1379" ht="22" customHeight="1">
      <c r="A1379" s="2" t="inlineStr">
        <is>
          <t>2026-05-21</t>
        </is>
      </c>
      <c r="B1379" s="3" t="inlineStr">
        <is>
          <t>제주항공</t>
        </is>
      </c>
      <c r="C1379" s="2" t="inlineStr">
        <is>
          <t>089590</t>
        </is>
      </c>
      <c r="D1379" s="2" t="inlineStr">
        <is>
          <t>대량보유</t>
        </is>
      </c>
      <c r="E1379" s="3" t="inlineStr">
        <is>
          <t>에이케이홀딩스(주)</t>
        </is>
      </c>
      <c r="F1379" s="3" t="inlineStr">
        <is>
          <t>보고자</t>
        </is>
      </c>
      <c r="G1379" s="3" t="inlineStr">
        <is>
          <t>- 특별관계자 보유주식등에 관한 계약(담보계약) 변경</t>
        </is>
      </c>
      <c r="H1379" s="6" t="inlineStr"/>
      <c r="I1379" s="6" t="inlineStr"/>
      <c r="J1379" s="6" t="n">
        <v>43245552</v>
      </c>
      <c r="K1379" s="16" t="n">
        <v>5</v>
      </c>
      <c r="L1379" s="2" t="inlineStr">
        <is>
          <t>20260521000586</t>
        </is>
      </c>
      <c r="M1379" s="8">
        <f>HYPERLINK("https://dart.fss.or.kr/dsaf001/main.do?rcpNo=20260521000586", "공시열람")</f>
        <v/>
      </c>
    </row>
    <row r="1380" ht="22" customHeight="1">
      <c r="A1380" s="2" t="inlineStr">
        <is>
          <t>2026-05-21</t>
        </is>
      </c>
      <c r="B1380" s="3" t="inlineStr">
        <is>
          <t>휴맥스홀딩스</t>
        </is>
      </c>
      <c r="C1380" s="2" t="inlineStr">
        <is>
          <t>028080</t>
        </is>
      </c>
      <c r="D1380" s="2" t="inlineStr">
        <is>
          <t>대량보유</t>
        </is>
      </c>
      <c r="E1380" s="3" t="inlineStr">
        <is>
          <t>유한책임회사에스오큐알아이</t>
        </is>
      </c>
      <c r="F1380" s="3" t="inlineStr">
        <is>
          <t>특별관계자</t>
        </is>
      </c>
      <c r="G1380" s="3" t="inlineStr">
        <is>
          <t>행사가액조정, 주식병합, 전환등(-), 전환사채의권리행사(+)</t>
        </is>
      </c>
      <c r="H1380" s="17" t="n">
        <v>-874584</v>
      </c>
      <c r="I1380" s="6" t="inlineStr"/>
      <c r="J1380" s="6" t="n">
        <v>244584</v>
      </c>
      <c r="K1380" s="16" t="n">
        <v>1</v>
      </c>
      <c r="L1380" s="2" t="inlineStr">
        <is>
          <t>20260521000573</t>
        </is>
      </c>
      <c r="M1380" s="8">
        <f>HYPERLINK("https://dart.fss.or.kr/dsaf001/main.do?rcpNo=20260521000573", "공시열람")</f>
        <v/>
      </c>
    </row>
    <row r="1381" ht="22" customHeight="1">
      <c r="A1381" s="2" t="inlineStr">
        <is>
          <t>2026-05-21</t>
        </is>
      </c>
      <c r="B1381" s="3" t="inlineStr">
        <is>
          <t>에스에스알</t>
        </is>
      </c>
      <c r="C1381" s="2" t="inlineStr">
        <is>
          <t>275630</t>
        </is>
      </c>
      <c r="D1381" s="2" t="inlineStr">
        <is>
          <t>대량보유</t>
        </is>
      </c>
      <c r="E1381" s="3" t="inlineStr">
        <is>
          <t>(주)지란지교시큐리티</t>
        </is>
      </c>
      <c r="F1381" s="3" t="inlineStr">
        <is>
          <t>특별관계자</t>
        </is>
      </c>
      <c r="G1381" s="3" t="inlineStr">
        <is>
          <t>장내매수(+)</t>
        </is>
      </c>
      <c r="H1381" s="15" t="n">
        <v>9000</v>
      </c>
      <c r="I1381" s="6" t="n">
        <v>4118</v>
      </c>
      <c r="J1381" s="6" t="n">
        <v>2478356</v>
      </c>
      <c r="K1381" s="16" t="n">
        <v>1</v>
      </c>
      <c r="L1381" s="2" t="inlineStr">
        <is>
          <t>20260521000568</t>
        </is>
      </c>
      <c r="M1381" s="8">
        <f>HYPERLINK("https://dart.fss.or.kr/dsaf001/main.do?rcpNo=20260521000568", "공시열람")</f>
        <v/>
      </c>
    </row>
    <row r="1382" ht="22" customHeight="1">
      <c r="A1382" s="2" t="inlineStr">
        <is>
          <t>2026-05-21</t>
        </is>
      </c>
      <c r="B1382" s="3" t="inlineStr">
        <is>
          <t>강원에너지</t>
        </is>
      </c>
      <c r="C1382" s="2" t="inlineStr">
        <is>
          <t>114190</t>
        </is>
      </c>
      <c r="D1382" s="2" t="inlineStr">
        <is>
          <t>대량보유</t>
        </is>
      </c>
      <c r="E1382" s="3" t="inlineStr">
        <is>
          <t>(주)평산파트너스</t>
        </is>
      </c>
      <c r="F1382" s="3" t="inlineStr">
        <is>
          <t>보고자</t>
        </is>
      </c>
      <c r="G1382" s="3" t="inlineStr">
        <is>
          <t>주식 담보대출 계약의 체결 및 변경</t>
        </is>
      </c>
      <c r="H1382" s="6" t="inlineStr"/>
      <c r="I1382" s="6" t="inlineStr"/>
      <c r="J1382" s="6" t="n">
        <v>12321159</v>
      </c>
      <c r="K1382" s="16" t="n">
        <v>2</v>
      </c>
      <c r="L1382" s="2" t="inlineStr">
        <is>
          <t>20260521000564</t>
        </is>
      </c>
      <c r="M1382" s="8">
        <f>HYPERLINK("https://dart.fss.or.kr/dsaf001/main.do?rcpNo=20260521000564", "공시열람")</f>
        <v/>
      </c>
    </row>
    <row r="1383" ht="22" customHeight="1">
      <c r="A1383" s="2" t="inlineStr">
        <is>
          <t>2026-05-21</t>
        </is>
      </c>
      <c r="B1383" s="3" t="inlineStr">
        <is>
          <t>한솔테크닉스</t>
        </is>
      </c>
      <c r="C1383" s="2" t="inlineStr">
        <is>
          <t>004710</t>
        </is>
      </c>
      <c r="D1383" s="2" t="inlineStr">
        <is>
          <t>대량보유</t>
        </is>
      </c>
      <c r="E1383" s="3" t="inlineStr">
        <is>
          <t>한솔홀딩스</t>
        </is>
      </c>
      <c r="F1383" s="3" t="inlineStr">
        <is>
          <t>특별관계자</t>
        </is>
      </c>
      <c r="G1383" s="3" t="inlineStr">
        <is>
          <t>제3자배정유상증자(+)</t>
        </is>
      </c>
      <c r="H1383" s="15" t="n">
        <v>9212000</v>
      </c>
      <c r="I1383" s="6" t="n">
        <v>4885</v>
      </c>
      <c r="J1383" s="6" t="n">
        <v>15718088</v>
      </c>
      <c r="K1383" s="16" t="n">
        <v>4</v>
      </c>
      <c r="L1383" s="2" t="inlineStr">
        <is>
          <t>20260521000556</t>
        </is>
      </c>
      <c r="M1383" s="8">
        <f>HYPERLINK("https://dart.fss.or.kr/dsaf001/main.do?rcpNo=20260521000556", "공시열람")</f>
        <v/>
      </c>
    </row>
    <row r="1384" ht="22" customHeight="1">
      <c r="A1384" s="2" t="inlineStr">
        <is>
          <t>2026-05-21</t>
        </is>
      </c>
      <c r="B1384" s="3" t="inlineStr">
        <is>
          <t>효성화학</t>
        </is>
      </c>
      <c r="C1384" s="2" t="inlineStr">
        <is>
          <t>298000</t>
        </is>
      </c>
      <c r="D1384" s="2" t="inlineStr">
        <is>
          <t>대량보유</t>
        </is>
      </c>
      <c r="E1384" s="3" t="inlineStr">
        <is>
          <t>(주)효성</t>
        </is>
      </c>
      <c r="F1384" s="3" t="inlineStr">
        <is>
          <t>특별관계자</t>
        </is>
      </c>
      <c r="G1384" s="3" t="inlineStr">
        <is>
          <t>CB인수(+)</t>
        </is>
      </c>
      <c r="H1384" s="15" t="n">
        <v>2570694</v>
      </c>
      <c r="I1384" s="6" t="n">
        <v>38900</v>
      </c>
      <c r="J1384" s="6" t="n">
        <v>3815860</v>
      </c>
      <c r="K1384" s="16" t="n">
        <v>6</v>
      </c>
      <c r="L1384" s="2" t="inlineStr">
        <is>
          <t>20260521000553</t>
        </is>
      </c>
      <c r="M1384" s="8">
        <f>HYPERLINK("https://dart.fss.or.kr/dsaf001/main.do?rcpNo=20260521000553", "공시열람")</f>
        <v/>
      </c>
    </row>
    <row r="1385" ht="22" customHeight="1">
      <c r="A1385" s="2" t="inlineStr">
        <is>
          <t>2026-05-21</t>
        </is>
      </c>
      <c r="B1385" s="3" t="inlineStr">
        <is>
          <t>일동홀딩스</t>
        </is>
      </c>
      <c r="C1385" s="2" t="inlineStr">
        <is>
          <t>000230</t>
        </is>
      </c>
      <c r="D1385" s="2" t="inlineStr">
        <is>
          <t>대량보유</t>
        </is>
      </c>
      <c r="E1385" s="3" t="inlineStr">
        <is>
          <t>윤원영</t>
        </is>
      </c>
      <c r="F1385" s="3" t="inlineStr">
        <is>
          <t>보고자</t>
        </is>
      </c>
      <c r="G1385" s="3" t="inlineStr">
        <is>
          <t>담보계약 변경</t>
        </is>
      </c>
      <c r="H1385" s="6" t="inlineStr"/>
      <c r="I1385" s="6" t="inlineStr"/>
      <c r="J1385" s="6" t="n">
        <v>5374926</v>
      </c>
      <c r="K1385" s="16" t="n">
        <v>12</v>
      </c>
      <c r="L1385" s="2" t="inlineStr">
        <is>
          <t>20260521000529</t>
        </is>
      </c>
      <c r="M1385" s="8">
        <f>HYPERLINK("https://dart.fss.or.kr/dsaf001/main.do?rcpNo=20260521000529", "공시열람")</f>
        <v/>
      </c>
    </row>
    <row r="1386" ht="22" customHeight="1">
      <c r="A1386" s="2" t="inlineStr">
        <is>
          <t>2026-05-21</t>
        </is>
      </c>
      <c r="B1386" s="3" t="inlineStr">
        <is>
          <t>파인엠텍</t>
        </is>
      </c>
      <c r="C1386" s="2" t="inlineStr">
        <is>
          <t>441270</t>
        </is>
      </c>
      <c r="D1386" s="2" t="inlineStr">
        <is>
          <t>대량보유</t>
        </is>
      </c>
      <c r="E1386" s="3" t="inlineStr">
        <is>
          <t>홍성천</t>
        </is>
      </c>
      <c r="F1386" s="3" t="inlineStr">
        <is>
          <t>보고자</t>
        </is>
      </c>
      <c r="G1386" s="3" t="inlineStr">
        <is>
          <t>보고자 및 특별관계자의 주식담보대출 계약사항 일부 변경</t>
        </is>
      </c>
      <c r="H1386" s="6" t="inlineStr"/>
      <c r="I1386" s="6" t="inlineStr"/>
      <c r="J1386" s="6" t="n">
        <v>11533785</v>
      </c>
      <c r="K1386" s="16" t="n">
        <v>21</v>
      </c>
      <c r="L1386" s="2" t="inlineStr">
        <is>
          <t>20260521000527</t>
        </is>
      </c>
      <c r="M1386" s="8">
        <f>HYPERLINK("https://dart.fss.or.kr/dsaf001/main.do?rcpNo=20260521000527", "공시열람")</f>
        <v/>
      </c>
    </row>
    <row r="1387" ht="22" customHeight="1">
      <c r="A1387" s="2" t="inlineStr">
        <is>
          <t>2026-05-21 (정정: 2026-05-21)</t>
        </is>
      </c>
      <c r="B1387" s="3" t="inlineStr">
        <is>
          <t>하이브</t>
        </is>
      </c>
      <c r="C1387" s="2" t="inlineStr">
        <is>
          <t>352820</t>
        </is>
      </c>
      <c r="D1387" s="2" t="inlineStr">
        <is>
          <t>대량보유</t>
        </is>
      </c>
      <c r="E1387" s="3" t="inlineStr">
        <is>
          <t>이다혜</t>
        </is>
      </c>
      <c r="F1387" s="3" t="inlineStr">
        <is>
          <t>특별관계자</t>
        </is>
      </c>
      <c r="G1387" s="3" t="inlineStr">
        <is>
          <t>장내매도(-)</t>
        </is>
      </c>
      <c r="H1387" s="17" t="n">
        <v>-1935</v>
      </c>
      <c r="I1387" s="6" t="n">
        <v>337566</v>
      </c>
      <c r="J1387" s="6" t="n">
        <v>1400</v>
      </c>
      <c r="K1387" s="16" t="n">
        <v>12</v>
      </c>
      <c r="L1387" s="2" t="inlineStr">
        <is>
          <t>20260521000471</t>
        </is>
      </c>
      <c r="M1387" s="8">
        <f>HYPERLINK("https://dart.fss.or.kr/dsaf001/main.do?rcpNo=20260521000471", "공시열람")</f>
        <v/>
      </c>
    </row>
    <row r="1388" ht="22" customHeight="1">
      <c r="A1388" s="2" t="inlineStr">
        <is>
          <t>2026-05-21 (정정: 2026-05-21)</t>
        </is>
      </c>
      <c r="B1388" s="3" t="inlineStr">
        <is>
          <t>하이브</t>
        </is>
      </c>
      <c r="C1388" s="2" t="inlineStr">
        <is>
          <t>352820</t>
        </is>
      </c>
      <c r="D1388" s="2" t="inlineStr">
        <is>
          <t>대량보유</t>
        </is>
      </c>
      <c r="E1388" s="3" t="inlineStr">
        <is>
          <t>이가준</t>
        </is>
      </c>
      <c r="F1388" s="3" t="inlineStr">
        <is>
          <t>특별관계자</t>
        </is>
      </c>
      <c r="G1388" s="3" t="inlineStr">
        <is>
          <t>장내매도(-)</t>
        </is>
      </c>
      <c r="H1388" s="17" t="n">
        <v>-210</v>
      </c>
      <c r="I1388" s="6" t="n">
        <v>351000</v>
      </c>
      <c r="J1388" s="6" t="n">
        <v>1392</v>
      </c>
      <c r="K1388" s="16" t="n">
        <v>12</v>
      </c>
      <c r="L1388" s="2" t="inlineStr">
        <is>
          <t>20260521000471</t>
        </is>
      </c>
      <c r="M1388" s="8">
        <f>HYPERLINK("https://dart.fss.or.kr/dsaf001/main.do?rcpNo=20260521000471", "공시열람")</f>
        <v/>
      </c>
    </row>
    <row r="1389" ht="22" customHeight="1">
      <c r="A1389" s="2" t="inlineStr">
        <is>
          <t>2026-05-21 (정정: 2026-05-21)</t>
        </is>
      </c>
      <c r="B1389" s="3" t="inlineStr">
        <is>
          <t>하이브</t>
        </is>
      </c>
      <c r="C1389" s="2" t="inlineStr">
        <is>
          <t>352820</t>
        </is>
      </c>
      <c r="D1389" s="2" t="inlineStr">
        <is>
          <t>대량보유</t>
        </is>
      </c>
      <c r="E1389" s="3" t="inlineStr">
        <is>
          <t>이재상</t>
        </is>
      </c>
      <c r="F1389" s="3" t="inlineStr">
        <is>
          <t>특별관계자</t>
        </is>
      </c>
      <c r="G1389" s="3" t="inlineStr">
        <is>
          <t>주식매수선택권부여취소(-), 기타(+)</t>
        </is>
      </c>
      <c r="H1389" s="17" t="n">
        <v>-12363</v>
      </c>
      <c r="I1389" s="6" t="inlineStr"/>
      <c r="J1389" s="6" t="n">
        <v>3379</v>
      </c>
      <c r="K1389" s="16" t="n">
        <v>12</v>
      </c>
      <c r="L1389" s="2" t="inlineStr">
        <is>
          <t>20260521000471</t>
        </is>
      </c>
      <c r="M1389" s="8">
        <f>HYPERLINK("https://dart.fss.or.kr/dsaf001/main.do?rcpNo=20260521000471", "공시열람")</f>
        <v/>
      </c>
    </row>
    <row r="1390" ht="22" customHeight="1">
      <c r="A1390" s="2" t="inlineStr">
        <is>
          <t>2026-05-21 (정정: 2026-05-21)</t>
        </is>
      </c>
      <c r="B1390" s="3" t="inlineStr">
        <is>
          <t>하이브</t>
        </is>
      </c>
      <c r="C1390" s="2" t="inlineStr">
        <is>
          <t>352820</t>
        </is>
      </c>
      <c r="D1390" s="2" t="inlineStr">
        <is>
          <t>대량보유</t>
        </is>
      </c>
      <c r="E1390" s="3" t="inlineStr">
        <is>
          <t>이경준</t>
        </is>
      </c>
      <c r="F1390" s="3" t="inlineStr">
        <is>
          <t>특별관계자</t>
        </is>
      </c>
      <c r="G1390" s="3" t="inlineStr">
        <is>
          <t>주식매수선택권부여취소(-), 기타(+)</t>
        </is>
      </c>
      <c r="H1390" s="17" t="n">
        <v>-12363</v>
      </c>
      <c r="I1390" s="6" t="inlineStr"/>
      <c r="J1390" s="6" t="n">
        <v>3379</v>
      </c>
      <c r="K1390" s="16" t="n">
        <v>12</v>
      </c>
      <c r="L1390" s="2" t="inlineStr">
        <is>
          <t>20260521000471</t>
        </is>
      </c>
      <c r="M1390" s="8">
        <f>HYPERLINK("https://dart.fss.or.kr/dsaf001/main.do?rcpNo=20260521000471", "공시열람")</f>
        <v/>
      </c>
    </row>
    <row r="1391" ht="22" customHeight="1">
      <c r="A1391" s="2" t="inlineStr">
        <is>
          <t>2026-05-21 (정정: 2026-05-21)</t>
        </is>
      </c>
      <c r="B1391" s="3" t="inlineStr">
        <is>
          <t>하이브</t>
        </is>
      </c>
      <c r="C1391" s="2" t="inlineStr">
        <is>
          <t>352820</t>
        </is>
      </c>
      <c r="D1391" s="2" t="inlineStr">
        <is>
          <t>대량보유</t>
        </is>
      </c>
      <c r="E1391" s="3" t="inlineStr">
        <is>
          <t>정진수</t>
        </is>
      </c>
      <c r="F1391" s="3" t="inlineStr">
        <is>
          <t>특별관계자</t>
        </is>
      </c>
      <c r="G1391" s="3" t="inlineStr">
        <is>
          <t>주식매수선택권부여취소(-), 기타(+)</t>
        </is>
      </c>
      <c r="H1391" s="17" t="n">
        <v>-19455</v>
      </c>
      <c r="I1391" s="6" t="inlineStr"/>
      <c r="J1391" s="6" t="n">
        <v>8515</v>
      </c>
      <c r="K1391" s="16" t="n">
        <v>12</v>
      </c>
      <c r="L1391" s="2" t="inlineStr">
        <is>
          <t>20260521000471</t>
        </is>
      </c>
      <c r="M1391" s="8">
        <f>HYPERLINK("https://dart.fss.or.kr/dsaf001/main.do?rcpNo=20260521000471", "공시열람")</f>
        <v/>
      </c>
    </row>
    <row r="1392" ht="22" customHeight="1">
      <c r="A1392" s="2" t="inlineStr">
        <is>
          <t>2026-05-21 (정정: 2026-05-21)</t>
        </is>
      </c>
      <c r="B1392" s="3" t="inlineStr">
        <is>
          <t>하이브</t>
        </is>
      </c>
      <c r="C1392" s="2" t="inlineStr">
        <is>
          <t>352820</t>
        </is>
      </c>
      <c r="D1392" s="2" t="inlineStr">
        <is>
          <t>대량보유</t>
        </is>
      </c>
      <c r="E1392" s="3" t="inlineStr">
        <is>
          <t>노형우</t>
        </is>
      </c>
      <c r="F1392" s="3" t="inlineStr">
        <is>
          <t>특별관계자</t>
        </is>
      </c>
      <c r="G1392" s="3" t="inlineStr">
        <is>
          <t>임원퇴임(-)</t>
        </is>
      </c>
      <c r="H1392" s="17" t="n">
        <v>-5025</v>
      </c>
      <c r="I1392" s="6" t="inlineStr"/>
      <c r="J1392" s="6" t="inlineStr"/>
      <c r="K1392" s="16" t="n">
        <v>12</v>
      </c>
      <c r="L1392" s="2" t="inlineStr">
        <is>
          <t>20260521000471</t>
        </is>
      </c>
      <c r="M1392" s="8">
        <f>HYPERLINK("https://dart.fss.or.kr/dsaf001/main.do?rcpNo=20260521000471", "공시열람")</f>
        <v/>
      </c>
    </row>
    <row r="1393" ht="22" customHeight="1">
      <c r="A1393" s="2" t="inlineStr">
        <is>
          <t>2026-05-21 (정정: 2026-05-21)</t>
        </is>
      </c>
      <c r="B1393" s="3" t="inlineStr">
        <is>
          <t>하이브</t>
        </is>
      </c>
      <c r="C1393" s="2" t="inlineStr">
        <is>
          <t>352820</t>
        </is>
      </c>
      <c r="D1393" s="2" t="inlineStr">
        <is>
          <t>대량보유</t>
        </is>
      </c>
      <c r="E1393" s="3" t="inlineStr">
        <is>
          <t>넷마블(주)</t>
        </is>
      </c>
      <c r="F1393" s="3" t="inlineStr">
        <is>
          <t>특별관계자</t>
        </is>
      </c>
      <c r="G1393" s="3" t="inlineStr">
        <is>
          <t>시간외매매(-)</t>
        </is>
      </c>
      <c r="H1393" s="17" t="n">
        <v>-1760000</v>
      </c>
      <c r="I1393" s="6" t="n">
        <v>364500</v>
      </c>
      <c r="J1393" s="6" t="n">
        <v>3050813</v>
      </c>
      <c r="K1393" s="16" t="n">
        <v>12</v>
      </c>
      <c r="L1393" s="2" t="inlineStr">
        <is>
          <t>20260521000471</t>
        </is>
      </c>
      <c r="M1393" s="8">
        <f>HYPERLINK("https://dart.fss.or.kr/dsaf001/main.do?rcpNo=20260521000471", "공시열람")</f>
        <v/>
      </c>
    </row>
    <row r="1394" ht="22" customHeight="1">
      <c r="A1394" s="2" t="inlineStr">
        <is>
          <t>2026-05-21</t>
        </is>
      </c>
      <c r="B1394" s="3" t="inlineStr">
        <is>
          <t>경남제약</t>
        </is>
      </c>
      <c r="C1394" s="2" t="inlineStr">
        <is>
          <t>053950</t>
        </is>
      </c>
      <c r="D1394" s="2" t="inlineStr">
        <is>
          <t>대량보유</t>
        </is>
      </c>
      <c r="E1394" s="3" t="inlineStr">
        <is>
          <t>미니쉬테크놀로지(주)</t>
        </is>
      </c>
      <c r="F1394" s="3" t="inlineStr">
        <is>
          <t>특별관계자</t>
        </is>
      </c>
      <c r="G1394" s="3" t="inlineStr">
        <is>
          <t>주식근질권설정계약의 연장</t>
        </is>
      </c>
      <c r="H1394" s="17" t="n">
        <v>-11361176</v>
      </c>
      <c r="I1394" s="6" t="inlineStr"/>
      <c r="J1394" s="6" t="n">
        <v>2840294</v>
      </c>
      <c r="K1394" s="16" t="n">
        <v>18.17</v>
      </c>
      <c r="L1394" s="2" t="inlineStr">
        <is>
          <t>20260521000478</t>
        </is>
      </c>
      <c r="M1394" s="8">
        <f>HYPERLINK("https://dart.fss.or.kr/dsaf001/main.do?rcpNo=20260521000478", "공시열람")</f>
        <v/>
      </c>
    </row>
    <row r="1395" ht="22" customHeight="1">
      <c r="A1395" s="2" t="inlineStr">
        <is>
          <t>2026-05-21</t>
        </is>
      </c>
      <c r="B1395" s="3" t="inlineStr">
        <is>
          <t>한솔홈데코</t>
        </is>
      </c>
      <c r="C1395" s="2" t="inlineStr">
        <is>
          <t>025750</t>
        </is>
      </c>
      <c r="D1395" s="2" t="inlineStr">
        <is>
          <t>대량보유</t>
        </is>
      </c>
      <c r="E1395" s="3" t="inlineStr">
        <is>
          <t>이승훈</t>
        </is>
      </c>
      <c r="F1395" s="3" t="inlineStr">
        <is>
          <t>특별관계자</t>
        </is>
      </c>
      <c r="G1395" s="3" t="inlineStr">
        <is>
          <t>임원퇴임(-)</t>
        </is>
      </c>
      <c r="H1395" s="17" t="n">
        <v>-4000</v>
      </c>
      <c r="I1395" s="6" t="inlineStr"/>
      <c r="J1395" s="6" t="inlineStr"/>
      <c r="K1395" s="16" t="n">
        <v>6</v>
      </c>
      <c r="L1395" s="2" t="inlineStr">
        <is>
          <t>20260521000464</t>
        </is>
      </c>
      <c r="M1395" s="8">
        <f>HYPERLINK("https://dart.fss.or.kr/dsaf001/main.do?rcpNo=20260521000464", "공시열람")</f>
        <v/>
      </c>
    </row>
    <row r="1396" ht="22" customHeight="1">
      <c r="A1396" s="2" t="inlineStr">
        <is>
          <t>2026-05-21</t>
        </is>
      </c>
      <c r="B1396" s="3" t="inlineStr">
        <is>
          <t>프로텍</t>
        </is>
      </c>
      <c r="C1396" s="2" t="inlineStr">
        <is>
          <t>053610</t>
        </is>
      </c>
      <c r="D1396" s="2" t="inlineStr">
        <is>
          <t>대량보유</t>
        </is>
      </c>
      <c r="E1396" s="3" t="inlineStr">
        <is>
          <t>(주)브이아이피자산운용</t>
        </is>
      </c>
      <c r="F1396" s="3" t="inlineStr">
        <is>
          <t>특별관계자</t>
        </is>
      </c>
      <c r="G1396" s="3" t="inlineStr">
        <is>
          <t>장내매수(+), 장내매도(-)</t>
        </is>
      </c>
      <c r="H1396" s="15" t="n">
        <v>63287</v>
      </c>
      <c r="I1396" s="6" t="n">
        <v>87151</v>
      </c>
      <c r="J1396" s="6" t="n">
        <v>589668</v>
      </c>
      <c r="K1396" s="16" t="n">
        <v>6.55</v>
      </c>
      <c r="L1396" s="2" t="inlineStr">
        <is>
          <t>20260521000461</t>
        </is>
      </c>
      <c r="M1396" s="8">
        <f>HYPERLINK("https://dart.fss.or.kr/dsaf001/main.do?rcpNo=20260521000461", "공시열람")</f>
        <v/>
      </c>
    </row>
    <row r="1397" ht="22" customHeight="1">
      <c r="A1397" s="2" t="inlineStr">
        <is>
          <t>2026-05-21</t>
        </is>
      </c>
      <c r="B1397" s="3" t="inlineStr">
        <is>
          <t>시너지이노베이션</t>
        </is>
      </c>
      <c r="C1397" s="2" t="inlineStr">
        <is>
          <t>048870</t>
        </is>
      </c>
      <c r="D1397" s="2" t="inlineStr">
        <is>
          <t>대량보유</t>
        </is>
      </c>
      <c r="E1397" s="3" t="inlineStr">
        <is>
          <t>시너지파트너스(주)</t>
        </is>
      </c>
      <c r="F1397" s="3" t="inlineStr">
        <is>
          <t>보고자</t>
        </is>
      </c>
      <c r="G1397" s="3" t="inlineStr">
        <is>
          <t>주식담보대출 신규 실행</t>
        </is>
      </c>
      <c r="H1397" s="6" t="inlineStr"/>
      <c r="I1397" s="6" t="inlineStr"/>
      <c r="J1397" s="6" t="n">
        <v>33714960</v>
      </c>
      <c r="K1397" s="16" t="n">
        <v>2</v>
      </c>
      <c r="L1397" s="2" t="inlineStr">
        <is>
          <t>20260521000448</t>
        </is>
      </c>
      <c r="M1397" s="8">
        <f>HYPERLINK("https://dart.fss.or.kr/dsaf001/main.do?rcpNo=20260521000448", "공시열람")</f>
        <v/>
      </c>
    </row>
    <row r="1398" ht="22" customHeight="1">
      <c r="A1398" s="2" t="inlineStr">
        <is>
          <t>2026-05-21</t>
        </is>
      </c>
      <c r="B1398" s="3" t="inlineStr">
        <is>
          <t>하이젠알앤엠</t>
        </is>
      </c>
      <c r="C1398" s="2" t="inlineStr">
        <is>
          <t>160190</t>
        </is>
      </c>
      <c r="D1398" s="2" t="inlineStr">
        <is>
          <t>대량보유</t>
        </is>
      </c>
      <c r="E1398" s="3" t="inlineStr">
        <is>
          <t>일신방직(주)</t>
        </is>
      </c>
      <c r="F1398" s="3" t="inlineStr">
        <is>
          <t>특별관계자</t>
        </is>
      </c>
      <c r="G1398" s="3" t="inlineStr">
        <is>
          <t>시간외매매(-)</t>
        </is>
      </c>
      <c r="H1398" s="17" t="n">
        <v>-500000</v>
      </c>
      <c r="I1398" s="6" t="n">
        <v>33836</v>
      </c>
      <c r="J1398" s="6" t="n">
        <v>7000000</v>
      </c>
      <c r="K1398" s="16" t="n">
        <v>22.66</v>
      </c>
      <c r="L1398" s="2" t="inlineStr">
        <is>
          <t>20260521000369</t>
        </is>
      </c>
      <c r="M1398" s="8">
        <f>HYPERLINK("https://dart.fss.or.kr/dsaf001/main.do?rcpNo=20260521000369", "공시열람")</f>
        <v/>
      </c>
    </row>
    <row r="1399" ht="22" customHeight="1">
      <c r="A1399" s="2" t="inlineStr">
        <is>
          <t>2026-05-21 (정정: 2026-06-02)</t>
        </is>
      </c>
      <c r="B1399" s="3" t="inlineStr">
        <is>
          <t>아이로보틱스</t>
        </is>
      </c>
      <c r="C1399" s="2" t="inlineStr">
        <is>
          <t>066430</t>
        </is>
      </c>
      <c r="D1399" s="2" t="inlineStr">
        <is>
          <t>대량보유</t>
        </is>
      </c>
      <c r="E1399" s="3" t="inlineStr">
        <is>
          <t>이상섭</t>
        </is>
      </c>
      <c r="F1399" s="3" t="inlineStr">
        <is>
          <t>특별관계자</t>
        </is>
      </c>
      <c r="G1399" s="3" t="inlineStr">
        <is>
          <t>장내매수(+)</t>
        </is>
      </c>
      <c r="H1399" s="15" t="n">
        <v>290000</v>
      </c>
      <c r="I1399" s="6" t="n">
        <v>2586</v>
      </c>
      <c r="J1399" s="6" t="n">
        <v>450000</v>
      </c>
      <c r="K1399" s="16" t="n">
        <v>6</v>
      </c>
      <c r="L1399" s="2" t="inlineStr">
        <is>
          <t>20260602000439</t>
        </is>
      </c>
      <c r="M1399" s="8">
        <f>HYPERLINK("https://dart.fss.or.kr/dsaf001/main.do?rcpNo=20260602000439", "공시열람")</f>
        <v/>
      </c>
    </row>
    <row r="1400" ht="22" customHeight="1">
      <c r="A1400" s="2" t="inlineStr">
        <is>
          <t>2026-05-21 (정정: 2026-06-02)</t>
        </is>
      </c>
      <c r="B1400" s="3" t="inlineStr">
        <is>
          <t>아이로보틱스</t>
        </is>
      </c>
      <c r="C1400" s="2" t="inlineStr">
        <is>
          <t>066430</t>
        </is>
      </c>
      <c r="D1400" s="2" t="inlineStr">
        <is>
          <t>대량보유</t>
        </is>
      </c>
      <c r="E1400" s="3" t="inlineStr">
        <is>
          <t>최문실</t>
        </is>
      </c>
      <c r="F1400" s="3" t="inlineStr">
        <is>
          <t>특별관계자</t>
        </is>
      </c>
      <c r="G1400" s="3" t="inlineStr">
        <is>
          <t>장내매수(+)</t>
        </is>
      </c>
      <c r="H1400" s="15" t="n">
        <v>64642</v>
      </c>
      <c r="I1400" s="6" t="n">
        <v>3105</v>
      </c>
      <c r="J1400" s="6" t="n">
        <v>464642</v>
      </c>
      <c r="K1400" s="16" t="n">
        <v>6</v>
      </c>
      <c r="L1400" s="2" t="inlineStr">
        <is>
          <t>20260602000439</t>
        </is>
      </c>
      <c r="M1400" s="8">
        <f>HYPERLINK("https://dart.fss.or.kr/dsaf001/main.do?rcpNo=20260602000439", "공시열람")</f>
        <v/>
      </c>
    </row>
    <row r="1401" ht="22" customHeight="1">
      <c r="A1401" s="2" t="inlineStr">
        <is>
          <t>2026-05-21 (정정: 2026-06-02)</t>
        </is>
      </c>
      <c r="B1401" s="3" t="inlineStr">
        <is>
          <t>아이로보틱스</t>
        </is>
      </c>
      <c r="C1401" s="2" t="inlineStr">
        <is>
          <t>066430</t>
        </is>
      </c>
      <c r="D1401" s="2" t="inlineStr">
        <is>
          <t>대량보유</t>
        </is>
      </c>
      <c r="E1401" s="3" t="inlineStr">
        <is>
          <t>이해인</t>
        </is>
      </c>
      <c r="F1401" s="3" t="inlineStr">
        <is>
          <t>특별관계자</t>
        </is>
      </c>
      <c r="G1401" s="3" t="inlineStr">
        <is>
          <t>장내매수(+)</t>
        </is>
      </c>
      <c r="H1401" s="15" t="n">
        <v>119512</v>
      </c>
      <c r="I1401" s="6" t="n">
        <v>3196</v>
      </c>
      <c r="J1401" s="6" t="n">
        <v>619512</v>
      </c>
      <c r="K1401" s="16" t="n">
        <v>6</v>
      </c>
      <c r="L1401" s="2" t="inlineStr">
        <is>
          <t>20260602000439</t>
        </is>
      </c>
      <c r="M1401" s="8">
        <f>HYPERLINK("https://dart.fss.or.kr/dsaf001/main.do?rcpNo=20260602000439", "공시열람")</f>
        <v/>
      </c>
    </row>
    <row r="1402" ht="22" customHeight="1">
      <c r="A1402" s="2" t="inlineStr">
        <is>
          <t>2026-05-21 (정정: 2026-06-02)</t>
        </is>
      </c>
      <c r="B1402" s="3" t="inlineStr">
        <is>
          <t>아이로보틱스</t>
        </is>
      </c>
      <c r="C1402" s="2" t="inlineStr">
        <is>
          <t>066430</t>
        </is>
      </c>
      <c r="D1402" s="2" t="inlineStr">
        <is>
          <t>대량보유</t>
        </is>
      </c>
      <c r="E1402" s="3" t="inlineStr">
        <is>
          <t>해인케이블㈜</t>
        </is>
      </c>
      <c r="F1402" s="3" t="inlineStr">
        <is>
          <t>특별관계자</t>
        </is>
      </c>
      <c r="G1402" s="3" t="inlineStr">
        <is>
          <t>장내매수(+)</t>
        </is>
      </c>
      <c r="H1402" s="15" t="n">
        <v>28959</v>
      </c>
      <c r="I1402" s="6" t="n">
        <v>3450</v>
      </c>
      <c r="J1402" s="6" t="n">
        <v>28959</v>
      </c>
      <c r="K1402" s="16" t="n">
        <v>6</v>
      </c>
      <c r="L1402" s="2" t="inlineStr">
        <is>
          <t>20260602000439</t>
        </is>
      </c>
      <c r="M1402" s="8">
        <f>HYPERLINK("https://dart.fss.or.kr/dsaf001/main.do?rcpNo=20260602000439", "공시열람")</f>
        <v/>
      </c>
    </row>
    <row r="1403" ht="22" customHeight="1">
      <c r="A1403" s="2" t="inlineStr">
        <is>
          <t>2026-05-21 (정정: 2026-06-02)</t>
        </is>
      </c>
      <c r="B1403" s="3" t="inlineStr">
        <is>
          <t>아이로보틱스</t>
        </is>
      </c>
      <c r="C1403" s="2" t="inlineStr">
        <is>
          <t>066430</t>
        </is>
      </c>
      <c r="D1403" s="2" t="inlineStr">
        <is>
          <t>대량보유</t>
        </is>
      </c>
      <c r="E1403" s="3" t="inlineStr">
        <is>
          <t>㈜예원디엔씨</t>
        </is>
      </c>
      <c r="F1403" s="3" t="inlineStr">
        <is>
          <t>특별관계자</t>
        </is>
      </c>
      <c r="G1403" s="3" t="inlineStr">
        <is>
          <t>장내매수(+)</t>
        </is>
      </c>
      <c r="H1403" s="15" t="n">
        <v>10000</v>
      </c>
      <c r="I1403" s="6" t="n">
        <v>3290</v>
      </c>
      <c r="J1403" s="6" t="n">
        <v>10000</v>
      </c>
      <c r="K1403" s="16" t="n">
        <v>6</v>
      </c>
      <c r="L1403" s="2" t="inlineStr">
        <is>
          <t>20260602000439</t>
        </is>
      </c>
      <c r="M1403" s="8">
        <f>HYPERLINK("https://dart.fss.or.kr/dsaf001/main.do?rcpNo=20260602000439", "공시열람")</f>
        <v/>
      </c>
    </row>
    <row r="1404" ht="22" customHeight="1">
      <c r="A1404" s="2" t="inlineStr">
        <is>
          <t>2026-05-21</t>
        </is>
      </c>
      <c r="B1404" s="3" t="inlineStr">
        <is>
          <t>신화프리텍</t>
        </is>
      </c>
      <c r="C1404" s="2" t="inlineStr">
        <is>
          <t>095190</t>
        </is>
      </c>
      <c r="D1404" s="2" t="inlineStr">
        <is>
          <t>대량보유</t>
        </is>
      </c>
      <c r="E1404" s="3" t="inlineStr">
        <is>
          <t>(주)신화정공</t>
        </is>
      </c>
      <c r="F1404" s="3" t="inlineStr">
        <is>
          <t>특별관계자</t>
        </is>
      </c>
      <c r="G1404" s="3" t="inlineStr">
        <is>
          <t>장내매수(+)</t>
        </is>
      </c>
      <c r="H1404" s="15" t="n">
        <v>278713</v>
      </c>
      <c r="I1404" s="6" t="n">
        <v>2417</v>
      </c>
      <c r="J1404" s="6" t="n">
        <v>15869564</v>
      </c>
      <c r="K1404" s="16" t="n">
        <v>2</v>
      </c>
      <c r="L1404" s="2" t="inlineStr">
        <is>
          <t>20260521000359</t>
        </is>
      </c>
      <c r="M1404" s="8">
        <f>HYPERLINK("https://dart.fss.or.kr/dsaf001/main.do?rcpNo=20260521000359", "공시열람")</f>
        <v/>
      </c>
    </row>
    <row r="1405" ht="22" customHeight="1">
      <c r="A1405" s="2" t="inlineStr">
        <is>
          <t>2026-05-21</t>
        </is>
      </c>
      <c r="B1405" s="3" t="inlineStr">
        <is>
          <t>신화프리텍</t>
        </is>
      </c>
      <c r="C1405" s="2" t="inlineStr">
        <is>
          <t>095190</t>
        </is>
      </c>
      <c r="D1405" s="2" t="inlineStr">
        <is>
          <t>대량보유</t>
        </is>
      </c>
      <c r="E1405" s="3" t="inlineStr">
        <is>
          <t>(주)신화ENG</t>
        </is>
      </c>
      <c r="F1405" s="3" t="inlineStr">
        <is>
          <t>특별관계자</t>
        </is>
      </c>
      <c r="G1405" s="3" t="inlineStr">
        <is>
          <t>장내매수(+)</t>
        </is>
      </c>
      <c r="H1405" s="15" t="n">
        <v>598479</v>
      </c>
      <c r="I1405" s="6" t="n">
        <v>2589</v>
      </c>
      <c r="J1405" s="6" t="n">
        <v>15075000</v>
      </c>
      <c r="K1405" s="16" t="n">
        <v>2</v>
      </c>
      <c r="L1405" s="2" t="inlineStr">
        <is>
          <t>20260521000359</t>
        </is>
      </c>
      <c r="M1405" s="8">
        <f>HYPERLINK("https://dart.fss.or.kr/dsaf001/main.do?rcpNo=20260521000359", "공시열람")</f>
        <v/>
      </c>
    </row>
    <row r="1406" ht="22" customHeight="1">
      <c r="A1406" s="2" t="inlineStr">
        <is>
          <t>2026-05-21</t>
        </is>
      </c>
      <c r="B1406" s="3" t="inlineStr">
        <is>
          <t>브레인즈컴퍼니</t>
        </is>
      </c>
      <c r="C1406" s="2" t="inlineStr">
        <is>
          <t>099390</t>
        </is>
      </c>
      <c r="D1406" s="2" t="inlineStr">
        <is>
          <t>대량보유</t>
        </is>
      </c>
      <c r="E1406" s="3" t="inlineStr">
        <is>
          <t>김자환</t>
        </is>
      </c>
      <c r="F1406" s="3" t="inlineStr">
        <is>
          <t>특별관계자</t>
        </is>
      </c>
      <c r="G1406" s="3" t="inlineStr">
        <is>
          <t>증여(-), 임원퇴임(-)</t>
        </is>
      </c>
      <c r="H1406" s="17" t="n">
        <v>-121495</v>
      </c>
      <c r="I1406" s="6" t="inlineStr"/>
      <c r="J1406" s="6" t="n">
        <v>51495</v>
      </c>
      <c r="K1406" s="16" t="n">
        <v>3</v>
      </c>
      <c r="L1406" s="2" t="inlineStr">
        <is>
          <t>20260521000355</t>
        </is>
      </c>
      <c r="M1406" s="8">
        <f>HYPERLINK("https://dart.fss.or.kr/dsaf001/main.do?rcpNo=20260521000355", "공시열람")</f>
        <v/>
      </c>
    </row>
    <row r="1407" ht="22" customHeight="1">
      <c r="A1407" s="2" t="inlineStr">
        <is>
          <t>2026-05-21</t>
        </is>
      </c>
      <c r="B1407" s="3" t="inlineStr">
        <is>
          <t>브레인즈컴퍼니</t>
        </is>
      </c>
      <c r="C1407" s="2" t="inlineStr">
        <is>
          <t>099390</t>
        </is>
      </c>
      <c r="D1407" s="2" t="inlineStr">
        <is>
          <t>대량보유</t>
        </is>
      </c>
      <c r="E1407" s="3" t="inlineStr">
        <is>
          <t>서은숙</t>
        </is>
      </c>
      <c r="F1407" s="3" t="inlineStr">
        <is>
          <t>특별관계자</t>
        </is>
      </c>
      <c r="G1407" s="3" t="inlineStr">
        <is>
          <t>신규선임(무상취득)(+)</t>
        </is>
      </c>
      <c r="H1407" s="15" t="n">
        <v>130728</v>
      </c>
      <c r="I1407" s="6" t="inlineStr"/>
      <c r="J1407" s="6" t="n">
        <v>130728</v>
      </c>
      <c r="K1407" s="16" t="n">
        <v>3</v>
      </c>
      <c r="L1407" s="2" t="inlineStr">
        <is>
          <t>20260521000355</t>
        </is>
      </c>
      <c r="M1407" s="8">
        <f>HYPERLINK("https://dart.fss.or.kr/dsaf001/main.do?rcpNo=20260521000355", "공시열람")</f>
        <v/>
      </c>
    </row>
    <row r="1408" ht="22" customHeight="1">
      <c r="A1408" s="2" t="inlineStr">
        <is>
          <t>2026-05-21</t>
        </is>
      </c>
      <c r="B1408" s="3" t="inlineStr">
        <is>
          <t>브레인즈컴퍼니</t>
        </is>
      </c>
      <c r="C1408" s="2" t="inlineStr">
        <is>
          <t>099390</t>
        </is>
      </c>
      <c r="D1408" s="2" t="inlineStr">
        <is>
          <t>대량보유</t>
        </is>
      </c>
      <c r="E1408" s="3" t="inlineStr">
        <is>
          <t>강선근</t>
        </is>
      </c>
      <c r="F1408" s="3" t="inlineStr">
        <is>
          <t>특별관계자</t>
        </is>
      </c>
      <c r="G1408" s="3" t="inlineStr">
        <is>
          <t>장내매수(+)</t>
        </is>
      </c>
      <c r="H1408" s="15" t="n">
        <v>35231</v>
      </c>
      <c r="I1408" s="6" t="n">
        <v>4644</v>
      </c>
      <c r="J1408" s="6" t="n">
        <v>2938355</v>
      </c>
      <c r="K1408" s="16" t="n">
        <v>3</v>
      </c>
      <c r="L1408" s="2" t="inlineStr">
        <is>
          <t>20260521000355</t>
        </is>
      </c>
      <c r="M1408" s="8">
        <f>HYPERLINK("https://dart.fss.or.kr/dsaf001/main.do?rcpNo=20260521000355", "공시열람")</f>
        <v/>
      </c>
    </row>
    <row r="1409" ht="22" customHeight="1">
      <c r="A1409" s="2" t="inlineStr">
        <is>
          <t>2026-05-21</t>
        </is>
      </c>
      <c r="B1409" s="3" t="inlineStr">
        <is>
          <t>현우산업</t>
        </is>
      </c>
      <c r="C1409" s="2" t="inlineStr">
        <is>
          <t>092300</t>
        </is>
      </c>
      <c r="D1409" s="2" t="inlineStr">
        <is>
          <t>대량보유</t>
        </is>
      </c>
      <c r="E1409" s="3" t="inlineStr">
        <is>
          <t>마크자산운용(주)</t>
        </is>
      </c>
      <c r="F1409" s="3" t="inlineStr">
        <is>
          <t>특별관계자</t>
        </is>
      </c>
      <c r="G1409" s="3" t="inlineStr">
        <is>
          <t>전환등(-), 전환사채의권리행사(+), 장내매도(-), 기타(-)</t>
        </is>
      </c>
      <c r="H1409" s="17" t="n">
        <v>-194910</v>
      </c>
      <c r="I1409" s="6" t="n">
        <v>3182</v>
      </c>
      <c r="J1409" s="6" t="n">
        <v>119358</v>
      </c>
      <c r="K1409" s="16" t="n">
        <v>4.56</v>
      </c>
      <c r="L1409" s="2" t="inlineStr">
        <is>
          <t>20260521000345</t>
        </is>
      </c>
      <c r="M1409" s="8">
        <f>HYPERLINK("https://dart.fss.or.kr/dsaf001/main.do?rcpNo=20260521000345", "공시열람")</f>
        <v/>
      </c>
    </row>
    <row r="1410" ht="22" customHeight="1">
      <c r="A1410" s="2" t="inlineStr">
        <is>
          <t>2026-05-21</t>
        </is>
      </c>
      <c r="B1410" s="3" t="inlineStr">
        <is>
          <t>E1</t>
        </is>
      </c>
      <c r="C1410" s="2" t="inlineStr">
        <is>
          <t>017940</t>
        </is>
      </c>
      <c r="D1410" s="2" t="inlineStr">
        <is>
          <t>임원보고</t>
        </is>
      </c>
      <c r="E1410" s="3" t="inlineStr">
        <is>
          <t>-</t>
        </is>
      </c>
      <c r="F1410" s="3" t="inlineStr">
        <is>
          <t>-</t>
        </is>
      </c>
      <c r="G1410" s="3" t="inlineStr">
        <is>
          <t>-</t>
        </is>
      </c>
      <c r="H1410" s="6" t="inlineStr"/>
      <c r="I1410" s="6" t="inlineStr"/>
      <c r="J1410" s="6" t="inlineStr"/>
      <c r="K1410" s="16" t="n">
        <v>12</v>
      </c>
      <c r="L1410" s="2" t="inlineStr">
        <is>
          <t>20260521800469</t>
        </is>
      </c>
      <c r="M1410" s="8">
        <f>HYPERLINK("https://dart.fss.or.kr/dsaf001/main.do?rcpNo=20260521800469", "공시열람")</f>
        <v/>
      </c>
    </row>
    <row r="1411" ht="22" customHeight="1">
      <c r="A1411" s="2" t="inlineStr">
        <is>
          <t>2026-05-21</t>
        </is>
      </c>
      <c r="B1411" s="3" t="inlineStr">
        <is>
          <t>E1</t>
        </is>
      </c>
      <c r="C1411" s="2" t="inlineStr">
        <is>
          <t>017940</t>
        </is>
      </c>
      <c r="D1411" s="2" t="inlineStr">
        <is>
          <t>대량보유</t>
        </is>
      </c>
      <c r="E1411" s="3" t="inlineStr">
        <is>
          <t>구건모</t>
        </is>
      </c>
      <c r="F1411" s="3" t="inlineStr">
        <is>
          <t>특별관계자</t>
        </is>
      </c>
      <c r="G1411" s="3" t="inlineStr">
        <is>
          <t>장내매수(+)</t>
        </is>
      </c>
      <c r="H1411" s="15" t="n">
        <v>1188</v>
      </c>
      <c r="I1411" s="6" t="n">
        <v>89129</v>
      </c>
      <c r="J1411" s="6" t="n">
        <v>6443</v>
      </c>
      <c r="K1411" s="16" t="n">
        <v>11</v>
      </c>
      <c r="L1411" s="2" t="inlineStr">
        <is>
          <t>20260521000311</t>
        </is>
      </c>
      <c r="M1411" s="8">
        <f>HYPERLINK("https://dart.fss.or.kr/dsaf001/main.do?rcpNo=20260521000311", "공시열람")</f>
        <v/>
      </c>
    </row>
    <row r="1412" ht="22" customHeight="1">
      <c r="A1412" s="2" t="inlineStr">
        <is>
          <t>2026-05-21</t>
        </is>
      </c>
      <c r="B1412" s="3" t="inlineStr">
        <is>
          <t>유라클</t>
        </is>
      </c>
      <c r="C1412" s="2" t="inlineStr">
        <is>
          <t>088340</t>
        </is>
      </c>
      <c r="D1412" s="2" t="inlineStr">
        <is>
          <t>대량보유</t>
        </is>
      </c>
      <c r="E1412" s="3" t="inlineStr">
        <is>
          <t>조준희</t>
        </is>
      </c>
      <c r="F1412" s="3" t="inlineStr">
        <is>
          <t>특별관계자</t>
        </is>
      </c>
      <c r="G1412" s="3" t="inlineStr">
        <is>
          <t>장내매수(+)</t>
        </is>
      </c>
      <c r="H1412" s="15" t="n">
        <v>2000</v>
      </c>
      <c r="I1412" s="6" t="n">
        <v>10189</v>
      </c>
      <c r="J1412" s="6" t="n">
        <v>636780</v>
      </c>
      <c r="K1412" s="16" t="n">
        <v>14</v>
      </c>
      <c r="L1412" s="2" t="inlineStr">
        <is>
          <t>20260521000306</t>
        </is>
      </c>
      <c r="M1412" s="8">
        <f>HYPERLINK("https://dart.fss.or.kr/dsaf001/main.do?rcpNo=20260521000306", "공시열람")</f>
        <v/>
      </c>
    </row>
    <row r="1413" ht="22" customHeight="1">
      <c r="A1413" s="2" t="inlineStr">
        <is>
          <t>2026-05-21</t>
        </is>
      </c>
      <c r="B1413" s="3" t="inlineStr">
        <is>
          <t>미원홀딩스</t>
        </is>
      </c>
      <c r="C1413" s="2" t="inlineStr">
        <is>
          <t>107590</t>
        </is>
      </c>
      <c r="D1413" s="2" t="inlineStr">
        <is>
          <t>임원보고</t>
        </is>
      </c>
      <c r="E1413" s="3" t="inlineStr">
        <is>
          <t>-</t>
        </is>
      </c>
      <c r="F1413" s="3" t="inlineStr">
        <is>
          <t>-</t>
        </is>
      </c>
      <c r="G1413" s="3" t="inlineStr">
        <is>
          <t>-</t>
        </is>
      </c>
      <c r="H1413" s="6" t="inlineStr"/>
      <c r="I1413" s="6" t="inlineStr"/>
      <c r="J1413" s="6" t="inlineStr"/>
      <c r="K1413" s="16" t="n">
        <v>12</v>
      </c>
      <c r="L1413" s="2" t="inlineStr">
        <is>
          <t>20260521800419</t>
        </is>
      </c>
      <c r="M1413" s="8">
        <f>HYPERLINK("https://dart.fss.or.kr/dsaf001/main.do?rcpNo=20260521800419", "공시열람")</f>
        <v/>
      </c>
    </row>
    <row r="1414" ht="22" customHeight="1">
      <c r="A1414" s="2" t="inlineStr">
        <is>
          <t>2026-05-21</t>
        </is>
      </c>
      <c r="B1414" s="3" t="inlineStr">
        <is>
          <t>크레버스</t>
        </is>
      </c>
      <c r="C1414" s="2" t="inlineStr">
        <is>
          <t>096240</t>
        </is>
      </c>
      <c r="D1414" s="2" t="inlineStr">
        <is>
          <t>대량보유</t>
        </is>
      </c>
      <c r="E1414" s="3" t="inlineStr">
        <is>
          <t>이동훈</t>
        </is>
      </c>
      <c r="F1414" s="3" t="inlineStr">
        <is>
          <t>특별관계자</t>
        </is>
      </c>
      <c r="G1414" s="3" t="inlineStr">
        <is>
          <t>장내매수(+)</t>
        </is>
      </c>
      <c r="H1414" s="15" t="n">
        <v>20000</v>
      </c>
      <c r="I1414" s="6" t="n">
        <v>11455</v>
      </c>
      <c r="J1414" s="6" t="n">
        <v>45000</v>
      </c>
      <c r="K1414" s="16" t="n">
        <v>7</v>
      </c>
      <c r="L1414" s="2" t="inlineStr">
        <is>
          <t>20260521000253</t>
        </is>
      </c>
      <c r="M1414" s="8">
        <f>HYPERLINK("https://dart.fss.or.kr/dsaf001/main.do?rcpNo=20260521000253", "공시열람")</f>
        <v/>
      </c>
    </row>
    <row r="1415" ht="22" customHeight="1">
      <c r="A1415" s="2" t="inlineStr">
        <is>
          <t>2026-05-21</t>
        </is>
      </c>
      <c r="B1415" s="3" t="inlineStr">
        <is>
          <t>크레버스</t>
        </is>
      </c>
      <c r="C1415" s="2" t="inlineStr">
        <is>
          <t>096240</t>
        </is>
      </c>
      <c r="D1415" s="2" t="inlineStr">
        <is>
          <t>대량보유</t>
        </is>
      </c>
      <c r="E1415" s="3" t="inlineStr">
        <is>
          <t>김형준</t>
        </is>
      </c>
      <c r="F1415" s="3" t="inlineStr">
        <is>
          <t>특별관계자</t>
        </is>
      </c>
      <c r="G1415" s="3" t="inlineStr">
        <is>
          <t>장내매수(+)</t>
        </is>
      </c>
      <c r="H1415" s="15" t="n">
        <v>20000</v>
      </c>
      <c r="I1415" s="6" t="n">
        <v>10555</v>
      </c>
      <c r="J1415" s="6" t="n">
        <v>47000</v>
      </c>
      <c r="K1415" s="16" t="n">
        <v>7</v>
      </c>
      <c r="L1415" s="2" t="inlineStr">
        <is>
          <t>20260521000253</t>
        </is>
      </c>
      <c r="M1415" s="8">
        <f>HYPERLINK("https://dart.fss.or.kr/dsaf001/main.do?rcpNo=20260521000253", "공시열람")</f>
        <v/>
      </c>
    </row>
    <row r="1416" ht="22" customHeight="1">
      <c r="A1416" s="2" t="inlineStr">
        <is>
          <t>2026-05-21</t>
        </is>
      </c>
      <c r="B1416" s="3" t="inlineStr">
        <is>
          <t>티케이케미칼</t>
        </is>
      </c>
      <c r="C1416" s="2" t="inlineStr">
        <is>
          <t>104480</t>
        </is>
      </c>
      <c r="D1416" s="2" t="inlineStr">
        <is>
          <t>대량보유</t>
        </is>
      </c>
      <c r="E1416" s="3" t="inlineStr">
        <is>
          <t>에스엠인더스트리㈜</t>
        </is>
      </c>
      <c r="F1416" s="3" t="inlineStr">
        <is>
          <t>보고자</t>
        </is>
      </c>
      <c r="G1416" s="3" t="inlineStr">
        <is>
          <t>특수관계자인 (주)우방 주식담보대출 상환 및 신규차입의 건</t>
        </is>
      </c>
      <c r="H1416" s="6" t="inlineStr"/>
      <c r="I1416" s="6" t="inlineStr"/>
      <c r="J1416" s="6" t="n">
        <v>43527780</v>
      </c>
      <c r="K1416" s="16" t="n">
        <v>1</v>
      </c>
      <c r="L1416" s="2" t="inlineStr">
        <is>
          <t>20260521000240</t>
        </is>
      </c>
      <c r="M1416" s="8">
        <f>HYPERLINK("https://dart.fss.or.kr/dsaf001/main.do?rcpNo=20260521000240", "공시열람")</f>
        <v/>
      </c>
    </row>
    <row r="1417" ht="22" customHeight="1">
      <c r="A1417" s="2" t="inlineStr">
        <is>
          <t>2026-05-21</t>
        </is>
      </c>
      <c r="B1417" s="3" t="inlineStr">
        <is>
          <t>서울옥션</t>
        </is>
      </c>
      <c r="C1417" s="2" t="inlineStr">
        <is>
          <t>063170</t>
        </is>
      </c>
      <c r="D1417" s="2" t="inlineStr">
        <is>
          <t>대량보유</t>
        </is>
      </c>
      <c r="E1417" s="3" t="inlineStr">
        <is>
          <t>이호재</t>
        </is>
      </c>
      <c r="F1417" s="3" t="inlineStr">
        <is>
          <t>보고자</t>
        </is>
      </c>
      <c r="G1417" s="3" t="inlineStr">
        <is>
          <t>특별관계자 주식 담보 대출 변경</t>
        </is>
      </c>
      <c r="H1417" s="6" t="inlineStr"/>
      <c r="I1417" s="6" t="inlineStr"/>
      <c r="J1417" s="6" t="n">
        <v>5252887</v>
      </c>
      <c r="K1417" s="16" t="n">
        <v>11</v>
      </c>
      <c r="L1417" s="2" t="inlineStr">
        <is>
          <t>20260521000227</t>
        </is>
      </c>
      <c r="M1417" s="8">
        <f>HYPERLINK("https://dart.fss.or.kr/dsaf001/main.do?rcpNo=20260521000227", "공시열람")</f>
        <v/>
      </c>
    </row>
    <row r="1418" ht="22" customHeight="1">
      <c r="A1418" s="2" t="inlineStr">
        <is>
          <t>2026-05-21</t>
        </is>
      </c>
      <c r="B1418" s="3" t="inlineStr">
        <is>
          <t>케어젠</t>
        </is>
      </c>
      <c r="C1418" s="2" t="inlineStr">
        <is>
          <t>214370</t>
        </is>
      </c>
      <c r="D1418" s="2" t="inlineStr">
        <is>
          <t>대량보유</t>
        </is>
      </c>
      <c r="E1418" s="3" t="inlineStr">
        <is>
          <t>정용지</t>
        </is>
      </c>
      <c r="F1418" s="3" t="inlineStr">
        <is>
          <t>특별관계자</t>
        </is>
      </c>
      <c r="G1418" s="3" t="inlineStr">
        <is>
          <t>장내매수(+)</t>
        </is>
      </c>
      <c r="H1418" s="15" t="n">
        <v>2223</v>
      </c>
      <c r="I1418" s="6" t="n">
        <v>90269</v>
      </c>
      <c r="J1418" s="6" t="n">
        <v>33998291</v>
      </c>
      <c r="K1418" s="16" t="n">
        <v>5</v>
      </c>
      <c r="L1418" s="2" t="inlineStr">
        <is>
          <t>20260521000225</t>
        </is>
      </c>
      <c r="M1418" s="8">
        <f>HYPERLINK("https://dart.fss.or.kr/dsaf001/main.do?rcpNo=20260521000225", "공시열람")</f>
        <v/>
      </c>
    </row>
    <row r="1419" ht="22" customHeight="1">
      <c r="A1419" s="2" t="inlineStr">
        <is>
          <t>2026-05-21</t>
        </is>
      </c>
      <c r="B1419" s="3" t="inlineStr">
        <is>
          <t>DSR제강</t>
        </is>
      </c>
      <c r="C1419" s="2" t="inlineStr">
        <is>
          <t>069730</t>
        </is>
      </c>
      <c r="D1419" s="2" t="inlineStr">
        <is>
          <t>임원보고</t>
        </is>
      </c>
      <c r="E1419" s="3" t="inlineStr">
        <is>
          <t>-</t>
        </is>
      </c>
      <c r="F1419" s="3" t="inlineStr">
        <is>
          <t>-</t>
        </is>
      </c>
      <c r="G1419" s="3" t="inlineStr">
        <is>
          <t>-</t>
        </is>
      </c>
      <c r="H1419" s="6" t="inlineStr"/>
      <c r="I1419" s="6" t="inlineStr"/>
      <c r="J1419" s="6" t="inlineStr"/>
      <c r="K1419" s="16" t="n">
        <v>12</v>
      </c>
      <c r="L1419" s="2" t="inlineStr">
        <is>
          <t>20260521800329</t>
        </is>
      </c>
      <c r="M1419" s="8">
        <f>HYPERLINK("https://dart.fss.or.kr/dsaf001/main.do?rcpNo=20260521800329", "공시열람")</f>
        <v/>
      </c>
    </row>
    <row r="1420" ht="22" customHeight="1">
      <c r="A1420" s="2" t="inlineStr">
        <is>
          <t>2026-05-21</t>
        </is>
      </c>
      <c r="B1420" s="3" t="inlineStr">
        <is>
          <t>KBI메탈</t>
        </is>
      </c>
      <c r="C1420" s="2" t="inlineStr">
        <is>
          <t>024840</t>
        </is>
      </c>
      <c r="D1420" s="2" t="inlineStr">
        <is>
          <t>대량보유</t>
        </is>
      </c>
      <c r="E1420" s="3" t="inlineStr">
        <is>
          <t>(주)케이비아이국인산업</t>
        </is>
      </c>
      <c r="F1420" s="3" t="inlineStr">
        <is>
          <t>보고자</t>
        </is>
      </c>
      <c r="G1420" s="3" t="inlineStr">
        <is>
          <t>주식담보제공 계약의 체결</t>
        </is>
      </c>
      <c r="H1420" s="6" t="inlineStr"/>
      <c r="I1420" s="6" t="inlineStr"/>
      <c r="J1420" s="6" t="n">
        <v>10861987</v>
      </c>
      <c r="K1420" s="16" t="n">
        <v>5</v>
      </c>
      <c r="L1420" s="2" t="inlineStr">
        <is>
          <t>20260521000178</t>
        </is>
      </c>
      <c r="M1420" s="8">
        <f>HYPERLINK("https://dart.fss.or.kr/dsaf001/main.do?rcpNo=20260521000178", "공시열람")</f>
        <v/>
      </c>
    </row>
    <row r="1421" ht="22" customHeight="1">
      <c r="A1421" s="2" t="inlineStr">
        <is>
          <t>2026-05-21</t>
        </is>
      </c>
      <c r="B1421" s="3" t="inlineStr">
        <is>
          <t>오비고</t>
        </is>
      </c>
      <c r="C1421" s="2" t="inlineStr">
        <is>
          <t>352910</t>
        </is>
      </c>
      <c r="D1421" s="2" t="inlineStr">
        <is>
          <t>대량보유</t>
        </is>
      </c>
      <c r="E1421" s="3" t="inlineStr">
        <is>
          <t>장영준</t>
        </is>
      </c>
      <c r="F1421" s="3" t="inlineStr">
        <is>
          <t>특별관계자</t>
        </is>
      </c>
      <c r="G1421" s="3" t="inlineStr">
        <is>
          <t>장내매수(+)</t>
        </is>
      </c>
      <c r="H1421" s="15" t="n">
        <v>43609</v>
      </c>
      <c r="I1421" s="6" t="n">
        <v>5724</v>
      </c>
      <c r="J1421" s="6" t="n">
        <v>2712154</v>
      </c>
      <c r="K1421" s="16" t="n">
        <v>6</v>
      </c>
      <c r="L1421" s="2" t="inlineStr">
        <is>
          <t>20260521000138</t>
        </is>
      </c>
      <c r="M1421" s="8">
        <f>HYPERLINK("https://dart.fss.or.kr/dsaf001/main.do?rcpNo=20260521000138", "공시열람")</f>
        <v/>
      </c>
    </row>
    <row r="1422" ht="22" customHeight="1">
      <c r="A1422" s="2" t="inlineStr">
        <is>
          <t>2026-05-21</t>
        </is>
      </c>
      <c r="B1422" s="3" t="inlineStr">
        <is>
          <t>에코마케팅</t>
        </is>
      </c>
      <c r="C1422" s="2" t="inlineStr">
        <is>
          <t>230360</t>
        </is>
      </c>
      <c r="D1422" s="2" t="inlineStr">
        <is>
          <t>대량보유</t>
        </is>
      </c>
      <c r="E1422" s="3" t="inlineStr">
        <is>
          <t>BCPEEAInvestments,L.P.</t>
        </is>
      </c>
      <c r="F1422" s="3" t="inlineStr">
        <is>
          <t>특별관계자</t>
        </is>
      </c>
      <c r="G1422" s="3" t="inlineStr">
        <is>
          <t>장내매수(+)</t>
        </is>
      </c>
      <c r="H1422" s="15" t="n">
        <v>319703</v>
      </c>
      <c r="I1422" s="6" t="n">
        <v>16000</v>
      </c>
      <c r="J1422" s="6" t="n">
        <v>1085934</v>
      </c>
      <c r="K1422" s="16" t="n">
        <v>4</v>
      </c>
      <c r="L1422" s="2" t="inlineStr">
        <is>
          <t>20260521000132</t>
        </is>
      </c>
      <c r="M1422" s="8">
        <f>HYPERLINK("https://dart.fss.or.kr/dsaf001/main.do?rcpNo=20260521000132", "공시열람")</f>
        <v/>
      </c>
    </row>
    <row r="1423" ht="22" customHeight="1">
      <c r="A1423" s="2" t="inlineStr">
        <is>
          <t>2026-05-21</t>
        </is>
      </c>
      <c r="B1423" s="3" t="inlineStr">
        <is>
          <t>대림통상</t>
        </is>
      </c>
      <c r="C1423" s="2" t="inlineStr">
        <is>
          <t>006570</t>
        </is>
      </c>
      <c r="D1423" s="2" t="inlineStr">
        <is>
          <t>임원보고</t>
        </is>
      </c>
      <c r="E1423" s="3" t="inlineStr">
        <is>
          <t>-</t>
        </is>
      </c>
      <c r="F1423" s="3" t="inlineStr">
        <is>
          <t>-</t>
        </is>
      </c>
      <c r="G1423" s="3" t="inlineStr">
        <is>
          <t>-</t>
        </is>
      </c>
      <c r="H1423" s="6" t="inlineStr"/>
      <c r="I1423" s="6" t="inlineStr"/>
      <c r="J1423" s="6" t="inlineStr"/>
      <c r="K1423" s="16" t="n">
        <v>12</v>
      </c>
      <c r="L1423" s="2" t="inlineStr">
        <is>
          <t>20260521800224</t>
        </is>
      </c>
      <c r="M1423" s="8">
        <f>HYPERLINK("https://dart.fss.or.kr/dsaf001/main.do?rcpNo=20260521800224", "공시열람")</f>
        <v/>
      </c>
    </row>
    <row r="1424" ht="22" customHeight="1">
      <c r="A1424" s="2" t="inlineStr">
        <is>
          <t>2026-05-21</t>
        </is>
      </c>
      <c r="B1424" s="3" t="inlineStr">
        <is>
          <t>핑거</t>
        </is>
      </c>
      <c r="C1424" s="2" t="inlineStr">
        <is>
          <t>163730</t>
        </is>
      </c>
      <c r="D1424" s="2" t="inlineStr">
        <is>
          <t>대량보유</t>
        </is>
      </c>
      <c r="E1424" s="3" t="inlineStr">
        <is>
          <t>(유)판토스홀딩스</t>
        </is>
      </c>
      <c r="F1424" s="3" t="inlineStr">
        <is>
          <t>특별관계자</t>
        </is>
      </c>
      <c r="G1424" s="3" t="inlineStr">
        <is>
          <t>BW인수(+)</t>
        </is>
      </c>
      <c r="H1424" s="15" t="n">
        <v>799424</v>
      </c>
      <c r="I1424" s="6" t="n">
        <v>12509</v>
      </c>
      <c r="J1424" s="6" t="n">
        <v>799424</v>
      </c>
      <c r="K1424" s="16" t="n">
        <v>7.8</v>
      </c>
      <c r="L1424" s="2" t="inlineStr">
        <is>
          <t>20260521000075</t>
        </is>
      </c>
      <c r="M1424" s="8">
        <f>HYPERLINK("https://dart.fss.or.kr/dsaf001/main.do?rcpNo=20260521000075", "공시열람")</f>
        <v/>
      </c>
    </row>
    <row r="1425" ht="22" customHeight="1">
      <c r="A1425" s="2" t="inlineStr">
        <is>
          <t>2026-05-21</t>
        </is>
      </c>
      <c r="B1425" s="3" t="inlineStr">
        <is>
          <t>경인양행</t>
        </is>
      </c>
      <c r="C1425" s="2" t="inlineStr">
        <is>
          <t>012610</t>
        </is>
      </c>
      <c r="D1425" s="2" t="inlineStr">
        <is>
          <t>대량보유</t>
        </is>
      </c>
      <c r="E1425" s="3" t="inlineStr">
        <is>
          <t>김동길</t>
        </is>
      </c>
      <c r="F1425" s="3" t="inlineStr">
        <is>
          <t>특별관계자</t>
        </is>
      </c>
      <c r="G1425" s="3" t="inlineStr">
        <is>
          <t>장내매도(-)</t>
        </is>
      </c>
      <c r="H1425" s="17" t="n">
        <v>-108890</v>
      </c>
      <c r="I1425" s="6" t="n">
        <v>5279</v>
      </c>
      <c r="J1425" s="6" t="n">
        <v>715837</v>
      </c>
      <c r="K1425" s="16" t="n">
        <v>24</v>
      </c>
      <c r="L1425" s="2" t="inlineStr">
        <is>
          <t>20260521000050</t>
        </is>
      </c>
      <c r="M1425" s="8">
        <f>HYPERLINK("https://dart.fss.or.kr/dsaf001/main.do?rcpNo=20260521000050", "공시열람")</f>
        <v/>
      </c>
    </row>
    <row r="1426" ht="22" customHeight="1">
      <c r="A1426" s="2" t="inlineStr">
        <is>
          <t>2026-05-21</t>
        </is>
      </c>
      <c r="B1426" s="3" t="inlineStr">
        <is>
          <t>경인양행</t>
        </is>
      </c>
      <c r="C1426" s="2" t="inlineStr">
        <is>
          <t>012610</t>
        </is>
      </c>
      <c r="D1426" s="2" t="inlineStr">
        <is>
          <t>임원보고</t>
        </is>
      </c>
      <c r="E1426" s="3" t="inlineStr">
        <is>
          <t>-</t>
        </is>
      </c>
      <c r="F1426" s="3" t="inlineStr">
        <is>
          <t>-</t>
        </is>
      </c>
      <c r="G1426" s="3" t="inlineStr">
        <is>
          <t>-</t>
        </is>
      </c>
      <c r="H1426" s="6" t="inlineStr"/>
      <c r="I1426" s="6" t="inlineStr"/>
      <c r="J1426" s="6" t="inlineStr"/>
      <c r="K1426" s="16" t="n">
        <v>12</v>
      </c>
      <c r="L1426" s="2" t="inlineStr">
        <is>
          <t>20260521800152</t>
        </is>
      </c>
      <c r="M1426" s="8">
        <f>HYPERLINK("https://dart.fss.or.kr/dsaf001/main.do?rcpNo=20260521800152", "공시열람")</f>
        <v/>
      </c>
    </row>
    <row r="1427" ht="22" customHeight="1">
      <c r="A1427" s="2" t="inlineStr">
        <is>
          <t>2026-05-21 (정정: 2026-05-27)</t>
        </is>
      </c>
      <c r="B1427" s="3" t="inlineStr">
        <is>
          <t>이수화학</t>
        </is>
      </c>
      <c r="C1427" s="2" t="inlineStr">
        <is>
          <t>005950</t>
        </is>
      </c>
      <c r="D1427" s="2" t="inlineStr">
        <is>
          <t>임원보고</t>
        </is>
      </c>
      <c r="E1427" s="3" t="inlineStr">
        <is>
          <t>주식회사이수</t>
        </is>
      </c>
      <c r="F1427" s="3" t="inlineStr">
        <is>
          <t>-</t>
        </is>
      </c>
      <c r="G1427" s="3" t="inlineStr">
        <is>
          <t>-</t>
        </is>
      </c>
      <c r="H1427" s="6" t="inlineStr"/>
      <c r="I1427" s="6" t="inlineStr"/>
      <c r="J1427" s="6" t="inlineStr"/>
      <c r="K1427" s="16" t="n">
        <v>37.74</v>
      </c>
      <c r="L1427" s="2" t="inlineStr">
        <is>
          <t>20260527000598</t>
        </is>
      </c>
      <c r="M1427" s="8">
        <f>HYPERLINK("https://dart.fss.or.kr/dsaf001/main.do?rcpNo=20260527000598", "공시열람")</f>
        <v/>
      </c>
    </row>
    <row r="1428" ht="22" customHeight="1">
      <c r="A1428" s="2" t="inlineStr">
        <is>
          <t>2026-05-21</t>
        </is>
      </c>
      <c r="B1428" s="3" t="inlineStr">
        <is>
          <t>삼현철강</t>
        </is>
      </c>
      <c r="C1428" s="2" t="inlineStr">
        <is>
          <t>017480</t>
        </is>
      </c>
      <c r="D1428" s="2" t="inlineStr">
        <is>
          <t>대량보유</t>
        </is>
      </c>
      <c r="E1428" s="3" t="inlineStr">
        <is>
          <t>삼현철강(주)</t>
        </is>
      </c>
      <c r="F1428" s="3" t="inlineStr">
        <is>
          <t>특별관계자</t>
        </is>
      </c>
      <c r="G1428" s="3" t="inlineStr">
        <is>
          <t>주식소각</t>
        </is>
      </c>
      <c r="H1428" s="17" t="n">
        <v>-260000</v>
      </c>
      <c r="I1428" s="6" t="n">
        <v>3265</v>
      </c>
      <c r="J1428" s="6" t="inlineStr"/>
      <c r="K1428" s="16" t="n">
        <v>11</v>
      </c>
      <c r="L1428" s="2" t="inlineStr">
        <is>
          <t>20260521000023</t>
        </is>
      </c>
      <c r="M1428" s="8">
        <f>HYPERLINK("https://dart.fss.or.kr/dsaf001/main.do?rcpNo=20260521000023", "공시열람")</f>
        <v/>
      </c>
    </row>
    <row r="1429" ht="22" customHeight="1">
      <c r="A1429" s="2" t="inlineStr">
        <is>
          <t>2026-05-21</t>
        </is>
      </c>
      <c r="B1429" s="3" t="inlineStr">
        <is>
          <t>에스오에스랩</t>
        </is>
      </c>
      <c r="C1429" s="2" t="inlineStr">
        <is>
          <t>464080</t>
        </is>
      </c>
      <c r="D1429" s="2" t="inlineStr">
        <is>
          <t>대량보유</t>
        </is>
      </c>
      <c r="E1429" s="3" t="inlineStr">
        <is>
          <t>장준환</t>
        </is>
      </c>
      <c r="F1429" s="3" t="inlineStr">
        <is>
          <t>특별관계자</t>
        </is>
      </c>
      <c r="G1429" s="3" t="inlineStr">
        <is>
          <t>장내매수(+)</t>
        </is>
      </c>
      <c r="H1429" s="15" t="n">
        <v>3999</v>
      </c>
      <c r="I1429" s="6" t="n">
        <v>12651</v>
      </c>
      <c r="J1429" s="6" t="n">
        <v>324829</v>
      </c>
      <c r="K1429" s="16" t="n">
        <v>3</v>
      </c>
      <c r="L1429" s="2" t="inlineStr">
        <is>
          <t>20260521000015</t>
        </is>
      </c>
      <c r="M1429" s="8">
        <f>HYPERLINK("https://dart.fss.or.kr/dsaf001/main.do?rcpNo=20260521000015", "공시열람")</f>
        <v/>
      </c>
    </row>
    <row r="1430" ht="22" customHeight="1">
      <c r="A1430" s="2" t="inlineStr">
        <is>
          <t>2026-05-22</t>
        </is>
      </c>
      <c r="B1430" s="3" t="inlineStr">
        <is>
          <t>KC그린홀딩스</t>
        </is>
      </c>
      <c r="C1430" s="2" t="inlineStr">
        <is>
          <t>009440</t>
        </is>
      </c>
      <c r="D1430" s="2" t="inlineStr">
        <is>
          <t>대량보유</t>
        </is>
      </c>
      <c r="E1430" s="3" t="inlineStr">
        <is>
          <t>수성자산운용(주)</t>
        </is>
      </c>
      <c r="F1430" s="3" t="inlineStr">
        <is>
          <t>특별관계자</t>
        </is>
      </c>
      <c r="G1430" s="3" t="inlineStr">
        <is>
          <t>기타(-), 장외매도(-)</t>
        </is>
      </c>
      <c r="H1430" s="17" t="n">
        <v>-354777</v>
      </c>
      <c r="I1430" s="6" t="n">
        <v>2114</v>
      </c>
      <c r="J1430" s="6" t="n">
        <v>1206236</v>
      </c>
      <c r="K1430" s="16" t="n">
        <v>4.93</v>
      </c>
      <c r="L1430" s="2" t="inlineStr">
        <is>
          <t>20260522000654</t>
        </is>
      </c>
      <c r="M1430" s="8">
        <f>HYPERLINK("https://dart.fss.or.kr/dsaf001/main.do?rcpNo=20260522000654", "공시열람")</f>
        <v/>
      </c>
    </row>
    <row r="1431" ht="22" customHeight="1">
      <c r="A1431" s="2" t="inlineStr">
        <is>
          <t>2026-05-22</t>
        </is>
      </c>
      <c r="B1431" s="3" t="inlineStr">
        <is>
          <t>에이프로젠바이오로직스</t>
        </is>
      </c>
      <c r="C1431" s="2" t="inlineStr">
        <is>
          <t>003060</t>
        </is>
      </c>
      <c r="D1431" s="2" t="inlineStr">
        <is>
          <t>대량보유</t>
        </is>
      </c>
      <c r="E1431" s="3" t="inlineStr">
        <is>
          <t>이영철</t>
        </is>
      </c>
      <c r="F1431" s="3" t="inlineStr">
        <is>
          <t>특별관계자</t>
        </is>
      </c>
      <c r="G1431" s="3" t="inlineStr">
        <is>
          <t>장외매수(+)</t>
        </is>
      </c>
      <c r="H1431" s="15" t="n">
        <v>7703703</v>
      </c>
      <c r="I1431" s="6" t="n">
        <v>3375</v>
      </c>
      <c r="J1431" s="6" t="n">
        <v>7703703</v>
      </c>
      <c r="K1431" s="16" t="n">
        <v>34.83</v>
      </c>
      <c r="L1431" s="2" t="inlineStr">
        <is>
          <t>20260522000651</t>
        </is>
      </c>
      <c r="M1431" s="8">
        <f>HYPERLINK("https://dart.fss.or.kr/dsaf001/main.do?rcpNo=20260522000651", "공시열람")</f>
        <v/>
      </c>
    </row>
    <row r="1432" ht="22" customHeight="1">
      <c r="A1432" s="2" t="inlineStr">
        <is>
          <t>2026-05-22</t>
        </is>
      </c>
      <c r="B1432" s="3" t="inlineStr">
        <is>
          <t>DB하이텍</t>
        </is>
      </c>
      <c r="C1432" s="2" t="inlineStr">
        <is>
          <t>000990</t>
        </is>
      </c>
      <c r="D1432" s="2" t="inlineStr">
        <is>
          <t>임원보고</t>
        </is>
      </c>
      <c r="E1432" s="3" t="inlineStr">
        <is>
          <t>-</t>
        </is>
      </c>
      <c r="F1432" s="3" t="inlineStr">
        <is>
          <t>-</t>
        </is>
      </c>
      <c r="G1432" s="3" t="inlineStr">
        <is>
          <t>-</t>
        </is>
      </c>
      <c r="H1432" s="6" t="inlineStr"/>
      <c r="I1432" s="6" t="inlineStr"/>
      <c r="J1432" s="6" t="inlineStr"/>
      <c r="K1432" s="16" t="n">
        <v>12</v>
      </c>
      <c r="L1432" s="2" t="inlineStr">
        <is>
          <t>20260522800941</t>
        </is>
      </c>
      <c r="M1432" s="8">
        <f>HYPERLINK("https://dart.fss.or.kr/dsaf001/main.do?rcpNo=20260522800941", "공시열람")</f>
        <v/>
      </c>
    </row>
    <row r="1433" ht="22" customHeight="1">
      <c r="A1433" s="2" t="inlineStr">
        <is>
          <t>2026-05-22 (정정: 2026-06-04)</t>
        </is>
      </c>
      <c r="B1433" s="3" t="inlineStr">
        <is>
          <t>제이에스티나</t>
        </is>
      </c>
      <c r="C1433" s="2" t="inlineStr">
        <is>
          <t>026040</t>
        </is>
      </c>
      <c r="D1433" s="2" t="inlineStr">
        <is>
          <t>대량보유</t>
        </is>
      </c>
      <c r="E1433" s="3" t="inlineStr">
        <is>
          <t>김도형</t>
        </is>
      </c>
      <c r="F1433" s="3" t="inlineStr">
        <is>
          <t>특별관계자</t>
        </is>
      </c>
      <c r="G1433" s="3" t="inlineStr">
        <is>
          <t>장내매수(+)</t>
        </is>
      </c>
      <c r="H1433" s="15" t="n">
        <v>799398</v>
      </c>
      <c r="I1433" s="6" t="n">
        <v>2575</v>
      </c>
      <c r="J1433" s="6" t="n">
        <v>1054185</v>
      </c>
      <c r="K1433" s="16" t="n">
        <v>6.387</v>
      </c>
      <c r="L1433" s="2" t="inlineStr">
        <is>
          <t>20260604000577</t>
        </is>
      </c>
      <c r="M1433" s="8">
        <f>HYPERLINK("https://dart.fss.or.kr/dsaf001/main.do?rcpNo=20260604000577", "공시열람")</f>
        <v/>
      </c>
    </row>
    <row r="1434" ht="22" customHeight="1">
      <c r="A1434" s="2" t="inlineStr">
        <is>
          <t>2026-05-22</t>
        </is>
      </c>
      <c r="B1434" s="3" t="inlineStr">
        <is>
          <t>바이넥스</t>
        </is>
      </c>
      <c r="C1434" s="2" t="inlineStr">
        <is>
          <t>053030</t>
        </is>
      </c>
      <c r="D1434" s="2" t="inlineStr">
        <is>
          <t>대량보유</t>
        </is>
      </c>
      <c r="E1434" s="3" t="inlineStr">
        <is>
          <t>(주)더에이블</t>
        </is>
      </c>
      <c r="F1434" s="3" t="inlineStr">
        <is>
          <t>보고자</t>
        </is>
      </c>
      <c r="G1434" s="3" t="inlineStr">
        <is>
          <t>특별관계자의 주식 담보 대출금 일부 상환으로 인한 주요계약체결 주식등의 수 및 비율 변경</t>
        </is>
      </c>
      <c r="H1434" s="6" t="inlineStr"/>
      <c r="I1434" s="6" t="inlineStr"/>
      <c r="J1434" s="6" t="n">
        <v>3516305</v>
      </c>
      <c r="K1434" s="16" t="n">
        <v>3</v>
      </c>
      <c r="L1434" s="2" t="inlineStr">
        <is>
          <t>20260522000633</t>
        </is>
      </c>
      <c r="M1434" s="8">
        <f>HYPERLINK("https://dart.fss.or.kr/dsaf001/main.do?rcpNo=20260522000633", "공시열람")</f>
        <v/>
      </c>
    </row>
    <row r="1435" ht="22" customHeight="1">
      <c r="A1435" s="2" t="inlineStr">
        <is>
          <t>2026-05-22</t>
        </is>
      </c>
      <c r="B1435" s="3" t="inlineStr">
        <is>
          <t>삼성생명</t>
        </is>
      </c>
      <c r="C1435" s="2" t="inlineStr">
        <is>
          <t>032830</t>
        </is>
      </c>
      <c r="D1435" s="2" t="inlineStr">
        <is>
          <t>대량보유</t>
        </is>
      </c>
      <c r="E1435" s="3" t="inlineStr">
        <is>
          <t>삼성물산주식회사</t>
        </is>
      </c>
      <c r="F1435" s="3" t="inlineStr">
        <is>
          <t>보고자</t>
        </is>
      </c>
      <c r="G1435" s="3" t="inlineStr">
        <is>
          <t>보유주식 등에 대한 계약의 변경</t>
        </is>
      </c>
      <c r="H1435" s="6" t="inlineStr"/>
      <c r="I1435" s="6" t="inlineStr"/>
      <c r="J1435" s="6" t="n">
        <v>87119338</v>
      </c>
      <c r="K1435" s="16" t="n">
        <v>7</v>
      </c>
      <c r="L1435" s="2" t="inlineStr">
        <is>
          <t>20260522000629</t>
        </is>
      </c>
      <c r="M1435" s="8">
        <f>HYPERLINK("https://dart.fss.or.kr/dsaf001/main.do?rcpNo=20260522000629", "공시열람")</f>
        <v/>
      </c>
    </row>
    <row r="1436" ht="22" customHeight="1">
      <c r="A1436" s="2" t="inlineStr">
        <is>
          <t>2026-05-22 (정정: 2026-05-22)</t>
        </is>
      </c>
      <c r="B1436" s="3" t="inlineStr">
        <is>
          <t>이노스페이스</t>
        </is>
      </c>
      <c r="C1436" s="2" t="inlineStr">
        <is>
          <t>462350</t>
        </is>
      </c>
      <c r="D1436" s="2" t="inlineStr">
        <is>
          <t>대량보유</t>
        </is>
      </c>
      <c r="E1436" s="3" t="inlineStr">
        <is>
          <t>김찬중</t>
        </is>
      </c>
      <c r="F1436" s="3" t="inlineStr">
        <is>
          <t>특별관계자</t>
        </is>
      </c>
      <c r="G1436" s="3" t="inlineStr">
        <is>
          <t>주식매수선택권부여(+)</t>
        </is>
      </c>
      <c r="H1436" s="15" t="n">
        <v>56679</v>
      </c>
      <c r="I1436" s="6" t="n">
        <v>20520</v>
      </c>
      <c r="J1436" s="6" t="n">
        <v>21293</v>
      </c>
      <c r="K1436" s="16" t="n">
        <v>3</v>
      </c>
      <c r="L1436" s="2" t="inlineStr">
        <is>
          <t>20260522000563</t>
        </is>
      </c>
      <c r="M1436" s="8">
        <f>HYPERLINK("https://dart.fss.or.kr/dsaf001/main.do?rcpNo=20260522000563", "공시열람")</f>
        <v/>
      </c>
    </row>
    <row r="1437" ht="22" customHeight="1">
      <c r="A1437" s="2" t="inlineStr">
        <is>
          <t>2026-05-22 (정정: 2026-05-22)</t>
        </is>
      </c>
      <c r="B1437" s="3" t="inlineStr">
        <is>
          <t>이노스페이스</t>
        </is>
      </c>
      <c r="C1437" s="2" t="inlineStr">
        <is>
          <t>462350</t>
        </is>
      </c>
      <c r="D1437" s="2" t="inlineStr">
        <is>
          <t>대량보유</t>
        </is>
      </c>
      <c r="E1437" s="3" t="inlineStr">
        <is>
          <t>정훈</t>
        </is>
      </c>
      <c r="F1437" s="3" t="inlineStr">
        <is>
          <t>특별관계자</t>
        </is>
      </c>
      <c r="G1437" s="3" t="inlineStr">
        <is>
          <t>주식매수선택권부여(+)</t>
        </is>
      </c>
      <c r="H1437" s="15" t="n">
        <v>56679</v>
      </c>
      <c r="I1437" s="6" t="n">
        <v>20520</v>
      </c>
      <c r="J1437" s="6" t="n">
        <v>50993</v>
      </c>
      <c r="K1437" s="16" t="n">
        <v>3</v>
      </c>
      <c r="L1437" s="2" t="inlineStr">
        <is>
          <t>20260522000563</t>
        </is>
      </c>
      <c r="M1437" s="8">
        <f>HYPERLINK("https://dart.fss.or.kr/dsaf001/main.do?rcpNo=20260522000563", "공시열람")</f>
        <v/>
      </c>
    </row>
    <row r="1438" ht="22" customHeight="1">
      <c r="A1438" s="2" t="inlineStr">
        <is>
          <t>2026-05-22 (정정: 2026-05-22)</t>
        </is>
      </c>
      <c r="B1438" s="3" t="inlineStr">
        <is>
          <t>이노스페이스</t>
        </is>
      </c>
      <c r="C1438" s="2" t="inlineStr">
        <is>
          <t>462350</t>
        </is>
      </c>
      <c r="D1438" s="2" t="inlineStr">
        <is>
          <t>대량보유</t>
        </is>
      </c>
      <c r="E1438" s="3" t="inlineStr">
        <is>
          <t>국태승</t>
        </is>
      </c>
      <c r="F1438" s="3" t="inlineStr">
        <is>
          <t>특별관계자</t>
        </is>
      </c>
      <c r="G1438" s="3" t="inlineStr">
        <is>
          <t>신규보고(+), 주식매수선택권부여(+)</t>
        </is>
      </c>
      <c r="H1438" s="15" t="n">
        <v>108279</v>
      </c>
      <c r="I1438" s="6" t="inlineStr"/>
      <c r="J1438" s="6" t="n">
        <v>33593</v>
      </c>
      <c r="K1438" s="16" t="n">
        <v>3</v>
      </c>
      <c r="L1438" s="2" t="inlineStr">
        <is>
          <t>20260522000563</t>
        </is>
      </c>
      <c r="M1438" s="8">
        <f>HYPERLINK("https://dart.fss.or.kr/dsaf001/main.do?rcpNo=20260522000563", "공시열람")</f>
        <v/>
      </c>
    </row>
    <row r="1439" ht="22" customHeight="1">
      <c r="A1439" s="2" t="inlineStr">
        <is>
          <t>2026-05-22 (정정: 2026-05-22)</t>
        </is>
      </c>
      <c r="B1439" s="3" t="inlineStr">
        <is>
          <t>이노스페이스</t>
        </is>
      </c>
      <c r="C1439" s="2" t="inlineStr">
        <is>
          <t>462350</t>
        </is>
      </c>
      <c r="D1439" s="2" t="inlineStr">
        <is>
          <t>대량보유</t>
        </is>
      </c>
      <c r="E1439" s="3" t="inlineStr">
        <is>
          <t>코오롱글로텍(주)</t>
        </is>
      </c>
      <c r="F1439" s="3" t="inlineStr">
        <is>
          <t>특별관계자</t>
        </is>
      </c>
      <c r="G1439" s="3" t="inlineStr">
        <is>
          <t>특별관계해소(-)</t>
        </is>
      </c>
      <c r="H1439" s="17" t="n">
        <v>-1641192</v>
      </c>
      <c r="I1439" s="6" t="inlineStr"/>
      <c r="J1439" s="6" t="inlineStr"/>
      <c r="K1439" s="16" t="n">
        <v>3</v>
      </c>
      <c r="L1439" s="2" t="inlineStr">
        <is>
          <t>20260522000563</t>
        </is>
      </c>
      <c r="M1439" s="8">
        <f>HYPERLINK("https://dart.fss.or.kr/dsaf001/main.do?rcpNo=20260522000563", "공시열람")</f>
        <v/>
      </c>
    </row>
    <row r="1440" ht="22" customHeight="1">
      <c r="A1440" s="2" t="inlineStr">
        <is>
          <t>2026-05-22 (정정: 2026-05-22)</t>
        </is>
      </c>
      <c r="B1440" s="3" t="inlineStr">
        <is>
          <t>이노스페이스</t>
        </is>
      </c>
      <c r="C1440" s="2" t="inlineStr">
        <is>
          <t>462350</t>
        </is>
      </c>
      <c r="D1440" s="2" t="inlineStr">
        <is>
          <t>대량보유</t>
        </is>
      </c>
      <c r="E1440" s="3" t="inlineStr">
        <is>
          <t>코오롱인더스트리(주)</t>
        </is>
      </c>
      <c r="F1440" s="3" t="inlineStr">
        <is>
          <t>특별관계자</t>
        </is>
      </c>
      <c r="G1440" s="3" t="inlineStr">
        <is>
          <t>특별관계해소(-)</t>
        </is>
      </c>
      <c r="H1440" s="17" t="n">
        <v>-887796</v>
      </c>
      <c r="I1440" s="6" t="inlineStr"/>
      <c r="J1440" s="6" t="inlineStr"/>
      <c r="K1440" s="16" t="n">
        <v>3</v>
      </c>
      <c r="L1440" s="2" t="inlineStr">
        <is>
          <t>20260522000563</t>
        </is>
      </c>
      <c r="M1440" s="8">
        <f>HYPERLINK("https://dart.fss.or.kr/dsaf001/main.do?rcpNo=20260522000563", "공시열람")</f>
        <v/>
      </c>
    </row>
    <row r="1441" ht="22" customHeight="1">
      <c r="A1441" s="2" t="inlineStr">
        <is>
          <t>2026-05-22 (정정: 2026-05-22)</t>
        </is>
      </c>
      <c r="B1441" s="3" t="inlineStr">
        <is>
          <t>이노스페이스</t>
        </is>
      </c>
      <c r="C1441" s="2" t="inlineStr">
        <is>
          <t>462350</t>
        </is>
      </c>
      <c r="D1441" s="2" t="inlineStr">
        <is>
          <t>대량보유</t>
        </is>
      </c>
      <c r="E1441" s="3" t="inlineStr">
        <is>
          <t>세방(주)</t>
        </is>
      </c>
      <c r="F1441" s="3" t="inlineStr">
        <is>
          <t>특별관계자</t>
        </is>
      </c>
      <c r="G1441" s="3" t="inlineStr">
        <is>
          <t>특별관계해소(-)</t>
        </is>
      </c>
      <c r="H1441" s="17" t="n">
        <v>-421200</v>
      </c>
      <c r="I1441" s="6" t="inlineStr"/>
      <c r="J1441" s="6" t="inlineStr"/>
      <c r="K1441" s="16" t="n">
        <v>3</v>
      </c>
      <c r="L1441" s="2" t="inlineStr">
        <is>
          <t>20260522000563</t>
        </is>
      </c>
      <c r="M1441" s="8">
        <f>HYPERLINK("https://dart.fss.or.kr/dsaf001/main.do?rcpNo=20260522000563", "공시열람")</f>
        <v/>
      </c>
    </row>
    <row r="1442" ht="22" customHeight="1">
      <c r="A1442" s="2" t="inlineStr">
        <is>
          <t>2026-05-22 (정정: 2026-05-22)</t>
        </is>
      </c>
      <c r="B1442" s="3" t="inlineStr">
        <is>
          <t>이노스페이스</t>
        </is>
      </c>
      <c r="C1442" s="2" t="inlineStr">
        <is>
          <t>462350</t>
        </is>
      </c>
      <c r="D1442" s="2" t="inlineStr">
        <is>
          <t>대량보유</t>
        </is>
      </c>
      <c r="E1442" s="3" t="inlineStr">
        <is>
          <t>(주)스타코</t>
        </is>
      </c>
      <c r="F1442" s="3" t="inlineStr">
        <is>
          <t>특별관계자</t>
        </is>
      </c>
      <c r="G1442" s="3" t="inlineStr">
        <is>
          <t>특별관계해소(-)</t>
        </is>
      </c>
      <c r="H1442" s="17" t="n">
        <v>-303948</v>
      </c>
      <c r="I1442" s="6" t="inlineStr"/>
      <c r="J1442" s="6" t="inlineStr"/>
      <c r="K1442" s="16" t="n">
        <v>3</v>
      </c>
      <c r="L1442" s="2" t="inlineStr">
        <is>
          <t>20260522000563</t>
        </is>
      </c>
      <c r="M1442" s="8">
        <f>HYPERLINK("https://dart.fss.or.kr/dsaf001/main.do?rcpNo=20260522000563", "공시열람")</f>
        <v/>
      </c>
    </row>
    <row r="1443" ht="22" customHeight="1">
      <c r="A1443" s="2" t="inlineStr">
        <is>
          <t>2026-05-22 (정정: 2026-05-22)</t>
        </is>
      </c>
      <c r="B1443" s="3" t="inlineStr">
        <is>
          <t>이노스페이스</t>
        </is>
      </c>
      <c r="C1443" s="2" t="inlineStr">
        <is>
          <t>462350</t>
        </is>
      </c>
      <c r="D1443" s="2" t="inlineStr">
        <is>
          <t>대량보유</t>
        </is>
      </c>
      <c r="E1443" s="3" t="inlineStr">
        <is>
          <t>김수종</t>
        </is>
      </c>
      <c r="F1443" s="3" t="inlineStr">
        <is>
          <t>특별관계자</t>
        </is>
      </c>
      <c r="G1443" s="3" t="inlineStr">
        <is>
          <t>콜옵션취득(+)</t>
        </is>
      </c>
      <c r="H1443" s="15" t="n">
        <v>596344</v>
      </c>
      <c r="I1443" s="6" t="n">
        <v>20525</v>
      </c>
      <c r="J1443" s="6" t="n">
        <v>298172</v>
      </c>
      <c r="K1443" s="16" t="n">
        <v>3</v>
      </c>
      <c r="L1443" s="2" t="inlineStr">
        <is>
          <t>20260522000563</t>
        </is>
      </c>
      <c r="M1443" s="8">
        <f>HYPERLINK("https://dart.fss.or.kr/dsaf001/main.do?rcpNo=20260522000563", "공시열람")</f>
        <v/>
      </c>
    </row>
    <row r="1444" ht="22" customHeight="1">
      <c r="A1444" s="2" t="inlineStr">
        <is>
          <t>2026-05-22</t>
        </is>
      </c>
      <c r="B1444" s="3" t="inlineStr">
        <is>
          <t>에이플러스에셋</t>
        </is>
      </c>
      <c r="C1444" s="2" t="inlineStr">
        <is>
          <t>244920</t>
        </is>
      </c>
      <c r="D1444" s="2" t="inlineStr">
        <is>
          <t>임원보고</t>
        </is>
      </c>
      <c r="E1444" s="3" t="inlineStr">
        <is>
          <t>-</t>
        </is>
      </c>
      <c r="F1444" s="3" t="inlineStr">
        <is>
          <t>-</t>
        </is>
      </c>
      <c r="G1444" s="3" t="inlineStr">
        <is>
          <t>-</t>
        </is>
      </c>
      <c r="H1444" s="6" t="inlineStr"/>
      <c r="I1444" s="6" t="inlineStr"/>
      <c r="J1444" s="6" t="inlineStr"/>
      <c r="K1444" s="16" t="n">
        <v>12</v>
      </c>
      <c r="L1444" s="2" t="inlineStr">
        <is>
          <t>20260522800903</t>
        </is>
      </c>
      <c r="M1444" s="8">
        <f>HYPERLINK("https://dart.fss.or.kr/dsaf001/main.do?rcpNo=20260522800903", "공시열람")</f>
        <v/>
      </c>
    </row>
    <row r="1445" ht="22" customHeight="1">
      <c r="A1445" s="2" t="inlineStr">
        <is>
          <t>2026-05-22</t>
        </is>
      </c>
      <c r="B1445" s="3" t="inlineStr">
        <is>
          <t>벽산</t>
        </is>
      </c>
      <c r="C1445" s="2" t="inlineStr">
        <is>
          <t>007210</t>
        </is>
      </c>
      <c r="D1445" s="2" t="inlineStr">
        <is>
          <t>대량보유</t>
        </is>
      </c>
      <c r="E1445" s="3" t="inlineStr">
        <is>
          <t>나상묵</t>
        </is>
      </c>
      <c r="F1445" s="3" t="inlineStr">
        <is>
          <t>특별관계자</t>
        </is>
      </c>
      <c r="G1445" s="3" t="inlineStr">
        <is>
          <t>장내매도(-), 장내매수(+)</t>
        </is>
      </c>
      <c r="H1445" s="17" t="n">
        <v>-100</v>
      </c>
      <c r="I1445" s="6" t="n">
        <v>2254</v>
      </c>
      <c r="J1445" s="6" t="n">
        <v>1900</v>
      </c>
      <c r="K1445" s="16" t="n">
        <v>17</v>
      </c>
      <c r="L1445" s="2" t="inlineStr">
        <is>
          <t>20260522000612</t>
        </is>
      </c>
      <c r="M1445" s="8">
        <f>HYPERLINK("https://dart.fss.or.kr/dsaf001/main.do?rcpNo=20260522000612", "공시열람")</f>
        <v/>
      </c>
    </row>
    <row r="1446" ht="22" customHeight="1">
      <c r="A1446" s="2" t="inlineStr">
        <is>
          <t>2026-05-22</t>
        </is>
      </c>
      <c r="B1446" s="3" t="inlineStr">
        <is>
          <t>벽산</t>
        </is>
      </c>
      <c r="C1446" s="2" t="inlineStr">
        <is>
          <t>007210</t>
        </is>
      </c>
      <c r="D1446" s="2" t="inlineStr">
        <is>
          <t>대량보유</t>
        </is>
      </c>
      <c r="E1446" s="3" t="inlineStr">
        <is>
          <t>정순욱</t>
        </is>
      </c>
      <c r="F1446" s="3" t="inlineStr">
        <is>
          <t>특별관계자</t>
        </is>
      </c>
      <c r="G1446" s="3" t="inlineStr">
        <is>
          <t>시간외매매(-)</t>
        </is>
      </c>
      <c r="H1446" s="17" t="n">
        <v>-660000</v>
      </c>
      <c r="I1446" s="6" t="n">
        <v>1987</v>
      </c>
      <c r="J1446" s="6" t="n">
        <v>930600</v>
      </c>
      <c r="K1446" s="16" t="n">
        <v>17</v>
      </c>
      <c r="L1446" s="2" t="inlineStr">
        <is>
          <t>20260522000612</t>
        </is>
      </c>
      <c r="M1446" s="8">
        <f>HYPERLINK("https://dart.fss.or.kr/dsaf001/main.do?rcpNo=20260522000612", "공시열람")</f>
        <v/>
      </c>
    </row>
    <row r="1447" ht="22" customHeight="1">
      <c r="A1447" s="2" t="inlineStr">
        <is>
          <t>2026-05-22</t>
        </is>
      </c>
      <c r="B1447" s="3" t="inlineStr">
        <is>
          <t>벽산</t>
        </is>
      </c>
      <c r="C1447" s="2" t="inlineStr">
        <is>
          <t>007210</t>
        </is>
      </c>
      <c r="D1447" s="2" t="inlineStr">
        <is>
          <t>대량보유</t>
        </is>
      </c>
      <c r="E1447" s="3" t="inlineStr">
        <is>
          <t>벽산엘티씨엔터프라이즈주식회사</t>
        </is>
      </c>
      <c r="F1447" s="3" t="inlineStr">
        <is>
          <t>특별관계자</t>
        </is>
      </c>
      <c r="G1447" s="3" t="inlineStr">
        <is>
          <t>시간외매매(+)</t>
        </is>
      </c>
      <c r="H1447" s="15" t="n">
        <v>660000</v>
      </c>
      <c r="I1447" s="6" t="n">
        <v>1987</v>
      </c>
      <c r="J1447" s="6" t="n">
        <v>9688275</v>
      </c>
      <c r="K1447" s="16" t="n">
        <v>17</v>
      </c>
      <c r="L1447" s="2" t="inlineStr">
        <is>
          <t>20260522000612</t>
        </is>
      </c>
      <c r="M1447" s="8">
        <f>HYPERLINK("https://dart.fss.or.kr/dsaf001/main.do?rcpNo=20260522000612", "공시열람")</f>
        <v/>
      </c>
    </row>
    <row r="1448" ht="22" customHeight="1">
      <c r="A1448" s="2" t="inlineStr">
        <is>
          <t>2026-05-22</t>
        </is>
      </c>
      <c r="B1448" s="3" t="inlineStr">
        <is>
          <t>오텍</t>
        </is>
      </c>
      <c r="C1448" s="2" t="inlineStr">
        <is>
          <t>067170</t>
        </is>
      </c>
      <c r="D1448" s="2" t="inlineStr">
        <is>
          <t>대량보유</t>
        </is>
      </c>
      <c r="E1448" s="3" t="inlineStr">
        <is>
          <t>강신욱</t>
        </is>
      </c>
      <c r="F1448" s="3" t="inlineStr">
        <is>
          <t>특별관계자</t>
        </is>
      </c>
      <c r="G1448" s="3" t="inlineStr">
        <is>
          <t>장내매수(+), BW인수(+)</t>
        </is>
      </c>
      <c r="H1448" s="15" t="n">
        <v>160182</v>
      </c>
      <c r="I1448" s="6" t="n">
        <v>1810</v>
      </c>
      <c r="J1448" s="6" t="n">
        <v>1560284</v>
      </c>
      <c r="K1448" s="16" t="n">
        <v>2</v>
      </c>
      <c r="L1448" s="2" t="inlineStr">
        <is>
          <t>20260522000610</t>
        </is>
      </c>
      <c r="M1448" s="8">
        <f>HYPERLINK("https://dart.fss.or.kr/dsaf001/main.do?rcpNo=20260522000610", "공시열람")</f>
        <v/>
      </c>
    </row>
    <row r="1449" ht="22" customHeight="1">
      <c r="A1449" s="2" t="inlineStr">
        <is>
          <t>2026-05-22</t>
        </is>
      </c>
      <c r="B1449" s="3" t="inlineStr">
        <is>
          <t>오텍</t>
        </is>
      </c>
      <c r="C1449" s="2" t="inlineStr">
        <is>
          <t>067170</t>
        </is>
      </c>
      <c r="D1449" s="2" t="inlineStr">
        <is>
          <t>대량보유</t>
        </is>
      </c>
      <c r="E1449" s="3" t="inlineStr">
        <is>
          <t>강성희</t>
        </is>
      </c>
      <c r="F1449" s="3" t="inlineStr">
        <is>
          <t>특별관계자</t>
        </is>
      </c>
      <c r="G1449" s="3" t="inlineStr">
        <is>
          <t>BW인수(+)</t>
        </is>
      </c>
      <c r="H1449" s="15" t="n">
        <v>118900</v>
      </c>
      <c r="I1449" s="6" t="n">
        <v>960</v>
      </c>
      <c r="J1449" s="6" t="n">
        <v>5523780</v>
      </c>
      <c r="K1449" s="16" t="n">
        <v>2</v>
      </c>
      <c r="L1449" s="2" t="inlineStr">
        <is>
          <t>20260522000610</t>
        </is>
      </c>
      <c r="M1449" s="8">
        <f>HYPERLINK("https://dart.fss.or.kr/dsaf001/main.do?rcpNo=20260522000610", "공시열람")</f>
        <v/>
      </c>
    </row>
    <row r="1450" ht="22" customHeight="1">
      <c r="A1450" s="2" t="inlineStr">
        <is>
          <t>2026-05-22</t>
        </is>
      </c>
      <c r="B1450" s="3" t="inlineStr">
        <is>
          <t>대성하이텍</t>
        </is>
      </c>
      <c r="C1450" s="2" t="inlineStr">
        <is>
          <t>129920</t>
        </is>
      </c>
      <c r="D1450" s="2" t="inlineStr">
        <is>
          <t>대량보유</t>
        </is>
      </c>
      <c r="E1450" s="3" t="inlineStr">
        <is>
          <t>펄프로젝트제2호창업벤처전문사모투자합자회사</t>
        </is>
      </c>
      <c r="F1450" s="3" t="inlineStr">
        <is>
          <t>특별관계자</t>
        </is>
      </c>
      <c r="G1450" s="3" t="inlineStr">
        <is>
          <t>CB인수(+)</t>
        </is>
      </c>
      <c r="H1450" s="15" t="n">
        <v>1032204</v>
      </c>
      <c r="I1450" s="6" t="n">
        <v>9688</v>
      </c>
      <c r="J1450" s="6" t="n">
        <v>1032204</v>
      </c>
      <c r="K1450" s="16" t="n">
        <v>1</v>
      </c>
      <c r="L1450" s="2" t="inlineStr">
        <is>
          <t>20260522000609</t>
        </is>
      </c>
      <c r="M1450" s="8">
        <f>HYPERLINK("https://dart.fss.or.kr/dsaf001/main.do?rcpNo=20260522000609", "공시열람")</f>
        <v/>
      </c>
    </row>
    <row r="1451" ht="22" customHeight="1">
      <c r="A1451" s="2" t="inlineStr">
        <is>
          <t>2026-05-22</t>
        </is>
      </c>
      <c r="B1451" s="3" t="inlineStr">
        <is>
          <t>지에프씨생명과학</t>
        </is>
      </c>
      <c r="C1451" s="2" t="inlineStr">
        <is>
          <t>388610</t>
        </is>
      </c>
      <c r="D1451" s="2" t="inlineStr">
        <is>
          <t>대량보유</t>
        </is>
      </c>
      <c r="E1451" s="3" t="inlineStr">
        <is>
          <t>이동환</t>
        </is>
      </c>
      <c r="F1451" s="3" t="inlineStr">
        <is>
          <t>특별관계자</t>
        </is>
      </c>
      <c r="G1451" s="3" t="inlineStr">
        <is>
          <t>주식매수선택권행사(-), 주식매수선택권행사(+)</t>
        </is>
      </c>
      <c r="H1451" s="6" t="inlineStr"/>
      <c r="I1451" s="6" t="n">
        <v>6371</v>
      </c>
      <c r="J1451" s="6" t="n">
        <v>21674</v>
      </c>
      <c r="K1451" s="16" t="n">
        <v>6</v>
      </c>
      <c r="L1451" s="2" t="inlineStr">
        <is>
          <t>20260522000598</t>
        </is>
      </c>
      <c r="M1451" s="8">
        <f>HYPERLINK("https://dart.fss.or.kr/dsaf001/main.do?rcpNo=20260522000598", "공시열람")</f>
        <v/>
      </c>
    </row>
    <row r="1452" ht="22" customHeight="1">
      <c r="A1452" s="2" t="inlineStr">
        <is>
          <t>2026-05-22</t>
        </is>
      </c>
      <c r="B1452" s="3" t="inlineStr">
        <is>
          <t>이엘씨</t>
        </is>
      </c>
      <c r="C1452" s="2" t="inlineStr">
        <is>
          <t>041520</t>
        </is>
      </c>
      <c r="D1452" s="2" t="inlineStr">
        <is>
          <t>대량보유</t>
        </is>
      </c>
      <c r="E1452" s="3" t="inlineStr">
        <is>
          <t>김성익</t>
        </is>
      </c>
      <c r="F1452" s="3" t="inlineStr">
        <is>
          <t>특별관계자</t>
        </is>
      </c>
      <c r="G1452" s="3" t="inlineStr">
        <is>
          <t>수증(+)</t>
        </is>
      </c>
      <c r="H1452" s="15" t="n">
        <v>470000</v>
      </c>
      <c r="I1452" s="6" t="inlineStr"/>
      <c r="J1452" s="6" t="n">
        <v>2190000</v>
      </c>
      <c r="K1452" s="16" t="n">
        <v>6</v>
      </c>
      <c r="L1452" s="2" t="inlineStr">
        <is>
          <t>20260522000591</t>
        </is>
      </c>
      <c r="M1452" s="8">
        <f>HYPERLINK("https://dart.fss.or.kr/dsaf001/main.do?rcpNo=20260522000591", "공시열람")</f>
        <v/>
      </c>
    </row>
    <row r="1453" ht="22" customHeight="1">
      <c r="A1453" s="2" t="inlineStr">
        <is>
          <t>2026-05-22</t>
        </is>
      </c>
      <c r="B1453" s="3" t="inlineStr">
        <is>
          <t>이엘씨</t>
        </is>
      </c>
      <c r="C1453" s="2" t="inlineStr">
        <is>
          <t>041520</t>
        </is>
      </c>
      <c r="D1453" s="2" t="inlineStr">
        <is>
          <t>대량보유</t>
        </is>
      </c>
      <c r="E1453" s="3" t="inlineStr">
        <is>
          <t>이근영</t>
        </is>
      </c>
      <c r="F1453" s="3" t="inlineStr">
        <is>
          <t>특별관계자</t>
        </is>
      </c>
      <c r="G1453" s="3" t="inlineStr">
        <is>
          <t>증여(-)</t>
        </is>
      </c>
      <c r="H1453" s="17" t="n">
        <v>-700000</v>
      </c>
      <c r="I1453" s="6" t="inlineStr"/>
      <c r="J1453" s="6" t="n">
        <v>299453</v>
      </c>
      <c r="K1453" s="16" t="n">
        <v>6</v>
      </c>
      <c r="L1453" s="2" t="inlineStr">
        <is>
          <t>20260522000591</t>
        </is>
      </c>
      <c r="M1453" s="8">
        <f>HYPERLINK("https://dart.fss.or.kr/dsaf001/main.do?rcpNo=20260522000591", "공시열람")</f>
        <v/>
      </c>
    </row>
    <row r="1454" ht="22" customHeight="1">
      <c r="A1454" s="2" t="inlineStr">
        <is>
          <t>2026-05-22</t>
        </is>
      </c>
      <c r="B1454" s="3" t="inlineStr">
        <is>
          <t>이엘씨</t>
        </is>
      </c>
      <c r="C1454" s="2" t="inlineStr">
        <is>
          <t>041520</t>
        </is>
      </c>
      <c r="D1454" s="2" t="inlineStr">
        <is>
          <t>대량보유</t>
        </is>
      </c>
      <c r="E1454" s="3" t="inlineStr">
        <is>
          <t>김정선</t>
        </is>
      </c>
      <c r="F1454" s="3" t="inlineStr">
        <is>
          <t>특별관계자</t>
        </is>
      </c>
      <c r="G1454" s="3" t="inlineStr">
        <is>
          <t>수증(+)</t>
        </is>
      </c>
      <c r="H1454" s="15" t="n">
        <v>160000</v>
      </c>
      <c r="I1454" s="6" t="inlineStr"/>
      <c r="J1454" s="6" t="n">
        <v>640000</v>
      </c>
      <c r="K1454" s="16" t="n">
        <v>6</v>
      </c>
      <c r="L1454" s="2" t="inlineStr">
        <is>
          <t>20260522000591</t>
        </is>
      </c>
      <c r="M1454" s="8">
        <f>HYPERLINK("https://dart.fss.or.kr/dsaf001/main.do?rcpNo=20260522000591", "공시열람")</f>
        <v/>
      </c>
    </row>
    <row r="1455" ht="22" customHeight="1">
      <c r="A1455" s="2" t="inlineStr">
        <is>
          <t>2026-05-22</t>
        </is>
      </c>
      <c r="B1455" s="3" t="inlineStr">
        <is>
          <t>이엘씨</t>
        </is>
      </c>
      <c r="C1455" s="2" t="inlineStr">
        <is>
          <t>041520</t>
        </is>
      </c>
      <c r="D1455" s="2" t="inlineStr">
        <is>
          <t>대량보유</t>
        </is>
      </c>
      <c r="E1455" s="3" t="inlineStr">
        <is>
          <t>김정경</t>
        </is>
      </c>
      <c r="F1455" s="3" t="inlineStr">
        <is>
          <t>특별관계자</t>
        </is>
      </c>
      <c r="G1455" s="3" t="inlineStr">
        <is>
          <t>수증(+)</t>
        </is>
      </c>
      <c r="H1455" s="15" t="n">
        <v>70000</v>
      </c>
      <c r="I1455" s="6" t="inlineStr"/>
      <c r="J1455" s="6" t="n">
        <v>230000</v>
      </c>
      <c r="K1455" s="16" t="n">
        <v>6</v>
      </c>
      <c r="L1455" s="2" t="inlineStr">
        <is>
          <t>20260522000591</t>
        </is>
      </c>
      <c r="M1455" s="8">
        <f>HYPERLINK("https://dart.fss.or.kr/dsaf001/main.do?rcpNo=20260522000591", "공시열람")</f>
        <v/>
      </c>
    </row>
    <row r="1456" ht="22" customHeight="1">
      <c r="A1456" s="2" t="inlineStr">
        <is>
          <t>2026-05-22</t>
        </is>
      </c>
      <c r="B1456" s="3" t="inlineStr">
        <is>
          <t>삼성전자</t>
        </is>
      </c>
      <c r="C1456" s="2" t="inlineStr">
        <is>
          <t>005930</t>
        </is>
      </c>
      <c r="D1456" s="2" t="inlineStr">
        <is>
          <t>대량보유</t>
        </is>
      </c>
      <c r="E1456" s="3" t="inlineStr">
        <is>
          <t>삼성생명보험</t>
        </is>
      </c>
      <c r="F1456" s="3" t="inlineStr">
        <is>
          <t>특별관계자</t>
        </is>
      </c>
      <c r="G1456" s="3" t="inlineStr">
        <is>
          <t>장내매수(+), 장내매도(-)</t>
        </is>
      </c>
      <c r="H1456" s="17" t="n">
        <v>-48004</v>
      </c>
      <c r="I1456" s="6" t="n">
        <v>266918</v>
      </c>
      <c r="J1456" s="6" t="n">
        <v>501484186</v>
      </c>
      <c r="K1456" s="16" t="n">
        <v>15</v>
      </c>
      <c r="L1456" s="2" t="inlineStr">
        <is>
          <t>20260522000589</t>
        </is>
      </c>
      <c r="M1456" s="8">
        <f>HYPERLINK("https://dart.fss.or.kr/dsaf001/main.do?rcpNo=20260522000589", "공시열람")</f>
        <v/>
      </c>
    </row>
    <row r="1457" ht="22" customHeight="1">
      <c r="A1457" s="2" t="inlineStr">
        <is>
          <t>2026-05-22</t>
        </is>
      </c>
      <c r="B1457" s="3" t="inlineStr">
        <is>
          <t>서진시스템</t>
        </is>
      </c>
      <c r="C1457" s="2" t="inlineStr">
        <is>
          <t>178320</t>
        </is>
      </c>
      <c r="D1457" s="2" t="inlineStr">
        <is>
          <t>대량보유</t>
        </is>
      </c>
      <c r="E1457" s="3" t="inlineStr">
        <is>
          <t>에스제이밸류업주식회사</t>
        </is>
      </c>
      <c r="F1457" s="3" t="inlineStr">
        <is>
          <t>특별관계자</t>
        </is>
      </c>
      <c r="G1457" s="3" t="inlineStr">
        <is>
          <t>신고대량매매(-)</t>
        </is>
      </c>
      <c r="H1457" s="17" t="n">
        <v>-2000000</v>
      </c>
      <c r="I1457" s="6" t="n">
        <v>64774</v>
      </c>
      <c r="J1457" s="6" t="inlineStr"/>
      <c r="K1457" s="16" t="n">
        <v>12</v>
      </c>
      <c r="L1457" s="2" t="inlineStr">
        <is>
          <t>20260522000578</t>
        </is>
      </c>
      <c r="M1457" s="8">
        <f>HYPERLINK("https://dart.fss.or.kr/dsaf001/main.do?rcpNo=20260522000578", "공시열람")</f>
        <v/>
      </c>
    </row>
    <row r="1458" ht="22" customHeight="1">
      <c r="A1458" s="2" t="inlineStr">
        <is>
          <t>2026-05-22</t>
        </is>
      </c>
      <c r="B1458" s="3" t="inlineStr">
        <is>
          <t>삼성물산</t>
        </is>
      </c>
      <c r="C1458" s="2" t="inlineStr">
        <is>
          <t>028260</t>
        </is>
      </c>
      <c r="D1458" s="2" t="inlineStr">
        <is>
          <t>대량보유</t>
        </is>
      </c>
      <c r="E1458" s="3" t="inlineStr">
        <is>
          <t>삼성생명보험</t>
        </is>
      </c>
      <c r="F1458" s="3" t="inlineStr">
        <is>
          <t>특별관계자</t>
        </is>
      </c>
      <c r="G1458" s="3" t="inlineStr">
        <is>
          <t>장내매도(-), 장내매수(+)</t>
        </is>
      </c>
      <c r="H1458" s="15" t="n">
        <v>13262</v>
      </c>
      <c r="I1458" s="6" t="n">
        <v>387405</v>
      </c>
      <c r="J1458" s="6" t="n">
        <v>96369</v>
      </c>
      <c r="K1458" s="16" t="n">
        <v>11</v>
      </c>
      <c r="L1458" s="2" t="inlineStr">
        <is>
          <t>20260522000567</t>
        </is>
      </c>
      <c r="M1458" s="8">
        <f>HYPERLINK("https://dart.fss.or.kr/dsaf001/main.do?rcpNo=20260522000567", "공시열람")</f>
        <v/>
      </c>
    </row>
    <row r="1459" ht="22" customHeight="1">
      <c r="A1459" s="2" t="inlineStr">
        <is>
          <t>2026-05-22</t>
        </is>
      </c>
      <c r="B1459" s="3" t="inlineStr">
        <is>
          <t>야스</t>
        </is>
      </c>
      <c r="C1459" s="2" t="inlineStr">
        <is>
          <t>255440</t>
        </is>
      </c>
      <c r="D1459" s="2" t="inlineStr">
        <is>
          <t>대량보유</t>
        </is>
      </c>
      <c r="E1459" s="3" t="inlineStr">
        <is>
          <t>정광호</t>
        </is>
      </c>
      <c r="F1459" s="3" t="inlineStr">
        <is>
          <t>보고자</t>
        </is>
      </c>
      <c r="G1459" s="3" t="inlineStr">
        <is>
          <t>주식담보대출 기간연장</t>
        </is>
      </c>
      <c r="H1459" s="6" t="inlineStr"/>
      <c r="I1459" s="6" t="inlineStr"/>
      <c r="J1459" s="6" t="n">
        <v>6083500</v>
      </c>
      <c r="K1459" s="16" t="n">
        <v>4</v>
      </c>
      <c r="L1459" s="2" t="inlineStr">
        <is>
          <t>20260522000564</t>
        </is>
      </c>
      <c r="M1459" s="8">
        <f>HYPERLINK("https://dart.fss.or.kr/dsaf001/main.do?rcpNo=20260522000564", "공시열람")</f>
        <v/>
      </c>
    </row>
    <row r="1460" ht="22" customHeight="1">
      <c r="A1460" s="2" t="inlineStr">
        <is>
          <t>2026-05-22</t>
        </is>
      </c>
      <c r="B1460" s="3" t="inlineStr">
        <is>
          <t>모베이스</t>
        </is>
      </c>
      <c r="C1460" s="2" t="inlineStr">
        <is>
          <t>101330</t>
        </is>
      </c>
      <c r="D1460" s="2" t="inlineStr">
        <is>
          <t>대량보유</t>
        </is>
      </c>
      <c r="E1460" s="3" t="inlineStr">
        <is>
          <t>테크노에스(주)</t>
        </is>
      </c>
      <c r="F1460" s="3" t="inlineStr">
        <is>
          <t>특별관계자</t>
        </is>
      </c>
      <c r="G1460" s="3" t="inlineStr">
        <is>
          <t>장내매수(+)</t>
        </is>
      </c>
      <c r="H1460" s="15" t="n">
        <v>295993</v>
      </c>
      <c r="I1460" s="6" t="n">
        <v>4815</v>
      </c>
      <c r="J1460" s="6" t="n">
        <v>662401</v>
      </c>
      <c r="K1460" s="16" t="n">
        <v>3</v>
      </c>
      <c r="L1460" s="2" t="inlineStr">
        <is>
          <t>20260522000561</t>
        </is>
      </c>
      <c r="M1460" s="8">
        <f>HYPERLINK("https://dart.fss.or.kr/dsaf001/main.do?rcpNo=20260522000561", "공시열람")</f>
        <v/>
      </c>
    </row>
    <row r="1461" ht="22" customHeight="1">
      <c r="A1461" s="2" t="inlineStr">
        <is>
          <t>2026-05-22 (정정: 2026-06-12)</t>
        </is>
      </c>
      <c r="B1461" s="3" t="inlineStr">
        <is>
          <t>현대엘리베이터</t>
        </is>
      </c>
      <c r="C1461" s="2" t="inlineStr">
        <is>
          <t>017800</t>
        </is>
      </c>
      <c r="D1461" s="2" t="inlineStr">
        <is>
          <t>임원보고</t>
        </is>
      </c>
      <c r="E1461" s="3" t="inlineStr">
        <is>
          <t>현대홀딩스컴퍼니(주)</t>
        </is>
      </c>
      <c r="F1461" s="3" t="inlineStr">
        <is>
          <t>-</t>
        </is>
      </c>
      <c r="G1461" s="3" t="inlineStr">
        <is>
          <t>-</t>
        </is>
      </c>
      <c r="H1461" s="6" t="inlineStr"/>
      <c r="I1461" s="6" t="inlineStr"/>
      <c r="J1461" s="6" t="inlineStr"/>
      <c r="K1461" s="16" t="n">
        <v>24.87</v>
      </c>
      <c r="L1461" s="2" t="inlineStr">
        <is>
          <t>20260612000556</t>
        </is>
      </c>
      <c r="M1461" s="8">
        <f>HYPERLINK("https://dart.fss.or.kr/dsaf001/main.do?rcpNo=20260612000556", "공시열람")</f>
        <v/>
      </c>
    </row>
    <row r="1462" ht="22" customHeight="1">
      <c r="A1462" s="2" t="inlineStr">
        <is>
          <t>2026-05-22</t>
        </is>
      </c>
      <c r="B1462" s="3" t="inlineStr">
        <is>
          <t>DB</t>
        </is>
      </c>
      <c r="C1462" s="2" t="inlineStr">
        <is>
          <t>012030</t>
        </is>
      </c>
      <c r="D1462" s="2" t="inlineStr">
        <is>
          <t>임원보고</t>
        </is>
      </c>
      <c r="E1462" s="3" t="inlineStr">
        <is>
          <t>-</t>
        </is>
      </c>
      <c r="F1462" s="3" t="inlineStr">
        <is>
          <t>-</t>
        </is>
      </c>
      <c r="G1462" s="3" t="inlineStr">
        <is>
          <t>-</t>
        </is>
      </c>
      <c r="H1462" s="6" t="inlineStr"/>
      <c r="I1462" s="6" t="inlineStr"/>
      <c r="J1462" s="6" t="inlineStr"/>
      <c r="K1462" s="16" t="n">
        <v>12</v>
      </c>
      <c r="L1462" s="2" t="inlineStr">
        <is>
          <t>20260522800821</t>
        </is>
      </c>
      <c r="M1462" s="8">
        <f>HYPERLINK("https://dart.fss.or.kr/dsaf001/main.do?rcpNo=20260522800821", "공시열람")</f>
        <v/>
      </c>
    </row>
    <row r="1463" ht="22" customHeight="1">
      <c r="A1463" s="2" t="inlineStr">
        <is>
          <t>2026-05-22</t>
        </is>
      </c>
      <c r="B1463" s="3" t="inlineStr">
        <is>
          <t>애드바이오텍</t>
        </is>
      </c>
      <c r="C1463" s="2" t="inlineStr">
        <is>
          <t>179530</t>
        </is>
      </c>
      <c r="D1463" s="2" t="inlineStr">
        <is>
          <t>대량보유</t>
        </is>
      </c>
      <c r="E1463" s="3" t="inlineStr">
        <is>
          <t>마그나ABC펀드</t>
        </is>
      </c>
      <c r="F1463" s="3" t="inlineStr">
        <is>
          <t>특별관계자</t>
        </is>
      </c>
      <c r="G1463" s="3" t="inlineStr">
        <is>
          <t>전환권등소멸(-)</t>
        </is>
      </c>
      <c r="H1463" s="17" t="n">
        <v>-34047</v>
      </c>
      <c r="I1463" s="6" t="n">
        <v>8811</v>
      </c>
      <c r="J1463" s="6" t="n">
        <v>320442</v>
      </c>
      <c r="K1463" s="16" t="n">
        <v>2</v>
      </c>
      <c r="L1463" s="2" t="inlineStr">
        <is>
          <t>20260522000557</t>
        </is>
      </c>
      <c r="M1463" s="8">
        <f>HYPERLINK("https://dart.fss.or.kr/dsaf001/main.do?rcpNo=20260522000557", "공시열람")</f>
        <v/>
      </c>
    </row>
    <row r="1464" ht="22" customHeight="1">
      <c r="A1464" s="2" t="inlineStr">
        <is>
          <t>2026-05-22</t>
        </is>
      </c>
      <c r="B1464" s="3" t="inlineStr">
        <is>
          <t>애드바이오텍</t>
        </is>
      </c>
      <c r="C1464" s="2" t="inlineStr">
        <is>
          <t>179530</t>
        </is>
      </c>
      <c r="D1464" s="2" t="inlineStr">
        <is>
          <t>대량보유</t>
        </is>
      </c>
      <c r="E1464" s="3" t="inlineStr">
        <is>
          <t>마그나VITA펀드</t>
        </is>
      </c>
      <c r="F1464" s="3" t="inlineStr">
        <is>
          <t>특별관계자</t>
        </is>
      </c>
      <c r="G1464" s="3" t="inlineStr">
        <is>
          <t>전환권등소멸(-)</t>
        </is>
      </c>
      <c r="H1464" s="17" t="n">
        <v>-79446</v>
      </c>
      <c r="I1464" s="6" t="n">
        <v>8811</v>
      </c>
      <c r="J1464" s="6" t="n">
        <v>40914</v>
      </c>
      <c r="K1464" s="16" t="n">
        <v>2</v>
      </c>
      <c r="L1464" s="2" t="inlineStr">
        <is>
          <t>20260522000557</t>
        </is>
      </c>
      <c r="M1464" s="8">
        <f>HYPERLINK("https://dart.fss.or.kr/dsaf001/main.do?rcpNo=20260522000557", "공시열람")</f>
        <v/>
      </c>
    </row>
    <row r="1465" ht="22" customHeight="1">
      <c r="A1465" s="2" t="inlineStr">
        <is>
          <t>2026-05-22</t>
        </is>
      </c>
      <c r="B1465" s="3" t="inlineStr">
        <is>
          <t>현대엘리베이터</t>
        </is>
      </c>
      <c r="C1465" s="2" t="inlineStr">
        <is>
          <t>017800</t>
        </is>
      </c>
      <c r="D1465" s="2" t="inlineStr">
        <is>
          <t>대량보유</t>
        </is>
      </c>
      <c r="E1465" s="3" t="inlineStr">
        <is>
          <t>정지이</t>
        </is>
      </c>
      <c r="F1465" s="3" t="inlineStr">
        <is>
          <t>특별관계자</t>
        </is>
      </c>
      <c r="G1465" s="3" t="inlineStr">
        <is>
          <t>장내매수(+)</t>
        </is>
      </c>
      <c r="H1465" s="15" t="n">
        <v>89406</v>
      </c>
      <c r="I1465" s="6" t="n">
        <v>95395</v>
      </c>
      <c r="J1465" s="6" t="n">
        <v>1177712</v>
      </c>
      <c r="K1465" s="16" t="n">
        <v>15</v>
      </c>
      <c r="L1465" s="2" t="inlineStr">
        <is>
          <t>20260522000550</t>
        </is>
      </c>
      <c r="M1465" s="8">
        <f>HYPERLINK("https://dart.fss.or.kr/dsaf001/main.do?rcpNo=20260522000550", "공시열람")</f>
        <v/>
      </c>
    </row>
    <row r="1466" ht="22" customHeight="1">
      <c r="A1466" s="2" t="inlineStr">
        <is>
          <t>2026-05-22</t>
        </is>
      </c>
      <c r="B1466" s="3" t="inlineStr">
        <is>
          <t>솔루엠</t>
        </is>
      </c>
      <c r="C1466" s="2" t="inlineStr">
        <is>
          <t>248070</t>
        </is>
      </c>
      <c r="D1466" s="2" t="inlineStr">
        <is>
          <t>대량보유</t>
        </is>
      </c>
      <c r="E1466" s="3" t="inlineStr">
        <is>
          <t>전성호</t>
        </is>
      </c>
      <c r="F1466" s="3" t="inlineStr">
        <is>
          <t>보고자</t>
        </is>
      </c>
      <c r="G1466" s="3" t="inlineStr">
        <is>
          <t>- 보유주식등에 관한 계약의 변경</t>
        </is>
      </c>
      <c r="H1466" s="6" t="inlineStr"/>
      <c r="I1466" s="6" t="inlineStr"/>
      <c r="J1466" s="6" t="n">
        <v>17936478</v>
      </c>
      <c r="K1466" s="16" t="n">
        <v>23</v>
      </c>
      <c r="L1466" s="2" t="inlineStr">
        <is>
          <t>20260522000548</t>
        </is>
      </c>
      <c r="M1466" s="8">
        <f>HYPERLINK("https://dart.fss.or.kr/dsaf001/main.do?rcpNo=20260522000548", "공시열람")</f>
        <v/>
      </c>
    </row>
    <row r="1467" ht="22" customHeight="1">
      <c r="A1467" s="2" t="inlineStr">
        <is>
          <t>2026-05-22</t>
        </is>
      </c>
      <c r="B1467" s="3" t="inlineStr">
        <is>
          <t>판타지오</t>
        </is>
      </c>
      <c r="C1467" s="2" t="inlineStr">
        <is>
          <t>032800</t>
        </is>
      </c>
      <c r="D1467" s="2" t="inlineStr">
        <is>
          <t>대량보유</t>
        </is>
      </c>
      <c r="E1467" s="3" t="inlineStr">
        <is>
          <t>(주)미래아이앤지</t>
        </is>
      </c>
      <c r="F1467" s="3" t="inlineStr">
        <is>
          <t>특별관계자</t>
        </is>
      </c>
      <c r="G1467" s="3" t="inlineStr">
        <is>
          <t>행사가액조정</t>
        </is>
      </c>
      <c r="H1467" s="17" t="n">
        <v>-1203457</v>
      </c>
      <c r="I1467" s="6" t="n">
        <v>2370</v>
      </c>
      <c r="J1467" s="6" t="n">
        <v>2876297</v>
      </c>
      <c r="K1467" s="16" t="n">
        <v>3</v>
      </c>
      <c r="L1467" s="2" t="inlineStr">
        <is>
          <t>20260522000545</t>
        </is>
      </c>
      <c r="M1467" s="8">
        <f>HYPERLINK("https://dart.fss.or.kr/dsaf001/main.do?rcpNo=20260522000545", "공시열람")</f>
        <v/>
      </c>
    </row>
    <row r="1468" ht="22" customHeight="1">
      <c r="A1468" s="2" t="inlineStr">
        <is>
          <t>2026-05-22</t>
        </is>
      </c>
      <c r="B1468" s="3" t="inlineStr">
        <is>
          <t>판타지오</t>
        </is>
      </c>
      <c r="C1468" s="2" t="inlineStr">
        <is>
          <t>032800</t>
        </is>
      </c>
      <c r="D1468" s="2" t="inlineStr">
        <is>
          <t>대량보유</t>
        </is>
      </c>
      <c r="E1468" s="3" t="inlineStr">
        <is>
          <t>(주)인콘</t>
        </is>
      </c>
      <c r="F1468" s="3" t="inlineStr">
        <is>
          <t>특별관계자</t>
        </is>
      </c>
      <c r="G1468" s="3" t="inlineStr">
        <is>
          <t>행사가액조정</t>
        </is>
      </c>
      <c r="H1468" s="17" t="n">
        <v>-1149166</v>
      </c>
      <c r="I1468" s="6" t="n">
        <v>2370</v>
      </c>
      <c r="J1468" s="6" t="n">
        <v>2746539</v>
      </c>
      <c r="K1468" s="16" t="n">
        <v>3</v>
      </c>
      <c r="L1468" s="2" t="inlineStr">
        <is>
          <t>20260522000545</t>
        </is>
      </c>
      <c r="M1468" s="8">
        <f>HYPERLINK("https://dart.fss.or.kr/dsaf001/main.do?rcpNo=20260522000545", "공시열람")</f>
        <v/>
      </c>
    </row>
    <row r="1469" ht="22" customHeight="1">
      <c r="A1469" s="2" t="inlineStr">
        <is>
          <t>2026-05-22</t>
        </is>
      </c>
      <c r="B1469" s="3" t="inlineStr">
        <is>
          <t>휴마시스</t>
        </is>
      </c>
      <c r="C1469" s="2" t="inlineStr">
        <is>
          <t>205470</t>
        </is>
      </c>
      <c r="D1469" s="2" t="inlineStr">
        <is>
          <t>대량보유</t>
        </is>
      </c>
      <c r="E1469" s="3" t="inlineStr">
        <is>
          <t>주식회사인콘</t>
        </is>
      </c>
      <c r="F1469" s="3" t="inlineStr">
        <is>
          <t>특별관계자</t>
        </is>
      </c>
      <c r="G1469" s="3" t="inlineStr">
        <is>
          <t>장내매수(+)</t>
        </is>
      </c>
      <c r="H1469" s="15" t="n">
        <v>371934</v>
      </c>
      <c r="I1469" s="6" t="n">
        <v>4137</v>
      </c>
      <c r="J1469" s="6" t="n">
        <v>1604264</v>
      </c>
      <c r="K1469" s="16" t="n">
        <v>4</v>
      </c>
      <c r="L1469" s="2" t="inlineStr">
        <is>
          <t>20260522000540</t>
        </is>
      </c>
      <c r="M1469" s="8">
        <f>HYPERLINK("https://dart.fss.or.kr/dsaf001/main.do?rcpNo=20260522000540", "공시열람")</f>
        <v/>
      </c>
    </row>
    <row r="1470" ht="22" customHeight="1">
      <c r="A1470" s="2" t="inlineStr">
        <is>
          <t>2026-05-22</t>
        </is>
      </c>
      <c r="B1470" s="3" t="inlineStr">
        <is>
          <t>미투온</t>
        </is>
      </c>
      <c r="C1470" s="2" t="inlineStr">
        <is>
          <t>201490</t>
        </is>
      </c>
      <c r="D1470" s="2" t="inlineStr">
        <is>
          <t>대량보유</t>
        </is>
      </c>
      <c r="E1470" s="3" t="inlineStr">
        <is>
          <t>손창욱</t>
        </is>
      </c>
      <c r="F1470" s="3" t="inlineStr">
        <is>
          <t>특별관계자</t>
        </is>
      </c>
      <c r="G1470" s="3" t="inlineStr">
        <is>
          <t>콜옵션취득(+), 기타(-), 콜옵션권리행사에따른CB취득(+), 전환등(-), 전환사채의권리행사(+)</t>
        </is>
      </c>
      <c r="H1470" s="15" t="n">
        <v>114037</v>
      </c>
      <c r="I1470" s="6" t="n">
        <v>2042</v>
      </c>
      <c r="J1470" s="6" t="n">
        <v>6550000</v>
      </c>
      <c r="K1470" s="16" t="n">
        <v>4</v>
      </c>
      <c r="L1470" s="2" t="inlineStr">
        <is>
          <t>20260522000538</t>
        </is>
      </c>
      <c r="M1470" s="8">
        <f>HYPERLINK("https://dart.fss.or.kr/dsaf001/main.do?rcpNo=20260522000538", "공시열람")</f>
        <v/>
      </c>
    </row>
    <row r="1471" ht="22" customHeight="1">
      <c r="A1471" s="2" t="inlineStr">
        <is>
          <t>2026-05-22</t>
        </is>
      </c>
      <c r="B1471" s="3" t="inlineStr">
        <is>
          <t>미투온</t>
        </is>
      </c>
      <c r="C1471" s="2" t="inlineStr">
        <is>
          <t>201490</t>
        </is>
      </c>
      <c r="D1471" s="2" t="inlineStr">
        <is>
          <t>대량보유</t>
        </is>
      </c>
      <c r="E1471" s="3" t="inlineStr">
        <is>
          <t>최원석</t>
        </is>
      </c>
      <c r="F1471" s="3" t="inlineStr">
        <is>
          <t>특별관계자</t>
        </is>
      </c>
      <c r="G1471" s="3" t="inlineStr">
        <is>
          <t>콜옵션취득(+), 기타(-), 콜옵션권리행사에따른CB취득(+), 전환등(-), 전환사채의권리행사(+)</t>
        </is>
      </c>
      <c r="H1471" s="15" t="n">
        <v>8000</v>
      </c>
      <c r="I1471" s="6" t="n">
        <v>2042</v>
      </c>
      <c r="J1471" s="6" t="n">
        <v>120000</v>
      </c>
      <c r="K1471" s="16" t="n">
        <v>4</v>
      </c>
      <c r="L1471" s="2" t="inlineStr">
        <is>
          <t>20260522000538</t>
        </is>
      </c>
      <c r="M1471" s="8">
        <f>HYPERLINK("https://dart.fss.or.kr/dsaf001/main.do?rcpNo=20260522000538", "공시열람")</f>
        <v/>
      </c>
    </row>
    <row r="1472" ht="22" customHeight="1">
      <c r="A1472" s="2" t="inlineStr">
        <is>
          <t>2026-05-22</t>
        </is>
      </c>
      <c r="B1472" s="3" t="inlineStr">
        <is>
          <t>미투온</t>
        </is>
      </c>
      <c r="C1472" s="2" t="inlineStr">
        <is>
          <t>201490</t>
        </is>
      </c>
      <c r="D1472" s="2" t="inlineStr">
        <is>
          <t>대량보유</t>
        </is>
      </c>
      <c r="E1472" s="3" t="inlineStr">
        <is>
          <t>정현준</t>
        </is>
      </c>
      <c r="F1472" s="3" t="inlineStr">
        <is>
          <t>특별관계자</t>
        </is>
      </c>
      <c r="G1472" s="3" t="inlineStr">
        <is>
          <t>콜옵션취득(+), 기타(-), 콜옵션권리행사에따른CB취득(+), 전환등(-), 전환사채의권리행사(+)</t>
        </is>
      </c>
      <c r="H1472" s="15" t="n">
        <v>1796</v>
      </c>
      <c r="I1472" s="6" t="n">
        <v>2042</v>
      </c>
      <c r="J1472" s="6" t="n">
        <v>25189</v>
      </c>
      <c r="K1472" s="16" t="n">
        <v>4</v>
      </c>
      <c r="L1472" s="2" t="inlineStr">
        <is>
          <t>20260522000538</t>
        </is>
      </c>
      <c r="M1472" s="8">
        <f>HYPERLINK("https://dart.fss.or.kr/dsaf001/main.do?rcpNo=20260522000538", "공시열람")</f>
        <v/>
      </c>
    </row>
    <row r="1473" ht="22" customHeight="1">
      <c r="A1473" s="2" t="inlineStr">
        <is>
          <t>2026-05-22</t>
        </is>
      </c>
      <c r="B1473" s="3" t="inlineStr">
        <is>
          <t>미투온</t>
        </is>
      </c>
      <c r="C1473" s="2" t="inlineStr">
        <is>
          <t>201490</t>
        </is>
      </c>
      <c r="D1473" s="2" t="inlineStr">
        <is>
          <t>대량보유</t>
        </is>
      </c>
      <c r="E1473" s="3" t="inlineStr">
        <is>
          <t>손창환</t>
        </is>
      </c>
      <c r="F1473" s="3" t="inlineStr">
        <is>
          <t>특별관계자</t>
        </is>
      </c>
      <c r="G1473" s="3" t="inlineStr">
        <is>
          <t>콜옵션취득(+), 기타(-), 콜옵션권리행사에따른CB취득(+), 전환등(-), 전환사채의권리행사(+)</t>
        </is>
      </c>
      <c r="H1473" s="15" t="n">
        <v>6083</v>
      </c>
      <c r="I1473" s="6" t="n">
        <v>2042</v>
      </c>
      <c r="J1473" s="6" t="n">
        <v>85301</v>
      </c>
      <c r="K1473" s="16" t="n">
        <v>4</v>
      </c>
      <c r="L1473" s="2" t="inlineStr">
        <is>
          <t>20260522000538</t>
        </is>
      </c>
      <c r="M1473" s="8">
        <f>HYPERLINK("https://dart.fss.or.kr/dsaf001/main.do?rcpNo=20260522000538", "공시열람")</f>
        <v/>
      </c>
    </row>
    <row r="1474" ht="22" customHeight="1">
      <c r="A1474" s="2" t="inlineStr">
        <is>
          <t>2026-05-22</t>
        </is>
      </c>
      <c r="B1474" s="3" t="inlineStr">
        <is>
          <t>미투온</t>
        </is>
      </c>
      <c r="C1474" s="2" t="inlineStr">
        <is>
          <t>201490</t>
        </is>
      </c>
      <c r="D1474" s="2" t="inlineStr">
        <is>
          <t>대량보유</t>
        </is>
      </c>
      <c r="E1474" s="3" t="inlineStr">
        <is>
          <t>김소라</t>
        </is>
      </c>
      <c r="F1474" s="3" t="inlineStr">
        <is>
          <t>특별관계자</t>
        </is>
      </c>
      <c r="G1474" s="3" t="inlineStr">
        <is>
          <t>장내매수(+), 장내매도(-)</t>
        </is>
      </c>
      <c r="H1474" s="15" t="n">
        <v>67544</v>
      </c>
      <c r="I1474" s="6" t="n">
        <v>4790</v>
      </c>
      <c r="J1474" s="6" t="n">
        <v>67544</v>
      </c>
      <c r="K1474" s="16" t="n">
        <v>4</v>
      </c>
      <c r="L1474" s="2" t="inlineStr">
        <is>
          <t>20260522000538</t>
        </is>
      </c>
      <c r="M1474" s="8">
        <f>HYPERLINK("https://dart.fss.or.kr/dsaf001/main.do?rcpNo=20260522000538", "공시열람")</f>
        <v/>
      </c>
    </row>
    <row r="1475" ht="22" customHeight="1">
      <c r="A1475" s="2" t="inlineStr">
        <is>
          <t>2026-05-22</t>
        </is>
      </c>
      <c r="B1475" s="3" t="inlineStr">
        <is>
          <t>DB</t>
        </is>
      </c>
      <c r="C1475" s="2" t="inlineStr">
        <is>
          <t>012030</t>
        </is>
      </c>
      <c r="D1475" s="2" t="inlineStr">
        <is>
          <t>대량보유</t>
        </is>
      </c>
      <c r="E1475" s="3" t="inlineStr">
        <is>
          <t>삼동흥산(주)</t>
        </is>
      </c>
      <c r="F1475" s="3" t="inlineStr">
        <is>
          <t>특별관계자</t>
        </is>
      </c>
      <c r="G1475" s="3" t="inlineStr">
        <is>
          <t>특별관계해소(-)</t>
        </is>
      </c>
      <c r="H1475" s="17" t="n">
        <v>-4437438</v>
      </c>
      <c r="I1475" s="6" t="inlineStr"/>
      <c r="J1475" s="6" t="inlineStr"/>
      <c r="K1475" s="16" t="n">
        <v>13</v>
      </c>
      <c r="L1475" s="2" t="inlineStr">
        <is>
          <t>20260522000536</t>
        </is>
      </c>
      <c r="M1475" s="8">
        <f>HYPERLINK("https://dart.fss.or.kr/dsaf001/main.do?rcpNo=20260522000536", "공시열람")</f>
        <v/>
      </c>
    </row>
    <row r="1476" ht="22" customHeight="1">
      <c r="A1476" s="2" t="inlineStr">
        <is>
          <t>2026-05-22</t>
        </is>
      </c>
      <c r="B1476" s="3" t="inlineStr">
        <is>
          <t>DB</t>
        </is>
      </c>
      <c r="C1476" s="2" t="inlineStr">
        <is>
          <t>012030</t>
        </is>
      </c>
      <c r="D1476" s="2" t="inlineStr">
        <is>
          <t>대량보유</t>
        </is>
      </c>
      <c r="E1476" s="3" t="inlineStr">
        <is>
          <t>(주)빌텍</t>
        </is>
      </c>
      <c r="F1476" s="3" t="inlineStr">
        <is>
          <t>특별관계자</t>
        </is>
      </c>
      <c r="G1476" s="3" t="inlineStr">
        <is>
          <t>특별관계해소(-)</t>
        </is>
      </c>
      <c r="H1476" s="17" t="n">
        <v>-2991878</v>
      </c>
      <c r="I1476" s="6" t="inlineStr"/>
      <c r="J1476" s="6" t="inlineStr"/>
      <c r="K1476" s="16" t="n">
        <v>13</v>
      </c>
      <c r="L1476" s="2" t="inlineStr">
        <is>
          <t>20260522000536</t>
        </is>
      </c>
      <c r="M1476" s="8">
        <f>HYPERLINK("https://dart.fss.or.kr/dsaf001/main.do?rcpNo=20260522000536", "공시열람")</f>
        <v/>
      </c>
    </row>
    <row r="1477" ht="22" customHeight="1">
      <c r="A1477" s="2" t="inlineStr">
        <is>
          <t>2026-05-22</t>
        </is>
      </c>
      <c r="B1477" s="3" t="inlineStr">
        <is>
          <t>DB</t>
        </is>
      </c>
      <c r="C1477" s="2" t="inlineStr">
        <is>
          <t>012030</t>
        </is>
      </c>
      <c r="D1477" s="2" t="inlineStr">
        <is>
          <t>대량보유</t>
        </is>
      </c>
      <c r="E1477" s="3" t="inlineStr">
        <is>
          <t>신해철</t>
        </is>
      </c>
      <c r="F1477" s="3" t="inlineStr">
        <is>
          <t>특별관계자</t>
        </is>
      </c>
      <c r="G1477" s="3" t="inlineStr">
        <is>
          <t>특별관계해소(-)</t>
        </is>
      </c>
      <c r="H1477" s="17" t="n">
        <v>-3100</v>
      </c>
      <c r="I1477" s="6" t="inlineStr"/>
      <c r="J1477" s="6" t="inlineStr"/>
      <c r="K1477" s="16" t="n">
        <v>13</v>
      </c>
      <c r="L1477" s="2" t="inlineStr">
        <is>
          <t>20260522000536</t>
        </is>
      </c>
      <c r="M1477" s="8">
        <f>HYPERLINK("https://dart.fss.or.kr/dsaf001/main.do?rcpNo=20260522000536", "공시열람")</f>
        <v/>
      </c>
    </row>
    <row r="1478" ht="22" customHeight="1">
      <c r="A1478" s="2" t="inlineStr">
        <is>
          <t>2026-05-22</t>
        </is>
      </c>
      <c r="B1478" s="3" t="inlineStr">
        <is>
          <t>아센디오</t>
        </is>
      </c>
      <c r="C1478" s="2" t="inlineStr">
        <is>
          <t>012170</t>
        </is>
      </c>
      <c r="D1478" s="2" t="inlineStr">
        <is>
          <t>대량보유</t>
        </is>
      </c>
      <c r="E1478" s="3" t="inlineStr">
        <is>
          <t>키위제1호조합</t>
        </is>
      </c>
      <c r="F1478" s="3" t="inlineStr">
        <is>
          <t>특별관계자</t>
        </is>
      </c>
      <c r="G1478" s="3" t="inlineStr">
        <is>
          <t>제3자배정유상증자(+)</t>
        </is>
      </c>
      <c r="H1478" s="15" t="n">
        <v>856898</v>
      </c>
      <c r="I1478" s="6" t="n">
        <v>1167</v>
      </c>
      <c r="J1478" s="6" t="n">
        <v>9376451</v>
      </c>
      <c r="K1478" s="16" t="n">
        <v>1</v>
      </c>
      <c r="L1478" s="2" t="inlineStr">
        <is>
          <t>20260522000527</t>
        </is>
      </c>
      <c r="M1478" s="8">
        <f>HYPERLINK("https://dart.fss.or.kr/dsaf001/main.do?rcpNo=20260522000527", "공시열람")</f>
        <v/>
      </c>
    </row>
    <row r="1479" ht="22" customHeight="1">
      <c r="A1479" s="2" t="inlineStr">
        <is>
          <t>2026-05-22</t>
        </is>
      </c>
      <c r="B1479" s="3" t="inlineStr">
        <is>
          <t>코퍼스코리아</t>
        </is>
      </c>
      <c r="C1479" s="2" t="inlineStr">
        <is>
          <t>322780</t>
        </is>
      </c>
      <c r="D1479" s="2" t="inlineStr">
        <is>
          <t>대량보유</t>
        </is>
      </c>
      <c r="E1479" s="3" t="inlineStr">
        <is>
          <t>수성자산운용(주)</t>
        </is>
      </c>
      <c r="F1479" s="3" t="inlineStr">
        <is>
          <t>특별관계자</t>
        </is>
      </c>
      <c r="G1479" s="3" t="inlineStr">
        <is>
          <t>장외매도(-)</t>
        </is>
      </c>
      <c r="H1479" s="17" t="n">
        <v>-149275</v>
      </c>
      <c r="I1479" s="6" t="n">
        <v>1261</v>
      </c>
      <c r="J1479" s="6" t="n">
        <v>2732973</v>
      </c>
      <c r="K1479" s="16" t="n">
        <v>5.74</v>
      </c>
      <c r="L1479" s="2" t="inlineStr">
        <is>
          <t>20260522000521</t>
        </is>
      </c>
      <c r="M1479" s="8">
        <f>HYPERLINK("https://dart.fss.or.kr/dsaf001/main.do?rcpNo=20260522000521", "공시열람")</f>
        <v/>
      </c>
    </row>
    <row r="1480" ht="22" customHeight="1">
      <c r="A1480" s="2" t="inlineStr">
        <is>
          <t>2026-05-22</t>
        </is>
      </c>
      <c r="B1480" s="3" t="inlineStr">
        <is>
          <t>DB하이텍</t>
        </is>
      </c>
      <c r="C1480" s="2" t="inlineStr">
        <is>
          <t>000990</t>
        </is>
      </c>
      <c r="D1480" s="2" t="inlineStr">
        <is>
          <t>대량보유</t>
        </is>
      </c>
      <c r="E1480" s="3" t="inlineStr">
        <is>
          <t>삼동흥산(주)</t>
        </is>
      </c>
      <c r="F1480" s="3" t="inlineStr">
        <is>
          <t>특별관계자</t>
        </is>
      </c>
      <c r="G1480" s="3" t="inlineStr">
        <is>
          <t>특별관계해소(-)</t>
        </is>
      </c>
      <c r="H1480" s="17" t="n">
        <v>-945000</v>
      </c>
      <c r="I1480" s="6" t="inlineStr"/>
      <c r="J1480" s="6" t="inlineStr"/>
      <c r="K1480" s="16" t="n">
        <v>9</v>
      </c>
      <c r="L1480" s="2" t="inlineStr">
        <is>
          <t>20260522000520</t>
        </is>
      </c>
      <c r="M1480" s="8">
        <f>HYPERLINK("https://dart.fss.or.kr/dsaf001/main.do?rcpNo=20260522000520", "공시열람")</f>
        <v/>
      </c>
    </row>
    <row r="1481" ht="22" customHeight="1">
      <c r="A1481" s="2" t="inlineStr">
        <is>
          <t>2026-05-22</t>
        </is>
      </c>
      <c r="B1481" s="3" t="inlineStr">
        <is>
          <t>DB하이텍</t>
        </is>
      </c>
      <c r="C1481" s="2" t="inlineStr">
        <is>
          <t>000990</t>
        </is>
      </c>
      <c r="D1481" s="2" t="inlineStr">
        <is>
          <t>대량보유</t>
        </is>
      </c>
      <c r="E1481" s="3" t="inlineStr">
        <is>
          <t>(주)빌텍</t>
        </is>
      </c>
      <c r="F1481" s="3" t="inlineStr">
        <is>
          <t>특별관계자</t>
        </is>
      </c>
      <c r="G1481" s="3" t="inlineStr">
        <is>
          <t>특별관계해소(-)</t>
        </is>
      </c>
      <c r="H1481" s="17" t="n">
        <v>-587000</v>
      </c>
      <c r="I1481" s="6" t="inlineStr"/>
      <c r="J1481" s="6" t="inlineStr"/>
      <c r="K1481" s="16" t="n">
        <v>9</v>
      </c>
      <c r="L1481" s="2" t="inlineStr">
        <is>
          <t>20260522000520</t>
        </is>
      </c>
      <c r="M1481" s="8">
        <f>HYPERLINK("https://dart.fss.or.kr/dsaf001/main.do?rcpNo=20260522000520", "공시열람")</f>
        <v/>
      </c>
    </row>
    <row r="1482" ht="22" customHeight="1">
      <c r="A1482" s="2" t="inlineStr">
        <is>
          <t>2026-05-22</t>
        </is>
      </c>
      <c r="B1482" s="3" t="inlineStr">
        <is>
          <t>DB하이텍</t>
        </is>
      </c>
      <c r="C1482" s="2" t="inlineStr">
        <is>
          <t>000990</t>
        </is>
      </c>
      <c r="D1482" s="2" t="inlineStr">
        <is>
          <t>대량보유</t>
        </is>
      </c>
      <c r="E1482" s="3" t="inlineStr">
        <is>
          <t>신해철</t>
        </is>
      </c>
      <c r="F1482" s="3" t="inlineStr">
        <is>
          <t>특별관계자</t>
        </is>
      </c>
      <c r="G1482" s="3" t="inlineStr">
        <is>
          <t>특별관계해소(-)</t>
        </is>
      </c>
      <c r="H1482" s="17" t="n">
        <v>-20</v>
      </c>
      <c r="I1482" s="6" t="inlineStr"/>
      <c r="J1482" s="6" t="inlineStr"/>
      <c r="K1482" s="16" t="n">
        <v>9</v>
      </c>
      <c r="L1482" s="2" t="inlineStr">
        <is>
          <t>20260522000520</t>
        </is>
      </c>
      <c r="M1482" s="8">
        <f>HYPERLINK("https://dart.fss.or.kr/dsaf001/main.do?rcpNo=20260522000520", "공시열람")</f>
        <v/>
      </c>
    </row>
    <row r="1483" ht="22" customHeight="1">
      <c r="A1483" s="2" t="inlineStr">
        <is>
          <t>2026-05-22</t>
        </is>
      </c>
      <c r="B1483" s="3" t="inlineStr">
        <is>
          <t>DB하이텍</t>
        </is>
      </c>
      <c r="C1483" s="2" t="inlineStr">
        <is>
          <t>000990</t>
        </is>
      </c>
      <c r="D1483" s="2" t="inlineStr">
        <is>
          <t>대량보유</t>
        </is>
      </c>
      <c r="E1483" s="3" t="inlineStr">
        <is>
          <t>김재영</t>
        </is>
      </c>
      <c r="F1483" s="3" t="inlineStr">
        <is>
          <t>특별관계자</t>
        </is>
      </c>
      <c r="G1483" s="3" t="inlineStr">
        <is>
          <t>특별관계해소(-)</t>
        </is>
      </c>
      <c r="H1483" s="17" t="n">
        <v>-240</v>
      </c>
      <c r="I1483" s="6" t="inlineStr"/>
      <c r="J1483" s="6" t="inlineStr"/>
      <c r="K1483" s="16" t="n">
        <v>9</v>
      </c>
      <c r="L1483" s="2" t="inlineStr">
        <is>
          <t>20260522000520</t>
        </is>
      </c>
      <c r="M1483" s="8">
        <f>HYPERLINK("https://dart.fss.or.kr/dsaf001/main.do?rcpNo=20260522000520", "공시열람")</f>
        <v/>
      </c>
    </row>
    <row r="1484" ht="22" customHeight="1">
      <c r="A1484" s="2" t="inlineStr">
        <is>
          <t>2026-05-22</t>
        </is>
      </c>
      <c r="B1484" s="3" t="inlineStr">
        <is>
          <t>에프엔씨엔터</t>
        </is>
      </c>
      <c r="C1484" s="2" t="inlineStr">
        <is>
          <t>173940</t>
        </is>
      </c>
      <c r="D1484" s="2" t="inlineStr">
        <is>
          <t>대량보유</t>
        </is>
      </c>
      <c r="E1484" s="3" t="inlineStr">
        <is>
          <t>(주)와이지플러스</t>
        </is>
      </c>
      <c r="F1484" s="3" t="inlineStr">
        <is>
          <t>특별관계자</t>
        </is>
      </c>
      <c r="G1484" s="3" t="inlineStr">
        <is>
          <t>CB인수(+)</t>
        </is>
      </c>
      <c r="H1484" s="15" t="n">
        <v>2587322</v>
      </c>
      <c r="I1484" s="6" t="n">
        <v>4638</v>
      </c>
      <c r="J1484" s="6" t="n">
        <v>2587322</v>
      </c>
      <c r="K1484" s="16" t="n">
        <v>14.39</v>
      </c>
      <c r="L1484" s="2" t="inlineStr">
        <is>
          <t>20260522000512</t>
        </is>
      </c>
      <c r="M1484" s="8">
        <f>HYPERLINK("https://dart.fss.or.kr/dsaf001/main.do?rcpNo=20260522000512", "공시열람")</f>
        <v/>
      </c>
    </row>
    <row r="1485" ht="22" customHeight="1">
      <c r="A1485" s="2" t="inlineStr">
        <is>
          <t>2026-05-22</t>
        </is>
      </c>
      <c r="B1485" s="3" t="inlineStr">
        <is>
          <t>한일시멘트</t>
        </is>
      </c>
      <c r="C1485" s="2" t="inlineStr">
        <is>
          <t>300720</t>
        </is>
      </c>
      <c r="D1485" s="2" t="inlineStr">
        <is>
          <t>대량보유</t>
        </is>
      </c>
      <c r="E1485" s="3" t="inlineStr">
        <is>
          <t>한일홀딩스㈜</t>
        </is>
      </c>
      <c r="F1485" s="3" t="inlineStr">
        <is>
          <t>보고자</t>
        </is>
      </c>
      <c r="G1485" s="3" t="inlineStr">
        <is>
          <t>보고자의 질권 일부 해지</t>
        </is>
      </c>
      <c r="H1485" s="6" t="inlineStr"/>
      <c r="I1485" s="6" t="inlineStr"/>
      <c r="J1485" s="6" t="n">
        <v>52464952</v>
      </c>
      <c r="K1485" s="16" t="n">
        <v>11</v>
      </c>
      <c r="L1485" s="2" t="inlineStr">
        <is>
          <t>20260522000502</t>
        </is>
      </c>
      <c r="M1485" s="8">
        <f>HYPERLINK("https://dart.fss.or.kr/dsaf001/main.do?rcpNo=20260522000502", "공시열람")</f>
        <v/>
      </c>
    </row>
    <row r="1486" ht="22" customHeight="1">
      <c r="A1486" s="2" t="inlineStr">
        <is>
          <t>2026-05-22</t>
        </is>
      </c>
      <c r="B1486" s="3" t="inlineStr">
        <is>
          <t>제주항공</t>
        </is>
      </c>
      <c r="C1486" s="2" t="inlineStr">
        <is>
          <t>089590</t>
        </is>
      </c>
      <c r="D1486" s="2" t="inlineStr">
        <is>
          <t>임원보고</t>
        </is>
      </c>
      <c r="E1486" s="3" t="inlineStr">
        <is>
          <t>-</t>
        </is>
      </c>
      <c r="F1486" s="3" t="inlineStr">
        <is>
          <t>-</t>
        </is>
      </c>
      <c r="G1486" s="3" t="inlineStr">
        <is>
          <t>-</t>
        </is>
      </c>
      <c r="H1486" s="6" t="inlineStr"/>
      <c r="I1486" s="6" t="inlineStr"/>
      <c r="J1486" s="6" t="inlineStr"/>
      <c r="K1486" s="16" t="n">
        <v>12</v>
      </c>
      <c r="L1486" s="2" t="inlineStr">
        <is>
          <t>20260522800695</t>
        </is>
      </c>
      <c r="M1486" s="8">
        <f>HYPERLINK("https://dart.fss.or.kr/dsaf001/main.do?rcpNo=20260522800695", "공시열람")</f>
        <v/>
      </c>
    </row>
    <row r="1487" ht="22" customHeight="1">
      <c r="A1487" s="2" t="inlineStr">
        <is>
          <t>2026-05-22</t>
        </is>
      </c>
      <c r="B1487" s="3" t="inlineStr">
        <is>
          <t>에스와이</t>
        </is>
      </c>
      <c r="C1487" s="2" t="inlineStr">
        <is>
          <t>109610</t>
        </is>
      </c>
      <c r="D1487" s="2" t="inlineStr">
        <is>
          <t>대량보유</t>
        </is>
      </c>
      <c r="E1487" s="3" t="inlineStr">
        <is>
          <t>김옥주</t>
        </is>
      </c>
      <c r="F1487" s="3" t="inlineStr">
        <is>
          <t>특별관계자</t>
        </is>
      </c>
      <c r="G1487" s="3" t="inlineStr">
        <is>
          <t>장내매도(-)</t>
        </is>
      </c>
      <c r="H1487" s="17" t="n">
        <v>-24000</v>
      </c>
      <c r="I1487" s="6" t="n">
        <v>2431</v>
      </c>
      <c r="J1487" s="6" t="n">
        <v>186273</v>
      </c>
      <c r="K1487" s="16" t="n">
        <v>18</v>
      </c>
      <c r="L1487" s="2" t="inlineStr">
        <is>
          <t>20260522000486</t>
        </is>
      </c>
      <c r="M1487" s="8">
        <f>HYPERLINK("https://dart.fss.or.kr/dsaf001/main.do?rcpNo=20260522000486", "공시열람")</f>
        <v/>
      </c>
    </row>
    <row r="1488" ht="22" customHeight="1">
      <c r="A1488" s="2" t="inlineStr">
        <is>
          <t>2026-05-22</t>
        </is>
      </c>
      <c r="B1488" s="3" t="inlineStr">
        <is>
          <t>판타지오</t>
        </is>
      </c>
      <c r="C1488" s="2" t="inlineStr">
        <is>
          <t>032800</t>
        </is>
      </c>
      <c r="D1488" s="2" t="inlineStr">
        <is>
          <t>대량보유</t>
        </is>
      </c>
      <c r="E1488" s="3" t="inlineStr">
        <is>
          <t>(주)엑스</t>
        </is>
      </c>
      <c r="F1488" s="3" t="inlineStr">
        <is>
          <t>특별관계자</t>
        </is>
      </c>
      <c r="G1488" s="3" t="inlineStr">
        <is>
          <t>제3자배정유상증자(+)</t>
        </is>
      </c>
      <c r="H1488" s="15" t="n">
        <v>3270111</v>
      </c>
      <c r="I1488" s="6" t="n">
        <v>1529</v>
      </c>
      <c r="J1488" s="6" t="n">
        <v>3270111</v>
      </c>
      <c r="K1488" s="16" t="n">
        <v>2</v>
      </c>
      <c r="L1488" s="2" t="inlineStr">
        <is>
          <t>20260522000485</t>
        </is>
      </c>
      <c r="M1488" s="8">
        <f>HYPERLINK("https://dart.fss.or.kr/dsaf001/main.do?rcpNo=20260522000485", "공시열람")</f>
        <v/>
      </c>
    </row>
    <row r="1489" ht="22" customHeight="1">
      <c r="A1489" s="2" t="inlineStr">
        <is>
          <t>2026-05-22</t>
        </is>
      </c>
      <c r="B1489" s="3" t="inlineStr">
        <is>
          <t>판타지오</t>
        </is>
      </c>
      <c r="C1489" s="2" t="inlineStr">
        <is>
          <t>032800</t>
        </is>
      </c>
      <c r="D1489" s="2" t="inlineStr">
        <is>
          <t>대량보유</t>
        </is>
      </c>
      <c r="E1489" s="3" t="inlineStr">
        <is>
          <t>(주)남산물산</t>
        </is>
      </c>
      <c r="F1489" s="3" t="inlineStr">
        <is>
          <t>특별관계자</t>
        </is>
      </c>
      <c r="G1489" s="3" t="inlineStr">
        <is>
          <t>기타(+)</t>
        </is>
      </c>
      <c r="H1489" s="15" t="n">
        <v>134953</v>
      </c>
      <c r="I1489" s="6" t="inlineStr"/>
      <c r="J1489" s="6" t="n">
        <v>134953</v>
      </c>
      <c r="K1489" s="16" t="n">
        <v>2</v>
      </c>
      <c r="L1489" s="2" t="inlineStr">
        <is>
          <t>20260522000485</t>
        </is>
      </c>
      <c r="M1489" s="8">
        <f>HYPERLINK("https://dart.fss.or.kr/dsaf001/main.do?rcpNo=20260522000485", "공시열람")</f>
        <v/>
      </c>
    </row>
    <row r="1490" ht="22" customHeight="1">
      <c r="A1490" s="2" t="inlineStr">
        <is>
          <t>2026-05-22</t>
        </is>
      </c>
      <c r="B1490" s="3" t="inlineStr">
        <is>
          <t>링크솔루션</t>
        </is>
      </c>
      <c r="C1490" s="2" t="inlineStr">
        <is>
          <t>474650</t>
        </is>
      </c>
      <c r="D1490" s="2" t="inlineStr">
        <is>
          <t>대량보유</t>
        </is>
      </c>
      <c r="E1490" s="3" t="inlineStr">
        <is>
          <t>하나증권(주)</t>
        </is>
      </c>
      <c r="F1490" s="3" t="inlineStr">
        <is>
          <t>특별관계자</t>
        </is>
      </c>
      <c r="G1490" s="3" t="inlineStr">
        <is>
          <t>장내매수(+), 장내매도(-)</t>
        </is>
      </c>
      <c r="H1490" s="15" t="n">
        <v>11532</v>
      </c>
      <c r="I1490" s="6" t="n">
        <v>56119</v>
      </c>
      <c r="J1490" s="6" t="n">
        <v>282626</v>
      </c>
      <c r="K1490" s="16" t="n">
        <v>4.92</v>
      </c>
      <c r="L1490" s="2" t="inlineStr">
        <is>
          <t>20260522000482</t>
        </is>
      </c>
      <c r="M1490" s="8">
        <f>HYPERLINK("https://dart.fss.or.kr/dsaf001/main.do?rcpNo=20260522000482", "공시열람")</f>
        <v/>
      </c>
    </row>
    <row r="1491" ht="22" customHeight="1">
      <c r="A1491" s="2" t="inlineStr">
        <is>
          <t>2026-05-22</t>
        </is>
      </c>
      <c r="B1491" s="3" t="inlineStr">
        <is>
          <t>에이프로젠</t>
        </is>
      </c>
      <c r="C1491" s="2" t="inlineStr">
        <is>
          <t>007460</t>
        </is>
      </c>
      <c r="D1491" s="2" t="inlineStr">
        <is>
          <t>대량보유</t>
        </is>
      </c>
      <c r="E1491" s="3" t="inlineStr">
        <is>
          <t>(주)지베이스</t>
        </is>
      </c>
      <c r="F1491" s="3" t="inlineStr">
        <is>
          <t>보고자</t>
        </is>
      </c>
      <c r="G1491" s="3" t="inlineStr">
        <is>
          <t>특별관계자 보유 전환사채 매매 계약에 따른 변경</t>
        </is>
      </c>
      <c r="H1491" s="6" t="inlineStr"/>
      <c r="I1491" s="6" t="inlineStr"/>
      <c r="J1491" s="6" t="n">
        <v>38925738</v>
      </c>
      <c r="K1491" s="16" t="n">
        <v>9</v>
      </c>
      <c r="L1491" s="2" t="inlineStr">
        <is>
          <t>20260522000481</t>
        </is>
      </c>
      <c r="M1491" s="8">
        <f>HYPERLINK("https://dart.fss.or.kr/dsaf001/main.do?rcpNo=20260522000481", "공시열람")</f>
        <v/>
      </c>
    </row>
    <row r="1492" ht="22" customHeight="1">
      <c r="A1492" s="2" t="inlineStr">
        <is>
          <t>2026-05-22</t>
        </is>
      </c>
      <c r="B1492" s="3" t="inlineStr">
        <is>
          <t>빅솔론</t>
        </is>
      </c>
      <c r="C1492" s="2" t="inlineStr">
        <is>
          <t>093190</t>
        </is>
      </c>
      <c r="D1492" s="2" t="inlineStr">
        <is>
          <t>대량보유</t>
        </is>
      </c>
      <c r="E1492" s="3" t="inlineStr">
        <is>
          <t>아이디피(주)</t>
        </is>
      </c>
      <c r="F1492" s="3" t="inlineStr">
        <is>
          <t>특별관계자</t>
        </is>
      </c>
      <c r="G1492" s="3" t="inlineStr">
        <is>
          <t>장내매수(+)</t>
        </is>
      </c>
      <c r="H1492" s="15" t="n">
        <v>29020</v>
      </c>
      <c r="I1492" s="6" t="n">
        <v>6024</v>
      </c>
      <c r="J1492" s="6" t="n">
        <v>933220</v>
      </c>
      <c r="K1492" s="16" t="n">
        <v>3</v>
      </c>
      <c r="L1492" s="2" t="inlineStr">
        <is>
          <t>20260522000476</t>
        </is>
      </c>
      <c r="M1492" s="8">
        <f>HYPERLINK("https://dart.fss.or.kr/dsaf001/main.do?rcpNo=20260522000476", "공시열람")</f>
        <v/>
      </c>
    </row>
    <row r="1493" ht="22" customHeight="1">
      <c r="A1493" s="2" t="inlineStr">
        <is>
          <t>2026-05-22</t>
        </is>
      </c>
      <c r="B1493" s="3" t="inlineStr">
        <is>
          <t>빅솔론</t>
        </is>
      </c>
      <c r="C1493" s="2" t="inlineStr">
        <is>
          <t>093190</t>
        </is>
      </c>
      <c r="D1493" s="2" t="inlineStr">
        <is>
          <t>대량보유</t>
        </is>
      </c>
      <c r="E1493" s="3" t="inlineStr">
        <is>
          <t>(주)아이디스홀딩스</t>
        </is>
      </c>
      <c r="F1493" s="3" t="inlineStr">
        <is>
          <t>특별관계자</t>
        </is>
      </c>
      <c r="G1493" s="3" t="inlineStr">
        <is>
          <t>장내매수(+)</t>
        </is>
      </c>
      <c r="H1493" s="15" t="n">
        <v>189007</v>
      </c>
      <c r="I1493" s="6" t="n">
        <v>7665</v>
      </c>
      <c r="J1493" s="6" t="n">
        <v>8394707</v>
      </c>
      <c r="K1493" s="16" t="n">
        <v>3</v>
      </c>
      <c r="L1493" s="2" t="inlineStr">
        <is>
          <t>20260522000476</t>
        </is>
      </c>
      <c r="M1493" s="8">
        <f>HYPERLINK("https://dart.fss.or.kr/dsaf001/main.do?rcpNo=20260522000476", "공시열람")</f>
        <v/>
      </c>
    </row>
    <row r="1494" ht="22" customHeight="1">
      <c r="A1494" s="2" t="inlineStr">
        <is>
          <t>2026-05-22</t>
        </is>
      </c>
      <c r="B1494" s="3" t="inlineStr">
        <is>
          <t>더존비즈온</t>
        </is>
      </c>
      <c r="C1494" s="2" t="inlineStr">
        <is>
          <t>012510</t>
        </is>
      </c>
      <c r="D1494" s="2" t="inlineStr">
        <is>
          <t>임원보고</t>
        </is>
      </c>
      <c r="E1494" s="3" t="inlineStr">
        <is>
          <t>-</t>
        </is>
      </c>
      <c r="F1494" s="3" t="inlineStr">
        <is>
          <t>-</t>
        </is>
      </c>
      <c r="G1494" s="3" t="inlineStr">
        <is>
          <t>-</t>
        </is>
      </c>
      <c r="H1494" s="6" t="inlineStr"/>
      <c r="I1494" s="6" t="inlineStr"/>
      <c r="J1494" s="6" t="inlineStr"/>
      <c r="K1494" s="16" t="n">
        <v>12</v>
      </c>
      <c r="L1494" s="2" t="inlineStr">
        <is>
          <t>20260522800675</t>
        </is>
      </c>
      <c r="M1494" s="8">
        <f>HYPERLINK("https://dart.fss.or.kr/dsaf001/main.do?rcpNo=20260522800675", "공시열람")</f>
        <v/>
      </c>
    </row>
    <row r="1495" ht="22" customHeight="1">
      <c r="A1495" s="2" t="inlineStr">
        <is>
          <t>2026-05-22</t>
        </is>
      </c>
      <c r="B1495" s="3" t="inlineStr">
        <is>
          <t>에이비온</t>
        </is>
      </c>
      <c r="C1495" s="2" t="inlineStr">
        <is>
          <t>203400</t>
        </is>
      </c>
      <c r="D1495" s="2" t="inlineStr">
        <is>
          <t>대량보유</t>
        </is>
      </c>
      <c r="E1495" s="3" t="inlineStr">
        <is>
          <t>신영기</t>
        </is>
      </c>
      <c r="F1495" s="3" t="inlineStr">
        <is>
          <t>특별관계자</t>
        </is>
      </c>
      <c r="G1495" s="3" t="inlineStr">
        <is>
          <t>장내매수(+), 장내매도(-)</t>
        </is>
      </c>
      <c r="H1495" s="17" t="n">
        <v>-1022061</v>
      </c>
      <c r="I1495" s="6" t="n">
        <v>1840</v>
      </c>
      <c r="J1495" s="6" t="n">
        <v>6101433</v>
      </c>
      <c r="K1495" s="16" t="n">
        <v>7</v>
      </c>
      <c r="L1495" s="2" t="inlineStr">
        <is>
          <t>20260522000466</t>
        </is>
      </c>
      <c r="M1495" s="8">
        <f>HYPERLINK("https://dart.fss.or.kr/dsaf001/main.do?rcpNo=20260522000466", "공시열람")</f>
        <v/>
      </c>
    </row>
    <row r="1496" ht="22" customHeight="1">
      <c r="A1496" s="2" t="inlineStr">
        <is>
          <t>2026-05-22</t>
        </is>
      </c>
      <c r="B1496" s="3" t="inlineStr">
        <is>
          <t>에이비온</t>
        </is>
      </c>
      <c r="C1496" s="2" t="inlineStr">
        <is>
          <t>203400</t>
        </is>
      </c>
      <c r="D1496" s="2" t="inlineStr">
        <is>
          <t>대량보유</t>
        </is>
      </c>
      <c r="E1496" s="3" t="inlineStr">
        <is>
          <t>우성윤</t>
        </is>
      </c>
      <c r="F1496" s="3" t="inlineStr">
        <is>
          <t>특별관계자</t>
        </is>
      </c>
      <c r="G1496" s="3" t="inlineStr">
        <is>
          <t>장내매수(+)</t>
        </is>
      </c>
      <c r="H1496" s="15" t="n">
        <v>37865</v>
      </c>
      <c r="I1496" s="6" t="n">
        <v>2619</v>
      </c>
      <c r="J1496" s="6" t="n">
        <v>67991</v>
      </c>
      <c r="K1496" s="16" t="n">
        <v>7</v>
      </c>
      <c r="L1496" s="2" t="inlineStr">
        <is>
          <t>20260522000466</t>
        </is>
      </c>
      <c r="M1496" s="8">
        <f>HYPERLINK("https://dart.fss.or.kr/dsaf001/main.do?rcpNo=20260522000466", "공시열람")</f>
        <v/>
      </c>
    </row>
    <row r="1497" ht="22" customHeight="1">
      <c r="A1497" s="2" t="inlineStr">
        <is>
          <t>2026-05-22</t>
        </is>
      </c>
      <c r="B1497" s="3" t="inlineStr">
        <is>
          <t>에이비온</t>
        </is>
      </c>
      <c r="C1497" s="2" t="inlineStr">
        <is>
          <t>203400</t>
        </is>
      </c>
      <c r="D1497" s="2" t="inlineStr">
        <is>
          <t>대량보유</t>
        </is>
      </c>
      <c r="E1497" s="3" t="inlineStr">
        <is>
          <t>김종란</t>
        </is>
      </c>
      <c r="F1497" s="3" t="inlineStr">
        <is>
          <t>특별관계자</t>
        </is>
      </c>
      <c r="G1497" s="3" t="inlineStr">
        <is>
          <t>특별관계해소(-)</t>
        </is>
      </c>
      <c r="H1497" s="17" t="n">
        <v>-16551</v>
      </c>
      <c r="I1497" s="6" t="inlineStr"/>
      <c r="J1497" s="6" t="inlineStr"/>
      <c r="K1497" s="16" t="n">
        <v>7</v>
      </c>
      <c r="L1497" s="2" t="inlineStr">
        <is>
          <t>20260522000466</t>
        </is>
      </c>
      <c r="M1497" s="8">
        <f>HYPERLINK("https://dart.fss.or.kr/dsaf001/main.do?rcpNo=20260522000466", "공시열람")</f>
        <v/>
      </c>
    </row>
    <row r="1498" ht="22" customHeight="1">
      <c r="A1498" s="2" t="inlineStr">
        <is>
          <t>2026-05-22</t>
        </is>
      </c>
      <c r="B1498" s="3" t="inlineStr">
        <is>
          <t>HDC</t>
        </is>
      </c>
      <c r="C1498" s="2" t="inlineStr">
        <is>
          <t>012630</t>
        </is>
      </c>
      <c r="D1498" s="2" t="inlineStr">
        <is>
          <t>임원보고</t>
        </is>
      </c>
      <c r="E1498" s="3" t="inlineStr">
        <is>
          <t>-</t>
        </is>
      </c>
      <c r="F1498" s="3" t="inlineStr">
        <is>
          <t>-</t>
        </is>
      </c>
      <c r="G1498" s="3" t="inlineStr">
        <is>
          <t>-</t>
        </is>
      </c>
      <c r="H1498" s="6" t="inlineStr"/>
      <c r="I1498" s="6" t="inlineStr"/>
      <c r="J1498" s="6" t="inlineStr"/>
      <c r="K1498" s="16" t="n">
        <v>12</v>
      </c>
      <c r="L1498" s="2" t="inlineStr">
        <is>
          <t>20260522800651</t>
        </is>
      </c>
      <c r="M1498" s="8">
        <f>HYPERLINK("https://dart.fss.or.kr/dsaf001/main.do?rcpNo=20260522800651", "공시열람")</f>
        <v/>
      </c>
    </row>
    <row r="1499" ht="22" customHeight="1">
      <c r="A1499" s="2" t="inlineStr">
        <is>
          <t>2026-05-22</t>
        </is>
      </c>
      <c r="B1499" s="3" t="inlineStr">
        <is>
          <t>HDC</t>
        </is>
      </c>
      <c r="C1499" s="2" t="inlineStr">
        <is>
          <t>012630</t>
        </is>
      </c>
      <c r="D1499" s="2" t="inlineStr">
        <is>
          <t>대량보유</t>
        </is>
      </c>
      <c r="E1499" s="3" t="inlineStr">
        <is>
          <t>더블유앤씨인베스트먼트(유)</t>
        </is>
      </c>
      <c r="F1499" s="3" t="inlineStr">
        <is>
          <t>특별관계자</t>
        </is>
      </c>
      <c r="G1499" s="3" t="inlineStr">
        <is>
          <t>장내매수(+)</t>
        </is>
      </c>
      <c r="H1499" s="15" t="n">
        <v>25450</v>
      </c>
      <c r="I1499" s="6" t="n">
        <v>22300</v>
      </c>
      <c r="J1499" s="6" t="n">
        <v>224000</v>
      </c>
      <c r="K1499" s="16" t="n">
        <v>9</v>
      </c>
      <c r="L1499" s="2" t="inlineStr">
        <is>
          <t>20260522000460</t>
        </is>
      </c>
      <c r="M1499" s="8">
        <f>HYPERLINK("https://dart.fss.or.kr/dsaf001/main.do?rcpNo=20260522000460", "공시열람")</f>
        <v/>
      </c>
    </row>
    <row r="1500" ht="22" customHeight="1">
      <c r="A1500" s="2" t="inlineStr">
        <is>
          <t>2026-05-22</t>
        </is>
      </c>
      <c r="B1500" s="3" t="inlineStr">
        <is>
          <t>에이프로젠바이오로직스</t>
        </is>
      </c>
      <c r="C1500" s="2" t="inlineStr">
        <is>
          <t>003060</t>
        </is>
      </c>
      <c r="D1500" s="2" t="inlineStr">
        <is>
          <t>대량보유</t>
        </is>
      </c>
      <c r="E1500" s="3" t="inlineStr">
        <is>
          <t>(주)에이프로젠</t>
        </is>
      </c>
      <c r="F1500" s="3" t="inlineStr">
        <is>
          <t>보고자</t>
        </is>
      </c>
      <c r="G1500" s="3" t="inlineStr">
        <is>
          <t>- 특별관계자 담보 계약 및 전환사채 매매계약에 따른 계약 수량 및 비율 변경</t>
        </is>
      </c>
      <c r="H1500" s="6" t="inlineStr"/>
      <c r="I1500" s="6" t="inlineStr"/>
      <c r="J1500" s="6" t="n">
        <v>30287399</v>
      </c>
      <c r="K1500" s="16" t="n">
        <v>5</v>
      </c>
      <c r="L1500" s="2" t="inlineStr">
        <is>
          <t>20260522000458</t>
        </is>
      </c>
      <c r="M1500" s="8">
        <f>HYPERLINK("https://dart.fss.or.kr/dsaf001/main.do?rcpNo=20260522000458", "공시열람")</f>
        <v/>
      </c>
    </row>
    <row r="1501" ht="22" customHeight="1">
      <c r="A1501" s="2" t="inlineStr">
        <is>
          <t>2026-05-22</t>
        </is>
      </c>
      <c r="B1501" s="3" t="inlineStr">
        <is>
          <t>OCI홀딩스</t>
        </is>
      </c>
      <c r="C1501" s="2" t="inlineStr">
        <is>
          <t>010060</t>
        </is>
      </c>
      <c r="D1501" s="2" t="inlineStr">
        <is>
          <t>임원보고</t>
        </is>
      </c>
      <c r="E1501" s="3" t="inlineStr">
        <is>
          <t>-</t>
        </is>
      </c>
      <c r="F1501" s="3" t="inlineStr">
        <is>
          <t>-</t>
        </is>
      </c>
      <c r="G1501" s="3" t="inlineStr">
        <is>
          <t>-</t>
        </is>
      </c>
      <c r="H1501" s="6" t="inlineStr"/>
      <c r="I1501" s="6" t="inlineStr"/>
      <c r="J1501" s="6" t="inlineStr"/>
      <c r="K1501" s="16" t="n">
        <v>12</v>
      </c>
      <c r="L1501" s="2" t="inlineStr">
        <is>
          <t>20260522800637</t>
        </is>
      </c>
      <c r="M1501" s="8">
        <f>HYPERLINK("https://dart.fss.or.kr/dsaf001/main.do?rcpNo=20260522800637", "공시열람")</f>
        <v/>
      </c>
    </row>
    <row r="1502" ht="22" customHeight="1">
      <c r="A1502" s="2" t="inlineStr">
        <is>
          <t>2026-05-22</t>
        </is>
      </c>
      <c r="B1502" s="3" t="inlineStr">
        <is>
          <t>삼일제약</t>
        </is>
      </c>
      <c r="C1502" s="2" t="inlineStr">
        <is>
          <t>000520</t>
        </is>
      </c>
      <c r="D1502" s="2" t="inlineStr">
        <is>
          <t>임원보고</t>
        </is>
      </c>
      <c r="E1502" s="3" t="inlineStr">
        <is>
          <t>-</t>
        </is>
      </c>
      <c r="F1502" s="3" t="inlineStr">
        <is>
          <t>-</t>
        </is>
      </c>
      <c r="G1502" s="3" t="inlineStr">
        <is>
          <t>-</t>
        </is>
      </c>
      <c r="H1502" s="6" t="inlineStr"/>
      <c r="I1502" s="6" t="inlineStr"/>
      <c r="J1502" s="6" t="inlineStr"/>
      <c r="K1502" s="16" t="n">
        <v>12</v>
      </c>
      <c r="L1502" s="2" t="inlineStr">
        <is>
          <t>20260522800611</t>
        </is>
      </c>
      <c r="M1502" s="8">
        <f>HYPERLINK("https://dart.fss.or.kr/dsaf001/main.do?rcpNo=20260522800611", "공시열람")</f>
        <v/>
      </c>
    </row>
    <row r="1503" ht="22" customHeight="1">
      <c r="A1503" s="2" t="inlineStr">
        <is>
          <t>2026-05-22</t>
        </is>
      </c>
      <c r="B1503" s="3" t="inlineStr">
        <is>
          <t>이엘씨</t>
        </is>
      </c>
      <c r="C1503" s="2" t="inlineStr">
        <is>
          <t>041520</t>
        </is>
      </c>
      <c r="D1503" s="2" t="inlineStr">
        <is>
          <t>대량보유</t>
        </is>
      </c>
      <c r="E1503" s="3" t="inlineStr">
        <is>
          <t>김성익</t>
        </is>
      </c>
      <c r="F1503" s="3" t="inlineStr">
        <is>
          <t>특별관계자</t>
        </is>
      </c>
      <c r="G1503" s="3" t="inlineStr">
        <is>
          <t>수증(+)</t>
        </is>
      </c>
      <c r="H1503" s="15" t="n">
        <v>470000</v>
      </c>
      <c r="I1503" s="6" t="inlineStr"/>
      <c r="J1503" s="6" t="n">
        <v>2190000</v>
      </c>
      <c r="K1503" s="16" t="n">
        <v>6</v>
      </c>
      <c r="L1503" s="2" t="inlineStr">
        <is>
          <t>20260522000425</t>
        </is>
      </c>
      <c r="M1503" s="8">
        <f>HYPERLINK("https://dart.fss.or.kr/dsaf001/main.do?rcpNo=20260522000425", "공시열람")</f>
        <v/>
      </c>
    </row>
    <row r="1504" ht="22" customHeight="1">
      <c r="A1504" s="2" t="inlineStr">
        <is>
          <t>2026-05-22</t>
        </is>
      </c>
      <c r="B1504" s="3" t="inlineStr">
        <is>
          <t>이엘씨</t>
        </is>
      </c>
      <c r="C1504" s="2" t="inlineStr">
        <is>
          <t>041520</t>
        </is>
      </c>
      <c r="D1504" s="2" t="inlineStr">
        <is>
          <t>대량보유</t>
        </is>
      </c>
      <c r="E1504" s="3" t="inlineStr">
        <is>
          <t>이근영</t>
        </is>
      </c>
      <c r="F1504" s="3" t="inlineStr">
        <is>
          <t>특별관계자</t>
        </is>
      </c>
      <c r="G1504" s="3" t="inlineStr">
        <is>
          <t>증여(-)</t>
        </is>
      </c>
      <c r="H1504" s="17" t="n">
        <v>-700000</v>
      </c>
      <c r="I1504" s="6" t="inlineStr"/>
      <c r="J1504" s="6" t="n">
        <v>299453</v>
      </c>
      <c r="K1504" s="16" t="n">
        <v>6</v>
      </c>
      <c r="L1504" s="2" t="inlineStr">
        <is>
          <t>20260522000425</t>
        </is>
      </c>
      <c r="M1504" s="8">
        <f>HYPERLINK("https://dart.fss.or.kr/dsaf001/main.do?rcpNo=20260522000425", "공시열람")</f>
        <v/>
      </c>
    </row>
    <row r="1505" ht="22" customHeight="1">
      <c r="A1505" s="2" t="inlineStr">
        <is>
          <t>2026-05-22</t>
        </is>
      </c>
      <c r="B1505" s="3" t="inlineStr">
        <is>
          <t>이엘씨</t>
        </is>
      </c>
      <c r="C1505" s="2" t="inlineStr">
        <is>
          <t>041520</t>
        </is>
      </c>
      <c r="D1505" s="2" t="inlineStr">
        <is>
          <t>대량보유</t>
        </is>
      </c>
      <c r="E1505" s="3" t="inlineStr">
        <is>
          <t>김정선</t>
        </is>
      </c>
      <c r="F1505" s="3" t="inlineStr">
        <is>
          <t>특별관계자</t>
        </is>
      </c>
      <c r="G1505" s="3" t="inlineStr">
        <is>
          <t>수증(+)</t>
        </is>
      </c>
      <c r="H1505" s="15" t="n">
        <v>160000</v>
      </c>
      <c r="I1505" s="6" t="inlineStr"/>
      <c r="J1505" s="6" t="n">
        <v>640000</v>
      </c>
      <c r="K1505" s="16" t="n">
        <v>6</v>
      </c>
      <c r="L1505" s="2" t="inlineStr">
        <is>
          <t>20260522000425</t>
        </is>
      </c>
      <c r="M1505" s="8">
        <f>HYPERLINK("https://dart.fss.or.kr/dsaf001/main.do?rcpNo=20260522000425", "공시열람")</f>
        <v/>
      </c>
    </row>
    <row r="1506" ht="22" customHeight="1">
      <c r="A1506" s="2" t="inlineStr">
        <is>
          <t>2026-05-22</t>
        </is>
      </c>
      <c r="B1506" s="3" t="inlineStr">
        <is>
          <t>이엘씨</t>
        </is>
      </c>
      <c r="C1506" s="2" t="inlineStr">
        <is>
          <t>041520</t>
        </is>
      </c>
      <c r="D1506" s="2" t="inlineStr">
        <is>
          <t>대량보유</t>
        </is>
      </c>
      <c r="E1506" s="3" t="inlineStr">
        <is>
          <t>김정경</t>
        </is>
      </c>
      <c r="F1506" s="3" t="inlineStr">
        <is>
          <t>특별관계자</t>
        </is>
      </c>
      <c r="G1506" s="3" t="inlineStr">
        <is>
          <t>수증(+)</t>
        </is>
      </c>
      <c r="H1506" s="15" t="n">
        <v>70000</v>
      </c>
      <c r="I1506" s="6" t="inlineStr"/>
      <c r="J1506" s="6" t="n">
        <v>230000</v>
      </c>
      <c r="K1506" s="16" t="n">
        <v>6</v>
      </c>
      <c r="L1506" s="2" t="inlineStr">
        <is>
          <t>20260522000425</t>
        </is>
      </c>
      <c r="M1506" s="8">
        <f>HYPERLINK("https://dart.fss.or.kr/dsaf001/main.do?rcpNo=20260522000425", "공시열람")</f>
        <v/>
      </c>
    </row>
    <row r="1507" ht="22" customHeight="1">
      <c r="A1507" s="2" t="inlineStr">
        <is>
          <t>2026-05-22</t>
        </is>
      </c>
      <c r="B1507" s="3" t="inlineStr">
        <is>
          <t>팬오션</t>
        </is>
      </c>
      <c r="C1507" s="2" t="inlineStr">
        <is>
          <t>028670</t>
        </is>
      </c>
      <c r="D1507" s="2" t="inlineStr">
        <is>
          <t>임원보고</t>
        </is>
      </c>
      <c r="E1507" s="3" t="inlineStr">
        <is>
          <t>-</t>
        </is>
      </c>
      <c r="F1507" s="3" t="inlineStr">
        <is>
          <t>-</t>
        </is>
      </c>
      <c r="G1507" s="3" t="inlineStr">
        <is>
          <t>-</t>
        </is>
      </c>
      <c r="H1507" s="6" t="inlineStr"/>
      <c r="I1507" s="6" t="inlineStr"/>
      <c r="J1507" s="6" t="inlineStr"/>
      <c r="K1507" s="16" t="n">
        <v>12</v>
      </c>
      <c r="L1507" s="2" t="inlineStr">
        <is>
          <t>20260522800578</t>
        </is>
      </c>
      <c r="M1507" s="8">
        <f>HYPERLINK("https://dart.fss.or.kr/dsaf001/main.do?rcpNo=20260522800578", "공시열람")</f>
        <v/>
      </c>
    </row>
    <row r="1508" ht="22" customHeight="1">
      <c r="A1508" s="2" t="inlineStr">
        <is>
          <t>2026-05-22</t>
        </is>
      </c>
      <c r="B1508" s="3" t="inlineStr">
        <is>
          <t>코스모신소재</t>
        </is>
      </c>
      <c r="C1508" s="2" t="inlineStr">
        <is>
          <t>005070</t>
        </is>
      </c>
      <c r="D1508" s="2" t="inlineStr">
        <is>
          <t>대량보유</t>
        </is>
      </c>
      <c r="E1508" s="3" t="inlineStr">
        <is>
          <t>코스모화학(주)</t>
        </is>
      </c>
      <c r="F1508" s="3" t="inlineStr">
        <is>
          <t>보고자</t>
        </is>
      </c>
      <c r="G1508" s="3" t="inlineStr">
        <is>
          <t>주식담보대출 만기연장</t>
        </is>
      </c>
      <c r="H1508" s="6" t="inlineStr"/>
      <c r="I1508" s="6" t="inlineStr"/>
      <c r="J1508" s="6" t="n">
        <v>10231422</v>
      </c>
      <c r="K1508" s="16" t="n">
        <v>6</v>
      </c>
      <c r="L1508" s="2" t="inlineStr">
        <is>
          <t>20260522000417</t>
        </is>
      </c>
      <c r="M1508" s="8">
        <f>HYPERLINK("https://dart.fss.or.kr/dsaf001/main.do?rcpNo=20260522000417", "공시열람")</f>
        <v/>
      </c>
    </row>
    <row r="1509" ht="22" customHeight="1">
      <c r="A1509" s="2" t="inlineStr">
        <is>
          <t>2026-05-22</t>
        </is>
      </c>
      <c r="B1509" s="3" t="inlineStr">
        <is>
          <t>지엔코</t>
        </is>
      </c>
      <c r="C1509" s="2" t="inlineStr">
        <is>
          <t>065060</t>
        </is>
      </c>
      <c r="D1509" s="2" t="inlineStr">
        <is>
          <t>대량보유</t>
        </is>
      </c>
      <c r="E1509" s="3" t="inlineStr">
        <is>
          <t>(주)크레오에스지</t>
        </is>
      </c>
      <c r="F1509" s="3" t="inlineStr">
        <is>
          <t>특별관계자</t>
        </is>
      </c>
      <c r="G1509" s="3" t="inlineStr">
        <is>
          <t>행사가액조정, 유상신주취득(+)</t>
        </is>
      </c>
      <c r="H1509" s="15" t="n">
        <v>889647</v>
      </c>
      <c r="I1509" s="6" t="n">
        <v>2887</v>
      </c>
      <c r="J1509" s="6" t="n">
        <v>2258551</v>
      </c>
      <c r="K1509" s="16" t="n">
        <v>9</v>
      </c>
      <c r="L1509" s="2" t="inlineStr">
        <is>
          <t>20260522000414</t>
        </is>
      </c>
      <c r="M1509" s="8">
        <f>HYPERLINK("https://dart.fss.or.kr/dsaf001/main.do?rcpNo=20260522000414", "공시열람")</f>
        <v/>
      </c>
    </row>
    <row r="1510" ht="22" customHeight="1">
      <c r="A1510" s="2" t="inlineStr">
        <is>
          <t>2026-05-22</t>
        </is>
      </c>
      <c r="B1510" s="3" t="inlineStr">
        <is>
          <t>지엔코</t>
        </is>
      </c>
      <c r="C1510" s="2" t="inlineStr">
        <is>
          <t>065060</t>
        </is>
      </c>
      <c r="D1510" s="2" t="inlineStr">
        <is>
          <t>대량보유</t>
        </is>
      </c>
      <c r="E1510" s="3" t="inlineStr">
        <is>
          <t>케이파트너스(주)</t>
        </is>
      </c>
      <c r="F1510" s="3" t="inlineStr">
        <is>
          <t>특별관계자</t>
        </is>
      </c>
      <c r="G1510" s="3" t="inlineStr">
        <is>
          <t>행사가액조정</t>
        </is>
      </c>
      <c r="H1510" s="15" t="n">
        <v>49985</v>
      </c>
      <c r="I1510" s="6" t="n">
        <v>2995</v>
      </c>
      <c r="J1510" s="6" t="n">
        <v>166944</v>
      </c>
      <c r="K1510" s="16" t="n">
        <v>9</v>
      </c>
      <c r="L1510" s="2" t="inlineStr">
        <is>
          <t>20260522000414</t>
        </is>
      </c>
      <c r="M1510" s="8">
        <f>HYPERLINK("https://dart.fss.or.kr/dsaf001/main.do?rcpNo=20260522000414", "공시열람")</f>
        <v/>
      </c>
    </row>
    <row r="1511" ht="22" customHeight="1">
      <c r="A1511" s="2" t="inlineStr">
        <is>
          <t>2026-05-22</t>
        </is>
      </c>
      <c r="B1511" s="3" t="inlineStr">
        <is>
          <t>지엔코</t>
        </is>
      </c>
      <c r="C1511" s="2" t="inlineStr">
        <is>
          <t>065060</t>
        </is>
      </c>
      <c r="D1511" s="2" t="inlineStr">
        <is>
          <t>대량보유</t>
        </is>
      </c>
      <c r="E1511" s="3" t="inlineStr">
        <is>
          <t>(주)큐캐피탈파트너스</t>
        </is>
      </c>
      <c r="F1511" s="3" t="inlineStr">
        <is>
          <t>특별관계자</t>
        </is>
      </c>
      <c r="G1511" s="3" t="inlineStr">
        <is>
          <t>유상신주취득(+)</t>
        </is>
      </c>
      <c r="H1511" s="15" t="n">
        <v>179261</v>
      </c>
      <c r="I1511" s="6" t="n">
        <v>2845</v>
      </c>
      <c r="J1511" s="6" t="n">
        <v>281036</v>
      </c>
      <c r="K1511" s="16" t="n">
        <v>9</v>
      </c>
      <c r="L1511" s="2" t="inlineStr">
        <is>
          <t>20260522000414</t>
        </is>
      </c>
      <c r="M1511" s="8">
        <f>HYPERLINK("https://dart.fss.or.kr/dsaf001/main.do?rcpNo=20260522000414", "공시열람")</f>
        <v/>
      </c>
    </row>
    <row r="1512" ht="22" customHeight="1">
      <c r="A1512" s="2" t="inlineStr">
        <is>
          <t>2026-05-22</t>
        </is>
      </c>
      <c r="B1512" s="3" t="inlineStr">
        <is>
          <t>지엔코</t>
        </is>
      </c>
      <c r="C1512" s="2" t="inlineStr">
        <is>
          <t>065060</t>
        </is>
      </c>
      <c r="D1512" s="2" t="inlineStr">
        <is>
          <t>대량보유</t>
        </is>
      </c>
      <c r="E1512" s="3" t="inlineStr">
        <is>
          <t>(주)크레오에스테이트</t>
        </is>
      </c>
      <c r="F1512" s="3" t="inlineStr">
        <is>
          <t>특별관계자</t>
        </is>
      </c>
      <c r="G1512" s="3" t="inlineStr">
        <is>
          <t>유상신주취득(+)</t>
        </is>
      </c>
      <c r="H1512" s="15" t="n">
        <v>411247</v>
      </c>
      <c r="I1512" s="6" t="n">
        <v>2845</v>
      </c>
      <c r="J1512" s="6" t="n">
        <v>411247</v>
      </c>
      <c r="K1512" s="16" t="n">
        <v>9</v>
      </c>
      <c r="L1512" s="2" t="inlineStr">
        <is>
          <t>20260522000414</t>
        </is>
      </c>
      <c r="M1512" s="8">
        <f>HYPERLINK("https://dart.fss.or.kr/dsaf001/main.do?rcpNo=20260522000414", "공시열람")</f>
        <v/>
      </c>
    </row>
    <row r="1513" ht="22" customHeight="1">
      <c r="A1513" s="2" t="inlineStr">
        <is>
          <t>2026-05-22 (정정: 2026-06-30)</t>
        </is>
      </c>
      <c r="B1513" s="3" t="inlineStr">
        <is>
          <t>디바이스</t>
        </is>
      </c>
      <c r="C1513" s="2" t="inlineStr">
        <is>
          <t>187870</t>
        </is>
      </c>
      <c r="D1513" s="2" t="inlineStr">
        <is>
          <t>대량보유</t>
        </is>
      </c>
      <c r="E1513" s="3" t="inlineStr">
        <is>
          <t>최봉진</t>
        </is>
      </c>
      <c r="F1513" s="3" t="inlineStr">
        <is>
          <t>특별관계자</t>
        </is>
      </c>
      <c r="G1513" s="3" t="inlineStr">
        <is>
          <t>무상신주취득(+)</t>
        </is>
      </c>
      <c r="H1513" s="15" t="n">
        <v>6302400</v>
      </c>
      <c r="I1513" s="6" t="inlineStr"/>
      <c r="J1513" s="6" t="n">
        <v>4201600</v>
      </c>
      <c r="K1513" s="16" t="n">
        <v>10</v>
      </c>
      <c r="L1513" s="2" t="inlineStr">
        <is>
          <t>20260630000576</t>
        </is>
      </c>
      <c r="M1513" s="8">
        <f>HYPERLINK("https://dart.fss.or.kr/dsaf001/main.do?rcpNo=20260630000576", "공시열람")</f>
        <v/>
      </c>
    </row>
    <row r="1514" ht="22" customHeight="1">
      <c r="A1514" s="2" t="inlineStr">
        <is>
          <t>2026-05-22 (정정: 2026-06-30)</t>
        </is>
      </c>
      <c r="B1514" s="3" t="inlineStr">
        <is>
          <t>디바이스</t>
        </is>
      </c>
      <c r="C1514" s="2" t="inlineStr">
        <is>
          <t>187870</t>
        </is>
      </c>
      <c r="D1514" s="2" t="inlineStr">
        <is>
          <t>대량보유</t>
        </is>
      </c>
      <c r="E1514" s="3" t="inlineStr">
        <is>
          <t>방인호</t>
        </is>
      </c>
      <c r="F1514" s="3" t="inlineStr">
        <is>
          <t>특별관계자</t>
        </is>
      </c>
      <c r="G1514" s="3" t="inlineStr">
        <is>
          <t>무상신주취득(+), 주식매수선택권부여(+)</t>
        </is>
      </c>
      <c r="H1514" s="15" t="n">
        <v>376712</v>
      </c>
      <c r="I1514" s="6" t="inlineStr"/>
      <c r="J1514" s="6" t="n">
        <v>29356</v>
      </c>
      <c r="K1514" s="16" t="n">
        <v>10</v>
      </c>
      <c r="L1514" s="2" t="inlineStr">
        <is>
          <t>20260630000576</t>
        </is>
      </c>
      <c r="M1514" s="8">
        <f>HYPERLINK("https://dart.fss.or.kr/dsaf001/main.do?rcpNo=20260630000576", "공시열람")</f>
        <v/>
      </c>
    </row>
    <row r="1515" ht="22" customHeight="1">
      <c r="A1515" s="2" t="inlineStr">
        <is>
          <t>2026-05-22 (정정: 2026-06-30)</t>
        </is>
      </c>
      <c r="B1515" s="3" t="inlineStr">
        <is>
          <t>디바이스</t>
        </is>
      </c>
      <c r="C1515" s="2" t="inlineStr">
        <is>
          <t>187870</t>
        </is>
      </c>
      <c r="D1515" s="2" t="inlineStr">
        <is>
          <t>대량보유</t>
        </is>
      </c>
      <c r="E1515" s="3" t="inlineStr">
        <is>
          <t>김주태</t>
        </is>
      </c>
      <c r="F1515" s="3" t="inlineStr">
        <is>
          <t>특별관계자</t>
        </is>
      </c>
      <c r="G1515" s="3" t="inlineStr">
        <is>
          <t>무상신주취득(+), 주식매수선택권부여(+)</t>
        </is>
      </c>
      <c r="H1515" s="15" t="n">
        <v>124924</v>
      </c>
      <c r="I1515" s="6" t="inlineStr"/>
      <c r="J1515" s="6" t="n">
        <v>58712</v>
      </c>
      <c r="K1515" s="16" t="n">
        <v>10</v>
      </c>
      <c r="L1515" s="2" t="inlineStr">
        <is>
          <t>20260630000576</t>
        </is>
      </c>
      <c r="M1515" s="8">
        <f>HYPERLINK("https://dart.fss.or.kr/dsaf001/main.do?rcpNo=20260630000576", "공시열람")</f>
        <v/>
      </c>
    </row>
    <row r="1516" ht="22" customHeight="1">
      <c r="A1516" s="2" t="inlineStr">
        <is>
          <t>2026-05-22 (정정: 2026-06-30)</t>
        </is>
      </c>
      <c r="B1516" s="3" t="inlineStr">
        <is>
          <t>디바이스</t>
        </is>
      </c>
      <c r="C1516" s="2" t="inlineStr">
        <is>
          <t>187870</t>
        </is>
      </c>
      <c r="D1516" s="2" t="inlineStr">
        <is>
          <t>대량보유</t>
        </is>
      </c>
      <c r="E1516" s="3" t="inlineStr">
        <is>
          <t>이성진</t>
        </is>
      </c>
      <c r="F1516" s="3" t="inlineStr">
        <is>
          <t>특별관계자</t>
        </is>
      </c>
      <c r="G1516" s="3" t="inlineStr">
        <is>
          <t>무상신주취득(+), 주식매수선택권부여(+)</t>
        </is>
      </c>
      <c r="H1516" s="15" t="n">
        <v>93424</v>
      </c>
      <c r="I1516" s="6" t="inlineStr"/>
      <c r="J1516" s="6" t="n">
        <v>58712</v>
      </c>
      <c r="K1516" s="16" t="n">
        <v>10</v>
      </c>
      <c r="L1516" s="2" t="inlineStr">
        <is>
          <t>20260630000576</t>
        </is>
      </c>
      <c r="M1516" s="8">
        <f>HYPERLINK("https://dart.fss.or.kr/dsaf001/main.do?rcpNo=20260630000576", "공시열람")</f>
        <v/>
      </c>
    </row>
    <row r="1517" ht="22" customHeight="1">
      <c r="A1517" s="2" t="inlineStr">
        <is>
          <t>2026-05-22 (정정: 2026-06-30)</t>
        </is>
      </c>
      <c r="B1517" s="3" t="inlineStr">
        <is>
          <t>디바이스</t>
        </is>
      </c>
      <c r="C1517" s="2" t="inlineStr">
        <is>
          <t>187870</t>
        </is>
      </c>
      <c r="D1517" s="2" t="inlineStr">
        <is>
          <t>대량보유</t>
        </is>
      </c>
      <c r="E1517" s="3" t="inlineStr">
        <is>
          <t>윤창로</t>
        </is>
      </c>
      <c r="F1517" s="3" t="inlineStr">
        <is>
          <t>특별관계자</t>
        </is>
      </c>
      <c r="G1517" s="3" t="inlineStr">
        <is>
          <t>무상신주취득(+), 주식매수선택권부여(+)</t>
        </is>
      </c>
      <c r="H1517" s="15" t="n">
        <v>94924</v>
      </c>
      <c r="I1517" s="6" t="inlineStr"/>
      <c r="J1517" s="6" t="n">
        <v>58712</v>
      </c>
      <c r="K1517" s="16" t="n">
        <v>10</v>
      </c>
      <c r="L1517" s="2" t="inlineStr">
        <is>
          <t>20260630000576</t>
        </is>
      </c>
      <c r="M1517" s="8">
        <f>HYPERLINK("https://dart.fss.or.kr/dsaf001/main.do?rcpNo=20260630000576", "공시열람")</f>
        <v/>
      </c>
    </row>
    <row r="1518" ht="22" customHeight="1">
      <c r="A1518" s="2" t="inlineStr">
        <is>
          <t>2026-05-22 (정정: 2026-06-30)</t>
        </is>
      </c>
      <c r="B1518" s="3" t="inlineStr">
        <is>
          <t>디바이스</t>
        </is>
      </c>
      <c r="C1518" s="2" t="inlineStr">
        <is>
          <t>187870</t>
        </is>
      </c>
      <c r="D1518" s="2" t="inlineStr">
        <is>
          <t>대량보유</t>
        </is>
      </c>
      <c r="E1518" s="3" t="inlineStr">
        <is>
          <t>최기룡</t>
        </is>
      </c>
      <c r="F1518" s="3" t="inlineStr">
        <is>
          <t>특별관계자</t>
        </is>
      </c>
      <c r="G1518" s="3" t="inlineStr">
        <is>
          <t>무상신주취득(+), 주식매수선택권부여(+)</t>
        </is>
      </c>
      <c r="H1518" s="15" t="n">
        <v>94924</v>
      </c>
      <c r="I1518" s="6" t="inlineStr"/>
      <c r="J1518" s="6" t="n">
        <v>58712</v>
      </c>
      <c r="K1518" s="16" t="n">
        <v>10</v>
      </c>
      <c r="L1518" s="2" t="inlineStr">
        <is>
          <t>20260630000576</t>
        </is>
      </c>
      <c r="M1518" s="8">
        <f>HYPERLINK("https://dart.fss.or.kr/dsaf001/main.do?rcpNo=20260630000576", "공시열람")</f>
        <v/>
      </c>
    </row>
    <row r="1519" ht="22" customHeight="1">
      <c r="A1519" s="2" t="inlineStr">
        <is>
          <t>2026-05-22 (정정: 2026-06-30)</t>
        </is>
      </c>
      <c r="B1519" s="3" t="inlineStr">
        <is>
          <t>디바이스</t>
        </is>
      </c>
      <c r="C1519" s="2" t="inlineStr">
        <is>
          <t>187870</t>
        </is>
      </c>
      <c r="D1519" s="2" t="inlineStr">
        <is>
          <t>대량보유</t>
        </is>
      </c>
      <c r="E1519" s="3" t="inlineStr">
        <is>
          <t>이상종</t>
        </is>
      </c>
      <c r="F1519" s="3" t="inlineStr">
        <is>
          <t>특별관계자</t>
        </is>
      </c>
      <c r="G1519" s="3" t="inlineStr">
        <is>
          <t>무상신주취득(+), 주식매수선택권부여(+)</t>
        </is>
      </c>
      <c r="H1519" s="15" t="n">
        <v>94924</v>
      </c>
      <c r="I1519" s="6" t="inlineStr"/>
      <c r="J1519" s="6" t="n">
        <v>58712</v>
      </c>
      <c r="K1519" s="16" t="n">
        <v>10</v>
      </c>
      <c r="L1519" s="2" t="inlineStr">
        <is>
          <t>20260630000576</t>
        </is>
      </c>
      <c r="M1519" s="8">
        <f>HYPERLINK("https://dart.fss.or.kr/dsaf001/main.do?rcpNo=20260630000576", "공시열람")</f>
        <v/>
      </c>
    </row>
    <row r="1520" ht="22" customHeight="1">
      <c r="A1520" s="2" t="inlineStr">
        <is>
          <t>2026-05-22 (정정: 2026-06-30)</t>
        </is>
      </c>
      <c r="B1520" s="3" t="inlineStr">
        <is>
          <t>디바이스</t>
        </is>
      </c>
      <c r="C1520" s="2" t="inlineStr">
        <is>
          <t>187870</t>
        </is>
      </c>
      <c r="D1520" s="2" t="inlineStr">
        <is>
          <t>대량보유</t>
        </is>
      </c>
      <c r="E1520" s="3" t="inlineStr">
        <is>
          <t>고숭호</t>
        </is>
      </c>
      <c r="F1520" s="3" t="inlineStr">
        <is>
          <t>특별관계자</t>
        </is>
      </c>
      <c r="G1520" s="3" t="inlineStr">
        <is>
          <t>무상신주취득(+), 주식매수선택권부여(+)</t>
        </is>
      </c>
      <c r="H1520" s="15" t="n">
        <v>46112</v>
      </c>
      <c r="I1520" s="6" t="inlineStr"/>
      <c r="J1520" s="6" t="n">
        <v>29356</v>
      </c>
      <c r="K1520" s="16" t="n">
        <v>10</v>
      </c>
      <c r="L1520" s="2" t="inlineStr">
        <is>
          <t>20260630000576</t>
        </is>
      </c>
      <c r="M1520" s="8">
        <f>HYPERLINK("https://dart.fss.or.kr/dsaf001/main.do?rcpNo=20260630000576", "공시열람")</f>
        <v/>
      </c>
    </row>
    <row r="1521" ht="22" customHeight="1">
      <c r="A1521" s="2" t="inlineStr">
        <is>
          <t>2026-05-22 (정정: 2026-06-30)</t>
        </is>
      </c>
      <c r="B1521" s="3" t="inlineStr">
        <is>
          <t>디바이스</t>
        </is>
      </c>
      <c r="C1521" s="2" t="inlineStr">
        <is>
          <t>187870</t>
        </is>
      </c>
      <c r="D1521" s="2" t="inlineStr">
        <is>
          <t>대량보유</t>
        </is>
      </c>
      <c r="E1521" s="3" t="inlineStr">
        <is>
          <t>이택엽</t>
        </is>
      </c>
      <c r="F1521" s="3" t="inlineStr">
        <is>
          <t>특별관계자</t>
        </is>
      </c>
      <c r="G1521" s="3" t="inlineStr">
        <is>
          <t>무상신주취득(+), 주식매수선택권부여(+)</t>
        </is>
      </c>
      <c r="H1521" s="15" t="n">
        <v>93424</v>
      </c>
      <c r="I1521" s="6" t="inlineStr"/>
      <c r="J1521" s="6" t="n">
        <v>58712</v>
      </c>
      <c r="K1521" s="16" t="n">
        <v>10</v>
      </c>
      <c r="L1521" s="2" t="inlineStr">
        <is>
          <t>20260630000576</t>
        </is>
      </c>
      <c r="M1521" s="8">
        <f>HYPERLINK("https://dart.fss.or.kr/dsaf001/main.do?rcpNo=20260630000576", "공시열람")</f>
        <v/>
      </c>
    </row>
    <row r="1522" ht="22" customHeight="1">
      <c r="A1522" s="2" t="inlineStr">
        <is>
          <t>2026-05-22 (정정: 2026-06-30)</t>
        </is>
      </c>
      <c r="B1522" s="3" t="inlineStr">
        <is>
          <t>디바이스</t>
        </is>
      </c>
      <c r="C1522" s="2" t="inlineStr">
        <is>
          <t>187870</t>
        </is>
      </c>
      <c r="D1522" s="2" t="inlineStr">
        <is>
          <t>대량보유</t>
        </is>
      </c>
      <c r="E1522" s="3" t="inlineStr">
        <is>
          <t>김기자</t>
        </is>
      </c>
      <c r="F1522" s="3" t="inlineStr">
        <is>
          <t>특별관계자</t>
        </is>
      </c>
      <c r="G1522" s="3" t="inlineStr">
        <is>
          <t>무상신주취득(+)</t>
        </is>
      </c>
      <c r="H1522" s="15" t="n">
        <v>384000</v>
      </c>
      <c r="I1522" s="6" t="inlineStr"/>
      <c r="J1522" s="6" t="n">
        <v>256000</v>
      </c>
      <c r="K1522" s="16" t="n">
        <v>10</v>
      </c>
      <c r="L1522" s="2" t="inlineStr">
        <is>
          <t>20260630000576</t>
        </is>
      </c>
      <c r="M1522" s="8">
        <f>HYPERLINK("https://dart.fss.or.kr/dsaf001/main.do?rcpNo=20260630000576", "공시열람")</f>
        <v/>
      </c>
    </row>
    <row r="1523" ht="22" customHeight="1">
      <c r="A1523" s="2" t="inlineStr">
        <is>
          <t>2026-05-22 (정정: 2026-06-30)</t>
        </is>
      </c>
      <c r="B1523" s="3" t="inlineStr">
        <is>
          <t>디바이스</t>
        </is>
      </c>
      <c r="C1523" s="2" t="inlineStr">
        <is>
          <t>187870</t>
        </is>
      </c>
      <c r="D1523" s="2" t="inlineStr">
        <is>
          <t>대량보유</t>
        </is>
      </c>
      <c r="E1523" s="3" t="inlineStr">
        <is>
          <t>최지훈</t>
        </is>
      </c>
      <c r="F1523" s="3" t="inlineStr">
        <is>
          <t>특별관계자</t>
        </is>
      </c>
      <c r="G1523" s="3" t="inlineStr">
        <is>
          <t>무상신주취득(+)</t>
        </is>
      </c>
      <c r="H1523" s="15" t="n">
        <v>1890</v>
      </c>
      <c r="I1523" s="6" t="inlineStr"/>
      <c r="J1523" s="6" t="n">
        <v>1260</v>
      </c>
      <c r="K1523" s="16" t="n">
        <v>10</v>
      </c>
      <c r="L1523" s="2" t="inlineStr">
        <is>
          <t>20260630000576</t>
        </is>
      </c>
      <c r="M1523" s="8">
        <f>HYPERLINK("https://dart.fss.or.kr/dsaf001/main.do?rcpNo=20260630000576", "공시열람")</f>
        <v/>
      </c>
    </row>
    <row r="1524" ht="22" customHeight="1">
      <c r="A1524" s="2" t="inlineStr">
        <is>
          <t>2026-05-22</t>
        </is>
      </c>
      <c r="B1524" s="3" t="inlineStr">
        <is>
          <t>에스오에스랩</t>
        </is>
      </c>
      <c r="C1524" s="2" t="inlineStr">
        <is>
          <t>464080</t>
        </is>
      </c>
      <c r="D1524" s="2" t="inlineStr">
        <is>
          <t>대량보유</t>
        </is>
      </c>
      <c r="E1524" s="3" t="inlineStr">
        <is>
          <t>황성의</t>
        </is>
      </c>
      <c r="F1524" s="3" t="inlineStr">
        <is>
          <t>특별관계자</t>
        </is>
      </c>
      <c r="G1524" s="3" t="inlineStr">
        <is>
          <t>장내매수(+), 기타(+)</t>
        </is>
      </c>
      <c r="H1524" s="15" t="n">
        <v>570</v>
      </c>
      <c r="I1524" s="6" t="n">
        <v>7659</v>
      </c>
      <c r="J1524" s="6" t="n">
        <v>321400</v>
      </c>
      <c r="K1524" s="16" t="n">
        <v>3</v>
      </c>
      <c r="L1524" s="2" t="inlineStr">
        <is>
          <t>20260522000396</t>
        </is>
      </c>
      <c r="M1524" s="8">
        <f>HYPERLINK("https://dart.fss.or.kr/dsaf001/main.do?rcpNo=20260522000396", "공시열람")</f>
        <v/>
      </c>
    </row>
    <row r="1525" ht="22" customHeight="1">
      <c r="A1525" s="2" t="inlineStr">
        <is>
          <t>2026-05-22</t>
        </is>
      </c>
      <c r="B1525" s="3" t="inlineStr">
        <is>
          <t>씨에스윈드</t>
        </is>
      </c>
      <c r="C1525" s="2" t="inlineStr">
        <is>
          <t>112610</t>
        </is>
      </c>
      <c r="D1525" s="2" t="inlineStr">
        <is>
          <t>임원보고</t>
        </is>
      </c>
      <c r="E1525" s="3" t="inlineStr">
        <is>
          <t>-</t>
        </is>
      </c>
      <c r="F1525" s="3" t="inlineStr">
        <is>
          <t>-</t>
        </is>
      </c>
      <c r="G1525" s="3" t="inlineStr">
        <is>
          <t>-</t>
        </is>
      </c>
      <c r="H1525" s="6" t="inlineStr"/>
      <c r="I1525" s="6" t="inlineStr"/>
      <c r="J1525" s="6" t="inlineStr"/>
      <c r="K1525" s="16" t="n">
        <v>12</v>
      </c>
      <c r="L1525" s="2" t="inlineStr">
        <is>
          <t>20260522800531</t>
        </is>
      </c>
      <c r="M1525" s="8">
        <f>HYPERLINK("https://dart.fss.or.kr/dsaf001/main.do?rcpNo=20260522800531", "공시열람")</f>
        <v/>
      </c>
    </row>
    <row r="1526" ht="22" customHeight="1">
      <c r="A1526" s="2" t="inlineStr">
        <is>
          <t>2026-05-22</t>
        </is>
      </c>
      <c r="B1526" s="3" t="inlineStr">
        <is>
          <t>씨에스윈드</t>
        </is>
      </c>
      <c r="C1526" s="2" t="inlineStr">
        <is>
          <t>112610</t>
        </is>
      </c>
      <c r="D1526" s="2" t="inlineStr">
        <is>
          <t>대량보유</t>
        </is>
      </c>
      <c r="E1526" s="3" t="inlineStr">
        <is>
          <t>김현주</t>
        </is>
      </c>
      <c r="F1526" s="3" t="inlineStr">
        <is>
          <t>특별관계자</t>
        </is>
      </c>
      <c r="G1526" s="3" t="inlineStr">
        <is>
          <t>장내매도(-)</t>
        </is>
      </c>
      <c r="H1526" s="17" t="n">
        <v>-2000</v>
      </c>
      <c r="I1526" s="6" t="n">
        <v>51900</v>
      </c>
      <c r="J1526" s="6" t="n">
        <v>12238</v>
      </c>
      <c r="K1526" s="16" t="n">
        <v>13</v>
      </c>
      <c r="L1526" s="2" t="inlineStr">
        <is>
          <t>20260522000389</t>
        </is>
      </c>
      <c r="M1526" s="8">
        <f>HYPERLINK("https://dart.fss.or.kr/dsaf001/main.do?rcpNo=20260522000389", "공시열람")</f>
        <v/>
      </c>
    </row>
    <row r="1527" ht="22" customHeight="1">
      <c r="A1527" s="2" t="inlineStr">
        <is>
          <t>2026-05-22</t>
        </is>
      </c>
      <c r="B1527" s="3" t="inlineStr">
        <is>
          <t>에스엠벡셀</t>
        </is>
      </c>
      <c r="C1527" s="2" t="inlineStr">
        <is>
          <t>010580</t>
        </is>
      </c>
      <c r="D1527" s="2" t="inlineStr">
        <is>
          <t>임원보고</t>
        </is>
      </c>
      <c r="E1527" s="3" t="inlineStr">
        <is>
          <t>-</t>
        </is>
      </c>
      <c r="F1527" s="3" t="inlineStr">
        <is>
          <t>-</t>
        </is>
      </c>
      <c r="G1527" s="3" t="inlineStr">
        <is>
          <t>-</t>
        </is>
      </c>
      <c r="H1527" s="6" t="inlineStr"/>
      <c r="I1527" s="6" t="inlineStr"/>
      <c r="J1527" s="6" t="inlineStr"/>
      <c r="K1527" s="16" t="n">
        <v>12</v>
      </c>
      <c r="L1527" s="2" t="inlineStr">
        <is>
          <t>20260522800521</t>
        </is>
      </c>
      <c r="M1527" s="8">
        <f>HYPERLINK("https://dart.fss.or.kr/dsaf001/main.do?rcpNo=20260522800521", "공시열람")</f>
        <v/>
      </c>
    </row>
    <row r="1528" ht="22" customHeight="1">
      <c r="A1528" s="2" t="inlineStr">
        <is>
          <t>2026-05-22</t>
        </is>
      </c>
      <c r="B1528" s="3" t="inlineStr">
        <is>
          <t>아모레퍼시픽</t>
        </is>
      </c>
      <c r="C1528" s="2" t="inlineStr">
        <is>
          <t>090430</t>
        </is>
      </c>
      <c r="D1528" s="2" t="inlineStr">
        <is>
          <t>대량보유</t>
        </is>
      </c>
      <c r="E1528" s="3" t="inlineStr">
        <is>
          <t>(주)아모레퍼시픽홀딩스</t>
        </is>
      </c>
      <c r="F1528" s="3" t="inlineStr">
        <is>
          <t>보고자</t>
        </is>
      </c>
      <c r="G1528" s="3" t="inlineStr">
        <is>
          <t>특별관계자의 담보계약 변경</t>
        </is>
      </c>
      <c r="H1528" s="6" t="inlineStr"/>
      <c r="I1528" s="6" t="inlineStr"/>
      <c r="J1528" s="6" t="n">
        <v>29326261</v>
      </c>
      <c r="K1528" s="16" t="n">
        <v>19</v>
      </c>
      <c r="L1528" s="2" t="inlineStr">
        <is>
          <t>20260522000377</t>
        </is>
      </c>
      <c r="M1528" s="8">
        <f>HYPERLINK("https://dart.fss.or.kr/dsaf001/main.do?rcpNo=20260522000377", "공시열람")</f>
        <v/>
      </c>
    </row>
    <row r="1529" ht="22" customHeight="1">
      <c r="A1529" s="2" t="inlineStr">
        <is>
          <t>2026-05-22</t>
        </is>
      </c>
      <c r="B1529" s="3" t="inlineStr">
        <is>
          <t>엑스플러스</t>
        </is>
      </c>
      <c r="C1529" s="2" t="inlineStr">
        <is>
          <t>373200</t>
        </is>
      </c>
      <c r="D1529" s="2" t="inlineStr">
        <is>
          <t>대량보유</t>
        </is>
      </c>
      <c r="E1529" s="3" t="inlineStr">
        <is>
          <t>(주)엑스페릭스</t>
        </is>
      </c>
      <c r="F1529" s="3" t="inlineStr">
        <is>
          <t>보고자</t>
        </is>
      </c>
      <c r="G1529" s="3" t="inlineStr">
        <is>
          <t>- 특별관계자(위드윈투자조합80호) 출자지분 양도 계약 변경에 따른 완료일 변경- 보고자가 보유한 전환사채권 양도 계약 체결</t>
        </is>
      </c>
      <c r="H1529" s="6" t="inlineStr"/>
      <c r="I1529" s="6" t="inlineStr"/>
      <c r="J1529" s="6" t="n">
        <v>11629545</v>
      </c>
      <c r="K1529" s="16" t="n">
        <v>3</v>
      </c>
      <c r="L1529" s="2" t="inlineStr">
        <is>
          <t>20260522000353</t>
        </is>
      </c>
      <c r="M1529" s="8">
        <f>HYPERLINK("https://dart.fss.or.kr/dsaf001/main.do?rcpNo=20260522000353", "공시열람")</f>
        <v/>
      </c>
    </row>
    <row r="1530" ht="22" customHeight="1">
      <c r="A1530" s="2" t="inlineStr">
        <is>
          <t>2026-05-22</t>
        </is>
      </c>
      <c r="B1530" s="3" t="inlineStr">
        <is>
          <t>한국화장품제조</t>
        </is>
      </c>
      <c r="C1530" s="2" t="inlineStr">
        <is>
          <t>003350</t>
        </is>
      </c>
      <c r="D1530" s="2" t="inlineStr">
        <is>
          <t>대량보유</t>
        </is>
      </c>
      <c r="E1530" s="3" t="inlineStr">
        <is>
          <t>타이거자산운용투자일임(주)</t>
        </is>
      </c>
      <c r="F1530" s="3" t="inlineStr">
        <is>
          <t>특별관계자</t>
        </is>
      </c>
      <c r="G1530" s="3" t="inlineStr">
        <is>
          <t>장내매수(+), 장내매도(-)</t>
        </is>
      </c>
      <c r="H1530" s="15" t="n">
        <v>101196</v>
      </c>
      <c r="I1530" s="6" t="n">
        <v>104049</v>
      </c>
      <c r="J1530" s="6" t="n">
        <v>1196871</v>
      </c>
      <c r="K1530" s="16" t="n">
        <v>5.28</v>
      </c>
      <c r="L1530" s="2" t="inlineStr">
        <is>
          <t>20260522000345</t>
        </is>
      </c>
      <c r="M1530" s="8">
        <f>HYPERLINK("https://dart.fss.or.kr/dsaf001/main.do?rcpNo=20260522000345", "공시열람")</f>
        <v/>
      </c>
    </row>
    <row r="1531" ht="22" customHeight="1">
      <c r="A1531" s="2" t="inlineStr">
        <is>
          <t>2026-05-22</t>
        </is>
      </c>
      <c r="B1531" s="3" t="inlineStr">
        <is>
          <t>오스코텍</t>
        </is>
      </c>
      <c r="C1531" s="2" t="inlineStr">
        <is>
          <t>039200</t>
        </is>
      </c>
      <c r="D1531" s="2" t="inlineStr">
        <is>
          <t>대량보유</t>
        </is>
      </c>
      <c r="E1531" s="3" t="inlineStr">
        <is>
          <t>타이거자산운용투자일임(주)</t>
        </is>
      </c>
      <c r="F1531" s="3" t="inlineStr">
        <is>
          <t>특별관계자</t>
        </is>
      </c>
      <c r="G1531" s="3" t="inlineStr">
        <is>
          <t>장내매수(+), 장내매도(-)</t>
        </is>
      </c>
      <c r="H1531" s="15" t="n">
        <v>152269</v>
      </c>
      <c r="I1531" s="6" t="n">
        <v>154321</v>
      </c>
      <c r="J1531" s="6" t="n">
        <v>1947964</v>
      </c>
      <c r="K1531" s="16" t="n">
        <v>5.09</v>
      </c>
      <c r="L1531" s="2" t="inlineStr">
        <is>
          <t>20260522000337</t>
        </is>
      </c>
      <c r="M1531" s="8">
        <f>HYPERLINK("https://dart.fss.or.kr/dsaf001/main.do?rcpNo=20260522000337", "공시열람")</f>
        <v/>
      </c>
    </row>
    <row r="1532" ht="22" customHeight="1">
      <c r="A1532" s="2" t="inlineStr">
        <is>
          <t>2026-05-22 (정정: 2026-05-22)</t>
        </is>
      </c>
      <c r="B1532" s="3" t="inlineStr">
        <is>
          <t>오이솔루션</t>
        </is>
      </c>
      <c r="C1532" s="2" t="inlineStr">
        <is>
          <t>138080</t>
        </is>
      </c>
      <c r="D1532" s="2" t="inlineStr">
        <is>
          <t>대량보유</t>
        </is>
      </c>
      <c r="E1532" s="3" t="inlineStr">
        <is>
          <t>-</t>
        </is>
      </c>
      <c r="F1532" s="3" t="inlineStr">
        <is>
          <t>보고자</t>
        </is>
      </c>
      <c r="G1532" s="3" t="inlineStr">
        <is>
          <t>-</t>
        </is>
      </c>
      <c r="H1532" s="6" t="inlineStr"/>
      <c r="I1532" s="6" t="inlineStr"/>
      <c r="J1532" s="6" t="inlineStr"/>
      <c r="K1532" s="18" t="inlineStr"/>
      <c r="L1532" s="2" t="inlineStr">
        <is>
          <t>20260522900432</t>
        </is>
      </c>
      <c r="M1532" s="8">
        <f>HYPERLINK("https://dart.fss.or.kr/dsaf001/main.do?rcpNo=20260522900432", "공시열람")</f>
        <v/>
      </c>
    </row>
    <row r="1533" ht="22" customHeight="1">
      <c r="A1533" s="2" t="inlineStr">
        <is>
          <t>2026-05-22</t>
        </is>
      </c>
      <c r="B1533" s="3" t="inlineStr">
        <is>
          <t>디티앤씨</t>
        </is>
      </c>
      <c r="C1533" s="2" t="inlineStr">
        <is>
          <t>187220</t>
        </is>
      </c>
      <c r="D1533" s="2" t="inlineStr">
        <is>
          <t>대량보유</t>
        </is>
      </c>
      <c r="E1533" s="3" t="inlineStr">
        <is>
          <t>타이거자산운용투자일임(주)</t>
        </is>
      </c>
      <c r="F1533" s="3" t="inlineStr">
        <is>
          <t>특별관계자</t>
        </is>
      </c>
      <c r="G1533" s="3" t="inlineStr">
        <is>
          <t>장내매수(+)</t>
        </is>
      </c>
      <c r="H1533" s="15" t="n">
        <v>192881</v>
      </c>
      <c r="I1533" s="6" t="n">
        <v>107881</v>
      </c>
      <c r="J1533" s="6" t="n">
        <v>747501</v>
      </c>
      <c r="K1533" s="16" t="n">
        <v>6.49</v>
      </c>
      <c r="L1533" s="2" t="inlineStr">
        <is>
          <t>20260522000327</t>
        </is>
      </c>
      <c r="M1533" s="8">
        <f>HYPERLINK("https://dart.fss.or.kr/dsaf001/main.do?rcpNo=20260522000327", "공시열람")</f>
        <v/>
      </c>
    </row>
    <row r="1534" ht="22" customHeight="1">
      <c r="A1534" s="2" t="inlineStr">
        <is>
          <t>2026-05-22</t>
        </is>
      </c>
      <c r="B1534" s="3" t="inlineStr">
        <is>
          <t>우리기술투자</t>
        </is>
      </c>
      <c r="C1534" s="2" t="inlineStr">
        <is>
          <t>041190</t>
        </is>
      </c>
      <c r="D1534" s="2" t="inlineStr">
        <is>
          <t>대량보유</t>
        </is>
      </c>
      <c r="E1534" s="3" t="inlineStr">
        <is>
          <t>이완근</t>
        </is>
      </c>
      <c r="F1534" s="3" t="inlineStr">
        <is>
          <t>보고자</t>
        </is>
      </c>
      <c r="G1534" s="3" t="inlineStr">
        <is>
          <t>최대주주 특별관계자 보유주식 담보계약 연장</t>
        </is>
      </c>
      <c r="H1534" s="6" t="inlineStr"/>
      <c r="I1534" s="6" t="inlineStr"/>
      <c r="J1534" s="6" t="n">
        <v>25961047</v>
      </c>
      <c r="K1534" s="16" t="n">
        <v>6</v>
      </c>
      <c r="L1534" s="2" t="inlineStr">
        <is>
          <t>20260522000293</t>
        </is>
      </c>
      <c r="M1534" s="8">
        <f>HYPERLINK("https://dart.fss.or.kr/dsaf001/main.do?rcpNo=20260522000293", "공시열람")</f>
        <v/>
      </c>
    </row>
    <row r="1535" ht="22" customHeight="1">
      <c r="A1535" s="2" t="inlineStr">
        <is>
          <t>2026-05-22</t>
        </is>
      </c>
      <c r="B1535" s="3" t="inlineStr">
        <is>
          <t>하이젠알앤엠</t>
        </is>
      </c>
      <c r="C1535" s="2" t="inlineStr">
        <is>
          <t>160190</t>
        </is>
      </c>
      <c r="D1535" s="2" t="inlineStr">
        <is>
          <t>대량보유</t>
        </is>
      </c>
      <c r="E1535" s="3" t="inlineStr">
        <is>
          <t>일신방직(주)</t>
        </is>
      </c>
      <c r="F1535" s="3" t="inlineStr">
        <is>
          <t>특별관계자</t>
        </is>
      </c>
      <c r="G1535" s="3" t="inlineStr">
        <is>
          <t>시간외매매(-)</t>
        </is>
      </c>
      <c r="H1535" s="17" t="n">
        <v>-500000</v>
      </c>
      <c r="I1535" s="6" t="n">
        <v>33836</v>
      </c>
      <c r="J1535" s="6" t="n">
        <v>7000000</v>
      </c>
      <c r="K1535" s="16" t="n">
        <v>8</v>
      </c>
      <c r="L1535" s="2" t="inlineStr">
        <is>
          <t>20260522000284</t>
        </is>
      </c>
      <c r="M1535" s="8">
        <f>HYPERLINK("https://dart.fss.or.kr/dsaf001/main.do?rcpNo=20260522000284", "공시열람")</f>
        <v/>
      </c>
    </row>
    <row r="1536" ht="22" customHeight="1">
      <c r="A1536" s="2" t="inlineStr">
        <is>
          <t>2026-05-22</t>
        </is>
      </c>
      <c r="B1536" s="3" t="inlineStr">
        <is>
          <t>하이젠알앤엠</t>
        </is>
      </c>
      <c r="C1536" s="2" t="inlineStr">
        <is>
          <t>160190</t>
        </is>
      </c>
      <c r="D1536" s="2" t="inlineStr">
        <is>
          <t>대량보유</t>
        </is>
      </c>
      <c r="E1536" s="3" t="inlineStr">
        <is>
          <t>김인숙</t>
        </is>
      </c>
      <c r="F1536" s="3" t="inlineStr">
        <is>
          <t>특별관계자</t>
        </is>
      </c>
      <c r="G1536" s="3" t="inlineStr">
        <is>
          <t>장내매도(-)</t>
        </is>
      </c>
      <c r="H1536" s="17" t="n">
        <v>-2000</v>
      </c>
      <c r="I1536" s="6" t="n">
        <v>74218</v>
      </c>
      <c r="J1536" s="6" t="n">
        <v>148000</v>
      </c>
      <c r="K1536" s="16" t="n">
        <v>8</v>
      </c>
      <c r="L1536" s="2" t="inlineStr">
        <is>
          <t>20260522000284</t>
        </is>
      </c>
      <c r="M1536" s="8">
        <f>HYPERLINK("https://dart.fss.or.kr/dsaf001/main.do?rcpNo=20260522000284", "공시열람")</f>
        <v/>
      </c>
    </row>
    <row r="1537" ht="22" customHeight="1">
      <c r="A1537" s="2" t="inlineStr">
        <is>
          <t>2026-05-22</t>
        </is>
      </c>
      <c r="B1537" s="3" t="inlineStr">
        <is>
          <t>하이젠알앤엠</t>
        </is>
      </c>
      <c r="C1537" s="2" t="inlineStr">
        <is>
          <t>160190</t>
        </is>
      </c>
      <c r="D1537" s="2" t="inlineStr">
        <is>
          <t>대량보유</t>
        </is>
      </c>
      <c r="E1537" s="3" t="inlineStr">
        <is>
          <t>석경수</t>
        </is>
      </c>
      <c r="F1537" s="3" t="inlineStr">
        <is>
          <t>특별관계자</t>
        </is>
      </c>
      <c r="G1537" s="3" t="inlineStr">
        <is>
          <t>장내매도(-)</t>
        </is>
      </c>
      <c r="H1537" s="17" t="n">
        <v>-1000</v>
      </c>
      <c r="I1537" s="6" t="n">
        <v>74400</v>
      </c>
      <c r="J1537" s="6" t="n">
        <v>149000</v>
      </c>
      <c r="K1537" s="16" t="n">
        <v>8</v>
      </c>
      <c r="L1537" s="2" t="inlineStr">
        <is>
          <t>20260522000284</t>
        </is>
      </c>
      <c r="M1537" s="8">
        <f>HYPERLINK("https://dart.fss.or.kr/dsaf001/main.do?rcpNo=20260522000284", "공시열람")</f>
        <v/>
      </c>
    </row>
    <row r="1538" ht="22" customHeight="1">
      <c r="A1538" s="2" t="inlineStr">
        <is>
          <t>2026-05-22</t>
        </is>
      </c>
      <c r="B1538" s="3" t="inlineStr">
        <is>
          <t>에스엠벡셀</t>
        </is>
      </c>
      <c r="C1538" s="2" t="inlineStr">
        <is>
          <t>010580</t>
        </is>
      </c>
      <c r="D1538" s="2" t="inlineStr">
        <is>
          <t>대량보유</t>
        </is>
      </c>
      <c r="E1538" s="3" t="inlineStr">
        <is>
          <t>에스엠자산개발(주)</t>
        </is>
      </c>
      <c r="F1538" s="3" t="inlineStr">
        <is>
          <t>특별관계자</t>
        </is>
      </c>
      <c r="G1538" s="3" t="inlineStr">
        <is>
          <t>장내매수(+)</t>
        </is>
      </c>
      <c r="H1538" s="15" t="n">
        <v>97294</v>
      </c>
      <c r="I1538" s="6" t="n">
        <v>2015</v>
      </c>
      <c r="J1538" s="6" t="n">
        <v>524277</v>
      </c>
      <c r="K1538" s="16" t="n">
        <v>4</v>
      </c>
      <c r="L1538" s="2" t="inlineStr">
        <is>
          <t>20260522000265</t>
        </is>
      </c>
      <c r="M1538" s="8">
        <f>HYPERLINK("https://dart.fss.or.kr/dsaf001/main.do?rcpNo=20260522000265", "공시열람")</f>
        <v/>
      </c>
    </row>
    <row r="1539" ht="22" customHeight="1">
      <c r="A1539" s="2" t="inlineStr">
        <is>
          <t>2026-05-22</t>
        </is>
      </c>
      <c r="B1539" s="3" t="inlineStr">
        <is>
          <t>동남합성</t>
        </is>
      </c>
      <c r="C1539" s="2" t="inlineStr">
        <is>
          <t>023450</t>
        </is>
      </c>
      <c r="D1539" s="2" t="inlineStr">
        <is>
          <t>임원보고</t>
        </is>
      </c>
      <c r="E1539" s="3" t="inlineStr">
        <is>
          <t>-</t>
        </is>
      </c>
      <c r="F1539" s="3" t="inlineStr">
        <is>
          <t>-</t>
        </is>
      </c>
      <c r="G1539" s="3" t="inlineStr">
        <is>
          <t>-</t>
        </is>
      </c>
      <c r="H1539" s="6" t="inlineStr"/>
      <c r="I1539" s="6" t="inlineStr"/>
      <c r="J1539" s="6" t="inlineStr"/>
      <c r="K1539" s="16" t="n">
        <v>12</v>
      </c>
      <c r="L1539" s="2" t="inlineStr">
        <is>
          <t>20260522800378</t>
        </is>
      </c>
      <c r="M1539" s="8">
        <f>HYPERLINK("https://dart.fss.or.kr/dsaf001/main.do?rcpNo=20260522800378", "공시열람")</f>
        <v/>
      </c>
    </row>
    <row r="1540" ht="22" customHeight="1">
      <c r="A1540" s="2" t="inlineStr">
        <is>
          <t>2026-05-22</t>
        </is>
      </c>
      <c r="B1540" s="3" t="inlineStr">
        <is>
          <t>링크드</t>
        </is>
      </c>
      <c r="C1540" s="2" t="inlineStr">
        <is>
          <t>193250</t>
        </is>
      </c>
      <c r="D1540" s="2" t="inlineStr">
        <is>
          <t>대량보유</t>
        </is>
      </c>
      <c r="E1540" s="3" t="inlineStr">
        <is>
          <t>민용재</t>
        </is>
      </c>
      <c r="F1540" s="3" t="inlineStr">
        <is>
          <t>특별관계자</t>
        </is>
      </c>
      <c r="G1540" s="3" t="inlineStr">
        <is>
          <t>주식병합</t>
        </is>
      </c>
      <c r="H1540" s="17" t="n">
        <v>-5765865</v>
      </c>
      <c r="I1540" s="6" t="inlineStr"/>
      <c r="J1540" s="6" t="n">
        <v>1441466</v>
      </c>
      <c r="K1540" s="16" t="n">
        <v>6</v>
      </c>
      <c r="L1540" s="2" t="inlineStr">
        <is>
          <t>20260522000204</t>
        </is>
      </c>
      <c r="M1540" s="8">
        <f>HYPERLINK("https://dart.fss.or.kr/dsaf001/main.do?rcpNo=20260522000204", "공시열람")</f>
        <v/>
      </c>
    </row>
    <row r="1541" ht="22" customHeight="1">
      <c r="A1541" s="2" t="inlineStr">
        <is>
          <t>2026-05-22</t>
        </is>
      </c>
      <c r="B1541" s="3" t="inlineStr">
        <is>
          <t>링크드</t>
        </is>
      </c>
      <c r="C1541" s="2" t="inlineStr">
        <is>
          <t>193250</t>
        </is>
      </c>
      <c r="D1541" s="2" t="inlineStr">
        <is>
          <t>대량보유</t>
        </is>
      </c>
      <c r="E1541" s="3" t="inlineStr">
        <is>
          <t>(주)애자일스톤</t>
        </is>
      </c>
      <c r="F1541" s="3" t="inlineStr">
        <is>
          <t>특별관계자</t>
        </is>
      </c>
      <c r="G1541" s="3" t="inlineStr">
        <is>
          <t>주식병합</t>
        </is>
      </c>
      <c r="H1541" s="17" t="n">
        <v>-5689314</v>
      </c>
      <c r="I1541" s="6" t="inlineStr"/>
      <c r="J1541" s="6" t="n">
        <v>1422328</v>
      </c>
      <c r="K1541" s="16" t="n">
        <v>6</v>
      </c>
      <c r="L1541" s="2" t="inlineStr">
        <is>
          <t>20260522000204</t>
        </is>
      </c>
      <c r="M1541" s="8">
        <f>HYPERLINK("https://dart.fss.or.kr/dsaf001/main.do?rcpNo=20260522000204", "공시열람")</f>
        <v/>
      </c>
    </row>
    <row r="1542" ht="22" customHeight="1">
      <c r="A1542" s="2" t="inlineStr">
        <is>
          <t>2026-05-22</t>
        </is>
      </c>
      <c r="B1542" s="3" t="inlineStr">
        <is>
          <t>링크드</t>
        </is>
      </c>
      <c r="C1542" s="2" t="inlineStr">
        <is>
          <t>193250</t>
        </is>
      </c>
      <c r="D1542" s="2" t="inlineStr">
        <is>
          <t>대량보유</t>
        </is>
      </c>
      <c r="E1542" s="3" t="inlineStr">
        <is>
          <t>(주)린코너스톤</t>
        </is>
      </c>
      <c r="F1542" s="3" t="inlineStr">
        <is>
          <t>특별관계자</t>
        </is>
      </c>
      <c r="G1542" s="3" t="inlineStr">
        <is>
          <t>주식병합</t>
        </is>
      </c>
      <c r="H1542" s="17" t="n">
        <v>-3218825</v>
      </c>
      <c r="I1542" s="6" t="inlineStr"/>
      <c r="J1542" s="6" t="n">
        <v>804706</v>
      </c>
      <c r="K1542" s="16" t="n">
        <v>6</v>
      </c>
      <c r="L1542" s="2" t="inlineStr">
        <is>
          <t>20260522000204</t>
        </is>
      </c>
      <c r="M1542" s="8">
        <f>HYPERLINK("https://dart.fss.or.kr/dsaf001/main.do?rcpNo=20260522000204", "공시열람")</f>
        <v/>
      </c>
    </row>
    <row r="1543" ht="22" customHeight="1">
      <c r="A1543" s="2" t="inlineStr">
        <is>
          <t>2026-05-22</t>
        </is>
      </c>
      <c r="B1543" s="3" t="inlineStr">
        <is>
          <t>링크드</t>
        </is>
      </c>
      <c r="C1543" s="2" t="inlineStr">
        <is>
          <t>193250</t>
        </is>
      </c>
      <c r="D1543" s="2" t="inlineStr">
        <is>
          <t>대량보유</t>
        </is>
      </c>
      <c r="E1543" s="3" t="inlineStr">
        <is>
          <t>(주)원유니버스</t>
        </is>
      </c>
      <c r="F1543" s="3" t="inlineStr">
        <is>
          <t>특별관계자</t>
        </is>
      </c>
      <c r="G1543" s="3" t="inlineStr">
        <is>
          <t>주식병합</t>
        </is>
      </c>
      <c r="H1543" s="17" t="n">
        <v>-1461188</v>
      </c>
      <c r="I1543" s="6" t="inlineStr"/>
      <c r="J1543" s="6" t="n">
        <v>365297</v>
      </c>
      <c r="K1543" s="16" t="n">
        <v>6</v>
      </c>
      <c r="L1543" s="2" t="inlineStr">
        <is>
          <t>20260522000204</t>
        </is>
      </c>
      <c r="M1543" s="8">
        <f>HYPERLINK("https://dart.fss.or.kr/dsaf001/main.do?rcpNo=20260522000204", "공시열람")</f>
        <v/>
      </c>
    </row>
    <row r="1544" ht="22" customHeight="1">
      <c r="A1544" s="2" t="inlineStr">
        <is>
          <t>2026-05-22</t>
        </is>
      </c>
      <c r="B1544" s="3" t="inlineStr">
        <is>
          <t>링크드</t>
        </is>
      </c>
      <c r="C1544" s="2" t="inlineStr">
        <is>
          <t>193250</t>
        </is>
      </c>
      <c r="D1544" s="2" t="inlineStr">
        <is>
          <t>대량보유</t>
        </is>
      </c>
      <c r="E1544" s="3" t="inlineStr">
        <is>
          <t>지재복</t>
        </is>
      </c>
      <c r="F1544" s="3" t="inlineStr">
        <is>
          <t>특별관계자</t>
        </is>
      </c>
      <c r="G1544" s="3" t="inlineStr">
        <is>
          <t>기타(-), 주식병합</t>
        </is>
      </c>
      <c r="H1544" s="17" t="n">
        <v>-243237</v>
      </c>
      <c r="I1544" s="6" t="inlineStr"/>
      <c r="J1544" s="6" t="n">
        <v>58309</v>
      </c>
      <c r="K1544" s="16" t="n">
        <v>6</v>
      </c>
      <c r="L1544" s="2" t="inlineStr">
        <is>
          <t>20260522000204</t>
        </is>
      </c>
      <c r="M1544" s="8">
        <f>HYPERLINK("https://dart.fss.or.kr/dsaf001/main.do?rcpNo=20260522000204", "공시열람")</f>
        <v/>
      </c>
    </row>
    <row r="1545" ht="22" customHeight="1">
      <c r="A1545" s="2" t="inlineStr">
        <is>
          <t>2026-05-22</t>
        </is>
      </c>
      <c r="B1545" s="3" t="inlineStr">
        <is>
          <t>링크드</t>
        </is>
      </c>
      <c r="C1545" s="2" t="inlineStr">
        <is>
          <t>193250</t>
        </is>
      </c>
      <c r="D1545" s="2" t="inlineStr">
        <is>
          <t>대량보유</t>
        </is>
      </c>
      <c r="E1545" s="3" t="inlineStr">
        <is>
          <t>홍성준</t>
        </is>
      </c>
      <c r="F1545" s="3" t="inlineStr">
        <is>
          <t>특별관계자</t>
        </is>
      </c>
      <c r="G1545" s="3" t="inlineStr">
        <is>
          <t>주식병합</t>
        </is>
      </c>
      <c r="H1545" s="17" t="n">
        <v>-62760</v>
      </c>
      <c r="I1545" s="6" t="inlineStr"/>
      <c r="J1545" s="6" t="n">
        <v>15690</v>
      </c>
      <c r="K1545" s="16" t="n">
        <v>6</v>
      </c>
      <c r="L1545" s="2" t="inlineStr">
        <is>
          <t>20260522000204</t>
        </is>
      </c>
      <c r="M1545" s="8">
        <f>HYPERLINK("https://dart.fss.or.kr/dsaf001/main.do?rcpNo=20260522000204", "공시열람")</f>
        <v/>
      </c>
    </row>
    <row r="1546" ht="22" customHeight="1">
      <c r="A1546" s="2" t="inlineStr">
        <is>
          <t>2026-05-22</t>
        </is>
      </c>
      <c r="B1546" s="3" t="inlineStr">
        <is>
          <t>링크드</t>
        </is>
      </c>
      <c r="C1546" s="2" t="inlineStr">
        <is>
          <t>193250</t>
        </is>
      </c>
      <c r="D1546" s="2" t="inlineStr">
        <is>
          <t>대량보유</t>
        </is>
      </c>
      <c r="E1546" s="3" t="inlineStr">
        <is>
          <t>곽동석</t>
        </is>
      </c>
      <c r="F1546" s="3" t="inlineStr">
        <is>
          <t>특별관계자</t>
        </is>
      </c>
      <c r="G1546" s="3" t="inlineStr">
        <is>
          <t>장내매수(+), 주식병합</t>
        </is>
      </c>
      <c r="H1546" s="15" t="n">
        <v>24970</v>
      </c>
      <c r="I1546" s="6" t="n">
        <v>401</v>
      </c>
      <c r="J1546" s="6" t="n">
        <v>24970</v>
      </c>
      <c r="K1546" s="16" t="n">
        <v>6</v>
      </c>
      <c r="L1546" s="2" t="inlineStr">
        <is>
          <t>20260522000204</t>
        </is>
      </c>
      <c r="M1546" s="8">
        <f>HYPERLINK("https://dart.fss.or.kr/dsaf001/main.do?rcpNo=20260522000204", "공시열람")</f>
        <v/>
      </c>
    </row>
    <row r="1547" ht="22" customHeight="1">
      <c r="A1547" s="2" t="inlineStr">
        <is>
          <t>2026-05-22</t>
        </is>
      </c>
      <c r="B1547" s="3" t="inlineStr">
        <is>
          <t>지엠비코리아</t>
        </is>
      </c>
      <c r="C1547" s="2" t="inlineStr">
        <is>
          <t>013870</t>
        </is>
      </c>
      <c r="D1547" s="2" t="inlineStr">
        <is>
          <t>임원보고</t>
        </is>
      </c>
      <c r="E1547" s="3" t="inlineStr">
        <is>
          <t>-</t>
        </is>
      </c>
      <c r="F1547" s="3" t="inlineStr">
        <is>
          <t>-</t>
        </is>
      </c>
      <c r="G1547" s="3" t="inlineStr">
        <is>
          <t>-</t>
        </is>
      </c>
      <c r="H1547" s="6" t="inlineStr"/>
      <c r="I1547" s="6" t="inlineStr"/>
      <c r="J1547" s="6" t="inlineStr"/>
      <c r="K1547" s="16" t="n">
        <v>12</v>
      </c>
      <c r="L1547" s="2" t="inlineStr">
        <is>
          <t>20260522800311</t>
        </is>
      </c>
      <c r="M1547" s="8">
        <f>HYPERLINK("https://dart.fss.or.kr/dsaf001/main.do?rcpNo=20260522800311", "공시열람")</f>
        <v/>
      </c>
    </row>
    <row r="1548" ht="22" customHeight="1">
      <c r="A1548" s="2" t="inlineStr">
        <is>
          <t>2026-05-22</t>
        </is>
      </c>
      <c r="B1548" s="3" t="inlineStr">
        <is>
          <t>하이트진로</t>
        </is>
      </c>
      <c r="C1548" s="2" t="inlineStr">
        <is>
          <t>000080</t>
        </is>
      </c>
      <c r="D1548" s="2" t="inlineStr">
        <is>
          <t>대량보유</t>
        </is>
      </c>
      <c r="E1548" s="3" t="inlineStr">
        <is>
          <t>오근의</t>
        </is>
      </c>
      <c r="F1548" s="3" t="inlineStr">
        <is>
          <t>특별관계자</t>
        </is>
      </c>
      <c r="G1548" s="3" t="inlineStr">
        <is>
          <t>장내매수(+)</t>
        </is>
      </c>
      <c r="H1548" s="15" t="n">
        <v>2000</v>
      </c>
      <c r="I1548" s="6" t="n">
        <v>16602</v>
      </c>
      <c r="J1548" s="6" t="n">
        <v>2000</v>
      </c>
      <c r="K1548" s="16" t="n">
        <v>10</v>
      </c>
      <c r="L1548" s="2" t="inlineStr">
        <is>
          <t>20260522000190</t>
        </is>
      </c>
      <c r="M1548" s="8">
        <f>HYPERLINK("https://dart.fss.or.kr/dsaf001/main.do?rcpNo=20260522000190", "공시열람")</f>
        <v/>
      </c>
    </row>
    <row r="1549" ht="22" customHeight="1">
      <c r="A1549" s="2" t="inlineStr">
        <is>
          <t>2026-05-22</t>
        </is>
      </c>
      <c r="B1549" s="3" t="inlineStr">
        <is>
          <t>하이트진로</t>
        </is>
      </c>
      <c r="C1549" s="2" t="inlineStr">
        <is>
          <t>000080</t>
        </is>
      </c>
      <c r="D1549" s="2" t="inlineStr">
        <is>
          <t>대량보유</t>
        </is>
      </c>
      <c r="E1549" s="3" t="inlineStr">
        <is>
          <t>박기웅</t>
        </is>
      </c>
      <c r="F1549" s="3" t="inlineStr">
        <is>
          <t>특별관계자</t>
        </is>
      </c>
      <c r="G1549" s="3" t="inlineStr">
        <is>
          <t>장내매수(+)</t>
        </is>
      </c>
      <c r="H1549" s="15" t="n">
        <v>1234</v>
      </c>
      <c r="I1549" s="6" t="n">
        <v>16606</v>
      </c>
      <c r="J1549" s="6" t="n">
        <v>1234</v>
      </c>
      <c r="K1549" s="16" t="n">
        <v>10</v>
      </c>
      <c r="L1549" s="2" t="inlineStr">
        <is>
          <t>20260522000190</t>
        </is>
      </c>
      <c r="M1549" s="8">
        <f>HYPERLINK("https://dart.fss.or.kr/dsaf001/main.do?rcpNo=20260522000190", "공시열람")</f>
        <v/>
      </c>
    </row>
    <row r="1550" ht="22" customHeight="1">
      <c r="A1550" s="2" t="inlineStr">
        <is>
          <t>2026-05-22</t>
        </is>
      </c>
      <c r="B1550" s="3" t="inlineStr">
        <is>
          <t>하이트진로</t>
        </is>
      </c>
      <c r="C1550" s="2" t="inlineStr">
        <is>
          <t>000080</t>
        </is>
      </c>
      <c r="D1550" s="2" t="inlineStr">
        <is>
          <t>대량보유</t>
        </is>
      </c>
      <c r="E1550" s="3" t="inlineStr">
        <is>
          <t>최욱도</t>
        </is>
      </c>
      <c r="F1550" s="3" t="inlineStr">
        <is>
          <t>특별관계자</t>
        </is>
      </c>
      <c r="G1550" s="3" t="inlineStr">
        <is>
          <t>신규선임(유상취득)(+), 장내매수(+)</t>
        </is>
      </c>
      <c r="H1550" s="15" t="n">
        <v>1525</v>
      </c>
      <c r="I1550" s="6" t="n">
        <v>17050</v>
      </c>
      <c r="J1550" s="6" t="n">
        <v>1525</v>
      </c>
      <c r="K1550" s="16" t="n">
        <v>10</v>
      </c>
      <c r="L1550" s="2" t="inlineStr">
        <is>
          <t>20260522000190</t>
        </is>
      </c>
      <c r="M1550" s="8">
        <f>HYPERLINK("https://dart.fss.or.kr/dsaf001/main.do?rcpNo=20260522000190", "공시열람")</f>
        <v/>
      </c>
    </row>
    <row r="1551" ht="22" customHeight="1">
      <c r="A1551" s="2" t="inlineStr">
        <is>
          <t>2026-05-22</t>
        </is>
      </c>
      <c r="B1551" s="3" t="inlineStr">
        <is>
          <t>하이트진로</t>
        </is>
      </c>
      <c r="C1551" s="2" t="inlineStr">
        <is>
          <t>000080</t>
        </is>
      </c>
      <c r="D1551" s="2" t="inlineStr">
        <is>
          <t>임원보고</t>
        </is>
      </c>
      <c r="E1551" s="3" t="inlineStr">
        <is>
          <t>-</t>
        </is>
      </c>
      <c r="F1551" s="3" t="inlineStr">
        <is>
          <t>-</t>
        </is>
      </c>
      <c r="G1551" s="3" t="inlineStr">
        <is>
          <t>-</t>
        </is>
      </c>
      <c r="H1551" s="6" t="inlineStr"/>
      <c r="I1551" s="6" t="inlineStr"/>
      <c r="J1551" s="6" t="inlineStr"/>
      <c r="K1551" s="16" t="n">
        <v>12</v>
      </c>
      <c r="L1551" s="2" t="inlineStr">
        <is>
          <t>20260522800295</t>
        </is>
      </c>
      <c r="M1551" s="8">
        <f>HYPERLINK("https://dart.fss.or.kr/dsaf001/main.do?rcpNo=20260522800295", "공시열람")</f>
        <v/>
      </c>
    </row>
    <row r="1552" ht="22" customHeight="1">
      <c r="A1552" s="2" t="inlineStr">
        <is>
          <t>2026-05-22</t>
        </is>
      </c>
      <c r="B1552" s="3" t="inlineStr">
        <is>
          <t>유니드</t>
        </is>
      </c>
      <c r="C1552" s="2" t="inlineStr">
        <is>
          <t>014830</t>
        </is>
      </c>
      <c r="D1552" s="2" t="inlineStr">
        <is>
          <t>임원보고</t>
        </is>
      </c>
      <c r="E1552" s="3" t="inlineStr">
        <is>
          <t>-</t>
        </is>
      </c>
      <c r="F1552" s="3" t="inlineStr">
        <is>
          <t>-</t>
        </is>
      </c>
      <c r="G1552" s="3" t="inlineStr">
        <is>
          <t>-</t>
        </is>
      </c>
      <c r="H1552" s="6" t="inlineStr"/>
      <c r="I1552" s="6" t="inlineStr"/>
      <c r="J1552" s="6" t="inlineStr"/>
      <c r="K1552" s="16" t="n">
        <v>12</v>
      </c>
      <c r="L1552" s="2" t="inlineStr">
        <is>
          <t>20260522800260</t>
        </is>
      </c>
      <c r="M1552" s="8">
        <f>HYPERLINK("https://dart.fss.or.kr/dsaf001/main.do?rcpNo=20260522800260", "공시열람")</f>
        <v/>
      </c>
    </row>
    <row r="1553" ht="22" customHeight="1">
      <c r="A1553" s="2" t="inlineStr">
        <is>
          <t>2026-05-22</t>
        </is>
      </c>
      <c r="B1553" s="3" t="inlineStr">
        <is>
          <t>신흥</t>
        </is>
      </c>
      <c r="C1553" s="2" t="inlineStr">
        <is>
          <t>004080</t>
        </is>
      </c>
      <c r="D1553" s="2" t="inlineStr">
        <is>
          <t>임원보고</t>
        </is>
      </c>
      <c r="E1553" s="3" t="inlineStr">
        <is>
          <t>-</t>
        </is>
      </c>
      <c r="F1553" s="3" t="inlineStr">
        <is>
          <t>-</t>
        </is>
      </c>
      <c r="G1553" s="3" t="inlineStr">
        <is>
          <t>-</t>
        </is>
      </c>
      <c r="H1553" s="6" t="inlineStr"/>
      <c r="I1553" s="6" t="inlineStr"/>
      <c r="J1553" s="6" t="inlineStr"/>
      <c r="K1553" s="16" t="n">
        <v>12</v>
      </c>
      <c r="L1553" s="2" t="inlineStr">
        <is>
          <t>20260522800246</t>
        </is>
      </c>
      <c r="M1553" s="8">
        <f>HYPERLINK("https://dart.fss.or.kr/dsaf001/main.do?rcpNo=20260522800246", "공시열람")</f>
        <v/>
      </c>
    </row>
    <row r="1554" ht="22" customHeight="1">
      <c r="A1554" s="2" t="inlineStr">
        <is>
          <t>2026-05-22</t>
        </is>
      </c>
      <c r="B1554" s="3" t="inlineStr">
        <is>
          <t>제주반도체</t>
        </is>
      </c>
      <c r="C1554" s="2" t="inlineStr">
        <is>
          <t>080220</t>
        </is>
      </c>
      <c r="D1554" s="2" t="inlineStr">
        <is>
          <t>대량보유</t>
        </is>
      </c>
      <c r="E1554" s="3" t="inlineStr">
        <is>
          <t>박성식</t>
        </is>
      </c>
      <c r="F1554" s="3" t="inlineStr">
        <is>
          <t>특별관계자</t>
        </is>
      </c>
      <c r="G1554" s="3" t="inlineStr">
        <is>
          <t>콜옵션취득(+)</t>
        </is>
      </c>
      <c r="H1554" s="15" t="n">
        <v>32937</v>
      </c>
      <c r="I1554" s="6" t="n">
        <v>18862</v>
      </c>
      <c r="J1554" s="6" t="n">
        <v>138119</v>
      </c>
      <c r="K1554" s="16" t="n">
        <v>5</v>
      </c>
      <c r="L1554" s="2" t="inlineStr">
        <is>
          <t>20260522000113</t>
        </is>
      </c>
      <c r="M1554" s="8">
        <f>HYPERLINK("https://dart.fss.or.kr/dsaf001/main.do?rcpNo=20260522000113", "공시열람")</f>
        <v/>
      </c>
    </row>
    <row r="1555" ht="22" customHeight="1">
      <c r="A1555" s="2" t="inlineStr">
        <is>
          <t>2026-05-22</t>
        </is>
      </c>
      <c r="B1555" s="3" t="inlineStr">
        <is>
          <t>제주반도체</t>
        </is>
      </c>
      <c r="C1555" s="2" t="inlineStr">
        <is>
          <t>080220</t>
        </is>
      </c>
      <c r="D1555" s="2" t="inlineStr">
        <is>
          <t>대량보유</t>
        </is>
      </c>
      <c r="E1555" s="3" t="inlineStr">
        <is>
          <t>조형섭</t>
        </is>
      </c>
      <c r="F1555" s="3" t="inlineStr">
        <is>
          <t>특별관계자</t>
        </is>
      </c>
      <c r="G1555" s="3" t="inlineStr">
        <is>
          <t>콜옵션취득(+)</t>
        </is>
      </c>
      <c r="H1555" s="15" t="n">
        <v>3922</v>
      </c>
      <c r="I1555" s="6" t="n">
        <v>18862</v>
      </c>
      <c r="J1555" s="6" t="n">
        <v>16446</v>
      </c>
      <c r="K1555" s="16" t="n">
        <v>5</v>
      </c>
      <c r="L1555" s="2" t="inlineStr">
        <is>
          <t>20260522000113</t>
        </is>
      </c>
      <c r="M1555" s="8">
        <f>HYPERLINK("https://dart.fss.or.kr/dsaf001/main.do?rcpNo=20260522000113", "공시열람")</f>
        <v/>
      </c>
    </row>
    <row r="1556" ht="22" customHeight="1">
      <c r="A1556" s="2" t="inlineStr">
        <is>
          <t>2026-05-22</t>
        </is>
      </c>
      <c r="B1556" s="3" t="inlineStr">
        <is>
          <t>웨이브일렉트로</t>
        </is>
      </c>
      <c r="C1556" s="2" t="inlineStr">
        <is>
          <t>095270</t>
        </is>
      </c>
      <c r="D1556" s="2" t="inlineStr">
        <is>
          <t>대량보유</t>
        </is>
      </c>
      <c r="E1556" s="3" t="inlineStr">
        <is>
          <t>박천석</t>
        </is>
      </c>
      <c r="F1556" s="3" t="inlineStr">
        <is>
          <t>보고자</t>
        </is>
      </c>
      <c r="G1556" s="3" t="inlineStr">
        <is>
          <t>보고자의 주식담보대출 일부 상환에 따른 담보주식수 변경</t>
        </is>
      </c>
      <c r="H1556" s="6" t="inlineStr"/>
      <c r="I1556" s="6" t="inlineStr"/>
      <c r="J1556" s="6" t="n">
        <v>2881295</v>
      </c>
      <c r="K1556" s="16" t="n">
        <v>6</v>
      </c>
      <c r="L1556" s="2" t="inlineStr">
        <is>
          <t>20260522000105</t>
        </is>
      </c>
      <c r="M1556" s="8">
        <f>HYPERLINK("https://dart.fss.or.kr/dsaf001/main.do?rcpNo=20260522000105", "공시열람")</f>
        <v/>
      </c>
    </row>
    <row r="1557" ht="22" customHeight="1">
      <c r="A1557" s="2" t="inlineStr">
        <is>
          <t>2026-05-22</t>
        </is>
      </c>
      <c r="B1557" s="3" t="inlineStr">
        <is>
          <t>피에스케이</t>
        </is>
      </c>
      <c r="C1557" s="2" t="inlineStr">
        <is>
          <t>319660</t>
        </is>
      </c>
      <c r="D1557" s="2" t="inlineStr">
        <is>
          <t>대량보유</t>
        </is>
      </c>
      <c r="E1557" s="3" t="inlineStr">
        <is>
          <t>엄상희</t>
        </is>
      </c>
      <c r="F1557" s="3" t="inlineStr">
        <is>
          <t>특별관계자</t>
        </is>
      </c>
      <c r="G1557" s="3" t="inlineStr">
        <is>
          <t>장내매도(-)</t>
        </is>
      </c>
      <c r="H1557" s="17" t="n">
        <v>-200</v>
      </c>
      <c r="I1557" s="6" t="n">
        <v>105565</v>
      </c>
      <c r="J1557" s="6" t="inlineStr"/>
      <c r="K1557" s="16" t="n">
        <v>10</v>
      </c>
      <c r="L1557" s="2" t="inlineStr">
        <is>
          <t>20260522000059</t>
        </is>
      </c>
      <c r="M1557" s="8">
        <f>HYPERLINK("https://dart.fss.or.kr/dsaf001/main.do?rcpNo=20260522000059", "공시열람")</f>
        <v/>
      </c>
    </row>
    <row r="1558" ht="22" customHeight="1">
      <c r="A1558" s="2" t="inlineStr">
        <is>
          <t>2026-05-22</t>
        </is>
      </c>
      <c r="B1558" s="3" t="inlineStr">
        <is>
          <t>이노뎁</t>
        </is>
      </c>
      <c r="C1558" s="2" t="inlineStr">
        <is>
          <t>303530</t>
        </is>
      </c>
      <c r="D1558" s="2" t="inlineStr">
        <is>
          <t>대량보유</t>
        </is>
      </c>
      <c r="E1558" s="3" t="inlineStr">
        <is>
          <t>이재석</t>
        </is>
      </c>
      <c r="F1558" s="3" t="inlineStr">
        <is>
          <t>특별관계자</t>
        </is>
      </c>
      <c r="G1558" s="3" t="inlineStr">
        <is>
          <t>임원퇴임(-)</t>
        </is>
      </c>
      <c r="H1558" s="17" t="n">
        <v>-35948</v>
      </c>
      <c r="I1558" s="6" t="inlineStr"/>
      <c r="J1558" s="6" t="inlineStr"/>
      <c r="K1558" s="16" t="n">
        <v>2</v>
      </c>
      <c r="L1558" s="2" t="inlineStr">
        <is>
          <t>20260522000031</t>
        </is>
      </c>
      <c r="M1558" s="8">
        <f>HYPERLINK("https://dart.fss.or.kr/dsaf001/main.do?rcpNo=20260522000031", "공시열람")</f>
        <v/>
      </c>
    </row>
    <row r="1559" ht="22" customHeight="1">
      <c r="A1559" s="2" t="inlineStr">
        <is>
          <t>2026-05-22</t>
        </is>
      </c>
      <c r="B1559" s="3" t="inlineStr">
        <is>
          <t>엘에스일렉트릭</t>
        </is>
      </c>
      <c r="C1559" s="2" t="inlineStr">
        <is>
          <t>010120</t>
        </is>
      </c>
      <c r="D1559" s="2" t="inlineStr">
        <is>
          <t>임원보고</t>
        </is>
      </c>
      <c r="E1559" s="3" t="inlineStr">
        <is>
          <t>-</t>
        </is>
      </c>
      <c r="F1559" s="3" t="inlineStr">
        <is>
          <t>-</t>
        </is>
      </c>
      <c r="G1559" s="3" t="inlineStr">
        <is>
          <t>-</t>
        </is>
      </c>
      <c r="H1559" s="6" t="inlineStr"/>
      <c r="I1559" s="6" t="inlineStr"/>
      <c r="J1559" s="6" t="inlineStr"/>
      <c r="K1559" s="16" t="n">
        <v>12</v>
      </c>
      <c r="L1559" s="2" t="inlineStr">
        <is>
          <t>20260522800099</t>
        </is>
      </c>
      <c r="M1559" s="8">
        <f>HYPERLINK("https://dart.fss.or.kr/dsaf001/main.do?rcpNo=20260522800099", "공시열람")</f>
        <v/>
      </c>
    </row>
    <row r="1560" ht="22" customHeight="1">
      <c r="A1560" s="2" t="inlineStr">
        <is>
          <t>2026-05-22</t>
        </is>
      </c>
      <c r="B1560" s="3" t="inlineStr">
        <is>
          <t>삼진제약</t>
        </is>
      </c>
      <c r="C1560" s="2" t="inlineStr">
        <is>
          <t>005500</t>
        </is>
      </c>
      <c r="D1560" s="2" t="inlineStr">
        <is>
          <t>대량보유</t>
        </is>
      </c>
      <c r="E1560" s="3" t="inlineStr">
        <is>
          <t>하나제약(주)</t>
        </is>
      </c>
      <c r="F1560" s="3" t="inlineStr">
        <is>
          <t>특별관계자</t>
        </is>
      </c>
      <c r="G1560" s="3" t="inlineStr">
        <is>
          <t>장내매도(-)</t>
        </is>
      </c>
      <c r="H1560" s="17" t="n">
        <v>-995198</v>
      </c>
      <c r="I1560" s="6" t="n">
        <v>23550</v>
      </c>
      <c r="J1560" s="6" t="n">
        <v>53633</v>
      </c>
      <c r="K1560" s="16" t="n">
        <v>1</v>
      </c>
      <c r="L1560" s="2" t="inlineStr">
        <is>
          <t>20260521000808</t>
        </is>
      </c>
      <c r="M1560" s="8">
        <f>HYPERLINK("https://dart.fss.or.kr/dsaf001/main.do?rcpNo=20260521000808", "공시열람")</f>
        <v/>
      </c>
    </row>
    <row r="1561" ht="22" customHeight="1">
      <c r="A1561" s="2" t="inlineStr">
        <is>
          <t>2026-05-26</t>
        </is>
      </c>
      <c r="B1561" s="3" t="inlineStr">
        <is>
          <t>동국제약</t>
        </is>
      </c>
      <c r="C1561" s="2" t="inlineStr">
        <is>
          <t>086450</t>
        </is>
      </c>
      <c r="D1561" s="2" t="inlineStr">
        <is>
          <t>대량보유</t>
        </is>
      </c>
      <c r="E1561" s="3" t="inlineStr">
        <is>
          <t>권재범</t>
        </is>
      </c>
      <c r="F1561" s="3" t="inlineStr">
        <is>
          <t>특별관계자</t>
        </is>
      </c>
      <c r="G1561" s="3" t="inlineStr">
        <is>
          <t>장내매도(-), 장내매수(+)</t>
        </is>
      </c>
      <c r="H1561" s="17" t="n">
        <v>-421124</v>
      </c>
      <c r="I1561" s="6" t="n">
        <v>17619</v>
      </c>
      <c r="J1561" s="6" t="n">
        <v>1212076</v>
      </c>
      <c r="K1561" s="16" t="n">
        <v>7</v>
      </c>
      <c r="L1561" s="2" t="inlineStr">
        <is>
          <t>20260526000526</t>
        </is>
      </c>
      <c r="M1561" s="8">
        <f>HYPERLINK("https://dart.fss.or.kr/dsaf001/main.do?rcpNo=20260526000526", "공시열람")</f>
        <v/>
      </c>
    </row>
    <row r="1562" ht="22" customHeight="1">
      <c r="A1562" s="2" t="inlineStr">
        <is>
          <t>2026-05-26</t>
        </is>
      </c>
      <c r="B1562" s="3" t="inlineStr">
        <is>
          <t>동국제약</t>
        </is>
      </c>
      <c r="C1562" s="2" t="inlineStr">
        <is>
          <t>086450</t>
        </is>
      </c>
      <c r="D1562" s="2" t="inlineStr">
        <is>
          <t>대량보유</t>
        </is>
      </c>
      <c r="E1562" s="3" t="inlineStr">
        <is>
          <t>권수연</t>
        </is>
      </c>
      <c r="F1562" s="3" t="inlineStr">
        <is>
          <t>특별관계자</t>
        </is>
      </c>
      <c r="G1562" s="3" t="inlineStr">
        <is>
          <t>장내매도(-)</t>
        </is>
      </c>
      <c r="H1562" s="17" t="n">
        <v>-43170</v>
      </c>
      <c r="I1562" s="6" t="n">
        <v>16446</v>
      </c>
      <c r="J1562" s="6" t="n">
        <v>225110</v>
      </c>
      <c r="K1562" s="16" t="n">
        <v>7</v>
      </c>
      <c r="L1562" s="2" t="inlineStr">
        <is>
          <t>20260526000526</t>
        </is>
      </c>
      <c r="M1562" s="8">
        <f>HYPERLINK("https://dart.fss.or.kr/dsaf001/main.do?rcpNo=20260526000526", "공시열람")</f>
        <v/>
      </c>
    </row>
    <row r="1563" ht="22" customHeight="1">
      <c r="A1563" s="2" t="inlineStr">
        <is>
          <t>2026-05-26</t>
        </is>
      </c>
      <c r="B1563" s="3" t="inlineStr">
        <is>
          <t>삼성물산</t>
        </is>
      </c>
      <c r="C1563" s="2" t="inlineStr">
        <is>
          <t>028260</t>
        </is>
      </c>
      <c r="D1563" s="2" t="inlineStr">
        <is>
          <t>임원보고</t>
        </is>
      </c>
      <c r="E1563" s="3" t="inlineStr">
        <is>
          <t>-</t>
        </is>
      </c>
      <c r="F1563" s="3" t="inlineStr">
        <is>
          <t>-</t>
        </is>
      </c>
      <c r="G1563" s="3" t="inlineStr">
        <is>
          <t>-</t>
        </is>
      </c>
      <c r="H1563" s="6" t="inlineStr"/>
      <c r="I1563" s="6" t="inlineStr"/>
      <c r="J1563" s="6" t="inlineStr"/>
      <c r="K1563" s="16" t="n">
        <v>12</v>
      </c>
      <c r="L1563" s="2" t="inlineStr">
        <is>
          <t>20260526800840</t>
        </is>
      </c>
      <c r="M1563" s="8">
        <f>HYPERLINK("https://dart.fss.or.kr/dsaf001/main.do?rcpNo=20260526800840", "공시열람")</f>
        <v/>
      </c>
    </row>
    <row r="1564" ht="22" customHeight="1">
      <c r="A1564" s="2" t="inlineStr">
        <is>
          <t>2026-05-26</t>
        </is>
      </c>
      <c r="B1564" s="3" t="inlineStr">
        <is>
          <t>리드코프</t>
        </is>
      </c>
      <c r="C1564" s="2" t="inlineStr">
        <is>
          <t>012700</t>
        </is>
      </c>
      <c r="D1564" s="2" t="inlineStr">
        <is>
          <t>대량보유</t>
        </is>
      </c>
      <c r="E1564" s="3" t="inlineStr">
        <is>
          <t>(주)디케이마린</t>
        </is>
      </c>
      <c r="F1564" s="3" t="inlineStr">
        <is>
          <t>보고자</t>
        </is>
      </c>
      <c r="G1564" s="3" t="inlineStr">
        <is>
          <t>주식담보계약 일부상환, 차입</t>
        </is>
      </c>
      <c r="H1564" s="6" t="inlineStr"/>
      <c r="I1564" s="6" t="inlineStr"/>
      <c r="J1564" s="6" t="n">
        <v>10667623</v>
      </c>
      <c r="K1564" s="16" t="n">
        <v>3</v>
      </c>
      <c r="L1564" s="2" t="inlineStr">
        <is>
          <t>20260526000522</t>
        </is>
      </c>
      <c r="M1564" s="8">
        <f>HYPERLINK("https://dart.fss.or.kr/dsaf001/main.do?rcpNo=20260526000522", "공시열람")</f>
        <v/>
      </c>
    </row>
    <row r="1565" ht="22" customHeight="1">
      <c r="A1565" s="2" t="inlineStr">
        <is>
          <t>2026-05-26</t>
        </is>
      </c>
      <c r="B1565" s="3" t="inlineStr">
        <is>
          <t>밸로프</t>
        </is>
      </c>
      <c r="C1565" s="2" t="inlineStr">
        <is>
          <t>331520</t>
        </is>
      </c>
      <c r="D1565" s="2" t="inlineStr">
        <is>
          <t>대량보유</t>
        </is>
      </c>
      <c r="E1565" s="3" t="inlineStr">
        <is>
          <t>(주)키글로벌홀딩스</t>
        </is>
      </c>
      <c r="F1565" s="3" t="inlineStr">
        <is>
          <t>특별관계자</t>
        </is>
      </c>
      <c r="G1565" s="3" t="inlineStr">
        <is>
          <t>장내매도(-), 주식병합</t>
        </is>
      </c>
      <c r="H1565" s="17" t="n">
        <v>-1834162</v>
      </c>
      <c r="I1565" s="6" t="n">
        <v>631</v>
      </c>
      <c r="J1565" s="6" t="n">
        <v>331699</v>
      </c>
      <c r="K1565" s="16" t="n">
        <v>1</v>
      </c>
      <c r="L1565" s="2" t="inlineStr">
        <is>
          <t>20260526000518</t>
        </is>
      </c>
      <c r="M1565" s="8">
        <f>HYPERLINK("https://dart.fss.or.kr/dsaf001/main.do?rcpNo=20260526000518", "공시열람")</f>
        <v/>
      </c>
    </row>
    <row r="1566" ht="22" customHeight="1">
      <c r="A1566" s="2" t="inlineStr">
        <is>
          <t>2026-05-26</t>
        </is>
      </c>
      <c r="B1566" s="3" t="inlineStr">
        <is>
          <t>밸로프</t>
        </is>
      </c>
      <c r="C1566" s="2" t="inlineStr">
        <is>
          <t>331520</t>
        </is>
      </c>
      <c r="D1566" s="2" t="inlineStr">
        <is>
          <t>대량보유</t>
        </is>
      </c>
      <c r="E1566" s="3" t="inlineStr">
        <is>
          <t>김창근</t>
        </is>
      </c>
      <c r="F1566" s="3" t="inlineStr">
        <is>
          <t>특별관계자</t>
        </is>
      </c>
      <c r="G1566" s="3" t="inlineStr">
        <is>
          <t>장내매수(+), 주식병합</t>
        </is>
      </c>
      <c r="H1566" s="17" t="n">
        <v>-1240372</v>
      </c>
      <c r="I1566" s="6" t="n">
        <v>725</v>
      </c>
      <c r="J1566" s="6" t="n">
        <v>317593</v>
      </c>
      <c r="K1566" s="16" t="n">
        <v>1</v>
      </c>
      <c r="L1566" s="2" t="inlineStr">
        <is>
          <t>20260526000518</t>
        </is>
      </c>
      <c r="M1566" s="8">
        <f>HYPERLINK("https://dart.fss.or.kr/dsaf001/main.do?rcpNo=20260526000518", "공시열람")</f>
        <v/>
      </c>
    </row>
    <row r="1567" ht="22" customHeight="1">
      <c r="A1567" s="2" t="inlineStr">
        <is>
          <t>2026-05-26 (정정: 2026-05-26)</t>
        </is>
      </c>
      <c r="B1567" s="3" t="inlineStr">
        <is>
          <t>THE E&amp;M</t>
        </is>
      </c>
      <c r="C1567" s="2" t="inlineStr">
        <is>
          <t>089230</t>
        </is>
      </c>
      <c r="D1567" s="2" t="inlineStr">
        <is>
          <t>대량보유</t>
        </is>
      </c>
      <c r="E1567" s="3" t="inlineStr">
        <is>
          <t>-</t>
        </is>
      </c>
      <c r="F1567" s="3" t="inlineStr">
        <is>
          <t>보고자</t>
        </is>
      </c>
      <c r="G1567" s="3" t="inlineStr">
        <is>
          <t>-</t>
        </is>
      </c>
      <c r="H1567" s="6" t="inlineStr"/>
      <c r="I1567" s="6" t="inlineStr"/>
      <c r="J1567" s="6" t="inlineStr"/>
      <c r="K1567" s="18" t="inlineStr"/>
      <c r="L1567" s="2" t="inlineStr">
        <is>
          <t>20260526000481</t>
        </is>
      </c>
      <c r="M1567" s="8">
        <f>HYPERLINK("https://dart.fss.or.kr/dsaf001/main.do?rcpNo=20260526000481", "공시열람")</f>
        <v/>
      </c>
    </row>
    <row r="1568" ht="22" customHeight="1">
      <c r="A1568" s="2" t="inlineStr">
        <is>
          <t>2026-05-26</t>
        </is>
      </c>
      <c r="B1568" s="3" t="inlineStr">
        <is>
          <t>삼익악기</t>
        </is>
      </c>
      <c r="C1568" s="2" t="inlineStr">
        <is>
          <t>002450</t>
        </is>
      </c>
      <c r="D1568" s="2" t="inlineStr">
        <is>
          <t>대량보유</t>
        </is>
      </c>
      <c r="E1568" s="3" t="inlineStr">
        <is>
          <t>삼익문화재단</t>
        </is>
      </c>
      <c r="F1568" s="3" t="inlineStr">
        <is>
          <t>특별관계자</t>
        </is>
      </c>
      <c r="G1568" s="3" t="inlineStr">
        <is>
          <t>장내매수(+)</t>
        </is>
      </c>
      <c r="H1568" s="15" t="n">
        <v>658222</v>
      </c>
      <c r="I1568" s="6" t="n">
        <v>1329</v>
      </c>
      <c r="J1568" s="6" t="n">
        <v>3940060</v>
      </c>
      <c r="K1568" s="16" t="n">
        <v>5</v>
      </c>
      <c r="L1568" s="2" t="inlineStr">
        <is>
          <t>20260526000507</t>
        </is>
      </c>
      <c r="M1568" s="8">
        <f>HYPERLINK("https://dart.fss.or.kr/dsaf001/main.do?rcpNo=20260526000507", "공시열람")</f>
        <v/>
      </c>
    </row>
    <row r="1569" ht="22" customHeight="1">
      <c r="A1569" s="2" t="inlineStr">
        <is>
          <t>2026-05-26</t>
        </is>
      </c>
      <c r="B1569" s="3" t="inlineStr">
        <is>
          <t>핑거</t>
        </is>
      </c>
      <c r="C1569" s="2" t="inlineStr">
        <is>
          <t>163730</t>
        </is>
      </c>
      <c r="D1569" s="2" t="inlineStr">
        <is>
          <t>대량보유</t>
        </is>
      </c>
      <c r="E1569" s="3" t="inlineStr">
        <is>
          <t>(주)탄탄글로벌파트너스</t>
        </is>
      </c>
      <c r="F1569" s="3" t="inlineStr">
        <is>
          <t>특별관계자</t>
        </is>
      </c>
      <c r="G1569" s="3" t="inlineStr">
        <is>
          <t>CB인수(+)</t>
        </is>
      </c>
      <c r="H1569" s="15" t="n">
        <v>799424</v>
      </c>
      <c r="I1569" s="6" t="n">
        <v>12509</v>
      </c>
      <c r="J1569" s="6" t="n">
        <v>799424</v>
      </c>
      <c r="K1569" s="16" t="n">
        <v>7.8</v>
      </c>
      <c r="L1569" s="2" t="inlineStr">
        <is>
          <t>20260526000499</t>
        </is>
      </c>
      <c r="M1569" s="8">
        <f>HYPERLINK("https://dart.fss.or.kr/dsaf001/main.do?rcpNo=20260526000499", "공시열람")</f>
        <v/>
      </c>
    </row>
    <row r="1570" ht="22" customHeight="1">
      <c r="A1570" s="2" t="inlineStr">
        <is>
          <t>2026-05-26</t>
        </is>
      </c>
      <c r="B1570" s="3" t="inlineStr">
        <is>
          <t>삼기</t>
        </is>
      </c>
      <c r="C1570" s="2" t="inlineStr">
        <is>
          <t>122350</t>
        </is>
      </c>
      <c r="D1570" s="2" t="inlineStr">
        <is>
          <t>대량보유</t>
        </is>
      </c>
      <c r="E1570" s="3" t="inlineStr">
        <is>
          <t>김치환</t>
        </is>
      </c>
      <c r="F1570" s="3" t="inlineStr">
        <is>
          <t>보고자</t>
        </is>
      </c>
      <c r="G1570" s="3" t="inlineStr">
        <is>
          <t>담보대출 연장</t>
        </is>
      </c>
      <c r="H1570" s="6" t="inlineStr"/>
      <c r="I1570" s="6" t="inlineStr"/>
      <c r="J1570" s="6" t="n">
        <v>11954134</v>
      </c>
      <c r="K1570" s="16" t="n">
        <v>2</v>
      </c>
      <c r="L1570" s="2" t="inlineStr">
        <is>
          <t>20260526000494</t>
        </is>
      </c>
      <c r="M1570" s="8">
        <f>HYPERLINK("https://dart.fss.or.kr/dsaf001/main.do?rcpNo=20260526000494", "공시열람")</f>
        <v/>
      </c>
    </row>
    <row r="1571" ht="22" customHeight="1">
      <c r="A1571" s="2" t="inlineStr">
        <is>
          <t>2026-05-26</t>
        </is>
      </c>
      <c r="B1571" s="3" t="inlineStr">
        <is>
          <t>엔젯</t>
        </is>
      </c>
      <c r="C1571" s="2" t="inlineStr">
        <is>
          <t>419080</t>
        </is>
      </c>
      <c r="D1571" s="2" t="inlineStr">
        <is>
          <t>대량보유</t>
        </is>
      </c>
      <c r="E1571" s="3" t="inlineStr">
        <is>
          <t>라이프자산운용(주)</t>
        </is>
      </c>
      <c r="F1571" s="3" t="inlineStr">
        <is>
          <t>특별관계자</t>
        </is>
      </c>
      <c r="G1571" s="3" t="inlineStr">
        <is>
          <t>CB인수(+), BW인수(+)</t>
        </is>
      </c>
      <c r="H1571" s="15" t="n">
        <v>668850</v>
      </c>
      <c r="I1571" s="6" t="n">
        <v>5980</v>
      </c>
      <c r="J1571" s="6" t="n">
        <v>368730</v>
      </c>
      <c r="K1571" s="16" t="n">
        <v>5.89</v>
      </c>
      <c r="L1571" s="2" t="inlineStr">
        <is>
          <t>20260526000493</t>
        </is>
      </c>
      <c r="M1571" s="8">
        <f>HYPERLINK("https://dart.fss.or.kr/dsaf001/main.do?rcpNo=20260526000493", "공시열람")</f>
        <v/>
      </c>
    </row>
    <row r="1572" ht="22" customHeight="1">
      <c r="A1572" s="2" t="inlineStr">
        <is>
          <t>2026-05-26</t>
        </is>
      </c>
      <c r="B1572" s="3" t="inlineStr">
        <is>
          <t>쓰리빌리언</t>
        </is>
      </c>
      <c r="C1572" s="2" t="inlineStr">
        <is>
          <t>394800</t>
        </is>
      </c>
      <c r="D1572" s="2" t="inlineStr">
        <is>
          <t>대량보유</t>
        </is>
      </c>
      <c r="E1572" s="3" t="inlineStr">
        <is>
          <t>김세환</t>
        </is>
      </c>
      <c r="F1572" s="3" t="inlineStr">
        <is>
          <t>특별관계자</t>
        </is>
      </c>
      <c r="G1572" s="3" t="inlineStr">
        <is>
          <t>주식매수선택권부여(+)</t>
        </is>
      </c>
      <c r="H1572" s="15" t="n">
        <v>21000</v>
      </c>
      <c r="I1572" s="6" t="inlineStr"/>
      <c r="J1572" s="6" t="n">
        <v>21000</v>
      </c>
      <c r="K1572" s="16" t="n">
        <v>7</v>
      </c>
      <c r="L1572" s="2" t="inlineStr">
        <is>
          <t>20260526000453</t>
        </is>
      </c>
      <c r="M1572" s="8">
        <f>HYPERLINK("https://dart.fss.or.kr/dsaf001/main.do?rcpNo=20260526000453", "공시열람")</f>
        <v/>
      </c>
    </row>
    <row r="1573" ht="22" customHeight="1">
      <c r="A1573" s="2" t="inlineStr">
        <is>
          <t>2026-05-26</t>
        </is>
      </c>
      <c r="B1573" s="3" t="inlineStr">
        <is>
          <t>쓰리빌리언</t>
        </is>
      </c>
      <c r="C1573" s="2" t="inlineStr">
        <is>
          <t>394800</t>
        </is>
      </c>
      <c r="D1573" s="2" t="inlineStr">
        <is>
          <t>대량보유</t>
        </is>
      </c>
      <c r="E1573" s="3" t="inlineStr">
        <is>
          <t>이정설</t>
        </is>
      </c>
      <c r="F1573" s="3" t="inlineStr">
        <is>
          <t>특별관계자</t>
        </is>
      </c>
      <c r="G1573" s="3" t="inlineStr">
        <is>
          <t>주식매수선택권행사(+), 주식매수선택권행사(-)</t>
        </is>
      </c>
      <c r="H1573" s="6" t="inlineStr"/>
      <c r="I1573" s="6" t="n">
        <v>4550</v>
      </c>
      <c r="J1573" s="6" t="n">
        <v>49000</v>
      </c>
      <c r="K1573" s="16" t="n">
        <v>7</v>
      </c>
      <c r="L1573" s="2" t="inlineStr">
        <is>
          <t>20260526000453</t>
        </is>
      </c>
      <c r="M1573" s="8">
        <f>HYPERLINK("https://dart.fss.or.kr/dsaf001/main.do?rcpNo=20260526000453", "공시열람")</f>
        <v/>
      </c>
    </row>
    <row r="1574" ht="22" customHeight="1">
      <c r="A1574" s="2" t="inlineStr">
        <is>
          <t>2026-05-26</t>
        </is>
      </c>
      <c r="B1574" s="3" t="inlineStr">
        <is>
          <t>쓰리빌리언</t>
        </is>
      </c>
      <c r="C1574" s="2" t="inlineStr">
        <is>
          <t>394800</t>
        </is>
      </c>
      <c r="D1574" s="2" t="inlineStr">
        <is>
          <t>대량보유</t>
        </is>
      </c>
      <c r="E1574" s="3" t="inlineStr">
        <is>
          <t>서고훈</t>
        </is>
      </c>
      <c r="F1574" s="3" t="inlineStr">
        <is>
          <t>특별관계자</t>
        </is>
      </c>
      <c r="G1574" s="3" t="inlineStr">
        <is>
          <t>주식매수선택권행사(+), 주식매수선택권행사(-)</t>
        </is>
      </c>
      <c r="H1574" s="6" t="inlineStr"/>
      <c r="I1574" s="6" t="n">
        <v>4550</v>
      </c>
      <c r="J1574" s="6" t="n">
        <v>41000</v>
      </c>
      <c r="K1574" s="16" t="n">
        <v>7</v>
      </c>
      <c r="L1574" s="2" t="inlineStr">
        <is>
          <t>20260526000453</t>
        </is>
      </c>
      <c r="M1574" s="8">
        <f>HYPERLINK("https://dart.fss.or.kr/dsaf001/main.do?rcpNo=20260526000453", "공시열람")</f>
        <v/>
      </c>
    </row>
    <row r="1575" ht="22" customHeight="1">
      <c r="A1575" s="2" t="inlineStr">
        <is>
          <t>2026-05-26</t>
        </is>
      </c>
      <c r="B1575" s="3" t="inlineStr">
        <is>
          <t>쓰리빌리언</t>
        </is>
      </c>
      <c r="C1575" s="2" t="inlineStr">
        <is>
          <t>394800</t>
        </is>
      </c>
      <c r="D1575" s="2" t="inlineStr">
        <is>
          <t>대량보유</t>
        </is>
      </c>
      <c r="E1575" s="3" t="inlineStr">
        <is>
          <t>이숙진</t>
        </is>
      </c>
      <c r="F1575" s="3" t="inlineStr">
        <is>
          <t>특별관계자</t>
        </is>
      </c>
      <c r="G1575" s="3" t="inlineStr">
        <is>
          <t>주식매수선택권행사(+), 주식매수선택권행사(-)</t>
        </is>
      </c>
      <c r="H1575" s="6" t="inlineStr"/>
      <c r="I1575" s="6" t="n">
        <v>4284</v>
      </c>
      <c r="J1575" s="6" t="n">
        <v>45000</v>
      </c>
      <c r="K1575" s="16" t="n">
        <v>7</v>
      </c>
      <c r="L1575" s="2" t="inlineStr">
        <is>
          <t>20260526000453</t>
        </is>
      </c>
      <c r="M1575" s="8">
        <f>HYPERLINK("https://dart.fss.or.kr/dsaf001/main.do?rcpNo=20260526000453", "공시열람")</f>
        <v/>
      </c>
    </row>
    <row r="1576" ht="22" customHeight="1">
      <c r="A1576" s="2" t="inlineStr">
        <is>
          <t>2026-05-26</t>
        </is>
      </c>
      <c r="B1576" s="3" t="inlineStr">
        <is>
          <t>쓰리빌리언</t>
        </is>
      </c>
      <c r="C1576" s="2" t="inlineStr">
        <is>
          <t>394800</t>
        </is>
      </c>
      <c r="D1576" s="2" t="inlineStr">
        <is>
          <t>대량보유</t>
        </is>
      </c>
      <c r="E1576" s="3" t="inlineStr">
        <is>
          <t>이해인</t>
        </is>
      </c>
      <c r="F1576" s="3" t="inlineStr">
        <is>
          <t>특별관계자</t>
        </is>
      </c>
      <c r="G1576" s="3" t="inlineStr">
        <is>
          <t>주식매수선택권행사(+), 주식매수선택권행사(-)</t>
        </is>
      </c>
      <c r="H1576" s="6" t="inlineStr"/>
      <c r="I1576" s="6" t="n">
        <v>3468</v>
      </c>
      <c r="J1576" s="6" t="n">
        <v>37000</v>
      </c>
      <c r="K1576" s="16" t="n">
        <v>7</v>
      </c>
      <c r="L1576" s="2" t="inlineStr">
        <is>
          <t>20260526000453</t>
        </is>
      </c>
      <c r="M1576" s="8">
        <f>HYPERLINK("https://dart.fss.or.kr/dsaf001/main.do?rcpNo=20260526000453", "공시열람")</f>
        <v/>
      </c>
    </row>
    <row r="1577" ht="22" customHeight="1">
      <c r="A1577" s="2" t="inlineStr">
        <is>
          <t>2026-05-26</t>
        </is>
      </c>
      <c r="B1577" s="3" t="inlineStr">
        <is>
          <t>쓰리빌리언</t>
        </is>
      </c>
      <c r="C1577" s="2" t="inlineStr">
        <is>
          <t>394800</t>
        </is>
      </c>
      <c r="D1577" s="2" t="inlineStr">
        <is>
          <t>대량보유</t>
        </is>
      </c>
      <c r="E1577" s="3" t="inlineStr">
        <is>
          <t>이경열</t>
        </is>
      </c>
      <c r="F1577" s="3" t="inlineStr">
        <is>
          <t>특별관계자</t>
        </is>
      </c>
      <c r="G1577" s="3" t="inlineStr">
        <is>
          <t>주식매수선택권행사(+), 주식매수선택권행사(-)</t>
        </is>
      </c>
      <c r="H1577" s="6" t="inlineStr"/>
      <c r="I1577" s="6" t="n">
        <v>3844</v>
      </c>
      <c r="J1577" s="6" t="n">
        <v>43000</v>
      </c>
      <c r="K1577" s="16" t="n">
        <v>7</v>
      </c>
      <c r="L1577" s="2" t="inlineStr">
        <is>
          <t>20260526000453</t>
        </is>
      </c>
      <c r="M1577" s="8">
        <f>HYPERLINK("https://dart.fss.or.kr/dsaf001/main.do?rcpNo=20260526000453", "공시열람")</f>
        <v/>
      </c>
    </row>
    <row r="1578" ht="22" customHeight="1">
      <c r="A1578" s="2" t="inlineStr">
        <is>
          <t>2026-05-26</t>
        </is>
      </c>
      <c r="B1578" s="3" t="inlineStr">
        <is>
          <t>나노캠텍</t>
        </is>
      </c>
      <c r="C1578" s="2" t="inlineStr">
        <is>
          <t>091970</t>
        </is>
      </c>
      <c r="D1578" s="2" t="inlineStr">
        <is>
          <t>대량보유</t>
        </is>
      </c>
      <c r="E1578" s="3" t="inlineStr">
        <is>
          <t>엘에스케이디비유한회사(舊트리니티에쿼티유한회사)</t>
        </is>
      </c>
      <c r="F1578" s="3" t="inlineStr">
        <is>
          <t>특별관계자</t>
        </is>
      </c>
      <c r="G1578" s="3" t="inlineStr">
        <is>
          <t>행사가액조정, 주식병합</t>
        </is>
      </c>
      <c r="H1578" s="17" t="n">
        <v>-10682693</v>
      </c>
      <c r="I1578" s="6" t="inlineStr"/>
      <c r="J1578" s="6" t="n">
        <v>1712553</v>
      </c>
      <c r="K1578" s="16" t="n">
        <v>8</v>
      </c>
      <c r="L1578" s="2" t="inlineStr">
        <is>
          <t>20260526000451</t>
        </is>
      </c>
      <c r="M1578" s="8">
        <f>HYPERLINK("https://dart.fss.or.kr/dsaf001/main.do?rcpNo=20260526000451", "공시열람")</f>
        <v/>
      </c>
    </row>
    <row r="1579" ht="22" customHeight="1">
      <c r="A1579" s="2" t="inlineStr">
        <is>
          <t>2026-05-26</t>
        </is>
      </c>
      <c r="B1579" s="3" t="inlineStr">
        <is>
          <t>나노캠텍</t>
        </is>
      </c>
      <c r="C1579" s="2" t="inlineStr">
        <is>
          <t>091970</t>
        </is>
      </c>
      <c r="D1579" s="2" t="inlineStr">
        <is>
          <t>대량보유</t>
        </is>
      </c>
      <c r="E1579" s="3" t="inlineStr">
        <is>
          <t>이상규</t>
        </is>
      </c>
      <c r="F1579" s="3" t="inlineStr">
        <is>
          <t>특별관계자</t>
        </is>
      </c>
      <c r="G1579" s="3" t="inlineStr">
        <is>
          <t>주식병합</t>
        </is>
      </c>
      <c r="H1579" s="17" t="n">
        <v>-1900237</v>
      </c>
      <c r="I1579" s="6" t="inlineStr"/>
      <c r="J1579" s="6" t="n">
        <v>475059</v>
      </c>
      <c r="K1579" s="16" t="n">
        <v>8</v>
      </c>
      <c r="L1579" s="2" t="inlineStr">
        <is>
          <t>20260526000451</t>
        </is>
      </c>
      <c r="M1579" s="8">
        <f>HYPERLINK("https://dart.fss.or.kr/dsaf001/main.do?rcpNo=20260526000451", "공시열람")</f>
        <v/>
      </c>
    </row>
    <row r="1580" ht="22" customHeight="1">
      <c r="A1580" s="2" t="inlineStr">
        <is>
          <t>2026-05-26</t>
        </is>
      </c>
      <c r="B1580" s="3" t="inlineStr">
        <is>
          <t>나노캠텍</t>
        </is>
      </c>
      <c r="C1580" s="2" t="inlineStr">
        <is>
          <t>091970</t>
        </is>
      </c>
      <c r="D1580" s="2" t="inlineStr">
        <is>
          <t>대량보유</t>
        </is>
      </c>
      <c r="E1580" s="3" t="inlineStr">
        <is>
          <t>신해용</t>
        </is>
      </c>
      <c r="F1580" s="3" t="inlineStr">
        <is>
          <t>특별관계자</t>
        </is>
      </c>
      <c r="G1580" s="3" t="inlineStr">
        <is>
          <t>행사가액조정, 주식병합</t>
        </is>
      </c>
      <c r="H1580" s="17" t="n">
        <v>-159496</v>
      </c>
      <c r="I1580" s="6" t="inlineStr"/>
      <c r="J1580" s="6" t="n">
        <v>22780</v>
      </c>
      <c r="K1580" s="16" t="n">
        <v>8</v>
      </c>
      <c r="L1580" s="2" t="inlineStr">
        <is>
          <t>20260526000451</t>
        </is>
      </c>
      <c r="M1580" s="8">
        <f>HYPERLINK("https://dart.fss.or.kr/dsaf001/main.do?rcpNo=20260526000451", "공시열람")</f>
        <v/>
      </c>
    </row>
    <row r="1581" ht="22" customHeight="1">
      <c r="A1581" s="2" t="inlineStr">
        <is>
          <t>2026-05-26</t>
        </is>
      </c>
      <c r="B1581" s="3" t="inlineStr">
        <is>
          <t>나노캠텍</t>
        </is>
      </c>
      <c r="C1581" s="2" t="inlineStr">
        <is>
          <t>091970</t>
        </is>
      </c>
      <c r="D1581" s="2" t="inlineStr">
        <is>
          <t>대량보유</t>
        </is>
      </c>
      <c r="E1581" s="3" t="inlineStr">
        <is>
          <t>소병적</t>
        </is>
      </c>
      <c r="F1581" s="3" t="inlineStr">
        <is>
          <t>특별관계자</t>
        </is>
      </c>
      <c r="G1581" s="3" t="inlineStr">
        <is>
          <t>주식병합</t>
        </is>
      </c>
      <c r="H1581" s="17" t="n">
        <v>-41026</v>
      </c>
      <c r="I1581" s="6" t="inlineStr"/>
      <c r="J1581" s="6" t="n">
        <v>10256</v>
      </c>
      <c r="K1581" s="16" t="n">
        <v>8</v>
      </c>
      <c r="L1581" s="2" t="inlineStr">
        <is>
          <t>20260526000451</t>
        </is>
      </c>
      <c r="M1581" s="8">
        <f>HYPERLINK("https://dart.fss.or.kr/dsaf001/main.do?rcpNo=20260526000451", "공시열람")</f>
        <v/>
      </c>
    </row>
    <row r="1582" ht="22" customHeight="1">
      <c r="A1582" s="2" t="inlineStr">
        <is>
          <t>2026-05-26</t>
        </is>
      </c>
      <c r="B1582" s="3" t="inlineStr">
        <is>
          <t>나노캠텍</t>
        </is>
      </c>
      <c r="C1582" s="2" t="inlineStr">
        <is>
          <t>091970</t>
        </is>
      </c>
      <c r="D1582" s="2" t="inlineStr">
        <is>
          <t>대량보유</t>
        </is>
      </c>
      <c r="E1582" s="3" t="inlineStr">
        <is>
          <t>원재석</t>
        </is>
      </c>
      <c r="F1582" s="3" t="inlineStr">
        <is>
          <t>특별관계자</t>
        </is>
      </c>
      <c r="G1582" s="3" t="inlineStr">
        <is>
          <t>주식병합</t>
        </is>
      </c>
      <c r="H1582" s="17" t="n">
        <v>-68376</v>
      </c>
      <c r="I1582" s="6" t="inlineStr"/>
      <c r="J1582" s="6" t="n">
        <v>17094</v>
      </c>
      <c r="K1582" s="16" t="n">
        <v>8</v>
      </c>
      <c r="L1582" s="2" t="inlineStr">
        <is>
          <t>20260526000451</t>
        </is>
      </c>
      <c r="M1582" s="8">
        <f>HYPERLINK("https://dart.fss.or.kr/dsaf001/main.do?rcpNo=20260526000451", "공시열람")</f>
        <v/>
      </c>
    </row>
    <row r="1583" ht="22" customHeight="1">
      <c r="A1583" s="2" t="inlineStr">
        <is>
          <t>2026-05-26</t>
        </is>
      </c>
      <c r="B1583" s="3" t="inlineStr">
        <is>
          <t>나노캠텍</t>
        </is>
      </c>
      <c r="C1583" s="2" t="inlineStr">
        <is>
          <t>091970</t>
        </is>
      </c>
      <c r="D1583" s="2" t="inlineStr">
        <is>
          <t>대량보유</t>
        </is>
      </c>
      <c r="E1583" s="3" t="inlineStr">
        <is>
          <t>디비인베스트먼트(주)</t>
        </is>
      </c>
      <c r="F1583" s="3" t="inlineStr">
        <is>
          <t>특별관계자</t>
        </is>
      </c>
      <c r="G1583" s="3" t="inlineStr">
        <is>
          <t>주식병합</t>
        </is>
      </c>
      <c r="H1583" s="17" t="n">
        <v>-411718</v>
      </c>
      <c r="I1583" s="6" t="inlineStr"/>
      <c r="J1583" s="6" t="n">
        <v>102929</v>
      </c>
      <c r="K1583" s="16" t="n">
        <v>8</v>
      </c>
      <c r="L1583" s="2" t="inlineStr">
        <is>
          <t>20260526000451</t>
        </is>
      </c>
      <c r="M1583" s="8">
        <f>HYPERLINK("https://dart.fss.or.kr/dsaf001/main.do?rcpNo=20260526000451", "공시열람")</f>
        <v/>
      </c>
    </row>
    <row r="1584" ht="22" customHeight="1">
      <c r="A1584" s="2" t="inlineStr">
        <is>
          <t>2026-05-26</t>
        </is>
      </c>
      <c r="B1584" s="3" t="inlineStr">
        <is>
          <t>나노캠텍</t>
        </is>
      </c>
      <c r="C1584" s="2" t="inlineStr">
        <is>
          <t>091970</t>
        </is>
      </c>
      <c r="D1584" s="2" t="inlineStr">
        <is>
          <t>대량보유</t>
        </is>
      </c>
      <c r="E1584" s="3" t="inlineStr">
        <is>
          <t>최윤준</t>
        </is>
      </c>
      <c r="F1584" s="3" t="inlineStr">
        <is>
          <t>특별관계자</t>
        </is>
      </c>
      <c r="G1584" s="3" t="inlineStr">
        <is>
          <t>장내매수(+), 주식병합</t>
        </is>
      </c>
      <c r="H1584" s="17" t="n">
        <v>-80040</v>
      </c>
      <c r="I1584" s="6" t="n">
        <v>667</v>
      </c>
      <c r="J1584" s="6" t="n">
        <v>26960</v>
      </c>
      <c r="K1584" s="16" t="n">
        <v>8</v>
      </c>
      <c r="L1584" s="2" t="inlineStr">
        <is>
          <t>20260526000451</t>
        </is>
      </c>
      <c r="M1584" s="8">
        <f>HYPERLINK("https://dart.fss.or.kr/dsaf001/main.do?rcpNo=20260526000451", "공시열람")</f>
        <v/>
      </c>
    </row>
    <row r="1585" ht="22" customHeight="1">
      <c r="A1585" s="2" t="inlineStr">
        <is>
          <t>2026-05-26 (정정: 2026-05-26)</t>
        </is>
      </c>
      <c r="B1585" s="3" t="inlineStr">
        <is>
          <t>핑거</t>
        </is>
      </c>
      <c r="C1585" s="2" t="inlineStr">
        <is>
          <t>163730</t>
        </is>
      </c>
      <c r="D1585" s="2" t="inlineStr">
        <is>
          <t>대량보유</t>
        </is>
      </c>
      <c r="E1585" s="3" t="inlineStr">
        <is>
          <t>-</t>
        </is>
      </c>
      <c r="F1585" s="3" t="inlineStr">
        <is>
          <t>보고자</t>
        </is>
      </c>
      <c r="G1585" s="3" t="inlineStr">
        <is>
          <t>-</t>
        </is>
      </c>
      <c r="H1585" s="6" t="inlineStr"/>
      <c r="I1585" s="6" t="inlineStr"/>
      <c r="J1585" s="6" t="inlineStr"/>
      <c r="K1585" s="18" t="inlineStr"/>
      <c r="L1585" s="2" t="inlineStr">
        <is>
          <t>20260526900417</t>
        </is>
      </c>
      <c r="M1585" s="8">
        <f>HYPERLINK("https://dart.fss.or.kr/dsaf001/main.do?rcpNo=20260526900417", "공시열람")</f>
        <v/>
      </c>
    </row>
    <row r="1586" ht="22" customHeight="1">
      <c r="A1586" s="2" t="inlineStr">
        <is>
          <t>2026-05-26</t>
        </is>
      </c>
      <c r="B1586" s="3" t="inlineStr">
        <is>
          <t>비투엔</t>
        </is>
      </c>
      <c r="C1586" s="2" t="inlineStr">
        <is>
          <t>307870</t>
        </is>
      </c>
      <c r="D1586" s="2" t="inlineStr">
        <is>
          <t>대량보유</t>
        </is>
      </c>
      <c r="E1586" s="3" t="inlineStr">
        <is>
          <t>-</t>
        </is>
      </c>
      <c r="F1586" s="3" t="inlineStr">
        <is>
          <t>보고자</t>
        </is>
      </c>
      <c r="G1586" s="3" t="inlineStr">
        <is>
          <t>보고자 및 특별관계자의 주식 양수도계약 변경합의서 체결</t>
        </is>
      </c>
      <c r="H1586" s="6" t="inlineStr"/>
      <c r="I1586" s="6" t="inlineStr"/>
      <c r="J1586" s="6" t="n">
        <v>15800854</v>
      </c>
      <c r="K1586" s="16" t="n">
        <v>1</v>
      </c>
      <c r="L1586" s="2" t="inlineStr">
        <is>
          <t>20260526000427</t>
        </is>
      </c>
      <c r="M1586" s="8">
        <f>HYPERLINK("https://dart.fss.or.kr/dsaf001/main.do?rcpNo=20260526000427", "공시열람")</f>
        <v/>
      </c>
    </row>
    <row r="1587" ht="22" customHeight="1">
      <c r="A1587" s="2" t="inlineStr">
        <is>
          <t>2026-05-26</t>
        </is>
      </c>
      <c r="B1587" s="3" t="inlineStr">
        <is>
          <t>한국유니온제약</t>
        </is>
      </c>
      <c r="C1587" s="2" t="inlineStr">
        <is>
          <t>080720</t>
        </is>
      </c>
      <c r="D1587" s="2" t="inlineStr">
        <is>
          <t>대량보유</t>
        </is>
      </c>
      <c r="E1587" s="3" t="inlineStr">
        <is>
          <t>박광석</t>
        </is>
      </c>
      <c r="F1587" s="3" t="inlineStr">
        <is>
          <t>특별관계자</t>
        </is>
      </c>
      <c r="G1587" s="3" t="inlineStr">
        <is>
          <t>기타(+)</t>
        </is>
      </c>
      <c r="H1587" s="15" t="n">
        <v>9455845</v>
      </c>
      <c r="I1587" s="6" t="n">
        <v>500</v>
      </c>
      <c r="J1587" s="6" t="n">
        <v>9455845</v>
      </c>
      <c r="K1587" s="16" t="n">
        <v>15.87</v>
      </c>
      <c r="L1587" s="2" t="inlineStr">
        <is>
          <t>20260526000422</t>
        </is>
      </c>
      <c r="M1587" s="8">
        <f>HYPERLINK("https://dart.fss.or.kr/dsaf001/main.do?rcpNo=20260526000422", "공시열람")</f>
        <v/>
      </c>
    </row>
    <row r="1588" ht="22" customHeight="1">
      <c r="A1588" s="2" t="inlineStr">
        <is>
          <t>2026-05-26</t>
        </is>
      </c>
      <c r="B1588" s="3" t="inlineStr">
        <is>
          <t>TJ미디어</t>
        </is>
      </c>
      <c r="C1588" s="2" t="inlineStr">
        <is>
          <t>032540</t>
        </is>
      </c>
      <c r="D1588" s="2" t="inlineStr">
        <is>
          <t>대량보유</t>
        </is>
      </c>
      <c r="E1588" s="3" t="inlineStr">
        <is>
          <t>윤나라</t>
        </is>
      </c>
      <c r="F1588" s="3" t="inlineStr">
        <is>
          <t>특별관계자</t>
        </is>
      </c>
      <c r="G1588" s="3" t="inlineStr">
        <is>
          <t>기타(+)</t>
        </is>
      </c>
      <c r="H1588" s="15" t="n">
        <v>7833546</v>
      </c>
      <c r="I1588" s="6" t="inlineStr"/>
      <c r="J1588" s="6" t="n">
        <v>7833546</v>
      </c>
      <c r="K1588" s="16" t="n">
        <v>2</v>
      </c>
      <c r="L1588" s="2" t="inlineStr">
        <is>
          <t>20260526000414</t>
        </is>
      </c>
      <c r="M1588" s="8">
        <f>HYPERLINK("https://dart.fss.or.kr/dsaf001/main.do?rcpNo=20260526000414", "공시열람")</f>
        <v/>
      </c>
    </row>
    <row r="1589" ht="22" customHeight="1">
      <c r="A1589" s="2" t="inlineStr">
        <is>
          <t>2026-05-26</t>
        </is>
      </c>
      <c r="B1589" s="3" t="inlineStr">
        <is>
          <t>TJ미디어</t>
        </is>
      </c>
      <c r="C1589" s="2" t="inlineStr">
        <is>
          <t>032540</t>
        </is>
      </c>
      <c r="D1589" s="2" t="inlineStr">
        <is>
          <t>대량보유</t>
        </is>
      </c>
      <c r="E1589" s="3" t="inlineStr">
        <is>
          <t>윤재환</t>
        </is>
      </c>
      <c r="F1589" s="3" t="inlineStr">
        <is>
          <t>특별관계자</t>
        </is>
      </c>
      <c r="G1589" s="3" t="inlineStr">
        <is>
          <t>기타(+)</t>
        </is>
      </c>
      <c r="H1589" s="15" t="n">
        <v>1009706</v>
      </c>
      <c r="I1589" s="6" t="inlineStr"/>
      <c r="J1589" s="6" t="n">
        <v>1009706</v>
      </c>
      <c r="K1589" s="16" t="n">
        <v>2</v>
      </c>
      <c r="L1589" s="2" t="inlineStr">
        <is>
          <t>20260526000414</t>
        </is>
      </c>
      <c r="M1589" s="8">
        <f>HYPERLINK("https://dart.fss.or.kr/dsaf001/main.do?rcpNo=20260526000414", "공시열람")</f>
        <v/>
      </c>
    </row>
    <row r="1590" ht="22" customHeight="1">
      <c r="A1590" s="2" t="inlineStr">
        <is>
          <t>2026-05-26</t>
        </is>
      </c>
      <c r="B1590" s="3" t="inlineStr">
        <is>
          <t>TJ미디어</t>
        </is>
      </c>
      <c r="C1590" s="2" t="inlineStr">
        <is>
          <t>032540</t>
        </is>
      </c>
      <c r="D1590" s="2" t="inlineStr">
        <is>
          <t>대량보유</t>
        </is>
      </c>
      <c r="E1590" s="3" t="inlineStr">
        <is>
          <t>윤고운</t>
        </is>
      </c>
      <c r="F1590" s="3" t="inlineStr">
        <is>
          <t>특별관계자</t>
        </is>
      </c>
      <c r="G1590" s="3" t="inlineStr">
        <is>
          <t>기타(+)</t>
        </is>
      </c>
      <c r="H1590" s="15" t="n">
        <v>2610798</v>
      </c>
      <c r="I1590" s="6" t="inlineStr"/>
      <c r="J1590" s="6" t="n">
        <v>2610798</v>
      </c>
      <c r="K1590" s="16" t="n">
        <v>2</v>
      </c>
      <c r="L1590" s="2" t="inlineStr">
        <is>
          <t>20260526000414</t>
        </is>
      </c>
      <c r="M1590" s="8">
        <f>HYPERLINK("https://dart.fss.or.kr/dsaf001/main.do?rcpNo=20260526000414", "공시열람")</f>
        <v/>
      </c>
    </row>
    <row r="1591" ht="22" customHeight="1">
      <c r="A1591" s="2" t="inlineStr">
        <is>
          <t>2026-05-26</t>
        </is>
      </c>
      <c r="B1591" s="3" t="inlineStr">
        <is>
          <t>성호전자</t>
        </is>
      </c>
      <c r="C1591" s="2" t="inlineStr">
        <is>
          <t>043260</t>
        </is>
      </c>
      <c r="D1591" s="2" t="inlineStr">
        <is>
          <t>대량보유</t>
        </is>
      </c>
      <c r="E1591" s="3" t="inlineStr">
        <is>
          <t>서룡전자(주)</t>
        </is>
      </c>
      <c r="F1591" s="3" t="inlineStr">
        <is>
          <t>보고자</t>
        </is>
      </c>
      <c r="G1591" s="3" t="inlineStr">
        <is>
          <t>근질권 해지 및 설정</t>
        </is>
      </c>
      <c r="H1591" s="6" t="inlineStr"/>
      <c r="I1591" s="6" t="inlineStr"/>
      <c r="J1591" s="6" t="n">
        <v>61916520</v>
      </c>
      <c r="K1591" s="16" t="n">
        <v>17</v>
      </c>
      <c r="L1591" s="2" t="inlineStr">
        <is>
          <t>20260526000411</t>
        </is>
      </c>
      <c r="M1591" s="8">
        <f>HYPERLINK("https://dart.fss.or.kr/dsaf001/main.do?rcpNo=20260526000411", "공시열람")</f>
        <v/>
      </c>
    </row>
    <row r="1592" ht="22" customHeight="1">
      <c r="A1592" s="2" t="inlineStr">
        <is>
          <t>2026-05-26</t>
        </is>
      </c>
      <c r="B1592" s="3" t="inlineStr">
        <is>
          <t>판타지오</t>
        </is>
      </c>
      <c r="C1592" s="2" t="inlineStr">
        <is>
          <t>032800</t>
        </is>
      </c>
      <c r="D1592" s="2" t="inlineStr">
        <is>
          <t>대량보유</t>
        </is>
      </c>
      <c r="E1592" s="3" t="inlineStr">
        <is>
          <t>이상용</t>
        </is>
      </c>
      <c r="F1592" s="3" t="inlineStr">
        <is>
          <t>특별관계자</t>
        </is>
      </c>
      <c r="G1592" s="3" t="inlineStr">
        <is>
          <t>장내매수(+)</t>
        </is>
      </c>
      <c r="H1592" s="15" t="n">
        <v>39385</v>
      </c>
      <c r="I1592" s="6" t="n">
        <v>2005</v>
      </c>
      <c r="J1592" s="6" t="n">
        <v>501057</v>
      </c>
      <c r="K1592" s="16" t="n">
        <v>4.02</v>
      </c>
      <c r="L1592" s="2" t="inlineStr">
        <is>
          <t>20260526000406</t>
        </is>
      </c>
      <c r="M1592" s="8">
        <f>HYPERLINK("https://dart.fss.or.kr/dsaf001/main.do?rcpNo=20260526000406", "공시열람")</f>
        <v/>
      </c>
    </row>
    <row r="1593" ht="22" customHeight="1">
      <c r="A1593" s="2" t="inlineStr">
        <is>
          <t>2026-05-26</t>
        </is>
      </c>
      <c r="B1593" s="3" t="inlineStr">
        <is>
          <t>TJ미디어</t>
        </is>
      </c>
      <c r="C1593" s="2" t="inlineStr">
        <is>
          <t>032540</t>
        </is>
      </c>
      <c r="D1593" s="2" t="inlineStr">
        <is>
          <t>대량보유</t>
        </is>
      </c>
      <c r="E1593" s="3" t="inlineStr">
        <is>
          <t>윤재환</t>
        </is>
      </c>
      <c r="F1593" s="3" t="inlineStr">
        <is>
          <t>특별관계자</t>
        </is>
      </c>
      <c r="G1593" s="3" t="inlineStr">
        <is>
          <t>증여(-), 기타(-)</t>
        </is>
      </c>
      <c r="H1593" s="17" t="n">
        <v>-3009706</v>
      </c>
      <c r="I1593" s="6" t="inlineStr"/>
      <c r="J1593" s="6" t="inlineStr"/>
      <c r="K1593" s="16" t="n">
        <v>2</v>
      </c>
      <c r="L1593" s="2" t="inlineStr">
        <is>
          <t>20260526000405</t>
        </is>
      </c>
      <c r="M1593" s="8">
        <f>HYPERLINK("https://dart.fss.or.kr/dsaf001/main.do?rcpNo=20260526000405", "공시열람")</f>
        <v/>
      </c>
    </row>
    <row r="1594" ht="22" customHeight="1">
      <c r="A1594" s="2" t="inlineStr">
        <is>
          <t>2026-05-26</t>
        </is>
      </c>
      <c r="B1594" s="3" t="inlineStr">
        <is>
          <t>TJ미디어</t>
        </is>
      </c>
      <c r="C1594" s="2" t="inlineStr">
        <is>
          <t>032540</t>
        </is>
      </c>
      <c r="D1594" s="2" t="inlineStr">
        <is>
          <t>대량보유</t>
        </is>
      </c>
      <c r="E1594" s="3" t="inlineStr">
        <is>
          <t>윤나라</t>
        </is>
      </c>
      <c r="F1594" s="3" t="inlineStr">
        <is>
          <t>특별관계자</t>
        </is>
      </c>
      <c r="G1594" s="3" t="inlineStr">
        <is>
          <t>수증(+), 기타(-)</t>
        </is>
      </c>
      <c r="H1594" s="17" t="n">
        <v>-5833546</v>
      </c>
      <c r="I1594" s="6" t="inlineStr"/>
      <c r="J1594" s="6" t="inlineStr"/>
      <c r="K1594" s="16" t="n">
        <v>2</v>
      </c>
      <c r="L1594" s="2" t="inlineStr">
        <is>
          <t>20260526000405</t>
        </is>
      </c>
      <c r="M1594" s="8">
        <f>HYPERLINK("https://dart.fss.or.kr/dsaf001/main.do?rcpNo=20260526000405", "공시열람")</f>
        <v/>
      </c>
    </row>
    <row r="1595" ht="22" customHeight="1">
      <c r="A1595" s="2" t="inlineStr">
        <is>
          <t>2026-05-26</t>
        </is>
      </c>
      <c r="B1595" s="3" t="inlineStr">
        <is>
          <t>TJ미디어</t>
        </is>
      </c>
      <c r="C1595" s="2" t="inlineStr">
        <is>
          <t>032540</t>
        </is>
      </c>
      <c r="D1595" s="2" t="inlineStr">
        <is>
          <t>대량보유</t>
        </is>
      </c>
      <c r="E1595" s="3" t="inlineStr">
        <is>
          <t>윤고운</t>
        </is>
      </c>
      <c r="F1595" s="3" t="inlineStr">
        <is>
          <t>특별관계자</t>
        </is>
      </c>
      <c r="G1595" s="3" t="inlineStr">
        <is>
          <t>기타(-)</t>
        </is>
      </c>
      <c r="H1595" s="17" t="n">
        <v>-2610798</v>
      </c>
      <c r="I1595" s="6" t="inlineStr"/>
      <c r="J1595" s="6" t="inlineStr"/>
      <c r="K1595" s="16" t="n">
        <v>2</v>
      </c>
      <c r="L1595" s="2" t="inlineStr">
        <is>
          <t>20260526000405</t>
        </is>
      </c>
      <c r="M1595" s="8">
        <f>HYPERLINK("https://dart.fss.or.kr/dsaf001/main.do?rcpNo=20260526000405", "공시열람")</f>
        <v/>
      </c>
    </row>
    <row r="1596" ht="22" customHeight="1">
      <c r="A1596" s="2" t="inlineStr">
        <is>
          <t>2026-05-26</t>
        </is>
      </c>
      <c r="B1596" s="3" t="inlineStr">
        <is>
          <t>더핑크퐁컴퍼니</t>
        </is>
      </c>
      <c r="C1596" s="2" t="inlineStr">
        <is>
          <t>403850</t>
        </is>
      </c>
      <c r="D1596" s="2" t="inlineStr">
        <is>
          <t>대량보유</t>
        </is>
      </c>
      <c r="E1596" s="3" t="inlineStr">
        <is>
          <t>김민석</t>
        </is>
      </c>
      <c r="F1596" s="3" t="inlineStr">
        <is>
          <t>특별관계자</t>
        </is>
      </c>
      <c r="G1596" s="3" t="inlineStr">
        <is>
          <t>장내매수(+)</t>
        </is>
      </c>
      <c r="H1596" s="15" t="n">
        <v>82800</v>
      </c>
      <c r="I1596" s="6" t="n">
        <v>13164</v>
      </c>
      <c r="J1596" s="6" t="n">
        <v>2360000</v>
      </c>
      <c r="K1596" s="16" t="n">
        <v>18</v>
      </c>
      <c r="L1596" s="2" t="inlineStr">
        <is>
          <t>20260526000400</t>
        </is>
      </c>
      <c r="M1596" s="8">
        <f>HYPERLINK("https://dart.fss.or.kr/dsaf001/main.do?rcpNo=20260526000400", "공시열람")</f>
        <v/>
      </c>
    </row>
    <row r="1597" ht="22" customHeight="1">
      <c r="A1597" s="2" t="inlineStr">
        <is>
          <t>2026-05-26</t>
        </is>
      </c>
      <c r="B1597" s="3" t="inlineStr">
        <is>
          <t>더핑크퐁컴퍼니</t>
        </is>
      </c>
      <c r="C1597" s="2" t="inlineStr">
        <is>
          <t>403850</t>
        </is>
      </c>
      <c r="D1597" s="2" t="inlineStr">
        <is>
          <t>대량보유</t>
        </is>
      </c>
      <c r="E1597" s="3" t="inlineStr">
        <is>
          <t>하재훈</t>
        </is>
      </c>
      <c r="F1597" s="3" t="inlineStr">
        <is>
          <t>특별관계자</t>
        </is>
      </c>
      <c r="G1597" s="3" t="inlineStr">
        <is>
          <t>증여(-)</t>
        </is>
      </c>
      <c r="H1597" s="17" t="n">
        <v>-64440</v>
      </c>
      <c r="I1597" s="6" t="inlineStr"/>
      <c r="J1597" s="6" t="n">
        <v>248510</v>
      </c>
      <c r="K1597" s="16" t="n">
        <v>18</v>
      </c>
      <c r="L1597" s="2" t="inlineStr">
        <is>
          <t>20260526000400</t>
        </is>
      </c>
      <c r="M1597" s="8">
        <f>HYPERLINK("https://dart.fss.or.kr/dsaf001/main.do?rcpNo=20260526000400", "공시열람")</f>
        <v/>
      </c>
    </row>
    <row r="1598" ht="22" customHeight="1">
      <c r="A1598" s="2" t="inlineStr">
        <is>
          <t>2026-05-26</t>
        </is>
      </c>
      <c r="B1598" s="3" t="inlineStr">
        <is>
          <t>더핑크퐁컴퍼니</t>
        </is>
      </c>
      <c r="C1598" s="2" t="inlineStr">
        <is>
          <t>403850</t>
        </is>
      </c>
      <c r="D1598" s="2" t="inlineStr">
        <is>
          <t>대량보유</t>
        </is>
      </c>
      <c r="E1598" s="3" t="inlineStr">
        <is>
          <t>박누리</t>
        </is>
      </c>
      <c r="F1598" s="3" t="inlineStr">
        <is>
          <t>특별관계자</t>
        </is>
      </c>
      <c r="G1598" s="3" t="inlineStr">
        <is>
          <t>특별관계해소(-)</t>
        </is>
      </c>
      <c r="H1598" s="17" t="n">
        <v>-7500</v>
      </c>
      <c r="I1598" s="6" t="inlineStr"/>
      <c r="J1598" s="6" t="inlineStr"/>
      <c r="K1598" s="16" t="n">
        <v>18</v>
      </c>
      <c r="L1598" s="2" t="inlineStr">
        <is>
          <t>20260526000400</t>
        </is>
      </c>
      <c r="M1598" s="8">
        <f>HYPERLINK("https://dart.fss.or.kr/dsaf001/main.do?rcpNo=20260526000400", "공시열람")</f>
        <v/>
      </c>
    </row>
    <row r="1599" ht="22" customHeight="1">
      <c r="A1599" s="2" t="inlineStr">
        <is>
          <t>2026-05-26</t>
        </is>
      </c>
      <c r="B1599" s="3" t="inlineStr">
        <is>
          <t>더핑크퐁컴퍼니</t>
        </is>
      </c>
      <c r="C1599" s="2" t="inlineStr">
        <is>
          <t>403850</t>
        </is>
      </c>
      <c r="D1599" s="2" t="inlineStr">
        <is>
          <t>대량보유</t>
        </is>
      </c>
      <c r="E1599" s="3" t="inlineStr">
        <is>
          <t>이재하</t>
        </is>
      </c>
      <c r="F1599" s="3" t="inlineStr">
        <is>
          <t>특별관계자</t>
        </is>
      </c>
      <c r="G1599" s="3" t="inlineStr">
        <is>
          <t>장내매도(-)</t>
        </is>
      </c>
      <c r="H1599" s="17" t="n">
        <v>-1200</v>
      </c>
      <c r="I1599" s="6" t="n">
        <v>13630</v>
      </c>
      <c r="J1599" s="6" t="n">
        <v>14179</v>
      </c>
      <c r="K1599" s="16" t="n">
        <v>18</v>
      </c>
      <c r="L1599" s="2" t="inlineStr">
        <is>
          <t>20260526000400</t>
        </is>
      </c>
      <c r="M1599" s="8">
        <f>HYPERLINK("https://dart.fss.or.kr/dsaf001/main.do?rcpNo=20260526000400", "공시열람")</f>
        <v/>
      </c>
    </row>
    <row r="1600" ht="22" customHeight="1">
      <c r="A1600" s="2" t="inlineStr">
        <is>
          <t>2026-05-26</t>
        </is>
      </c>
      <c r="B1600" s="3" t="inlineStr">
        <is>
          <t>대한해운</t>
        </is>
      </c>
      <c r="C1600" s="2" t="inlineStr">
        <is>
          <t>005880</t>
        </is>
      </c>
      <c r="D1600" s="2" t="inlineStr">
        <is>
          <t>임원보고</t>
        </is>
      </c>
      <c r="E1600" s="3" t="inlineStr">
        <is>
          <t>-</t>
        </is>
      </c>
      <c r="F1600" s="3" t="inlineStr">
        <is>
          <t>-</t>
        </is>
      </c>
      <c r="G1600" s="3" t="inlineStr">
        <is>
          <t>-</t>
        </is>
      </c>
      <c r="H1600" s="6" t="inlineStr"/>
      <c r="I1600" s="6" t="inlineStr"/>
      <c r="J1600" s="6" t="inlineStr"/>
      <c r="K1600" s="16" t="n">
        <v>12</v>
      </c>
      <c r="L1600" s="2" t="inlineStr">
        <is>
          <t>20260526800618</t>
        </is>
      </c>
      <c r="M1600" s="8">
        <f>HYPERLINK("https://dart.fss.or.kr/dsaf001/main.do?rcpNo=20260526800618", "공시열람")</f>
        <v/>
      </c>
    </row>
    <row r="1601" ht="22" customHeight="1">
      <c r="A1601" s="2" t="inlineStr">
        <is>
          <t>2026-05-26</t>
        </is>
      </c>
      <c r="B1601" s="3" t="inlineStr">
        <is>
          <t>HLB제넥스</t>
        </is>
      </c>
      <c r="C1601" s="2" t="inlineStr">
        <is>
          <t>187420</t>
        </is>
      </c>
      <c r="D1601" s="2" t="inlineStr">
        <is>
          <t>대량보유</t>
        </is>
      </c>
      <c r="E1601" s="3" t="inlineStr">
        <is>
          <t>김도연</t>
        </is>
      </c>
      <c r="F1601" s="3" t="inlineStr">
        <is>
          <t>특별관계자</t>
        </is>
      </c>
      <c r="G1601" s="3" t="inlineStr">
        <is>
          <t>장내매수(+)</t>
        </is>
      </c>
      <c r="H1601" s="15" t="n">
        <v>21035</v>
      </c>
      <c r="I1601" s="6" t="n">
        <v>2413</v>
      </c>
      <c r="J1601" s="6" t="n">
        <v>59681</v>
      </c>
      <c r="K1601" s="16" t="n">
        <v>10</v>
      </c>
      <c r="L1601" s="2" t="inlineStr">
        <is>
          <t>20260526000390</t>
        </is>
      </c>
      <c r="M1601" s="8">
        <f>HYPERLINK("https://dart.fss.or.kr/dsaf001/main.do?rcpNo=20260526000390", "공시열람")</f>
        <v/>
      </c>
    </row>
    <row r="1602" ht="22" customHeight="1">
      <c r="A1602" s="2" t="inlineStr">
        <is>
          <t>2026-05-26</t>
        </is>
      </c>
      <c r="B1602" s="3" t="inlineStr">
        <is>
          <t>동구바이오제약</t>
        </is>
      </c>
      <c r="C1602" s="2" t="inlineStr">
        <is>
          <t>006620</t>
        </is>
      </c>
      <c r="D1602" s="2" t="inlineStr">
        <is>
          <t>대량보유</t>
        </is>
      </c>
      <c r="E1602" s="3" t="inlineStr">
        <is>
          <t>조용준</t>
        </is>
      </c>
      <c r="F1602" s="3" t="inlineStr">
        <is>
          <t>보고자</t>
        </is>
      </c>
      <c r="G1602" s="3" t="inlineStr">
        <is>
          <t>담보 대출 일부 상환에 따른 변경</t>
        </is>
      </c>
      <c r="H1602" s="6" t="inlineStr"/>
      <c r="I1602" s="6" t="inlineStr"/>
      <c r="J1602" s="6" t="n">
        <v>10589031</v>
      </c>
      <c r="K1602" s="16" t="n">
        <v>8</v>
      </c>
      <c r="L1602" s="2" t="inlineStr">
        <is>
          <t>20260526000383</t>
        </is>
      </c>
      <c r="M1602" s="8">
        <f>HYPERLINK("https://dart.fss.or.kr/dsaf001/main.do?rcpNo=20260526000383", "공시열람")</f>
        <v/>
      </c>
    </row>
    <row r="1603" ht="22" customHeight="1">
      <c r="A1603" s="2" t="inlineStr">
        <is>
          <t>2026-05-26</t>
        </is>
      </c>
      <c r="B1603" s="3" t="inlineStr">
        <is>
          <t>알리코제약</t>
        </is>
      </c>
      <c r="C1603" s="2" t="inlineStr">
        <is>
          <t>260660</t>
        </is>
      </c>
      <c r="D1603" s="2" t="inlineStr">
        <is>
          <t>대량보유</t>
        </is>
      </c>
      <c r="E1603" s="3" t="inlineStr">
        <is>
          <t>김순영</t>
        </is>
      </c>
      <c r="F1603" s="3" t="inlineStr">
        <is>
          <t>특별관계자</t>
        </is>
      </c>
      <c r="G1603" s="3" t="inlineStr">
        <is>
          <t>장내매도(-)</t>
        </is>
      </c>
      <c r="H1603" s="17" t="n">
        <v>-40110</v>
      </c>
      <c r="I1603" s="6" t="n">
        <v>4188</v>
      </c>
      <c r="J1603" s="6" t="n">
        <v>52914</v>
      </c>
      <c r="K1603" s="16" t="n">
        <v>8</v>
      </c>
      <c r="L1603" s="2" t="inlineStr">
        <is>
          <t>20260526000370</t>
        </is>
      </c>
      <c r="M1603" s="8">
        <f>HYPERLINK("https://dart.fss.or.kr/dsaf001/main.do?rcpNo=20260526000370", "공시열람")</f>
        <v/>
      </c>
    </row>
    <row r="1604" ht="22" customHeight="1">
      <c r="A1604" s="2" t="inlineStr">
        <is>
          <t>2026-05-26</t>
        </is>
      </c>
      <c r="B1604" s="3" t="inlineStr">
        <is>
          <t>알리코제약</t>
        </is>
      </c>
      <c r="C1604" s="2" t="inlineStr">
        <is>
          <t>260660</t>
        </is>
      </c>
      <c r="D1604" s="2" t="inlineStr">
        <is>
          <t>대량보유</t>
        </is>
      </c>
      <c r="E1604" s="3" t="inlineStr">
        <is>
          <t>황서준</t>
        </is>
      </c>
      <c r="F1604" s="3" t="inlineStr">
        <is>
          <t>특별관계자</t>
        </is>
      </c>
      <c r="G1604" s="3" t="inlineStr">
        <is>
          <t>장내매도(-)</t>
        </is>
      </c>
      <c r="H1604" s="17" t="n">
        <v>-20000</v>
      </c>
      <c r="I1604" s="6" t="n">
        <v>4245</v>
      </c>
      <c r="J1604" s="6" t="n">
        <v>40643</v>
      </c>
      <c r="K1604" s="16" t="n">
        <v>8</v>
      </c>
      <c r="L1604" s="2" t="inlineStr">
        <is>
          <t>20260526000370</t>
        </is>
      </c>
      <c r="M1604" s="8">
        <f>HYPERLINK("https://dart.fss.or.kr/dsaf001/main.do?rcpNo=20260526000370", "공시열람")</f>
        <v/>
      </c>
    </row>
    <row r="1605" ht="22" customHeight="1">
      <c r="A1605" s="2" t="inlineStr">
        <is>
          <t>2026-05-26</t>
        </is>
      </c>
      <c r="B1605" s="3" t="inlineStr">
        <is>
          <t>알리코제약</t>
        </is>
      </c>
      <c r="C1605" s="2" t="inlineStr">
        <is>
          <t>260660</t>
        </is>
      </c>
      <c r="D1605" s="2" t="inlineStr">
        <is>
          <t>대량보유</t>
        </is>
      </c>
      <c r="E1605" s="3" t="inlineStr">
        <is>
          <t>이항구</t>
        </is>
      </c>
      <c r="F1605" s="3" t="inlineStr">
        <is>
          <t>특별관계자</t>
        </is>
      </c>
      <c r="G1605" s="3" t="inlineStr">
        <is>
          <t>증여(-)</t>
        </is>
      </c>
      <c r="H1605" s="17" t="n">
        <v>-150000</v>
      </c>
      <c r="I1605" s="6" t="n">
        <v>3090</v>
      </c>
      <c r="J1605" s="6" t="n">
        <v>5121446</v>
      </c>
      <c r="K1605" s="16" t="n">
        <v>8</v>
      </c>
      <c r="L1605" s="2" t="inlineStr">
        <is>
          <t>20260526000370</t>
        </is>
      </c>
      <c r="M1605" s="8">
        <f>HYPERLINK("https://dart.fss.or.kr/dsaf001/main.do?rcpNo=20260526000370", "공시열람")</f>
        <v/>
      </c>
    </row>
    <row r="1606" ht="22" customHeight="1">
      <c r="A1606" s="2" t="inlineStr">
        <is>
          <t>2026-05-26</t>
        </is>
      </c>
      <c r="B1606" s="3" t="inlineStr">
        <is>
          <t>알리코제약</t>
        </is>
      </c>
      <c r="C1606" s="2" t="inlineStr">
        <is>
          <t>260660</t>
        </is>
      </c>
      <c r="D1606" s="2" t="inlineStr">
        <is>
          <t>대량보유</t>
        </is>
      </c>
      <c r="E1606" s="3" t="inlineStr">
        <is>
          <t>여점숙</t>
        </is>
      </c>
      <c r="F1606" s="3" t="inlineStr">
        <is>
          <t>특별관계자</t>
        </is>
      </c>
      <c r="G1606" s="3" t="inlineStr">
        <is>
          <t>수증(+)</t>
        </is>
      </c>
      <c r="H1606" s="15" t="n">
        <v>30000</v>
      </c>
      <c r="I1606" s="6" t="n">
        <v>3090</v>
      </c>
      <c r="J1606" s="6" t="n">
        <v>87093</v>
      </c>
      <c r="K1606" s="16" t="n">
        <v>8</v>
      </c>
      <c r="L1606" s="2" t="inlineStr">
        <is>
          <t>20260526000370</t>
        </is>
      </c>
      <c r="M1606" s="8">
        <f>HYPERLINK("https://dart.fss.or.kr/dsaf001/main.do?rcpNo=20260526000370", "공시열람")</f>
        <v/>
      </c>
    </row>
    <row r="1607" ht="22" customHeight="1">
      <c r="A1607" s="2" t="inlineStr">
        <is>
          <t>2026-05-26</t>
        </is>
      </c>
      <c r="B1607" s="3" t="inlineStr">
        <is>
          <t>알리코제약</t>
        </is>
      </c>
      <c r="C1607" s="2" t="inlineStr">
        <is>
          <t>260660</t>
        </is>
      </c>
      <c r="D1607" s="2" t="inlineStr">
        <is>
          <t>대량보유</t>
        </is>
      </c>
      <c r="E1607" s="3" t="inlineStr">
        <is>
          <t>이정은</t>
        </is>
      </c>
      <c r="F1607" s="3" t="inlineStr">
        <is>
          <t>특별관계자</t>
        </is>
      </c>
      <c r="G1607" s="3" t="inlineStr">
        <is>
          <t>수증(+)</t>
        </is>
      </c>
      <c r="H1607" s="15" t="n">
        <v>30000</v>
      </c>
      <c r="I1607" s="6" t="n">
        <v>3090</v>
      </c>
      <c r="J1607" s="6" t="n">
        <v>167812</v>
      </c>
      <c r="K1607" s="16" t="n">
        <v>8</v>
      </c>
      <c r="L1607" s="2" t="inlineStr">
        <is>
          <t>20260526000370</t>
        </is>
      </c>
      <c r="M1607" s="8">
        <f>HYPERLINK("https://dart.fss.or.kr/dsaf001/main.do?rcpNo=20260526000370", "공시열람")</f>
        <v/>
      </c>
    </row>
    <row r="1608" ht="22" customHeight="1">
      <c r="A1608" s="2" t="inlineStr">
        <is>
          <t>2026-05-26</t>
        </is>
      </c>
      <c r="B1608" s="3" t="inlineStr">
        <is>
          <t>알리코제약</t>
        </is>
      </c>
      <c r="C1608" s="2" t="inlineStr">
        <is>
          <t>260660</t>
        </is>
      </c>
      <c r="D1608" s="2" t="inlineStr">
        <is>
          <t>대량보유</t>
        </is>
      </c>
      <c r="E1608" s="3" t="inlineStr">
        <is>
          <t>이지숙</t>
        </is>
      </c>
      <c r="F1608" s="3" t="inlineStr">
        <is>
          <t>특별관계자</t>
        </is>
      </c>
      <c r="G1608" s="3" t="inlineStr">
        <is>
          <t>수증(+)</t>
        </is>
      </c>
      <c r="H1608" s="15" t="n">
        <v>30000</v>
      </c>
      <c r="I1608" s="6" t="n">
        <v>3090</v>
      </c>
      <c r="J1608" s="6" t="n">
        <v>167812</v>
      </c>
      <c r="K1608" s="16" t="n">
        <v>8</v>
      </c>
      <c r="L1608" s="2" t="inlineStr">
        <is>
          <t>20260526000370</t>
        </is>
      </c>
      <c r="M1608" s="8">
        <f>HYPERLINK("https://dart.fss.or.kr/dsaf001/main.do?rcpNo=20260526000370", "공시열람")</f>
        <v/>
      </c>
    </row>
    <row r="1609" ht="22" customHeight="1">
      <c r="A1609" s="2" t="inlineStr">
        <is>
          <t>2026-05-26</t>
        </is>
      </c>
      <c r="B1609" s="3" t="inlineStr">
        <is>
          <t>알리코제약</t>
        </is>
      </c>
      <c r="C1609" s="2" t="inlineStr">
        <is>
          <t>260660</t>
        </is>
      </c>
      <c r="D1609" s="2" t="inlineStr">
        <is>
          <t>대량보유</t>
        </is>
      </c>
      <c r="E1609" s="3" t="inlineStr">
        <is>
          <t>이지혜</t>
        </is>
      </c>
      <c r="F1609" s="3" t="inlineStr">
        <is>
          <t>특별관계자</t>
        </is>
      </c>
      <c r="G1609" s="3" t="inlineStr">
        <is>
          <t>수증(+)</t>
        </is>
      </c>
      <c r="H1609" s="15" t="n">
        <v>30000</v>
      </c>
      <c r="I1609" s="6" t="n">
        <v>3090</v>
      </c>
      <c r="J1609" s="6" t="n">
        <v>167812</v>
      </c>
      <c r="K1609" s="16" t="n">
        <v>8</v>
      </c>
      <c r="L1609" s="2" t="inlineStr">
        <is>
          <t>20260526000370</t>
        </is>
      </c>
      <c r="M1609" s="8">
        <f>HYPERLINK("https://dart.fss.or.kr/dsaf001/main.do?rcpNo=20260526000370", "공시열람")</f>
        <v/>
      </c>
    </row>
    <row r="1610" ht="22" customHeight="1">
      <c r="A1610" s="2" t="inlineStr">
        <is>
          <t>2026-05-26</t>
        </is>
      </c>
      <c r="B1610" s="3" t="inlineStr">
        <is>
          <t>알리코제약</t>
        </is>
      </c>
      <c r="C1610" s="2" t="inlineStr">
        <is>
          <t>260660</t>
        </is>
      </c>
      <c r="D1610" s="2" t="inlineStr">
        <is>
          <t>대량보유</t>
        </is>
      </c>
      <c r="E1610" s="3" t="inlineStr">
        <is>
          <t>이진복</t>
        </is>
      </c>
      <c r="F1610" s="3" t="inlineStr">
        <is>
          <t>특별관계자</t>
        </is>
      </c>
      <c r="G1610" s="3" t="inlineStr">
        <is>
          <t>수증(+)</t>
        </is>
      </c>
      <c r="H1610" s="15" t="n">
        <v>30000</v>
      </c>
      <c r="I1610" s="6" t="n">
        <v>3090</v>
      </c>
      <c r="J1610" s="6" t="n">
        <v>167812</v>
      </c>
      <c r="K1610" s="16" t="n">
        <v>8</v>
      </c>
      <c r="L1610" s="2" t="inlineStr">
        <is>
          <t>20260526000370</t>
        </is>
      </c>
      <c r="M1610" s="8">
        <f>HYPERLINK("https://dart.fss.or.kr/dsaf001/main.do?rcpNo=20260526000370", "공시열람")</f>
        <v/>
      </c>
    </row>
    <row r="1611" ht="22" customHeight="1">
      <c r="A1611" s="2" t="inlineStr">
        <is>
          <t>2026-05-26</t>
        </is>
      </c>
      <c r="B1611" s="3" t="inlineStr">
        <is>
          <t>BYC</t>
        </is>
      </c>
      <c r="C1611" s="2" t="inlineStr">
        <is>
          <t>001460</t>
        </is>
      </c>
      <c r="D1611" s="2" t="inlineStr">
        <is>
          <t>임원보고</t>
        </is>
      </c>
      <c r="E1611" s="3" t="inlineStr">
        <is>
          <t>-</t>
        </is>
      </c>
      <c r="F1611" s="3" t="inlineStr">
        <is>
          <t>-</t>
        </is>
      </c>
      <c r="G1611" s="3" t="inlineStr">
        <is>
          <t>-</t>
        </is>
      </c>
      <c r="H1611" s="6" t="inlineStr"/>
      <c r="I1611" s="6" t="inlineStr"/>
      <c r="J1611" s="6" t="inlineStr"/>
      <c r="K1611" s="16" t="n">
        <v>12</v>
      </c>
      <c r="L1611" s="2" t="inlineStr">
        <is>
          <t>20260526800571</t>
        </is>
      </c>
      <c r="M1611" s="8">
        <f>HYPERLINK("https://dart.fss.or.kr/dsaf001/main.do?rcpNo=20260526800571", "공시열람")</f>
        <v/>
      </c>
    </row>
    <row r="1612" ht="22" customHeight="1">
      <c r="A1612" s="2" t="inlineStr">
        <is>
          <t>2026-05-26</t>
        </is>
      </c>
      <c r="B1612" s="3" t="inlineStr">
        <is>
          <t>비보존 제약</t>
        </is>
      </c>
      <c r="C1612" s="2" t="inlineStr">
        <is>
          <t>082800</t>
        </is>
      </c>
      <c r="D1612" s="2" t="inlineStr">
        <is>
          <t>대량보유</t>
        </is>
      </c>
      <c r="E1612" s="3" t="inlineStr">
        <is>
          <t>주식회사비보존</t>
        </is>
      </c>
      <c r="F1612" s="3" t="inlineStr">
        <is>
          <t>특별관계자</t>
        </is>
      </c>
      <c r="G1612" s="3" t="inlineStr">
        <is>
          <t>풋옵션권리행사에따른주식처분(-)</t>
        </is>
      </c>
      <c r="H1612" s="17" t="n">
        <v>-277778</v>
      </c>
      <c r="I1612" s="6" t="n">
        <v>9000</v>
      </c>
      <c r="J1612" s="6" t="n">
        <v>1666666</v>
      </c>
      <c r="K1612" s="16" t="n">
        <v>2</v>
      </c>
      <c r="L1612" s="2" t="inlineStr">
        <is>
          <t>20260526000366</t>
        </is>
      </c>
      <c r="M1612" s="8">
        <f>HYPERLINK("https://dart.fss.or.kr/dsaf001/main.do?rcpNo=20260526000366", "공시열람")</f>
        <v/>
      </c>
    </row>
    <row r="1613" ht="22" customHeight="1">
      <c r="A1613" s="2" t="inlineStr">
        <is>
          <t>2026-05-26</t>
        </is>
      </c>
      <c r="B1613" s="3" t="inlineStr">
        <is>
          <t>신대양제지</t>
        </is>
      </c>
      <c r="C1613" s="2" t="inlineStr">
        <is>
          <t>016590</t>
        </is>
      </c>
      <c r="D1613" s="2" t="inlineStr">
        <is>
          <t>대량보유</t>
        </is>
      </c>
      <c r="E1613" s="3" t="inlineStr">
        <is>
          <t>권혁홍</t>
        </is>
      </c>
      <c r="F1613" s="3" t="inlineStr">
        <is>
          <t>보고자</t>
        </is>
      </c>
      <c r="G1613" s="3" t="inlineStr">
        <is>
          <t>특별관계자 보유주식등에 관한 계약(담보계약) 변경</t>
        </is>
      </c>
      <c r="H1613" s="6" t="inlineStr"/>
      <c r="I1613" s="6" t="inlineStr"/>
      <c r="J1613" s="6" t="n">
        <v>24091224</v>
      </c>
      <c r="K1613" s="16" t="n">
        <v>6</v>
      </c>
      <c r="L1613" s="2" t="inlineStr">
        <is>
          <t>20260526000365</t>
        </is>
      </c>
      <c r="M1613" s="8">
        <f>HYPERLINK("https://dart.fss.or.kr/dsaf001/main.do?rcpNo=20260526000365", "공시열람")</f>
        <v/>
      </c>
    </row>
    <row r="1614" ht="22" customHeight="1">
      <c r="A1614" s="2" t="inlineStr">
        <is>
          <t>2026-05-26</t>
        </is>
      </c>
      <c r="B1614" s="3" t="inlineStr">
        <is>
          <t>케이피항공산업</t>
        </is>
      </c>
      <c r="C1614" s="2" t="inlineStr">
        <is>
          <t>288180</t>
        </is>
      </c>
      <c r="D1614" s="2" t="inlineStr">
        <is>
          <t>대량보유</t>
        </is>
      </c>
      <c r="E1614" s="3" t="inlineStr">
        <is>
          <t>뉴메인신기술투자조합제13호</t>
        </is>
      </c>
      <c r="F1614" s="3" t="inlineStr">
        <is>
          <t>특별관계자</t>
        </is>
      </c>
      <c r="G1614" s="3" t="inlineStr">
        <is>
          <t>신규상장(+)</t>
        </is>
      </c>
      <c r="H1614" s="15" t="n">
        <v>681575</v>
      </c>
      <c r="I1614" s="6" t="inlineStr"/>
      <c r="J1614" s="6" t="n">
        <v>419419</v>
      </c>
      <c r="K1614" s="16" t="n">
        <v>13</v>
      </c>
      <c r="L1614" s="2" t="inlineStr">
        <is>
          <t>20260526000359</t>
        </is>
      </c>
      <c r="M1614" s="8">
        <f>HYPERLINK("https://dart.fss.or.kr/dsaf001/main.do?rcpNo=20260526000359", "공시열람")</f>
        <v/>
      </c>
    </row>
    <row r="1615" ht="22" customHeight="1">
      <c r="A1615" s="2" t="inlineStr">
        <is>
          <t>2026-05-26</t>
        </is>
      </c>
      <c r="B1615" s="3" t="inlineStr">
        <is>
          <t>블루산업개발</t>
        </is>
      </c>
      <c r="C1615" s="2" t="inlineStr">
        <is>
          <t>006740</t>
        </is>
      </c>
      <c r="D1615" s="2" t="inlineStr">
        <is>
          <t>대량보유</t>
        </is>
      </c>
      <c r="E1615" s="3" t="inlineStr">
        <is>
          <t>피엠에이조합</t>
        </is>
      </c>
      <c r="F1615" s="3" t="inlineStr">
        <is>
          <t>특별관계자</t>
        </is>
      </c>
      <c r="G1615" s="3" t="inlineStr">
        <is>
          <t>자본감소</t>
        </is>
      </c>
      <c r="H1615" s="17" t="n">
        <v>-7770085</v>
      </c>
      <c r="I1615" s="6" t="inlineStr"/>
      <c r="J1615" s="6" t="n">
        <v>706371</v>
      </c>
      <c r="K1615" s="16" t="n">
        <v>3</v>
      </c>
      <c r="L1615" s="2" t="inlineStr">
        <is>
          <t>20260526000353</t>
        </is>
      </c>
      <c r="M1615" s="8">
        <f>HYPERLINK("https://dart.fss.or.kr/dsaf001/main.do?rcpNo=20260526000353", "공시열람")</f>
        <v/>
      </c>
    </row>
    <row r="1616" ht="22" customHeight="1">
      <c r="A1616" s="2" t="inlineStr">
        <is>
          <t>2026-05-26</t>
        </is>
      </c>
      <c r="B1616" s="3" t="inlineStr">
        <is>
          <t>블루산업개발</t>
        </is>
      </c>
      <c r="C1616" s="2" t="inlineStr">
        <is>
          <t>006740</t>
        </is>
      </c>
      <c r="D1616" s="2" t="inlineStr">
        <is>
          <t>대량보유</t>
        </is>
      </c>
      <c r="E1616" s="3" t="inlineStr">
        <is>
          <t>(주)파일엔지니어링</t>
        </is>
      </c>
      <c r="F1616" s="3" t="inlineStr">
        <is>
          <t>특별관계자</t>
        </is>
      </c>
      <c r="G1616" s="3" t="inlineStr">
        <is>
          <t>자본감소</t>
        </is>
      </c>
      <c r="H1616" s="17" t="n">
        <v>-4440819</v>
      </c>
      <c r="I1616" s="6" t="inlineStr"/>
      <c r="J1616" s="6" t="n">
        <v>403710</v>
      </c>
      <c r="K1616" s="16" t="n">
        <v>3</v>
      </c>
      <c r="L1616" s="2" t="inlineStr">
        <is>
          <t>20260526000353</t>
        </is>
      </c>
      <c r="M1616" s="8">
        <f>HYPERLINK("https://dart.fss.or.kr/dsaf001/main.do?rcpNo=20260526000353", "공시열람")</f>
        <v/>
      </c>
    </row>
    <row r="1617" ht="22" customHeight="1">
      <c r="A1617" s="2" t="inlineStr">
        <is>
          <t>2026-05-26</t>
        </is>
      </c>
      <c r="B1617" s="3" t="inlineStr">
        <is>
          <t>블루산업개발</t>
        </is>
      </c>
      <c r="C1617" s="2" t="inlineStr">
        <is>
          <t>006740</t>
        </is>
      </c>
      <c r="D1617" s="2" t="inlineStr">
        <is>
          <t>대량보유</t>
        </is>
      </c>
      <c r="E1617" s="3" t="inlineStr">
        <is>
          <t>피엠이이조합</t>
        </is>
      </c>
      <c r="F1617" s="3" t="inlineStr">
        <is>
          <t>특별관계자</t>
        </is>
      </c>
      <c r="G1617" s="3" t="inlineStr">
        <is>
          <t>CB인수(+), 장외매도(-)</t>
        </is>
      </c>
      <c r="H1617" s="15" t="n">
        <v>733627</v>
      </c>
      <c r="I1617" s="6" t="n">
        <v>7497</v>
      </c>
      <c r="J1617" s="6" t="n">
        <v>733627</v>
      </c>
      <c r="K1617" s="16" t="n">
        <v>3</v>
      </c>
      <c r="L1617" s="2" t="inlineStr">
        <is>
          <t>20260526000353</t>
        </is>
      </c>
      <c r="M1617" s="8">
        <f>HYPERLINK("https://dart.fss.or.kr/dsaf001/main.do?rcpNo=20260526000353", "공시열람")</f>
        <v/>
      </c>
    </row>
    <row r="1618" ht="22" customHeight="1">
      <c r="A1618" s="2" t="inlineStr">
        <is>
          <t>2026-05-26</t>
        </is>
      </c>
      <c r="B1618" s="3" t="inlineStr">
        <is>
          <t>동일스틸럭스</t>
        </is>
      </c>
      <c r="C1618" s="2" t="inlineStr">
        <is>
          <t>023790</t>
        </is>
      </c>
      <c r="D1618" s="2" t="inlineStr">
        <is>
          <t>대량보유</t>
        </is>
      </c>
      <c r="E1618" s="3" t="inlineStr">
        <is>
          <t>장인화</t>
        </is>
      </c>
      <c r="F1618" s="3" t="inlineStr">
        <is>
          <t>특별관계자</t>
        </is>
      </c>
      <c r="G1618" s="3" t="inlineStr">
        <is>
          <t>주식병합</t>
        </is>
      </c>
      <c r="H1618" s="17" t="n">
        <v>-1932930</v>
      </c>
      <c r="I1618" s="6" t="inlineStr"/>
      <c r="J1618" s="6" t="n">
        <v>1932929</v>
      </c>
      <c r="K1618" s="16" t="n">
        <v>5</v>
      </c>
      <c r="L1618" s="2" t="inlineStr">
        <is>
          <t>20260526000352</t>
        </is>
      </c>
      <c r="M1618" s="8">
        <f>HYPERLINK("https://dart.fss.or.kr/dsaf001/main.do?rcpNo=20260526000352", "공시열람")</f>
        <v/>
      </c>
    </row>
    <row r="1619" ht="22" customHeight="1">
      <c r="A1619" s="2" t="inlineStr">
        <is>
          <t>2026-05-26</t>
        </is>
      </c>
      <c r="B1619" s="3" t="inlineStr">
        <is>
          <t>동일스틸럭스</t>
        </is>
      </c>
      <c r="C1619" s="2" t="inlineStr">
        <is>
          <t>023790</t>
        </is>
      </c>
      <c r="D1619" s="2" t="inlineStr">
        <is>
          <t>대량보유</t>
        </is>
      </c>
      <c r="E1619" s="3" t="inlineStr">
        <is>
          <t>(주)화인인터내셔날</t>
        </is>
      </c>
      <c r="F1619" s="3" t="inlineStr">
        <is>
          <t>특별관계자</t>
        </is>
      </c>
      <c r="G1619" s="3" t="inlineStr">
        <is>
          <t>주식병합</t>
        </is>
      </c>
      <c r="H1619" s="17" t="n">
        <v>-2035172</v>
      </c>
      <c r="I1619" s="6" t="inlineStr"/>
      <c r="J1619" s="6" t="n">
        <v>2035172</v>
      </c>
      <c r="K1619" s="16" t="n">
        <v>5</v>
      </c>
      <c r="L1619" s="2" t="inlineStr">
        <is>
          <t>20260526000352</t>
        </is>
      </c>
      <c r="M1619" s="8">
        <f>HYPERLINK("https://dart.fss.or.kr/dsaf001/main.do?rcpNo=20260526000352", "공시열람")</f>
        <v/>
      </c>
    </row>
    <row r="1620" ht="22" customHeight="1">
      <c r="A1620" s="2" t="inlineStr">
        <is>
          <t>2026-05-26</t>
        </is>
      </c>
      <c r="B1620" s="3" t="inlineStr">
        <is>
          <t>동일스틸럭스</t>
        </is>
      </c>
      <c r="C1620" s="2" t="inlineStr">
        <is>
          <t>023790</t>
        </is>
      </c>
      <c r="D1620" s="2" t="inlineStr">
        <is>
          <t>대량보유</t>
        </is>
      </c>
      <c r="E1620" s="3" t="inlineStr">
        <is>
          <t>장재헌</t>
        </is>
      </c>
      <c r="F1620" s="3" t="inlineStr">
        <is>
          <t>특별관계자</t>
        </is>
      </c>
      <c r="G1620" s="3" t="inlineStr">
        <is>
          <t>주식병합</t>
        </is>
      </c>
      <c r="H1620" s="17" t="n">
        <v>-124120</v>
      </c>
      <c r="I1620" s="6" t="inlineStr"/>
      <c r="J1620" s="6" t="n">
        <v>124120</v>
      </c>
      <c r="K1620" s="16" t="n">
        <v>5</v>
      </c>
      <c r="L1620" s="2" t="inlineStr">
        <is>
          <t>20260526000352</t>
        </is>
      </c>
      <c r="M1620" s="8">
        <f>HYPERLINK("https://dart.fss.or.kr/dsaf001/main.do?rcpNo=20260526000352", "공시열람")</f>
        <v/>
      </c>
    </row>
    <row r="1621" ht="22" customHeight="1">
      <c r="A1621" s="2" t="inlineStr">
        <is>
          <t>2026-05-26</t>
        </is>
      </c>
      <c r="B1621" s="3" t="inlineStr">
        <is>
          <t>동일스틸럭스</t>
        </is>
      </c>
      <c r="C1621" s="2" t="inlineStr">
        <is>
          <t>023790</t>
        </is>
      </c>
      <c r="D1621" s="2" t="inlineStr">
        <is>
          <t>대량보유</t>
        </is>
      </c>
      <c r="E1621" s="3" t="inlineStr">
        <is>
          <t>장재환</t>
        </is>
      </c>
      <c r="F1621" s="3" t="inlineStr">
        <is>
          <t>특별관계자</t>
        </is>
      </c>
      <c r="G1621" s="3" t="inlineStr">
        <is>
          <t>주식병합</t>
        </is>
      </c>
      <c r="H1621" s="17" t="n">
        <v>-642</v>
      </c>
      <c r="I1621" s="6" t="inlineStr"/>
      <c r="J1621" s="6" t="n">
        <v>641</v>
      </c>
      <c r="K1621" s="16" t="n">
        <v>5</v>
      </c>
      <c r="L1621" s="2" t="inlineStr">
        <is>
          <t>20260526000352</t>
        </is>
      </c>
      <c r="M1621" s="8">
        <f>HYPERLINK("https://dart.fss.or.kr/dsaf001/main.do?rcpNo=20260526000352", "공시열람")</f>
        <v/>
      </c>
    </row>
    <row r="1622" ht="22" customHeight="1">
      <c r="A1622" s="2" t="inlineStr">
        <is>
          <t>2026-05-26</t>
        </is>
      </c>
      <c r="B1622" s="3" t="inlineStr">
        <is>
          <t>동일스틸럭스</t>
        </is>
      </c>
      <c r="C1622" s="2" t="inlineStr">
        <is>
          <t>023790</t>
        </is>
      </c>
      <c r="D1622" s="2" t="inlineStr">
        <is>
          <t>대량보유</t>
        </is>
      </c>
      <c r="E1622" s="3" t="inlineStr">
        <is>
          <t>장순애</t>
        </is>
      </c>
      <c r="F1622" s="3" t="inlineStr">
        <is>
          <t>특별관계자</t>
        </is>
      </c>
      <c r="G1622" s="3" t="inlineStr">
        <is>
          <t>특별관계해소(-)</t>
        </is>
      </c>
      <c r="H1622" s="17" t="n">
        <v>-72980</v>
      </c>
      <c r="I1622" s="6" t="inlineStr"/>
      <c r="J1622" s="6" t="inlineStr"/>
      <c r="K1622" s="16" t="n">
        <v>5</v>
      </c>
      <c r="L1622" s="2" t="inlineStr">
        <is>
          <t>20260526000352</t>
        </is>
      </c>
      <c r="M1622" s="8">
        <f>HYPERLINK("https://dart.fss.or.kr/dsaf001/main.do?rcpNo=20260526000352", "공시열람")</f>
        <v/>
      </c>
    </row>
    <row r="1623" ht="22" customHeight="1">
      <c r="A1623" s="2" t="inlineStr">
        <is>
          <t>2026-05-26</t>
        </is>
      </c>
      <c r="B1623" s="3" t="inlineStr">
        <is>
          <t>동일스틸럭스</t>
        </is>
      </c>
      <c r="C1623" s="2" t="inlineStr">
        <is>
          <t>023790</t>
        </is>
      </c>
      <c r="D1623" s="2" t="inlineStr">
        <is>
          <t>대량보유</t>
        </is>
      </c>
      <c r="E1623" s="3" t="inlineStr">
        <is>
          <t>장주미</t>
        </is>
      </c>
      <c r="F1623" s="3" t="inlineStr">
        <is>
          <t>특별관계자</t>
        </is>
      </c>
      <c r="G1623" s="3" t="inlineStr">
        <is>
          <t>장내매도(-), 주식병합</t>
        </is>
      </c>
      <c r="H1623" s="17" t="n">
        <v>-19839</v>
      </c>
      <c r="I1623" s="6" t="n">
        <v>1731</v>
      </c>
      <c r="J1623" s="6" t="n">
        <v>4489</v>
      </c>
      <c r="K1623" s="16" t="n">
        <v>5</v>
      </c>
      <c r="L1623" s="2" t="inlineStr">
        <is>
          <t>20260526000352</t>
        </is>
      </c>
      <c r="M1623" s="8">
        <f>HYPERLINK("https://dart.fss.or.kr/dsaf001/main.do?rcpNo=20260526000352", "공시열람")</f>
        <v/>
      </c>
    </row>
    <row r="1624" ht="22" customHeight="1">
      <c r="A1624" s="2" t="inlineStr">
        <is>
          <t>2026-05-26</t>
        </is>
      </c>
      <c r="B1624" s="3" t="inlineStr">
        <is>
          <t>동일스틸럭스</t>
        </is>
      </c>
      <c r="C1624" s="2" t="inlineStr">
        <is>
          <t>023790</t>
        </is>
      </c>
      <c r="D1624" s="2" t="inlineStr">
        <is>
          <t>대량보유</t>
        </is>
      </c>
      <c r="E1624" s="3" t="inlineStr">
        <is>
          <t>장혜정</t>
        </is>
      </c>
      <c r="F1624" s="3" t="inlineStr">
        <is>
          <t>특별관계자</t>
        </is>
      </c>
      <c r="G1624" s="3" t="inlineStr">
        <is>
          <t>장내매도(-), 주식병합</t>
        </is>
      </c>
      <c r="H1624" s="17" t="n">
        <v>-12587</v>
      </c>
      <c r="I1624" s="6" t="n">
        <v>1453</v>
      </c>
      <c r="J1624" s="6" t="n">
        <v>5000</v>
      </c>
      <c r="K1624" s="16" t="n">
        <v>5</v>
      </c>
      <c r="L1624" s="2" t="inlineStr">
        <is>
          <t>20260526000352</t>
        </is>
      </c>
      <c r="M1624" s="8">
        <f>HYPERLINK("https://dart.fss.or.kr/dsaf001/main.do?rcpNo=20260526000352", "공시열람")</f>
        <v/>
      </c>
    </row>
    <row r="1625" ht="22" customHeight="1">
      <c r="A1625" s="2" t="inlineStr">
        <is>
          <t>2026-05-26</t>
        </is>
      </c>
      <c r="B1625" s="3" t="inlineStr">
        <is>
          <t>다산네트웍스</t>
        </is>
      </c>
      <c r="C1625" s="2" t="inlineStr">
        <is>
          <t>039560</t>
        </is>
      </c>
      <c r="D1625" s="2" t="inlineStr">
        <is>
          <t>대량보유</t>
        </is>
      </c>
      <c r="E1625" s="3" t="inlineStr">
        <is>
          <t>(주)퍼시픽블루</t>
        </is>
      </c>
      <c r="F1625" s="3" t="inlineStr">
        <is>
          <t>특별관계자</t>
        </is>
      </c>
      <c r="G1625" s="3" t="inlineStr">
        <is>
          <t>장내매수(+)</t>
        </is>
      </c>
      <c r="H1625" s="15" t="n">
        <v>528918</v>
      </c>
      <c r="I1625" s="6" t="n">
        <v>4664</v>
      </c>
      <c r="J1625" s="6" t="n">
        <v>1417997</v>
      </c>
      <c r="K1625" s="16" t="n">
        <v>4</v>
      </c>
      <c r="L1625" s="2" t="inlineStr">
        <is>
          <t>20260526000351</t>
        </is>
      </c>
      <c r="M1625" s="8">
        <f>HYPERLINK("https://dart.fss.or.kr/dsaf001/main.do?rcpNo=20260526000351", "공시열람")</f>
        <v/>
      </c>
    </row>
    <row r="1626" ht="22" customHeight="1">
      <c r="A1626" s="2" t="inlineStr">
        <is>
          <t>2026-05-26</t>
        </is>
      </c>
      <c r="B1626" s="3" t="inlineStr">
        <is>
          <t>명신산업</t>
        </is>
      </c>
      <c r="C1626" s="2" t="inlineStr">
        <is>
          <t>009900</t>
        </is>
      </c>
      <c r="D1626" s="2" t="inlineStr">
        <is>
          <t>대량보유</t>
        </is>
      </c>
      <c r="E1626" s="3" t="inlineStr">
        <is>
          <t>엠에스오토텍</t>
        </is>
      </c>
      <c r="F1626" s="3" t="inlineStr">
        <is>
          <t>보고자</t>
        </is>
      </c>
      <c r="G1626" s="3" t="inlineStr">
        <is>
          <t>보유주식에 대한 주식예탁(교환사채발행)을 위해 보유주식의 질권설정 해지 및 재설정</t>
        </is>
      </c>
      <c r="H1626" s="6" t="inlineStr"/>
      <c r="I1626" s="6" t="inlineStr"/>
      <c r="J1626" s="6" t="n">
        <v>23848210</v>
      </c>
      <c r="K1626" s="16" t="n">
        <v>1</v>
      </c>
      <c r="L1626" s="2" t="inlineStr">
        <is>
          <t>20260526000347</t>
        </is>
      </c>
      <c r="M1626" s="8">
        <f>HYPERLINK("https://dart.fss.or.kr/dsaf001/main.do?rcpNo=20260526000347", "공시열람")</f>
        <v/>
      </c>
    </row>
    <row r="1627" ht="22" customHeight="1">
      <c r="A1627" s="2" t="inlineStr">
        <is>
          <t>2026-05-26</t>
        </is>
      </c>
      <c r="B1627" s="3" t="inlineStr">
        <is>
          <t>그리티</t>
        </is>
      </c>
      <c r="C1627" s="2" t="inlineStr">
        <is>
          <t>204020</t>
        </is>
      </c>
      <c r="D1627" s="2" t="inlineStr">
        <is>
          <t>대량보유</t>
        </is>
      </c>
      <c r="E1627" s="3" t="inlineStr">
        <is>
          <t>문영우</t>
        </is>
      </c>
      <c r="F1627" s="3" t="inlineStr">
        <is>
          <t>특별관계자</t>
        </is>
      </c>
      <c r="G1627" s="3" t="inlineStr">
        <is>
          <t>장내매수(+)</t>
        </is>
      </c>
      <c r="H1627" s="15" t="n">
        <v>330317</v>
      </c>
      <c r="I1627" s="6" t="n">
        <v>2266</v>
      </c>
      <c r="J1627" s="6" t="n">
        <v>7167509</v>
      </c>
      <c r="K1627" s="16" t="n">
        <v>6</v>
      </c>
      <c r="L1627" s="2" t="inlineStr">
        <is>
          <t>20260526000343</t>
        </is>
      </c>
      <c r="M1627" s="8">
        <f>HYPERLINK("https://dart.fss.or.kr/dsaf001/main.do?rcpNo=20260526000343", "공시열람")</f>
        <v/>
      </c>
    </row>
    <row r="1628" ht="22" customHeight="1">
      <c r="A1628" s="2" t="inlineStr">
        <is>
          <t>2026-05-26</t>
        </is>
      </c>
      <c r="B1628" s="3" t="inlineStr">
        <is>
          <t>웨이버스</t>
        </is>
      </c>
      <c r="C1628" s="2" t="inlineStr">
        <is>
          <t>336060</t>
        </is>
      </c>
      <c r="D1628" s="2" t="inlineStr">
        <is>
          <t>대량보유</t>
        </is>
      </c>
      <c r="E1628" s="3" t="inlineStr">
        <is>
          <t>황인서</t>
        </is>
      </c>
      <c r="F1628" s="3" t="inlineStr">
        <is>
          <t>특별관계자</t>
        </is>
      </c>
      <c r="G1628" s="3" t="inlineStr">
        <is>
          <t>장내매수(+)</t>
        </is>
      </c>
      <c r="H1628" s="15" t="n">
        <v>95000</v>
      </c>
      <c r="I1628" s="6" t="n">
        <v>859</v>
      </c>
      <c r="J1628" s="6" t="n">
        <v>226277</v>
      </c>
      <c r="K1628" s="16" t="n">
        <v>14</v>
      </c>
      <c r="L1628" s="2" t="inlineStr">
        <is>
          <t>20260526000342</t>
        </is>
      </c>
      <c r="M1628" s="8">
        <f>HYPERLINK("https://dart.fss.or.kr/dsaf001/main.do?rcpNo=20260526000342", "공시열람")</f>
        <v/>
      </c>
    </row>
    <row r="1629" ht="22" customHeight="1">
      <c r="A1629" s="2" t="inlineStr">
        <is>
          <t>2026-05-26</t>
        </is>
      </c>
      <c r="B1629" s="3" t="inlineStr">
        <is>
          <t>유니켐</t>
        </is>
      </c>
      <c r="C1629" s="2" t="inlineStr">
        <is>
          <t>011330</t>
        </is>
      </c>
      <c r="D1629" s="2" t="inlineStr">
        <is>
          <t>대량보유</t>
        </is>
      </c>
      <c r="E1629" s="3" t="inlineStr">
        <is>
          <t>(주)제이에이치사람들</t>
        </is>
      </c>
      <c r="F1629" s="3" t="inlineStr">
        <is>
          <t>보고자</t>
        </is>
      </c>
      <c r="G1629" s="3" t="inlineStr">
        <is>
          <t>-주식담보대출 일부 상환 및 연장</t>
        </is>
      </c>
      <c r="H1629" s="6" t="inlineStr"/>
      <c r="I1629" s="6" t="inlineStr"/>
      <c r="J1629" s="6" t="n">
        <v>19243604</v>
      </c>
      <c r="K1629" s="16" t="n">
        <v>1</v>
      </c>
      <c r="L1629" s="2" t="inlineStr">
        <is>
          <t>20260526000336</t>
        </is>
      </c>
      <c r="M1629" s="8">
        <f>HYPERLINK("https://dart.fss.or.kr/dsaf001/main.do?rcpNo=20260526000336", "공시열람")</f>
        <v/>
      </c>
    </row>
    <row r="1630" ht="22" customHeight="1">
      <c r="A1630" s="2" t="inlineStr">
        <is>
          <t>2026-05-26</t>
        </is>
      </c>
      <c r="B1630" s="3" t="inlineStr">
        <is>
          <t>블루산업개발</t>
        </is>
      </c>
      <c r="C1630" s="2" t="inlineStr">
        <is>
          <t>006740</t>
        </is>
      </c>
      <c r="D1630" s="2" t="inlineStr">
        <is>
          <t>대량보유</t>
        </is>
      </c>
      <c r="E1630" s="3" t="inlineStr">
        <is>
          <t>(주)니안</t>
        </is>
      </c>
      <c r="F1630" s="3" t="inlineStr">
        <is>
          <t>특별관계자</t>
        </is>
      </c>
      <c r="G1630" s="3" t="inlineStr">
        <is>
          <t>콜옵션취득(+), 장외매도(-)</t>
        </is>
      </c>
      <c r="H1630" s="15" t="n">
        <v>400160</v>
      </c>
      <c r="I1630" s="6" t="n">
        <v>7497</v>
      </c>
      <c r="J1630" s="6" t="n">
        <v>400160</v>
      </c>
      <c r="K1630" s="16" t="n">
        <v>7.77</v>
      </c>
      <c r="L1630" s="2" t="inlineStr">
        <is>
          <t>20260526000325</t>
        </is>
      </c>
      <c r="M1630" s="8">
        <f>HYPERLINK("https://dart.fss.or.kr/dsaf001/main.do?rcpNo=20260526000325", "공시열람")</f>
        <v/>
      </c>
    </row>
    <row r="1631" ht="22" customHeight="1">
      <c r="A1631" s="2" t="inlineStr">
        <is>
          <t>2026-05-26</t>
        </is>
      </c>
      <c r="B1631" s="3" t="inlineStr">
        <is>
          <t>삼익THK</t>
        </is>
      </c>
      <c r="C1631" s="2" t="inlineStr">
        <is>
          <t>004380</t>
        </is>
      </c>
      <c r="D1631" s="2" t="inlineStr">
        <is>
          <t>임원보고</t>
        </is>
      </c>
      <c r="E1631" s="3" t="inlineStr">
        <is>
          <t>-</t>
        </is>
      </c>
      <c r="F1631" s="3" t="inlineStr">
        <is>
          <t>-</t>
        </is>
      </c>
      <c r="G1631" s="3" t="inlineStr">
        <is>
          <t>-</t>
        </is>
      </c>
      <c r="H1631" s="6" t="inlineStr"/>
      <c r="I1631" s="6" t="inlineStr"/>
      <c r="J1631" s="6" t="inlineStr"/>
      <c r="K1631" s="16" t="n">
        <v>12</v>
      </c>
      <c r="L1631" s="2" t="inlineStr">
        <is>
          <t>20260526800456</t>
        </is>
      </c>
      <c r="M1631" s="8">
        <f>HYPERLINK("https://dart.fss.or.kr/dsaf001/main.do?rcpNo=20260526800456", "공시열람")</f>
        <v/>
      </c>
    </row>
    <row r="1632" ht="22" customHeight="1">
      <c r="A1632" s="2" t="inlineStr">
        <is>
          <t>2026-05-26</t>
        </is>
      </c>
      <c r="B1632" s="3" t="inlineStr">
        <is>
          <t>비큐AI</t>
        </is>
      </c>
      <c r="C1632" s="2" t="inlineStr">
        <is>
          <t>148780</t>
        </is>
      </c>
      <c r="D1632" s="2" t="inlineStr">
        <is>
          <t>대량보유</t>
        </is>
      </c>
      <c r="E1632" s="3" t="inlineStr">
        <is>
          <t>임경환</t>
        </is>
      </c>
      <c r="F1632" s="3" t="inlineStr">
        <is>
          <t>특별관계자</t>
        </is>
      </c>
      <c r="G1632" s="3" t="inlineStr">
        <is>
          <t>증여(-)</t>
        </is>
      </c>
      <c r="H1632" s="17" t="n">
        <v>-521000</v>
      </c>
      <c r="I1632" s="6" t="inlineStr"/>
      <c r="J1632" s="6" t="n">
        <v>9600445</v>
      </c>
      <c r="K1632" s="16" t="n">
        <v>5</v>
      </c>
      <c r="L1632" s="2" t="inlineStr">
        <is>
          <t>20260526000295</t>
        </is>
      </c>
      <c r="M1632" s="8">
        <f>HYPERLINK("https://dart.fss.or.kr/dsaf001/main.do?rcpNo=20260526000295", "공시열람")</f>
        <v/>
      </c>
    </row>
    <row r="1633" ht="22" customHeight="1">
      <c r="A1633" s="2" t="inlineStr">
        <is>
          <t>2026-05-26</t>
        </is>
      </c>
      <c r="B1633" s="3" t="inlineStr">
        <is>
          <t>비큐AI</t>
        </is>
      </c>
      <c r="C1633" s="2" t="inlineStr">
        <is>
          <t>148780</t>
        </is>
      </c>
      <c r="D1633" s="2" t="inlineStr">
        <is>
          <t>대량보유</t>
        </is>
      </c>
      <c r="E1633" s="3" t="inlineStr">
        <is>
          <t>조미옥</t>
        </is>
      </c>
      <c r="F1633" s="3" t="inlineStr">
        <is>
          <t>특별관계자</t>
        </is>
      </c>
      <c r="G1633" s="3" t="inlineStr">
        <is>
          <t>수증(+)</t>
        </is>
      </c>
      <c r="H1633" s="15" t="n">
        <v>80000</v>
      </c>
      <c r="I1633" s="6" t="inlineStr"/>
      <c r="J1633" s="6" t="n">
        <v>400000</v>
      </c>
      <c r="K1633" s="16" t="n">
        <v>5</v>
      </c>
      <c r="L1633" s="2" t="inlineStr">
        <is>
          <t>20260526000295</t>
        </is>
      </c>
      <c r="M1633" s="8">
        <f>HYPERLINK("https://dart.fss.or.kr/dsaf001/main.do?rcpNo=20260526000295", "공시열람")</f>
        <v/>
      </c>
    </row>
    <row r="1634" ht="22" customHeight="1">
      <c r="A1634" s="2" t="inlineStr">
        <is>
          <t>2026-05-26</t>
        </is>
      </c>
      <c r="B1634" s="3" t="inlineStr">
        <is>
          <t>비큐AI</t>
        </is>
      </c>
      <c r="C1634" s="2" t="inlineStr">
        <is>
          <t>148780</t>
        </is>
      </c>
      <c r="D1634" s="2" t="inlineStr">
        <is>
          <t>대량보유</t>
        </is>
      </c>
      <c r="E1634" s="3" t="inlineStr">
        <is>
          <t>임효정</t>
        </is>
      </c>
      <c r="F1634" s="3" t="inlineStr">
        <is>
          <t>특별관계자</t>
        </is>
      </c>
      <c r="G1634" s="3" t="inlineStr">
        <is>
          <t>수증(+)</t>
        </is>
      </c>
      <c r="H1634" s="15" t="n">
        <v>213000</v>
      </c>
      <c r="I1634" s="6" t="inlineStr"/>
      <c r="J1634" s="6" t="n">
        <v>300000</v>
      </c>
      <c r="K1634" s="16" t="n">
        <v>5</v>
      </c>
      <c r="L1634" s="2" t="inlineStr">
        <is>
          <t>20260526000295</t>
        </is>
      </c>
      <c r="M1634" s="8">
        <f>HYPERLINK("https://dart.fss.or.kr/dsaf001/main.do?rcpNo=20260526000295", "공시열람")</f>
        <v/>
      </c>
    </row>
    <row r="1635" ht="22" customHeight="1">
      <c r="A1635" s="2" t="inlineStr">
        <is>
          <t>2026-05-26</t>
        </is>
      </c>
      <c r="B1635" s="3" t="inlineStr">
        <is>
          <t>비큐AI</t>
        </is>
      </c>
      <c r="C1635" s="2" t="inlineStr">
        <is>
          <t>148780</t>
        </is>
      </c>
      <c r="D1635" s="2" t="inlineStr">
        <is>
          <t>대량보유</t>
        </is>
      </c>
      <c r="E1635" s="3" t="inlineStr">
        <is>
          <t>임효선</t>
        </is>
      </c>
      <c r="F1635" s="3" t="inlineStr">
        <is>
          <t>특별관계자</t>
        </is>
      </c>
      <c r="G1635" s="3" t="inlineStr">
        <is>
          <t>수증(+)</t>
        </is>
      </c>
      <c r="H1635" s="15" t="n">
        <v>228000</v>
      </c>
      <c r="I1635" s="6" t="inlineStr"/>
      <c r="J1635" s="6" t="n">
        <v>300000</v>
      </c>
      <c r="K1635" s="16" t="n">
        <v>5</v>
      </c>
      <c r="L1635" s="2" t="inlineStr">
        <is>
          <t>20260526000295</t>
        </is>
      </c>
      <c r="M1635" s="8">
        <f>HYPERLINK("https://dart.fss.or.kr/dsaf001/main.do?rcpNo=20260526000295", "공시열람")</f>
        <v/>
      </c>
    </row>
    <row r="1636" ht="22" customHeight="1">
      <c r="A1636" s="2" t="inlineStr">
        <is>
          <t>2026-05-26</t>
        </is>
      </c>
      <c r="B1636" s="3" t="inlineStr">
        <is>
          <t>비큐AI</t>
        </is>
      </c>
      <c r="C1636" s="2" t="inlineStr">
        <is>
          <t>148780</t>
        </is>
      </c>
      <c r="D1636" s="2" t="inlineStr">
        <is>
          <t>대량보유</t>
        </is>
      </c>
      <c r="E1636" s="3" t="inlineStr">
        <is>
          <t>고민균</t>
        </is>
      </c>
      <c r="F1636" s="3" t="inlineStr">
        <is>
          <t>특별관계자</t>
        </is>
      </c>
      <c r="G1636" s="3" t="inlineStr">
        <is>
          <t>주식매수선택권부여(+)</t>
        </is>
      </c>
      <c r="H1636" s="15" t="n">
        <v>250000</v>
      </c>
      <c r="I1636" s="6" t="inlineStr"/>
      <c r="J1636" s="6" t="n">
        <v>270300</v>
      </c>
      <c r="K1636" s="16" t="n">
        <v>5</v>
      </c>
      <c r="L1636" s="2" t="inlineStr">
        <is>
          <t>20260526000295</t>
        </is>
      </c>
      <c r="M1636" s="8">
        <f>HYPERLINK("https://dart.fss.or.kr/dsaf001/main.do?rcpNo=20260526000295", "공시열람")</f>
        <v/>
      </c>
    </row>
    <row r="1637" ht="22" customHeight="1">
      <c r="A1637" s="2" t="inlineStr">
        <is>
          <t>2026-05-26</t>
        </is>
      </c>
      <c r="B1637" s="3" t="inlineStr">
        <is>
          <t>비큐AI</t>
        </is>
      </c>
      <c r="C1637" s="2" t="inlineStr">
        <is>
          <t>148780</t>
        </is>
      </c>
      <c r="D1637" s="2" t="inlineStr">
        <is>
          <t>대량보유</t>
        </is>
      </c>
      <c r="E1637" s="3" t="inlineStr">
        <is>
          <t>박한열</t>
        </is>
      </c>
      <c r="F1637" s="3" t="inlineStr">
        <is>
          <t>특별관계자</t>
        </is>
      </c>
      <c r="G1637" s="3" t="inlineStr">
        <is>
          <t>장내매도(-), 장내매수(+)</t>
        </is>
      </c>
      <c r="H1637" s="6" t="inlineStr"/>
      <c r="I1637" s="6" t="n">
        <v>1636</v>
      </c>
      <c r="J1637" s="6" t="n">
        <v>19403</v>
      </c>
      <c r="K1637" s="16" t="n">
        <v>5</v>
      </c>
      <c r="L1637" s="2" t="inlineStr">
        <is>
          <t>20260526000295</t>
        </is>
      </c>
      <c r="M1637" s="8">
        <f>HYPERLINK("https://dart.fss.or.kr/dsaf001/main.do?rcpNo=20260526000295", "공시열람")</f>
        <v/>
      </c>
    </row>
    <row r="1638" ht="22" customHeight="1">
      <c r="A1638" s="2" t="inlineStr">
        <is>
          <t>2026-05-26</t>
        </is>
      </c>
      <c r="B1638" s="3" t="inlineStr">
        <is>
          <t>비큐AI</t>
        </is>
      </c>
      <c r="C1638" s="2" t="inlineStr">
        <is>
          <t>148780</t>
        </is>
      </c>
      <c r="D1638" s="2" t="inlineStr">
        <is>
          <t>대량보유</t>
        </is>
      </c>
      <c r="E1638" s="3" t="inlineStr">
        <is>
          <t>박한열*</t>
        </is>
      </c>
      <c r="F1638" s="3" t="inlineStr">
        <is>
          <t>특별관계자</t>
        </is>
      </c>
      <c r="G1638" s="3" t="inlineStr">
        <is>
          <t>장내매도(-)</t>
        </is>
      </c>
      <c r="H1638" s="17" t="n">
        <v>-19403</v>
      </c>
      <c r="I1638" s="6" t="n">
        <v>1417</v>
      </c>
      <c r="J1638" s="6" t="inlineStr"/>
      <c r="K1638" s="16" t="n">
        <v>5</v>
      </c>
      <c r="L1638" s="2" t="inlineStr">
        <is>
          <t>20260526000295</t>
        </is>
      </c>
      <c r="M1638" s="8">
        <f>HYPERLINK("https://dart.fss.or.kr/dsaf001/main.do?rcpNo=20260526000295", "공시열람")</f>
        <v/>
      </c>
    </row>
    <row r="1639" ht="22" customHeight="1">
      <c r="A1639" s="2" t="inlineStr">
        <is>
          <t>2026-05-26</t>
        </is>
      </c>
      <c r="B1639" s="3" t="inlineStr">
        <is>
          <t>비큐AI</t>
        </is>
      </c>
      <c r="C1639" s="2" t="inlineStr">
        <is>
          <t>148780</t>
        </is>
      </c>
      <c r="D1639" s="2" t="inlineStr">
        <is>
          <t>대량보유</t>
        </is>
      </c>
      <c r="E1639" s="3" t="inlineStr">
        <is>
          <t>류성자</t>
        </is>
      </c>
      <c r="F1639" s="3" t="inlineStr">
        <is>
          <t>특별관계자</t>
        </is>
      </c>
      <c r="G1639" s="3" t="inlineStr">
        <is>
          <t>장내매수(+)</t>
        </is>
      </c>
      <c r="H1639" s="15" t="n">
        <v>13366</v>
      </c>
      <c r="I1639" s="6" t="n">
        <v>1098</v>
      </c>
      <c r="J1639" s="6" t="n">
        <v>53766</v>
      </c>
      <c r="K1639" s="16" t="n">
        <v>5</v>
      </c>
      <c r="L1639" s="2" t="inlineStr">
        <is>
          <t>20260526000295</t>
        </is>
      </c>
      <c r="M1639" s="8">
        <f>HYPERLINK("https://dart.fss.or.kr/dsaf001/main.do?rcpNo=20260526000295", "공시열람")</f>
        <v/>
      </c>
    </row>
    <row r="1640" ht="22" customHeight="1">
      <c r="A1640" s="2" t="inlineStr">
        <is>
          <t>2026-05-26</t>
        </is>
      </c>
      <c r="B1640" s="3" t="inlineStr">
        <is>
          <t>비큐AI</t>
        </is>
      </c>
      <c r="C1640" s="2" t="inlineStr">
        <is>
          <t>148780</t>
        </is>
      </c>
      <c r="D1640" s="2" t="inlineStr">
        <is>
          <t>대량보유</t>
        </is>
      </c>
      <c r="E1640" s="3" t="inlineStr">
        <is>
          <t>류성자*</t>
        </is>
      </c>
      <c r="F1640" s="3" t="inlineStr">
        <is>
          <t>특별관계자</t>
        </is>
      </c>
      <c r="G1640" s="3" t="inlineStr">
        <is>
          <t>장내매도(-)</t>
        </is>
      </c>
      <c r="H1640" s="17" t="n">
        <v>-53766</v>
      </c>
      <c r="I1640" s="6" t="n">
        <v>1029</v>
      </c>
      <c r="J1640" s="6" t="inlineStr"/>
      <c r="K1640" s="16" t="n">
        <v>5</v>
      </c>
      <c r="L1640" s="2" t="inlineStr">
        <is>
          <t>20260526000295</t>
        </is>
      </c>
      <c r="M1640" s="8">
        <f>HYPERLINK("https://dart.fss.or.kr/dsaf001/main.do?rcpNo=20260526000295", "공시열람")</f>
        <v/>
      </c>
    </row>
    <row r="1641" ht="22" customHeight="1">
      <c r="A1641" s="2" t="inlineStr">
        <is>
          <t>2026-05-26</t>
        </is>
      </c>
      <c r="B1641" s="3" t="inlineStr">
        <is>
          <t>케이피항공산업</t>
        </is>
      </c>
      <c r="C1641" s="2" t="inlineStr">
        <is>
          <t>288180</t>
        </is>
      </c>
      <c r="D1641" s="2" t="inlineStr">
        <is>
          <t>대량보유</t>
        </is>
      </c>
      <c r="E1641" s="3" t="inlineStr">
        <is>
          <t>주식회사스페이스프로</t>
        </is>
      </c>
      <c r="F1641" s="3" t="inlineStr">
        <is>
          <t>특별관계자</t>
        </is>
      </c>
      <c r="G1641" s="3" t="inlineStr">
        <is>
          <t>유상신주취득(+)</t>
        </is>
      </c>
      <c r="H1641" s="15" t="n">
        <v>666666</v>
      </c>
      <c r="I1641" s="6" t="n">
        <v>4500</v>
      </c>
      <c r="J1641" s="6" t="n">
        <v>666666</v>
      </c>
      <c r="K1641" s="16" t="n">
        <v>9.02</v>
      </c>
      <c r="L1641" s="2" t="inlineStr">
        <is>
          <t>20260526000292</t>
        </is>
      </c>
      <c r="M1641" s="8">
        <f>HYPERLINK("https://dart.fss.or.kr/dsaf001/main.do?rcpNo=20260526000292", "공시열람")</f>
        <v/>
      </c>
    </row>
    <row r="1642" ht="22" customHeight="1">
      <c r="A1642" s="2" t="inlineStr">
        <is>
          <t>2026-05-26</t>
        </is>
      </c>
      <c r="B1642" s="3" t="inlineStr">
        <is>
          <t>포인트엔지니어링</t>
        </is>
      </c>
      <c r="C1642" s="2" t="inlineStr">
        <is>
          <t>256630</t>
        </is>
      </c>
      <c r="D1642" s="2" t="inlineStr">
        <is>
          <t>대량보유</t>
        </is>
      </c>
      <c r="E1642" s="3" t="inlineStr">
        <is>
          <t>안범모</t>
        </is>
      </c>
      <c r="F1642" s="3" t="inlineStr">
        <is>
          <t>특별관계자</t>
        </is>
      </c>
      <c r="G1642" s="3" t="inlineStr">
        <is>
          <t>주식병합, 장내매수(+)</t>
        </is>
      </c>
      <c r="H1642" s="17" t="n">
        <v>-12665000</v>
      </c>
      <c r="I1642" s="6" t="n">
        <v>4722</v>
      </c>
      <c r="J1642" s="6" t="n">
        <v>3235000</v>
      </c>
      <c r="K1642" s="16" t="n">
        <v>10</v>
      </c>
      <c r="L1642" s="2" t="inlineStr">
        <is>
          <t>20260526000291</t>
        </is>
      </c>
      <c r="M1642" s="8">
        <f>HYPERLINK("https://dart.fss.or.kr/dsaf001/main.do?rcpNo=20260526000291", "공시열람")</f>
        <v/>
      </c>
    </row>
    <row r="1643" ht="22" customHeight="1">
      <c r="A1643" s="2" t="inlineStr">
        <is>
          <t>2026-05-26</t>
        </is>
      </c>
      <c r="B1643" s="3" t="inlineStr">
        <is>
          <t>포인트엔지니어링</t>
        </is>
      </c>
      <c r="C1643" s="2" t="inlineStr">
        <is>
          <t>256630</t>
        </is>
      </c>
      <c r="D1643" s="2" t="inlineStr">
        <is>
          <t>대량보유</t>
        </is>
      </c>
      <c r="E1643" s="3" t="inlineStr">
        <is>
          <t>김명숙</t>
        </is>
      </c>
      <c r="F1643" s="3" t="inlineStr">
        <is>
          <t>특별관계자</t>
        </is>
      </c>
      <c r="G1643" s="3" t="inlineStr">
        <is>
          <t>주식병합</t>
        </is>
      </c>
      <c r="H1643" s="17" t="n">
        <v>-5340000</v>
      </c>
      <c r="I1643" s="6" t="inlineStr"/>
      <c r="J1643" s="6" t="n">
        <v>1335000</v>
      </c>
      <c r="K1643" s="16" t="n">
        <v>10</v>
      </c>
      <c r="L1643" s="2" t="inlineStr">
        <is>
          <t>20260526000291</t>
        </is>
      </c>
      <c r="M1643" s="8">
        <f>HYPERLINK("https://dart.fss.or.kr/dsaf001/main.do?rcpNo=20260526000291", "공시열람")</f>
        <v/>
      </c>
    </row>
    <row r="1644" ht="22" customHeight="1">
      <c r="A1644" s="2" t="inlineStr">
        <is>
          <t>2026-05-26</t>
        </is>
      </c>
      <c r="B1644" s="3" t="inlineStr">
        <is>
          <t>포인트엔지니어링</t>
        </is>
      </c>
      <c r="C1644" s="2" t="inlineStr">
        <is>
          <t>256630</t>
        </is>
      </c>
      <c r="D1644" s="2" t="inlineStr">
        <is>
          <t>대량보유</t>
        </is>
      </c>
      <c r="E1644" s="3" t="inlineStr">
        <is>
          <t>안성은</t>
        </is>
      </c>
      <c r="F1644" s="3" t="inlineStr">
        <is>
          <t>특별관계자</t>
        </is>
      </c>
      <c r="G1644" s="3" t="inlineStr">
        <is>
          <t>주식병합</t>
        </is>
      </c>
      <c r="H1644" s="17" t="n">
        <v>-2090000</v>
      </c>
      <c r="I1644" s="6" t="inlineStr"/>
      <c r="J1644" s="6" t="n">
        <v>522500</v>
      </c>
      <c r="K1644" s="16" t="n">
        <v>10</v>
      </c>
      <c r="L1644" s="2" t="inlineStr">
        <is>
          <t>20260526000291</t>
        </is>
      </c>
      <c r="M1644" s="8">
        <f>HYPERLINK("https://dart.fss.or.kr/dsaf001/main.do?rcpNo=20260526000291", "공시열람")</f>
        <v/>
      </c>
    </row>
    <row r="1645" ht="22" customHeight="1">
      <c r="A1645" s="2" t="inlineStr">
        <is>
          <t>2026-05-26</t>
        </is>
      </c>
      <c r="B1645" s="3" t="inlineStr">
        <is>
          <t>포인트엔지니어링</t>
        </is>
      </c>
      <c r="C1645" s="2" t="inlineStr">
        <is>
          <t>256630</t>
        </is>
      </c>
      <c r="D1645" s="2" t="inlineStr">
        <is>
          <t>대량보유</t>
        </is>
      </c>
      <c r="E1645" s="3" t="inlineStr">
        <is>
          <t>안희근</t>
        </is>
      </c>
      <c r="F1645" s="3" t="inlineStr">
        <is>
          <t>특별관계자</t>
        </is>
      </c>
      <c r="G1645" s="3" t="inlineStr">
        <is>
          <t>주식병합</t>
        </is>
      </c>
      <c r="H1645" s="17" t="n">
        <v>-2090000</v>
      </c>
      <c r="I1645" s="6" t="inlineStr"/>
      <c r="J1645" s="6" t="n">
        <v>522500</v>
      </c>
      <c r="K1645" s="16" t="n">
        <v>10</v>
      </c>
      <c r="L1645" s="2" t="inlineStr">
        <is>
          <t>20260526000291</t>
        </is>
      </c>
      <c r="M1645" s="8">
        <f>HYPERLINK("https://dart.fss.or.kr/dsaf001/main.do?rcpNo=20260526000291", "공시열람")</f>
        <v/>
      </c>
    </row>
    <row r="1646" ht="22" customHeight="1">
      <c r="A1646" s="2" t="inlineStr">
        <is>
          <t>2026-05-26</t>
        </is>
      </c>
      <c r="B1646" s="3" t="inlineStr">
        <is>
          <t>포인트엔지니어링</t>
        </is>
      </c>
      <c r="C1646" s="2" t="inlineStr">
        <is>
          <t>256630</t>
        </is>
      </c>
      <c r="D1646" s="2" t="inlineStr">
        <is>
          <t>대량보유</t>
        </is>
      </c>
      <c r="E1646" s="3" t="inlineStr">
        <is>
          <t>김명도</t>
        </is>
      </c>
      <c r="F1646" s="3" t="inlineStr">
        <is>
          <t>특별관계자</t>
        </is>
      </c>
      <c r="G1646" s="3" t="inlineStr">
        <is>
          <t>주식병합</t>
        </is>
      </c>
      <c r="H1646" s="17" t="n">
        <v>-219000</v>
      </c>
      <c r="I1646" s="6" t="inlineStr"/>
      <c r="J1646" s="6" t="n">
        <v>54750</v>
      </c>
      <c r="K1646" s="16" t="n">
        <v>10</v>
      </c>
      <c r="L1646" s="2" t="inlineStr">
        <is>
          <t>20260526000291</t>
        </is>
      </c>
      <c r="M1646" s="8">
        <f>HYPERLINK("https://dart.fss.or.kr/dsaf001/main.do?rcpNo=20260526000291", "공시열람")</f>
        <v/>
      </c>
    </row>
    <row r="1647" ht="22" customHeight="1">
      <c r="A1647" s="2" t="inlineStr">
        <is>
          <t>2026-05-26</t>
        </is>
      </c>
      <c r="B1647" s="3" t="inlineStr">
        <is>
          <t>포인트엔지니어링</t>
        </is>
      </c>
      <c r="C1647" s="2" t="inlineStr">
        <is>
          <t>256630</t>
        </is>
      </c>
      <c r="D1647" s="2" t="inlineStr">
        <is>
          <t>대량보유</t>
        </is>
      </c>
      <c r="E1647" s="3" t="inlineStr">
        <is>
          <t>김명희</t>
        </is>
      </c>
      <c r="F1647" s="3" t="inlineStr">
        <is>
          <t>특별관계자</t>
        </is>
      </c>
      <c r="G1647" s="3" t="inlineStr">
        <is>
          <t>주식병합</t>
        </is>
      </c>
      <c r="H1647" s="17" t="n">
        <v>-11472</v>
      </c>
      <c r="I1647" s="6" t="inlineStr"/>
      <c r="J1647" s="6" t="n">
        <v>2868</v>
      </c>
      <c r="K1647" s="16" t="n">
        <v>10</v>
      </c>
      <c r="L1647" s="2" t="inlineStr">
        <is>
          <t>20260526000291</t>
        </is>
      </c>
      <c r="M1647" s="8">
        <f>HYPERLINK("https://dart.fss.or.kr/dsaf001/main.do?rcpNo=20260526000291", "공시열람")</f>
        <v/>
      </c>
    </row>
    <row r="1648" ht="22" customHeight="1">
      <c r="A1648" s="2" t="inlineStr">
        <is>
          <t>2026-05-26</t>
        </is>
      </c>
      <c r="B1648" s="3" t="inlineStr">
        <is>
          <t>포인트엔지니어링</t>
        </is>
      </c>
      <c r="C1648" s="2" t="inlineStr">
        <is>
          <t>256630</t>
        </is>
      </c>
      <c r="D1648" s="2" t="inlineStr">
        <is>
          <t>대량보유</t>
        </is>
      </c>
      <c r="E1648" s="3" t="inlineStr">
        <is>
          <t>이혜진</t>
        </is>
      </c>
      <c r="F1648" s="3" t="inlineStr">
        <is>
          <t>특별관계자</t>
        </is>
      </c>
      <c r="G1648" s="3" t="inlineStr">
        <is>
          <t>주식병합</t>
        </is>
      </c>
      <c r="H1648" s="17" t="n">
        <v>-11472</v>
      </c>
      <c r="I1648" s="6" t="inlineStr"/>
      <c r="J1648" s="6" t="n">
        <v>2868</v>
      </c>
      <c r="K1648" s="16" t="n">
        <v>10</v>
      </c>
      <c r="L1648" s="2" t="inlineStr">
        <is>
          <t>20260526000291</t>
        </is>
      </c>
      <c r="M1648" s="8">
        <f>HYPERLINK("https://dart.fss.or.kr/dsaf001/main.do?rcpNo=20260526000291", "공시열람")</f>
        <v/>
      </c>
    </row>
    <row r="1649" ht="22" customHeight="1">
      <c r="A1649" s="2" t="inlineStr">
        <is>
          <t>2026-05-26</t>
        </is>
      </c>
      <c r="B1649" s="3" t="inlineStr">
        <is>
          <t>포인트엔지니어링</t>
        </is>
      </c>
      <c r="C1649" s="2" t="inlineStr">
        <is>
          <t>256630</t>
        </is>
      </c>
      <c r="D1649" s="2" t="inlineStr">
        <is>
          <t>대량보유</t>
        </is>
      </c>
      <c r="E1649" s="3" t="inlineStr">
        <is>
          <t>이준섭</t>
        </is>
      </c>
      <c r="F1649" s="3" t="inlineStr">
        <is>
          <t>특별관계자</t>
        </is>
      </c>
      <c r="G1649" s="3" t="inlineStr">
        <is>
          <t>주식병합</t>
        </is>
      </c>
      <c r="H1649" s="17" t="n">
        <v>-293646</v>
      </c>
      <c r="I1649" s="6" t="inlineStr"/>
      <c r="J1649" s="6" t="n">
        <v>60000</v>
      </c>
      <c r="K1649" s="16" t="n">
        <v>10</v>
      </c>
      <c r="L1649" s="2" t="inlineStr">
        <is>
          <t>20260526000291</t>
        </is>
      </c>
      <c r="M1649" s="8">
        <f>HYPERLINK("https://dart.fss.or.kr/dsaf001/main.do?rcpNo=20260526000291", "공시열람")</f>
        <v/>
      </c>
    </row>
    <row r="1650" ht="22" customHeight="1">
      <c r="A1650" s="2" t="inlineStr">
        <is>
          <t>2026-05-26</t>
        </is>
      </c>
      <c r="B1650" s="3" t="inlineStr">
        <is>
          <t>포인트엔지니어링</t>
        </is>
      </c>
      <c r="C1650" s="2" t="inlineStr">
        <is>
          <t>256630</t>
        </is>
      </c>
      <c r="D1650" s="2" t="inlineStr">
        <is>
          <t>대량보유</t>
        </is>
      </c>
      <c r="E1650" s="3" t="inlineStr">
        <is>
          <t>최인준</t>
        </is>
      </c>
      <c r="F1650" s="3" t="inlineStr">
        <is>
          <t>특별관계자</t>
        </is>
      </c>
      <c r="G1650" s="3" t="inlineStr">
        <is>
          <t>주식병합</t>
        </is>
      </c>
      <c r="H1650" s="17" t="n">
        <v>-202000</v>
      </c>
      <c r="I1650" s="6" t="inlineStr"/>
      <c r="J1650" s="6" t="n">
        <v>50000</v>
      </c>
      <c r="K1650" s="16" t="n">
        <v>10</v>
      </c>
      <c r="L1650" s="2" t="inlineStr">
        <is>
          <t>20260526000291</t>
        </is>
      </c>
      <c r="M1650" s="8">
        <f>HYPERLINK("https://dart.fss.or.kr/dsaf001/main.do?rcpNo=20260526000291", "공시열람")</f>
        <v/>
      </c>
    </row>
    <row r="1651" ht="22" customHeight="1">
      <c r="A1651" s="2" t="inlineStr">
        <is>
          <t>2026-05-26</t>
        </is>
      </c>
      <c r="B1651" s="3" t="inlineStr">
        <is>
          <t>포인트엔지니어링</t>
        </is>
      </c>
      <c r="C1651" s="2" t="inlineStr">
        <is>
          <t>256630</t>
        </is>
      </c>
      <c r="D1651" s="2" t="inlineStr">
        <is>
          <t>대량보유</t>
        </is>
      </c>
      <c r="E1651" s="3" t="inlineStr">
        <is>
          <t>박상훈</t>
        </is>
      </c>
      <c r="F1651" s="3" t="inlineStr">
        <is>
          <t>특별관계자</t>
        </is>
      </c>
      <c r="G1651" s="3" t="inlineStr">
        <is>
          <t>주식병합</t>
        </is>
      </c>
      <c r="H1651" s="17" t="n">
        <v>-96000</v>
      </c>
      <c r="I1651" s="6" t="inlineStr"/>
      <c r="J1651" s="6" t="n">
        <v>24000</v>
      </c>
      <c r="K1651" s="16" t="n">
        <v>10</v>
      </c>
      <c r="L1651" s="2" t="inlineStr">
        <is>
          <t>20260526000291</t>
        </is>
      </c>
      <c r="M1651" s="8">
        <f>HYPERLINK("https://dart.fss.or.kr/dsaf001/main.do?rcpNo=20260526000291", "공시열람")</f>
        <v/>
      </c>
    </row>
    <row r="1652" ht="22" customHeight="1">
      <c r="A1652" s="2" t="inlineStr">
        <is>
          <t>2026-05-26</t>
        </is>
      </c>
      <c r="B1652" s="3" t="inlineStr">
        <is>
          <t>포인트엔지니어링</t>
        </is>
      </c>
      <c r="C1652" s="2" t="inlineStr">
        <is>
          <t>256630</t>
        </is>
      </c>
      <c r="D1652" s="2" t="inlineStr">
        <is>
          <t>대량보유</t>
        </is>
      </c>
      <c r="E1652" s="3" t="inlineStr">
        <is>
          <t>강대현</t>
        </is>
      </c>
      <c r="F1652" s="3" t="inlineStr">
        <is>
          <t>특별관계자</t>
        </is>
      </c>
      <c r="G1652" s="3" t="inlineStr">
        <is>
          <t>주식병합</t>
        </is>
      </c>
      <c r="H1652" s="17" t="n">
        <v>-244800</v>
      </c>
      <c r="I1652" s="6" t="inlineStr"/>
      <c r="J1652" s="6" t="n">
        <v>60000</v>
      </c>
      <c r="K1652" s="16" t="n">
        <v>10</v>
      </c>
      <c r="L1652" s="2" t="inlineStr">
        <is>
          <t>20260526000291</t>
        </is>
      </c>
      <c r="M1652" s="8">
        <f>HYPERLINK("https://dart.fss.or.kr/dsaf001/main.do?rcpNo=20260526000291", "공시열람")</f>
        <v/>
      </c>
    </row>
    <row r="1653" ht="22" customHeight="1">
      <c r="A1653" s="2" t="inlineStr">
        <is>
          <t>2026-05-26</t>
        </is>
      </c>
      <c r="B1653" s="3" t="inlineStr">
        <is>
          <t>신성이엔지</t>
        </is>
      </c>
      <c r="C1653" s="2" t="inlineStr">
        <is>
          <t>011930</t>
        </is>
      </c>
      <c r="D1653" s="2" t="inlineStr">
        <is>
          <t>대량보유</t>
        </is>
      </c>
      <c r="E1653" s="3" t="inlineStr">
        <is>
          <t>J.P.MorganSecuritiesPLC</t>
        </is>
      </c>
      <c r="F1653" s="3" t="inlineStr">
        <is>
          <t>특별관계자</t>
        </is>
      </c>
      <c r="G1653" s="3" t="inlineStr">
        <is>
          <t>기타(-), 장내매도(-), 장내매수(+), 주식병합, 기타(+)</t>
        </is>
      </c>
      <c r="H1653" s="17" t="n">
        <v>-10083844</v>
      </c>
      <c r="I1653" s="6" t="n">
        <v>6268</v>
      </c>
      <c r="J1653" s="6" t="n">
        <v>897944</v>
      </c>
      <c r="K1653" s="16" t="n">
        <v>1</v>
      </c>
      <c r="L1653" s="2" t="inlineStr">
        <is>
          <t>20260526000286</t>
        </is>
      </c>
      <c r="M1653" s="8">
        <f>HYPERLINK("https://dart.fss.or.kr/dsaf001/main.do?rcpNo=20260526000286", "공시열람")</f>
        <v/>
      </c>
    </row>
    <row r="1654" ht="22" customHeight="1">
      <c r="A1654" s="2" t="inlineStr">
        <is>
          <t>2026-05-26</t>
        </is>
      </c>
      <c r="B1654" s="3" t="inlineStr">
        <is>
          <t>벨로크</t>
        </is>
      </c>
      <c r="C1654" s="2" t="inlineStr">
        <is>
          <t>424760</t>
        </is>
      </c>
      <c r="D1654" s="2" t="inlineStr">
        <is>
          <t>대량보유</t>
        </is>
      </c>
      <c r="E1654" s="3" t="inlineStr">
        <is>
          <t>이영훈</t>
        </is>
      </c>
      <c r="F1654" s="3" t="inlineStr">
        <is>
          <t>특별관계자</t>
        </is>
      </c>
      <c r="G1654" s="3" t="inlineStr">
        <is>
          <t>주식매수선택권행사(-), 주식매수선택권행사(+)</t>
        </is>
      </c>
      <c r="H1654" s="6" t="inlineStr"/>
      <c r="I1654" s="6" t="inlineStr"/>
      <c r="J1654" s="6" t="n">
        <v>56000</v>
      </c>
      <c r="K1654" s="16" t="n">
        <v>2</v>
      </c>
      <c r="L1654" s="2" t="inlineStr">
        <is>
          <t>20260526000285</t>
        </is>
      </c>
      <c r="M1654" s="8">
        <f>HYPERLINK("https://dart.fss.or.kr/dsaf001/main.do?rcpNo=20260526000285", "공시열람")</f>
        <v/>
      </c>
    </row>
    <row r="1655" ht="22" customHeight="1">
      <c r="A1655" s="2" t="inlineStr">
        <is>
          <t>2026-05-26</t>
        </is>
      </c>
      <c r="B1655" s="3" t="inlineStr">
        <is>
          <t>일월지엠엘</t>
        </is>
      </c>
      <c r="C1655" s="2" t="inlineStr">
        <is>
          <t>178780</t>
        </is>
      </c>
      <c r="D1655" s="2" t="inlineStr">
        <is>
          <t>대량보유</t>
        </is>
      </c>
      <c r="E1655" s="3" t="inlineStr">
        <is>
          <t>이현정</t>
        </is>
      </c>
      <c r="F1655" s="3" t="inlineStr">
        <is>
          <t>특별관계자</t>
        </is>
      </c>
      <c r="G1655" s="3" t="inlineStr">
        <is>
          <t>장내매수(+)</t>
        </is>
      </c>
      <c r="H1655" s="15" t="n">
        <v>3038</v>
      </c>
      <c r="I1655" s="6" t="n">
        <v>2349</v>
      </c>
      <c r="J1655" s="6" t="n">
        <v>1099207</v>
      </c>
      <c r="K1655" s="16" t="n">
        <v>7</v>
      </c>
      <c r="L1655" s="2" t="inlineStr">
        <is>
          <t>20260526000282</t>
        </is>
      </c>
      <c r="M1655" s="8">
        <f>HYPERLINK("https://dart.fss.or.kr/dsaf001/main.do?rcpNo=20260526000282", "공시열람")</f>
        <v/>
      </c>
    </row>
    <row r="1656" ht="22" customHeight="1">
      <c r="A1656" s="2" t="inlineStr">
        <is>
          <t>2026-05-26</t>
        </is>
      </c>
      <c r="B1656" s="3" t="inlineStr">
        <is>
          <t>일월지엠엘</t>
        </is>
      </c>
      <c r="C1656" s="2" t="inlineStr">
        <is>
          <t>178780</t>
        </is>
      </c>
      <c r="D1656" s="2" t="inlineStr">
        <is>
          <t>대량보유</t>
        </is>
      </c>
      <c r="E1656" s="3" t="inlineStr">
        <is>
          <t>이광모</t>
        </is>
      </c>
      <c r="F1656" s="3" t="inlineStr">
        <is>
          <t>특별관계자</t>
        </is>
      </c>
      <c r="G1656" s="3" t="inlineStr">
        <is>
          <t>장내매수(+)</t>
        </is>
      </c>
      <c r="H1656" s="15" t="n">
        <v>8000</v>
      </c>
      <c r="I1656" s="6" t="n">
        <v>2381</v>
      </c>
      <c r="J1656" s="6" t="n">
        <v>1267500</v>
      </c>
      <c r="K1656" s="16" t="n">
        <v>7</v>
      </c>
      <c r="L1656" s="2" t="inlineStr">
        <is>
          <t>20260526000282</t>
        </is>
      </c>
      <c r="M1656" s="8">
        <f>HYPERLINK("https://dart.fss.or.kr/dsaf001/main.do?rcpNo=20260526000282", "공시열람")</f>
        <v/>
      </c>
    </row>
    <row r="1657" ht="22" customHeight="1">
      <c r="A1657" s="2" t="inlineStr">
        <is>
          <t>2026-05-26</t>
        </is>
      </c>
      <c r="B1657" s="3" t="inlineStr">
        <is>
          <t>일월지엠엘</t>
        </is>
      </c>
      <c r="C1657" s="2" t="inlineStr">
        <is>
          <t>178780</t>
        </is>
      </c>
      <c r="D1657" s="2" t="inlineStr">
        <is>
          <t>대량보유</t>
        </is>
      </c>
      <c r="E1657" s="3" t="inlineStr">
        <is>
          <t>허희선</t>
        </is>
      </c>
      <c r="F1657" s="3" t="inlineStr">
        <is>
          <t>특별관계자</t>
        </is>
      </c>
      <c r="G1657" s="3" t="inlineStr">
        <is>
          <t>장내매수(+)</t>
        </is>
      </c>
      <c r="H1657" s="15" t="n">
        <v>32315</v>
      </c>
      <c r="I1657" s="6" t="n">
        <v>2318</v>
      </c>
      <c r="J1657" s="6" t="n">
        <v>799315</v>
      </c>
      <c r="K1657" s="16" t="n">
        <v>7</v>
      </c>
      <c r="L1657" s="2" t="inlineStr">
        <is>
          <t>20260526000282</t>
        </is>
      </c>
      <c r="M1657" s="8">
        <f>HYPERLINK("https://dart.fss.or.kr/dsaf001/main.do?rcpNo=20260526000282", "공시열람")</f>
        <v/>
      </c>
    </row>
    <row r="1658" ht="22" customHeight="1">
      <c r="A1658" s="2" t="inlineStr">
        <is>
          <t>2026-05-26 (정정: 2026-05-27)</t>
        </is>
      </c>
      <c r="B1658" s="3" t="inlineStr">
        <is>
          <t>랩지노믹스</t>
        </is>
      </c>
      <c r="C1658" s="2" t="inlineStr">
        <is>
          <t>084650</t>
        </is>
      </c>
      <c r="D1658" s="2" t="inlineStr">
        <is>
          <t>대량보유</t>
        </is>
      </c>
      <c r="E1658" s="3" t="inlineStr">
        <is>
          <t>장내매도(-)</t>
        </is>
      </c>
      <c r="F1658" s="3" t="inlineStr">
        <is>
          <t>특별관계자</t>
        </is>
      </c>
      <c r="G1658" s="3" t="inlineStr">
        <is>
          <t>59,088</t>
        </is>
      </c>
      <c r="H1658" s="15" t="n">
        <v>6361</v>
      </c>
      <c r="I1658" s="6" t="inlineStr"/>
      <c r="J1658" s="6" t="inlineStr"/>
      <c r="K1658" s="16" t="n">
        <v>0.04</v>
      </c>
      <c r="L1658" s="2" t="inlineStr">
        <is>
          <t>20260527000505</t>
        </is>
      </c>
      <c r="M1658" s="8">
        <f>HYPERLINK("https://dart.fss.or.kr/dsaf001/main.do?rcpNo=20260527000505", "공시열람")</f>
        <v/>
      </c>
    </row>
    <row r="1659" ht="22" customHeight="1">
      <c r="A1659" s="2" t="inlineStr">
        <is>
          <t>2026-05-26</t>
        </is>
      </c>
      <c r="B1659" s="3" t="inlineStr">
        <is>
          <t>롯데렌탈</t>
        </is>
      </c>
      <c r="C1659" s="2" t="inlineStr">
        <is>
          <t>089860</t>
        </is>
      </c>
      <c r="D1659" s="2" t="inlineStr">
        <is>
          <t>대량보유</t>
        </is>
      </c>
      <c r="E1659" s="3" t="inlineStr">
        <is>
          <t>CareenaTransportaionGroupLimited</t>
        </is>
      </c>
      <c r="F1659" s="3" t="inlineStr">
        <is>
          <t>특별관계자</t>
        </is>
      </c>
      <c r="G1659" s="3" t="inlineStr">
        <is>
          <t>계약중도해지</t>
        </is>
      </c>
      <c r="H1659" s="17" t="n">
        <v>-20396594</v>
      </c>
      <c r="I1659" s="6" t="inlineStr"/>
      <c r="J1659" s="6" t="inlineStr"/>
      <c r="K1659" s="16" t="n">
        <v>1</v>
      </c>
      <c r="L1659" s="2" t="inlineStr">
        <is>
          <t>20260526000258</t>
        </is>
      </c>
      <c r="M1659" s="8">
        <f>HYPERLINK("https://dart.fss.or.kr/dsaf001/main.do?rcpNo=20260526000258", "공시열람")</f>
        <v/>
      </c>
    </row>
    <row r="1660" ht="22" customHeight="1">
      <c r="A1660" s="2" t="inlineStr">
        <is>
          <t>2026-05-26</t>
        </is>
      </c>
      <c r="B1660" s="3" t="inlineStr">
        <is>
          <t>웨이비스</t>
        </is>
      </c>
      <c r="C1660" s="2" t="inlineStr">
        <is>
          <t>289930</t>
        </is>
      </c>
      <c r="D1660" s="2" t="inlineStr">
        <is>
          <t>대량보유</t>
        </is>
      </c>
      <c r="E1660" s="3" t="inlineStr">
        <is>
          <t>모건스탠리앤씨오인터내셔널피엘씨</t>
        </is>
      </c>
      <c r="F1660" s="3" t="inlineStr">
        <is>
          <t>특별관계자</t>
        </is>
      </c>
      <c r="G1660" s="3" t="inlineStr">
        <is>
          <t>장내매도(-), 장내매수(+)</t>
        </is>
      </c>
      <c r="H1660" s="15" t="n">
        <v>679525</v>
      </c>
      <c r="I1660" s="6" t="n">
        <v>1432</v>
      </c>
      <c r="J1660" s="6" t="n">
        <v>679525</v>
      </c>
      <c r="K1660" s="16" t="n">
        <v>5.16</v>
      </c>
      <c r="L1660" s="2" t="inlineStr">
        <is>
          <t>20260526000239</t>
        </is>
      </c>
      <c r="M1660" s="8">
        <f>HYPERLINK("https://dart.fss.or.kr/dsaf001/main.do?rcpNo=20260526000239", "공시열람")</f>
        <v/>
      </c>
    </row>
    <row r="1661" ht="22" customHeight="1">
      <c r="A1661" s="2" t="inlineStr">
        <is>
          <t>2026-05-26</t>
        </is>
      </c>
      <c r="B1661" s="3" t="inlineStr">
        <is>
          <t>가온전선</t>
        </is>
      </c>
      <c r="C1661" s="2" t="inlineStr">
        <is>
          <t>000500</t>
        </is>
      </c>
      <c r="D1661" s="2" t="inlineStr">
        <is>
          <t>임원보고</t>
        </is>
      </c>
      <c r="E1661" s="3" t="inlineStr">
        <is>
          <t>-</t>
        </is>
      </c>
      <c r="F1661" s="3" t="inlineStr">
        <is>
          <t>-</t>
        </is>
      </c>
      <c r="G1661" s="3" t="inlineStr">
        <is>
          <t>-</t>
        </is>
      </c>
      <c r="H1661" s="6" t="inlineStr"/>
      <c r="I1661" s="6" t="inlineStr"/>
      <c r="J1661" s="6" t="inlineStr"/>
      <c r="K1661" s="16" t="n">
        <v>12</v>
      </c>
      <c r="L1661" s="2" t="inlineStr">
        <is>
          <t>20260526800303</t>
        </is>
      </c>
      <c r="M1661" s="8">
        <f>HYPERLINK("https://dart.fss.or.kr/dsaf001/main.do?rcpNo=20260526800303", "공시열람")</f>
        <v/>
      </c>
    </row>
    <row r="1662" ht="22" customHeight="1">
      <c r="A1662" s="2" t="inlineStr">
        <is>
          <t>2026-05-26</t>
        </is>
      </c>
      <c r="B1662" s="3" t="inlineStr">
        <is>
          <t>EG</t>
        </is>
      </c>
      <c r="C1662" s="2" t="inlineStr">
        <is>
          <t>037370</t>
        </is>
      </c>
      <c r="D1662" s="2" t="inlineStr">
        <is>
          <t>대량보유</t>
        </is>
      </c>
      <c r="E1662" s="3" t="inlineStr">
        <is>
          <t>박지만</t>
        </is>
      </c>
      <c r="F1662" s="3" t="inlineStr">
        <is>
          <t>보고자</t>
        </is>
      </c>
      <c r="G1662" s="3" t="inlineStr">
        <is>
          <t>주식담보대출연장</t>
        </is>
      </c>
      <c r="H1662" s="6" t="inlineStr"/>
      <c r="I1662" s="6" t="inlineStr"/>
      <c r="J1662" s="6" t="n">
        <v>2100617</v>
      </c>
      <c r="K1662" s="16" t="n">
        <v>2</v>
      </c>
      <c r="L1662" s="2" t="inlineStr">
        <is>
          <t>20260526000209</t>
        </is>
      </c>
      <c r="M1662" s="8">
        <f>HYPERLINK("https://dart.fss.or.kr/dsaf001/main.do?rcpNo=20260526000209", "공시열람")</f>
        <v/>
      </c>
    </row>
    <row r="1663" ht="22" customHeight="1">
      <c r="A1663" s="2" t="inlineStr">
        <is>
          <t>2026-05-26</t>
        </is>
      </c>
      <c r="B1663" s="3" t="inlineStr">
        <is>
          <t>우림피티에스</t>
        </is>
      </c>
      <c r="C1663" s="2" t="inlineStr">
        <is>
          <t>101170</t>
        </is>
      </c>
      <c r="D1663" s="2" t="inlineStr">
        <is>
          <t>대량보유</t>
        </is>
      </c>
      <c r="E1663" s="3" t="inlineStr">
        <is>
          <t>한민주</t>
        </is>
      </c>
      <c r="F1663" s="3" t="inlineStr">
        <is>
          <t>특별관계자</t>
        </is>
      </c>
      <c r="G1663" s="3" t="inlineStr">
        <is>
          <t>장내매수(+)</t>
        </is>
      </c>
      <c r="H1663" s="15" t="n">
        <v>14033</v>
      </c>
      <c r="I1663" s="6" t="n">
        <v>12524</v>
      </c>
      <c r="J1663" s="6" t="n">
        <v>561630</v>
      </c>
      <c r="K1663" s="16" t="n">
        <v>3</v>
      </c>
      <c r="L1663" s="2" t="inlineStr">
        <is>
          <t>20260526000207</t>
        </is>
      </c>
      <c r="M1663" s="8">
        <f>HYPERLINK("https://dart.fss.or.kr/dsaf001/main.do?rcpNo=20260526000207", "공시열람")</f>
        <v/>
      </c>
    </row>
    <row r="1664" ht="22" customHeight="1">
      <c r="A1664" s="2" t="inlineStr">
        <is>
          <t>2026-05-26</t>
        </is>
      </c>
      <c r="B1664" s="3" t="inlineStr">
        <is>
          <t>케이피항공산업</t>
        </is>
      </c>
      <c r="C1664" s="2" t="inlineStr">
        <is>
          <t>288180</t>
        </is>
      </c>
      <c r="D1664" s="2" t="inlineStr">
        <is>
          <t>대량보유</t>
        </is>
      </c>
      <c r="E1664" s="3" t="inlineStr">
        <is>
          <t>윤기형</t>
        </is>
      </c>
      <c r="F1664" s="3" t="inlineStr">
        <is>
          <t>특별관계자</t>
        </is>
      </c>
      <c r="G1664" s="3" t="inlineStr">
        <is>
          <t>신규상장(무상취득)(+)</t>
        </is>
      </c>
      <c r="H1664" s="15" t="n">
        <v>1201800</v>
      </c>
      <c r="I1664" s="6" t="inlineStr"/>
      <c r="J1664" s="6" t="n">
        <v>1201800</v>
      </c>
      <c r="K1664" s="16" t="n">
        <v>12</v>
      </c>
      <c r="L1664" s="2" t="inlineStr">
        <is>
          <t>20260526000183</t>
        </is>
      </c>
      <c r="M1664" s="8">
        <f>HYPERLINK("https://dart.fss.or.kr/dsaf001/main.do?rcpNo=20260526000183", "공시열람")</f>
        <v/>
      </c>
    </row>
    <row r="1665" ht="22" customHeight="1">
      <c r="A1665" s="2" t="inlineStr">
        <is>
          <t>2026-05-26</t>
        </is>
      </c>
      <c r="B1665" s="3" t="inlineStr">
        <is>
          <t>케이피항공산업</t>
        </is>
      </c>
      <c r="C1665" s="2" t="inlineStr">
        <is>
          <t>288180</t>
        </is>
      </c>
      <c r="D1665" s="2" t="inlineStr">
        <is>
          <t>대량보유</t>
        </is>
      </c>
      <c r="E1665" s="3" t="inlineStr">
        <is>
          <t>김순분</t>
        </is>
      </c>
      <c r="F1665" s="3" t="inlineStr">
        <is>
          <t>특별관계자</t>
        </is>
      </c>
      <c r="G1665" s="3" t="inlineStr">
        <is>
          <t>신규상장(무상취득)(+)</t>
        </is>
      </c>
      <c r="H1665" s="15" t="n">
        <v>600900</v>
      </c>
      <c r="I1665" s="6" t="inlineStr"/>
      <c r="J1665" s="6" t="n">
        <v>600900</v>
      </c>
      <c r="K1665" s="16" t="n">
        <v>12</v>
      </c>
      <c r="L1665" s="2" t="inlineStr">
        <is>
          <t>20260526000183</t>
        </is>
      </c>
      <c r="M1665" s="8">
        <f>HYPERLINK("https://dart.fss.or.kr/dsaf001/main.do?rcpNo=20260526000183", "공시열람")</f>
        <v/>
      </c>
    </row>
    <row r="1666" ht="22" customHeight="1">
      <c r="A1666" s="2" t="inlineStr">
        <is>
          <t>2026-05-26</t>
        </is>
      </c>
      <c r="B1666" s="3" t="inlineStr">
        <is>
          <t>케이피항공산업</t>
        </is>
      </c>
      <c r="C1666" s="2" t="inlineStr">
        <is>
          <t>288180</t>
        </is>
      </c>
      <c r="D1666" s="2" t="inlineStr">
        <is>
          <t>대량보유</t>
        </is>
      </c>
      <c r="E1666" s="3" t="inlineStr">
        <is>
          <t>윤승욱</t>
        </is>
      </c>
      <c r="F1666" s="3" t="inlineStr">
        <is>
          <t>특별관계자</t>
        </is>
      </c>
      <c r="G1666" s="3" t="inlineStr">
        <is>
          <t>신규상장(무상취득)(+)</t>
        </is>
      </c>
      <c r="H1666" s="15" t="n">
        <v>1001500</v>
      </c>
      <c r="I1666" s="6" t="inlineStr"/>
      <c r="J1666" s="6" t="n">
        <v>1001500</v>
      </c>
      <c r="K1666" s="16" t="n">
        <v>12</v>
      </c>
      <c r="L1666" s="2" t="inlineStr">
        <is>
          <t>20260526000183</t>
        </is>
      </c>
      <c r="M1666" s="8">
        <f>HYPERLINK("https://dart.fss.or.kr/dsaf001/main.do?rcpNo=20260526000183", "공시열람")</f>
        <v/>
      </c>
    </row>
    <row r="1667" ht="22" customHeight="1">
      <c r="A1667" s="2" t="inlineStr">
        <is>
          <t>2026-05-26</t>
        </is>
      </c>
      <c r="B1667" s="3" t="inlineStr">
        <is>
          <t>케이피항공산업</t>
        </is>
      </c>
      <c r="C1667" s="2" t="inlineStr">
        <is>
          <t>288180</t>
        </is>
      </c>
      <c r="D1667" s="2" t="inlineStr">
        <is>
          <t>대량보유</t>
        </is>
      </c>
      <c r="E1667" s="3" t="inlineStr">
        <is>
          <t>김종판</t>
        </is>
      </c>
      <c r="F1667" s="3" t="inlineStr">
        <is>
          <t>특별관계자</t>
        </is>
      </c>
      <c r="G1667" s="3" t="inlineStr">
        <is>
          <t>신규상장(무상취득)(+)</t>
        </is>
      </c>
      <c r="H1667" s="15" t="n">
        <v>939644</v>
      </c>
      <c r="I1667" s="6" t="inlineStr"/>
      <c r="J1667" s="6" t="n">
        <v>939644</v>
      </c>
      <c r="K1667" s="16" t="n">
        <v>12</v>
      </c>
      <c r="L1667" s="2" t="inlineStr">
        <is>
          <t>20260526000183</t>
        </is>
      </c>
      <c r="M1667" s="8">
        <f>HYPERLINK("https://dart.fss.or.kr/dsaf001/main.do?rcpNo=20260526000183", "공시열람")</f>
        <v/>
      </c>
    </row>
    <row r="1668" ht="22" customHeight="1">
      <c r="A1668" s="2" t="inlineStr">
        <is>
          <t>2026-05-26</t>
        </is>
      </c>
      <c r="B1668" s="3" t="inlineStr">
        <is>
          <t>케이피항공산업</t>
        </is>
      </c>
      <c r="C1668" s="2" t="inlineStr">
        <is>
          <t>288180</t>
        </is>
      </c>
      <c r="D1668" s="2" t="inlineStr">
        <is>
          <t>대량보유</t>
        </is>
      </c>
      <c r="E1668" s="3" t="inlineStr">
        <is>
          <t>이영수</t>
        </is>
      </c>
      <c r="F1668" s="3" t="inlineStr">
        <is>
          <t>특별관계자</t>
        </is>
      </c>
      <c r="G1668" s="3" t="inlineStr">
        <is>
          <t>신규상장(무상취득)(+)</t>
        </is>
      </c>
      <c r="H1668" s="15" t="n">
        <v>4326</v>
      </c>
      <c r="I1668" s="6" t="inlineStr"/>
      <c r="J1668" s="6" t="n">
        <v>4326</v>
      </c>
      <c r="K1668" s="16" t="n">
        <v>12</v>
      </c>
      <c r="L1668" s="2" t="inlineStr">
        <is>
          <t>20260526000183</t>
        </is>
      </c>
      <c r="M1668" s="8">
        <f>HYPERLINK("https://dart.fss.or.kr/dsaf001/main.do?rcpNo=20260526000183", "공시열람")</f>
        <v/>
      </c>
    </row>
    <row r="1669" ht="22" customHeight="1">
      <c r="A1669" s="2" t="inlineStr">
        <is>
          <t>2026-05-26</t>
        </is>
      </c>
      <c r="B1669" s="3" t="inlineStr">
        <is>
          <t>케이피항공산업</t>
        </is>
      </c>
      <c r="C1669" s="2" t="inlineStr">
        <is>
          <t>288180</t>
        </is>
      </c>
      <c r="D1669" s="2" t="inlineStr">
        <is>
          <t>대량보유</t>
        </is>
      </c>
      <c r="E1669" s="3" t="inlineStr">
        <is>
          <t>최대일</t>
        </is>
      </c>
      <c r="F1669" s="3" t="inlineStr">
        <is>
          <t>특별관계자</t>
        </is>
      </c>
      <c r="G1669" s="3" t="inlineStr">
        <is>
          <t>신규상장(무상취득)(+)</t>
        </is>
      </c>
      <c r="H1669" s="15" t="n">
        <v>14030</v>
      </c>
      <c r="I1669" s="6" t="inlineStr"/>
      <c r="J1669" s="6" t="n">
        <v>14030</v>
      </c>
      <c r="K1669" s="16" t="n">
        <v>12</v>
      </c>
      <c r="L1669" s="2" t="inlineStr">
        <is>
          <t>20260526000183</t>
        </is>
      </c>
      <c r="M1669" s="8">
        <f>HYPERLINK("https://dart.fss.or.kr/dsaf001/main.do?rcpNo=20260526000183", "공시열람")</f>
        <v/>
      </c>
    </row>
    <row r="1670" ht="22" customHeight="1">
      <c r="A1670" s="2" t="inlineStr">
        <is>
          <t>2026-05-26</t>
        </is>
      </c>
      <c r="B1670" s="3" t="inlineStr">
        <is>
          <t>케이피항공산업</t>
        </is>
      </c>
      <c r="C1670" s="2" t="inlineStr">
        <is>
          <t>288180</t>
        </is>
      </c>
      <c r="D1670" s="2" t="inlineStr">
        <is>
          <t>대량보유</t>
        </is>
      </c>
      <c r="E1670" s="3" t="inlineStr">
        <is>
          <t>이재춘</t>
        </is>
      </c>
      <c r="F1670" s="3" t="inlineStr">
        <is>
          <t>특별관계자</t>
        </is>
      </c>
      <c r="G1670" s="3" t="inlineStr">
        <is>
          <t>신규상장(무상취득)(+)</t>
        </is>
      </c>
      <c r="H1670" s="15" t="n">
        <v>10000</v>
      </c>
      <c r="I1670" s="6" t="inlineStr"/>
      <c r="J1670" s="6" t="n">
        <v>10000</v>
      </c>
      <c r="K1670" s="16" t="n">
        <v>12</v>
      </c>
      <c r="L1670" s="2" t="inlineStr">
        <is>
          <t>20260526000183</t>
        </is>
      </c>
      <c r="M1670" s="8">
        <f>HYPERLINK("https://dart.fss.or.kr/dsaf001/main.do?rcpNo=20260526000183", "공시열람")</f>
        <v/>
      </c>
    </row>
    <row r="1671" ht="22" customHeight="1">
      <c r="A1671" s="2" t="inlineStr">
        <is>
          <t>2026-05-26</t>
        </is>
      </c>
      <c r="B1671" s="3" t="inlineStr">
        <is>
          <t>케이피항공산업</t>
        </is>
      </c>
      <c r="C1671" s="2" t="inlineStr">
        <is>
          <t>288180</t>
        </is>
      </c>
      <c r="D1671" s="2" t="inlineStr">
        <is>
          <t>대량보유</t>
        </is>
      </c>
      <c r="E1671" s="3" t="inlineStr">
        <is>
          <t>윤성태</t>
        </is>
      </c>
      <c r="F1671" s="3" t="inlineStr">
        <is>
          <t>특별관계자</t>
        </is>
      </c>
      <c r="G1671" s="3" t="inlineStr">
        <is>
          <t>신규상장(무상취득)(+)</t>
        </is>
      </c>
      <c r="H1671" s="15" t="n">
        <v>8020</v>
      </c>
      <c r="I1671" s="6" t="inlineStr"/>
      <c r="J1671" s="6" t="n">
        <v>8020</v>
      </c>
      <c r="K1671" s="16" t="n">
        <v>12</v>
      </c>
      <c r="L1671" s="2" t="inlineStr">
        <is>
          <t>20260526000183</t>
        </is>
      </c>
      <c r="M1671" s="8">
        <f>HYPERLINK("https://dart.fss.or.kr/dsaf001/main.do?rcpNo=20260526000183", "공시열람")</f>
        <v/>
      </c>
    </row>
    <row r="1672" ht="22" customHeight="1">
      <c r="A1672" s="2" t="inlineStr">
        <is>
          <t>2026-05-26</t>
        </is>
      </c>
      <c r="B1672" s="3" t="inlineStr">
        <is>
          <t>케이피항공산업</t>
        </is>
      </c>
      <c r="C1672" s="2" t="inlineStr">
        <is>
          <t>288180</t>
        </is>
      </c>
      <c r="D1672" s="2" t="inlineStr">
        <is>
          <t>대량보유</t>
        </is>
      </c>
      <c r="E1672" s="3" t="inlineStr">
        <is>
          <t>이상연</t>
        </is>
      </c>
      <c r="F1672" s="3" t="inlineStr">
        <is>
          <t>특별관계자</t>
        </is>
      </c>
      <c r="G1672" s="3" t="inlineStr">
        <is>
          <t>신규상장(무상취득)(+)</t>
        </is>
      </c>
      <c r="H1672" s="15" t="n">
        <v>2000</v>
      </c>
      <c r="I1672" s="6" t="inlineStr"/>
      <c r="J1672" s="6" t="n">
        <v>2000</v>
      </c>
      <c r="K1672" s="16" t="n">
        <v>12</v>
      </c>
      <c r="L1672" s="2" t="inlineStr">
        <is>
          <t>20260526000183</t>
        </is>
      </c>
      <c r="M1672" s="8">
        <f>HYPERLINK("https://dart.fss.or.kr/dsaf001/main.do?rcpNo=20260526000183", "공시열람")</f>
        <v/>
      </c>
    </row>
    <row r="1673" ht="22" customHeight="1">
      <c r="A1673" s="2" t="inlineStr">
        <is>
          <t>2026-05-26</t>
        </is>
      </c>
      <c r="B1673" s="3" t="inlineStr">
        <is>
          <t>케이피항공산업</t>
        </is>
      </c>
      <c r="C1673" s="2" t="inlineStr">
        <is>
          <t>288180</t>
        </is>
      </c>
      <c r="D1673" s="2" t="inlineStr">
        <is>
          <t>대량보유</t>
        </is>
      </c>
      <c r="E1673" s="3" t="inlineStr">
        <is>
          <t>유운용</t>
        </is>
      </c>
      <c r="F1673" s="3" t="inlineStr">
        <is>
          <t>특별관계자</t>
        </is>
      </c>
      <c r="G1673" s="3" t="inlineStr">
        <is>
          <t>신규상장(무상취득)(+)</t>
        </is>
      </c>
      <c r="H1673" s="15" t="n">
        <v>3046</v>
      </c>
      <c r="I1673" s="6" t="inlineStr"/>
      <c r="J1673" s="6" t="n">
        <v>3046</v>
      </c>
      <c r="K1673" s="16" t="n">
        <v>12</v>
      </c>
      <c r="L1673" s="2" t="inlineStr">
        <is>
          <t>20260526000183</t>
        </is>
      </c>
      <c r="M1673" s="8">
        <f>HYPERLINK("https://dart.fss.or.kr/dsaf001/main.do?rcpNo=20260526000183", "공시열람")</f>
        <v/>
      </c>
    </row>
    <row r="1674" ht="22" customHeight="1">
      <c r="A1674" s="2" t="inlineStr">
        <is>
          <t>2026-05-26</t>
        </is>
      </c>
      <c r="B1674" s="3" t="inlineStr">
        <is>
          <t>케이피항공산업</t>
        </is>
      </c>
      <c r="C1674" s="2" t="inlineStr">
        <is>
          <t>288180</t>
        </is>
      </c>
      <c r="D1674" s="2" t="inlineStr">
        <is>
          <t>대량보유</t>
        </is>
      </c>
      <c r="E1674" s="3" t="inlineStr">
        <is>
          <t>박종환</t>
        </is>
      </c>
      <c r="F1674" s="3" t="inlineStr">
        <is>
          <t>특별관계자</t>
        </is>
      </c>
      <c r="G1674" s="3" t="inlineStr">
        <is>
          <t>신규상장(무상취득)(+)</t>
        </is>
      </c>
      <c r="H1674" s="15" t="n">
        <v>4616</v>
      </c>
      <c r="I1674" s="6" t="inlineStr"/>
      <c r="J1674" s="6" t="n">
        <v>4616</v>
      </c>
      <c r="K1674" s="16" t="n">
        <v>12</v>
      </c>
      <c r="L1674" s="2" t="inlineStr">
        <is>
          <t>20260526000183</t>
        </is>
      </c>
      <c r="M1674" s="8">
        <f>HYPERLINK("https://dart.fss.or.kr/dsaf001/main.do?rcpNo=20260526000183", "공시열람")</f>
        <v/>
      </c>
    </row>
    <row r="1675" ht="22" customHeight="1">
      <c r="A1675" s="2" t="inlineStr">
        <is>
          <t>2026-05-26</t>
        </is>
      </c>
      <c r="B1675" s="3" t="inlineStr">
        <is>
          <t>케이피항공산업</t>
        </is>
      </c>
      <c r="C1675" s="2" t="inlineStr">
        <is>
          <t>288180</t>
        </is>
      </c>
      <c r="D1675" s="2" t="inlineStr">
        <is>
          <t>대량보유</t>
        </is>
      </c>
      <c r="E1675" s="3" t="inlineStr">
        <is>
          <t>김기환</t>
        </is>
      </c>
      <c r="F1675" s="3" t="inlineStr">
        <is>
          <t>특별관계자</t>
        </is>
      </c>
      <c r="G1675" s="3" t="inlineStr">
        <is>
          <t>신규상장(무상취득)(+)</t>
        </is>
      </c>
      <c r="H1675" s="15" t="n">
        <v>4148</v>
      </c>
      <c r="I1675" s="6" t="inlineStr"/>
      <c r="J1675" s="6" t="n">
        <v>4148</v>
      </c>
      <c r="K1675" s="16" t="n">
        <v>12</v>
      </c>
      <c r="L1675" s="2" t="inlineStr">
        <is>
          <t>20260526000183</t>
        </is>
      </c>
      <c r="M1675" s="8">
        <f>HYPERLINK("https://dart.fss.or.kr/dsaf001/main.do?rcpNo=20260526000183", "공시열람")</f>
        <v/>
      </c>
    </row>
    <row r="1676" ht="22" customHeight="1">
      <c r="A1676" s="2" t="inlineStr">
        <is>
          <t>2026-05-26</t>
        </is>
      </c>
      <c r="B1676" s="3" t="inlineStr">
        <is>
          <t>케이피항공산업</t>
        </is>
      </c>
      <c r="C1676" s="2" t="inlineStr">
        <is>
          <t>288180</t>
        </is>
      </c>
      <c r="D1676" s="2" t="inlineStr">
        <is>
          <t>대량보유</t>
        </is>
      </c>
      <c r="E1676" s="3" t="inlineStr">
        <is>
          <t>박지훈</t>
        </is>
      </c>
      <c r="F1676" s="3" t="inlineStr">
        <is>
          <t>특별관계자</t>
        </is>
      </c>
      <c r="G1676" s="3" t="inlineStr">
        <is>
          <t>신규상장(무상취득)(+)</t>
        </is>
      </c>
      <c r="H1676" s="15" t="n">
        <v>950</v>
      </c>
      <c r="I1676" s="6" t="inlineStr"/>
      <c r="J1676" s="6" t="n">
        <v>950</v>
      </c>
      <c r="K1676" s="16" t="n">
        <v>12</v>
      </c>
      <c r="L1676" s="2" t="inlineStr">
        <is>
          <t>20260526000183</t>
        </is>
      </c>
      <c r="M1676" s="8">
        <f>HYPERLINK("https://dart.fss.or.kr/dsaf001/main.do?rcpNo=20260526000183", "공시열람")</f>
        <v/>
      </c>
    </row>
    <row r="1677" ht="22" customHeight="1">
      <c r="A1677" s="2" t="inlineStr">
        <is>
          <t>2026-05-26</t>
        </is>
      </c>
      <c r="B1677" s="3" t="inlineStr">
        <is>
          <t>케이옥션</t>
        </is>
      </c>
      <c r="C1677" s="2" t="inlineStr">
        <is>
          <t>102370</t>
        </is>
      </c>
      <c r="D1677" s="2" t="inlineStr">
        <is>
          <t>대량보유</t>
        </is>
      </c>
      <c r="E1677" s="3" t="inlineStr">
        <is>
          <t>티에이어드바이저</t>
        </is>
      </c>
      <c r="F1677" s="3" t="inlineStr">
        <is>
          <t>특별관계자</t>
        </is>
      </c>
      <c r="G1677" s="3" t="inlineStr">
        <is>
          <t>장내매수(+)</t>
        </is>
      </c>
      <c r="H1677" s="15" t="n">
        <v>136548</v>
      </c>
      <c r="I1677" s="6" t="n">
        <v>2939</v>
      </c>
      <c r="J1677" s="6" t="n">
        <v>13579312</v>
      </c>
      <c r="K1677" s="16" t="n">
        <v>8</v>
      </c>
      <c r="L1677" s="2" t="inlineStr">
        <is>
          <t>20260526000163</t>
        </is>
      </c>
      <c r="M1677" s="8">
        <f>HYPERLINK("https://dart.fss.or.kr/dsaf001/main.do?rcpNo=20260526000163", "공시열람")</f>
        <v/>
      </c>
    </row>
    <row r="1678" ht="22" customHeight="1">
      <c r="A1678" s="2" t="inlineStr">
        <is>
          <t>2026-05-26</t>
        </is>
      </c>
      <c r="B1678" s="3" t="inlineStr">
        <is>
          <t>케이옥션</t>
        </is>
      </c>
      <c r="C1678" s="2" t="inlineStr">
        <is>
          <t>102370</t>
        </is>
      </c>
      <c r="D1678" s="2" t="inlineStr">
        <is>
          <t>대량보유</t>
        </is>
      </c>
      <c r="E1678" s="3" t="inlineStr">
        <is>
          <t>도현순</t>
        </is>
      </c>
      <c r="F1678" s="3" t="inlineStr">
        <is>
          <t>특별관계자</t>
        </is>
      </c>
      <c r="G1678" s="3" t="inlineStr">
        <is>
          <t>장내매수(+)</t>
        </is>
      </c>
      <c r="H1678" s="15" t="n">
        <v>17751</v>
      </c>
      <c r="I1678" s="6" t="n">
        <v>2778</v>
      </c>
      <c r="J1678" s="6" t="n">
        <v>197751</v>
      </c>
      <c r="K1678" s="16" t="n">
        <v>8</v>
      </c>
      <c r="L1678" s="2" t="inlineStr">
        <is>
          <t>20260526000163</t>
        </is>
      </c>
      <c r="M1678" s="8">
        <f>HYPERLINK("https://dart.fss.or.kr/dsaf001/main.do?rcpNo=20260526000163", "공시열람")</f>
        <v/>
      </c>
    </row>
    <row r="1679" ht="22" customHeight="1">
      <c r="A1679" s="2" t="inlineStr">
        <is>
          <t>2026-05-26</t>
        </is>
      </c>
      <c r="B1679" s="3" t="inlineStr">
        <is>
          <t>케이옥션</t>
        </is>
      </c>
      <c r="C1679" s="2" t="inlineStr">
        <is>
          <t>102370</t>
        </is>
      </c>
      <c r="D1679" s="2" t="inlineStr">
        <is>
          <t>대량보유</t>
        </is>
      </c>
      <c r="E1679" s="3" t="inlineStr">
        <is>
          <t>강수진</t>
        </is>
      </c>
      <c r="F1679" s="3" t="inlineStr">
        <is>
          <t>특별관계자</t>
        </is>
      </c>
      <c r="G1679" s="3" t="inlineStr">
        <is>
          <t>장내매수(+)</t>
        </is>
      </c>
      <c r="H1679" s="15" t="n">
        <v>14476</v>
      </c>
      <c r="I1679" s="6" t="n">
        <v>2884</v>
      </c>
      <c r="J1679" s="6" t="n">
        <v>33562</v>
      </c>
      <c r="K1679" s="16" t="n">
        <v>8</v>
      </c>
      <c r="L1679" s="2" t="inlineStr">
        <is>
          <t>20260526000163</t>
        </is>
      </c>
      <c r="M1679" s="8">
        <f>HYPERLINK("https://dart.fss.or.kr/dsaf001/main.do?rcpNo=20260526000163", "공시열람")</f>
        <v/>
      </c>
    </row>
    <row r="1680" ht="22" customHeight="1">
      <c r="A1680" s="2" t="inlineStr">
        <is>
          <t>2026-05-26</t>
        </is>
      </c>
      <c r="B1680" s="3" t="inlineStr">
        <is>
          <t>아이텍</t>
        </is>
      </c>
      <c r="C1680" s="2" t="inlineStr">
        <is>
          <t>119830</t>
        </is>
      </c>
      <c r="D1680" s="2" t="inlineStr">
        <is>
          <t>대량보유</t>
        </is>
      </c>
      <c r="E1680" s="3" t="inlineStr">
        <is>
          <t>(주)프렌즈파트너스</t>
        </is>
      </c>
      <c r="F1680" s="3" t="inlineStr">
        <is>
          <t>특별관계자</t>
        </is>
      </c>
      <c r="G1680" s="3" t="inlineStr">
        <is>
          <t>장내매수(+)</t>
        </is>
      </c>
      <c r="H1680" s="15" t="n">
        <v>32800</v>
      </c>
      <c r="I1680" s="6" t="n">
        <v>6318</v>
      </c>
      <c r="J1680" s="6" t="n">
        <v>1324217</v>
      </c>
      <c r="K1680" s="16" t="n">
        <v>5.02</v>
      </c>
      <c r="L1680" s="2" t="inlineStr">
        <is>
          <t>20260526000151</t>
        </is>
      </c>
      <c r="M1680" s="8">
        <f>HYPERLINK("https://dart.fss.or.kr/dsaf001/main.do?rcpNo=20260526000151", "공시열람")</f>
        <v/>
      </c>
    </row>
    <row r="1681" ht="22" customHeight="1">
      <c r="A1681" s="2" t="inlineStr">
        <is>
          <t>2026-05-26</t>
        </is>
      </c>
      <c r="B1681" s="3" t="inlineStr">
        <is>
          <t>대신정보통신</t>
        </is>
      </c>
      <c r="C1681" s="2" t="inlineStr">
        <is>
          <t>020180</t>
        </is>
      </c>
      <c r="D1681" s="2" t="inlineStr">
        <is>
          <t>대량보유</t>
        </is>
      </c>
      <c r="E1681" s="3" t="inlineStr">
        <is>
          <t>이재원</t>
        </is>
      </c>
      <c r="F1681" s="3" t="inlineStr">
        <is>
          <t>특별관계자</t>
        </is>
      </c>
      <c r="G1681" s="3" t="inlineStr">
        <is>
          <t>장내매수(+)</t>
        </is>
      </c>
      <c r="H1681" s="15" t="n">
        <v>90000</v>
      </c>
      <c r="I1681" s="6" t="n">
        <v>996</v>
      </c>
      <c r="J1681" s="6" t="n">
        <v>3600000</v>
      </c>
      <c r="K1681" s="16" t="n">
        <v>7</v>
      </c>
      <c r="L1681" s="2" t="inlineStr">
        <is>
          <t>20260526000135</t>
        </is>
      </c>
      <c r="M1681" s="8">
        <f>HYPERLINK("https://dart.fss.or.kr/dsaf001/main.do?rcpNo=20260526000135", "공시열람")</f>
        <v/>
      </c>
    </row>
    <row r="1682" ht="22" customHeight="1">
      <c r="A1682" s="2" t="inlineStr">
        <is>
          <t>2026-05-26</t>
        </is>
      </c>
      <c r="B1682" s="3" t="inlineStr">
        <is>
          <t>대신정보통신</t>
        </is>
      </c>
      <c r="C1682" s="2" t="inlineStr">
        <is>
          <t>020180</t>
        </is>
      </c>
      <c r="D1682" s="2" t="inlineStr">
        <is>
          <t>대량보유</t>
        </is>
      </c>
      <c r="E1682" s="3" t="inlineStr">
        <is>
          <t>최현택</t>
        </is>
      </c>
      <c r="F1682" s="3" t="inlineStr">
        <is>
          <t>특별관계자</t>
        </is>
      </c>
      <c r="G1682" s="3" t="inlineStr">
        <is>
          <t>장내매수(+)</t>
        </is>
      </c>
      <c r="H1682" s="15" t="n">
        <v>171000</v>
      </c>
      <c r="I1682" s="6" t="n">
        <v>1119</v>
      </c>
      <c r="J1682" s="6" t="n">
        <v>1639000</v>
      </c>
      <c r="K1682" s="16" t="n">
        <v>7</v>
      </c>
      <c r="L1682" s="2" t="inlineStr">
        <is>
          <t>20260526000135</t>
        </is>
      </c>
      <c r="M1682" s="8">
        <f>HYPERLINK("https://dart.fss.or.kr/dsaf001/main.do?rcpNo=20260526000135", "공시열람")</f>
        <v/>
      </c>
    </row>
    <row r="1683" ht="22" customHeight="1">
      <c r="A1683" s="2" t="inlineStr">
        <is>
          <t>2026-05-26</t>
        </is>
      </c>
      <c r="B1683" s="3" t="inlineStr">
        <is>
          <t>대신정보통신</t>
        </is>
      </c>
      <c r="C1683" s="2" t="inlineStr">
        <is>
          <t>020180</t>
        </is>
      </c>
      <c r="D1683" s="2" t="inlineStr">
        <is>
          <t>대량보유</t>
        </is>
      </c>
      <c r="E1683" s="3" t="inlineStr">
        <is>
          <t>이지은</t>
        </is>
      </c>
      <c r="F1683" s="3" t="inlineStr">
        <is>
          <t>특별관계자</t>
        </is>
      </c>
      <c r="G1683" s="3" t="inlineStr">
        <is>
          <t>장내매수(+)</t>
        </is>
      </c>
      <c r="H1683" s="15" t="n">
        <v>160000</v>
      </c>
      <c r="I1683" s="6" t="n">
        <v>1104</v>
      </c>
      <c r="J1683" s="6" t="n">
        <v>270000</v>
      </c>
      <c r="K1683" s="16" t="n">
        <v>7</v>
      </c>
      <c r="L1683" s="2" t="inlineStr">
        <is>
          <t>20260526000135</t>
        </is>
      </c>
      <c r="M1683" s="8">
        <f>HYPERLINK("https://dart.fss.or.kr/dsaf001/main.do?rcpNo=20260526000135", "공시열람")</f>
        <v/>
      </c>
    </row>
    <row r="1684" ht="22" customHeight="1">
      <c r="A1684" s="2" t="inlineStr">
        <is>
          <t>2026-05-26</t>
        </is>
      </c>
      <c r="B1684" s="3" t="inlineStr">
        <is>
          <t>대신정보통신</t>
        </is>
      </c>
      <c r="C1684" s="2" t="inlineStr">
        <is>
          <t>020180</t>
        </is>
      </c>
      <c r="D1684" s="2" t="inlineStr">
        <is>
          <t>대량보유</t>
        </is>
      </c>
      <c r="E1684" s="3" t="inlineStr">
        <is>
          <t>이정은</t>
        </is>
      </c>
      <c r="F1684" s="3" t="inlineStr">
        <is>
          <t>특별관계자</t>
        </is>
      </c>
      <c r="G1684" s="3" t="inlineStr">
        <is>
          <t>장내매수(+)</t>
        </is>
      </c>
      <c r="H1684" s="15" t="n">
        <v>70000</v>
      </c>
      <c r="I1684" s="6" t="n">
        <v>1015</v>
      </c>
      <c r="J1684" s="6" t="n">
        <v>70000</v>
      </c>
      <c r="K1684" s="16" t="n">
        <v>7</v>
      </c>
      <c r="L1684" s="2" t="inlineStr">
        <is>
          <t>20260526000135</t>
        </is>
      </c>
      <c r="M1684" s="8">
        <f>HYPERLINK("https://dart.fss.or.kr/dsaf001/main.do?rcpNo=20260526000135", "공시열람")</f>
        <v/>
      </c>
    </row>
    <row r="1685" ht="22" customHeight="1">
      <c r="A1685" s="2" t="inlineStr">
        <is>
          <t>2026-05-26</t>
        </is>
      </c>
      <c r="B1685" s="3" t="inlineStr">
        <is>
          <t>도화엔지니어링</t>
        </is>
      </c>
      <c r="C1685" s="2" t="inlineStr">
        <is>
          <t>002150</t>
        </is>
      </c>
      <c r="D1685" s="2" t="inlineStr">
        <is>
          <t>임원보고</t>
        </is>
      </c>
      <c r="E1685" s="3" t="inlineStr">
        <is>
          <t>-</t>
        </is>
      </c>
      <c r="F1685" s="3" t="inlineStr">
        <is>
          <t>-</t>
        </is>
      </c>
      <c r="G1685" s="3" t="inlineStr">
        <is>
          <t>-</t>
        </is>
      </c>
      <c r="H1685" s="6" t="inlineStr"/>
      <c r="I1685" s="6" t="inlineStr"/>
      <c r="J1685" s="6" t="inlineStr"/>
      <c r="K1685" s="16" t="n">
        <v>12</v>
      </c>
      <c r="L1685" s="2" t="inlineStr">
        <is>
          <t>20260526800201</t>
        </is>
      </c>
      <c r="M1685" s="8">
        <f>HYPERLINK("https://dart.fss.or.kr/dsaf001/main.do?rcpNo=20260526800201", "공시열람")</f>
        <v/>
      </c>
    </row>
    <row r="1686" ht="22" customHeight="1">
      <c r="A1686" s="2" t="inlineStr">
        <is>
          <t>2026-05-26</t>
        </is>
      </c>
      <c r="B1686" s="3" t="inlineStr">
        <is>
          <t>에이비온</t>
        </is>
      </c>
      <c r="C1686" s="2" t="inlineStr">
        <is>
          <t>203400</t>
        </is>
      </c>
      <c r="D1686" s="2" t="inlineStr">
        <is>
          <t>대량보유</t>
        </is>
      </c>
      <c r="E1686" s="3" t="inlineStr">
        <is>
          <t>김영선</t>
        </is>
      </c>
      <c r="F1686" s="3" t="inlineStr">
        <is>
          <t>특별관계자</t>
        </is>
      </c>
      <c r="G1686" s="3" t="inlineStr">
        <is>
          <t>기타(+), 장내매도(-)</t>
        </is>
      </c>
      <c r="H1686" s="15" t="n">
        <v>6023494</v>
      </c>
      <c r="I1686" s="6" t="n">
        <v>1833</v>
      </c>
      <c r="J1686" s="6" t="n">
        <v>6023494</v>
      </c>
      <c r="K1686" s="16" t="n">
        <v>1</v>
      </c>
      <c r="L1686" s="2" t="inlineStr">
        <is>
          <t>20260526000099</t>
        </is>
      </c>
      <c r="M1686" s="8">
        <f>HYPERLINK("https://dart.fss.or.kr/dsaf001/main.do?rcpNo=20260526000099", "공시열람")</f>
        <v/>
      </c>
    </row>
    <row r="1687" ht="22" customHeight="1">
      <c r="A1687" s="2" t="inlineStr">
        <is>
          <t>2026-05-26</t>
        </is>
      </c>
      <c r="B1687" s="3" t="inlineStr">
        <is>
          <t>디티앤씨</t>
        </is>
      </c>
      <c r="C1687" s="2" t="inlineStr">
        <is>
          <t>187220</t>
        </is>
      </c>
      <c r="D1687" s="2" t="inlineStr">
        <is>
          <t>대량보유</t>
        </is>
      </c>
      <c r="E1687" s="3" t="inlineStr">
        <is>
          <t>김윤상</t>
        </is>
      </c>
      <c r="F1687" s="3" t="inlineStr">
        <is>
          <t>특별관계자</t>
        </is>
      </c>
      <c r="G1687" s="3" t="inlineStr">
        <is>
          <t>장내매수(+)</t>
        </is>
      </c>
      <c r="H1687" s="15" t="n">
        <v>4200</v>
      </c>
      <c r="I1687" s="6" t="n">
        <v>2778</v>
      </c>
      <c r="J1687" s="6" t="n">
        <v>4200</v>
      </c>
      <c r="K1687" s="16" t="n">
        <v>4</v>
      </c>
      <c r="L1687" s="2" t="inlineStr">
        <is>
          <t>20260526000085</t>
        </is>
      </c>
      <c r="M1687" s="8">
        <f>HYPERLINK("https://dart.fss.or.kr/dsaf001/main.do?rcpNo=20260526000085", "공시열람")</f>
        <v/>
      </c>
    </row>
    <row r="1688" ht="22" customHeight="1">
      <c r="A1688" s="2" t="inlineStr">
        <is>
          <t>2026-05-26</t>
        </is>
      </c>
      <c r="B1688" s="3" t="inlineStr">
        <is>
          <t>롯데렌탈</t>
        </is>
      </c>
      <c r="C1688" s="2" t="inlineStr">
        <is>
          <t>089860</t>
        </is>
      </c>
      <c r="D1688" s="2" t="inlineStr">
        <is>
          <t>대량보유</t>
        </is>
      </c>
      <c r="E1688" s="3" t="inlineStr">
        <is>
          <t>(주)브이아이피자산운용</t>
        </is>
      </c>
      <c r="F1688" s="3" t="inlineStr">
        <is>
          <t>특별관계자</t>
        </is>
      </c>
      <c r="G1688" s="3" t="inlineStr">
        <is>
          <t>장내매도(-), 장내매수(+), 기타(-)</t>
        </is>
      </c>
      <c r="H1688" s="15" t="n">
        <v>412953</v>
      </c>
      <c r="I1688" s="6" t="n">
        <v>32237</v>
      </c>
      <c r="J1688" s="6" t="n">
        <v>2662920</v>
      </c>
      <c r="K1688" s="16" t="n">
        <v>7.33</v>
      </c>
      <c r="L1688" s="2" t="inlineStr">
        <is>
          <t>20260526000063</t>
        </is>
      </c>
      <c r="M1688" s="8">
        <f>HYPERLINK("https://dart.fss.or.kr/dsaf001/main.do?rcpNo=20260526000063", "공시열람")</f>
        <v/>
      </c>
    </row>
    <row r="1689" ht="22" customHeight="1">
      <c r="A1689" s="2" t="inlineStr">
        <is>
          <t>2026-05-26</t>
        </is>
      </c>
      <c r="B1689" s="3" t="inlineStr">
        <is>
          <t>대한해운</t>
        </is>
      </c>
      <c r="C1689" s="2" t="inlineStr">
        <is>
          <t>005880</t>
        </is>
      </c>
      <c r="D1689" s="2" t="inlineStr">
        <is>
          <t>대량보유</t>
        </is>
      </c>
      <c r="E1689" s="3" t="inlineStr">
        <is>
          <t>에스엠상선(주)</t>
        </is>
      </c>
      <c r="F1689" s="3" t="inlineStr">
        <is>
          <t>보고자</t>
        </is>
      </c>
      <c r="G1689" s="3" t="inlineStr">
        <is>
          <t>- 주식대차계약연장 1건, 주식담보대출 신규 포함 변경 6건 등 보유주식에 관한 계약 변경</t>
        </is>
      </c>
      <c r="H1689" s="6" t="inlineStr"/>
      <c r="I1689" s="6" t="inlineStr"/>
      <c r="J1689" s="6" t="n">
        <v>157528554</v>
      </c>
      <c r="K1689" s="16" t="n">
        <v>2</v>
      </c>
      <c r="L1689" s="2" t="inlineStr">
        <is>
          <t>20260526000040</t>
        </is>
      </c>
      <c r="M1689" s="8">
        <f>HYPERLINK("https://dart.fss.or.kr/dsaf001/main.do?rcpNo=20260526000040", "공시열람")</f>
        <v/>
      </c>
    </row>
    <row r="1690" ht="22" customHeight="1">
      <c r="A1690" s="2" t="inlineStr">
        <is>
          <t>2026-05-26</t>
        </is>
      </c>
      <c r="B1690" s="3" t="inlineStr">
        <is>
          <t>한국항공우주</t>
        </is>
      </c>
      <c r="C1690" s="2" t="inlineStr">
        <is>
          <t>047810</t>
        </is>
      </c>
      <c r="D1690" s="2" t="inlineStr">
        <is>
          <t>대량보유</t>
        </is>
      </c>
      <c r="E1690" s="3" t="inlineStr">
        <is>
          <t>한화에어로스페이스(주)</t>
        </is>
      </c>
      <c r="F1690" s="3" t="inlineStr">
        <is>
          <t>특별관계자</t>
        </is>
      </c>
      <c r="G1690" s="3" t="inlineStr">
        <is>
          <t>장내매수(+)</t>
        </is>
      </c>
      <c r="H1690" s="15" t="n">
        <v>1047635</v>
      </c>
      <c r="I1690" s="6" t="n">
        <v>163781</v>
      </c>
      <c r="J1690" s="6" t="n">
        <v>4458375</v>
      </c>
      <c r="K1690" s="16" t="n">
        <v>3</v>
      </c>
      <c r="L1690" s="2" t="inlineStr">
        <is>
          <t>20260526000004</t>
        </is>
      </c>
      <c r="M1690" s="8">
        <f>HYPERLINK("https://dart.fss.or.kr/dsaf001/main.do?rcpNo=20260526000004", "공시열람")</f>
        <v/>
      </c>
    </row>
    <row r="1691" ht="22" customHeight="1">
      <c r="A1691" s="2" t="inlineStr">
        <is>
          <t>2026-05-27</t>
        </is>
      </c>
      <c r="B1691" s="3" t="inlineStr">
        <is>
          <t>하림지주</t>
        </is>
      </c>
      <c r="C1691" s="2" t="inlineStr">
        <is>
          <t>003380</t>
        </is>
      </c>
      <c r="D1691" s="2" t="inlineStr">
        <is>
          <t>대량보유</t>
        </is>
      </c>
      <c r="E1691" s="3" t="inlineStr">
        <is>
          <t>(주)한국바이오텍</t>
        </is>
      </c>
      <c r="F1691" s="3" t="inlineStr">
        <is>
          <t>특별관계자</t>
        </is>
      </c>
      <c r="G1691" s="3" t="inlineStr">
        <is>
          <t>장내매수(+)</t>
        </is>
      </c>
      <c r="H1691" s="15" t="n">
        <v>226300</v>
      </c>
      <c r="I1691" s="6" t="n">
        <v>12131</v>
      </c>
      <c r="J1691" s="6" t="n">
        <v>20956300</v>
      </c>
      <c r="K1691" s="16" t="n">
        <v>21</v>
      </c>
      <c r="L1691" s="2" t="inlineStr">
        <is>
          <t>20260527000609</t>
        </is>
      </c>
      <c r="M1691" s="8">
        <f>HYPERLINK("https://dart.fss.or.kr/dsaf001/main.do?rcpNo=20260527000609", "공시열람")</f>
        <v/>
      </c>
    </row>
    <row r="1692" ht="22" customHeight="1">
      <c r="A1692" s="2" t="inlineStr">
        <is>
          <t>2026-05-27</t>
        </is>
      </c>
      <c r="B1692" s="3" t="inlineStr">
        <is>
          <t>엘앤에프</t>
        </is>
      </c>
      <c r="C1692" s="2" t="inlineStr">
        <is>
          <t>066970</t>
        </is>
      </c>
      <c r="D1692" s="2" t="inlineStr">
        <is>
          <t>대량보유</t>
        </is>
      </c>
      <c r="E1692" s="3" t="inlineStr">
        <is>
          <t>(주)새로닉스</t>
        </is>
      </c>
      <c r="F1692" s="3" t="inlineStr">
        <is>
          <t>보고자</t>
        </is>
      </c>
      <c r="G1692" s="3" t="inlineStr">
        <is>
          <t>주식담보대출 연장</t>
        </is>
      </c>
      <c r="H1692" s="6" t="inlineStr"/>
      <c r="I1692" s="6" t="inlineStr"/>
      <c r="J1692" s="6" t="n">
        <v>8989835</v>
      </c>
      <c r="K1692" s="16" t="n">
        <v>16</v>
      </c>
      <c r="L1692" s="2" t="inlineStr">
        <is>
          <t>20260527000607</t>
        </is>
      </c>
      <c r="M1692" s="8">
        <f>HYPERLINK("https://dart.fss.or.kr/dsaf001/main.do?rcpNo=20260527000607", "공시열람")</f>
        <v/>
      </c>
    </row>
    <row r="1693" ht="22" customHeight="1">
      <c r="A1693" s="2" t="inlineStr">
        <is>
          <t>2026-05-27</t>
        </is>
      </c>
      <c r="B1693" s="3" t="inlineStr">
        <is>
          <t>엔피씨</t>
        </is>
      </c>
      <c r="C1693" s="2" t="inlineStr">
        <is>
          <t>004250</t>
        </is>
      </c>
      <c r="D1693" s="2" t="inlineStr">
        <is>
          <t>대량보유</t>
        </is>
      </c>
      <c r="E1693" s="3" t="inlineStr">
        <is>
          <t>임익성</t>
        </is>
      </c>
      <c r="F1693" s="3" t="inlineStr">
        <is>
          <t>보고자</t>
        </is>
      </c>
      <c r="G1693" s="3" t="inlineStr">
        <is>
          <t>보유주식 등에 관한 담보변경</t>
        </is>
      </c>
      <c r="H1693" s="6" t="inlineStr"/>
      <c r="I1693" s="6" t="inlineStr"/>
      <c r="J1693" s="6" t="n">
        <v>21402425</v>
      </c>
      <c r="K1693" s="16" t="n">
        <v>14</v>
      </c>
      <c r="L1693" s="2" t="inlineStr">
        <is>
          <t>20260527000590</t>
        </is>
      </c>
      <c r="M1693" s="8">
        <f>HYPERLINK("https://dart.fss.or.kr/dsaf001/main.do?rcpNo=20260527000590", "공시열람")</f>
        <v/>
      </c>
    </row>
    <row r="1694" ht="22" customHeight="1">
      <c r="A1694" s="2" t="inlineStr">
        <is>
          <t>2026-05-27</t>
        </is>
      </c>
      <c r="B1694" s="3" t="inlineStr">
        <is>
          <t>아이엘</t>
        </is>
      </c>
      <c r="C1694" s="2" t="inlineStr">
        <is>
          <t>307180</t>
        </is>
      </c>
      <c r="D1694" s="2" t="inlineStr">
        <is>
          <t>대량보유</t>
        </is>
      </c>
      <c r="E1694" s="3" t="inlineStr">
        <is>
          <t>송성근</t>
        </is>
      </c>
      <c r="F1694" s="3" t="inlineStr">
        <is>
          <t>보고자</t>
        </is>
      </c>
      <c r="G1694" s="3" t="inlineStr">
        <is>
          <t>보유주식등에 관한 계약 변경</t>
        </is>
      </c>
      <c r="H1694" s="6" t="inlineStr"/>
      <c r="I1694" s="6" t="inlineStr"/>
      <c r="J1694" s="6" t="n">
        <v>7806048</v>
      </c>
      <c r="K1694" s="16" t="n">
        <v>12</v>
      </c>
      <c r="L1694" s="2" t="inlineStr">
        <is>
          <t>20260527000571</t>
        </is>
      </c>
      <c r="M1694" s="8">
        <f>HYPERLINK("https://dart.fss.or.kr/dsaf001/main.do?rcpNo=20260527000571", "공시열람")</f>
        <v/>
      </c>
    </row>
    <row r="1695" ht="22" customHeight="1">
      <c r="A1695" s="2" t="inlineStr">
        <is>
          <t>2026-05-27</t>
        </is>
      </c>
      <c r="B1695" s="3" t="inlineStr">
        <is>
          <t>기가레인</t>
        </is>
      </c>
      <c r="C1695" s="2" t="inlineStr">
        <is>
          <t>049080</t>
        </is>
      </c>
      <c r="D1695" s="2" t="inlineStr">
        <is>
          <t>대량보유</t>
        </is>
      </c>
      <c r="E1695" s="3" t="inlineStr">
        <is>
          <t>네오플럭스제3호사모투자합자회사</t>
        </is>
      </c>
      <c r="F1695" s="3" t="inlineStr">
        <is>
          <t>특별관계자</t>
        </is>
      </c>
      <c r="G1695" s="3" t="inlineStr">
        <is>
          <t>장내매도(-)</t>
        </is>
      </c>
      <c r="H1695" s="17" t="n">
        <v>-8856977</v>
      </c>
      <c r="I1695" s="6" t="n">
        <v>1547</v>
      </c>
      <c r="J1695" s="6" t="inlineStr"/>
      <c r="K1695" s="16" t="n">
        <v>5</v>
      </c>
      <c r="L1695" s="2" t="inlineStr">
        <is>
          <t>20260527000558</t>
        </is>
      </c>
      <c r="M1695" s="8">
        <f>HYPERLINK("https://dart.fss.or.kr/dsaf001/main.do?rcpNo=20260527000558", "공시열람")</f>
        <v/>
      </c>
    </row>
    <row r="1696" ht="22" customHeight="1">
      <c r="A1696" s="2" t="inlineStr">
        <is>
          <t>2026-05-27</t>
        </is>
      </c>
      <c r="B1696" s="3" t="inlineStr">
        <is>
          <t>쏘카</t>
        </is>
      </c>
      <c r="C1696" s="2" t="inlineStr">
        <is>
          <t>403550</t>
        </is>
      </c>
      <c r="D1696" s="2" t="inlineStr">
        <is>
          <t>대량보유</t>
        </is>
      </c>
      <c r="E1696" s="3" t="inlineStr">
        <is>
          <t>㈜크래프톤</t>
        </is>
      </c>
      <c r="F1696" s="3" t="inlineStr">
        <is>
          <t>특별관계자</t>
        </is>
      </c>
      <c r="G1696" s="3" t="inlineStr">
        <is>
          <t>신규보고(+)</t>
        </is>
      </c>
      <c r="H1696" s="15" t="n">
        <v>5098040</v>
      </c>
      <c r="I1696" s="6" t="n">
        <v>12750</v>
      </c>
      <c r="J1696" s="6" t="n">
        <v>5098040</v>
      </c>
      <c r="K1696" s="16" t="n">
        <v>2</v>
      </c>
      <c r="L1696" s="2" t="inlineStr">
        <is>
          <t>20260527000557</t>
        </is>
      </c>
      <c r="M1696" s="8">
        <f>HYPERLINK("https://dart.fss.or.kr/dsaf001/main.do?rcpNo=20260527000557", "공시열람")</f>
        <v/>
      </c>
    </row>
    <row r="1697" ht="22" customHeight="1">
      <c r="A1697" s="2" t="inlineStr">
        <is>
          <t>2026-05-27</t>
        </is>
      </c>
      <c r="B1697" s="3" t="inlineStr">
        <is>
          <t>쏘카</t>
        </is>
      </c>
      <c r="C1697" s="2" t="inlineStr">
        <is>
          <t>403550</t>
        </is>
      </c>
      <c r="D1697" s="2" t="inlineStr">
        <is>
          <t>대량보유</t>
        </is>
      </c>
      <c r="E1697" s="3" t="inlineStr">
        <is>
          <t>김창한</t>
        </is>
      </c>
      <c r="F1697" s="3" t="inlineStr">
        <is>
          <t>특별관계자</t>
        </is>
      </c>
      <c r="G1697" s="3" t="inlineStr">
        <is>
          <t>신규보고(+)</t>
        </is>
      </c>
      <c r="H1697" s="15" t="n">
        <v>29472</v>
      </c>
      <c r="I1697" s="6" t="inlineStr"/>
      <c r="J1697" s="6" t="n">
        <v>29472</v>
      </c>
      <c r="K1697" s="16" t="n">
        <v>2</v>
      </c>
      <c r="L1697" s="2" t="inlineStr">
        <is>
          <t>20260527000557</t>
        </is>
      </c>
      <c r="M1697" s="8">
        <f>HYPERLINK("https://dart.fss.or.kr/dsaf001/main.do?rcpNo=20260527000557", "공시열람")</f>
        <v/>
      </c>
    </row>
    <row r="1698" ht="22" customHeight="1">
      <c r="A1698" s="2" t="inlineStr">
        <is>
          <t>2026-05-27</t>
        </is>
      </c>
      <c r="B1698" s="3" t="inlineStr">
        <is>
          <t>지놈앤컴퍼니</t>
        </is>
      </c>
      <c r="C1698" s="2" t="inlineStr">
        <is>
          <t>314130</t>
        </is>
      </c>
      <c r="D1698" s="2" t="inlineStr">
        <is>
          <t>대량보유</t>
        </is>
      </c>
      <c r="E1698" s="3" t="inlineStr">
        <is>
          <t>파라투스뉴노멀티씨비사모투자합자회사</t>
        </is>
      </c>
      <c r="F1698" s="3" t="inlineStr">
        <is>
          <t>특별관계자</t>
        </is>
      </c>
      <c r="G1698" s="3" t="inlineStr">
        <is>
          <t>기타(-), 전환등(-), 전환사채의권리행사(+), 장내매도(-)</t>
        </is>
      </c>
      <c r="H1698" s="17" t="n">
        <v>-858372</v>
      </c>
      <c r="I1698" s="6" t="n">
        <v>3025</v>
      </c>
      <c r="J1698" s="6" t="n">
        <v>969932</v>
      </c>
      <c r="K1698" s="16" t="n">
        <v>3</v>
      </c>
      <c r="L1698" s="2" t="inlineStr">
        <is>
          <t>20260527000552</t>
        </is>
      </c>
      <c r="M1698" s="8">
        <f>HYPERLINK("https://dart.fss.or.kr/dsaf001/main.do?rcpNo=20260527000552", "공시열람")</f>
        <v/>
      </c>
    </row>
    <row r="1699" ht="22" customHeight="1">
      <c r="A1699" s="2" t="inlineStr">
        <is>
          <t>2026-05-27</t>
        </is>
      </c>
      <c r="B1699" s="3" t="inlineStr">
        <is>
          <t>지놈앤컴퍼니</t>
        </is>
      </c>
      <c r="C1699" s="2" t="inlineStr">
        <is>
          <t>314130</t>
        </is>
      </c>
      <c r="D1699" s="2" t="inlineStr">
        <is>
          <t>대량보유</t>
        </is>
      </c>
      <c r="E1699" s="3" t="inlineStr">
        <is>
          <t>파라투스혁신성장엠앤에이사모투자합자회사</t>
        </is>
      </c>
      <c r="F1699" s="3" t="inlineStr">
        <is>
          <t>특별관계자</t>
        </is>
      </c>
      <c r="G1699" s="3" t="inlineStr">
        <is>
          <t>전환등(-), 전환사채의권리행사(+), 장내매도(-)</t>
        </is>
      </c>
      <c r="H1699" s="17" t="n">
        <v>-597821</v>
      </c>
      <c r="I1699" s="6" t="n">
        <v>3025</v>
      </c>
      <c r="J1699" s="6" t="n">
        <v>619856</v>
      </c>
      <c r="K1699" s="16" t="n">
        <v>3</v>
      </c>
      <c r="L1699" s="2" t="inlineStr">
        <is>
          <t>20260527000552</t>
        </is>
      </c>
      <c r="M1699" s="8">
        <f>HYPERLINK("https://dart.fss.or.kr/dsaf001/main.do?rcpNo=20260527000552", "공시열람")</f>
        <v/>
      </c>
    </row>
    <row r="1700" ht="22" customHeight="1">
      <c r="A1700" s="2" t="inlineStr">
        <is>
          <t>2026-05-27</t>
        </is>
      </c>
      <c r="B1700" s="3" t="inlineStr">
        <is>
          <t>에코프로</t>
        </is>
      </c>
      <c r="C1700" s="2" t="inlineStr">
        <is>
          <t>086520</t>
        </is>
      </c>
      <c r="D1700" s="2" t="inlineStr">
        <is>
          <t>대량보유</t>
        </is>
      </c>
      <c r="E1700" s="3" t="inlineStr">
        <is>
          <t>강예리</t>
        </is>
      </c>
      <c r="F1700" s="3" t="inlineStr">
        <is>
          <t>특별관계자</t>
        </is>
      </c>
      <c r="G1700" s="3" t="inlineStr">
        <is>
          <t>장내매도(-)</t>
        </is>
      </c>
      <c r="H1700" s="17" t="n">
        <v>-80</v>
      </c>
      <c r="I1700" s="6" t="n">
        <v>148100</v>
      </c>
      <c r="J1700" s="6" t="n">
        <v>87596</v>
      </c>
      <c r="K1700" s="16" t="n">
        <v>14</v>
      </c>
      <c r="L1700" s="2" t="inlineStr">
        <is>
          <t>20260527000547</t>
        </is>
      </c>
      <c r="M1700" s="8">
        <f>HYPERLINK("https://dart.fss.or.kr/dsaf001/main.do?rcpNo=20260527000547", "공시열람")</f>
        <v/>
      </c>
    </row>
    <row r="1701" ht="22" customHeight="1">
      <c r="A1701" s="2" t="inlineStr">
        <is>
          <t>2026-05-27</t>
        </is>
      </c>
      <c r="B1701" s="3" t="inlineStr">
        <is>
          <t>HDC</t>
        </is>
      </c>
      <c r="C1701" s="2" t="inlineStr">
        <is>
          <t>012630</t>
        </is>
      </c>
      <c r="D1701" s="2" t="inlineStr">
        <is>
          <t>임원보고</t>
        </is>
      </c>
      <c r="E1701" s="3" t="inlineStr">
        <is>
          <t>-</t>
        </is>
      </c>
      <c r="F1701" s="3" t="inlineStr">
        <is>
          <t>-</t>
        </is>
      </c>
      <c r="G1701" s="3" t="inlineStr">
        <is>
          <t>-</t>
        </is>
      </c>
      <c r="H1701" s="6" t="inlineStr"/>
      <c r="I1701" s="6" t="inlineStr"/>
      <c r="J1701" s="6" t="inlineStr"/>
      <c r="K1701" s="16" t="n">
        <v>12</v>
      </c>
      <c r="L1701" s="2" t="inlineStr">
        <is>
          <t>20260527800793</t>
        </is>
      </c>
      <c r="M1701" s="8">
        <f>HYPERLINK("https://dart.fss.or.kr/dsaf001/main.do?rcpNo=20260527800793", "공시열람")</f>
        <v/>
      </c>
    </row>
    <row r="1702" ht="22" customHeight="1">
      <c r="A1702" s="2" t="inlineStr">
        <is>
          <t>2026-05-27</t>
        </is>
      </c>
      <c r="B1702" s="3" t="inlineStr">
        <is>
          <t>HDC</t>
        </is>
      </c>
      <c r="C1702" s="2" t="inlineStr">
        <is>
          <t>012630</t>
        </is>
      </c>
      <c r="D1702" s="2" t="inlineStr">
        <is>
          <t>대량보유</t>
        </is>
      </c>
      <c r="E1702" s="3" t="inlineStr">
        <is>
          <t>엠엔큐투자파트너스(유)</t>
        </is>
      </c>
      <c r="F1702" s="3" t="inlineStr">
        <is>
          <t>특별관계자</t>
        </is>
      </c>
      <c r="G1702" s="3" t="inlineStr">
        <is>
          <t>장내매수(+)</t>
        </is>
      </c>
      <c r="H1702" s="15" t="n">
        <v>25500</v>
      </c>
      <c r="I1702" s="6" t="n">
        <v>22283</v>
      </c>
      <c r="J1702" s="6" t="n">
        <v>3853075</v>
      </c>
      <c r="K1702" s="16" t="n">
        <v>9</v>
      </c>
      <c r="L1702" s="2" t="inlineStr">
        <is>
          <t>20260527000543</t>
        </is>
      </c>
      <c r="M1702" s="8">
        <f>HYPERLINK("https://dart.fss.or.kr/dsaf001/main.do?rcpNo=20260527000543", "공시열람")</f>
        <v/>
      </c>
    </row>
    <row r="1703" ht="22" customHeight="1">
      <c r="A1703" s="2" t="inlineStr">
        <is>
          <t>2026-05-27</t>
        </is>
      </c>
      <c r="B1703" s="3" t="inlineStr">
        <is>
          <t>한창제지</t>
        </is>
      </c>
      <c r="C1703" s="2" t="inlineStr">
        <is>
          <t>009460</t>
        </is>
      </c>
      <c r="D1703" s="2" t="inlineStr">
        <is>
          <t>대량보유</t>
        </is>
      </c>
      <c r="E1703" s="3" t="inlineStr">
        <is>
          <t>김승한</t>
        </is>
      </c>
      <c r="F1703" s="3" t="inlineStr">
        <is>
          <t>보고자</t>
        </is>
      </c>
      <c r="G1703" s="3" t="inlineStr">
        <is>
          <t>특별관계자 담보주식수 변경</t>
        </is>
      </c>
      <c r="H1703" s="6" t="inlineStr"/>
      <c r="I1703" s="6" t="inlineStr"/>
      <c r="J1703" s="6" t="n">
        <v>4786066</v>
      </c>
      <c r="K1703" s="16" t="n">
        <v>6</v>
      </c>
      <c r="L1703" s="2" t="inlineStr">
        <is>
          <t>20260527000536</t>
        </is>
      </c>
      <c r="M1703" s="8">
        <f>HYPERLINK("https://dart.fss.or.kr/dsaf001/main.do?rcpNo=20260527000536", "공시열람")</f>
        <v/>
      </c>
    </row>
    <row r="1704" ht="22" customHeight="1">
      <c r="A1704" s="2" t="inlineStr">
        <is>
          <t>2026-05-27</t>
        </is>
      </c>
      <c r="B1704" s="3" t="inlineStr">
        <is>
          <t>지놈앤컴퍼니</t>
        </is>
      </c>
      <c r="C1704" s="2" t="inlineStr">
        <is>
          <t>314130</t>
        </is>
      </c>
      <c r="D1704" s="2" t="inlineStr">
        <is>
          <t>대량보유</t>
        </is>
      </c>
      <c r="E1704" s="3" t="inlineStr">
        <is>
          <t>디에스씨초기기업스케일업펀드</t>
        </is>
      </c>
      <c r="F1704" s="3" t="inlineStr">
        <is>
          <t>특별관계자</t>
        </is>
      </c>
      <c r="G1704" s="3" t="inlineStr">
        <is>
          <t>전환사채의권리행사(+), 장내매도(-)</t>
        </is>
      </c>
      <c r="H1704" s="17" t="n">
        <v>-285722</v>
      </c>
      <c r="I1704" s="6" t="n">
        <v>5518</v>
      </c>
      <c r="J1704" s="6" t="n">
        <v>1337804</v>
      </c>
      <c r="K1704" s="16" t="n">
        <v>4</v>
      </c>
      <c r="L1704" s="2" t="inlineStr">
        <is>
          <t>20260527000533</t>
        </is>
      </c>
      <c r="M1704" s="8">
        <f>HYPERLINK("https://dart.fss.or.kr/dsaf001/main.do?rcpNo=20260527000533", "공시열람")</f>
        <v/>
      </c>
    </row>
    <row r="1705" ht="22" customHeight="1">
      <c r="A1705" s="2" t="inlineStr">
        <is>
          <t>2026-05-27</t>
        </is>
      </c>
      <c r="B1705" s="3" t="inlineStr">
        <is>
          <t>지놈앤컴퍼니</t>
        </is>
      </c>
      <c r="C1705" s="2" t="inlineStr">
        <is>
          <t>314130</t>
        </is>
      </c>
      <c r="D1705" s="2" t="inlineStr">
        <is>
          <t>대량보유</t>
        </is>
      </c>
      <c r="E1705" s="3" t="inlineStr">
        <is>
          <t>디에스씨테크밸류업펀드3호</t>
        </is>
      </c>
      <c r="F1705" s="3" t="inlineStr">
        <is>
          <t>특별관계자</t>
        </is>
      </c>
      <c r="G1705" s="3" t="inlineStr">
        <is>
          <t>전환사채의권리행사(+), 장내매도(-)</t>
        </is>
      </c>
      <c r="H1705" s="17" t="n">
        <v>-107139</v>
      </c>
      <c r="I1705" s="6" t="n">
        <v>5518</v>
      </c>
      <c r="J1705" s="6" t="n">
        <v>501699</v>
      </c>
      <c r="K1705" s="16" t="n">
        <v>4</v>
      </c>
      <c r="L1705" s="2" t="inlineStr">
        <is>
          <t>20260527000533</t>
        </is>
      </c>
      <c r="M1705" s="8">
        <f>HYPERLINK("https://dart.fss.or.kr/dsaf001/main.do?rcpNo=20260527000533", "공시열람")</f>
        <v/>
      </c>
    </row>
    <row r="1706" ht="22" customHeight="1">
      <c r="A1706" s="2" t="inlineStr">
        <is>
          <t>2026-05-27</t>
        </is>
      </c>
      <c r="B1706" s="3" t="inlineStr">
        <is>
          <t>지놈앤컴퍼니</t>
        </is>
      </c>
      <c r="C1706" s="2" t="inlineStr">
        <is>
          <t>314130</t>
        </is>
      </c>
      <c r="D1706" s="2" t="inlineStr">
        <is>
          <t>대량보유</t>
        </is>
      </c>
      <c r="E1706" s="3" t="inlineStr">
        <is>
          <t>디에스씨테크밸류업펀드4호</t>
        </is>
      </c>
      <c r="F1706" s="3" t="inlineStr">
        <is>
          <t>특별관계자</t>
        </is>
      </c>
      <c r="G1706" s="3" t="inlineStr">
        <is>
          <t>전환사채의권리행사(+), 장내매도(-)</t>
        </is>
      </c>
      <c r="H1706" s="17" t="n">
        <v>-107139</v>
      </c>
      <c r="I1706" s="6" t="n">
        <v>5520</v>
      </c>
      <c r="J1706" s="6" t="n">
        <v>501699</v>
      </c>
      <c r="K1706" s="16" t="n">
        <v>4</v>
      </c>
      <c r="L1706" s="2" t="inlineStr">
        <is>
          <t>20260527000533</t>
        </is>
      </c>
      <c r="M1706" s="8">
        <f>HYPERLINK("https://dart.fss.or.kr/dsaf001/main.do?rcpNo=20260527000533", "공시열람")</f>
        <v/>
      </c>
    </row>
    <row r="1707" ht="22" customHeight="1">
      <c r="A1707" s="2" t="inlineStr">
        <is>
          <t>2026-05-27 (정정: 2026-05-27)</t>
        </is>
      </c>
      <c r="B1707" s="3" t="inlineStr">
        <is>
          <t>에코글로우</t>
        </is>
      </c>
      <c r="C1707" s="2" t="inlineStr">
        <is>
          <t>159910</t>
        </is>
      </c>
      <c r="D1707" s="2" t="inlineStr">
        <is>
          <t>대량보유</t>
        </is>
      </c>
      <c r="E1707" s="3" t="inlineStr">
        <is>
          <t>-</t>
        </is>
      </c>
      <c r="F1707" s="3" t="inlineStr">
        <is>
          <t>보고자</t>
        </is>
      </c>
      <c r="G1707" s="3" t="inlineStr">
        <is>
          <t>-</t>
        </is>
      </c>
      <c r="H1707" s="6" t="inlineStr"/>
      <c r="I1707" s="6" t="inlineStr"/>
      <c r="J1707" s="6" t="inlineStr"/>
      <c r="K1707" s="18" t="inlineStr"/>
      <c r="L1707" s="2" t="inlineStr">
        <is>
          <t>20260527900711</t>
        </is>
      </c>
      <c r="M1707" s="8">
        <f>HYPERLINK("https://dart.fss.or.kr/dsaf001/main.do?rcpNo=20260527900711", "공시열람")</f>
        <v/>
      </c>
    </row>
    <row r="1708" ht="22" customHeight="1">
      <c r="A1708" s="2" t="inlineStr">
        <is>
          <t>2026-05-27</t>
        </is>
      </c>
      <c r="B1708" s="3" t="inlineStr">
        <is>
          <t>크래프톤</t>
        </is>
      </c>
      <c r="C1708" s="2" t="inlineStr">
        <is>
          <t>259960</t>
        </is>
      </c>
      <c r="D1708" s="2" t="inlineStr">
        <is>
          <t>임원보고</t>
        </is>
      </c>
      <c r="E1708" s="3" t="inlineStr">
        <is>
          <t>-</t>
        </is>
      </c>
      <c r="F1708" s="3" t="inlineStr">
        <is>
          <t>-</t>
        </is>
      </c>
      <c r="G1708" s="3" t="inlineStr">
        <is>
          <t>-</t>
        </is>
      </c>
      <c r="H1708" s="6" t="inlineStr"/>
      <c r="I1708" s="6" t="inlineStr"/>
      <c r="J1708" s="6" t="inlineStr"/>
      <c r="K1708" s="16" t="n">
        <v>12</v>
      </c>
      <c r="L1708" s="2" t="inlineStr">
        <is>
          <t>20260527800778</t>
        </is>
      </c>
      <c r="M1708" s="8">
        <f>HYPERLINK("https://dart.fss.or.kr/dsaf001/main.do?rcpNo=20260527800778", "공시열람")</f>
        <v/>
      </c>
    </row>
    <row r="1709" ht="22" customHeight="1">
      <c r="A1709" s="2" t="inlineStr">
        <is>
          <t>2026-05-27</t>
        </is>
      </c>
      <c r="B1709" s="3" t="inlineStr">
        <is>
          <t>와이엠티</t>
        </is>
      </c>
      <c r="C1709" s="2" t="inlineStr">
        <is>
          <t>251370</t>
        </is>
      </c>
      <c r="D1709" s="2" t="inlineStr">
        <is>
          <t>대량보유</t>
        </is>
      </c>
      <c r="E1709" s="3" t="inlineStr">
        <is>
          <t>김균록</t>
        </is>
      </c>
      <c r="F1709" s="3" t="inlineStr">
        <is>
          <t>특별관계자</t>
        </is>
      </c>
      <c r="G1709" s="3" t="inlineStr">
        <is>
          <t>기타(-)</t>
        </is>
      </c>
      <c r="H1709" s="17" t="n">
        <v>-101</v>
      </c>
      <c r="I1709" s="6" t="inlineStr"/>
      <c r="J1709" s="6" t="n">
        <v>6699</v>
      </c>
      <c r="K1709" s="16" t="n">
        <v>8</v>
      </c>
      <c r="L1709" s="2" t="inlineStr">
        <is>
          <t>20260527000528</t>
        </is>
      </c>
      <c r="M1709" s="8">
        <f>HYPERLINK("https://dart.fss.or.kr/dsaf001/main.do?rcpNo=20260527000528", "공시열람")</f>
        <v/>
      </c>
    </row>
    <row r="1710" ht="22" customHeight="1">
      <c r="A1710" s="2" t="inlineStr">
        <is>
          <t>2026-05-27</t>
        </is>
      </c>
      <c r="B1710" s="3" t="inlineStr">
        <is>
          <t>와이엠티</t>
        </is>
      </c>
      <c r="C1710" s="2" t="inlineStr">
        <is>
          <t>251370</t>
        </is>
      </c>
      <c r="D1710" s="2" t="inlineStr">
        <is>
          <t>대량보유</t>
        </is>
      </c>
      <c r="E1710" s="3" t="inlineStr">
        <is>
          <t>이홍기</t>
        </is>
      </c>
      <c r="F1710" s="3" t="inlineStr">
        <is>
          <t>특별관계자</t>
        </is>
      </c>
      <c r="G1710" s="3" t="inlineStr">
        <is>
          <t>기타(-)</t>
        </is>
      </c>
      <c r="H1710" s="17" t="n">
        <v>-15</v>
      </c>
      <c r="I1710" s="6" t="inlineStr"/>
      <c r="J1710" s="6" t="n">
        <v>989</v>
      </c>
      <c r="K1710" s="16" t="n">
        <v>8</v>
      </c>
      <c r="L1710" s="2" t="inlineStr">
        <is>
          <t>20260527000528</t>
        </is>
      </c>
      <c r="M1710" s="8">
        <f>HYPERLINK("https://dart.fss.or.kr/dsaf001/main.do?rcpNo=20260527000528", "공시열람")</f>
        <v/>
      </c>
    </row>
    <row r="1711" ht="22" customHeight="1">
      <c r="A1711" s="2" t="inlineStr">
        <is>
          <t>2026-05-27</t>
        </is>
      </c>
      <c r="B1711" s="3" t="inlineStr">
        <is>
          <t>와이엠티</t>
        </is>
      </c>
      <c r="C1711" s="2" t="inlineStr">
        <is>
          <t>251370</t>
        </is>
      </c>
      <c r="D1711" s="2" t="inlineStr">
        <is>
          <t>대량보유</t>
        </is>
      </c>
      <c r="E1711" s="3" t="inlineStr">
        <is>
          <t>이연규</t>
        </is>
      </c>
      <c r="F1711" s="3" t="inlineStr">
        <is>
          <t>특별관계자</t>
        </is>
      </c>
      <c r="G1711" s="3" t="inlineStr">
        <is>
          <t>기타(-)</t>
        </is>
      </c>
      <c r="H1711" s="17" t="n">
        <v>-12</v>
      </c>
      <c r="I1711" s="6" t="inlineStr"/>
      <c r="J1711" s="6" t="n">
        <v>788</v>
      </c>
      <c r="K1711" s="16" t="n">
        <v>8</v>
      </c>
      <c r="L1711" s="2" t="inlineStr">
        <is>
          <t>20260527000528</t>
        </is>
      </c>
      <c r="M1711" s="8">
        <f>HYPERLINK("https://dart.fss.or.kr/dsaf001/main.do?rcpNo=20260527000528", "공시열람")</f>
        <v/>
      </c>
    </row>
    <row r="1712" ht="22" customHeight="1">
      <c r="A1712" s="2" t="inlineStr">
        <is>
          <t>2026-05-27</t>
        </is>
      </c>
      <c r="B1712" s="3" t="inlineStr">
        <is>
          <t>저스템</t>
        </is>
      </c>
      <c r="C1712" s="2" t="inlineStr">
        <is>
          <t>417840</t>
        </is>
      </c>
      <c r="D1712" s="2" t="inlineStr">
        <is>
          <t>대량보유</t>
        </is>
      </c>
      <c r="E1712" s="3" t="inlineStr">
        <is>
          <t>임영진</t>
        </is>
      </c>
      <c r="F1712" s="3" t="inlineStr">
        <is>
          <t>특별관계자</t>
        </is>
      </c>
      <c r="G1712" s="3" t="inlineStr">
        <is>
          <t>시간외매매(-)</t>
        </is>
      </c>
      <c r="H1712" s="17" t="n">
        <v>-200000</v>
      </c>
      <c r="I1712" s="6" t="n">
        <v>17756</v>
      </c>
      <c r="J1712" s="6" t="n">
        <v>5576499</v>
      </c>
      <c r="K1712" s="16" t="n">
        <v>7</v>
      </c>
      <c r="L1712" s="2" t="inlineStr">
        <is>
          <t>20260527000525</t>
        </is>
      </c>
      <c r="M1712" s="8">
        <f>HYPERLINK("https://dart.fss.or.kr/dsaf001/main.do?rcpNo=20260527000525", "공시열람")</f>
        <v/>
      </c>
    </row>
    <row r="1713" ht="22" customHeight="1">
      <c r="A1713" s="2" t="inlineStr">
        <is>
          <t>2026-05-27</t>
        </is>
      </c>
      <c r="B1713" s="3" t="inlineStr">
        <is>
          <t>저스템</t>
        </is>
      </c>
      <c r="C1713" s="2" t="inlineStr">
        <is>
          <t>417840</t>
        </is>
      </c>
      <c r="D1713" s="2" t="inlineStr">
        <is>
          <t>대량보유</t>
        </is>
      </c>
      <c r="E1713" s="3" t="inlineStr">
        <is>
          <t>김용진</t>
        </is>
      </c>
      <c r="F1713" s="3" t="inlineStr">
        <is>
          <t>특별관계자</t>
        </is>
      </c>
      <c r="G1713" s="3" t="inlineStr">
        <is>
          <t>시간외매매(-)</t>
        </is>
      </c>
      <c r="H1713" s="17" t="n">
        <v>-200000</v>
      </c>
      <c r="I1713" s="6" t="n">
        <v>17756</v>
      </c>
      <c r="J1713" s="6" t="n">
        <v>499300</v>
      </c>
      <c r="K1713" s="16" t="n">
        <v>7</v>
      </c>
      <c r="L1713" s="2" t="inlineStr">
        <is>
          <t>20260527000525</t>
        </is>
      </c>
      <c r="M1713" s="8">
        <f>HYPERLINK("https://dart.fss.or.kr/dsaf001/main.do?rcpNo=20260527000525", "공시열람")</f>
        <v/>
      </c>
    </row>
    <row r="1714" ht="22" customHeight="1">
      <c r="A1714" s="2" t="inlineStr">
        <is>
          <t>2026-05-27</t>
        </is>
      </c>
      <c r="B1714" s="3" t="inlineStr">
        <is>
          <t>저스템</t>
        </is>
      </c>
      <c r="C1714" s="2" t="inlineStr">
        <is>
          <t>417840</t>
        </is>
      </c>
      <c r="D1714" s="2" t="inlineStr">
        <is>
          <t>대량보유</t>
        </is>
      </c>
      <c r="E1714" s="3" t="inlineStr">
        <is>
          <t>하정민</t>
        </is>
      </c>
      <c r="F1714" s="3" t="inlineStr">
        <is>
          <t>특별관계자</t>
        </is>
      </c>
      <c r="G1714" s="3" t="inlineStr">
        <is>
          <t>시간외매매(-)</t>
        </is>
      </c>
      <c r="H1714" s="17" t="n">
        <v>-50000</v>
      </c>
      <c r="I1714" s="6" t="n">
        <v>17756</v>
      </c>
      <c r="J1714" s="6" t="n">
        <v>26300</v>
      </c>
      <c r="K1714" s="16" t="n">
        <v>7</v>
      </c>
      <c r="L1714" s="2" t="inlineStr">
        <is>
          <t>20260527000525</t>
        </is>
      </c>
      <c r="M1714" s="8">
        <f>HYPERLINK("https://dart.fss.or.kr/dsaf001/main.do?rcpNo=20260527000525", "공시열람")</f>
        <v/>
      </c>
    </row>
    <row r="1715" ht="22" customHeight="1">
      <c r="A1715" s="2" t="inlineStr">
        <is>
          <t>2026-05-27</t>
        </is>
      </c>
      <c r="B1715" s="3" t="inlineStr">
        <is>
          <t>크래프톤</t>
        </is>
      </c>
      <c r="C1715" s="2" t="inlineStr">
        <is>
          <t>259960</t>
        </is>
      </c>
      <c r="D1715" s="2" t="inlineStr">
        <is>
          <t>대량보유</t>
        </is>
      </c>
      <c r="E1715" s="3" t="inlineStr">
        <is>
          <t>류성중</t>
        </is>
      </c>
      <c r="F1715" s="3" t="inlineStr">
        <is>
          <t>특별관계자</t>
        </is>
      </c>
      <c r="G1715" s="3" t="inlineStr">
        <is>
          <t>특별관계해소(-)</t>
        </is>
      </c>
      <c r="H1715" s="17" t="n">
        <v>-90926</v>
      </c>
      <c r="I1715" s="6" t="inlineStr"/>
      <c r="J1715" s="6" t="inlineStr"/>
      <c r="K1715" s="16" t="n">
        <v>32</v>
      </c>
      <c r="L1715" s="2" t="inlineStr">
        <is>
          <t>20260527000517</t>
        </is>
      </c>
      <c r="M1715" s="8">
        <f>HYPERLINK("https://dart.fss.or.kr/dsaf001/main.do?rcpNo=20260527000517", "공시열람")</f>
        <v/>
      </c>
    </row>
    <row r="1716" ht="22" customHeight="1">
      <c r="A1716" s="2" t="inlineStr">
        <is>
          <t>2026-05-27</t>
        </is>
      </c>
      <c r="B1716" s="3" t="inlineStr">
        <is>
          <t>크래프톤</t>
        </is>
      </c>
      <c r="C1716" s="2" t="inlineStr">
        <is>
          <t>259960</t>
        </is>
      </c>
      <c r="D1716" s="2" t="inlineStr">
        <is>
          <t>대량보유</t>
        </is>
      </c>
      <c r="E1716" s="3" t="inlineStr">
        <is>
          <t>장호준</t>
        </is>
      </c>
      <c r="F1716" s="3" t="inlineStr">
        <is>
          <t>특별관계자</t>
        </is>
      </c>
      <c r="G1716" s="3" t="inlineStr">
        <is>
          <t>특별관계해소(-)</t>
        </is>
      </c>
      <c r="H1716" s="17" t="n">
        <v>-119</v>
      </c>
      <c r="I1716" s="6" t="inlineStr"/>
      <c r="J1716" s="6" t="inlineStr"/>
      <c r="K1716" s="16" t="n">
        <v>32</v>
      </c>
      <c r="L1716" s="2" t="inlineStr">
        <is>
          <t>20260527000517</t>
        </is>
      </c>
      <c r="M1716" s="8">
        <f>HYPERLINK("https://dart.fss.or.kr/dsaf001/main.do?rcpNo=20260527000517", "공시열람")</f>
        <v/>
      </c>
    </row>
    <row r="1717" ht="22" customHeight="1">
      <c r="A1717" s="2" t="inlineStr">
        <is>
          <t>2026-05-27</t>
        </is>
      </c>
      <c r="B1717" s="3" t="inlineStr">
        <is>
          <t>크래프톤</t>
        </is>
      </c>
      <c r="C1717" s="2" t="inlineStr">
        <is>
          <t>259960</t>
        </is>
      </c>
      <c r="D1717" s="2" t="inlineStr">
        <is>
          <t>대량보유</t>
        </is>
      </c>
      <c r="E1717" s="3" t="inlineStr">
        <is>
          <t>박혜리</t>
        </is>
      </c>
      <c r="F1717" s="3" t="inlineStr">
        <is>
          <t>특별관계자</t>
        </is>
      </c>
      <c r="G1717" s="3" t="inlineStr">
        <is>
          <t>장내매도(-)</t>
        </is>
      </c>
      <c r="H1717" s="17" t="n">
        <v>-3000</v>
      </c>
      <c r="I1717" s="6" t="n">
        <v>272294</v>
      </c>
      <c r="J1717" s="6" t="n">
        <v>2590</v>
      </c>
      <c r="K1717" s="16" t="n">
        <v>32</v>
      </c>
      <c r="L1717" s="2" t="inlineStr">
        <is>
          <t>20260527000517</t>
        </is>
      </c>
      <c r="M1717" s="8">
        <f>HYPERLINK("https://dart.fss.or.kr/dsaf001/main.do?rcpNo=20260527000517", "공시열람")</f>
        <v/>
      </c>
    </row>
    <row r="1718" ht="22" customHeight="1">
      <c r="A1718" s="2" t="inlineStr">
        <is>
          <t>2026-05-27</t>
        </is>
      </c>
      <c r="B1718" s="3" t="inlineStr">
        <is>
          <t>크래프톤</t>
        </is>
      </c>
      <c r="C1718" s="2" t="inlineStr">
        <is>
          <t>259960</t>
        </is>
      </c>
      <c r="D1718" s="2" t="inlineStr">
        <is>
          <t>대량보유</t>
        </is>
      </c>
      <c r="E1718" s="3" t="inlineStr">
        <is>
          <t>이희수</t>
        </is>
      </c>
      <c r="F1718" s="3" t="inlineStr">
        <is>
          <t>특별관계자</t>
        </is>
      </c>
      <c r="G1718" s="3" t="inlineStr">
        <is>
          <t>특별관계해소(-)</t>
        </is>
      </c>
      <c r="H1718" s="17" t="n">
        <v>-1863</v>
      </c>
      <c r="I1718" s="6" t="inlineStr"/>
      <c r="J1718" s="6" t="inlineStr"/>
      <c r="K1718" s="16" t="n">
        <v>32</v>
      </c>
      <c r="L1718" s="2" t="inlineStr">
        <is>
          <t>20260527000517</t>
        </is>
      </c>
      <c r="M1718" s="8">
        <f>HYPERLINK("https://dart.fss.or.kr/dsaf001/main.do?rcpNo=20260527000517", "공시열람")</f>
        <v/>
      </c>
    </row>
    <row r="1719" ht="22" customHeight="1">
      <c r="A1719" s="2" t="inlineStr">
        <is>
          <t>2026-05-27</t>
        </is>
      </c>
      <c r="B1719" s="3" t="inlineStr">
        <is>
          <t>KTis</t>
        </is>
      </c>
      <c r="C1719" s="2" t="inlineStr">
        <is>
          <t>058860</t>
        </is>
      </c>
      <c r="D1719" s="2" t="inlineStr">
        <is>
          <t>임원보고</t>
        </is>
      </c>
      <c r="E1719" s="3" t="inlineStr">
        <is>
          <t>-</t>
        </is>
      </c>
      <c r="F1719" s="3" t="inlineStr">
        <is>
          <t>-</t>
        </is>
      </c>
      <c r="G1719" s="3" t="inlineStr">
        <is>
          <t>-</t>
        </is>
      </c>
      <c r="H1719" s="6" t="inlineStr"/>
      <c r="I1719" s="6" t="inlineStr"/>
      <c r="J1719" s="6" t="inlineStr"/>
      <c r="K1719" s="16" t="n">
        <v>12</v>
      </c>
      <c r="L1719" s="2" t="inlineStr">
        <is>
          <t>20260527800758</t>
        </is>
      </c>
      <c r="M1719" s="8">
        <f>HYPERLINK("https://dart.fss.or.kr/dsaf001/main.do?rcpNo=20260527800758", "공시열람")</f>
        <v/>
      </c>
    </row>
    <row r="1720" ht="22" customHeight="1">
      <c r="A1720" s="2" t="inlineStr">
        <is>
          <t>2026-05-27</t>
        </is>
      </c>
      <c r="B1720" s="3" t="inlineStr">
        <is>
          <t>로보스타</t>
        </is>
      </c>
      <c r="C1720" s="2" t="inlineStr">
        <is>
          <t>090360</t>
        </is>
      </c>
      <c r="D1720" s="2" t="inlineStr">
        <is>
          <t>대량보유</t>
        </is>
      </c>
      <c r="E1720" s="3" t="inlineStr">
        <is>
          <t>미래에셋자산운용</t>
        </is>
      </c>
      <c r="F1720" s="3" t="inlineStr">
        <is>
          <t>특별관계자</t>
        </is>
      </c>
      <c r="G1720" s="3" t="inlineStr">
        <is>
          <t>신규보고(+), 기타(+)</t>
        </is>
      </c>
      <c r="H1720" s="15" t="n">
        <v>493061</v>
      </c>
      <c r="I1720" s="6" t="n">
        <v>1862</v>
      </c>
      <c r="J1720" s="6" t="n">
        <v>493061</v>
      </c>
      <c r="K1720" s="16" t="n">
        <v>5.06</v>
      </c>
      <c r="L1720" s="2" t="inlineStr">
        <is>
          <t>20260527000513</t>
        </is>
      </c>
      <c r="M1720" s="8">
        <f>HYPERLINK("https://dart.fss.or.kr/dsaf001/main.do?rcpNo=20260527000513", "공시열람")</f>
        <v/>
      </c>
    </row>
    <row r="1721" ht="22" customHeight="1">
      <c r="A1721" s="2" t="inlineStr">
        <is>
          <t>2026-05-27</t>
        </is>
      </c>
      <c r="B1721" s="3" t="inlineStr">
        <is>
          <t>피엠티</t>
        </is>
      </c>
      <c r="C1721" s="2" t="inlineStr">
        <is>
          <t>147760</t>
        </is>
      </c>
      <c r="D1721" s="2" t="inlineStr">
        <is>
          <t>대량보유</t>
        </is>
      </c>
      <c r="E1721" s="3" t="inlineStr">
        <is>
          <t>미래에셋자산운용</t>
        </is>
      </c>
      <c r="F1721" s="3" t="inlineStr">
        <is>
          <t>특별관계자</t>
        </is>
      </c>
      <c r="G1721" s="3" t="inlineStr">
        <is>
          <t>신규보고(+), 장내매수(+)</t>
        </is>
      </c>
      <c r="H1721" s="15" t="n">
        <v>558535</v>
      </c>
      <c r="I1721" s="6" t="n">
        <v>1202</v>
      </c>
      <c r="J1721" s="6" t="n">
        <v>558535</v>
      </c>
      <c r="K1721" s="16" t="n">
        <v>5.16</v>
      </c>
      <c r="L1721" s="2" t="inlineStr">
        <is>
          <t>20260527000512</t>
        </is>
      </c>
      <c r="M1721" s="8">
        <f>HYPERLINK("https://dart.fss.or.kr/dsaf001/main.do?rcpNo=20260527000512", "공시열람")</f>
        <v/>
      </c>
    </row>
    <row r="1722" ht="22" customHeight="1">
      <c r="A1722" s="2" t="inlineStr">
        <is>
          <t>2026-05-27</t>
        </is>
      </c>
      <c r="B1722" s="3" t="inlineStr">
        <is>
          <t>두산에너빌리티</t>
        </is>
      </c>
      <c r="C1722" s="2" t="inlineStr">
        <is>
          <t>034020</t>
        </is>
      </c>
      <c r="D1722" s="2" t="inlineStr">
        <is>
          <t>대량보유</t>
        </is>
      </c>
      <c r="E1722" s="3" t="inlineStr">
        <is>
          <t>(주)두산</t>
        </is>
      </c>
      <c r="F1722" s="3" t="inlineStr">
        <is>
          <t>보고자</t>
        </is>
      </c>
      <c r="G1722" s="3" t="inlineStr">
        <is>
          <t>계약 내용의 변경</t>
        </is>
      </c>
      <c r="H1722" s="6" t="inlineStr"/>
      <c r="I1722" s="6" t="inlineStr"/>
      <c r="J1722" s="6" t="n">
        <v>196506795</v>
      </c>
      <c r="K1722" s="16" t="n">
        <v>27</v>
      </c>
      <c r="L1722" s="2" t="inlineStr">
        <is>
          <t>20260527000511</t>
        </is>
      </c>
      <c r="M1722" s="8">
        <f>HYPERLINK("https://dart.fss.or.kr/dsaf001/main.do?rcpNo=20260527000511", "공시열람")</f>
        <v/>
      </c>
    </row>
    <row r="1723" ht="22" customHeight="1">
      <c r="A1723" s="2" t="inlineStr">
        <is>
          <t>2026-05-27</t>
        </is>
      </c>
      <c r="B1723" s="3" t="inlineStr">
        <is>
          <t>우진</t>
        </is>
      </c>
      <c r="C1723" s="2" t="inlineStr">
        <is>
          <t>105840</t>
        </is>
      </c>
      <c r="D1723" s="2" t="inlineStr">
        <is>
          <t>대량보유</t>
        </is>
      </c>
      <c r="E1723" s="3" t="inlineStr">
        <is>
          <t>조재성</t>
        </is>
      </c>
      <c r="F1723" s="3" t="inlineStr">
        <is>
          <t>특별관계자</t>
        </is>
      </c>
      <c r="G1723" s="3" t="inlineStr">
        <is>
          <t>장내매수(+)</t>
        </is>
      </c>
      <c r="H1723" s="15" t="n">
        <v>321</v>
      </c>
      <c r="I1723" s="6" t="n">
        <v>22150</v>
      </c>
      <c r="J1723" s="6" t="n">
        <v>5000</v>
      </c>
      <c r="K1723" s="16" t="n">
        <v>11</v>
      </c>
      <c r="L1723" s="2" t="inlineStr">
        <is>
          <t>20260527000498</t>
        </is>
      </c>
      <c r="M1723" s="8">
        <f>HYPERLINK("https://dart.fss.or.kr/dsaf001/main.do?rcpNo=20260527000498", "공시열람")</f>
        <v/>
      </c>
    </row>
    <row r="1724" ht="22" customHeight="1">
      <c r="A1724" s="2" t="inlineStr">
        <is>
          <t>2026-05-27</t>
        </is>
      </c>
      <c r="B1724" s="3" t="inlineStr">
        <is>
          <t>우성머티리얼스</t>
        </is>
      </c>
      <c r="C1724" s="2" t="inlineStr">
        <is>
          <t>011300</t>
        </is>
      </c>
      <c r="D1724" s="2" t="inlineStr">
        <is>
          <t>대량보유</t>
        </is>
      </c>
      <c r="E1724" s="3" t="inlineStr">
        <is>
          <t>(주)동양잉크</t>
        </is>
      </c>
      <c r="F1724" s="3" t="inlineStr">
        <is>
          <t>특별관계자</t>
        </is>
      </c>
      <c r="G1724" s="3" t="inlineStr">
        <is>
          <t>전환사채의권리행사(+), CB인수(+)</t>
        </is>
      </c>
      <c r="H1724" s="15" t="n">
        <v>1215446</v>
      </c>
      <c r="I1724" s="6" t="n">
        <v>4936</v>
      </c>
      <c r="J1724" s="6" t="n">
        <v>1215446</v>
      </c>
      <c r="K1724" s="16" t="n">
        <v>7.66</v>
      </c>
      <c r="L1724" s="2" t="inlineStr">
        <is>
          <t>20260527000484</t>
        </is>
      </c>
      <c r="M1724" s="8">
        <f>HYPERLINK("https://dart.fss.or.kr/dsaf001/main.do?rcpNo=20260527000484", "공시열람")</f>
        <v/>
      </c>
    </row>
    <row r="1725" ht="22" customHeight="1">
      <c r="A1725" s="2" t="inlineStr">
        <is>
          <t>2026-05-27</t>
        </is>
      </c>
      <c r="B1725" s="3" t="inlineStr">
        <is>
          <t>영풍</t>
        </is>
      </c>
      <c r="C1725" s="2" t="inlineStr">
        <is>
          <t>000670</t>
        </is>
      </c>
      <c r="D1725" s="2" t="inlineStr">
        <is>
          <t>대량보유</t>
        </is>
      </c>
      <c r="E1725" s="3" t="inlineStr">
        <is>
          <t>영풍개발(주)</t>
        </is>
      </c>
      <c r="F1725" s="3" t="inlineStr">
        <is>
          <t>특별관계자</t>
        </is>
      </c>
      <c r="G1725" s="3" t="inlineStr">
        <is>
          <t>주식배당(+)</t>
        </is>
      </c>
      <c r="H1725" s="15" t="n">
        <v>89227</v>
      </c>
      <c r="I1725" s="6" t="inlineStr"/>
      <c r="J1725" s="6" t="n">
        <v>3063467</v>
      </c>
      <c r="K1725" s="16" t="n">
        <v>9</v>
      </c>
      <c r="L1725" s="2" t="inlineStr">
        <is>
          <t>20260527000474</t>
        </is>
      </c>
      <c r="M1725" s="8">
        <f>HYPERLINK("https://dart.fss.or.kr/dsaf001/main.do?rcpNo=20260527000474", "공시열람")</f>
        <v/>
      </c>
    </row>
    <row r="1726" ht="22" customHeight="1">
      <c r="A1726" s="2" t="inlineStr">
        <is>
          <t>2026-05-27</t>
        </is>
      </c>
      <c r="B1726" s="3" t="inlineStr">
        <is>
          <t>영풍</t>
        </is>
      </c>
      <c r="C1726" s="2" t="inlineStr">
        <is>
          <t>000670</t>
        </is>
      </c>
      <c r="D1726" s="2" t="inlineStr">
        <is>
          <t>대량보유</t>
        </is>
      </c>
      <c r="E1726" s="3" t="inlineStr">
        <is>
          <t>장세준</t>
        </is>
      </c>
      <c r="F1726" s="3" t="inlineStr">
        <is>
          <t>특별관계자</t>
        </is>
      </c>
      <c r="G1726" s="3" t="inlineStr">
        <is>
          <t>주식배당(+)</t>
        </is>
      </c>
      <c r="H1726" s="15" t="n">
        <v>97092</v>
      </c>
      <c r="I1726" s="6" t="inlineStr"/>
      <c r="J1726" s="6" t="n">
        <v>3333492</v>
      </c>
      <c r="K1726" s="16" t="n">
        <v>9</v>
      </c>
      <c r="L1726" s="2" t="inlineStr">
        <is>
          <t>20260527000474</t>
        </is>
      </c>
      <c r="M1726" s="8">
        <f>HYPERLINK("https://dart.fss.or.kr/dsaf001/main.do?rcpNo=20260527000474", "공시열람")</f>
        <v/>
      </c>
    </row>
    <row r="1727" ht="22" customHeight="1">
      <c r="A1727" s="2" t="inlineStr">
        <is>
          <t>2026-05-27</t>
        </is>
      </c>
      <c r="B1727" s="3" t="inlineStr">
        <is>
          <t>영풍</t>
        </is>
      </c>
      <c r="C1727" s="2" t="inlineStr">
        <is>
          <t>000670</t>
        </is>
      </c>
      <c r="D1727" s="2" t="inlineStr">
        <is>
          <t>대량보유</t>
        </is>
      </c>
      <c r="E1727" s="3" t="inlineStr">
        <is>
          <t>장세환</t>
        </is>
      </c>
      <c r="F1727" s="3" t="inlineStr">
        <is>
          <t>특별관계자</t>
        </is>
      </c>
      <c r="G1727" s="3" t="inlineStr">
        <is>
          <t>주식배당(+)</t>
        </is>
      </c>
      <c r="H1727" s="15" t="n">
        <v>68010</v>
      </c>
      <c r="I1727" s="6" t="inlineStr"/>
      <c r="J1727" s="6" t="n">
        <v>2335030</v>
      </c>
      <c r="K1727" s="16" t="n">
        <v>9</v>
      </c>
      <c r="L1727" s="2" t="inlineStr">
        <is>
          <t>20260527000474</t>
        </is>
      </c>
      <c r="M1727" s="8">
        <f>HYPERLINK("https://dart.fss.or.kr/dsaf001/main.do?rcpNo=20260527000474", "공시열람")</f>
        <v/>
      </c>
    </row>
    <row r="1728" ht="22" customHeight="1">
      <c r="A1728" s="2" t="inlineStr">
        <is>
          <t>2026-05-27</t>
        </is>
      </c>
      <c r="B1728" s="3" t="inlineStr">
        <is>
          <t>영풍</t>
        </is>
      </c>
      <c r="C1728" s="2" t="inlineStr">
        <is>
          <t>000670</t>
        </is>
      </c>
      <c r="D1728" s="2" t="inlineStr">
        <is>
          <t>대량보유</t>
        </is>
      </c>
      <c r="E1728" s="3" t="inlineStr">
        <is>
          <t>장혜선</t>
        </is>
      </c>
      <c r="F1728" s="3" t="inlineStr">
        <is>
          <t>특별관계자</t>
        </is>
      </c>
      <c r="G1728" s="3" t="inlineStr">
        <is>
          <t>주식배당(+)</t>
        </is>
      </c>
      <c r="H1728" s="15" t="n">
        <v>2970</v>
      </c>
      <c r="I1728" s="6" t="inlineStr"/>
      <c r="J1728" s="6" t="n">
        <v>101970</v>
      </c>
      <c r="K1728" s="16" t="n">
        <v>9</v>
      </c>
      <c r="L1728" s="2" t="inlineStr">
        <is>
          <t>20260527000474</t>
        </is>
      </c>
      <c r="M1728" s="8">
        <f>HYPERLINK("https://dart.fss.or.kr/dsaf001/main.do?rcpNo=20260527000474", "공시열람")</f>
        <v/>
      </c>
    </row>
    <row r="1729" ht="22" customHeight="1">
      <c r="A1729" s="2" t="inlineStr">
        <is>
          <t>2026-05-27</t>
        </is>
      </c>
      <c r="B1729" s="3" t="inlineStr">
        <is>
          <t>영풍</t>
        </is>
      </c>
      <c r="C1729" s="2" t="inlineStr">
        <is>
          <t>000670</t>
        </is>
      </c>
      <c r="D1729" s="2" t="inlineStr">
        <is>
          <t>대량보유</t>
        </is>
      </c>
      <c r="E1729" s="3" t="inlineStr">
        <is>
          <t>김혜경</t>
        </is>
      </c>
      <c r="F1729" s="3" t="inlineStr">
        <is>
          <t>특별관계자</t>
        </is>
      </c>
      <c r="G1729" s="3" t="inlineStr">
        <is>
          <t>주식배당(+)</t>
        </is>
      </c>
      <c r="H1729" s="15" t="n">
        <v>267</v>
      </c>
      <c r="I1729" s="6" t="inlineStr"/>
      <c r="J1729" s="6" t="n">
        <v>9187</v>
      </c>
      <c r="K1729" s="16" t="n">
        <v>9</v>
      </c>
      <c r="L1729" s="2" t="inlineStr">
        <is>
          <t>20260527000474</t>
        </is>
      </c>
      <c r="M1729" s="8">
        <f>HYPERLINK("https://dart.fss.or.kr/dsaf001/main.do?rcpNo=20260527000474", "공시열람")</f>
        <v/>
      </c>
    </row>
    <row r="1730" ht="22" customHeight="1">
      <c r="A1730" s="2" t="inlineStr">
        <is>
          <t>2026-05-27</t>
        </is>
      </c>
      <c r="B1730" s="3" t="inlineStr">
        <is>
          <t>영풍</t>
        </is>
      </c>
      <c r="C1730" s="2" t="inlineStr">
        <is>
          <t>000670</t>
        </is>
      </c>
      <c r="D1730" s="2" t="inlineStr">
        <is>
          <t>대량보유</t>
        </is>
      </c>
      <c r="E1730" s="3" t="inlineStr">
        <is>
          <t>씨케이(유)</t>
        </is>
      </c>
      <c r="F1730" s="3" t="inlineStr">
        <is>
          <t>특별관계자</t>
        </is>
      </c>
      <c r="G1730" s="3" t="inlineStr">
        <is>
          <t>주식배당(+)</t>
        </is>
      </c>
      <c r="H1730" s="15" t="n">
        <v>37070</v>
      </c>
      <c r="I1730" s="6" t="inlineStr"/>
      <c r="J1730" s="6" t="n">
        <v>1272740</v>
      </c>
      <c r="K1730" s="16" t="n">
        <v>9</v>
      </c>
      <c r="L1730" s="2" t="inlineStr">
        <is>
          <t>20260527000474</t>
        </is>
      </c>
      <c r="M1730" s="8">
        <f>HYPERLINK("https://dart.fss.or.kr/dsaf001/main.do?rcpNo=20260527000474", "공시열람")</f>
        <v/>
      </c>
    </row>
    <row r="1731" ht="22" customHeight="1">
      <c r="A1731" s="2" t="inlineStr">
        <is>
          <t>2026-05-27</t>
        </is>
      </c>
      <c r="B1731" s="3" t="inlineStr">
        <is>
          <t>영풍</t>
        </is>
      </c>
      <c r="C1731" s="2" t="inlineStr">
        <is>
          <t>000670</t>
        </is>
      </c>
      <c r="D1731" s="2" t="inlineStr">
        <is>
          <t>대량보유</t>
        </is>
      </c>
      <c r="E1731" s="3" t="inlineStr">
        <is>
          <t>에이치씨(유)</t>
        </is>
      </c>
      <c r="F1731" s="3" t="inlineStr">
        <is>
          <t>특별관계자</t>
        </is>
      </c>
      <c r="G1731" s="3" t="inlineStr">
        <is>
          <t>주식배당(+)</t>
        </is>
      </c>
      <c r="H1731" s="15" t="n">
        <v>7096</v>
      </c>
      <c r="I1731" s="6" t="inlineStr"/>
      <c r="J1731" s="6" t="n">
        <v>243646</v>
      </c>
      <c r="K1731" s="16" t="n">
        <v>9</v>
      </c>
      <c r="L1731" s="2" t="inlineStr">
        <is>
          <t>20260527000474</t>
        </is>
      </c>
      <c r="M1731" s="8">
        <f>HYPERLINK("https://dart.fss.or.kr/dsaf001/main.do?rcpNo=20260527000474", "공시열람")</f>
        <v/>
      </c>
    </row>
    <row r="1732" ht="22" customHeight="1">
      <c r="A1732" s="2" t="inlineStr">
        <is>
          <t>2026-05-27</t>
        </is>
      </c>
      <c r="B1732" s="3" t="inlineStr">
        <is>
          <t>영풍</t>
        </is>
      </c>
      <c r="C1732" s="2" t="inlineStr">
        <is>
          <t>000670</t>
        </is>
      </c>
      <c r="D1732" s="2" t="inlineStr">
        <is>
          <t>대량보유</t>
        </is>
      </c>
      <c r="E1732" s="3" t="inlineStr">
        <is>
          <t>강성두</t>
        </is>
      </c>
      <c r="F1732" s="3" t="inlineStr">
        <is>
          <t>특별관계자</t>
        </is>
      </c>
      <c r="G1732" s="3" t="inlineStr">
        <is>
          <t>장내매수(+), 주식분할, 주식배당(+)</t>
        </is>
      </c>
      <c r="H1732" s="15" t="n">
        <v>3400</v>
      </c>
      <c r="I1732" s="6" t="n">
        <v>73232</v>
      </c>
      <c r="J1732" s="6" t="n">
        <v>3400</v>
      </c>
      <c r="K1732" s="16" t="n">
        <v>9</v>
      </c>
      <c r="L1732" s="2" t="inlineStr">
        <is>
          <t>20260527000474</t>
        </is>
      </c>
      <c r="M1732" s="8">
        <f>HYPERLINK("https://dart.fss.or.kr/dsaf001/main.do?rcpNo=20260527000474", "공시열람")</f>
        <v/>
      </c>
    </row>
    <row r="1733" ht="22" customHeight="1">
      <c r="A1733" s="2" t="inlineStr">
        <is>
          <t>2026-05-27</t>
        </is>
      </c>
      <c r="B1733" s="3" t="inlineStr">
        <is>
          <t>영풍</t>
        </is>
      </c>
      <c r="C1733" s="2" t="inlineStr">
        <is>
          <t>000670</t>
        </is>
      </c>
      <c r="D1733" s="2" t="inlineStr">
        <is>
          <t>대량보유</t>
        </is>
      </c>
      <c r="E1733" s="3" t="inlineStr">
        <is>
          <t>김기호</t>
        </is>
      </c>
      <c r="F1733" s="3" t="inlineStr">
        <is>
          <t>특별관계자</t>
        </is>
      </c>
      <c r="G1733" s="3" t="inlineStr">
        <is>
          <t>장내매수(+)</t>
        </is>
      </c>
      <c r="H1733" s="15" t="n">
        <v>1125</v>
      </c>
      <c r="I1733" s="6" t="n">
        <v>53033</v>
      </c>
      <c r="J1733" s="6" t="n">
        <v>1125</v>
      </c>
      <c r="K1733" s="16" t="n">
        <v>9</v>
      </c>
      <c r="L1733" s="2" t="inlineStr">
        <is>
          <t>20260527000474</t>
        </is>
      </c>
      <c r="M1733" s="8">
        <f>HYPERLINK("https://dart.fss.or.kr/dsaf001/main.do?rcpNo=20260527000474", "공시열람")</f>
        <v/>
      </c>
    </row>
    <row r="1734" ht="22" customHeight="1">
      <c r="A1734" s="2" t="inlineStr">
        <is>
          <t>2026-05-27</t>
        </is>
      </c>
      <c r="B1734" s="3" t="inlineStr">
        <is>
          <t>지니언스</t>
        </is>
      </c>
      <c r="C1734" s="2" t="inlineStr">
        <is>
          <t>263860</t>
        </is>
      </c>
      <c r="D1734" s="2" t="inlineStr">
        <is>
          <t>대량보유</t>
        </is>
      </c>
      <c r="E1734" s="3" t="inlineStr">
        <is>
          <t>이동범</t>
        </is>
      </c>
      <c r="F1734" s="3" t="inlineStr">
        <is>
          <t>보고자</t>
        </is>
      </c>
      <c r="G1734" s="3" t="inlineStr">
        <is>
          <t>보고자의 보유주식에 관한 담보계약 변경</t>
        </is>
      </c>
      <c r="H1734" s="6" t="inlineStr"/>
      <c r="I1734" s="6" t="inlineStr"/>
      <c r="J1734" s="6" t="n">
        <v>3573776</v>
      </c>
      <c r="K1734" s="16" t="n">
        <v>4</v>
      </c>
      <c r="L1734" s="2" t="inlineStr">
        <is>
          <t>20260527000447</t>
        </is>
      </c>
      <c r="M1734" s="8">
        <f>HYPERLINK("https://dart.fss.or.kr/dsaf001/main.do?rcpNo=20260527000447", "공시열람")</f>
        <v/>
      </c>
    </row>
    <row r="1735" ht="22" customHeight="1">
      <c r="A1735" s="2" t="inlineStr">
        <is>
          <t>2026-05-27</t>
        </is>
      </c>
      <c r="B1735" s="3" t="inlineStr">
        <is>
          <t>이뮨온시아</t>
        </is>
      </c>
      <c r="C1735" s="2" t="inlineStr">
        <is>
          <t>424870</t>
        </is>
      </c>
      <c r="D1735" s="2" t="inlineStr">
        <is>
          <t>대량보유</t>
        </is>
      </c>
      <c r="E1735" s="3" t="inlineStr">
        <is>
          <t>(주)유한양행</t>
        </is>
      </c>
      <c r="F1735" s="3" t="inlineStr">
        <is>
          <t>특별관계자</t>
        </is>
      </c>
      <c r="G1735" s="3" t="inlineStr">
        <is>
          <t>기타(+), 기타(-), 유상신주취득(+)</t>
        </is>
      </c>
      <c r="H1735" s="15" t="n">
        <v>345503</v>
      </c>
      <c r="I1735" s="6" t="n">
        <v>4860</v>
      </c>
      <c r="J1735" s="6" t="n">
        <v>51633393</v>
      </c>
      <c r="K1735" s="16" t="n">
        <v>3</v>
      </c>
      <c r="L1735" s="2" t="inlineStr">
        <is>
          <t>20260527000445</t>
        </is>
      </c>
      <c r="M1735" s="8">
        <f>HYPERLINK("https://dart.fss.or.kr/dsaf001/main.do?rcpNo=20260527000445", "공시열람")</f>
        <v/>
      </c>
    </row>
    <row r="1736" ht="22" customHeight="1">
      <c r="A1736" s="2" t="inlineStr">
        <is>
          <t>2026-05-27</t>
        </is>
      </c>
      <c r="B1736" s="3" t="inlineStr">
        <is>
          <t>이뮨온시아</t>
        </is>
      </c>
      <c r="C1736" s="2" t="inlineStr">
        <is>
          <t>424870</t>
        </is>
      </c>
      <c r="D1736" s="2" t="inlineStr">
        <is>
          <t>대량보유</t>
        </is>
      </c>
      <c r="E1736" s="3" t="inlineStr">
        <is>
          <t>백순명</t>
        </is>
      </c>
      <c r="F1736" s="3" t="inlineStr">
        <is>
          <t>특별관계자</t>
        </is>
      </c>
      <c r="G1736" s="3" t="inlineStr">
        <is>
          <t>기타(+), 기타(-), 유상신주취득(+)</t>
        </is>
      </c>
      <c r="H1736" s="15" t="n">
        <v>1076</v>
      </c>
      <c r="I1736" s="6" t="n">
        <v>4860</v>
      </c>
      <c r="J1736" s="6" t="n">
        <v>41544</v>
      </c>
      <c r="K1736" s="16" t="n">
        <v>3</v>
      </c>
      <c r="L1736" s="2" t="inlineStr">
        <is>
          <t>20260527000445</t>
        </is>
      </c>
      <c r="M1736" s="8">
        <f>HYPERLINK("https://dart.fss.or.kr/dsaf001/main.do?rcpNo=20260527000445", "공시열람")</f>
        <v/>
      </c>
    </row>
    <row r="1737" ht="22" customHeight="1">
      <c r="A1737" s="2" t="inlineStr">
        <is>
          <t>2026-05-27</t>
        </is>
      </c>
      <c r="B1737" s="3" t="inlineStr">
        <is>
          <t>웰크론한텍</t>
        </is>
      </c>
      <c r="C1737" s="2" t="inlineStr">
        <is>
          <t>076080</t>
        </is>
      </c>
      <c r="D1737" s="2" t="inlineStr">
        <is>
          <t>대량보유</t>
        </is>
      </c>
      <c r="E1737" s="3" t="inlineStr">
        <is>
          <t>(주)웰크론</t>
        </is>
      </c>
      <c r="F1737" s="3" t="inlineStr">
        <is>
          <t>특별관계자</t>
        </is>
      </c>
      <c r="G1737" s="3" t="inlineStr">
        <is>
          <t>장내매수(+)</t>
        </is>
      </c>
      <c r="H1737" s="15" t="n">
        <v>13123</v>
      </c>
      <c r="I1737" s="6" t="n">
        <v>933</v>
      </c>
      <c r="J1737" s="6" t="n">
        <v>5929532</v>
      </c>
      <c r="K1737" s="16" t="n">
        <v>7</v>
      </c>
      <c r="L1737" s="2" t="inlineStr">
        <is>
          <t>20260527000440</t>
        </is>
      </c>
      <c r="M1737" s="8">
        <f>HYPERLINK("https://dart.fss.or.kr/dsaf001/main.do?rcpNo=20260527000440", "공시열람")</f>
        <v/>
      </c>
    </row>
    <row r="1738" ht="22" customHeight="1">
      <c r="A1738" s="2" t="inlineStr">
        <is>
          <t>2026-05-27</t>
        </is>
      </c>
      <c r="B1738" s="3" t="inlineStr">
        <is>
          <t>웰크론한텍</t>
        </is>
      </c>
      <c r="C1738" s="2" t="inlineStr">
        <is>
          <t>076080</t>
        </is>
      </c>
      <c r="D1738" s="2" t="inlineStr">
        <is>
          <t>대량보유</t>
        </is>
      </c>
      <c r="E1738" s="3" t="inlineStr">
        <is>
          <t>정성식</t>
        </is>
      </c>
      <c r="F1738" s="3" t="inlineStr">
        <is>
          <t>특별관계자</t>
        </is>
      </c>
      <c r="G1738" s="3" t="inlineStr">
        <is>
          <t>장내매수(+)</t>
        </is>
      </c>
      <c r="H1738" s="15" t="n">
        <v>5000</v>
      </c>
      <c r="I1738" s="6" t="n">
        <v>941</v>
      </c>
      <c r="J1738" s="6" t="n">
        <v>217419</v>
      </c>
      <c r="K1738" s="16" t="n">
        <v>7</v>
      </c>
      <c r="L1738" s="2" t="inlineStr">
        <is>
          <t>20260527000440</t>
        </is>
      </c>
      <c r="M1738" s="8">
        <f>HYPERLINK("https://dart.fss.or.kr/dsaf001/main.do?rcpNo=20260527000440", "공시열람")</f>
        <v/>
      </c>
    </row>
    <row r="1739" ht="22" customHeight="1">
      <c r="A1739" s="2" t="inlineStr">
        <is>
          <t>2026-05-27</t>
        </is>
      </c>
      <c r="B1739" s="3" t="inlineStr">
        <is>
          <t>디와이</t>
        </is>
      </c>
      <c r="C1739" s="2" t="inlineStr">
        <is>
          <t>013570</t>
        </is>
      </c>
      <c r="D1739" s="2" t="inlineStr">
        <is>
          <t>임원보고</t>
        </is>
      </c>
      <c r="E1739" s="3" t="inlineStr">
        <is>
          <t>-</t>
        </is>
      </c>
      <c r="F1739" s="3" t="inlineStr">
        <is>
          <t>-</t>
        </is>
      </c>
      <c r="G1739" s="3" t="inlineStr">
        <is>
          <t>-</t>
        </is>
      </c>
      <c r="H1739" s="6" t="inlineStr"/>
      <c r="I1739" s="6" t="inlineStr"/>
      <c r="J1739" s="6" t="inlineStr"/>
      <c r="K1739" s="16" t="n">
        <v>12</v>
      </c>
      <c r="L1739" s="2" t="inlineStr">
        <is>
          <t>20260527800633</t>
        </is>
      </c>
      <c r="M1739" s="8">
        <f>HYPERLINK("https://dart.fss.or.kr/dsaf001/main.do?rcpNo=20260527800633", "공시열람")</f>
        <v/>
      </c>
    </row>
    <row r="1740" ht="22" customHeight="1">
      <c r="A1740" s="2" t="inlineStr">
        <is>
          <t>2026-05-27</t>
        </is>
      </c>
      <c r="B1740" s="3" t="inlineStr">
        <is>
          <t>디와이</t>
        </is>
      </c>
      <c r="C1740" s="2" t="inlineStr">
        <is>
          <t>013570</t>
        </is>
      </c>
      <c r="D1740" s="2" t="inlineStr">
        <is>
          <t>대량보유</t>
        </is>
      </c>
      <c r="E1740" s="3" t="inlineStr">
        <is>
          <t>김현수</t>
        </is>
      </c>
      <c r="F1740" s="3" t="inlineStr">
        <is>
          <t>특별관계자</t>
        </is>
      </c>
      <c r="G1740" s="3" t="inlineStr">
        <is>
          <t>신규선임(유상취득)(+)</t>
        </is>
      </c>
      <c r="H1740" s="15" t="n">
        <v>3808</v>
      </c>
      <c r="I1740" s="6" t="inlineStr"/>
      <c r="J1740" s="6" t="n">
        <v>3808</v>
      </c>
      <c r="K1740" s="16" t="n">
        <v>6</v>
      </c>
      <c r="L1740" s="2" t="inlineStr">
        <is>
          <t>20260527000433</t>
        </is>
      </c>
      <c r="M1740" s="8">
        <f>HYPERLINK("https://dart.fss.or.kr/dsaf001/main.do?rcpNo=20260527000433", "공시열람")</f>
        <v/>
      </c>
    </row>
    <row r="1741" ht="22" customHeight="1">
      <c r="A1741" s="2" t="inlineStr">
        <is>
          <t>2026-05-27</t>
        </is>
      </c>
      <c r="B1741" s="3" t="inlineStr">
        <is>
          <t>에이루트</t>
        </is>
      </c>
      <c r="C1741" s="2" t="inlineStr">
        <is>
          <t>096690</t>
        </is>
      </c>
      <c r="D1741" s="2" t="inlineStr">
        <is>
          <t>대량보유</t>
        </is>
      </c>
      <c r="E1741" s="3" t="inlineStr">
        <is>
          <t>㈜다올에이엠</t>
        </is>
      </c>
      <c r="F1741" s="3" t="inlineStr">
        <is>
          <t>특별관계자</t>
        </is>
      </c>
      <c r="G1741" s="3" t="inlineStr">
        <is>
          <t>장내매수(+)</t>
        </is>
      </c>
      <c r="H1741" s="15" t="n">
        <v>12799</v>
      </c>
      <c r="I1741" s="6" t="n">
        <v>7805</v>
      </c>
      <c r="J1741" s="6" t="n">
        <v>217432</v>
      </c>
      <c r="K1741" s="16" t="n">
        <v>4</v>
      </c>
      <c r="L1741" s="2" t="inlineStr">
        <is>
          <t>20260527000428</t>
        </is>
      </c>
      <c r="M1741" s="8">
        <f>HYPERLINK("https://dart.fss.or.kr/dsaf001/main.do?rcpNo=20260527000428", "공시열람")</f>
        <v/>
      </c>
    </row>
    <row r="1742" ht="22" customHeight="1">
      <c r="A1742" s="2" t="inlineStr">
        <is>
          <t>2026-05-27</t>
        </is>
      </c>
      <c r="B1742" s="3" t="inlineStr">
        <is>
          <t>에이루트</t>
        </is>
      </c>
      <c r="C1742" s="2" t="inlineStr">
        <is>
          <t>096690</t>
        </is>
      </c>
      <c r="D1742" s="2" t="inlineStr">
        <is>
          <t>대량보유</t>
        </is>
      </c>
      <c r="E1742" s="3" t="inlineStr">
        <is>
          <t>서문동군</t>
        </is>
      </c>
      <c r="F1742" s="3" t="inlineStr">
        <is>
          <t>특별관계자</t>
        </is>
      </c>
      <c r="G1742" s="3" t="inlineStr">
        <is>
          <t>장내매수(+)</t>
        </is>
      </c>
      <c r="H1742" s="15" t="n">
        <v>5656</v>
      </c>
      <c r="I1742" s="6" t="n">
        <v>7028</v>
      </c>
      <c r="J1742" s="6" t="n">
        <v>73059</v>
      </c>
      <c r="K1742" s="16" t="n">
        <v>4</v>
      </c>
      <c r="L1742" s="2" t="inlineStr">
        <is>
          <t>20260527000428</t>
        </is>
      </c>
      <c r="M1742" s="8">
        <f>HYPERLINK("https://dart.fss.or.kr/dsaf001/main.do?rcpNo=20260527000428", "공시열람")</f>
        <v/>
      </c>
    </row>
    <row r="1743" ht="22" customHeight="1">
      <c r="A1743" s="2" t="inlineStr">
        <is>
          <t>2026-05-27</t>
        </is>
      </c>
      <c r="B1743" s="3" t="inlineStr">
        <is>
          <t>에이루트</t>
        </is>
      </c>
      <c r="C1743" s="2" t="inlineStr">
        <is>
          <t>096690</t>
        </is>
      </c>
      <c r="D1743" s="2" t="inlineStr">
        <is>
          <t>대량보유</t>
        </is>
      </c>
      <c r="E1743" s="3" t="inlineStr">
        <is>
          <t>이대성</t>
        </is>
      </c>
      <c r="F1743" s="3" t="inlineStr">
        <is>
          <t>특별관계자</t>
        </is>
      </c>
      <c r="G1743" s="3" t="inlineStr">
        <is>
          <t>장내매수(+)</t>
        </is>
      </c>
      <c r="H1743" s="15" t="n">
        <v>6267</v>
      </c>
      <c r="I1743" s="6" t="n">
        <v>7536</v>
      </c>
      <c r="J1743" s="6" t="n">
        <v>41529</v>
      </c>
      <c r="K1743" s="16" t="n">
        <v>4</v>
      </c>
      <c r="L1743" s="2" t="inlineStr">
        <is>
          <t>20260527000428</t>
        </is>
      </c>
      <c r="M1743" s="8">
        <f>HYPERLINK("https://dart.fss.or.kr/dsaf001/main.do?rcpNo=20260527000428", "공시열람")</f>
        <v/>
      </c>
    </row>
    <row r="1744" ht="22" customHeight="1">
      <c r="A1744" s="2" t="inlineStr">
        <is>
          <t>2026-05-27</t>
        </is>
      </c>
      <c r="B1744" s="3" t="inlineStr">
        <is>
          <t>이수화학</t>
        </is>
      </c>
      <c r="C1744" s="2" t="inlineStr">
        <is>
          <t>005950</t>
        </is>
      </c>
      <c r="D1744" s="2" t="inlineStr">
        <is>
          <t>대량보유</t>
        </is>
      </c>
      <c r="E1744" s="3" t="inlineStr">
        <is>
          <t>김동민</t>
        </is>
      </c>
      <c r="F1744" s="3" t="inlineStr">
        <is>
          <t>특별관계자</t>
        </is>
      </c>
      <c r="G1744" s="3" t="inlineStr">
        <is>
          <t>장내매수(+)</t>
        </is>
      </c>
      <c r="H1744" s="15" t="n">
        <v>30000</v>
      </c>
      <c r="I1744" s="6" t="n">
        <v>11420</v>
      </c>
      <c r="J1744" s="6" t="n">
        <v>30000</v>
      </c>
      <c r="K1744" s="16" t="n">
        <v>8</v>
      </c>
      <c r="L1744" s="2" t="inlineStr">
        <is>
          <t>20260527000417</t>
        </is>
      </c>
      <c r="M1744" s="8">
        <f>HYPERLINK("https://dart.fss.or.kr/dsaf001/main.do?rcpNo=20260527000417", "공시열람")</f>
        <v/>
      </c>
    </row>
    <row r="1745" ht="22" customHeight="1">
      <c r="A1745" s="2" t="inlineStr">
        <is>
          <t>2026-05-27</t>
        </is>
      </c>
      <c r="B1745" s="3" t="inlineStr">
        <is>
          <t>이수페타시스</t>
        </is>
      </c>
      <c r="C1745" s="2" t="inlineStr">
        <is>
          <t>007660</t>
        </is>
      </c>
      <c r="D1745" s="2" t="inlineStr">
        <is>
          <t>대량보유</t>
        </is>
      </c>
      <c r="E1745" s="3" t="inlineStr">
        <is>
          <t>(주)이수</t>
        </is>
      </c>
      <c r="F1745" s="3" t="inlineStr">
        <is>
          <t>보고자</t>
        </is>
      </c>
      <c r="G1745" s="3" t="inlineStr">
        <is>
          <t>보유주식에 관한 계약내용 변경 (차입금 담보 수량 변경)</t>
        </is>
      </c>
      <c r="H1745" s="6" t="inlineStr"/>
      <c r="I1745" s="6" t="inlineStr"/>
      <c r="J1745" s="6" t="n">
        <v>19183225</v>
      </c>
      <c r="K1745" s="16" t="n">
        <v>5</v>
      </c>
      <c r="L1745" s="2" t="inlineStr">
        <is>
          <t>20260527000415</t>
        </is>
      </c>
      <c r="M1745" s="8">
        <f>HYPERLINK("https://dart.fss.or.kr/dsaf001/main.do?rcpNo=20260527000415", "공시열람")</f>
        <v/>
      </c>
    </row>
    <row r="1746" ht="22" customHeight="1">
      <c r="A1746" s="2" t="inlineStr">
        <is>
          <t>2026-05-27</t>
        </is>
      </c>
      <c r="B1746" s="3" t="inlineStr">
        <is>
          <t>상보</t>
        </is>
      </c>
      <c r="C1746" s="2" t="inlineStr">
        <is>
          <t>027580</t>
        </is>
      </c>
      <c r="D1746" s="2" t="inlineStr">
        <is>
          <t>대량보유</t>
        </is>
      </c>
      <c r="E1746" s="3" t="inlineStr">
        <is>
          <t>김상근</t>
        </is>
      </c>
      <c r="F1746" s="3" t="inlineStr">
        <is>
          <t>특별관계자</t>
        </is>
      </c>
      <c r="G1746" s="3" t="inlineStr">
        <is>
          <t>주식병합</t>
        </is>
      </c>
      <c r="H1746" s="17" t="n">
        <v>-7009448</v>
      </c>
      <c r="I1746" s="6" t="inlineStr"/>
      <c r="J1746" s="6" t="n">
        <v>1752362</v>
      </c>
      <c r="K1746" s="16" t="n">
        <v>4</v>
      </c>
      <c r="L1746" s="2" t="inlineStr">
        <is>
          <t>20260527000412</t>
        </is>
      </c>
      <c r="M1746" s="8">
        <f>HYPERLINK("https://dart.fss.or.kr/dsaf001/main.do?rcpNo=20260527000412", "공시열람")</f>
        <v/>
      </c>
    </row>
    <row r="1747" ht="22" customHeight="1">
      <c r="A1747" s="2" t="inlineStr">
        <is>
          <t>2026-05-27</t>
        </is>
      </c>
      <c r="B1747" s="3" t="inlineStr">
        <is>
          <t>상보</t>
        </is>
      </c>
      <c r="C1747" s="2" t="inlineStr">
        <is>
          <t>027580</t>
        </is>
      </c>
      <c r="D1747" s="2" t="inlineStr">
        <is>
          <t>대량보유</t>
        </is>
      </c>
      <c r="E1747" s="3" t="inlineStr">
        <is>
          <t>김현철</t>
        </is>
      </c>
      <c r="F1747" s="3" t="inlineStr">
        <is>
          <t>특별관계자</t>
        </is>
      </c>
      <c r="G1747" s="3" t="inlineStr">
        <is>
          <t>주식병합</t>
        </is>
      </c>
      <c r="H1747" s="17" t="n">
        <v>-651069</v>
      </c>
      <c r="I1747" s="6" t="inlineStr"/>
      <c r="J1747" s="6" t="n">
        <v>162767</v>
      </c>
      <c r="K1747" s="16" t="n">
        <v>4</v>
      </c>
      <c r="L1747" s="2" t="inlineStr">
        <is>
          <t>20260527000412</t>
        </is>
      </c>
      <c r="M1747" s="8">
        <f>HYPERLINK("https://dart.fss.or.kr/dsaf001/main.do?rcpNo=20260527000412", "공시열람")</f>
        <v/>
      </c>
    </row>
    <row r="1748" ht="22" customHeight="1">
      <c r="A1748" s="2" t="inlineStr">
        <is>
          <t>2026-05-27</t>
        </is>
      </c>
      <c r="B1748" s="3" t="inlineStr">
        <is>
          <t>상보</t>
        </is>
      </c>
      <c r="C1748" s="2" t="inlineStr">
        <is>
          <t>027580</t>
        </is>
      </c>
      <c r="D1748" s="2" t="inlineStr">
        <is>
          <t>대량보유</t>
        </is>
      </c>
      <c r="E1748" s="3" t="inlineStr">
        <is>
          <t>최윤영</t>
        </is>
      </c>
      <c r="F1748" s="3" t="inlineStr">
        <is>
          <t>특별관계자</t>
        </is>
      </c>
      <c r="G1748" s="3" t="inlineStr">
        <is>
          <t>주식병합</t>
        </is>
      </c>
      <c r="H1748" s="17" t="n">
        <v>-257510</v>
      </c>
      <c r="I1748" s="6" t="inlineStr"/>
      <c r="J1748" s="6" t="n">
        <v>64377</v>
      </c>
      <c r="K1748" s="16" t="n">
        <v>4</v>
      </c>
      <c r="L1748" s="2" t="inlineStr">
        <is>
          <t>20260527000412</t>
        </is>
      </c>
      <c r="M1748" s="8">
        <f>HYPERLINK("https://dart.fss.or.kr/dsaf001/main.do?rcpNo=20260527000412", "공시열람")</f>
        <v/>
      </c>
    </row>
    <row r="1749" ht="22" customHeight="1">
      <c r="A1749" s="2" t="inlineStr">
        <is>
          <t>2026-05-27</t>
        </is>
      </c>
      <c r="B1749" s="3" t="inlineStr">
        <is>
          <t>상보</t>
        </is>
      </c>
      <c r="C1749" s="2" t="inlineStr">
        <is>
          <t>027580</t>
        </is>
      </c>
      <c r="D1749" s="2" t="inlineStr">
        <is>
          <t>대량보유</t>
        </is>
      </c>
      <c r="E1749" s="3" t="inlineStr">
        <is>
          <t>이홍민</t>
        </is>
      </c>
      <c r="F1749" s="3" t="inlineStr">
        <is>
          <t>특별관계자</t>
        </is>
      </c>
      <c r="G1749" s="3" t="inlineStr">
        <is>
          <t>주식병합</t>
        </is>
      </c>
      <c r="H1749" s="17" t="n">
        <v>-111856</v>
      </c>
      <c r="I1749" s="6" t="inlineStr"/>
      <c r="J1749" s="6" t="n">
        <v>27963</v>
      </c>
      <c r="K1749" s="16" t="n">
        <v>4</v>
      </c>
      <c r="L1749" s="2" t="inlineStr">
        <is>
          <t>20260527000412</t>
        </is>
      </c>
      <c r="M1749" s="8">
        <f>HYPERLINK("https://dart.fss.or.kr/dsaf001/main.do?rcpNo=20260527000412", "공시열람")</f>
        <v/>
      </c>
    </row>
    <row r="1750" ht="22" customHeight="1">
      <c r="A1750" s="2" t="inlineStr">
        <is>
          <t>2026-05-27</t>
        </is>
      </c>
      <c r="B1750" s="3" t="inlineStr">
        <is>
          <t>상보</t>
        </is>
      </c>
      <c r="C1750" s="2" t="inlineStr">
        <is>
          <t>027580</t>
        </is>
      </c>
      <c r="D1750" s="2" t="inlineStr">
        <is>
          <t>대량보유</t>
        </is>
      </c>
      <c r="E1750" s="3" t="inlineStr">
        <is>
          <t>김형규</t>
        </is>
      </c>
      <c r="F1750" s="3" t="inlineStr">
        <is>
          <t>특별관계자</t>
        </is>
      </c>
      <c r="G1750" s="3" t="inlineStr">
        <is>
          <t>주식병합</t>
        </is>
      </c>
      <c r="H1750" s="17" t="n">
        <v>-16000</v>
      </c>
      <c r="I1750" s="6" t="inlineStr"/>
      <c r="J1750" s="6" t="n">
        <v>4000</v>
      </c>
      <c r="K1750" s="16" t="n">
        <v>4</v>
      </c>
      <c r="L1750" s="2" t="inlineStr">
        <is>
          <t>20260527000412</t>
        </is>
      </c>
      <c r="M1750" s="8">
        <f>HYPERLINK("https://dart.fss.or.kr/dsaf001/main.do?rcpNo=20260527000412", "공시열람")</f>
        <v/>
      </c>
    </row>
    <row r="1751" ht="22" customHeight="1">
      <c r="A1751" s="2" t="inlineStr">
        <is>
          <t>2026-05-27</t>
        </is>
      </c>
      <c r="B1751" s="3" t="inlineStr">
        <is>
          <t>다우데이타</t>
        </is>
      </c>
      <c r="C1751" s="2" t="inlineStr">
        <is>
          <t>032190</t>
        </is>
      </c>
      <c r="D1751" s="2" t="inlineStr">
        <is>
          <t>대량보유</t>
        </is>
      </c>
      <c r="E1751" s="3" t="inlineStr">
        <is>
          <t>김익래</t>
        </is>
      </c>
      <c r="F1751" s="3" t="inlineStr">
        <is>
          <t>보고자</t>
        </is>
      </c>
      <c r="G1751" s="3" t="inlineStr">
        <is>
          <t>- 주식 담보 계약 갱신</t>
        </is>
      </c>
      <c r="H1751" s="6" t="inlineStr"/>
      <c r="I1751" s="6" t="inlineStr"/>
      <c r="J1751" s="6" t="n">
        <v>24241287</v>
      </c>
      <c r="K1751" s="16" t="n">
        <v>7</v>
      </c>
      <c r="L1751" s="2" t="inlineStr">
        <is>
          <t>20260527000388</t>
        </is>
      </c>
      <c r="M1751" s="8">
        <f>HYPERLINK("https://dart.fss.or.kr/dsaf001/main.do?rcpNo=20260527000388", "공시열람")</f>
        <v/>
      </c>
    </row>
    <row r="1752" ht="22" customHeight="1">
      <c r="A1752" s="2" t="inlineStr">
        <is>
          <t>2026-05-27</t>
        </is>
      </c>
      <c r="B1752" s="3" t="inlineStr">
        <is>
          <t>미스토홀딩스</t>
        </is>
      </c>
      <c r="C1752" s="2" t="inlineStr">
        <is>
          <t>081660</t>
        </is>
      </c>
      <c r="D1752" s="2" t="inlineStr">
        <is>
          <t>대량보유</t>
        </is>
      </c>
      <c r="E1752" s="3" t="inlineStr">
        <is>
          <t>(주)피에몬테</t>
        </is>
      </c>
      <c r="F1752" s="3" t="inlineStr">
        <is>
          <t>특별관계자</t>
        </is>
      </c>
      <c r="G1752" s="3" t="inlineStr">
        <is>
          <t>이현직 장내 매수</t>
        </is>
      </c>
      <c r="H1752" s="6" t="inlineStr"/>
      <c r="I1752" s="6" t="inlineStr"/>
      <c r="J1752" s="6" t="n">
        <v>21522814</v>
      </c>
      <c r="K1752" s="16" t="n">
        <v>3</v>
      </c>
      <c r="L1752" s="2" t="inlineStr">
        <is>
          <t>20260527000386</t>
        </is>
      </c>
      <c r="M1752" s="8">
        <f>HYPERLINK("https://dart.fss.or.kr/dsaf001/main.do?rcpNo=20260527000386", "공시열람")</f>
        <v/>
      </c>
    </row>
    <row r="1753" ht="22" customHeight="1">
      <c r="A1753" s="2" t="inlineStr">
        <is>
          <t>2026-05-27</t>
        </is>
      </c>
      <c r="B1753" s="3" t="inlineStr">
        <is>
          <t>미스토홀딩스</t>
        </is>
      </c>
      <c r="C1753" s="2" t="inlineStr">
        <is>
          <t>081660</t>
        </is>
      </c>
      <c r="D1753" s="2" t="inlineStr">
        <is>
          <t>대량보유</t>
        </is>
      </c>
      <c r="E1753" s="3" t="inlineStr">
        <is>
          <t>이현직</t>
        </is>
      </c>
      <c r="F1753" s="3" t="inlineStr">
        <is>
          <t>특별관계자</t>
        </is>
      </c>
      <c r="G1753" s="3" t="inlineStr">
        <is>
          <t>장내매수(+)</t>
        </is>
      </c>
      <c r="H1753" s="15" t="n">
        <v>3500</v>
      </c>
      <c r="I1753" s="6" t="n">
        <v>36726</v>
      </c>
      <c r="J1753" s="6" t="n">
        <v>63500</v>
      </c>
      <c r="K1753" s="16" t="n">
        <v>3</v>
      </c>
      <c r="L1753" s="2" t="inlineStr">
        <is>
          <t>20260527000386</t>
        </is>
      </c>
      <c r="M1753" s="8">
        <f>HYPERLINK("https://dart.fss.or.kr/dsaf001/main.do?rcpNo=20260527000386", "공시열람")</f>
        <v/>
      </c>
    </row>
    <row r="1754" ht="22" customHeight="1">
      <c r="A1754" s="2" t="inlineStr">
        <is>
          <t>2026-05-27</t>
        </is>
      </c>
      <c r="B1754" s="3" t="inlineStr">
        <is>
          <t>엔솔바이오사이언스</t>
        </is>
      </c>
      <c r="C1754" s="2" t="inlineStr">
        <is>
          <t>140610</t>
        </is>
      </c>
      <c r="D1754" s="2" t="inlineStr">
        <is>
          <t>대량보유</t>
        </is>
      </c>
      <c r="E1754" s="3" t="inlineStr">
        <is>
          <t>코리아바이오유니콘창업벤처전문사모투자합자회사</t>
        </is>
      </c>
      <c r="F1754" s="3" t="inlineStr">
        <is>
          <t>특별관계자</t>
        </is>
      </c>
      <c r="G1754" s="3" t="inlineStr">
        <is>
          <t>CB인수(+), 행사가액조정, 전환등(-), 전환사채의권리행사(+)</t>
        </is>
      </c>
      <c r="H1754" s="15" t="n">
        <v>343053</v>
      </c>
      <c r="I1754" s="6" t="n">
        <v>7270</v>
      </c>
      <c r="J1754" s="6" t="n">
        <v>343053</v>
      </c>
      <c r="K1754" s="16" t="n">
        <v>2</v>
      </c>
      <c r="L1754" s="2" t="inlineStr">
        <is>
          <t>20260527000359</t>
        </is>
      </c>
      <c r="M1754" s="8">
        <f>HYPERLINK("https://dart.fss.or.kr/dsaf001/main.do?rcpNo=20260527000359", "공시열람")</f>
        <v/>
      </c>
    </row>
    <row r="1755" ht="22" customHeight="1">
      <c r="A1755" s="2" t="inlineStr">
        <is>
          <t>2026-05-27</t>
        </is>
      </c>
      <c r="B1755" s="3" t="inlineStr">
        <is>
          <t>엔솔바이오사이언스</t>
        </is>
      </c>
      <c r="C1755" s="2" t="inlineStr">
        <is>
          <t>140610</t>
        </is>
      </c>
      <c r="D1755" s="2" t="inlineStr">
        <is>
          <t>대량보유</t>
        </is>
      </c>
      <c r="E1755" s="3" t="inlineStr">
        <is>
          <t>마그나GREEN펀드</t>
        </is>
      </c>
      <c r="F1755" s="3" t="inlineStr">
        <is>
          <t>특별관계자</t>
        </is>
      </c>
      <c r="G1755" s="3" t="inlineStr">
        <is>
          <t>CB인수(+)</t>
        </is>
      </c>
      <c r="H1755" s="15" t="n">
        <v>416019</v>
      </c>
      <c r="I1755" s="6" t="n">
        <v>6009</v>
      </c>
      <c r="J1755" s="6" t="n">
        <v>416019</v>
      </c>
      <c r="K1755" s="16" t="n">
        <v>2</v>
      </c>
      <c r="L1755" s="2" t="inlineStr">
        <is>
          <t>20260527000359</t>
        </is>
      </c>
      <c r="M1755" s="8">
        <f>HYPERLINK("https://dart.fss.or.kr/dsaf001/main.do?rcpNo=20260527000359", "공시열람")</f>
        <v/>
      </c>
    </row>
    <row r="1756" ht="22" customHeight="1">
      <c r="A1756" s="2" t="inlineStr">
        <is>
          <t>2026-05-27</t>
        </is>
      </c>
      <c r="B1756" s="3" t="inlineStr">
        <is>
          <t>이퓨쳐</t>
        </is>
      </c>
      <c r="C1756" s="2" t="inlineStr">
        <is>
          <t>134060</t>
        </is>
      </c>
      <c r="D1756" s="2" t="inlineStr">
        <is>
          <t>대량보유</t>
        </is>
      </c>
      <c r="E1756" s="3" t="inlineStr">
        <is>
          <t>이승호</t>
        </is>
      </c>
      <c r="F1756" s="3" t="inlineStr">
        <is>
          <t>특별관계자</t>
        </is>
      </c>
      <c r="G1756" s="3" t="inlineStr">
        <is>
          <t>장내매수(+)</t>
        </is>
      </c>
      <c r="H1756" s="15" t="n">
        <v>690</v>
      </c>
      <c r="I1756" s="6" t="n">
        <v>3910</v>
      </c>
      <c r="J1756" s="6" t="n">
        <v>690</v>
      </c>
      <c r="K1756" s="16" t="n">
        <v>2</v>
      </c>
      <c r="L1756" s="2" t="inlineStr">
        <is>
          <t>20260527000358</t>
        </is>
      </c>
      <c r="M1756" s="8">
        <f>HYPERLINK("https://dart.fss.or.kr/dsaf001/main.do?rcpNo=20260527000358", "공시열람")</f>
        <v/>
      </c>
    </row>
    <row r="1757" ht="22" customHeight="1">
      <c r="A1757" s="2" t="inlineStr">
        <is>
          <t>2026-05-27</t>
        </is>
      </c>
      <c r="B1757" s="3" t="inlineStr">
        <is>
          <t>이퓨쳐</t>
        </is>
      </c>
      <c r="C1757" s="2" t="inlineStr">
        <is>
          <t>134060</t>
        </is>
      </c>
      <c r="D1757" s="2" t="inlineStr">
        <is>
          <t>대량보유</t>
        </is>
      </c>
      <c r="E1757" s="3" t="inlineStr">
        <is>
          <t>이기현</t>
        </is>
      </c>
      <c r="F1757" s="3" t="inlineStr">
        <is>
          <t>특별관계자</t>
        </is>
      </c>
      <c r="G1757" s="3" t="inlineStr">
        <is>
          <t>장내매수(+)</t>
        </is>
      </c>
      <c r="H1757" s="15" t="n">
        <v>2332</v>
      </c>
      <c r="I1757" s="6" t="n">
        <v>3793</v>
      </c>
      <c r="J1757" s="6" t="n">
        <v>1200698</v>
      </c>
      <c r="K1757" s="16" t="n">
        <v>2</v>
      </c>
      <c r="L1757" s="2" t="inlineStr">
        <is>
          <t>20260527000358</t>
        </is>
      </c>
      <c r="M1757" s="8">
        <f>HYPERLINK("https://dart.fss.or.kr/dsaf001/main.do?rcpNo=20260527000358", "공시열람")</f>
        <v/>
      </c>
    </row>
    <row r="1758" ht="22" customHeight="1">
      <c r="A1758" s="2" t="inlineStr">
        <is>
          <t>2026-05-27</t>
        </is>
      </c>
      <c r="B1758" s="3" t="inlineStr">
        <is>
          <t>보로노이</t>
        </is>
      </c>
      <c r="C1758" s="2" t="inlineStr">
        <is>
          <t>310210</t>
        </is>
      </c>
      <c r="D1758" s="2" t="inlineStr">
        <is>
          <t>대량보유</t>
        </is>
      </c>
      <c r="E1758" s="3" t="inlineStr">
        <is>
          <t>김현태</t>
        </is>
      </c>
      <c r="F1758" s="3" t="inlineStr">
        <is>
          <t>보고자</t>
        </is>
      </c>
      <c r="G1758" s="3" t="inlineStr">
        <is>
          <t>- 보유주식등에 관한 계약 변경(주식담보대출 연장)</t>
        </is>
      </c>
      <c r="H1758" s="6" t="inlineStr"/>
      <c r="I1758" s="6" t="inlineStr"/>
      <c r="J1758" s="6" t="n">
        <v>7706737</v>
      </c>
      <c r="K1758" s="16" t="n">
        <v>9</v>
      </c>
      <c r="L1758" s="2" t="inlineStr">
        <is>
          <t>20260527000347</t>
        </is>
      </c>
      <c r="M1758" s="8">
        <f>HYPERLINK("https://dart.fss.or.kr/dsaf001/main.do?rcpNo=20260527000347", "공시열람")</f>
        <v/>
      </c>
    </row>
    <row r="1759" ht="22" customHeight="1">
      <c r="A1759" s="2" t="inlineStr">
        <is>
          <t>2026-05-27</t>
        </is>
      </c>
      <c r="B1759" s="3" t="inlineStr">
        <is>
          <t>엠에프씨</t>
        </is>
      </c>
      <c r="C1759" s="2" t="inlineStr">
        <is>
          <t>432980</t>
        </is>
      </c>
      <c r="D1759" s="2" t="inlineStr">
        <is>
          <t>대량보유</t>
        </is>
      </c>
      <c r="E1759" s="3" t="inlineStr">
        <is>
          <t>황성관</t>
        </is>
      </c>
      <c r="F1759" s="3" t="inlineStr">
        <is>
          <t>특별관계자</t>
        </is>
      </c>
      <c r="G1759" s="3" t="inlineStr">
        <is>
          <t>장내매수(+)</t>
        </is>
      </c>
      <c r="H1759" s="15" t="n">
        <v>10000</v>
      </c>
      <c r="I1759" s="6" t="n">
        <v>2955</v>
      </c>
      <c r="J1759" s="6" t="n">
        <v>2892802</v>
      </c>
      <c r="K1759" s="16" t="n">
        <v>15</v>
      </c>
      <c r="L1759" s="2" t="inlineStr">
        <is>
          <t>20260527000345</t>
        </is>
      </c>
      <c r="M1759" s="8">
        <f>HYPERLINK("https://dart.fss.or.kr/dsaf001/main.do?rcpNo=20260527000345", "공시열람")</f>
        <v/>
      </c>
    </row>
    <row r="1760" ht="22" customHeight="1">
      <c r="A1760" s="2" t="inlineStr">
        <is>
          <t>2026-05-27</t>
        </is>
      </c>
      <c r="B1760" s="3" t="inlineStr">
        <is>
          <t>엠에프씨</t>
        </is>
      </c>
      <c r="C1760" s="2" t="inlineStr">
        <is>
          <t>432980</t>
        </is>
      </c>
      <c r="D1760" s="2" t="inlineStr">
        <is>
          <t>대량보유</t>
        </is>
      </c>
      <c r="E1760" s="3" t="inlineStr">
        <is>
          <t>황준표</t>
        </is>
      </c>
      <c r="F1760" s="3" t="inlineStr">
        <is>
          <t>특별관계자</t>
        </is>
      </c>
      <c r="G1760" s="3" t="inlineStr">
        <is>
          <t>장내매수(+)</t>
        </is>
      </c>
      <c r="H1760" s="15" t="n">
        <v>1880</v>
      </c>
      <c r="I1760" s="6" t="n">
        <v>2760</v>
      </c>
      <c r="J1760" s="6" t="n">
        <v>132912</v>
      </c>
      <c r="K1760" s="16" t="n">
        <v>15</v>
      </c>
      <c r="L1760" s="2" t="inlineStr">
        <is>
          <t>20260527000345</t>
        </is>
      </c>
      <c r="M1760" s="8">
        <f>HYPERLINK("https://dart.fss.or.kr/dsaf001/main.do?rcpNo=20260527000345", "공시열람")</f>
        <v/>
      </c>
    </row>
    <row r="1761" ht="22" customHeight="1">
      <c r="A1761" s="2" t="inlineStr">
        <is>
          <t>2026-05-27</t>
        </is>
      </c>
      <c r="B1761" s="3" t="inlineStr">
        <is>
          <t>엠에프씨</t>
        </is>
      </c>
      <c r="C1761" s="2" t="inlineStr">
        <is>
          <t>432980</t>
        </is>
      </c>
      <c r="D1761" s="2" t="inlineStr">
        <is>
          <t>대량보유</t>
        </is>
      </c>
      <c r="E1761" s="3" t="inlineStr">
        <is>
          <t>이인배</t>
        </is>
      </c>
      <c r="F1761" s="3" t="inlineStr">
        <is>
          <t>특별관계자</t>
        </is>
      </c>
      <c r="G1761" s="3" t="inlineStr">
        <is>
          <t>신규보고(+), 장내매수(+)</t>
        </is>
      </c>
      <c r="H1761" s="15" t="n">
        <v>11336</v>
      </c>
      <c r="I1761" s="6" t="n">
        <v>3295</v>
      </c>
      <c r="J1761" s="6" t="n">
        <v>11336</v>
      </c>
      <c r="K1761" s="16" t="n">
        <v>15</v>
      </c>
      <c r="L1761" s="2" t="inlineStr">
        <is>
          <t>20260527000345</t>
        </is>
      </c>
      <c r="M1761" s="8">
        <f>HYPERLINK("https://dart.fss.or.kr/dsaf001/main.do?rcpNo=20260527000345", "공시열람")</f>
        <v/>
      </c>
    </row>
    <row r="1762" ht="22" customHeight="1">
      <c r="A1762" s="2" t="inlineStr">
        <is>
          <t>2026-05-27</t>
        </is>
      </c>
      <c r="B1762" s="3" t="inlineStr">
        <is>
          <t>엠에프씨</t>
        </is>
      </c>
      <c r="C1762" s="2" t="inlineStr">
        <is>
          <t>432980</t>
        </is>
      </c>
      <c r="D1762" s="2" t="inlineStr">
        <is>
          <t>대량보유</t>
        </is>
      </c>
      <c r="E1762" s="3" t="inlineStr">
        <is>
          <t>홍문기</t>
        </is>
      </c>
      <c r="F1762" s="3" t="inlineStr">
        <is>
          <t>특별관계자</t>
        </is>
      </c>
      <c r="G1762" s="3" t="inlineStr">
        <is>
          <t>장내매수(+)</t>
        </is>
      </c>
      <c r="H1762" s="15" t="n">
        <v>456</v>
      </c>
      <c r="I1762" s="6" t="n">
        <v>2821</v>
      </c>
      <c r="J1762" s="6" t="n">
        <v>2912</v>
      </c>
      <c r="K1762" s="16" t="n">
        <v>15</v>
      </c>
      <c r="L1762" s="2" t="inlineStr">
        <is>
          <t>20260527000345</t>
        </is>
      </c>
      <c r="M1762" s="8">
        <f>HYPERLINK("https://dart.fss.or.kr/dsaf001/main.do?rcpNo=20260527000345", "공시열람")</f>
        <v/>
      </c>
    </row>
    <row r="1763" ht="22" customHeight="1">
      <c r="A1763" s="2" t="inlineStr">
        <is>
          <t>2026-05-27 (정정: 2026-06-08)</t>
        </is>
      </c>
      <c r="B1763" s="3" t="inlineStr">
        <is>
          <t>엠투엔</t>
        </is>
      </c>
      <c r="C1763" s="2" t="inlineStr">
        <is>
          <t>033310</t>
        </is>
      </c>
      <c r="D1763" s="2" t="inlineStr">
        <is>
          <t>대량보유</t>
        </is>
      </c>
      <c r="E1763" s="3" t="inlineStr">
        <is>
          <t>-</t>
        </is>
      </c>
      <c r="F1763" s="3" t="inlineStr">
        <is>
          <t>보고자</t>
        </is>
      </c>
      <c r="G1763" s="3" t="inlineStr">
        <is>
          <t>-</t>
        </is>
      </c>
      <c r="H1763" s="6" t="inlineStr"/>
      <c r="I1763" s="6" t="inlineStr"/>
      <c r="J1763" s="6" t="inlineStr"/>
      <c r="K1763" s="18" t="inlineStr"/>
      <c r="L1763" s="2" t="inlineStr">
        <is>
          <t>20260608900925</t>
        </is>
      </c>
      <c r="M1763" s="8">
        <f>HYPERLINK("https://dart.fss.or.kr/dsaf001/main.do?rcpNo=20260608900925", "공시열람")</f>
        <v/>
      </c>
    </row>
    <row r="1764" ht="22" customHeight="1">
      <c r="A1764" s="2" t="inlineStr">
        <is>
          <t>2026-05-27</t>
        </is>
      </c>
      <c r="B1764" s="3" t="inlineStr">
        <is>
          <t>대원화성</t>
        </is>
      </c>
      <c r="C1764" s="2" t="inlineStr">
        <is>
          <t>024890</t>
        </is>
      </c>
      <c r="D1764" s="2" t="inlineStr">
        <is>
          <t>임원보고</t>
        </is>
      </c>
      <c r="E1764" s="3" t="inlineStr">
        <is>
          <t>-</t>
        </is>
      </c>
      <c r="F1764" s="3" t="inlineStr">
        <is>
          <t>-</t>
        </is>
      </c>
      <c r="G1764" s="3" t="inlineStr">
        <is>
          <t>-</t>
        </is>
      </c>
      <c r="H1764" s="6" t="inlineStr"/>
      <c r="I1764" s="6" t="inlineStr"/>
      <c r="J1764" s="6" t="inlineStr"/>
      <c r="K1764" s="16" t="n">
        <v>12</v>
      </c>
      <c r="L1764" s="2" t="inlineStr">
        <is>
          <t>20260527800459</t>
        </is>
      </c>
      <c r="M1764" s="8">
        <f>HYPERLINK("https://dart.fss.or.kr/dsaf001/main.do?rcpNo=20260527800459", "공시열람")</f>
        <v/>
      </c>
    </row>
    <row r="1765" ht="22" customHeight="1">
      <c r="A1765" s="2" t="inlineStr">
        <is>
          <t>2026-05-27</t>
        </is>
      </c>
      <c r="B1765" s="3" t="inlineStr">
        <is>
          <t>비큐AI</t>
        </is>
      </c>
      <c r="C1765" s="2" t="inlineStr">
        <is>
          <t>148780</t>
        </is>
      </c>
      <c r="D1765" s="2" t="inlineStr">
        <is>
          <t>대량보유</t>
        </is>
      </c>
      <c r="E1765" s="3" t="inlineStr">
        <is>
          <t>임경환</t>
        </is>
      </c>
      <c r="F1765" s="3" t="inlineStr">
        <is>
          <t>특별관계자</t>
        </is>
      </c>
      <c r="G1765" s="3" t="inlineStr">
        <is>
          <t>장내매수(+)</t>
        </is>
      </c>
      <c r="H1765" s="15" t="n">
        <v>100000</v>
      </c>
      <c r="I1765" s="6" t="n">
        <v>681</v>
      </c>
      <c r="J1765" s="6" t="n">
        <v>9700445</v>
      </c>
      <c r="K1765" s="16" t="n">
        <v>5</v>
      </c>
      <c r="L1765" s="2" t="inlineStr">
        <is>
          <t>20260527000321</t>
        </is>
      </c>
      <c r="M1765" s="8">
        <f>HYPERLINK("https://dart.fss.or.kr/dsaf001/main.do?rcpNo=20260527000321", "공시열람")</f>
        <v/>
      </c>
    </row>
    <row r="1766" ht="22" customHeight="1">
      <c r="A1766" s="2" t="inlineStr">
        <is>
          <t>2026-05-27</t>
        </is>
      </c>
      <c r="B1766" s="3" t="inlineStr">
        <is>
          <t>인터지스</t>
        </is>
      </c>
      <c r="C1766" s="2" t="inlineStr">
        <is>
          <t>129260</t>
        </is>
      </c>
      <c r="D1766" s="2" t="inlineStr">
        <is>
          <t>임원보고</t>
        </is>
      </c>
      <c r="E1766" s="3" t="inlineStr">
        <is>
          <t>-</t>
        </is>
      </c>
      <c r="F1766" s="3" t="inlineStr">
        <is>
          <t>-</t>
        </is>
      </c>
      <c r="G1766" s="3" t="inlineStr">
        <is>
          <t>-</t>
        </is>
      </c>
      <c r="H1766" s="6" t="inlineStr"/>
      <c r="I1766" s="6" t="inlineStr"/>
      <c r="J1766" s="6" t="inlineStr"/>
      <c r="K1766" s="16" t="n">
        <v>12</v>
      </c>
      <c r="L1766" s="2" t="inlineStr">
        <is>
          <t>20260527800383</t>
        </is>
      </c>
      <c r="M1766" s="8">
        <f>HYPERLINK("https://dart.fss.or.kr/dsaf001/main.do?rcpNo=20260527800383", "공시열람")</f>
        <v/>
      </c>
    </row>
    <row r="1767" ht="22" customHeight="1">
      <c r="A1767" s="2" t="inlineStr">
        <is>
          <t>2026-05-27</t>
        </is>
      </c>
      <c r="B1767" s="3" t="inlineStr">
        <is>
          <t>유니드</t>
        </is>
      </c>
      <c r="C1767" s="2" t="inlineStr">
        <is>
          <t>014830</t>
        </is>
      </c>
      <c r="D1767" s="2" t="inlineStr">
        <is>
          <t>대량보유</t>
        </is>
      </c>
      <c r="E1767" s="3" t="inlineStr">
        <is>
          <t>이화영</t>
        </is>
      </c>
      <c r="F1767" s="3" t="inlineStr">
        <is>
          <t>특별관계자</t>
        </is>
      </c>
      <c r="G1767" s="3" t="inlineStr">
        <is>
          <t>증여(-)</t>
        </is>
      </c>
      <c r="H1767" s="17" t="n">
        <v>-200000</v>
      </c>
      <c r="I1767" s="6" t="inlineStr"/>
      <c r="J1767" s="6" t="n">
        <v>431920</v>
      </c>
      <c r="K1767" s="16" t="n">
        <v>10</v>
      </c>
      <c r="L1767" s="2" t="inlineStr">
        <is>
          <t>20260527000250</t>
        </is>
      </c>
      <c r="M1767" s="8">
        <f>HYPERLINK("https://dart.fss.or.kr/dsaf001/main.do?rcpNo=20260527000250", "공시열람")</f>
        <v/>
      </c>
    </row>
    <row r="1768" ht="22" customHeight="1">
      <c r="A1768" s="2" t="inlineStr">
        <is>
          <t>2026-05-27</t>
        </is>
      </c>
      <c r="B1768" s="3" t="inlineStr">
        <is>
          <t>유니드</t>
        </is>
      </c>
      <c r="C1768" s="2" t="inlineStr">
        <is>
          <t>014830</t>
        </is>
      </c>
      <c r="D1768" s="2" t="inlineStr">
        <is>
          <t>대량보유</t>
        </is>
      </c>
      <c r="E1768" s="3" t="inlineStr">
        <is>
          <t>이우일</t>
        </is>
      </c>
      <c r="F1768" s="3" t="inlineStr">
        <is>
          <t>특별관계자</t>
        </is>
      </c>
      <c r="G1768" s="3" t="inlineStr">
        <is>
          <t>수증(+)</t>
        </is>
      </c>
      <c r="H1768" s="15" t="n">
        <v>50000</v>
      </c>
      <c r="I1768" s="6" t="inlineStr"/>
      <c r="J1768" s="6" t="n">
        <v>283449</v>
      </c>
      <c r="K1768" s="16" t="n">
        <v>10</v>
      </c>
      <c r="L1768" s="2" t="inlineStr">
        <is>
          <t>20260527000250</t>
        </is>
      </c>
      <c r="M1768" s="8">
        <f>HYPERLINK("https://dart.fss.or.kr/dsaf001/main.do?rcpNo=20260527000250", "공시열람")</f>
        <v/>
      </c>
    </row>
    <row r="1769" ht="22" customHeight="1">
      <c r="A1769" s="2" t="inlineStr">
        <is>
          <t>2026-05-27</t>
        </is>
      </c>
      <c r="B1769" s="3" t="inlineStr">
        <is>
          <t>유니드</t>
        </is>
      </c>
      <c r="C1769" s="2" t="inlineStr">
        <is>
          <t>014830</t>
        </is>
      </c>
      <c r="D1769" s="2" t="inlineStr">
        <is>
          <t>대량보유</t>
        </is>
      </c>
      <c r="E1769" s="3" t="inlineStr">
        <is>
          <t>이희현</t>
        </is>
      </c>
      <c r="F1769" s="3" t="inlineStr">
        <is>
          <t>특별관계자</t>
        </is>
      </c>
      <c r="G1769" s="3" t="inlineStr">
        <is>
          <t>수증(+)</t>
        </is>
      </c>
      <c r="H1769" s="15" t="n">
        <v>150000</v>
      </c>
      <c r="I1769" s="6" t="inlineStr"/>
      <c r="J1769" s="6" t="n">
        <v>150000</v>
      </c>
      <c r="K1769" s="16" t="n">
        <v>10</v>
      </c>
      <c r="L1769" s="2" t="inlineStr">
        <is>
          <t>20260527000250</t>
        </is>
      </c>
      <c r="M1769" s="8">
        <f>HYPERLINK("https://dart.fss.or.kr/dsaf001/main.do?rcpNo=20260527000250", "공시열람")</f>
        <v/>
      </c>
    </row>
    <row r="1770" ht="22" customHeight="1">
      <c r="A1770" s="2" t="inlineStr">
        <is>
          <t>2026-05-27</t>
        </is>
      </c>
      <c r="B1770" s="3" t="inlineStr">
        <is>
          <t>제노레이</t>
        </is>
      </c>
      <c r="C1770" s="2" t="inlineStr">
        <is>
          <t>122310</t>
        </is>
      </c>
      <c r="D1770" s="2" t="inlineStr">
        <is>
          <t>대량보유</t>
        </is>
      </c>
      <c r="E1770" s="3" t="inlineStr">
        <is>
          <t>이재진</t>
        </is>
      </c>
      <c r="F1770" s="3" t="inlineStr">
        <is>
          <t>특별관계자</t>
        </is>
      </c>
      <c r="G1770" s="3" t="inlineStr">
        <is>
          <t>시간외매매(-)</t>
        </is>
      </c>
      <c r="H1770" s="17" t="n">
        <v>-45000</v>
      </c>
      <c r="I1770" s="6" t="n">
        <v>4655</v>
      </c>
      <c r="J1770" s="6" t="inlineStr"/>
      <c r="K1770" s="16" t="n">
        <v>11</v>
      </c>
      <c r="L1770" s="2" t="inlineStr">
        <is>
          <t>20260527000235</t>
        </is>
      </c>
      <c r="M1770" s="8">
        <f>HYPERLINK("https://dart.fss.or.kr/dsaf001/main.do?rcpNo=20260527000235", "공시열람")</f>
        <v/>
      </c>
    </row>
    <row r="1771" ht="22" customHeight="1">
      <c r="A1771" s="2" t="inlineStr">
        <is>
          <t>2026-05-27</t>
        </is>
      </c>
      <c r="B1771" s="3" t="inlineStr">
        <is>
          <t>제노레이</t>
        </is>
      </c>
      <c r="C1771" s="2" t="inlineStr">
        <is>
          <t>122310</t>
        </is>
      </c>
      <c r="D1771" s="2" t="inlineStr">
        <is>
          <t>대량보유</t>
        </is>
      </c>
      <c r="E1771" s="3" t="inlineStr">
        <is>
          <t>이옥희</t>
        </is>
      </c>
      <c r="F1771" s="3" t="inlineStr">
        <is>
          <t>특별관계자</t>
        </is>
      </c>
      <c r="G1771" s="3" t="inlineStr">
        <is>
          <t>시간외매매(+)</t>
        </is>
      </c>
      <c r="H1771" s="15" t="n">
        <v>45000</v>
      </c>
      <c r="I1771" s="6" t="n">
        <v>4655</v>
      </c>
      <c r="J1771" s="6" t="n">
        <v>160647</v>
      </c>
      <c r="K1771" s="16" t="n">
        <v>11</v>
      </c>
      <c r="L1771" s="2" t="inlineStr">
        <is>
          <t>20260527000235</t>
        </is>
      </c>
      <c r="M1771" s="8">
        <f>HYPERLINK("https://dart.fss.or.kr/dsaf001/main.do?rcpNo=20260527000235", "공시열람")</f>
        <v/>
      </c>
    </row>
    <row r="1772" ht="22" customHeight="1">
      <c r="A1772" s="2" t="inlineStr">
        <is>
          <t>2026-05-27</t>
        </is>
      </c>
      <c r="B1772" s="3" t="inlineStr">
        <is>
          <t>인터지스</t>
        </is>
      </c>
      <c r="C1772" s="2" t="inlineStr">
        <is>
          <t>129260</t>
        </is>
      </c>
      <c r="D1772" s="2" t="inlineStr">
        <is>
          <t>대량보유</t>
        </is>
      </c>
      <c r="E1772" s="3" t="inlineStr">
        <is>
          <t>최우일</t>
        </is>
      </c>
      <c r="F1772" s="3" t="inlineStr">
        <is>
          <t>특별관계자</t>
        </is>
      </c>
      <c r="G1772" s="3" t="inlineStr">
        <is>
          <t>장내매수(+)</t>
        </is>
      </c>
      <c r="H1772" s="15" t="n">
        <v>10000</v>
      </c>
      <c r="I1772" s="6" t="n">
        <v>2180</v>
      </c>
      <c r="J1772" s="6" t="n">
        <v>10000</v>
      </c>
      <c r="K1772" s="16" t="n">
        <v>8</v>
      </c>
      <c r="L1772" s="2" t="inlineStr">
        <is>
          <t>20260527000230</t>
        </is>
      </c>
      <c r="M1772" s="8">
        <f>HYPERLINK("https://dart.fss.or.kr/dsaf001/main.do?rcpNo=20260527000230", "공시열람")</f>
        <v/>
      </c>
    </row>
    <row r="1773" ht="22" customHeight="1">
      <c r="A1773" s="2" t="inlineStr">
        <is>
          <t>2026-05-27</t>
        </is>
      </c>
      <c r="B1773" s="3" t="inlineStr">
        <is>
          <t>대림통상</t>
        </is>
      </c>
      <c r="C1773" s="2" t="inlineStr">
        <is>
          <t>006570</t>
        </is>
      </c>
      <c r="D1773" s="2" t="inlineStr">
        <is>
          <t>대량보유</t>
        </is>
      </c>
      <c r="E1773" s="3" t="inlineStr">
        <is>
          <t>고은희</t>
        </is>
      </c>
      <c r="F1773" s="3" t="inlineStr">
        <is>
          <t>특별관계자</t>
        </is>
      </c>
      <c r="G1773" s="3" t="inlineStr">
        <is>
          <t>시간외매매(-)</t>
        </is>
      </c>
      <c r="H1773" s="17" t="n">
        <v>-790000</v>
      </c>
      <c r="I1773" s="6" t="n">
        <v>2000</v>
      </c>
      <c r="J1773" s="6" t="n">
        <v>2138813</v>
      </c>
      <c r="K1773" s="16" t="n">
        <v>4</v>
      </c>
      <c r="L1773" s="2" t="inlineStr">
        <is>
          <t>20260527000200</t>
        </is>
      </c>
      <c r="M1773" s="8">
        <f>HYPERLINK("https://dart.fss.or.kr/dsaf001/main.do?rcpNo=20260527000200", "공시열람")</f>
        <v/>
      </c>
    </row>
    <row r="1774" ht="22" customHeight="1">
      <c r="A1774" s="2" t="inlineStr">
        <is>
          <t>2026-05-27</t>
        </is>
      </c>
      <c r="B1774" s="3" t="inlineStr">
        <is>
          <t>대림통상</t>
        </is>
      </c>
      <c r="C1774" s="2" t="inlineStr">
        <is>
          <t>006570</t>
        </is>
      </c>
      <c r="D1774" s="2" t="inlineStr">
        <is>
          <t>대량보유</t>
        </is>
      </c>
      <c r="E1774" s="3" t="inlineStr">
        <is>
          <t>이효진</t>
        </is>
      </c>
      <c r="F1774" s="3" t="inlineStr">
        <is>
          <t>특별관계자</t>
        </is>
      </c>
      <c r="G1774" s="3" t="inlineStr">
        <is>
          <t>시간외매매(+)</t>
        </is>
      </c>
      <c r="H1774" s="15" t="n">
        <v>50000</v>
      </c>
      <c r="I1774" s="6" t="n">
        <v>2000</v>
      </c>
      <c r="J1774" s="6" t="n">
        <v>1616396</v>
      </c>
      <c r="K1774" s="16" t="n">
        <v>4</v>
      </c>
      <c r="L1774" s="2" t="inlineStr">
        <is>
          <t>20260527000200</t>
        </is>
      </c>
      <c r="M1774" s="8">
        <f>HYPERLINK("https://dart.fss.or.kr/dsaf001/main.do?rcpNo=20260527000200", "공시열람")</f>
        <v/>
      </c>
    </row>
    <row r="1775" ht="22" customHeight="1">
      <c r="A1775" s="2" t="inlineStr">
        <is>
          <t>2026-05-27</t>
        </is>
      </c>
      <c r="B1775" s="3" t="inlineStr">
        <is>
          <t>대림통상</t>
        </is>
      </c>
      <c r="C1775" s="2" t="inlineStr">
        <is>
          <t>006570</t>
        </is>
      </c>
      <c r="D1775" s="2" t="inlineStr">
        <is>
          <t>대량보유</t>
        </is>
      </c>
      <c r="E1775" s="3" t="inlineStr">
        <is>
          <t>이상원</t>
        </is>
      </c>
      <c r="F1775" s="3" t="inlineStr">
        <is>
          <t>특별관계자</t>
        </is>
      </c>
      <c r="G1775" s="3" t="inlineStr">
        <is>
          <t>시간외매매(+)</t>
        </is>
      </c>
      <c r="H1775" s="15" t="n">
        <v>210000</v>
      </c>
      <c r="I1775" s="6" t="n">
        <v>2000</v>
      </c>
      <c r="J1775" s="6" t="n">
        <v>210000</v>
      </c>
      <c r="K1775" s="16" t="n">
        <v>4</v>
      </c>
      <c r="L1775" s="2" t="inlineStr">
        <is>
          <t>20260527000200</t>
        </is>
      </c>
      <c r="M1775" s="8">
        <f>HYPERLINK("https://dart.fss.or.kr/dsaf001/main.do?rcpNo=20260527000200", "공시열람")</f>
        <v/>
      </c>
    </row>
    <row r="1776" ht="22" customHeight="1">
      <c r="A1776" s="2" t="inlineStr">
        <is>
          <t>2026-05-27</t>
        </is>
      </c>
      <c r="B1776" s="3" t="inlineStr">
        <is>
          <t>디지틀조선</t>
        </is>
      </c>
      <c r="C1776" s="2" t="inlineStr">
        <is>
          <t>033130</t>
        </is>
      </c>
      <c r="D1776" s="2" t="inlineStr">
        <is>
          <t>대량보유</t>
        </is>
      </c>
      <c r="E1776" s="3" t="inlineStr">
        <is>
          <t>(주)조선비즈</t>
        </is>
      </c>
      <c r="F1776" s="3" t="inlineStr">
        <is>
          <t>특별관계자</t>
        </is>
      </c>
      <c r="G1776" s="3" t="inlineStr">
        <is>
          <t>장내매수(+), 장내매도(-)</t>
        </is>
      </c>
      <c r="H1776" s="15" t="n">
        <v>375673</v>
      </c>
      <c r="I1776" s="6" t="n">
        <v>2204</v>
      </c>
      <c r="J1776" s="6" t="n">
        <v>476811</v>
      </c>
      <c r="K1776" s="16" t="n">
        <v>7</v>
      </c>
      <c r="L1776" s="2" t="inlineStr">
        <is>
          <t>20260527000196</t>
        </is>
      </c>
      <c r="M1776" s="8">
        <f>HYPERLINK("https://dart.fss.or.kr/dsaf001/main.do?rcpNo=20260527000196", "공시열람")</f>
        <v/>
      </c>
    </row>
    <row r="1777" ht="22" customHeight="1">
      <c r="A1777" s="2" t="inlineStr">
        <is>
          <t>2026-05-27</t>
        </is>
      </c>
      <c r="B1777" s="3" t="inlineStr">
        <is>
          <t>포인트모바일</t>
        </is>
      </c>
      <c r="C1777" s="2" t="inlineStr">
        <is>
          <t>318020</t>
        </is>
      </c>
      <c r="D1777" s="2" t="inlineStr">
        <is>
          <t>대량보유</t>
        </is>
      </c>
      <c r="E1777" s="3" t="inlineStr">
        <is>
          <t>강삼권</t>
        </is>
      </c>
      <c r="F1777" s="3" t="inlineStr">
        <is>
          <t>특별관계자</t>
        </is>
      </c>
      <c r="G1777" s="3" t="inlineStr">
        <is>
          <t>장내매수(+)</t>
        </is>
      </c>
      <c r="H1777" s="15" t="n">
        <v>32392</v>
      </c>
      <c r="I1777" s="6" t="n">
        <v>3165</v>
      </c>
      <c r="J1777" s="6" t="n">
        <v>2972085</v>
      </c>
      <c r="K1777" s="16" t="n">
        <v>6</v>
      </c>
      <c r="L1777" s="2" t="inlineStr">
        <is>
          <t>20260527000193</t>
        </is>
      </c>
      <c r="M1777" s="8">
        <f>HYPERLINK("https://dart.fss.or.kr/dsaf001/main.do?rcpNo=20260527000193", "공시열람")</f>
        <v/>
      </c>
    </row>
    <row r="1778" ht="22" customHeight="1">
      <c r="A1778" s="2" t="inlineStr">
        <is>
          <t>2026-05-27</t>
        </is>
      </c>
      <c r="B1778" s="3" t="inlineStr">
        <is>
          <t>삼영무역</t>
        </is>
      </c>
      <c r="C1778" s="2" t="inlineStr">
        <is>
          <t>002810</t>
        </is>
      </c>
      <c r="D1778" s="2" t="inlineStr">
        <is>
          <t>임원보고</t>
        </is>
      </c>
      <c r="E1778" s="3" t="inlineStr">
        <is>
          <t>-</t>
        </is>
      </c>
      <c r="F1778" s="3" t="inlineStr">
        <is>
          <t>-</t>
        </is>
      </c>
      <c r="G1778" s="3" t="inlineStr">
        <is>
          <t>-</t>
        </is>
      </c>
      <c r="H1778" s="6" t="inlineStr"/>
      <c r="I1778" s="6" t="inlineStr"/>
      <c r="J1778" s="6" t="inlineStr"/>
      <c r="K1778" s="16" t="n">
        <v>12</v>
      </c>
      <c r="L1778" s="2" t="inlineStr">
        <is>
          <t>20260527800307</t>
        </is>
      </c>
      <c r="M1778" s="8">
        <f>HYPERLINK("https://dart.fss.or.kr/dsaf001/main.do?rcpNo=20260527800307", "공시열람")</f>
        <v/>
      </c>
    </row>
    <row r="1779" ht="22" customHeight="1">
      <c r="A1779" s="2" t="inlineStr">
        <is>
          <t>2026-05-27</t>
        </is>
      </c>
      <c r="B1779" s="3" t="inlineStr">
        <is>
          <t>파이버프로</t>
        </is>
      </c>
      <c r="C1779" s="2" t="inlineStr">
        <is>
          <t>368770</t>
        </is>
      </c>
      <c r="D1779" s="2" t="inlineStr">
        <is>
          <t>대량보유</t>
        </is>
      </c>
      <c r="E1779" s="3" t="inlineStr">
        <is>
          <t>김종관</t>
        </is>
      </c>
      <c r="F1779" s="3" t="inlineStr">
        <is>
          <t>특별관계자</t>
        </is>
      </c>
      <c r="G1779" s="3" t="inlineStr">
        <is>
          <t>기타(+)</t>
        </is>
      </c>
      <c r="H1779" s="15" t="n">
        <v>721</v>
      </c>
      <c r="I1779" s="6" t="n">
        <v>20799</v>
      </c>
      <c r="J1779" s="6" t="n">
        <v>214269</v>
      </c>
      <c r="K1779" s="16" t="n">
        <v>8</v>
      </c>
      <c r="L1779" s="2" t="inlineStr">
        <is>
          <t>20260527000169</t>
        </is>
      </c>
      <c r="M1779" s="8">
        <f>HYPERLINK("https://dart.fss.or.kr/dsaf001/main.do?rcpNo=20260527000169", "공시열람")</f>
        <v/>
      </c>
    </row>
    <row r="1780" ht="22" customHeight="1">
      <c r="A1780" s="2" t="inlineStr">
        <is>
          <t>2026-05-27</t>
        </is>
      </c>
      <c r="B1780" s="3" t="inlineStr">
        <is>
          <t>비나텍</t>
        </is>
      </c>
      <c r="C1780" s="2" t="inlineStr">
        <is>
          <t>126340</t>
        </is>
      </c>
      <c r="D1780" s="2" t="inlineStr">
        <is>
          <t>대량보유</t>
        </is>
      </c>
      <c r="E1780" s="3" t="inlineStr">
        <is>
          <t>성도경</t>
        </is>
      </c>
      <c r="F1780" s="3" t="inlineStr">
        <is>
          <t>특별관계자</t>
        </is>
      </c>
      <c r="G1780" s="3" t="inlineStr">
        <is>
          <t>주식배당(+)</t>
        </is>
      </c>
      <c r="H1780" s="15" t="n">
        <v>52987</v>
      </c>
      <c r="I1780" s="6" t="inlineStr"/>
      <c r="J1780" s="6" t="n">
        <v>1959231</v>
      </c>
      <c r="K1780" s="16" t="n">
        <v>9</v>
      </c>
      <c r="L1780" s="2" t="inlineStr">
        <is>
          <t>20260527000166</t>
        </is>
      </c>
      <c r="M1780" s="8">
        <f>HYPERLINK("https://dart.fss.or.kr/dsaf001/main.do?rcpNo=20260527000166", "공시열람")</f>
        <v/>
      </c>
    </row>
    <row r="1781" ht="22" customHeight="1">
      <c r="A1781" s="2" t="inlineStr">
        <is>
          <t>2026-05-27</t>
        </is>
      </c>
      <c r="B1781" s="3" t="inlineStr">
        <is>
          <t>비나텍</t>
        </is>
      </c>
      <c r="C1781" s="2" t="inlineStr">
        <is>
          <t>126340</t>
        </is>
      </c>
      <c r="D1781" s="2" t="inlineStr">
        <is>
          <t>대량보유</t>
        </is>
      </c>
      <c r="E1781" s="3" t="inlineStr">
        <is>
          <t>전성숙</t>
        </is>
      </c>
      <c r="F1781" s="3" t="inlineStr">
        <is>
          <t>특별관계자</t>
        </is>
      </c>
      <c r="G1781" s="3" t="inlineStr">
        <is>
          <t>주식배당(+)</t>
        </is>
      </c>
      <c r="H1781" s="15" t="n">
        <v>3063</v>
      </c>
      <c r="I1781" s="6" t="inlineStr"/>
      <c r="J1781" s="6" t="n">
        <v>105166</v>
      </c>
      <c r="K1781" s="16" t="n">
        <v>9</v>
      </c>
      <c r="L1781" s="2" t="inlineStr">
        <is>
          <t>20260527000166</t>
        </is>
      </c>
      <c r="M1781" s="8">
        <f>HYPERLINK("https://dart.fss.or.kr/dsaf001/main.do?rcpNo=20260527000166", "공시열람")</f>
        <v/>
      </c>
    </row>
    <row r="1782" ht="22" customHeight="1">
      <c r="A1782" s="2" t="inlineStr">
        <is>
          <t>2026-05-27</t>
        </is>
      </c>
      <c r="B1782" s="3" t="inlineStr">
        <is>
          <t>비나텍</t>
        </is>
      </c>
      <c r="C1782" s="2" t="inlineStr">
        <is>
          <t>126340</t>
        </is>
      </c>
      <c r="D1782" s="2" t="inlineStr">
        <is>
          <t>대량보유</t>
        </is>
      </c>
      <c r="E1782" s="3" t="inlineStr">
        <is>
          <t>정한기</t>
        </is>
      </c>
      <c r="F1782" s="3" t="inlineStr">
        <is>
          <t>특별관계자</t>
        </is>
      </c>
      <c r="G1782" s="3" t="inlineStr">
        <is>
          <t>주식배당(+)</t>
        </is>
      </c>
      <c r="H1782" s="15" t="n">
        <v>991</v>
      </c>
      <c r="I1782" s="6" t="inlineStr"/>
      <c r="J1782" s="6" t="n">
        <v>39030</v>
      </c>
      <c r="K1782" s="16" t="n">
        <v>9</v>
      </c>
      <c r="L1782" s="2" t="inlineStr">
        <is>
          <t>20260527000166</t>
        </is>
      </c>
      <c r="M1782" s="8">
        <f>HYPERLINK("https://dart.fss.or.kr/dsaf001/main.do?rcpNo=20260527000166", "공시열람")</f>
        <v/>
      </c>
    </row>
    <row r="1783" ht="22" customHeight="1">
      <c r="A1783" s="2" t="inlineStr">
        <is>
          <t>2026-05-27</t>
        </is>
      </c>
      <c r="B1783" s="3" t="inlineStr">
        <is>
          <t>비나텍</t>
        </is>
      </c>
      <c r="C1783" s="2" t="inlineStr">
        <is>
          <t>126340</t>
        </is>
      </c>
      <c r="D1783" s="2" t="inlineStr">
        <is>
          <t>대량보유</t>
        </is>
      </c>
      <c r="E1783" s="3" t="inlineStr">
        <is>
          <t>성민기</t>
        </is>
      </c>
      <c r="F1783" s="3" t="inlineStr">
        <is>
          <t>특별관계자</t>
        </is>
      </c>
      <c r="G1783" s="3" t="inlineStr">
        <is>
          <t>주식배당(+)</t>
        </is>
      </c>
      <c r="H1783" s="15" t="n">
        <v>478</v>
      </c>
      <c r="I1783" s="6" t="inlineStr"/>
      <c r="J1783" s="6" t="n">
        <v>16430</v>
      </c>
      <c r="K1783" s="16" t="n">
        <v>9</v>
      </c>
      <c r="L1783" s="2" t="inlineStr">
        <is>
          <t>20260527000166</t>
        </is>
      </c>
      <c r="M1783" s="8">
        <f>HYPERLINK("https://dart.fss.or.kr/dsaf001/main.do?rcpNo=20260527000166", "공시열람")</f>
        <v/>
      </c>
    </row>
    <row r="1784" ht="22" customHeight="1">
      <c r="A1784" s="2" t="inlineStr">
        <is>
          <t>2026-05-27</t>
        </is>
      </c>
      <c r="B1784" s="3" t="inlineStr">
        <is>
          <t>비나텍</t>
        </is>
      </c>
      <c r="C1784" s="2" t="inlineStr">
        <is>
          <t>126340</t>
        </is>
      </c>
      <c r="D1784" s="2" t="inlineStr">
        <is>
          <t>대량보유</t>
        </is>
      </c>
      <c r="E1784" s="3" t="inlineStr">
        <is>
          <t>성세경</t>
        </is>
      </c>
      <c r="F1784" s="3" t="inlineStr">
        <is>
          <t>특별관계자</t>
        </is>
      </c>
      <c r="G1784" s="3" t="inlineStr">
        <is>
          <t>주식배당(+)</t>
        </is>
      </c>
      <c r="H1784" s="15" t="n">
        <v>306</v>
      </c>
      <c r="I1784" s="6" t="inlineStr"/>
      <c r="J1784" s="6" t="n">
        <v>10516</v>
      </c>
      <c r="K1784" s="16" t="n">
        <v>9</v>
      </c>
      <c r="L1784" s="2" t="inlineStr">
        <is>
          <t>20260527000166</t>
        </is>
      </c>
      <c r="M1784" s="8">
        <f>HYPERLINK("https://dart.fss.or.kr/dsaf001/main.do?rcpNo=20260527000166", "공시열람")</f>
        <v/>
      </c>
    </row>
    <row r="1785" ht="22" customHeight="1">
      <c r="A1785" s="2" t="inlineStr">
        <is>
          <t>2026-05-27</t>
        </is>
      </c>
      <c r="B1785" s="3" t="inlineStr">
        <is>
          <t>비나텍</t>
        </is>
      </c>
      <c r="C1785" s="2" t="inlineStr">
        <is>
          <t>126340</t>
        </is>
      </c>
      <c r="D1785" s="2" t="inlineStr">
        <is>
          <t>대량보유</t>
        </is>
      </c>
      <c r="E1785" s="3" t="inlineStr">
        <is>
          <t>전재완</t>
        </is>
      </c>
      <c r="F1785" s="3" t="inlineStr">
        <is>
          <t>특별관계자</t>
        </is>
      </c>
      <c r="G1785" s="3" t="inlineStr">
        <is>
          <t>주식배당(+)</t>
        </is>
      </c>
      <c r="H1785" s="15" t="n">
        <v>139</v>
      </c>
      <c r="I1785" s="6" t="inlineStr"/>
      <c r="J1785" s="6" t="n">
        <v>4790</v>
      </c>
      <c r="K1785" s="16" t="n">
        <v>9</v>
      </c>
      <c r="L1785" s="2" t="inlineStr">
        <is>
          <t>20260527000166</t>
        </is>
      </c>
      <c r="M1785" s="8">
        <f>HYPERLINK("https://dart.fss.or.kr/dsaf001/main.do?rcpNo=20260527000166", "공시열람")</f>
        <v/>
      </c>
    </row>
    <row r="1786" ht="22" customHeight="1">
      <c r="A1786" s="2" t="inlineStr">
        <is>
          <t>2026-05-27</t>
        </is>
      </c>
      <c r="B1786" s="3" t="inlineStr">
        <is>
          <t>비나텍</t>
        </is>
      </c>
      <c r="C1786" s="2" t="inlineStr">
        <is>
          <t>126340</t>
        </is>
      </c>
      <c r="D1786" s="2" t="inlineStr">
        <is>
          <t>대량보유</t>
        </is>
      </c>
      <c r="E1786" s="3" t="inlineStr">
        <is>
          <t>김경철</t>
        </is>
      </c>
      <c r="F1786" s="3" t="inlineStr">
        <is>
          <t>특별관계자</t>
        </is>
      </c>
      <c r="G1786" s="3" t="inlineStr">
        <is>
          <t>주식배당(+), 주식매수선택권행사(+)</t>
        </is>
      </c>
      <c r="H1786" s="15" t="n">
        <v>12019</v>
      </c>
      <c r="I1786" s="6" t="n">
        <v>39080</v>
      </c>
      <c r="J1786" s="6" t="n">
        <v>21988</v>
      </c>
      <c r="K1786" s="16" t="n">
        <v>9</v>
      </c>
      <c r="L1786" s="2" t="inlineStr">
        <is>
          <t>20260527000166</t>
        </is>
      </c>
      <c r="M1786" s="8">
        <f>HYPERLINK("https://dart.fss.or.kr/dsaf001/main.do?rcpNo=20260527000166", "공시열람")</f>
        <v/>
      </c>
    </row>
    <row r="1787" ht="22" customHeight="1">
      <c r="A1787" s="2" t="inlineStr">
        <is>
          <t>2026-05-27</t>
        </is>
      </c>
      <c r="B1787" s="3" t="inlineStr">
        <is>
          <t>비나텍</t>
        </is>
      </c>
      <c r="C1787" s="2" t="inlineStr">
        <is>
          <t>126340</t>
        </is>
      </c>
      <c r="D1787" s="2" t="inlineStr">
        <is>
          <t>대량보유</t>
        </is>
      </c>
      <c r="E1787" s="3" t="inlineStr">
        <is>
          <t>류근원</t>
        </is>
      </c>
      <c r="F1787" s="3" t="inlineStr">
        <is>
          <t>특별관계자</t>
        </is>
      </c>
      <c r="G1787" s="3" t="inlineStr">
        <is>
          <t>주식배당(+)</t>
        </is>
      </c>
      <c r="H1787" s="15" t="n">
        <v>12</v>
      </c>
      <c r="I1787" s="6" t="inlineStr"/>
      <c r="J1787" s="6" t="n">
        <v>435</v>
      </c>
      <c r="K1787" s="16" t="n">
        <v>9</v>
      </c>
      <c r="L1787" s="2" t="inlineStr">
        <is>
          <t>20260527000166</t>
        </is>
      </c>
      <c r="M1787" s="8">
        <f>HYPERLINK("https://dart.fss.or.kr/dsaf001/main.do?rcpNo=20260527000166", "공시열람")</f>
        <v/>
      </c>
    </row>
    <row r="1788" ht="22" customHeight="1">
      <c r="A1788" s="2" t="inlineStr">
        <is>
          <t>2026-05-27</t>
        </is>
      </c>
      <c r="B1788" s="3" t="inlineStr">
        <is>
          <t>비나텍</t>
        </is>
      </c>
      <c r="C1788" s="2" t="inlineStr">
        <is>
          <t>126340</t>
        </is>
      </c>
      <c r="D1788" s="2" t="inlineStr">
        <is>
          <t>대량보유</t>
        </is>
      </c>
      <c r="E1788" s="3" t="inlineStr">
        <is>
          <t>전재현</t>
        </is>
      </c>
      <c r="F1788" s="3" t="inlineStr">
        <is>
          <t>특별관계자</t>
        </is>
      </c>
      <c r="G1788" s="3" t="inlineStr">
        <is>
          <t>주식배당(+)</t>
        </is>
      </c>
      <c r="H1788" s="15" t="n">
        <v>19</v>
      </c>
      <c r="I1788" s="6" t="inlineStr"/>
      <c r="J1788" s="6" t="n">
        <v>661</v>
      </c>
      <c r="K1788" s="16" t="n">
        <v>9</v>
      </c>
      <c r="L1788" s="2" t="inlineStr">
        <is>
          <t>20260527000166</t>
        </is>
      </c>
      <c r="M1788" s="8">
        <f>HYPERLINK("https://dart.fss.or.kr/dsaf001/main.do?rcpNo=20260527000166", "공시열람")</f>
        <v/>
      </c>
    </row>
    <row r="1789" ht="22" customHeight="1">
      <c r="A1789" s="2" t="inlineStr">
        <is>
          <t>2026-05-27</t>
        </is>
      </c>
      <c r="B1789" s="3" t="inlineStr">
        <is>
          <t>비나텍</t>
        </is>
      </c>
      <c r="C1789" s="2" t="inlineStr">
        <is>
          <t>126340</t>
        </is>
      </c>
      <c r="D1789" s="2" t="inlineStr">
        <is>
          <t>대량보유</t>
        </is>
      </c>
      <c r="E1789" s="3" t="inlineStr">
        <is>
          <t>서한국</t>
        </is>
      </c>
      <c r="F1789" s="3" t="inlineStr">
        <is>
          <t>특별관계자</t>
        </is>
      </c>
      <c r="G1789" s="3" t="inlineStr">
        <is>
          <t>주식배당(+)</t>
        </is>
      </c>
      <c r="H1789" s="15" t="n">
        <v>38</v>
      </c>
      <c r="I1789" s="6" t="inlineStr"/>
      <c r="J1789" s="6" t="n">
        <v>1320</v>
      </c>
      <c r="K1789" s="16" t="n">
        <v>9</v>
      </c>
      <c r="L1789" s="2" t="inlineStr">
        <is>
          <t>20260527000166</t>
        </is>
      </c>
      <c r="M1789" s="8">
        <f>HYPERLINK("https://dart.fss.or.kr/dsaf001/main.do?rcpNo=20260527000166", "공시열람")</f>
        <v/>
      </c>
    </row>
    <row r="1790" ht="22" customHeight="1">
      <c r="A1790" s="2" t="inlineStr">
        <is>
          <t>2026-05-27</t>
        </is>
      </c>
      <c r="B1790" s="3" t="inlineStr">
        <is>
          <t>마키나락스</t>
        </is>
      </c>
      <c r="C1790" s="2" t="inlineStr">
        <is>
          <t>477850</t>
        </is>
      </c>
      <c r="D1790" s="2" t="inlineStr">
        <is>
          <t>대량보유</t>
        </is>
      </c>
      <c r="E1790" s="3" t="inlineStr">
        <is>
          <t>윤성호</t>
        </is>
      </c>
      <c r="F1790" s="3" t="inlineStr">
        <is>
          <t>특별관계자</t>
        </is>
      </c>
      <c r="G1790" s="3" t="inlineStr">
        <is>
          <t>신규상장(무상취득)(+)</t>
        </is>
      </c>
      <c r="H1790" s="15" t="n">
        <v>1824000</v>
      </c>
      <c r="I1790" s="6" t="inlineStr"/>
      <c r="J1790" s="6" t="n">
        <v>1824000</v>
      </c>
      <c r="K1790" s="16" t="n">
        <v>5</v>
      </c>
      <c r="L1790" s="2" t="inlineStr">
        <is>
          <t>20260527000158</t>
        </is>
      </c>
      <c r="M1790" s="8">
        <f>HYPERLINK("https://dart.fss.or.kr/dsaf001/main.do?rcpNo=20260527000158", "공시열람")</f>
        <v/>
      </c>
    </row>
    <row r="1791" ht="22" customHeight="1">
      <c r="A1791" s="2" t="inlineStr">
        <is>
          <t>2026-05-27</t>
        </is>
      </c>
      <c r="B1791" s="3" t="inlineStr">
        <is>
          <t>마키나락스</t>
        </is>
      </c>
      <c r="C1791" s="2" t="inlineStr">
        <is>
          <t>477850</t>
        </is>
      </c>
      <c r="D1791" s="2" t="inlineStr">
        <is>
          <t>대량보유</t>
        </is>
      </c>
      <c r="E1791" s="3" t="inlineStr">
        <is>
          <t>심상우</t>
        </is>
      </c>
      <c r="F1791" s="3" t="inlineStr">
        <is>
          <t>특별관계자</t>
        </is>
      </c>
      <c r="G1791" s="3" t="inlineStr">
        <is>
          <t>신규상장(무상취득)(+)</t>
        </is>
      </c>
      <c r="H1791" s="15" t="n">
        <v>1216000</v>
      </c>
      <c r="I1791" s="6" t="inlineStr"/>
      <c r="J1791" s="6" t="n">
        <v>1216000</v>
      </c>
      <c r="K1791" s="16" t="n">
        <v>5</v>
      </c>
      <c r="L1791" s="2" t="inlineStr">
        <is>
          <t>20260527000158</t>
        </is>
      </c>
      <c r="M1791" s="8">
        <f>HYPERLINK("https://dart.fss.or.kr/dsaf001/main.do?rcpNo=20260527000158", "공시열람")</f>
        <v/>
      </c>
    </row>
    <row r="1792" ht="22" customHeight="1">
      <c r="A1792" s="2" t="inlineStr">
        <is>
          <t>2026-05-27</t>
        </is>
      </c>
      <c r="B1792" s="3" t="inlineStr">
        <is>
          <t>마키나락스</t>
        </is>
      </c>
      <c r="C1792" s="2" t="inlineStr">
        <is>
          <t>477850</t>
        </is>
      </c>
      <c r="D1792" s="2" t="inlineStr">
        <is>
          <t>대량보유</t>
        </is>
      </c>
      <c r="E1792" s="3" t="inlineStr">
        <is>
          <t>임용섭</t>
        </is>
      </c>
      <c r="F1792" s="3" t="inlineStr">
        <is>
          <t>특별관계자</t>
        </is>
      </c>
      <c r="G1792" s="3" t="inlineStr">
        <is>
          <t>신규상장(무상취득)(+)</t>
        </is>
      </c>
      <c r="H1792" s="15" t="n">
        <v>1216000</v>
      </c>
      <c r="I1792" s="6" t="inlineStr"/>
      <c r="J1792" s="6" t="n">
        <v>1216000</v>
      </c>
      <c r="K1792" s="16" t="n">
        <v>5</v>
      </c>
      <c r="L1792" s="2" t="inlineStr">
        <is>
          <t>20260527000158</t>
        </is>
      </c>
      <c r="M1792" s="8">
        <f>HYPERLINK("https://dart.fss.or.kr/dsaf001/main.do?rcpNo=20260527000158", "공시열람")</f>
        <v/>
      </c>
    </row>
    <row r="1793" ht="22" customHeight="1">
      <c r="A1793" s="2" t="inlineStr">
        <is>
          <t>2026-05-27</t>
        </is>
      </c>
      <c r="B1793" s="3" t="inlineStr">
        <is>
          <t>마키나락스</t>
        </is>
      </c>
      <c r="C1793" s="2" t="inlineStr">
        <is>
          <t>477850</t>
        </is>
      </c>
      <c r="D1793" s="2" t="inlineStr">
        <is>
          <t>대량보유</t>
        </is>
      </c>
      <c r="E1793" s="3" t="inlineStr">
        <is>
          <t>박민수</t>
        </is>
      </c>
      <c r="F1793" s="3" t="inlineStr">
        <is>
          <t>특별관계자</t>
        </is>
      </c>
      <c r="G1793" s="3" t="inlineStr">
        <is>
          <t>신규상장(무상취득)(+)</t>
        </is>
      </c>
      <c r="H1793" s="15" t="n">
        <v>290048</v>
      </c>
      <c r="I1793" s="6" t="inlineStr"/>
      <c r="J1793" s="6" t="n">
        <v>95748</v>
      </c>
      <c r="K1793" s="16" t="n">
        <v>5</v>
      </c>
      <c r="L1793" s="2" t="inlineStr">
        <is>
          <t>20260527000158</t>
        </is>
      </c>
      <c r="M1793" s="8">
        <f>HYPERLINK("https://dart.fss.or.kr/dsaf001/main.do?rcpNo=20260527000158", "공시열람")</f>
        <v/>
      </c>
    </row>
    <row r="1794" ht="22" customHeight="1">
      <c r="A1794" s="2" t="inlineStr">
        <is>
          <t>2026-05-27</t>
        </is>
      </c>
      <c r="B1794" s="3" t="inlineStr">
        <is>
          <t>마키나락스</t>
        </is>
      </c>
      <c r="C1794" s="2" t="inlineStr">
        <is>
          <t>477850</t>
        </is>
      </c>
      <c r="D1794" s="2" t="inlineStr">
        <is>
          <t>대량보유</t>
        </is>
      </c>
      <c r="E1794" s="3" t="inlineStr">
        <is>
          <t>허영신</t>
        </is>
      </c>
      <c r="F1794" s="3" t="inlineStr">
        <is>
          <t>특별관계자</t>
        </is>
      </c>
      <c r="G1794" s="3" t="inlineStr">
        <is>
          <t>신규상장(무상취득)(+)</t>
        </is>
      </c>
      <c r="H1794" s="15" t="n">
        <v>120000</v>
      </c>
      <c r="I1794" s="6" t="inlineStr"/>
      <c r="J1794" s="6" t="n">
        <v>33496</v>
      </c>
      <c r="K1794" s="16" t="n">
        <v>5</v>
      </c>
      <c r="L1794" s="2" t="inlineStr">
        <is>
          <t>20260527000158</t>
        </is>
      </c>
      <c r="M1794" s="8">
        <f>HYPERLINK("https://dart.fss.or.kr/dsaf001/main.do?rcpNo=20260527000158", "공시열람")</f>
        <v/>
      </c>
    </row>
    <row r="1795" ht="22" customHeight="1">
      <c r="A1795" s="2" t="inlineStr">
        <is>
          <t>2026-05-27</t>
        </is>
      </c>
      <c r="B1795" s="3" t="inlineStr">
        <is>
          <t>마키나락스</t>
        </is>
      </c>
      <c r="C1795" s="2" t="inlineStr">
        <is>
          <t>477850</t>
        </is>
      </c>
      <c r="D1795" s="2" t="inlineStr">
        <is>
          <t>대량보유</t>
        </is>
      </c>
      <c r="E1795" s="3" t="inlineStr">
        <is>
          <t>이재혁</t>
        </is>
      </c>
      <c r="F1795" s="3" t="inlineStr">
        <is>
          <t>특별관계자</t>
        </is>
      </c>
      <c r="G1795" s="3" t="inlineStr">
        <is>
          <t>신규상장(무상취득)(+)</t>
        </is>
      </c>
      <c r="H1795" s="15" t="n">
        <v>1221016</v>
      </c>
      <c r="I1795" s="6" t="inlineStr"/>
      <c r="J1795" s="6" t="n">
        <v>1221016</v>
      </c>
      <c r="K1795" s="16" t="n">
        <v>5</v>
      </c>
      <c r="L1795" s="2" t="inlineStr">
        <is>
          <t>20260527000158</t>
        </is>
      </c>
      <c r="M1795" s="8">
        <f>HYPERLINK("https://dart.fss.or.kr/dsaf001/main.do?rcpNo=20260527000158", "공시열람")</f>
        <v/>
      </c>
    </row>
    <row r="1796" ht="22" customHeight="1">
      <c r="A1796" s="2" t="inlineStr">
        <is>
          <t>2026-05-27</t>
        </is>
      </c>
      <c r="B1796" s="3" t="inlineStr">
        <is>
          <t>DN오토모티브</t>
        </is>
      </c>
      <c r="C1796" s="2" t="inlineStr">
        <is>
          <t>007340</t>
        </is>
      </c>
      <c r="D1796" s="2" t="inlineStr">
        <is>
          <t>대량보유</t>
        </is>
      </c>
      <c r="E1796" s="3" t="inlineStr">
        <is>
          <t>김상헌</t>
        </is>
      </c>
      <c r="F1796" s="3" t="inlineStr">
        <is>
          <t>보고자</t>
        </is>
      </c>
      <c r="G1796" s="3" t="inlineStr">
        <is>
          <t>본인 및 특별관계자 보유주식의 계약 내용 변경</t>
        </is>
      </c>
      <c r="H1796" s="6" t="inlineStr"/>
      <c r="I1796" s="6" t="inlineStr"/>
      <c r="J1796" s="6" t="n">
        <v>30521335</v>
      </c>
      <c r="K1796" s="16" t="n">
        <v>4</v>
      </c>
      <c r="L1796" s="2" t="inlineStr">
        <is>
          <t>20260527000146</t>
        </is>
      </c>
      <c r="M1796" s="8">
        <f>HYPERLINK("https://dart.fss.or.kr/dsaf001/main.do?rcpNo=20260527000146", "공시열람")</f>
        <v/>
      </c>
    </row>
    <row r="1797" ht="22" customHeight="1">
      <c r="A1797" s="2" t="inlineStr">
        <is>
          <t>2026-05-27</t>
        </is>
      </c>
      <c r="B1797" s="3" t="inlineStr">
        <is>
          <t>삼화네트웍스</t>
        </is>
      </c>
      <c r="C1797" s="2" t="inlineStr">
        <is>
          <t>046390</t>
        </is>
      </c>
      <c r="D1797" s="2" t="inlineStr">
        <is>
          <t>대량보유</t>
        </is>
      </c>
      <c r="E1797" s="3" t="inlineStr">
        <is>
          <t>신상윤</t>
        </is>
      </c>
      <c r="F1797" s="3" t="inlineStr">
        <is>
          <t>특별관계자</t>
        </is>
      </c>
      <c r="G1797" s="3" t="inlineStr">
        <is>
          <t>주식병합</t>
        </is>
      </c>
      <c r="H1797" s="17" t="n">
        <v>-4639737</v>
      </c>
      <c r="I1797" s="6" t="inlineStr"/>
      <c r="J1797" s="6" t="n">
        <v>3093158</v>
      </c>
      <c r="K1797" s="16" t="n">
        <v>5</v>
      </c>
      <c r="L1797" s="2" t="inlineStr">
        <is>
          <t>20260527000142</t>
        </is>
      </c>
      <c r="M1797" s="8">
        <f>HYPERLINK("https://dart.fss.or.kr/dsaf001/main.do?rcpNo=20260527000142", "공시열람")</f>
        <v/>
      </c>
    </row>
    <row r="1798" ht="22" customHeight="1">
      <c r="A1798" s="2" t="inlineStr">
        <is>
          <t>2026-05-27</t>
        </is>
      </c>
      <c r="B1798" s="3" t="inlineStr">
        <is>
          <t>삼화네트웍스</t>
        </is>
      </c>
      <c r="C1798" s="2" t="inlineStr">
        <is>
          <t>046390</t>
        </is>
      </c>
      <c r="D1798" s="2" t="inlineStr">
        <is>
          <t>대량보유</t>
        </is>
      </c>
      <c r="E1798" s="3" t="inlineStr">
        <is>
          <t>안제현</t>
        </is>
      </c>
      <c r="F1798" s="3" t="inlineStr">
        <is>
          <t>특별관계자</t>
        </is>
      </c>
      <c r="G1798" s="3" t="inlineStr">
        <is>
          <t>주식병합</t>
        </is>
      </c>
      <c r="H1798" s="17" t="n">
        <v>-508500</v>
      </c>
      <c r="I1798" s="6" t="inlineStr"/>
      <c r="J1798" s="6" t="n">
        <v>339000</v>
      </c>
      <c r="K1798" s="16" t="n">
        <v>5</v>
      </c>
      <c r="L1798" s="2" t="inlineStr">
        <is>
          <t>20260527000142</t>
        </is>
      </c>
      <c r="M1798" s="8">
        <f>HYPERLINK("https://dart.fss.or.kr/dsaf001/main.do?rcpNo=20260527000142", "공시열람")</f>
        <v/>
      </c>
    </row>
    <row r="1799" ht="22" customHeight="1">
      <c r="A1799" s="2" t="inlineStr">
        <is>
          <t>2026-05-27</t>
        </is>
      </c>
      <c r="B1799" s="3" t="inlineStr">
        <is>
          <t>삼화네트웍스</t>
        </is>
      </c>
      <c r="C1799" s="2" t="inlineStr">
        <is>
          <t>046390</t>
        </is>
      </c>
      <c r="D1799" s="2" t="inlineStr">
        <is>
          <t>대량보유</t>
        </is>
      </c>
      <c r="E1799" s="3" t="inlineStr">
        <is>
          <t>남숙자</t>
        </is>
      </c>
      <c r="F1799" s="3" t="inlineStr">
        <is>
          <t>특별관계자</t>
        </is>
      </c>
      <c r="G1799" s="3" t="inlineStr">
        <is>
          <t>주식병합</t>
        </is>
      </c>
      <c r="H1799" s="17" t="n">
        <v>-1287024</v>
      </c>
      <c r="I1799" s="6" t="inlineStr"/>
      <c r="J1799" s="6" t="n">
        <v>858016</v>
      </c>
      <c r="K1799" s="16" t="n">
        <v>5</v>
      </c>
      <c r="L1799" s="2" t="inlineStr">
        <is>
          <t>20260527000142</t>
        </is>
      </c>
      <c r="M1799" s="8">
        <f>HYPERLINK("https://dart.fss.or.kr/dsaf001/main.do?rcpNo=20260527000142", "공시열람")</f>
        <v/>
      </c>
    </row>
    <row r="1800" ht="22" customHeight="1">
      <c r="A1800" s="2" t="inlineStr">
        <is>
          <t>2026-05-27</t>
        </is>
      </c>
      <c r="B1800" s="3" t="inlineStr">
        <is>
          <t>삼화네트웍스</t>
        </is>
      </c>
      <c r="C1800" s="2" t="inlineStr">
        <is>
          <t>046390</t>
        </is>
      </c>
      <c r="D1800" s="2" t="inlineStr">
        <is>
          <t>대량보유</t>
        </is>
      </c>
      <c r="E1800" s="3" t="inlineStr">
        <is>
          <t>신재은</t>
        </is>
      </c>
      <c r="F1800" s="3" t="inlineStr">
        <is>
          <t>특별관계자</t>
        </is>
      </c>
      <c r="G1800" s="3" t="inlineStr">
        <is>
          <t>주식병합</t>
        </is>
      </c>
      <c r="H1800" s="17" t="n">
        <v>-3543521</v>
      </c>
      <c r="I1800" s="6" t="inlineStr"/>
      <c r="J1800" s="6" t="n">
        <v>2362346</v>
      </c>
      <c r="K1800" s="16" t="n">
        <v>5</v>
      </c>
      <c r="L1800" s="2" t="inlineStr">
        <is>
          <t>20260527000142</t>
        </is>
      </c>
      <c r="M1800" s="8">
        <f>HYPERLINK("https://dart.fss.or.kr/dsaf001/main.do?rcpNo=20260527000142", "공시열람")</f>
        <v/>
      </c>
    </row>
    <row r="1801" ht="22" customHeight="1">
      <c r="A1801" s="2" t="inlineStr">
        <is>
          <t>2026-05-27</t>
        </is>
      </c>
      <c r="B1801" s="3" t="inlineStr">
        <is>
          <t>삼화네트웍스</t>
        </is>
      </c>
      <c r="C1801" s="2" t="inlineStr">
        <is>
          <t>046390</t>
        </is>
      </c>
      <c r="D1801" s="2" t="inlineStr">
        <is>
          <t>대량보유</t>
        </is>
      </c>
      <c r="E1801" s="3" t="inlineStr">
        <is>
          <t>이기승</t>
        </is>
      </c>
      <c r="F1801" s="3" t="inlineStr">
        <is>
          <t>특별관계자</t>
        </is>
      </c>
      <c r="G1801" s="3" t="inlineStr">
        <is>
          <t>주식병합</t>
        </is>
      </c>
      <c r="H1801" s="17" t="n">
        <v>-12000</v>
      </c>
      <c r="I1801" s="6" t="inlineStr"/>
      <c r="J1801" s="6" t="n">
        <v>8000</v>
      </c>
      <c r="K1801" s="16" t="n">
        <v>5</v>
      </c>
      <c r="L1801" s="2" t="inlineStr">
        <is>
          <t>20260527000142</t>
        </is>
      </c>
      <c r="M1801" s="8">
        <f>HYPERLINK("https://dart.fss.or.kr/dsaf001/main.do?rcpNo=20260527000142", "공시열람")</f>
        <v/>
      </c>
    </row>
    <row r="1802" ht="22" customHeight="1">
      <c r="A1802" s="2" t="inlineStr">
        <is>
          <t>2026-05-27</t>
        </is>
      </c>
      <c r="B1802" s="3" t="inlineStr">
        <is>
          <t>글로벌텍스프리</t>
        </is>
      </c>
      <c r="C1802" s="2" t="inlineStr">
        <is>
          <t>204620</t>
        </is>
      </c>
      <c r="D1802" s="2" t="inlineStr">
        <is>
          <t>대량보유</t>
        </is>
      </c>
      <c r="E1802" s="3" t="inlineStr">
        <is>
          <t>김진서</t>
        </is>
      </c>
      <c r="F1802" s="3" t="inlineStr">
        <is>
          <t>특별관계자</t>
        </is>
      </c>
      <c r="G1802" s="3" t="inlineStr">
        <is>
          <t>장내매수(+)</t>
        </is>
      </c>
      <c r="H1802" s="15" t="n">
        <v>3700000</v>
      </c>
      <c r="I1802" s="6" t="n">
        <v>4792</v>
      </c>
      <c r="J1802" s="6" t="n">
        <v>3700000</v>
      </c>
      <c r="K1802" s="16" t="n">
        <v>5.26</v>
      </c>
      <c r="L1802" s="2" t="inlineStr">
        <is>
          <t>20260527000134</t>
        </is>
      </c>
      <c r="M1802" s="8">
        <f>HYPERLINK("https://dart.fss.or.kr/dsaf001/main.do?rcpNo=20260527000134", "공시열람")</f>
        <v/>
      </c>
    </row>
    <row r="1803" ht="22" customHeight="1">
      <c r="A1803" s="2" t="inlineStr">
        <is>
          <t>2026-05-27</t>
        </is>
      </c>
      <c r="B1803" s="3" t="inlineStr">
        <is>
          <t>온타이드</t>
        </is>
      </c>
      <c r="C1803" s="2" t="inlineStr">
        <is>
          <t>005320</t>
        </is>
      </c>
      <c r="D1803" s="2" t="inlineStr">
        <is>
          <t>임원보고</t>
        </is>
      </c>
      <c r="E1803" s="3" t="inlineStr">
        <is>
          <t>-</t>
        </is>
      </c>
      <c r="F1803" s="3" t="inlineStr">
        <is>
          <t>-</t>
        </is>
      </c>
      <c r="G1803" s="3" t="inlineStr">
        <is>
          <t>-</t>
        </is>
      </c>
      <c r="H1803" s="6" t="inlineStr"/>
      <c r="I1803" s="6" t="inlineStr"/>
      <c r="J1803" s="6" t="inlineStr"/>
      <c r="K1803" s="16" t="n">
        <v>12</v>
      </c>
      <c r="L1803" s="2" t="inlineStr">
        <is>
          <t>20260527800224</t>
        </is>
      </c>
      <c r="M1803" s="8">
        <f>HYPERLINK("https://dart.fss.or.kr/dsaf001/main.do?rcpNo=20260527800224", "공시열람")</f>
        <v/>
      </c>
    </row>
    <row r="1804" ht="22" customHeight="1">
      <c r="A1804" s="2" t="inlineStr">
        <is>
          <t>2026-05-27</t>
        </is>
      </c>
      <c r="B1804" s="3" t="inlineStr">
        <is>
          <t>코렌텍</t>
        </is>
      </c>
      <c r="C1804" s="2" t="inlineStr">
        <is>
          <t>104540</t>
        </is>
      </c>
      <c r="D1804" s="2" t="inlineStr">
        <is>
          <t>대량보유</t>
        </is>
      </c>
      <c r="E1804" s="3" t="inlineStr">
        <is>
          <t>선형훈</t>
        </is>
      </c>
      <c r="F1804" s="3" t="inlineStr">
        <is>
          <t>특별관계자</t>
        </is>
      </c>
      <c r="G1804" s="3" t="inlineStr">
        <is>
          <t>장내매도(-)</t>
        </is>
      </c>
      <c r="H1804" s="17" t="n">
        <v>-18097</v>
      </c>
      <c r="I1804" s="6" t="n">
        <v>5422</v>
      </c>
      <c r="J1804" s="6" t="inlineStr"/>
      <c r="K1804" s="16" t="n">
        <v>16</v>
      </c>
      <c r="L1804" s="2" t="inlineStr">
        <is>
          <t>20260527000091</t>
        </is>
      </c>
      <c r="M1804" s="8">
        <f>HYPERLINK("https://dart.fss.or.kr/dsaf001/main.do?rcpNo=20260527000091", "공시열람")</f>
        <v/>
      </c>
    </row>
    <row r="1805" ht="22" customHeight="1">
      <c r="A1805" s="2" t="inlineStr">
        <is>
          <t>2026-05-27</t>
        </is>
      </c>
      <c r="B1805" s="3" t="inlineStr">
        <is>
          <t>코렌텍</t>
        </is>
      </c>
      <c r="C1805" s="2" t="inlineStr">
        <is>
          <t>104540</t>
        </is>
      </c>
      <c r="D1805" s="2" t="inlineStr">
        <is>
          <t>대량보유</t>
        </is>
      </c>
      <c r="E1805" s="3" t="inlineStr">
        <is>
          <t>선두훈</t>
        </is>
      </c>
      <c r="F1805" s="3" t="inlineStr">
        <is>
          <t>특별관계자</t>
        </is>
      </c>
      <c r="G1805" s="3" t="inlineStr">
        <is>
          <t>장내매수(+)</t>
        </is>
      </c>
      <c r="H1805" s="15" t="n">
        <v>7829</v>
      </c>
      <c r="I1805" s="6" t="n">
        <v>4991</v>
      </c>
      <c r="J1805" s="6" t="n">
        <v>706617</v>
      </c>
      <c r="K1805" s="16" t="n">
        <v>16</v>
      </c>
      <c r="L1805" s="2" t="inlineStr">
        <is>
          <t>20260527000091</t>
        </is>
      </c>
      <c r="M1805" s="8">
        <f>HYPERLINK("https://dart.fss.or.kr/dsaf001/main.do?rcpNo=20260527000091", "공시열람")</f>
        <v/>
      </c>
    </row>
    <row r="1806" ht="22" customHeight="1">
      <c r="A1806" s="2" t="inlineStr">
        <is>
          <t>2026-05-27</t>
        </is>
      </c>
      <c r="B1806" s="3" t="inlineStr">
        <is>
          <t>대성하이텍</t>
        </is>
      </c>
      <c r="C1806" s="2" t="inlineStr">
        <is>
          <t>129920</t>
        </is>
      </c>
      <c r="D1806" s="2" t="inlineStr">
        <is>
          <t>대량보유</t>
        </is>
      </c>
      <c r="E1806" s="3" t="inlineStr">
        <is>
          <t>최호형</t>
        </is>
      </c>
      <c r="F1806" s="3" t="inlineStr">
        <is>
          <t>보고자</t>
        </is>
      </c>
      <c r="G1806" s="3" t="inlineStr">
        <is>
          <t>특별관계자의 주식담보계약 만기 연장</t>
        </is>
      </c>
      <c r="H1806" s="6" t="inlineStr"/>
      <c r="I1806" s="6" t="inlineStr"/>
      <c r="J1806" s="6" t="n">
        <v>6839245</v>
      </c>
      <c r="K1806" s="16" t="n">
        <v>4</v>
      </c>
      <c r="L1806" s="2" t="inlineStr">
        <is>
          <t>20260527000083</t>
        </is>
      </c>
      <c r="M1806" s="8">
        <f>HYPERLINK("https://dart.fss.or.kr/dsaf001/main.do?rcpNo=20260527000083", "공시열람")</f>
        <v/>
      </c>
    </row>
    <row r="1807" ht="22" customHeight="1">
      <c r="A1807" s="2" t="inlineStr">
        <is>
          <t>2026-05-27</t>
        </is>
      </c>
      <c r="B1807" s="3" t="inlineStr">
        <is>
          <t>케이티앤지</t>
        </is>
      </c>
      <c r="C1807" s="2" t="inlineStr">
        <is>
          <t>033780</t>
        </is>
      </c>
      <c r="D1807" s="2" t="inlineStr">
        <is>
          <t>대량보유</t>
        </is>
      </c>
      <c r="E1807" s="3" t="inlineStr">
        <is>
          <t>FirstEagleInvestmentManagement,LLC</t>
        </is>
      </c>
      <c r="F1807" s="3" t="inlineStr">
        <is>
          <t>특별관계자</t>
        </is>
      </c>
      <c r="G1807" s="3" t="inlineStr">
        <is>
          <t>장내매수(+), 장내매도(-), 기타(+), 기타(-)</t>
        </is>
      </c>
      <c r="H1807" s="17" t="n">
        <v>-843581</v>
      </c>
      <c r="I1807" s="6" t="n">
        <v>88601</v>
      </c>
      <c r="J1807" s="6" t="n">
        <v>8934635</v>
      </c>
      <c r="K1807" s="16" t="n">
        <v>1</v>
      </c>
      <c r="L1807" s="2" t="inlineStr">
        <is>
          <t>20260527000073</t>
        </is>
      </c>
      <c r="M1807" s="8">
        <f>HYPERLINK("https://dart.fss.or.kr/dsaf001/main.do?rcpNo=20260527000073", "공시열람")</f>
        <v/>
      </c>
    </row>
    <row r="1808" ht="22" customHeight="1">
      <c r="A1808" s="2" t="inlineStr">
        <is>
          <t>2026-05-27</t>
        </is>
      </c>
      <c r="B1808" s="3" t="inlineStr">
        <is>
          <t>캐스텍코리아</t>
        </is>
      </c>
      <c r="C1808" s="2" t="inlineStr">
        <is>
          <t>071850</t>
        </is>
      </c>
      <c r="D1808" s="2" t="inlineStr">
        <is>
          <t>대량보유</t>
        </is>
      </c>
      <c r="E1808" s="3" t="inlineStr">
        <is>
          <t>유진오토텍</t>
        </is>
      </c>
      <c r="F1808" s="3" t="inlineStr">
        <is>
          <t>특별관계자</t>
        </is>
      </c>
      <c r="G1808" s="3" t="inlineStr">
        <is>
          <t>장내매수(+)</t>
        </is>
      </c>
      <c r="H1808" s="15" t="n">
        <v>210057</v>
      </c>
      <c r="I1808" s="6" t="n">
        <v>1501</v>
      </c>
      <c r="J1808" s="6" t="n">
        <v>2025057</v>
      </c>
      <c r="K1808" s="16" t="n">
        <v>20</v>
      </c>
      <c r="L1808" s="2" t="inlineStr">
        <is>
          <t>20260527000047</t>
        </is>
      </c>
      <c r="M1808" s="8">
        <f>HYPERLINK("https://dart.fss.or.kr/dsaf001/main.do?rcpNo=20260527000047", "공시열람")</f>
        <v/>
      </c>
    </row>
    <row r="1809" ht="22" customHeight="1">
      <c r="A1809" s="2" t="inlineStr">
        <is>
          <t>2026-05-27</t>
        </is>
      </c>
      <c r="B1809" s="3" t="inlineStr">
        <is>
          <t>캐스텍코리아</t>
        </is>
      </c>
      <c r="C1809" s="2" t="inlineStr">
        <is>
          <t>071850</t>
        </is>
      </c>
      <c r="D1809" s="2" t="inlineStr">
        <is>
          <t>대량보유</t>
        </is>
      </c>
      <c r="E1809" s="3" t="inlineStr">
        <is>
          <t>정희연</t>
        </is>
      </c>
      <c r="F1809" s="3" t="inlineStr">
        <is>
          <t>특별관계자</t>
        </is>
      </c>
      <c r="G1809" s="3" t="inlineStr">
        <is>
          <t>장내매수(+)</t>
        </is>
      </c>
      <c r="H1809" s="15" t="n">
        <v>1000</v>
      </c>
      <c r="I1809" s="6" t="n">
        <v>1490</v>
      </c>
      <c r="J1809" s="6" t="n">
        <v>25000</v>
      </c>
      <c r="K1809" s="16" t="n">
        <v>20</v>
      </c>
      <c r="L1809" s="2" t="inlineStr">
        <is>
          <t>20260527000047</t>
        </is>
      </c>
      <c r="M1809" s="8">
        <f>HYPERLINK("https://dart.fss.or.kr/dsaf001/main.do?rcpNo=20260527000047", "공시열람")</f>
        <v/>
      </c>
    </row>
    <row r="1810" ht="22" customHeight="1">
      <c r="A1810" s="2" t="inlineStr">
        <is>
          <t>2026-05-27</t>
        </is>
      </c>
      <c r="B1810" s="3" t="inlineStr">
        <is>
          <t>호텔신라</t>
        </is>
      </c>
      <c r="C1810" s="2" t="inlineStr">
        <is>
          <t>008770</t>
        </is>
      </c>
      <c r="D1810" s="2" t="inlineStr">
        <is>
          <t>대량보유</t>
        </is>
      </c>
      <c r="E1810" s="3" t="inlineStr">
        <is>
          <t>한국투자신탁운용</t>
        </is>
      </c>
      <c r="F1810" s="3" t="inlineStr">
        <is>
          <t>특별관계자</t>
        </is>
      </c>
      <c r="G1810" s="3" t="inlineStr">
        <is>
          <t>신규보고(+), 기타(+)</t>
        </is>
      </c>
      <c r="H1810" s="15" t="n">
        <v>95404</v>
      </c>
      <c r="I1810" s="6" t="n">
        <v>57468</v>
      </c>
      <c r="J1810" s="6" t="n">
        <v>2040982</v>
      </c>
      <c r="K1810" s="16" t="n">
        <v>5.2</v>
      </c>
      <c r="L1810" s="2" t="inlineStr">
        <is>
          <t>20260526000530</t>
        </is>
      </c>
      <c r="M1810" s="8">
        <f>HYPERLINK("https://dart.fss.or.kr/dsaf001/main.do?rcpNo=20260526000530", "공시열람")</f>
        <v/>
      </c>
    </row>
    <row r="1811" ht="22" customHeight="1">
      <c r="A1811" s="2" t="inlineStr">
        <is>
          <t>2026-05-28 (정정: 2026-05-28)</t>
        </is>
      </c>
      <c r="B1811" s="3" t="inlineStr">
        <is>
          <t>한울앤제주</t>
        </is>
      </c>
      <c r="C1811" s="2" t="inlineStr">
        <is>
          <t>276730</t>
        </is>
      </c>
      <c r="D1811" s="2" t="inlineStr">
        <is>
          <t>대량보유</t>
        </is>
      </c>
      <c r="E1811" s="3" t="inlineStr">
        <is>
          <t>-</t>
        </is>
      </c>
      <c r="F1811" s="3" t="inlineStr">
        <is>
          <t>보고자</t>
        </is>
      </c>
      <c r="G1811" s="3" t="inlineStr">
        <is>
          <t>-</t>
        </is>
      </c>
      <c r="H1811" s="6" t="inlineStr"/>
      <c r="I1811" s="6" t="inlineStr"/>
      <c r="J1811" s="6" t="inlineStr"/>
      <c r="K1811" s="18" t="inlineStr"/>
      <c r="L1811" s="2" t="inlineStr">
        <is>
          <t>20260528900712</t>
        </is>
      </c>
      <c r="M1811" s="8">
        <f>HYPERLINK("https://dart.fss.or.kr/dsaf001/main.do?rcpNo=20260528900712", "공시열람")</f>
        <v/>
      </c>
    </row>
    <row r="1812" ht="22" customHeight="1">
      <c r="A1812" s="2" t="inlineStr">
        <is>
          <t>2026-05-28</t>
        </is>
      </c>
      <c r="B1812" s="3" t="inlineStr">
        <is>
          <t>에이텍</t>
        </is>
      </c>
      <c r="C1812" s="2" t="inlineStr">
        <is>
          <t>045660</t>
        </is>
      </c>
      <c r="D1812" s="2" t="inlineStr">
        <is>
          <t>대량보유</t>
        </is>
      </c>
      <c r="E1812" s="3" t="inlineStr">
        <is>
          <t>신종수</t>
        </is>
      </c>
      <c r="F1812" s="3" t="inlineStr">
        <is>
          <t>특별관계자</t>
        </is>
      </c>
      <c r="G1812" s="3" t="inlineStr">
        <is>
          <t>장내매수(+)</t>
        </is>
      </c>
      <c r="H1812" s="15" t="n">
        <v>69959</v>
      </c>
      <c r="I1812" s="6" t="n">
        <v>9354</v>
      </c>
      <c r="J1812" s="6" t="n">
        <v>98150</v>
      </c>
      <c r="K1812" s="16" t="n">
        <v>7</v>
      </c>
      <c r="L1812" s="2" t="inlineStr">
        <is>
          <t>20260528001015</t>
        </is>
      </c>
      <c r="M1812" s="8">
        <f>HYPERLINK("https://dart.fss.or.kr/dsaf001/main.do?rcpNo=20260528001015", "공시열람")</f>
        <v/>
      </c>
    </row>
    <row r="1813" ht="22" customHeight="1">
      <c r="A1813" s="2" t="inlineStr">
        <is>
          <t>2026-05-28</t>
        </is>
      </c>
      <c r="B1813" s="3" t="inlineStr">
        <is>
          <t>에이텍</t>
        </is>
      </c>
      <c r="C1813" s="2" t="inlineStr">
        <is>
          <t>045660</t>
        </is>
      </c>
      <c r="D1813" s="2" t="inlineStr">
        <is>
          <t>대량보유</t>
        </is>
      </c>
      <c r="E1813" s="3" t="inlineStr">
        <is>
          <t>에이텍씨앤</t>
        </is>
      </c>
      <c r="F1813" s="3" t="inlineStr">
        <is>
          <t>특별관계자</t>
        </is>
      </c>
      <c r="G1813" s="3" t="inlineStr">
        <is>
          <t>장내매수(+)</t>
        </is>
      </c>
      <c r="H1813" s="15" t="n">
        <v>107296</v>
      </c>
      <c r="I1813" s="6" t="n">
        <v>9201</v>
      </c>
      <c r="J1813" s="6" t="n">
        <v>107296</v>
      </c>
      <c r="K1813" s="16" t="n">
        <v>7</v>
      </c>
      <c r="L1813" s="2" t="inlineStr">
        <is>
          <t>20260528001015</t>
        </is>
      </c>
      <c r="M1813" s="8">
        <f>HYPERLINK("https://dart.fss.or.kr/dsaf001/main.do?rcpNo=20260528001015", "공시열람")</f>
        <v/>
      </c>
    </row>
    <row r="1814" ht="22" customHeight="1">
      <c r="A1814" s="2" t="inlineStr">
        <is>
          <t>2026-05-28</t>
        </is>
      </c>
      <c r="B1814" s="3" t="inlineStr">
        <is>
          <t>남선알미늄</t>
        </is>
      </c>
      <c r="C1814" s="2" t="inlineStr">
        <is>
          <t>008350</t>
        </is>
      </c>
      <c r="D1814" s="2" t="inlineStr">
        <is>
          <t>대량보유</t>
        </is>
      </c>
      <c r="E1814" s="3" t="inlineStr">
        <is>
          <t>(주)삼라</t>
        </is>
      </c>
      <c r="F1814" s="3" t="inlineStr">
        <is>
          <t>보고자</t>
        </is>
      </c>
      <c r="G1814" s="3" t="inlineStr">
        <is>
          <t>보고자 본인 (주)삼라의 계약(주식 담보대출 차입금 연장)</t>
        </is>
      </c>
      <c r="H1814" s="6" t="inlineStr"/>
      <c r="I1814" s="6" t="inlineStr"/>
      <c r="J1814" s="6" t="n">
        <v>38821497</v>
      </c>
      <c r="K1814" s="16" t="n">
        <v>30</v>
      </c>
      <c r="L1814" s="2" t="inlineStr">
        <is>
          <t>20260528000987</t>
        </is>
      </c>
      <c r="M1814" s="8">
        <f>HYPERLINK("https://dart.fss.or.kr/dsaf001/main.do?rcpNo=20260528000987", "공시열람")</f>
        <v/>
      </c>
    </row>
    <row r="1815" ht="22" customHeight="1">
      <c r="A1815" s="2" t="inlineStr">
        <is>
          <t>2026-05-28</t>
        </is>
      </c>
      <c r="B1815" s="3" t="inlineStr">
        <is>
          <t>가온칩스</t>
        </is>
      </c>
      <c r="C1815" s="2" t="inlineStr">
        <is>
          <t>399720</t>
        </is>
      </c>
      <c r="D1815" s="2" t="inlineStr">
        <is>
          <t>대량보유</t>
        </is>
      </c>
      <c r="E1815" s="3" t="inlineStr">
        <is>
          <t>정규동</t>
        </is>
      </c>
      <c r="F1815" s="3" t="inlineStr">
        <is>
          <t>보고자</t>
        </is>
      </c>
      <c r="G1815" s="3" t="inlineStr">
        <is>
          <t>특수관계인의 주식담보 대출계약 체결</t>
        </is>
      </c>
      <c r="H1815" s="6" t="inlineStr"/>
      <c r="I1815" s="6" t="inlineStr"/>
      <c r="J1815" s="6" t="n">
        <v>5548861</v>
      </c>
      <c r="K1815" s="16" t="n">
        <v>14</v>
      </c>
      <c r="L1815" s="2" t="inlineStr">
        <is>
          <t>20260528000976</t>
        </is>
      </c>
      <c r="M1815" s="8">
        <f>HYPERLINK("https://dart.fss.or.kr/dsaf001/main.do?rcpNo=20260528000976", "공시열람")</f>
        <v/>
      </c>
    </row>
    <row r="1816" ht="22" customHeight="1">
      <c r="A1816" s="2" t="inlineStr">
        <is>
          <t>2026-05-28</t>
        </is>
      </c>
      <c r="B1816" s="3" t="inlineStr">
        <is>
          <t>제이엠아이</t>
        </is>
      </c>
      <c r="C1816" s="2" t="inlineStr">
        <is>
          <t>033050</t>
        </is>
      </c>
      <c r="D1816" s="2" t="inlineStr">
        <is>
          <t>대량보유</t>
        </is>
      </c>
      <c r="E1816" s="3" t="inlineStr">
        <is>
          <t>정수연</t>
        </is>
      </c>
      <c r="F1816" s="3" t="inlineStr">
        <is>
          <t>특별관계자</t>
        </is>
      </c>
      <c r="G1816" s="3" t="inlineStr">
        <is>
          <t>장내매수(+)</t>
        </is>
      </c>
      <c r="H1816" s="15" t="n">
        <v>75200</v>
      </c>
      <c r="I1816" s="6" t="n">
        <v>999</v>
      </c>
      <c r="J1816" s="6" t="n">
        <v>689191</v>
      </c>
      <c r="K1816" s="16" t="n">
        <v>4</v>
      </c>
      <c r="L1816" s="2" t="inlineStr">
        <is>
          <t>20260528000952</t>
        </is>
      </c>
      <c r="M1816" s="8">
        <f>HYPERLINK("https://dart.fss.or.kr/dsaf001/main.do?rcpNo=20260528000952", "공시열람")</f>
        <v/>
      </c>
    </row>
    <row r="1817" ht="22" customHeight="1">
      <c r="A1817" s="2" t="inlineStr">
        <is>
          <t>2026-05-28</t>
        </is>
      </c>
      <c r="B1817" s="3" t="inlineStr">
        <is>
          <t>제이엠아이</t>
        </is>
      </c>
      <c r="C1817" s="2" t="inlineStr">
        <is>
          <t>033050</t>
        </is>
      </c>
      <c r="D1817" s="2" t="inlineStr">
        <is>
          <t>대량보유</t>
        </is>
      </c>
      <c r="E1817" s="3" t="inlineStr">
        <is>
          <t>정광훈</t>
        </is>
      </c>
      <c r="F1817" s="3" t="inlineStr">
        <is>
          <t>특별관계자</t>
        </is>
      </c>
      <c r="G1817" s="3" t="inlineStr">
        <is>
          <t>장내매수(+)</t>
        </is>
      </c>
      <c r="H1817" s="15" t="n">
        <v>138630</v>
      </c>
      <c r="I1817" s="6" t="n">
        <v>1048</v>
      </c>
      <c r="J1817" s="6" t="n">
        <v>751265</v>
      </c>
      <c r="K1817" s="16" t="n">
        <v>4</v>
      </c>
      <c r="L1817" s="2" t="inlineStr">
        <is>
          <t>20260528000952</t>
        </is>
      </c>
      <c r="M1817" s="8">
        <f>HYPERLINK("https://dart.fss.or.kr/dsaf001/main.do?rcpNo=20260528000952", "공시열람")</f>
        <v/>
      </c>
    </row>
    <row r="1818" ht="22" customHeight="1">
      <c r="A1818" s="2" t="inlineStr">
        <is>
          <t>2026-05-28</t>
        </is>
      </c>
      <c r="B1818" s="3" t="inlineStr">
        <is>
          <t>HS효성첨단소재</t>
        </is>
      </c>
      <c r="C1818" s="2" t="inlineStr">
        <is>
          <t>298050</t>
        </is>
      </c>
      <c r="D1818" s="2" t="inlineStr">
        <is>
          <t>임원보고</t>
        </is>
      </c>
      <c r="E1818" s="3" t="inlineStr">
        <is>
          <t>-</t>
        </is>
      </c>
      <c r="F1818" s="3" t="inlineStr">
        <is>
          <t>-</t>
        </is>
      </c>
      <c r="G1818" s="3" t="inlineStr">
        <is>
          <t>-</t>
        </is>
      </c>
      <c r="H1818" s="6" t="inlineStr"/>
      <c r="I1818" s="6" t="inlineStr"/>
      <c r="J1818" s="6" t="inlineStr"/>
      <c r="K1818" s="16" t="n">
        <v>12</v>
      </c>
      <c r="L1818" s="2" t="inlineStr">
        <is>
          <t>20260528800984</t>
        </is>
      </c>
      <c r="M1818" s="8">
        <f>HYPERLINK("https://dart.fss.or.kr/dsaf001/main.do?rcpNo=20260528800984", "공시열람")</f>
        <v/>
      </c>
    </row>
    <row r="1819" ht="22" customHeight="1">
      <c r="A1819" s="2" t="inlineStr">
        <is>
          <t>2026-05-28</t>
        </is>
      </c>
      <c r="B1819" s="3" t="inlineStr">
        <is>
          <t>엔젤로보틱스</t>
        </is>
      </c>
      <c r="C1819" s="2" t="inlineStr">
        <is>
          <t>455900</t>
        </is>
      </c>
      <c r="D1819" s="2" t="inlineStr">
        <is>
          <t>대량보유</t>
        </is>
      </c>
      <c r="E1819" s="3" t="inlineStr">
        <is>
          <t>송영준</t>
        </is>
      </c>
      <c r="F1819" s="3" t="inlineStr">
        <is>
          <t>특별관계자</t>
        </is>
      </c>
      <c r="G1819" s="3" t="inlineStr">
        <is>
          <t>임원퇴임(-)</t>
        </is>
      </c>
      <c r="H1819" s="17" t="n">
        <v>-80000</v>
      </c>
      <c r="I1819" s="6" t="n">
        <v>8188</v>
      </c>
      <c r="J1819" s="6" t="inlineStr"/>
      <c r="K1819" s="16" t="n">
        <v>5</v>
      </c>
      <c r="L1819" s="2" t="inlineStr">
        <is>
          <t>20260528000910</t>
        </is>
      </c>
      <c r="M1819" s="8">
        <f>HYPERLINK("https://dart.fss.or.kr/dsaf001/main.do?rcpNo=20260528000910", "공시열람")</f>
        <v/>
      </c>
    </row>
    <row r="1820" ht="22" customHeight="1">
      <c r="A1820" s="2" t="inlineStr">
        <is>
          <t>2026-05-28</t>
        </is>
      </c>
      <c r="B1820" s="3" t="inlineStr">
        <is>
          <t>엔젤로보틱스</t>
        </is>
      </c>
      <c r="C1820" s="2" t="inlineStr">
        <is>
          <t>455900</t>
        </is>
      </c>
      <c r="D1820" s="2" t="inlineStr">
        <is>
          <t>대량보유</t>
        </is>
      </c>
      <c r="E1820" s="3" t="inlineStr">
        <is>
          <t>이윤철</t>
        </is>
      </c>
      <c r="F1820" s="3" t="inlineStr">
        <is>
          <t>특별관계자</t>
        </is>
      </c>
      <c r="G1820" s="3" t="inlineStr">
        <is>
          <t>주식매수선택권행사(-), 주식매수선택권행사(+)</t>
        </is>
      </c>
      <c r="H1820" s="6" t="inlineStr"/>
      <c r="I1820" s="6" t="n">
        <v>8190</v>
      </c>
      <c r="J1820" s="6" t="n">
        <v>10000</v>
      </c>
      <c r="K1820" s="16" t="n">
        <v>5</v>
      </c>
      <c r="L1820" s="2" t="inlineStr">
        <is>
          <t>20260528000910</t>
        </is>
      </c>
      <c r="M1820" s="8">
        <f>HYPERLINK("https://dart.fss.or.kr/dsaf001/main.do?rcpNo=20260528000910", "공시열람")</f>
        <v/>
      </c>
    </row>
    <row r="1821" ht="22" customHeight="1">
      <c r="A1821" s="2" t="inlineStr">
        <is>
          <t>2026-05-28</t>
        </is>
      </c>
      <c r="B1821" s="3" t="inlineStr">
        <is>
          <t>엔젤로보틱스</t>
        </is>
      </c>
      <c r="C1821" s="2" t="inlineStr">
        <is>
          <t>455900</t>
        </is>
      </c>
      <c r="D1821" s="2" t="inlineStr">
        <is>
          <t>대량보유</t>
        </is>
      </c>
      <c r="E1821" s="3" t="inlineStr">
        <is>
          <t>권혁일</t>
        </is>
      </c>
      <c r="F1821" s="3" t="inlineStr">
        <is>
          <t>특별관계자</t>
        </is>
      </c>
      <c r="G1821" s="3" t="inlineStr">
        <is>
          <t>임원퇴임(-), 주식매수선택권행사(-), 주식매수선택권행사(+)</t>
        </is>
      </c>
      <c r="H1821" s="17" t="n">
        <v>-192000</v>
      </c>
      <c r="I1821" s="6" t="n">
        <v>8188</v>
      </c>
      <c r="J1821" s="6" t="n">
        <v>72000</v>
      </c>
      <c r="K1821" s="16" t="n">
        <v>5</v>
      </c>
      <c r="L1821" s="2" t="inlineStr">
        <is>
          <t>20260528000910</t>
        </is>
      </c>
      <c r="M1821" s="8">
        <f>HYPERLINK("https://dart.fss.or.kr/dsaf001/main.do?rcpNo=20260528000910", "공시열람")</f>
        <v/>
      </c>
    </row>
    <row r="1822" ht="22" customHeight="1">
      <c r="A1822" s="2" t="inlineStr">
        <is>
          <t>2026-05-28</t>
        </is>
      </c>
      <c r="B1822" s="3" t="inlineStr">
        <is>
          <t>HC홈센타</t>
        </is>
      </c>
      <c r="C1822" s="2" t="inlineStr">
        <is>
          <t>060560</t>
        </is>
      </c>
      <c r="D1822" s="2" t="inlineStr">
        <is>
          <t>대량보유</t>
        </is>
      </c>
      <c r="E1822" s="3" t="inlineStr">
        <is>
          <t>에이치씨파트너스(주)</t>
        </is>
      </c>
      <c r="F1822" s="3" t="inlineStr">
        <is>
          <t>특별관계자</t>
        </is>
      </c>
      <c r="G1822" s="3" t="inlineStr">
        <is>
          <t>장내매수(+)</t>
        </is>
      </c>
      <c r="H1822" s="15" t="n">
        <v>9780</v>
      </c>
      <c r="I1822" s="6" t="n">
        <v>2622</v>
      </c>
      <c r="J1822" s="6" t="n">
        <v>6417160</v>
      </c>
      <c r="K1822" s="16" t="n">
        <v>12</v>
      </c>
      <c r="L1822" s="2" t="inlineStr">
        <is>
          <t>20260528000905</t>
        </is>
      </c>
      <c r="M1822" s="8">
        <f>HYPERLINK("https://dart.fss.or.kr/dsaf001/main.do?rcpNo=20260528000905", "공시열람")</f>
        <v/>
      </c>
    </row>
    <row r="1823" ht="22" customHeight="1">
      <c r="A1823" s="2" t="inlineStr">
        <is>
          <t>2026-05-28</t>
        </is>
      </c>
      <c r="B1823" s="3" t="inlineStr">
        <is>
          <t>빅텍</t>
        </is>
      </c>
      <c r="C1823" s="2" t="inlineStr">
        <is>
          <t>065450</t>
        </is>
      </c>
      <c r="D1823" s="2" t="inlineStr">
        <is>
          <t>대량보유</t>
        </is>
      </c>
      <c r="E1823" s="3" t="inlineStr">
        <is>
          <t>(주)라이노스자산운용</t>
        </is>
      </c>
      <c r="F1823" s="3" t="inlineStr">
        <is>
          <t>특별관계자</t>
        </is>
      </c>
      <c r="G1823" s="3" t="inlineStr">
        <is>
          <t>행사가액조정, 전환등(-), 전환사채의권리행사(+), 장내매도(-)</t>
        </is>
      </c>
      <c r="H1823" s="17" t="n">
        <v>-395458</v>
      </c>
      <c r="I1823" s="6" t="n">
        <v>4813</v>
      </c>
      <c r="J1823" s="6" t="n">
        <v>617473</v>
      </c>
      <c r="K1823" s="16" t="n">
        <v>1</v>
      </c>
      <c r="L1823" s="2" t="inlineStr">
        <is>
          <t>20260528000895</t>
        </is>
      </c>
      <c r="M1823" s="8">
        <f>HYPERLINK("https://dart.fss.or.kr/dsaf001/main.do?rcpNo=20260528000895", "공시열람")</f>
        <v/>
      </c>
    </row>
    <row r="1824" ht="22" customHeight="1">
      <c r="A1824" s="2" t="inlineStr">
        <is>
          <t>2026-05-28</t>
        </is>
      </c>
      <c r="B1824" s="3" t="inlineStr">
        <is>
          <t>빅텍</t>
        </is>
      </c>
      <c r="C1824" s="2" t="inlineStr">
        <is>
          <t>065450</t>
        </is>
      </c>
      <c r="D1824" s="2" t="inlineStr">
        <is>
          <t>대량보유</t>
        </is>
      </c>
      <c r="E1824" s="3" t="inlineStr">
        <is>
          <t>제이비-라이노스메자닌신기술사업투자조합</t>
        </is>
      </c>
      <c r="F1824" s="3" t="inlineStr">
        <is>
          <t>특별관계자</t>
        </is>
      </c>
      <c r="G1824" s="3" t="inlineStr">
        <is>
          <t>행사가액조정, 전환등(-), 전환사채의권리행사(+), 장내매도(-)</t>
        </is>
      </c>
      <c r="H1824" s="17" t="n">
        <v>-193522</v>
      </c>
      <c r="I1824" s="6" t="n">
        <v>4821</v>
      </c>
      <c r="J1824" s="6" t="n">
        <v>302167</v>
      </c>
      <c r="K1824" s="16" t="n">
        <v>1</v>
      </c>
      <c r="L1824" s="2" t="inlineStr">
        <is>
          <t>20260528000895</t>
        </is>
      </c>
      <c r="M1824" s="8">
        <f>HYPERLINK("https://dart.fss.or.kr/dsaf001/main.do?rcpNo=20260528000895", "공시열람")</f>
        <v/>
      </c>
    </row>
    <row r="1825" ht="22" customHeight="1">
      <c r="A1825" s="2" t="inlineStr">
        <is>
          <t>2026-05-28</t>
        </is>
      </c>
      <c r="B1825" s="3" t="inlineStr">
        <is>
          <t>풍산홀딩스</t>
        </is>
      </c>
      <c r="C1825" s="2" t="inlineStr">
        <is>
          <t>005810</t>
        </is>
      </c>
      <c r="D1825" s="2" t="inlineStr">
        <is>
          <t>대량보유</t>
        </is>
      </c>
      <c r="E1825" s="3" t="inlineStr">
        <is>
          <t>(주)브이아이피자산운용</t>
        </is>
      </c>
      <c r="F1825" s="3" t="inlineStr">
        <is>
          <t>특별관계자</t>
        </is>
      </c>
      <c r="G1825" s="3" t="inlineStr">
        <is>
          <t>장내매수(+), 장내매도(-)</t>
        </is>
      </c>
      <c r="H1825" s="15" t="n">
        <v>37583</v>
      </c>
      <c r="I1825" s="6" t="n">
        <v>40077</v>
      </c>
      <c r="J1825" s="6" t="n">
        <v>728174</v>
      </c>
      <c r="K1825" s="16" t="n">
        <v>5.05</v>
      </c>
      <c r="L1825" s="2" t="inlineStr">
        <is>
          <t>20260528000890</t>
        </is>
      </c>
      <c r="M1825" s="8">
        <f>HYPERLINK("https://dart.fss.or.kr/dsaf001/main.do?rcpNo=20260528000890", "공시열람")</f>
        <v/>
      </c>
    </row>
    <row r="1826" ht="22" customHeight="1">
      <c r="A1826" s="2" t="inlineStr">
        <is>
          <t>2026-05-28</t>
        </is>
      </c>
      <c r="B1826" s="3" t="inlineStr">
        <is>
          <t>핑거</t>
        </is>
      </c>
      <c r="C1826" s="2" t="inlineStr">
        <is>
          <t>163730</t>
        </is>
      </c>
      <c r="D1826" s="2" t="inlineStr">
        <is>
          <t>대량보유</t>
        </is>
      </c>
      <c r="E1826" s="3" t="inlineStr">
        <is>
          <t>(유)판토스홀딩스</t>
        </is>
      </c>
      <c r="F1826" s="3" t="inlineStr">
        <is>
          <t>특별관계자</t>
        </is>
      </c>
      <c r="G1826" s="3" t="inlineStr">
        <is>
          <t>장외매도(-)</t>
        </is>
      </c>
      <c r="H1826" s="17" t="n">
        <v>-199856</v>
      </c>
      <c r="I1826" s="6" t="n">
        <v>12509</v>
      </c>
      <c r="J1826" s="6" t="n">
        <v>599568</v>
      </c>
      <c r="K1826" s="16" t="n">
        <v>4.8</v>
      </c>
      <c r="L1826" s="2" t="inlineStr">
        <is>
          <t>20260528000872</t>
        </is>
      </c>
      <c r="M1826" s="8">
        <f>HYPERLINK("https://dart.fss.or.kr/dsaf001/main.do?rcpNo=20260528000872", "공시열람")</f>
        <v/>
      </c>
    </row>
    <row r="1827" ht="22" customHeight="1">
      <c r="A1827" s="2" t="inlineStr">
        <is>
          <t>2026-05-28</t>
        </is>
      </c>
      <c r="B1827" s="3" t="inlineStr">
        <is>
          <t>토모큐브</t>
        </is>
      </c>
      <c r="C1827" s="2" t="inlineStr">
        <is>
          <t>475960</t>
        </is>
      </c>
      <c r="D1827" s="2" t="inlineStr">
        <is>
          <t>대량보유</t>
        </is>
      </c>
      <c r="E1827" s="3" t="inlineStr">
        <is>
          <t>김태홍</t>
        </is>
      </c>
      <c r="F1827" s="3" t="inlineStr">
        <is>
          <t>특별관계자</t>
        </is>
      </c>
      <c r="G1827" s="3" t="inlineStr">
        <is>
          <t>증여(-)</t>
        </is>
      </c>
      <c r="H1827" s="17" t="n">
        <v>-18000</v>
      </c>
      <c r="I1827" s="6" t="inlineStr"/>
      <c r="J1827" s="6" t="n">
        <v>147720</v>
      </c>
      <c r="K1827" s="16" t="n">
        <v>11</v>
      </c>
      <c r="L1827" s="2" t="inlineStr">
        <is>
          <t>20260528000871</t>
        </is>
      </c>
      <c r="M1827" s="8">
        <f>HYPERLINK("https://dart.fss.or.kr/dsaf001/main.do?rcpNo=20260528000871", "공시열람")</f>
        <v/>
      </c>
    </row>
    <row r="1828" ht="22" customHeight="1">
      <c r="A1828" s="2" t="inlineStr">
        <is>
          <t>2026-05-28</t>
        </is>
      </c>
      <c r="B1828" s="3" t="inlineStr">
        <is>
          <t>토모큐브</t>
        </is>
      </c>
      <c r="C1828" s="2" t="inlineStr">
        <is>
          <t>475960</t>
        </is>
      </c>
      <c r="D1828" s="2" t="inlineStr">
        <is>
          <t>대량보유</t>
        </is>
      </c>
      <c r="E1828" s="3" t="inlineStr">
        <is>
          <t>고성호</t>
        </is>
      </c>
      <c r="F1828" s="3" t="inlineStr">
        <is>
          <t>특별관계자</t>
        </is>
      </c>
      <c r="G1828" s="3" t="inlineStr">
        <is>
          <t>주식매수선택권행사(+), 주식매수선택권행사(-)</t>
        </is>
      </c>
      <c r="H1828" s="6" t="inlineStr"/>
      <c r="I1828" s="6" t="n">
        <v>5000</v>
      </c>
      <c r="J1828" s="6" t="n">
        <v>40000</v>
      </c>
      <c r="K1828" s="16" t="n">
        <v>11</v>
      </c>
      <c r="L1828" s="2" t="inlineStr">
        <is>
          <t>20260528000871</t>
        </is>
      </c>
      <c r="M1828" s="8">
        <f>HYPERLINK("https://dart.fss.or.kr/dsaf001/main.do?rcpNo=20260528000871", "공시열람")</f>
        <v/>
      </c>
    </row>
    <row r="1829" ht="22" customHeight="1">
      <c r="A1829" s="2" t="inlineStr">
        <is>
          <t>2026-05-28</t>
        </is>
      </c>
      <c r="B1829" s="3" t="inlineStr">
        <is>
          <t>토모큐브</t>
        </is>
      </c>
      <c r="C1829" s="2" t="inlineStr">
        <is>
          <t>475960</t>
        </is>
      </c>
      <c r="D1829" s="2" t="inlineStr">
        <is>
          <t>대량보유</t>
        </is>
      </c>
      <c r="E1829" s="3" t="inlineStr">
        <is>
          <t>이수민</t>
        </is>
      </c>
      <c r="F1829" s="3" t="inlineStr">
        <is>
          <t>특별관계자</t>
        </is>
      </c>
      <c r="G1829" s="3" t="inlineStr">
        <is>
          <t>주식매수선택권행사(+), 주식매수선택권행사(-)</t>
        </is>
      </c>
      <c r="H1829" s="6" t="inlineStr"/>
      <c r="I1829" s="6" t="n">
        <v>5833</v>
      </c>
      <c r="J1829" s="6" t="n">
        <v>2000</v>
      </c>
      <c r="K1829" s="16" t="n">
        <v>11</v>
      </c>
      <c r="L1829" s="2" t="inlineStr">
        <is>
          <t>20260528000871</t>
        </is>
      </c>
      <c r="M1829" s="8">
        <f>HYPERLINK("https://dart.fss.or.kr/dsaf001/main.do?rcpNo=20260528000871", "공시열람")</f>
        <v/>
      </c>
    </row>
    <row r="1830" ht="22" customHeight="1">
      <c r="A1830" s="2" t="inlineStr">
        <is>
          <t>2026-05-28</t>
        </is>
      </c>
      <c r="B1830" s="3" t="inlineStr">
        <is>
          <t>토모큐브</t>
        </is>
      </c>
      <c r="C1830" s="2" t="inlineStr">
        <is>
          <t>475960</t>
        </is>
      </c>
      <c r="D1830" s="2" t="inlineStr">
        <is>
          <t>대량보유</t>
        </is>
      </c>
      <c r="E1830" s="3" t="inlineStr">
        <is>
          <t>차상훈</t>
        </is>
      </c>
      <c r="F1830" s="3" t="inlineStr">
        <is>
          <t>특별관계자</t>
        </is>
      </c>
      <c r="G1830" s="3" t="inlineStr">
        <is>
          <t>주식매수선택권부여(+)</t>
        </is>
      </c>
      <c r="H1830" s="15" t="n">
        <v>10000</v>
      </c>
      <c r="I1830" s="6" t="inlineStr"/>
      <c r="J1830" s="6" t="n">
        <v>10000</v>
      </c>
      <c r="K1830" s="16" t="n">
        <v>11</v>
      </c>
      <c r="L1830" s="2" t="inlineStr">
        <is>
          <t>20260528000871</t>
        </is>
      </c>
      <c r="M1830" s="8">
        <f>HYPERLINK("https://dart.fss.or.kr/dsaf001/main.do?rcpNo=20260528000871", "공시열람")</f>
        <v/>
      </c>
    </row>
    <row r="1831" ht="22" customHeight="1">
      <c r="A1831" s="2" t="inlineStr">
        <is>
          <t>2026-05-28</t>
        </is>
      </c>
      <c r="B1831" s="3" t="inlineStr">
        <is>
          <t>토모큐브</t>
        </is>
      </c>
      <c r="C1831" s="2" t="inlineStr">
        <is>
          <t>475960</t>
        </is>
      </c>
      <c r="D1831" s="2" t="inlineStr">
        <is>
          <t>대량보유</t>
        </is>
      </c>
      <c r="E1831" s="3" t="inlineStr">
        <is>
          <t>박상일</t>
        </is>
      </c>
      <c r="F1831" s="3" t="inlineStr">
        <is>
          <t>특별관계자</t>
        </is>
      </c>
      <c r="G1831" s="3" t="inlineStr">
        <is>
          <t>주식매수선택권부여(+)</t>
        </is>
      </c>
      <c r="H1831" s="15" t="n">
        <v>10000</v>
      </c>
      <c r="I1831" s="6" t="inlineStr"/>
      <c r="J1831" s="6" t="n">
        <v>10000</v>
      </c>
      <c r="K1831" s="16" t="n">
        <v>11</v>
      </c>
      <c r="L1831" s="2" t="inlineStr">
        <is>
          <t>20260528000871</t>
        </is>
      </c>
      <c r="M1831" s="8">
        <f>HYPERLINK("https://dart.fss.or.kr/dsaf001/main.do?rcpNo=20260528000871", "공시열람")</f>
        <v/>
      </c>
    </row>
    <row r="1832" ht="22" customHeight="1">
      <c r="A1832" s="2" t="inlineStr">
        <is>
          <t>2026-05-28</t>
        </is>
      </c>
      <c r="B1832" s="3" t="inlineStr">
        <is>
          <t>토모큐브</t>
        </is>
      </c>
      <c r="C1832" s="2" t="inlineStr">
        <is>
          <t>475960</t>
        </is>
      </c>
      <c r="D1832" s="2" t="inlineStr">
        <is>
          <t>대량보유</t>
        </is>
      </c>
      <c r="E1832" s="3" t="inlineStr">
        <is>
          <t>함병균</t>
        </is>
      </c>
      <c r="F1832" s="3" t="inlineStr">
        <is>
          <t>특별관계자</t>
        </is>
      </c>
      <c r="G1832" s="3" t="inlineStr">
        <is>
          <t>주식매수선택권부여(+)</t>
        </is>
      </c>
      <c r="H1832" s="15" t="n">
        <v>10000</v>
      </c>
      <c r="I1832" s="6" t="inlineStr"/>
      <c r="J1832" s="6" t="n">
        <v>10000</v>
      </c>
      <c r="K1832" s="16" t="n">
        <v>11</v>
      </c>
      <c r="L1832" s="2" t="inlineStr">
        <is>
          <t>20260528000871</t>
        </is>
      </c>
      <c r="M1832" s="8">
        <f>HYPERLINK("https://dart.fss.or.kr/dsaf001/main.do?rcpNo=20260528000871", "공시열람")</f>
        <v/>
      </c>
    </row>
    <row r="1833" ht="22" customHeight="1">
      <c r="A1833" s="2" t="inlineStr">
        <is>
          <t>2026-05-28</t>
        </is>
      </c>
      <c r="B1833" s="3" t="inlineStr">
        <is>
          <t>토모큐브</t>
        </is>
      </c>
      <c r="C1833" s="2" t="inlineStr">
        <is>
          <t>475960</t>
        </is>
      </c>
      <c r="D1833" s="2" t="inlineStr">
        <is>
          <t>대량보유</t>
        </is>
      </c>
      <c r="E1833" s="3" t="inlineStr">
        <is>
          <t>최세은</t>
        </is>
      </c>
      <c r="F1833" s="3" t="inlineStr">
        <is>
          <t>특별관계자</t>
        </is>
      </c>
      <c r="G1833" s="3" t="inlineStr">
        <is>
          <t>장내매수(+)</t>
        </is>
      </c>
      <c r="H1833" s="15" t="n">
        <v>1139</v>
      </c>
      <c r="I1833" s="6" t="n">
        <v>43351</v>
      </c>
      <c r="J1833" s="6" t="n">
        <v>10760</v>
      </c>
      <c r="K1833" s="16" t="n">
        <v>11</v>
      </c>
      <c r="L1833" s="2" t="inlineStr">
        <is>
          <t>20260528000871</t>
        </is>
      </c>
      <c r="M1833" s="8">
        <f>HYPERLINK("https://dart.fss.or.kr/dsaf001/main.do?rcpNo=20260528000871", "공시열람")</f>
        <v/>
      </c>
    </row>
    <row r="1834" ht="22" customHeight="1">
      <c r="A1834" s="2" t="inlineStr">
        <is>
          <t>2026-05-28</t>
        </is>
      </c>
      <c r="B1834" s="3" t="inlineStr">
        <is>
          <t>국전</t>
        </is>
      </c>
      <c r="C1834" s="2" t="inlineStr">
        <is>
          <t>307750</t>
        </is>
      </c>
      <c r="D1834" s="2" t="inlineStr">
        <is>
          <t>대량보유</t>
        </is>
      </c>
      <c r="E1834" s="3" t="inlineStr">
        <is>
          <t>홍종호</t>
        </is>
      </c>
      <c r="F1834" s="3" t="inlineStr">
        <is>
          <t>보고자</t>
        </is>
      </c>
      <c r="G1834" s="3" t="inlineStr">
        <is>
          <t>※기존 주식담보대출 계약 만기연장 및 조건변경, 보유주식수 및 지분율 변동은 없습니다.1.대표보고자 홍종호 : 담보계약 3건 변경(만기연장)2.특별관계자 홍종훈 : 담보계약 1건 변경(만기연장,이자율)</t>
        </is>
      </c>
      <c r="H1834" s="6" t="inlineStr"/>
      <c r="I1834" s="6" t="inlineStr"/>
      <c r="J1834" s="6" t="n">
        <v>28198023</v>
      </c>
      <c r="K1834" s="16" t="n">
        <v>8</v>
      </c>
      <c r="L1834" s="2" t="inlineStr">
        <is>
          <t>20260528000863</t>
        </is>
      </c>
      <c r="M1834" s="8">
        <f>HYPERLINK("https://dart.fss.or.kr/dsaf001/main.do?rcpNo=20260528000863", "공시열람")</f>
        <v/>
      </c>
    </row>
    <row r="1835" ht="22" customHeight="1">
      <c r="A1835" s="2" t="inlineStr">
        <is>
          <t>2026-05-28</t>
        </is>
      </c>
      <c r="B1835" s="3" t="inlineStr">
        <is>
          <t>SKC</t>
        </is>
      </c>
      <c r="C1835" s="2" t="inlineStr">
        <is>
          <t>011790</t>
        </is>
      </c>
      <c r="D1835" s="2" t="inlineStr">
        <is>
          <t>임원보고</t>
        </is>
      </c>
      <c r="E1835" s="3" t="inlineStr">
        <is>
          <t>-</t>
        </is>
      </c>
      <c r="F1835" s="3" t="inlineStr">
        <is>
          <t>-</t>
        </is>
      </c>
      <c r="G1835" s="3" t="inlineStr">
        <is>
          <t>-</t>
        </is>
      </c>
      <c r="H1835" s="6" t="inlineStr"/>
      <c r="I1835" s="6" t="inlineStr"/>
      <c r="J1835" s="6" t="inlineStr"/>
      <c r="K1835" s="16" t="n">
        <v>12</v>
      </c>
      <c r="L1835" s="2" t="inlineStr">
        <is>
          <t>20260528800912</t>
        </is>
      </c>
      <c r="M1835" s="8">
        <f>HYPERLINK("https://dart.fss.or.kr/dsaf001/main.do?rcpNo=20260528800912", "공시열람")</f>
        <v/>
      </c>
    </row>
    <row r="1836" ht="22" customHeight="1">
      <c r="A1836" s="2" t="inlineStr">
        <is>
          <t>2026-05-28</t>
        </is>
      </c>
      <c r="B1836" s="3" t="inlineStr">
        <is>
          <t>한국파마</t>
        </is>
      </c>
      <c r="C1836" s="2" t="inlineStr">
        <is>
          <t>032300</t>
        </is>
      </c>
      <c r="D1836" s="2" t="inlineStr">
        <is>
          <t>대량보유</t>
        </is>
      </c>
      <c r="E1836" s="3" t="inlineStr">
        <is>
          <t>박은희</t>
        </is>
      </c>
      <c r="F1836" s="3" t="inlineStr">
        <is>
          <t>보고자</t>
        </is>
      </c>
      <c r="G1836" s="3" t="inlineStr">
        <is>
          <t>특관자 주식담보대출 상환</t>
        </is>
      </c>
      <c r="H1836" s="6" t="inlineStr"/>
      <c r="I1836" s="6" t="inlineStr"/>
      <c r="J1836" s="6" t="n">
        <v>6990256</v>
      </c>
      <c r="K1836" s="16" t="n">
        <v>12</v>
      </c>
      <c r="L1836" s="2" t="inlineStr">
        <is>
          <t>20260528000861</t>
        </is>
      </c>
      <c r="M1836" s="8">
        <f>HYPERLINK("https://dart.fss.or.kr/dsaf001/main.do?rcpNo=20260528000861", "공시열람")</f>
        <v/>
      </c>
    </row>
    <row r="1837" ht="22" customHeight="1">
      <c r="A1837" s="2" t="inlineStr">
        <is>
          <t>2026-05-28</t>
        </is>
      </c>
      <c r="B1837" s="3" t="inlineStr">
        <is>
          <t>큐로셀</t>
        </is>
      </c>
      <c r="C1837" s="2" t="inlineStr">
        <is>
          <t>372320</t>
        </is>
      </c>
      <c r="D1837" s="2" t="inlineStr">
        <is>
          <t>대량보유</t>
        </is>
      </c>
      <c r="E1837" s="3" t="inlineStr">
        <is>
          <t>박진경</t>
        </is>
      </c>
      <c r="F1837" s="3" t="inlineStr">
        <is>
          <t>특별관계자</t>
        </is>
      </c>
      <c r="G1837" s="3" t="inlineStr">
        <is>
          <t>장내매수(+)</t>
        </is>
      </c>
      <c r="H1837" s="15" t="n">
        <v>1000</v>
      </c>
      <c r="I1837" s="6" t="n">
        <v>30850</v>
      </c>
      <c r="J1837" s="6" t="n">
        <v>461000</v>
      </c>
      <c r="K1837" s="16" t="n">
        <v>5</v>
      </c>
      <c r="L1837" s="2" t="inlineStr">
        <is>
          <t>20260528000829</t>
        </is>
      </c>
      <c r="M1837" s="8">
        <f>HYPERLINK("https://dart.fss.or.kr/dsaf001/main.do?rcpNo=20260528000829", "공시열람")</f>
        <v/>
      </c>
    </row>
    <row r="1838" ht="22" customHeight="1">
      <c r="A1838" s="2" t="inlineStr">
        <is>
          <t>2026-05-28</t>
        </is>
      </c>
      <c r="B1838" s="3" t="inlineStr">
        <is>
          <t>비에이치</t>
        </is>
      </c>
      <c r="C1838" s="2" t="inlineStr">
        <is>
          <t>090460</t>
        </is>
      </c>
      <c r="D1838" s="2" t="inlineStr">
        <is>
          <t>대량보유</t>
        </is>
      </c>
      <c r="E1838" s="3" t="inlineStr">
        <is>
          <t>이경환</t>
        </is>
      </c>
      <c r="F1838" s="3" t="inlineStr">
        <is>
          <t>특별관계자</t>
        </is>
      </c>
      <c r="G1838" s="3" t="inlineStr">
        <is>
          <t>장내매도(-)</t>
        </is>
      </c>
      <c r="H1838" s="17" t="n">
        <v>-84323</v>
      </c>
      <c r="I1838" s="6" t="n">
        <v>40691</v>
      </c>
      <c r="J1838" s="6" t="n">
        <v>7232822</v>
      </c>
      <c r="K1838" s="16" t="n">
        <v>6</v>
      </c>
      <c r="L1838" s="2" t="inlineStr">
        <is>
          <t>20260528000828</t>
        </is>
      </c>
      <c r="M1838" s="8">
        <f>HYPERLINK("https://dart.fss.or.kr/dsaf001/main.do?rcpNo=20260528000828", "공시열람")</f>
        <v/>
      </c>
    </row>
    <row r="1839" ht="22" customHeight="1">
      <c r="A1839" s="2" t="inlineStr">
        <is>
          <t>2026-05-28</t>
        </is>
      </c>
      <c r="B1839" s="3" t="inlineStr">
        <is>
          <t>비에이치</t>
        </is>
      </c>
      <c r="C1839" s="2" t="inlineStr">
        <is>
          <t>090460</t>
        </is>
      </c>
      <c r="D1839" s="2" t="inlineStr">
        <is>
          <t>임원보고</t>
        </is>
      </c>
      <c r="E1839" s="3" t="inlineStr">
        <is>
          <t>-</t>
        </is>
      </c>
      <c r="F1839" s="3" t="inlineStr">
        <is>
          <t>-</t>
        </is>
      </c>
      <c r="G1839" s="3" t="inlineStr">
        <is>
          <t>-</t>
        </is>
      </c>
      <c r="H1839" s="6" t="inlineStr"/>
      <c r="I1839" s="6" t="inlineStr"/>
      <c r="J1839" s="6" t="inlineStr"/>
      <c r="K1839" s="16" t="n">
        <v>12</v>
      </c>
      <c r="L1839" s="2" t="inlineStr">
        <is>
          <t>20260528800872</t>
        </is>
      </c>
      <c r="M1839" s="8">
        <f>HYPERLINK("https://dart.fss.or.kr/dsaf001/main.do?rcpNo=20260528800872", "공시열람")</f>
        <v/>
      </c>
    </row>
    <row r="1840" ht="22" customHeight="1">
      <c r="A1840" s="2" t="inlineStr">
        <is>
          <t>2026-05-28</t>
        </is>
      </c>
      <c r="B1840" s="3" t="inlineStr">
        <is>
          <t>RF시스템즈</t>
        </is>
      </c>
      <c r="C1840" s="2" t="inlineStr">
        <is>
          <t>474610</t>
        </is>
      </c>
      <c r="D1840" s="2" t="inlineStr">
        <is>
          <t>대량보유</t>
        </is>
      </c>
      <c r="E1840" s="3" t="inlineStr">
        <is>
          <t>알에프에이치아이씨(주)</t>
        </is>
      </c>
      <c r="F1840" s="3" t="inlineStr">
        <is>
          <t>특별관계자</t>
        </is>
      </c>
      <c r="G1840" s="3" t="inlineStr">
        <is>
          <t>장내매수(+)</t>
        </is>
      </c>
      <c r="H1840" s="15" t="n">
        <v>58446</v>
      </c>
      <c r="I1840" s="6" t="n">
        <v>5006</v>
      </c>
      <c r="J1840" s="6" t="n">
        <v>1900000</v>
      </c>
      <c r="K1840" s="16" t="n">
        <v>7</v>
      </c>
      <c r="L1840" s="2" t="inlineStr">
        <is>
          <t>20260528000778</t>
        </is>
      </c>
      <c r="M1840" s="8">
        <f>HYPERLINK("https://dart.fss.or.kr/dsaf001/main.do?rcpNo=20260528000778", "공시열람")</f>
        <v/>
      </c>
    </row>
    <row r="1841" ht="22" customHeight="1">
      <c r="A1841" s="2" t="inlineStr">
        <is>
          <t>2026-05-28</t>
        </is>
      </c>
      <c r="B1841" s="3" t="inlineStr">
        <is>
          <t>RF시스템즈</t>
        </is>
      </c>
      <c r="C1841" s="2" t="inlineStr">
        <is>
          <t>474610</t>
        </is>
      </c>
      <c r="D1841" s="2" t="inlineStr">
        <is>
          <t>대량보유</t>
        </is>
      </c>
      <c r="E1841" s="3" t="inlineStr">
        <is>
          <t>강대룡</t>
        </is>
      </c>
      <c r="F1841" s="3" t="inlineStr">
        <is>
          <t>특별관계자</t>
        </is>
      </c>
      <c r="G1841" s="3" t="inlineStr">
        <is>
          <t>신규보고(+)</t>
        </is>
      </c>
      <c r="H1841" s="15" t="n">
        <v>3000</v>
      </c>
      <c r="I1841" s="6" t="inlineStr"/>
      <c r="J1841" s="6" t="n">
        <v>3000</v>
      </c>
      <c r="K1841" s="16" t="n">
        <v>7</v>
      </c>
      <c r="L1841" s="2" t="inlineStr">
        <is>
          <t>20260528000778</t>
        </is>
      </c>
      <c r="M1841" s="8">
        <f>HYPERLINK("https://dart.fss.or.kr/dsaf001/main.do?rcpNo=20260528000778", "공시열람")</f>
        <v/>
      </c>
    </row>
    <row r="1842" ht="22" customHeight="1">
      <c r="A1842" s="2" t="inlineStr">
        <is>
          <t>2026-05-28</t>
        </is>
      </c>
      <c r="B1842" s="3" t="inlineStr">
        <is>
          <t>RF시스템즈</t>
        </is>
      </c>
      <c r="C1842" s="2" t="inlineStr">
        <is>
          <t>474610</t>
        </is>
      </c>
      <c r="D1842" s="2" t="inlineStr">
        <is>
          <t>대량보유</t>
        </is>
      </c>
      <c r="E1842" s="3" t="inlineStr">
        <is>
          <t>한기우</t>
        </is>
      </c>
      <c r="F1842" s="3" t="inlineStr">
        <is>
          <t>특별관계자</t>
        </is>
      </c>
      <c r="G1842" s="3" t="inlineStr">
        <is>
          <t>주식매수선택권행사(-), 주식매수선택권행사(+)</t>
        </is>
      </c>
      <c r="H1842" s="6" t="inlineStr"/>
      <c r="I1842" s="6" t="n">
        <v>3506</v>
      </c>
      <c r="J1842" s="6" t="n">
        <v>179800</v>
      </c>
      <c r="K1842" s="16" t="n">
        <v>7</v>
      </c>
      <c r="L1842" s="2" t="inlineStr">
        <is>
          <t>20260528000778</t>
        </is>
      </c>
      <c r="M1842" s="8">
        <f>HYPERLINK("https://dart.fss.or.kr/dsaf001/main.do?rcpNo=20260528000778", "공시열람")</f>
        <v/>
      </c>
    </row>
    <row r="1843" ht="22" customHeight="1">
      <c r="A1843" s="2" t="inlineStr">
        <is>
          <t>2026-05-28</t>
        </is>
      </c>
      <c r="B1843" s="3" t="inlineStr">
        <is>
          <t>RF시스템즈</t>
        </is>
      </c>
      <c r="C1843" s="2" t="inlineStr">
        <is>
          <t>474610</t>
        </is>
      </c>
      <c r="D1843" s="2" t="inlineStr">
        <is>
          <t>대량보유</t>
        </is>
      </c>
      <c r="E1843" s="3" t="inlineStr">
        <is>
          <t>차성일</t>
        </is>
      </c>
      <c r="F1843" s="3" t="inlineStr">
        <is>
          <t>특별관계자</t>
        </is>
      </c>
      <c r="G1843" s="3" t="inlineStr">
        <is>
          <t>주식매수선택권행사(-), 주식매수선택권행사(+)</t>
        </is>
      </c>
      <c r="H1843" s="6" t="inlineStr"/>
      <c r="I1843" s="6" t="n">
        <v>2500</v>
      </c>
      <c r="J1843" s="6" t="n">
        <v>48200</v>
      </c>
      <c r="K1843" s="16" t="n">
        <v>7</v>
      </c>
      <c r="L1843" s="2" t="inlineStr">
        <is>
          <t>20260528000778</t>
        </is>
      </c>
      <c r="M1843" s="8">
        <f>HYPERLINK("https://dart.fss.or.kr/dsaf001/main.do?rcpNo=20260528000778", "공시열람")</f>
        <v/>
      </c>
    </row>
    <row r="1844" ht="22" customHeight="1">
      <c r="A1844" s="2" t="inlineStr">
        <is>
          <t>2026-05-28</t>
        </is>
      </c>
      <c r="B1844" s="3" t="inlineStr">
        <is>
          <t>대한약품</t>
        </is>
      </c>
      <c r="C1844" s="2" t="inlineStr">
        <is>
          <t>023910</t>
        </is>
      </c>
      <c r="D1844" s="2" t="inlineStr">
        <is>
          <t>대량보유</t>
        </is>
      </c>
      <c r="E1844" s="3" t="inlineStr">
        <is>
          <t>이윤우</t>
        </is>
      </c>
      <c r="F1844" s="3" t="inlineStr">
        <is>
          <t>특별관계자</t>
        </is>
      </c>
      <c r="G1844" s="3" t="inlineStr">
        <is>
          <t>장내매수(+)</t>
        </is>
      </c>
      <c r="H1844" s="15" t="n">
        <v>56609</v>
      </c>
      <c r="I1844" s="6" t="n">
        <v>26707</v>
      </c>
      <c r="J1844" s="6" t="n">
        <v>1480404</v>
      </c>
      <c r="K1844" s="16" t="n">
        <v>9</v>
      </c>
      <c r="L1844" s="2" t="inlineStr">
        <is>
          <t>20260528000765</t>
        </is>
      </c>
      <c r="M1844" s="8">
        <f>HYPERLINK("https://dart.fss.or.kr/dsaf001/main.do?rcpNo=20260528000765", "공시열람")</f>
        <v/>
      </c>
    </row>
    <row r="1845" ht="22" customHeight="1">
      <c r="A1845" s="2" t="inlineStr">
        <is>
          <t>2026-05-28</t>
        </is>
      </c>
      <c r="B1845" s="3" t="inlineStr">
        <is>
          <t>대한약품</t>
        </is>
      </c>
      <c r="C1845" s="2" t="inlineStr">
        <is>
          <t>023910</t>
        </is>
      </c>
      <c r="D1845" s="2" t="inlineStr">
        <is>
          <t>대량보유</t>
        </is>
      </c>
      <c r="E1845" s="3" t="inlineStr">
        <is>
          <t>이승영</t>
        </is>
      </c>
      <c r="F1845" s="3" t="inlineStr">
        <is>
          <t>특별관계자</t>
        </is>
      </c>
      <c r="G1845" s="3" t="inlineStr">
        <is>
          <t>장내매수(+)</t>
        </is>
      </c>
      <c r="H1845" s="15" t="n">
        <v>4000</v>
      </c>
      <c r="I1845" s="6" t="n">
        <v>26503</v>
      </c>
      <c r="J1845" s="6" t="n">
        <v>382441</v>
      </c>
      <c r="K1845" s="16" t="n">
        <v>9</v>
      </c>
      <c r="L1845" s="2" t="inlineStr">
        <is>
          <t>20260528000765</t>
        </is>
      </c>
      <c r="M1845" s="8">
        <f>HYPERLINK("https://dart.fss.or.kr/dsaf001/main.do?rcpNo=20260528000765", "공시열람")</f>
        <v/>
      </c>
    </row>
    <row r="1846" ht="22" customHeight="1">
      <c r="A1846" s="2" t="inlineStr">
        <is>
          <t>2026-05-28</t>
        </is>
      </c>
      <c r="B1846" s="3" t="inlineStr">
        <is>
          <t>대한약품</t>
        </is>
      </c>
      <c r="C1846" s="2" t="inlineStr">
        <is>
          <t>023910</t>
        </is>
      </c>
      <c r="D1846" s="2" t="inlineStr">
        <is>
          <t>대량보유</t>
        </is>
      </c>
      <c r="E1846" s="3" t="inlineStr">
        <is>
          <t>이승연</t>
        </is>
      </c>
      <c r="F1846" s="3" t="inlineStr">
        <is>
          <t>특별관계자</t>
        </is>
      </c>
      <c r="G1846" s="3" t="inlineStr">
        <is>
          <t>장내매수(+)</t>
        </is>
      </c>
      <c r="H1846" s="15" t="n">
        <v>11169</v>
      </c>
      <c r="I1846" s="6" t="n">
        <v>26737</v>
      </c>
      <c r="J1846" s="6" t="n">
        <v>14669</v>
      </c>
      <c r="K1846" s="16" t="n">
        <v>9</v>
      </c>
      <c r="L1846" s="2" t="inlineStr">
        <is>
          <t>20260528000765</t>
        </is>
      </c>
      <c r="M1846" s="8">
        <f>HYPERLINK("https://dart.fss.or.kr/dsaf001/main.do?rcpNo=20260528000765", "공시열람")</f>
        <v/>
      </c>
    </row>
    <row r="1847" ht="22" customHeight="1">
      <c r="A1847" s="2" t="inlineStr">
        <is>
          <t>2026-05-28</t>
        </is>
      </c>
      <c r="B1847" s="3" t="inlineStr">
        <is>
          <t>대한약품</t>
        </is>
      </c>
      <c r="C1847" s="2" t="inlineStr">
        <is>
          <t>023910</t>
        </is>
      </c>
      <c r="D1847" s="2" t="inlineStr">
        <is>
          <t>대량보유</t>
        </is>
      </c>
      <c r="E1847" s="3" t="inlineStr">
        <is>
          <t>안혜령</t>
        </is>
      </c>
      <c r="F1847" s="3" t="inlineStr">
        <is>
          <t>특별관계자</t>
        </is>
      </c>
      <c r="G1847" s="3" t="inlineStr">
        <is>
          <t>장내매수(+)</t>
        </is>
      </c>
      <c r="H1847" s="15" t="n">
        <v>889</v>
      </c>
      <c r="I1847" s="6" t="n">
        <v>26659</v>
      </c>
      <c r="J1847" s="6" t="n">
        <v>21441</v>
      </c>
      <c r="K1847" s="16" t="n">
        <v>9</v>
      </c>
      <c r="L1847" s="2" t="inlineStr">
        <is>
          <t>20260528000765</t>
        </is>
      </c>
      <c r="M1847" s="8">
        <f>HYPERLINK("https://dart.fss.or.kr/dsaf001/main.do?rcpNo=20260528000765", "공시열람")</f>
        <v/>
      </c>
    </row>
    <row r="1848" ht="22" customHeight="1">
      <c r="A1848" s="2" t="inlineStr">
        <is>
          <t>2026-05-28</t>
        </is>
      </c>
      <c r="B1848" s="3" t="inlineStr">
        <is>
          <t>대한약품</t>
        </is>
      </c>
      <c r="C1848" s="2" t="inlineStr">
        <is>
          <t>023910</t>
        </is>
      </c>
      <c r="D1848" s="2" t="inlineStr">
        <is>
          <t>대량보유</t>
        </is>
      </c>
      <c r="E1848" s="3" t="inlineStr">
        <is>
          <t>안현철</t>
        </is>
      </c>
      <c r="F1848" s="3" t="inlineStr">
        <is>
          <t>특별관계자</t>
        </is>
      </c>
      <c r="G1848" s="3" t="inlineStr">
        <is>
          <t>장내매수(+)</t>
        </is>
      </c>
      <c r="H1848" s="15" t="n">
        <v>1000</v>
      </c>
      <c r="I1848" s="6" t="n">
        <v>25680</v>
      </c>
      <c r="J1848" s="6" t="n">
        <v>2000</v>
      </c>
      <c r="K1848" s="16" t="n">
        <v>9</v>
      </c>
      <c r="L1848" s="2" t="inlineStr">
        <is>
          <t>20260528000765</t>
        </is>
      </c>
      <c r="M1848" s="8">
        <f>HYPERLINK("https://dart.fss.or.kr/dsaf001/main.do?rcpNo=20260528000765", "공시열람")</f>
        <v/>
      </c>
    </row>
    <row r="1849" ht="22" customHeight="1">
      <c r="A1849" s="2" t="inlineStr">
        <is>
          <t>2026-05-28</t>
        </is>
      </c>
      <c r="B1849" s="3" t="inlineStr">
        <is>
          <t>대한약품</t>
        </is>
      </c>
      <c r="C1849" s="2" t="inlineStr">
        <is>
          <t>023910</t>
        </is>
      </c>
      <c r="D1849" s="2" t="inlineStr">
        <is>
          <t>대량보유</t>
        </is>
      </c>
      <c r="E1849" s="3" t="inlineStr">
        <is>
          <t>조영기</t>
        </is>
      </c>
      <c r="F1849" s="3" t="inlineStr">
        <is>
          <t>특별관계자</t>
        </is>
      </c>
      <c r="G1849" s="3" t="inlineStr">
        <is>
          <t>장내매도(-)</t>
        </is>
      </c>
      <c r="H1849" s="17" t="n">
        <v>-13500</v>
      </c>
      <c r="I1849" s="6" t="n">
        <v>30136</v>
      </c>
      <c r="J1849" s="6" t="n">
        <v>6500</v>
      </c>
      <c r="K1849" s="16" t="n">
        <v>9</v>
      </c>
      <c r="L1849" s="2" t="inlineStr">
        <is>
          <t>20260528000765</t>
        </is>
      </c>
      <c r="M1849" s="8">
        <f>HYPERLINK("https://dart.fss.or.kr/dsaf001/main.do?rcpNo=20260528000765", "공시열람")</f>
        <v/>
      </c>
    </row>
    <row r="1850" ht="22" customHeight="1">
      <c r="A1850" s="2" t="inlineStr">
        <is>
          <t>2026-05-28</t>
        </is>
      </c>
      <c r="B1850" s="3" t="inlineStr">
        <is>
          <t>엔지켐생명과학</t>
        </is>
      </c>
      <c r="C1850" s="2" t="inlineStr">
        <is>
          <t>183490</t>
        </is>
      </c>
      <c r="D1850" s="2" t="inlineStr">
        <is>
          <t>대량보유</t>
        </is>
      </c>
      <c r="E1850" s="3" t="inlineStr">
        <is>
          <t>남윤희</t>
        </is>
      </c>
      <c r="F1850" s="3" t="inlineStr">
        <is>
          <t>특별관계자</t>
        </is>
      </c>
      <c r="G1850" s="3" t="inlineStr">
        <is>
          <t>신규보고(+)</t>
        </is>
      </c>
      <c r="H1850" s="15" t="n">
        <v>256840</v>
      </c>
      <c r="I1850" s="6" t="inlineStr"/>
      <c r="J1850" s="6" t="n">
        <v>256840</v>
      </c>
      <c r="K1850" s="16" t="n">
        <v>5.95</v>
      </c>
      <c r="L1850" s="2" t="inlineStr">
        <is>
          <t>20260528000755</t>
        </is>
      </c>
      <c r="M1850" s="8">
        <f>HYPERLINK("https://dart.fss.or.kr/dsaf001/main.do?rcpNo=20260528000755", "공시열람")</f>
        <v/>
      </c>
    </row>
    <row r="1851" ht="22" customHeight="1">
      <c r="A1851" s="2" t="inlineStr">
        <is>
          <t>2026-05-28</t>
        </is>
      </c>
      <c r="B1851" s="3" t="inlineStr">
        <is>
          <t>엔지켐생명과학</t>
        </is>
      </c>
      <c r="C1851" s="2" t="inlineStr">
        <is>
          <t>183490</t>
        </is>
      </c>
      <c r="D1851" s="2" t="inlineStr">
        <is>
          <t>대량보유</t>
        </is>
      </c>
      <c r="E1851" s="3" t="inlineStr">
        <is>
          <t>송영현</t>
        </is>
      </c>
      <c r="F1851" s="3" t="inlineStr">
        <is>
          <t>특별관계자</t>
        </is>
      </c>
      <c r="G1851" s="3" t="inlineStr">
        <is>
          <t>신규보고(+)</t>
        </is>
      </c>
      <c r="H1851" s="15" t="n">
        <v>24810</v>
      </c>
      <c r="I1851" s="6" t="inlineStr"/>
      <c r="J1851" s="6" t="n">
        <v>24810</v>
      </c>
      <c r="K1851" s="16" t="n">
        <v>5.95</v>
      </c>
      <c r="L1851" s="2" t="inlineStr">
        <is>
          <t>20260528000755</t>
        </is>
      </c>
      <c r="M1851" s="8">
        <f>HYPERLINK("https://dart.fss.or.kr/dsaf001/main.do?rcpNo=20260528000755", "공시열람")</f>
        <v/>
      </c>
    </row>
    <row r="1852" ht="22" customHeight="1">
      <c r="A1852" s="2" t="inlineStr">
        <is>
          <t>2026-05-28</t>
        </is>
      </c>
      <c r="B1852" s="3" t="inlineStr">
        <is>
          <t>엔지켐생명과학</t>
        </is>
      </c>
      <c r="C1852" s="2" t="inlineStr">
        <is>
          <t>183490</t>
        </is>
      </c>
      <c r="D1852" s="2" t="inlineStr">
        <is>
          <t>대량보유</t>
        </is>
      </c>
      <c r="E1852" s="3" t="inlineStr">
        <is>
          <t>이세훈</t>
        </is>
      </c>
      <c r="F1852" s="3" t="inlineStr">
        <is>
          <t>특별관계자</t>
        </is>
      </c>
      <c r="G1852" s="3" t="inlineStr">
        <is>
          <t>신규보고(+)</t>
        </is>
      </c>
      <c r="H1852" s="15" t="n">
        <v>58000</v>
      </c>
      <c r="I1852" s="6" t="inlineStr"/>
      <c r="J1852" s="6" t="n">
        <v>58000</v>
      </c>
      <c r="K1852" s="16" t="n">
        <v>5.95</v>
      </c>
      <c r="L1852" s="2" t="inlineStr">
        <is>
          <t>20260528000755</t>
        </is>
      </c>
      <c r="M1852" s="8">
        <f>HYPERLINK("https://dart.fss.or.kr/dsaf001/main.do?rcpNo=20260528000755", "공시열람")</f>
        <v/>
      </c>
    </row>
    <row r="1853" ht="22" customHeight="1">
      <c r="A1853" s="2" t="inlineStr">
        <is>
          <t>2026-05-28</t>
        </is>
      </c>
      <c r="B1853" s="3" t="inlineStr">
        <is>
          <t>엔지켐생명과학</t>
        </is>
      </c>
      <c r="C1853" s="2" t="inlineStr">
        <is>
          <t>183490</t>
        </is>
      </c>
      <c r="D1853" s="2" t="inlineStr">
        <is>
          <t>대량보유</t>
        </is>
      </c>
      <c r="E1853" s="3" t="inlineStr">
        <is>
          <t>지상준</t>
        </is>
      </c>
      <c r="F1853" s="3" t="inlineStr">
        <is>
          <t>특별관계자</t>
        </is>
      </c>
      <c r="G1853" s="3" t="inlineStr">
        <is>
          <t>신규보고(+)</t>
        </is>
      </c>
      <c r="H1853" s="15" t="n">
        <v>30120</v>
      </c>
      <c r="I1853" s="6" t="inlineStr"/>
      <c r="J1853" s="6" t="n">
        <v>30120</v>
      </c>
      <c r="K1853" s="16" t="n">
        <v>5.95</v>
      </c>
      <c r="L1853" s="2" t="inlineStr">
        <is>
          <t>20260528000755</t>
        </is>
      </c>
      <c r="M1853" s="8">
        <f>HYPERLINK("https://dart.fss.or.kr/dsaf001/main.do?rcpNo=20260528000755", "공시열람")</f>
        <v/>
      </c>
    </row>
    <row r="1854" ht="22" customHeight="1">
      <c r="A1854" s="2" t="inlineStr">
        <is>
          <t>2026-05-28</t>
        </is>
      </c>
      <c r="B1854" s="3" t="inlineStr">
        <is>
          <t>엔지켐생명과학</t>
        </is>
      </c>
      <c r="C1854" s="2" t="inlineStr">
        <is>
          <t>183490</t>
        </is>
      </c>
      <c r="D1854" s="2" t="inlineStr">
        <is>
          <t>대량보유</t>
        </is>
      </c>
      <c r="E1854" s="3" t="inlineStr">
        <is>
          <t>홍양재</t>
        </is>
      </c>
      <c r="F1854" s="3" t="inlineStr">
        <is>
          <t>특별관계자</t>
        </is>
      </c>
      <c r="G1854" s="3" t="inlineStr">
        <is>
          <t>신규보고(+)</t>
        </is>
      </c>
      <c r="H1854" s="15" t="n">
        <v>3144</v>
      </c>
      <c r="I1854" s="6" t="inlineStr"/>
      <c r="J1854" s="6" t="n">
        <v>3144</v>
      </c>
      <c r="K1854" s="16" t="n">
        <v>5.95</v>
      </c>
      <c r="L1854" s="2" t="inlineStr">
        <is>
          <t>20260528000755</t>
        </is>
      </c>
      <c r="M1854" s="8">
        <f>HYPERLINK("https://dart.fss.or.kr/dsaf001/main.do?rcpNo=20260528000755", "공시열람")</f>
        <v/>
      </c>
    </row>
    <row r="1855" ht="22" customHeight="1">
      <c r="A1855" s="2" t="inlineStr">
        <is>
          <t>2026-05-28</t>
        </is>
      </c>
      <c r="B1855" s="3" t="inlineStr">
        <is>
          <t>엔지켐생명과학</t>
        </is>
      </c>
      <c r="C1855" s="2" t="inlineStr">
        <is>
          <t>183490</t>
        </is>
      </c>
      <c r="D1855" s="2" t="inlineStr">
        <is>
          <t>대량보유</t>
        </is>
      </c>
      <c r="E1855" s="3" t="inlineStr">
        <is>
          <t>이아영</t>
        </is>
      </c>
      <c r="F1855" s="3" t="inlineStr">
        <is>
          <t>특별관계자</t>
        </is>
      </c>
      <c r="G1855" s="3" t="inlineStr">
        <is>
          <t>신규보고(+)</t>
        </is>
      </c>
      <c r="H1855" s="15" t="n">
        <v>4710</v>
      </c>
      <c r="I1855" s="6" t="inlineStr"/>
      <c r="J1855" s="6" t="n">
        <v>4710</v>
      </c>
      <c r="K1855" s="16" t="n">
        <v>5.95</v>
      </c>
      <c r="L1855" s="2" t="inlineStr">
        <is>
          <t>20260528000755</t>
        </is>
      </c>
      <c r="M1855" s="8">
        <f>HYPERLINK("https://dart.fss.or.kr/dsaf001/main.do?rcpNo=20260528000755", "공시열람")</f>
        <v/>
      </c>
    </row>
    <row r="1856" ht="22" customHeight="1">
      <c r="A1856" s="2" t="inlineStr">
        <is>
          <t>2026-05-28</t>
        </is>
      </c>
      <c r="B1856" s="3" t="inlineStr">
        <is>
          <t>엔지켐생명과학</t>
        </is>
      </c>
      <c r="C1856" s="2" t="inlineStr">
        <is>
          <t>183490</t>
        </is>
      </c>
      <c r="D1856" s="2" t="inlineStr">
        <is>
          <t>대량보유</t>
        </is>
      </c>
      <c r="E1856" s="3" t="inlineStr">
        <is>
          <t>이미의</t>
        </is>
      </c>
      <c r="F1856" s="3" t="inlineStr">
        <is>
          <t>특별관계자</t>
        </is>
      </c>
      <c r="G1856" s="3" t="inlineStr">
        <is>
          <t>신규보고(+)</t>
        </is>
      </c>
      <c r="H1856" s="15" t="n">
        <v>14700</v>
      </c>
      <c r="I1856" s="6" t="inlineStr"/>
      <c r="J1856" s="6" t="n">
        <v>14700</v>
      </c>
      <c r="K1856" s="16" t="n">
        <v>5.95</v>
      </c>
      <c r="L1856" s="2" t="inlineStr">
        <is>
          <t>20260528000755</t>
        </is>
      </c>
      <c r="M1856" s="8">
        <f>HYPERLINK("https://dart.fss.or.kr/dsaf001/main.do?rcpNo=20260528000755", "공시열람")</f>
        <v/>
      </c>
    </row>
    <row r="1857" ht="22" customHeight="1">
      <c r="A1857" s="2" t="inlineStr">
        <is>
          <t>2026-05-28</t>
        </is>
      </c>
      <c r="B1857" s="3" t="inlineStr">
        <is>
          <t>엔지켐생명과학</t>
        </is>
      </c>
      <c r="C1857" s="2" t="inlineStr">
        <is>
          <t>183490</t>
        </is>
      </c>
      <c r="D1857" s="2" t="inlineStr">
        <is>
          <t>대량보유</t>
        </is>
      </c>
      <c r="E1857" s="3" t="inlineStr">
        <is>
          <t>박재은</t>
        </is>
      </c>
      <c r="F1857" s="3" t="inlineStr">
        <is>
          <t>특별관계자</t>
        </is>
      </c>
      <c r="G1857" s="3" t="inlineStr">
        <is>
          <t>신규보고(+)</t>
        </is>
      </c>
      <c r="H1857" s="15" t="n">
        <v>33329</v>
      </c>
      <c r="I1857" s="6" t="inlineStr"/>
      <c r="J1857" s="6" t="n">
        <v>33329</v>
      </c>
      <c r="K1857" s="16" t="n">
        <v>5.95</v>
      </c>
      <c r="L1857" s="2" t="inlineStr">
        <is>
          <t>20260528000755</t>
        </is>
      </c>
      <c r="M1857" s="8">
        <f>HYPERLINK("https://dart.fss.or.kr/dsaf001/main.do?rcpNo=20260528000755", "공시열람")</f>
        <v/>
      </c>
    </row>
    <row r="1858" ht="22" customHeight="1">
      <c r="A1858" s="2" t="inlineStr">
        <is>
          <t>2026-05-28</t>
        </is>
      </c>
      <c r="B1858" s="3" t="inlineStr">
        <is>
          <t>엔지켐생명과학</t>
        </is>
      </c>
      <c r="C1858" s="2" t="inlineStr">
        <is>
          <t>183490</t>
        </is>
      </c>
      <c r="D1858" s="2" t="inlineStr">
        <is>
          <t>대량보유</t>
        </is>
      </c>
      <c r="E1858" s="3" t="inlineStr">
        <is>
          <t>이언호</t>
        </is>
      </c>
      <c r="F1858" s="3" t="inlineStr">
        <is>
          <t>특별관계자</t>
        </is>
      </c>
      <c r="G1858" s="3" t="inlineStr">
        <is>
          <t>신규보고(+)</t>
        </is>
      </c>
      <c r="H1858" s="15" t="n">
        <v>1100</v>
      </c>
      <c r="I1858" s="6" t="inlineStr"/>
      <c r="J1858" s="6" t="n">
        <v>1100</v>
      </c>
      <c r="K1858" s="16" t="n">
        <v>5.95</v>
      </c>
      <c r="L1858" s="2" t="inlineStr">
        <is>
          <t>20260528000755</t>
        </is>
      </c>
      <c r="M1858" s="8">
        <f>HYPERLINK("https://dart.fss.or.kr/dsaf001/main.do?rcpNo=20260528000755", "공시열람")</f>
        <v/>
      </c>
    </row>
    <row r="1859" ht="22" customHeight="1">
      <c r="A1859" s="2" t="inlineStr">
        <is>
          <t>2026-05-28</t>
        </is>
      </c>
      <c r="B1859" s="3" t="inlineStr">
        <is>
          <t>엔지켐생명과학</t>
        </is>
      </c>
      <c r="C1859" s="2" t="inlineStr">
        <is>
          <t>183490</t>
        </is>
      </c>
      <c r="D1859" s="2" t="inlineStr">
        <is>
          <t>대량보유</t>
        </is>
      </c>
      <c r="E1859" s="3" t="inlineStr">
        <is>
          <t>유흥주</t>
        </is>
      </c>
      <c r="F1859" s="3" t="inlineStr">
        <is>
          <t>특별관계자</t>
        </is>
      </c>
      <c r="G1859" s="3" t="inlineStr">
        <is>
          <t>신규보고(+)</t>
        </is>
      </c>
      <c r="H1859" s="15" t="n">
        <v>62001</v>
      </c>
      <c r="I1859" s="6" t="inlineStr"/>
      <c r="J1859" s="6" t="n">
        <v>62001</v>
      </c>
      <c r="K1859" s="16" t="n">
        <v>5.95</v>
      </c>
      <c r="L1859" s="2" t="inlineStr">
        <is>
          <t>20260528000755</t>
        </is>
      </c>
      <c r="M1859" s="8">
        <f>HYPERLINK("https://dart.fss.or.kr/dsaf001/main.do?rcpNo=20260528000755", "공시열람")</f>
        <v/>
      </c>
    </row>
    <row r="1860" ht="22" customHeight="1">
      <c r="A1860" s="2" t="inlineStr">
        <is>
          <t>2026-05-28</t>
        </is>
      </c>
      <c r="B1860" s="3" t="inlineStr">
        <is>
          <t>엔지켐생명과학</t>
        </is>
      </c>
      <c r="C1860" s="2" t="inlineStr">
        <is>
          <t>183490</t>
        </is>
      </c>
      <c r="D1860" s="2" t="inlineStr">
        <is>
          <t>대량보유</t>
        </is>
      </c>
      <c r="E1860" s="3" t="inlineStr">
        <is>
          <t>유홍선</t>
        </is>
      </c>
      <c r="F1860" s="3" t="inlineStr">
        <is>
          <t>특별관계자</t>
        </is>
      </c>
      <c r="G1860" s="3" t="inlineStr">
        <is>
          <t>신규보고(+)</t>
        </is>
      </c>
      <c r="H1860" s="15" t="n">
        <v>1068</v>
      </c>
      <c r="I1860" s="6" t="inlineStr"/>
      <c r="J1860" s="6" t="n">
        <v>1068</v>
      </c>
      <c r="K1860" s="16" t="n">
        <v>5.95</v>
      </c>
      <c r="L1860" s="2" t="inlineStr">
        <is>
          <t>20260528000755</t>
        </is>
      </c>
      <c r="M1860" s="8">
        <f>HYPERLINK("https://dart.fss.or.kr/dsaf001/main.do?rcpNo=20260528000755", "공시열람")</f>
        <v/>
      </c>
    </row>
    <row r="1861" ht="22" customHeight="1">
      <c r="A1861" s="2" t="inlineStr">
        <is>
          <t>2026-05-28</t>
        </is>
      </c>
      <c r="B1861" s="3" t="inlineStr">
        <is>
          <t>엔지켐생명과학</t>
        </is>
      </c>
      <c r="C1861" s="2" t="inlineStr">
        <is>
          <t>183490</t>
        </is>
      </c>
      <c r="D1861" s="2" t="inlineStr">
        <is>
          <t>대량보유</t>
        </is>
      </c>
      <c r="E1861" s="3" t="inlineStr">
        <is>
          <t>이재우</t>
        </is>
      </c>
      <c r="F1861" s="3" t="inlineStr">
        <is>
          <t>특별관계자</t>
        </is>
      </c>
      <c r="G1861" s="3" t="inlineStr">
        <is>
          <t>신규보고(+)</t>
        </is>
      </c>
      <c r="H1861" s="15" t="n">
        <v>5021</v>
      </c>
      <c r="I1861" s="6" t="inlineStr"/>
      <c r="J1861" s="6" t="n">
        <v>5021</v>
      </c>
      <c r="K1861" s="16" t="n">
        <v>5.95</v>
      </c>
      <c r="L1861" s="2" t="inlineStr">
        <is>
          <t>20260528000755</t>
        </is>
      </c>
      <c r="M1861" s="8">
        <f>HYPERLINK("https://dart.fss.or.kr/dsaf001/main.do?rcpNo=20260528000755", "공시열람")</f>
        <v/>
      </c>
    </row>
    <row r="1862" ht="22" customHeight="1">
      <c r="A1862" s="2" t="inlineStr">
        <is>
          <t>2026-05-28</t>
        </is>
      </c>
      <c r="B1862" s="3" t="inlineStr">
        <is>
          <t>엔지켐생명과학</t>
        </is>
      </c>
      <c r="C1862" s="2" t="inlineStr">
        <is>
          <t>183490</t>
        </is>
      </c>
      <c r="D1862" s="2" t="inlineStr">
        <is>
          <t>대량보유</t>
        </is>
      </c>
      <c r="E1862" s="3" t="inlineStr">
        <is>
          <t>남언식</t>
        </is>
      </c>
      <c r="F1862" s="3" t="inlineStr">
        <is>
          <t>특별관계자</t>
        </is>
      </c>
      <c r="G1862" s="3" t="inlineStr">
        <is>
          <t>신규보고(+)</t>
        </is>
      </c>
      <c r="H1862" s="15" t="n">
        <v>7913</v>
      </c>
      <c r="I1862" s="6" t="inlineStr"/>
      <c r="J1862" s="6" t="n">
        <v>7913</v>
      </c>
      <c r="K1862" s="16" t="n">
        <v>5.95</v>
      </c>
      <c r="L1862" s="2" t="inlineStr">
        <is>
          <t>20260528000755</t>
        </is>
      </c>
      <c r="M1862" s="8">
        <f>HYPERLINK("https://dart.fss.or.kr/dsaf001/main.do?rcpNo=20260528000755", "공시열람")</f>
        <v/>
      </c>
    </row>
    <row r="1863" ht="22" customHeight="1">
      <c r="A1863" s="2" t="inlineStr">
        <is>
          <t>2026-05-28</t>
        </is>
      </c>
      <c r="B1863" s="3" t="inlineStr">
        <is>
          <t>엔지켐생명과학</t>
        </is>
      </c>
      <c r="C1863" s="2" t="inlineStr">
        <is>
          <t>183490</t>
        </is>
      </c>
      <c r="D1863" s="2" t="inlineStr">
        <is>
          <t>대량보유</t>
        </is>
      </c>
      <c r="E1863" s="3" t="inlineStr">
        <is>
          <t>김재현</t>
        </is>
      </c>
      <c r="F1863" s="3" t="inlineStr">
        <is>
          <t>특별관계자</t>
        </is>
      </c>
      <c r="G1863" s="3" t="inlineStr">
        <is>
          <t>신규보고(+)</t>
        </is>
      </c>
      <c r="H1863" s="15" t="n">
        <v>2000</v>
      </c>
      <c r="I1863" s="6" t="inlineStr"/>
      <c r="J1863" s="6" t="n">
        <v>2000</v>
      </c>
      <c r="K1863" s="16" t="n">
        <v>5.95</v>
      </c>
      <c r="L1863" s="2" t="inlineStr">
        <is>
          <t>20260528000755</t>
        </is>
      </c>
      <c r="M1863" s="8">
        <f>HYPERLINK("https://dart.fss.or.kr/dsaf001/main.do?rcpNo=20260528000755", "공시열람")</f>
        <v/>
      </c>
    </row>
    <row r="1864" ht="22" customHeight="1">
      <c r="A1864" s="2" t="inlineStr">
        <is>
          <t>2026-05-28</t>
        </is>
      </c>
      <c r="B1864" s="3" t="inlineStr">
        <is>
          <t>엔지켐생명과학</t>
        </is>
      </c>
      <c r="C1864" s="2" t="inlineStr">
        <is>
          <t>183490</t>
        </is>
      </c>
      <c r="D1864" s="2" t="inlineStr">
        <is>
          <t>대량보유</t>
        </is>
      </c>
      <c r="E1864" s="3" t="inlineStr">
        <is>
          <t>박현준</t>
        </is>
      </c>
      <c r="F1864" s="3" t="inlineStr">
        <is>
          <t>특별관계자</t>
        </is>
      </c>
      <c r="G1864" s="3" t="inlineStr">
        <is>
          <t>신규보고(+)</t>
        </is>
      </c>
      <c r="H1864" s="15" t="n">
        <v>19981</v>
      </c>
      <c r="I1864" s="6" t="inlineStr"/>
      <c r="J1864" s="6" t="n">
        <v>19981</v>
      </c>
      <c r="K1864" s="16" t="n">
        <v>5.95</v>
      </c>
      <c r="L1864" s="2" t="inlineStr">
        <is>
          <t>20260528000755</t>
        </is>
      </c>
      <c r="M1864" s="8">
        <f>HYPERLINK("https://dart.fss.or.kr/dsaf001/main.do?rcpNo=20260528000755", "공시열람")</f>
        <v/>
      </c>
    </row>
    <row r="1865" ht="22" customHeight="1">
      <c r="A1865" s="2" t="inlineStr">
        <is>
          <t>2026-05-28</t>
        </is>
      </c>
      <c r="B1865" s="3" t="inlineStr">
        <is>
          <t>엔지켐생명과학</t>
        </is>
      </c>
      <c r="C1865" s="2" t="inlineStr">
        <is>
          <t>183490</t>
        </is>
      </c>
      <c r="D1865" s="2" t="inlineStr">
        <is>
          <t>대량보유</t>
        </is>
      </c>
      <c r="E1865" s="3" t="inlineStr">
        <is>
          <t>이미림</t>
        </is>
      </c>
      <c r="F1865" s="3" t="inlineStr">
        <is>
          <t>특별관계자</t>
        </is>
      </c>
      <c r="G1865" s="3" t="inlineStr">
        <is>
          <t>신규보고(+)</t>
        </is>
      </c>
      <c r="H1865" s="15" t="n">
        <v>7900</v>
      </c>
      <c r="I1865" s="6" t="inlineStr"/>
      <c r="J1865" s="6" t="n">
        <v>7900</v>
      </c>
      <c r="K1865" s="16" t="n">
        <v>5.95</v>
      </c>
      <c r="L1865" s="2" t="inlineStr">
        <is>
          <t>20260528000755</t>
        </is>
      </c>
      <c r="M1865" s="8">
        <f>HYPERLINK("https://dart.fss.or.kr/dsaf001/main.do?rcpNo=20260528000755", "공시열람")</f>
        <v/>
      </c>
    </row>
    <row r="1866" ht="22" customHeight="1">
      <c r="A1866" s="2" t="inlineStr">
        <is>
          <t>2026-05-28</t>
        </is>
      </c>
      <c r="B1866" s="3" t="inlineStr">
        <is>
          <t>엔지켐생명과학</t>
        </is>
      </c>
      <c r="C1866" s="2" t="inlineStr">
        <is>
          <t>183490</t>
        </is>
      </c>
      <c r="D1866" s="2" t="inlineStr">
        <is>
          <t>대량보유</t>
        </is>
      </c>
      <c r="E1866" s="3" t="inlineStr">
        <is>
          <t>채병오</t>
        </is>
      </c>
      <c r="F1866" s="3" t="inlineStr">
        <is>
          <t>특별관계자</t>
        </is>
      </c>
      <c r="G1866" s="3" t="inlineStr">
        <is>
          <t>신규보고(+)</t>
        </is>
      </c>
      <c r="H1866" s="15" t="n">
        <v>93500</v>
      </c>
      <c r="I1866" s="6" t="inlineStr"/>
      <c r="J1866" s="6" t="n">
        <v>93500</v>
      </c>
      <c r="K1866" s="16" t="n">
        <v>5.95</v>
      </c>
      <c r="L1866" s="2" t="inlineStr">
        <is>
          <t>20260528000755</t>
        </is>
      </c>
      <c r="M1866" s="8">
        <f>HYPERLINK("https://dart.fss.or.kr/dsaf001/main.do?rcpNo=20260528000755", "공시열람")</f>
        <v/>
      </c>
    </row>
    <row r="1867" ht="22" customHeight="1">
      <c r="A1867" s="2" t="inlineStr">
        <is>
          <t>2026-05-28</t>
        </is>
      </c>
      <c r="B1867" s="3" t="inlineStr">
        <is>
          <t>엔지켐생명과학</t>
        </is>
      </c>
      <c r="C1867" s="2" t="inlineStr">
        <is>
          <t>183490</t>
        </is>
      </c>
      <c r="D1867" s="2" t="inlineStr">
        <is>
          <t>대량보유</t>
        </is>
      </c>
      <c r="E1867" s="3" t="inlineStr">
        <is>
          <t>이현휘</t>
        </is>
      </c>
      <c r="F1867" s="3" t="inlineStr">
        <is>
          <t>특별관계자</t>
        </is>
      </c>
      <c r="G1867" s="3" t="inlineStr">
        <is>
          <t>신규보고(+)</t>
        </is>
      </c>
      <c r="H1867" s="15" t="n">
        <v>34714</v>
      </c>
      <c r="I1867" s="6" t="inlineStr"/>
      <c r="J1867" s="6" t="n">
        <v>34714</v>
      </c>
      <c r="K1867" s="16" t="n">
        <v>5.95</v>
      </c>
      <c r="L1867" s="2" t="inlineStr">
        <is>
          <t>20260528000755</t>
        </is>
      </c>
      <c r="M1867" s="8">
        <f>HYPERLINK("https://dart.fss.or.kr/dsaf001/main.do?rcpNo=20260528000755", "공시열람")</f>
        <v/>
      </c>
    </row>
    <row r="1868" ht="22" customHeight="1">
      <c r="A1868" s="2" t="inlineStr">
        <is>
          <t>2026-05-28</t>
        </is>
      </c>
      <c r="B1868" s="3" t="inlineStr">
        <is>
          <t>엔지켐생명과학</t>
        </is>
      </c>
      <c r="C1868" s="2" t="inlineStr">
        <is>
          <t>183490</t>
        </is>
      </c>
      <c r="D1868" s="2" t="inlineStr">
        <is>
          <t>대량보유</t>
        </is>
      </c>
      <c r="E1868" s="3" t="inlineStr">
        <is>
          <t>김지연</t>
        </is>
      </c>
      <c r="F1868" s="3" t="inlineStr">
        <is>
          <t>특별관계자</t>
        </is>
      </c>
      <c r="G1868" s="3" t="inlineStr">
        <is>
          <t>신규보고(+)</t>
        </is>
      </c>
      <c r="H1868" s="15" t="n">
        <v>672</v>
      </c>
      <c r="I1868" s="6" t="inlineStr"/>
      <c r="J1868" s="6" t="n">
        <v>672</v>
      </c>
      <c r="K1868" s="16" t="n">
        <v>5.95</v>
      </c>
      <c r="L1868" s="2" t="inlineStr">
        <is>
          <t>20260528000755</t>
        </is>
      </c>
      <c r="M1868" s="8">
        <f>HYPERLINK("https://dart.fss.or.kr/dsaf001/main.do?rcpNo=20260528000755", "공시열람")</f>
        <v/>
      </c>
    </row>
    <row r="1869" ht="22" customHeight="1">
      <c r="A1869" s="2" t="inlineStr">
        <is>
          <t>2026-05-28</t>
        </is>
      </c>
      <c r="B1869" s="3" t="inlineStr">
        <is>
          <t>엔지켐생명과학</t>
        </is>
      </c>
      <c r="C1869" s="2" t="inlineStr">
        <is>
          <t>183490</t>
        </is>
      </c>
      <c r="D1869" s="2" t="inlineStr">
        <is>
          <t>대량보유</t>
        </is>
      </c>
      <c r="E1869" s="3" t="inlineStr">
        <is>
          <t>이인의</t>
        </is>
      </c>
      <c r="F1869" s="3" t="inlineStr">
        <is>
          <t>특별관계자</t>
        </is>
      </c>
      <c r="G1869" s="3" t="inlineStr">
        <is>
          <t>신규보고(+)</t>
        </is>
      </c>
      <c r="H1869" s="15" t="n">
        <v>11218</v>
      </c>
      <c r="I1869" s="6" t="inlineStr"/>
      <c r="J1869" s="6" t="n">
        <v>11218</v>
      </c>
      <c r="K1869" s="16" t="n">
        <v>5.95</v>
      </c>
      <c r="L1869" s="2" t="inlineStr">
        <is>
          <t>20260528000755</t>
        </is>
      </c>
      <c r="M1869" s="8">
        <f>HYPERLINK("https://dart.fss.or.kr/dsaf001/main.do?rcpNo=20260528000755", "공시열람")</f>
        <v/>
      </c>
    </row>
    <row r="1870" ht="22" customHeight="1">
      <c r="A1870" s="2" t="inlineStr">
        <is>
          <t>2026-05-28</t>
        </is>
      </c>
      <c r="B1870" s="3" t="inlineStr">
        <is>
          <t>엔지켐생명과학</t>
        </is>
      </c>
      <c r="C1870" s="2" t="inlineStr">
        <is>
          <t>183490</t>
        </is>
      </c>
      <c r="D1870" s="2" t="inlineStr">
        <is>
          <t>대량보유</t>
        </is>
      </c>
      <c r="E1870" s="3" t="inlineStr">
        <is>
          <t>목진석</t>
        </is>
      </c>
      <c r="F1870" s="3" t="inlineStr">
        <is>
          <t>특별관계자</t>
        </is>
      </c>
      <c r="G1870" s="3" t="inlineStr">
        <is>
          <t>신규보고(+)</t>
        </is>
      </c>
      <c r="H1870" s="15" t="n">
        <v>40000</v>
      </c>
      <c r="I1870" s="6" t="inlineStr"/>
      <c r="J1870" s="6" t="n">
        <v>40000</v>
      </c>
      <c r="K1870" s="16" t="n">
        <v>5.95</v>
      </c>
      <c r="L1870" s="2" t="inlineStr">
        <is>
          <t>20260528000755</t>
        </is>
      </c>
      <c r="M1870" s="8">
        <f>HYPERLINK("https://dart.fss.or.kr/dsaf001/main.do?rcpNo=20260528000755", "공시열람")</f>
        <v/>
      </c>
    </row>
    <row r="1871" ht="22" customHeight="1">
      <c r="A1871" s="2" t="inlineStr">
        <is>
          <t>2026-05-28</t>
        </is>
      </c>
      <c r="B1871" s="3" t="inlineStr">
        <is>
          <t>엔지켐생명과학</t>
        </is>
      </c>
      <c r="C1871" s="2" t="inlineStr">
        <is>
          <t>183490</t>
        </is>
      </c>
      <c r="D1871" s="2" t="inlineStr">
        <is>
          <t>대량보유</t>
        </is>
      </c>
      <c r="E1871" s="3" t="inlineStr">
        <is>
          <t>임선아</t>
        </is>
      </c>
      <c r="F1871" s="3" t="inlineStr">
        <is>
          <t>특별관계자</t>
        </is>
      </c>
      <c r="G1871" s="3" t="inlineStr">
        <is>
          <t>신규보고(+)</t>
        </is>
      </c>
      <c r="H1871" s="15" t="n">
        <v>12760</v>
      </c>
      <c r="I1871" s="6" t="inlineStr"/>
      <c r="J1871" s="6" t="n">
        <v>12760</v>
      </c>
      <c r="K1871" s="16" t="n">
        <v>5.95</v>
      </c>
      <c r="L1871" s="2" t="inlineStr">
        <is>
          <t>20260528000755</t>
        </is>
      </c>
      <c r="M1871" s="8">
        <f>HYPERLINK("https://dart.fss.or.kr/dsaf001/main.do?rcpNo=20260528000755", "공시열람")</f>
        <v/>
      </c>
    </row>
    <row r="1872" ht="22" customHeight="1">
      <c r="A1872" s="2" t="inlineStr">
        <is>
          <t>2026-05-28</t>
        </is>
      </c>
      <c r="B1872" s="3" t="inlineStr">
        <is>
          <t>엔지켐생명과학</t>
        </is>
      </c>
      <c r="C1872" s="2" t="inlineStr">
        <is>
          <t>183490</t>
        </is>
      </c>
      <c r="D1872" s="2" t="inlineStr">
        <is>
          <t>대량보유</t>
        </is>
      </c>
      <c r="E1872" s="3" t="inlineStr">
        <is>
          <t>오지연</t>
        </is>
      </c>
      <c r="F1872" s="3" t="inlineStr">
        <is>
          <t>특별관계자</t>
        </is>
      </c>
      <c r="G1872" s="3" t="inlineStr">
        <is>
          <t>신규보고(+)</t>
        </is>
      </c>
      <c r="H1872" s="15" t="n">
        <v>3267</v>
      </c>
      <c r="I1872" s="6" t="inlineStr"/>
      <c r="J1872" s="6" t="n">
        <v>3267</v>
      </c>
      <c r="K1872" s="16" t="n">
        <v>5.95</v>
      </c>
      <c r="L1872" s="2" t="inlineStr">
        <is>
          <t>20260528000755</t>
        </is>
      </c>
      <c r="M1872" s="8">
        <f>HYPERLINK("https://dart.fss.or.kr/dsaf001/main.do?rcpNo=20260528000755", "공시열람")</f>
        <v/>
      </c>
    </row>
    <row r="1873" ht="22" customHeight="1">
      <c r="A1873" s="2" t="inlineStr">
        <is>
          <t>2026-05-28</t>
        </is>
      </c>
      <c r="B1873" s="3" t="inlineStr">
        <is>
          <t>엔지켐생명과학</t>
        </is>
      </c>
      <c r="C1873" s="2" t="inlineStr">
        <is>
          <t>183490</t>
        </is>
      </c>
      <c r="D1873" s="2" t="inlineStr">
        <is>
          <t>대량보유</t>
        </is>
      </c>
      <c r="E1873" s="3" t="inlineStr">
        <is>
          <t>김희식</t>
        </is>
      </c>
      <c r="F1873" s="3" t="inlineStr">
        <is>
          <t>특별관계자</t>
        </is>
      </c>
      <c r="G1873" s="3" t="inlineStr">
        <is>
          <t>신규보고(+)</t>
        </is>
      </c>
      <c r="H1873" s="15" t="n">
        <v>7900</v>
      </c>
      <c r="I1873" s="6" t="inlineStr"/>
      <c r="J1873" s="6" t="n">
        <v>7900</v>
      </c>
      <c r="K1873" s="16" t="n">
        <v>5.95</v>
      </c>
      <c r="L1873" s="2" t="inlineStr">
        <is>
          <t>20260528000755</t>
        </is>
      </c>
      <c r="M1873" s="8">
        <f>HYPERLINK("https://dart.fss.or.kr/dsaf001/main.do?rcpNo=20260528000755", "공시열람")</f>
        <v/>
      </c>
    </row>
    <row r="1874" ht="22" customHeight="1">
      <c r="A1874" s="2" t="inlineStr">
        <is>
          <t>2026-05-28</t>
        </is>
      </c>
      <c r="B1874" s="3" t="inlineStr">
        <is>
          <t>엔지켐생명과학</t>
        </is>
      </c>
      <c r="C1874" s="2" t="inlineStr">
        <is>
          <t>183490</t>
        </is>
      </c>
      <c r="D1874" s="2" t="inlineStr">
        <is>
          <t>대량보유</t>
        </is>
      </c>
      <c r="E1874" s="3" t="inlineStr">
        <is>
          <t>민병훈</t>
        </is>
      </c>
      <c r="F1874" s="3" t="inlineStr">
        <is>
          <t>특별관계자</t>
        </is>
      </c>
      <c r="G1874" s="3" t="inlineStr">
        <is>
          <t>신규보고(+)</t>
        </is>
      </c>
      <c r="H1874" s="15" t="n">
        <v>9358</v>
      </c>
      <c r="I1874" s="6" t="inlineStr"/>
      <c r="J1874" s="6" t="n">
        <v>9358</v>
      </c>
      <c r="K1874" s="16" t="n">
        <v>5.95</v>
      </c>
      <c r="L1874" s="2" t="inlineStr">
        <is>
          <t>20260528000755</t>
        </is>
      </c>
      <c r="M1874" s="8">
        <f>HYPERLINK("https://dart.fss.or.kr/dsaf001/main.do?rcpNo=20260528000755", "공시열람")</f>
        <v/>
      </c>
    </row>
    <row r="1875" ht="22" customHeight="1">
      <c r="A1875" s="2" t="inlineStr">
        <is>
          <t>2026-05-28</t>
        </is>
      </c>
      <c r="B1875" s="3" t="inlineStr">
        <is>
          <t>엔지켐생명과학</t>
        </is>
      </c>
      <c r="C1875" s="2" t="inlineStr">
        <is>
          <t>183490</t>
        </is>
      </c>
      <c r="D1875" s="2" t="inlineStr">
        <is>
          <t>대량보유</t>
        </is>
      </c>
      <c r="E1875" s="3" t="inlineStr">
        <is>
          <t>이순이</t>
        </is>
      </c>
      <c r="F1875" s="3" t="inlineStr">
        <is>
          <t>특별관계자</t>
        </is>
      </c>
      <c r="G1875" s="3" t="inlineStr">
        <is>
          <t>신규보고(+)</t>
        </is>
      </c>
      <c r="H1875" s="15" t="n">
        <v>27195</v>
      </c>
      <c r="I1875" s="6" t="inlineStr"/>
      <c r="J1875" s="6" t="n">
        <v>27195</v>
      </c>
      <c r="K1875" s="16" t="n">
        <v>5.95</v>
      </c>
      <c r="L1875" s="2" t="inlineStr">
        <is>
          <t>20260528000755</t>
        </is>
      </c>
      <c r="M1875" s="8">
        <f>HYPERLINK("https://dart.fss.or.kr/dsaf001/main.do?rcpNo=20260528000755", "공시열람")</f>
        <v/>
      </c>
    </row>
    <row r="1876" ht="22" customHeight="1">
      <c r="A1876" s="2" t="inlineStr">
        <is>
          <t>2026-05-28</t>
        </is>
      </c>
      <c r="B1876" s="3" t="inlineStr">
        <is>
          <t>엔지켐생명과학</t>
        </is>
      </c>
      <c r="C1876" s="2" t="inlineStr">
        <is>
          <t>183490</t>
        </is>
      </c>
      <c r="D1876" s="2" t="inlineStr">
        <is>
          <t>대량보유</t>
        </is>
      </c>
      <c r="E1876" s="3" t="inlineStr">
        <is>
          <t>류정욱</t>
        </is>
      </c>
      <c r="F1876" s="3" t="inlineStr">
        <is>
          <t>특별관계자</t>
        </is>
      </c>
      <c r="G1876" s="3" t="inlineStr">
        <is>
          <t>신규보고(+)</t>
        </is>
      </c>
      <c r="H1876" s="15" t="n">
        <v>20000</v>
      </c>
      <c r="I1876" s="6" t="inlineStr"/>
      <c r="J1876" s="6" t="n">
        <v>20000</v>
      </c>
      <c r="K1876" s="16" t="n">
        <v>5.95</v>
      </c>
      <c r="L1876" s="2" t="inlineStr">
        <is>
          <t>20260528000755</t>
        </is>
      </c>
      <c r="M1876" s="8">
        <f>HYPERLINK("https://dart.fss.or.kr/dsaf001/main.do?rcpNo=20260528000755", "공시열람")</f>
        <v/>
      </c>
    </row>
    <row r="1877" ht="22" customHeight="1">
      <c r="A1877" s="2" t="inlineStr">
        <is>
          <t>2026-05-28</t>
        </is>
      </c>
      <c r="B1877" s="3" t="inlineStr">
        <is>
          <t>엔지켐생명과학</t>
        </is>
      </c>
      <c r="C1877" s="2" t="inlineStr">
        <is>
          <t>183490</t>
        </is>
      </c>
      <c r="D1877" s="2" t="inlineStr">
        <is>
          <t>대량보유</t>
        </is>
      </c>
      <c r="E1877" s="3" t="inlineStr">
        <is>
          <t>김형석</t>
        </is>
      </c>
      <c r="F1877" s="3" t="inlineStr">
        <is>
          <t>특별관계자</t>
        </is>
      </c>
      <c r="G1877" s="3" t="inlineStr">
        <is>
          <t>신규보고(+)</t>
        </is>
      </c>
      <c r="H1877" s="15" t="n">
        <v>29462</v>
      </c>
      <c r="I1877" s="6" t="inlineStr"/>
      <c r="J1877" s="6" t="n">
        <v>29462</v>
      </c>
      <c r="K1877" s="16" t="n">
        <v>5.95</v>
      </c>
      <c r="L1877" s="2" t="inlineStr">
        <is>
          <t>20260528000755</t>
        </is>
      </c>
      <c r="M1877" s="8">
        <f>HYPERLINK("https://dart.fss.or.kr/dsaf001/main.do?rcpNo=20260528000755", "공시열람")</f>
        <v/>
      </c>
    </row>
    <row r="1878" ht="22" customHeight="1">
      <c r="A1878" s="2" t="inlineStr">
        <is>
          <t>2026-05-28</t>
        </is>
      </c>
      <c r="B1878" s="3" t="inlineStr">
        <is>
          <t>엔지켐생명과학</t>
        </is>
      </c>
      <c r="C1878" s="2" t="inlineStr">
        <is>
          <t>183490</t>
        </is>
      </c>
      <c r="D1878" s="2" t="inlineStr">
        <is>
          <t>대량보유</t>
        </is>
      </c>
      <c r="E1878" s="3" t="inlineStr">
        <is>
          <t>김재민</t>
        </is>
      </c>
      <c r="F1878" s="3" t="inlineStr">
        <is>
          <t>특별관계자</t>
        </is>
      </c>
      <c r="G1878" s="3" t="inlineStr">
        <is>
          <t>신규보고(+)</t>
        </is>
      </c>
      <c r="H1878" s="15" t="n">
        <v>18500</v>
      </c>
      <c r="I1878" s="6" t="inlineStr"/>
      <c r="J1878" s="6" t="n">
        <v>18500</v>
      </c>
      <c r="K1878" s="16" t="n">
        <v>5.95</v>
      </c>
      <c r="L1878" s="2" t="inlineStr">
        <is>
          <t>20260528000755</t>
        </is>
      </c>
      <c r="M1878" s="8">
        <f>HYPERLINK("https://dart.fss.or.kr/dsaf001/main.do?rcpNo=20260528000755", "공시열람")</f>
        <v/>
      </c>
    </row>
    <row r="1879" ht="22" customHeight="1">
      <c r="A1879" s="2" t="inlineStr">
        <is>
          <t>2026-05-28</t>
        </is>
      </c>
      <c r="B1879" s="3" t="inlineStr">
        <is>
          <t>엔지켐생명과학</t>
        </is>
      </c>
      <c r="C1879" s="2" t="inlineStr">
        <is>
          <t>183490</t>
        </is>
      </c>
      <c r="D1879" s="2" t="inlineStr">
        <is>
          <t>대량보유</t>
        </is>
      </c>
      <c r="E1879" s="3" t="inlineStr">
        <is>
          <t>박현규</t>
        </is>
      </c>
      <c r="F1879" s="3" t="inlineStr">
        <is>
          <t>특별관계자</t>
        </is>
      </c>
      <c r="G1879" s="3" t="inlineStr">
        <is>
          <t>신규보고(+)</t>
        </is>
      </c>
      <c r="H1879" s="15" t="n">
        <v>1309</v>
      </c>
      <c r="I1879" s="6" t="inlineStr"/>
      <c r="J1879" s="6" t="n">
        <v>1309</v>
      </c>
      <c r="K1879" s="16" t="n">
        <v>5.95</v>
      </c>
      <c r="L1879" s="2" t="inlineStr">
        <is>
          <t>20260528000755</t>
        </is>
      </c>
      <c r="M1879" s="8">
        <f>HYPERLINK("https://dart.fss.or.kr/dsaf001/main.do?rcpNo=20260528000755", "공시열람")</f>
        <v/>
      </c>
    </row>
    <row r="1880" ht="22" customHeight="1">
      <c r="A1880" s="2" t="inlineStr">
        <is>
          <t>2026-05-28</t>
        </is>
      </c>
      <c r="B1880" s="3" t="inlineStr">
        <is>
          <t>엔지켐생명과학</t>
        </is>
      </c>
      <c r="C1880" s="2" t="inlineStr">
        <is>
          <t>183490</t>
        </is>
      </c>
      <c r="D1880" s="2" t="inlineStr">
        <is>
          <t>대량보유</t>
        </is>
      </c>
      <c r="E1880" s="3" t="inlineStr">
        <is>
          <t>이희용</t>
        </is>
      </c>
      <c r="F1880" s="3" t="inlineStr">
        <is>
          <t>특별관계자</t>
        </is>
      </c>
      <c r="G1880" s="3" t="inlineStr">
        <is>
          <t>신규보고(+)</t>
        </is>
      </c>
      <c r="H1880" s="15" t="n">
        <v>1490</v>
      </c>
      <c r="I1880" s="6" t="inlineStr"/>
      <c r="J1880" s="6" t="n">
        <v>1490</v>
      </c>
      <c r="K1880" s="16" t="n">
        <v>5.95</v>
      </c>
      <c r="L1880" s="2" t="inlineStr">
        <is>
          <t>20260528000755</t>
        </is>
      </c>
      <c r="M1880" s="8">
        <f>HYPERLINK("https://dart.fss.or.kr/dsaf001/main.do?rcpNo=20260528000755", "공시열람")</f>
        <v/>
      </c>
    </row>
    <row r="1881" ht="22" customHeight="1">
      <c r="A1881" s="2" t="inlineStr">
        <is>
          <t>2026-05-28</t>
        </is>
      </c>
      <c r="B1881" s="3" t="inlineStr">
        <is>
          <t>엔지켐생명과학</t>
        </is>
      </c>
      <c r="C1881" s="2" t="inlineStr">
        <is>
          <t>183490</t>
        </is>
      </c>
      <c r="D1881" s="2" t="inlineStr">
        <is>
          <t>대량보유</t>
        </is>
      </c>
      <c r="E1881" s="3" t="inlineStr">
        <is>
          <t>이동호</t>
        </is>
      </c>
      <c r="F1881" s="3" t="inlineStr">
        <is>
          <t>특별관계자</t>
        </is>
      </c>
      <c r="G1881" s="3" t="inlineStr">
        <is>
          <t>신규보고(+)</t>
        </is>
      </c>
      <c r="H1881" s="15" t="n">
        <v>3221</v>
      </c>
      <c r="I1881" s="6" t="inlineStr"/>
      <c r="J1881" s="6" t="n">
        <v>3221</v>
      </c>
      <c r="K1881" s="16" t="n">
        <v>5.95</v>
      </c>
      <c r="L1881" s="2" t="inlineStr">
        <is>
          <t>20260528000755</t>
        </is>
      </c>
      <c r="M1881" s="8">
        <f>HYPERLINK("https://dart.fss.or.kr/dsaf001/main.do?rcpNo=20260528000755", "공시열람")</f>
        <v/>
      </c>
    </row>
    <row r="1882" ht="22" customHeight="1">
      <c r="A1882" s="2" t="inlineStr">
        <is>
          <t>2026-05-28</t>
        </is>
      </c>
      <c r="B1882" s="3" t="inlineStr">
        <is>
          <t>엔지켐생명과학</t>
        </is>
      </c>
      <c r="C1882" s="2" t="inlineStr">
        <is>
          <t>183490</t>
        </is>
      </c>
      <c r="D1882" s="2" t="inlineStr">
        <is>
          <t>대량보유</t>
        </is>
      </c>
      <c r="E1882" s="3" t="inlineStr">
        <is>
          <t>정범건</t>
        </is>
      </c>
      <c r="F1882" s="3" t="inlineStr">
        <is>
          <t>특별관계자</t>
        </is>
      </c>
      <c r="G1882" s="3" t="inlineStr">
        <is>
          <t>신규보고(+)</t>
        </is>
      </c>
      <c r="H1882" s="15" t="n">
        <v>1605</v>
      </c>
      <c r="I1882" s="6" t="inlineStr"/>
      <c r="J1882" s="6" t="n">
        <v>1605</v>
      </c>
      <c r="K1882" s="16" t="n">
        <v>5.95</v>
      </c>
      <c r="L1882" s="2" t="inlineStr">
        <is>
          <t>20260528000755</t>
        </is>
      </c>
      <c r="M1882" s="8">
        <f>HYPERLINK("https://dart.fss.or.kr/dsaf001/main.do?rcpNo=20260528000755", "공시열람")</f>
        <v/>
      </c>
    </row>
    <row r="1883" ht="22" customHeight="1">
      <c r="A1883" s="2" t="inlineStr">
        <is>
          <t>2026-05-28</t>
        </is>
      </c>
      <c r="B1883" s="3" t="inlineStr">
        <is>
          <t>엔지켐생명과학</t>
        </is>
      </c>
      <c r="C1883" s="2" t="inlineStr">
        <is>
          <t>183490</t>
        </is>
      </c>
      <c r="D1883" s="2" t="inlineStr">
        <is>
          <t>대량보유</t>
        </is>
      </c>
      <c r="E1883" s="3" t="inlineStr">
        <is>
          <t>이동희</t>
        </is>
      </c>
      <c r="F1883" s="3" t="inlineStr">
        <is>
          <t>특별관계자</t>
        </is>
      </c>
      <c r="G1883" s="3" t="inlineStr">
        <is>
          <t>신규보고(+)</t>
        </is>
      </c>
      <c r="H1883" s="15" t="n">
        <v>64650</v>
      </c>
      <c r="I1883" s="6" t="inlineStr"/>
      <c r="J1883" s="6" t="n">
        <v>64650</v>
      </c>
      <c r="K1883" s="16" t="n">
        <v>5.95</v>
      </c>
      <c r="L1883" s="2" t="inlineStr">
        <is>
          <t>20260528000755</t>
        </is>
      </c>
      <c r="M1883" s="8">
        <f>HYPERLINK("https://dart.fss.or.kr/dsaf001/main.do?rcpNo=20260528000755", "공시열람")</f>
        <v/>
      </c>
    </row>
    <row r="1884" ht="22" customHeight="1">
      <c r="A1884" s="2" t="inlineStr">
        <is>
          <t>2026-05-28</t>
        </is>
      </c>
      <c r="B1884" s="3" t="inlineStr">
        <is>
          <t>엔지켐생명과학</t>
        </is>
      </c>
      <c r="C1884" s="2" t="inlineStr">
        <is>
          <t>183490</t>
        </is>
      </c>
      <c r="D1884" s="2" t="inlineStr">
        <is>
          <t>대량보유</t>
        </is>
      </c>
      <c r="E1884" s="3" t="inlineStr">
        <is>
          <t>박진호</t>
        </is>
      </c>
      <c r="F1884" s="3" t="inlineStr">
        <is>
          <t>특별관계자</t>
        </is>
      </c>
      <c r="G1884" s="3" t="inlineStr">
        <is>
          <t>신규보고(+)</t>
        </is>
      </c>
      <c r="H1884" s="15" t="n">
        <v>41000</v>
      </c>
      <c r="I1884" s="6" t="inlineStr"/>
      <c r="J1884" s="6" t="n">
        <v>41000</v>
      </c>
      <c r="K1884" s="16" t="n">
        <v>5.95</v>
      </c>
      <c r="L1884" s="2" t="inlineStr">
        <is>
          <t>20260528000755</t>
        </is>
      </c>
      <c r="M1884" s="8">
        <f>HYPERLINK("https://dart.fss.or.kr/dsaf001/main.do?rcpNo=20260528000755", "공시열람")</f>
        <v/>
      </c>
    </row>
    <row r="1885" ht="22" customHeight="1">
      <c r="A1885" s="2" t="inlineStr">
        <is>
          <t>2026-05-28</t>
        </is>
      </c>
      <c r="B1885" s="3" t="inlineStr">
        <is>
          <t>엔지켐생명과학</t>
        </is>
      </c>
      <c r="C1885" s="2" t="inlineStr">
        <is>
          <t>183490</t>
        </is>
      </c>
      <c r="D1885" s="2" t="inlineStr">
        <is>
          <t>대량보유</t>
        </is>
      </c>
      <c r="E1885" s="3" t="inlineStr">
        <is>
          <t>김동균</t>
        </is>
      </c>
      <c r="F1885" s="3" t="inlineStr">
        <is>
          <t>특별관계자</t>
        </is>
      </c>
      <c r="G1885" s="3" t="inlineStr">
        <is>
          <t>신규보고(+)</t>
        </is>
      </c>
      <c r="H1885" s="15" t="n">
        <v>30000</v>
      </c>
      <c r="I1885" s="6" t="inlineStr"/>
      <c r="J1885" s="6" t="n">
        <v>30000</v>
      </c>
      <c r="K1885" s="16" t="n">
        <v>5.95</v>
      </c>
      <c r="L1885" s="2" t="inlineStr">
        <is>
          <t>20260528000755</t>
        </is>
      </c>
      <c r="M1885" s="8">
        <f>HYPERLINK("https://dart.fss.or.kr/dsaf001/main.do?rcpNo=20260528000755", "공시열람")</f>
        <v/>
      </c>
    </row>
    <row r="1886" ht="22" customHeight="1">
      <c r="A1886" s="2" t="inlineStr">
        <is>
          <t>2026-05-28</t>
        </is>
      </c>
      <c r="B1886" s="3" t="inlineStr">
        <is>
          <t>엔지켐생명과학</t>
        </is>
      </c>
      <c r="C1886" s="2" t="inlineStr">
        <is>
          <t>183490</t>
        </is>
      </c>
      <c r="D1886" s="2" t="inlineStr">
        <is>
          <t>대량보유</t>
        </is>
      </c>
      <c r="E1886" s="3" t="inlineStr">
        <is>
          <t>김희태</t>
        </is>
      </c>
      <c r="F1886" s="3" t="inlineStr">
        <is>
          <t>특별관계자</t>
        </is>
      </c>
      <c r="G1886" s="3" t="inlineStr">
        <is>
          <t>신규보고(+)</t>
        </is>
      </c>
      <c r="H1886" s="15" t="n">
        <v>50158</v>
      </c>
      <c r="I1886" s="6" t="inlineStr"/>
      <c r="J1886" s="6" t="n">
        <v>50158</v>
      </c>
      <c r="K1886" s="16" t="n">
        <v>5.95</v>
      </c>
      <c r="L1886" s="2" t="inlineStr">
        <is>
          <t>20260528000755</t>
        </is>
      </c>
      <c r="M1886" s="8">
        <f>HYPERLINK("https://dart.fss.or.kr/dsaf001/main.do?rcpNo=20260528000755", "공시열람")</f>
        <v/>
      </c>
    </row>
    <row r="1887" ht="22" customHeight="1">
      <c r="A1887" s="2" t="inlineStr">
        <is>
          <t>2026-05-28</t>
        </is>
      </c>
      <c r="B1887" s="3" t="inlineStr">
        <is>
          <t>엔지켐생명과학</t>
        </is>
      </c>
      <c r="C1887" s="2" t="inlineStr">
        <is>
          <t>183490</t>
        </is>
      </c>
      <c r="D1887" s="2" t="inlineStr">
        <is>
          <t>대량보유</t>
        </is>
      </c>
      <c r="E1887" s="3" t="inlineStr">
        <is>
          <t>박찬경</t>
        </is>
      </c>
      <c r="F1887" s="3" t="inlineStr">
        <is>
          <t>특별관계자</t>
        </is>
      </c>
      <c r="G1887" s="3" t="inlineStr">
        <is>
          <t>신규보고(+)</t>
        </is>
      </c>
      <c r="H1887" s="15" t="n">
        <v>754000</v>
      </c>
      <c r="I1887" s="6" t="inlineStr"/>
      <c r="J1887" s="6" t="n">
        <v>754000</v>
      </c>
      <c r="K1887" s="16" t="n">
        <v>5.95</v>
      </c>
      <c r="L1887" s="2" t="inlineStr">
        <is>
          <t>20260528000755</t>
        </is>
      </c>
      <c r="M1887" s="8">
        <f>HYPERLINK("https://dart.fss.or.kr/dsaf001/main.do?rcpNo=20260528000755", "공시열람")</f>
        <v/>
      </c>
    </row>
    <row r="1888" ht="22" customHeight="1">
      <c r="A1888" s="2" t="inlineStr">
        <is>
          <t>2026-05-28</t>
        </is>
      </c>
      <c r="B1888" s="3" t="inlineStr">
        <is>
          <t>엔지켐생명과학</t>
        </is>
      </c>
      <c r="C1888" s="2" t="inlineStr">
        <is>
          <t>183490</t>
        </is>
      </c>
      <c r="D1888" s="2" t="inlineStr">
        <is>
          <t>대량보유</t>
        </is>
      </c>
      <c r="E1888" s="3" t="inlineStr">
        <is>
          <t>문주영</t>
        </is>
      </c>
      <c r="F1888" s="3" t="inlineStr">
        <is>
          <t>특별관계자</t>
        </is>
      </c>
      <c r="G1888" s="3" t="inlineStr">
        <is>
          <t>신규보고(+)</t>
        </is>
      </c>
      <c r="H1888" s="15" t="n">
        <v>330</v>
      </c>
      <c r="I1888" s="6" t="inlineStr"/>
      <c r="J1888" s="6" t="n">
        <v>330</v>
      </c>
      <c r="K1888" s="16" t="n">
        <v>5.95</v>
      </c>
      <c r="L1888" s="2" t="inlineStr">
        <is>
          <t>20260528000755</t>
        </is>
      </c>
      <c r="M1888" s="8">
        <f>HYPERLINK("https://dart.fss.or.kr/dsaf001/main.do?rcpNo=20260528000755", "공시열람")</f>
        <v/>
      </c>
    </row>
    <row r="1889" ht="22" customHeight="1">
      <c r="A1889" s="2" t="inlineStr">
        <is>
          <t>2026-05-28</t>
        </is>
      </c>
      <c r="B1889" s="3" t="inlineStr">
        <is>
          <t>엔지켐생명과학</t>
        </is>
      </c>
      <c r="C1889" s="2" t="inlineStr">
        <is>
          <t>183490</t>
        </is>
      </c>
      <c r="D1889" s="2" t="inlineStr">
        <is>
          <t>대량보유</t>
        </is>
      </c>
      <c r="E1889" s="3" t="inlineStr">
        <is>
          <t>이정용</t>
        </is>
      </c>
      <c r="F1889" s="3" t="inlineStr">
        <is>
          <t>특별관계자</t>
        </is>
      </c>
      <c r="G1889" s="3" t="inlineStr">
        <is>
          <t>신규보고(+)</t>
        </is>
      </c>
      <c r="H1889" s="15" t="n">
        <v>9035</v>
      </c>
      <c r="I1889" s="6" t="inlineStr"/>
      <c r="J1889" s="6" t="n">
        <v>9035</v>
      </c>
      <c r="K1889" s="16" t="n">
        <v>5.95</v>
      </c>
      <c r="L1889" s="2" t="inlineStr">
        <is>
          <t>20260528000755</t>
        </is>
      </c>
      <c r="M1889" s="8">
        <f>HYPERLINK("https://dart.fss.or.kr/dsaf001/main.do?rcpNo=20260528000755", "공시열람")</f>
        <v/>
      </c>
    </row>
    <row r="1890" ht="22" customHeight="1">
      <c r="A1890" s="2" t="inlineStr">
        <is>
          <t>2026-05-28</t>
        </is>
      </c>
      <c r="B1890" s="3" t="inlineStr">
        <is>
          <t>엔지켐생명과학</t>
        </is>
      </c>
      <c r="C1890" s="2" t="inlineStr">
        <is>
          <t>183490</t>
        </is>
      </c>
      <c r="D1890" s="2" t="inlineStr">
        <is>
          <t>대량보유</t>
        </is>
      </c>
      <c r="E1890" s="3" t="inlineStr">
        <is>
          <t>유승욱</t>
        </is>
      </c>
      <c r="F1890" s="3" t="inlineStr">
        <is>
          <t>특별관계자</t>
        </is>
      </c>
      <c r="G1890" s="3" t="inlineStr">
        <is>
          <t>신규보고(+)</t>
        </is>
      </c>
      <c r="H1890" s="15" t="n">
        <v>12050</v>
      </c>
      <c r="I1890" s="6" t="inlineStr"/>
      <c r="J1890" s="6" t="n">
        <v>12050</v>
      </c>
      <c r="K1890" s="16" t="n">
        <v>5.95</v>
      </c>
      <c r="L1890" s="2" t="inlineStr">
        <is>
          <t>20260528000755</t>
        </is>
      </c>
      <c r="M1890" s="8">
        <f>HYPERLINK("https://dart.fss.or.kr/dsaf001/main.do?rcpNo=20260528000755", "공시열람")</f>
        <v/>
      </c>
    </row>
    <row r="1891" ht="22" customHeight="1">
      <c r="A1891" s="2" t="inlineStr">
        <is>
          <t>2026-05-28</t>
        </is>
      </c>
      <c r="B1891" s="3" t="inlineStr">
        <is>
          <t>엔지켐생명과학</t>
        </is>
      </c>
      <c r="C1891" s="2" t="inlineStr">
        <is>
          <t>183490</t>
        </is>
      </c>
      <c r="D1891" s="2" t="inlineStr">
        <is>
          <t>대량보유</t>
        </is>
      </c>
      <c r="E1891" s="3" t="inlineStr">
        <is>
          <t>홍미리</t>
        </is>
      </c>
      <c r="F1891" s="3" t="inlineStr">
        <is>
          <t>특별관계자</t>
        </is>
      </c>
      <c r="G1891" s="3" t="inlineStr">
        <is>
          <t>신규보고(+)</t>
        </is>
      </c>
      <c r="H1891" s="15" t="n">
        <v>2960</v>
      </c>
      <c r="I1891" s="6" t="inlineStr"/>
      <c r="J1891" s="6" t="n">
        <v>2960</v>
      </c>
      <c r="K1891" s="16" t="n">
        <v>5.95</v>
      </c>
      <c r="L1891" s="2" t="inlineStr">
        <is>
          <t>20260528000755</t>
        </is>
      </c>
      <c r="M1891" s="8">
        <f>HYPERLINK("https://dart.fss.or.kr/dsaf001/main.do?rcpNo=20260528000755", "공시열람")</f>
        <v/>
      </c>
    </row>
    <row r="1892" ht="22" customHeight="1">
      <c r="A1892" s="2" t="inlineStr">
        <is>
          <t>2026-05-28</t>
        </is>
      </c>
      <c r="B1892" s="3" t="inlineStr">
        <is>
          <t>엔지켐생명과학</t>
        </is>
      </c>
      <c r="C1892" s="2" t="inlineStr">
        <is>
          <t>183490</t>
        </is>
      </c>
      <c r="D1892" s="2" t="inlineStr">
        <is>
          <t>대량보유</t>
        </is>
      </c>
      <c r="E1892" s="3" t="inlineStr">
        <is>
          <t>전익권</t>
        </is>
      </c>
      <c r="F1892" s="3" t="inlineStr">
        <is>
          <t>특별관계자</t>
        </is>
      </c>
      <c r="G1892" s="3" t="inlineStr">
        <is>
          <t>신규보고(+)</t>
        </is>
      </c>
      <c r="H1892" s="15" t="n">
        <v>30628</v>
      </c>
      <c r="I1892" s="6" t="inlineStr"/>
      <c r="J1892" s="6" t="n">
        <v>30628</v>
      </c>
      <c r="K1892" s="16" t="n">
        <v>5.95</v>
      </c>
      <c r="L1892" s="2" t="inlineStr">
        <is>
          <t>20260528000755</t>
        </is>
      </c>
      <c r="M1892" s="8">
        <f>HYPERLINK("https://dart.fss.or.kr/dsaf001/main.do?rcpNo=20260528000755", "공시열람")</f>
        <v/>
      </c>
    </row>
    <row r="1893" ht="22" customHeight="1">
      <c r="A1893" s="2" t="inlineStr">
        <is>
          <t>2026-05-28</t>
        </is>
      </c>
      <c r="B1893" s="3" t="inlineStr">
        <is>
          <t>엔지켐생명과학</t>
        </is>
      </c>
      <c r="C1893" s="2" t="inlineStr">
        <is>
          <t>183490</t>
        </is>
      </c>
      <c r="D1893" s="2" t="inlineStr">
        <is>
          <t>대량보유</t>
        </is>
      </c>
      <c r="E1893" s="3" t="inlineStr">
        <is>
          <t>김태훈</t>
        </is>
      </c>
      <c r="F1893" s="3" t="inlineStr">
        <is>
          <t>특별관계자</t>
        </is>
      </c>
      <c r="G1893" s="3" t="inlineStr">
        <is>
          <t>신규보고(+)</t>
        </is>
      </c>
      <c r="H1893" s="15" t="n">
        <v>4872</v>
      </c>
      <c r="I1893" s="6" t="inlineStr"/>
      <c r="J1893" s="6" t="n">
        <v>4872</v>
      </c>
      <c r="K1893" s="16" t="n">
        <v>5.95</v>
      </c>
      <c r="L1893" s="2" t="inlineStr">
        <is>
          <t>20260528000755</t>
        </is>
      </c>
      <c r="M1893" s="8">
        <f>HYPERLINK("https://dart.fss.or.kr/dsaf001/main.do?rcpNo=20260528000755", "공시열람")</f>
        <v/>
      </c>
    </row>
    <row r="1894" ht="22" customHeight="1">
      <c r="A1894" s="2" t="inlineStr">
        <is>
          <t>2026-05-28</t>
        </is>
      </c>
      <c r="B1894" s="3" t="inlineStr">
        <is>
          <t>엔지켐생명과학</t>
        </is>
      </c>
      <c r="C1894" s="2" t="inlineStr">
        <is>
          <t>183490</t>
        </is>
      </c>
      <c r="D1894" s="2" t="inlineStr">
        <is>
          <t>대량보유</t>
        </is>
      </c>
      <c r="E1894" s="3" t="inlineStr">
        <is>
          <t>권영덕</t>
        </is>
      </c>
      <c r="F1894" s="3" t="inlineStr">
        <is>
          <t>특별관계자</t>
        </is>
      </c>
      <c r="G1894" s="3" t="inlineStr">
        <is>
          <t>신규보고(+)</t>
        </is>
      </c>
      <c r="H1894" s="15" t="n">
        <v>60273</v>
      </c>
      <c r="I1894" s="6" t="inlineStr"/>
      <c r="J1894" s="6" t="n">
        <v>60273</v>
      </c>
      <c r="K1894" s="16" t="n">
        <v>5.95</v>
      </c>
      <c r="L1894" s="2" t="inlineStr">
        <is>
          <t>20260528000755</t>
        </is>
      </c>
      <c r="M1894" s="8">
        <f>HYPERLINK("https://dart.fss.or.kr/dsaf001/main.do?rcpNo=20260528000755", "공시열람")</f>
        <v/>
      </c>
    </row>
    <row r="1895" ht="22" customHeight="1">
      <c r="A1895" s="2" t="inlineStr">
        <is>
          <t>2026-05-28</t>
        </is>
      </c>
      <c r="B1895" s="3" t="inlineStr">
        <is>
          <t>엔지켐생명과학</t>
        </is>
      </c>
      <c r="C1895" s="2" t="inlineStr">
        <is>
          <t>183490</t>
        </is>
      </c>
      <c r="D1895" s="2" t="inlineStr">
        <is>
          <t>대량보유</t>
        </is>
      </c>
      <c r="E1895" s="3" t="inlineStr">
        <is>
          <t>허유진</t>
        </is>
      </c>
      <c r="F1895" s="3" t="inlineStr">
        <is>
          <t>특별관계자</t>
        </is>
      </c>
      <c r="G1895" s="3" t="inlineStr">
        <is>
          <t>신규보고(+)</t>
        </is>
      </c>
      <c r="H1895" s="15" t="n">
        <v>39942</v>
      </c>
      <c r="I1895" s="6" t="inlineStr"/>
      <c r="J1895" s="6" t="n">
        <v>39942</v>
      </c>
      <c r="K1895" s="16" t="n">
        <v>5.95</v>
      </c>
      <c r="L1895" s="2" t="inlineStr">
        <is>
          <t>20260528000755</t>
        </is>
      </c>
      <c r="M1895" s="8">
        <f>HYPERLINK("https://dart.fss.or.kr/dsaf001/main.do?rcpNo=20260528000755", "공시열람")</f>
        <v/>
      </c>
    </row>
    <row r="1896" ht="22" customHeight="1">
      <c r="A1896" s="2" t="inlineStr">
        <is>
          <t>2026-05-28</t>
        </is>
      </c>
      <c r="B1896" s="3" t="inlineStr">
        <is>
          <t>엔지켐생명과학</t>
        </is>
      </c>
      <c r="C1896" s="2" t="inlineStr">
        <is>
          <t>183490</t>
        </is>
      </c>
      <c r="D1896" s="2" t="inlineStr">
        <is>
          <t>대량보유</t>
        </is>
      </c>
      <c r="E1896" s="3" t="inlineStr">
        <is>
          <t>김경숙</t>
        </is>
      </c>
      <c r="F1896" s="3" t="inlineStr">
        <is>
          <t>특별관계자</t>
        </is>
      </c>
      <c r="G1896" s="3" t="inlineStr">
        <is>
          <t>신규보고(+)</t>
        </is>
      </c>
      <c r="H1896" s="15" t="n">
        <v>600</v>
      </c>
      <c r="I1896" s="6" t="inlineStr"/>
      <c r="J1896" s="6" t="n">
        <v>600</v>
      </c>
      <c r="K1896" s="16" t="n">
        <v>5.95</v>
      </c>
      <c r="L1896" s="2" t="inlineStr">
        <is>
          <t>20260528000755</t>
        </is>
      </c>
      <c r="M1896" s="8">
        <f>HYPERLINK("https://dart.fss.or.kr/dsaf001/main.do?rcpNo=20260528000755", "공시열람")</f>
        <v/>
      </c>
    </row>
    <row r="1897" ht="22" customHeight="1">
      <c r="A1897" s="2" t="inlineStr">
        <is>
          <t>2026-05-28</t>
        </is>
      </c>
      <c r="B1897" s="3" t="inlineStr">
        <is>
          <t>엔지켐생명과학</t>
        </is>
      </c>
      <c r="C1897" s="2" t="inlineStr">
        <is>
          <t>183490</t>
        </is>
      </c>
      <c r="D1897" s="2" t="inlineStr">
        <is>
          <t>대량보유</t>
        </is>
      </c>
      <c r="E1897" s="3" t="inlineStr">
        <is>
          <t>이용실</t>
        </is>
      </c>
      <c r="F1897" s="3" t="inlineStr">
        <is>
          <t>특별관계자</t>
        </is>
      </c>
      <c r="G1897" s="3" t="inlineStr">
        <is>
          <t>신규보고(+)</t>
        </is>
      </c>
      <c r="H1897" s="15" t="n">
        <v>11071</v>
      </c>
      <c r="I1897" s="6" t="inlineStr"/>
      <c r="J1897" s="6" t="n">
        <v>11071</v>
      </c>
      <c r="K1897" s="16" t="n">
        <v>5.95</v>
      </c>
      <c r="L1897" s="2" t="inlineStr">
        <is>
          <t>20260528000755</t>
        </is>
      </c>
      <c r="M1897" s="8">
        <f>HYPERLINK("https://dart.fss.or.kr/dsaf001/main.do?rcpNo=20260528000755", "공시열람")</f>
        <v/>
      </c>
    </row>
    <row r="1898" ht="22" customHeight="1">
      <c r="A1898" s="2" t="inlineStr">
        <is>
          <t>2026-05-28</t>
        </is>
      </c>
      <c r="B1898" s="3" t="inlineStr">
        <is>
          <t>엔지켐생명과학</t>
        </is>
      </c>
      <c r="C1898" s="2" t="inlineStr">
        <is>
          <t>183490</t>
        </is>
      </c>
      <c r="D1898" s="2" t="inlineStr">
        <is>
          <t>대량보유</t>
        </is>
      </c>
      <c r="E1898" s="3" t="inlineStr">
        <is>
          <t>이덕연</t>
        </is>
      </c>
      <c r="F1898" s="3" t="inlineStr">
        <is>
          <t>특별관계자</t>
        </is>
      </c>
      <c r="G1898" s="3" t="inlineStr">
        <is>
          <t>신규보고(+)</t>
        </is>
      </c>
      <c r="H1898" s="15" t="n">
        <v>300</v>
      </c>
      <c r="I1898" s="6" t="inlineStr"/>
      <c r="J1898" s="6" t="n">
        <v>300</v>
      </c>
      <c r="K1898" s="16" t="n">
        <v>5.95</v>
      </c>
      <c r="L1898" s="2" t="inlineStr">
        <is>
          <t>20260528000755</t>
        </is>
      </c>
      <c r="M1898" s="8">
        <f>HYPERLINK("https://dart.fss.or.kr/dsaf001/main.do?rcpNo=20260528000755", "공시열람")</f>
        <v/>
      </c>
    </row>
    <row r="1899" ht="22" customHeight="1">
      <c r="A1899" s="2" t="inlineStr">
        <is>
          <t>2026-05-28</t>
        </is>
      </c>
      <c r="B1899" s="3" t="inlineStr">
        <is>
          <t>엔지켐생명과학</t>
        </is>
      </c>
      <c r="C1899" s="2" t="inlineStr">
        <is>
          <t>183490</t>
        </is>
      </c>
      <c r="D1899" s="2" t="inlineStr">
        <is>
          <t>대량보유</t>
        </is>
      </c>
      <c r="E1899" s="3" t="inlineStr">
        <is>
          <t>김순옥</t>
        </is>
      </c>
      <c r="F1899" s="3" t="inlineStr">
        <is>
          <t>특별관계자</t>
        </is>
      </c>
      <c r="G1899" s="3" t="inlineStr">
        <is>
          <t>신규보고(+)</t>
        </is>
      </c>
      <c r="H1899" s="15" t="n">
        <v>68</v>
      </c>
      <c r="I1899" s="6" t="inlineStr"/>
      <c r="J1899" s="6" t="n">
        <v>68</v>
      </c>
      <c r="K1899" s="16" t="n">
        <v>5.95</v>
      </c>
      <c r="L1899" s="2" t="inlineStr">
        <is>
          <t>20260528000755</t>
        </is>
      </c>
      <c r="M1899" s="8">
        <f>HYPERLINK("https://dart.fss.or.kr/dsaf001/main.do?rcpNo=20260528000755", "공시열람")</f>
        <v/>
      </c>
    </row>
    <row r="1900" ht="22" customHeight="1">
      <c r="A1900" s="2" t="inlineStr">
        <is>
          <t>2026-05-28</t>
        </is>
      </c>
      <c r="B1900" s="3" t="inlineStr">
        <is>
          <t>엔지켐생명과학</t>
        </is>
      </c>
      <c r="C1900" s="2" t="inlineStr">
        <is>
          <t>183490</t>
        </is>
      </c>
      <c r="D1900" s="2" t="inlineStr">
        <is>
          <t>대량보유</t>
        </is>
      </c>
      <c r="E1900" s="3" t="inlineStr">
        <is>
          <t>강병조</t>
        </is>
      </c>
      <c r="F1900" s="3" t="inlineStr">
        <is>
          <t>특별관계자</t>
        </is>
      </c>
      <c r="G1900" s="3" t="inlineStr">
        <is>
          <t>신규보고(+)</t>
        </is>
      </c>
      <c r="H1900" s="15" t="n">
        <v>5000</v>
      </c>
      <c r="I1900" s="6" t="inlineStr"/>
      <c r="J1900" s="6" t="n">
        <v>5000</v>
      </c>
      <c r="K1900" s="16" t="n">
        <v>5.95</v>
      </c>
      <c r="L1900" s="2" t="inlineStr">
        <is>
          <t>20260528000755</t>
        </is>
      </c>
      <c r="M1900" s="8">
        <f>HYPERLINK("https://dart.fss.or.kr/dsaf001/main.do?rcpNo=20260528000755", "공시열람")</f>
        <v/>
      </c>
    </row>
    <row r="1901" ht="22" customHeight="1">
      <c r="A1901" s="2" t="inlineStr">
        <is>
          <t>2026-05-28</t>
        </is>
      </c>
      <c r="B1901" s="3" t="inlineStr">
        <is>
          <t>엔지켐생명과학</t>
        </is>
      </c>
      <c r="C1901" s="2" t="inlineStr">
        <is>
          <t>183490</t>
        </is>
      </c>
      <c r="D1901" s="2" t="inlineStr">
        <is>
          <t>대량보유</t>
        </is>
      </c>
      <c r="E1901" s="3" t="inlineStr">
        <is>
          <t>장미경</t>
        </is>
      </c>
      <c r="F1901" s="3" t="inlineStr">
        <is>
          <t>특별관계자</t>
        </is>
      </c>
      <c r="G1901" s="3" t="inlineStr">
        <is>
          <t>신규보고(+)</t>
        </is>
      </c>
      <c r="H1901" s="15" t="n">
        <v>54462</v>
      </c>
      <c r="I1901" s="6" t="inlineStr"/>
      <c r="J1901" s="6" t="n">
        <v>54462</v>
      </c>
      <c r="K1901" s="16" t="n">
        <v>5.95</v>
      </c>
      <c r="L1901" s="2" t="inlineStr">
        <is>
          <t>20260528000755</t>
        </is>
      </c>
      <c r="M1901" s="8">
        <f>HYPERLINK("https://dart.fss.or.kr/dsaf001/main.do?rcpNo=20260528000755", "공시열람")</f>
        <v/>
      </c>
    </row>
    <row r="1902" ht="22" customHeight="1">
      <c r="A1902" s="2" t="inlineStr">
        <is>
          <t>2026-05-28</t>
        </is>
      </c>
      <c r="B1902" s="3" t="inlineStr">
        <is>
          <t>엔지켐생명과학</t>
        </is>
      </c>
      <c r="C1902" s="2" t="inlineStr">
        <is>
          <t>183490</t>
        </is>
      </c>
      <c r="D1902" s="2" t="inlineStr">
        <is>
          <t>대량보유</t>
        </is>
      </c>
      <c r="E1902" s="3" t="inlineStr">
        <is>
          <t>김후창</t>
        </is>
      </c>
      <c r="F1902" s="3" t="inlineStr">
        <is>
          <t>특별관계자</t>
        </is>
      </c>
      <c r="G1902" s="3" t="inlineStr">
        <is>
          <t>신규보고(+)</t>
        </is>
      </c>
      <c r="H1902" s="15" t="n">
        <v>16479</v>
      </c>
      <c r="I1902" s="6" t="inlineStr"/>
      <c r="J1902" s="6" t="n">
        <v>16479</v>
      </c>
      <c r="K1902" s="16" t="n">
        <v>5.95</v>
      </c>
      <c r="L1902" s="2" t="inlineStr">
        <is>
          <t>20260528000755</t>
        </is>
      </c>
      <c r="M1902" s="8">
        <f>HYPERLINK("https://dart.fss.or.kr/dsaf001/main.do?rcpNo=20260528000755", "공시열람")</f>
        <v/>
      </c>
    </row>
    <row r="1903" ht="22" customHeight="1">
      <c r="A1903" s="2" t="inlineStr">
        <is>
          <t>2026-05-28</t>
        </is>
      </c>
      <c r="B1903" s="3" t="inlineStr">
        <is>
          <t>엔지켐생명과학</t>
        </is>
      </c>
      <c r="C1903" s="2" t="inlineStr">
        <is>
          <t>183490</t>
        </is>
      </c>
      <c r="D1903" s="2" t="inlineStr">
        <is>
          <t>대량보유</t>
        </is>
      </c>
      <c r="E1903" s="3" t="inlineStr">
        <is>
          <t>윤재호</t>
        </is>
      </c>
      <c r="F1903" s="3" t="inlineStr">
        <is>
          <t>특별관계자</t>
        </is>
      </c>
      <c r="G1903" s="3" t="inlineStr">
        <is>
          <t>신규보고(+)</t>
        </is>
      </c>
      <c r="H1903" s="15" t="n">
        <v>16352</v>
      </c>
      <c r="I1903" s="6" t="inlineStr"/>
      <c r="J1903" s="6" t="n">
        <v>16352</v>
      </c>
      <c r="K1903" s="16" t="n">
        <v>5.95</v>
      </c>
      <c r="L1903" s="2" t="inlineStr">
        <is>
          <t>20260528000755</t>
        </is>
      </c>
      <c r="M1903" s="8">
        <f>HYPERLINK("https://dart.fss.or.kr/dsaf001/main.do?rcpNo=20260528000755", "공시열람")</f>
        <v/>
      </c>
    </row>
    <row r="1904" ht="22" customHeight="1">
      <c r="A1904" s="2" t="inlineStr">
        <is>
          <t>2026-05-28</t>
        </is>
      </c>
      <c r="B1904" s="3" t="inlineStr">
        <is>
          <t>엔지켐생명과학</t>
        </is>
      </c>
      <c r="C1904" s="2" t="inlineStr">
        <is>
          <t>183490</t>
        </is>
      </c>
      <c r="D1904" s="2" t="inlineStr">
        <is>
          <t>대량보유</t>
        </is>
      </c>
      <c r="E1904" s="3" t="inlineStr">
        <is>
          <t>최환섭</t>
        </is>
      </c>
      <c r="F1904" s="3" t="inlineStr">
        <is>
          <t>특별관계자</t>
        </is>
      </c>
      <c r="G1904" s="3" t="inlineStr">
        <is>
          <t>신규보고(+)</t>
        </is>
      </c>
      <c r="H1904" s="15" t="n">
        <v>16212</v>
      </c>
      <c r="I1904" s="6" t="inlineStr"/>
      <c r="J1904" s="6" t="n">
        <v>16212</v>
      </c>
      <c r="K1904" s="16" t="n">
        <v>5.95</v>
      </c>
      <c r="L1904" s="2" t="inlineStr">
        <is>
          <t>20260528000755</t>
        </is>
      </c>
      <c r="M1904" s="8">
        <f>HYPERLINK("https://dart.fss.or.kr/dsaf001/main.do?rcpNo=20260528000755", "공시열람")</f>
        <v/>
      </c>
    </row>
    <row r="1905" ht="22" customHeight="1">
      <c r="A1905" s="2" t="inlineStr">
        <is>
          <t>2026-05-28</t>
        </is>
      </c>
      <c r="B1905" s="3" t="inlineStr">
        <is>
          <t>엔지켐생명과학</t>
        </is>
      </c>
      <c r="C1905" s="2" t="inlineStr">
        <is>
          <t>183490</t>
        </is>
      </c>
      <c r="D1905" s="2" t="inlineStr">
        <is>
          <t>대량보유</t>
        </is>
      </c>
      <c r="E1905" s="3" t="inlineStr">
        <is>
          <t>김수영</t>
        </is>
      </c>
      <c r="F1905" s="3" t="inlineStr">
        <is>
          <t>특별관계자</t>
        </is>
      </c>
      <c r="G1905" s="3" t="inlineStr">
        <is>
          <t>신규보고(+)</t>
        </is>
      </c>
      <c r="H1905" s="15" t="n">
        <v>2000</v>
      </c>
      <c r="I1905" s="6" t="inlineStr"/>
      <c r="J1905" s="6" t="n">
        <v>2000</v>
      </c>
      <c r="K1905" s="16" t="n">
        <v>5.95</v>
      </c>
      <c r="L1905" s="2" t="inlineStr">
        <is>
          <t>20260528000755</t>
        </is>
      </c>
      <c r="M1905" s="8">
        <f>HYPERLINK("https://dart.fss.or.kr/dsaf001/main.do?rcpNo=20260528000755", "공시열람")</f>
        <v/>
      </c>
    </row>
    <row r="1906" ht="22" customHeight="1">
      <c r="A1906" s="2" t="inlineStr">
        <is>
          <t>2026-05-28</t>
        </is>
      </c>
      <c r="B1906" s="3" t="inlineStr">
        <is>
          <t>엔지켐생명과학</t>
        </is>
      </c>
      <c r="C1906" s="2" t="inlineStr">
        <is>
          <t>183490</t>
        </is>
      </c>
      <c r="D1906" s="2" t="inlineStr">
        <is>
          <t>대량보유</t>
        </is>
      </c>
      <c r="E1906" s="3" t="inlineStr">
        <is>
          <t>공영애</t>
        </is>
      </c>
      <c r="F1906" s="3" t="inlineStr">
        <is>
          <t>특별관계자</t>
        </is>
      </c>
      <c r="G1906" s="3" t="inlineStr">
        <is>
          <t>신규보고(+)</t>
        </is>
      </c>
      <c r="H1906" s="15" t="n">
        <v>1200</v>
      </c>
      <c r="I1906" s="6" t="inlineStr"/>
      <c r="J1906" s="6" t="n">
        <v>1200</v>
      </c>
      <c r="K1906" s="16" t="n">
        <v>5.95</v>
      </c>
      <c r="L1906" s="2" t="inlineStr">
        <is>
          <t>20260528000755</t>
        </is>
      </c>
      <c r="M1906" s="8">
        <f>HYPERLINK("https://dart.fss.or.kr/dsaf001/main.do?rcpNo=20260528000755", "공시열람")</f>
        <v/>
      </c>
    </row>
    <row r="1907" ht="22" customHeight="1">
      <c r="A1907" s="2" t="inlineStr">
        <is>
          <t>2026-05-28</t>
        </is>
      </c>
      <c r="B1907" s="3" t="inlineStr">
        <is>
          <t>엔지켐생명과학</t>
        </is>
      </c>
      <c r="C1907" s="2" t="inlineStr">
        <is>
          <t>183490</t>
        </is>
      </c>
      <c r="D1907" s="2" t="inlineStr">
        <is>
          <t>대량보유</t>
        </is>
      </c>
      <c r="E1907" s="3" t="inlineStr">
        <is>
          <t>조강타</t>
        </is>
      </c>
      <c r="F1907" s="3" t="inlineStr">
        <is>
          <t>특별관계자</t>
        </is>
      </c>
      <c r="G1907" s="3" t="inlineStr">
        <is>
          <t>신규보고(+)</t>
        </is>
      </c>
      <c r="H1907" s="15" t="n">
        <v>43000</v>
      </c>
      <c r="I1907" s="6" t="inlineStr"/>
      <c r="J1907" s="6" t="n">
        <v>43000</v>
      </c>
      <c r="K1907" s="16" t="n">
        <v>5.95</v>
      </c>
      <c r="L1907" s="2" t="inlineStr">
        <is>
          <t>20260528000755</t>
        </is>
      </c>
      <c r="M1907" s="8">
        <f>HYPERLINK("https://dart.fss.or.kr/dsaf001/main.do?rcpNo=20260528000755", "공시열람")</f>
        <v/>
      </c>
    </row>
    <row r="1908" ht="22" customHeight="1">
      <c r="A1908" s="2" t="inlineStr">
        <is>
          <t>2026-05-28</t>
        </is>
      </c>
      <c r="B1908" s="3" t="inlineStr">
        <is>
          <t>엔지켐생명과학</t>
        </is>
      </c>
      <c r="C1908" s="2" t="inlineStr">
        <is>
          <t>183490</t>
        </is>
      </c>
      <c r="D1908" s="2" t="inlineStr">
        <is>
          <t>대량보유</t>
        </is>
      </c>
      <c r="E1908" s="3" t="inlineStr">
        <is>
          <t>사공천</t>
        </is>
      </c>
      <c r="F1908" s="3" t="inlineStr">
        <is>
          <t>특별관계자</t>
        </is>
      </c>
      <c r="G1908" s="3" t="inlineStr">
        <is>
          <t>신규보고(+)</t>
        </is>
      </c>
      <c r="H1908" s="15" t="n">
        <v>5656</v>
      </c>
      <c r="I1908" s="6" t="inlineStr"/>
      <c r="J1908" s="6" t="n">
        <v>5656</v>
      </c>
      <c r="K1908" s="16" t="n">
        <v>5.95</v>
      </c>
      <c r="L1908" s="2" t="inlineStr">
        <is>
          <t>20260528000755</t>
        </is>
      </c>
      <c r="M1908" s="8">
        <f>HYPERLINK("https://dart.fss.or.kr/dsaf001/main.do?rcpNo=20260528000755", "공시열람")</f>
        <v/>
      </c>
    </row>
    <row r="1909" ht="22" customHeight="1">
      <c r="A1909" s="2" t="inlineStr">
        <is>
          <t>2026-05-28</t>
        </is>
      </c>
      <c r="B1909" s="3" t="inlineStr">
        <is>
          <t>엔지켐생명과학</t>
        </is>
      </c>
      <c r="C1909" s="2" t="inlineStr">
        <is>
          <t>183490</t>
        </is>
      </c>
      <c r="D1909" s="2" t="inlineStr">
        <is>
          <t>대량보유</t>
        </is>
      </c>
      <c r="E1909" s="3" t="inlineStr">
        <is>
          <t>김준묵</t>
        </is>
      </c>
      <c r="F1909" s="3" t="inlineStr">
        <is>
          <t>특별관계자</t>
        </is>
      </c>
      <c r="G1909" s="3" t="inlineStr">
        <is>
          <t>신규보고(+)</t>
        </is>
      </c>
      <c r="H1909" s="15" t="n">
        <v>29246</v>
      </c>
      <c r="I1909" s="6" t="inlineStr"/>
      <c r="J1909" s="6" t="n">
        <v>29246</v>
      </c>
      <c r="K1909" s="16" t="n">
        <v>5.95</v>
      </c>
      <c r="L1909" s="2" t="inlineStr">
        <is>
          <t>20260528000755</t>
        </is>
      </c>
      <c r="M1909" s="8">
        <f>HYPERLINK("https://dart.fss.or.kr/dsaf001/main.do?rcpNo=20260528000755", "공시열람")</f>
        <v/>
      </c>
    </row>
    <row r="1910" ht="22" customHeight="1">
      <c r="A1910" s="2" t="inlineStr">
        <is>
          <t>2026-05-28</t>
        </is>
      </c>
      <c r="B1910" s="3" t="inlineStr">
        <is>
          <t>엔지켐생명과학</t>
        </is>
      </c>
      <c r="C1910" s="2" t="inlineStr">
        <is>
          <t>183490</t>
        </is>
      </c>
      <c r="D1910" s="2" t="inlineStr">
        <is>
          <t>대량보유</t>
        </is>
      </c>
      <c r="E1910" s="3" t="inlineStr">
        <is>
          <t>정옥경</t>
        </is>
      </c>
      <c r="F1910" s="3" t="inlineStr">
        <is>
          <t>특별관계자</t>
        </is>
      </c>
      <c r="G1910" s="3" t="inlineStr">
        <is>
          <t>신규보고(+)</t>
        </is>
      </c>
      <c r="H1910" s="15" t="n">
        <v>6000</v>
      </c>
      <c r="I1910" s="6" t="inlineStr"/>
      <c r="J1910" s="6" t="n">
        <v>6000</v>
      </c>
      <c r="K1910" s="16" t="n">
        <v>5.95</v>
      </c>
      <c r="L1910" s="2" t="inlineStr">
        <is>
          <t>20260528000755</t>
        </is>
      </c>
      <c r="M1910" s="8">
        <f>HYPERLINK("https://dart.fss.or.kr/dsaf001/main.do?rcpNo=20260528000755", "공시열람")</f>
        <v/>
      </c>
    </row>
    <row r="1911" ht="22" customHeight="1">
      <c r="A1911" s="2" t="inlineStr">
        <is>
          <t>2026-05-28</t>
        </is>
      </c>
      <c r="B1911" s="3" t="inlineStr">
        <is>
          <t>엔지켐생명과학</t>
        </is>
      </c>
      <c r="C1911" s="2" t="inlineStr">
        <is>
          <t>183490</t>
        </is>
      </c>
      <c r="D1911" s="2" t="inlineStr">
        <is>
          <t>대량보유</t>
        </is>
      </c>
      <c r="E1911" s="3" t="inlineStr">
        <is>
          <t>이상양</t>
        </is>
      </c>
      <c r="F1911" s="3" t="inlineStr">
        <is>
          <t>특별관계자</t>
        </is>
      </c>
      <c r="G1911" s="3" t="inlineStr">
        <is>
          <t>신규보고(+)</t>
        </is>
      </c>
      <c r="H1911" s="15" t="n">
        <v>17508</v>
      </c>
      <c r="I1911" s="6" t="inlineStr"/>
      <c r="J1911" s="6" t="n">
        <v>17508</v>
      </c>
      <c r="K1911" s="16" t="n">
        <v>5.95</v>
      </c>
      <c r="L1911" s="2" t="inlineStr">
        <is>
          <t>20260528000755</t>
        </is>
      </c>
      <c r="M1911" s="8">
        <f>HYPERLINK("https://dart.fss.or.kr/dsaf001/main.do?rcpNo=20260528000755", "공시열람")</f>
        <v/>
      </c>
    </row>
    <row r="1912" ht="22" customHeight="1">
      <c r="A1912" s="2" t="inlineStr">
        <is>
          <t>2026-05-28</t>
        </is>
      </c>
      <c r="B1912" s="3" t="inlineStr">
        <is>
          <t>엔지켐생명과학</t>
        </is>
      </c>
      <c r="C1912" s="2" t="inlineStr">
        <is>
          <t>183490</t>
        </is>
      </c>
      <c r="D1912" s="2" t="inlineStr">
        <is>
          <t>대량보유</t>
        </is>
      </c>
      <c r="E1912" s="3" t="inlineStr">
        <is>
          <t>이광석</t>
        </is>
      </c>
      <c r="F1912" s="3" t="inlineStr">
        <is>
          <t>특별관계자</t>
        </is>
      </c>
      <c r="G1912" s="3" t="inlineStr">
        <is>
          <t>신규보고(+)</t>
        </is>
      </c>
      <c r="H1912" s="15" t="n">
        <v>13042</v>
      </c>
      <c r="I1912" s="6" t="inlineStr"/>
      <c r="J1912" s="6" t="n">
        <v>13042</v>
      </c>
      <c r="K1912" s="16" t="n">
        <v>5.95</v>
      </c>
      <c r="L1912" s="2" t="inlineStr">
        <is>
          <t>20260528000755</t>
        </is>
      </c>
      <c r="M1912" s="8">
        <f>HYPERLINK("https://dart.fss.or.kr/dsaf001/main.do?rcpNo=20260528000755", "공시열람")</f>
        <v/>
      </c>
    </row>
    <row r="1913" ht="22" customHeight="1">
      <c r="A1913" s="2" t="inlineStr">
        <is>
          <t>2026-05-28</t>
        </is>
      </c>
      <c r="B1913" s="3" t="inlineStr">
        <is>
          <t>엔지켐생명과학</t>
        </is>
      </c>
      <c r="C1913" s="2" t="inlineStr">
        <is>
          <t>183490</t>
        </is>
      </c>
      <c r="D1913" s="2" t="inlineStr">
        <is>
          <t>대량보유</t>
        </is>
      </c>
      <c r="E1913" s="3" t="inlineStr">
        <is>
          <t>김익환</t>
        </is>
      </c>
      <c r="F1913" s="3" t="inlineStr">
        <is>
          <t>특별관계자</t>
        </is>
      </c>
      <c r="G1913" s="3" t="inlineStr">
        <is>
          <t>신규보고(+)</t>
        </is>
      </c>
      <c r="H1913" s="15" t="n">
        <v>516</v>
      </c>
      <c r="I1913" s="6" t="inlineStr"/>
      <c r="J1913" s="6" t="n">
        <v>516</v>
      </c>
      <c r="K1913" s="16" t="n">
        <v>5.95</v>
      </c>
      <c r="L1913" s="2" t="inlineStr">
        <is>
          <t>20260528000755</t>
        </is>
      </c>
      <c r="M1913" s="8">
        <f>HYPERLINK("https://dart.fss.or.kr/dsaf001/main.do?rcpNo=20260528000755", "공시열람")</f>
        <v/>
      </c>
    </row>
    <row r="1914" ht="22" customHeight="1">
      <c r="A1914" s="2" t="inlineStr">
        <is>
          <t>2026-05-28</t>
        </is>
      </c>
      <c r="B1914" s="3" t="inlineStr">
        <is>
          <t>엔지켐생명과학</t>
        </is>
      </c>
      <c r="C1914" s="2" t="inlineStr">
        <is>
          <t>183490</t>
        </is>
      </c>
      <c r="D1914" s="2" t="inlineStr">
        <is>
          <t>대량보유</t>
        </is>
      </c>
      <c r="E1914" s="3" t="inlineStr">
        <is>
          <t>최호식</t>
        </is>
      </c>
      <c r="F1914" s="3" t="inlineStr">
        <is>
          <t>특별관계자</t>
        </is>
      </c>
      <c r="G1914" s="3" t="inlineStr">
        <is>
          <t>신규보고(+)</t>
        </is>
      </c>
      <c r="H1914" s="15" t="n">
        <v>28295</v>
      </c>
      <c r="I1914" s="6" t="inlineStr"/>
      <c r="J1914" s="6" t="n">
        <v>28295</v>
      </c>
      <c r="K1914" s="16" t="n">
        <v>5.95</v>
      </c>
      <c r="L1914" s="2" t="inlineStr">
        <is>
          <t>20260528000755</t>
        </is>
      </c>
      <c r="M1914" s="8">
        <f>HYPERLINK("https://dart.fss.or.kr/dsaf001/main.do?rcpNo=20260528000755", "공시열람")</f>
        <v/>
      </c>
    </row>
    <row r="1915" ht="22" customHeight="1">
      <c r="A1915" s="2" t="inlineStr">
        <is>
          <t>2026-05-28</t>
        </is>
      </c>
      <c r="B1915" s="3" t="inlineStr">
        <is>
          <t>엔지켐생명과학</t>
        </is>
      </c>
      <c r="C1915" s="2" t="inlineStr">
        <is>
          <t>183490</t>
        </is>
      </c>
      <c r="D1915" s="2" t="inlineStr">
        <is>
          <t>대량보유</t>
        </is>
      </c>
      <c r="E1915" s="3" t="inlineStr">
        <is>
          <t>박정미</t>
        </is>
      </c>
      <c r="F1915" s="3" t="inlineStr">
        <is>
          <t>특별관계자</t>
        </is>
      </c>
      <c r="G1915" s="3" t="inlineStr">
        <is>
          <t>신규보고(+)</t>
        </is>
      </c>
      <c r="H1915" s="15" t="n">
        <v>312</v>
      </c>
      <c r="I1915" s="6" t="inlineStr"/>
      <c r="J1915" s="6" t="n">
        <v>312</v>
      </c>
      <c r="K1915" s="16" t="n">
        <v>5.95</v>
      </c>
      <c r="L1915" s="2" t="inlineStr">
        <is>
          <t>20260528000755</t>
        </is>
      </c>
      <c r="M1915" s="8">
        <f>HYPERLINK("https://dart.fss.or.kr/dsaf001/main.do?rcpNo=20260528000755", "공시열람")</f>
        <v/>
      </c>
    </row>
    <row r="1916" ht="22" customHeight="1">
      <c r="A1916" s="2" t="inlineStr">
        <is>
          <t>2026-05-28</t>
        </is>
      </c>
      <c r="B1916" s="3" t="inlineStr">
        <is>
          <t>엔지켐생명과학</t>
        </is>
      </c>
      <c r="C1916" s="2" t="inlineStr">
        <is>
          <t>183490</t>
        </is>
      </c>
      <c r="D1916" s="2" t="inlineStr">
        <is>
          <t>대량보유</t>
        </is>
      </c>
      <c r="E1916" s="3" t="inlineStr">
        <is>
          <t>최기석</t>
        </is>
      </c>
      <c r="F1916" s="3" t="inlineStr">
        <is>
          <t>특별관계자</t>
        </is>
      </c>
      <c r="G1916" s="3" t="inlineStr">
        <is>
          <t>신규보고(+)</t>
        </is>
      </c>
      <c r="H1916" s="15" t="n">
        <v>10692</v>
      </c>
      <c r="I1916" s="6" t="inlineStr"/>
      <c r="J1916" s="6" t="n">
        <v>10692</v>
      </c>
      <c r="K1916" s="16" t="n">
        <v>5.95</v>
      </c>
      <c r="L1916" s="2" t="inlineStr">
        <is>
          <t>20260528000755</t>
        </is>
      </c>
      <c r="M1916" s="8">
        <f>HYPERLINK("https://dart.fss.or.kr/dsaf001/main.do?rcpNo=20260528000755", "공시열람")</f>
        <v/>
      </c>
    </row>
    <row r="1917" ht="22" customHeight="1">
      <c r="A1917" s="2" t="inlineStr">
        <is>
          <t>2026-05-28</t>
        </is>
      </c>
      <c r="B1917" s="3" t="inlineStr">
        <is>
          <t>엔지켐생명과학</t>
        </is>
      </c>
      <c r="C1917" s="2" t="inlineStr">
        <is>
          <t>183490</t>
        </is>
      </c>
      <c r="D1917" s="2" t="inlineStr">
        <is>
          <t>대량보유</t>
        </is>
      </c>
      <c r="E1917" s="3" t="inlineStr">
        <is>
          <t>장현진</t>
        </is>
      </c>
      <c r="F1917" s="3" t="inlineStr">
        <is>
          <t>특별관계자</t>
        </is>
      </c>
      <c r="G1917" s="3" t="inlineStr">
        <is>
          <t>신규보고(+)</t>
        </is>
      </c>
      <c r="H1917" s="15" t="n">
        <v>38000</v>
      </c>
      <c r="I1917" s="6" t="inlineStr"/>
      <c r="J1917" s="6" t="n">
        <v>38000</v>
      </c>
      <c r="K1917" s="16" t="n">
        <v>5.95</v>
      </c>
      <c r="L1917" s="2" t="inlineStr">
        <is>
          <t>20260528000755</t>
        </is>
      </c>
      <c r="M1917" s="8">
        <f>HYPERLINK("https://dart.fss.or.kr/dsaf001/main.do?rcpNo=20260528000755", "공시열람")</f>
        <v/>
      </c>
    </row>
    <row r="1918" ht="22" customHeight="1">
      <c r="A1918" s="2" t="inlineStr">
        <is>
          <t>2026-05-28</t>
        </is>
      </c>
      <c r="B1918" s="3" t="inlineStr">
        <is>
          <t>엔지켐생명과학</t>
        </is>
      </c>
      <c r="C1918" s="2" t="inlineStr">
        <is>
          <t>183490</t>
        </is>
      </c>
      <c r="D1918" s="2" t="inlineStr">
        <is>
          <t>대량보유</t>
        </is>
      </c>
      <c r="E1918" s="3" t="inlineStr">
        <is>
          <t>박종휘</t>
        </is>
      </c>
      <c r="F1918" s="3" t="inlineStr">
        <is>
          <t>특별관계자</t>
        </is>
      </c>
      <c r="G1918" s="3" t="inlineStr">
        <is>
          <t>신규보고(+)</t>
        </is>
      </c>
      <c r="H1918" s="15" t="n">
        <v>5400</v>
      </c>
      <c r="I1918" s="6" t="inlineStr"/>
      <c r="J1918" s="6" t="n">
        <v>5400</v>
      </c>
      <c r="K1918" s="16" t="n">
        <v>5.95</v>
      </c>
      <c r="L1918" s="2" t="inlineStr">
        <is>
          <t>20260528000755</t>
        </is>
      </c>
      <c r="M1918" s="8">
        <f>HYPERLINK("https://dart.fss.or.kr/dsaf001/main.do?rcpNo=20260528000755", "공시열람")</f>
        <v/>
      </c>
    </row>
    <row r="1919" ht="22" customHeight="1">
      <c r="A1919" s="2" t="inlineStr">
        <is>
          <t>2026-05-28</t>
        </is>
      </c>
      <c r="B1919" s="3" t="inlineStr">
        <is>
          <t>엔지켐생명과학</t>
        </is>
      </c>
      <c r="C1919" s="2" t="inlineStr">
        <is>
          <t>183490</t>
        </is>
      </c>
      <c r="D1919" s="2" t="inlineStr">
        <is>
          <t>대량보유</t>
        </is>
      </c>
      <c r="E1919" s="3" t="inlineStr">
        <is>
          <t>전병영</t>
        </is>
      </c>
      <c r="F1919" s="3" t="inlineStr">
        <is>
          <t>특별관계자</t>
        </is>
      </c>
      <c r="G1919" s="3" t="inlineStr">
        <is>
          <t>신규보고(+)</t>
        </is>
      </c>
      <c r="H1919" s="15" t="n">
        <v>9521</v>
      </c>
      <c r="I1919" s="6" t="inlineStr"/>
      <c r="J1919" s="6" t="n">
        <v>9521</v>
      </c>
      <c r="K1919" s="16" t="n">
        <v>5.95</v>
      </c>
      <c r="L1919" s="2" t="inlineStr">
        <is>
          <t>20260528000755</t>
        </is>
      </c>
      <c r="M1919" s="8">
        <f>HYPERLINK("https://dart.fss.or.kr/dsaf001/main.do?rcpNo=20260528000755", "공시열람")</f>
        <v/>
      </c>
    </row>
    <row r="1920" ht="22" customHeight="1">
      <c r="A1920" s="2" t="inlineStr">
        <is>
          <t>2026-05-28</t>
        </is>
      </c>
      <c r="B1920" s="3" t="inlineStr">
        <is>
          <t>엔지켐생명과학</t>
        </is>
      </c>
      <c r="C1920" s="2" t="inlineStr">
        <is>
          <t>183490</t>
        </is>
      </c>
      <c r="D1920" s="2" t="inlineStr">
        <is>
          <t>대량보유</t>
        </is>
      </c>
      <c r="E1920" s="3" t="inlineStr">
        <is>
          <t>임가영</t>
        </is>
      </c>
      <c r="F1920" s="3" t="inlineStr">
        <is>
          <t>특별관계자</t>
        </is>
      </c>
      <c r="G1920" s="3" t="inlineStr">
        <is>
          <t>신규보고(+)</t>
        </is>
      </c>
      <c r="H1920" s="15" t="n">
        <v>3786</v>
      </c>
      <c r="I1920" s="6" t="inlineStr"/>
      <c r="J1920" s="6" t="n">
        <v>3786</v>
      </c>
      <c r="K1920" s="16" t="n">
        <v>5.95</v>
      </c>
      <c r="L1920" s="2" t="inlineStr">
        <is>
          <t>20260528000755</t>
        </is>
      </c>
      <c r="M1920" s="8">
        <f>HYPERLINK("https://dart.fss.or.kr/dsaf001/main.do?rcpNo=20260528000755", "공시열람")</f>
        <v/>
      </c>
    </row>
    <row r="1921" ht="22" customHeight="1">
      <c r="A1921" s="2" t="inlineStr">
        <is>
          <t>2026-05-28</t>
        </is>
      </c>
      <c r="B1921" s="3" t="inlineStr">
        <is>
          <t>엔지켐생명과학</t>
        </is>
      </c>
      <c r="C1921" s="2" t="inlineStr">
        <is>
          <t>183490</t>
        </is>
      </c>
      <c r="D1921" s="2" t="inlineStr">
        <is>
          <t>대량보유</t>
        </is>
      </c>
      <c r="E1921" s="3" t="inlineStr">
        <is>
          <t>이상헌</t>
        </is>
      </c>
      <c r="F1921" s="3" t="inlineStr">
        <is>
          <t>특별관계자</t>
        </is>
      </c>
      <c r="G1921" s="3" t="inlineStr">
        <is>
          <t>신규보고(+)</t>
        </is>
      </c>
      <c r="H1921" s="15" t="n">
        <v>506759</v>
      </c>
      <c r="I1921" s="6" t="inlineStr"/>
      <c r="J1921" s="6" t="n">
        <v>506759</v>
      </c>
      <c r="K1921" s="16" t="n">
        <v>5.95</v>
      </c>
      <c r="L1921" s="2" t="inlineStr">
        <is>
          <t>20260528000755</t>
        </is>
      </c>
      <c r="M1921" s="8">
        <f>HYPERLINK("https://dart.fss.or.kr/dsaf001/main.do?rcpNo=20260528000755", "공시열람")</f>
        <v/>
      </c>
    </row>
    <row r="1922" ht="22" customHeight="1">
      <c r="A1922" s="2" t="inlineStr">
        <is>
          <t>2026-05-28</t>
        </is>
      </c>
      <c r="B1922" s="3" t="inlineStr">
        <is>
          <t>엔지켐생명과학</t>
        </is>
      </c>
      <c r="C1922" s="2" t="inlineStr">
        <is>
          <t>183490</t>
        </is>
      </c>
      <c r="D1922" s="2" t="inlineStr">
        <is>
          <t>대량보유</t>
        </is>
      </c>
      <c r="E1922" s="3" t="inlineStr">
        <is>
          <t>전희선</t>
        </is>
      </c>
      <c r="F1922" s="3" t="inlineStr">
        <is>
          <t>특별관계자</t>
        </is>
      </c>
      <c r="G1922" s="3" t="inlineStr">
        <is>
          <t>신규보고(+)</t>
        </is>
      </c>
      <c r="H1922" s="15" t="n">
        <v>5160</v>
      </c>
      <c r="I1922" s="6" t="inlineStr"/>
      <c r="J1922" s="6" t="n">
        <v>5160</v>
      </c>
      <c r="K1922" s="16" t="n">
        <v>5.95</v>
      </c>
      <c r="L1922" s="2" t="inlineStr">
        <is>
          <t>20260528000755</t>
        </is>
      </c>
      <c r="M1922" s="8">
        <f>HYPERLINK("https://dart.fss.or.kr/dsaf001/main.do?rcpNo=20260528000755", "공시열람")</f>
        <v/>
      </c>
    </row>
    <row r="1923" ht="22" customHeight="1">
      <c r="A1923" s="2" t="inlineStr">
        <is>
          <t>2026-05-28</t>
        </is>
      </c>
      <c r="B1923" s="3" t="inlineStr">
        <is>
          <t>엔지켐생명과학</t>
        </is>
      </c>
      <c r="C1923" s="2" t="inlineStr">
        <is>
          <t>183490</t>
        </is>
      </c>
      <c r="D1923" s="2" t="inlineStr">
        <is>
          <t>대량보유</t>
        </is>
      </c>
      <c r="E1923" s="3" t="inlineStr">
        <is>
          <t>윤재구</t>
        </is>
      </c>
      <c r="F1923" s="3" t="inlineStr">
        <is>
          <t>특별관계자</t>
        </is>
      </c>
      <c r="G1923" s="3" t="inlineStr">
        <is>
          <t>신규보고(+)</t>
        </is>
      </c>
      <c r="H1923" s="15" t="n">
        <v>10060</v>
      </c>
      <c r="I1923" s="6" t="inlineStr"/>
      <c r="J1923" s="6" t="n">
        <v>10060</v>
      </c>
      <c r="K1923" s="16" t="n">
        <v>5.95</v>
      </c>
      <c r="L1923" s="2" t="inlineStr">
        <is>
          <t>20260528000755</t>
        </is>
      </c>
      <c r="M1923" s="8">
        <f>HYPERLINK("https://dart.fss.or.kr/dsaf001/main.do?rcpNo=20260528000755", "공시열람")</f>
        <v/>
      </c>
    </row>
    <row r="1924" ht="22" customHeight="1">
      <c r="A1924" s="2" t="inlineStr">
        <is>
          <t>2026-05-28</t>
        </is>
      </c>
      <c r="B1924" s="3" t="inlineStr">
        <is>
          <t>엔지켐생명과학</t>
        </is>
      </c>
      <c r="C1924" s="2" t="inlineStr">
        <is>
          <t>183490</t>
        </is>
      </c>
      <c r="D1924" s="2" t="inlineStr">
        <is>
          <t>대량보유</t>
        </is>
      </c>
      <c r="E1924" s="3" t="inlineStr">
        <is>
          <t>이승우</t>
        </is>
      </c>
      <c r="F1924" s="3" t="inlineStr">
        <is>
          <t>특별관계자</t>
        </is>
      </c>
      <c r="G1924" s="3" t="inlineStr">
        <is>
          <t>신규보고(+)</t>
        </is>
      </c>
      <c r="H1924" s="15" t="n">
        <v>2511</v>
      </c>
      <c r="I1924" s="6" t="inlineStr"/>
      <c r="J1924" s="6" t="n">
        <v>2511</v>
      </c>
      <c r="K1924" s="16" t="n">
        <v>5.95</v>
      </c>
      <c r="L1924" s="2" t="inlineStr">
        <is>
          <t>20260528000755</t>
        </is>
      </c>
      <c r="M1924" s="8">
        <f>HYPERLINK("https://dart.fss.or.kr/dsaf001/main.do?rcpNo=20260528000755", "공시열람")</f>
        <v/>
      </c>
    </row>
    <row r="1925" ht="22" customHeight="1">
      <c r="A1925" s="2" t="inlineStr">
        <is>
          <t>2026-05-28</t>
        </is>
      </c>
      <c r="B1925" s="3" t="inlineStr">
        <is>
          <t>엔지켐생명과학</t>
        </is>
      </c>
      <c r="C1925" s="2" t="inlineStr">
        <is>
          <t>183490</t>
        </is>
      </c>
      <c r="D1925" s="2" t="inlineStr">
        <is>
          <t>대량보유</t>
        </is>
      </c>
      <c r="E1925" s="3" t="inlineStr">
        <is>
          <t>임송엽</t>
        </is>
      </c>
      <c r="F1925" s="3" t="inlineStr">
        <is>
          <t>특별관계자</t>
        </is>
      </c>
      <c r="G1925" s="3" t="inlineStr">
        <is>
          <t>신규보고(+)</t>
        </is>
      </c>
      <c r="H1925" s="15" t="n">
        <v>423179</v>
      </c>
      <c r="I1925" s="6" t="inlineStr"/>
      <c r="J1925" s="6" t="n">
        <v>423179</v>
      </c>
      <c r="K1925" s="16" t="n">
        <v>5.95</v>
      </c>
      <c r="L1925" s="2" t="inlineStr">
        <is>
          <t>20260528000755</t>
        </is>
      </c>
      <c r="M1925" s="8">
        <f>HYPERLINK("https://dart.fss.or.kr/dsaf001/main.do?rcpNo=20260528000755", "공시열람")</f>
        <v/>
      </c>
    </row>
    <row r="1926" ht="22" customHeight="1">
      <c r="A1926" s="2" t="inlineStr">
        <is>
          <t>2026-05-28</t>
        </is>
      </c>
      <c r="B1926" s="3" t="inlineStr">
        <is>
          <t>엔지켐생명과학</t>
        </is>
      </c>
      <c r="C1926" s="2" t="inlineStr">
        <is>
          <t>183490</t>
        </is>
      </c>
      <c r="D1926" s="2" t="inlineStr">
        <is>
          <t>대량보유</t>
        </is>
      </c>
      <c r="E1926" s="3" t="inlineStr">
        <is>
          <t>김춘호</t>
        </is>
      </c>
      <c r="F1926" s="3" t="inlineStr">
        <is>
          <t>특별관계자</t>
        </is>
      </c>
      <c r="G1926" s="3" t="inlineStr">
        <is>
          <t>신규보고(+)</t>
        </is>
      </c>
      <c r="H1926" s="15" t="n">
        <v>101550</v>
      </c>
      <c r="I1926" s="6" t="inlineStr"/>
      <c r="J1926" s="6" t="n">
        <v>101550</v>
      </c>
      <c r="K1926" s="16" t="n">
        <v>5.95</v>
      </c>
      <c r="L1926" s="2" t="inlineStr">
        <is>
          <t>20260528000755</t>
        </is>
      </c>
      <c r="M1926" s="8">
        <f>HYPERLINK("https://dart.fss.or.kr/dsaf001/main.do?rcpNo=20260528000755", "공시열람")</f>
        <v/>
      </c>
    </row>
    <row r="1927" ht="22" customHeight="1">
      <c r="A1927" s="2" t="inlineStr">
        <is>
          <t>2026-05-28</t>
        </is>
      </c>
      <c r="B1927" s="3" t="inlineStr">
        <is>
          <t>엔지켐생명과학</t>
        </is>
      </c>
      <c r="C1927" s="2" t="inlineStr">
        <is>
          <t>183490</t>
        </is>
      </c>
      <c r="D1927" s="2" t="inlineStr">
        <is>
          <t>대량보유</t>
        </is>
      </c>
      <c r="E1927" s="3" t="inlineStr">
        <is>
          <t>송미란</t>
        </is>
      </c>
      <c r="F1927" s="3" t="inlineStr">
        <is>
          <t>특별관계자</t>
        </is>
      </c>
      <c r="G1927" s="3" t="inlineStr">
        <is>
          <t>신규보고(+)</t>
        </is>
      </c>
      <c r="H1927" s="15" t="n">
        <v>2538</v>
      </c>
      <c r="I1927" s="6" t="inlineStr"/>
      <c r="J1927" s="6" t="n">
        <v>2538</v>
      </c>
      <c r="K1927" s="16" t="n">
        <v>5.95</v>
      </c>
      <c r="L1927" s="2" t="inlineStr">
        <is>
          <t>20260528000755</t>
        </is>
      </c>
      <c r="M1927" s="8">
        <f>HYPERLINK("https://dart.fss.or.kr/dsaf001/main.do?rcpNo=20260528000755", "공시열람")</f>
        <v/>
      </c>
    </row>
    <row r="1928" ht="22" customHeight="1">
      <c r="A1928" s="2" t="inlineStr">
        <is>
          <t>2026-05-28</t>
        </is>
      </c>
      <c r="B1928" s="3" t="inlineStr">
        <is>
          <t>엔지켐생명과학</t>
        </is>
      </c>
      <c r="C1928" s="2" t="inlineStr">
        <is>
          <t>183490</t>
        </is>
      </c>
      <c r="D1928" s="2" t="inlineStr">
        <is>
          <t>대량보유</t>
        </is>
      </c>
      <c r="E1928" s="3" t="inlineStr">
        <is>
          <t>조병훈</t>
        </is>
      </c>
      <c r="F1928" s="3" t="inlineStr">
        <is>
          <t>특별관계자</t>
        </is>
      </c>
      <c r="G1928" s="3" t="inlineStr">
        <is>
          <t>신규보고(+)</t>
        </is>
      </c>
      <c r="H1928" s="15" t="n">
        <v>720</v>
      </c>
      <c r="I1928" s="6" t="inlineStr"/>
      <c r="J1928" s="6" t="n">
        <v>720</v>
      </c>
      <c r="K1928" s="16" t="n">
        <v>5.95</v>
      </c>
      <c r="L1928" s="2" t="inlineStr">
        <is>
          <t>20260528000755</t>
        </is>
      </c>
      <c r="M1928" s="8">
        <f>HYPERLINK("https://dart.fss.or.kr/dsaf001/main.do?rcpNo=20260528000755", "공시열람")</f>
        <v/>
      </c>
    </row>
    <row r="1929" ht="22" customHeight="1">
      <c r="A1929" s="2" t="inlineStr">
        <is>
          <t>2026-05-28</t>
        </is>
      </c>
      <c r="B1929" s="3" t="inlineStr">
        <is>
          <t>엔지켐생명과학</t>
        </is>
      </c>
      <c r="C1929" s="2" t="inlineStr">
        <is>
          <t>183490</t>
        </is>
      </c>
      <c r="D1929" s="2" t="inlineStr">
        <is>
          <t>대량보유</t>
        </is>
      </c>
      <c r="E1929" s="3" t="inlineStr">
        <is>
          <t>유수미</t>
        </is>
      </c>
      <c r="F1929" s="3" t="inlineStr">
        <is>
          <t>특별관계자</t>
        </is>
      </c>
      <c r="G1929" s="3" t="inlineStr">
        <is>
          <t>신규보고(+)</t>
        </is>
      </c>
      <c r="H1929" s="15" t="n">
        <v>1563</v>
      </c>
      <c r="I1929" s="6" t="inlineStr"/>
      <c r="J1929" s="6" t="n">
        <v>1563</v>
      </c>
      <c r="K1929" s="16" t="n">
        <v>5.95</v>
      </c>
      <c r="L1929" s="2" t="inlineStr">
        <is>
          <t>20260528000755</t>
        </is>
      </c>
      <c r="M1929" s="8">
        <f>HYPERLINK("https://dart.fss.or.kr/dsaf001/main.do?rcpNo=20260528000755", "공시열람")</f>
        <v/>
      </c>
    </row>
    <row r="1930" ht="22" customHeight="1">
      <c r="A1930" s="2" t="inlineStr">
        <is>
          <t>2026-05-28</t>
        </is>
      </c>
      <c r="B1930" s="3" t="inlineStr">
        <is>
          <t>엔지켐생명과학</t>
        </is>
      </c>
      <c r="C1930" s="2" t="inlineStr">
        <is>
          <t>183490</t>
        </is>
      </c>
      <c r="D1930" s="2" t="inlineStr">
        <is>
          <t>대량보유</t>
        </is>
      </c>
      <c r="E1930" s="3" t="inlineStr">
        <is>
          <t>고희언</t>
        </is>
      </c>
      <c r="F1930" s="3" t="inlineStr">
        <is>
          <t>특별관계자</t>
        </is>
      </c>
      <c r="G1930" s="3" t="inlineStr">
        <is>
          <t>신규보고(+)</t>
        </is>
      </c>
      <c r="H1930" s="15" t="n">
        <v>1000</v>
      </c>
      <c r="I1930" s="6" t="inlineStr"/>
      <c r="J1930" s="6" t="n">
        <v>1000</v>
      </c>
      <c r="K1930" s="16" t="n">
        <v>5.95</v>
      </c>
      <c r="L1930" s="2" t="inlineStr">
        <is>
          <t>20260528000755</t>
        </is>
      </c>
      <c r="M1930" s="8">
        <f>HYPERLINK("https://dart.fss.or.kr/dsaf001/main.do?rcpNo=20260528000755", "공시열람")</f>
        <v/>
      </c>
    </row>
    <row r="1931" ht="22" customHeight="1">
      <c r="A1931" s="2" t="inlineStr">
        <is>
          <t>2026-05-28</t>
        </is>
      </c>
      <c r="B1931" s="3" t="inlineStr">
        <is>
          <t>엔지켐생명과학</t>
        </is>
      </c>
      <c r="C1931" s="2" t="inlineStr">
        <is>
          <t>183490</t>
        </is>
      </c>
      <c r="D1931" s="2" t="inlineStr">
        <is>
          <t>대량보유</t>
        </is>
      </c>
      <c r="E1931" s="3" t="inlineStr">
        <is>
          <t>박은혜</t>
        </is>
      </c>
      <c r="F1931" s="3" t="inlineStr">
        <is>
          <t>특별관계자</t>
        </is>
      </c>
      <c r="G1931" s="3" t="inlineStr">
        <is>
          <t>신규보고(+)</t>
        </is>
      </c>
      <c r="H1931" s="15" t="n">
        <v>600</v>
      </c>
      <c r="I1931" s="6" t="inlineStr"/>
      <c r="J1931" s="6" t="n">
        <v>600</v>
      </c>
      <c r="K1931" s="16" t="n">
        <v>5.95</v>
      </c>
      <c r="L1931" s="2" t="inlineStr">
        <is>
          <t>20260528000755</t>
        </is>
      </c>
      <c r="M1931" s="8">
        <f>HYPERLINK("https://dart.fss.or.kr/dsaf001/main.do?rcpNo=20260528000755", "공시열람")</f>
        <v/>
      </c>
    </row>
    <row r="1932" ht="22" customHeight="1">
      <c r="A1932" s="2" t="inlineStr">
        <is>
          <t>2026-05-28</t>
        </is>
      </c>
      <c r="B1932" s="3" t="inlineStr">
        <is>
          <t>엔지켐생명과학</t>
        </is>
      </c>
      <c r="C1932" s="2" t="inlineStr">
        <is>
          <t>183490</t>
        </is>
      </c>
      <c r="D1932" s="2" t="inlineStr">
        <is>
          <t>대량보유</t>
        </is>
      </c>
      <c r="E1932" s="3" t="inlineStr">
        <is>
          <t>최우영</t>
        </is>
      </c>
      <c r="F1932" s="3" t="inlineStr">
        <is>
          <t>특별관계자</t>
        </is>
      </c>
      <c r="G1932" s="3" t="inlineStr">
        <is>
          <t>신규보고(+)</t>
        </is>
      </c>
      <c r="H1932" s="15" t="n">
        <v>2558</v>
      </c>
      <c r="I1932" s="6" t="inlineStr"/>
      <c r="J1932" s="6" t="n">
        <v>2558</v>
      </c>
      <c r="K1932" s="16" t="n">
        <v>5.95</v>
      </c>
      <c r="L1932" s="2" t="inlineStr">
        <is>
          <t>20260528000755</t>
        </is>
      </c>
      <c r="M1932" s="8">
        <f>HYPERLINK("https://dart.fss.or.kr/dsaf001/main.do?rcpNo=20260528000755", "공시열람")</f>
        <v/>
      </c>
    </row>
    <row r="1933" ht="22" customHeight="1">
      <c r="A1933" s="2" t="inlineStr">
        <is>
          <t>2026-05-28</t>
        </is>
      </c>
      <c r="B1933" s="3" t="inlineStr">
        <is>
          <t>엔지켐생명과학</t>
        </is>
      </c>
      <c r="C1933" s="2" t="inlineStr">
        <is>
          <t>183490</t>
        </is>
      </c>
      <c r="D1933" s="2" t="inlineStr">
        <is>
          <t>대량보유</t>
        </is>
      </c>
      <c r="E1933" s="3" t="inlineStr">
        <is>
          <t>함덕현</t>
        </is>
      </c>
      <c r="F1933" s="3" t="inlineStr">
        <is>
          <t>특별관계자</t>
        </is>
      </c>
      <c r="G1933" s="3" t="inlineStr">
        <is>
          <t>신규보고(+)</t>
        </is>
      </c>
      <c r="H1933" s="15" t="n">
        <v>3965</v>
      </c>
      <c r="I1933" s="6" t="inlineStr"/>
      <c r="J1933" s="6" t="n">
        <v>3965</v>
      </c>
      <c r="K1933" s="16" t="n">
        <v>5.95</v>
      </c>
      <c r="L1933" s="2" t="inlineStr">
        <is>
          <t>20260528000755</t>
        </is>
      </c>
      <c r="M1933" s="8">
        <f>HYPERLINK("https://dart.fss.or.kr/dsaf001/main.do?rcpNo=20260528000755", "공시열람")</f>
        <v/>
      </c>
    </row>
    <row r="1934" ht="22" customHeight="1">
      <c r="A1934" s="2" t="inlineStr">
        <is>
          <t>2026-05-28</t>
        </is>
      </c>
      <c r="B1934" s="3" t="inlineStr">
        <is>
          <t>엔지켐생명과학</t>
        </is>
      </c>
      <c r="C1934" s="2" t="inlineStr">
        <is>
          <t>183490</t>
        </is>
      </c>
      <c r="D1934" s="2" t="inlineStr">
        <is>
          <t>대량보유</t>
        </is>
      </c>
      <c r="E1934" s="3" t="inlineStr">
        <is>
          <t>전세준</t>
        </is>
      </c>
      <c r="F1934" s="3" t="inlineStr">
        <is>
          <t>특별관계자</t>
        </is>
      </c>
      <c r="G1934" s="3" t="inlineStr">
        <is>
          <t>신규보고(+)</t>
        </is>
      </c>
      <c r="H1934" s="15" t="n">
        <v>10319</v>
      </c>
      <c r="I1934" s="6" t="inlineStr"/>
      <c r="J1934" s="6" t="n">
        <v>10319</v>
      </c>
      <c r="K1934" s="16" t="n">
        <v>5.95</v>
      </c>
      <c r="L1934" s="2" t="inlineStr">
        <is>
          <t>20260528000755</t>
        </is>
      </c>
      <c r="M1934" s="8">
        <f>HYPERLINK("https://dart.fss.or.kr/dsaf001/main.do?rcpNo=20260528000755", "공시열람")</f>
        <v/>
      </c>
    </row>
    <row r="1935" ht="22" customHeight="1">
      <c r="A1935" s="2" t="inlineStr">
        <is>
          <t>2026-05-28</t>
        </is>
      </c>
      <c r="B1935" s="3" t="inlineStr">
        <is>
          <t>엔지켐생명과학</t>
        </is>
      </c>
      <c r="C1935" s="2" t="inlineStr">
        <is>
          <t>183490</t>
        </is>
      </c>
      <c r="D1935" s="2" t="inlineStr">
        <is>
          <t>대량보유</t>
        </is>
      </c>
      <c r="E1935" s="3" t="inlineStr">
        <is>
          <t>김미정</t>
        </is>
      </c>
      <c r="F1935" s="3" t="inlineStr">
        <is>
          <t>특별관계자</t>
        </is>
      </c>
      <c r="G1935" s="3" t="inlineStr">
        <is>
          <t>신규보고(+)</t>
        </is>
      </c>
      <c r="H1935" s="15" t="n">
        <v>250</v>
      </c>
      <c r="I1935" s="6" t="inlineStr"/>
      <c r="J1935" s="6" t="n">
        <v>250</v>
      </c>
      <c r="K1935" s="16" t="n">
        <v>5.95</v>
      </c>
      <c r="L1935" s="2" t="inlineStr">
        <is>
          <t>20260528000755</t>
        </is>
      </c>
      <c r="M1935" s="8">
        <f>HYPERLINK("https://dart.fss.or.kr/dsaf001/main.do?rcpNo=20260528000755", "공시열람")</f>
        <v/>
      </c>
    </row>
    <row r="1936" ht="22" customHeight="1">
      <c r="A1936" s="2" t="inlineStr">
        <is>
          <t>2026-05-28</t>
        </is>
      </c>
      <c r="B1936" s="3" t="inlineStr">
        <is>
          <t>엔지켐생명과학</t>
        </is>
      </c>
      <c r="C1936" s="2" t="inlineStr">
        <is>
          <t>183490</t>
        </is>
      </c>
      <c r="D1936" s="2" t="inlineStr">
        <is>
          <t>대량보유</t>
        </is>
      </c>
      <c r="E1936" s="3" t="inlineStr">
        <is>
          <t>김삼덕</t>
        </is>
      </c>
      <c r="F1936" s="3" t="inlineStr">
        <is>
          <t>특별관계자</t>
        </is>
      </c>
      <c r="G1936" s="3" t="inlineStr">
        <is>
          <t>신규보고(+)</t>
        </is>
      </c>
      <c r="H1936" s="15" t="n">
        <v>49150</v>
      </c>
      <c r="I1936" s="6" t="inlineStr"/>
      <c r="J1936" s="6" t="n">
        <v>49150</v>
      </c>
      <c r="K1936" s="16" t="n">
        <v>5.95</v>
      </c>
      <c r="L1936" s="2" t="inlineStr">
        <is>
          <t>20260528000755</t>
        </is>
      </c>
      <c r="M1936" s="8">
        <f>HYPERLINK("https://dart.fss.or.kr/dsaf001/main.do?rcpNo=20260528000755", "공시열람")</f>
        <v/>
      </c>
    </row>
    <row r="1937" ht="22" customHeight="1">
      <c r="A1937" s="2" t="inlineStr">
        <is>
          <t>2026-05-28</t>
        </is>
      </c>
      <c r="B1937" s="3" t="inlineStr">
        <is>
          <t>엔지켐생명과학</t>
        </is>
      </c>
      <c r="C1937" s="2" t="inlineStr">
        <is>
          <t>183490</t>
        </is>
      </c>
      <c r="D1937" s="2" t="inlineStr">
        <is>
          <t>대량보유</t>
        </is>
      </c>
      <c r="E1937" s="3" t="inlineStr">
        <is>
          <t>김기환</t>
        </is>
      </c>
      <c r="F1937" s="3" t="inlineStr">
        <is>
          <t>특별관계자</t>
        </is>
      </c>
      <c r="G1937" s="3" t="inlineStr">
        <is>
          <t>신규보고(+)</t>
        </is>
      </c>
      <c r="H1937" s="15" t="n">
        <v>7181</v>
      </c>
      <c r="I1937" s="6" t="inlineStr"/>
      <c r="J1937" s="6" t="n">
        <v>7181</v>
      </c>
      <c r="K1937" s="16" t="n">
        <v>5.95</v>
      </c>
      <c r="L1937" s="2" t="inlineStr">
        <is>
          <t>20260528000755</t>
        </is>
      </c>
      <c r="M1937" s="8">
        <f>HYPERLINK("https://dart.fss.or.kr/dsaf001/main.do?rcpNo=20260528000755", "공시열람")</f>
        <v/>
      </c>
    </row>
    <row r="1938" ht="22" customHeight="1">
      <c r="A1938" s="2" t="inlineStr">
        <is>
          <t>2026-05-28</t>
        </is>
      </c>
      <c r="B1938" s="3" t="inlineStr">
        <is>
          <t>엔지켐생명과학</t>
        </is>
      </c>
      <c r="C1938" s="2" t="inlineStr">
        <is>
          <t>183490</t>
        </is>
      </c>
      <c r="D1938" s="2" t="inlineStr">
        <is>
          <t>대량보유</t>
        </is>
      </c>
      <c r="E1938" s="3" t="inlineStr">
        <is>
          <t>박정우</t>
        </is>
      </c>
      <c r="F1938" s="3" t="inlineStr">
        <is>
          <t>특별관계자</t>
        </is>
      </c>
      <c r="G1938" s="3" t="inlineStr">
        <is>
          <t>신규보고(+)</t>
        </is>
      </c>
      <c r="H1938" s="15" t="n">
        <v>8980</v>
      </c>
      <c r="I1938" s="6" t="inlineStr"/>
      <c r="J1938" s="6" t="n">
        <v>8980</v>
      </c>
      <c r="K1938" s="16" t="n">
        <v>5.95</v>
      </c>
      <c r="L1938" s="2" t="inlineStr">
        <is>
          <t>20260528000755</t>
        </is>
      </c>
      <c r="M1938" s="8">
        <f>HYPERLINK("https://dart.fss.or.kr/dsaf001/main.do?rcpNo=20260528000755", "공시열람")</f>
        <v/>
      </c>
    </row>
    <row r="1939" ht="22" customHeight="1">
      <c r="A1939" s="2" t="inlineStr">
        <is>
          <t>2026-05-28</t>
        </is>
      </c>
      <c r="B1939" s="3" t="inlineStr">
        <is>
          <t>엔지켐생명과학</t>
        </is>
      </c>
      <c r="C1939" s="2" t="inlineStr">
        <is>
          <t>183490</t>
        </is>
      </c>
      <c r="D1939" s="2" t="inlineStr">
        <is>
          <t>대량보유</t>
        </is>
      </c>
      <c r="E1939" s="3" t="inlineStr">
        <is>
          <t>유호태</t>
        </is>
      </c>
      <c r="F1939" s="3" t="inlineStr">
        <is>
          <t>특별관계자</t>
        </is>
      </c>
      <c r="G1939" s="3" t="inlineStr">
        <is>
          <t>신규보고(+)</t>
        </is>
      </c>
      <c r="H1939" s="15" t="n">
        <v>32032</v>
      </c>
      <c r="I1939" s="6" t="inlineStr"/>
      <c r="J1939" s="6" t="n">
        <v>32032</v>
      </c>
      <c r="K1939" s="16" t="n">
        <v>5.95</v>
      </c>
      <c r="L1939" s="2" t="inlineStr">
        <is>
          <t>20260528000755</t>
        </is>
      </c>
      <c r="M1939" s="8">
        <f>HYPERLINK("https://dart.fss.or.kr/dsaf001/main.do?rcpNo=20260528000755", "공시열람")</f>
        <v/>
      </c>
    </row>
    <row r="1940" ht="22" customHeight="1">
      <c r="A1940" s="2" t="inlineStr">
        <is>
          <t>2026-05-28</t>
        </is>
      </c>
      <c r="B1940" s="3" t="inlineStr">
        <is>
          <t>엔지켐생명과학</t>
        </is>
      </c>
      <c r="C1940" s="2" t="inlineStr">
        <is>
          <t>183490</t>
        </is>
      </c>
      <c r="D1940" s="2" t="inlineStr">
        <is>
          <t>대량보유</t>
        </is>
      </c>
      <c r="E1940" s="3" t="inlineStr">
        <is>
          <t>서경호</t>
        </is>
      </c>
      <c r="F1940" s="3" t="inlineStr">
        <is>
          <t>특별관계자</t>
        </is>
      </c>
      <c r="G1940" s="3" t="inlineStr">
        <is>
          <t>신규보고(+)</t>
        </is>
      </c>
      <c r="H1940" s="15" t="n">
        <v>13900</v>
      </c>
      <c r="I1940" s="6" t="inlineStr"/>
      <c r="J1940" s="6" t="n">
        <v>13900</v>
      </c>
      <c r="K1940" s="16" t="n">
        <v>5.95</v>
      </c>
      <c r="L1940" s="2" t="inlineStr">
        <is>
          <t>20260528000755</t>
        </is>
      </c>
      <c r="M1940" s="8">
        <f>HYPERLINK("https://dart.fss.or.kr/dsaf001/main.do?rcpNo=20260528000755", "공시열람")</f>
        <v/>
      </c>
    </row>
    <row r="1941" ht="22" customHeight="1">
      <c r="A1941" s="2" t="inlineStr">
        <is>
          <t>2026-05-28</t>
        </is>
      </c>
      <c r="B1941" s="3" t="inlineStr">
        <is>
          <t>엔지켐생명과학</t>
        </is>
      </c>
      <c r="C1941" s="2" t="inlineStr">
        <is>
          <t>183490</t>
        </is>
      </c>
      <c r="D1941" s="2" t="inlineStr">
        <is>
          <t>대량보유</t>
        </is>
      </c>
      <c r="E1941" s="3" t="inlineStr">
        <is>
          <t>이승준</t>
        </is>
      </c>
      <c r="F1941" s="3" t="inlineStr">
        <is>
          <t>특별관계자</t>
        </is>
      </c>
      <c r="G1941" s="3" t="inlineStr">
        <is>
          <t>신규보고(+)</t>
        </is>
      </c>
      <c r="H1941" s="15" t="n">
        <v>480</v>
      </c>
      <c r="I1941" s="6" t="inlineStr"/>
      <c r="J1941" s="6" t="n">
        <v>480</v>
      </c>
      <c r="K1941" s="16" t="n">
        <v>5.95</v>
      </c>
      <c r="L1941" s="2" t="inlineStr">
        <is>
          <t>20260528000755</t>
        </is>
      </c>
      <c r="M1941" s="8">
        <f>HYPERLINK("https://dart.fss.or.kr/dsaf001/main.do?rcpNo=20260528000755", "공시열람")</f>
        <v/>
      </c>
    </row>
    <row r="1942" ht="22" customHeight="1">
      <c r="A1942" s="2" t="inlineStr">
        <is>
          <t>2026-05-28</t>
        </is>
      </c>
      <c r="B1942" s="3" t="inlineStr">
        <is>
          <t>엔지켐생명과학</t>
        </is>
      </c>
      <c r="C1942" s="2" t="inlineStr">
        <is>
          <t>183490</t>
        </is>
      </c>
      <c r="D1942" s="2" t="inlineStr">
        <is>
          <t>대량보유</t>
        </is>
      </c>
      <c r="E1942" s="3" t="inlineStr">
        <is>
          <t>온초현</t>
        </is>
      </c>
      <c r="F1942" s="3" t="inlineStr">
        <is>
          <t>특별관계자</t>
        </is>
      </c>
      <c r="G1942" s="3" t="inlineStr">
        <is>
          <t>신규보고(+)</t>
        </is>
      </c>
      <c r="H1942" s="15" t="n">
        <v>3672</v>
      </c>
      <c r="I1942" s="6" t="inlineStr"/>
      <c r="J1942" s="6" t="n">
        <v>3672</v>
      </c>
      <c r="K1942" s="16" t="n">
        <v>5.95</v>
      </c>
      <c r="L1942" s="2" t="inlineStr">
        <is>
          <t>20260528000755</t>
        </is>
      </c>
      <c r="M1942" s="8">
        <f>HYPERLINK("https://dart.fss.or.kr/dsaf001/main.do?rcpNo=20260528000755", "공시열람")</f>
        <v/>
      </c>
    </row>
    <row r="1943" ht="22" customHeight="1">
      <c r="A1943" s="2" t="inlineStr">
        <is>
          <t>2026-05-28</t>
        </is>
      </c>
      <c r="B1943" s="3" t="inlineStr">
        <is>
          <t>엔지켐생명과학</t>
        </is>
      </c>
      <c r="C1943" s="2" t="inlineStr">
        <is>
          <t>183490</t>
        </is>
      </c>
      <c r="D1943" s="2" t="inlineStr">
        <is>
          <t>대량보유</t>
        </is>
      </c>
      <c r="E1943" s="3" t="inlineStr">
        <is>
          <t>이명희</t>
        </is>
      </c>
      <c r="F1943" s="3" t="inlineStr">
        <is>
          <t>특별관계자</t>
        </is>
      </c>
      <c r="G1943" s="3" t="inlineStr">
        <is>
          <t>신규보고(+)</t>
        </is>
      </c>
      <c r="H1943" s="15" t="n">
        <v>42467</v>
      </c>
      <c r="I1943" s="6" t="inlineStr"/>
      <c r="J1943" s="6" t="n">
        <v>42467</v>
      </c>
      <c r="K1943" s="16" t="n">
        <v>5.95</v>
      </c>
      <c r="L1943" s="2" t="inlineStr">
        <is>
          <t>20260528000755</t>
        </is>
      </c>
      <c r="M1943" s="8">
        <f>HYPERLINK("https://dart.fss.or.kr/dsaf001/main.do?rcpNo=20260528000755", "공시열람")</f>
        <v/>
      </c>
    </row>
    <row r="1944" ht="22" customHeight="1">
      <c r="A1944" s="2" t="inlineStr">
        <is>
          <t>2026-05-28</t>
        </is>
      </c>
      <c r="B1944" s="3" t="inlineStr">
        <is>
          <t>엔지켐생명과학</t>
        </is>
      </c>
      <c r="C1944" s="2" t="inlineStr">
        <is>
          <t>183490</t>
        </is>
      </c>
      <c r="D1944" s="2" t="inlineStr">
        <is>
          <t>대량보유</t>
        </is>
      </c>
      <c r="E1944" s="3" t="inlineStr">
        <is>
          <t>박종관</t>
        </is>
      </c>
      <c r="F1944" s="3" t="inlineStr">
        <is>
          <t>특별관계자</t>
        </is>
      </c>
      <c r="G1944" s="3" t="inlineStr">
        <is>
          <t>신규보고(+)</t>
        </is>
      </c>
      <c r="H1944" s="15" t="n">
        <v>8559</v>
      </c>
      <c r="I1944" s="6" t="inlineStr"/>
      <c r="J1944" s="6" t="n">
        <v>8559</v>
      </c>
      <c r="K1944" s="16" t="n">
        <v>5.95</v>
      </c>
      <c r="L1944" s="2" t="inlineStr">
        <is>
          <t>20260528000755</t>
        </is>
      </c>
      <c r="M1944" s="8">
        <f>HYPERLINK("https://dart.fss.or.kr/dsaf001/main.do?rcpNo=20260528000755", "공시열람")</f>
        <v/>
      </c>
    </row>
    <row r="1945" ht="22" customHeight="1">
      <c r="A1945" s="2" t="inlineStr">
        <is>
          <t>2026-05-28</t>
        </is>
      </c>
      <c r="B1945" s="3" t="inlineStr">
        <is>
          <t>엔지켐생명과학</t>
        </is>
      </c>
      <c r="C1945" s="2" t="inlineStr">
        <is>
          <t>183490</t>
        </is>
      </c>
      <c r="D1945" s="2" t="inlineStr">
        <is>
          <t>대량보유</t>
        </is>
      </c>
      <c r="E1945" s="3" t="inlineStr">
        <is>
          <t>은기남</t>
        </is>
      </c>
      <c r="F1945" s="3" t="inlineStr">
        <is>
          <t>특별관계자</t>
        </is>
      </c>
      <c r="G1945" s="3" t="inlineStr">
        <is>
          <t>신규보고(+)</t>
        </is>
      </c>
      <c r="H1945" s="15" t="n">
        <v>47793</v>
      </c>
      <c r="I1945" s="6" t="inlineStr"/>
      <c r="J1945" s="6" t="n">
        <v>47793</v>
      </c>
      <c r="K1945" s="16" t="n">
        <v>5.95</v>
      </c>
      <c r="L1945" s="2" t="inlineStr">
        <is>
          <t>20260528000755</t>
        </is>
      </c>
      <c r="M1945" s="8">
        <f>HYPERLINK("https://dart.fss.or.kr/dsaf001/main.do?rcpNo=20260528000755", "공시열람")</f>
        <v/>
      </c>
    </row>
    <row r="1946" ht="22" customHeight="1">
      <c r="A1946" s="2" t="inlineStr">
        <is>
          <t>2026-05-28</t>
        </is>
      </c>
      <c r="B1946" s="3" t="inlineStr">
        <is>
          <t>엔지켐생명과학</t>
        </is>
      </c>
      <c r="C1946" s="2" t="inlineStr">
        <is>
          <t>183490</t>
        </is>
      </c>
      <c r="D1946" s="2" t="inlineStr">
        <is>
          <t>대량보유</t>
        </is>
      </c>
      <c r="E1946" s="3" t="inlineStr">
        <is>
          <t>신진우</t>
        </is>
      </c>
      <c r="F1946" s="3" t="inlineStr">
        <is>
          <t>특별관계자</t>
        </is>
      </c>
      <c r="G1946" s="3" t="inlineStr">
        <is>
          <t>신규보고(+)</t>
        </is>
      </c>
      <c r="H1946" s="15" t="n">
        <v>22000</v>
      </c>
      <c r="I1946" s="6" t="inlineStr"/>
      <c r="J1946" s="6" t="n">
        <v>22000</v>
      </c>
      <c r="K1946" s="16" t="n">
        <v>5.95</v>
      </c>
      <c r="L1946" s="2" t="inlineStr">
        <is>
          <t>20260528000755</t>
        </is>
      </c>
      <c r="M1946" s="8">
        <f>HYPERLINK("https://dart.fss.or.kr/dsaf001/main.do?rcpNo=20260528000755", "공시열람")</f>
        <v/>
      </c>
    </row>
    <row r="1947" ht="22" customHeight="1">
      <c r="A1947" s="2" t="inlineStr">
        <is>
          <t>2026-05-28</t>
        </is>
      </c>
      <c r="B1947" s="3" t="inlineStr">
        <is>
          <t>엔지켐생명과학</t>
        </is>
      </c>
      <c r="C1947" s="2" t="inlineStr">
        <is>
          <t>183490</t>
        </is>
      </c>
      <c r="D1947" s="2" t="inlineStr">
        <is>
          <t>대량보유</t>
        </is>
      </c>
      <c r="E1947" s="3" t="inlineStr">
        <is>
          <t>박정호</t>
        </is>
      </c>
      <c r="F1947" s="3" t="inlineStr">
        <is>
          <t>특별관계자</t>
        </is>
      </c>
      <c r="G1947" s="3" t="inlineStr">
        <is>
          <t>신규보고(+)</t>
        </is>
      </c>
      <c r="H1947" s="15" t="n">
        <v>4237</v>
      </c>
      <c r="I1947" s="6" t="inlineStr"/>
      <c r="J1947" s="6" t="n">
        <v>4237</v>
      </c>
      <c r="K1947" s="16" t="n">
        <v>5.95</v>
      </c>
      <c r="L1947" s="2" t="inlineStr">
        <is>
          <t>20260528000755</t>
        </is>
      </c>
      <c r="M1947" s="8">
        <f>HYPERLINK("https://dart.fss.or.kr/dsaf001/main.do?rcpNo=20260528000755", "공시열람")</f>
        <v/>
      </c>
    </row>
    <row r="1948" ht="22" customHeight="1">
      <c r="A1948" s="2" t="inlineStr">
        <is>
          <t>2026-05-28</t>
        </is>
      </c>
      <c r="B1948" s="3" t="inlineStr">
        <is>
          <t>엔지켐생명과학</t>
        </is>
      </c>
      <c r="C1948" s="2" t="inlineStr">
        <is>
          <t>183490</t>
        </is>
      </c>
      <c r="D1948" s="2" t="inlineStr">
        <is>
          <t>대량보유</t>
        </is>
      </c>
      <c r="E1948" s="3" t="inlineStr">
        <is>
          <t>이도경</t>
        </is>
      </c>
      <c r="F1948" s="3" t="inlineStr">
        <is>
          <t>특별관계자</t>
        </is>
      </c>
      <c r="G1948" s="3" t="inlineStr">
        <is>
          <t>신규보고(+)</t>
        </is>
      </c>
      <c r="H1948" s="15" t="n">
        <v>63419</v>
      </c>
      <c r="I1948" s="6" t="inlineStr"/>
      <c r="J1948" s="6" t="n">
        <v>63419</v>
      </c>
      <c r="K1948" s="16" t="n">
        <v>5.95</v>
      </c>
      <c r="L1948" s="2" t="inlineStr">
        <is>
          <t>20260528000755</t>
        </is>
      </c>
      <c r="M1948" s="8">
        <f>HYPERLINK("https://dart.fss.or.kr/dsaf001/main.do?rcpNo=20260528000755", "공시열람")</f>
        <v/>
      </c>
    </row>
    <row r="1949" ht="22" customHeight="1">
      <c r="A1949" s="2" t="inlineStr">
        <is>
          <t>2026-05-28</t>
        </is>
      </c>
      <c r="B1949" s="3" t="inlineStr">
        <is>
          <t>엔지켐생명과학</t>
        </is>
      </c>
      <c r="C1949" s="2" t="inlineStr">
        <is>
          <t>183490</t>
        </is>
      </c>
      <c r="D1949" s="2" t="inlineStr">
        <is>
          <t>대량보유</t>
        </is>
      </c>
      <c r="E1949" s="3" t="inlineStr">
        <is>
          <t>신현기</t>
        </is>
      </c>
      <c r="F1949" s="3" t="inlineStr">
        <is>
          <t>특별관계자</t>
        </is>
      </c>
      <c r="G1949" s="3" t="inlineStr">
        <is>
          <t>신규보고(+)</t>
        </is>
      </c>
      <c r="H1949" s="15" t="n">
        <v>7800</v>
      </c>
      <c r="I1949" s="6" t="inlineStr"/>
      <c r="J1949" s="6" t="n">
        <v>7800</v>
      </c>
      <c r="K1949" s="16" t="n">
        <v>5.95</v>
      </c>
      <c r="L1949" s="2" t="inlineStr">
        <is>
          <t>20260528000755</t>
        </is>
      </c>
      <c r="M1949" s="8">
        <f>HYPERLINK("https://dart.fss.or.kr/dsaf001/main.do?rcpNo=20260528000755", "공시열람")</f>
        <v/>
      </c>
    </row>
    <row r="1950" ht="22" customHeight="1">
      <c r="A1950" s="2" t="inlineStr">
        <is>
          <t>2026-05-28</t>
        </is>
      </c>
      <c r="B1950" s="3" t="inlineStr">
        <is>
          <t>엔지켐생명과학</t>
        </is>
      </c>
      <c r="C1950" s="2" t="inlineStr">
        <is>
          <t>183490</t>
        </is>
      </c>
      <c r="D1950" s="2" t="inlineStr">
        <is>
          <t>대량보유</t>
        </is>
      </c>
      <c r="E1950" s="3" t="inlineStr">
        <is>
          <t>최정원</t>
        </is>
      </c>
      <c r="F1950" s="3" t="inlineStr">
        <is>
          <t>특별관계자</t>
        </is>
      </c>
      <c r="G1950" s="3" t="inlineStr">
        <is>
          <t>신규보고(+)</t>
        </is>
      </c>
      <c r="H1950" s="15" t="n">
        <v>180</v>
      </c>
      <c r="I1950" s="6" t="inlineStr"/>
      <c r="J1950" s="6" t="n">
        <v>180</v>
      </c>
      <c r="K1950" s="16" t="n">
        <v>5.95</v>
      </c>
      <c r="L1950" s="2" t="inlineStr">
        <is>
          <t>20260528000755</t>
        </is>
      </c>
      <c r="M1950" s="8">
        <f>HYPERLINK("https://dart.fss.or.kr/dsaf001/main.do?rcpNo=20260528000755", "공시열람")</f>
        <v/>
      </c>
    </row>
    <row r="1951" ht="22" customHeight="1">
      <c r="A1951" s="2" t="inlineStr">
        <is>
          <t>2026-05-28</t>
        </is>
      </c>
      <c r="B1951" s="3" t="inlineStr">
        <is>
          <t>엔지켐생명과학</t>
        </is>
      </c>
      <c r="C1951" s="2" t="inlineStr">
        <is>
          <t>183490</t>
        </is>
      </c>
      <c r="D1951" s="2" t="inlineStr">
        <is>
          <t>대량보유</t>
        </is>
      </c>
      <c r="E1951" s="3" t="inlineStr">
        <is>
          <t>황선화</t>
        </is>
      </c>
      <c r="F1951" s="3" t="inlineStr">
        <is>
          <t>특별관계자</t>
        </is>
      </c>
      <c r="G1951" s="3" t="inlineStr">
        <is>
          <t>신규보고(+)</t>
        </is>
      </c>
      <c r="H1951" s="15" t="n">
        <v>98000</v>
      </c>
      <c r="I1951" s="6" t="inlineStr"/>
      <c r="J1951" s="6" t="n">
        <v>98000</v>
      </c>
      <c r="K1951" s="16" t="n">
        <v>5.95</v>
      </c>
      <c r="L1951" s="2" t="inlineStr">
        <is>
          <t>20260528000755</t>
        </is>
      </c>
      <c r="M1951" s="8">
        <f>HYPERLINK("https://dart.fss.or.kr/dsaf001/main.do?rcpNo=20260528000755", "공시열람")</f>
        <v/>
      </c>
    </row>
    <row r="1952" ht="22" customHeight="1">
      <c r="A1952" s="2" t="inlineStr">
        <is>
          <t>2026-05-28</t>
        </is>
      </c>
      <c r="B1952" s="3" t="inlineStr">
        <is>
          <t>엔지켐생명과학</t>
        </is>
      </c>
      <c r="C1952" s="2" t="inlineStr">
        <is>
          <t>183490</t>
        </is>
      </c>
      <c r="D1952" s="2" t="inlineStr">
        <is>
          <t>대량보유</t>
        </is>
      </c>
      <c r="E1952" s="3" t="inlineStr">
        <is>
          <t>정인혜</t>
        </is>
      </c>
      <c r="F1952" s="3" t="inlineStr">
        <is>
          <t>특별관계자</t>
        </is>
      </c>
      <c r="G1952" s="3" t="inlineStr">
        <is>
          <t>신규보고(+)</t>
        </is>
      </c>
      <c r="H1952" s="15" t="n">
        <v>468</v>
      </c>
      <c r="I1952" s="6" t="inlineStr"/>
      <c r="J1952" s="6" t="n">
        <v>468</v>
      </c>
      <c r="K1952" s="16" t="n">
        <v>5.95</v>
      </c>
      <c r="L1952" s="2" t="inlineStr">
        <is>
          <t>20260528000755</t>
        </is>
      </c>
      <c r="M1952" s="8">
        <f>HYPERLINK("https://dart.fss.or.kr/dsaf001/main.do?rcpNo=20260528000755", "공시열람")</f>
        <v/>
      </c>
    </row>
    <row r="1953" ht="22" customHeight="1">
      <c r="A1953" s="2" t="inlineStr">
        <is>
          <t>2026-05-28</t>
        </is>
      </c>
      <c r="B1953" s="3" t="inlineStr">
        <is>
          <t>엔지켐생명과학</t>
        </is>
      </c>
      <c r="C1953" s="2" t="inlineStr">
        <is>
          <t>183490</t>
        </is>
      </c>
      <c r="D1953" s="2" t="inlineStr">
        <is>
          <t>대량보유</t>
        </is>
      </c>
      <c r="E1953" s="3" t="inlineStr">
        <is>
          <t>이현주</t>
        </is>
      </c>
      <c r="F1953" s="3" t="inlineStr">
        <is>
          <t>특별관계자</t>
        </is>
      </c>
      <c r="G1953" s="3" t="inlineStr">
        <is>
          <t>신규보고(+)</t>
        </is>
      </c>
      <c r="H1953" s="15" t="n">
        <v>3000</v>
      </c>
      <c r="I1953" s="6" t="inlineStr"/>
      <c r="J1953" s="6" t="n">
        <v>3000</v>
      </c>
      <c r="K1953" s="16" t="n">
        <v>5.95</v>
      </c>
      <c r="L1953" s="2" t="inlineStr">
        <is>
          <t>20260528000755</t>
        </is>
      </c>
      <c r="M1953" s="8">
        <f>HYPERLINK("https://dart.fss.or.kr/dsaf001/main.do?rcpNo=20260528000755", "공시열람")</f>
        <v/>
      </c>
    </row>
    <row r="1954" ht="22" customHeight="1">
      <c r="A1954" s="2" t="inlineStr">
        <is>
          <t>2026-05-28</t>
        </is>
      </c>
      <c r="B1954" s="3" t="inlineStr">
        <is>
          <t>엔지켐생명과학</t>
        </is>
      </c>
      <c r="C1954" s="2" t="inlineStr">
        <is>
          <t>183490</t>
        </is>
      </c>
      <c r="D1954" s="2" t="inlineStr">
        <is>
          <t>대량보유</t>
        </is>
      </c>
      <c r="E1954" s="3" t="inlineStr">
        <is>
          <t>김종철</t>
        </is>
      </c>
      <c r="F1954" s="3" t="inlineStr">
        <is>
          <t>특별관계자</t>
        </is>
      </c>
      <c r="G1954" s="3" t="inlineStr">
        <is>
          <t>신규보고(+)</t>
        </is>
      </c>
      <c r="H1954" s="15" t="n">
        <v>41659</v>
      </c>
      <c r="I1954" s="6" t="inlineStr"/>
      <c r="J1954" s="6" t="n">
        <v>41659</v>
      </c>
      <c r="K1954" s="16" t="n">
        <v>5.95</v>
      </c>
      <c r="L1954" s="2" t="inlineStr">
        <is>
          <t>20260528000755</t>
        </is>
      </c>
      <c r="M1954" s="8">
        <f>HYPERLINK("https://dart.fss.or.kr/dsaf001/main.do?rcpNo=20260528000755", "공시열람")</f>
        <v/>
      </c>
    </row>
    <row r="1955" ht="22" customHeight="1">
      <c r="A1955" s="2" t="inlineStr">
        <is>
          <t>2026-05-28</t>
        </is>
      </c>
      <c r="B1955" s="3" t="inlineStr">
        <is>
          <t>엔지켐생명과학</t>
        </is>
      </c>
      <c r="C1955" s="2" t="inlineStr">
        <is>
          <t>183490</t>
        </is>
      </c>
      <c r="D1955" s="2" t="inlineStr">
        <is>
          <t>대량보유</t>
        </is>
      </c>
      <c r="E1955" s="3" t="inlineStr">
        <is>
          <t>김복자</t>
        </is>
      </c>
      <c r="F1955" s="3" t="inlineStr">
        <is>
          <t>특별관계자</t>
        </is>
      </c>
      <c r="G1955" s="3" t="inlineStr">
        <is>
          <t>신규보고(+)</t>
        </is>
      </c>
      <c r="H1955" s="15" t="n">
        <v>53000</v>
      </c>
      <c r="I1955" s="6" t="inlineStr"/>
      <c r="J1955" s="6" t="n">
        <v>53000</v>
      </c>
      <c r="K1955" s="16" t="n">
        <v>5.95</v>
      </c>
      <c r="L1955" s="2" t="inlineStr">
        <is>
          <t>20260528000755</t>
        </is>
      </c>
      <c r="M1955" s="8">
        <f>HYPERLINK("https://dart.fss.or.kr/dsaf001/main.do?rcpNo=20260528000755", "공시열람")</f>
        <v/>
      </c>
    </row>
    <row r="1956" ht="22" customHeight="1">
      <c r="A1956" s="2" t="inlineStr">
        <is>
          <t>2026-05-28</t>
        </is>
      </c>
      <c r="B1956" s="3" t="inlineStr">
        <is>
          <t>엔지켐생명과학</t>
        </is>
      </c>
      <c r="C1956" s="2" t="inlineStr">
        <is>
          <t>183490</t>
        </is>
      </c>
      <c r="D1956" s="2" t="inlineStr">
        <is>
          <t>대량보유</t>
        </is>
      </c>
      <c r="E1956" s="3" t="inlineStr">
        <is>
          <t>박계령</t>
        </is>
      </c>
      <c r="F1956" s="3" t="inlineStr">
        <is>
          <t>특별관계자</t>
        </is>
      </c>
      <c r="G1956" s="3" t="inlineStr">
        <is>
          <t>신규보고(+)</t>
        </is>
      </c>
      <c r="H1956" s="15" t="n">
        <v>83000</v>
      </c>
      <c r="I1956" s="6" t="inlineStr"/>
      <c r="J1956" s="6" t="n">
        <v>83000</v>
      </c>
      <c r="K1956" s="16" t="n">
        <v>5.95</v>
      </c>
      <c r="L1956" s="2" t="inlineStr">
        <is>
          <t>20260528000755</t>
        </is>
      </c>
      <c r="M1956" s="8">
        <f>HYPERLINK("https://dart.fss.or.kr/dsaf001/main.do?rcpNo=20260528000755", "공시열람")</f>
        <v/>
      </c>
    </row>
    <row r="1957" ht="22" customHeight="1">
      <c r="A1957" s="2" t="inlineStr">
        <is>
          <t>2026-05-28</t>
        </is>
      </c>
      <c r="B1957" s="3" t="inlineStr">
        <is>
          <t>엔지켐생명과학</t>
        </is>
      </c>
      <c r="C1957" s="2" t="inlineStr">
        <is>
          <t>183490</t>
        </is>
      </c>
      <c r="D1957" s="2" t="inlineStr">
        <is>
          <t>대량보유</t>
        </is>
      </c>
      <c r="E1957" s="3" t="inlineStr">
        <is>
          <t>이정숙</t>
        </is>
      </c>
      <c r="F1957" s="3" t="inlineStr">
        <is>
          <t>특별관계자</t>
        </is>
      </c>
      <c r="G1957" s="3" t="inlineStr">
        <is>
          <t>신규보고(+)</t>
        </is>
      </c>
      <c r="H1957" s="15" t="n">
        <v>72028</v>
      </c>
      <c r="I1957" s="6" t="inlineStr"/>
      <c r="J1957" s="6" t="n">
        <v>72028</v>
      </c>
      <c r="K1957" s="16" t="n">
        <v>5.95</v>
      </c>
      <c r="L1957" s="2" t="inlineStr">
        <is>
          <t>20260528000755</t>
        </is>
      </c>
      <c r="M1957" s="8">
        <f>HYPERLINK("https://dart.fss.or.kr/dsaf001/main.do?rcpNo=20260528000755", "공시열람")</f>
        <v/>
      </c>
    </row>
    <row r="1958" ht="22" customHeight="1">
      <c r="A1958" s="2" t="inlineStr">
        <is>
          <t>2026-05-28</t>
        </is>
      </c>
      <c r="B1958" s="3" t="inlineStr">
        <is>
          <t>엔지켐생명과학</t>
        </is>
      </c>
      <c r="C1958" s="2" t="inlineStr">
        <is>
          <t>183490</t>
        </is>
      </c>
      <c r="D1958" s="2" t="inlineStr">
        <is>
          <t>대량보유</t>
        </is>
      </c>
      <c r="E1958" s="3" t="inlineStr">
        <is>
          <t>박성우</t>
        </is>
      </c>
      <c r="F1958" s="3" t="inlineStr">
        <is>
          <t>특별관계자</t>
        </is>
      </c>
      <c r="G1958" s="3" t="inlineStr">
        <is>
          <t>신규보고(+)</t>
        </is>
      </c>
      <c r="H1958" s="15" t="n">
        <v>285000</v>
      </c>
      <c r="I1958" s="6" t="inlineStr"/>
      <c r="J1958" s="6" t="n">
        <v>285000</v>
      </c>
      <c r="K1958" s="16" t="n">
        <v>5.95</v>
      </c>
      <c r="L1958" s="2" t="inlineStr">
        <is>
          <t>20260528000755</t>
        </is>
      </c>
      <c r="M1958" s="8">
        <f>HYPERLINK("https://dart.fss.or.kr/dsaf001/main.do?rcpNo=20260528000755", "공시열람")</f>
        <v/>
      </c>
    </row>
    <row r="1959" ht="22" customHeight="1">
      <c r="A1959" s="2" t="inlineStr">
        <is>
          <t>2026-05-28</t>
        </is>
      </c>
      <c r="B1959" s="3" t="inlineStr">
        <is>
          <t>엔지켐생명과학</t>
        </is>
      </c>
      <c r="C1959" s="2" t="inlineStr">
        <is>
          <t>183490</t>
        </is>
      </c>
      <c r="D1959" s="2" t="inlineStr">
        <is>
          <t>대량보유</t>
        </is>
      </c>
      <c r="E1959" s="3" t="inlineStr">
        <is>
          <t>송미성</t>
        </is>
      </c>
      <c r="F1959" s="3" t="inlineStr">
        <is>
          <t>특별관계자</t>
        </is>
      </c>
      <c r="G1959" s="3" t="inlineStr">
        <is>
          <t>신규보고(+)</t>
        </is>
      </c>
      <c r="H1959" s="15" t="n">
        <v>60090</v>
      </c>
      <c r="I1959" s="6" t="inlineStr"/>
      <c r="J1959" s="6" t="n">
        <v>60090</v>
      </c>
      <c r="K1959" s="16" t="n">
        <v>5.95</v>
      </c>
      <c r="L1959" s="2" t="inlineStr">
        <is>
          <t>20260528000755</t>
        </is>
      </c>
      <c r="M1959" s="8">
        <f>HYPERLINK("https://dart.fss.or.kr/dsaf001/main.do?rcpNo=20260528000755", "공시열람")</f>
        <v/>
      </c>
    </row>
    <row r="1960" ht="22" customHeight="1">
      <c r="A1960" s="2" t="inlineStr">
        <is>
          <t>2026-05-28</t>
        </is>
      </c>
      <c r="B1960" s="3" t="inlineStr">
        <is>
          <t>엔지켐생명과학</t>
        </is>
      </c>
      <c r="C1960" s="2" t="inlineStr">
        <is>
          <t>183490</t>
        </is>
      </c>
      <c r="D1960" s="2" t="inlineStr">
        <is>
          <t>대량보유</t>
        </is>
      </c>
      <c r="E1960" s="3" t="inlineStr">
        <is>
          <t>정영숙</t>
        </is>
      </c>
      <c r="F1960" s="3" t="inlineStr">
        <is>
          <t>특별관계자</t>
        </is>
      </c>
      <c r="G1960" s="3" t="inlineStr">
        <is>
          <t>신규보고(+)</t>
        </is>
      </c>
      <c r="H1960" s="15" t="n">
        <v>2000</v>
      </c>
      <c r="I1960" s="6" t="inlineStr"/>
      <c r="J1960" s="6" t="n">
        <v>2000</v>
      </c>
      <c r="K1960" s="16" t="n">
        <v>5.95</v>
      </c>
      <c r="L1960" s="2" t="inlineStr">
        <is>
          <t>20260528000755</t>
        </is>
      </c>
      <c r="M1960" s="8">
        <f>HYPERLINK("https://dart.fss.or.kr/dsaf001/main.do?rcpNo=20260528000755", "공시열람")</f>
        <v/>
      </c>
    </row>
    <row r="1961" ht="22" customHeight="1">
      <c r="A1961" s="2" t="inlineStr">
        <is>
          <t>2026-05-28</t>
        </is>
      </c>
      <c r="B1961" s="3" t="inlineStr">
        <is>
          <t>엔지켐생명과학</t>
        </is>
      </c>
      <c r="C1961" s="2" t="inlineStr">
        <is>
          <t>183490</t>
        </is>
      </c>
      <c r="D1961" s="2" t="inlineStr">
        <is>
          <t>대량보유</t>
        </is>
      </c>
      <c r="E1961" s="3" t="inlineStr">
        <is>
          <t>김민정</t>
        </is>
      </c>
      <c r="F1961" s="3" t="inlineStr">
        <is>
          <t>특별관계자</t>
        </is>
      </c>
      <c r="G1961" s="3" t="inlineStr">
        <is>
          <t>신규보고(+)</t>
        </is>
      </c>
      <c r="H1961" s="15" t="n">
        <v>4818</v>
      </c>
      <c r="I1961" s="6" t="inlineStr"/>
      <c r="J1961" s="6" t="n">
        <v>4818</v>
      </c>
      <c r="K1961" s="16" t="n">
        <v>5.95</v>
      </c>
      <c r="L1961" s="2" t="inlineStr">
        <is>
          <t>20260528000755</t>
        </is>
      </c>
      <c r="M1961" s="8">
        <f>HYPERLINK("https://dart.fss.or.kr/dsaf001/main.do?rcpNo=20260528000755", "공시열람")</f>
        <v/>
      </c>
    </row>
    <row r="1962" ht="22" customHeight="1">
      <c r="A1962" s="2" t="inlineStr">
        <is>
          <t>2026-05-28</t>
        </is>
      </c>
      <c r="B1962" s="3" t="inlineStr">
        <is>
          <t>엔지켐생명과학</t>
        </is>
      </c>
      <c r="C1962" s="2" t="inlineStr">
        <is>
          <t>183490</t>
        </is>
      </c>
      <c r="D1962" s="2" t="inlineStr">
        <is>
          <t>대량보유</t>
        </is>
      </c>
      <c r="E1962" s="3" t="inlineStr">
        <is>
          <t>최종환</t>
        </is>
      </c>
      <c r="F1962" s="3" t="inlineStr">
        <is>
          <t>특별관계자</t>
        </is>
      </c>
      <c r="G1962" s="3" t="inlineStr">
        <is>
          <t>신규보고(+)</t>
        </is>
      </c>
      <c r="H1962" s="15" t="n">
        <v>52311</v>
      </c>
      <c r="I1962" s="6" t="inlineStr"/>
      <c r="J1962" s="6" t="n">
        <v>52311</v>
      </c>
      <c r="K1962" s="16" t="n">
        <v>5.95</v>
      </c>
      <c r="L1962" s="2" t="inlineStr">
        <is>
          <t>20260528000755</t>
        </is>
      </c>
      <c r="M1962" s="8">
        <f>HYPERLINK("https://dart.fss.or.kr/dsaf001/main.do?rcpNo=20260528000755", "공시열람")</f>
        <v/>
      </c>
    </row>
    <row r="1963" ht="22" customHeight="1">
      <c r="A1963" s="2" t="inlineStr">
        <is>
          <t>2026-05-28</t>
        </is>
      </c>
      <c r="B1963" s="3" t="inlineStr">
        <is>
          <t>엔지켐생명과학</t>
        </is>
      </c>
      <c r="C1963" s="2" t="inlineStr">
        <is>
          <t>183490</t>
        </is>
      </c>
      <c r="D1963" s="2" t="inlineStr">
        <is>
          <t>대량보유</t>
        </is>
      </c>
      <c r="E1963" s="3" t="inlineStr">
        <is>
          <t>이창우</t>
        </is>
      </c>
      <c r="F1963" s="3" t="inlineStr">
        <is>
          <t>특별관계자</t>
        </is>
      </c>
      <c r="G1963" s="3" t="inlineStr">
        <is>
          <t>신규보고(+)</t>
        </is>
      </c>
      <c r="H1963" s="15" t="n">
        <v>3048</v>
      </c>
      <c r="I1963" s="6" t="inlineStr"/>
      <c r="J1963" s="6" t="n">
        <v>3048</v>
      </c>
      <c r="K1963" s="16" t="n">
        <v>5.95</v>
      </c>
      <c r="L1963" s="2" t="inlineStr">
        <is>
          <t>20260528000755</t>
        </is>
      </c>
      <c r="M1963" s="8">
        <f>HYPERLINK("https://dart.fss.or.kr/dsaf001/main.do?rcpNo=20260528000755", "공시열람")</f>
        <v/>
      </c>
    </row>
    <row r="1964" ht="22" customHeight="1">
      <c r="A1964" s="2" t="inlineStr">
        <is>
          <t>2026-05-28</t>
        </is>
      </c>
      <c r="B1964" s="3" t="inlineStr">
        <is>
          <t>엔지켐생명과학</t>
        </is>
      </c>
      <c r="C1964" s="2" t="inlineStr">
        <is>
          <t>183490</t>
        </is>
      </c>
      <c r="D1964" s="2" t="inlineStr">
        <is>
          <t>대량보유</t>
        </is>
      </c>
      <c r="E1964" s="3" t="inlineStr">
        <is>
          <t>김도수</t>
        </is>
      </c>
      <c r="F1964" s="3" t="inlineStr">
        <is>
          <t>특별관계자</t>
        </is>
      </c>
      <c r="G1964" s="3" t="inlineStr">
        <is>
          <t>신규보고(+)</t>
        </is>
      </c>
      <c r="H1964" s="15" t="n">
        <v>900</v>
      </c>
      <c r="I1964" s="6" t="inlineStr"/>
      <c r="J1964" s="6" t="n">
        <v>900</v>
      </c>
      <c r="K1964" s="16" t="n">
        <v>5.95</v>
      </c>
      <c r="L1964" s="2" t="inlineStr">
        <is>
          <t>20260528000755</t>
        </is>
      </c>
      <c r="M1964" s="8">
        <f>HYPERLINK("https://dart.fss.or.kr/dsaf001/main.do?rcpNo=20260528000755", "공시열람")</f>
        <v/>
      </c>
    </row>
    <row r="1965" ht="22" customHeight="1">
      <c r="A1965" s="2" t="inlineStr">
        <is>
          <t>2026-05-28</t>
        </is>
      </c>
      <c r="B1965" s="3" t="inlineStr">
        <is>
          <t>엔지켐생명과학</t>
        </is>
      </c>
      <c r="C1965" s="2" t="inlineStr">
        <is>
          <t>183490</t>
        </is>
      </c>
      <c r="D1965" s="2" t="inlineStr">
        <is>
          <t>대량보유</t>
        </is>
      </c>
      <c r="E1965" s="3" t="inlineStr">
        <is>
          <t>이희선</t>
        </is>
      </c>
      <c r="F1965" s="3" t="inlineStr">
        <is>
          <t>특별관계자</t>
        </is>
      </c>
      <c r="G1965" s="3" t="inlineStr">
        <is>
          <t>신규보고(+)</t>
        </is>
      </c>
      <c r="H1965" s="15" t="n">
        <v>3044</v>
      </c>
      <c r="I1965" s="6" t="inlineStr"/>
      <c r="J1965" s="6" t="n">
        <v>3044</v>
      </c>
      <c r="K1965" s="16" t="n">
        <v>5.95</v>
      </c>
      <c r="L1965" s="2" t="inlineStr">
        <is>
          <t>20260528000755</t>
        </is>
      </c>
      <c r="M1965" s="8">
        <f>HYPERLINK("https://dart.fss.or.kr/dsaf001/main.do?rcpNo=20260528000755", "공시열람")</f>
        <v/>
      </c>
    </row>
    <row r="1966" ht="22" customHeight="1">
      <c r="A1966" s="2" t="inlineStr">
        <is>
          <t>2026-05-28</t>
        </is>
      </c>
      <c r="B1966" s="3" t="inlineStr">
        <is>
          <t>엔지켐생명과학</t>
        </is>
      </c>
      <c r="C1966" s="2" t="inlineStr">
        <is>
          <t>183490</t>
        </is>
      </c>
      <c r="D1966" s="2" t="inlineStr">
        <is>
          <t>대량보유</t>
        </is>
      </c>
      <c r="E1966" s="3" t="inlineStr">
        <is>
          <t>유영수</t>
        </is>
      </c>
      <c r="F1966" s="3" t="inlineStr">
        <is>
          <t>특별관계자</t>
        </is>
      </c>
      <c r="G1966" s="3" t="inlineStr">
        <is>
          <t>신규보고(+)</t>
        </is>
      </c>
      <c r="H1966" s="15" t="n">
        <v>10500</v>
      </c>
      <c r="I1966" s="6" t="inlineStr"/>
      <c r="J1966" s="6" t="n">
        <v>10500</v>
      </c>
      <c r="K1966" s="16" t="n">
        <v>5.95</v>
      </c>
      <c r="L1966" s="2" t="inlineStr">
        <is>
          <t>20260528000755</t>
        </is>
      </c>
      <c r="M1966" s="8">
        <f>HYPERLINK("https://dart.fss.or.kr/dsaf001/main.do?rcpNo=20260528000755", "공시열람")</f>
        <v/>
      </c>
    </row>
    <row r="1967" ht="22" customHeight="1">
      <c r="A1967" s="2" t="inlineStr">
        <is>
          <t>2026-05-28</t>
        </is>
      </c>
      <c r="B1967" s="3" t="inlineStr">
        <is>
          <t>엔지켐생명과학</t>
        </is>
      </c>
      <c r="C1967" s="2" t="inlineStr">
        <is>
          <t>183490</t>
        </is>
      </c>
      <c r="D1967" s="2" t="inlineStr">
        <is>
          <t>대량보유</t>
        </is>
      </c>
      <c r="E1967" s="3" t="inlineStr">
        <is>
          <t>주준기</t>
        </is>
      </c>
      <c r="F1967" s="3" t="inlineStr">
        <is>
          <t>특별관계자</t>
        </is>
      </c>
      <c r="G1967" s="3" t="inlineStr">
        <is>
          <t>신규보고(+)</t>
        </is>
      </c>
      <c r="H1967" s="15" t="n">
        <v>26600</v>
      </c>
      <c r="I1967" s="6" t="inlineStr"/>
      <c r="J1967" s="6" t="n">
        <v>26600</v>
      </c>
      <c r="K1967" s="16" t="n">
        <v>5.95</v>
      </c>
      <c r="L1967" s="2" t="inlineStr">
        <is>
          <t>20260528000755</t>
        </is>
      </c>
      <c r="M1967" s="8">
        <f>HYPERLINK("https://dart.fss.or.kr/dsaf001/main.do?rcpNo=20260528000755", "공시열람")</f>
        <v/>
      </c>
    </row>
    <row r="1968" ht="22" customHeight="1">
      <c r="A1968" s="2" t="inlineStr">
        <is>
          <t>2026-05-28</t>
        </is>
      </c>
      <c r="B1968" s="3" t="inlineStr">
        <is>
          <t>엔지켐생명과학</t>
        </is>
      </c>
      <c r="C1968" s="2" t="inlineStr">
        <is>
          <t>183490</t>
        </is>
      </c>
      <c r="D1968" s="2" t="inlineStr">
        <is>
          <t>대량보유</t>
        </is>
      </c>
      <c r="E1968" s="3" t="inlineStr">
        <is>
          <t>손계숙</t>
        </is>
      </c>
      <c r="F1968" s="3" t="inlineStr">
        <is>
          <t>특별관계자</t>
        </is>
      </c>
      <c r="G1968" s="3" t="inlineStr">
        <is>
          <t>신규보고(+)</t>
        </is>
      </c>
      <c r="H1968" s="15" t="n">
        <v>4550</v>
      </c>
      <c r="I1968" s="6" t="inlineStr"/>
      <c r="J1968" s="6" t="n">
        <v>4550</v>
      </c>
      <c r="K1968" s="16" t="n">
        <v>5.95</v>
      </c>
      <c r="L1968" s="2" t="inlineStr">
        <is>
          <t>20260528000755</t>
        </is>
      </c>
      <c r="M1968" s="8">
        <f>HYPERLINK("https://dart.fss.or.kr/dsaf001/main.do?rcpNo=20260528000755", "공시열람")</f>
        <v/>
      </c>
    </row>
    <row r="1969" ht="22" customHeight="1">
      <c r="A1969" s="2" t="inlineStr">
        <is>
          <t>2026-05-28</t>
        </is>
      </c>
      <c r="B1969" s="3" t="inlineStr">
        <is>
          <t>엔지켐생명과학</t>
        </is>
      </c>
      <c r="C1969" s="2" t="inlineStr">
        <is>
          <t>183490</t>
        </is>
      </c>
      <c r="D1969" s="2" t="inlineStr">
        <is>
          <t>대량보유</t>
        </is>
      </c>
      <c r="E1969" s="3" t="inlineStr">
        <is>
          <t>홍금님</t>
        </is>
      </c>
      <c r="F1969" s="3" t="inlineStr">
        <is>
          <t>특별관계자</t>
        </is>
      </c>
      <c r="G1969" s="3" t="inlineStr">
        <is>
          <t>신규보고(+)</t>
        </is>
      </c>
      <c r="H1969" s="15" t="n">
        <v>9732</v>
      </c>
      <c r="I1969" s="6" t="inlineStr"/>
      <c r="J1969" s="6" t="n">
        <v>9732</v>
      </c>
      <c r="K1969" s="16" t="n">
        <v>5.95</v>
      </c>
      <c r="L1969" s="2" t="inlineStr">
        <is>
          <t>20260528000755</t>
        </is>
      </c>
      <c r="M1969" s="8">
        <f>HYPERLINK("https://dart.fss.or.kr/dsaf001/main.do?rcpNo=20260528000755", "공시열람")</f>
        <v/>
      </c>
    </row>
    <row r="1970" ht="22" customHeight="1">
      <c r="A1970" s="2" t="inlineStr">
        <is>
          <t>2026-05-28</t>
        </is>
      </c>
      <c r="B1970" s="3" t="inlineStr">
        <is>
          <t>엔지켐생명과학</t>
        </is>
      </c>
      <c r="C1970" s="2" t="inlineStr">
        <is>
          <t>183490</t>
        </is>
      </c>
      <c r="D1970" s="2" t="inlineStr">
        <is>
          <t>대량보유</t>
        </is>
      </c>
      <c r="E1970" s="3" t="inlineStr">
        <is>
          <t>송호림</t>
        </is>
      </c>
      <c r="F1970" s="3" t="inlineStr">
        <is>
          <t>특별관계자</t>
        </is>
      </c>
      <c r="G1970" s="3" t="inlineStr">
        <is>
          <t>신규보고(+)</t>
        </is>
      </c>
      <c r="H1970" s="15" t="n">
        <v>65170</v>
      </c>
      <c r="I1970" s="6" t="inlineStr"/>
      <c r="J1970" s="6" t="n">
        <v>65170</v>
      </c>
      <c r="K1970" s="16" t="n">
        <v>5.95</v>
      </c>
      <c r="L1970" s="2" t="inlineStr">
        <is>
          <t>20260528000755</t>
        </is>
      </c>
      <c r="M1970" s="8">
        <f>HYPERLINK("https://dart.fss.or.kr/dsaf001/main.do?rcpNo=20260528000755", "공시열람")</f>
        <v/>
      </c>
    </row>
    <row r="1971" ht="22" customHeight="1">
      <c r="A1971" s="2" t="inlineStr">
        <is>
          <t>2026-05-28</t>
        </is>
      </c>
      <c r="B1971" s="3" t="inlineStr">
        <is>
          <t>엔지켐생명과학</t>
        </is>
      </c>
      <c r="C1971" s="2" t="inlineStr">
        <is>
          <t>183490</t>
        </is>
      </c>
      <c r="D1971" s="2" t="inlineStr">
        <is>
          <t>대량보유</t>
        </is>
      </c>
      <c r="E1971" s="3" t="inlineStr">
        <is>
          <t>김정국</t>
        </is>
      </c>
      <c r="F1971" s="3" t="inlineStr">
        <is>
          <t>특별관계자</t>
        </is>
      </c>
      <c r="G1971" s="3" t="inlineStr">
        <is>
          <t>신규보고(+)</t>
        </is>
      </c>
      <c r="H1971" s="15" t="n">
        <v>284227</v>
      </c>
      <c r="I1971" s="6" t="inlineStr"/>
      <c r="J1971" s="6" t="n">
        <v>284227</v>
      </c>
      <c r="K1971" s="16" t="n">
        <v>5.95</v>
      </c>
      <c r="L1971" s="2" t="inlineStr">
        <is>
          <t>20260528000755</t>
        </is>
      </c>
      <c r="M1971" s="8">
        <f>HYPERLINK("https://dart.fss.or.kr/dsaf001/main.do?rcpNo=20260528000755", "공시열람")</f>
        <v/>
      </c>
    </row>
    <row r="1972" ht="22" customHeight="1">
      <c r="A1972" s="2" t="inlineStr">
        <is>
          <t>2026-05-28</t>
        </is>
      </c>
      <c r="B1972" s="3" t="inlineStr">
        <is>
          <t>엔지켐생명과학</t>
        </is>
      </c>
      <c r="C1972" s="2" t="inlineStr">
        <is>
          <t>183490</t>
        </is>
      </c>
      <c r="D1972" s="2" t="inlineStr">
        <is>
          <t>대량보유</t>
        </is>
      </c>
      <c r="E1972" s="3" t="inlineStr">
        <is>
          <t>조진호</t>
        </is>
      </c>
      <c r="F1972" s="3" t="inlineStr">
        <is>
          <t>특별관계자</t>
        </is>
      </c>
      <c r="G1972" s="3" t="inlineStr">
        <is>
          <t>신규보고(+)</t>
        </is>
      </c>
      <c r="H1972" s="15" t="n">
        <v>66308</v>
      </c>
      <c r="I1972" s="6" t="inlineStr"/>
      <c r="J1972" s="6" t="n">
        <v>66308</v>
      </c>
      <c r="K1972" s="16" t="n">
        <v>5.95</v>
      </c>
      <c r="L1972" s="2" t="inlineStr">
        <is>
          <t>20260528000755</t>
        </is>
      </c>
      <c r="M1972" s="8">
        <f>HYPERLINK("https://dart.fss.or.kr/dsaf001/main.do?rcpNo=20260528000755", "공시열람")</f>
        <v/>
      </c>
    </row>
    <row r="1973" ht="22" customHeight="1">
      <c r="A1973" s="2" t="inlineStr">
        <is>
          <t>2026-05-28</t>
        </is>
      </c>
      <c r="B1973" s="3" t="inlineStr">
        <is>
          <t>엔지켐생명과학</t>
        </is>
      </c>
      <c r="C1973" s="2" t="inlineStr">
        <is>
          <t>183490</t>
        </is>
      </c>
      <c r="D1973" s="2" t="inlineStr">
        <is>
          <t>대량보유</t>
        </is>
      </c>
      <c r="E1973" s="3" t="inlineStr">
        <is>
          <t>허은형</t>
        </is>
      </c>
      <c r="F1973" s="3" t="inlineStr">
        <is>
          <t>특별관계자</t>
        </is>
      </c>
      <c r="G1973" s="3" t="inlineStr">
        <is>
          <t>신규보고(+)</t>
        </is>
      </c>
      <c r="H1973" s="15" t="n">
        <v>116691</v>
      </c>
      <c r="I1973" s="6" t="inlineStr"/>
      <c r="J1973" s="6" t="n">
        <v>116691</v>
      </c>
      <c r="K1973" s="16" t="n">
        <v>5.95</v>
      </c>
      <c r="L1973" s="2" t="inlineStr">
        <is>
          <t>20260528000755</t>
        </is>
      </c>
      <c r="M1973" s="8">
        <f>HYPERLINK("https://dart.fss.or.kr/dsaf001/main.do?rcpNo=20260528000755", "공시열람")</f>
        <v/>
      </c>
    </row>
    <row r="1974" ht="22" customHeight="1">
      <c r="A1974" s="2" t="inlineStr">
        <is>
          <t>2026-05-28</t>
        </is>
      </c>
      <c r="B1974" s="3" t="inlineStr">
        <is>
          <t>엔지켐생명과학</t>
        </is>
      </c>
      <c r="C1974" s="2" t="inlineStr">
        <is>
          <t>183490</t>
        </is>
      </c>
      <c r="D1974" s="2" t="inlineStr">
        <is>
          <t>대량보유</t>
        </is>
      </c>
      <c r="E1974" s="3" t="inlineStr">
        <is>
          <t>김윤수</t>
        </is>
      </c>
      <c r="F1974" s="3" t="inlineStr">
        <is>
          <t>특별관계자</t>
        </is>
      </c>
      <c r="G1974" s="3" t="inlineStr">
        <is>
          <t>신규보고(+)</t>
        </is>
      </c>
      <c r="H1974" s="15" t="n">
        <v>21630</v>
      </c>
      <c r="I1974" s="6" t="inlineStr"/>
      <c r="J1974" s="6" t="n">
        <v>21630</v>
      </c>
      <c r="K1974" s="16" t="n">
        <v>5.95</v>
      </c>
      <c r="L1974" s="2" t="inlineStr">
        <is>
          <t>20260528000755</t>
        </is>
      </c>
      <c r="M1974" s="8">
        <f>HYPERLINK("https://dart.fss.or.kr/dsaf001/main.do?rcpNo=20260528000755", "공시열람")</f>
        <v/>
      </c>
    </row>
    <row r="1975" ht="22" customHeight="1">
      <c r="A1975" s="2" t="inlineStr">
        <is>
          <t>2026-05-28</t>
        </is>
      </c>
      <c r="B1975" s="3" t="inlineStr">
        <is>
          <t>금호에이치티</t>
        </is>
      </c>
      <c r="C1975" s="2" t="inlineStr">
        <is>
          <t>214330</t>
        </is>
      </c>
      <c r="D1975" s="2" t="inlineStr">
        <is>
          <t>임원보고</t>
        </is>
      </c>
      <c r="E1975" s="3" t="inlineStr">
        <is>
          <t>-</t>
        </is>
      </c>
      <c r="F1975" s="3" t="inlineStr">
        <is>
          <t>-</t>
        </is>
      </c>
      <c r="G1975" s="3" t="inlineStr">
        <is>
          <t>-</t>
        </is>
      </c>
      <c r="H1975" s="6" t="inlineStr"/>
      <c r="I1975" s="6" t="inlineStr"/>
      <c r="J1975" s="6" t="inlineStr"/>
      <c r="K1975" s="16" t="n">
        <v>12</v>
      </c>
      <c r="L1975" s="2" t="inlineStr">
        <is>
          <t>20260528800793</t>
        </is>
      </c>
      <c r="M1975" s="8">
        <f>HYPERLINK("https://dart.fss.or.kr/dsaf001/main.do?rcpNo=20260528800793", "공시열람")</f>
        <v/>
      </c>
    </row>
    <row r="1976" ht="22" customHeight="1">
      <c r="A1976" s="2" t="inlineStr">
        <is>
          <t>2026-05-28</t>
        </is>
      </c>
      <c r="B1976" s="3" t="inlineStr">
        <is>
          <t>이지홀딩스</t>
        </is>
      </c>
      <c r="C1976" s="2" t="inlineStr">
        <is>
          <t>035810</t>
        </is>
      </c>
      <c r="D1976" s="2" t="inlineStr">
        <is>
          <t>대량보유</t>
        </is>
      </c>
      <c r="E1976" s="3" t="inlineStr">
        <is>
          <t>김지범</t>
        </is>
      </c>
      <c r="F1976" s="3" t="inlineStr">
        <is>
          <t>특별관계자</t>
        </is>
      </c>
      <c r="G1976" s="3" t="inlineStr">
        <is>
          <t>장내매도(-)</t>
        </is>
      </c>
      <c r="H1976" s="17" t="n">
        <v>-1000</v>
      </c>
      <c r="I1976" s="6" t="n">
        <v>8780</v>
      </c>
      <c r="J1976" s="6" t="n">
        <v>33687124</v>
      </c>
      <c r="K1976" s="16" t="n">
        <v>4</v>
      </c>
      <c r="L1976" s="2" t="inlineStr">
        <is>
          <t>20260528000721</t>
        </is>
      </c>
      <c r="M1976" s="8">
        <f>HYPERLINK("https://dart.fss.or.kr/dsaf001/main.do?rcpNo=20260528000721", "공시열람")</f>
        <v/>
      </c>
    </row>
    <row r="1977" ht="22" customHeight="1">
      <c r="A1977" s="2" t="inlineStr">
        <is>
          <t>2026-05-28</t>
        </is>
      </c>
      <c r="B1977" s="3" t="inlineStr">
        <is>
          <t>이지홀딩스</t>
        </is>
      </c>
      <c r="C1977" s="2" t="inlineStr">
        <is>
          <t>035810</t>
        </is>
      </c>
      <c r="D1977" s="2" t="inlineStr">
        <is>
          <t>대량보유</t>
        </is>
      </c>
      <c r="E1977" s="3" t="inlineStr">
        <is>
          <t>(주)아날로그</t>
        </is>
      </c>
      <c r="F1977" s="3" t="inlineStr">
        <is>
          <t>특별관계자</t>
        </is>
      </c>
      <c r="G1977" s="3" t="inlineStr">
        <is>
          <t>장내매수(+)</t>
        </is>
      </c>
      <c r="H1977" s="15" t="n">
        <v>638000</v>
      </c>
      <c r="I1977" s="6" t="n">
        <v>5256</v>
      </c>
      <c r="J1977" s="6" t="n">
        <v>34325124</v>
      </c>
      <c r="K1977" s="16" t="n">
        <v>4</v>
      </c>
      <c r="L1977" s="2" t="inlineStr">
        <is>
          <t>20260528000721</t>
        </is>
      </c>
      <c r="M1977" s="8">
        <f>HYPERLINK("https://dart.fss.or.kr/dsaf001/main.do?rcpNo=20260528000721", "공시열람")</f>
        <v/>
      </c>
    </row>
    <row r="1978" ht="22" customHeight="1">
      <c r="A1978" s="2" t="inlineStr">
        <is>
          <t>2026-05-28</t>
        </is>
      </c>
      <c r="B1978" s="3" t="inlineStr">
        <is>
          <t>HS효성</t>
        </is>
      </c>
      <c r="C1978" s="2" t="inlineStr">
        <is>
          <t>487570</t>
        </is>
      </c>
      <c r="D1978" s="2" t="inlineStr">
        <is>
          <t>임원보고</t>
        </is>
      </c>
      <c r="E1978" s="3" t="inlineStr">
        <is>
          <t>-</t>
        </is>
      </c>
      <c r="F1978" s="3" t="inlineStr">
        <is>
          <t>-</t>
        </is>
      </c>
      <c r="G1978" s="3" t="inlineStr">
        <is>
          <t>-</t>
        </is>
      </c>
      <c r="H1978" s="6" t="inlineStr"/>
      <c r="I1978" s="6" t="inlineStr"/>
      <c r="J1978" s="6" t="inlineStr"/>
      <c r="K1978" s="16" t="n">
        <v>12</v>
      </c>
      <c r="L1978" s="2" t="inlineStr">
        <is>
          <t>20260528800777</t>
        </is>
      </c>
      <c r="M1978" s="8">
        <f>HYPERLINK("https://dart.fss.or.kr/dsaf001/main.do?rcpNo=20260528800777", "공시열람")</f>
        <v/>
      </c>
    </row>
    <row r="1979" ht="22" customHeight="1">
      <c r="A1979" s="2" t="inlineStr">
        <is>
          <t>2026-05-28</t>
        </is>
      </c>
      <c r="B1979" s="3" t="inlineStr">
        <is>
          <t>넥스틸</t>
        </is>
      </c>
      <c r="C1979" s="2" t="inlineStr">
        <is>
          <t>092790</t>
        </is>
      </c>
      <c r="D1979" s="2" t="inlineStr">
        <is>
          <t>임원보고</t>
        </is>
      </c>
      <c r="E1979" s="3" t="inlineStr">
        <is>
          <t>-</t>
        </is>
      </c>
      <c r="F1979" s="3" t="inlineStr">
        <is>
          <t>-</t>
        </is>
      </c>
      <c r="G1979" s="3" t="inlineStr">
        <is>
          <t>-</t>
        </is>
      </c>
      <c r="H1979" s="6" t="inlineStr"/>
      <c r="I1979" s="6" t="inlineStr"/>
      <c r="J1979" s="6" t="inlineStr"/>
      <c r="K1979" s="16" t="n">
        <v>12</v>
      </c>
      <c r="L1979" s="2" t="inlineStr">
        <is>
          <t>20260528800775</t>
        </is>
      </c>
      <c r="M1979" s="8">
        <f>HYPERLINK("https://dart.fss.or.kr/dsaf001/main.do?rcpNo=20260528800775", "공시열람")</f>
        <v/>
      </c>
    </row>
    <row r="1980" ht="22" customHeight="1">
      <c r="A1980" s="2" t="inlineStr">
        <is>
          <t>2026-05-28</t>
        </is>
      </c>
      <c r="B1980" s="3" t="inlineStr">
        <is>
          <t>마니커</t>
        </is>
      </c>
      <c r="C1980" s="2" t="inlineStr">
        <is>
          <t>027740</t>
        </is>
      </c>
      <c r="D1980" s="2" t="inlineStr">
        <is>
          <t>임원보고</t>
        </is>
      </c>
      <c r="E1980" s="3" t="inlineStr">
        <is>
          <t>-</t>
        </is>
      </c>
      <c r="F1980" s="3" t="inlineStr">
        <is>
          <t>-</t>
        </is>
      </c>
      <c r="G1980" s="3" t="inlineStr">
        <is>
          <t>-</t>
        </is>
      </c>
      <c r="H1980" s="6" t="inlineStr"/>
      <c r="I1980" s="6" t="inlineStr"/>
      <c r="J1980" s="6" t="inlineStr"/>
      <c r="K1980" s="16" t="n">
        <v>12</v>
      </c>
      <c r="L1980" s="2" t="inlineStr">
        <is>
          <t>20260528800762</t>
        </is>
      </c>
      <c r="M1980" s="8">
        <f>HYPERLINK("https://dart.fss.or.kr/dsaf001/main.do?rcpNo=20260528800762", "공시열람")</f>
        <v/>
      </c>
    </row>
    <row r="1981" ht="22" customHeight="1">
      <c r="A1981" s="2" t="inlineStr">
        <is>
          <t>2026-05-28</t>
        </is>
      </c>
      <c r="B1981" s="3" t="inlineStr">
        <is>
          <t>디아이씨</t>
        </is>
      </c>
      <c r="C1981" s="2" t="inlineStr">
        <is>
          <t>092200</t>
        </is>
      </c>
      <c r="D1981" s="2" t="inlineStr">
        <is>
          <t>대량보유</t>
        </is>
      </c>
      <c r="E1981" s="3" t="inlineStr">
        <is>
          <t>(주)대일이노텍</t>
        </is>
      </c>
      <c r="F1981" s="3" t="inlineStr">
        <is>
          <t>특별관계자</t>
        </is>
      </c>
      <c r="G1981" s="3" t="inlineStr">
        <is>
          <t>장내매수(+)</t>
        </is>
      </c>
      <c r="H1981" s="15" t="n">
        <v>658044</v>
      </c>
      <c r="I1981" s="6" t="n">
        <v>9101</v>
      </c>
      <c r="J1981" s="6" t="n">
        <v>1368668</v>
      </c>
      <c r="K1981" s="16" t="n">
        <v>16</v>
      </c>
      <c r="L1981" s="2" t="inlineStr">
        <is>
          <t>20260528000711</t>
        </is>
      </c>
      <c r="M1981" s="8">
        <f>HYPERLINK("https://dart.fss.or.kr/dsaf001/main.do?rcpNo=20260528000711", "공시열람")</f>
        <v/>
      </c>
    </row>
    <row r="1982" ht="22" customHeight="1">
      <c r="A1982" s="2" t="inlineStr">
        <is>
          <t>2026-05-28</t>
        </is>
      </c>
      <c r="B1982" s="3" t="inlineStr">
        <is>
          <t>필옵틱스</t>
        </is>
      </c>
      <c r="C1982" s="2" t="inlineStr">
        <is>
          <t>161580</t>
        </is>
      </c>
      <c r="D1982" s="2" t="inlineStr">
        <is>
          <t>대량보유</t>
        </is>
      </c>
      <c r="E1982" s="3" t="inlineStr">
        <is>
          <t>김광일</t>
        </is>
      </c>
      <c r="F1982" s="3" t="inlineStr">
        <is>
          <t>특별관계자</t>
        </is>
      </c>
      <c r="G1982" s="3" t="inlineStr">
        <is>
          <t>주식매수청구권 행사(-), 주식매수청구권 행사(+)</t>
        </is>
      </c>
      <c r="H1982" s="6" t="inlineStr"/>
      <c r="I1982" s="6" t="n">
        <v>7830</v>
      </c>
      <c r="J1982" s="6" t="n">
        <v>50000</v>
      </c>
      <c r="K1982" s="16" t="n">
        <v>4</v>
      </c>
      <c r="L1982" s="2" t="inlineStr">
        <is>
          <t>20260528000708</t>
        </is>
      </c>
      <c r="M1982" s="8">
        <f>HYPERLINK("https://dart.fss.or.kr/dsaf001/main.do?rcpNo=20260528000708", "공시열람")</f>
        <v/>
      </c>
    </row>
    <row r="1983" ht="22" customHeight="1">
      <c r="A1983" s="2" t="inlineStr">
        <is>
          <t>2026-05-28</t>
        </is>
      </c>
      <c r="B1983" s="3" t="inlineStr">
        <is>
          <t>필옵틱스</t>
        </is>
      </c>
      <c r="C1983" s="2" t="inlineStr">
        <is>
          <t>161580</t>
        </is>
      </c>
      <c r="D1983" s="2" t="inlineStr">
        <is>
          <t>대량보유</t>
        </is>
      </c>
      <c r="E1983" s="3" t="inlineStr">
        <is>
          <t>고은석</t>
        </is>
      </c>
      <c r="F1983" s="3" t="inlineStr">
        <is>
          <t>특별관계자</t>
        </is>
      </c>
      <c r="G1983" s="3" t="inlineStr">
        <is>
          <t>특별관계해소(-)</t>
        </is>
      </c>
      <c r="H1983" s="17" t="n">
        <v>-3325</v>
      </c>
      <c r="I1983" s="6" t="inlineStr"/>
      <c r="J1983" s="6" t="inlineStr"/>
      <c r="K1983" s="16" t="n">
        <v>4</v>
      </c>
      <c r="L1983" s="2" t="inlineStr">
        <is>
          <t>20260528000708</t>
        </is>
      </c>
      <c r="M1983" s="8">
        <f>HYPERLINK("https://dart.fss.or.kr/dsaf001/main.do?rcpNo=20260528000708", "공시열람")</f>
        <v/>
      </c>
    </row>
    <row r="1984" ht="22" customHeight="1">
      <c r="A1984" s="2" t="inlineStr">
        <is>
          <t>2026-05-28</t>
        </is>
      </c>
      <c r="B1984" s="3" t="inlineStr">
        <is>
          <t>에스에이엠티</t>
        </is>
      </c>
      <c r="C1984" s="2" t="inlineStr">
        <is>
          <t>031330</t>
        </is>
      </c>
      <c r="D1984" s="2" t="inlineStr">
        <is>
          <t>대량보유</t>
        </is>
      </c>
      <c r="E1984" s="3" t="inlineStr">
        <is>
          <t>김경애</t>
        </is>
      </c>
      <c r="F1984" s="3" t="inlineStr">
        <is>
          <t>특별관계자</t>
        </is>
      </c>
      <c r="G1984" s="3" t="inlineStr">
        <is>
          <t>장내매도(-)</t>
        </is>
      </c>
      <c r="H1984" s="17" t="n">
        <v>-46798</v>
      </c>
      <c r="I1984" s="6" t="n">
        <v>11069</v>
      </c>
      <c r="J1984" s="6" t="n">
        <v>10000</v>
      </c>
      <c r="K1984" s="16" t="n">
        <v>1</v>
      </c>
      <c r="L1984" s="2" t="inlineStr">
        <is>
          <t>20260528000705</t>
        </is>
      </c>
      <c r="M1984" s="8">
        <f>HYPERLINK("https://dart.fss.or.kr/dsaf001/main.do?rcpNo=20260528000705", "공시열람")</f>
        <v/>
      </c>
    </row>
    <row r="1985" ht="22" customHeight="1">
      <c r="A1985" s="2" t="inlineStr">
        <is>
          <t>2026-05-28</t>
        </is>
      </c>
      <c r="B1985" s="3" t="inlineStr">
        <is>
          <t>에스에이엠티</t>
        </is>
      </c>
      <c r="C1985" s="2" t="inlineStr">
        <is>
          <t>031330</t>
        </is>
      </c>
      <c r="D1985" s="2" t="inlineStr">
        <is>
          <t>대량보유</t>
        </is>
      </c>
      <c r="E1985" s="3" t="inlineStr">
        <is>
          <t>박기배</t>
        </is>
      </c>
      <c r="F1985" s="3" t="inlineStr">
        <is>
          <t>특별관계자</t>
        </is>
      </c>
      <c r="G1985" s="3" t="inlineStr">
        <is>
          <t>장내매도(-)</t>
        </is>
      </c>
      <c r="H1985" s="17" t="n">
        <v>-40000</v>
      </c>
      <c r="I1985" s="6" t="n">
        <v>15340</v>
      </c>
      <c r="J1985" s="6" t="n">
        <v>10000</v>
      </c>
      <c r="K1985" s="16" t="n">
        <v>1</v>
      </c>
      <c r="L1985" s="2" t="inlineStr">
        <is>
          <t>20260528000705</t>
        </is>
      </c>
      <c r="M1985" s="8">
        <f>HYPERLINK("https://dart.fss.or.kr/dsaf001/main.do?rcpNo=20260528000705", "공시열람")</f>
        <v/>
      </c>
    </row>
    <row r="1986" ht="22" customHeight="1">
      <c r="A1986" s="2" t="inlineStr">
        <is>
          <t>2026-05-28</t>
        </is>
      </c>
      <c r="B1986" s="3" t="inlineStr">
        <is>
          <t>에스에이엠티</t>
        </is>
      </c>
      <c r="C1986" s="2" t="inlineStr">
        <is>
          <t>031330</t>
        </is>
      </c>
      <c r="D1986" s="2" t="inlineStr">
        <is>
          <t>대량보유</t>
        </is>
      </c>
      <c r="E1986" s="3" t="inlineStr">
        <is>
          <t>삼지전자(주)</t>
        </is>
      </c>
      <c r="F1986" s="3" t="inlineStr">
        <is>
          <t>특별관계자</t>
        </is>
      </c>
      <c r="G1986" s="3" t="inlineStr">
        <is>
          <t>장내매도(-)</t>
        </is>
      </c>
      <c r="H1986" s="17" t="n">
        <v>-18076</v>
      </c>
      <c r="I1986" s="6" t="n">
        <v>18590</v>
      </c>
      <c r="J1986" s="6" t="n">
        <v>49820000</v>
      </c>
      <c r="K1986" s="16" t="n">
        <v>1</v>
      </c>
      <c r="L1986" s="2" t="inlineStr">
        <is>
          <t>20260528000705</t>
        </is>
      </c>
      <c r="M1986" s="8">
        <f>HYPERLINK("https://dart.fss.or.kr/dsaf001/main.do?rcpNo=20260528000705", "공시열람")</f>
        <v/>
      </c>
    </row>
    <row r="1987" ht="22" customHeight="1">
      <c r="A1987" s="2" t="inlineStr">
        <is>
          <t>2026-05-28</t>
        </is>
      </c>
      <c r="B1987" s="3" t="inlineStr">
        <is>
          <t>리메드</t>
        </is>
      </c>
      <c r="C1987" s="2" t="inlineStr">
        <is>
          <t>302550</t>
        </is>
      </c>
      <c r="D1987" s="2" t="inlineStr">
        <is>
          <t>대량보유</t>
        </is>
      </c>
      <c r="E1987" s="3" t="inlineStr">
        <is>
          <t>이근용</t>
        </is>
      </c>
      <c r="F1987" s="3" t="inlineStr">
        <is>
          <t>보고자</t>
        </is>
      </c>
      <c r="G1987" s="3" t="inlineStr">
        <is>
          <t>보고자 및 특별관계자의 주식담보대출 변경</t>
        </is>
      </c>
      <c r="H1987" s="6" t="inlineStr"/>
      <c r="I1987" s="6" t="inlineStr"/>
      <c r="J1987" s="6" t="n">
        <v>11166076</v>
      </c>
      <c r="K1987" s="16" t="n">
        <v>10</v>
      </c>
      <c r="L1987" s="2" t="inlineStr">
        <is>
          <t>20260528000700</t>
        </is>
      </c>
      <c r="M1987" s="8">
        <f>HYPERLINK("https://dart.fss.or.kr/dsaf001/main.do?rcpNo=20260528000700", "공시열람")</f>
        <v/>
      </c>
    </row>
    <row r="1988" ht="22" customHeight="1">
      <c r="A1988" s="2" t="inlineStr">
        <is>
          <t>2026-05-28</t>
        </is>
      </c>
      <c r="B1988" s="3" t="inlineStr">
        <is>
          <t>NICE</t>
        </is>
      </c>
      <c r="C1988" s="2" t="inlineStr">
        <is>
          <t>034310</t>
        </is>
      </c>
      <c r="D1988" s="2" t="inlineStr">
        <is>
          <t>대량보유</t>
        </is>
      </c>
      <c r="E1988" s="3" t="inlineStr">
        <is>
          <t>김원우</t>
        </is>
      </c>
      <c r="F1988" s="3" t="inlineStr">
        <is>
          <t>보고자</t>
        </is>
      </c>
      <c r="G1988" s="3" t="inlineStr">
        <is>
          <t>특별관계자의 주식담보계약 변경</t>
        </is>
      </c>
      <c r="H1988" s="6" t="inlineStr"/>
      <c r="I1988" s="6" t="inlineStr"/>
      <c r="J1988" s="6" t="n">
        <v>19062991</v>
      </c>
      <c r="K1988" s="16" t="n">
        <v>6</v>
      </c>
      <c r="L1988" s="2" t="inlineStr">
        <is>
          <t>20260528000695</t>
        </is>
      </c>
      <c r="M1988" s="8">
        <f>HYPERLINK("https://dart.fss.or.kr/dsaf001/main.do?rcpNo=20260528000695", "공시열람")</f>
        <v/>
      </c>
    </row>
    <row r="1989" ht="22" customHeight="1">
      <c r="A1989" s="2" t="inlineStr">
        <is>
          <t>2026-05-28</t>
        </is>
      </c>
      <c r="B1989" s="3" t="inlineStr">
        <is>
          <t>앱튼</t>
        </is>
      </c>
      <c r="C1989" s="2" t="inlineStr">
        <is>
          <t>270520</t>
        </is>
      </c>
      <c r="D1989" s="2" t="inlineStr">
        <is>
          <t>대량보유</t>
        </is>
      </c>
      <c r="E1989" s="3" t="inlineStr">
        <is>
          <t>(주)에이프로젠</t>
        </is>
      </c>
      <c r="F1989" s="3" t="inlineStr">
        <is>
          <t>특별관계자</t>
        </is>
      </c>
      <c r="G1989" s="3" t="inlineStr">
        <is>
          <t>CB인수(+)</t>
        </is>
      </c>
      <c r="H1989" s="15" t="n">
        <v>4010695</v>
      </c>
      <c r="I1989" s="6" t="n">
        <v>1870</v>
      </c>
      <c r="J1989" s="6" t="n">
        <v>4010695</v>
      </c>
      <c r="K1989" s="16" t="n">
        <v>3</v>
      </c>
      <c r="L1989" s="2" t="inlineStr">
        <is>
          <t>20260528000694</t>
        </is>
      </c>
      <c r="M1989" s="8">
        <f>HYPERLINK("https://dart.fss.or.kr/dsaf001/main.do?rcpNo=20260528000694", "공시열람")</f>
        <v/>
      </c>
    </row>
    <row r="1990" ht="22" customHeight="1">
      <c r="A1990" s="2" t="inlineStr">
        <is>
          <t>2026-05-28</t>
        </is>
      </c>
      <c r="B1990" s="3" t="inlineStr">
        <is>
          <t>앱튼</t>
        </is>
      </c>
      <c r="C1990" s="2" t="inlineStr">
        <is>
          <t>270520</t>
        </is>
      </c>
      <c r="D1990" s="2" t="inlineStr">
        <is>
          <t>대량보유</t>
        </is>
      </c>
      <c r="E1990" s="3" t="inlineStr">
        <is>
          <t>에이프로젠파마(주)</t>
        </is>
      </c>
      <c r="F1990" s="3" t="inlineStr">
        <is>
          <t>특별관계자</t>
        </is>
      </c>
      <c r="G1990" s="3" t="inlineStr">
        <is>
          <t>CB인수(+)</t>
        </is>
      </c>
      <c r="H1990" s="15" t="n">
        <v>53475</v>
      </c>
      <c r="I1990" s="6" t="n">
        <v>1870</v>
      </c>
      <c r="J1990" s="6" t="n">
        <v>53475</v>
      </c>
      <c r="K1990" s="16" t="n">
        <v>3</v>
      </c>
      <c r="L1990" s="2" t="inlineStr">
        <is>
          <t>20260528000694</t>
        </is>
      </c>
      <c r="M1990" s="8">
        <f>HYPERLINK("https://dart.fss.or.kr/dsaf001/main.do?rcpNo=20260528000694", "공시열람")</f>
        <v/>
      </c>
    </row>
    <row r="1991" ht="22" customHeight="1">
      <c r="A1991" s="2" t="inlineStr">
        <is>
          <t>2026-05-28</t>
        </is>
      </c>
      <c r="B1991" s="3" t="inlineStr">
        <is>
          <t>앱튼</t>
        </is>
      </c>
      <c r="C1991" s="2" t="inlineStr">
        <is>
          <t>270520</t>
        </is>
      </c>
      <c r="D1991" s="2" t="inlineStr">
        <is>
          <t>대량보유</t>
        </is>
      </c>
      <c r="E1991" s="3" t="inlineStr">
        <is>
          <t>(주)앱토크롬</t>
        </is>
      </c>
      <c r="F1991" s="3" t="inlineStr">
        <is>
          <t>특별관계자</t>
        </is>
      </c>
      <c r="G1991" s="3" t="inlineStr">
        <is>
          <t>행사가액조정</t>
        </is>
      </c>
      <c r="H1991" s="15" t="n">
        <v>733966</v>
      </c>
      <c r="I1991" s="6" t="n">
        <v>1870</v>
      </c>
      <c r="J1991" s="6" t="n">
        <v>998930</v>
      </c>
      <c r="K1991" s="16" t="n">
        <v>3</v>
      </c>
      <c r="L1991" s="2" t="inlineStr">
        <is>
          <t>20260528000694</t>
        </is>
      </c>
      <c r="M1991" s="8">
        <f>HYPERLINK("https://dart.fss.or.kr/dsaf001/main.do?rcpNo=20260528000694", "공시열람")</f>
        <v/>
      </c>
    </row>
    <row r="1992" ht="22" customHeight="1">
      <c r="A1992" s="2" t="inlineStr">
        <is>
          <t>2026-05-28</t>
        </is>
      </c>
      <c r="B1992" s="3" t="inlineStr">
        <is>
          <t>HS애드</t>
        </is>
      </c>
      <c r="C1992" s="2" t="inlineStr">
        <is>
          <t>035000</t>
        </is>
      </c>
      <c r="D1992" s="2" t="inlineStr">
        <is>
          <t>대량보유</t>
        </is>
      </c>
      <c r="E1992" s="3" t="inlineStr">
        <is>
          <t>CavendishSquareHoldingB.V.</t>
        </is>
      </c>
      <c r="F1992" s="3" t="inlineStr">
        <is>
          <t>특별관계자</t>
        </is>
      </c>
      <c r="G1992" s="3" t="inlineStr">
        <is>
          <t>장내매수(+), 장내매도(-)</t>
        </is>
      </c>
      <c r="H1992" s="17" t="n">
        <v>-432906</v>
      </c>
      <c r="I1992" s="6" t="n">
        <v>7374</v>
      </c>
      <c r="J1992" s="6" t="n">
        <v>4514939</v>
      </c>
      <c r="K1992" s="16" t="n">
        <v>27.86</v>
      </c>
      <c r="L1992" s="2" t="inlineStr">
        <is>
          <t>20260528000684</t>
        </is>
      </c>
      <c r="M1992" s="8">
        <f>HYPERLINK("https://dart.fss.or.kr/dsaf001/main.do?rcpNo=20260528000684", "공시열람")</f>
        <v/>
      </c>
    </row>
    <row r="1993" ht="22" customHeight="1">
      <c r="A1993" s="2" t="inlineStr">
        <is>
          <t>2026-05-28</t>
        </is>
      </c>
      <c r="B1993" s="3" t="inlineStr">
        <is>
          <t>마니커</t>
        </is>
      </c>
      <c r="C1993" s="2" t="inlineStr">
        <is>
          <t>027740</t>
        </is>
      </c>
      <c r="D1993" s="2" t="inlineStr">
        <is>
          <t>대량보유</t>
        </is>
      </c>
      <c r="E1993" s="3" t="inlineStr">
        <is>
          <t>(주)이지홀딩스</t>
        </is>
      </c>
      <c r="F1993" s="3" t="inlineStr">
        <is>
          <t>특별관계자</t>
        </is>
      </c>
      <c r="G1993" s="3" t="inlineStr">
        <is>
          <t>주식병합, 장내매수(+)</t>
        </is>
      </c>
      <c r="H1993" s="17" t="n">
        <v>-8895001</v>
      </c>
      <c r="I1993" s="6" t="n">
        <v>1523</v>
      </c>
      <c r="J1993" s="6" t="n">
        <v>10794999</v>
      </c>
      <c r="K1993" s="16" t="n">
        <v>33.99</v>
      </c>
      <c r="L1993" s="2" t="inlineStr">
        <is>
          <t>20260528000683</t>
        </is>
      </c>
      <c r="M1993" s="8">
        <f>HYPERLINK("https://dart.fss.or.kr/dsaf001/main.do?rcpNo=20260528000683", "공시열람")</f>
        <v/>
      </c>
    </row>
    <row r="1994" ht="22" customHeight="1">
      <c r="A1994" s="2" t="inlineStr">
        <is>
          <t>2026-05-28</t>
        </is>
      </c>
      <c r="B1994" s="3" t="inlineStr">
        <is>
          <t>아이티엠반도체</t>
        </is>
      </c>
      <c r="C1994" s="2" t="inlineStr">
        <is>
          <t>084850</t>
        </is>
      </c>
      <c r="D1994" s="2" t="inlineStr">
        <is>
          <t>대량보유</t>
        </is>
      </c>
      <c r="E1994" s="3" t="inlineStr">
        <is>
          <t>(주)나이스홀딩스</t>
        </is>
      </c>
      <c r="F1994" s="3" t="inlineStr">
        <is>
          <t>보고자</t>
        </is>
      </c>
      <c r="G1994" s="3" t="inlineStr">
        <is>
          <t>특별관계자의 주식담보계약 변경</t>
        </is>
      </c>
      <c r="H1994" s="6" t="inlineStr"/>
      <c r="I1994" s="6" t="inlineStr"/>
      <c r="J1994" s="6" t="n">
        <v>13938031</v>
      </c>
      <c r="K1994" s="16" t="n">
        <v>13</v>
      </c>
      <c r="L1994" s="2" t="inlineStr">
        <is>
          <t>20260528000682</t>
        </is>
      </c>
      <c r="M1994" s="8">
        <f>HYPERLINK("https://dart.fss.or.kr/dsaf001/main.do?rcpNo=20260528000682", "공시열람")</f>
        <v/>
      </c>
    </row>
    <row r="1995" ht="22" customHeight="1">
      <c r="A1995" s="2" t="inlineStr">
        <is>
          <t>2026-05-28</t>
        </is>
      </c>
      <c r="B1995" s="3" t="inlineStr">
        <is>
          <t>디아이씨</t>
        </is>
      </c>
      <c r="C1995" s="2" t="inlineStr">
        <is>
          <t>092200</t>
        </is>
      </c>
      <c r="D1995" s="2" t="inlineStr">
        <is>
          <t>임원보고</t>
        </is>
      </c>
      <c r="E1995" s="3" t="inlineStr">
        <is>
          <t>-</t>
        </is>
      </c>
      <c r="F1995" s="3" t="inlineStr">
        <is>
          <t>-</t>
        </is>
      </c>
      <c r="G1995" s="3" t="inlineStr">
        <is>
          <t>-</t>
        </is>
      </c>
      <c r="H1995" s="6" t="inlineStr"/>
      <c r="I1995" s="6" t="inlineStr"/>
      <c r="J1995" s="6" t="inlineStr"/>
      <c r="K1995" s="16" t="n">
        <v>12</v>
      </c>
      <c r="L1995" s="2" t="inlineStr">
        <is>
          <t>20260528800706</t>
        </is>
      </c>
      <c r="M1995" s="8">
        <f>HYPERLINK("https://dart.fss.or.kr/dsaf001/main.do?rcpNo=20260528800706", "공시열람")</f>
        <v/>
      </c>
    </row>
    <row r="1996" ht="22" customHeight="1">
      <c r="A1996" s="2" t="inlineStr">
        <is>
          <t>2026-05-28</t>
        </is>
      </c>
      <c r="B1996" s="3" t="inlineStr">
        <is>
          <t>코웨이</t>
        </is>
      </c>
      <c r="C1996" s="2" t="inlineStr">
        <is>
          <t>021240</t>
        </is>
      </c>
      <c r="D1996" s="2" t="inlineStr">
        <is>
          <t>임원보고</t>
        </is>
      </c>
      <c r="E1996" s="3" t="inlineStr">
        <is>
          <t>-</t>
        </is>
      </c>
      <c r="F1996" s="3" t="inlineStr">
        <is>
          <t>-</t>
        </is>
      </c>
      <c r="G1996" s="3" t="inlineStr">
        <is>
          <t>-</t>
        </is>
      </c>
      <c r="H1996" s="6" t="inlineStr"/>
      <c r="I1996" s="6" t="inlineStr"/>
      <c r="J1996" s="6" t="inlineStr"/>
      <c r="K1996" s="16" t="n">
        <v>12</v>
      </c>
      <c r="L1996" s="2" t="inlineStr">
        <is>
          <t>20260528800692</t>
        </is>
      </c>
      <c r="M1996" s="8">
        <f>HYPERLINK("https://dart.fss.or.kr/dsaf001/main.do?rcpNo=20260528800692", "공시열람")</f>
        <v/>
      </c>
    </row>
    <row r="1997" ht="22" customHeight="1">
      <c r="A1997" s="2" t="inlineStr">
        <is>
          <t>2026-05-28 (정정: 2026-05-28)</t>
        </is>
      </c>
      <c r="B1997" s="3" t="inlineStr">
        <is>
          <t>가온전선</t>
        </is>
      </c>
      <c r="C1997" s="2" t="inlineStr">
        <is>
          <t>000500</t>
        </is>
      </c>
      <c r="D1997" s="2" t="inlineStr">
        <is>
          <t>임원보고</t>
        </is>
      </c>
      <c r="E1997" s="3" t="inlineStr">
        <is>
          <t>엘에스전선(주)</t>
        </is>
      </c>
      <c r="F1997" s="3" t="inlineStr">
        <is>
          <t>-</t>
        </is>
      </c>
      <c r="G1997" s="3" t="inlineStr">
        <is>
          <t>-</t>
        </is>
      </c>
      <c r="H1997" s="6" t="inlineStr"/>
      <c r="I1997" s="6" t="inlineStr"/>
      <c r="J1997" s="6" t="inlineStr"/>
      <c r="K1997" s="16" t="n">
        <v>81.70999999999999</v>
      </c>
      <c r="L1997" s="2" t="inlineStr">
        <is>
          <t>20260528000540</t>
        </is>
      </c>
      <c r="M1997" s="8">
        <f>HYPERLINK("https://dart.fss.or.kr/dsaf001/main.do?rcpNo=20260528000540", "공시열람")</f>
        <v/>
      </c>
    </row>
    <row r="1998" ht="22" customHeight="1">
      <c r="A1998" s="2" t="inlineStr">
        <is>
          <t>2026-05-28</t>
        </is>
      </c>
      <c r="B1998" s="3" t="inlineStr">
        <is>
          <t>우진엔텍</t>
        </is>
      </c>
      <c r="C1998" s="2" t="inlineStr">
        <is>
          <t>457550</t>
        </is>
      </c>
      <c r="D1998" s="2" t="inlineStr">
        <is>
          <t>대량보유</t>
        </is>
      </c>
      <c r="E1998" s="3" t="inlineStr">
        <is>
          <t>(주)우진</t>
        </is>
      </c>
      <c r="F1998" s="3" t="inlineStr">
        <is>
          <t>보고자</t>
        </is>
      </c>
      <c r="G1998" s="3" t="inlineStr">
        <is>
          <t>특별관계자의 주식담보대출 계약연장에 따른 변경 보고</t>
        </is>
      </c>
      <c r="H1998" s="6" t="inlineStr"/>
      <c r="I1998" s="6" t="inlineStr"/>
      <c r="J1998" s="6" t="n">
        <v>3847609</v>
      </c>
      <c r="K1998" s="16" t="n">
        <v>2</v>
      </c>
      <c r="L1998" s="2" t="inlineStr">
        <is>
          <t>20260528000650</t>
        </is>
      </c>
      <c r="M1998" s="8">
        <f>HYPERLINK("https://dart.fss.or.kr/dsaf001/main.do?rcpNo=20260528000650", "공시열람")</f>
        <v/>
      </c>
    </row>
    <row r="1999" ht="22" customHeight="1">
      <c r="A1999" s="2" t="inlineStr">
        <is>
          <t>2026-05-28</t>
        </is>
      </c>
      <c r="B1999" s="3" t="inlineStr">
        <is>
          <t>카페24</t>
        </is>
      </c>
      <c r="C1999" s="2" t="inlineStr">
        <is>
          <t>042000</t>
        </is>
      </c>
      <c r="D1999" s="2" t="inlineStr">
        <is>
          <t>대량보유</t>
        </is>
      </c>
      <c r="E1999" s="3" t="inlineStr">
        <is>
          <t>백서기</t>
        </is>
      </c>
      <c r="F1999" s="3" t="inlineStr">
        <is>
          <t>특별관계자</t>
        </is>
      </c>
      <c r="G1999" s="3" t="inlineStr">
        <is>
          <t>장내매도(-)</t>
        </is>
      </c>
      <c r="H1999" s="17" t="n">
        <v>-2000</v>
      </c>
      <c r="I1999" s="6" t="n">
        <v>22000</v>
      </c>
      <c r="J1999" s="6" t="n">
        <v>52720</v>
      </c>
      <c r="K1999" s="16" t="n">
        <v>12</v>
      </c>
      <c r="L1999" s="2" t="inlineStr">
        <is>
          <t>20260528000645</t>
        </is>
      </c>
      <c r="M1999" s="8">
        <f>HYPERLINK("https://dart.fss.or.kr/dsaf001/main.do?rcpNo=20260528000645", "공시열람")</f>
        <v/>
      </c>
    </row>
    <row r="2000" ht="22" customHeight="1">
      <c r="A2000" s="2" t="inlineStr">
        <is>
          <t>2026-05-28</t>
        </is>
      </c>
      <c r="B2000" s="3" t="inlineStr">
        <is>
          <t>카페24</t>
        </is>
      </c>
      <c r="C2000" s="2" t="inlineStr">
        <is>
          <t>042000</t>
        </is>
      </c>
      <c r="D2000" s="2" t="inlineStr">
        <is>
          <t>대량보유</t>
        </is>
      </c>
      <c r="E2000" s="3" t="inlineStr">
        <is>
          <t>JINHUIZI</t>
        </is>
      </c>
      <c r="F2000" s="3" t="inlineStr">
        <is>
          <t>특별관계자</t>
        </is>
      </c>
      <c r="G2000" s="3" t="inlineStr">
        <is>
          <t>신규선임(유상취득)(+)</t>
        </is>
      </c>
      <c r="H2000" s="15" t="n">
        <v>50</v>
      </c>
      <c r="I2000" s="6" t="inlineStr"/>
      <c r="J2000" s="6" t="n">
        <v>50</v>
      </c>
      <c r="K2000" s="16" t="n">
        <v>12</v>
      </c>
      <c r="L2000" s="2" t="inlineStr">
        <is>
          <t>20260528000645</t>
        </is>
      </c>
      <c r="M2000" s="8">
        <f>HYPERLINK("https://dart.fss.or.kr/dsaf001/main.do?rcpNo=20260528000645", "공시열람")</f>
        <v/>
      </c>
    </row>
    <row r="2001" ht="22" customHeight="1">
      <c r="A2001" s="2" t="inlineStr">
        <is>
          <t>2026-05-28</t>
        </is>
      </c>
      <c r="B2001" s="3" t="inlineStr">
        <is>
          <t>부국증권</t>
        </is>
      </c>
      <c r="C2001" s="2" t="inlineStr">
        <is>
          <t>001270</t>
        </is>
      </c>
      <c r="D2001" s="2" t="inlineStr">
        <is>
          <t>대량보유</t>
        </is>
      </c>
      <c r="E2001" s="3" t="inlineStr">
        <is>
          <t>김정연</t>
        </is>
      </c>
      <c r="F2001" s="3" t="inlineStr">
        <is>
          <t>특별관계자</t>
        </is>
      </c>
      <c r="G2001" s="3" t="inlineStr">
        <is>
          <t>장내매수(+)</t>
        </is>
      </c>
      <c r="H2001" s="15" t="n">
        <v>300</v>
      </c>
      <c r="I2001" s="6" t="n">
        <v>64800</v>
      </c>
      <c r="J2001" s="6" t="n">
        <v>154333</v>
      </c>
      <c r="K2001" s="16" t="n">
        <v>9</v>
      </c>
      <c r="L2001" s="2" t="inlineStr">
        <is>
          <t>20260528000644</t>
        </is>
      </c>
      <c r="M2001" s="8">
        <f>HYPERLINK("https://dart.fss.or.kr/dsaf001/main.do?rcpNo=20260528000644", "공시열람")</f>
        <v/>
      </c>
    </row>
    <row r="2002" ht="22" customHeight="1">
      <c r="A2002" s="2" t="inlineStr">
        <is>
          <t>2026-05-28</t>
        </is>
      </c>
      <c r="B2002" s="3" t="inlineStr">
        <is>
          <t>부국증권</t>
        </is>
      </c>
      <c r="C2002" s="2" t="inlineStr">
        <is>
          <t>001270</t>
        </is>
      </c>
      <c r="D2002" s="2" t="inlineStr">
        <is>
          <t>대량보유</t>
        </is>
      </c>
      <c r="E2002" s="3" t="inlineStr">
        <is>
          <t>이진우</t>
        </is>
      </c>
      <c r="F2002" s="3" t="inlineStr">
        <is>
          <t>특별관계자</t>
        </is>
      </c>
      <c r="G2002" s="3" t="inlineStr">
        <is>
          <t>장내매수(+)</t>
        </is>
      </c>
      <c r="H2002" s="15" t="n">
        <v>1400</v>
      </c>
      <c r="I2002" s="6" t="n">
        <v>63089</v>
      </c>
      <c r="J2002" s="6" t="n">
        <v>66800</v>
      </c>
      <c r="K2002" s="16" t="n">
        <v>9</v>
      </c>
      <c r="L2002" s="2" t="inlineStr">
        <is>
          <t>20260528000644</t>
        </is>
      </c>
      <c r="M2002" s="8">
        <f>HYPERLINK("https://dart.fss.or.kr/dsaf001/main.do?rcpNo=20260528000644", "공시열람")</f>
        <v/>
      </c>
    </row>
    <row r="2003" ht="22" customHeight="1">
      <c r="A2003" s="2" t="inlineStr">
        <is>
          <t>2026-05-28</t>
        </is>
      </c>
      <c r="B2003" s="3" t="inlineStr">
        <is>
          <t>종근당홀딩스</t>
        </is>
      </c>
      <c r="C2003" s="2" t="inlineStr">
        <is>
          <t>001630</t>
        </is>
      </c>
      <c r="D2003" s="2" t="inlineStr">
        <is>
          <t>임원보고</t>
        </is>
      </c>
      <c r="E2003" s="3" t="inlineStr">
        <is>
          <t>-</t>
        </is>
      </c>
      <c r="F2003" s="3" t="inlineStr">
        <is>
          <t>-</t>
        </is>
      </c>
      <c r="G2003" s="3" t="inlineStr">
        <is>
          <t>-</t>
        </is>
      </c>
      <c r="H2003" s="6" t="inlineStr"/>
      <c r="I2003" s="6" t="inlineStr"/>
      <c r="J2003" s="6" t="inlineStr"/>
      <c r="K2003" s="16" t="n">
        <v>12</v>
      </c>
      <c r="L2003" s="2" t="inlineStr">
        <is>
          <t>20260528800651</t>
        </is>
      </c>
      <c r="M2003" s="8">
        <f>HYPERLINK("https://dart.fss.or.kr/dsaf001/main.do?rcpNo=20260528800651", "공시열람")</f>
        <v/>
      </c>
    </row>
    <row r="2004" ht="22" customHeight="1">
      <c r="A2004" s="2" t="inlineStr">
        <is>
          <t>2026-05-28</t>
        </is>
      </c>
      <c r="B2004" s="3" t="inlineStr">
        <is>
          <t>종근당홀딩스</t>
        </is>
      </c>
      <c r="C2004" s="2" t="inlineStr">
        <is>
          <t>001630</t>
        </is>
      </c>
      <c r="D2004" s="2" t="inlineStr">
        <is>
          <t>대량보유</t>
        </is>
      </c>
      <c r="E2004" s="3" t="inlineStr">
        <is>
          <t>(주)벨에스엠</t>
        </is>
      </c>
      <c r="F2004" s="3" t="inlineStr">
        <is>
          <t>특별관계자</t>
        </is>
      </c>
      <c r="G2004" s="3" t="inlineStr">
        <is>
          <t>장내매수(+)</t>
        </is>
      </c>
      <c r="H2004" s="15" t="n">
        <v>3165</v>
      </c>
      <c r="I2004" s="6" t="n">
        <v>45441</v>
      </c>
      <c r="J2004" s="6" t="n">
        <v>21074</v>
      </c>
      <c r="K2004" s="16" t="n">
        <v>7</v>
      </c>
      <c r="L2004" s="2" t="inlineStr">
        <is>
          <t>20260528000635</t>
        </is>
      </c>
      <c r="M2004" s="8">
        <f>HYPERLINK("https://dart.fss.or.kr/dsaf001/main.do?rcpNo=20260528000635", "공시열람")</f>
        <v/>
      </c>
    </row>
    <row r="2005" ht="22" customHeight="1">
      <c r="A2005" s="2" t="inlineStr">
        <is>
          <t>2026-05-28</t>
        </is>
      </c>
      <c r="B2005" s="3" t="inlineStr">
        <is>
          <t>솔브레인</t>
        </is>
      </c>
      <c r="C2005" s="2" t="inlineStr">
        <is>
          <t>357780</t>
        </is>
      </c>
      <c r="D2005" s="2" t="inlineStr">
        <is>
          <t>대량보유</t>
        </is>
      </c>
      <c r="E2005" s="3" t="inlineStr">
        <is>
          <t>정지완</t>
        </is>
      </c>
      <c r="F2005" s="3" t="inlineStr">
        <is>
          <t>보고자</t>
        </is>
      </c>
      <c r="G2005" s="3" t="inlineStr">
        <is>
          <t>보유주식 등에 관한 계약 변경</t>
        </is>
      </c>
      <c r="H2005" s="6" t="inlineStr"/>
      <c r="I2005" s="6" t="inlineStr"/>
      <c r="J2005" s="6" t="n">
        <v>3479596</v>
      </c>
      <c r="K2005" s="16" t="n">
        <v>10</v>
      </c>
      <c r="L2005" s="2" t="inlineStr">
        <is>
          <t>20260528000627</t>
        </is>
      </c>
      <c r="M2005" s="8">
        <f>HYPERLINK("https://dart.fss.or.kr/dsaf001/main.do?rcpNo=20260528000627", "공시열람")</f>
        <v/>
      </c>
    </row>
    <row r="2006" ht="22" customHeight="1">
      <c r="A2006" s="2" t="inlineStr">
        <is>
          <t>2026-05-28</t>
        </is>
      </c>
      <c r="B2006" s="3" t="inlineStr">
        <is>
          <t>한국콜마</t>
        </is>
      </c>
      <c r="C2006" s="2" t="inlineStr">
        <is>
          <t>161890</t>
        </is>
      </c>
      <c r="D2006" s="2" t="inlineStr">
        <is>
          <t>임원보고</t>
        </is>
      </c>
      <c r="E2006" s="3" t="inlineStr">
        <is>
          <t>-</t>
        </is>
      </c>
      <c r="F2006" s="3" t="inlineStr">
        <is>
          <t>-</t>
        </is>
      </c>
      <c r="G2006" s="3" t="inlineStr">
        <is>
          <t>-</t>
        </is>
      </c>
      <c r="H2006" s="6" t="inlineStr"/>
      <c r="I2006" s="6" t="inlineStr"/>
      <c r="J2006" s="6" t="inlineStr"/>
      <c r="K2006" s="16" t="n">
        <v>12</v>
      </c>
      <c r="L2006" s="2" t="inlineStr">
        <is>
          <t>20260528800623</t>
        </is>
      </c>
      <c r="M2006" s="8">
        <f>HYPERLINK("https://dart.fss.or.kr/dsaf001/main.do?rcpNo=20260528800623", "공시열람")</f>
        <v/>
      </c>
    </row>
    <row r="2007" ht="22" customHeight="1">
      <c r="A2007" s="2" t="inlineStr">
        <is>
          <t>2026-05-28</t>
        </is>
      </c>
      <c r="B2007" s="3" t="inlineStr">
        <is>
          <t>유티아이</t>
        </is>
      </c>
      <c r="C2007" s="2" t="inlineStr">
        <is>
          <t>179900</t>
        </is>
      </c>
      <c r="D2007" s="2" t="inlineStr">
        <is>
          <t>대량보유</t>
        </is>
      </c>
      <c r="E2007" s="3" t="inlineStr">
        <is>
          <t>박덕영</t>
        </is>
      </c>
      <c r="F2007" s="3" t="inlineStr">
        <is>
          <t>보고자</t>
        </is>
      </c>
      <c r="G2007" s="3" t="inlineStr">
        <is>
          <t>특별관계자의 보유주식등에 관한 계약 내용 변경</t>
        </is>
      </c>
      <c r="H2007" s="6" t="inlineStr"/>
      <c r="I2007" s="6" t="inlineStr"/>
      <c r="J2007" s="6" t="n">
        <v>6311640</v>
      </c>
      <c r="K2007" s="16" t="n">
        <v>7</v>
      </c>
      <c r="L2007" s="2" t="inlineStr">
        <is>
          <t>20260528000622</t>
        </is>
      </c>
      <c r="M2007" s="8">
        <f>HYPERLINK("https://dart.fss.or.kr/dsaf001/main.do?rcpNo=20260528000622", "공시열람")</f>
        <v/>
      </c>
    </row>
    <row r="2008" ht="22" customHeight="1">
      <c r="A2008" s="2" t="inlineStr">
        <is>
          <t>2026-05-28</t>
        </is>
      </c>
      <c r="B2008" s="3" t="inlineStr">
        <is>
          <t>우진비앤지</t>
        </is>
      </c>
      <c r="C2008" s="2" t="inlineStr">
        <is>
          <t>018620</t>
        </is>
      </c>
      <c r="D2008" s="2" t="inlineStr">
        <is>
          <t>대량보유</t>
        </is>
      </c>
      <c r="E2008" s="3" t="inlineStr">
        <is>
          <t>강재구</t>
        </is>
      </c>
      <c r="F2008" s="3" t="inlineStr">
        <is>
          <t>특별관계자</t>
        </is>
      </c>
      <c r="G2008" s="3" t="inlineStr">
        <is>
          <t>주식병합</t>
        </is>
      </c>
      <c r="H2008" s="17" t="n">
        <v>-3386515</v>
      </c>
      <c r="I2008" s="6" t="inlineStr"/>
      <c r="J2008" s="6" t="n">
        <v>846628</v>
      </c>
      <c r="K2008" s="16" t="n">
        <v>7</v>
      </c>
      <c r="L2008" s="2" t="inlineStr">
        <is>
          <t>20260528000615</t>
        </is>
      </c>
      <c r="M2008" s="8">
        <f>HYPERLINK("https://dart.fss.or.kr/dsaf001/main.do?rcpNo=20260528000615", "공시열람")</f>
        <v/>
      </c>
    </row>
    <row r="2009" ht="22" customHeight="1">
      <c r="A2009" s="2" t="inlineStr">
        <is>
          <t>2026-05-28</t>
        </is>
      </c>
      <c r="B2009" s="3" t="inlineStr">
        <is>
          <t>우진비앤지</t>
        </is>
      </c>
      <c r="C2009" s="2" t="inlineStr">
        <is>
          <t>018620</t>
        </is>
      </c>
      <c r="D2009" s="2" t="inlineStr">
        <is>
          <t>대량보유</t>
        </is>
      </c>
      <c r="E2009" s="3" t="inlineStr">
        <is>
          <t>강석진</t>
        </is>
      </c>
      <c r="F2009" s="3" t="inlineStr">
        <is>
          <t>특별관계자</t>
        </is>
      </c>
      <c r="G2009" s="3" t="inlineStr">
        <is>
          <t>주식병합</t>
        </is>
      </c>
      <c r="H2009" s="17" t="n">
        <v>-1629984</v>
      </c>
      <c r="I2009" s="6" t="inlineStr"/>
      <c r="J2009" s="6" t="n">
        <v>407495</v>
      </c>
      <c r="K2009" s="16" t="n">
        <v>7</v>
      </c>
      <c r="L2009" s="2" t="inlineStr">
        <is>
          <t>20260528000615</t>
        </is>
      </c>
      <c r="M2009" s="8">
        <f>HYPERLINK("https://dart.fss.or.kr/dsaf001/main.do?rcpNo=20260528000615", "공시열람")</f>
        <v/>
      </c>
    </row>
    <row r="2010" ht="22" customHeight="1">
      <c r="A2010" s="2" t="inlineStr">
        <is>
          <t>2026-05-28</t>
        </is>
      </c>
      <c r="B2010" s="3" t="inlineStr">
        <is>
          <t>우진비앤지</t>
        </is>
      </c>
      <c r="C2010" s="2" t="inlineStr">
        <is>
          <t>018620</t>
        </is>
      </c>
      <c r="D2010" s="2" t="inlineStr">
        <is>
          <t>대량보유</t>
        </is>
      </c>
      <c r="E2010" s="3" t="inlineStr">
        <is>
          <t>강은영</t>
        </is>
      </c>
      <c r="F2010" s="3" t="inlineStr">
        <is>
          <t>특별관계자</t>
        </is>
      </c>
      <c r="G2010" s="3" t="inlineStr">
        <is>
          <t>주식병합</t>
        </is>
      </c>
      <c r="H2010" s="17" t="n">
        <v>-213444</v>
      </c>
      <c r="I2010" s="6" t="inlineStr"/>
      <c r="J2010" s="6" t="n">
        <v>53361</v>
      </c>
      <c r="K2010" s="16" t="n">
        <v>7</v>
      </c>
      <c r="L2010" s="2" t="inlineStr">
        <is>
          <t>20260528000615</t>
        </is>
      </c>
      <c r="M2010" s="8">
        <f>HYPERLINK("https://dart.fss.or.kr/dsaf001/main.do?rcpNo=20260528000615", "공시열람")</f>
        <v/>
      </c>
    </row>
    <row r="2011" ht="22" customHeight="1">
      <c r="A2011" s="2" t="inlineStr">
        <is>
          <t>2026-05-28</t>
        </is>
      </c>
      <c r="B2011" s="3" t="inlineStr">
        <is>
          <t>우진비앤지</t>
        </is>
      </c>
      <c r="C2011" s="2" t="inlineStr">
        <is>
          <t>018620</t>
        </is>
      </c>
      <c r="D2011" s="2" t="inlineStr">
        <is>
          <t>대량보유</t>
        </is>
      </c>
      <c r="E2011" s="3" t="inlineStr">
        <is>
          <t>윤정미</t>
        </is>
      </c>
      <c r="F2011" s="3" t="inlineStr">
        <is>
          <t>특별관계자</t>
        </is>
      </c>
      <c r="G2011" s="3" t="inlineStr">
        <is>
          <t>주식병합</t>
        </is>
      </c>
      <c r="H2011" s="17" t="n">
        <v>-56000</v>
      </c>
      <c r="I2011" s="6" t="inlineStr"/>
      <c r="J2011" s="6" t="n">
        <v>14000</v>
      </c>
      <c r="K2011" s="16" t="n">
        <v>7</v>
      </c>
      <c r="L2011" s="2" t="inlineStr">
        <is>
          <t>20260528000615</t>
        </is>
      </c>
      <c r="M2011" s="8">
        <f>HYPERLINK("https://dart.fss.or.kr/dsaf001/main.do?rcpNo=20260528000615", "공시열람")</f>
        <v/>
      </c>
    </row>
    <row r="2012" ht="22" customHeight="1">
      <c r="A2012" s="2" t="inlineStr">
        <is>
          <t>2026-05-28</t>
        </is>
      </c>
      <c r="B2012" s="3" t="inlineStr">
        <is>
          <t>우진비앤지</t>
        </is>
      </c>
      <c r="C2012" s="2" t="inlineStr">
        <is>
          <t>018620</t>
        </is>
      </c>
      <c r="D2012" s="2" t="inlineStr">
        <is>
          <t>대량보유</t>
        </is>
      </c>
      <c r="E2012" s="3" t="inlineStr">
        <is>
          <t>소부자</t>
        </is>
      </c>
      <c r="F2012" s="3" t="inlineStr">
        <is>
          <t>특별관계자</t>
        </is>
      </c>
      <c r="G2012" s="3" t="inlineStr">
        <is>
          <t>주식병합</t>
        </is>
      </c>
      <c r="H2012" s="17" t="n">
        <v>-18271</v>
      </c>
      <c r="I2012" s="6" t="inlineStr"/>
      <c r="J2012" s="6" t="n">
        <v>4567</v>
      </c>
      <c r="K2012" s="16" t="n">
        <v>7</v>
      </c>
      <c r="L2012" s="2" t="inlineStr">
        <is>
          <t>20260528000615</t>
        </is>
      </c>
      <c r="M2012" s="8">
        <f>HYPERLINK("https://dart.fss.or.kr/dsaf001/main.do?rcpNo=20260528000615", "공시열람")</f>
        <v/>
      </c>
    </row>
    <row r="2013" ht="22" customHeight="1">
      <c r="A2013" s="2" t="inlineStr">
        <is>
          <t>2026-05-28</t>
        </is>
      </c>
      <c r="B2013" s="3" t="inlineStr">
        <is>
          <t>우진비앤지</t>
        </is>
      </c>
      <c r="C2013" s="2" t="inlineStr">
        <is>
          <t>018620</t>
        </is>
      </c>
      <c r="D2013" s="2" t="inlineStr">
        <is>
          <t>대량보유</t>
        </is>
      </c>
      <c r="E2013" s="3" t="inlineStr">
        <is>
          <t>강명모</t>
        </is>
      </c>
      <c r="F2013" s="3" t="inlineStr">
        <is>
          <t>특별관계자</t>
        </is>
      </c>
      <c r="G2013" s="3" t="inlineStr">
        <is>
          <t>주식병합</t>
        </is>
      </c>
      <c r="H2013" s="17" t="n">
        <v>-24000</v>
      </c>
      <c r="I2013" s="6" t="inlineStr"/>
      <c r="J2013" s="6" t="n">
        <v>6000</v>
      </c>
      <c r="K2013" s="16" t="n">
        <v>7</v>
      </c>
      <c r="L2013" s="2" t="inlineStr">
        <is>
          <t>20260528000615</t>
        </is>
      </c>
      <c r="M2013" s="8">
        <f>HYPERLINK("https://dart.fss.or.kr/dsaf001/main.do?rcpNo=20260528000615", "공시열람")</f>
        <v/>
      </c>
    </row>
    <row r="2014" ht="22" customHeight="1">
      <c r="A2014" s="2" t="inlineStr">
        <is>
          <t>2026-05-28</t>
        </is>
      </c>
      <c r="B2014" s="3" t="inlineStr">
        <is>
          <t>우진비앤지</t>
        </is>
      </c>
      <c r="C2014" s="2" t="inlineStr">
        <is>
          <t>018620</t>
        </is>
      </c>
      <c r="D2014" s="2" t="inlineStr">
        <is>
          <t>대량보유</t>
        </is>
      </c>
      <c r="E2014" s="3" t="inlineStr">
        <is>
          <t>강경모</t>
        </is>
      </c>
      <c r="F2014" s="3" t="inlineStr">
        <is>
          <t>특별관계자</t>
        </is>
      </c>
      <c r="G2014" s="3" t="inlineStr">
        <is>
          <t>주식병합</t>
        </is>
      </c>
      <c r="H2014" s="17" t="n">
        <v>-24000</v>
      </c>
      <c r="I2014" s="6" t="inlineStr"/>
      <c r="J2014" s="6" t="n">
        <v>6000</v>
      </c>
      <c r="K2014" s="16" t="n">
        <v>7</v>
      </c>
      <c r="L2014" s="2" t="inlineStr">
        <is>
          <t>20260528000615</t>
        </is>
      </c>
      <c r="M2014" s="8">
        <f>HYPERLINK("https://dart.fss.or.kr/dsaf001/main.do?rcpNo=20260528000615", "공시열람")</f>
        <v/>
      </c>
    </row>
    <row r="2015" ht="22" customHeight="1">
      <c r="A2015" s="2" t="inlineStr">
        <is>
          <t>2026-05-28</t>
        </is>
      </c>
      <c r="B2015" s="3" t="inlineStr">
        <is>
          <t>우진비앤지</t>
        </is>
      </c>
      <c r="C2015" s="2" t="inlineStr">
        <is>
          <t>018620</t>
        </is>
      </c>
      <c r="D2015" s="2" t="inlineStr">
        <is>
          <t>대량보유</t>
        </is>
      </c>
      <c r="E2015" s="3" t="inlineStr">
        <is>
          <t>강민철</t>
        </is>
      </c>
      <c r="F2015" s="3" t="inlineStr">
        <is>
          <t>특별관계자</t>
        </is>
      </c>
      <c r="G2015" s="3" t="inlineStr">
        <is>
          <t>주식병합</t>
        </is>
      </c>
      <c r="H2015" s="17" t="n">
        <v>-24000</v>
      </c>
      <c r="I2015" s="6" t="inlineStr"/>
      <c r="J2015" s="6" t="n">
        <v>6000</v>
      </c>
      <c r="K2015" s="16" t="n">
        <v>7</v>
      </c>
      <c r="L2015" s="2" t="inlineStr">
        <is>
          <t>20260528000615</t>
        </is>
      </c>
      <c r="M2015" s="8">
        <f>HYPERLINK("https://dart.fss.or.kr/dsaf001/main.do?rcpNo=20260528000615", "공시열람")</f>
        <v/>
      </c>
    </row>
    <row r="2016" ht="22" customHeight="1">
      <c r="A2016" s="2" t="inlineStr">
        <is>
          <t>2026-05-28</t>
        </is>
      </c>
      <c r="B2016" s="3" t="inlineStr">
        <is>
          <t>삼익악기</t>
        </is>
      </c>
      <c r="C2016" s="2" t="inlineStr">
        <is>
          <t>002450</t>
        </is>
      </c>
      <c r="D2016" s="2" t="inlineStr">
        <is>
          <t>임원보고</t>
        </is>
      </c>
      <c r="E2016" s="3" t="inlineStr">
        <is>
          <t>-</t>
        </is>
      </c>
      <c r="F2016" s="3" t="inlineStr">
        <is>
          <t>-</t>
        </is>
      </c>
      <c r="G2016" s="3" t="inlineStr">
        <is>
          <t>-</t>
        </is>
      </c>
      <c r="H2016" s="6" t="inlineStr"/>
      <c r="I2016" s="6" t="inlineStr"/>
      <c r="J2016" s="6" t="inlineStr"/>
      <c r="K2016" s="16" t="n">
        <v>12</v>
      </c>
      <c r="L2016" s="2" t="inlineStr">
        <is>
          <t>20260528800596</t>
        </is>
      </c>
      <c r="M2016" s="8">
        <f>HYPERLINK("https://dart.fss.or.kr/dsaf001/main.do?rcpNo=20260528800596", "공시열람")</f>
        <v/>
      </c>
    </row>
    <row r="2017" ht="22" customHeight="1">
      <c r="A2017" s="2" t="inlineStr">
        <is>
          <t>2026-05-28</t>
        </is>
      </c>
      <c r="B2017" s="3" t="inlineStr">
        <is>
          <t>미원상사</t>
        </is>
      </c>
      <c r="C2017" s="2" t="inlineStr">
        <is>
          <t>002840</t>
        </is>
      </c>
      <c r="D2017" s="2" t="inlineStr">
        <is>
          <t>임원보고</t>
        </is>
      </c>
      <c r="E2017" s="3" t="inlineStr">
        <is>
          <t>-</t>
        </is>
      </c>
      <c r="F2017" s="3" t="inlineStr">
        <is>
          <t>-</t>
        </is>
      </c>
      <c r="G2017" s="3" t="inlineStr">
        <is>
          <t>-</t>
        </is>
      </c>
      <c r="H2017" s="6" t="inlineStr"/>
      <c r="I2017" s="6" t="inlineStr"/>
      <c r="J2017" s="6" t="inlineStr"/>
      <c r="K2017" s="16" t="n">
        <v>12</v>
      </c>
      <c r="L2017" s="2" t="inlineStr">
        <is>
          <t>20260528800583</t>
        </is>
      </c>
      <c r="M2017" s="8">
        <f>HYPERLINK("https://dart.fss.or.kr/dsaf001/main.do?rcpNo=20260528800583", "공시열람")</f>
        <v/>
      </c>
    </row>
    <row r="2018" ht="22" customHeight="1">
      <c r="A2018" s="2" t="inlineStr">
        <is>
          <t>2026-05-28</t>
        </is>
      </c>
      <c r="B2018" s="3" t="inlineStr">
        <is>
          <t>솔브레인홀딩스</t>
        </is>
      </c>
      <c r="C2018" s="2" t="inlineStr">
        <is>
          <t>036830</t>
        </is>
      </c>
      <c r="D2018" s="2" t="inlineStr">
        <is>
          <t>대량보유</t>
        </is>
      </c>
      <c r="E2018" s="3" t="inlineStr">
        <is>
          <t>도승철</t>
        </is>
      </c>
      <c r="F2018" s="3" t="inlineStr">
        <is>
          <t>특별관계자</t>
        </is>
      </c>
      <c r="G2018" s="3" t="inlineStr">
        <is>
          <t>장내매수(+)</t>
        </is>
      </c>
      <c r="H2018" s="15" t="n">
        <v>500</v>
      </c>
      <c r="I2018" s="6" t="n">
        <v>54496</v>
      </c>
      <c r="J2018" s="6" t="n">
        <v>1000</v>
      </c>
      <c r="K2018" s="16" t="n">
        <v>12</v>
      </c>
      <c r="L2018" s="2" t="inlineStr">
        <is>
          <t>20260528000596</t>
        </is>
      </c>
      <c r="M2018" s="8">
        <f>HYPERLINK("https://dart.fss.or.kr/dsaf001/main.do?rcpNo=20260528000596", "공시열람")</f>
        <v/>
      </c>
    </row>
    <row r="2019" ht="22" customHeight="1">
      <c r="A2019" s="2" t="inlineStr">
        <is>
          <t>2026-05-28</t>
        </is>
      </c>
      <c r="B2019" s="3" t="inlineStr">
        <is>
          <t>LS티라유텍</t>
        </is>
      </c>
      <c r="C2019" s="2" t="inlineStr">
        <is>
          <t>322180</t>
        </is>
      </c>
      <c r="D2019" s="2" t="inlineStr">
        <is>
          <t>대량보유</t>
        </is>
      </c>
      <c r="E2019" s="3" t="inlineStr">
        <is>
          <t>엘에스일렉트릭(주)</t>
        </is>
      </c>
      <c r="F2019" s="3" t="inlineStr">
        <is>
          <t>특별관계자</t>
        </is>
      </c>
      <c r="G2019" s="3" t="inlineStr">
        <is>
          <t>주식병합</t>
        </is>
      </c>
      <c r="H2019" s="17" t="n">
        <v>-29344</v>
      </c>
      <c r="I2019" s="6" t="inlineStr"/>
      <c r="J2019" s="6" t="n">
        <v>6972151</v>
      </c>
      <c r="K2019" s="16" t="n">
        <v>1</v>
      </c>
      <c r="L2019" s="2" t="inlineStr">
        <is>
          <t>20260528000570</t>
        </is>
      </c>
      <c r="M2019" s="8">
        <f>HYPERLINK("https://dart.fss.or.kr/dsaf001/main.do?rcpNo=20260528000570", "공시열람")</f>
        <v/>
      </c>
    </row>
    <row r="2020" ht="22" customHeight="1">
      <c r="A2020" s="2" t="inlineStr">
        <is>
          <t>2026-05-28</t>
        </is>
      </c>
      <c r="B2020" s="3" t="inlineStr">
        <is>
          <t>LS티라유텍</t>
        </is>
      </c>
      <c r="C2020" s="2" t="inlineStr">
        <is>
          <t>322180</t>
        </is>
      </c>
      <c r="D2020" s="2" t="inlineStr">
        <is>
          <t>대량보유</t>
        </is>
      </c>
      <c r="E2020" s="3" t="inlineStr">
        <is>
          <t>김병균</t>
        </is>
      </c>
      <c r="F2020" s="3" t="inlineStr">
        <is>
          <t>특별관계자</t>
        </is>
      </c>
      <c r="G2020" s="3" t="inlineStr">
        <is>
          <t>신규보고(+)</t>
        </is>
      </c>
      <c r="H2020" s="15" t="n">
        <v>20000</v>
      </c>
      <c r="I2020" s="6" t="n">
        <v>7576</v>
      </c>
      <c r="J2020" s="6" t="n">
        <v>20000</v>
      </c>
      <c r="K2020" s="16" t="n">
        <v>1</v>
      </c>
      <c r="L2020" s="2" t="inlineStr">
        <is>
          <t>20260528000570</t>
        </is>
      </c>
      <c r="M2020" s="8">
        <f>HYPERLINK("https://dart.fss.or.kr/dsaf001/main.do?rcpNo=20260528000570", "공시열람")</f>
        <v/>
      </c>
    </row>
    <row r="2021" ht="22" customHeight="1">
      <c r="A2021" s="2" t="inlineStr">
        <is>
          <t>2026-05-28</t>
        </is>
      </c>
      <c r="B2021" s="3" t="inlineStr">
        <is>
          <t>코스텍시스</t>
        </is>
      </c>
      <c r="C2021" s="2" t="inlineStr">
        <is>
          <t>355150</t>
        </is>
      </c>
      <c r="D2021" s="2" t="inlineStr">
        <is>
          <t>대량보유</t>
        </is>
      </c>
      <c r="E2021" s="3" t="inlineStr">
        <is>
          <t>모건스탠리앤씨오인터내셔널피엘씨</t>
        </is>
      </c>
      <c r="F2021" s="3" t="inlineStr">
        <is>
          <t>특별관계자</t>
        </is>
      </c>
      <c r="G2021" s="3" t="inlineStr">
        <is>
          <t>장내매도(-), 장내매수(+)</t>
        </is>
      </c>
      <c r="H2021" s="15" t="n">
        <v>486607</v>
      </c>
      <c r="I2021" s="6" t="n">
        <v>44369</v>
      </c>
      <c r="J2021" s="6" t="n">
        <v>486607</v>
      </c>
      <c r="K2021" s="16" t="n">
        <v>6.24</v>
      </c>
      <c r="L2021" s="2" t="inlineStr">
        <is>
          <t>20260528000567</t>
        </is>
      </c>
      <c r="M2021" s="8">
        <f>HYPERLINK("https://dart.fss.or.kr/dsaf001/main.do?rcpNo=20260528000567", "공시열람")</f>
        <v/>
      </c>
    </row>
    <row r="2022" ht="22" customHeight="1">
      <c r="A2022" s="2" t="inlineStr">
        <is>
          <t>2026-05-28</t>
        </is>
      </c>
      <c r="B2022" s="3" t="inlineStr">
        <is>
          <t>랩지노믹스</t>
        </is>
      </c>
      <c r="C2022" s="2" t="inlineStr">
        <is>
          <t>084650</t>
        </is>
      </c>
      <c r="D2022" s="2" t="inlineStr">
        <is>
          <t>대량보유</t>
        </is>
      </c>
      <c r="E2022" s="3" t="inlineStr">
        <is>
          <t>스틱리트머스유한회사</t>
        </is>
      </c>
      <c r="F2022" s="3" t="inlineStr">
        <is>
          <t>특별관계자</t>
        </is>
      </c>
      <c r="G2022" s="3" t="inlineStr">
        <is>
          <t>CB인수(+)</t>
        </is>
      </c>
      <c r="H2022" s="15" t="n">
        <v>13642564</v>
      </c>
      <c r="I2022" s="6" t="n">
        <v>1466</v>
      </c>
      <c r="J2022" s="6" t="n">
        <v>13642564</v>
      </c>
      <c r="K2022" s="16" t="n">
        <v>5</v>
      </c>
      <c r="L2022" s="2" t="inlineStr">
        <is>
          <t>20260528000522</t>
        </is>
      </c>
      <c r="M2022" s="8">
        <f>HYPERLINK("https://dart.fss.or.kr/dsaf001/main.do?rcpNo=20260528000522", "공시열람")</f>
        <v/>
      </c>
    </row>
    <row r="2023" ht="22" customHeight="1">
      <c r="A2023" s="2" t="inlineStr">
        <is>
          <t>2026-05-28</t>
        </is>
      </c>
      <c r="B2023" s="3" t="inlineStr">
        <is>
          <t>KG모빌리티</t>
        </is>
      </c>
      <c r="C2023" s="2" t="inlineStr">
        <is>
          <t>003620</t>
        </is>
      </c>
      <c r="D2023" s="2" t="inlineStr">
        <is>
          <t>임원보고</t>
        </is>
      </c>
      <c r="E2023" s="3" t="inlineStr">
        <is>
          <t>-</t>
        </is>
      </c>
      <c r="F2023" s="3" t="inlineStr">
        <is>
          <t>-</t>
        </is>
      </c>
      <c r="G2023" s="3" t="inlineStr">
        <is>
          <t>-</t>
        </is>
      </c>
      <c r="H2023" s="6" t="inlineStr"/>
      <c r="I2023" s="6" t="inlineStr"/>
      <c r="J2023" s="6" t="inlineStr"/>
      <c r="K2023" s="16" t="n">
        <v>12</v>
      </c>
      <c r="L2023" s="2" t="inlineStr">
        <is>
          <t>20260528800469</t>
        </is>
      </c>
      <c r="M2023" s="8">
        <f>HYPERLINK("https://dart.fss.or.kr/dsaf001/main.do?rcpNo=20260528800469", "공시열람")</f>
        <v/>
      </c>
    </row>
    <row r="2024" ht="22" customHeight="1">
      <c r="A2024" s="2" t="inlineStr">
        <is>
          <t>2026-05-28</t>
        </is>
      </c>
      <c r="B2024" s="3" t="inlineStr">
        <is>
          <t>가온전선</t>
        </is>
      </c>
      <c r="C2024" s="2" t="inlineStr">
        <is>
          <t>000500</t>
        </is>
      </c>
      <c r="D2024" s="2" t="inlineStr">
        <is>
          <t>대량보유</t>
        </is>
      </c>
      <c r="E2024" s="3" t="inlineStr">
        <is>
          <t>구은희</t>
        </is>
      </c>
      <c r="F2024" s="3" t="inlineStr">
        <is>
          <t>특별관계자</t>
        </is>
      </c>
      <c r="G2024" s="3" t="inlineStr">
        <is>
          <t>장내매수(+)</t>
        </is>
      </c>
      <c r="H2024" s="15" t="n">
        <v>11188</v>
      </c>
      <c r="I2024" s="6" t="n">
        <v>357363</v>
      </c>
      <c r="J2024" s="6" t="n">
        <v>11188</v>
      </c>
      <c r="K2024" s="16" t="n">
        <v>5</v>
      </c>
      <c r="L2024" s="2" t="inlineStr">
        <is>
          <t>20260528000465</t>
        </is>
      </c>
      <c r="M2024" s="8">
        <f>HYPERLINK("https://dart.fss.or.kr/dsaf001/main.do?rcpNo=20260528000465", "공시열람")</f>
        <v/>
      </c>
    </row>
    <row r="2025" ht="22" customHeight="1">
      <c r="A2025" s="2" t="inlineStr">
        <is>
          <t>2026-05-28</t>
        </is>
      </c>
      <c r="B2025" s="3" t="inlineStr">
        <is>
          <t>가온전선</t>
        </is>
      </c>
      <c r="C2025" s="2" t="inlineStr">
        <is>
          <t>000500</t>
        </is>
      </c>
      <c r="D2025" s="2" t="inlineStr">
        <is>
          <t>대량보유</t>
        </is>
      </c>
      <c r="E2025" s="3" t="inlineStr">
        <is>
          <t>정현</t>
        </is>
      </c>
      <c r="F2025" s="3" t="inlineStr">
        <is>
          <t>특별관계자</t>
        </is>
      </c>
      <c r="G2025" s="3" t="inlineStr">
        <is>
          <t>장내매수(+)</t>
        </is>
      </c>
      <c r="H2025" s="15" t="n">
        <v>2730</v>
      </c>
      <c r="I2025" s="6" t="n">
        <v>116122</v>
      </c>
      <c r="J2025" s="6" t="n">
        <v>2730</v>
      </c>
      <c r="K2025" s="16" t="n">
        <v>5</v>
      </c>
      <c r="L2025" s="2" t="inlineStr">
        <is>
          <t>20260528000465</t>
        </is>
      </c>
      <c r="M2025" s="8">
        <f>HYPERLINK("https://dart.fss.or.kr/dsaf001/main.do?rcpNo=20260528000465", "공시열람")</f>
        <v/>
      </c>
    </row>
    <row r="2026" ht="22" customHeight="1">
      <c r="A2026" s="2" t="inlineStr">
        <is>
          <t>2026-05-28</t>
        </is>
      </c>
      <c r="B2026" s="3" t="inlineStr">
        <is>
          <t>가온전선</t>
        </is>
      </c>
      <c r="C2026" s="2" t="inlineStr">
        <is>
          <t>000500</t>
        </is>
      </c>
      <c r="D2026" s="2" t="inlineStr">
        <is>
          <t>대량보유</t>
        </is>
      </c>
      <c r="E2026" s="3" t="inlineStr">
        <is>
          <t>이상호</t>
        </is>
      </c>
      <c r="F2026" s="3" t="inlineStr">
        <is>
          <t>특별관계자</t>
        </is>
      </c>
      <c r="G2026" s="3" t="inlineStr">
        <is>
          <t>장내매수(+)</t>
        </is>
      </c>
      <c r="H2026" s="15" t="n">
        <v>2307</v>
      </c>
      <c r="I2026" s="6" t="n">
        <v>201798</v>
      </c>
      <c r="J2026" s="6" t="n">
        <v>2307</v>
      </c>
      <c r="K2026" s="16" t="n">
        <v>5</v>
      </c>
      <c r="L2026" s="2" t="inlineStr">
        <is>
          <t>20260528000465</t>
        </is>
      </c>
      <c r="M2026" s="8">
        <f>HYPERLINK("https://dart.fss.or.kr/dsaf001/main.do?rcpNo=20260528000465", "공시열람")</f>
        <v/>
      </c>
    </row>
    <row r="2027" ht="22" customHeight="1">
      <c r="A2027" s="2" t="inlineStr">
        <is>
          <t>2026-05-28</t>
        </is>
      </c>
      <c r="B2027" s="3" t="inlineStr">
        <is>
          <t>가온전선</t>
        </is>
      </c>
      <c r="C2027" s="2" t="inlineStr">
        <is>
          <t>000500</t>
        </is>
      </c>
      <c r="D2027" s="2" t="inlineStr">
        <is>
          <t>대량보유</t>
        </is>
      </c>
      <c r="E2027" s="3" t="inlineStr">
        <is>
          <t>강병윤</t>
        </is>
      </c>
      <c r="F2027" s="3" t="inlineStr">
        <is>
          <t>특별관계자</t>
        </is>
      </c>
      <c r="G2027" s="3" t="inlineStr">
        <is>
          <t>장내매수(+)</t>
        </is>
      </c>
      <c r="H2027" s="15" t="n">
        <v>123</v>
      </c>
      <c r="I2027" s="6" t="n">
        <v>398500</v>
      </c>
      <c r="J2027" s="6" t="n">
        <v>123</v>
      </c>
      <c r="K2027" s="16" t="n">
        <v>5</v>
      </c>
      <c r="L2027" s="2" t="inlineStr">
        <is>
          <t>20260528000465</t>
        </is>
      </c>
      <c r="M2027" s="8">
        <f>HYPERLINK("https://dart.fss.or.kr/dsaf001/main.do?rcpNo=20260528000465", "공시열람")</f>
        <v/>
      </c>
    </row>
    <row r="2028" ht="22" customHeight="1">
      <c r="A2028" s="2" t="inlineStr">
        <is>
          <t>2026-05-28</t>
        </is>
      </c>
      <c r="B2028" s="3" t="inlineStr">
        <is>
          <t>KPX홀딩스</t>
        </is>
      </c>
      <c r="C2028" s="2" t="inlineStr">
        <is>
          <t>092230</t>
        </is>
      </c>
      <c r="D2028" s="2" t="inlineStr">
        <is>
          <t>임원보고</t>
        </is>
      </c>
      <c r="E2028" s="3" t="inlineStr">
        <is>
          <t>-</t>
        </is>
      </c>
      <c r="F2028" s="3" t="inlineStr">
        <is>
          <t>-</t>
        </is>
      </c>
      <c r="G2028" s="3" t="inlineStr">
        <is>
          <t>-</t>
        </is>
      </c>
      <c r="H2028" s="6" t="inlineStr"/>
      <c r="I2028" s="6" t="inlineStr"/>
      <c r="J2028" s="6" t="inlineStr"/>
      <c r="K2028" s="16" t="n">
        <v>12</v>
      </c>
      <c r="L2028" s="2" t="inlineStr">
        <is>
          <t>20260528800440</t>
        </is>
      </c>
      <c r="M2028" s="8">
        <f>HYPERLINK("https://dart.fss.or.kr/dsaf001/main.do?rcpNo=20260528800440", "공시열람")</f>
        <v/>
      </c>
    </row>
    <row r="2029" ht="22" customHeight="1">
      <c r="A2029" s="2" t="inlineStr">
        <is>
          <t>2026-05-28</t>
        </is>
      </c>
      <c r="B2029" s="3" t="inlineStr">
        <is>
          <t>엔젯</t>
        </is>
      </c>
      <c r="C2029" s="2" t="inlineStr">
        <is>
          <t>419080</t>
        </is>
      </c>
      <c r="D2029" s="2" t="inlineStr">
        <is>
          <t>대량보유</t>
        </is>
      </c>
      <c r="E2029" s="3" t="inlineStr">
        <is>
          <t>파인밸류자산운용(주)</t>
        </is>
      </c>
      <c r="F2029" s="3" t="inlineStr">
        <is>
          <t>특별관계자</t>
        </is>
      </c>
      <c r="G2029" s="3" t="inlineStr">
        <is>
          <t>CB인수(+), BW인수(+)</t>
        </is>
      </c>
      <c r="H2029" s="15" t="n">
        <v>443761</v>
      </c>
      <c r="I2029" s="6" t="n">
        <v>5634</v>
      </c>
      <c r="J2029" s="6" t="n">
        <v>593821</v>
      </c>
      <c r="K2029" s="16" t="n">
        <v>1</v>
      </c>
      <c r="L2029" s="2" t="inlineStr">
        <is>
          <t>20260528000429</t>
        </is>
      </c>
      <c r="M2029" s="8">
        <f>HYPERLINK("https://dart.fss.or.kr/dsaf001/main.do?rcpNo=20260528000429", "공시열람")</f>
        <v/>
      </c>
    </row>
    <row r="2030" ht="22" customHeight="1">
      <c r="A2030" s="2" t="inlineStr">
        <is>
          <t>2026-05-28</t>
        </is>
      </c>
      <c r="B2030" s="3" t="inlineStr">
        <is>
          <t>엔젯</t>
        </is>
      </c>
      <c r="C2030" s="2" t="inlineStr">
        <is>
          <t>419080</t>
        </is>
      </c>
      <c r="D2030" s="2" t="inlineStr">
        <is>
          <t>대량보유</t>
        </is>
      </c>
      <c r="E2030" s="3" t="inlineStr">
        <is>
          <t>엔에이치-파인밸류제1호메자닌신기술투자조합</t>
        </is>
      </c>
      <c r="F2030" s="3" t="inlineStr">
        <is>
          <t>특별관계자</t>
        </is>
      </c>
      <c r="G2030" s="3" t="inlineStr">
        <is>
          <t>CB인수(+)</t>
        </is>
      </c>
      <c r="H2030" s="15" t="n">
        <v>150060</v>
      </c>
      <c r="I2030" s="6" t="n">
        <v>6664</v>
      </c>
      <c r="J2030" s="6" t="n">
        <v>225090</v>
      </c>
      <c r="K2030" s="16" t="n">
        <v>1</v>
      </c>
      <c r="L2030" s="2" t="inlineStr">
        <is>
          <t>20260528000429</t>
        </is>
      </c>
      <c r="M2030" s="8">
        <f>HYPERLINK("https://dart.fss.or.kr/dsaf001/main.do?rcpNo=20260528000429", "공시열람")</f>
        <v/>
      </c>
    </row>
    <row r="2031" ht="22" customHeight="1">
      <c r="A2031" s="2" t="inlineStr">
        <is>
          <t>2026-05-28</t>
        </is>
      </c>
      <c r="B2031" s="3" t="inlineStr">
        <is>
          <t>에스티아이</t>
        </is>
      </c>
      <c r="C2031" s="2" t="inlineStr">
        <is>
          <t>039440</t>
        </is>
      </c>
      <c r="D2031" s="2" t="inlineStr">
        <is>
          <t>대량보유</t>
        </is>
      </c>
      <c r="E2031" s="3" t="inlineStr">
        <is>
          <t>이우석</t>
        </is>
      </c>
      <c r="F2031" s="3" t="inlineStr">
        <is>
          <t>특별관계자</t>
        </is>
      </c>
      <c r="G2031" s="3" t="inlineStr">
        <is>
          <t>장내매수(+), 주식매수선택권행사(-)</t>
        </is>
      </c>
      <c r="H2031" s="17" t="n">
        <v>-92000</v>
      </c>
      <c r="I2031" s="6" t="n">
        <v>23012</v>
      </c>
      <c r="J2031" s="6" t="inlineStr"/>
      <c r="K2031" s="16" t="n">
        <v>3</v>
      </c>
      <c r="L2031" s="2" t="inlineStr">
        <is>
          <t>20260528000375</t>
        </is>
      </c>
      <c r="M2031" s="8">
        <f>HYPERLINK("https://dart.fss.or.kr/dsaf001/main.do?rcpNo=20260528000375", "공시열람")</f>
        <v/>
      </c>
    </row>
    <row r="2032" ht="22" customHeight="1">
      <c r="A2032" s="2" t="inlineStr">
        <is>
          <t>2026-05-28</t>
        </is>
      </c>
      <c r="B2032" s="3" t="inlineStr">
        <is>
          <t>현대이지웰</t>
        </is>
      </c>
      <c r="C2032" s="2" t="inlineStr">
        <is>
          <t>090850</t>
        </is>
      </c>
      <c r="D2032" s="2" t="inlineStr">
        <is>
          <t>대량보유</t>
        </is>
      </c>
      <c r="E2032" s="3" t="inlineStr">
        <is>
          <t>MiriCapitalManagementLLC</t>
        </is>
      </c>
      <c r="F2032" s="3" t="inlineStr">
        <is>
          <t>특별관계자</t>
        </is>
      </c>
      <c r="G2032" s="3" t="inlineStr">
        <is>
          <t>신규보고(+), 장내매수(+)</t>
        </is>
      </c>
      <c r="H2032" s="15" t="n">
        <v>1179283</v>
      </c>
      <c r="I2032" s="6" t="n">
        <v>5309</v>
      </c>
      <c r="J2032" s="6" t="n">
        <v>1179283</v>
      </c>
      <c r="K2032" s="16" t="n">
        <v>2</v>
      </c>
      <c r="L2032" s="2" t="inlineStr">
        <is>
          <t>20260528000082</t>
        </is>
      </c>
      <c r="M2032" s="8">
        <f>HYPERLINK("https://dart.fss.or.kr/dsaf001/main.do?rcpNo=20260528000082", "공시열람")</f>
        <v/>
      </c>
    </row>
    <row r="2033" ht="22" customHeight="1">
      <c r="A2033" s="2" t="inlineStr">
        <is>
          <t>2026-05-28</t>
        </is>
      </c>
      <c r="B2033" s="3" t="inlineStr">
        <is>
          <t>코스맥스비티아이</t>
        </is>
      </c>
      <c r="C2033" s="2" t="inlineStr">
        <is>
          <t>044820</t>
        </is>
      </c>
      <c r="D2033" s="2" t="inlineStr">
        <is>
          <t>대량보유</t>
        </is>
      </c>
      <c r="E2033" s="3" t="inlineStr">
        <is>
          <t>서성석</t>
        </is>
      </c>
      <c r="F2033" s="3" t="inlineStr">
        <is>
          <t>특별관계자</t>
        </is>
      </c>
      <c r="G2033" s="3" t="inlineStr">
        <is>
          <t>장외매도(-)</t>
        </is>
      </c>
      <c r="H2033" s="17" t="n">
        <v>-843340</v>
      </c>
      <c r="I2033" s="6" t="n">
        <v>18992</v>
      </c>
      <c r="J2033" s="6" t="n">
        <v>1328079</v>
      </c>
      <c r="K2033" s="16" t="n">
        <v>9</v>
      </c>
      <c r="L2033" s="2" t="inlineStr">
        <is>
          <t>20260527000620</t>
        </is>
      </c>
      <c r="M2033" s="8">
        <f>HYPERLINK("https://dart.fss.or.kr/dsaf001/main.do?rcpNo=20260527000620", "공시열람")</f>
        <v/>
      </c>
    </row>
    <row r="2034" ht="22" customHeight="1">
      <c r="A2034" s="2" t="inlineStr">
        <is>
          <t>2026-05-28</t>
        </is>
      </c>
      <c r="B2034" s="3" t="inlineStr">
        <is>
          <t>코스맥스비티아이</t>
        </is>
      </c>
      <c r="C2034" s="2" t="inlineStr">
        <is>
          <t>044820</t>
        </is>
      </c>
      <c r="D2034" s="2" t="inlineStr">
        <is>
          <t>대량보유</t>
        </is>
      </c>
      <c r="E2034" s="3" t="inlineStr">
        <is>
          <t>주식회사에스에스와이</t>
        </is>
      </c>
      <c r="F2034" s="3" t="inlineStr">
        <is>
          <t>특별관계자</t>
        </is>
      </c>
      <c r="G2034" s="3" t="inlineStr">
        <is>
          <t>장외매수(+)</t>
        </is>
      </c>
      <c r="H2034" s="15" t="n">
        <v>421670</v>
      </c>
      <c r="I2034" s="6" t="n">
        <v>18992</v>
      </c>
      <c r="J2034" s="6" t="n">
        <v>421670</v>
      </c>
      <c r="K2034" s="16" t="n">
        <v>9</v>
      </c>
      <c r="L2034" s="2" t="inlineStr">
        <is>
          <t>20260527000620</t>
        </is>
      </c>
      <c r="M2034" s="8">
        <f>HYPERLINK("https://dart.fss.or.kr/dsaf001/main.do?rcpNo=20260527000620", "공시열람")</f>
        <v/>
      </c>
    </row>
    <row r="2035" ht="22" customHeight="1">
      <c r="A2035" s="2" t="inlineStr">
        <is>
          <t>2026-05-28</t>
        </is>
      </c>
      <c r="B2035" s="3" t="inlineStr">
        <is>
          <t>코스맥스비티아이</t>
        </is>
      </c>
      <c r="C2035" s="2" t="inlineStr">
        <is>
          <t>044820</t>
        </is>
      </c>
      <c r="D2035" s="2" t="inlineStr">
        <is>
          <t>대량보유</t>
        </is>
      </c>
      <c r="E2035" s="3" t="inlineStr">
        <is>
          <t>주식회사비제이에이치</t>
        </is>
      </c>
      <c r="F2035" s="3" t="inlineStr">
        <is>
          <t>특별관계자</t>
        </is>
      </c>
      <c r="G2035" s="3" t="inlineStr">
        <is>
          <t>장외매수(+)</t>
        </is>
      </c>
      <c r="H2035" s="15" t="n">
        <v>421670</v>
      </c>
      <c r="I2035" s="6" t="n">
        <v>18992</v>
      </c>
      <c r="J2035" s="6" t="n">
        <v>421670</v>
      </c>
      <c r="K2035" s="16" t="n">
        <v>9</v>
      </c>
      <c r="L2035" s="2" t="inlineStr">
        <is>
          <t>20260527000620</t>
        </is>
      </c>
      <c r="M2035" s="8">
        <f>HYPERLINK("https://dart.fss.or.kr/dsaf001/main.do?rcpNo=20260527000620", "공시열람")</f>
        <v/>
      </c>
    </row>
    <row r="2036" ht="22" customHeight="1">
      <c r="A2036" s="2" t="inlineStr">
        <is>
          <t>2026-05-28</t>
        </is>
      </c>
      <c r="B2036" s="3" t="inlineStr">
        <is>
          <t>코스맥스비티아이</t>
        </is>
      </c>
      <c r="C2036" s="2" t="inlineStr">
        <is>
          <t>044820</t>
        </is>
      </c>
      <c r="D2036" s="2" t="inlineStr">
        <is>
          <t>대량보유</t>
        </is>
      </c>
      <c r="E2036" s="3" t="inlineStr">
        <is>
          <t>이상인</t>
        </is>
      </c>
      <c r="F2036" s="3" t="inlineStr">
        <is>
          <t>특별관계자</t>
        </is>
      </c>
      <c r="G2036" s="3" t="inlineStr">
        <is>
          <t>신규보고(+)</t>
        </is>
      </c>
      <c r="H2036" s="15" t="n">
        <v>3400</v>
      </c>
      <c r="I2036" s="6" t="n">
        <v>14954</v>
      </c>
      <c r="J2036" s="6" t="n">
        <v>3400</v>
      </c>
      <c r="K2036" s="16" t="n">
        <v>9</v>
      </c>
      <c r="L2036" s="2" t="inlineStr">
        <is>
          <t>20260527000620</t>
        </is>
      </c>
      <c r="M2036" s="8">
        <f>HYPERLINK("https://dart.fss.or.kr/dsaf001/main.do?rcpNo=20260527000620", "공시열람")</f>
        <v/>
      </c>
    </row>
    <row r="2037" ht="22" customHeight="1">
      <c r="A2037" s="2" t="inlineStr">
        <is>
          <t>2026-05-29</t>
        </is>
      </c>
      <c r="B2037" s="3" t="inlineStr">
        <is>
          <t>서울전자통신</t>
        </is>
      </c>
      <c r="C2037" s="2" t="inlineStr">
        <is>
          <t>027040</t>
        </is>
      </c>
      <c r="D2037" s="2" t="inlineStr">
        <is>
          <t>대량보유</t>
        </is>
      </c>
      <c r="E2037" s="3" t="inlineStr">
        <is>
          <t>에스이티제2호투자조합</t>
        </is>
      </c>
      <c r="F2037" s="3" t="inlineStr">
        <is>
          <t>특별관계자</t>
        </is>
      </c>
      <c r="G2037" s="3" t="inlineStr">
        <is>
          <t>장외매수(+)</t>
        </is>
      </c>
      <c r="H2037" s="15" t="n">
        <v>1876675</v>
      </c>
      <c r="I2037" s="6" t="n">
        <v>1864</v>
      </c>
      <c r="J2037" s="6" t="n">
        <v>1876675</v>
      </c>
      <c r="K2037" s="16" t="n">
        <v>2</v>
      </c>
      <c r="L2037" s="2" t="inlineStr">
        <is>
          <t>20260529002354</t>
        </is>
      </c>
      <c r="M2037" s="8">
        <f>HYPERLINK("https://dart.fss.or.kr/dsaf001/main.do?rcpNo=20260529002354", "공시열람")</f>
        <v/>
      </c>
    </row>
    <row r="2038" ht="22" customHeight="1">
      <c r="A2038" s="2" t="inlineStr">
        <is>
          <t>2026-05-29</t>
        </is>
      </c>
      <c r="B2038" s="3" t="inlineStr">
        <is>
          <t>서울전자통신</t>
        </is>
      </c>
      <c r="C2038" s="2" t="inlineStr">
        <is>
          <t>027040</t>
        </is>
      </c>
      <c r="D2038" s="2" t="inlineStr">
        <is>
          <t>대량보유</t>
        </is>
      </c>
      <c r="E2038" s="3" t="inlineStr">
        <is>
          <t>에스이티제1호투자조합</t>
        </is>
      </c>
      <c r="F2038" s="3" t="inlineStr">
        <is>
          <t>특별관계자</t>
        </is>
      </c>
      <c r="G2038" s="3" t="inlineStr">
        <is>
          <t>장외매수(+)</t>
        </is>
      </c>
      <c r="H2038" s="15" t="n">
        <v>1876675</v>
      </c>
      <c r="I2038" s="6" t="n">
        <v>1864</v>
      </c>
      <c r="J2038" s="6" t="n">
        <v>1876675</v>
      </c>
      <c r="K2038" s="16" t="n">
        <v>1</v>
      </c>
      <c r="L2038" s="2" t="inlineStr">
        <is>
          <t>20260529002345</t>
        </is>
      </c>
      <c r="M2038" s="8">
        <f>HYPERLINK("https://dart.fss.or.kr/dsaf001/main.do?rcpNo=20260529002345", "공시열람")</f>
        <v/>
      </c>
    </row>
    <row r="2039" ht="22" customHeight="1">
      <c r="A2039" s="2" t="inlineStr">
        <is>
          <t>2026-05-29</t>
        </is>
      </c>
      <c r="B2039" s="3" t="inlineStr">
        <is>
          <t>서울전자통신</t>
        </is>
      </c>
      <c r="C2039" s="2" t="inlineStr">
        <is>
          <t>027040</t>
        </is>
      </c>
      <c r="D2039" s="2" t="inlineStr">
        <is>
          <t>대량보유</t>
        </is>
      </c>
      <c r="E2039" s="3" t="inlineStr">
        <is>
          <t>(주)다온인터내셔널</t>
        </is>
      </c>
      <c r="F2039" s="3" t="inlineStr">
        <is>
          <t>특별관계자</t>
        </is>
      </c>
      <c r="G2039" s="3" t="inlineStr">
        <is>
          <t>장외매수(+)</t>
        </is>
      </c>
      <c r="H2039" s="15" t="n">
        <v>2073196</v>
      </c>
      <c r="I2039" s="6" t="n">
        <v>1864</v>
      </c>
      <c r="J2039" s="6" t="n">
        <v>2073196</v>
      </c>
      <c r="K2039" s="16" t="n">
        <v>14.9</v>
      </c>
      <c r="L2039" s="2" t="inlineStr">
        <is>
          <t>20260529002335</t>
        </is>
      </c>
      <c r="M2039" s="8">
        <f>HYPERLINK("https://dart.fss.or.kr/dsaf001/main.do?rcpNo=20260529002335", "공시열람")</f>
        <v/>
      </c>
    </row>
    <row r="2040" ht="22" customHeight="1">
      <c r="A2040" s="2" t="inlineStr">
        <is>
          <t>2026-05-29</t>
        </is>
      </c>
      <c r="B2040" s="3" t="inlineStr">
        <is>
          <t>SBS</t>
        </is>
      </c>
      <c r="C2040" s="2" t="inlineStr">
        <is>
          <t>034120</t>
        </is>
      </c>
      <c r="D2040" s="2" t="inlineStr">
        <is>
          <t>대량보유</t>
        </is>
      </c>
      <c r="E2040" s="3" t="inlineStr">
        <is>
          <t>주경숙</t>
        </is>
      </c>
      <c r="F2040" s="3" t="inlineStr">
        <is>
          <t>특별관계자</t>
        </is>
      </c>
      <c r="G2040" s="3" t="inlineStr">
        <is>
          <t>장내매수(+)</t>
        </is>
      </c>
      <c r="H2040" s="15" t="n">
        <v>35900</v>
      </c>
      <c r="I2040" s="6" t="n">
        <v>14239</v>
      </c>
      <c r="J2040" s="6" t="n">
        <v>925000</v>
      </c>
      <c r="K2040" s="16" t="n">
        <v>2</v>
      </c>
      <c r="L2040" s="2" t="inlineStr">
        <is>
          <t>20260529002322</t>
        </is>
      </c>
      <c r="M2040" s="8">
        <f>HYPERLINK("https://dart.fss.or.kr/dsaf001/main.do?rcpNo=20260529002322", "공시열람")</f>
        <v/>
      </c>
    </row>
    <row r="2041" ht="22" customHeight="1">
      <c r="A2041" s="2" t="inlineStr">
        <is>
          <t>2026-05-29</t>
        </is>
      </c>
      <c r="B2041" s="3" t="inlineStr">
        <is>
          <t>SBS</t>
        </is>
      </c>
      <c r="C2041" s="2" t="inlineStr">
        <is>
          <t>034120</t>
        </is>
      </c>
      <c r="D2041" s="2" t="inlineStr">
        <is>
          <t>대량보유</t>
        </is>
      </c>
      <c r="E2041" s="3" t="inlineStr">
        <is>
          <t>박진재</t>
        </is>
      </c>
      <c r="F2041" s="3" t="inlineStr">
        <is>
          <t>특별관계자</t>
        </is>
      </c>
      <c r="G2041" s="3" t="inlineStr">
        <is>
          <t>신규보고</t>
        </is>
      </c>
      <c r="H2041" s="6" t="inlineStr"/>
      <c r="I2041" s="6" t="inlineStr"/>
      <c r="J2041" s="6" t="n">
        <v>38310</v>
      </c>
      <c r="K2041" s="16" t="n">
        <v>2</v>
      </c>
      <c r="L2041" s="2" t="inlineStr">
        <is>
          <t>20260529002322</t>
        </is>
      </c>
      <c r="M2041" s="8">
        <f>HYPERLINK("https://dart.fss.or.kr/dsaf001/main.do?rcpNo=20260529002322", "공시열람")</f>
        <v/>
      </c>
    </row>
    <row r="2042" ht="22" customHeight="1">
      <c r="A2042" s="2" t="inlineStr">
        <is>
          <t>2026-05-29</t>
        </is>
      </c>
      <c r="B2042" s="3" t="inlineStr">
        <is>
          <t>미원홀딩스</t>
        </is>
      </c>
      <c r="C2042" s="2" t="inlineStr">
        <is>
          <t>107590</t>
        </is>
      </c>
      <c r="D2042" s="2" t="inlineStr">
        <is>
          <t>임원보고</t>
        </is>
      </c>
      <c r="E2042" s="3" t="inlineStr">
        <is>
          <t>-</t>
        </is>
      </c>
      <c r="F2042" s="3" t="inlineStr">
        <is>
          <t>-</t>
        </is>
      </c>
      <c r="G2042" s="3" t="inlineStr">
        <is>
          <t>-</t>
        </is>
      </c>
      <c r="H2042" s="6" t="inlineStr"/>
      <c r="I2042" s="6" t="inlineStr"/>
      <c r="J2042" s="6" t="inlineStr"/>
      <c r="K2042" s="16" t="n">
        <v>12</v>
      </c>
      <c r="L2042" s="2" t="inlineStr">
        <is>
          <t>20260529802078</t>
        </is>
      </c>
      <c r="M2042" s="8">
        <f>HYPERLINK("https://dart.fss.or.kr/dsaf001/main.do?rcpNo=20260529802078", "공시열람")</f>
        <v/>
      </c>
    </row>
    <row r="2043" ht="22" customHeight="1">
      <c r="A2043" s="2" t="inlineStr">
        <is>
          <t>2026-05-29</t>
        </is>
      </c>
      <c r="B2043" s="3" t="inlineStr">
        <is>
          <t>달바글로벌</t>
        </is>
      </c>
      <c r="C2043" s="2" t="inlineStr">
        <is>
          <t>483650</t>
        </is>
      </c>
      <c r="D2043" s="2" t="inlineStr">
        <is>
          <t>대량보유</t>
        </is>
      </c>
      <c r="E2043" s="3" t="inlineStr">
        <is>
          <t>반성연</t>
        </is>
      </c>
      <c r="F2043" s="3" t="inlineStr">
        <is>
          <t>특별관계자</t>
        </is>
      </c>
      <c r="G2043" s="3" t="inlineStr">
        <is>
          <t>-</t>
        </is>
      </c>
      <c r="H2043" s="6" t="inlineStr"/>
      <c r="I2043" s="6" t="inlineStr"/>
      <c r="J2043" s="6" t="inlineStr"/>
      <c r="K2043" s="16" t="n">
        <v>2</v>
      </c>
      <c r="L2043" s="2" t="inlineStr">
        <is>
          <t>20260529002316</t>
        </is>
      </c>
      <c r="M2043" s="8">
        <f>HYPERLINK("https://dart.fss.or.kr/dsaf001/main.do?rcpNo=20260529002316", "공시열람")</f>
        <v/>
      </c>
    </row>
    <row r="2044" ht="22" customHeight="1">
      <c r="A2044" s="2" t="inlineStr">
        <is>
          <t>2026-05-29</t>
        </is>
      </c>
      <c r="B2044" s="3" t="inlineStr">
        <is>
          <t>달바글로벌</t>
        </is>
      </c>
      <c r="C2044" s="2" t="inlineStr">
        <is>
          <t>483650</t>
        </is>
      </c>
      <c r="D2044" s="2" t="inlineStr">
        <is>
          <t>대량보유</t>
        </is>
      </c>
      <c r="E2044" s="3" t="inlineStr">
        <is>
          <t>유명한</t>
        </is>
      </c>
      <c r="F2044" s="3" t="inlineStr">
        <is>
          <t>특별관계자</t>
        </is>
      </c>
      <c r="G2044" s="3" t="inlineStr">
        <is>
          <t>-</t>
        </is>
      </c>
      <c r="H2044" s="6" t="inlineStr"/>
      <c r="I2044" s="6" t="inlineStr"/>
      <c r="J2044" s="6" t="inlineStr"/>
      <c r="K2044" s="16" t="n">
        <v>2</v>
      </c>
      <c r="L2044" s="2" t="inlineStr">
        <is>
          <t>20260529002316</t>
        </is>
      </c>
      <c r="M2044" s="8">
        <f>HYPERLINK("https://dart.fss.or.kr/dsaf001/main.do?rcpNo=20260529002316", "공시열람")</f>
        <v/>
      </c>
    </row>
    <row r="2045" ht="22" customHeight="1">
      <c r="A2045" s="2" t="inlineStr">
        <is>
          <t>2026-05-29</t>
        </is>
      </c>
      <c r="B2045" s="3" t="inlineStr">
        <is>
          <t>달바글로벌</t>
        </is>
      </c>
      <c r="C2045" s="2" t="inlineStr">
        <is>
          <t>483650</t>
        </is>
      </c>
      <c r="D2045" s="2" t="inlineStr">
        <is>
          <t>대량보유</t>
        </is>
      </c>
      <c r="E2045" s="3" t="inlineStr">
        <is>
          <t>양세훈</t>
        </is>
      </c>
      <c r="F2045" s="3" t="inlineStr">
        <is>
          <t>특별관계자</t>
        </is>
      </c>
      <c r="G2045" s="3" t="inlineStr">
        <is>
          <t>-</t>
        </is>
      </c>
      <c r="H2045" s="6" t="inlineStr"/>
      <c r="I2045" s="6" t="inlineStr"/>
      <c r="J2045" s="6" t="inlineStr"/>
      <c r="K2045" s="16" t="n">
        <v>2</v>
      </c>
      <c r="L2045" s="2" t="inlineStr">
        <is>
          <t>20260529002316</t>
        </is>
      </c>
      <c r="M2045" s="8">
        <f>HYPERLINK("https://dart.fss.or.kr/dsaf001/main.do?rcpNo=20260529002316", "공시열람")</f>
        <v/>
      </c>
    </row>
    <row r="2046" ht="22" customHeight="1">
      <c r="A2046" s="2" t="inlineStr">
        <is>
          <t>2026-05-29 (정정: 2026-06-02)</t>
        </is>
      </c>
      <c r="B2046" s="3" t="inlineStr">
        <is>
          <t>더블유에스아이</t>
        </is>
      </c>
      <c r="C2046" s="2" t="inlineStr">
        <is>
          <t>299170</t>
        </is>
      </c>
      <c r="D2046" s="2" t="inlineStr">
        <is>
          <t>대량보유</t>
        </is>
      </c>
      <c r="E2046" s="3" t="inlineStr">
        <is>
          <t>박재희</t>
        </is>
      </c>
      <c r="F2046" s="3" t="inlineStr">
        <is>
          <t>특별관계자</t>
        </is>
      </c>
      <c r="G2046" s="3" t="inlineStr">
        <is>
          <t>장내매도(-)</t>
        </is>
      </c>
      <c r="H2046" s="17" t="n">
        <v>-194633</v>
      </c>
      <c r="I2046" s="6" t="n">
        <v>2451</v>
      </c>
      <c r="J2046" s="6" t="n">
        <v>645522</v>
      </c>
      <c r="K2046" s="16" t="n">
        <v>6</v>
      </c>
      <c r="L2046" s="2" t="inlineStr">
        <is>
          <t>20260602000457</t>
        </is>
      </c>
      <c r="M2046" s="8">
        <f>HYPERLINK("https://dart.fss.or.kr/dsaf001/main.do?rcpNo=20260602000457", "공시열람")</f>
        <v/>
      </c>
    </row>
    <row r="2047" ht="22" customHeight="1">
      <c r="A2047" s="2" t="inlineStr">
        <is>
          <t>2026-05-29</t>
        </is>
      </c>
      <c r="B2047" s="3" t="inlineStr">
        <is>
          <t>폴라리스세원</t>
        </is>
      </c>
      <c r="C2047" s="2" t="inlineStr">
        <is>
          <t>234100</t>
        </is>
      </c>
      <c r="D2047" s="2" t="inlineStr">
        <is>
          <t>대량보유</t>
        </is>
      </c>
      <c r="E2047" s="3" t="inlineStr">
        <is>
          <t>(주)폴라리스오피스</t>
        </is>
      </c>
      <c r="F2047" s="3" t="inlineStr">
        <is>
          <t>특별관계자</t>
        </is>
      </c>
      <c r="G2047" s="3" t="inlineStr">
        <is>
          <t>주식병합</t>
        </is>
      </c>
      <c r="H2047" s="17" t="n">
        <v>-21002554</v>
      </c>
      <c r="I2047" s="6" t="inlineStr"/>
      <c r="J2047" s="6" t="n">
        <v>5250638</v>
      </c>
      <c r="K2047" s="16" t="n">
        <v>35.96</v>
      </c>
      <c r="L2047" s="2" t="inlineStr">
        <is>
          <t>20260529002293</t>
        </is>
      </c>
      <c r="M2047" s="8">
        <f>HYPERLINK("https://dart.fss.or.kr/dsaf001/main.do?rcpNo=20260529002293", "공시열람")</f>
        <v/>
      </c>
    </row>
    <row r="2048" ht="22" customHeight="1">
      <c r="A2048" s="2" t="inlineStr">
        <is>
          <t>2026-05-29</t>
        </is>
      </c>
      <c r="B2048" s="3" t="inlineStr">
        <is>
          <t>남화산업</t>
        </is>
      </c>
      <c r="C2048" s="2" t="inlineStr">
        <is>
          <t>111710</t>
        </is>
      </c>
      <c r="D2048" s="2" t="inlineStr">
        <is>
          <t>대량보유</t>
        </is>
      </c>
      <c r="E2048" s="3" t="inlineStr">
        <is>
          <t>최현석</t>
        </is>
      </c>
      <c r="F2048" s="3" t="inlineStr">
        <is>
          <t>특별관계자</t>
        </is>
      </c>
      <c r="G2048" s="3" t="inlineStr">
        <is>
          <t>장내매수(+)</t>
        </is>
      </c>
      <c r="H2048" s="15" t="n">
        <v>39277</v>
      </c>
      <c r="I2048" s="6" t="n">
        <v>3708</v>
      </c>
      <c r="J2048" s="6" t="n">
        <v>593236</v>
      </c>
      <c r="K2048" s="16" t="n">
        <v>9</v>
      </c>
      <c r="L2048" s="2" t="inlineStr">
        <is>
          <t>20260529002287</t>
        </is>
      </c>
      <c r="M2048" s="8">
        <f>HYPERLINK("https://dart.fss.or.kr/dsaf001/main.do?rcpNo=20260529002287", "공시열람")</f>
        <v/>
      </c>
    </row>
    <row r="2049" ht="22" customHeight="1">
      <c r="A2049" s="2" t="inlineStr">
        <is>
          <t>2026-05-29 (정정: 2026-05-29)</t>
        </is>
      </c>
      <c r="B2049" s="3" t="inlineStr">
        <is>
          <t>크레버스</t>
        </is>
      </c>
      <c r="C2049" s="2" t="inlineStr">
        <is>
          <t>096240</t>
        </is>
      </c>
      <c r="D2049" s="2" t="inlineStr">
        <is>
          <t>대량보유</t>
        </is>
      </c>
      <c r="E2049" s="3" t="inlineStr">
        <is>
          <t>-</t>
        </is>
      </c>
      <c r="F2049" s="3" t="inlineStr">
        <is>
          <t>보고자</t>
        </is>
      </c>
      <c r="G2049" s="3" t="inlineStr">
        <is>
          <t>-</t>
        </is>
      </c>
      <c r="H2049" s="6" t="inlineStr"/>
      <c r="I2049" s="6" t="inlineStr"/>
      <c r="J2049" s="6" t="inlineStr"/>
      <c r="K2049" s="18" t="inlineStr"/>
      <c r="L2049" s="2" t="inlineStr">
        <is>
          <t>20260529901814</t>
        </is>
      </c>
      <c r="M2049" s="8">
        <f>HYPERLINK("https://dart.fss.or.kr/dsaf001/main.do?rcpNo=20260529901814", "공시열람")</f>
        <v/>
      </c>
    </row>
    <row r="2050" ht="22" customHeight="1">
      <c r="A2050" s="2" t="inlineStr">
        <is>
          <t>2026-05-29</t>
        </is>
      </c>
      <c r="B2050" s="3" t="inlineStr">
        <is>
          <t>지놈앤컴퍼니</t>
        </is>
      </c>
      <c r="C2050" s="2" t="inlineStr">
        <is>
          <t>314130</t>
        </is>
      </c>
      <c r="D2050" s="2" t="inlineStr">
        <is>
          <t>대량보유</t>
        </is>
      </c>
      <c r="E2050" s="3" t="inlineStr">
        <is>
          <t>윤민진</t>
        </is>
      </c>
      <c r="F2050" s="3" t="inlineStr">
        <is>
          <t>특별관계자</t>
        </is>
      </c>
      <c r="G2050" s="3" t="inlineStr">
        <is>
          <t>장내매수(+)</t>
        </is>
      </c>
      <c r="H2050" s="15" t="n">
        <v>1550</v>
      </c>
      <c r="I2050" s="6" t="n">
        <v>6087</v>
      </c>
      <c r="J2050" s="6" t="n">
        <v>9550</v>
      </c>
      <c r="K2050" s="16" t="n">
        <v>6</v>
      </c>
      <c r="L2050" s="2" t="inlineStr">
        <is>
          <t>20260529002234</t>
        </is>
      </c>
      <c r="M2050" s="8">
        <f>HYPERLINK("https://dart.fss.or.kr/dsaf001/main.do?rcpNo=20260529002234", "공시열람")</f>
        <v/>
      </c>
    </row>
    <row r="2051" ht="22" customHeight="1">
      <c r="A2051" s="2" t="inlineStr">
        <is>
          <t>2026-05-29</t>
        </is>
      </c>
      <c r="B2051" s="3" t="inlineStr">
        <is>
          <t>지놈앤컴퍼니</t>
        </is>
      </c>
      <c r="C2051" s="2" t="inlineStr">
        <is>
          <t>314130</t>
        </is>
      </c>
      <c r="D2051" s="2" t="inlineStr">
        <is>
          <t>대량보유</t>
        </is>
      </c>
      <c r="E2051" s="3" t="inlineStr">
        <is>
          <t>박한수</t>
        </is>
      </c>
      <c r="F2051" s="3" t="inlineStr">
        <is>
          <t>특별관계자</t>
        </is>
      </c>
      <c r="G2051" s="3" t="inlineStr">
        <is>
          <t>증여(-)</t>
        </is>
      </c>
      <c r="H2051" s="17" t="n">
        <v>-20000</v>
      </c>
      <c r="I2051" s="6" t="inlineStr"/>
      <c r="J2051" s="6" t="n">
        <v>3286760</v>
      </c>
      <c r="K2051" s="16" t="n">
        <v>6</v>
      </c>
      <c r="L2051" s="2" t="inlineStr">
        <is>
          <t>20260529002234</t>
        </is>
      </c>
      <c r="M2051" s="8">
        <f>HYPERLINK("https://dart.fss.or.kr/dsaf001/main.do?rcpNo=20260529002234", "공시열람")</f>
        <v/>
      </c>
    </row>
    <row r="2052" ht="22" customHeight="1">
      <c r="A2052" s="2" t="inlineStr">
        <is>
          <t>2026-05-29</t>
        </is>
      </c>
      <c r="B2052" s="3" t="inlineStr">
        <is>
          <t>SKC</t>
        </is>
      </c>
      <c r="C2052" s="2" t="inlineStr">
        <is>
          <t>011790</t>
        </is>
      </c>
      <c r="D2052" s="2" t="inlineStr">
        <is>
          <t>대량보유</t>
        </is>
      </c>
      <c r="E2052" s="3" t="inlineStr">
        <is>
          <t>SK(주)</t>
        </is>
      </c>
      <c r="F2052" s="3" t="inlineStr">
        <is>
          <t>특별관계자</t>
        </is>
      </c>
      <c r="G2052" s="3" t="inlineStr">
        <is>
          <t>기타(+), 기타(-), 유상신주취득(+)</t>
        </is>
      </c>
      <c r="H2052" s="15" t="n">
        <v>5475272</v>
      </c>
      <c r="I2052" s="6" t="n">
        <v>85323</v>
      </c>
      <c r="J2052" s="6" t="n">
        <v>20865272</v>
      </c>
      <c r="K2052" s="16" t="n">
        <v>10</v>
      </c>
      <c r="L2052" s="2" t="inlineStr">
        <is>
          <t>20260529002215</t>
        </is>
      </c>
      <c r="M2052" s="8">
        <f>HYPERLINK("https://dart.fss.or.kr/dsaf001/main.do?rcpNo=20260529002215", "공시열람")</f>
        <v/>
      </c>
    </row>
    <row r="2053" ht="22" customHeight="1">
      <c r="A2053" s="2" t="inlineStr">
        <is>
          <t>2026-05-29</t>
        </is>
      </c>
      <c r="B2053" s="3" t="inlineStr">
        <is>
          <t>SKC</t>
        </is>
      </c>
      <c r="C2053" s="2" t="inlineStr">
        <is>
          <t>011790</t>
        </is>
      </c>
      <c r="D2053" s="2" t="inlineStr">
        <is>
          <t>대량보유</t>
        </is>
      </c>
      <c r="E2053" s="3" t="inlineStr">
        <is>
          <t>한국고등교육재단</t>
        </is>
      </c>
      <c r="F2053" s="3" t="inlineStr">
        <is>
          <t>특별관계자</t>
        </is>
      </c>
      <c r="G2053" s="3" t="inlineStr">
        <is>
          <t>기타(+), 기타(-)</t>
        </is>
      </c>
      <c r="H2053" s="6" t="inlineStr"/>
      <c r="I2053" s="6" t="n">
        <v>70600</v>
      </c>
      <c r="J2053" s="6" t="n">
        <v>24815</v>
      </c>
      <c r="K2053" s="16" t="n">
        <v>10</v>
      </c>
      <c r="L2053" s="2" t="inlineStr">
        <is>
          <t>20260529002215</t>
        </is>
      </c>
      <c r="M2053" s="8">
        <f>HYPERLINK("https://dart.fss.or.kr/dsaf001/main.do?rcpNo=20260529002215", "공시열람")</f>
        <v/>
      </c>
    </row>
    <row r="2054" ht="22" customHeight="1">
      <c r="A2054" s="2" t="inlineStr">
        <is>
          <t>2026-05-29</t>
        </is>
      </c>
      <c r="B2054" s="3" t="inlineStr">
        <is>
          <t>SKC</t>
        </is>
      </c>
      <c r="C2054" s="2" t="inlineStr">
        <is>
          <t>011790</t>
        </is>
      </c>
      <c r="D2054" s="2" t="inlineStr">
        <is>
          <t>대량보유</t>
        </is>
      </c>
      <c r="E2054" s="3" t="inlineStr">
        <is>
          <t>박장석</t>
        </is>
      </c>
      <c r="F2054" s="3" t="inlineStr">
        <is>
          <t>특별관계자</t>
        </is>
      </c>
      <c r="G2054" s="3" t="inlineStr">
        <is>
          <t>기타(+), 기타(-), 유상신주취득(+)</t>
        </is>
      </c>
      <c r="H2054" s="15" t="n">
        <v>5335</v>
      </c>
      <c r="I2054" s="6" t="n">
        <v>85322</v>
      </c>
      <c r="J2054" s="6" t="n">
        <v>20335</v>
      </c>
      <c r="K2054" s="16" t="n">
        <v>10</v>
      </c>
      <c r="L2054" s="2" t="inlineStr">
        <is>
          <t>20260529002215</t>
        </is>
      </c>
      <c r="M2054" s="8">
        <f>HYPERLINK("https://dart.fss.or.kr/dsaf001/main.do?rcpNo=20260529002215", "공시열람")</f>
        <v/>
      </c>
    </row>
    <row r="2055" ht="22" customHeight="1">
      <c r="A2055" s="2" t="inlineStr">
        <is>
          <t>2026-05-29</t>
        </is>
      </c>
      <c r="B2055" s="3" t="inlineStr">
        <is>
          <t>SKC</t>
        </is>
      </c>
      <c r="C2055" s="2" t="inlineStr">
        <is>
          <t>011790</t>
        </is>
      </c>
      <c r="D2055" s="2" t="inlineStr">
        <is>
          <t>대량보유</t>
        </is>
      </c>
      <c r="E2055" s="3" t="inlineStr">
        <is>
          <t>박원철</t>
        </is>
      </c>
      <c r="F2055" s="3" t="inlineStr">
        <is>
          <t>특별관계자</t>
        </is>
      </c>
      <c r="G2055" s="3" t="inlineStr">
        <is>
          <t>임원퇴임(-)</t>
        </is>
      </c>
      <c r="H2055" s="17" t="n">
        <v>-38590</v>
      </c>
      <c r="I2055" s="6" t="inlineStr"/>
      <c r="J2055" s="6" t="inlineStr"/>
      <c r="K2055" s="16" t="n">
        <v>10</v>
      </c>
      <c r="L2055" s="2" t="inlineStr">
        <is>
          <t>20260529002215</t>
        </is>
      </c>
      <c r="M2055" s="8">
        <f>HYPERLINK("https://dart.fss.or.kr/dsaf001/main.do?rcpNo=20260529002215", "공시열람")</f>
        <v/>
      </c>
    </row>
    <row r="2056" ht="22" customHeight="1">
      <c r="A2056" s="2" t="inlineStr">
        <is>
          <t>2026-05-29</t>
        </is>
      </c>
      <c r="B2056" s="3" t="inlineStr">
        <is>
          <t>SKC</t>
        </is>
      </c>
      <c r="C2056" s="2" t="inlineStr">
        <is>
          <t>011790</t>
        </is>
      </c>
      <c r="D2056" s="2" t="inlineStr">
        <is>
          <t>대량보유</t>
        </is>
      </c>
      <c r="E2056" s="3" t="inlineStr">
        <is>
          <t>박시원</t>
        </is>
      </c>
      <c r="F2056" s="3" t="inlineStr">
        <is>
          <t>특별관계자</t>
        </is>
      </c>
      <c r="G2056" s="3" t="inlineStr">
        <is>
          <t>기타(+), 기타(-)</t>
        </is>
      </c>
      <c r="H2056" s="6" t="inlineStr"/>
      <c r="I2056" s="6" t="n">
        <v>70600</v>
      </c>
      <c r="J2056" s="6" t="n">
        <v>505</v>
      </c>
      <c r="K2056" s="16" t="n">
        <v>10</v>
      </c>
      <c r="L2056" s="2" t="inlineStr">
        <is>
          <t>20260529002215</t>
        </is>
      </c>
      <c r="M2056" s="8">
        <f>HYPERLINK("https://dart.fss.or.kr/dsaf001/main.do?rcpNo=20260529002215", "공시열람")</f>
        <v/>
      </c>
    </row>
    <row r="2057" ht="22" customHeight="1">
      <c r="A2057" s="2" t="inlineStr">
        <is>
          <t>2026-05-29</t>
        </is>
      </c>
      <c r="B2057" s="3" t="inlineStr">
        <is>
          <t>SKC</t>
        </is>
      </c>
      <c r="C2057" s="2" t="inlineStr">
        <is>
          <t>011790</t>
        </is>
      </c>
      <c r="D2057" s="2" t="inlineStr">
        <is>
          <t>대량보유</t>
        </is>
      </c>
      <c r="E2057" s="3" t="inlineStr">
        <is>
          <t>채은미</t>
        </is>
      </c>
      <c r="F2057" s="3" t="inlineStr">
        <is>
          <t>특별관계자</t>
        </is>
      </c>
      <c r="G2057" s="3" t="inlineStr">
        <is>
          <t>기타(+), 기타(-), 유상신주취득(+)</t>
        </is>
      </c>
      <c r="H2057" s="15" t="n">
        <v>438</v>
      </c>
      <c r="I2057" s="6" t="n">
        <v>85319</v>
      </c>
      <c r="J2057" s="6" t="n">
        <v>1670</v>
      </c>
      <c r="K2057" s="16" t="n">
        <v>10</v>
      </c>
      <c r="L2057" s="2" t="inlineStr">
        <is>
          <t>20260529002215</t>
        </is>
      </c>
      <c r="M2057" s="8">
        <f>HYPERLINK("https://dart.fss.or.kr/dsaf001/main.do?rcpNo=20260529002215", "공시열람")</f>
        <v/>
      </c>
    </row>
    <row r="2058" ht="22" customHeight="1">
      <c r="A2058" s="2" t="inlineStr">
        <is>
          <t>2026-05-29</t>
        </is>
      </c>
      <c r="B2058" s="3" t="inlineStr">
        <is>
          <t>SKC</t>
        </is>
      </c>
      <c r="C2058" s="2" t="inlineStr">
        <is>
          <t>011790</t>
        </is>
      </c>
      <c r="D2058" s="2" t="inlineStr">
        <is>
          <t>대량보유</t>
        </is>
      </c>
      <c r="E2058" s="3" t="inlineStr">
        <is>
          <t>정현욱</t>
        </is>
      </c>
      <c r="F2058" s="3" t="inlineStr">
        <is>
          <t>특별관계자</t>
        </is>
      </c>
      <c r="G2058" s="3" t="inlineStr">
        <is>
          <t>기타(+), 기타(-), 유상신주취득(+)</t>
        </is>
      </c>
      <c r="H2058" s="15" t="n">
        <v>144</v>
      </c>
      <c r="I2058" s="6" t="n">
        <v>85305</v>
      </c>
      <c r="J2058" s="6" t="n">
        <v>552</v>
      </c>
      <c r="K2058" s="16" t="n">
        <v>10</v>
      </c>
      <c r="L2058" s="2" t="inlineStr">
        <is>
          <t>20260529002215</t>
        </is>
      </c>
      <c r="M2058" s="8">
        <f>HYPERLINK("https://dart.fss.or.kr/dsaf001/main.do?rcpNo=20260529002215", "공시열람")</f>
        <v/>
      </c>
    </row>
    <row r="2059" ht="22" customHeight="1">
      <c r="A2059" s="2" t="inlineStr">
        <is>
          <t>2026-05-29</t>
        </is>
      </c>
      <c r="B2059" s="3" t="inlineStr">
        <is>
          <t>SKC</t>
        </is>
      </c>
      <c r="C2059" s="2" t="inlineStr">
        <is>
          <t>011790</t>
        </is>
      </c>
      <c r="D2059" s="2" t="inlineStr">
        <is>
          <t>대량보유</t>
        </is>
      </c>
      <c r="E2059" s="3" t="inlineStr">
        <is>
          <t>한국투자2024사모투자합자회사</t>
        </is>
      </c>
      <c r="F2059" s="3" t="inlineStr">
        <is>
          <t>특별관계자</t>
        </is>
      </c>
      <c r="G2059" s="3" t="inlineStr">
        <is>
          <t>교환(-), 교환(+), 시간외매매(-), 장내매도(-)</t>
        </is>
      </c>
      <c r="H2059" s="17" t="n">
        <v>-413460</v>
      </c>
      <c r="I2059" s="6" t="n">
        <v>117506</v>
      </c>
      <c r="J2059" s="6" t="n">
        <v>87300</v>
      </c>
      <c r="K2059" s="16" t="n">
        <v>10</v>
      </c>
      <c r="L2059" s="2" t="inlineStr">
        <is>
          <t>20260529002215</t>
        </is>
      </c>
      <c r="M2059" s="8">
        <f>HYPERLINK("https://dart.fss.or.kr/dsaf001/main.do?rcpNo=20260529002215", "공시열람")</f>
        <v/>
      </c>
    </row>
    <row r="2060" ht="22" customHeight="1">
      <c r="A2060" s="2" t="inlineStr">
        <is>
          <t>2026-05-29</t>
        </is>
      </c>
      <c r="B2060" s="3" t="inlineStr">
        <is>
          <t>SKC</t>
        </is>
      </c>
      <c r="C2060" s="2" t="inlineStr">
        <is>
          <t>011790</t>
        </is>
      </c>
      <c r="D2060" s="2" t="inlineStr">
        <is>
          <t>대량보유</t>
        </is>
      </c>
      <c r="E2060" s="3" t="inlineStr">
        <is>
          <t>한국투자스페셜시츄에이션제1호기업재무안정사모투자합자회사</t>
        </is>
      </c>
      <c r="F2060" s="3" t="inlineStr">
        <is>
          <t>특별관계자</t>
        </is>
      </c>
      <c r="G2060" s="3" t="inlineStr">
        <is>
          <t>교환(-), 교환(+), 시간외매매(-), 장내매도(-)</t>
        </is>
      </c>
      <c r="H2060" s="17" t="n">
        <v>-269640</v>
      </c>
      <c r="I2060" s="6" t="n">
        <v>120032</v>
      </c>
      <c r="J2060" s="6" t="n">
        <v>3000</v>
      </c>
      <c r="K2060" s="16" t="n">
        <v>10</v>
      </c>
      <c r="L2060" s="2" t="inlineStr">
        <is>
          <t>20260529002215</t>
        </is>
      </c>
      <c r="M2060" s="8">
        <f>HYPERLINK("https://dart.fss.or.kr/dsaf001/main.do?rcpNo=20260529002215", "공시열람")</f>
        <v/>
      </c>
    </row>
    <row r="2061" ht="22" customHeight="1">
      <c r="A2061" s="2" t="inlineStr">
        <is>
          <t>2026-05-29</t>
        </is>
      </c>
      <c r="B2061" s="3" t="inlineStr">
        <is>
          <t>SKC</t>
        </is>
      </c>
      <c r="C2061" s="2" t="inlineStr">
        <is>
          <t>011790</t>
        </is>
      </c>
      <c r="D2061" s="2" t="inlineStr">
        <is>
          <t>대량보유</t>
        </is>
      </c>
      <c r="E2061" s="3" t="inlineStr">
        <is>
          <t>한국투자2024의1호사모투자합자회사</t>
        </is>
      </c>
      <c r="F2061" s="3" t="inlineStr">
        <is>
          <t>특별관계자</t>
        </is>
      </c>
      <c r="G2061" s="3" t="inlineStr">
        <is>
          <t>교환(-), 교환(+), 시간외매매(-), 장내매도(-)</t>
        </is>
      </c>
      <c r="H2061" s="17" t="n">
        <v>-984000</v>
      </c>
      <c r="I2061" s="6" t="n">
        <v>117180</v>
      </c>
      <c r="J2061" s="6" t="n">
        <v>267900</v>
      </c>
      <c r="K2061" s="16" t="n">
        <v>10</v>
      </c>
      <c r="L2061" s="2" t="inlineStr">
        <is>
          <t>20260529002215</t>
        </is>
      </c>
      <c r="M2061" s="8">
        <f>HYPERLINK("https://dart.fss.or.kr/dsaf001/main.do?rcpNo=20260529002215", "공시열람")</f>
        <v/>
      </c>
    </row>
    <row r="2062" ht="22" customHeight="1">
      <c r="A2062" s="2" t="inlineStr">
        <is>
          <t>2026-05-29</t>
        </is>
      </c>
      <c r="B2062" s="3" t="inlineStr">
        <is>
          <t>엘티씨</t>
        </is>
      </c>
      <c r="C2062" s="2" t="inlineStr">
        <is>
          <t>170920</t>
        </is>
      </c>
      <c r="D2062" s="2" t="inlineStr">
        <is>
          <t>대량보유</t>
        </is>
      </c>
      <c r="E2062" s="3" t="inlineStr">
        <is>
          <t>최호성</t>
        </is>
      </c>
      <c r="F2062" s="3" t="inlineStr">
        <is>
          <t>특별관계자</t>
        </is>
      </c>
      <c r="G2062" s="3" t="inlineStr">
        <is>
          <t>시간외매매(-)</t>
        </is>
      </c>
      <c r="H2062" s="17" t="n">
        <v>-150000</v>
      </c>
      <c r="I2062" s="6" t="n">
        <v>45028</v>
      </c>
      <c r="J2062" s="6" t="n">
        <v>2754217</v>
      </c>
      <c r="K2062" s="16" t="n">
        <v>5</v>
      </c>
      <c r="L2062" s="2" t="inlineStr">
        <is>
          <t>20260529002204</t>
        </is>
      </c>
      <c r="M2062" s="8">
        <f>HYPERLINK("https://dart.fss.or.kr/dsaf001/main.do?rcpNo=20260529002204", "공시열람")</f>
        <v/>
      </c>
    </row>
    <row r="2063" ht="22" customHeight="1">
      <c r="A2063" s="2" t="inlineStr">
        <is>
          <t>2026-05-29</t>
        </is>
      </c>
      <c r="B2063" s="3" t="inlineStr">
        <is>
          <t>엘티씨</t>
        </is>
      </c>
      <c r="C2063" s="2" t="inlineStr">
        <is>
          <t>170920</t>
        </is>
      </c>
      <c r="D2063" s="2" t="inlineStr">
        <is>
          <t>대량보유</t>
        </is>
      </c>
      <c r="E2063" s="3" t="inlineStr">
        <is>
          <t>김현</t>
        </is>
      </c>
      <c r="F2063" s="3" t="inlineStr">
        <is>
          <t>특별관계자</t>
        </is>
      </c>
      <c r="G2063" s="3" t="inlineStr">
        <is>
          <t>시간외매매(-)</t>
        </is>
      </c>
      <c r="H2063" s="17" t="n">
        <v>-145200</v>
      </c>
      <c r="I2063" s="6" t="n">
        <v>45028</v>
      </c>
      <c r="J2063" s="6" t="inlineStr"/>
      <c r="K2063" s="16" t="n">
        <v>5</v>
      </c>
      <c r="L2063" s="2" t="inlineStr">
        <is>
          <t>20260529002204</t>
        </is>
      </c>
      <c r="M2063" s="8">
        <f>HYPERLINK("https://dart.fss.or.kr/dsaf001/main.do?rcpNo=20260529002204", "공시열람")</f>
        <v/>
      </c>
    </row>
    <row r="2064" ht="22" customHeight="1">
      <c r="A2064" s="2" t="inlineStr">
        <is>
          <t>2026-05-29</t>
        </is>
      </c>
      <c r="B2064" s="3" t="inlineStr">
        <is>
          <t>꿈비</t>
        </is>
      </c>
      <c r="C2064" s="2" t="inlineStr">
        <is>
          <t>407400</t>
        </is>
      </c>
      <c r="D2064" s="2" t="inlineStr">
        <is>
          <t>대량보유</t>
        </is>
      </c>
      <c r="E2064" s="3" t="inlineStr">
        <is>
          <t>이은석</t>
        </is>
      </c>
      <c r="F2064" s="3" t="inlineStr">
        <is>
          <t>특별관계자</t>
        </is>
      </c>
      <c r="G2064" s="3" t="inlineStr">
        <is>
          <t>장내매도(-)</t>
        </is>
      </c>
      <c r="H2064" s="17" t="n">
        <v>-103009</v>
      </c>
      <c r="I2064" s="6" t="n">
        <v>4066</v>
      </c>
      <c r="J2064" s="6" t="inlineStr"/>
      <c r="K2064" s="16" t="n">
        <v>7</v>
      </c>
      <c r="L2064" s="2" t="inlineStr">
        <is>
          <t>20260529002154</t>
        </is>
      </c>
      <c r="M2064" s="8">
        <f>HYPERLINK("https://dart.fss.or.kr/dsaf001/main.do?rcpNo=20260529002154", "공시열람")</f>
        <v/>
      </c>
    </row>
    <row r="2065" ht="22" customHeight="1">
      <c r="A2065" s="2" t="inlineStr">
        <is>
          <t>2026-05-29</t>
        </is>
      </c>
      <c r="B2065" s="3" t="inlineStr">
        <is>
          <t>하나머티리얼즈</t>
        </is>
      </c>
      <c r="C2065" s="2" t="inlineStr">
        <is>
          <t>166090</t>
        </is>
      </c>
      <c r="D2065" s="2" t="inlineStr">
        <is>
          <t>대량보유</t>
        </is>
      </c>
      <c r="E2065" s="3" t="inlineStr">
        <is>
          <t>강동호</t>
        </is>
      </c>
      <c r="F2065" s="3" t="inlineStr">
        <is>
          <t>특별관계자</t>
        </is>
      </c>
      <c r="G2065" s="3" t="inlineStr">
        <is>
          <t>장내매도(-)</t>
        </is>
      </c>
      <c r="H2065" s="17" t="n">
        <v>-5000</v>
      </c>
      <c r="I2065" s="6" t="n">
        <v>85726</v>
      </c>
      <c r="J2065" s="6" t="inlineStr"/>
      <c r="K2065" s="16" t="n">
        <v>7</v>
      </c>
      <c r="L2065" s="2" t="inlineStr">
        <is>
          <t>20260529002141</t>
        </is>
      </c>
      <c r="M2065" s="8">
        <f>HYPERLINK("https://dart.fss.or.kr/dsaf001/main.do?rcpNo=20260529002141", "공시열람")</f>
        <v/>
      </c>
    </row>
    <row r="2066" ht="22" customHeight="1">
      <c r="A2066" s="2" t="inlineStr">
        <is>
          <t>2026-05-29</t>
        </is>
      </c>
      <c r="B2066" s="3" t="inlineStr">
        <is>
          <t>풀무원</t>
        </is>
      </c>
      <c r="C2066" s="2" t="inlineStr">
        <is>
          <t>017810</t>
        </is>
      </c>
      <c r="D2066" s="2" t="inlineStr">
        <is>
          <t>임원보고</t>
        </is>
      </c>
      <c r="E2066" s="3" t="inlineStr">
        <is>
          <t>-</t>
        </is>
      </c>
      <c r="F2066" s="3" t="inlineStr">
        <is>
          <t>-</t>
        </is>
      </c>
      <c r="G2066" s="3" t="inlineStr">
        <is>
          <t>-</t>
        </is>
      </c>
      <c r="H2066" s="6" t="inlineStr"/>
      <c r="I2066" s="6" t="inlineStr"/>
      <c r="J2066" s="6" t="inlineStr"/>
      <c r="K2066" s="16" t="n">
        <v>12</v>
      </c>
      <c r="L2066" s="2" t="inlineStr">
        <is>
          <t>20260529801839</t>
        </is>
      </c>
      <c r="M2066" s="8">
        <f>HYPERLINK("https://dart.fss.or.kr/dsaf001/main.do?rcpNo=20260529801839", "공시열람")</f>
        <v/>
      </c>
    </row>
    <row r="2067" ht="22" customHeight="1">
      <c r="A2067" s="2" t="inlineStr">
        <is>
          <t>2026-05-29</t>
        </is>
      </c>
      <c r="B2067" s="3" t="inlineStr">
        <is>
          <t>풀무원</t>
        </is>
      </c>
      <c r="C2067" s="2" t="inlineStr">
        <is>
          <t>017810</t>
        </is>
      </c>
      <c r="D2067" s="2" t="inlineStr">
        <is>
          <t>대량보유</t>
        </is>
      </c>
      <c r="E2067" s="3" t="inlineStr">
        <is>
          <t>남승우</t>
        </is>
      </c>
      <c r="F2067" s="3" t="inlineStr">
        <is>
          <t>특별관계자</t>
        </is>
      </c>
      <c r="G2067" s="3" t="inlineStr">
        <is>
          <t>증여(-)</t>
        </is>
      </c>
      <c r="H2067" s="17" t="n">
        <v>-200000</v>
      </c>
      <c r="I2067" s="6" t="inlineStr"/>
      <c r="J2067" s="6" t="n">
        <v>21335780</v>
      </c>
      <c r="K2067" s="16" t="n">
        <v>22</v>
      </c>
      <c r="L2067" s="2" t="inlineStr">
        <is>
          <t>20260529002110</t>
        </is>
      </c>
      <c r="M2067" s="8">
        <f>HYPERLINK("https://dart.fss.or.kr/dsaf001/main.do?rcpNo=20260529002110", "공시열람")</f>
        <v/>
      </c>
    </row>
    <row r="2068" ht="22" customHeight="1">
      <c r="A2068" s="2" t="inlineStr">
        <is>
          <t>2026-05-29</t>
        </is>
      </c>
      <c r="B2068" s="3" t="inlineStr">
        <is>
          <t>풀무원</t>
        </is>
      </c>
      <c r="C2068" s="2" t="inlineStr">
        <is>
          <t>017810</t>
        </is>
      </c>
      <c r="D2068" s="2" t="inlineStr">
        <is>
          <t>대량보유</t>
        </is>
      </c>
      <c r="E2068" s="3" t="inlineStr">
        <is>
          <t>이상윤</t>
        </is>
      </c>
      <c r="F2068" s="3" t="inlineStr">
        <is>
          <t>특별관계자</t>
        </is>
      </c>
      <c r="G2068" s="3" t="inlineStr">
        <is>
          <t>특별관계해소(-)</t>
        </is>
      </c>
      <c r="H2068" s="17" t="n">
        <v>-11152</v>
      </c>
      <c r="I2068" s="6" t="inlineStr"/>
      <c r="J2068" s="6" t="inlineStr"/>
      <c r="K2068" s="16" t="n">
        <v>22</v>
      </c>
      <c r="L2068" s="2" t="inlineStr">
        <is>
          <t>20260529002110</t>
        </is>
      </c>
      <c r="M2068" s="8">
        <f>HYPERLINK("https://dart.fss.or.kr/dsaf001/main.do?rcpNo=20260529002110", "공시열람")</f>
        <v/>
      </c>
    </row>
    <row r="2069" ht="22" customHeight="1">
      <c r="A2069" s="2" t="inlineStr">
        <is>
          <t>2026-05-29</t>
        </is>
      </c>
      <c r="B2069" s="3" t="inlineStr">
        <is>
          <t>큐브엔터</t>
        </is>
      </c>
      <c r="C2069" s="2" t="inlineStr">
        <is>
          <t>182360</t>
        </is>
      </c>
      <c r="D2069" s="2" t="inlineStr">
        <is>
          <t>대량보유</t>
        </is>
      </c>
      <c r="E2069" s="3" t="inlineStr">
        <is>
          <t>강승곤</t>
        </is>
      </c>
      <c r="F2069" s="3" t="inlineStr">
        <is>
          <t>보고자</t>
        </is>
      </c>
      <c r="G2069" s="3" t="inlineStr">
        <is>
          <t>주식담보대출 일부 상환 및 주식담보 계약 연장</t>
        </is>
      </c>
      <c r="H2069" s="6" t="inlineStr"/>
      <c r="I2069" s="6" t="inlineStr"/>
      <c r="J2069" s="6" t="n">
        <v>8995316</v>
      </c>
      <c r="K2069" s="16" t="n">
        <v>6</v>
      </c>
      <c r="L2069" s="2" t="inlineStr">
        <is>
          <t>20260529002096</t>
        </is>
      </c>
      <c r="M2069" s="8">
        <f>HYPERLINK("https://dart.fss.or.kr/dsaf001/main.do?rcpNo=20260529002096", "공시열람")</f>
        <v/>
      </c>
    </row>
    <row r="2070" ht="22" customHeight="1">
      <c r="A2070" s="2" t="inlineStr">
        <is>
          <t>2026-05-29</t>
        </is>
      </c>
      <c r="B2070" s="3" t="inlineStr">
        <is>
          <t>HLB펩</t>
        </is>
      </c>
      <c r="C2070" s="2" t="inlineStr">
        <is>
          <t>196300</t>
        </is>
      </c>
      <c r="D2070" s="2" t="inlineStr">
        <is>
          <t>대량보유</t>
        </is>
      </c>
      <c r="E2070" s="3" t="inlineStr">
        <is>
          <t>에이치엘비생명과학(주)</t>
        </is>
      </c>
      <c r="F2070" s="3" t="inlineStr">
        <is>
          <t>특별관계자</t>
        </is>
      </c>
      <c r="G2070" s="3" t="inlineStr">
        <is>
          <t>기타(-)</t>
        </is>
      </c>
      <c r="H2070" s="17" t="n">
        <v>-279134</v>
      </c>
      <c r="I2070" s="6" t="inlineStr"/>
      <c r="J2070" s="6" t="inlineStr"/>
      <c r="K2070" s="16" t="n">
        <v>13</v>
      </c>
      <c r="L2070" s="2" t="inlineStr">
        <is>
          <t>20260529002055</t>
        </is>
      </c>
      <c r="M2070" s="8">
        <f>HYPERLINK("https://dart.fss.or.kr/dsaf001/main.do?rcpNo=20260529002055", "공시열람")</f>
        <v/>
      </c>
    </row>
    <row r="2071" ht="22" customHeight="1">
      <c r="A2071" s="2" t="inlineStr">
        <is>
          <t>2026-05-29</t>
        </is>
      </c>
      <c r="B2071" s="3" t="inlineStr">
        <is>
          <t>HLB펩</t>
        </is>
      </c>
      <c r="C2071" s="2" t="inlineStr">
        <is>
          <t>196300</t>
        </is>
      </c>
      <c r="D2071" s="2" t="inlineStr">
        <is>
          <t>대량보유</t>
        </is>
      </c>
      <c r="E2071" s="3" t="inlineStr">
        <is>
          <t>에이치엘비바이오스텝(주)</t>
        </is>
      </c>
      <c r="F2071" s="3" t="inlineStr">
        <is>
          <t>특별관계자</t>
        </is>
      </c>
      <c r="G2071" s="3" t="inlineStr">
        <is>
          <t>기타(+)</t>
        </is>
      </c>
      <c r="H2071" s="15" t="n">
        <v>279134</v>
      </c>
      <c r="I2071" s="6" t="inlineStr"/>
      <c r="J2071" s="6" t="n">
        <v>418701</v>
      </c>
      <c r="K2071" s="16" t="n">
        <v>13</v>
      </c>
      <c r="L2071" s="2" t="inlineStr">
        <is>
          <t>20260529002055</t>
        </is>
      </c>
      <c r="M2071" s="8">
        <f>HYPERLINK("https://dart.fss.or.kr/dsaf001/main.do?rcpNo=20260529002055", "공시열람")</f>
        <v/>
      </c>
    </row>
    <row r="2072" ht="22" customHeight="1">
      <c r="A2072" s="2" t="inlineStr">
        <is>
          <t>2026-05-29</t>
        </is>
      </c>
      <c r="B2072" s="3" t="inlineStr">
        <is>
          <t>HLB펩</t>
        </is>
      </c>
      <c r="C2072" s="2" t="inlineStr">
        <is>
          <t>196300</t>
        </is>
      </c>
      <c r="D2072" s="2" t="inlineStr">
        <is>
          <t>대량보유</t>
        </is>
      </c>
      <c r="E2072" s="3" t="inlineStr">
        <is>
          <t>심경재</t>
        </is>
      </c>
      <c r="F2072" s="3" t="inlineStr">
        <is>
          <t>특별관계자</t>
        </is>
      </c>
      <c r="G2072" s="3" t="inlineStr">
        <is>
          <t>장내매수(+)</t>
        </is>
      </c>
      <c r="H2072" s="15" t="n">
        <v>2170</v>
      </c>
      <c r="I2072" s="6" t="n">
        <v>6455</v>
      </c>
      <c r="J2072" s="6" t="n">
        <v>22470</v>
      </c>
      <c r="K2072" s="16" t="n">
        <v>13</v>
      </c>
      <c r="L2072" s="2" t="inlineStr">
        <is>
          <t>20260529002055</t>
        </is>
      </c>
      <c r="M2072" s="8">
        <f>HYPERLINK("https://dart.fss.or.kr/dsaf001/main.do?rcpNo=20260529002055", "공시열람")</f>
        <v/>
      </c>
    </row>
    <row r="2073" ht="22" customHeight="1">
      <c r="A2073" s="2" t="inlineStr">
        <is>
          <t>2026-05-29</t>
        </is>
      </c>
      <c r="B2073" s="3" t="inlineStr">
        <is>
          <t>넥써쓰</t>
        </is>
      </c>
      <c r="C2073" s="2" t="inlineStr">
        <is>
          <t>205500</t>
        </is>
      </c>
      <c r="D2073" s="2" t="inlineStr">
        <is>
          <t>대량보유</t>
        </is>
      </c>
      <c r="E2073" s="3" t="inlineStr">
        <is>
          <t>(주)키글로벌홀딩스</t>
        </is>
      </c>
      <c r="F2073" s="3" t="inlineStr">
        <is>
          <t>특별관계자</t>
        </is>
      </c>
      <c r="G2073" s="3" t="inlineStr">
        <is>
          <t>장내매도(-)</t>
        </is>
      </c>
      <c r="H2073" s="17" t="n">
        <v>-161331</v>
      </c>
      <c r="I2073" s="6" t="n">
        <v>1956</v>
      </c>
      <c r="J2073" s="6" t="n">
        <v>3202266</v>
      </c>
      <c r="K2073" s="16" t="n">
        <v>1</v>
      </c>
      <c r="L2073" s="2" t="inlineStr">
        <is>
          <t>20260529001977</t>
        </is>
      </c>
      <c r="M2073" s="8">
        <f>HYPERLINK("https://dart.fss.or.kr/dsaf001/main.do?rcpNo=20260529001977", "공시열람")</f>
        <v/>
      </c>
    </row>
    <row r="2074" ht="22" customHeight="1">
      <c r="A2074" s="2" t="inlineStr">
        <is>
          <t>2026-05-29</t>
        </is>
      </c>
      <c r="B2074" s="3" t="inlineStr">
        <is>
          <t>넥써쓰</t>
        </is>
      </c>
      <c r="C2074" s="2" t="inlineStr">
        <is>
          <t>205500</t>
        </is>
      </c>
      <c r="D2074" s="2" t="inlineStr">
        <is>
          <t>대량보유</t>
        </is>
      </c>
      <c r="E2074" s="3" t="inlineStr">
        <is>
          <t>김창근</t>
        </is>
      </c>
      <c r="F2074" s="3" t="inlineStr">
        <is>
          <t>특별관계자</t>
        </is>
      </c>
      <c r="G2074" s="3" t="inlineStr">
        <is>
          <t>장내매도(-)</t>
        </is>
      </c>
      <c r="H2074" s="17" t="n">
        <v>-300000</v>
      </c>
      <c r="I2074" s="6" t="n">
        <v>1423</v>
      </c>
      <c r="J2074" s="6" t="n">
        <v>658645</v>
      </c>
      <c r="K2074" s="16" t="n">
        <v>1</v>
      </c>
      <c r="L2074" s="2" t="inlineStr">
        <is>
          <t>20260529001977</t>
        </is>
      </c>
      <c r="M2074" s="8">
        <f>HYPERLINK("https://dart.fss.or.kr/dsaf001/main.do?rcpNo=20260529001977", "공시열람")</f>
        <v/>
      </c>
    </row>
    <row r="2075" ht="22" customHeight="1">
      <c r="A2075" s="2" t="inlineStr">
        <is>
          <t>2026-05-29</t>
        </is>
      </c>
      <c r="B2075" s="3" t="inlineStr">
        <is>
          <t>국제약품</t>
        </is>
      </c>
      <c r="C2075" s="2" t="inlineStr">
        <is>
          <t>002720</t>
        </is>
      </c>
      <c r="D2075" s="2" t="inlineStr">
        <is>
          <t>대량보유</t>
        </is>
      </c>
      <c r="E2075" s="3" t="inlineStr">
        <is>
          <t>김영관</t>
        </is>
      </c>
      <c r="F2075" s="3" t="inlineStr">
        <is>
          <t>특별관계자</t>
        </is>
      </c>
      <c r="G2075" s="3" t="inlineStr">
        <is>
          <t>장내매수(+)</t>
        </is>
      </c>
      <c r="H2075" s="15" t="n">
        <v>2000</v>
      </c>
      <c r="I2075" s="6" t="n">
        <v>3885</v>
      </c>
      <c r="J2075" s="6" t="n">
        <v>35000</v>
      </c>
      <c r="K2075" s="16" t="n">
        <v>10</v>
      </c>
      <c r="L2075" s="2" t="inlineStr">
        <is>
          <t>20260529001933</t>
        </is>
      </c>
      <c r="M2075" s="8">
        <f>HYPERLINK("https://dart.fss.or.kr/dsaf001/main.do?rcpNo=20260529001933", "공시열람")</f>
        <v/>
      </c>
    </row>
    <row r="2076" ht="22" customHeight="1">
      <c r="A2076" s="2" t="inlineStr">
        <is>
          <t>2026-05-29</t>
        </is>
      </c>
      <c r="B2076" s="3" t="inlineStr">
        <is>
          <t>국제약품</t>
        </is>
      </c>
      <c r="C2076" s="2" t="inlineStr">
        <is>
          <t>002720</t>
        </is>
      </c>
      <c r="D2076" s="2" t="inlineStr">
        <is>
          <t>대량보유</t>
        </is>
      </c>
      <c r="E2076" s="3" t="inlineStr">
        <is>
          <t>김성규</t>
        </is>
      </c>
      <c r="F2076" s="3" t="inlineStr">
        <is>
          <t>특별관계자</t>
        </is>
      </c>
      <c r="G2076" s="3" t="inlineStr">
        <is>
          <t>장내매수(+)</t>
        </is>
      </c>
      <c r="H2076" s="15" t="n">
        <v>8129</v>
      </c>
      <c r="I2076" s="6" t="n">
        <v>3845</v>
      </c>
      <c r="J2076" s="6" t="n">
        <v>64693</v>
      </c>
      <c r="K2076" s="16" t="n">
        <v>10</v>
      </c>
      <c r="L2076" s="2" t="inlineStr">
        <is>
          <t>20260529001933</t>
        </is>
      </c>
      <c r="M2076" s="8">
        <f>HYPERLINK("https://dart.fss.or.kr/dsaf001/main.do?rcpNo=20260529001933", "공시열람")</f>
        <v/>
      </c>
    </row>
    <row r="2077" ht="22" customHeight="1">
      <c r="A2077" s="2" t="inlineStr">
        <is>
          <t>2026-05-29</t>
        </is>
      </c>
      <c r="B2077" s="3" t="inlineStr">
        <is>
          <t>국제약품</t>
        </is>
      </c>
      <c r="C2077" s="2" t="inlineStr">
        <is>
          <t>002720</t>
        </is>
      </c>
      <c r="D2077" s="2" t="inlineStr">
        <is>
          <t>대량보유</t>
        </is>
      </c>
      <c r="E2077" s="3" t="inlineStr">
        <is>
          <t>최해성</t>
        </is>
      </c>
      <c r="F2077" s="3" t="inlineStr">
        <is>
          <t>특별관계자</t>
        </is>
      </c>
      <c r="G2077" s="3" t="inlineStr">
        <is>
          <t>장내매수(+)</t>
        </is>
      </c>
      <c r="H2077" s="15" t="n">
        <v>2521</v>
      </c>
      <c r="I2077" s="6" t="n">
        <v>3960</v>
      </c>
      <c r="J2077" s="6" t="n">
        <v>2521</v>
      </c>
      <c r="K2077" s="16" t="n">
        <v>10</v>
      </c>
      <c r="L2077" s="2" t="inlineStr">
        <is>
          <t>20260529001933</t>
        </is>
      </c>
      <c r="M2077" s="8">
        <f>HYPERLINK("https://dart.fss.or.kr/dsaf001/main.do?rcpNo=20260529001933", "공시열람")</f>
        <v/>
      </c>
    </row>
    <row r="2078" ht="22" customHeight="1">
      <c r="A2078" s="2" t="inlineStr">
        <is>
          <t>2026-05-29</t>
        </is>
      </c>
      <c r="B2078" s="3" t="inlineStr">
        <is>
          <t>AJ네트웍스</t>
        </is>
      </c>
      <c r="C2078" s="2" t="inlineStr">
        <is>
          <t>095570</t>
        </is>
      </c>
      <c r="D2078" s="2" t="inlineStr">
        <is>
          <t>대량보유</t>
        </is>
      </c>
      <c r="E2078" s="3" t="inlineStr">
        <is>
          <t>문지온</t>
        </is>
      </c>
      <c r="F2078" s="3" t="inlineStr">
        <is>
          <t>특별관계자</t>
        </is>
      </c>
      <c r="G2078" s="3" t="inlineStr">
        <is>
          <t>장내매수(+)</t>
        </is>
      </c>
      <c r="H2078" s="15" t="n">
        <v>63</v>
      </c>
      <c r="I2078" s="6" t="n">
        <v>4750</v>
      </c>
      <c r="J2078" s="6" t="n">
        <v>4530</v>
      </c>
      <c r="K2078" s="16" t="n">
        <v>7</v>
      </c>
      <c r="L2078" s="2" t="inlineStr">
        <is>
          <t>20260529001929</t>
        </is>
      </c>
      <c r="M2078" s="8">
        <f>HYPERLINK("https://dart.fss.or.kr/dsaf001/main.do?rcpNo=20260529001929", "공시열람")</f>
        <v/>
      </c>
    </row>
    <row r="2079" ht="22" customHeight="1">
      <c r="A2079" s="2" t="inlineStr">
        <is>
          <t>2026-05-29</t>
        </is>
      </c>
      <c r="B2079" s="3" t="inlineStr">
        <is>
          <t>AJ네트웍스</t>
        </is>
      </c>
      <c r="C2079" s="2" t="inlineStr">
        <is>
          <t>095570</t>
        </is>
      </c>
      <c r="D2079" s="2" t="inlineStr">
        <is>
          <t>대량보유</t>
        </is>
      </c>
      <c r="E2079" s="3" t="inlineStr">
        <is>
          <t>문다온</t>
        </is>
      </c>
      <c r="F2079" s="3" t="inlineStr">
        <is>
          <t>특별관계자</t>
        </is>
      </c>
      <c r="G2079" s="3" t="inlineStr">
        <is>
          <t>장내매수(+)</t>
        </is>
      </c>
      <c r="H2079" s="15" t="n">
        <v>63</v>
      </c>
      <c r="I2079" s="6" t="n">
        <v>4750</v>
      </c>
      <c r="J2079" s="6" t="n">
        <v>4530</v>
      </c>
      <c r="K2079" s="16" t="n">
        <v>7</v>
      </c>
      <c r="L2079" s="2" t="inlineStr">
        <is>
          <t>20260529001929</t>
        </is>
      </c>
      <c r="M2079" s="8">
        <f>HYPERLINK("https://dart.fss.or.kr/dsaf001/main.do?rcpNo=20260529001929", "공시열람")</f>
        <v/>
      </c>
    </row>
    <row r="2080" ht="22" customHeight="1">
      <c r="A2080" s="2" t="inlineStr">
        <is>
          <t>2026-05-29</t>
        </is>
      </c>
      <c r="B2080" s="3" t="inlineStr">
        <is>
          <t>AJ네트웍스</t>
        </is>
      </c>
      <c r="C2080" s="2" t="inlineStr">
        <is>
          <t>095570</t>
        </is>
      </c>
      <c r="D2080" s="2" t="inlineStr">
        <is>
          <t>대량보유</t>
        </is>
      </c>
      <c r="E2080" s="3" t="inlineStr">
        <is>
          <t>문유온</t>
        </is>
      </c>
      <c r="F2080" s="3" t="inlineStr">
        <is>
          <t>특별관계자</t>
        </is>
      </c>
      <c r="G2080" s="3" t="inlineStr">
        <is>
          <t>장내매수(+)</t>
        </is>
      </c>
      <c r="H2080" s="15" t="n">
        <v>63</v>
      </c>
      <c r="I2080" s="6" t="n">
        <v>4745</v>
      </c>
      <c r="J2080" s="6" t="n">
        <v>4530</v>
      </c>
      <c r="K2080" s="16" t="n">
        <v>7</v>
      </c>
      <c r="L2080" s="2" t="inlineStr">
        <is>
          <t>20260529001929</t>
        </is>
      </c>
      <c r="M2080" s="8">
        <f>HYPERLINK("https://dart.fss.or.kr/dsaf001/main.do?rcpNo=20260529001929", "공시열람")</f>
        <v/>
      </c>
    </row>
    <row r="2081" ht="22" customHeight="1">
      <c r="A2081" s="2" t="inlineStr">
        <is>
          <t>2026-05-29</t>
        </is>
      </c>
      <c r="B2081" s="3" t="inlineStr">
        <is>
          <t>온타이드</t>
        </is>
      </c>
      <c r="C2081" s="2" t="inlineStr">
        <is>
          <t>005320</t>
        </is>
      </c>
      <c r="D2081" s="2" t="inlineStr">
        <is>
          <t>임원보고</t>
        </is>
      </c>
      <c r="E2081" s="3" t="inlineStr">
        <is>
          <t>-</t>
        </is>
      </c>
      <c r="F2081" s="3" t="inlineStr">
        <is>
          <t>-</t>
        </is>
      </c>
      <c r="G2081" s="3" t="inlineStr">
        <is>
          <t>-</t>
        </is>
      </c>
      <c r="H2081" s="6" t="inlineStr"/>
      <c r="I2081" s="6" t="inlineStr"/>
      <c r="J2081" s="6" t="inlineStr"/>
      <c r="K2081" s="16" t="n">
        <v>12</v>
      </c>
      <c r="L2081" s="2" t="inlineStr">
        <is>
          <t>20260529801679</t>
        </is>
      </c>
      <c r="M2081" s="8">
        <f>HYPERLINK("https://dart.fss.or.kr/dsaf001/main.do?rcpNo=20260529801679", "공시열람")</f>
        <v/>
      </c>
    </row>
    <row r="2082" ht="22" customHeight="1">
      <c r="A2082" s="2" t="inlineStr">
        <is>
          <t>2026-05-29</t>
        </is>
      </c>
      <c r="B2082" s="3" t="inlineStr">
        <is>
          <t>에이프로</t>
        </is>
      </c>
      <c r="C2082" s="2" t="inlineStr">
        <is>
          <t>262260</t>
        </is>
      </c>
      <c r="D2082" s="2" t="inlineStr">
        <is>
          <t>대량보유</t>
        </is>
      </c>
      <c r="E2082" s="3" t="inlineStr">
        <is>
          <t>페어웨이자산운용(주)</t>
        </is>
      </c>
      <c r="F2082" s="3" t="inlineStr">
        <is>
          <t>특별관계자</t>
        </is>
      </c>
      <c r="G2082" s="3" t="inlineStr">
        <is>
          <t>전환등(-), 전환사채의권리행사(+), 장내매도(-)</t>
        </is>
      </c>
      <c r="H2082" s="17" t="n">
        <v>-497247</v>
      </c>
      <c r="I2082" s="6" t="n">
        <v>6184</v>
      </c>
      <c r="J2082" s="6" t="n">
        <v>112261</v>
      </c>
      <c r="K2082" s="16" t="n">
        <v>1</v>
      </c>
      <c r="L2082" s="2" t="inlineStr">
        <is>
          <t>20260529001873</t>
        </is>
      </c>
      <c r="M2082" s="8">
        <f>HYPERLINK("https://dart.fss.or.kr/dsaf001/main.do?rcpNo=20260529001873", "공시열람")</f>
        <v/>
      </c>
    </row>
    <row r="2083" ht="22" customHeight="1">
      <c r="A2083" s="2" t="inlineStr">
        <is>
          <t>2026-05-29</t>
        </is>
      </c>
      <c r="B2083" s="3" t="inlineStr">
        <is>
          <t>한미글로벌</t>
        </is>
      </c>
      <c r="C2083" s="2" t="inlineStr">
        <is>
          <t>053690</t>
        </is>
      </c>
      <c r="D2083" s="2" t="inlineStr">
        <is>
          <t>임원보고</t>
        </is>
      </c>
      <c r="E2083" s="3" t="inlineStr">
        <is>
          <t>-</t>
        </is>
      </c>
      <c r="F2083" s="3" t="inlineStr">
        <is>
          <t>-</t>
        </is>
      </c>
      <c r="G2083" s="3" t="inlineStr">
        <is>
          <t>-</t>
        </is>
      </c>
      <c r="H2083" s="6" t="inlineStr"/>
      <c r="I2083" s="6" t="inlineStr"/>
      <c r="J2083" s="6" t="inlineStr"/>
      <c r="K2083" s="16" t="n">
        <v>12</v>
      </c>
      <c r="L2083" s="2" t="inlineStr">
        <is>
          <t>20260529801640</t>
        </is>
      </c>
      <c r="M2083" s="8">
        <f>HYPERLINK("https://dart.fss.or.kr/dsaf001/main.do?rcpNo=20260529801640", "공시열람")</f>
        <v/>
      </c>
    </row>
    <row r="2084" ht="22" customHeight="1">
      <c r="A2084" s="2" t="inlineStr">
        <is>
          <t>2026-05-29</t>
        </is>
      </c>
      <c r="B2084" s="3" t="inlineStr">
        <is>
          <t>AJ네트웍스</t>
        </is>
      </c>
      <c r="C2084" s="2" t="inlineStr">
        <is>
          <t>095570</t>
        </is>
      </c>
      <c r="D2084" s="2" t="inlineStr">
        <is>
          <t>임원보고</t>
        </is>
      </c>
      <c r="E2084" s="3" t="inlineStr">
        <is>
          <t>-</t>
        </is>
      </c>
      <c r="F2084" s="3" t="inlineStr">
        <is>
          <t>-</t>
        </is>
      </c>
      <c r="G2084" s="3" t="inlineStr">
        <is>
          <t>-</t>
        </is>
      </c>
      <c r="H2084" s="6" t="inlineStr"/>
      <c r="I2084" s="6" t="inlineStr"/>
      <c r="J2084" s="6" t="inlineStr"/>
      <c r="K2084" s="16" t="n">
        <v>12</v>
      </c>
      <c r="L2084" s="2" t="inlineStr">
        <is>
          <t>20260529801636</t>
        </is>
      </c>
      <c r="M2084" s="8">
        <f>HYPERLINK("https://dart.fss.or.kr/dsaf001/main.do?rcpNo=20260529801636", "공시열람")</f>
        <v/>
      </c>
    </row>
    <row r="2085" ht="22" customHeight="1">
      <c r="A2085" s="2" t="inlineStr">
        <is>
          <t>2026-05-29</t>
        </is>
      </c>
      <c r="B2085" s="3" t="inlineStr">
        <is>
          <t>현대엘리베이터</t>
        </is>
      </c>
      <c r="C2085" s="2" t="inlineStr">
        <is>
          <t>017800</t>
        </is>
      </c>
      <c r="D2085" s="2" t="inlineStr">
        <is>
          <t>임원보고</t>
        </is>
      </c>
      <c r="E2085" s="3" t="inlineStr">
        <is>
          <t>-</t>
        </is>
      </c>
      <c r="F2085" s="3" t="inlineStr">
        <is>
          <t>-</t>
        </is>
      </c>
      <c r="G2085" s="3" t="inlineStr">
        <is>
          <t>-</t>
        </is>
      </c>
      <c r="H2085" s="6" t="inlineStr"/>
      <c r="I2085" s="6" t="inlineStr"/>
      <c r="J2085" s="6" t="inlineStr"/>
      <c r="K2085" s="16" t="n">
        <v>12</v>
      </c>
      <c r="L2085" s="2" t="inlineStr">
        <is>
          <t>20260529801632</t>
        </is>
      </c>
      <c r="M2085" s="8">
        <f>HYPERLINK("https://dart.fss.or.kr/dsaf001/main.do?rcpNo=20260529801632", "공시열람")</f>
        <v/>
      </c>
    </row>
    <row r="2086" ht="22" customHeight="1">
      <c r="A2086" s="2" t="inlineStr">
        <is>
          <t>2026-05-29</t>
        </is>
      </c>
      <c r="B2086" s="3" t="inlineStr">
        <is>
          <t>휴마시스</t>
        </is>
      </c>
      <c r="C2086" s="2" t="inlineStr">
        <is>
          <t>205470</t>
        </is>
      </c>
      <c r="D2086" s="2" t="inlineStr">
        <is>
          <t>대량보유</t>
        </is>
      </c>
      <c r="E2086" s="3" t="inlineStr">
        <is>
          <t>주식회사인콘</t>
        </is>
      </c>
      <c r="F2086" s="3" t="inlineStr">
        <is>
          <t>특별관계자</t>
        </is>
      </c>
      <c r="G2086" s="3" t="inlineStr">
        <is>
          <t>장내매수(+)</t>
        </is>
      </c>
      <c r="H2086" s="15" t="n">
        <v>144585</v>
      </c>
      <c r="I2086" s="6" t="n">
        <v>4038</v>
      </c>
      <c r="J2086" s="6" t="n">
        <v>1748849</v>
      </c>
      <c r="K2086" s="16" t="n">
        <v>4</v>
      </c>
      <c r="L2086" s="2" t="inlineStr">
        <is>
          <t>20260529001850</t>
        </is>
      </c>
      <c r="M2086" s="8">
        <f>HYPERLINK("https://dart.fss.or.kr/dsaf001/main.do?rcpNo=20260529001850", "공시열람")</f>
        <v/>
      </c>
    </row>
    <row r="2087" ht="22" customHeight="1">
      <c r="A2087" s="2" t="inlineStr">
        <is>
          <t>2026-05-29</t>
        </is>
      </c>
      <c r="B2087" s="3" t="inlineStr">
        <is>
          <t>한미글로벌</t>
        </is>
      </c>
      <c r="C2087" s="2" t="inlineStr">
        <is>
          <t>053690</t>
        </is>
      </c>
      <c r="D2087" s="2" t="inlineStr">
        <is>
          <t>대량보유</t>
        </is>
      </c>
      <c r="E2087" s="3" t="inlineStr">
        <is>
          <t>이국헌</t>
        </is>
      </c>
      <c r="F2087" s="3" t="inlineStr">
        <is>
          <t>특별관계자</t>
        </is>
      </c>
      <c r="G2087" s="3" t="inlineStr">
        <is>
          <t>장내매도(-)</t>
        </is>
      </c>
      <c r="H2087" s="17" t="n">
        <v>-310</v>
      </c>
      <c r="I2087" s="6" t="n">
        <v>22600</v>
      </c>
      <c r="J2087" s="6" t="inlineStr"/>
      <c r="K2087" s="16" t="n">
        <v>13</v>
      </c>
      <c r="L2087" s="2" t="inlineStr">
        <is>
          <t>20260529001837</t>
        </is>
      </c>
      <c r="M2087" s="8">
        <f>HYPERLINK("https://dart.fss.or.kr/dsaf001/main.do?rcpNo=20260529001837", "공시열람")</f>
        <v/>
      </c>
    </row>
    <row r="2088" ht="22" customHeight="1">
      <c r="A2088" s="2" t="inlineStr">
        <is>
          <t>2026-05-29</t>
        </is>
      </c>
      <c r="B2088" s="3" t="inlineStr">
        <is>
          <t>에이프로젠</t>
        </is>
      </c>
      <c r="C2088" s="2" t="inlineStr">
        <is>
          <t>007460</t>
        </is>
      </c>
      <c r="D2088" s="2" t="inlineStr">
        <is>
          <t>대량보유</t>
        </is>
      </c>
      <c r="E2088" s="3" t="inlineStr">
        <is>
          <t>(주)앱토크롬</t>
        </is>
      </c>
      <c r="F2088" s="3" t="inlineStr">
        <is>
          <t>특별관계자</t>
        </is>
      </c>
      <c r="G2088" s="3" t="inlineStr">
        <is>
          <t>CB인수(+)</t>
        </is>
      </c>
      <c r="H2088" s="15" t="n">
        <v>2618372</v>
      </c>
      <c r="I2088" s="6" t="n">
        <v>4583</v>
      </c>
      <c r="J2088" s="6" t="n">
        <v>27706298</v>
      </c>
      <c r="K2088" s="16" t="n">
        <v>10</v>
      </c>
      <c r="L2088" s="2" t="inlineStr">
        <is>
          <t>20260529001831</t>
        </is>
      </c>
      <c r="M2088" s="8">
        <f>HYPERLINK("https://dart.fss.or.kr/dsaf001/main.do?rcpNo=20260529001831", "공시열람")</f>
        <v/>
      </c>
    </row>
    <row r="2089" ht="22" customHeight="1">
      <c r="A2089" s="2" t="inlineStr">
        <is>
          <t>2026-05-29</t>
        </is>
      </c>
      <c r="B2089" s="3" t="inlineStr">
        <is>
          <t>에이프로젠</t>
        </is>
      </c>
      <c r="C2089" s="2" t="inlineStr">
        <is>
          <t>007460</t>
        </is>
      </c>
      <c r="D2089" s="2" t="inlineStr">
        <is>
          <t>대량보유</t>
        </is>
      </c>
      <c r="E2089" s="3" t="inlineStr">
        <is>
          <t>(주)엔투텍</t>
        </is>
      </c>
      <c r="F2089" s="3" t="inlineStr">
        <is>
          <t>특별관계자</t>
        </is>
      </c>
      <c r="G2089" s="3" t="inlineStr">
        <is>
          <t>CB인수(+)</t>
        </is>
      </c>
      <c r="H2089" s="15" t="n">
        <v>1869158</v>
      </c>
      <c r="I2089" s="6" t="n">
        <v>5350</v>
      </c>
      <c r="J2089" s="6" t="n">
        <v>1869158</v>
      </c>
      <c r="K2089" s="16" t="n">
        <v>10</v>
      </c>
      <c r="L2089" s="2" t="inlineStr">
        <is>
          <t>20260529001831</t>
        </is>
      </c>
      <c r="M2089" s="8">
        <f>HYPERLINK("https://dart.fss.or.kr/dsaf001/main.do?rcpNo=20260529001831", "공시열람")</f>
        <v/>
      </c>
    </row>
    <row r="2090" ht="22" customHeight="1">
      <c r="A2090" s="2" t="inlineStr">
        <is>
          <t>2026-05-29</t>
        </is>
      </c>
      <c r="B2090" s="3" t="inlineStr">
        <is>
          <t>메디앙스</t>
        </is>
      </c>
      <c r="C2090" s="2" t="inlineStr">
        <is>
          <t>014100</t>
        </is>
      </c>
      <c r="D2090" s="2" t="inlineStr">
        <is>
          <t>대량보유</t>
        </is>
      </c>
      <c r="E2090" s="3" t="inlineStr">
        <is>
          <t>신채리</t>
        </is>
      </c>
      <c r="F2090" s="3" t="inlineStr">
        <is>
          <t>특별관계자</t>
        </is>
      </c>
      <c r="G2090" s="3" t="inlineStr">
        <is>
          <t>장내매수(+)</t>
        </is>
      </c>
      <c r="H2090" s="15" t="n">
        <v>129863</v>
      </c>
      <c r="I2090" s="6" t="n">
        <v>1640</v>
      </c>
      <c r="J2090" s="6" t="n">
        <v>261504</v>
      </c>
      <c r="K2090" s="16" t="n">
        <v>2</v>
      </c>
      <c r="L2090" s="2" t="inlineStr">
        <is>
          <t>20260529001822</t>
        </is>
      </c>
      <c r="M2090" s="8">
        <f>HYPERLINK("https://dart.fss.or.kr/dsaf001/main.do?rcpNo=20260529001822", "공시열람")</f>
        <v/>
      </c>
    </row>
    <row r="2091" ht="22" customHeight="1">
      <c r="A2091" s="2" t="inlineStr">
        <is>
          <t>2026-05-29</t>
        </is>
      </c>
      <c r="B2091" s="3" t="inlineStr">
        <is>
          <t>메디앙스</t>
        </is>
      </c>
      <c r="C2091" s="2" t="inlineStr">
        <is>
          <t>014100</t>
        </is>
      </c>
      <c r="D2091" s="2" t="inlineStr">
        <is>
          <t>대량보유</t>
        </is>
      </c>
      <c r="E2091" s="3" t="inlineStr">
        <is>
          <t>신재형</t>
        </is>
      </c>
      <c r="F2091" s="3" t="inlineStr">
        <is>
          <t>특별관계자</t>
        </is>
      </c>
      <c r="G2091" s="3" t="inlineStr">
        <is>
          <t>장내매수(+)</t>
        </is>
      </c>
      <c r="H2091" s="15" t="n">
        <v>140153</v>
      </c>
      <c r="I2091" s="6" t="n">
        <v>1973</v>
      </c>
      <c r="J2091" s="6" t="n">
        <v>591531</v>
      </c>
      <c r="K2091" s="16" t="n">
        <v>2</v>
      </c>
      <c r="L2091" s="2" t="inlineStr">
        <is>
          <t>20260529001822</t>
        </is>
      </c>
      <c r="M2091" s="8">
        <f>HYPERLINK("https://dart.fss.or.kr/dsaf001/main.do?rcpNo=20260529001822", "공시열람")</f>
        <v/>
      </c>
    </row>
    <row r="2092" ht="22" customHeight="1">
      <c r="A2092" s="2" t="inlineStr">
        <is>
          <t>2026-05-29</t>
        </is>
      </c>
      <c r="B2092" s="3" t="inlineStr">
        <is>
          <t>디와이씨</t>
        </is>
      </c>
      <c r="C2092" s="2" t="inlineStr">
        <is>
          <t>310870</t>
        </is>
      </c>
      <c r="D2092" s="2" t="inlineStr">
        <is>
          <t>대량보유</t>
        </is>
      </c>
      <c r="E2092" s="3" t="inlineStr">
        <is>
          <t>(주)시알홀딩스</t>
        </is>
      </c>
      <c r="F2092" s="3" t="inlineStr">
        <is>
          <t>특별관계자</t>
        </is>
      </c>
      <c r="G2092" s="3" t="inlineStr">
        <is>
          <t>장내매도(-)</t>
        </is>
      </c>
      <c r="H2092" s="17" t="n">
        <v>-449946</v>
      </c>
      <c r="I2092" s="6" t="n">
        <v>2084</v>
      </c>
      <c r="J2092" s="6" t="n">
        <v>1852931</v>
      </c>
      <c r="K2092" s="16" t="n">
        <v>8.960000000000001</v>
      </c>
      <c r="L2092" s="2" t="inlineStr">
        <is>
          <t>20260529001817</t>
        </is>
      </c>
      <c r="M2092" s="8">
        <f>HYPERLINK("https://dart.fss.or.kr/dsaf001/main.do?rcpNo=20260529001817", "공시열람")</f>
        <v/>
      </c>
    </row>
    <row r="2093" ht="22" customHeight="1">
      <c r="A2093" s="2" t="inlineStr">
        <is>
          <t>2026-05-29 (정정: 2026-06-05)</t>
        </is>
      </c>
      <c r="B2093" s="3" t="inlineStr">
        <is>
          <t>알엔투테크놀로지</t>
        </is>
      </c>
      <c r="C2093" s="2" t="inlineStr">
        <is>
          <t>148250</t>
        </is>
      </c>
      <c r="D2093" s="2" t="inlineStr">
        <is>
          <t>대량보유</t>
        </is>
      </c>
      <c r="E2093" s="3" t="inlineStr">
        <is>
          <t>-</t>
        </is>
      </c>
      <c r="F2093" s="3" t="inlineStr">
        <is>
          <t>보고자</t>
        </is>
      </c>
      <c r="G2093" s="3" t="inlineStr">
        <is>
          <t>-</t>
        </is>
      </c>
      <c r="H2093" s="6" t="inlineStr"/>
      <c r="I2093" s="6" t="inlineStr"/>
      <c r="J2093" s="6" t="inlineStr"/>
      <c r="K2093" s="18" t="inlineStr"/>
      <c r="L2093" s="2" t="inlineStr">
        <is>
          <t>20260605000588</t>
        </is>
      </c>
      <c r="M2093" s="8">
        <f>HYPERLINK("https://dart.fss.or.kr/dsaf001/main.do?rcpNo=20260605000588", "공시열람")</f>
        <v/>
      </c>
    </row>
    <row r="2094" ht="22" customHeight="1">
      <c r="A2094" s="2" t="inlineStr">
        <is>
          <t>2026-05-29</t>
        </is>
      </c>
      <c r="B2094" s="3" t="inlineStr">
        <is>
          <t>파크시스템스</t>
        </is>
      </c>
      <c r="C2094" s="2" t="inlineStr">
        <is>
          <t>140860</t>
        </is>
      </c>
      <c r="D2094" s="2" t="inlineStr">
        <is>
          <t>대량보유</t>
        </is>
      </c>
      <c r="E2094" s="3" t="inlineStr">
        <is>
          <t>삼성자산운용</t>
        </is>
      </c>
      <c r="F2094" s="3" t="inlineStr">
        <is>
          <t>특별관계자</t>
        </is>
      </c>
      <c r="G2094" s="3" t="inlineStr">
        <is>
          <t>기타(+), 기타(-), 장내매수(+), 장내매도(-)</t>
        </is>
      </c>
      <c r="H2094" s="17" t="n">
        <v>-148247</v>
      </c>
      <c r="I2094" s="6" t="n">
        <v>277652</v>
      </c>
      <c r="J2094" s="6" t="n">
        <v>201905</v>
      </c>
      <c r="K2094" s="16" t="n">
        <v>2.89</v>
      </c>
      <c r="L2094" s="2" t="inlineStr">
        <is>
          <t>20260529001772</t>
        </is>
      </c>
      <c r="M2094" s="8">
        <f>HYPERLINK("https://dart.fss.or.kr/dsaf001/main.do?rcpNo=20260529001772", "공시열람")</f>
        <v/>
      </c>
    </row>
    <row r="2095" ht="22" customHeight="1">
      <c r="A2095" s="2" t="inlineStr">
        <is>
          <t>2026-05-29</t>
        </is>
      </c>
      <c r="B2095" s="3" t="inlineStr">
        <is>
          <t>한울반도체</t>
        </is>
      </c>
      <c r="C2095" s="2" t="inlineStr">
        <is>
          <t>320000</t>
        </is>
      </c>
      <c r="D2095" s="2" t="inlineStr">
        <is>
          <t>대량보유</t>
        </is>
      </c>
      <c r="E2095" s="3" t="inlineStr">
        <is>
          <t>김백산</t>
        </is>
      </c>
      <c r="F2095" s="3" t="inlineStr">
        <is>
          <t>특별관계자</t>
        </is>
      </c>
      <c r="G2095" s="3" t="inlineStr">
        <is>
          <t>장내매수(+)</t>
        </is>
      </c>
      <c r="H2095" s="15" t="n">
        <v>4040</v>
      </c>
      <c r="I2095" s="6" t="n">
        <v>12648</v>
      </c>
      <c r="J2095" s="6" t="n">
        <v>4040</v>
      </c>
      <c r="K2095" s="16" t="n">
        <v>9</v>
      </c>
      <c r="L2095" s="2" t="inlineStr">
        <is>
          <t>20260529001764</t>
        </is>
      </c>
      <c r="M2095" s="8">
        <f>HYPERLINK("https://dart.fss.or.kr/dsaf001/main.do?rcpNo=20260529001764", "공시열람")</f>
        <v/>
      </c>
    </row>
    <row r="2096" ht="22" customHeight="1">
      <c r="A2096" s="2" t="inlineStr">
        <is>
          <t>2026-05-29</t>
        </is>
      </c>
      <c r="B2096" s="3" t="inlineStr">
        <is>
          <t>한울반도체</t>
        </is>
      </c>
      <c r="C2096" s="2" t="inlineStr">
        <is>
          <t>320000</t>
        </is>
      </c>
      <c r="D2096" s="2" t="inlineStr">
        <is>
          <t>대량보유</t>
        </is>
      </c>
      <c r="E2096" s="3" t="inlineStr">
        <is>
          <t>김기원</t>
        </is>
      </c>
      <c r="F2096" s="3" t="inlineStr">
        <is>
          <t>특별관계자</t>
        </is>
      </c>
      <c r="G2096" s="3" t="inlineStr">
        <is>
          <t>장내매수(+)</t>
        </is>
      </c>
      <c r="H2096" s="15" t="n">
        <v>4500</v>
      </c>
      <c r="I2096" s="6" t="n">
        <v>13752</v>
      </c>
      <c r="J2096" s="6" t="n">
        <v>4500</v>
      </c>
      <c r="K2096" s="16" t="n">
        <v>9</v>
      </c>
      <c r="L2096" s="2" t="inlineStr">
        <is>
          <t>20260529001764</t>
        </is>
      </c>
      <c r="M2096" s="8">
        <f>HYPERLINK("https://dart.fss.or.kr/dsaf001/main.do?rcpNo=20260529001764", "공시열람")</f>
        <v/>
      </c>
    </row>
    <row r="2097" ht="22" customHeight="1">
      <c r="A2097" s="2" t="inlineStr">
        <is>
          <t>2026-05-29</t>
        </is>
      </c>
      <c r="B2097" s="3" t="inlineStr">
        <is>
          <t>SK네트웍스</t>
        </is>
      </c>
      <c r="C2097" s="2" t="inlineStr">
        <is>
          <t>001740</t>
        </is>
      </c>
      <c r="D2097" s="2" t="inlineStr">
        <is>
          <t>임원보고</t>
        </is>
      </c>
      <c r="E2097" s="3" t="inlineStr">
        <is>
          <t>-</t>
        </is>
      </c>
      <c r="F2097" s="3" t="inlineStr">
        <is>
          <t>-</t>
        </is>
      </c>
      <c r="G2097" s="3" t="inlineStr">
        <is>
          <t>-</t>
        </is>
      </c>
      <c r="H2097" s="6" t="inlineStr"/>
      <c r="I2097" s="6" t="inlineStr"/>
      <c r="J2097" s="6" t="inlineStr"/>
      <c r="K2097" s="16" t="n">
        <v>12</v>
      </c>
      <c r="L2097" s="2" t="inlineStr">
        <is>
          <t>20260529801553</t>
        </is>
      </c>
      <c r="M2097" s="8">
        <f>HYPERLINK("https://dart.fss.or.kr/dsaf001/main.do?rcpNo=20260529801553", "공시열람")</f>
        <v/>
      </c>
    </row>
    <row r="2098" ht="22" customHeight="1">
      <c r="A2098" s="2" t="inlineStr">
        <is>
          <t>2026-05-29</t>
        </is>
      </c>
      <c r="B2098" s="3" t="inlineStr">
        <is>
          <t>동진쎄미켐</t>
        </is>
      </c>
      <c r="C2098" s="2" t="inlineStr">
        <is>
          <t>005290</t>
        </is>
      </c>
      <c r="D2098" s="2" t="inlineStr">
        <is>
          <t>대량보유</t>
        </is>
      </c>
      <c r="E2098" s="3" t="inlineStr">
        <is>
          <t>삼성자산운용</t>
        </is>
      </c>
      <c r="F2098" s="3" t="inlineStr">
        <is>
          <t>특별관계자</t>
        </is>
      </c>
      <c r="G2098" s="3" t="inlineStr">
        <is>
          <t>기타(+), 장내매수(+), 기타(-), 장내매도(-)</t>
        </is>
      </c>
      <c r="H2098" s="17" t="n">
        <v>-1098167</v>
      </c>
      <c r="I2098" s="6" t="n">
        <v>52680</v>
      </c>
      <c r="J2098" s="6" t="n">
        <v>1494087</v>
      </c>
      <c r="K2098" s="16" t="n">
        <v>2.91</v>
      </c>
      <c r="L2098" s="2" t="inlineStr">
        <is>
          <t>20260529001757</t>
        </is>
      </c>
      <c r="M2098" s="8">
        <f>HYPERLINK("https://dart.fss.or.kr/dsaf001/main.do?rcpNo=20260529001757", "공시열람")</f>
        <v/>
      </c>
    </row>
    <row r="2099" ht="22" customHeight="1">
      <c r="A2099" s="2" t="inlineStr">
        <is>
          <t>2026-05-29</t>
        </is>
      </c>
      <c r="B2099" s="3" t="inlineStr">
        <is>
          <t>블루엠텍</t>
        </is>
      </c>
      <c r="C2099" s="2" t="inlineStr">
        <is>
          <t>439580</t>
        </is>
      </c>
      <c r="D2099" s="2" t="inlineStr">
        <is>
          <t>대량보유</t>
        </is>
      </c>
      <c r="E2099" s="3" t="inlineStr">
        <is>
          <t>연제량</t>
        </is>
      </c>
      <c r="F2099" s="3" t="inlineStr">
        <is>
          <t>특별관계자</t>
        </is>
      </c>
      <c r="G2099" s="3" t="inlineStr">
        <is>
          <t>장내매도(-), 장내매수(+)</t>
        </is>
      </c>
      <c r="H2099" s="15" t="n">
        <v>56456</v>
      </c>
      <c r="I2099" s="6" t="n">
        <v>3416</v>
      </c>
      <c r="J2099" s="6" t="n">
        <v>3600456</v>
      </c>
      <c r="K2099" s="16" t="n">
        <v>15</v>
      </c>
      <c r="L2099" s="2" t="inlineStr">
        <is>
          <t>20260529001738</t>
        </is>
      </c>
      <c r="M2099" s="8">
        <f>HYPERLINK("https://dart.fss.or.kr/dsaf001/main.do?rcpNo=20260529001738", "공시열람")</f>
        <v/>
      </c>
    </row>
    <row r="2100" ht="22" customHeight="1">
      <c r="A2100" s="2" t="inlineStr">
        <is>
          <t>2026-05-29</t>
        </is>
      </c>
      <c r="B2100" s="3" t="inlineStr">
        <is>
          <t>블루엠텍</t>
        </is>
      </c>
      <c r="C2100" s="2" t="inlineStr">
        <is>
          <t>439580</t>
        </is>
      </c>
      <c r="D2100" s="2" t="inlineStr">
        <is>
          <t>대량보유</t>
        </is>
      </c>
      <c r="E2100" s="3" t="inlineStr">
        <is>
          <t>김우현</t>
        </is>
      </c>
      <c r="F2100" s="3" t="inlineStr">
        <is>
          <t>특별관계자</t>
        </is>
      </c>
      <c r="G2100" s="3" t="inlineStr">
        <is>
          <t>장내매도(-)</t>
        </is>
      </c>
      <c r="H2100" s="17" t="n">
        <v>-75000</v>
      </c>
      <c r="I2100" s="6" t="n">
        <v>3604</v>
      </c>
      <c r="J2100" s="6" t="inlineStr"/>
      <c r="K2100" s="16" t="n">
        <v>15</v>
      </c>
      <c r="L2100" s="2" t="inlineStr">
        <is>
          <t>20260529001738</t>
        </is>
      </c>
      <c r="M2100" s="8">
        <f>HYPERLINK("https://dart.fss.or.kr/dsaf001/main.do?rcpNo=20260529001738", "공시열람")</f>
        <v/>
      </c>
    </row>
    <row r="2101" ht="22" customHeight="1">
      <c r="A2101" s="2" t="inlineStr">
        <is>
          <t>2026-05-29</t>
        </is>
      </c>
      <c r="B2101" s="3" t="inlineStr">
        <is>
          <t>블루엠텍</t>
        </is>
      </c>
      <c r="C2101" s="2" t="inlineStr">
        <is>
          <t>439580</t>
        </is>
      </c>
      <c r="D2101" s="2" t="inlineStr">
        <is>
          <t>대량보유</t>
        </is>
      </c>
      <c r="E2101" s="3" t="inlineStr">
        <is>
          <t>김종수</t>
        </is>
      </c>
      <c r="F2101" s="3" t="inlineStr">
        <is>
          <t>특별관계자</t>
        </is>
      </c>
      <c r="G2101" s="3" t="inlineStr">
        <is>
          <t>장내매도(-), 장내매수(+)</t>
        </is>
      </c>
      <c r="H2101" s="17" t="n">
        <v>-12000</v>
      </c>
      <c r="I2101" s="6" t="n">
        <v>4037</v>
      </c>
      <c r="J2101" s="6" t="n">
        <v>228000</v>
      </c>
      <c r="K2101" s="16" t="n">
        <v>15</v>
      </c>
      <c r="L2101" s="2" t="inlineStr">
        <is>
          <t>20260529001738</t>
        </is>
      </c>
      <c r="M2101" s="8">
        <f>HYPERLINK("https://dart.fss.or.kr/dsaf001/main.do?rcpNo=20260529001738", "공시열람")</f>
        <v/>
      </c>
    </row>
    <row r="2102" ht="22" customHeight="1">
      <c r="A2102" s="2" t="inlineStr">
        <is>
          <t>2026-05-29</t>
        </is>
      </c>
      <c r="B2102" s="3" t="inlineStr">
        <is>
          <t>대주전자재료</t>
        </is>
      </c>
      <c r="C2102" s="2" t="inlineStr">
        <is>
          <t>078600</t>
        </is>
      </c>
      <c r="D2102" s="2" t="inlineStr">
        <is>
          <t>대량보유</t>
        </is>
      </c>
      <c r="E2102" s="3" t="inlineStr">
        <is>
          <t>삼성자산운용</t>
        </is>
      </c>
      <c r="F2102" s="3" t="inlineStr">
        <is>
          <t>특별관계자</t>
        </is>
      </c>
      <c r="G2102" s="3" t="inlineStr">
        <is>
          <t>기타(+), 장내매수(+), 기타(-), 장내매도(-)</t>
        </is>
      </c>
      <c r="H2102" s="17" t="n">
        <v>-158519</v>
      </c>
      <c r="I2102" s="6" t="n">
        <v>126514</v>
      </c>
      <c r="J2102" s="6" t="n">
        <v>644373</v>
      </c>
      <c r="K2102" s="16" t="n">
        <v>4.15</v>
      </c>
      <c r="L2102" s="2" t="inlineStr">
        <is>
          <t>20260529001737</t>
        </is>
      </c>
      <c r="M2102" s="8">
        <f>HYPERLINK("https://dart.fss.or.kr/dsaf001/main.do?rcpNo=20260529001737", "공시열람")</f>
        <v/>
      </c>
    </row>
    <row r="2103" ht="22" customHeight="1">
      <c r="A2103" s="2" t="inlineStr">
        <is>
          <t>2026-05-29</t>
        </is>
      </c>
      <c r="B2103" s="3" t="inlineStr">
        <is>
          <t>에프에스티</t>
        </is>
      </c>
      <c r="C2103" s="2" t="inlineStr">
        <is>
          <t>036810</t>
        </is>
      </c>
      <c r="D2103" s="2" t="inlineStr">
        <is>
          <t>대량보유</t>
        </is>
      </c>
      <c r="E2103" s="3" t="inlineStr">
        <is>
          <t>삼성자산운용</t>
        </is>
      </c>
      <c r="F2103" s="3" t="inlineStr">
        <is>
          <t>특별관계자</t>
        </is>
      </c>
      <c r="G2103" s="3" t="inlineStr">
        <is>
          <t>장내매수(+), 기타(+), 기타(-), 장내매도(-), 주식배당(+)</t>
        </is>
      </c>
      <c r="H2103" s="17" t="n">
        <v>-237506</v>
      </c>
      <c r="I2103" s="6" t="n">
        <v>40488</v>
      </c>
      <c r="J2103" s="6" t="n">
        <v>873881</v>
      </c>
      <c r="K2103" s="16" t="n">
        <v>4.04</v>
      </c>
      <c r="L2103" s="2" t="inlineStr">
        <is>
          <t>20260529001715</t>
        </is>
      </c>
      <c r="M2103" s="8">
        <f>HYPERLINK("https://dart.fss.or.kr/dsaf001/main.do?rcpNo=20260529001715", "공시열람")</f>
        <v/>
      </c>
    </row>
    <row r="2104" ht="22" customHeight="1">
      <c r="A2104" s="2" t="inlineStr">
        <is>
          <t>2026-05-29</t>
        </is>
      </c>
      <c r="B2104" s="3" t="inlineStr">
        <is>
          <t>씨아이에스</t>
        </is>
      </c>
      <c r="C2104" s="2" t="inlineStr">
        <is>
          <t>222080</t>
        </is>
      </c>
      <c r="D2104" s="2" t="inlineStr">
        <is>
          <t>대량보유</t>
        </is>
      </c>
      <c r="E2104" s="3" t="inlineStr">
        <is>
          <t>삼성자산운용</t>
        </is>
      </c>
      <c r="F2104" s="3" t="inlineStr">
        <is>
          <t>특별관계자</t>
        </is>
      </c>
      <c r="G2104" s="3" t="inlineStr">
        <is>
          <t>기타(+), 장내매수(+), 장내매도(-), 기타(-)</t>
        </is>
      </c>
      <c r="H2104" s="17" t="n">
        <v>-763266</v>
      </c>
      <c r="I2104" s="6" t="n">
        <v>13948</v>
      </c>
      <c r="J2104" s="6" t="n">
        <v>3228832</v>
      </c>
      <c r="K2104" s="16" t="n">
        <v>4.15</v>
      </c>
      <c r="L2104" s="2" t="inlineStr">
        <is>
          <t>20260529001699</t>
        </is>
      </c>
      <c r="M2104" s="8">
        <f>HYPERLINK("https://dart.fss.or.kr/dsaf001/main.do?rcpNo=20260529001699", "공시열람")</f>
        <v/>
      </c>
    </row>
    <row r="2105" ht="22" customHeight="1">
      <c r="A2105" s="2" t="inlineStr">
        <is>
          <t>2026-05-29</t>
        </is>
      </c>
      <c r="B2105" s="3" t="inlineStr">
        <is>
          <t>오스코텍</t>
        </is>
      </c>
      <c r="C2105" s="2" t="inlineStr">
        <is>
          <t>039200</t>
        </is>
      </c>
      <c r="D2105" s="2" t="inlineStr">
        <is>
          <t>대량보유</t>
        </is>
      </c>
      <c r="E2105" s="3" t="inlineStr">
        <is>
          <t>삼성자산운용</t>
        </is>
      </c>
      <c r="F2105" s="3" t="inlineStr">
        <is>
          <t>특별관계자</t>
        </is>
      </c>
      <c r="G2105" s="3" t="inlineStr">
        <is>
          <t>장내매수(+), 기타(+), 기타(-), 장내매도(-)</t>
        </is>
      </c>
      <c r="H2105" s="17" t="n">
        <v>-390936</v>
      </c>
      <c r="I2105" s="6" t="n">
        <v>52172</v>
      </c>
      <c r="J2105" s="6" t="n">
        <v>1573860</v>
      </c>
      <c r="K2105" s="16" t="n">
        <v>4.11</v>
      </c>
      <c r="L2105" s="2" t="inlineStr">
        <is>
          <t>20260529001680</t>
        </is>
      </c>
      <c r="M2105" s="8">
        <f>HYPERLINK("https://dart.fss.or.kr/dsaf001/main.do?rcpNo=20260529001680", "공시열람")</f>
        <v/>
      </c>
    </row>
    <row r="2106" ht="22" customHeight="1">
      <c r="A2106" s="2" t="inlineStr">
        <is>
          <t>2026-05-29</t>
        </is>
      </c>
      <c r="B2106" s="3" t="inlineStr">
        <is>
          <t>더존비즈온</t>
        </is>
      </c>
      <c r="C2106" s="2" t="inlineStr">
        <is>
          <t>012510</t>
        </is>
      </c>
      <c r="D2106" s="2" t="inlineStr">
        <is>
          <t>임원보고</t>
        </is>
      </c>
      <c r="E2106" s="3" t="inlineStr">
        <is>
          <t>-</t>
        </is>
      </c>
      <c r="F2106" s="3" t="inlineStr">
        <is>
          <t>-</t>
        </is>
      </c>
      <c r="G2106" s="3" t="inlineStr">
        <is>
          <t>-</t>
        </is>
      </c>
      <c r="H2106" s="6" t="inlineStr"/>
      <c r="I2106" s="6" t="inlineStr"/>
      <c r="J2106" s="6" t="inlineStr"/>
      <c r="K2106" s="16" t="n">
        <v>12</v>
      </c>
      <c r="L2106" s="2" t="inlineStr">
        <is>
          <t>20260529801468</t>
        </is>
      </c>
      <c r="M2106" s="8">
        <f>HYPERLINK("https://dart.fss.or.kr/dsaf001/main.do?rcpNo=20260529801468", "공시열람")</f>
        <v/>
      </c>
    </row>
    <row r="2107" ht="22" customHeight="1">
      <c r="A2107" s="2" t="inlineStr">
        <is>
          <t>2026-05-29</t>
        </is>
      </c>
      <c r="B2107" s="3" t="inlineStr">
        <is>
          <t>펩트론</t>
        </is>
      </c>
      <c r="C2107" s="2" t="inlineStr">
        <is>
          <t>087010</t>
        </is>
      </c>
      <c r="D2107" s="2" t="inlineStr">
        <is>
          <t>대량보유</t>
        </is>
      </c>
      <c r="E2107" s="3" t="inlineStr">
        <is>
          <t>삼성자산운용</t>
        </is>
      </c>
      <c r="F2107" s="3" t="inlineStr">
        <is>
          <t>특별관계자</t>
        </is>
      </c>
      <c r="G2107" s="3" t="inlineStr">
        <is>
          <t>장내매수(+), 기타(+), 기타(-), 장내매도(-)</t>
        </is>
      </c>
      <c r="H2107" s="17" t="n">
        <v>-237057</v>
      </c>
      <c r="I2107" s="6" t="n">
        <v>280671</v>
      </c>
      <c r="J2107" s="6" t="n">
        <v>951168</v>
      </c>
      <c r="K2107" s="16" t="n">
        <v>4.08</v>
      </c>
      <c r="L2107" s="2" t="inlineStr">
        <is>
          <t>20260529001665</t>
        </is>
      </c>
      <c r="M2107" s="8">
        <f>HYPERLINK("https://dart.fss.or.kr/dsaf001/main.do?rcpNo=20260529001665", "공시열람")</f>
        <v/>
      </c>
    </row>
    <row r="2108" ht="22" customHeight="1">
      <c r="A2108" s="2" t="inlineStr">
        <is>
          <t>2026-05-29</t>
        </is>
      </c>
      <c r="B2108" s="3" t="inlineStr">
        <is>
          <t>파버나인</t>
        </is>
      </c>
      <c r="C2108" s="2" t="inlineStr">
        <is>
          <t>177830</t>
        </is>
      </c>
      <c r="D2108" s="2" t="inlineStr">
        <is>
          <t>대량보유</t>
        </is>
      </c>
      <c r="E2108" s="3" t="inlineStr">
        <is>
          <t>이제훈</t>
        </is>
      </c>
      <c r="F2108" s="3" t="inlineStr">
        <is>
          <t>보고자</t>
        </is>
      </c>
      <c r="G2108" s="3" t="inlineStr">
        <is>
          <t>주식담보대출 일부 상환</t>
        </is>
      </c>
      <c r="H2108" s="6" t="inlineStr"/>
      <c r="I2108" s="6" t="inlineStr"/>
      <c r="J2108" s="6" t="n">
        <v>3738862</v>
      </c>
      <c r="K2108" s="16" t="n">
        <v>1</v>
      </c>
      <c r="L2108" s="2" t="inlineStr">
        <is>
          <t>20260529001663</t>
        </is>
      </c>
      <c r="M2108" s="8">
        <f>HYPERLINK("https://dart.fss.or.kr/dsaf001/main.do?rcpNo=20260529001663", "공시열람")</f>
        <v/>
      </c>
    </row>
    <row r="2109" ht="22" customHeight="1">
      <c r="A2109" s="2" t="inlineStr">
        <is>
          <t>2026-05-29</t>
        </is>
      </c>
      <c r="B2109" s="3" t="inlineStr">
        <is>
          <t>현대백화점</t>
        </is>
      </c>
      <c r="C2109" s="2" t="inlineStr">
        <is>
          <t>069960</t>
        </is>
      </c>
      <c r="D2109" s="2" t="inlineStr">
        <is>
          <t>대량보유</t>
        </is>
      </c>
      <c r="E2109" s="3" t="inlineStr">
        <is>
          <t>(주)브이아이피자산운용</t>
        </is>
      </c>
      <c r="F2109" s="3" t="inlineStr">
        <is>
          <t>특별관계자</t>
        </is>
      </c>
      <c r="G2109" s="3" t="inlineStr">
        <is>
          <t>장내매수(+), 기타(-), 장내매도(-)</t>
        </is>
      </c>
      <c r="H2109" s="15" t="n">
        <v>53089</v>
      </c>
      <c r="I2109" s="6" t="n">
        <v>108936</v>
      </c>
      <c r="J2109" s="6" t="n">
        <v>1128042</v>
      </c>
      <c r="K2109" s="16" t="n">
        <v>5.23</v>
      </c>
      <c r="L2109" s="2" t="inlineStr">
        <is>
          <t>20260529001641</t>
        </is>
      </c>
      <c r="M2109" s="8">
        <f>HYPERLINK("https://dart.fss.or.kr/dsaf001/main.do?rcpNo=20260529001641", "공시열람")</f>
        <v/>
      </c>
    </row>
    <row r="2110" ht="22" customHeight="1">
      <c r="A2110" s="2" t="inlineStr">
        <is>
          <t>2026-05-29</t>
        </is>
      </c>
      <c r="B2110" s="3" t="inlineStr">
        <is>
          <t>원포유</t>
        </is>
      </c>
      <c r="C2110" s="2" t="inlineStr">
        <is>
          <t>122830</t>
        </is>
      </c>
      <c r="D2110" s="2" t="inlineStr">
        <is>
          <t>대량보유</t>
        </is>
      </c>
      <c r="E2110" s="3" t="inlineStr">
        <is>
          <t>전동호</t>
        </is>
      </c>
      <c r="F2110" s="3" t="inlineStr">
        <is>
          <t>특별관계자</t>
        </is>
      </c>
      <c r="G2110" s="3" t="inlineStr">
        <is>
          <t>주식분할, 증여(-)</t>
        </is>
      </c>
      <c r="H2110" s="15" t="n">
        <v>12309796</v>
      </c>
      <c r="I2110" s="6" t="inlineStr"/>
      <c r="J2110" s="6" t="n">
        <v>15395870</v>
      </c>
      <c r="K2110" s="16" t="n">
        <v>5</v>
      </c>
      <c r="L2110" s="2" t="inlineStr">
        <is>
          <t>20260529001634</t>
        </is>
      </c>
      <c r="M2110" s="8">
        <f>HYPERLINK("https://dart.fss.or.kr/dsaf001/main.do?rcpNo=20260529001634", "공시열람")</f>
        <v/>
      </c>
    </row>
    <row r="2111" ht="22" customHeight="1">
      <c r="A2111" s="2" t="inlineStr">
        <is>
          <t>2026-05-29</t>
        </is>
      </c>
      <c r="B2111" s="3" t="inlineStr">
        <is>
          <t>원포유</t>
        </is>
      </c>
      <c r="C2111" s="2" t="inlineStr">
        <is>
          <t>122830</t>
        </is>
      </c>
      <c r="D2111" s="2" t="inlineStr">
        <is>
          <t>대량보유</t>
        </is>
      </c>
      <c r="E2111" s="3" t="inlineStr">
        <is>
          <t>전하영</t>
        </is>
      </c>
      <c r="F2111" s="3" t="inlineStr">
        <is>
          <t>특별관계자</t>
        </is>
      </c>
      <c r="G2111" s="3" t="inlineStr">
        <is>
          <t>주식분할</t>
        </is>
      </c>
      <c r="H2111" s="15" t="n">
        <v>240000</v>
      </c>
      <c r="I2111" s="6" t="inlineStr"/>
      <c r="J2111" s="6" t="n">
        <v>300000</v>
      </c>
      <c r="K2111" s="16" t="n">
        <v>5</v>
      </c>
      <c r="L2111" s="2" t="inlineStr">
        <is>
          <t>20260529001634</t>
        </is>
      </c>
      <c r="M2111" s="8">
        <f>HYPERLINK("https://dart.fss.or.kr/dsaf001/main.do?rcpNo=20260529001634", "공시열람")</f>
        <v/>
      </c>
    </row>
    <row r="2112" ht="22" customHeight="1">
      <c r="A2112" s="2" t="inlineStr">
        <is>
          <t>2026-05-29</t>
        </is>
      </c>
      <c r="B2112" s="3" t="inlineStr">
        <is>
          <t>원포유</t>
        </is>
      </c>
      <c r="C2112" s="2" t="inlineStr">
        <is>
          <t>122830</t>
        </is>
      </c>
      <c r="D2112" s="2" t="inlineStr">
        <is>
          <t>대량보유</t>
        </is>
      </c>
      <c r="E2112" s="3" t="inlineStr">
        <is>
          <t>전제원</t>
        </is>
      </c>
      <c r="F2112" s="3" t="inlineStr">
        <is>
          <t>특별관계자</t>
        </is>
      </c>
      <c r="G2112" s="3" t="inlineStr">
        <is>
          <t>주식분할</t>
        </is>
      </c>
      <c r="H2112" s="15" t="n">
        <v>240000</v>
      </c>
      <c r="I2112" s="6" t="inlineStr"/>
      <c r="J2112" s="6" t="n">
        <v>300000</v>
      </c>
      <c r="K2112" s="16" t="n">
        <v>5</v>
      </c>
      <c r="L2112" s="2" t="inlineStr">
        <is>
          <t>20260529001634</t>
        </is>
      </c>
      <c r="M2112" s="8">
        <f>HYPERLINK("https://dart.fss.or.kr/dsaf001/main.do?rcpNo=20260529001634", "공시열람")</f>
        <v/>
      </c>
    </row>
    <row r="2113" ht="22" customHeight="1">
      <c r="A2113" s="2" t="inlineStr">
        <is>
          <t>2026-05-29</t>
        </is>
      </c>
      <c r="B2113" s="3" t="inlineStr">
        <is>
          <t>원포유</t>
        </is>
      </c>
      <c r="C2113" s="2" t="inlineStr">
        <is>
          <t>122830</t>
        </is>
      </c>
      <c r="D2113" s="2" t="inlineStr">
        <is>
          <t>대량보유</t>
        </is>
      </c>
      <c r="E2113" s="3" t="inlineStr">
        <is>
          <t>전사라</t>
        </is>
      </c>
      <c r="F2113" s="3" t="inlineStr">
        <is>
          <t>특별관계자</t>
        </is>
      </c>
      <c r="G2113" s="3" t="inlineStr">
        <is>
          <t>주식분할</t>
        </is>
      </c>
      <c r="H2113" s="15" t="n">
        <v>240000</v>
      </c>
      <c r="I2113" s="6" t="inlineStr"/>
      <c r="J2113" s="6" t="n">
        <v>300000</v>
      </c>
      <c r="K2113" s="16" t="n">
        <v>5</v>
      </c>
      <c r="L2113" s="2" t="inlineStr">
        <is>
          <t>20260529001634</t>
        </is>
      </c>
      <c r="M2113" s="8">
        <f>HYPERLINK("https://dart.fss.or.kr/dsaf001/main.do?rcpNo=20260529001634", "공시열람")</f>
        <v/>
      </c>
    </row>
    <row r="2114" ht="22" customHeight="1">
      <c r="A2114" s="2" t="inlineStr">
        <is>
          <t>2026-05-29</t>
        </is>
      </c>
      <c r="B2114" s="3" t="inlineStr">
        <is>
          <t>원포유</t>
        </is>
      </c>
      <c r="C2114" s="2" t="inlineStr">
        <is>
          <t>122830</t>
        </is>
      </c>
      <c r="D2114" s="2" t="inlineStr">
        <is>
          <t>대량보유</t>
        </is>
      </c>
      <c r="E2114" s="3" t="inlineStr">
        <is>
          <t>전동용</t>
        </is>
      </c>
      <c r="F2114" s="3" t="inlineStr">
        <is>
          <t>특별관계자</t>
        </is>
      </c>
      <c r="G2114" s="3" t="inlineStr">
        <is>
          <t>주식분할, 장내매수(+), 장내매도(-)</t>
        </is>
      </c>
      <c r="H2114" s="17" t="n">
        <v>-2464</v>
      </c>
      <c r="I2114" s="6" t="n">
        <v>1296</v>
      </c>
      <c r="J2114" s="6" t="n">
        <v>3324</v>
      </c>
      <c r="K2114" s="16" t="n">
        <v>5</v>
      </c>
      <c r="L2114" s="2" t="inlineStr">
        <is>
          <t>20260529001634</t>
        </is>
      </c>
      <c r="M2114" s="8">
        <f>HYPERLINK("https://dart.fss.or.kr/dsaf001/main.do?rcpNo=20260529001634", "공시열람")</f>
        <v/>
      </c>
    </row>
    <row r="2115" ht="22" customHeight="1">
      <c r="A2115" s="2" t="inlineStr">
        <is>
          <t>2026-05-29</t>
        </is>
      </c>
      <c r="B2115" s="3" t="inlineStr">
        <is>
          <t>원포유</t>
        </is>
      </c>
      <c r="C2115" s="2" t="inlineStr">
        <is>
          <t>122830</t>
        </is>
      </c>
      <c r="D2115" s="2" t="inlineStr">
        <is>
          <t>대량보유</t>
        </is>
      </c>
      <c r="E2115" s="3" t="inlineStr">
        <is>
          <t>임차식</t>
        </is>
      </c>
      <c r="F2115" s="3" t="inlineStr">
        <is>
          <t>특별관계자</t>
        </is>
      </c>
      <c r="G2115" s="3" t="inlineStr">
        <is>
          <t>장내매수(+), 장내매도(-), 임원퇴임(-)</t>
        </is>
      </c>
      <c r="H2115" s="6" t="inlineStr"/>
      <c r="I2115" s="6" t="n">
        <v>1458</v>
      </c>
      <c r="J2115" s="6" t="n">
        <v>7000</v>
      </c>
      <c r="K2115" s="16" t="n">
        <v>5</v>
      </c>
      <c r="L2115" s="2" t="inlineStr">
        <is>
          <t>20260529001634</t>
        </is>
      </c>
      <c r="M2115" s="8">
        <f>HYPERLINK("https://dart.fss.or.kr/dsaf001/main.do?rcpNo=20260529001634", "공시열람")</f>
        <v/>
      </c>
    </row>
    <row r="2116" ht="22" customHeight="1">
      <c r="A2116" s="2" t="inlineStr">
        <is>
          <t>2026-05-29</t>
        </is>
      </c>
      <c r="B2116" s="3" t="inlineStr">
        <is>
          <t>원포유</t>
        </is>
      </c>
      <c r="C2116" s="2" t="inlineStr">
        <is>
          <t>122830</t>
        </is>
      </c>
      <c r="D2116" s="2" t="inlineStr">
        <is>
          <t>대량보유</t>
        </is>
      </c>
      <c r="E2116" s="3" t="inlineStr">
        <is>
          <t>함돈경</t>
        </is>
      </c>
      <c r="F2116" s="3" t="inlineStr">
        <is>
          <t>특별관계자</t>
        </is>
      </c>
      <c r="G2116" s="3" t="inlineStr">
        <is>
          <t>신규보고(+), 임원퇴임(-)</t>
        </is>
      </c>
      <c r="H2116" s="6" t="inlineStr"/>
      <c r="I2116" s="6" t="inlineStr"/>
      <c r="J2116" s="6" t="n">
        <v>271779</v>
      </c>
      <c r="K2116" s="16" t="n">
        <v>5</v>
      </c>
      <c r="L2116" s="2" t="inlineStr">
        <is>
          <t>20260529001634</t>
        </is>
      </c>
      <c r="M2116" s="8">
        <f>HYPERLINK("https://dart.fss.or.kr/dsaf001/main.do?rcpNo=20260529001634", "공시열람")</f>
        <v/>
      </c>
    </row>
    <row r="2117" ht="22" customHeight="1">
      <c r="A2117" s="2" t="inlineStr">
        <is>
          <t>2026-05-29</t>
        </is>
      </c>
      <c r="B2117" s="3" t="inlineStr">
        <is>
          <t>원포유</t>
        </is>
      </c>
      <c r="C2117" s="2" t="inlineStr">
        <is>
          <t>122830</t>
        </is>
      </c>
      <c r="D2117" s="2" t="inlineStr">
        <is>
          <t>대량보유</t>
        </is>
      </c>
      <c r="E2117" s="3" t="inlineStr">
        <is>
          <t>(주)그린비파트너스</t>
        </is>
      </c>
      <c r="F2117" s="3" t="inlineStr">
        <is>
          <t>특별관계자</t>
        </is>
      </c>
      <c r="G2117" s="3" t="inlineStr">
        <is>
          <t>신규보고(+), 특별관계해소(-)</t>
        </is>
      </c>
      <c r="H2117" s="6" t="inlineStr"/>
      <c r="I2117" s="6" t="inlineStr"/>
      <c r="J2117" s="6" t="n">
        <v>30616</v>
      </c>
      <c r="K2117" s="16" t="n">
        <v>5</v>
      </c>
      <c r="L2117" s="2" t="inlineStr">
        <is>
          <t>20260529001634</t>
        </is>
      </c>
      <c r="M2117" s="8">
        <f>HYPERLINK("https://dart.fss.or.kr/dsaf001/main.do?rcpNo=20260529001634", "공시열람")</f>
        <v/>
      </c>
    </row>
    <row r="2118" ht="22" customHeight="1">
      <c r="A2118" s="2" t="inlineStr">
        <is>
          <t>2026-05-29</t>
        </is>
      </c>
      <c r="B2118" s="3" t="inlineStr">
        <is>
          <t>원포유</t>
        </is>
      </c>
      <c r="C2118" s="2" t="inlineStr">
        <is>
          <t>122830</t>
        </is>
      </c>
      <c r="D2118" s="2" t="inlineStr">
        <is>
          <t>대량보유</t>
        </is>
      </c>
      <c r="E2118" s="3" t="inlineStr">
        <is>
          <t>전서빈</t>
        </is>
      </c>
      <c r="F2118" s="3" t="inlineStr">
        <is>
          <t>특별관계자</t>
        </is>
      </c>
      <c r="G2118" s="3" t="inlineStr">
        <is>
          <t>수증(+)</t>
        </is>
      </c>
      <c r="H2118" s="15" t="n">
        <v>34500</v>
      </c>
      <c r="I2118" s="6" t="inlineStr"/>
      <c r="J2118" s="6" t="n">
        <v>34500</v>
      </c>
      <c r="K2118" s="16" t="n">
        <v>5</v>
      </c>
      <c r="L2118" s="2" t="inlineStr">
        <is>
          <t>20260529001634</t>
        </is>
      </c>
      <c r="M2118" s="8">
        <f>HYPERLINK("https://dart.fss.or.kr/dsaf001/main.do?rcpNo=20260529001634", "공시열람")</f>
        <v/>
      </c>
    </row>
    <row r="2119" ht="22" customHeight="1">
      <c r="A2119" s="2" t="inlineStr">
        <is>
          <t>2026-05-29</t>
        </is>
      </c>
      <c r="B2119" s="3" t="inlineStr">
        <is>
          <t>현대바이오</t>
        </is>
      </c>
      <c r="C2119" s="2" t="inlineStr">
        <is>
          <t>048410</t>
        </is>
      </c>
      <c r="D2119" s="2" t="inlineStr">
        <is>
          <t>대량보유</t>
        </is>
      </c>
      <c r="E2119" s="3" t="inlineStr">
        <is>
          <t>삼성자산운용</t>
        </is>
      </c>
      <c r="F2119" s="3" t="inlineStr">
        <is>
          <t>특별관계자</t>
        </is>
      </c>
      <c r="G2119" s="3" t="inlineStr">
        <is>
          <t>장내매수(+), 기타(+), 기타(-), 장내매도(-)</t>
        </is>
      </c>
      <c r="H2119" s="17" t="n">
        <v>-954646</v>
      </c>
      <c r="I2119" s="6" t="n">
        <v>14815</v>
      </c>
      <c r="J2119" s="6" t="n">
        <v>3860758</v>
      </c>
      <c r="K2119" s="16" t="n">
        <v>4</v>
      </c>
      <c r="L2119" s="2" t="inlineStr">
        <is>
          <t>20260529001632</t>
        </is>
      </c>
      <c r="M2119" s="8">
        <f>HYPERLINK("https://dart.fss.or.kr/dsaf001/main.do?rcpNo=20260529001632", "공시열람")</f>
        <v/>
      </c>
    </row>
    <row r="2120" ht="22" customHeight="1">
      <c r="A2120" s="2" t="inlineStr">
        <is>
          <t>2026-05-29</t>
        </is>
      </c>
      <c r="B2120" s="3" t="inlineStr">
        <is>
          <t>HLB</t>
        </is>
      </c>
      <c r="C2120" s="2" t="inlineStr">
        <is>
          <t>028300</t>
        </is>
      </c>
      <c r="D2120" s="2" t="inlineStr">
        <is>
          <t>대량보유</t>
        </is>
      </c>
      <c r="E2120" s="3" t="inlineStr">
        <is>
          <t>삼성자산운용</t>
        </is>
      </c>
      <c r="F2120" s="3" t="inlineStr">
        <is>
          <t>특별관계자</t>
        </is>
      </c>
      <c r="G2120" s="3" t="inlineStr">
        <is>
          <t>장내매수(+), 기타(+), 기타(-), 장내매도(-)</t>
        </is>
      </c>
      <c r="H2120" s="17" t="n">
        <v>-1332185</v>
      </c>
      <c r="I2120" s="6" t="n">
        <v>52536</v>
      </c>
      <c r="J2120" s="6" t="n">
        <v>5440568</v>
      </c>
      <c r="K2120" s="16" t="n">
        <v>4.09</v>
      </c>
      <c r="L2120" s="2" t="inlineStr">
        <is>
          <t>20260529001618</t>
        </is>
      </c>
      <c r="M2120" s="8">
        <f>HYPERLINK("https://dart.fss.or.kr/dsaf001/main.do?rcpNo=20260529001618", "공시열람")</f>
        <v/>
      </c>
    </row>
    <row r="2121" ht="22" customHeight="1">
      <c r="A2121" s="2" t="inlineStr">
        <is>
          <t>2026-05-29</t>
        </is>
      </c>
      <c r="B2121" s="3" t="inlineStr">
        <is>
          <t>우성머티리얼스</t>
        </is>
      </c>
      <c r="C2121" s="2" t="inlineStr">
        <is>
          <t>011300</t>
        </is>
      </c>
      <c r="D2121" s="2" t="inlineStr">
        <is>
          <t>대량보유</t>
        </is>
      </c>
      <c r="E2121" s="3" t="inlineStr">
        <is>
          <t>우성금속</t>
        </is>
      </c>
      <c r="F2121" s="3" t="inlineStr">
        <is>
          <t>특별관계자</t>
        </is>
      </c>
      <c r="G2121" s="3" t="inlineStr">
        <is>
          <t>장내매수(+), 주식병합</t>
        </is>
      </c>
      <c r="H2121" s="15" t="n">
        <v>181518</v>
      </c>
      <c r="I2121" s="6" t="n">
        <v>661</v>
      </c>
      <c r="J2121" s="6" t="n">
        <v>181518</v>
      </c>
      <c r="K2121" s="16" t="n">
        <v>2</v>
      </c>
      <c r="L2121" s="2" t="inlineStr">
        <is>
          <t>20260529001600</t>
        </is>
      </c>
      <c r="M2121" s="8">
        <f>HYPERLINK("https://dart.fss.or.kr/dsaf001/main.do?rcpNo=20260529001600", "공시열람")</f>
        <v/>
      </c>
    </row>
    <row r="2122" ht="22" customHeight="1">
      <c r="A2122" s="2" t="inlineStr">
        <is>
          <t>2026-05-29</t>
        </is>
      </c>
      <c r="B2122" s="3" t="inlineStr">
        <is>
          <t>우성머티리얼스</t>
        </is>
      </c>
      <c r="C2122" s="2" t="inlineStr">
        <is>
          <t>011300</t>
        </is>
      </c>
      <c r="D2122" s="2" t="inlineStr">
        <is>
          <t>대량보유</t>
        </is>
      </c>
      <c r="E2122" s="3" t="inlineStr">
        <is>
          <t>임종찬</t>
        </is>
      </c>
      <c r="F2122" s="3" t="inlineStr">
        <is>
          <t>특별관계자</t>
        </is>
      </c>
      <c r="G2122" s="3" t="inlineStr">
        <is>
          <t>장내매수(+)</t>
        </is>
      </c>
      <c r="H2122" s="15" t="n">
        <v>2150</v>
      </c>
      <c r="I2122" s="6" t="n">
        <v>3201</v>
      </c>
      <c r="J2122" s="6" t="n">
        <v>157150</v>
      </c>
      <c r="K2122" s="16" t="n">
        <v>2</v>
      </c>
      <c r="L2122" s="2" t="inlineStr">
        <is>
          <t>20260529001600</t>
        </is>
      </c>
      <c r="M2122" s="8">
        <f>HYPERLINK("https://dart.fss.or.kr/dsaf001/main.do?rcpNo=20260529001600", "공시열람")</f>
        <v/>
      </c>
    </row>
    <row r="2123" ht="22" customHeight="1">
      <c r="A2123" s="2" t="inlineStr">
        <is>
          <t>2026-05-29</t>
        </is>
      </c>
      <c r="B2123" s="3" t="inlineStr">
        <is>
          <t>옵트론텍</t>
        </is>
      </c>
      <c r="C2123" s="2" t="inlineStr">
        <is>
          <t>082210</t>
        </is>
      </c>
      <c r="D2123" s="2" t="inlineStr">
        <is>
          <t>대량보유</t>
        </is>
      </c>
      <c r="E2123" s="3" t="inlineStr">
        <is>
          <t>그린이에스지성장제1호사모투자합자회사</t>
        </is>
      </c>
      <c r="F2123" s="3" t="inlineStr">
        <is>
          <t>특별관계자</t>
        </is>
      </c>
      <c r="G2123" s="3" t="inlineStr">
        <is>
          <t>장내매도(-), CB인수(+)</t>
        </is>
      </c>
      <c r="H2123" s="15" t="n">
        <v>12767516</v>
      </c>
      <c r="I2123" s="6" t="n">
        <v>1923</v>
      </c>
      <c r="J2123" s="6" t="n">
        <v>15958877</v>
      </c>
      <c r="K2123" s="16" t="n">
        <v>1</v>
      </c>
      <c r="L2123" s="2" t="inlineStr">
        <is>
          <t>20260529001598</t>
        </is>
      </c>
      <c r="M2123" s="8">
        <f>HYPERLINK("https://dart.fss.or.kr/dsaf001/main.do?rcpNo=20260529001598", "공시열람")</f>
        <v/>
      </c>
    </row>
    <row r="2124" ht="22" customHeight="1">
      <c r="A2124" s="2" t="inlineStr">
        <is>
          <t>2026-05-29</t>
        </is>
      </c>
      <c r="B2124" s="3" t="inlineStr">
        <is>
          <t>우신시스템</t>
        </is>
      </c>
      <c r="C2124" s="2" t="inlineStr">
        <is>
          <t>017370</t>
        </is>
      </c>
      <c r="D2124" s="2" t="inlineStr">
        <is>
          <t>대량보유</t>
        </is>
      </c>
      <c r="E2124" s="3" t="inlineStr">
        <is>
          <t>허우영</t>
        </is>
      </c>
      <c r="F2124" s="3" t="inlineStr">
        <is>
          <t>보고자</t>
        </is>
      </c>
      <c r="G2124" s="3" t="inlineStr">
        <is>
          <t>보고자의 주식담보대출 연장</t>
        </is>
      </c>
      <c r="H2124" s="6" t="inlineStr"/>
      <c r="I2124" s="6" t="inlineStr"/>
      <c r="J2124" s="6" t="n">
        <v>6719787</v>
      </c>
      <c r="K2124" s="16" t="n">
        <v>6</v>
      </c>
      <c r="L2124" s="2" t="inlineStr">
        <is>
          <t>20260529001588</t>
        </is>
      </c>
      <c r="M2124" s="8">
        <f>HYPERLINK("https://dart.fss.or.kr/dsaf001/main.do?rcpNo=20260529001588", "공시열람")</f>
        <v/>
      </c>
    </row>
    <row r="2125" ht="22" customHeight="1">
      <c r="A2125" s="2" t="inlineStr">
        <is>
          <t>2026-05-29</t>
        </is>
      </c>
      <c r="B2125" s="3" t="inlineStr">
        <is>
          <t>타이드</t>
        </is>
      </c>
      <c r="C2125" s="2" t="inlineStr">
        <is>
          <t>346010</t>
        </is>
      </c>
      <c r="D2125" s="2" t="inlineStr">
        <is>
          <t>대량보유</t>
        </is>
      </c>
      <c r="E2125" s="3" t="inlineStr">
        <is>
          <t>케이비인베스트먼트(주)</t>
        </is>
      </c>
      <c r="F2125" s="3" t="inlineStr">
        <is>
          <t>특별관계자</t>
        </is>
      </c>
      <c r="G2125" s="3" t="inlineStr">
        <is>
          <t>장외매도(-)</t>
        </is>
      </c>
      <c r="H2125" s="17" t="n">
        <v>-405016</v>
      </c>
      <c r="I2125" s="6" t="n">
        <v>6741</v>
      </c>
      <c r="J2125" s="6" t="inlineStr"/>
      <c r="K2125" s="18" t="inlineStr"/>
      <c r="L2125" s="2" t="inlineStr">
        <is>
          <t>20260529001549</t>
        </is>
      </c>
      <c r="M2125" s="8">
        <f>HYPERLINK("https://dart.fss.or.kr/dsaf001/main.do?rcpNo=20260529001549", "공시열람")</f>
        <v/>
      </c>
    </row>
    <row r="2126" ht="22" customHeight="1">
      <c r="A2126" s="2" t="inlineStr">
        <is>
          <t>2026-05-29</t>
        </is>
      </c>
      <c r="B2126" s="3" t="inlineStr">
        <is>
          <t>BGF리테일</t>
        </is>
      </c>
      <c r="C2126" s="2" t="inlineStr">
        <is>
          <t>282330</t>
        </is>
      </c>
      <c r="D2126" s="2" t="inlineStr">
        <is>
          <t>임원보고</t>
        </is>
      </c>
      <c r="E2126" s="3" t="inlineStr">
        <is>
          <t>-</t>
        </is>
      </c>
      <c r="F2126" s="3" t="inlineStr">
        <is>
          <t>-</t>
        </is>
      </c>
      <c r="G2126" s="3" t="inlineStr">
        <is>
          <t>-</t>
        </is>
      </c>
      <c r="H2126" s="6" t="inlineStr"/>
      <c r="I2126" s="6" t="inlineStr"/>
      <c r="J2126" s="6" t="inlineStr"/>
      <c r="K2126" s="16" t="n">
        <v>12</v>
      </c>
      <c r="L2126" s="2" t="inlineStr">
        <is>
          <t>20260529801321</t>
        </is>
      </c>
      <c r="M2126" s="8">
        <f>HYPERLINK("https://dart.fss.or.kr/dsaf001/main.do?rcpNo=20260529801321", "공시열람")</f>
        <v/>
      </c>
    </row>
    <row r="2127" ht="22" customHeight="1">
      <c r="A2127" s="2" t="inlineStr">
        <is>
          <t>2026-05-29</t>
        </is>
      </c>
      <c r="B2127" s="3" t="inlineStr">
        <is>
          <t>BGF리테일</t>
        </is>
      </c>
      <c r="C2127" s="2" t="inlineStr">
        <is>
          <t>282330</t>
        </is>
      </c>
      <c r="D2127" s="2" t="inlineStr">
        <is>
          <t>대량보유</t>
        </is>
      </c>
      <c r="E2127" s="3" t="inlineStr">
        <is>
          <t>홍석준</t>
        </is>
      </c>
      <c r="F2127" s="3" t="inlineStr">
        <is>
          <t>특별관계자</t>
        </is>
      </c>
      <c r="G2127" s="3" t="inlineStr">
        <is>
          <t>장내매도(-)</t>
        </is>
      </c>
      <c r="H2127" s="17" t="n">
        <v>-145121</v>
      </c>
      <c r="I2127" s="6" t="n">
        <v>138089</v>
      </c>
      <c r="J2127" s="6" t="inlineStr"/>
      <c r="K2127" s="16" t="n">
        <v>20</v>
      </c>
      <c r="L2127" s="2" t="inlineStr">
        <is>
          <t>20260529001530</t>
        </is>
      </c>
      <c r="M2127" s="8">
        <f>HYPERLINK("https://dart.fss.or.kr/dsaf001/main.do?rcpNo=20260529001530", "공시열람")</f>
        <v/>
      </c>
    </row>
    <row r="2128" ht="22" customHeight="1">
      <c r="A2128" s="2" t="inlineStr">
        <is>
          <t>2026-05-29</t>
        </is>
      </c>
      <c r="B2128" s="3" t="inlineStr">
        <is>
          <t>BGF리테일</t>
        </is>
      </c>
      <c r="C2128" s="2" t="inlineStr">
        <is>
          <t>282330</t>
        </is>
      </c>
      <c r="D2128" s="2" t="inlineStr">
        <is>
          <t>대량보유</t>
        </is>
      </c>
      <c r="E2128" s="3" t="inlineStr">
        <is>
          <t>홍승연</t>
        </is>
      </c>
      <c r="F2128" s="3" t="inlineStr">
        <is>
          <t>특별관계자</t>
        </is>
      </c>
      <c r="G2128" s="3" t="inlineStr">
        <is>
          <t>장내매도(-)</t>
        </is>
      </c>
      <c r="H2128" s="17" t="n">
        <v>-34035</v>
      </c>
      <c r="I2128" s="6" t="n">
        <v>134480</v>
      </c>
      <c r="J2128" s="6" t="n">
        <v>182010</v>
      </c>
      <c r="K2128" s="16" t="n">
        <v>20</v>
      </c>
      <c r="L2128" s="2" t="inlineStr">
        <is>
          <t>20260529001530</t>
        </is>
      </c>
      <c r="M2128" s="8">
        <f>HYPERLINK("https://dart.fss.or.kr/dsaf001/main.do?rcpNo=20260529001530", "공시열람")</f>
        <v/>
      </c>
    </row>
    <row r="2129" ht="22" customHeight="1">
      <c r="A2129" s="2" t="inlineStr">
        <is>
          <t>2026-05-29</t>
        </is>
      </c>
      <c r="B2129" s="3" t="inlineStr">
        <is>
          <t>사조오양</t>
        </is>
      </c>
      <c r="C2129" s="2" t="inlineStr">
        <is>
          <t>006090</t>
        </is>
      </c>
      <c r="D2129" s="2" t="inlineStr">
        <is>
          <t>임원보고</t>
        </is>
      </c>
      <c r="E2129" s="3" t="inlineStr">
        <is>
          <t>-</t>
        </is>
      </c>
      <c r="F2129" s="3" t="inlineStr">
        <is>
          <t>-</t>
        </is>
      </c>
      <c r="G2129" s="3" t="inlineStr">
        <is>
          <t>-</t>
        </is>
      </c>
      <c r="H2129" s="6" t="inlineStr"/>
      <c r="I2129" s="6" t="inlineStr"/>
      <c r="J2129" s="6" t="inlineStr"/>
      <c r="K2129" s="16" t="n">
        <v>12</v>
      </c>
      <c r="L2129" s="2" t="inlineStr">
        <is>
          <t>20260529801307</t>
        </is>
      </c>
      <c r="M2129" s="8">
        <f>HYPERLINK("https://dart.fss.or.kr/dsaf001/main.do?rcpNo=20260529801307", "공시열람")</f>
        <v/>
      </c>
    </row>
    <row r="2130" ht="22" customHeight="1">
      <c r="A2130" s="2" t="inlineStr">
        <is>
          <t>2026-05-29</t>
        </is>
      </c>
      <c r="B2130" s="3" t="inlineStr">
        <is>
          <t>우성머티리얼스</t>
        </is>
      </c>
      <c r="C2130" s="2" t="inlineStr">
        <is>
          <t>011300</t>
        </is>
      </c>
      <c r="D2130" s="2" t="inlineStr">
        <is>
          <t>대량보유</t>
        </is>
      </c>
      <c r="E2130" s="3" t="inlineStr">
        <is>
          <t>우성금속</t>
        </is>
      </c>
      <c r="F2130" s="3" t="inlineStr">
        <is>
          <t>특별관계자</t>
        </is>
      </c>
      <c r="G2130" s="3" t="inlineStr">
        <is>
          <t>장내매수(+), 주식병합</t>
        </is>
      </c>
      <c r="H2130" s="15" t="n">
        <v>181518</v>
      </c>
      <c r="I2130" s="6" t="n">
        <v>661</v>
      </c>
      <c r="J2130" s="6" t="n">
        <v>181518</v>
      </c>
      <c r="K2130" s="16" t="n">
        <v>2</v>
      </c>
      <c r="L2130" s="2" t="inlineStr">
        <is>
          <t>20260529001514</t>
        </is>
      </c>
      <c r="M2130" s="8">
        <f>HYPERLINK("https://dart.fss.or.kr/dsaf001/main.do?rcpNo=20260529001514", "공시열람")</f>
        <v/>
      </c>
    </row>
    <row r="2131" ht="22" customHeight="1">
      <c r="A2131" s="2" t="inlineStr">
        <is>
          <t>2026-05-29</t>
        </is>
      </c>
      <c r="B2131" s="3" t="inlineStr">
        <is>
          <t>우성머티리얼스</t>
        </is>
      </c>
      <c r="C2131" s="2" t="inlineStr">
        <is>
          <t>011300</t>
        </is>
      </c>
      <c r="D2131" s="2" t="inlineStr">
        <is>
          <t>대량보유</t>
        </is>
      </c>
      <c r="E2131" s="3" t="inlineStr">
        <is>
          <t>임종찬</t>
        </is>
      </c>
      <c r="F2131" s="3" t="inlineStr">
        <is>
          <t>특별관계자</t>
        </is>
      </c>
      <c r="G2131" s="3" t="inlineStr">
        <is>
          <t>장내매수(+)</t>
        </is>
      </c>
      <c r="H2131" s="15" t="n">
        <v>2150</v>
      </c>
      <c r="I2131" s="6" t="n">
        <v>3201</v>
      </c>
      <c r="J2131" s="6" t="n">
        <v>157150</v>
      </c>
      <c r="K2131" s="16" t="n">
        <v>2</v>
      </c>
      <c r="L2131" s="2" t="inlineStr">
        <is>
          <t>20260529001514</t>
        </is>
      </c>
      <c r="M2131" s="8">
        <f>HYPERLINK("https://dart.fss.or.kr/dsaf001/main.do?rcpNo=20260529001514", "공시열람")</f>
        <v/>
      </c>
    </row>
    <row r="2132" ht="22" customHeight="1">
      <c r="A2132" s="2" t="inlineStr">
        <is>
          <t>2026-05-29</t>
        </is>
      </c>
      <c r="B2132" s="3" t="inlineStr">
        <is>
          <t>와이즈넛</t>
        </is>
      </c>
      <c r="C2132" s="2" t="inlineStr">
        <is>
          <t>096250</t>
        </is>
      </c>
      <c r="D2132" s="2" t="inlineStr">
        <is>
          <t>대량보유</t>
        </is>
      </c>
      <c r="E2132" s="3" t="inlineStr">
        <is>
          <t>신성호</t>
        </is>
      </c>
      <c r="F2132" s="3" t="inlineStr">
        <is>
          <t>특별관계자</t>
        </is>
      </c>
      <c r="G2132" s="3" t="inlineStr">
        <is>
          <t>임원퇴임(-)</t>
        </is>
      </c>
      <c r="H2132" s="17" t="n">
        <v>-467</v>
      </c>
      <c r="I2132" s="6" t="inlineStr"/>
      <c r="J2132" s="6" t="inlineStr"/>
      <c r="K2132" s="16" t="n">
        <v>25</v>
      </c>
      <c r="L2132" s="2" t="inlineStr">
        <is>
          <t>20260529001496</t>
        </is>
      </c>
      <c r="M2132" s="8">
        <f>HYPERLINK("https://dart.fss.or.kr/dsaf001/main.do?rcpNo=20260529001496", "공시열람")</f>
        <v/>
      </c>
    </row>
    <row r="2133" ht="22" customHeight="1">
      <c r="A2133" s="2" t="inlineStr">
        <is>
          <t>2026-05-29</t>
        </is>
      </c>
      <c r="B2133" s="3" t="inlineStr">
        <is>
          <t>와이즈넛</t>
        </is>
      </c>
      <c r="C2133" s="2" t="inlineStr">
        <is>
          <t>096250</t>
        </is>
      </c>
      <c r="D2133" s="2" t="inlineStr">
        <is>
          <t>대량보유</t>
        </is>
      </c>
      <c r="E2133" s="3" t="inlineStr">
        <is>
          <t>장주연</t>
        </is>
      </c>
      <c r="F2133" s="3" t="inlineStr">
        <is>
          <t>특별관계자</t>
        </is>
      </c>
      <c r="G2133" s="3" t="inlineStr">
        <is>
          <t>장내매도(-)</t>
        </is>
      </c>
      <c r="H2133" s="17" t="n">
        <v>-3000</v>
      </c>
      <c r="I2133" s="6" t="n">
        <v>9004</v>
      </c>
      <c r="J2133" s="6" t="n">
        <v>20000</v>
      </c>
      <c r="K2133" s="16" t="n">
        <v>25</v>
      </c>
      <c r="L2133" s="2" t="inlineStr">
        <is>
          <t>20260529001496</t>
        </is>
      </c>
      <c r="M2133" s="8">
        <f>HYPERLINK("https://dart.fss.or.kr/dsaf001/main.do?rcpNo=20260529001496", "공시열람")</f>
        <v/>
      </c>
    </row>
    <row r="2134" ht="22" customHeight="1">
      <c r="A2134" s="2" t="inlineStr">
        <is>
          <t>2026-05-29</t>
        </is>
      </c>
      <c r="B2134" s="3" t="inlineStr">
        <is>
          <t>핀텔</t>
        </is>
      </c>
      <c r="C2134" s="2" t="inlineStr">
        <is>
          <t>291810</t>
        </is>
      </c>
      <c r="D2134" s="2" t="inlineStr">
        <is>
          <t>대량보유</t>
        </is>
      </c>
      <c r="E2134" s="3" t="inlineStr">
        <is>
          <t>김동기</t>
        </is>
      </c>
      <c r="F2134" s="3" t="inlineStr">
        <is>
          <t>특별관계자</t>
        </is>
      </c>
      <c r="G2134" s="3" t="inlineStr">
        <is>
          <t>증여(-)</t>
        </is>
      </c>
      <c r="H2134" s="17" t="n">
        <v>-200000</v>
      </c>
      <c r="I2134" s="6" t="inlineStr"/>
      <c r="J2134" s="6" t="n">
        <v>3549000</v>
      </c>
      <c r="K2134" s="16" t="n">
        <v>3</v>
      </c>
      <c r="L2134" s="2" t="inlineStr">
        <is>
          <t>20260529001483</t>
        </is>
      </c>
      <c r="M2134" s="8">
        <f>HYPERLINK("https://dart.fss.or.kr/dsaf001/main.do?rcpNo=20260529001483", "공시열람")</f>
        <v/>
      </c>
    </row>
    <row r="2135" ht="22" customHeight="1">
      <c r="A2135" s="2" t="inlineStr">
        <is>
          <t>2026-05-29</t>
        </is>
      </c>
      <c r="B2135" s="3" t="inlineStr">
        <is>
          <t>핀텔</t>
        </is>
      </c>
      <c r="C2135" s="2" t="inlineStr">
        <is>
          <t>291810</t>
        </is>
      </c>
      <c r="D2135" s="2" t="inlineStr">
        <is>
          <t>대량보유</t>
        </is>
      </c>
      <c r="E2135" s="3" t="inlineStr">
        <is>
          <t>김지연</t>
        </is>
      </c>
      <c r="F2135" s="3" t="inlineStr">
        <is>
          <t>특별관계자</t>
        </is>
      </c>
      <c r="G2135" s="3" t="inlineStr">
        <is>
          <t>수증(+)</t>
        </is>
      </c>
      <c r="H2135" s="15" t="n">
        <v>200000</v>
      </c>
      <c r="I2135" s="6" t="inlineStr"/>
      <c r="J2135" s="6" t="n">
        <v>201500</v>
      </c>
      <c r="K2135" s="16" t="n">
        <v>3</v>
      </c>
      <c r="L2135" s="2" t="inlineStr">
        <is>
          <t>20260529001483</t>
        </is>
      </c>
      <c r="M2135" s="8">
        <f>HYPERLINK("https://dart.fss.or.kr/dsaf001/main.do?rcpNo=20260529001483", "공시열람")</f>
        <v/>
      </c>
    </row>
    <row r="2136" ht="22" customHeight="1">
      <c r="A2136" s="2" t="inlineStr">
        <is>
          <t>2026-05-29</t>
        </is>
      </c>
      <c r="B2136" s="3" t="inlineStr">
        <is>
          <t>브이티</t>
        </is>
      </c>
      <c r="C2136" s="2" t="inlineStr">
        <is>
          <t>018290</t>
        </is>
      </c>
      <c r="D2136" s="2" t="inlineStr">
        <is>
          <t>대량보유</t>
        </is>
      </c>
      <c r="E2136" s="3" t="inlineStr">
        <is>
          <t>조하나</t>
        </is>
      </c>
      <c r="F2136" s="3" t="inlineStr">
        <is>
          <t>특별관계자</t>
        </is>
      </c>
      <c r="G2136" s="3" t="inlineStr">
        <is>
          <t>주식담보 계약</t>
        </is>
      </c>
      <c r="H2136" s="6" t="inlineStr"/>
      <c r="I2136" s="6" t="inlineStr"/>
      <c r="J2136" s="6" t="inlineStr"/>
      <c r="K2136" s="16" t="n">
        <v>3</v>
      </c>
      <c r="L2136" s="2" t="inlineStr">
        <is>
          <t>20260529001456</t>
        </is>
      </c>
      <c r="M2136" s="8">
        <f>HYPERLINK("https://dart.fss.or.kr/dsaf001/main.do?rcpNo=20260529001456", "공시열람")</f>
        <v/>
      </c>
    </row>
    <row r="2137" ht="22" customHeight="1">
      <c r="A2137" s="2" t="inlineStr">
        <is>
          <t>2026-05-29</t>
        </is>
      </c>
      <c r="B2137" s="3" t="inlineStr">
        <is>
          <t>브이티</t>
        </is>
      </c>
      <c r="C2137" s="2" t="inlineStr">
        <is>
          <t>018290</t>
        </is>
      </c>
      <c r="D2137" s="2" t="inlineStr">
        <is>
          <t>대량보유</t>
        </is>
      </c>
      <c r="E2137" s="3" t="inlineStr">
        <is>
          <t>강승곤</t>
        </is>
      </c>
      <c r="F2137" s="3" t="inlineStr">
        <is>
          <t>특별관계자</t>
        </is>
      </c>
      <c r="G2137" s="3" t="inlineStr">
        <is>
          <t>주식담보 계약</t>
        </is>
      </c>
      <c r="H2137" s="6" t="inlineStr"/>
      <c r="I2137" s="6" t="inlineStr"/>
      <c r="J2137" s="6" t="inlineStr"/>
      <c r="K2137" s="16" t="n">
        <v>3</v>
      </c>
      <c r="L2137" s="2" t="inlineStr">
        <is>
          <t>20260529001456</t>
        </is>
      </c>
      <c r="M2137" s="8">
        <f>HYPERLINK("https://dart.fss.or.kr/dsaf001/main.do?rcpNo=20260529001456", "공시열람")</f>
        <v/>
      </c>
    </row>
    <row r="2138" ht="22" customHeight="1">
      <c r="A2138" s="2" t="inlineStr">
        <is>
          <t>2026-05-29</t>
        </is>
      </c>
      <c r="B2138" s="3" t="inlineStr">
        <is>
          <t>에스엠벡셀</t>
        </is>
      </c>
      <c r="C2138" s="2" t="inlineStr">
        <is>
          <t>010580</t>
        </is>
      </c>
      <c r="D2138" s="2" t="inlineStr">
        <is>
          <t>임원보고</t>
        </is>
      </c>
      <c r="E2138" s="3" t="inlineStr">
        <is>
          <t>-</t>
        </is>
      </c>
      <c r="F2138" s="3" t="inlineStr">
        <is>
          <t>-</t>
        </is>
      </c>
      <c r="G2138" s="3" t="inlineStr">
        <is>
          <t>-</t>
        </is>
      </c>
      <c r="H2138" s="6" t="inlineStr"/>
      <c r="I2138" s="6" t="inlineStr"/>
      <c r="J2138" s="6" t="inlineStr"/>
      <c r="K2138" s="16" t="n">
        <v>12</v>
      </c>
      <c r="L2138" s="2" t="inlineStr">
        <is>
          <t>20260529801237</t>
        </is>
      </c>
      <c r="M2138" s="8">
        <f>HYPERLINK("https://dart.fss.or.kr/dsaf001/main.do?rcpNo=20260529801237", "공시열람")</f>
        <v/>
      </c>
    </row>
    <row r="2139" ht="22" customHeight="1">
      <c r="A2139" s="2" t="inlineStr">
        <is>
          <t>2026-05-29</t>
        </is>
      </c>
      <c r="B2139" s="3" t="inlineStr">
        <is>
          <t>HD현대일렉트릭</t>
        </is>
      </c>
      <c r="C2139" s="2" t="inlineStr">
        <is>
          <t>267260</t>
        </is>
      </c>
      <c r="D2139" s="2" t="inlineStr">
        <is>
          <t>임원보고</t>
        </is>
      </c>
      <c r="E2139" s="3" t="inlineStr">
        <is>
          <t>-</t>
        </is>
      </c>
      <c r="F2139" s="3" t="inlineStr">
        <is>
          <t>-</t>
        </is>
      </c>
      <c r="G2139" s="3" t="inlineStr">
        <is>
          <t>-</t>
        </is>
      </c>
      <c r="H2139" s="6" t="inlineStr"/>
      <c r="I2139" s="6" t="inlineStr"/>
      <c r="J2139" s="6" t="inlineStr"/>
      <c r="K2139" s="16" t="n">
        <v>12</v>
      </c>
      <c r="L2139" s="2" t="inlineStr">
        <is>
          <t>20260529801230</t>
        </is>
      </c>
      <c r="M2139" s="8">
        <f>HYPERLINK("https://dart.fss.or.kr/dsaf001/main.do?rcpNo=20260529801230", "공시열람")</f>
        <v/>
      </c>
    </row>
    <row r="2140" ht="22" customHeight="1">
      <c r="A2140" s="2" t="inlineStr">
        <is>
          <t>2026-05-29</t>
        </is>
      </c>
      <c r="B2140" s="3" t="inlineStr">
        <is>
          <t>에스엠벡셀</t>
        </is>
      </c>
      <c r="C2140" s="2" t="inlineStr">
        <is>
          <t>010580</t>
        </is>
      </c>
      <c r="D2140" s="2" t="inlineStr">
        <is>
          <t>대량보유</t>
        </is>
      </c>
      <c r="E2140" s="3" t="inlineStr">
        <is>
          <t>에스엠자산개발(주)</t>
        </is>
      </c>
      <c r="F2140" s="3" t="inlineStr">
        <is>
          <t>특별관계자</t>
        </is>
      </c>
      <c r="G2140" s="3" t="inlineStr">
        <is>
          <t>장내매수(+)</t>
        </is>
      </c>
      <c r="H2140" s="15" t="n">
        <v>156650</v>
      </c>
      <c r="I2140" s="6" t="n">
        <v>2126</v>
      </c>
      <c r="J2140" s="6" t="n">
        <v>680927</v>
      </c>
      <c r="K2140" s="16" t="n">
        <v>4</v>
      </c>
      <c r="L2140" s="2" t="inlineStr">
        <is>
          <t>20260529001326</t>
        </is>
      </c>
      <c r="M2140" s="8">
        <f>HYPERLINK("https://dart.fss.or.kr/dsaf001/main.do?rcpNo=20260529001326", "공시열람")</f>
        <v/>
      </c>
    </row>
    <row r="2141" ht="22" customHeight="1">
      <c r="A2141" s="2" t="inlineStr">
        <is>
          <t>2026-05-29</t>
        </is>
      </c>
      <c r="B2141" s="3" t="inlineStr">
        <is>
          <t>노드메이슨</t>
        </is>
      </c>
      <c r="C2141" s="2" t="inlineStr">
        <is>
          <t>317860</t>
        </is>
      </c>
      <c r="D2141" s="2" t="inlineStr">
        <is>
          <t>대량보유</t>
        </is>
      </c>
      <c r="E2141" s="3" t="inlineStr">
        <is>
          <t>서영운</t>
        </is>
      </c>
      <c r="F2141" s="3" t="inlineStr">
        <is>
          <t>특별관계자</t>
        </is>
      </c>
      <c r="G2141" s="3" t="inlineStr">
        <is>
          <t>-</t>
        </is>
      </c>
      <c r="H2141" s="15" t="n">
        <v>251683</v>
      </c>
      <c r="I2141" s="6" t="inlineStr"/>
      <c r="J2141" s="6" t="n">
        <v>251683</v>
      </c>
      <c r="K2141" s="16" t="n">
        <v>2</v>
      </c>
      <c r="L2141" s="2" t="inlineStr">
        <is>
          <t>20260529001132</t>
        </is>
      </c>
      <c r="M2141" s="8">
        <f>HYPERLINK("https://dart.fss.or.kr/dsaf001/main.do?rcpNo=20260529001132", "공시열람")</f>
        <v/>
      </c>
    </row>
    <row r="2142" ht="22" customHeight="1">
      <c r="A2142" s="2" t="inlineStr">
        <is>
          <t>2026-05-29</t>
        </is>
      </c>
      <c r="B2142" s="3" t="inlineStr">
        <is>
          <t>미원에스씨</t>
        </is>
      </c>
      <c r="C2142" s="2" t="inlineStr">
        <is>
          <t>268280</t>
        </is>
      </c>
      <c r="D2142" s="2" t="inlineStr">
        <is>
          <t>임원보고</t>
        </is>
      </c>
      <c r="E2142" s="3" t="inlineStr">
        <is>
          <t>-</t>
        </is>
      </c>
      <c r="F2142" s="3" t="inlineStr">
        <is>
          <t>-</t>
        </is>
      </c>
      <c r="G2142" s="3" t="inlineStr">
        <is>
          <t>-</t>
        </is>
      </c>
      <c r="H2142" s="6" t="inlineStr"/>
      <c r="I2142" s="6" t="inlineStr"/>
      <c r="J2142" s="6" t="inlineStr"/>
      <c r="K2142" s="16" t="n">
        <v>12</v>
      </c>
      <c r="L2142" s="2" t="inlineStr">
        <is>
          <t>20260529800956</t>
        </is>
      </c>
      <c r="M2142" s="8">
        <f>HYPERLINK("https://dart.fss.or.kr/dsaf001/main.do?rcpNo=20260529800956", "공시열람")</f>
        <v/>
      </c>
    </row>
    <row r="2143" ht="22" customHeight="1">
      <c r="A2143" s="2" t="inlineStr">
        <is>
          <t>2026-05-29</t>
        </is>
      </c>
      <c r="B2143" s="3" t="inlineStr">
        <is>
          <t>대동스틸</t>
        </is>
      </c>
      <c r="C2143" s="2" t="inlineStr">
        <is>
          <t>048470</t>
        </is>
      </c>
      <c r="D2143" s="2" t="inlineStr">
        <is>
          <t>대량보유</t>
        </is>
      </c>
      <c r="E2143" s="3" t="inlineStr">
        <is>
          <t>임주희</t>
        </is>
      </c>
      <c r="F2143" s="3" t="inlineStr">
        <is>
          <t>특별관계자</t>
        </is>
      </c>
      <c r="G2143" s="3" t="inlineStr">
        <is>
          <t>장내매수(+)</t>
        </is>
      </c>
      <c r="H2143" s="15" t="n">
        <v>64249</v>
      </c>
      <c r="I2143" s="6" t="n">
        <v>3130</v>
      </c>
      <c r="J2143" s="6" t="n">
        <v>542187</v>
      </c>
      <c r="K2143" s="16" t="n">
        <v>3</v>
      </c>
      <c r="L2143" s="2" t="inlineStr">
        <is>
          <t>20260529000963</t>
        </is>
      </c>
      <c r="M2143" s="8">
        <f>HYPERLINK("https://dart.fss.or.kr/dsaf001/main.do?rcpNo=20260529000963", "공시열람")</f>
        <v/>
      </c>
    </row>
    <row r="2144" ht="22" customHeight="1">
      <c r="A2144" s="2" t="inlineStr">
        <is>
          <t>2026-05-29</t>
        </is>
      </c>
      <c r="B2144" s="3" t="inlineStr">
        <is>
          <t>대동스틸</t>
        </is>
      </c>
      <c r="C2144" s="2" t="inlineStr">
        <is>
          <t>048470</t>
        </is>
      </c>
      <c r="D2144" s="2" t="inlineStr">
        <is>
          <t>대량보유</t>
        </is>
      </c>
      <c r="E2144" s="3" t="inlineStr">
        <is>
          <t>임지현</t>
        </is>
      </c>
      <c r="F2144" s="3" t="inlineStr">
        <is>
          <t>특별관계자</t>
        </is>
      </c>
      <c r="G2144" s="3" t="inlineStr">
        <is>
          <t>장내매수(+)</t>
        </is>
      </c>
      <c r="H2144" s="15" t="n">
        <v>67523</v>
      </c>
      <c r="I2144" s="6" t="n">
        <v>3137</v>
      </c>
      <c r="J2144" s="6" t="n">
        <v>447715</v>
      </c>
      <c r="K2144" s="16" t="n">
        <v>3</v>
      </c>
      <c r="L2144" s="2" t="inlineStr">
        <is>
          <t>20260529000963</t>
        </is>
      </c>
      <c r="M2144" s="8">
        <f>HYPERLINK("https://dart.fss.or.kr/dsaf001/main.do?rcpNo=20260529000963", "공시열람")</f>
        <v/>
      </c>
    </row>
    <row r="2145" ht="22" customHeight="1">
      <c r="A2145" s="2" t="inlineStr">
        <is>
          <t>2026-05-29</t>
        </is>
      </c>
      <c r="B2145" s="3" t="inlineStr">
        <is>
          <t>애경케미칼</t>
        </is>
      </c>
      <c r="C2145" s="2" t="inlineStr">
        <is>
          <t>161000</t>
        </is>
      </c>
      <c r="D2145" s="2" t="inlineStr">
        <is>
          <t>대량보유</t>
        </is>
      </c>
      <c r="E2145" s="3" t="inlineStr">
        <is>
          <t>에이케이홀딩스(주)</t>
        </is>
      </c>
      <c r="F2145" s="3" t="inlineStr">
        <is>
          <t>보고자</t>
        </is>
      </c>
      <c r="G2145" s="3" t="inlineStr">
        <is>
          <t>- 특별관계자 보유주식등에 관한 계약(담보계약) 변경</t>
        </is>
      </c>
      <c r="H2145" s="6" t="inlineStr"/>
      <c r="I2145" s="6" t="inlineStr"/>
      <c r="J2145" s="6" t="n">
        <v>30350089</v>
      </c>
      <c r="K2145" s="16" t="n">
        <v>11</v>
      </c>
      <c r="L2145" s="2" t="inlineStr">
        <is>
          <t>20260529000942</t>
        </is>
      </c>
      <c r="M2145" s="8">
        <f>HYPERLINK("https://dart.fss.or.kr/dsaf001/main.do?rcpNo=20260529000942", "공시열람")</f>
        <v/>
      </c>
    </row>
    <row r="2146" ht="22" customHeight="1">
      <c r="A2146" s="2" t="inlineStr">
        <is>
          <t>2026-05-29</t>
        </is>
      </c>
      <c r="B2146" s="3" t="inlineStr">
        <is>
          <t>제주항공</t>
        </is>
      </c>
      <c r="C2146" s="2" t="inlineStr">
        <is>
          <t>089590</t>
        </is>
      </c>
      <c r="D2146" s="2" t="inlineStr">
        <is>
          <t>대량보유</t>
        </is>
      </c>
      <c r="E2146" s="3" t="inlineStr">
        <is>
          <t>에이케이홀딩스(주)</t>
        </is>
      </c>
      <c r="F2146" s="3" t="inlineStr">
        <is>
          <t>보고자</t>
        </is>
      </c>
      <c r="G2146" s="3" t="inlineStr">
        <is>
          <t>- 특별관계자 보유주식등에 관한 계약(담보계약) 변경</t>
        </is>
      </c>
      <c r="H2146" s="6" t="inlineStr"/>
      <c r="I2146" s="6" t="inlineStr"/>
      <c r="J2146" s="6" t="n">
        <v>43245552</v>
      </c>
      <c r="K2146" s="16" t="n">
        <v>5</v>
      </c>
      <c r="L2146" s="2" t="inlineStr">
        <is>
          <t>20260529000927</t>
        </is>
      </c>
      <c r="M2146" s="8">
        <f>HYPERLINK("https://dart.fss.or.kr/dsaf001/main.do?rcpNo=20260529000927", "공시열람")</f>
        <v/>
      </c>
    </row>
    <row r="2147" ht="22" customHeight="1">
      <c r="A2147" s="2" t="inlineStr">
        <is>
          <t>2026-05-29</t>
        </is>
      </c>
      <c r="B2147" s="3" t="inlineStr">
        <is>
          <t>SP삼화</t>
        </is>
      </c>
      <c r="C2147" s="2" t="inlineStr">
        <is>
          <t>000390</t>
        </is>
      </c>
      <c r="D2147" s="2" t="inlineStr">
        <is>
          <t>대량보유</t>
        </is>
      </c>
      <c r="E2147" s="3" t="inlineStr">
        <is>
          <t>김현정</t>
        </is>
      </c>
      <c r="F2147" s="3" t="inlineStr">
        <is>
          <t>보고자</t>
        </is>
      </c>
      <c r="G2147" s="3" t="inlineStr">
        <is>
          <t>주식담보계약 변경(신규)</t>
        </is>
      </c>
      <c r="H2147" s="6" t="inlineStr"/>
      <c r="I2147" s="6" t="inlineStr"/>
      <c r="J2147" s="6" t="n">
        <v>7591674</v>
      </c>
      <c r="K2147" s="16" t="n">
        <v>5</v>
      </c>
      <c r="L2147" s="2" t="inlineStr">
        <is>
          <t>20260529000880</t>
        </is>
      </c>
      <c r="M2147" s="8">
        <f>HYPERLINK("https://dart.fss.or.kr/dsaf001/main.do?rcpNo=20260529000880", "공시열람")</f>
        <v/>
      </c>
    </row>
    <row r="2148" ht="22" customHeight="1">
      <c r="A2148" s="2" t="inlineStr">
        <is>
          <t>2026-05-29</t>
        </is>
      </c>
      <c r="B2148" s="3" t="inlineStr">
        <is>
          <t>제일기획</t>
        </is>
      </c>
      <c r="C2148" s="2" t="inlineStr">
        <is>
          <t>030000</t>
        </is>
      </c>
      <c r="D2148" s="2" t="inlineStr">
        <is>
          <t>임원보고</t>
        </is>
      </c>
      <c r="E2148" s="3" t="inlineStr">
        <is>
          <t>-</t>
        </is>
      </c>
      <c r="F2148" s="3" t="inlineStr">
        <is>
          <t>-</t>
        </is>
      </c>
      <c r="G2148" s="3" t="inlineStr">
        <is>
          <t>-</t>
        </is>
      </c>
      <c r="H2148" s="6" t="inlineStr"/>
      <c r="I2148" s="6" t="inlineStr"/>
      <c r="J2148" s="6" t="inlineStr"/>
      <c r="K2148" s="16" t="n">
        <v>12</v>
      </c>
      <c r="L2148" s="2" t="inlineStr">
        <is>
          <t>20260529800805</t>
        </is>
      </c>
      <c r="M2148" s="8">
        <f>HYPERLINK("https://dart.fss.or.kr/dsaf001/main.do?rcpNo=20260529800805", "공시열람")</f>
        <v/>
      </c>
    </row>
    <row r="2149" ht="22" customHeight="1">
      <c r="A2149" s="2" t="inlineStr">
        <is>
          <t>2026-05-29</t>
        </is>
      </c>
      <c r="B2149" s="3" t="inlineStr">
        <is>
          <t>펨트론</t>
        </is>
      </c>
      <c r="C2149" s="2" t="inlineStr">
        <is>
          <t>168360</t>
        </is>
      </c>
      <c r="D2149" s="2" t="inlineStr">
        <is>
          <t>대량보유</t>
        </is>
      </c>
      <c r="E2149" s="3" t="inlineStr">
        <is>
          <t>삼성이노베이티브신기술사업투자조합제3호</t>
        </is>
      </c>
      <c r="F2149" s="3" t="inlineStr">
        <is>
          <t>특별관계자</t>
        </is>
      </c>
      <c r="G2149" s="3" t="inlineStr">
        <is>
          <t>전환등(-), 전환사채의권리행사(+), 장내매도(-)</t>
        </is>
      </c>
      <c r="H2149" s="17" t="n">
        <v>-246321</v>
      </c>
      <c r="I2149" s="6" t="n">
        <v>15372</v>
      </c>
      <c r="J2149" s="6" t="n">
        <v>120000</v>
      </c>
      <c r="K2149" s="16" t="n">
        <v>3</v>
      </c>
      <c r="L2149" s="2" t="inlineStr">
        <is>
          <t>20260529000826</t>
        </is>
      </c>
      <c r="M2149" s="8">
        <f>HYPERLINK("https://dart.fss.or.kr/dsaf001/main.do?rcpNo=20260529000826", "공시열람")</f>
        <v/>
      </c>
    </row>
    <row r="2150" ht="22" customHeight="1">
      <c r="A2150" s="2" t="inlineStr">
        <is>
          <t>2026-05-29</t>
        </is>
      </c>
      <c r="B2150" s="3" t="inlineStr">
        <is>
          <t>펨트론</t>
        </is>
      </c>
      <c r="C2150" s="2" t="inlineStr">
        <is>
          <t>168360</t>
        </is>
      </c>
      <c r="D2150" s="2" t="inlineStr">
        <is>
          <t>대량보유</t>
        </is>
      </c>
      <c r="E2150" s="3" t="inlineStr">
        <is>
          <t>삼성증권주식회사</t>
        </is>
      </c>
      <c r="F2150" s="3" t="inlineStr">
        <is>
          <t>특별관계자</t>
        </is>
      </c>
      <c r="G2150" s="3" t="inlineStr">
        <is>
          <t>차입(+), 대여(-), 기타(+), 기타(-)</t>
        </is>
      </c>
      <c r="H2150" s="6" t="inlineStr"/>
      <c r="I2150" s="6" t="inlineStr"/>
      <c r="J2150" s="6" t="n">
        <v>18</v>
      </c>
      <c r="K2150" s="16" t="n">
        <v>3</v>
      </c>
      <c r="L2150" s="2" t="inlineStr">
        <is>
          <t>20260529000826</t>
        </is>
      </c>
      <c r="M2150" s="8">
        <f>HYPERLINK("https://dart.fss.or.kr/dsaf001/main.do?rcpNo=20260529000826", "공시열람")</f>
        <v/>
      </c>
    </row>
    <row r="2151" ht="22" customHeight="1">
      <c r="A2151" s="2" t="inlineStr">
        <is>
          <t>2026-05-29</t>
        </is>
      </c>
      <c r="B2151" s="3" t="inlineStr">
        <is>
          <t>지어소프트</t>
        </is>
      </c>
      <c r="C2151" s="2" t="inlineStr">
        <is>
          <t>051160</t>
        </is>
      </c>
      <c r="D2151" s="2" t="inlineStr">
        <is>
          <t>대량보유</t>
        </is>
      </c>
      <c r="E2151" s="3" t="inlineStr">
        <is>
          <t>MiriCapitalManagementLLC</t>
        </is>
      </c>
      <c r="F2151" s="3" t="inlineStr">
        <is>
          <t>특별관계자</t>
        </is>
      </c>
      <c r="G2151" s="3" t="inlineStr">
        <is>
          <t>장내매수(+)</t>
        </is>
      </c>
      <c r="H2151" s="15" t="n">
        <v>273200</v>
      </c>
      <c r="I2151" s="6" t="n">
        <v>7791</v>
      </c>
      <c r="J2151" s="6" t="n">
        <v>1378200</v>
      </c>
      <c r="K2151" s="16" t="n">
        <v>2</v>
      </c>
      <c r="L2151" s="2" t="inlineStr">
        <is>
          <t>20260529000821</t>
        </is>
      </c>
      <c r="M2151" s="8">
        <f>HYPERLINK("https://dart.fss.or.kr/dsaf001/main.do?rcpNo=20260529000821", "공시열람")</f>
        <v/>
      </c>
    </row>
    <row r="2152" ht="22" customHeight="1">
      <c r="A2152" s="2" t="inlineStr">
        <is>
          <t>2026-05-29</t>
        </is>
      </c>
      <c r="B2152" s="3" t="inlineStr">
        <is>
          <t>비엠티</t>
        </is>
      </c>
      <c r="C2152" s="2" t="inlineStr">
        <is>
          <t>086670</t>
        </is>
      </c>
      <c r="D2152" s="2" t="inlineStr">
        <is>
          <t>대량보유</t>
        </is>
      </c>
      <c r="E2152" s="3" t="inlineStr">
        <is>
          <t>윤종찬</t>
        </is>
      </c>
      <c r="F2152" s="3" t="inlineStr">
        <is>
          <t>특별관계자</t>
        </is>
      </c>
      <c r="G2152" s="3" t="inlineStr">
        <is>
          <t>증여(-)</t>
        </is>
      </c>
      <c r="H2152" s="17" t="n">
        <v>-60000</v>
      </c>
      <c r="I2152" s="6" t="inlineStr"/>
      <c r="J2152" s="6" t="n">
        <v>3565320</v>
      </c>
      <c r="K2152" s="16" t="n">
        <v>9</v>
      </c>
      <c r="L2152" s="2" t="inlineStr">
        <is>
          <t>20260529000684</t>
        </is>
      </c>
      <c r="M2152" s="8">
        <f>HYPERLINK("https://dart.fss.or.kr/dsaf001/main.do?rcpNo=20260529000684", "공시열람")</f>
        <v/>
      </c>
    </row>
    <row r="2153" ht="22" customHeight="1">
      <c r="A2153" s="2" t="inlineStr">
        <is>
          <t>2026-05-29</t>
        </is>
      </c>
      <c r="B2153" s="3" t="inlineStr">
        <is>
          <t>비엠티</t>
        </is>
      </c>
      <c r="C2153" s="2" t="inlineStr">
        <is>
          <t>086670</t>
        </is>
      </c>
      <c r="D2153" s="2" t="inlineStr">
        <is>
          <t>대량보유</t>
        </is>
      </c>
      <c r="E2153" s="3" t="inlineStr">
        <is>
          <t>김홍수</t>
        </is>
      </c>
      <c r="F2153" s="3" t="inlineStr">
        <is>
          <t>특별관계자</t>
        </is>
      </c>
      <c r="G2153" s="3" t="inlineStr">
        <is>
          <t>수증(+)</t>
        </is>
      </c>
      <c r="H2153" s="15" t="n">
        <v>20000</v>
      </c>
      <c r="I2153" s="6" t="inlineStr"/>
      <c r="J2153" s="6" t="n">
        <v>20000</v>
      </c>
      <c r="K2153" s="16" t="n">
        <v>9</v>
      </c>
      <c r="L2153" s="2" t="inlineStr">
        <is>
          <t>20260529000684</t>
        </is>
      </c>
      <c r="M2153" s="8">
        <f>HYPERLINK("https://dart.fss.or.kr/dsaf001/main.do?rcpNo=20260529000684", "공시열람")</f>
        <v/>
      </c>
    </row>
    <row r="2154" ht="22" customHeight="1">
      <c r="A2154" s="2" t="inlineStr">
        <is>
          <t>2026-05-29</t>
        </is>
      </c>
      <c r="B2154" s="3" t="inlineStr">
        <is>
          <t>비엠티</t>
        </is>
      </c>
      <c r="C2154" s="2" t="inlineStr">
        <is>
          <t>086670</t>
        </is>
      </c>
      <c r="D2154" s="2" t="inlineStr">
        <is>
          <t>대량보유</t>
        </is>
      </c>
      <c r="E2154" s="3" t="inlineStr">
        <is>
          <t>김기영</t>
        </is>
      </c>
      <c r="F2154" s="3" t="inlineStr">
        <is>
          <t>특별관계자</t>
        </is>
      </c>
      <c r="G2154" s="3" t="inlineStr">
        <is>
          <t>수증(+)</t>
        </is>
      </c>
      <c r="H2154" s="15" t="n">
        <v>20000</v>
      </c>
      <c r="I2154" s="6" t="inlineStr"/>
      <c r="J2154" s="6" t="n">
        <v>20000</v>
      </c>
      <c r="K2154" s="16" t="n">
        <v>9</v>
      </c>
      <c r="L2154" s="2" t="inlineStr">
        <is>
          <t>20260529000684</t>
        </is>
      </c>
      <c r="M2154" s="8">
        <f>HYPERLINK("https://dart.fss.or.kr/dsaf001/main.do?rcpNo=20260529000684", "공시열람")</f>
        <v/>
      </c>
    </row>
    <row r="2155" ht="22" customHeight="1">
      <c r="A2155" s="2" t="inlineStr">
        <is>
          <t>2026-05-29</t>
        </is>
      </c>
      <c r="B2155" s="3" t="inlineStr">
        <is>
          <t>비엠티</t>
        </is>
      </c>
      <c r="C2155" s="2" t="inlineStr">
        <is>
          <t>086670</t>
        </is>
      </c>
      <c r="D2155" s="2" t="inlineStr">
        <is>
          <t>대량보유</t>
        </is>
      </c>
      <c r="E2155" s="3" t="inlineStr">
        <is>
          <t>김대현</t>
        </is>
      </c>
      <c r="F2155" s="3" t="inlineStr">
        <is>
          <t>특별관계자</t>
        </is>
      </c>
      <c r="G2155" s="3" t="inlineStr">
        <is>
          <t>수증(+)</t>
        </is>
      </c>
      <c r="H2155" s="15" t="n">
        <v>10000</v>
      </c>
      <c r="I2155" s="6" t="inlineStr"/>
      <c r="J2155" s="6" t="n">
        <v>10000</v>
      </c>
      <c r="K2155" s="16" t="n">
        <v>9</v>
      </c>
      <c r="L2155" s="2" t="inlineStr">
        <is>
          <t>20260529000684</t>
        </is>
      </c>
      <c r="M2155" s="8">
        <f>HYPERLINK("https://dart.fss.or.kr/dsaf001/main.do?rcpNo=20260529000684", "공시열람")</f>
        <v/>
      </c>
    </row>
    <row r="2156" ht="22" customHeight="1">
      <c r="A2156" s="2" t="inlineStr">
        <is>
          <t>2026-05-29</t>
        </is>
      </c>
      <c r="B2156" s="3" t="inlineStr">
        <is>
          <t>비엠티</t>
        </is>
      </c>
      <c r="C2156" s="2" t="inlineStr">
        <is>
          <t>086670</t>
        </is>
      </c>
      <c r="D2156" s="2" t="inlineStr">
        <is>
          <t>대량보유</t>
        </is>
      </c>
      <c r="E2156" s="3" t="inlineStr">
        <is>
          <t>김수현</t>
        </is>
      </c>
      <c r="F2156" s="3" t="inlineStr">
        <is>
          <t>특별관계자</t>
        </is>
      </c>
      <c r="G2156" s="3" t="inlineStr">
        <is>
          <t>수증(+)</t>
        </is>
      </c>
      <c r="H2156" s="15" t="n">
        <v>10000</v>
      </c>
      <c r="I2156" s="6" t="inlineStr"/>
      <c r="J2156" s="6" t="n">
        <v>10000</v>
      </c>
      <c r="K2156" s="16" t="n">
        <v>9</v>
      </c>
      <c r="L2156" s="2" t="inlineStr">
        <is>
          <t>20260529000684</t>
        </is>
      </c>
      <c r="M2156" s="8">
        <f>HYPERLINK("https://dart.fss.or.kr/dsaf001/main.do?rcpNo=20260529000684", "공시열람")</f>
        <v/>
      </c>
    </row>
    <row r="2157" ht="22" customHeight="1">
      <c r="A2157" s="2" t="inlineStr">
        <is>
          <t>2026-05-29</t>
        </is>
      </c>
      <c r="B2157" s="3" t="inlineStr">
        <is>
          <t>마크로젠</t>
        </is>
      </c>
      <c r="C2157" s="2" t="inlineStr">
        <is>
          <t>038290</t>
        </is>
      </c>
      <c r="D2157" s="2" t="inlineStr">
        <is>
          <t>대량보유</t>
        </is>
      </c>
      <c r="E2157" s="3" t="inlineStr">
        <is>
          <t>서정선</t>
        </is>
      </c>
      <c r="F2157" s="3" t="inlineStr">
        <is>
          <t>보고자</t>
        </is>
      </c>
      <c r="G2157" s="3" t="inlineStr">
        <is>
          <t>주식담보대출 계약의 연장</t>
        </is>
      </c>
      <c r="H2157" s="6" t="inlineStr"/>
      <c r="I2157" s="6" t="inlineStr"/>
      <c r="J2157" s="6" t="n">
        <v>2182802</v>
      </c>
      <c r="K2157" s="16" t="n">
        <v>7</v>
      </c>
      <c r="L2157" s="2" t="inlineStr">
        <is>
          <t>20260529000671</t>
        </is>
      </c>
      <c r="M2157" s="8">
        <f>HYPERLINK("https://dart.fss.or.kr/dsaf001/main.do?rcpNo=20260529000671", "공시열람")</f>
        <v/>
      </c>
    </row>
    <row r="2158" ht="22" customHeight="1">
      <c r="A2158" s="2" t="inlineStr">
        <is>
          <t>2026-05-29</t>
        </is>
      </c>
      <c r="B2158" s="3" t="inlineStr">
        <is>
          <t>DS단석</t>
        </is>
      </c>
      <c r="C2158" s="2" t="inlineStr">
        <is>
          <t>017860</t>
        </is>
      </c>
      <c r="D2158" s="2" t="inlineStr">
        <is>
          <t>임원보고</t>
        </is>
      </c>
      <c r="E2158" s="3" t="inlineStr">
        <is>
          <t>-</t>
        </is>
      </c>
      <c r="F2158" s="3" t="inlineStr">
        <is>
          <t>-</t>
        </is>
      </c>
      <c r="G2158" s="3" t="inlineStr">
        <is>
          <t>-</t>
        </is>
      </c>
      <c r="H2158" s="6" t="inlineStr"/>
      <c r="I2158" s="6" t="inlineStr"/>
      <c r="J2158" s="6" t="inlineStr"/>
      <c r="K2158" s="16" t="n">
        <v>12</v>
      </c>
      <c r="L2158" s="2" t="inlineStr">
        <is>
          <t>20260529800681</t>
        </is>
      </c>
      <c r="M2158" s="8">
        <f>HYPERLINK("https://dart.fss.or.kr/dsaf001/main.do?rcpNo=20260529800681", "공시열람")</f>
        <v/>
      </c>
    </row>
    <row r="2159" ht="22" customHeight="1">
      <c r="A2159" s="2" t="inlineStr">
        <is>
          <t>2026-05-29</t>
        </is>
      </c>
      <c r="B2159" s="3" t="inlineStr">
        <is>
          <t>KT밀리의서재</t>
        </is>
      </c>
      <c r="C2159" s="2" t="inlineStr">
        <is>
          <t>418470</t>
        </is>
      </c>
      <c r="D2159" s="2" t="inlineStr">
        <is>
          <t>대량보유</t>
        </is>
      </c>
      <c r="E2159" s="3" t="inlineStr">
        <is>
          <t>정재욱</t>
        </is>
      </c>
      <c r="F2159" s="3" t="inlineStr">
        <is>
          <t>특별관계자</t>
        </is>
      </c>
      <c r="G2159" s="3" t="inlineStr">
        <is>
          <t>장내매수(+)</t>
        </is>
      </c>
      <c r="H2159" s="15" t="n">
        <v>10000</v>
      </c>
      <c r="I2159" s="6" t="n">
        <v>10851</v>
      </c>
      <c r="J2159" s="6" t="n">
        <v>10000</v>
      </c>
      <c r="K2159" s="16" t="n">
        <v>2</v>
      </c>
      <c r="L2159" s="2" t="inlineStr">
        <is>
          <t>20260529000549</t>
        </is>
      </c>
      <c r="M2159" s="8">
        <f>HYPERLINK("https://dart.fss.or.kr/dsaf001/main.do?rcpNo=20260529000549", "공시열람")</f>
        <v/>
      </c>
    </row>
    <row r="2160" ht="22" customHeight="1">
      <c r="A2160" s="2" t="inlineStr">
        <is>
          <t>2026-05-29</t>
        </is>
      </c>
      <c r="B2160" s="3" t="inlineStr">
        <is>
          <t>풍원정밀</t>
        </is>
      </c>
      <c r="C2160" s="2" t="inlineStr">
        <is>
          <t>371950</t>
        </is>
      </c>
      <c r="D2160" s="2" t="inlineStr">
        <is>
          <t>대량보유</t>
        </is>
      </c>
      <c r="E2160" s="3" t="inlineStr">
        <is>
          <t>유명훈</t>
        </is>
      </c>
      <c r="F2160" s="3" t="inlineStr">
        <is>
          <t>특별관계자</t>
        </is>
      </c>
      <c r="G2160" s="3" t="inlineStr">
        <is>
          <t>장내매수(+)</t>
        </is>
      </c>
      <c r="H2160" s="15" t="n">
        <v>13180</v>
      </c>
      <c r="I2160" s="6" t="n">
        <v>7551</v>
      </c>
      <c r="J2160" s="6" t="n">
        <v>9428287</v>
      </c>
      <c r="K2160" s="16" t="n">
        <v>9</v>
      </c>
      <c r="L2160" s="2" t="inlineStr">
        <is>
          <t>20260529000520</t>
        </is>
      </c>
      <c r="M2160" s="8">
        <f>HYPERLINK("https://dart.fss.or.kr/dsaf001/main.do?rcpNo=20260529000520", "공시열람")</f>
        <v/>
      </c>
    </row>
    <row r="2161" ht="22" customHeight="1">
      <c r="A2161" s="2" t="inlineStr">
        <is>
          <t>2026-05-29</t>
        </is>
      </c>
      <c r="B2161" s="3" t="inlineStr">
        <is>
          <t>풍원정밀</t>
        </is>
      </c>
      <c r="C2161" s="2" t="inlineStr">
        <is>
          <t>371950</t>
        </is>
      </c>
      <c r="D2161" s="2" t="inlineStr">
        <is>
          <t>대량보유</t>
        </is>
      </c>
      <c r="E2161" s="3" t="inlineStr">
        <is>
          <t>유현우</t>
        </is>
      </c>
      <c r="F2161" s="3" t="inlineStr">
        <is>
          <t>특별관계자</t>
        </is>
      </c>
      <c r="G2161" s="3" t="inlineStr">
        <is>
          <t>장내매수(+)</t>
        </is>
      </c>
      <c r="H2161" s="15" t="n">
        <v>10852</v>
      </c>
      <c r="I2161" s="6" t="n">
        <v>10388</v>
      </c>
      <c r="J2161" s="6" t="n">
        <v>1327353</v>
      </c>
      <c r="K2161" s="16" t="n">
        <v>9</v>
      </c>
      <c r="L2161" s="2" t="inlineStr">
        <is>
          <t>20260529000520</t>
        </is>
      </c>
      <c r="M2161" s="8">
        <f>HYPERLINK("https://dart.fss.or.kr/dsaf001/main.do?rcpNo=20260529000520", "공시열람")</f>
        <v/>
      </c>
    </row>
    <row r="2162" ht="22" customHeight="1">
      <c r="A2162" s="2" t="inlineStr">
        <is>
          <t>2026-05-29</t>
        </is>
      </c>
      <c r="B2162" s="3" t="inlineStr">
        <is>
          <t>풍원정밀</t>
        </is>
      </c>
      <c r="C2162" s="2" t="inlineStr">
        <is>
          <t>371950</t>
        </is>
      </c>
      <c r="D2162" s="2" t="inlineStr">
        <is>
          <t>대량보유</t>
        </is>
      </c>
      <c r="E2162" s="3" t="inlineStr">
        <is>
          <t>유지우</t>
        </is>
      </c>
      <c r="F2162" s="3" t="inlineStr">
        <is>
          <t>특별관계자</t>
        </is>
      </c>
      <c r="G2162" s="3" t="inlineStr">
        <is>
          <t>장내매수(+)</t>
        </is>
      </c>
      <c r="H2162" s="15" t="n">
        <v>3177</v>
      </c>
      <c r="I2162" s="6" t="n">
        <v>10598</v>
      </c>
      <c r="J2162" s="6" t="n">
        <v>1319187</v>
      </c>
      <c r="K2162" s="16" t="n">
        <v>9</v>
      </c>
      <c r="L2162" s="2" t="inlineStr">
        <is>
          <t>20260529000520</t>
        </is>
      </c>
      <c r="M2162" s="8">
        <f>HYPERLINK("https://dart.fss.or.kr/dsaf001/main.do?rcpNo=20260529000520", "공시열람")</f>
        <v/>
      </c>
    </row>
    <row r="2163" ht="22" customHeight="1">
      <c r="A2163" s="2" t="inlineStr">
        <is>
          <t>2026-05-29</t>
        </is>
      </c>
      <c r="B2163" s="3" t="inlineStr">
        <is>
          <t>풍원정밀</t>
        </is>
      </c>
      <c r="C2163" s="2" t="inlineStr">
        <is>
          <t>371950</t>
        </is>
      </c>
      <c r="D2163" s="2" t="inlineStr">
        <is>
          <t>대량보유</t>
        </is>
      </c>
      <c r="E2163" s="3" t="inlineStr">
        <is>
          <t>박호영</t>
        </is>
      </c>
      <c r="F2163" s="3" t="inlineStr">
        <is>
          <t>특별관계자</t>
        </is>
      </c>
      <c r="G2163" s="3" t="inlineStr">
        <is>
          <t>장내매도(-)</t>
        </is>
      </c>
      <c r="H2163" s="17" t="n">
        <v>-2500</v>
      </c>
      <c r="I2163" s="6" t="n">
        <v>13608</v>
      </c>
      <c r="J2163" s="6" t="inlineStr"/>
      <c r="K2163" s="16" t="n">
        <v>9</v>
      </c>
      <c r="L2163" s="2" t="inlineStr">
        <is>
          <t>20260529000520</t>
        </is>
      </c>
      <c r="M2163" s="8">
        <f>HYPERLINK("https://dart.fss.or.kr/dsaf001/main.do?rcpNo=20260529000520", "공시열람")</f>
        <v/>
      </c>
    </row>
    <row r="2164" ht="22" customHeight="1">
      <c r="A2164" s="2" t="inlineStr">
        <is>
          <t>2026-05-29</t>
        </is>
      </c>
      <c r="B2164" s="3" t="inlineStr">
        <is>
          <t>풍원정밀</t>
        </is>
      </c>
      <c r="C2164" s="2" t="inlineStr">
        <is>
          <t>371950</t>
        </is>
      </c>
      <c r="D2164" s="2" t="inlineStr">
        <is>
          <t>대량보유</t>
        </is>
      </c>
      <c r="E2164" s="3" t="inlineStr">
        <is>
          <t>김종국</t>
        </is>
      </c>
      <c r="F2164" s="3" t="inlineStr">
        <is>
          <t>특별관계자</t>
        </is>
      </c>
      <c r="G2164" s="3" t="inlineStr">
        <is>
          <t>장내매도(-)</t>
        </is>
      </c>
      <c r="H2164" s="17" t="n">
        <v>-1500</v>
      </c>
      <c r="I2164" s="6" t="n">
        <v>18250</v>
      </c>
      <c r="J2164" s="6" t="inlineStr"/>
      <c r="K2164" s="16" t="n">
        <v>9</v>
      </c>
      <c r="L2164" s="2" t="inlineStr">
        <is>
          <t>20260529000520</t>
        </is>
      </c>
      <c r="M2164" s="8">
        <f>HYPERLINK("https://dart.fss.or.kr/dsaf001/main.do?rcpNo=20260529000520", "공시열람")</f>
        <v/>
      </c>
    </row>
    <row r="2165" ht="22" customHeight="1">
      <c r="A2165" s="2" t="inlineStr">
        <is>
          <t>2026-05-29</t>
        </is>
      </c>
      <c r="B2165" s="3" t="inlineStr">
        <is>
          <t>풍원정밀</t>
        </is>
      </c>
      <c r="C2165" s="2" t="inlineStr">
        <is>
          <t>371950</t>
        </is>
      </c>
      <c r="D2165" s="2" t="inlineStr">
        <is>
          <t>대량보유</t>
        </is>
      </c>
      <c r="E2165" s="3" t="inlineStr">
        <is>
          <t>김동춘</t>
        </is>
      </c>
      <c r="F2165" s="3" t="inlineStr">
        <is>
          <t>특별관계자</t>
        </is>
      </c>
      <c r="G2165" s="3" t="inlineStr">
        <is>
          <t>장내매도(-)</t>
        </is>
      </c>
      <c r="H2165" s="17" t="n">
        <v>-1400</v>
      </c>
      <c r="I2165" s="6" t="n">
        <v>19304</v>
      </c>
      <c r="J2165" s="6" t="n">
        <v>1579</v>
      </c>
      <c r="K2165" s="16" t="n">
        <v>9</v>
      </c>
      <c r="L2165" s="2" t="inlineStr">
        <is>
          <t>20260529000520</t>
        </is>
      </c>
      <c r="M2165" s="8">
        <f>HYPERLINK("https://dart.fss.or.kr/dsaf001/main.do?rcpNo=20260529000520", "공시열람")</f>
        <v/>
      </c>
    </row>
    <row r="2166" ht="22" customHeight="1">
      <c r="A2166" s="2" t="inlineStr">
        <is>
          <t>2026-05-29</t>
        </is>
      </c>
      <c r="B2166" s="3" t="inlineStr">
        <is>
          <t>풍원정밀</t>
        </is>
      </c>
      <c r="C2166" s="2" t="inlineStr">
        <is>
          <t>371950</t>
        </is>
      </c>
      <c r="D2166" s="2" t="inlineStr">
        <is>
          <t>대량보유</t>
        </is>
      </c>
      <c r="E2166" s="3" t="inlineStr">
        <is>
          <t>김경중</t>
        </is>
      </c>
      <c r="F2166" s="3" t="inlineStr">
        <is>
          <t>특별관계자</t>
        </is>
      </c>
      <c r="G2166" s="3" t="inlineStr">
        <is>
          <t>임원퇴임(-)</t>
        </is>
      </c>
      <c r="H2166" s="17" t="n">
        <v>-5590</v>
      </c>
      <c r="I2166" s="6" t="inlineStr"/>
      <c r="J2166" s="6" t="inlineStr"/>
      <c r="K2166" s="16" t="n">
        <v>9</v>
      </c>
      <c r="L2166" s="2" t="inlineStr">
        <is>
          <t>20260529000520</t>
        </is>
      </c>
      <c r="M2166" s="8">
        <f>HYPERLINK("https://dart.fss.or.kr/dsaf001/main.do?rcpNo=20260529000520", "공시열람")</f>
        <v/>
      </c>
    </row>
    <row r="2167" ht="22" customHeight="1">
      <c r="A2167" s="2" t="inlineStr">
        <is>
          <t>2026-05-29</t>
        </is>
      </c>
      <c r="B2167" s="3" t="inlineStr">
        <is>
          <t>이엔플러스</t>
        </is>
      </c>
      <c r="C2167" s="2" t="inlineStr">
        <is>
          <t>074610</t>
        </is>
      </c>
      <c r="D2167" s="2" t="inlineStr">
        <is>
          <t>대량보유</t>
        </is>
      </c>
      <c r="E2167" s="3" t="inlineStr">
        <is>
          <t>(주)미니멈</t>
        </is>
      </c>
      <c r="F2167" s="3" t="inlineStr">
        <is>
          <t>특별관계자</t>
        </is>
      </c>
      <c r="G2167" s="3" t="inlineStr">
        <is>
          <t>CB인수(+)</t>
        </is>
      </c>
      <c r="H2167" s="15" t="n">
        <v>464516</v>
      </c>
      <c r="I2167" s="6" t="n">
        <v>3875</v>
      </c>
      <c r="J2167" s="6" t="n">
        <v>464516</v>
      </c>
      <c r="K2167" s="16" t="n">
        <v>6.34</v>
      </c>
      <c r="L2167" s="2" t="inlineStr">
        <is>
          <t>20260529000505</t>
        </is>
      </c>
      <c r="M2167" s="8">
        <f>HYPERLINK("https://dart.fss.or.kr/dsaf001/main.do?rcpNo=20260529000505", "공시열람")</f>
        <v/>
      </c>
    </row>
    <row r="2168" ht="22" customHeight="1">
      <c r="A2168" s="2" t="inlineStr">
        <is>
          <t>2026-05-29</t>
        </is>
      </c>
      <c r="B2168" s="3" t="inlineStr">
        <is>
          <t>케이옥션</t>
        </is>
      </c>
      <c r="C2168" s="2" t="inlineStr">
        <is>
          <t>102370</t>
        </is>
      </c>
      <c r="D2168" s="2" t="inlineStr">
        <is>
          <t>대량보유</t>
        </is>
      </c>
      <c r="E2168" s="3" t="inlineStr">
        <is>
          <t>티에이어드바이저</t>
        </is>
      </c>
      <c r="F2168" s="3" t="inlineStr">
        <is>
          <t>특별관계자</t>
        </is>
      </c>
      <c r="G2168" s="3" t="inlineStr">
        <is>
          <t>장내매수(+)</t>
        </is>
      </c>
      <c r="H2168" s="15" t="n">
        <v>91226</v>
      </c>
      <c r="I2168" s="6" t="n">
        <v>3061</v>
      </c>
      <c r="J2168" s="6" t="n">
        <v>13670538</v>
      </c>
      <c r="K2168" s="16" t="n">
        <v>8</v>
      </c>
      <c r="L2168" s="2" t="inlineStr">
        <is>
          <t>20260529000486</t>
        </is>
      </c>
      <c r="M2168" s="8">
        <f>HYPERLINK("https://dart.fss.or.kr/dsaf001/main.do?rcpNo=20260529000486", "공시열람")</f>
        <v/>
      </c>
    </row>
    <row r="2169" ht="22" customHeight="1">
      <c r="A2169" s="2" t="inlineStr">
        <is>
          <t>2026-05-29</t>
        </is>
      </c>
      <c r="B2169" s="3" t="inlineStr">
        <is>
          <t>케이옥션</t>
        </is>
      </c>
      <c r="C2169" s="2" t="inlineStr">
        <is>
          <t>102370</t>
        </is>
      </c>
      <c r="D2169" s="2" t="inlineStr">
        <is>
          <t>대량보유</t>
        </is>
      </c>
      <c r="E2169" s="3" t="inlineStr">
        <is>
          <t>김정임</t>
        </is>
      </c>
      <c r="F2169" s="3" t="inlineStr">
        <is>
          <t>특별관계자</t>
        </is>
      </c>
      <c r="G2169" s="3" t="inlineStr">
        <is>
          <t>장내매도(-)</t>
        </is>
      </c>
      <c r="H2169" s="17" t="n">
        <v>-5828</v>
      </c>
      <c r="I2169" s="6" t="n">
        <v>2894</v>
      </c>
      <c r="J2169" s="6" t="n">
        <v>3017</v>
      </c>
      <c r="K2169" s="16" t="n">
        <v>8</v>
      </c>
      <c r="L2169" s="2" t="inlineStr">
        <is>
          <t>20260529000486</t>
        </is>
      </c>
      <c r="M2169" s="8">
        <f>HYPERLINK("https://dart.fss.or.kr/dsaf001/main.do?rcpNo=20260529000486", "공시열람")</f>
        <v/>
      </c>
    </row>
    <row r="2170" ht="22" customHeight="1">
      <c r="A2170" s="2" t="inlineStr">
        <is>
          <t>2026-05-29</t>
        </is>
      </c>
      <c r="B2170" s="3" t="inlineStr">
        <is>
          <t>오비고</t>
        </is>
      </c>
      <c r="C2170" s="2" t="inlineStr">
        <is>
          <t>352910</t>
        </is>
      </c>
      <c r="D2170" s="2" t="inlineStr">
        <is>
          <t>대량보유</t>
        </is>
      </c>
      <c r="E2170" s="3" t="inlineStr">
        <is>
          <t>장영준</t>
        </is>
      </c>
      <c r="F2170" s="3" t="inlineStr">
        <is>
          <t>특별관계자</t>
        </is>
      </c>
      <c r="G2170" s="3" t="inlineStr">
        <is>
          <t>장내매수(+)</t>
        </is>
      </c>
      <c r="H2170" s="15" t="n">
        <v>82009</v>
      </c>
      <c r="I2170" s="6" t="n">
        <v>5478</v>
      </c>
      <c r="J2170" s="6" t="n">
        <v>2794163</v>
      </c>
      <c r="K2170" s="16" t="n">
        <v>6</v>
      </c>
      <c r="L2170" s="2" t="inlineStr">
        <is>
          <t>20260529000479</t>
        </is>
      </c>
      <c r="M2170" s="8">
        <f>HYPERLINK("https://dart.fss.or.kr/dsaf001/main.do?rcpNo=20260529000479", "공시열람")</f>
        <v/>
      </c>
    </row>
    <row r="2171" ht="22" customHeight="1">
      <c r="A2171" s="2" t="inlineStr">
        <is>
          <t>2026-05-29</t>
        </is>
      </c>
      <c r="B2171" s="3" t="inlineStr">
        <is>
          <t>삼성화재해상보험</t>
        </is>
      </c>
      <c r="C2171" s="2" t="inlineStr">
        <is>
          <t>000810</t>
        </is>
      </c>
      <c r="D2171" s="2" t="inlineStr">
        <is>
          <t>대량보유</t>
        </is>
      </c>
      <c r="E2171" s="3" t="inlineStr">
        <is>
          <t>InvescoAssetManagementLimited</t>
        </is>
      </c>
      <c r="F2171" s="3" t="inlineStr">
        <is>
          <t>특별관계자</t>
        </is>
      </c>
      <c r="G2171" s="3" t="inlineStr">
        <is>
          <t>장내매수(+), 장내매도(-), 기타(-)</t>
        </is>
      </c>
      <c r="H2171" s="15" t="n">
        <v>156341</v>
      </c>
      <c r="I2171" s="6" t="n">
        <v>515884</v>
      </c>
      <c r="J2171" s="6" t="n">
        <v>2196905</v>
      </c>
      <c r="K2171" s="16" t="n">
        <v>6</v>
      </c>
      <c r="L2171" s="2" t="inlineStr">
        <is>
          <t>20260529000350</t>
        </is>
      </c>
      <c r="M2171" s="8">
        <f>HYPERLINK("https://dart.fss.or.kr/dsaf001/main.do?rcpNo=20260529000350", "공시열람")</f>
        <v/>
      </c>
    </row>
    <row r="2172" ht="22" customHeight="1">
      <c r="A2172" s="2" t="inlineStr">
        <is>
          <t>2026-05-29</t>
        </is>
      </c>
      <c r="B2172" s="3" t="inlineStr">
        <is>
          <t>삼성화재해상보험</t>
        </is>
      </c>
      <c r="C2172" s="2" t="inlineStr">
        <is>
          <t>000810</t>
        </is>
      </c>
      <c r="D2172" s="2" t="inlineStr">
        <is>
          <t>대량보유</t>
        </is>
      </c>
      <c r="E2172" s="3" t="inlineStr">
        <is>
          <t>InvescoAssetManagementSingaporeLtd</t>
        </is>
      </c>
      <c r="F2172" s="3" t="inlineStr">
        <is>
          <t>특별관계자</t>
        </is>
      </c>
      <c r="G2172" s="3" t="inlineStr">
        <is>
          <t>장내매수(+), 장내매도(-)</t>
        </is>
      </c>
      <c r="H2172" s="15" t="n">
        <v>39602</v>
      </c>
      <c r="I2172" s="6" t="n">
        <v>503659</v>
      </c>
      <c r="J2172" s="6" t="n">
        <v>248881</v>
      </c>
      <c r="K2172" s="16" t="n">
        <v>6</v>
      </c>
      <c r="L2172" s="2" t="inlineStr">
        <is>
          <t>20260529000350</t>
        </is>
      </c>
      <c r="M2172" s="8">
        <f>HYPERLINK("https://dart.fss.or.kr/dsaf001/main.do?rcpNo=20260529000350", "공시열람")</f>
        <v/>
      </c>
    </row>
    <row r="2173" ht="22" customHeight="1">
      <c r="A2173" s="2" t="inlineStr">
        <is>
          <t>2026-05-29</t>
        </is>
      </c>
      <c r="B2173" s="3" t="inlineStr">
        <is>
          <t>삼성화재해상보험</t>
        </is>
      </c>
      <c r="C2173" s="2" t="inlineStr">
        <is>
          <t>000810</t>
        </is>
      </c>
      <c r="D2173" s="2" t="inlineStr">
        <is>
          <t>대량보유</t>
        </is>
      </c>
      <c r="E2173" s="3" t="inlineStr">
        <is>
          <t>InvescoCapitalManagementLLC</t>
        </is>
      </c>
      <c r="F2173" s="3" t="inlineStr">
        <is>
          <t>특별관계자</t>
        </is>
      </c>
      <c r="G2173" s="3" t="inlineStr">
        <is>
          <t>장내매수(+), 장내매도(-)</t>
        </is>
      </c>
      <c r="H2173" s="17" t="n">
        <v>-251</v>
      </c>
      <c r="I2173" s="6" t="n">
        <v>477784</v>
      </c>
      <c r="J2173" s="6" t="n">
        <v>6247</v>
      </c>
      <c r="K2173" s="16" t="n">
        <v>6</v>
      </c>
      <c r="L2173" s="2" t="inlineStr">
        <is>
          <t>20260529000350</t>
        </is>
      </c>
      <c r="M2173" s="8">
        <f>HYPERLINK("https://dart.fss.or.kr/dsaf001/main.do?rcpNo=20260529000350", "공시열람")</f>
        <v/>
      </c>
    </row>
    <row r="2174" ht="22" customHeight="1">
      <c r="A2174" s="2" t="inlineStr">
        <is>
          <t>2026-05-29</t>
        </is>
      </c>
      <c r="B2174" s="3" t="inlineStr">
        <is>
          <t>삼성화재해상보험</t>
        </is>
      </c>
      <c r="C2174" s="2" t="inlineStr">
        <is>
          <t>000810</t>
        </is>
      </c>
      <c r="D2174" s="2" t="inlineStr">
        <is>
          <t>대량보유</t>
        </is>
      </c>
      <c r="E2174" s="3" t="inlineStr">
        <is>
          <t>InvescoHongKongLimited</t>
        </is>
      </c>
      <c r="F2174" s="3" t="inlineStr">
        <is>
          <t>특별관계자</t>
        </is>
      </c>
      <c r="G2174" s="3" t="inlineStr">
        <is>
          <t>신규보고(+)</t>
        </is>
      </c>
      <c r="H2174" s="15" t="n">
        <v>4604</v>
      </c>
      <c r="I2174" s="6" t="n">
        <v>554613</v>
      </c>
      <c r="J2174" s="6" t="n">
        <v>4604</v>
      </c>
      <c r="K2174" s="16" t="n">
        <v>6</v>
      </c>
      <c r="L2174" s="2" t="inlineStr">
        <is>
          <t>20260529000350</t>
        </is>
      </c>
      <c r="M2174" s="8">
        <f>HYPERLINK("https://dart.fss.or.kr/dsaf001/main.do?rcpNo=20260529000350", "공시열람")</f>
        <v/>
      </c>
    </row>
    <row r="2175" ht="22" customHeight="1">
      <c r="A2175" s="2" t="inlineStr">
        <is>
          <t>2026-05-29</t>
        </is>
      </c>
      <c r="B2175" s="3" t="inlineStr">
        <is>
          <t>신흥</t>
        </is>
      </c>
      <c r="C2175" s="2" t="inlineStr">
        <is>
          <t>004080</t>
        </is>
      </c>
      <c r="D2175" s="2" t="inlineStr">
        <is>
          <t>임원보고</t>
        </is>
      </c>
      <c r="E2175" s="3" t="inlineStr">
        <is>
          <t>-</t>
        </is>
      </c>
      <c r="F2175" s="3" t="inlineStr">
        <is>
          <t>-</t>
        </is>
      </c>
      <c r="G2175" s="3" t="inlineStr">
        <is>
          <t>-</t>
        </is>
      </c>
      <c r="H2175" s="6" t="inlineStr"/>
      <c r="I2175" s="6" t="inlineStr"/>
      <c r="J2175" s="6" t="inlineStr"/>
      <c r="K2175" s="16" t="n">
        <v>12</v>
      </c>
      <c r="L2175" s="2" t="inlineStr">
        <is>
          <t>20260529800388</t>
        </is>
      </c>
      <c r="M2175" s="8">
        <f>HYPERLINK("https://dart.fss.or.kr/dsaf001/main.do?rcpNo=20260529800388", "공시열람")</f>
        <v/>
      </c>
    </row>
    <row r="2176" ht="22" customHeight="1">
      <c r="A2176" s="2" t="inlineStr">
        <is>
          <t>2026-05-29</t>
        </is>
      </c>
      <c r="B2176" s="3" t="inlineStr">
        <is>
          <t>사토시홀딩스</t>
        </is>
      </c>
      <c r="C2176" s="2" t="inlineStr">
        <is>
          <t>223310</t>
        </is>
      </c>
      <c r="D2176" s="2" t="inlineStr">
        <is>
          <t>대량보유</t>
        </is>
      </c>
      <c r="E2176" s="3" t="inlineStr">
        <is>
          <t>KB증권㈜</t>
        </is>
      </c>
      <c r="F2176" s="3" t="inlineStr">
        <is>
          <t>특별관계자</t>
        </is>
      </c>
      <c r="G2176" s="3" t="inlineStr">
        <is>
          <t>행사가액조정</t>
        </is>
      </c>
      <c r="H2176" s="17" t="n">
        <v>-811633</v>
      </c>
      <c r="I2176" s="6" t="inlineStr"/>
      <c r="J2176" s="6" t="n">
        <v>202908</v>
      </c>
      <c r="K2176" s="16" t="n">
        <v>3.75</v>
      </c>
      <c r="L2176" s="2" t="inlineStr">
        <is>
          <t>20260529000219</t>
        </is>
      </c>
      <c r="M2176" s="8">
        <f>HYPERLINK("https://dart.fss.or.kr/dsaf001/main.do?rcpNo=20260529000219", "공시열람")</f>
        <v/>
      </c>
    </row>
    <row r="2177" ht="22" customHeight="1">
      <c r="A2177" s="2" t="inlineStr">
        <is>
          <t>2026-05-29</t>
        </is>
      </c>
      <c r="B2177" s="3" t="inlineStr">
        <is>
          <t>삼립</t>
        </is>
      </c>
      <c r="C2177" s="2" t="inlineStr">
        <is>
          <t>005610</t>
        </is>
      </c>
      <c r="D2177" s="2" t="inlineStr">
        <is>
          <t>대량보유</t>
        </is>
      </c>
      <c r="E2177" s="3" t="inlineStr">
        <is>
          <t>황종현</t>
        </is>
      </c>
      <c r="F2177" s="3" t="inlineStr">
        <is>
          <t>특별관계자</t>
        </is>
      </c>
      <c r="G2177" s="3" t="inlineStr">
        <is>
          <t>임원퇴임(-)</t>
        </is>
      </c>
      <c r="H2177" s="17" t="n">
        <v>-21000</v>
      </c>
      <c r="I2177" s="6" t="inlineStr"/>
      <c r="J2177" s="6" t="inlineStr"/>
      <c r="K2177" s="16" t="n">
        <v>5</v>
      </c>
      <c r="L2177" s="2" t="inlineStr">
        <is>
          <t>20260529000173</t>
        </is>
      </c>
      <c r="M2177" s="8">
        <f>HYPERLINK("https://dart.fss.or.kr/dsaf001/main.do?rcpNo=20260529000173", "공시열람")</f>
        <v/>
      </c>
    </row>
    <row r="2178" ht="22" customHeight="1">
      <c r="A2178" s="2" t="inlineStr">
        <is>
          <t>2026-05-29</t>
        </is>
      </c>
      <c r="B2178" s="3" t="inlineStr">
        <is>
          <t>삼립</t>
        </is>
      </c>
      <c r="C2178" s="2" t="inlineStr">
        <is>
          <t>005610</t>
        </is>
      </c>
      <c r="D2178" s="2" t="inlineStr">
        <is>
          <t>대량보유</t>
        </is>
      </c>
      <c r="E2178" s="3" t="inlineStr">
        <is>
          <t>경재형</t>
        </is>
      </c>
      <c r="F2178" s="3" t="inlineStr">
        <is>
          <t>특별관계자</t>
        </is>
      </c>
      <c r="G2178" s="3" t="inlineStr">
        <is>
          <t>임원퇴임(-)</t>
        </is>
      </c>
      <c r="H2178" s="17" t="n">
        <v>-1000</v>
      </c>
      <c r="I2178" s="6" t="inlineStr"/>
      <c r="J2178" s="6" t="inlineStr"/>
      <c r="K2178" s="16" t="n">
        <v>5</v>
      </c>
      <c r="L2178" s="2" t="inlineStr">
        <is>
          <t>20260529000173</t>
        </is>
      </c>
      <c r="M2178" s="8">
        <f>HYPERLINK("https://dart.fss.or.kr/dsaf001/main.do?rcpNo=20260529000173", "공시열람")</f>
        <v/>
      </c>
    </row>
    <row r="2179" ht="22" customHeight="1">
      <c r="A2179" s="2" t="inlineStr">
        <is>
          <t>2026-05-29</t>
        </is>
      </c>
      <c r="B2179" s="3" t="inlineStr">
        <is>
          <t>삼립</t>
        </is>
      </c>
      <c r="C2179" s="2" t="inlineStr">
        <is>
          <t>005610</t>
        </is>
      </c>
      <c r="D2179" s="2" t="inlineStr">
        <is>
          <t>대량보유</t>
        </is>
      </c>
      <c r="E2179" s="3" t="inlineStr">
        <is>
          <t>도세호</t>
        </is>
      </c>
      <c r="F2179" s="3" t="inlineStr">
        <is>
          <t>특별관계자</t>
        </is>
      </c>
      <c r="G2179" s="3" t="inlineStr">
        <is>
          <t>장내매수(+)</t>
        </is>
      </c>
      <c r="H2179" s="15" t="n">
        <v>1275</v>
      </c>
      <c r="I2179" s="6" t="n">
        <v>46976</v>
      </c>
      <c r="J2179" s="6" t="n">
        <v>1275</v>
      </c>
      <c r="K2179" s="16" t="n">
        <v>5</v>
      </c>
      <c r="L2179" s="2" t="inlineStr">
        <is>
          <t>20260529000173</t>
        </is>
      </c>
      <c r="M2179" s="8">
        <f>HYPERLINK("https://dart.fss.or.kr/dsaf001/main.do?rcpNo=20260529000173", "공시열람")</f>
        <v/>
      </c>
    </row>
    <row r="2180" ht="22" customHeight="1">
      <c r="A2180" s="2" t="inlineStr">
        <is>
          <t>2026-05-29</t>
        </is>
      </c>
      <c r="B2180" s="3" t="inlineStr">
        <is>
          <t>삼립</t>
        </is>
      </c>
      <c r="C2180" s="2" t="inlineStr">
        <is>
          <t>005610</t>
        </is>
      </c>
      <c r="D2180" s="2" t="inlineStr">
        <is>
          <t>대량보유</t>
        </is>
      </c>
      <c r="E2180" s="3" t="inlineStr">
        <is>
          <t>정인호</t>
        </is>
      </c>
      <c r="F2180" s="3" t="inlineStr">
        <is>
          <t>특별관계자</t>
        </is>
      </c>
      <c r="G2180" s="3" t="inlineStr">
        <is>
          <t>신규선임(유상취득)(+), 장내매수(+)</t>
        </is>
      </c>
      <c r="H2180" s="15" t="n">
        <v>1091</v>
      </c>
      <c r="I2180" s="6" t="n">
        <v>46859</v>
      </c>
      <c r="J2180" s="6" t="n">
        <v>1000</v>
      </c>
      <c r="K2180" s="16" t="n">
        <v>5</v>
      </c>
      <c r="L2180" s="2" t="inlineStr">
        <is>
          <t>20260529000173</t>
        </is>
      </c>
      <c r="M2180" s="8">
        <f>HYPERLINK("https://dart.fss.or.kr/dsaf001/main.do?rcpNo=20260529000173", "공시열람")</f>
        <v/>
      </c>
    </row>
    <row r="2181" ht="22" customHeight="1">
      <c r="A2181" s="2" t="inlineStr">
        <is>
          <t>2026-05-29</t>
        </is>
      </c>
      <c r="B2181" s="3" t="inlineStr">
        <is>
          <t>OCI홀딩스</t>
        </is>
      </c>
      <c r="C2181" s="2" t="inlineStr">
        <is>
          <t>010060</t>
        </is>
      </c>
      <c r="D2181" s="2" t="inlineStr">
        <is>
          <t>대량보유</t>
        </is>
      </c>
      <c r="E2181" s="3" t="inlineStr">
        <is>
          <t>문병도</t>
        </is>
      </c>
      <c r="F2181" s="3" t="inlineStr">
        <is>
          <t>특별관계자</t>
        </is>
      </c>
      <c r="G2181" s="3" t="inlineStr">
        <is>
          <t>임원퇴임(-)</t>
        </is>
      </c>
      <c r="H2181" s="17" t="n">
        <v>-5161</v>
      </c>
      <c r="I2181" s="6" t="inlineStr"/>
      <c r="J2181" s="6" t="inlineStr"/>
      <c r="K2181" s="16" t="n">
        <v>11</v>
      </c>
      <c r="L2181" s="2" t="inlineStr">
        <is>
          <t>20260529000101</t>
        </is>
      </c>
      <c r="M2181" s="8">
        <f>HYPERLINK("https://dart.fss.or.kr/dsaf001/main.do?rcpNo=20260529000101", "공시열람")</f>
        <v/>
      </c>
    </row>
    <row r="2182" ht="22" customHeight="1">
      <c r="A2182" s="2" t="inlineStr">
        <is>
          <t>2026-05-29</t>
        </is>
      </c>
      <c r="B2182" s="3" t="inlineStr">
        <is>
          <t>OCI홀딩스</t>
        </is>
      </c>
      <c r="C2182" s="2" t="inlineStr">
        <is>
          <t>010060</t>
        </is>
      </c>
      <c r="D2182" s="2" t="inlineStr">
        <is>
          <t>대량보유</t>
        </is>
      </c>
      <c r="E2182" s="3" t="inlineStr">
        <is>
          <t>이정자</t>
        </is>
      </c>
      <c r="F2182" s="3" t="inlineStr">
        <is>
          <t>특별관계자</t>
        </is>
      </c>
      <c r="G2182" s="3" t="inlineStr">
        <is>
          <t>장내매도(-)</t>
        </is>
      </c>
      <c r="H2182" s="17" t="n">
        <v>-170077</v>
      </c>
      <c r="I2182" s="6" t="n">
        <v>305837</v>
      </c>
      <c r="J2182" s="6" t="inlineStr"/>
      <c r="K2182" s="16" t="n">
        <v>11</v>
      </c>
      <c r="L2182" s="2" t="inlineStr">
        <is>
          <t>20260529000101</t>
        </is>
      </c>
      <c r="M2182" s="8">
        <f>HYPERLINK("https://dart.fss.or.kr/dsaf001/main.do?rcpNo=20260529000101", "공시열람")</f>
        <v/>
      </c>
    </row>
    <row r="2183" ht="22" customHeight="1">
      <c r="A2183" s="2" t="inlineStr">
        <is>
          <t>2026-05-29</t>
        </is>
      </c>
      <c r="B2183" s="3" t="inlineStr">
        <is>
          <t>대한뉴팜</t>
        </is>
      </c>
      <c r="C2183" s="2" t="inlineStr">
        <is>
          <t>054670</t>
        </is>
      </c>
      <c r="D2183" s="2" t="inlineStr">
        <is>
          <t>대량보유</t>
        </is>
      </c>
      <c r="E2183" s="3" t="inlineStr">
        <is>
          <t>이원석</t>
        </is>
      </c>
      <c r="F2183" s="3" t="inlineStr">
        <is>
          <t>특별관계자</t>
        </is>
      </c>
      <c r="G2183" s="3" t="inlineStr">
        <is>
          <t>장내매수(+)</t>
        </is>
      </c>
      <c r="H2183" s="15" t="n">
        <v>50000</v>
      </c>
      <c r="I2183" s="6" t="n">
        <v>6304</v>
      </c>
      <c r="J2183" s="6" t="n">
        <v>1187365</v>
      </c>
      <c r="K2183" s="16" t="n">
        <v>7</v>
      </c>
      <c r="L2183" s="2" t="inlineStr">
        <is>
          <t>20260529000075</t>
        </is>
      </c>
      <c r="M2183" s="8">
        <f>HYPERLINK("https://dart.fss.or.kr/dsaf001/main.do?rcpNo=20260529000075", "공시열람")</f>
        <v/>
      </c>
    </row>
    <row r="2184" ht="22" customHeight="1">
      <c r="A2184" s="2" t="inlineStr">
        <is>
          <t>2026-05-29</t>
        </is>
      </c>
      <c r="B2184" s="3" t="inlineStr">
        <is>
          <t>프럼파스트</t>
        </is>
      </c>
      <c r="C2184" s="2" t="inlineStr">
        <is>
          <t>035200</t>
        </is>
      </c>
      <c r="D2184" s="2" t="inlineStr">
        <is>
          <t>대량보유</t>
        </is>
      </c>
      <c r="E2184" s="3" t="inlineStr">
        <is>
          <t>원연경</t>
        </is>
      </c>
      <c r="F2184" s="3" t="inlineStr">
        <is>
          <t>특별관계자</t>
        </is>
      </c>
      <c r="G2184" s="3" t="inlineStr">
        <is>
          <t>장내매수(+)</t>
        </is>
      </c>
      <c r="H2184" s="15" t="n">
        <v>17800</v>
      </c>
      <c r="I2184" s="6" t="n">
        <v>3398</v>
      </c>
      <c r="J2184" s="6" t="n">
        <v>917800</v>
      </c>
      <c r="K2184" s="16" t="n">
        <v>3</v>
      </c>
      <c r="L2184" s="2" t="inlineStr">
        <is>
          <t>20260529000057</t>
        </is>
      </c>
      <c r="M2184" s="8">
        <f>HYPERLINK("https://dart.fss.or.kr/dsaf001/main.do?rcpNo=20260529000057", "공시열람")</f>
        <v/>
      </c>
    </row>
    <row r="2185" ht="22" customHeight="1">
      <c r="A2185" s="2" t="inlineStr">
        <is>
          <t>2026-05-29</t>
        </is>
      </c>
      <c r="B2185" s="3" t="inlineStr">
        <is>
          <t>평화산업</t>
        </is>
      </c>
      <c r="C2185" s="2" t="inlineStr">
        <is>
          <t>090080</t>
        </is>
      </c>
      <c r="D2185" s="2" t="inlineStr">
        <is>
          <t>임원보고</t>
        </is>
      </c>
      <c r="E2185" s="3" t="inlineStr">
        <is>
          <t>-</t>
        </is>
      </c>
      <c r="F2185" s="3" t="inlineStr">
        <is>
          <t>-</t>
        </is>
      </c>
      <c r="G2185" s="3" t="inlineStr">
        <is>
          <t>-</t>
        </is>
      </c>
      <c r="H2185" s="6" t="inlineStr"/>
      <c r="I2185" s="6" t="inlineStr"/>
      <c r="J2185" s="6" t="inlineStr"/>
      <c r="K2185" s="16" t="n">
        <v>12</v>
      </c>
      <c r="L2185" s="2" t="inlineStr">
        <is>
          <t>20260529800154</t>
        </is>
      </c>
      <c r="M2185" s="8">
        <f>HYPERLINK("https://dart.fss.or.kr/dsaf001/main.do?rcpNo=20260529800154", "공시열람")</f>
        <v/>
      </c>
    </row>
    <row r="2186" ht="22" customHeight="1">
      <c r="A2186" s="2" t="inlineStr">
        <is>
          <t>2026-05-29</t>
        </is>
      </c>
      <c r="B2186" s="3" t="inlineStr">
        <is>
          <t>한국항공우주</t>
        </is>
      </c>
      <c r="C2186" s="2" t="inlineStr">
        <is>
          <t>047810</t>
        </is>
      </c>
      <c r="D2186" s="2" t="inlineStr">
        <is>
          <t>대량보유</t>
        </is>
      </c>
      <c r="E2186" s="3" t="inlineStr">
        <is>
          <t>한화에어로스페이스(주)</t>
        </is>
      </c>
      <c r="F2186" s="3" t="inlineStr">
        <is>
          <t>특별관계자</t>
        </is>
      </c>
      <c r="G2186" s="3" t="inlineStr">
        <is>
          <t>장내매수(+)</t>
        </is>
      </c>
      <c r="H2186" s="15" t="n">
        <v>1022600</v>
      </c>
      <c r="I2186" s="6" t="n">
        <v>167758</v>
      </c>
      <c r="J2186" s="6" t="n">
        <v>5480975</v>
      </c>
      <c r="K2186" s="16" t="n">
        <v>3</v>
      </c>
      <c r="L2186" s="2" t="inlineStr">
        <is>
          <t>20260529000009</t>
        </is>
      </c>
      <c r="M2186" s="8">
        <f>HYPERLINK("https://dart.fss.or.kr/dsaf001/main.do?rcpNo=20260529000009", "공시열람")</f>
        <v/>
      </c>
    </row>
    <row r="2187" ht="22" customHeight="1">
      <c r="A2187" s="2" t="inlineStr">
        <is>
          <t>2026-05-29</t>
        </is>
      </c>
      <c r="B2187" s="3" t="inlineStr">
        <is>
          <t>신테카바이오</t>
        </is>
      </c>
      <c r="C2187" s="2" t="inlineStr">
        <is>
          <t>226330</t>
        </is>
      </c>
      <c r="D2187" s="2" t="inlineStr">
        <is>
          <t>대량보유</t>
        </is>
      </c>
      <c r="E2187" s="3" t="inlineStr">
        <is>
          <t>정종선</t>
        </is>
      </c>
      <c r="F2187" s="3" t="inlineStr">
        <is>
          <t>보고자</t>
        </is>
      </c>
      <c r="G2187" s="3" t="inlineStr">
        <is>
          <t>- 보고자의 주식담보계약 상환 및 체결</t>
        </is>
      </c>
      <c r="H2187" s="6" t="inlineStr"/>
      <c r="I2187" s="6" t="inlineStr"/>
      <c r="J2187" s="6" t="n">
        <v>3807031</v>
      </c>
      <c r="K2187" s="16" t="n">
        <v>7</v>
      </c>
      <c r="L2187" s="2" t="inlineStr">
        <is>
          <t>20260528001029</t>
        </is>
      </c>
      <c r="M2187" s="8">
        <f>HYPERLINK("https://dart.fss.or.kr/dsaf001/main.do?rcpNo=20260528001029", "공시열람")</f>
        <v/>
      </c>
    </row>
    <row r="2188" ht="22" customHeight="1">
      <c r="A2188" s="2" t="inlineStr">
        <is>
          <t>2026-06-01</t>
        </is>
      </c>
      <c r="B2188" s="3" t="inlineStr">
        <is>
          <t>올릭스</t>
        </is>
      </c>
      <c r="C2188" s="2" t="inlineStr">
        <is>
          <t>226950</t>
        </is>
      </c>
      <c r="D2188" s="2" t="inlineStr">
        <is>
          <t>대량보유</t>
        </is>
      </c>
      <c r="E2188" s="3" t="inlineStr">
        <is>
          <t>이동기</t>
        </is>
      </c>
      <c r="F2188" s="3" t="inlineStr">
        <is>
          <t>특별관계자</t>
        </is>
      </c>
      <c r="G2188" s="3" t="inlineStr">
        <is>
          <t>장내매도(-)</t>
        </is>
      </c>
      <c r="H2188" s="17" t="n">
        <v>-33333</v>
      </c>
      <c r="I2188" s="6" t="n">
        <v>149578</v>
      </c>
      <c r="J2188" s="6" t="n">
        <v>3330827</v>
      </c>
      <c r="K2188" s="16" t="n">
        <v>16</v>
      </c>
      <c r="L2188" s="2" t="inlineStr">
        <is>
          <t>20260601002020</t>
        </is>
      </c>
      <c r="M2188" s="8">
        <f>HYPERLINK("https://dart.fss.or.kr/dsaf001/main.do?rcpNo=20260601002020", "공시열람")</f>
        <v/>
      </c>
    </row>
    <row r="2189" ht="22" customHeight="1">
      <c r="A2189" s="2" t="inlineStr">
        <is>
          <t>2026-06-01</t>
        </is>
      </c>
      <c r="B2189" s="3" t="inlineStr">
        <is>
          <t>올릭스</t>
        </is>
      </c>
      <c r="C2189" s="2" t="inlineStr">
        <is>
          <t>226950</t>
        </is>
      </c>
      <c r="D2189" s="2" t="inlineStr">
        <is>
          <t>대량보유</t>
        </is>
      </c>
      <c r="E2189" s="3" t="inlineStr">
        <is>
          <t>공화순</t>
        </is>
      </c>
      <c r="F2189" s="3" t="inlineStr">
        <is>
          <t>특별관계자</t>
        </is>
      </c>
      <c r="G2189" s="3" t="inlineStr">
        <is>
          <t>장내매도(-)</t>
        </is>
      </c>
      <c r="H2189" s="17" t="n">
        <v>-4000</v>
      </c>
      <c r="I2189" s="6" t="n">
        <v>179250</v>
      </c>
      <c r="J2189" s="6" t="n">
        <v>6100</v>
      </c>
      <c r="K2189" s="16" t="n">
        <v>16</v>
      </c>
      <c r="L2189" s="2" t="inlineStr">
        <is>
          <t>20260601002020</t>
        </is>
      </c>
      <c r="M2189" s="8">
        <f>HYPERLINK("https://dart.fss.or.kr/dsaf001/main.do?rcpNo=20260601002020", "공시열람")</f>
        <v/>
      </c>
    </row>
    <row r="2190" ht="22" customHeight="1">
      <c r="A2190" s="2" t="inlineStr">
        <is>
          <t>2026-06-01</t>
        </is>
      </c>
      <c r="B2190" s="3" t="inlineStr">
        <is>
          <t>올릭스</t>
        </is>
      </c>
      <c r="C2190" s="2" t="inlineStr">
        <is>
          <t>226950</t>
        </is>
      </c>
      <c r="D2190" s="2" t="inlineStr">
        <is>
          <t>대량보유</t>
        </is>
      </c>
      <c r="E2190" s="3" t="inlineStr">
        <is>
          <t>박신영</t>
        </is>
      </c>
      <c r="F2190" s="3" t="inlineStr">
        <is>
          <t>특별관계자</t>
        </is>
      </c>
      <c r="G2190" s="3" t="inlineStr">
        <is>
          <t>임원퇴임(-)</t>
        </is>
      </c>
      <c r="H2190" s="17" t="n">
        <v>-40000</v>
      </c>
      <c r="I2190" s="6" t="inlineStr"/>
      <c r="J2190" s="6" t="inlineStr"/>
      <c r="K2190" s="16" t="n">
        <v>16</v>
      </c>
      <c r="L2190" s="2" t="inlineStr">
        <is>
          <t>20260601002020</t>
        </is>
      </c>
      <c r="M2190" s="8">
        <f>HYPERLINK("https://dart.fss.or.kr/dsaf001/main.do?rcpNo=20260601002020", "공시열람")</f>
        <v/>
      </c>
    </row>
    <row r="2191" ht="22" customHeight="1">
      <c r="A2191" s="2" t="inlineStr">
        <is>
          <t>2026-06-01</t>
        </is>
      </c>
      <c r="B2191" s="3" t="inlineStr">
        <is>
          <t>올릭스</t>
        </is>
      </c>
      <c r="C2191" s="2" t="inlineStr">
        <is>
          <t>226950</t>
        </is>
      </c>
      <c r="D2191" s="2" t="inlineStr">
        <is>
          <t>대량보유</t>
        </is>
      </c>
      <c r="E2191" s="3" t="inlineStr">
        <is>
          <t>강충길</t>
        </is>
      </c>
      <c r="F2191" s="3" t="inlineStr">
        <is>
          <t>특별관계자</t>
        </is>
      </c>
      <c r="G2191" s="3" t="inlineStr">
        <is>
          <t>주식매수선택권행사(-), 주식매수선택권행사(+)</t>
        </is>
      </c>
      <c r="H2191" s="6" t="inlineStr"/>
      <c r="I2191" s="6" t="n">
        <v>34950</v>
      </c>
      <c r="J2191" s="6" t="n">
        <v>42500</v>
      </c>
      <c r="K2191" s="16" t="n">
        <v>16</v>
      </c>
      <c r="L2191" s="2" t="inlineStr">
        <is>
          <t>20260601002020</t>
        </is>
      </c>
      <c r="M2191" s="8">
        <f>HYPERLINK("https://dart.fss.or.kr/dsaf001/main.do?rcpNo=20260601002020", "공시열람")</f>
        <v/>
      </c>
    </row>
    <row r="2192" ht="22" customHeight="1">
      <c r="A2192" s="2" t="inlineStr">
        <is>
          <t>2026-06-01</t>
        </is>
      </c>
      <c r="B2192" s="3" t="inlineStr">
        <is>
          <t>올릭스</t>
        </is>
      </c>
      <c r="C2192" s="2" t="inlineStr">
        <is>
          <t>226950</t>
        </is>
      </c>
      <c r="D2192" s="2" t="inlineStr">
        <is>
          <t>대량보유</t>
        </is>
      </c>
      <c r="E2192" s="3" t="inlineStr">
        <is>
          <t>박준현</t>
        </is>
      </c>
      <c r="F2192" s="3" t="inlineStr">
        <is>
          <t>특별관계자</t>
        </is>
      </c>
      <c r="G2192" s="3" t="inlineStr">
        <is>
          <t>장내매도(-), 주식매수선택권행사(-), 주식매수선택권행사(+), 주식매수선택권부여(+)</t>
        </is>
      </c>
      <c r="H2192" s="15" t="n">
        <v>13000</v>
      </c>
      <c r="I2192" s="6" t="n">
        <v>69300</v>
      </c>
      <c r="J2192" s="6" t="n">
        <v>8000</v>
      </c>
      <c r="K2192" s="16" t="n">
        <v>16</v>
      </c>
      <c r="L2192" s="2" t="inlineStr">
        <is>
          <t>20260601002020</t>
        </is>
      </c>
      <c r="M2192" s="8">
        <f>HYPERLINK("https://dart.fss.or.kr/dsaf001/main.do?rcpNo=20260601002020", "공시열람")</f>
        <v/>
      </c>
    </row>
    <row r="2193" ht="22" customHeight="1">
      <c r="A2193" s="2" t="inlineStr">
        <is>
          <t>2026-06-01</t>
        </is>
      </c>
      <c r="B2193" s="3" t="inlineStr">
        <is>
          <t>올릭스</t>
        </is>
      </c>
      <c r="C2193" s="2" t="inlineStr">
        <is>
          <t>226950</t>
        </is>
      </c>
      <c r="D2193" s="2" t="inlineStr">
        <is>
          <t>대량보유</t>
        </is>
      </c>
      <c r="E2193" s="3" t="inlineStr">
        <is>
          <t>신동원</t>
        </is>
      </c>
      <c r="F2193" s="3" t="inlineStr">
        <is>
          <t>특별관계자</t>
        </is>
      </c>
      <c r="G2193" s="3" t="inlineStr">
        <is>
          <t>장내매도(-), 주식매수선택권행사(-), 주식매수선택권행사(+)</t>
        </is>
      </c>
      <c r="H2193" s="17" t="n">
        <v>-7000</v>
      </c>
      <c r="I2193" s="6" t="n">
        <v>57243</v>
      </c>
      <c r="J2193" s="6" t="n">
        <v>23000</v>
      </c>
      <c r="K2193" s="16" t="n">
        <v>16</v>
      </c>
      <c r="L2193" s="2" t="inlineStr">
        <is>
          <t>20260601002020</t>
        </is>
      </c>
      <c r="M2193" s="8">
        <f>HYPERLINK("https://dart.fss.or.kr/dsaf001/main.do?rcpNo=20260601002020", "공시열람")</f>
        <v/>
      </c>
    </row>
    <row r="2194" ht="22" customHeight="1">
      <c r="A2194" s="2" t="inlineStr">
        <is>
          <t>2026-06-01</t>
        </is>
      </c>
      <c r="B2194" s="3" t="inlineStr">
        <is>
          <t>올릭스</t>
        </is>
      </c>
      <c r="C2194" s="2" t="inlineStr">
        <is>
          <t>226950</t>
        </is>
      </c>
      <c r="D2194" s="2" t="inlineStr">
        <is>
          <t>대량보유</t>
        </is>
      </c>
      <c r="E2194" s="3" t="inlineStr">
        <is>
          <t>김영진</t>
        </is>
      </c>
      <c r="F2194" s="3" t="inlineStr">
        <is>
          <t>특별관계자</t>
        </is>
      </c>
      <c r="G2194" s="3" t="inlineStr">
        <is>
          <t>장내매도(-), 주식매수선택권행사(-), 주식매수선택권행사(+), 주식매수선택권부여(+)</t>
        </is>
      </c>
      <c r="H2194" s="15" t="n">
        <v>3000</v>
      </c>
      <c r="I2194" s="6" t="n">
        <v>67664</v>
      </c>
      <c r="J2194" s="6" t="n">
        <v>68000</v>
      </c>
      <c r="K2194" s="16" t="n">
        <v>16</v>
      </c>
      <c r="L2194" s="2" t="inlineStr">
        <is>
          <t>20260601002020</t>
        </is>
      </c>
      <c r="M2194" s="8">
        <f>HYPERLINK("https://dart.fss.or.kr/dsaf001/main.do?rcpNo=20260601002020", "공시열람")</f>
        <v/>
      </c>
    </row>
    <row r="2195" ht="22" customHeight="1">
      <c r="A2195" s="2" t="inlineStr">
        <is>
          <t>2026-06-01</t>
        </is>
      </c>
      <c r="B2195" s="3" t="inlineStr">
        <is>
          <t>올릭스</t>
        </is>
      </c>
      <c r="C2195" s="2" t="inlineStr">
        <is>
          <t>226950</t>
        </is>
      </c>
      <c r="D2195" s="2" t="inlineStr">
        <is>
          <t>대량보유</t>
        </is>
      </c>
      <c r="E2195" s="3" t="inlineStr">
        <is>
          <t>KellyKyungMiKim</t>
        </is>
      </c>
      <c r="F2195" s="3" t="inlineStr">
        <is>
          <t>특별관계자</t>
        </is>
      </c>
      <c r="G2195" s="3" t="inlineStr">
        <is>
          <t>주식매수선택권행사(-), 주식매수선택권행사(+), 주식매수선택권부여(+)</t>
        </is>
      </c>
      <c r="H2195" s="15" t="n">
        <v>40000</v>
      </c>
      <c r="I2195" s="6" t="n">
        <v>22300</v>
      </c>
      <c r="J2195" s="6" t="n">
        <v>6000</v>
      </c>
      <c r="K2195" s="16" t="n">
        <v>16</v>
      </c>
      <c r="L2195" s="2" t="inlineStr">
        <is>
          <t>20260601002020</t>
        </is>
      </c>
      <c r="M2195" s="8">
        <f>HYPERLINK("https://dart.fss.or.kr/dsaf001/main.do?rcpNo=20260601002020", "공시열람")</f>
        <v/>
      </c>
    </row>
    <row r="2196" ht="22" customHeight="1">
      <c r="A2196" s="2" t="inlineStr">
        <is>
          <t>2026-06-01</t>
        </is>
      </c>
      <c r="B2196" s="3" t="inlineStr">
        <is>
          <t>핑거</t>
        </is>
      </c>
      <c r="C2196" s="2" t="inlineStr">
        <is>
          <t>163730</t>
        </is>
      </c>
      <c r="D2196" s="2" t="inlineStr">
        <is>
          <t>대량보유</t>
        </is>
      </c>
      <c r="E2196" s="3" t="inlineStr">
        <is>
          <t>서룡전자(주)</t>
        </is>
      </c>
      <c r="F2196" s="3" t="inlineStr">
        <is>
          <t>보고자</t>
        </is>
      </c>
      <c r="G2196" s="3" t="inlineStr">
        <is>
          <t>근질권 설정 후 해지</t>
        </is>
      </c>
      <c r="H2196" s="6" t="inlineStr"/>
      <c r="I2196" s="6" t="inlineStr"/>
      <c r="J2196" s="6" t="n">
        <v>8877535</v>
      </c>
      <c r="K2196" s="16" t="n">
        <v>11</v>
      </c>
      <c r="L2196" s="2" t="inlineStr">
        <is>
          <t>20260601001977</t>
        </is>
      </c>
      <c r="M2196" s="8">
        <f>HYPERLINK("https://dart.fss.or.kr/dsaf001/main.do?rcpNo=20260601001977", "공시열람")</f>
        <v/>
      </c>
    </row>
    <row r="2197" ht="22" customHeight="1">
      <c r="A2197" s="2" t="inlineStr">
        <is>
          <t>2026-06-01</t>
        </is>
      </c>
      <c r="B2197" s="3" t="inlineStr">
        <is>
          <t>HDC</t>
        </is>
      </c>
      <c r="C2197" s="2" t="inlineStr">
        <is>
          <t>012630</t>
        </is>
      </c>
      <c r="D2197" s="2" t="inlineStr">
        <is>
          <t>임원보고</t>
        </is>
      </c>
      <c r="E2197" s="3" t="inlineStr">
        <is>
          <t>-</t>
        </is>
      </c>
      <c r="F2197" s="3" t="inlineStr">
        <is>
          <t>-</t>
        </is>
      </c>
      <c r="G2197" s="3" t="inlineStr">
        <is>
          <t>-</t>
        </is>
      </c>
      <c r="H2197" s="6" t="inlineStr"/>
      <c r="I2197" s="6" t="inlineStr"/>
      <c r="J2197" s="6" t="inlineStr"/>
      <c r="K2197" s="16" t="n">
        <v>12</v>
      </c>
      <c r="L2197" s="2" t="inlineStr">
        <is>
          <t>20260601801832</t>
        </is>
      </c>
      <c r="M2197" s="8">
        <f>HYPERLINK("https://dart.fss.or.kr/dsaf001/main.do?rcpNo=20260601801832", "공시열람")</f>
        <v/>
      </c>
    </row>
    <row r="2198" ht="22" customHeight="1">
      <c r="A2198" s="2" t="inlineStr">
        <is>
          <t>2026-06-01</t>
        </is>
      </c>
      <c r="B2198" s="3" t="inlineStr">
        <is>
          <t>HDC</t>
        </is>
      </c>
      <c r="C2198" s="2" t="inlineStr">
        <is>
          <t>012630</t>
        </is>
      </c>
      <c r="D2198" s="2" t="inlineStr">
        <is>
          <t>대량보유</t>
        </is>
      </c>
      <c r="E2198" s="3" t="inlineStr">
        <is>
          <t>엠엔큐투자파트너스(유)</t>
        </is>
      </c>
      <c r="F2198" s="3" t="inlineStr">
        <is>
          <t>특별관계자</t>
        </is>
      </c>
      <c r="G2198" s="3" t="inlineStr">
        <is>
          <t>장내매수(+)</t>
        </is>
      </c>
      <c r="H2198" s="15" t="n">
        <v>31987</v>
      </c>
      <c r="I2198" s="6" t="n">
        <v>21252</v>
      </c>
      <c r="J2198" s="6" t="n">
        <v>3885062</v>
      </c>
      <c r="K2198" s="16" t="n">
        <v>9</v>
      </c>
      <c r="L2198" s="2" t="inlineStr">
        <is>
          <t>20260601001963</t>
        </is>
      </c>
      <c r="M2198" s="8">
        <f>HYPERLINK("https://dart.fss.or.kr/dsaf001/main.do?rcpNo=20260601001963", "공시열람")</f>
        <v/>
      </c>
    </row>
    <row r="2199" ht="22" customHeight="1">
      <c r="A2199" s="2" t="inlineStr">
        <is>
          <t>2026-06-01</t>
        </is>
      </c>
      <c r="B2199" s="3" t="inlineStr">
        <is>
          <t>케이티스카이라이프</t>
        </is>
      </c>
      <c r="C2199" s="2" t="inlineStr">
        <is>
          <t>053210</t>
        </is>
      </c>
      <c r="D2199" s="2" t="inlineStr">
        <is>
          <t>임원보고</t>
        </is>
      </c>
      <c r="E2199" s="3" t="inlineStr">
        <is>
          <t>-</t>
        </is>
      </c>
      <c r="F2199" s="3" t="inlineStr">
        <is>
          <t>-</t>
        </is>
      </c>
      <c r="G2199" s="3" t="inlineStr">
        <is>
          <t>-</t>
        </is>
      </c>
      <c r="H2199" s="6" t="inlineStr"/>
      <c r="I2199" s="6" t="inlineStr"/>
      <c r="J2199" s="6" t="inlineStr"/>
      <c r="K2199" s="16" t="n">
        <v>12</v>
      </c>
      <c r="L2199" s="2" t="inlineStr">
        <is>
          <t>20260601801824</t>
        </is>
      </c>
      <c r="M2199" s="8">
        <f>HYPERLINK("https://dart.fss.or.kr/dsaf001/main.do?rcpNo=20260601801824", "공시열람")</f>
        <v/>
      </c>
    </row>
    <row r="2200" ht="22" customHeight="1">
      <c r="A2200" s="2" t="inlineStr">
        <is>
          <t>2026-06-01</t>
        </is>
      </c>
      <c r="B2200" s="3" t="inlineStr">
        <is>
          <t>엔지켐생명과학</t>
        </is>
      </c>
      <c r="C2200" s="2" t="inlineStr">
        <is>
          <t>183490</t>
        </is>
      </c>
      <c r="D2200" s="2" t="inlineStr">
        <is>
          <t>대량보유</t>
        </is>
      </c>
      <c r="E2200" s="3" t="inlineStr">
        <is>
          <t>남윤희</t>
        </is>
      </c>
      <c r="F2200" s="3" t="inlineStr">
        <is>
          <t>특별관계자</t>
        </is>
      </c>
      <c r="G2200" s="3" t="inlineStr">
        <is>
          <t>신규보고(+)</t>
        </is>
      </c>
      <c r="H2200" s="15" t="n">
        <v>256840</v>
      </c>
      <c r="I2200" s="6" t="inlineStr"/>
      <c r="J2200" s="6" t="n">
        <v>256840</v>
      </c>
      <c r="K2200" s="16" t="n">
        <v>5.98</v>
      </c>
      <c r="L2200" s="2" t="inlineStr">
        <is>
          <t>20260601001955</t>
        </is>
      </c>
      <c r="M2200" s="8">
        <f>HYPERLINK("https://dart.fss.or.kr/dsaf001/main.do?rcpNo=20260601001955", "공시열람")</f>
        <v/>
      </c>
    </row>
    <row r="2201" ht="22" customHeight="1">
      <c r="A2201" s="2" t="inlineStr">
        <is>
          <t>2026-06-01</t>
        </is>
      </c>
      <c r="B2201" s="3" t="inlineStr">
        <is>
          <t>엔지켐생명과학</t>
        </is>
      </c>
      <c r="C2201" s="2" t="inlineStr">
        <is>
          <t>183490</t>
        </is>
      </c>
      <c r="D2201" s="2" t="inlineStr">
        <is>
          <t>대량보유</t>
        </is>
      </c>
      <c r="E2201" s="3" t="inlineStr">
        <is>
          <t>이세훈</t>
        </is>
      </c>
      <c r="F2201" s="3" t="inlineStr">
        <is>
          <t>특별관계자</t>
        </is>
      </c>
      <c r="G2201" s="3" t="inlineStr">
        <is>
          <t>신규보고(+)</t>
        </is>
      </c>
      <c r="H2201" s="15" t="n">
        <v>58000</v>
      </c>
      <c r="I2201" s="6" t="inlineStr"/>
      <c r="J2201" s="6" t="n">
        <v>58000</v>
      </c>
      <c r="K2201" s="16" t="n">
        <v>5.98</v>
      </c>
      <c r="L2201" s="2" t="inlineStr">
        <is>
          <t>20260601001955</t>
        </is>
      </c>
      <c r="M2201" s="8">
        <f>HYPERLINK("https://dart.fss.or.kr/dsaf001/main.do?rcpNo=20260601001955", "공시열람")</f>
        <v/>
      </c>
    </row>
    <row r="2202" ht="22" customHeight="1">
      <c r="A2202" s="2" t="inlineStr">
        <is>
          <t>2026-06-01</t>
        </is>
      </c>
      <c r="B2202" s="3" t="inlineStr">
        <is>
          <t>엔지켐생명과학</t>
        </is>
      </c>
      <c r="C2202" s="2" t="inlineStr">
        <is>
          <t>183490</t>
        </is>
      </c>
      <c r="D2202" s="2" t="inlineStr">
        <is>
          <t>대량보유</t>
        </is>
      </c>
      <c r="E2202" s="3" t="inlineStr">
        <is>
          <t>지상준</t>
        </is>
      </c>
      <c r="F2202" s="3" t="inlineStr">
        <is>
          <t>특별관계자</t>
        </is>
      </c>
      <c r="G2202" s="3" t="inlineStr">
        <is>
          <t>신규보고(+)</t>
        </is>
      </c>
      <c r="H2202" s="15" t="n">
        <v>30120</v>
      </c>
      <c r="I2202" s="6" t="inlineStr"/>
      <c r="J2202" s="6" t="n">
        <v>30120</v>
      </c>
      <c r="K2202" s="16" t="n">
        <v>5.98</v>
      </c>
      <c r="L2202" s="2" t="inlineStr">
        <is>
          <t>20260601001955</t>
        </is>
      </c>
      <c r="M2202" s="8">
        <f>HYPERLINK("https://dart.fss.or.kr/dsaf001/main.do?rcpNo=20260601001955", "공시열람")</f>
        <v/>
      </c>
    </row>
    <row r="2203" ht="22" customHeight="1">
      <c r="A2203" s="2" t="inlineStr">
        <is>
          <t>2026-06-01</t>
        </is>
      </c>
      <c r="B2203" s="3" t="inlineStr">
        <is>
          <t>엔지켐생명과학</t>
        </is>
      </c>
      <c r="C2203" s="2" t="inlineStr">
        <is>
          <t>183490</t>
        </is>
      </c>
      <c r="D2203" s="2" t="inlineStr">
        <is>
          <t>대량보유</t>
        </is>
      </c>
      <c r="E2203" s="3" t="inlineStr">
        <is>
          <t>홍양재</t>
        </is>
      </c>
      <c r="F2203" s="3" t="inlineStr">
        <is>
          <t>특별관계자</t>
        </is>
      </c>
      <c r="G2203" s="3" t="inlineStr">
        <is>
          <t>신규보고(+)</t>
        </is>
      </c>
      <c r="H2203" s="15" t="n">
        <v>3144</v>
      </c>
      <c r="I2203" s="6" t="inlineStr"/>
      <c r="J2203" s="6" t="n">
        <v>3144</v>
      </c>
      <c r="K2203" s="16" t="n">
        <v>5.98</v>
      </c>
      <c r="L2203" s="2" t="inlineStr">
        <is>
          <t>20260601001955</t>
        </is>
      </c>
      <c r="M2203" s="8">
        <f>HYPERLINK("https://dart.fss.or.kr/dsaf001/main.do?rcpNo=20260601001955", "공시열람")</f>
        <v/>
      </c>
    </row>
    <row r="2204" ht="22" customHeight="1">
      <c r="A2204" s="2" t="inlineStr">
        <is>
          <t>2026-06-01</t>
        </is>
      </c>
      <c r="B2204" s="3" t="inlineStr">
        <is>
          <t>엔지켐생명과학</t>
        </is>
      </c>
      <c r="C2204" s="2" t="inlineStr">
        <is>
          <t>183490</t>
        </is>
      </c>
      <c r="D2204" s="2" t="inlineStr">
        <is>
          <t>대량보유</t>
        </is>
      </c>
      <c r="E2204" s="3" t="inlineStr">
        <is>
          <t>송영현</t>
        </is>
      </c>
      <c r="F2204" s="3" t="inlineStr">
        <is>
          <t>특별관계자</t>
        </is>
      </c>
      <c r="G2204" s="3" t="inlineStr">
        <is>
          <t>신규보고(+)</t>
        </is>
      </c>
      <c r="H2204" s="15" t="n">
        <v>24810</v>
      </c>
      <c r="I2204" s="6" t="inlineStr"/>
      <c r="J2204" s="6" t="n">
        <v>24810</v>
      </c>
      <c r="K2204" s="16" t="n">
        <v>5.98</v>
      </c>
      <c r="L2204" s="2" t="inlineStr">
        <is>
          <t>20260601001955</t>
        </is>
      </c>
      <c r="M2204" s="8">
        <f>HYPERLINK("https://dart.fss.or.kr/dsaf001/main.do?rcpNo=20260601001955", "공시열람")</f>
        <v/>
      </c>
    </row>
    <row r="2205" ht="22" customHeight="1">
      <c r="A2205" s="2" t="inlineStr">
        <is>
          <t>2026-06-01</t>
        </is>
      </c>
      <c r="B2205" s="3" t="inlineStr">
        <is>
          <t>엔지켐생명과학</t>
        </is>
      </c>
      <c r="C2205" s="2" t="inlineStr">
        <is>
          <t>183490</t>
        </is>
      </c>
      <c r="D2205" s="2" t="inlineStr">
        <is>
          <t>대량보유</t>
        </is>
      </c>
      <c r="E2205" s="3" t="inlineStr">
        <is>
          <t>이아영</t>
        </is>
      </c>
      <c r="F2205" s="3" t="inlineStr">
        <is>
          <t>특별관계자</t>
        </is>
      </c>
      <c r="G2205" s="3" t="inlineStr">
        <is>
          <t>신규보고(+)</t>
        </is>
      </c>
      <c r="H2205" s="15" t="n">
        <v>4710</v>
      </c>
      <c r="I2205" s="6" t="inlineStr"/>
      <c r="J2205" s="6" t="n">
        <v>4710</v>
      </c>
      <c r="K2205" s="16" t="n">
        <v>5.98</v>
      </c>
      <c r="L2205" s="2" t="inlineStr">
        <is>
          <t>20260601001955</t>
        </is>
      </c>
      <c r="M2205" s="8">
        <f>HYPERLINK("https://dart.fss.or.kr/dsaf001/main.do?rcpNo=20260601001955", "공시열람")</f>
        <v/>
      </c>
    </row>
    <row r="2206" ht="22" customHeight="1">
      <c r="A2206" s="2" t="inlineStr">
        <is>
          <t>2026-06-01</t>
        </is>
      </c>
      <c r="B2206" s="3" t="inlineStr">
        <is>
          <t>엔지켐생명과학</t>
        </is>
      </c>
      <c r="C2206" s="2" t="inlineStr">
        <is>
          <t>183490</t>
        </is>
      </c>
      <c r="D2206" s="2" t="inlineStr">
        <is>
          <t>대량보유</t>
        </is>
      </c>
      <c r="E2206" s="3" t="inlineStr">
        <is>
          <t>이언호</t>
        </is>
      </c>
      <c r="F2206" s="3" t="inlineStr">
        <is>
          <t>특별관계자</t>
        </is>
      </c>
      <c r="G2206" s="3" t="inlineStr">
        <is>
          <t>신규보고(+)</t>
        </is>
      </c>
      <c r="H2206" s="15" t="n">
        <v>1100</v>
      </c>
      <c r="I2206" s="6" t="inlineStr"/>
      <c r="J2206" s="6" t="n">
        <v>1100</v>
      </c>
      <c r="K2206" s="16" t="n">
        <v>5.98</v>
      </c>
      <c r="L2206" s="2" t="inlineStr">
        <is>
          <t>20260601001955</t>
        </is>
      </c>
      <c r="M2206" s="8">
        <f>HYPERLINK("https://dart.fss.or.kr/dsaf001/main.do?rcpNo=20260601001955", "공시열람")</f>
        <v/>
      </c>
    </row>
    <row r="2207" ht="22" customHeight="1">
      <c r="A2207" s="2" t="inlineStr">
        <is>
          <t>2026-06-01</t>
        </is>
      </c>
      <c r="B2207" s="3" t="inlineStr">
        <is>
          <t>엔지켐생명과학</t>
        </is>
      </c>
      <c r="C2207" s="2" t="inlineStr">
        <is>
          <t>183490</t>
        </is>
      </c>
      <c r="D2207" s="2" t="inlineStr">
        <is>
          <t>대량보유</t>
        </is>
      </c>
      <c r="E2207" s="3" t="inlineStr">
        <is>
          <t>이미의</t>
        </is>
      </c>
      <c r="F2207" s="3" t="inlineStr">
        <is>
          <t>특별관계자</t>
        </is>
      </c>
      <c r="G2207" s="3" t="inlineStr">
        <is>
          <t>신규보고(+)</t>
        </is>
      </c>
      <c r="H2207" s="15" t="n">
        <v>14700</v>
      </c>
      <c r="I2207" s="6" t="inlineStr"/>
      <c r="J2207" s="6" t="n">
        <v>14700</v>
      </c>
      <c r="K2207" s="16" t="n">
        <v>5.98</v>
      </c>
      <c r="L2207" s="2" t="inlineStr">
        <is>
          <t>20260601001955</t>
        </is>
      </c>
      <c r="M2207" s="8">
        <f>HYPERLINK("https://dart.fss.or.kr/dsaf001/main.do?rcpNo=20260601001955", "공시열람")</f>
        <v/>
      </c>
    </row>
    <row r="2208" ht="22" customHeight="1">
      <c r="A2208" s="2" t="inlineStr">
        <is>
          <t>2026-06-01</t>
        </is>
      </c>
      <c r="B2208" s="3" t="inlineStr">
        <is>
          <t>엔지켐생명과학</t>
        </is>
      </c>
      <c r="C2208" s="2" t="inlineStr">
        <is>
          <t>183490</t>
        </is>
      </c>
      <c r="D2208" s="2" t="inlineStr">
        <is>
          <t>대량보유</t>
        </is>
      </c>
      <c r="E2208" s="3" t="inlineStr">
        <is>
          <t>유흥주</t>
        </is>
      </c>
      <c r="F2208" s="3" t="inlineStr">
        <is>
          <t>특별관계자</t>
        </is>
      </c>
      <c r="G2208" s="3" t="inlineStr">
        <is>
          <t>신규보고(+)</t>
        </is>
      </c>
      <c r="H2208" s="15" t="n">
        <v>62001</v>
      </c>
      <c r="I2208" s="6" t="inlineStr"/>
      <c r="J2208" s="6" t="n">
        <v>62001</v>
      </c>
      <c r="K2208" s="16" t="n">
        <v>5.98</v>
      </c>
      <c r="L2208" s="2" t="inlineStr">
        <is>
          <t>20260601001955</t>
        </is>
      </c>
      <c r="M2208" s="8">
        <f>HYPERLINK("https://dart.fss.or.kr/dsaf001/main.do?rcpNo=20260601001955", "공시열람")</f>
        <v/>
      </c>
    </row>
    <row r="2209" ht="22" customHeight="1">
      <c r="A2209" s="2" t="inlineStr">
        <is>
          <t>2026-06-01</t>
        </is>
      </c>
      <c r="B2209" s="3" t="inlineStr">
        <is>
          <t>엔지켐생명과학</t>
        </is>
      </c>
      <c r="C2209" s="2" t="inlineStr">
        <is>
          <t>183490</t>
        </is>
      </c>
      <c r="D2209" s="2" t="inlineStr">
        <is>
          <t>대량보유</t>
        </is>
      </c>
      <c r="E2209" s="3" t="inlineStr">
        <is>
          <t>박재은</t>
        </is>
      </c>
      <c r="F2209" s="3" t="inlineStr">
        <is>
          <t>특별관계자</t>
        </is>
      </c>
      <c r="G2209" s="3" t="inlineStr">
        <is>
          <t>신규보고(+)</t>
        </is>
      </c>
      <c r="H2209" s="15" t="n">
        <v>33329</v>
      </c>
      <c r="I2209" s="6" t="inlineStr"/>
      <c r="J2209" s="6" t="n">
        <v>33329</v>
      </c>
      <c r="K2209" s="16" t="n">
        <v>5.98</v>
      </c>
      <c r="L2209" s="2" t="inlineStr">
        <is>
          <t>20260601001955</t>
        </is>
      </c>
      <c r="M2209" s="8">
        <f>HYPERLINK("https://dart.fss.or.kr/dsaf001/main.do?rcpNo=20260601001955", "공시열람")</f>
        <v/>
      </c>
    </row>
    <row r="2210" ht="22" customHeight="1">
      <c r="A2210" s="2" t="inlineStr">
        <is>
          <t>2026-06-01</t>
        </is>
      </c>
      <c r="B2210" s="3" t="inlineStr">
        <is>
          <t>엔지켐생명과학</t>
        </is>
      </c>
      <c r="C2210" s="2" t="inlineStr">
        <is>
          <t>183490</t>
        </is>
      </c>
      <c r="D2210" s="2" t="inlineStr">
        <is>
          <t>대량보유</t>
        </is>
      </c>
      <c r="E2210" s="3" t="inlineStr">
        <is>
          <t>유홍선</t>
        </is>
      </c>
      <c r="F2210" s="3" t="inlineStr">
        <is>
          <t>특별관계자</t>
        </is>
      </c>
      <c r="G2210" s="3" t="inlineStr">
        <is>
          <t>신규보고(+)</t>
        </is>
      </c>
      <c r="H2210" s="15" t="n">
        <v>1068</v>
      </c>
      <c r="I2210" s="6" t="inlineStr"/>
      <c r="J2210" s="6" t="n">
        <v>1068</v>
      </c>
      <c r="K2210" s="16" t="n">
        <v>5.98</v>
      </c>
      <c r="L2210" s="2" t="inlineStr">
        <is>
          <t>20260601001955</t>
        </is>
      </c>
      <c r="M2210" s="8">
        <f>HYPERLINK("https://dart.fss.or.kr/dsaf001/main.do?rcpNo=20260601001955", "공시열람")</f>
        <v/>
      </c>
    </row>
    <row r="2211" ht="22" customHeight="1">
      <c r="A2211" s="2" t="inlineStr">
        <is>
          <t>2026-06-01</t>
        </is>
      </c>
      <c r="B2211" s="3" t="inlineStr">
        <is>
          <t>엔지켐생명과학</t>
        </is>
      </c>
      <c r="C2211" s="2" t="inlineStr">
        <is>
          <t>183490</t>
        </is>
      </c>
      <c r="D2211" s="2" t="inlineStr">
        <is>
          <t>대량보유</t>
        </is>
      </c>
      <c r="E2211" s="3" t="inlineStr">
        <is>
          <t>이재우</t>
        </is>
      </c>
      <c r="F2211" s="3" t="inlineStr">
        <is>
          <t>특별관계자</t>
        </is>
      </c>
      <c r="G2211" s="3" t="inlineStr">
        <is>
          <t>신규보고(+)</t>
        </is>
      </c>
      <c r="H2211" s="15" t="n">
        <v>5021</v>
      </c>
      <c r="I2211" s="6" t="inlineStr"/>
      <c r="J2211" s="6" t="n">
        <v>5021</v>
      </c>
      <c r="K2211" s="16" t="n">
        <v>5.98</v>
      </c>
      <c r="L2211" s="2" t="inlineStr">
        <is>
          <t>20260601001955</t>
        </is>
      </c>
      <c r="M2211" s="8">
        <f>HYPERLINK("https://dart.fss.or.kr/dsaf001/main.do?rcpNo=20260601001955", "공시열람")</f>
        <v/>
      </c>
    </row>
    <row r="2212" ht="22" customHeight="1">
      <c r="A2212" s="2" t="inlineStr">
        <is>
          <t>2026-06-01</t>
        </is>
      </c>
      <c r="B2212" s="3" t="inlineStr">
        <is>
          <t>엔지켐생명과학</t>
        </is>
      </c>
      <c r="C2212" s="2" t="inlineStr">
        <is>
          <t>183490</t>
        </is>
      </c>
      <c r="D2212" s="2" t="inlineStr">
        <is>
          <t>대량보유</t>
        </is>
      </c>
      <c r="E2212" s="3" t="inlineStr">
        <is>
          <t>남언식</t>
        </is>
      </c>
      <c r="F2212" s="3" t="inlineStr">
        <is>
          <t>특별관계자</t>
        </is>
      </c>
      <c r="G2212" s="3" t="inlineStr">
        <is>
          <t>신규보고(+)</t>
        </is>
      </c>
      <c r="H2212" s="15" t="n">
        <v>7913</v>
      </c>
      <c r="I2212" s="6" t="inlineStr"/>
      <c r="J2212" s="6" t="n">
        <v>7913</v>
      </c>
      <c r="K2212" s="16" t="n">
        <v>5.98</v>
      </c>
      <c r="L2212" s="2" t="inlineStr">
        <is>
          <t>20260601001955</t>
        </is>
      </c>
      <c r="M2212" s="8">
        <f>HYPERLINK("https://dart.fss.or.kr/dsaf001/main.do?rcpNo=20260601001955", "공시열람")</f>
        <v/>
      </c>
    </row>
    <row r="2213" ht="22" customHeight="1">
      <c r="A2213" s="2" t="inlineStr">
        <is>
          <t>2026-06-01</t>
        </is>
      </c>
      <c r="B2213" s="3" t="inlineStr">
        <is>
          <t>엔지켐생명과학</t>
        </is>
      </c>
      <c r="C2213" s="2" t="inlineStr">
        <is>
          <t>183490</t>
        </is>
      </c>
      <c r="D2213" s="2" t="inlineStr">
        <is>
          <t>대량보유</t>
        </is>
      </c>
      <c r="E2213" s="3" t="inlineStr">
        <is>
          <t>김재현</t>
        </is>
      </c>
      <c r="F2213" s="3" t="inlineStr">
        <is>
          <t>특별관계자</t>
        </is>
      </c>
      <c r="G2213" s="3" t="inlineStr">
        <is>
          <t>신규보고(+)</t>
        </is>
      </c>
      <c r="H2213" s="15" t="n">
        <v>2000</v>
      </c>
      <c r="I2213" s="6" t="inlineStr"/>
      <c r="J2213" s="6" t="n">
        <v>2000</v>
      </c>
      <c r="K2213" s="16" t="n">
        <v>5.98</v>
      </c>
      <c r="L2213" s="2" t="inlineStr">
        <is>
          <t>20260601001955</t>
        </is>
      </c>
      <c r="M2213" s="8">
        <f>HYPERLINK("https://dart.fss.or.kr/dsaf001/main.do?rcpNo=20260601001955", "공시열람")</f>
        <v/>
      </c>
    </row>
    <row r="2214" ht="22" customHeight="1">
      <c r="A2214" s="2" t="inlineStr">
        <is>
          <t>2026-06-01</t>
        </is>
      </c>
      <c r="B2214" s="3" t="inlineStr">
        <is>
          <t>엔지켐생명과학</t>
        </is>
      </c>
      <c r="C2214" s="2" t="inlineStr">
        <is>
          <t>183490</t>
        </is>
      </c>
      <c r="D2214" s="2" t="inlineStr">
        <is>
          <t>대량보유</t>
        </is>
      </c>
      <c r="E2214" s="3" t="inlineStr">
        <is>
          <t>윤재호</t>
        </is>
      </c>
      <c r="F2214" s="3" t="inlineStr">
        <is>
          <t>특별관계자</t>
        </is>
      </c>
      <c r="G2214" s="3" t="inlineStr">
        <is>
          <t>신규보고(+)</t>
        </is>
      </c>
      <c r="H2214" s="15" t="n">
        <v>16352</v>
      </c>
      <c r="I2214" s="6" t="inlineStr"/>
      <c r="J2214" s="6" t="n">
        <v>16352</v>
      </c>
      <c r="K2214" s="16" t="n">
        <v>5.98</v>
      </c>
      <c r="L2214" s="2" t="inlineStr">
        <is>
          <t>20260601001955</t>
        </is>
      </c>
      <c r="M2214" s="8">
        <f>HYPERLINK("https://dart.fss.or.kr/dsaf001/main.do?rcpNo=20260601001955", "공시열람")</f>
        <v/>
      </c>
    </row>
    <row r="2215" ht="22" customHeight="1">
      <c r="A2215" s="2" t="inlineStr">
        <is>
          <t>2026-06-01</t>
        </is>
      </c>
      <c r="B2215" s="3" t="inlineStr">
        <is>
          <t>엔지켐생명과학</t>
        </is>
      </c>
      <c r="C2215" s="2" t="inlineStr">
        <is>
          <t>183490</t>
        </is>
      </c>
      <c r="D2215" s="2" t="inlineStr">
        <is>
          <t>대량보유</t>
        </is>
      </c>
      <c r="E2215" s="3" t="inlineStr">
        <is>
          <t>박현준</t>
        </is>
      </c>
      <c r="F2215" s="3" t="inlineStr">
        <is>
          <t>특별관계자</t>
        </is>
      </c>
      <c r="G2215" s="3" t="inlineStr">
        <is>
          <t>신규보고(+)</t>
        </is>
      </c>
      <c r="H2215" s="15" t="n">
        <v>19981</v>
      </c>
      <c r="I2215" s="6" t="inlineStr"/>
      <c r="J2215" s="6" t="n">
        <v>19981</v>
      </c>
      <c r="K2215" s="16" t="n">
        <v>5.98</v>
      </c>
      <c r="L2215" s="2" t="inlineStr">
        <is>
          <t>20260601001955</t>
        </is>
      </c>
      <c r="M2215" s="8">
        <f>HYPERLINK("https://dart.fss.or.kr/dsaf001/main.do?rcpNo=20260601001955", "공시열람")</f>
        <v/>
      </c>
    </row>
    <row r="2216" ht="22" customHeight="1">
      <c r="A2216" s="2" t="inlineStr">
        <is>
          <t>2026-06-01</t>
        </is>
      </c>
      <c r="B2216" s="3" t="inlineStr">
        <is>
          <t>엔지켐생명과학</t>
        </is>
      </c>
      <c r="C2216" s="2" t="inlineStr">
        <is>
          <t>183490</t>
        </is>
      </c>
      <c r="D2216" s="2" t="inlineStr">
        <is>
          <t>대량보유</t>
        </is>
      </c>
      <c r="E2216" s="3" t="inlineStr">
        <is>
          <t>최환섭</t>
        </is>
      </c>
      <c r="F2216" s="3" t="inlineStr">
        <is>
          <t>특별관계자</t>
        </is>
      </c>
      <c r="G2216" s="3" t="inlineStr">
        <is>
          <t>신규보고(+)</t>
        </is>
      </c>
      <c r="H2216" s="15" t="n">
        <v>16212</v>
      </c>
      <c r="I2216" s="6" t="inlineStr"/>
      <c r="J2216" s="6" t="n">
        <v>16212</v>
      </c>
      <c r="K2216" s="16" t="n">
        <v>5.98</v>
      </c>
      <c r="L2216" s="2" t="inlineStr">
        <is>
          <t>20260601001955</t>
        </is>
      </c>
      <c r="M2216" s="8">
        <f>HYPERLINK("https://dart.fss.or.kr/dsaf001/main.do?rcpNo=20260601001955", "공시열람")</f>
        <v/>
      </c>
    </row>
    <row r="2217" ht="22" customHeight="1">
      <c r="A2217" s="2" t="inlineStr">
        <is>
          <t>2026-06-01</t>
        </is>
      </c>
      <c r="B2217" s="3" t="inlineStr">
        <is>
          <t>엔지켐생명과학</t>
        </is>
      </c>
      <c r="C2217" s="2" t="inlineStr">
        <is>
          <t>183490</t>
        </is>
      </c>
      <c r="D2217" s="2" t="inlineStr">
        <is>
          <t>대량보유</t>
        </is>
      </c>
      <c r="E2217" s="3" t="inlineStr">
        <is>
          <t>이미림</t>
        </is>
      </c>
      <c r="F2217" s="3" t="inlineStr">
        <is>
          <t>특별관계자</t>
        </is>
      </c>
      <c r="G2217" s="3" t="inlineStr">
        <is>
          <t>신규보고(+)</t>
        </is>
      </c>
      <c r="H2217" s="15" t="n">
        <v>7900</v>
      </c>
      <c r="I2217" s="6" t="inlineStr"/>
      <c r="J2217" s="6" t="n">
        <v>7900</v>
      </c>
      <c r="K2217" s="16" t="n">
        <v>5.98</v>
      </c>
      <c r="L2217" s="2" t="inlineStr">
        <is>
          <t>20260601001955</t>
        </is>
      </c>
      <c r="M2217" s="8">
        <f>HYPERLINK("https://dart.fss.or.kr/dsaf001/main.do?rcpNo=20260601001955", "공시열람")</f>
        <v/>
      </c>
    </row>
    <row r="2218" ht="22" customHeight="1">
      <c r="A2218" s="2" t="inlineStr">
        <is>
          <t>2026-06-01</t>
        </is>
      </c>
      <c r="B2218" s="3" t="inlineStr">
        <is>
          <t>엔지켐생명과학</t>
        </is>
      </c>
      <c r="C2218" s="2" t="inlineStr">
        <is>
          <t>183490</t>
        </is>
      </c>
      <c r="D2218" s="2" t="inlineStr">
        <is>
          <t>대량보유</t>
        </is>
      </c>
      <c r="E2218" s="3" t="inlineStr">
        <is>
          <t>채병오</t>
        </is>
      </c>
      <c r="F2218" s="3" t="inlineStr">
        <is>
          <t>특별관계자</t>
        </is>
      </c>
      <c r="G2218" s="3" t="inlineStr">
        <is>
          <t>신규보고(+)</t>
        </is>
      </c>
      <c r="H2218" s="15" t="n">
        <v>93500</v>
      </c>
      <c r="I2218" s="6" t="inlineStr"/>
      <c r="J2218" s="6" t="n">
        <v>93500</v>
      </c>
      <c r="K2218" s="16" t="n">
        <v>5.98</v>
      </c>
      <c r="L2218" s="2" t="inlineStr">
        <is>
          <t>20260601001955</t>
        </is>
      </c>
      <c r="M2218" s="8">
        <f>HYPERLINK("https://dart.fss.or.kr/dsaf001/main.do?rcpNo=20260601001955", "공시열람")</f>
        <v/>
      </c>
    </row>
    <row r="2219" ht="22" customHeight="1">
      <c r="A2219" s="2" t="inlineStr">
        <is>
          <t>2026-06-01</t>
        </is>
      </c>
      <c r="B2219" s="3" t="inlineStr">
        <is>
          <t>엔지켐생명과학</t>
        </is>
      </c>
      <c r="C2219" s="2" t="inlineStr">
        <is>
          <t>183490</t>
        </is>
      </c>
      <c r="D2219" s="2" t="inlineStr">
        <is>
          <t>대량보유</t>
        </is>
      </c>
      <c r="E2219" s="3" t="inlineStr">
        <is>
          <t>이현휘</t>
        </is>
      </c>
      <c r="F2219" s="3" t="inlineStr">
        <is>
          <t>특별관계자</t>
        </is>
      </c>
      <c r="G2219" s="3" t="inlineStr">
        <is>
          <t>신규보고(+)</t>
        </is>
      </c>
      <c r="H2219" s="15" t="n">
        <v>34714</v>
      </c>
      <c r="I2219" s="6" t="inlineStr"/>
      <c r="J2219" s="6" t="n">
        <v>34714</v>
      </c>
      <c r="K2219" s="16" t="n">
        <v>5.98</v>
      </c>
      <c r="L2219" s="2" t="inlineStr">
        <is>
          <t>20260601001955</t>
        </is>
      </c>
      <c r="M2219" s="8">
        <f>HYPERLINK("https://dart.fss.or.kr/dsaf001/main.do?rcpNo=20260601001955", "공시열람")</f>
        <v/>
      </c>
    </row>
    <row r="2220" ht="22" customHeight="1">
      <c r="A2220" s="2" t="inlineStr">
        <is>
          <t>2026-06-01</t>
        </is>
      </c>
      <c r="B2220" s="3" t="inlineStr">
        <is>
          <t>엔지켐생명과학</t>
        </is>
      </c>
      <c r="C2220" s="2" t="inlineStr">
        <is>
          <t>183490</t>
        </is>
      </c>
      <c r="D2220" s="2" t="inlineStr">
        <is>
          <t>대량보유</t>
        </is>
      </c>
      <c r="E2220" s="3" t="inlineStr">
        <is>
          <t>김지연</t>
        </is>
      </c>
      <c r="F2220" s="3" t="inlineStr">
        <is>
          <t>특별관계자</t>
        </is>
      </c>
      <c r="G2220" s="3" t="inlineStr">
        <is>
          <t>신규보고(+)</t>
        </is>
      </c>
      <c r="H2220" s="15" t="n">
        <v>672</v>
      </c>
      <c r="I2220" s="6" t="inlineStr"/>
      <c r="J2220" s="6" t="n">
        <v>672</v>
      </c>
      <c r="K2220" s="16" t="n">
        <v>5.98</v>
      </c>
      <c r="L2220" s="2" t="inlineStr">
        <is>
          <t>20260601001955</t>
        </is>
      </c>
      <c r="M2220" s="8">
        <f>HYPERLINK("https://dart.fss.or.kr/dsaf001/main.do?rcpNo=20260601001955", "공시열람")</f>
        <v/>
      </c>
    </row>
    <row r="2221" ht="22" customHeight="1">
      <c r="A2221" s="2" t="inlineStr">
        <is>
          <t>2026-06-01</t>
        </is>
      </c>
      <c r="B2221" s="3" t="inlineStr">
        <is>
          <t>엔지켐생명과학</t>
        </is>
      </c>
      <c r="C2221" s="2" t="inlineStr">
        <is>
          <t>183490</t>
        </is>
      </c>
      <c r="D2221" s="2" t="inlineStr">
        <is>
          <t>대량보유</t>
        </is>
      </c>
      <c r="E2221" s="3" t="inlineStr">
        <is>
          <t>이용실</t>
        </is>
      </c>
      <c r="F2221" s="3" t="inlineStr">
        <is>
          <t>특별관계자</t>
        </is>
      </c>
      <c r="G2221" s="3" t="inlineStr">
        <is>
          <t>신규보고(+)</t>
        </is>
      </c>
      <c r="H2221" s="15" t="n">
        <v>11071</v>
      </c>
      <c r="I2221" s="6" t="inlineStr"/>
      <c r="J2221" s="6" t="n">
        <v>11071</v>
      </c>
      <c r="K2221" s="16" t="n">
        <v>5.98</v>
      </c>
      <c r="L2221" s="2" t="inlineStr">
        <is>
          <t>20260601001955</t>
        </is>
      </c>
      <c r="M2221" s="8">
        <f>HYPERLINK("https://dart.fss.or.kr/dsaf001/main.do?rcpNo=20260601001955", "공시열람")</f>
        <v/>
      </c>
    </row>
    <row r="2222" ht="22" customHeight="1">
      <c r="A2222" s="2" t="inlineStr">
        <is>
          <t>2026-06-01</t>
        </is>
      </c>
      <c r="B2222" s="3" t="inlineStr">
        <is>
          <t>엔지켐생명과학</t>
        </is>
      </c>
      <c r="C2222" s="2" t="inlineStr">
        <is>
          <t>183490</t>
        </is>
      </c>
      <c r="D2222" s="2" t="inlineStr">
        <is>
          <t>대량보유</t>
        </is>
      </c>
      <c r="E2222" s="3" t="inlineStr">
        <is>
          <t>이인의</t>
        </is>
      </c>
      <c r="F2222" s="3" t="inlineStr">
        <is>
          <t>특별관계자</t>
        </is>
      </c>
      <c r="G2222" s="3" t="inlineStr">
        <is>
          <t>신규보고(+)</t>
        </is>
      </c>
      <c r="H2222" s="15" t="n">
        <v>11218</v>
      </c>
      <c r="I2222" s="6" t="inlineStr"/>
      <c r="J2222" s="6" t="n">
        <v>11218</v>
      </c>
      <c r="K2222" s="16" t="n">
        <v>5.98</v>
      </c>
      <c r="L2222" s="2" t="inlineStr">
        <is>
          <t>20260601001955</t>
        </is>
      </c>
      <c r="M2222" s="8">
        <f>HYPERLINK("https://dart.fss.or.kr/dsaf001/main.do?rcpNo=20260601001955", "공시열람")</f>
        <v/>
      </c>
    </row>
    <row r="2223" ht="22" customHeight="1">
      <c r="A2223" s="2" t="inlineStr">
        <is>
          <t>2026-06-01</t>
        </is>
      </c>
      <c r="B2223" s="3" t="inlineStr">
        <is>
          <t>엔지켐생명과학</t>
        </is>
      </c>
      <c r="C2223" s="2" t="inlineStr">
        <is>
          <t>183490</t>
        </is>
      </c>
      <c r="D2223" s="2" t="inlineStr">
        <is>
          <t>대량보유</t>
        </is>
      </c>
      <c r="E2223" s="3" t="inlineStr">
        <is>
          <t>이덕연</t>
        </is>
      </c>
      <c r="F2223" s="3" t="inlineStr">
        <is>
          <t>특별관계자</t>
        </is>
      </c>
      <c r="G2223" s="3" t="inlineStr">
        <is>
          <t>신규보고(+)</t>
        </is>
      </c>
      <c r="H2223" s="15" t="n">
        <v>300</v>
      </c>
      <c r="I2223" s="6" t="inlineStr"/>
      <c r="J2223" s="6" t="n">
        <v>300</v>
      </c>
      <c r="K2223" s="16" t="n">
        <v>5.98</v>
      </c>
      <c r="L2223" s="2" t="inlineStr">
        <is>
          <t>20260601001955</t>
        </is>
      </c>
      <c r="M2223" s="8">
        <f>HYPERLINK("https://dart.fss.or.kr/dsaf001/main.do?rcpNo=20260601001955", "공시열람")</f>
        <v/>
      </c>
    </row>
    <row r="2224" ht="22" customHeight="1">
      <c r="A2224" s="2" t="inlineStr">
        <is>
          <t>2026-06-01</t>
        </is>
      </c>
      <c r="B2224" s="3" t="inlineStr">
        <is>
          <t>엔지켐생명과학</t>
        </is>
      </c>
      <c r="C2224" s="2" t="inlineStr">
        <is>
          <t>183490</t>
        </is>
      </c>
      <c r="D2224" s="2" t="inlineStr">
        <is>
          <t>대량보유</t>
        </is>
      </c>
      <c r="E2224" s="3" t="inlineStr">
        <is>
          <t>목진석</t>
        </is>
      </c>
      <c r="F2224" s="3" t="inlineStr">
        <is>
          <t>특별관계자</t>
        </is>
      </c>
      <c r="G2224" s="3" t="inlineStr">
        <is>
          <t>신규보고(+)</t>
        </is>
      </c>
      <c r="H2224" s="15" t="n">
        <v>40000</v>
      </c>
      <c r="I2224" s="6" t="inlineStr"/>
      <c r="J2224" s="6" t="n">
        <v>40000</v>
      </c>
      <c r="K2224" s="16" t="n">
        <v>5.98</v>
      </c>
      <c r="L2224" s="2" t="inlineStr">
        <is>
          <t>20260601001955</t>
        </is>
      </c>
      <c r="M2224" s="8">
        <f>HYPERLINK("https://dart.fss.or.kr/dsaf001/main.do?rcpNo=20260601001955", "공시열람")</f>
        <v/>
      </c>
    </row>
    <row r="2225" ht="22" customHeight="1">
      <c r="A2225" s="2" t="inlineStr">
        <is>
          <t>2026-06-01</t>
        </is>
      </c>
      <c r="B2225" s="3" t="inlineStr">
        <is>
          <t>엔지켐생명과학</t>
        </is>
      </c>
      <c r="C2225" s="2" t="inlineStr">
        <is>
          <t>183490</t>
        </is>
      </c>
      <c r="D2225" s="2" t="inlineStr">
        <is>
          <t>대량보유</t>
        </is>
      </c>
      <c r="E2225" s="3" t="inlineStr">
        <is>
          <t>임선아</t>
        </is>
      </c>
      <c r="F2225" s="3" t="inlineStr">
        <is>
          <t>특별관계자</t>
        </is>
      </c>
      <c r="G2225" s="3" t="inlineStr">
        <is>
          <t>신규보고(+)</t>
        </is>
      </c>
      <c r="H2225" s="15" t="n">
        <v>12760</v>
      </c>
      <c r="I2225" s="6" t="inlineStr"/>
      <c r="J2225" s="6" t="n">
        <v>12760</v>
      </c>
      <c r="K2225" s="16" t="n">
        <v>5.98</v>
      </c>
      <c r="L2225" s="2" t="inlineStr">
        <is>
          <t>20260601001955</t>
        </is>
      </c>
      <c r="M2225" s="8">
        <f>HYPERLINK("https://dart.fss.or.kr/dsaf001/main.do?rcpNo=20260601001955", "공시열람")</f>
        <v/>
      </c>
    </row>
    <row r="2226" ht="22" customHeight="1">
      <c r="A2226" s="2" t="inlineStr">
        <is>
          <t>2026-06-01</t>
        </is>
      </c>
      <c r="B2226" s="3" t="inlineStr">
        <is>
          <t>엔지켐생명과학</t>
        </is>
      </c>
      <c r="C2226" s="2" t="inlineStr">
        <is>
          <t>183490</t>
        </is>
      </c>
      <c r="D2226" s="2" t="inlineStr">
        <is>
          <t>대량보유</t>
        </is>
      </c>
      <c r="E2226" s="3" t="inlineStr">
        <is>
          <t>오지연</t>
        </is>
      </c>
      <c r="F2226" s="3" t="inlineStr">
        <is>
          <t>특별관계자</t>
        </is>
      </c>
      <c r="G2226" s="3" t="inlineStr">
        <is>
          <t>신규보고(+)</t>
        </is>
      </c>
      <c r="H2226" s="15" t="n">
        <v>3267</v>
      </c>
      <c r="I2226" s="6" t="inlineStr"/>
      <c r="J2226" s="6" t="n">
        <v>3267</v>
      </c>
      <c r="K2226" s="16" t="n">
        <v>5.98</v>
      </c>
      <c r="L2226" s="2" t="inlineStr">
        <is>
          <t>20260601001955</t>
        </is>
      </c>
      <c r="M2226" s="8">
        <f>HYPERLINK("https://dart.fss.or.kr/dsaf001/main.do?rcpNo=20260601001955", "공시열람")</f>
        <v/>
      </c>
    </row>
    <row r="2227" ht="22" customHeight="1">
      <c r="A2227" s="2" t="inlineStr">
        <is>
          <t>2026-06-01</t>
        </is>
      </c>
      <c r="B2227" s="3" t="inlineStr">
        <is>
          <t>엔지켐생명과학</t>
        </is>
      </c>
      <c r="C2227" s="2" t="inlineStr">
        <is>
          <t>183490</t>
        </is>
      </c>
      <c r="D2227" s="2" t="inlineStr">
        <is>
          <t>대량보유</t>
        </is>
      </c>
      <c r="E2227" s="3" t="inlineStr">
        <is>
          <t>김순옥</t>
        </is>
      </c>
      <c r="F2227" s="3" t="inlineStr">
        <is>
          <t>특별관계자</t>
        </is>
      </c>
      <c r="G2227" s="3" t="inlineStr">
        <is>
          <t>신규보고(+)</t>
        </is>
      </c>
      <c r="H2227" s="15" t="n">
        <v>68</v>
      </c>
      <c r="I2227" s="6" t="inlineStr"/>
      <c r="J2227" s="6" t="n">
        <v>68</v>
      </c>
      <c r="K2227" s="16" t="n">
        <v>5.98</v>
      </c>
      <c r="L2227" s="2" t="inlineStr">
        <is>
          <t>20260601001955</t>
        </is>
      </c>
      <c r="M2227" s="8">
        <f>HYPERLINK("https://dart.fss.or.kr/dsaf001/main.do?rcpNo=20260601001955", "공시열람")</f>
        <v/>
      </c>
    </row>
    <row r="2228" ht="22" customHeight="1">
      <c r="A2228" s="2" t="inlineStr">
        <is>
          <t>2026-06-01</t>
        </is>
      </c>
      <c r="B2228" s="3" t="inlineStr">
        <is>
          <t>엔지켐생명과학</t>
        </is>
      </c>
      <c r="C2228" s="2" t="inlineStr">
        <is>
          <t>183490</t>
        </is>
      </c>
      <c r="D2228" s="2" t="inlineStr">
        <is>
          <t>대량보유</t>
        </is>
      </c>
      <c r="E2228" s="3" t="inlineStr">
        <is>
          <t>김희식</t>
        </is>
      </c>
      <c r="F2228" s="3" t="inlineStr">
        <is>
          <t>특별관계자</t>
        </is>
      </c>
      <c r="G2228" s="3" t="inlineStr">
        <is>
          <t>신규보고(+)</t>
        </is>
      </c>
      <c r="H2228" s="15" t="n">
        <v>7900</v>
      </c>
      <c r="I2228" s="6" t="inlineStr"/>
      <c r="J2228" s="6" t="n">
        <v>7900</v>
      </c>
      <c r="K2228" s="16" t="n">
        <v>5.98</v>
      </c>
      <c r="L2228" s="2" t="inlineStr">
        <is>
          <t>20260601001955</t>
        </is>
      </c>
      <c r="M2228" s="8">
        <f>HYPERLINK("https://dart.fss.or.kr/dsaf001/main.do?rcpNo=20260601001955", "공시열람")</f>
        <v/>
      </c>
    </row>
    <row r="2229" ht="22" customHeight="1">
      <c r="A2229" s="2" t="inlineStr">
        <is>
          <t>2026-06-01</t>
        </is>
      </c>
      <c r="B2229" s="3" t="inlineStr">
        <is>
          <t>엔지켐생명과학</t>
        </is>
      </c>
      <c r="C2229" s="2" t="inlineStr">
        <is>
          <t>183490</t>
        </is>
      </c>
      <c r="D2229" s="2" t="inlineStr">
        <is>
          <t>대량보유</t>
        </is>
      </c>
      <c r="E2229" s="3" t="inlineStr">
        <is>
          <t>민병훈</t>
        </is>
      </c>
      <c r="F2229" s="3" t="inlineStr">
        <is>
          <t>특별관계자</t>
        </is>
      </c>
      <c r="G2229" s="3" t="inlineStr">
        <is>
          <t>신규보고(+)</t>
        </is>
      </c>
      <c r="H2229" s="15" t="n">
        <v>9358</v>
      </c>
      <c r="I2229" s="6" t="inlineStr"/>
      <c r="J2229" s="6" t="n">
        <v>9358</v>
      </c>
      <c r="K2229" s="16" t="n">
        <v>5.98</v>
      </c>
      <c r="L2229" s="2" t="inlineStr">
        <is>
          <t>20260601001955</t>
        </is>
      </c>
      <c r="M2229" s="8">
        <f>HYPERLINK("https://dart.fss.or.kr/dsaf001/main.do?rcpNo=20260601001955", "공시열람")</f>
        <v/>
      </c>
    </row>
    <row r="2230" ht="22" customHeight="1">
      <c r="A2230" s="2" t="inlineStr">
        <is>
          <t>2026-06-01</t>
        </is>
      </c>
      <c r="B2230" s="3" t="inlineStr">
        <is>
          <t>엔지켐생명과학</t>
        </is>
      </c>
      <c r="C2230" s="2" t="inlineStr">
        <is>
          <t>183490</t>
        </is>
      </c>
      <c r="D2230" s="2" t="inlineStr">
        <is>
          <t>대량보유</t>
        </is>
      </c>
      <c r="E2230" s="3" t="inlineStr">
        <is>
          <t>이순이</t>
        </is>
      </c>
      <c r="F2230" s="3" t="inlineStr">
        <is>
          <t>특별관계자</t>
        </is>
      </c>
      <c r="G2230" s="3" t="inlineStr">
        <is>
          <t>신규보고(+)</t>
        </is>
      </c>
      <c r="H2230" s="15" t="n">
        <v>27195</v>
      </c>
      <c r="I2230" s="6" t="inlineStr"/>
      <c r="J2230" s="6" t="n">
        <v>27195</v>
      </c>
      <c r="K2230" s="16" t="n">
        <v>5.98</v>
      </c>
      <c r="L2230" s="2" t="inlineStr">
        <is>
          <t>20260601001955</t>
        </is>
      </c>
      <c r="M2230" s="8">
        <f>HYPERLINK("https://dart.fss.or.kr/dsaf001/main.do?rcpNo=20260601001955", "공시열람")</f>
        <v/>
      </c>
    </row>
    <row r="2231" ht="22" customHeight="1">
      <c r="A2231" s="2" t="inlineStr">
        <is>
          <t>2026-06-01</t>
        </is>
      </c>
      <c r="B2231" s="3" t="inlineStr">
        <is>
          <t>엔지켐생명과학</t>
        </is>
      </c>
      <c r="C2231" s="2" t="inlineStr">
        <is>
          <t>183490</t>
        </is>
      </c>
      <c r="D2231" s="2" t="inlineStr">
        <is>
          <t>대량보유</t>
        </is>
      </c>
      <c r="E2231" s="3" t="inlineStr">
        <is>
          <t>강병조</t>
        </is>
      </c>
      <c r="F2231" s="3" t="inlineStr">
        <is>
          <t>특별관계자</t>
        </is>
      </c>
      <c r="G2231" s="3" t="inlineStr">
        <is>
          <t>신규보고(+)</t>
        </is>
      </c>
      <c r="H2231" s="15" t="n">
        <v>5000</v>
      </c>
      <c r="I2231" s="6" t="inlineStr"/>
      <c r="J2231" s="6" t="n">
        <v>5000</v>
      </c>
      <c r="K2231" s="16" t="n">
        <v>5.98</v>
      </c>
      <c r="L2231" s="2" t="inlineStr">
        <is>
          <t>20260601001955</t>
        </is>
      </c>
      <c r="M2231" s="8">
        <f>HYPERLINK("https://dart.fss.or.kr/dsaf001/main.do?rcpNo=20260601001955", "공시열람")</f>
        <v/>
      </c>
    </row>
    <row r="2232" ht="22" customHeight="1">
      <c r="A2232" s="2" t="inlineStr">
        <is>
          <t>2026-06-01</t>
        </is>
      </c>
      <c r="B2232" s="3" t="inlineStr">
        <is>
          <t>엔지켐생명과학</t>
        </is>
      </c>
      <c r="C2232" s="2" t="inlineStr">
        <is>
          <t>183490</t>
        </is>
      </c>
      <c r="D2232" s="2" t="inlineStr">
        <is>
          <t>대량보유</t>
        </is>
      </c>
      <c r="E2232" s="3" t="inlineStr">
        <is>
          <t>류정욱</t>
        </is>
      </c>
      <c r="F2232" s="3" t="inlineStr">
        <is>
          <t>특별관계자</t>
        </is>
      </c>
      <c r="G2232" s="3" t="inlineStr">
        <is>
          <t>신규보고(+)</t>
        </is>
      </c>
      <c r="H2232" s="15" t="n">
        <v>20000</v>
      </c>
      <c r="I2232" s="6" t="inlineStr"/>
      <c r="J2232" s="6" t="n">
        <v>20000</v>
      </c>
      <c r="K2232" s="16" t="n">
        <v>5.98</v>
      </c>
      <c r="L2232" s="2" t="inlineStr">
        <is>
          <t>20260601001955</t>
        </is>
      </c>
      <c r="M2232" s="8">
        <f>HYPERLINK("https://dart.fss.or.kr/dsaf001/main.do?rcpNo=20260601001955", "공시열람")</f>
        <v/>
      </c>
    </row>
    <row r="2233" ht="22" customHeight="1">
      <c r="A2233" s="2" t="inlineStr">
        <is>
          <t>2026-06-01</t>
        </is>
      </c>
      <c r="B2233" s="3" t="inlineStr">
        <is>
          <t>엔지켐생명과학</t>
        </is>
      </c>
      <c r="C2233" s="2" t="inlineStr">
        <is>
          <t>183490</t>
        </is>
      </c>
      <c r="D2233" s="2" t="inlineStr">
        <is>
          <t>대량보유</t>
        </is>
      </c>
      <c r="E2233" s="3" t="inlineStr">
        <is>
          <t>김형석</t>
        </is>
      </c>
      <c r="F2233" s="3" t="inlineStr">
        <is>
          <t>특별관계자</t>
        </is>
      </c>
      <c r="G2233" s="3" t="inlineStr">
        <is>
          <t>신규보고(+)</t>
        </is>
      </c>
      <c r="H2233" s="15" t="n">
        <v>29462</v>
      </c>
      <c r="I2233" s="6" t="inlineStr"/>
      <c r="J2233" s="6" t="n">
        <v>29462</v>
      </c>
      <c r="K2233" s="16" t="n">
        <v>5.98</v>
      </c>
      <c r="L2233" s="2" t="inlineStr">
        <is>
          <t>20260601001955</t>
        </is>
      </c>
      <c r="M2233" s="8">
        <f>HYPERLINK("https://dart.fss.or.kr/dsaf001/main.do?rcpNo=20260601001955", "공시열람")</f>
        <v/>
      </c>
    </row>
    <row r="2234" ht="22" customHeight="1">
      <c r="A2234" s="2" t="inlineStr">
        <is>
          <t>2026-06-01</t>
        </is>
      </c>
      <c r="B2234" s="3" t="inlineStr">
        <is>
          <t>엔지켐생명과학</t>
        </is>
      </c>
      <c r="C2234" s="2" t="inlineStr">
        <is>
          <t>183490</t>
        </is>
      </c>
      <c r="D2234" s="2" t="inlineStr">
        <is>
          <t>대량보유</t>
        </is>
      </c>
      <c r="E2234" s="3" t="inlineStr">
        <is>
          <t>장미경</t>
        </is>
      </c>
      <c r="F2234" s="3" t="inlineStr">
        <is>
          <t>특별관계자</t>
        </is>
      </c>
      <c r="G2234" s="3" t="inlineStr">
        <is>
          <t>신규보고(+)</t>
        </is>
      </c>
      <c r="H2234" s="15" t="n">
        <v>54462</v>
      </c>
      <c r="I2234" s="6" t="inlineStr"/>
      <c r="J2234" s="6" t="n">
        <v>54462</v>
      </c>
      <c r="K2234" s="16" t="n">
        <v>5.98</v>
      </c>
      <c r="L2234" s="2" t="inlineStr">
        <is>
          <t>20260601001955</t>
        </is>
      </c>
      <c r="M2234" s="8">
        <f>HYPERLINK("https://dart.fss.or.kr/dsaf001/main.do?rcpNo=20260601001955", "공시열람")</f>
        <v/>
      </c>
    </row>
    <row r="2235" ht="22" customHeight="1">
      <c r="A2235" s="2" t="inlineStr">
        <is>
          <t>2026-06-01</t>
        </is>
      </c>
      <c r="B2235" s="3" t="inlineStr">
        <is>
          <t>엔지켐생명과학</t>
        </is>
      </c>
      <c r="C2235" s="2" t="inlineStr">
        <is>
          <t>183490</t>
        </is>
      </c>
      <c r="D2235" s="2" t="inlineStr">
        <is>
          <t>대량보유</t>
        </is>
      </c>
      <c r="E2235" s="3" t="inlineStr">
        <is>
          <t>김재민</t>
        </is>
      </c>
      <c r="F2235" s="3" t="inlineStr">
        <is>
          <t>특별관계자</t>
        </is>
      </c>
      <c r="G2235" s="3" t="inlineStr">
        <is>
          <t>신규보고(+)</t>
        </is>
      </c>
      <c r="H2235" s="15" t="n">
        <v>18500</v>
      </c>
      <c r="I2235" s="6" t="inlineStr"/>
      <c r="J2235" s="6" t="n">
        <v>18500</v>
      </c>
      <c r="K2235" s="16" t="n">
        <v>5.98</v>
      </c>
      <c r="L2235" s="2" t="inlineStr">
        <is>
          <t>20260601001955</t>
        </is>
      </c>
      <c r="M2235" s="8">
        <f>HYPERLINK("https://dart.fss.or.kr/dsaf001/main.do?rcpNo=20260601001955", "공시열람")</f>
        <v/>
      </c>
    </row>
    <row r="2236" ht="22" customHeight="1">
      <c r="A2236" s="2" t="inlineStr">
        <is>
          <t>2026-06-01</t>
        </is>
      </c>
      <c r="B2236" s="3" t="inlineStr">
        <is>
          <t>엔지켐생명과학</t>
        </is>
      </c>
      <c r="C2236" s="2" t="inlineStr">
        <is>
          <t>183490</t>
        </is>
      </c>
      <c r="D2236" s="2" t="inlineStr">
        <is>
          <t>대량보유</t>
        </is>
      </c>
      <c r="E2236" s="3" t="inlineStr">
        <is>
          <t>박현규</t>
        </is>
      </c>
      <c r="F2236" s="3" t="inlineStr">
        <is>
          <t>특별관계자</t>
        </is>
      </c>
      <c r="G2236" s="3" t="inlineStr">
        <is>
          <t>신규보고(+)</t>
        </is>
      </c>
      <c r="H2236" s="15" t="n">
        <v>1309</v>
      </c>
      <c r="I2236" s="6" t="inlineStr"/>
      <c r="J2236" s="6" t="n">
        <v>1309</v>
      </c>
      <c r="K2236" s="16" t="n">
        <v>5.98</v>
      </c>
      <c r="L2236" s="2" t="inlineStr">
        <is>
          <t>20260601001955</t>
        </is>
      </c>
      <c r="M2236" s="8">
        <f>HYPERLINK("https://dart.fss.or.kr/dsaf001/main.do?rcpNo=20260601001955", "공시열람")</f>
        <v/>
      </c>
    </row>
    <row r="2237" ht="22" customHeight="1">
      <c r="A2237" s="2" t="inlineStr">
        <is>
          <t>2026-06-01</t>
        </is>
      </c>
      <c r="B2237" s="3" t="inlineStr">
        <is>
          <t>엔지켐생명과학</t>
        </is>
      </c>
      <c r="C2237" s="2" t="inlineStr">
        <is>
          <t>183490</t>
        </is>
      </c>
      <c r="D2237" s="2" t="inlineStr">
        <is>
          <t>대량보유</t>
        </is>
      </c>
      <c r="E2237" s="3" t="inlineStr">
        <is>
          <t>이희용</t>
        </is>
      </c>
      <c r="F2237" s="3" t="inlineStr">
        <is>
          <t>특별관계자</t>
        </is>
      </c>
      <c r="G2237" s="3" t="inlineStr">
        <is>
          <t>신규보고(+)</t>
        </is>
      </c>
      <c r="H2237" s="15" t="n">
        <v>1490</v>
      </c>
      <c r="I2237" s="6" t="inlineStr"/>
      <c r="J2237" s="6" t="n">
        <v>1490</v>
      </c>
      <c r="K2237" s="16" t="n">
        <v>5.98</v>
      </c>
      <c r="L2237" s="2" t="inlineStr">
        <is>
          <t>20260601001955</t>
        </is>
      </c>
      <c r="M2237" s="8">
        <f>HYPERLINK("https://dart.fss.or.kr/dsaf001/main.do?rcpNo=20260601001955", "공시열람")</f>
        <v/>
      </c>
    </row>
    <row r="2238" ht="22" customHeight="1">
      <c r="A2238" s="2" t="inlineStr">
        <is>
          <t>2026-06-01</t>
        </is>
      </c>
      <c r="B2238" s="3" t="inlineStr">
        <is>
          <t>엔지켐생명과학</t>
        </is>
      </c>
      <c r="C2238" s="2" t="inlineStr">
        <is>
          <t>183490</t>
        </is>
      </c>
      <c r="D2238" s="2" t="inlineStr">
        <is>
          <t>대량보유</t>
        </is>
      </c>
      <c r="E2238" s="3" t="inlineStr">
        <is>
          <t>이동호</t>
        </is>
      </c>
      <c r="F2238" s="3" t="inlineStr">
        <is>
          <t>특별관계자</t>
        </is>
      </c>
      <c r="G2238" s="3" t="inlineStr">
        <is>
          <t>신규보고(+)</t>
        </is>
      </c>
      <c r="H2238" s="15" t="n">
        <v>3221</v>
      </c>
      <c r="I2238" s="6" t="inlineStr"/>
      <c r="J2238" s="6" t="n">
        <v>3221</v>
      </c>
      <c r="K2238" s="16" t="n">
        <v>5.98</v>
      </c>
      <c r="L2238" s="2" t="inlineStr">
        <is>
          <t>20260601001955</t>
        </is>
      </c>
      <c r="M2238" s="8">
        <f>HYPERLINK("https://dart.fss.or.kr/dsaf001/main.do?rcpNo=20260601001955", "공시열람")</f>
        <v/>
      </c>
    </row>
    <row r="2239" ht="22" customHeight="1">
      <c r="A2239" s="2" t="inlineStr">
        <is>
          <t>2026-06-01</t>
        </is>
      </c>
      <c r="B2239" s="3" t="inlineStr">
        <is>
          <t>엔지켐생명과학</t>
        </is>
      </c>
      <c r="C2239" s="2" t="inlineStr">
        <is>
          <t>183490</t>
        </is>
      </c>
      <c r="D2239" s="2" t="inlineStr">
        <is>
          <t>대량보유</t>
        </is>
      </c>
      <c r="E2239" s="3" t="inlineStr">
        <is>
          <t>정범건</t>
        </is>
      </c>
      <c r="F2239" s="3" t="inlineStr">
        <is>
          <t>특별관계자</t>
        </is>
      </c>
      <c r="G2239" s="3" t="inlineStr">
        <is>
          <t>신규보고(+)</t>
        </is>
      </c>
      <c r="H2239" s="15" t="n">
        <v>1605</v>
      </c>
      <c r="I2239" s="6" t="inlineStr"/>
      <c r="J2239" s="6" t="n">
        <v>1605</v>
      </c>
      <c r="K2239" s="16" t="n">
        <v>5.98</v>
      </c>
      <c r="L2239" s="2" t="inlineStr">
        <is>
          <t>20260601001955</t>
        </is>
      </c>
      <c r="M2239" s="8">
        <f>HYPERLINK("https://dart.fss.or.kr/dsaf001/main.do?rcpNo=20260601001955", "공시열람")</f>
        <v/>
      </c>
    </row>
    <row r="2240" ht="22" customHeight="1">
      <c r="A2240" s="2" t="inlineStr">
        <is>
          <t>2026-06-01</t>
        </is>
      </c>
      <c r="B2240" s="3" t="inlineStr">
        <is>
          <t>엔지켐생명과학</t>
        </is>
      </c>
      <c r="C2240" s="2" t="inlineStr">
        <is>
          <t>183490</t>
        </is>
      </c>
      <c r="D2240" s="2" t="inlineStr">
        <is>
          <t>대량보유</t>
        </is>
      </c>
      <c r="E2240" s="3" t="inlineStr">
        <is>
          <t>이동희</t>
        </is>
      </c>
      <c r="F2240" s="3" t="inlineStr">
        <is>
          <t>특별관계자</t>
        </is>
      </c>
      <c r="G2240" s="3" t="inlineStr">
        <is>
          <t>신규보고(+)</t>
        </is>
      </c>
      <c r="H2240" s="15" t="n">
        <v>64650</v>
      </c>
      <c r="I2240" s="6" t="inlineStr"/>
      <c r="J2240" s="6" t="n">
        <v>64650</v>
      </c>
      <c r="K2240" s="16" t="n">
        <v>5.98</v>
      </c>
      <c r="L2240" s="2" t="inlineStr">
        <is>
          <t>20260601001955</t>
        </is>
      </c>
      <c r="M2240" s="8">
        <f>HYPERLINK("https://dart.fss.or.kr/dsaf001/main.do?rcpNo=20260601001955", "공시열람")</f>
        <v/>
      </c>
    </row>
    <row r="2241" ht="22" customHeight="1">
      <c r="A2241" s="2" t="inlineStr">
        <is>
          <t>2026-06-01</t>
        </is>
      </c>
      <c r="B2241" s="3" t="inlineStr">
        <is>
          <t>엔지켐생명과학</t>
        </is>
      </c>
      <c r="C2241" s="2" t="inlineStr">
        <is>
          <t>183490</t>
        </is>
      </c>
      <c r="D2241" s="2" t="inlineStr">
        <is>
          <t>대량보유</t>
        </is>
      </c>
      <c r="E2241" s="3" t="inlineStr">
        <is>
          <t>박진호</t>
        </is>
      </c>
      <c r="F2241" s="3" t="inlineStr">
        <is>
          <t>특별관계자</t>
        </is>
      </c>
      <c r="G2241" s="3" t="inlineStr">
        <is>
          <t>신규보고(+)</t>
        </is>
      </c>
      <c r="H2241" s="15" t="n">
        <v>41000</v>
      </c>
      <c r="I2241" s="6" t="inlineStr"/>
      <c r="J2241" s="6" t="n">
        <v>41000</v>
      </c>
      <c r="K2241" s="16" t="n">
        <v>5.98</v>
      </c>
      <c r="L2241" s="2" t="inlineStr">
        <is>
          <t>20260601001955</t>
        </is>
      </c>
      <c r="M2241" s="8">
        <f>HYPERLINK("https://dart.fss.or.kr/dsaf001/main.do?rcpNo=20260601001955", "공시열람")</f>
        <v/>
      </c>
    </row>
    <row r="2242" ht="22" customHeight="1">
      <c r="A2242" s="2" t="inlineStr">
        <is>
          <t>2026-06-01</t>
        </is>
      </c>
      <c r="B2242" s="3" t="inlineStr">
        <is>
          <t>엔지켐생명과학</t>
        </is>
      </c>
      <c r="C2242" s="2" t="inlineStr">
        <is>
          <t>183490</t>
        </is>
      </c>
      <c r="D2242" s="2" t="inlineStr">
        <is>
          <t>대량보유</t>
        </is>
      </c>
      <c r="E2242" s="3" t="inlineStr">
        <is>
          <t>김후창</t>
        </is>
      </c>
      <c r="F2242" s="3" t="inlineStr">
        <is>
          <t>특별관계자</t>
        </is>
      </c>
      <c r="G2242" s="3" t="inlineStr">
        <is>
          <t>신규보고(+)</t>
        </is>
      </c>
      <c r="H2242" s="15" t="n">
        <v>16479</v>
      </c>
      <c r="I2242" s="6" t="inlineStr"/>
      <c r="J2242" s="6" t="n">
        <v>16479</v>
      </c>
      <c r="K2242" s="16" t="n">
        <v>5.98</v>
      </c>
      <c r="L2242" s="2" t="inlineStr">
        <is>
          <t>20260601001955</t>
        </is>
      </c>
      <c r="M2242" s="8">
        <f>HYPERLINK("https://dart.fss.or.kr/dsaf001/main.do?rcpNo=20260601001955", "공시열람")</f>
        <v/>
      </c>
    </row>
    <row r="2243" ht="22" customHeight="1">
      <c r="A2243" s="2" t="inlineStr">
        <is>
          <t>2026-06-01</t>
        </is>
      </c>
      <c r="B2243" s="3" t="inlineStr">
        <is>
          <t>엔지켐생명과학</t>
        </is>
      </c>
      <c r="C2243" s="2" t="inlineStr">
        <is>
          <t>183490</t>
        </is>
      </c>
      <c r="D2243" s="2" t="inlineStr">
        <is>
          <t>대량보유</t>
        </is>
      </c>
      <c r="E2243" s="3" t="inlineStr">
        <is>
          <t>김동균</t>
        </is>
      </c>
      <c r="F2243" s="3" t="inlineStr">
        <is>
          <t>특별관계자</t>
        </is>
      </c>
      <c r="G2243" s="3" t="inlineStr">
        <is>
          <t>신규보고(+)</t>
        </is>
      </c>
      <c r="H2243" s="15" t="n">
        <v>30000</v>
      </c>
      <c r="I2243" s="6" t="inlineStr"/>
      <c r="J2243" s="6" t="n">
        <v>30000</v>
      </c>
      <c r="K2243" s="16" t="n">
        <v>5.98</v>
      </c>
      <c r="L2243" s="2" t="inlineStr">
        <is>
          <t>20260601001955</t>
        </is>
      </c>
      <c r="M2243" s="8">
        <f>HYPERLINK("https://dart.fss.or.kr/dsaf001/main.do?rcpNo=20260601001955", "공시열람")</f>
        <v/>
      </c>
    </row>
    <row r="2244" ht="22" customHeight="1">
      <c r="A2244" s="2" t="inlineStr">
        <is>
          <t>2026-06-01</t>
        </is>
      </c>
      <c r="B2244" s="3" t="inlineStr">
        <is>
          <t>엔지켐생명과학</t>
        </is>
      </c>
      <c r="C2244" s="2" t="inlineStr">
        <is>
          <t>183490</t>
        </is>
      </c>
      <c r="D2244" s="2" t="inlineStr">
        <is>
          <t>대량보유</t>
        </is>
      </c>
      <c r="E2244" s="3" t="inlineStr">
        <is>
          <t>전익권</t>
        </is>
      </c>
      <c r="F2244" s="3" t="inlineStr">
        <is>
          <t>특별관계자</t>
        </is>
      </c>
      <c r="G2244" s="3" t="inlineStr">
        <is>
          <t>신규보고(+)</t>
        </is>
      </c>
      <c r="H2244" s="15" t="n">
        <v>30628</v>
      </c>
      <c r="I2244" s="6" t="inlineStr"/>
      <c r="J2244" s="6" t="n">
        <v>30628</v>
      </c>
      <c r="K2244" s="16" t="n">
        <v>5.98</v>
      </c>
      <c r="L2244" s="2" t="inlineStr">
        <is>
          <t>20260601001955</t>
        </is>
      </c>
      <c r="M2244" s="8">
        <f>HYPERLINK("https://dart.fss.or.kr/dsaf001/main.do?rcpNo=20260601001955", "공시열람")</f>
        <v/>
      </c>
    </row>
    <row r="2245" ht="22" customHeight="1">
      <c r="A2245" s="2" t="inlineStr">
        <is>
          <t>2026-06-01</t>
        </is>
      </c>
      <c r="B2245" s="3" t="inlineStr">
        <is>
          <t>엔지켐생명과학</t>
        </is>
      </c>
      <c r="C2245" s="2" t="inlineStr">
        <is>
          <t>183490</t>
        </is>
      </c>
      <c r="D2245" s="2" t="inlineStr">
        <is>
          <t>대량보유</t>
        </is>
      </c>
      <c r="E2245" s="3" t="inlineStr">
        <is>
          <t>김태훈</t>
        </is>
      </c>
      <c r="F2245" s="3" t="inlineStr">
        <is>
          <t>특별관계자</t>
        </is>
      </c>
      <c r="G2245" s="3" t="inlineStr">
        <is>
          <t>신규보고(+)</t>
        </is>
      </c>
      <c r="H2245" s="15" t="n">
        <v>4872</v>
      </c>
      <c r="I2245" s="6" t="inlineStr"/>
      <c r="J2245" s="6" t="n">
        <v>4872</v>
      </c>
      <c r="K2245" s="16" t="n">
        <v>5.98</v>
      </c>
      <c r="L2245" s="2" t="inlineStr">
        <is>
          <t>20260601001955</t>
        </is>
      </c>
      <c r="M2245" s="8">
        <f>HYPERLINK("https://dart.fss.or.kr/dsaf001/main.do?rcpNo=20260601001955", "공시열람")</f>
        <v/>
      </c>
    </row>
    <row r="2246" ht="22" customHeight="1">
      <c r="A2246" s="2" t="inlineStr">
        <is>
          <t>2026-06-01</t>
        </is>
      </c>
      <c r="B2246" s="3" t="inlineStr">
        <is>
          <t>엔지켐생명과학</t>
        </is>
      </c>
      <c r="C2246" s="2" t="inlineStr">
        <is>
          <t>183490</t>
        </is>
      </c>
      <c r="D2246" s="2" t="inlineStr">
        <is>
          <t>대량보유</t>
        </is>
      </c>
      <c r="E2246" s="3" t="inlineStr">
        <is>
          <t>권영덕</t>
        </is>
      </c>
      <c r="F2246" s="3" t="inlineStr">
        <is>
          <t>특별관계자</t>
        </is>
      </c>
      <c r="G2246" s="3" t="inlineStr">
        <is>
          <t>신규보고(+)</t>
        </is>
      </c>
      <c r="H2246" s="15" t="n">
        <v>60273</v>
      </c>
      <c r="I2246" s="6" t="inlineStr"/>
      <c r="J2246" s="6" t="n">
        <v>60273</v>
      </c>
      <c r="K2246" s="16" t="n">
        <v>5.98</v>
      </c>
      <c r="L2246" s="2" t="inlineStr">
        <is>
          <t>20260601001955</t>
        </is>
      </c>
      <c r="M2246" s="8">
        <f>HYPERLINK("https://dart.fss.or.kr/dsaf001/main.do?rcpNo=20260601001955", "공시열람")</f>
        <v/>
      </c>
    </row>
    <row r="2247" ht="22" customHeight="1">
      <c r="A2247" s="2" t="inlineStr">
        <is>
          <t>2026-06-01</t>
        </is>
      </c>
      <c r="B2247" s="3" t="inlineStr">
        <is>
          <t>엔지켐생명과학</t>
        </is>
      </c>
      <c r="C2247" s="2" t="inlineStr">
        <is>
          <t>183490</t>
        </is>
      </c>
      <c r="D2247" s="2" t="inlineStr">
        <is>
          <t>대량보유</t>
        </is>
      </c>
      <c r="E2247" s="3" t="inlineStr">
        <is>
          <t>허유진</t>
        </is>
      </c>
      <c r="F2247" s="3" t="inlineStr">
        <is>
          <t>특별관계자</t>
        </is>
      </c>
      <c r="G2247" s="3" t="inlineStr">
        <is>
          <t>신규보고(+)</t>
        </is>
      </c>
      <c r="H2247" s="15" t="n">
        <v>39942</v>
      </c>
      <c r="I2247" s="6" t="inlineStr"/>
      <c r="J2247" s="6" t="n">
        <v>39942</v>
      </c>
      <c r="K2247" s="16" t="n">
        <v>5.98</v>
      </c>
      <c r="L2247" s="2" t="inlineStr">
        <is>
          <t>20260601001955</t>
        </is>
      </c>
      <c r="M2247" s="8">
        <f>HYPERLINK("https://dart.fss.or.kr/dsaf001/main.do?rcpNo=20260601001955", "공시열람")</f>
        <v/>
      </c>
    </row>
    <row r="2248" ht="22" customHeight="1">
      <c r="A2248" s="2" t="inlineStr">
        <is>
          <t>2026-06-01</t>
        </is>
      </c>
      <c r="B2248" s="3" t="inlineStr">
        <is>
          <t>엔지켐생명과학</t>
        </is>
      </c>
      <c r="C2248" s="2" t="inlineStr">
        <is>
          <t>183490</t>
        </is>
      </c>
      <c r="D2248" s="2" t="inlineStr">
        <is>
          <t>대량보유</t>
        </is>
      </c>
      <c r="E2248" s="3" t="inlineStr">
        <is>
          <t>김희태</t>
        </is>
      </c>
      <c r="F2248" s="3" t="inlineStr">
        <is>
          <t>특별관계자</t>
        </is>
      </c>
      <c r="G2248" s="3" t="inlineStr">
        <is>
          <t>신규보고(+)</t>
        </is>
      </c>
      <c r="H2248" s="15" t="n">
        <v>50158</v>
      </c>
      <c r="I2248" s="6" t="inlineStr"/>
      <c r="J2248" s="6" t="n">
        <v>50158</v>
      </c>
      <c r="K2248" s="16" t="n">
        <v>5.98</v>
      </c>
      <c r="L2248" s="2" t="inlineStr">
        <is>
          <t>20260601001955</t>
        </is>
      </c>
      <c r="M2248" s="8">
        <f>HYPERLINK("https://dart.fss.or.kr/dsaf001/main.do?rcpNo=20260601001955", "공시열람")</f>
        <v/>
      </c>
    </row>
    <row r="2249" ht="22" customHeight="1">
      <c r="A2249" s="2" t="inlineStr">
        <is>
          <t>2026-06-01</t>
        </is>
      </c>
      <c r="B2249" s="3" t="inlineStr">
        <is>
          <t>엔지켐생명과학</t>
        </is>
      </c>
      <c r="C2249" s="2" t="inlineStr">
        <is>
          <t>183490</t>
        </is>
      </c>
      <c r="D2249" s="2" t="inlineStr">
        <is>
          <t>대량보유</t>
        </is>
      </c>
      <c r="E2249" s="3" t="inlineStr">
        <is>
          <t>박찬경</t>
        </is>
      </c>
      <c r="F2249" s="3" t="inlineStr">
        <is>
          <t>특별관계자</t>
        </is>
      </c>
      <c r="G2249" s="3" t="inlineStr">
        <is>
          <t>신규보고(+)</t>
        </is>
      </c>
      <c r="H2249" s="15" t="n">
        <v>754000</v>
      </c>
      <c r="I2249" s="6" t="inlineStr"/>
      <c r="J2249" s="6" t="n">
        <v>754000</v>
      </c>
      <c r="K2249" s="16" t="n">
        <v>5.98</v>
      </c>
      <c r="L2249" s="2" t="inlineStr">
        <is>
          <t>20260601001955</t>
        </is>
      </c>
      <c r="M2249" s="8">
        <f>HYPERLINK("https://dart.fss.or.kr/dsaf001/main.do?rcpNo=20260601001955", "공시열람")</f>
        <v/>
      </c>
    </row>
    <row r="2250" ht="22" customHeight="1">
      <c r="A2250" s="2" t="inlineStr">
        <is>
          <t>2026-06-01</t>
        </is>
      </c>
      <c r="B2250" s="3" t="inlineStr">
        <is>
          <t>엔지켐생명과학</t>
        </is>
      </c>
      <c r="C2250" s="2" t="inlineStr">
        <is>
          <t>183490</t>
        </is>
      </c>
      <c r="D2250" s="2" t="inlineStr">
        <is>
          <t>대량보유</t>
        </is>
      </c>
      <c r="E2250" s="3" t="inlineStr">
        <is>
          <t>문주영</t>
        </is>
      </c>
      <c r="F2250" s="3" t="inlineStr">
        <is>
          <t>특별관계자</t>
        </is>
      </c>
      <c r="G2250" s="3" t="inlineStr">
        <is>
          <t>신규보고(+)</t>
        </is>
      </c>
      <c r="H2250" s="15" t="n">
        <v>330</v>
      </c>
      <c r="I2250" s="6" t="inlineStr"/>
      <c r="J2250" s="6" t="n">
        <v>330</v>
      </c>
      <c r="K2250" s="16" t="n">
        <v>5.98</v>
      </c>
      <c r="L2250" s="2" t="inlineStr">
        <is>
          <t>20260601001955</t>
        </is>
      </c>
      <c r="M2250" s="8">
        <f>HYPERLINK("https://dart.fss.or.kr/dsaf001/main.do?rcpNo=20260601001955", "공시열람")</f>
        <v/>
      </c>
    </row>
    <row r="2251" ht="22" customHeight="1">
      <c r="A2251" s="2" t="inlineStr">
        <is>
          <t>2026-06-01</t>
        </is>
      </c>
      <c r="B2251" s="3" t="inlineStr">
        <is>
          <t>엔지켐생명과학</t>
        </is>
      </c>
      <c r="C2251" s="2" t="inlineStr">
        <is>
          <t>183490</t>
        </is>
      </c>
      <c r="D2251" s="2" t="inlineStr">
        <is>
          <t>대량보유</t>
        </is>
      </c>
      <c r="E2251" s="3" t="inlineStr">
        <is>
          <t>김경숙</t>
        </is>
      </c>
      <c r="F2251" s="3" t="inlineStr">
        <is>
          <t>특별관계자</t>
        </is>
      </c>
      <c r="G2251" s="3" t="inlineStr">
        <is>
          <t>신규보고(+)</t>
        </is>
      </c>
      <c r="H2251" s="15" t="n">
        <v>600</v>
      </c>
      <c r="I2251" s="6" t="inlineStr"/>
      <c r="J2251" s="6" t="n">
        <v>600</v>
      </c>
      <c r="K2251" s="16" t="n">
        <v>5.98</v>
      </c>
      <c r="L2251" s="2" t="inlineStr">
        <is>
          <t>20260601001955</t>
        </is>
      </c>
      <c r="M2251" s="8">
        <f>HYPERLINK("https://dart.fss.or.kr/dsaf001/main.do?rcpNo=20260601001955", "공시열람")</f>
        <v/>
      </c>
    </row>
    <row r="2252" ht="22" customHeight="1">
      <c r="A2252" s="2" t="inlineStr">
        <is>
          <t>2026-06-01</t>
        </is>
      </c>
      <c r="B2252" s="3" t="inlineStr">
        <is>
          <t>엔지켐생명과학</t>
        </is>
      </c>
      <c r="C2252" s="2" t="inlineStr">
        <is>
          <t>183490</t>
        </is>
      </c>
      <c r="D2252" s="2" t="inlineStr">
        <is>
          <t>대량보유</t>
        </is>
      </c>
      <c r="E2252" s="3" t="inlineStr">
        <is>
          <t>이정용</t>
        </is>
      </c>
      <c r="F2252" s="3" t="inlineStr">
        <is>
          <t>특별관계자</t>
        </is>
      </c>
      <c r="G2252" s="3" t="inlineStr">
        <is>
          <t>신규보고(+)</t>
        </is>
      </c>
      <c r="H2252" s="15" t="n">
        <v>9035</v>
      </c>
      <c r="I2252" s="6" t="inlineStr"/>
      <c r="J2252" s="6" t="n">
        <v>9035</v>
      </c>
      <c r="K2252" s="16" t="n">
        <v>5.98</v>
      </c>
      <c r="L2252" s="2" t="inlineStr">
        <is>
          <t>20260601001955</t>
        </is>
      </c>
      <c r="M2252" s="8">
        <f>HYPERLINK("https://dart.fss.or.kr/dsaf001/main.do?rcpNo=20260601001955", "공시열람")</f>
        <v/>
      </c>
    </row>
    <row r="2253" ht="22" customHeight="1">
      <c r="A2253" s="2" t="inlineStr">
        <is>
          <t>2026-06-01</t>
        </is>
      </c>
      <c r="B2253" s="3" t="inlineStr">
        <is>
          <t>엔지켐생명과학</t>
        </is>
      </c>
      <c r="C2253" s="2" t="inlineStr">
        <is>
          <t>183490</t>
        </is>
      </c>
      <c r="D2253" s="2" t="inlineStr">
        <is>
          <t>대량보유</t>
        </is>
      </c>
      <c r="E2253" s="3" t="inlineStr">
        <is>
          <t>유승욱</t>
        </is>
      </c>
      <c r="F2253" s="3" t="inlineStr">
        <is>
          <t>특별관계자</t>
        </is>
      </c>
      <c r="G2253" s="3" t="inlineStr">
        <is>
          <t>신규보고(+)</t>
        </is>
      </c>
      <c r="H2253" s="15" t="n">
        <v>12050</v>
      </c>
      <c r="I2253" s="6" t="inlineStr"/>
      <c r="J2253" s="6" t="n">
        <v>12050</v>
      </c>
      <c r="K2253" s="16" t="n">
        <v>5.98</v>
      </c>
      <c r="L2253" s="2" t="inlineStr">
        <is>
          <t>20260601001955</t>
        </is>
      </c>
      <c r="M2253" s="8">
        <f>HYPERLINK("https://dart.fss.or.kr/dsaf001/main.do?rcpNo=20260601001955", "공시열람")</f>
        <v/>
      </c>
    </row>
    <row r="2254" ht="22" customHeight="1">
      <c r="A2254" s="2" t="inlineStr">
        <is>
          <t>2026-06-01</t>
        </is>
      </c>
      <c r="B2254" s="3" t="inlineStr">
        <is>
          <t>엔지켐생명과학</t>
        </is>
      </c>
      <c r="C2254" s="2" t="inlineStr">
        <is>
          <t>183490</t>
        </is>
      </c>
      <c r="D2254" s="2" t="inlineStr">
        <is>
          <t>대량보유</t>
        </is>
      </c>
      <c r="E2254" s="3" t="inlineStr">
        <is>
          <t>홍미리</t>
        </is>
      </c>
      <c r="F2254" s="3" t="inlineStr">
        <is>
          <t>특별관계자</t>
        </is>
      </c>
      <c r="G2254" s="3" t="inlineStr">
        <is>
          <t>신규보고(+)</t>
        </is>
      </c>
      <c r="H2254" s="15" t="n">
        <v>2960</v>
      </c>
      <c r="I2254" s="6" t="inlineStr"/>
      <c r="J2254" s="6" t="n">
        <v>2960</v>
      </c>
      <c r="K2254" s="16" t="n">
        <v>5.98</v>
      </c>
      <c r="L2254" s="2" t="inlineStr">
        <is>
          <t>20260601001955</t>
        </is>
      </c>
      <c r="M2254" s="8">
        <f>HYPERLINK("https://dart.fss.or.kr/dsaf001/main.do?rcpNo=20260601001955", "공시열람")</f>
        <v/>
      </c>
    </row>
    <row r="2255" ht="22" customHeight="1">
      <c r="A2255" s="2" t="inlineStr">
        <is>
          <t>2026-06-01</t>
        </is>
      </c>
      <c r="B2255" s="3" t="inlineStr">
        <is>
          <t>엔지켐생명과학</t>
        </is>
      </c>
      <c r="C2255" s="2" t="inlineStr">
        <is>
          <t>183490</t>
        </is>
      </c>
      <c r="D2255" s="2" t="inlineStr">
        <is>
          <t>대량보유</t>
        </is>
      </c>
      <c r="E2255" s="3" t="inlineStr">
        <is>
          <t>김수영</t>
        </is>
      </c>
      <c r="F2255" s="3" t="inlineStr">
        <is>
          <t>특별관계자</t>
        </is>
      </c>
      <c r="G2255" s="3" t="inlineStr">
        <is>
          <t>신규보고(+)</t>
        </is>
      </c>
      <c r="H2255" s="15" t="n">
        <v>2000</v>
      </c>
      <c r="I2255" s="6" t="inlineStr"/>
      <c r="J2255" s="6" t="n">
        <v>2000</v>
      </c>
      <c r="K2255" s="16" t="n">
        <v>5.98</v>
      </c>
      <c r="L2255" s="2" t="inlineStr">
        <is>
          <t>20260601001955</t>
        </is>
      </c>
      <c r="M2255" s="8">
        <f>HYPERLINK("https://dart.fss.or.kr/dsaf001/main.do?rcpNo=20260601001955", "공시열람")</f>
        <v/>
      </c>
    </row>
    <row r="2256" ht="22" customHeight="1">
      <c r="A2256" s="2" t="inlineStr">
        <is>
          <t>2026-06-01</t>
        </is>
      </c>
      <c r="B2256" s="3" t="inlineStr">
        <is>
          <t>엔지켐생명과학</t>
        </is>
      </c>
      <c r="C2256" s="2" t="inlineStr">
        <is>
          <t>183490</t>
        </is>
      </c>
      <c r="D2256" s="2" t="inlineStr">
        <is>
          <t>대량보유</t>
        </is>
      </c>
      <c r="E2256" s="3" t="inlineStr">
        <is>
          <t>공영애</t>
        </is>
      </c>
      <c r="F2256" s="3" t="inlineStr">
        <is>
          <t>특별관계자</t>
        </is>
      </c>
      <c r="G2256" s="3" t="inlineStr">
        <is>
          <t>신규보고(+)</t>
        </is>
      </c>
      <c r="H2256" s="15" t="n">
        <v>1200</v>
      </c>
      <c r="I2256" s="6" t="inlineStr"/>
      <c r="J2256" s="6" t="n">
        <v>1200</v>
      </c>
      <c r="K2256" s="16" t="n">
        <v>5.98</v>
      </c>
      <c r="L2256" s="2" t="inlineStr">
        <is>
          <t>20260601001955</t>
        </is>
      </c>
      <c r="M2256" s="8">
        <f>HYPERLINK("https://dart.fss.or.kr/dsaf001/main.do?rcpNo=20260601001955", "공시열람")</f>
        <v/>
      </c>
    </row>
    <row r="2257" ht="22" customHeight="1">
      <c r="A2257" s="2" t="inlineStr">
        <is>
          <t>2026-06-01</t>
        </is>
      </c>
      <c r="B2257" s="3" t="inlineStr">
        <is>
          <t>엔지켐생명과학</t>
        </is>
      </c>
      <c r="C2257" s="2" t="inlineStr">
        <is>
          <t>183490</t>
        </is>
      </c>
      <c r="D2257" s="2" t="inlineStr">
        <is>
          <t>대량보유</t>
        </is>
      </c>
      <c r="E2257" s="3" t="inlineStr">
        <is>
          <t>조강타</t>
        </is>
      </c>
      <c r="F2257" s="3" t="inlineStr">
        <is>
          <t>특별관계자</t>
        </is>
      </c>
      <c r="G2257" s="3" t="inlineStr">
        <is>
          <t>신규보고(+)</t>
        </is>
      </c>
      <c r="H2257" s="15" t="n">
        <v>43000</v>
      </c>
      <c r="I2257" s="6" t="inlineStr"/>
      <c r="J2257" s="6" t="n">
        <v>43000</v>
      </c>
      <c r="K2257" s="16" t="n">
        <v>5.98</v>
      </c>
      <c r="L2257" s="2" t="inlineStr">
        <is>
          <t>20260601001955</t>
        </is>
      </c>
      <c r="M2257" s="8">
        <f>HYPERLINK("https://dart.fss.or.kr/dsaf001/main.do?rcpNo=20260601001955", "공시열람")</f>
        <v/>
      </c>
    </row>
    <row r="2258" ht="22" customHeight="1">
      <c r="A2258" s="2" t="inlineStr">
        <is>
          <t>2026-06-01</t>
        </is>
      </c>
      <c r="B2258" s="3" t="inlineStr">
        <is>
          <t>엔지켐생명과학</t>
        </is>
      </c>
      <c r="C2258" s="2" t="inlineStr">
        <is>
          <t>183490</t>
        </is>
      </c>
      <c r="D2258" s="2" t="inlineStr">
        <is>
          <t>대량보유</t>
        </is>
      </c>
      <c r="E2258" s="3" t="inlineStr">
        <is>
          <t>김준묵</t>
        </is>
      </c>
      <c r="F2258" s="3" t="inlineStr">
        <is>
          <t>특별관계자</t>
        </is>
      </c>
      <c r="G2258" s="3" t="inlineStr">
        <is>
          <t>신규보고(+)</t>
        </is>
      </c>
      <c r="H2258" s="15" t="n">
        <v>29246</v>
      </c>
      <c r="I2258" s="6" t="inlineStr"/>
      <c r="J2258" s="6" t="n">
        <v>29246</v>
      </c>
      <c r="K2258" s="16" t="n">
        <v>5.98</v>
      </c>
      <c r="L2258" s="2" t="inlineStr">
        <is>
          <t>20260601001955</t>
        </is>
      </c>
      <c r="M2258" s="8">
        <f>HYPERLINK("https://dart.fss.or.kr/dsaf001/main.do?rcpNo=20260601001955", "공시열람")</f>
        <v/>
      </c>
    </row>
    <row r="2259" ht="22" customHeight="1">
      <c r="A2259" s="2" t="inlineStr">
        <is>
          <t>2026-06-01</t>
        </is>
      </c>
      <c r="B2259" s="3" t="inlineStr">
        <is>
          <t>엔지켐생명과학</t>
        </is>
      </c>
      <c r="C2259" s="2" t="inlineStr">
        <is>
          <t>183490</t>
        </is>
      </c>
      <c r="D2259" s="2" t="inlineStr">
        <is>
          <t>대량보유</t>
        </is>
      </c>
      <c r="E2259" s="3" t="inlineStr">
        <is>
          <t>정옥경</t>
        </is>
      </c>
      <c r="F2259" s="3" t="inlineStr">
        <is>
          <t>특별관계자</t>
        </is>
      </c>
      <c r="G2259" s="3" t="inlineStr">
        <is>
          <t>신규보고(+)</t>
        </is>
      </c>
      <c r="H2259" s="15" t="n">
        <v>6000</v>
      </c>
      <c r="I2259" s="6" t="inlineStr"/>
      <c r="J2259" s="6" t="n">
        <v>6000</v>
      </c>
      <c r="K2259" s="16" t="n">
        <v>5.98</v>
      </c>
      <c r="L2259" s="2" t="inlineStr">
        <is>
          <t>20260601001955</t>
        </is>
      </c>
      <c r="M2259" s="8">
        <f>HYPERLINK("https://dart.fss.or.kr/dsaf001/main.do?rcpNo=20260601001955", "공시열람")</f>
        <v/>
      </c>
    </row>
    <row r="2260" ht="22" customHeight="1">
      <c r="A2260" s="2" t="inlineStr">
        <is>
          <t>2026-06-01</t>
        </is>
      </c>
      <c r="B2260" s="3" t="inlineStr">
        <is>
          <t>엔지켐생명과학</t>
        </is>
      </c>
      <c r="C2260" s="2" t="inlineStr">
        <is>
          <t>183490</t>
        </is>
      </c>
      <c r="D2260" s="2" t="inlineStr">
        <is>
          <t>대량보유</t>
        </is>
      </c>
      <c r="E2260" s="3" t="inlineStr">
        <is>
          <t>이상양</t>
        </is>
      </c>
      <c r="F2260" s="3" t="inlineStr">
        <is>
          <t>특별관계자</t>
        </is>
      </c>
      <c r="G2260" s="3" t="inlineStr">
        <is>
          <t>신규보고(+)</t>
        </is>
      </c>
      <c r="H2260" s="15" t="n">
        <v>17508</v>
      </c>
      <c r="I2260" s="6" t="inlineStr"/>
      <c r="J2260" s="6" t="n">
        <v>17508</v>
      </c>
      <c r="K2260" s="16" t="n">
        <v>5.98</v>
      </c>
      <c r="L2260" s="2" t="inlineStr">
        <is>
          <t>20260601001955</t>
        </is>
      </c>
      <c r="M2260" s="8">
        <f>HYPERLINK("https://dart.fss.or.kr/dsaf001/main.do?rcpNo=20260601001955", "공시열람")</f>
        <v/>
      </c>
    </row>
    <row r="2261" ht="22" customHeight="1">
      <c r="A2261" s="2" t="inlineStr">
        <is>
          <t>2026-06-01</t>
        </is>
      </c>
      <c r="B2261" s="3" t="inlineStr">
        <is>
          <t>엔지켐생명과학</t>
        </is>
      </c>
      <c r="C2261" s="2" t="inlineStr">
        <is>
          <t>183490</t>
        </is>
      </c>
      <c r="D2261" s="2" t="inlineStr">
        <is>
          <t>대량보유</t>
        </is>
      </c>
      <c r="E2261" s="3" t="inlineStr">
        <is>
          <t>사공천</t>
        </is>
      </c>
      <c r="F2261" s="3" t="inlineStr">
        <is>
          <t>특별관계자</t>
        </is>
      </c>
      <c r="G2261" s="3" t="inlineStr">
        <is>
          <t>신규보고(+)</t>
        </is>
      </c>
      <c r="H2261" s="15" t="n">
        <v>5656</v>
      </c>
      <c r="I2261" s="6" t="inlineStr"/>
      <c r="J2261" s="6" t="n">
        <v>5656</v>
      </c>
      <c r="K2261" s="16" t="n">
        <v>5.98</v>
      </c>
      <c r="L2261" s="2" t="inlineStr">
        <is>
          <t>20260601001955</t>
        </is>
      </c>
      <c r="M2261" s="8">
        <f>HYPERLINK("https://dart.fss.or.kr/dsaf001/main.do?rcpNo=20260601001955", "공시열람")</f>
        <v/>
      </c>
    </row>
    <row r="2262" ht="22" customHeight="1">
      <c r="A2262" s="2" t="inlineStr">
        <is>
          <t>2026-06-01</t>
        </is>
      </c>
      <c r="B2262" s="3" t="inlineStr">
        <is>
          <t>엔지켐생명과학</t>
        </is>
      </c>
      <c r="C2262" s="2" t="inlineStr">
        <is>
          <t>183490</t>
        </is>
      </c>
      <c r="D2262" s="2" t="inlineStr">
        <is>
          <t>대량보유</t>
        </is>
      </c>
      <c r="E2262" s="3" t="inlineStr">
        <is>
          <t>이광석</t>
        </is>
      </c>
      <c r="F2262" s="3" t="inlineStr">
        <is>
          <t>특별관계자</t>
        </is>
      </c>
      <c r="G2262" s="3" t="inlineStr">
        <is>
          <t>신규보고(+)</t>
        </is>
      </c>
      <c r="H2262" s="15" t="n">
        <v>13042</v>
      </c>
      <c r="I2262" s="6" t="inlineStr"/>
      <c r="J2262" s="6" t="n">
        <v>13042</v>
      </c>
      <c r="K2262" s="16" t="n">
        <v>5.98</v>
      </c>
      <c r="L2262" s="2" t="inlineStr">
        <is>
          <t>20260601001955</t>
        </is>
      </c>
      <c r="M2262" s="8">
        <f>HYPERLINK("https://dart.fss.or.kr/dsaf001/main.do?rcpNo=20260601001955", "공시열람")</f>
        <v/>
      </c>
    </row>
    <row r="2263" ht="22" customHeight="1">
      <c r="A2263" s="2" t="inlineStr">
        <is>
          <t>2026-06-01</t>
        </is>
      </c>
      <c r="B2263" s="3" t="inlineStr">
        <is>
          <t>엔지켐생명과학</t>
        </is>
      </c>
      <c r="C2263" s="2" t="inlineStr">
        <is>
          <t>183490</t>
        </is>
      </c>
      <c r="D2263" s="2" t="inlineStr">
        <is>
          <t>대량보유</t>
        </is>
      </c>
      <c r="E2263" s="3" t="inlineStr">
        <is>
          <t>박정호</t>
        </is>
      </c>
      <c r="F2263" s="3" t="inlineStr">
        <is>
          <t>특별관계자</t>
        </is>
      </c>
      <c r="G2263" s="3" t="inlineStr">
        <is>
          <t>신규보고(+)</t>
        </is>
      </c>
      <c r="H2263" s="15" t="n">
        <v>4237</v>
      </c>
      <c r="I2263" s="6" t="inlineStr"/>
      <c r="J2263" s="6" t="n">
        <v>4237</v>
      </c>
      <c r="K2263" s="16" t="n">
        <v>5.98</v>
      </c>
      <c r="L2263" s="2" t="inlineStr">
        <is>
          <t>20260601001955</t>
        </is>
      </c>
      <c r="M2263" s="8">
        <f>HYPERLINK("https://dart.fss.or.kr/dsaf001/main.do?rcpNo=20260601001955", "공시열람")</f>
        <v/>
      </c>
    </row>
    <row r="2264" ht="22" customHeight="1">
      <c r="A2264" s="2" t="inlineStr">
        <is>
          <t>2026-06-01</t>
        </is>
      </c>
      <c r="B2264" s="3" t="inlineStr">
        <is>
          <t>엔지켐생명과학</t>
        </is>
      </c>
      <c r="C2264" s="2" t="inlineStr">
        <is>
          <t>183490</t>
        </is>
      </c>
      <c r="D2264" s="2" t="inlineStr">
        <is>
          <t>대량보유</t>
        </is>
      </c>
      <c r="E2264" s="3" t="inlineStr">
        <is>
          <t>김익환</t>
        </is>
      </c>
      <c r="F2264" s="3" t="inlineStr">
        <is>
          <t>특별관계자</t>
        </is>
      </c>
      <c r="G2264" s="3" t="inlineStr">
        <is>
          <t>신규보고(+)</t>
        </is>
      </c>
      <c r="H2264" s="15" t="n">
        <v>516</v>
      </c>
      <c r="I2264" s="6" t="inlineStr"/>
      <c r="J2264" s="6" t="n">
        <v>516</v>
      </c>
      <c r="K2264" s="16" t="n">
        <v>5.98</v>
      </c>
      <c r="L2264" s="2" t="inlineStr">
        <is>
          <t>20260601001955</t>
        </is>
      </c>
      <c r="M2264" s="8">
        <f>HYPERLINK("https://dart.fss.or.kr/dsaf001/main.do?rcpNo=20260601001955", "공시열람")</f>
        <v/>
      </c>
    </row>
    <row r="2265" ht="22" customHeight="1">
      <c r="A2265" s="2" t="inlineStr">
        <is>
          <t>2026-06-01</t>
        </is>
      </c>
      <c r="B2265" s="3" t="inlineStr">
        <is>
          <t>엔지켐생명과학</t>
        </is>
      </c>
      <c r="C2265" s="2" t="inlineStr">
        <is>
          <t>183490</t>
        </is>
      </c>
      <c r="D2265" s="2" t="inlineStr">
        <is>
          <t>대량보유</t>
        </is>
      </c>
      <c r="E2265" s="3" t="inlineStr">
        <is>
          <t>최호식</t>
        </is>
      </c>
      <c r="F2265" s="3" t="inlineStr">
        <is>
          <t>특별관계자</t>
        </is>
      </c>
      <c r="G2265" s="3" t="inlineStr">
        <is>
          <t>신규보고(+)</t>
        </is>
      </c>
      <c r="H2265" s="15" t="n">
        <v>28295</v>
      </c>
      <c r="I2265" s="6" t="inlineStr"/>
      <c r="J2265" s="6" t="n">
        <v>28295</v>
      </c>
      <c r="K2265" s="16" t="n">
        <v>5.98</v>
      </c>
      <c r="L2265" s="2" t="inlineStr">
        <is>
          <t>20260601001955</t>
        </is>
      </c>
      <c r="M2265" s="8">
        <f>HYPERLINK("https://dart.fss.or.kr/dsaf001/main.do?rcpNo=20260601001955", "공시열람")</f>
        <v/>
      </c>
    </row>
    <row r="2266" ht="22" customHeight="1">
      <c r="A2266" s="2" t="inlineStr">
        <is>
          <t>2026-06-01</t>
        </is>
      </c>
      <c r="B2266" s="3" t="inlineStr">
        <is>
          <t>엔지켐생명과학</t>
        </is>
      </c>
      <c r="C2266" s="2" t="inlineStr">
        <is>
          <t>183490</t>
        </is>
      </c>
      <c r="D2266" s="2" t="inlineStr">
        <is>
          <t>대량보유</t>
        </is>
      </c>
      <c r="E2266" s="3" t="inlineStr">
        <is>
          <t>이상헌</t>
        </is>
      </c>
      <c r="F2266" s="3" t="inlineStr">
        <is>
          <t>특별관계자</t>
        </is>
      </c>
      <c r="G2266" s="3" t="inlineStr">
        <is>
          <t>신규보고(+)</t>
        </is>
      </c>
      <c r="H2266" s="15" t="n">
        <v>506759</v>
      </c>
      <c r="I2266" s="6" t="inlineStr"/>
      <c r="J2266" s="6" t="n">
        <v>506759</v>
      </c>
      <c r="K2266" s="16" t="n">
        <v>5.98</v>
      </c>
      <c r="L2266" s="2" t="inlineStr">
        <is>
          <t>20260601001955</t>
        </is>
      </c>
      <c r="M2266" s="8">
        <f>HYPERLINK("https://dart.fss.or.kr/dsaf001/main.do?rcpNo=20260601001955", "공시열람")</f>
        <v/>
      </c>
    </row>
    <row r="2267" ht="22" customHeight="1">
      <c r="A2267" s="2" t="inlineStr">
        <is>
          <t>2026-06-01</t>
        </is>
      </c>
      <c r="B2267" s="3" t="inlineStr">
        <is>
          <t>엔지켐생명과학</t>
        </is>
      </c>
      <c r="C2267" s="2" t="inlineStr">
        <is>
          <t>183490</t>
        </is>
      </c>
      <c r="D2267" s="2" t="inlineStr">
        <is>
          <t>대량보유</t>
        </is>
      </c>
      <c r="E2267" s="3" t="inlineStr">
        <is>
          <t>박정미</t>
        </is>
      </c>
      <c r="F2267" s="3" t="inlineStr">
        <is>
          <t>특별관계자</t>
        </is>
      </c>
      <c r="G2267" s="3" t="inlineStr">
        <is>
          <t>신규보고(+)</t>
        </is>
      </c>
      <c r="H2267" s="15" t="n">
        <v>312</v>
      </c>
      <c r="I2267" s="6" t="inlineStr"/>
      <c r="J2267" s="6" t="n">
        <v>312</v>
      </c>
      <c r="K2267" s="16" t="n">
        <v>5.98</v>
      </c>
      <c r="L2267" s="2" t="inlineStr">
        <is>
          <t>20260601001955</t>
        </is>
      </c>
      <c r="M2267" s="8">
        <f>HYPERLINK("https://dart.fss.or.kr/dsaf001/main.do?rcpNo=20260601001955", "공시열람")</f>
        <v/>
      </c>
    </row>
    <row r="2268" ht="22" customHeight="1">
      <c r="A2268" s="2" t="inlineStr">
        <is>
          <t>2026-06-01</t>
        </is>
      </c>
      <c r="B2268" s="3" t="inlineStr">
        <is>
          <t>엔지켐생명과학</t>
        </is>
      </c>
      <c r="C2268" s="2" t="inlineStr">
        <is>
          <t>183490</t>
        </is>
      </c>
      <c r="D2268" s="2" t="inlineStr">
        <is>
          <t>대량보유</t>
        </is>
      </c>
      <c r="E2268" s="3" t="inlineStr">
        <is>
          <t>전희선</t>
        </is>
      </c>
      <c r="F2268" s="3" t="inlineStr">
        <is>
          <t>특별관계자</t>
        </is>
      </c>
      <c r="G2268" s="3" t="inlineStr">
        <is>
          <t>신규보고(+)</t>
        </is>
      </c>
      <c r="H2268" s="15" t="n">
        <v>5160</v>
      </c>
      <c r="I2268" s="6" t="inlineStr"/>
      <c r="J2268" s="6" t="n">
        <v>5160</v>
      </c>
      <c r="K2268" s="16" t="n">
        <v>5.98</v>
      </c>
      <c r="L2268" s="2" t="inlineStr">
        <is>
          <t>20260601001955</t>
        </is>
      </c>
      <c r="M2268" s="8">
        <f>HYPERLINK("https://dart.fss.or.kr/dsaf001/main.do?rcpNo=20260601001955", "공시열람")</f>
        <v/>
      </c>
    </row>
    <row r="2269" ht="22" customHeight="1">
      <c r="A2269" s="2" t="inlineStr">
        <is>
          <t>2026-06-01</t>
        </is>
      </c>
      <c r="B2269" s="3" t="inlineStr">
        <is>
          <t>엔지켐생명과학</t>
        </is>
      </c>
      <c r="C2269" s="2" t="inlineStr">
        <is>
          <t>183490</t>
        </is>
      </c>
      <c r="D2269" s="2" t="inlineStr">
        <is>
          <t>대량보유</t>
        </is>
      </c>
      <c r="E2269" s="3" t="inlineStr">
        <is>
          <t>윤재구</t>
        </is>
      </c>
      <c r="F2269" s="3" t="inlineStr">
        <is>
          <t>특별관계자</t>
        </is>
      </c>
      <c r="G2269" s="3" t="inlineStr">
        <is>
          <t>신규보고(+)</t>
        </is>
      </c>
      <c r="H2269" s="15" t="n">
        <v>10060</v>
      </c>
      <c r="I2269" s="6" t="inlineStr"/>
      <c r="J2269" s="6" t="n">
        <v>10060</v>
      </c>
      <c r="K2269" s="16" t="n">
        <v>5.98</v>
      </c>
      <c r="L2269" s="2" t="inlineStr">
        <is>
          <t>20260601001955</t>
        </is>
      </c>
      <c r="M2269" s="8">
        <f>HYPERLINK("https://dart.fss.or.kr/dsaf001/main.do?rcpNo=20260601001955", "공시열람")</f>
        <v/>
      </c>
    </row>
    <row r="2270" ht="22" customHeight="1">
      <c r="A2270" s="2" t="inlineStr">
        <is>
          <t>2026-06-01</t>
        </is>
      </c>
      <c r="B2270" s="3" t="inlineStr">
        <is>
          <t>엔지켐생명과학</t>
        </is>
      </c>
      <c r="C2270" s="2" t="inlineStr">
        <is>
          <t>183490</t>
        </is>
      </c>
      <c r="D2270" s="2" t="inlineStr">
        <is>
          <t>대량보유</t>
        </is>
      </c>
      <c r="E2270" s="3" t="inlineStr">
        <is>
          <t>최기석</t>
        </is>
      </c>
      <c r="F2270" s="3" t="inlineStr">
        <is>
          <t>특별관계자</t>
        </is>
      </c>
      <c r="G2270" s="3" t="inlineStr">
        <is>
          <t>신규보고(+)</t>
        </is>
      </c>
      <c r="H2270" s="15" t="n">
        <v>10692</v>
      </c>
      <c r="I2270" s="6" t="inlineStr"/>
      <c r="J2270" s="6" t="n">
        <v>10692</v>
      </c>
      <c r="K2270" s="16" t="n">
        <v>5.98</v>
      </c>
      <c r="L2270" s="2" t="inlineStr">
        <is>
          <t>20260601001955</t>
        </is>
      </c>
      <c r="M2270" s="8">
        <f>HYPERLINK("https://dart.fss.or.kr/dsaf001/main.do?rcpNo=20260601001955", "공시열람")</f>
        <v/>
      </c>
    </row>
    <row r="2271" ht="22" customHeight="1">
      <c r="A2271" s="2" t="inlineStr">
        <is>
          <t>2026-06-01</t>
        </is>
      </c>
      <c r="B2271" s="3" t="inlineStr">
        <is>
          <t>엔지켐생명과학</t>
        </is>
      </c>
      <c r="C2271" s="2" t="inlineStr">
        <is>
          <t>183490</t>
        </is>
      </c>
      <c r="D2271" s="2" t="inlineStr">
        <is>
          <t>대량보유</t>
        </is>
      </c>
      <c r="E2271" s="3" t="inlineStr">
        <is>
          <t>장현진</t>
        </is>
      </c>
      <c r="F2271" s="3" t="inlineStr">
        <is>
          <t>특별관계자</t>
        </is>
      </c>
      <c r="G2271" s="3" t="inlineStr">
        <is>
          <t>신규보고(+)</t>
        </is>
      </c>
      <c r="H2271" s="15" t="n">
        <v>38000</v>
      </c>
      <c r="I2271" s="6" t="inlineStr"/>
      <c r="J2271" s="6" t="n">
        <v>38000</v>
      </c>
      <c r="K2271" s="16" t="n">
        <v>5.98</v>
      </c>
      <c r="L2271" s="2" t="inlineStr">
        <is>
          <t>20260601001955</t>
        </is>
      </c>
      <c r="M2271" s="8">
        <f>HYPERLINK("https://dart.fss.or.kr/dsaf001/main.do?rcpNo=20260601001955", "공시열람")</f>
        <v/>
      </c>
    </row>
    <row r="2272" ht="22" customHeight="1">
      <c r="A2272" s="2" t="inlineStr">
        <is>
          <t>2026-06-01</t>
        </is>
      </c>
      <c r="B2272" s="3" t="inlineStr">
        <is>
          <t>엔지켐생명과학</t>
        </is>
      </c>
      <c r="C2272" s="2" t="inlineStr">
        <is>
          <t>183490</t>
        </is>
      </c>
      <c r="D2272" s="2" t="inlineStr">
        <is>
          <t>대량보유</t>
        </is>
      </c>
      <c r="E2272" s="3" t="inlineStr">
        <is>
          <t>박종휘</t>
        </is>
      </c>
      <c r="F2272" s="3" t="inlineStr">
        <is>
          <t>특별관계자</t>
        </is>
      </c>
      <c r="G2272" s="3" t="inlineStr">
        <is>
          <t>신규보고(+)</t>
        </is>
      </c>
      <c r="H2272" s="15" t="n">
        <v>5400</v>
      </c>
      <c r="I2272" s="6" t="inlineStr"/>
      <c r="J2272" s="6" t="n">
        <v>5400</v>
      </c>
      <c r="K2272" s="16" t="n">
        <v>5.98</v>
      </c>
      <c r="L2272" s="2" t="inlineStr">
        <is>
          <t>20260601001955</t>
        </is>
      </c>
      <c r="M2272" s="8">
        <f>HYPERLINK("https://dart.fss.or.kr/dsaf001/main.do?rcpNo=20260601001955", "공시열람")</f>
        <v/>
      </c>
    </row>
    <row r="2273" ht="22" customHeight="1">
      <c r="A2273" s="2" t="inlineStr">
        <is>
          <t>2026-06-01</t>
        </is>
      </c>
      <c r="B2273" s="3" t="inlineStr">
        <is>
          <t>엔지켐생명과학</t>
        </is>
      </c>
      <c r="C2273" s="2" t="inlineStr">
        <is>
          <t>183490</t>
        </is>
      </c>
      <c r="D2273" s="2" t="inlineStr">
        <is>
          <t>대량보유</t>
        </is>
      </c>
      <c r="E2273" s="3" t="inlineStr">
        <is>
          <t>전병영</t>
        </is>
      </c>
      <c r="F2273" s="3" t="inlineStr">
        <is>
          <t>특별관계자</t>
        </is>
      </c>
      <c r="G2273" s="3" t="inlineStr">
        <is>
          <t>신규보고(+)</t>
        </is>
      </c>
      <c r="H2273" s="15" t="n">
        <v>9521</v>
      </c>
      <c r="I2273" s="6" t="inlineStr"/>
      <c r="J2273" s="6" t="n">
        <v>9521</v>
      </c>
      <c r="K2273" s="16" t="n">
        <v>5.98</v>
      </c>
      <c r="L2273" s="2" t="inlineStr">
        <is>
          <t>20260601001955</t>
        </is>
      </c>
      <c r="M2273" s="8">
        <f>HYPERLINK("https://dart.fss.or.kr/dsaf001/main.do?rcpNo=20260601001955", "공시열람")</f>
        <v/>
      </c>
    </row>
    <row r="2274" ht="22" customHeight="1">
      <c r="A2274" s="2" t="inlineStr">
        <is>
          <t>2026-06-01</t>
        </is>
      </c>
      <c r="B2274" s="3" t="inlineStr">
        <is>
          <t>엔지켐생명과학</t>
        </is>
      </c>
      <c r="C2274" s="2" t="inlineStr">
        <is>
          <t>183490</t>
        </is>
      </c>
      <c r="D2274" s="2" t="inlineStr">
        <is>
          <t>대량보유</t>
        </is>
      </c>
      <c r="E2274" s="3" t="inlineStr">
        <is>
          <t>임가영</t>
        </is>
      </c>
      <c r="F2274" s="3" t="inlineStr">
        <is>
          <t>특별관계자</t>
        </is>
      </c>
      <c r="G2274" s="3" t="inlineStr">
        <is>
          <t>신규보고(+)</t>
        </is>
      </c>
      <c r="H2274" s="15" t="n">
        <v>3786</v>
      </c>
      <c r="I2274" s="6" t="inlineStr"/>
      <c r="J2274" s="6" t="n">
        <v>3786</v>
      </c>
      <c r="K2274" s="16" t="n">
        <v>5.98</v>
      </c>
      <c r="L2274" s="2" t="inlineStr">
        <is>
          <t>20260601001955</t>
        </is>
      </c>
      <c r="M2274" s="8">
        <f>HYPERLINK("https://dart.fss.or.kr/dsaf001/main.do?rcpNo=20260601001955", "공시열람")</f>
        <v/>
      </c>
    </row>
    <row r="2275" ht="22" customHeight="1">
      <c r="A2275" s="2" t="inlineStr">
        <is>
          <t>2026-06-01</t>
        </is>
      </c>
      <c r="B2275" s="3" t="inlineStr">
        <is>
          <t>엔지켐생명과학</t>
        </is>
      </c>
      <c r="C2275" s="2" t="inlineStr">
        <is>
          <t>183490</t>
        </is>
      </c>
      <c r="D2275" s="2" t="inlineStr">
        <is>
          <t>대량보유</t>
        </is>
      </c>
      <c r="E2275" s="3" t="inlineStr">
        <is>
          <t>이승우</t>
        </is>
      </c>
      <c r="F2275" s="3" t="inlineStr">
        <is>
          <t>특별관계자</t>
        </is>
      </c>
      <c r="G2275" s="3" t="inlineStr">
        <is>
          <t>신규보고(+)</t>
        </is>
      </c>
      <c r="H2275" s="15" t="n">
        <v>2511</v>
      </c>
      <c r="I2275" s="6" t="inlineStr"/>
      <c r="J2275" s="6" t="n">
        <v>2511</v>
      </c>
      <c r="K2275" s="16" t="n">
        <v>5.98</v>
      </c>
      <c r="L2275" s="2" t="inlineStr">
        <is>
          <t>20260601001955</t>
        </is>
      </c>
      <c r="M2275" s="8">
        <f>HYPERLINK("https://dart.fss.or.kr/dsaf001/main.do?rcpNo=20260601001955", "공시열람")</f>
        <v/>
      </c>
    </row>
    <row r="2276" ht="22" customHeight="1">
      <c r="A2276" s="2" t="inlineStr">
        <is>
          <t>2026-06-01</t>
        </is>
      </c>
      <c r="B2276" s="3" t="inlineStr">
        <is>
          <t>엔지켐생명과학</t>
        </is>
      </c>
      <c r="C2276" s="2" t="inlineStr">
        <is>
          <t>183490</t>
        </is>
      </c>
      <c r="D2276" s="2" t="inlineStr">
        <is>
          <t>대량보유</t>
        </is>
      </c>
      <c r="E2276" s="3" t="inlineStr">
        <is>
          <t>이도경</t>
        </is>
      </c>
      <c r="F2276" s="3" t="inlineStr">
        <is>
          <t>특별관계자</t>
        </is>
      </c>
      <c r="G2276" s="3" t="inlineStr">
        <is>
          <t>신규보고(+)</t>
        </is>
      </c>
      <c r="H2276" s="15" t="n">
        <v>63419</v>
      </c>
      <c r="I2276" s="6" t="inlineStr"/>
      <c r="J2276" s="6" t="n">
        <v>63419</v>
      </c>
      <c r="K2276" s="16" t="n">
        <v>5.98</v>
      </c>
      <c r="L2276" s="2" t="inlineStr">
        <is>
          <t>20260601001955</t>
        </is>
      </c>
      <c r="M2276" s="8">
        <f>HYPERLINK("https://dart.fss.or.kr/dsaf001/main.do?rcpNo=20260601001955", "공시열람")</f>
        <v/>
      </c>
    </row>
    <row r="2277" ht="22" customHeight="1">
      <c r="A2277" s="2" t="inlineStr">
        <is>
          <t>2026-06-01</t>
        </is>
      </c>
      <c r="B2277" s="3" t="inlineStr">
        <is>
          <t>엔지켐생명과학</t>
        </is>
      </c>
      <c r="C2277" s="2" t="inlineStr">
        <is>
          <t>183490</t>
        </is>
      </c>
      <c r="D2277" s="2" t="inlineStr">
        <is>
          <t>대량보유</t>
        </is>
      </c>
      <c r="E2277" s="3" t="inlineStr">
        <is>
          <t>온초현</t>
        </is>
      </c>
      <c r="F2277" s="3" t="inlineStr">
        <is>
          <t>특별관계자</t>
        </is>
      </c>
      <c r="G2277" s="3" t="inlineStr">
        <is>
          <t>신규보고(+)</t>
        </is>
      </c>
      <c r="H2277" s="15" t="n">
        <v>3672</v>
      </c>
      <c r="I2277" s="6" t="inlineStr"/>
      <c r="J2277" s="6" t="n">
        <v>3672</v>
      </c>
      <c r="K2277" s="16" t="n">
        <v>5.98</v>
      </c>
      <c r="L2277" s="2" t="inlineStr">
        <is>
          <t>20260601001955</t>
        </is>
      </c>
      <c r="M2277" s="8">
        <f>HYPERLINK("https://dart.fss.or.kr/dsaf001/main.do?rcpNo=20260601001955", "공시열람")</f>
        <v/>
      </c>
    </row>
    <row r="2278" ht="22" customHeight="1">
      <c r="A2278" s="2" t="inlineStr">
        <is>
          <t>2026-06-01</t>
        </is>
      </c>
      <c r="B2278" s="3" t="inlineStr">
        <is>
          <t>엔지켐생명과학</t>
        </is>
      </c>
      <c r="C2278" s="2" t="inlineStr">
        <is>
          <t>183490</t>
        </is>
      </c>
      <c r="D2278" s="2" t="inlineStr">
        <is>
          <t>대량보유</t>
        </is>
      </c>
      <c r="E2278" s="3" t="inlineStr">
        <is>
          <t>이명희</t>
        </is>
      </c>
      <c r="F2278" s="3" t="inlineStr">
        <is>
          <t>특별관계자</t>
        </is>
      </c>
      <c r="G2278" s="3" t="inlineStr">
        <is>
          <t>신규보고(+)</t>
        </is>
      </c>
      <c r="H2278" s="15" t="n">
        <v>42467</v>
      </c>
      <c r="I2278" s="6" t="inlineStr"/>
      <c r="J2278" s="6" t="n">
        <v>42467</v>
      </c>
      <c r="K2278" s="16" t="n">
        <v>5.98</v>
      </c>
      <c r="L2278" s="2" t="inlineStr">
        <is>
          <t>20260601001955</t>
        </is>
      </c>
      <c r="M2278" s="8">
        <f>HYPERLINK("https://dart.fss.or.kr/dsaf001/main.do?rcpNo=20260601001955", "공시열람")</f>
        <v/>
      </c>
    </row>
    <row r="2279" ht="22" customHeight="1">
      <c r="A2279" s="2" t="inlineStr">
        <is>
          <t>2026-06-01</t>
        </is>
      </c>
      <c r="B2279" s="3" t="inlineStr">
        <is>
          <t>엔지켐생명과학</t>
        </is>
      </c>
      <c r="C2279" s="2" t="inlineStr">
        <is>
          <t>183490</t>
        </is>
      </c>
      <c r="D2279" s="2" t="inlineStr">
        <is>
          <t>대량보유</t>
        </is>
      </c>
      <c r="E2279" s="3" t="inlineStr">
        <is>
          <t>임송엽</t>
        </is>
      </c>
      <c r="F2279" s="3" t="inlineStr">
        <is>
          <t>특별관계자</t>
        </is>
      </c>
      <c r="G2279" s="3" t="inlineStr">
        <is>
          <t>신규보고(+)</t>
        </is>
      </c>
      <c r="H2279" s="15" t="n">
        <v>423179</v>
      </c>
      <c r="I2279" s="6" t="inlineStr"/>
      <c r="J2279" s="6" t="n">
        <v>423179</v>
      </c>
      <c r="K2279" s="16" t="n">
        <v>5.98</v>
      </c>
      <c r="L2279" s="2" t="inlineStr">
        <is>
          <t>20260601001955</t>
        </is>
      </c>
      <c r="M2279" s="8">
        <f>HYPERLINK("https://dart.fss.or.kr/dsaf001/main.do?rcpNo=20260601001955", "공시열람")</f>
        <v/>
      </c>
    </row>
    <row r="2280" ht="22" customHeight="1">
      <c r="A2280" s="2" t="inlineStr">
        <is>
          <t>2026-06-01</t>
        </is>
      </c>
      <c r="B2280" s="3" t="inlineStr">
        <is>
          <t>엔지켐생명과학</t>
        </is>
      </c>
      <c r="C2280" s="2" t="inlineStr">
        <is>
          <t>183490</t>
        </is>
      </c>
      <c r="D2280" s="2" t="inlineStr">
        <is>
          <t>대량보유</t>
        </is>
      </c>
      <c r="E2280" s="3" t="inlineStr">
        <is>
          <t>김춘호</t>
        </is>
      </c>
      <c r="F2280" s="3" t="inlineStr">
        <is>
          <t>특별관계자</t>
        </is>
      </c>
      <c r="G2280" s="3" t="inlineStr">
        <is>
          <t>신규보고(+)</t>
        </is>
      </c>
      <c r="H2280" s="15" t="n">
        <v>101550</v>
      </c>
      <c r="I2280" s="6" t="inlineStr"/>
      <c r="J2280" s="6" t="n">
        <v>101550</v>
      </c>
      <c r="K2280" s="16" t="n">
        <v>5.98</v>
      </c>
      <c r="L2280" s="2" t="inlineStr">
        <is>
          <t>20260601001955</t>
        </is>
      </c>
      <c r="M2280" s="8">
        <f>HYPERLINK("https://dart.fss.or.kr/dsaf001/main.do?rcpNo=20260601001955", "공시열람")</f>
        <v/>
      </c>
    </row>
    <row r="2281" ht="22" customHeight="1">
      <c r="A2281" s="2" t="inlineStr">
        <is>
          <t>2026-06-01</t>
        </is>
      </c>
      <c r="B2281" s="3" t="inlineStr">
        <is>
          <t>엔지켐생명과학</t>
        </is>
      </c>
      <c r="C2281" s="2" t="inlineStr">
        <is>
          <t>183490</t>
        </is>
      </c>
      <c r="D2281" s="2" t="inlineStr">
        <is>
          <t>대량보유</t>
        </is>
      </c>
      <c r="E2281" s="3" t="inlineStr">
        <is>
          <t>송미란</t>
        </is>
      </c>
      <c r="F2281" s="3" t="inlineStr">
        <is>
          <t>특별관계자</t>
        </is>
      </c>
      <c r="G2281" s="3" t="inlineStr">
        <is>
          <t>신규보고(+)</t>
        </is>
      </c>
      <c r="H2281" s="15" t="n">
        <v>2538</v>
      </c>
      <c r="I2281" s="6" t="inlineStr"/>
      <c r="J2281" s="6" t="n">
        <v>2538</v>
      </c>
      <c r="K2281" s="16" t="n">
        <v>5.98</v>
      </c>
      <c r="L2281" s="2" t="inlineStr">
        <is>
          <t>20260601001955</t>
        </is>
      </c>
      <c r="M2281" s="8">
        <f>HYPERLINK("https://dart.fss.or.kr/dsaf001/main.do?rcpNo=20260601001955", "공시열람")</f>
        <v/>
      </c>
    </row>
    <row r="2282" ht="22" customHeight="1">
      <c r="A2282" s="2" t="inlineStr">
        <is>
          <t>2026-06-01</t>
        </is>
      </c>
      <c r="B2282" s="3" t="inlineStr">
        <is>
          <t>엔지켐생명과학</t>
        </is>
      </c>
      <c r="C2282" s="2" t="inlineStr">
        <is>
          <t>183490</t>
        </is>
      </c>
      <c r="D2282" s="2" t="inlineStr">
        <is>
          <t>대량보유</t>
        </is>
      </c>
      <c r="E2282" s="3" t="inlineStr">
        <is>
          <t>박종관</t>
        </is>
      </c>
      <c r="F2282" s="3" t="inlineStr">
        <is>
          <t>특별관계자</t>
        </is>
      </c>
      <c r="G2282" s="3" t="inlineStr">
        <is>
          <t>신규보고(+)</t>
        </is>
      </c>
      <c r="H2282" s="15" t="n">
        <v>8559</v>
      </c>
      <c r="I2282" s="6" t="inlineStr"/>
      <c r="J2282" s="6" t="n">
        <v>8559</v>
      </c>
      <c r="K2282" s="16" t="n">
        <v>5.98</v>
      </c>
      <c r="L2282" s="2" t="inlineStr">
        <is>
          <t>20260601001955</t>
        </is>
      </c>
      <c r="M2282" s="8">
        <f>HYPERLINK("https://dart.fss.or.kr/dsaf001/main.do?rcpNo=20260601001955", "공시열람")</f>
        <v/>
      </c>
    </row>
    <row r="2283" ht="22" customHeight="1">
      <c r="A2283" s="2" t="inlineStr">
        <is>
          <t>2026-06-01</t>
        </is>
      </c>
      <c r="B2283" s="3" t="inlineStr">
        <is>
          <t>엔지켐생명과학</t>
        </is>
      </c>
      <c r="C2283" s="2" t="inlineStr">
        <is>
          <t>183490</t>
        </is>
      </c>
      <c r="D2283" s="2" t="inlineStr">
        <is>
          <t>대량보유</t>
        </is>
      </c>
      <c r="E2283" s="3" t="inlineStr">
        <is>
          <t>은기남</t>
        </is>
      </c>
      <c r="F2283" s="3" t="inlineStr">
        <is>
          <t>특별관계자</t>
        </is>
      </c>
      <c r="G2283" s="3" t="inlineStr">
        <is>
          <t>신규보고(+)</t>
        </is>
      </c>
      <c r="H2283" s="15" t="n">
        <v>47793</v>
      </c>
      <c r="I2283" s="6" t="inlineStr"/>
      <c r="J2283" s="6" t="n">
        <v>47793</v>
      </c>
      <c r="K2283" s="16" t="n">
        <v>5.98</v>
      </c>
      <c r="L2283" s="2" t="inlineStr">
        <is>
          <t>20260601001955</t>
        </is>
      </c>
      <c r="M2283" s="8">
        <f>HYPERLINK("https://dart.fss.or.kr/dsaf001/main.do?rcpNo=20260601001955", "공시열람")</f>
        <v/>
      </c>
    </row>
    <row r="2284" ht="22" customHeight="1">
      <c r="A2284" s="2" t="inlineStr">
        <is>
          <t>2026-06-01</t>
        </is>
      </c>
      <c r="B2284" s="3" t="inlineStr">
        <is>
          <t>엔지켐생명과학</t>
        </is>
      </c>
      <c r="C2284" s="2" t="inlineStr">
        <is>
          <t>183490</t>
        </is>
      </c>
      <c r="D2284" s="2" t="inlineStr">
        <is>
          <t>대량보유</t>
        </is>
      </c>
      <c r="E2284" s="3" t="inlineStr">
        <is>
          <t>조병훈</t>
        </is>
      </c>
      <c r="F2284" s="3" t="inlineStr">
        <is>
          <t>특별관계자</t>
        </is>
      </c>
      <c r="G2284" s="3" t="inlineStr">
        <is>
          <t>신규보고(+)</t>
        </is>
      </c>
      <c r="H2284" s="15" t="n">
        <v>720</v>
      </c>
      <c r="I2284" s="6" t="inlineStr"/>
      <c r="J2284" s="6" t="n">
        <v>720</v>
      </c>
      <c r="K2284" s="16" t="n">
        <v>5.98</v>
      </c>
      <c r="L2284" s="2" t="inlineStr">
        <is>
          <t>20260601001955</t>
        </is>
      </c>
      <c r="M2284" s="8">
        <f>HYPERLINK("https://dart.fss.or.kr/dsaf001/main.do?rcpNo=20260601001955", "공시열람")</f>
        <v/>
      </c>
    </row>
    <row r="2285" ht="22" customHeight="1">
      <c r="A2285" s="2" t="inlineStr">
        <is>
          <t>2026-06-01</t>
        </is>
      </c>
      <c r="B2285" s="3" t="inlineStr">
        <is>
          <t>엔지켐생명과학</t>
        </is>
      </c>
      <c r="C2285" s="2" t="inlineStr">
        <is>
          <t>183490</t>
        </is>
      </c>
      <c r="D2285" s="2" t="inlineStr">
        <is>
          <t>대량보유</t>
        </is>
      </c>
      <c r="E2285" s="3" t="inlineStr">
        <is>
          <t>유수미</t>
        </is>
      </c>
      <c r="F2285" s="3" t="inlineStr">
        <is>
          <t>특별관계자</t>
        </is>
      </c>
      <c r="G2285" s="3" t="inlineStr">
        <is>
          <t>신규보고(+)</t>
        </is>
      </c>
      <c r="H2285" s="15" t="n">
        <v>1563</v>
      </c>
      <c r="I2285" s="6" t="inlineStr"/>
      <c r="J2285" s="6" t="n">
        <v>1563</v>
      </c>
      <c r="K2285" s="16" t="n">
        <v>5.98</v>
      </c>
      <c r="L2285" s="2" t="inlineStr">
        <is>
          <t>20260601001955</t>
        </is>
      </c>
      <c r="M2285" s="8">
        <f>HYPERLINK("https://dart.fss.or.kr/dsaf001/main.do?rcpNo=20260601001955", "공시열람")</f>
        <v/>
      </c>
    </row>
    <row r="2286" ht="22" customHeight="1">
      <c r="A2286" s="2" t="inlineStr">
        <is>
          <t>2026-06-01</t>
        </is>
      </c>
      <c r="B2286" s="3" t="inlineStr">
        <is>
          <t>엔지켐생명과학</t>
        </is>
      </c>
      <c r="C2286" s="2" t="inlineStr">
        <is>
          <t>183490</t>
        </is>
      </c>
      <c r="D2286" s="2" t="inlineStr">
        <is>
          <t>대량보유</t>
        </is>
      </c>
      <c r="E2286" s="3" t="inlineStr">
        <is>
          <t>신진우</t>
        </is>
      </c>
      <c r="F2286" s="3" t="inlineStr">
        <is>
          <t>특별관계자</t>
        </is>
      </c>
      <c r="G2286" s="3" t="inlineStr">
        <is>
          <t>신규보고(+)</t>
        </is>
      </c>
      <c r="H2286" s="15" t="n">
        <v>22000</v>
      </c>
      <c r="I2286" s="6" t="inlineStr"/>
      <c r="J2286" s="6" t="n">
        <v>22000</v>
      </c>
      <c r="K2286" s="16" t="n">
        <v>5.98</v>
      </c>
      <c r="L2286" s="2" t="inlineStr">
        <is>
          <t>20260601001955</t>
        </is>
      </c>
      <c r="M2286" s="8">
        <f>HYPERLINK("https://dart.fss.or.kr/dsaf001/main.do?rcpNo=20260601001955", "공시열람")</f>
        <v/>
      </c>
    </row>
    <row r="2287" ht="22" customHeight="1">
      <c r="A2287" s="2" t="inlineStr">
        <is>
          <t>2026-06-01</t>
        </is>
      </c>
      <c r="B2287" s="3" t="inlineStr">
        <is>
          <t>엔지켐생명과학</t>
        </is>
      </c>
      <c r="C2287" s="2" t="inlineStr">
        <is>
          <t>183490</t>
        </is>
      </c>
      <c r="D2287" s="2" t="inlineStr">
        <is>
          <t>대량보유</t>
        </is>
      </c>
      <c r="E2287" s="3" t="inlineStr">
        <is>
          <t>고희언</t>
        </is>
      </c>
      <c r="F2287" s="3" t="inlineStr">
        <is>
          <t>특별관계자</t>
        </is>
      </c>
      <c r="G2287" s="3" t="inlineStr">
        <is>
          <t>신규보고(+)</t>
        </is>
      </c>
      <c r="H2287" s="15" t="n">
        <v>1000</v>
      </c>
      <c r="I2287" s="6" t="inlineStr"/>
      <c r="J2287" s="6" t="n">
        <v>1000</v>
      </c>
      <c r="K2287" s="16" t="n">
        <v>5.98</v>
      </c>
      <c r="L2287" s="2" t="inlineStr">
        <is>
          <t>20260601001955</t>
        </is>
      </c>
      <c r="M2287" s="8">
        <f>HYPERLINK("https://dart.fss.or.kr/dsaf001/main.do?rcpNo=20260601001955", "공시열람")</f>
        <v/>
      </c>
    </row>
    <row r="2288" ht="22" customHeight="1">
      <c r="A2288" s="2" t="inlineStr">
        <is>
          <t>2026-06-01</t>
        </is>
      </c>
      <c r="B2288" s="3" t="inlineStr">
        <is>
          <t>엔지켐생명과학</t>
        </is>
      </c>
      <c r="C2288" s="2" t="inlineStr">
        <is>
          <t>183490</t>
        </is>
      </c>
      <c r="D2288" s="2" t="inlineStr">
        <is>
          <t>대량보유</t>
        </is>
      </c>
      <c r="E2288" s="3" t="inlineStr">
        <is>
          <t>박은혜</t>
        </is>
      </c>
      <c r="F2288" s="3" t="inlineStr">
        <is>
          <t>특별관계자</t>
        </is>
      </c>
      <c r="G2288" s="3" t="inlineStr">
        <is>
          <t>신규보고(+)</t>
        </is>
      </c>
      <c r="H2288" s="15" t="n">
        <v>600</v>
      </c>
      <c r="I2288" s="6" t="inlineStr"/>
      <c r="J2288" s="6" t="n">
        <v>600</v>
      </c>
      <c r="K2288" s="16" t="n">
        <v>5.98</v>
      </c>
      <c r="L2288" s="2" t="inlineStr">
        <is>
          <t>20260601001955</t>
        </is>
      </c>
      <c r="M2288" s="8">
        <f>HYPERLINK("https://dart.fss.or.kr/dsaf001/main.do?rcpNo=20260601001955", "공시열람")</f>
        <v/>
      </c>
    </row>
    <row r="2289" ht="22" customHeight="1">
      <c r="A2289" s="2" t="inlineStr">
        <is>
          <t>2026-06-01</t>
        </is>
      </c>
      <c r="B2289" s="3" t="inlineStr">
        <is>
          <t>엔지켐생명과학</t>
        </is>
      </c>
      <c r="C2289" s="2" t="inlineStr">
        <is>
          <t>183490</t>
        </is>
      </c>
      <c r="D2289" s="2" t="inlineStr">
        <is>
          <t>대량보유</t>
        </is>
      </c>
      <c r="E2289" s="3" t="inlineStr">
        <is>
          <t>최우영</t>
        </is>
      </c>
      <c r="F2289" s="3" t="inlineStr">
        <is>
          <t>특별관계자</t>
        </is>
      </c>
      <c r="G2289" s="3" t="inlineStr">
        <is>
          <t>신규보고(+)</t>
        </is>
      </c>
      <c r="H2289" s="15" t="n">
        <v>2558</v>
      </c>
      <c r="I2289" s="6" t="inlineStr"/>
      <c r="J2289" s="6" t="n">
        <v>2558</v>
      </c>
      <c r="K2289" s="16" t="n">
        <v>5.98</v>
      </c>
      <c r="L2289" s="2" t="inlineStr">
        <is>
          <t>20260601001955</t>
        </is>
      </c>
      <c r="M2289" s="8">
        <f>HYPERLINK("https://dart.fss.or.kr/dsaf001/main.do?rcpNo=20260601001955", "공시열람")</f>
        <v/>
      </c>
    </row>
    <row r="2290" ht="22" customHeight="1">
      <c r="A2290" s="2" t="inlineStr">
        <is>
          <t>2026-06-01</t>
        </is>
      </c>
      <c r="B2290" s="3" t="inlineStr">
        <is>
          <t>엔지켐생명과학</t>
        </is>
      </c>
      <c r="C2290" s="2" t="inlineStr">
        <is>
          <t>183490</t>
        </is>
      </c>
      <c r="D2290" s="2" t="inlineStr">
        <is>
          <t>대량보유</t>
        </is>
      </c>
      <c r="E2290" s="3" t="inlineStr">
        <is>
          <t>김기환</t>
        </is>
      </c>
      <c r="F2290" s="3" t="inlineStr">
        <is>
          <t>특별관계자</t>
        </is>
      </c>
      <c r="G2290" s="3" t="inlineStr">
        <is>
          <t>신규보고(+)</t>
        </is>
      </c>
      <c r="H2290" s="15" t="n">
        <v>7181</v>
      </c>
      <c r="I2290" s="6" t="inlineStr"/>
      <c r="J2290" s="6" t="n">
        <v>7181</v>
      </c>
      <c r="K2290" s="16" t="n">
        <v>5.98</v>
      </c>
      <c r="L2290" s="2" t="inlineStr">
        <is>
          <t>20260601001955</t>
        </is>
      </c>
      <c r="M2290" s="8">
        <f>HYPERLINK("https://dart.fss.or.kr/dsaf001/main.do?rcpNo=20260601001955", "공시열람")</f>
        <v/>
      </c>
    </row>
    <row r="2291" ht="22" customHeight="1">
      <c r="A2291" s="2" t="inlineStr">
        <is>
          <t>2026-06-01</t>
        </is>
      </c>
      <c r="B2291" s="3" t="inlineStr">
        <is>
          <t>엔지켐생명과학</t>
        </is>
      </c>
      <c r="C2291" s="2" t="inlineStr">
        <is>
          <t>183490</t>
        </is>
      </c>
      <c r="D2291" s="2" t="inlineStr">
        <is>
          <t>대량보유</t>
        </is>
      </c>
      <c r="E2291" s="3" t="inlineStr">
        <is>
          <t>박정우</t>
        </is>
      </c>
      <c r="F2291" s="3" t="inlineStr">
        <is>
          <t>특별관계자</t>
        </is>
      </c>
      <c r="G2291" s="3" t="inlineStr">
        <is>
          <t>신규보고(+)</t>
        </is>
      </c>
      <c r="H2291" s="15" t="n">
        <v>8980</v>
      </c>
      <c r="I2291" s="6" t="inlineStr"/>
      <c r="J2291" s="6" t="n">
        <v>8980</v>
      </c>
      <c r="K2291" s="16" t="n">
        <v>5.98</v>
      </c>
      <c r="L2291" s="2" t="inlineStr">
        <is>
          <t>20260601001955</t>
        </is>
      </c>
      <c r="M2291" s="8">
        <f>HYPERLINK("https://dart.fss.or.kr/dsaf001/main.do?rcpNo=20260601001955", "공시열람")</f>
        <v/>
      </c>
    </row>
    <row r="2292" ht="22" customHeight="1">
      <c r="A2292" s="2" t="inlineStr">
        <is>
          <t>2026-06-01</t>
        </is>
      </c>
      <c r="B2292" s="3" t="inlineStr">
        <is>
          <t>엔지켐생명과학</t>
        </is>
      </c>
      <c r="C2292" s="2" t="inlineStr">
        <is>
          <t>183490</t>
        </is>
      </c>
      <c r="D2292" s="2" t="inlineStr">
        <is>
          <t>대량보유</t>
        </is>
      </c>
      <c r="E2292" s="3" t="inlineStr">
        <is>
          <t>함덕현</t>
        </is>
      </c>
      <c r="F2292" s="3" t="inlineStr">
        <is>
          <t>특별관계자</t>
        </is>
      </c>
      <c r="G2292" s="3" t="inlineStr">
        <is>
          <t>신규보고(+)</t>
        </is>
      </c>
      <c r="H2292" s="15" t="n">
        <v>3965</v>
      </c>
      <c r="I2292" s="6" t="inlineStr"/>
      <c r="J2292" s="6" t="n">
        <v>3965</v>
      </c>
      <c r="K2292" s="16" t="n">
        <v>5.98</v>
      </c>
      <c r="L2292" s="2" t="inlineStr">
        <is>
          <t>20260601001955</t>
        </is>
      </c>
      <c r="M2292" s="8">
        <f>HYPERLINK("https://dart.fss.or.kr/dsaf001/main.do?rcpNo=20260601001955", "공시열람")</f>
        <v/>
      </c>
    </row>
    <row r="2293" ht="22" customHeight="1">
      <c r="A2293" s="2" t="inlineStr">
        <is>
          <t>2026-06-01</t>
        </is>
      </c>
      <c r="B2293" s="3" t="inlineStr">
        <is>
          <t>엔지켐생명과학</t>
        </is>
      </c>
      <c r="C2293" s="2" t="inlineStr">
        <is>
          <t>183490</t>
        </is>
      </c>
      <c r="D2293" s="2" t="inlineStr">
        <is>
          <t>대량보유</t>
        </is>
      </c>
      <c r="E2293" s="3" t="inlineStr">
        <is>
          <t>유호태</t>
        </is>
      </c>
      <c r="F2293" s="3" t="inlineStr">
        <is>
          <t>특별관계자</t>
        </is>
      </c>
      <c r="G2293" s="3" t="inlineStr">
        <is>
          <t>신규보고(+)</t>
        </is>
      </c>
      <c r="H2293" s="15" t="n">
        <v>32032</v>
      </c>
      <c r="I2293" s="6" t="inlineStr"/>
      <c r="J2293" s="6" t="n">
        <v>32032</v>
      </c>
      <c r="K2293" s="16" t="n">
        <v>5.98</v>
      </c>
      <c r="L2293" s="2" t="inlineStr">
        <is>
          <t>20260601001955</t>
        </is>
      </c>
      <c r="M2293" s="8">
        <f>HYPERLINK("https://dart.fss.or.kr/dsaf001/main.do?rcpNo=20260601001955", "공시열람")</f>
        <v/>
      </c>
    </row>
    <row r="2294" ht="22" customHeight="1">
      <c r="A2294" s="2" t="inlineStr">
        <is>
          <t>2026-06-01</t>
        </is>
      </c>
      <c r="B2294" s="3" t="inlineStr">
        <is>
          <t>엔지켐생명과학</t>
        </is>
      </c>
      <c r="C2294" s="2" t="inlineStr">
        <is>
          <t>183490</t>
        </is>
      </c>
      <c r="D2294" s="2" t="inlineStr">
        <is>
          <t>대량보유</t>
        </is>
      </c>
      <c r="E2294" s="3" t="inlineStr">
        <is>
          <t>전세준</t>
        </is>
      </c>
      <c r="F2294" s="3" t="inlineStr">
        <is>
          <t>특별관계자</t>
        </is>
      </c>
      <c r="G2294" s="3" t="inlineStr">
        <is>
          <t>신규보고(+)</t>
        </is>
      </c>
      <c r="H2294" s="15" t="n">
        <v>10319</v>
      </c>
      <c r="I2294" s="6" t="inlineStr"/>
      <c r="J2294" s="6" t="n">
        <v>10319</v>
      </c>
      <c r="K2294" s="16" t="n">
        <v>5.98</v>
      </c>
      <c r="L2294" s="2" t="inlineStr">
        <is>
          <t>20260601001955</t>
        </is>
      </c>
      <c r="M2294" s="8">
        <f>HYPERLINK("https://dart.fss.or.kr/dsaf001/main.do?rcpNo=20260601001955", "공시열람")</f>
        <v/>
      </c>
    </row>
    <row r="2295" ht="22" customHeight="1">
      <c r="A2295" s="2" t="inlineStr">
        <is>
          <t>2026-06-01</t>
        </is>
      </c>
      <c r="B2295" s="3" t="inlineStr">
        <is>
          <t>엔지켐생명과학</t>
        </is>
      </c>
      <c r="C2295" s="2" t="inlineStr">
        <is>
          <t>183490</t>
        </is>
      </c>
      <c r="D2295" s="2" t="inlineStr">
        <is>
          <t>대량보유</t>
        </is>
      </c>
      <c r="E2295" s="3" t="inlineStr">
        <is>
          <t>서경호</t>
        </is>
      </c>
      <c r="F2295" s="3" t="inlineStr">
        <is>
          <t>특별관계자</t>
        </is>
      </c>
      <c r="G2295" s="3" t="inlineStr">
        <is>
          <t>신규보고(+)</t>
        </is>
      </c>
      <c r="H2295" s="15" t="n">
        <v>13900</v>
      </c>
      <c r="I2295" s="6" t="inlineStr"/>
      <c r="J2295" s="6" t="n">
        <v>13900</v>
      </c>
      <c r="K2295" s="16" t="n">
        <v>5.98</v>
      </c>
      <c r="L2295" s="2" t="inlineStr">
        <is>
          <t>20260601001955</t>
        </is>
      </c>
      <c r="M2295" s="8">
        <f>HYPERLINK("https://dart.fss.or.kr/dsaf001/main.do?rcpNo=20260601001955", "공시열람")</f>
        <v/>
      </c>
    </row>
    <row r="2296" ht="22" customHeight="1">
      <c r="A2296" s="2" t="inlineStr">
        <is>
          <t>2026-06-01</t>
        </is>
      </c>
      <c r="B2296" s="3" t="inlineStr">
        <is>
          <t>엔지켐생명과학</t>
        </is>
      </c>
      <c r="C2296" s="2" t="inlineStr">
        <is>
          <t>183490</t>
        </is>
      </c>
      <c r="D2296" s="2" t="inlineStr">
        <is>
          <t>대량보유</t>
        </is>
      </c>
      <c r="E2296" s="3" t="inlineStr">
        <is>
          <t>이승준</t>
        </is>
      </c>
      <c r="F2296" s="3" t="inlineStr">
        <is>
          <t>특별관계자</t>
        </is>
      </c>
      <c r="G2296" s="3" t="inlineStr">
        <is>
          <t>신규보고(+)</t>
        </is>
      </c>
      <c r="H2296" s="15" t="n">
        <v>480</v>
      </c>
      <c r="I2296" s="6" t="inlineStr"/>
      <c r="J2296" s="6" t="n">
        <v>480</v>
      </c>
      <c r="K2296" s="16" t="n">
        <v>5.98</v>
      </c>
      <c r="L2296" s="2" t="inlineStr">
        <is>
          <t>20260601001955</t>
        </is>
      </c>
      <c r="M2296" s="8">
        <f>HYPERLINK("https://dart.fss.or.kr/dsaf001/main.do?rcpNo=20260601001955", "공시열람")</f>
        <v/>
      </c>
    </row>
    <row r="2297" ht="22" customHeight="1">
      <c r="A2297" s="2" t="inlineStr">
        <is>
          <t>2026-06-01</t>
        </is>
      </c>
      <c r="B2297" s="3" t="inlineStr">
        <is>
          <t>엔지켐생명과학</t>
        </is>
      </c>
      <c r="C2297" s="2" t="inlineStr">
        <is>
          <t>183490</t>
        </is>
      </c>
      <c r="D2297" s="2" t="inlineStr">
        <is>
          <t>대량보유</t>
        </is>
      </c>
      <c r="E2297" s="3" t="inlineStr">
        <is>
          <t>김미정</t>
        </is>
      </c>
      <c r="F2297" s="3" t="inlineStr">
        <is>
          <t>특별관계자</t>
        </is>
      </c>
      <c r="G2297" s="3" t="inlineStr">
        <is>
          <t>신규보고(+)</t>
        </is>
      </c>
      <c r="H2297" s="15" t="n">
        <v>250</v>
      </c>
      <c r="I2297" s="6" t="inlineStr"/>
      <c r="J2297" s="6" t="n">
        <v>250</v>
      </c>
      <c r="K2297" s="16" t="n">
        <v>5.98</v>
      </c>
      <c r="L2297" s="2" t="inlineStr">
        <is>
          <t>20260601001955</t>
        </is>
      </c>
      <c r="M2297" s="8">
        <f>HYPERLINK("https://dart.fss.or.kr/dsaf001/main.do?rcpNo=20260601001955", "공시열람")</f>
        <v/>
      </c>
    </row>
    <row r="2298" ht="22" customHeight="1">
      <c r="A2298" s="2" t="inlineStr">
        <is>
          <t>2026-06-01</t>
        </is>
      </c>
      <c r="B2298" s="3" t="inlineStr">
        <is>
          <t>엔지켐생명과학</t>
        </is>
      </c>
      <c r="C2298" s="2" t="inlineStr">
        <is>
          <t>183490</t>
        </is>
      </c>
      <c r="D2298" s="2" t="inlineStr">
        <is>
          <t>대량보유</t>
        </is>
      </c>
      <c r="E2298" s="3" t="inlineStr">
        <is>
          <t>김삼덕</t>
        </is>
      </c>
      <c r="F2298" s="3" t="inlineStr">
        <is>
          <t>특별관계자</t>
        </is>
      </c>
      <c r="G2298" s="3" t="inlineStr">
        <is>
          <t>신규보고(+)</t>
        </is>
      </c>
      <c r="H2298" s="15" t="n">
        <v>49150</v>
      </c>
      <c r="I2298" s="6" t="inlineStr"/>
      <c r="J2298" s="6" t="n">
        <v>49150</v>
      </c>
      <c r="K2298" s="16" t="n">
        <v>5.98</v>
      </c>
      <c r="L2298" s="2" t="inlineStr">
        <is>
          <t>20260601001955</t>
        </is>
      </c>
      <c r="M2298" s="8">
        <f>HYPERLINK("https://dart.fss.or.kr/dsaf001/main.do?rcpNo=20260601001955", "공시열람")</f>
        <v/>
      </c>
    </row>
    <row r="2299" ht="22" customHeight="1">
      <c r="A2299" s="2" t="inlineStr">
        <is>
          <t>2026-06-01</t>
        </is>
      </c>
      <c r="B2299" s="3" t="inlineStr">
        <is>
          <t>엔지켐생명과학</t>
        </is>
      </c>
      <c r="C2299" s="2" t="inlineStr">
        <is>
          <t>183490</t>
        </is>
      </c>
      <c r="D2299" s="2" t="inlineStr">
        <is>
          <t>대량보유</t>
        </is>
      </c>
      <c r="E2299" s="3" t="inlineStr">
        <is>
          <t>신현기</t>
        </is>
      </c>
      <c r="F2299" s="3" t="inlineStr">
        <is>
          <t>특별관계자</t>
        </is>
      </c>
      <c r="G2299" s="3" t="inlineStr">
        <is>
          <t>신규보고(+)</t>
        </is>
      </c>
      <c r="H2299" s="15" t="n">
        <v>7800</v>
      </c>
      <c r="I2299" s="6" t="inlineStr"/>
      <c r="J2299" s="6" t="n">
        <v>7800</v>
      </c>
      <c r="K2299" s="16" t="n">
        <v>5.98</v>
      </c>
      <c r="L2299" s="2" t="inlineStr">
        <is>
          <t>20260601001955</t>
        </is>
      </c>
      <c r="M2299" s="8">
        <f>HYPERLINK("https://dart.fss.or.kr/dsaf001/main.do?rcpNo=20260601001955", "공시열람")</f>
        <v/>
      </c>
    </row>
    <row r="2300" ht="22" customHeight="1">
      <c r="A2300" s="2" t="inlineStr">
        <is>
          <t>2026-06-01</t>
        </is>
      </c>
      <c r="B2300" s="3" t="inlineStr">
        <is>
          <t>엔지켐생명과학</t>
        </is>
      </c>
      <c r="C2300" s="2" t="inlineStr">
        <is>
          <t>183490</t>
        </is>
      </c>
      <c r="D2300" s="2" t="inlineStr">
        <is>
          <t>대량보유</t>
        </is>
      </c>
      <c r="E2300" s="3" t="inlineStr">
        <is>
          <t>정인혜</t>
        </is>
      </c>
      <c r="F2300" s="3" t="inlineStr">
        <is>
          <t>특별관계자</t>
        </is>
      </c>
      <c r="G2300" s="3" t="inlineStr">
        <is>
          <t>신규보고(+)</t>
        </is>
      </c>
      <c r="H2300" s="15" t="n">
        <v>468</v>
      </c>
      <c r="I2300" s="6" t="inlineStr"/>
      <c r="J2300" s="6" t="n">
        <v>468</v>
      </c>
      <c r="K2300" s="16" t="n">
        <v>5.98</v>
      </c>
      <c r="L2300" s="2" t="inlineStr">
        <is>
          <t>20260601001955</t>
        </is>
      </c>
      <c r="M2300" s="8">
        <f>HYPERLINK("https://dart.fss.or.kr/dsaf001/main.do?rcpNo=20260601001955", "공시열람")</f>
        <v/>
      </c>
    </row>
    <row r="2301" ht="22" customHeight="1">
      <c r="A2301" s="2" t="inlineStr">
        <is>
          <t>2026-06-01</t>
        </is>
      </c>
      <c r="B2301" s="3" t="inlineStr">
        <is>
          <t>엔지켐생명과학</t>
        </is>
      </c>
      <c r="C2301" s="2" t="inlineStr">
        <is>
          <t>183490</t>
        </is>
      </c>
      <c r="D2301" s="2" t="inlineStr">
        <is>
          <t>대량보유</t>
        </is>
      </c>
      <c r="E2301" s="3" t="inlineStr">
        <is>
          <t>최정원</t>
        </is>
      </c>
      <c r="F2301" s="3" t="inlineStr">
        <is>
          <t>특별관계자</t>
        </is>
      </c>
      <c r="G2301" s="3" t="inlineStr">
        <is>
          <t>신규보고(+)</t>
        </is>
      </c>
      <c r="H2301" s="15" t="n">
        <v>180</v>
      </c>
      <c r="I2301" s="6" t="inlineStr"/>
      <c r="J2301" s="6" t="n">
        <v>180</v>
      </c>
      <c r="K2301" s="16" t="n">
        <v>5.98</v>
      </c>
      <c r="L2301" s="2" t="inlineStr">
        <is>
          <t>20260601001955</t>
        </is>
      </c>
      <c r="M2301" s="8">
        <f>HYPERLINK("https://dart.fss.or.kr/dsaf001/main.do?rcpNo=20260601001955", "공시열람")</f>
        <v/>
      </c>
    </row>
    <row r="2302" ht="22" customHeight="1">
      <c r="A2302" s="2" t="inlineStr">
        <is>
          <t>2026-06-01</t>
        </is>
      </c>
      <c r="B2302" s="3" t="inlineStr">
        <is>
          <t>엔지켐생명과학</t>
        </is>
      </c>
      <c r="C2302" s="2" t="inlineStr">
        <is>
          <t>183490</t>
        </is>
      </c>
      <c r="D2302" s="2" t="inlineStr">
        <is>
          <t>대량보유</t>
        </is>
      </c>
      <c r="E2302" s="3" t="inlineStr">
        <is>
          <t>이현주</t>
        </is>
      </c>
      <c r="F2302" s="3" t="inlineStr">
        <is>
          <t>특별관계자</t>
        </is>
      </c>
      <c r="G2302" s="3" t="inlineStr">
        <is>
          <t>신규보고(+)</t>
        </is>
      </c>
      <c r="H2302" s="15" t="n">
        <v>3000</v>
      </c>
      <c r="I2302" s="6" t="inlineStr"/>
      <c r="J2302" s="6" t="n">
        <v>3000</v>
      </c>
      <c r="K2302" s="16" t="n">
        <v>5.98</v>
      </c>
      <c r="L2302" s="2" t="inlineStr">
        <is>
          <t>20260601001955</t>
        </is>
      </c>
      <c r="M2302" s="8">
        <f>HYPERLINK("https://dart.fss.or.kr/dsaf001/main.do?rcpNo=20260601001955", "공시열람")</f>
        <v/>
      </c>
    </row>
    <row r="2303" ht="22" customHeight="1">
      <c r="A2303" s="2" t="inlineStr">
        <is>
          <t>2026-06-01</t>
        </is>
      </c>
      <c r="B2303" s="3" t="inlineStr">
        <is>
          <t>엔지켐생명과학</t>
        </is>
      </c>
      <c r="C2303" s="2" t="inlineStr">
        <is>
          <t>183490</t>
        </is>
      </c>
      <c r="D2303" s="2" t="inlineStr">
        <is>
          <t>대량보유</t>
        </is>
      </c>
      <c r="E2303" s="3" t="inlineStr">
        <is>
          <t>황선화</t>
        </is>
      </c>
      <c r="F2303" s="3" t="inlineStr">
        <is>
          <t>특별관계자</t>
        </is>
      </c>
      <c r="G2303" s="3" t="inlineStr">
        <is>
          <t>신규보고(+)</t>
        </is>
      </c>
      <c r="H2303" s="15" t="n">
        <v>98000</v>
      </c>
      <c r="I2303" s="6" t="inlineStr"/>
      <c r="J2303" s="6" t="n">
        <v>98000</v>
      </c>
      <c r="K2303" s="16" t="n">
        <v>5.98</v>
      </c>
      <c r="L2303" s="2" t="inlineStr">
        <is>
          <t>20260601001955</t>
        </is>
      </c>
      <c r="M2303" s="8">
        <f>HYPERLINK("https://dart.fss.or.kr/dsaf001/main.do?rcpNo=20260601001955", "공시열람")</f>
        <v/>
      </c>
    </row>
    <row r="2304" ht="22" customHeight="1">
      <c r="A2304" s="2" t="inlineStr">
        <is>
          <t>2026-06-01</t>
        </is>
      </c>
      <c r="B2304" s="3" t="inlineStr">
        <is>
          <t>엔지켐생명과학</t>
        </is>
      </c>
      <c r="C2304" s="2" t="inlineStr">
        <is>
          <t>183490</t>
        </is>
      </c>
      <c r="D2304" s="2" t="inlineStr">
        <is>
          <t>대량보유</t>
        </is>
      </c>
      <c r="E2304" s="3" t="inlineStr">
        <is>
          <t>김종철</t>
        </is>
      </c>
      <c r="F2304" s="3" t="inlineStr">
        <is>
          <t>특별관계자</t>
        </is>
      </c>
      <c r="G2304" s="3" t="inlineStr">
        <is>
          <t>신규보고(+)</t>
        </is>
      </c>
      <c r="H2304" s="15" t="n">
        <v>41659</v>
      </c>
      <c r="I2304" s="6" t="inlineStr"/>
      <c r="J2304" s="6" t="n">
        <v>41659</v>
      </c>
      <c r="K2304" s="16" t="n">
        <v>5.98</v>
      </c>
      <c r="L2304" s="2" t="inlineStr">
        <is>
          <t>20260601001955</t>
        </is>
      </c>
      <c r="M2304" s="8">
        <f>HYPERLINK("https://dart.fss.or.kr/dsaf001/main.do?rcpNo=20260601001955", "공시열람")</f>
        <v/>
      </c>
    </row>
    <row r="2305" ht="22" customHeight="1">
      <c r="A2305" s="2" t="inlineStr">
        <is>
          <t>2026-06-01</t>
        </is>
      </c>
      <c r="B2305" s="3" t="inlineStr">
        <is>
          <t>엔지켐생명과학</t>
        </is>
      </c>
      <c r="C2305" s="2" t="inlineStr">
        <is>
          <t>183490</t>
        </is>
      </c>
      <c r="D2305" s="2" t="inlineStr">
        <is>
          <t>대량보유</t>
        </is>
      </c>
      <c r="E2305" s="3" t="inlineStr">
        <is>
          <t>김복자</t>
        </is>
      </c>
      <c r="F2305" s="3" t="inlineStr">
        <is>
          <t>특별관계자</t>
        </is>
      </c>
      <c r="G2305" s="3" t="inlineStr">
        <is>
          <t>신규보고(+)</t>
        </is>
      </c>
      <c r="H2305" s="15" t="n">
        <v>53000</v>
      </c>
      <c r="I2305" s="6" t="inlineStr"/>
      <c r="J2305" s="6" t="n">
        <v>53000</v>
      </c>
      <c r="K2305" s="16" t="n">
        <v>5.98</v>
      </c>
      <c r="L2305" s="2" t="inlineStr">
        <is>
          <t>20260601001955</t>
        </is>
      </c>
      <c r="M2305" s="8">
        <f>HYPERLINK("https://dart.fss.or.kr/dsaf001/main.do?rcpNo=20260601001955", "공시열람")</f>
        <v/>
      </c>
    </row>
    <row r="2306" ht="22" customHeight="1">
      <c r="A2306" s="2" t="inlineStr">
        <is>
          <t>2026-06-01</t>
        </is>
      </c>
      <c r="B2306" s="3" t="inlineStr">
        <is>
          <t>엔지켐생명과학</t>
        </is>
      </c>
      <c r="C2306" s="2" t="inlineStr">
        <is>
          <t>183490</t>
        </is>
      </c>
      <c r="D2306" s="2" t="inlineStr">
        <is>
          <t>대량보유</t>
        </is>
      </c>
      <c r="E2306" s="3" t="inlineStr">
        <is>
          <t>박계령</t>
        </is>
      </c>
      <c r="F2306" s="3" t="inlineStr">
        <is>
          <t>특별관계자</t>
        </is>
      </c>
      <c r="G2306" s="3" t="inlineStr">
        <is>
          <t>신규보고(+)</t>
        </is>
      </c>
      <c r="H2306" s="15" t="n">
        <v>83000</v>
      </c>
      <c r="I2306" s="6" t="inlineStr"/>
      <c r="J2306" s="6" t="n">
        <v>83000</v>
      </c>
      <c r="K2306" s="16" t="n">
        <v>5.98</v>
      </c>
      <c r="L2306" s="2" t="inlineStr">
        <is>
          <t>20260601001955</t>
        </is>
      </c>
      <c r="M2306" s="8">
        <f>HYPERLINK("https://dart.fss.or.kr/dsaf001/main.do?rcpNo=20260601001955", "공시열람")</f>
        <v/>
      </c>
    </row>
    <row r="2307" ht="22" customHeight="1">
      <c r="A2307" s="2" t="inlineStr">
        <is>
          <t>2026-06-01</t>
        </is>
      </c>
      <c r="B2307" s="3" t="inlineStr">
        <is>
          <t>엔지켐생명과학</t>
        </is>
      </c>
      <c r="C2307" s="2" t="inlineStr">
        <is>
          <t>183490</t>
        </is>
      </c>
      <c r="D2307" s="2" t="inlineStr">
        <is>
          <t>대량보유</t>
        </is>
      </c>
      <c r="E2307" s="3" t="inlineStr">
        <is>
          <t>이정숙</t>
        </is>
      </c>
      <c r="F2307" s="3" t="inlineStr">
        <is>
          <t>특별관계자</t>
        </is>
      </c>
      <c r="G2307" s="3" t="inlineStr">
        <is>
          <t>신규보고(+)</t>
        </is>
      </c>
      <c r="H2307" s="15" t="n">
        <v>72028</v>
      </c>
      <c r="I2307" s="6" t="inlineStr"/>
      <c r="J2307" s="6" t="n">
        <v>72028</v>
      </c>
      <c r="K2307" s="16" t="n">
        <v>5.98</v>
      </c>
      <c r="L2307" s="2" t="inlineStr">
        <is>
          <t>20260601001955</t>
        </is>
      </c>
      <c r="M2307" s="8">
        <f>HYPERLINK("https://dart.fss.or.kr/dsaf001/main.do?rcpNo=20260601001955", "공시열람")</f>
        <v/>
      </c>
    </row>
    <row r="2308" ht="22" customHeight="1">
      <c r="A2308" s="2" t="inlineStr">
        <is>
          <t>2026-06-01</t>
        </is>
      </c>
      <c r="B2308" s="3" t="inlineStr">
        <is>
          <t>엔지켐생명과학</t>
        </is>
      </c>
      <c r="C2308" s="2" t="inlineStr">
        <is>
          <t>183490</t>
        </is>
      </c>
      <c r="D2308" s="2" t="inlineStr">
        <is>
          <t>대량보유</t>
        </is>
      </c>
      <c r="E2308" s="3" t="inlineStr">
        <is>
          <t>박성우</t>
        </is>
      </c>
      <c r="F2308" s="3" t="inlineStr">
        <is>
          <t>특별관계자</t>
        </is>
      </c>
      <c r="G2308" s="3" t="inlineStr">
        <is>
          <t>신규보고(+)</t>
        </is>
      </c>
      <c r="H2308" s="15" t="n">
        <v>285000</v>
      </c>
      <c r="I2308" s="6" t="inlineStr"/>
      <c r="J2308" s="6" t="n">
        <v>285000</v>
      </c>
      <c r="K2308" s="16" t="n">
        <v>5.98</v>
      </c>
      <c r="L2308" s="2" t="inlineStr">
        <is>
          <t>20260601001955</t>
        </is>
      </c>
      <c r="M2308" s="8">
        <f>HYPERLINK("https://dart.fss.or.kr/dsaf001/main.do?rcpNo=20260601001955", "공시열람")</f>
        <v/>
      </c>
    </row>
    <row r="2309" ht="22" customHeight="1">
      <c r="A2309" s="2" t="inlineStr">
        <is>
          <t>2026-06-01</t>
        </is>
      </c>
      <c r="B2309" s="3" t="inlineStr">
        <is>
          <t>엔지켐생명과학</t>
        </is>
      </c>
      <c r="C2309" s="2" t="inlineStr">
        <is>
          <t>183490</t>
        </is>
      </c>
      <c r="D2309" s="2" t="inlineStr">
        <is>
          <t>대량보유</t>
        </is>
      </c>
      <c r="E2309" s="3" t="inlineStr">
        <is>
          <t>김민정</t>
        </is>
      </c>
      <c r="F2309" s="3" t="inlineStr">
        <is>
          <t>특별관계자</t>
        </is>
      </c>
      <c r="G2309" s="3" t="inlineStr">
        <is>
          <t>신규보고(+)</t>
        </is>
      </c>
      <c r="H2309" s="15" t="n">
        <v>4818</v>
      </c>
      <c r="I2309" s="6" t="inlineStr"/>
      <c r="J2309" s="6" t="n">
        <v>4818</v>
      </c>
      <c r="K2309" s="16" t="n">
        <v>5.98</v>
      </c>
      <c r="L2309" s="2" t="inlineStr">
        <is>
          <t>20260601001955</t>
        </is>
      </c>
      <c r="M2309" s="8">
        <f>HYPERLINK("https://dart.fss.or.kr/dsaf001/main.do?rcpNo=20260601001955", "공시열람")</f>
        <v/>
      </c>
    </row>
    <row r="2310" ht="22" customHeight="1">
      <c r="A2310" s="2" t="inlineStr">
        <is>
          <t>2026-06-01</t>
        </is>
      </c>
      <c r="B2310" s="3" t="inlineStr">
        <is>
          <t>엔지켐생명과학</t>
        </is>
      </c>
      <c r="C2310" s="2" t="inlineStr">
        <is>
          <t>183490</t>
        </is>
      </c>
      <c r="D2310" s="2" t="inlineStr">
        <is>
          <t>대량보유</t>
        </is>
      </c>
      <c r="E2310" s="3" t="inlineStr">
        <is>
          <t>최종환</t>
        </is>
      </c>
      <c r="F2310" s="3" t="inlineStr">
        <is>
          <t>특별관계자</t>
        </is>
      </c>
      <c r="G2310" s="3" t="inlineStr">
        <is>
          <t>신규보고(+)</t>
        </is>
      </c>
      <c r="H2310" s="15" t="n">
        <v>52311</v>
      </c>
      <c r="I2310" s="6" t="inlineStr"/>
      <c r="J2310" s="6" t="n">
        <v>52311</v>
      </c>
      <c r="K2310" s="16" t="n">
        <v>5.98</v>
      </c>
      <c r="L2310" s="2" t="inlineStr">
        <is>
          <t>20260601001955</t>
        </is>
      </c>
      <c r="M2310" s="8">
        <f>HYPERLINK("https://dart.fss.or.kr/dsaf001/main.do?rcpNo=20260601001955", "공시열람")</f>
        <v/>
      </c>
    </row>
    <row r="2311" ht="22" customHeight="1">
      <c r="A2311" s="2" t="inlineStr">
        <is>
          <t>2026-06-01</t>
        </is>
      </c>
      <c r="B2311" s="3" t="inlineStr">
        <is>
          <t>엔지켐생명과학</t>
        </is>
      </c>
      <c r="C2311" s="2" t="inlineStr">
        <is>
          <t>183490</t>
        </is>
      </c>
      <c r="D2311" s="2" t="inlineStr">
        <is>
          <t>대량보유</t>
        </is>
      </c>
      <c r="E2311" s="3" t="inlineStr">
        <is>
          <t>송미성</t>
        </is>
      </c>
      <c r="F2311" s="3" t="inlineStr">
        <is>
          <t>특별관계자</t>
        </is>
      </c>
      <c r="G2311" s="3" t="inlineStr">
        <is>
          <t>신규보고(+)</t>
        </is>
      </c>
      <c r="H2311" s="15" t="n">
        <v>60090</v>
      </c>
      <c r="I2311" s="6" t="inlineStr"/>
      <c r="J2311" s="6" t="n">
        <v>60090</v>
      </c>
      <c r="K2311" s="16" t="n">
        <v>5.98</v>
      </c>
      <c r="L2311" s="2" t="inlineStr">
        <is>
          <t>20260601001955</t>
        </is>
      </c>
      <c r="M2311" s="8">
        <f>HYPERLINK("https://dart.fss.or.kr/dsaf001/main.do?rcpNo=20260601001955", "공시열람")</f>
        <v/>
      </c>
    </row>
    <row r="2312" ht="22" customHeight="1">
      <c r="A2312" s="2" t="inlineStr">
        <is>
          <t>2026-06-01</t>
        </is>
      </c>
      <c r="B2312" s="3" t="inlineStr">
        <is>
          <t>엔지켐생명과학</t>
        </is>
      </c>
      <c r="C2312" s="2" t="inlineStr">
        <is>
          <t>183490</t>
        </is>
      </c>
      <c r="D2312" s="2" t="inlineStr">
        <is>
          <t>대량보유</t>
        </is>
      </c>
      <c r="E2312" s="3" t="inlineStr">
        <is>
          <t>정영숙</t>
        </is>
      </c>
      <c r="F2312" s="3" t="inlineStr">
        <is>
          <t>특별관계자</t>
        </is>
      </c>
      <c r="G2312" s="3" t="inlineStr">
        <is>
          <t>신규보고(+)</t>
        </is>
      </c>
      <c r="H2312" s="15" t="n">
        <v>2000</v>
      </c>
      <c r="I2312" s="6" t="inlineStr"/>
      <c r="J2312" s="6" t="n">
        <v>2000</v>
      </c>
      <c r="K2312" s="16" t="n">
        <v>5.98</v>
      </c>
      <c r="L2312" s="2" t="inlineStr">
        <is>
          <t>20260601001955</t>
        </is>
      </c>
      <c r="M2312" s="8">
        <f>HYPERLINK("https://dart.fss.or.kr/dsaf001/main.do?rcpNo=20260601001955", "공시열람")</f>
        <v/>
      </c>
    </row>
    <row r="2313" ht="22" customHeight="1">
      <c r="A2313" s="2" t="inlineStr">
        <is>
          <t>2026-06-01</t>
        </is>
      </c>
      <c r="B2313" s="3" t="inlineStr">
        <is>
          <t>엔지켐생명과학</t>
        </is>
      </c>
      <c r="C2313" s="2" t="inlineStr">
        <is>
          <t>183490</t>
        </is>
      </c>
      <c r="D2313" s="2" t="inlineStr">
        <is>
          <t>대량보유</t>
        </is>
      </c>
      <c r="E2313" s="3" t="inlineStr">
        <is>
          <t>이창우</t>
        </is>
      </c>
      <c r="F2313" s="3" t="inlineStr">
        <is>
          <t>특별관계자</t>
        </is>
      </c>
      <c r="G2313" s="3" t="inlineStr">
        <is>
          <t>신규보고(+)</t>
        </is>
      </c>
      <c r="H2313" s="15" t="n">
        <v>3048</v>
      </c>
      <c r="I2313" s="6" t="inlineStr"/>
      <c r="J2313" s="6" t="n">
        <v>3048</v>
      </c>
      <c r="K2313" s="16" t="n">
        <v>5.98</v>
      </c>
      <c r="L2313" s="2" t="inlineStr">
        <is>
          <t>20260601001955</t>
        </is>
      </c>
      <c r="M2313" s="8">
        <f>HYPERLINK("https://dart.fss.or.kr/dsaf001/main.do?rcpNo=20260601001955", "공시열람")</f>
        <v/>
      </c>
    </row>
    <row r="2314" ht="22" customHeight="1">
      <c r="A2314" s="2" t="inlineStr">
        <is>
          <t>2026-06-01</t>
        </is>
      </c>
      <c r="B2314" s="3" t="inlineStr">
        <is>
          <t>엔지켐생명과학</t>
        </is>
      </c>
      <c r="C2314" s="2" t="inlineStr">
        <is>
          <t>183490</t>
        </is>
      </c>
      <c r="D2314" s="2" t="inlineStr">
        <is>
          <t>대량보유</t>
        </is>
      </c>
      <c r="E2314" s="3" t="inlineStr">
        <is>
          <t>김도수</t>
        </is>
      </c>
      <c r="F2314" s="3" t="inlineStr">
        <is>
          <t>특별관계자</t>
        </is>
      </c>
      <c r="G2314" s="3" t="inlineStr">
        <is>
          <t>신규보고(+)</t>
        </is>
      </c>
      <c r="H2314" s="15" t="n">
        <v>900</v>
      </c>
      <c r="I2314" s="6" t="inlineStr"/>
      <c r="J2314" s="6" t="n">
        <v>900</v>
      </c>
      <c r="K2314" s="16" t="n">
        <v>5.98</v>
      </c>
      <c r="L2314" s="2" t="inlineStr">
        <is>
          <t>20260601001955</t>
        </is>
      </c>
      <c r="M2314" s="8">
        <f>HYPERLINK("https://dart.fss.or.kr/dsaf001/main.do?rcpNo=20260601001955", "공시열람")</f>
        <v/>
      </c>
    </row>
    <row r="2315" ht="22" customHeight="1">
      <c r="A2315" s="2" t="inlineStr">
        <is>
          <t>2026-06-01</t>
        </is>
      </c>
      <c r="B2315" s="3" t="inlineStr">
        <is>
          <t>엔지켐생명과학</t>
        </is>
      </c>
      <c r="C2315" s="2" t="inlineStr">
        <is>
          <t>183490</t>
        </is>
      </c>
      <c r="D2315" s="2" t="inlineStr">
        <is>
          <t>대량보유</t>
        </is>
      </c>
      <c r="E2315" s="3" t="inlineStr">
        <is>
          <t>이희선</t>
        </is>
      </c>
      <c r="F2315" s="3" t="inlineStr">
        <is>
          <t>특별관계자</t>
        </is>
      </c>
      <c r="G2315" s="3" t="inlineStr">
        <is>
          <t>신규보고(+)</t>
        </is>
      </c>
      <c r="H2315" s="15" t="n">
        <v>3044</v>
      </c>
      <c r="I2315" s="6" t="inlineStr"/>
      <c r="J2315" s="6" t="n">
        <v>3044</v>
      </c>
      <c r="K2315" s="16" t="n">
        <v>5.98</v>
      </c>
      <c r="L2315" s="2" t="inlineStr">
        <is>
          <t>20260601001955</t>
        </is>
      </c>
      <c r="M2315" s="8">
        <f>HYPERLINK("https://dart.fss.or.kr/dsaf001/main.do?rcpNo=20260601001955", "공시열람")</f>
        <v/>
      </c>
    </row>
    <row r="2316" ht="22" customHeight="1">
      <c r="A2316" s="2" t="inlineStr">
        <is>
          <t>2026-06-01</t>
        </is>
      </c>
      <c r="B2316" s="3" t="inlineStr">
        <is>
          <t>엔지켐생명과학</t>
        </is>
      </c>
      <c r="C2316" s="2" t="inlineStr">
        <is>
          <t>183490</t>
        </is>
      </c>
      <c r="D2316" s="2" t="inlineStr">
        <is>
          <t>대량보유</t>
        </is>
      </c>
      <c r="E2316" s="3" t="inlineStr">
        <is>
          <t>홍금님</t>
        </is>
      </c>
      <c r="F2316" s="3" t="inlineStr">
        <is>
          <t>특별관계자</t>
        </is>
      </c>
      <c r="G2316" s="3" t="inlineStr">
        <is>
          <t>신규보고(+)</t>
        </is>
      </c>
      <c r="H2316" s="15" t="n">
        <v>9732</v>
      </c>
      <c r="I2316" s="6" t="inlineStr"/>
      <c r="J2316" s="6" t="n">
        <v>9732</v>
      </c>
      <c r="K2316" s="16" t="n">
        <v>5.98</v>
      </c>
      <c r="L2316" s="2" t="inlineStr">
        <is>
          <t>20260601001955</t>
        </is>
      </c>
      <c r="M2316" s="8">
        <f>HYPERLINK("https://dart.fss.or.kr/dsaf001/main.do?rcpNo=20260601001955", "공시열람")</f>
        <v/>
      </c>
    </row>
    <row r="2317" ht="22" customHeight="1">
      <c r="A2317" s="2" t="inlineStr">
        <is>
          <t>2026-06-01</t>
        </is>
      </c>
      <c r="B2317" s="3" t="inlineStr">
        <is>
          <t>엔지켐생명과학</t>
        </is>
      </c>
      <c r="C2317" s="2" t="inlineStr">
        <is>
          <t>183490</t>
        </is>
      </c>
      <c r="D2317" s="2" t="inlineStr">
        <is>
          <t>대량보유</t>
        </is>
      </c>
      <c r="E2317" s="3" t="inlineStr">
        <is>
          <t>송호림</t>
        </is>
      </c>
      <c r="F2317" s="3" t="inlineStr">
        <is>
          <t>특별관계자</t>
        </is>
      </c>
      <c r="G2317" s="3" t="inlineStr">
        <is>
          <t>신규보고(+)</t>
        </is>
      </c>
      <c r="H2317" s="15" t="n">
        <v>65170</v>
      </c>
      <c r="I2317" s="6" t="inlineStr"/>
      <c r="J2317" s="6" t="n">
        <v>65170</v>
      </c>
      <c r="K2317" s="16" t="n">
        <v>5.98</v>
      </c>
      <c r="L2317" s="2" t="inlineStr">
        <is>
          <t>20260601001955</t>
        </is>
      </c>
      <c r="M2317" s="8">
        <f>HYPERLINK("https://dart.fss.or.kr/dsaf001/main.do?rcpNo=20260601001955", "공시열람")</f>
        <v/>
      </c>
    </row>
    <row r="2318" ht="22" customHeight="1">
      <c r="A2318" s="2" t="inlineStr">
        <is>
          <t>2026-06-01</t>
        </is>
      </c>
      <c r="B2318" s="3" t="inlineStr">
        <is>
          <t>엔지켐생명과학</t>
        </is>
      </c>
      <c r="C2318" s="2" t="inlineStr">
        <is>
          <t>183490</t>
        </is>
      </c>
      <c r="D2318" s="2" t="inlineStr">
        <is>
          <t>대량보유</t>
        </is>
      </c>
      <c r="E2318" s="3" t="inlineStr">
        <is>
          <t>유영수</t>
        </is>
      </c>
      <c r="F2318" s="3" t="inlineStr">
        <is>
          <t>특별관계자</t>
        </is>
      </c>
      <c r="G2318" s="3" t="inlineStr">
        <is>
          <t>신규보고(+)</t>
        </is>
      </c>
      <c r="H2318" s="15" t="n">
        <v>10500</v>
      </c>
      <c r="I2318" s="6" t="inlineStr"/>
      <c r="J2318" s="6" t="n">
        <v>10500</v>
      </c>
      <c r="K2318" s="16" t="n">
        <v>5.98</v>
      </c>
      <c r="L2318" s="2" t="inlineStr">
        <is>
          <t>20260601001955</t>
        </is>
      </c>
      <c r="M2318" s="8">
        <f>HYPERLINK("https://dart.fss.or.kr/dsaf001/main.do?rcpNo=20260601001955", "공시열람")</f>
        <v/>
      </c>
    </row>
    <row r="2319" ht="22" customHeight="1">
      <c r="A2319" s="2" t="inlineStr">
        <is>
          <t>2026-06-01</t>
        </is>
      </c>
      <c r="B2319" s="3" t="inlineStr">
        <is>
          <t>엔지켐생명과학</t>
        </is>
      </c>
      <c r="C2319" s="2" t="inlineStr">
        <is>
          <t>183490</t>
        </is>
      </c>
      <c r="D2319" s="2" t="inlineStr">
        <is>
          <t>대량보유</t>
        </is>
      </c>
      <c r="E2319" s="3" t="inlineStr">
        <is>
          <t>주준기</t>
        </is>
      </c>
      <c r="F2319" s="3" t="inlineStr">
        <is>
          <t>특별관계자</t>
        </is>
      </c>
      <c r="G2319" s="3" t="inlineStr">
        <is>
          <t>신규보고(+)</t>
        </is>
      </c>
      <c r="H2319" s="15" t="n">
        <v>26600</v>
      </c>
      <c r="I2319" s="6" t="inlineStr"/>
      <c r="J2319" s="6" t="n">
        <v>26600</v>
      </c>
      <c r="K2319" s="16" t="n">
        <v>5.98</v>
      </c>
      <c r="L2319" s="2" t="inlineStr">
        <is>
          <t>20260601001955</t>
        </is>
      </c>
      <c r="M2319" s="8">
        <f>HYPERLINK("https://dart.fss.or.kr/dsaf001/main.do?rcpNo=20260601001955", "공시열람")</f>
        <v/>
      </c>
    </row>
    <row r="2320" ht="22" customHeight="1">
      <c r="A2320" s="2" t="inlineStr">
        <is>
          <t>2026-06-01</t>
        </is>
      </c>
      <c r="B2320" s="3" t="inlineStr">
        <is>
          <t>엔지켐생명과학</t>
        </is>
      </c>
      <c r="C2320" s="2" t="inlineStr">
        <is>
          <t>183490</t>
        </is>
      </c>
      <c r="D2320" s="2" t="inlineStr">
        <is>
          <t>대량보유</t>
        </is>
      </c>
      <c r="E2320" s="3" t="inlineStr">
        <is>
          <t>김정국</t>
        </is>
      </c>
      <c r="F2320" s="3" t="inlineStr">
        <is>
          <t>특별관계자</t>
        </is>
      </c>
      <c r="G2320" s="3" t="inlineStr">
        <is>
          <t>신규보고(+)</t>
        </is>
      </c>
      <c r="H2320" s="15" t="n">
        <v>284227</v>
      </c>
      <c r="I2320" s="6" t="inlineStr"/>
      <c r="J2320" s="6" t="n">
        <v>284227</v>
      </c>
      <c r="K2320" s="16" t="n">
        <v>5.98</v>
      </c>
      <c r="L2320" s="2" t="inlineStr">
        <is>
          <t>20260601001955</t>
        </is>
      </c>
      <c r="M2320" s="8">
        <f>HYPERLINK("https://dart.fss.or.kr/dsaf001/main.do?rcpNo=20260601001955", "공시열람")</f>
        <v/>
      </c>
    </row>
    <row r="2321" ht="22" customHeight="1">
      <c r="A2321" s="2" t="inlineStr">
        <is>
          <t>2026-06-01</t>
        </is>
      </c>
      <c r="B2321" s="3" t="inlineStr">
        <is>
          <t>엔지켐생명과학</t>
        </is>
      </c>
      <c r="C2321" s="2" t="inlineStr">
        <is>
          <t>183490</t>
        </is>
      </c>
      <c r="D2321" s="2" t="inlineStr">
        <is>
          <t>대량보유</t>
        </is>
      </c>
      <c r="E2321" s="3" t="inlineStr">
        <is>
          <t>손계숙</t>
        </is>
      </c>
      <c r="F2321" s="3" t="inlineStr">
        <is>
          <t>특별관계자</t>
        </is>
      </c>
      <c r="G2321" s="3" t="inlineStr">
        <is>
          <t>신규보고(+)</t>
        </is>
      </c>
      <c r="H2321" s="15" t="n">
        <v>4550</v>
      </c>
      <c r="I2321" s="6" t="inlineStr"/>
      <c r="J2321" s="6" t="n">
        <v>4550</v>
      </c>
      <c r="K2321" s="16" t="n">
        <v>5.98</v>
      </c>
      <c r="L2321" s="2" t="inlineStr">
        <is>
          <t>20260601001955</t>
        </is>
      </c>
      <c r="M2321" s="8">
        <f>HYPERLINK("https://dart.fss.or.kr/dsaf001/main.do?rcpNo=20260601001955", "공시열람")</f>
        <v/>
      </c>
    </row>
    <row r="2322" ht="22" customHeight="1">
      <c r="A2322" s="2" t="inlineStr">
        <is>
          <t>2026-06-01</t>
        </is>
      </c>
      <c r="B2322" s="3" t="inlineStr">
        <is>
          <t>엔지켐생명과학</t>
        </is>
      </c>
      <c r="C2322" s="2" t="inlineStr">
        <is>
          <t>183490</t>
        </is>
      </c>
      <c r="D2322" s="2" t="inlineStr">
        <is>
          <t>대량보유</t>
        </is>
      </c>
      <c r="E2322" s="3" t="inlineStr">
        <is>
          <t>조진호</t>
        </is>
      </c>
      <c r="F2322" s="3" t="inlineStr">
        <is>
          <t>특별관계자</t>
        </is>
      </c>
      <c r="G2322" s="3" t="inlineStr">
        <is>
          <t>신규보고(+)</t>
        </is>
      </c>
      <c r="H2322" s="15" t="n">
        <v>66308</v>
      </c>
      <c r="I2322" s="6" t="inlineStr"/>
      <c r="J2322" s="6" t="n">
        <v>66308</v>
      </c>
      <c r="K2322" s="16" t="n">
        <v>5.98</v>
      </c>
      <c r="L2322" s="2" t="inlineStr">
        <is>
          <t>20260601001955</t>
        </is>
      </c>
      <c r="M2322" s="8">
        <f>HYPERLINK("https://dart.fss.or.kr/dsaf001/main.do?rcpNo=20260601001955", "공시열람")</f>
        <v/>
      </c>
    </row>
    <row r="2323" ht="22" customHeight="1">
      <c r="A2323" s="2" t="inlineStr">
        <is>
          <t>2026-06-01</t>
        </is>
      </c>
      <c r="B2323" s="3" t="inlineStr">
        <is>
          <t>엔지켐생명과학</t>
        </is>
      </c>
      <c r="C2323" s="2" t="inlineStr">
        <is>
          <t>183490</t>
        </is>
      </c>
      <c r="D2323" s="2" t="inlineStr">
        <is>
          <t>대량보유</t>
        </is>
      </c>
      <c r="E2323" s="3" t="inlineStr">
        <is>
          <t>김윤수</t>
        </is>
      </c>
      <c r="F2323" s="3" t="inlineStr">
        <is>
          <t>특별관계자</t>
        </is>
      </c>
      <c r="G2323" s="3" t="inlineStr">
        <is>
          <t>신규보고(+)</t>
        </is>
      </c>
      <c r="H2323" s="15" t="n">
        <v>21630</v>
      </c>
      <c r="I2323" s="6" t="inlineStr"/>
      <c r="J2323" s="6" t="n">
        <v>21630</v>
      </c>
      <c r="K2323" s="16" t="n">
        <v>5.98</v>
      </c>
      <c r="L2323" s="2" t="inlineStr">
        <is>
          <t>20260601001955</t>
        </is>
      </c>
      <c r="M2323" s="8">
        <f>HYPERLINK("https://dart.fss.or.kr/dsaf001/main.do?rcpNo=20260601001955", "공시열람")</f>
        <v/>
      </c>
    </row>
    <row r="2324" ht="22" customHeight="1">
      <c r="A2324" s="2" t="inlineStr">
        <is>
          <t>2026-06-01</t>
        </is>
      </c>
      <c r="B2324" s="3" t="inlineStr">
        <is>
          <t>엔지켐생명과학</t>
        </is>
      </c>
      <c r="C2324" s="2" t="inlineStr">
        <is>
          <t>183490</t>
        </is>
      </c>
      <c r="D2324" s="2" t="inlineStr">
        <is>
          <t>대량보유</t>
        </is>
      </c>
      <c r="E2324" s="3" t="inlineStr">
        <is>
          <t>김형중</t>
        </is>
      </c>
      <c r="F2324" s="3" t="inlineStr">
        <is>
          <t>특별관계자</t>
        </is>
      </c>
      <c r="G2324" s="3" t="inlineStr">
        <is>
          <t>신규보고(+)</t>
        </is>
      </c>
      <c r="H2324" s="15" t="n">
        <v>2855</v>
      </c>
      <c r="I2324" s="6" t="inlineStr"/>
      <c r="J2324" s="6" t="n">
        <v>2855</v>
      </c>
      <c r="K2324" s="16" t="n">
        <v>5.98</v>
      </c>
      <c r="L2324" s="2" t="inlineStr">
        <is>
          <t>20260601001955</t>
        </is>
      </c>
      <c r="M2324" s="8">
        <f>HYPERLINK("https://dart.fss.or.kr/dsaf001/main.do?rcpNo=20260601001955", "공시열람")</f>
        <v/>
      </c>
    </row>
    <row r="2325" ht="22" customHeight="1">
      <c r="A2325" s="2" t="inlineStr">
        <is>
          <t>2026-06-01</t>
        </is>
      </c>
      <c r="B2325" s="3" t="inlineStr">
        <is>
          <t>엔지켐생명과학</t>
        </is>
      </c>
      <c r="C2325" s="2" t="inlineStr">
        <is>
          <t>183490</t>
        </is>
      </c>
      <c r="D2325" s="2" t="inlineStr">
        <is>
          <t>대량보유</t>
        </is>
      </c>
      <c r="E2325" s="3" t="inlineStr">
        <is>
          <t>정지산</t>
        </is>
      </c>
      <c r="F2325" s="3" t="inlineStr">
        <is>
          <t>특별관계자</t>
        </is>
      </c>
      <c r="G2325" s="3" t="inlineStr">
        <is>
          <t>신규보고(+)</t>
        </is>
      </c>
      <c r="H2325" s="15" t="n">
        <v>6973</v>
      </c>
      <c r="I2325" s="6" t="inlineStr"/>
      <c r="J2325" s="6" t="n">
        <v>6973</v>
      </c>
      <c r="K2325" s="16" t="n">
        <v>5.98</v>
      </c>
      <c r="L2325" s="2" t="inlineStr">
        <is>
          <t>20260601001955</t>
        </is>
      </c>
      <c r="M2325" s="8">
        <f>HYPERLINK("https://dart.fss.or.kr/dsaf001/main.do?rcpNo=20260601001955", "공시열람")</f>
        <v/>
      </c>
    </row>
    <row r="2326" ht="22" customHeight="1">
      <c r="A2326" s="2" t="inlineStr">
        <is>
          <t>2026-06-01</t>
        </is>
      </c>
      <c r="B2326" s="3" t="inlineStr">
        <is>
          <t>엔지켐생명과학</t>
        </is>
      </c>
      <c r="C2326" s="2" t="inlineStr">
        <is>
          <t>183490</t>
        </is>
      </c>
      <c r="D2326" s="2" t="inlineStr">
        <is>
          <t>대량보유</t>
        </is>
      </c>
      <c r="E2326" s="3" t="inlineStr">
        <is>
          <t>남상건</t>
        </is>
      </c>
      <c r="F2326" s="3" t="inlineStr">
        <is>
          <t>특별관계자</t>
        </is>
      </c>
      <c r="G2326" s="3" t="inlineStr">
        <is>
          <t>신규보고(+)</t>
        </is>
      </c>
      <c r="H2326" s="15" t="n">
        <v>225</v>
      </c>
      <c r="I2326" s="6" t="inlineStr"/>
      <c r="J2326" s="6" t="n">
        <v>225</v>
      </c>
      <c r="K2326" s="16" t="n">
        <v>5.98</v>
      </c>
      <c r="L2326" s="2" t="inlineStr">
        <is>
          <t>20260601001955</t>
        </is>
      </c>
      <c r="M2326" s="8">
        <f>HYPERLINK("https://dart.fss.or.kr/dsaf001/main.do?rcpNo=20260601001955", "공시열람")</f>
        <v/>
      </c>
    </row>
    <row r="2327" ht="22" customHeight="1">
      <c r="A2327" s="2" t="inlineStr">
        <is>
          <t>2026-06-01</t>
        </is>
      </c>
      <c r="B2327" s="3" t="inlineStr">
        <is>
          <t>엔지켐생명과학</t>
        </is>
      </c>
      <c r="C2327" s="2" t="inlineStr">
        <is>
          <t>183490</t>
        </is>
      </c>
      <c r="D2327" s="2" t="inlineStr">
        <is>
          <t>대량보유</t>
        </is>
      </c>
      <c r="E2327" s="3" t="inlineStr">
        <is>
          <t>김란영</t>
        </is>
      </c>
      <c r="F2327" s="3" t="inlineStr">
        <is>
          <t>특별관계자</t>
        </is>
      </c>
      <c r="G2327" s="3" t="inlineStr">
        <is>
          <t>신규보고(+)</t>
        </is>
      </c>
      <c r="H2327" s="15" t="n">
        <v>1920</v>
      </c>
      <c r="I2327" s="6" t="inlineStr"/>
      <c r="J2327" s="6" t="n">
        <v>1920</v>
      </c>
      <c r="K2327" s="16" t="n">
        <v>5.98</v>
      </c>
      <c r="L2327" s="2" t="inlineStr">
        <is>
          <t>20260601001955</t>
        </is>
      </c>
      <c r="M2327" s="8">
        <f>HYPERLINK("https://dart.fss.or.kr/dsaf001/main.do?rcpNo=20260601001955", "공시열람")</f>
        <v/>
      </c>
    </row>
    <row r="2328" ht="22" customHeight="1">
      <c r="A2328" s="2" t="inlineStr">
        <is>
          <t>2026-06-01</t>
        </is>
      </c>
      <c r="B2328" s="3" t="inlineStr">
        <is>
          <t>엔지켐생명과학</t>
        </is>
      </c>
      <c r="C2328" s="2" t="inlineStr">
        <is>
          <t>183490</t>
        </is>
      </c>
      <c r="D2328" s="2" t="inlineStr">
        <is>
          <t>대량보유</t>
        </is>
      </c>
      <c r="E2328" s="3" t="inlineStr">
        <is>
          <t>박주찬</t>
        </is>
      </c>
      <c r="F2328" s="3" t="inlineStr">
        <is>
          <t>특별관계자</t>
        </is>
      </c>
      <c r="G2328" s="3" t="inlineStr">
        <is>
          <t>신규보고(+)</t>
        </is>
      </c>
      <c r="H2328" s="15" t="n">
        <v>3840</v>
      </c>
      <c r="I2328" s="6" t="inlineStr"/>
      <c r="J2328" s="6" t="n">
        <v>3840</v>
      </c>
      <c r="K2328" s="16" t="n">
        <v>5.98</v>
      </c>
      <c r="L2328" s="2" t="inlineStr">
        <is>
          <t>20260601001955</t>
        </is>
      </c>
      <c r="M2328" s="8">
        <f>HYPERLINK("https://dart.fss.or.kr/dsaf001/main.do?rcpNo=20260601001955", "공시열람")</f>
        <v/>
      </c>
    </row>
    <row r="2329" ht="22" customHeight="1">
      <c r="A2329" s="2" t="inlineStr">
        <is>
          <t>2026-06-01</t>
        </is>
      </c>
      <c r="B2329" s="3" t="inlineStr">
        <is>
          <t>엔지켐생명과학</t>
        </is>
      </c>
      <c r="C2329" s="2" t="inlineStr">
        <is>
          <t>183490</t>
        </is>
      </c>
      <c r="D2329" s="2" t="inlineStr">
        <is>
          <t>대량보유</t>
        </is>
      </c>
      <c r="E2329" s="3" t="inlineStr">
        <is>
          <t>한원호</t>
        </is>
      </c>
      <c r="F2329" s="3" t="inlineStr">
        <is>
          <t>특별관계자</t>
        </is>
      </c>
      <c r="G2329" s="3" t="inlineStr">
        <is>
          <t>신규보고(+)</t>
        </is>
      </c>
      <c r="H2329" s="15" t="n">
        <v>3543</v>
      </c>
      <c r="I2329" s="6" t="inlineStr"/>
      <c r="J2329" s="6" t="n">
        <v>3543</v>
      </c>
      <c r="K2329" s="16" t="n">
        <v>5.98</v>
      </c>
      <c r="L2329" s="2" t="inlineStr">
        <is>
          <t>20260601001955</t>
        </is>
      </c>
      <c r="M2329" s="8">
        <f>HYPERLINK("https://dart.fss.or.kr/dsaf001/main.do?rcpNo=20260601001955", "공시열람")</f>
        <v/>
      </c>
    </row>
    <row r="2330" ht="22" customHeight="1">
      <c r="A2330" s="2" t="inlineStr">
        <is>
          <t>2026-06-01</t>
        </is>
      </c>
      <c r="B2330" s="3" t="inlineStr">
        <is>
          <t>엔지켐생명과학</t>
        </is>
      </c>
      <c r="C2330" s="2" t="inlineStr">
        <is>
          <t>183490</t>
        </is>
      </c>
      <c r="D2330" s="2" t="inlineStr">
        <is>
          <t>대량보유</t>
        </is>
      </c>
      <c r="E2330" s="3" t="inlineStr">
        <is>
          <t>강상준</t>
        </is>
      </c>
      <c r="F2330" s="3" t="inlineStr">
        <is>
          <t>특별관계자</t>
        </is>
      </c>
      <c r="G2330" s="3" t="inlineStr">
        <is>
          <t>신규보고(+)</t>
        </is>
      </c>
      <c r="H2330" s="15" t="n">
        <v>2772</v>
      </c>
      <c r="I2330" s="6" t="inlineStr"/>
      <c r="J2330" s="6" t="n">
        <v>2772</v>
      </c>
      <c r="K2330" s="16" t="n">
        <v>5.98</v>
      </c>
      <c r="L2330" s="2" t="inlineStr">
        <is>
          <t>20260601001955</t>
        </is>
      </c>
      <c r="M2330" s="8">
        <f>HYPERLINK("https://dart.fss.or.kr/dsaf001/main.do?rcpNo=20260601001955", "공시열람")</f>
        <v/>
      </c>
    </row>
    <row r="2331" ht="22" customHeight="1">
      <c r="A2331" s="2" t="inlineStr">
        <is>
          <t>2026-06-01</t>
        </is>
      </c>
      <c r="B2331" s="3" t="inlineStr">
        <is>
          <t>엔지켐생명과학</t>
        </is>
      </c>
      <c r="C2331" s="2" t="inlineStr">
        <is>
          <t>183490</t>
        </is>
      </c>
      <c r="D2331" s="2" t="inlineStr">
        <is>
          <t>대량보유</t>
        </is>
      </c>
      <c r="E2331" s="3" t="inlineStr">
        <is>
          <t>최한솔</t>
        </is>
      </c>
      <c r="F2331" s="3" t="inlineStr">
        <is>
          <t>특별관계자</t>
        </is>
      </c>
      <c r="G2331" s="3" t="inlineStr">
        <is>
          <t>신규보고(+)</t>
        </is>
      </c>
      <c r="H2331" s="15" t="n">
        <v>1728</v>
      </c>
      <c r="I2331" s="6" t="inlineStr"/>
      <c r="J2331" s="6" t="n">
        <v>1728</v>
      </c>
      <c r="K2331" s="16" t="n">
        <v>5.98</v>
      </c>
      <c r="L2331" s="2" t="inlineStr">
        <is>
          <t>20260601001955</t>
        </is>
      </c>
      <c r="M2331" s="8">
        <f>HYPERLINK("https://dart.fss.or.kr/dsaf001/main.do?rcpNo=20260601001955", "공시열람")</f>
        <v/>
      </c>
    </row>
    <row r="2332" ht="22" customHeight="1">
      <c r="A2332" s="2" t="inlineStr">
        <is>
          <t>2026-06-01</t>
        </is>
      </c>
      <c r="B2332" s="3" t="inlineStr">
        <is>
          <t>엔지켐생명과학</t>
        </is>
      </c>
      <c r="C2332" s="2" t="inlineStr">
        <is>
          <t>183490</t>
        </is>
      </c>
      <c r="D2332" s="2" t="inlineStr">
        <is>
          <t>대량보유</t>
        </is>
      </c>
      <c r="E2332" s="3" t="inlineStr">
        <is>
          <t>백운호</t>
        </is>
      </c>
      <c r="F2332" s="3" t="inlineStr">
        <is>
          <t>특별관계자</t>
        </is>
      </c>
      <c r="G2332" s="3" t="inlineStr">
        <is>
          <t>신규보고(+)</t>
        </is>
      </c>
      <c r="H2332" s="15" t="n">
        <v>2400</v>
      </c>
      <c r="I2332" s="6" t="inlineStr"/>
      <c r="J2332" s="6" t="n">
        <v>2400</v>
      </c>
      <c r="K2332" s="16" t="n">
        <v>5.98</v>
      </c>
      <c r="L2332" s="2" t="inlineStr">
        <is>
          <t>20260601001955</t>
        </is>
      </c>
      <c r="M2332" s="8">
        <f>HYPERLINK("https://dart.fss.or.kr/dsaf001/main.do?rcpNo=20260601001955", "공시열람")</f>
        <v/>
      </c>
    </row>
    <row r="2333" ht="22" customHeight="1">
      <c r="A2333" s="2" t="inlineStr">
        <is>
          <t>2026-06-01</t>
        </is>
      </c>
      <c r="B2333" s="3" t="inlineStr">
        <is>
          <t>엔지켐생명과학</t>
        </is>
      </c>
      <c r="C2333" s="2" t="inlineStr">
        <is>
          <t>183490</t>
        </is>
      </c>
      <c r="D2333" s="2" t="inlineStr">
        <is>
          <t>대량보유</t>
        </is>
      </c>
      <c r="E2333" s="3" t="inlineStr">
        <is>
          <t>정완구</t>
        </is>
      </c>
      <c r="F2333" s="3" t="inlineStr">
        <is>
          <t>특별관계자</t>
        </is>
      </c>
      <c r="G2333" s="3" t="inlineStr">
        <is>
          <t>신규보고(+)</t>
        </is>
      </c>
      <c r="H2333" s="15" t="n">
        <v>120000</v>
      </c>
      <c r="I2333" s="6" t="inlineStr"/>
      <c r="J2333" s="6" t="n">
        <v>120000</v>
      </c>
      <c r="K2333" s="16" t="n">
        <v>5.98</v>
      </c>
      <c r="L2333" s="2" t="inlineStr">
        <is>
          <t>20260601001955</t>
        </is>
      </c>
      <c r="M2333" s="8">
        <f>HYPERLINK("https://dart.fss.or.kr/dsaf001/main.do?rcpNo=20260601001955", "공시열람")</f>
        <v/>
      </c>
    </row>
    <row r="2334" ht="22" customHeight="1">
      <c r="A2334" s="2" t="inlineStr">
        <is>
          <t>2026-06-01</t>
        </is>
      </c>
      <c r="B2334" s="3" t="inlineStr">
        <is>
          <t>더네이쳐홀딩스</t>
        </is>
      </c>
      <c r="C2334" s="2" t="inlineStr">
        <is>
          <t>298540</t>
        </is>
      </c>
      <c r="D2334" s="2" t="inlineStr">
        <is>
          <t>대량보유</t>
        </is>
      </c>
      <c r="E2334" s="3" t="inlineStr">
        <is>
          <t>박영준</t>
        </is>
      </c>
      <c r="F2334" s="3" t="inlineStr">
        <is>
          <t>특별관계자</t>
        </is>
      </c>
      <c r="G2334" s="3" t="inlineStr">
        <is>
          <t>장내매수(+)</t>
        </is>
      </c>
      <c r="H2334" s="15" t="n">
        <v>10000</v>
      </c>
      <c r="I2334" s="6" t="n">
        <v>6392</v>
      </c>
      <c r="J2334" s="6" t="n">
        <v>3278470</v>
      </c>
      <c r="K2334" s="16" t="n">
        <v>10</v>
      </c>
      <c r="L2334" s="2" t="inlineStr">
        <is>
          <t>20260601001953</t>
        </is>
      </c>
      <c r="M2334" s="8">
        <f>HYPERLINK("https://dart.fss.or.kr/dsaf001/main.do?rcpNo=20260601001953", "공시열람")</f>
        <v/>
      </c>
    </row>
    <row r="2335" ht="22" customHeight="1">
      <c r="A2335" s="2" t="inlineStr">
        <is>
          <t>2026-06-01</t>
        </is>
      </c>
      <c r="B2335" s="3" t="inlineStr">
        <is>
          <t>오토앤</t>
        </is>
      </c>
      <c r="C2335" s="2" t="inlineStr">
        <is>
          <t>353590</t>
        </is>
      </c>
      <c r="D2335" s="2" t="inlineStr">
        <is>
          <t>대량보유</t>
        </is>
      </c>
      <c r="E2335" s="3" t="inlineStr">
        <is>
          <t>권태홍</t>
        </is>
      </c>
      <c r="F2335" s="3" t="inlineStr">
        <is>
          <t>특별관계자</t>
        </is>
      </c>
      <c r="G2335" s="3" t="inlineStr">
        <is>
          <t>장내매도(-), 증여(-)</t>
        </is>
      </c>
      <c r="H2335" s="17" t="n">
        <v>-203000</v>
      </c>
      <c r="I2335" s="6" t="n">
        <v>3082</v>
      </c>
      <c r="J2335" s="6" t="n">
        <v>586600</v>
      </c>
      <c r="K2335" s="16" t="n">
        <v>4.56</v>
      </c>
      <c r="L2335" s="2" t="inlineStr">
        <is>
          <t>20260601001927</t>
        </is>
      </c>
      <c r="M2335" s="8">
        <f>HYPERLINK("https://dart.fss.or.kr/dsaf001/main.do?rcpNo=20260601001927", "공시열람")</f>
        <v/>
      </c>
    </row>
    <row r="2336" ht="22" customHeight="1">
      <c r="A2336" s="2" t="inlineStr">
        <is>
          <t>2026-06-01</t>
        </is>
      </c>
      <c r="B2336" s="3" t="inlineStr">
        <is>
          <t>종근당</t>
        </is>
      </c>
      <c r="C2336" s="2" t="inlineStr">
        <is>
          <t>185750</t>
        </is>
      </c>
      <c r="D2336" s="2" t="inlineStr">
        <is>
          <t>대량보유</t>
        </is>
      </c>
      <c r="E2336" s="3" t="inlineStr">
        <is>
          <t>KopernikGlobalInvestors,LLC</t>
        </is>
      </c>
      <c r="F2336" s="3" t="inlineStr">
        <is>
          <t>특별관계자</t>
        </is>
      </c>
      <c r="G2336" s="3" t="inlineStr">
        <is>
          <t>장내매수(+)</t>
        </is>
      </c>
      <c r="H2336" s="15" t="n">
        <v>159672</v>
      </c>
      <c r="I2336" s="6" t="n">
        <v>84449</v>
      </c>
      <c r="J2336" s="6" t="n">
        <v>995402</v>
      </c>
      <c r="K2336" s="16" t="n">
        <v>7.21</v>
      </c>
      <c r="L2336" s="2" t="inlineStr">
        <is>
          <t>20260601001904</t>
        </is>
      </c>
      <c r="M2336" s="8">
        <f>HYPERLINK("https://dart.fss.or.kr/dsaf001/main.do?rcpNo=20260601001904", "공시열람")</f>
        <v/>
      </c>
    </row>
    <row r="2337" ht="22" customHeight="1">
      <c r="A2337" s="2" t="inlineStr">
        <is>
          <t>2026-06-01</t>
        </is>
      </c>
      <c r="B2337" s="3" t="inlineStr">
        <is>
          <t>애경케미칼</t>
        </is>
      </c>
      <c r="C2337" s="2" t="inlineStr">
        <is>
          <t>161000</t>
        </is>
      </c>
      <c r="D2337" s="2" t="inlineStr">
        <is>
          <t>대량보유</t>
        </is>
      </c>
      <c r="E2337" s="3" t="inlineStr">
        <is>
          <t>표경원</t>
        </is>
      </c>
      <c r="F2337" s="3" t="inlineStr">
        <is>
          <t>특별관계자</t>
        </is>
      </c>
      <c r="G2337" s="3" t="inlineStr">
        <is>
          <t>특별관계해소(-)</t>
        </is>
      </c>
      <c r="H2337" s="17" t="n">
        <v>-48582</v>
      </c>
      <c r="I2337" s="6" t="inlineStr"/>
      <c r="J2337" s="6" t="inlineStr"/>
      <c r="K2337" s="16" t="n">
        <v>10</v>
      </c>
      <c r="L2337" s="2" t="inlineStr">
        <is>
          <t>20260601001894</t>
        </is>
      </c>
      <c r="M2337" s="8">
        <f>HYPERLINK("https://dart.fss.or.kr/dsaf001/main.do?rcpNo=20260601001894", "공시열람")</f>
        <v/>
      </c>
    </row>
    <row r="2338" ht="22" customHeight="1">
      <c r="A2338" s="2" t="inlineStr">
        <is>
          <t>2026-06-01</t>
        </is>
      </c>
      <c r="B2338" s="3" t="inlineStr">
        <is>
          <t>파라텍</t>
        </is>
      </c>
      <c r="C2338" s="2" t="inlineStr">
        <is>
          <t>033540</t>
        </is>
      </c>
      <c r="D2338" s="2" t="inlineStr">
        <is>
          <t>대량보유</t>
        </is>
      </c>
      <c r="E2338" s="3" t="inlineStr">
        <is>
          <t>박선기</t>
        </is>
      </c>
      <c r="F2338" s="3" t="inlineStr">
        <is>
          <t>특별관계자</t>
        </is>
      </c>
      <c r="G2338" s="3" t="inlineStr">
        <is>
          <t>장내매수(+)</t>
        </is>
      </c>
      <c r="H2338" s="15" t="n">
        <v>94194</v>
      </c>
      <c r="I2338" s="6" t="n">
        <v>958</v>
      </c>
      <c r="J2338" s="6" t="n">
        <v>94194</v>
      </c>
      <c r="K2338" s="16" t="n">
        <v>3</v>
      </c>
      <c r="L2338" s="2" t="inlineStr">
        <is>
          <t>20260601001885</t>
        </is>
      </c>
      <c r="M2338" s="8">
        <f>HYPERLINK("https://dart.fss.or.kr/dsaf001/main.do?rcpNo=20260601001885", "공시열람")</f>
        <v/>
      </c>
    </row>
    <row r="2339" ht="22" customHeight="1">
      <c r="A2339" s="2" t="inlineStr">
        <is>
          <t>2026-06-01</t>
        </is>
      </c>
      <c r="B2339" s="3" t="inlineStr">
        <is>
          <t>호텔신라</t>
        </is>
      </c>
      <c r="C2339" s="2" t="inlineStr">
        <is>
          <t>008770</t>
        </is>
      </c>
      <c r="D2339" s="2" t="inlineStr">
        <is>
          <t>임원보고</t>
        </is>
      </c>
      <c r="E2339" s="3" t="inlineStr">
        <is>
          <t>-</t>
        </is>
      </c>
      <c r="F2339" s="3" t="inlineStr">
        <is>
          <t>-</t>
        </is>
      </c>
      <c r="G2339" s="3" t="inlineStr">
        <is>
          <t>-</t>
        </is>
      </c>
      <c r="H2339" s="6" t="inlineStr"/>
      <c r="I2339" s="6" t="inlineStr"/>
      <c r="J2339" s="6" t="inlineStr"/>
      <c r="K2339" s="16" t="n">
        <v>12</v>
      </c>
      <c r="L2339" s="2" t="inlineStr">
        <is>
          <t>20260601801735</t>
        </is>
      </c>
      <c r="M2339" s="8">
        <f>HYPERLINK("https://dart.fss.or.kr/dsaf001/main.do?rcpNo=20260601801735", "공시열람")</f>
        <v/>
      </c>
    </row>
    <row r="2340" ht="22" customHeight="1">
      <c r="A2340" s="2" t="inlineStr">
        <is>
          <t>2026-06-01</t>
        </is>
      </c>
      <c r="B2340" s="3" t="inlineStr">
        <is>
          <t>피엔에이치테크</t>
        </is>
      </c>
      <c r="C2340" s="2" t="inlineStr">
        <is>
          <t>239890</t>
        </is>
      </c>
      <c r="D2340" s="2" t="inlineStr">
        <is>
          <t>대량보유</t>
        </is>
      </c>
      <c r="E2340" s="3" t="inlineStr">
        <is>
          <t>미래에셋자산운용</t>
        </is>
      </c>
      <c r="F2340" s="3" t="inlineStr">
        <is>
          <t>특별관계자</t>
        </is>
      </c>
      <c r="G2340" s="3" t="inlineStr">
        <is>
          <t>장내매도(-)</t>
        </is>
      </c>
      <c r="H2340" s="17" t="n">
        <v>-59228</v>
      </c>
      <c r="I2340" s="6" t="n">
        <v>0</v>
      </c>
      <c r="J2340" s="6" t="n">
        <v>459620</v>
      </c>
      <c r="K2340" s="16" t="n">
        <v>4.63</v>
      </c>
      <c r="L2340" s="2" t="inlineStr">
        <is>
          <t>20260601001858</t>
        </is>
      </c>
      <c r="M2340" s="8">
        <f>HYPERLINK("https://dart.fss.or.kr/dsaf001/main.do?rcpNo=20260601001858", "공시열람")</f>
        <v/>
      </c>
    </row>
    <row r="2341" ht="22" customHeight="1">
      <c r="A2341" s="2" t="inlineStr">
        <is>
          <t>2026-06-01</t>
        </is>
      </c>
      <c r="B2341" s="3" t="inlineStr">
        <is>
          <t>코오롱인더</t>
        </is>
      </c>
      <c r="C2341" s="2" t="inlineStr">
        <is>
          <t>120110</t>
        </is>
      </c>
      <c r="D2341" s="2" t="inlineStr">
        <is>
          <t>대량보유</t>
        </is>
      </c>
      <c r="E2341" s="3" t="inlineStr">
        <is>
          <t>미래에셋자산운용</t>
        </is>
      </c>
      <c r="F2341" s="3" t="inlineStr">
        <is>
          <t>특별관계자</t>
        </is>
      </c>
      <c r="G2341" s="3" t="inlineStr">
        <is>
          <t>기타(+), 기타(-), 장내매수(+), 장내매도(-)</t>
        </is>
      </c>
      <c r="H2341" s="17" t="n">
        <v>-11956</v>
      </c>
      <c r="I2341" s="6" t="n">
        <v>43179</v>
      </c>
      <c r="J2341" s="6" t="n">
        <v>1476859</v>
      </c>
      <c r="K2341" s="16" t="n">
        <v>2</v>
      </c>
      <c r="L2341" s="2" t="inlineStr">
        <is>
          <t>20260601001857</t>
        </is>
      </c>
      <c r="M2341" s="8">
        <f>HYPERLINK("https://dart.fss.or.kr/dsaf001/main.do?rcpNo=20260601001857", "공시열람")</f>
        <v/>
      </c>
    </row>
    <row r="2342" ht="22" customHeight="1">
      <c r="A2342" s="2" t="inlineStr">
        <is>
          <t>2026-06-01</t>
        </is>
      </c>
      <c r="B2342" s="3" t="inlineStr">
        <is>
          <t>코오롱인더</t>
        </is>
      </c>
      <c r="C2342" s="2" t="inlineStr">
        <is>
          <t>120110</t>
        </is>
      </c>
      <c r="D2342" s="2" t="inlineStr">
        <is>
          <t>대량보유</t>
        </is>
      </c>
      <c r="E2342" s="3" t="inlineStr">
        <is>
          <t>미래에셋디스커버리증권(주식)</t>
        </is>
      </c>
      <c r="F2342" s="3" t="inlineStr">
        <is>
          <t>특별관계자</t>
        </is>
      </c>
      <c r="G2342" s="3" t="inlineStr">
        <is>
          <t>장내매도(-)</t>
        </is>
      </c>
      <c r="H2342" s="17" t="n">
        <v>-19266</v>
      </c>
      <c r="I2342" s="6" t="n">
        <v>0</v>
      </c>
      <c r="J2342" s="6" t="inlineStr"/>
      <c r="K2342" s="16" t="n">
        <v>2</v>
      </c>
      <c r="L2342" s="2" t="inlineStr">
        <is>
          <t>20260601001857</t>
        </is>
      </c>
      <c r="M2342" s="8">
        <f>HYPERLINK("https://dart.fss.or.kr/dsaf001/main.do?rcpNo=20260601001857", "공시열람")</f>
        <v/>
      </c>
    </row>
    <row r="2343" ht="22" customHeight="1">
      <c r="A2343" s="2" t="inlineStr">
        <is>
          <t>2026-06-01</t>
        </is>
      </c>
      <c r="B2343" s="3" t="inlineStr">
        <is>
          <t>코오롱인더</t>
        </is>
      </c>
      <c r="C2343" s="2" t="inlineStr">
        <is>
          <t>120110</t>
        </is>
      </c>
      <c r="D2343" s="2" t="inlineStr">
        <is>
          <t>대량보유</t>
        </is>
      </c>
      <c r="E2343" s="3" t="inlineStr">
        <is>
          <t>미래에셋드림타겟증권(주식)</t>
        </is>
      </c>
      <c r="F2343" s="3" t="inlineStr">
        <is>
          <t>특별관계자</t>
        </is>
      </c>
      <c r="G2343" s="3" t="inlineStr">
        <is>
          <t>장내매도(-)</t>
        </is>
      </c>
      <c r="H2343" s="17" t="n">
        <v>-1385</v>
      </c>
      <c r="I2343" s="6" t="n">
        <v>0</v>
      </c>
      <c r="J2343" s="6" t="inlineStr"/>
      <c r="K2343" s="16" t="n">
        <v>2</v>
      </c>
      <c r="L2343" s="2" t="inlineStr">
        <is>
          <t>20260601001857</t>
        </is>
      </c>
      <c r="M2343" s="8">
        <f>HYPERLINK("https://dart.fss.or.kr/dsaf001/main.do?rcpNo=20260601001857", "공시열람")</f>
        <v/>
      </c>
    </row>
    <row r="2344" ht="22" customHeight="1">
      <c r="A2344" s="2" t="inlineStr">
        <is>
          <t>2026-06-01</t>
        </is>
      </c>
      <c r="B2344" s="3" t="inlineStr">
        <is>
          <t>로보스타</t>
        </is>
      </c>
      <c r="C2344" s="2" t="inlineStr">
        <is>
          <t>090360</t>
        </is>
      </c>
      <c r="D2344" s="2" t="inlineStr">
        <is>
          <t>대량보유</t>
        </is>
      </c>
      <c r="E2344" s="3" t="inlineStr">
        <is>
          <t>미래에셋자산운용</t>
        </is>
      </c>
      <c r="F2344" s="3" t="inlineStr">
        <is>
          <t>특별관계자</t>
        </is>
      </c>
      <c r="G2344" s="3" t="inlineStr">
        <is>
          <t>기타(+), 기타(-)</t>
        </is>
      </c>
      <c r="H2344" s="17" t="n">
        <v>-7923</v>
      </c>
      <c r="I2344" s="6" t="n">
        <v>29849</v>
      </c>
      <c r="J2344" s="6" t="n">
        <v>485138</v>
      </c>
      <c r="K2344" s="16" t="n">
        <v>4.98</v>
      </c>
      <c r="L2344" s="2" t="inlineStr">
        <is>
          <t>20260601001856</t>
        </is>
      </c>
      <c r="M2344" s="8">
        <f>HYPERLINK("https://dart.fss.or.kr/dsaf001/main.do?rcpNo=20260601001856", "공시열람")</f>
        <v/>
      </c>
    </row>
    <row r="2345" ht="22" customHeight="1">
      <c r="A2345" s="2" t="inlineStr">
        <is>
          <t>2026-06-01</t>
        </is>
      </c>
      <c r="B2345" s="3" t="inlineStr">
        <is>
          <t>이리츠코크렙</t>
        </is>
      </c>
      <c r="C2345" s="2" t="inlineStr">
        <is>
          <t>088260</t>
        </is>
      </c>
      <c r="D2345" s="2" t="inlineStr">
        <is>
          <t>대량보유</t>
        </is>
      </c>
      <c r="E2345" s="3" t="inlineStr">
        <is>
          <t>미래에셋자산운용</t>
        </is>
      </c>
      <c r="F2345" s="3" t="inlineStr">
        <is>
          <t>특별관계자</t>
        </is>
      </c>
      <c r="G2345" s="3" t="inlineStr">
        <is>
          <t>기타(-), 장내매도(-), 장내매수(+), 기타(+)</t>
        </is>
      </c>
      <c r="H2345" s="17" t="n">
        <v>-661374</v>
      </c>
      <c r="I2345" s="6" t="n">
        <v>841</v>
      </c>
      <c r="J2345" s="6" t="n">
        <v>11870331</v>
      </c>
      <c r="K2345" s="16" t="n">
        <v>18.74</v>
      </c>
      <c r="L2345" s="2" t="inlineStr">
        <is>
          <t>20260601001855</t>
        </is>
      </c>
      <c r="M2345" s="8">
        <f>HYPERLINK("https://dart.fss.or.kr/dsaf001/main.do?rcpNo=20260601001855", "공시열람")</f>
        <v/>
      </c>
    </row>
    <row r="2346" ht="22" customHeight="1">
      <c r="A2346" s="2" t="inlineStr">
        <is>
          <t>2026-06-01</t>
        </is>
      </c>
      <c r="B2346" s="3" t="inlineStr">
        <is>
          <t>CJ프레시웨이</t>
        </is>
      </c>
      <c r="C2346" s="2" t="inlineStr">
        <is>
          <t>051500</t>
        </is>
      </c>
      <c r="D2346" s="2" t="inlineStr">
        <is>
          <t>대량보유</t>
        </is>
      </c>
      <c r="E2346" s="3" t="inlineStr">
        <is>
          <t>미래에셋자산운용</t>
        </is>
      </c>
      <c r="F2346" s="3" t="inlineStr">
        <is>
          <t>특별관계자</t>
        </is>
      </c>
      <c r="G2346" s="3" t="inlineStr">
        <is>
          <t>장내매수(+), 장내매도(-)</t>
        </is>
      </c>
      <c r="H2346" s="15" t="n">
        <v>118422</v>
      </c>
      <c r="I2346" s="6" t="n">
        <v>24069</v>
      </c>
      <c r="J2346" s="6" t="n">
        <v>716083</v>
      </c>
      <c r="K2346" s="16" t="n">
        <v>1</v>
      </c>
      <c r="L2346" s="2" t="inlineStr">
        <is>
          <t>20260601001854</t>
        </is>
      </c>
      <c r="M2346" s="8">
        <f>HYPERLINK("https://dart.fss.or.kr/dsaf001/main.do?rcpNo=20260601001854", "공시열람")</f>
        <v/>
      </c>
    </row>
    <row r="2347" ht="22" customHeight="1">
      <c r="A2347" s="2" t="inlineStr">
        <is>
          <t>2026-06-01</t>
        </is>
      </c>
      <c r="B2347" s="3" t="inlineStr">
        <is>
          <t>CJ프레시웨이</t>
        </is>
      </c>
      <c r="C2347" s="2" t="inlineStr">
        <is>
          <t>051500</t>
        </is>
      </c>
      <c r="D2347" s="2" t="inlineStr">
        <is>
          <t>대량보유</t>
        </is>
      </c>
      <c r="E2347" s="3" t="inlineStr">
        <is>
          <t>미래에셋인디펜던스증권투자회사(주식)</t>
        </is>
      </c>
      <c r="F2347" s="3" t="inlineStr">
        <is>
          <t>특별관계자</t>
        </is>
      </c>
      <c r="G2347" s="3" t="inlineStr">
        <is>
          <t>장내매수(+), 장내매도(-)</t>
        </is>
      </c>
      <c r="H2347" s="15" t="n">
        <v>6717</v>
      </c>
      <c r="I2347" s="6" t="n">
        <v>30952</v>
      </c>
      <c r="J2347" s="6" t="n">
        <v>6717</v>
      </c>
      <c r="K2347" s="16" t="n">
        <v>1</v>
      </c>
      <c r="L2347" s="2" t="inlineStr">
        <is>
          <t>20260601001854</t>
        </is>
      </c>
      <c r="M2347" s="8">
        <f>HYPERLINK("https://dart.fss.or.kr/dsaf001/main.do?rcpNo=20260601001854", "공시열람")</f>
        <v/>
      </c>
    </row>
    <row r="2348" ht="22" customHeight="1">
      <c r="A2348" s="2" t="inlineStr">
        <is>
          <t>2026-06-01</t>
        </is>
      </c>
      <c r="B2348" s="3" t="inlineStr">
        <is>
          <t>엠케이전자</t>
        </is>
      </c>
      <c r="C2348" s="2" t="inlineStr">
        <is>
          <t>033160</t>
        </is>
      </c>
      <c r="D2348" s="2" t="inlineStr">
        <is>
          <t>대량보유</t>
        </is>
      </c>
      <c r="E2348" s="3" t="inlineStr">
        <is>
          <t>미래에셋자산운용</t>
        </is>
      </c>
      <c r="F2348" s="3" t="inlineStr">
        <is>
          <t>특별관계자</t>
        </is>
      </c>
      <c r="G2348" s="3" t="inlineStr">
        <is>
          <t>기타(-), 장내매도(-), 기타(+), 장내매수(+)</t>
        </is>
      </c>
      <c r="H2348" s="17" t="n">
        <v>-178589</v>
      </c>
      <c r="I2348" s="6" t="n">
        <v>3293</v>
      </c>
      <c r="J2348" s="6" t="n">
        <v>1077772</v>
      </c>
      <c r="K2348" s="16" t="n">
        <v>1</v>
      </c>
      <c r="L2348" s="2" t="inlineStr">
        <is>
          <t>20260601001852</t>
        </is>
      </c>
      <c r="M2348" s="8">
        <f>HYPERLINK("https://dart.fss.or.kr/dsaf001/main.do?rcpNo=20260601001852", "공시열람")</f>
        <v/>
      </c>
    </row>
    <row r="2349" ht="22" customHeight="1">
      <c r="A2349" s="2" t="inlineStr">
        <is>
          <t>2026-06-01</t>
        </is>
      </c>
      <c r="B2349" s="3" t="inlineStr">
        <is>
          <t>한솔테크닉스</t>
        </is>
      </c>
      <c r="C2349" s="2" t="inlineStr">
        <is>
          <t>004710</t>
        </is>
      </c>
      <c r="D2349" s="2" t="inlineStr">
        <is>
          <t>대량보유</t>
        </is>
      </c>
      <c r="E2349" s="3" t="inlineStr">
        <is>
          <t>미래에셋자산운용</t>
        </is>
      </c>
      <c r="F2349" s="3" t="inlineStr">
        <is>
          <t>특별관계자</t>
        </is>
      </c>
      <c r="G2349" s="3" t="inlineStr">
        <is>
          <t>장내매수(+), 기타(-), 장내매도(-)</t>
        </is>
      </c>
      <c r="H2349" s="17" t="n">
        <v>-340140</v>
      </c>
      <c r="I2349" s="6" t="n">
        <v>1500</v>
      </c>
      <c r="J2349" s="6" t="n">
        <v>1243358</v>
      </c>
      <c r="K2349" s="16" t="n">
        <v>1</v>
      </c>
      <c r="L2349" s="2" t="inlineStr">
        <is>
          <t>20260601001850</t>
        </is>
      </c>
      <c r="M2349" s="8">
        <f>HYPERLINK("https://dart.fss.or.kr/dsaf001/main.do?rcpNo=20260601001850", "공시열람")</f>
        <v/>
      </c>
    </row>
    <row r="2350" ht="22" customHeight="1">
      <c r="A2350" s="2" t="inlineStr">
        <is>
          <t>2026-06-01</t>
        </is>
      </c>
      <c r="B2350" s="3" t="inlineStr">
        <is>
          <t>한솔테크닉스</t>
        </is>
      </c>
      <c r="C2350" s="2" t="inlineStr">
        <is>
          <t>004710</t>
        </is>
      </c>
      <c r="D2350" s="2" t="inlineStr">
        <is>
          <t>대량보유</t>
        </is>
      </c>
      <c r="E2350" s="3" t="inlineStr">
        <is>
          <t>미래에셋디스커버리증권(주식)</t>
        </is>
      </c>
      <c r="F2350" s="3" t="inlineStr">
        <is>
          <t>특별관계자</t>
        </is>
      </c>
      <c r="G2350" s="3" t="inlineStr">
        <is>
          <t>장내매수(+)</t>
        </is>
      </c>
      <c r="H2350" s="15" t="n">
        <v>55996</v>
      </c>
      <c r="I2350" s="6" t="n">
        <v>13702</v>
      </c>
      <c r="J2350" s="6" t="n">
        <v>55996</v>
      </c>
      <c r="K2350" s="16" t="n">
        <v>1</v>
      </c>
      <c r="L2350" s="2" t="inlineStr">
        <is>
          <t>20260601001850</t>
        </is>
      </c>
      <c r="M2350" s="8">
        <f>HYPERLINK("https://dart.fss.or.kr/dsaf001/main.do?rcpNo=20260601001850", "공시열람")</f>
        <v/>
      </c>
    </row>
    <row r="2351" ht="22" customHeight="1">
      <c r="A2351" s="2" t="inlineStr">
        <is>
          <t>2026-06-01</t>
        </is>
      </c>
      <c r="B2351" s="3" t="inlineStr">
        <is>
          <t>에코글로우</t>
        </is>
      </c>
      <c r="C2351" s="2" t="inlineStr">
        <is>
          <t>159910</t>
        </is>
      </c>
      <c r="D2351" s="2" t="inlineStr">
        <is>
          <t>대량보유</t>
        </is>
      </c>
      <c r="E2351" s="3" t="inlineStr">
        <is>
          <t>(주)크리스밸류</t>
        </is>
      </c>
      <c r="F2351" s="3" t="inlineStr">
        <is>
          <t>특별관계자</t>
        </is>
      </c>
      <c r="G2351" s="3" t="inlineStr">
        <is>
          <t>콜옵션취득(+)</t>
        </is>
      </c>
      <c r="H2351" s="15" t="n">
        <v>1096491</v>
      </c>
      <c r="I2351" s="6" t="n">
        <v>3420</v>
      </c>
      <c r="J2351" s="6" t="n">
        <v>1096491</v>
      </c>
      <c r="K2351" s="16" t="n">
        <v>3</v>
      </c>
      <c r="L2351" s="2" t="inlineStr">
        <is>
          <t>20260601001846</t>
        </is>
      </c>
      <c r="M2351" s="8">
        <f>HYPERLINK("https://dart.fss.or.kr/dsaf001/main.do?rcpNo=20260601001846", "공시열람")</f>
        <v/>
      </c>
    </row>
    <row r="2352" ht="22" customHeight="1">
      <c r="A2352" s="2" t="inlineStr">
        <is>
          <t>2026-06-01</t>
        </is>
      </c>
      <c r="B2352" s="3" t="inlineStr">
        <is>
          <t>에코글로우</t>
        </is>
      </c>
      <c r="C2352" s="2" t="inlineStr">
        <is>
          <t>159910</t>
        </is>
      </c>
      <c r="D2352" s="2" t="inlineStr">
        <is>
          <t>대량보유</t>
        </is>
      </c>
      <c r="E2352" s="3" t="inlineStr">
        <is>
          <t>김순중</t>
        </is>
      </c>
      <c r="F2352" s="3" t="inlineStr">
        <is>
          <t>특별관계자</t>
        </is>
      </c>
      <c r="G2352" s="3" t="inlineStr">
        <is>
          <t>신규등록(+), 장내매수(+)</t>
        </is>
      </c>
      <c r="H2352" s="15" t="n">
        <v>136085</v>
      </c>
      <c r="I2352" s="6" t="n">
        <v>4027</v>
      </c>
      <c r="J2352" s="6" t="n">
        <v>136085</v>
      </c>
      <c r="K2352" s="16" t="n">
        <v>3</v>
      </c>
      <c r="L2352" s="2" t="inlineStr">
        <is>
          <t>20260601001846</t>
        </is>
      </c>
      <c r="M2352" s="8">
        <f>HYPERLINK("https://dart.fss.or.kr/dsaf001/main.do?rcpNo=20260601001846", "공시열람")</f>
        <v/>
      </c>
    </row>
    <row r="2353" ht="22" customHeight="1">
      <c r="A2353" s="2" t="inlineStr">
        <is>
          <t>2026-06-01</t>
        </is>
      </c>
      <c r="B2353" s="3" t="inlineStr">
        <is>
          <t>솔루엠</t>
        </is>
      </c>
      <c r="C2353" s="2" t="inlineStr">
        <is>
          <t>248070</t>
        </is>
      </c>
      <c r="D2353" s="2" t="inlineStr">
        <is>
          <t>임원보고</t>
        </is>
      </c>
      <c r="E2353" s="3" t="inlineStr">
        <is>
          <t>-</t>
        </is>
      </c>
      <c r="F2353" s="3" t="inlineStr">
        <is>
          <t>-</t>
        </is>
      </c>
      <c r="G2353" s="3" t="inlineStr">
        <is>
          <t>-</t>
        </is>
      </c>
      <c r="H2353" s="6" t="inlineStr"/>
      <c r="I2353" s="6" t="inlineStr"/>
      <c r="J2353" s="6" t="inlineStr"/>
      <c r="K2353" s="16" t="n">
        <v>12</v>
      </c>
      <c r="L2353" s="2" t="inlineStr">
        <is>
          <t>20260601801601</t>
        </is>
      </c>
      <c r="M2353" s="8">
        <f>HYPERLINK("https://dart.fss.or.kr/dsaf001/main.do?rcpNo=20260601801601", "공시열람")</f>
        <v/>
      </c>
    </row>
    <row r="2354" ht="22" customHeight="1">
      <c r="A2354" s="2" t="inlineStr">
        <is>
          <t>2026-06-01</t>
        </is>
      </c>
      <c r="B2354" s="3" t="inlineStr">
        <is>
          <t>솔루엠</t>
        </is>
      </c>
      <c r="C2354" s="2" t="inlineStr">
        <is>
          <t>248070</t>
        </is>
      </c>
      <c r="D2354" s="2" t="inlineStr">
        <is>
          <t>대량보유</t>
        </is>
      </c>
      <c r="E2354" s="3" t="inlineStr">
        <is>
          <t>김재원</t>
        </is>
      </c>
      <c r="F2354" s="3" t="inlineStr">
        <is>
          <t>특별관계자</t>
        </is>
      </c>
      <c r="G2354" s="3" t="inlineStr">
        <is>
          <t>임원퇴임(-)</t>
        </is>
      </c>
      <c r="H2354" s="17" t="n">
        <v>-10000</v>
      </c>
      <c r="I2354" s="6" t="inlineStr"/>
      <c r="J2354" s="6" t="inlineStr"/>
      <c r="K2354" s="16" t="n">
        <v>22</v>
      </c>
      <c r="L2354" s="2" t="inlineStr">
        <is>
          <t>20260601001790</t>
        </is>
      </c>
      <c r="M2354" s="8">
        <f>HYPERLINK("https://dart.fss.or.kr/dsaf001/main.do?rcpNo=20260601001790", "공시열람")</f>
        <v/>
      </c>
    </row>
    <row r="2355" ht="22" customHeight="1">
      <c r="A2355" s="2" t="inlineStr">
        <is>
          <t>2026-06-01</t>
        </is>
      </c>
      <c r="B2355" s="3" t="inlineStr">
        <is>
          <t>에코글로우</t>
        </is>
      </c>
      <c r="C2355" s="2" t="inlineStr">
        <is>
          <t>159910</t>
        </is>
      </c>
      <c r="D2355" s="2" t="inlineStr">
        <is>
          <t>대량보유</t>
        </is>
      </c>
      <c r="E2355" s="3" t="inlineStr">
        <is>
          <t>(주)상상인저축은행</t>
        </is>
      </c>
      <c r="F2355" s="3" t="inlineStr">
        <is>
          <t>특별관계자</t>
        </is>
      </c>
      <c r="G2355" s="3" t="inlineStr">
        <is>
          <t>행사가액조정, CB인수(+)</t>
        </is>
      </c>
      <c r="H2355" s="17" t="n">
        <v>-3406304</v>
      </c>
      <c r="I2355" s="6" t="n">
        <v>3363</v>
      </c>
      <c r="J2355" s="6" t="n">
        <v>2512814</v>
      </c>
      <c r="K2355" s="16" t="n">
        <v>2</v>
      </c>
      <c r="L2355" s="2" t="inlineStr">
        <is>
          <t>20260601001788</t>
        </is>
      </c>
      <c r="M2355" s="8">
        <f>HYPERLINK("https://dart.fss.or.kr/dsaf001/main.do?rcpNo=20260601001788", "공시열람")</f>
        <v/>
      </c>
    </row>
    <row r="2356" ht="22" customHeight="1">
      <c r="A2356" s="2" t="inlineStr">
        <is>
          <t>2026-06-01</t>
        </is>
      </c>
      <c r="B2356" s="3" t="inlineStr">
        <is>
          <t>에코글로우</t>
        </is>
      </c>
      <c r="C2356" s="2" t="inlineStr">
        <is>
          <t>159910</t>
        </is>
      </c>
      <c r="D2356" s="2" t="inlineStr">
        <is>
          <t>대량보유</t>
        </is>
      </c>
      <c r="E2356" s="3" t="inlineStr">
        <is>
          <t>(주)상상인플러스저축은행</t>
        </is>
      </c>
      <c r="F2356" s="3" t="inlineStr">
        <is>
          <t>특별관계자</t>
        </is>
      </c>
      <c r="G2356" s="3" t="inlineStr">
        <is>
          <t>주식병합, 장내매도(-), CB인수(+)</t>
        </is>
      </c>
      <c r="H2356" s="17" t="n">
        <v>-225540</v>
      </c>
      <c r="I2356" s="6" t="n">
        <v>3422</v>
      </c>
      <c r="J2356" s="6" t="n">
        <v>1513590</v>
      </c>
      <c r="K2356" s="16" t="n">
        <v>2</v>
      </c>
      <c r="L2356" s="2" t="inlineStr">
        <is>
          <t>20260601001788</t>
        </is>
      </c>
      <c r="M2356" s="8">
        <f>HYPERLINK("https://dart.fss.or.kr/dsaf001/main.do?rcpNo=20260601001788", "공시열람")</f>
        <v/>
      </c>
    </row>
    <row r="2357" ht="22" customHeight="1">
      <c r="A2357" s="2" t="inlineStr">
        <is>
          <t>2026-06-01</t>
        </is>
      </c>
      <c r="B2357" s="3" t="inlineStr">
        <is>
          <t>에이치브이엠</t>
        </is>
      </c>
      <c r="C2357" s="2" t="inlineStr">
        <is>
          <t>295310</t>
        </is>
      </c>
      <c r="D2357" s="2" t="inlineStr">
        <is>
          <t>대량보유</t>
        </is>
      </c>
      <c r="E2357" s="3" t="inlineStr">
        <is>
          <t>KB자산운용</t>
        </is>
      </c>
      <c r="F2357" s="3" t="inlineStr">
        <is>
          <t>특별관계자</t>
        </is>
      </c>
      <c r="G2357" s="3" t="inlineStr">
        <is>
          <t>장내매수(+), 장내매도(-), 기타(+), 기타(-)</t>
        </is>
      </c>
      <c r="H2357" s="17" t="n">
        <v>-158703</v>
      </c>
      <c r="I2357" s="6" t="n">
        <v>98613</v>
      </c>
      <c r="J2357" s="6" t="n">
        <v>511071</v>
      </c>
      <c r="K2357" s="16" t="n">
        <v>4.25</v>
      </c>
      <c r="L2357" s="2" t="inlineStr">
        <is>
          <t>20260601001745</t>
        </is>
      </c>
      <c r="M2357" s="8">
        <f>HYPERLINK("https://dart.fss.or.kr/dsaf001/main.do?rcpNo=20260601001745", "공시열람")</f>
        <v/>
      </c>
    </row>
    <row r="2358" ht="22" customHeight="1">
      <c r="A2358" s="2" t="inlineStr">
        <is>
          <t>2026-06-01</t>
        </is>
      </c>
      <c r="B2358" s="3" t="inlineStr">
        <is>
          <t>현대코퍼레이션</t>
        </is>
      </c>
      <c r="C2358" s="2" t="inlineStr">
        <is>
          <t>011760</t>
        </is>
      </c>
      <c r="D2358" s="2" t="inlineStr">
        <is>
          <t>임원보고</t>
        </is>
      </c>
      <c r="E2358" s="3" t="inlineStr">
        <is>
          <t>-</t>
        </is>
      </c>
      <c r="F2358" s="3" t="inlineStr">
        <is>
          <t>-</t>
        </is>
      </c>
      <c r="G2358" s="3" t="inlineStr">
        <is>
          <t>-</t>
        </is>
      </c>
      <c r="H2358" s="6" t="inlineStr"/>
      <c r="I2358" s="6" t="inlineStr"/>
      <c r="J2358" s="6" t="inlineStr"/>
      <c r="K2358" s="16" t="n">
        <v>12</v>
      </c>
      <c r="L2358" s="2" t="inlineStr">
        <is>
          <t>20260601801505</t>
        </is>
      </c>
      <c r="M2358" s="8">
        <f>HYPERLINK("https://dart.fss.or.kr/dsaf001/main.do?rcpNo=20260601801505", "공시열람")</f>
        <v/>
      </c>
    </row>
    <row r="2359" ht="22" customHeight="1">
      <c r="A2359" s="2" t="inlineStr">
        <is>
          <t>2026-06-01</t>
        </is>
      </c>
      <c r="B2359" s="3" t="inlineStr">
        <is>
          <t>삼성바이오로직스</t>
        </is>
      </c>
      <c r="C2359" s="2" t="inlineStr">
        <is>
          <t>207940</t>
        </is>
      </c>
      <c r="D2359" s="2" t="inlineStr">
        <is>
          <t>임원보고</t>
        </is>
      </c>
      <c r="E2359" s="3" t="inlineStr">
        <is>
          <t>-</t>
        </is>
      </c>
      <c r="F2359" s="3" t="inlineStr">
        <is>
          <t>-</t>
        </is>
      </c>
      <c r="G2359" s="3" t="inlineStr">
        <is>
          <t>-</t>
        </is>
      </c>
      <c r="H2359" s="6" t="inlineStr"/>
      <c r="I2359" s="6" t="inlineStr"/>
      <c r="J2359" s="6" t="inlineStr"/>
      <c r="K2359" s="16" t="n">
        <v>12</v>
      </c>
      <c r="L2359" s="2" t="inlineStr">
        <is>
          <t>20260601801438</t>
        </is>
      </c>
      <c r="M2359" s="8">
        <f>HYPERLINK("https://dart.fss.or.kr/dsaf001/main.do?rcpNo=20260601801438", "공시열람")</f>
        <v/>
      </c>
    </row>
    <row r="2360" ht="22" customHeight="1">
      <c r="A2360" s="2" t="inlineStr">
        <is>
          <t>2026-06-01</t>
        </is>
      </c>
      <c r="B2360" s="3" t="inlineStr">
        <is>
          <t>와이지-원</t>
        </is>
      </c>
      <c r="C2360" s="2" t="inlineStr">
        <is>
          <t>019210</t>
        </is>
      </c>
      <c r="D2360" s="2" t="inlineStr">
        <is>
          <t>대량보유</t>
        </is>
      </c>
      <c r="E2360" s="3" t="inlineStr">
        <is>
          <t>송호근</t>
        </is>
      </c>
      <c r="F2360" s="3" t="inlineStr">
        <is>
          <t>보고자</t>
        </is>
      </c>
      <c r="G2360" s="3" t="inlineStr">
        <is>
          <t>1. 주식담보계약 내용변경 (주식 담보 일부해제 및 만기 연장)2. 차입금 상환</t>
        </is>
      </c>
      <c r="H2360" s="6" t="inlineStr"/>
      <c r="I2360" s="6" t="inlineStr"/>
      <c r="J2360" s="6" t="n">
        <v>11542233</v>
      </c>
      <c r="K2360" s="16" t="n">
        <v>11</v>
      </c>
      <c r="L2360" s="2" t="inlineStr">
        <is>
          <t>20260601001637</t>
        </is>
      </c>
      <c r="M2360" s="8">
        <f>HYPERLINK("https://dart.fss.or.kr/dsaf001/main.do?rcpNo=20260601001637", "공시열람")</f>
        <v/>
      </c>
    </row>
    <row r="2361" ht="22" customHeight="1">
      <c r="A2361" s="2" t="inlineStr">
        <is>
          <t>2026-06-01</t>
        </is>
      </c>
      <c r="B2361" s="3" t="inlineStr">
        <is>
          <t>신영증권</t>
        </is>
      </c>
      <c r="C2361" s="2" t="inlineStr">
        <is>
          <t>001720</t>
        </is>
      </c>
      <c r="D2361" s="2" t="inlineStr">
        <is>
          <t>임원보고</t>
        </is>
      </c>
      <c r="E2361" s="3" t="inlineStr">
        <is>
          <t>-</t>
        </is>
      </c>
      <c r="F2361" s="3" t="inlineStr">
        <is>
          <t>-</t>
        </is>
      </c>
      <c r="G2361" s="3" t="inlineStr">
        <is>
          <t>-</t>
        </is>
      </c>
      <c r="H2361" s="6" t="inlineStr"/>
      <c r="I2361" s="6" t="inlineStr"/>
      <c r="J2361" s="6" t="inlineStr"/>
      <c r="K2361" s="16" t="n">
        <v>12</v>
      </c>
      <c r="L2361" s="2" t="inlineStr">
        <is>
          <t>20260601801360</t>
        </is>
      </c>
      <c r="M2361" s="8">
        <f>HYPERLINK("https://dart.fss.or.kr/dsaf001/main.do?rcpNo=20260601801360", "공시열람")</f>
        <v/>
      </c>
    </row>
    <row r="2362" ht="22" customHeight="1">
      <c r="A2362" s="2" t="inlineStr">
        <is>
          <t>2026-06-01</t>
        </is>
      </c>
      <c r="B2362" s="3" t="inlineStr">
        <is>
          <t>폴레드</t>
        </is>
      </c>
      <c r="C2362" s="2" t="inlineStr">
        <is>
          <t>487580</t>
        </is>
      </c>
      <c r="D2362" s="2" t="inlineStr">
        <is>
          <t>대량보유</t>
        </is>
      </c>
      <c r="E2362" s="3" t="inlineStr">
        <is>
          <t>한국산업은행</t>
        </is>
      </c>
      <c r="F2362" s="3" t="inlineStr">
        <is>
          <t>특별관계자</t>
        </is>
      </c>
      <c r="G2362" s="3" t="inlineStr">
        <is>
          <t>신규상장(+)</t>
        </is>
      </c>
      <c r="H2362" s="15" t="n">
        <v>1744200</v>
      </c>
      <c r="I2362" s="6" t="n">
        <v>2866</v>
      </c>
      <c r="J2362" s="6" t="n">
        <v>1744200</v>
      </c>
      <c r="K2362" s="16" t="n">
        <v>6.93</v>
      </c>
      <c r="L2362" s="2" t="inlineStr">
        <is>
          <t>20260601001589</t>
        </is>
      </c>
      <c r="M2362" s="8">
        <f>HYPERLINK("https://dart.fss.or.kr/dsaf001/main.do?rcpNo=20260601001589", "공시열람")</f>
        <v/>
      </c>
    </row>
    <row r="2363" ht="22" customHeight="1">
      <c r="A2363" s="2" t="inlineStr">
        <is>
          <t>2026-06-01</t>
        </is>
      </c>
      <c r="B2363" s="3" t="inlineStr">
        <is>
          <t>하이브</t>
        </is>
      </c>
      <c r="C2363" s="2" t="inlineStr">
        <is>
          <t>352820</t>
        </is>
      </c>
      <c r="D2363" s="2" t="inlineStr">
        <is>
          <t>대량보유</t>
        </is>
      </c>
      <c r="E2363" s="3" t="inlineStr">
        <is>
          <t>방시혁</t>
        </is>
      </c>
      <c r="F2363" s="3" t="inlineStr">
        <is>
          <t>보고자</t>
        </is>
      </c>
      <c r="G2363" s="3" t="inlineStr">
        <is>
          <t>담보계약 기간 연장</t>
        </is>
      </c>
      <c r="H2363" s="6" t="inlineStr"/>
      <c r="I2363" s="6" t="inlineStr"/>
      <c r="J2363" s="6" t="n">
        <v>17699885</v>
      </c>
      <c r="K2363" s="16" t="n">
        <v>13</v>
      </c>
      <c r="L2363" s="2" t="inlineStr">
        <is>
          <t>20260601001585</t>
        </is>
      </c>
      <c r="M2363" s="8">
        <f>HYPERLINK("https://dart.fss.or.kr/dsaf001/main.do?rcpNo=20260601001585", "공시열람")</f>
        <v/>
      </c>
    </row>
    <row r="2364" ht="22" customHeight="1">
      <c r="A2364" s="2" t="inlineStr">
        <is>
          <t>2026-06-01</t>
        </is>
      </c>
      <c r="B2364" s="3" t="inlineStr">
        <is>
          <t>부국증권</t>
        </is>
      </c>
      <c r="C2364" s="2" t="inlineStr">
        <is>
          <t>001270</t>
        </is>
      </c>
      <c r="D2364" s="2" t="inlineStr">
        <is>
          <t>대량보유</t>
        </is>
      </c>
      <c r="E2364" s="3" t="inlineStr">
        <is>
          <t>김정진</t>
        </is>
      </c>
      <c r="F2364" s="3" t="inlineStr">
        <is>
          <t>특별관계자</t>
        </is>
      </c>
      <c r="G2364" s="3" t="inlineStr">
        <is>
          <t>장내매수(+)</t>
        </is>
      </c>
      <c r="H2364" s="15" t="n">
        <v>2674</v>
      </c>
      <c r="I2364" s="6" t="n">
        <v>60209</v>
      </c>
      <c r="J2364" s="6" t="n">
        <v>124936</v>
      </c>
      <c r="K2364" s="16" t="n">
        <v>9</v>
      </c>
      <c r="L2364" s="2" t="inlineStr">
        <is>
          <t>20260601001555</t>
        </is>
      </c>
      <c r="M2364" s="8">
        <f>HYPERLINK("https://dart.fss.or.kr/dsaf001/main.do?rcpNo=20260601001555", "공시열람")</f>
        <v/>
      </c>
    </row>
    <row r="2365" ht="22" customHeight="1">
      <c r="A2365" s="2" t="inlineStr">
        <is>
          <t>2026-06-01</t>
        </is>
      </c>
      <c r="B2365" s="3" t="inlineStr">
        <is>
          <t>부국증권</t>
        </is>
      </c>
      <c r="C2365" s="2" t="inlineStr">
        <is>
          <t>001270</t>
        </is>
      </c>
      <c r="D2365" s="2" t="inlineStr">
        <is>
          <t>대량보유</t>
        </is>
      </c>
      <c r="E2365" s="3" t="inlineStr">
        <is>
          <t>이진우</t>
        </is>
      </c>
      <c r="F2365" s="3" t="inlineStr">
        <is>
          <t>특별관계자</t>
        </is>
      </c>
      <c r="G2365" s="3" t="inlineStr">
        <is>
          <t>장내매수(+)</t>
        </is>
      </c>
      <c r="H2365" s="15" t="n">
        <v>2304</v>
      </c>
      <c r="I2365" s="6" t="n">
        <v>60670</v>
      </c>
      <c r="J2365" s="6" t="n">
        <v>69104</v>
      </c>
      <c r="K2365" s="16" t="n">
        <v>9</v>
      </c>
      <c r="L2365" s="2" t="inlineStr">
        <is>
          <t>20260601001555</t>
        </is>
      </c>
      <c r="M2365" s="8">
        <f>HYPERLINK("https://dart.fss.or.kr/dsaf001/main.do?rcpNo=20260601001555", "공시열람")</f>
        <v/>
      </c>
    </row>
    <row r="2366" ht="22" customHeight="1">
      <c r="A2366" s="2" t="inlineStr">
        <is>
          <t>2026-06-01</t>
        </is>
      </c>
      <c r="B2366" s="3" t="inlineStr">
        <is>
          <t>유니온</t>
        </is>
      </c>
      <c r="C2366" s="2" t="inlineStr">
        <is>
          <t>000910</t>
        </is>
      </c>
      <c r="D2366" s="2" t="inlineStr">
        <is>
          <t>대량보유</t>
        </is>
      </c>
      <c r="E2366" s="3" t="inlineStr">
        <is>
          <t>이건영</t>
        </is>
      </c>
      <c r="F2366" s="3" t="inlineStr">
        <is>
          <t>특별관계자</t>
        </is>
      </c>
      <c r="G2366" s="3" t="inlineStr">
        <is>
          <t>증여(-)</t>
        </is>
      </c>
      <c r="H2366" s="17" t="n">
        <v>-50000</v>
      </c>
      <c r="I2366" s="6" t="inlineStr"/>
      <c r="J2366" s="6" t="n">
        <v>2282750</v>
      </c>
      <c r="K2366" s="16" t="n">
        <v>4</v>
      </c>
      <c r="L2366" s="2" t="inlineStr">
        <is>
          <t>20260601001523</t>
        </is>
      </c>
      <c r="M2366" s="8">
        <f>HYPERLINK("https://dart.fss.or.kr/dsaf001/main.do?rcpNo=20260601001523", "공시열람")</f>
        <v/>
      </c>
    </row>
    <row r="2367" ht="22" customHeight="1">
      <c r="A2367" s="2" t="inlineStr">
        <is>
          <t>2026-06-01</t>
        </is>
      </c>
      <c r="B2367" s="3" t="inlineStr">
        <is>
          <t>유니온</t>
        </is>
      </c>
      <c r="C2367" s="2" t="inlineStr">
        <is>
          <t>000910</t>
        </is>
      </c>
      <c r="D2367" s="2" t="inlineStr">
        <is>
          <t>대량보유</t>
        </is>
      </c>
      <c r="E2367" s="3" t="inlineStr">
        <is>
          <t>이선영</t>
        </is>
      </c>
      <c r="F2367" s="3" t="inlineStr">
        <is>
          <t>특별관계자</t>
        </is>
      </c>
      <c r="G2367" s="3" t="inlineStr">
        <is>
          <t>수증(+)</t>
        </is>
      </c>
      <c r="H2367" s="15" t="n">
        <v>50000</v>
      </c>
      <c r="I2367" s="6" t="inlineStr"/>
      <c r="J2367" s="6" t="n">
        <v>242762</v>
      </c>
      <c r="K2367" s="16" t="n">
        <v>4</v>
      </c>
      <c r="L2367" s="2" t="inlineStr">
        <is>
          <t>20260601001523</t>
        </is>
      </c>
      <c r="M2367" s="8">
        <f>HYPERLINK("https://dart.fss.or.kr/dsaf001/main.do?rcpNo=20260601001523", "공시열람")</f>
        <v/>
      </c>
    </row>
    <row r="2368" ht="22" customHeight="1">
      <c r="A2368" s="2" t="inlineStr">
        <is>
          <t>2026-06-01</t>
        </is>
      </c>
      <c r="B2368" s="3" t="inlineStr">
        <is>
          <t>로젠</t>
        </is>
      </c>
      <c r="C2368" s="2" t="inlineStr">
        <is>
          <t>033290</t>
        </is>
      </c>
      <c r="D2368" s="2" t="inlineStr">
        <is>
          <t>대량보유</t>
        </is>
      </c>
      <c r="E2368" s="3" t="inlineStr">
        <is>
          <t>(주)대명화학</t>
        </is>
      </c>
      <c r="F2368" s="3" t="inlineStr">
        <is>
          <t>보고자</t>
        </is>
      </c>
      <c r="G2368" s="3" t="inlineStr">
        <is>
          <t>주식담보계약 등의 주요계약 일부변경(일부상환)</t>
        </is>
      </c>
      <c r="H2368" s="6" t="inlineStr"/>
      <c r="I2368" s="6" t="inlineStr"/>
      <c r="J2368" s="6" t="n">
        <v>38047192</v>
      </c>
      <c r="K2368" s="16" t="n">
        <v>3</v>
      </c>
      <c r="L2368" s="2" t="inlineStr">
        <is>
          <t>20260601001497</t>
        </is>
      </c>
      <c r="M2368" s="8">
        <f>HYPERLINK("https://dart.fss.or.kr/dsaf001/main.do?rcpNo=20260601001497", "공시열람")</f>
        <v/>
      </c>
    </row>
    <row r="2369" ht="22" customHeight="1">
      <c r="A2369" s="2" t="inlineStr">
        <is>
          <t>2026-06-01</t>
        </is>
      </c>
      <c r="B2369" s="3" t="inlineStr">
        <is>
          <t>삼성E&amp;A</t>
        </is>
      </c>
      <c r="C2369" s="2" t="inlineStr">
        <is>
          <t>028050</t>
        </is>
      </c>
      <c r="D2369" s="2" t="inlineStr">
        <is>
          <t>임원보고</t>
        </is>
      </c>
      <c r="E2369" s="3" t="inlineStr">
        <is>
          <t>-</t>
        </is>
      </c>
      <c r="F2369" s="3" t="inlineStr">
        <is>
          <t>-</t>
        </is>
      </c>
      <c r="G2369" s="3" t="inlineStr">
        <is>
          <t>-</t>
        </is>
      </c>
      <c r="H2369" s="6" t="inlineStr"/>
      <c r="I2369" s="6" t="inlineStr"/>
      <c r="J2369" s="6" t="inlineStr"/>
      <c r="K2369" s="16" t="n">
        <v>12</v>
      </c>
      <c r="L2369" s="2" t="inlineStr">
        <is>
          <t>20260601801235</t>
        </is>
      </c>
      <c r="M2369" s="8">
        <f>HYPERLINK("https://dart.fss.or.kr/dsaf001/main.do?rcpNo=20260601801235", "공시열람")</f>
        <v/>
      </c>
    </row>
    <row r="2370" ht="22" customHeight="1">
      <c r="A2370" s="2" t="inlineStr">
        <is>
          <t>2026-06-01</t>
        </is>
      </c>
      <c r="B2370" s="3" t="inlineStr">
        <is>
          <t>현대코퍼레이션</t>
        </is>
      </c>
      <c r="C2370" s="2" t="inlineStr">
        <is>
          <t>011760</t>
        </is>
      </c>
      <c r="D2370" s="2" t="inlineStr">
        <is>
          <t>대량보유</t>
        </is>
      </c>
      <c r="E2370" s="3" t="inlineStr">
        <is>
          <t>현대코퍼레이션홀딩스(주)</t>
        </is>
      </c>
      <c r="F2370" s="3" t="inlineStr">
        <is>
          <t>특별관계자</t>
        </is>
      </c>
      <c r="G2370" s="3" t="inlineStr">
        <is>
          <t>장내매수(+)</t>
        </is>
      </c>
      <c r="H2370" s="15" t="n">
        <v>286361</v>
      </c>
      <c r="I2370" s="6" t="n">
        <v>27937</v>
      </c>
      <c r="J2370" s="6" t="n">
        <v>3168361</v>
      </c>
      <c r="K2370" s="16" t="n">
        <v>3</v>
      </c>
      <c r="L2370" s="2" t="inlineStr">
        <is>
          <t>20260601001477</t>
        </is>
      </c>
      <c r="M2370" s="8">
        <f>HYPERLINK("https://dart.fss.or.kr/dsaf001/main.do?rcpNo=20260601001477", "공시열람")</f>
        <v/>
      </c>
    </row>
    <row r="2371" ht="22" customHeight="1">
      <c r="A2371" s="2" t="inlineStr">
        <is>
          <t>2026-06-01</t>
        </is>
      </c>
      <c r="B2371" s="3" t="inlineStr">
        <is>
          <t>SKC</t>
        </is>
      </c>
      <c r="C2371" s="2" t="inlineStr">
        <is>
          <t>011790</t>
        </is>
      </c>
      <c r="D2371" s="2" t="inlineStr">
        <is>
          <t>대량보유</t>
        </is>
      </c>
      <c r="E2371" s="3" t="inlineStr">
        <is>
          <t>한국투자2024의1호사모투자합자회사</t>
        </is>
      </c>
      <c r="F2371" s="3" t="inlineStr">
        <is>
          <t>특별관계자</t>
        </is>
      </c>
      <c r="G2371" s="3" t="inlineStr">
        <is>
          <t>교환(-), 장내매도(-), 교환(+)</t>
        </is>
      </c>
      <c r="H2371" s="17" t="n">
        <v>-389886</v>
      </c>
      <c r="I2371" s="6" t="n">
        <v>113701</v>
      </c>
      <c r="J2371" s="6" t="n">
        <v>213300</v>
      </c>
      <c r="K2371" s="16" t="n">
        <v>6</v>
      </c>
      <c r="L2371" s="2" t="inlineStr">
        <is>
          <t>20260601001465</t>
        </is>
      </c>
      <c r="M2371" s="8">
        <f>HYPERLINK("https://dart.fss.or.kr/dsaf001/main.do?rcpNo=20260601001465", "공시열람")</f>
        <v/>
      </c>
    </row>
    <row r="2372" ht="22" customHeight="1">
      <c r="A2372" s="2" t="inlineStr">
        <is>
          <t>2026-06-01</t>
        </is>
      </c>
      <c r="B2372" s="3" t="inlineStr">
        <is>
          <t>SKC</t>
        </is>
      </c>
      <c r="C2372" s="2" t="inlineStr">
        <is>
          <t>011790</t>
        </is>
      </c>
      <c r="D2372" s="2" t="inlineStr">
        <is>
          <t>대량보유</t>
        </is>
      </c>
      <c r="E2372" s="3" t="inlineStr">
        <is>
          <t>한국투자2024사모투자합자회사</t>
        </is>
      </c>
      <c r="F2372" s="3" t="inlineStr">
        <is>
          <t>특별관계자</t>
        </is>
      </c>
      <c r="G2372" s="3" t="inlineStr">
        <is>
          <t>교환(-), 장내매도(-), 교환(+)</t>
        </is>
      </c>
      <c r="H2372" s="17" t="n">
        <v>-148084</v>
      </c>
      <c r="I2372" s="6" t="n">
        <v>114309</v>
      </c>
      <c r="J2372" s="6" t="n">
        <v>69583</v>
      </c>
      <c r="K2372" s="16" t="n">
        <v>6</v>
      </c>
      <c r="L2372" s="2" t="inlineStr">
        <is>
          <t>20260601001465</t>
        </is>
      </c>
      <c r="M2372" s="8">
        <f>HYPERLINK("https://dart.fss.or.kr/dsaf001/main.do?rcpNo=20260601001465", "공시열람")</f>
        <v/>
      </c>
    </row>
    <row r="2373" ht="22" customHeight="1">
      <c r="A2373" s="2" t="inlineStr">
        <is>
          <t>2026-06-01</t>
        </is>
      </c>
      <c r="B2373" s="3" t="inlineStr">
        <is>
          <t>SKC</t>
        </is>
      </c>
      <c r="C2373" s="2" t="inlineStr">
        <is>
          <t>011790</t>
        </is>
      </c>
      <c r="D2373" s="2" t="inlineStr">
        <is>
          <t>대량보유</t>
        </is>
      </c>
      <c r="E2373" s="3" t="inlineStr">
        <is>
          <t>한국투자스페셜시츄에이션제1호기업재무안정사모투자합자회사</t>
        </is>
      </c>
      <c r="F2373" s="3" t="inlineStr">
        <is>
          <t>특별관계자</t>
        </is>
      </c>
      <c r="G2373" s="3" t="inlineStr">
        <is>
          <t>교환(-), 장내매도(-), 교환(+)</t>
        </is>
      </c>
      <c r="H2373" s="17" t="n">
        <v>-109349</v>
      </c>
      <c r="I2373" s="6" t="n">
        <v>112618</v>
      </c>
      <c r="J2373" s="6" t="n">
        <v>90950</v>
      </c>
      <c r="K2373" s="16" t="n">
        <v>6</v>
      </c>
      <c r="L2373" s="2" t="inlineStr">
        <is>
          <t>20260601001465</t>
        </is>
      </c>
      <c r="M2373" s="8">
        <f>HYPERLINK("https://dart.fss.or.kr/dsaf001/main.do?rcpNo=20260601001465", "공시열람")</f>
        <v/>
      </c>
    </row>
    <row r="2374" ht="22" customHeight="1">
      <c r="A2374" s="2" t="inlineStr">
        <is>
          <t>2026-06-01</t>
        </is>
      </c>
      <c r="B2374" s="3" t="inlineStr">
        <is>
          <t>SKC</t>
        </is>
      </c>
      <c r="C2374" s="2" t="inlineStr">
        <is>
          <t>011790</t>
        </is>
      </c>
      <c r="D2374" s="2" t="inlineStr">
        <is>
          <t>대량보유</t>
        </is>
      </c>
      <c r="E2374" s="3" t="inlineStr">
        <is>
          <t>한국투자증권(주)</t>
        </is>
      </c>
      <c r="F2374" s="3" t="inlineStr">
        <is>
          <t>특별관계자</t>
        </is>
      </c>
      <c r="G2374" s="3" t="inlineStr">
        <is>
          <t>기타(-), 장내매도(-), 장내매수(+), 기타(+), 유상신주취득(+), 차입(+), 대여(-)</t>
        </is>
      </c>
      <c r="H2374" s="17" t="n">
        <v>-10170</v>
      </c>
      <c r="I2374" s="6" t="n">
        <v>136368</v>
      </c>
      <c r="J2374" s="6" t="n">
        <v>30331</v>
      </c>
      <c r="K2374" s="16" t="n">
        <v>6</v>
      </c>
      <c r="L2374" s="2" t="inlineStr">
        <is>
          <t>20260601001465</t>
        </is>
      </c>
      <c r="M2374" s="8">
        <f>HYPERLINK("https://dart.fss.or.kr/dsaf001/main.do?rcpNo=20260601001465", "공시열람")</f>
        <v/>
      </c>
    </row>
    <row r="2375" ht="22" customHeight="1">
      <c r="A2375" s="2" t="inlineStr">
        <is>
          <t>2026-06-01</t>
        </is>
      </c>
      <c r="B2375" s="3" t="inlineStr">
        <is>
          <t>SKC</t>
        </is>
      </c>
      <c r="C2375" s="2" t="inlineStr">
        <is>
          <t>011790</t>
        </is>
      </c>
      <c r="D2375" s="2" t="inlineStr">
        <is>
          <t>대량보유</t>
        </is>
      </c>
      <c r="E2375" s="3" t="inlineStr">
        <is>
          <t>에스케이주식회사</t>
        </is>
      </c>
      <c r="F2375" s="3" t="inlineStr">
        <is>
          <t>특별관계자</t>
        </is>
      </c>
      <c r="G2375" s="3" t="inlineStr">
        <is>
          <t>기타(-), 유상신주취득(+)</t>
        </is>
      </c>
      <c r="H2375" s="15" t="n">
        <v>202906</v>
      </c>
      <c r="I2375" s="6" t="n">
        <v>99500</v>
      </c>
      <c r="J2375" s="6" t="n">
        <v>20865272</v>
      </c>
      <c r="K2375" s="16" t="n">
        <v>6</v>
      </c>
      <c r="L2375" s="2" t="inlineStr">
        <is>
          <t>20260601001465</t>
        </is>
      </c>
      <c r="M2375" s="8">
        <f>HYPERLINK("https://dart.fss.or.kr/dsaf001/main.do?rcpNo=20260601001465", "공시열람")</f>
        <v/>
      </c>
    </row>
    <row r="2376" ht="22" customHeight="1">
      <c r="A2376" s="2" t="inlineStr">
        <is>
          <t>2026-06-01</t>
        </is>
      </c>
      <c r="B2376" s="3" t="inlineStr">
        <is>
          <t>비케이홀딩스</t>
        </is>
      </c>
      <c r="C2376" s="2" t="inlineStr">
        <is>
          <t>050090</t>
        </is>
      </c>
      <c r="D2376" s="2" t="inlineStr">
        <is>
          <t>대량보유</t>
        </is>
      </c>
      <c r="E2376" s="3" t="inlineStr">
        <is>
          <t>(주)한국문화진흥</t>
        </is>
      </c>
      <c r="F2376" s="3" t="inlineStr">
        <is>
          <t>특별관계자</t>
        </is>
      </c>
      <c r="G2376" s="3" t="inlineStr">
        <is>
          <t>제3자배정유상증자(+)</t>
        </is>
      </c>
      <c r="H2376" s="15" t="n">
        <v>3750000</v>
      </c>
      <c r="I2376" s="6" t="n">
        <v>800</v>
      </c>
      <c r="J2376" s="6" t="n">
        <v>8721671</v>
      </c>
      <c r="K2376" s="16" t="n">
        <v>4</v>
      </c>
      <c r="L2376" s="2" t="inlineStr">
        <is>
          <t>20260601001448</t>
        </is>
      </c>
      <c r="M2376" s="8">
        <f>HYPERLINK("https://dart.fss.or.kr/dsaf001/main.do?rcpNo=20260601001448", "공시열람")</f>
        <v/>
      </c>
    </row>
    <row r="2377" ht="22" customHeight="1">
      <c r="A2377" s="2" t="inlineStr">
        <is>
          <t>2026-06-01</t>
        </is>
      </c>
      <c r="B2377" s="3" t="inlineStr">
        <is>
          <t>한독</t>
        </is>
      </c>
      <c r="C2377" s="2" t="inlineStr">
        <is>
          <t>002390</t>
        </is>
      </c>
      <c r="D2377" s="2" t="inlineStr">
        <is>
          <t>임원보고</t>
        </is>
      </c>
      <c r="E2377" s="3" t="inlineStr">
        <is>
          <t>-</t>
        </is>
      </c>
      <c r="F2377" s="3" t="inlineStr">
        <is>
          <t>-</t>
        </is>
      </c>
      <c r="G2377" s="3" t="inlineStr">
        <is>
          <t>-</t>
        </is>
      </c>
      <c r="H2377" s="6" t="inlineStr"/>
      <c r="I2377" s="6" t="inlineStr"/>
      <c r="J2377" s="6" t="inlineStr"/>
      <c r="K2377" s="16" t="n">
        <v>12</v>
      </c>
      <c r="L2377" s="2" t="inlineStr">
        <is>
          <t>20260601801146</t>
        </is>
      </c>
      <c r="M2377" s="8">
        <f>HYPERLINK("https://dart.fss.or.kr/dsaf001/main.do?rcpNo=20260601801146", "공시열람")</f>
        <v/>
      </c>
    </row>
    <row r="2378" ht="22" customHeight="1">
      <c r="A2378" s="2" t="inlineStr">
        <is>
          <t>2026-06-01</t>
        </is>
      </c>
      <c r="B2378" s="3" t="inlineStr">
        <is>
          <t>효성티앤씨</t>
        </is>
      </c>
      <c r="C2378" s="2" t="inlineStr">
        <is>
          <t>298020</t>
        </is>
      </c>
      <c r="D2378" s="2" t="inlineStr">
        <is>
          <t>대량보유</t>
        </is>
      </c>
      <c r="E2378" s="3" t="inlineStr">
        <is>
          <t>국민연금기금</t>
        </is>
      </c>
      <c r="F2378" s="3" t="inlineStr">
        <is>
          <t>특별관계자</t>
        </is>
      </c>
      <c r="G2378" s="3" t="inlineStr">
        <is>
          <t>단순추가취득/처분</t>
        </is>
      </c>
      <c r="H2378" s="15" t="n">
        <v>43781</v>
      </c>
      <c r="I2378" s="6" t="inlineStr"/>
      <c r="J2378" s="6" t="n">
        <v>475588</v>
      </c>
      <c r="K2378" s="16" t="n">
        <v>1</v>
      </c>
      <c r="L2378" s="2" t="inlineStr">
        <is>
          <t>20260601001397</t>
        </is>
      </c>
      <c r="M2378" s="8">
        <f>HYPERLINK("https://dart.fss.or.kr/dsaf001/main.do?rcpNo=20260601001397", "공시열람")</f>
        <v/>
      </c>
    </row>
    <row r="2379" ht="22" customHeight="1">
      <c r="A2379" s="2" t="inlineStr">
        <is>
          <t>2026-06-01 (정정: 2026-06-22)</t>
        </is>
      </c>
      <c r="B2379" s="3" t="inlineStr">
        <is>
          <t>하나머티리얼즈</t>
        </is>
      </c>
      <c r="C2379" s="2" t="inlineStr">
        <is>
          <t>166090</t>
        </is>
      </c>
      <c r="D2379" s="2" t="inlineStr">
        <is>
          <t>대량보유</t>
        </is>
      </c>
      <c r="E2379" s="3" t="inlineStr">
        <is>
          <t>-</t>
        </is>
      </c>
      <c r="F2379" s="3" t="inlineStr">
        <is>
          <t>보고자</t>
        </is>
      </c>
      <c r="G2379" s="3" t="inlineStr">
        <is>
          <t>-</t>
        </is>
      </c>
      <c r="H2379" s="6" t="inlineStr"/>
      <c r="I2379" s="6" t="inlineStr"/>
      <c r="J2379" s="6" t="inlineStr"/>
      <c r="K2379" s="18" t="inlineStr"/>
      <c r="L2379" s="2" t="inlineStr">
        <is>
          <t>20260622900725</t>
        </is>
      </c>
      <c r="M2379" s="8">
        <f>HYPERLINK("https://dart.fss.or.kr/dsaf001/main.do?rcpNo=20260622900725", "공시열람")</f>
        <v/>
      </c>
    </row>
    <row r="2380" ht="22" customHeight="1">
      <c r="A2380" s="2" t="inlineStr">
        <is>
          <t>2026-06-01</t>
        </is>
      </c>
      <c r="B2380" s="3" t="inlineStr">
        <is>
          <t>한국전력공사</t>
        </is>
      </c>
      <c r="C2380" s="2" t="inlineStr">
        <is>
          <t>015760</t>
        </is>
      </c>
      <c r="D2380" s="2" t="inlineStr">
        <is>
          <t>대량보유</t>
        </is>
      </c>
      <c r="E2380" s="3" t="inlineStr">
        <is>
          <t>국민연금기금</t>
        </is>
      </c>
      <c r="F2380" s="3" t="inlineStr">
        <is>
          <t>특별관계자</t>
        </is>
      </c>
      <c r="G2380" s="3" t="inlineStr">
        <is>
          <t>단순추가취득/처분</t>
        </is>
      </c>
      <c r="H2380" s="17" t="n">
        <v>-6535733</v>
      </c>
      <c r="I2380" s="6" t="inlineStr"/>
      <c r="J2380" s="6" t="n">
        <v>44185346</v>
      </c>
      <c r="K2380" s="16" t="n">
        <v>1</v>
      </c>
      <c r="L2380" s="2" t="inlineStr">
        <is>
          <t>20260601001366</t>
        </is>
      </c>
      <c r="M2380" s="8">
        <f>HYPERLINK("https://dart.fss.or.kr/dsaf001/main.do?rcpNo=20260601001366", "공시열람")</f>
        <v/>
      </c>
    </row>
    <row r="2381" ht="22" customHeight="1">
      <c r="A2381" s="2" t="inlineStr">
        <is>
          <t>2026-06-01</t>
        </is>
      </c>
      <c r="B2381" s="3" t="inlineStr">
        <is>
          <t>삼양식품</t>
        </is>
      </c>
      <c r="C2381" s="2" t="inlineStr">
        <is>
          <t>003230</t>
        </is>
      </c>
      <c r="D2381" s="2" t="inlineStr">
        <is>
          <t>대량보유</t>
        </is>
      </c>
      <c r="E2381" s="3" t="inlineStr">
        <is>
          <t>국민연금기금</t>
        </is>
      </c>
      <c r="F2381" s="3" t="inlineStr">
        <is>
          <t>특별관계자</t>
        </is>
      </c>
      <c r="G2381" s="3" t="inlineStr">
        <is>
          <t>단순추가취득/처분</t>
        </is>
      </c>
      <c r="H2381" s="15" t="n">
        <v>75625</v>
      </c>
      <c r="I2381" s="6" t="inlineStr"/>
      <c r="J2381" s="6" t="n">
        <v>797258</v>
      </c>
      <c r="K2381" s="16" t="n">
        <v>1</v>
      </c>
      <c r="L2381" s="2" t="inlineStr">
        <is>
          <t>20260601001347</t>
        </is>
      </c>
      <c r="M2381" s="8">
        <f>HYPERLINK("https://dart.fss.or.kr/dsaf001/main.do?rcpNo=20260601001347", "공시열람")</f>
        <v/>
      </c>
    </row>
    <row r="2382" ht="22" customHeight="1">
      <c r="A2382" s="2" t="inlineStr">
        <is>
          <t>2026-06-01</t>
        </is>
      </c>
      <c r="B2382" s="3" t="inlineStr">
        <is>
          <t>CJ대한통운</t>
        </is>
      </c>
      <c r="C2382" s="2" t="inlineStr">
        <is>
          <t>000120</t>
        </is>
      </c>
      <c r="D2382" s="2" t="inlineStr">
        <is>
          <t>대량보유</t>
        </is>
      </c>
      <c r="E2382" s="3" t="inlineStr">
        <is>
          <t>국민연금기금</t>
        </is>
      </c>
      <c r="F2382" s="3" t="inlineStr">
        <is>
          <t>특별관계자</t>
        </is>
      </c>
      <c r="G2382" s="3" t="inlineStr">
        <is>
          <t>단순추가취득/처분</t>
        </is>
      </c>
      <c r="H2382" s="17" t="n">
        <v>-229841</v>
      </c>
      <c r="I2382" s="6" t="inlineStr"/>
      <c r="J2382" s="6" t="n">
        <v>2163715</v>
      </c>
      <c r="K2382" s="16" t="n">
        <v>1</v>
      </c>
      <c r="L2382" s="2" t="inlineStr">
        <is>
          <t>20260601001331</t>
        </is>
      </c>
      <c r="M2382" s="8">
        <f>HYPERLINK("https://dart.fss.or.kr/dsaf001/main.do?rcpNo=20260601001331", "공시열람")</f>
        <v/>
      </c>
    </row>
    <row r="2383" ht="22" customHeight="1">
      <c r="A2383" s="2" t="inlineStr">
        <is>
          <t>2026-06-01</t>
        </is>
      </c>
      <c r="B2383" s="3" t="inlineStr">
        <is>
          <t>유니온</t>
        </is>
      </c>
      <c r="C2383" s="2" t="inlineStr">
        <is>
          <t>000910</t>
        </is>
      </c>
      <c r="D2383" s="2" t="inlineStr">
        <is>
          <t>임원보고</t>
        </is>
      </c>
      <c r="E2383" s="3" t="inlineStr">
        <is>
          <t>-</t>
        </is>
      </c>
      <c r="F2383" s="3" t="inlineStr">
        <is>
          <t>-</t>
        </is>
      </c>
      <c r="G2383" s="3" t="inlineStr">
        <is>
          <t>-</t>
        </is>
      </c>
      <c r="H2383" s="6" t="inlineStr"/>
      <c r="I2383" s="6" t="inlineStr"/>
      <c r="J2383" s="6" t="inlineStr"/>
      <c r="K2383" s="16" t="n">
        <v>12</v>
      </c>
      <c r="L2383" s="2" t="inlineStr">
        <is>
          <t>20260601801081</t>
        </is>
      </c>
      <c r="M2383" s="8">
        <f>HYPERLINK("https://dart.fss.or.kr/dsaf001/main.do?rcpNo=20260601801081", "공시열람")</f>
        <v/>
      </c>
    </row>
    <row r="2384" ht="22" customHeight="1">
      <c r="A2384" s="2" t="inlineStr">
        <is>
          <t>2026-06-01</t>
        </is>
      </c>
      <c r="B2384" s="3" t="inlineStr">
        <is>
          <t>LG디스플레이</t>
        </is>
      </c>
      <c r="C2384" s="2" t="inlineStr">
        <is>
          <t>034220</t>
        </is>
      </c>
      <c r="D2384" s="2" t="inlineStr">
        <is>
          <t>대량보유</t>
        </is>
      </c>
      <c r="E2384" s="3" t="inlineStr">
        <is>
          <t>BlackRockFundAdvisors</t>
        </is>
      </c>
      <c r="F2384" s="3" t="inlineStr">
        <is>
          <t>특별관계자</t>
        </is>
      </c>
      <c r="G2384" s="3" t="inlineStr">
        <is>
          <t>장내매도(-), 장내매수(+)</t>
        </is>
      </c>
      <c r="H2384" s="17" t="n">
        <v>-86264</v>
      </c>
      <c r="I2384" s="6" t="n">
        <v>12704</v>
      </c>
      <c r="J2384" s="6" t="n">
        <v>12683754</v>
      </c>
      <c r="K2384" s="16" t="n">
        <v>15</v>
      </c>
      <c r="L2384" s="2" t="inlineStr">
        <is>
          <t>20260601001284</t>
        </is>
      </c>
      <c r="M2384" s="8">
        <f>HYPERLINK("https://dart.fss.or.kr/dsaf001/main.do?rcpNo=20260601001284", "공시열람")</f>
        <v/>
      </c>
    </row>
    <row r="2385" ht="22" customHeight="1">
      <c r="A2385" s="2" t="inlineStr">
        <is>
          <t>2026-06-01</t>
        </is>
      </c>
      <c r="B2385" s="3" t="inlineStr">
        <is>
          <t>LG디스플레이</t>
        </is>
      </c>
      <c r="C2385" s="2" t="inlineStr">
        <is>
          <t>034220</t>
        </is>
      </c>
      <c r="D2385" s="2" t="inlineStr">
        <is>
          <t>대량보유</t>
        </is>
      </c>
      <c r="E2385" s="3" t="inlineStr">
        <is>
          <t>BlackRockInstitutionalTrustCompany,N.A.</t>
        </is>
      </c>
      <c r="F2385" s="3" t="inlineStr">
        <is>
          <t>특별관계자</t>
        </is>
      </c>
      <c r="G2385" s="3" t="inlineStr">
        <is>
          <t>장내매도(-), 장내매수(+)</t>
        </is>
      </c>
      <c r="H2385" s="15" t="n">
        <v>227211</v>
      </c>
      <c r="I2385" s="6" t="n">
        <v>12005</v>
      </c>
      <c r="J2385" s="6" t="n">
        <v>4030790</v>
      </c>
      <c r="K2385" s="16" t="n">
        <v>15</v>
      </c>
      <c r="L2385" s="2" t="inlineStr">
        <is>
          <t>20260601001284</t>
        </is>
      </c>
      <c r="M2385" s="8">
        <f>HYPERLINK("https://dart.fss.or.kr/dsaf001/main.do?rcpNo=20260601001284", "공시열람")</f>
        <v/>
      </c>
    </row>
    <row r="2386" ht="22" customHeight="1">
      <c r="A2386" s="2" t="inlineStr">
        <is>
          <t>2026-06-01</t>
        </is>
      </c>
      <c r="B2386" s="3" t="inlineStr">
        <is>
          <t>LG디스플레이</t>
        </is>
      </c>
      <c r="C2386" s="2" t="inlineStr">
        <is>
          <t>034220</t>
        </is>
      </c>
      <c r="D2386" s="2" t="inlineStr">
        <is>
          <t>대량보유</t>
        </is>
      </c>
      <c r="E2386" s="3" t="inlineStr">
        <is>
          <t>BlackRockAdvisors(UK)Limited</t>
        </is>
      </c>
      <c r="F2386" s="3" t="inlineStr">
        <is>
          <t>특별관계자</t>
        </is>
      </c>
      <c r="G2386" s="3" t="inlineStr">
        <is>
          <t>장내매수(+), 장내매도(-), 기타(+)</t>
        </is>
      </c>
      <c r="H2386" s="15" t="n">
        <v>157549</v>
      </c>
      <c r="I2386" s="6" t="n">
        <v>8683</v>
      </c>
      <c r="J2386" s="6" t="n">
        <v>144666</v>
      </c>
      <c r="K2386" s="16" t="n">
        <v>15</v>
      </c>
      <c r="L2386" s="2" t="inlineStr">
        <is>
          <t>20260601001284</t>
        </is>
      </c>
      <c r="M2386" s="8">
        <f>HYPERLINK("https://dart.fss.or.kr/dsaf001/main.do?rcpNo=20260601001284", "공시열람")</f>
        <v/>
      </c>
    </row>
    <row r="2387" ht="22" customHeight="1">
      <c r="A2387" s="2" t="inlineStr">
        <is>
          <t>2026-06-01</t>
        </is>
      </c>
      <c r="B2387" s="3" t="inlineStr">
        <is>
          <t>LG디스플레이</t>
        </is>
      </c>
      <c r="C2387" s="2" t="inlineStr">
        <is>
          <t>034220</t>
        </is>
      </c>
      <c r="D2387" s="2" t="inlineStr">
        <is>
          <t>대량보유</t>
        </is>
      </c>
      <c r="E2387" s="3" t="inlineStr">
        <is>
          <t>BlackRockFinancialManagement,Inc</t>
        </is>
      </c>
      <c r="F2387" s="3" t="inlineStr">
        <is>
          <t>특별관계자</t>
        </is>
      </c>
      <c r="G2387" s="3" t="inlineStr">
        <is>
          <t>장내매수(+), 장외매도(-), 장내매도(-)</t>
        </is>
      </c>
      <c r="H2387" s="17" t="n">
        <v>-171648</v>
      </c>
      <c r="I2387" s="6" t="n">
        <v>11807</v>
      </c>
      <c r="J2387" s="6" t="n">
        <v>298543</v>
      </c>
      <c r="K2387" s="16" t="n">
        <v>15</v>
      </c>
      <c r="L2387" s="2" t="inlineStr">
        <is>
          <t>20260601001284</t>
        </is>
      </c>
      <c r="M2387" s="8">
        <f>HYPERLINK("https://dart.fss.or.kr/dsaf001/main.do?rcpNo=20260601001284", "공시열람")</f>
        <v/>
      </c>
    </row>
    <row r="2388" ht="22" customHeight="1">
      <c r="A2388" s="2" t="inlineStr">
        <is>
          <t>2026-06-01</t>
        </is>
      </c>
      <c r="B2388" s="3" t="inlineStr">
        <is>
          <t>LG디스플레이</t>
        </is>
      </c>
      <c r="C2388" s="2" t="inlineStr">
        <is>
          <t>034220</t>
        </is>
      </c>
      <c r="D2388" s="2" t="inlineStr">
        <is>
          <t>대량보유</t>
        </is>
      </c>
      <c r="E2388" s="3" t="inlineStr">
        <is>
          <t>BlackRockInvestmentManagement,LLC</t>
        </is>
      </c>
      <c r="F2388" s="3" t="inlineStr">
        <is>
          <t>특별관계자</t>
        </is>
      </c>
      <c r="G2388" s="3" t="inlineStr">
        <is>
          <t>장내매도(-)</t>
        </is>
      </c>
      <c r="H2388" s="17" t="n">
        <v>-27475</v>
      </c>
      <c r="I2388" s="6" t="n">
        <v>13598</v>
      </c>
      <c r="J2388" s="6" t="n">
        <v>54678</v>
      </c>
      <c r="K2388" s="16" t="n">
        <v>15</v>
      </c>
      <c r="L2388" s="2" t="inlineStr">
        <is>
          <t>20260601001284</t>
        </is>
      </c>
      <c r="M2388" s="8">
        <f>HYPERLINK("https://dart.fss.or.kr/dsaf001/main.do?rcpNo=20260601001284", "공시열람")</f>
        <v/>
      </c>
    </row>
    <row r="2389" ht="22" customHeight="1">
      <c r="A2389" s="2" t="inlineStr">
        <is>
          <t>2026-06-01</t>
        </is>
      </c>
      <c r="B2389" s="3" t="inlineStr">
        <is>
          <t>LG디스플레이</t>
        </is>
      </c>
      <c r="C2389" s="2" t="inlineStr">
        <is>
          <t>034220</t>
        </is>
      </c>
      <c r="D2389" s="2" t="inlineStr">
        <is>
          <t>대량보유</t>
        </is>
      </c>
      <c r="E2389" s="3" t="inlineStr">
        <is>
          <t>BlackRockInvestmentManagement(UK)Limited</t>
        </is>
      </c>
      <c r="F2389" s="3" t="inlineStr">
        <is>
          <t>특별관계자</t>
        </is>
      </c>
      <c r="G2389" s="3" t="inlineStr">
        <is>
          <t>장내매도(-), 장외매도(-), 장내매수(+), 기타(-)</t>
        </is>
      </c>
      <c r="H2389" s="17" t="n">
        <v>-89834</v>
      </c>
      <c r="I2389" s="6" t="n">
        <v>10600</v>
      </c>
      <c r="J2389" s="6" t="inlineStr"/>
      <c r="K2389" s="16" t="n">
        <v>15</v>
      </c>
      <c r="L2389" s="2" t="inlineStr">
        <is>
          <t>20260601001284</t>
        </is>
      </c>
      <c r="M2389" s="8">
        <f>HYPERLINK("https://dart.fss.or.kr/dsaf001/main.do?rcpNo=20260601001284", "공시열람")</f>
        <v/>
      </c>
    </row>
    <row r="2390" ht="22" customHeight="1">
      <c r="A2390" s="2" t="inlineStr">
        <is>
          <t>2026-06-01</t>
        </is>
      </c>
      <c r="B2390" s="3" t="inlineStr">
        <is>
          <t>LG디스플레이</t>
        </is>
      </c>
      <c r="C2390" s="2" t="inlineStr">
        <is>
          <t>034220</t>
        </is>
      </c>
      <c r="D2390" s="2" t="inlineStr">
        <is>
          <t>대량보유</t>
        </is>
      </c>
      <c r="E2390" s="3" t="inlineStr">
        <is>
          <t>BlackRockAssetManagementCanadaLimited</t>
        </is>
      </c>
      <c r="F2390" s="3" t="inlineStr">
        <is>
          <t>특별관계자</t>
        </is>
      </c>
      <c r="G2390" s="3" t="inlineStr">
        <is>
          <t>장내매수(+)</t>
        </is>
      </c>
      <c r="H2390" s="15" t="n">
        <v>29949</v>
      </c>
      <c r="I2390" s="6" t="n">
        <v>11726</v>
      </c>
      <c r="J2390" s="6" t="n">
        <v>713691</v>
      </c>
      <c r="K2390" s="16" t="n">
        <v>15</v>
      </c>
      <c r="L2390" s="2" t="inlineStr">
        <is>
          <t>20260601001284</t>
        </is>
      </c>
      <c r="M2390" s="8">
        <f>HYPERLINK("https://dart.fss.or.kr/dsaf001/main.do?rcpNo=20260601001284", "공시열람")</f>
        <v/>
      </c>
    </row>
    <row r="2391" ht="22" customHeight="1">
      <c r="A2391" s="2" t="inlineStr">
        <is>
          <t>2026-06-01</t>
        </is>
      </c>
      <c r="B2391" s="3" t="inlineStr">
        <is>
          <t>LG디스플레이</t>
        </is>
      </c>
      <c r="C2391" s="2" t="inlineStr">
        <is>
          <t>034220</t>
        </is>
      </c>
      <c r="D2391" s="2" t="inlineStr">
        <is>
          <t>대량보유</t>
        </is>
      </c>
      <c r="E2391" s="3" t="inlineStr">
        <is>
          <t>BlackRockAssetManagementNorthAsiaLimited</t>
        </is>
      </c>
      <c r="F2391" s="3" t="inlineStr">
        <is>
          <t>특별관계자</t>
        </is>
      </c>
      <c r="G2391" s="3" t="inlineStr">
        <is>
          <t>장내매도(-), 장내매수(+)</t>
        </is>
      </c>
      <c r="H2391" s="17" t="n">
        <v>-9261</v>
      </c>
      <c r="I2391" s="6" t="n">
        <v>11721</v>
      </c>
      <c r="J2391" s="6" t="n">
        <v>178333</v>
      </c>
      <c r="K2391" s="16" t="n">
        <v>15</v>
      </c>
      <c r="L2391" s="2" t="inlineStr">
        <is>
          <t>20260601001284</t>
        </is>
      </c>
      <c r="M2391" s="8">
        <f>HYPERLINK("https://dart.fss.or.kr/dsaf001/main.do?rcpNo=20260601001284", "공시열람")</f>
        <v/>
      </c>
    </row>
    <row r="2392" ht="22" customHeight="1">
      <c r="A2392" s="2" t="inlineStr">
        <is>
          <t>2026-06-01</t>
        </is>
      </c>
      <c r="B2392" s="3" t="inlineStr">
        <is>
          <t>LG디스플레이</t>
        </is>
      </c>
      <c r="C2392" s="2" t="inlineStr">
        <is>
          <t>034220</t>
        </is>
      </c>
      <c r="D2392" s="2" t="inlineStr">
        <is>
          <t>대량보유</t>
        </is>
      </c>
      <c r="E2392" s="3" t="inlineStr">
        <is>
          <t>BlackRockJapanCo.,Ltd.</t>
        </is>
      </c>
      <c r="F2392" s="3" t="inlineStr">
        <is>
          <t>특별관계자</t>
        </is>
      </c>
      <c r="G2392" s="3" t="inlineStr">
        <is>
          <t>장내매수(+), 장내매도(-)</t>
        </is>
      </c>
      <c r="H2392" s="15" t="n">
        <v>48204</v>
      </c>
      <c r="I2392" s="6" t="n">
        <v>11254</v>
      </c>
      <c r="J2392" s="6" t="n">
        <v>301775</v>
      </c>
      <c r="K2392" s="16" t="n">
        <v>15</v>
      </c>
      <c r="L2392" s="2" t="inlineStr">
        <is>
          <t>20260601001284</t>
        </is>
      </c>
      <c r="M2392" s="8">
        <f>HYPERLINK("https://dart.fss.or.kr/dsaf001/main.do?rcpNo=20260601001284", "공시열람")</f>
        <v/>
      </c>
    </row>
    <row r="2393" ht="22" customHeight="1">
      <c r="A2393" s="2" t="inlineStr">
        <is>
          <t>2026-06-01</t>
        </is>
      </c>
      <c r="B2393" s="3" t="inlineStr">
        <is>
          <t>LG디스플레이</t>
        </is>
      </c>
      <c r="C2393" s="2" t="inlineStr">
        <is>
          <t>034220</t>
        </is>
      </c>
      <c r="D2393" s="2" t="inlineStr">
        <is>
          <t>대량보유</t>
        </is>
      </c>
      <c r="E2393" s="3" t="inlineStr">
        <is>
          <t>BlackRockAdvisors,LLC</t>
        </is>
      </c>
      <c r="F2393" s="3" t="inlineStr">
        <is>
          <t>특별관계자</t>
        </is>
      </c>
      <c r="G2393" s="3" t="inlineStr">
        <is>
          <t>장내매수(+), 장내매도(-)</t>
        </is>
      </c>
      <c r="H2393" s="17" t="n">
        <v>-117</v>
      </c>
      <c r="I2393" s="6" t="n">
        <v>12045</v>
      </c>
      <c r="J2393" s="6" t="n">
        <v>26853</v>
      </c>
      <c r="K2393" s="16" t="n">
        <v>15</v>
      </c>
      <c r="L2393" s="2" t="inlineStr">
        <is>
          <t>20260601001284</t>
        </is>
      </c>
      <c r="M2393" s="8">
        <f>HYPERLINK("https://dart.fss.or.kr/dsaf001/main.do?rcpNo=20260601001284", "공시열람")</f>
        <v/>
      </c>
    </row>
    <row r="2394" ht="22" customHeight="1">
      <c r="A2394" s="2" t="inlineStr">
        <is>
          <t>2026-06-01</t>
        </is>
      </c>
      <c r="B2394" s="3" t="inlineStr">
        <is>
          <t>LG디스플레이</t>
        </is>
      </c>
      <c r="C2394" s="2" t="inlineStr">
        <is>
          <t>034220</t>
        </is>
      </c>
      <c r="D2394" s="2" t="inlineStr">
        <is>
          <t>대량보유</t>
        </is>
      </c>
      <c r="E2394" s="3" t="inlineStr">
        <is>
          <t>BlackRockInvestmentManagement(Australia)Limited</t>
        </is>
      </c>
      <c r="F2394" s="3" t="inlineStr">
        <is>
          <t>특별관계자</t>
        </is>
      </c>
      <c r="G2394" s="3" t="inlineStr">
        <is>
          <t>장내매수(+)</t>
        </is>
      </c>
      <c r="H2394" s="15" t="n">
        <v>1088</v>
      </c>
      <c r="I2394" s="6" t="n">
        <v>12310</v>
      </c>
      <c r="J2394" s="6" t="n">
        <v>96419</v>
      </c>
      <c r="K2394" s="16" t="n">
        <v>15</v>
      </c>
      <c r="L2394" s="2" t="inlineStr">
        <is>
          <t>20260601001284</t>
        </is>
      </c>
      <c r="M2394" s="8">
        <f>HYPERLINK("https://dart.fss.or.kr/dsaf001/main.do?rcpNo=20260601001284", "공시열람")</f>
        <v/>
      </c>
    </row>
    <row r="2395" ht="22" customHeight="1">
      <c r="A2395" s="2" t="inlineStr">
        <is>
          <t>2026-06-01</t>
        </is>
      </c>
      <c r="B2395" s="3" t="inlineStr">
        <is>
          <t>LG디스플레이</t>
        </is>
      </c>
      <c r="C2395" s="2" t="inlineStr">
        <is>
          <t>034220</t>
        </is>
      </c>
      <c r="D2395" s="2" t="inlineStr">
        <is>
          <t>대량보유</t>
        </is>
      </c>
      <c r="E2395" s="3" t="inlineStr">
        <is>
          <t>BlackRock(Singapore)Limited</t>
        </is>
      </c>
      <c r="F2395" s="3" t="inlineStr">
        <is>
          <t>특별관계자</t>
        </is>
      </c>
      <c r="G2395" s="3" t="inlineStr">
        <is>
          <t>장내매도(-)</t>
        </is>
      </c>
      <c r="H2395" s="17" t="n">
        <v>-1425</v>
      </c>
      <c r="I2395" s="6" t="n">
        <v>11140</v>
      </c>
      <c r="J2395" s="6" t="n">
        <v>148219</v>
      </c>
      <c r="K2395" s="16" t="n">
        <v>15</v>
      </c>
      <c r="L2395" s="2" t="inlineStr">
        <is>
          <t>20260601001284</t>
        </is>
      </c>
      <c r="M2395" s="8">
        <f>HYPERLINK("https://dart.fss.or.kr/dsaf001/main.do?rcpNo=20260601001284", "공시열람")</f>
        <v/>
      </c>
    </row>
    <row r="2396" ht="22" customHeight="1">
      <c r="A2396" s="2" t="inlineStr">
        <is>
          <t>2026-06-01</t>
        </is>
      </c>
      <c r="B2396" s="3" t="inlineStr">
        <is>
          <t>LG디스플레이</t>
        </is>
      </c>
      <c r="C2396" s="2" t="inlineStr">
        <is>
          <t>034220</t>
        </is>
      </c>
      <c r="D2396" s="2" t="inlineStr">
        <is>
          <t>대량보유</t>
        </is>
      </c>
      <c r="E2396" s="3" t="inlineStr">
        <is>
          <t>AperioGroupLLC</t>
        </is>
      </c>
      <c r="F2396" s="3" t="inlineStr">
        <is>
          <t>특별관계자</t>
        </is>
      </c>
      <c r="G2396" s="3" t="inlineStr">
        <is>
          <t>장외매수(+), 장외매도(-), 기타(+)</t>
        </is>
      </c>
      <c r="H2396" s="15" t="n">
        <v>4977251</v>
      </c>
      <c r="I2396" s="6" t="n">
        <v>4</v>
      </c>
      <c r="J2396" s="6" t="n">
        <v>5687571</v>
      </c>
      <c r="K2396" s="16" t="n">
        <v>15</v>
      </c>
      <c r="L2396" s="2" t="inlineStr">
        <is>
          <t>20260601001284</t>
        </is>
      </c>
      <c r="M2396" s="8">
        <f>HYPERLINK("https://dart.fss.or.kr/dsaf001/main.do?rcpNo=20260601001284", "공시열람")</f>
        <v/>
      </c>
    </row>
    <row r="2397" ht="22" customHeight="1">
      <c r="A2397" s="2" t="inlineStr">
        <is>
          <t>2026-06-01</t>
        </is>
      </c>
      <c r="B2397" s="3" t="inlineStr">
        <is>
          <t>에스에스알</t>
        </is>
      </c>
      <c r="C2397" s="2" t="inlineStr">
        <is>
          <t>275630</t>
        </is>
      </c>
      <c r="D2397" s="2" t="inlineStr">
        <is>
          <t>대량보유</t>
        </is>
      </c>
      <c r="E2397" s="3" t="inlineStr">
        <is>
          <t>(주)지란지교시큐리티</t>
        </is>
      </c>
      <c r="F2397" s="3" t="inlineStr">
        <is>
          <t>특별관계자</t>
        </is>
      </c>
      <c r="G2397" s="3" t="inlineStr">
        <is>
          <t>장내매수(+)</t>
        </is>
      </c>
      <c r="H2397" s="15" t="n">
        <v>12000</v>
      </c>
      <c r="I2397" s="6" t="n">
        <v>3952</v>
      </c>
      <c r="J2397" s="6" t="n">
        <v>2490356</v>
      </c>
      <c r="K2397" s="16" t="n">
        <v>1</v>
      </c>
      <c r="L2397" s="2" t="inlineStr">
        <is>
          <t>20260601001210</t>
        </is>
      </c>
      <c r="M2397" s="8">
        <f>HYPERLINK("https://dart.fss.or.kr/dsaf001/main.do?rcpNo=20260601001210", "공시열람")</f>
        <v/>
      </c>
    </row>
    <row r="2398" ht="22" customHeight="1">
      <c r="A2398" s="2" t="inlineStr">
        <is>
          <t>2026-06-01</t>
        </is>
      </c>
      <c r="B2398" s="3" t="inlineStr">
        <is>
          <t>애경케미칼</t>
        </is>
      </c>
      <c r="C2398" s="2" t="inlineStr">
        <is>
          <t>161000</t>
        </is>
      </c>
      <c r="D2398" s="2" t="inlineStr">
        <is>
          <t>임원보고</t>
        </is>
      </c>
      <c r="E2398" s="3" t="inlineStr">
        <is>
          <t>-</t>
        </is>
      </c>
      <c r="F2398" s="3" t="inlineStr">
        <is>
          <t>-</t>
        </is>
      </c>
      <c r="G2398" s="3" t="inlineStr">
        <is>
          <t>-</t>
        </is>
      </c>
      <c r="H2398" s="6" t="inlineStr"/>
      <c r="I2398" s="6" t="inlineStr"/>
      <c r="J2398" s="6" t="inlineStr"/>
      <c r="K2398" s="16" t="n">
        <v>12</v>
      </c>
      <c r="L2398" s="2" t="inlineStr">
        <is>
          <t>20260601801004</t>
        </is>
      </c>
      <c r="M2398" s="8">
        <f>HYPERLINK("https://dart.fss.or.kr/dsaf001/main.do?rcpNo=20260601801004", "공시열람")</f>
        <v/>
      </c>
    </row>
    <row r="2399" ht="22" customHeight="1">
      <c r="A2399" s="2" t="inlineStr">
        <is>
          <t>2026-06-01</t>
        </is>
      </c>
      <c r="B2399" s="3" t="inlineStr">
        <is>
          <t>하이젠알앤엠</t>
        </is>
      </c>
      <c r="C2399" s="2" t="inlineStr">
        <is>
          <t>160190</t>
        </is>
      </c>
      <c r="D2399" s="2" t="inlineStr">
        <is>
          <t>대량보유</t>
        </is>
      </c>
      <c r="E2399" s="3" t="inlineStr">
        <is>
          <t>일신방직(주)</t>
        </is>
      </c>
      <c r="F2399" s="3" t="inlineStr">
        <is>
          <t>특별관계자</t>
        </is>
      </c>
      <c r="G2399" s="3" t="inlineStr">
        <is>
          <t>시간외매매(-)</t>
        </is>
      </c>
      <c r="H2399" s="17" t="n">
        <v>-450000</v>
      </c>
      <c r="I2399" s="6" t="n">
        <v>25700</v>
      </c>
      <c r="J2399" s="6" t="n">
        <v>6550000</v>
      </c>
      <c r="K2399" s="16" t="n">
        <v>21.21</v>
      </c>
      <c r="L2399" s="2" t="inlineStr">
        <is>
          <t>20260601001135</t>
        </is>
      </c>
      <c r="M2399" s="8">
        <f>HYPERLINK("https://dart.fss.or.kr/dsaf001/main.do?rcpNo=20260601001135", "공시열람")</f>
        <v/>
      </c>
    </row>
    <row r="2400" ht="22" customHeight="1">
      <c r="A2400" s="2" t="inlineStr">
        <is>
          <t>2026-06-01</t>
        </is>
      </c>
      <c r="B2400" s="3" t="inlineStr">
        <is>
          <t>에코볼트</t>
        </is>
      </c>
      <c r="C2400" s="2" t="inlineStr">
        <is>
          <t>097780</t>
        </is>
      </c>
      <c r="D2400" s="2" t="inlineStr">
        <is>
          <t>대량보유</t>
        </is>
      </c>
      <c r="E2400" s="3" t="inlineStr">
        <is>
          <t>오성첨단소재주식회사</t>
        </is>
      </c>
      <c r="F2400" s="3" t="inlineStr">
        <is>
          <t>특별관계자</t>
        </is>
      </c>
      <c r="G2400" s="3" t="inlineStr">
        <is>
          <t>자본감소</t>
        </is>
      </c>
      <c r="H2400" s="17" t="n">
        <v>-24261466</v>
      </c>
      <c r="I2400" s="6" t="inlineStr"/>
      <c r="J2400" s="6" t="n">
        <v>6065366</v>
      </c>
      <c r="K2400" s="16" t="n">
        <v>1</v>
      </c>
      <c r="L2400" s="2" t="inlineStr">
        <is>
          <t>20260601001120</t>
        </is>
      </c>
      <c r="M2400" s="8">
        <f>HYPERLINK("https://dart.fss.or.kr/dsaf001/main.do?rcpNo=20260601001120", "공시열람")</f>
        <v/>
      </c>
    </row>
    <row r="2401" ht="22" customHeight="1">
      <c r="A2401" s="2" t="inlineStr">
        <is>
          <t>2026-06-01</t>
        </is>
      </c>
      <c r="B2401" s="3" t="inlineStr">
        <is>
          <t>에코볼트</t>
        </is>
      </c>
      <c r="C2401" s="2" t="inlineStr">
        <is>
          <t>097780</t>
        </is>
      </c>
      <c r="D2401" s="2" t="inlineStr">
        <is>
          <t>대량보유</t>
        </is>
      </c>
      <c r="E2401" s="3" t="inlineStr">
        <is>
          <t>한재관</t>
        </is>
      </c>
      <c r="F2401" s="3" t="inlineStr">
        <is>
          <t>특별관계자</t>
        </is>
      </c>
      <c r="G2401" s="3" t="inlineStr">
        <is>
          <t>자본감소</t>
        </is>
      </c>
      <c r="H2401" s="17" t="n">
        <v>-38400</v>
      </c>
      <c r="I2401" s="6" t="inlineStr"/>
      <c r="J2401" s="6" t="n">
        <v>9600</v>
      </c>
      <c r="K2401" s="16" t="n">
        <v>1</v>
      </c>
      <c r="L2401" s="2" t="inlineStr">
        <is>
          <t>20260601001120</t>
        </is>
      </c>
      <c r="M2401" s="8">
        <f>HYPERLINK("https://dart.fss.or.kr/dsaf001/main.do?rcpNo=20260601001120", "공시열람")</f>
        <v/>
      </c>
    </row>
    <row r="2402" ht="22" customHeight="1">
      <c r="A2402" s="2" t="inlineStr">
        <is>
          <t>2026-06-01</t>
        </is>
      </c>
      <c r="B2402" s="3" t="inlineStr">
        <is>
          <t>미트박스</t>
        </is>
      </c>
      <c r="C2402" s="2" t="inlineStr">
        <is>
          <t>475460</t>
        </is>
      </c>
      <c r="D2402" s="2" t="inlineStr">
        <is>
          <t>대량보유</t>
        </is>
      </c>
      <c r="E2402" s="3" t="inlineStr">
        <is>
          <t>김기봉</t>
        </is>
      </c>
      <c r="F2402" s="3" t="inlineStr">
        <is>
          <t>특별관계자</t>
        </is>
      </c>
      <c r="G2402" s="3" t="inlineStr">
        <is>
          <t>장내매수(+)</t>
        </is>
      </c>
      <c r="H2402" s="15" t="n">
        <v>10500</v>
      </c>
      <c r="I2402" s="6" t="n">
        <v>8297</v>
      </c>
      <c r="J2402" s="6" t="n">
        <v>1167125</v>
      </c>
      <c r="K2402" s="16" t="n">
        <v>9</v>
      </c>
      <c r="L2402" s="2" t="inlineStr">
        <is>
          <t>20260601001107</t>
        </is>
      </c>
      <c r="M2402" s="8">
        <f>HYPERLINK("https://dart.fss.or.kr/dsaf001/main.do?rcpNo=20260601001107", "공시열람")</f>
        <v/>
      </c>
    </row>
    <row r="2403" ht="22" customHeight="1">
      <c r="A2403" s="2" t="inlineStr">
        <is>
          <t>2026-06-01</t>
        </is>
      </c>
      <c r="B2403" s="3" t="inlineStr">
        <is>
          <t>미트박스</t>
        </is>
      </c>
      <c r="C2403" s="2" t="inlineStr">
        <is>
          <t>475460</t>
        </is>
      </c>
      <c r="D2403" s="2" t="inlineStr">
        <is>
          <t>대량보유</t>
        </is>
      </c>
      <c r="E2403" s="3" t="inlineStr">
        <is>
          <t>천용헌</t>
        </is>
      </c>
      <c r="F2403" s="3" t="inlineStr">
        <is>
          <t>특별관계자</t>
        </is>
      </c>
      <c r="G2403" s="3" t="inlineStr">
        <is>
          <t>주식매수선택권행사(-), 주식매수선택권행사(+)</t>
        </is>
      </c>
      <c r="H2403" s="15" t="n">
        <v>2500</v>
      </c>
      <c r="I2403" s="6" t="n">
        <v>4000</v>
      </c>
      <c r="J2403" s="6" t="n">
        <v>29242</v>
      </c>
      <c r="K2403" s="16" t="n">
        <v>9</v>
      </c>
      <c r="L2403" s="2" t="inlineStr">
        <is>
          <t>20260601001107</t>
        </is>
      </c>
      <c r="M2403" s="8">
        <f>HYPERLINK("https://dart.fss.or.kr/dsaf001/main.do?rcpNo=20260601001107", "공시열람")</f>
        <v/>
      </c>
    </row>
    <row r="2404" ht="22" customHeight="1">
      <c r="A2404" s="2" t="inlineStr">
        <is>
          <t>2026-06-01</t>
        </is>
      </c>
      <c r="B2404" s="3" t="inlineStr">
        <is>
          <t>미트박스</t>
        </is>
      </c>
      <c r="C2404" s="2" t="inlineStr">
        <is>
          <t>475460</t>
        </is>
      </c>
      <c r="D2404" s="2" t="inlineStr">
        <is>
          <t>대량보유</t>
        </is>
      </c>
      <c r="E2404" s="3" t="inlineStr">
        <is>
          <t>김만섭</t>
        </is>
      </c>
      <c r="F2404" s="3" t="inlineStr">
        <is>
          <t>특별관계자</t>
        </is>
      </c>
      <c r="G2404" s="3" t="inlineStr">
        <is>
          <t>장내매수(+), 주식매수선택권행사(-), 주식매수선택권행사(+)</t>
        </is>
      </c>
      <c r="H2404" s="15" t="n">
        <v>2250</v>
      </c>
      <c r="I2404" s="6" t="n">
        <v>5826</v>
      </c>
      <c r="J2404" s="6" t="n">
        <v>11000</v>
      </c>
      <c r="K2404" s="16" t="n">
        <v>9</v>
      </c>
      <c r="L2404" s="2" t="inlineStr">
        <is>
          <t>20260601001107</t>
        </is>
      </c>
      <c r="M2404" s="8">
        <f>HYPERLINK("https://dart.fss.or.kr/dsaf001/main.do?rcpNo=20260601001107", "공시열람")</f>
        <v/>
      </c>
    </row>
    <row r="2405" ht="22" customHeight="1">
      <c r="A2405" s="2" t="inlineStr">
        <is>
          <t>2026-06-01</t>
        </is>
      </c>
      <c r="B2405" s="3" t="inlineStr">
        <is>
          <t>미트박스</t>
        </is>
      </c>
      <c r="C2405" s="2" t="inlineStr">
        <is>
          <t>475460</t>
        </is>
      </c>
      <c r="D2405" s="2" t="inlineStr">
        <is>
          <t>대량보유</t>
        </is>
      </c>
      <c r="E2405" s="3" t="inlineStr">
        <is>
          <t>정재호</t>
        </is>
      </c>
      <c r="F2405" s="3" t="inlineStr">
        <is>
          <t>특별관계자</t>
        </is>
      </c>
      <c r="G2405" s="3" t="inlineStr">
        <is>
          <t>장내매수(+), 주식매수선택권행사(-), 주식매수선택권행사(+)</t>
        </is>
      </c>
      <c r="H2405" s="15" t="n">
        <v>8760</v>
      </c>
      <c r="I2405" s="6" t="n">
        <v>4005</v>
      </c>
      <c r="J2405" s="6" t="n">
        <v>9760</v>
      </c>
      <c r="K2405" s="16" t="n">
        <v>9</v>
      </c>
      <c r="L2405" s="2" t="inlineStr">
        <is>
          <t>20260601001107</t>
        </is>
      </c>
      <c r="M2405" s="8">
        <f>HYPERLINK("https://dart.fss.or.kr/dsaf001/main.do?rcpNo=20260601001107", "공시열람")</f>
        <v/>
      </c>
    </row>
    <row r="2406" ht="22" customHeight="1">
      <c r="A2406" s="2" t="inlineStr">
        <is>
          <t>2026-06-01</t>
        </is>
      </c>
      <c r="B2406" s="3" t="inlineStr">
        <is>
          <t>미트박스</t>
        </is>
      </c>
      <c r="C2406" s="2" t="inlineStr">
        <is>
          <t>475460</t>
        </is>
      </c>
      <c r="D2406" s="2" t="inlineStr">
        <is>
          <t>대량보유</t>
        </is>
      </c>
      <c r="E2406" s="3" t="inlineStr">
        <is>
          <t>윤희성</t>
        </is>
      </c>
      <c r="F2406" s="3" t="inlineStr">
        <is>
          <t>특별관계자</t>
        </is>
      </c>
      <c r="G2406" s="3" t="inlineStr">
        <is>
          <t>장내매수(+), 주식매수선택권행사(-), 주식매수선택권행사(+)</t>
        </is>
      </c>
      <c r="H2406" s="15" t="n">
        <v>682</v>
      </c>
      <c r="I2406" s="6" t="n">
        <v>5907</v>
      </c>
      <c r="J2406" s="6" t="n">
        <v>4532</v>
      </c>
      <c r="K2406" s="16" t="n">
        <v>9</v>
      </c>
      <c r="L2406" s="2" t="inlineStr">
        <is>
          <t>20260601001107</t>
        </is>
      </c>
      <c r="M2406" s="8">
        <f>HYPERLINK("https://dart.fss.or.kr/dsaf001/main.do?rcpNo=20260601001107", "공시열람")</f>
        <v/>
      </c>
    </row>
    <row r="2407" ht="22" customHeight="1">
      <c r="A2407" s="2" t="inlineStr">
        <is>
          <t>2026-06-01</t>
        </is>
      </c>
      <c r="B2407" s="3" t="inlineStr">
        <is>
          <t>미트박스</t>
        </is>
      </c>
      <c r="C2407" s="2" t="inlineStr">
        <is>
          <t>475460</t>
        </is>
      </c>
      <c r="D2407" s="2" t="inlineStr">
        <is>
          <t>대량보유</t>
        </is>
      </c>
      <c r="E2407" s="3" t="inlineStr">
        <is>
          <t>장준희</t>
        </is>
      </c>
      <c r="F2407" s="3" t="inlineStr">
        <is>
          <t>특별관계자</t>
        </is>
      </c>
      <c r="G2407" s="3" t="inlineStr">
        <is>
          <t>주식매수선택권행사(-), 주식매수선택권행사(+)</t>
        </is>
      </c>
      <c r="H2407" s="6" t="inlineStr"/>
      <c r="I2407" s="6" t="n">
        <v>4000</v>
      </c>
      <c r="J2407" s="6" t="n">
        <v>2500</v>
      </c>
      <c r="K2407" s="16" t="n">
        <v>9</v>
      </c>
      <c r="L2407" s="2" t="inlineStr">
        <is>
          <t>20260601001107</t>
        </is>
      </c>
      <c r="M2407" s="8">
        <f>HYPERLINK("https://dart.fss.or.kr/dsaf001/main.do?rcpNo=20260601001107", "공시열람")</f>
        <v/>
      </c>
    </row>
    <row r="2408" ht="22" customHeight="1">
      <c r="A2408" s="2" t="inlineStr">
        <is>
          <t>2026-06-01</t>
        </is>
      </c>
      <c r="B2408" s="3" t="inlineStr">
        <is>
          <t>미트박스</t>
        </is>
      </c>
      <c r="C2408" s="2" t="inlineStr">
        <is>
          <t>475460</t>
        </is>
      </c>
      <c r="D2408" s="2" t="inlineStr">
        <is>
          <t>대량보유</t>
        </is>
      </c>
      <c r="E2408" s="3" t="inlineStr">
        <is>
          <t>임경봉</t>
        </is>
      </c>
      <c r="F2408" s="3" t="inlineStr">
        <is>
          <t>특별관계자</t>
        </is>
      </c>
      <c r="G2408" s="3" t="inlineStr">
        <is>
          <t>장내매수(+), 주식매수선택권행사(-), 주식매수선택권행사(+)</t>
        </is>
      </c>
      <c r="H2408" s="15" t="n">
        <v>1250</v>
      </c>
      <c r="I2408" s="6" t="n">
        <v>7343</v>
      </c>
      <c r="J2408" s="6" t="n">
        <v>5102</v>
      </c>
      <c r="K2408" s="16" t="n">
        <v>9</v>
      </c>
      <c r="L2408" s="2" t="inlineStr">
        <is>
          <t>20260601001107</t>
        </is>
      </c>
      <c r="M2408" s="8">
        <f>HYPERLINK("https://dart.fss.or.kr/dsaf001/main.do?rcpNo=20260601001107", "공시열람")</f>
        <v/>
      </c>
    </row>
    <row r="2409" ht="22" customHeight="1">
      <c r="A2409" s="2" t="inlineStr">
        <is>
          <t>2026-06-01</t>
        </is>
      </c>
      <c r="B2409" s="3" t="inlineStr">
        <is>
          <t>미트박스</t>
        </is>
      </c>
      <c r="C2409" s="2" t="inlineStr">
        <is>
          <t>475460</t>
        </is>
      </c>
      <c r="D2409" s="2" t="inlineStr">
        <is>
          <t>대량보유</t>
        </is>
      </c>
      <c r="E2409" s="3" t="inlineStr">
        <is>
          <t>오세흥</t>
        </is>
      </c>
      <c r="F2409" s="3" t="inlineStr">
        <is>
          <t>특별관계자</t>
        </is>
      </c>
      <c r="G2409" s="3" t="inlineStr">
        <is>
          <t>장내매수(+)</t>
        </is>
      </c>
      <c r="H2409" s="15" t="n">
        <v>7943</v>
      </c>
      <c r="I2409" s="6" t="n">
        <v>7904</v>
      </c>
      <c r="J2409" s="6" t="n">
        <v>7943</v>
      </c>
      <c r="K2409" s="16" t="n">
        <v>9</v>
      </c>
      <c r="L2409" s="2" t="inlineStr">
        <is>
          <t>20260601001107</t>
        </is>
      </c>
      <c r="M2409" s="8">
        <f>HYPERLINK("https://dart.fss.or.kr/dsaf001/main.do?rcpNo=20260601001107", "공시열람")</f>
        <v/>
      </c>
    </row>
    <row r="2410" ht="22" customHeight="1">
      <c r="A2410" s="2" t="inlineStr">
        <is>
          <t>2026-06-01</t>
        </is>
      </c>
      <c r="B2410" s="3" t="inlineStr">
        <is>
          <t>미트박스</t>
        </is>
      </c>
      <c r="C2410" s="2" t="inlineStr">
        <is>
          <t>475460</t>
        </is>
      </c>
      <c r="D2410" s="2" t="inlineStr">
        <is>
          <t>대량보유</t>
        </is>
      </c>
      <c r="E2410" s="3" t="inlineStr">
        <is>
          <t>이재성</t>
        </is>
      </c>
      <c r="F2410" s="3" t="inlineStr">
        <is>
          <t>특별관계자</t>
        </is>
      </c>
      <c r="G2410" s="3" t="inlineStr">
        <is>
          <t>주식매수선택권행사(-), 주식매수선택권행사(+)</t>
        </is>
      </c>
      <c r="H2410" s="15" t="n">
        <v>3750</v>
      </c>
      <c r="I2410" s="6" t="inlineStr"/>
      <c r="J2410" s="6" t="n">
        <v>3750</v>
      </c>
      <c r="K2410" s="16" t="n">
        <v>9</v>
      </c>
      <c r="L2410" s="2" t="inlineStr">
        <is>
          <t>20260601001107</t>
        </is>
      </c>
      <c r="M2410" s="8">
        <f>HYPERLINK("https://dart.fss.or.kr/dsaf001/main.do?rcpNo=20260601001107", "공시열람")</f>
        <v/>
      </c>
    </row>
    <row r="2411" ht="22" customHeight="1">
      <c r="A2411" s="2" t="inlineStr">
        <is>
          <t>2026-06-01</t>
        </is>
      </c>
      <c r="B2411" s="3" t="inlineStr">
        <is>
          <t>미트박스</t>
        </is>
      </c>
      <c r="C2411" s="2" t="inlineStr">
        <is>
          <t>475460</t>
        </is>
      </c>
      <c r="D2411" s="2" t="inlineStr">
        <is>
          <t>대량보유</t>
        </is>
      </c>
      <c r="E2411" s="3" t="inlineStr">
        <is>
          <t>최신</t>
        </is>
      </c>
      <c r="F2411" s="3" t="inlineStr">
        <is>
          <t>특별관계자</t>
        </is>
      </c>
      <c r="G2411" s="3" t="inlineStr">
        <is>
          <t>장내매수(+)</t>
        </is>
      </c>
      <c r="H2411" s="15" t="n">
        <v>5553</v>
      </c>
      <c r="I2411" s="6" t="n">
        <v>7964</v>
      </c>
      <c r="J2411" s="6" t="n">
        <v>5553</v>
      </c>
      <c r="K2411" s="16" t="n">
        <v>9</v>
      </c>
      <c r="L2411" s="2" t="inlineStr">
        <is>
          <t>20260601001107</t>
        </is>
      </c>
      <c r="M2411" s="8">
        <f>HYPERLINK("https://dart.fss.or.kr/dsaf001/main.do?rcpNo=20260601001107", "공시열람")</f>
        <v/>
      </c>
    </row>
    <row r="2412" ht="22" customHeight="1">
      <c r="A2412" s="2" t="inlineStr">
        <is>
          <t>2026-06-01</t>
        </is>
      </c>
      <c r="B2412" s="3" t="inlineStr">
        <is>
          <t>TS인베스트먼트</t>
        </is>
      </c>
      <c r="C2412" s="2" t="inlineStr">
        <is>
          <t>246690</t>
        </is>
      </c>
      <c r="D2412" s="2" t="inlineStr">
        <is>
          <t>대량보유</t>
        </is>
      </c>
      <c r="E2412" s="3" t="inlineStr">
        <is>
          <t>변기수</t>
        </is>
      </c>
      <c r="F2412" s="3" t="inlineStr">
        <is>
          <t>특별관계자</t>
        </is>
      </c>
      <c r="G2412" s="3" t="inlineStr">
        <is>
          <t>신규선임(유상취득)(+)</t>
        </is>
      </c>
      <c r="H2412" s="15" t="n">
        <v>100000</v>
      </c>
      <c r="I2412" s="6" t="inlineStr"/>
      <c r="J2412" s="6" t="n">
        <v>100000</v>
      </c>
      <c r="K2412" s="16" t="n">
        <v>3</v>
      </c>
      <c r="L2412" s="2" t="inlineStr">
        <is>
          <t>20260601001074</t>
        </is>
      </c>
      <c r="M2412" s="8">
        <f>HYPERLINK("https://dart.fss.or.kr/dsaf001/main.do?rcpNo=20260601001074", "공시열람")</f>
        <v/>
      </c>
    </row>
    <row r="2413" ht="22" customHeight="1">
      <c r="A2413" s="2" t="inlineStr">
        <is>
          <t>2026-06-01</t>
        </is>
      </c>
      <c r="B2413" s="3" t="inlineStr">
        <is>
          <t>가온전선</t>
        </is>
      </c>
      <c r="C2413" s="2" t="inlineStr">
        <is>
          <t>000500</t>
        </is>
      </c>
      <c r="D2413" s="2" t="inlineStr">
        <is>
          <t>임원보고</t>
        </is>
      </c>
      <c r="E2413" s="3" t="inlineStr">
        <is>
          <t>-</t>
        </is>
      </c>
      <c r="F2413" s="3" t="inlineStr">
        <is>
          <t>-</t>
        </is>
      </c>
      <c r="G2413" s="3" t="inlineStr">
        <is>
          <t>-</t>
        </is>
      </c>
      <c r="H2413" s="6" t="inlineStr"/>
      <c r="I2413" s="6" t="inlineStr"/>
      <c r="J2413" s="6" t="inlineStr"/>
      <c r="K2413" s="16" t="n">
        <v>12</v>
      </c>
      <c r="L2413" s="2" t="inlineStr">
        <is>
          <t>20260601800873</t>
        </is>
      </c>
      <c r="M2413" s="8">
        <f>HYPERLINK("https://dart.fss.or.kr/dsaf001/main.do?rcpNo=20260601800873", "공시열람")</f>
        <v/>
      </c>
    </row>
    <row r="2414" ht="22" customHeight="1">
      <c r="A2414" s="2" t="inlineStr">
        <is>
          <t>2026-06-01</t>
        </is>
      </c>
      <c r="B2414" s="3" t="inlineStr">
        <is>
          <t>뉴로핏</t>
        </is>
      </c>
      <c r="C2414" s="2" t="inlineStr">
        <is>
          <t>380550</t>
        </is>
      </c>
      <c r="D2414" s="2" t="inlineStr">
        <is>
          <t>대량보유</t>
        </is>
      </c>
      <c r="E2414" s="3" t="inlineStr">
        <is>
          <t>임현국</t>
        </is>
      </c>
      <c r="F2414" s="3" t="inlineStr">
        <is>
          <t>특별관계자</t>
        </is>
      </c>
      <c r="G2414" s="3" t="inlineStr">
        <is>
          <t>주식매수선택권행사(+), 주식매수선택권행사(-)</t>
        </is>
      </c>
      <c r="H2414" s="6" t="inlineStr"/>
      <c r="I2414" s="6" t="n">
        <v>1444</v>
      </c>
      <c r="J2414" s="6" t="n">
        <v>78000</v>
      </c>
      <c r="K2414" s="16" t="n">
        <v>5</v>
      </c>
      <c r="L2414" s="2" t="inlineStr">
        <is>
          <t>20260601000931</t>
        </is>
      </c>
      <c r="M2414" s="8">
        <f>HYPERLINK("https://dart.fss.or.kr/dsaf001/main.do?rcpNo=20260601000931", "공시열람")</f>
        <v/>
      </c>
    </row>
    <row r="2415" ht="22" customHeight="1">
      <c r="A2415" s="2" t="inlineStr">
        <is>
          <t>2026-06-01</t>
        </is>
      </c>
      <c r="B2415" s="3" t="inlineStr">
        <is>
          <t>뉴로핏</t>
        </is>
      </c>
      <c r="C2415" s="2" t="inlineStr">
        <is>
          <t>380550</t>
        </is>
      </c>
      <c r="D2415" s="2" t="inlineStr">
        <is>
          <t>대량보유</t>
        </is>
      </c>
      <c r="E2415" s="3" t="inlineStr">
        <is>
          <t>김창일</t>
        </is>
      </c>
      <c r="F2415" s="3" t="inlineStr">
        <is>
          <t>특별관계자</t>
        </is>
      </c>
      <c r="G2415" s="3" t="inlineStr">
        <is>
          <t>주식매수선택권행사(+), 주식매수선택권행사(-)</t>
        </is>
      </c>
      <c r="H2415" s="6" t="inlineStr"/>
      <c r="I2415" s="6" t="n">
        <v>11313</v>
      </c>
      <c r="J2415" s="6" t="n">
        <v>56700</v>
      </c>
      <c r="K2415" s="16" t="n">
        <v>5</v>
      </c>
      <c r="L2415" s="2" t="inlineStr">
        <is>
          <t>20260601000931</t>
        </is>
      </c>
      <c r="M2415" s="8">
        <f>HYPERLINK("https://dart.fss.or.kr/dsaf001/main.do?rcpNo=20260601000931", "공시열람")</f>
        <v/>
      </c>
    </row>
    <row r="2416" ht="22" customHeight="1">
      <c r="A2416" s="2" t="inlineStr">
        <is>
          <t>2026-06-01</t>
        </is>
      </c>
      <c r="B2416" s="3" t="inlineStr">
        <is>
          <t>뉴로핏</t>
        </is>
      </c>
      <c r="C2416" s="2" t="inlineStr">
        <is>
          <t>380550</t>
        </is>
      </c>
      <c r="D2416" s="2" t="inlineStr">
        <is>
          <t>대량보유</t>
        </is>
      </c>
      <c r="E2416" s="3" t="inlineStr">
        <is>
          <t>김동현</t>
        </is>
      </c>
      <c r="F2416" s="3" t="inlineStr">
        <is>
          <t>특별관계자</t>
        </is>
      </c>
      <c r="G2416" s="3" t="inlineStr">
        <is>
          <t>장내매수(+)</t>
        </is>
      </c>
      <c r="H2416" s="15" t="n">
        <v>1000</v>
      </c>
      <c r="I2416" s="6" t="n">
        <v>14970</v>
      </c>
      <c r="J2416" s="6" t="n">
        <v>1779400</v>
      </c>
      <c r="K2416" s="16" t="n">
        <v>5</v>
      </c>
      <c r="L2416" s="2" t="inlineStr">
        <is>
          <t>20260601000931</t>
        </is>
      </c>
      <c r="M2416" s="8">
        <f>HYPERLINK("https://dart.fss.or.kr/dsaf001/main.do?rcpNo=20260601000931", "공시열람")</f>
        <v/>
      </c>
    </row>
    <row r="2417" ht="22" customHeight="1">
      <c r="A2417" s="2" t="inlineStr">
        <is>
          <t>2026-06-01</t>
        </is>
      </c>
      <c r="B2417" s="3" t="inlineStr">
        <is>
          <t>뉴로핏</t>
        </is>
      </c>
      <c r="C2417" s="2" t="inlineStr">
        <is>
          <t>380550</t>
        </is>
      </c>
      <c r="D2417" s="2" t="inlineStr">
        <is>
          <t>대량보유</t>
        </is>
      </c>
      <c r="E2417" s="3" t="inlineStr">
        <is>
          <t>빈준길</t>
        </is>
      </c>
      <c r="F2417" s="3" t="inlineStr">
        <is>
          <t>특별관계자</t>
        </is>
      </c>
      <c r="G2417" s="3" t="inlineStr">
        <is>
          <t>장내매수(+)</t>
        </is>
      </c>
      <c r="H2417" s="15" t="n">
        <v>2000</v>
      </c>
      <c r="I2417" s="6" t="n">
        <v>14878</v>
      </c>
      <c r="J2417" s="6" t="n">
        <v>1187600</v>
      </c>
      <c r="K2417" s="16" t="n">
        <v>5</v>
      </c>
      <c r="L2417" s="2" t="inlineStr">
        <is>
          <t>20260601000931</t>
        </is>
      </c>
      <c r="M2417" s="8">
        <f>HYPERLINK("https://dart.fss.or.kr/dsaf001/main.do?rcpNo=20260601000931", "공시열람")</f>
        <v/>
      </c>
    </row>
    <row r="2418" ht="22" customHeight="1">
      <c r="A2418" s="2" t="inlineStr">
        <is>
          <t>2026-06-01</t>
        </is>
      </c>
      <c r="B2418" s="3" t="inlineStr">
        <is>
          <t>대교</t>
        </is>
      </c>
      <c r="C2418" s="2" t="inlineStr">
        <is>
          <t>019680</t>
        </is>
      </c>
      <c r="D2418" s="2" t="inlineStr">
        <is>
          <t>임원보고</t>
        </is>
      </c>
      <c r="E2418" s="3" t="inlineStr">
        <is>
          <t>-</t>
        </is>
      </c>
      <c r="F2418" s="3" t="inlineStr">
        <is>
          <t>-</t>
        </is>
      </c>
      <c r="G2418" s="3" t="inlineStr">
        <is>
          <t>-</t>
        </is>
      </c>
      <c r="H2418" s="6" t="inlineStr"/>
      <c r="I2418" s="6" t="inlineStr"/>
      <c r="J2418" s="6" t="inlineStr"/>
      <c r="K2418" s="16" t="n">
        <v>12</v>
      </c>
      <c r="L2418" s="2" t="inlineStr">
        <is>
          <t>20260601800685</t>
        </is>
      </c>
      <c r="M2418" s="8">
        <f>HYPERLINK("https://dart.fss.or.kr/dsaf001/main.do?rcpNo=20260601800685", "공시열람")</f>
        <v/>
      </c>
    </row>
    <row r="2419" ht="22" customHeight="1">
      <c r="A2419" s="2" t="inlineStr">
        <is>
          <t>2026-06-01</t>
        </is>
      </c>
      <c r="B2419" s="3" t="inlineStr">
        <is>
          <t>손오공</t>
        </is>
      </c>
      <c r="C2419" s="2" t="inlineStr">
        <is>
          <t>066910</t>
        </is>
      </c>
      <c r="D2419" s="2" t="inlineStr">
        <is>
          <t>대량보유</t>
        </is>
      </c>
      <c r="E2419" s="3" t="inlineStr">
        <is>
          <t>에이치케이모빌리티컴퍼니㈜</t>
        </is>
      </c>
      <c r="F2419" s="3" t="inlineStr">
        <is>
          <t>특별관계자</t>
        </is>
      </c>
      <c r="G2419" s="3" t="inlineStr">
        <is>
          <t>주식병합</t>
        </is>
      </c>
      <c r="H2419" s="17" t="n">
        <v>-9291076</v>
      </c>
      <c r="I2419" s="6" t="inlineStr"/>
      <c r="J2419" s="6" t="n">
        <v>2322769</v>
      </c>
      <c r="K2419" s="16" t="n">
        <v>17.35</v>
      </c>
      <c r="L2419" s="2" t="inlineStr">
        <is>
          <t>20260601000751</t>
        </is>
      </c>
      <c r="M2419" s="8">
        <f>HYPERLINK("https://dart.fss.or.kr/dsaf001/main.do?rcpNo=20260601000751", "공시열람")</f>
        <v/>
      </c>
    </row>
    <row r="2420" ht="22" customHeight="1">
      <c r="A2420" s="2" t="inlineStr">
        <is>
          <t>2026-06-01 (정정: 2026-06-09)</t>
        </is>
      </c>
      <c r="B2420" s="3" t="inlineStr">
        <is>
          <t>대교</t>
        </is>
      </c>
      <c r="C2420" s="2" t="inlineStr">
        <is>
          <t>019680</t>
        </is>
      </c>
      <c r="D2420" s="2" t="inlineStr">
        <is>
          <t>대량보유</t>
        </is>
      </c>
      <c r="E2420" s="3" t="inlineStr">
        <is>
          <t>-</t>
        </is>
      </c>
      <c r="F2420" s="3" t="inlineStr">
        <is>
          <t>보고자</t>
        </is>
      </c>
      <c r="G2420" s="3" t="inlineStr">
        <is>
          <t>-</t>
        </is>
      </c>
      <c r="H2420" s="6" t="inlineStr"/>
      <c r="I2420" s="6" t="inlineStr"/>
      <c r="J2420" s="6" t="inlineStr"/>
      <c r="K2420" s="18" t="inlineStr"/>
      <c r="L2420" s="2" t="inlineStr">
        <is>
          <t>20260609000080</t>
        </is>
      </c>
      <c r="M2420" s="8">
        <f>HYPERLINK("https://dart.fss.or.kr/dsaf001/main.do?rcpNo=20260609000080", "공시열람")</f>
        <v/>
      </c>
    </row>
    <row r="2421" ht="22" customHeight="1">
      <c r="A2421" s="2" t="inlineStr">
        <is>
          <t>2026-06-01</t>
        </is>
      </c>
      <c r="B2421" s="3" t="inlineStr">
        <is>
          <t>포인트모바일</t>
        </is>
      </c>
      <c r="C2421" s="2" t="inlineStr">
        <is>
          <t>318020</t>
        </is>
      </c>
      <c r="D2421" s="2" t="inlineStr">
        <is>
          <t>대량보유</t>
        </is>
      </c>
      <c r="E2421" s="3" t="inlineStr">
        <is>
          <t>강삼권</t>
        </is>
      </c>
      <c r="F2421" s="3" t="inlineStr">
        <is>
          <t>보고자</t>
        </is>
      </c>
      <c r="G2421" s="3" t="inlineStr">
        <is>
          <t>주식담보계약 변경(계약기간 연장)</t>
        </is>
      </c>
      <c r="H2421" s="6" t="inlineStr"/>
      <c r="I2421" s="6" t="inlineStr"/>
      <c r="J2421" s="6" t="n">
        <v>7179697</v>
      </c>
      <c r="K2421" s="16" t="n">
        <v>6</v>
      </c>
      <c r="L2421" s="2" t="inlineStr">
        <is>
          <t>20260601000689</t>
        </is>
      </c>
      <c r="M2421" s="8">
        <f>HYPERLINK("https://dart.fss.or.kr/dsaf001/main.do?rcpNo=20260601000689", "공시열람")</f>
        <v/>
      </c>
    </row>
    <row r="2422" ht="22" customHeight="1">
      <c r="A2422" s="2" t="inlineStr">
        <is>
          <t>2026-06-01</t>
        </is>
      </c>
      <c r="B2422" s="3" t="inlineStr">
        <is>
          <t>에어레인</t>
        </is>
      </c>
      <c r="C2422" s="2" t="inlineStr">
        <is>
          <t>163280</t>
        </is>
      </c>
      <c r="D2422" s="2" t="inlineStr">
        <is>
          <t>대량보유</t>
        </is>
      </c>
      <c r="E2422" s="3" t="inlineStr">
        <is>
          <t>하성용</t>
        </is>
      </c>
      <c r="F2422" s="3" t="inlineStr">
        <is>
          <t>특별관계자</t>
        </is>
      </c>
      <c r="G2422" s="3" t="inlineStr">
        <is>
          <t>장내매수(+)</t>
        </is>
      </c>
      <c r="H2422" s="15" t="n">
        <v>9884</v>
      </c>
      <c r="I2422" s="6" t="n">
        <v>5243</v>
      </c>
      <c r="J2422" s="6" t="n">
        <v>2285724</v>
      </c>
      <c r="K2422" s="16" t="n">
        <v>7</v>
      </c>
      <c r="L2422" s="2" t="inlineStr">
        <is>
          <t>20260601000687</t>
        </is>
      </c>
      <c r="M2422" s="8">
        <f>HYPERLINK("https://dart.fss.or.kr/dsaf001/main.do?rcpNo=20260601000687", "공시열람")</f>
        <v/>
      </c>
    </row>
    <row r="2423" ht="22" customHeight="1">
      <c r="A2423" s="2" t="inlineStr">
        <is>
          <t>2026-06-01</t>
        </is>
      </c>
      <c r="B2423" s="3" t="inlineStr">
        <is>
          <t>에어레인</t>
        </is>
      </c>
      <c r="C2423" s="2" t="inlineStr">
        <is>
          <t>163280</t>
        </is>
      </c>
      <c r="D2423" s="2" t="inlineStr">
        <is>
          <t>대량보유</t>
        </is>
      </c>
      <c r="E2423" s="3" t="inlineStr">
        <is>
          <t>위정욱</t>
        </is>
      </c>
      <c r="F2423" s="3" t="inlineStr">
        <is>
          <t>특별관계자</t>
        </is>
      </c>
      <c r="G2423" s="3" t="inlineStr">
        <is>
          <t>장내매수(+)</t>
        </is>
      </c>
      <c r="H2423" s="15" t="n">
        <v>3</v>
      </c>
      <c r="I2423" s="6" t="n">
        <v>5540</v>
      </c>
      <c r="J2423" s="6" t="n">
        <v>1655</v>
      </c>
      <c r="K2423" s="16" t="n">
        <v>7</v>
      </c>
      <c r="L2423" s="2" t="inlineStr">
        <is>
          <t>20260601000687</t>
        </is>
      </c>
      <c r="M2423" s="8">
        <f>HYPERLINK("https://dart.fss.or.kr/dsaf001/main.do?rcpNo=20260601000687", "공시열람")</f>
        <v/>
      </c>
    </row>
    <row r="2424" ht="22" customHeight="1">
      <c r="A2424" s="2" t="inlineStr">
        <is>
          <t>2026-06-01</t>
        </is>
      </c>
      <c r="B2424" s="3" t="inlineStr">
        <is>
          <t>MH에탄올</t>
        </is>
      </c>
      <c r="C2424" s="2" t="inlineStr">
        <is>
          <t>023150</t>
        </is>
      </c>
      <c r="D2424" s="2" t="inlineStr">
        <is>
          <t>대량보유</t>
        </is>
      </c>
      <c r="E2424" s="3" t="inlineStr">
        <is>
          <t>최동호</t>
        </is>
      </c>
      <c r="F2424" s="3" t="inlineStr">
        <is>
          <t>보고자</t>
        </is>
      </c>
      <c r="G2424" s="3" t="inlineStr">
        <is>
          <t>주식담보 계약해지</t>
        </is>
      </c>
      <c r="H2424" s="6" t="inlineStr"/>
      <c r="I2424" s="6" t="inlineStr"/>
      <c r="J2424" s="6" t="n">
        <v>3238653</v>
      </c>
      <c r="K2424" s="16" t="n">
        <v>2</v>
      </c>
      <c r="L2424" s="2" t="inlineStr">
        <is>
          <t>20260601000552</t>
        </is>
      </c>
      <c r="M2424" s="8">
        <f>HYPERLINK("https://dart.fss.or.kr/dsaf001/main.do?rcpNo=20260601000552", "공시열람")</f>
        <v/>
      </c>
    </row>
    <row r="2425" ht="22" customHeight="1">
      <c r="A2425" s="2" t="inlineStr">
        <is>
          <t>2026-06-01</t>
        </is>
      </c>
      <c r="B2425" s="3" t="inlineStr">
        <is>
          <t>삼성전기</t>
        </is>
      </c>
      <c r="C2425" s="2" t="inlineStr">
        <is>
          <t>009150</t>
        </is>
      </c>
      <c r="D2425" s="2" t="inlineStr">
        <is>
          <t>임원보고</t>
        </is>
      </c>
      <c r="E2425" s="3" t="inlineStr">
        <is>
          <t>-</t>
        </is>
      </c>
      <c r="F2425" s="3" t="inlineStr">
        <is>
          <t>-</t>
        </is>
      </c>
      <c r="G2425" s="3" t="inlineStr">
        <is>
          <t>-</t>
        </is>
      </c>
      <c r="H2425" s="6" t="inlineStr"/>
      <c r="I2425" s="6" t="inlineStr"/>
      <c r="J2425" s="6" t="inlineStr"/>
      <c r="K2425" s="16" t="n">
        <v>12</v>
      </c>
      <c r="L2425" s="2" t="inlineStr">
        <is>
          <t>20260601800488</t>
        </is>
      </c>
      <c r="M2425" s="8">
        <f>HYPERLINK("https://dart.fss.or.kr/dsaf001/main.do?rcpNo=20260601800488", "공시열람")</f>
        <v/>
      </c>
    </row>
    <row r="2426" ht="22" customHeight="1">
      <c r="A2426" s="2" t="inlineStr">
        <is>
          <t>2026-06-01</t>
        </is>
      </c>
      <c r="B2426" s="3" t="inlineStr">
        <is>
          <t>성호전자</t>
        </is>
      </c>
      <c r="C2426" s="2" t="inlineStr">
        <is>
          <t>043260</t>
        </is>
      </c>
      <c r="D2426" s="2" t="inlineStr">
        <is>
          <t>대량보유</t>
        </is>
      </c>
      <c r="E2426" s="3" t="inlineStr">
        <is>
          <t>서룡전자(주)</t>
        </is>
      </c>
      <c r="F2426" s="3" t="inlineStr">
        <is>
          <t>특별관계자</t>
        </is>
      </c>
      <c r="G2426" s="3" t="inlineStr">
        <is>
          <t>장내매수(+)</t>
        </is>
      </c>
      <c r="H2426" s="15" t="n">
        <v>8800</v>
      </c>
      <c r="I2426" s="6" t="n">
        <v>34198</v>
      </c>
      <c r="J2426" s="6" t="n">
        <v>27292815</v>
      </c>
      <c r="K2426" s="16" t="n">
        <v>17</v>
      </c>
      <c r="L2426" s="2" t="inlineStr">
        <is>
          <t>20260601000157</t>
        </is>
      </c>
      <c r="M2426" s="8">
        <f>HYPERLINK("https://dart.fss.or.kr/dsaf001/main.do?rcpNo=20260601000157", "공시열람")</f>
        <v/>
      </c>
    </row>
    <row r="2427" ht="22" customHeight="1">
      <c r="A2427" s="2" t="inlineStr">
        <is>
          <t>2026-06-01</t>
        </is>
      </c>
      <c r="B2427" s="3" t="inlineStr">
        <is>
          <t>바른손이앤에이</t>
        </is>
      </c>
      <c r="C2427" s="2" t="inlineStr">
        <is>
          <t>035620</t>
        </is>
      </c>
      <c r="D2427" s="2" t="inlineStr">
        <is>
          <t>대량보유</t>
        </is>
      </c>
      <c r="E2427" s="3" t="inlineStr">
        <is>
          <t>김남철</t>
        </is>
      </c>
      <c r="F2427" s="3" t="inlineStr">
        <is>
          <t>특별관계자</t>
        </is>
      </c>
      <c r="G2427" s="3" t="inlineStr">
        <is>
          <t>임원퇴임(-)</t>
        </is>
      </c>
      <c r="H2427" s="17" t="n">
        <v>-300000</v>
      </c>
      <c r="I2427" s="6" t="inlineStr"/>
      <c r="J2427" s="6" t="inlineStr"/>
      <c r="K2427" s="16" t="n">
        <v>6</v>
      </c>
      <c r="L2427" s="2" t="inlineStr">
        <is>
          <t>20260601000109</t>
        </is>
      </c>
      <c r="M2427" s="8">
        <f>HYPERLINK("https://dart.fss.or.kr/dsaf001/main.do?rcpNo=20260601000109", "공시열람")</f>
        <v/>
      </c>
    </row>
    <row r="2428" ht="22" customHeight="1">
      <c r="A2428" s="2" t="inlineStr">
        <is>
          <t>2026-06-01</t>
        </is>
      </c>
      <c r="B2428" s="3" t="inlineStr">
        <is>
          <t>바른손이앤에이</t>
        </is>
      </c>
      <c r="C2428" s="2" t="inlineStr">
        <is>
          <t>035620</t>
        </is>
      </c>
      <c r="D2428" s="2" t="inlineStr">
        <is>
          <t>대량보유</t>
        </is>
      </c>
      <c r="E2428" s="3" t="inlineStr">
        <is>
          <t>박진홍</t>
        </is>
      </c>
      <c r="F2428" s="3" t="inlineStr">
        <is>
          <t>특별관계자</t>
        </is>
      </c>
      <c r="G2428" s="3" t="inlineStr">
        <is>
          <t>주식매수선택권부여취소(-), 주식병합</t>
        </is>
      </c>
      <c r="H2428" s="17" t="n">
        <v>-605000</v>
      </c>
      <c r="I2428" s="6" t="inlineStr"/>
      <c r="J2428" s="6" t="n">
        <v>85000</v>
      </c>
      <c r="K2428" s="16" t="n">
        <v>6</v>
      </c>
      <c r="L2428" s="2" t="inlineStr">
        <is>
          <t>20260601000109</t>
        </is>
      </c>
      <c r="M2428" s="8">
        <f>HYPERLINK("https://dart.fss.or.kr/dsaf001/main.do?rcpNo=20260601000109", "공시열람")</f>
        <v/>
      </c>
    </row>
    <row r="2429" ht="22" customHeight="1">
      <c r="A2429" s="2" t="inlineStr">
        <is>
          <t>2026-06-01</t>
        </is>
      </c>
      <c r="B2429" s="3" t="inlineStr">
        <is>
          <t>바른손이앤에이</t>
        </is>
      </c>
      <c r="C2429" s="2" t="inlineStr">
        <is>
          <t>035620</t>
        </is>
      </c>
      <c r="D2429" s="2" t="inlineStr">
        <is>
          <t>대량보유</t>
        </is>
      </c>
      <c r="E2429" s="3" t="inlineStr">
        <is>
          <t>최윤희</t>
        </is>
      </c>
      <c r="F2429" s="3" t="inlineStr">
        <is>
          <t>특별관계자</t>
        </is>
      </c>
      <c r="G2429" s="3" t="inlineStr">
        <is>
          <t>주식매수선택권부여(+), 주식매수선택권부여취소(-), 주식병합</t>
        </is>
      </c>
      <c r="H2429" s="15" t="n">
        <v>25000</v>
      </c>
      <c r="I2429" s="6" t="inlineStr"/>
      <c r="J2429" s="6" t="n">
        <v>175000</v>
      </c>
      <c r="K2429" s="16" t="n">
        <v>6</v>
      </c>
      <c r="L2429" s="2" t="inlineStr">
        <is>
          <t>20260601000109</t>
        </is>
      </c>
      <c r="M2429" s="8">
        <f>HYPERLINK("https://dart.fss.or.kr/dsaf001/main.do?rcpNo=20260601000109", "공시열람")</f>
        <v/>
      </c>
    </row>
    <row r="2430" ht="22" customHeight="1">
      <c r="A2430" s="2" t="inlineStr">
        <is>
          <t>2026-06-01</t>
        </is>
      </c>
      <c r="B2430" s="3" t="inlineStr">
        <is>
          <t>바른손이앤에이</t>
        </is>
      </c>
      <c r="C2430" s="2" t="inlineStr">
        <is>
          <t>035620</t>
        </is>
      </c>
      <c r="D2430" s="2" t="inlineStr">
        <is>
          <t>대량보유</t>
        </is>
      </c>
      <c r="E2430" s="3" t="inlineStr">
        <is>
          <t>박지선</t>
        </is>
      </c>
      <c r="F2430" s="3" t="inlineStr">
        <is>
          <t>특별관계자</t>
        </is>
      </c>
      <c r="G2430" s="3" t="inlineStr">
        <is>
          <t>주식매수선택권부여(+), 주식매수선택권부여취소(-), 주식병합</t>
        </is>
      </c>
      <c r="H2430" s="17" t="n">
        <v>-150000</v>
      </c>
      <c r="I2430" s="6" t="inlineStr"/>
      <c r="J2430" s="6" t="n">
        <v>50000</v>
      </c>
      <c r="K2430" s="16" t="n">
        <v>6</v>
      </c>
      <c r="L2430" s="2" t="inlineStr">
        <is>
          <t>20260601000109</t>
        </is>
      </c>
      <c r="M2430" s="8">
        <f>HYPERLINK("https://dart.fss.or.kr/dsaf001/main.do?rcpNo=20260601000109", "공시열람")</f>
        <v/>
      </c>
    </row>
    <row r="2431" ht="22" customHeight="1">
      <c r="A2431" s="2" t="inlineStr">
        <is>
          <t>2026-06-01</t>
        </is>
      </c>
      <c r="B2431" s="3" t="inlineStr">
        <is>
          <t>바른손이앤에이</t>
        </is>
      </c>
      <c r="C2431" s="2" t="inlineStr">
        <is>
          <t>035620</t>
        </is>
      </c>
      <c r="D2431" s="2" t="inlineStr">
        <is>
          <t>대량보유</t>
        </is>
      </c>
      <c r="E2431" s="3" t="inlineStr">
        <is>
          <t>문양권</t>
        </is>
      </c>
      <c r="F2431" s="3" t="inlineStr">
        <is>
          <t>특별관계자</t>
        </is>
      </c>
      <c r="G2431" s="3" t="inlineStr">
        <is>
          <t>주식병합</t>
        </is>
      </c>
      <c r="H2431" s="17" t="n">
        <v>-14255250</v>
      </c>
      <c r="I2431" s="6" t="inlineStr"/>
      <c r="J2431" s="6" t="n">
        <v>4751750</v>
      </c>
      <c r="K2431" s="16" t="n">
        <v>6</v>
      </c>
      <c r="L2431" s="2" t="inlineStr">
        <is>
          <t>20260601000109</t>
        </is>
      </c>
      <c r="M2431" s="8">
        <f>HYPERLINK("https://dart.fss.or.kr/dsaf001/main.do?rcpNo=20260601000109", "공시열람")</f>
        <v/>
      </c>
    </row>
    <row r="2432" ht="22" customHeight="1">
      <c r="A2432" s="2" t="inlineStr">
        <is>
          <t>2026-06-01</t>
        </is>
      </c>
      <c r="B2432" s="3" t="inlineStr">
        <is>
          <t>바른손이앤에이</t>
        </is>
      </c>
      <c r="C2432" s="2" t="inlineStr">
        <is>
          <t>035620</t>
        </is>
      </c>
      <c r="D2432" s="2" t="inlineStr">
        <is>
          <t>대량보유</t>
        </is>
      </c>
      <c r="E2432" s="3" t="inlineStr">
        <is>
          <t>졸스</t>
        </is>
      </c>
      <c r="F2432" s="3" t="inlineStr">
        <is>
          <t>특별관계자</t>
        </is>
      </c>
      <c r="G2432" s="3" t="inlineStr">
        <is>
          <t>주식병합, 장외매도(-)</t>
        </is>
      </c>
      <c r="H2432" s="17" t="n">
        <v>-1322851</v>
      </c>
      <c r="I2432" s="6" t="n">
        <v>1140</v>
      </c>
      <c r="J2432" s="6" t="inlineStr"/>
      <c r="K2432" s="16" t="n">
        <v>6</v>
      </c>
      <c r="L2432" s="2" t="inlineStr">
        <is>
          <t>20260601000109</t>
        </is>
      </c>
      <c r="M2432" s="8">
        <f>HYPERLINK("https://dart.fss.or.kr/dsaf001/main.do?rcpNo=20260601000109", "공시열람")</f>
        <v/>
      </c>
    </row>
    <row r="2433" ht="22" customHeight="1">
      <c r="A2433" s="2" t="inlineStr">
        <is>
          <t>2026-06-01</t>
        </is>
      </c>
      <c r="B2433" s="3" t="inlineStr">
        <is>
          <t>바른손이앤에이</t>
        </is>
      </c>
      <c r="C2433" s="2" t="inlineStr">
        <is>
          <t>035620</t>
        </is>
      </c>
      <c r="D2433" s="2" t="inlineStr">
        <is>
          <t>대량보유</t>
        </is>
      </c>
      <c r="E2433" s="3" t="inlineStr">
        <is>
          <t>엠아이컴퍼니</t>
        </is>
      </c>
      <c r="F2433" s="3" t="inlineStr">
        <is>
          <t>특별관계자</t>
        </is>
      </c>
      <c r="G2433" s="3" t="inlineStr">
        <is>
          <t>장내매수(+), 장외매수(+)</t>
        </is>
      </c>
      <c r="H2433" s="15" t="n">
        <v>934602</v>
      </c>
      <c r="I2433" s="6" t="n">
        <v>1170</v>
      </c>
      <c r="J2433" s="6" t="n">
        <v>934602</v>
      </c>
      <c r="K2433" s="16" t="n">
        <v>6</v>
      </c>
      <c r="L2433" s="2" t="inlineStr">
        <is>
          <t>20260601000109</t>
        </is>
      </c>
      <c r="M2433" s="8">
        <f>HYPERLINK("https://dart.fss.or.kr/dsaf001/main.do?rcpNo=20260601000109", "공시열람")</f>
        <v/>
      </c>
    </row>
    <row r="2434" ht="22" customHeight="1">
      <c r="A2434" s="2" t="inlineStr">
        <is>
          <t>2026-06-01</t>
        </is>
      </c>
      <c r="B2434" s="3" t="inlineStr">
        <is>
          <t>아시아종묘</t>
        </is>
      </c>
      <c r="C2434" s="2" t="inlineStr">
        <is>
          <t>154030</t>
        </is>
      </c>
      <c r="D2434" s="2" t="inlineStr">
        <is>
          <t>대량보유</t>
        </is>
      </c>
      <c r="E2434" s="3" t="inlineStr">
        <is>
          <t>류재환</t>
        </is>
      </c>
      <c r="F2434" s="3" t="inlineStr">
        <is>
          <t>특별관계자</t>
        </is>
      </c>
      <c r="G2434" s="3" t="inlineStr">
        <is>
          <t>장내매수(+)</t>
        </is>
      </c>
      <c r="H2434" s="15" t="n">
        <v>51135</v>
      </c>
      <c r="I2434" s="6" t="n">
        <v>1825</v>
      </c>
      <c r="J2434" s="6" t="n">
        <v>952198</v>
      </c>
      <c r="K2434" s="16" t="n">
        <v>4</v>
      </c>
      <c r="L2434" s="2" t="inlineStr">
        <is>
          <t>20260601000070</t>
        </is>
      </c>
      <c r="M2434" s="8">
        <f>HYPERLINK("https://dart.fss.or.kr/dsaf001/main.do?rcpNo=20260601000070", "공시열람")</f>
        <v/>
      </c>
    </row>
    <row r="2435" ht="22" customHeight="1">
      <c r="A2435" s="2" t="inlineStr">
        <is>
          <t>2026-06-01</t>
        </is>
      </c>
      <c r="B2435" s="3" t="inlineStr">
        <is>
          <t>대창단조</t>
        </is>
      </c>
      <c r="C2435" s="2" t="inlineStr">
        <is>
          <t>015230</t>
        </is>
      </c>
      <c r="D2435" s="2" t="inlineStr">
        <is>
          <t>임원보고</t>
        </is>
      </c>
      <c r="E2435" s="3" t="inlineStr">
        <is>
          <t>-</t>
        </is>
      </c>
      <c r="F2435" s="3" t="inlineStr">
        <is>
          <t>-</t>
        </is>
      </c>
      <c r="G2435" s="3" t="inlineStr">
        <is>
          <t>-</t>
        </is>
      </c>
      <c r="H2435" s="6" t="inlineStr"/>
      <c r="I2435" s="6" t="inlineStr"/>
      <c r="J2435" s="6" t="inlineStr"/>
      <c r="K2435" s="16" t="n">
        <v>12</v>
      </c>
      <c r="L2435" s="2" t="inlineStr">
        <is>
          <t>20260601800142</t>
        </is>
      </c>
      <c r="M2435" s="8">
        <f>HYPERLINK("https://dart.fss.or.kr/dsaf001/main.do?rcpNo=20260601800142", "공시열람")</f>
        <v/>
      </c>
    </row>
    <row r="2436" ht="22" customHeight="1">
      <c r="A2436" s="2" t="inlineStr">
        <is>
          <t>2026-06-01</t>
        </is>
      </c>
      <c r="B2436" s="3" t="inlineStr">
        <is>
          <t>바른손이앤에이</t>
        </is>
      </c>
      <c r="C2436" s="2" t="inlineStr">
        <is>
          <t>035620</t>
        </is>
      </c>
      <c r="D2436" s="2" t="inlineStr">
        <is>
          <t>대량보유</t>
        </is>
      </c>
      <c r="E2436" s="3" t="inlineStr">
        <is>
          <t>김남철</t>
        </is>
      </c>
      <c r="F2436" s="3" t="inlineStr">
        <is>
          <t>특별관계자</t>
        </is>
      </c>
      <c r="G2436" s="3" t="inlineStr">
        <is>
          <t>임원퇴임(-)</t>
        </is>
      </c>
      <c r="H2436" s="17" t="n">
        <v>-300000</v>
      </c>
      <c r="I2436" s="6" t="inlineStr"/>
      <c r="J2436" s="6" t="inlineStr"/>
      <c r="K2436" s="16" t="n">
        <v>6</v>
      </c>
      <c r="L2436" s="2" t="inlineStr">
        <is>
          <t>20260601000002</t>
        </is>
      </c>
      <c r="M2436" s="8">
        <f>HYPERLINK("https://dart.fss.or.kr/dsaf001/main.do?rcpNo=20260601000002", "공시열람")</f>
        <v/>
      </c>
    </row>
    <row r="2437" ht="22" customHeight="1">
      <c r="A2437" s="2" t="inlineStr">
        <is>
          <t>2026-06-01</t>
        </is>
      </c>
      <c r="B2437" s="3" t="inlineStr">
        <is>
          <t>바른손이앤에이</t>
        </is>
      </c>
      <c r="C2437" s="2" t="inlineStr">
        <is>
          <t>035620</t>
        </is>
      </c>
      <c r="D2437" s="2" t="inlineStr">
        <is>
          <t>대량보유</t>
        </is>
      </c>
      <c r="E2437" s="3" t="inlineStr">
        <is>
          <t>박진홍</t>
        </is>
      </c>
      <c r="F2437" s="3" t="inlineStr">
        <is>
          <t>특별관계자</t>
        </is>
      </c>
      <c r="G2437" s="3" t="inlineStr">
        <is>
          <t>주식매수선택권부여취소(-), 주식병합</t>
        </is>
      </c>
      <c r="H2437" s="17" t="n">
        <v>-605000</v>
      </c>
      <c r="I2437" s="6" t="inlineStr"/>
      <c r="J2437" s="6" t="n">
        <v>85000</v>
      </c>
      <c r="K2437" s="16" t="n">
        <v>6</v>
      </c>
      <c r="L2437" s="2" t="inlineStr">
        <is>
          <t>20260601000002</t>
        </is>
      </c>
      <c r="M2437" s="8">
        <f>HYPERLINK("https://dart.fss.or.kr/dsaf001/main.do?rcpNo=20260601000002", "공시열람")</f>
        <v/>
      </c>
    </row>
    <row r="2438" ht="22" customHeight="1">
      <c r="A2438" s="2" t="inlineStr">
        <is>
          <t>2026-06-01</t>
        </is>
      </c>
      <c r="B2438" s="3" t="inlineStr">
        <is>
          <t>바른손이앤에이</t>
        </is>
      </c>
      <c r="C2438" s="2" t="inlineStr">
        <is>
          <t>035620</t>
        </is>
      </c>
      <c r="D2438" s="2" t="inlineStr">
        <is>
          <t>대량보유</t>
        </is>
      </c>
      <c r="E2438" s="3" t="inlineStr">
        <is>
          <t>최윤희</t>
        </is>
      </c>
      <c r="F2438" s="3" t="inlineStr">
        <is>
          <t>특별관계자</t>
        </is>
      </c>
      <c r="G2438" s="3" t="inlineStr">
        <is>
          <t>주식매수선택권부여(+), 주식매수선택권부여취소(-), 주식병합</t>
        </is>
      </c>
      <c r="H2438" s="15" t="n">
        <v>25000</v>
      </c>
      <c r="I2438" s="6" t="inlineStr"/>
      <c r="J2438" s="6" t="n">
        <v>175000</v>
      </c>
      <c r="K2438" s="16" t="n">
        <v>6</v>
      </c>
      <c r="L2438" s="2" t="inlineStr">
        <is>
          <t>20260601000002</t>
        </is>
      </c>
      <c r="M2438" s="8">
        <f>HYPERLINK("https://dart.fss.or.kr/dsaf001/main.do?rcpNo=20260601000002", "공시열람")</f>
        <v/>
      </c>
    </row>
    <row r="2439" ht="22" customHeight="1">
      <c r="A2439" s="2" t="inlineStr">
        <is>
          <t>2026-06-01</t>
        </is>
      </c>
      <c r="B2439" s="3" t="inlineStr">
        <is>
          <t>바른손이앤에이</t>
        </is>
      </c>
      <c r="C2439" s="2" t="inlineStr">
        <is>
          <t>035620</t>
        </is>
      </c>
      <c r="D2439" s="2" t="inlineStr">
        <is>
          <t>대량보유</t>
        </is>
      </c>
      <c r="E2439" s="3" t="inlineStr">
        <is>
          <t>박지선</t>
        </is>
      </c>
      <c r="F2439" s="3" t="inlineStr">
        <is>
          <t>특별관계자</t>
        </is>
      </c>
      <c r="G2439" s="3" t="inlineStr">
        <is>
          <t>주식매수선택권부여(+), 주식매수선택권부여취소(-), 주식병합</t>
        </is>
      </c>
      <c r="H2439" s="17" t="n">
        <v>-150000</v>
      </c>
      <c r="I2439" s="6" t="inlineStr"/>
      <c r="J2439" s="6" t="n">
        <v>50000</v>
      </c>
      <c r="K2439" s="16" t="n">
        <v>6</v>
      </c>
      <c r="L2439" s="2" t="inlineStr">
        <is>
          <t>20260601000002</t>
        </is>
      </c>
      <c r="M2439" s="8">
        <f>HYPERLINK("https://dart.fss.or.kr/dsaf001/main.do?rcpNo=20260601000002", "공시열람")</f>
        <v/>
      </c>
    </row>
    <row r="2440" ht="22" customHeight="1">
      <c r="A2440" s="2" t="inlineStr">
        <is>
          <t>2026-06-01</t>
        </is>
      </c>
      <c r="B2440" s="3" t="inlineStr">
        <is>
          <t>바른손이앤에이</t>
        </is>
      </c>
      <c r="C2440" s="2" t="inlineStr">
        <is>
          <t>035620</t>
        </is>
      </c>
      <c r="D2440" s="2" t="inlineStr">
        <is>
          <t>대량보유</t>
        </is>
      </c>
      <c r="E2440" s="3" t="inlineStr">
        <is>
          <t>문양권</t>
        </is>
      </c>
      <c r="F2440" s="3" t="inlineStr">
        <is>
          <t>특별관계자</t>
        </is>
      </c>
      <c r="G2440" s="3" t="inlineStr">
        <is>
          <t>주식병합</t>
        </is>
      </c>
      <c r="H2440" s="17" t="n">
        <v>-14255250</v>
      </c>
      <c r="I2440" s="6" t="inlineStr"/>
      <c r="J2440" s="6" t="n">
        <v>4751750</v>
      </c>
      <c r="K2440" s="16" t="n">
        <v>6</v>
      </c>
      <c r="L2440" s="2" t="inlineStr">
        <is>
          <t>20260601000002</t>
        </is>
      </c>
      <c r="M2440" s="8">
        <f>HYPERLINK("https://dart.fss.or.kr/dsaf001/main.do?rcpNo=20260601000002", "공시열람")</f>
        <v/>
      </c>
    </row>
    <row r="2441" ht="22" customHeight="1">
      <c r="A2441" s="2" t="inlineStr">
        <is>
          <t>2026-06-01</t>
        </is>
      </c>
      <c r="B2441" s="3" t="inlineStr">
        <is>
          <t>바른손이앤에이</t>
        </is>
      </c>
      <c r="C2441" s="2" t="inlineStr">
        <is>
          <t>035620</t>
        </is>
      </c>
      <c r="D2441" s="2" t="inlineStr">
        <is>
          <t>대량보유</t>
        </is>
      </c>
      <c r="E2441" s="3" t="inlineStr">
        <is>
          <t>졸스</t>
        </is>
      </c>
      <c r="F2441" s="3" t="inlineStr">
        <is>
          <t>특별관계자</t>
        </is>
      </c>
      <c r="G2441" s="3" t="inlineStr">
        <is>
          <t>주식병합</t>
        </is>
      </c>
      <c r="H2441" s="17" t="n">
        <v>-992139</v>
      </c>
      <c r="I2441" s="6" t="inlineStr"/>
      <c r="J2441" s="6" t="n">
        <v>330712</v>
      </c>
      <c r="K2441" s="16" t="n">
        <v>6</v>
      </c>
      <c r="L2441" s="2" t="inlineStr">
        <is>
          <t>20260601000002</t>
        </is>
      </c>
      <c r="M2441" s="8">
        <f>HYPERLINK("https://dart.fss.or.kr/dsaf001/main.do?rcpNo=20260601000002", "공시열람")</f>
        <v/>
      </c>
    </row>
    <row r="2442" ht="22" customHeight="1">
      <c r="A2442" s="2" t="inlineStr">
        <is>
          <t>2026-06-01</t>
        </is>
      </c>
      <c r="B2442" s="3" t="inlineStr">
        <is>
          <t>바른손이앤에이</t>
        </is>
      </c>
      <c r="C2442" s="2" t="inlineStr">
        <is>
          <t>035620</t>
        </is>
      </c>
      <c r="D2442" s="2" t="inlineStr">
        <is>
          <t>대량보유</t>
        </is>
      </c>
      <c r="E2442" s="3" t="inlineStr">
        <is>
          <t>엠아이컴퍼니</t>
        </is>
      </c>
      <c r="F2442" s="3" t="inlineStr">
        <is>
          <t>특별관계자</t>
        </is>
      </c>
      <c r="G2442" s="3" t="inlineStr">
        <is>
          <t>장내매수(+), 장외매수(+)</t>
        </is>
      </c>
      <c r="H2442" s="15" t="n">
        <v>934602</v>
      </c>
      <c r="I2442" s="6" t="n">
        <v>1170</v>
      </c>
      <c r="J2442" s="6" t="n">
        <v>934602</v>
      </c>
      <c r="K2442" s="16" t="n">
        <v>6</v>
      </c>
      <c r="L2442" s="2" t="inlineStr">
        <is>
          <t>20260601000002</t>
        </is>
      </c>
      <c r="M2442" s="8">
        <f>HYPERLINK("https://dart.fss.or.kr/dsaf001/main.do?rcpNo=20260601000002", "공시열람")</f>
        <v/>
      </c>
    </row>
    <row r="2443" ht="22" customHeight="1">
      <c r="A2443" s="2" t="inlineStr">
        <is>
          <t>2026-06-02</t>
        </is>
      </c>
      <c r="B2443" s="3" t="inlineStr">
        <is>
          <t>E1</t>
        </is>
      </c>
      <c r="C2443" s="2" t="inlineStr">
        <is>
          <t>017940</t>
        </is>
      </c>
      <c r="D2443" s="2" t="inlineStr">
        <is>
          <t>임원보고</t>
        </is>
      </c>
      <c r="E2443" s="3" t="inlineStr">
        <is>
          <t>-</t>
        </is>
      </c>
      <c r="F2443" s="3" t="inlineStr">
        <is>
          <t>-</t>
        </is>
      </c>
      <c r="G2443" s="3" t="inlineStr">
        <is>
          <t>-</t>
        </is>
      </c>
      <c r="H2443" s="6" t="inlineStr"/>
      <c r="I2443" s="6" t="inlineStr"/>
      <c r="J2443" s="6" t="inlineStr"/>
      <c r="K2443" s="16" t="n">
        <v>12</v>
      </c>
      <c r="L2443" s="2" t="inlineStr">
        <is>
          <t>20260602800870</t>
        </is>
      </c>
      <c r="M2443" s="8">
        <f>HYPERLINK("https://dart.fss.or.kr/dsaf001/main.do?rcpNo=20260602800870", "공시열람")</f>
        <v/>
      </c>
    </row>
    <row r="2444" ht="22" customHeight="1">
      <c r="A2444" s="2" t="inlineStr">
        <is>
          <t>2026-06-02</t>
        </is>
      </c>
      <c r="B2444" s="3" t="inlineStr">
        <is>
          <t>이리츠코크렙</t>
        </is>
      </c>
      <c r="C2444" s="2" t="inlineStr">
        <is>
          <t>088260</t>
        </is>
      </c>
      <c r="D2444" s="2" t="inlineStr">
        <is>
          <t>대량보유</t>
        </is>
      </c>
      <c r="E2444" s="3" t="inlineStr">
        <is>
          <t>(주)이랜드리테일</t>
        </is>
      </c>
      <c r="F2444" s="3" t="inlineStr">
        <is>
          <t>보고자</t>
        </is>
      </c>
      <c r="G2444" s="3" t="inlineStr">
        <is>
          <t>주식등에 관한 주요계약 연장</t>
        </is>
      </c>
      <c r="H2444" s="6" t="inlineStr"/>
      <c r="I2444" s="6" t="inlineStr"/>
      <c r="J2444" s="6" t="n">
        <v>30376536</v>
      </c>
      <c r="K2444" s="16" t="n">
        <v>3</v>
      </c>
      <c r="L2444" s="2" t="inlineStr">
        <is>
          <t>20260602000570</t>
        </is>
      </c>
      <c r="M2444" s="8">
        <f>HYPERLINK("https://dart.fss.or.kr/dsaf001/main.do?rcpNo=20260602000570", "공시열람")</f>
        <v/>
      </c>
    </row>
    <row r="2445" ht="22" customHeight="1">
      <c r="A2445" s="2" t="inlineStr">
        <is>
          <t>2026-06-02</t>
        </is>
      </c>
      <c r="B2445" s="3" t="inlineStr">
        <is>
          <t>E1</t>
        </is>
      </c>
      <c r="C2445" s="2" t="inlineStr">
        <is>
          <t>017940</t>
        </is>
      </c>
      <c r="D2445" s="2" t="inlineStr">
        <is>
          <t>대량보유</t>
        </is>
      </c>
      <c r="E2445" s="3" t="inlineStr">
        <is>
          <t>구건모</t>
        </is>
      </c>
      <c r="F2445" s="3" t="inlineStr">
        <is>
          <t>특별관계자</t>
        </is>
      </c>
      <c r="G2445" s="3" t="inlineStr">
        <is>
          <t>장내매수(+)</t>
        </is>
      </c>
      <c r="H2445" s="15" t="n">
        <v>1165</v>
      </c>
      <c r="I2445" s="6" t="n">
        <v>85926</v>
      </c>
      <c r="J2445" s="6" t="n">
        <v>7608</v>
      </c>
      <c r="K2445" s="16" t="n">
        <v>11</v>
      </c>
      <c r="L2445" s="2" t="inlineStr">
        <is>
          <t>20260602000566</t>
        </is>
      </c>
      <c r="M2445" s="8">
        <f>HYPERLINK("https://dart.fss.or.kr/dsaf001/main.do?rcpNo=20260602000566", "공시열람")</f>
        <v/>
      </c>
    </row>
    <row r="2446" ht="22" customHeight="1">
      <c r="A2446" s="2" t="inlineStr">
        <is>
          <t>2026-06-02</t>
        </is>
      </c>
      <c r="B2446" s="3" t="inlineStr">
        <is>
          <t>온타이드</t>
        </is>
      </c>
      <c r="C2446" s="2" t="inlineStr">
        <is>
          <t>005320</t>
        </is>
      </c>
      <c r="D2446" s="2" t="inlineStr">
        <is>
          <t>대량보유</t>
        </is>
      </c>
      <c r="E2446" s="3" t="inlineStr">
        <is>
          <t>주식회사약진통상</t>
        </is>
      </c>
      <c r="F2446" s="3" t="inlineStr">
        <is>
          <t>특별관계자</t>
        </is>
      </c>
      <c r="G2446" s="3" t="inlineStr">
        <is>
          <t>장내매수(+)</t>
        </is>
      </c>
      <c r="H2446" s="15" t="n">
        <v>551231</v>
      </c>
      <c r="I2446" s="6" t="n">
        <v>1111</v>
      </c>
      <c r="J2446" s="6" t="n">
        <v>15977643</v>
      </c>
      <c r="K2446" s="16" t="n">
        <v>41.65</v>
      </c>
      <c r="L2446" s="2" t="inlineStr">
        <is>
          <t>20260602000565</t>
        </is>
      </c>
      <c r="M2446" s="8">
        <f>HYPERLINK("https://dart.fss.or.kr/dsaf001/main.do?rcpNo=20260602000565", "공시열람")</f>
        <v/>
      </c>
    </row>
    <row r="2447" ht="22" customHeight="1">
      <c r="A2447" s="2" t="inlineStr">
        <is>
          <t>2026-06-02</t>
        </is>
      </c>
      <c r="B2447" s="3" t="inlineStr">
        <is>
          <t>옵티코어</t>
        </is>
      </c>
      <c r="C2447" s="2" t="inlineStr">
        <is>
          <t>380540</t>
        </is>
      </c>
      <c r="D2447" s="2" t="inlineStr">
        <is>
          <t>대량보유</t>
        </is>
      </c>
      <c r="E2447" s="3" t="inlineStr">
        <is>
          <t>(주)바로저축은행</t>
        </is>
      </c>
      <c r="F2447" s="3" t="inlineStr">
        <is>
          <t>특별관계자</t>
        </is>
      </c>
      <c r="G2447" s="3" t="inlineStr">
        <is>
          <t>기타(-)</t>
        </is>
      </c>
      <c r="H2447" s="17" t="n">
        <v>-3248511</v>
      </c>
      <c r="I2447" s="6" t="n">
        <v>1847</v>
      </c>
      <c r="J2447" s="6" t="inlineStr"/>
      <c r="K2447" s="18" t="inlineStr"/>
      <c r="L2447" s="2" t="inlineStr">
        <is>
          <t>20260602000562</t>
        </is>
      </c>
      <c r="M2447" s="8">
        <f>HYPERLINK("https://dart.fss.or.kr/dsaf001/main.do?rcpNo=20260602000562", "공시열람")</f>
        <v/>
      </c>
    </row>
    <row r="2448" ht="22" customHeight="1">
      <c r="A2448" s="2" t="inlineStr">
        <is>
          <t>2026-06-02</t>
        </is>
      </c>
      <c r="B2448" s="3" t="inlineStr">
        <is>
          <t>율촌</t>
        </is>
      </c>
      <c r="C2448" s="2" t="inlineStr">
        <is>
          <t>146060</t>
        </is>
      </c>
      <c r="D2448" s="2" t="inlineStr">
        <is>
          <t>대량보유</t>
        </is>
      </c>
      <c r="E2448" s="3" t="inlineStr">
        <is>
          <t>수성자산운용(주)</t>
        </is>
      </c>
      <c r="F2448" s="3" t="inlineStr">
        <is>
          <t>특별관계자</t>
        </is>
      </c>
      <c r="G2448" s="3" t="inlineStr">
        <is>
          <t>CB인수(+)</t>
        </is>
      </c>
      <c r="H2448" s="15" t="n">
        <v>2468309</v>
      </c>
      <c r="I2448" s="6" t="n">
        <v>1499</v>
      </c>
      <c r="J2448" s="6" t="n">
        <v>2468309</v>
      </c>
      <c r="K2448" s="16" t="n">
        <v>9.32</v>
      </c>
      <c r="L2448" s="2" t="inlineStr">
        <is>
          <t>20260602000555</t>
        </is>
      </c>
      <c r="M2448" s="8">
        <f>HYPERLINK("https://dart.fss.or.kr/dsaf001/main.do?rcpNo=20260602000555", "공시열람")</f>
        <v/>
      </c>
    </row>
    <row r="2449" ht="22" customHeight="1">
      <c r="A2449" s="2" t="inlineStr">
        <is>
          <t>2026-06-02</t>
        </is>
      </c>
      <c r="B2449" s="3" t="inlineStr">
        <is>
          <t>디에이테크놀로지</t>
        </is>
      </c>
      <c r="C2449" s="2" t="inlineStr">
        <is>
          <t>196490</t>
        </is>
      </c>
      <c r="D2449" s="2" t="inlineStr">
        <is>
          <t>대량보유</t>
        </is>
      </c>
      <c r="E2449" s="3" t="inlineStr">
        <is>
          <t>(주)바로저축은행</t>
        </is>
      </c>
      <c r="F2449" s="3" t="inlineStr">
        <is>
          <t>특별관계자</t>
        </is>
      </c>
      <c r="G2449" s="3" t="inlineStr">
        <is>
          <t>기타(-), 행사가액조정</t>
        </is>
      </c>
      <c r="H2449" s="17" t="n">
        <v>-9500000</v>
      </c>
      <c r="I2449" s="6" t="n">
        <v>13682</v>
      </c>
      <c r="J2449" s="6" t="inlineStr"/>
      <c r="K2449" s="16" t="n">
        <v>2</v>
      </c>
      <c r="L2449" s="2" t="inlineStr">
        <is>
          <t>20260602000553</t>
        </is>
      </c>
      <c r="M2449" s="8">
        <f>HYPERLINK("https://dart.fss.or.kr/dsaf001/main.do?rcpNo=20260602000553", "공시열람")</f>
        <v/>
      </c>
    </row>
    <row r="2450" ht="22" customHeight="1">
      <c r="A2450" s="2" t="inlineStr">
        <is>
          <t>2026-06-02</t>
        </is>
      </c>
      <c r="B2450" s="3" t="inlineStr">
        <is>
          <t>디에이테크놀로지</t>
        </is>
      </c>
      <c r="C2450" s="2" t="inlineStr">
        <is>
          <t>196490</t>
        </is>
      </c>
      <c r="D2450" s="2" t="inlineStr">
        <is>
          <t>대량보유</t>
        </is>
      </c>
      <c r="E2450" s="3" t="inlineStr">
        <is>
          <t>바로에프앤대부(주)</t>
        </is>
      </c>
      <c r="F2450" s="3" t="inlineStr">
        <is>
          <t>특별관계자</t>
        </is>
      </c>
      <c r="G2450" s="3" t="inlineStr">
        <is>
          <t>기타(-), 행사가액조정</t>
        </is>
      </c>
      <c r="H2450" s="17" t="n">
        <v>-1000000</v>
      </c>
      <c r="I2450" s="6" t="n">
        <v>13680</v>
      </c>
      <c r="J2450" s="6" t="inlineStr"/>
      <c r="K2450" s="16" t="n">
        <v>2</v>
      </c>
      <c r="L2450" s="2" t="inlineStr">
        <is>
          <t>20260602000553</t>
        </is>
      </c>
      <c r="M2450" s="8">
        <f>HYPERLINK("https://dart.fss.or.kr/dsaf001/main.do?rcpNo=20260602000553", "공시열람")</f>
        <v/>
      </c>
    </row>
    <row r="2451" ht="22" customHeight="1">
      <c r="A2451" s="2" t="inlineStr">
        <is>
          <t>2026-06-02</t>
        </is>
      </c>
      <c r="B2451" s="3" t="inlineStr">
        <is>
          <t>하나마이크론</t>
        </is>
      </c>
      <c r="C2451" s="2" t="inlineStr">
        <is>
          <t>067310</t>
        </is>
      </c>
      <c r="D2451" s="2" t="inlineStr">
        <is>
          <t>대량보유</t>
        </is>
      </c>
      <c r="E2451" s="3" t="inlineStr">
        <is>
          <t>최창호</t>
        </is>
      </c>
      <c r="F2451" s="3" t="inlineStr">
        <is>
          <t>특별관계자</t>
        </is>
      </c>
      <c r="G2451" s="3" t="inlineStr">
        <is>
          <t>장내매도(-)</t>
        </is>
      </c>
      <c r="H2451" s="17" t="n">
        <v>-80000</v>
      </c>
      <c r="I2451" s="6" t="n">
        <v>40159</v>
      </c>
      <c r="J2451" s="6" t="n">
        <v>9991667</v>
      </c>
      <c r="K2451" s="16" t="n">
        <v>26</v>
      </c>
      <c r="L2451" s="2" t="inlineStr">
        <is>
          <t>20260602000551</t>
        </is>
      </c>
      <c r="M2451" s="8">
        <f>HYPERLINK("https://dart.fss.or.kr/dsaf001/main.do?rcpNo=20260602000551", "공시열람")</f>
        <v/>
      </c>
    </row>
    <row r="2452" ht="22" customHeight="1">
      <c r="A2452" s="2" t="inlineStr">
        <is>
          <t>2026-06-02</t>
        </is>
      </c>
      <c r="B2452" s="3" t="inlineStr">
        <is>
          <t>하나마이크론</t>
        </is>
      </c>
      <c r="C2452" s="2" t="inlineStr">
        <is>
          <t>067310</t>
        </is>
      </c>
      <c r="D2452" s="2" t="inlineStr">
        <is>
          <t>대량보유</t>
        </is>
      </c>
      <c r="E2452" s="3" t="inlineStr">
        <is>
          <t>이동철</t>
        </is>
      </c>
      <c r="F2452" s="3" t="inlineStr">
        <is>
          <t>특별관계자</t>
        </is>
      </c>
      <c r="G2452" s="3" t="inlineStr">
        <is>
          <t>장내매도(-)</t>
        </is>
      </c>
      <c r="H2452" s="17" t="n">
        <v>-80002</v>
      </c>
      <c r="I2452" s="6" t="n">
        <v>55032</v>
      </c>
      <c r="J2452" s="6" t="n">
        <v>70000</v>
      </c>
      <c r="K2452" s="16" t="n">
        <v>26</v>
      </c>
      <c r="L2452" s="2" t="inlineStr">
        <is>
          <t>20260602000551</t>
        </is>
      </c>
      <c r="M2452" s="8">
        <f>HYPERLINK("https://dart.fss.or.kr/dsaf001/main.do?rcpNo=20260602000551", "공시열람")</f>
        <v/>
      </c>
    </row>
    <row r="2453" ht="22" customHeight="1">
      <c r="A2453" s="2" t="inlineStr">
        <is>
          <t>2026-06-02</t>
        </is>
      </c>
      <c r="B2453" s="3" t="inlineStr">
        <is>
          <t>하나마이크론</t>
        </is>
      </c>
      <c r="C2453" s="2" t="inlineStr">
        <is>
          <t>067310</t>
        </is>
      </c>
      <c r="D2453" s="2" t="inlineStr">
        <is>
          <t>대량보유</t>
        </is>
      </c>
      <c r="E2453" s="3" t="inlineStr">
        <is>
          <t>김진석</t>
        </is>
      </c>
      <c r="F2453" s="3" t="inlineStr">
        <is>
          <t>특별관계자</t>
        </is>
      </c>
      <c r="G2453" s="3" t="inlineStr">
        <is>
          <t>장내매도(-), 주식매수선택권행사(-), 주식매수선택권행사(+)</t>
        </is>
      </c>
      <c r="H2453" s="17" t="n">
        <v>-5200</v>
      </c>
      <c r="I2453" s="6" t="n">
        <v>32532</v>
      </c>
      <c r="J2453" s="6" t="n">
        <v>5200</v>
      </c>
      <c r="K2453" s="16" t="n">
        <v>26</v>
      </c>
      <c r="L2453" s="2" t="inlineStr">
        <is>
          <t>20260602000551</t>
        </is>
      </c>
      <c r="M2453" s="8">
        <f>HYPERLINK("https://dart.fss.or.kr/dsaf001/main.do?rcpNo=20260602000551", "공시열람")</f>
        <v/>
      </c>
    </row>
    <row r="2454" ht="22" customHeight="1">
      <c r="A2454" s="2" t="inlineStr">
        <is>
          <t>2026-06-02</t>
        </is>
      </c>
      <c r="B2454" s="3" t="inlineStr">
        <is>
          <t>하나마이크론</t>
        </is>
      </c>
      <c r="C2454" s="2" t="inlineStr">
        <is>
          <t>067310</t>
        </is>
      </c>
      <c r="D2454" s="2" t="inlineStr">
        <is>
          <t>대량보유</t>
        </is>
      </c>
      <c r="E2454" s="3" t="inlineStr">
        <is>
          <t>이웅희</t>
        </is>
      </c>
      <c r="F2454" s="3" t="inlineStr">
        <is>
          <t>특별관계자</t>
        </is>
      </c>
      <c r="G2454" s="3" t="inlineStr">
        <is>
          <t>주식매수선택권행사(-), 주식매수선택권행사(+)</t>
        </is>
      </c>
      <c r="H2454" s="6" t="inlineStr"/>
      <c r="I2454" s="6" t="n">
        <v>16218</v>
      </c>
      <c r="J2454" s="6" t="n">
        <v>9000</v>
      </c>
      <c r="K2454" s="16" t="n">
        <v>26</v>
      </c>
      <c r="L2454" s="2" t="inlineStr">
        <is>
          <t>20260602000551</t>
        </is>
      </c>
      <c r="M2454" s="8">
        <f>HYPERLINK("https://dart.fss.or.kr/dsaf001/main.do?rcpNo=20260602000551", "공시열람")</f>
        <v/>
      </c>
    </row>
    <row r="2455" ht="22" customHeight="1">
      <c r="A2455" s="2" t="inlineStr">
        <is>
          <t>2026-06-02</t>
        </is>
      </c>
      <c r="B2455" s="3" t="inlineStr">
        <is>
          <t>브이엠</t>
        </is>
      </c>
      <c r="C2455" s="2" t="inlineStr">
        <is>
          <t>089970</t>
        </is>
      </c>
      <c r="D2455" s="2" t="inlineStr">
        <is>
          <t>대량보유</t>
        </is>
      </c>
      <c r="E2455" s="3" t="inlineStr">
        <is>
          <t>J.P.MorganSecuritiesPLC</t>
        </is>
      </c>
      <c r="F2455" s="3" t="inlineStr">
        <is>
          <t>특별관계자</t>
        </is>
      </c>
      <c r="G2455" s="3" t="inlineStr">
        <is>
          <t>신규보고(+), 장내매수(+), 기타(+)</t>
        </is>
      </c>
      <c r="H2455" s="15" t="n">
        <v>1333706</v>
      </c>
      <c r="I2455" s="6" t="n">
        <v>61299</v>
      </c>
      <c r="J2455" s="6" t="n">
        <v>1333706</v>
      </c>
      <c r="K2455" s="16" t="n">
        <v>2</v>
      </c>
      <c r="L2455" s="2" t="inlineStr">
        <is>
          <t>20260602000528</t>
        </is>
      </c>
      <c r="M2455" s="8">
        <f>HYPERLINK("https://dart.fss.or.kr/dsaf001/main.do?rcpNo=20260602000528", "공시열람")</f>
        <v/>
      </c>
    </row>
    <row r="2456" ht="22" customHeight="1">
      <c r="A2456" s="2" t="inlineStr">
        <is>
          <t>2026-06-02</t>
        </is>
      </c>
      <c r="B2456" s="3" t="inlineStr">
        <is>
          <t>브이엠</t>
        </is>
      </c>
      <c r="C2456" s="2" t="inlineStr">
        <is>
          <t>089970</t>
        </is>
      </c>
      <c r="D2456" s="2" t="inlineStr">
        <is>
          <t>대량보유</t>
        </is>
      </c>
      <c r="E2456" s="3" t="inlineStr">
        <is>
          <t>J.P.MorganSecuritiesLLC</t>
        </is>
      </c>
      <c r="F2456" s="3" t="inlineStr">
        <is>
          <t>특별관계자</t>
        </is>
      </c>
      <c r="G2456" s="3" t="inlineStr">
        <is>
          <t>신규보고(+), 기타(-)</t>
        </is>
      </c>
      <c r="H2456" s="15" t="n">
        <v>5726</v>
      </c>
      <c r="I2456" s="6" t="inlineStr"/>
      <c r="J2456" s="6" t="n">
        <v>5726</v>
      </c>
      <c r="K2456" s="16" t="n">
        <v>2</v>
      </c>
      <c r="L2456" s="2" t="inlineStr">
        <is>
          <t>20260602000528</t>
        </is>
      </c>
      <c r="M2456" s="8">
        <f>HYPERLINK("https://dart.fss.or.kr/dsaf001/main.do?rcpNo=20260602000528", "공시열람")</f>
        <v/>
      </c>
    </row>
    <row r="2457" ht="22" customHeight="1">
      <c r="A2457" s="2" t="inlineStr">
        <is>
          <t>2026-06-02 (정정: 2026-06-05)</t>
        </is>
      </c>
      <c r="B2457" s="3" t="inlineStr">
        <is>
          <t>서진시스템</t>
        </is>
      </c>
      <c r="C2457" s="2" t="inlineStr">
        <is>
          <t>178320</t>
        </is>
      </c>
      <c r="D2457" s="2" t="inlineStr">
        <is>
          <t>대량보유</t>
        </is>
      </c>
      <c r="E2457" s="3" t="inlineStr">
        <is>
          <t>-</t>
        </is>
      </c>
      <c r="F2457" s="3" t="inlineStr">
        <is>
          <t>보고자</t>
        </is>
      </c>
      <c r="G2457" s="3" t="inlineStr">
        <is>
          <t>-</t>
        </is>
      </c>
      <c r="H2457" s="6" t="inlineStr"/>
      <c r="I2457" s="6" t="inlineStr"/>
      <c r="J2457" s="6" t="inlineStr"/>
      <c r="K2457" s="18" t="inlineStr"/>
      <c r="L2457" s="2" t="inlineStr">
        <is>
          <t>20260605900750</t>
        </is>
      </c>
      <c r="M2457" s="8">
        <f>HYPERLINK("https://dart.fss.or.kr/dsaf001/main.do?rcpNo=20260605900750", "공시열람")</f>
        <v/>
      </c>
    </row>
    <row r="2458" ht="22" customHeight="1">
      <c r="A2458" s="2" t="inlineStr">
        <is>
          <t>2026-06-02</t>
        </is>
      </c>
      <c r="B2458" s="3" t="inlineStr">
        <is>
          <t>링네트</t>
        </is>
      </c>
      <c r="C2458" s="2" t="inlineStr">
        <is>
          <t>042500</t>
        </is>
      </c>
      <c r="D2458" s="2" t="inlineStr">
        <is>
          <t>대량보유</t>
        </is>
      </c>
      <c r="E2458" s="3" t="inlineStr">
        <is>
          <t>링네트우리사주조합</t>
        </is>
      </c>
      <c r="F2458" s="3" t="inlineStr">
        <is>
          <t>특별관계자</t>
        </is>
      </c>
      <c r="G2458" s="3" t="inlineStr">
        <is>
          <t>기타(-)</t>
        </is>
      </c>
      <c r="H2458" s="17" t="n">
        <v>-5138</v>
      </c>
      <c r="I2458" s="6" t="inlineStr"/>
      <c r="J2458" s="6" t="n">
        <v>1429449</v>
      </c>
      <c r="K2458" s="16" t="n">
        <v>6.41</v>
      </c>
      <c r="L2458" s="2" t="inlineStr">
        <is>
          <t>20260602000513</t>
        </is>
      </c>
      <c r="M2458" s="8">
        <f>HYPERLINK("https://dart.fss.or.kr/dsaf001/main.do?rcpNo=20260602000513", "공시열람")</f>
        <v/>
      </c>
    </row>
    <row r="2459" ht="22" customHeight="1">
      <c r="A2459" s="2" t="inlineStr">
        <is>
          <t>2026-06-02</t>
        </is>
      </c>
      <c r="B2459" s="3" t="inlineStr">
        <is>
          <t>DKME</t>
        </is>
      </c>
      <c r="C2459" s="2" t="inlineStr">
        <is>
          <t>015590</t>
        </is>
      </c>
      <c r="D2459" s="2" t="inlineStr">
        <is>
          <t>대량보유</t>
        </is>
      </c>
      <c r="E2459" s="3" t="inlineStr">
        <is>
          <t>(주)울프</t>
        </is>
      </c>
      <c r="F2459" s="3" t="inlineStr">
        <is>
          <t>특별관계자</t>
        </is>
      </c>
      <c r="G2459" s="3" t="inlineStr">
        <is>
          <t>특별관계자의 주식담보대출 체결 확인으로 인한 계약내용 변경 보고</t>
        </is>
      </c>
      <c r="H2459" s="6" t="inlineStr"/>
      <c r="I2459" s="6" t="inlineStr"/>
      <c r="J2459" s="6" t="inlineStr"/>
      <c r="K2459" s="16" t="n">
        <v>5</v>
      </c>
      <c r="L2459" s="2" t="inlineStr">
        <is>
          <t>20260602000510</t>
        </is>
      </c>
      <c r="M2459" s="8">
        <f>HYPERLINK("https://dart.fss.or.kr/dsaf001/main.do?rcpNo=20260602000510", "공시열람")</f>
        <v/>
      </c>
    </row>
    <row r="2460" ht="22" customHeight="1">
      <c r="A2460" s="2" t="inlineStr">
        <is>
          <t>2026-06-02</t>
        </is>
      </c>
      <c r="B2460" s="3" t="inlineStr">
        <is>
          <t>코퍼스코리아</t>
        </is>
      </c>
      <c r="C2460" s="2" t="inlineStr">
        <is>
          <t>322780</t>
        </is>
      </c>
      <c r="D2460" s="2" t="inlineStr">
        <is>
          <t>대량보유</t>
        </is>
      </c>
      <c r="E2460" s="3" t="inlineStr">
        <is>
          <t>수성자산운용(주)</t>
        </is>
      </c>
      <c r="F2460" s="3" t="inlineStr">
        <is>
          <t>특별관계자</t>
        </is>
      </c>
      <c r="G2460" s="3" t="inlineStr">
        <is>
          <t>주식병합, 장외매도(-)</t>
        </is>
      </c>
      <c r="H2460" s="17" t="n">
        <v>-2282034</v>
      </c>
      <c r="I2460" s="6" t="n">
        <v>6305</v>
      </c>
      <c r="J2460" s="6" t="n">
        <v>450939</v>
      </c>
      <c r="K2460" s="16" t="n">
        <v>4.78</v>
      </c>
      <c r="L2460" s="2" t="inlineStr">
        <is>
          <t>20260602000504</t>
        </is>
      </c>
      <c r="M2460" s="8">
        <f>HYPERLINK("https://dart.fss.or.kr/dsaf001/main.do?rcpNo=20260602000504", "공시열람")</f>
        <v/>
      </c>
    </row>
    <row r="2461" ht="22" customHeight="1">
      <c r="A2461" s="2" t="inlineStr">
        <is>
          <t>2026-06-02</t>
        </is>
      </c>
      <c r="B2461" s="3" t="inlineStr">
        <is>
          <t>유니슨</t>
        </is>
      </c>
      <c r="C2461" s="2" t="inlineStr">
        <is>
          <t>018000</t>
        </is>
      </c>
      <c r="D2461" s="2" t="inlineStr">
        <is>
          <t>대량보유</t>
        </is>
      </c>
      <c r="E2461" s="3" t="inlineStr">
        <is>
          <t>명운산업개발(주)</t>
        </is>
      </c>
      <c r="F2461" s="3" t="inlineStr">
        <is>
          <t>특별관계자</t>
        </is>
      </c>
      <c r="G2461" s="3" t="inlineStr">
        <is>
          <t>행사가액조정</t>
        </is>
      </c>
      <c r="H2461" s="15" t="n">
        <v>7709457</v>
      </c>
      <c r="I2461" s="6" t="inlineStr"/>
      <c r="J2461" s="6" t="n">
        <v>32413793</v>
      </c>
      <c r="K2461" s="16" t="n">
        <v>6</v>
      </c>
      <c r="L2461" s="2" t="inlineStr">
        <is>
          <t>20260602000495</t>
        </is>
      </c>
      <c r="M2461" s="8">
        <f>HYPERLINK("https://dart.fss.or.kr/dsaf001/main.do?rcpNo=20260602000495", "공시열람")</f>
        <v/>
      </c>
    </row>
    <row r="2462" ht="22" customHeight="1">
      <c r="A2462" s="2" t="inlineStr">
        <is>
          <t>2026-06-02</t>
        </is>
      </c>
      <c r="B2462" s="3" t="inlineStr">
        <is>
          <t>유니슨</t>
        </is>
      </c>
      <c r="C2462" s="2" t="inlineStr">
        <is>
          <t>018000</t>
        </is>
      </c>
      <c r="D2462" s="2" t="inlineStr">
        <is>
          <t>대량보유</t>
        </is>
      </c>
      <c r="E2462" s="3" t="inlineStr">
        <is>
          <t>배건곤</t>
        </is>
      </c>
      <c r="F2462" s="3" t="inlineStr">
        <is>
          <t>특별관계자</t>
        </is>
      </c>
      <c r="G2462" s="3" t="inlineStr">
        <is>
          <t>주식매수선택권부여(+)</t>
        </is>
      </c>
      <c r="H2462" s="15" t="n">
        <v>55000</v>
      </c>
      <c r="I2462" s="6" t="n">
        <v>4221</v>
      </c>
      <c r="J2462" s="6" t="n">
        <v>55000</v>
      </c>
      <c r="K2462" s="16" t="n">
        <v>6</v>
      </c>
      <c r="L2462" s="2" t="inlineStr">
        <is>
          <t>20260602000495</t>
        </is>
      </c>
      <c r="M2462" s="8">
        <f>HYPERLINK("https://dart.fss.or.kr/dsaf001/main.do?rcpNo=20260602000495", "공시열람")</f>
        <v/>
      </c>
    </row>
    <row r="2463" ht="22" customHeight="1">
      <c r="A2463" s="2" t="inlineStr">
        <is>
          <t>2026-06-02</t>
        </is>
      </c>
      <c r="B2463" s="3" t="inlineStr">
        <is>
          <t>유니슨</t>
        </is>
      </c>
      <c r="C2463" s="2" t="inlineStr">
        <is>
          <t>018000</t>
        </is>
      </c>
      <c r="D2463" s="2" t="inlineStr">
        <is>
          <t>대량보유</t>
        </is>
      </c>
      <c r="E2463" s="3" t="inlineStr">
        <is>
          <t>조영기</t>
        </is>
      </c>
      <c r="F2463" s="3" t="inlineStr">
        <is>
          <t>특별관계자</t>
        </is>
      </c>
      <c r="G2463" s="3" t="inlineStr">
        <is>
          <t>주식매수선택권부여(+)</t>
        </is>
      </c>
      <c r="H2463" s="15" t="n">
        <v>20000</v>
      </c>
      <c r="I2463" s="6" t="n">
        <v>4221</v>
      </c>
      <c r="J2463" s="6" t="n">
        <v>20000</v>
      </c>
      <c r="K2463" s="16" t="n">
        <v>6</v>
      </c>
      <c r="L2463" s="2" t="inlineStr">
        <is>
          <t>20260602000495</t>
        </is>
      </c>
      <c r="M2463" s="8">
        <f>HYPERLINK("https://dart.fss.or.kr/dsaf001/main.do?rcpNo=20260602000495", "공시열람")</f>
        <v/>
      </c>
    </row>
    <row r="2464" ht="22" customHeight="1">
      <c r="A2464" s="2" t="inlineStr">
        <is>
          <t>2026-06-02</t>
        </is>
      </c>
      <c r="B2464" s="3" t="inlineStr">
        <is>
          <t>유니슨</t>
        </is>
      </c>
      <c r="C2464" s="2" t="inlineStr">
        <is>
          <t>018000</t>
        </is>
      </c>
      <c r="D2464" s="2" t="inlineStr">
        <is>
          <t>대량보유</t>
        </is>
      </c>
      <c r="E2464" s="3" t="inlineStr">
        <is>
          <t>석득원</t>
        </is>
      </c>
      <c r="F2464" s="3" t="inlineStr">
        <is>
          <t>특별관계자</t>
        </is>
      </c>
      <c r="G2464" s="3" t="inlineStr">
        <is>
          <t>주식매수선택권부여(+)</t>
        </is>
      </c>
      <c r="H2464" s="15" t="n">
        <v>15000</v>
      </c>
      <c r="I2464" s="6" t="n">
        <v>4221</v>
      </c>
      <c r="J2464" s="6" t="n">
        <v>15000</v>
      </c>
      <c r="K2464" s="16" t="n">
        <v>6</v>
      </c>
      <c r="L2464" s="2" t="inlineStr">
        <is>
          <t>20260602000495</t>
        </is>
      </c>
      <c r="M2464" s="8">
        <f>HYPERLINK("https://dart.fss.or.kr/dsaf001/main.do?rcpNo=20260602000495", "공시열람")</f>
        <v/>
      </c>
    </row>
    <row r="2465" ht="22" customHeight="1">
      <c r="A2465" s="2" t="inlineStr">
        <is>
          <t>2026-06-02</t>
        </is>
      </c>
      <c r="B2465" s="3" t="inlineStr">
        <is>
          <t>유니슨</t>
        </is>
      </c>
      <c r="C2465" s="2" t="inlineStr">
        <is>
          <t>018000</t>
        </is>
      </c>
      <c r="D2465" s="2" t="inlineStr">
        <is>
          <t>대량보유</t>
        </is>
      </c>
      <c r="E2465" s="3" t="inlineStr">
        <is>
          <t>김민호</t>
        </is>
      </c>
      <c r="F2465" s="3" t="inlineStr">
        <is>
          <t>특별관계자</t>
        </is>
      </c>
      <c r="G2465" s="3" t="inlineStr">
        <is>
          <t>주식매수선택권부여(+)</t>
        </is>
      </c>
      <c r="H2465" s="15" t="n">
        <v>15000</v>
      </c>
      <c r="I2465" s="6" t="n">
        <v>4221</v>
      </c>
      <c r="J2465" s="6" t="n">
        <v>15000</v>
      </c>
      <c r="K2465" s="16" t="n">
        <v>6</v>
      </c>
      <c r="L2465" s="2" t="inlineStr">
        <is>
          <t>20260602000495</t>
        </is>
      </c>
      <c r="M2465" s="8">
        <f>HYPERLINK("https://dart.fss.or.kr/dsaf001/main.do?rcpNo=20260602000495", "공시열람")</f>
        <v/>
      </c>
    </row>
    <row r="2466" ht="22" customHeight="1">
      <c r="A2466" s="2" t="inlineStr">
        <is>
          <t>2026-06-02</t>
        </is>
      </c>
      <c r="B2466" s="3" t="inlineStr">
        <is>
          <t>유니슨</t>
        </is>
      </c>
      <c r="C2466" s="2" t="inlineStr">
        <is>
          <t>018000</t>
        </is>
      </c>
      <c r="D2466" s="2" t="inlineStr">
        <is>
          <t>대량보유</t>
        </is>
      </c>
      <c r="E2466" s="3" t="inlineStr">
        <is>
          <t>조성훈</t>
        </is>
      </c>
      <c r="F2466" s="3" t="inlineStr">
        <is>
          <t>특별관계자</t>
        </is>
      </c>
      <c r="G2466" s="3" t="inlineStr">
        <is>
          <t>기타(+)</t>
        </is>
      </c>
      <c r="H2466" s="15" t="n">
        <v>13251</v>
      </c>
      <c r="I2466" s="6" t="inlineStr"/>
      <c r="J2466" s="6" t="n">
        <v>13251</v>
      </c>
      <c r="K2466" s="16" t="n">
        <v>6</v>
      </c>
      <c r="L2466" s="2" t="inlineStr">
        <is>
          <t>20260602000495</t>
        </is>
      </c>
      <c r="M2466" s="8">
        <f>HYPERLINK("https://dart.fss.or.kr/dsaf001/main.do?rcpNo=20260602000495", "공시열람")</f>
        <v/>
      </c>
    </row>
    <row r="2467" ht="22" customHeight="1">
      <c r="A2467" s="2" t="inlineStr">
        <is>
          <t>2026-06-02</t>
        </is>
      </c>
      <c r="B2467" s="3" t="inlineStr">
        <is>
          <t>플라즈맵</t>
        </is>
      </c>
      <c r="C2467" s="2" t="inlineStr">
        <is>
          <t>405000</t>
        </is>
      </c>
      <c r="D2467" s="2" t="inlineStr">
        <is>
          <t>대량보유</t>
        </is>
      </c>
      <c r="E2467" s="3" t="inlineStr">
        <is>
          <t>임유봉</t>
        </is>
      </c>
      <c r="F2467" s="3" t="inlineStr">
        <is>
          <t>특별관계자</t>
        </is>
      </c>
      <c r="G2467" s="3" t="inlineStr">
        <is>
          <t>장내매도(-), 증여(-), 임원퇴임(-)</t>
        </is>
      </c>
      <c r="H2467" s="17" t="n">
        <v>-227659</v>
      </c>
      <c r="I2467" s="6" t="n">
        <v>0</v>
      </c>
      <c r="J2467" s="6" t="inlineStr"/>
      <c r="K2467" s="16" t="n">
        <v>9</v>
      </c>
      <c r="L2467" s="2" t="inlineStr">
        <is>
          <t>20260602000492</t>
        </is>
      </c>
      <c r="M2467" s="8">
        <f>HYPERLINK("https://dart.fss.or.kr/dsaf001/main.do?rcpNo=20260602000492", "공시열람")</f>
        <v/>
      </c>
    </row>
    <row r="2468" ht="22" customHeight="1">
      <c r="A2468" s="2" t="inlineStr">
        <is>
          <t>2026-06-02</t>
        </is>
      </c>
      <c r="B2468" s="3" t="inlineStr">
        <is>
          <t>엑셈</t>
        </is>
      </c>
      <c r="C2468" s="2" t="inlineStr">
        <is>
          <t>205100</t>
        </is>
      </c>
      <c r="D2468" s="2" t="inlineStr">
        <is>
          <t>대량보유</t>
        </is>
      </c>
      <c r="E2468" s="3" t="inlineStr">
        <is>
          <t>조종암</t>
        </is>
      </c>
      <c r="F2468" s="3" t="inlineStr">
        <is>
          <t>특별관계자</t>
        </is>
      </c>
      <c r="G2468" s="3" t="inlineStr">
        <is>
          <t>장내매수(+)</t>
        </is>
      </c>
      <c r="H2468" s="15" t="n">
        <v>208550</v>
      </c>
      <c r="I2468" s="6" t="n">
        <v>1791</v>
      </c>
      <c r="J2468" s="6" t="n">
        <v>26231061</v>
      </c>
      <c r="K2468" s="16" t="n">
        <v>2</v>
      </c>
      <c r="L2468" s="2" t="inlineStr">
        <is>
          <t>20260602000491</t>
        </is>
      </c>
      <c r="M2468" s="8">
        <f>HYPERLINK("https://dart.fss.or.kr/dsaf001/main.do?rcpNo=20260602000491", "공시열람")</f>
        <v/>
      </c>
    </row>
    <row r="2469" ht="22" customHeight="1">
      <c r="A2469" s="2" t="inlineStr">
        <is>
          <t>2026-06-02</t>
        </is>
      </c>
      <c r="B2469" s="3" t="inlineStr">
        <is>
          <t>현대사료</t>
        </is>
      </c>
      <c r="C2469" s="2" t="inlineStr">
        <is>
          <t>016790</t>
        </is>
      </c>
      <c r="D2469" s="2" t="inlineStr">
        <is>
          <t>대량보유</t>
        </is>
      </c>
      <c r="E2469" s="3" t="inlineStr">
        <is>
          <t>(주)비에스제이에스</t>
        </is>
      </c>
      <c r="F2469" s="3" t="inlineStr">
        <is>
          <t>보고자</t>
        </is>
      </c>
      <c r="G2469" s="3" t="inlineStr">
        <is>
          <t>보유주식 가압류 등 해제</t>
        </is>
      </c>
      <c r="H2469" s="6" t="inlineStr"/>
      <c r="I2469" s="6" t="inlineStr"/>
      <c r="J2469" s="6" t="n">
        <v>77296157</v>
      </c>
      <c r="K2469" s="16" t="n">
        <v>3</v>
      </c>
      <c r="L2469" s="2" t="inlineStr">
        <is>
          <t>20260602000482</t>
        </is>
      </c>
      <c r="M2469" s="8">
        <f>HYPERLINK("https://dart.fss.or.kr/dsaf001/main.do?rcpNo=20260602000482", "공시열람")</f>
        <v/>
      </c>
    </row>
    <row r="2470" ht="22" customHeight="1">
      <c r="A2470" s="2" t="inlineStr">
        <is>
          <t>2026-06-02</t>
        </is>
      </c>
      <c r="B2470" s="3" t="inlineStr">
        <is>
          <t>삼진제약</t>
        </is>
      </c>
      <c r="C2470" s="2" t="inlineStr">
        <is>
          <t>005500</t>
        </is>
      </c>
      <c r="D2470" s="2" t="inlineStr">
        <is>
          <t>대량보유</t>
        </is>
      </c>
      <c r="E2470" s="3" t="inlineStr">
        <is>
          <t>최승주</t>
        </is>
      </c>
      <c r="F2470" s="3" t="inlineStr">
        <is>
          <t>보고자</t>
        </is>
      </c>
      <c r="G2470" s="3" t="inlineStr">
        <is>
          <t>주요 계약 내용의 변경</t>
        </is>
      </c>
      <c r="H2470" s="6" t="inlineStr"/>
      <c r="I2470" s="6" t="inlineStr"/>
      <c r="J2470" s="6" t="n">
        <v>1375889</v>
      </c>
      <c r="K2470" s="16" t="n">
        <v>12</v>
      </c>
      <c r="L2470" s="2" t="inlineStr">
        <is>
          <t>20260602000481</t>
        </is>
      </c>
      <c r="M2470" s="8">
        <f>HYPERLINK("https://dart.fss.or.kr/dsaf001/main.do?rcpNo=20260602000481", "공시열람")</f>
        <v/>
      </c>
    </row>
    <row r="2471" ht="22" customHeight="1">
      <c r="A2471" s="2" t="inlineStr">
        <is>
          <t>2026-06-02</t>
        </is>
      </c>
      <c r="B2471" s="3" t="inlineStr">
        <is>
          <t>에이직랜드</t>
        </is>
      </c>
      <c r="C2471" s="2" t="inlineStr">
        <is>
          <t>445090</t>
        </is>
      </c>
      <c r="D2471" s="2" t="inlineStr">
        <is>
          <t>대량보유</t>
        </is>
      </c>
      <c r="E2471" s="3" t="inlineStr">
        <is>
          <t>이종민</t>
        </is>
      </c>
      <c r="F2471" s="3" t="inlineStr">
        <is>
          <t>보고자</t>
        </is>
      </c>
      <c r="G2471" s="3" t="inlineStr">
        <is>
          <t>- 주식담보대출 신규 및 연장</t>
        </is>
      </c>
      <c r="H2471" s="6" t="inlineStr"/>
      <c r="I2471" s="6" t="inlineStr"/>
      <c r="J2471" s="6" t="n">
        <v>3061541</v>
      </c>
      <c r="K2471" s="16" t="n">
        <v>3</v>
      </c>
      <c r="L2471" s="2" t="inlineStr">
        <is>
          <t>20260602000480</t>
        </is>
      </c>
      <c r="M2471" s="8">
        <f>HYPERLINK("https://dart.fss.or.kr/dsaf001/main.do?rcpNo=20260602000480", "공시열람")</f>
        <v/>
      </c>
    </row>
    <row r="2472" ht="22" customHeight="1">
      <c r="A2472" s="2" t="inlineStr">
        <is>
          <t>2026-06-02</t>
        </is>
      </c>
      <c r="B2472" s="3" t="inlineStr">
        <is>
          <t>유나이티드</t>
        </is>
      </c>
      <c r="C2472" s="2" t="inlineStr">
        <is>
          <t>033270</t>
        </is>
      </c>
      <c r="D2472" s="2" t="inlineStr">
        <is>
          <t>대량보유</t>
        </is>
      </c>
      <c r="E2472" s="3" t="inlineStr">
        <is>
          <t>김성환</t>
        </is>
      </c>
      <c r="F2472" s="3" t="inlineStr">
        <is>
          <t>특별관계자</t>
        </is>
      </c>
      <c r="G2472" s="3" t="inlineStr">
        <is>
          <t>장내매도(-)</t>
        </is>
      </c>
      <c r="H2472" s="17" t="n">
        <v>-42465</v>
      </c>
      <c r="I2472" s="6" t="n">
        <v>19289</v>
      </c>
      <c r="J2472" s="6" t="inlineStr"/>
      <c r="K2472" s="16" t="n">
        <v>15</v>
      </c>
      <c r="L2472" s="2" t="inlineStr">
        <is>
          <t>20260602000476</t>
        </is>
      </c>
      <c r="M2472" s="8">
        <f>HYPERLINK("https://dart.fss.or.kr/dsaf001/main.do?rcpNo=20260602000476", "공시열람")</f>
        <v/>
      </c>
    </row>
    <row r="2473" ht="22" customHeight="1">
      <c r="A2473" s="2" t="inlineStr">
        <is>
          <t>2026-06-02</t>
        </is>
      </c>
      <c r="B2473" s="3" t="inlineStr">
        <is>
          <t>유나이티드</t>
        </is>
      </c>
      <c r="C2473" s="2" t="inlineStr">
        <is>
          <t>033270</t>
        </is>
      </c>
      <c r="D2473" s="2" t="inlineStr">
        <is>
          <t>임원보고</t>
        </is>
      </c>
      <c r="E2473" s="3" t="inlineStr">
        <is>
          <t>-</t>
        </is>
      </c>
      <c r="F2473" s="3" t="inlineStr">
        <is>
          <t>-</t>
        </is>
      </c>
      <c r="G2473" s="3" t="inlineStr">
        <is>
          <t>-</t>
        </is>
      </c>
      <c r="H2473" s="6" t="inlineStr"/>
      <c r="I2473" s="6" t="inlineStr"/>
      <c r="J2473" s="6" t="inlineStr"/>
      <c r="K2473" s="16" t="n">
        <v>12</v>
      </c>
      <c r="L2473" s="2" t="inlineStr">
        <is>
          <t>20260602800742</t>
        </is>
      </c>
      <c r="M2473" s="8">
        <f>HYPERLINK("https://dart.fss.or.kr/dsaf001/main.do?rcpNo=20260602800742", "공시열람")</f>
        <v/>
      </c>
    </row>
    <row r="2474" ht="22" customHeight="1">
      <c r="A2474" s="2" t="inlineStr">
        <is>
          <t>2026-06-02</t>
        </is>
      </c>
      <c r="B2474" s="3" t="inlineStr">
        <is>
          <t>하나제약</t>
        </is>
      </c>
      <c r="C2474" s="2" t="inlineStr">
        <is>
          <t>293480</t>
        </is>
      </c>
      <c r="D2474" s="2" t="inlineStr">
        <is>
          <t>임원보고</t>
        </is>
      </c>
      <c r="E2474" s="3" t="inlineStr">
        <is>
          <t>-</t>
        </is>
      </c>
      <c r="F2474" s="3" t="inlineStr">
        <is>
          <t>-</t>
        </is>
      </c>
      <c r="G2474" s="3" t="inlineStr">
        <is>
          <t>-</t>
        </is>
      </c>
      <c r="H2474" s="6" t="inlineStr"/>
      <c r="I2474" s="6" t="inlineStr"/>
      <c r="J2474" s="6" t="inlineStr"/>
      <c r="K2474" s="16" t="n">
        <v>12</v>
      </c>
      <c r="L2474" s="2" t="inlineStr">
        <is>
          <t>20260602800738</t>
        </is>
      </c>
      <c r="M2474" s="8">
        <f>HYPERLINK("https://dart.fss.or.kr/dsaf001/main.do?rcpNo=20260602800738", "공시열람")</f>
        <v/>
      </c>
    </row>
    <row r="2475" ht="22" customHeight="1">
      <c r="A2475" s="2" t="inlineStr">
        <is>
          <t>2026-06-02</t>
        </is>
      </c>
      <c r="B2475" s="3" t="inlineStr">
        <is>
          <t>자람테크놀로지</t>
        </is>
      </c>
      <c r="C2475" s="2" t="inlineStr">
        <is>
          <t>389020</t>
        </is>
      </c>
      <c r="D2475" s="2" t="inlineStr">
        <is>
          <t>대량보유</t>
        </is>
      </c>
      <c r="E2475" s="3" t="inlineStr">
        <is>
          <t>백준현</t>
        </is>
      </c>
      <c r="F2475" s="3" t="inlineStr">
        <is>
          <t>보고자</t>
        </is>
      </c>
      <c r="G2475" s="3" t="inlineStr">
        <is>
          <t>보고자 및 특별관계자의 주식담보대출 연장에 따른 변경 보고</t>
        </is>
      </c>
      <c r="H2475" s="6" t="inlineStr"/>
      <c r="I2475" s="6" t="inlineStr"/>
      <c r="J2475" s="6" t="n">
        <v>3573400</v>
      </c>
      <c r="K2475" s="16" t="n">
        <v>4</v>
      </c>
      <c r="L2475" s="2" t="inlineStr">
        <is>
          <t>20260602000467</t>
        </is>
      </c>
      <c r="M2475" s="8">
        <f>HYPERLINK("https://dart.fss.or.kr/dsaf001/main.do?rcpNo=20260602000467", "공시열람")</f>
        <v/>
      </c>
    </row>
    <row r="2476" ht="22" customHeight="1">
      <c r="A2476" s="2" t="inlineStr">
        <is>
          <t>2026-06-02</t>
        </is>
      </c>
      <c r="B2476" s="3" t="inlineStr">
        <is>
          <t>HC보광산업</t>
        </is>
      </c>
      <c r="C2476" s="2" t="inlineStr">
        <is>
          <t>225530</t>
        </is>
      </c>
      <c r="D2476" s="2" t="inlineStr">
        <is>
          <t>대량보유</t>
        </is>
      </c>
      <c r="E2476" s="3" t="inlineStr">
        <is>
          <t>에이치씨파트너스(주)</t>
        </is>
      </c>
      <c r="F2476" s="3" t="inlineStr">
        <is>
          <t>특별관계자</t>
        </is>
      </c>
      <c r="G2476" s="3" t="inlineStr">
        <is>
          <t>장내매수(+)</t>
        </is>
      </c>
      <c r="H2476" s="15" t="n">
        <v>850</v>
      </c>
      <c r="I2476" s="6" t="n">
        <v>2720</v>
      </c>
      <c r="J2476" s="6" t="n">
        <v>925538</v>
      </c>
      <c r="K2476" s="16" t="n">
        <v>10</v>
      </c>
      <c r="L2476" s="2" t="inlineStr">
        <is>
          <t>20260602000466</t>
        </is>
      </c>
      <c r="M2476" s="8">
        <f>HYPERLINK("https://dart.fss.or.kr/dsaf001/main.do?rcpNo=20260602000466", "공시열람")</f>
        <v/>
      </c>
    </row>
    <row r="2477" ht="22" customHeight="1">
      <c r="A2477" s="2" t="inlineStr">
        <is>
          <t>2026-06-02</t>
        </is>
      </c>
      <c r="B2477" s="3" t="inlineStr">
        <is>
          <t>아이에스동서</t>
        </is>
      </c>
      <c r="C2477" s="2" t="inlineStr">
        <is>
          <t>010780</t>
        </is>
      </c>
      <c r="D2477" s="2" t="inlineStr">
        <is>
          <t>대량보유</t>
        </is>
      </c>
      <c r="E2477" s="3" t="inlineStr">
        <is>
          <t>권혁운</t>
        </is>
      </c>
      <c r="F2477" s="3" t="inlineStr">
        <is>
          <t>보고자</t>
        </is>
      </c>
      <c r="G2477" s="3" t="inlineStr">
        <is>
          <t>보유주식등에 관한 계약 변경</t>
        </is>
      </c>
      <c r="H2477" s="6" t="inlineStr"/>
      <c r="I2477" s="6" t="inlineStr"/>
      <c r="J2477" s="6" t="n">
        <v>16871628</v>
      </c>
      <c r="K2477" s="16" t="n">
        <v>7</v>
      </c>
      <c r="L2477" s="2" t="inlineStr">
        <is>
          <t>20260602000461</t>
        </is>
      </c>
      <c r="M2477" s="8">
        <f>HYPERLINK("https://dart.fss.or.kr/dsaf001/main.do?rcpNo=20260602000461", "공시열람")</f>
        <v/>
      </c>
    </row>
    <row r="2478" ht="22" customHeight="1">
      <c r="A2478" s="2" t="inlineStr">
        <is>
          <t>2026-06-02</t>
        </is>
      </c>
      <c r="B2478" s="3" t="inlineStr">
        <is>
          <t>보해양조</t>
        </is>
      </c>
      <c r="C2478" s="2" t="inlineStr">
        <is>
          <t>000890</t>
        </is>
      </c>
      <c r="D2478" s="2" t="inlineStr">
        <is>
          <t>임원보고</t>
        </is>
      </c>
      <c r="E2478" s="3" t="inlineStr">
        <is>
          <t>-</t>
        </is>
      </c>
      <c r="F2478" s="3" t="inlineStr">
        <is>
          <t>-</t>
        </is>
      </c>
      <c r="G2478" s="3" t="inlineStr">
        <is>
          <t>-</t>
        </is>
      </c>
      <c r="H2478" s="6" t="inlineStr"/>
      <c r="I2478" s="6" t="inlineStr"/>
      <c r="J2478" s="6" t="inlineStr"/>
      <c r="K2478" s="16" t="n">
        <v>12</v>
      </c>
      <c r="L2478" s="2" t="inlineStr">
        <is>
          <t>20260602800726</t>
        </is>
      </c>
      <c r="M2478" s="8">
        <f>HYPERLINK("https://dart.fss.or.kr/dsaf001/main.do?rcpNo=20260602800726", "공시열람")</f>
        <v/>
      </c>
    </row>
    <row r="2479" ht="22" customHeight="1">
      <c r="A2479" s="2" t="inlineStr">
        <is>
          <t>2026-06-02</t>
        </is>
      </c>
      <c r="B2479" s="3" t="inlineStr">
        <is>
          <t>파버나인</t>
        </is>
      </c>
      <c r="C2479" s="2" t="inlineStr">
        <is>
          <t>177830</t>
        </is>
      </c>
      <c r="D2479" s="2" t="inlineStr">
        <is>
          <t>대량보유</t>
        </is>
      </c>
      <c r="E2479" s="3" t="inlineStr">
        <is>
          <t>이제훈</t>
        </is>
      </c>
      <c r="F2479" s="3" t="inlineStr">
        <is>
          <t>보고자</t>
        </is>
      </c>
      <c r="G2479" s="3" t="inlineStr">
        <is>
          <t>주식담보대출 일부 상환 및 만기 연장</t>
        </is>
      </c>
      <c r="H2479" s="6" t="inlineStr"/>
      <c r="I2479" s="6" t="inlineStr"/>
      <c r="J2479" s="6" t="n">
        <v>3738862</v>
      </c>
      <c r="K2479" s="16" t="n">
        <v>1</v>
      </c>
      <c r="L2479" s="2" t="inlineStr">
        <is>
          <t>20260602000459</t>
        </is>
      </c>
      <c r="M2479" s="8">
        <f>HYPERLINK("https://dart.fss.or.kr/dsaf001/main.do?rcpNo=20260602000459", "공시열람")</f>
        <v/>
      </c>
    </row>
    <row r="2480" ht="22" customHeight="1">
      <c r="A2480" s="2" t="inlineStr">
        <is>
          <t>2026-06-02</t>
        </is>
      </c>
      <c r="B2480" s="3" t="inlineStr">
        <is>
          <t>코아시아</t>
        </is>
      </c>
      <c r="C2480" s="2" t="inlineStr">
        <is>
          <t>045970</t>
        </is>
      </c>
      <c r="D2480" s="2" t="inlineStr">
        <is>
          <t>대량보유</t>
        </is>
      </c>
      <c r="E2480" s="3" t="inlineStr">
        <is>
          <t>이희준</t>
        </is>
      </c>
      <c r="F2480" s="3" t="inlineStr">
        <is>
          <t>보고자</t>
        </is>
      </c>
      <c r="G2480" s="3" t="inlineStr">
        <is>
          <t>주식담보계약 만기 연장</t>
        </is>
      </c>
      <c r="H2480" s="6" t="inlineStr"/>
      <c r="I2480" s="6" t="inlineStr"/>
      <c r="J2480" s="6" t="n">
        <v>5153348</v>
      </c>
      <c r="K2480" s="16" t="n">
        <v>2</v>
      </c>
      <c r="L2480" s="2" t="inlineStr">
        <is>
          <t>20260602000442</t>
        </is>
      </c>
      <c r="M2480" s="8">
        <f>HYPERLINK("https://dart.fss.or.kr/dsaf001/main.do?rcpNo=20260602000442", "공시열람")</f>
        <v/>
      </c>
    </row>
    <row r="2481" ht="22" customHeight="1">
      <c r="A2481" s="2" t="inlineStr">
        <is>
          <t>2026-06-02</t>
        </is>
      </c>
      <c r="B2481" s="3" t="inlineStr">
        <is>
          <t>옵트론텍</t>
        </is>
      </c>
      <c r="C2481" s="2" t="inlineStr">
        <is>
          <t>082210</t>
        </is>
      </c>
      <c r="D2481" s="2" t="inlineStr">
        <is>
          <t>대량보유</t>
        </is>
      </c>
      <c r="E2481" s="3" t="inlineStr">
        <is>
          <t>CHOISANGHO,CORP.</t>
        </is>
      </c>
      <c r="F2481" s="3" t="inlineStr">
        <is>
          <t>특별관계자</t>
        </is>
      </c>
      <c r="G2481" s="3" t="inlineStr">
        <is>
          <t>CB인수(+)</t>
        </is>
      </c>
      <c r="H2481" s="15" t="n">
        <v>5202913</v>
      </c>
      <c r="I2481" s="6" t="n">
        <v>1922</v>
      </c>
      <c r="J2481" s="6" t="n">
        <v>11151480</v>
      </c>
      <c r="K2481" s="16" t="n">
        <v>27.52</v>
      </c>
      <c r="L2481" s="2" t="inlineStr">
        <is>
          <t>20260602000435</t>
        </is>
      </c>
      <c r="M2481" s="8">
        <f>HYPERLINK("https://dart.fss.or.kr/dsaf001/main.do?rcpNo=20260602000435", "공시열람")</f>
        <v/>
      </c>
    </row>
    <row r="2482" ht="22" customHeight="1">
      <c r="A2482" s="2" t="inlineStr">
        <is>
          <t>2026-06-02</t>
        </is>
      </c>
      <c r="B2482" s="3" t="inlineStr">
        <is>
          <t>옵트론텍</t>
        </is>
      </c>
      <c r="C2482" s="2" t="inlineStr">
        <is>
          <t>082210</t>
        </is>
      </c>
      <c r="D2482" s="2" t="inlineStr">
        <is>
          <t>대량보유</t>
        </is>
      </c>
      <c r="E2482" s="3" t="inlineStr">
        <is>
          <t>정대현</t>
        </is>
      </c>
      <c r="F2482" s="3" t="inlineStr">
        <is>
          <t>특별관계자</t>
        </is>
      </c>
      <c r="G2482" s="3" t="inlineStr">
        <is>
          <t>특별관계해소(-)</t>
        </is>
      </c>
      <c r="H2482" s="17" t="n">
        <v>-10000</v>
      </c>
      <c r="I2482" s="6" t="inlineStr"/>
      <c r="J2482" s="6" t="inlineStr"/>
      <c r="K2482" s="16" t="n">
        <v>27.52</v>
      </c>
      <c r="L2482" s="2" t="inlineStr">
        <is>
          <t>20260602000435</t>
        </is>
      </c>
      <c r="M2482" s="8">
        <f>HYPERLINK("https://dart.fss.or.kr/dsaf001/main.do?rcpNo=20260602000435", "공시열람")</f>
        <v/>
      </c>
    </row>
    <row r="2483" ht="22" customHeight="1">
      <c r="A2483" s="2" t="inlineStr">
        <is>
          <t>2026-06-02</t>
        </is>
      </c>
      <c r="B2483" s="3" t="inlineStr">
        <is>
          <t>이수화학</t>
        </is>
      </c>
      <c r="C2483" s="2" t="inlineStr">
        <is>
          <t>005950</t>
        </is>
      </c>
      <c r="D2483" s="2" t="inlineStr">
        <is>
          <t>대량보유</t>
        </is>
      </c>
      <c r="E2483" s="3" t="inlineStr">
        <is>
          <t>(주)이수</t>
        </is>
      </c>
      <c r="F2483" s="3" t="inlineStr">
        <is>
          <t>보고자</t>
        </is>
      </c>
      <c r="G2483" s="3" t="inlineStr">
        <is>
          <t>보유주식에 관한 계약내용 변경 (차입금 연장)</t>
        </is>
      </c>
      <c r="H2483" s="6" t="inlineStr"/>
      <c r="I2483" s="6" t="inlineStr"/>
      <c r="J2483" s="6" t="n">
        <v>9924353</v>
      </c>
      <c r="K2483" s="16" t="n">
        <v>8</v>
      </c>
      <c r="L2483" s="2" t="inlineStr">
        <is>
          <t>20260602000427</t>
        </is>
      </c>
      <c r="M2483" s="8">
        <f>HYPERLINK("https://dart.fss.or.kr/dsaf001/main.do?rcpNo=20260602000427", "공시열람")</f>
        <v/>
      </c>
    </row>
    <row r="2484" ht="22" customHeight="1">
      <c r="A2484" s="2" t="inlineStr">
        <is>
          <t>2026-06-02</t>
        </is>
      </c>
      <c r="B2484" s="3" t="inlineStr">
        <is>
          <t>수성웹툰</t>
        </is>
      </c>
      <c r="C2484" s="2" t="inlineStr">
        <is>
          <t>084180</t>
        </is>
      </c>
      <c r="D2484" s="2" t="inlineStr">
        <is>
          <t>대량보유</t>
        </is>
      </c>
      <c r="E2484" s="3" t="inlineStr">
        <is>
          <t>주식회사테라핀</t>
        </is>
      </c>
      <c r="F2484" s="3" t="inlineStr">
        <is>
          <t>특별관계자</t>
        </is>
      </c>
      <c r="G2484" s="3" t="inlineStr">
        <is>
          <t>전환권등소멸(-)</t>
        </is>
      </c>
      <c r="H2484" s="17" t="n">
        <v>-335195</v>
      </c>
      <c r="I2484" s="6" t="inlineStr"/>
      <c r="J2484" s="6" t="inlineStr"/>
      <c r="K2484" s="16" t="n">
        <v>1</v>
      </c>
      <c r="L2484" s="2" t="inlineStr">
        <is>
          <t>20260602000417</t>
        </is>
      </c>
      <c r="M2484" s="8">
        <f>HYPERLINK("https://dart.fss.or.kr/dsaf001/main.do?rcpNo=20260602000417", "공시열람")</f>
        <v/>
      </c>
    </row>
    <row r="2485" ht="22" customHeight="1">
      <c r="A2485" s="2" t="inlineStr">
        <is>
          <t>2026-06-02</t>
        </is>
      </c>
      <c r="B2485" s="3" t="inlineStr">
        <is>
          <t>대호에이엘</t>
        </is>
      </c>
      <c r="C2485" s="2" t="inlineStr">
        <is>
          <t>069460</t>
        </is>
      </c>
      <c r="D2485" s="2" t="inlineStr">
        <is>
          <t>대량보유</t>
        </is>
      </c>
      <c r="E2485" s="3" t="inlineStr">
        <is>
          <t>이상인</t>
        </is>
      </c>
      <c r="F2485" s="3" t="inlineStr">
        <is>
          <t>특별관계자</t>
        </is>
      </c>
      <c r="G2485" s="3" t="inlineStr">
        <is>
          <t>신규보고(+)</t>
        </is>
      </c>
      <c r="H2485" s="15" t="n">
        <v>18094</v>
      </c>
      <c r="I2485" s="6" t="inlineStr"/>
      <c r="J2485" s="6" t="n">
        <v>18094</v>
      </c>
      <c r="K2485" s="16" t="n">
        <v>5.74</v>
      </c>
      <c r="L2485" s="2" t="inlineStr">
        <is>
          <t>20260602000409</t>
        </is>
      </c>
      <c r="M2485" s="8">
        <f>HYPERLINK("https://dart.fss.or.kr/dsaf001/main.do?rcpNo=20260602000409", "공시열람")</f>
        <v/>
      </c>
    </row>
    <row r="2486" ht="22" customHeight="1">
      <c r="A2486" s="2" t="inlineStr">
        <is>
          <t>2026-06-02</t>
        </is>
      </c>
      <c r="B2486" s="3" t="inlineStr">
        <is>
          <t>대호에이엘</t>
        </is>
      </c>
      <c r="C2486" s="2" t="inlineStr">
        <is>
          <t>069460</t>
        </is>
      </c>
      <c r="D2486" s="2" t="inlineStr">
        <is>
          <t>대량보유</t>
        </is>
      </c>
      <c r="E2486" s="3" t="inlineStr">
        <is>
          <t>박현영</t>
        </is>
      </c>
      <c r="F2486" s="3" t="inlineStr">
        <is>
          <t>특별관계자</t>
        </is>
      </c>
      <c r="G2486" s="3" t="inlineStr">
        <is>
          <t>신규보고(+)</t>
        </is>
      </c>
      <c r="H2486" s="15" t="n">
        <v>220</v>
      </c>
      <c r="I2486" s="6" t="inlineStr"/>
      <c r="J2486" s="6" t="n">
        <v>220</v>
      </c>
      <c r="K2486" s="16" t="n">
        <v>5.74</v>
      </c>
      <c r="L2486" s="2" t="inlineStr">
        <is>
          <t>20260602000409</t>
        </is>
      </c>
      <c r="M2486" s="8">
        <f>HYPERLINK("https://dart.fss.or.kr/dsaf001/main.do?rcpNo=20260602000409", "공시열람")</f>
        <v/>
      </c>
    </row>
    <row r="2487" ht="22" customHeight="1">
      <c r="A2487" s="2" t="inlineStr">
        <is>
          <t>2026-06-02</t>
        </is>
      </c>
      <c r="B2487" s="3" t="inlineStr">
        <is>
          <t>대호에이엘</t>
        </is>
      </c>
      <c r="C2487" s="2" t="inlineStr">
        <is>
          <t>069460</t>
        </is>
      </c>
      <c r="D2487" s="2" t="inlineStr">
        <is>
          <t>대량보유</t>
        </is>
      </c>
      <c r="E2487" s="3" t="inlineStr">
        <is>
          <t>이창용</t>
        </is>
      </c>
      <c r="F2487" s="3" t="inlineStr">
        <is>
          <t>특별관계자</t>
        </is>
      </c>
      <c r="G2487" s="3" t="inlineStr">
        <is>
          <t>신규보고(+)</t>
        </is>
      </c>
      <c r="H2487" s="15" t="n">
        <v>1640</v>
      </c>
      <c r="I2487" s="6" t="inlineStr"/>
      <c r="J2487" s="6" t="n">
        <v>1640</v>
      </c>
      <c r="K2487" s="16" t="n">
        <v>5.74</v>
      </c>
      <c r="L2487" s="2" t="inlineStr">
        <is>
          <t>20260602000409</t>
        </is>
      </c>
      <c r="M2487" s="8">
        <f>HYPERLINK("https://dart.fss.or.kr/dsaf001/main.do?rcpNo=20260602000409", "공시열람")</f>
        <v/>
      </c>
    </row>
    <row r="2488" ht="22" customHeight="1">
      <c r="A2488" s="2" t="inlineStr">
        <is>
          <t>2026-06-02</t>
        </is>
      </c>
      <c r="B2488" s="3" t="inlineStr">
        <is>
          <t>대호에이엘</t>
        </is>
      </c>
      <c r="C2488" s="2" t="inlineStr">
        <is>
          <t>069460</t>
        </is>
      </c>
      <c r="D2488" s="2" t="inlineStr">
        <is>
          <t>대량보유</t>
        </is>
      </c>
      <c r="E2488" s="3" t="inlineStr">
        <is>
          <t>이봉우</t>
        </is>
      </c>
      <c r="F2488" s="3" t="inlineStr">
        <is>
          <t>특별관계자</t>
        </is>
      </c>
      <c r="G2488" s="3" t="inlineStr">
        <is>
          <t>신규보고(+)</t>
        </is>
      </c>
      <c r="H2488" s="15" t="n">
        <v>9736</v>
      </c>
      <c r="I2488" s="6" t="inlineStr"/>
      <c r="J2488" s="6" t="n">
        <v>9736</v>
      </c>
      <c r="K2488" s="16" t="n">
        <v>5.74</v>
      </c>
      <c r="L2488" s="2" t="inlineStr">
        <is>
          <t>20260602000409</t>
        </is>
      </c>
      <c r="M2488" s="8">
        <f>HYPERLINK("https://dart.fss.or.kr/dsaf001/main.do?rcpNo=20260602000409", "공시열람")</f>
        <v/>
      </c>
    </row>
    <row r="2489" ht="22" customHeight="1">
      <c r="A2489" s="2" t="inlineStr">
        <is>
          <t>2026-06-02</t>
        </is>
      </c>
      <c r="B2489" s="3" t="inlineStr">
        <is>
          <t>대호에이엘</t>
        </is>
      </c>
      <c r="C2489" s="2" t="inlineStr">
        <is>
          <t>069460</t>
        </is>
      </c>
      <c r="D2489" s="2" t="inlineStr">
        <is>
          <t>대량보유</t>
        </is>
      </c>
      <c r="E2489" s="3" t="inlineStr">
        <is>
          <t>김상일</t>
        </is>
      </c>
      <c r="F2489" s="3" t="inlineStr">
        <is>
          <t>특별관계자</t>
        </is>
      </c>
      <c r="G2489" s="3" t="inlineStr">
        <is>
          <t>신규보고(+)</t>
        </is>
      </c>
      <c r="H2489" s="15" t="n">
        <v>2295</v>
      </c>
      <c r="I2489" s="6" t="inlineStr"/>
      <c r="J2489" s="6" t="n">
        <v>2295</v>
      </c>
      <c r="K2489" s="16" t="n">
        <v>5.74</v>
      </c>
      <c r="L2489" s="2" t="inlineStr">
        <is>
          <t>20260602000409</t>
        </is>
      </c>
      <c r="M2489" s="8">
        <f>HYPERLINK("https://dart.fss.or.kr/dsaf001/main.do?rcpNo=20260602000409", "공시열람")</f>
        <v/>
      </c>
    </row>
    <row r="2490" ht="22" customHeight="1">
      <c r="A2490" s="2" t="inlineStr">
        <is>
          <t>2026-06-02</t>
        </is>
      </c>
      <c r="B2490" s="3" t="inlineStr">
        <is>
          <t>대호에이엘</t>
        </is>
      </c>
      <c r="C2490" s="2" t="inlineStr">
        <is>
          <t>069460</t>
        </is>
      </c>
      <c r="D2490" s="2" t="inlineStr">
        <is>
          <t>대량보유</t>
        </is>
      </c>
      <c r="E2490" s="3" t="inlineStr">
        <is>
          <t>이동현</t>
        </is>
      </c>
      <c r="F2490" s="3" t="inlineStr">
        <is>
          <t>특별관계자</t>
        </is>
      </c>
      <c r="G2490" s="3" t="inlineStr">
        <is>
          <t>신규보고(+)</t>
        </is>
      </c>
      <c r="H2490" s="15" t="n">
        <v>2900</v>
      </c>
      <c r="I2490" s="6" t="inlineStr"/>
      <c r="J2490" s="6" t="n">
        <v>2900</v>
      </c>
      <c r="K2490" s="16" t="n">
        <v>5.74</v>
      </c>
      <c r="L2490" s="2" t="inlineStr">
        <is>
          <t>20260602000409</t>
        </is>
      </c>
      <c r="M2490" s="8">
        <f>HYPERLINK("https://dart.fss.or.kr/dsaf001/main.do?rcpNo=20260602000409", "공시열람")</f>
        <v/>
      </c>
    </row>
    <row r="2491" ht="22" customHeight="1">
      <c r="A2491" s="2" t="inlineStr">
        <is>
          <t>2026-06-02</t>
        </is>
      </c>
      <c r="B2491" s="3" t="inlineStr">
        <is>
          <t>대호에이엘</t>
        </is>
      </c>
      <c r="C2491" s="2" t="inlineStr">
        <is>
          <t>069460</t>
        </is>
      </c>
      <c r="D2491" s="2" t="inlineStr">
        <is>
          <t>대량보유</t>
        </is>
      </c>
      <c r="E2491" s="3" t="inlineStr">
        <is>
          <t>이재붕</t>
        </is>
      </c>
      <c r="F2491" s="3" t="inlineStr">
        <is>
          <t>특별관계자</t>
        </is>
      </c>
      <c r="G2491" s="3" t="inlineStr">
        <is>
          <t>신규보고(+)</t>
        </is>
      </c>
      <c r="H2491" s="15" t="n">
        <v>10000</v>
      </c>
      <c r="I2491" s="6" t="inlineStr"/>
      <c r="J2491" s="6" t="n">
        <v>10000</v>
      </c>
      <c r="K2491" s="16" t="n">
        <v>5.74</v>
      </c>
      <c r="L2491" s="2" t="inlineStr">
        <is>
          <t>20260602000409</t>
        </is>
      </c>
      <c r="M2491" s="8">
        <f>HYPERLINK("https://dart.fss.or.kr/dsaf001/main.do?rcpNo=20260602000409", "공시열람")</f>
        <v/>
      </c>
    </row>
    <row r="2492" ht="22" customHeight="1">
      <c r="A2492" s="2" t="inlineStr">
        <is>
          <t>2026-06-02</t>
        </is>
      </c>
      <c r="B2492" s="3" t="inlineStr">
        <is>
          <t>대호에이엘</t>
        </is>
      </c>
      <c r="C2492" s="2" t="inlineStr">
        <is>
          <t>069460</t>
        </is>
      </c>
      <c r="D2492" s="2" t="inlineStr">
        <is>
          <t>대량보유</t>
        </is>
      </c>
      <c r="E2492" s="3" t="inlineStr">
        <is>
          <t>박형광</t>
        </is>
      </c>
      <c r="F2492" s="3" t="inlineStr">
        <is>
          <t>특별관계자</t>
        </is>
      </c>
      <c r="G2492" s="3" t="inlineStr">
        <is>
          <t>신규보고(+)</t>
        </is>
      </c>
      <c r="H2492" s="15" t="n">
        <v>5024</v>
      </c>
      <c r="I2492" s="6" t="inlineStr"/>
      <c r="J2492" s="6" t="n">
        <v>5024</v>
      </c>
      <c r="K2492" s="16" t="n">
        <v>5.74</v>
      </c>
      <c r="L2492" s="2" t="inlineStr">
        <is>
          <t>20260602000409</t>
        </is>
      </c>
      <c r="M2492" s="8">
        <f>HYPERLINK("https://dart.fss.or.kr/dsaf001/main.do?rcpNo=20260602000409", "공시열람")</f>
        <v/>
      </c>
    </row>
    <row r="2493" ht="22" customHeight="1">
      <c r="A2493" s="2" t="inlineStr">
        <is>
          <t>2026-06-02</t>
        </is>
      </c>
      <c r="B2493" s="3" t="inlineStr">
        <is>
          <t>대호에이엘</t>
        </is>
      </c>
      <c r="C2493" s="2" t="inlineStr">
        <is>
          <t>069460</t>
        </is>
      </c>
      <c r="D2493" s="2" t="inlineStr">
        <is>
          <t>대량보유</t>
        </is>
      </c>
      <c r="E2493" s="3" t="inlineStr">
        <is>
          <t>한태이</t>
        </is>
      </c>
      <c r="F2493" s="3" t="inlineStr">
        <is>
          <t>특별관계자</t>
        </is>
      </c>
      <c r="G2493" s="3" t="inlineStr">
        <is>
          <t>신규보고(+)</t>
        </is>
      </c>
      <c r="H2493" s="15" t="n">
        <v>1601</v>
      </c>
      <c r="I2493" s="6" t="inlineStr"/>
      <c r="J2493" s="6" t="n">
        <v>1601</v>
      </c>
      <c r="K2493" s="16" t="n">
        <v>5.74</v>
      </c>
      <c r="L2493" s="2" t="inlineStr">
        <is>
          <t>20260602000409</t>
        </is>
      </c>
      <c r="M2493" s="8">
        <f>HYPERLINK("https://dart.fss.or.kr/dsaf001/main.do?rcpNo=20260602000409", "공시열람")</f>
        <v/>
      </c>
    </row>
    <row r="2494" ht="22" customHeight="1">
      <c r="A2494" s="2" t="inlineStr">
        <is>
          <t>2026-06-02</t>
        </is>
      </c>
      <c r="B2494" s="3" t="inlineStr">
        <is>
          <t>대호에이엘</t>
        </is>
      </c>
      <c r="C2494" s="2" t="inlineStr">
        <is>
          <t>069460</t>
        </is>
      </c>
      <c r="D2494" s="2" t="inlineStr">
        <is>
          <t>대량보유</t>
        </is>
      </c>
      <c r="E2494" s="3" t="inlineStr">
        <is>
          <t>김영진</t>
        </is>
      </c>
      <c r="F2494" s="3" t="inlineStr">
        <is>
          <t>특별관계자</t>
        </is>
      </c>
      <c r="G2494" s="3" t="inlineStr">
        <is>
          <t>신규보고(+)</t>
        </is>
      </c>
      <c r="H2494" s="15" t="n">
        <v>13707</v>
      </c>
      <c r="I2494" s="6" t="inlineStr"/>
      <c r="J2494" s="6" t="n">
        <v>13707</v>
      </c>
      <c r="K2494" s="16" t="n">
        <v>5.74</v>
      </c>
      <c r="L2494" s="2" t="inlineStr">
        <is>
          <t>20260602000409</t>
        </is>
      </c>
      <c r="M2494" s="8">
        <f>HYPERLINK("https://dart.fss.or.kr/dsaf001/main.do?rcpNo=20260602000409", "공시열람")</f>
        <v/>
      </c>
    </row>
    <row r="2495" ht="22" customHeight="1">
      <c r="A2495" s="2" t="inlineStr">
        <is>
          <t>2026-06-02</t>
        </is>
      </c>
      <c r="B2495" s="3" t="inlineStr">
        <is>
          <t>대호에이엘</t>
        </is>
      </c>
      <c r="C2495" s="2" t="inlineStr">
        <is>
          <t>069460</t>
        </is>
      </c>
      <c r="D2495" s="2" t="inlineStr">
        <is>
          <t>대량보유</t>
        </is>
      </c>
      <c r="E2495" s="3" t="inlineStr">
        <is>
          <t>이정미</t>
        </is>
      </c>
      <c r="F2495" s="3" t="inlineStr">
        <is>
          <t>특별관계자</t>
        </is>
      </c>
      <c r="G2495" s="3" t="inlineStr">
        <is>
          <t>신규보고(+)</t>
        </is>
      </c>
      <c r="H2495" s="15" t="n">
        <v>5600</v>
      </c>
      <c r="I2495" s="6" t="inlineStr"/>
      <c r="J2495" s="6" t="n">
        <v>5600</v>
      </c>
      <c r="K2495" s="16" t="n">
        <v>5.74</v>
      </c>
      <c r="L2495" s="2" t="inlineStr">
        <is>
          <t>20260602000409</t>
        </is>
      </c>
      <c r="M2495" s="8">
        <f>HYPERLINK("https://dart.fss.or.kr/dsaf001/main.do?rcpNo=20260602000409", "공시열람")</f>
        <v/>
      </c>
    </row>
    <row r="2496" ht="22" customHeight="1">
      <c r="A2496" s="2" t="inlineStr">
        <is>
          <t>2026-06-02</t>
        </is>
      </c>
      <c r="B2496" s="3" t="inlineStr">
        <is>
          <t>대호에이엘</t>
        </is>
      </c>
      <c r="C2496" s="2" t="inlineStr">
        <is>
          <t>069460</t>
        </is>
      </c>
      <c r="D2496" s="2" t="inlineStr">
        <is>
          <t>대량보유</t>
        </is>
      </c>
      <c r="E2496" s="3" t="inlineStr">
        <is>
          <t>김태진</t>
        </is>
      </c>
      <c r="F2496" s="3" t="inlineStr">
        <is>
          <t>특별관계자</t>
        </is>
      </c>
      <c r="G2496" s="3" t="inlineStr">
        <is>
          <t>신규보고(+)</t>
        </is>
      </c>
      <c r="H2496" s="15" t="n">
        <v>2000</v>
      </c>
      <c r="I2496" s="6" t="inlineStr"/>
      <c r="J2496" s="6" t="n">
        <v>2000</v>
      </c>
      <c r="K2496" s="16" t="n">
        <v>5.74</v>
      </c>
      <c r="L2496" s="2" t="inlineStr">
        <is>
          <t>20260602000409</t>
        </is>
      </c>
      <c r="M2496" s="8">
        <f>HYPERLINK("https://dart.fss.or.kr/dsaf001/main.do?rcpNo=20260602000409", "공시열람")</f>
        <v/>
      </c>
    </row>
    <row r="2497" ht="22" customHeight="1">
      <c r="A2497" s="2" t="inlineStr">
        <is>
          <t>2026-06-02</t>
        </is>
      </c>
      <c r="B2497" s="3" t="inlineStr">
        <is>
          <t>대호에이엘</t>
        </is>
      </c>
      <c r="C2497" s="2" t="inlineStr">
        <is>
          <t>069460</t>
        </is>
      </c>
      <c r="D2497" s="2" t="inlineStr">
        <is>
          <t>대량보유</t>
        </is>
      </c>
      <c r="E2497" s="3" t="inlineStr">
        <is>
          <t>유준선</t>
        </is>
      </c>
      <c r="F2497" s="3" t="inlineStr">
        <is>
          <t>특별관계자</t>
        </is>
      </c>
      <c r="G2497" s="3" t="inlineStr">
        <is>
          <t>신규보고(+)</t>
        </is>
      </c>
      <c r="H2497" s="15" t="n">
        <v>443</v>
      </c>
      <c r="I2497" s="6" t="inlineStr"/>
      <c r="J2497" s="6" t="n">
        <v>443</v>
      </c>
      <c r="K2497" s="16" t="n">
        <v>5.74</v>
      </c>
      <c r="L2497" s="2" t="inlineStr">
        <is>
          <t>20260602000409</t>
        </is>
      </c>
      <c r="M2497" s="8">
        <f>HYPERLINK("https://dart.fss.or.kr/dsaf001/main.do?rcpNo=20260602000409", "공시열람")</f>
        <v/>
      </c>
    </row>
    <row r="2498" ht="22" customHeight="1">
      <c r="A2498" s="2" t="inlineStr">
        <is>
          <t>2026-06-02</t>
        </is>
      </c>
      <c r="B2498" s="3" t="inlineStr">
        <is>
          <t>대호에이엘</t>
        </is>
      </c>
      <c r="C2498" s="2" t="inlineStr">
        <is>
          <t>069460</t>
        </is>
      </c>
      <c r="D2498" s="2" t="inlineStr">
        <is>
          <t>대량보유</t>
        </is>
      </c>
      <c r="E2498" s="3" t="inlineStr">
        <is>
          <t>양동찬</t>
        </is>
      </c>
      <c r="F2498" s="3" t="inlineStr">
        <is>
          <t>특별관계자</t>
        </is>
      </c>
      <c r="G2498" s="3" t="inlineStr">
        <is>
          <t>신규보고(+)</t>
        </is>
      </c>
      <c r="H2498" s="15" t="n">
        <v>12352</v>
      </c>
      <c r="I2498" s="6" t="inlineStr"/>
      <c r="J2498" s="6" t="n">
        <v>12352</v>
      </c>
      <c r="K2498" s="16" t="n">
        <v>5.74</v>
      </c>
      <c r="L2498" s="2" t="inlineStr">
        <is>
          <t>20260602000409</t>
        </is>
      </c>
      <c r="M2498" s="8">
        <f>HYPERLINK("https://dart.fss.or.kr/dsaf001/main.do?rcpNo=20260602000409", "공시열람")</f>
        <v/>
      </c>
    </row>
    <row r="2499" ht="22" customHeight="1">
      <c r="A2499" s="2" t="inlineStr">
        <is>
          <t>2026-06-02</t>
        </is>
      </c>
      <c r="B2499" s="3" t="inlineStr">
        <is>
          <t>대호에이엘</t>
        </is>
      </c>
      <c r="C2499" s="2" t="inlineStr">
        <is>
          <t>069460</t>
        </is>
      </c>
      <c r="D2499" s="2" t="inlineStr">
        <is>
          <t>대량보유</t>
        </is>
      </c>
      <c r="E2499" s="3" t="inlineStr">
        <is>
          <t>염철희</t>
        </is>
      </c>
      <c r="F2499" s="3" t="inlineStr">
        <is>
          <t>특별관계자</t>
        </is>
      </c>
      <c r="G2499" s="3" t="inlineStr">
        <is>
          <t>신규보고(+)</t>
        </is>
      </c>
      <c r="H2499" s="15" t="n">
        <v>400</v>
      </c>
      <c r="I2499" s="6" t="inlineStr"/>
      <c r="J2499" s="6" t="n">
        <v>400</v>
      </c>
      <c r="K2499" s="16" t="n">
        <v>5.74</v>
      </c>
      <c r="L2499" s="2" t="inlineStr">
        <is>
          <t>20260602000409</t>
        </is>
      </c>
      <c r="M2499" s="8">
        <f>HYPERLINK("https://dart.fss.or.kr/dsaf001/main.do?rcpNo=20260602000409", "공시열람")</f>
        <v/>
      </c>
    </row>
    <row r="2500" ht="22" customHeight="1">
      <c r="A2500" s="2" t="inlineStr">
        <is>
          <t>2026-06-02</t>
        </is>
      </c>
      <c r="B2500" s="3" t="inlineStr">
        <is>
          <t>대호에이엘</t>
        </is>
      </c>
      <c r="C2500" s="2" t="inlineStr">
        <is>
          <t>069460</t>
        </is>
      </c>
      <c r="D2500" s="2" t="inlineStr">
        <is>
          <t>대량보유</t>
        </is>
      </c>
      <c r="E2500" s="3" t="inlineStr">
        <is>
          <t>정경훈</t>
        </is>
      </c>
      <c r="F2500" s="3" t="inlineStr">
        <is>
          <t>특별관계자</t>
        </is>
      </c>
      <c r="G2500" s="3" t="inlineStr">
        <is>
          <t>신규보고(+)</t>
        </is>
      </c>
      <c r="H2500" s="15" t="n">
        <v>1739</v>
      </c>
      <c r="I2500" s="6" t="inlineStr"/>
      <c r="J2500" s="6" t="n">
        <v>1739</v>
      </c>
      <c r="K2500" s="16" t="n">
        <v>5.74</v>
      </c>
      <c r="L2500" s="2" t="inlineStr">
        <is>
          <t>20260602000409</t>
        </is>
      </c>
      <c r="M2500" s="8">
        <f>HYPERLINK("https://dart.fss.or.kr/dsaf001/main.do?rcpNo=20260602000409", "공시열람")</f>
        <v/>
      </c>
    </row>
    <row r="2501" ht="22" customHeight="1">
      <c r="A2501" s="2" t="inlineStr">
        <is>
          <t>2026-06-02</t>
        </is>
      </c>
      <c r="B2501" s="3" t="inlineStr">
        <is>
          <t>대호에이엘</t>
        </is>
      </c>
      <c r="C2501" s="2" t="inlineStr">
        <is>
          <t>069460</t>
        </is>
      </c>
      <c r="D2501" s="2" t="inlineStr">
        <is>
          <t>대량보유</t>
        </is>
      </c>
      <c r="E2501" s="3" t="inlineStr">
        <is>
          <t>문경록</t>
        </is>
      </c>
      <c r="F2501" s="3" t="inlineStr">
        <is>
          <t>특별관계자</t>
        </is>
      </c>
      <c r="G2501" s="3" t="inlineStr">
        <is>
          <t>신규보고(+)</t>
        </is>
      </c>
      <c r="H2501" s="15" t="n">
        <v>2376</v>
      </c>
      <c r="I2501" s="6" t="inlineStr"/>
      <c r="J2501" s="6" t="n">
        <v>2376</v>
      </c>
      <c r="K2501" s="16" t="n">
        <v>5.74</v>
      </c>
      <c r="L2501" s="2" t="inlineStr">
        <is>
          <t>20260602000409</t>
        </is>
      </c>
      <c r="M2501" s="8">
        <f>HYPERLINK("https://dart.fss.or.kr/dsaf001/main.do?rcpNo=20260602000409", "공시열람")</f>
        <v/>
      </c>
    </row>
    <row r="2502" ht="22" customHeight="1">
      <c r="A2502" s="2" t="inlineStr">
        <is>
          <t>2026-06-02</t>
        </is>
      </c>
      <c r="B2502" s="3" t="inlineStr">
        <is>
          <t>대호에이엘</t>
        </is>
      </c>
      <c r="C2502" s="2" t="inlineStr">
        <is>
          <t>069460</t>
        </is>
      </c>
      <c r="D2502" s="2" t="inlineStr">
        <is>
          <t>대량보유</t>
        </is>
      </c>
      <c r="E2502" s="3" t="inlineStr">
        <is>
          <t>김현욱</t>
        </is>
      </c>
      <c r="F2502" s="3" t="inlineStr">
        <is>
          <t>특별관계자</t>
        </is>
      </c>
      <c r="G2502" s="3" t="inlineStr">
        <is>
          <t>신규보고(+)</t>
        </is>
      </c>
      <c r="H2502" s="15" t="n">
        <v>2000</v>
      </c>
      <c r="I2502" s="6" t="inlineStr"/>
      <c r="J2502" s="6" t="n">
        <v>2000</v>
      </c>
      <c r="K2502" s="16" t="n">
        <v>5.74</v>
      </c>
      <c r="L2502" s="2" t="inlineStr">
        <is>
          <t>20260602000409</t>
        </is>
      </c>
      <c r="M2502" s="8">
        <f>HYPERLINK("https://dart.fss.or.kr/dsaf001/main.do?rcpNo=20260602000409", "공시열람")</f>
        <v/>
      </c>
    </row>
    <row r="2503" ht="22" customHeight="1">
      <c r="A2503" s="2" t="inlineStr">
        <is>
          <t>2026-06-02</t>
        </is>
      </c>
      <c r="B2503" s="3" t="inlineStr">
        <is>
          <t>대호에이엘</t>
        </is>
      </c>
      <c r="C2503" s="2" t="inlineStr">
        <is>
          <t>069460</t>
        </is>
      </c>
      <c r="D2503" s="2" t="inlineStr">
        <is>
          <t>대량보유</t>
        </is>
      </c>
      <c r="E2503" s="3" t="inlineStr">
        <is>
          <t>이영민</t>
        </is>
      </c>
      <c r="F2503" s="3" t="inlineStr">
        <is>
          <t>특별관계자</t>
        </is>
      </c>
      <c r="G2503" s="3" t="inlineStr">
        <is>
          <t>신규보고(+)</t>
        </is>
      </c>
      <c r="H2503" s="15" t="n">
        <v>931</v>
      </c>
      <c r="I2503" s="6" t="inlineStr"/>
      <c r="J2503" s="6" t="n">
        <v>931</v>
      </c>
      <c r="K2503" s="16" t="n">
        <v>5.74</v>
      </c>
      <c r="L2503" s="2" t="inlineStr">
        <is>
          <t>20260602000409</t>
        </is>
      </c>
      <c r="M2503" s="8">
        <f>HYPERLINK("https://dart.fss.or.kr/dsaf001/main.do?rcpNo=20260602000409", "공시열람")</f>
        <v/>
      </c>
    </row>
    <row r="2504" ht="22" customHeight="1">
      <c r="A2504" s="2" t="inlineStr">
        <is>
          <t>2026-06-02</t>
        </is>
      </c>
      <c r="B2504" s="3" t="inlineStr">
        <is>
          <t>대호에이엘</t>
        </is>
      </c>
      <c r="C2504" s="2" t="inlineStr">
        <is>
          <t>069460</t>
        </is>
      </c>
      <c r="D2504" s="2" t="inlineStr">
        <is>
          <t>대량보유</t>
        </is>
      </c>
      <c r="E2504" s="3" t="inlineStr">
        <is>
          <t>국현석</t>
        </is>
      </c>
      <c r="F2504" s="3" t="inlineStr">
        <is>
          <t>특별관계자</t>
        </is>
      </c>
      <c r="G2504" s="3" t="inlineStr">
        <is>
          <t>신규보고(+)</t>
        </is>
      </c>
      <c r="H2504" s="15" t="n">
        <v>8074</v>
      </c>
      <c r="I2504" s="6" t="inlineStr"/>
      <c r="J2504" s="6" t="n">
        <v>8074</v>
      </c>
      <c r="K2504" s="16" t="n">
        <v>5.74</v>
      </c>
      <c r="L2504" s="2" t="inlineStr">
        <is>
          <t>20260602000409</t>
        </is>
      </c>
      <c r="M2504" s="8">
        <f>HYPERLINK("https://dart.fss.or.kr/dsaf001/main.do?rcpNo=20260602000409", "공시열람")</f>
        <v/>
      </c>
    </row>
    <row r="2505" ht="22" customHeight="1">
      <c r="A2505" s="2" t="inlineStr">
        <is>
          <t>2026-06-02</t>
        </is>
      </c>
      <c r="B2505" s="3" t="inlineStr">
        <is>
          <t>대호에이엘</t>
        </is>
      </c>
      <c r="C2505" s="2" t="inlineStr">
        <is>
          <t>069460</t>
        </is>
      </c>
      <c r="D2505" s="2" t="inlineStr">
        <is>
          <t>대량보유</t>
        </is>
      </c>
      <c r="E2505" s="3" t="inlineStr">
        <is>
          <t>장수창</t>
        </is>
      </c>
      <c r="F2505" s="3" t="inlineStr">
        <is>
          <t>특별관계자</t>
        </is>
      </c>
      <c r="G2505" s="3" t="inlineStr">
        <is>
          <t>신규보고(+)</t>
        </is>
      </c>
      <c r="H2505" s="15" t="n">
        <v>4000</v>
      </c>
      <c r="I2505" s="6" t="inlineStr"/>
      <c r="J2505" s="6" t="n">
        <v>4000</v>
      </c>
      <c r="K2505" s="16" t="n">
        <v>5.74</v>
      </c>
      <c r="L2505" s="2" t="inlineStr">
        <is>
          <t>20260602000409</t>
        </is>
      </c>
      <c r="M2505" s="8">
        <f>HYPERLINK("https://dart.fss.or.kr/dsaf001/main.do?rcpNo=20260602000409", "공시열람")</f>
        <v/>
      </c>
    </row>
    <row r="2506" ht="22" customHeight="1">
      <c r="A2506" s="2" t="inlineStr">
        <is>
          <t>2026-06-02</t>
        </is>
      </c>
      <c r="B2506" s="3" t="inlineStr">
        <is>
          <t>대호에이엘</t>
        </is>
      </c>
      <c r="C2506" s="2" t="inlineStr">
        <is>
          <t>069460</t>
        </is>
      </c>
      <c r="D2506" s="2" t="inlineStr">
        <is>
          <t>대량보유</t>
        </is>
      </c>
      <c r="E2506" s="3" t="inlineStr">
        <is>
          <t>서상렬</t>
        </is>
      </c>
      <c r="F2506" s="3" t="inlineStr">
        <is>
          <t>특별관계자</t>
        </is>
      </c>
      <c r="G2506" s="3" t="inlineStr">
        <is>
          <t>신규보고(+)</t>
        </is>
      </c>
      <c r="H2506" s="15" t="n">
        <v>521</v>
      </c>
      <c r="I2506" s="6" t="inlineStr"/>
      <c r="J2506" s="6" t="n">
        <v>521</v>
      </c>
      <c r="K2506" s="16" t="n">
        <v>5.74</v>
      </c>
      <c r="L2506" s="2" t="inlineStr">
        <is>
          <t>20260602000409</t>
        </is>
      </c>
      <c r="M2506" s="8">
        <f>HYPERLINK("https://dart.fss.or.kr/dsaf001/main.do?rcpNo=20260602000409", "공시열람")</f>
        <v/>
      </c>
    </row>
    <row r="2507" ht="22" customHeight="1">
      <c r="A2507" s="2" t="inlineStr">
        <is>
          <t>2026-06-02</t>
        </is>
      </c>
      <c r="B2507" s="3" t="inlineStr">
        <is>
          <t>대호에이엘</t>
        </is>
      </c>
      <c r="C2507" s="2" t="inlineStr">
        <is>
          <t>069460</t>
        </is>
      </c>
      <c r="D2507" s="2" t="inlineStr">
        <is>
          <t>대량보유</t>
        </is>
      </c>
      <c r="E2507" s="3" t="inlineStr">
        <is>
          <t>변지수</t>
        </is>
      </c>
      <c r="F2507" s="3" t="inlineStr">
        <is>
          <t>특별관계자</t>
        </is>
      </c>
      <c r="G2507" s="3" t="inlineStr">
        <is>
          <t>신규보고(+)</t>
        </is>
      </c>
      <c r="H2507" s="15" t="n">
        <v>121</v>
      </c>
      <c r="I2507" s="6" t="inlineStr"/>
      <c r="J2507" s="6" t="n">
        <v>121</v>
      </c>
      <c r="K2507" s="16" t="n">
        <v>5.74</v>
      </c>
      <c r="L2507" s="2" t="inlineStr">
        <is>
          <t>20260602000409</t>
        </is>
      </c>
      <c r="M2507" s="8">
        <f>HYPERLINK("https://dart.fss.or.kr/dsaf001/main.do?rcpNo=20260602000409", "공시열람")</f>
        <v/>
      </c>
    </row>
    <row r="2508" ht="22" customHeight="1">
      <c r="A2508" s="2" t="inlineStr">
        <is>
          <t>2026-06-02</t>
        </is>
      </c>
      <c r="B2508" s="3" t="inlineStr">
        <is>
          <t>대호에이엘</t>
        </is>
      </c>
      <c r="C2508" s="2" t="inlineStr">
        <is>
          <t>069460</t>
        </is>
      </c>
      <c r="D2508" s="2" t="inlineStr">
        <is>
          <t>대량보유</t>
        </is>
      </c>
      <c r="E2508" s="3" t="inlineStr">
        <is>
          <t>정윤환</t>
        </is>
      </c>
      <c r="F2508" s="3" t="inlineStr">
        <is>
          <t>특별관계자</t>
        </is>
      </c>
      <c r="G2508" s="3" t="inlineStr">
        <is>
          <t>신규보고(+)</t>
        </is>
      </c>
      <c r="H2508" s="15" t="n">
        <v>5124</v>
      </c>
      <c r="I2508" s="6" t="inlineStr"/>
      <c r="J2508" s="6" t="n">
        <v>5124</v>
      </c>
      <c r="K2508" s="16" t="n">
        <v>5.74</v>
      </c>
      <c r="L2508" s="2" t="inlineStr">
        <is>
          <t>20260602000409</t>
        </is>
      </c>
      <c r="M2508" s="8">
        <f>HYPERLINK("https://dart.fss.or.kr/dsaf001/main.do?rcpNo=20260602000409", "공시열람")</f>
        <v/>
      </c>
    </row>
    <row r="2509" ht="22" customHeight="1">
      <c r="A2509" s="2" t="inlineStr">
        <is>
          <t>2026-06-02</t>
        </is>
      </c>
      <c r="B2509" s="3" t="inlineStr">
        <is>
          <t>대호에이엘</t>
        </is>
      </c>
      <c r="C2509" s="2" t="inlineStr">
        <is>
          <t>069460</t>
        </is>
      </c>
      <c r="D2509" s="2" t="inlineStr">
        <is>
          <t>대량보유</t>
        </is>
      </c>
      <c r="E2509" s="3" t="inlineStr">
        <is>
          <t>김영미</t>
        </is>
      </c>
      <c r="F2509" s="3" t="inlineStr">
        <is>
          <t>특별관계자</t>
        </is>
      </c>
      <c r="G2509" s="3" t="inlineStr">
        <is>
          <t>신규보고(+)</t>
        </is>
      </c>
      <c r="H2509" s="15" t="n">
        <v>780</v>
      </c>
      <c r="I2509" s="6" t="inlineStr"/>
      <c r="J2509" s="6" t="n">
        <v>780</v>
      </c>
      <c r="K2509" s="16" t="n">
        <v>5.74</v>
      </c>
      <c r="L2509" s="2" t="inlineStr">
        <is>
          <t>20260602000409</t>
        </is>
      </c>
      <c r="M2509" s="8">
        <f>HYPERLINK("https://dart.fss.or.kr/dsaf001/main.do?rcpNo=20260602000409", "공시열람")</f>
        <v/>
      </c>
    </row>
    <row r="2510" ht="22" customHeight="1">
      <c r="A2510" s="2" t="inlineStr">
        <is>
          <t>2026-06-02</t>
        </is>
      </c>
      <c r="B2510" s="3" t="inlineStr">
        <is>
          <t>대호에이엘</t>
        </is>
      </c>
      <c r="C2510" s="2" t="inlineStr">
        <is>
          <t>069460</t>
        </is>
      </c>
      <c r="D2510" s="2" t="inlineStr">
        <is>
          <t>대량보유</t>
        </is>
      </c>
      <c r="E2510" s="3" t="inlineStr">
        <is>
          <t>박재범</t>
        </is>
      </c>
      <c r="F2510" s="3" t="inlineStr">
        <is>
          <t>특별관계자</t>
        </is>
      </c>
      <c r="G2510" s="3" t="inlineStr">
        <is>
          <t>신규보고(+)</t>
        </is>
      </c>
      <c r="H2510" s="15" t="n">
        <v>1100</v>
      </c>
      <c r="I2510" s="6" t="inlineStr"/>
      <c r="J2510" s="6" t="n">
        <v>1100</v>
      </c>
      <c r="K2510" s="16" t="n">
        <v>5.74</v>
      </c>
      <c r="L2510" s="2" t="inlineStr">
        <is>
          <t>20260602000409</t>
        </is>
      </c>
      <c r="M2510" s="8">
        <f>HYPERLINK("https://dart.fss.or.kr/dsaf001/main.do?rcpNo=20260602000409", "공시열람")</f>
        <v/>
      </c>
    </row>
    <row r="2511" ht="22" customHeight="1">
      <c r="A2511" s="2" t="inlineStr">
        <is>
          <t>2026-06-02</t>
        </is>
      </c>
      <c r="B2511" s="3" t="inlineStr">
        <is>
          <t>대호에이엘</t>
        </is>
      </c>
      <c r="C2511" s="2" t="inlineStr">
        <is>
          <t>069460</t>
        </is>
      </c>
      <c r="D2511" s="2" t="inlineStr">
        <is>
          <t>대량보유</t>
        </is>
      </c>
      <c r="E2511" s="3" t="inlineStr">
        <is>
          <t>김대호</t>
        </is>
      </c>
      <c r="F2511" s="3" t="inlineStr">
        <is>
          <t>특별관계자</t>
        </is>
      </c>
      <c r="G2511" s="3" t="inlineStr">
        <is>
          <t>신규보고(+)</t>
        </is>
      </c>
      <c r="H2511" s="15" t="n">
        <v>359</v>
      </c>
      <c r="I2511" s="6" t="inlineStr"/>
      <c r="J2511" s="6" t="n">
        <v>359</v>
      </c>
      <c r="K2511" s="16" t="n">
        <v>5.74</v>
      </c>
      <c r="L2511" s="2" t="inlineStr">
        <is>
          <t>20260602000409</t>
        </is>
      </c>
      <c r="M2511" s="8">
        <f>HYPERLINK("https://dart.fss.or.kr/dsaf001/main.do?rcpNo=20260602000409", "공시열람")</f>
        <v/>
      </c>
    </row>
    <row r="2512" ht="22" customHeight="1">
      <c r="A2512" s="2" t="inlineStr">
        <is>
          <t>2026-06-02</t>
        </is>
      </c>
      <c r="B2512" s="3" t="inlineStr">
        <is>
          <t>대호에이엘</t>
        </is>
      </c>
      <c r="C2512" s="2" t="inlineStr">
        <is>
          <t>069460</t>
        </is>
      </c>
      <c r="D2512" s="2" t="inlineStr">
        <is>
          <t>대량보유</t>
        </is>
      </c>
      <c r="E2512" s="3" t="inlineStr">
        <is>
          <t>김명재</t>
        </is>
      </c>
      <c r="F2512" s="3" t="inlineStr">
        <is>
          <t>특별관계자</t>
        </is>
      </c>
      <c r="G2512" s="3" t="inlineStr">
        <is>
          <t>신규보고(+)</t>
        </is>
      </c>
      <c r="H2512" s="15" t="n">
        <v>2573</v>
      </c>
      <c r="I2512" s="6" t="inlineStr"/>
      <c r="J2512" s="6" t="n">
        <v>2573</v>
      </c>
      <c r="K2512" s="16" t="n">
        <v>5.74</v>
      </c>
      <c r="L2512" s="2" t="inlineStr">
        <is>
          <t>20260602000409</t>
        </is>
      </c>
      <c r="M2512" s="8">
        <f>HYPERLINK("https://dart.fss.or.kr/dsaf001/main.do?rcpNo=20260602000409", "공시열람")</f>
        <v/>
      </c>
    </row>
    <row r="2513" ht="22" customHeight="1">
      <c r="A2513" s="2" t="inlineStr">
        <is>
          <t>2026-06-02</t>
        </is>
      </c>
      <c r="B2513" s="3" t="inlineStr">
        <is>
          <t>대호에이엘</t>
        </is>
      </c>
      <c r="C2513" s="2" t="inlineStr">
        <is>
          <t>069460</t>
        </is>
      </c>
      <c r="D2513" s="2" t="inlineStr">
        <is>
          <t>대량보유</t>
        </is>
      </c>
      <c r="E2513" s="3" t="inlineStr">
        <is>
          <t>임성민</t>
        </is>
      </c>
      <c r="F2513" s="3" t="inlineStr">
        <is>
          <t>특별관계자</t>
        </is>
      </c>
      <c r="G2513" s="3" t="inlineStr">
        <is>
          <t>신규보고(+)</t>
        </is>
      </c>
      <c r="H2513" s="15" t="n">
        <v>1000</v>
      </c>
      <c r="I2513" s="6" t="inlineStr"/>
      <c r="J2513" s="6" t="n">
        <v>1000</v>
      </c>
      <c r="K2513" s="16" t="n">
        <v>5.74</v>
      </c>
      <c r="L2513" s="2" t="inlineStr">
        <is>
          <t>20260602000409</t>
        </is>
      </c>
      <c r="M2513" s="8">
        <f>HYPERLINK("https://dart.fss.or.kr/dsaf001/main.do?rcpNo=20260602000409", "공시열람")</f>
        <v/>
      </c>
    </row>
    <row r="2514" ht="22" customHeight="1">
      <c r="A2514" s="2" t="inlineStr">
        <is>
          <t>2026-06-02</t>
        </is>
      </c>
      <c r="B2514" s="3" t="inlineStr">
        <is>
          <t>대호에이엘</t>
        </is>
      </c>
      <c r="C2514" s="2" t="inlineStr">
        <is>
          <t>069460</t>
        </is>
      </c>
      <c r="D2514" s="2" t="inlineStr">
        <is>
          <t>대량보유</t>
        </is>
      </c>
      <c r="E2514" s="3" t="inlineStr">
        <is>
          <t>김석호</t>
        </is>
      </c>
      <c r="F2514" s="3" t="inlineStr">
        <is>
          <t>특별관계자</t>
        </is>
      </c>
      <c r="G2514" s="3" t="inlineStr">
        <is>
          <t>신규보고(+)</t>
        </is>
      </c>
      <c r="H2514" s="15" t="n">
        <v>1915</v>
      </c>
      <c r="I2514" s="6" t="inlineStr"/>
      <c r="J2514" s="6" t="n">
        <v>1915</v>
      </c>
      <c r="K2514" s="16" t="n">
        <v>5.74</v>
      </c>
      <c r="L2514" s="2" t="inlineStr">
        <is>
          <t>20260602000409</t>
        </is>
      </c>
      <c r="M2514" s="8">
        <f>HYPERLINK("https://dart.fss.or.kr/dsaf001/main.do?rcpNo=20260602000409", "공시열람")</f>
        <v/>
      </c>
    </row>
    <row r="2515" ht="22" customHeight="1">
      <c r="A2515" s="2" t="inlineStr">
        <is>
          <t>2026-06-02</t>
        </is>
      </c>
      <c r="B2515" s="3" t="inlineStr">
        <is>
          <t>대호에이엘</t>
        </is>
      </c>
      <c r="C2515" s="2" t="inlineStr">
        <is>
          <t>069460</t>
        </is>
      </c>
      <c r="D2515" s="2" t="inlineStr">
        <is>
          <t>대량보유</t>
        </is>
      </c>
      <c r="E2515" s="3" t="inlineStr">
        <is>
          <t>원종천</t>
        </is>
      </c>
      <c r="F2515" s="3" t="inlineStr">
        <is>
          <t>특별관계자</t>
        </is>
      </c>
      <c r="G2515" s="3" t="inlineStr">
        <is>
          <t>신규보고(+)</t>
        </is>
      </c>
      <c r="H2515" s="15" t="n">
        <v>1454</v>
      </c>
      <c r="I2515" s="6" t="inlineStr"/>
      <c r="J2515" s="6" t="n">
        <v>1454</v>
      </c>
      <c r="K2515" s="16" t="n">
        <v>5.74</v>
      </c>
      <c r="L2515" s="2" t="inlineStr">
        <is>
          <t>20260602000409</t>
        </is>
      </c>
      <c r="M2515" s="8">
        <f>HYPERLINK("https://dart.fss.or.kr/dsaf001/main.do?rcpNo=20260602000409", "공시열람")</f>
        <v/>
      </c>
    </row>
    <row r="2516" ht="22" customHeight="1">
      <c r="A2516" s="2" t="inlineStr">
        <is>
          <t>2026-06-02</t>
        </is>
      </c>
      <c r="B2516" s="3" t="inlineStr">
        <is>
          <t>대호에이엘</t>
        </is>
      </c>
      <c r="C2516" s="2" t="inlineStr">
        <is>
          <t>069460</t>
        </is>
      </c>
      <c r="D2516" s="2" t="inlineStr">
        <is>
          <t>대량보유</t>
        </is>
      </c>
      <c r="E2516" s="3" t="inlineStr">
        <is>
          <t>김나영</t>
        </is>
      </c>
      <c r="F2516" s="3" t="inlineStr">
        <is>
          <t>특별관계자</t>
        </is>
      </c>
      <c r="G2516" s="3" t="inlineStr">
        <is>
          <t>신규보고(+)</t>
        </is>
      </c>
      <c r="H2516" s="15" t="n">
        <v>2885</v>
      </c>
      <c r="I2516" s="6" t="inlineStr"/>
      <c r="J2516" s="6" t="n">
        <v>2885</v>
      </c>
      <c r="K2516" s="16" t="n">
        <v>5.74</v>
      </c>
      <c r="L2516" s="2" t="inlineStr">
        <is>
          <t>20260602000409</t>
        </is>
      </c>
      <c r="M2516" s="8">
        <f>HYPERLINK("https://dart.fss.or.kr/dsaf001/main.do?rcpNo=20260602000409", "공시열람")</f>
        <v/>
      </c>
    </row>
    <row r="2517" ht="22" customHeight="1">
      <c r="A2517" s="2" t="inlineStr">
        <is>
          <t>2026-06-02</t>
        </is>
      </c>
      <c r="B2517" s="3" t="inlineStr">
        <is>
          <t>대호에이엘</t>
        </is>
      </c>
      <c r="C2517" s="2" t="inlineStr">
        <is>
          <t>069460</t>
        </is>
      </c>
      <c r="D2517" s="2" t="inlineStr">
        <is>
          <t>대량보유</t>
        </is>
      </c>
      <c r="E2517" s="3" t="inlineStr">
        <is>
          <t>김동우</t>
        </is>
      </c>
      <c r="F2517" s="3" t="inlineStr">
        <is>
          <t>특별관계자</t>
        </is>
      </c>
      <c r="G2517" s="3" t="inlineStr">
        <is>
          <t>신규보고(+)</t>
        </is>
      </c>
      <c r="H2517" s="15" t="n">
        <v>285</v>
      </c>
      <c r="I2517" s="6" t="inlineStr"/>
      <c r="J2517" s="6" t="n">
        <v>285</v>
      </c>
      <c r="K2517" s="16" t="n">
        <v>5.74</v>
      </c>
      <c r="L2517" s="2" t="inlineStr">
        <is>
          <t>20260602000409</t>
        </is>
      </c>
      <c r="M2517" s="8">
        <f>HYPERLINK("https://dart.fss.or.kr/dsaf001/main.do?rcpNo=20260602000409", "공시열람")</f>
        <v/>
      </c>
    </row>
    <row r="2518" ht="22" customHeight="1">
      <c r="A2518" s="2" t="inlineStr">
        <is>
          <t>2026-06-02</t>
        </is>
      </c>
      <c r="B2518" s="3" t="inlineStr">
        <is>
          <t>대호에이엘</t>
        </is>
      </c>
      <c r="C2518" s="2" t="inlineStr">
        <is>
          <t>069460</t>
        </is>
      </c>
      <c r="D2518" s="2" t="inlineStr">
        <is>
          <t>대량보유</t>
        </is>
      </c>
      <c r="E2518" s="3" t="inlineStr">
        <is>
          <t>이정은</t>
        </is>
      </c>
      <c r="F2518" s="3" t="inlineStr">
        <is>
          <t>특별관계자</t>
        </is>
      </c>
      <c r="G2518" s="3" t="inlineStr">
        <is>
          <t>신규보고(+)</t>
        </is>
      </c>
      <c r="H2518" s="15" t="n">
        <v>105907</v>
      </c>
      <c r="I2518" s="6" t="inlineStr"/>
      <c r="J2518" s="6" t="n">
        <v>10000</v>
      </c>
      <c r="K2518" s="16" t="n">
        <v>5.74</v>
      </c>
      <c r="L2518" s="2" t="inlineStr">
        <is>
          <t>20260602000409</t>
        </is>
      </c>
      <c r="M2518" s="8">
        <f>HYPERLINK("https://dart.fss.or.kr/dsaf001/main.do?rcpNo=20260602000409", "공시열람")</f>
        <v/>
      </c>
    </row>
    <row r="2519" ht="22" customHeight="1">
      <c r="A2519" s="2" t="inlineStr">
        <is>
          <t>2026-06-02</t>
        </is>
      </c>
      <c r="B2519" s="3" t="inlineStr">
        <is>
          <t>대호에이엘</t>
        </is>
      </c>
      <c r="C2519" s="2" t="inlineStr">
        <is>
          <t>069460</t>
        </is>
      </c>
      <c r="D2519" s="2" t="inlineStr">
        <is>
          <t>대량보유</t>
        </is>
      </c>
      <c r="E2519" s="3" t="inlineStr">
        <is>
          <t>박미정</t>
        </is>
      </c>
      <c r="F2519" s="3" t="inlineStr">
        <is>
          <t>특별관계자</t>
        </is>
      </c>
      <c r="G2519" s="3" t="inlineStr">
        <is>
          <t>신규보고(+)</t>
        </is>
      </c>
      <c r="H2519" s="15" t="n">
        <v>278</v>
      </c>
      <c r="I2519" s="6" t="inlineStr"/>
      <c r="J2519" s="6" t="n">
        <v>278</v>
      </c>
      <c r="K2519" s="16" t="n">
        <v>5.74</v>
      </c>
      <c r="L2519" s="2" t="inlineStr">
        <is>
          <t>20260602000409</t>
        </is>
      </c>
      <c r="M2519" s="8">
        <f>HYPERLINK("https://dart.fss.or.kr/dsaf001/main.do?rcpNo=20260602000409", "공시열람")</f>
        <v/>
      </c>
    </row>
    <row r="2520" ht="22" customHeight="1">
      <c r="A2520" s="2" t="inlineStr">
        <is>
          <t>2026-06-02</t>
        </is>
      </c>
      <c r="B2520" s="3" t="inlineStr">
        <is>
          <t>대호에이엘</t>
        </is>
      </c>
      <c r="C2520" s="2" t="inlineStr">
        <is>
          <t>069460</t>
        </is>
      </c>
      <c r="D2520" s="2" t="inlineStr">
        <is>
          <t>대량보유</t>
        </is>
      </c>
      <c r="E2520" s="3" t="inlineStr">
        <is>
          <t>최은주</t>
        </is>
      </c>
      <c r="F2520" s="3" t="inlineStr">
        <is>
          <t>특별관계자</t>
        </is>
      </c>
      <c r="G2520" s="3" t="inlineStr">
        <is>
          <t>신규보고(+)</t>
        </is>
      </c>
      <c r="H2520" s="15" t="n">
        <v>622</v>
      </c>
      <c r="I2520" s="6" t="inlineStr"/>
      <c r="J2520" s="6" t="n">
        <v>622</v>
      </c>
      <c r="K2520" s="16" t="n">
        <v>5.74</v>
      </c>
      <c r="L2520" s="2" t="inlineStr">
        <is>
          <t>20260602000409</t>
        </is>
      </c>
      <c r="M2520" s="8">
        <f>HYPERLINK("https://dart.fss.or.kr/dsaf001/main.do?rcpNo=20260602000409", "공시열람")</f>
        <v/>
      </c>
    </row>
    <row r="2521" ht="22" customHeight="1">
      <c r="A2521" s="2" t="inlineStr">
        <is>
          <t>2026-06-02</t>
        </is>
      </c>
      <c r="B2521" s="3" t="inlineStr">
        <is>
          <t>대호에이엘</t>
        </is>
      </c>
      <c r="C2521" s="2" t="inlineStr">
        <is>
          <t>069460</t>
        </is>
      </c>
      <c r="D2521" s="2" t="inlineStr">
        <is>
          <t>대량보유</t>
        </is>
      </c>
      <c r="E2521" s="3" t="inlineStr">
        <is>
          <t>이영미</t>
        </is>
      </c>
      <c r="F2521" s="3" t="inlineStr">
        <is>
          <t>특별관계자</t>
        </is>
      </c>
      <c r="G2521" s="3" t="inlineStr">
        <is>
          <t>신규보고(+)</t>
        </is>
      </c>
      <c r="H2521" s="15" t="n">
        <v>2865</v>
      </c>
      <c r="I2521" s="6" t="inlineStr"/>
      <c r="J2521" s="6" t="n">
        <v>2865</v>
      </c>
      <c r="K2521" s="16" t="n">
        <v>5.74</v>
      </c>
      <c r="L2521" s="2" t="inlineStr">
        <is>
          <t>20260602000409</t>
        </is>
      </c>
      <c r="M2521" s="8">
        <f>HYPERLINK("https://dart.fss.or.kr/dsaf001/main.do?rcpNo=20260602000409", "공시열람")</f>
        <v/>
      </c>
    </row>
    <row r="2522" ht="22" customHeight="1">
      <c r="A2522" s="2" t="inlineStr">
        <is>
          <t>2026-06-02</t>
        </is>
      </c>
      <c r="B2522" s="3" t="inlineStr">
        <is>
          <t>대호에이엘</t>
        </is>
      </c>
      <c r="C2522" s="2" t="inlineStr">
        <is>
          <t>069460</t>
        </is>
      </c>
      <c r="D2522" s="2" t="inlineStr">
        <is>
          <t>대량보유</t>
        </is>
      </c>
      <c r="E2522" s="3" t="inlineStr">
        <is>
          <t>모상혁</t>
        </is>
      </c>
      <c r="F2522" s="3" t="inlineStr">
        <is>
          <t>특별관계자</t>
        </is>
      </c>
      <c r="G2522" s="3" t="inlineStr">
        <is>
          <t>신규보고(+)</t>
        </is>
      </c>
      <c r="H2522" s="15" t="n">
        <v>3800</v>
      </c>
      <c r="I2522" s="6" t="inlineStr"/>
      <c r="J2522" s="6" t="n">
        <v>3800</v>
      </c>
      <c r="K2522" s="16" t="n">
        <v>5.74</v>
      </c>
      <c r="L2522" s="2" t="inlineStr">
        <is>
          <t>20260602000409</t>
        </is>
      </c>
      <c r="M2522" s="8">
        <f>HYPERLINK("https://dart.fss.or.kr/dsaf001/main.do?rcpNo=20260602000409", "공시열람")</f>
        <v/>
      </c>
    </row>
    <row r="2523" ht="22" customHeight="1">
      <c r="A2523" s="2" t="inlineStr">
        <is>
          <t>2026-06-02</t>
        </is>
      </c>
      <c r="B2523" s="3" t="inlineStr">
        <is>
          <t>대호에이엘</t>
        </is>
      </c>
      <c r="C2523" s="2" t="inlineStr">
        <is>
          <t>069460</t>
        </is>
      </c>
      <c r="D2523" s="2" t="inlineStr">
        <is>
          <t>대량보유</t>
        </is>
      </c>
      <c r="E2523" s="3" t="inlineStr">
        <is>
          <t>조현진</t>
        </is>
      </c>
      <c r="F2523" s="3" t="inlineStr">
        <is>
          <t>특별관계자</t>
        </is>
      </c>
      <c r="G2523" s="3" t="inlineStr">
        <is>
          <t>신규보고(+)</t>
        </is>
      </c>
      <c r="H2523" s="15" t="n">
        <v>754</v>
      </c>
      <c r="I2523" s="6" t="inlineStr"/>
      <c r="J2523" s="6" t="n">
        <v>754</v>
      </c>
      <c r="K2523" s="16" t="n">
        <v>5.74</v>
      </c>
      <c r="L2523" s="2" t="inlineStr">
        <is>
          <t>20260602000409</t>
        </is>
      </c>
      <c r="M2523" s="8">
        <f>HYPERLINK("https://dart.fss.or.kr/dsaf001/main.do?rcpNo=20260602000409", "공시열람")</f>
        <v/>
      </c>
    </row>
    <row r="2524" ht="22" customHeight="1">
      <c r="A2524" s="2" t="inlineStr">
        <is>
          <t>2026-06-02</t>
        </is>
      </c>
      <c r="B2524" s="3" t="inlineStr">
        <is>
          <t>대호에이엘</t>
        </is>
      </c>
      <c r="C2524" s="2" t="inlineStr">
        <is>
          <t>069460</t>
        </is>
      </c>
      <c r="D2524" s="2" t="inlineStr">
        <is>
          <t>대량보유</t>
        </is>
      </c>
      <c r="E2524" s="3" t="inlineStr">
        <is>
          <t>김미순</t>
        </is>
      </c>
      <c r="F2524" s="3" t="inlineStr">
        <is>
          <t>특별관계자</t>
        </is>
      </c>
      <c r="G2524" s="3" t="inlineStr">
        <is>
          <t>신규보고(+)</t>
        </is>
      </c>
      <c r="H2524" s="15" t="n">
        <v>7662</v>
      </c>
      <c r="I2524" s="6" t="inlineStr"/>
      <c r="J2524" s="6" t="n">
        <v>7662</v>
      </c>
      <c r="K2524" s="16" t="n">
        <v>5.74</v>
      </c>
      <c r="L2524" s="2" t="inlineStr">
        <is>
          <t>20260602000409</t>
        </is>
      </c>
      <c r="M2524" s="8">
        <f>HYPERLINK("https://dart.fss.or.kr/dsaf001/main.do?rcpNo=20260602000409", "공시열람")</f>
        <v/>
      </c>
    </row>
    <row r="2525" ht="22" customHeight="1">
      <c r="A2525" s="2" t="inlineStr">
        <is>
          <t>2026-06-02</t>
        </is>
      </c>
      <c r="B2525" s="3" t="inlineStr">
        <is>
          <t>대호에이엘</t>
        </is>
      </c>
      <c r="C2525" s="2" t="inlineStr">
        <is>
          <t>069460</t>
        </is>
      </c>
      <c r="D2525" s="2" t="inlineStr">
        <is>
          <t>대량보유</t>
        </is>
      </c>
      <c r="E2525" s="3" t="inlineStr">
        <is>
          <t>도진률</t>
        </is>
      </c>
      <c r="F2525" s="3" t="inlineStr">
        <is>
          <t>특별관계자</t>
        </is>
      </c>
      <c r="G2525" s="3" t="inlineStr">
        <is>
          <t>신규보고(+)</t>
        </is>
      </c>
      <c r="H2525" s="15" t="n">
        <v>707</v>
      </c>
      <c r="I2525" s="6" t="inlineStr"/>
      <c r="J2525" s="6" t="n">
        <v>707</v>
      </c>
      <c r="K2525" s="16" t="n">
        <v>5.74</v>
      </c>
      <c r="L2525" s="2" t="inlineStr">
        <is>
          <t>20260602000409</t>
        </is>
      </c>
      <c r="M2525" s="8">
        <f>HYPERLINK("https://dart.fss.or.kr/dsaf001/main.do?rcpNo=20260602000409", "공시열람")</f>
        <v/>
      </c>
    </row>
    <row r="2526" ht="22" customHeight="1">
      <c r="A2526" s="2" t="inlineStr">
        <is>
          <t>2026-06-02</t>
        </is>
      </c>
      <c r="B2526" s="3" t="inlineStr">
        <is>
          <t>대호에이엘</t>
        </is>
      </c>
      <c r="C2526" s="2" t="inlineStr">
        <is>
          <t>069460</t>
        </is>
      </c>
      <c r="D2526" s="2" t="inlineStr">
        <is>
          <t>대량보유</t>
        </is>
      </c>
      <c r="E2526" s="3" t="inlineStr">
        <is>
          <t>도준선</t>
        </is>
      </c>
      <c r="F2526" s="3" t="inlineStr">
        <is>
          <t>특별관계자</t>
        </is>
      </c>
      <c r="G2526" s="3" t="inlineStr">
        <is>
          <t>신규보고(+)</t>
        </is>
      </c>
      <c r="H2526" s="15" t="n">
        <v>4920</v>
      </c>
      <c r="I2526" s="6" t="inlineStr"/>
      <c r="J2526" s="6" t="n">
        <v>4920</v>
      </c>
      <c r="K2526" s="16" t="n">
        <v>5.74</v>
      </c>
      <c r="L2526" s="2" t="inlineStr">
        <is>
          <t>20260602000409</t>
        </is>
      </c>
      <c r="M2526" s="8">
        <f>HYPERLINK("https://dart.fss.or.kr/dsaf001/main.do?rcpNo=20260602000409", "공시열람")</f>
        <v/>
      </c>
    </row>
    <row r="2527" ht="22" customHeight="1">
      <c r="A2527" s="2" t="inlineStr">
        <is>
          <t>2026-06-02</t>
        </is>
      </c>
      <c r="B2527" s="3" t="inlineStr">
        <is>
          <t>대호에이엘</t>
        </is>
      </c>
      <c r="C2527" s="2" t="inlineStr">
        <is>
          <t>069460</t>
        </is>
      </c>
      <c r="D2527" s="2" t="inlineStr">
        <is>
          <t>대량보유</t>
        </is>
      </c>
      <c r="E2527" s="3" t="inlineStr">
        <is>
          <t>김명규</t>
        </is>
      </c>
      <c r="F2527" s="3" t="inlineStr">
        <is>
          <t>특별관계자</t>
        </is>
      </c>
      <c r="G2527" s="3" t="inlineStr">
        <is>
          <t>신규보고(+)</t>
        </is>
      </c>
      <c r="H2527" s="15" t="n">
        <v>507</v>
      </c>
      <c r="I2527" s="6" t="inlineStr"/>
      <c r="J2527" s="6" t="n">
        <v>507</v>
      </c>
      <c r="K2527" s="16" t="n">
        <v>5.74</v>
      </c>
      <c r="L2527" s="2" t="inlineStr">
        <is>
          <t>20260602000409</t>
        </is>
      </c>
      <c r="M2527" s="8">
        <f>HYPERLINK("https://dart.fss.or.kr/dsaf001/main.do?rcpNo=20260602000409", "공시열람")</f>
        <v/>
      </c>
    </row>
    <row r="2528" ht="22" customHeight="1">
      <c r="A2528" s="2" t="inlineStr">
        <is>
          <t>2026-06-02</t>
        </is>
      </c>
      <c r="B2528" s="3" t="inlineStr">
        <is>
          <t>대호에이엘</t>
        </is>
      </c>
      <c r="C2528" s="2" t="inlineStr">
        <is>
          <t>069460</t>
        </is>
      </c>
      <c r="D2528" s="2" t="inlineStr">
        <is>
          <t>대량보유</t>
        </is>
      </c>
      <c r="E2528" s="3" t="inlineStr">
        <is>
          <t>심민석</t>
        </is>
      </c>
      <c r="F2528" s="3" t="inlineStr">
        <is>
          <t>특별관계자</t>
        </is>
      </c>
      <c r="G2528" s="3" t="inlineStr">
        <is>
          <t>신규보고(+)</t>
        </is>
      </c>
      <c r="H2528" s="15" t="n">
        <v>600</v>
      </c>
      <c r="I2528" s="6" t="inlineStr"/>
      <c r="J2528" s="6" t="n">
        <v>600</v>
      </c>
      <c r="K2528" s="16" t="n">
        <v>5.74</v>
      </c>
      <c r="L2528" s="2" t="inlineStr">
        <is>
          <t>20260602000409</t>
        </is>
      </c>
      <c r="M2528" s="8">
        <f>HYPERLINK("https://dart.fss.or.kr/dsaf001/main.do?rcpNo=20260602000409", "공시열람")</f>
        <v/>
      </c>
    </row>
    <row r="2529" ht="22" customHeight="1">
      <c r="A2529" s="2" t="inlineStr">
        <is>
          <t>2026-06-02</t>
        </is>
      </c>
      <c r="B2529" s="3" t="inlineStr">
        <is>
          <t>대호에이엘</t>
        </is>
      </c>
      <c r="C2529" s="2" t="inlineStr">
        <is>
          <t>069460</t>
        </is>
      </c>
      <c r="D2529" s="2" t="inlineStr">
        <is>
          <t>대량보유</t>
        </is>
      </c>
      <c r="E2529" s="3" t="inlineStr">
        <is>
          <t>이효주</t>
        </is>
      </c>
      <c r="F2529" s="3" t="inlineStr">
        <is>
          <t>특별관계자</t>
        </is>
      </c>
      <c r="G2529" s="3" t="inlineStr">
        <is>
          <t>신규보고(+)</t>
        </is>
      </c>
      <c r="H2529" s="15" t="n">
        <v>598</v>
      </c>
      <c r="I2529" s="6" t="inlineStr"/>
      <c r="J2529" s="6" t="n">
        <v>598</v>
      </c>
      <c r="K2529" s="16" t="n">
        <v>5.74</v>
      </c>
      <c r="L2529" s="2" t="inlineStr">
        <is>
          <t>20260602000409</t>
        </is>
      </c>
      <c r="M2529" s="8">
        <f>HYPERLINK("https://dart.fss.or.kr/dsaf001/main.do?rcpNo=20260602000409", "공시열람")</f>
        <v/>
      </c>
    </row>
    <row r="2530" ht="22" customHeight="1">
      <c r="A2530" s="2" t="inlineStr">
        <is>
          <t>2026-06-02</t>
        </is>
      </c>
      <c r="B2530" s="3" t="inlineStr">
        <is>
          <t>대호에이엘</t>
        </is>
      </c>
      <c r="C2530" s="2" t="inlineStr">
        <is>
          <t>069460</t>
        </is>
      </c>
      <c r="D2530" s="2" t="inlineStr">
        <is>
          <t>대량보유</t>
        </is>
      </c>
      <c r="E2530" s="3" t="inlineStr">
        <is>
          <t>김정환</t>
        </is>
      </c>
      <c r="F2530" s="3" t="inlineStr">
        <is>
          <t>특별관계자</t>
        </is>
      </c>
      <c r="G2530" s="3" t="inlineStr">
        <is>
          <t>신규보고(+)</t>
        </is>
      </c>
      <c r="H2530" s="15" t="n">
        <v>2931</v>
      </c>
      <c r="I2530" s="6" t="inlineStr"/>
      <c r="J2530" s="6" t="n">
        <v>2931</v>
      </c>
      <c r="K2530" s="16" t="n">
        <v>5.74</v>
      </c>
      <c r="L2530" s="2" t="inlineStr">
        <is>
          <t>20260602000409</t>
        </is>
      </c>
      <c r="M2530" s="8">
        <f>HYPERLINK("https://dart.fss.or.kr/dsaf001/main.do?rcpNo=20260602000409", "공시열람")</f>
        <v/>
      </c>
    </row>
    <row r="2531" ht="22" customHeight="1">
      <c r="A2531" s="2" t="inlineStr">
        <is>
          <t>2026-06-02</t>
        </is>
      </c>
      <c r="B2531" s="3" t="inlineStr">
        <is>
          <t>대호에이엘</t>
        </is>
      </c>
      <c r="C2531" s="2" t="inlineStr">
        <is>
          <t>069460</t>
        </is>
      </c>
      <c r="D2531" s="2" t="inlineStr">
        <is>
          <t>대량보유</t>
        </is>
      </c>
      <c r="E2531" s="3" t="inlineStr">
        <is>
          <t>김상협</t>
        </is>
      </c>
      <c r="F2531" s="3" t="inlineStr">
        <is>
          <t>특별관계자</t>
        </is>
      </c>
      <c r="G2531" s="3" t="inlineStr">
        <is>
          <t>신규보고(+)</t>
        </is>
      </c>
      <c r="H2531" s="15" t="n">
        <v>15273</v>
      </c>
      <c r="I2531" s="6" t="inlineStr"/>
      <c r="J2531" s="6" t="n">
        <v>15273</v>
      </c>
      <c r="K2531" s="16" t="n">
        <v>5.74</v>
      </c>
      <c r="L2531" s="2" t="inlineStr">
        <is>
          <t>20260602000409</t>
        </is>
      </c>
      <c r="M2531" s="8">
        <f>HYPERLINK("https://dart.fss.or.kr/dsaf001/main.do?rcpNo=20260602000409", "공시열람")</f>
        <v/>
      </c>
    </row>
    <row r="2532" ht="22" customHeight="1">
      <c r="A2532" s="2" t="inlineStr">
        <is>
          <t>2026-06-02</t>
        </is>
      </c>
      <c r="B2532" s="3" t="inlineStr">
        <is>
          <t>대호에이엘</t>
        </is>
      </c>
      <c r="C2532" s="2" t="inlineStr">
        <is>
          <t>069460</t>
        </is>
      </c>
      <c r="D2532" s="2" t="inlineStr">
        <is>
          <t>대량보유</t>
        </is>
      </c>
      <c r="E2532" s="3" t="inlineStr">
        <is>
          <t>안선재</t>
        </is>
      </c>
      <c r="F2532" s="3" t="inlineStr">
        <is>
          <t>특별관계자</t>
        </is>
      </c>
      <c r="G2532" s="3" t="inlineStr">
        <is>
          <t>신규보고(+)</t>
        </is>
      </c>
      <c r="H2532" s="15" t="n">
        <v>9924</v>
      </c>
      <c r="I2532" s="6" t="inlineStr"/>
      <c r="J2532" s="6" t="n">
        <v>9924</v>
      </c>
      <c r="K2532" s="16" t="n">
        <v>5.74</v>
      </c>
      <c r="L2532" s="2" t="inlineStr">
        <is>
          <t>20260602000409</t>
        </is>
      </c>
      <c r="M2532" s="8">
        <f>HYPERLINK("https://dart.fss.or.kr/dsaf001/main.do?rcpNo=20260602000409", "공시열람")</f>
        <v/>
      </c>
    </row>
    <row r="2533" ht="22" customHeight="1">
      <c r="A2533" s="2" t="inlineStr">
        <is>
          <t>2026-06-02</t>
        </is>
      </c>
      <c r="B2533" s="3" t="inlineStr">
        <is>
          <t>대호에이엘</t>
        </is>
      </c>
      <c r="C2533" s="2" t="inlineStr">
        <is>
          <t>069460</t>
        </is>
      </c>
      <c r="D2533" s="2" t="inlineStr">
        <is>
          <t>대량보유</t>
        </is>
      </c>
      <c r="E2533" s="3" t="inlineStr">
        <is>
          <t>이재수</t>
        </is>
      </c>
      <c r="F2533" s="3" t="inlineStr">
        <is>
          <t>특별관계자</t>
        </is>
      </c>
      <c r="G2533" s="3" t="inlineStr">
        <is>
          <t>신규보고(+)</t>
        </is>
      </c>
      <c r="H2533" s="15" t="n">
        <v>829</v>
      </c>
      <c r="I2533" s="6" t="inlineStr"/>
      <c r="J2533" s="6" t="n">
        <v>829</v>
      </c>
      <c r="K2533" s="16" t="n">
        <v>5.74</v>
      </c>
      <c r="L2533" s="2" t="inlineStr">
        <is>
          <t>20260602000409</t>
        </is>
      </c>
      <c r="M2533" s="8">
        <f>HYPERLINK("https://dart.fss.or.kr/dsaf001/main.do?rcpNo=20260602000409", "공시열람")</f>
        <v/>
      </c>
    </row>
    <row r="2534" ht="22" customHeight="1">
      <c r="A2534" s="2" t="inlineStr">
        <is>
          <t>2026-06-02</t>
        </is>
      </c>
      <c r="B2534" s="3" t="inlineStr">
        <is>
          <t>대호에이엘</t>
        </is>
      </c>
      <c r="C2534" s="2" t="inlineStr">
        <is>
          <t>069460</t>
        </is>
      </c>
      <c r="D2534" s="2" t="inlineStr">
        <is>
          <t>대량보유</t>
        </is>
      </c>
      <c r="E2534" s="3" t="inlineStr">
        <is>
          <t>김천형</t>
        </is>
      </c>
      <c r="F2534" s="3" t="inlineStr">
        <is>
          <t>특별관계자</t>
        </is>
      </c>
      <c r="G2534" s="3" t="inlineStr">
        <is>
          <t>신규보고(+)</t>
        </is>
      </c>
      <c r="H2534" s="15" t="n">
        <v>1062</v>
      </c>
      <c r="I2534" s="6" t="inlineStr"/>
      <c r="J2534" s="6" t="n">
        <v>1062</v>
      </c>
      <c r="K2534" s="16" t="n">
        <v>5.74</v>
      </c>
      <c r="L2534" s="2" t="inlineStr">
        <is>
          <t>20260602000409</t>
        </is>
      </c>
      <c r="M2534" s="8">
        <f>HYPERLINK("https://dart.fss.or.kr/dsaf001/main.do?rcpNo=20260602000409", "공시열람")</f>
        <v/>
      </c>
    </row>
    <row r="2535" ht="22" customHeight="1">
      <c r="A2535" s="2" t="inlineStr">
        <is>
          <t>2026-06-02</t>
        </is>
      </c>
      <c r="B2535" s="3" t="inlineStr">
        <is>
          <t>대호에이엘</t>
        </is>
      </c>
      <c r="C2535" s="2" t="inlineStr">
        <is>
          <t>069460</t>
        </is>
      </c>
      <c r="D2535" s="2" t="inlineStr">
        <is>
          <t>대량보유</t>
        </is>
      </c>
      <c r="E2535" s="3" t="inlineStr">
        <is>
          <t>서정훈</t>
        </is>
      </c>
      <c r="F2535" s="3" t="inlineStr">
        <is>
          <t>특별관계자</t>
        </is>
      </c>
      <c r="G2535" s="3" t="inlineStr">
        <is>
          <t>신규보고(+)</t>
        </is>
      </c>
      <c r="H2535" s="15" t="n">
        <v>12530</v>
      </c>
      <c r="I2535" s="6" t="inlineStr"/>
      <c r="J2535" s="6" t="n">
        <v>12530</v>
      </c>
      <c r="K2535" s="16" t="n">
        <v>5.74</v>
      </c>
      <c r="L2535" s="2" t="inlineStr">
        <is>
          <t>20260602000409</t>
        </is>
      </c>
      <c r="M2535" s="8">
        <f>HYPERLINK("https://dart.fss.or.kr/dsaf001/main.do?rcpNo=20260602000409", "공시열람")</f>
        <v/>
      </c>
    </row>
    <row r="2536" ht="22" customHeight="1">
      <c r="A2536" s="2" t="inlineStr">
        <is>
          <t>2026-06-02</t>
        </is>
      </c>
      <c r="B2536" s="3" t="inlineStr">
        <is>
          <t>대호에이엘</t>
        </is>
      </c>
      <c r="C2536" s="2" t="inlineStr">
        <is>
          <t>069460</t>
        </is>
      </c>
      <c r="D2536" s="2" t="inlineStr">
        <is>
          <t>대량보유</t>
        </is>
      </c>
      <c r="E2536" s="3" t="inlineStr">
        <is>
          <t>김건태</t>
        </is>
      </c>
      <c r="F2536" s="3" t="inlineStr">
        <is>
          <t>특별관계자</t>
        </is>
      </c>
      <c r="G2536" s="3" t="inlineStr">
        <is>
          <t>신규보고(+)</t>
        </is>
      </c>
      <c r="H2536" s="15" t="n">
        <v>600</v>
      </c>
      <c r="I2536" s="6" t="inlineStr"/>
      <c r="J2536" s="6" t="n">
        <v>600</v>
      </c>
      <c r="K2536" s="16" t="n">
        <v>5.74</v>
      </c>
      <c r="L2536" s="2" t="inlineStr">
        <is>
          <t>20260602000409</t>
        </is>
      </c>
      <c r="M2536" s="8">
        <f>HYPERLINK("https://dart.fss.or.kr/dsaf001/main.do?rcpNo=20260602000409", "공시열람")</f>
        <v/>
      </c>
    </row>
    <row r="2537" ht="22" customHeight="1">
      <c r="A2537" s="2" t="inlineStr">
        <is>
          <t>2026-06-02</t>
        </is>
      </c>
      <c r="B2537" s="3" t="inlineStr">
        <is>
          <t>대호에이엘</t>
        </is>
      </c>
      <c r="C2537" s="2" t="inlineStr">
        <is>
          <t>069460</t>
        </is>
      </c>
      <c r="D2537" s="2" t="inlineStr">
        <is>
          <t>대량보유</t>
        </is>
      </c>
      <c r="E2537" s="3" t="inlineStr">
        <is>
          <t>고해찬</t>
        </is>
      </c>
      <c r="F2537" s="3" t="inlineStr">
        <is>
          <t>특별관계자</t>
        </is>
      </c>
      <c r="G2537" s="3" t="inlineStr">
        <is>
          <t>신규보고(+)</t>
        </is>
      </c>
      <c r="H2537" s="15" t="n">
        <v>6337</v>
      </c>
      <c r="I2537" s="6" t="inlineStr"/>
      <c r="J2537" s="6" t="n">
        <v>6337</v>
      </c>
      <c r="K2537" s="16" t="n">
        <v>5.74</v>
      </c>
      <c r="L2537" s="2" t="inlineStr">
        <is>
          <t>20260602000409</t>
        </is>
      </c>
      <c r="M2537" s="8">
        <f>HYPERLINK("https://dart.fss.or.kr/dsaf001/main.do?rcpNo=20260602000409", "공시열람")</f>
        <v/>
      </c>
    </row>
    <row r="2538" ht="22" customHeight="1">
      <c r="A2538" s="2" t="inlineStr">
        <is>
          <t>2026-06-02</t>
        </is>
      </c>
      <c r="B2538" s="3" t="inlineStr">
        <is>
          <t>대호에이엘</t>
        </is>
      </c>
      <c r="C2538" s="2" t="inlineStr">
        <is>
          <t>069460</t>
        </is>
      </c>
      <c r="D2538" s="2" t="inlineStr">
        <is>
          <t>대량보유</t>
        </is>
      </c>
      <c r="E2538" s="3" t="inlineStr">
        <is>
          <t>박성민</t>
        </is>
      </c>
      <c r="F2538" s="3" t="inlineStr">
        <is>
          <t>특별관계자</t>
        </is>
      </c>
      <c r="G2538" s="3" t="inlineStr">
        <is>
          <t>신규보고(+)</t>
        </is>
      </c>
      <c r="H2538" s="15" t="n">
        <v>190</v>
      </c>
      <c r="I2538" s="6" t="inlineStr"/>
      <c r="J2538" s="6" t="n">
        <v>190</v>
      </c>
      <c r="K2538" s="16" t="n">
        <v>5.74</v>
      </c>
      <c r="L2538" s="2" t="inlineStr">
        <is>
          <t>20260602000409</t>
        </is>
      </c>
      <c r="M2538" s="8">
        <f>HYPERLINK("https://dart.fss.or.kr/dsaf001/main.do?rcpNo=20260602000409", "공시열람")</f>
        <v/>
      </c>
    </row>
    <row r="2539" ht="22" customHeight="1">
      <c r="A2539" s="2" t="inlineStr">
        <is>
          <t>2026-06-02</t>
        </is>
      </c>
      <c r="B2539" s="3" t="inlineStr">
        <is>
          <t>대호에이엘</t>
        </is>
      </c>
      <c r="C2539" s="2" t="inlineStr">
        <is>
          <t>069460</t>
        </is>
      </c>
      <c r="D2539" s="2" t="inlineStr">
        <is>
          <t>대량보유</t>
        </is>
      </c>
      <c r="E2539" s="3" t="inlineStr">
        <is>
          <t>성용석</t>
        </is>
      </c>
      <c r="F2539" s="3" t="inlineStr">
        <is>
          <t>특별관계자</t>
        </is>
      </c>
      <c r="G2539" s="3" t="inlineStr">
        <is>
          <t>신규보고(+)</t>
        </is>
      </c>
      <c r="H2539" s="15" t="n">
        <v>240</v>
      </c>
      <c r="I2539" s="6" t="inlineStr"/>
      <c r="J2539" s="6" t="n">
        <v>240</v>
      </c>
      <c r="K2539" s="16" t="n">
        <v>5.74</v>
      </c>
      <c r="L2539" s="2" t="inlineStr">
        <is>
          <t>20260602000409</t>
        </is>
      </c>
      <c r="M2539" s="8">
        <f>HYPERLINK("https://dart.fss.or.kr/dsaf001/main.do?rcpNo=20260602000409", "공시열람")</f>
        <v/>
      </c>
    </row>
    <row r="2540" ht="22" customHeight="1">
      <c r="A2540" s="2" t="inlineStr">
        <is>
          <t>2026-06-02</t>
        </is>
      </c>
      <c r="B2540" s="3" t="inlineStr">
        <is>
          <t>대호에이엘</t>
        </is>
      </c>
      <c r="C2540" s="2" t="inlineStr">
        <is>
          <t>069460</t>
        </is>
      </c>
      <c r="D2540" s="2" t="inlineStr">
        <is>
          <t>대량보유</t>
        </is>
      </c>
      <c r="E2540" s="3" t="inlineStr">
        <is>
          <t>김태미</t>
        </is>
      </c>
      <c r="F2540" s="3" t="inlineStr">
        <is>
          <t>특별관계자</t>
        </is>
      </c>
      <c r="G2540" s="3" t="inlineStr">
        <is>
          <t>신규보고(+)</t>
        </is>
      </c>
      <c r="H2540" s="15" t="n">
        <v>2239</v>
      </c>
      <c r="I2540" s="6" t="inlineStr"/>
      <c r="J2540" s="6" t="n">
        <v>2239</v>
      </c>
      <c r="K2540" s="16" t="n">
        <v>5.74</v>
      </c>
      <c r="L2540" s="2" t="inlineStr">
        <is>
          <t>20260602000409</t>
        </is>
      </c>
      <c r="M2540" s="8">
        <f>HYPERLINK("https://dart.fss.or.kr/dsaf001/main.do?rcpNo=20260602000409", "공시열람")</f>
        <v/>
      </c>
    </row>
    <row r="2541" ht="22" customHeight="1">
      <c r="A2541" s="2" t="inlineStr">
        <is>
          <t>2026-06-02</t>
        </is>
      </c>
      <c r="B2541" s="3" t="inlineStr">
        <is>
          <t>대호에이엘</t>
        </is>
      </c>
      <c r="C2541" s="2" t="inlineStr">
        <is>
          <t>069460</t>
        </is>
      </c>
      <c r="D2541" s="2" t="inlineStr">
        <is>
          <t>대량보유</t>
        </is>
      </c>
      <c r="E2541" s="3" t="inlineStr">
        <is>
          <t>김부섭</t>
        </is>
      </c>
      <c r="F2541" s="3" t="inlineStr">
        <is>
          <t>특별관계자</t>
        </is>
      </c>
      <c r="G2541" s="3" t="inlineStr">
        <is>
          <t>신규보고(+)</t>
        </is>
      </c>
      <c r="H2541" s="15" t="n">
        <v>1711</v>
      </c>
      <c r="I2541" s="6" t="inlineStr"/>
      <c r="J2541" s="6" t="n">
        <v>1711</v>
      </c>
      <c r="K2541" s="16" t="n">
        <v>5.74</v>
      </c>
      <c r="L2541" s="2" t="inlineStr">
        <is>
          <t>20260602000409</t>
        </is>
      </c>
      <c r="M2541" s="8">
        <f>HYPERLINK("https://dart.fss.or.kr/dsaf001/main.do?rcpNo=20260602000409", "공시열람")</f>
        <v/>
      </c>
    </row>
    <row r="2542" ht="22" customHeight="1">
      <c r="A2542" s="2" t="inlineStr">
        <is>
          <t>2026-06-02</t>
        </is>
      </c>
      <c r="B2542" s="3" t="inlineStr">
        <is>
          <t>대호에이엘</t>
        </is>
      </c>
      <c r="C2542" s="2" t="inlineStr">
        <is>
          <t>069460</t>
        </is>
      </c>
      <c r="D2542" s="2" t="inlineStr">
        <is>
          <t>대량보유</t>
        </is>
      </c>
      <c r="E2542" s="3" t="inlineStr">
        <is>
          <t>이상훈</t>
        </is>
      </c>
      <c r="F2542" s="3" t="inlineStr">
        <is>
          <t>특별관계자</t>
        </is>
      </c>
      <c r="G2542" s="3" t="inlineStr">
        <is>
          <t>신규보고(+)</t>
        </is>
      </c>
      <c r="H2542" s="15" t="n">
        <v>2995</v>
      </c>
      <c r="I2542" s="6" t="inlineStr"/>
      <c r="J2542" s="6" t="n">
        <v>2995</v>
      </c>
      <c r="K2542" s="16" t="n">
        <v>5.74</v>
      </c>
      <c r="L2542" s="2" t="inlineStr">
        <is>
          <t>20260602000409</t>
        </is>
      </c>
      <c r="M2542" s="8">
        <f>HYPERLINK("https://dart.fss.or.kr/dsaf001/main.do?rcpNo=20260602000409", "공시열람")</f>
        <v/>
      </c>
    </row>
    <row r="2543" ht="22" customHeight="1">
      <c r="A2543" s="2" t="inlineStr">
        <is>
          <t>2026-06-02</t>
        </is>
      </c>
      <c r="B2543" s="3" t="inlineStr">
        <is>
          <t>대호에이엘</t>
        </is>
      </c>
      <c r="C2543" s="2" t="inlineStr">
        <is>
          <t>069460</t>
        </is>
      </c>
      <c r="D2543" s="2" t="inlineStr">
        <is>
          <t>대량보유</t>
        </is>
      </c>
      <c r="E2543" s="3" t="inlineStr">
        <is>
          <t>이영님</t>
        </is>
      </c>
      <c r="F2543" s="3" t="inlineStr">
        <is>
          <t>특별관계자</t>
        </is>
      </c>
      <c r="G2543" s="3" t="inlineStr">
        <is>
          <t>신규보고(+)</t>
        </is>
      </c>
      <c r="H2543" s="15" t="n">
        <v>1000</v>
      </c>
      <c r="I2543" s="6" t="inlineStr"/>
      <c r="J2543" s="6" t="n">
        <v>1000</v>
      </c>
      <c r="K2543" s="16" t="n">
        <v>5.74</v>
      </c>
      <c r="L2543" s="2" t="inlineStr">
        <is>
          <t>20260602000409</t>
        </is>
      </c>
      <c r="M2543" s="8">
        <f>HYPERLINK("https://dart.fss.or.kr/dsaf001/main.do?rcpNo=20260602000409", "공시열람")</f>
        <v/>
      </c>
    </row>
    <row r="2544" ht="22" customHeight="1">
      <c r="A2544" s="2" t="inlineStr">
        <is>
          <t>2026-06-02</t>
        </is>
      </c>
      <c r="B2544" s="3" t="inlineStr">
        <is>
          <t>대호에이엘</t>
        </is>
      </c>
      <c r="C2544" s="2" t="inlineStr">
        <is>
          <t>069460</t>
        </is>
      </c>
      <c r="D2544" s="2" t="inlineStr">
        <is>
          <t>대량보유</t>
        </is>
      </c>
      <c r="E2544" s="3" t="inlineStr">
        <is>
          <t>정병문</t>
        </is>
      </c>
      <c r="F2544" s="3" t="inlineStr">
        <is>
          <t>특별관계자</t>
        </is>
      </c>
      <c r="G2544" s="3" t="inlineStr">
        <is>
          <t>신규보고(+)</t>
        </is>
      </c>
      <c r="H2544" s="15" t="n">
        <v>174000</v>
      </c>
      <c r="I2544" s="6" t="inlineStr"/>
      <c r="J2544" s="6" t="n">
        <v>174000</v>
      </c>
      <c r="K2544" s="16" t="n">
        <v>5.74</v>
      </c>
      <c r="L2544" s="2" t="inlineStr">
        <is>
          <t>20260602000409</t>
        </is>
      </c>
      <c r="M2544" s="8">
        <f>HYPERLINK("https://dart.fss.or.kr/dsaf001/main.do?rcpNo=20260602000409", "공시열람")</f>
        <v/>
      </c>
    </row>
    <row r="2545" ht="22" customHeight="1">
      <c r="A2545" s="2" t="inlineStr">
        <is>
          <t>2026-06-02</t>
        </is>
      </c>
      <c r="B2545" s="3" t="inlineStr">
        <is>
          <t>대호에이엘</t>
        </is>
      </c>
      <c r="C2545" s="2" t="inlineStr">
        <is>
          <t>069460</t>
        </is>
      </c>
      <c r="D2545" s="2" t="inlineStr">
        <is>
          <t>대량보유</t>
        </is>
      </c>
      <c r="E2545" s="3" t="inlineStr">
        <is>
          <t>김민집</t>
        </is>
      </c>
      <c r="F2545" s="3" t="inlineStr">
        <is>
          <t>특별관계자</t>
        </is>
      </c>
      <c r="G2545" s="3" t="inlineStr">
        <is>
          <t>신규보고(+)</t>
        </is>
      </c>
      <c r="H2545" s="15" t="n">
        <v>12200</v>
      </c>
      <c r="I2545" s="6" t="inlineStr"/>
      <c r="J2545" s="6" t="n">
        <v>12200</v>
      </c>
      <c r="K2545" s="16" t="n">
        <v>5.74</v>
      </c>
      <c r="L2545" s="2" t="inlineStr">
        <is>
          <t>20260602000409</t>
        </is>
      </c>
      <c r="M2545" s="8">
        <f>HYPERLINK("https://dart.fss.or.kr/dsaf001/main.do?rcpNo=20260602000409", "공시열람")</f>
        <v/>
      </c>
    </row>
    <row r="2546" ht="22" customHeight="1">
      <c r="A2546" s="2" t="inlineStr">
        <is>
          <t>2026-06-02</t>
        </is>
      </c>
      <c r="B2546" s="3" t="inlineStr">
        <is>
          <t>대호에이엘</t>
        </is>
      </c>
      <c r="C2546" s="2" t="inlineStr">
        <is>
          <t>069460</t>
        </is>
      </c>
      <c r="D2546" s="2" t="inlineStr">
        <is>
          <t>대량보유</t>
        </is>
      </c>
      <c r="E2546" s="3" t="inlineStr">
        <is>
          <t>류창모</t>
        </is>
      </c>
      <c r="F2546" s="3" t="inlineStr">
        <is>
          <t>특별관계자</t>
        </is>
      </c>
      <c r="G2546" s="3" t="inlineStr">
        <is>
          <t>신규보고(+)</t>
        </is>
      </c>
      <c r="H2546" s="15" t="n">
        <v>16601</v>
      </c>
      <c r="I2546" s="6" t="inlineStr"/>
      <c r="J2546" s="6" t="n">
        <v>16601</v>
      </c>
      <c r="K2546" s="16" t="n">
        <v>5.74</v>
      </c>
      <c r="L2546" s="2" t="inlineStr">
        <is>
          <t>20260602000409</t>
        </is>
      </c>
      <c r="M2546" s="8">
        <f>HYPERLINK("https://dart.fss.or.kr/dsaf001/main.do?rcpNo=20260602000409", "공시열람")</f>
        <v/>
      </c>
    </row>
    <row r="2547" ht="22" customHeight="1">
      <c r="A2547" s="2" t="inlineStr">
        <is>
          <t>2026-06-02</t>
        </is>
      </c>
      <c r="B2547" s="3" t="inlineStr">
        <is>
          <t>대호에이엘</t>
        </is>
      </c>
      <c r="C2547" s="2" t="inlineStr">
        <is>
          <t>069460</t>
        </is>
      </c>
      <c r="D2547" s="2" t="inlineStr">
        <is>
          <t>대량보유</t>
        </is>
      </c>
      <c r="E2547" s="3" t="inlineStr">
        <is>
          <t>조진현</t>
        </is>
      </c>
      <c r="F2547" s="3" t="inlineStr">
        <is>
          <t>특별관계자</t>
        </is>
      </c>
      <c r="G2547" s="3" t="inlineStr">
        <is>
          <t>신규보고(+)</t>
        </is>
      </c>
      <c r="H2547" s="15" t="n">
        <v>7498</v>
      </c>
      <c r="I2547" s="6" t="inlineStr"/>
      <c r="J2547" s="6" t="n">
        <v>7498</v>
      </c>
      <c r="K2547" s="16" t="n">
        <v>5.74</v>
      </c>
      <c r="L2547" s="2" t="inlineStr">
        <is>
          <t>20260602000409</t>
        </is>
      </c>
      <c r="M2547" s="8">
        <f>HYPERLINK("https://dart.fss.or.kr/dsaf001/main.do?rcpNo=20260602000409", "공시열람")</f>
        <v/>
      </c>
    </row>
    <row r="2548" ht="22" customHeight="1">
      <c r="A2548" s="2" t="inlineStr">
        <is>
          <t>2026-06-02</t>
        </is>
      </c>
      <c r="B2548" s="3" t="inlineStr">
        <is>
          <t>대호에이엘</t>
        </is>
      </c>
      <c r="C2548" s="2" t="inlineStr">
        <is>
          <t>069460</t>
        </is>
      </c>
      <c r="D2548" s="2" t="inlineStr">
        <is>
          <t>대량보유</t>
        </is>
      </c>
      <c r="E2548" s="3" t="inlineStr">
        <is>
          <t>최계환</t>
        </is>
      </c>
      <c r="F2548" s="3" t="inlineStr">
        <is>
          <t>특별관계자</t>
        </is>
      </c>
      <c r="G2548" s="3" t="inlineStr">
        <is>
          <t>신규보고(+)</t>
        </is>
      </c>
      <c r="H2548" s="15" t="n">
        <v>8882</v>
      </c>
      <c r="I2548" s="6" t="inlineStr"/>
      <c r="J2548" s="6" t="n">
        <v>8882</v>
      </c>
      <c r="K2548" s="16" t="n">
        <v>5.74</v>
      </c>
      <c r="L2548" s="2" t="inlineStr">
        <is>
          <t>20260602000409</t>
        </is>
      </c>
      <c r="M2548" s="8">
        <f>HYPERLINK("https://dart.fss.or.kr/dsaf001/main.do?rcpNo=20260602000409", "공시열람")</f>
        <v/>
      </c>
    </row>
    <row r="2549" ht="22" customHeight="1">
      <c r="A2549" s="2" t="inlineStr">
        <is>
          <t>2026-06-02</t>
        </is>
      </c>
      <c r="B2549" s="3" t="inlineStr">
        <is>
          <t>대호에이엘</t>
        </is>
      </c>
      <c r="C2549" s="2" t="inlineStr">
        <is>
          <t>069460</t>
        </is>
      </c>
      <c r="D2549" s="2" t="inlineStr">
        <is>
          <t>대량보유</t>
        </is>
      </c>
      <c r="E2549" s="3" t="inlineStr">
        <is>
          <t>백인경</t>
        </is>
      </c>
      <c r="F2549" s="3" t="inlineStr">
        <is>
          <t>특별관계자</t>
        </is>
      </c>
      <c r="G2549" s="3" t="inlineStr">
        <is>
          <t>신규보고(+)</t>
        </is>
      </c>
      <c r="H2549" s="15" t="n">
        <v>527</v>
      </c>
      <c r="I2549" s="6" t="inlineStr"/>
      <c r="J2549" s="6" t="n">
        <v>527</v>
      </c>
      <c r="K2549" s="16" t="n">
        <v>5.74</v>
      </c>
      <c r="L2549" s="2" t="inlineStr">
        <is>
          <t>20260602000409</t>
        </is>
      </c>
      <c r="M2549" s="8">
        <f>HYPERLINK("https://dart.fss.or.kr/dsaf001/main.do?rcpNo=20260602000409", "공시열람")</f>
        <v/>
      </c>
    </row>
    <row r="2550" ht="22" customHeight="1">
      <c r="A2550" s="2" t="inlineStr">
        <is>
          <t>2026-06-02</t>
        </is>
      </c>
      <c r="B2550" s="3" t="inlineStr">
        <is>
          <t>대호에이엘</t>
        </is>
      </c>
      <c r="C2550" s="2" t="inlineStr">
        <is>
          <t>069460</t>
        </is>
      </c>
      <c r="D2550" s="2" t="inlineStr">
        <is>
          <t>대량보유</t>
        </is>
      </c>
      <c r="E2550" s="3" t="inlineStr">
        <is>
          <t>백형복</t>
        </is>
      </c>
      <c r="F2550" s="3" t="inlineStr">
        <is>
          <t>특별관계자</t>
        </is>
      </c>
      <c r="G2550" s="3" t="inlineStr">
        <is>
          <t>신규보고(+)</t>
        </is>
      </c>
      <c r="H2550" s="15" t="n">
        <v>3576</v>
      </c>
      <c r="I2550" s="6" t="inlineStr"/>
      <c r="J2550" s="6" t="n">
        <v>3576</v>
      </c>
      <c r="K2550" s="16" t="n">
        <v>5.74</v>
      </c>
      <c r="L2550" s="2" t="inlineStr">
        <is>
          <t>20260602000409</t>
        </is>
      </c>
      <c r="M2550" s="8">
        <f>HYPERLINK("https://dart.fss.or.kr/dsaf001/main.do?rcpNo=20260602000409", "공시열람")</f>
        <v/>
      </c>
    </row>
    <row r="2551" ht="22" customHeight="1">
      <c r="A2551" s="2" t="inlineStr">
        <is>
          <t>2026-06-02</t>
        </is>
      </c>
      <c r="B2551" s="3" t="inlineStr">
        <is>
          <t>대호에이엘</t>
        </is>
      </c>
      <c r="C2551" s="2" t="inlineStr">
        <is>
          <t>069460</t>
        </is>
      </c>
      <c r="D2551" s="2" t="inlineStr">
        <is>
          <t>대량보유</t>
        </is>
      </c>
      <c r="E2551" s="3" t="inlineStr">
        <is>
          <t>박영종</t>
        </is>
      </c>
      <c r="F2551" s="3" t="inlineStr">
        <is>
          <t>특별관계자</t>
        </is>
      </c>
      <c r="G2551" s="3" t="inlineStr">
        <is>
          <t>신규보고(+)</t>
        </is>
      </c>
      <c r="H2551" s="15" t="n">
        <v>1046</v>
      </c>
      <c r="I2551" s="6" t="inlineStr"/>
      <c r="J2551" s="6" t="n">
        <v>1046</v>
      </c>
      <c r="K2551" s="16" t="n">
        <v>5.74</v>
      </c>
      <c r="L2551" s="2" t="inlineStr">
        <is>
          <t>20260602000409</t>
        </is>
      </c>
      <c r="M2551" s="8">
        <f>HYPERLINK("https://dart.fss.or.kr/dsaf001/main.do?rcpNo=20260602000409", "공시열람")</f>
        <v/>
      </c>
    </row>
    <row r="2552" ht="22" customHeight="1">
      <c r="A2552" s="2" t="inlineStr">
        <is>
          <t>2026-06-02</t>
        </is>
      </c>
      <c r="B2552" s="3" t="inlineStr">
        <is>
          <t>대호에이엘</t>
        </is>
      </c>
      <c r="C2552" s="2" t="inlineStr">
        <is>
          <t>069460</t>
        </is>
      </c>
      <c r="D2552" s="2" t="inlineStr">
        <is>
          <t>대량보유</t>
        </is>
      </c>
      <c r="E2552" s="3" t="inlineStr">
        <is>
          <t>박형란</t>
        </is>
      </c>
      <c r="F2552" s="3" t="inlineStr">
        <is>
          <t>특별관계자</t>
        </is>
      </c>
      <c r="G2552" s="3" t="inlineStr">
        <is>
          <t>신규보고(+)</t>
        </is>
      </c>
      <c r="H2552" s="15" t="n">
        <v>1606</v>
      </c>
      <c r="I2552" s="6" t="inlineStr"/>
      <c r="J2552" s="6" t="n">
        <v>1606</v>
      </c>
      <c r="K2552" s="16" t="n">
        <v>5.74</v>
      </c>
      <c r="L2552" s="2" t="inlineStr">
        <is>
          <t>20260602000409</t>
        </is>
      </c>
      <c r="M2552" s="8">
        <f>HYPERLINK("https://dart.fss.or.kr/dsaf001/main.do?rcpNo=20260602000409", "공시열람")</f>
        <v/>
      </c>
    </row>
    <row r="2553" ht="22" customHeight="1">
      <c r="A2553" s="2" t="inlineStr">
        <is>
          <t>2026-06-02</t>
        </is>
      </c>
      <c r="B2553" s="3" t="inlineStr">
        <is>
          <t>대호에이엘</t>
        </is>
      </c>
      <c r="C2553" s="2" t="inlineStr">
        <is>
          <t>069460</t>
        </is>
      </c>
      <c r="D2553" s="2" t="inlineStr">
        <is>
          <t>대량보유</t>
        </is>
      </c>
      <c r="E2553" s="3" t="inlineStr">
        <is>
          <t>손다솜</t>
        </is>
      </c>
      <c r="F2553" s="3" t="inlineStr">
        <is>
          <t>특별관계자</t>
        </is>
      </c>
      <c r="G2553" s="3" t="inlineStr">
        <is>
          <t>신규보고(+)</t>
        </is>
      </c>
      <c r="H2553" s="15" t="n">
        <v>512</v>
      </c>
      <c r="I2553" s="6" t="inlineStr"/>
      <c r="J2553" s="6" t="n">
        <v>512</v>
      </c>
      <c r="K2553" s="16" t="n">
        <v>5.74</v>
      </c>
      <c r="L2553" s="2" t="inlineStr">
        <is>
          <t>20260602000409</t>
        </is>
      </c>
      <c r="M2553" s="8">
        <f>HYPERLINK("https://dart.fss.or.kr/dsaf001/main.do?rcpNo=20260602000409", "공시열람")</f>
        <v/>
      </c>
    </row>
    <row r="2554" ht="22" customHeight="1">
      <c r="A2554" s="2" t="inlineStr">
        <is>
          <t>2026-06-02</t>
        </is>
      </c>
      <c r="B2554" s="3" t="inlineStr">
        <is>
          <t>대호에이엘</t>
        </is>
      </c>
      <c r="C2554" s="2" t="inlineStr">
        <is>
          <t>069460</t>
        </is>
      </c>
      <c r="D2554" s="2" t="inlineStr">
        <is>
          <t>대량보유</t>
        </is>
      </c>
      <c r="E2554" s="3" t="inlineStr">
        <is>
          <t>정승재</t>
        </is>
      </c>
      <c r="F2554" s="3" t="inlineStr">
        <is>
          <t>특별관계자</t>
        </is>
      </c>
      <c r="G2554" s="3" t="inlineStr">
        <is>
          <t>신규보고(+)</t>
        </is>
      </c>
      <c r="H2554" s="15" t="n">
        <v>9079</v>
      </c>
      <c r="I2554" s="6" t="inlineStr"/>
      <c r="J2554" s="6" t="n">
        <v>9079</v>
      </c>
      <c r="K2554" s="16" t="n">
        <v>5.74</v>
      </c>
      <c r="L2554" s="2" t="inlineStr">
        <is>
          <t>20260602000409</t>
        </is>
      </c>
      <c r="M2554" s="8">
        <f>HYPERLINK("https://dart.fss.or.kr/dsaf001/main.do?rcpNo=20260602000409", "공시열람")</f>
        <v/>
      </c>
    </row>
    <row r="2555" ht="22" customHeight="1">
      <c r="A2555" s="2" t="inlineStr">
        <is>
          <t>2026-06-02</t>
        </is>
      </c>
      <c r="B2555" s="3" t="inlineStr">
        <is>
          <t>대호에이엘</t>
        </is>
      </c>
      <c r="C2555" s="2" t="inlineStr">
        <is>
          <t>069460</t>
        </is>
      </c>
      <c r="D2555" s="2" t="inlineStr">
        <is>
          <t>대량보유</t>
        </is>
      </c>
      <c r="E2555" s="3" t="inlineStr">
        <is>
          <t>박봉광</t>
        </is>
      </c>
      <c r="F2555" s="3" t="inlineStr">
        <is>
          <t>특별관계자</t>
        </is>
      </c>
      <c r="G2555" s="3" t="inlineStr">
        <is>
          <t>신규보고(+)</t>
        </is>
      </c>
      <c r="H2555" s="15" t="n">
        <v>24725</v>
      </c>
      <c r="I2555" s="6" t="inlineStr"/>
      <c r="J2555" s="6" t="n">
        <v>24725</v>
      </c>
      <c r="K2555" s="16" t="n">
        <v>5.74</v>
      </c>
      <c r="L2555" s="2" t="inlineStr">
        <is>
          <t>20260602000409</t>
        </is>
      </c>
      <c r="M2555" s="8">
        <f>HYPERLINK("https://dart.fss.or.kr/dsaf001/main.do?rcpNo=20260602000409", "공시열람")</f>
        <v/>
      </c>
    </row>
    <row r="2556" ht="22" customHeight="1">
      <c r="A2556" s="2" t="inlineStr">
        <is>
          <t>2026-06-02</t>
        </is>
      </c>
      <c r="B2556" s="3" t="inlineStr">
        <is>
          <t>대호에이엘</t>
        </is>
      </c>
      <c r="C2556" s="2" t="inlineStr">
        <is>
          <t>069460</t>
        </is>
      </c>
      <c r="D2556" s="2" t="inlineStr">
        <is>
          <t>대량보유</t>
        </is>
      </c>
      <c r="E2556" s="3" t="inlineStr">
        <is>
          <t>이선화</t>
        </is>
      </c>
      <c r="F2556" s="3" t="inlineStr">
        <is>
          <t>특별관계자</t>
        </is>
      </c>
      <c r="G2556" s="3" t="inlineStr">
        <is>
          <t>신규보고(+)</t>
        </is>
      </c>
      <c r="H2556" s="15" t="n">
        <v>386</v>
      </c>
      <c r="I2556" s="6" t="inlineStr"/>
      <c r="J2556" s="6" t="n">
        <v>386</v>
      </c>
      <c r="K2556" s="16" t="n">
        <v>5.74</v>
      </c>
      <c r="L2556" s="2" t="inlineStr">
        <is>
          <t>20260602000409</t>
        </is>
      </c>
      <c r="M2556" s="8">
        <f>HYPERLINK("https://dart.fss.or.kr/dsaf001/main.do?rcpNo=20260602000409", "공시열람")</f>
        <v/>
      </c>
    </row>
    <row r="2557" ht="22" customHeight="1">
      <c r="A2557" s="2" t="inlineStr">
        <is>
          <t>2026-06-02</t>
        </is>
      </c>
      <c r="B2557" s="3" t="inlineStr">
        <is>
          <t>대호에이엘</t>
        </is>
      </c>
      <c r="C2557" s="2" t="inlineStr">
        <is>
          <t>069460</t>
        </is>
      </c>
      <c r="D2557" s="2" t="inlineStr">
        <is>
          <t>대량보유</t>
        </is>
      </c>
      <c r="E2557" s="3" t="inlineStr">
        <is>
          <t>김상헌</t>
        </is>
      </c>
      <c r="F2557" s="3" t="inlineStr">
        <is>
          <t>특별관계자</t>
        </is>
      </c>
      <c r="G2557" s="3" t="inlineStr">
        <is>
          <t>신규보고(+)</t>
        </is>
      </c>
      <c r="H2557" s="15" t="n">
        <v>15220</v>
      </c>
      <c r="I2557" s="6" t="inlineStr"/>
      <c r="J2557" s="6" t="n">
        <v>15220</v>
      </c>
      <c r="K2557" s="16" t="n">
        <v>5.74</v>
      </c>
      <c r="L2557" s="2" t="inlineStr">
        <is>
          <t>20260602000409</t>
        </is>
      </c>
      <c r="M2557" s="8">
        <f>HYPERLINK("https://dart.fss.or.kr/dsaf001/main.do?rcpNo=20260602000409", "공시열람")</f>
        <v/>
      </c>
    </row>
    <row r="2558" ht="22" customHeight="1">
      <c r="A2558" s="2" t="inlineStr">
        <is>
          <t>2026-06-02</t>
        </is>
      </c>
      <c r="B2558" s="3" t="inlineStr">
        <is>
          <t>대호에이엘</t>
        </is>
      </c>
      <c r="C2558" s="2" t="inlineStr">
        <is>
          <t>069460</t>
        </is>
      </c>
      <c r="D2558" s="2" t="inlineStr">
        <is>
          <t>대량보유</t>
        </is>
      </c>
      <c r="E2558" s="3" t="inlineStr">
        <is>
          <t>허윤범</t>
        </is>
      </c>
      <c r="F2558" s="3" t="inlineStr">
        <is>
          <t>특별관계자</t>
        </is>
      </c>
      <c r="G2558" s="3" t="inlineStr">
        <is>
          <t>신규보고(+)</t>
        </is>
      </c>
      <c r="H2558" s="15" t="n">
        <v>1877</v>
      </c>
      <c r="I2558" s="6" t="inlineStr"/>
      <c r="J2558" s="6" t="n">
        <v>1877</v>
      </c>
      <c r="K2558" s="16" t="n">
        <v>5.74</v>
      </c>
      <c r="L2558" s="2" t="inlineStr">
        <is>
          <t>20260602000409</t>
        </is>
      </c>
      <c r="M2558" s="8">
        <f>HYPERLINK("https://dart.fss.or.kr/dsaf001/main.do?rcpNo=20260602000409", "공시열람")</f>
        <v/>
      </c>
    </row>
    <row r="2559" ht="22" customHeight="1">
      <c r="A2559" s="2" t="inlineStr">
        <is>
          <t>2026-06-02</t>
        </is>
      </c>
      <c r="B2559" s="3" t="inlineStr">
        <is>
          <t>대호에이엘</t>
        </is>
      </c>
      <c r="C2559" s="2" t="inlineStr">
        <is>
          <t>069460</t>
        </is>
      </c>
      <c r="D2559" s="2" t="inlineStr">
        <is>
          <t>대량보유</t>
        </is>
      </c>
      <c r="E2559" s="3" t="inlineStr">
        <is>
          <t>김용섭</t>
        </is>
      </c>
      <c r="F2559" s="3" t="inlineStr">
        <is>
          <t>특별관계자</t>
        </is>
      </c>
      <c r="G2559" s="3" t="inlineStr">
        <is>
          <t>신규보고(+)</t>
        </is>
      </c>
      <c r="H2559" s="15" t="n">
        <v>4122</v>
      </c>
      <c r="I2559" s="6" t="inlineStr"/>
      <c r="J2559" s="6" t="n">
        <v>4122</v>
      </c>
      <c r="K2559" s="16" t="n">
        <v>5.74</v>
      </c>
      <c r="L2559" s="2" t="inlineStr">
        <is>
          <t>20260602000409</t>
        </is>
      </c>
      <c r="M2559" s="8">
        <f>HYPERLINK("https://dart.fss.or.kr/dsaf001/main.do?rcpNo=20260602000409", "공시열람")</f>
        <v/>
      </c>
    </row>
    <row r="2560" ht="22" customHeight="1">
      <c r="A2560" s="2" t="inlineStr">
        <is>
          <t>2026-06-02</t>
        </is>
      </c>
      <c r="B2560" s="3" t="inlineStr">
        <is>
          <t>대호에이엘</t>
        </is>
      </c>
      <c r="C2560" s="2" t="inlineStr">
        <is>
          <t>069460</t>
        </is>
      </c>
      <c r="D2560" s="2" t="inlineStr">
        <is>
          <t>대량보유</t>
        </is>
      </c>
      <c r="E2560" s="3" t="inlineStr">
        <is>
          <t>강일평</t>
        </is>
      </c>
      <c r="F2560" s="3" t="inlineStr">
        <is>
          <t>특별관계자</t>
        </is>
      </c>
      <c r="G2560" s="3" t="inlineStr">
        <is>
          <t>신규보고(+)</t>
        </is>
      </c>
      <c r="H2560" s="15" t="n">
        <v>4509</v>
      </c>
      <c r="I2560" s="6" t="inlineStr"/>
      <c r="J2560" s="6" t="n">
        <v>4509</v>
      </c>
      <c r="K2560" s="16" t="n">
        <v>5.74</v>
      </c>
      <c r="L2560" s="2" t="inlineStr">
        <is>
          <t>20260602000409</t>
        </is>
      </c>
      <c r="M2560" s="8">
        <f>HYPERLINK("https://dart.fss.or.kr/dsaf001/main.do?rcpNo=20260602000409", "공시열람")</f>
        <v/>
      </c>
    </row>
    <row r="2561" ht="22" customHeight="1">
      <c r="A2561" s="2" t="inlineStr">
        <is>
          <t>2026-06-02</t>
        </is>
      </c>
      <c r="B2561" s="3" t="inlineStr">
        <is>
          <t>대호에이엘</t>
        </is>
      </c>
      <c r="C2561" s="2" t="inlineStr">
        <is>
          <t>069460</t>
        </is>
      </c>
      <c r="D2561" s="2" t="inlineStr">
        <is>
          <t>대량보유</t>
        </is>
      </c>
      <c r="E2561" s="3" t="inlineStr">
        <is>
          <t>백성현</t>
        </is>
      </c>
      <c r="F2561" s="3" t="inlineStr">
        <is>
          <t>특별관계자</t>
        </is>
      </c>
      <c r="G2561" s="3" t="inlineStr">
        <is>
          <t>신규보고(+)</t>
        </is>
      </c>
      <c r="H2561" s="15" t="n">
        <v>41717</v>
      </c>
      <c r="I2561" s="6" t="inlineStr"/>
      <c r="J2561" s="6" t="n">
        <v>41717</v>
      </c>
      <c r="K2561" s="16" t="n">
        <v>5.74</v>
      </c>
      <c r="L2561" s="2" t="inlineStr">
        <is>
          <t>20260602000409</t>
        </is>
      </c>
      <c r="M2561" s="8">
        <f>HYPERLINK("https://dart.fss.or.kr/dsaf001/main.do?rcpNo=20260602000409", "공시열람")</f>
        <v/>
      </c>
    </row>
    <row r="2562" ht="22" customHeight="1">
      <c r="A2562" s="2" t="inlineStr">
        <is>
          <t>2026-06-02</t>
        </is>
      </c>
      <c r="B2562" s="3" t="inlineStr">
        <is>
          <t>대호에이엘</t>
        </is>
      </c>
      <c r="C2562" s="2" t="inlineStr">
        <is>
          <t>069460</t>
        </is>
      </c>
      <c r="D2562" s="2" t="inlineStr">
        <is>
          <t>대량보유</t>
        </is>
      </c>
      <c r="E2562" s="3" t="inlineStr">
        <is>
          <t>박도영</t>
        </is>
      </c>
      <c r="F2562" s="3" t="inlineStr">
        <is>
          <t>특별관계자</t>
        </is>
      </c>
      <c r="G2562" s="3" t="inlineStr">
        <is>
          <t>신규보고(+)</t>
        </is>
      </c>
      <c r="H2562" s="15" t="n">
        <v>96840</v>
      </c>
      <c r="I2562" s="6" t="inlineStr"/>
      <c r="J2562" s="6" t="n">
        <v>96840</v>
      </c>
      <c r="K2562" s="16" t="n">
        <v>5.74</v>
      </c>
      <c r="L2562" s="2" t="inlineStr">
        <is>
          <t>20260602000409</t>
        </is>
      </c>
      <c r="M2562" s="8">
        <f>HYPERLINK("https://dart.fss.or.kr/dsaf001/main.do?rcpNo=20260602000409", "공시열람")</f>
        <v/>
      </c>
    </row>
    <row r="2563" ht="22" customHeight="1">
      <c r="A2563" s="2" t="inlineStr">
        <is>
          <t>2026-06-02</t>
        </is>
      </c>
      <c r="B2563" s="3" t="inlineStr">
        <is>
          <t>대호에이엘</t>
        </is>
      </c>
      <c r="C2563" s="2" t="inlineStr">
        <is>
          <t>069460</t>
        </is>
      </c>
      <c r="D2563" s="2" t="inlineStr">
        <is>
          <t>대량보유</t>
        </is>
      </c>
      <c r="E2563" s="3" t="inlineStr">
        <is>
          <t>백남호</t>
        </is>
      </c>
      <c r="F2563" s="3" t="inlineStr">
        <is>
          <t>특별관계자</t>
        </is>
      </c>
      <c r="G2563" s="3" t="inlineStr">
        <is>
          <t>신규보고(+)</t>
        </is>
      </c>
      <c r="H2563" s="15" t="n">
        <v>1390</v>
      </c>
      <c r="I2563" s="6" t="inlineStr"/>
      <c r="J2563" s="6" t="n">
        <v>1390</v>
      </c>
      <c r="K2563" s="16" t="n">
        <v>5.74</v>
      </c>
      <c r="L2563" s="2" t="inlineStr">
        <is>
          <t>20260602000409</t>
        </is>
      </c>
      <c r="M2563" s="8">
        <f>HYPERLINK("https://dart.fss.or.kr/dsaf001/main.do?rcpNo=20260602000409", "공시열람")</f>
        <v/>
      </c>
    </row>
    <row r="2564" ht="22" customHeight="1">
      <c r="A2564" s="2" t="inlineStr">
        <is>
          <t>2026-06-02</t>
        </is>
      </c>
      <c r="B2564" s="3" t="inlineStr">
        <is>
          <t>대호에이엘</t>
        </is>
      </c>
      <c r="C2564" s="2" t="inlineStr">
        <is>
          <t>069460</t>
        </is>
      </c>
      <c r="D2564" s="2" t="inlineStr">
        <is>
          <t>대량보유</t>
        </is>
      </c>
      <c r="E2564" s="3" t="inlineStr">
        <is>
          <t>장성호</t>
        </is>
      </c>
      <c r="F2564" s="3" t="inlineStr">
        <is>
          <t>특별관계자</t>
        </is>
      </c>
      <c r="G2564" s="3" t="inlineStr">
        <is>
          <t>신규보고(+)</t>
        </is>
      </c>
      <c r="H2564" s="15" t="n">
        <v>13949</v>
      </c>
      <c r="I2564" s="6" t="inlineStr"/>
      <c r="J2564" s="6" t="n">
        <v>13949</v>
      </c>
      <c r="K2564" s="16" t="n">
        <v>5.74</v>
      </c>
      <c r="L2564" s="2" t="inlineStr">
        <is>
          <t>20260602000409</t>
        </is>
      </c>
      <c r="M2564" s="8">
        <f>HYPERLINK("https://dart.fss.or.kr/dsaf001/main.do?rcpNo=20260602000409", "공시열람")</f>
        <v/>
      </c>
    </row>
    <row r="2565" ht="22" customHeight="1">
      <c r="A2565" s="2" t="inlineStr">
        <is>
          <t>2026-06-02</t>
        </is>
      </c>
      <c r="B2565" s="3" t="inlineStr">
        <is>
          <t>대호에이엘</t>
        </is>
      </c>
      <c r="C2565" s="2" t="inlineStr">
        <is>
          <t>069460</t>
        </is>
      </c>
      <c r="D2565" s="2" t="inlineStr">
        <is>
          <t>대량보유</t>
        </is>
      </c>
      <c r="E2565" s="3" t="inlineStr">
        <is>
          <t>조영호</t>
        </is>
      </c>
      <c r="F2565" s="3" t="inlineStr">
        <is>
          <t>특별관계자</t>
        </is>
      </c>
      <c r="G2565" s="3" t="inlineStr">
        <is>
          <t>신규보고(+)</t>
        </is>
      </c>
      <c r="H2565" s="15" t="n">
        <v>174</v>
      </c>
      <c r="I2565" s="6" t="inlineStr"/>
      <c r="J2565" s="6" t="n">
        <v>174</v>
      </c>
      <c r="K2565" s="16" t="n">
        <v>5.74</v>
      </c>
      <c r="L2565" s="2" t="inlineStr">
        <is>
          <t>20260602000409</t>
        </is>
      </c>
      <c r="M2565" s="8">
        <f>HYPERLINK("https://dart.fss.or.kr/dsaf001/main.do?rcpNo=20260602000409", "공시열람")</f>
        <v/>
      </c>
    </row>
    <row r="2566" ht="22" customHeight="1">
      <c r="A2566" s="2" t="inlineStr">
        <is>
          <t>2026-06-02</t>
        </is>
      </c>
      <c r="B2566" s="3" t="inlineStr">
        <is>
          <t>대호에이엘</t>
        </is>
      </c>
      <c r="C2566" s="2" t="inlineStr">
        <is>
          <t>069460</t>
        </is>
      </c>
      <c r="D2566" s="2" t="inlineStr">
        <is>
          <t>대량보유</t>
        </is>
      </c>
      <c r="E2566" s="3" t="inlineStr">
        <is>
          <t>권은성</t>
        </is>
      </c>
      <c r="F2566" s="3" t="inlineStr">
        <is>
          <t>특별관계자</t>
        </is>
      </c>
      <c r="G2566" s="3" t="inlineStr">
        <is>
          <t>신규보고(+)</t>
        </is>
      </c>
      <c r="H2566" s="15" t="n">
        <v>2100</v>
      </c>
      <c r="I2566" s="6" t="inlineStr"/>
      <c r="J2566" s="6" t="n">
        <v>2100</v>
      </c>
      <c r="K2566" s="16" t="n">
        <v>5.74</v>
      </c>
      <c r="L2566" s="2" t="inlineStr">
        <is>
          <t>20260602000409</t>
        </is>
      </c>
      <c r="M2566" s="8">
        <f>HYPERLINK("https://dart.fss.or.kr/dsaf001/main.do?rcpNo=20260602000409", "공시열람")</f>
        <v/>
      </c>
    </row>
    <row r="2567" ht="22" customHeight="1">
      <c r="A2567" s="2" t="inlineStr">
        <is>
          <t>2026-06-02</t>
        </is>
      </c>
      <c r="B2567" s="3" t="inlineStr">
        <is>
          <t>대호에이엘</t>
        </is>
      </c>
      <c r="C2567" s="2" t="inlineStr">
        <is>
          <t>069460</t>
        </is>
      </c>
      <c r="D2567" s="2" t="inlineStr">
        <is>
          <t>대량보유</t>
        </is>
      </c>
      <c r="E2567" s="3" t="inlineStr">
        <is>
          <t>손원일</t>
        </is>
      </c>
      <c r="F2567" s="3" t="inlineStr">
        <is>
          <t>특별관계자</t>
        </is>
      </c>
      <c r="G2567" s="3" t="inlineStr">
        <is>
          <t>신규보고(+)</t>
        </is>
      </c>
      <c r="H2567" s="15" t="n">
        <v>22567</v>
      </c>
      <c r="I2567" s="6" t="inlineStr"/>
      <c r="J2567" s="6" t="n">
        <v>22567</v>
      </c>
      <c r="K2567" s="16" t="n">
        <v>5.74</v>
      </c>
      <c r="L2567" s="2" t="inlineStr">
        <is>
          <t>20260602000409</t>
        </is>
      </c>
      <c r="M2567" s="8">
        <f>HYPERLINK("https://dart.fss.or.kr/dsaf001/main.do?rcpNo=20260602000409", "공시열람")</f>
        <v/>
      </c>
    </row>
    <row r="2568" ht="22" customHeight="1">
      <c r="A2568" s="2" t="inlineStr">
        <is>
          <t>2026-06-02</t>
        </is>
      </c>
      <c r="B2568" s="3" t="inlineStr">
        <is>
          <t>대호에이엘</t>
        </is>
      </c>
      <c r="C2568" s="2" t="inlineStr">
        <is>
          <t>069460</t>
        </is>
      </c>
      <c r="D2568" s="2" t="inlineStr">
        <is>
          <t>대량보유</t>
        </is>
      </c>
      <c r="E2568" s="3" t="inlineStr">
        <is>
          <t>신희수</t>
        </is>
      </c>
      <c r="F2568" s="3" t="inlineStr">
        <is>
          <t>특별관계자</t>
        </is>
      </c>
      <c r="G2568" s="3" t="inlineStr">
        <is>
          <t>신규보고(+)</t>
        </is>
      </c>
      <c r="H2568" s="15" t="n">
        <v>4139</v>
      </c>
      <c r="I2568" s="6" t="inlineStr"/>
      <c r="J2568" s="6" t="n">
        <v>4139</v>
      </c>
      <c r="K2568" s="16" t="n">
        <v>5.74</v>
      </c>
      <c r="L2568" s="2" t="inlineStr">
        <is>
          <t>20260602000409</t>
        </is>
      </c>
      <c r="M2568" s="8">
        <f>HYPERLINK("https://dart.fss.or.kr/dsaf001/main.do?rcpNo=20260602000409", "공시열람")</f>
        <v/>
      </c>
    </row>
    <row r="2569" ht="22" customHeight="1">
      <c r="A2569" s="2" t="inlineStr">
        <is>
          <t>2026-06-02</t>
        </is>
      </c>
      <c r="B2569" s="3" t="inlineStr">
        <is>
          <t>대호에이엘</t>
        </is>
      </c>
      <c r="C2569" s="2" t="inlineStr">
        <is>
          <t>069460</t>
        </is>
      </c>
      <c r="D2569" s="2" t="inlineStr">
        <is>
          <t>대량보유</t>
        </is>
      </c>
      <c r="E2569" s="3" t="inlineStr">
        <is>
          <t>김우광</t>
        </is>
      </c>
      <c r="F2569" s="3" t="inlineStr">
        <is>
          <t>특별관계자</t>
        </is>
      </c>
      <c r="G2569" s="3" t="inlineStr">
        <is>
          <t>신규보고(+)</t>
        </is>
      </c>
      <c r="H2569" s="15" t="n">
        <v>2500</v>
      </c>
      <c r="I2569" s="6" t="inlineStr"/>
      <c r="J2569" s="6" t="n">
        <v>2500</v>
      </c>
      <c r="K2569" s="16" t="n">
        <v>5.74</v>
      </c>
      <c r="L2569" s="2" t="inlineStr">
        <is>
          <t>20260602000409</t>
        </is>
      </c>
      <c r="M2569" s="8">
        <f>HYPERLINK("https://dart.fss.or.kr/dsaf001/main.do?rcpNo=20260602000409", "공시열람")</f>
        <v/>
      </c>
    </row>
    <row r="2570" ht="22" customHeight="1">
      <c r="A2570" s="2" t="inlineStr">
        <is>
          <t>2026-06-02</t>
        </is>
      </c>
      <c r="B2570" s="3" t="inlineStr">
        <is>
          <t>대호에이엘</t>
        </is>
      </c>
      <c r="C2570" s="2" t="inlineStr">
        <is>
          <t>069460</t>
        </is>
      </c>
      <c r="D2570" s="2" t="inlineStr">
        <is>
          <t>대량보유</t>
        </is>
      </c>
      <c r="E2570" s="3" t="inlineStr">
        <is>
          <t>변재온</t>
        </is>
      </c>
      <c r="F2570" s="3" t="inlineStr">
        <is>
          <t>특별관계자</t>
        </is>
      </c>
      <c r="G2570" s="3" t="inlineStr">
        <is>
          <t>신규보고(+)</t>
        </is>
      </c>
      <c r="H2570" s="15" t="n">
        <v>721</v>
      </c>
      <c r="I2570" s="6" t="inlineStr"/>
      <c r="J2570" s="6" t="n">
        <v>721</v>
      </c>
      <c r="K2570" s="16" t="n">
        <v>5.74</v>
      </c>
      <c r="L2570" s="2" t="inlineStr">
        <is>
          <t>20260602000409</t>
        </is>
      </c>
      <c r="M2570" s="8">
        <f>HYPERLINK("https://dart.fss.or.kr/dsaf001/main.do?rcpNo=20260602000409", "공시열람")</f>
        <v/>
      </c>
    </row>
    <row r="2571" ht="22" customHeight="1">
      <c r="A2571" s="2" t="inlineStr">
        <is>
          <t>2026-06-02</t>
        </is>
      </c>
      <c r="B2571" s="3" t="inlineStr">
        <is>
          <t>대호에이엘</t>
        </is>
      </c>
      <c r="C2571" s="2" t="inlineStr">
        <is>
          <t>069460</t>
        </is>
      </c>
      <c r="D2571" s="2" t="inlineStr">
        <is>
          <t>대량보유</t>
        </is>
      </c>
      <c r="E2571" s="3" t="inlineStr">
        <is>
          <t>강택연</t>
        </is>
      </c>
      <c r="F2571" s="3" t="inlineStr">
        <is>
          <t>특별관계자</t>
        </is>
      </c>
      <c r="G2571" s="3" t="inlineStr">
        <is>
          <t>신규보고(+)</t>
        </is>
      </c>
      <c r="H2571" s="15" t="n">
        <v>3375</v>
      </c>
      <c r="I2571" s="6" t="inlineStr"/>
      <c r="J2571" s="6" t="n">
        <v>3375</v>
      </c>
      <c r="K2571" s="16" t="n">
        <v>5.74</v>
      </c>
      <c r="L2571" s="2" t="inlineStr">
        <is>
          <t>20260602000409</t>
        </is>
      </c>
      <c r="M2571" s="8">
        <f>HYPERLINK("https://dart.fss.or.kr/dsaf001/main.do?rcpNo=20260602000409", "공시열람")</f>
        <v/>
      </c>
    </row>
    <row r="2572" ht="22" customHeight="1">
      <c r="A2572" s="2" t="inlineStr">
        <is>
          <t>2026-06-02</t>
        </is>
      </c>
      <c r="B2572" s="3" t="inlineStr">
        <is>
          <t>대호에이엘</t>
        </is>
      </c>
      <c r="C2572" s="2" t="inlineStr">
        <is>
          <t>069460</t>
        </is>
      </c>
      <c r="D2572" s="2" t="inlineStr">
        <is>
          <t>대량보유</t>
        </is>
      </c>
      <c r="E2572" s="3" t="inlineStr">
        <is>
          <t>박찬욱</t>
        </is>
      </c>
      <c r="F2572" s="3" t="inlineStr">
        <is>
          <t>특별관계자</t>
        </is>
      </c>
      <c r="G2572" s="3" t="inlineStr">
        <is>
          <t>신규보고(+)</t>
        </is>
      </c>
      <c r="H2572" s="15" t="n">
        <v>5932</v>
      </c>
      <c r="I2572" s="6" t="inlineStr"/>
      <c r="J2572" s="6" t="n">
        <v>5932</v>
      </c>
      <c r="K2572" s="16" t="n">
        <v>5.74</v>
      </c>
      <c r="L2572" s="2" t="inlineStr">
        <is>
          <t>20260602000409</t>
        </is>
      </c>
      <c r="M2572" s="8">
        <f>HYPERLINK("https://dart.fss.or.kr/dsaf001/main.do?rcpNo=20260602000409", "공시열람")</f>
        <v/>
      </c>
    </row>
    <row r="2573" ht="22" customHeight="1">
      <c r="A2573" s="2" t="inlineStr">
        <is>
          <t>2026-06-02</t>
        </is>
      </c>
      <c r="B2573" s="3" t="inlineStr">
        <is>
          <t>대호에이엘</t>
        </is>
      </c>
      <c r="C2573" s="2" t="inlineStr">
        <is>
          <t>069460</t>
        </is>
      </c>
      <c r="D2573" s="2" t="inlineStr">
        <is>
          <t>대량보유</t>
        </is>
      </c>
      <c r="E2573" s="3" t="inlineStr">
        <is>
          <t>박지성</t>
        </is>
      </c>
      <c r="F2573" s="3" t="inlineStr">
        <is>
          <t>특별관계자</t>
        </is>
      </c>
      <c r="G2573" s="3" t="inlineStr">
        <is>
          <t>신규보고(+)</t>
        </is>
      </c>
      <c r="H2573" s="15" t="n">
        <v>10445</v>
      </c>
      <c r="I2573" s="6" t="inlineStr"/>
      <c r="J2573" s="6" t="n">
        <v>10445</v>
      </c>
      <c r="K2573" s="16" t="n">
        <v>5.74</v>
      </c>
      <c r="L2573" s="2" t="inlineStr">
        <is>
          <t>20260602000409</t>
        </is>
      </c>
      <c r="M2573" s="8">
        <f>HYPERLINK("https://dart.fss.or.kr/dsaf001/main.do?rcpNo=20260602000409", "공시열람")</f>
        <v/>
      </c>
    </row>
    <row r="2574" ht="22" customHeight="1">
      <c r="A2574" s="2" t="inlineStr">
        <is>
          <t>2026-06-02</t>
        </is>
      </c>
      <c r="B2574" s="3" t="inlineStr">
        <is>
          <t>대호에이엘</t>
        </is>
      </c>
      <c r="C2574" s="2" t="inlineStr">
        <is>
          <t>069460</t>
        </is>
      </c>
      <c r="D2574" s="2" t="inlineStr">
        <is>
          <t>대량보유</t>
        </is>
      </c>
      <c r="E2574" s="3" t="inlineStr">
        <is>
          <t>이경연</t>
        </is>
      </c>
      <c r="F2574" s="3" t="inlineStr">
        <is>
          <t>특별관계자</t>
        </is>
      </c>
      <c r="G2574" s="3" t="inlineStr">
        <is>
          <t>신규보고(+)</t>
        </is>
      </c>
      <c r="H2574" s="15" t="n">
        <v>1100</v>
      </c>
      <c r="I2574" s="6" t="inlineStr"/>
      <c r="J2574" s="6" t="n">
        <v>1100</v>
      </c>
      <c r="K2574" s="16" t="n">
        <v>5.74</v>
      </c>
      <c r="L2574" s="2" t="inlineStr">
        <is>
          <t>20260602000409</t>
        </is>
      </c>
      <c r="M2574" s="8">
        <f>HYPERLINK("https://dart.fss.or.kr/dsaf001/main.do?rcpNo=20260602000409", "공시열람")</f>
        <v/>
      </c>
    </row>
    <row r="2575" ht="22" customHeight="1">
      <c r="A2575" s="2" t="inlineStr">
        <is>
          <t>2026-06-02</t>
        </is>
      </c>
      <c r="B2575" s="3" t="inlineStr">
        <is>
          <t>대호에이엘</t>
        </is>
      </c>
      <c r="C2575" s="2" t="inlineStr">
        <is>
          <t>069460</t>
        </is>
      </c>
      <c r="D2575" s="2" t="inlineStr">
        <is>
          <t>대량보유</t>
        </is>
      </c>
      <c r="E2575" s="3" t="inlineStr">
        <is>
          <t>손영주</t>
        </is>
      </c>
      <c r="F2575" s="3" t="inlineStr">
        <is>
          <t>특별관계자</t>
        </is>
      </c>
      <c r="G2575" s="3" t="inlineStr">
        <is>
          <t>신규보고(+)</t>
        </is>
      </c>
      <c r="H2575" s="15" t="n">
        <v>1648</v>
      </c>
      <c r="I2575" s="6" t="inlineStr"/>
      <c r="J2575" s="6" t="n">
        <v>1648</v>
      </c>
      <c r="K2575" s="16" t="n">
        <v>5.74</v>
      </c>
      <c r="L2575" s="2" t="inlineStr">
        <is>
          <t>20260602000409</t>
        </is>
      </c>
      <c r="M2575" s="8">
        <f>HYPERLINK("https://dart.fss.or.kr/dsaf001/main.do?rcpNo=20260602000409", "공시열람")</f>
        <v/>
      </c>
    </row>
    <row r="2576" ht="22" customHeight="1">
      <c r="A2576" s="2" t="inlineStr">
        <is>
          <t>2026-06-02</t>
        </is>
      </c>
      <c r="B2576" s="3" t="inlineStr">
        <is>
          <t>대호에이엘</t>
        </is>
      </c>
      <c r="C2576" s="2" t="inlineStr">
        <is>
          <t>069460</t>
        </is>
      </c>
      <c r="D2576" s="2" t="inlineStr">
        <is>
          <t>대량보유</t>
        </is>
      </c>
      <c r="E2576" s="3" t="inlineStr">
        <is>
          <t>허재원</t>
        </is>
      </c>
      <c r="F2576" s="3" t="inlineStr">
        <is>
          <t>특별관계자</t>
        </is>
      </c>
      <c r="G2576" s="3" t="inlineStr">
        <is>
          <t>신규보고(+)</t>
        </is>
      </c>
      <c r="H2576" s="15" t="n">
        <v>799</v>
      </c>
      <c r="I2576" s="6" t="inlineStr"/>
      <c r="J2576" s="6" t="n">
        <v>799</v>
      </c>
      <c r="K2576" s="16" t="n">
        <v>5.74</v>
      </c>
      <c r="L2576" s="2" t="inlineStr">
        <is>
          <t>20260602000409</t>
        </is>
      </c>
      <c r="M2576" s="8">
        <f>HYPERLINK("https://dart.fss.or.kr/dsaf001/main.do?rcpNo=20260602000409", "공시열람")</f>
        <v/>
      </c>
    </row>
    <row r="2577" ht="22" customHeight="1">
      <c r="A2577" s="2" t="inlineStr">
        <is>
          <t>2026-06-02</t>
        </is>
      </c>
      <c r="B2577" s="3" t="inlineStr">
        <is>
          <t>대호에이엘</t>
        </is>
      </c>
      <c r="C2577" s="2" t="inlineStr">
        <is>
          <t>069460</t>
        </is>
      </c>
      <c r="D2577" s="2" t="inlineStr">
        <is>
          <t>대량보유</t>
        </is>
      </c>
      <c r="E2577" s="3" t="inlineStr">
        <is>
          <t>서호순</t>
        </is>
      </c>
      <c r="F2577" s="3" t="inlineStr">
        <is>
          <t>특별관계자</t>
        </is>
      </c>
      <c r="G2577" s="3" t="inlineStr">
        <is>
          <t>신규보고(+)</t>
        </is>
      </c>
      <c r="H2577" s="15" t="n">
        <v>29</v>
      </c>
      <c r="I2577" s="6" t="inlineStr"/>
      <c r="J2577" s="6" t="n">
        <v>29</v>
      </c>
      <c r="K2577" s="16" t="n">
        <v>5.74</v>
      </c>
      <c r="L2577" s="2" t="inlineStr">
        <is>
          <t>20260602000409</t>
        </is>
      </c>
      <c r="M2577" s="8">
        <f>HYPERLINK("https://dart.fss.or.kr/dsaf001/main.do?rcpNo=20260602000409", "공시열람")</f>
        <v/>
      </c>
    </row>
    <row r="2578" ht="22" customHeight="1">
      <c r="A2578" s="2" t="inlineStr">
        <is>
          <t>2026-06-02</t>
        </is>
      </c>
      <c r="B2578" s="3" t="inlineStr">
        <is>
          <t>대호에이엘</t>
        </is>
      </c>
      <c r="C2578" s="2" t="inlineStr">
        <is>
          <t>069460</t>
        </is>
      </c>
      <c r="D2578" s="2" t="inlineStr">
        <is>
          <t>대량보유</t>
        </is>
      </c>
      <c r="E2578" s="3" t="inlineStr">
        <is>
          <t>이종민</t>
        </is>
      </c>
      <c r="F2578" s="3" t="inlineStr">
        <is>
          <t>특별관계자</t>
        </is>
      </c>
      <c r="G2578" s="3" t="inlineStr">
        <is>
          <t>신규보고(+)</t>
        </is>
      </c>
      <c r="H2578" s="15" t="n">
        <v>1018</v>
      </c>
      <c r="I2578" s="6" t="inlineStr"/>
      <c r="J2578" s="6" t="n">
        <v>1018</v>
      </c>
      <c r="K2578" s="16" t="n">
        <v>5.74</v>
      </c>
      <c r="L2578" s="2" t="inlineStr">
        <is>
          <t>20260602000409</t>
        </is>
      </c>
      <c r="M2578" s="8">
        <f>HYPERLINK("https://dart.fss.or.kr/dsaf001/main.do?rcpNo=20260602000409", "공시열람")</f>
        <v/>
      </c>
    </row>
    <row r="2579" ht="22" customHeight="1">
      <c r="A2579" s="2" t="inlineStr">
        <is>
          <t>2026-06-02</t>
        </is>
      </c>
      <c r="B2579" s="3" t="inlineStr">
        <is>
          <t>대호에이엘</t>
        </is>
      </c>
      <c r="C2579" s="2" t="inlineStr">
        <is>
          <t>069460</t>
        </is>
      </c>
      <c r="D2579" s="2" t="inlineStr">
        <is>
          <t>대량보유</t>
        </is>
      </c>
      <c r="E2579" s="3" t="inlineStr">
        <is>
          <t>이승주</t>
        </is>
      </c>
      <c r="F2579" s="3" t="inlineStr">
        <is>
          <t>특별관계자</t>
        </is>
      </c>
      <c r="G2579" s="3" t="inlineStr">
        <is>
          <t>신규보고(+)</t>
        </is>
      </c>
      <c r="H2579" s="15" t="n">
        <v>613</v>
      </c>
      <c r="I2579" s="6" t="inlineStr"/>
      <c r="J2579" s="6" t="n">
        <v>613</v>
      </c>
      <c r="K2579" s="16" t="n">
        <v>5.74</v>
      </c>
      <c r="L2579" s="2" t="inlineStr">
        <is>
          <t>20260602000409</t>
        </is>
      </c>
      <c r="M2579" s="8">
        <f>HYPERLINK("https://dart.fss.or.kr/dsaf001/main.do?rcpNo=20260602000409", "공시열람")</f>
        <v/>
      </c>
    </row>
    <row r="2580" ht="22" customHeight="1">
      <c r="A2580" s="2" t="inlineStr">
        <is>
          <t>2026-06-02</t>
        </is>
      </c>
      <c r="B2580" s="3" t="inlineStr">
        <is>
          <t>대호에이엘</t>
        </is>
      </c>
      <c r="C2580" s="2" t="inlineStr">
        <is>
          <t>069460</t>
        </is>
      </c>
      <c r="D2580" s="2" t="inlineStr">
        <is>
          <t>대량보유</t>
        </is>
      </c>
      <c r="E2580" s="3" t="inlineStr">
        <is>
          <t>정원자</t>
        </is>
      </c>
      <c r="F2580" s="3" t="inlineStr">
        <is>
          <t>특별관계자</t>
        </is>
      </c>
      <c r="G2580" s="3" t="inlineStr">
        <is>
          <t>신규보고(+)</t>
        </is>
      </c>
      <c r="H2580" s="15" t="n">
        <v>24000</v>
      </c>
      <c r="I2580" s="6" t="inlineStr"/>
      <c r="J2580" s="6" t="n">
        <v>24000</v>
      </c>
      <c r="K2580" s="16" t="n">
        <v>5.74</v>
      </c>
      <c r="L2580" s="2" t="inlineStr">
        <is>
          <t>20260602000409</t>
        </is>
      </c>
      <c r="M2580" s="8">
        <f>HYPERLINK("https://dart.fss.or.kr/dsaf001/main.do?rcpNo=20260602000409", "공시열람")</f>
        <v/>
      </c>
    </row>
    <row r="2581" ht="22" customHeight="1">
      <c r="A2581" s="2" t="inlineStr">
        <is>
          <t>2026-06-02</t>
        </is>
      </c>
      <c r="B2581" s="3" t="inlineStr">
        <is>
          <t>대호에이엘</t>
        </is>
      </c>
      <c r="C2581" s="2" t="inlineStr">
        <is>
          <t>069460</t>
        </is>
      </c>
      <c r="D2581" s="2" t="inlineStr">
        <is>
          <t>대량보유</t>
        </is>
      </c>
      <c r="E2581" s="3" t="inlineStr">
        <is>
          <t>정우혁</t>
        </is>
      </c>
      <c r="F2581" s="3" t="inlineStr">
        <is>
          <t>특별관계자</t>
        </is>
      </c>
      <c r="G2581" s="3" t="inlineStr">
        <is>
          <t>신규보고(+)</t>
        </is>
      </c>
      <c r="H2581" s="15" t="n">
        <v>980</v>
      </c>
      <c r="I2581" s="6" t="inlineStr"/>
      <c r="J2581" s="6" t="n">
        <v>980</v>
      </c>
      <c r="K2581" s="16" t="n">
        <v>5.74</v>
      </c>
      <c r="L2581" s="2" t="inlineStr">
        <is>
          <t>20260602000409</t>
        </is>
      </c>
      <c r="M2581" s="8">
        <f>HYPERLINK("https://dart.fss.or.kr/dsaf001/main.do?rcpNo=20260602000409", "공시열람")</f>
        <v/>
      </c>
    </row>
    <row r="2582" ht="22" customHeight="1">
      <c r="A2582" s="2" t="inlineStr">
        <is>
          <t>2026-06-02</t>
        </is>
      </c>
      <c r="B2582" s="3" t="inlineStr">
        <is>
          <t>대호에이엘</t>
        </is>
      </c>
      <c r="C2582" s="2" t="inlineStr">
        <is>
          <t>069460</t>
        </is>
      </c>
      <c r="D2582" s="2" t="inlineStr">
        <is>
          <t>대량보유</t>
        </is>
      </c>
      <c r="E2582" s="3" t="inlineStr">
        <is>
          <t>조규하</t>
        </is>
      </c>
      <c r="F2582" s="3" t="inlineStr">
        <is>
          <t>특별관계자</t>
        </is>
      </c>
      <c r="G2582" s="3" t="inlineStr">
        <is>
          <t>신규보고(+)</t>
        </is>
      </c>
      <c r="H2582" s="15" t="n">
        <v>18000</v>
      </c>
      <c r="I2582" s="6" t="inlineStr"/>
      <c r="J2582" s="6" t="n">
        <v>18000</v>
      </c>
      <c r="K2582" s="16" t="n">
        <v>5.74</v>
      </c>
      <c r="L2582" s="2" t="inlineStr">
        <is>
          <t>20260602000409</t>
        </is>
      </c>
      <c r="M2582" s="8">
        <f>HYPERLINK("https://dart.fss.or.kr/dsaf001/main.do?rcpNo=20260602000409", "공시열람")</f>
        <v/>
      </c>
    </row>
    <row r="2583" ht="22" customHeight="1">
      <c r="A2583" s="2" t="inlineStr">
        <is>
          <t>2026-06-02</t>
        </is>
      </c>
      <c r="B2583" s="3" t="inlineStr">
        <is>
          <t>대호에이엘</t>
        </is>
      </c>
      <c r="C2583" s="2" t="inlineStr">
        <is>
          <t>069460</t>
        </is>
      </c>
      <c r="D2583" s="2" t="inlineStr">
        <is>
          <t>대량보유</t>
        </is>
      </c>
      <c r="E2583" s="3" t="inlineStr">
        <is>
          <t>박지용</t>
        </is>
      </c>
      <c r="F2583" s="3" t="inlineStr">
        <is>
          <t>특별관계자</t>
        </is>
      </c>
      <c r="G2583" s="3" t="inlineStr">
        <is>
          <t>신규보고(+)</t>
        </is>
      </c>
      <c r="H2583" s="15" t="n">
        <v>14342</v>
      </c>
      <c r="I2583" s="6" t="inlineStr"/>
      <c r="J2583" s="6" t="n">
        <v>14342</v>
      </c>
      <c r="K2583" s="16" t="n">
        <v>5.74</v>
      </c>
      <c r="L2583" s="2" t="inlineStr">
        <is>
          <t>20260602000409</t>
        </is>
      </c>
      <c r="M2583" s="8">
        <f>HYPERLINK("https://dart.fss.or.kr/dsaf001/main.do?rcpNo=20260602000409", "공시열람")</f>
        <v/>
      </c>
    </row>
    <row r="2584" ht="22" customHeight="1">
      <c r="A2584" s="2" t="inlineStr">
        <is>
          <t>2026-06-02</t>
        </is>
      </c>
      <c r="B2584" s="3" t="inlineStr">
        <is>
          <t>대호에이엘</t>
        </is>
      </c>
      <c r="C2584" s="2" t="inlineStr">
        <is>
          <t>069460</t>
        </is>
      </c>
      <c r="D2584" s="2" t="inlineStr">
        <is>
          <t>대량보유</t>
        </is>
      </c>
      <c r="E2584" s="3" t="inlineStr">
        <is>
          <t>허정현</t>
        </is>
      </c>
      <c r="F2584" s="3" t="inlineStr">
        <is>
          <t>특별관계자</t>
        </is>
      </c>
      <c r="G2584" s="3" t="inlineStr">
        <is>
          <t>신규보고(+)</t>
        </is>
      </c>
      <c r="H2584" s="15" t="n">
        <v>961</v>
      </c>
      <c r="I2584" s="6" t="inlineStr"/>
      <c r="J2584" s="6" t="n">
        <v>961</v>
      </c>
      <c r="K2584" s="16" t="n">
        <v>5.74</v>
      </c>
      <c r="L2584" s="2" t="inlineStr">
        <is>
          <t>20260602000409</t>
        </is>
      </c>
      <c r="M2584" s="8">
        <f>HYPERLINK("https://dart.fss.or.kr/dsaf001/main.do?rcpNo=20260602000409", "공시열람")</f>
        <v/>
      </c>
    </row>
    <row r="2585" ht="22" customHeight="1">
      <c r="A2585" s="2" t="inlineStr">
        <is>
          <t>2026-06-02</t>
        </is>
      </c>
      <c r="B2585" s="3" t="inlineStr">
        <is>
          <t>대호에이엘</t>
        </is>
      </c>
      <c r="C2585" s="2" t="inlineStr">
        <is>
          <t>069460</t>
        </is>
      </c>
      <c r="D2585" s="2" t="inlineStr">
        <is>
          <t>대량보유</t>
        </is>
      </c>
      <c r="E2585" s="3" t="inlineStr">
        <is>
          <t>이종태</t>
        </is>
      </c>
      <c r="F2585" s="3" t="inlineStr">
        <is>
          <t>특별관계자</t>
        </is>
      </c>
      <c r="G2585" s="3" t="inlineStr">
        <is>
          <t>신규보고(+)</t>
        </is>
      </c>
      <c r="H2585" s="15" t="n">
        <v>13200</v>
      </c>
      <c r="I2585" s="6" t="inlineStr"/>
      <c r="J2585" s="6" t="n">
        <v>13200</v>
      </c>
      <c r="K2585" s="16" t="n">
        <v>5.74</v>
      </c>
      <c r="L2585" s="2" t="inlineStr">
        <is>
          <t>20260602000409</t>
        </is>
      </c>
      <c r="M2585" s="8">
        <f>HYPERLINK("https://dart.fss.or.kr/dsaf001/main.do?rcpNo=20260602000409", "공시열람")</f>
        <v/>
      </c>
    </row>
    <row r="2586" ht="22" customHeight="1">
      <c r="A2586" s="2" t="inlineStr">
        <is>
          <t>2026-06-02</t>
        </is>
      </c>
      <c r="B2586" s="3" t="inlineStr">
        <is>
          <t>대호에이엘</t>
        </is>
      </c>
      <c r="C2586" s="2" t="inlineStr">
        <is>
          <t>069460</t>
        </is>
      </c>
      <c r="D2586" s="2" t="inlineStr">
        <is>
          <t>대량보유</t>
        </is>
      </c>
      <c r="E2586" s="3" t="inlineStr">
        <is>
          <t>최효정</t>
        </is>
      </c>
      <c r="F2586" s="3" t="inlineStr">
        <is>
          <t>특별관계자</t>
        </is>
      </c>
      <c r="G2586" s="3" t="inlineStr">
        <is>
          <t>신규보고(+)</t>
        </is>
      </c>
      <c r="H2586" s="15" t="n">
        <v>17541</v>
      </c>
      <c r="I2586" s="6" t="inlineStr"/>
      <c r="J2586" s="6" t="n">
        <v>17541</v>
      </c>
      <c r="K2586" s="16" t="n">
        <v>5.74</v>
      </c>
      <c r="L2586" s="2" t="inlineStr">
        <is>
          <t>20260602000409</t>
        </is>
      </c>
      <c r="M2586" s="8">
        <f>HYPERLINK("https://dart.fss.or.kr/dsaf001/main.do?rcpNo=20260602000409", "공시열람")</f>
        <v/>
      </c>
    </row>
    <row r="2587" ht="22" customHeight="1">
      <c r="A2587" s="2" t="inlineStr">
        <is>
          <t>2026-06-02</t>
        </is>
      </c>
      <c r="B2587" s="3" t="inlineStr">
        <is>
          <t>대호에이엘</t>
        </is>
      </c>
      <c r="C2587" s="2" t="inlineStr">
        <is>
          <t>069460</t>
        </is>
      </c>
      <c r="D2587" s="2" t="inlineStr">
        <is>
          <t>대량보유</t>
        </is>
      </c>
      <c r="E2587" s="3" t="inlineStr">
        <is>
          <t>전현수</t>
        </is>
      </c>
      <c r="F2587" s="3" t="inlineStr">
        <is>
          <t>특별관계자</t>
        </is>
      </c>
      <c r="G2587" s="3" t="inlineStr">
        <is>
          <t>신규보고(+)</t>
        </is>
      </c>
      <c r="H2587" s="15" t="n">
        <v>1690</v>
      </c>
      <c r="I2587" s="6" t="inlineStr"/>
      <c r="J2587" s="6" t="n">
        <v>1690</v>
      </c>
      <c r="K2587" s="16" t="n">
        <v>5.74</v>
      </c>
      <c r="L2587" s="2" t="inlineStr">
        <is>
          <t>20260602000409</t>
        </is>
      </c>
      <c r="M2587" s="8">
        <f>HYPERLINK("https://dart.fss.or.kr/dsaf001/main.do?rcpNo=20260602000409", "공시열람")</f>
        <v/>
      </c>
    </row>
    <row r="2588" ht="22" customHeight="1">
      <c r="A2588" s="2" t="inlineStr">
        <is>
          <t>2026-06-02</t>
        </is>
      </c>
      <c r="B2588" s="3" t="inlineStr">
        <is>
          <t>대호에이엘</t>
        </is>
      </c>
      <c r="C2588" s="2" t="inlineStr">
        <is>
          <t>069460</t>
        </is>
      </c>
      <c r="D2588" s="2" t="inlineStr">
        <is>
          <t>대량보유</t>
        </is>
      </c>
      <c r="E2588" s="3" t="inlineStr">
        <is>
          <t>유현옥</t>
        </is>
      </c>
      <c r="F2588" s="3" t="inlineStr">
        <is>
          <t>특별관계자</t>
        </is>
      </c>
      <c r="G2588" s="3" t="inlineStr">
        <is>
          <t>신규보고(+)</t>
        </is>
      </c>
      <c r="H2588" s="15" t="n">
        <v>1180</v>
      </c>
      <c r="I2588" s="6" t="inlineStr"/>
      <c r="J2588" s="6" t="n">
        <v>1180</v>
      </c>
      <c r="K2588" s="16" t="n">
        <v>5.74</v>
      </c>
      <c r="L2588" s="2" t="inlineStr">
        <is>
          <t>20260602000409</t>
        </is>
      </c>
      <c r="M2588" s="8">
        <f>HYPERLINK("https://dart.fss.or.kr/dsaf001/main.do?rcpNo=20260602000409", "공시열람")</f>
        <v/>
      </c>
    </row>
    <row r="2589" ht="22" customHeight="1">
      <c r="A2589" s="2" t="inlineStr">
        <is>
          <t>2026-06-02</t>
        </is>
      </c>
      <c r="B2589" s="3" t="inlineStr">
        <is>
          <t>대호에이엘</t>
        </is>
      </c>
      <c r="C2589" s="2" t="inlineStr">
        <is>
          <t>069460</t>
        </is>
      </c>
      <c r="D2589" s="2" t="inlineStr">
        <is>
          <t>대량보유</t>
        </is>
      </c>
      <c r="E2589" s="3" t="inlineStr">
        <is>
          <t>전희경</t>
        </is>
      </c>
      <c r="F2589" s="3" t="inlineStr">
        <is>
          <t>특별관계자</t>
        </is>
      </c>
      <c r="G2589" s="3" t="inlineStr">
        <is>
          <t>신규보고(+)</t>
        </is>
      </c>
      <c r="H2589" s="15" t="n">
        <v>60000</v>
      </c>
      <c r="I2589" s="6" t="inlineStr"/>
      <c r="J2589" s="6" t="n">
        <v>60000</v>
      </c>
      <c r="K2589" s="16" t="n">
        <v>5.74</v>
      </c>
      <c r="L2589" s="2" t="inlineStr">
        <is>
          <t>20260602000409</t>
        </is>
      </c>
      <c r="M2589" s="8">
        <f>HYPERLINK("https://dart.fss.or.kr/dsaf001/main.do?rcpNo=20260602000409", "공시열람")</f>
        <v/>
      </c>
    </row>
    <row r="2590" ht="22" customHeight="1">
      <c r="A2590" s="2" t="inlineStr">
        <is>
          <t>2026-06-02</t>
        </is>
      </c>
      <c r="B2590" s="3" t="inlineStr">
        <is>
          <t>대호에이엘</t>
        </is>
      </c>
      <c r="C2590" s="2" t="inlineStr">
        <is>
          <t>069460</t>
        </is>
      </c>
      <c r="D2590" s="2" t="inlineStr">
        <is>
          <t>대량보유</t>
        </is>
      </c>
      <c r="E2590" s="3" t="inlineStr">
        <is>
          <t>임덕규</t>
        </is>
      </c>
      <c r="F2590" s="3" t="inlineStr">
        <is>
          <t>특별관계자</t>
        </is>
      </c>
      <c r="G2590" s="3" t="inlineStr">
        <is>
          <t>신규보고(+)</t>
        </is>
      </c>
      <c r="H2590" s="15" t="n">
        <v>37727</v>
      </c>
      <c r="I2590" s="6" t="inlineStr"/>
      <c r="J2590" s="6" t="n">
        <v>37727</v>
      </c>
      <c r="K2590" s="16" t="n">
        <v>5.74</v>
      </c>
      <c r="L2590" s="2" t="inlineStr">
        <is>
          <t>20260602000409</t>
        </is>
      </c>
      <c r="M2590" s="8">
        <f>HYPERLINK("https://dart.fss.or.kr/dsaf001/main.do?rcpNo=20260602000409", "공시열람")</f>
        <v/>
      </c>
    </row>
    <row r="2591" ht="22" customHeight="1">
      <c r="A2591" s="2" t="inlineStr">
        <is>
          <t>2026-06-02</t>
        </is>
      </c>
      <c r="B2591" s="3" t="inlineStr">
        <is>
          <t>대호에이엘</t>
        </is>
      </c>
      <c r="C2591" s="2" t="inlineStr">
        <is>
          <t>069460</t>
        </is>
      </c>
      <c r="D2591" s="2" t="inlineStr">
        <is>
          <t>대량보유</t>
        </is>
      </c>
      <c r="E2591" s="3" t="inlineStr">
        <is>
          <t>홍민희</t>
        </is>
      </c>
      <c r="F2591" s="3" t="inlineStr">
        <is>
          <t>특별관계자</t>
        </is>
      </c>
      <c r="G2591" s="3" t="inlineStr">
        <is>
          <t>신규보고(+)</t>
        </is>
      </c>
      <c r="H2591" s="15" t="n">
        <v>2182</v>
      </c>
      <c r="I2591" s="6" t="inlineStr"/>
      <c r="J2591" s="6" t="n">
        <v>2182</v>
      </c>
      <c r="K2591" s="16" t="n">
        <v>5.74</v>
      </c>
      <c r="L2591" s="2" t="inlineStr">
        <is>
          <t>20260602000409</t>
        </is>
      </c>
      <c r="M2591" s="8">
        <f>HYPERLINK("https://dart.fss.or.kr/dsaf001/main.do?rcpNo=20260602000409", "공시열람")</f>
        <v/>
      </c>
    </row>
    <row r="2592" ht="22" customHeight="1">
      <c r="A2592" s="2" t="inlineStr">
        <is>
          <t>2026-06-02</t>
        </is>
      </c>
      <c r="B2592" s="3" t="inlineStr">
        <is>
          <t>슈프리마</t>
        </is>
      </c>
      <c r="C2592" s="2" t="inlineStr">
        <is>
          <t>236200</t>
        </is>
      </c>
      <c r="D2592" s="2" t="inlineStr">
        <is>
          <t>대량보유</t>
        </is>
      </c>
      <c r="E2592" s="3" t="inlineStr">
        <is>
          <t>DaltonInvestments,Inc</t>
        </is>
      </c>
      <c r="F2592" s="3" t="inlineStr">
        <is>
          <t>특별관계자</t>
        </is>
      </c>
      <c r="G2592" s="3" t="inlineStr">
        <is>
          <t>신규보고(+)</t>
        </is>
      </c>
      <c r="H2592" s="15" t="n">
        <v>351995</v>
      </c>
      <c r="I2592" s="6" t="inlineStr"/>
      <c r="J2592" s="6" t="n">
        <v>351995</v>
      </c>
      <c r="K2592" s="16" t="n">
        <v>1</v>
      </c>
      <c r="L2592" s="2" t="inlineStr">
        <is>
          <t>20260602000408</t>
        </is>
      </c>
      <c r="M2592" s="8">
        <f>HYPERLINK("https://dart.fss.or.kr/dsaf001/main.do?rcpNo=20260602000408", "공시열람")</f>
        <v/>
      </c>
    </row>
    <row r="2593" ht="22" customHeight="1">
      <c r="A2593" s="2" t="inlineStr">
        <is>
          <t>2026-06-02 (정정: 2026-06-16)</t>
        </is>
      </c>
      <c r="B2593" s="3" t="inlineStr">
        <is>
          <t>디바이스</t>
        </is>
      </c>
      <c r="C2593" s="2" t="inlineStr">
        <is>
          <t>187870</t>
        </is>
      </c>
      <c r="D2593" s="2" t="inlineStr">
        <is>
          <t>대량보유</t>
        </is>
      </c>
      <c r="E2593" s="3" t="inlineStr">
        <is>
          <t>-</t>
        </is>
      </c>
      <c r="F2593" s="3" t="inlineStr">
        <is>
          <t>보고자</t>
        </is>
      </c>
      <c r="G2593" s="3" t="inlineStr">
        <is>
          <t>-</t>
        </is>
      </c>
      <c r="H2593" s="6" t="inlineStr"/>
      <c r="I2593" s="6" t="inlineStr"/>
      <c r="J2593" s="6" t="inlineStr"/>
      <c r="K2593" s="18" t="inlineStr"/>
      <c r="L2593" s="2" t="inlineStr">
        <is>
          <t>20260616000224</t>
        </is>
      </c>
      <c r="M2593" s="8">
        <f>HYPERLINK("https://dart.fss.or.kr/dsaf001/main.do?rcpNo=20260616000224", "공시열람")</f>
        <v/>
      </c>
    </row>
    <row r="2594" ht="22" customHeight="1">
      <c r="A2594" s="2" t="inlineStr">
        <is>
          <t>2026-06-02</t>
        </is>
      </c>
      <c r="B2594" s="3" t="inlineStr">
        <is>
          <t>KB스타리츠</t>
        </is>
      </c>
      <c r="C2594" s="2" t="inlineStr">
        <is>
          <t>432320</t>
        </is>
      </c>
      <c r="D2594" s="2" t="inlineStr">
        <is>
          <t>대량보유</t>
        </is>
      </c>
      <c r="E2594" s="3" t="inlineStr">
        <is>
          <t>미래에셋자산운용</t>
        </is>
      </c>
      <c r="F2594" s="3" t="inlineStr">
        <is>
          <t>특별관계자</t>
        </is>
      </c>
      <c r="G2594" s="3" t="inlineStr">
        <is>
          <t>기타(-), 기타(+), 장내매도(-)</t>
        </is>
      </c>
      <c r="H2594" s="17" t="n">
        <v>-3300245</v>
      </c>
      <c r="I2594" s="6" t="n">
        <v>17</v>
      </c>
      <c r="J2594" s="6" t="n">
        <v>7146545</v>
      </c>
      <c r="K2594" s="16" t="n">
        <v>4.74</v>
      </c>
      <c r="L2594" s="2" t="inlineStr">
        <is>
          <t>20260602000406</t>
        </is>
      </c>
      <c r="M2594" s="8">
        <f>HYPERLINK("https://dart.fss.or.kr/dsaf001/main.do?rcpNo=20260602000406", "공시열람")</f>
        <v/>
      </c>
    </row>
    <row r="2595" ht="22" customHeight="1">
      <c r="A2595" s="2" t="inlineStr">
        <is>
          <t>2026-06-02</t>
        </is>
      </c>
      <c r="B2595" s="3" t="inlineStr">
        <is>
          <t>SK리츠</t>
        </is>
      </c>
      <c r="C2595" s="2" t="inlineStr">
        <is>
          <t>395400</t>
        </is>
      </c>
      <c r="D2595" s="2" t="inlineStr">
        <is>
          <t>대량보유</t>
        </is>
      </c>
      <c r="E2595" s="3" t="inlineStr">
        <is>
          <t>미래에셋자산운용</t>
        </is>
      </c>
      <c r="F2595" s="3" t="inlineStr">
        <is>
          <t>특별관계자</t>
        </is>
      </c>
      <c r="G2595" s="3" t="inlineStr">
        <is>
          <t>기타(+), 기타(-), 장내매도(-), 장내매수(+)</t>
        </is>
      </c>
      <c r="H2595" s="15" t="n">
        <v>3635786</v>
      </c>
      <c r="I2595" s="6" t="n">
        <v>4633</v>
      </c>
      <c r="J2595" s="6" t="n">
        <v>62569023</v>
      </c>
      <c r="K2595" s="16" t="n">
        <v>20.79</v>
      </c>
      <c r="L2595" s="2" t="inlineStr">
        <is>
          <t>20260602000405</t>
        </is>
      </c>
      <c r="M2595" s="8">
        <f>HYPERLINK("https://dart.fss.or.kr/dsaf001/main.do?rcpNo=20260602000405", "공시열람")</f>
        <v/>
      </c>
    </row>
    <row r="2596" ht="22" customHeight="1">
      <c r="A2596" s="2" t="inlineStr">
        <is>
          <t>2026-06-02</t>
        </is>
      </c>
      <c r="B2596" s="3" t="inlineStr">
        <is>
          <t>대덕전자</t>
        </is>
      </c>
      <c r="C2596" s="2" t="inlineStr">
        <is>
          <t>353200</t>
        </is>
      </c>
      <c r="D2596" s="2" t="inlineStr">
        <is>
          <t>대량보유</t>
        </is>
      </c>
      <c r="E2596" s="3" t="inlineStr">
        <is>
          <t>미래에셋자산운용</t>
        </is>
      </c>
      <c r="F2596" s="3" t="inlineStr">
        <is>
          <t>특별관계자</t>
        </is>
      </c>
      <c r="G2596" s="3" t="inlineStr">
        <is>
          <t>장내매수(+), 장내매도(-), 기타(+), 기타(-)</t>
        </is>
      </c>
      <c r="H2596" s="17" t="n">
        <v>-19000</v>
      </c>
      <c r="I2596" s="6" t="n">
        <v>43747</v>
      </c>
      <c r="J2596" s="6" t="n">
        <v>2445316</v>
      </c>
      <c r="K2596" s="16" t="n">
        <v>3</v>
      </c>
      <c r="L2596" s="2" t="inlineStr">
        <is>
          <t>20260602000404</t>
        </is>
      </c>
      <c r="M2596" s="8">
        <f>HYPERLINK("https://dart.fss.or.kr/dsaf001/main.do?rcpNo=20260602000404", "공시열람")</f>
        <v/>
      </c>
    </row>
    <row r="2597" ht="22" customHeight="1">
      <c r="A2597" s="2" t="inlineStr">
        <is>
          <t>2026-06-02</t>
        </is>
      </c>
      <c r="B2597" s="3" t="inlineStr">
        <is>
          <t>대덕전자</t>
        </is>
      </c>
      <c r="C2597" s="2" t="inlineStr">
        <is>
          <t>353200</t>
        </is>
      </c>
      <c r="D2597" s="2" t="inlineStr">
        <is>
          <t>대량보유</t>
        </is>
      </c>
      <c r="E2597" s="3" t="inlineStr">
        <is>
          <t>미래에셋인디펜던스증권투자회사(주식)</t>
        </is>
      </c>
      <c r="F2597" s="3" t="inlineStr">
        <is>
          <t>특별관계자</t>
        </is>
      </c>
      <c r="G2597" s="3" t="inlineStr">
        <is>
          <t>장내매수(+), 장내매도(-)</t>
        </is>
      </c>
      <c r="H2597" s="15" t="n">
        <v>7896</v>
      </c>
      <c r="I2597" s="6" t="n">
        <v>87468</v>
      </c>
      <c r="J2597" s="6" t="n">
        <v>12661</v>
      </c>
      <c r="K2597" s="16" t="n">
        <v>3</v>
      </c>
      <c r="L2597" s="2" t="inlineStr">
        <is>
          <t>20260602000404</t>
        </is>
      </c>
      <c r="M2597" s="8">
        <f>HYPERLINK("https://dart.fss.or.kr/dsaf001/main.do?rcpNo=20260602000404", "공시열람")</f>
        <v/>
      </c>
    </row>
    <row r="2598" ht="22" customHeight="1">
      <c r="A2598" s="2" t="inlineStr">
        <is>
          <t>2026-06-02</t>
        </is>
      </c>
      <c r="B2598" s="3" t="inlineStr">
        <is>
          <t>대덕전자</t>
        </is>
      </c>
      <c r="C2598" s="2" t="inlineStr">
        <is>
          <t>353200</t>
        </is>
      </c>
      <c r="D2598" s="2" t="inlineStr">
        <is>
          <t>대량보유</t>
        </is>
      </c>
      <c r="E2598" s="3" t="inlineStr">
        <is>
          <t>미래에셋디스커버리증권(주식)</t>
        </is>
      </c>
      <c r="F2598" s="3" t="inlineStr">
        <is>
          <t>특별관계자</t>
        </is>
      </c>
      <c r="G2598" s="3" t="inlineStr">
        <is>
          <t>장내매수(+), 장내매도(-)</t>
        </is>
      </c>
      <c r="H2598" s="17" t="n">
        <v>-7566</v>
      </c>
      <c r="I2598" s="6" t="n">
        <v>13826</v>
      </c>
      <c r="J2598" s="6" t="n">
        <v>7109</v>
      </c>
      <c r="K2598" s="16" t="n">
        <v>3</v>
      </c>
      <c r="L2598" s="2" t="inlineStr">
        <is>
          <t>20260602000404</t>
        </is>
      </c>
      <c r="M2598" s="8">
        <f>HYPERLINK("https://dart.fss.or.kr/dsaf001/main.do?rcpNo=20260602000404", "공시열람")</f>
        <v/>
      </c>
    </row>
    <row r="2599" ht="22" customHeight="1">
      <c r="A2599" s="2" t="inlineStr">
        <is>
          <t>2026-06-02</t>
        </is>
      </c>
      <c r="B2599" s="3" t="inlineStr">
        <is>
          <t>한미사이언스</t>
        </is>
      </c>
      <c r="C2599" s="2" t="inlineStr">
        <is>
          <t>008930</t>
        </is>
      </c>
      <c r="D2599" s="2" t="inlineStr">
        <is>
          <t>대량보유</t>
        </is>
      </c>
      <c r="E2599" s="3" t="inlineStr">
        <is>
          <t>송영숙</t>
        </is>
      </c>
      <c r="F2599" s="3" t="inlineStr">
        <is>
          <t>보고자</t>
        </is>
      </c>
      <c r="G2599" s="3" t="inlineStr">
        <is>
          <t>주식담보계약 변경</t>
        </is>
      </c>
      <c r="H2599" s="6" t="inlineStr"/>
      <c r="I2599" s="6" t="inlineStr"/>
      <c r="J2599" s="6" t="n">
        <v>43692026</v>
      </c>
      <c r="K2599" s="16" t="n">
        <v>19</v>
      </c>
      <c r="L2599" s="2" t="inlineStr">
        <is>
          <t>20260602000399</t>
        </is>
      </c>
      <c r="M2599" s="8">
        <f>HYPERLINK("https://dart.fss.or.kr/dsaf001/main.do?rcpNo=20260602000399", "공시열람")</f>
        <v/>
      </c>
    </row>
    <row r="2600" ht="22" customHeight="1">
      <c r="A2600" s="2" t="inlineStr">
        <is>
          <t>2026-06-02 (정정: 2026-06-10)</t>
        </is>
      </c>
      <c r="B2600" s="3" t="inlineStr">
        <is>
          <t>아센디오</t>
        </is>
      </c>
      <c r="C2600" s="2" t="inlineStr">
        <is>
          <t>012170</t>
        </is>
      </c>
      <c r="D2600" s="2" t="inlineStr">
        <is>
          <t>임원보고</t>
        </is>
      </c>
      <c r="E2600" s="3" t="inlineStr">
        <is>
          <t>-</t>
        </is>
      </c>
      <c r="F2600" s="3" t="inlineStr">
        <is>
          <t>-</t>
        </is>
      </c>
      <c r="G2600" s="3" t="inlineStr">
        <is>
          <t>-</t>
        </is>
      </c>
      <c r="H2600" s="6" t="inlineStr"/>
      <c r="I2600" s="6" t="inlineStr"/>
      <c r="J2600" s="6" t="inlineStr"/>
      <c r="K2600" s="18" t="inlineStr"/>
      <c r="L2600" s="2" t="inlineStr">
        <is>
          <t>20260610800694</t>
        </is>
      </c>
      <c r="M2600" s="8">
        <f>HYPERLINK("https://dart.fss.or.kr/dsaf001/main.do?rcpNo=20260610800694", "공시열람")</f>
        <v/>
      </c>
    </row>
    <row r="2601" ht="22" customHeight="1">
      <c r="A2601" s="2" t="inlineStr">
        <is>
          <t>2026-06-02</t>
        </is>
      </c>
      <c r="B2601" s="3" t="inlineStr">
        <is>
          <t>인텍플러스</t>
        </is>
      </c>
      <c r="C2601" s="2" t="inlineStr">
        <is>
          <t>064290</t>
        </is>
      </c>
      <c r="D2601" s="2" t="inlineStr">
        <is>
          <t>대량보유</t>
        </is>
      </c>
      <c r="E2601" s="3" t="inlineStr">
        <is>
          <t>이상윤</t>
        </is>
      </c>
      <c r="F2601" s="3" t="inlineStr">
        <is>
          <t>보고자</t>
        </is>
      </c>
      <c r="G2601" s="3" t="inlineStr">
        <is>
          <t>-주식 담보 계약 변경</t>
        </is>
      </c>
      <c r="H2601" s="6" t="inlineStr"/>
      <c r="I2601" s="6" t="inlineStr"/>
      <c r="J2601" s="6" t="n">
        <v>1707732</v>
      </c>
      <c r="K2601" s="16" t="n">
        <v>1</v>
      </c>
      <c r="L2601" s="2" t="inlineStr">
        <is>
          <t>20260602000396</t>
        </is>
      </c>
      <c r="M2601" s="8">
        <f>HYPERLINK("https://dart.fss.or.kr/dsaf001/main.do?rcpNo=20260602000396", "공시열람")</f>
        <v/>
      </c>
    </row>
    <row r="2602" ht="22" customHeight="1">
      <c r="A2602" s="2" t="inlineStr">
        <is>
          <t>2026-06-02</t>
        </is>
      </c>
      <c r="B2602" s="3" t="inlineStr">
        <is>
          <t>다산네트웍스</t>
        </is>
      </c>
      <c r="C2602" s="2" t="inlineStr">
        <is>
          <t>039560</t>
        </is>
      </c>
      <c r="D2602" s="2" t="inlineStr">
        <is>
          <t>대량보유</t>
        </is>
      </c>
      <c r="E2602" s="3" t="inlineStr">
        <is>
          <t>(주)퍼시픽블루</t>
        </is>
      </c>
      <c r="F2602" s="3" t="inlineStr">
        <is>
          <t>특별관계자</t>
        </is>
      </c>
      <c r="G2602" s="3" t="inlineStr">
        <is>
          <t>장내매수(+)</t>
        </is>
      </c>
      <c r="H2602" s="15" t="n">
        <v>124500</v>
      </c>
      <c r="I2602" s="6" t="n">
        <v>4049</v>
      </c>
      <c r="J2602" s="6" t="n">
        <v>1542497</v>
      </c>
      <c r="K2602" s="16" t="n">
        <v>4</v>
      </c>
      <c r="L2602" s="2" t="inlineStr">
        <is>
          <t>20260602000395</t>
        </is>
      </c>
      <c r="M2602" s="8">
        <f>HYPERLINK("https://dart.fss.or.kr/dsaf001/main.do?rcpNo=20260602000395", "공시열람")</f>
        <v/>
      </c>
    </row>
    <row r="2603" ht="22" customHeight="1">
      <c r="A2603" s="2" t="inlineStr">
        <is>
          <t>2026-06-02</t>
        </is>
      </c>
      <c r="B2603" s="3" t="inlineStr">
        <is>
          <t>위너스일렉</t>
        </is>
      </c>
      <c r="C2603" s="2" t="inlineStr">
        <is>
          <t>479960</t>
        </is>
      </c>
      <c r="D2603" s="2" t="inlineStr">
        <is>
          <t>대량보유</t>
        </is>
      </c>
      <c r="E2603" s="3" t="inlineStr">
        <is>
          <t>민철현</t>
        </is>
      </c>
      <c r="F2603" s="3" t="inlineStr">
        <is>
          <t>특별관계자</t>
        </is>
      </c>
      <c r="G2603" s="3" t="inlineStr">
        <is>
          <t>주식매수선택권행사(+)</t>
        </is>
      </c>
      <c r="H2603" s="15" t="n">
        <v>125000</v>
      </c>
      <c r="I2603" s="6" t="inlineStr"/>
      <c r="J2603" s="6" t="n">
        <v>125000</v>
      </c>
      <c r="K2603" s="16" t="n">
        <v>5</v>
      </c>
      <c r="L2603" s="2" t="inlineStr">
        <is>
          <t>20260602000394</t>
        </is>
      </c>
      <c r="M2603" s="8">
        <f>HYPERLINK("https://dart.fss.or.kr/dsaf001/main.do?rcpNo=20260602000394", "공시열람")</f>
        <v/>
      </c>
    </row>
    <row r="2604" ht="22" customHeight="1">
      <c r="A2604" s="2" t="inlineStr">
        <is>
          <t>2026-06-02 (정정: 2026-06-05)</t>
        </is>
      </c>
      <c r="B2604" s="3" t="inlineStr">
        <is>
          <t>알엔티엑스</t>
        </is>
      </c>
      <c r="C2604" s="2" t="inlineStr">
        <is>
          <t>123010</t>
        </is>
      </c>
      <c r="D2604" s="2" t="inlineStr">
        <is>
          <t>대량보유</t>
        </is>
      </c>
      <c r="E2604" s="3" t="inlineStr">
        <is>
          <t>-</t>
        </is>
      </c>
      <c r="F2604" s="3" t="inlineStr">
        <is>
          <t>보고자</t>
        </is>
      </c>
      <c r="G2604" s="3" t="inlineStr">
        <is>
          <t>-</t>
        </is>
      </c>
      <c r="H2604" s="6" t="inlineStr"/>
      <c r="I2604" s="6" t="inlineStr"/>
      <c r="J2604" s="6" t="inlineStr"/>
      <c r="K2604" s="18" t="inlineStr"/>
      <c r="L2604" s="2" t="inlineStr">
        <is>
          <t>20260605900861</t>
        </is>
      </c>
      <c r="M2604" s="8">
        <f>HYPERLINK("https://dart.fss.or.kr/dsaf001/main.do?rcpNo=20260605900861", "공시열람")</f>
        <v/>
      </c>
    </row>
    <row r="2605" ht="22" customHeight="1">
      <c r="A2605" s="2" t="inlineStr">
        <is>
          <t>2026-06-02</t>
        </is>
      </c>
      <c r="B2605" s="3" t="inlineStr">
        <is>
          <t>아주IB투자</t>
        </is>
      </c>
      <c r="C2605" s="2" t="inlineStr">
        <is>
          <t>027360</t>
        </is>
      </c>
      <c r="D2605" s="2" t="inlineStr">
        <is>
          <t>대량보유</t>
        </is>
      </c>
      <c r="E2605" s="3" t="inlineStr">
        <is>
          <t>김지원</t>
        </is>
      </c>
      <c r="F2605" s="3" t="inlineStr">
        <is>
          <t>특별관계자</t>
        </is>
      </c>
      <c r="G2605" s="3" t="inlineStr">
        <is>
          <t>장내매도(-), 주식매수선택권행사(-), 주식매수선택권행사(+)</t>
        </is>
      </c>
      <c r="H2605" s="17" t="n">
        <v>-489339</v>
      </c>
      <c r="I2605" s="6" t="n">
        <v>3267</v>
      </c>
      <c r="J2605" s="6" t="n">
        <v>12416</v>
      </c>
      <c r="K2605" s="16" t="n">
        <v>2</v>
      </c>
      <c r="L2605" s="2" t="inlineStr">
        <is>
          <t>20260602000380</t>
        </is>
      </c>
      <c r="M2605" s="8">
        <f>HYPERLINK("https://dart.fss.or.kr/dsaf001/main.do?rcpNo=20260602000380", "공시열람")</f>
        <v/>
      </c>
    </row>
    <row r="2606" ht="22" customHeight="1">
      <c r="A2606" s="2" t="inlineStr">
        <is>
          <t>2026-06-02</t>
        </is>
      </c>
      <c r="B2606" s="3" t="inlineStr">
        <is>
          <t>아주IB투자</t>
        </is>
      </c>
      <c r="C2606" s="2" t="inlineStr">
        <is>
          <t>027360</t>
        </is>
      </c>
      <c r="D2606" s="2" t="inlineStr">
        <is>
          <t>대량보유</t>
        </is>
      </c>
      <c r="E2606" s="3" t="inlineStr">
        <is>
          <t>최용진</t>
        </is>
      </c>
      <c r="F2606" s="3" t="inlineStr">
        <is>
          <t>특별관계자</t>
        </is>
      </c>
      <c r="G2606" s="3" t="inlineStr">
        <is>
          <t>주식매수선택권행사(-), 주식매수선택권행사(+), 장내매도(-)</t>
        </is>
      </c>
      <c r="H2606" s="17" t="n">
        <v>-55950</v>
      </c>
      <c r="I2606" s="6" t="n">
        <v>2081</v>
      </c>
      <c r="J2606" s="6" t="n">
        <v>8000</v>
      </c>
      <c r="K2606" s="16" t="n">
        <v>2</v>
      </c>
      <c r="L2606" s="2" t="inlineStr">
        <is>
          <t>20260602000380</t>
        </is>
      </c>
      <c r="M2606" s="8">
        <f>HYPERLINK("https://dart.fss.or.kr/dsaf001/main.do?rcpNo=20260602000380", "공시열람")</f>
        <v/>
      </c>
    </row>
    <row r="2607" ht="22" customHeight="1">
      <c r="A2607" s="2" t="inlineStr">
        <is>
          <t>2026-06-02</t>
        </is>
      </c>
      <c r="B2607" s="3" t="inlineStr">
        <is>
          <t>아주IB투자</t>
        </is>
      </c>
      <c r="C2607" s="2" t="inlineStr">
        <is>
          <t>027360</t>
        </is>
      </c>
      <c r="D2607" s="2" t="inlineStr">
        <is>
          <t>대량보유</t>
        </is>
      </c>
      <c r="E2607" s="3" t="inlineStr">
        <is>
          <t>(주)아주</t>
        </is>
      </c>
      <c r="F2607" s="3" t="inlineStr">
        <is>
          <t>특별관계자</t>
        </is>
      </c>
      <c r="G2607" s="3" t="inlineStr">
        <is>
          <t>시간외매매(-)</t>
        </is>
      </c>
      <c r="H2607" s="17" t="n">
        <v>-3634363</v>
      </c>
      <c r="I2607" s="6" t="n">
        <v>14941</v>
      </c>
      <c r="J2607" s="6" t="n">
        <v>69505637</v>
      </c>
      <c r="K2607" s="16" t="n">
        <v>2</v>
      </c>
      <c r="L2607" s="2" t="inlineStr">
        <is>
          <t>20260602000380</t>
        </is>
      </c>
      <c r="M2607" s="8">
        <f>HYPERLINK("https://dart.fss.or.kr/dsaf001/main.do?rcpNo=20260602000380", "공시열람")</f>
        <v/>
      </c>
    </row>
    <row r="2608" ht="22" customHeight="1">
      <c r="A2608" s="2" t="inlineStr">
        <is>
          <t>2026-06-02</t>
        </is>
      </c>
      <c r="B2608" s="3" t="inlineStr">
        <is>
          <t>테크윙</t>
        </is>
      </c>
      <c r="C2608" s="2" t="inlineStr">
        <is>
          <t>089030</t>
        </is>
      </c>
      <c r="D2608" s="2" t="inlineStr">
        <is>
          <t>대량보유</t>
        </is>
      </c>
      <c r="E2608" s="3" t="inlineStr">
        <is>
          <t>삼성자산운용</t>
        </is>
      </c>
      <c r="F2608" s="3" t="inlineStr">
        <is>
          <t>특별관계자</t>
        </is>
      </c>
      <c r="G2608" s="3" t="inlineStr">
        <is>
          <t>기타(+), 장내매수(+), 기타(-), 장내매도(-)</t>
        </is>
      </c>
      <c r="H2608" s="17" t="n">
        <v>-369378</v>
      </c>
      <c r="I2608" s="6" t="n">
        <v>54612</v>
      </c>
      <c r="J2608" s="6" t="n">
        <v>2636897</v>
      </c>
      <c r="K2608" s="16" t="n">
        <v>7.12</v>
      </c>
      <c r="L2608" s="2" t="inlineStr">
        <is>
          <t>20260602000340</t>
        </is>
      </c>
      <c r="M2608" s="8">
        <f>HYPERLINK("https://dart.fss.or.kr/dsaf001/main.do?rcpNo=20260602000340", "공시열람")</f>
        <v/>
      </c>
    </row>
    <row r="2609" ht="22" customHeight="1">
      <c r="A2609" s="2" t="inlineStr">
        <is>
          <t>2026-06-02 (정정: 2026-06-02)</t>
        </is>
      </c>
      <c r="B2609" s="3" t="inlineStr">
        <is>
          <t>제룡전기</t>
        </is>
      </c>
      <c r="C2609" s="2" t="inlineStr">
        <is>
          <t>033100</t>
        </is>
      </c>
      <c r="D2609" s="2" t="inlineStr">
        <is>
          <t>대량보유</t>
        </is>
      </c>
      <c r="E2609" s="3" t="inlineStr">
        <is>
          <t>-</t>
        </is>
      </c>
      <c r="F2609" s="3" t="inlineStr">
        <is>
          <t>보고자</t>
        </is>
      </c>
      <c r="G2609" s="3" t="inlineStr">
        <is>
          <t>-</t>
        </is>
      </c>
      <c r="H2609" s="6" t="inlineStr"/>
      <c r="I2609" s="6" t="inlineStr"/>
      <c r="J2609" s="6" t="inlineStr"/>
      <c r="K2609" s="18" t="inlineStr"/>
      <c r="L2609" s="2" t="inlineStr">
        <is>
          <t>20260602000220</t>
        </is>
      </c>
      <c r="M2609" s="8">
        <f>HYPERLINK("https://dart.fss.or.kr/dsaf001/main.do?rcpNo=20260602000220", "공시열람")</f>
        <v/>
      </c>
    </row>
    <row r="2610" ht="22" customHeight="1">
      <c r="A2610" s="2" t="inlineStr">
        <is>
          <t>2026-06-02</t>
        </is>
      </c>
      <c r="B2610" s="3" t="inlineStr">
        <is>
          <t>원익IPS</t>
        </is>
      </c>
      <c r="C2610" s="2" t="inlineStr">
        <is>
          <t>240810</t>
        </is>
      </c>
      <c r="D2610" s="2" t="inlineStr">
        <is>
          <t>대량보유</t>
        </is>
      </c>
      <c r="E2610" s="3" t="inlineStr">
        <is>
          <t>삼성자산운용</t>
        </is>
      </c>
      <c r="F2610" s="3" t="inlineStr">
        <is>
          <t>특별관계자</t>
        </is>
      </c>
      <c r="G2610" s="3" t="inlineStr">
        <is>
          <t>장내매수(+), 기타(+), 기타(-), 장내매도(-)</t>
        </is>
      </c>
      <c r="H2610" s="17" t="n">
        <v>-610707</v>
      </c>
      <c r="I2610" s="6" t="n">
        <v>122081</v>
      </c>
      <c r="J2610" s="6" t="n">
        <v>2904234</v>
      </c>
      <c r="K2610" s="16" t="n">
        <v>5.92</v>
      </c>
      <c r="L2610" s="2" t="inlineStr">
        <is>
          <t>20260602000331</t>
        </is>
      </c>
      <c r="M2610" s="8">
        <f>HYPERLINK("https://dart.fss.or.kr/dsaf001/main.do?rcpNo=20260602000331", "공시열람")</f>
        <v/>
      </c>
    </row>
    <row r="2611" ht="22" customHeight="1">
      <c r="A2611" s="2" t="inlineStr">
        <is>
          <t>2026-06-02</t>
        </is>
      </c>
      <c r="B2611" s="3" t="inlineStr">
        <is>
          <t>ISC</t>
        </is>
      </c>
      <c r="C2611" s="2" t="inlineStr">
        <is>
          <t>095340</t>
        </is>
      </c>
      <c r="D2611" s="2" t="inlineStr">
        <is>
          <t>대량보유</t>
        </is>
      </c>
      <c r="E2611" s="3" t="inlineStr">
        <is>
          <t>삼성자산운용</t>
        </is>
      </c>
      <c r="F2611" s="3" t="inlineStr">
        <is>
          <t>특별관계자</t>
        </is>
      </c>
      <c r="G2611" s="3" t="inlineStr">
        <is>
          <t>장내매수(+), 기타(+), 기타(-), 장내매도(-)</t>
        </is>
      </c>
      <c r="H2611" s="15" t="n">
        <v>262454</v>
      </c>
      <c r="I2611" s="6" t="n">
        <v>219370</v>
      </c>
      <c r="J2611" s="6" t="n">
        <v>1340264</v>
      </c>
      <c r="K2611" s="16" t="n">
        <v>6.32</v>
      </c>
      <c r="L2611" s="2" t="inlineStr">
        <is>
          <t>20260602000326</t>
        </is>
      </c>
      <c r="M2611" s="8">
        <f>HYPERLINK("https://dart.fss.or.kr/dsaf001/main.do?rcpNo=20260602000326", "공시열람")</f>
        <v/>
      </c>
    </row>
    <row r="2612" ht="22" customHeight="1">
      <c r="A2612" s="2" t="inlineStr">
        <is>
          <t>2026-06-02</t>
        </is>
      </c>
      <c r="B2612" s="3" t="inlineStr">
        <is>
          <t>대원전선</t>
        </is>
      </c>
      <c r="C2612" s="2" t="inlineStr">
        <is>
          <t>006340</t>
        </is>
      </c>
      <c r="D2612" s="2" t="inlineStr">
        <is>
          <t>대량보유</t>
        </is>
      </c>
      <c r="E2612" s="3" t="inlineStr">
        <is>
          <t>삼성자산운용</t>
        </is>
      </c>
      <c r="F2612" s="3" t="inlineStr">
        <is>
          <t>특별관계자</t>
        </is>
      </c>
      <c r="G2612" s="3" t="inlineStr">
        <is>
          <t>기타(+), 기타(-), 장내매도(-), 장내매수(+)</t>
        </is>
      </c>
      <c r="H2612" s="15" t="n">
        <v>663764</v>
      </c>
      <c r="I2612" s="6" t="n">
        <v>15777</v>
      </c>
      <c r="J2612" s="6" t="n">
        <v>4592392</v>
      </c>
      <c r="K2612" s="16" t="n">
        <v>5.86</v>
      </c>
      <c r="L2612" s="2" t="inlineStr">
        <is>
          <t>20260602000325</t>
        </is>
      </c>
      <c r="M2612" s="8">
        <f>HYPERLINK("https://dart.fss.or.kr/dsaf001/main.do?rcpNo=20260602000325", "공시열람")</f>
        <v/>
      </c>
    </row>
    <row r="2613" ht="22" customHeight="1">
      <c r="A2613" s="2" t="inlineStr">
        <is>
          <t>2026-06-02</t>
        </is>
      </c>
      <c r="B2613" s="3" t="inlineStr">
        <is>
          <t>와이제이링크</t>
        </is>
      </c>
      <c r="C2613" s="2" t="inlineStr">
        <is>
          <t>209640</t>
        </is>
      </c>
      <c r="D2613" s="2" t="inlineStr">
        <is>
          <t>대량보유</t>
        </is>
      </c>
      <c r="E2613" s="3" t="inlineStr">
        <is>
          <t>박순일</t>
        </is>
      </c>
      <c r="F2613" s="3" t="inlineStr">
        <is>
          <t>보고자</t>
        </is>
      </c>
      <c r="G2613" s="3" t="inlineStr">
        <is>
          <t>기존 주식담보대출 상환 및 신규 주식담보대출 체결</t>
        </is>
      </c>
      <c r="H2613" s="6" t="inlineStr"/>
      <c r="I2613" s="6" t="inlineStr"/>
      <c r="J2613" s="6" t="n">
        <v>12258481</v>
      </c>
      <c r="K2613" s="16" t="n">
        <v>4</v>
      </c>
      <c r="L2613" s="2" t="inlineStr">
        <is>
          <t>20260602000321</t>
        </is>
      </c>
      <c r="M2613" s="8">
        <f>HYPERLINK("https://dart.fss.or.kr/dsaf001/main.do?rcpNo=20260602000321", "공시열람")</f>
        <v/>
      </c>
    </row>
    <row r="2614" ht="22" customHeight="1">
      <c r="A2614" s="2" t="inlineStr">
        <is>
          <t>2026-06-02</t>
        </is>
      </c>
      <c r="B2614" s="3" t="inlineStr">
        <is>
          <t>삼익THK</t>
        </is>
      </c>
      <c r="C2614" s="2" t="inlineStr">
        <is>
          <t>004380</t>
        </is>
      </c>
      <c r="D2614" s="2" t="inlineStr">
        <is>
          <t>임원보고</t>
        </is>
      </c>
      <c r="E2614" s="3" t="inlineStr">
        <is>
          <t>-</t>
        </is>
      </c>
      <c r="F2614" s="3" t="inlineStr">
        <is>
          <t>-</t>
        </is>
      </c>
      <c r="G2614" s="3" t="inlineStr">
        <is>
          <t>-</t>
        </is>
      </c>
      <c r="H2614" s="6" t="inlineStr"/>
      <c r="I2614" s="6" t="inlineStr"/>
      <c r="J2614" s="6" t="inlineStr"/>
      <c r="K2614" s="16" t="n">
        <v>12</v>
      </c>
      <c r="L2614" s="2" t="inlineStr">
        <is>
          <t>20260602800498</t>
        </is>
      </c>
      <c r="M2614" s="8">
        <f>HYPERLINK("https://dart.fss.or.kr/dsaf001/main.do?rcpNo=20260602800498", "공시열람")</f>
        <v/>
      </c>
    </row>
    <row r="2615" ht="22" customHeight="1">
      <c r="A2615" s="2" t="inlineStr">
        <is>
          <t>2026-06-02</t>
        </is>
      </c>
      <c r="B2615" s="3" t="inlineStr">
        <is>
          <t>메카로</t>
        </is>
      </c>
      <c r="C2615" s="2" t="inlineStr">
        <is>
          <t>241770</t>
        </is>
      </c>
      <c r="D2615" s="2" t="inlineStr">
        <is>
          <t>대량보유</t>
        </is>
      </c>
      <c r="E2615" s="3" t="inlineStr">
        <is>
          <t>이동건</t>
        </is>
      </c>
      <c r="F2615" s="3" t="inlineStr">
        <is>
          <t>특별관계자</t>
        </is>
      </c>
      <c r="G2615" s="3" t="inlineStr">
        <is>
          <t>장내매도(-)</t>
        </is>
      </c>
      <c r="H2615" s="17" t="n">
        <v>-18506</v>
      </c>
      <c r="I2615" s="6" t="n">
        <v>38989</v>
      </c>
      <c r="J2615" s="6" t="n">
        <v>485551</v>
      </c>
      <c r="K2615" s="16" t="n">
        <v>25</v>
      </c>
      <c r="L2615" s="2" t="inlineStr">
        <is>
          <t>20260602000312</t>
        </is>
      </c>
      <c r="M2615" s="8">
        <f>HYPERLINK("https://dart.fss.or.kr/dsaf001/main.do?rcpNo=20260602000312", "공시열람")</f>
        <v/>
      </c>
    </row>
    <row r="2616" ht="22" customHeight="1">
      <c r="A2616" s="2" t="inlineStr">
        <is>
          <t>2026-06-02</t>
        </is>
      </c>
      <c r="B2616" s="3" t="inlineStr">
        <is>
          <t>웅진씽크빅</t>
        </is>
      </c>
      <c r="C2616" s="2" t="inlineStr">
        <is>
          <t>095720</t>
        </is>
      </c>
      <c r="D2616" s="2" t="inlineStr">
        <is>
          <t>대량보유</t>
        </is>
      </c>
      <c r="E2616" s="3" t="inlineStr">
        <is>
          <t>㈜웅진</t>
        </is>
      </c>
      <c r="F2616" s="3" t="inlineStr">
        <is>
          <t>특별관계자</t>
        </is>
      </c>
      <c r="G2616" s="3" t="inlineStr">
        <is>
          <t>주식병합</t>
        </is>
      </c>
      <c r="H2616" s="17" t="n">
        <v>-33945457</v>
      </c>
      <c r="I2616" s="6" t="inlineStr"/>
      <c r="J2616" s="6" t="n">
        <v>33945457</v>
      </c>
      <c r="K2616" s="16" t="n">
        <v>10</v>
      </c>
      <c r="L2616" s="2" t="inlineStr">
        <is>
          <t>20260602000309</t>
        </is>
      </c>
      <c r="M2616" s="8">
        <f>HYPERLINK("https://dart.fss.or.kr/dsaf001/main.do?rcpNo=20260602000309", "공시열람")</f>
        <v/>
      </c>
    </row>
    <row r="2617" ht="22" customHeight="1">
      <c r="A2617" s="2" t="inlineStr">
        <is>
          <t>2026-06-02</t>
        </is>
      </c>
      <c r="B2617" s="3" t="inlineStr">
        <is>
          <t>웅진씽크빅</t>
        </is>
      </c>
      <c r="C2617" s="2" t="inlineStr">
        <is>
          <t>095720</t>
        </is>
      </c>
      <c r="D2617" s="2" t="inlineStr">
        <is>
          <t>대량보유</t>
        </is>
      </c>
      <c r="E2617" s="3" t="inlineStr">
        <is>
          <t>윤형덕</t>
        </is>
      </c>
      <c r="F2617" s="3" t="inlineStr">
        <is>
          <t>특별관계자</t>
        </is>
      </c>
      <c r="G2617" s="3" t="inlineStr">
        <is>
          <t>주식병합</t>
        </is>
      </c>
      <c r="H2617" s="17" t="n">
        <v>-429905</v>
      </c>
      <c r="I2617" s="6" t="inlineStr"/>
      <c r="J2617" s="6" t="n">
        <v>429904</v>
      </c>
      <c r="K2617" s="16" t="n">
        <v>10</v>
      </c>
      <c r="L2617" s="2" t="inlineStr">
        <is>
          <t>20260602000309</t>
        </is>
      </c>
      <c r="M2617" s="8">
        <f>HYPERLINK("https://dart.fss.or.kr/dsaf001/main.do?rcpNo=20260602000309", "공시열람")</f>
        <v/>
      </c>
    </row>
    <row r="2618" ht="22" customHeight="1">
      <c r="A2618" s="2" t="inlineStr">
        <is>
          <t>2026-06-02</t>
        </is>
      </c>
      <c r="B2618" s="3" t="inlineStr">
        <is>
          <t>웅진씽크빅</t>
        </is>
      </c>
      <c r="C2618" s="2" t="inlineStr">
        <is>
          <t>095720</t>
        </is>
      </c>
      <c r="D2618" s="2" t="inlineStr">
        <is>
          <t>대량보유</t>
        </is>
      </c>
      <c r="E2618" s="3" t="inlineStr">
        <is>
          <t>윤새봄</t>
        </is>
      </c>
      <c r="F2618" s="3" t="inlineStr">
        <is>
          <t>특별관계자</t>
        </is>
      </c>
      <c r="G2618" s="3" t="inlineStr">
        <is>
          <t>주식병합</t>
        </is>
      </c>
      <c r="H2618" s="17" t="n">
        <v>-429905</v>
      </c>
      <c r="I2618" s="6" t="inlineStr"/>
      <c r="J2618" s="6" t="n">
        <v>429904</v>
      </c>
      <c r="K2618" s="16" t="n">
        <v>10</v>
      </c>
      <c r="L2618" s="2" t="inlineStr">
        <is>
          <t>20260602000309</t>
        </is>
      </c>
      <c r="M2618" s="8">
        <f>HYPERLINK("https://dart.fss.or.kr/dsaf001/main.do?rcpNo=20260602000309", "공시열람")</f>
        <v/>
      </c>
    </row>
    <row r="2619" ht="22" customHeight="1">
      <c r="A2619" s="2" t="inlineStr">
        <is>
          <t>2026-06-02</t>
        </is>
      </c>
      <c r="B2619" s="3" t="inlineStr">
        <is>
          <t>웅진씽크빅</t>
        </is>
      </c>
      <c r="C2619" s="2" t="inlineStr">
        <is>
          <t>095720</t>
        </is>
      </c>
      <c r="D2619" s="2" t="inlineStr">
        <is>
          <t>대량보유</t>
        </is>
      </c>
      <c r="E2619" s="3" t="inlineStr">
        <is>
          <t>최일동</t>
        </is>
      </c>
      <c r="F2619" s="3" t="inlineStr">
        <is>
          <t>특별관계자</t>
        </is>
      </c>
      <c r="G2619" s="3" t="inlineStr">
        <is>
          <t>주식병합</t>
        </is>
      </c>
      <c r="H2619" s="17" t="n">
        <v>-45208</v>
      </c>
      <c r="I2619" s="6" t="inlineStr"/>
      <c r="J2619" s="6" t="n">
        <v>25000</v>
      </c>
      <c r="K2619" s="16" t="n">
        <v>10</v>
      </c>
      <c r="L2619" s="2" t="inlineStr">
        <is>
          <t>20260602000309</t>
        </is>
      </c>
      <c r="M2619" s="8">
        <f>HYPERLINK("https://dart.fss.or.kr/dsaf001/main.do?rcpNo=20260602000309", "공시열람")</f>
        <v/>
      </c>
    </row>
    <row r="2620" ht="22" customHeight="1">
      <c r="A2620" s="2" t="inlineStr">
        <is>
          <t>2026-06-02</t>
        </is>
      </c>
      <c r="B2620" s="3" t="inlineStr">
        <is>
          <t>웅진씽크빅</t>
        </is>
      </c>
      <c r="C2620" s="2" t="inlineStr">
        <is>
          <t>095720</t>
        </is>
      </c>
      <c r="D2620" s="2" t="inlineStr">
        <is>
          <t>대량보유</t>
        </is>
      </c>
      <c r="E2620" s="3" t="inlineStr">
        <is>
          <t>이현정</t>
        </is>
      </c>
      <c r="F2620" s="3" t="inlineStr">
        <is>
          <t>특별관계자</t>
        </is>
      </c>
      <c r="G2620" s="3" t="inlineStr">
        <is>
          <t>임원퇴임(-)</t>
        </is>
      </c>
      <c r="H2620" s="17" t="n">
        <v>-8000</v>
      </c>
      <c r="I2620" s="6" t="inlineStr"/>
      <c r="J2620" s="6" t="inlineStr"/>
      <c r="K2620" s="16" t="n">
        <v>10</v>
      </c>
      <c r="L2620" s="2" t="inlineStr">
        <is>
          <t>20260602000309</t>
        </is>
      </c>
      <c r="M2620" s="8">
        <f>HYPERLINK("https://dart.fss.or.kr/dsaf001/main.do?rcpNo=20260602000309", "공시열람")</f>
        <v/>
      </c>
    </row>
    <row r="2621" ht="22" customHeight="1">
      <c r="A2621" s="2" t="inlineStr">
        <is>
          <t>2026-06-02</t>
        </is>
      </c>
      <c r="B2621" s="3" t="inlineStr">
        <is>
          <t>웅진씽크빅</t>
        </is>
      </c>
      <c r="C2621" s="2" t="inlineStr">
        <is>
          <t>095720</t>
        </is>
      </c>
      <c r="D2621" s="2" t="inlineStr">
        <is>
          <t>대량보유</t>
        </is>
      </c>
      <c r="E2621" s="3" t="inlineStr">
        <is>
          <t>안경숙</t>
        </is>
      </c>
      <c r="F2621" s="3" t="inlineStr">
        <is>
          <t>특별관계자</t>
        </is>
      </c>
      <c r="G2621" s="3" t="inlineStr">
        <is>
          <t>주식병합</t>
        </is>
      </c>
      <c r="H2621" s="17" t="n">
        <v>-4057</v>
      </c>
      <c r="I2621" s="6" t="inlineStr"/>
      <c r="J2621" s="6" t="n">
        <v>4056</v>
      </c>
      <c r="K2621" s="16" t="n">
        <v>10</v>
      </c>
      <c r="L2621" s="2" t="inlineStr">
        <is>
          <t>20260602000309</t>
        </is>
      </c>
      <c r="M2621" s="8">
        <f>HYPERLINK("https://dart.fss.or.kr/dsaf001/main.do?rcpNo=20260602000309", "공시열람")</f>
        <v/>
      </c>
    </row>
    <row r="2622" ht="22" customHeight="1">
      <c r="A2622" s="2" t="inlineStr">
        <is>
          <t>2026-06-02</t>
        </is>
      </c>
      <c r="B2622" s="3" t="inlineStr">
        <is>
          <t>웅진씽크빅</t>
        </is>
      </c>
      <c r="C2622" s="2" t="inlineStr">
        <is>
          <t>095720</t>
        </is>
      </c>
      <c r="D2622" s="2" t="inlineStr">
        <is>
          <t>대량보유</t>
        </is>
      </c>
      <c r="E2622" s="3" t="inlineStr">
        <is>
          <t>임한우</t>
        </is>
      </c>
      <c r="F2622" s="3" t="inlineStr">
        <is>
          <t>특별관계자</t>
        </is>
      </c>
      <c r="G2622" s="3" t="inlineStr">
        <is>
          <t>주식병합</t>
        </is>
      </c>
      <c r="H2622" s="17" t="n">
        <v>-5000</v>
      </c>
      <c r="I2622" s="6" t="inlineStr"/>
      <c r="J2622" s="6" t="n">
        <v>5000</v>
      </c>
      <c r="K2622" s="16" t="n">
        <v>10</v>
      </c>
      <c r="L2622" s="2" t="inlineStr">
        <is>
          <t>20260602000309</t>
        </is>
      </c>
      <c r="M2622" s="8">
        <f>HYPERLINK("https://dart.fss.or.kr/dsaf001/main.do?rcpNo=20260602000309", "공시열람")</f>
        <v/>
      </c>
    </row>
    <row r="2623" ht="22" customHeight="1">
      <c r="A2623" s="2" t="inlineStr">
        <is>
          <t>2026-06-02</t>
        </is>
      </c>
      <c r="B2623" s="3" t="inlineStr">
        <is>
          <t>웅진씽크빅</t>
        </is>
      </c>
      <c r="C2623" s="2" t="inlineStr">
        <is>
          <t>095720</t>
        </is>
      </c>
      <c r="D2623" s="2" t="inlineStr">
        <is>
          <t>대량보유</t>
        </is>
      </c>
      <c r="E2623" s="3" t="inlineStr">
        <is>
          <t>곽태호</t>
        </is>
      </c>
      <c r="F2623" s="3" t="inlineStr">
        <is>
          <t>특별관계자</t>
        </is>
      </c>
      <c r="G2623" s="3" t="inlineStr">
        <is>
          <t>주식병합</t>
        </is>
      </c>
      <c r="H2623" s="17" t="n">
        <v>-5000</v>
      </c>
      <c r="I2623" s="6" t="inlineStr"/>
      <c r="J2623" s="6" t="n">
        <v>5000</v>
      </c>
      <c r="K2623" s="16" t="n">
        <v>10</v>
      </c>
      <c r="L2623" s="2" t="inlineStr">
        <is>
          <t>20260602000309</t>
        </is>
      </c>
      <c r="M2623" s="8">
        <f>HYPERLINK("https://dart.fss.or.kr/dsaf001/main.do?rcpNo=20260602000309", "공시열람")</f>
        <v/>
      </c>
    </row>
    <row r="2624" ht="22" customHeight="1">
      <c r="A2624" s="2" t="inlineStr">
        <is>
          <t>2026-06-02</t>
        </is>
      </c>
      <c r="B2624" s="3" t="inlineStr">
        <is>
          <t>웅진씽크빅</t>
        </is>
      </c>
      <c r="C2624" s="2" t="inlineStr">
        <is>
          <t>095720</t>
        </is>
      </c>
      <c r="D2624" s="2" t="inlineStr">
        <is>
          <t>대량보유</t>
        </is>
      </c>
      <c r="E2624" s="3" t="inlineStr">
        <is>
          <t>이정훈</t>
        </is>
      </c>
      <c r="F2624" s="3" t="inlineStr">
        <is>
          <t>특별관계자</t>
        </is>
      </c>
      <c r="G2624" s="3" t="inlineStr">
        <is>
          <t>주식병합</t>
        </is>
      </c>
      <c r="H2624" s="17" t="n">
        <v>-25000</v>
      </c>
      <c r="I2624" s="6" t="inlineStr"/>
      <c r="J2624" s="6" t="n">
        <v>25000</v>
      </c>
      <c r="K2624" s="16" t="n">
        <v>10</v>
      </c>
      <c r="L2624" s="2" t="inlineStr">
        <is>
          <t>20260602000309</t>
        </is>
      </c>
      <c r="M2624" s="8">
        <f>HYPERLINK("https://dart.fss.or.kr/dsaf001/main.do?rcpNo=20260602000309", "공시열람")</f>
        <v/>
      </c>
    </row>
    <row r="2625" ht="22" customHeight="1">
      <c r="A2625" s="2" t="inlineStr">
        <is>
          <t>2026-06-02</t>
        </is>
      </c>
      <c r="B2625" s="3" t="inlineStr">
        <is>
          <t>웅진씽크빅</t>
        </is>
      </c>
      <c r="C2625" s="2" t="inlineStr">
        <is>
          <t>095720</t>
        </is>
      </c>
      <c r="D2625" s="2" t="inlineStr">
        <is>
          <t>대량보유</t>
        </is>
      </c>
      <c r="E2625" s="3" t="inlineStr">
        <is>
          <t>신동해</t>
        </is>
      </c>
      <c r="F2625" s="3" t="inlineStr">
        <is>
          <t>특별관계자</t>
        </is>
      </c>
      <c r="G2625" s="3" t="inlineStr">
        <is>
          <t>주식병합</t>
        </is>
      </c>
      <c r="H2625" s="17" t="n">
        <v>-501</v>
      </c>
      <c r="I2625" s="6" t="inlineStr"/>
      <c r="J2625" s="6" t="n">
        <v>500</v>
      </c>
      <c r="K2625" s="16" t="n">
        <v>10</v>
      </c>
      <c r="L2625" s="2" t="inlineStr">
        <is>
          <t>20260602000309</t>
        </is>
      </c>
      <c r="M2625" s="8">
        <f>HYPERLINK("https://dart.fss.or.kr/dsaf001/main.do?rcpNo=20260602000309", "공시열람")</f>
        <v/>
      </c>
    </row>
    <row r="2626" ht="22" customHeight="1">
      <c r="A2626" s="2" t="inlineStr">
        <is>
          <t>2026-06-02</t>
        </is>
      </c>
      <c r="B2626" s="3" t="inlineStr">
        <is>
          <t>웅진씽크빅</t>
        </is>
      </c>
      <c r="C2626" s="2" t="inlineStr">
        <is>
          <t>095720</t>
        </is>
      </c>
      <c r="D2626" s="2" t="inlineStr">
        <is>
          <t>대량보유</t>
        </is>
      </c>
      <c r="E2626" s="3" t="inlineStr">
        <is>
          <t>윤시훈</t>
        </is>
      </c>
      <c r="F2626" s="3" t="inlineStr">
        <is>
          <t>특별관계자</t>
        </is>
      </c>
      <c r="G2626" s="3" t="inlineStr">
        <is>
          <t>주식병합</t>
        </is>
      </c>
      <c r="H2626" s="17" t="n">
        <v>-785</v>
      </c>
      <c r="I2626" s="6" t="inlineStr"/>
      <c r="J2626" s="6" t="n">
        <v>785</v>
      </c>
      <c r="K2626" s="16" t="n">
        <v>10</v>
      </c>
      <c r="L2626" s="2" t="inlineStr">
        <is>
          <t>20260602000309</t>
        </is>
      </c>
      <c r="M2626" s="8">
        <f>HYPERLINK("https://dart.fss.or.kr/dsaf001/main.do?rcpNo=20260602000309", "공시열람")</f>
        <v/>
      </c>
    </row>
    <row r="2627" ht="22" customHeight="1">
      <c r="A2627" s="2" t="inlineStr">
        <is>
          <t>2026-06-02</t>
        </is>
      </c>
      <c r="B2627" s="3" t="inlineStr">
        <is>
          <t>웅진씽크빅</t>
        </is>
      </c>
      <c r="C2627" s="2" t="inlineStr">
        <is>
          <t>095720</t>
        </is>
      </c>
      <c r="D2627" s="2" t="inlineStr">
        <is>
          <t>대량보유</t>
        </is>
      </c>
      <c r="E2627" s="3" t="inlineStr">
        <is>
          <t>(주)웅진씽크빅</t>
        </is>
      </c>
      <c r="F2627" s="3" t="inlineStr">
        <is>
          <t>특별관계자</t>
        </is>
      </c>
      <c r="G2627" s="3" t="inlineStr">
        <is>
          <t>주식소각, 주식병합, 기타(+)</t>
        </is>
      </c>
      <c r="H2627" s="17" t="n">
        <v>-4581877</v>
      </c>
      <c r="I2627" s="6" t="inlineStr"/>
      <c r="J2627" s="6" t="n">
        <v>2825380</v>
      </c>
      <c r="K2627" s="16" t="n">
        <v>10</v>
      </c>
      <c r="L2627" s="2" t="inlineStr">
        <is>
          <t>20260602000309</t>
        </is>
      </c>
      <c r="M2627" s="8">
        <f>HYPERLINK("https://dart.fss.or.kr/dsaf001/main.do?rcpNo=20260602000309", "공시열람")</f>
        <v/>
      </c>
    </row>
    <row r="2628" ht="22" customHeight="1">
      <c r="A2628" s="2" t="inlineStr">
        <is>
          <t>2026-06-02</t>
        </is>
      </c>
      <c r="B2628" s="3" t="inlineStr">
        <is>
          <t>파라다이스</t>
        </is>
      </c>
      <c r="C2628" s="2" t="inlineStr">
        <is>
          <t>034230</t>
        </is>
      </c>
      <c r="D2628" s="2" t="inlineStr">
        <is>
          <t>대량보유</t>
        </is>
      </c>
      <c r="E2628" s="3" t="inlineStr">
        <is>
          <t>(주)파라다이스글로벌</t>
        </is>
      </c>
      <c r="F2628" s="3" t="inlineStr">
        <is>
          <t>보고자</t>
        </is>
      </c>
      <c r="G2628" s="3" t="inlineStr">
        <is>
          <t>연명보고자 주식 담보 대출 연장</t>
        </is>
      </c>
      <c r="H2628" s="6" t="inlineStr"/>
      <c r="I2628" s="6" t="inlineStr"/>
      <c r="J2628" s="6" t="n">
        <v>41825849</v>
      </c>
      <c r="K2628" s="16" t="n">
        <v>7</v>
      </c>
      <c r="L2628" s="2" t="inlineStr">
        <is>
          <t>20260602000287</t>
        </is>
      </c>
      <c r="M2628" s="8">
        <f>HYPERLINK("https://dart.fss.or.kr/dsaf001/main.do?rcpNo=20260602000287", "공시열람")</f>
        <v/>
      </c>
    </row>
    <row r="2629" ht="22" customHeight="1">
      <c r="A2629" s="2" t="inlineStr">
        <is>
          <t>2026-06-02</t>
        </is>
      </c>
      <c r="B2629" s="3" t="inlineStr">
        <is>
          <t>제이엔케이글로벌</t>
        </is>
      </c>
      <c r="C2629" s="2" t="inlineStr">
        <is>
          <t>126880</t>
        </is>
      </c>
      <c r="D2629" s="2" t="inlineStr">
        <is>
          <t>대량보유</t>
        </is>
      </c>
      <c r="E2629" s="3" t="inlineStr">
        <is>
          <t>최창윤</t>
        </is>
      </c>
      <c r="F2629" s="3" t="inlineStr">
        <is>
          <t>특별관계자</t>
        </is>
      </c>
      <c r="G2629" s="3" t="inlineStr">
        <is>
          <t>장내매수(+)</t>
        </is>
      </c>
      <c r="H2629" s="15" t="n">
        <v>15000</v>
      </c>
      <c r="I2629" s="6" t="n">
        <v>3256</v>
      </c>
      <c r="J2629" s="6" t="n">
        <v>153500</v>
      </c>
      <c r="K2629" s="16" t="n">
        <v>2</v>
      </c>
      <c r="L2629" s="2" t="inlineStr">
        <is>
          <t>20260602000277</t>
        </is>
      </c>
      <c r="M2629" s="8">
        <f>HYPERLINK("https://dart.fss.or.kr/dsaf001/main.do?rcpNo=20260602000277", "공시열람")</f>
        <v/>
      </c>
    </row>
    <row r="2630" ht="22" customHeight="1">
      <c r="A2630" s="2" t="inlineStr">
        <is>
          <t>2026-06-02</t>
        </is>
      </c>
      <c r="B2630" s="3" t="inlineStr">
        <is>
          <t>다산솔루에타</t>
        </is>
      </c>
      <c r="C2630" s="2" t="inlineStr">
        <is>
          <t>154040</t>
        </is>
      </c>
      <c r="D2630" s="2" t="inlineStr">
        <is>
          <t>대량보유</t>
        </is>
      </c>
      <c r="E2630" s="3" t="inlineStr">
        <is>
          <t>엔브이글로벌코리아메자닌사모투자합자회사</t>
        </is>
      </c>
      <c r="F2630" s="3" t="inlineStr">
        <is>
          <t>특별관계자</t>
        </is>
      </c>
      <c r="G2630" s="3" t="inlineStr">
        <is>
          <t>기타(-)</t>
        </is>
      </c>
      <c r="H2630" s="17" t="n">
        <v>-1785714</v>
      </c>
      <c r="I2630" s="6" t="n">
        <v>2800</v>
      </c>
      <c r="J2630" s="6" t="inlineStr"/>
      <c r="K2630" s="16" t="n">
        <v>1</v>
      </c>
      <c r="L2630" s="2" t="inlineStr">
        <is>
          <t>20260602000273</t>
        </is>
      </c>
      <c r="M2630" s="8">
        <f>HYPERLINK("https://dart.fss.or.kr/dsaf001/main.do?rcpNo=20260602000273", "공시열람")</f>
        <v/>
      </c>
    </row>
    <row r="2631" ht="22" customHeight="1">
      <c r="A2631" s="2" t="inlineStr">
        <is>
          <t>2026-06-02</t>
        </is>
      </c>
      <c r="B2631" s="3" t="inlineStr">
        <is>
          <t>아티스트스튜디오</t>
        </is>
      </c>
      <c r="C2631" s="2" t="inlineStr">
        <is>
          <t>200350</t>
        </is>
      </c>
      <c r="D2631" s="2" t="inlineStr">
        <is>
          <t>대량보유</t>
        </is>
      </c>
      <c r="E2631" s="3" t="inlineStr">
        <is>
          <t>(주)매일방송</t>
        </is>
      </c>
      <c r="F2631" s="3" t="inlineStr">
        <is>
          <t>특별관계자</t>
        </is>
      </c>
      <c r="G2631" s="3" t="inlineStr">
        <is>
          <t>기타(+)</t>
        </is>
      </c>
      <c r="H2631" s="15" t="n">
        <v>812500</v>
      </c>
      <c r="I2631" s="6" t="inlineStr"/>
      <c r="J2631" s="6" t="n">
        <v>812500</v>
      </c>
      <c r="K2631" s="16" t="n">
        <v>4</v>
      </c>
      <c r="L2631" s="2" t="inlineStr">
        <is>
          <t>20260602000267</t>
        </is>
      </c>
      <c r="M2631" s="8">
        <f>HYPERLINK("https://dart.fss.or.kr/dsaf001/main.do?rcpNo=20260602000267", "공시열람")</f>
        <v/>
      </c>
    </row>
    <row r="2632" ht="22" customHeight="1">
      <c r="A2632" s="2" t="inlineStr">
        <is>
          <t>2026-06-02</t>
        </is>
      </c>
      <c r="B2632" s="3" t="inlineStr">
        <is>
          <t>아티스트스튜디오</t>
        </is>
      </c>
      <c r="C2632" s="2" t="inlineStr">
        <is>
          <t>200350</t>
        </is>
      </c>
      <c r="D2632" s="2" t="inlineStr">
        <is>
          <t>대량보유</t>
        </is>
      </c>
      <c r="E2632" s="3" t="inlineStr">
        <is>
          <t>(주)스튜디오지담</t>
        </is>
      </c>
      <c r="F2632" s="3" t="inlineStr">
        <is>
          <t>특별관계자</t>
        </is>
      </c>
      <c r="G2632" s="3" t="inlineStr">
        <is>
          <t>기타(+)</t>
        </is>
      </c>
      <c r="H2632" s="15" t="n">
        <v>312500</v>
      </c>
      <c r="I2632" s="6" t="inlineStr"/>
      <c r="J2632" s="6" t="n">
        <v>312500</v>
      </c>
      <c r="K2632" s="16" t="n">
        <v>4</v>
      </c>
      <c r="L2632" s="2" t="inlineStr">
        <is>
          <t>20260602000267</t>
        </is>
      </c>
      <c r="M2632" s="8">
        <f>HYPERLINK("https://dart.fss.or.kr/dsaf001/main.do?rcpNo=20260602000267", "공시열람")</f>
        <v/>
      </c>
    </row>
    <row r="2633" ht="22" customHeight="1">
      <c r="A2633" s="2" t="inlineStr">
        <is>
          <t>2026-06-02</t>
        </is>
      </c>
      <c r="B2633" s="3" t="inlineStr">
        <is>
          <t>다스코</t>
        </is>
      </c>
      <c r="C2633" s="2" t="inlineStr">
        <is>
          <t>058730</t>
        </is>
      </c>
      <c r="D2633" s="2" t="inlineStr">
        <is>
          <t>임원보고</t>
        </is>
      </c>
      <c r="E2633" s="3" t="inlineStr">
        <is>
          <t>-</t>
        </is>
      </c>
      <c r="F2633" s="3" t="inlineStr">
        <is>
          <t>-</t>
        </is>
      </c>
      <c r="G2633" s="3" t="inlineStr">
        <is>
          <t>-</t>
        </is>
      </c>
      <c r="H2633" s="6" t="inlineStr"/>
      <c r="I2633" s="6" t="inlineStr"/>
      <c r="J2633" s="6" t="inlineStr"/>
      <c r="K2633" s="16" t="n">
        <v>12</v>
      </c>
      <c r="L2633" s="2" t="inlineStr">
        <is>
          <t>20260602800433</t>
        </is>
      </c>
      <c r="M2633" s="8">
        <f>HYPERLINK("https://dart.fss.or.kr/dsaf001/main.do?rcpNo=20260602800433", "공시열람")</f>
        <v/>
      </c>
    </row>
    <row r="2634" ht="22" customHeight="1">
      <c r="A2634" s="2" t="inlineStr">
        <is>
          <t>2026-06-02</t>
        </is>
      </c>
      <c r="B2634" s="3" t="inlineStr">
        <is>
          <t>씨큐브</t>
        </is>
      </c>
      <c r="C2634" s="2" t="inlineStr">
        <is>
          <t>101240</t>
        </is>
      </c>
      <c r="D2634" s="2" t="inlineStr">
        <is>
          <t>대량보유</t>
        </is>
      </c>
      <c r="E2634" s="3" t="inlineStr">
        <is>
          <t>스타치얼코퍼레이션(STARCHEERCORPORATIONLIMITED)</t>
        </is>
      </c>
      <c r="F2634" s="3" t="inlineStr">
        <is>
          <t>특별관계자</t>
        </is>
      </c>
      <c r="G2634" s="3" t="inlineStr">
        <is>
          <t>장내매수(+)</t>
        </is>
      </c>
      <c r="H2634" s="15" t="n">
        <v>135599</v>
      </c>
      <c r="I2634" s="6" t="n">
        <v>3785</v>
      </c>
      <c r="J2634" s="6" t="n">
        <v>4448299</v>
      </c>
      <c r="K2634" s="16" t="n">
        <v>2</v>
      </c>
      <c r="L2634" s="2" t="inlineStr">
        <is>
          <t>20260602000260</t>
        </is>
      </c>
      <c r="M2634" s="8">
        <f>HYPERLINK("https://dart.fss.or.kr/dsaf001/main.do?rcpNo=20260602000260", "공시열람")</f>
        <v/>
      </c>
    </row>
    <row r="2635" ht="22" customHeight="1">
      <c r="A2635" s="2" t="inlineStr">
        <is>
          <t>2026-06-02</t>
        </is>
      </c>
      <c r="B2635" s="3" t="inlineStr">
        <is>
          <t>한독</t>
        </is>
      </c>
      <c r="C2635" s="2" t="inlineStr">
        <is>
          <t>002390</t>
        </is>
      </c>
      <c r="D2635" s="2" t="inlineStr">
        <is>
          <t>임원보고</t>
        </is>
      </c>
      <c r="E2635" s="3" t="inlineStr">
        <is>
          <t>-</t>
        </is>
      </c>
      <c r="F2635" s="3" t="inlineStr">
        <is>
          <t>-</t>
        </is>
      </c>
      <c r="G2635" s="3" t="inlineStr">
        <is>
          <t>-</t>
        </is>
      </c>
      <c r="H2635" s="6" t="inlineStr"/>
      <c r="I2635" s="6" t="inlineStr"/>
      <c r="J2635" s="6" t="inlineStr"/>
      <c r="K2635" s="16" t="n">
        <v>12</v>
      </c>
      <c r="L2635" s="2" t="inlineStr">
        <is>
          <t>20260602800420</t>
        </is>
      </c>
      <c r="M2635" s="8">
        <f>HYPERLINK("https://dart.fss.or.kr/dsaf001/main.do?rcpNo=20260602800420", "공시열람")</f>
        <v/>
      </c>
    </row>
    <row r="2636" ht="22" customHeight="1">
      <c r="A2636" s="2" t="inlineStr">
        <is>
          <t>2026-06-02</t>
        </is>
      </c>
      <c r="B2636" s="3" t="inlineStr">
        <is>
          <t>에프엔에스테크</t>
        </is>
      </c>
      <c r="C2636" s="2" t="inlineStr">
        <is>
          <t>083500</t>
        </is>
      </c>
      <c r="D2636" s="2" t="inlineStr">
        <is>
          <t>대량보유</t>
        </is>
      </c>
      <c r="E2636" s="3" t="inlineStr">
        <is>
          <t>한경희</t>
        </is>
      </c>
      <c r="F2636" s="3" t="inlineStr">
        <is>
          <t>특별관계자</t>
        </is>
      </c>
      <c r="G2636" s="3" t="inlineStr">
        <is>
          <t>자기주식 소각으로 인한 총발행주식수 및 보유비율 변동</t>
        </is>
      </c>
      <c r="H2636" s="6" t="inlineStr"/>
      <c r="I2636" s="6" t="inlineStr"/>
      <c r="J2636" s="6" t="inlineStr"/>
      <c r="K2636" s="16" t="n">
        <v>11</v>
      </c>
      <c r="L2636" s="2" t="inlineStr">
        <is>
          <t>20260602000238</t>
        </is>
      </c>
      <c r="M2636" s="8">
        <f>HYPERLINK("https://dart.fss.or.kr/dsaf001/main.do?rcpNo=20260602000238", "공시열람")</f>
        <v/>
      </c>
    </row>
    <row r="2637" ht="22" customHeight="1">
      <c r="A2637" s="2" t="inlineStr">
        <is>
          <t>2026-06-02</t>
        </is>
      </c>
      <c r="B2637" s="3" t="inlineStr">
        <is>
          <t>에프엔에스테크</t>
        </is>
      </c>
      <c r="C2637" s="2" t="inlineStr">
        <is>
          <t>083500</t>
        </is>
      </c>
      <c r="D2637" s="2" t="inlineStr">
        <is>
          <t>대량보유</t>
        </is>
      </c>
      <c r="E2637" s="3" t="inlineStr">
        <is>
          <t>김팔곤</t>
        </is>
      </c>
      <c r="F2637" s="3" t="inlineStr">
        <is>
          <t>특별관계자</t>
        </is>
      </c>
      <c r="G2637" s="3" t="inlineStr">
        <is>
          <t>자기주식 소각으로 인한 총발행주식수 및 보유비율 변동</t>
        </is>
      </c>
      <c r="H2637" s="6" t="inlineStr"/>
      <c r="I2637" s="6" t="inlineStr"/>
      <c r="J2637" s="6" t="inlineStr"/>
      <c r="K2637" s="16" t="n">
        <v>11</v>
      </c>
      <c r="L2637" s="2" t="inlineStr">
        <is>
          <t>20260602000238</t>
        </is>
      </c>
      <c r="M2637" s="8">
        <f>HYPERLINK("https://dart.fss.or.kr/dsaf001/main.do?rcpNo=20260602000238", "공시열람")</f>
        <v/>
      </c>
    </row>
    <row r="2638" ht="22" customHeight="1">
      <c r="A2638" s="2" t="inlineStr">
        <is>
          <t>2026-06-02</t>
        </is>
      </c>
      <c r="B2638" s="3" t="inlineStr">
        <is>
          <t>에프엔에스테크</t>
        </is>
      </c>
      <c r="C2638" s="2" t="inlineStr">
        <is>
          <t>083500</t>
        </is>
      </c>
      <c r="D2638" s="2" t="inlineStr">
        <is>
          <t>대량보유</t>
        </is>
      </c>
      <c r="E2638" s="3" t="inlineStr">
        <is>
          <t>양상재</t>
        </is>
      </c>
      <c r="F2638" s="3" t="inlineStr">
        <is>
          <t>특별관계자</t>
        </is>
      </c>
      <c r="G2638" s="3" t="inlineStr">
        <is>
          <t>자기주식 소각으로 인한 총발행주식수 및 보유비율 변동</t>
        </is>
      </c>
      <c r="H2638" s="6" t="inlineStr"/>
      <c r="I2638" s="6" t="inlineStr"/>
      <c r="J2638" s="6" t="inlineStr"/>
      <c r="K2638" s="16" t="n">
        <v>11</v>
      </c>
      <c r="L2638" s="2" t="inlineStr">
        <is>
          <t>20260602000238</t>
        </is>
      </c>
      <c r="M2638" s="8">
        <f>HYPERLINK("https://dart.fss.or.kr/dsaf001/main.do?rcpNo=20260602000238", "공시열람")</f>
        <v/>
      </c>
    </row>
    <row r="2639" ht="22" customHeight="1">
      <c r="A2639" s="2" t="inlineStr">
        <is>
          <t>2026-06-02</t>
        </is>
      </c>
      <c r="B2639" s="3" t="inlineStr">
        <is>
          <t>에프엔에스테크</t>
        </is>
      </c>
      <c r="C2639" s="2" t="inlineStr">
        <is>
          <t>083500</t>
        </is>
      </c>
      <c r="D2639" s="2" t="inlineStr">
        <is>
          <t>대량보유</t>
        </is>
      </c>
      <c r="E2639" s="3" t="inlineStr">
        <is>
          <t>하승호</t>
        </is>
      </c>
      <c r="F2639" s="3" t="inlineStr">
        <is>
          <t>특별관계자</t>
        </is>
      </c>
      <c r="G2639" s="3" t="inlineStr">
        <is>
          <t>자기주식 소각으로 인한 총발행주식수 및 보유비율 변동</t>
        </is>
      </c>
      <c r="H2639" s="6" t="inlineStr"/>
      <c r="I2639" s="6" t="inlineStr"/>
      <c r="J2639" s="6" t="inlineStr"/>
      <c r="K2639" s="16" t="n">
        <v>11</v>
      </c>
      <c r="L2639" s="2" t="inlineStr">
        <is>
          <t>20260602000238</t>
        </is>
      </c>
      <c r="M2639" s="8">
        <f>HYPERLINK("https://dart.fss.or.kr/dsaf001/main.do?rcpNo=20260602000238", "공시열람")</f>
        <v/>
      </c>
    </row>
    <row r="2640" ht="22" customHeight="1">
      <c r="A2640" s="2" t="inlineStr">
        <is>
          <t>2026-06-02</t>
        </is>
      </c>
      <c r="B2640" s="3" t="inlineStr">
        <is>
          <t>에프엔에스테크</t>
        </is>
      </c>
      <c r="C2640" s="2" t="inlineStr">
        <is>
          <t>083500</t>
        </is>
      </c>
      <c r="D2640" s="2" t="inlineStr">
        <is>
          <t>대량보유</t>
        </is>
      </c>
      <c r="E2640" s="3" t="inlineStr">
        <is>
          <t>최병길</t>
        </is>
      </c>
      <c r="F2640" s="3" t="inlineStr">
        <is>
          <t>특별관계자</t>
        </is>
      </c>
      <c r="G2640" s="3" t="inlineStr">
        <is>
          <t>자기주식 소각으로 인한 총발행주식수 및 보유비율 변동</t>
        </is>
      </c>
      <c r="H2640" s="6" t="inlineStr"/>
      <c r="I2640" s="6" t="inlineStr"/>
      <c r="J2640" s="6" t="inlineStr"/>
      <c r="K2640" s="16" t="n">
        <v>11</v>
      </c>
      <c r="L2640" s="2" t="inlineStr">
        <is>
          <t>20260602000238</t>
        </is>
      </c>
      <c r="M2640" s="8">
        <f>HYPERLINK("https://dart.fss.or.kr/dsaf001/main.do?rcpNo=20260602000238", "공시열람")</f>
        <v/>
      </c>
    </row>
    <row r="2641" ht="22" customHeight="1">
      <c r="A2641" s="2" t="inlineStr">
        <is>
          <t>2026-06-02</t>
        </is>
      </c>
      <c r="B2641" s="3" t="inlineStr">
        <is>
          <t>에프엔에스테크</t>
        </is>
      </c>
      <c r="C2641" s="2" t="inlineStr">
        <is>
          <t>083500</t>
        </is>
      </c>
      <c r="D2641" s="2" t="inlineStr">
        <is>
          <t>대량보유</t>
        </is>
      </c>
      <c r="E2641" s="3" t="inlineStr">
        <is>
          <t>정연태</t>
        </is>
      </c>
      <c r="F2641" s="3" t="inlineStr">
        <is>
          <t>특별관계자</t>
        </is>
      </c>
      <c r="G2641" s="3" t="inlineStr">
        <is>
          <t>자기주식 소각으로 인한 총발행주식수 및 보유비율 변동</t>
        </is>
      </c>
      <c r="H2641" s="6" t="inlineStr"/>
      <c r="I2641" s="6" t="inlineStr"/>
      <c r="J2641" s="6" t="inlineStr"/>
      <c r="K2641" s="16" t="n">
        <v>11</v>
      </c>
      <c r="L2641" s="2" t="inlineStr">
        <is>
          <t>20260602000238</t>
        </is>
      </c>
      <c r="M2641" s="8">
        <f>HYPERLINK("https://dart.fss.or.kr/dsaf001/main.do?rcpNo=20260602000238", "공시열람")</f>
        <v/>
      </c>
    </row>
    <row r="2642" ht="22" customHeight="1">
      <c r="A2642" s="2" t="inlineStr">
        <is>
          <t>2026-06-02</t>
        </is>
      </c>
      <c r="B2642" s="3" t="inlineStr">
        <is>
          <t>에프엔에스테크</t>
        </is>
      </c>
      <c r="C2642" s="2" t="inlineStr">
        <is>
          <t>083500</t>
        </is>
      </c>
      <c r="D2642" s="2" t="inlineStr">
        <is>
          <t>대량보유</t>
        </is>
      </c>
      <c r="E2642" s="3" t="inlineStr">
        <is>
          <t>한동희</t>
        </is>
      </c>
      <c r="F2642" s="3" t="inlineStr">
        <is>
          <t>특별관계자</t>
        </is>
      </c>
      <c r="G2642" s="3" t="inlineStr">
        <is>
          <t>자기주식 소각으로 인한 총발행주식수 및 보유비율 변동</t>
        </is>
      </c>
      <c r="H2642" s="6" t="inlineStr"/>
      <c r="I2642" s="6" t="inlineStr"/>
      <c r="J2642" s="6" t="inlineStr"/>
      <c r="K2642" s="16" t="n">
        <v>11</v>
      </c>
      <c r="L2642" s="2" t="inlineStr">
        <is>
          <t>20260602000238</t>
        </is>
      </c>
      <c r="M2642" s="8">
        <f>HYPERLINK("https://dart.fss.or.kr/dsaf001/main.do?rcpNo=20260602000238", "공시열람")</f>
        <v/>
      </c>
    </row>
    <row r="2643" ht="22" customHeight="1">
      <c r="A2643" s="2" t="inlineStr">
        <is>
          <t>2026-06-02</t>
        </is>
      </c>
      <c r="B2643" s="3" t="inlineStr">
        <is>
          <t>에프엔에스테크</t>
        </is>
      </c>
      <c r="C2643" s="2" t="inlineStr">
        <is>
          <t>083500</t>
        </is>
      </c>
      <c r="D2643" s="2" t="inlineStr">
        <is>
          <t>대량보유</t>
        </is>
      </c>
      <c r="E2643" s="3" t="inlineStr">
        <is>
          <t>박순호</t>
        </is>
      </c>
      <c r="F2643" s="3" t="inlineStr">
        <is>
          <t>특별관계자</t>
        </is>
      </c>
      <c r="G2643" s="3" t="inlineStr">
        <is>
          <t>자기주식 소각으로 인한 총발행주식수 및 보유비율 변동</t>
        </is>
      </c>
      <c r="H2643" s="6" t="inlineStr"/>
      <c r="I2643" s="6" t="inlineStr"/>
      <c r="J2643" s="6" t="inlineStr"/>
      <c r="K2643" s="16" t="n">
        <v>11</v>
      </c>
      <c r="L2643" s="2" t="inlineStr">
        <is>
          <t>20260602000238</t>
        </is>
      </c>
      <c r="M2643" s="8">
        <f>HYPERLINK("https://dart.fss.or.kr/dsaf001/main.do?rcpNo=20260602000238", "공시열람")</f>
        <v/>
      </c>
    </row>
    <row r="2644" ht="22" customHeight="1">
      <c r="A2644" s="2" t="inlineStr">
        <is>
          <t>2026-06-02</t>
        </is>
      </c>
      <c r="B2644" s="3" t="inlineStr">
        <is>
          <t>에프엔에스테크</t>
        </is>
      </c>
      <c r="C2644" s="2" t="inlineStr">
        <is>
          <t>083500</t>
        </is>
      </c>
      <c r="D2644" s="2" t="inlineStr">
        <is>
          <t>대량보유</t>
        </is>
      </c>
      <c r="E2644" s="3" t="inlineStr">
        <is>
          <t>윤동준</t>
        </is>
      </c>
      <c r="F2644" s="3" t="inlineStr">
        <is>
          <t>특별관계자</t>
        </is>
      </c>
      <c r="G2644" s="3" t="inlineStr">
        <is>
          <t>자기주식 소각으로 인한 총발행주식수 및 보유비율 변동</t>
        </is>
      </c>
      <c r="H2644" s="6" t="inlineStr"/>
      <c r="I2644" s="6" t="inlineStr"/>
      <c r="J2644" s="6" t="inlineStr"/>
      <c r="K2644" s="16" t="n">
        <v>11</v>
      </c>
      <c r="L2644" s="2" t="inlineStr">
        <is>
          <t>20260602000238</t>
        </is>
      </c>
      <c r="M2644" s="8">
        <f>HYPERLINK("https://dart.fss.or.kr/dsaf001/main.do?rcpNo=20260602000238", "공시열람")</f>
        <v/>
      </c>
    </row>
    <row r="2645" ht="22" customHeight="1">
      <c r="A2645" s="2" t="inlineStr">
        <is>
          <t>2026-06-02</t>
        </is>
      </c>
      <c r="B2645" s="3" t="inlineStr">
        <is>
          <t>에프엔에스테크</t>
        </is>
      </c>
      <c r="C2645" s="2" t="inlineStr">
        <is>
          <t>083500</t>
        </is>
      </c>
      <c r="D2645" s="2" t="inlineStr">
        <is>
          <t>대량보유</t>
        </is>
      </c>
      <c r="E2645" s="3" t="inlineStr">
        <is>
          <t>이정우</t>
        </is>
      </c>
      <c r="F2645" s="3" t="inlineStr">
        <is>
          <t>특별관계자</t>
        </is>
      </c>
      <c r="G2645" s="3" t="inlineStr">
        <is>
          <t>자기주식 소각으로 인한 총발행주식수 및 보유비율 변동</t>
        </is>
      </c>
      <c r="H2645" s="6" t="inlineStr"/>
      <c r="I2645" s="6" t="inlineStr"/>
      <c r="J2645" s="6" t="inlineStr"/>
      <c r="K2645" s="16" t="n">
        <v>11</v>
      </c>
      <c r="L2645" s="2" t="inlineStr">
        <is>
          <t>20260602000238</t>
        </is>
      </c>
      <c r="M2645" s="8">
        <f>HYPERLINK("https://dart.fss.or.kr/dsaf001/main.do?rcpNo=20260602000238", "공시열람")</f>
        <v/>
      </c>
    </row>
    <row r="2646" ht="22" customHeight="1">
      <c r="A2646" s="2" t="inlineStr">
        <is>
          <t>2026-06-02</t>
        </is>
      </c>
      <c r="B2646" s="3" t="inlineStr">
        <is>
          <t>에프엔에스테크</t>
        </is>
      </c>
      <c r="C2646" s="2" t="inlineStr">
        <is>
          <t>083500</t>
        </is>
      </c>
      <c r="D2646" s="2" t="inlineStr">
        <is>
          <t>대량보유</t>
        </is>
      </c>
      <c r="E2646" s="3" t="inlineStr">
        <is>
          <t>김광주</t>
        </is>
      </c>
      <c r="F2646" s="3" t="inlineStr">
        <is>
          <t>특별관계자</t>
        </is>
      </c>
      <c r="G2646" s="3" t="inlineStr">
        <is>
          <t>자기주식 소각으로 인한 총발행주식수 및 보유비율 변동</t>
        </is>
      </c>
      <c r="H2646" s="6" t="inlineStr"/>
      <c r="I2646" s="6" t="inlineStr"/>
      <c r="J2646" s="6" t="inlineStr"/>
      <c r="K2646" s="16" t="n">
        <v>11</v>
      </c>
      <c r="L2646" s="2" t="inlineStr">
        <is>
          <t>20260602000238</t>
        </is>
      </c>
      <c r="M2646" s="8">
        <f>HYPERLINK("https://dart.fss.or.kr/dsaf001/main.do?rcpNo=20260602000238", "공시열람")</f>
        <v/>
      </c>
    </row>
    <row r="2647" ht="22" customHeight="1">
      <c r="A2647" s="2" t="inlineStr">
        <is>
          <t>2026-06-02</t>
        </is>
      </c>
      <c r="B2647" s="3" t="inlineStr">
        <is>
          <t>에프엔에스테크</t>
        </is>
      </c>
      <c r="C2647" s="2" t="inlineStr">
        <is>
          <t>083500</t>
        </is>
      </c>
      <c r="D2647" s="2" t="inlineStr">
        <is>
          <t>대량보유</t>
        </is>
      </c>
      <c r="E2647" s="3" t="inlineStr">
        <is>
          <t>황석음</t>
        </is>
      </c>
      <c r="F2647" s="3" t="inlineStr">
        <is>
          <t>특별관계자</t>
        </is>
      </c>
      <c r="G2647" s="3" t="inlineStr">
        <is>
          <t>자기주식 소각으로 인한 총발행주식수 및 보유비율 변동</t>
        </is>
      </c>
      <c r="H2647" s="6" t="inlineStr"/>
      <c r="I2647" s="6" t="inlineStr"/>
      <c r="J2647" s="6" t="inlineStr"/>
      <c r="K2647" s="16" t="n">
        <v>11</v>
      </c>
      <c r="L2647" s="2" t="inlineStr">
        <is>
          <t>20260602000238</t>
        </is>
      </c>
      <c r="M2647" s="8">
        <f>HYPERLINK("https://dart.fss.or.kr/dsaf001/main.do?rcpNo=20260602000238", "공시열람")</f>
        <v/>
      </c>
    </row>
    <row r="2648" ht="22" customHeight="1">
      <c r="A2648" s="2" t="inlineStr">
        <is>
          <t>2026-06-02</t>
        </is>
      </c>
      <c r="B2648" s="3" t="inlineStr">
        <is>
          <t>미래에셋생명</t>
        </is>
      </c>
      <c r="C2648" s="2" t="inlineStr">
        <is>
          <t>085620</t>
        </is>
      </c>
      <c r="D2648" s="2" t="inlineStr">
        <is>
          <t>임원보고</t>
        </is>
      </c>
      <c r="E2648" s="3" t="inlineStr">
        <is>
          <t>-</t>
        </is>
      </c>
      <c r="F2648" s="3" t="inlineStr">
        <is>
          <t>-</t>
        </is>
      </c>
      <c r="G2648" s="3" t="inlineStr">
        <is>
          <t>-</t>
        </is>
      </c>
      <c r="H2648" s="6" t="inlineStr"/>
      <c r="I2648" s="6" t="inlineStr"/>
      <c r="J2648" s="6" t="inlineStr"/>
      <c r="K2648" s="16" t="n">
        <v>12</v>
      </c>
      <c r="L2648" s="2" t="inlineStr">
        <is>
          <t>20260602800384</t>
        </is>
      </c>
      <c r="M2648" s="8">
        <f>HYPERLINK("https://dart.fss.or.kr/dsaf001/main.do?rcpNo=20260602800384", "공시열람")</f>
        <v/>
      </c>
    </row>
    <row r="2649" ht="22" customHeight="1">
      <c r="A2649" s="2" t="inlineStr">
        <is>
          <t>2026-06-02</t>
        </is>
      </c>
      <c r="B2649" s="3" t="inlineStr">
        <is>
          <t>공구우먼</t>
        </is>
      </c>
      <c r="C2649" s="2" t="inlineStr">
        <is>
          <t>366030</t>
        </is>
      </c>
      <c r="D2649" s="2" t="inlineStr">
        <is>
          <t>대량보유</t>
        </is>
      </c>
      <c r="E2649" s="3" t="inlineStr">
        <is>
          <t>김주영</t>
        </is>
      </c>
      <c r="F2649" s="3" t="inlineStr">
        <is>
          <t>특별관계자</t>
        </is>
      </c>
      <c r="G2649" s="3" t="inlineStr">
        <is>
          <t>장외매도(-)</t>
        </is>
      </c>
      <c r="H2649" s="17" t="n">
        <v>-5000000</v>
      </c>
      <c r="I2649" s="6" t="n">
        <v>7200</v>
      </c>
      <c r="J2649" s="6" t="n">
        <v>2470000</v>
      </c>
      <c r="K2649" s="16" t="n">
        <v>4</v>
      </c>
      <c r="L2649" s="2" t="inlineStr">
        <is>
          <t>20260602000212</t>
        </is>
      </c>
      <c r="M2649" s="8">
        <f>HYPERLINK("https://dart.fss.or.kr/dsaf001/main.do?rcpNo=20260602000212", "공시열람")</f>
        <v/>
      </c>
    </row>
    <row r="2650" ht="22" customHeight="1">
      <c r="A2650" s="2" t="inlineStr">
        <is>
          <t>2026-06-02</t>
        </is>
      </c>
      <c r="B2650" s="3" t="inlineStr">
        <is>
          <t>공구우먼</t>
        </is>
      </c>
      <c r="C2650" s="2" t="inlineStr">
        <is>
          <t>366030</t>
        </is>
      </c>
      <c r="D2650" s="2" t="inlineStr">
        <is>
          <t>대량보유</t>
        </is>
      </c>
      <c r="E2650" s="3" t="inlineStr">
        <is>
          <t>티에스2018-12M&amp;A투자조합</t>
        </is>
      </c>
      <c r="F2650" s="3" t="inlineStr">
        <is>
          <t>특별관계자</t>
        </is>
      </c>
      <c r="G2650" s="3" t="inlineStr">
        <is>
          <t>장외매도(-)</t>
        </is>
      </c>
      <c r="H2650" s="17" t="n">
        <v>-5000000</v>
      </c>
      <c r="I2650" s="6" t="n">
        <v>7200</v>
      </c>
      <c r="J2650" s="6" t="n">
        <v>2350000</v>
      </c>
      <c r="K2650" s="16" t="n">
        <v>4</v>
      </c>
      <c r="L2650" s="2" t="inlineStr">
        <is>
          <t>20260602000212</t>
        </is>
      </c>
      <c r="M2650" s="8">
        <f>HYPERLINK("https://dart.fss.or.kr/dsaf001/main.do?rcpNo=20260602000212", "공시열람")</f>
        <v/>
      </c>
    </row>
    <row r="2651" ht="22" customHeight="1">
      <c r="A2651" s="2" t="inlineStr">
        <is>
          <t>2026-06-02</t>
        </is>
      </c>
      <c r="B2651" s="3" t="inlineStr">
        <is>
          <t>동원산업</t>
        </is>
      </c>
      <c r="C2651" s="2" t="inlineStr">
        <is>
          <t>006040</t>
        </is>
      </c>
      <c r="D2651" s="2" t="inlineStr">
        <is>
          <t>임원보고</t>
        </is>
      </c>
      <c r="E2651" s="3" t="inlineStr">
        <is>
          <t>-</t>
        </is>
      </c>
      <c r="F2651" s="3" t="inlineStr">
        <is>
          <t>-</t>
        </is>
      </c>
      <c r="G2651" s="3" t="inlineStr">
        <is>
          <t>-</t>
        </is>
      </c>
      <c r="H2651" s="6" t="inlineStr"/>
      <c r="I2651" s="6" t="inlineStr"/>
      <c r="J2651" s="6" t="inlineStr"/>
      <c r="K2651" s="16" t="n">
        <v>12</v>
      </c>
      <c r="L2651" s="2" t="inlineStr">
        <is>
          <t>20260602800339</t>
        </is>
      </c>
      <c r="M2651" s="8">
        <f>HYPERLINK("https://dart.fss.or.kr/dsaf001/main.do?rcpNo=20260602800339", "공시열람")</f>
        <v/>
      </c>
    </row>
    <row r="2652" ht="22" customHeight="1">
      <c r="A2652" s="2" t="inlineStr">
        <is>
          <t>2026-06-02</t>
        </is>
      </c>
      <c r="B2652" s="3" t="inlineStr">
        <is>
          <t>동원산업</t>
        </is>
      </c>
      <c r="C2652" s="2" t="inlineStr">
        <is>
          <t>006040</t>
        </is>
      </c>
      <c r="D2652" s="2" t="inlineStr">
        <is>
          <t>대량보유</t>
        </is>
      </c>
      <c r="E2652" s="3" t="inlineStr">
        <is>
          <t>김건표</t>
        </is>
      </c>
      <c r="F2652" s="3" t="inlineStr">
        <is>
          <t>특별관계자</t>
        </is>
      </c>
      <c r="G2652" s="3" t="inlineStr">
        <is>
          <t>장내매도(-)</t>
        </is>
      </c>
      <c r="H2652" s="17" t="n">
        <v>-1126</v>
      </c>
      <c r="I2652" s="6" t="n">
        <v>35950</v>
      </c>
      <c r="J2652" s="6" t="inlineStr"/>
      <c r="K2652" s="16" t="n">
        <v>10</v>
      </c>
      <c r="L2652" s="2" t="inlineStr">
        <is>
          <t>20260602000186</t>
        </is>
      </c>
      <c r="M2652" s="8">
        <f>HYPERLINK("https://dart.fss.or.kr/dsaf001/main.do?rcpNo=20260602000186", "공시열람")</f>
        <v/>
      </c>
    </row>
    <row r="2653" ht="22" customHeight="1">
      <c r="A2653" s="2" t="inlineStr">
        <is>
          <t>2026-06-02</t>
        </is>
      </c>
      <c r="B2653" s="3" t="inlineStr">
        <is>
          <t>동원산업</t>
        </is>
      </c>
      <c r="C2653" s="2" t="inlineStr">
        <is>
          <t>006040</t>
        </is>
      </c>
      <c r="D2653" s="2" t="inlineStr">
        <is>
          <t>대량보유</t>
        </is>
      </c>
      <c r="E2653" s="3" t="inlineStr">
        <is>
          <t>김건희</t>
        </is>
      </c>
      <c r="F2653" s="3" t="inlineStr">
        <is>
          <t>특별관계자</t>
        </is>
      </c>
      <c r="G2653" s="3" t="inlineStr">
        <is>
          <t>장내매도(-)</t>
        </is>
      </c>
      <c r="H2653" s="17" t="n">
        <v>-517</v>
      </c>
      <c r="I2653" s="6" t="n">
        <v>35578</v>
      </c>
      <c r="J2653" s="6" t="inlineStr"/>
      <c r="K2653" s="16" t="n">
        <v>10</v>
      </c>
      <c r="L2653" s="2" t="inlineStr">
        <is>
          <t>20260602000186</t>
        </is>
      </c>
      <c r="M2653" s="8">
        <f>HYPERLINK("https://dart.fss.or.kr/dsaf001/main.do?rcpNo=20260602000186", "공시열람")</f>
        <v/>
      </c>
    </row>
    <row r="2654" ht="22" customHeight="1">
      <c r="A2654" s="2" t="inlineStr">
        <is>
          <t>2026-06-02</t>
        </is>
      </c>
      <c r="B2654" s="3" t="inlineStr">
        <is>
          <t>미코</t>
        </is>
      </c>
      <c r="C2654" s="2" t="inlineStr">
        <is>
          <t>059090</t>
        </is>
      </c>
      <c r="D2654" s="2" t="inlineStr">
        <is>
          <t>대량보유</t>
        </is>
      </c>
      <c r="E2654" s="3" t="inlineStr">
        <is>
          <t>MiriCapitalManagementLLC</t>
        </is>
      </c>
      <c r="F2654" s="3" t="inlineStr">
        <is>
          <t>특별관계자</t>
        </is>
      </c>
      <c r="G2654" s="3" t="inlineStr">
        <is>
          <t>장내매수(+)</t>
        </is>
      </c>
      <c r="H2654" s="15" t="n">
        <v>580431</v>
      </c>
      <c r="I2654" s="6" t="n">
        <v>23140</v>
      </c>
      <c r="J2654" s="6" t="n">
        <v>3096861</v>
      </c>
      <c r="K2654" s="16" t="n">
        <v>2</v>
      </c>
      <c r="L2654" s="2" t="inlineStr">
        <is>
          <t>20260602000180</t>
        </is>
      </c>
      <c r="M2654" s="8">
        <f>HYPERLINK("https://dart.fss.or.kr/dsaf001/main.do?rcpNo=20260602000180", "공시열람")</f>
        <v/>
      </c>
    </row>
    <row r="2655" ht="22" customHeight="1">
      <c r="A2655" s="2" t="inlineStr">
        <is>
          <t>2026-06-02</t>
        </is>
      </c>
      <c r="B2655" s="3" t="inlineStr">
        <is>
          <t>하이젠알앤엠</t>
        </is>
      </c>
      <c r="C2655" s="2" t="inlineStr">
        <is>
          <t>160190</t>
        </is>
      </c>
      <c r="D2655" s="2" t="inlineStr">
        <is>
          <t>대량보유</t>
        </is>
      </c>
      <c r="E2655" s="3" t="inlineStr">
        <is>
          <t>일신방직(주)</t>
        </is>
      </c>
      <c r="F2655" s="3" t="inlineStr">
        <is>
          <t>특별관계자</t>
        </is>
      </c>
      <c r="G2655" s="3" t="inlineStr">
        <is>
          <t>시간외매매(-)</t>
        </is>
      </c>
      <c r="H2655" s="17" t="n">
        <v>-450000</v>
      </c>
      <c r="I2655" s="6" t="n">
        <v>25700</v>
      </c>
      <c r="J2655" s="6" t="n">
        <v>6550000</v>
      </c>
      <c r="K2655" s="16" t="n">
        <v>8</v>
      </c>
      <c r="L2655" s="2" t="inlineStr">
        <is>
          <t>20260602000176</t>
        </is>
      </c>
      <c r="M2655" s="8">
        <f>HYPERLINK("https://dart.fss.or.kr/dsaf001/main.do?rcpNo=20260602000176", "공시열람")</f>
        <v/>
      </c>
    </row>
    <row r="2656" ht="22" customHeight="1">
      <c r="A2656" s="2" t="inlineStr">
        <is>
          <t>2026-06-02</t>
        </is>
      </c>
      <c r="B2656" s="3" t="inlineStr">
        <is>
          <t>INVENI</t>
        </is>
      </c>
      <c r="C2656" s="2" t="inlineStr">
        <is>
          <t>015360</t>
        </is>
      </c>
      <c r="D2656" s="2" t="inlineStr">
        <is>
          <t>대량보유</t>
        </is>
      </c>
      <c r="E2656" s="3" t="inlineStr">
        <is>
          <t>구자은</t>
        </is>
      </c>
      <c r="F2656" s="3" t="inlineStr">
        <is>
          <t>특별관계자</t>
        </is>
      </c>
      <c r="G2656" s="3" t="inlineStr">
        <is>
          <t>장내매수(+)</t>
        </is>
      </c>
      <c r="H2656" s="15" t="n">
        <v>3709</v>
      </c>
      <c r="I2656" s="6" t="n">
        <v>15402</v>
      </c>
      <c r="J2656" s="6" t="n">
        <v>2419434</v>
      </c>
      <c r="K2656" s="16" t="n">
        <v>28</v>
      </c>
      <c r="L2656" s="2" t="inlineStr">
        <is>
          <t>20260602000173</t>
        </is>
      </c>
      <c r="M2656" s="8">
        <f>HYPERLINK("https://dart.fss.or.kr/dsaf001/main.do?rcpNo=20260602000173", "공시열람")</f>
        <v/>
      </c>
    </row>
    <row r="2657" ht="22" customHeight="1">
      <c r="A2657" s="2" t="inlineStr">
        <is>
          <t>2026-06-02</t>
        </is>
      </c>
      <c r="B2657" s="3" t="inlineStr">
        <is>
          <t>INVENI</t>
        </is>
      </c>
      <c r="C2657" s="2" t="inlineStr">
        <is>
          <t>015360</t>
        </is>
      </c>
      <c r="D2657" s="2" t="inlineStr">
        <is>
          <t>임원보고</t>
        </is>
      </c>
      <c r="E2657" s="3" t="inlineStr">
        <is>
          <t>-</t>
        </is>
      </c>
      <c r="F2657" s="3" t="inlineStr">
        <is>
          <t>-</t>
        </is>
      </c>
      <c r="G2657" s="3" t="inlineStr">
        <is>
          <t>-</t>
        </is>
      </c>
      <c r="H2657" s="6" t="inlineStr"/>
      <c r="I2657" s="6" t="inlineStr"/>
      <c r="J2657" s="6" t="inlineStr"/>
      <c r="K2657" s="16" t="n">
        <v>12</v>
      </c>
      <c r="L2657" s="2" t="inlineStr">
        <is>
          <t>20260602800321</t>
        </is>
      </c>
      <c r="M2657" s="8">
        <f>HYPERLINK("https://dart.fss.or.kr/dsaf001/main.do?rcpNo=20260602800321", "공시열람")</f>
        <v/>
      </c>
    </row>
    <row r="2658" ht="22" customHeight="1">
      <c r="A2658" s="2" t="inlineStr">
        <is>
          <t>2026-06-02</t>
        </is>
      </c>
      <c r="B2658" s="3" t="inlineStr">
        <is>
          <t>레이</t>
        </is>
      </c>
      <c r="C2658" s="2" t="inlineStr">
        <is>
          <t>228670</t>
        </is>
      </c>
      <c r="D2658" s="2" t="inlineStr">
        <is>
          <t>대량보유</t>
        </is>
      </c>
      <c r="E2658" s="3" t="inlineStr">
        <is>
          <t>김정환</t>
        </is>
      </c>
      <c r="F2658" s="3" t="inlineStr">
        <is>
          <t>특별관계자</t>
        </is>
      </c>
      <c r="G2658" s="3" t="inlineStr">
        <is>
          <t>신규보고(+)</t>
        </is>
      </c>
      <c r="H2658" s="15" t="n">
        <v>13830</v>
      </c>
      <c r="I2658" s="6" t="inlineStr"/>
      <c r="J2658" s="6" t="n">
        <v>13830</v>
      </c>
      <c r="K2658" s="16" t="n">
        <v>11</v>
      </c>
      <c r="L2658" s="2" t="inlineStr">
        <is>
          <t>20260602000155</t>
        </is>
      </c>
      <c r="M2658" s="8">
        <f>HYPERLINK("https://dart.fss.or.kr/dsaf001/main.do?rcpNo=20260602000155", "공시열람")</f>
        <v/>
      </c>
    </row>
    <row r="2659" ht="22" customHeight="1">
      <c r="A2659" s="2" t="inlineStr">
        <is>
          <t>2026-06-02</t>
        </is>
      </c>
      <c r="B2659" s="3" t="inlineStr">
        <is>
          <t>레이</t>
        </is>
      </c>
      <c r="C2659" s="2" t="inlineStr">
        <is>
          <t>228670</t>
        </is>
      </c>
      <c r="D2659" s="2" t="inlineStr">
        <is>
          <t>대량보유</t>
        </is>
      </c>
      <c r="E2659" s="3" t="inlineStr">
        <is>
          <t>임용규</t>
        </is>
      </c>
      <c r="F2659" s="3" t="inlineStr">
        <is>
          <t>특별관계자</t>
        </is>
      </c>
      <c r="G2659" s="3" t="inlineStr">
        <is>
          <t>신규보고(+)</t>
        </is>
      </c>
      <c r="H2659" s="15" t="n">
        <v>7472</v>
      </c>
      <c r="I2659" s="6" t="inlineStr"/>
      <c r="J2659" s="6" t="n">
        <v>7472</v>
      </c>
      <c r="K2659" s="16" t="n">
        <v>11</v>
      </c>
      <c r="L2659" s="2" t="inlineStr">
        <is>
          <t>20260602000155</t>
        </is>
      </c>
      <c r="M2659" s="8">
        <f>HYPERLINK("https://dart.fss.or.kr/dsaf001/main.do?rcpNo=20260602000155", "공시열람")</f>
        <v/>
      </c>
    </row>
    <row r="2660" ht="22" customHeight="1">
      <c r="A2660" s="2" t="inlineStr">
        <is>
          <t>2026-06-02</t>
        </is>
      </c>
      <c r="B2660" s="3" t="inlineStr">
        <is>
          <t>레이</t>
        </is>
      </c>
      <c r="C2660" s="2" t="inlineStr">
        <is>
          <t>228670</t>
        </is>
      </c>
      <c r="D2660" s="2" t="inlineStr">
        <is>
          <t>대량보유</t>
        </is>
      </c>
      <c r="E2660" s="3" t="inlineStr">
        <is>
          <t>김규희</t>
        </is>
      </c>
      <c r="F2660" s="3" t="inlineStr">
        <is>
          <t>특별관계자</t>
        </is>
      </c>
      <c r="G2660" s="3" t="inlineStr">
        <is>
          <t>신규보고(+)</t>
        </is>
      </c>
      <c r="H2660" s="15" t="n">
        <v>4667</v>
      </c>
      <c r="I2660" s="6" t="inlineStr"/>
      <c r="J2660" s="6" t="n">
        <v>4667</v>
      </c>
      <c r="K2660" s="16" t="n">
        <v>11</v>
      </c>
      <c r="L2660" s="2" t="inlineStr">
        <is>
          <t>20260602000155</t>
        </is>
      </c>
      <c r="M2660" s="8">
        <f>HYPERLINK("https://dart.fss.or.kr/dsaf001/main.do?rcpNo=20260602000155", "공시열람")</f>
        <v/>
      </c>
    </row>
    <row r="2661" ht="22" customHeight="1">
      <c r="A2661" s="2" t="inlineStr">
        <is>
          <t>2026-06-02</t>
        </is>
      </c>
      <c r="B2661" s="3" t="inlineStr">
        <is>
          <t>케이티스카이라이프</t>
        </is>
      </c>
      <c r="C2661" s="2" t="inlineStr">
        <is>
          <t>053210</t>
        </is>
      </c>
      <c r="D2661" s="2" t="inlineStr">
        <is>
          <t>대량보유</t>
        </is>
      </c>
      <c r="E2661" s="3" t="inlineStr">
        <is>
          <t>지정용</t>
        </is>
      </c>
      <c r="F2661" s="3" t="inlineStr">
        <is>
          <t>특별관계자</t>
        </is>
      </c>
      <c r="G2661" s="3" t="inlineStr">
        <is>
          <t>장내매수(+)</t>
        </is>
      </c>
      <c r="H2661" s="15" t="n">
        <v>10000</v>
      </c>
      <c r="I2661" s="6" t="n">
        <v>4407</v>
      </c>
      <c r="J2661" s="6" t="n">
        <v>10000</v>
      </c>
      <c r="K2661" s="16" t="n">
        <v>2</v>
      </c>
      <c r="L2661" s="2" t="inlineStr">
        <is>
          <t>20260602000146</t>
        </is>
      </c>
      <c r="M2661" s="8">
        <f>HYPERLINK("https://dart.fss.or.kr/dsaf001/main.do?rcpNo=20260602000146", "공시열람")</f>
        <v/>
      </c>
    </row>
    <row r="2662" ht="22" customHeight="1">
      <c r="A2662" s="2" t="inlineStr">
        <is>
          <t>2026-06-02</t>
        </is>
      </c>
      <c r="B2662" s="3" t="inlineStr">
        <is>
          <t>삼성중공업</t>
        </is>
      </c>
      <c r="C2662" s="2" t="inlineStr">
        <is>
          <t>010140</t>
        </is>
      </c>
      <c r="D2662" s="2" t="inlineStr">
        <is>
          <t>임원보고</t>
        </is>
      </c>
      <c r="E2662" s="3" t="inlineStr">
        <is>
          <t>-</t>
        </is>
      </c>
      <c r="F2662" s="3" t="inlineStr">
        <is>
          <t>-</t>
        </is>
      </c>
      <c r="G2662" s="3" t="inlineStr">
        <is>
          <t>-</t>
        </is>
      </c>
      <c r="H2662" s="6" t="inlineStr"/>
      <c r="I2662" s="6" t="inlineStr"/>
      <c r="J2662" s="6" t="inlineStr"/>
      <c r="K2662" s="16" t="n">
        <v>12</v>
      </c>
      <c r="L2662" s="2" t="inlineStr">
        <is>
          <t>20260602800257</t>
        </is>
      </c>
      <c r="M2662" s="8">
        <f>HYPERLINK("https://dart.fss.or.kr/dsaf001/main.do?rcpNo=20260602800257", "공시열람")</f>
        <v/>
      </c>
    </row>
    <row r="2663" ht="22" customHeight="1">
      <c r="A2663" s="2" t="inlineStr">
        <is>
          <t>2026-06-02</t>
        </is>
      </c>
      <c r="B2663" s="3" t="inlineStr">
        <is>
          <t>픽셀플러스</t>
        </is>
      </c>
      <c r="C2663" s="2" t="inlineStr">
        <is>
          <t>087600</t>
        </is>
      </c>
      <c r="D2663" s="2" t="inlineStr">
        <is>
          <t>대량보유</t>
        </is>
      </c>
      <c r="E2663" s="3" t="inlineStr">
        <is>
          <t>황혜숙</t>
        </is>
      </c>
      <c r="F2663" s="3" t="inlineStr">
        <is>
          <t>특별관계자</t>
        </is>
      </c>
      <c r="G2663" s="3" t="inlineStr">
        <is>
          <t>장내매수(+)</t>
        </is>
      </c>
      <c r="H2663" s="15" t="n">
        <v>25000</v>
      </c>
      <c r="I2663" s="6" t="n">
        <v>5340</v>
      </c>
      <c r="J2663" s="6" t="n">
        <v>325000</v>
      </c>
      <c r="K2663" s="16" t="n">
        <v>4</v>
      </c>
      <c r="L2663" s="2" t="inlineStr">
        <is>
          <t>20260602000127</t>
        </is>
      </c>
      <c r="M2663" s="8">
        <f>HYPERLINK("https://dart.fss.or.kr/dsaf001/main.do?rcpNo=20260602000127", "공시열람")</f>
        <v/>
      </c>
    </row>
    <row r="2664" ht="22" customHeight="1">
      <c r="A2664" s="2" t="inlineStr">
        <is>
          <t>2026-06-02</t>
        </is>
      </c>
      <c r="B2664" s="3" t="inlineStr">
        <is>
          <t>HLB테라퓨틱스</t>
        </is>
      </c>
      <c r="C2664" s="2" t="inlineStr">
        <is>
          <t>115450</t>
        </is>
      </c>
      <c r="D2664" s="2" t="inlineStr">
        <is>
          <t>대량보유</t>
        </is>
      </c>
      <c r="E2664" s="3" t="inlineStr">
        <is>
          <t>진양곤</t>
        </is>
      </c>
      <c r="F2664" s="3" t="inlineStr">
        <is>
          <t>특별관계자</t>
        </is>
      </c>
      <c r="G2664" s="3" t="inlineStr">
        <is>
          <t>장내매수(+)</t>
        </is>
      </c>
      <c r="H2664" s="15" t="n">
        <v>35974</v>
      </c>
      <c r="I2664" s="6" t="n">
        <v>2631</v>
      </c>
      <c r="J2664" s="6" t="n">
        <v>291692</v>
      </c>
      <c r="K2664" s="16" t="n">
        <v>13</v>
      </c>
      <c r="L2664" s="2" t="inlineStr">
        <is>
          <t>20260602000099</t>
        </is>
      </c>
      <c r="M2664" s="8">
        <f>HYPERLINK("https://dart.fss.or.kr/dsaf001/main.do?rcpNo=20260602000099", "공시열람")</f>
        <v/>
      </c>
    </row>
    <row r="2665" ht="22" customHeight="1">
      <c r="A2665" s="2" t="inlineStr">
        <is>
          <t>2026-06-02</t>
        </is>
      </c>
      <c r="B2665" s="3" t="inlineStr">
        <is>
          <t>HLB제넥스</t>
        </is>
      </c>
      <c r="C2665" s="2" t="inlineStr">
        <is>
          <t>187420</t>
        </is>
      </c>
      <c r="D2665" s="2" t="inlineStr">
        <is>
          <t>대량보유</t>
        </is>
      </c>
      <c r="E2665" s="3" t="inlineStr">
        <is>
          <t>진양곤</t>
        </is>
      </c>
      <c r="F2665" s="3" t="inlineStr">
        <is>
          <t>특별관계자</t>
        </is>
      </c>
      <c r="G2665" s="3" t="inlineStr">
        <is>
          <t>장내매수(+)</t>
        </is>
      </c>
      <c r="H2665" s="15" t="n">
        <v>14000</v>
      </c>
      <c r="I2665" s="6" t="n">
        <v>2057</v>
      </c>
      <c r="J2665" s="6" t="n">
        <v>615695</v>
      </c>
      <c r="K2665" s="16" t="n">
        <v>10</v>
      </c>
      <c r="L2665" s="2" t="inlineStr">
        <is>
          <t>20260602000097</t>
        </is>
      </c>
      <c r="M2665" s="8">
        <f>HYPERLINK("https://dart.fss.or.kr/dsaf001/main.do?rcpNo=20260602000097", "공시열람")</f>
        <v/>
      </c>
    </row>
    <row r="2666" ht="22" customHeight="1">
      <c r="A2666" s="2" t="inlineStr">
        <is>
          <t>2026-06-02</t>
        </is>
      </c>
      <c r="B2666" s="3" t="inlineStr">
        <is>
          <t>마이크로디지탈</t>
        </is>
      </c>
      <c r="C2666" s="2" t="inlineStr">
        <is>
          <t>305090</t>
        </is>
      </c>
      <c r="D2666" s="2" t="inlineStr">
        <is>
          <t>대량보유</t>
        </is>
      </c>
      <c r="E2666" s="3" t="inlineStr">
        <is>
          <t>김경남</t>
        </is>
      </c>
      <c r="F2666" s="3" t="inlineStr">
        <is>
          <t>특별관계자</t>
        </is>
      </c>
      <c r="G2666" s="3" t="inlineStr">
        <is>
          <t>장내매수(+)</t>
        </is>
      </c>
      <c r="H2666" s="15" t="n">
        <v>21200</v>
      </c>
      <c r="I2666" s="6" t="n">
        <v>2830</v>
      </c>
      <c r="J2666" s="6" t="n">
        <v>3717465</v>
      </c>
      <c r="K2666" s="16" t="n">
        <v>4</v>
      </c>
      <c r="L2666" s="2" t="inlineStr">
        <is>
          <t>20260602000093</t>
        </is>
      </c>
      <c r="M2666" s="8">
        <f>HYPERLINK("https://dart.fss.or.kr/dsaf001/main.do?rcpNo=20260602000093", "공시열람")</f>
        <v/>
      </c>
    </row>
    <row r="2667" ht="22" customHeight="1">
      <c r="A2667" s="2" t="inlineStr">
        <is>
          <t>2026-06-02</t>
        </is>
      </c>
      <c r="B2667" s="3" t="inlineStr">
        <is>
          <t>삼일제약</t>
        </is>
      </c>
      <c r="C2667" s="2" t="inlineStr">
        <is>
          <t>000520</t>
        </is>
      </c>
      <c r="D2667" s="2" t="inlineStr">
        <is>
          <t>임원보고</t>
        </is>
      </c>
      <c r="E2667" s="3" t="inlineStr">
        <is>
          <t>-</t>
        </is>
      </c>
      <c r="F2667" s="3" t="inlineStr">
        <is>
          <t>-</t>
        </is>
      </c>
      <c r="G2667" s="3" t="inlineStr">
        <is>
          <t>-</t>
        </is>
      </c>
      <c r="H2667" s="6" t="inlineStr"/>
      <c r="I2667" s="6" t="inlineStr"/>
      <c r="J2667" s="6" t="inlineStr"/>
      <c r="K2667" s="16" t="n">
        <v>12</v>
      </c>
      <c r="L2667" s="2" t="inlineStr">
        <is>
          <t>20260602800194</t>
        </is>
      </c>
      <c r="M2667" s="8">
        <f>HYPERLINK("https://dart.fss.or.kr/dsaf001/main.do?rcpNo=20260602800194", "공시열람")</f>
        <v/>
      </c>
    </row>
    <row r="2668" ht="22" customHeight="1">
      <c r="A2668" s="2" t="inlineStr">
        <is>
          <t>2026-06-02</t>
        </is>
      </c>
      <c r="B2668" s="3" t="inlineStr">
        <is>
          <t>경인양행</t>
        </is>
      </c>
      <c r="C2668" s="2" t="inlineStr">
        <is>
          <t>012610</t>
        </is>
      </c>
      <c r="D2668" s="2" t="inlineStr">
        <is>
          <t>대량보유</t>
        </is>
      </c>
      <c r="E2668" s="3" t="inlineStr">
        <is>
          <t>윤화진</t>
        </is>
      </c>
      <c r="F2668" s="3" t="inlineStr">
        <is>
          <t>특별관계자</t>
        </is>
      </c>
      <c r="G2668" s="3" t="inlineStr">
        <is>
          <t>장내매수(+)</t>
        </is>
      </c>
      <c r="H2668" s="15" t="n">
        <v>503</v>
      </c>
      <c r="I2668" s="6" t="n">
        <v>4815</v>
      </c>
      <c r="J2668" s="6" t="n">
        <v>58095</v>
      </c>
      <c r="K2668" s="16" t="n">
        <v>24</v>
      </c>
      <c r="L2668" s="2" t="inlineStr">
        <is>
          <t>20260602000079</t>
        </is>
      </c>
      <c r="M2668" s="8">
        <f>HYPERLINK("https://dart.fss.or.kr/dsaf001/main.do?rcpNo=20260602000079", "공시열람")</f>
        <v/>
      </c>
    </row>
    <row r="2669" ht="22" customHeight="1">
      <c r="A2669" s="2" t="inlineStr">
        <is>
          <t>2026-06-02</t>
        </is>
      </c>
      <c r="B2669" s="3" t="inlineStr">
        <is>
          <t>경인양행</t>
        </is>
      </c>
      <c r="C2669" s="2" t="inlineStr">
        <is>
          <t>012610</t>
        </is>
      </c>
      <c r="D2669" s="2" t="inlineStr">
        <is>
          <t>대량보유</t>
        </is>
      </c>
      <c r="E2669" s="3" t="inlineStr">
        <is>
          <t>윤화인</t>
        </is>
      </c>
      <c r="F2669" s="3" t="inlineStr">
        <is>
          <t>특별관계자</t>
        </is>
      </c>
      <c r="G2669" s="3" t="inlineStr">
        <is>
          <t>장내매수(+)</t>
        </is>
      </c>
      <c r="H2669" s="15" t="n">
        <v>504</v>
      </c>
      <c r="I2669" s="6" t="n">
        <v>4815</v>
      </c>
      <c r="J2669" s="6" t="n">
        <v>58094</v>
      </c>
      <c r="K2669" s="16" t="n">
        <v>24</v>
      </c>
      <c r="L2669" s="2" t="inlineStr">
        <is>
          <t>20260602000079</t>
        </is>
      </c>
      <c r="M2669" s="8">
        <f>HYPERLINK("https://dart.fss.or.kr/dsaf001/main.do?rcpNo=20260602000079", "공시열람")</f>
        <v/>
      </c>
    </row>
    <row r="2670" ht="22" customHeight="1">
      <c r="A2670" s="2" t="inlineStr">
        <is>
          <t>2026-06-02</t>
        </is>
      </c>
      <c r="B2670" s="3" t="inlineStr">
        <is>
          <t>경인양행</t>
        </is>
      </c>
      <c r="C2670" s="2" t="inlineStr">
        <is>
          <t>012610</t>
        </is>
      </c>
      <c r="D2670" s="2" t="inlineStr">
        <is>
          <t>대량보유</t>
        </is>
      </c>
      <c r="E2670" s="3" t="inlineStr">
        <is>
          <t>윤재현</t>
        </is>
      </c>
      <c r="F2670" s="3" t="inlineStr">
        <is>
          <t>특별관계자</t>
        </is>
      </c>
      <c r="G2670" s="3" t="inlineStr">
        <is>
          <t>장내매수(+)</t>
        </is>
      </c>
      <c r="H2670" s="15" t="n">
        <v>488</v>
      </c>
      <c r="I2670" s="6" t="n">
        <v>4815</v>
      </c>
      <c r="J2670" s="6" t="n">
        <v>56312</v>
      </c>
      <c r="K2670" s="16" t="n">
        <v>24</v>
      </c>
      <c r="L2670" s="2" t="inlineStr">
        <is>
          <t>20260602000079</t>
        </is>
      </c>
      <c r="M2670" s="8">
        <f>HYPERLINK("https://dart.fss.or.kr/dsaf001/main.do?rcpNo=20260602000079", "공시열람")</f>
        <v/>
      </c>
    </row>
    <row r="2671" ht="22" customHeight="1">
      <c r="A2671" s="2" t="inlineStr">
        <is>
          <t>2026-06-02</t>
        </is>
      </c>
      <c r="B2671" s="3" t="inlineStr">
        <is>
          <t>경인양행</t>
        </is>
      </c>
      <c r="C2671" s="2" t="inlineStr">
        <is>
          <t>012610</t>
        </is>
      </c>
      <c r="D2671" s="2" t="inlineStr">
        <is>
          <t>임원보고</t>
        </is>
      </c>
      <c r="E2671" s="3" t="inlineStr">
        <is>
          <t>-</t>
        </is>
      </c>
      <c r="F2671" s="3" t="inlineStr">
        <is>
          <t>-</t>
        </is>
      </c>
      <c r="G2671" s="3" t="inlineStr">
        <is>
          <t>-</t>
        </is>
      </c>
      <c r="H2671" s="6" t="inlineStr"/>
      <c r="I2671" s="6" t="inlineStr"/>
      <c r="J2671" s="6" t="inlineStr"/>
      <c r="K2671" s="16" t="n">
        <v>12</v>
      </c>
      <c r="L2671" s="2" t="inlineStr">
        <is>
          <t>20260602800183</t>
        </is>
      </c>
      <c r="M2671" s="8">
        <f>HYPERLINK("https://dart.fss.or.kr/dsaf001/main.do?rcpNo=20260602800183", "공시열람")</f>
        <v/>
      </c>
    </row>
    <row r="2672" ht="22" customHeight="1">
      <c r="A2672" s="2" t="inlineStr">
        <is>
          <t>2026-06-02</t>
        </is>
      </c>
      <c r="B2672" s="3" t="inlineStr">
        <is>
          <t>아이스크림미디어</t>
        </is>
      </c>
      <c r="C2672" s="2" t="inlineStr">
        <is>
          <t>461300</t>
        </is>
      </c>
      <c r="D2672" s="2" t="inlineStr">
        <is>
          <t>대량보유</t>
        </is>
      </c>
      <c r="E2672" s="3" t="inlineStr">
        <is>
          <t>(주)시공테크</t>
        </is>
      </c>
      <c r="F2672" s="3" t="inlineStr">
        <is>
          <t>보고자</t>
        </is>
      </c>
      <c r="G2672" s="3" t="inlineStr">
        <is>
          <t>특별관계인의 주식담보 계약 변경(일부 상환)</t>
        </is>
      </c>
      <c r="H2672" s="6" t="inlineStr"/>
      <c r="I2672" s="6" t="inlineStr"/>
      <c r="J2672" s="6" t="n">
        <v>8182149</v>
      </c>
      <c r="K2672" s="16" t="n">
        <v>8</v>
      </c>
      <c r="L2672" s="2" t="inlineStr">
        <is>
          <t>20260602000060</t>
        </is>
      </c>
      <c r="M2672" s="8">
        <f>HYPERLINK("https://dart.fss.or.kr/dsaf001/main.do?rcpNo=20260602000060", "공시열람")</f>
        <v/>
      </c>
    </row>
    <row r="2673" ht="22" customHeight="1">
      <c r="A2673" s="2" t="inlineStr">
        <is>
          <t>2026-06-02</t>
        </is>
      </c>
      <c r="B2673" s="3" t="inlineStr">
        <is>
          <t>DS단석</t>
        </is>
      </c>
      <c r="C2673" s="2" t="inlineStr">
        <is>
          <t>017860</t>
        </is>
      </c>
      <c r="D2673" s="2" t="inlineStr">
        <is>
          <t>대량보유</t>
        </is>
      </c>
      <c r="E2673" s="3" t="inlineStr">
        <is>
          <t>한수현</t>
        </is>
      </c>
      <c r="F2673" s="3" t="inlineStr">
        <is>
          <t>특별관계자</t>
        </is>
      </c>
      <c r="G2673" s="3" t="inlineStr">
        <is>
          <t>장내매수(+)</t>
        </is>
      </c>
      <c r="H2673" s="15" t="n">
        <v>95500</v>
      </c>
      <c r="I2673" s="6" t="n">
        <v>18631</v>
      </c>
      <c r="J2673" s="6" t="n">
        <v>709767</v>
      </c>
      <c r="K2673" s="16" t="n">
        <v>3</v>
      </c>
      <c r="L2673" s="2" t="inlineStr">
        <is>
          <t>20260602000034</t>
        </is>
      </c>
      <c r="M2673" s="8">
        <f>HYPERLINK("https://dart.fss.or.kr/dsaf001/main.do?rcpNo=20260602000034", "공시열람")</f>
        <v/>
      </c>
    </row>
    <row r="2674" ht="22" customHeight="1">
      <c r="A2674" s="2" t="inlineStr">
        <is>
          <t>2026-06-02</t>
        </is>
      </c>
      <c r="B2674" s="3" t="inlineStr">
        <is>
          <t>DS단석</t>
        </is>
      </c>
      <c r="C2674" s="2" t="inlineStr">
        <is>
          <t>017860</t>
        </is>
      </c>
      <c r="D2674" s="2" t="inlineStr">
        <is>
          <t>대량보유</t>
        </is>
      </c>
      <c r="E2674" s="3" t="inlineStr">
        <is>
          <t>한지희</t>
        </is>
      </c>
      <c r="F2674" s="3" t="inlineStr">
        <is>
          <t>특별관계자</t>
        </is>
      </c>
      <c r="G2674" s="3" t="inlineStr">
        <is>
          <t>장내매수(+)</t>
        </is>
      </c>
      <c r="H2674" s="15" t="n">
        <v>95500</v>
      </c>
      <c r="I2674" s="6" t="n">
        <v>18631</v>
      </c>
      <c r="J2674" s="6" t="n">
        <v>106201</v>
      </c>
      <c r="K2674" s="16" t="n">
        <v>3</v>
      </c>
      <c r="L2674" s="2" t="inlineStr">
        <is>
          <t>20260602000034</t>
        </is>
      </c>
      <c r="M2674" s="8">
        <f>HYPERLINK("https://dart.fss.or.kr/dsaf001/main.do?rcpNo=20260602000034", "공시열람")</f>
        <v/>
      </c>
    </row>
    <row r="2675" ht="22" customHeight="1">
      <c r="A2675" s="2" t="inlineStr">
        <is>
          <t>2026-06-02</t>
        </is>
      </c>
      <c r="B2675" s="3" t="inlineStr">
        <is>
          <t>웨이비스</t>
        </is>
      </c>
      <c r="C2675" s="2" t="inlineStr">
        <is>
          <t>289930</t>
        </is>
      </c>
      <c r="D2675" s="2" t="inlineStr">
        <is>
          <t>대량보유</t>
        </is>
      </c>
      <c r="E2675" s="3" t="inlineStr">
        <is>
          <t>조헌욱</t>
        </is>
      </c>
      <c r="F2675" s="3" t="inlineStr">
        <is>
          <t>특별관계자</t>
        </is>
      </c>
      <c r="G2675" s="3" t="inlineStr">
        <is>
          <t>임원퇴임(-)</t>
        </is>
      </c>
      <c r="H2675" s="17" t="n">
        <v>-2001</v>
      </c>
      <c r="I2675" s="6" t="inlineStr"/>
      <c r="J2675" s="6" t="inlineStr"/>
      <c r="K2675" s="16" t="n">
        <v>12</v>
      </c>
      <c r="L2675" s="2" t="inlineStr">
        <is>
          <t>20260602000021</t>
        </is>
      </c>
      <c r="M2675" s="8">
        <f>HYPERLINK("https://dart.fss.or.kr/dsaf001/main.do?rcpNo=20260602000021", "공시열람")</f>
        <v/>
      </c>
    </row>
    <row r="2676" ht="22" customHeight="1">
      <c r="A2676" s="2" t="inlineStr">
        <is>
          <t>2026-06-02</t>
        </is>
      </c>
      <c r="B2676" s="3" t="inlineStr">
        <is>
          <t>DS단석</t>
        </is>
      </c>
      <c r="C2676" s="2" t="inlineStr">
        <is>
          <t>017860</t>
        </is>
      </c>
      <c r="D2676" s="2" t="inlineStr">
        <is>
          <t>임원보고</t>
        </is>
      </c>
      <c r="E2676" s="3" t="inlineStr">
        <is>
          <t>-</t>
        </is>
      </c>
      <c r="F2676" s="3" t="inlineStr">
        <is>
          <t>-</t>
        </is>
      </c>
      <c r="G2676" s="3" t="inlineStr">
        <is>
          <t>-</t>
        </is>
      </c>
      <c r="H2676" s="6" t="inlineStr"/>
      <c r="I2676" s="6" t="inlineStr"/>
      <c r="J2676" s="6" t="inlineStr"/>
      <c r="K2676" s="16" t="n">
        <v>12</v>
      </c>
      <c r="L2676" s="2" t="inlineStr">
        <is>
          <t>20260602800137</t>
        </is>
      </c>
      <c r="M2676" s="8">
        <f>HYPERLINK("https://dart.fss.or.kr/dsaf001/main.do?rcpNo=20260602800137", "공시열람")</f>
        <v/>
      </c>
    </row>
    <row r="2677" ht="22" customHeight="1">
      <c r="A2677" s="2" t="inlineStr">
        <is>
          <t>2026-06-02</t>
        </is>
      </c>
      <c r="B2677" s="3" t="inlineStr">
        <is>
          <t>아이로보틱스</t>
        </is>
      </c>
      <c r="C2677" s="2" t="inlineStr">
        <is>
          <t>066430</t>
        </is>
      </c>
      <c r="D2677" s="2" t="inlineStr">
        <is>
          <t>대량보유</t>
        </is>
      </c>
      <c r="E2677" s="3" t="inlineStr">
        <is>
          <t>이상섭</t>
        </is>
      </c>
      <c r="F2677" s="3" t="inlineStr">
        <is>
          <t>특별관계자</t>
        </is>
      </c>
      <c r="G2677" s="3" t="inlineStr">
        <is>
          <t>장내매수(+)</t>
        </is>
      </c>
      <c r="H2677" s="15" t="n">
        <v>290000</v>
      </c>
      <c r="I2677" s="6" t="n">
        <v>2586</v>
      </c>
      <c r="J2677" s="6" t="n">
        <v>450000</v>
      </c>
      <c r="K2677" s="16" t="n">
        <v>6</v>
      </c>
      <c r="L2677" s="2" t="inlineStr">
        <is>
          <t>20260601002052</t>
        </is>
      </c>
      <c r="M2677" s="8">
        <f>HYPERLINK("https://dart.fss.or.kr/dsaf001/main.do?rcpNo=20260601002052", "공시열람")</f>
        <v/>
      </c>
    </row>
    <row r="2678" ht="22" customHeight="1">
      <c r="A2678" s="2" t="inlineStr">
        <is>
          <t>2026-06-02</t>
        </is>
      </c>
      <c r="B2678" s="3" t="inlineStr">
        <is>
          <t>아이로보틱스</t>
        </is>
      </c>
      <c r="C2678" s="2" t="inlineStr">
        <is>
          <t>066430</t>
        </is>
      </c>
      <c r="D2678" s="2" t="inlineStr">
        <is>
          <t>대량보유</t>
        </is>
      </c>
      <c r="E2678" s="3" t="inlineStr">
        <is>
          <t>최문실</t>
        </is>
      </c>
      <c r="F2678" s="3" t="inlineStr">
        <is>
          <t>특별관계자</t>
        </is>
      </c>
      <c r="G2678" s="3" t="inlineStr">
        <is>
          <t>장내매수(+)</t>
        </is>
      </c>
      <c r="H2678" s="15" t="n">
        <v>64642</v>
      </c>
      <c r="I2678" s="6" t="n">
        <v>3105</v>
      </c>
      <c r="J2678" s="6" t="n">
        <v>464642</v>
      </c>
      <c r="K2678" s="16" t="n">
        <v>6</v>
      </c>
      <c r="L2678" s="2" t="inlineStr">
        <is>
          <t>20260601002052</t>
        </is>
      </c>
      <c r="M2678" s="8">
        <f>HYPERLINK("https://dart.fss.or.kr/dsaf001/main.do?rcpNo=20260601002052", "공시열람")</f>
        <v/>
      </c>
    </row>
    <row r="2679" ht="22" customHeight="1">
      <c r="A2679" s="2" t="inlineStr">
        <is>
          <t>2026-06-02</t>
        </is>
      </c>
      <c r="B2679" s="3" t="inlineStr">
        <is>
          <t>아이로보틱스</t>
        </is>
      </c>
      <c r="C2679" s="2" t="inlineStr">
        <is>
          <t>066430</t>
        </is>
      </c>
      <c r="D2679" s="2" t="inlineStr">
        <is>
          <t>대량보유</t>
        </is>
      </c>
      <c r="E2679" s="3" t="inlineStr">
        <is>
          <t>이해인</t>
        </is>
      </c>
      <c r="F2679" s="3" t="inlineStr">
        <is>
          <t>특별관계자</t>
        </is>
      </c>
      <c r="G2679" s="3" t="inlineStr">
        <is>
          <t>장내매수(+)</t>
        </is>
      </c>
      <c r="H2679" s="15" t="n">
        <v>119512</v>
      </c>
      <c r="I2679" s="6" t="n">
        <v>3196</v>
      </c>
      <c r="J2679" s="6" t="n">
        <v>619512</v>
      </c>
      <c r="K2679" s="16" t="n">
        <v>6</v>
      </c>
      <c r="L2679" s="2" t="inlineStr">
        <is>
          <t>20260601002052</t>
        </is>
      </c>
      <c r="M2679" s="8">
        <f>HYPERLINK("https://dart.fss.or.kr/dsaf001/main.do?rcpNo=20260601002052", "공시열람")</f>
        <v/>
      </c>
    </row>
    <row r="2680" ht="22" customHeight="1">
      <c r="A2680" s="2" t="inlineStr">
        <is>
          <t>2026-06-02</t>
        </is>
      </c>
      <c r="B2680" s="3" t="inlineStr">
        <is>
          <t>아이로보틱스</t>
        </is>
      </c>
      <c r="C2680" s="2" t="inlineStr">
        <is>
          <t>066430</t>
        </is>
      </c>
      <c r="D2680" s="2" t="inlineStr">
        <is>
          <t>대량보유</t>
        </is>
      </c>
      <c r="E2680" s="3" t="inlineStr">
        <is>
          <t>해인케이블㈜</t>
        </is>
      </c>
      <c r="F2680" s="3" t="inlineStr">
        <is>
          <t>특별관계자</t>
        </is>
      </c>
      <c r="G2680" s="3" t="inlineStr">
        <is>
          <t>장내매수(+)</t>
        </is>
      </c>
      <c r="H2680" s="15" t="n">
        <v>28959</v>
      </c>
      <c r="I2680" s="6" t="n">
        <v>3450</v>
      </c>
      <c r="J2680" s="6" t="n">
        <v>28959</v>
      </c>
      <c r="K2680" s="16" t="n">
        <v>6</v>
      </c>
      <c r="L2680" s="2" t="inlineStr">
        <is>
          <t>20260601002052</t>
        </is>
      </c>
      <c r="M2680" s="8">
        <f>HYPERLINK("https://dart.fss.or.kr/dsaf001/main.do?rcpNo=20260601002052", "공시열람")</f>
        <v/>
      </c>
    </row>
    <row r="2681" ht="22" customHeight="1">
      <c r="A2681" s="2" t="inlineStr">
        <is>
          <t>2026-06-02</t>
        </is>
      </c>
      <c r="B2681" s="3" t="inlineStr">
        <is>
          <t>아이로보틱스</t>
        </is>
      </c>
      <c r="C2681" s="2" t="inlineStr">
        <is>
          <t>066430</t>
        </is>
      </c>
      <c r="D2681" s="2" t="inlineStr">
        <is>
          <t>대량보유</t>
        </is>
      </c>
      <c r="E2681" s="3" t="inlineStr">
        <is>
          <t>㈜예원디엔씨</t>
        </is>
      </c>
      <c r="F2681" s="3" t="inlineStr">
        <is>
          <t>특별관계자</t>
        </is>
      </c>
      <c r="G2681" s="3" t="inlineStr">
        <is>
          <t>장내매수(+)</t>
        </is>
      </c>
      <c r="H2681" s="15" t="n">
        <v>10000</v>
      </c>
      <c r="I2681" s="6" t="n">
        <v>3290</v>
      </c>
      <c r="J2681" s="6" t="n">
        <v>10000</v>
      </c>
      <c r="K2681" s="16" t="n">
        <v>6</v>
      </c>
      <c r="L2681" s="2" t="inlineStr">
        <is>
          <t>20260601002052</t>
        </is>
      </c>
      <c r="M2681" s="8">
        <f>HYPERLINK("https://dart.fss.or.kr/dsaf001/main.do?rcpNo=20260601002052", "공시열람")</f>
        <v/>
      </c>
    </row>
    <row r="2682" ht="22" customHeight="1">
      <c r="A2682" s="2" t="inlineStr">
        <is>
          <t>2026-06-04</t>
        </is>
      </c>
      <c r="B2682" s="3" t="inlineStr">
        <is>
          <t>국영지앤엠</t>
        </is>
      </c>
      <c r="C2682" s="2" t="inlineStr">
        <is>
          <t>006050</t>
        </is>
      </c>
      <c r="D2682" s="2" t="inlineStr">
        <is>
          <t>대량보유</t>
        </is>
      </c>
      <c r="E2682" s="3" t="inlineStr">
        <is>
          <t>최재원</t>
        </is>
      </c>
      <c r="F2682" s="3" t="inlineStr">
        <is>
          <t>특별관계자</t>
        </is>
      </c>
      <c r="G2682" s="3" t="inlineStr">
        <is>
          <t>장내매수(+)</t>
        </is>
      </c>
      <c r="H2682" s="15" t="n">
        <v>53439</v>
      </c>
      <c r="I2682" s="6" t="n">
        <v>822</v>
      </c>
      <c r="J2682" s="6" t="n">
        <v>2873102</v>
      </c>
      <c r="K2682" s="16" t="n">
        <v>7</v>
      </c>
      <c r="L2682" s="2" t="inlineStr">
        <is>
          <t>20260604000639</t>
        </is>
      </c>
      <c r="M2682" s="8">
        <f>HYPERLINK("https://dart.fss.or.kr/dsaf001/main.do?rcpNo=20260604000639", "공시열람")</f>
        <v/>
      </c>
    </row>
    <row r="2683" ht="22" customHeight="1">
      <c r="A2683" s="2" t="inlineStr">
        <is>
          <t>2026-06-04</t>
        </is>
      </c>
      <c r="B2683" s="3" t="inlineStr">
        <is>
          <t>국영지앤엠</t>
        </is>
      </c>
      <c r="C2683" s="2" t="inlineStr">
        <is>
          <t>006050</t>
        </is>
      </c>
      <c r="D2683" s="2" t="inlineStr">
        <is>
          <t>대량보유</t>
        </is>
      </c>
      <c r="E2683" s="3" t="inlineStr">
        <is>
          <t>김정숙</t>
        </is>
      </c>
      <c r="F2683" s="3" t="inlineStr">
        <is>
          <t>특별관계자</t>
        </is>
      </c>
      <c r="G2683" s="3" t="inlineStr">
        <is>
          <t>장내매수(+)</t>
        </is>
      </c>
      <c r="H2683" s="15" t="n">
        <v>10500</v>
      </c>
      <c r="I2683" s="6" t="n">
        <v>852</v>
      </c>
      <c r="J2683" s="6" t="n">
        <v>679798</v>
      </c>
      <c r="K2683" s="16" t="n">
        <v>7</v>
      </c>
      <c r="L2683" s="2" t="inlineStr">
        <is>
          <t>20260604000639</t>
        </is>
      </c>
      <c r="M2683" s="8">
        <f>HYPERLINK("https://dart.fss.or.kr/dsaf001/main.do?rcpNo=20260604000639", "공시열람")</f>
        <v/>
      </c>
    </row>
    <row r="2684" ht="22" customHeight="1">
      <c r="A2684" s="2" t="inlineStr">
        <is>
          <t>2026-06-04</t>
        </is>
      </c>
      <c r="B2684" s="3" t="inlineStr">
        <is>
          <t>국영지앤엠</t>
        </is>
      </c>
      <c r="C2684" s="2" t="inlineStr">
        <is>
          <t>006050</t>
        </is>
      </c>
      <c r="D2684" s="2" t="inlineStr">
        <is>
          <t>대량보유</t>
        </is>
      </c>
      <c r="E2684" s="3" t="inlineStr">
        <is>
          <t>최윤영</t>
        </is>
      </c>
      <c r="F2684" s="3" t="inlineStr">
        <is>
          <t>특별관계자</t>
        </is>
      </c>
      <c r="G2684" s="3" t="inlineStr">
        <is>
          <t>장내매수(+)</t>
        </is>
      </c>
      <c r="H2684" s="15" t="n">
        <v>9000</v>
      </c>
      <c r="I2684" s="6" t="n">
        <v>797</v>
      </c>
      <c r="J2684" s="6" t="n">
        <v>462100</v>
      </c>
      <c r="K2684" s="16" t="n">
        <v>7</v>
      </c>
      <c r="L2684" s="2" t="inlineStr">
        <is>
          <t>20260604000639</t>
        </is>
      </c>
      <c r="M2684" s="8">
        <f>HYPERLINK("https://dart.fss.or.kr/dsaf001/main.do?rcpNo=20260604000639", "공시열람")</f>
        <v/>
      </c>
    </row>
    <row r="2685" ht="22" customHeight="1">
      <c r="A2685" s="2" t="inlineStr">
        <is>
          <t>2026-06-04</t>
        </is>
      </c>
      <c r="B2685" s="3" t="inlineStr">
        <is>
          <t>제이엔케이글로벌</t>
        </is>
      </c>
      <c r="C2685" s="2" t="inlineStr">
        <is>
          <t>126880</t>
        </is>
      </c>
      <c r="D2685" s="2" t="inlineStr">
        <is>
          <t>대량보유</t>
        </is>
      </c>
      <c r="E2685" s="3" t="inlineStr">
        <is>
          <t>김방희</t>
        </is>
      </c>
      <c r="F2685" s="3" t="inlineStr">
        <is>
          <t>특별관계자</t>
        </is>
      </c>
      <c r="G2685" s="3" t="inlineStr">
        <is>
          <t>장내매수(+)</t>
        </is>
      </c>
      <c r="H2685" s="15" t="n">
        <v>31059</v>
      </c>
      <c r="I2685" s="6" t="n">
        <v>3348</v>
      </c>
      <c r="J2685" s="6" t="n">
        <v>3573197</v>
      </c>
      <c r="K2685" s="16" t="n">
        <v>2</v>
      </c>
      <c r="L2685" s="2" t="inlineStr">
        <is>
          <t>20260604000631</t>
        </is>
      </c>
      <c r="M2685" s="8">
        <f>HYPERLINK("https://dart.fss.or.kr/dsaf001/main.do?rcpNo=20260604000631", "공시열람")</f>
        <v/>
      </c>
    </row>
    <row r="2686" ht="22" customHeight="1">
      <c r="A2686" s="2" t="inlineStr">
        <is>
          <t>2026-06-04</t>
        </is>
      </c>
      <c r="B2686" s="3" t="inlineStr">
        <is>
          <t>부국증권</t>
        </is>
      </c>
      <c r="C2686" s="2" t="inlineStr">
        <is>
          <t>001270</t>
        </is>
      </c>
      <c r="D2686" s="2" t="inlineStr">
        <is>
          <t>대량보유</t>
        </is>
      </c>
      <c r="E2686" s="3" t="inlineStr">
        <is>
          <t>김상윤</t>
        </is>
      </c>
      <c r="F2686" s="3" t="inlineStr">
        <is>
          <t>특별관계자</t>
        </is>
      </c>
      <c r="G2686" s="3" t="inlineStr">
        <is>
          <t>장내매수(+)</t>
        </is>
      </c>
      <c r="H2686" s="15" t="n">
        <v>386</v>
      </c>
      <c r="I2686" s="6" t="n">
        <v>57100</v>
      </c>
      <c r="J2686" s="6" t="n">
        <v>254956</v>
      </c>
      <c r="K2686" s="16" t="n">
        <v>9</v>
      </c>
      <c r="L2686" s="2" t="inlineStr">
        <is>
          <t>20260604000626</t>
        </is>
      </c>
      <c r="M2686" s="8">
        <f>HYPERLINK("https://dart.fss.or.kr/dsaf001/main.do?rcpNo=20260604000626", "공시열람")</f>
        <v/>
      </c>
    </row>
    <row r="2687" ht="22" customHeight="1">
      <c r="A2687" s="2" t="inlineStr">
        <is>
          <t>2026-06-04</t>
        </is>
      </c>
      <c r="B2687" s="3" t="inlineStr">
        <is>
          <t>부국증권</t>
        </is>
      </c>
      <c r="C2687" s="2" t="inlineStr">
        <is>
          <t>001270</t>
        </is>
      </c>
      <c r="D2687" s="2" t="inlineStr">
        <is>
          <t>대량보유</t>
        </is>
      </c>
      <c r="E2687" s="3" t="inlineStr">
        <is>
          <t>김정연</t>
        </is>
      </c>
      <c r="F2687" s="3" t="inlineStr">
        <is>
          <t>특별관계자</t>
        </is>
      </c>
      <c r="G2687" s="3" t="inlineStr">
        <is>
          <t>장내매수(+)</t>
        </is>
      </c>
      <c r="H2687" s="15" t="n">
        <v>795</v>
      </c>
      <c r="I2687" s="6" t="n">
        <v>57139</v>
      </c>
      <c r="J2687" s="6" t="n">
        <v>155128</v>
      </c>
      <c r="K2687" s="16" t="n">
        <v>9</v>
      </c>
      <c r="L2687" s="2" t="inlineStr">
        <is>
          <t>20260604000626</t>
        </is>
      </c>
      <c r="M2687" s="8">
        <f>HYPERLINK("https://dart.fss.or.kr/dsaf001/main.do?rcpNo=20260604000626", "공시열람")</f>
        <v/>
      </c>
    </row>
    <row r="2688" ht="22" customHeight="1">
      <c r="A2688" s="2" t="inlineStr">
        <is>
          <t>2026-06-04</t>
        </is>
      </c>
      <c r="B2688" s="3" t="inlineStr">
        <is>
          <t>부국증권</t>
        </is>
      </c>
      <c r="C2688" s="2" t="inlineStr">
        <is>
          <t>001270</t>
        </is>
      </c>
      <c r="D2688" s="2" t="inlineStr">
        <is>
          <t>대량보유</t>
        </is>
      </c>
      <c r="E2688" s="3" t="inlineStr">
        <is>
          <t>이진우</t>
        </is>
      </c>
      <c r="F2688" s="3" t="inlineStr">
        <is>
          <t>특별관계자</t>
        </is>
      </c>
      <c r="G2688" s="3" t="inlineStr">
        <is>
          <t>장내매수(+)</t>
        </is>
      </c>
      <c r="H2688" s="15" t="n">
        <v>629</v>
      </c>
      <c r="I2688" s="6" t="n">
        <v>57458</v>
      </c>
      <c r="J2688" s="6" t="n">
        <v>69733</v>
      </c>
      <c r="K2688" s="16" t="n">
        <v>9</v>
      </c>
      <c r="L2688" s="2" t="inlineStr">
        <is>
          <t>20260604000626</t>
        </is>
      </c>
      <c r="M2688" s="8">
        <f>HYPERLINK("https://dart.fss.or.kr/dsaf001/main.do?rcpNo=20260604000626", "공시열람")</f>
        <v/>
      </c>
    </row>
    <row r="2689" ht="22" customHeight="1">
      <c r="A2689" s="2" t="inlineStr">
        <is>
          <t>2026-06-04 (정정: 2026-06-16)</t>
        </is>
      </c>
      <c r="B2689" s="3" t="inlineStr">
        <is>
          <t>셀트리온</t>
        </is>
      </c>
      <c r="C2689" s="2" t="inlineStr">
        <is>
          <t>068270</t>
        </is>
      </c>
      <c r="D2689" s="2" t="inlineStr">
        <is>
          <t>대량보유</t>
        </is>
      </c>
      <c r="E2689" s="3" t="inlineStr">
        <is>
          <t>-</t>
        </is>
      </c>
      <c r="F2689" s="3" t="inlineStr">
        <is>
          <t>보고자</t>
        </is>
      </c>
      <c r="G2689" s="3" t="inlineStr">
        <is>
          <t>-</t>
        </is>
      </c>
      <c r="H2689" s="6" t="inlineStr"/>
      <c r="I2689" s="6" t="inlineStr"/>
      <c r="J2689" s="6" t="inlineStr"/>
      <c r="K2689" s="18" t="inlineStr"/>
      <c r="L2689" s="2" t="inlineStr">
        <is>
          <t>20260616800578</t>
        </is>
      </c>
      <c r="M2689" s="8">
        <f>HYPERLINK("https://dart.fss.or.kr/dsaf001/main.do?rcpNo=20260616800578", "공시열람")</f>
        <v/>
      </c>
    </row>
    <row r="2690" ht="22" customHeight="1">
      <c r="A2690" s="2" t="inlineStr">
        <is>
          <t>2026-06-04</t>
        </is>
      </c>
      <c r="B2690" s="3" t="inlineStr">
        <is>
          <t>EMB</t>
        </is>
      </c>
      <c r="C2690" s="2" t="inlineStr">
        <is>
          <t>278990</t>
        </is>
      </c>
      <c r="D2690" s="2" t="inlineStr">
        <is>
          <t>대량보유</t>
        </is>
      </c>
      <c r="E2690" s="3" t="inlineStr">
        <is>
          <t>(주)파인엠텍</t>
        </is>
      </c>
      <c r="F2690" s="3" t="inlineStr">
        <is>
          <t>특별관계자</t>
        </is>
      </c>
      <c r="G2690" s="3" t="inlineStr">
        <is>
          <t>장외매수(+)</t>
        </is>
      </c>
      <c r="H2690" s="15" t="n">
        <v>38427</v>
      </c>
      <c r="I2690" s="6" t="n">
        <v>38427</v>
      </c>
      <c r="J2690" s="6" t="n">
        <v>276671</v>
      </c>
      <c r="K2690" s="16" t="n">
        <v>12</v>
      </c>
      <c r="L2690" s="2" t="inlineStr">
        <is>
          <t>20260604000614</t>
        </is>
      </c>
      <c r="M2690" s="8">
        <f>HYPERLINK("https://dart.fss.or.kr/dsaf001/main.do?rcpNo=20260604000614", "공시열람")</f>
        <v/>
      </c>
    </row>
    <row r="2691" ht="22" customHeight="1">
      <c r="A2691" s="2" t="inlineStr">
        <is>
          <t>2026-06-04</t>
        </is>
      </c>
      <c r="B2691" s="3" t="inlineStr">
        <is>
          <t>EMB</t>
        </is>
      </c>
      <c r="C2691" s="2" t="inlineStr">
        <is>
          <t>278990</t>
        </is>
      </c>
      <c r="D2691" s="2" t="inlineStr">
        <is>
          <t>대량보유</t>
        </is>
      </c>
      <c r="E2691" s="3" t="inlineStr">
        <is>
          <t>박관련</t>
        </is>
      </c>
      <c r="F2691" s="3" t="inlineStr">
        <is>
          <t>특별관계자</t>
        </is>
      </c>
      <c r="G2691" s="3" t="inlineStr">
        <is>
          <t>장외매도(-)</t>
        </is>
      </c>
      <c r="H2691" s="17" t="n">
        <v>-38427</v>
      </c>
      <c r="I2691" s="6" t="n">
        <v>38427</v>
      </c>
      <c r="J2691" s="6" t="n">
        <v>3000</v>
      </c>
      <c r="K2691" s="16" t="n">
        <v>12</v>
      </c>
      <c r="L2691" s="2" t="inlineStr">
        <is>
          <t>20260604000614</t>
        </is>
      </c>
      <c r="M2691" s="8">
        <f>HYPERLINK("https://dart.fss.or.kr/dsaf001/main.do?rcpNo=20260604000614", "공시열람")</f>
        <v/>
      </c>
    </row>
    <row r="2692" ht="22" customHeight="1">
      <c r="A2692" s="2" t="inlineStr">
        <is>
          <t>2026-06-04 (정정: 2026-06-04)</t>
        </is>
      </c>
      <c r="B2692" s="3" t="inlineStr">
        <is>
          <t>핌스</t>
        </is>
      </c>
      <c r="C2692" s="2" t="inlineStr">
        <is>
          <t>347770</t>
        </is>
      </c>
      <c r="D2692" s="2" t="inlineStr">
        <is>
          <t>대량보유</t>
        </is>
      </c>
      <c r="E2692" s="3" t="inlineStr">
        <is>
          <t>-</t>
        </is>
      </c>
      <c r="F2692" s="3" t="inlineStr">
        <is>
          <t>보고자</t>
        </is>
      </c>
      <c r="G2692" s="3" t="inlineStr">
        <is>
          <t>-</t>
        </is>
      </c>
      <c r="H2692" s="6" t="inlineStr"/>
      <c r="I2692" s="6" t="inlineStr"/>
      <c r="J2692" s="6" t="inlineStr"/>
      <c r="K2692" s="18" t="inlineStr"/>
      <c r="L2692" s="2" t="inlineStr">
        <is>
          <t>20260604900610</t>
        </is>
      </c>
      <c r="M2692" s="8">
        <f>HYPERLINK("https://dart.fss.or.kr/dsaf001/main.do?rcpNo=20260604900610", "공시열람")</f>
        <v/>
      </c>
    </row>
    <row r="2693" ht="22" customHeight="1">
      <c r="A2693" s="2" t="inlineStr">
        <is>
          <t>2026-06-04</t>
        </is>
      </c>
      <c r="B2693" s="3" t="inlineStr">
        <is>
          <t>폰드그룹</t>
        </is>
      </c>
      <c r="C2693" s="2" t="inlineStr">
        <is>
          <t>472850</t>
        </is>
      </c>
      <c r="D2693" s="2" t="inlineStr">
        <is>
          <t>대량보유</t>
        </is>
      </c>
      <c r="E2693" s="3" t="inlineStr">
        <is>
          <t>㈜대명화학</t>
        </is>
      </c>
      <c r="F2693" s="3" t="inlineStr">
        <is>
          <t>보고자</t>
        </is>
      </c>
      <c r="G2693" s="3" t="inlineStr">
        <is>
          <t>- 주식담보계약 등의 주요계약 일부변경</t>
        </is>
      </c>
      <c r="H2693" s="6" t="inlineStr"/>
      <c r="I2693" s="6" t="inlineStr"/>
      <c r="J2693" s="6" t="n">
        <v>44363256</v>
      </c>
      <c r="K2693" s="16" t="n">
        <v>3</v>
      </c>
      <c r="L2693" s="2" t="inlineStr">
        <is>
          <t>20260604000602</t>
        </is>
      </c>
      <c r="M2693" s="8">
        <f>HYPERLINK("https://dart.fss.or.kr/dsaf001/main.do?rcpNo=20260604000602", "공시열람")</f>
        <v/>
      </c>
    </row>
    <row r="2694" ht="22" customHeight="1">
      <c r="A2694" s="2" t="inlineStr">
        <is>
          <t>2026-06-04</t>
        </is>
      </c>
      <c r="B2694" s="3" t="inlineStr">
        <is>
          <t>메가스터디교육</t>
        </is>
      </c>
      <c r="C2694" s="2" t="inlineStr">
        <is>
          <t>215200</t>
        </is>
      </c>
      <c r="D2694" s="2" t="inlineStr">
        <is>
          <t>대량보유</t>
        </is>
      </c>
      <c r="E2694" s="3" t="inlineStr">
        <is>
          <t>FIDASIANVALUES</t>
        </is>
      </c>
      <c r="F2694" s="3" t="inlineStr">
        <is>
          <t>특별관계자</t>
        </is>
      </c>
      <c r="G2694" s="3" t="inlineStr">
        <is>
          <t>장내매도(-)</t>
        </is>
      </c>
      <c r="H2694" s="17" t="n">
        <v>-19576</v>
      </c>
      <c r="I2694" s="6" t="n">
        <v>43987</v>
      </c>
      <c r="J2694" s="6" t="n">
        <v>115541</v>
      </c>
      <c r="K2694" s="16" t="n">
        <v>8</v>
      </c>
      <c r="L2694" s="2" t="inlineStr">
        <is>
          <t>20260604000598</t>
        </is>
      </c>
      <c r="M2694" s="8">
        <f>HYPERLINK("https://dart.fss.or.kr/dsaf001/main.do?rcpNo=20260604000598", "공시열람")</f>
        <v/>
      </c>
    </row>
    <row r="2695" ht="22" customHeight="1">
      <c r="A2695" s="2" t="inlineStr">
        <is>
          <t>2026-06-04</t>
        </is>
      </c>
      <c r="B2695" s="3" t="inlineStr">
        <is>
          <t>메가스터디교육</t>
        </is>
      </c>
      <c r="C2695" s="2" t="inlineStr">
        <is>
          <t>215200</t>
        </is>
      </c>
      <c r="D2695" s="2" t="inlineStr">
        <is>
          <t>대량보유</t>
        </is>
      </c>
      <c r="E2695" s="3" t="inlineStr">
        <is>
          <t>FIDELITYFUNDS</t>
        </is>
      </c>
      <c r="F2695" s="3" t="inlineStr">
        <is>
          <t>특별관계자</t>
        </is>
      </c>
      <c r="G2695" s="3" t="inlineStr">
        <is>
          <t>장내매수(+), 장내매도(-)</t>
        </is>
      </c>
      <c r="H2695" s="17" t="n">
        <v>-80735</v>
      </c>
      <c r="I2695" s="6" t="n">
        <v>45286</v>
      </c>
      <c r="J2695" s="6" t="n">
        <v>434450</v>
      </c>
      <c r="K2695" s="16" t="n">
        <v>8</v>
      </c>
      <c r="L2695" s="2" t="inlineStr">
        <is>
          <t>20260604000598</t>
        </is>
      </c>
      <c r="M2695" s="8">
        <f>HYPERLINK("https://dart.fss.or.kr/dsaf001/main.do?rcpNo=20260604000598", "공시열람")</f>
        <v/>
      </c>
    </row>
    <row r="2696" ht="22" customHeight="1">
      <c r="A2696" s="2" t="inlineStr">
        <is>
          <t>2026-06-04</t>
        </is>
      </c>
      <c r="B2696" s="3" t="inlineStr">
        <is>
          <t>메가스터디교육</t>
        </is>
      </c>
      <c r="C2696" s="2" t="inlineStr">
        <is>
          <t>215200</t>
        </is>
      </c>
      <c r="D2696" s="2" t="inlineStr">
        <is>
          <t>대량보유</t>
        </is>
      </c>
      <c r="E2696" s="3" t="inlineStr">
        <is>
          <t>HI-KAPPA-14-SFONDS</t>
        </is>
      </c>
      <c r="F2696" s="3" t="inlineStr">
        <is>
          <t>특별관계자</t>
        </is>
      </c>
      <c r="G2696" s="3" t="inlineStr">
        <is>
          <t>장내매도(-)</t>
        </is>
      </c>
      <c r="H2696" s="17" t="n">
        <v>-714</v>
      </c>
      <c r="I2696" s="6" t="n">
        <v>45339</v>
      </c>
      <c r="J2696" s="6" t="n">
        <v>15350</v>
      </c>
      <c r="K2696" s="16" t="n">
        <v>8</v>
      </c>
      <c r="L2696" s="2" t="inlineStr">
        <is>
          <t>20260604000598</t>
        </is>
      </c>
      <c r="M2696" s="8">
        <f>HYPERLINK("https://dart.fss.or.kr/dsaf001/main.do?rcpNo=20260604000598", "공시열람")</f>
        <v/>
      </c>
    </row>
    <row r="2697" ht="22" customHeight="1">
      <c r="A2697" s="2" t="inlineStr">
        <is>
          <t>2026-06-04</t>
        </is>
      </c>
      <c r="B2697" s="3" t="inlineStr">
        <is>
          <t>메가스터디교육</t>
        </is>
      </c>
      <c r="C2697" s="2" t="inlineStr">
        <is>
          <t>215200</t>
        </is>
      </c>
      <c r="D2697" s="2" t="inlineStr">
        <is>
          <t>대량보유</t>
        </is>
      </c>
      <c r="E2697" s="3" t="inlineStr">
        <is>
          <t>HI-SZVA-34-SFONDS</t>
        </is>
      </c>
      <c r="F2697" s="3" t="inlineStr">
        <is>
          <t>특별관계자</t>
        </is>
      </c>
      <c r="G2697" s="3" t="inlineStr">
        <is>
          <t>장내매도(-)</t>
        </is>
      </c>
      <c r="H2697" s="17" t="n">
        <v>-2686</v>
      </c>
      <c r="I2697" s="6" t="n">
        <v>45936</v>
      </c>
      <c r="J2697" s="6" t="n">
        <v>21923</v>
      </c>
      <c r="K2697" s="16" t="n">
        <v>8</v>
      </c>
      <c r="L2697" s="2" t="inlineStr">
        <is>
          <t>20260604000598</t>
        </is>
      </c>
      <c r="M2697" s="8">
        <f>HYPERLINK("https://dart.fss.or.kr/dsaf001/main.do?rcpNo=20260604000598", "공시열람")</f>
        <v/>
      </c>
    </row>
    <row r="2698" ht="22" customHeight="1">
      <c r="A2698" s="2" t="inlineStr">
        <is>
          <t>2026-06-04 (정정: 2026-06-10)</t>
        </is>
      </c>
      <c r="B2698" s="3" t="inlineStr">
        <is>
          <t>웨이비스</t>
        </is>
      </c>
      <c r="C2698" s="2" t="inlineStr">
        <is>
          <t>289930</t>
        </is>
      </c>
      <c r="D2698" s="2" t="inlineStr">
        <is>
          <t>대량보유</t>
        </is>
      </c>
      <c r="E2698" s="3" t="inlineStr">
        <is>
          <t>-</t>
        </is>
      </c>
      <c r="F2698" s="3" t="inlineStr">
        <is>
          <t>보고자</t>
        </is>
      </c>
      <c r="G2698" s="3" t="inlineStr">
        <is>
          <t>-</t>
        </is>
      </c>
      <c r="H2698" s="6" t="inlineStr"/>
      <c r="I2698" s="6" t="inlineStr"/>
      <c r="J2698" s="6" t="inlineStr"/>
      <c r="K2698" s="18" t="inlineStr"/>
      <c r="L2698" s="2" t="inlineStr">
        <is>
          <t>20260610000247</t>
        </is>
      </c>
      <c r="M2698" s="8">
        <f>HYPERLINK("https://dart.fss.or.kr/dsaf001/main.do?rcpNo=20260610000247", "공시열람")</f>
        <v/>
      </c>
    </row>
    <row r="2699" ht="22" customHeight="1">
      <c r="A2699" s="2" t="inlineStr">
        <is>
          <t>2026-06-04</t>
        </is>
      </c>
      <c r="B2699" s="3" t="inlineStr">
        <is>
          <t>케이옥션</t>
        </is>
      </c>
      <c r="C2699" s="2" t="inlineStr">
        <is>
          <t>102370</t>
        </is>
      </c>
      <c r="D2699" s="2" t="inlineStr">
        <is>
          <t>대량보유</t>
        </is>
      </c>
      <c r="E2699" s="3" t="inlineStr">
        <is>
          <t>티에이어드바이저유한회사</t>
        </is>
      </c>
      <c r="F2699" s="3" t="inlineStr">
        <is>
          <t>보고자</t>
        </is>
      </c>
      <c r="G2699" s="3" t="inlineStr">
        <is>
          <t>담보 주식 수 변경</t>
        </is>
      </c>
      <c r="H2699" s="6" t="inlineStr"/>
      <c r="I2699" s="6" t="inlineStr"/>
      <c r="J2699" s="6" t="n">
        <v>14169404</v>
      </c>
      <c r="K2699" s="16" t="n">
        <v>8</v>
      </c>
      <c r="L2699" s="2" t="inlineStr">
        <is>
          <t>20260604000571</t>
        </is>
      </c>
      <c r="M2699" s="8">
        <f>HYPERLINK("https://dart.fss.or.kr/dsaf001/main.do?rcpNo=20260604000571", "공시열람")</f>
        <v/>
      </c>
    </row>
    <row r="2700" ht="22" customHeight="1">
      <c r="A2700" s="2" t="inlineStr">
        <is>
          <t>2026-06-04</t>
        </is>
      </c>
      <c r="B2700" s="3" t="inlineStr">
        <is>
          <t>퍼시스</t>
        </is>
      </c>
      <c r="C2700" s="2" t="inlineStr">
        <is>
          <t>016800</t>
        </is>
      </c>
      <c r="D2700" s="2" t="inlineStr">
        <is>
          <t>임원보고</t>
        </is>
      </c>
      <c r="E2700" s="3" t="inlineStr">
        <is>
          <t>-</t>
        </is>
      </c>
      <c r="F2700" s="3" t="inlineStr">
        <is>
          <t>-</t>
        </is>
      </c>
      <c r="G2700" s="3" t="inlineStr">
        <is>
          <t>-</t>
        </is>
      </c>
      <c r="H2700" s="6" t="inlineStr"/>
      <c r="I2700" s="6" t="inlineStr"/>
      <c r="J2700" s="6" t="inlineStr"/>
      <c r="K2700" s="16" t="n">
        <v>12</v>
      </c>
      <c r="L2700" s="2" t="inlineStr">
        <is>
          <t>20260604800708</t>
        </is>
      </c>
      <c r="M2700" s="8">
        <f>HYPERLINK("https://dart.fss.or.kr/dsaf001/main.do?rcpNo=20260604800708", "공시열람")</f>
        <v/>
      </c>
    </row>
    <row r="2701" ht="22" customHeight="1">
      <c r="A2701" s="2" t="inlineStr">
        <is>
          <t>2026-06-04</t>
        </is>
      </c>
      <c r="B2701" s="3" t="inlineStr">
        <is>
          <t>오픈베이스</t>
        </is>
      </c>
      <c r="C2701" s="2" t="inlineStr">
        <is>
          <t>049480</t>
        </is>
      </c>
      <c r="D2701" s="2" t="inlineStr">
        <is>
          <t>대량보유</t>
        </is>
      </c>
      <c r="E2701" s="3" t="inlineStr">
        <is>
          <t>모건스탠리앤씨오인터내셔널피엘씨</t>
        </is>
      </c>
      <c r="F2701" s="3" t="inlineStr">
        <is>
          <t>특별관계자</t>
        </is>
      </c>
      <c r="G2701" s="3" t="inlineStr">
        <is>
          <t>장내매도(-), 장내매수(+)</t>
        </is>
      </c>
      <c r="H2701" s="15" t="n">
        <v>1696171</v>
      </c>
      <c r="I2701" s="6" t="n">
        <v>2435</v>
      </c>
      <c r="J2701" s="6" t="n">
        <v>1696171</v>
      </c>
      <c r="K2701" s="16" t="n">
        <v>5.4</v>
      </c>
      <c r="L2701" s="2" t="inlineStr">
        <is>
          <t>20260604000564</t>
        </is>
      </c>
      <c r="M2701" s="8">
        <f>HYPERLINK("https://dart.fss.or.kr/dsaf001/main.do?rcpNo=20260604000564", "공시열람")</f>
        <v/>
      </c>
    </row>
    <row r="2702" ht="22" customHeight="1">
      <c r="A2702" s="2" t="inlineStr">
        <is>
          <t>2026-06-04</t>
        </is>
      </c>
      <c r="B2702" s="3" t="inlineStr">
        <is>
          <t>인바디</t>
        </is>
      </c>
      <c r="C2702" s="2" t="inlineStr">
        <is>
          <t>041830</t>
        </is>
      </c>
      <c r="D2702" s="2" t="inlineStr">
        <is>
          <t>대량보유</t>
        </is>
      </c>
      <c r="E2702" s="3" t="inlineStr">
        <is>
          <t>FIDELITYFUNDS</t>
        </is>
      </c>
      <c r="F2702" s="3" t="inlineStr">
        <is>
          <t>특별관계자</t>
        </is>
      </c>
      <c r="G2702" s="3" t="inlineStr">
        <is>
          <t>장내매도(-)</t>
        </is>
      </c>
      <c r="H2702" s="17" t="n">
        <v>-140571</v>
      </c>
      <c r="I2702" s="6" t="n">
        <v>34506</v>
      </c>
      <c r="J2702" s="6" t="n">
        <v>344177</v>
      </c>
      <c r="K2702" s="16" t="n">
        <v>8</v>
      </c>
      <c r="L2702" s="2" t="inlineStr">
        <is>
          <t>20260604000561</t>
        </is>
      </c>
      <c r="M2702" s="8">
        <f>HYPERLINK("https://dart.fss.or.kr/dsaf001/main.do?rcpNo=20260604000561", "공시열람")</f>
        <v/>
      </c>
    </row>
    <row r="2703" ht="22" customHeight="1">
      <c r="A2703" s="2" t="inlineStr">
        <is>
          <t>2026-06-04</t>
        </is>
      </c>
      <c r="B2703" s="3" t="inlineStr">
        <is>
          <t>인바디</t>
        </is>
      </c>
      <c r="C2703" s="2" t="inlineStr">
        <is>
          <t>041830</t>
        </is>
      </c>
      <c r="D2703" s="2" t="inlineStr">
        <is>
          <t>대량보유</t>
        </is>
      </c>
      <c r="E2703" s="3" t="inlineStr">
        <is>
          <t>HI-KAPPA-14-SFONDS</t>
        </is>
      </c>
      <c r="F2703" s="3" t="inlineStr">
        <is>
          <t>특별관계자</t>
        </is>
      </c>
      <c r="G2703" s="3" t="inlineStr">
        <is>
          <t>장내매도(-)</t>
        </is>
      </c>
      <c r="H2703" s="17" t="n">
        <v>-1448</v>
      </c>
      <c r="I2703" s="6" t="n">
        <v>37617</v>
      </c>
      <c r="J2703" s="6" t="n">
        <v>27489</v>
      </c>
      <c r="K2703" s="16" t="n">
        <v>8</v>
      </c>
      <c r="L2703" s="2" t="inlineStr">
        <is>
          <t>20260604000561</t>
        </is>
      </c>
      <c r="M2703" s="8">
        <f>HYPERLINK("https://dart.fss.or.kr/dsaf001/main.do?rcpNo=20260604000561", "공시열람")</f>
        <v/>
      </c>
    </row>
    <row r="2704" ht="22" customHeight="1">
      <c r="A2704" s="2" t="inlineStr">
        <is>
          <t>2026-06-04</t>
        </is>
      </c>
      <c r="B2704" s="3" t="inlineStr">
        <is>
          <t>인바디</t>
        </is>
      </c>
      <c r="C2704" s="2" t="inlineStr">
        <is>
          <t>041830</t>
        </is>
      </c>
      <c r="D2704" s="2" t="inlineStr">
        <is>
          <t>대량보유</t>
        </is>
      </c>
      <c r="E2704" s="3" t="inlineStr">
        <is>
          <t>HI-SZVA-34-SFONDS</t>
        </is>
      </c>
      <c r="F2704" s="3" t="inlineStr">
        <is>
          <t>특별관계자</t>
        </is>
      </c>
      <c r="G2704" s="3" t="inlineStr">
        <is>
          <t>장내매도(-)</t>
        </is>
      </c>
      <c r="H2704" s="17" t="n">
        <v>-5213</v>
      </c>
      <c r="I2704" s="6" t="n">
        <v>29819</v>
      </c>
      <c r="J2704" s="6" t="n">
        <v>38935</v>
      </c>
      <c r="K2704" s="16" t="n">
        <v>8</v>
      </c>
      <c r="L2704" s="2" t="inlineStr">
        <is>
          <t>20260604000561</t>
        </is>
      </c>
      <c r="M2704" s="8">
        <f>HYPERLINK("https://dart.fss.or.kr/dsaf001/main.do?rcpNo=20260604000561", "공시열람")</f>
        <v/>
      </c>
    </row>
    <row r="2705" ht="22" customHeight="1">
      <c r="A2705" s="2" t="inlineStr">
        <is>
          <t>2026-06-04</t>
        </is>
      </c>
      <c r="B2705" s="3" t="inlineStr">
        <is>
          <t>인바디</t>
        </is>
      </c>
      <c r="C2705" s="2" t="inlineStr">
        <is>
          <t>041830</t>
        </is>
      </c>
      <c r="D2705" s="2" t="inlineStr">
        <is>
          <t>대량보유</t>
        </is>
      </c>
      <c r="E2705" s="3" t="inlineStr">
        <is>
          <t>NORDESTASSETMANAGEMENT</t>
        </is>
      </c>
      <c r="F2705" s="3" t="inlineStr">
        <is>
          <t>특별관계자</t>
        </is>
      </c>
      <c r="G2705" s="3" t="inlineStr">
        <is>
          <t>장내매도(-)</t>
        </is>
      </c>
      <c r="H2705" s="17" t="n">
        <v>-4574</v>
      </c>
      <c r="I2705" s="6" t="n">
        <v>43732</v>
      </c>
      <c r="J2705" s="6" t="n">
        <v>105496</v>
      </c>
      <c r="K2705" s="16" t="n">
        <v>8</v>
      </c>
      <c r="L2705" s="2" t="inlineStr">
        <is>
          <t>20260604000561</t>
        </is>
      </c>
      <c r="M2705" s="8">
        <f>HYPERLINK("https://dart.fss.or.kr/dsaf001/main.do?rcpNo=20260604000561", "공시열람")</f>
        <v/>
      </c>
    </row>
    <row r="2706" ht="22" customHeight="1">
      <c r="A2706" s="2" t="inlineStr">
        <is>
          <t>2026-06-04</t>
        </is>
      </c>
      <c r="B2706" s="3" t="inlineStr">
        <is>
          <t>GS</t>
        </is>
      </c>
      <c r="C2706" s="2" t="inlineStr">
        <is>
          <t>078930</t>
        </is>
      </c>
      <c r="D2706" s="2" t="inlineStr">
        <is>
          <t>대량보유</t>
        </is>
      </c>
      <c r="E2706" s="3" t="inlineStr">
        <is>
          <t>허창수</t>
        </is>
      </c>
      <c r="F2706" s="3" t="inlineStr">
        <is>
          <t>보고자</t>
        </is>
      </c>
      <c r="G2706" s="3" t="inlineStr">
        <is>
          <t>보유주식 등에 관한 계약 변경</t>
        </is>
      </c>
      <c r="H2706" s="6" t="inlineStr"/>
      <c r="I2706" s="6" t="inlineStr"/>
      <c r="J2706" s="6" t="n">
        <v>49682707</v>
      </c>
      <c r="K2706" s="16" t="n">
        <v>58</v>
      </c>
      <c r="L2706" s="2" t="inlineStr">
        <is>
          <t>20260604000549</t>
        </is>
      </c>
      <c r="M2706" s="8">
        <f>HYPERLINK("https://dart.fss.or.kr/dsaf001/main.do?rcpNo=20260604000549", "공시열람")</f>
        <v/>
      </c>
    </row>
    <row r="2707" ht="22" customHeight="1">
      <c r="A2707" s="2" t="inlineStr">
        <is>
          <t>2026-06-04 (정정: 2026-06-18)</t>
        </is>
      </c>
      <c r="B2707" s="3" t="inlineStr">
        <is>
          <t>HLB제약</t>
        </is>
      </c>
      <c r="C2707" s="2" t="inlineStr">
        <is>
          <t>047920</t>
        </is>
      </c>
      <c r="D2707" s="2" t="inlineStr">
        <is>
          <t>대량보유</t>
        </is>
      </c>
      <c r="E2707" s="3" t="inlineStr">
        <is>
          <t>-</t>
        </is>
      </c>
      <c r="F2707" s="3" t="inlineStr">
        <is>
          <t>보고자</t>
        </is>
      </c>
      <c r="G2707" s="3" t="inlineStr">
        <is>
          <t>-</t>
        </is>
      </c>
      <c r="H2707" s="6" t="inlineStr"/>
      <c r="I2707" s="6" t="inlineStr"/>
      <c r="J2707" s="6" t="inlineStr"/>
      <c r="K2707" s="18" t="inlineStr"/>
      <c r="L2707" s="2" t="inlineStr">
        <is>
          <t>20260618000367</t>
        </is>
      </c>
      <c r="M2707" s="8">
        <f>HYPERLINK("https://dart.fss.or.kr/dsaf001/main.do?rcpNo=20260618000367", "공시열람")</f>
        <v/>
      </c>
    </row>
    <row r="2708" ht="22" customHeight="1">
      <c r="A2708" s="2" t="inlineStr">
        <is>
          <t>2026-06-04</t>
        </is>
      </c>
      <c r="B2708" s="3" t="inlineStr">
        <is>
          <t>유안타증권</t>
        </is>
      </c>
      <c r="C2708" s="2" t="inlineStr">
        <is>
          <t>003470</t>
        </is>
      </c>
      <c r="D2708" s="2" t="inlineStr">
        <is>
          <t>임원보고</t>
        </is>
      </c>
      <c r="E2708" s="3" t="inlineStr">
        <is>
          <t>-</t>
        </is>
      </c>
      <c r="F2708" s="3" t="inlineStr">
        <is>
          <t>-</t>
        </is>
      </c>
      <c r="G2708" s="3" t="inlineStr">
        <is>
          <t>-</t>
        </is>
      </c>
      <c r="H2708" s="6" t="inlineStr"/>
      <c r="I2708" s="6" t="inlineStr"/>
      <c r="J2708" s="6" t="inlineStr"/>
      <c r="K2708" s="16" t="n">
        <v>12</v>
      </c>
      <c r="L2708" s="2" t="inlineStr">
        <is>
          <t>20260604800651</t>
        </is>
      </c>
      <c r="M2708" s="8">
        <f>HYPERLINK("https://dart.fss.or.kr/dsaf001/main.do?rcpNo=20260604800651", "공시열람")</f>
        <v/>
      </c>
    </row>
    <row r="2709" ht="22" customHeight="1">
      <c r="A2709" s="2" t="inlineStr">
        <is>
          <t>2026-06-04</t>
        </is>
      </c>
      <c r="B2709" s="3" t="inlineStr">
        <is>
          <t>SG</t>
        </is>
      </c>
      <c r="C2709" s="2" t="inlineStr">
        <is>
          <t>255220</t>
        </is>
      </c>
      <c r="D2709" s="2" t="inlineStr">
        <is>
          <t>대량보유</t>
        </is>
      </c>
      <c r="E2709" s="3" t="inlineStr">
        <is>
          <t>박창호</t>
        </is>
      </c>
      <c r="F2709" s="3" t="inlineStr">
        <is>
          <t>보고자</t>
        </is>
      </c>
      <c r="G2709" s="3" t="inlineStr">
        <is>
          <t>보유주식 등에 관한 계약 변경</t>
        </is>
      </c>
      <c r="H2709" s="6" t="inlineStr"/>
      <c r="I2709" s="6" t="inlineStr"/>
      <c r="J2709" s="6" t="n">
        <v>19565140</v>
      </c>
      <c r="K2709" s="16" t="n">
        <v>2</v>
      </c>
      <c r="L2709" s="2" t="inlineStr">
        <is>
          <t>20260604000527</t>
        </is>
      </c>
      <c r="M2709" s="8">
        <f>HYPERLINK("https://dart.fss.or.kr/dsaf001/main.do?rcpNo=20260604000527", "공시열람")</f>
        <v/>
      </c>
    </row>
    <row r="2710" ht="22" customHeight="1">
      <c r="A2710" s="2" t="inlineStr">
        <is>
          <t>2026-06-04</t>
        </is>
      </c>
      <c r="B2710" s="3" t="inlineStr">
        <is>
          <t>특수건설</t>
        </is>
      </c>
      <c r="C2710" s="2" t="inlineStr">
        <is>
          <t>026150</t>
        </is>
      </c>
      <c r="D2710" s="2" t="inlineStr">
        <is>
          <t>대량보유</t>
        </is>
      </c>
      <c r="E2710" s="3" t="inlineStr">
        <is>
          <t>(주)라이노스자산운용</t>
        </is>
      </c>
      <c r="F2710" s="3" t="inlineStr">
        <is>
          <t>특별관계자</t>
        </is>
      </c>
      <c r="G2710" s="3" t="inlineStr">
        <is>
          <t>행사가액조정, 콜옵션권리행사배정에따른주식처분(-)</t>
        </is>
      </c>
      <c r="H2710" s="17" t="n">
        <v>-177747</v>
      </c>
      <c r="I2710" s="6" t="n">
        <v>6897</v>
      </c>
      <c r="J2710" s="6" t="n">
        <v>578347</v>
      </c>
      <c r="K2710" s="16" t="n">
        <v>3</v>
      </c>
      <c r="L2710" s="2" t="inlineStr">
        <is>
          <t>20260604000509</t>
        </is>
      </c>
      <c r="M2710" s="8">
        <f>HYPERLINK("https://dart.fss.or.kr/dsaf001/main.do?rcpNo=20260604000509", "공시열람")</f>
        <v/>
      </c>
    </row>
    <row r="2711" ht="22" customHeight="1">
      <c r="A2711" s="2" t="inlineStr">
        <is>
          <t>2026-06-04</t>
        </is>
      </c>
      <c r="B2711" s="3" t="inlineStr">
        <is>
          <t>특수건설</t>
        </is>
      </c>
      <c r="C2711" s="2" t="inlineStr">
        <is>
          <t>026150</t>
        </is>
      </c>
      <c r="D2711" s="2" t="inlineStr">
        <is>
          <t>대량보유</t>
        </is>
      </c>
      <c r="E2711" s="3" t="inlineStr">
        <is>
          <t>제이비-라이노스메자닌신기술사업투자조합</t>
        </is>
      </c>
      <c r="F2711" s="3" t="inlineStr">
        <is>
          <t>특별관계자</t>
        </is>
      </c>
      <c r="G2711" s="3" t="inlineStr">
        <is>
          <t>행사가액조정, 콜옵션권리행사배정에따른주식처분(-)</t>
        </is>
      </c>
      <c r="H2711" s="17" t="n">
        <v>-67421</v>
      </c>
      <c r="I2711" s="6" t="n">
        <v>6897</v>
      </c>
      <c r="J2711" s="6" t="n">
        <v>219373</v>
      </c>
      <c r="K2711" s="16" t="n">
        <v>3</v>
      </c>
      <c r="L2711" s="2" t="inlineStr">
        <is>
          <t>20260604000509</t>
        </is>
      </c>
      <c r="M2711" s="8">
        <f>HYPERLINK("https://dart.fss.or.kr/dsaf001/main.do?rcpNo=20260604000509", "공시열람")</f>
        <v/>
      </c>
    </row>
    <row r="2712" ht="22" customHeight="1">
      <c r="A2712" s="2" t="inlineStr">
        <is>
          <t>2026-06-04</t>
        </is>
      </c>
      <c r="B2712" s="3" t="inlineStr">
        <is>
          <t>특수건설</t>
        </is>
      </c>
      <c r="C2712" s="2" t="inlineStr">
        <is>
          <t>026150</t>
        </is>
      </c>
      <c r="D2712" s="2" t="inlineStr">
        <is>
          <t>대량보유</t>
        </is>
      </c>
      <c r="E2712" s="3" t="inlineStr">
        <is>
          <t>삼성-라이노스메자닌신기술사업투자조합제1호</t>
        </is>
      </c>
      <c r="F2712" s="3" t="inlineStr">
        <is>
          <t>특별관계자</t>
        </is>
      </c>
      <c r="G2712" s="3" t="inlineStr">
        <is>
          <t>행사가액조정, 콜옵션권리행사배정에따른주식처분(-)</t>
        </is>
      </c>
      <c r="H2712" s="17" t="n">
        <v>-61292</v>
      </c>
      <c r="I2712" s="6" t="n">
        <v>6897</v>
      </c>
      <c r="J2712" s="6" t="n">
        <v>199430</v>
      </c>
      <c r="K2712" s="16" t="n">
        <v>3</v>
      </c>
      <c r="L2712" s="2" t="inlineStr">
        <is>
          <t>20260604000509</t>
        </is>
      </c>
      <c r="M2712" s="8">
        <f>HYPERLINK("https://dart.fss.or.kr/dsaf001/main.do?rcpNo=20260604000509", "공시열람")</f>
        <v/>
      </c>
    </row>
    <row r="2713" ht="22" customHeight="1">
      <c r="A2713" s="2" t="inlineStr">
        <is>
          <t>2026-06-04</t>
        </is>
      </c>
      <c r="B2713" s="3" t="inlineStr">
        <is>
          <t>삼양식품</t>
        </is>
      </c>
      <c r="C2713" s="2" t="inlineStr">
        <is>
          <t>003230</t>
        </is>
      </c>
      <c r="D2713" s="2" t="inlineStr">
        <is>
          <t>대량보유</t>
        </is>
      </c>
      <c r="E2713" s="3" t="inlineStr">
        <is>
          <t>삼양라운드스퀘어(주)</t>
        </is>
      </c>
      <c r="F2713" s="3" t="inlineStr">
        <is>
          <t>보고자</t>
        </is>
      </c>
      <c r="G2713" s="3" t="inlineStr">
        <is>
          <t>주식담보계약 및 주식증여계약 체결</t>
        </is>
      </c>
      <c r="H2713" s="6" t="inlineStr"/>
      <c r="I2713" s="6" t="inlineStr"/>
      <c r="J2713" s="6" t="n">
        <v>3388417</v>
      </c>
      <c r="K2713" s="16" t="n">
        <v>7</v>
      </c>
      <c r="L2713" s="2" t="inlineStr">
        <is>
          <t>20260604000508</t>
        </is>
      </c>
      <c r="M2713" s="8">
        <f>HYPERLINK("https://dart.fss.or.kr/dsaf001/main.do?rcpNo=20260604000508", "공시열람")</f>
        <v/>
      </c>
    </row>
    <row r="2714" ht="22" customHeight="1">
      <c r="A2714" s="2" t="inlineStr">
        <is>
          <t>2026-06-04</t>
        </is>
      </c>
      <c r="B2714" s="3" t="inlineStr">
        <is>
          <t>자연과환경</t>
        </is>
      </c>
      <c r="C2714" s="2" t="inlineStr">
        <is>
          <t>043910</t>
        </is>
      </c>
      <c r="D2714" s="2" t="inlineStr">
        <is>
          <t>대량보유</t>
        </is>
      </c>
      <c r="E2714" s="3" t="inlineStr">
        <is>
          <t>(주)데이터테크놀로지</t>
        </is>
      </c>
      <c r="F2714" s="3" t="inlineStr">
        <is>
          <t>특별관계자</t>
        </is>
      </c>
      <c r="G2714" s="3" t="inlineStr">
        <is>
          <t>장내매수(+), 주식병합, 행사가액조정</t>
        </is>
      </c>
      <c r="H2714" s="17" t="n">
        <v>-8397249</v>
      </c>
      <c r="I2714" s="6" t="n">
        <v>524</v>
      </c>
      <c r="J2714" s="6" t="n">
        <v>603685</v>
      </c>
      <c r="K2714" s="16" t="n">
        <v>2</v>
      </c>
      <c r="L2714" s="2" t="inlineStr">
        <is>
          <t>20260604000493</t>
        </is>
      </c>
      <c r="M2714" s="8">
        <f>HYPERLINK("https://dart.fss.or.kr/dsaf001/main.do?rcpNo=20260604000493", "공시열람")</f>
        <v/>
      </c>
    </row>
    <row r="2715" ht="22" customHeight="1">
      <c r="A2715" s="2" t="inlineStr">
        <is>
          <t>2026-06-04</t>
        </is>
      </c>
      <c r="B2715" s="3" t="inlineStr">
        <is>
          <t>자연과환경</t>
        </is>
      </c>
      <c r="C2715" s="2" t="inlineStr">
        <is>
          <t>043910</t>
        </is>
      </c>
      <c r="D2715" s="2" t="inlineStr">
        <is>
          <t>대량보유</t>
        </is>
      </c>
      <c r="E2715" s="3" t="inlineStr">
        <is>
          <t>이병용</t>
        </is>
      </c>
      <c r="F2715" s="3" t="inlineStr">
        <is>
          <t>특별관계자</t>
        </is>
      </c>
      <c r="G2715" s="3" t="inlineStr">
        <is>
          <t>장내매수(+), 주식병합</t>
        </is>
      </c>
      <c r="H2715" s="17" t="n">
        <v>-2938831</v>
      </c>
      <c r="I2715" s="6" t="n">
        <v>40</v>
      </c>
      <c r="J2715" s="6" t="n">
        <v>358903</v>
      </c>
      <c r="K2715" s="16" t="n">
        <v>2</v>
      </c>
      <c r="L2715" s="2" t="inlineStr">
        <is>
          <t>20260604000493</t>
        </is>
      </c>
      <c r="M2715" s="8">
        <f>HYPERLINK("https://dart.fss.or.kr/dsaf001/main.do?rcpNo=20260604000493", "공시열람")</f>
        <v/>
      </c>
    </row>
    <row r="2716" ht="22" customHeight="1">
      <c r="A2716" s="2" t="inlineStr">
        <is>
          <t>2026-06-04</t>
        </is>
      </c>
      <c r="B2716" s="3" t="inlineStr">
        <is>
          <t>자연과환경</t>
        </is>
      </c>
      <c r="C2716" s="2" t="inlineStr">
        <is>
          <t>043910</t>
        </is>
      </c>
      <c r="D2716" s="2" t="inlineStr">
        <is>
          <t>대량보유</t>
        </is>
      </c>
      <c r="E2716" s="3" t="inlineStr">
        <is>
          <t>정은진</t>
        </is>
      </c>
      <c r="F2716" s="3" t="inlineStr">
        <is>
          <t>특별관계자</t>
        </is>
      </c>
      <c r="G2716" s="3" t="inlineStr">
        <is>
          <t>주식병합</t>
        </is>
      </c>
      <c r="H2716" s="17" t="n">
        <v>-924691</v>
      </c>
      <c r="I2716" s="6" t="n">
        <v>0</v>
      </c>
      <c r="J2716" s="6" t="n">
        <v>102743</v>
      </c>
      <c r="K2716" s="16" t="n">
        <v>2</v>
      </c>
      <c r="L2716" s="2" t="inlineStr">
        <is>
          <t>20260604000493</t>
        </is>
      </c>
      <c r="M2716" s="8">
        <f>HYPERLINK("https://dart.fss.or.kr/dsaf001/main.do?rcpNo=20260604000493", "공시열람")</f>
        <v/>
      </c>
    </row>
    <row r="2717" ht="22" customHeight="1">
      <c r="A2717" s="2" t="inlineStr">
        <is>
          <t>2026-06-04</t>
        </is>
      </c>
      <c r="B2717" s="3" t="inlineStr">
        <is>
          <t>제테마</t>
        </is>
      </c>
      <c r="C2717" s="2" t="inlineStr">
        <is>
          <t>216080</t>
        </is>
      </c>
      <c r="D2717" s="2" t="inlineStr">
        <is>
          <t>대량보유</t>
        </is>
      </c>
      <c r="E2717" s="3" t="inlineStr">
        <is>
          <t>정하종</t>
        </is>
      </c>
      <c r="F2717" s="3" t="inlineStr">
        <is>
          <t>특별관계자</t>
        </is>
      </c>
      <c r="G2717" s="3" t="inlineStr">
        <is>
          <t>주식매수선택권행사(+), 기타(-)</t>
        </is>
      </c>
      <c r="H2717" s="6" t="inlineStr"/>
      <c r="I2717" s="6" t="inlineStr"/>
      <c r="J2717" s="6" t="n">
        <v>40000</v>
      </c>
      <c r="K2717" s="16" t="n">
        <v>17</v>
      </c>
      <c r="L2717" s="2" t="inlineStr">
        <is>
          <t>20260604000483</t>
        </is>
      </c>
      <c r="M2717" s="8">
        <f>HYPERLINK("https://dart.fss.or.kr/dsaf001/main.do?rcpNo=20260604000483", "공시열람")</f>
        <v/>
      </c>
    </row>
    <row r="2718" ht="22" customHeight="1">
      <c r="A2718" s="2" t="inlineStr">
        <is>
          <t>2026-06-04</t>
        </is>
      </c>
      <c r="B2718" s="3" t="inlineStr">
        <is>
          <t>제테마</t>
        </is>
      </c>
      <c r="C2718" s="2" t="inlineStr">
        <is>
          <t>216080</t>
        </is>
      </c>
      <c r="D2718" s="2" t="inlineStr">
        <is>
          <t>대량보유</t>
        </is>
      </c>
      <c r="E2718" s="3" t="inlineStr">
        <is>
          <t>정영춘</t>
        </is>
      </c>
      <c r="F2718" s="3" t="inlineStr">
        <is>
          <t>특별관계자</t>
        </is>
      </c>
      <c r="G2718" s="3" t="inlineStr">
        <is>
          <t>주식매수선택권부여취소(-)</t>
        </is>
      </c>
      <c r="H2718" s="17" t="n">
        <v>-16000</v>
      </c>
      <c r="I2718" s="6" t="inlineStr"/>
      <c r="J2718" s="6" t="inlineStr"/>
      <c r="K2718" s="16" t="n">
        <v>17</v>
      </c>
      <c r="L2718" s="2" t="inlineStr">
        <is>
          <t>20260604000483</t>
        </is>
      </c>
      <c r="M2718" s="8">
        <f>HYPERLINK("https://dart.fss.or.kr/dsaf001/main.do?rcpNo=20260604000483", "공시열람")</f>
        <v/>
      </c>
    </row>
    <row r="2719" ht="22" customHeight="1">
      <c r="A2719" s="2" t="inlineStr">
        <is>
          <t>2026-06-04</t>
        </is>
      </c>
      <c r="B2719" s="3" t="inlineStr">
        <is>
          <t>엘엠에스</t>
        </is>
      </c>
      <c r="C2719" s="2" t="inlineStr">
        <is>
          <t>073110</t>
        </is>
      </c>
      <c r="D2719" s="2" t="inlineStr">
        <is>
          <t>대량보유</t>
        </is>
      </c>
      <c r="E2719" s="3" t="inlineStr">
        <is>
          <t>(주)나노머티리얼즈</t>
        </is>
      </c>
      <c r="F2719" s="3" t="inlineStr">
        <is>
          <t>특별관계자</t>
        </is>
      </c>
      <c r="G2719" s="3" t="inlineStr">
        <is>
          <t>장내매수(+)</t>
        </is>
      </c>
      <c r="H2719" s="15" t="n">
        <v>187366</v>
      </c>
      <c r="I2719" s="6" t="n">
        <v>5984</v>
      </c>
      <c r="J2719" s="6" t="n">
        <v>755531</v>
      </c>
      <c r="K2719" s="16" t="n">
        <v>5</v>
      </c>
      <c r="L2719" s="2" t="inlineStr">
        <is>
          <t>20260604000477</t>
        </is>
      </c>
      <c r="M2719" s="8">
        <f>HYPERLINK("https://dart.fss.or.kr/dsaf001/main.do?rcpNo=20260604000477", "공시열람")</f>
        <v/>
      </c>
    </row>
    <row r="2720" ht="22" customHeight="1">
      <c r="A2720" s="2" t="inlineStr">
        <is>
          <t>2026-06-04</t>
        </is>
      </c>
      <c r="B2720" s="3" t="inlineStr">
        <is>
          <t>위메이드</t>
        </is>
      </c>
      <c r="C2720" s="2" t="inlineStr">
        <is>
          <t>112040</t>
        </is>
      </c>
      <c r="D2720" s="2" t="inlineStr">
        <is>
          <t>대량보유</t>
        </is>
      </c>
      <c r="E2720" s="3" t="inlineStr">
        <is>
          <t>박관호</t>
        </is>
      </c>
      <c r="F2720" s="3" t="inlineStr">
        <is>
          <t>보고자</t>
        </is>
      </c>
      <c r="G2720" s="3" t="inlineStr">
        <is>
          <t>- 기존 보유주식등에 대한 담보계약 만기 연장</t>
        </is>
      </c>
      <c r="H2720" s="6" t="inlineStr"/>
      <c r="I2720" s="6" t="inlineStr"/>
      <c r="J2720" s="6" t="n">
        <v>13412580</v>
      </c>
      <c r="K2720" s="16" t="n">
        <v>3</v>
      </c>
      <c r="L2720" s="2" t="inlineStr">
        <is>
          <t>20260604000464</t>
        </is>
      </c>
      <c r="M2720" s="8">
        <f>HYPERLINK("https://dart.fss.or.kr/dsaf001/main.do?rcpNo=20260604000464", "공시열람")</f>
        <v/>
      </c>
    </row>
    <row r="2721" ht="22" customHeight="1">
      <c r="A2721" s="2" t="inlineStr">
        <is>
          <t>2026-06-04</t>
        </is>
      </c>
      <c r="B2721" s="3" t="inlineStr">
        <is>
          <t>iM금융지주</t>
        </is>
      </c>
      <c r="C2721" s="2" t="inlineStr">
        <is>
          <t>139130</t>
        </is>
      </c>
      <c r="D2721" s="2" t="inlineStr">
        <is>
          <t>임원보고</t>
        </is>
      </c>
      <c r="E2721" s="3" t="inlineStr">
        <is>
          <t>-</t>
        </is>
      </c>
      <c r="F2721" s="3" t="inlineStr">
        <is>
          <t>-</t>
        </is>
      </c>
      <c r="G2721" s="3" t="inlineStr">
        <is>
          <t>-</t>
        </is>
      </c>
      <c r="H2721" s="6" t="inlineStr"/>
      <c r="I2721" s="6" t="inlineStr"/>
      <c r="J2721" s="6" t="inlineStr"/>
      <c r="K2721" s="16" t="n">
        <v>12</v>
      </c>
      <c r="L2721" s="2" t="inlineStr">
        <is>
          <t>20260604800575</t>
        </is>
      </c>
      <c r="M2721" s="8">
        <f>HYPERLINK("https://dart.fss.or.kr/dsaf001/main.do?rcpNo=20260604800575", "공시열람")</f>
        <v/>
      </c>
    </row>
    <row r="2722" ht="22" customHeight="1">
      <c r="A2722" s="2" t="inlineStr">
        <is>
          <t>2026-06-04</t>
        </is>
      </c>
      <c r="B2722" s="3" t="inlineStr">
        <is>
          <t>HD현대마린엔진</t>
        </is>
      </c>
      <c r="C2722" s="2" t="inlineStr">
        <is>
          <t>071970</t>
        </is>
      </c>
      <c r="D2722" s="2" t="inlineStr">
        <is>
          <t>대량보유</t>
        </is>
      </c>
      <c r="E2722" s="3" t="inlineStr">
        <is>
          <t>유정대</t>
        </is>
      </c>
      <c r="F2722" s="3" t="inlineStr">
        <is>
          <t>특별관계자</t>
        </is>
      </c>
      <c r="G2722" s="3" t="inlineStr">
        <is>
          <t>장내매수(+)</t>
        </is>
      </c>
      <c r="H2722" s="15" t="n">
        <v>1000</v>
      </c>
      <c r="I2722" s="6" t="n">
        <v>70080</v>
      </c>
      <c r="J2722" s="6" t="n">
        <v>1000</v>
      </c>
      <c r="K2722" s="16" t="n">
        <v>4</v>
      </c>
      <c r="L2722" s="2" t="inlineStr">
        <is>
          <t>20260604000460</t>
        </is>
      </c>
      <c r="M2722" s="8">
        <f>HYPERLINK("https://dart.fss.or.kr/dsaf001/main.do?rcpNo=20260604000460", "공시열람")</f>
        <v/>
      </c>
    </row>
    <row r="2723" ht="22" customHeight="1">
      <c r="A2723" s="2" t="inlineStr">
        <is>
          <t>2026-06-04</t>
        </is>
      </c>
      <c r="B2723" s="3" t="inlineStr">
        <is>
          <t>알에프텍</t>
        </is>
      </c>
      <c r="C2723" s="2" t="inlineStr">
        <is>
          <t>061040</t>
        </is>
      </c>
      <c r="D2723" s="2" t="inlineStr">
        <is>
          <t>대량보유</t>
        </is>
      </c>
      <c r="E2723" s="3" t="inlineStr">
        <is>
          <t>오성첨단소재㈜</t>
        </is>
      </c>
      <c r="F2723" s="3" t="inlineStr">
        <is>
          <t>특별관계자</t>
        </is>
      </c>
      <c r="G2723" s="3" t="inlineStr">
        <is>
          <t>주식병합</t>
        </is>
      </c>
      <c r="H2723" s="17" t="n">
        <v>-11024366</v>
      </c>
      <c r="I2723" s="6" t="inlineStr"/>
      <c r="J2723" s="6" t="n">
        <v>2756091</v>
      </c>
      <c r="K2723" s="16" t="n">
        <v>1</v>
      </c>
      <c r="L2723" s="2" t="inlineStr">
        <is>
          <t>20260604000441</t>
        </is>
      </c>
      <c r="M2723" s="8">
        <f>HYPERLINK("https://dart.fss.or.kr/dsaf001/main.do?rcpNo=20260604000441", "공시열람")</f>
        <v/>
      </c>
    </row>
    <row r="2724" ht="22" customHeight="1">
      <c r="A2724" s="2" t="inlineStr">
        <is>
          <t>2026-06-04</t>
        </is>
      </c>
      <c r="B2724" s="3" t="inlineStr">
        <is>
          <t>알에프텍</t>
        </is>
      </c>
      <c r="C2724" s="2" t="inlineStr">
        <is>
          <t>061040</t>
        </is>
      </c>
      <c r="D2724" s="2" t="inlineStr">
        <is>
          <t>대량보유</t>
        </is>
      </c>
      <c r="E2724" s="3" t="inlineStr">
        <is>
          <t>나디아신기술조합제68호</t>
        </is>
      </c>
      <c r="F2724" s="3" t="inlineStr">
        <is>
          <t>특별관계자</t>
        </is>
      </c>
      <c r="G2724" s="3" t="inlineStr">
        <is>
          <t>주식병합</t>
        </is>
      </c>
      <c r="H2724" s="17" t="n">
        <v>-3433476</v>
      </c>
      <c r="I2724" s="6" t="inlineStr"/>
      <c r="J2724" s="6" t="n">
        <v>858369</v>
      </c>
      <c r="K2724" s="16" t="n">
        <v>1</v>
      </c>
      <c r="L2724" s="2" t="inlineStr">
        <is>
          <t>20260604000441</t>
        </is>
      </c>
      <c r="M2724" s="8">
        <f>HYPERLINK("https://dart.fss.or.kr/dsaf001/main.do?rcpNo=20260604000441", "공시열람")</f>
        <v/>
      </c>
    </row>
    <row r="2725" ht="22" customHeight="1">
      <c r="A2725" s="2" t="inlineStr">
        <is>
          <t>2026-06-04</t>
        </is>
      </c>
      <c r="B2725" s="3" t="inlineStr">
        <is>
          <t>카페24</t>
        </is>
      </c>
      <c r="C2725" s="2" t="inlineStr">
        <is>
          <t>042000</t>
        </is>
      </c>
      <c r="D2725" s="2" t="inlineStr">
        <is>
          <t>대량보유</t>
        </is>
      </c>
      <c r="E2725" s="3" t="inlineStr">
        <is>
          <t>백서기</t>
        </is>
      </c>
      <c r="F2725" s="3" t="inlineStr">
        <is>
          <t>특별관계자</t>
        </is>
      </c>
      <c r="G2725" s="3" t="inlineStr">
        <is>
          <t>장내매도(-)</t>
        </is>
      </c>
      <c r="H2725" s="17" t="n">
        <v>-2720</v>
      </c>
      <c r="I2725" s="6" t="n">
        <v>20437</v>
      </c>
      <c r="J2725" s="6" t="n">
        <v>50000</v>
      </c>
      <c r="K2725" s="16" t="n">
        <v>12</v>
      </c>
      <c r="L2725" s="2" t="inlineStr">
        <is>
          <t>20260604000438</t>
        </is>
      </c>
      <c r="M2725" s="8">
        <f>HYPERLINK("https://dart.fss.or.kr/dsaf001/main.do?rcpNo=20260604000438", "공시열람")</f>
        <v/>
      </c>
    </row>
    <row r="2726" ht="22" customHeight="1">
      <c r="A2726" s="2" t="inlineStr">
        <is>
          <t>2026-06-04</t>
        </is>
      </c>
      <c r="B2726" s="3" t="inlineStr">
        <is>
          <t>모다이노칩</t>
        </is>
      </c>
      <c r="C2726" s="2" t="inlineStr">
        <is>
          <t>080420</t>
        </is>
      </c>
      <c r="D2726" s="2" t="inlineStr">
        <is>
          <t>대량보유</t>
        </is>
      </c>
      <c r="E2726" s="3" t="inlineStr">
        <is>
          <t>(주)대명화학</t>
        </is>
      </c>
      <c r="F2726" s="3" t="inlineStr">
        <is>
          <t>보고자</t>
        </is>
      </c>
      <c r="G2726" s="3" t="inlineStr">
        <is>
          <t>[변경] 주식담보계약 등의 주요계약 일부변경(만기연장)</t>
        </is>
      </c>
      <c r="H2726" s="6" t="inlineStr"/>
      <c r="I2726" s="6" t="inlineStr"/>
      <c r="J2726" s="6" t="n">
        <v>60344962</v>
      </c>
      <c r="K2726" s="16" t="n">
        <v>1</v>
      </c>
      <c r="L2726" s="2" t="inlineStr">
        <is>
          <t>20260604000421</t>
        </is>
      </c>
      <c r="M2726" s="8">
        <f>HYPERLINK("https://dart.fss.or.kr/dsaf001/main.do?rcpNo=20260604000421", "공시열람")</f>
        <v/>
      </c>
    </row>
    <row r="2727" ht="22" customHeight="1">
      <c r="A2727" s="2" t="inlineStr">
        <is>
          <t>2026-06-04</t>
        </is>
      </c>
      <c r="B2727" s="3" t="inlineStr">
        <is>
          <t>라온피플</t>
        </is>
      </c>
      <c r="C2727" s="2" t="inlineStr">
        <is>
          <t>300120</t>
        </is>
      </c>
      <c r="D2727" s="2" t="inlineStr">
        <is>
          <t>대량보유</t>
        </is>
      </c>
      <c r="E2727" s="3" t="inlineStr">
        <is>
          <t>이석중</t>
        </is>
      </c>
      <c r="F2727" s="3" t="inlineStr">
        <is>
          <t>특별관계자</t>
        </is>
      </c>
      <c r="G2727" s="3" t="inlineStr">
        <is>
          <t>무상신주취득(+)</t>
        </is>
      </c>
      <c r="H2727" s="15" t="n">
        <v>4029928</v>
      </c>
      <c r="I2727" s="6" t="inlineStr"/>
      <c r="J2727" s="6" t="n">
        <v>14104748</v>
      </c>
      <c r="K2727" s="16" t="n">
        <v>5</v>
      </c>
      <c r="L2727" s="2" t="inlineStr">
        <is>
          <t>20260604000412</t>
        </is>
      </c>
      <c r="M2727" s="8">
        <f>HYPERLINK("https://dart.fss.or.kr/dsaf001/main.do?rcpNo=20260604000412", "공시열람")</f>
        <v/>
      </c>
    </row>
    <row r="2728" ht="22" customHeight="1">
      <c r="A2728" s="2" t="inlineStr">
        <is>
          <t>2026-06-04</t>
        </is>
      </c>
      <c r="B2728" s="3" t="inlineStr">
        <is>
          <t>라온피플</t>
        </is>
      </c>
      <c r="C2728" s="2" t="inlineStr">
        <is>
          <t>300120</t>
        </is>
      </c>
      <c r="D2728" s="2" t="inlineStr">
        <is>
          <t>대량보유</t>
        </is>
      </c>
      <c r="E2728" s="3" t="inlineStr">
        <is>
          <t>노소라</t>
        </is>
      </c>
      <c r="F2728" s="3" t="inlineStr">
        <is>
          <t>특별관계자</t>
        </is>
      </c>
      <c r="G2728" s="3" t="inlineStr">
        <is>
          <t>무상신주취득(+)</t>
        </is>
      </c>
      <c r="H2728" s="15" t="n">
        <v>400000</v>
      </c>
      <c r="I2728" s="6" t="inlineStr"/>
      <c r="J2728" s="6" t="n">
        <v>1400000</v>
      </c>
      <c r="K2728" s="16" t="n">
        <v>5</v>
      </c>
      <c r="L2728" s="2" t="inlineStr">
        <is>
          <t>20260604000412</t>
        </is>
      </c>
      <c r="M2728" s="8">
        <f>HYPERLINK("https://dart.fss.or.kr/dsaf001/main.do?rcpNo=20260604000412", "공시열람")</f>
        <v/>
      </c>
    </row>
    <row r="2729" ht="22" customHeight="1">
      <c r="A2729" s="2" t="inlineStr">
        <is>
          <t>2026-06-04</t>
        </is>
      </c>
      <c r="B2729" s="3" t="inlineStr">
        <is>
          <t>라온피플</t>
        </is>
      </c>
      <c r="C2729" s="2" t="inlineStr">
        <is>
          <t>300120</t>
        </is>
      </c>
      <c r="D2729" s="2" t="inlineStr">
        <is>
          <t>대량보유</t>
        </is>
      </c>
      <c r="E2729" s="3" t="inlineStr">
        <is>
          <t>노의섭</t>
        </is>
      </c>
      <c r="F2729" s="3" t="inlineStr">
        <is>
          <t>특별관계자</t>
        </is>
      </c>
      <c r="G2729" s="3" t="inlineStr">
        <is>
          <t>무상신주취득(+)</t>
        </is>
      </c>
      <c r="H2729" s="15" t="n">
        <v>1600</v>
      </c>
      <c r="I2729" s="6" t="inlineStr"/>
      <c r="J2729" s="6" t="n">
        <v>5600</v>
      </c>
      <c r="K2729" s="16" t="n">
        <v>5</v>
      </c>
      <c r="L2729" s="2" t="inlineStr">
        <is>
          <t>20260604000412</t>
        </is>
      </c>
      <c r="M2729" s="8">
        <f>HYPERLINK("https://dart.fss.or.kr/dsaf001/main.do?rcpNo=20260604000412", "공시열람")</f>
        <v/>
      </c>
    </row>
    <row r="2730" ht="22" customHeight="1">
      <c r="A2730" s="2" t="inlineStr">
        <is>
          <t>2026-06-04</t>
        </is>
      </c>
      <c r="B2730" s="3" t="inlineStr">
        <is>
          <t>라온피플</t>
        </is>
      </c>
      <c r="C2730" s="2" t="inlineStr">
        <is>
          <t>300120</t>
        </is>
      </c>
      <c r="D2730" s="2" t="inlineStr">
        <is>
          <t>대량보유</t>
        </is>
      </c>
      <c r="E2730" s="3" t="inlineStr">
        <is>
          <t>윤기욱</t>
        </is>
      </c>
      <c r="F2730" s="3" t="inlineStr">
        <is>
          <t>특별관계자</t>
        </is>
      </c>
      <c r="G2730" s="3" t="inlineStr">
        <is>
          <t>무상신주취득(+), 장내매수(+)</t>
        </is>
      </c>
      <c r="H2730" s="15" t="n">
        <v>81985</v>
      </c>
      <c r="I2730" s="6" t="n">
        <v>658</v>
      </c>
      <c r="J2730" s="6" t="n">
        <v>129448</v>
      </c>
      <c r="K2730" s="16" t="n">
        <v>5</v>
      </c>
      <c r="L2730" s="2" t="inlineStr">
        <is>
          <t>20260604000412</t>
        </is>
      </c>
      <c r="M2730" s="8">
        <f>HYPERLINK("https://dart.fss.or.kr/dsaf001/main.do?rcpNo=20260604000412", "공시열람")</f>
        <v/>
      </c>
    </row>
    <row r="2731" ht="22" customHeight="1">
      <c r="A2731" s="2" t="inlineStr">
        <is>
          <t>2026-06-04</t>
        </is>
      </c>
      <c r="B2731" s="3" t="inlineStr">
        <is>
          <t>라온피플</t>
        </is>
      </c>
      <c r="C2731" s="2" t="inlineStr">
        <is>
          <t>300120</t>
        </is>
      </c>
      <c r="D2731" s="2" t="inlineStr">
        <is>
          <t>대량보유</t>
        </is>
      </c>
      <c r="E2731" s="3" t="inlineStr">
        <is>
          <t>정은정</t>
        </is>
      </c>
      <c r="F2731" s="3" t="inlineStr">
        <is>
          <t>특별관계자</t>
        </is>
      </c>
      <c r="G2731" s="3" t="inlineStr">
        <is>
          <t>장내매수(+)</t>
        </is>
      </c>
      <c r="H2731" s="15" t="n">
        <v>31000</v>
      </c>
      <c r="I2731" s="6" t="n">
        <v>677</v>
      </c>
      <c r="J2731" s="6" t="n">
        <v>31000</v>
      </c>
      <c r="K2731" s="16" t="n">
        <v>5</v>
      </c>
      <c r="L2731" s="2" t="inlineStr">
        <is>
          <t>20260604000412</t>
        </is>
      </c>
      <c r="M2731" s="8">
        <f>HYPERLINK("https://dart.fss.or.kr/dsaf001/main.do?rcpNo=20260604000412", "공시열람")</f>
        <v/>
      </c>
    </row>
    <row r="2732" ht="22" customHeight="1">
      <c r="A2732" s="2" t="inlineStr">
        <is>
          <t>2026-06-04</t>
        </is>
      </c>
      <c r="B2732" s="3" t="inlineStr">
        <is>
          <t>라온피플</t>
        </is>
      </c>
      <c r="C2732" s="2" t="inlineStr">
        <is>
          <t>300120</t>
        </is>
      </c>
      <c r="D2732" s="2" t="inlineStr">
        <is>
          <t>대량보유</t>
        </is>
      </c>
      <c r="E2732" s="3" t="inlineStr">
        <is>
          <t>이지아</t>
        </is>
      </c>
      <c r="F2732" s="3" t="inlineStr">
        <is>
          <t>특별관계자</t>
        </is>
      </c>
      <c r="G2732" s="3" t="inlineStr">
        <is>
          <t>장내매수(+)</t>
        </is>
      </c>
      <c r="H2732" s="15" t="n">
        <v>31650</v>
      </c>
      <c r="I2732" s="6" t="n">
        <v>632</v>
      </c>
      <c r="J2732" s="6" t="n">
        <v>31650</v>
      </c>
      <c r="K2732" s="16" t="n">
        <v>5</v>
      </c>
      <c r="L2732" s="2" t="inlineStr">
        <is>
          <t>20260604000412</t>
        </is>
      </c>
      <c r="M2732" s="8">
        <f>HYPERLINK("https://dart.fss.or.kr/dsaf001/main.do?rcpNo=20260604000412", "공시열람")</f>
        <v/>
      </c>
    </row>
    <row r="2733" ht="22" customHeight="1">
      <c r="A2733" s="2" t="inlineStr">
        <is>
          <t>2026-06-04</t>
        </is>
      </c>
      <c r="B2733" s="3" t="inlineStr">
        <is>
          <t>해성에어로보틱스</t>
        </is>
      </c>
      <c r="C2733" s="2" t="inlineStr">
        <is>
          <t>059270</t>
        </is>
      </c>
      <c r="D2733" s="2" t="inlineStr">
        <is>
          <t>대량보유</t>
        </is>
      </c>
      <c r="E2733" s="3" t="inlineStr">
        <is>
          <t>(주)상상인저축은행</t>
        </is>
      </c>
      <c r="F2733" s="3" t="inlineStr">
        <is>
          <t>특별관계자</t>
        </is>
      </c>
      <c r="G2733" s="3" t="inlineStr">
        <is>
          <t>CB인수(+)</t>
        </is>
      </c>
      <c r="H2733" s="15" t="n">
        <v>1159196</v>
      </c>
      <c r="I2733" s="6" t="n">
        <v>10352</v>
      </c>
      <c r="J2733" s="6" t="n">
        <v>1159196</v>
      </c>
      <c r="K2733" s="16" t="n">
        <v>3</v>
      </c>
      <c r="L2733" s="2" t="inlineStr">
        <is>
          <t>20260604000387</t>
        </is>
      </c>
      <c r="M2733" s="8">
        <f>HYPERLINK("https://dart.fss.or.kr/dsaf001/main.do?rcpNo=20260604000387", "공시열람")</f>
        <v/>
      </c>
    </row>
    <row r="2734" ht="22" customHeight="1">
      <c r="A2734" s="2" t="inlineStr">
        <is>
          <t>2026-06-04</t>
        </is>
      </c>
      <c r="B2734" s="3" t="inlineStr">
        <is>
          <t>해성에어로보틱스</t>
        </is>
      </c>
      <c r="C2734" s="2" t="inlineStr">
        <is>
          <t>059270</t>
        </is>
      </c>
      <c r="D2734" s="2" t="inlineStr">
        <is>
          <t>대량보유</t>
        </is>
      </c>
      <c r="E2734" s="3" t="inlineStr">
        <is>
          <t>(주)상상인플러스저축은행</t>
        </is>
      </c>
      <c r="F2734" s="3" t="inlineStr">
        <is>
          <t>특별관계자</t>
        </is>
      </c>
      <c r="G2734" s="3" t="inlineStr">
        <is>
          <t>CB인수(+)</t>
        </is>
      </c>
      <c r="H2734" s="15" t="n">
        <v>579598</v>
      </c>
      <c r="I2734" s="6" t="n">
        <v>10352</v>
      </c>
      <c r="J2734" s="6" t="n">
        <v>579598</v>
      </c>
      <c r="K2734" s="16" t="n">
        <v>3</v>
      </c>
      <c r="L2734" s="2" t="inlineStr">
        <is>
          <t>20260604000387</t>
        </is>
      </c>
      <c r="M2734" s="8">
        <f>HYPERLINK("https://dart.fss.or.kr/dsaf001/main.do?rcpNo=20260604000387", "공시열람")</f>
        <v/>
      </c>
    </row>
    <row r="2735" ht="22" customHeight="1">
      <c r="A2735" s="2" t="inlineStr">
        <is>
          <t>2026-06-04</t>
        </is>
      </c>
      <c r="B2735" s="3" t="inlineStr">
        <is>
          <t>해성에어로보틱스</t>
        </is>
      </c>
      <c r="C2735" s="2" t="inlineStr">
        <is>
          <t>059270</t>
        </is>
      </c>
      <c r="D2735" s="2" t="inlineStr">
        <is>
          <t>대량보유</t>
        </is>
      </c>
      <c r="E2735" s="3" t="inlineStr">
        <is>
          <t>(주)상상인증권</t>
        </is>
      </c>
      <c r="F2735" s="3" t="inlineStr">
        <is>
          <t>특별관계자</t>
        </is>
      </c>
      <c r="G2735" s="3" t="inlineStr">
        <is>
          <t>CB인수(+)</t>
        </is>
      </c>
      <c r="H2735" s="15" t="n">
        <v>193199</v>
      </c>
      <c r="I2735" s="6" t="n">
        <v>10352</v>
      </c>
      <c r="J2735" s="6" t="n">
        <v>193199</v>
      </c>
      <c r="K2735" s="16" t="n">
        <v>3</v>
      </c>
      <c r="L2735" s="2" t="inlineStr">
        <is>
          <t>20260604000387</t>
        </is>
      </c>
      <c r="M2735" s="8">
        <f>HYPERLINK("https://dart.fss.or.kr/dsaf001/main.do?rcpNo=20260604000387", "공시열람")</f>
        <v/>
      </c>
    </row>
    <row r="2736" ht="22" customHeight="1">
      <c r="A2736" s="2" t="inlineStr">
        <is>
          <t>2026-06-04</t>
        </is>
      </c>
      <c r="B2736" s="3" t="inlineStr">
        <is>
          <t>코렌텍</t>
        </is>
      </c>
      <c r="C2736" s="2" t="inlineStr">
        <is>
          <t>104540</t>
        </is>
      </c>
      <c r="D2736" s="2" t="inlineStr">
        <is>
          <t>대량보유</t>
        </is>
      </c>
      <c r="E2736" s="3" t="inlineStr">
        <is>
          <t>선형훈</t>
        </is>
      </c>
      <c r="F2736" s="3" t="inlineStr">
        <is>
          <t>특별관계자</t>
        </is>
      </c>
      <c r="G2736" s="3" t="inlineStr">
        <is>
          <t>장내매도(-)</t>
        </is>
      </c>
      <c r="H2736" s="17" t="n">
        <v>-18097</v>
      </c>
      <c r="I2736" s="6" t="n">
        <v>5422</v>
      </c>
      <c r="J2736" s="6" t="inlineStr"/>
      <c r="K2736" s="16" t="n">
        <v>16</v>
      </c>
      <c r="L2736" s="2" t="inlineStr">
        <is>
          <t>20260604000380</t>
        </is>
      </c>
      <c r="M2736" s="8">
        <f>HYPERLINK("https://dart.fss.or.kr/dsaf001/main.do?rcpNo=20260604000380", "공시열람")</f>
        <v/>
      </c>
    </row>
    <row r="2737" ht="22" customHeight="1">
      <c r="A2737" s="2" t="inlineStr">
        <is>
          <t>2026-06-04</t>
        </is>
      </c>
      <c r="B2737" s="3" t="inlineStr">
        <is>
          <t>코렌텍</t>
        </is>
      </c>
      <c r="C2737" s="2" t="inlineStr">
        <is>
          <t>104540</t>
        </is>
      </c>
      <c r="D2737" s="2" t="inlineStr">
        <is>
          <t>대량보유</t>
        </is>
      </c>
      <c r="E2737" s="3" t="inlineStr">
        <is>
          <t>선두훈</t>
        </is>
      </c>
      <c r="F2737" s="3" t="inlineStr">
        <is>
          <t>특별관계자</t>
        </is>
      </c>
      <c r="G2737" s="3" t="inlineStr">
        <is>
          <t>장내매수(+)</t>
        </is>
      </c>
      <c r="H2737" s="15" t="n">
        <v>7829</v>
      </c>
      <c r="I2737" s="6" t="n">
        <v>4991</v>
      </c>
      <c r="J2737" s="6" t="n">
        <v>706617</v>
      </c>
      <c r="K2737" s="16" t="n">
        <v>16</v>
      </c>
      <c r="L2737" s="2" t="inlineStr">
        <is>
          <t>20260604000380</t>
        </is>
      </c>
      <c r="M2737" s="8">
        <f>HYPERLINK("https://dart.fss.or.kr/dsaf001/main.do?rcpNo=20260604000380", "공시열람")</f>
        <v/>
      </c>
    </row>
    <row r="2738" ht="22" customHeight="1">
      <c r="A2738" s="2" t="inlineStr">
        <is>
          <t>2026-06-04</t>
        </is>
      </c>
      <c r="B2738" s="3" t="inlineStr">
        <is>
          <t>JTC</t>
        </is>
      </c>
      <c r="C2738" s="2" t="inlineStr">
        <is>
          <t>950170</t>
        </is>
      </c>
      <c r="D2738" s="2" t="inlineStr">
        <is>
          <t>대량보유</t>
        </is>
      </c>
      <c r="E2738" s="3" t="inlineStr">
        <is>
          <t>유한회사유벤투스홀딩스투자목적회사</t>
        </is>
      </c>
      <c r="F2738" s="3" t="inlineStr">
        <is>
          <t>보고자</t>
        </is>
      </c>
      <c r="G2738" s="3" t="inlineStr">
        <is>
          <t>- 보유주식등에 관한 주요계약 해지</t>
        </is>
      </c>
      <c r="H2738" s="6" t="inlineStr"/>
      <c r="I2738" s="6" t="inlineStr"/>
      <c r="J2738" s="6" t="n">
        <v>36030507</v>
      </c>
      <c r="K2738" s="16" t="n">
        <v>5</v>
      </c>
      <c r="L2738" s="2" t="inlineStr">
        <is>
          <t>20260604000379</t>
        </is>
      </c>
      <c r="M2738" s="8">
        <f>HYPERLINK("https://dart.fss.or.kr/dsaf001/main.do?rcpNo=20260604000379", "공시열람")</f>
        <v/>
      </c>
    </row>
    <row r="2739" ht="22" customHeight="1">
      <c r="A2739" s="2" t="inlineStr">
        <is>
          <t>2026-06-04</t>
        </is>
      </c>
      <c r="B2739" s="3" t="inlineStr">
        <is>
          <t>상아프론테크</t>
        </is>
      </c>
      <c r="C2739" s="2" t="inlineStr">
        <is>
          <t>089980</t>
        </is>
      </c>
      <c r="D2739" s="2" t="inlineStr">
        <is>
          <t>대량보유</t>
        </is>
      </c>
      <c r="E2739" s="3" t="inlineStr">
        <is>
          <t>이상원</t>
        </is>
      </c>
      <c r="F2739" s="3" t="inlineStr">
        <is>
          <t>보고자</t>
        </is>
      </c>
      <c r="G2739" s="3" t="inlineStr">
        <is>
          <t>- 주식담보대출 계약기간 연장</t>
        </is>
      </c>
      <c r="H2739" s="6" t="inlineStr"/>
      <c r="I2739" s="6" t="inlineStr"/>
      <c r="J2739" s="6" t="n">
        <v>6769940</v>
      </c>
      <c r="K2739" s="16" t="n">
        <v>23</v>
      </c>
      <c r="L2739" s="2" t="inlineStr">
        <is>
          <t>20260604000362</t>
        </is>
      </c>
      <c r="M2739" s="8">
        <f>HYPERLINK("https://dart.fss.or.kr/dsaf001/main.do?rcpNo=20260604000362", "공시열람")</f>
        <v/>
      </c>
    </row>
    <row r="2740" ht="22" customHeight="1">
      <c r="A2740" s="2" t="inlineStr">
        <is>
          <t>2026-06-04</t>
        </is>
      </c>
      <c r="B2740" s="3" t="inlineStr">
        <is>
          <t>한독</t>
        </is>
      </c>
      <c r="C2740" s="2" t="inlineStr">
        <is>
          <t>002390</t>
        </is>
      </c>
      <c r="D2740" s="2" t="inlineStr">
        <is>
          <t>대량보유</t>
        </is>
      </c>
      <c r="E2740" s="3" t="inlineStr">
        <is>
          <t>(주)와이앤에스인터내셔날</t>
        </is>
      </c>
      <c r="F2740" s="3" t="inlineStr">
        <is>
          <t>특별관계자</t>
        </is>
      </c>
      <c r="G2740" s="3" t="inlineStr">
        <is>
          <t>시간외매매(+)</t>
        </is>
      </c>
      <c r="H2740" s="15" t="n">
        <v>56676</v>
      </c>
      <c r="I2740" s="6" t="n">
        <v>8800</v>
      </c>
      <c r="J2740" s="6" t="n">
        <v>2491966</v>
      </c>
      <c r="K2740" s="16" t="n">
        <v>11</v>
      </c>
      <c r="L2740" s="2" t="inlineStr">
        <is>
          <t>20260604000318</t>
        </is>
      </c>
      <c r="M2740" s="8">
        <f>HYPERLINK("https://dart.fss.or.kr/dsaf001/main.do?rcpNo=20260604000318", "공시열람")</f>
        <v/>
      </c>
    </row>
    <row r="2741" ht="22" customHeight="1">
      <c r="A2741" s="2" t="inlineStr">
        <is>
          <t>2026-06-04</t>
        </is>
      </c>
      <c r="B2741" s="3" t="inlineStr">
        <is>
          <t>한독</t>
        </is>
      </c>
      <c r="C2741" s="2" t="inlineStr">
        <is>
          <t>002390</t>
        </is>
      </c>
      <c r="D2741" s="2" t="inlineStr">
        <is>
          <t>대량보유</t>
        </is>
      </c>
      <c r="E2741" s="3" t="inlineStr">
        <is>
          <t>김석진</t>
        </is>
      </c>
      <c r="F2741" s="3" t="inlineStr">
        <is>
          <t>특별관계자</t>
        </is>
      </c>
      <c r="G2741" s="3" t="inlineStr">
        <is>
          <t>시간외매매(-)</t>
        </is>
      </c>
      <c r="H2741" s="17" t="n">
        <v>-226704</v>
      </c>
      <c r="I2741" s="6" t="n">
        <v>8800</v>
      </c>
      <c r="J2741" s="6" t="n">
        <v>479507</v>
      </c>
      <c r="K2741" s="16" t="n">
        <v>11</v>
      </c>
      <c r="L2741" s="2" t="inlineStr">
        <is>
          <t>20260604000318</t>
        </is>
      </c>
      <c r="M2741" s="8">
        <f>HYPERLINK("https://dart.fss.or.kr/dsaf001/main.do?rcpNo=20260604000318", "공시열람")</f>
        <v/>
      </c>
    </row>
    <row r="2742" ht="22" customHeight="1">
      <c r="A2742" s="2" t="inlineStr">
        <is>
          <t>2026-06-04</t>
        </is>
      </c>
      <c r="B2742" s="3" t="inlineStr">
        <is>
          <t>GST</t>
        </is>
      </c>
      <c r="C2742" s="2" t="inlineStr">
        <is>
          <t>083450</t>
        </is>
      </c>
      <c r="D2742" s="2" t="inlineStr">
        <is>
          <t>대량보유</t>
        </is>
      </c>
      <c r="E2742" s="3" t="inlineStr">
        <is>
          <t>석종욱</t>
        </is>
      </c>
      <c r="F2742" s="3" t="inlineStr">
        <is>
          <t>특별관계자</t>
        </is>
      </c>
      <c r="G2742" s="3" t="inlineStr">
        <is>
          <t>장내매수(+)</t>
        </is>
      </c>
      <c r="H2742" s="15" t="n">
        <v>1000</v>
      </c>
      <c r="I2742" s="6" t="n">
        <v>54310</v>
      </c>
      <c r="J2742" s="6" t="n">
        <v>11000</v>
      </c>
      <c r="K2742" s="16" t="n">
        <v>6</v>
      </c>
      <c r="L2742" s="2" t="inlineStr">
        <is>
          <t>20260604000291</t>
        </is>
      </c>
      <c r="M2742" s="8">
        <f>HYPERLINK("https://dart.fss.or.kr/dsaf001/main.do?rcpNo=20260604000291", "공시열람")</f>
        <v/>
      </c>
    </row>
    <row r="2743" ht="22" customHeight="1">
      <c r="A2743" s="2" t="inlineStr">
        <is>
          <t>2026-06-04</t>
        </is>
      </c>
      <c r="B2743" s="3" t="inlineStr">
        <is>
          <t>소프트캠프</t>
        </is>
      </c>
      <c r="C2743" s="2" t="inlineStr">
        <is>
          <t>258790</t>
        </is>
      </c>
      <c r="D2743" s="2" t="inlineStr">
        <is>
          <t>대량보유</t>
        </is>
      </c>
      <c r="E2743" s="3" t="inlineStr">
        <is>
          <t>황성익</t>
        </is>
      </c>
      <c r="F2743" s="3" t="inlineStr">
        <is>
          <t>특별관계자</t>
        </is>
      </c>
      <c r="G2743" s="3" t="inlineStr">
        <is>
          <t>장내매수(+), 주식병합</t>
        </is>
      </c>
      <c r="H2743" s="17" t="n">
        <v>-300</v>
      </c>
      <c r="I2743" s="6" t="n">
        <v>1025</v>
      </c>
      <c r="J2743" s="6" t="n">
        <v>200</v>
      </c>
      <c r="K2743" s="16" t="n">
        <v>12</v>
      </c>
      <c r="L2743" s="2" t="inlineStr">
        <is>
          <t>20260604000285</t>
        </is>
      </c>
      <c r="M2743" s="8">
        <f>HYPERLINK("https://dart.fss.or.kr/dsaf001/main.do?rcpNo=20260604000285", "공시열람")</f>
        <v/>
      </c>
    </row>
    <row r="2744" ht="22" customHeight="1">
      <c r="A2744" s="2" t="inlineStr">
        <is>
          <t>2026-06-04</t>
        </is>
      </c>
      <c r="B2744" s="3" t="inlineStr">
        <is>
          <t>소프트캠프</t>
        </is>
      </c>
      <c r="C2744" s="2" t="inlineStr">
        <is>
          <t>258790</t>
        </is>
      </c>
      <c r="D2744" s="2" t="inlineStr">
        <is>
          <t>대량보유</t>
        </is>
      </c>
      <c r="E2744" s="3" t="inlineStr">
        <is>
          <t>조영갑</t>
        </is>
      </c>
      <c r="F2744" s="3" t="inlineStr">
        <is>
          <t>특별관계자</t>
        </is>
      </c>
      <c r="G2744" s="3" t="inlineStr">
        <is>
          <t>장내매도(-), 주식병합</t>
        </is>
      </c>
      <c r="H2744" s="17" t="n">
        <v>-21800</v>
      </c>
      <c r="I2744" s="6" t="n">
        <v>2000</v>
      </c>
      <c r="J2744" s="6" t="n">
        <v>5200</v>
      </c>
      <c r="K2744" s="16" t="n">
        <v>12</v>
      </c>
      <c r="L2744" s="2" t="inlineStr">
        <is>
          <t>20260604000285</t>
        </is>
      </c>
      <c r="M2744" s="8">
        <f>HYPERLINK("https://dart.fss.or.kr/dsaf001/main.do?rcpNo=20260604000285", "공시열람")</f>
        <v/>
      </c>
    </row>
    <row r="2745" ht="22" customHeight="1">
      <c r="A2745" s="2" t="inlineStr">
        <is>
          <t>2026-06-04</t>
        </is>
      </c>
      <c r="B2745" s="3" t="inlineStr">
        <is>
          <t>소프트캠프</t>
        </is>
      </c>
      <c r="C2745" s="2" t="inlineStr">
        <is>
          <t>258790</t>
        </is>
      </c>
      <c r="D2745" s="2" t="inlineStr">
        <is>
          <t>대량보유</t>
        </is>
      </c>
      <c r="E2745" s="3" t="inlineStr">
        <is>
          <t>배환국</t>
        </is>
      </c>
      <c r="F2745" s="3" t="inlineStr">
        <is>
          <t>특별관계자</t>
        </is>
      </c>
      <c r="G2745" s="3" t="inlineStr">
        <is>
          <t>주식병합, 장내매수(+)</t>
        </is>
      </c>
      <c r="H2745" s="17" t="n">
        <v>-4295134</v>
      </c>
      <c r="I2745" s="6" t="n">
        <v>5397</v>
      </c>
      <c r="J2745" s="6" t="n">
        <v>1077658</v>
      </c>
      <c r="K2745" s="16" t="n">
        <v>12</v>
      </c>
      <c r="L2745" s="2" t="inlineStr">
        <is>
          <t>20260604000285</t>
        </is>
      </c>
      <c r="M2745" s="8">
        <f>HYPERLINK("https://dart.fss.or.kr/dsaf001/main.do?rcpNo=20260604000285", "공시열람")</f>
        <v/>
      </c>
    </row>
    <row r="2746" ht="22" customHeight="1">
      <c r="A2746" s="2" t="inlineStr">
        <is>
          <t>2026-06-04</t>
        </is>
      </c>
      <c r="B2746" s="3" t="inlineStr">
        <is>
          <t>소프트캠프</t>
        </is>
      </c>
      <c r="C2746" s="2" t="inlineStr">
        <is>
          <t>258790</t>
        </is>
      </c>
      <c r="D2746" s="2" t="inlineStr">
        <is>
          <t>대량보유</t>
        </is>
      </c>
      <c r="E2746" s="3" t="inlineStr">
        <is>
          <t>장미정</t>
        </is>
      </c>
      <c r="F2746" s="3" t="inlineStr">
        <is>
          <t>특별관계자</t>
        </is>
      </c>
      <c r="G2746" s="3" t="inlineStr">
        <is>
          <t>주식병합</t>
        </is>
      </c>
      <c r="H2746" s="17" t="n">
        <v>-33040</v>
      </c>
      <c r="I2746" s="6" t="inlineStr"/>
      <c r="J2746" s="6" t="n">
        <v>8260</v>
      </c>
      <c r="K2746" s="16" t="n">
        <v>12</v>
      </c>
      <c r="L2746" s="2" t="inlineStr">
        <is>
          <t>20260604000285</t>
        </is>
      </c>
      <c r="M2746" s="8">
        <f>HYPERLINK("https://dart.fss.or.kr/dsaf001/main.do?rcpNo=20260604000285", "공시열람")</f>
        <v/>
      </c>
    </row>
    <row r="2747" ht="22" customHeight="1">
      <c r="A2747" s="2" t="inlineStr">
        <is>
          <t>2026-06-04</t>
        </is>
      </c>
      <c r="B2747" s="3" t="inlineStr">
        <is>
          <t>소프트캠프</t>
        </is>
      </c>
      <c r="C2747" s="2" t="inlineStr">
        <is>
          <t>258790</t>
        </is>
      </c>
      <c r="D2747" s="2" t="inlineStr">
        <is>
          <t>대량보유</t>
        </is>
      </c>
      <c r="E2747" s="3" t="inlineStr">
        <is>
          <t>하정호</t>
        </is>
      </c>
      <c r="F2747" s="3" t="inlineStr">
        <is>
          <t>특별관계자</t>
        </is>
      </c>
      <c r="G2747" s="3" t="inlineStr">
        <is>
          <t>주식병합</t>
        </is>
      </c>
      <c r="H2747" s="17" t="n">
        <v>-13245</v>
      </c>
      <c r="I2747" s="6" t="inlineStr"/>
      <c r="J2747" s="6" t="n">
        <v>3311</v>
      </c>
      <c r="K2747" s="16" t="n">
        <v>12</v>
      </c>
      <c r="L2747" s="2" t="inlineStr">
        <is>
          <t>20260604000285</t>
        </is>
      </c>
      <c r="M2747" s="8">
        <f>HYPERLINK("https://dart.fss.or.kr/dsaf001/main.do?rcpNo=20260604000285", "공시열람")</f>
        <v/>
      </c>
    </row>
    <row r="2748" ht="22" customHeight="1">
      <c r="A2748" s="2" t="inlineStr">
        <is>
          <t>2026-06-04</t>
        </is>
      </c>
      <c r="B2748" s="3" t="inlineStr">
        <is>
          <t>소프트캠프</t>
        </is>
      </c>
      <c r="C2748" s="2" t="inlineStr">
        <is>
          <t>258790</t>
        </is>
      </c>
      <c r="D2748" s="2" t="inlineStr">
        <is>
          <t>대량보유</t>
        </is>
      </c>
      <c r="E2748" s="3" t="inlineStr">
        <is>
          <t>김성학</t>
        </is>
      </c>
      <c r="F2748" s="3" t="inlineStr">
        <is>
          <t>특별관계자</t>
        </is>
      </c>
      <c r="G2748" s="3" t="inlineStr">
        <is>
          <t>주식병합</t>
        </is>
      </c>
      <c r="H2748" s="17" t="n">
        <v>-45324</v>
      </c>
      <c r="I2748" s="6" t="inlineStr"/>
      <c r="J2748" s="6" t="n">
        <v>11330</v>
      </c>
      <c r="K2748" s="16" t="n">
        <v>12</v>
      </c>
      <c r="L2748" s="2" t="inlineStr">
        <is>
          <t>20260604000285</t>
        </is>
      </c>
      <c r="M2748" s="8">
        <f>HYPERLINK("https://dart.fss.or.kr/dsaf001/main.do?rcpNo=20260604000285", "공시열람")</f>
        <v/>
      </c>
    </row>
    <row r="2749" ht="22" customHeight="1">
      <c r="A2749" s="2" t="inlineStr">
        <is>
          <t>2026-06-04</t>
        </is>
      </c>
      <c r="B2749" s="3" t="inlineStr">
        <is>
          <t>소프트캠프</t>
        </is>
      </c>
      <c r="C2749" s="2" t="inlineStr">
        <is>
          <t>258790</t>
        </is>
      </c>
      <c r="D2749" s="2" t="inlineStr">
        <is>
          <t>대량보유</t>
        </is>
      </c>
      <c r="E2749" s="3" t="inlineStr">
        <is>
          <t>강홍석</t>
        </is>
      </c>
      <c r="F2749" s="3" t="inlineStr">
        <is>
          <t>특별관계자</t>
        </is>
      </c>
      <c r="G2749" s="3" t="inlineStr">
        <is>
          <t>주식병합</t>
        </is>
      </c>
      <c r="H2749" s="17" t="n">
        <v>-5200</v>
      </c>
      <c r="I2749" s="6" t="inlineStr"/>
      <c r="J2749" s="6" t="n">
        <v>1300</v>
      </c>
      <c r="K2749" s="16" t="n">
        <v>12</v>
      </c>
      <c r="L2749" s="2" t="inlineStr">
        <is>
          <t>20260604000285</t>
        </is>
      </c>
      <c r="M2749" s="8">
        <f>HYPERLINK("https://dart.fss.or.kr/dsaf001/main.do?rcpNo=20260604000285", "공시열람")</f>
        <v/>
      </c>
    </row>
    <row r="2750" ht="22" customHeight="1">
      <c r="A2750" s="2" t="inlineStr">
        <is>
          <t>2026-06-04</t>
        </is>
      </c>
      <c r="B2750" s="3" t="inlineStr">
        <is>
          <t>소프트캠프</t>
        </is>
      </c>
      <c r="C2750" s="2" t="inlineStr">
        <is>
          <t>258790</t>
        </is>
      </c>
      <c r="D2750" s="2" t="inlineStr">
        <is>
          <t>대량보유</t>
        </is>
      </c>
      <c r="E2750" s="3" t="inlineStr">
        <is>
          <t>김두철</t>
        </is>
      </c>
      <c r="F2750" s="3" t="inlineStr">
        <is>
          <t>특별관계자</t>
        </is>
      </c>
      <c r="G2750" s="3" t="inlineStr">
        <is>
          <t>주식병합</t>
        </is>
      </c>
      <c r="H2750" s="17" t="n">
        <v>-5180</v>
      </c>
      <c r="I2750" s="6" t="inlineStr"/>
      <c r="J2750" s="6" t="n">
        <v>1294</v>
      </c>
      <c r="K2750" s="16" t="n">
        <v>12</v>
      </c>
      <c r="L2750" s="2" t="inlineStr">
        <is>
          <t>20260604000285</t>
        </is>
      </c>
      <c r="M2750" s="8">
        <f>HYPERLINK("https://dart.fss.or.kr/dsaf001/main.do?rcpNo=20260604000285", "공시열람")</f>
        <v/>
      </c>
    </row>
    <row r="2751" ht="22" customHeight="1">
      <c r="A2751" s="2" t="inlineStr">
        <is>
          <t>2026-06-04</t>
        </is>
      </c>
      <c r="B2751" s="3" t="inlineStr">
        <is>
          <t>소프트캠프</t>
        </is>
      </c>
      <c r="C2751" s="2" t="inlineStr">
        <is>
          <t>258790</t>
        </is>
      </c>
      <c r="D2751" s="2" t="inlineStr">
        <is>
          <t>대량보유</t>
        </is>
      </c>
      <c r="E2751" s="3" t="inlineStr">
        <is>
          <t>오정훈</t>
        </is>
      </c>
      <c r="F2751" s="3" t="inlineStr">
        <is>
          <t>특별관계자</t>
        </is>
      </c>
      <c r="G2751" s="3" t="inlineStr">
        <is>
          <t>주식병합</t>
        </is>
      </c>
      <c r="H2751" s="17" t="n">
        <v>-28994</v>
      </c>
      <c r="I2751" s="6" t="inlineStr"/>
      <c r="J2751" s="6" t="n">
        <v>7248</v>
      </c>
      <c r="K2751" s="16" t="n">
        <v>12</v>
      </c>
      <c r="L2751" s="2" t="inlineStr">
        <is>
          <t>20260604000285</t>
        </is>
      </c>
      <c r="M2751" s="8">
        <f>HYPERLINK("https://dart.fss.or.kr/dsaf001/main.do?rcpNo=20260604000285", "공시열람")</f>
        <v/>
      </c>
    </row>
    <row r="2752" ht="22" customHeight="1">
      <c r="A2752" s="2" t="inlineStr">
        <is>
          <t>2026-06-04</t>
        </is>
      </c>
      <c r="B2752" s="3" t="inlineStr">
        <is>
          <t>소프트캠프</t>
        </is>
      </c>
      <c r="C2752" s="2" t="inlineStr">
        <is>
          <t>258790</t>
        </is>
      </c>
      <c r="D2752" s="2" t="inlineStr">
        <is>
          <t>대량보유</t>
        </is>
      </c>
      <c r="E2752" s="3" t="inlineStr">
        <is>
          <t>강대원</t>
        </is>
      </c>
      <c r="F2752" s="3" t="inlineStr">
        <is>
          <t>특별관계자</t>
        </is>
      </c>
      <c r="G2752" s="3" t="inlineStr">
        <is>
          <t>주식병합</t>
        </is>
      </c>
      <c r="H2752" s="17" t="n">
        <v>-6111</v>
      </c>
      <c r="I2752" s="6" t="inlineStr"/>
      <c r="J2752" s="6" t="n">
        <v>1527</v>
      </c>
      <c r="K2752" s="16" t="n">
        <v>12</v>
      </c>
      <c r="L2752" s="2" t="inlineStr">
        <is>
          <t>20260604000285</t>
        </is>
      </c>
      <c r="M2752" s="8">
        <f>HYPERLINK("https://dart.fss.or.kr/dsaf001/main.do?rcpNo=20260604000285", "공시열람")</f>
        <v/>
      </c>
    </row>
    <row r="2753" ht="22" customHeight="1">
      <c r="A2753" s="2" t="inlineStr">
        <is>
          <t>2026-06-04</t>
        </is>
      </c>
      <c r="B2753" s="3" t="inlineStr">
        <is>
          <t>소프트캠프</t>
        </is>
      </c>
      <c r="C2753" s="2" t="inlineStr">
        <is>
          <t>258790</t>
        </is>
      </c>
      <c r="D2753" s="2" t="inlineStr">
        <is>
          <t>대량보유</t>
        </is>
      </c>
      <c r="E2753" s="3" t="inlineStr">
        <is>
          <t>임성택</t>
        </is>
      </c>
      <c r="F2753" s="3" t="inlineStr">
        <is>
          <t>특별관계자</t>
        </is>
      </c>
      <c r="G2753" s="3" t="inlineStr">
        <is>
          <t>주식병합</t>
        </is>
      </c>
      <c r="H2753" s="17" t="n">
        <v>-3200</v>
      </c>
      <c r="I2753" s="6" t="inlineStr"/>
      <c r="J2753" s="6" t="n">
        <v>800</v>
      </c>
      <c r="K2753" s="16" t="n">
        <v>12</v>
      </c>
      <c r="L2753" s="2" t="inlineStr">
        <is>
          <t>20260604000285</t>
        </is>
      </c>
      <c r="M2753" s="8">
        <f>HYPERLINK("https://dart.fss.or.kr/dsaf001/main.do?rcpNo=20260604000285", "공시열람")</f>
        <v/>
      </c>
    </row>
    <row r="2754" ht="22" customHeight="1">
      <c r="A2754" s="2" t="inlineStr">
        <is>
          <t>2026-06-04</t>
        </is>
      </c>
      <c r="B2754" s="3" t="inlineStr">
        <is>
          <t>IPARK현대산업개발</t>
        </is>
      </c>
      <c r="C2754" s="2" t="inlineStr">
        <is>
          <t>294870</t>
        </is>
      </c>
      <c r="D2754" s="2" t="inlineStr">
        <is>
          <t>대량보유</t>
        </is>
      </c>
      <c r="E2754" s="3" t="inlineStr">
        <is>
          <t>JPMorganAssetManagement(AsiaPacific)Limited</t>
        </is>
      </c>
      <c r="F2754" s="3" t="inlineStr">
        <is>
          <t>특별관계자</t>
        </is>
      </c>
      <c r="G2754" s="3" t="inlineStr">
        <is>
          <t>신규보고(+), 장내매수(+)</t>
        </is>
      </c>
      <c r="H2754" s="15" t="n">
        <v>3222359</v>
      </c>
      <c r="I2754" s="6" t="n">
        <v>20395</v>
      </c>
      <c r="J2754" s="6" t="n">
        <v>3222359</v>
      </c>
      <c r="K2754" s="16" t="n">
        <v>4</v>
      </c>
      <c r="L2754" s="2" t="inlineStr">
        <is>
          <t>20260604000268</t>
        </is>
      </c>
      <c r="M2754" s="8">
        <f>HYPERLINK("https://dart.fss.or.kr/dsaf001/main.do?rcpNo=20260604000268", "공시열람")</f>
        <v/>
      </c>
    </row>
    <row r="2755" ht="22" customHeight="1">
      <c r="A2755" s="2" t="inlineStr">
        <is>
          <t>2026-06-04</t>
        </is>
      </c>
      <c r="B2755" s="3" t="inlineStr">
        <is>
          <t>IPARK현대산업개발</t>
        </is>
      </c>
      <c r="C2755" s="2" t="inlineStr">
        <is>
          <t>294870</t>
        </is>
      </c>
      <c r="D2755" s="2" t="inlineStr">
        <is>
          <t>대량보유</t>
        </is>
      </c>
      <c r="E2755" s="3" t="inlineStr">
        <is>
          <t>J.P.MorganInvestmentManagementInc.</t>
        </is>
      </c>
      <c r="F2755" s="3" t="inlineStr">
        <is>
          <t>특별관계자</t>
        </is>
      </c>
      <c r="G2755" s="3" t="inlineStr">
        <is>
          <t>신규보고(+), 장내매수(+)</t>
        </is>
      </c>
      <c r="H2755" s="15" t="n">
        <v>39774</v>
      </c>
      <c r="I2755" s="6" t="n">
        <v>20686</v>
      </c>
      <c r="J2755" s="6" t="n">
        <v>39774</v>
      </c>
      <c r="K2755" s="16" t="n">
        <v>4</v>
      </c>
      <c r="L2755" s="2" t="inlineStr">
        <is>
          <t>20260604000268</t>
        </is>
      </c>
      <c r="M2755" s="8">
        <f>HYPERLINK("https://dart.fss.or.kr/dsaf001/main.do?rcpNo=20260604000268", "공시열람")</f>
        <v/>
      </c>
    </row>
    <row r="2756" ht="22" customHeight="1">
      <c r="A2756" s="2" t="inlineStr">
        <is>
          <t>2026-06-04</t>
        </is>
      </c>
      <c r="B2756" s="3" t="inlineStr">
        <is>
          <t>IPARK현대산업개발</t>
        </is>
      </c>
      <c r="C2756" s="2" t="inlineStr">
        <is>
          <t>294870</t>
        </is>
      </c>
      <c r="D2756" s="2" t="inlineStr">
        <is>
          <t>대량보유</t>
        </is>
      </c>
      <c r="E2756" s="3" t="inlineStr">
        <is>
          <t>JPMorganChaseBank,NationalAssociation</t>
        </is>
      </c>
      <c r="F2756" s="3" t="inlineStr">
        <is>
          <t>특별관계자</t>
        </is>
      </c>
      <c r="G2756" s="3" t="inlineStr">
        <is>
          <t>신규보고(+), 장내매도(-)</t>
        </is>
      </c>
      <c r="H2756" s="15" t="n">
        <v>4749</v>
      </c>
      <c r="I2756" s="6" t="n">
        <v>20219</v>
      </c>
      <c r="J2756" s="6" t="n">
        <v>4749</v>
      </c>
      <c r="K2756" s="16" t="n">
        <v>4</v>
      </c>
      <c r="L2756" s="2" t="inlineStr">
        <is>
          <t>20260604000268</t>
        </is>
      </c>
      <c r="M2756" s="8">
        <f>HYPERLINK("https://dart.fss.or.kr/dsaf001/main.do?rcpNo=20260604000268", "공시열람")</f>
        <v/>
      </c>
    </row>
    <row r="2757" ht="22" customHeight="1">
      <c r="A2757" s="2" t="inlineStr">
        <is>
          <t>2026-06-04</t>
        </is>
      </c>
      <c r="B2757" s="3" t="inlineStr">
        <is>
          <t>IPARK현대산업개발</t>
        </is>
      </c>
      <c r="C2757" s="2" t="inlineStr">
        <is>
          <t>294870</t>
        </is>
      </c>
      <c r="D2757" s="2" t="inlineStr">
        <is>
          <t>대량보유</t>
        </is>
      </c>
      <c r="E2757" s="3" t="inlineStr">
        <is>
          <t>JPMORGANASSETMANAGEMENT(CHINA)COMPANYLIMITED.</t>
        </is>
      </c>
      <c r="F2757" s="3" t="inlineStr">
        <is>
          <t>특별관계자</t>
        </is>
      </c>
      <c r="G2757" s="3" t="inlineStr">
        <is>
          <t>신규보고(+)</t>
        </is>
      </c>
      <c r="H2757" s="15" t="n">
        <v>81834</v>
      </c>
      <c r="I2757" s="6" t="inlineStr"/>
      <c r="J2757" s="6" t="n">
        <v>81834</v>
      </c>
      <c r="K2757" s="16" t="n">
        <v>4</v>
      </c>
      <c r="L2757" s="2" t="inlineStr">
        <is>
          <t>20260604000268</t>
        </is>
      </c>
      <c r="M2757" s="8">
        <f>HYPERLINK("https://dart.fss.or.kr/dsaf001/main.do?rcpNo=20260604000268", "공시열람")</f>
        <v/>
      </c>
    </row>
    <row r="2758" ht="22" customHeight="1">
      <c r="A2758" s="2" t="inlineStr">
        <is>
          <t>2026-06-04</t>
        </is>
      </c>
      <c r="B2758" s="3" t="inlineStr">
        <is>
          <t>IPARK현대산업개발</t>
        </is>
      </c>
      <c r="C2758" s="2" t="inlineStr">
        <is>
          <t>294870</t>
        </is>
      </c>
      <c r="D2758" s="2" t="inlineStr">
        <is>
          <t>대량보유</t>
        </is>
      </c>
      <c r="E2758" s="3" t="inlineStr">
        <is>
          <t>JPMorganAssetManagement(Taiwan)Limited</t>
        </is>
      </c>
      <c r="F2758" s="3" t="inlineStr">
        <is>
          <t>특별관계자</t>
        </is>
      </c>
      <c r="G2758" s="3" t="inlineStr">
        <is>
          <t>신규보고(+)</t>
        </is>
      </c>
      <c r="H2758" s="15" t="n">
        <v>1396</v>
      </c>
      <c r="I2758" s="6" t="inlineStr"/>
      <c r="J2758" s="6" t="n">
        <v>1396</v>
      </c>
      <c r="K2758" s="16" t="n">
        <v>4</v>
      </c>
      <c r="L2758" s="2" t="inlineStr">
        <is>
          <t>20260604000268</t>
        </is>
      </c>
      <c r="M2758" s="8">
        <f>HYPERLINK("https://dart.fss.or.kr/dsaf001/main.do?rcpNo=20260604000268", "공시열람")</f>
        <v/>
      </c>
    </row>
    <row r="2759" ht="22" customHeight="1">
      <c r="A2759" s="2" t="inlineStr">
        <is>
          <t>2026-06-04</t>
        </is>
      </c>
      <c r="B2759" s="3" t="inlineStr">
        <is>
          <t>하나금융지주</t>
        </is>
      </c>
      <c r="C2759" s="2" t="inlineStr">
        <is>
          <t>086790</t>
        </is>
      </c>
      <c r="D2759" s="2" t="inlineStr">
        <is>
          <t>임원보고</t>
        </is>
      </c>
      <c r="E2759" s="3" t="inlineStr">
        <is>
          <t>-</t>
        </is>
      </c>
      <c r="F2759" s="3" t="inlineStr">
        <is>
          <t>-</t>
        </is>
      </c>
      <c r="G2759" s="3" t="inlineStr">
        <is>
          <t>-</t>
        </is>
      </c>
      <c r="H2759" s="6" t="inlineStr"/>
      <c r="I2759" s="6" t="inlineStr"/>
      <c r="J2759" s="6" t="inlineStr"/>
      <c r="K2759" s="16" t="n">
        <v>12</v>
      </c>
      <c r="L2759" s="2" t="inlineStr">
        <is>
          <t>20260604800400</t>
        </is>
      </c>
      <c r="M2759" s="8">
        <f>HYPERLINK("https://dart.fss.or.kr/dsaf001/main.do?rcpNo=20260604800400", "공시열람")</f>
        <v/>
      </c>
    </row>
    <row r="2760" ht="22" customHeight="1">
      <c r="A2760" s="2" t="inlineStr">
        <is>
          <t>2026-06-04</t>
        </is>
      </c>
      <c r="B2760" s="3" t="inlineStr">
        <is>
          <t>에이텍모빌리티</t>
        </is>
      </c>
      <c r="C2760" s="2" t="inlineStr">
        <is>
          <t>224110</t>
        </is>
      </c>
      <c r="D2760" s="2" t="inlineStr">
        <is>
          <t>대량보유</t>
        </is>
      </c>
      <c r="E2760" s="3" t="inlineStr">
        <is>
          <t>신종찬</t>
        </is>
      </c>
      <c r="F2760" s="3" t="inlineStr">
        <is>
          <t>특별관계자</t>
        </is>
      </c>
      <c r="G2760" s="3" t="inlineStr">
        <is>
          <t>장내매수(+)</t>
        </is>
      </c>
      <c r="H2760" s="15" t="n">
        <v>17061</v>
      </c>
      <c r="I2760" s="6" t="n">
        <v>8233</v>
      </c>
      <c r="J2760" s="6" t="n">
        <v>56394</v>
      </c>
      <c r="K2760" s="16" t="n">
        <v>7</v>
      </c>
      <c r="L2760" s="2" t="inlineStr">
        <is>
          <t>20260604000247</t>
        </is>
      </c>
      <c r="M2760" s="8">
        <f>HYPERLINK("https://dart.fss.or.kr/dsaf001/main.do?rcpNo=20260604000247", "공시열람")</f>
        <v/>
      </c>
    </row>
    <row r="2761" ht="22" customHeight="1">
      <c r="A2761" s="2" t="inlineStr">
        <is>
          <t>2026-06-04</t>
        </is>
      </c>
      <c r="B2761" s="3" t="inlineStr">
        <is>
          <t>에이텍모빌리티</t>
        </is>
      </c>
      <c r="C2761" s="2" t="inlineStr">
        <is>
          <t>224110</t>
        </is>
      </c>
      <c r="D2761" s="2" t="inlineStr">
        <is>
          <t>대량보유</t>
        </is>
      </c>
      <c r="E2761" s="3" t="inlineStr">
        <is>
          <t>(주)에이텍씨앤</t>
        </is>
      </c>
      <c r="F2761" s="3" t="inlineStr">
        <is>
          <t>특별관계자</t>
        </is>
      </c>
      <c r="G2761" s="3" t="inlineStr">
        <is>
          <t>장내매수(+)</t>
        </is>
      </c>
      <c r="H2761" s="15" t="n">
        <v>83286</v>
      </c>
      <c r="I2761" s="6" t="n">
        <v>7836</v>
      </c>
      <c r="J2761" s="6" t="n">
        <v>83286</v>
      </c>
      <c r="K2761" s="16" t="n">
        <v>7</v>
      </c>
      <c r="L2761" s="2" t="inlineStr">
        <is>
          <t>20260604000247</t>
        </is>
      </c>
      <c r="M2761" s="8">
        <f>HYPERLINK("https://dart.fss.or.kr/dsaf001/main.do?rcpNo=20260604000247", "공시열람")</f>
        <v/>
      </c>
    </row>
    <row r="2762" ht="22" customHeight="1">
      <c r="A2762" s="2" t="inlineStr">
        <is>
          <t>2026-06-04</t>
        </is>
      </c>
      <c r="B2762" s="3" t="inlineStr">
        <is>
          <t>알리코제약</t>
        </is>
      </c>
      <c r="C2762" s="2" t="inlineStr">
        <is>
          <t>260660</t>
        </is>
      </c>
      <c r="D2762" s="2" t="inlineStr">
        <is>
          <t>대량보유</t>
        </is>
      </c>
      <c r="E2762" s="3" t="inlineStr">
        <is>
          <t>이항구</t>
        </is>
      </c>
      <c r="F2762" s="3" t="inlineStr">
        <is>
          <t>보고자</t>
        </is>
      </c>
      <c r="G2762" s="3" t="inlineStr">
        <is>
          <t>신탁ㆍ담보계약 등 주요계약의 체결 또는 계약내용의 변경</t>
        </is>
      </c>
      <c r="H2762" s="6" t="inlineStr"/>
      <c r="I2762" s="6" t="inlineStr"/>
      <c r="J2762" s="6" t="n">
        <v>5985156</v>
      </c>
      <c r="K2762" s="16" t="n">
        <v>8</v>
      </c>
      <c r="L2762" s="2" t="inlineStr">
        <is>
          <t>20260604000240</t>
        </is>
      </c>
      <c r="M2762" s="8">
        <f>HYPERLINK("https://dart.fss.or.kr/dsaf001/main.do?rcpNo=20260604000240", "공시열람")</f>
        <v/>
      </c>
    </row>
    <row r="2763" ht="22" customHeight="1">
      <c r="A2763" s="2" t="inlineStr">
        <is>
          <t>2026-06-04</t>
        </is>
      </c>
      <c r="B2763" s="3" t="inlineStr">
        <is>
          <t>일신바이오</t>
        </is>
      </c>
      <c r="C2763" s="2" t="inlineStr">
        <is>
          <t>068330</t>
        </is>
      </c>
      <c r="D2763" s="2" t="inlineStr">
        <is>
          <t>대량보유</t>
        </is>
      </c>
      <c r="E2763" s="3" t="inlineStr">
        <is>
          <t>홍중기</t>
        </is>
      </c>
      <c r="F2763" s="3" t="inlineStr">
        <is>
          <t>특별관계자</t>
        </is>
      </c>
      <c r="G2763" s="3" t="inlineStr">
        <is>
          <t>장내매수(+)</t>
        </is>
      </c>
      <c r="H2763" s="15" t="n">
        <v>537323</v>
      </c>
      <c r="I2763" s="6" t="n">
        <v>537323</v>
      </c>
      <c r="J2763" s="6" t="n">
        <v>811433</v>
      </c>
      <c r="K2763" s="16" t="n">
        <v>4</v>
      </c>
      <c r="L2763" s="2" t="inlineStr">
        <is>
          <t>20260604000230</t>
        </is>
      </c>
      <c r="M2763" s="8">
        <f>HYPERLINK("https://dart.fss.or.kr/dsaf001/main.do?rcpNo=20260604000230", "공시열람")</f>
        <v/>
      </c>
    </row>
    <row r="2764" ht="22" customHeight="1">
      <c r="A2764" s="2" t="inlineStr">
        <is>
          <t>2026-06-04</t>
        </is>
      </c>
      <c r="B2764" s="3" t="inlineStr">
        <is>
          <t>우림피티에스</t>
        </is>
      </c>
      <c r="C2764" s="2" t="inlineStr">
        <is>
          <t>101170</t>
        </is>
      </c>
      <c r="D2764" s="2" t="inlineStr">
        <is>
          <t>대량보유</t>
        </is>
      </c>
      <c r="E2764" s="3" t="inlineStr">
        <is>
          <t>한민주</t>
        </is>
      </c>
      <c r="F2764" s="3" t="inlineStr">
        <is>
          <t>특별관계자</t>
        </is>
      </c>
      <c r="G2764" s="3" t="inlineStr">
        <is>
          <t>장내매수(+)</t>
        </is>
      </c>
      <c r="H2764" s="15" t="n">
        <v>13674</v>
      </c>
      <c r="I2764" s="6" t="n">
        <v>11771</v>
      </c>
      <c r="J2764" s="6" t="n">
        <v>575304</v>
      </c>
      <c r="K2764" s="16" t="n">
        <v>3</v>
      </c>
      <c r="L2764" s="2" t="inlineStr">
        <is>
          <t>20260604000214</t>
        </is>
      </c>
      <c r="M2764" s="8">
        <f>HYPERLINK("https://dart.fss.or.kr/dsaf001/main.do?rcpNo=20260604000214", "공시열람")</f>
        <v/>
      </c>
    </row>
    <row r="2765" ht="22" customHeight="1">
      <c r="A2765" s="2" t="inlineStr">
        <is>
          <t>2026-06-04</t>
        </is>
      </c>
      <c r="B2765" s="3" t="inlineStr">
        <is>
          <t>케이티앤지</t>
        </is>
      </c>
      <c r="C2765" s="2" t="inlineStr">
        <is>
          <t>033780</t>
        </is>
      </c>
      <c r="D2765" s="2" t="inlineStr">
        <is>
          <t>대량보유</t>
        </is>
      </c>
      <c r="E2765" s="3" t="inlineStr">
        <is>
          <t>FirstEagleGlobalFund</t>
        </is>
      </c>
      <c r="F2765" s="3" t="inlineStr">
        <is>
          <t>특별관계자</t>
        </is>
      </c>
      <c r="G2765" s="3" t="inlineStr">
        <is>
          <t>신규보고(+), 장내매도(-)</t>
        </is>
      </c>
      <c r="H2765" s="15" t="n">
        <v>5214838</v>
      </c>
      <c r="I2765" s="6" t="n">
        <v>181457</v>
      </c>
      <c r="J2765" s="6" t="n">
        <v>5214838</v>
      </c>
      <c r="K2765" s="16" t="n">
        <v>1</v>
      </c>
      <c r="L2765" s="2" t="inlineStr">
        <is>
          <t>20260604000207</t>
        </is>
      </c>
      <c r="M2765" s="8">
        <f>HYPERLINK("https://dart.fss.or.kr/dsaf001/main.do?rcpNo=20260604000207", "공시열람")</f>
        <v/>
      </c>
    </row>
    <row r="2766" ht="22" customHeight="1">
      <c r="A2766" s="2" t="inlineStr">
        <is>
          <t>2026-06-04</t>
        </is>
      </c>
      <c r="B2766" s="3" t="inlineStr">
        <is>
          <t>HD현대마린엔진</t>
        </is>
      </c>
      <c r="C2766" s="2" t="inlineStr">
        <is>
          <t>071970</t>
        </is>
      </c>
      <c r="D2766" s="2" t="inlineStr">
        <is>
          <t>임원보고</t>
        </is>
      </c>
      <c r="E2766" s="3" t="inlineStr">
        <is>
          <t>-</t>
        </is>
      </c>
      <c r="F2766" s="3" t="inlineStr">
        <is>
          <t>-</t>
        </is>
      </c>
      <c r="G2766" s="3" t="inlineStr">
        <is>
          <t>-</t>
        </is>
      </c>
      <c r="H2766" s="6" t="inlineStr"/>
      <c r="I2766" s="6" t="inlineStr"/>
      <c r="J2766" s="6" t="inlineStr"/>
      <c r="K2766" s="16" t="n">
        <v>12</v>
      </c>
      <c r="L2766" s="2" t="inlineStr">
        <is>
          <t>20260604800356</t>
        </is>
      </c>
      <c r="M2766" s="8">
        <f>HYPERLINK("https://dart.fss.or.kr/dsaf001/main.do?rcpNo=20260604800356", "공시열람")</f>
        <v/>
      </c>
    </row>
    <row r="2767" ht="22" customHeight="1">
      <c r="A2767" s="2" t="inlineStr">
        <is>
          <t>2026-06-04</t>
        </is>
      </c>
      <c r="B2767" s="3" t="inlineStr">
        <is>
          <t>KTis</t>
        </is>
      </c>
      <c r="C2767" s="2" t="inlineStr">
        <is>
          <t>058860</t>
        </is>
      </c>
      <c r="D2767" s="2" t="inlineStr">
        <is>
          <t>임원보고</t>
        </is>
      </c>
      <c r="E2767" s="3" t="inlineStr">
        <is>
          <t>-</t>
        </is>
      </c>
      <c r="F2767" s="3" t="inlineStr">
        <is>
          <t>-</t>
        </is>
      </c>
      <c r="G2767" s="3" t="inlineStr">
        <is>
          <t>-</t>
        </is>
      </c>
      <c r="H2767" s="6" t="inlineStr"/>
      <c r="I2767" s="6" t="inlineStr"/>
      <c r="J2767" s="6" t="inlineStr"/>
      <c r="K2767" s="16" t="n">
        <v>12</v>
      </c>
      <c r="L2767" s="2" t="inlineStr">
        <is>
          <t>20260604800332</t>
        </is>
      </c>
      <c r="M2767" s="8">
        <f>HYPERLINK("https://dart.fss.or.kr/dsaf001/main.do?rcpNo=20260604800332", "공시열람")</f>
        <v/>
      </c>
    </row>
    <row r="2768" ht="22" customHeight="1">
      <c r="A2768" s="2" t="inlineStr">
        <is>
          <t>2026-06-04</t>
        </is>
      </c>
      <c r="B2768" s="3" t="inlineStr">
        <is>
          <t>한국유니온제약</t>
        </is>
      </c>
      <c r="C2768" s="2" t="inlineStr">
        <is>
          <t>080720</t>
        </is>
      </c>
      <c r="D2768" s="2" t="inlineStr">
        <is>
          <t>대량보유</t>
        </is>
      </c>
      <c r="E2768" s="3" t="inlineStr">
        <is>
          <t>부광약품주식회사</t>
        </is>
      </c>
      <c r="F2768" s="3" t="inlineStr">
        <is>
          <t>특별관계자</t>
        </is>
      </c>
      <c r="G2768" s="3" t="inlineStr">
        <is>
          <t>제3자배정유상증자(+)</t>
        </is>
      </c>
      <c r="H2768" s="15" t="n">
        <v>60000000</v>
      </c>
      <c r="I2768" s="6" t="n">
        <v>500</v>
      </c>
      <c r="J2768" s="6" t="n">
        <v>60000000</v>
      </c>
      <c r="K2768" s="16" t="n">
        <v>75.14</v>
      </c>
      <c r="L2768" s="2" t="inlineStr">
        <is>
          <t>20260604000187</t>
        </is>
      </c>
      <c r="M2768" s="8">
        <f>HYPERLINK("https://dart.fss.or.kr/dsaf001/main.do?rcpNo=20260604000187", "공시열람")</f>
        <v/>
      </c>
    </row>
    <row r="2769" ht="22" customHeight="1">
      <c r="A2769" s="2" t="inlineStr">
        <is>
          <t>2026-06-04</t>
        </is>
      </c>
      <c r="B2769" s="3" t="inlineStr">
        <is>
          <t>DN오토모티브</t>
        </is>
      </c>
      <c r="C2769" s="2" t="inlineStr">
        <is>
          <t>007340</t>
        </is>
      </c>
      <c r="D2769" s="2" t="inlineStr">
        <is>
          <t>대량보유</t>
        </is>
      </c>
      <c r="E2769" s="3" t="inlineStr">
        <is>
          <t>김상헌</t>
        </is>
      </c>
      <c r="F2769" s="3" t="inlineStr">
        <is>
          <t>보고자</t>
        </is>
      </c>
      <c r="G2769" s="3" t="inlineStr">
        <is>
          <t>특별관계자 보유주식의 계약 내용 변경</t>
        </is>
      </c>
      <c r="H2769" s="6" t="inlineStr"/>
      <c r="I2769" s="6" t="inlineStr"/>
      <c r="J2769" s="6" t="n">
        <v>30521335</v>
      </c>
      <c r="K2769" s="16" t="n">
        <v>4</v>
      </c>
      <c r="L2769" s="2" t="inlineStr">
        <is>
          <t>20260604000181</t>
        </is>
      </c>
      <c r="M2769" s="8">
        <f>HYPERLINK("https://dart.fss.or.kr/dsaf001/main.do?rcpNo=20260604000181", "공시열람")</f>
        <v/>
      </c>
    </row>
    <row r="2770" ht="22" customHeight="1">
      <c r="A2770" s="2" t="inlineStr">
        <is>
          <t>2026-06-04</t>
        </is>
      </c>
      <c r="B2770" s="3" t="inlineStr">
        <is>
          <t>이삭엔지니어링</t>
        </is>
      </c>
      <c r="C2770" s="2" t="inlineStr">
        <is>
          <t>351330</t>
        </is>
      </c>
      <c r="D2770" s="2" t="inlineStr">
        <is>
          <t>대량보유</t>
        </is>
      </c>
      <c r="E2770" s="3" t="inlineStr">
        <is>
          <t>김창수</t>
        </is>
      </c>
      <c r="F2770" s="3" t="inlineStr">
        <is>
          <t>보고자</t>
        </is>
      </c>
      <c r="G2770" s="3" t="inlineStr">
        <is>
          <t>특수관계자(임규선) 주식담보대출 기간 연장</t>
        </is>
      </c>
      <c r="H2770" s="6" t="inlineStr"/>
      <c r="I2770" s="6" t="inlineStr"/>
      <c r="J2770" s="6" t="n">
        <v>4676300</v>
      </c>
      <c r="K2770" s="16" t="n">
        <v>4</v>
      </c>
      <c r="L2770" s="2" t="inlineStr">
        <is>
          <t>20260604000162</t>
        </is>
      </c>
      <c r="M2770" s="8">
        <f>HYPERLINK("https://dart.fss.or.kr/dsaf001/main.do?rcpNo=20260604000162", "공시열람")</f>
        <v/>
      </c>
    </row>
    <row r="2771" ht="22" customHeight="1">
      <c r="A2771" s="2" t="inlineStr">
        <is>
          <t>2026-06-04</t>
        </is>
      </c>
      <c r="B2771" s="3" t="inlineStr">
        <is>
          <t>지누스</t>
        </is>
      </c>
      <c r="C2771" s="2" t="inlineStr">
        <is>
          <t>013890</t>
        </is>
      </c>
      <c r="D2771" s="2" t="inlineStr">
        <is>
          <t>대량보유</t>
        </is>
      </c>
      <c r="E2771" s="3" t="inlineStr">
        <is>
          <t>노경열</t>
        </is>
      </c>
      <c r="F2771" s="3" t="inlineStr">
        <is>
          <t>특별관계자</t>
        </is>
      </c>
      <c r="G2771" s="3" t="inlineStr">
        <is>
          <t>장내매수(+)</t>
        </is>
      </c>
      <c r="H2771" s="15" t="n">
        <v>392623</v>
      </c>
      <c r="I2771" s="6" t="n">
        <v>14272</v>
      </c>
      <c r="J2771" s="6" t="n">
        <v>1770000</v>
      </c>
      <c r="K2771" s="16" t="n">
        <v>9</v>
      </c>
      <c r="L2771" s="2" t="inlineStr">
        <is>
          <t>20260604000156</t>
        </is>
      </c>
      <c r="M2771" s="8">
        <f>HYPERLINK("https://dart.fss.or.kr/dsaf001/main.do?rcpNo=20260604000156", "공시열람")</f>
        <v/>
      </c>
    </row>
    <row r="2772" ht="22" customHeight="1">
      <c r="A2772" s="2" t="inlineStr">
        <is>
          <t>2026-06-04</t>
        </is>
      </c>
      <c r="B2772" s="3" t="inlineStr">
        <is>
          <t>지누스</t>
        </is>
      </c>
      <c r="C2772" s="2" t="inlineStr">
        <is>
          <t>013890</t>
        </is>
      </c>
      <c r="D2772" s="2" t="inlineStr">
        <is>
          <t>대량보유</t>
        </is>
      </c>
      <c r="E2772" s="3" t="inlineStr">
        <is>
          <t>OHKYUNGJA</t>
        </is>
      </c>
      <c r="F2772" s="3" t="inlineStr">
        <is>
          <t>특별관계자</t>
        </is>
      </c>
      <c r="G2772" s="3" t="inlineStr">
        <is>
          <t>장내매수(+)</t>
        </is>
      </c>
      <c r="H2772" s="15" t="n">
        <v>11000</v>
      </c>
      <c r="I2772" s="6" t="n">
        <v>11720</v>
      </c>
      <c r="J2772" s="6" t="n">
        <v>26000</v>
      </c>
      <c r="K2772" s="16" t="n">
        <v>9</v>
      </c>
      <c r="L2772" s="2" t="inlineStr">
        <is>
          <t>20260604000156</t>
        </is>
      </c>
      <c r="M2772" s="8">
        <f>HYPERLINK("https://dart.fss.or.kr/dsaf001/main.do?rcpNo=20260604000156", "공시열람")</f>
        <v/>
      </c>
    </row>
    <row r="2773" ht="22" customHeight="1">
      <c r="A2773" s="2" t="inlineStr">
        <is>
          <t>2026-06-04</t>
        </is>
      </c>
      <c r="B2773" s="3" t="inlineStr">
        <is>
          <t>스맥</t>
        </is>
      </c>
      <c r="C2773" s="2" t="inlineStr">
        <is>
          <t>099440</t>
        </is>
      </c>
      <c r="D2773" s="2" t="inlineStr">
        <is>
          <t>대량보유</t>
        </is>
      </c>
      <c r="E2773" s="3" t="inlineStr">
        <is>
          <t>최영섭</t>
        </is>
      </c>
      <c r="F2773" s="3" t="inlineStr">
        <is>
          <t>특별관계자</t>
        </is>
      </c>
      <c r="G2773" s="3" t="inlineStr">
        <is>
          <t>장내매수(+)</t>
        </is>
      </c>
      <c r="H2773" s="15" t="n">
        <v>86280</v>
      </c>
      <c r="I2773" s="6" t="n">
        <v>3474</v>
      </c>
      <c r="J2773" s="6" t="n">
        <v>7418299</v>
      </c>
      <c r="K2773" s="16" t="n">
        <v>3</v>
      </c>
      <c r="L2773" s="2" t="inlineStr">
        <is>
          <t>20260604000152</t>
        </is>
      </c>
      <c r="M2773" s="8">
        <f>HYPERLINK("https://dart.fss.or.kr/dsaf001/main.do?rcpNo=20260604000152", "공시열람")</f>
        <v/>
      </c>
    </row>
    <row r="2774" ht="22" customHeight="1">
      <c r="A2774" s="2" t="inlineStr">
        <is>
          <t>2026-06-04</t>
        </is>
      </c>
      <c r="B2774" s="3" t="inlineStr">
        <is>
          <t>스맥</t>
        </is>
      </c>
      <c r="C2774" s="2" t="inlineStr">
        <is>
          <t>099440</t>
        </is>
      </c>
      <c r="D2774" s="2" t="inlineStr">
        <is>
          <t>대량보유</t>
        </is>
      </c>
      <c r="E2774" s="3" t="inlineStr">
        <is>
          <t>권오혁</t>
        </is>
      </c>
      <c r="F2774" s="3" t="inlineStr">
        <is>
          <t>특별관계자</t>
        </is>
      </c>
      <c r="G2774" s="3" t="inlineStr">
        <is>
          <t>장내매수(+)</t>
        </is>
      </c>
      <c r="H2774" s="15" t="n">
        <v>43470</v>
      </c>
      <c r="I2774" s="6" t="n">
        <v>3450</v>
      </c>
      <c r="J2774" s="6" t="n">
        <v>723470</v>
      </c>
      <c r="K2774" s="16" t="n">
        <v>3</v>
      </c>
      <c r="L2774" s="2" t="inlineStr">
        <is>
          <t>20260604000152</t>
        </is>
      </c>
      <c r="M2774" s="8">
        <f>HYPERLINK("https://dart.fss.or.kr/dsaf001/main.do?rcpNo=20260604000152", "공시열람")</f>
        <v/>
      </c>
    </row>
    <row r="2775" ht="22" customHeight="1">
      <c r="A2775" s="2" t="inlineStr">
        <is>
          <t>2026-06-04</t>
        </is>
      </c>
      <c r="B2775" s="3" t="inlineStr">
        <is>
          <t>코미코</t>
        </is>
      </c>
      <c r="C2775" s="2" t="inlineStr">
        <is>
          <t>183300</t>
        </is>
      </c>
      <c r="D2775" s="2" t="inlineStr">
        <is>
          <t>대량보유</t>
        </is>
      </c>
      <c r="E2775" s="3" t="inlineStr">
        <is>
          <t>MiriCapitalManagementLLC</t>
        </is>
      </c>
      <c r="F2775" s="3" t="inlineStr">
        <is>
          <t>특별관계자</t>
        </is>
      </c>
      <c r="G2775" s="3" t="inlineStr">
        <is>
          <t>신규보고(+), 무상신주취득(+), 장내매수(+)</t>
        </is>
      </c>
      <c r="H2775" s="15" t="n">
        <v>1152431</v>
      </c>
      <c r="I2775" s="6" t="n">
        <v>94067</v>
      </c>
      <c r="J2775" s="6" t="n">
        <v>1152431</v>
      </c>
      <c r="K2775" s="16" t="n">
        <v>2</v>
      </c>
      <c r="L2775" s="2" t="inlineStr">
        <is>
          <t>20260604000129</t>
        </is>
      </c>
      <c r="M2775" s="8">
        <f>HYPERLINK("https://dart.fss.or.kr/dsaf001/main.do?rcpNo=20260604000129", "공시열람")</f>
        <v/>
      </c>
    </row>
    <row r="2776" ht="22" customHeight="1">
      <c r="A2776" s="2" t="inlineStr">
        <is>
          <t>2026-06-04</t>
        </is>
      </c>
      <c r="B2776" s="3" t="inlineStr">
        <is>
          <t>뉴보텍</t>
        </is>
      </c>
      <c r="C2776" s="2" t="inlineStr">
        <is>
          <t>060260</t>
        </is>
      </c>
      <c r="D2776" s="2" t="inlineStr">
        <is>
          <t>대량보유</t>
        </is>
      </c>
      <c r="E2776" s="3" t="inlineStr">
        <is>
          <t>(주)에코</t>
        </is>
      </c>
      <c r="F2776" s="3" t="inlineStr">
        <is>
          <t>특별관계자</t>
        </is>
      </c>
      <c r="G2776" s="3" t="inlineStr">
        <is>
          <t>장내매수(+)</t>
        </is>
      </c>
      <c r="H2776" s="15" t="n">
        <v>47252</v>
      </c>
      <c r="I2776" s="6" t="n">
        <v>1056</v>
      </c>
      <c r="J2776" s="6" t="n">
        <v>2292889</v>
      </c>
      <c r="K2776" s="16" t="n">
        <v>7</v>
      </c>
      <c r="L2776" s="2" t="inlineStr">
        <is>
          <t>20260604000120</t>
        </is>
      </c>
      <c r="M2776" s="8">
        <f>HYPERLINK("https://dart.fss.or.kr/dsaf001/main.do?rcpNo=20260604000120", "공시열람")</f>
        <v/>
      </c>
    </row>
    <row r="2777" ht="22" customHeight="1">
      <c r="A2777" s="2" t="inlineStr">
        <is>
          <t>2026-06-04</t>
        </is>
      </c>
      <c r="B2777" s="3" t="inlineStr">
        <is>
          <t>뉴보텍</t>
        </is>
      </c>
      <c r="C2777" s="2" t="inlineStr">
        <is>
          <t>060260</t>
        </is>
      </c>
      <c r="D2777" s="2" t="inlineStr">
        <is>
          <t>대량보유</t>
        </is>
      </c>
      <c r="E2777" s="3" t="inlineStr">
        <is>
          <t>황문기</t>
        </is>
      </c>
      <c r="F2777" s="3" t="inlineStr">
        <is>
          <t>특별관계자</t>
        </is>
      </c>
      <c r="G2777" s="3" t="inlineStr">
        <is>
          <t>장내매수(+)</t>
        </is>
      </c>
      <c r="H2777" s="15" t="n">
        <v>47310</v>
      </c>
      <c r="I2777" s="6" t="n">
        <v>1055</v>
      </c>
      <c r="J2777" s="6" t="n">
        <v>313810</v>
      </c>
      <c r="K2777" s="16" t="n">
        <v>7</v>
      </c>
      <c r="L2777" s="2" t="inlineStr">
        <is>
          <t>20260604000120</t>
        </is>
      </c>
      <c r="M2777" s="8">
        <f>HYPERLINK("https://dart.fss.or.kr/dsaf001/main.do?rcpNo=20260604000120", "공시열람")</f>
        <v/>
      </c>
    </row>
    <row r="2778" ht="22" customHeight="1">
      <c r="A2778" s="2" t="inlineStr">
        <is>
          <t>2026-06-04</t>
        </is>
      </c>
      <c r="B2778" s="3" t="inlineStr">
        <is>
          <t>뉴보텍</t>
        </is>
      </c>
      <c r="C2778" s="2" t="inlineStr">
        <is>
          <t>060260</t>
        </is>
      </c>
      <c r="D2778" s="2" t="inlineStr">
        <is>
          <t>대량보유</t>
        </is>
      </c>
      <c r="E2778" s="3" t="inlineStr">
        <is>
          <t>황희선</t>
        </is>
      </c>
      <c r="F2778" s="3" t="inlineStr">
        <is>
          <t>특별관계자</t>
        </is>
      </c>
      <c r="G2778" s="3" t="inlineStr">
        <is>
          <t>장내매수(+)</t>
        </is>
      </c>
      <c r="H2778" s="15" t="n">
        <v>91342</v>
      </c>
      <c r="I2778" s="6" t="n">
        <v>1093</v>
      </c>
      <c r="J2778" s="6" t="n">
        <v>291369</v>
      </c>
      <c r="K2778" s="16" t="n">
        <v>7</v>
      </c>
      <c r="L2778" s="2" t="inlineStr">
        <is>
          <t>20260604000120</t>
        </is>
      </c>
      <c r="M2778" s="8">
        <f>HYPERLINK("https://dart.fss.or.kr/dsaf001/main.do?rcpNo=20260604000120", "공시열람")</f>
        <v/>
      </c>
    </row>
    <row r="2779" ht="22" customHeight="1">
      <c r="A2779" s="2" t="inlineStr">
        <is>
          <t>2026-06-04</t>
        </is>
      </c>
      <c r="B2779" s="3" t="inlineStr">
        <is>
          <t>뉴보텍</t>
        </is>
      </c>
      <c r="C2779" s="2" t="inlineStr">
        <is>
          <t>060260</t>
        </is>
      </c>
      <c r="D2779" s="2" t="inlineStr">
        <is>
          <t>대량보유</t>
        </is>
      </c>
      <c r="E2779" s="3" t="inlineStr">
        <is>
          <t>황희림</t>
        </is>
      </c>
      <c r="F2779" s="3" t="inlineStr">
        <is>
          <t>특별관계자</t>
        </is>
      </c>
      <c r="G2779" s="3" t="inlineStr">
        <is>
          <t>장내매수(+)</t>
        </is>
      </c>
      <c r="H2779" s="15" t="n">
        <v>47487</v>
      </c>
      <c r="I2779" s="6" t="n">
        <v>1073</v>
      </c>
      <c r="J2779" s="6" t="n">
        <v>133933</v>
      </c>
      <c r="K2779" s="16" t="n">
        <v>7</v>
      </c>
      <c r="L2779" s="2" t="inlineStr">
        <is>
          <t>20260604000120</t>
        </is>
      </c>
      <c r="M2779" s="8">
        <f>HYPERLINK("https://dart.fss.or.kr/dsaf001/main.do?rcpNo=20260604000120", "공시열람")</f>
        <v/>
      </c>
    </row>
    <row r="2780" ht="22" customHeight="1">
      <c r="A2780" s="2" t="inlineStr">
        <is>
          <t>2026-06-04</t>
        </is>
      </c>
      <c r="B2780" s="3" t="inlineStr">
        <is>
          <t>농심홀딩스</t>
        </is>
      </c>
      <c r="C2780" s="2" t="inlineStr">
        <is>
          <t>072710</t>
        </is>
      </c>
      <c r="D2780" s="2" t="inlineStr">
        <is>
          <t>임원보고</t>
        </is>
      </c>
      <c r="E2780" s="3" t="inlineStr">
        <is>
          <t>-</t>
        </is>
      </c>
      <c r="F2780" s="3" t="inlineStr">
        <is>
          <t>-</t>
        </is>
      </c>
      <c r="G2780" s="3" t="inlineStr">
        <is>
          <t>-</t>
        </is>
      </c>
      <c r="H2780" s="6" t="inlineStr"/>
      <c r="I2780" s="6" t="inlineStr"/>
      <c r="J2780" s="6" t="inlineStr"/>
      <c r="K2780" s="16" t="n">
        <v>12</v>
      </c>
      <c r="L2780" s="2" t="inlineStr">
        <is>
          <t>20260604800248</t>
        </is>
      </c>
      <c r="M2780" s="8">
        <f>HYPERLINK("https://dart.fss.or.kr/dsaf001/main.do?rcpNo=20260604800248", "공시열람")</f>
        <v/>
      </c>
    </row>
    <row r="2781" ht="22" customHeight="1">
      <c r="A2781" s="2" t="inlineStr">
        <is>
          <t>2026-06-04</t>
        </is>
      </c>
      <c r="B2781" s="3" t="inlineStr">
        <is>
          <t>유라클</t>
        </is>
      </c>
      <c r="C2781" s="2" t="inlineStr">
        <is>
          <t>088340</t>
        </is>
      </c>
      <c r="D2781" s="2" t="inlineStr">
        <is>
          <t>대량보유</t>
        </is>
      </c>
      <c r="E2781" s="3" t="inlineStr">
        <is>
          <t>조준희</t>
        </is>
      </c>
      <c r="F2781" s="3" t="inlineStr">
        <is>
          <t>특별관계자</t>
        </is>
      </c>
      <c r="G2781" s="3" t="inlineStr">
        <is>
          <t>장내매수(+)</t>
        </is>
      </c>
      <c r="H2781" s="15" t="n">
        <v>6000</v>
      </c>
      <c r="I2781" s="6" t="n">
        <v>9558</v>
      </c>
      <c r="J2781" s="6" t="n">
        <v>642780</v>
      </c>
      <c r="K2781" s="16" t="n">
        <v>14</v>
      </c>
      <c r="L2781" s="2" t="inlineStr">
        <is>
          <t>20260604000083</t>
        </is>
      </c>
      <c r="M2781" s="8">
        <f>HYPERLINK("https://dart.fss.or.kr/dsaf001/main.do?rcpNo=20260604000083", "공시열람")</f>
        <v/>
      </c>
    </row>
    <row r="2782" ht="22" customHeight="1">
      <c r="A2782" s="2" t="inlineStr">
        <is>
          <t>2026-06-04</t>
        </is>
      </c>
      <c r="B2782" s="3" t="inlineStr">
        <is>
          <t>코리아나</t>
        </is>
      </c>
      <c r="C2782" s="2" t="inlineStr">
        <is>
          <t>027050</t>
        </is>
      </c>
      <c r="D2782" s="2" t="inlineStr">
        <is>
          <t>대량보유</t>
        </is>
      </c>
      <c r="E2782" s="3" t="inlineStr">
        <is>
          <t>유민수</t>
        </is>
      </c>
      <c r="F2782" s="3" t="inlineStr">
        <is>
          <t>특별관계자</t>
        </is>
      </c>
      <c r="G2782" s="3" t="inlineStr">
        <is>
          <t>장내매도(-)</t>
        </is>
      </c>
      <c r="H2782" s="17" t="n">
        <v>-43000</v>
      </c>
      <c r="I2782" s="6" t="n">
        <v>4864</v>
      </c>
      <c r="J2782" s="6" t="n">
        <v>313075</v>
      </c>
      <c r="K2782" s="16" t="n">
        <v>13</v>
      </c>
      <c r="L2782" s="2" t="inlineStr">
        <is>
          <t>20260604000070</t>
        </is>
      </c>
      <c r="M2782" s="8">
        <f>HYPERLINK("https://dart.fss.or.kr/dsaf001/main.do?rcpNo=20260604000070", "공시열람")</f>
        <v/>
      </c>
    </row>
    <row r="2783" ht="22" customHeight="1">
      <c r="A2783" s="2" t="inlineStr">
        <is>
          <t>2026-06-04</t>
        </is>
      </c>
      <c r="B2783" s="3" t="inlineStr">
        <is>
          <t>코리아나</t>
        </is>
      </c>
      <c r="C2783" s="2" t="inlineStr">
        <is>
          <t>027050</t>
        </is>
      </c>
      <c r="D2783" s="2" t="inlineStr">
        <is>
          <t>대량보유</t>
        </is>
      </c>
      <c r="E2783" s="3" t="inlineStr">
        <is>
          <t>유영준</t>
        </is>
      </c>
      <c r="F2783" s="3" t="inlineStr">
        <is>
          <t>특별관계자</t>
        </is>
      </c>
      <c r="G2783" s="3" t="inlineStr">
        <is>
          <t>장내매도(-)</t>
        </is>
      </c>
      <c r="H2783" s="17" t="n">
        <v>-10015</v>
      </c>
      <c r="I2783" s="6" t="n">
        <v>3302</v>
      </c>
      <c r="J2783" s="6" t="n">
        <v>208200</v>
      </c>
      <c r="K2783" s="16" t="n">
        <v>13</v>
      </c>
      <c r="L2783" s="2" t="inlineStr">
        <is>
          <t>20260604000070</t>
        </is>
      </c>
      <c r="M2783" s="8">
        <f>HYPERLINK("https://dart.fss.or.kr/dsaf001/main.do?rcpNo=20260604000070", "공시열람")</f>
        <v/>
      </c>
    </row>
    <row r="2784" ht="22" customHeight="1">
      <c r="A2784" s="2" t="inlineStr">
        <is>
          <t>2026-06-04</t>
        </is>
      </c>
      <c r="B2784" s="3" t="inlineStr">
        <is>
          <t>코리아나</t>
        </is>
      </c>
      <c r="C2784" s="2" t="inlineStr">
        <is>
          <t>027050</t>
        </is>
      </c>
      <c r="D2784" s="2" t="inlineStr">
        <is>
          <t>대량보유</t>
        </is>
      </c>
      <c r="E2784" s="3" t="inlineStr">
        <is>
          <t>김영태</t>
        </is>
      </c>
      <c r="F2784" s="3" t="inlineStr">
        <is>
          <t>특별관계자</t>
        </is>
      </c>
      <c r="G2784" s="3" t="inlineStr">
        <is>
          <t>장내매수(+)</t>
        </is>
      </c>
      <c r="H2784" s="15" t="n">
        <v>89800</v>
      </c>
      <c r="I2784" s="6" t="n">
        <v>1745</v>
      </c>
      <c r="J2784" s="6" t="n">
        <v>100000</v>
      </c>
      <c r="K2784" s="16" t="n">
        <v>13</v>
      </c>
      <c r="L2784" s="2" t="inlineStr">
        <is>
          <t>20260604000070</t>
        </is>
      </c>
      <c r="M2784" s="8">
        <f>HYPERLINK("https://dart.fss.or.kr/dsaf001/main.do?rcpNo=20260604000070", "공시열람")</f>
        <v/>
      </c>
    </row>
    <row r="2785" ht="22" customHeight="1">
      <c r="A2785" s="2" t="inlineStr">
        <is>
          <t>2026-06-04</t>
        </is>
      </c>
      <c r="B2785" s="3" t="inlineStr">
        <is>
          <t>코리아나</t>
        </is>
      </c>
      <c r="C2785" s="2" t="inlineStr">
        <is>
          <t>027050</t>
        </is>
      </c>
      <c r="D2785" s="2" t="inlineStr">
        <is>
          <t>대량보유</t>
        </is>
      </c>
      <c r="E2785" s="3" t="inlineStr">
        <is>
          <t>김태준</t>
        </is>
      </c>
      <c r="F2785" s="3" t="inlineStr">
        <is>
          <t>특별관계자</t>
        </is>
      </c>
      <c r="G2785" s="3" t="inlineStr">
        <is>
          <t>장내매수(+)</t>
        </is>
      </c>
      <c r="H2785" s="15" t="n">
        <v>50000</v>
      </c>
      <c r="I2785" s="6" t="n">
        <v>1652</v>
      </c>
      <c r="J2785" s="6" t="n">
        <v>50000</v>
      </c>
      <c r="K2785" s="16" t="n">
        <v>13</v>
      </c>
      <c r="L2785" s="2" t="inlineStr">
        <is>
          <t>20260604000070</t>
        </is>
      </c>
      <c r="M2785" s="8">
        <f>HYPERLINK("https://dart.fss.or.kr/dsaf001/main.do?rcpNo=20260604000070", "공시열람")</f>
        <v/>
      </c>
    </row>
    <row r="2786" ht="22" customHeight="1">
      <c r="A2786" s="2" t="inlineStr">
        <is>
          <t>2026-06-04</t>
        </is>
      </c>
      <c r="B2786" s="3" t="inlineStr">
        <is>
          <t>이퓨쳐</t>
        </is>
      </c>
      <c r="C2786" s="2" t="inlineStr">
        <is>
          <t>134060</t>
        </is>
      </c>
      <c r="D2786" s="2" t="inlineStr">
        <is>
          <t>대량보유</t>
        </is>
      </c>
      <c r="E2786" s="3" t="inlineStr">
        <is>
          <t>이기현</t>
        </is>
      </c>
      <c r="F2786" s="3" t="inlineStr">
        <is>
          <t>특별관계자</t>
        </is>
      </c>
      <c r="G2786" s="3" t="inlineStr">
        <is>
          <t>장내매수(+)</t>
        </is>
      </c>
      <c r="H2786" s="15" t="n">
        <v>2360</v>
      </c>
      <c r="I2786" s="6" t="n">
        <v>3700</v>
      </c>
      <c r="J2786" s="6" t="n">
        <v>1203058</v>
      </c>
      <c r="K2786" s="16" t="n">
        <v>2</v>
      </c>
      <c r="L2786" s="2" t="inlineStr">
        <is>
          <t>20260604000069</t>
        </is>
      </c>
      <c r="M2786" s="8">
        <f>HYPERLINK("https://dart.fss.or.kr/dsaf001/main.do?rcpNo=20260604000069", "공시열람")</f>
        <v/>
      </c>
    </row>
    <row r="2787" ht="22" customHeight="1">
      <c r="A2787" s="2" t="inlineStr">
        <is>
          <t>2026-06-04</t>
        </is>
      </c>
      <c r="B2787" s="3" t="inlineStr">
        <is>
          <t>공구우먼</t>
        </is>
      </c>
      <c r="C2787" s="2" t="inlineStr">
        <is>
          <t>366030</t>
        </is>
      </c>
      <c r="D2787" s="2" t="inlineStr">
        <is>
          <t>대량보유</t>
        </is>
      </c>
      <c r="E2787" s="3" t="inlineStr">
        <is>
          <t>(주)씨씨지모뉴먼트홀딩스</t>
        </is>
      </c>
      <c r="F2787" s="3" t="inlineStr">
        <is>
          <t>특별관계자</t>
        </is>
      </c>
      <c r="G2787" s="3" t="inlineStr">
        <is>
          <t>특별관계자 추가</t>
        </is>
      </c>
      <c r="H2787" s="6" t="inlineStr"/>
      <c r="I2787" s="6" t="inlineStr"/>
      <c r="J2787" s="6" t="inlineStr"/>
      <c r="K2787" s="16" t="n">
        <v>3</v>
      </c>
      <c r="L2787" s="2" t="inlineStr">
        <is>
          <t>20260604000047</t>
        </is>
      </c>
      <c r="M2787" s="8">
        <f>HYPERLINK("https://dart.fss.or.kr/dsaf001/main.do?rcpNo=20260604000047", "공시열람")</f>
        <v/>
      </c>
    </row>
    <row r="2788" ht="22" customHeight="1">
      <c r="A2788" s="2" t="inlineStr">
        <is>
          <t>2026-06-04</t>
        </is>
      </c>
      <c r="B2788" s="3" t="inlineStr">
        <is>
          <t>엠에프씨</t>
        </is>
      </c>
      <c r="C2788" s="2" t="inlineStr">
        <is>
          <t>432980</t>
        </is>
      </c>
      <c r="D2788" s="2" t="inlineStr">
        <is>
          <t>대량보유</t>
        </is>
      </c>
      <c r="E2788" s="3" t="inlineStr">
        <is>
          <t>황성관</t>
        </is>
      </c>
      <c r="F2788" s="3" t="inlineStr">
        <is>
          <t>특별관계자</t>
        </is>
      </c>
      <c r="G2788" s="3" t="inlineStr">
        <is>
          <t>장내매수(+)</t>
        </is>
      </c>
      <c r="H2788" s="15" t="n">
        <v>5000</v>
      </c>
      <c r="I2788" s="6" t="n">
        <v>2996</v>
      </c>
      <c r="J2788" s="6" t="n">
        <v>2897802</v>
      </c>
      <c r="K2788" s="16" t="n">
        <v>15</v>
      </c>
      <c r="L2788" s="2" t="inlineStr">
        <is>
          <t>20260604000030</t>
        </is>
      </c>
      <c r="M2788" s="8">
        <f>HYPERLINK("https://dart.fss.or.kr/dsaf001/main.do?rcpNo=20260604000030", "공시열람")</f>
        <v/>
      </c>
    </row>
    <row r="2789" ht="22" customHeight="1">
      <c r="A2789" s="2" t="inlineStr">
        <is>
          <t>2026-06-04</t>
        </is>
      </c>
      <c r="B2789" s="3" t="inlineStr">
        <is>
          <t>엠에프씨</t>
        </is>
      </c>
      <c r="C2789" s="2" t="inlineStr">
        <is>
          <t>432980</t>
        </is>
      </c>
      <c r="D2789" s="2" t="inlineStr">
        <is>
          <t>대량보유</t>
        </is>
      </c>
      <c r="E2789" s="3" t="inlineStr">
        <is>
          <t>홍문기</t>
        </is>
      </c>
      <c r="F2789" s="3" t="inlineStr">
        <is>
          <t>특별관계자</t>
        </is>
      </c>
      <c r="G2789" s="3" t="inlineStr">
        <is>
          <t>장내매수(+)</t>
        </is>
      </c>
      <c r="H2789" s="15" t="n">
        <v>1152</v>
      </c>
      <c r="I2789" s="6" t="n">
        <v>2664</v>
      </c>
      <c r="J2789" s="6" t="n">
        <v>4064</v>
      </c>
      <c r="K2789" s="16" t="n">
        <v>15</v>
      </c>
      <c r="L2789" s="2" t="inlineStr">
        <is>
          <t>20260604000030</t>
        </is>
      </c>
      <c r="M2789" s="8">
        <f>HYPERLINK("https://dart.fss.or.kr/dsaf001/main.do?rcpNo=20260604000030", "공시열람")</f>
        <v/>
      </c>
    </row>
    <row r="2790" ht="22" customHeight="1">
      <c r="A2790" s="2" t="inlineStr">
        <is>
          <t>2026-06-04</t>
        </is>
      </c>
      <c r="B2790" s="3" t="inlineStr">
        <is>
          <t>엠에프씨</t>
        </is>
      </c>
      <c r="C2790" s="2" t="inlineStr">
        <is>
          <t>432980</t>
        </is>
      </c>
      <c r="D2790" s="2" t="inlineStr">
        <is>
          <t>대량보유</t>
        </is>
      </c>
      <c r="E2790" s="3" t="inlineStr">
        <is>
          <t>황준표</t>
        </is>
      </c>
      <c r="F2790" s="3" t="inlineStr">
        <is>
          <t>특별관계자</t>
        </is>
      </c>
      <c r="G2790" s="3" t="inlineStr">
        <is>
          <t>장내매수(+)</t>
        </is>
      </c>
      <c r="H2790" s="15" t="n">
        <v>14000</v>
      </c>
      <c r="I2790" s="6" t="n">
        <v>2648</v>
      </c>
      <c r="J2790" s="6" t="n">
        <v>146912</v>
      </c>
      <c r="K2790" s="16" t="n">
        <v>15</v>
      </c>
      <c r="L2790" s="2" t="inlineStr">
        <is>
          <t>20260604000030</t>
        </is>
      </c>
      <c r="M2790" s="8">
        <f>HYPERLINK("https://dart.fss.or.kr/dsaf001/main.do?rcpNo=20260604000030", "공시열람")</f>
        <v/>
      </c>
    </row>
    <row r="2791" ht="22" customHeight="1">
      <c r="A2791" s="2" t="inlineStr">
        <is>
          <t>2026-06-04</t>
        </is>
      </c>
      <c r="B2791" s="3" t="inlineStr">
        <is>
          <t>평화산업</t>
        </is>
      </c>
      <c r="C2791" s="2" t="inlineStr">
        <is>
          <t>090080</t>
        </is>
      </c>
      <c r="D2791" s="2" t="inlineStr">
        <is>
          <t>임원보고</t>
        </is>
      </c>
      <c r="E2791" s="3" t="inlineStr">
        <is>
          <t>-</t>
        </is>
      </c>
      <c r="F2791" s="3" t="inlineStr">
        <is>
          <t>-</t>
        </is>
      </c>
      <c r="G2791" s="3" t="inlineStr">
        <is>
          <t>-</t>
        </is>
      </c>
      <c r="H2791" s="6" t="inlineStr"/>
      <c r="I2791" s="6" t="inlineStr"/>
      <c r="J2791" s="6" t="inlineStr"/>
      <c r="K2791" s="16" t="n">
        <v>12</v>
      </c>
      <c r="L2791" s="2" t="inlineStr">
        <is>
          <t>20260604800151</t>
        </is>
      </c>
      <c r="M2791" s="8">
        <f>HYPERLINK("https://dart.fss.or.kr/dsaf001/main.do?rcpNo=20260604800151", "공시열람")</f>
        <v/>
      </c>
    </row>
    <row r="2792" ht="22" customHeight="1">
      <c r="A2792" s="2" t="inlineStr">
        <is>
          <t>2026-06-04</t>
        </is>
      </c>
      <c r="B2792" s="3" t="inlineStr">
        <is>
          <t>KTis</t>
        </is>
      </c>
      <c r="C2792" s="2" t="inlineStr">
        <is>
          <t>058860</t>
        </is>
      </c>
      <c r="D2792" s="2" t="inlineStr">
        <is>
          <t>대량보유</t>
        </is>
      </c>
      <c r="E2792" s="3" t="inlineStr">
        <is>
          <t>이선주</t>
        </is>
      </c>
      <c r="F2792" s="3" t="inlineStr">
        <is>
          <t>특별관계자</t>
        </is>
      </c>
      <c r="G2792" s="3" t="inlineStr">
        <is>
          <t>임원퇴임(-)</t>
        </is>
      </c>
      <c r="H2792" s="17" t="n">
        <v>-1000</v>
      </c>
      <c r="I2792" s="6" t="inlineStr"/>
      <c r="J2792" s="6" t="inlineStr"/>
      <c r="K2792" s="16" t="n">
        <v>3</v>
      </c>
      <c r="L2792" s="2" t="inlineStr">
        <is>
          <t>20260604000024</t>
        </is>
      </c>
      <c r="M2792" s="8">
        <f>HYPERLINK("https://dart.fss.or.kr/dsaf001/main.do?rcpNo=20260604000024", "공시열람")</f>
        <v/>
      </c>
    </row>
    <row r="2793" ht="22" customHeight="1">
      <c r="A2793" s="2" t="inlineStr">
        <is>
          <t>2026-06-04</t>
        </is>
      </c>
      <c r="B2793" s="3" t="inlineStr">
        <is>
          <t>KTis</t>
        </is>
      </c>
      <c r="C2793" s="2" t="inlineStr">
        <is>
          <t>058860</t>
        </is>
      </c>
      <c r="D2793" s="2" t="inlineStr">
        <is>
          <t>대량보유</t>
        </is>
      </c>
      <c r="E2793" s="3" t="inlineStr">
        <is>
          <t>양율모</t>
        </is>
      </c>
      <c r="F2793" s="3" t="inlineStr">
        <is>
          <t>특별관계자</t>
        </is>
      </c>
      <c r="G2793" s="3" t="inlineStr">
        <is>
          <t>장내매수(+)</t>
        </is>
      </c>
      <c r="H2793" s="15" t="n">
        <v>10000</v>
      </c>
      <c r="I2793" s="6" t="n">
        <v>2698</v>
      </c>
      <c r="J2793" s="6" t="n">
        <v>10000</v>
      </c>
      <c r="K2793" s="16" t="n">
        <v>3</v>
      </c>
      <c r="L2793" s="2" t="inlineStr">
        <is>
          <t>20260604000024</t>
        </is>
      </c>
      <c r="M2793" s="8">
        <f>HYPERLINK("https://dart.fss.or.kr/dsaf001/main.do?rcpNo=20260604000024", "공시열람")</f>
        <v/>
      </c>
    </row>
    <row r="2794" ht="22" customHeight="1">
      <c r="A2794" s="2" t="inlineStr">
        <is>
          <t>2026-06-04</t>
        </is>
      </c>
      <c r="B2794" s="3" t="inlineStr">
        <is>
          <t>KTis</t>
        </is>
      </c>
      <c r="C2794" s="2" t="inlineStr">
        <is>
          <t>058860</t>
        </is>
      </c>
      <c r="D2794" s="2" t="inlineStr">
        <is>
          <t>대량보유</t>
        </is>
      </c>
      <c r="E2794" s="3" t="inlineStr">
        <is>
          <t>윤영균</t>
        </is>
      </c>
      <c r="F2794" s="3" t="inlineStr">
        <is>
          <t>특별관계자</t>
        </is>
      </c>
      <c r="G2794" s="3" t="inlineStr">
        <is>
          <t>장내매수(+)</t>
        </is>
      </c>
      <c r="H2794" s="15" t="n">
        <v>10000</v>
      </c>
      <c r="I2794" s="6" t="n">
        <v>2668</v>
      </c>
      <c r="J2794" s="6" t="n">
        <v>10000</v>
      </c>
      <c r="K2794" s="16" t="n">
        <v>3</v>
      </c>
      <c r="L2794" s="2" t="inlineStr">
        <is>
          <t>20260604000024</t>
        </is>
      </c>
      <c r="M2794" s="8">
        <f>HYPERLINK("https://dart.fss.or.kr/dsaf001/main.do?rcpNo=20260604000024", "공시열람")</f>
        <v/>
      </c>
    </row>
    <row r="2795" ht="22" customHeight="1">
      <c r="A2795" s="2" t="inlineStr">
        <is>
          <t>2026-06-04</t>
        </is>
      </c>
      <c r="B2795" s="3" t="inlineStr">
        <is>
          <t>티비에이치글로벌</t>
        </is>
      </c>
      <c r="C2795" s="2" t="inlineStr">
        <is>
          <t>084870</t>
        </is>
      </c>
      <c r="D2795" s="2" t="inlineStr">
        <is>
          <t>임원보고</t>
        </is>
      </c>
      <c r="E2795" s="3" t="inlineStr">
        <is>
          <t>-</t>
        </is>
      </c>
      <c r="F2795" s="3" t="inlineStr">
        <is>
          <t>-</t>
        </is>
      </c>
      <c r="G2795" s="3" t="inlineStr">
        <is>
          <t>-</t>
        </is>
      </c>
      <c r="H2795" s="6" t="inlineStr"/>
      <c r="I2795" s="6" t="inlineStr"/>
      <c r="J2795" s="6" t="inlineStr"/>
      <c r="K2795" s="16" t="n">
        <v>12</v>
      </c>
      <c r="L2795" s="2" t="inlineStr">
        <is>
          <t>20260604800096</t>
        </is>
      </c>
      <c r="M2795" s="8">
        <f>HYPERLINK("https://dart.fss.or.kr/dsaf001/main.do?rcpNo=20260604800096", "공시열람")</f>
        <v/>
      </c>
    </row>
    <row r="2796" ht="22" customHeight="1">
      <c r="A2796" s="2" t="inlineStr">
        <is>
          <t>2026-06-05</t>
        </is>
      </c>
      <c r="B2796" s="3" t="inlineStr">
        <is>
          <t>진양제약</t>
        </is>
      </c>
      <c r="C2796" s="2" t="inlineStr">
        <is>
          <t>007370</t>
        </is>
      </c>
      <c r="D2796" s="2" t="inlineStr">
        <is>
          <t>대량보유</t>
        </is>
      </c>
      <c r="E2796" s="3" t="inlineStr">
        <is>
          <t>최윤환</t>
        </is>
      </c>
      <c r="F2796" s="3" t="inlineStr">
        <is>
          <t>특별관계자</t>
        </is>
      </c>
      <c r="G2796" s="3" t="inlineStr">
        <is>
          <t>증여(-)</t>
        </is>
      </c>
      <c r="H2796" s="17" t="n">
        <v>-200000</v>
      </c>
      <c r="I2796" s="6" t="inlineStr"/>
      <c r="J2796" s="6" t="n">
        <v>130690</v>
      </c>
      <c r="K2796" s="16" t="n">
        <v>6</v>
      </c>
      <c r="L2796" s="2" t="inlineStr">
        <is>
          <t>20260605000664</t>
        </is>
      </c>
      <c r="M2796" s="8">
        <f>HYPERLINK("https://dart.fss.or.kr/dsaf001/main.do?rcpNo=20260605000664", "공시열람")</f>
        <v/>
      </c>
    </row>
    <row r="2797" ht="22" customHeight="1">
      <c r="A2797" s="2" t="inlineStr">
        <is>
          <t>2026-06-05</t>
        </is>
      </c>
      <c r="B2797" s="3" t="inlineStr">
        <is>
          <t>쓰리에이로직스</t>
        </is>
      </c>
      <c r="C2797" s="2" t="inlineStr">
        <is>
          <t>177900</t>
        </is>
      </c>
      <c r="D2797" s="2" t="inlineStr">
        <is>
          <t>대량보유</t>
        </is>
      </c>
      <c r="E2797" s="3" t="inlineStr">
        <is>
          <t>강우철</t>
        </is>
      </c>
      <c r="F2797" s="3" t="inlineStr">
        <is>
          <t>특별관계자</t>
        </is>
      </c>
      <c r="G2797" s="3" t="inlineStr">
        <is>
          <t>주식매수선택권행사(+), 장내매수(+)</t>
        </is>
      </c>
      <c r="H2797" s="15" t="n">
        <v>8681</v>
      </c>
      <c r="I2797" s="6" t="n">
        <v>5850</v>
      </c>
      <c r="J2797" s="6" t="n">
        <v>94281</v>
      </c>
      <c r="K2797" s="16" t="n">
        <v>7</v>
      </c>
      <c r="L2797" s="2" t="inlineStr">
        <is>
          <t>20260605000656</t>
        </is>
      </c>
      <c r="M2797" s="8">
        <f>HYPERLINK("https://dart.fss.or.kr/dsaf001/main.do?rcpNo=20260605000656", "공시열람")</f>
        <v/>
      </c>
    </row>
    <row r="2798" ht="22" customHeight="1">
      <c r="A2798" s="2" t="inlineStr">
        <is>
          <t>2026-06-05</t>
        </is>
      </c>
      <c r="B2798" s="3" t="inlineStr">
        <is>
          <t>쓰리에이로직스</t>
        </is>
      </c>
      <c r="C2798" s="2" t="inlineStr">
        <is>
          <t>177900</t>
        </is>
      </c>
      <c r="D2798" s="2" t="inlineStr">
        <is>
          <t>대량보유</t>
        </is>
      </c>
      <c r="E2798" s="3" t="inlineStr">
        <is>
          <t>김성완</t>
        </is>
      </c>
      <c r="F2798" s="3" t="inlineStr">
        <is>
          <t>특별관계자</t>
        </is>
      </c>
      <c r="G2798" s="3" t="inlineStr">
        <is>
          <t>주식매수선택권행사(+)</t>
        </is>
      </c>
      <c r="H2798" s="6" t="inlineStr"/>
      <c r="I2798" s="6" t="inlineStr"/>
      <c r="J2798" s="6" t="n">
        <v>98400</v>
      </c>
      <c r="K2798" s="16" t="n">
        <v>7</v>
      </c>
      <c r="L2798" s="2" t="inlineStr">
        <is>
          <t>20260605000656</t>
        </is>
      </c>
      <c r="M2798" s="8">
        <f>HYPERLINK("https://dart.fss.or.kr/dsaf001/main.do?rcpNo=20260605000656", "공시열람")</f>
        <v/>
      </c>
    </row>
    <row r="2799" ht="22" customHeight="1">
      <c r="A2799" s="2" t="inlineStr">
        <is>
          <t>2026-06-05</t>
        </is>
      </c>
      <c r="B2799" s="3" t="inlineStr">
        <is>
          <t>쓰리에이로직스</t>
        </is>
      </c>
      <c r="C2799" s="2" t="inlineStr">
        <is>
          <t>177900</t>
        </is>
      </c>
      <c r="D2799" s="2" t="inlineStr">
        <is>
          <t>대량보유</t>
        </is>
      </c>
      <c r="E2799" s="3" t="inlineStr">
        <is>
          <t>채석병</t>
        </is>
      </c>
      <c r="F2799" s="3" t="inlineStr">
        <is>
          <t>특별관계자</t>
        </is>
      </c>
      <c r="G2799" s="3" t="inlineStr">
        <is>
          <t>주식매수선택권행사(+)</t>
        </is>
      </c>
      <c r="H2799" s="6" t="inlineStr"/>
      <c r="I2799" s="6" t="inlineStr"/>
      <c r="J2799" s="6" t="n">
        <v>49600</v>
      </c>
      <c r="K2799" s="16" t="n">
        <v>7</v>
      </c>
      <c r="L2799" s="2" t="inlineStr">
        <is>
          <t>20260605000656</t>
        </is>
      </c>
      <c r="M2799" s="8">
        <f>HYPERLINK("https://dart.fss.or.kr/dsaf001/main.do?rcpNo=20260605000656", "공시열람")</f>
        <v/>
      </c>
    </row>
    <row r="2800" ht="22" customHeight="1">
      <c r="A2800" s="2" t="inlineStr">
        <is>
          <t>2026-06-05</t>
        </is>
      </c>
      <c r="B2800" s="3" t="inlineStr">
        <is>
          <t>쓰리에이로직스</t>
        </is>
      </c>
      <c r="C2800" s="2" t="inlineStr">
        <is>
          <t>177900</t>
        </is>
      </c>
      <c r="D2800" s="2" t="inlineStr">
        <is>
          <t>대량보유</t>
        </is>
      </c>
      <c r="E2800" s="3" t="inlineStr">
        <is>
          <t>유신선</t>
        </is>
      </c>
      <c r="F2800" s="3" t="inlineStr">
        <is>
          <t>특별관계자</t>
        </is>
      </c>
      <c r="G2800" s="3" t="inlineStr">
        <is>
          <t>주식매수선택권행사(+)</t>
        </is>
      </c>
      <c r="H2800" s="6" t="inlineStr"/>
      <c r="I2800" s="6" t="inlineStr"/>
      <c r="J2800" s="6" t="n">
        <v>14400</v>
      </c>
      <c r="K2800" s="16" t="n">
        <v>7</v>
      </c>
      <c r="L2800" s="2" t="inlineStr">
        <is>
          <t>20260605000656</t>
        </is>
      </c>
      <c r="M2800" s="8">
        <f>HYPERLINK("https://dart.fss.or.kr/dsaf001/main.do?rcpNo=20260605000656", "공시열람")</f>
        <v/>
      </c>
    </row>
    <row r="2801" ht="22" customHeight="1">
      <c r="A2801" s="2" t="inlineStr">
        <is>
          <t>2026-06-05</t>
        </is>
      </c>
      <c r="B2801" s="3" t="inlineStr">
        <is>
          <t>HLB이노베이션</t>
        </is>
      </c>
      <c r="C2801" s="2" t="inlineStr">
        <is>
          <t>024850</t>
        </is>
      </c>
      <c r="D2801" s="2" t="inlineStr">
        <is>
          <t>대량보유</t>
        </is>
      </c>
      <c r="E2801" s="3" t="inlineStr">
        <is>
          <t>윤종선</t>
        </is>
      </c>
      <c r="F2801" s="3" t="inlineStr">
        <is>
          <t>특별관계자</t>
        </is>
      </c>
      <c r="G2801" s="3" t="inlineStr">
        <is>
          <t>장내매수(+)</t>
        </is>
      </c>
      <c r="H2801" s="15" t="n">
        <v>3000</v>
      </c>
      <c r="I2801" s="6" t="n">
        <v>15045</v>
      </c>
      <c r="J2801" s="6" t="n">
        <v>3000</v>
      </c>
      <c r="K2801" s="16" t="n">
        <v>16</v>
      </c>
      <c r="L2801" s="2" t="inlineStr">
        <is>
          <t>20260605000653</t>
        </is>
      </c>
      <c r="M2801" s="8">
        <f>HYPERLINK("https://dart.fss.or.kr/dsaf001/main.do?rcpNo=20260605000653", "공시열람")</f>
        <v/>
      </c>
    </row>
    <row r="2802" ht="22" customHeight="1">
      <c r="A2802" s="2" t="inlineStr">
        <is>
          <t>2026-06-05</t>
        </is>
      </c>
      <c r="B2802" s="3" t="inlineStr">
        <is>
          <t>한화비전</t>
        </is>
      </c>
      <c r="C2802" s="2" t="inlineStr">
        <is>
          <t>489790</t>
        </is>
      </c>
      <c r="D2802" s="2" t="inlineStr">
        <is>
          <t>대량보유</t>
        </is>
      </c>
      <c r="E2802" s="3" t="inlineStr">
        <is>
          <t>OrbisOEICGlobalCautiousFund</t>
        </is>
      </c>
      <c r="F2802" s="3" t="inlineStr">
        <is>
          <t>특별관계자</t>
        </is>
      </c>
      <c r="G2802" s="3" t="inlineStr">
        <is>
          <t>장내매도(-)</t>
        </is>
      </c>
      <c r="H2802" s="17" t="n">
        <v>-2730</v>
      </c>
      <c r="I2802" s="6" t="n">
        <v>81386</v>
      </c>
      <c r="J2802" s="6" t="n">
        <v>43252</v>
      </c>
      <c r="K2802" s="16" t="n">
        <v>11</v>
      </c>
      <c r="L2802" s="2" t="inlineStr">
        <is>
          <t>20260605000651</t>
        </is>
      </c>
      <c r="M2802" s="8">
        <f>HYPERLINK("https://dart.fss.or.kr/dsaf001/main.do?rcpNo=20260605000651", "공시열람")</f>
        <v/>
      </c>
    </row>
    <row r="2803" ht="22" customHeight="1">
      <c r="A2803" s="2" t="inlineStr">
        <is>
          <t>2026-06-05</t>
        </is>
      </c>
      <c r="B2803" s="3" t="inlineStr">
        <is>
          <t>한화비전</t>
        </is>
      </c>
      <c r="C2803" s="2" t="inlineStr">
        <is>
          <t>489790</t>
        </is>
      </c>
      <c r="D2803" s="2" t="inlineStr">
        <is>
          <t>대량보유</t>
        </is>
      </c>
      <c r="E2803" s="3" t="inlineStr">
        <is>
          <t>OrbisOEICGlobalBalancedFund</t>
        </is>
      </c>
      <c r="F2803" s="3" t="inlineStr">
        <is>
          <t>특별관계자</t>
        </is>
      </c>
      <c r="G2803" s="3" t="inlineStr">
        <is>
          <t>장내매수(+), 장내매도(-)</t>
        </is>
      </c>
      <c r="H2803" s="15" t="n">
        <v>7274</v>
      </c>
      <c r="I2803" s="6" t="n">
        <v>77172</v>
      </c>
      <c r="J2803" s="6" t="n">
        <v>443069</v>
      </c>
      <c r="K2803" s="16" t="n">
        <v>11</v>
      </c>
      <c r="L2803" s="2" t="inlineStr">
        <is>
          <t>20260605000651</t>
        </is>
      </c>
      <c r="M2803" s="8">
        <f>HYPERLINK("https://dart.fss.or.kr/dsaf001/main.do?rcpNo=20260605000651", "공시열람")</f>
        <v/>
      </c>
    </row>
    <row r="2804" ht="22" customHeight="1">
      <c r="A2804" s="2" t="inlineStr">
        <is>
          <t>2026-06-05</t>
        </is>
      </c>
      <c r="B2804" s="3" t="inlineStr">
        <is>
          <t>한화비전</t>
        </is>
      </c>
      <c r="C2804" s="2" t="inlineStr">
        <is>
          <t>489790</t>
        </is>
      </c>
      <c r="D2804" s="2" t="inlineStr">
        <is>
          <t>대량보유</t>
        </is>
      </c>
      <c r="E2804" s="3" t="inlineStr">
        <is>
          <t>OrbisSICAVGlobalBalancedFund</t>
        </is>
      </c>
      <c r="F2804" s="3" t="inlineStr">
        <is>
          <t>특별관계자</t>
        </is>
      </c>
      <c r="G2804" s="3" t="inlineStr">
        <is>
          <t>장내매도(-)</t>
        </is>
      </c>
      <c r="H2804" s="17" t="n">
        <v>-105116</v>
      </c>
      <c r="I2804" s="6" t="n">
        <v>81386</v>
      </c>
      <c r="J2804" s="6" t="n">
        <v>1092690</v>
      </c>
      <c r="K2804" s="16" t="n">
        <v>11</v>
      </c>
      <c r="L2804" s="2" t="inlineStr">
        <is>
          <t>20260605000651</t>
        </is>
      </c>
      <c r="M2804" s="8">
        <f>HYPERLINK("https://dart.fss.or.kr/dsaf001/main.do?rcpNo=20260605000651", "공시열람")</f>
        <v/>
      </c>
    </row>
    <row r="2805" ht="22" customHeight="1">
      <c r="A2805" s="2" t="inlineStr">
        <is>
          <t>2026-06-05</t>
        </is>
      </c>
      <c r="B2805" s="3" t="inlineStr">
        <is>
          <t>한화비전</t>
        </is>
      </c>
      <c r="C2805" s="2" t="inlineStr">
        <is>
          <t>489790</t>
        </is>
      </c>
      <c r="D2805" s="2" t="inlineStr">
        <is>
          <t>대량보유</t>
        </is>
      </c>
      <c r="E2805" s="3" t="inlineStr">
        <is>
          <t>OrbisGlobalRealReturnFund</t>
        </is>
      </c>
      <c r="F2805" s="3" t="inlineStr">
        <is>
          <t>특별관계자</t>
        </is>
      </c>
      <c r="G2805" s="3" t="inlineStr">
        <is>
          <t>장내매수(+), 장내매도(-)</t>
        </is>
      </c>
      <c r="H2805" s="15" t="n">
        <v>26748</v>
      </c>
      <c r="I2805" s="6" t="n">
        <v>83681</v>
      </c>
      <c r="J2805" s="6" t="n">
        <v>47512</v>
      </c>
      <c r="K2805" s="16" t="n">
        <v>11</v>
      </c>
      <c r="L2805" s="2" t="inlineStr">
        <is>
          <t>20260605000651</t>
        </is>
      </c>
      <c r="M2805" s="8">
        <f>HYPERLINK("https://dart.fss.or.kr/dsaf001/main.do?rcpNo=20260605000651", "공시열람")</f>
        <v/>
      </c>
    </row>
    <row r="2806" ht="22" customHeight="1">
      <c r="A2806" s="2" t="inlineStr">
        <is>
          <t>2026-06-05</t>
        </is>
      </c>
      <c r="B2806" s="3" t="inlineStr">
        <is>
          <t>한화비전</t>
        </is>
      </c>
      <c r="C2806" s="2" t="inlineStr">
        <is>
          <t>489790</t>
        </is>
      </c>
      <c r="D2806" s="2" t="inlineStr">
        <is>
          <t>대량보유</t>
        </is>
      </c>
      <c r="E2806" s="3" t="inlineStr">
        <is>
          <t>OrbisSICAVGlobalCautiousFund</t>
        </is>
      </c>
      <c r="F2806" s="3" t="inlineStr">
        <is>
          <t>특별관계자</t>
        </is>
      </c>
      <c r="G2806" s="3" t="inlineStr">
        <is>
          <t>장내매수(+), 장내매도(-)</t>
        </is>
      </c>
      <c r="H2806" s="15" t="n">
        <v>215</v>
      </c>
      <c r="I2806" s="6" t="n">
        <v>78723</v>
      </c>
      <c r="J2806" s="6" t="n">
        <v>6375</v>
      </c>
      <c r="K2806" s="16" t="n">
        <v>11</v>
      </c>
      <c r="L2806" s="2" t="inlineStr">
        <is>
          <t>20260605000651</t>
        </is>
      </c>
      <c r="M2806" s="8">
        <f>HYPERLINK("https://dart.fss.or.kr/dsaf001/main.do?rcpNo=20260605000651", "공시열람")</f>
        <v/>
      </c>
    </row>
    <row r="2807" ht="22" customHeight="1">
      <c r="A2807" s="2" t="inlineStr">
        <is>
          <t>2026-06-05</t>
        </is>
      </c>
      <c r="B2807" s="3" t="inlineStr">
        <is>
          <t>한화비전</t>
        </is>
      </c>
      <c r="C2807" s="2" t="inlineStr">
        <is>
          <t>489790</t>
        </is>
      </c>
      <c r="D2807" s="2" t="inlineStr">
        <is>
          <t>대량보유</t>
        </is>
      </c>
      <c r="E2807" s="3" t="inlineStr">
        <is>
          <t>AllanGrayAustraliaBalancedFund</t>
        </is>
      </c>
      <c r="F2807" s="3" t="inlineStr">
        <is>
          <t>특별관계자</t>
        </is>
      </c>
      <c r="G2807" s="3" t="inlineStr">
        <is>
          <t>장내매수(+), 장내매도(-)</t>
        </is>
      </c>
      <c r="H2807" s="15" t="n">
        <v>594</v>
      </c>
      <c r="I2807" s="6" t="n">
        <v>75229</v>
      </c>
      <c r="J2807" s="6" t="n">
        <v>20662</v>
      </c>
      <c r="K2807" s="16" t="n">
        <v>11</v>
      </c>
      <c r="L2807" s="2" t="inlineStr">
        <is>
          <t>20260605000651</t>
        </is>
      </c>
      <c r="M2807" s="8">
        <f>HYPERLINK("https://dart.fss.or.kr/dsaf001/main.do?rcpNo=20260605000651", "공시열람")</f>
        <v/>
      </c>
    </row>
    <row r="2808" ht="22" customHeight="1">
      <c r="A2808" s="2" t="inlineStr">
        <is>
          <t>2026-06-05</t>
        </is>
      </c>
      <c r="B2808" s="3" t="inlineStr">
        <is>
          <t>한화비전</t>
        </is>
      </c>
      <c r="C2808" s="2" t="inlineStr">
        <is>
          <t>489790</t>
        </is>
      </c>
      <c r="D2808" s="2" t="inlineStr">
        <is>
          <t>대량보유</t>
        </is>
      </c>
      <c r="E2808" s="3" t="inlineStr">
        <is>
          <t>UniversityPensionPlanOntario</t>
        </is>
      </c>
      <c r="F2808" s="3" t="inlineStr">
        <is>
          <t>특별관계자</t>
        </is>
      </c>
      <c r="G2808" s="3" t="inlineStr">
        <is>
          <t>장내매수(+)</t>
        </is>
      </c>
      <c r="H2808" s="15" t="n">
        <v>43331</v>
      </c>
      <c r="I2808" s="6" t="n">
        <v>88409</v>
      </c>
      <c r="J2808" s="6" t="n">
        <v>43331</v>
      </c>
      <c r="K2808" s="16" t="n">
        <v>11</v>
      </c>
      <c r="L2808" s="2" t="inlineStr">
        <is>
          <t>20260605000651</t>
        </is>
      </c>
      <c r="M2808" s="8">
        <f>HYPERLINK("https://dart.fss.or.kr/dsaf001/main.do?rcpNo=20260605000651", "공시열람")</f>
        <v/>
      </c>
    </row>
    <row r="2809" ht="22" customHeight="1">
      <c r="A2809" s="2" t="inlineStr">
        <is>
          <t>2026-06-05</t>
        </is>
      </c>
      <c r="B2809" s="3" t="inlineStr">
        <is>
          <t>HLB바이오스텝</t>
        </is>
      </c>
      <c r="C2809" s="2" t="inlineStr">
        <is>
          <t>278650</t>
        </is>
      </c>
      <c r="D2809" s="2" t="inlineStr">
        <is>
          <t>대량보유</t>
        </is>
      </c>
      <c r="E2809" s="3" t="inlineStr">
        <is>
          <t>백성진</t>
        </is>
      </c>
      <c r="F2809" s="3" t="inlineStr">
        <is>
          <t>특별관계자</t>
        </is>
      </c>
      <c r="G2809" s="3" t="inlineStr">
        <is>
          <t>장내매수(+)</t>
        </is>
      </c>
      <c r="H2809" s="15" t="n">
        <v>5000</v>
      </c>
      <c r="I2809" s="6" t="n">
        <v>3800</v>
      </c>
      <c r="J2809" s="6" t="n">
        <v>10000</v>
      </c>
      <c r="K2809" s="16" t="n">
        <v>8</v>
      </c>
      <c r="L2809" s="2" t="inlineStr">
        <is>
          <t>20260605000650</t>
        </is>
      </c>
      <c r="M2809" s="8">
        <f>HYPERLINK("https://dart.fss.or.kr/dsaf001/main.do?rcpNo=20260605000650", "공시열람")</f>
        <v/>
      </c>
    </row>
    <row r="2810" ht="22" customHeight="1">
      <c r="A2810" s="2" t="inlineStr">
        <is>
          <t>2026-06-05</t>
        </is>
      </c>
      <c r="B2810" s="3" t="inlineStr">
        <is>
          <t>드림시큐리티</t>
        </is>
      </c>
      <c r="C2810" s="2" t="inlineStr">
        <is>
          <t>203650</t>
        </is>
      </c>
      <c r="D2810" s="2" t="inlineStr">
        <is>
          <t>대량보유</t>
        </is>
      </c>
      <c r="E2810" s="3" t="inlineStr">
        <is>
          <t>범진규</t>
        </is>
      </c>
      <c r="F2810" s="3" t="inlineStr">
        <is>
          <t>보고자</t>
        </is>
      </c>
      <c r="G2810" s="3" t="inlineStr">
        <is>
          <t>- 보고자의 주식담보대출계약 기간 연장- 특별관계자의 교환사채 인수계약 체결</t>
        </is>
      </c>
      <c r="H2810" s="6" t="inlineStr"/>
      <c r="I2810" s="6" t="inlineStr"/>
      <c r="J2810" s="6" t="n">
        <v>41140326</v>
      </c>
      <c r="K2810" s="16" t="n">
        <v>6</v>
      </c>
      <c r="L2810" s="2" t="inlineStr">
        <is>
          <t>20260605000643</t>
        </is>
      </c>
      <c r="M2810" s="8">
        <f>HYPERLINK("https://dart.fss.or.kr/dsaf001/main.do?rcpNo=20260605000643", "공시열람")</f>
        <v/>
      </c>
    </row>
    <row r="2811" ht="22" customHeight="1">
      <c r="A2811" s="2" t="inlineStr">
        <is>
          <t>2026-06-05</t>
        </is>
      </c>
      <c r="B2811" s="3" t="inlineStr">
        <is>
          <t>하나36호스팩</t>
        </is>
      </c>
      <c r="C2811" s="2" t="inlineStr">
        <is>
          <t>0101C0</t>
        </is>
      </c>
      <c r="D2811" s="2" t="inlineStr">
        <is>
          <t>대량보유</t>
        </is>
      </c>
      <c r="E2811" s="3" t="inlineStr">
        <is>
          <t>더블유자산운용</t>
        </is>
      </c>
      <c r="F2811" s="3" t="inlineStr">
        <is>
          <t>특별관계자</t>
        </is>
      </c>
      <c r="G2811" s="3" t="inlineStr">
        <is>
          <t>신규등록(+), 장내매도(-), 장내매수(+)</t>
        </is>
      </c>
      <c r="H2811" s="15" t="n">
        <v>405010</v>
      </c>
      <c r="I2811" s="6" t="n">
        <v>2003</v>
      </c>
      <c r="J2811" s="6" t="n">
        <v>405010</v>
      </c>
      <c r="K2811" s="16" t="n">
        <v>5.23</v>
      </c>
      <c r="L2811" s="2" t="inlineStr">
        <is>
          <t>20260605000636</t>
        </is>
      </c>
      <c r="M2811" s="8">
        <f>HYPERLINK("https://dart.fss.or.kr/dsaf001/main.do?rcpNo=20260605000636", "공시열람")</f>
        <v/>
      </c>
    </row>
    <row r="2812" ht="22" customHeight="1">
      <c r="A2812" s="2" t="inlineStr">
        <is>
          <t>2026-06-05</t>
        </is>
      </c>
      <c r="B2812" s="3" t="inlineStr">
        <is>
          <t>대림통상</t>
        </is>
      </c>
      <c r="C2812" s="2" t="inlineStr">
        <is>
          <t>006570</t>
        </is>
      </c>
      <c r="D2812" s="2" t="inlineStr">
        <is>
          <t>대량보유</t>
        </is>
      </c>
      <c r="E2812" s="3" t="inlineStr">
        <is>
          <t>디앤디파트너스(주)</t>
        </is>
      </c>
      <c r="F2812" s="3" t="inlineStr">
        <is>
          <t>특별관계자</t>
        </is>
      </c>
      <c r="G2812" s="3" t="inlineStr">
        <is>
          <t>장내매수(+)</t>
        </is>
      </c>
      <c r="H2812" s="15" t="n">
        <v>36079</v>
      </c>
      <c r="I2812" s="6" t="n">
        <v>1866</v>
      </c>
      <c r="J2812" s="6" t="n">
        <v>5958260</v>
      </c>
      <c r="K2812" s="16" t="n">
        <v>4</v>
      </c>
      <c r="L2812" s="2" t="inlineStr">
        <is>
          <t>20260605000633</t>
        </is>
      </c>
      <c r="M2812" s="8">
        <f>HYPERLINK("https://dart.fss.or.kr/dsaf001/main.do?rcpNo=20260605000633", "공시열람")</f>
        <v/>
      </c>
    </row>
    <row r="2813" ht="22" customHeight="1">
      <c r="A2813" s="2" t="inlineStr">
        <is>
          <t>2026-06-05</t>
        </is>
      </c>
      <c r="B2813" s="3" t="inlineStr">
        <is>
          <t>지앤비에스 에코</t>
        </is>
      </c>
      <c r="C2813" s="2" t="inlineStr">
        <is>
          <t>382800</t>
        </is>
      </c>
      <c r="D2813" s="2" t="inlineStr">
        <is>
          <t>대량보유</t>
        </is>
      </c>
      <c r="E2813" s="3" t="inlineStr">
        <is>
          <t>J.P.MorganSecuritiesPLC</t>
        </is>
      </c>
      <c r="F2813" s="3" t="inlineStr">
        <is>
          <t>특별관계자</t>
        </is>
      </c>
      <c r="G2813" s="3" t="inlineStr">
        <is>
          <t>신규보고(+), 장내매수(+), 기타(+)</t>
        </is>
      </c>
      <c r="H2813" s="15" t="n">
        <v>1671555</v>
      </c>
      <c r="I2813" s="6" t="n">
        <v>6832</v>
      </c>
      <c r="J2813" s="6" t="n">
        <v>1671555</v>
      </c>
      <c r="K2813" s="16" t="n">
        <v>1</v>
      </c>
      <c r="L2813" s="2" t="inlineStr">
        <is>
          <t>20260605000631</t>
        </is>
      </c>
      <c r="M2813" s="8">
        <f>HYPERLINK("https://dart.fss.or.kr/dsaf001/main.do?rcpNo=20260605000631", "공시열람")</f>
        <v/>
      </c>
    </row>
    <row r="2814" ht="22" customHeight="1">
      <c r="A2814" s="2" t="inlineStr">
        <is>
          <t>2026-06-05</t>
        </is>
      </c>
      <c r="B2814" s="3" t="inlineStr">
        <is>
          <t>옵트론텍</t>
        </is>
      </c>
      <c r="C2814" s="2" t="inlineStr">
        <is>
          <t>082210</t>
        </is>
      </c>
      <c r="D2814" s="2" t="inlineStr">
        <is>
          <t>대량보유</t>
        </is>
      </c>
      <c r="E2814" s="3" t="inlineStr">
        <is>
          <t>아이비케이키움사업재편사모투자합자회사</t>
        </is>
      </c>
      <c r="F2814" s="3" t="inlineStr">
        <is>
          <t>특별관계자</t>
        </is>
      </c>
      <c r="G2814" s="3" t="inlineStr">
        <is>
          <t>행사가액조정, 풋옵션권리행사에따른주식처분(-)</t>
        </is>
      </c>
      <c r="H2814" s="17" t="n">
        <v>-1768123</v>
      </c>
      <c r="I2814" s="6" t="n">
        <v>2772</v>
      </c>
      <c r="J2814" s="6" t="n">
        <v>2525252</v>
      </c>
      <c r="K2814" s="16" t="n">
        <v>2</v>
      </c>
      <c r="L2814" s="2" t="inlineStr">
        <is>
          <t>20260605000627</t>
        </is>
      </c>
      <c r="M2814" s="8">
        <f>HYPERLINK("https://dart.fss.or.kr/dsaf001/main.do?rcpNo=20260605000627", "공시열람")</f>
        <v/>
      </c>
    </row>
    <row r="2815" ht="22" customHeight="1">
      <c r="A2815" s="2" t="inlineStr">
        <is>
          <t>2026-06-05</t>
        </is>
      </c>
      <c r="B2815" s="3" t="inlineStr">
        <is>
          <t>판타지오</t>
        </is>
      </c>
      <c r="C2815" s="2" t="inlineStr">
        <is>
          <t>032800</t>
        </is>
      </c>
      <c r="D2815" s="2" t="inlineStr">
        <is>
          <t>대량보유</t>
        </is>
      </c>
      <c r="E2815" s="3" t="inlineStr">
        <is>
          <t>(주)미래아이앤지</t>
        </is>
      </c>
      <c r="F2815" s="3" t="inlineStr">
        <is>
          <t>특별관계자</t>
        </is>
      </c>
      <c r="G2815" s="3" t="inlineStr">
        <is>
          <t>전환등(-)</t>
        </is>
      </c>
      <c r="H2815" s="17" t="n">
        <v>-2876297</v>
      </c>
      <c r="I2815" s="6" t="inlineStr"/>
      <c r="J2815" s="6" t="inlineStr"/>
      <c r="K2815" s="16" t="n">
        <v>3</v>
      </c>
      <c r="L2815" s="2" t="inlineStr">
        <is>
          <t>20260605000619</t>
        </is>
      </c>
      <c r="M2815" s="8">
        <f>HYPERLINK("https://dart.fss.or.kr/dsaf001/main.do?rcpNo=20260605000619", "공시열람")</f>
        <v/>
      </c>
    </row>
    <row r="2816" ht="22" customHeight="1">
      <c r="A2816" s="2" t="inlineStr">
        <is>
          <t>2026-06-05</t>
        </is>
      </c>
      <c r="B2816" s="3" t="inlineStr">
        <is>
          <t>판타지오</t>
        </is>
      </c>
      <c r="C2816" s="2" t="inlineStr">
        <is>
          <t>032800</t>
        </is>
      </c>
      <c r="D2816" s="2" t="inlineStr">
        <is>
          <t>대량보유</t>
        </is>
      </c>
      <c r="E2816" s="3" t="inlineStr">
        <is>
          <t>(주)인콘</t>
        </is>
      </c>
      <c r="F2816" s="3" t="inlineStr">
        <is>
          <t>특별관계자</t>
        </is>
      </c>
      <c r="G2816" s="3" t="inlineStr">
        <is>
          <t>전환등(-)</t>
        </is>
      </c>
      <c r="H2816" s="17" t="n">
        <v>-2746539</v>
      </c>
      <c r="I2816" s="6" t="inlineStr"/>
      <c r="J2816" s="6" t="inlineStr"/>
      <c r="K2816" s="16" t="n">
        <v>3</v>
      </c>
      <c r="L2816" s="2" t="inlineStr">
        <is>
          <t>20260605000619</t>
        </is>
      </c>
      <c r="M2816" s="8">
        <f>HYPERLINK("https://dart.fss.or.kr/dsaf001/main.do?rcpNo=20260605000619", "공시열람")</f>
        <v/>
      </c>
    </row>
    <row r="2817" ht="22" customHeight="1">
      <c r="A2817" s="2" t="inlineStr">
        <is>
          <t>2026-06-05</t>
        </is>
      </c>
      <c r="B2817" s="3" t="inlineStr">
        <is>
          <t>에스투더블유</t>
        </is>
      </c>
      <c r="C2817" s="2" t="inlineStr">
        <is>
          <t>488280</t>
        </is>
      </c>
      <c r="D2817" s="2" t="inlineStr">
        <is>
          <t>대량보유</t>
        </is>
      </c>
      <c r="E2817" s="3" t="inlineStr">
        <is>
          <t>이유경</t>
        </is>
      </c>
      <c r="F2817" s="3" t="inlineStr">
        <is>
          <t>특별관계자</t>
        </is>
      </c>
      <c r="G2817" s="3" t="inlineStr">
        <is>
          <t>임원퇴임(-)</t>
        </is>
      </c>
      <c r="H2817" s="17" t="n">
        <v>-50000</v>
      </c>
      <c r="I2817" s="6" t="inlineStr"/>
      <c r="J2817" s="6" t="inlineStr"/>
      <c r="K2817" s="16" t="n">
        <v>17</v>
      </c>
      <c r="L2817" s="2" t="inlineStr">
        <is>
          <t>20260605000618</t>
        </is>
      </c>
      <c r="M2817" s="8">
        <f>HYPERLINK("https://dart.fss.or.kr/dsaf001/main.do?rcpNo=20260605000618", "공시열람")</f>
        <v/>
      </c>
    </row>
    <row r="2818" ht="22" customHeight="1">
      <c r="A2818" s="2" t="inlineStr">
        <is>
          <t>2026-06-05 (정정: 2026-06-05)</t>
        </is>
      </c>
      <c r="B2818" s="3" t="inlineStr">
        <is>
          <t>지투지바이오</t>
        </is>
      </c>
      <c r="C2818" s="2" t="inlineStr">
        <is>
          <t>456160</t>
        </is>
      </c>
      <c r="D2818" s="2" t="inlineStr">
        <is>
          <t>대량보유</t>
        </is>
      </c>
      <c r="E2818" s="3" t="inlineStr">
        <is>
          <t>이희용</t>
        </is>
      </c>
      <c r="F2818" s="3" t="inlineStr">
        <is>
          <t>특별관계자</t>
        </is>
      </c>
      <c r="G2818" s="3" t="inlineStr">
        <is>
          <t>신규상장(무상취득)(+)</t>
        </is>
      </c>
      <c r="H2818" s="15" t="n">
        <v>601600</v>
      </c>
      <c r="I2818" s="6" t="inlineStr"/>
      <c r="J2818" s="6" t="n">
        <v>601600</v>
      </c>
      <c r="K2818" s="16" t="n">
        <v>47</v>
      </c>
      <c r="L2818" s="2" t="inlineStr">
        <is>
          <t>20260605000587</t>
        </is>
      </c>
      <c r="M2818" s="8">
        <f>HYPERLINK("https://dart.fss.or.kr/dsaf001/main.do?rcpNo=20260605000587", "공시열람")</f>
        <v/>
      </c>
    </row>
    <row r="2819" ht="22" customHeight="1">
      <c r="A2819" s="2" t="inlineStr">
        <is>
          <t>2026-06-05 (정정: 2026-06-05)</t>
        </is>
      </c>
      <c r="B2819" s="3" t="inlineStr">
        <is>
          <t>지투지바이오</t>
        </is>
      </c>
      <c r="C2819" s="2" t="inlineStr">
        <is>
          <t>456160</t>
        </is>
      </c>
      <c r="D2819" s="2" t="inlineStr">
        <is>
          <t>대량보유</t>
        </is>
      </c>
      <c r="E2819" s="3" t="inlineStr">
        <is>
          <t>김선기</t>
        </is>
      </c>
      <c r="F2819" s="3" t="inlineStr">
        <is>
          <t>특별관계자</t>
        </is>
      </c>
      <c r="G2819" s="3" t="inlineStr">
        <is>
          <t>신규상장(무상취득)(+)</t>
        </is>
      </c>
      <c r="H2819" s="15" t="n">
        <v>7474</v>
      </c>
      <c r="I2819" s="6" t="inlineStr"/>
      <c r="J2819" s="6" t="n">
        <v>7474</v>
      </c>
      <c r="K2819" s="16" t="n">
        <v>47</v>
      </c>
      <c r="L2819" s="2" t="inlineStr">
        <is>
          <t>20260605000587</t>
        </is>
      </c>
      <c r="M2819" s="8">
        <f>HYPERLINK("https://dart.fss.or.kr/dsaf001/main.do?rcpNo=20260605000587", "공시열람")</f>
        <v/>
      </c>
    </row>
    <row r="2820" ht="22" customHeight="1">
      <c r="A2820" s="2" t="inlineStr">
        <is>
          <t>2026-06-05 (정정: 2026-06-05)</t>
        </is>
      </c>
      <c r="B2820" s="3" t="inlineStr">
        <is>
          <t>지투지바이오</t>
        </is>
      </c>
      <c r="C2820" s="2" t="inlineStr">
        <is>
          <t>456160</t>
        </is>
      </c>
      <c r="D2820" s="2" t="inlineStr">
        <is>
          <t>대량보유</t>
        </is>
      </c>
      <c r="E2820" s="3" t="inlineStr">
        <is>
          <t>김흥자</t>
        </is>
      </c>
      <c r="F2820" s="3" t="inlineStr">
        <is>
          <t>특별관계자</t>
        </is>
      </c>
      <c r="G2820" s="3" t="inlineStr">
        <is>
          <t>신규상장(무상취득)(+)</t>
        </is>
      </c>
      <c r="H2820" s="15" t="n">
        <v>2491</v>
      </c>
      <c r="I2820" s="6" t="inlineStr"/>
      <c r="J2820" s="6" t="n">
        <v>2491</v>
      </c>
      <c r="K2820" s="16" t="n">
        <v>47</v>
      </c>
      <c r="L2820" s="2" t="inlineStr">
        <is>
          <t>20260605000587</t>
        </is>
      </c>
      <c r="M2820" s="8">
        <f>HYPERLINK("https://dart.fss.or.kr/dsaf001/main.do?rcpNo=20260605000587", "공시열람")</f>
        <v/>
      </c>
    </row>
    <row r="2821" ht="22" customHeight="1">
      <c r="A2821" s="2" t="inlineStr">
        <is>
          <t>2026-06-05 (정정: 2026-06-05)</t>
        </is>
      </c>
      <c r="B2821" s="3" t="inlineStr">
        <is>
          <t>지투지바이오</t>
        </is>
      </c>
      <c r="C2821" s="2" t="inlineStr">
        <is>
          <t>456160</t>
        </is>
      </c>
      <c r="D2821" s="2" t="inlineStr">
        <is>
          <t>대량보유</t>
        </is>
      </c>
      <c r="E2821" s="3" t="inlineStr">
        <is>
          <t>유현욱</t>
        </is>
      </c>
      <c r="F2821" s="3" t="inlineStr">
        <is>
          <t>특별관계자</t>
        </is>
      </c>
      <c r="G2821" s="3" t="inlineStr">
        <is>
          <t>신규상장(무상취득)(+)</t>
        </is>
      </c>
      <c r="H2821" s="15" t="n">
        <v>2491</v>
      </c>
      <c r="I2821" s="6" t="inlineStr"/>
      <c r="J2821" s="6" t="n">
        <v>2491</v>
      </c>
      <c r="K2821" s="16" t="n">
        <v>47</v>
      </c>
      <c r="L2821" s="2" t="inlineStr">
        <is>
          <t>20260605000587</t>
        </is>
      </c>
      <c r="M2821" s="8">
        <f>HYPERLINK("https://dart.fss.or.kr/dsaf001/main.do?rcpNo=20260605000587", "공시열람")</f>
        <v/>
      </c>
    </row>
    <row r="2822" ht="22" customHeight="1">
      <c r="A2822" s="2" t="inlineStr">
        <is>
          <t>2026-06-05 (정정: 2026-06-05)</t>
        </is>
      </c>
      <c r="B2822" s="3" t="inlineStr">
        <is>
          <t>지투지바이오</t>
        </is>
      </c>
      <c r="C2822" s="2" t="inlineStr">
        <is>
          <t>456160</t>
        </is>
      </c>
      <c r="D2822" s="2" t="inlineStr">
        <is>
          <t>대량보유</t>
        </is>
      </c>
      <c r="E2822" s="3" t="inlineStr">
        <is>
          <t>윤석경</t>
        </is>
      </c>
      <c r="F2822" s="3" t="inlineStr">
        <is>
          <t>특별관계자</t>
        </is>
      </c>
      <c r="G2822" s="3" t="inlineStr">
        <is>
          <t>신규상장(무상취득)(+)</t>
        </is>
      </c>
      <c r="H2822" s="15" t="n">
        <v>4983</v>
      </c>
      <c r="I2822" s="6" t="inlineStr"/>
      <c r="J2822" s="6" t="n">
        <v>4983</v>
      </c>
      <c r="K2822" s="16" t="n">
        <v>47</v>
      </c>
      <c r="L2822" s="2" t="inlineStr">
        <is>
          <t>20260605000587</t>
        </is>
      </c>
      <c r="M2822" s="8">
        <f>HYPERLINK("https://dart.fss.or.kr/dsaf001/main.do?rcpNo=20260605000587", "공시열람")</f>
        <v/>
      </c>
    </row>
    <row r="2823" ht="22" customHeight="1">
      <c r="A2823" s="2" t="inlineStr">
        <is>
          <t>2026-06-05 (정정: 2026-06-05)</t>
        </is>
      </c>
      <c r="B2823" s="3" t="inlineStr">
        <is>
          <t>지투지바이오</t>
        </is>
      </c>
      <c r="C2823" s="2" t="inlineStr">
        <is>
          <t>456160</t>
        </is>
      </c>
      <c r="D2823" s="2" t="inlineStr">
        <is>
          <t>대량보유</t>
        </is>
      </c>
      <c r="E2823" s="3" t="inlineStr">
        <is>
          <t>이종칠</t>
        </is>
      </c>
      <c r="F2823" s="3" t="inlineStr">
        <is>
          <t>특별관계자</t>
        </is>
      </c>
      <c r="G2823" s="3" t="inlineStr">
        <is>
          <t>신규상장(무상취득)(+)</t>
        </is>
      </c>
      <c r="H2823" s="15" t="n">
        <v>2491</v>
      </c>
      <c r="I2823" s="6" t="inlineStr"/>
      <c r="J2823" s="6" t="n">
        <v>2491</v>
      </c>
      <c r="K2823" s="16" t="n">
        <v>47</v>
      </c>
      <c r="L2823" s="2" t="inlineStr">
        <is>
          <t>20260605000587</t>
        </is>
      </c>
      <c r="M2823" s="8">
        <f>HYPERLINK("https://dart.fss.or.kr/dsaf001/main.do?rcpNo=20260605000587", "공시열람")</f>
        <v/>
      </c>
    </row>
    <row r="2824" ht="22" customHeight="1">
      <c r="A2824" s="2" t="inlineStr">
        <is>
          <t>2026-06-05 (정정: 2026-06-05)</t>
        </is>
      </c>
      <c r="B2824" s="3" t="inlineStr">
        <is>
          <t>지투지바이오</t>
        </is>
      </c>
      <c r="C2824" s="2" t="inlineStr">
        <is>
          <t>456160</t>
        </is>
      </c>
      <c r="D2824" s="2" t="inlineStr">
        <is>
          <t>대량보유</t>
        </is>
      </c>
      <c r="E2824" s="3" t="inlineStr">
        <is>
          <t>최신남</t>
        </is>
      </c>
      <c r="F2824" s="3" t="inlineStr">
        <is>
          <t>특별관계자</t>
        </is>
      </c>
      <c r="G2824" s="3" t="inlineStr">
        <is>
          <t>신규상장(무상취득)(+)</t>
        </is>
      </c>
      <c r="H2824" s="15" t="n">
        <v>4983</v>
      </c>
      <c r="I2824" s="6" t="inlineStr"/>
      <c r="J2824" s="6" t="n">
        <v>4983</v>
      </c>
      <c r="K2824" s="16" t="n">
        <v>47</v>
      </c>
      <c r="L2824" s="2" t="inlineStr">
        <is>
          <t>20260605000587</t>
        </is>
      </c>
      <c r="M2824" s="8">
        <f>HYPERLINK("https://dart.fss.or.kr/dsaf001/main.do?rcpNo=20260605000587", "공시열람")</f>
        <v/>
      </c>
    </row>
    <row r="2825" ht="22" customHeight="1">
      <c r="A2825" s="2" t="inlineStr">
        <is>
          <t>2026-06-05 (정정: 2026-06-05)</t>
        </is>
      </c>
      <c r="B2825" s="3" t="inlineStr">
        <is>
          <t>지투지바이오</t>
        </is>
      </c>
      <c r="C2825" s="2" t="inlineStr">
        <is>
          <t>456160</t>
        </is>
      </c>
      <c r="D2825" s="2" t="inlineStr">
        <is>
          <t>대량보유</t>
        </is>
      </c>
      <c r="E2825" s="3" t="inlineStr">
        <is>
          <t>최신자</t>
        </is>
      </c>
      <c r="F2825" s="3" t="inlineStr">
        <is>
          <t>특별관계자</t>
        </is>
      </c>
      <c r="G2825" s="3" t="inlineStr">
        <is>
          <t>신규상장(무상취득)(+)</t>
        </is>
      </c>
      <c r="H2825" s="15" t="n">
        <v>7474</v>
      </c>
      <c r="I2825" s="6" t="inlineStr"/>
      <c r="J2825" s="6" t="n">
        <v>7474</v>
      </c>
      <c r="K2825" s="16" t="n">
        <v>47</v>
      </c>
      <c r="L2825" s="2" t="inlineStr">
        <is>
          <t>20260605000587</t>
        </is>
      </c>
      <c r="M2825" s="8">
        <f>HYPERLINK("https://dart.fss.or.kr/dsaf001/main.do?rcpNo=20260605000587", "공시열람")</f>
        <v/>
      </c>
    </row>
    <row r="2826" ht="22" customHeight="1">
      <c r="A2826" s="2" t="inlineStr">
        <is>
          <t>2026-06-05 (정정: 2026-06-05)</t>
        </is>
      </c>
      <c r="B2826" s="3" t="inlineStr">
        <is>
          <t>지투지바이오</t>
        </is>
      </c>
      <c r="C2826" s="2" t="inlineStr">
        <is>
          <t>456160</t>
        </is>
      </c>
      <c r="D2826" s="2" t="inlineStr">
        <is>
          <t>대량보유</t>
        </is>
      </c>
      <c r="E2826" s="3" t="inlineStr">
        <is>
          <t>최연정</t>
        </is>
      </c>
      <c r="F2826" s="3" t="inlineStr">
        <is>
          <t>특별관계자</t>
        </is>
      </c>
      <c r="G2826" s="3" t="inlineStr">
        <is>
          <t>신규상장(무상취득)(+)</t>
        </is>
      </c>
      <c r="H2826" s="15" t="n">
        <v>2491</v>
      </c>
      <c r="I2826" s="6" t="inlineStr"/>
      <c r="J2826" s="6" t="n">
        <v>2491</v>
      </c>
      <c r="K2826" s="16" t="n">
        <v>47</v>
      </c>
      <c r="L2826" s="2" t="inlineStr">
        <is>
          <t>20260605000587</t>
        </is>
      </c>
      <c r="M2826" s="8">
        <f>HYPERLINK("https://dart.fss.or.kr/dsaf001/main.do?rcpNo=20260605000587", "공시열람")</f>
        <v/>
      </c>
    </row>
    <row r="2827" ht="22" customHeight="1">
      <c r="A2827" s="2" t="inlineStr">
        <is>
          <t>2026-06-05 (정정: 2026-06-05)</t>
        </is>
      </c>
      <c r="B2827" s="3" t="inlineStr">
        <is>
          <t>지투지바이오</t>
        </is>
      </c>
      <c r="C2827" s="2" t="inlineStr">
        <is>
          <t>456160</t>
        </is>
      </c>
      <c r="D2827" s="2" t="inlineStr">
        <is>
          <t>대량보유</t>
        </is>
      </c>
      <c r="E2827" s="3" t="inlineStr">
        <is>
          <t>최재일</t>
        </is>
      </c>
      <c r="F2827" s="3" t="inlineStr">
        <is>
          <t>특별관계자</t>
        </is>
      </c>
      <c r="G2827" s="3" t="inlineStr">
        <is>
          <t>신규상장(무상취득)(+)</t>
        </is>
      </c>
      <c r="H2827" s="15" t="n">
        <v>2491</v>
      </c>
      <c r="I2827" s="6" t="inlineStr"/>
      <c r="J2827" s="6" t="n">
        <v>2491</v>
      </c>
      <c r="K2827" s="16" t="n">
        <v>47</v>
      </c>
      <c r="L2827" s="2" t="inlineStr">
        <is>
          <t>20260605000587</t>
        </is>
      </c>
      <c r="M2827" s="8">
        <f>HYPERLINK("https://dart.fss.or.kr/dsaf001/main.do?rcpNo=20260605000587", "공시열람")</f>
        <v/>
      </c>
    </row>
    <row r="2828" ht="22" customHeight="1">
      <c r="A2828" s="2" t="inlineStr">
        <is>
          <t>2026-06-05 (정정: 2026-06-05)</t>
        </is>
      </c>
      <c r="B2828" s="3" t="inlineStr">
        <is>
          <t>지투지바이오</t>
        </is>
      </c>
      <c r="C2828" s="2" t="inlineStr">
        <is>
          <t>456160</t>
        </is>
      </c>
      <c r="D2828" s="2" t="inlineStr">
        <is>
          <t>대량보유</t>
        </is>
      </c>
      <c r="E2828" s="3" t="inlineStr">
        <is>
          <t>설은영</t>
        </is>
      </c>
      <c r="F2828" s="3" t="inlineStr">
        <is>
          <t>특별관계자</t>
        </is>
      </c>
      <c r="G2828" s="3" t="inlineStr">
        <is>
          <t>신규상장(무상취득)(+)</t>
        </is>
      </c>
      <c r="H2828" s="15" t="n">
        <v>206655</v>
      </c>
      <c r="I2828" s="6" t="inlineStr"/>
      <c r="J2828" s="6" t="n">
        <v>3955</v>
      </c>
      <c r="K2828" s="16" t="n">
        <v>47</v>
      </c>
      <c r="L2828" s="2" t="inlineStr">
        <is>
          <t>20260605000587</t>
        </is>
      </c>
      <c r="M2828" s="8">
        <f>HYPERLINK("https://dart.fss.or.kr/dsaf001/main.do?rcpNo=20260605000587", "공시열람")</f>
        <v/>
      </c>
    </row>
    <row r="2829" ht="22" customHeight="1">
      <c r="A2829" s="2" t="inlineStr">
        <is>
          <t>2026-06-05 (정정: 2026-06-05)</t>
        </is>
      </c>
      <c r="B2829" s="3" t="inlineStr">
        <is>
          <t>지투지바이오</t>
        </is>
      </c>
      <c r="C2829" s="2" t="inlineStr">
        <is>
          <t>456160</t>
        </is>
      </c>
      <c r="D2829" s="2" t="inlineStr">
        <is>
          <t>대량보유</t>
        </is>
      </c>
      <c r="E2829" s="3" t="inlineStr">
        <is>
          <t>전교중</t>
        </is>
      </c>
      <c r="F2829" s="3" t="inlineStr">
        <is>
          <t>특별관계자</t>
        </is>
      </c>
      <c r="G2829" s="3" t="inlineStr">
        <is>
          <t>신규상장(무상취득)(+)</t>
        </is>
      </c>
      <c r="H2829" s="15" t="n">
        <v>32603</v>
      </c>
      <c r="I2829" s="6" t="inlineStr"/>
      <c r="J2829" s="6" t="n">
        <v>21063</v>
      </c>
      <c r="K2829" s="16" t="n">
        <v>47</v>
      </c>
      <c r="L2829" s="2" t="inlineStr">
        <is>
          <t>20260605000587</t>
        </is>
      </c>
      <c r="M2829" s="8">
        <f>HYPERLINK("https://dart.fss.or.kr/dsaf001/main.do?rcpNo=20260605000587", "공시열람")</f>
        <v/>
      </c>
    </row>
    <row r="2830" ht="22" customHeight="1">
      <c r="A2830" s="2" t="inlineStr">
        <is>
          <t>2026-06-05 (정정: 2026-06-05)</t>
        </is>
      </c>
      <c r="B2830" s="3" t="inlineStr">
        <is>
          <t>지투지바이오</t>
        </is>
      </c>
      <c r="C2830" s="2" t="inlineStr">
        <is>
          <t>456160</t>
        </is>
      </c>
      <c r="D2830" s="2" t="inlineStr">
        <is>
          <t>대량보유</t>
        </is>
      </c>
      <c r="E2830" s="3" t="inlineStr">
        <is>
          <t>홍진태</t>
        </is>
      </c>
      <c r="F2830" s="3" t="inlineStr">
        <is>
          <t>특별관계자</t>
        </is>
      </c>
      <c r="G2830" s="3" t="inlineStr">
        <is>
          <t>신규상장(무상취득)(+)</t>
        </is>
      </c>
      <c r="H2830" s="15" t="n">
        <v>4983</v>
      </c>
      <c r="I2830" s="6" t="inlineStr"/>
      <c r="J2830" s="6" t="n">
        <v>4983</v>
      </c>
      <c r="K2830" s="16" t="n">
        <v>47</v>
      </c>
      <c r="L2830" s="2" t="inlineStr">
        <is>
          <t>20260605000587</t>
        </is>
      </c>
      <c r="M2830" s="8">
        <f>HYPERLINK("https://dart.fss.or.kr/dsaf001/main.do?rcpNo=20260605000587", "공시열람")</f>
        <v/>
      </c>
    </row>
    <row r="2831" ht="22" customHeight="1">
      <c r="A2831" s="2" t="inlineStr">
        <is>
          <t>2026-06-05 (정정: 2026-06-05)</t>
        </is>
      </c>
      <c r="B2831" s="3" t="inlineStr">
        <is>
          <t>지투지바이오</t>
        </is>
      </c>
      <c r="C2831" s="2" t="inlineStr">
        <is>
          <t>456160</t>
        </is>
      </c>
      <c r="D2831" s="2" t="inlineStr">
        <is>
          <t>대량보유</t>
        </is>
      </c>
      <c r="E2831" s="3" t="inlineStr">
        <is>
          <t>김복만</t>
        </is>
      </c>
      <c r="F2831" s="3" t="inlineStr">
        <is>
          <t>특별관계자</t>
        </is>
      </c>
      <c r="G2831" s="3" t="inlineStr">
        <is>
          <t>신규상장(무상취득)(+)</t>
        </is>
      </c>
      <c r="H2831" s="15" t="n">
        <v>28063</v>
      </c>
      <c r="I2831" s="6" t="inlineStr"/>
      <c r="J2831" s="6" t="n">
        <v>5363</v>
      </c>
      <c r="K2831" s="16" t="n">
        <v>47</v>
      </c>
      <c r="L2831" s="2" t="inlineStr">
        <is>
          <t>20260605000587</t>
        </is>
      </c>
      <c r="M2831" s="8">
        <f>HYPERLINK("https://dart.fss.or.kr/dsaf001/main.do?rcpNo=20260605000587", "공시열람")</f>
        <v/>
      </c>
    </row>
    <row r="2832" ht="22" customHeight="1">
      <c r="A2832" s="2" t="inlineStr">
        <is>
          <t>2026-06-05 (정정: 2026-06-05)</t>
        </is>
      </c>
      <c r="B2832" s="3" t="inlineStr">
        <is>
          <t>지투지바이오</t>
        </is>
      </c>
      <c r="C2832" s="2" t="inlineStr">
        <is>
          <t>456160</t>
        </is>
      </c>
      <c r="D2832" s="2" t="inlineStr">
        <is>
          <t>대량보유</t>
        </is>
      </c>
      <c r="E2832" s="3" t="inlineStr">
        <is>
          <t>이용진</t>
        </is>
      </c>
      <c r="F2832" s="3" t="inlineStr">
        <is>
          <t>특별관계자</t>
        </is>
      </c>
      <c r="G2832" s="3" t="inlineStr">
        <is>
          <t>신규상장(무상취득)(+)</t>
        </is>
      </c>
      <c r="H2832" s="15" t="n">
        <v>21122</v>
      </c>
      <c r="I2832" s="6" t="inlineStr"/>
      <c r="J2832" s="6" t="n">
        <v>20000</v>
      </c>
      <c r="K2832" s="16" t="n">
        <v>47</v>
      </c>
      <c r="L2832" s="2" t="inlineStr">
        <is>
          <t>20260605000587</t>
        </is>
      </c>
      <c r="M2832" s="8">
        <f>HYPERLINK("https://dart.fss.or.kr/dsaf001/main.do?rcpNo=20260605000587", "공시열람")</f>
        <v/>
      </c>
    </row>
    <row r="2833" ht="22" customHeight="1">
      <c r="A2833" s="2" t="inlineStr">
        <is>
          <t>2026-06-05 (정정: 2026-06-05)</t>
        </is>
      </c>
      <c r="B2833" s="3" t="inlineStr">
        <is>
          <t>지투지바이오</t>
        </is>
      </c>
      <c r="C2833" s="2" t="inlineStr">
        <is>
          <t>456160</t>
        </is>
      </c>
      <c r="D2833" s="2" t="inlineStr">
        <is>
          <t>대량보유</t>
        </is>
      </c>
      <c r="E2833" s="3" t="inlineStr">
        <is>
          <t>이정숙</t>
        </is>
      </c>
      <c r="F2833" s="3" t="inlineStr">
        <is>
          <t>특별관계자</t>
        </is>
      </c>
      <c r="G2833" s="3" t="inlineStr">
        <is>
          <t>신규상장(무상취득)(+)</t>
        </is>
      </c>
      <c r="H2833" s="15" t="n">
        <v>10869</v>
      </c>
      <c r="I2833" s="6" t="inlineStr"/>
      <c r="J2833" s="6" t="n">
        <v>9000</v>
      </c>
      <c r="K2833" s="16" t="n">
        <v>47</v>
      </c>
      <c r="L2833" s="2" t="inlineStr">
        <is>
          <t>20260605000587</t>
        </is>
      </c>
      <c r="M2833" s="8">
        <f>HYPERLINK("https://dart.fss.or.kr/dsaf001/main.do?rcpNo=20260605000587", "공시열람")</f>
        <v/>
      </c>
    </row>
    <row r="2834" ht="22" customHeight="1">
      <c r="A2834" s="2" t="inlineStr">
        <is>
          <t>2026-06-05 (정정: 2026-06-05)</t>
        </is>
      </c>
      <c r="B2834" s="3" t="inlineStr">
        <is>
          <t>지투지바이오</t>
        </is>
      </c>
      <c r="C2834" s="2" t="inlineStr">
        <is>
          <t>456160</t>
        </is>
      </c>
      <c r="D2834" s="2" t="inlineStr">
        <is>
          <t>대량보유</t>
        </is>
      </c>
      <c r="E2834" s="3" t="inlineStr">
        <is>
          <t>이주한</t>
        </is>
      </c>
      <c r="F2834" s="3" t="inlineStr">
        <is>
          <t>특별관계자</t>
        </is>
      </c>
      <c r="G2834" s="3" t="inlineStr">
        <is>
          <t>신규상장(무상취득)(+)</t>
        </is>
      </c>
      <c r="H2834" s="15" t="n">
        <v>16096</v>
      </c>
      <c r="I2834" s="6" t="inlineStr"/>
      <c r="J2834" s="6" t="n">
        <v>8389</v>
      </c>
      <c r="K2834" s="16" t="n">
        <v>47</v>
      </c>
      <c r="L2834" s="2" t="inlineStr">
        <is>
          <t>20260605000587</t>
        </is>
      </c>
      <c r="M2834" s="8">
        <f>HYPERLINK("https://dart.fss.or.kr/dsaf001/main.do?rcpNo=20260605000587", "공시열람")</f>
        <v/>
      </c>
    </row>
    <row r="2835" ht="22" customHeight="1">
      <c r="A2835" s="2" t="inlineStr">
        <is>
          <t>2026-06-05 (정정: 2026-06-05)</t>
        </is>
      </c>
      <c r="B2835" s="3" t="inlineStr">
        <is>
          <t>지투지바이오</t>
        </is>
      </c>
      <c r="C2835" s="2" t="inlineStr">
        <is>
          <t>456160</t>
        </is>
      </c>
      <c r="D2835" s="2" t="inlineStr">
        <is>
          <t>대량보유</t>
        </is>
      </c>
      <c r="E2835" s="3" t="inlineStr">
        <is>
          <t>최희경</t>
        </is>
      </c>
      <c r="F2835" s="3" t="inlineStr">
        <is>
          <t>특별관계자</t>
        </is>
      </c>
      <c r="G2835" s="3" t="inlineStr">
        <is>
          <t>신규상장(무상취득)(+)</t>
        </is>
      </c>
      <c r="H2835" s="15" t="n">
        <v>22982</v>
      </c>
      <c r="I2835" s="6" t="inlineStr"/>
      <c r="J2835" s="6" t="n">
        <v>3886</v>
      </c>
      <c r="K2835" s="16" t="n">
        <v>47</v>
      </c>
      <c r="L2835" s="2" t="inlineStr">
        <is>
          <t>20260605000587</t>
        </is>
      </c>
      <c r="M2835" s="8">
        <f>HYPERLINK("https://dart.fss.or.kr/dsaf001/main.do?rcpNo=20260605000587", "공시열람")</f>
        <v/>
      </c>
    </row>
    <row r="2836" ht="22" customHeight="1">
      <c r="A2836" s="2" t="inlineStr">
        <is>
          <t>2026-06-05 (정정: 2026-06-05)</t>
        </is>
      </c>
      <c r="B2836" s="3" t="inlineStr">
        <is>
          <t>지투지바이오</t>
        </is>
      </c>
      <c r="C2836" s="2" t="inlineStr">
        <is>
          <t>456160</t>
        </is>
      </c>
      <c r="D2836" s="2" t="inlineStr">
        <is>
          <t>대량보유</t>
        </is>
      </c>
      <c r="E2836" s="3" t="inlineStr">
        <is>
          <t>노은한</t>
        </is>
      </c>
      <c r="F2836" s="3" t="inlineStr">
        <is>
          <t>특별관계자</t>
        </is>
      </c>
      <c r="G2836" s="3" t="inlineStr">
        <is>
          <t>신규상장(무상취득)(+)</t>
        </is>
      </c>
      <c r="H2836" s="15" t="n">
        <v>1000</v>
      </c>
      <c r="I2836" s="6" t="inlineStr"/>
      <c r="J2836" s="6" t="n">
        <v>1000</v>
      </c>
      <c r="K2836" s="16" t="n">
        <v>47</v>
      </c>
      <c r="L2836" s="2" t="inlineStr">
        <is>
          <t>20260605000587</t>
        </is>
      </c>
      <c r="M2836" s="8">
        <f>HYPERLINK("https://dart.fss.or.kr/dsaf001/main.do?rcpNo=20260605000587", "공시열람")</f>
        <v/>
      </c>
    </row>
    <row r="2837" ht="22" customHeight="1">
      <c r="A2837" s="2" t="inlineStr">
        <is>
          <t>2026-06-05 (정정: 2026-06-05)</t>
        </is>
      </c>
      <c r="B2837" s="3" t="inlineStr">
        <is>
          <t>지투지바이오</t>
        </is>
      </c>
      <c r="C2837" s="2" t="inlineStr">
        <is>
          <t>456160</t>
        </is>
      </c>
      <c r="D2837" s="2" t="inlineStr">
        <is>
          <t>대량보유</t>
        </is>
      </c>
      <c r="E2837" s="3" t="inlineStr">
        <is>
          <t>남수연</t>
        </is>
      </c>
      <c r="F2837" s="3" t="inlineStr">
        <is>
          <t>특별관계자</t>
        </is>
      </c>
      <c r="G2837" s="3" t="inlineStr">
        <is>
          <t>신규상장(무상취득)(+)</t>
        </is>
      </c>
      <c r="H2837" s="15" t="n">
        <v>6000</v>
      </c>
      <c r="I2837" s="6" t="inlineStr"/>
      <c r="J2837" s="6" t="n">
        <v>6000</v>
      </c>
      <c r="K2837" s="16" t="n">
        <v>47</v>
      </c>
      <c r="L2837" s="2" t="inlineStr">
        <is>
          <t>20260605000587</t>
        </is>
      </c>
      <c r="M2837" s="8">
        <f>HYPERLINK("https://dart.fss.or.kr/dsaf001/main.do?rcpNo=20260605000587", "공시열람")</f>
        <v/>
      </c>
    </row>
    <row r="2838" ht="22" customHeight="1">
      <c r="A2838" s="2" t="inlineStr">
        <is>
          <t>2026-06-05 (정정: 2026-06-05)</t>
        </is>
      </c>
      <c r="B2838" s="3" t="inlineStr">
        <is>
          <t>지투지바이오</t>
        </is>
      </c>
      <c r="C2838" s="2" t="inlineStr">
        <is>
          <t>456160</t>
        </is>
      </c>
      <c r="D2838" s="2" t="inlineStr">
        <is>
          <t>대량보유</t>
        </is>
      </c>
      <c r="E2838" s="3" t="inlineStr">
        <is>
          <t>장승구</t>
        </is>
      </c>
      <c r="F2838" s="3" t="inlineStr">
        <is>
          <t>특별관계자</t>
        </is>
      </c>
      <c r="G2838" s="3" t="inlineStr">
        <is>
          <t>신규상장(무상취득)(+)</t>
        </is>
      </c>
      <c r="H2838" s="15" t="n">
        <v>8000</v>
      </c>
      <c r="I2838" s="6" t="inlineStr"/>
      <c r="J2838" s="6" t="n">
        <v>8000</v>
      </c>
      <c r="K2838" s="16" t="n">
        <v>47</v>
      </c>
      <c r="L2838" s="2" t="inlineStr">
        <is>
          <t>20260605000587</t>
        </is>
      </c>
      <c r="M2838" s="8">
        <f>HYPERLINK("https://dart.fss.or.kr/dsaf001/main.do?rcpNo=20260605000587", "공시열람")</f>
        <v/>
      </c>
    </row>
    <row r="2839" ht="22" customHeight="1">
      <c r="A2839" s="2" t="inlineStr">
        <is>
          <t>2026-06-05 (정정: 2026-06-05)</t>
        </is>
      </c>
      <c r="B2839" s="3" t="inlineStr">
        <is>
          <t>지투지바이오</t>
        </is>
      </c>
      <c r="C2839" s="2" t="inlineStr">
        <is>
          <t>456160</t>
        </is>
      </c>
      <c r="D2839" s="2" t="inlineStr">
        <is>
          <t>대량보유</t>
        </is>
      </c>
      <c r="E2839" s="3" t="inlineStr">
        <is>
          <t>박은지</t>
        </is>
      </c>
      <c r="F2839" s="3" t="inlineStr">
        <is>
          <t>특별관계자</t>
        </is>
      </c>
      <c r="G2839" s="3" t="inlineStr">
        <is>
          <t>신규상장(무상취득)(+)</t>
        </is>
      </c>
      <c r="H2839" s="15" t="n">
        <v>18335</v>
      </c>
      <c r="I2839" s="6" t="inlineStr"/>
      <c r="J2839" s="6" t="n">
        <v>18335</v>
      </c>
      <c r="K2839" s="16" t="n">
        <v>47</v>
      </c>
      <c r="L2839" s="2" t="inlineStr">
        <is>
          <t>20260605000587</t>
        </is>
      </c>
      <c r="M2839" s="8">
        <f>HYPERLINK("https://dart.fss.or.kr/dsaf001/main.do?rcpNo=20260605000587", "공시열람")</f>
        <v/>
      </c>
    </row>
    <row r="2840" ht="22" customHeight="1">
      <c r="A2840" s="2" t="inlineStr">
        <is>
          <t>2026-06-05 (정정: 2026-06-05)</t>
        </is>
      </c>
      <c r="B2840" s="3" t="inlineStr">
        <is>
          <t>지투지바이오</t>
        </is>
      </c>
      <c r="C2840" s="2" t="inlineStr">
        <is>
          <t>456160</t>
        </is>
      </c>
      <c r="D2840" s="2" t="inlineStr">
        <is>
          <t>대량보유</t>
        </is>
      </c>
      <c r="E2840" s="3" t="inlineStr">
        <is>
          <t>서영기</t>
        </is>
      </c>
      <c r="F2840" s="3" t="inlineStr">
        <is>
          <t>특별관계자</t>
        </is>
      </c>
      <c r="G2840" s="3" t="inlineStr">
        <is>
          <t>신규상장(무상취득)(+)</t>
        </is>
      </c>
      <c r="H2840" s="15" t="n">
        <v>5500</v>
      </c>
      <c r="I2840" s="6" t="inlineStr"/>
      <c r="J2840" s="6" t="n">
        <v>5500</v>
      </c>
      <c r="K2840" s="16" t="n">
        <v>47</v>
      </c>
      <c r="L2840" s="2" t="inlineStr">
        <is>
          <t>20260605000587</t>
        </is>
      </c>
      <c r="M2840" s="8">
        <f>HYPERLINK("https://dart.fss.or.kr/dsaf001/main.do?rcpNo=20260605000587", "공시열람")</f>
        <v/>
      </c>
    </row>
    <row r="2841" ht="22" customHeight="1">
      <c r="A2841" s="2" t="inlineStr">
        <is>
          <t>2026-06-05 (정정: 2026-06-05)</t>
        </is>
      </c>
      <c r="B2841" s="3" t="inlineStr">
        <is>
          <t>지투지바이오</t>
        </is>
      </c>
      <c r="C2841" s="2" t="inlineStr">
        <is>
          <t>456160</t>
        </is>
      </c>
      <c r="D2841" s="2" t="inlineStr">
        <is>
          <t>대량보유</t>
        </is>
      </c>
      <c r="E2841" s="3" t="inlineStr">
        <is>
          <t>정구철</t>
        </is>
      </c>
      <c r="F2841" s="3" t="inlineStr">
        <is>
          <t>특별관계자</t>
        </is>
      </c>
      <c r="G2841" s="3" t="inlineStr">
        <is>
          <t>신규상장(무상취득)(+)</t>
        </is>
      </c>
      <c r="H2841" s="15" t="n">
        <v>12363</v>
      </c>
      <c r="I2841" s="6" t="inlineStr"/>
      <c r="J2841" s="6" t="n">
        <v>12363</v>
      </c>
      <c r="K2841" s="16" t="n">
        <v>47</v>
      </c>
      <c r="L2841" s="2" t="inlineStr">
        <is>
          <t>20260605000587</t>
        </is>
      </c>
      <c r="M2841" s="8">
        <f>HYPERLINK("https://dart.fss.or.kr/dsaf001/main.do?rcpNo=20260605000587", "공시열람")</f>
        <v/>
      </c>
    </row>
    <row r="2842" ht="22" customHeight="1">
      <c r="A2842" s="2" t="inlineStr">
        <is>
          <t>2026-06-05 (정정: 2026-06-05)</t>
        </is>
      </c>
      <c r="B2842" s="3" t="inlineStr">
        <is>
          <t>지투지바이오</t>
        </is>
      </c>
      <c r="C2842" s="2" t="inlineStr">
        <is>
          <t>456160</t>
        </is>
      </c>
      <c r="D2842" s="2" t="inlineStr">
        <is>
          <t>대량보유</t>
        </is>
      </c>
      <c r="E2842" s="3" t="inlineStr">
        <is>
          <t>김근성</t>
        </is>
      </c>
      <c r="F2842" s="3" t="inlineStr">
        <is>
          <t>특별관계자</t>
        </is>
      </c>
      <c r="G2842" s="3" t="inlineStr">
        <is>
          <t>신규상장(무상취득)(+)</t>
        </is>
      </c>
      <c r="H2842" s="15" t="n">
        <v>9966</v>
      </c>
      <c r="I2842" s="6" t="inlineStr"/>
      <c r="J2842" s="6" t="n">
        <v>9966</v>
      </c>
      <c r="K2842" s="16" t="n">
        <v>47</v>
      </c>
      <c r="L2842" s="2" t="inlineStr">
        <is>
          <t>20260605000587</t>
        </is>
      </c>
      <c r="M2842" s="8">
        <f>HYPERLINK("https://dart.fss.or.kr/dsaf001/main.do?rcpNo=20260605000587", "공시열람")</f>
        <v/>
      </c>
    </row>
    <row r="2843" ht="22" customHeight="1">
      <c r="A2843" s="2" t="inlineStr">
        <is>
          <t>2026-06-05 (정정: 2026-06-05)</t>
        </is>
      </c>
      <c r="B2843" s="3" t="inlineStr">
        <is>
          <t>지투지바이오</t>
        </is>
      </c>
      <c r="C2843" s="2" t="inlineStr">
        <is>
          <t>456160</t>
        </is>
      </c>
      <c r="D2843" s="2" t="inlineStr">
        <is>
          <t>대량보유</t>
        </is>
      </c>
      <c r="E2843" s="3" t="inlineStr">
        <is>
          <t>조규소</t>
        </is>
      </c>
      <c r="F2843" s="3" t="inlineStr">
        <is>
          <t>특별관계자</t>
        </is>
      </c>
      <c r="G2843" s="3" t="inlineStr">
        <is>
          <t>신규상장(무상취득)(+)</t>
        </is>
      </c>
      <c r="H2843" s="15" t="n">
        <v>6104</v>
      </c>
      <c r="I2843" s="6" t="inlineStr"/>
      <c r="J2843" s="6" t="n">
        <v>6104</v>
      </c>
      <c r="K2843" s="16" t="n">
        <v>47</v>
      </c>
      <c r="L2843" s="2" t="inlineStr">
        <is>
          <t>20260605000587</t>
        </is>
      </c>
      <c r="M2843" s="8">
        <f>HYPERLINK("https://dart.fss.or.kr/dsaf001/main.do?rcpNo=20260605000587", "공시열람")</f>
        <v/>
      </c>
    </row>
    <row r="2844" ht="22" customHeight="1">
      <c r="A2844" s="2" t="inlineStr">
        <is>
          <t>2026-06-05 (정정: 2026-06-05)</t>
        </is>
      </c>
      <c r="B2844" s="3" t="inlineStr">
        <is>
          <t>지투지바이오</t>
        </is>
      </c>
      <c r="C2844" s="2" t="inlineStr">
        <is>
          <t>456160</t>
        </is>
      </c>
      <c r="D2844" s="2" t="inlineStr">
        <is>
          <t>대량보유</t>
        </is>
      </c>
      <c r="E2844" s="3" t="inlineStr">
        <is>
          <t>㈜휴메딕스</t>
        </is>
      </c>
      <c r="F2844" s="3" t="inlineStr">
        <is>
          <t>특별관계자</t>
        </is>
      </c>
      <c r="G2844" s="3" t="inlineStr">
        <is>
          <t>신규상장(무상취득)(+)</t>
        </is>
      </c>
      <c r="H2844" s="15" t="n">
        <v>99661</v>
      </c>
      <c r="I2844" s="6" t="inlineStr"/>
      <c r="J2844" s="6" t="n">
        <v>99661</v>
      </c>
      <c r="K2844" s="16" t="n">
        <v>47</v>
      </c>
      <c r="L2844" s="2" t="inlineStr">
        <is>
          <t>20260605000587</t>
        </is>
      </c>
      <c r="M2844" s="8">
        <f>HYPERLINK("https://dart.fss.or.kr/dsaf001/main.do?rcpNo=20260605000587", "공시열람")</f>
        <v/>
      </c>
    </row>
    <row r="2845" ht="22" customHeight="1">
      <c r="A2845" s="2" t="inlineStr">
        <is>
          <t>2026-06-05 (정정: 2026-06-05)</t>
        </is>
      </c>
      <c r="B2845" s="3" t="inlineStr">
        <is>
          <t>지투지바이오</t>
        </is>
      </c>
      <c r="C2845" s="2" t="inlineStr">
        <is>
          <t>456160</t>
        </is>
      </c>
      <c r="D2845" s="2" t="inlineStr">
        <is>
          <t>대량보유</t>
        </is>
      </c>
      <c r="E2845" s="3" t="inlineStr">
        <is>
          <t>㈜드림씨아이에스</t>
        </is>
      </c>
      <c r="F2845" s="3" t="inlineStr">
        <is>
          <t>특별관계자</t>
        </is>
      </c>
      <c r="G2845" s="3" t="inlineStr">
        <is>
          <t>신규상장(무상취득)(+)</t>
        </is>
      </c>
      <c r="H2845" s="15" t="n">
        <v>74746</v>
      </c>
      <c r="I2845" s="6" t="inlineStr"/>
      <c r="J2845" s="6" t="n">
        <v>74746</v>
      </c>
      <c r="K2845" s="16" t="n">
        <v>47</v>
      </c>
      <c r="L2845" s="2" t="inlineStr">
        <is>
          <t>20260605000587</t>
        </is>
      </c>
      <c r="M2845" s="8">
        <f>HYPERLINK("https://dart.fss.or.kr/dsaf001/main.do?rcpNo=20260605000587", "공시열람")</f>
        <v/>
      </c>
    </row>
    <row r="2846" ht="22" customHeight="1">
      <c r="A2846" s="2" t="inlineStr">
        <is>
          <t>2026-06-05 (정정: 2026-06-05)</t>
        </is>
      </c>
      <c r="B2846" s="3" t="inlineStr">
        <is>
          <t>지투지바이오</t>
        </is>
      </c>
      <c r="C2846" s="2" t="inlineStr">
        <is>
          <t>456160</t>
        </is>
      </c>
      <c r="D2846" s="2" t="inlineStr">
        <is>
          <t>대량보유</t>
        </is>
      </c>
      <c r="E2846" s="3" t="inlineStr">
        <is>
          <t>주식회사바이오톡스텍</t>
        </is>
      </c>
      <c r="F2846" s="3" t="inlineStr">
        <is>
          <t>특별관계자</t>
        </is>
      </c>
      <c r="G2846" s="3" t="inlineStr">
        <is>
          <t>신규상장(무상취득)(+)</t>
        </is>
      </c>
      <c r="H2846" s="15" t="n">
        <v>49830</v>
      </c>
      <c r="I2846" s="6" t="inlineStr"/>
      <c r="J2846" s="6" t="n">
        <v>49830</v>
      </c>
      <c r="K2846" s="16" t="n">
        <v>47</v>
      </c>
      <c r="L2846" s="2" t="inlineStr">
        <is>
          <t>20260605000587</t>
        </is>
      </c>
      <c r="M2846" s="8">
        <f>HYPERLINK("https://dart.fss.or.kr/dsaf001/main.do?rcpNo=20260605000587", "공시열람")</f>
        <v/>
      </c>
    </row>
    <row r="2847" ht="22" customHeight="1">
      <c r="A2847" s="2" t="inlineStr">
        <is>
          <t>2026-06-05 (정정: 2026-06-05)</t>
        </is>
      </c>
      <c r="B2847" s="3" t="inlineStr">
        <is>
          <t>지투지바이오</t>
        </is>
      </c>
      <c r="C2847" s="2" t="inlineStr">
        <is>
          <t>456160</t>
        </is>
      </c>
      <c r="D2847" s="2" t="inlineStr">
        <is>
          <t>대량보유</t>
        </is>
      </c>
      <c r="E2847" s="3" t="inlineStr">
        <is>
          <t>㈜한국팜비오</t>
        </is>
      </c>
      <c r="F2847" s="3" t="inlineStr">
        <is>
          <t>특별관계자</t>
        </is>
      </c>
      <c r="G2847" s="3" t="inlineStr">
        <is>
          <t>신규상장(무상취득)(+)</t>
        </is>
      </c>
      <c r="H2847" s="15" t="n">
        <v>49830</v>
      </c>
      <c r="I2847" s="6" t="inlineStr"/>
      <c r="J2847" s="6" t="n">
        <v>49830</v>
      </c>
      <c r="K2847" s="16" t="n">
        <v>47</v>
      </c>
      <c r="L2847" s="2" t="inlineStr">
        <is>
          <t>20260605000587</t>
        </is>
      </c>
      <c r="M2847" s="8">
        <f>HYPERLINK("https://dart.fss.or.kr/dsaf001/main.do?rcpNo=20260605000587", "공시열람")</f>
        <v/>
      </c>
    </row>
    <row r="2848" ht="22" customHeight="1">
      <c r="A2848" s="2" t="inlineStr">
        <is>
          <t>2026-06-05 (정정: 2026-06-05)</t>
        </is>
      </c>
      <c r="B2848" s="3" t="inlineStr">
        <is>
          <t>지투지바이오</t>
        </is>
      </c>
      <c r="C2848" s="2" t="inlineStr">
        <is>
          <t>456160</t>
        </is>
      </c>
      <c r="D2848" s="2" t="inlineStr">
        <is>
          <t>대량보유</t>
        </is>
      </c>
      <c r="E2848" s="3" t="inlineStr">
        <is>
          <t>㈜펩트론</t>
        </is>
      </c>
      <c r="F2848" s="3" t="inlineStr">
        <is>
          <t>특별관계자</t>
        </is>
      </c>
      <c r="G2848" s="3" t="inlineStr">
        <is>
          <t>신규상장(무상취득)(+)</t>
        </is>
      </c>
      <c r="H2848" s="15" t="n">
        <v>16000</v>
      </c>
      <c r="I2848" s="6" t="inlineStr"/>
      <c r="J2848" s="6" t="n">
        <v>16000</v>
      </c>
      <c r="K2848" s="16" t="n">
        <v>47</v>
      </c>
      <c r="L2848" s="2" t="inlineStr">
        <is>
          <t>20260605000587</t>
        </is>
      </c>
      <c r="M2848" s="8">
        <f>HYPERLINK("https://dart.fss.or.kr/dsaf001/main.do?rcpNo=20260605000587", "공시열람")</f>
        <v/>
      </c>
    </row>
    <row r="2849" ht="22" customHeight="1">
      <c r="A2849" s="2" t="inlineStr">
        <is>
          <t>2026-06-05 (정정: 2026-06-05)</t>
        </is>
      </c>
      <c r="B2849" s="3" t="inlineStr">
        <is>
          <t>지투지바이오</t>
        </is>
      </c>
      <c r="C2849" s="2" t="inlineStr">
        <is>
          <t>456160</t>
        </is>
      </c>
      <c r="D2849" s="2" t="inlineStr">
        <is>
          <t>대량보유</t>
        </is>
      </c>
      <c r="E2849" s="3" t="inlineStr">
        <is>
          <t>정민용</t>
        </is>
      </c>
      <c r="F2849" s="3" t="inlineStr">
        <is>
          <t>특별관계자</t>
        </is>
      </c>
      <c r="G2849" s="3" t="inlineStr">
        <is>
          <t>신규상장(무상취득)(+)</t>
        </is>
      </c>
      <c r="H2849" s="15" t="n">
        <v>5333</v>
      </c>
      <c r="I2849" s="6" t="inlineStr"/>
      <c r="J2849" s="6" t="n">
        <v>5333</v>
      </c>
      <c r="K2849" s="16" t="n">
        <v>47</v>
      </c>
      <c r="L2849" s="2" t="inlineStr">
        <is>
          <t>20260605000587</t>
        </is>
      </c>
      <c r="M2849" s="8">
        <f>HYPERLINK("https://dart.fss.or.kr/dsaf001/main.do?rcpNo=20260605000587", "공시열람")</f>
        <v/>
      </c>
    </row>
    <row r="2850" ht="22" customHeight="1">
      <c r="A2850" s="2" t="inlineStr">
        <is>
          <t>2026-06-05 (정정: 2026-06-05)</t>
        </is>
      </c>
      <c r="B2850" s="3" t="inlineStr">
        <is>
          <t>지투지바이오</t>
        </is>
      </c>
      <c r="C2850" s="2" t="inlineStr">
        <is>
          <t>456160</t>
        </is>
      </c>
      <c r="D2850" s="2" t="inlineStr">
        <is>
          <t>대량보유</t>
        </is>
      </c>
      <c r="E2850" s="3" t="inlineStr">
        <is>
          <t>최호일</t>
        </is>
      </c>
      <c r="F2850" s="3" t="inlineStr">
        <is>
          <t>특별관계자</t>
        </is>
      </c>
      <c r="G2850" s="3" t="inlineStr">
        <is>
          <t>신규상장(무상취득)(+)</t>
        </is>
      </c>
      <c r="H2850" s="15" t="n">
        <v>8000</v>
      </c>
      <c r="I2850" s="6" t="inlineStr"/>
      <c r="J2850" s="6" t="n">
        <v>8000</v>
      </c>
      <c r="K2850" s="16" t="n">
        <v>47</v>
      </c>
      <c r="L2850" s="2" t="inlineStr">
        <is>
          <t>20260605000587</t>
        </is>
      </c>
      <c r="M2850" s="8">
        <f>HYPERLINK("https://dart.fss.or.kr/dsaf001/main.do?rcpNo=20260605000587", "공시열람")</f>
        <v/>
      </c>
    </row>
    <row r="2851" ht="22" customHeight="1">
      <c r="A2851" s="2" t="inlineStr">
        <is>
          <t>2026-06-05 (정정: 2026-06-05)</t>
        </is>
      </c>
      <c r="B2851" s="3" t="inlineStr">
        <is>
          <t>지투지바이오</t>
        </is>
      </c>
      <c r="C2851" s="2" t="inlineStr">
        <is>
          <t>456160</t>
        </is>
      </c>
      <c r="D2851" s="2" t="inlineStr">
        <is>
          <t>대량보유</t>
        </is>
      </c>
      <c r="E2851" s="3" t="inlineStr">
        <is>
          <t>이수정</t>
        </is>
      </c>
      <c r="F2851" s="3" t="inlineStr">
        <is>
          <t>특별관계자</t>
        </is>
      </c>
      <c r="G2851" s="3" t="inlineStr">
        <is>
          <t>신규상장(무상취득)(+)</t>
        </is>
      </c>
      <c r="H2851" s="15" t="n">
        <v>120000</v>
      </c>
      <c r="I2851" s="6" t="inlineStr"/>
      <c r="J2851" s="6" t="n">
        <v>120000</v>
      </c>
      <c r="K2851" s="16" t="n">
        <v>47</v>
      </c>
      <c r="L2851" s="2" t="inlineStr">
        <is>
          <t>20260605000587</t>
        </is>
      </c>
      <c r="M2851" s="8">
        <f>HYPERLINK("https://dart.fss.or.kr/dsaf001/main.do?rcpNo=20260605000587", "공시열람")</f>
        <v/>
      </c>
    </row>
    <row r="2852" ht="22" customHeight="1">
      <c r="A2852" s="2" t="inlineStr">
        <is>
          <t>2026-06-05 (정정: 2026-06-05)</t>
        </is>
      </c>
      <c r="B2852" s="3" t="inlineStr">
        <is>
          <t>지투지바이오</t>
        </is>
      </c>
      <c r="C2852" s="2" t="inlineStr">
        <is>
          <t>456160</t>
        </is>
      </c>
      <c r="D2852" s="2" t="inlineStr">
        <is>
          <t>대량보유</t>
        </is>
      </c>
      <c r="E2852" s="3" t="inlineStr">
        <is>
          <t>조태연</t>
        </is>
      </c>
      <c r="F2852" s="3" t="inlineStr">
        <is>
          <t>특별관계자</t>
        </is>
      </c>
      <c r="G2852" s="3" t="inlineStr">
        <is>
          <t>신규상장(무상취득)(+)</t>
        </is>
      </c>
      <c r="H2852" s="15" t="n">
        <v>7177</v>
      </c>
      <c r="I2852" s="6" t="inlineStr"/>
      <c r="J2852" s="6" t="n">
        <v>2905</v>
      </c>
      <c r="K2852" s="16" t="n">
        <v>47</v>
      </c>
      <c r="L2852" s="2" t="inlineStr">
        <is>
          <t>20260605000587</t>
        </is>
      </c>
      <c r="M2852" s="8">
        <f>HYPERLINK("https://dart.fss.or.kr/dsaf001/main.do?rcpNo=20260605000587", "공시열람")</f>
        <v/>
      </c>
    </row>
    <row r="2853" ht="22" customHeight="1">
      <c r="A2853" s="2" t="inlineStr">
        <is>
          <t>2026-06-05 (정정: 2026-06-05)</t>
        </is>
      </c>
      <c r="B2853" s="3" t="inlineStr">
        <is>
          <t>지투지바이오</t>
        </is>
      </c>
      <c r="C2853" s="2" t="inlineStr">
        <is>
          <t>456160</t>
        </is>
      </c>
      <c r="D2853" s="2" t="inlineStr">
        <is>
          <t>대량보유</t>
        </is>
      </c>
      <c r="E2853" s="3" t="inlineStr">
        <is>
          <t>권주리</t>
        </is>
      </c>
      <c r="F2853" s="3" t="inlineStr">
        <is>
          <t>특별관계자</t>
        </is>
      </c>
      <c r="G2853" s="3" t="inlineStr">
        <is>
          <t>신규상장(무상취득)(+)</t>
        </is>
      </c>
      <c r="H2853" s="15" t="n">
        <v>3800</v>
      </c>
      <c r="I2853" s="6" t="inlineStr"/>
      <c r="J2853" s="6" t="n">
        <v>3800</v>
      </c>
      <c r="K2853" s="16" t="n">
        <v>47</v>
      </c>
      <c r="L2853" s="2" t="inlineStr">
        <is>
          <t>20260605000587</t>
        </is>
      </c>
      <c r="M2853" s="8">
        <f>HYPERLINK("https://dart.fss.or.kr/dsaf001/main.do?rcpNo=20260605000587", "공시열람")</f>
        <v/>
      </c>
    </row>
    <row r="2854" ht="22" customHeight="1">
      <c r="A2854" s="2" t="inlineStr">
        <is>
          <t>2026-06-05 (정정: 2026-06-05)</t>
        </is>
      </c>
      <c r="B2854" s="3" t="inlineStr">
        <is>
          <t>지투지바이오</t>
        </is>
      </c>
      <c r="C2854" s="2" t="inlineStr">
        <is>
          <t>456160</t>
        </is>
      </c>
      <c r="D2854" s="2" t="inlineStr">
        <is>
          <t>대량보유</t>
        </is>
      </c>
      <c r="E2854" s="3" t="inlineStr">
        <is>
          <t>원동필</t>
        </is>
      </c>
      <c r="F2854" s="3" t="inlineStr">
        <is>
          <t>특별관계자</t>
        </is>
      </c>
      <c r="G2854" s="3" t="inlineStr">
        <is>
          <t>신규상장(무상취득)(+)</t>
        </is>
      </c>
      <c r="H2854" s="15" t="n">
        <v>4941</v>
      </c>
      <c r="I2854" s="6" t="inlineStr"/>
      <c r="J2854" s="6" t="n">
        <v>1461</v>
      </c>
      <c r="K2854" s="16" t="n">
        <v>47</v>
      </c>
      <c r="L2854" s="2" t="inlineStr">
        <is>
          <t>20260605000587</t>
        </is>
      </c>
      <c r="M2854" s="8">
        <f>HYPERLINK("https://dart.fss.or.kr/dsaf001/main.do?rcpNo=20260605000587", "공시열람")</f>
        <v/>
      </c>
    </row>
    <row r="2855" ht="22" customHeight="1">
      <c r="A2855" s="2" t="inlineStr">
        <is>
          <t>2026-06-05 (정정: 2026-06-05)</t>
        </is>
      </c>
      <c r="B2855" s="3" t="inlineStr">
        <is>
          <t>지투지바이오</t>
        </is>
      </c>
      <c r="C2855" s="2" t="inlineStr">
        <is>
          <t>456160</t>
        </is>
      </c>
      <c r="D2855" s="2" t="inlineStr">
        <is>
          <t>대량보유</t>
        </is>
      </c>
      <c r="E2855" s="3" t="inlineStr">
        <is>
          <t>윤권혁</t>
        </is>
      </c>
      <c r="F2855" s="3" t="inlineStr">
        <is>
          <t>특별관계자</t>
        </is>
      </c>
      <c r="G2855" s="3" t="inlineStr">
        <is>
          <t>신규상장(무상취득)(+)</t>
        </is>
      </c>
      <c r="H2855" s="15" t="n">
        <v>2950</v>
      </c>
      <c r="I2855" s="6" t="inlineStr"/>
      <c r="J2855" s="6" t="n">
        <v>2950</v>
      </c>
      <c r="K2855" s="16" t="n">
        <v>47</v>
      </c>
      <c r="L2855" s="2" t="inlineStr">
        <is>
          <t>20260605000587</t>
        </is>
      </c>
      <c r="M2855" s="8">
        <f>HYPERLINK("https://dart.fss.or.kr/dsaf001/main.do?rcpNo=20260605000587", "공시열람")</f>
        <v/>
      </c>
    </row>
    <row r="2856" ht="22" customHeight="1">
      <c r="A2856" s="2" t="inlineStr">
        <is>
          <t>2026-06-05 (정정: 2026-06-05)</t>
        </is>
      </c>
      <c r="B2856" s="3" t="inlineStr">
        <is>
          <t>지투지바이오</t>
        </is>
      </c>
      <c r="C2856" s="2" t="inlineStr">
        <is>
          <t>456160</t>
        </is>
      </c>
      <c r="D2856" s="2" t="inlineStr">
        <is>
          <t>대량보유</t>
        </is>
      </c>
      <c r="E2856" s="3" t="inlineStr">
        <is>
          <t>김예진</t>
        </is>
      </c>
      <c r="F2856" s="3" t="inlineStr">
        <is>
          <t>특별관계자</t>
        </is>
      </c>
      <c r="G2856" s="3" t="inlineStr">
        <is>
          <t>신규상장(무상취득)(+)</t>
        </is>
      </c>
      <c r="H2856" s="15" t="n">
        <v>6493</v>
      </c>
      <c r="I2856" s="6" t="inlineStr"/>
      <c r="J2856" s="6" t="n">
        <v>3773</v>
      </c>
      <c r="K2856" s="16" t="n">
        <v>47</v>
      </c>
      <c r="L2856" s="2" t="inlineStr">
        <is>
          <t>20260605000587</t>
        </is>
      </c>
      <c r="M2856" s="8">
        <f>HYPERLINK("https://dart.fss.or.kr/dsaf001/main.do?rcpNo=20260605000587", "공시열람")</f>
        <v/>
      </c>
    </row>
    <row r="2857" ht="22" customHeight="1">
      <c r="A2857" s="2" t="inlineStr">
        <is>
          <t>2026-06-05 (정정: 2026-06-05)</t>
        </is>
      </c>
      <c r="B2857" s="3" t="inlineStr">
        <is>
          <t>지투지바이오</t>
        </is>
      </c>
      <c r="C2857" s="2" t="inlineStr">
        <is>
          <t>456160</t>
        </is>
      </c>
      <c r="D2857" s="2" t="inlineStr">
        <is>
          <t>대량보유</t>
        </is>
      </c>
      <c r="E2857" s="3" t="inlineStr">
        <is>
          <t>권희재</t>
        </is>
      </c>
      <c r="F2857" s="3" t="inlineStr">
        <is>
          <t>특별관계자</t>
        </is>
      </c>
      <c r="G2857" s="3" t="inlineStr">
        <is>
          <t>신규상장(무상취득)(+)</t>
        </is>
      </c>
      <c r="H2857" s="15" t="n">
        <v>7392</v>
      </c>
      <c r="I2857" s="6" t="inlineStr"/>
      <c r="J2857" s="6" t="n">
        <v>5256</v>
      </c>
      <c r="K2857" s="16" t="n">
        <v>47</v>
      </c>
      <c r="L2857" s="2" t="inlineStr">
        <is>
          <t>20260605000587</t>
        </is>
      </c>
      <c r="M2857" s="8">
        <f>HYPERLINK("https://dart.fss.or.kr/dsaf001/main.do?rcpNo=20260605000587", "공시열람")</f>
        <v/>
      </c>
    </row>
    <row r="2858" ht="22" customHeight="1">
      <c r="A2858" s="2" t="inlineStr">
        <is>
          <t>2026-06-05 (정정: 2026-06-05)</t>
        </is>
      </c>
      <c r="B2858" s="3" t="inlineStr">
        <is>
          <t>지투지바이오</t>
        </is>
      </c>
      <c r="C2858" s="2" t="inlineStr">
        <is>
          <t>456160</t>
        </is>
      </c>
      <c r="D2858" s="2" t="inlineStr">
        <is>
          <t>대량보유</t>
        </is>
      </c>
      <c r="E2858" s="3" t="inlineStr">
        <is>
          <t>최재묵</t>
        </is>
      </c>
      <c r="F2858" s="3" t="inlineStr">
        <is>
          <t>특별관계자</t>
        </is>
      </c>
      <c r="G2858" s="3" t="inlineStr">
        <is>
          <t>신규상장(무상취득)(+)</t>
        </is>
      </c>
      <c r="H2858" s="15" t="n">
        <v>2600</v>
      </c>
      <c r="I2858" s="6" t="inlineStr"/>
      <c r="J2858" s="6" t="n">
        <v>2600</v>
      </c>
      <c r="K2858" s="16" t="n">
        <v>47</v>
      </c>
      <c r="L2858" s="2" t="inlineStr">
        <is>
          <t>20260605000587</t>
        </is>
      </c>
      <c r="M2858" s="8">
        <f>HYPERLINK("https://dart.fss.or.kr/dsaf001/main.do?rcpNo=20260605000587", "공시열람")</f>
        <v/>
      </c>
    </row>
    <row r="2859" ht="22" customHeight="1">
      <c r="A2859" s="2" t="inlineStr">
        <is>
          <t>2026-06-05 (정정: 2026-06-05)</t>
        </is>
      </c>
      <c r="B2859" s="3" t="inlineStr">
        <is>
          <t>지투지바이오</t>
        </is>
      </c>
      <c r="C2859" s="2" t="inlineStr">
        <is>
          <t>456160</t>
        </is>
      </c>
      <c r="D2859" s="2" t="inlineStr">
        <is>
          <t>대량보유</t>
        </is>
      </c>
      <c r="E2859" s="3" t="inlineStr">
        <is>
          <t>나용하</t>
        </is>
      </c>
      <c r="F2859" s="3" t="inlineStr">
        <is>
          <t>특별관계자</t>
        </is>
      </c>
      <c r="G2859" s="3" t="inlineStr">
        <is>
          <t>신규상장(무상취득)(+)</t>
        </is>
      </c>
      <c r="H2859" s="15" t="n">
        <v>1852</v>
      </c>
      <c r="I2859" s="6" t="inlineStr"/>
      <c r="J2859" s="6" t="n">
        <v>682</v>
      </c>
      <c r="K2859" s="16" t="n">
        <v>47</v>
      </c>
      <c r="L2859" s="2" t="inlineStr">
        <is>
          <t>20260605000587</t>
        </is>
      </c>
      <c r="M2859" s="8">
        <f>HYPERLINK("https://dart.fss.or.kr/dsaf001/main.do?rcpNo=20260605000587", "공시열람")</f>
        <v/>
      </c>
    </row>
    <row r="2860" ht="22" customHeight="1">
      <c r="A2860" s="2" t="inlineStr">
        <is>
          <t>2026-06-05 (정정: 2026-06-05)</t>
        </is>
      </c>
      <c r="B2860" s="3" t="inlineStr">
        <is>
          <t>지투지바이오</t>
        </is>
      </c>
      <c r="C2860" s="2" t="inlineStr">
        <is>
          <t>456160</t>
        </is>
      </c>
      <c r="D2860" s="2" t="inlineStr">
        <is>
          <t>대량보유</t>
        </is>
      </c>
      <c r="E2860" s="3" t="inlineStr">
        <is>
          <t>김지용</t>
        </is>
      </c>
      <c r="F2860" s="3" t="inlineStr">
        <is>
          <t>특별관계자</t>
        </is>
      </c>
      <c r="G2860" s="3" t="inlineStr">
        <is>
          <t>신규상장(무상취득)(+)</t>
        </is>
      </c>
      <c r="H2860" s="15" t="n">
        <v>4336</v>
      </c>
      <c r="I2860" s="6" t="inlineStr"/>
      <c r="J2860" s="6" t="n">
        <v>3331</v>
      </c>
      <c r="K2860" s="16" t="n">
        <v>47</v>
      </c>
      <c r="L2860" s="2" t="inlineStr">
        <is>
          <t>20260605000587</t>
        </is>
      </c>
      <c r="M2860" s="8">
        <f>HYPERLINK("https://dart.fss.or.kr/dsaf001/main.do?rcpNo=20260605000587", "공시열람")</f>
        <v/>
      </c>
    </row>
    <row r="2861" ht="22" customHeight="1">
      <c r="A2861" s="2" t="inlineStr">
        <is>
          <t>2026-06-05 (정정: 2026-06-05)</t>
        </is>
      </c>
      <c r="B2861" s="3" t="inlineStr">
        <is>
          <t>지투지바이오</t>
        </is>
      </c>
      <c r="C2861" s="2" t="inlineStr">
        <is>
          <t>456160</t>
        </is>
      </c>
      <c r="D2861" s="2" t="inlineStr">
        <is>
          <t>대량보유</t>
        </is>
      </c>
      <c r="E2861" s="3" t="inlineStr">
        <is>
          <t>박홍진</t>
        </is>
      </c>
      <c r="F2861" s="3" t="inlineStr">
        <is>
          <t>특별관계자</t>
        </is>
      </c>
      <c r="G2861" s="3" t="inlineStr">
        <is>
          <t>신규상장(무상취득)(+)</t>
        </is>
      </c>
      <c r="H2861" s="15" t="n">
        <v>3199</v>
      </c>
      <c r="I2861" s="6" t="inlineStr"/>
      <c r="J2861" s="6" t="n">
        <v>2409</v>
      </c>
      <c r="K2861" s="16" t="n">
        <v>47</v>
      </c>
      <c r="L2861" s="2" t="inlineStr">
        <is>
          <t>20260605000587</t>
        </is>
      </c>
      <c r="M2861" s="8">
        <f>HYPERLINK("https://dart.fss.or.kr/dsaf001/main.do?rcpNo=20260605000587", "공시열람")</f>
        <v/>
      </c>
    </row>
    <row r="2862" ht="22" customHeight="1">
      <c r="A2862" s="2" t="inlineStr">
        <is>
          <t>2026-06-05 (정정: 2026-06-05)</t>
        </is>
      </c>
      <c r="B2862" s="3" t="inlineStr">
        <is>
          <t>지투지바이오</t>
        </is>
      </c>
      <c r="C2862" s="2" t="inlineStr">
        <is>
          <t>456160</t>
        </is>
      </c>
      <c r="D2862" s="2" t="inlineStr">
        <is>
          <t>대량보유</t>
        </is>
      </c>
      <c r="E2862" s="3" t="inlineStr">
        <is>
          <t>김동길</t>
        </is>
      </c>
      <c r="F2862" s="3" t="inlineStr">
        <is>
          <t>특별관계자</t>
        </is>
      </c>
      <c r="G2862" s="3" t="inlineStr">
        <is>
          <t>신규상장(무상취득)(+)</t>
        </is>
      </c>
      <c r="H2862" s="15" t="n">
        <v>2940</v>
      </c>
      <c r="I2862" s="6" t="inlineStr"/>
      <c r="J2862" s="6" t="n">
        <v>2171</v>
      </c>
      <c r="K2862" s="16" t="n">
        <v>47</v>
      </c>
      <c r="L2862" s="2" t="inlineStr">
        <is>
          <t>20260605000587</t>
        </is>
      </c>
      <c r="M2862" s="8">
        <f>HYPERLINK("https://dart.fss.or.kr/dsaf001/main.do?rcpNo=20260605000587", "공시열람")</f>
        <v/>
      </c>
    </row>
    <row r="2863" ht="22" customHeight="1">
      <c r="A2863" s="2" t="inlineStr">
        <is>
          <t>2026-06-05 (정정: 2026-06-05)</t>
        </is>
      </c>
      <c r="B2863" s="3" t="inlineStr">
        <is>
          <t>지투지바이오</t>
        </is>
      </c>
      <c r="C2863" s="2" t="inlineStr">
        <is>
          <t>456160</t>
        </is>
      </c>
      <c r="D2863" s="2" t="inlineStr">
        <is>
          <t>대량보유</t>
        </is>
      </c>
      <c r="E2863" s="3" t="inlineStr">
        <is>
          <t>백가영</t>
        </is>
      </c>
      <c r="F2863" s="3" t="inlineStr">
        <is>
          <t>특별관계자</t>
        </is>
      </c>
      <c r="G2863" s="3" t="inlineStr">
        <is>
          <t>신규상장(무상취득)(+)</t>
        </is>
      </c>
      <c r="H2863" s="15" t="n">
        <v>2635</v>
      </c>
      <c r="I2863" s="6" t="inlineStr"/>
      <c r="J2863" s="6" t="n">
        <v>1942</v>
      </c>
      <c r="K2863" s="16" t="n">
        <v>47</v>
      </c>
      <c r="L2863" s="2" t="inlineStr">
        <is>
          <t>20260605000587</t>
        </is>
      </c>
      <c r="M2863" s="8">
        <f>HYPERLINK("https://dart.fss.or.kr/dsaf001/main.do?rcpNo=20260605000587", "공시열람")</f>
        <v/>
      </c>
    </row>
    <row r="2864" ht="22" customHeight="1">
      <c r="A2864" s="2" t="inlineStr">
        <is>
          <t>2026-06-05 (정정: 2026-06-05)</t>
        </is>
      </c>
      <c r="B2864" s="3" t="inlineStr">
        <is>
          <t>지투지바이오</t>
        </is>
      </c>
      <c r="C2864" s="2" t="inlineStr">
        <is>
          <t>456160</t>
        </is>
      </c>
      <c r="D2864" s="2" t="inlineStr">
        <is>
          <t>대량보유</t>
        </is>
      </c>
      <c r="E2864" s="3" t="inlineStr">
        <is>
          <t>정여진</t>
        </is>
      </c>
      <c r="F2864" s="3" t="inlineStr">
        <is>
          <t>특별관계자</t>
        </is>
      </c>
      <c r="G2864" s="3" t="inlineStr">
        <is>
          <t>신규상장(무상취득)(+)</t>
        </is>
      </c>
      <c r="H2864" s="15" t="n">
        <v>328</v>
      </c>
      <c r="I2864" s="6" t="inlineStr"/>
      <c r="J2864" s="6" t="n">
        <v>328</v>
      </c>
      <c r="K2864" s="16" t="n">
        <v>47</v>
      </c>
      <c r="L2864" s="2" t="inlineStr">
        <is>
          <t>20260605000587</t>
        </is>
      </c>
      <c r="M2864" s="8">
        <f>HYPERLINK("https://dart.fss.or.kr/dsaf001/main.do?rcpNo=20260605000587", "공시열람")</f>
        <v/>
      </c>
    </row>
    <row r="2865" ht="22" customHeight="1">
      <c r="A2865" s="2" t="inlineStr">
        <is>
          <t>2026-06-05 (정정: 2026-06-05)</t>
        </is>
      </c>
      <c r="B2865" s="3" t="inlineStr">
        <is>
          <t>지투지바이오</t>
        </is>
      </c>
      <c r="C2865" s="2" t="inlineStr">
        <is>
          <t>456160</t>
        </is>
      </c>
      <c r="D2865" s="2" t="inlineStr">
        <is>
          <t>대량보유</t>
        </is>
      </c>
      <c r="E2865" s="3" t="inlineStr">
        <is>
          <t>김보라</t>
        </is>
      </c>
      <c r="F2865" s="3" t="inlineStr">
        <is>
          <t>특별관계자</t>
        </is>
      </c>
      <c r="G2865" s="3" t="inlineStr">
        <is>
          <t>신규상장(무상취득)(+)</t>
        </is>
      </c>
      <c r="H2865" s="15" t="n">
        <v>3273</v>
      </c>
      <c r="I2865" s="6" t="inlineStr"/>
      <c r="J2865" s="6" t="n">
        <v>3153</v>
      </c>
      <c r="K2865" s="16" t="n">
        <v>47</v>
      </c>
      <c r="L2865" s="2" t="inlineStr">
        <is>
          <t>20260605000587</t>
        </is>
      </c>
      <c r="M2865" s="8">
        <f>HYPERLINK("https://dart.fss.or.kr/dsaf001/main.do?rcpNo=20260605000587", "공시열람")</f>
        <v/>
      </c>
    </row>
    <row r="2866" ht="22" customHeight="1">
      <c r="A2866" s="2" t="inlineStr">
        <is>
          <t>2026-06-05</t>
        </is>
      </c>
      <c r="B2866" s="3" t="inlineStr">
        <is>
          <t>온타이드</t>
        </is>
      </c>
      <c r="C2866" s="2" t="inlineStr">
        <is>
          <t>005320</t>
        </is>
      </c>
      <c r="D2866" s="2" t="inlineStr">
        <is>
          <t>임원보고</t>
        </is>
      </c>
      <c r="E2866" s="3" t="inlineStr">
        <is>
          <t>-</t>
        </is>
      </c>
      <c r="F2866" s="3" t="inlineStr">
        <is>
          <t>-</t>
        </is>
      </c>
      <c r="G2866" s="3" t="inlineStr">
        <is>
          <t>-</t>
        </is>
      </c>
      <c r="H2866" s="6" t="inlineStr"/>
      <c r="I2866" s="6" t="inlineStr"/>
      <c r="J2866" s="6" t="inlineStr"/>
      <c r="K2866" s="16" t="n">
        <v>12</v>
      </c>
      <c r="L2866" s="2" t="inlineStr">
        <is>
          <t>20260605800852</t>
        </is>
      </c>
      <c r="M2866" s="8">
        <f>HYPERLINK("https://dart.fss.or.kr/dsaf001/main.do?rcpNo=20260605800852", "공시열람")</f>
        <v/>
      </c>
    </row>
    <row r="2867" ht="22" customHeight="1">
      <c r="A2867" s="2" t="inlineStr">
        <is>
          <t>2026-06-05</t>
        </is>
      </c>
      <c r="B2867" s="3" t="inlineStr">
        <is>
          <t>롯데관광개발</t>
        </is>
      </c>
      <c r="C2867" s="2" t="inlineStr">
        <is>
          <t>032350</t>
        </is>
      </c>
      <c r="D2867" s="2" t="inlineStr">
        <is>
          <t>대량보유</t>
        </is>
      </c>
      <c r="E2867" s="3" t="inlineStr">
        <is>
          <t>김기병</t>
        </is>
      </c>
      <c r="F2867" s="3" t="inlineStr">
        <is>
          <t>보고자</t>
        </is>
      </c>
      <c r="G2867" s="3" t="inlineStr">
        <is>
          <t>특별관계자(김한준) 가 보유한 당사 주식 담보제공 변동</t>
        </is>
      </c>
      <c r="H2867" s="6" t="inlineStr"/>
      <c r="I2867" s="6" t="inlineStr"/>
      <c r="J2867" s="6" t="n">
        <v>40501587</v>
      </c>
      <c r="K2867" s="16" t="n">
        <v>4</v>
      </c>
      <c r="L2867" s="2" t="inlineStr">
        <is>
          <t>20260605000591</t>
        </is>
      </c>
      <c r="M2867" s="8">
        <f>HYPERLINK("https://dart.fss.or.kr/dsaf001/main.do?rcpNo=20260605000591", "공시열람")</f>
        <v/>
      </c>
    </row>
    <row r="2868" ht="22" customHeight="1">
      <c r="A2868" s="2" t="inlineStr">
        <is>
          <t>2026-06-05</t>
        </is>
      </c>
      <c r="B2868" s="3" t="inlineStr">
        <is>
          <t>HC홈센타</t>
        </is>
      </c>
      <c r="C2868" s="2" t="inlineStr">
        <is>
          <t>060560</t>
        </is>
      </c>
      <c r="D2868" s="2" t="inlineStr">
        <is>
          <t>대량보유</t>
        </is>
      </c>
      <c r="E2868" s="3" t="inlineStr">
        <is>
          <t>에이치씨파트너스(주)</t>
        </is>
      </c>
      <c r="F2868" s="3" t="inlineStr">
        <is>
          <t>특별관계자</t>
        </is>
      </c>
      <c r="G2868" s="3" t="inlineStr">
        <is>
          <t>장내매수(+)</t>
        </is>
      </c>
      <c r="H2868" s="15" t="n">
        <v>25966</v>
      </c>
      <c r="I2868" s="6" t="n">
        <v>1958</v>
      </c>
      <c r="J2868" s="6" t="n">
        <v>6443126</v>
      </c>
      <c r="K2868" s="16" t="n">
        <v>12</v>
      </c>
      <c r="L2868" s="2" t="inlineStr">
        <is>
          <t>20260605000581</t>
        </is>
      </c>
      <c r="M2868" s="8">
        <f>HYPERLINK("https://dart.fss.or.kr/dsaf001/main.do?rcpNo=20260605000581", "공시열람")</f>
        <v/>
      </c>
    </row>
    <row r="2869" ht="22" customHeight="1">
      <c r="A2869" s="2" t="inlineStr">
        <is>
          <t>2026-06-05</t>
        </is>
      </c>
      <c r="B2869" s="3" t="inlineStr">
        <is>
          <t>유진로봇</t>
        </is>
      </c>
      <c r="C2869" s="2" t="inlineStr">
        <is>
          <t>056080</t>
        </is>
      </c>
      <c r="D2869" s="2" t="inlineStr">
        <is>
          <t>대량보유</t>
        </is>
      </c>
      <c r="E2869" s="3" t="inlineStr">
        <is>
          <t>ImantoAG</t>
        </is>
      </c>
      <c r="F2869" s="3" t="inlineStr">
        <is>
          <t>특별관계자</t>
        </is>
      </c>
      <c r="G2869" s="3" t="inlineStr">
        <is>
          <t>제3자배정유상증자(+)</t>
        </is>
      </c>
      <c r="H2869" s="15" t="n">
        <v>723334</v>
      </c>
      <c r="I2869" s="6" t="n">
        <v>23917</v>
      </c>
      <c r="J2869" s="6" t="n">
        <v>5323334</v>
      </c>
      <c r="K2869" s="16" t="n">
        <v>2</v>
      </c>
      <c r="L2869" s="2" t="inlineStr">
        <is>
          <t>20260605000579</t>
        </is>
      </c>
      <c r="M2869" s="8">
        <f>HYPERLINK("https://dart.fss.or.kr/dsaf001/main.do?rcpNo=20260605000579", "공시열람")</f>
        <v/>
      </c>
    </row>
    <row r="2870" ht="22" customHeight="1">
      <c r="A2870" s="2" t="inlineStr">
        <is>
          <t>2026-06-05</t>
        </is>
      </c>
      <c r="B2870" s="3" t="inlineStr">
        <is>
          <t>유진로봇</t>
        </is>
      </c>
      <c r="C2870" s="2" t="inlineStr">
        <is>
          <t>056080</t>
        </is>
      </c>
      <c r="D2870" s="2" t="inlineStr">
        <is>
          <t>대량보유</t>
        </is>
      </c>
      <c r="E2870" s="3" t="inlineStr">
        <is>
          <t>유한회사시만</t>
        </is>
      </c>
      <c r="F2870" s="3" t="inlineStr">
        <is>
          <t>특별관계자</t>
        </is>
      </c>
      <c r="G2870" s="3" t="inlineStr">
        <is>
          <t>장내매도(-)</t>
        </is>
      </c>
      <c r="H2870" s="17" t="n">
        <v>-203594</v>
      </c>
      <c r="I2870" s="6" t="n">
        <v>24547</v>
      </c>
      <c r="J2870" s="6" t="n">
        <v>14464380</v>
      </c>
      <c r="K2870" s="16" t="n">
        <v>2</v>
      </c>
      <c r="L2870" s="2" t="inlineStr">
        <is>
          <t>20260605000579</t>
        </is>
      </c>
      <c r="M2870" s="8">
        <f>HYPERLINK("https://dart.fss.or.kr/dsaf001/main.do?rcpNo=20260605000579", "공시열람")</f>
        <v/>
      </c>
    </row>
    <row r="2871" ht="22" customHeight="1">
      <c r="A2871" s="2" t="inlineStr">
        <is>
          <t>2026-06-05</t>
        </is>
      </c>
      <c r="B2871" s="3" t="inlineStr">
        <is>
          <t>콜마비앤에이치</t>
        </is>
      </c>
      <c r="C2871" s="2" t="inlineStr">
        <is>
          <t>200130</t>
        </is>
      </c>
      <c r="D2871" s="2" t="inlineStr">
        <is>
          <t>대량보유</t>
        </is>
      </c>
      <c r="E2871" s="3" t="inlineStr">
        <is>
          <t>콜마홀딩스(주)</t>
        </is>
      </c>
      <c r="F2871" s="3" t="inlineStr">
        <is>
          <t>보고자</t>
        </is>
      </c>
      <c r="G2871" s="3" t="inlineStr">
        <is>
          <t>- 특별관계자 주식담보계약 일부상환- 특별관계자 주식담보계약 변경</t>
        </is>
      </c>
      <c r="H2871" s="6" t="inlineStr"/>
      <c r="I2871" s="6" t="inlineStr"/>
      <c r="J2871" s="6" t="n">
        <v>15779436</v>
      </c>
      <c r="K2871" s="16" t="n">
        <v>11</v>
      </c>
      <c r="L2871" s="2" t="inlineStr">
        <is>
          <t>20260605000578</t>
        </is>
      </c>
      <c r="M2871" s="8">
        <f>HYPERLINK("https://dart.fss.or.kr/dsaf001/main.do?rcpNo=20260605000578", "공시열람")</f>
        <v/>
      </c>
    </row>
    <row r="2872" ht="22" customHeight="1">
      <c r="A2872" s="2" t="inlineStr">
        <is>
          <t>2026-06-05</t>
        </is>
      </c>
      <c r="B2872" s="3" t="inlineStr">
        <is>
          <t>미래에셋비전스팩11호</t>
        </is>
      </c>
      <c r="C2872" s="2" t="inlineStr">
        <is>
          <t>0099W0</t>
        </is>
      </c>
      <c r="D2872" s="2" t="inlineStr">
        <is>
          <t>대량보유</t>
        </is>
      </c>
      <c r="E2872" s="3" t="inlineStr">
        <is>
          <t>더블유자산운용</t>
        </is>
      </c>
      <c r="F2872" s="3" t="inlineStr">
        <is>
          <t>특별관계자</t>
        </is>
      </c>
      <c r="G2872" s="3" t="inlineStr">
        <is>
          <t>신규등록(+), 장내매도(-), 장내매수(+)</t>
        </is>
      </c>
      <c r="H2872" s="15" t="n">
        <v>369710</v>
      </c>
      <c r="I2872" s="6" t="n">
        <v>2024</v>
      </c>
      <c r="J2872" s="6" t="n">
        <v>369710</v>
      </c>
      <c r="K2872" s="16" t="n">
        <v>5.28</v>
      </c>
      <c r="L2872" s="2" t="inlineStr">
        <is>
          <t>20260605000577</t>
        </is>
      </c>
      <c r="M2872" s="8">
        <f>HYPERLINK("https://dart.fss.or.kr/dsaf001/main.do?rcpNo=20260605000577", "공시열람")</f>
        <v/>
      </c>
    </row>
    <row r="2873" ht="22" customHeight="1">
      <c r="A2873" s="2" t="inlineStr">
        <is>
          <t>2026-06-05</t>
        </is>
      </c>
      <c r="B2873" s="3" t="inlineStr">
        <is>
          <t>콜마홀딩스</t>
        </is>
      </c>
      <c r="C2873" s="2" t="inlineStr">
        <is>
          <t>024720</t>
        </is>
      </c>
      <c r="D2873" s="2" t="inlineStr">
        <is>
          <t>대량보유</t>
        </is>
      </c>
      <c r="E2873" s="3" t="inlineStr">
        <is>
          <t>윤상현</t>
        </is>
      </c>
      <c r="F2873" s="3" t="inlineStr">
        <is>
          <t>보고자</t>
        </is>
      </c>
      <c r="G2873" s="3" t="inlineStr">
        <is>
          <t>특별관계자 주식담보계약 일부상환특별관계자 주식담보계약 변경</t>
        </is>
      </c>
      <c r="H2873" s="6" t="inlineStr"/>
      <c r="I2873" s="6" t="inlineStr"/>
      <c r="J2873" s="6" t="n">
        <v>16624326</v>
      </c>
      <c r="K2873" s="16" t="n">
        <v>12</v>
      </c>
      <c r="L2873" s="2" t="inlineStr">
        <is>
          <t>20260605000564</t>
        </is>
      </c>
      <c r="M2873" s="8">
        <f>HYPERLINK("https://dart.fss.or.kr/dsaf001/main.do?rcpNo=20260605000564", "공시열람")</f>
        <v/>
      </c>
    </row>
    <row r="2874" ht="22" customHeight="1">
      <c r="A2874" s="2" t="inlineStr">
        <is>
          <t>2026-06-05</t>
        </is>
      </c>
      <c r="B2874" s="3" t="inlineStr">
        <is>
          <t>에이텀</t>
        </is>
      </c>
      <c r="C2874" s="2" t="inlineStr">
        <is>
          <t>355690</t>
        </is>
      </c>
      <c r="D2874" s="2" t="inlineStr">
        <is>
          <t>대량보유</t>
        </is>
      </c>
      <c r="E2874" s="3" t="inlineStr">
        <is>
          <t>르네상스자산운용(주)</t>
        </is>
      </c>
      <c r="F2874" s="3" t="inlineStr">
        <is>
          <t>특별관계자</t>
        </is>
      </c>
      <c r="G2874" s="3" t="inlineStr">
        <is>
          <t>장내매도(-), 유상신주취득(+), 기타(+)</t>
        </is>
      </c>
      <c r="H2874" s="15" t="n">
        <v>101609</v>
      </c>
      <c r="I2874" s="6" t="n">
        <v>6168</v>
      </c>
      <c r="J2874" s="6" t="n">
        <v>498689</v>
      </c>
      <c r="K2874" s="16" t="n">
        <v>7.73</v>
      </c>
      <c r="L2874" s="2" t="inlineStr">
        <is>
          <t>20260605000559</t>
        </is>
      </c>
      <c r="M2874" s="8">
        <f>HYPERLINK("https://dart.fss.or.kr/dsaf001/main.do?rcpNo=20260605000559", "공시열람")</f>
        <v/>
      </c>
    </row>
    <row r="2875" ht="22" customHeight="1">
      <c r="A2875" s="2" t="inlineStr">
        <is>
          <t>2026-06-05</t>
        </is>
      </c>
      <c r="B2875" s="3" t="inlineStr">
        <is>
          <t>안국약품</t>
        </is>
      </c>
      <c r="C2875" s="2" t="inlineStr">
        <is>
          <t>001540</t>
        </is>
      </c>
      <c r="D2875" s="2" t="inlineStr">
        <is>
          <t>대량보유</t>
        </is>
      </c>
      <c r="E2875" s="3" t="inlineStr">
        <is>
          <t>어진</t>
        </is>
      </c>
      <c r="F2875" s="3" t="inlineStr">
        <is>
          <t>보고자</t>
        </is>
      </c>
      <c r="G2875" s="3" t="inlineStr">
        <is>
          <t>보유주식 등에 관한 주요계약 변경</t>
        </is>
      </c>
      <c r="H2875" s="6" t="inlineStr"/>
      <c r="I2875" s="6" t="inlineStr"/>
      <c r="J2875" s="6" t="n">
        <v>6288699</v>
      </c>
      <c r="K2875" s="16" t="n">
        <v>4</v>
      </c>
      <c r="L2875" s="2" t="inlineStr">
        <is>
          <t>20260605000556</t>
        </is>
      </c>
      <c r="M2875" s="8">
        <f>HYPERLINK("https://dart.fss.or.kr/dsaf001/main.do?rcpNo=20260605000556", "공시열람")</f>
        <v/>
      </c>
    </row>
    <row r="2876" ht="22" customHeight="1">
      <c r="A2876" s="2" t="inlineStr">
        <is>
          <t>2026-06-05</t>
        </is>
      </c>
      <c r="B2876" s="3" t="inlineStr">
        <is>
          <t>미래에셋비전스팩10호</t>
        </is>
      </c>
      <c r="C2876" s="2" t="inlineStr">
        <is>
          <t>0097F0</t>
        </is>
      </c>
      <c r="D2876" s="2" t="inlineStr">
        <is>
          <t>대량보유</t>
        </is>
      </c>
      <c r="E2876" s="3" t="inlineStr">
        <is>
          <t>더블유자산운용</t>
        </is>
      </c>
      <c r="F2876" s="3" t="inlineStr">
        <is>
          <t>특별관계자</t>
        </is>
      </c>
      <c r="G2876" s="3" t="inlineStr">
        <is>
          <t>신규등록(+), 장내매도(-), 장내매수(+)</t>
        </is>
      </c>
      <c r="H2876" s="15" t="n">
        <v>353010</v>
      </c>
      <c r="I2876" s="6" t="n">
        <v>2020</v>
      </c>
      <c r="J2876" s="6" t="n">
        <v>353010</v>
      </c>
      <c r="K2876" s="16" t="n">
        <v>5.43</v>
      </c>
      <c r="L2876" s="2" t="inlineStr">
        <is>
          <t>20260605000547</t>
        </is>
      </c>
      <c r="M2876" s="8">
        <f>HYPERLINK("https://dart.fss.or.kr/dsaf001/main.do?rcpNo=20260605000547", "공시열람")</f>
        <v/>
      </c>
    </row>
    <row r="2877" ht="22" customHeight="1">
      <c r="A2877" s="2" t="inlineStr">
        <is>
          <t>2026-06-05</t>
        </is>
      </c>
      <c r="B2877" s="3" t="inlineStr">
        <is>
          <t>아우딘퓨쳐스</t>
        </is>
      </c>
      <c r="C2877" s="2" t="inlineStr">
        <is>
          <t>227610</t>
        </is>
      </c>
      <c r="D2877" s="2" t="inlineStr">
        <is>
          <t>대량보유</t>
        </is>
      </c>
      <c r="E2877" s="3" t="inlineStr">
        <is>
          <t>나종국</t>
        </is>
      </c>
      <c r="F2877" s="3" t="inlineStr">
        <is>
          <t>특별관계자</t>
        </is>
      </c>
      <c r="G2877" s="3" t="inlineStr">
        <is>
          <t>주식병합</t>
        </is>
      </c>
      <c r="H2877" s="17" t="n">
        <v>-2835782</v>
      </c>
      <c r="I2877" s="6" t="inlineStr"/>
      <c r="J2877" s="6" t="n">
        <v>2835781</v>
      </c>
      <c r="K2877" s="16" t="n">
        <v>2</v>
      </c>
      <c r="L2877" s="2" t="inlineStr">
        <is>
          <t>20260605000546</t>
        </is>
      </c>
      <c r="M2877" s="8">
        <f>HYPERLINK("https://dart.fss.or.kr/dsaf001/main.do?rcpNo=20260605000546", "공시열람")</f>
        <v/>
      </c>
    </row>
    <row r="2878" ht="22" customHeight="1">
      <c r="A2878" s="2" t="inlineStr">
        <is>
          <t>2026-06-05</t>
        </is>
      </c>
      <c r="B2878" s="3" t="inlineStr">
        <is>
          <t>아우딘퓨쳐스</t>
        </is>
      </c>
      <c r="C2878" s="2" t="inlineStr">
        <is>
          <t>227610</t>
        </is>
      </c>
      <c r="D2878" s="2" t="inlineStr">
        <is>
          <t>대량보유</t>
        </is>
      </c>
      <c r="E2878" s="3" t="inlineStr">
        <is>
          <t>최영욱</t>
        </is>
      </c>
      <c r="F2878" s="3" t="inlineStr">
        <is>
          <t>특별관계자</t>
        </is>
      </c>
      <c r="G2878" s="3" t="inlineStr">
        <is>
          <t>주식병합</t>
        </is>
      </c>
      <c r="H2878" s="17" t="n">
        <v>-2137062</v>
      </c>
      <c r="I2878" s="6" t="inlineStr"/>
      <c r="J2878" s="6" t="n">
        <v>2137062</v>
      </c>
      <c r="K2878" s="16" t="n">
        <v>2</v>
      </c>
      <c r="L2878" s="2" t="inlineStr">
        <is>
          <t>20260605000546</t>
        </is>
      </c>
      <c r="M2878" s="8">
        <f>HYPERLINK("https://dart.fss.or.kr/dsaf001/main.do?rcpNo=20260605000546", "공시열람")</f>
        <v/>
      </c>
    </row>
    <row r="2879" ht="22" customHeight="1">
      <c r="A2879" s="2" t="inlineStr">
        <is>
          <t>2026-06-05</t>
        </is>
      </c>
      <c r="B2879" s="3" t="inlineStr">
        <is>
          <t>아우딘퓨쳐스</t>
        </is>
      </c>
      <c r="C2879" s="2" t="inlineStr">
        <is>
          <t>227610</t>
        </is>
      </c>
      <c r="D2879" s="2" t="inlineStr">
        <is>
          <t>대량보유</t>
        </is>
      </c>
      <c r="E2879" s="3" t="inlineStr">
        <is>
          <t>엔케이에스인베스트먼트</t>
        </is>
      </c>
      <c r="F2879" s="3" t="inlineStr">
        <is>
          <t>특별관계자</t>
        </is>
      </c>
      <c r="G2879" s="3" t="inlineStr">
        <is>
          <t>장내매도(-), 주식병합, 기타(-), 전환등(-), 전환사채의권리행사(+)</t>
        </is>
      </c>
      <c r="H2879" s="17" t="n">
        <v>-233661</v>
      </c>
      <c r="I2879" s="6" t="n">
        <v>1622</v>
      </c>
      <c r="J2879" s="6" t="n">
        <v>77689</v>
      </c>
      <c r="K2879" s="16" t="n">
        <v>2</v>
      </c>
      <c r="L2879" s="2" t="inlineStr">
        <is>
          <t>20260605000546</t>
        </is>
      </c>
      <c r="M2879" s="8">
        <f>HYPERLINK("https://dart.fss.or.kr/dsaf001/main.do?rcpNo=20260605000546", "공시열람")</f>
        <v/>
      </c>
    </row>
    <row r="2880" ht="22" customHeight="1">
      <c r="A2880" s="2" t="inlineStr">
        <is>
          <t>2026-06-05</t>
        </is>
      </c>
      <c r="B2880" s="3" t="inlineStr">
        <is>
          <t>로보스타</t>
        </is>
      </c>
      <c r="C2880" s="2" t="inlineStr">
        <is>
          <t>090360</t>
        </is>
      </c>
      <c r="D2880" s="2" t="inlineStr">
        <is>
          <t>대량보유</t>
        </is>
      </c>
      <c r="E2880" s="3" t="inlineStr">
        <is>
          <t>미래에셋자산운용</t>
        </is>
      </c>
      <c r="F2880" s="3" t="inlineStr">
        <is>
          <t>특별관계자</t>
        </is>
      </c>
      <c r="G2880" s="3" t="inlineStr">
        <is>
          <t>신규보고(+), 기타(+)</t>
        </is>
      </c>
      <c r="H2880" s="15" t="n">
        <v>488057</v>
      </c>
      <c r="I2880" s="6" t="n">
        <v>465</v>
      </c>
      <c r="J2880" s="6" t="n">
        <v>488057</v>
      </c>
      <c r="K2880" s="16" t="n">
        <v>5.01</v>
      </c>
      <c r="L2880" s="2" t="inlineStr">
        <is>
          <t>20260605000544</t>
        </is>
      </c>
      <c r="M2880" s="8">
        <f>HYPERLINK("https://dart.fss.or.kr/dsaf001/main.do?rcpNo=20260605000544", "공시열람")</f>
        <v/>
      </c>
    </row>
    <row r="2881" ht="22" customHeight="1">
      <c r="A2881" s="2" t="inlineStr">
        <is>
          <t>2026-06-05</t>
        </is>
      </c>
      <c r="B2881" s="3" t="inlineStr">
        <is>
          <t>나노</t>
        </is>
      </c>
      <c r="C2881" s="2" t="inlineStr">
        <is>
          <t>187790</t>
        </is>
      </c>
      <c r="D2881" s="2" t="inlineStr">
        <is>
          <t>대량보유</t>
        </is>
      </c>
      <c r="E2881" s="3" t="inlineStr">
        <is>
          <t>미래에셋자산운용</t>
        </is>
      </c>
      <c r="F2881" s="3" t="inlineStr">
        <is>
          <t>특별관계자</t>
        </is>
      </c>
      <c r="G2881" s="3" t="inlineStr">
        <is>
          <t>신규보고(+), 기타(+), 장내매수(+)</t>
        </is>
      </c>
      <c r="H2881" s="15" t="n">
        <v>1654262</v>
      </c>
      <c r="I2881" s="6" t="n">
        <v>686</v>
      </c>
      <c r="J2881" s="6" t="n">
        <v>1654262</v>
      </c>
      <c r="K2881" s="16" t="n">
        <v>5.36</v>
      </c>
      <c r="L2881" s="2" t="inlineStr">
        <is>
          <t>20260605000542</t>
        </is>
      </c>
      <c r="M2881" s="8">
        <f>HYPERLINK("https://dart.fss.or.kr/dsaf001/main.do?rcpNo=20260605000542", "공시열람")</f>
        <v/>
      </c>
    </row>
    <row r="2882" ht="22" customHeight="1">
      <c r="A2882" s="2" t="inlineStr">
        <is>
          <t>2026-06-05</t>
        </is>
      </c>
      <c r="B2882" s="3" t="inlineStr">
        <is>
          <t>유안타증권</t>
        </is>
      </c>
      <c r="C2882" s="2" t="inlineStr">
        <is>
          <t>003470</t>
        </is>
      </c>
      <c r="D2882" s="2" t="inlineStr">
        <is>
          <t>임원보고</t>
        </is>
      </c>
      <c r="E2882" s="3" t="inlineStr">
        <is>
          <t>-</t>
        </is>
      </c>
      <c r="F2882" s="3" t="inlineStr">
        <is>
          <t>-</t>
        </is>
      </c>
      <c r="G2882" s="3" t="inlineStr">
        <is>
          <t>-</t>
        </is>
      </c>
      <c r="H2882" s="6" t="inlineStr"/>
      <c r="I2882" s="6" t="inlineStr"/>
      <c r="J2882" s="6" t="inlineStr"/>
      <c r="K2882" s="16" t="n">
        <v>12</v>
      </c>
      <c r="L2882" s="2" t="inlineStr">
        <is>
          <t>20260605800737</t>
        </is>
      </c>
      <c r="M2882" s="8">
        <f>HYPERLINK("https://dart.fss.or.kr/dsaf001/main.do?rcpNo=20260605800737", "공시열람")</f>
        <v/>
      </c>
    </row>
    <row r="2883" ht="22" customHeight="1">
      <c r="A2883" s="2" t="inlineStr">
        <is>
          <t>2026-06-05</t>
        </is>
      </c>
      <c r="B2883" s="3" t="inlineStr">
        <is>
          <t>HS효성첨단소재</t>
        </is>
      </c>
      <c r="C2883" s="2" t="inlineStr">
        <is>
          <t>298050</t>
        </is>
      </c>
      <c r="D2883" s="2" t="inlineStr">
        <is>
          <t>임원보고</t>
        </is>
      </c>
      <c r="E2883" s="3" t="inlineStr">
        <is>
          <t>-</t>
        </is>
      </c>
      <c r="F2883" s="3" t="inlineStr">
        <is>
          <t>-</t>
        </is>
      </c>
      <c r="G2883" s="3" t="inlineStr">
        <is>
          <t>-</t>
        </is>
      </c>
      <c r="H2883" s="6" t="inlineStr"/>
      <c r="I2883" s="6" t="inlineStr"/>
      <c r="J2883" s="6" t="inlineStr"/>
      <c r="K2883" s="16" t="n">
        <v>12</v>
      </c>
      <c r="L2883" s="2" t="inlineStr">
        <is>
          <t>20260605800729</t>
        </is>
      </c>
      <c r="M2883" s="8">
        <f>HYPERLINK("https://dart.fss.or.kr/dsaf001/main.do?rcpNo=20260605800729", "공시열람")</f>
        <v/>
      </c>
    </row>
    <row r="2884" ht="22" customHeight="1">
      <c r="A2884" s="2" t="inlineStr">
        <is>
          <t>2026-06-05</t>
        </is>
      </c>
      <c r="B2884" s="3" t="inlineStr">
        <is>
          <t>현대엘리베이터</t>
        </is>
      </c>
      <c r="C2884" s="2" t="inlineStr">
        <is>
          <t>017800</t>
        </is>
      </c>
      <c r="D2884" s="2" t="inlineStr">
        <is>
          <t>임원보고</t>
        </is>
      </c>
      <c r="E2884" s="3" t="inlineStr">
        <is>
          <t>-</t>
        </is>
      </c>
      <c r="F2884" s="3" t="inlineStr">
        <is>
          <t>-</t>
        </is>
      </c>
      <c r="G2884" s="3" t="inlineStr">
        <is>
          <t>-</t>
        </is>
      </c>
      <c r="H2884" s="6" t="inlineStr"/>
      <c r="I2884" s="6" t="inlineStr"/>
      <c r="J2884" s="6" t="inlineStr"/>
      <c r="K2884" s="16" t="n">
        <v>12</v>
      </c>
      <c r="L2884" s="2" t="inlineStr">
        <is>
          <t>20260605800727</t>
        </is>
      </c>
      <c r="M2884" s="8">
        <f>HYPERLINK("https://dart.fss.or.kr/dsaf001/main.do?rcpNo=20260605800727", "공시열람")</f>
        <v/>
      </c>
    </row>
    <row r="2885" ht="22" customHeight="1">
      <c r="A2885" s="2" t="inlineStr">
        <is>
          <t>2026-06-05</t>
        </is>
      </c>
      <c r="B2885" s="3" t="inlineStr">
        <is>
          <t>미래반도체</t>
        </is>
      </c>
      <c r="C2885" s="2" t="inlineStr">
        <is>
          <t>254490</t>
        </is>
      </c>
      <c r="D2885" s="2" t="inlineStr">
        <is>
          <t>대량보유</t>
        </is>
      </c>
      <c r="E2885" s="3" t="inlineStr">
        <is>
          <t>전혜숙</t>
        </is>
      </c>
      <c r="F2885" s="3" t="inlineStr">
        <is>
          <t>특별관계자</t>
        </is>
      </c>
      <c r="G2885" s="3" t="inlineStr">
        <is>
          <t>장내매도(-)</t>
        </is>
      </c>
      <c r="H2885" s="17" t="n">
        <v>-64700</v>
      </c>
      <c r="I2885" s="6" t="n">
        <v>36615</v>
      </c>
      <c r="J2885" s="6" t="n">
        <v>719300</v>
      </c>
      <c r="K2885" s="16" t="n">
        <v>4</v>
      </c>
      <c r="L2885" s="2" t="inlineStr">
        <is>
          <t>20260605000522</t>
        </is>
      </c>
      <c r="M2885" s="8">
        <f>HYPERLINK("https://dart.fss.or.kr/dsaf001/main.do?rcpNo=20260605000522", "공시열람")</f>
        <v/>
      </c>
    </row>
    <row r="2886" ht="22" customHeight="1">
      <c r="A2886" s="2" t="inlineStr">
        <is>
          <t>2026-06-05</t>
        </is>
      </c>
      <c r="B2886" s="3" t="inlineStr">
        <is>
          <t>디와이에이</t>
        </is>
      </c>
      <c r="C2886" s="2" t="inlineStr">
        <is>
          <t>002880</t>
        </is>
      </c>
      <c r="D2886" s="2" t="inlineStr">
        <is>
          <t>임원보고</t>
        </is>
      </c>
      <c r="E2886" s="3" t="inlineStr">
        <is>
          <t>-</t>
        </is>
      </c>
      <c r="F2886" s="3" t="inlineStr">
        <is>
          <t>-</t>
        </is>
      </c>
      <c r="G2886" s="3" t="inlineStr">
        <is>
          <t>-</t>
        </is>
      </c>
      <c r="H2886" s="6" t="inlineStr"/>
      <c r="I2886" s="6" t="inlineStr"/>
      <c r="J2886" s="6" t="inlineStr"/>
      <c r="K2886" s="16" t="n">
        <v>12</v>
      </c>
      <c r="L2886" s="2" t="inlineStr">
        <is>
          <t>20260605800721</t>
        </is>
      </c>
      <c r="M2886" s="8">
        <f>HYPERLINK("https://dart.fss.or.kr/dsaf001/main.do?rcpNo=20260605800721", "공시열람")</f>
        <v/>
      </c>
    </row>
    <row r="2887" ht="22" customHeight="1">
      <c r="A2887" s="2" t="inlineStr">
        <is>
          <t>2026-06-05</t>
        </is>
      </c>
      <c r="B2887" s="3" t="inlineStr">
        <is>
          <t>저스템</t>
        </is>
      </c>
      <c r="C2887" s="2" t="inlineStr">
        <is>
          <t>417840</t>
        </is>
      </c>
      <c r="D2887" s="2" t="inlineStr">
        <is>
          <t>대량보유</t>
        </is>
      </c>
      <c r="E2887" s="3" t="inlineStr">
        <is>
          <t>조광희</t>
        </is>
      </c>
      <c r="F2887" s="3" t="inlineStr">
        <is>
          <t>특별관계자</t>
        </is>
      </c>
      <c r="G2887" s="3" t="inlineStr">
        <is>
          <t>주식매수선택권행사(+), 주식매수선택권행사(-)</t>
        </is>
      </c>
      <c r="H2887" s="6" t="inlineStr"/>
      <c r="I2887" s="6" t="n">
        <v>5407</v>
      </c>
      <c r="J2887" s="6" t="n">
        <v>7500</v>
      </c>
      <c r="K2887" s="16" t="n">
        <v>7</v>
      </c>
      <c r="L2887" s="2" t="inlineStr">
        <is>
          <t>20260605000519</t>
        </is>
      </c>
      <c r="M2887" s="8">
        <f>HYPERLINK("https://dart.fss.or.kr/dsaf001/main.do?rcpNo=20260605000519", "공시열람")</f>
        <v/>
      </c>
    </row>
    <row r="2888" ht="22" customHeight="1">
      <c r="A2888" s="2" t="inlineStr">
        <is>
          <t>2026-06-05 (정정: 2026-06-08)</t>
        </is>
      </c>
      <c r="B2888" s="3" t="inlineStr">
        <is>
          <t>HDC</t>
        </is>
      </c>
      <c r="C2888" s="2" t="inlineStr">
        <is>
          <t>012630</t>
        </is>
      </c>
      <c r="D2888" s="2" t="inlineStr">
        <is>
          <t>임원보고</t>
        </is>
      </c>
      <c r="E2888" s="3" t="inlineStr">
        <is>
          <t>정몽규</t>
        </is>
      </c>
      <c r="F2888" s="3" t="inlineStr">
        <is>
          <t>-</t>
        </is>
      </c>
      <c r="G2888" s="3" t="inlineStr">
        <is>
          <t>-</t>
        </is>
      </c>
      <c r="H2888" s="6" t="inlineStr"/>
      <c r="I2888" s="6" t="inlineStr"/>
      <c r="J2888" s="6" t="inlineStr"/>
      <c r="K2888" s="16" t="n">
        <v>42.68</v>
      </c>
      <c r="L2888" s="2" t="inlineStr">
        <is>
          <t>20260608000433</t>
        </is>
      </c>
      <c r="M2888" s="8">
        <f>HYPERLINK("https://dart.fss.or.kr/dsaf001/main.do?rcpNo=20260608000433", "공시열람")</f>
        <v/>
      </c>
    </row>
    <row r="2889" ht="22" customHeight="1">
      <c r="A2889" s="2" t="inlineStr">
        <is>
          <t>2026-06-05</t>
        </is>
      </c>
      <c r="B2889" s="3" t="inlineStr">
        <is>
          <t>HDC</t>
        </is>
      </c>
      <c r="C2889" s="2" t="inlineStr">
        <is>
          <t>012630</t>
        </is>
      </c>
      <c r="D2889" s="2" t="inlineStr">
        <is>
          <t>대량보유</t>
        </is>
      </c>
      <c r="E2889" s="3" t="inlineStr">
        <is>
          <t>엠엔큐투자파트너스(유)</t>
        </is>
      </c>
      <c r="F2889" s="3" t="inlineStr">
        <is>
          <t>특별관계자</t>
        </is>
      </c>
      <c r="G2889" s="3" t="inlineStr">
        <is>
          <t>장내매수(+)</t>
        </is>
      </c>
      <c r="H2889" s="15" t="n">
        <v>30756</v>
      </c>
      <c r="I2889" s="6" t="n">
        <v>20191</v>
      </c>
      <c r="J2889" s="6" t="n">
        <v>3915818</v>
      </c>
      <c r="K2889" s="16" t="n">
        <v>9</v>
      </c>
      <c r="L2889" s="2" t="inlineStr">
        <is>
          <t>20260605000512</t>
        </is>
      </c>
      <c r="M2889" s="8">
        <f>HYPERLINK("https://dart.fss.or.kr/dsaf001/main.do?rcpNo=20260605000512", "공시열람")</f>
        <v/>
      </c>
    </row>
    <row r="2890" ht="22" customHeight="1">
      <c r="A2890" s="2" t="inlineStr">
        <is>
          <t>2026-06-05</t>
        </is>
      </c>
      <c r="B2890" s="3" t="inlineStr">
        <is>
          <t>HDC</t>
        </is>
      </c>
      <c r="C2890" s="2" t="inlineStr">
        <is>
          <t>012630</t>
        </is>
      </c>
      <c r="D2890" s="2" t="inlineStr">
        <is>
          <t>대량보유</t>
        </is>
      </c>
      <c r="E2890" s="3" t="inlineStr">
        <is>
          <t>제이앤씨인베스트먼트(유)</t>
        </is>
      </c>
      <c r="F2890" s="3" t="inlineStr">
        <is>
          <t>특별관계자</t>
        </is>
      </c>
      <c r="G2890" s="3" t="inlineStr">
        <is>
          <t>장내매수(+)</t>
        </is>
      </c>
      <c r="H2890" s="15" t="n">
        <v>19685</v>
      </c>
      <c r="I2890" s="6" t="n">
        <v>20234</v>
      </c>
      <c r="J2890" s="6" t="n">
        <v>355685</v>
      </c>
      <c r="K2890" s="16" t="n">
        <v>9</v>
      </c>
      <c r="L2890" s="2" t="inlineStr">
        <is>
          <t>20260605000512</t>
        </is>
      </c>
      <c r="M2890" s="8">
        <f>HYPERLINK("https://dart.fss.or.kr/dsaf001/main.do?rcpNo=20260605000512", "공시열람")</f>
        <v/>
      </c>
    </row>
    <row r="2891" ht="22" customHeight="1">
      <c r="A2891" s="2" t="inlineStr">
        <is>
          <t>2026-06-05</t>
        </is>
      </c>
      <c r="B2891" s="3" t="inlineStr">
        <is>
          <t>대림통상</t>
        </is>
      </c>
      <c r="C2891" s="2" t="inlineStr">
        <is>
          <t>006570</t>
        </is>
      </c>
      <c r="D2891" s="2" t="inlineStr">
        <is>
          <t>임원보고</t>
        </is>
      </c>
      <c r="E2891" s="3" t="inlineStr">
        <is>
          <t>-</t>
        </is>
      </c>
      <c r="F2891" s="3" t="inlineStr">
        <is>
          <t>-</t>
        </is>
      </c>
      <c r="G2891" s="3" t="inlineStr">
        <is>
          <t>-</t>
        </is>
      </c>
      <c r="H2891" s="6" t="inlineStr"/>
      <c r="I2891" s="6" t="inlineStr"/>
      <c r="J2891" s="6" t="inlineStr"/>
      <c r="K2891" s="16" t="n">
        <v>12</v>
      </c>
      <c r="L2891" s="2" t="inlineStr">
        <is>
          <t>20260605800706</t>
        </is>
      </c>
      <c r="M2891" s="8">
        <f>HYPERLINK("https://dart.fss.or.kr/dsaf001/main.do?rcpNo=20260605800706", "공시열람")</f>
        <v/>
      </c>
    </row>
    <row r="2892" ht="22" customHeight="1">
      <c r="A2892" s="2" t="inlineStr">
        <is>
          <t>2026-06-05</t>
        </is>
      </c>
      <c r="B2892" s="3" t="inlineStr">
        <is>
          <t>HS효성</t>
        </is>
      </c>
      <c r="C2892" s="2" t="inlineStr">
        <is>
          <t>487570</t>
        </is>
      </c>
      <c r="D2892" s="2" t="inlineStr">
        <is>
          <t>임원보고</t>
        </is>
      </c>
      <c r="E2892" s="3" t="inlineStr">
        <is>
          <t>-</t>
        </is>
      </c>
      <c r="F2892" s="3" t="inlineStr">
        <is>
          <t>-</t>
        </is>
      </c>
      <c r="G2892" s="3" t="inlineStr">
        <is>
          <t>-</t>
        </is>
      </c>
      <c r="H2892" s="6" t="inlineStr"/>
      <c r="I2892" s="6" t="inlineStr"/>
      <c r="J2892" s="6" t="inlineStr"/>
      <c r="K2892" s="16" t="n">
        <v>12</v>
      </c>
      <c r="L2892" s="2" t="inlineStr">
        <is>
          <t>20260605800705</t>
        </is>
      </c>
      <c r="M2892" s="8">
        <f>HYPERLINK("https://dart.fss.or.kr/dsaf001/main.do?rcpNo=20260605800705", "공시열람")</f>
        <v/>
      </c>
    </row>
    <row r="2893" ht="22" customHeight="1">
      <c r="A2893" s="2" t="inlineStr">
        <is>
          <t>2026-06-05</t>
        </is>
      </c>
      <c r="B2893" s="3" t="inlineStr">
        <is>
          <t>뉴온</t>
        </is>
      </c>
      <c r="C2893" s="2" t="inlineStr">
        <is>
          <t>123840</t>
        </is>
      </c>
      <c r="D2893" s="2" t="inlineStr">
        <is>
          <t>대량보유</t>
        </is>
      </c>
      <c r="E2893" s="3" t="inlineStr">
        <is>
          <t>(주)케이피엠테크</t>
        </is>
      </c>
      <c r="F2893" s="3" t="inlineStr">
        <is>
          <t>보고자</t>
        </is>
      </c>
      <c r="G2893" s="3" t="inlineStr">
        <is>
          <t>- 특별관계자의 대출금 일부상환에 따른 변경보고</t>
        </is>
      </c>
      <c r="H2893" s="6" t="inlineStr"/>
      <c r="I2893" s="6" t="inlineStr"/>
      <c r="J2893" s="6" t="n">
        <v>5219297</v>
      </c>
      <c r="K2893" s="16" t="n">
        <v>7</v>
      </c>
      <c r="L2893" s="2" t="inlineStr">
        <is>
          <t>20260605000507</t>
        </is>
      </c>
      <c r="M2893" s="8">
        <f>HYPERLINK("https://dart.fss.or.kr/dsaf001/main.do?rcpNo=20260605000507", "공시열람")</f>
        <v/>
      </c>
    </row>
    <row r="2894" ht="22" customHeight="1">
      <c r="A2894" s="2" t="inlineStr">
        <is>
          <t>2026-06-05</t>
        </is>
      </c>
      <c r="B2894" s="3" t="inlineStr">
        <is>
          <t>HS효성</t>
        </is>
      </c>
      <c r="C2894" s="2" t="inlineStr">
        <is>
          <t>487570</t>
        </is>
      </c>
      <c r="D2894" s="2" t="inlineStr">
        <is>
          <t>대량보유</t>
        </is>
      </c>
      <c r="E2894" s="3" t="inlineStr">
        <is>
          <t>조인희</t>
        </is>
      </c>
      <c r="F2894" s="3" t="inlineStr">
        <is>
          <t>특별관계자</t>
        </is>
      </c>
      <c r="G2894" s="3" t="inlineStr">
        <is>
          <t>장내매수(+)</t>
        </is>
      </c>
      <c r="H2894" s="15" t="n">
        <v>4710</v>
      </c>
      <c r="I2894" s="6" t="n">
        <v>54435</v>
      </c>
      <c r="J2894" s="6" t="n">
        <v>13785</v>
      </c>
      <c r="K2894" s="16" t="n">
        <v>6</v>
      </c>
      <c r="L2894" s="2" t="inlineStr">
        <is>
          <t>20260605000505</t>
        </is>
      </c>
      <c r="M2894" s="8">
        <f>HYPERLINK("https://dart.fss.or.kr/dsaf001/main.do?rcpNo=20260605000505", "공시열람")</f>
        <v/>
      </c>
    </row>
    <row r="2895" ht="22" customHeight="1">
      <c r="A2895" s="2" t="inlineStr">
        <is>
          <t>2026-06-05</t>
        </is>
      </c>
      <c r="B2895" s="3" t="inlineStr">
        <is>
          <t>HS효성</t>
        </is>
      </c>
      <c r="C2895" s="2" t="inlineStr">
        <is>
          <t>487570</t>
        </is>
      </c>
      <c r="D2895" s="2" t="inlineStr">
        <is>
          <t>대량보유</t>
        </is>
      </c>
      <c r="E2895" s="3" t="inlineStr">
        <is>
          <t>조수인</t>
        </is>
      </c>
      <c r="F2895" s="3" t="inlineStr">
        <is>
          <t>특별관계자</t>
        </is>
      </c>
      <c r="G2895" s="3" t="inlineStr">
        <is>
          <t>장내매수(+)</t>
        </is>
      </c>
      <c r="H2895" s="15" t="n">
        <v>4710</v>
      </c>
      <c r="I2895" s="6" t="n">
        <v>54459</v>
      </c>
      <c r="J2895" s="6" t="n">
        <v>13785</v>
      </c>
      <c r="K2895" s="16" t="n">
        <v>6</v>
      </c>
      <c r="L2895" s="2" t="inlineStr">
        <is>
          <t>20260605000505</t>
        </is>
      </c>
      <c r="M2895" s="8">
        <f>HYPERLINK("https://dart.fss.or.kr/dsaf001/main.do?rcpNo=20260605000505", "공시열람")</f>
        <v/>
      </c>
    </row>
    <row r="2896" ht="22" customHeight="1">
      <c r="A2896" s="2" t="inlineStr">
        <is>
          <t>2026-06-05</t>
        </is>
      </c>
      <c r="B2896" s="3" t="inlineStr">
        <is>
          <t>HS효성</t>
        </is>
      </c>
      <c r="C2896" s="2" t="inlineStr">
        <is>
          <t>487570</t>
        </is>
      </c>
      <c r="D2896" s="2" t="inlineStr">
        <is>
          <t>대량보유</t>
        </is>
      </c>
      <c r="E2896" s="3" t="inlineStr">
        <is>
          <t>조재하</t>
        </is>
      </c>
      <c r="F2896" s="3" t="inlineStr">
        <is>
          <t>특별관계자</t>
        </is>
      </c>
      <c r="G2896" s="3" t="inlineStr">
        <is>
          <t>장내매수(+)</t>
        </is>
      </c>
      <c r="H2896" s="15" t="n">
        <v>37637</v>
      </c>
      <c r="I2896" s="6" t="n">
        <v>54472</v>
      </c>
      <c r="J2896" s="6" t="n">
        <v>79912</v>
      </c>
      <c r="K2896" s="16" t="n">
        <v>6</v>
      </c>
      <c r="L2896" s="2" t="inlineStr">
        <is>
          <t>20260605000505</t>
        </is>
      </c>
      <c r="M2896" s="8">
        <f>HYPERLINK("https://dart.fss.or.kr/dsaf001/main.do?rcpNo=20260605000505", "공시열람")</f>
        <v/>
      </c>
    </row>
    <row r="2897" ht="22" customHeight="1">
      <c r="A2897" s="2" t="inlineStr">
        <is>
          <t>2026-06-05</t>
        </is>
      </c>
      <c r="B2897" s="3" t="inlineStr">
        <is>
          <t>우리기술투자</t>
        </is>
      </c>
      <c r="C2897" s="2" t="inlineStr">
        <is>
          <t>041190</t>
        </is>
      </c>
      <c r="D2897" s="2" t="inlineStr">
        <is>
          <t>대량보유</t>
        </is>
      </c>
      <c r="E2897" s="3" t="inlineStr">
        <is>
          <t>이완근</t>
        </is>
      </c>
      <c r="F2897" s="3" t="inlineStr">
        <is>
          <t>보고자</t>
        </is>
      </c>
      <c r="G2897" s="3" t="inlineStr">
        <is>
          <t>최대주주 보유주식 담보계약 연장</t>
        </is>
      </c>
      <c r="H2897" s="6" t="inlineStr"/>
      <c r="I2897" s="6" t="inlineStr"/>
      <c r="J2897" s="6" t="n">
        <v>25961047</v>
      </c>
      <c r="K2897" s="16" t="n">
        <v>6</v>
      </c>
      <c r="L2897" s="2" t="inlineStr">
        <is>
          <t>20260605000503</t>
        </is>
      </c>
      <c r="M2897" s="8">
        <f>HYPERLINK("https://dart.fss.or.kr/dsaf001/main.do?rcpNo=20260605000503", "공시열람")</f>
        <v/>
      </c>
    </row>
    <row r="2898" ht="22" customHeight="1">
      <c r="A2898" s="2" t="inlineStr">
        <is>
          <t>2026-06-05</t>
        </is>
      </c>
      <c r="B2898" s="3" t="inlineStr">
        <is>
          <t>현대비앤지스틸</t>
        </is>
      </c>
      <c r="C2898" s="2" t="inlineStr">
        <is>
          <t>004560</t>
        </is>
      </c>
      <c r="D2898" s="2" t="inlineStr">
        <is>
          <t>대량보유</t>
        </is>
      </c>
      <c r="E2898" s="3" t="inlineStr">
        <is>
          <t>현대제철(주)</t>
        </is>
      </c>
      <c r="F2898" s="3" t="inlineStr">
        <is>
          <t>보고자</t>
        </is>
      </c>
      <c r="G2898" s="3" t="inlineStr">
        <is>
          <t>보유주식등에 관한 계약의 변경</t>
        </is>
      </c>
      <c r="H2898" s="6" t="inlineStr"/>
      <c r="I2898" s="6" t="inlineStr"/>
      <c r="J2898" s="6" t="n">
        <v>6933013</v>
      </c>
      <c r="K2898" s="16" t="n">
        <v>4</v>
      </c>
      <c r="L2898" s="2" t="inlineStr">
        <is>
          <t>20260605000494</t>
        </is>
      </c>
      <c r="M2898" s="8">
        <f>HYPERLINK("https://dart.fss.or.kr/dsaf001/main.do?rcpNo=20260605000494", "공시열람")</f>
        <v/>
      </c>
    </row>
    <row r="2899" ht="22" customHeight="1">
      <c r="A2899" s="2" t="inlineStr">
        <is>
          <t>2026-06-05</t>
        </is>
      </c>
      <c r="B2899" s="3" t="inlineStr">
        <is>
          <t>휴마시스</t>
        </is>
      </c>
      <c r="C2899" s="2" t="inlineStr">
        <is>
          <t>205470</t>
        </is>
      </c>
      <c r="D2899" s="2" t="inlineStr">
        <is>
          <t>대량보유</t>
        </is>
      </c>
      <c r="E2899" s="3" t="inlineStr">
        <is>
          <t>주식회사인콘</t>
        </is>
      </c>
      <c r="F2899" s="3" t="inlineStr">
        <is>
          <t>특별관계자</t>
        </is>
      </c>
      <c r="G2899" s="3" t="inlineStr">
        <is>
          <t>장내매수(+)</t>
        </is>
      </c>
      <c r="H2899" s="15" t="n">
        <v>28251</v>
      </c>
      <c r="I2899" s="6" t="n">
        <v>3527</v>
      </c>
      <c r="J2899" s="6" t="n">
        <v>1777100</v>
      </c>
      <c r="K2899" s="16" t="n">
        <v>4</v>
      </c>
      <c r="L2899" s="2" t="inlineStr">
        <is>
          <t>20260605000488</t>
        </is>
      </c>
      <c r="M2899" s="8">
        <f>HYPERLINK("https://dart.fss.or.kr/dsaf001/main.do?rcpNo=20260605000488", "공시열람")</f>
        <v/>
      </c>
    </row>
    <row r="2900" ht="22" customHeight="1">
      <c r="A2900" s="2" t="inlineStr">
        <is>
          <t>2026-06-05</t>
        </is>
      </c>
      <c r="B2900" s="3" t="inlineStr">
        <is>
          <t>계룡건설산업</t>
        </is>
      </c>
      <c r="C2900" s="2" t="inlineStr">
        <is>
          <t>013580</t>
        </is>
      </c>
      <c r="D2900" s="2" t="inlineStr">
        <is>
          <t>대량보유</t>
        </is>
      </c>
      <c r="E2900" s="3" t="inlineStr">
        <is>
          <t>이승찬</t>
        </is>
      </c>
      <c r="F2900" s="3" t="inlineStr">
        <is>
          <t>특별관계자</t>
        </is>
      </c>
      <c r="G2900" s="3" t="inlineStr">
        <is>
          <t>자사주상여금(+), 상속(+)</t>
        </is>
      </c>
      <c r="H2900" s="15" t="n">
        <v>27174</v>
      </c>
      <c r="I2900" s="6" t="inlineStr"/>
      <c r="J2900" s="6" t="n">
        <v>2069144</v>
      </c>
      <c r="K2900" s="16" t="n">
        <v>14</v>
      </c>
      <c r="L2900" s="2" t="inlineStr">
        <is>
          <t>20260605000487</t>
        </is>
      </c>
      <c r="M2900" s="8">
        <f>HYPERLINK("https://dart.fss.or.kr/dsaf001/main.do?rcpNo=20260605000487", "공시열람")</f>
        <v/>
      </c>
    </row>
    <row r="2901" ht="22" customHeight="1">
      <c r="A2901" s="2" t="inlineStr">
        <is>
          <t>2026-06-05</t>
        </is>
      </c>
      <c r="B2901" s="3" t="inlineStr">
        <is>
          <t>계룡건설산업</t>
        </is>
      </c>
      <c r="C2901" s="2" t="inlineStr">
        <is>
          <t>013580</t>
        </is>
      </c>
      <c r="D2901" s="2" t="inlineStr">
        <is>
          <t>대량보유</t>
        </is>
      </c>
      <c r="E2901" s="3" t="inlineStr">
        <is>
          <t>윤종설</t>
        </is>
      </c>
      <c r="F2901" s="3" t="inlineStr">
        <is>
          <t>특별관계자</t>
        </is>
      </c>
      <c r="G2901" s="3" t="inlineStr">
        <is>
          <t>피상속(-)</t>
        </is>
      </c>
      <c r="H2901" s="17" t="n">
        <v>-155474</v>
      </c>
      <c r="I2901" s="6" t="inlineStr"/>
      <c r="J2901" s="6" t="inlineStr"/>
      <c r="K2901" s="16" t="n">
        <v>14</v>
      </c>
      <c r="L2901" s="2" t="inlineStr">
        <is>
          <t>20260605000487</t>
        </is>
      </c>
      <c r="M2901" s="8">
        <f>HYPERLINK("https://dart.fss.or.kr/dsaf001/main.do?rcpNo=20260605000487", "공시열람")</f>
        <v/>
      </c>
    </row>
    <row r="2902" ht="22" customHeight="1">
      <c r="A2902" s="2" t="inlineStr">
        <is>
          <t>2026-06-05</t>
        </is>
      </c>
      <c r="B2902" s="3" t="inlineStr">
        <is>
          <t>계룡건설산업</t>
        </is>
      </c>
      <c r="C2902" s="2" t="inlineStr">
        <is>
          <t>013580</t>
        </is>
      </c>
      <c r="D2902" s="2" t="inlineStr">
        <is>
          <t>대량보유</t>
        </is>
      </c>
      <c r="E2902" s="3" t="inlineStr">
        <is>
          <t>이선향</t>
        </is>
      </c>
      <c r="F2902" s="3" t="inlineStr">
        <is>
          <t>특별관계자</t>
        </is>
      </c>
      <c r="G2902" s="3" t="inlineStr">
        <is>
          <t>상속(+)</t>
        </is>
      </c>
      <c r="H2902" s="15" t="n">
        <v>17282</v>
      </c>
      <c r="I2902" s="6" t="inlineStr"/>
      <c r="J2902" s="6" t="n">
        <v>75418</v>
      </c>
      <c r="K2902" s="16" t="n">
        <v>14</v>
      </c>
      <c r="L2902" s="2" t="inlineStr">
        <is>
          <t>20260605000487</t>
        </is>
      </c>
      <c r="M2902" s="8">
        <f>HYPERLINK("https://dart.fss.or.kr/dsaf001/main.do?rcpNo=20260605000487", "공시열람")</f>
        <v/>
      </c>
    </row>
    <row r="2903" ht="22" customHeight="1">
      <c r="A2903" s="2" t="inlineStr">
        <is>
          <t>2026-06-05</t>
        </is>
      </c>
      <c r="B2903" s="3" t="inlineStr">
        <is>
          <t>계룡건설산업</t>
        </is>
      </c>
      <c r="C2903" s="2" t="inlineStr">
        <is>
          <t>013580</t>
        </is>
      </c>
      <c r="D2903" s="2" t="inlineStr">
        <is>
          <t>대량보유</t>
        </is>
      </c>
      <c r="E2903" s="3" t="inlineStr">
        <is>
          <t>이선숙</t>
        </is>
      </c>
      <c r="F2903" s="3" t="inlineStr">
        <is>
          <t>특별관계자</t>
        </is>
      </c>
      <c r="G2903" s="3" t="inlineStr">
        <is>
          <t>장내매도(-), 상속(+)</t>
        </is>
      </c>
      <c r="H2903" s="17" t="n">
        <v>-1226</v>
      </c>
      <c r="I2903" s="6" t="n">
        <v>27776</v>
      </c>
      <c r="J2903" s="6" t="n">
        <v>97598</v>
      </c>
      <c r="K2903" s="16" t="n">
        <v>14</v>
      </c>
      <c r="L2903" s="2" t="inlineStr">
        <is>
          <t>20260605000487</t>
        </is>
      </c>
      <c r="M2903" s="8">
        <f>HYPERLINK("https://dart.fss.or.kr/dsaf001/main.do?rcpNo=20260605000487", "공시열람")</f>
        <v/>
      </c>
    </row>
    <row r="2904" ht="22" customHeight="1">
      <c r="A2904" s="2" t="inlineStr">
        <is>
          <t>2026-06-05</t>
        </is>
      </c>
      <c r="B2904" s="3" t="inlineStr">
        <is>
          <t>계룡건설산업</t>
        </is>
      </c>
      <c r="C2904" s="2" t="inlineStr">
        <is>
          <t>013580</t>
        </is>
      </c>
      <c r="D2904" s="2" t="inlineStr">
        <is>
          <t>대량보유</t>
        </is>
      </c>
      <c r="E2904" s="3" t="inlineStr">
        <is>
          <t>이희복</t>
        </is>
      </c>
      <c r="F2904" s="3" t="inlineStr">
        <is>
          <t>특별관계자</t>
        </is>
      </c>
      <c r="G2904" s="3" t="inlineStr">
        <is>
          <t>장내매도(-), 상속(+)</t>
        </is>
      </c>
      <c r="H2904" s="15" t="n">
        <v>2274</v>
      </c>
      <c r="I2904" s="6" t="n">
        <v>31300</v>
      </c>
      <c r="J2904" s="6" t="n">
        <v>109799</v>
      </c>
      <c r="K2904" s="16" t="n">
        <v>14</v>
      </c>
      <c r="L2904" s="2" t="inlineStr">
        <is>
          <t>20260605000487</t>
        </is>
      </c>
      <c r="M2904" s="8">
        <f>HYPERLINK("https://dart.fss.or.kr/dsaf001/main.do?rcpNo=20260605000487", "공시열람")</f>
        <v/>
      </c>
    </row>
    <row r="2905" ht="22" customHeight="1">
      <c r="A2905" s="2" t="inlineStr">
        <is>
          <t>2026-06-05</t>
        </is>
      </c>
      <c r="B2905" s="3" t="inlineStr">
        <is>
          <t>계룡건설산업</t>
        </is>
      </c>
      <c r="C2905" s="2" t="inlineStr">
        <is>
          <t>013580</t>
        </is>
      </c>
      <c r="D2905" s="2" t="inlineStr">
        <is>
          <t>대량보유</t>
        </is>
      </c>
      <c r="E2905" s="3" t="inlineStr">
        <is>
          <t>이정복</t>
        </is>
      </c>
      <c r="F2905" s="3" t="inlineStr">
        <is>
          <t>특별관계자</t>
        </is>
      </c>
      <c r="G2905" s="3" t="inlineStr">
        <is>
          <t>상속(+)</t>
        </is>
      </c>
      <c r="H2905" s="15" t="n">
        <v>17274</v>
      </c>
      <c r="I2905" s="6" t="inlineStr"/>
      <c r="J2905" s="6" t="n">
        <v>67628</v>
      </c>
      <c r="K2905" s="16" t="n">
        <v>14</v>
      </c>
      <c r="L2905" s="2" t="inlineStr">
        <is>
          <t>20260605000487</t>
        </is>
      </c>
      <c r="M2905" s="8">
        <f>HYPERLINK("https://dart.fss.or.kr/dsaf001/main.do?rcpNo=20260605000487", "공시열람")</f>
        <v/>
      </c>
    </row>
    <row r="2906" ht="22" customHeight="1">
      <c r="A2906" s="2" t="inlineStr">
        <is>
          <t>2026-06-05</t>
        </is>
      </c>
      <c r="B2906" s="3" t="inlineStr">
        <is>
          <t>계룡건설산업</t>
        </is>
      </c>
      <c r="C2906" s="2" t="inlineStr">
        <is>
          <t>013580</t>
        </is>
      </c>
      <c r="D2906" s="2" t="inlineStr">
        <is>
          <t>대량보유</t>
        </is>
      </c>
      <c r="E2906" s="3" t="inlineStr">
        <is>
          <t>이순복</t>
        </is>
      </c>
      <c r="F2906" s="3" t="inlineStr">
        <is>
          <t>특별관계자</t>
        </is>
      </c>
      <c r="G2906" s="3" t="inlineStr">
        <is>
          <t>상속(+)</t>
        </is>
      </c>
      <c r="H2906" s="15" t="n">
        <v>17274</v>
      </c>
      <c r="I2906" s="6" t="inlineStr"/>
      <c r="J2906" s="6" t="n">
        <v>114799</v>
      </c>
      <c r="K2906" s="16" t="n">
        <v>14</v>
      </c>
      <c r="L2906" s="2" t="inlineStr">
        <is>
          <t>20260605000487</t>
        </is>
      </c>
      <c r="M2906" s="8">
        <f>HYPERLINK("https://dart.fss.or.kr/dsaf001/main.do?rcpNo=20260605000487", "공시열람")</f>
        <v/>
      </c>
    </row>
    <row r="2907" ht="22" customHeight="1">
      <c r="A2907" s="2" t="inlineStr">
        <is>
          <t>2026-06-05</t>
        </is>
      </c>
      <c r="B2907" s="3" t="inlineStr">
        <is>
          <t>계룡건설산업</t>
        </is>
      </c>
      <c r="C2907" s="2" t="inlineStr">
        <is>
          <t>013580</t>
        </is>
      </c>
      <c r="D2907" s="2" t="inlineStr">
        <is>
          <t>대량보유</t>
        </is>
      </c>
      <c r="E2907" s="3" t="inlineStr">
        <is>
          <t>이애복</t>
        </is>
      </c>
      <c r="F2907" s="3" t="inlineStr">
        <is>
          <t>특별관계자</t>
        </is>
      </c>
      <c r="G2907" s="3" t="inlineStr">
        <is>
          <t>상속(+)</t>
        </is>
      </c>
      <c r="H2907" s="15" t="n">
        <v>17274</v>
      </c>
      <c r="I2907" s="6" t="inlineStr"/>
      <c r="J2907" s="6" t="n">
        <v>124799</v>
      </c>
      <c r="K2907" s="16" t="n">
        <v>14</v>
      </c>
      <c r="L2907" s="2" t="inlineStr">
        <is>
          <t>20260605000487</t>
        </is>
      </c>
      <c r="M2907" s="8">
        <f>HYPERLINK("https://dart.fss.or.kr/dsaf001/main.do?rcpNo=20260605000487", "공시열람")</f>
        <v/>
      </c>
    </row>
    <row r="2908" ht="22" customHeight="1">
      <c r="A2908" s="2" t="inlineStr">
        <is>
          <t>2026-06-05</t>
        </is>
      </c>
      <c r="B2908" s="3" t="inlineStr">
        <is>
          <t>계룡건설산업</t>
        </is>
      </c>
      <c r="C2908" s="2" t="inlineStr">
        <is>
          <t>013580</t>
        </is>
      </c>
      <c r="D2908" s="2" t="inlineStr">
        <is>
          <t>대량보유</t>
        </is>
      </c>
      <c r="E2908" s="3" t="inlineStr">
        <is>
          <t>이화복</t>
        </is>
      </c>
      <c r="F2908" s="3" t="inlineStr">
        <is>
          <t>특별관계자</t>
        </is>
      </c>
      <c r="G2908" s="3" t="inlineStr">
        <is>
          <t>상속(+)</t>
        </is>
      </c>
      <c r="H2908" s="15" t="n">
        <v>17274</v>
      </c>
      <c r="I2908" s="6" t="inlineStr"/>
      <c r="J2908" s="6" t="n">
        <v>124799</v>
      </c>
      <c r="K2908" s="16" t="n">
        <v>14</v>
      </c>
      <c r="L2908" s="2" t="inlineStr">
        <is>
          <t>20260605000487</t>
        </is>
      </c>
      <c r="M2908" s="8">
        <f>HYPERLINK("https://dart.fss.or.kr/dsaf001/main.do?rcpNo=20260605000487", "공시열람")</f>
        <v/>
      </c>
    </row>
    <row r="2909" ht="22" customHeight="1">
      <c r="A2909" s="2" t="inlineStr">
        <is>
          <t>2026-06-05</t>
        </is>
      </c>
      <c r="B2909" s="3" t="inlineStr">
        <is>
          <t>계룡건설산업</t>
        </is>
      </c>
      <c r="C2909" s="2" t="inlineStr">
        <is>
          <t>013580</t>
        </is>
      </c>
      <c r="D2909" s="2" t="inlineStr">
        <is>
          <t>대량보유</t>
        </is>
      </c>
      <c r="E2909" s="3" t="inlineStr">
        <is>
          <t>이미복</t>
        </is>
      </c>
      <c r="F2909" s="3" t="inlineStr">
        <is>
          <t>특별관계자</t>
        </is>
      </c>
      <c r="G2909" s="3" t="inlineStr">
        <is>
          <t>상속(+)</t>
        </is>
      </c>
      <c r="H2909" s="15" t="n">
        <v>17274</v>
      </c>
      <c r="I2909" s="6" t="inlineStr"/>
      <c r="J2909" s="6" t="n">
        <v>124799</v>
      </c>
      <c r="K2909" s="16" t="n">
        <v>14</v>
      </c>
      <c r="L2909" s="2" t="inlineStr">
        <is>
          <t>20260605000487</t>
        </is>
      </c>
      <c r="M2909" s="8">
        <f>HYPERLINK("https://dart.fss.or.kr/dsaf001/main.do?rcpNo=20260605000487", "공시열람")</f>
        <v/>
      </c>
    </row>
    <row r="2910" ht="22" customHeight="1">
      <c r="A2910" s="2" t="inlineStr">
        <is>
          <t>2026-06-05</t>
        </is>
      </c>
      <c r="B2910" s="3" t="inlineStr">
        <is>
          <t>계룡건설산업</t>
        </is>
      </c>
      <c r="C2910" s="2" t="inlineStr">
        <is>
          <t>013580</t>
        </is>
      </c>
      <c r="D2910" s="2" t="inlineStr">
        <is>
          <t>대량보유</t>
        </is>
      </c>
      <c r="E2910" s="3" t="inlineStr">
        <is>
          <t>오태식</t>
        </is>
      </c>
      <c r="F2910" s="3" t="inlineStr">
        <is>
          <t>특별관계자</t>
        </is>
      </c>
      <c r="G2910" s="3" t="inlineStr">
        <is>
          <t>자사주상여금(+)</t>
        </is>
      </c>
      <c r="H2910" s="15" t="n">
        <v>2500</v>
      </c>
      <c r="I2910" s="6" t="inlineStr"/>
      <c r="J2910" s="6" t="n">
        <v>12180</v>
      </c>
      <c r="K2910" s="16" t="n">
        <v>14</v>
      </c>
      <c r="L2910" s="2" t="inlineStr">
        <is>
          <t>20260605000487</t>
        </is>
      </c>
      <c r="M2910" s="8">
        <f>HYPERLINK("https://dart.fss.or.kr/dsaf001/main.do?rcpNo=20260605000487", "공시열람")</f>
        <v/>
      </c>
    </row>
    <row r="2911" ht="22" customHeight="1">
      <c r="A2911" s="2" t="inlineStr">
        <is>
          <t>2026-06-05</t>
        </is>
      </c>
      <c r="B2911" s="3" t="inlineStr">
        <is>
          <t>계룡건설산업</t>
        </is>
      </c>
      <c r="C2911" s="2" t="inlineStr">
        <is>
          <t>013580</t>
        </is>
      </c>
      <c r="D2911" s="2" t="inlineStr">
        <is>
          <t>대량보유</t>
        </is>
      </c>
      <c r="E2911" s="3" t="inlineStr">
        <is>
          <t>윤길호</t>
        </is>
      </c>
      <c r="F2911" s="3" t="inlineStr">
        <is>
          <t>특별관계자</t>
        </is>
      </c>
      <c r="G2911" s="3" t="inlineStr">
        <is>
          <t>자사주상여금(+)</t>
        </is>
      </c>
      <c r="H2911" s="15" t="n">
        <v>2500</v>
      </c>
      <c r="I2911" s="6" t="inlineStr"/>
      <c r="J2911" s="6" t="n">
        <v>2500</v>
      </c>
      <c r="K2911" s="16" t="n">
        <v>14</v>
      </c>
      <c r="L2911" s="2" t="inlineStr">
        <is>
          <t>20260605000487</t>
        </is>
      </c>
      <c r="M2911" s="8">
        <f>HYPERLINK("https://dart.fss.or.kr/dsaf001/main.do?rcpNo=20260605000487", "공시열람")</f>
        <v/>
      </c>
    </row>
    <row r="2912" ht="22" customHeight="1">
      <c r="A2912" s="2" t="inlineStr">
        <is>
          <t>2026-06-05</t>
        </is>
      </c>
      <c r="B2912" s="3" t="inlineStr">
        <is>
          <t>애드바이오텍</t>
        </is>
      </c>
      <c r="C2912" s="2" t="inlineStr">
        <is>
          <t>179530</t>
        </is>
      </c>
      <c r="D2912" s="2" t="inlineStr">
        <is>
          <t>대량보유</t>
        </is>
      </c>
      <c r="E2912" s="3" t="inlineStr">
        <is>
          <t>이트론주식회사</t>
        </is>
      </c>
      <c r="F2912" s="3" t="inlineStr">
        <is>
          <t>특별관계자</t>
        </is>
      </c>
      <c r="G2912" s="3" t="inlineStr">
        <is>
          <t>장외매도(-)</t>
        </is>
      </c>
      <c r="H2912" s="17" t="n">
        <v>-3407863</v>
      </c>
      <c r="I2912" s="6" t="n">
        <v>1687</v>
      </c>
      <c r="J2912" s="6" t="inlineStr"/>
      <c r="K2912" s="16" t="n">
        <v>1</v>
      </c>
      <c r="L2912" s="2" t="inlineStr">
        <is>
          <t>20260605000485</t>
        </is>
      </c>
      <c r="M2912" s="8">
        <f>HYPERLINK("https://dart.fss.or.kr/dsaf001/main.do?rcpNo=20260605000485", "공시열람")</f>
        <v/>
      </c>
    </row>
    <row r="2913" ht="22" customHeight="1">
      <c r="A2913" s="2" t="inlineStr">
        <is>
          <t>2026-06-05</t>
        </is>
      </c>
      <c r="B2913" s="3" t="inlineStr">
        <is>
          <t>애드바이오텍</t>
        </is>
      </c>
      <c r="C2913" s="2" t="inlineStr">
        <is>
          <t>179530</t>
        </is>
      </c>
      <c r="D2913" s="2" t="inlineStr">
        <is>
          <t>대량보유</t>
        </is>
      </c>
      <c r="E2913" s="3" t="inlineStr">
        <is>
          <t>비케이파트너스투자조합2호</t>
        </is>
      </c>
      <c r="F2913" s="3" t="inlineStr">
        <is>
          <t>특별관계자</t>
        </is>
      </c>
      <c r="G2913" s="3" t="inlineStr">
        <is>
          <t>특별관계해소(-)</t>
        </is>
      </c>
      <c r="H2913" s="17" t="n">
        <v>-3319251</v>
      </c>
      <c r="I2913" s="6" t="n">
        <v>1687</v>
      </c>
      <c r="J2913" s="6" t="inlineStr"/>
      <c r="K2913" s="16" t="n">
        <v>1</v>
      </c>
      <c r="L2913" s="2" t="inlineStr">
        <is>
          <t>20260605000485</t>
        </is>
      </c>
      <c r="M2913" s="8">
        <f>HYPERLINK("https://dart.fss.or.kr/dsaf001/main.do?rcpNo=20260605000485", "공시열람")</f>
        <v/>
      </c>
    </row>
    <row r="2914" ht="22" customHeight="1">
      <c r="A2914" s="2" t="inlineStr">
        <is>
          <t>2026-06-05</t>
        </is>
      </c>
      <c r="B2914" s="3" t="inlineStr">
        <is>
          <t>애드바이오텍</t>
        </is>
      </c>
      <c r="C2914" s="2" t="inlineStr">
        <is>
          <t>179530</t>
        </is>
      </c>
      <c r="D2914" s="2" t="inlineStr">
        <is>
          <t>대량보유</t>
        </is>
      </c>
      <c r="E2914" s="3" t="inlineStr">
        <is>
          <t>(주)엘엔제이트러스트홀딩스</t>
        </is>
      </c>
      <c r="F2914" s="3" t="inlineStr">
        <is>
          <t>특별관계자</t>
        </is>
      </c>
      <c r="G2914" s="3" t="inlineStr">
        <is>
          <t>장외매수(+), 제3자배정유상증자(+)</t>
        </is>
      </c>
      <c r="H2914" s="15" t="n">
        <v>9395637</v>
      </c>
      <c r="I2914" s="6" t="n">
        <v>1971</v>
      </c>
      <c r="J2914" s="6" t="n">
        <v>9395637</v>
      </c>
      <c r="K2914" s="16" t="n">
        <v>1</v>
      </c>
      <c r="L2914" s="2" t="inlineStr">
        <is>
          <t>20260605000485</t>
        </is>
      </c>
      <c r="M2914" s="8">
        <f>HYPERLINK("https://dart.fss.or.kr/dsaf001/main.do?rcpNo=20260605000485", "공시열람")</f>
        <v/>
      </c>
    </row>
    <row r="2915" ht="22" customHeight="1">
      <c r="A2915" s="2" t="inlineStr">
        <is>
          <t>2026-06-05</t>
        </is>
      </c>
      <c r="B2915" s="3" t="inlineStr">
        <is>
          <t>젬백스</t>
        </is>
      </c>
      <c r="C2915" s="2" t="inlineStr">
        <is>
          <t>082270</t>
        </is>
      </c>
      <c r="D2915" s="2" t="inlineStr">
        <is>
          <t>대량보유</t>
        </is>
      </c>
      <c r="E2915" s="3" t="inlineStr">
        <is>
          <t>㈜젬앤컴퍼니</t>
        </is>
      </c>
      <c r="F2915" s="3" t="inlineStr">
        <is>
          <t>보고자</t>
        </is>
      </c>
      <c r="G2915" s="3" t="inlineStr">
        <is>
          <t>- 보고자의 주식담보 대출 및 금전차입 계약 변경</t>
        </is>
      </c>
      <c r="H2915" s="6" t="inlineStr"/>
      <c r="I2915" s="6" t="inlineStr"/>
      <c r="J2915" s="6" t="n">
        <v>11466280</v>
      </c>
      <c r="K2915" s="16" t="n">
        <v>16</v>
      </c>
      <c r="L2915" s="2" t="inlineStr">
        <is>
          <t>20260605000483</t>
        </is>
      </c>
      <c r="M2915" s="8">
        <f>HYPERLINK("https://dart.fss.or.kr/dsaf001/main.do?rcpNo=20260605000483", "공시열람")</f>
        <v/>
      </c>
    </row>
    <row r="2916" ht="22" customHeight="1">
      <c r="A2916" s="2" t="inlineStr">
        <is>
          <t>2026-06-05</t>
        </is>
      </c>
      <c r="B2916" s="3" t="inlineStr">
        <is>
          <t>코웨이</t>
        </is>
      </c>
      <c r="C2916" s="2" t="inlineStr">
        <is>
          <t>021240</t>
        </is>
      </c>
      <c r="D2916" s="2" t="inlineStr">
        <is>
          <t>임원보고</t>
        </is>
      </c>
      <c r="E2916" s="3" t="inlineStr">
        <is>
          <t>-</t>
        </is>
      </c>
      <c r="F2916" s="3" t="inlineStr">
        <is>
          <t>-</t>
        </is>
      </c>
      <c r="G2916" s="3" t="inlineStr">
        <is>
          <t>-</t>
        </is>
      </c>
      <c r="H2916" s="6" t="inlineStr"/>
      <c r="I2916" s="6" t="inlineStr"/>
      <c r="J2916" s="6" t="inlineStr"/>
      <c r="K2916" s="16" t="n">
        <v>12</v>
      </c>
      <c r="L2916" s="2" t="inlineStr">
        <is>
          <t>20260605800677</t>
        </is>
      </c>
      <c r="M2916" s="8">
        <f>HYPERLINK("https://dart.fss.or.kr/dsaf001/main.do?rcpNo=20260605800677", "공시열람")</f>
        <v/>
      </c>
    </row>
    <row r="2917" ht="22" customHeight="1">
      <c r="A2917" s="2" t="inlineStr">
        <is>
          <t>2026-06-05</t>
        </is>
      </c>
      <c r="B2917" s="3" t="inlineStr">
        <is>
          <t>HL홀딩스</t>
        </is>
      </c>
      <c r="C2917" s="2" t="inlineStr">
        <is>
          <t>060980</t>
        </is>
      </c>
      <c r="D2917" s="2" t="inlineStr">
        <is>
          <t>대량보유</t>
        </is>
      </c>
      <c r="E2917" s="3" t="inlineStr">
        <is>
          <t>베어링자산운용</t>
        </is>
      </c>
      <c r="F2917" s="3" t="inlineStr">
        <is>
          <t>특별관계자</t>
        </is>
      </c>
      <c r="G2917" s="3" t="inlineStr">
        <is>
          <t>장내매수(+), 장내매도(-), 기타(+), 기타(-)</t>
        </is>
      </c>
      <c r="H2917" s="17" t="n">
        <v>-149645</v>
      </c>
      <c r="I2917" s="6" t="n">
        <v>41979</v>
      </c>
      <c r="J2917" s="6" t="n">
        <v>577616</v>
      </c>
      <c r="K2917" s="16" t="n">
        <v>3</v>
      </c>
      <c r="L2917" s="2" t="inlineStr">
        <is>
          <t>20260605000481</t>
        </is>
      </c>
      <c r="M2917" s="8">
        <f>HYPERLINK("https://dart.fss.or.kr/dsaf001/main.do?rcpNo=20260605000481", "공시열람")</f>
        <v/>
      </c>
    </row>
    <row r="2918" ht="22" customHeight="1">
      <c r="A2918" s="2" t="inlineStr">
        <is>
          <t>2026-06-05</t>
        </is>
      </c>
      <c r="B2918" s="3" t="inlineStr">
        <is>
          <t>HL홀딩스</t>
        </is>
      </c>
      <c r="C2918" s="2" t="inlineStr">
        <is>
          <t>060980</t>
        </is>
      </c>
      <c r="D2918" s="2" t="inlineStr">
        <is>
          <t>대량보유</t>
        </is>
      </c>
      <c r="E2918" s="3" t="inlineStr">
        <is>
          <t>베어링고배당증권투자회사(주식)</t>
        </is>
      </c>
      <c r="F2918" s="3" t="inlineStr">
        <is>
          <t>특별관계자</t>
        </is>
      </c>
      <c r="G2918" s="3" t="inlineStr">
        <is>
          <t>장내매도(-), 장내매수(+)</t>
        </is>
      </c>
      <c r="H2918" s="17" t="n">
        <v>-6178</v>
      </c>
      <c r="I2918" s="6" t="n">
        <v>41177</v>
      </c>
      <c r="J2918" s="6" t="n">
        <v>601730</v>
      </c>
      <c r="K2918" s="16" t="n">
        <v>3</v>
      </c>
      <c r="L2918" s="2" t="inlineStr">
        <is>
          <t>20260605000481</t>
        </is>
      </c>
      <c r="M2918" s="8">
        <f>HYPERLINK("https://dart.fss.or.kr/dsaf001/main.do?rcpNo=20260605000481", "공시열람")</f>
        <v/>
      </c>
    </row>
    <row r="2919" ht="22" customHeight="1">
      <c r="A2919" s="2" t="inlineStr">
        <is>
          <t>2026-06-05</t>
        </is>
      </c>
      <c r="B2919" s="3" t="inlineStr">
        <is>
          <t>HL홀딩스</t>
        </is>
      </c>
      <c r="C2919" s="2" t="inlineStr">
        <is>
          <t>060980</t>
        </is>
      </c>
      <c r="D2919" s="2" t="inlineStr">
        <is>
          <t>대량보유</t>
        </is>
      </c>
      <c r="E2919" s="3" t="inlineStr">
        <is>
          <t>베어링고배당밸런스드60증권투자회사(주식혼합)</t>
        </is>
      </c>
      <c r="F2919" s="3" t="inlineStr">
        <is>
          <t>특별관계자</t>
        </is>
      </c>
      <c r="G2919" s="3" t="inlineStr">
        <is>
          <t>장내매수(+), 장내매도(-)</t>
        </is>
      </c>
      <c r="H2919" s="15" t="n">
        <v>121</v>
      </c>
      <c r="I2919" s="6" t="n">
        <v>43086</v>
      </c>
      <c r="J2919" s="6" t="n">
        <v>588240</v>
      </c>
      <c r="K2919" s="16" t="n">
        <v>3</v>
      </c>
      <c r="L2919" s="2" t="inlineStr">
        <is>
          <t>20260605000481</t>
        </is>
      </c>
      <c r="M2919" s="8">
        <f>HYPERLINK("https://dart.fss.or.kr/dsaf001/main.do?rcpNo=20260605000481", "공시열람")</f>
        <v/>
      </c>
    </row>
    <row r="2920" ht="22" customHeight="1">
      <c r="A2920" s="2" t="inlineStr">
        <is>
          <t>2026-06-05</t>
        </is>
      </c>
      <c r="B2920" s="3" t="inlineStr">
        <is>
          <t>에이프로젠바이오로직스</t>
        </is>
      </c>
      <c r="C2920" s="2" t="inlineStr">
        <is>
          <t>003060</t>
        </is>
      </c>
      <c r="D2920" s="2" t="inlineStr">
        <is>
          <t>대량보유</t>
        </is>
      </c>
      <c r="E2920" s="3" t="inlineStr">
        <is>
          <t>(주)에이프로젠</t>
        </is>
      </c>
      <c r="F2920" s="3" t="inlineStr">
        <is>
          <t>특별관계자</t>
        </is>
      </c>
      <c r="G2920" s="3" t="inlineStr">
        <is>
          <t>CB인수(+)</t>
        </is>
      </c>
      <c r="H2920" s="15" t="n">
        <v>2255808</v>
      </c>
      <c r="I2920" s="6" t="n">
        <v>4433</v>
      </c>
      <c r="J2920" s="6" t="n">
        <v>2255808</v>
      </c>
      <c r="K2920" s="16" t="n">
        <v>5</v>
      </c>
      <c r="L2920" s="2" t="inlineStr">
        <is>
          <t>20260605000478</t>
        </is>
      </c>
      <c r="M2920" s="8">
        <f>HYPERLINK("https://dart.fss.or.kr/dsaf001/main.do?rcpNo=20260605000478", "공시열람")</f>
        <v/>
      </c>
    </row>
    <row r="2921" ht="22" customHeight="1">
      <c r="A2921" s="2" t="inlineStr">
        <is>
          <t>2026-06-05</t>
        </is>
      </c>
      <c r="B2921" s="3" t="inlineStr">
        <is>
          <t>넥써쓰</t>
        </is>
      </c>
      <c r="C2921" s="2" t="inlineStr">
        <is>
          <t>205500</t>
        </is>
      </c>
      <c r="D2921" s="2" t="inlineStr">
        <is>
          <t>대량보유</t>
        </is>
      </c>
      <c r="E2921" s="3" t="inlineStr">
        <is>
          <t>(주)링크드</t>
        </is>
      </c>
      <c r="F2921" s="3" t="inlineStr">
        <is>
          <t>특별관계자</t>
        </is>
      </c>
      <c r="G2921" s="3" t="inlineStr">
        <is>
          <t>콜옵션권리행사배정에따른주식처분(-)</t>
        </is>
      </c>
      <c r="H2921" s="17" t="n">
        <v>-5410590</v>
      </c>
      <c r="I2921" s="6" t="inlineStr"/>
      <c r="J2921" s="6" t="n">
        <v>-5410590</v>
      </c>
      <c r="K2921" s="16" t="n">
        <v>9</v>
      </c>
      <c r="L2921" s="2" t="inlineStr">
        <is>
          <t>20260605000476</t>
        </is>
      </c>
      <c r="M2921" s="8">
        <f>HYPERLINK("https://dart.fss.or.kr/dsaf001/main.do?rcpNo=20260605000476", "공시열람")</f>
        <v/>
      </c>
    </row>
    <row r="2922" ht="22" customHeight="1">
      <c r="A2922" s="2" t="inlineStr">
        <is>
          <t>2026-06-05</t>
        </is>
      </c>
      <c r="B2922" s="3" t="inlineStr">
        <is>
          <t>넥써쓰</t>
        </is>
      </c>
      <c r="C2922" s="2" t="inlineStr">
        <is>
          <t>205500</t>
        </is>
      </c>
      <c r="D2922" s="2" t="inlineStr">
        <is>
          <t>대량보유</t>
        </is>
      </c>
      <c r="E2922" s="3" t="inlineStr">
        <is>
          <t>장현국</t>
        </is>
      </c>
      <c r="F2922" s="3" t="inlineStr">
        <is>
          <t>특별관계자</t>
        </is>
      </c>
      <c r="G2922" s="3" t="inlineStr">
        <is>
          <t>콜옵션권리행사에따른주식취득(+)</t>
        </is>
      </c>
      <c r="H2922" s="15" t="n">
        <v>5410590</v>
      </c>
      <c r="I2922" s="6" t="inlineStr"/>
      <c r="J2922" s="6" t="n">
        <v>15331224</v>
      </c>
      <c r="K2922" s="16" t="n">
        <v>9</v>
      </c>
      <c r="L2922" s="2" t="inlineStr">
        <is>
          <t>20260605000476</t>
        </is>
      </c>
      <c r="M2922" s="8">
        <f>HYPERLINK("https://dart.fss.or.kr/dsaf001/main.do?rcpNo=20260605000476", "공시열람")</f>
        <v/>
      </c>
    </row>
    <row r="2923" ht="22" customHeight="1">
      <c r="A2923" s="2" t="inlineStr">
        <is>
          <t>2026-06-05</t>
        </is>
      </c>
      <c r="B2923" s="3" t="inlineStr">
        <is>
          <t>동구바이오제약</t>
        </is>
      </c>
      <c r="C2923" s="2" t="inlineStr">
        <is>
          <t>006620</t>
        </is>
      </c>
      <c r="D2923" s="2" t="inlineStr">
        <is>
          <t>대량보유</t>
        </is>
      </c>
      <c r="E2923" s="3" t="inlineStr">
        <is>
          <t>조호윤</t>
        </is>
      </c>
      <c r="F2923" s="3" t="inlineStr">
        <is>
          <t>특별관계자</t>
        </is>
      </c>
      <c r="G2923" s="3" t="inlineStr">
        <is>
          <t>장내매수(+)</t>
        </is>
      </c>
      <c r="H2923" s="15" t="n">
        <v>250</v>
      </c>
      <c r="I2923" s="6" t="n">
        <v>4200</v>
      </c>
      <c r="J2923" s="6" t="n">
        <v>145788</v>
      </c>
      <c r="K2923" s="16" t="n">
        <v>8</v>
      </c>
      <c r="L2923" s="2" t="inlineStr">
        <is>
          <t>20260605000475</t>
        </is>
      </c>
      <c r="M2923" s="8">
        <f>HYPERLINK("https://dart.fss.or.kr/dsaf001/main.do?rcpNo=20260605000475", "공시열람")</f>
        <v/>
      </c>
    </row>
    <row r="2924" ht="22" customHeight="1">
      <c r="A2924" s="2" t="inlineStr">
        <is>
          <t>2026-06-05</t>
        </is>
      </c>
      <c r="B2924" s="3" t="inlineStr">
        <is>
          <t>파버나인</t>
        </is>
      </c>
      <c r="C2924" s="2" t="inlineStr">
        <is>
          <t>177830</t>
        </is>
      </c>
      <c r="D2924" s="2" t="inlineStr">
        <is>
          <t>대량보유</t>
        </is>
      </c>
      <c r="E2924" s="3" t="inlineStr">
        <is>
          <t>이휘동</t>
        </is>
      </c>
      <c r="F2924" s="3" t="inlineStr">
        <is>
          <t>특별관계자</t>
        </is>
      </c>
      <c r="G2924" s="3" t="inlineStr">
        <is>
          <t>장내매수(+)</t>
        </is>
      </c>
      <c r="H2924" s="15" t="n">
        <v>24460</v>
      </c>
      <c r="I2924" s="6" t="n">
        <v>2441</v>
      </c>
      <c r="J2924" s="6" t="n">
        <v>24460</v>
      </c>
      <c r="K2924" s="16" t="n">
        <v>1</v>
      </c>
      <c r="L2924" s="2" t="inlineStr">
        <is>
          <t>20260605000474</t>
        </is>
      </c>
      <c r="M2924" s="8">
        <f>HYPERLINK("https://dart.fss.or.kr/dsaf001/main.do?rcpNo=20260605000474", "공시열람")</f>
        <v/>
      </c>
    </row>
    <row r="2925" ht="22" customHeight="1">
      <c r="A2925" s="2" t="inlineStr">
        <is>
          <t>2026-06-05</t>
        </is>
      </c>
      <c r="B2925" s="3" t="inlineStr">
        <is>
          <t>기가비스</t>
        </is>
      </c>
      <c r="C2925" s="2" t="inlineStr">
        <is>
          <t>420770</t>
        </is>
      </c>
      <c r="D2925" s="2" t="inlineStr">
        <is>
          <t>대량보유</t>
        </is>
      </c>
      <c r="E2925" s="3" t="inlineStr">
        <is>
          <t>강해철</t>
        </is>
      </c>
      <c r="F2925" s="3" t="inlineStr">
        <is>
          <t>특별관계자</t>
        </is>
      </c>
      <c r="G2925" s="3" t="inlineStr">
        <is>
          <t>장내매수(+)</t>
        </is>
      </c>
      <c r="H2925" s="15" t="n">
        <v>21202</v>
      </c>
      <c r="I2925" s="6" t="n">
        <v>24766</v>
      </c>
      <c r="J2925" s="6" t="n">
        <v>1756202</v>
      </c>
      <c r="K2925" s="16" t="n">
        <v>3</v>
      </c>
      <c r="L2925" s="2" t="inlineStr">
        <is>
          <t>20260605000463</t>
        </is>
      </c>
      <c r="M2925" s="8">
        <f>HYPERLINK("https://dart.fss.or.kr/dsaf001/main.do?rcpNo=20260605000463", "공시열람")</f>
        <v/>
      </c>
    </row>
    <row r="2926" ht="22" customHeight="1">
      <c r="A2926" s="2" t="inlineStr">
        <is>
          <t>2026-06-05</t>
        </is>
      </c>
      <c r="B2926" s="3" t="inlineStr">
        <is>
          <t>기가비스</t>
        </is>
      </c>
      <c r="C2926" s="2" t="inlineStr">
        <is>
          <t>420770</t>
        </is>
      </c>
      <c r="D2926" s="2" t="inlineStr">
        <is>
          <t>대량보유</t>
        </is>
      </c>
      <c r="E2926" s="3" t="inlineStr">
        <is>
          <t>오제환</t>
        </is>
      </c>
      <c r="F2926" s="3" t="inlineStr">
        <is>
          <t>특별관계자</t>
        </is>
      </c>
      <c r="G2926" s="3" t="inlineStr">
        <is>
          <t>장내매수(+)</t>
        </is>
      </c>
      <c r="H2926" s="15" t="n">
        <v>3000</v>
      </c>
      <c r="I2926" s="6" t="n">
        <v>24610</v>
      </c>
      <c r="J2926" s="6" t="n">
        <v>1587400</v>
      </c>
      <c r="K2926" s="16" t="n">
        <v>3</v>
      </c>
      <c r="L2926" s="2" t="inlineStr">
        <is>
          <t>20260605000463</t>
        </is>
      </c>
      <c r="M2926" s="8">
        <f>HYPERLINK("https://dart.fss.or.kr/dsaf001/main.do?rcpNo=20260605000463", "공시열람")</f>
        <v/>
      </c>
    </row>
    <row r="2927" ht="22" customHeight="1">
      <c r="A2927" s="2" t="inlineStr">
        <is>
          <t>2026-06-05</t>
        </is>
      </c>
      <c r="B2927" s="3" t="inlineStr">
        <is>
          <t>기가비스</t>
        </is>
      </c>
      <c r="C2927" s="2" t="inlineStr">
        <is>
          <t>420770</t>
        </is>
      </c>
      <c r="D2927" s="2" t="inlineStr">
        <is>
          <t>대량보유</t>
        </is>
      </c>
      <c r="E2927" s="3" t="inlineStr">
        <is>
          <t>김종준</t>
        </is>
      </c>
      <c r="F2927" s="3" t="inlineStr">
        <is>
          <t>특별관계자</t>
        </is>
      </c>
      <c r="G2927" s="3" t="inlineStr">
        <is>
          <t>장내매수(+)</t>
        </is>
      </c>
      <c r="H2927" s="15" t="n">
        <v>10000</v>
      </c>
      <c r="I2927" s="6" t="n">
        <v>24748</v>
      </c>
      <c r="J2927" s="6" t="n">
        <v>2288242</v>
      </c>
      <c r="K2927" s="16" t="n">
        <v>3</v>
      </c>
      <c r="L2927" s="2" t="inlineStr">
        <is>
          <t>20260605000463</t>
        </is>
      </c>
      <c r="M2927" s="8">
        <f>HYPERLINK("https://dart.fss.or.kr/dsaf001/main.do?rcpNo=20260605000463", "공시열람")</f>
        <v/>
      </c>
    </row>
    <row r="2928" ht="22" customHeight="1">
      <c r="A2928" s="2" t="inlineStr">
        <is>
          <t>2026-06-05</t>
        </is>
      </c>
      <c r="B2928" s="3" t="inlineStr">
        <is>
          <t>기가비스</t>
        </is>
      </c>
      <c r="C2928" s="2" t="inlineStr">
        <is>
          <t>420770</t>
        </is>
      </c>
      <c r="D2928" s="2" t="inlineStr">
        <is>
          <t>대량보유</t>
        </is>
      </c>
      <c r="E2928" s="3" t="inlineStr">
        <is>
          <t>이재승</t>
        </is>
      </c>
      <c r="F2928" s="3" t="inlineStr">
        <is>
          <t>특별관계자</t>
        </is>
      </c>
      <c r="G2928" s="3" t="inlineStr">
        <is>
          <t>시간외매매(-)</t>
        </is>
      </c>
      <c r="H2928" s="17" t="n">
        <v>-120000</v>
      </c>
      <c r="I2928" s="6" t="n">
        <v>32864</v>
      </c>
      <c r="J2928" s="6" t="n">
        <v>505500</v>
      </c>
      <c r="K2928" s="16" t="n">
        <v>3</v>
      </c>
      <c r="L2928" s="2" t="inlineStr">
        <is>
          <t>20260605000463</t>
        </is>
      </c>
      <c r="M2928" s="8">
        <f>HYPERLINK("https://dart.fss.or.kr/dsaf001/main.do?rcpNo=20260605000463", "공시열람")</f>
        <v/>
      </c>
    </row>
    <row r="2929" ht="22" customHeight="1">
      <c r="A2929" s="2" t="inlineStr">
        <is>
          <t>2026-06-05</t>
        </is>
      </c>
      <c r="B2929" s="3" t="inlineStr">
        <is>
          <t>기가비스</t>
        </is>
      </c>
      <c r="C2929" s="2" t="inlineStr">
        <is>
          <t>420770</t>
        </is>
      </c>
      <c r="D2929" s="2" t="inlineStr">
        <is>
          <t>대량보유</t>
        </is>
      </c>
      <c r="E2929" s="3" t="inlineStr">
        <is>
          <t>이재곤</t>
        </is>
      </c>
      <c r="F2929" s="3" t="inlineStr">
        <is>
          <t>특별관계자</t>
        </is>
      </c>
      <c r="G2929" s="3" t="inlineStr">
        <is>
          <t>임원퇴임(-)</t>
        </is>
      </c>
      <c r="H2929" s="17" t="n">
        <v>-1580525</v>
      </c>
      <c r="I2929" s="6" t="inlineStr"/>
      <c r="J2929" s="6" t="inlineStr"/>
      <c r="K2929" s="16" t="n">
        <v>3</v>
      </c>
      <c r="L2929" s="2" t="inlineStr">
        <is>
          <t>20260605000463</t>
        </is>
      </c>
      <c r="M2929" s="8">
        <f>HYPERLINK("https://dart.fss.or.kr/dsaf001/main.do?rcpNo=20260605000463", "공시열람")</f>
        <v/>
      </c>
    </row>
    <row r="2930" ht="22" customHeight="1">
      <c r="A2930" s="2" t="inlineStr">
        <is>
          <t>2026-06-05</t>
        </is>
      </c>
      <c r="B2930" s="3" t="inlineStr">
        <is>
          <t>위세아이텍</t>
        </is>
      </c>
      <c r="C2930" s="2" t="inlineStr">
        <is>
          <t>065370</t>
        </is>
      </c>
      <c r="D2930" s="2" t="inlineStr">
        <is>
          <t>대량보유</t>
        </is>
      </c>
      <c r="E2930" s="3" t="inlineStr">
        <is>
          <t>이제동</t>
        </is>
      </c>
      <c r="F2930" s="3" t="inlineStr">
        <is>
          <t>특별관계자</t>
        </is>
      </c>
      <c r="G2930" s="3" t="inlineStr">
        <is>
          <t>장내매수(+)</t>
        </is>
      </c>
      <c r="H2930" s="15" t="n">
        <v>2333</v>
      </c>
      <c r="I2930" s="6" t="n">
        <v>4192</v>
      </c>
      <c r="J2930" s="6" t="n">
        <v>87000</v>
      </c>
      <c r="K2930" s="16" t="n">
        <v>10</v>
      </c>
      <c r="L2930" s="2" t="inlineStr">
        <is>
          <t>20260605000457</t>
        </is>
      </c>
      <c r="M2930" s="8">
        <f>HYPERLINK("https://dart.fss.or.kr/dsaf001/main.do?rcpNo=20260605000457", "공시열람")</f>
        <v/>
      </c>
    </row>
    <row r="2931" ht="22" customHeight="1">
      <c r="A2931" s="2" t="inlineStr">
        <is>
          <t>2026-06-05</t>
        </is>
      </c>
      <c r="B2931" s="3" t="inlineStr">
        <is>
          <t>원익머트리얼즈</t>
        </is>
      </c>
      <c r="C2931" s="2" t="inlineStr">
        <is>
          <t>104830</t>
        </is>
      </c>
      <c r="D2931" s="2" t="inlineStr">
        <is>
          <t>대량보유</t>
        </is>
      </c>
      <c r="E2931" s="3" t="inlineStr">
        <is>
          <t>베어링고배당증권투자회사(주식)</t>
        </is>
      </c>
      <c r="F2931" s="3" t="inlineStr">
        <is>
          <t>특별관계자</t>
        </is>
      </c>
      <c r="G2931" s="3" t="inlineStr">
        <is>
          <t>장내매도(-), 장내매수(+)</t>
        </is>
      </c>
      <c r="H2931" s="17" t="n">
        <v>-1411</v>
      </c>
      <c r="I2931" s="6" t="n">
        <v>43389</v>
      </c>
      <c r="J2931" s="6" t="n">
        <v>933826</v>
      </c>
      <c r="K2931" s="16" t="n">
        <v>3</v>
      </c>
      <c r="L2931" s="2" t="inlineStr">
        <is>
          <t>20260605000444</t>
        </is>
      </c>
      <c r="M2931" s="8">
        <f>HYPERLINK("https://dart.fss.or.kr/dsaf001/main.do?rcpNo=20260605000444", "공시열람")</f>
        <v/>
      </c>
    </row>
    <row r="2932" ht="22" customHeight="1">
      <c r="A2932" s="2" t="inlineStr">
        <is>
          <t>2026-06-05</t>
        </is>
      </c>
      <c r="B2932" s="3" t="inlineStr">
        <is>
          <t>원익머트리얼즈</t>
        </is>
      </c>
      <c r="C2932" s="2" t="inlineStr">
        <is>
          <t>104830</t>
        </is>
      </c>
      <c r="D2932" s="2" t="inlineStr">
        <is>
          <t>대량보유</t>
        </is>
      </c>
      <c r="E2932" s="3" t="inlineStr">
        <is>
          <t>베어링고배당밸런스드60증권투자회사(주식혼합)</t>
        </is>
      </c>
      <c r="F2932" s="3" t="inlineStr">
        <is>
          <t>특별관계자</t>
        </is>
      </c>
      <c r="G2932" s="3" t="inlineStr">
        <is>
          <t>장내매수(+), 장내매도(-)</t>
        </is>
      </c>
      <c r="H2932" s="17" t="n">
        <v>-184</v>
      </c>
      <c r="I2932" s="6" t="n">
        <v>43876</v>
      </c>
      <c r="J2932" s="6" t="n">
        <v>934571</v>
      </c>
      <c r="K2932" s="16" t="n">
        <v>3</v>
      </c>
      <c r="L2932" s="2" t="inlineStr">
        <is>
          <t>20260605000444</t>
        </is>
      </c>
      <c r="M2932" s="8">
        <f>HYPERLINK("https://dart.fss.or.kr/dsaf001/main.do?rcpNo=20260605000444", "공시열람")</f>
        <v/>
      </c>
    </row>
    <row r="2933" ht="22" customHeight="1">
      <c r="A2933" s="2" t="inlineStr">
        <is>
          <t>2026-06-05</t>
        </is>
      </c>
      <c r="B2933" s="3" t="inlineStr">
        <is>
          <t>원익머트리얼즈</t>
        </is>
      </c>
      <c r="C2933" s="2" t="inlineStr">
        <is>
          <t>104830</t>
        </is>
      </c>
      <c r="D2933" s="2" t="inlineStr">
        <is>
          <t>대량보유</t>
        </is>
      </c>
      <c r="E2933" s="3" t="inlineStr">
        <is>
          <t>베어링자산운용</t>
        </is>
      </c>
      <c r="F2933" s="3" t="inlineStr">
        <is>
          <t>특별관계자</t>
        </is>
      </c>
      <c r="G2933" s="3" t="inlineStr">
        <is>
          <t>장내매도(-), 기타(-), 장내매수(+)</t>
        </is>
      </c>
      <c r="H2933" s="17" t="n">
        <v>-140563</v>
      </c>
      <c r="I2933" s="6" t="n">
        <v>44260</v>
      </c>
      <c r="J2933" s="6" t="n">
        <v>906873</v>
      </c>
      <c r="K2933" s="16" t="n">
        <v>3</v>
      </c>
      <c r="L2933" s="2" t="inlineStr">
        <is>
          <t>20260605000444</t>
        </is>
      </c>
      <c r="M2933" s="8">
        <f>HYPERLINK("https://dart.fss.or.kr/dsaf001/main.do?rcpNo=20260605000444", "공시열람")</f>
        <v/>
      </c>
    </row>
    <row r="2934" ht="22" customHeight="1">
      <c r="A2934" s="2" t="inlineStr">
        <is>
          <t>2026-06-05</t>
        </is>
      </c>
      <c r="B2934" s="3" t="inlineStr">
        <is>
          <t>뱅크웨어글로벌</t>
        </is>
      </c>
      <c r="C2934" s="2" t="inlineStr">
        <is>
          <t>199480</t>
        </is>
      </c>
      <c r="D2934" s="2" t="inlineStr">
        <is>
          <t>대량보유</t>
        </is>
      </c>
      <c r="E2934" s="3" t="inlineStr">
        <is>
          <t>이근엽</t>
        </is>
      </c>
      <c r="F2934" s="3" t="inlineStr">
        <is>
          <t>특별관계자</t>
        </is>
      </c>
      <c r="G2934" s="3" t="inlineStr">
        <is>
          <t>장내매수(+), 장내매도(-)</t>
        </is>
      </c>
      <c r="H2934" s="15" t="n">
        <v>17422</v>
      </c>
      <c r="I2934" s="6" t="n">
        <v>4861</v>
      </c>
      <c r="J2934" s="6" t="n">
        <v>20173</v>
      </c>
      <c r="K2934" s="16" t="n">
        <v>11</v>
      </c>
      <c r="L2934" s="2" t="inlineStr">
        <is>
          <t>20260605000443</t>
        </is>
      </c>
      <c r="M2934" s="8">
        <f>HYPERLINK("https://dart.fss.or.kr/dsaf001/main.do?rcpNo=20260605000443", "공시열람")</f>
        <v/>
      </c>
    </row>
    <row r="2935" ht="22" customHeight="1">
      <c r="A2935" s="2" t="inlineStr">
        <is>
          <t>2026-06-05</t>
        </is>
      </c>
      <c r="B2935" s="3" t="inlineStr">
        <is>
          <t>뱅크웨어글로벌</t>
        </is>
      </c>
      <c r="C2935" s="2" t="inlineStr">
        <is>
          <t>199480</t>
        </is>
      </c>
      <c r="D2935" s="2" t="inlineStr">
        <is>
          <t>대량보유</t>
        </is>
      </c>
      <c r="E2935" s="3" t="inlineStr">
        <is>
          <t>이재연</t>
        </is>
      </c>
      <c r="F2935" s="3" t="inlineStr">
        <is>
          <t>특별관계자</t>
        </is>
      </c>
      <c r="G2935" s="3" t="inlineStr">
        <is>
          <t>장내매수(+)</t>
        </is>
      </c>
      <c r="H2935" s="15" t="n">
        <v>1</v>
      </c>
      <c r="I2935" s="6" t="n">
        <v>5230</v>
      </c>
      <c r="J2935" s="6" t="n">
        <v>52</v>
      </c>
      <c r="K2935" s="16" t="n">
        <v>11</v>
      </c>
      <c r="L2935" s="2" t="inlineStr">
        <is>
          <t>20260605000443</t>
        </is>
      </c>
      <c r="M2935" s="8">
        <f>HYPERLINK("https://dart.fss.or.kr/dsaf001/main.do?rcpNo=20260605000443", "공시열람")</f>
        <v/>
      </c>
    </row>
    <row r="2936" ht="22" customHeight="1">
      <c r="A2936" s="2" t="inlineStr">
        <is>
          <t>2026-06-05</t>
        </is>
      </c>
      <c r="B2936" s="3" t="inlineStr">
        <is>
          <t>뱅크웨어글로벌</t>
        </is>
      </c>
      <c r="C2936" s="2" t="inlineStr">
        <is>
          <t>199480</t>
        </is>
      </c>
      <c r="D2936" s="2" t="inlineStr">
        <is>
          <t>대량보유</t>
        </is>
      </c>
      <c r="E2936" s="3" t="inlineStr">
        <is>
          <t>이지유</t>
        </is>
      </c>
      <c r="F2936" s="3" t="inlineStr">
        <is>
          <t>특별관계자</t>
        </is>
      </c>
      <c r="G2936" s="3" t="inlineStr">
        <is>
          <t>장내매수(+)</t>
        </is>
      </c>
      <c r="H2936" s="15" t="n">
        <v>1</v>
      </c>
      <c r="I2936" s="6" t="n">
        <v>5240</v>
      </c>
      <c r="J2936" s="6" t="n">
        <v>52</v>
      </c>
      <c r="K2936" s="16" t="n">
        <v>11</v>
      </c>
      <c r="L2936" s="2" t="inlineStr">
        <is>
          <t>20260605000443</t>
        </is>
      </c>
      <c r="M2936" s="8">
        <f>HYPERLINK("https://dart.fss.or.kr/dsaf001/main.do?rcpNo=20260605000443", "공시열람")</f>
        <v/>
      </c>
    </row>
    <row r="2937" ht="22" customHeight="1">
      <c r="A2937" s="2" t="inlineStr">
        <is>
          <t>2026-06-05</t>
        </is>
      </c>
      <c r="B2937" s="3" t="inlineStr">
        <is>
          <t>뱅크웨어글로벌</t>
        </is>
      </c>
      <c r="C2937" s="2" t="inlineStr">
        <is>
          <t>199480</t>
        </is>
      </c>
      <c r="D2937" s="2" t="inlineStr">
        <is>
          <t>대량보유</t>
        </is>
      </c>
      <c r="E2937" s="3" t="inlineStr">
        <is>
          <t>이지율</t>
        </is>
      </c>
      <c r="F2937" s="3" t="inlineStr">
        <is>
          <t>특별관계자</t>
        </is>
      </c>
      <c r="G2937" s="3" t="inlineStr">
        <is>
          <t>장내매수(+)</t>
        </is>
      </c>
      <c r="H2937" s="15" t="n">
        <v>1</v>
      </c>
      <c r="I2937" s="6" t="n">
        <v>5240</v>
      </c>
      <c r="J2937" s="6" t="n">
        <v>51</v>
      </c>
      <c r="K2937" s="16" t="n">
        <v>11</v>
      </c>
      <c r="L2937" s="2" t="inlineStr">
        <is>
          <t>20260605000443</t>
        </is>
      </c>
      <c r="M2937" s="8">
        <f>HYPERLINK("https://dart.fss.or.kr/dsaf001/main.do?rcpNo=20260605000443", "공시열람")</f>
        <v/>
      </c>
    </row>
    <row r="2938" ht="22" customHeight="1">
      <c r="A2938" s="2" t="inlineStr">
        <is>
          <t>2026-06-05</t>
        </is>
      </c>
      <c r="B2938" s="3" t="inlineStr">
        <is>
          <t>뱅크웨어글로벌</t>
        </is>
      </c>
      <c r="C2938" s="2" t="inlineStr">
        <is>
          <t>199480</t>
        </is>
      </c>
      <c r="D2938" s="2" t="inlineStr">
        <is>
          <t>대량보유</t>
        </is>
      </c>
      <c r="E2938" s="3" t="inlineStr">
        <is>
          <t>이경조</t>
        </is>
      </c>
      <c r="F2938" s="3" t="inlineStr">
        <is>
          <t>특별관계자</t>
        </is>
      </c>
      <c r="G2938" s="3" t="inlineStr">
        <is>
          <t>장내매수(+)</t>
        </is>
      </c>
      <c r="H2938" s="15" t="n">
        <v>6760</v>
      </c>
      <c r="I2938" s="6" t="n">
        <v>4445</v>
      </c>
      <c r="J2938" s="6" t="n">
        <v>1900236</v>
      </c>
      <c r="K2938" s="16" t="n">
        <v>11</v>
      </c>
      <c r="L2938" s="2" t="inlineStr">
        <is>
          <t>20260605000443</t>
        </is>
      </c>
      <c r="M2938" s="8">
        <f>HYPERLINK("https://dart.fss.or.kr/dsaf001/main.do?rcpNo=20260605000443", "공시열람")</f>
        <v/>
      </c>
    </row>
    <row r="2939" ht="22" customHeight="1">
      <c r="A2939" s="2" t="inlineStr">
        <is>
          <t>2026-06-05</t>
        </is>
      </c>
      <c r="B2939" s="3" t="inlineStr">
        <is>
          <t>뱅크웨어글로벌</t>
        </is>
      </c>
      <c r="C2939" s="2" t="inlineStr">
        <is>
          <t>199480</t>
        </is>
      </c>
      <c r="D2939" s="2" t="inlineStr">
        <is>
          <t>대량보유</t>
        </is>
      </c>
      <c r="E2939" s="3" t="inlineStr">
        <is>
          <t>김정태</t>
        </is>
      </c>
      <c r="F2939" s="3" t="inlineStr">
        <is>
          <t>특별관계자</t>
        </is>
      </c>
      <c r="G2939" s="3" t="inlineStr">
        <is>
          <t>장내매도(-)</t>
        </is>
      </c>
      <c r="H2939" s="17" t="n">
        <v>-2</v>
      </c>
      <c r="I2939" s="6" t="n">
        <v>4390</v>
      </c>
      <c r="J2939" s="6" t="n">
        <v>242148</v>
      </c>
      <c r="K2939" s="16" t="n">
        <v>11</v>
      </c>
      <c r="L2939" s="2" t="inlineStr">
        <is>
          <t>20260605000443</t>
        </is>
      </c>
      <c r="M2939" s="8">
        <f>HYPERLINK("https://dart.fss.or.kr/dsaf001/main.do?rcpNo=20260605000443", "공시열람")</f>
        <v/>
      </c>
    </row>
    <row r="2940" ht="22" customHeight="1">
      <c r="A2940" s="2" t="inlineStr">
        <is>
          <t>2026-06-05</t>
        </is>
      </c>
      <c r="B2940" s="3" t="inlineStr">
        <is>
          <t>뱅크웨어글로벌</t>
        </is>
      </c>
      <c r="C2940" s="2" t="inlineStr">
        <is>
          <t>199480</t>
        </is>
      </c>
      <c r="D2940" s="2" t="inlineStr">
        <is>
          <t>대량보유</t>
        </is>
      </c>
      <c r="E2940" s="3" t="inlineStr">
        <is>
          <t>정혜림</t>
        </is>
      </c>
      <c r="F2940" s="3" t="inlineStr">
        <is>
          <t>특별관계자</t>
        </is>
      </c>
      <c r="G2940" s="3" t="inlineStr">
        <is>
          <t>장내매수(+)</t>
        </is>
      </c>
      <c r="H2940" s="15" t="n">
        <v>20071</v>
      </c>
      <c r="I2940" s="6" t="n">
        <v>3827</v>
      </c>
      <c r="J2940" s="6" t="n">
        <v>20071</v>
      </c>
      <c r="K2940" s="16" t="n">
        <v>11</v>
      </c>
      <c r="L2940" s="2" t="inlineStr">
        <is>
          <t>20260605000443</t>
        </is>
      </c>
      <c r="M2940" s="8">
        <f>HYPERLINK("https://dart.fss.or.kr/dsaf001/main.do?rcpNo=20260605000443", "공시열람")</f>
        <v/>
      </c>
    </row>
    <row r="2941" ht="22" customHeight="1">
      <c r="A2941" s="2" t="inlineStr">
        <is>
          <t>2026-06-05</t>
        </is>
      </c>
      <c r="B2941" s="3" t="inlineStr">
        <is>
          <t>엘앤씨바이오</t>
        </is>
      </c>
      <c r="C2941" s="2" t="inlineStr">
        <is>
          <t>290650</t>
        </is>
      </c>
      <c r="D2941" s="2" t="inlineStr">
        <is>
          <t>대량보유</t>
        </is>
      </c>
      <c r="E2941" s="3" t="inlineStr">
        <is>
          <t>나우아이비19호펀드</t>
        </is>
      </c>
      <c r="F2941" s="3" t="inlineStr">
        <is>
          <t>특별관계자</t>
        </is>
      </c>
      <c r="G2941" s="3" t="inlineStr">
        <is>
          <t>장내매도(-), 전환사채의권리행사(+), 전환등(-)</t>
        </is>
      </c>
      <c r="H2941" s="17" t="n">
        <v>-57528</v>
      </c>
      <c r="I2941" s="6" t="n">
        <v>21693</v>
      </c>
      <c r="J2941" s="6" t="n">
        <v>707547</v>
      </c>
      <c r="K2941" s="16" t="n">
        <v>2</v>
      </c>
      <c r="L2941" s="2" t="inlineStr">
        <is>
          <t>20260605000441</t>
        </is>
      </c>
      <c r="M2941" s="8">
        <f>HYPERLINK("https://dart.fss.or.kr/dsaf001/main.do?rcpNo=20260605000441", "공시열람")</f>
        <v/>
      </c>
    </row>
    <row r="2942" ht="22" customHeight="1">
      <c r="A2942" s="2" t="inlineStr">
        <is>
          <t>2026-06-05</t>
        </is>
      </c>
      <c r="B2942" s="3" t="inlineStr">
        <is>
          <t>아이티엠반도체</t>
        </is>
      </c>
      <c r="C2942" s="2" t="inlineStr">
        <is>
          <t>084850</t>
        </is>
      </c>
      <c r="D2942" s="2" t="inlineStr">
        <is>
          <t>대량보유</t>
        </is>
      </c>
      <c r="E2942" s="3" t="inlineStr">
        <is>
          <t>(주)나이스홀딩스</t>
        </is>
      </c>
      <c r="F2942" s="3" t="inlineStr">
        <is>
          <t>보고자</t>
        </is>
      </c>
      <c r="G2942" s="3" t="inlineStr">
        <is>
          <t>특별관계자의 주식담보계약 변경</t>
        </is>
      </c>
      <c r="H2942" s="6" t="inlineStr"/>
      <c r="I2942" s="6" t="inlineStr"/>
      <c r="J2942" s="6" t="n">
        <v>13938031</v>
      </c>
      <c r="K2942" s="16" t="n">
        <v>13</v>
      </c>
      <c r="L2942" s="2" t="inlineStr">
        <is>
          <t>20260605000438</t>
        </is>
      </c>
      <c r="M2942" s="8">
        <f>HYPERLINK("https://dart.fss.or.kr/dsaf001/main.do?rcpNo=20260605000438", "공시열람")</f>
        <v/>
      </c>
    </row>
    <row r="2943" ht="22" customHeight="1">
      <c r="A2943" s="2" t="inlineStr">
        <is>
          <t>2026-06-05</t>
        </is>
      </c>
      <c r="B2943" s="3" t="inlineStr">
        <is>
          <t>코스모화학</t>
        </is>
      </c>
      <c r="C2943" s="2" t="inlineStr">
        <is>
          <t>005420</t>
        </is>
      </c>
      <c r="D2943" s="2" t="inlineStr">
        <is>
          <t>대량보유</t>
        </is>
      </c>
      <c r="E2943" s="3" t="inlineStr">
        <is>
          <t>(주)코스모앤컴퍼니</t>
        </is>
      </c>
      <c r="F2943" s="3" t="inlineStr">
        <is>
          <t>보고자</t>
        </is>
      </c>
      <c r="G2943" s="3" t="inlineStr">
        <is>
          <t>담보 계약 변경 (만기 연장)</t>
        </is>
      </c>
      <c r="H2943" s="6" t="inlineStr"/>
      <c r="I2943" s="6" t="inlineStr"/>
      <c r="J2943" s="6" t="n">
        <v>11728017</v>
      </c>
      <c r="K2943" s="16" t="n">
        <v>6</v>
      </c>
      <c r="L2943" s="2" t="inlineStr">
        <is>
          <t>20260605000432</t>
        </is>
      </c>
      <c r="M2943" s="8">
        <f>HYPERLINK("https://dart.fss.or.kr/dsaf001/main.do?rcpNo=20260605000432", "공시열람")</f>
        <v/>
      </c>
    </row>
    <row r="2944" ht="22" customHeight="1">
      <c r="A2944" s="2" t="inlineStr">
        <is>
          <t>2026-06-05</t>
        </is>
      </c>
      <c r="B2944" s="3" t="inlineStr">
        <is>
          <t>디와이</t>
        </is>
      </c>
      <c r="C2944" s="2" t="inlineStr">
        <is>
          <t>013570</t>
        </is>
      </c>
      <c r="D2944" s="2" t="inlineStr">
        <is>
          <t>임원보고</t>
        </is>
      </c>
      <c r="E2944" s="3" t="inlineStr">
        <is>
          <t>-</t>
        </is>
      </c>
      <c r="F2944" s="3" t="inlineStr">
        <is>
          <t>-</t>
        </is>
      </c>
      <c r="G2944" s="3" t="inlineStr">
        <is>
          <t>-</t>
        </is>
      </c>
      <c r="H2944" s="6" t="inlineStr"/>
      <c r="I2944" s="6" t="inlineStr"/>
      <c r="J2944" s="6" t="inlineStr"/>
      <c r="K2944" s="16" t="n">
        <v>12</v>
      </c>
      <c r="L2944" s="2" t="inlineStr">
        <is>
          <t>20260605800601</t>
        </is>
      </c>
      <c r="M2944" s="8">
        <f>HYPERLINK("https://dart.fss.or.kr/dsaf001/main.do?rcpNo=20260605800601", "공시열람")</f>
        <v/>
      </c>
    </row>
    <row r="2945" ht="22" customHeight="1">
      <c r="A2945" s="2" t="inlineStr">
        <is>
          <t>2026-06-05</t>
        </is>
      </c>
      <c r="B2945" s="3" t="inlineStr">
        <is>
          <t>파수AI</t>
        </is>
      </c>
      <c r="C2945" s="2" t="inlineStr">
        <is>
          <t>150900</t>
        </is>
      </c>
      <c r="D2945" s="2" t="inlineStr">
        <is>
          <t>대량보유</t>
        </is>
      </c>
      <c r="E2945" s="3" t="inlineStr">
        <is>
          <t>조규곤</t>
        </is>
      </c>
      <c r="F2945" s="3" t="inlineStr">
        <is>
          <t>보고자</t>
        </is>
      </c>
      <c r="G2945" s="3" t="inlineStr">
        <is>
          <t>보고자의 주식 담보 계약 변경</t>
        </is>
      </c>
      <c r="H2945" s="6" t="inlineStr"/>
      <c r="I2945" s="6" t="inlineStr"/>
      <c r="J2945" s="6" t="n">
        <v>2282420</v>
      </c>
      <c r="K2945" s="16" t="n">
        <v>5</v>
      </c>
      <c r="L2945" s="2" t="inlineStr">
        <is>
          <t>20260605000427</t>
        </is>
      </c>
      <c r="M2945" s="8">
        <f>HYPERLINK("https://dart.fss.or.kr/dsaf001/main.do?rcpNo=20260605000427", "공시열람")</f>
        <v/>
      </c>
    </row>
    <row r="2946" ht="22" customHeight="1">
      <c r="A2946" s="2" t="inlineStr">
        <is>
          <t>2026-06-05</t>
        </is>
      </c>
      <c r="B2946" s="3" t="inlineStr">
        <is>
          <t>NICE</t>
        </is>
      </c>
      <c r="C2946" s="2" t="inlineStr">
        <is>
          <t>034310</t>
        </is>
      </c>
      <c r="D2946" s="2" t="inlineStr">
        <is>
          <t>대량보유</t>
        </is>
      </c>
      <c r="E2946" s="3" t="inlineStr">
        <is>
          <t>김원우</t>
        </is>
      </c>
      <c r="F2946" s="3" t="inlineStr">
        <is>
          <t>보고자</t>
        </is>
      </c>
      <c r="G2946" s="3" t="inlineStr">
        <is>
          <t>보고자 본인의 주식담보계약 변경</t>
        </is>
      </c>
      <c r="H2946" s="6" t="inlineStr"/>
      <c r="I2946" s="6" t="inlineStr"/>
      <c r="J2946" s="6" t="n">
        <v>19062991</v>
      </c>
      <c r="K2946" s="16" t="n">
        <v>6</v>
      </c>
      <c r="L2946" s="2" t="inlineStr">
        <is>
          <t>20260605000425</t>
        </is>
      </c>
      <c r="M2946" s="8">
        <f>HYPERLINK("https://dart.fss.or.kr/dsaf001/main.do?rcpNo=20260605000425", "공시열람")</f>
        <v/>
      </c>
    </row>
    <row r="2947" ht="22" customHeight="1">
      <c r="A2947" s="2" t="inlineStr">
        <is>
          <t>2026-06-05</t>
        </is>
      </c>
      <c r="B2947" s="3" t="inlineStr">
        <is>
          <t>디와이</t>
        </is>
      </c>
      <c r="C2947" s="2" t="inlineStr">
        <is>
          <t>013570</t>
        </is>
      </c>
      <c r="D2947" s="2" t="inlineStr">
        <is>
          <t>대량보유</t>
        </is>
      </c>
      <c r="E2947" s="3" t="inlineStr">
        <is>
          <t>김진호</t>
        </is>
      </c>
      <c r="F2947" s="3" t="inlineStr">
        <is>
          <t>특별관계자</t>
        </is>
      </c>
      <c r="G2947" s="3" t="inlineStr">
        <is>
          <t>장내매수(+)</t>
        </is>
      </c>
      <c r="H2947" s="15" t="n">
        <v>30000</v>
      </c>
      <c r="I2947" s="6" t="n">
        <v>3905</v>
      </c>
      <c r="J2947" s="6" t="n">
        <v>30000</v>
      </c>
      <c r="K2947" s="16" t="n">
        <v>7</v>
      </c>
      <c r="L2947" s="2" t="inlineStr">
        <is>
          <t>20260605000421</t>
        </is>
      </c>
      <c r="M2947" s="8">
        <f>HYPERLINK("https://dart.fss.or.kr/dsaf001/main.do?rcpNo=20260605000421", "공시열람")</f>
        <v/>
      </c>
    </row>
    <row r="2948" ht="22" customHeight="1">
      <c r="A2948" s="2" t="inlineStr">
        <is>
          <t>2026-06-05</t>
        </is>
      </c>
      <c r="B2948" s="3" t="inlineStr">
        <is>
          <t>금호에이치티</t>
        </is>
      </c>
      <c r="C2948" s="2" t="inlineStr">
        <is>
          <t>214330</t>
        </is>
      </c>
      <c r="D2948" s="2" t="inlineStr">
        <is>
          <t>임원보고</t>
        </is>
      </c>
      <c r="E2948" s="3" t="inlineStr">
        <is>
          <t>-</t>
        </is>
      </c>
      <c r="F2948" s="3" t="inlineStr">
        <is>
          <t>-</t>
        </is>
      </c>
      <c r="G2948" s="3" t="inlineStr">
        <is>
          <t>-</t>
        </is>
      </c>
      <c r="H2948" s="6" t="inlineStr"/>
      <c r="I2948" s="6" t="inlineStr"/>
      <c r="J2948" s="6" t="inlineStr"/>
      <c r="K2948" s="16" t="n">
        <v>12</v>
      </c>
      <c r="L2948" s="2" t="inlineStr">
        <is>
          <t>20260605800581</t>
        </is>
      </c>
      <c r="M2948" s="8">
        <f>HYPERLINK("https://dart.fss.or.kr/dsaf001/main.do?rcpNo=20260605800581", "공시열람")</f>
        <v/>
      </c>
    </row>
    <row r="2949" ht="22" customHeight="1">
      <c r="A2949" s="2" t="inlineStr">
        <is>
          <t>2026-06-05</t>
        </is>
      </c>
      <c r="B2949" s="3" t="inlineStr">
        <is>
          <t>동부건설</t>
        </is>
      </c>
      <c r="C2949" s="2" t="inlineStr">
        <is>
          <t>005960</t>
        </is>
      </c>
      <c r="D2949" s="2" t="inlineStr">
        <is>
          <t>대량보유</t>
        </is>
      </c>
      <c r="E2949" s="3" t="inlineStr">
        <is>
          <t>키스톤에코프라임 (주)</t>
        </is>
      </c>
      <c r="F2949" s="3" t="inlineStr">
        <is>
          <t>보고자</t>
        </is>
      </c>
      <c r="G2949" s="3" t="inlineStr">
        <is>
          <t>변동 없음</t>
        </is>
      </c>
      <c r="H2949" s="6" t="inlineStr"/>
      <c r="I2949" s="6" t="inlineStr"/>
      <c r="J2949" s="6" t="n">
        <v>12917647</v>
      </c>
      <c r="K2949" s="16" t="n">
        <v>1</v>
      </c>
      <c r="L2949" s="2" t="inlineStr">
        <is>
          <t>20260605000413</t>
        </is>
      </c>
      <c r="M2949" s="8">
        <f>HYPERLINK("https://dart.fss.or.kr/dsaf001/main.do?rcpNo=20260605000413", "공시열람")</f>
        <v/>
      </c>
    </row>
    <row r="2950" ht="22" customHeight="1">
      <c r="A2950" s="2" t="inlineStr">
        <is>
          <t>2026-06-05</t>
        </is>
      </c>
      <c r="B2950" s="3" t="inlineStr">
        <is>
          <t>계룡건설산업</t>
        </is>
      </c>
      <c r="C2950" s="2" t="inlineStr">
        <is>
          <t>013580</t>
        </is>
      </c>
      <c r="D2950" s="2" t="inlineStr">
        <is>
          <t>임원보고</t>
        </is>
      </c>
      <c r="E2950" s="3" t="inlineStr">
        <is>
          <t>-</t>
        </is>
      </c>
      <c r="F2950" s="3" t="inlineStr">
        <is>
          <t>-</t>
        </is>
      </c>
      <c r="G2950" s="3" t="inlineStr">
        <is>
          <t>-</t>
        </is>
      </c>
      <c r="H2950" s="6" t="inlineStr"/>
      <c r="I2950" s="6" t="inlineStr"/>
      <c r="J2950" s="6" t="inlineStr"/>
      <c r="K2950" s="16" t="n">
        <v>12</v>
      </c>
      <c r="L2950" s="2" t="inlineStr">
        <is>
          <t>20260605800573</t>
        </is>
      </c>
      <c r="M2950" s="8">
        <f>HYPERLINK("https://dart.fss.or.kr/dsaf001/main.do?rcpNo=20260605800573", "공시열람")</f>
        <v/>
      </c>
    </row>
    <row r="2951" ht="22" customHeight="1">
      <c r="A2951" s="2" t="inlineStr">
        <is>
          <t>2026-06-05</t>
        </is>
      </c>
      <c r="B2951" s="3" t="inlineStr">
        <is>
          <t>교촌에프앤비</t>
        </is>
      </c>
      <c r="C2951" s="2" t="inlineStr">
        <is>
          <t>339770</t>
        </is>
      </c>
      <c r="D2951" s="2" t="inlineStr">
        <is>
          <t>대량보유</t>
        </is>
      </c>
      <c r="E2951" s="3" t="inlineStr">
        <is>
          <t>권원강</t>
        </is>
      </c>
      <c r="F2951" s="3" t="inlineStr">
        <is>
          <t>보고자</t>
        </is>
      </c>
      <c r="G2951" s="3" t="inlineStr">
        <is>
          <t>주식담보대출 상환</t>
        </is>
      </c>
      <c r="H2951" s="6" t="inlineStr"/>
      <c r="I2951" s="6" t="inlineStr"/>
      <c r="J2951" s="6" t="n">
        <v>34688874</v>
      </c>
      <c r="K2951" s="16" t="n">
        <v>9</v>
      </c>
      <c r="L2951" s="2" t="inlineStr">
        <is>
          <t>20260605000400</t>
        </is>
      </c>
      <c r="M2951" s="8">
        <f>HYPERLINK("https://dart.fss.or.kr/dsaf001/main.do?rcpNo=20260605000400", "공시열람")</f>
        <v/>
      </c>
    </row>
    <row r="2952" ht="22" customHeight="1">
      <c r="A2952" s="2" t="inlineStr">
        <is>
          <t>2026-06-05</t>
        </is>
      </c>
      <c r="B2952" s="3" t="inlineStr">
        <is>
          <t>케이탑리츠</t>
        </is>
      </c>
      <c r="C2952" s="2" t="inlineStr">
        <is>
          <t>145270</t>
        </is>
      </c>
      <c r="D2952" s="2" t="inlineStr">
        <is>
          <t>대량보유</t>
        </is>
      </c>
      <c r="E2952" s="3" t="inlineStr">
        <is>
          <t>김철</t>
        </is>
      </c>
      <c r="F2952" s="3" t="inlineStr">
        <is>
          <t>특별관계자</t>
        </is>
      </c>
      <c r="G2952" s="3" t="inlineStr">
        <is>
          <t>장내매수(+)</t>
        </is>
      </c>
      <c r="H2952" s="6" t="inlineStr"/>
      <c r="I2952" s="6" t="inlineStr"/>
      <c r="J2952" s="6" t="n">
        <v>6330000</v>
      </c>
      <c r="K2952" s="16" t="n">
        <v>2</v>
      </c>
      <c r="L2952" s="2" t="inlineStr">
        <is>
          <t>20260605000396</t>
        </is>
      </c>
      <c r="M2952" s="8">
        <f>HYPERLINK("https://dart.fss.or.kr/dsaf001/main.do?rcpNo=20260605000396", "공시열람")</f>
        <v/>
      </c>
    </row>
    <row r="2953" ht="22" customHeight="1">
      <c r="A2953" s="2" t="inlineStr">
        <is>
          <t>2026-06-05</t>
        </is>
      </c>
      <c r="B2953" s="3" t="inlineStr">
        <is>
          <t>케이탑리츠</t>
        </is>
      </c>
      <c r="C2953" s="2" t="inlineStr">
        <is>
          <t>145270</t>
        </is>
      </c>
      <c r="D2953" s="2" t="inlineStr">
        <is>
          <t>대량보유</t>
        </is>
      </c>
      <c r="E2953" s="3" t="inlineStr">
        <is>
          <t>안맹정</t>
        </is>
      </c>
      <c r="F2953" s="3" t="inlineStr">
        <is>
          <t>특별관계자</t>
        </is>
      </c>
      <c r="G2953" s="3" t="inlineStr">
        <is>
          <t>장내매수(+)</t>
        </is>
      </c>
      <c r="H2953" s="15" t="n">
        <v>6800</v>
      </c>
      <c r="I2953" s="6" t="n">
        <v>760</v>
      </c>
      <c r="J2953" s="6" t="n">
        <v>32500</v>
      </c>
      <c r="K2953" s="16" t="n">
        <v>2</v>
      </c>
      <c r="L2953" s="2" t="inlineStr">
        <is>
          <t>20260605000396</t>
        </is>
      </c>
      <c r="M2953" s="8">
        <f>HYPERLINK("https://dart.fss.or.kr/dsaf001/main.do?rcpNo=20260605000396", "공시열람")</f>
        <v/>
      </c>
    </row>
    <row r="2954" ht="22" customHeight="1">
      <c r="A2954" s="2" t="inlineStr">
        <is>
          <t>2026-06-05</t>
        </is>
      </c>
      <c r="B2954" s="3" t="inlineStr">
        <is>
          <t>케이탑리츠</t>
        </is>
      </c>
      <c r="C2954" s="2" t="inlineStr">
        <is>
          <t>145270</t>
        </is>
      </c>
      <c r="D2954" s="2" t="inlineStr">
        <is>
          <t>대량보유</t>
        </is>
      </c>
      <c r="E2954" s="3" t="inlineStr">
        <is>
          <t>주식회사예지훈</t>
        </is>
      </c>
      <c r="F2954" s="3" t="inlineStr">
        <is>
          <t>특별관계자</t>
        </is>
      </c>
      <c r="G2954" s="3" t="inlineStr">
        <is>
          <t>장내매수(+)</t>
        </is>
      </c>
      <c r="H2954" s="15" t="n">
        <v>72000</v>
      </c>
      <c r="I2954" s="6" t="n">
        <v>750</v>
      </c>
      <c r="J2954" s="6" t="n">
        <v>215000</v>
      </c>
      <c r="K2954" s="16" t="n">
        <v>2</v>
      </c>
      <c r="L2954" s="2" t="inlineStr">
        <is>
          <t>20260605000396</t>
        </is>
      </c>
      <c r="M2954" s="8">
        <f>HYPERLINK("https://dart.fss.or.kr/dsaf001/main.do?rcpNo=20260605000396", "공시열람")</f>
        <v/>
      </c>
    </row>
    <row r="2955" ht="22" customHeight="1">
      <c r="A2955" s="2" t="inlineStr">
        <is>
          <t>2026-06-05</t>
        </is>
      </c>
      <c r="B2955" s="3" t="inlineStr">
        <is>
          <t>디지털대성</t>
        </is>
      </c>
      <c r="C2955" s="2" t="inlineStr">
        <is>
          <t>068930</t>
        </is>
      </c>
      <c r="D2955" s="2" t="inlineStr">
        <is>
          <t>대량보유</t>
        </is>
      </c>
      <c r="E2955" s="3" t="inlineStr">
        <is>
          <t>김인규</t>
        </is>
      </c>
      <c r="F2955" s="3" t="inlineStr">
        <is>
          <t>특별관계자</t>
        </is>
      </c>
      <c r="G2955" s="3" t="inlineStr">
        <is>
          <t>장내매수(+)</t>
        </is>
      </c>
      <c r="H2955" s="15" t="n">
        <v>80000</v>
      </c>
      <c r="I2955" s="6" t="n">
        <v>7908</v>
      </c>
      <c r="J2955" s="6" t="n">
        <v>660000</v>
      </c>
      <c r="K2955" s="16" t="n">
        <v>43</v>
      </c>
      <c r="L2955" s="2" t="inlineStr">
        <is>
          <t>20260605000394</t>
        </is>
      </c>
      <c r="M2955" s="8">
        <f>HYPERLINK("https://dart.fss.or.kr/dsaf001/main.do?rcpNo=20260605000394", "공시열람")</f>
        <v/>
      </c>
    </row>
    <row r="2956" ht="22" customHeight="1">
      <c r="A2956" s="2" t="inlineStr">
        <is>
          <t>2026-06-05</t>
        </is>
      </c>
      <c r="B2956" s="3" t="inlineStr">
        <is>
          <t>디지털대성</t>
        </is>
      </c>
      <c r="C2956" s="2" t="inlineStr">
        <is>
          <t>068930</t>
        </is>
      </c>
      <c r="D2956" s="2" t="inlineStr">
        <is>
          <t>대량보유</t>
        </is>
      </c>
      <c r="E2956" s="3" t="inlineStr">
        <is>
          <t>이돈구</t>
        </is>
      </c>
      <c r="F2956" s="3" t="inlineStr">
        <is>
          <t>특별관계자</t>
        </is>
      </c>
      <c r="G2956" s="3" t="inlineStr">
        <is>
          <t>장내매수(+)</t>
        </is>
      </c>
      <c r="H2956" s="15" t="n">
        <v>26030</v>
      </c>
      <c r="I2956" s="6" t="n">
        <v>8078</v>
      </c>
      <c r="J2956" s="6" t="n">
        <v>266440</v>
      </c>
      <c r="K2956" s="16" t="n">
        <v>43</v>
      </c>
      <c r="L2956" s="2" t="inlineStr">
        <is>
          <t>20260605000394</t>
        </is>
      </c>
      <c r="M2956" s="8">
        <f>HYPERLINK("https://dart.fss.or.kr/dsaf001/main.do?rcpNo=20260605000394", "공시열람")</f>
        <v/>
      </c>
    </row>
    <row r="2957" ht="22" customHeight="1">
      <c r="A2957" s="2" t="inlineStr">
        <is>
          <t>2026-06-05</t>
        </is>
      </c>
      <c r="B2957" s="3" t="inlineStr">
        <is>
          <t>디지털대성</t>
        </is>
      </c>
      <c r="C2957" s="2" t="inlineStr">
        <is>
          <t>068930</t>
        </is>
      </c>
      <c r="D2957" s="2" t="inlineStr">
        <is>
          <t>대량보유</t>
        </is>
      </c>
      <c r="E2957" s="3" t="inlineStr">
        <is>
          <t>역삼대성학원㈜</t>
        </is>
      </c>
      <c r="F2957" s="3" t="inlineStr">
        <is>
          <t>특별관계자</t>
        </is>
      </c>
      <c r="G2957" s="3" t="inlineStr">
        <is>
          <t>장외매도(-)</t>
        </is>
      </c>
      <c r="H2957" s="17" t="n">
        <v>-102000</v>
      </c>
      <c r="I2957" s="6" t="n">
        <v>8560</v>
      </c>
      <c r="J2957" s="6" t="inlineStr"/>
      <c r="K2957" s="16" t="n">
        <v>43</v>
      </c>
      <c r="L2957" s="2" t="inlineStr">
        <is>
          <t>20260605000394</t>
        </is>
      </c>
      <c r="M2957" s="8">
        <f>HYPERLINK("https://dart.fss.or.kr/dsaf001/main.do?rcpNo=20260605000394", "공시열람")</f>
        <v/>
      </c>
    </row>
    <row r="2958" ht="22" customHeight="1">
      <c r="A2958" s="2" t="inlineStr">
        <is>
          <t>2026-06-05</t>
        </is>
      </c>
      <c r="B2958" s="3" t="inlineStr">
        <is>
          <t>디지털대성</t>
        </is>
      </c>
      <c r="C2958" s="2" t="inlineStr">
        <is>
          <t>068930</t>
        </is>
      </c>
      <c r="D2958" s="2" t="inlineStr">
        <is>
          <t>대량보유</t>
        </is>
      </c>
      <c r="E2958" s="3" t="inlineStr">
        <is>
          <t>리브커넥스㈜</t>
        </is>
      </c>
      <c r="F2958" s="3" t="inlineStr">
        <is>
          <t>특별관계자</t>
        </is>
      </c>
      <c r="G2958" s="3" t="inlineStr">
        <is>
          <t>장외매수(+)</t>
        </is>
      </c>
      <c r="H2958" s="15" t="n">
        <v>102000</v>
      </c>
      <c r="I2958" s="6" t="n">
        <v>8560</v>
      </c>
      <c r="J2958" s="6" t="n">
        <v>302000</v>
      </c>
      <c r="K2958" s="16" t="n">
        <v>43</v>
      </c>
      <c r="L2958" s="2" t="inlineStr">
        <is>
          <t>20260605000394</t>
        </is>
      </c>
      <c r="M2958" s="8">
        <f>HYPERLINK("https://dart.fss.or.kr/dsaf001/main.do?rcpNo=20260605000394", "공시열람")</f>
        <v/>
      </c>
    </row>
    <row r="2959" ht="22" customHeight="1">
      <c r="A2959" s="2" t="inlineStr">
        <is>
          <t>2026-06-05</t>
        </is>
      </c>
      <c r="B2959" s="3" t="inlineStr">
        <is>
          <t>디지털대성</t>
        </is>
      </c>
      <c r="C2959" s="2" t="inlineStr">
        <is>
          <t>068930</t>
        </is>
      </c>
      <c r="D2959" s="2" t="inlineStr">
        <is>
          <t>대량보유</t>
        </is>
      </c>
      <c r="E2959" s="3" t="inlineStr">
        <is>
          <t>권진회</t>
        </is>
      </c>
      <c r="F2959" s="3" t="inlineStr">
        <is>
          <t>특별관계자</t>
        </is>
      </c>
      <c r="G2959" s="3" t="inlineStr">
        <is>
          <t>장내매도(-)</t>
        </is>
      </c>
      <c r="H2959" s="17" t="n">
        <v>-4648</v>
      </c>
      <c r="I2959" s="6" t="n">
        <v>8910</v>
      </c>
      <c r="J2959" s="6" t="n">
        <v>102522</v>
      </c>
      <c r="K2959" s="16" t="n">
        <v>43</v>
      </c>
      <c r="L2959" s="2" t="inlineStr">
        <is>
          <t>20260605000394</t>
        </is>
      </c>
      <c r="M2959" s="8">
        <f>HYPERLINK("https://dart.fss.or.kr/dsaf001/main.do?rcpNo=20260605000394", "공시열람")</f>
        <v/>
      </c>
    </row>
    <row r="2960" ht="22" customHeight="1">
      <c r="A2960" s="2" t="inlineStr">
        <is>
          <t>2026-06-05</t>
        </is>
      </c>
      <c r="B2960" s="3" t="inlineStr">
        <is>
          <t>디지털대성</t>
        </is>
      </c>
      <c r="C2960" s="2" t="inlineStr">
        <is>
          <t>068930</t>
        </is>
      </c>
      <c r="D2960" s="2" t="inlineStr">
        <is>
          <t>대량보유</t>
        </is>
      </c>
      <c r="E2960" s="3" t="inlineStr">
        <is>
          <t>김희선</t>
        </is>
      </c>
      <c r="F2960" s="3" t="inlineStr">
        <is>
          <t>특별관계자</t>
        </is>
      </c>
      <c r="G2960" s="3" t="inlineStr">
        <is>
          <t>장내매수(+)</t>
        </is>
      </c>
      <c r="H2960" s="15" t="n">
        <v>12616</v>
      </c>
      <c r="I2960" s="6" t="n">
        <v>7920</v>
      </c>
      <c r="J2960" s="6" t="n">
        <v>602094</v>
      </c>
      <c r="K2960" s="16" t="n">
        <v>43</v>
      </c>
      <c r="L2960" s="2" t="inlineStr">
        <is>
          <t>20260605000394</t>
        </is>
      </c>
      <c r="M2960" s="8">
        <f>HYPERLINK("https://dart.fss.or.kr/dsaf001/main.do?rcpNo=20260605000394", "공시열람")</f>
        <v/>
      </c>
    </row>
    <row r="2961" ht="22" customHeight="1">
      <c r="A2961" s="2" t="inlineStr">
        <is>
          <t>2026-06-05</t>
        </is>
      </c>
      <c r="B2961" s="3" t="inlineStr">
        <is>
          <t>디지털대성</t>
        </is>
      </c>
      <c r="C2961" s="2" t="inlineStr">
        <is>
          <t>068930</t>
        </is>
      </c>
      <c r="D2961" s="2" t="inlineStr">
        <is>
          <t>대량보유</t>
        </is>
      </c>
      <c r="E2961" s="3" t="inlineStr">
        <is>
          <t>정진우</t>
        </is>
      </c>
      <c r="F2961" s="3" t="inlineStr">
        <is>
          <t>특별관계자</t>
        </is>
      </c>
      <c r="G2961" s="3" t="inlineStr">
        <is>
          <t>장내매수(+)</t>
        </is>
      </c>
      <c r="H2961" s="15" t="n">
        <v>16000</v>
      </c>
      <c r="I2961" s="6" t="n">
        <v>8315</v>
      </c>
      <c r="J2961" s="6" t="n">
        <v>328000</v>
      </c>
      <c r="K2961" s="16" t="n">
        <v>43</v>
      </c>
      <c r="L2961" s="2" t="inlineStr">
        <is>
          <t>20260605000394</t>
        </is>
      </c>
      <c r="M2961" s="8">
        <f>HYPERLINK("https://dart.fss.or.kr/dsaf001/main.do?rcpNo=20260605000394", "공시열람")</f>
        <v/>
      </c>
    </row>
    <row r="2962" ht="22" customHeight="1">
      <c r="A2962" s="2" t="inlineStr">
        <is>
          <t>2026-06-05</t>
        </is>
      </c>
      <c r="B2962" s="3" t="inlineStr">
        <is>
          <t>디지털대성</t>
        </is>
      </c>
      <c r="C2962" s="2" t="inlineStr">
        <is>
          <t>068930</t>
        </is>
      </c>
      <c r="D2962" s="2" t="inlineStr">
        <is>
          <t>대량보유</t>
        </is>
      </c>
      <c r="E2962" s="3" t="inlineStr">
        <is>
          <t>권종철</t>
        </is>
      </c>
      <c r="F2962" s="3" t="inlineStr">
        <is>
          <t>특별관계자</t>
        </is>
      </c>
      <c r="G2962" s="3" t="inlineStr">
        <is>
          <t>장외매수(+)</t>
        </is>
      </c>
      <c r="H2962" s="15" t="n">
        <v>275602</v>
      </c>
      <c r="I2962" s="6" t="n">
        <v>8050</v>
      </c>
      <c r="J2962" s="6" t="n">
        <v>275602</v>
      </c>
      <c r="K2962" s="16" t="n">
        <v>43</v>
      </c>
      <c r="L2962" s="2" t="inlineStr">
        <is>
          <t>20260605000394</t>
        </is>
      </c>
      <c r="M2962" s="8">
        <f>HYPERLINK("https://dart.fss.or.kr/dsaf001/main.do?rcpNo=20260605000394", "공시열람")</f>
        <v/>
      </c>
    </row>
    <row r="2963" ht="22" customHeight="1">
      <c r="A2963" s="2" t="inlineStr">
        <is>
          <t>2026-06-05</t>
        </is>
      </c>
      <c r="B2963" s="3" t="inlineStr">
        <is>
          <t>노루페인트</t>
        </is>
      </c>
      <c r="C2963" s="2" t="inlineStr">
        <is>
          <t>090350</t>
        </is>
      </c>
      <c r="D2963" s="2" t="inlineStr">
        <is>
          <t>임원보고</t>
        </is>
      </c>
      <c r="E2963" s="3" t="inlineStr">
        <is>
          <t>-</t>
        </is>
      </c>
      <c r="F2963" s="3" t="inlineStr">
        <is>
          <t>-</t>
        </is>
      </c>
      <c r="G2963" s="3" t="inlineStr">
        <is>
          <t>-</t>
        </is>
      </c>
      <c r="H2963" s="6" t="inlineStr"/>
      <c r="I2963" s="6" t="inlineStr"/>
      <c r="J2963" s="6" t="inlineStr"/>
      <c r="K2963" s="16" t="n">
        <v>12</v>
      </c>
      <c r="L2963" s="2" t="inlineStr">
        <is>
          <t>20260605800551</t>
        </is>
      </c>
      <c r="M2963" s="8">
        <f>HYPERLINK("https://dart.fss.or.kr/dsaf001/main.do?rcpNo=20260605800551", "공시열람")</f>
        <v/>
      </c>
    </row>
    <row r="2964" ht="22" customHeight="1">
      <c r="A2964" s="2" t="inlineStr">
        <is>
          <t>2026-06-05</t>
        </is>
      </c>
      <c r="B2964" s="3" t="inlineStr">
        <is>
          <t>제이에스티나</t>
        </is>
      </c>
      <c r="C2964" s="2" t="inlineStr">
        <is>
          <t>026040</t>
        </is>
      </c>
      <c r="D2964" s="2" t="inlineStr">
        <is>
          <t>대량보유</t>
        </is>
      </c>
      <c r="E2964" s="3" t="inlineStr">
        <is>
          <t>김도형</t>
        </is>
      </c>
      <c r="F2964" s="3" t="inlineStr">
        <is>
          <t>특별관계자</t>
        </is>
      </c>
      <c r="G2964" s="3" t="inlineStr">
        <is>
          <t>장내매수(+)</t>
        </is>
      </c>
      <c r="H2964" s="15" t="n">
        <v>595815</v>
      </c>
      <c r="I2964" s="6" t="n">
        <v>2422</v>
      </c>
      <c r="J2964" s="6" t="n">
        <v>1650000</v>
      </c>
      <c r="K2964" s="16" t="n">
        <v>9.997</v>
      </c>
      <c r="L2964" s="2" t="inlineStr">
        <is>
          <t>20260605000374</t>
        </is>
      </c>
      <c r="M2964" s="8">
        <f>HYPERLINK("https://dart.fss.or.kr/dsaf001/main.do?rcpNo=20260605000374", "공시열람")</f>
        <v/>
      </c>
    </row>
    <row r="2965" ht="22" customHeight="1">
      <c r="A2965" s="2" t="inlineStr">
        <is>
          <t>2026-06-05</t>
        </is>
      </c>
      <c r="B2965" s="3" t="inlineStr">
        <is>
          <t>플루토스</t>
        </is>
      </c>
      <c r="C2965" s="2" t="inlineStr">
        <is>
          <t>019570</t>
        </is>
      </c>
      <c r="D2965" s="2" t="inlineStr">
        <is>
          <t>대량보유</t>
        </is>
      </c>
      <c r="E2965" s="3" t="inlineStr">
        <is>
          <t>이상철</t>
        </is>
      </c>
      <c r="F2965" s="3" t="inlineStr">
        <is>
          <t>특별관계자</t>
        </is>
      </c>
      <c r="G2965" s="3" t="inlineStr">
        <is>
          <t>전환사채의권리행사(+)</t>
        </is>
      </c>
      <c r="H2965" s="6" t="inlineStr"/>
      <c r="I2965" s="6" t="inlineStr"/>
      <c r="J2965" s="6" t="n">
        <v>3200000</v>
      </c>
      <c r="K2965" s="16" t="n">
        <v>3</v>
      </c>
      <c r="L2965" s="2" t="inlineStr">
        <is>
          <t>20260605000373</t>
        </is>
      </c>
      <c r="M2965" s="8">
        <f>HYPERLINK("https://dart.fss.or.kr/dsaf001/main.do?rcpNo=20260605000373", "공시열람")</f>
        <v/>
      </c>
    </row>
    <row r="2966" ht="22" customHeight="1">
      <c r="A2966" s="2" t="inlineStr">
        <is>
          <t>2026-06-05</t>
        </is>
      </c>
      <c r="B2966" s="3" t="inlineStr">
        <is>
          <t>플루토스</t>
        </is>
      </c>
      <c r="C2966" s="2" t="inlineStr">
        <is>
          <t>019570</t>
        </is>
      </c>
      <c r="D2966" s="2" t="inlineStr">
        <is>
          <t>대량보유</t>
        </is>
      </c>
      <c r="E2966" s="3" t="inlineStr">
        <is>
          <t>정희</t>
        </is>
      </c>
      <c r="F2966" s="3" t="inlineStr">
        <is>
          <t>특별관계자</t>
        </is>
      </c>
      <c r="G2966" s="3" t="inlineStr">
        <is>
          <t>전환사채의권리행사(+)</t>
        </is>
      </c>
      <c r="H2966" s="6" t="inlineStr"/>
      <c r="I2966" s="6" t="inlineStr"/>
      <c r="J2966" s="6" t="n">
        <v>3340000</v>
      </c>
      <c r="K2966" s="16" t="n">
        <v>3</v>
      </c>
      <c r="L2966" s="2" t="inlineStr">
        <is>
          <t>20260605000373</t>
        </is>
      </c>
      <c r="M2966" s="8">
        <f>HYPERLINK("https://dart.fss.or.kr/dsaf001/main.do?rcpNo=20260605000373", "공시열람")</f>
        <v/>
      </c>
    </row>
    <row r="2967" ht="22" customHeight="1">
      <c r="A2967" s="2" t="inlineStr">
        <is>
          <t>2026-06-05</t>
        </is>
      </c>
      <c r="B2967" s="3" t="inlineStr">
        <is>
          <t>플루토스</t>
        </is>
      </c>
      <c r="C2967" s="2" t="inlineStr">
        <is>
          <t>019570</t>
        </is>
      </c>
      <c r="D2967" s="2" t="inlineStr">
        <is>
          <t>대량보유</t>
        </is>
      </c>
      <c r="E2967" s="3" t="inlineStr">
        <is>
          <t>(주)H3W홀딩스</t>
        </is>
      </c>
      <c r="F2967" s="3" t="inlineStr">
        <is>
          <t>특별관계자</t>
        </is>
      </c>
      <c r="G2967" s="3" t="inlineStr">
        <is>
          <t>전환사채의권리행사(+)</t>
        </is>
      </c>
      <c r="H2967" s="6" t="inlineStr"/>
      <c r="I2967" s="6" t="inlineStr"/>
      <c r="J2967" s="6" t="n">
        <v>200000</v>
      </c>
      <c r="K2967" s="16" t="n">
        <v>3</v>
      </c>
      <c r="L2967" s="2" t="inlineStr">
        <is>
          <t>20260605000373</t>
        </is>
      </c>
      <c r="M2967" s="8">
        <f>HYPERLINK("https://dart.fss.or.kr/dsaf001/main.do?rcpNo=20260605000373", "공시열람")</f>
        <v/>
      </c>
    </row>
    <row r="2968" ht="22" customHeight="1">
      <c r="A2968" s="2" t="inlineStr">
        <is>
          <t>2026-06-05</t>
        </is>
      </c>
      <c r="B2968" s="3" t="inlineStr">
        <is>
          <t>미원홀딩스</t>
        </is>
      </c>
      <c r="C2968" s="2" t="inlineStr">
        <is>
          <t>107590</t>
        </is>
      </c>
      <c r="D2968" s="2" t="inlineStr">
        <is>
          <t>임원보고</t>
        </is>
      </c>
      <c r="E2968" s="3" t="inlineStr">
        <is>
          <t>-</t>
        </is>
      </c>
      <c r="F2968" s="3" t="inlineStr">
        <is>
          <t>-</t>
        </is>
      </c>
      <c r="G2968" s="3" t="inlineStr">
        <is>
          <t>-</t>
        </is>
      </c>
      <c r="H2968" s="6" t="inlineStr"/>
      <c r="I2968" s="6" t="inlineStr"/>
      <c r="J2968" s="6" t="inlineStr"/>
      <c r="K2968" s="16" t="n">
        <v>12</v>
      </c>
      <c r="L2968" s="2" t="inlineStr">
        <is>
          <t>20260605800515</t>
        </is>
      </c>
      <c r="M2968" s="8">
        <f>HYPERLINK("https://dart.fss.or.kr/dsaf001/main.do?rcpNo=20260605800515", "공시열람")</f>
        <v/>
      </c>
    </row>
    <row r="2969" ht="22" customHeight="1">
      <c r="A2969" s="2" t="inlineStr">
        <is>
          <t>2026-06-05</t>
        </is>
      </c>
      <c r="B2969" s="3" t="inlineStr">
        <is>
          <t>오에스피</t>
        </is>
      </c>
      <c r="C2969" s="2" t="inlineStr">
        <is>
          <t>368970</t>
        </is>
      </c>
      <c r="D2969" s="2" t="inlineStr">
        <is>
          <t>대량보유</t>
        </is>
      </c>
      <c r="E2969" s="3" t="inlineStr">
        <is>
          <t>주식회사지씨파트너스</t>
        </is>
      </c>
      <c r="F2969" s="3" t="inlineStr">
        <is>
          <t>특별관계자</t>
        </is>
      </c>
      <c r="G2969" s="3" t="inlineStr">
        <is>
          <t>제3자배정유상증자(+)</t>
        </is>
      </c>
      <c r="H2969" s="15" t="n">
        <v>288600</v>
      </c>
      <c r="I2969" s="6" t="n">
        <v>3465</v>
      </c>
      <c r="J2969" s="6" t="n">
        <v>288600</v>
      </c>
      <c r="K2969" s="16" t="n">
        <v>5.94</v>
      </c>
      <c r="L2969" s="2" t="inlineStr">
        <is>
          <t>20260605000338</t>
        </is>
      </c>
      <c r="M2969" s="8">
        <f>HYPERLINK("https://dart.fss.or.kr/dsaf001/main.do?rcpNo=20260605000338", "공시열람")</f>
        <v/>
      </c>
    </row>
    <row r="2970" ht="22" customHeight="1">
      <c r="A2970" s="2" t="inlineStr">
        <is>
          <t>2026-06-05</t>
        </is>
      </c>
      <c r="B2970" s="3" t="inlineStr">
        <is>
          <t>DSR제강</t>
        </is>
      </c>
      <c r="C2970" s="2" t="inlineStr">
        <is>
          <t>069730</t>
        </is>
      </c>
      <c r="D2970" s="2" t="inlineStr">
        <is>
          <t>임원보고</t>
        </is>
      </c>
      <c r="E2970" s="3" t="inlineStr">
        <is>
          <t>-</t>
        </is>
      </c>
      <c r="F2970" s="3" t="inlineStr">
        <is>
          <t>-</t>
        </is>
      </c>
      <c r="G2970" s="3" t="inlineStr">
        <is>
          <t>-</t>
        </is>
      </c>
      <c r="H2970" s="6" t="inlineStr"/>
      <c r="I2970" s="6" t="inlineStr"/>
      <c r="J2970" s="6" t="inlineStr"/>
      <c r="K2970" s="16" t="n">
        <v>12</v>
      </c>
      <c r="L2970" s="2" t="inlineStr">
        <is>
          <t>20260605800480</t>
        </is>
      </c>
      <c r="M2970" s="8">
        <f>HYPERLINK("https://dart.fss.or.kr/dsaf001/main.do?rcpNo=20260605800480", "공시열람")</f>
        <v/>
      </c>
    </row>
    <row r="2971" ht="22" customHeight="1">
      <c r="A2971" s="2" t="inlineStr">
        <is>
          <t>2026-06-05</t>
        </is>
      </c>
      <c r="B2971" s="3" t="inlineStr">
        <is>
          <t>전진바이오팜</t>
        </is>
      </c>
      <c r="C2971" s="2" t="inlineStr">
        <is>
          <t>110020</t>
        </is>
      </c>
      <c r="D2971" s="2" t="inlineStr">
        <is>
          <t>대량보유</t>
        </is>
      </c>
      <c r="E2971" s="3" t="inlineStr">
        <is>
          <t>이태훈</t>
        </is>
      </c>
      <c r="F2971" s="3" t="inlineStr">
        <is>
          <t>특별관계자</t>
        </is>
      </c>
      <c r="G2971" s="3" t="inlineStr">
        <is>
          <t>장내매수(+)</t>
        </is>
      </c>
      <c r="H2971" s="15" t="n">
        <v>62200</v>
      </c>
      <c r="I2971" s="6" t="n">
        <v>1938</v>
      </c>
      <c r="J2971" s="6" t="n">
        <v>377482</v>
      </c>
      <c r="K2971" s="16" t="n">
        <v>1</v>
      </c>
      <c r="L2971" s="2" t="inlineStr">
        <is>
          <t>20260605000315</t>
        </is>
      </c>
      <c r="M2971" s="8">
        <f>HYPERLINK("https://dart.fss.or.kr/dsaf001/main.do?rcpNo=20260605000315", "공시열람")</f>
        <v/>
      </c>
    </row>
    <row r="2972" ht="22" customHeight="1">
      <c r="A2972" s="2" t="inlineStr">
        <is>
          <t>2026-06-05</t>
        </is>
      </c>
      <c r="B2972" s="3" t="inlineStr">
        <is>
          <t>디아이</t>
        </is>
      </c>
      <c r="C2972" s="2" t="inlineStr">
        <is>
          <t>003160</t>
        </is>
      </c>
      <c r="D2972" s="2" t="inlineStr">
        <is>
          <t>대량보유</t>
        </is>
      </c>
      <c r="E2972" s="3" t="inlineStr">
        <is>
          <t>박원호</t>
        </is>
      </c>
      <c r="F2972" s="3" t="inlineStr">
        <is>
          <t>보고자</t>
        </is>
      </c>
      <c r="G2972" s="3" t="inlineStr">
        <is>
          <t>보고자 및 특별관계자의 보유주식등에 관한 계약내용 변경(주식담보대출 만기연장) 보고</t>
        </is>
      </c>
      <c r="H2972" s="6" t="inlineStr"/>
      <c r="I2972" s="6" t="inlineStr"/>
      <c r="J2972" s="6" t="n">
        <v>8281271</v>
      </c>
      <c r="K2972" s="16" t="n">
        <v>1</v>
      </c>
      <c r="L2972" s="2" t="inlineStr">
        <is>
          <t>20260605000314</t>
        </is>
      </c>
      <c r="M2972" s="8">
        <f>HYPERLINK("https://dart.fss.or.kr/dsaf001/main.do?rcpNo=20260605000314", "공시열람")</f>
        <v/>
      </c>
    </row>
    <row r="2973" ht="22" customHeight="1">
      <c r="A2973" s="2" t="inlineStr">
        <is>
          <t>2026-06-05</t>
        </is>
      </c>
      <c r="B2973" s="3" t="inlineStr">
        <is>
          <t>에스엠벡셀</t>
        </is>
      </c>
      <c r="C2973" s="2" t="inlineStr">
        <is>
          <t>010580</t>
        </is>
      </c>
      <c r="D2973" s="2" t="inlineStr">
        <is>
          <t>임원보고</t>
        </is>
      </c>
      <c r="E2973" s="3" t="inlineStr">
        <is>
          <t>-</t>
        </is>
      </c>
      <c r="F2973" s="3" t="inlineStr">
        <is>
          <t>-</t>
        </is>
      </c>
      <c r="G2973" s="3" t="inlineStr">
        <is>
          <t>-</t>
        </is>
      </c>
      <c r="H2973" s="6" t="inlineStr"/>
      <c r="I2973" s="6" t="inlineStr"/>
      <c r="J2973" s="6" t="inlineStr"/>
      <c r="K2973" s="16" t="n">
        <v>12</v>
      </c>
      <c r="L2973" s="2" t="inlineStr">
        <is>
          <t>20260605800446</t>
        </is>
      </c>
      <c r="M2973" s="8">
        <f>HYPERLINK("https://dart.fss.or.kr/dsaf001/main.do?rcpNo=20260605800446", "공시열람")</f>
        <v/>
      </c>
    </row>
    <row r="2974" ht="22" customHeight="1">
      <c r="A2974" s="2" t="inlineStr">
        <is>
          <t>2026-06-05</t>
        </is>
      </c>
      <c r="B2974" s="3" t="inlineStr">
        <is>
          <t>애경케미칼</t>
        </is>
      </c>
      <c r="C2974" s="2" t="inlineStr">
        <is>
          <t>161000</t>
        </is>
      </c>
      <c r="D2974" s="2" t="inlineStr">
        <is>
          <t>대량보유</t>
        </is>
      </c>
      <c r="E2974" s="3" t="inlineStr">
        <is>
          <t>에이케이홀딩스(주)</t>
        </is>
      </c>
      <c r="F2974" s="3" t="inlineStr">
        <is>
          <t>보고자</t>
        </is>
      </c>
      <c r="G2974" s="3" t="inlineStr">
        <is>
          <t>- 특별관계자 보유주식등에 관한 계약(담보계약) 변경</t>
        </is>
      </c>
      <c r="H2974" s="6" t="inlineStr"/>
      <c r="I2974" s="6" t="inlineStr"/>
      <c r="J2974" s="6" t="n">
        <v>30301507</v>
      </c>
      <c r="K2974" s="16" t="n">
        <v>10</v>
      </c>
      <c r="L2974" s="2" t="inlineStr">
        <is>
          <t>20260605000275</t>
        </is>
      </c>
      <c r="M2974" s="8">
        <f>HYPERLINK("https://dart.fss.or.kr/dsaf001/main.do?rcpNo=20260605000275", "공시열람")</f>
        <v/>
      </c>
    </row>
    <row r="2975" ht="22" customHeight="1">
      <c r="A2975" s="2" t="inlineStr">
        <is>
          <t>2026-06-05</t>
        </is>
      </c>
      <c r="B2975" s="3" t="inlineStr">
        <is>
          <t>제주항공</t>
        </is>
      </c>
      <c r="C2975" s="2" t="inlineStr">
        <is>
          <t>089590</t>
        </is>
      </c>
      <c r="D2975" s="2" t="inlineStr">
        <is>
          <t>대량보유</t>
        </is>
      </c>
      <c r="E2975" s="3" t="inlineStr">
        <is>
          <t>에이케이홀딩스(주)</t>
        </is>
      </c>
      <c r="F2975" s="3" t="inlineStr">
        <is>
          <t>보고자</t>
        </is>
      </c>
      <c r="G2975" s="3" t="inlineStr">
        <is>
          <t>- 특별관계자 보유주식등에 관한 계약(담보계약) 변경</t>
        </is>
      </c>
      <c r="H2975" s="6" t="inlineStr"/>
      <c r="I2975" s="6" t="inlineStr"/>
      <c r="J2975" s="6" t="n">
        <v>43245552</v>
      </c>
      <c r="K2975" s="16" t="n">
        <v>5</v>
      </c>
      <c r="L2975" s="2" t="inlineStr">
        <is>
          <t>20260605000274</t>
        </is>
      </c>
      <c r="M2975" s="8">
        <f>HYPERLINK("https://dart.fss.or.kr/dsaf001/main.do?rcpNo=20260605000274", "공시열람")</f>
        <v/>
      </c>
    </row>
    <row r="2976" ht="22" customHeight="1">
      <c r="A2976" s="2" t="inlineStr">
        <is>
          <t>2026-06-05</t>
        </is>
      </c>
      <c r="B2976" s="3" t="inlineStr">
        <is>
          <t>대진첨단소재</t>
        </is>
      </c>
      <c r="C2976" s="2" t="inlineStr">
        <is>
          <t>393970</t>
        </is>
      </c>
      <c r="D2976" s="2" t="inlineStr">
        <is>
          <t>대량보유</t>
        </is>
      </c>
      <c r="E2976" s="3" t="inlineStr">
        <is>
          <t>곽윤창</t>
        </is>
      </c>
      <c r="F2976" s="3" t="inlineStr">
        <is>
          <t>특별관계자</t>
        </is>
      </c>
      <c r="G2976" s="3" t="inlineStr">
        <is>
          <t>임원퇴임(-)</t>
        </is>
      </c>
      <c r="H2976" s="6" t="inlineStr"/>
      <c r="I2976" s="6" t="inlineStr"/>
      <c r="J2976" s="6" t="inlineStr"/>
      <c r="K2976" s="16" t="n">
        <v>2</v>
      </c>
      <c r="L2976" s="2" t="inlineStr">
        <is>
          <t>20260605000270</t>
        </is>
      </c>
      <c r="M2976" s="8">
        <f>HYPERLINK("https://dart.fss.or.kr/dsaf001/main.do?rcpNo=20260605000270", "공시열람")</f>
        <v/>
      </c>
    </row>
    <row r="2977" ht="22" customHeight="1">
      <c r="A2977" s="2" t="inlineStr">
        <is>
          <t>2026-06-05</t>
        </is>
      </c>
      <c r="B2977" s="3" t="inlineStr">
        <is>
          <t>삼영무역</t>
        </is>
      </c>
      <c r="C2977" s="2" t="inlineStr">
        <is>
          <t>002810</t>
        </is>
      </c>
      <c r="D2977" s="2" t="inlineStr">
        <is>
          <t>임원보고</t>
        </is>
      </c>
      <c r="E2977" s="3" t="inlineStr">
        <is>
          <t>-</t>
        </is>
      </c>
      <c r="F2977" s="3" t="inlineStr">
        <is>
          <t>-</t>
        </is>
      </c>
      <c r="G2977" s="3" t="inlineStr">
        <is>
          <t>-</t>
        </is>
      </c>
      <c r="H2977" s="6" t="inlineStr"/>
      <c r="I2977" s="6" t="inlineStr"/>
      <c r="J2977" s="6" t="inlineStr"/>
      <c r="K2977" s="16" t="n">
        <v>12</v>
      </c>
      <c r="L2977" s="2" t="inlineStr">
        <is>
          <t>20260605800390</t>
        </is>
      </c>
      <c r="M2977" s="8">
        <f>HYPERLINK("https://dart.fss.or.kr/dsaf001/main.do?rcpNo=20260605800390", "공시열람")</f>
        <v/>
      </c>
    </row>
    <row r="2978" ht="22" customHeight="1">
      <c r="A2978" s="2" t="inlineStr">
        <is>
          <t>2026-06-05</t>
        </is>
      </c>
      <c r="B2978" s="3" t="inlineStr">
        <is>
          <t>아이디스</t>
        </is>
      </c>
      <c r="C2978" s="2" t="inlineStr">
        <is>
          <t>143160</t>
        </is>
      </c>
      <c r="D2978" s="2" t="inlineStr">
        <is>
          <t>대량보유</t>
        </is>
      </c>
      <c r="E2978" s="3" t="inlineStr">
        <is>
          <t>㈜코텍</t>
        </is>
      </c>
      <c r="F2978" s="3" t="inlineStr">
        <is>
          <t>특별관계자</t>
        </is>
      </c>
      <c r="G2978" s="3" t="inlineStr">
        <is>
          <t>장내매수(+)</t>
        </is>
      </c>
      <c r="H2978" s="15" t="n">
        <v>110185</v>
      </c>
      <c r="I2978" s="6" t="n">
        <v>17104</v>
      </c>
      <c r="J2978" s="6" t="n">
        <v>722387</v>
      </c>
      <c r="K2978" s="16" t="n">
        <v>3</v>
      </c>
      <c r="L2978" s="2" t="inlineStr">
        <is>
          <t>20260605000246</t>
        </is>
      </c>
      <c r="M2978" s="8">
        <f>HYPERLINK("https://dart.fss.or.kr/dsaf001/main.do?rcpNo=20260605000246", "공시열람")</f>
        <v/>
      </c>
    </row>
    <row r="2979" ht="22" customHeight="1">
      <c r="A2979" s="2" t="inlineStr">
        <is>
          <t>2026-06-05</t>
        </is>
      </c>
      <c r="B2979" s="3" t="inlineStr">
        <is>
          <t>아이디피</t>
        </is>
      </c>
      <c r="C2979" s="2" t="inlineStr">
        <is>
          <t>332370</t>
        </is>
      </c>
      <c r="D2979" s="2" t="inlineStr">
        <is>
          <t>대량보유</t>
        </is>
      </c>
      <c r="E2979" s="3" t="inlineStr">
        <is>
          <t>(주)빅솔론</t>
        </is>
      </c>
      <c r="F2979" s="3" t="inlineStr">
        <is>
          <t>특별관계자</t>
        </is>
      </c>
      <c r="G2979" s="3" t="inlineStr">
        <is>
          <t>장내매수(+)</t>
        </is>
      </c>
      <c r="H2979" s="15" t="n">
        <v>151748</v>
      </c>
      <c r="I2979" s="6" t="n">
        <v>5188</v>
      </c>
      <c r="J2979" s="6" t="n">
        <v>647228</v>
      </c>
      <c r="K2979" s="16" t="n">
        <v>5</v>
      </c>
      <c r="L2979" s="2" t="inlineStr">
        <is>
          <t>20260605000245</t>
        </is>
      </c>
      <c r="M2979" s="8">
        <f>HYPERLINK("https://dart.fss.or.kr/dsaf001/main.do?rcpNo=20260605000245", "공시열람")</f>
        <v/>
      </c>
    </row>
    <row r="2980" ht="22" customHeight="1">
      <c r="A2980" s="2" t="inlineStr">
        <is>
          <t>2026-06-05</t>
        </is>
      </c>
      <c r="B2980" s="3" t="inlineStr">
        <is>
          <t>바이오프로테크</t>
        </is>
      </c>
      <c r="C2980" s="2" t="inlineStr">
        <is>
          <t>199290</t>
        </is>
      </c>
      <c r="D2980" s="2" t="inlineStr">
        <is>
          <t>대량보유</t>
        </is>
      </c>
      <c r="E2980" s="3" t="inlineStr">
        <is>
          <t>이병탁</t>
        </is>
      </c>
      <c r="F2980" s="3" t="inlineStr">
        <is>
          <t>특별관계자</t>
        </is>
      </c>
      <c r="G2980" s="3" t="inlineStr">
        <is>
          <t>임원퇴임(-)</t>
        </is>
      </c>
      <c r="H2980" s="17" t="n">
        <v>-25000</v>
      </c>
      <c r="I2980" s="6" t="inlineStr"/>
      <c r="J2980" s="6" t="inlineStr"/>
      <c r="K2980" s="16" t="n">
        <v>9</v>
      </c>
      <c r="L2980" s="2" t="inlineStr">
        <is>
          <t>20260605000244</t>
        </is>
      </c>
      <c r="M2980" s="8">
        <f>HYPERLINK("https://dart.fss.or.kr/dsaf001/main.do?rcpNo=20260605000244", "공시열람")</f>
        <v/>
      </c>
    </row>
    <row r="2981" ht="22" customHeight="1">
      <c r="A2981" s="2" t="inlineStr">
        <is>
          <t>2026-06-05</t>
        </is>
      </c>
      <c r="B2981" s="3" t="inlineStr">
        <is>
          <t>인디에프</t>
        </is>
      </c>
      <c r="C2981" s="2" t="inlineStr">
        <is>
          <t>014990</t>
        </is>
      </c>
      <c r="D2981" s="2" t="inlineStr">
        <is>
          <t>임원보고</t>
        </is>
      </c>
      <c r="E2981" s="3" t="inlineStr">
        <is>
          <t>-</t>
        </is>
      </c>
      <c r="F2981" s="3" t="inlineStr">
        <is>
          <t>-</t>
        </is>
      </c>
      <c r="G2981" s="3" t="inlineStr">
        <is>
          <t>-</t>
        </is>
      </c>
      <c r="H2981" s="6" t="inlineStr"/>
      <c r="I2981" s="6" t="inlineStr"/>
      <c r="J2981" s="6" t="inlineStr"/>
      <c r="K2981" s="16" t="n">
        <v>12</v>
      </c>
      <c r="L2981" s="2" t="inlineStr">
        <is>
          <t>20260605800380</t>
        </is>
      </c>
      <c r="M2981" s="8">
        <f>HYPERLINK("https://dart.fss.or.kr/dsaf001/main.do?rcpNo=20260605800380", "공시열람")</f>
        <v/>
      </c>
    </row>
    <row r="2982" ht="22" customHeight="1">
      <c r="A2982" s="2" t="inlineStr">
        <is>
          <t>2026-06-05</t>
        </is>
      </c>
      <c r="B2982" s="3" t="inlineStr">
        <is>
          <t>평화산업</t>
        </is>
      </c>
      <c r="C2982" s="2" t="inlineStr">
        <is>
          <t>090080</t>
        </is>
      </c>
      <c r="D2982" s="2" t="inlineStr">
        <is>
          <t>임원보고</t>
        </is>
      </c>
      <c r="E2982" s="3" t="inlineStr">
        <is>
          <t>-</t>
        </is>
      </c>
      <c r="F2982" s="3" t="inlineStr">
        <is>
          <t>-</t>
        </is>
      </c>
      <c r="G2982" s="3" t="inlineStr">
        <is>
          <t>-</t>
        </is>
      </c>
      <c r="H2982" s="6" t="inlineStr"/>
      <c r="I2982" s="6" t="inlineStr"/>
      <c r="J2982" s="6" t="inlineStr"/>
      <c r="K2982" s="16" t="n">
        <v>12</v>
      </c>
      <c r="L2982" s="2" t="inlineStr">
        <is>
          <t>20260605800374</t>
        </is>
      </c>
      <c r="M2982" s="8">
        <f>HYPERLINK("https://dart.fss.or.kr/dsaf001/main.do?rcpNo=20260605800374", "공시열람")</f>
        <v/>
      </c>
    </row>
    <row r="2983" ht="22" customHeight="1">
      <c r="A2983" s="2" t="inlineStr">
        <is>
          <t>2026-06-05</t>
        </is>
      </c>
      <c r="B2983" s="3" t="inlineStr">
        <is>
          <t>농심홀딩스</t>
        </is>
      </c>
      <c r="C2983" s="2" t="inlineStr">
        <is>
          <t>072710</t>
        </is>
      </c>
      <c r="D2983" s="2" t="inlineStr">
        <is>
          <t>임원보고</t>
        </is>
      </c>
      <c r="E2983" s="3" t="inlineStr">
        <is>
          <t>-</t>
        </is>
      </c>
      <c r="F2983" s="3" t="inlineStr">
        <is>
          <t>-</t>
        </is>
      </c>
      <c r="G2983" s="3" t="inlineStr">
        <is>
          <t>-</t>
        </is>
      </c>
      <c r="H2983" s="6" t="inlineStr"/>
      <c r="I2983" s="6" t="inlineStr"/>
      <c r="J2983" s="6" t="inlineStr"/>
      <c r="K2983" s="16" t="n">
        <v>12</v>
      </c>
      <c r="L2983" s="2" t="inlineStr">
        <is>
          <t>20260605800372</t>
        </is>
      </c>
      <c r="M2983" s="8">
        <f>HYPERLINK("https://dart.fss.or.kr/dsaf001/main.do?rcpNo=20260605800372", "공시열람")</f>
        <v/>
      </c>
    </row>
    <row r="2984" ht="22" customHeight="1">
      <c r="A2984" s="2" t="inlineStr">
        <is>
          <t>2026-06-05</t>
        </is>
      </c>
      <c r="B2984" s="3" t="inlineStr">
        <is>
          <t>에코프로비엠</t>
        </is>
      </c>
      <c r="C2984" s="2" t="inlineStr">
        <is>
          <t>247540</t>
        </is>
      </c>
      <c r="D2984" s="2" t="inlineStr">
        <is>
          <t>대량보유</t>
        </is>
      </c>
      <c r="E2984" s="3" t="inlineStr">
        <is>
          <t>에코프로</t>
        </is>
      </c>
      <c r="F2984" s="3" t="inlineStr">
        <is>
          <t>보고자</t>
        </is>
      </c>
      <c r="G2984" s="3" t="inlineStr">
        <is>
          <t>신규차입,만기연장,이자율변경</t>
        </is>
      </c>
      <c r="H2984" s="6" t="inlineStr"/>
      <c r="I2984" s="6" t="inlineStr"/>
      <c r="J2984" s="6" t="n">
        <v>44248514</v>
      </c>
      <c r="K2984" s="16" t="n">
        <v>12</v>
      </c>
      <c r="L2984" s="2" t="inlineStr">
        <is>
          <t>20260605000229</t>
        </is>
      </c>
      <c r="M2984" s="8">
        <f>HYPERLINK("https://dart.fss.or.kr/dsaf001/main.do?rcpNo=20260605000229", "공시열람")</f>
        <v/>
      </c>
    </row>
    <row r="2985" ht="22" customHeight="1">
      <c r="A2985" s="2" t="inlineStr">
        <is>
          <t>2026-06-05</t>
        </is>
      </c>
      <c r="B2985" s="3" t="inlineStr">
        <is>
          <t>씨큐브</t>
        </is>
      </c>
      <c r="C2985" s="2" t="inlineStr">
        <is>
          <t>101240</t>
        </is>
      </c>
      <c r="D2985" s="2" t="inlineStr">
        <is>
          <t>대량보유</t>
        </is>
      </c>
      <c r="E2985" s="3" t="inlineStr">
        <is>
          <t>스타치얼코퍼레이션(STARCHEERCORPORATIONLIMITED)</t>
        </is>
      </c>
      <c r="F2985" s="3" t="inlineStr">
        <is>
          <t>특별관계자</t>
        </is>
      </c>
      <c r="G2985" s="3" t="inlineStr">
        <is>
          <t>장내매수(+)</t>
        </is>
      </c>
      <c r="H2985" s="15" t="n">
        <v>100621</v>
      </c>
      <c r="I2985" s="6" t="n">
        <v>3687</v>
      </c>
      <c r="J2985" s="6" t="n">
        <v>4548920</v>
      </c>
      <c r="K2985" s="16" t="n">
        <v>2</v>
      </c>
      <c r="L2985" s="2" t="inlineStr">
        <is>
          <t>20260605000208</t>
        </is>
      </c>
      <c r="M2985" s="8">
        <f>HYPERLINK("https://dart.fss.or.kr/dsaf001/main.do?rcpNo=20260605000208", "공시열람")</f>
        <v/>
      </c>
    </row>
    <row r="2986" ht="22" customHeight="1">
      <c r="A2986" s="2" t="inlineStr">
        <is>
          <t>2026-06-05</t>
        </is>
      </c>
      <c r="B2986" s="3" t="inlineStr">
        <is>
          <t>네오이뮨텍</t>
        </is>
      </c>
      <c r="C2986" s="2" t="inlineStr">
        <is>
          <t>950220</t>
        </is>
      </c>
      <c r="D2986" s="2" t="inlineStr">
        <is>
          <t>대량보유</t>
        </is>
      </c>
      <c r="E2986" s="3" t="inlineStr">
        <is>
          <t>김태우</t>
        </is>
      </c>
      <c r="F2986" s="3" t="inlineStr">
        <is>
          <t>특별관계자</t>
        </is>
      </c>
      <c r="G2986" s="3" t="inlineStr">
        <is>
          <t>신규보고(+)</t>
        </is>
      </c>
      <c r="H2986" s="15" t="n">
        <v>296830</v>
      </c>
      <c r="I2986" s="6" t="n">
        <v>2443</v>
      </c>
      <c r="J2986" s="6" t="n">
        <v>201075</v>
      </c>
      <c r="K2986" s="16" t="n">
        <v>4</v>
      </c>
      <c r="L2986" s="2" t="inlineStr">
        <is>
          <t>20260605000200</t>
        </is>
      </c>
      <c r="M2986" s="8">
        <f>HYPERLINK("https://dart.fss.or.kr/dsaf001/main.do?rcpNo=20260605000200", "공시열람")</f>
        <v/>
      </c>
    </row>
    <row r="2987" ht="22" customHeight="1">
      <c r="A2987" s="2" t="inlineStr">
        <is>
          <t>2026-06-05</t>
        </is>
      </c>
      <c r="B2987" s="3" t="inlineStr">
        <is>
          <t>네오이뮨텍</t>
        </is>
      </c>
      <c r="C2987" s="2" t="inlineStr">
        <is>
          <t>950220</t>
        </is>
      </c>
      <c r="D2987" s="2" t="inlineStr">
        <is>
          <t>대량보유</t>
        </is>
      </c>
      <c r="E2987" s="3" t="inlineStr">
        <is>
          <t>김태경</t>
        </is>
      </c>
      <c r="F2987" s="3" t="inlineStr">
        <is>
          <t>특별관계자</t>
        </is>
      </c>
      <c r="G2987" s="3" t="inlineStr">
        <is>
          <t>신규보고(+), 장내매수(+)</t>
        </is>
      </c>
      <c r="H2987" s="15" t="n">
        <v>1131070</v>
      </c>
      <c r="I2987" s="6" t="n">
        <v>380</v>
      </c>
      <c r="J2987" s="6" t="n">
        <v>131070</v>
      </c>
      <c r="K2987" s="16" t="n">
        <v>4</v>
      </c>
      <c r="L2987" s="2" t="inlineStr">
        <is>
          <t>20260605000200</t>
        </is>
      </c>
      <c r="M2987" s="8">
        <f>HYPERLINK("https://dart.fss.or.kr/dsaf001/main.do?rcpNo=20260605000200", "공시열람")</f>
        <v/>
      </c>
    </row>
    <row r="2988" ht="22" customHeight="1">
      <c r="A2988" s="2" t="inlineStr">
        <is>
          <t>2026-06-05</t>
        </is>
      </c>
      <c r="B2988" s="3" t="inlineStr">
        <is>
          <t>에스엠벡셀</t>
        </is>
      </c>
      <c r="C2988" s="2" t="inlineStr">
        <is>
          <t>010580</t>
        </is>
      </c>
      <c r="D2988" s="2" t="inlineStr">
        <is>
          <t>대량보유</t>
        </is>
      </c>
      <c r="E2988" s="3" t="inlineStr">
        <is>
          <t>에스엠자산개발(주)</t>
        </is>
      </c>
      <c r="F2988" s="3" t="inlineStr">
        <is>
          <t>특별관계자</t>
        </is>
      </c>
      <c r="G2988" s="3" t="inlineStr">
        <is>
          <t>장내매수(+)</t>
        </is>
      </c>
      <c r="H2988" s="15" t="n">
        <v>154435</v>
      </c>
      <c r="I2988" s="6" t="n">
        <v>2181</v>
      </c>
      <c r="J2988" s="6" t="n">
        <v>835362</v>
      </c>
      <c r="K2988" s="16" t="n">
        <v>4</v>
      </c>
      <c r="L2988" s="2" t="inlineStr">
        <is>
          <t>20260605000198</t>
        </is>
      </c>
      <c r="M2988" s="8">
        <f>HYPERLINK("https://dart.fss.or.kr/dsaf001/main.do?rcpNo=20260605000198", "공시열람")</f>
        <v/>
      </c>
    </row>
    <row r="2989" ht="22" customHeight="1">
      <c r="A2989" s="2" t="inlineStr">
        <is>
          <t>2026-06-05</t>
        </is>
      </c>
      <c r="B2989" s="3" t="inlineStr">
        <is>
          <t>오비고</t>
        </is>
      </c>
      <c r="C2989" s="2" t="inlineStr">
        <is>
          <t>352910</t>
        </is>
      </c>
      <c r="D2989" s="2" t="inlineStr">
        <is>
          <t>대량보유</t>
        </is>
      </c>
      <c r="E2989" s="3" t="inlineStr">
        <is>
          <t>장영준</t>
        </is>
      </c>
      <c r="F2989" s="3" t="inlineStr">
        <is>
          <t>특별관계자</t>
        </is>
      </c>
      <c r="G2989" s="3" t="inlineStr">
        <is>
          <t>장내매수(+)</t>
        </is>
      </c>
      <c r="H2989" s="15" t="n">
        <v>66767</v>
      </c>
      <c r="I2989" s="6" t="n">
        <v>5293</v>
      </c>
      <c r="J2989" s="6" t="n">
        <v>2860930</v>
      </c>
      <c r="K2989" s="16" t="n">
        <v>6</v>
      </c>
      <c r="L2989" s="2" t="inlineStr">
        <is>
          <t>20260605000195</t>
        </is>
      </c>
      <c r="M2989" s="8">
        <f>HYPERLINK("https://dart.fss.or.kr/dsaf001/main.do?rcpNo=20260605000195", "공시열람")</f>
        <v/>
      </c>
    </row>
    <row r="2990" ht="22" customHeight="1">
      <c r="A2990" s="2" t="inlineStr">
        <is>
          <t>2026-06-05</t>
        </is>
      </c>
      <c r="B2990" s="3" t="inlineStr">
        <is>
          <t>모비릭스</t>
        </is>
      </c>
      <c r="C2990" s="2" t="inlineStr">
        <is>
          <t>348030</t>
        </is>
      </c>
      <c r="D2990" s="2" t="inlineStr">
        <is>
          <t>대량보유</t>
        </is>
      </c>
      <c r="E2990" s="3" t="inlineStr">
        <is>
          <t>조혜진</t>
        </is>
      </c>
      <c r="F2990" s="3" t="inlineStr">
        <is>
          <t>특별관계자</t>
        </is>
      </c>
      <c r="G2990" s="3" t="inlineStr">
        <is>
          <t>장내매수(+)</t>
        </is>
      </c>
      <c r="H2990" s="15" t="n">
        <v>53500</v>
      </c>
      <c r="I2990" s="6" t="n">
        <v>2264</v>
      </c>
      <c r="J2990" s="6" t="n">
        <v>103500</v>
      </c>
      <c r="K2990" s="16" t="n">
        <v>3</v>
      </c>
      <c r="L2990" s="2" t="inlineStr">
        <is>
          <t>20260605000191</t>
        </is>
      </c>
      <c r="M2990" s="8">
        <f>HYPERLINK("https://dart.fss.or.kr/dsaf001/main.do?rcpNo=20260605000191", "공시열람")</f>
        <v/>
      </c>
    </row>
    <row r="2991" ht="22" customHeight="1">
      <c r="A2991" s="2" t="inlineStr">
        <is>
          <t>2026-06-05</t>
        </is>
      </c>
      <c r="B2991" s="3" t="inlineStr">
        <is>
          <t>모비릭스</t>
        </is>
      </c>
      <c r="C2991" s="2" t="inlineStr">
        <is>
          <t>348030</t>
        </is>
      </c>
      <c r="D2991" s="2" t="inlineStr">
        <is>
          <t>대량보유</t>
        </is>
      </c>
      <c r="E2991" s="3" t="inlineStr">
        <is>
          <t>이남일</t>
        </is>
      </c>
      <c r="F2991" s="3" t="inlineStr">
        <is>
          <t>특별관계자</t>
        </is>
      </c>
      <c r="G2991" s="3" t="inlineStr">
        <is>
          <t>특별관계해소(-)</t>
        </is>
      </c>
      <c r="H2991" s="17" t="n">
        <v>-343000</v>
      </c>
      <c r="I2991" s="6" t="inlineStr"/>
      <c r="J2991" s="6" t="inlineStr"/>
      <c r="K2991" s="16" t="n">
        <v>3</v>
      </c>
      <c r="L2991" s="2" t="inlineStr">
        <is>
          <t>20260605000191</t>
        </is>
      </c>
      <c r="M2991" s="8">
        <f>HYPERLINK("https://dart.fss.or.kr/dsaf001/main.do?rcpNo=20260605000191", "공시열람")</f>
        <v/>
      </c>
    </row>
    <row r="2992" ht="22" customHeight="1">
      <c r="A2992" s="2" t="inlineStr">
        <is>
          <t>2026-06-05</t>
        </is>
      </c>
      <c r="B2992" s="3" t="inlineStr">
        <is>
          <t>모비릭스</t>
        </is>
      </c>
      <c r="C2992" s="2" t="inlineStr">
        <is>
          <t>348030</t>
        </is>
      </c>
      <c r="D2992" s="2" t="inlineStr">
        <is>
          <t>대량보유</t>
        </is>
      </c>
      <c r="E2992" s="3" t="inlineStr">
        <is>
          <t>이승균</t>
        </is>
      </c>
      <c r="F2992" s="3" t="inlineStr">
        <is>
          <t>특별관계자</t>
        </is>
      </c>
      <c r="G2992" s="3" t="inlineStr">
        <is>
          <t>특별관계해소(-)</t>
        </is>
      </c>
      <c r="H2992" s="17" t="n">
        <v>-310000</v>
      </c>
      <c r="I2992" s="6" t="inlineStr"/>
      <c r="J2992" s="6" t="inlineStr"/>
      <c r="K2992" s="16" t="n">
        <v>3</v>
      </c>
      <c r="L2992" s="2" t="inlineStr">
        <is>
          <t>20260605000191</t>
        </is>
      </c>
      <c r="M2992" s="8">
        <f>HYPERLINK("https://dart.fss.or.kr/dsaf001/main.do?rcpNo=20260605000191", "공시열람")</f>
        <v/>
      </c>
    </row>
    <row r="2993" ht="22" customHeight="1">
      <c r="A2993" s="2" t="inlineStr">
        <is>
          <t>2026-06-05</t>
        </is>
      </c>
      <c r="B2993" s="3" t="inlineStr">
        <is>
          <t>엔지켐생명과학</t>
        </is>
      </c>
      <c r="C2993" s="2" t="inlineStr">
        <is>
          <t>183490</t>
        </is>
      </c>
      <c r="D2993" s="2" t="inlineStr">
        <is>
          <t>대량보유</t>
        </is>
      </c>
      <c r="E2993" s="3" t="inlineStr">
        <is>
          <t>남윤희</t>
        </is>
      </c>
      <c r="F2993" s="3" t="inlineStr">
        <is>
          <t>특별관계자</t>
        </is>
      </c>
      <c r="G2993" s="3" t="inlineStr">
        <is>
          <t>신규보고(+)</t>
        </is>
      </c>
      <c r="H2993" s="6" t="inlineStr"/>
      <c r="I2993" s="6" t="inlineStr"/>
      <c r="J2993" s="6" t="n">
        <v>256840</v>
      </c>
      <c r="K2993" s="16" t="n">
        <v>5.98</v>
      </c>
      <c r="L2993" s="2" t="inlineStr">
        <is>
          <t>20260605000189</t>
        </is>
      </c>
      <c r="M2993" s="8">
        <f>HYPERLINK("https://dart.fss.or.kr/dsaf001/main.do?rcpNo=20260605000189", "공시열람")</f>
        <v/>
      </c>
    </row>
    <row r="2994" ht="22" customHeight="1">
      <c r="A2994" s="2" t="inlineStr">
        <is>
          <t>2026-06-05</t>
        </is>
      </c>
      <c r="B2994" s="3" t="inlineStr">
        <is>
          <t>엔지켐생명과학</t>
        </is>
      </c>
      <c r="C2994" s="2" t="inlineStr">
        <is>
          <t>183490</t>
        </is>
      </c>
      <c r="D2994" s="2" t="inlineStr">
        <is>
          <t>대량보유</t>
        </is>
      </c>
      <c r="E2994" s="3" t="inlineStr">
        <is>
          <t>이세훈</t>
        </is>
      </c>
      <c r="F2994" s="3" t="inlineStr">
        <is>
          <t>특별관계자</t>
        </is>
      </c>
      <c r="G2994" s="3" t="inlineStr">
        <is>
          <t>신규보고(+)</t>
        </is>
      </c>
      <c r="H2994" s="6" t="inlineStr"/>
      <c r="I2994" s="6" t="inlineStr"/>
      <c r="J2994" s="6" t="n">
        <v>58000</v>
      </c>
      <c r="K2994" s="16" t="n">
        <v>5.98</v>
      </c>
      <c r="L2994" s="2" t="inlineStr">
        <is>
          <t>20260605000189</t>
        </is>
      </c>
      <c r="M2994" s="8">
        <f>HYPERLINK("https://dart.fss.or.kr/dsaf001/main.do?rcpNo=20260605000189", "공시열람")</f>
        <v/>
      </c>
    </row>
    <row r="2995" ht="22" customHeight="1">
      <c r="A2995" s="2" t="inlineStr">
        <is>
          <t>2026-06-05</t>
        </is>
      </c>
      <c r="B2995" s="3" t="inlineStr">
        <is>
          <t>엔지켐생명과학</t>
        </is>
      </c>
      <c r="C2995" s="2" t="inlineStr">
        <is>
          <t>183490</t>
        </is>
      </c>
      <c r="D2995" s="2" t="inlineStr">
        <is>
          <t>대량보유</t>
        </is>
      </c>
      <c r="E2995" s="3" t="inlineStr">
        <is>
          <t>지상준</t>
        </is>
      </c>
      <c r="F2995" s="3" t="inlineStr">
        <is>
          <t>특별관계자</t>
        </is>
      </c>
      <c r="G2995" s="3" t="inlineStr">
        <is>
          <t>신규보고(+)</t>
        </is>
      </c>
      <c r="H2995" s="6" t="inlineStr"/>
      <c r="I2995" s="6" t="inlineStr"/>
      <c r="J2995" s="6" t="n">
        <v>30120</v>
      </c>
      <c r="K2995" s="16" t="n">
        <v>5.98</v>
      </c>
      <c r="L2995" s="2" t="inlineStr">
        <is>
          <t>20260605000189</t>
        </is>
      </c>
      <c r="M2995" s="8">
        <f>HYPERLINK("https://dart.fss.or.kr/dsaf001/main.do?rcpNo=20260605000189", "공시열람")</f>
        <v/>
      </c>
    </row>
    <row r="2996" ht="22" customHeight="1">
      <c r="A2996" s="2" t="inlineStr">
        <is>
          <t>2026-06-05</t>
        </is>
      </c>
      <c r="B2996" s="3" t="inlineStr">
        <is>
          <t>엔지켐생명과학</t>
        </is>
      </c>
      <c r="C2996" s="2" t="inlineStr">
        <is>
          <t>183490</t>
        </is>
      </c>
      <c r="D2996" s="2" t="inlineStr">
        <is>
          <t>대량보유</t>
        </is>
      </c>
      <c r="E2996" s="3" t="inlineStr">
        <is>
          <t>홍양재</t>
        </is>
      </c>
      <c r="F2996" s="3" t="inlineStr">
        <is>
          <t>특별관계자</t>
        </is>
      </c>
      <c r="G2996" s="3" t="inlineStr">
        <is>
          <t>신규보고(+)</t>
        </is>
      </c>
      <c r="H2996" s="6" t="inlineStr"/>
      <c r="I2996" s="6" t="inlineStr"/>
      <c r="J2996" s="6" t="n">
        <v>3144</v>
      </c>
      <c r="K2996" s="16" t="n">
        <v>5.98</v>
      </c>
      <c r="L2996" s="2" t="inlineStr">
        <is>
          <t>20260605000189</t>
        </is>
      </c>
      <c r="M2996" s="8">
        <f>HYPERLINK("https://dart.fss.or.kr/dsaf001/main.do?rcpNo=20260605000189", "공시열람")</f>
        <v/>
      </c>
    </row>
    <row r="2997" ht="22" customHeight="1">
      <c r="A2997" s="2" t="inlineStr">
        <is>
          <t>2026-06-05</t>
        </is>
      </c>
      <c r="B2997" s="3" t="inlineStr">
        <is>
          <t>엔지켐생명과학</t>
        </is>
      </c>
      <c r="C2997" s="2" t="inlineStr">
        <is>
          <t>183490</t>
        </is>
      </c>
      <c r="D2997" s="2" t="inlineStr">
        <is>
          <t>대량보유</t>
        </is>
      </c>
      <c r="E2997" s="3" t="inlineStr">
        <is>
          <t>송영현</t>
        </is>
      </c>
      <c r="F2997" s="3" t="inlineStr">
        <is>
          <t>특별관계자</t>
        </is>
      </c>
      <c r="G2997" s="3" t="inlineStr">
        <is>
          <t>신규보고(+)</t>
        </is>
      </c>
      <c r="H2997" s="6" t="inlineStr"/>
      <c r="I2997" s="6" t="inlineStr"/>
      <c r="J2997" s="6" t="n">
        <v>24810</v>
      </c>
      <c r="K2997" s="16" t="n">
        <v>5.98</v>
      </c>
      <c r="L2997" s="2" t="inlineStr">
        <is>
          <t>20260605000189</t>
        </is>
      </c>
      <c r="M2997" s="8">
        <f>HYPERLINK("https://dart.fss.or.kr/dsaf001/main.do?rcpNo=20260605000189", "공시열람")</f>
        <v/>
      </c>
    </row>
    <row r="2998" ht="22" customHeight="1">
      <c r="A2998" s="2" t="inlineStr">
        <is>
          <t>2026-06-05</t>
        </is>
      </c>
      <c r="B2998" s="3" t="inlineStr">
        <is>
          <t>엔지켐생명과학</t>
        </is>
      </c>
      <c r="C2998" s="2" t="inlineStr">
        <is>
          <t>183490</t>
        </is>
      </c>
      <c r="D2998" s="2" t="inlineStr">
        <is>
          <t>대량보유</t>
        </is>
      </c>
      <c r="E2998" s="3" t="inlineStr">
        <is>
          <t>이아영</t>
        </is>
      </c>
      <c r="F2998" s="3" t="inlineStr">
        <is>
          <t>특별관계자</t>
        </is>
      </c>
      <c r="G2998" s="3" t="inlineStr">
        <is>
          <t>신규보고(+)</t>
        </is>
      </c>
      <c r="H2998" s="6" t="inlineStr"/>
      <c r="I2998" s="6" t="inlineStr"/>
      <c r="J2998" s="6" t="n">
        <v>4710</v>
      </c>
      <c r="K2998" s="16" t="n">
        <v>5.98</v>
      </c>
      <c r="L2998" s="2" t="inlineStr">
        <is>
          <t>20260605000189</t>
        </is>
      </c>
      <c r="M2998" s="8">
        <f>HYPERLINK("https://dart.fss.or.kr/dsaf001/main.do?rcpNo=20260605000189", "공시열람")</f>
        <v/>
      </c>
    </row>
    <row r="2999" ht="22" customHeight="1">
      <c r="A2999" s="2" t="inlineStr">
        <is>
          <t>2026-06-05</t>
        </is>
      </c>
      <c r="B2999" s="3" t="inlineStr">
        <is>
          <t>엔지켐생명과학</t>
        </is>
      </c>
      <c r="C2999" s="2" t="inlineStr">
        <is>
          <t>183490</t>
        </is>
      </c>
      <c r="D2999" s="2" t="inlineStr">
        <is>
          <t>대량보유</t>
        </is>
      </c>
      <c r="E2999" s="3" t="inlineStr">
        <is>
          <t>이언호</t>
        </is>
      </c>
      <c r="F2999" s="3" t="inlineStr">
        <is>
          <t>특별관계자</t>
        </is>
      </c>
      <c r="G2999" s="3" t="inlineStr">
        <is>
          <t>신규보고(+)</t>
        </is>
      </c>
      <c r="H2999" s="6" t="inlineStr"/>
      <c r="I2999" s="6" t="inlineStr"/>
      <c r="J2999" s="6" t="n">
        <v>1100</v>
      </c>
      <c r="K2999" s="16" t="n">
        <v>5.98</v>
      </c>
      <c r="L2999" s="2" t="inlineStr">
        <is>
          <t>20260605000189</t>
        </is>
      </c>
      <c r="M2999" s="8">
        <f>HYPERLINK("https://dart.fss.or.kr/dsaf001/main.do?rcpNo=20260605000189", "공시열람")</f>
        <v/>
      </c>
    </row>
    <row r="3000" ht="22" customHeight="1">
      <c r="A3000" s="2" t="inlineStr">
        <is>
          <t>2026-06-05</t>
        </is>
      </c>
      <c r="B3000" s="3" t="inlineStr">
        <is>
          <t>엔지켐생명과학</t>
        </is>
      </c>
      <c r="C3000" s="2" t="inlineStr">
        <is>
          <t>183490</t>
        </is>
      </c>
      <c r="D3000" s="2" t="inlineStr">
        <is>
          <t>대량보유</t>
        </is>
      </c>
      <c r="E3000" s="3" t="inlineStr">
        <is>
          <t>이미의</t>
        </is>
      </c>
      <c r="F3000" s="3" t="inlineStr">
        <is>
          <t>특별관계자</t>
        </is>
      </c>
      <c r="G3000" s="3" t="inlineStr">
        <is>
          <t>신규보고(+)</t>
        </is>
      </c>
      <c r="H3000" s="6" t="inlineStr"/>
      <c r="I3000" s="6" t="inlineStr"/>
      <c r="J3000" s="6" t="n">
        <v>14700</v>
      </c>
      <c r="K3000" s="16" t="n">
        <v>5.98</v>
      </c>
      <c r="L3000" s="2" t="inlineStr">
        <is>
          <t>20260605000189</t>
        </is>
      </c>
      <c r="M3000" s="8">
        <f>HYPERLINK("https://dart.fss.or.kr/dsaf001/main.do?rcpNo=20260605000189", "공시열람")</f>
        <v/>
      </c>
    </row>
    <row r="3001" ht="22" customHeight="1">
      <c r="A3001" s="2" t="inlineStr">
        <is>
          <t>2026-06-05</t>
        </is>
      </c>
      <c r="B3001" s="3" t="inlineStr">
        <is>
          <t>엔지켐생명과학</t>
        </is>
      </c>
      <c r="C3001" s="2" t="inlineStr">
        <is>
          <t>183490</t>
        </is>
      </c>
      <c r="D3001" s="2" t="inlineStr">
        <is>
          <t>대량보유</t>
        </is>
      </c>
      <c r="E3001" s="3" t="inlineStr">
        <is>
          <t>유흥주</t>
        </is>
      </c>
      <c r="F3001" s="3" t="inlineStr">
        <is>
          <t>특별관계자</t>
        </is>
      </c>
      <c r="G3001" s="3" t="inlineStr">
        <is>
          <t>신규보고(+)</t>
        </is>
      </c>
      <c r="H3001" s="6" t="inlineStr"/>
      <c r="I3001" s="6" t="inlineStr"/>
      <c r="J3001" s="6" t="n">
        <v>62001</v>
      </c>
      <c r="K3001" s="16" t="n">
        <v>5.98</v>
      </c>
      <c r="L3001" s="2" t="inlineStr">
        <is>
          <t>20260605000189</t>
        </is>
      </c>
      <c r="M3001" s="8">
        <f>HYPERLINK("https://dart.fss.or.kr/dsaf001/main.do?rcpNo=20260605000189", "공시열람")</f>
        <v/>
      </c>
    </row>
    <row r="3002" ht="22" customHeight="1">
      <c r="A3002" s="2" t="inlineStr">
        <is>
          <t>2026-06-05</t>
        </is>
      </c>
      <c r="B3002" s="3" t="inlineStr">
        <is>
          <t>엔지켐생명과학</t>
        </is>
      </c>
      <c r="C3002" s="2" t="inlineStr">
        <is>
          <t>183490</t>
        </is>
      </c>
      <c r="D3002" s="2" t="inlineStr">
        <is>
          <t>대량보유</t>
        </is>
      </c>
      <c r="E3002" s="3" t="inlineStr">
        <is>
          <t>박재은</t>
        </is>
      </c>
      <c r="F3002" s="3" t="inlineStr">
        <is>
          <t>특별관계자</t>
        </is>
      </c>
      <c r="G3002" s="3" t="inlineStr">
        <is>
          <t>신규보고(+)</t>
        </is>
      </c>
      <c r="H3002" s="6" t="inlineStr"/>
      <c r="I3002" s="6" t="inlineStr"/>
      <c r="J3002" s="6" t="n">
        <v>33329</v>
      </c>
      <c r="K3002" s="16" t="n">
        <v>5.98</v>
      </c>
      <c r="L3002" s="2" t="inlineStr">
        <is>
          <t>20260605000189</t>
        </is>
      </c>
      <c r="M3002" s="8">
        <f>HYPERLINK("https://dart.fss.or.kr/dsaf001/main.do?rcpNo=20260605000189", "공시열람")</f>
        <v/>
      </c>
    </row>
    <row r="3003" ht="22" customHeight="1">
      <c r="A3003" s="2" t="inlineStr">
        <is>
          <t>2026-06-05</t>
        </is>
      </c>
      <c r="B3003" s="3" t="inlineStr">
        <is>
          <t>엔지켐생명과학</t>
        </is>
      </c>
      <c r="C3003" s="2" t="inlineStr">
        <is>
          <t>183490</t>
        </is>
      </c>
      <c r="D3003" s="2" t="inlineStr">
        <is>
          <t>대량보유</t>
        </is>
      </c>
      <c r="E3003" s="3" t="inlineStr">
        <is>
          <t>유홍선</t>
        </is>
      </c>
      <c r="F3003" s="3" t="inlineStr">
        <is>
          <t>특별관계자</t>
        </is>
      </c>
      <c r="G3003" s="3" t="inlineStr">
        <is>
          <t>신규보고(+)</t>
        </is>
      </c>
      <c r="H3003" s="6" t="inlineStr"/>
      <c r="I3003" s="6" t="inlineStr"/>
      <c r="J3003" s="6" t="n">
        <v>1068</v>
      </c>
      <c r="K3003" s="16" t="n">
        <v>5.98</v>
      </c>
      <c r="L3003" s="2" t="inlineStr">
        <is>
          <t>20260605000189</t>
        </is>
      </c>
      <c r="M3003" s="8">
        <f>HYPERLINK("https://dart.fss.or.kr/dsaf001/main.do?rcpNo=20260605000189", "공시열람")</f>
        <v/>
      </c>
    </row>
    <row r="3004" ht="22" customHeight="1">
      <c r="A3004" s="2" t="inlineStr">
        <is>
          <t>2026-06-05</t>
        </is>
      </c>
      <c r="B3004" s="3" t="inlineStr">
        <is>
          <t>엔지켐생명과학</t>
        </is>
      </c>
      <c r="C3004" s="2" t="inlineStr">
        <is>
          <t>183490</t>
        </is>
      </c>
      <c r="D3004" s="2" t="inlineStr">
        <is>
          <t>대량보유</t>
        </is>
      </c>
      <c r="E3004" s="3" t="inlineStr">
        <is>
          <t>이재우</t>
        </is>
      </c>
      <c r="F3004" s="3" t="inlineStr">
        <is>
          <t>특별관계자</t>
        </is>
      </c>
      <c r="G3004" s="3" t="inlineStr">
        <is>
          <t>신규보고(+)</t>
        </is>
      </c>
      <c r="H3004" s="6" t="inlineStr"/>
      <c r="I3004" s="6" t="inlineStr"/>
      <c r="J3004" s="6" t="n">
        <v>5021</v>
      </c>
      <c r="K3004" s="16" t="n">
        <v>5.98</v>
      </c>
      <c r="L3004" s="2" t="inlineStr">
        <is>
          <t>20260605000189</t>
        </is>
      </c>
      <c r="M3004" s="8">
        <f>HYPERLINK("https://dart.fss.or.kr/dsaf001/main.do?rcpNo=20260605000189", "공시열람")</f>
        <v/>
      </c>
    </row>
    <row r="3005" ht="22" customHeight="1">
      <c r="A3005" s="2" t="inlineStr">
        <is>
          <t>2026-06-05</t>
        </is>
      </c>
      <c r="B3005" s="3" t="inlineStr">
        <is>
          <t>엔지켐생명과학</t>
        </is>
      </c>
      <c r="C3005" s="2" t="inlineStr">
        <is>
          <t>183490</t>
        </is>
      </c>
      <c r="D3005" s="2" t="inlineStr">
        <is>
          <t>대량보유</t>
        </is>
      </c>
      <c r="E3005" s="3" t="inlineStr">
        <is>
          <t>남언식</t>
        </is>
      </c>
      <c r="F3005" s="3" t="inlineStr">
        <is>
          <t>특별관계자</t>
        </is>
      </c>
      <c r="G3005" s="3" t="inlineStr">
        <is>
          <t>신규보고(+)</t>
        </is>
      </c>
      <c r="H3005" s="6" t="inlineStr"/>
      <c r="I3005" s="6" t="inlineStr"/>
      <c r="J3005" s="6" t="n">
        <v>7913</v>
      </c>
      <c r="K3005" s="16" t="n">
        <v>5.98</v>
      </c>
      <c r="L3005" s="2" t="inlineStr">
        <is>
          <t>20260605000189</t>
        </is>
      </c>
      <c r="M3005" s="8">
        <f>HYPERLINK("https://dart.fss.or.kr/dsaf001/main.do?rcpNo=20260605000189", "공시열람")</f>
        <v/>
      </c>
    </row>
    <row r="3006" ht="22" customHeight="1">
      <c r="A3006" s="2" t="inlineStr">
        <is>
          <t>2026-06-05</t>
        </is>
      </c>
      <c r="B3006" s="3" t="inlineStr">
        <is>
          <t>엔지켐생명과학</t>
        </is>
      </c>
      <c r="C3006" s="2" t="inlineStr">
        <is>
          <t>183490</t>
        </is>
      </c>
      <c r="D3006" s="2" t="inlineStr">
        <is>
          <t>대량보유</t>
        </is>
      </c>
      <c r="E3006" s="3" t="inlineStr">
        <is>
          <t>김재현</t>
        </is>
      </c>
      <c r="F3006" s="3" t="inlineStr">
        <is>
          <t>특별관계자</t>
        </is>
      </c>
      <c r="G3006" s="3" t="inlineStr">
        <is>
          <t>신규보고(+)</t>
        </is>
      </c>
      <c r="H3006" s="6" t="inlineStr"/>
      <c r="I3006" s="6" t="inlineStr"/>
      <c r="J3006" s="6" t="n">
        <v>2000</v>
      </c>
      <c r="K3006" s="16" t="n">
        <v>5.98</v>
      </c>
      <c r="L3006" s="2" t="inlineStr">
        <is>
          <t>20260605000189</t>
        </is>
      </c>
      <c r="M3006" s="8">
        <f>HYPERLINK("https://dart.fss.or.kr/dsaf001/main.do?rcpNo=20260605000189", "공시열람")</f>
        <v/>
      </c>
    </row>
    <row r="3007" ht="22" customHeight="1">
      <c r="A3007" s="2" t="inlineStr">
        <is>
          <t>2026-06-05</t>
        </is>
      </c>
      <c r="B3007" s="3" t="inlineStr">
        <is>
          <t>엔지켐생명과학</t>
        </is>
      </c>
      <c r="C3007" s="2" t="inlineStr">
        <is>
          <t>183490</t>
        </is>
      </c>
      <c r="D3007" s="2" t="inlineStr">
        <is>
          <t>대량보유</t>
        </is>
      </c>
      <c r="E3007" s="3" t="inlineStr">
        <is>
          <t>윤재호</t>
        </is>
      </c>
      <c r="F3007" s="3" t="inlineStr">
        <is>
          <t>특별관계자</t>
        </is>
      </c>
      <c r="G3007" s="3" t="inlineStr">
        <is>
          <t>신규보고(+)</t>
        </is>
      </c>
      <c r="H3007" s="6" t="inlineStr"/>
      <c r="I3007" s="6" t="inlineStr"/>
      <c r="J3007" s="6" t="n">
        <v>16352</v>
      </c>
      <c r="K3007" s="16" t="n">
        <v>5.98</v>
      </c>
      <c r="L3007" s="2" t="inlineStr">
        <is>
          <t>20260605000189</t>
        </is>
      </c>
      <c r="M3007" s="8">
        <f>HYPERLINK("https://dart.fss.or.kr/dsaf001/main.do?rcpNo=20260605000189", "공시열람")</f>
        <v/>
      </c>
    </row>
    <row r="3008" ht="22" customHeight="1">
      <c r="A3008" s="2" t="inlineStr">
        <is>
          <t>2026-06-05</t>
        </is>
      </c>
      <c r="B3008" s="3" t="inlineStr">
        <is>
          <t>엔지켐생명과학</t>
        </is>
      </c>
      <c r="C3008" s="2" t="inlineStr">
        <is>
          <t>183490</t>
        </is>
      </c>
      <c r="D3008" s="2" t="inlineStr">
        <is>
          <t>대량보유</t>
        </is>
      </c>
      <c r="E3008" s="3" t="inlineStr">
        <is>
          <t>박현준</t>
        </is>
      </c>
      <c r="F3008" s="3" t="inlineStr">
        <is>
          <t>특별관계자</t>
        </is>
      </c>
      <c r="G3008" s="3" t="inlineStr">
        <is>
          <t>신규보고(+)</t>
        </is>
      </c>
      <c r="H3008" s="6" t="inlineStr"/>
      <c r="I3008" s="6" t="inlineStr"/>
      <c r="J3008" s="6" t="n">
        <v>19981</v>
      </c>
      <c r="K3008" s="16" t="n">
        <v>5.98</v>
      </c>
      <c r="L3008" s="2" t="inlineStr">
        <is>
          <t>20260605000189</t>
        </is>
      </c>
      <c r="M3008" s="8">
        <f>HYPERLINK("https://dart.fss.or.kr/dsaf001/main.do?rcpNo=20260605000189", "공시열람")</f>
        <v/>
      </c>
    </row>
    <row r="3009" ht="22" customHeight="1">
      <c r="A3009" s="2" t="inlineStr">
        <is>
          <t>2026-06-05</t>
        </is>
      </c>
      <c r="B3009" s="3" t="inlineStr">
        <is>
          <t>엔지켐생명과학</t>
        </is>
      </c>
      <c r="C3009" s="2" t="inlineStr">
        <is>
          <t>183490</t>
        </is>
      </c>
      <c r="D3009" s="2" t="inlineStr">
        <is>
          <t>대량보유</t>
        </is>
      </c>
      <c r="E3009" s="3" t="inlineStr">
        <is>
          <t>최환섭</t>
        </is>
      </c>
      <c r="F3009" s="3" t="inlineStr">
        <is>
          <t>특별관계자</t>
        </is>
      </c>
      <c r="G3009" s="3" t="inlineStr">
        <is>
          <t>신규보고(+)</t>
        </is>
      </c>
      <c r="H3009" s="6" t="inlineStr"/>
      <c r="I3009" s="6" t="inlineStr"/>
      <c r="J3009" s="6" t="n">
        <v>16212</v>
      </c>
      <c r="K3009" s="16" t="n">
        <v>5.98</v>
      </c>
      <c r="L3009" s="2" t="inlineStr">
        <is>
          <t>20260605000189</t>
        </is>
      </c>
      <c r="M3009" s="8">
        <f>HYPERLINK("https://dart.fss.or.kr/dsaf001/main.do?rcpNo=20260605000189", "공시열람")</f>
        <v/>
      </c>
    </row>
    <row r="3010" ht="22" customHeight="1">
      <c r="A3010" s="2" t="inlineStr">
        <is>
          <t>2026-06-05</t>
        </is>
      </c>
      <c r="B3010" s="3" t="inlineStr">
        <is>
          <t>엔지켐생명과학</t>
        </is>
      </c>
      <c r="C3010" s="2" t="inlineStr">
        <is>
          <t>183490</t>
        </is>
      </c>
      <c r="D3010" s="2" t="inlineStr">
        <is>
          <t>대량보유</t>
        </is>
      </c>
      <c r="E3010" s="3" t="inlineStr">
        <is>
          <t>이미림</t>
        </is>
      </c>
      <c r="F3010" s="3" t="inlineStr">
        <is>
          <t>특별관계자</t>
        </is>
      </c>
      <c r="G3010" s="3" t="inlineStr">
        <is>
          <t>신규보고(+)</t>
        </is>
      </c>
      <c r="H3010" s="6" t="inlineStr"/>
      <c r="I3010" s="6" t="inlineStr"/>
      <c r="J3010" s="6" t="n">
        <v>7900</v>
      </c>
      <c r="K3010" s="16" t="n">
        <v>5.98</v>
      </c>
      <c r="L3010" s="2" t="inlineStr">
        <is>
          <t>20260605000189</t>
        </is>
      </c>
      <c r="M3010" s="8">
        <f>HYPERLINK("https://dart.fss.or.kr/dsaf001/main.do?rcpNo=20260605000189", "공시열람")</f>
        <v/>
      </c>
    </row>
    <row r="3011" ht="22" customHeight="1">
      <c r="A3011" s="2" t="inlineStr">
        <is>
          <t>2026-06-05</t>
        </is>
      </c>
      <c r="B3011" s="3" t="inlineStr">
        <is>
          <t>엔지켐생명과학</t>
        </is>
      </c>
      <c r="C3011" s="2" t="inlineStr">
        <is>
          <t>183490</t>
        </is>
      </c>
      <c r="D3011" s="2" t="inlineStr">
        <is>
          <t>대량보유</t>
        </is>
      </c>
      <c r="E3011" s="3" t="inlineStr">
        <is>
          <t>채병오</t>
        </is>
      </c>
      <c r="F3011" s="3" t="inlineStr">
        <is>
          <t>특별관계자</t>
        </is>
      </c>
      <c r="G3011" s="3" t="inlineStr">
        <is>
          <t>신규보고(+)</t>
        </is>
      </c>
      <c r="H3011" s="6" t="inlineStr"/>
      <c r="I3011" s="6" t="inlineStr"/>
      <c r="J3011" s="6" t="n">
        <v>93500</v>
      </c>
      <c r="K3011" s="16" t="n">
        <v>5.98</v>
      </c>
      <c r="L3011" s="2" t="inlineStr">
        <is>
          <t>20260605000189</t>
        </is>
      </c>
      <c r="M3011" s="8">
        <f>HYPERLINK("https://dart.fss.or.kr/dsaf001/main.do?rcpNo=20260605000189", "공시열람")</f>
        <v/>
      </c>
    </row>
    <row r="3012" ht="22" customHeight="1">
      <c r="A3012" s="2" t="inlineStr">
        <is>
          <t>2026-06-05</t>
        </is>
      </c>
      <c r="B3012" s="3" t="inlineStr">
        <is>
          <t>엔지켐생명과학</t>
        </is>
      </c>
      <c r="C3012" s="2" t="inlineStr">
        <is>
          <t>183490</t>
        </is>
      </c>
      <c r="D3012" s="2" t="inlineStr">
        <is>
          <t>대량보유</t>
        </is>
      </c>
      <c r="E3012" s="3" t="inlineStr">
        <is>
          <t>이현휘</t>
        </is>
      </c>
      <c r="F3012" s="3" t="inlineStr">
        <is>
          <t>특별관계자</t>
        </is>
      </c>
      <c r="G3012" s="3" t="inlineStr">
        <is>
          <t>신규보고(+)</t>
        </is>
      </c>
      <c r="H3012" s="6" t="inlineStr"/>
      <c r="I3012" s="6" t="inlineStr"/>
      <c r="J3012" s="6" t="n">
        <v>34714</v>
      </c>
      <c r="K3012" s="16" t="n">
        <v>5.98</v>
      </c>
      <c r="L3012" s="2" t="inlineStr">
        <is>
          <t>20260605000189</t>
        </is>
      </c>
      <c r="M3012" s="8">
        <f>HYPERLINK("https://dart.fss.or.kr/dsaf001/main.do?rcpNo=20260605000189", "공시열람")</f>
        <v/>
      </c>
    </row>
    <row r="3013" ht="22" customHeight="1">
      <c r="A3013" s="2" t="inlineStr">
        <is>
          <t>2026-06-05</t>
        </is>
      </c>
      <c r="B3013" s="3" t="inlineStr">
        <is>
          <t>엔지켐생명과학</t>
        </is>
      </c>
      <c r="C3013" s="2" t="inlineStr">
        <is>
          <t>183490</t>
        </is>
      </c>
      <c r="D3013" s="2" t="inlineStr">
        <is>
          <t>대량보유</t>
        </is>
      </c>
      <c r="E3013" s="3" t="inlineStr">
        <is>
          <t>김지연</t>
        </is>
      </c>
      <c r="F3013" s="3" t="inlineStr">
        <is>
          <t>특별관계자</t>
        </is>
      </c>
      <c r="G3013" s="3" t="inlineStr">
        <is>
          <t>신규보고(+)</t>
        </is>
      </c>
      <c r="H3013" s="6" t="inlineStr"/>
      <c r="I3013" s="6" t="inlineStr"/>
      <c r="J3013" s="6" t="n">
        <v>672</v>
      </c>
      <c r="K3013" s="16" t="n">
        <v>5.98</v>
      </c>
      <c r="L3013" s="2" t="inlineStr">
        <is>
          <t>20260605000189</t>
        </is>
      </c>
      <c r="M3013" s="8">
        <f>HYPERLINK("https://dart.fss.or.kr/dsaf001/main.do?rcpNo=20260605000189", "공시열람")</f>
        <v/>
      </c>
    </row>
    <row r="3014" ht="22" customHeight="1">
      <c r="A3014" s="2" t="inlineStr">
        <is>
          <t>2026-06-05</t>
        </is>
      </c>
      <c r="B3014" s="3" t="inlineStr">
        <is>
          <t>엔지켐생명과학</t>
        </is>
      </c>
      <c r="C3014" s="2" t="inlineStr">
        <is>
          <t>183490</t>
        </is>
      </c>
      <c r="D3014" s="2" t="inlineStr">
        <is>
          <t>대량보유</t>
        </is>
      </c>
      <c r="E3014" s="3" t="inlineStr">
        <is>
          <t>이용실</t>
        </is>
      </c>
      <c r="F3014" s="3" t="inlineStr">
        <is>
          <t>특별관계자</t>
        </is>
      </c>
      <c r="G3014" s="3" t="inlineStr">
        <is>
          <t>신규보고(+)</t>
        </is>
      </c>
      <c r="H3014" s="6" t="inlineStr"/>
      <c r="I3014" s="6" t="inlineStr"/>
      <c r="J3014" s="6" t="n">
        <v>11071</v>
      </c>
      <c r="K3014" s="16" t="n">
        <v>5.98</v>
      </c>
      <c r="L3014" s="2" t="inlineStr">
        <is>
          <t>20260605000189</t>
        </is>
      </c>
      <c r="M3014" s="8">
        <f>HYPERLINK("https://dart.fss.or.kr/dsaf001/main.do?rcpNo=20260605000189", "공시열람")</f>
        <v/>
      </c>
    </row>
    <row r="3015" ht="22" customHeight="1">
      <c r="A3015" s="2" t="inlineStr">
        <is>
          <t>2026-06-05</t>
        </is>
      </c>
      <c r="B3015" s="3" t="inlineStr">
        <is>
          <t>엔지켐생명과학</t>
        </is>
      </c>
      <c r="C3015" s="2" t="inlineStr">
        <is>
          <t>183490</t>
        </is>
      </c>
      <c r="D3015" s="2" t="inlineStr">
        <is>
          <t>대량보유</t>
        </is>
      </c>
      <c r="E3015" s="3" t="inlineStr">
        <is>
          <t>이인의</t>
        </is>
      </c>
      <c r="F3015" s="3" t="inlineStr">
        <is>
          <t>특별관계자</t>
        </is>
      </c>
      <c r="G3015" s="3" t="inlineStr">
        <is>
          <t>신규보고(+)</t>
        </is>
      </c>
      <c r="H3015" s="6" t="inlineStr"/>
      <c r="I3015" s="6" t="inlineStr"/>
      <c r="J3015" s="6" t="n">
        <v>11218</v>
      </c>
      <c r="K3015" s="16" t="n">
        <v>5.98</v>
      </c>
      <c r="L3015" s="2" t="inlineStr">
        <is>
          <t>20260605000189</t>
        </is>
      </c>
      <c r="M3015" s="8">
        <f>HYPERLINK("https://dart.fss.or.kr/dsaf001/main.do?rcpNo=20260605000189", "공시열람")</f>
        <v/>
      </c>
    </row>
    <row r="3016" ht="22" customHeight="1">
      <c r="A3016" s="2" t="inlineStr">
        <is>
          <t>2026-06-05</t>
        </is>
      </c>
      <c r="B3016" s="3" t="inlineStr">
        <is>
          <t>엔지켐생명과학</t>
        </is>
      </c>
      <c r="C3016" s="2" t="inlineStr">
        <is>
          <t>183490</t>
        </is>
      </c>
      <c r="D3016" s="2" t="inlineStr">
        <is>
          <t>대량보유</t>
        </is>
      </c>
      <c r="E3016" s="3" t="inlineStr">
        <is>
          <t>이덕연</t>
        </is>
      </c>
      <c r="F3016" s="3" t="inlineStr">
        <is>
          <t>특별관계자</t>
        </is>
      </c>
      <c r="G3016" s="3" t="inlineStr">
        <is>
          <t>신규보고(+)</t>
        </is>
      </c>
      <c r="H3016" s="6" t="inlineStr"/>
      <c r="I3016" s="6" t="inlineStr"/>
      <c r="J3016" s="6" t="n">
        <v>300</v>
      </c>
      <c r="K3016" s="16" t="n">
        <v>5.98</v>
      </c>
      <c r="L3016" s="2" t="inlineStr">
        <is>
          <t>20260605000189</t>
        </is>
      </c>
      <c r="M3016" s="8">
        <f>HYPERLINK("https://dart.fss.or.kr/dsaf001/main.do?rcpNo=20260605000189", "공시열람")</f>
        <v/>
      </c>
    </row>
    <row r="3017" ht="22" customHeight="1">
      <c r="A3017" s="2" t="inlineStr">
        <is>
          <t>2026-06-05</t>
        </is>
      </c>
      <c r="B3017" s="3" t="inlineStr">
        <is>
          <t>엔지켐생명과학</t>
        </is>
      </c>
      <c r="C3017" s="2" t="inlineStr">
        <is>
          <t>183490</t>
        </is>
      </c>
      <c r="D3017" s="2" t="inlineStr">
        <is>
          <t>대량보유</t>
        </is>
      </c>
      <c r="E3017" s="3" t="inlineStr">
        <is>
          <t>목진석</t>
        </is>
      </c>
      <c r="F3017" s="3" t="inlineStr">
        <is>
          <t>특별관계자</t>
        </is>
      </c>
      <c r="G3017" s="3" t="inlineStr">
        <is>
          <t>신규보고(+)</t>
        </is>
      </c>
      <c r="H3017" s="6" t="inlineStr"/>
      <c r="I3017" s="6" t="inlineStr"/>
      <c r="J3017" s="6" t="n">
        <v>40000</v>
      </c>
      <c r="K3017" s="16" t="n">
        <v>5.98</v>
      </c>
      <c r="L3017" s="2" t="inlineStr">
        <is>
          <t>20260605000189</t>
        </is>
      </c>
      <c r="M3017" s="8">
        <f>HYPERLINK("https://dart.fss.or.kr/dsaf001/main.do?rcpNo=20260605000189", "공시열람")</f>
        <v/>
      </c>
    </row>
    <row r="3018" ht="22" customHeight="1">
      <c r="A3018" s="2" t="inlineStr">
        <is>
          <t>2026-06-05</t>
        </is>
      </c>
      <c r="B3018" s="3" t="inlineStr">
        <is>
          <t>엔지켐생명과학</t>
        </is>
      </c>
      <c r="C3018" s="2" t="inlineStr">
        <is>
          <t>183490</t>
        </is>
      </c>
      <c r="D3018" s="2" t="inlineStr">
        <is>
          <t>대량보유</t>
        </is>
      </c>
      <c r="E3018" s="3" t="inlineStr">
        <is>
          <t>임선아</t>
        </is>
      </c>
      <c r="F3018" s="3" t="inlineStr">
        <is>
          <t>특별관계자</t>
        </is>
      </c>
      <c r="G3018" s="3" t="inlineStr">
        <is>
          <t>신규보고(+)</t>
        </is>
      </c>
      <c r="H3018" s="6" t="inlineStr"/>
      <c r="I3018" s="6" t="inlineStr"/>
      <c r="J3018" s="6" t="n">
        <v>12760</v>
      </c>
      <c r="K3018" s="16" t="n">
        <v>5.98</v>
      </c>
      <c r="L3018" s="2" t="inlineStr">
        <is>
          <t>20260605000189</t>
        </is>
      </c>
      <c r="M3018" s="8">
        <f>HYPERLINK("https://dart.fss.or.kr/dsaf001/main.do?rcpNo=20260605000189", "공시열람")</f>
        <v/>
      </c>
    </row>
    <row r="3019" ht="22" customHeight="1">
      <c r="A3019" s="2" t="inlineStr">
        <is>
          <t>2026-06-05</t>
        </is>
      </c>
      <c r="B3019" s="3" t="inlineStr">
        <is>
          <t>엔지켐생명과학</t>
        </is>
      </c>
      <c r="C3019" s="2" t="inlineStr">
        <is>
          <t>183490</t>
        </is>
      </c>
      <c r="D3019" s="2" t="inlineStr">
        <is>
          <t>대량보유</t>
        </is>
      </c>
      <c r="E3019" s="3" t="inlineStr">
        <is>
          <t>오지연</t>
        </is>
      </c>
      <c r="F3019" s="3" t="inlineStr">
        <is>
          <t>특별관계자</t>
        </is>
      </c>
      <c r="G3019" s="3" t="inlineStr">
        <is>
          <t>신규보고(+)</t>
        </is>
      </c>
      <c r="H3019" s="6" t="inlineStr"/>
      <c r="I3019" s="6" t="inlineStr"/>
      <c r="J3019" s="6" t="n">
        <v>3267</v>
      </c>
      <c r="K3019" s="16" t="n">
        <v>5.98</v>
      </c>
      <c r="L3019" s="2" t="inlineStr">
        <is>
          <t>20260605000189</t>
        </is>
      </c>
      <c r="M3019" s="8">
        <f>HYPERLINK("https://dart.fss.or.kr/dsaf001/main.do?rcpNo=20260605000189", "공시열람")</f>
        <v/>
      </c>
    </row>
    <row r="3020" ht="22" customHeight="1">
      <c r="A3020" s="2" t="inlineStr">
        <is>
          <t>2026-06-05</t>
        </is>
      </c>
      <c r="B3020" s="3" t="inlineStr">
        <is>
          <t>엔지켐생명과학</t>
        </is>
      </c>
      <c r="C3020" s="2" t="inlineStr">
        <is>
          <t>183490</t>
        </is>
      </c>
      <c r="D3020" s="2" t="inlineStr">
        <is>
          <t>대량보유</t>
        </is>
      </c>
      <c r="E3020" s="3" t="inlineStr">
        <is>
          <t>김순옥</t>
        </is>
      </c>
      <c r="F3020" s="3" t="inlineStr">
        <is>
          <t>특별관계자</t>
        </is>
      </c>
      <c r="G3020" s="3" t="inlineStr">
        <is>
          <t>신규보고(+)</t>
        </is>
      </c>
      <c r="H3020" s="6" t="inlineStr"/>
      <c r="I3020" s="6" t="inlineStr"/>
      <c r="J3020" s="6" t="n">
        <v>68</v>
      </c>
      <c r="K3020" s="16" t="n">
        <v>5.98</v>
      </c>
      <c r="L3020" s="2" t="inlineStr">
        <is>
          <t>20260605000189</t>
        </is>
      </c>
      <c r="M3020" s="8">
        <f>HYPERLINK("https://dart.fss.or.kr/dsaf001/main.do?rcpNo=20260605000189", "공시열람")</f>
        <v/>
      </c>
    </row>
    <row r="3021" ht="22" customHeight="1">
      <c r="A3021" s="2" t="inlineStr">
        <is>
          <t>2026-06-05</t>
        </is>
      </c>
      <c r="B3021" s="3" t="inlineStr">
        <is>
          <t>엔지켐생명과학</t>
        </is>
      </c>
      <c r="C3021" s="2" t="inlineStr">
        <is>
          <t>183490</t>
        </is>
      </c>
      <c r="D3021" s="2" t="inlineStr">
        <is>
          <t>대량보유</t>
        </is>
      </c>
      <c r="E3021" s="3" t="inlineStr">
        <is>
          <t>김희식</t>
        </is>
      </c>
      <c r="F3021" s="3" t="inlineStr">
        <is>
          <t>특별관계자</t>
        </is>
      </c>
      <c r="G3021" s="3" t="inlineStr">
        <is>
          <t>신규보고(+)</t>
        </is>
      </c>
      <c r="H3021" s="6" t="inlineStr"/>
      <c r="I3021" s="6" t="inlineStr"/>
      <c r="J3021" s="6" t="n">
        <v>7900</v>
      </c>
      <c r="K3021" s="16" t="n">
        <v>5.98</v>
      </c>
      <c r="L3021" s="2" t="inlineStr">
        <is>
          <t>20260605000189</t>
        </is>
      </c>
      <c r="M3021" s="8">
        <f>HYPERLINK("https://dart.fss.or.kr/dsaf001/main.do?rcpNo=20260605000189", "공시열람")</f>
        <v/>
      </c>
    </row>
    <row r="3022" ht="22" customHeight="1">
      <c r="A3022" s="2" t="inlineStr">
        <is>
          <t>2026-06-05</t>
        </is>
      </c>
      <c r="B3022" s="3" t="inlineStr">
        <is>
          <t>엔지켐생명과학</t>
        </is>
      </c>
      <c r="C3022" s="2" t="inlineStr">
        <is>
          <t>183490</t>
        </is>
      </c>
      <c r="D3022" s="2" t="inlineStr">
        <is>
          <t>대량보유</t>
        </is>
      </c>
      <c r="E3022" s="3" t="inlineStr">
        <is>
          <t>민병훈</t>
        </is>
      </c>
      <c r="F3022" s="3" t="inlineStr">
        <is>
          <t>특별관계자</t>
        </is>
      </c>
      <c r="G3022" s="3" t="inlineStr">
        <is>
          <t>신규보고(+)</t>
        </is>
      </c>
      <c r="H3022" s="6" t="inlineStr"/>
      <c r="I3022" s="6" t="inlineStr"/>
      <c r="J3022" s="6" t="n">
        <v>9358</v>
      </c>
      <c r="K3022" s="16" t="n">
        <v>5.98</v>
      </c>
      <c r="L3022" s="2" t="inlineStr">
        <is>
          <t>20260605000189</t>
        </is>
      </c>
      <c r="M3022" s="8">
        <f>HYPERLINK("https://dart.fss.or.kr/dsaf001/main.do?rcpNo=20260605000189", "공시열람")</f>
        <v/>
      </c>
    </row>
    <row r="3023" ht="22" customHeight="1">
      <c r="A3023" s="2" t="inlineStr">
        <is>
          <t>2026-06-05</t>
        </is>
      </c>
      <c r="B3023" s="3" t="inlineStr">
        <is>
          <t>엔지켐생명과학</t>
        </is>
      </c>
      <c r="C3023" s="2" t="inlineStr">
        <is>
          <t>183490</t>
        </is>
      </c>
      <c r="D3023" s="2" t="inlineStr">
        <is>
          <t>대량보유</t>
        </is>
      </c>
      <c r="E3023" s="3" t="inlineStr">
        <is>
          <t>이순이</t>
        </is>
      </c>
      <c r="F3023" s="3" t="inlineStr">
        <is>
          <t>특별관계자</t>
        </is>
      </c>
      <c r="G3023" s="3" t="inlineStr">
        <is>
          <t>신규보고(+)</t>
        </is>
      </c>
      <c r="H3023" s="6" t="inlineStr"/>
      <c r="I3023" s="6" t="inlineStr"/>
      <c r="J3023" s="6" t="n">
        <v>27195</v>
      </c>
      <c r="K3023" s="16" t="n">
        <v>5.98</v>
      </c>
      <c r="L3023" s="2" t="inlineStr">
        <is>
          <t>20260605000189</t>
        </is>
      </c>
      <c r="M3023" s="8">
        <f>HYPERLINK("https://dart.fss.or.kr/dsaf001/main.do?rcpNo=20260605000189", "공시열람")</f>
        <v/>
      </c>
    </row>
    <row r="3024" ht="22" customHeight="1">
      <c r="A3024" s="2" t="inlineStr">
        <is>
          <t>2026-06-05</t>
        </is>
      </c>
      <c r="B3024" s="3" t="inlineStr">
        <is>
          <t>엔지켐생명과학</t>
        </is>
      </c>
      <c r="C3024" s="2" t="inlineStr">
        <is>
          <t>183490</t>
        </is>
      </c>
      <c r="D3024" s="2" t="inlineStr">
        <is>
          <t>대량보유</t>
        </is>
      </c>
      <c r="E3024" s="3" t="inlineStr">
        <is>
          <t>강병조</t>
        </is>
      </c>
      <c r="F3024" s="3" t="inlineStr">
        <is>
          <t>특별관계자</t>
        </is>
      </c>
      <c r="G3024" s="3" t="inlineStr">
        <is>
          <t>신규보고(+)</t>
        </is>
      </c>
      <c r="H3024" s="6" t="inlineStr"/>
      <c r="I3024" s="6" t="inlineStr"/>
      <c r="J3024" s="6" t="n">
        <v>5000</v>
      </c>
      <c r="K3024" s="16" t="n">
        <v>5.98</v>
      </c>
      <c r="L3024" s="2" t="inlineStr">
        <is>
          <t>20260605000189</t>
        </is>
      </c>
      <c r="M3024" s="8">
        <f>HYPERLINK("https://dart.fss.or.kr/dsaf001/main.do?rcpNo=20260605000189", "공시열람")</f>
        <v/>
      </c>
    </row>
    <row r="3025" ht="22" customHeight="1">
      <c r="A3025" s="2" t="inlineStr">
        <is>
          <t>2026-06-05</t>
        </is>
      </c>
      <c r="B3025" s="3" t="inlineStr">
        <is>
          <t>엔지켐생명과학</t>
        </is>
      </c>
      <c r="C3025" s="2" t="inlineStr">
        <is>
          <t>183490</t>
        </is>
      </c>
      <c r="D3025" s="2" t="inlineStr">
        <is>
          <t>대량보유</t>
        </is>
      </c>
      <c r="E3025" s="3" t="inlineStr">
        <is>
          <t>류정욱</t>
        </is>
      </c>
      <c r="F3025" s="3" t="inlineStr">
        <is>
          <t>특별관계자</t>
        </is>
      </c>
      <c r="G3025" s="3" t="inlineStr">
        <is>
          <t>신규보고(+)</t>
        </is>
      </c>
      <c r="H3025" s="6" t="inlineStr"/>
      <c r="I3025" s="6" t="inlineStr"/>
      <c r="J3025" s="6" t="n">
        <v>20000</v>
      </c>
      <c r="K3025" s="16" t="n">
        <v>5.98</v>
      </c>
      <c r="L3025" s="2" t="inlineStr">
        <is>
          <t>20260605000189</t>
        </is>
      </c>
      <c r="M3025" s="8">
        <f>HYPERLINK("https://dart.fss.or.kr/dsaf001/main.do?rcpNo=20260605000189", "공시열람")</f>
        <v/>
      </c>
    </row>
    <row r="3026" ht="22" customHeight="1">
      <c r="A3026" s="2" t="inlineStr">
        <is>
          <t>2026-06-05</t>
        </is>
      </c>
      <c r="B3026" s="3" t="inlineStr">
        <is>
          <t>엔지켐생명과학</t>
        </is>
      </c>
      <c r="C3026" s="2" t="inlineStr">
        <is>
          <t>183490</t>
        </is>
      </c>
      <c r="D3026" s="2" t="inlineStr">
        <is>
          <t>대량보유</t>
        </is>
      </c>
      <c r="E3026" s="3" t="inlineStr">
        <is>
          <t>김형석</t>
        </is>
      </c>
      <c r="F3026" s="3" t="inlineStr">
        <is>
          <t>특별관계자</t>
        </is>
      </c>
      <c r="G3026" s="3" t="inlineStr">
        <is>
          <t>신규보고(+)</t>
        </is>
      </c>
      <c r="H3026" s="6" t="inlineStr"/>
      <c r="I3026" s="6" t="inlineStr"/>
      <c r="J3026" s="6" t="n">
        <v>29462</v>
      </c>
      <c r="K3026" s="16" t="n">
        <v>5.98</v>
      </c>
      <c r="L3026" s="2" t="inlineStr">
        <is>
          <t>20260605000189</t>
        </is>
      </c>
      <c r="M3026" s="8">
        <f>HYPERLINK("https://dart.fss.or.kr/dsaf001/main.do?rcpNo=20260605000189", "공시열람")</f>
        <v/>
      </c>
    </row>
    <row r="3027" ht="22" customHeight="1">
      <c r="A3027" s="2" t="inlineStr">
        <is>
          <t>2026-06-05</t>
        </is>
      </c>
      <c r="B3027" s="3" t="inlineStr">
        <is>
          <t>엔지켐생명과학</t>
        </is>
      </c>
      <c r="C3027" s="2" t="inlineStr">
        <is>
          <t>183490</t>
        </is>
      </c>
      <c r="D3027" s="2" t="inlineStr">
        <is>
          <t>대량보유</t>
        </is>
      </c>
      <c r="E3027" s="3" t="inlineStr">
        <is>
          <t>장미경</t>
        </is>
      </c>
      <c r="F3027" s="3" t="inlineStr">
        <is>
          <t>특별관계자</t>
        </is>
      </c>
      <c r="G3027" s="3" t="inlineStr">
        <is>
          <t>신규보고(+)</t>
        </is>
      </c>
      <c r="H3027" s="6" t="inlineStr"/>
      <c r="I3027" s="6" t="inlineStr"/>
      <c r="J3027" s="6" t="n">
        <v>54462</v>
      </c>
      <c r="K3027" s="16" t="n">
        <v>5.98</v>
      </c>
      <c r="L3027" s="2" t="inlineStr">
        <is>
          <t>20260605000189</t>
        </is>
      </c>
      <c r="M3027" s="8">
        <f>HYPERLINK("https://dart.fss.or.kr/dsaf001/main.do?rcpNo=20260605000189", "공시열람")</f>
        <v/>
      </c>
    </row>
    <row r="3028" ht="22" customHeight="1">
      <c r="A3028" s="2" t="inlineStr">
        <is>
          <t>2026-06-05</t>
        </is>
      </c>
      <c r="B3028" s="3" t="inlineStr">
        <is>
          <t>엔지켐생명과학</t>
        </is>
      </c>
      <c r="C3028" s="2" t="inlineStr">
        <is>
          <t>183490</t>
        </is>
      </c>
      <c r="D3028" s="2" t="inlineStr">
        <is>
          <t>대량보유</t>
        </is>
      </c>
      <c r="E3028" s="3" t="inlineStr">
        <is>
          <t>김재민</t>
        </is>
      </c>
      <c r="F3028" s="3" t="inlineStr">
        <is>
          <t>특별관계자</t>
        </is>
      </c>
      <c r="G3028" s="3" t="inlineStr">
        <is>
          <t>신규보고(+)</t>
        </is>
      </c>
      <c r="H3028" s="6" t="inlineStr"/>
      <c r="I3028" s="6" t="inlineStr"/>
      <c r="J3028" s="6" t="n">
        <v>18500</v>
      </c>
      <c r="K3028" s="16" t="n">
        <v>5.98</v>
      </c>
      <c r="L3028" s="2" t="inlineStr">
        <is>
          <t>20260605000189</t>
        </is>
      </c>
      <c r="M3028" s="8">
        <f>HYPERLINK("https://dart.fss.or.kr/dsaf001/main.do?rcpNo=20260605000189", "공시열람")</f>
        <v/>
      </c>
    </row>
    <row r="3029" ht="22" customHeight="1">
      <c r="A3029" s="2" t="inlineStr">
        <is>
          <t>2026-06-05</t>
        </is>
      </c>
      <c r="B3029" s="3" t="inlineStr">
        <is>
          <t>엔지켐생명과학</t>
        </is>
      </c>
      <c r="C3029" s="2" t="inlineStr">
        <is>
          <t>183490</t>
        </is>
      </c>
      <c r="D3029" s="2" t="inlineStr">
        <is>
          <t>대량보유</t>
        </is>
      </c>
      <c r="E3029" s="3" t="inlineStr">
        <is>
          <t>박현규</t>
        </is>
      </c>
      <c r="F3029" s="3" t="inlineStr">
        <is>
          <t>특별관계자</t>
        </is>
      </c>
      <c r="G3029" s="3" t="inlineStr">
        <is>
          <t>신규보고(+)</t>
        </is>
      </c>
      <c r="H3029" s="6" t="inlineStr"/>
      <c r="I3029" s="6" t="inlineStr"/>
      <c r="J3029" s="6" t="n">
        <v>1309</v>
      </c>
      <c r="K3029" s="16" t="n">
        <v>5.98</v>
      </c>
      <c r="L3029" s="2" t="inlineStr">
        <is>
          <t>20260605000189</t>
        </is>
      </c>
      <c r="M3029" s="8">
        <f>HYPERLINK("https://dart.fss.or.kr/dsaf001/main.do?rcpNo=20260605000189", "공시열람")</f>
        <v/>
      </c>
    </row>
    <row r="3030" ht="22" customHeight="1">
      <c r="A3030" s="2" t="inlineStr">
        <is>
          <t>2026-06-05</t>
        </is>
      </c>
      <c r="B3030" s="3" t="inlineStr">
        <is>
          <t>엔지켐생명과학</t>
        </is>
      </c>
      <c r="C3030" s="2" t="inlineStr">
        <is>
          <t>183490</t>
        </is>
      </c>
      <c r="D3030" s="2" t="inlineStr">
        <is>
          <t>대량보유</t>
        </is>
      </c>
      <c r="E3030" s="3" t="inlineStr">
        <is>
          <t>이희용</t>
        </is>
      </c>
      <c r="F3030" s="3" t="inlineStr">
        <is>
          <t>특별관계자</t>
        </is>
      </c>
      <c r="G3030" s="3" t="inlineStr">
        <is>
          <t>신규보고(+)</t>
        </is>
      </c>
      <c r="H3030" s="6" t="inlineStr"/>
      <c r="I3030" s="6" t="inlineStr"/>
      <c r="J3030" s="6" t="n">
        <v>1490</v>
      </c>
      <c r="K3030" s="16" t="n">
        <v>5.98</v>
      </c>
      <c r="L3030" s="2" t="inlineStr">
        <is>
          <t>20260605000189</t>
        </is>
      </c>
      <c r="M3030" s="8">
        <f>HYPERLINK("https://dart.fss.or.kr/dsaf001/main.do?rcpNo=20260605000189", "공시열람")</f>
        <v/>
      </c>
    </row>
    <row r="3031" ht="22" customHeight="1">
      <c r="A3031" s="2" t="inlineStr">
        <is>
          <t>2026-06-05</t>
        </is>
      </c>
      <c r="B3031" s="3" t="inlineStr">
        <is>
          <t>엔지켐생명과학</t>
        </is>
      </c>
      <c r="C3031" s="2" t="inlineStr">
        <is>
          <t>183490</t>
        </is>
      </c>
      <c r="D3031" s="2" t="inlineStr">
        <is>
          <t>대량보유</t>
        </is>
      </c>
      <c r="E3031" s="3" t="inlineStr">
        <is>
          <t>이동호</t>
        </is>
      </c>
      <c r="F3031" s="3" t="inlineStr">
        <is>
          <t>특별관계자</t>
        </is>
      </c>
      <c r="G3031" s="3" t="inlineStr">
        <is>
          <t>신규보고(+)</t>
        </is>
      </c>
      <c r="H3031" s="6" t="inlineStr"/>
      <c r="I3031" s="6" t="inlineStr"/>
      <c r="J3031" s="6" t="n">
        <v>3221</v>
      </c>
      <c r="K3031" s="16" t="n">
        <v>5.98</v>
      </c>
      <c r="L3031" s="2" t="inlineStr">
        <is>
          <t>20260605000189</t>
        </is>
      </c>
      <c r="M3031" s="8">
        <f>HYPERLINK("https://dart.fss.or.kr/dsaf001/main.do?rcpNo=20260605000189", "공시열람")</f>
        <v/>
      </c>
    </row>
    <row r="3032" ht="22" customHeight="1">
      <c r="A3032" s="2" t="inlineStr">
        <is>
          <t>2026-06-05</t>
        </is>
      </c>
      <c r="B3032" s="3" t="inlineStr">
        <is>
          <t>엔지켐생명과학</t>
        </is>
      </c>
      <c r="C3032" s="2" t="inlineStr">
        <is>
          <t>183490</t>
        </is>
      </c>
      <c r="D3032" s="2" t="inlineStr">
        <is>
          <t>대량보유</t>
        </is>
      </c>
      <c r="E3032" s="3" t="inlineStr">
        <is>
          <t>정범건</t>
        </is>
      </c>
      <c r="F3032" s="3" t="inlineStr">
        <is>
          <t>특별관계자</t>
        </is>
      </c>
      <c r="G3032" s="3" t="inlineStr">
        <is>
          <t>신규보고(+)</t>
        </is>
      </c>
      <c r="H3032" s="6" t="inlineStr"/>
      <c r="I3032" s="6" t="inlineStr"/>
      <c r="J3032" s="6" t="n">
        <v>1605</v>
      </c>
      <c r="K3032" s="16" t="n">
        <v>5.98</v>
      </c>
      <c r="L3032" s="2" t="inlineStr">
        <is>
          <t>20260605000189</t>
        </is>
      </c>
      <c r="M3032" s="8">
        <f>HYPERLINK("https://dart.fss.or.kr/dsaf001/main.do?rcpNo=20260605000189", "공시열람")</f>
        <v/>
      </c>
    </row>
    <row r="3033" ht="22" customHeight="1">
      <c r="A3033" s="2" t="inlineStr">
        <is>
          <t>2026-06-05</t>
        </is>
      </c>
      <c r="B3033" s="3" t="inlineStr">
        <is>
          <t>엔지켐생명과학</t>
        </is>
      </c>
      <c r="C3033" s="2" t="inlineStr">
        <is>
          <t>183490</t>
        </is>
      </c>
      <c r="D3033" s="2" t="inlineStr">
        <is>
          <t>대량보유</t>
        </is>
      </c>
      <c r="E3033" s="3" t="inlineStr">
        <is>
          <t>이동희</t>
        </is>
      </c>
      <c r="F3033" s="3" t="inlineStr">
        <is>
          <t>특별관계자</t>
        </is>
      </c>
      <c r="G3033" s="3" t="inlineStr">
        <is>
          <t>신규보고(+)</t>
        </is>
      </c>
      <c r="H3033" s="6" t="inlineStr"/>
      <c r="I3033" s="6" t="inlineStr"/>
      <c r="J3033" s="6" t="n">
        <v>64650</v>
      </c>
      <c r="K3033" s="16" t="n">
        <v>5.98</v>
      </c>
      <c r="L3033" s="2" t="inlineStr">
        <is>
          <t>20260605000189</t>
        </is>
      </c>
      <c r="M3033" s="8">
        <f>HYPERLINK("https://dart.fss.or.kr/dsaf001/main.do?rcpNo=20260605000189", "공시열람")</f>
        <v/>
      </c>
    </row>
    <row r="3034" ht="22" customHeight="1">
      <c r="A3034" s="2" t="inlineStr">
        <is>
          <t>2026-06-05</t>
        </is>
      </c>
      <c r="B3034" s="3" t="inlineStr">
        <is>
          <t>엔지켐생명과학</t>
        </is>
      </c>
      <c r="C3034" s="2" t="inlineStr">
        <is>
          <t>183490</t>
        </is>
      </c>
      <c r="D3034" s="2" t="inlineStr">
        <is>
          <t>대량보유</t>
        </is>
      </c>
      <c r="E3034" s="3" t="inlineStr">
        <is>
          <t>박진호</t>
        </is>
      </c>
      <c r="F3034" s="3" t="inlineStr">
        <is>
          <t>특별관계자</t>
        </is>
      </c>
      <c r="G3034" s="3" t="inlineStr">
        <is>
          <t>신규보고(+)</t>
        </is>
      </c>
      <c r="H3034" s="6" t="inlineStr"/>
      <c r="I3034" s="6" t="inlineStr"/>
      <c r="J3034" s="6" t="n">
        <v>41000</v>
      </c>
      <c r="K3034" s="16" t="n">
        <v>5.98</v>
      </c>
      <c r="L3034" s="2" t="inlineStr">
        <is>
          <t>20260605000189</t>
        </is>
      </c>
      <c r="M3034" s="8">
        <f>HYPERLINK("https://dart.fss.or.kr/dsaf001/main.do?rcpNo=20260605000189", "공시열람")</f>
        <v/>
      </c>
    </row>
    <row r="3035" ht="22" customHeight="1">
      <c r="A3035" s="2" t="inlineStr">
        <is>
          <t>2026-06-05</t>
        </is>
      </c>
      <c r="B3035" s="3" t="inlineStr">
        <is>
          <t>엔지켐생명과학</t>
        </is>
      </c>
      <c r="C3035" s="2" t="inlineStr">
        <is>
          <t>183490</t>
        </is>
      </c>
      <c r="D3035" s="2" t="inlineStr">
        <is>
          <t>대량보유</t>
        </is>
      </c>
      <c r="E3035" s="3" t="inlineStr">
        <is>
          <t>김후창</t>
        </is>
      </c>
      <c r="F3035" s="3" t="inlineStr">
        <is>
          <t>특별관계자</t>
        </is>
      </c>
      <c r="G3035" s="3" t="inlineStr">
        <is>
          <t>신규보고(+)</t>
        </is>
      </c>
      <c r="H3035" s="6" t="inlineStr"/>
      <c r="I3035" s="6" t="inlineStr"/>
      <c r="J3035" s="6" t="n">
        <v>16479</v>
      </c>
      <c r="K3035" s="16" t="n">
        <v>5.98</v>
      </c>
      <c r="L3035" s="2" t="inlineStr">
        <is>
          <t>20260605000189</t>
        </is>
      </c>
      <c r="M3035" s="8">
        <f>HYPERLINK("https://dart.fss.or.kr/dsaf001/main.do?rcpNo=20260605000189", "공시열람")</f>
        <v/>
      </c>
    </row>
    <row r="3036" ht="22" customHeight="1">
      <c r="A3036" s="2" t="inlineStr">
        <is>
          <t>2026-06-05</t>
        </is>
      </c>
      <c r="B3036" s="3" t="inlineStr">
        <is>
          <t>엔지켐생명과학</t>
        </is>
      </c>
      <c r="C3036" s="2" t="inlineStr">
        <is>
          <t>183490</t>
        </is>
      </c>
      <c r="D3036" s="2" t="inlineStr">
        <is>
          <t>대량보유</t>
        </is>
      </c>
      <c r="E3036" s="3" t="inlineStr">
        <is>
          <t>김동균</t>
        </is>
      </c>
      <c r="F3036" s="3" t="inlineStr">
        <is>
          <t>특별관계자</t>
        </is>
      </c>
      <c r="G3036" s="3" t="inlineStr">
        <is>
          <t>신규보고(+)</t>
        </is>
      </c>
      <c r="H3036" s="6" t="inlineStr"/>
      <c r="I3036" s="6" t="inlineStr"/>
      <c r="J3036" s="6" t="n">
        <v>30000</v>
      </c>
      <c r="K3036" s="16" t="n">
        <v>5.98</v>
      </c>
      <c r="L3036" s="2" t="inlineStr">
        <is>
          <t>20260605000189</t>
        </is>
      </c>
      <c r="M3036" s="8">
        <f>HYPERLINK("https://dart.fss.or.kr/dsaf001/main.do?rcpNo=20260605000189", "공시열람")</f>
        <v/>
      </c>
    </row>
    <row r="3037" ht="22" customHeight="1">
      <c r="A3037" s="2" t="inlineStr">
        <is>
          <t>2026-06-05</t>
        </is>
      </c>
      <c r="B3037" s="3" t="inlineStr">
        <is>
          <t>엔지켐생명과학</t>
        </is>
      </c>
      <c r="C3037" s="2" t="inlineStr">
        <is>
          <t>183490</t>
        </is>
      </c>
      <c r="D3037" s="2" t="inlineStr">
        <is>
          <t>대량보유</t>
        </is>
      </c>
      <c r="E3037" s="3" t="inlineStr">
        <is>
          <t>전익권</t>
        </is>
      </c>
      <c r="F3037" s="3" t="inlineStr">
        <is>
          <t>특별관계자</t>
        </is>
      </c>
      <c r="G3037" s="3" t="inlineStr">
        <is>
          <t>신규보고(+)</t>
        </is>
      </c>
      <c r="H3037" s="6" t="inlineStr"/>
      <c r="I3037" s="6" t="inlineStr"/>
      <c r="J3037" s="6" t="n">
        <v>30628</v>
      </c>
      <c r="K3037" s="16" t="n">
        <v>5.98</v>
      </c>
      <c r="L3037" s="2" t="inlineStr">
        <is>
          <t>20260605000189</t>
        </is>
      </c>
      <c r="M3037" s="8">
        <f>HYPERLINK("https://dart.fss.or.kr/dsaf001/main.do?rcpNo=20260605000189", "공시열람")</f>
        <v/>
      </c>
    </row>
    <row r="3038" ht="22" customHeight="1">
      <c r="A3038" s="2" t="inlineStr">
        <is>
          <t>2026-06-05</t>
        </is>
      </c>
      <c r="B3038" s="3" t="inlineStr">
        <is>
          <t>엔지켐생명과학</t>
        </is>
      </c>
      <c r="C3038" s="2" t="inlineStr">
        <is>
          <t>183490</t>
        </is>
      </c>
      <c r="D3038" s="2" t="inlineStr">
        <is>
          <t>대량보유</t>
        </is>
      </c>
      <c r="E3038" s="3" t="inlineStr">
        <is>
          <t>김태훈</t>
        </is>
      </c>
      <c r="F3038" s="3" t="inlineStr">
        <is>
          <t>특별관계자</t>
        </is>
      </c>
      <c r="G3038" s="3" t="inlineStr">
        <is>
          <t>신규보고(+)</t>
        </is>
      </c>
      <c r="H3038" s="6" t="inlineStr"/>
      <c r="I3038" s="6" t="inlineStr"/>
      <c r="J3038" s="6" t="n">
        <v>4872</v>
      </c>
      <c r="K3038" s="16" t="n">
        <v>5.98</v>
      </c>
      <c r="L3038" s="2" t="inlineStr">
        <is>
          <t>20260605000189</t>
        </is>
      </c>
      <c r="M3038" s="8">
        <f>HYPERLINK("https://dart.fss.or.kr/dsaf001/main.do?rcpNo=20260605000189", "공시열람")</f>
        <v/>
      </c>
    </row>
    <row r="3039" ht="22" customHeight="1">
      <c r="A3039" s="2" t="inlineStr">
        <is>
          <t>2026-06-05</t>
        </is>
      </c>
      <c r="B3039" s="3" t="inlineStr">
        <is>
          <t>엔지켐생명과학</t>
        </is>
      </c>
      <c r="C3039" s="2" t="inlineStr">
        <is>
          <t>183490</t>
        </is>
      </c>
      <c r="D3039" s="2" t="inlineStr">
        <is>
          <t>대량보유</t>
        </is>
      </c>
      <c r="E3039" s="3" t="inlineStr">
        <is>
          <t>권영덕</t>
        </is>
      </c>
      <c r="F3039" s="3" t="inlineStr">
        <is>
          <t>특별관계자</t>
        </is>
      </c>
      <c r="G3039" s="3" t="inlineStr">
        <is>
          <t>신규보고(+)</t>
        </is>
      </c>
      <c r="H3039" s="6" t="inlineStr"/>
      <c r="I3039" s="6" t="inlineStr"/>
      <c r="J3039" s="6" t="n">
        <v>60273</v>
      </c>
      <c r="K3039" s="16" t="n">
        <v>5.98</v>
      </c>
      <c r="L3039" s="2" t="inlineStr">
        <is>
          <t>20260605000189</t>
        </is>
      </c>
      <c r="M3039" s="8">
        <f>HYPERLINK("https://dart.fss.or.kr/dsaf001/main.do?rcpNo=20260605000189", "공시열람")</f>
        <v/>
      </c>
    </row>
    <row r="3040" ht="22" customHeight="1">
      <c r="A3040" s="2" t="inlineStr">
        <is>
          <t>2026-06-05</t>
        </is>
      </c>
      <c r="B3040" s="3" t="inlineStr">
        <is>
          <t>엔지켐생명과학</t>
        </is>
      </c>
      <c r="C3040" s="2" t="inlineStr">
        <is>
          <t>183490</t>
        </is>
      </c>
      <c r="D3040" s="2" t="inlineStr">
        <is>
          <t>대량보유</t>
        </is>
      </c>
      <c r="E3040" s="3" t="inlineStr">
        <is>
          <t>허유진</t>
        </is>
      </c>
      <c r="F3040" s="3" t="inlineStr">
        <is>
          <t>특별관계자</t>
        </is>
      </c>
      <c r="G3040" s="3" t="inlineStr">
        <is>
          <t>신규보고(+)</t>
        </is>
      </c>
      <c r="H3040" s="6" t="inlineStr"/>
      <c r="I3040" s="6" t="inlineStr"/>
      <c r="J3040" s="6" t="n">
        <v>39942</v>
      </c>
      <c r="K3040" s="16" t="n">
        <v>5.98</v>
      </c>
      <c r="L3040" s="2" t="inlineStr">
        <is>
          <t>20260605000189</t>
        </is>
      </c>
      <c r="M3040" s="8">
        <f>HYPERLINK("https://dart.fss.or.kr/dsaf001/main.do?rcpNo=20260605000189", "공시열람")</f>
        <v/>
      </c>
    </row>
    <row r="3041" ht="22" customHeight="1">
      <c r="A3041" s="2" t="inlineStr">
        <is>
          <t>2026-06-05</t>
        </is>
      </c>
      <c r="B3041" s="3" t="inlineStr">
        <is>
          <t>엔지켐생명과학</t>
        </is>
      </c>
      <c r="C3041" s="2" t="inlineStr">
        <is>
          <t>183490</t>
        </is>
      </c>
      <c r="D3041" s="2" t="inlineStr">
        <is>
          <t>대량보유</t>
        </is>
      </c>
      <c r="E3041" s="3" t="inlineStr">
        <is>
          <t>김희태</t>
        </is>
      </c>
      <c r="F3041" s="3" t="inlineStr">
        <is>
          <t>특별관계자</t>
        </is>
      </c>
      <c r="G3041" s="3" t="inlineStr">
        <is>
          <t>신규보고(+)</t>
        </is>
      </c>
      <c r="H3041" s="6" t="inlineStr"/>
      <c r="I3041" s="6" t="inlineStr"/>
      <c r="J3041" s="6" t="n">
        <v>50158</v>
      </c>
      <c r="K3041" s="16" t="n">
        <v>5.98</v>
      </c>
      <c r="L3041" s="2" t="inlineStr">
        <is>
          <t>20260605000189</t>
        </is>
      </c>
      <c r="M3041" s="8">
        <f>HYPERLINK("https://dart.fss.or.kr/dsaf001/main.do?rcpNo=20260605000189", "공시열람")</f>
        <v/>
      </c>
    </row>
    <row r="3042" ht="22" customHeight="1">
      <c r="A3042" s="2" t="inlineStr">
        <is>
          <t>2026-06-05</t>
        </is>
      </c>
      <c r="B3042" s="3" t="inlineStr">
        <is>
          <t>엔지켐생명과학</t>
        </is>
      </c>
      <c r="C3042" s="2" t="inlineStr">
        <is>
          <t>183490</t>
        </is>
      </c>
      <c r="D3042" s="2" t="inlineStr">
        <is>
          <t>대량보유</t>
        </is>
      </c>
      <c r="E3042" s="3" t="inlineStr">
        <is>
          <t>박찬경</t>
        </is>
      </c>
      <c r="F3042" s="3" t="inlineStr">
        <is>
          <t>특별관계자</t>
        </is>
      </c>
      <c r="G3042" s="3" t="inlineStr">
        <is>
          <t>신규보고(+)</t>
        </is>
      </c>
      <c r="H3042" s="6" t="inlineStr"/>
      <c r="I3042" s="6" t="inlineStr"/>
      <c r="J3042" s="6" t="n">
        <v>754000</v>
      </c>
      <c r="K3042" s="16" t="n">
        <v>5.98</v>
      </c>
      <c r="L3042" s="2" t="inlineStr">
        <is>
          <t>20260605000189</t>
        </is>
      </c>
      <c r="M3042" s="8">
        <f>HYPERLINK("https://dart.fss.or.kr/dsaf001/main.do?rcpNo=20260605000189", "공시열람")</f>
        <v/>
      </c>
    </row>
    <row r="3043" ht="22" customHeight="1">
      <c r="A3043" s="2" t="inlineStr">
        <is>
          <t>2026-06-05</t>
        </is>
      </c>
      <c r="B3043" s="3" t="inlineStr">
        <is>
          <t>엔지켐생명과학</t>
        </is>
      </c>
      <c r="C3043" s="2" t="inlineStr">
        <is>
          <t>183490</t>
        </is>
      </c>
      <c r="D3043" s="2" t="inlineStr">
        <is>
          <t>대량보유</t>
        </is>
      </c>
      <c r="E3043" s="3" t="inlineStr">
        <is>
          <t>문주영</t>
        </is>
      </c>
      <c r="F3043" s="3" t="inlineStr">
        <is>
          <t>특별관계자</t>
        </is>
      </c>
      <c r="G3043" s="3" t="inlineStr">
        <is>
          <t>신규보고(+)</t>
        </is>
      </c>
      <c r="H3043" s="6" t="inlineStr"/>
      <c r="I3043" s="6" t="inlineStr"/>
      <c r="J3043" s="6" t="n">
        <v>330</v>
      </c>
      <c r="K3043" s="16" t="n">
        <v>5.98</v>
      </c>
      <c r="L3043" s="2" t="inlineStr">
        <is>
          <t>20260605000189</t>
        </is>
      </c>
      <c r="M3043" s="8">
        <f>HYPERLINK("https://dart.fss.or.kr/dsaf001/main.do?rcpNo=20260605000189", "공시열람")</f>
        <v/>
      </c>
    </row>
    <row r="3044" ht="22" customHeight="1">
      <c r="A3044" s="2" t="inlineStr">
        <is>
          <t>2026-06-05</t>
        </is>
      </c>
      <c r="B3044" s="3" t="inlineStr">
        <is>
          <t>엔지켐생명과학</t>
        </is>
      </c>
      <c r="C3044" s="2" t="inlineStr">
        <is>
          <t>183490</t>
        </is>
      </c>
      <c r="D3044" s="2" t="inlineStr">
        <is>
          <t>대량보유</t>
        </is>
      </c>
      <c r="E3044" s="3" t="inlineStr">
        <is>
          <t>김경숙</t>
        </is>
      </c>
      <c r="F3044" s="3" t="inlineStr">
        <is>
          <t>특별관계자</t>
        </is>
      </c>
      <c r="G3044" s="3" t="inlineStr">
        <is>
          <t>신규보고(+)</t>
        </is>
      </c>
      <c r="H3044" s="6" t="inlineStr"/>
      <c r="I3044" s="6" t="inlineStr"/>
      <c r="J3044" s="6" t="n">
        <v>600</v>
      </c>
      <c r="K3044" s="16" t="n">
        <v>5.98</v>
      </c>
      <c r="L3044" s="2" t="inlineStr">
        <is>
          <t>20260605000189</t>
        </is>
      </c>
      <c r="M3044" s="8">
        <f>HYPERLINK("https://dart.fss.or.kr/dsaf001/main.do?rcpNo=20260605000189", "공시열람")</f>
        <v/>
      </c>
    </row>
    <row r="3045" ht="22" customHeight="1">
      <c r="A3045" s="2" t="inlineStr">
        <is>
          <t>2026-06-05</t>
        </is>
      </c>
      <c r="B3045" s="3" t="inlineStr">
        <is>
          <t>엔지켐생명과학</t>
        </is>
      </c>
      <c r="C3045" s="2" t="inlineStr">
        <is>
          <t>183490</t>
        </is>
      </c>
      <c r="D3045" s="2" t="inlineStr">
        <is>
          <t>대량보유</t>
        </is>
      </c>
      <c r="E3045" s="3" t="inlineStr">
        <is>
          <t>이정용</t>
        </is>
      </c>
      <c r="F3045" s="3" t="inlineStr">
        <is>
          <t>특별관계자</t>
        </is>
      </c>
      <c r="G3045" s="3" t="inlineStr">
        <is>
          <t>신규보고(+)</t>
        </is>
      </c>
      <c r="H3045" s="6" t="inlineStr"/>
      <c r="I3045" s="6" t="inlineStr"/>
      <c r="J3045" s="6" t="n">
        <v>9035</v>
      </c>
      <c r="K3045" s="16" t="n">
        <v>5.98</v>
      </c>
      <c r="L3045" s="2" t="inlineStr">
        <is>
          <t>20260605000189</t>
        </is>
      </c>
      <c r="M3045" s="8">
        <f>HYPERLINK("https://dart.fss.or.kr/dsaf001/main.do?rcpNo=20260605000189", "공시열람")</f>
        <v/>
      </c>
    </row>
    <row r="3046" ht="22" customHeight="1">
      <c r="A3046" s="2" t="inlineStr">
        <is>
          <t>2026-06-05</t>
        </is>
      </c>
      <c r="B3046" s="3" t="inlineStr">
        <is>
          <t>엔지켐생명과학</t>
        </is>
      </c>
      <c r="C3046" s="2" t="inlineStr">
        <is>
          <t>183490</t>
        </is>
      </c>
      <c r="D3046" s="2" t="inlineStr">
        <is>
          <t>대량보유</t>
        </is>
      </c>
      <c r="E3046" s="3" t="inlineStr">
        <is>
          <t>유승욱</t>
        </is>
      </c>
      <c r="F3046" s="3" t="inlineStr">
        <is>
          <t>특별관계자</t>
        </is>
      </c>
      <c r="G3046" s="3" t="inlineStr">
        <is>
          <t>신규보고(+)</t>
        </is>
      </c>
      <c r="H3046" s="6" t="inlineStr"/>
      <c r="I3046" s="6" t="inlineStr"/>
      <c r="J3046" s="6" t="n">
        <v>12050</v>
      </c>
      <c r="K3046" s="16" t="n">
        <v>5.98</v>
      </c>
      <c r="L3046" s="2" t="inlineStr">
        <is>
          <t>20260605000189</t>
        </is>
      </c>
      <c r="M3046" s="8">
        <f>HYPERLINK("https://dart.fss.or.kr/dsaf001/main.do?rcpNo=20260605000189", "공시열람")</f>
        <v/>
      </c>
    </row>
    <row r="3047" ht="22" customHeight="1">
      <c r="A3047" s="2" t="inlineStr">
        <is>
          <t>2026-06-05</t>
        </is>
      </c>
      <c r="B3047" s="3" t="inlineStr">
        <is>
          <t>엔지켐생명과학</t>
        </is>
      </c>
      <c r="C3047" s="2" t="inlineStr">
        <is>
          <t>183490</t>
        </is>
      </c>
      <c r="D3047" s="2" t="inlineStr">
        <is>
          <t>대량보유</t>
        </is>
      </c>
      <c r="E3047" s="3" t="inlineStr">
        <is>
          <t>홍미리</t>
        </is>
      </c>
      <c r="F3047" s="3" t="inlineStr">
        <is>
          <t>특별관계자</t>
        </is>
      </c>
      <c r="G3047" s="3" t="inlineStr">
        <is>
          <t>신규보고(+)</t>
        </is>
      </c>
      <c r="H3047" s="6" t="inlineStr"/>
      <c r="I3047" s="6" t="inlineStr"/>
      <c r="J3047" s="6" t="n">
        <v>2960</v>
      </c>
      <c r="K3047" s="16" t="n">
        <v>5.98</v>
      </c>
      <c r="L3047" s="2" t="inlineStr">
        <is>
          <t>20260605000189</t>
        </is>
      </c>
      <c r="M3047" s="8">
        <f>HYPERLINK("https://dart.fss.or.kr/dsaf001/main.do?rcpNo=20260605000189", "공시열람")</f>
        <v/>
      </c>
    </row>
    <row r="3048" ht="22" customHeight="1">
      <c r="A3048" s="2" t="inlineStr">
        <is>
          <t>2026-06-05</t>
        </is>
      </c>
      <c r="B3048" s="3" t="inlineStr">
        <is>
          <t>엔지켐생명과학</t>
        </is>
      </c>
      <c r="C3048" s="2" t="inlineStr">
        <is>
          <t>183490</t>
        </is>
      </c>
      <c r="D3048" s="2" t="inlineStr">
        <is>
          <t>대량보유</t>
        </is>
      </c>
      <c r="E3048" s="3" t="inlineStr">
        <is>
          <t>김수영</t>
        </is>
      </c>
      <c r="F3048" s="3" t="inlineStr">
        <is>
          <t>특별관계자</t>
        </is>
      </c>
      <c r="G3048" s="3" t="inlineStr">
        <is>
          <t>신규보고(+)</t>
        </is>
      </c>
      <c r="H3048" s="6" t="inlineStr"/>
      <c r="I3048" s="6" t="inlineStr"/>
      <c r="J3048" s="6" t="n">
        <v>2000</v>
      </c>
      <c r="K3048" s="16" t="n">
        <v>5.98</v>
      </c>
      <c r="L3048" s="2" t="inlineStr">
        <is>
          <t>20260605000189</t>
        </is>
      </c>
      <c r="M3048" s="8">
        <f>HYPERLINK("https://dart.fss.or.kr/dsaf001/main.do?rcpNo=20260605000189", "공시열람")</f>
        <v/>
      </c>
    </row>
    <row r="3049" ht="22" customHeight="1">
      <c r="A3049" s="2" t="inlineStr">
        <is>
          <t>2026-06-05</t>
        </is>
      </c>
      <c r="B3049" s="3" t="inlineStr">
        <is>
          <t>엔지켐생명과학</t>
        </is>
      </c>
      <c r="C3049" s="2" t="inlineStr">
        <is>
          <t>183490</t>
        </is>
      </c>
      <c r="D3049" s="2" t="inlineStr">
        <is>
          <t>대량보유</t>
        </is>
      </c>
      <c r="E3049" s="3" t="inlineStr">
        <is>
          <t>공영애</t>
        </is>
      </c>
      <c r="F3049" s="3" t="inlineStr">
        <is>
          <t>특별관계자</t>
        </is>
      </c>
      <c r="G3049" s="3" t="inlineStr">
        <is>
          <t>신규보고(+)</t>
        </is>
      </c>
      <c r="H3049" s="6" t="inlineStr"/>
      <c r="I3049" s="6" t="inlineStr"/>
      <c r="J3049" s="6" t="n">
        <v>1200</v>
      </c>
      <c r="K3049" s="16" t="n">
        <v>5.98</v>
      </c>
      <c r="L3049" s="2" t="inlineStr">
        <is>
          <t>20260605000189</t>
        </is>
      </c>
      <c r="M3049" s="8">
        <f>HYPERLINK("https://dart.fss.or.kr/dsaf001/main.do?rcpNo=20260605000189", "공시열람")</f>
        <v/>
      </c>
    </row>
    <row r="3050" ht="22" customHeight="1">
      <c r="A3050" s="2" t="inlineStr">
        <is>
          <t>2026-06-05</t>
        </is>
      </c>
      <c r="B3050" s="3" t="inlineStr">
        <is>
          <t>엔지켐생명과학</t>
        </is>
      </c>
      <c r="C3050" s="2" t="inlineStr">
        <is>
          <t>183490</t>
        </is>
      </c>
      <c r="D3050" s="2" t="inlineStr">
        <is>
          <t>대량보유</t>
        </is>
      </c>
      <c r="E3050" s="3" t="inlineStr">
        <is>
          <t>조강타</t>
        </is>
      </c>
      <c r="F3050" s="3" t="inlineStr">
        <is>
          <t>특별관계자</t>
        </is>
      </c>
      <c r="G3050" s="3" t="inlineStr">
        <is>
          <t>신규보고(+)</t>
        </is>
      </c>
      <c r="H3050" s="6" t="inlineStr"/>
      <c r="I3050" s="6" t="inlineStr"/>
      <c r="J3050" s="6" t="n">
        <v>43000</v>
      </c>
      <c r="K3050" s="16" t="n">
        <v>5.98</v>
      </c>
      <c r="L3050" s="2" t="inlineStr">
        <is>
          <t>20260605000189</t>
        </is>
      </c>
      <c r="M3050" s="8">
        <f>HYPERLINK("https://dart.fss.or.kr/dsaf001/main.do?rcpNo=20260605000189", "공시열람")</f>
        <v/>
      </c>
    </row>
    <row r="3051" ht="22" customHeight="1">
      <c r="A3051" s="2" t="inlineStr">
        <is>
          <t>2026-06-05</t>
        </is>
      </c>
      <c r="B3051" s="3" t="inlineStr">
        <is>
          <t>엔지켐생명과학</t>
        </is>
      </c>
      <c r="C3051" s="2" t="inlineStr">
        <is>
          <t>183490</t>
        </is>
      </c>
      <c r="D3051" s="2" t="inlineStr">
        <is>
          <t>대량보유</t>
        </is>
      </c>
      <c r="E3051" s="3" t="inlineStr">
        <is>
          <t>김준묵</t>
        </is>
      </c>
      <c r="F3051" s="3" t="inlineStr">
        <is>
          <t>특별관계자</t>
        </is>
      </c>
      <c r="G3051" s="3" t="inlineStr">
        <is>
          <t>신규보고(+)</t>
        </is>
      </c>
      <c r="H3051" s="6" t="inlineStr"/>
      <c r="I3051" s="6" t="inlineStr"/>
      <c r="J3051" s="6" t="n">
        <v>29246</v>
      </c>
      <c r="K3051" s="16" t="n">
        <v>5.98</v>
      </c>
      <c r="L3051" s="2" t="inlineStr">
        <is>
          <t>20260605000189</t>
        </is>
      </c>
      <c r="M3051" s="8">
        <f>HYPERLINK("https://dart.fss.or.kr/dsaf001/main.do?rcpNo=20260605000189", "공시열람")</f>
        <v/>
      </c>
    </row>
    <row r="3052" ht="22" customHeight="1">
      <c r="A3052" s="2" t="inlineStr">
        <is>
          <t>2026-06-05</t>
        </is>
      </c>
      <c r="B3052" s="3" t="inlineStr">
        <is>
          <t>엔지켐생명과학</t>
        </is>
      </c>
      <c r="C3052" s="2" t="inlineStr">
        <is>
          <t>183490</t>
        </is>
      </c>
      <c r="D3052" s="2" t="inlineStr">
        <is>
          <t>대량보유</t>
        </is>
      </c>
      <c r="E3052" s="3" t="inlineStr">
        <is>
          <t>정옥경</t>
        </is>
      </c>
      <c r="F3052" s="3" t="inlineStr">
        <is>
          <t>특별관계자</t>
        </is>
      </c>
      <c r="G3052" s="3" t="inlineStr">
        <is>
          <t>신규보고(+)</t>
        </is>
      </c>
      <c r="H3052" s="6" t="inlineStr"/>
      <c r="I3052" s="6" t="inlineStr"/>
      <c r="J3052" s="6" t="n">
        <v>6000</v>
      </c>
      <c r="K3052" s="16" t="n">
        <v>5.98</v>
      </c>
      <c r="L3052" s="2" t="inlineStr">
        <is>
          <t>20260605000189</t>
        </is>
      </c>
      <c r="M3052" s="8">
        <f>HYPERLINK("https://dart.fss.or.kr/dsaf001/main.do?rcpNo=20260605000189", "공시열람")</f>
        <v/>
      </c>
    </row>
    <row r="3053" ht="22" customHeight="1">
      <c r="A3053" s="2" t="inlineStr">
        <is>
          <t>2026-06-05</t>
        </is>
      </c>
      <c r="B3053" s="3" t="inlineStr">
        <is>
          <t>엔지켐생명과학</t>
        </is>
      </c>
      <c r="C3053" s="2" t="inlineStr">
        <is>
          <t>183490</t>
        </is>
      </c>
      <c r="D3053" s="2" t="inlineStr">
        <is>
          <t>대량보유</t>
        </is>
      </c>
      <c r="E3053" s="3" t="inlineStr">
        <is>
          <t>이상양</t>
        </is>
      </c>
      <c r="F3053" s="3" t="inlineStr">
        <is>
          <t>특별관계자</t>
        </is>
      </c>
      <c r="G3053" s="3" t="inlineStr">
        <is>
          <t>신규보고(+)</t>
        </is>
      </c>
      <c r="H3053" s="6" t="inlineStr"/>
      <c r="I3053" s="6" t="inlineStr"/>
      <c r="J3053" s="6" t="n">
        <v>17508</v>
      </c>
      <c r="K3053" s="16" t="n">
        <v>5.98</v>
      </c>
      <c r="L3053" s="2" t="inlineStr">
        <is>
          <t>20260605000189</t>
        </is>
      </c>
      <c r="M3053" s="8">
        <f>HYPERLINK("https://dart.fss.or.kr/dsaf001/main.do?rcpNo=20260605000189", "공시열람")</f>
        <v/>
      </c>
    </row>
    <row r="3054" ht="22" customHeight="1">
      <c r="A3054" s="2" t="inlineStr">
        <is>
          <t>2026-06-05</t>
        </is>
      </c>
      <c r="B3054" s="3" t="inlineStr">
        <is>
          <t>엔지켐생명과학</t>
        </is>
      </c>
      <c r="C3054" s="2" t="inlineStr">
        <is>
          <t>183490</t>
        </is>
      </c>
      <c r="D3054" s="2" t="inlineStr">
        <is>
          <t>대량보유</t>
        </is>
      </c>
      <c r="E3054" s="3" t="inlineStr">
        <is>
          <t>사공천</t>
        </is>
      </c>
      <c r="F3054" s="3" t="inlineStr">
        <is>
          <t>특별관계자</t>
        </is>
      </c>
      <c r="G3054" s="3" t="inlineStr">
        <is>
          <t>신규보고(+)</t>
        </is>
      </c>
      <c r="H3054" s="6" t="inlineStr"/>
      <c r="I3054" s="6" t="inlineStr"/>
      <c r="J3054" s="6" t="n">
        <v>5656</v>
      </c>
      <c r="K3054" s="16" t="n">
        <v>5.98</v>
      </c>
      <c r="L3054" s="2" t="inlineStr">
        <is>
          <t>20260605000189</t>
        </is>
      </c>
      <c r="M3054" s="8">
        <f>HYPERLINK("https://dart.fss.or.kr/dsaf001/main.do?rcpNo=20260605000189", "공시열람")</f>
        <v/>
      </c>
    </row>
    <row r="3055" ht="22" customHeight="1">
      <c r="A3055" s="2" t="inlineStr">
        <is>
          <t>2026-06-05</t>
        </is>
      </c>
      <c r="B3055" s="3" t="inlineStr">
        <is>
          <t>엔지켐생명과학</t>
        </is>
      </c>
      <c r="C3055" s="2" t="inlineStr">
        <is>
          <t>183490</t>
        </is>
      </c>
      <c r="D3055" s="2" t="inlineStr">
        <is>
          <t>대량보유</t>
        </is>
      </c>
      <c r="E3055" s="3" t="inlineStr">
        <is>
          <t>이광석</t>
        </is>
      </c>
      <c r="F3055" s="3" t="inlineStr">
        <is>
          <t>특별관계자</t>
        </is>
      </c>
      <c r="G3055" s="3" t="inlineStr">
        <is>
          <t>신규보고(+)</t>
        </is>
      </c>
      <c r="H3055" s="6" t="inlineStr"/>
      <c r="I3055" s="6" t="inlineStr"/>
      <c r="J3055" s="6" t="n">
        <v>13042</v>
      </c>
      <c r="K3055" s="16" t="n">
        <v>5.98</v>
      </c>
      <c r="L3055" s="2" t="inlineStr">
        <is>
          <t>20260605000189</t>
        </is>
      </c>
      <c r="M3055" s="8">
        <f>HYPERLINK("https://dart.fss.or.kr/dsaf001/main.do?rcpNo=20260605000189", "공시열람")</f>
        <v/>
      </c>
    </row>
    <row r="3056" ht="22" customHeight="1">
      <c r="A3056" s="2" t="inlineStr">
        <is>
          <t>2026-06-05</t>
        </is>
      </c>
      <c r="B3056" s="3" t="inlineStr">
        <is>
          <t>엔지켐생명과학</t>
        </is>
      </c>
      <c r="C3056" s="2" t="inlineStr">
        <is>
          <t>183490</t>
        </is>
      </c>
      <c r="D3056" s="2" t="inlineStr">
        <is>
          <t>대량보유</t>
        </is>
      </c>
      <c r="E3056" s="3" t="inlineStr">
        <is>
          <t>박정호</t>
        </is>
      </c>
      <c r="F3056" s="3" t="inlineStr">
        <is>
          <t>특별관계자</t>
        </is>
      </c>
      <c r="G3056" s="3" t="inlineStr">
        <is>
          <t>신규보고(+)</t>
        </is>
      </c>
      <c r="H3056" s="6" t="inlineStr"/>
      <c r="I3056" s="6" t="inlineStr"/>
      <c r="J3056" s="6" t="n">
        <v>4237</v>
      </c>
      <c r="K3056" s="16" t="n">
        <v>5.98</v>
      </c>
      <c r="L3056" s="2" t="inlineStr">
        <is>
          <t>20260605000189</t>
        </is>
      </c>
      <c r="M3056" s="8">
        <f>HYPERLINK("https://dart.fss.or.kr/dsaf001/main.do?rcpNo=20260605000189", "공시열람")</f>
        <v/>
      </c>
    </row>
    <row r="3057" ht="22" customHeight="1">
      <c r="A3057" s="2" t="inlineStr">
        <is>
          <t>2026-06-05</t>
        </is>
      </c>
      <c r="B3057" s="3" t="inlineStr">
        <is>
          <t>엔지켐생명과학</t>
        </is>
      </c>
      <c r="C3057" s="2" t="inlineStr">
        <is>
          <t>183490</t>
        </is>
      </c>
      <c r="D3057" s="2" t="inlineStr">
        <is>
          <t>대량보유</t>
        </is>
      </c>
      <c r="E3057" s="3" t="inlineStr">
        <is>
          <t>김익환</t>
        </is>
      </c>
      <c r="F3057" s="3" t="inlineStr">
        <is>
          <t>특별관계자</t>
        </is>
      </c>
      <c r="G3057" s="3" t="inlineStr">
        <is>
          <t>신규보고(+)</t>
        </is>
      </c>
      <c r="H3057" s="6" t="inlineStr"/>
      <c r="I3057" s="6" t="inlineStr"/>
      <c r="J3057" s="6" t="n">
        <v>516</v>
      </c>
      <c r="K3057" s="16" t="n">
        <v>5.98</v>
      </c>
      <c r="L3057" s="2" t="inlineStr">
        <is>
          <t>20260605000189</t>
        </is>
      </c>
      <c r="M3057" s="8">
        <f>HYPERLINK("https://dart.fss.or.kr/dsaf001/main.do?rcpNo=20260605000189", "공시열람")</f>
        <v/>
      </c>
    </row>
    <row r="3058" ht="22" customHeight="1">
      <c r="A3058" s="2" t="inlineStr">
        <is>
          <t>2026-06-05</t>
        </is>
      </c>
      <c r="B3058" s="3" t="inlineStr">
        <is>
          <t>엔지켐생명과학</t>
        </is>
      </c>
      <c r="C3058" s="2" t="inlineStr">
        <is>
          <t>183490</t>
        </is>
      </c>
      <c r="D3058" s="2" t="inlineStr">
        <is>
          <t>대량보유</t>
        </is>
      </c>
      <c r="E3058" s="3" t="inlineStr">
        <is>
          <t>최호식</t>
        </is>
      </c>
      <c r="F3058" s="3" t="inlineStr">
        <is>
          <t>특별관계자</t>
        </is>
      </c>
      <c r="G3058" s="3" t="inlineStr">
        <is>
          <t>신규보고(+)</t>
        </is>
      </c>
      <c r="H3058" s="6" t="inlineStr"/>
      <c r="I3058" s="6" t="inlineStr"/>
      <c r="J3058" s="6" t="n">
        <v>28295</v>
      </c>
      <c r="K3058" s="16" t="n">
        <v>5.98</v>
      </c>
      <c r="L3058" s="2" t="inlineStr">
        <is>
          <t>20260605000189</t>
        </is>
      </c>
      <c r="M3058" s="8">
        <f>HYPERLINK("https://dart.fss.or.kr/dsaf001/main.do?rcpNo=20260605000189", "공시열람")</f>
        <v/>
      </c>
    </row>
    <row r="3059" ht="22" customHeight="1">
      <c r="A3059" s="2" t="inlineStr">
        <is>
          <t>2026-06-05</t>
        </is>
      </c>
      <c r="B3059" s="3" t="inlineStr">
        <is>
          <t>엔지켐생명과학</t>
        </is>
      </c>
      <c r="C3059" s="2" t="inlineStr">
        <is>
          <t>183490</t>
        </is>
      </c>
      <c r="D3059" s="2" t="inlineStr">
        <is>
          <t>대량보유</t>
        </is>
      </c>
      <c r="E3059" s="3" t="inlineStr">
        <is>
          <t>이상헌</t>
        </is>
      </c>
      <c r="F3059" s="3" t="inlineStr">
        <is>
          <t>특별관계자</t>
        </is>
      </c>
      <c r="G3059" s="3" t="inlineStr">
        <is>
          <t>신규보고(+)</t>
        </is>
      </c>
      <c r="H3059" s="6" t="inlineStr"/>
      <c r="I3059" s="6" t="inlineStr"/>
      <c r="J3059" s="6" t="n">
        <v>506759</v>
      </c>
      <c r="K3059" s="16" t="n">
        <v>5.98</v>
      </c>
      <c r="L3059" s="2" t="inlineStr">
        <is>
          <t>20260605000189</t>
        </is>
      </c>
      <c r="M3059" s="8">
        <f>HYPERLINK("https://dart.fss.or.kr/dsaf001/main.do?rcpNo=20260605000189", "공시열람")</f>
        <v/>
      </c>
    </row>
    <row r="3060" ht="22" customHeight="1">
      <c r="A3060" s="2" t="inlineStr">
        <is>
          <t>2026-06-05</t>
        </is>
      </c>
      <c r="B3060" s="3" t="inlineStr">
        <is>
          <t>엔지켐생명과학</t>
        </is>
      </c>
      <c r="C3060" s="2" t="inlineStr">
        <is>
          <t>183490</t>
        </is>
      </c>
      <c r="D3060" s="2" t="inlineStr">
        <is>
          <t>대량보유</t>
        </is>
      </c>
      <c r="E3060" s="3" t="inlineStr">
        <is>
          <t>박정미</t>
        </is>
      </c>
      <c r="F3060" s="3" t="inlineStr">
        <is>
          <t>특별관계자</t>
        </is>
      </c>
      <c r="G3060" s="3" t="inlineStr">
        <is>
          <t>신규보고(+)</t>
        </is>
      </c>
      <c r="H3060" s="6" t="inlineStr"/>
      <c r="I3060" s="6" t="inlineStr"/>
      <c r="J3060" s="6" t="n">
        <v>312</v>
      </c>
      <c r="K3060" s="16" t="n">
        <v>5.98</v>
      </c>
      <c r="L3060" s="2" t="inlineStr">
        <is>
          <t>20260605000189</t>
        </is>
      </c>
      <c r="M3060" s="8">
        <f>HYPERLINK("https://dart.fss.or.kr/dsaf001/main.do?rcpNo=20260605000189", "공시열람")</f>
        <v/>
      </c>
    </row>
    <row r="3061" ht="22" customHeight="1">
      <c r="A3061" s="2" t="inlineStr">
        <is>
          <t>2026-06-05</t>
        </is>
      </c>
      <c r="B3061" s="3" t="inlineStr">
        <is>
          <t>엔지켐생명과학</t>
        </is>
      </c>
      <c r="C3061" s="2" t="inlineStr">
        <is>
          <t>183490</t>
        </is>
      </c>
      <c r="D3061" s="2" t="inlineStr">
        <is>
          <t>대량보유</t>
        </is>
      </c>
      <c r="E3061" s="3" t="inlineStr">
        <is>
          <t>전희선</t>
        </is>
      </c>
      <c r="F3061" s="3" t="inlineStr">
        <is>
          <t>특별관계자</t>
        </is>
      </c>
      <c r="G3061" s="3" t="inlineStr">
        <is>
          <t>신규보고(+)</t>
        </is>
      </c>
      <c r="H3061" s="6" t="inlineStr"/>
      <c r="I3061" s="6" t="inlineStr"/>
      <c r="J3061" s="6" t="n">
        <v>5160</v>
      </c>
      <c r="K3061" s="16" t="n">
        <v>5.98</v>
      </c>
      <c r="L3061" s="2" t="inlineStr">
        <is>
          <t>20260605000189</t>
        </is>
      </c>
      <c r="M3061" s="8">
        <f>HYPERLINK("https://dart.fss.or.kr/dsaf001/main.do?rcpNo=20260605000189", "공시열람")</f>
        <v/>
      </c>
    </row>
    <row r="3062" ht="22" customHeight="1">
      <c r="A3062" s="2" t="inlineStr">
        <is>
          <t>2026-06-05</t>
        </is>
      </c>
      <c r="B3062" s="3" t="inlineStr">
        <is>
          <t>엔지켐생명과학</t>
        </is>
      </c>
      <c r="C3062" s="2" t="inlineStr">
        <is>
          <t>183490</t>
        </is>
      </c>
      <c r="D3062" s="2" t="inlineStr">
        <is>
          <t>대량보유</t>
        </is>
      </c>
      <c r="E3062" s="3" t="inlineStr">
        <is>
          <t>윤재구</t>
        </is>
      </c>
      <c r="F3062" s="3" t="inlineStr">
        <is>
          <t>특별관계자</t>
        </is>
      </c>
      <c r="G3062" s="3" t="inlineStr">
        <is>
          <t>신규보고(+)</t>
        </is>
      </c>
      <c r="H3062" s="6" t="inlineStr"/>
      <c r="I3062" s="6" t="inlineStr"/>
      <c r="J3062" s="6" t="n">
        <v>10060</v>
      </c>
      <c r="K3062" s="16" t="n">
        <v>5.98</v>
      </c>
      <c r="L3062" s="2" t="inlineStr">
        <is>
          <t>20260605000189</t>
        </is>
      </c>
      <c r="M3062" s="8">
        <f>HYPERLINK("https://dart.fss.or.kr/dsaf001/main.do?rcpNo=20260605000189", "공시열람")</f>
        <v/>
      </c>
    </row>
    <row r="3063" ht="22" customHeight="1">
      <c r="A3063" s="2" t="inlineStr">
        <is>
          <t>2026-06-05</t>
        </is>
      </c>
      <c r="B3063" s="3" t="inlineStr">
        <is>
          <t>엔지켐생명과학</t>
        </is>
      </c>
      <c r="C3063" s="2" t="inlineStr">
        <is>
          <t>183490</t>
        </is>
      </c>
      <c r="D3063" s="2" t="inlineStr">
        <is>
          <t>대량보유</t>
        </is>
      </c>
      <c r="E3063" s="3" t="inlineStr">
        <is>
          <t>최기석</t>
        </is>
      </c>
      <c r="F3063" s="3" t="inlineStr">
        <is>
          <t>특별관계자</t>
        </is>
      </c>
      <c r="G3063" s="3" t="inlineStr">
        <is>
          <t>신규보고(+)</t>
        </is>
      </c>
      <c r="H3063" s="6" t="inlineStr"/>
      <c r="I3063" s="6" t="inlineStr"/>
      <c r="J3063" s="6" t="n">
        <v>10692</v>
      </c>
      <c r="K3063" s="16" t="n">
        <v>5.98</v>
      </c>
      <c r="L3063" s="2" t="inlineStr">
        <is>
          <t>20260605000189</t>
        </is>
      </c>
      <c r="M3063" s="8">
        <f>HYPERLINK("https://dart.fss.or.kr/dsaf001/main.do?rcpNo=20260605000189", "공시열람")</f>
        <v/>
      </c>
    </row>
    <row r="3064" ht="22" customHeight="1">
      <c r="A3064" s="2" t="inlineStr">
        <is>
          <t>2026-06-05</t>
        </is>
      </c>
      <c r="B3064" s="3" t="inlineStr">
        <is>
          <t>엔지켐생명과학</t>
        </is>
      </c>
      <c r="C3064" s="2" t="inlineStr">
        <is>
          <t>183490</t>
        </is>
      </c>
      <c r="D3064" s="2" t="inlineStr">
        <is>
          <t>대량보유</t>
        </is>
      </c>
      <c r="E3064" s="3" t="inlineStr">
        <is>
          <t>장현진</t>
        </is>
      </c>
      <c r="F3064" s="3" t="inlineStr">
        <is>
          <t>특별관계자</t>
        </is>
      </c>
      <c r="G3064" s="3" t="inlineStr">
        <is>
          <t>신규보고(+)</t>
        </is>
      </c>
      <c r="H3064" s="6" t="inlineStr"/>
      <c r="I3064" s="6" t="inlineStr"/>
      <c r="J3064" s="6" t="n">
        <v>38000</v>
      </c>
      <c r="K3064" s="16" t="n">
        <v>5.98</v>
      </c>
      <c r="L3064" s="2" t="inlineStr">
        <is>
          <t>20260605000189</t>
        </is>
      </c>
      <c r="M3064" s="8">
        <f>HYPERLINK("https://dart.fss.or.kr/dsaf001/main.do?rcpNo=20260605000189", "공시열람")</f>
        <v/>
      </c>
    </row>
    <row r="3065" ht="22" customHeight="1">
      <c r="A3065" s="2" t="inlineStr">
        <is>
          <t>2026-06-05</t>
        </is>
      </c>
      <c r="B3065" s="3" t="inlineStr">
        <is>
          <t>엔지켐생명과학</t>
        </is>
      </c>
      <c r="C3065" s="2" t="inlineStr">
        <is>
          <t>183490</t>
        </is>
      </c>
      <c r="D3065" s="2" t="inlineStr">
        <is>
          <t>대량보유</t>
        </is>
      </c>
      <c r="E3065" s="3" t="inlineStr">
        <is>
          <t>박종휘</t>
        </is>
      </c>
      <c r="F3065" s="3" t="inlineStr">
        <is>
          <t>특별관계자</t>
        </is>
      </c>
      <c r="G3065" s="3" t="inlineStr">
        <is>
          <t>신규보고(+)</t>
        </is>
      </c>
      <c r="H3065" s="6" t="inlineStr"/>
      <c r="I3065" s="6" t="inlineStr"/>
      <c r="J3065" s="6" t="n">
        <v>5400</v>
      </c>
      <c r="K3065" s="16" t="n">
        <v>5.98</v>
      </c>
      <c r="L3065" s="2" t="inlineStr">
        <is>
          <t>20260605000189</t>
        </is>
      </c>
      <c r="M3065" s="8">
        <f>HYPERLINK("https://dart.fss.or.kr/dsaf001/main.do?rcpNo=20260605000189", "공시열람")</f>
        <v/>
      </c>
    </row>
    <row r="3066" ht="22" customHeight="1">
      <c r="A3066" s="2" t="inlineStr">
        <is>
          <t>2026-06-05</t>
        </is>
      </c>
      <c r="B3066" s="3" t="inlineStr">
        <is>
          <t>엔지켐생명과학</t>
        </is>
      </c>
      <c r="C3066" s="2" t="inlineStr">
        <is>
          <t>183490</t>
        </is>
      </c>
      <c r="D3066" s="2" t="inlineStr">
        <is>
          <t>대량보유</t>
        </is>
      </c>
      <c r="E3066" s="3" t="inlineStr">
        <is>
          <t>전병영</t>
        </is>
      </c>
      <c r="F3066" s="3" t="inlineStr">
        <is>
          <t>특별관계자</t>
        </is>
      </c>
      <c r="G3066" s="3" t="inlineStr">
        <is>
          <t>신규보고(+)</t>
        </is>
      </c>
      <c r="H3066" s="6" t="inlineStr"/>
      <c r="I3066" s="6" t="inlineStr"/>
      <c r="J3066" s="6" t="n">
        <v>9521</v>
      </c>
      <c r="K3066" s="16" t="n">
        <v>5.98</v>
      </c>
      <c r="L3066" s="2" t="inlineStr">
        <is>
          <t>20260605000189</t>
        </is>
      </c>
      <c r="M3066" s="8">
        <f>HYPERLINK("https://dart.fss.or.kr/dsaf001/main.do?rcpNo=20260605000189", "공시열람")</f>
        <v/>
      </c>
    </row>
    <row r="3067" ht="22" customHeight="1">
      <c r="A3067" s="2" t="inlineStr">
        <is>
          <t>2026-06-05</t>
        </is>
      </c>
      <c r="B3067" s="3" t="inlineStr">
        <is>
          <t>엔지켐생명과학</t>
        </is>
      </c>
      <c r="C3067" s="2" t="inlineStr">
        <is>
          <t>183490</t>
        </is>
      </c>
      <c r="D3067" s="2" t="inlineStr">
        <is>
          <t>대량보유</t>
        </is>
      </c>
      <c r="E3067" s="3" t="inlineStr">
        <is>
          <t>임가영</t>
        </is>
      </c>
      <c r="F3067" s="3" t="inlineStr">
        <is>
          <t>특별관계자</t>
        </is>
      </c>
      <c r="G3067" s="3" t="inlineStr">
        <is>
          <t>신규보고(+)</t>
        </is>
      </c>
      <c r="H3067" s="6" t="inlineStr"/>
      <c r="I3067" s="6" t="inlineStr"/>
      <c r="J3067" s="6" t="n">
        <v>3786</v>
      </c>
      <c r="K3067" s="16" t="n">
        <v>5.98</v>
      </c>
      <c r="L3067" s="2" t="inlineStr">
        <is>
          <t>20260605000189</t>
        </is>
      </c>
      <c r="M3067" s="8">
        <f>HYPERLINK("https://dart.fss.or.kr/dsaf001/main.do?rcpNo=20260605000189", "공시열람")</f>
        <v/>
      </c>
    </row>
    <row r="3068" ht="22" customHeight="1">
      <c r="A3068" s="2" t="inlineStr">
        <is>
          <t>2026-06-05</t>
        </is>
      </c>
      <c r="B3068" s="3" t="inlineStr">
        <is>
          <t>엔지켐생명과학</t>
        </is>
      </c>
      <c r="C3068" s="2" t="inlineStr">
        <is>
          <t>183490</t>
        </is>
      </c>
      <c r="D3068" s="2" t="inlineStr">
        <is>
          <t>대량보유</t>
        </is>
      </c>
      <c r="E3068" s="3" t="inlineStr">
        <is>
          <t>이승우</t>
        </is>
      </c>
      <c r="F3068" s="3" t="inlineStr">
        <is>
          <t>특별관계자</t>
        </is>
      </c>
      <c r="G3068" s="3" t="inlineStr">
        <is>
          <t>신규보고(+)</t>
        </is>
      </c>
      <c r="H3068" s="6" t="inlineStr"/>
      <c r="I3068" s="6" t="inlineStr"/>
      <c r="J3068" s="6" t="n">
        <v>2511</v>
      </c>
      <c r="K3068" s="16" t="n">
        <v>5.98</v>
      </c>
      <c r="L3068" s="2" t="inlineStr">
        <is>
          <t>20260605000189</t>
        </is>
      </c>
      <c r="M3068" s="8">
        <f>HYPERLINK("https://dart.fss.or.kr/dsaf001/main.do?rcpNo=20260605000189", "공시열람")</f>
        <v/>
      </c>
    </row>
    <row r="3069" ht="22" customHeight="1">
      <c r="A3069" s="2" t="inlineStr">
        <is>
          <t>2026-06-05</t>
        </is>
      </c>
      <c r="B3069" s="3" t="inlineStr">
        <is>
          <t>엔지켐생명과학</t>
        </is>
      </c>
      <c r="C3069" s="2" t="inlineStr">
        <is>
          <t>183490</t>
        </is>
      </c>
      <c r="D3069" s="2" t="inlineStr">
        <is>
          <t>대량보유</t>
        </is>
      </c>
      <c r="E3069" s="3" t="inlineStr">
        <is>
          <t>이도경</t>
        </is>
      </c>
      <c r="F3069" s="3" t="inlineStr">
        <is>
          <t>특별관계자</t>
        </is>
      </c>
      <c r="G3069" s="3" t="inlineStr">
        <is>
          <t>신규보고(+)</t>
        </is>
      </c>
      <c r="H3069" s="6" t="inlineStr"/>
      <c r="I3069" s="6" t="inlineStr"/>
      <c r="J3069" s="6" t="n">
        <v>63419</v>
      </c>
      <c r="K3069" s="16" t="n">
        <v>5.98</v>
      </c>
      <c r="L3069" s="2" t="inlineStr">
        <is>
          <t>20260605000189</t>
        </is>
      </c>
      <c r="M3069" s="8">
        <f>HYPERLINK("https://dart.fss.or.kr/dsaf001/main.do?rcpNo=20260605000189", "공시열람")</f>
        <v/>
      </c>
    </row>
    <row r="3070" ht="22" customHeight="1">
      <c r="A3070" s="2" t="inlineStr">
        <is>
          <t>2026-06-05</t>
        </is>
      </c>
      <c r="B3070" s="3" t="inlineStr">
        <is>
          <t>엔지켐생명과학</t>
        </is>
      </c>
      <c r="C3070" s="2" t="inlineStr">
        <is>
          <t>183490</t>
        </is>
      </c>
      <c r="D3070" s="2" t="inlineStr">
        <is>
          <t>대량보유</t>
        </is>
      </c>
      <c r="E3070" s="3" t="inlineStr">
        <is>
          <t>온초현</t>
        </is>
      </c>
      <c r="F3070" s="3" t="inlineStr">
        <is>
          <t>특별관계자</t>
        </is>
      </c>
      <c r="G3070" s="3" t="inlineStr">
        <is>
          <t>신규보고(+)</t>
        </is>
      </c>
      <c r="H3070" s="6" t="inlineStr"/>
      <c r="I3070" s="6" t="inlineStr"/>
      <c r="J3070" s="6" t="n">
        <v>3672</v>
      </c>
      <c r="K3070" s="16" t="n">
        <v>5.98</v>
      </c>
      <c r="L3070" s="2" t="inlineStr">
        <is>
          <t>20260605000189</t>
        </is>
      </c>
      <c r="M3070" s="8">
        <f>HYPERLINK("https://dart.fss.or.kr/dsaf001/main.do?rcpNo=20260605000189", "공시열람")</f>
        <v/>
      </c>
    </row>
    <row r="3071" ht="22" customHeight="1">
      <c r="A3071" s="2" t="inlineStr">
        <is>
          <t>2026-06-05</t>
        </is>
      </c>
      <c r="B3071" s="3" t="inlineStr">
        <is>
          <t>엔지켐생명과학</t>
        </is>
      </c>
      <c r="C3071" s="2" t="inlineStr">
        <is>
          <t>183490</t>
        </is>
      </c>
      <c r="D3071" s="2" t="inlineStr">
        <is>
          <t>대량보유</t>
        </is>
      </c>
      <c r="E3071" s="3" t="inlineStr">
        <is>
          <t>이명희</t>
        </is>
      </c>
      <c r="F3071" s="3" t="inlineStr">
        <is>
          <t>특별관계자</t>
        </is>
      </c>
      <c r="G3071" s="3" t="inlineStr">
        <is>
          <t>신규보고(+)</t>
        </is>
      </c>
      <c r="H3071" s="6" t="inlineStr"/>
      <c r="I3071" s="6" t="inlineStr"/>
      <c r="J3071" s="6" t="n">
        <v>42467</v>
      </c>
      <c r="K3071" s="16" t="n">
        <v>5.98</v>
      </c>
      <c r="L3071" s="2" t="inlineStr">
        <is>
          <t>20260605000189</t>
        </is>
      </c>
      <c r="M3071" s="8">
        <f>HYPERLINK("https://dart.fss.or.kr/dsaf001/main.do?rcpNo=20260605000189", "공시열람")</f>
        <v/>
      </c>
    </row>
    <row r="3072" ht="22" customHeight="1">
      <c r="A3072" s="2" t="inlineStr">
        <is>
          <t>2026-06-05</t>
        </is>
      </c>
      <c r="B3072" s="3" t="inlineStr">
        <is>
          <t>엔지켐생명과학</t>
        </is>
      </c>
      <c r="C3072" s="2" t="inlineStr">
        <is>
          <t>183490</t>
        </is>
      </c>
      <c r="D3072" s="2" t="inlineStr">
        <is>
          <t>대량보유</t>
        </is>
      </c>
      <c r="E3072" s="3" t="inlineStr">
        <is>
          <t>임송엽</t>
        </is>
      </c>
      <c r="F3072" s="3" t="inlineStr">
        <is>
          <t>특별관계자</t>
        </is>
      </c>
      <c r="G3072" s="3" t="inlineStr">
        <is>
          <t>신규보고(+)</t>
        </is>
      </c>
      <c r="H3072" s="6" t="inlineStr"/>
      <c r="I3072" s="6" t="inlineStr"/>
      <c r="J3072" s="6" t="n">
        <v>423179</v>
      </c>
      <c r="K3072" s="16" t="n">
        <v>5.98</v>
      </c>
      <c r="L3072" s="2" t="inlineStr">
        <is>
          <t>20260605000189</t>
        </is>
      </c>
      <c r="M3072" s="8">
        <f>HYPERLINK("https://dart.fss.or.kr/dsaf001/main.do?rcpNo=20260605000189", "공시열람")</f>
        <v/>
      </c>
    </row>
    <row r="3073" ht="22" customHeight="1">
      <c r="A3073" s="2" t="inlineStr">
        <is>
          <t>2026-06-05</t>
        </is>
      </c>
      <c r="B3073" s="3" t="inlineStr">
        <is>
          <t>엔지켐생명과학</t>
        </is>
      </c>
      <c r="C3073" s="2" t="inlineStr">
        <is>
          <t>183490</t>
        </is>
      </c>
      <c r="D3073" s="2" t="inlineStr">
        <is>
          <t>대량보유</t>
        </is>
      </c>
      <c r="E3073" s="3" t="inlineStr">
        <is>
          <t>김춘호</t>
        </is>
      </c>
      <c r="F3073" s="3" t="inlineStr">
        <is>
          <t>특별관계자</t>
        </is>
      </c>
      <c r="G3073" s="3" t="inlineStr">
        <is>
          <t>신규보고(+)</t>
        </is>
      </c>
      <c r="H3073" s="6" t="inlineStr"/>
      <c r="I3073" s="6" t="inlineStr"/>
      <c r="J3073" s="6" t="n">
        <v>101550</v>
      </c>
      <c r="K3073" s="16" t="n">
        <v>5.98</v>
      </c>
      <c r="L3073" s="2" t="inlineStr">
        <is>
          <t>20260605000189</t>
        </is>
      </c>
      <c r="M3073" s="8">
        <f>HYPERLINK("https://dart.fss.or.kr/dsaf001/main.do?rcpNo=20260605000189", "공시열람")</f>
        <v/>
      </c>
    </row>
    <row r="3074" ht="22" customHeight="1">
      <c r="A3074" s="2" t="inlineStr">
        <is>
          <t>2026-06-05</t>
        </is>
      </c>
      <c r="B3074" s="3" t="inlineStr">
        <is>
          <t>엔지켐생명과학</t>
        </is>
      </c>
      <c r="C3074" s="2" t="inlineStr">
        <is>
          <t>183490</t>
        </is>
      </c>
      <c r="D3074" s="2" t="inlineStr">
        <is>
          <t>대량보유</t>
        </is>
      </c>
      <c r="E3074" s="3" t="inlineStr">
        <is>
          <t>송미란</t>
        </is>
      </c>
      <c r="F3074" s="3" t="inlineStr">
        <is>
          <t>특별관계자</t>
        </is>
      </c>
      <c r="G3074" s="3" t="inlineStr">
        <is>
          <t>신규보고(+)</t>
        </is>
      </c>
      <c r="H3074" s="6" t="inlineStr"/>
      <c r="I3074" s="6" t="inlineStr"/>
      <c r="J3074" s="6" t="n">
        <v>2538</v>
      </c>
      <c r="K3074" s="16" t="n">
        <v>5.98</v>
      </c>
      <c r="L3074" s="2" t="inlineStr">
        <is>
          <t>20260605000189</t>
        </is>
      </c>
      <c r="M3074" s="8">
        <f>HYPERLINK("https://dart.fss.or.kr/dsaf001/main.do?rcpNo=20260605000189", "공시열람")</f>
        <v/>
      </c>
    </row>
    <row r="3075" ht="22" customHeight="1">
      <c r="A3075" s="2" t="inlineStr">
        <is>
          <t>2026-06-05</t>
        </is>
      </c>
      <c r="B3075" s="3" t="inlineStr">
        <is>
          <t>엔지켐생명과학</t>
        </is>
      </c>
      <c r="C3075" s="2" t="inlineStr">
        <is>
          <t>183490</t>
        </is>
      </c>
      <c r="D3075" s="2" t="inlineStr">
        <is>
          <t>대량보유</t>
        </is>
      </c>
      <c r="E3075" s="3" t="inlineStr">
        <is>
          <t>박종관</t>
        </is>
      </c>
      <c r="F3075" s="3" t="inlineStr">
        <is>
          <t>특별관계자</t>
        </is>
      </c>
      <c r="G3075" s="3" t="inlineStr">
        <is>
          <t>신규보고(+)</t>
        </is>
      </c>
      <c r="H3075" s="6" t="inlineStr"/>
      <c r="I3075" s="6" t="inlineStr"/>
      <c r="J3075" s="6" t="n">
        <v>8559</v>
      </c>
      <c r="K3075" s="16" t="n">
        <v>5.98</v>
      </c>
      <c r="L3075" s="2" t="inlineStr">
        <is>
          <t>20260605000189</t>
        </is>
      </c>
      <c r="M3075" s="8">
        <f>HYPERLINK("https://dart.fss.or.kr/dsaf001/main.do?rcpNo=20260605000189", "공시열람")</f>
        <v/>
      </c>
    </row>
    <row r="3076" ht="22" customHeight="1">
      <c r="A3076" s="2" t="inlineStr">
        <is>
          <t>2026-06-05</t>
        </is>
      </c>
      <c r="B3076" s="3" t="inlineStr">
        <is>
          <t>엔지켐생명과학</t>
        </is>
      </c>
      <c r="C3076" s="2" t="inlineStr">
        <is>
          <t>183490</t>
        </is>
      </c>
      <c r="D3076" s="2" t="inlineStr">
        <is>
          <t>대량보유</t>
        </is>
      </c>
      <c r="E3076" s="3" t="inlineStr">
        <is>
          <t>은기남</t>
        </is>
      </c>
      <c r="F3076" s="3" t="inlineStr">
        <is>
          <t>특별관계자</t>
        </is>
      </c>
      <c r="G3076" s="3" t="inlineStr">
        <is>
          <t>신규보고(+)</t>
        </is>
      </c>
      <c r="H3076" s="6" t="inlineStr"/>
      <c r="I3076" s="6" t="inlineStr"/>
      <c r="J3076" s="6" t="n">
        <v>47793</v>
      </c>
      <c r="K3076" s="16" t="n">
        <v>5.98</v>
      </c>
      <c r="L3076" s="2" t="inlineStr">
        <is>
          <t>20260605000189</t>
        </is>
      </c>
      <c r="M3076" s="8">
        <f>HYPERLINK("https://dart.fss.or.kr/dsaf001/main.do?rcpNo=20260605000189", "공시열람")</f>
        <v/>
      </c>
    </row>
    <row r="3077" ht="22" customHeight="1">
      <c r="A3077" s="2" t="inlineStr">
        <is>
          <t>2026-06-05</t>
        </is>
      </c>
      <c r="B3077" s="3" t="inlineStr">
        <is>
          <t>엔지켐생명과학</t>
        </is>
      </c>
      <c r="C3077" s="2" t="inlineStr">
        <is>
          <t>183490</t>
        </is>
      </c>
      <c r="D3077" s="2" t="inlineStr">
        <is>
          <t>대량보유</t>
        </is>
      </c>
      <c r="E3077" s="3" t="inlineStr">
        <is>
          <t>조병훈</t>
        </is>
      </c>
      <c r="F3077" s="3" t="inlineStr">
        <is>
          <t>특별관계자</t>
        </is>
      </c>
      <c r="G3077" s="3" t="inlineStr">
        <is>
          <t>신규보고(+)</t>
        </is>
      </c>
      <c r="H3077" s="6" t="inlineStr"/>
      <c r="I3077" s="6" t="inlineStr"/>
      <c r="J3077" s="6" t="n">
        <v>720</v>
      </c>
      <c r="K3077" s="16" t="n">
        <v>5.98</v>
      </c>
      <c r="L3077" s="2" t="inlineStr">
        <is>
          <t>20260605000189</t>
        </is>
      </c>
      <c r="M3077" s="8">
        <f>HYPERLINK("https://dart.fss.or.kr/dsaf001/main.do?rcpNo=20260605000189", "공시열람")</f>
        <v/>
      </c>
    </row>
    <row r="3078" ht="22" customHeight="1">
      <c r="A3078" s="2" t="inlineStr">
        <is>
          <t>2026-06-05</t>
        </is>
      </c>
      <c r="B3078" s="3" t="inlineStr">
        <is>
          <t>엔지켐생명과학</t>
        </is>
      </c>
      <c r="C3078" s="2" t="inlineStr">
        <is>
          <t>183490</t>
        </is>
      </c>
      <c r="D3078" s="2" t="inlineStr">
        <is>
          <t>대량보유</t>
        </is>
      </c>
      <c r="E3078" s="3" t="inlineStr">
        <is>
          <t>유수미</t>
        </is>
      </c>
      <c r="F3078" s="3" t="inlineStr">
        <is>
          <t>특별관계자</t>
        </is>
      </c>
      <c r="G3078" s="3" t="inlineStr">
        <is>
          <t>신규보고(+)</t>
        </is>
      </c>
      <c r="H3078" s="6" t="inlineStr"/>
      <c r="I3078" s="6" t="inlineStr"/>
      <c r="J3078" s="6" t="n">
        <v>1563</v>
      </c>
      <c r="K3078" s="16" t="n">
        <v>5.98</v>
      </c>
      <c r="L3078" s="2" t="inlineStr">
        <is>
          <t>20260605000189</t>
        </is>
      </c>
      <c r="M3078" s="8">
        <f>HYPERLINK("https://dart.fss.or.kr/dsaf001/main.do?rcpNo=20260605000189", "공시열람")</f>
        <v/>
      </c>
    </row>
    <row r="3079" ht="22" customHeight="1">
      <c r="A3079" s="2" t="inlineStr">
        <is>
          <t>2026-06-05</t>
        </is>
      </c>
      <c r="B3079" s="3" t="inlineStr">
        <is>
          <t>엔지켐생명과학</t>
        </is>
      </c>
      <c r="C3079" s="2" t="inlineStr">
        <is>
          <t>183490</t>
        </is>
      </c>
      <c r="D3079" s="2" t="inlineStr">
        <is>
          <t>대량보유</t>
        </is>
      </c>
      <c r="E3079" s="3" t="inlineStr">
        <is>
          <t>신진우</t>
        </is>
      </c>
      <c r="F3079" s="3" t="inlineStr">
        <is>
          <t>특별관계자</t>
        </is>
      </c>
      <c r="G3079" s="3" t="inlineStr">
        <is>
          <t>신규보고(+)</t>
        </is>
      </c>
      <c r="H3079" s="6" t="inlineStr"/>
      <c r="I3079" s="6" t="inlineStr"/>
      <c r="J3079" s="6" t="n">
        <v>22000</v>
      </c>
      <c r="K3079" s="16" t="n">
        <v>5.98</v>
      </c>
      <c r="L3079" s="2" t="inlineStr">
        <is>
          <t>20260605000189</t>
        </is>
      </c>
      <c r="M3079" s="8">
        <f>HYPERLINK("https://dart.fss.or.kr/dsaf001/main.do?rcpNo=20260605000189", "공시열람")</f>
        <v/>
      </c>
    </row>
    <row r="3080" ht="22" customHeight="1">
      <c r="A3080" s="2" t="inlineStr">
        <is>
          <t>2026-06-05</t>
        </is>
      </c>
      <c r="B3080" s="3" t="inlineStr">
        <is>
          <t>엔지켐생명과학</t>
        </is>
      </c>
      <c r="C3080" s="2" t="inlineStr">
        <is>
          <t>183490</t>
        </is>
      </c>
      <c r="D3080" s="2" t="inlineStr">
        <is>
          <t>대량보유</t>
        </is>
      </c>
      <c r="E3080" s="3" t="inlineStr">
        <is>
          <t>고희언</t>
        </is>
      </c>
      <c r="F3080" s="3" t="inlineStr">
        <is>
          <t>특별관계자</t>
        </is>
      </c>
      <c r="G3080" s="3" t="inlineStr">
        <is>
          <t>신규보고(+)</t>
        </is>
      </c>
      <c r="H3080" s="6" t="inlineStr"/>
      <c r="I3080" s="6" t="inlineStr"/>
      <c r="J3080" s="6" t="n">
        <v>1000</v>
      </c>
      <c r="K3080" s="16" t="n">
        <v>5.98</v>
      </c>
      <c r="L3080" s="2" t="inlineStr">
        <is>
          <t>20260605000189</t>
        </is>
      </c>
      <c r="M3080" s="8">
        <f>HYPERLINK("https://dart.fss.or.kr/dsaf001/main.do?rcpNo=20260605000189", "공시열람")</f>
        <v/>
      </c>
    </row>
    <row r="3081" ht="22" customHeight="1">
      <c r="A3081" s="2" t="inlineStr">
        <is>
          <t>2026-06-05</t>
        </is>
      </c>
      <c r="B3081" s="3" t="inlineStr">
        <is>
          <t>엔지켐생명과학</t>
        </is>
      </c>
      <c r="C3081" s="2" t="inlineStr">
        <is>
          <t>183490</t>
        </is>
      </c>
      <c r="D3081" s="2" t="inlineStr">
        <is>
          <t>대량보유</t>
        </is>
      </c>
      <c r="E3081" s="3" t="inlineStr">
        <is>
          <t>박은혜</t>
        </is>
      </c>
      <c r="F3081" s="3" t="inlineStr">
        <is>
          <t>특별관계자</t>
        </is>
      </c>
      <c r="G3081" s="3" t="inlineStr">
        <is>
          <t>신규보고(+)</t>
        </is>
      </c>
      <c r="H3081" s="6" t="inlineStr"/>
      <c r="I3081" s="6" t="inlineStr"/>
      <c r="J3081" s="6" t="n">
        <v>600</v>
      </c>
      <c r="K3081" s="16" t="n">
        <v>5.98</v>
      </c>
      <c r="L3081" s="2" t="inlineStr">
        <is>
          <t>20260605000189</t>
        </is>
      </c>
      <c r="M3081" s="8">
        <f>HYPERLINK("https://dart.fss.or.kr/dsaf001/main.do?rcpNo=20260605000189", "공시열람")</f>
        <v/>
      </c>
    </row>
    <row r="3082" ht="22" customHeight="1">
      <c r="A3082" s="2" t="inlineStr">
        <is>
          <t>2026-06-05</t>
        </is>
      </c>
      <c r="B3082" s="3" t="inlineStr">
        <is>
          <t>엔지켐생명과학</t>
        </is>
      </c>
      <c r="C3082" s="2" t="inlineStr">
        <is>
          <t>183490</t>
        </is>
      </c>
      <c r="D3082" s="2" t="inlineStr">
        <is>
          <t>대량보유</t>
        </is>
      </c>
      <c r="E3082" s="3" t="inlineStr">
        <is>
          <t>최우영</t>
        </is>
      </c>
      <c r="F3082" s="3" t="inlineStr">
        <is>
          <t>특별관계자</t>
        </is>
      </c>
      <c r="G3082" s="3" t="inlineStr">
        <is>
          <t>신규보고(+)</t>
        </is>
      </c>
      <c r="H3082" s="6" t="inlineStr"/>
      <c r="I3082" s="6" t="inlineStr"/>
      <c r="J3082" s="6" t="n">
        <v>2558</v>
      </c>
      <c r="K3082" s="16" t="n">
        <v>5.98</v>
      </c>
      <c r="L3082" s="2" t="inlineStr">
        <is>
          <t>20260605000189</t>
        </is>
      </c>
      <c r="M3082" s="8">
        <f>HYPERLINK("https://dart.fss.or.kr/dsaf001/main.do?rcpNo=20260605000189", "공시열람")</f>
        <v/>
      </c>
    </row>
    <row r="3083" ht="22" customHeight="1">
      <c r="A3083" s="2" t="inlineStr">
        <is>
          <t>2026-06-05</t>
        </is>
      </c>
      <c r="B3083" s="3" t="inlineStr">
        <is>
          <t>엔지켐생명과학</t>
        </is>
      </c>
      <c r="C3083" s="2" t="inlineStr">
        <is>
          <t>183490</t>
        </is>
      </c>
      <c r="D3083" s="2" t="inlineStr">
        <is>
          <t>대량보유</t>
        </is>
      </c>
      <c r="E3083" s="3" t="inlineStr">
        <is>
          <t>김기환</t>
        </is>
      </c>
      <c r="F3083" s="3" t="inlineStr">
        <is>
          <t>특별관계자</t>
        </is>
      </c>
      <c r="G3083" s="3" t="inlineStr">
        <is>
          <t>신규보고(+)</t>
        </is>
      </c>
      <c r="H3083" s="6" t="inlineStr"/>
      <c r="I3083" s="6" t="inlineStr"/>
      <c r="J3083" s="6" t="n">
        <v>7181</v>
      </c>
      <c r="K3083" s="16" t="n">
        <v>5.98</v>
      </c>
      <c r="L3083" s="2" t="inlineStr">
        <is>
          <t>20260605000189</t>
        </is>
      </c>
      <c r="M3083" s="8">
        <f>HYPERLINK("https://dart.fss.or.kr/dsaf001/main.do?rcpNo=20260605000189", "공시열람")</f>
        <v/>
      </c>
    </row>
    <row r="3084" ht="22" customHeight="1">
      <c r="A3084" s="2" t="inlineStr">
        <is>
          <t>2026-06-05</t>
        </is>
      </c>
      <c r="B3084" s="3" t="inlineStr">
        <is>
          <t>엔지켐생명과학</t>
        </is>
      </c>
      <c r="C3084" s="2" t="inlineStr">
        <is>
          <t>183490</t>
        </is>
      </c>
      <c r="D3084" s="2" t="inlineStr">
        <is>
          <t>대량보유</t>
        </is>
      </c>
      <c r="E3084" s="3" t="inlineStr">
        <is>
          <t>박정우</t>
        </is>
      </c>
      <c r="F3084" s="3" t="inlineStr">
        <is>
          <t>특별관계자</t>
        </is>
      </c>
      <c r="G3084" s="3" t="inlineStr">
        <is>
          <t>신규보고(+)</t>
        </is>
      </c>
      <c r="H3084" s="6" t="inlineStr"/>
      <c r="I3084" s="6" t="inlineStr"/>
      <c r="J3084" s="6" t="n">
        <v>8980</v>
      </c>
      <c r="K3084" s="16" t="n">
        <v>5.98</v>
      </c>
      <c r="L3084" s="2" t="inlineStr">
        <is>
          <t>20260605000189</t>
        </is>
      </c>
      <c r="M3084" s="8">
        <f>HYPERLINK("https://dart.fss.or.kr/dsaf001/main.do?rcpNo=20260605000189", "공시열람")</f>
        <v/>
      </c>
    </row>
    <row r="3085" ht="22" customHeight="1">
      <c r="A3085" s="2" t="inlineStr">
        <is>
          <t>2026-06-05</t>
        </is>
      </c>
      <c r="B3085" s="3" t="inlineStr">
        <is>
          <t>엔지켐생명과학</t>
        </is>
      </c>
      <c r="C3085" s="2" t="inlineStr">
        <is>
          <t>183490</t>
        </is>
      </c>
      <c r="D3085" s="2" t="inlineStr">
        <is>
          <t>대량보유</t>
        </is>
      </c>
      <c r="E3085" s="3" t="inlineStr">
        <is>
          <t>함덕현</t>
        </is>
      </c>
      <c r="F3085" s="3" t="inlineStr">
        <is>
          <t>특별관계자</t>
        </is>
      </c>
      <c r="G3085" s="3" t="inlineStr">
        <is>
          <t>신규보고(+)</t>
        </is>
      </c>
      <c r="H3085" s="6" t="inlineStr"/>
      <c r="I3085" s="6" t="inlineStr"/>
      <c r="J3085" s="6" t="n">
        <v>3965</v>
      </c>
      <c r="K3085" s="16" t="n">
        <v>5.98</v>
      </c>
      <c r="L3085" s="2" t="inlineStr">
        <is>
          <t>20260605000189</t>
        </is>
      </c>
      <c r="M3085" s="8">
        <f>HYPERLINK("https://dart.fss.or.kr/dsaf001/main.do?rcpNo=20260605000189", "공시열람")</f>
        <v/>
      </c>
    </row>
    <row r="3086" ht="22" customHeight="1">
      <c r="A3086" s="2" t="inlineStr">
        <is>
          <t>2026-06-05</t>
        </is>
      </c>
      <c r="B3086" s="3" t="inlineStr">
        <is>
          <t>엔지켐생명과학</t>
        </is>
      </c>
      <c r="C3086" s="2" t="inlineStr">
        <is>
          <t>183490</t>
        </is>
      </c>
      <c r="D3086" s="2" t="inlineStr">
        <is>
          <t>대량보유</t>
        </is>
      </c>
      <c r="E3086" s="3" t="inlineStr">
        <is>
          <t>유호태</t>
        </is>
      </c>
      <c r="F3086" s="3" t="inlineStr">
        <is>
          <t>특별관계자</t>
        </is>
      </c>
      <c r="G3086" s="3" t="inlineStr">
        <is>
          <t>신규보고(+)</t>
        </is>
      </c>
      <c r="H3086" s="6" t="inlineStr"/>
      <c r="I3086" s="6" t="inlineStr"/>
      <c r="J3086" s="6" t="n">
        <v>32032</v>
      </c>
      <c r="K3086" s="16" t="n">
        <v>5.98</v>
      </c>
      <c r="L3086" s="2" t="inlineStr">
        <is>
          <t>20260605000189</t>
        </is>
      </c>
      <c r="M3086" s="8">
        <f>HYPERLINK("https://dart.fss.or.kr/dsaf001/main.do?rcpNo=20260605000189", "공시열람")</f>
        <v/>
      </c>
    </row>
    <row r="3087" ht="22" customHeight="1">
      <c r="A3087" s="2" t="inlineStr">
        <is>
          <t>2026-06-05</t>
        </is>
      </c>
      <c r="B3087" s="3" t="inlineStr">
        <is>
          <t>엔지켐생명과학</t>
        </is>
      </c>
      <c r="C3087" s="2" t="inlineStr">
        <is>
          <t>183490</t>
        </is>
      </c>
      <c r="D3087" s="2" t="inlineStr">
        <is>
          <t>대량보유</t>
        </is>
      </c>
      <c r="E3087" s="3" t="inlineStr">
        <is>
          <t>전세준</t>
        </is>
      </c>
      <c r="F3087" s="3" t="inlineStr">
        <is>
          <t>특별관계자</t>
        </is>
      </c>
      <c r="G3087" s="3" t="inlineStr">
        <is>
          <t>신규보고(+)</t>
        </is>
      </c>
      <c r="H3087" s="6" t="inlineStr"/>
      <c r="I3087" s="6" t="inlineStr"/>
      <c r="J3087" s="6" t="n">
        <v>10319</v>
      </c>
      <c r="K3087" s="16" t="n">
        <v>5.98</v>
      </c>
      <c r="L3087" s="2" t="inlineStr">
        <is>
          <t>20260605000189</t>
        </is>
      </c>
      <c r="M3087" s="8">
        <f>HYPERLINK("https://dart.fss.or.kr/dsaf001/main.do?rcpNo=20260605000189", "공시열람")</f>
        <v/>
      </c>
    </row>
    <row r="3088" ht="22" customHeight="1">
      <c r="A3088" s="2" t="inlineStr">
        <is>
          <t>2026-06-05</t>
        </is>
      </c>
      <c r="B3088" s="3" t="inlineStr">
        <is>
          <t>엔지켐생명과학</t>
        </is>
      </c>
      <c r="C3088" s="2" t="inlineStr">
        <is>
          <t>183490</t>
        </is>
      </c>
      <c r="D3088" s="2" t="inlineStr">
        <is>
          <t>대량보유</t>
        </is>
      </c>
      <c r="E3088" s="3" t="inlineStr">
        <is>
          <t>서경호</t>
        </is>
      </c>
      <c r="F3088" s="3" t="inlineStr">
        <is>
          <t>특별관계자</t>
        </is>
      </c>
      <c r="G3088" s="3" t="inlineStr">
        <is>
          <t>신규보고(+)</t>
        </is>
      </c>
      <c r="H3088" s="6" t="inlineStr"/>
      <c r="I3088" s="6" t="inlineStr"/>
      <c r="J3088" s="6" t="n">
        <v>13900</v>
      </c>
      <c r="K3088" s="16" t="n">
        <v>5.98</v>
      </c>
      <c r="L3088" s="2" t="inlineStr">
        <is>
          <t>20260605000189</t>
        </is>
      </c>
      <c r="M3088" s="8">
        <f>HYPERLINK("https://dart.fss.or.kr/dsaf001/main.do?rcpNo=20260605000189", "공시열람")</f>
        <v/>
      </c>
    </row>
    <row r="3089" ht="22" customHeight="1">
      <c r="A3089" s="2" t="inlineStr">
        <is>
          <t>2026-06-05</t>
        </is>
      </c>
      <c r="B3089" s="3" t="inlineStr">
        <is>
          <t>엔지켐생명과학</t>
        </is>
      </c>
      <c r="C3089" s="2" t="inlineStr">
        <is>
          <t>183490</t>
        </is>
      </c>
      <c r="D3089" s="2" t="inlineStr">
        <is>
          <t>대량보유</t>
        </is>
      </c>
      <c r="E3089" s="3" t="inlineStr">
        <is>
          <t>이승준</t>
        </is>
      </c>
      <c r="F3089" s="3" t="inlineStr">
        <is>
          <t>특별관계자</t>
        </is>
      </c>
      <c r="G3089" s="3" t="inlineStr">
        <is>
          <t>신규보고(+)</t>
        </is>
      </c>
      <c r="H3089" s="6" t="inlineStr"/>
      <c r="I3089" s="6" t="inlineStr"/>
      <c r="J3089" s="6" t="n">
        <v>480</v>
      </c>
      <c r="K3089" s="16" t="n">
        <v>5.98</v>
      </c>
      <c r="L3089" s="2" t="inlineStr">
        <is>
          <t>20260605000189</t>
        </is>
      </c>
      <c r="M3089" s="8">
        <f>HYPERLINK("https://dart.fss.or.kr/dsaf001/main.do?rcpNo=20260605000189", "공시열람")</f>
        <v/>
      </c>
    </row>
    <row r="3090" ht="22" customHeight="1">
      <c r="A3090" s="2" t="inlineStr">
        <is>
          <t>2026-06-05</t>
        </is>
      </c>
      <c r="B3090" s="3" t="inlineStr">
        <is>
          <t>엔지켐생명과학</t>
        </is>
      </c>
      <c r="C3090" s="2" t="inlineStr">
        <is>
          <t>183490</t>
        </is>
      </c>
      <c r="D3090" s="2" t="inlineStr">
        <is>
          <t>대량보유</t>
        </is>
      </c>
      <c r="E3090" s="3" t="inlineStr">
        <is>
          <t>김미정</t>
        </is>
      </c>
      <c r="F3090" s="3" t="inlineStr">
        <is>
          <t>특별관계자</t>
        </is>
      </c>
      <c r="G3090" s="3" t="inlineStr">
        <is>
          <t>신규보고(+)</t>
        </is>
      </c>
      <c r="H3090" s="6" t="inlineStr"/>
      <c r="I3090" s="6" t="inlineStr"/>
      <c r="J3090" s="6" t="n">
        <v>250</v>
      </c>
      <c r="K3090" s="16" t="n">
        <v>5.98</v>
      </c>
      <c r="L3090" s="2" t="inlineStr">
        <is>
          <t>20260605000189</t>
        </is>
      </c>
      <c r="M3090" s="8">
        <f>HYPERLINK("https://dart.fss.or.kr/dsaf001/main.do?rcpNo=20260605000189", "공시열람")</f>
        <v/>
      </c>
    </row>
    <row r="3091" ht="22" customHeight="1">
      <c r="A3091" s="2" t="inlineStr">
        <is>
          <t>2026-06-05</t>
        </is>
      </c>
      <c r="B3091" s="3" t="inlineStr">
        <is>
          <t>엔지켐생명과학</t>
        </is>
      </c>
      <c r="C3091" s="2" t="inlineStr">
        <is>
          <t>183490</t>
        </is>
      </c>
      <c r="D3091" s="2" t="inlineStr">
        <is>
          <t>대량보유</t>
        </is>
      </c>
      <c r="E3091" s="3" t="inlineStr">
        <is>
          <t>김삼덕</t>
        </is>
      </c>
      <c r="F3091" s="3" t="inlineStr">
        <is>
          <t>특별관계자</t>
        </is>
      </c>
      <c r="G3091" s="3" t="inlineStr">
        <is>
          <t>신규보고(+)</t>
        </is>
      </c>
      <c r="H3091" s="6" t="inlineStr"/>
      <c r="I3091" s="6" t="inlineStr"/>
      <c r="J3091" s="6" t="n">
        <v>49150</v>
      </c>
      <c r="K3091" s="16" t="n">
        <v>5.98</v>
      </c>
      <c r="L3091" s="2" t="inlineStr">
        <is>
          <t>20260605000189</t>
        </is>
      </c>
      <c r="M3091" s="8">
        <f>HYPERLINK("https://dart.fss.or.kr/dsaf001/main.do?rcpNo=20260605000189", "공시열람")</f>
        <v/>
      </c>
    </row>
    <row r="3092" ht="22" customHeight="1">
      <c r="A3092" s="2" t="inlineStr">
        <is>
          <t>2026-06-05</t>
        </is>
      </c>
      <c r="B3092" s="3" t="inlineStr">
        <is>
          <t>엔지켐생명과학</t>
        </is>
      </c>
      <c r="C3092" s="2" t="inlineStr">
        <is>
          <t>183490</t>
        </is>
      </c>
      <c r="D3092" s="2" t="inlineStr">
        <is>
          <t>대량보유</t>
        </is>
      </c>
      <c r="E3092" s="3" t="inlineStr">
        <is>
          <t>신현기</t>
        </is>
      </c>
      <c r="F3092" s="3" t="inlineStr">
        <is>
          <t>특별관계자</t>
        </is>
      </c>
      <c r="G3092" s="3" t="inlineStr">
        <is>
          <t>신규보고(+)</t>
        </is>
      </c>
      <c r="H3092" s="6" t="inlineStr"/>
      <c r="I3092" s="6" t="inlineStr"/>
      <c r="J3092" s="6" t="n">
        <v>7800</v>
      </c>
      <c r="K3092" s="16" t="n">
        <v>5.98</v>
      </c>
      <c r="L3092" s="2" t="inlineStr">
        <is>
          <t>20260605000189</t>
        </is>
      </c>
      <c r="M3092" s="8">
        <f>HYPERLINK("https://dart.fss.or.kr/dsaf001/main.do?rcpNo=20260605000189", "공시열람")</f>
        <v/>
      </c>
    </row>
    <row r="3093" ht="22" customHeight="1">
      <c r="A3093" s="2" t="inlineStr">
        <is>
          <t>2026-06-05</t>
        </is>
      </c>
      <c r="B3093" s="3" t="inlineStr">
        <is>
          <t>엔지켐생명과학</t>
        </is>
      </c>
      <c r="C3093" s="2" t="inlineStr">
        <is>
          <t>183490</t>
        </is>
      </c>
      <c r="D3093" s="2" t="inlineStr">
        <is>
          <t>대량보유</t>
        </is>
      </c>
      <c r="E3093" s="3" t="inlineStr">
        <is>
          <t>정인혜</t>
        </is>
      </c>
      <c r="F3093" s="3" t="inlineStr">
        <is>
          <t>특별관계자</t>
        </is>
      </c>
      <c r="G3093" s="3" t="inlineStr">
        <is>
          <t>신규보고(+)</t>
        </is>
      </c>
      <c r="H3093" s="6" t="inlineStr"/>
      <c r="I3093" s="6" t="inlineStr"/>
      <c r="J3093" s="6" t="n">
        <v>468</v>
      </c>
      <c r="K3093" s="16" t="n">
        <v>5.98</v>
      </c>
      <c r="L3093" s="2" t="inlineStr">
        <is>
          <t>20260605000189</t>
        </is>
      </c>
      <c r="M3093" s="8">
        <f>HYPERLINK("https://dart.fss.or.kr/dsaf001/main.do?rcpNo=20260605000189", "공시열람")</f>
        <v/>
      </c>
    </row>
    <row r="3094" ht="22" customHeight="1">
      <c r="A3094" s="2" t="inlineStr">
        <is>
          <t>2026-06-05</t>
        </is>
      </c>
      <c r="B3094" s="3" t="inlineStr">
        <is>
          <t>엔지켐생명과학</t>
        </is>
      </c>
      <c r="C3094" s="2" t="inlineStr">
        <is>
          <t>183490</t>
        </is>
      </c>
      <c r="D3094" s="2" t="inlineStr">
        <is>
          <t>대량보유</t>
        </is>
      </c>
      <c r="E3094" s="3" t="inlineStr">
        <is>
          <t>최정원</t>
        </is>
      </c>
      <c r="F3094" s="3" t="inlineStr">
        <is>
          <t>특별관계자</t>
        </is>
      </c>
      <c r="G3094" s="3" t="inlineStr">
        <is>
          <t>신규보고(+)</t>
        </is>
      </c>
      <c r="H3094" s="6" t="inlineStr"/>
      <c r="I3094" s="6" t="inlineStr"/>
      <c r="J3094" s="6" t="n">
        <v>180</v>
      </c>
      <c r="K3094" s="16" t="n">
        <v>5.98</v>
      </c>
      <c r="L3094" s="2" t="inlineStr">
        <is>
          <t>20260605000189</t>
        </is>
      </c>
      <c r="M3094" s="8">
        <f>HYPERLINK("https://dart.fss.or.kr/dsaf001/main.do?rcpNo=20260605000189", "공시열람")</f>
        <v/>
      </c>
    </row>
    <row r="3095" ht="22" customHeight="1">
      <c r="A3095" s="2" t="inlineStr">
        <is>
          <t>2026-06-05</t>
        </is>
      </c>
      <c r="B3095" s="3" t="inlineStr">
        <is>
          <t>엔지켐생명과학</t>
        </is>
      </c>
      <c r="C3095" s="2" t="inlineStr">
        <is>
          <t>183490</t>
        </is>
      </c>
      <c r="D3095" s="2" t="inlineStr">
        <is>
          <t>대량보유</t>
        </is>
      </c>
      <c r="E3095" s="3" t="inlineStr">
        <is>
          <t>이현주</t>
        </is>
      </c>
      <c r="F3095" s="3" t="inlineStr">
        <is>
          <t>특별관계자</t>
        </is>
      </c>
      <c r="G3095" s="3" t="inlineStr">
        <is>
          <t>신규보고(+)</t>
        </is>
      </c>
      <c r="H3095" s="6" t="inlineStr"/>
      <c r="I3095" s="6" t="inlineStr"/>
      <c r="J3095" s="6" t="n">
        <v>3000</v>
      </c>
      <c r="K3095" s="16" t="n">
        <v>5.98</v>
      </c>
      <c r="L3095" s="2" t="inlineStr">
        <is>
          <t>20260605000189</t>
        </is>
      </c>
      <c r="M3095" s="8">
        <f>HYPERLINK("https://dart.fss.or.kr/dsaf001/main.do?rcpNo=20260605000189", "공시열람")</f>
        <v/>
      </c>
    </row>
    <row r="3096" ht="22" customHeight="1">
      <c r="A3096" s="2" t="inlineStr">
        <is>
          <t>2026-06-05</t>
        </is>
      </c>
      <c r="B3096" s="3" t="inlineStr">
        <is>
          <t>엔지켐생명과학</t>
        </is>
      </c>
      <c r="C3096" s="2" t="inlineStr">
        <is>
          <t>183490</t>
        </is>
      </c>
      <c r="D3096" s="2" t="inlineStr">
        <is>
          <t>대량보유</t>
        </is>
      </c>
      <c r="E3096" s="3" t="inlineStr">
        <is>
          <t>황선화</t>
        </is>
      </c>
      <c r="F3096" s="3" t="inlineStr">
        <is>
          <t>특별관계자</t>
        </is>
      </c>
      <c r="G3096" s="3" t="inlineStr">
        <is>
          <t>신규보고(+)</t>
        </is>
      </c>
      <c r="H3096" s="6" t="inlineStr"/>
      <c r="I3096" s="6" t="inlineStr"/>
      <c r="J3096" s="6" t="n">
        <v>98000</v>
      </c>
      <c r="K3096" s="16" t="n">
        <v>5.98</v>
      </c>
      <c r="L3096" s="2" t="inlineStr">
        <is>
          <t>20260605000189</t>
        </is>
      </c>
      <c r="M3096" s="8">
        <f>HYPERLINK("https://dart.fss.or.kr/dsaf001/main.do?rcpNo=20260605000189", "공시열람")</f>
        <v/>
      </c>
    </row>
    <row r="3097" ht="22" customHeight="1">
      <c r="A3097" s="2" t="inlineStr">
        <is>
          <t>2026-06-05</t>
        </is>
      </c>
      <c r="B3097" s="3" t="inlineStr">
        <is>
          <t>엔지켐생명과학</t>
        </is>
      </c>
      <c r="C3097" s="2" t="inlineStr">
        <is>
          <t>183490</t>
        </is>
      </c>
      <c r="D3097" s="2" t="inlineStr">
        <is>
          <t>대량보유</t>
        </is>
      </c>
      <c r="E3097" s="3" t="inlineStr">
        <is>
          <t>김종철</t>
        </is>
      </c>
      <c r="F3097" s="3" t="inlineStr">
        <is>
          <t>특별관계자</t>
        </is>
      </c>
      <c r="G3097" s="3" t="inlineStr">
        <is>
          <t>신규보고(+)</t>
        </is>
      </c>
      <c r="H3097" s="6" t="inlineStr"/>
      <c r="I3097" s="6" t="inlineStr"/>
      <c r="J3097" s="6" t="n">
        <v>41659</v>
      </c>
      <c r="K3097" s="16" t="n">
        <v>5.98</v>
      </c>
      <c r="L3097" s="2" t="inlineStr">
        <is>
          <t>20260605000189</t>
        </is>
      </c>
      <c r="M3097" s="8">
        <f>HYPERLINK("https://dart.fss.or.kr/dsaf001/main.do?rcpNo=20260605000189", "공시열람")</f>
        <v/>
      </c>
    </row>
    <row r="3098" ht="22" customHeight="1">
      <c r="A3098" s="2" t="inlineStr">
        <is>
          <t>2026-06-05</t>
        </is>
      </c>
      <c r="B3098" s="3" t="inlineStr">
        <is>
          <t>엔지켐생명과학</t>
        </is>
      </c>
      <c r="C3098" s="2" t="inlineStr">
        <is>
          <t>183490</t>
        </is>
      </c>
      <c r="D3098" s="2" t="inlineStr">
        <is>
          <t>대량보유</t>
        </is>
      </c>
      <c r="E3098" s="3" t="inlineStr">
        <is>
          <t>김복자</t>
        </is>
      </c>
      <c r="F3098" s="3" t="inlineStr">
        <is>
          <t>특별관계자</t>
        </is>
      </c>
      <c r="G3098" s="3" t="inlineStr">
        <is>
          <t>신규보고(+)</t>
        </is>
      </c>
      <c r="H3098" s="6" t="inlineStr"/>
      <c r="I3098" s="6" t="inlineStr"/>
      <c r="J3098" s="6" t="n">
        <v>53000</v>
      </c>
      <c r="K3098" s="16" t="n">
        <v>5.98</v>
      </c>
      <c r="L3098" s="2" t="inlineStr">
        <is>
          <t>20260605000189</t>
        </is>
      </c>
      <c r="M3098" s="8">
        <f>HYPERLINK("https://dart.fss.or.kr/dsaf001/main.do?rcpNo=20260605000189", "공시열람")</f>
        <v/>
      </c>
    </row>
    <row r="3099" ht="22" customHeight="1">
      <c r="A3099" s="2" t="inlineStr">
        <is>
          <t>2026-06-05</t>
        </is>
      </c>
      <c r="B3099" s="3" t="inlineStr">
        <is>
          <t>엔지켐생명과학</t>
        </is>
      </c>
      <c r="C3099" s="2" t="inlineStr">
        <is>
          <t>183490</t>
        </is>
      </c>
      <c r="D3099" s="2" t="inlineStr">
        <is>
          <t>대량보유</t>
        </is>
      </c>
      <c r="E3099" s="3" t="inlineStr">
        <is>
          <t>박계령</t>
        </is>
      </c>
      <c r="F3099" s="3" t="inlineStr">
        <is>
          <t>특별관계자</t>
        </is>
      </c>
      <c r="G3099" s="3" t="inlineStr">
        <is>
          <t>신규보고(+)</t>
        </is>
      </c>
      <c r="H3099" s="6" t="inlineStr"/>
      <c r="I3099" s="6" t="inlineStr"/>
      <c r="J3099" s="6" t="n">
        <v>83000</v>
      </c>
      <c r="K3099" s="16" t="n">
        <v>5.98</v>
      </c>
      <c r="L3099" s="2" t="inlineStr">
        <is>
          <t>20260605000189</t>
        </is>
      </c>
      <c r="M3099" s="8">
        <f>HYPERLINK("https://dart.fss.or.kr/dsaf001/main.do?rcpNo=20260605000189", "공시열람")</f>
        <v/>
      </c>
    </row>
    <row r="3100" ht="22" customHeight="1">
      <c r="A3100" s="2" t="inlineStr">
        <is>
          <t>2026-06-05</t>
        </is>
      </c>
      <c r="B3100" s="3" t="inlineStr">
        <is>
          <t>엔지켐생명과학</t>
        </is>
      </c>
      <c r="C3100" s="2" t="inlineStr">
        <is>
          <t>183490</t>
        </is>
      </c>
      <c r="D3100" s="2" t="inlineStr">
        <is>
          <t>대량보유</t>
        </is>
      </c>
      <c r="E3100" s="3" t="inlineStr">
        <is>
          <t>이정숙</t>
        </is>
      </c>
      <c r="F3100" s="3" t="inlineStr">
        <is>
          <t>특별관계자</t>
        </is>
      </c>
      <c r="G3100" s="3" t="inlineStr">
        <is>
          <t>신규보고(+)</t>
        </is>
      </c>
      <c r="H3100" s="6" t="inlineStr"/>
      <c r="I3100" s="6" t="inlineStr"/>
      <c r="J3100" s="6" t="n">
        <v>72028</v>
      </c>
      <c r="K3100" s="16" t="n">
        <v>5.98</v>
      </c>
      <c r="L3100" s="2" t="inlineStr">
        <is>
          <t>20260605000189</t>
        </is>
      </c>
      <c r="M3100" s="8">
        <f>HYPERLINK("https://dart.fss.or.kr/dsaf001/main.do?rcpNo=20260605000189", "공시열람")</f>
        <v/>
      </c>
    </row>
    <row r="3101" ht="22" customHeight="1">
      <c r="A3101" s="2" t="inlineStr">
        <is>
          <t>2026-06-05</t>
        </is>
      </c>
      <c r="B3101" s="3" t="inlineStr">
        <is>
          <t>엔지켐생명과학</t>
        </is>
      </c>
      <c r="C3101" s="2" t="inlineStr">
        <is>
          <t>183490</t>
        </is>
      </c>
      <c r="D3101" s="2" t="inlineStr">
        <is>
          <t>대량보유</t>
        </is>
      </c>
      <c r="E3101" s="3" t="inlineStr">
        <is>
          <t>박성우</t>
        </is>
      </c>
      <c r="F3101" s="3" t="inlineStr">
        <is>
          <t>특별관계자</t>
        </is>
      </c>
      <c r="G3101" s="3" t="inlineStr">
        <is>
          <t>신규보고(+)</t>
        </is>
      </c>
      <c r="H3101" s="6" t="inlineStr"/>
      <c r="I3101" s="6" t="inlineStr"/>
      <c r="J3101" s="6" t="n">
        <v>285000</v>
      </c>
      <c r="K3101" s="16" t="n">
        <v>5.98</v>
      </c>
      <c r="L3101" s="2" t="inlineStr">
        <is>
          <t>20260605000189</t>
        </is>
      </c>
      <c r="M3101" s="8">
        <f>HYPERLINK("https://dart.fss.or.kr/dsaf001/main.do?rcpNo=20260605000189", "공시열람")</f>
        <v/>
      </c>
    </row>
    <row r="3102" ht="22" customHeight="1">
      <c r="A3102" s="2" t="inlineStr">
        <is>
          <t>2026-06-05</t>
        </is>
      </c>
      <c r="B3102" s="3" t="inlineStr">
        <is>
          <t>엔지켐생명과학</t>
        </is>
      </c>
      <c r="C3102" s="2" t="inlineStr">
        <is>
          <t>183490</t>
        </is>
      </c>
      <c r="D3102" s="2" t="inlineStr">
        <is>
          <t>대량보유</t>
        </is>
      </c>
      <c r="E3102" s="3" t="inlineStr">
        <is>
          <t>김민정</t>
        </is>
      </c>
      <c r="F3102" s="3" t="inlineStr">
        <is>
          <t>특별관계자</t>
        </is>
      </c>
      <c r="G3102" s="3" t="inlineStr">
        <is>
          <t>신규보고(+)</t>
        </is>
      </c>
      <c r="H3102" s="6" t="inlineStr"/>
      <c r="I3102" s="6" t="inlineStr"/>
      <c r="J3102" s="6" t="n">
        <v>4818</v>
      </c>
      <c r="K3102" s="16" t="n">
        <v>5.98</v>
      </c>
      <c r="L3102" s="2" t="inlineStr">
        <is>
          <t>20260605000189</t>
        </is>
      </c>
      <c r="M3102" s="8">
        <f>HYPERLINK("https://dart.fss.or.kr/dsaf001/main.do?rcpNo=20260605000189", "공시열람")</f>
        <v/>
      </c>
    </row>
    <row r="3103" ht="22" customHeight="1">
      <c r="A3103" s="2" t="inlineStr">
        <is>
          <t>2026-06-05</t>
        </is>
      </c>
      <c r="B3103" s="3" t="inlineStr">
        <is>
          <t>엔지켐생명과학</t>
        </is>
      </c>
      <c r="C3103" s="2" t="inlineStr">
        <is>
          <t>183490</t>
        </is>
      </c>
      <c r="D3103" s="2" t="inlineStr">
        <is>
          <t>대량보유</t>
        </is>
      </c>
      <c r="E3103" s="3" t="inlineStr">
        <is>
          <t>최종환</t>
        </is>
      </c>
      <c r="F3103" s="3" t="inlineStr">
        <is>
          <t>특별관계자</t>
        </is>
      </c>
      <c r="G3103" s="3" t="inlineStr">
        <is>
          <t>신규보고(+)</t>
        </is>
      </c>
      <c r="H3103" s="6" t="inlineStr"/>
      <c r="I3103" s="6" t="inlineStr"/>
      <c r="J3103" s="6" t="n">
        <v>52311</v>
      </c>
      <c r="K3103" s="16" t="n">
        <v>5.98</v>
      </c>
      <c r="L3103" s="2" t="inlineStr">
        <is>
          <t>20260605000189</t>
        </is>
      </c>
      <c r="M3103" s="8">
        <f>HYPERLINK("https://dart.fss.or.kr/dsaf001/main.do?rcpNo=20260605000189", "공시열람")</f>
        <v/>
      </c>
    </row>
    <row r="3104" ht="22" customHeight="1">
      <c r="A3104" s="2" t="inlineStr">
        <is>
          <t>2026-06-05</t>
        </is>
      </c>
      <c r="B3104" s="3" t="inlineStr">
        <is>
          <t>엔지켐생명과학</t>
        </is>
      </c>
      <c r="C3104" s="2" t="inlineStr">
        <is>
          <t>183490</t>
        </is>
      </c>
      <c r="D3104" s="2" t="inlineStr">
        <is>
          <t>대량보유</t>
        </is>
      </c>
      <c r="E3104" s="3" t="inlineStr">
        <is>
          <t>송미성</t>
        </is>
      </c>
      <c r="F3104" s="3" t="inlineStr">
        <is>
          <t>특별관계자</t>
        </is>
      </c>
      <c r="G3104" s="3" t="inlineStr">
        <is>
          <t>신규보고(+)</t>
        </is>
      </c>
      <c r="H3104" s="6" t="inlineStr"/>
      <c r="I3104" s="6" t="inlineStr"/>
      <c r="J3104" s="6" t="n">
        <v>60090</v>
      </c>
      <c r="K3104" s="16" t="n">
        <v>5.98</v>
      </c>
      <c r="L3104" s="2" t="inlineStr">
        <is>
          <t>20260605000189</t>
        </is>
      </c>
      <c r="M3104" s="8">
        <f>HYPERLINK("https://dart.fss.or.kr/dsaf001/main.do?rcpNo=20260605000189", "공시열람")</f>
        <v/>
      </c>
    </row>
    <row r="3105" ht="22" customHeight="1">
      <c r="A3105" s="2" t="inlineStr">
        <is>
          <t>2026-06-05</t>
        </is>
      </c>
      <c r="B3105" s="3" t="inlineStr">
        <is>
          <t>엔지켐생명과학</t>
        </is>
      </c>
      <c r="C3105" s="2" t="inlineStr">
        <is>
          <t>183490</t>
        </is>
      </c>
      <c r="D3105" s="2" t="inlineStr">
        <is>
          <t>대량보유</t>
        </is>
      </c>
      <c r="E3105" s="3" t="inlineStr">
        <is>
          <t>정영숙</t>
        </is>
      </c>
      <c r="F3105" s="3" t="inlineStr">
        <is>
          <t>특별관계자</t>
        </is>
      </c>
      <c r="G3105" s="3" t="inlineStr">
        <is>
          <t>신규보고(+)</t>
        </is>
      </c>
      <c r="H3105" s="6" t="inlineStr"/>
      <c r="I3105" s="6" t="inlineStr"/>
      <c r="J3105" s="6" t="n">
        <v>2000</v>
      </c>
      <c r="K3105" s="16" t="n">
        <v>5.98</v>
      </c>
      <c r="L3105" s="2" t="inlineStr">
        <is>
          <t>20260605000189</t>
        </is>
      </c>
      <c r="M3105" s="8">
        <f>HYPERLINK("https://dart.fss.or.kr/dsaf001/main.do?rcpNo=20260605000189", "공시열람")</f>
        <v/>
      </c>
    </row>
    <row r="3106" ht="22" customHeight="1">
      <c r="A3106" s="2" t="inlineStr">
        <is>
          <t>2026-06-05</t>
        </is>
      </c>
      <c r="B3106" s="3" t="inlineStr">
        <is>
          <t>엔지켐생명과학</t>
        </is>
      </c>
      <c r="C3106" s="2" t="inlineStr">
        <is>
          <t>183490</t>
        </is>
      </c>
      <c r="D3106" s="2" t="inlineStr">
        <is>
          <t>대량보유</t>
        </is>
      </c>
      <c r="E3106" s="3" t="inlineStr">
        <is>
          <t>이창우</t>
        </is>
      </c>
      <c r="F3106" s="3" t="inlineStr">
        <is>
          <t>특별관계자</t>
        </is>
      </c>
      <c r="G3106" s="3" t="inlineStr">
        <is>
          <t>신규보고(+)</t>
        </is>
      </c>
      <c r="H3106" s="6" t="inlineStr"/>
      <c r="I3106" s="6" t="inlineStr"/>
      <c r="J3106" s="6" t="n">
        <v>3048</v>
      </c>
      <c r="K3106" s="16" t="n">
        <v>5.98</v>
      </c>
      <c r="L3106" s="2" t="inlineStr">
        <is>
          <t>20260605000189</t>
        </is>
      </c>
      <c r="M3106" s="8">
        <f>HYPERLINK("https://dart.fss.or.kr/dsaf001/main.do?rcpNo=20260605000189", "공시열람")</f>
        <v/>
      </c>
    </row>
    <row r="3107" ht="22" customHeight="1">
      <c r="A3107" s="2" t="inlineStr">
        <is>
          <t>2026-06-05</t>
        </is>
      </c>
      <c r="B3107" s="3" t="inlineStr">
        <is>
          <t>엔지켐생명과학</t>
        </is>
      </c>
      <c r="C3107" s="2" t="inlineStr">
        <is>
          <t>183490</t>
        </is>
      </c>
      <c r="D3107" s="2" t="inlineStr">
        <is>
          <t>대량보유</t>
        </is>
      </c>
      <c r="E3107" s="3" t="inlineStr">
        <is>
          <t>김도수</t>
        </is>
      </c>
      <c r="F3107" s="3" t="inlineStr">
        <is>
          <t>특별관계자</t>
        </is>
      </c>
      <c r="G3107" s="3" t="inlineStr">
        <is>
          <t>신규보고(+)</t>
        </is>
      </c>
      <c r="H3107" s="6" t="inlineStr"/>
      <c r="I3107" s="6" t="inlineStr"/>
      <c r="J3107" s="6" t="n">
        <v>900</v>
      </c>
      <c r="K3107" s="16" t="n">
        <v>5.98</v>
      </c>
      <c r="L3107" s="2" t="inlineStr">
        <is>
          <t>20260605000189</t>
        </is>
      </c>
      <c r="M3107" s="8">
        <f>HYPERLINK("https://dart.fss.or.kr/dsaf001/main.do?rcpNo=20260605000189", "공시열람")</f>
        <v/>
      </c>
    </row>
    <row r="3108" ht="22" customHeight="1">
      <c r="A3108" s="2" t="inlineStr">
        <is>
          <t>2026-06-05</t>
        </is>
      </c>
      <c r="B3108" s="3" t="inlineStr">
        <is>
          <t>엔지켐생명과학</t>
        </is>
      </c>
      <c r="C3108" s="2" t="inlineStr">
        <is>
          <t>183490</t>
        </is>
      </c>
      <c r="D3108" s="2" t="inlineStr">
        <is>
          <t>대량보유</t>
        </is>
      </c>
      <c r="E3108" s="3" t="inlineStr">
        <is>
          <t>이희선</t>
        </is>
      </c>
      <c r="F3108" s="3" t="inlineStr">
        <is>
          <t>특별관계자</t>
        </is>
      </c>
      <c r="G3108" s="3" t="inlineStr">
        <is>
          <t>신규보고(+)</t>
        </is>
      </c>
      <c r="H3108" s="6" t="inlineStr"/>
      <c r="I3108" s="6" t="inlineStr"/>
      <c r="J3108" s="6" t="n">
        <v>3044</v>
      </c>
      <c r="K3108" s="16" t="n">
        <v>5.98</v>
      </c>
      <c r="L3108" s="2" t="inlineStr">
        <is>
          <t>20260605000189</t>
        </is>
      </c>
      <c r="M3108" s="8">
        <f>HYPERLINK("https://dart.fss.or.kr/dsaf001/main.do?rcpNo=20260605000189", "공시열람")</f>
        <v/>
      </c>
    </row>
    <row r="3109" ht="22" customHeight="1">
      <c r="A3109" s="2" t="inlineStr">
        <is>
          <t>2026-06-05</t>
        </is>
      </c>
      <c r="B3109" s="3" t="inlineStr">
        <is>
          <t>엔지켐생명과학</t>
        </is>
      </c>
      <c r="C3109" s="2" t="inlineStr">
        <is>
          <t>183490</t>
        </is>
      </c>
      <c r="D3109" s="2" t="inlineStr">
        <is>
          <t>대량보유</t>
        </is>
      </c>
      <c r="E3109" s="3" t="inlineStr">
        <is>
          <t>홍금님</t>
        </is>
      </c>
      <c r="F3109" s="3" t="inlineStr">
        <is>
          <t>특별관계자</t>
        </is>
      </c>
      <c r="G3109" s="3" t="inlineStr">
        <is>
          <t>신규보고(+)</t>
        </is>
      </c>
      <c r="H3109" s="6" t="inlineStr"/>
      <c r="I3109" s="6" t="inlineStr"/>
      <c r="J3109" s="6" t="n">
        <v>9732</v>
      </c>
      <c r="K3109" s="16" t="n">
        <v>5.98</v>
      </c>
      <c r="L3109" s="2" t="inlineStr">
        <is>
          <t>20260605000189</t>
        </is>
      </c>
      <c r="M3109" s="8">
        <f>HYPERLINK("https://dart.fss.or.kr/dsaf001/main.do?rcpNo=20260605000189", "공시열람")</f>
        <v/>
      </c>
    </row>
    <row r="3110" ht="22" customHeight="1">
      <c r="A3110" s="2" t="inlineStr">
        <is>
          <t>2026-06-05</t>
        </is>
      </c>
      <c r="B3110" s="3" t="inlineStr">
        <is>
          <t>엔지켐생명과학</t>
        </is>
      </c>
      <c r="C3110" s="2" t="inlineStr">
        <is>
          <t>183490</t>
        </is>
      </c>
      <c r="D3110" s="2" t="inlineStr">
        <is>
          <t>대량보유</t>
        </is>
      </c>
      <c r="E3110" s="3" t="inlineStr">
        <is>
          <t>송호림</t>
        </is>
      </c>
      <c r="F3110" s="3" t="inlineStr">
        <is>
          <t>특별관계자</t>
        </is>
      </c>
      <c r="G3110" s="3" t="inlineStr">
        <is>
          <t>신규보고(+)</t>
        </is>
      </c>
      <c r="H3110" s="6" t="inlineStr"/>
      <c r="I3110" s="6" t="inlineStr"/>
      <c r="J3110" s="6" t="n">
        <v>65170</v>
      </c>
      <c r="K3110" s="16" t="n">
        <v>5.98</v>
      </c>
      <c r="L3110" s="2" t="inlineStr">
        <is>
          <t>20260605000189</t>
        </is>
      </c>
      <c r="M3110" s="8">
        <f>HYPERLINK("https://dart.fss.or.kr/dsaf001/main.do?rcpNo=20260605000189", "공시열람")</f>
        <v/>
      </c>
    </row>
    <row r="3111" ht="22" customHeight="1">
      <c r="A3111" s="2" t="inlineStr">
        <is>
          <t>2026-06-05</t>
        </is>
      </c>
      <c r="B3111" s="3" t="inlineStr">
        <is>
          <t>엔지켐생명과학</t>
        </is>
      </c>
      <c r="C3111" s="2" t="inlineStr">
        <is>
          <t>183490</t>
        </is>
      </c>
      <c r="D3111" s="2" t="inlineStr">
        <is>
          <t>대량보유</t>
        </is>
      </c>
      <c r="E3111" s="3" t="inlineStr">
        <is>
          <t>유영수</t>
        </is>
      </c>
      <c r="F3111" s="3" t="inlineStr">
        <is>
          <t>특별관계자</t>
        </is>
      </c>
      <c r="G3111" s="3" t="inlineStr">
        <is>
          <t>신규보고(+)</t>
        </is>
      </c>
      <c r="H3111" s="6" t="inlineStr"/>
      <c r="I3111" s="6" t="inlineStr"/>
      <c r="J3111" s="6" t="n">
        <v>10500</v>
      </c>
      <c r="K3111" s="16" t="n">
        <v>5.98</v>
      </c>
      <c r="L3111" s="2" t="inlineStr">
        <is>
          <t>20260605000189</t>
        </is>
      </c>
      <c r="M3111" s="8">
        <f>HYPERLINK("https://dart.fss.or.kr/dsaf001/main.do?rcpNo=20260605000189", "공시열람")</f>
        <v/>
      </c>
    </row>
    <row r="3112" ht="22" customHeight="1">
      <c r="A3112" s="2" t="inlineStr">
        <is>
          <t>2026-06-05</t>
        </is>
      </c>
      <c r="B3112" s="3" t="inlineStr">
        <is>
          <t>엔지켐생명과학</t>
        </is>
      </c>
      <c r="C3112" s="2" t="inlineStr">
        <is>
          <t>183490</t>
        </is>
      </c>
      <c r="D3112" s="2" t="inlineStr">
        <is>
          <t>대량보유</t>
        </is>
      </c>
      <c r="E3112" s="3" t="inlineStr">
        <is>
          <t>주준기</t>
        </is>
      </c>
      <c r="F3112" s="3" t="inlineStr">
        <is>
          <t>특별관계자</t>
        </is>
      </c>
      <c r="G3112" s="3" t="inlineStr">
        <is>
          <t>신규보고(+)</t>
        </is>
      </c>
      <c r="H3112" s="6" t="inlineStr"/>
      <c r="I3112" s="6" t="inlineStr"/>
      <c r="J3112" s="6" t="n">
        <v>26600</v>
      </c>
      <c r="K3112" s="16" t="n">
        <v>5.98</v>
      </c>
      <c r="L3112" s="2" t="inlineStr">
        <is>
          <t>20260605000189</t>
        </is>
      </c>
      <c r="M3112" s="8">
        <f>HYPERLINK("https://dart.fss.or.kr/dsaf001/main.do?rcpNo=20260605000189", "공시열람")</f>
        <v/>
      </c>
    </row>
    <row r="3113" ht="22" customHeight="1">
      <c r="A3113" s="2" t="inlineStr">
        <is>
          <t>2026-06-05</t>
        </is>
      </c>
      <c r="B3113" s="3" t="inlineStr">
        <is>
          <t>엔지켐생명과학</t>
        </is>
      </c>
      <c r="C3113" s="2" t="inlineStr">
        <is>
          <t>183490</t>
        </is>
      </c>
      <c r="D3113" s="2" t="inlineStr">
        <is>
          <t>대량보유</t>
        </is>
      </c>
      <c r="E3113" s="3" t="inlineStr">
        <is>
          <t>김정국</t>
        </is>
      </c>
      <c r="F3113" s="3" t="inlineStr">
        <is>
          <t>특별관계자</t>
        </is>
      </c>
      <c r="G3113" s="3" t="inlineStr">
        <is>
          <t>신규보고(+)</t>
        </is>
      </c>
      <c r="H3113" s="6" t="inlineStr"/>
      <c r="I3113" s="6" t="inlineStr"/>
      <c r="J3113" s="6" t="n">
        <v>284227</v>
      </c>
      <c r="K3113" s="16" t="n">
        <v>5.98</v>
      </c>
      <c r="L3113" s="2" t="inlineStr">
        <is>
          <t>20260605000189</t>
        </is>
      </c>
      <c r="M3113" s="8">
        <f>HYPERLINK("https://dart.fss.or.kr/dsaf001/main.do?rcpNo=20260605000189", "공시열람")</f>
        <v/>
      </c>
    </row>
    <row r="3114" ht="22" customHeight="1">
      <c r="A3114" s="2" t="inlineStr">
        <is>
          <t>2026-06-05</t>
        </is>
      </c>
      <c r="B3114" s="3" t="inlineStr">
        <is>
          <t>엔지켐생명과학</t>
        </is>
      </c>
      <c r="C3114" s="2" t="inlineStr">
        <is>
          <t>183490</t>
        </is>
      </c>
      <c r="D3114" s="2" t="inlineStr">
        <is>
          <t>대량보유</t>
        </is>
      </c>
      <c r="E3114" s="3" t="inlineStr">
        <is>
          <t>손계숙</t>
        </is>
      </c>
      <c r="F3114" s="3" t="inlineStr">
        <is>
          <t>특별관계자</t>
        </is>
      </c>
      <c r="G3114" s="3" t="inlineStr">
        <is>
          <t>신규보고(+)</t>
        </is>
      </c>
      <c r="H3114" s="6" t="inlineStr"/>
      <c r="I3114" s="6" t="inlineStr"/>
      <c r="J3114" s="6" t="n">
        <v>4550</v>
      </c>
      <c r="K3114" s="16" t="n">
        <v>5.98</v>
      </c>
      <c r="L3114" s="2" t="inlineStr">
        <is>
          <t>20260605000189</t>
        </is>
      </c>
      <c r="M3114" s="8">
        <f>HYPERLINK("https://dart.fss.or.kr/dsaf001/main.do?rcpNo=20260605000189", "공시열람")</f>
        <v/>
      </c>
    </row>
    <row r="3115" ht="22" customHeight="1">
      <c r="A3115" s="2" t="inlineStr">
        <is>
          <t>2026-06-05</t>
        </is>
      </c>
      <c r="B3115" s="3" t="inlineStr">
        <is>
          <t>엔지켐생명과학</t>
        </is>
      </c>
      <c r="C3115" s="2" t="inlineStr">
        <is>
          <t>183490</t>
        </is>
      </c>
      <c r="D3115" s="2" t="inlineStr">
        <is>
          <t>대량보유</t>
        </is>
      </c>
      <c r="E3115" s="3" t="inlineStr">
        <is>
          <t>조진호</t>
        </is>
      </c>
      <c r="F3115" s="3" t="inlineStr">
        <is>
          <t>특별관계자</t>
        </is>
      </c>
      <c r="G3115" s="3" t="inlineStr">
        <is>
          <t>신규보고(+)</t>
        </is>
      </c>
      <c r="H3115" s="6" t="inlineStr"/>
      <c r="I3115" s="6" t="inlineStr"/>
      <c r="J3115" s="6" t="n">
        <v>66308</v>
      </c>
      <c r="K3115" s="16" t="n">
        <v>5.98</v>
      </c>
      <c r="L3115" s="2" t="inlineStr">
        <is>
          <t>20260605000189</t>
        </is>
      </c>
      <c r="M3115" s="8">
        <f>HYPERLINK("https://dart.fss.or.kr/dsaf001/main.do?rcpNo=20260605000189", "공시열람")</f>
        <v/>
      </c>
    </row>
    <row r="3116" ht="22" customHeight="1">
      <c r="A3116" s="2" t="inlineStr">
        <is>
          <t>2026-06-05</t>
        </is>
      </c>
      <c r="B3116" s="3" t="inlineStr">
        <is>
          <t>엔지켐생명과학</t>
        </is>
      </c>
      <c r="C3116" s="2" t="inlineStr">
        <is>
          <t>183490</t>
        </is>
      </c>
      <c r="D3116" s="2" t="inlineStr">
        <is>
          <t>대량보유</t>
        </is>
      </c>
      <c r="E3116" s="3" t="inlineStr">
        <is>
          <t>김윤수</t>
        </is>
      </c>
      <c r="F3116" s="3" t="inlineStr">
        <is>
          <t>특별관계자</t>
        </is>
      </c>
      <c r="G3116" s="3" t="inlineStr">
        <is>
          <t>신규보고(+)</t>
        </is>
      </c>
      <c r="H3116" s="6" t="inlineStr"/>
      <c r="I3116" s="6" t="inlineStr"/>
      <c r="J3116" s="6" t="n">
        <v>21630</v>
      </c>
      <c r="K3116" s="16" t="n">
        <v>5.98</v>
      </c>
      <c r="L3116" s="2" t="inlineStr">
        <is>
          <t>20260605000189</t>
        </is>
      </c>
      <c r="M3116" s="8">
        <f>HYPERLINK("https://dart.fss.or.kr/dsaf001/main.do?rcpNo=20260605000189", "공시열람")</f>
        <v/>
      </c>
    </row>
    <row r="3117" ht="22" customHeight="1">
      <c r="A3117" s="2" t="inlineStr">
        <is>
          <t>2026-06-05</t>
        </is>
      </c>
      <c r="B3117" s="3" t="inlineStr">
        <is>
          <t>엔지켐생명과학</t>
        </is>
      </c>
      <c r="C3117" s="2" t="inlineStr">
        <is>
          <t>183490</t>
        </is>
      </c>
      <c r="D3117" s="2" t="inlineStr">
        <is>
          <t>대량보유</t>
        </is>
      </c>
      <c r="E3117" s="3" t="inlineStr">
        <is>
          <t>김형중</t>
        </is>
      </c>
      <c r="F3117" s="3" t="inlineStr">
        <is>
          <t>특별관계자</t>
        </is>
      </c>
      <c r="G3117" s="3" t="inlineStr">
        <is>
          <t>신규보고(+)</t>
        </is>
      </c>
      <c r="H3117" s="15" t="n">
        <v>8565</v>
      </c>
      <c r="I3117" s="6" t="inlineStr"/>
      <c r="J3117" s="6" t="n">
        <v>2855</v>
      </c>
      <c r="K3117" s="16" t="n">
        <v>5.98</v>
      </c>
      <c r="L3117" s="2" t="inlineStr">
        <is>
          <t>20260605000189</t>
        </is>
      </c>
      <c r="M3117" s="8">
        <f>HYPERLINK("https://dart.fss.or.kr/dsaf001/main.do?rcpNo=20260605000189", "공시열람")</f>
        <v/>
      </c>
    </row>
    <row r="3118" ht="22" customHeight="1">
      <c r="A3118" s="2" t="inlineStr">
        <is>
          <t>2026-06-05</t>
        </is>
      </c>
      <c r="B3118" s="3" t="inlineStr">
        <is>
          <t>엔지켐생명과학</t>
        </is>
      </c>
      <c r="C3118" s="2" t="inlineStr">
        <is>
          <t>183490</t>
        </is>
      </c>
      <c r="D3118" s="2" t="inlineStr">
        <is>
          <t>대량보유</t>
        </is>
      </c>
      <c r="E3118" s="3" t="inlineStr">
        <is>
          <t>정지산</t>
        </is>
      </c>
      <c r="F3118" s="3" t="inlineStr">
        <is>
          <t>특별관계자</t>
        </is>
      </c>
      <c r="G3118" s="3" t="inlineStr">
        <is>
          <t>신규보고(+)</t>
        </is>
      </c>
      <c r="H3118" s="15" t="n">
        <v>20919</v>
      </c>
      <c r="I3118" s="6" t="inlineStr"/>
      <c r="J3118" s="6" t="n">
        <v>6973</v>
      </c>
      <c r="K3118" s="16" t="n">
        <v>5.98</v>
      </c>
      <c r="L3118" s="2" t="inlineStr">
        <is>
          <t>20260605000189</t>
        </is>
      </c>
      <c r="M3118" s="8">
        <f>HYPERLINK("https://dart.fss.or.kr/dsaf001/main.do?rcpNo=20260605000189", "공시열람")</f>
        <v/>
      </c>
    </row>
    <row r="3119" ht="22" customHeight="1">
      <c r="A3119" s="2" t="inlineStr">
        <is>
          <t>2026-06-05</t>
        </is>
      </c>
      <c r="B3119" s="3" t="inlineStr">
        <is>
          <t>엔지켐생명과학</t>
        </is>
      </c>
      <c r="C3119" s="2" t="inlineStr">
        <is>
          <t>183490</t>
        </is>
      </c>
      <c r="D3119" s="2" t="inlineStr">
        <is>
          <t>대량보유</t>
        </is>
      </c>
      <c r="E3119" s="3" t="inlineStr">
        <is>
          <t>남상건</t>
        </is>
      </c>
      <c r="F3119" s="3" t="inlineStr">
        <is>
          <t>특별관계자</t>
        </is>
      </c>
      <c r="G3119" s="3" t="inlineStr">
        <is>
          <t>신규보고(+)</t>
        </is>
      </c>
      <c r="H3119" s="15" t="n">
        <v>675</v>
      </c>
      <c r="I3119" s="6" t="inlineStr"/>
      <c r="J3119" s="6" t="n">
        <v>225</v>
      </c>
      <c r="K3119" s="16" t="n">
        <v>5.98</v>
      </c>
      <c r="L3119" s="2" t="inlineStr">
        <is>
          <t>20260605000189</t>
        </is>
      </c>
      <c r="M3119" s="8">
        <f>HYPERLINK("https://dart.fss.or.kr/dsaf001/main.do?rcpNo=20260605000189", "공시열람")</f>
        <v/>
      </c>
    </row>
    <row r="3120" ht="22" customHeight="1">
      <c r="A3120" s="2" t="inlineStr">
        <is>
          <t>2026-06-05</t>
        </is>
      </c>
      <c r="B3120" s="3" t="inlineStr">
        <is>
          <t>엔지켐생명과학</t>
        </is>
      </c>
      <c r="C3120" s="2" t="inlineStr">
        <is>
          <t>183490</t>
        </is>
      </c>
      <c r="D3120" s="2" t="inlineStr">
        <is>
          <t>대량보유</t>
        </is>
      </c>
      <c r="E3120" s="3" t="inlineStr">
        <is>
          <t>김란영</t>
        </is>
      </c>
      <c r="F3120" s="3" t="inlineStr">
        <is>
          <t>특별관계자</t>
        </is>
      </c>
      <c r="G3120" s="3" t="inlineStr">
        <is>
          <t>신규보고(+)</t>
        </is>
      </c>
      <c r="H3120" s="15" t="n">
        <v>5760</v>
      </c>
      <c r="I3120" s="6" t="inlineStr"/>
      <c r="J3120" s="6" t="n">
        <v>1920</v>
      </c>
      <c r="K3120" s="16" t="n">
        <v>5.98</v>
      </c>
      <c r="L3120" s="2" t="inlineStr">
        <is>
          <t>20260605000189</t>
        </is>
      </c>
      <c r="M3120" s="8">
        <f>HYPERLINK("https://dart.fss.or.kr/dsaf001/main.do?rcpNo=20260605000189", "공시열람")</f>
        <v/>
      </c>
    </row>
    <row r="3121" ht="22" customHeight="1">
      <c r="A3121" s="2" t="inlineStr">
        <is>
          <t>2026-06-05</t>
        </is>
      </c>
      <c r="B3121" s="3" t="inlineStr">
        <is>
          <t>엔지켐생명과학</t>
        </is>
      </c>
      <c r="C3121" s="2" t="inlineStr">
        <is>
          <t>183490</t>
        </is>
      </c>
      <c r="D3121" s="2" t="inlineStr">
        <is>
          <t>대량보유</t>
        </is>
      </c>
      <c r="E3121" s="3" t="inlineStr">
        <is>
          <t>박주찬</t>
        </is>
      </c>
      <c r="F3121" s="3" t="inlineStr">
        <is>
          <t>특별관계자</t>
        </is>
      </c>
      <c r="G3121" s="3" t="inlineStr">
        <is>
          <t>신규보고(+)</t>
        </is>
      </c>
      <c r="H3121" s="15" t="n">
        <v>11520</v>
      </c>
      <c r="I3121" s="6" t="inlineStr"/>
      <c r="J3121" s="6" t="n">
        <v>3840</v>
      </c>
      <c r="K3121" s="16" t="n">
        <v>5.98</v>
      </c>
      <c r="L3121" s="2" t="inlineStr">
        <is>
          <t>20260605000189</t>
        </is>
      </c>
      <c r="M3121" s="8">
        <f>HYPERLINK("https://dart.fss.or.kr/dsaf001/main.do?rcpNo=20260605000189", "공시열람")</f>
        <v/>
      </c>
    </row>
    <row r="3122" ht="22" customHeight="1">
      <c r="A3122" s="2" t="inlineStr">
        <is>
          <t>2026-06-05</t>
        </is>
      </c>
      <c r="B3122" s="3" t="inlineStr">
        <is>
          <t>엔지켐생명과학</t>
        </is>
      </c>
      <c r="C3122" s="2" t="inlineStr">
        <is>
          <t>183490</t>
        </is>
      </c>
      <c r="D3122" s="2" t="inlineStr">
        <is>
          <t>대량보유</t>
        </is>
      </c>
      <c r="E3122" s="3" t="inlineStr">
        <is>
          <t>한원호</t>
        </is>
      </c>
      <c r="F3122" s="3" t="inlineStr">
        <is>
          <t>특별관계자</t>
        </is>
      </c>
      <c r="G3122" s="3" t="inlineStr">
        <is>
          <t>신규보고(+)</t>
        </is>
      </c>
      <c r="H3122" s="15" t="n">
        <v>10629</v>
      </c>
      <c r="I3122" s="6" t="inlineStr"/>
      <c r="J3122" s="6" t="n">
        <v>3543</v>
      </c>
      <c r="K3122" s="16" t="n">
        <v>5.98</v>
      </c>
      <c r="L3122" s="2" t="inlineStr">
        <is>
          <t>20260605000189</t>
        </is>
      </c>
      <c r="M3122" s="8">
        <f>HYPERLINK("https://dart.fss.or.kr/dsaf001/main.do?rcpNo=20260605000189", "공시열람")</f>
        <v/>
      </c>
    </row>
    <row r="3123" ht="22" customHeight="1">
      <c r="A3123" s="2" t="inlineStr">
        <is>
          <t>2026-06-05</t>
        </is>
      </c>
      <c r="B3123" s="3" t="inlineStr">
        <is>
          <t>엔지켐생명과학</t>
        </is>
      </c>
      <c r="C3123" s="2" t="inlineStr">
        <is>
          <t>183490</t>
        </is>
      </c>
      <c r="D3123" s="2" t="inlineStr">
        <is>
          <t>대량보유</t>
        </is>
      </c>
      <c r="E3123" s="3" t="inlineStr">
        <is>
          <t>강상준</t>
        </is>
      </c>
      <c r="F3123" s="3" t="inlineStr">
        <is>
          <t>특별관계자</t>
        </is>
      </c>
      <c r="G3123" s="3" t="inlineStr">
        <is>
          <t>신규보고(+)</t>
        </is>
      </c>
      <c r="H3123" s="15" t="n">
        <v>8316</v>
      </c>
      <c r="I3123" s="6" t="inlineStr"/>
      <c r="J3123" s="6" t="n">
        <v>2772</v>
      </c>
      <c r="K3123" s="16" t="n">
        <v>5.98</v>
      </c>
      <c r="L3123" s="2" t="inlineStr">
        <is>
          <t>20260605000189</t>
        </is>
      </c>
      <c r="M3123" s="8">
        <f>HYPERLINK("https://dart.fss.or.kr/dsaf001/main.do?rcpNo=20260605000189", "공시열람")</f>
        <v/>
      </c>
    </row>
    <row r="3124" ht="22" customHeight="1">
      <c r="A3124" s="2" t="inlineStr">
        <is>
          <t>2026-06-05</t>
        </is>
      </c>
      <c r="B3124" s="3" t="inlineStr">
        <is>
          <t>엔지켐생명과학</t>
        </is>
      </c>
      <c r="C3124" s="2" t="inlineStr">
        <is>
          <t>183490</t>
        </is>
      </c>
      <c r="D3124" s="2" t="inlineStr">
        <is>
          <t>대량보유</t>
        </is>
      </c>
      <c r="E3124" s="3" t="inlineStr">
        <is>
          <t>최한솔</t>
        </is>
      </c>
      <c r="F3124" s="3" t="inlineStr">
        <is>
          <t>특별관계자</t>
        </is>
      </c>
      <c r="G3124" s="3" t="inlineStr">
        <is>
          <t>신규보고(+)</t>
        </is>
      </c>
      <c r="H3124" s="15" t="n">
        <v>5184</v>
      </c>
      <c r="I3124" s="6" t="inlineStr"/>
      <c r="J3124" s="6" t="n">
        <v>1728</v>
      </c>
      <c r="K3124" s="16" t="n">
        <v>5.98</v>
      </c>
      <c r="L3124" s="2" t="inlineStr">
        <is>
          <t>20260605000189</t>
        </is>
      </c>
      <c r="M3124" s="8">
        <f>HYPERLINK("https://dart.fss.or.kr/dsaf001/main.do?rcpNo=20260605000189", "공시열람")</f>
        <v/>
      </c>
    </row>
    <row r="3125" ht="22" customHeight="1">
      <c r="A3125" s="2" t="inlineStr">
        <is>
          <t>2026-06-05</t>
        </is>
      </c>
      <c r="B3125" s="3" t="inlineStr">
        <is>
          <t>엔지켐생명과학</t>
        </is>
      </c>
      <c r="C3125" s="2" t="inlineStr">
        <is>
          <t>183490</t>
        </is>
      </c>
      <c r="D3125" s="2" t="inlineStr">
        <is>
          <t>대량보유</t>
        </is>
      </c>
      <c r="E3125" s="3" t="inlineStr">
        <is>
          <t>백운호</t>
        </is>
      </c>
      <c r="F3125" s="3" t="inlineStr">
        <is>
          <t>특별관계자</t>
        </is>
      </c>
      <c r="G3125" s="3" t="inlineStr">
        <is>
          <t>신규보고(+)</t>
        </is>
      </c>
      <c r="H3125" s="15" t="n">
        <v>7200</v>
      </c>
      <c r="I3125" s="6" t="inlineStr"/>
      <c r="J3125" s="6" t="n">
        <v>2400</v>
      </c>
      <c r="K3125" s="16" t="n">
        <v>5.98</v>
      </c>
      <c r="L3125" s="2" t="inlineStr">
        <is>
          <t>20260605000189</t>
        </is>
      </c>
      <c r="M3125" s="8">
        <f>HYPERLINK("https://dart.fss.or.kr/dsaf001/main.do?rcpNo=20260605000189", "공시열람")</f>
        <v/>
      </c>
    </row>
    <row r="3126" ht="22" customHeight="1">
      <c r="A3126" s="2" t="inlineStr">
        <is>
          <t>2026-06-05</t>
        </is>
      </c>
      <c r="B3126" s="3" t="inlineStr">
        <is>
          <t>엔지켐생명과학</t>
        </is>
      </c>
      <c r="C3126" s="2" t="inlineStr">
        <is>
          <t>183490</t>
        </is>
      </c>
      <c r="D3126" s="2" t="inlineStr">
        <is>
          <t>대량보유</t>
        </is>
      </c>
      <c r="E3126" s="3" t="inlineStr">
        <is>
          <t>정완구</t>
        </is>
      </c>
      <c r="F3126" s="3" t="inlineStr">
        <is>
          <t>특별관계자</t>
        </is>
      </c>
      <c r="G3126" s="3" t="inlineStr">
        <is>
          <t>신규보고(+)</t>
        </is>
      </c>
      <c r="H3126" s="15" t="n">
        <v>360000</v>
      </c>
      <c r="I3126" s="6" t="inlineStr"/>
      <c r="J3126" s="6" t="n">
        <v>120000</v>
      </c>
      <c r="K3126" s="16" t="n">
        <v>5.98</v>
      </c>
      <c r="L3126" s="2" t="inlineStr">
        <is>
          <t>20260605000189</t>
        </is>
      </c>
      <c r="M3126" s="8">
        <f>HYPERLINK("https://dart.fss.or.kr/dsaf001/main.do?rcpNo=20260605000189", "공시열람")</f>
        <v/>
      </c>
    </row>
    <row r="3127" ht="22" customHeight="1">
      <c r="A3127" s="2" t="inlineStr">
        <is>
          <t>2026-06-05</t>
        </is>
      </c>
      <c r="B3127" s="3" t="inlineStr">
        <is>
          <t>엔지켐생명과학</t>
        </is>
      </c>
      <c r="C3127" s="2" t="inlineStr">
        <is>
          <t>183490</t>
        </is>
      </c>
      <c r="D3127" s="2" t="inlineStr">
        <is>
          <t>대량보유</t>
        </is>
      </c>
      <c r="E3127" s="3" t="inlineStr">
        <is>
          <t>허은형</t>
        </is>
      </c>
      <c r="F3127" s="3" t="inlineStr">
        <is>
          <t>특별관계자</t>
        </is>
      </c>
      <c r="G3127" s="3" t="inlineStr">
        <is>
          <t>특별관계해소(-)</t>
        </is>
      </c>
      <c r="H3127" s="17" t="n">
        <v>-233382</v>
      </c>
      <c r="I3127" s="6" t="inlineStr"/>
      <c r="J3127" s="6" t="inlineStr"/>
      <c r="K3127" s="16" t="n">
        <v>5.98</v>
      </c>
      <c r="L3127" s="2" t="inlineStr">
        <is>
          <t>20260605000189</t>
        </is>
      </c>
      <c r="M3127" s="8">
        <f>HYPERLINK("https://dart.fss.or.kr/dsaf001/main.do?rcpNo=20260605000189", "공시열람")</f>
        <v/>
      </c>
    </row>
    <row r="3128" ht="22" customHeight="1">
      <c r="A3128" s="2" t="inlineStr">
        <is>
          <t>2026-06-05</t>
        </is>
      </c>
      <c r="B3128" s="3" t="inlineStr">
        <is>
          <t>엔지켐생명과학</t>
        </is>
      </c>
      <c r="C3128" s="2" t="inlineStr">
        <is>
          <t>183490</t>
        </is>
      </c>
      <c r="D3128" s="2" t="inlineStr">
        <is>
          <t>대량보유</t>
        </is>
      </c>
      <c r="E3128" s="3" t="inlineStr">
        <is>
          <t>남윤희</t>
        </is>
      </c>
      <c r="F3128" s="3" t="inlineStr">
        <is>
          <t>특별관계자</t>
        </is>
      </c>
      <c r="G3128" s="3" t="inlineStr">
        <is>
          <t>신규보고(+)</t>
        </is>
      </c>
      <c r="H3128" s="15" t="n">
        <v>770520</v>
      </c>
      <c r="I3128" s="6" t="inlineStr"/>
      <c r="J3128" s="6" t="n">
        <v>256840</v>
      </c>
      <c r="K3128" s="16" t="n">
        <v>5.95</v>
      </c>
      <c r="L3128" s="2" t="inlineStr">
        <is>
          <t>20260605000186</t>
        </is>
      </c>
      <c r="M3128" s="8">
        <f>HYPERLINK("https://dart.fss.or.kr/dsaf001/main.do?rcpNo=20260605000186", "공시열람")</f>
        <v/>
      </c>
    </row>
    <row r="3129" ht="22" customHeight="1">
      <c r="A3129" s="2" t="inlineStr">
        <is>
          <t>2026-06-05</t>
        </is>
      </c>
      <c r="B3129" s="3" t="inlineStr">
        <is>
          <t>엔지켐생명과학</t>
        </is>
      </c>
      <c r="C3129" s="2" t="inlineStr">
        <is>
          <t>183490</t>
        </is>
      </c>
      <c r="D3129" s="2" t="inlineStr">
        <is>
          <t>대량보유</t>
        </is>
      </c>
      <c r="E3129" s="3" t="inlineStr">
        <is>
          <t>송영현</t>
        </is>
      </c>
      <c r="F3129" s="3" t="inlineStr">
        <is>
          <t>특별관계자</t>
        </is>
      </c>
      <c r="G3129" s="3" t="inlineStr">
        <is>
          <t>신규보고(+)</t>
        </is>
      </c>
      <c r="H3129" s="15" t="n">
        <v>74430</v>
      </c>
      <c r="I3129" s="6" t="inlineStr"/>
      <c r="J3129" s="6" t="n">
        <v>24810</v>
      </c>
      <c r="K3129" s="16" t="n">
        <v>5.95</v>
      </c>
      <c r="L3129" s="2" t="inlineStr">
        <is>
          <t>20260605000186</t>
        </is>
      </c>
      <c r="M3129" s="8">
        <f>HYPERLINK("https://dart.fss.or.kr/dsaf001/main.do?rcpNo=20260605000186", "공시열람")</f>
        <v/>
      </c>
    </row>
    <row r="3130" ht="22" customHeight="1">
      <c r="A3130" s="2" t="inlineStr">
        <is>
          <t>2026-06-05</t>
        </is>
      </c>
      <c r="B3130" s="3" t="inlineStr">
        <is>
          <t>엔지켐생명과학</t>
        </is>
      </c>
      <c r="C3130" s="2" t="inlineStr">
        <is>
          <t>183490</t>
        </is>
      </c>
      <c r="D3130" s="2" t="inlineStr">
        <is>
          <t>대량보유</t>
        </is>
      </c>
      <c r="E3130" s="3" t="inlineStr">
        <is>
          <t>이세훈</t>
        </is>
      </c>
      <c r="F3130" s="3" t="inlineStr">
        <is>
          <t>특별관계자</t>
        </is>
      </c>
      <c r="G3130" s="3" t="inlineStr">
        <is>
          <t>신규보고(+)</t>
        </is>
      </c>
      <c r="H3130" s="15" t="n">
        <v>174000</v>
      </c>
      <c r="I3130" s="6" t="inlineStr"/>
      <c r="J3130" s="6" t="n">
        <v>58000</v>
      </c>
      <c r="K3130" s="16" t="n">
        <v>5.95</v>
      </c>
      <c r="L3130" s="2" t="inlineStr">
        <is>
          <t>20260605000186</t>
        </is>
      </c>
      <c r="M3130" s="8">
        <f>HYPERLINK("https://dart.fss.or.kr/dsaf001/main.do?rcpNo=20260605000186", "공시열람")</f>
        <v/>
      </c>
    </row>
    <row r="3131" ht="22" customHeight="1">
      <c r="A3131" s="2" t="inlineStr">
        <is>
          <t>2026-06-05</t>
        </is>
      </c>
      <c r="B3131" s="3" t="inlineStr">
        <is>
          <t>엔지켐생명과학</t>
        </is>
      </c>
      <c r="C3131" s="2" t="inlineStr">
        <is>
          <t>183490</t>
        </is>
      </c>
      <c r="D3131" s="2" t="inlineStr">
        <is>
          <t>대량보유</t>
        </is>
      </c>
      <c r="E3131" s="3" t="inlineStr">
        <is>
          <t>지상준</t>
        </is>
      </c>
      <c r="F3131" s="3" t="inlineStr">
        <is>
          <t>특별관계자</t>
        </is>
      </c>
      <c r="G3131" s="3" t="inlineStr">
        <is>
          <t>신규보고(+)</t>
        </is>
      </c>
      <c r="H3131" s="15" t="n">
        <v>90360</v>
      </c>
      <c r="I3131" s="6" t="inlineStr"/>
      <c r="J3131" s="6" t="n">
        <v>30120</v>
      </c>
      <c r="K3131" s="16" t="n">
        <v>5.95</v>
      </c>
      <c r="L3131" s="2" t="inlineStr">
        <is>
          <t>20260605000186</t>
        </is>
      </c>
      <c r="M3131" s="8">
        <f>HYPERLINK("https://dart.fss.or.kr/dsaf001/main.do?rcpNo=20260605000186", "공시열람")</f>
        <v/>
      </c>
    </row>
    <row r="3132" ht="22" customHeight="1">
      <c r="A3132" s="2" t="inlineStr">
        <is>
          <t>2026-06-05</t>
        </is>
      </c>
      <c r="B3132" s="3" t="inlineStr">
        <is>
          <t>엔지켐생명과학</t>
        </is>
      </c>
      <c r="C3132" s="2" t="inlineStr">
        <is>
          <t>183490</t>
        </is>
      </c>
      <c r="D3132" s="2" t="inlineStr">
        <is>
          <t>대량보유</t>
        </is>
      </c>
      <c r="E3132" s="3" t="inlineStr">
        <is>
          <t>홍양재</t>
        </is>
      </c>
      <c r="F3132" s="3" t="inlineStr">
        <is>
          <t>특별관계자</t>
        </is>
      </c>
      <c r="G3132" s="3" t="inlineStr">
        <is>
          <t>신규보고(+)</t>
        </is>
      </c>
      <c r="H3132" s="15" t="n">
        <v>9432</v>
      </c>
      <c r="I3132" s="6" t="inlineStr"/>
      <c r="J3132" s="6" t="n">
        <v>3144</v>
      </c>
      <c r="K3132" s="16" t="n">
        <v>5.95</v>
      </c>
      <c r="L3132" s="2" t="inlineStr">
        <is>
          <t>20260605000186</t>
        </is>
      </c>
      <c r="M3132" s="8">
        <f>HYPERLINK("https://dart.fss.or.kr/dsaf001/main.do?rcpNo=20260605000186", "공시열람")</f>
        <v/>
      </c>
    </row>
    <row r="3133" ht="22" customHeight="1">
      <c r="A3133" s="2" t="inlineStr">
        <is>
          <t>2026-06-05</t>
        </is>
      </c>
      <c r="B3133" s="3" t="inlineStr">
        <is>
          <t>엔지켐생명과학</t>
        </is>
      </c>
      <c r="C3133" s="2" t="inlineStr">
        <is>
          <t>183490</t>
        </is>
      </c>
      <c r="D3133" s="2" t="inlineStr">
        <is>
          <t>대량보유</t>
        </is>
      </c>
      <c r="E3133" s="3" t="inlineStr">
        <is>
          <t>이아영</t>
        </is>
      </c>
      <c r="F3133" s="3" t="inlineStr">
        <is>
          <t>특별관계자</t>
        </is>
      </c>
      <c r="G3133" s="3" t="inlineStr">
        <is>
          <t>신규보고(+)</t>
        </is>
      </c>
      <c r="H3133" s="15" t="n">
        <v>14130</v>
      </c>
      <c r="I3133" s="6" t="inlineStr"/>
      <c r="J3133" s="6" t="n">
        <v>4710</v>
      </c>
      <c r="K3133" s="16" t="n">
        <v>5.95</v>
      </c>
      <c r="L3133" s="2" t="inlineStr">
        <is>
          <t>20260605000186</t>
        </is>
      </c>
      <c r="M3133" s="8">
        <f>HYPERLINK("https://dart.fss.or.kr/dsaf001/main.do?rcpNo=20260605000186", "공시열람")</f>
        <v/>
      </c>
    </row>
    <row r="3134" ht="22" customHeight="1">
      <c r="A3134" s="2" t="inlineStr">
        <is>
          <t>2026-06-05</t>
        </is>
      </c>
      <c r="B3134" s="3" t="inlineStr">
        <is>
          <t>엔지켐생명과학</t>
        </is>
      </c>
      <c r="C3134" s="2" t="inlineStr">
        <is>
          <t>183490</t>
        </is>
      </c>
      <c r="D3134" s="2" t="inlineStr">
        <is>
          <t>대량보유</t>
        </is>
      </c>
      <c r="E3134" s="3" t="inlineStr">
        <is>
          <t>이미의</t>
        </is>
      </c>
      <c r="F3134" s="3" t="inlineStr">
        <is>
          <t>특별관계자</t>
        </is>
      </c>
      <c r="G3134" s="3" t="inlineStr">
        <is>
          <t>신규보고(+)</t>
        </is>
      </c>
      <c r="H3134" s="15" t="n">
        <v>44100</v>
      </c>
      <c r="I3134" s="6" t="inlineStr"/>
      <c r="J3134" s="6" t="n">
        <v>14700</v>
      </c>
      <c r="K3134" s="16" t="n">
        <v>5.95</v>
      </c>
      <c r="L3134" s="2" t="inlineStr">
        <is>
          <t>20260605000186</t>
        </is>
      </c>
      <c r="M3134" s="8">
        <f>HYPERLINK("https://dart.fss.or.kr/dsaf001/main.do?rcpNo=20260605000186", "공시열람")</f>
        <v/>
      </c>
    </row>
    <row r="3135" ht="22" customHeight="1">
      <c r="A3135" s="2" t="inlineStr">
        <is>
          <t>2026-06-05</t>
        </is>
      </c>
      <c r="B3135" s="3" t="inlineStr">
        <is>
          <t>엔지켐생명과학</t>
        </is>
      </c>
      <c r="C3135" s="2" t="inlineStr">
        <is>
          <t>183490</t>
        </is>
      </c>
      <c r="D3135" s="2" t="inlineStr">
        <is>
          <t>대량보유</t>
        </is>
      </c>
      <c r="E3135" s="3" t="inlineStr">
        <is>
          <t>박재은</t>
        </is>
      </c>
      <c r="F3135" s="3" t="inlineStr">
        <is>
          <t>특별관계자</t>
        </is>
      </c>
      <c r="G3135" s="3" t="inlineStr">
        <is>
          <t>신규보고(+)</t>
        </is>
      </c>
      <c r="H3135" s="15" t="n">
        <v>99987</v>
      </c>
      <c r="I3135" s="6" t="inlineStr"/>
      <c r="J3135" s="6" t="n">
        <v>33329</v>
      </c>
      <c r="K3135" s="16" t="n">
        <v>5.95</v>
      </c>
      <c r="L3135" s="2" t="inlineStr">
        <is>
          <t>20260605000186</t>
        </is>
      </c>
      <c r="M3135" s="8">
        <f>HYPERLINK("https://dart.fss.or.kr/dsaf001/main.do?rcpNo=20260605000186", "공시열람")</f>
        <v/>
      </c>
    </row>
    <row r="3136" ht="22" customHeight="1">
      <c r="A3136" s="2" t="inlineStr">
        <is>
          <t>2026-06-05</t>
        </is>
      </c>
      <c r="B3136" s="3" t="inlineStr">
        <is>
          <t>엔지켐생명과학</t>
        </is>
      </c>
      <c r="C3136" s="2" t="inlineStr">
        <is>
          <t>183490</t>
        </is>
      </c>
      <c r="D3136" s="2" t="inlineStr">
        <is>
          <t>대량보유</t>
        </is>
      </c>
      <c r="E3136" s="3" t="inlineStr">
        <is>
          <t>이언호</t>
        </is>
      </c>
      <c r="F3136" s="3" t="inlineStr">
        <is>
          <t>특별관계자</t>
        </is>
      </c>
      <c r="G3136" s="3" t="inlineStr">
        <is>
          <t>신규보고(+)</t>
        </is>
      </c>
      <c r="H3136" s="15" t="n">
        <v>3300</v>
      </c>
      <c r="I3136" s="6" t="inlineStr"/>
      <c r="J3136" s="6" t="n">
        <v>1100</v>
      </c>
      <c r="K3136" s="16" t="n">
        <v>5.95</v>
      </c>
      <c r="L3136" s="2" t="inlineStr">
        <is>
          <t>20260605000186</t>
        </is>
      </c>
      <c r="M3136" s="8">
        <f>HYPERLINK("https://dart.fss.or.kr/dsaf001/main.do?rcpNo=20260605000186", "공시열람")</f>
        <v/>
      </c>
    </row>
    <row r="3137" ht="22" customHeight="1">
      <c r="A3137" s="2" t="inlineStr">
        <is>
          <t>2026-06-05</t>
        </is>
      </c>
      <c r="B3137" s="3" t="inlineStr">
        <is>
          <t>엔지켐생명과학</t>
        </is>
      </c>
      <c r="C3137" s="2" t="inlineStr">
        <is>
          <t>183490</t>
        </is>
      </c>
      <c r="D3137" s="2" t="inlineStr">
        <is>
          <t>대량보유</t>
        </is>
      </c>
      <c r="E3137" s="3" t="inlineStr">
        <is>
          <t>유흥주</t>
        </is>
      </c>
      <c r="F3137" s="3" t="inlineStr">
        <is>
          <t>특별관계자</t>
        </is>
      </c>
      <c r="G3137" s="3" t="inlineStr">
        <is>
          <t>신규보고(+)</t>
        </is>
      </c>
      <c r="H3137" s="15" t="n">
        <v>186003</v>
      </c>
      <c r="I3137" s="6" t="inlineStr"/>
      <c r="J3137" s="6" t="n">
        <v>62001</v>
      </c>
      <c r="K3137" s="16" t="n">
        <v>5.95</v>
      </c>
      <c r="L3137" s="2" t="inlineStr">
        <is>
          <t>20260605000186</t>
        </is>
      </c>
      <c r="M3137" s="8">
        <f>HYPERLINK("https://dart.fss.or.kr/dsaf001/main.do?rcpNo=20260605000186", "공시열람")</f>
        <v/>
      </c>
    </row>
    <row r="3138" ht="22" customHeight="1">
      <c r="A3138" s="2" t="inlineStr">
        <is>
          <t>2026-06-05</t>
        </is>
      </c>
      <c r="B3138" s="3" t="inlineStr">
        <is>
          <t>엔지켐생명과학</t>
        </is>
      </c>
      <c r="C3138" s="2" t="inlineStr">
        <is>
          <t>183490</t>
        </is>
      </c>
      <c r="D3138" s="2" t="inlineStr">
        <is>
          <t>대량보유</t>
        </is>
      </c>
      <c r="E3138" s="3" t="inlineStr">
        <is>
          <t>유홍선</t>
        </is>
      </c>
      <c r="F3138" s="3" t="inlineStr">
        <is>
          <t>특별관계자</t>
        </is>
      </c>
      <c r="G3138" s="3" t="inlineStr">
        <is>
          <t>신규보고(+)</t>
        </is>
      </c>
      <c r="H3138" s="15" t="n">
        <v>3204</v>
      </c>
      <c r="I3138" s="6" t="inlineStr"/>
      <c r="J3138" s="6" t="n">
        <v>1068</v>
      </c>
      <c r="K3138" s="16" t="n">
        <v>5.95</v>
      </c>
      <c r="L3138" s="2" t="inlineStr">
        <is>
          <t>20260605000186</t>
        </is>
      </c>
      <c r="M3138" s="8">
        <f>HYPERLINK("https://dart.fss.or.kr/dsaf001/main.do?rcpNo=20260605000186", "공시열람")</f>
        <v/>
      </c>
    </row>
    <row r="3139" ht="22" customHeight="1">
      <c r="A3139" s="2" t="inlineStr">
        <is>
          <t>2026-06-05</t>
        </is>
      </c>
      <c r="B3139" s="3" t="inlineStr">
        <is>
          <t>엔지켐생명과학</t>
        </is>
      </c>
      <c r="C3139" s="2" t="inlineStr">
        <is>
          <t>183490</t>
        </is>
      </c>
      <c r="D3139" s="2" t="inlineStr">
        <is>
          <t>대량보유</t>
        </is>
      </c>
      <c r="E3139" s="3" t="inlineStr">
        <is>
          <t>이재우</t>
        </is>
      </c>
      <c r="F3139" s="3" t="inlineStr">
        <is>
          <t>특별관계자</t>
        </is>
      </c>
      <c r="G3139" s="3" t="inlineStr">
        <is>
          <t>신규보고(+)</t>
        </is>
      </c>
      <c r="H3139" s="15" t="n">
        <v>15063</v>
      </c>
      <c r="I3139" s="6" t="inlineStr"/>
      <c r="J3139" s="6" t="n">
        <v>5021</v>
      </c>
      <c r="K3139" s="16" t="n">
        <v>5.95</v>
      </c>
      <c r="L3139" s="2" t="inlineStr">
        <is>
          <t>20260605000186</t>
        </is>
      </c>
      <c r="M3139" s="8">
        <f>HYPERLINK("https://dart.fss.or.kr/dsaf001/main.do?rcpNo=20260605000186", "공시열람")</f>
        <v/>
      </c>
    </row>
    <row r="3140" ht="22" customHeight="1">
      <c r="A3140" s="2" t="inlineStr">
        <is>
          <t>2026-06-05</t>
        </is>
      </c>
      <c r="B3140" s="3" t="inlineStr">
        <is>
          <t>엔지켐생명과학</t>
        </is>
      </c>
      <c r="C3140" s="2" t="inlineStr">
        <is>
          <t>183490</t>
        </is>
      </c>
      <c r="D3140" s="2" t="inlineStr">
        <is>
          <t>대량보유</t>
        </is>
      </c>
      <c r="E3140" s="3" t="inlineStr">
        <is>
          <t>남언식</t>
        </is>
      </c>
      <c r="F3140" s="3" t="inlineStr">
        <is>
          <t>특별관계자</t>
        </is>
      </c>
      <c r="G3140" s="3" t="inlineStr">
        <is>
          <t>신규보고(+)</t>
        </is>
      </c>
      <c r="H3140" s="15" t="n">
        <v>23739</v>
      </c>
      <c r="I3140" s="6" t="inlineStr"/>
      <c r="J3140" s="6" t="n">
        <v>7913</v>
      </c>
      <c r="K3140" s="16" t="n">
        <v>5.95</v>
      </c>
      <c r="L3140" s="2" t="inlineStr">
        <is>
          <t>20260605000186</t>
        </is>
      </c>
      <c r="M3140" s="8">
        <f>HYPERLINK("https://dart.fss.or.kr/dsaf001/main.do?rcpNo=20260605000186", "공시열람")</f>
        <v/>
      </c>
    </row>
    <row r="3141" ht="22" customHeight="1">
      <c r="A3141" s="2" t="inlineStr">
        <is>
          <t>2026-06-05</t>
        </is>
      </c>
      <c r="B3141" s="3" t="inlineStr">
        <is>
          <t>엔지켐생명과학</t>
        </is>
      </c>
      <c r="C3141" s="2" t="inlineStr">
        <is>
          <t>183490</t>
        </is>
      </c>
      <c r="D3141" s="2" t="inlineStr">
        <is>
          <t>대량보유</t>
        </is>
      </c>
      <c r="E3141" s="3" t="inlineStr">
        <is>
          <t>김재현</t>
        </is>
      </c>
      <c r="F3141" s="3" t="inlineStr">
        <is>
          <t>특별관계자</t>
        </is>
      </c>
      <c r="G3141" s="3" t="inlineStr">
        <is>
          <t>신규보고(+)</t>
        </is>
      </c>
      <c r="H3141" s="15" t="n">
        <v>6000</v>
      </c>
      <c r="I3141" s="6" t="inlineStr"/>
      <c r="J3141" s="6" t="n">
        <v>2000</v>
      </c>
      <c r="K3141" s="16" t="n">
        <v>5.95</v>
      </c>
      <c r="L3141" s="2" t="inlineStr">
        <is>
          <t>20260605000186</t>
        </is>
      </c>
      <c r="M3141" s="8">
        <f>HYPERLINK("https://dart.fss.or.kr/dsaf001/main.do?rcpNo=20260605000186", "공시열람")</f>
        <v/>
      </c>
    </row>
    <row r="3142" ht="22" customHeight="1">
      <c r="A3142" s="2" t="inlineStr">
        <is>
          <t>2026-06-05</t>
        </is>
      </c>
      <c r="B3142" s="3" t="inlineStr">
        <is>
          <t>엔지켐생명과학</t>
        </is>
      </c>
      <c r="C3142" s="2" t="inlineStr">
        <is>
          <t>183490</t>
        </is>
      </c>
      <c r="D3142" s="2" t="inlineStr">
        <is>
          <t>대량보유</t>
        </is>
      </c>
      <c r="E3142" s="3" t="inlineStr">
        <is>
          <t>박현준</t>
        </is>
      </c>
      <c r="F3142" s="3" t="inlineStr">
        <is>
          <t>특별관계자</t>
        </is>
      </c>
      <c r="G3142" s="3" t="inlineStr">
        <is>
          <t>신규보고(+)</t>
        </is>
      </c>
      <c r="H3142" s="15" t="n">
        <v>59943</v>
      </c>
      <c r="I3142" s="6" t="inlineStr"/>
      <c r="J3142" s="6" t="n">
        <v>19981</v>
      </c>
      <c r="K3142" s="16" t="n">
        <v>5.95</v>
      </c>
      <c r="L3142" s="2" t="inlineStr">
        <is>
          <t>20260605000186</t>
        </is>
      </c>
      <c r="M3142" s="8">
        <f>HYPERLINK("https://dart.fss.or.kr/dsaf001/main.do?rcpNo=20260605000186", "공시열람")</f>
        <v/>
      </c>
    </row>
    <row r="3143" ht="22" customHeight="1">
      <c r="A3143" s="2" t="inlineStr">
        <is>
          <t>2026-06-05</t>
        </is>
      </c>
      <c r="B3143" s="3" t="inlineStr">
        <is>
          <t>엔지켐생명과학</t>
        </is>
      </c>
      <c r="C3143" s="2" t="inlineStr">
        <is>
          <t>183490</t>
        </is>
      </c>
      <c r="D3143" s="2" t="inlineStr">
        <is>
          <t>대량보유</t>
        </is>
      </c>
      <c r="E3143" s="3" t="inlineStr">
        <is>
          <t>이미림</t>
        </is>
      </c>
      <c r="F3143" s="3" t="inlineStr">
        <is>
          <t>특별관계자</t>
        </is>
      </c>
      <c r="G3143" s="3" t="inlineStr">
        <is>
          <t>신규보고(+)</t>
        </is>
      </c>
      <c r="H3143" s="15" t="n">
        <v>23700</v>
      </c>
      <c r="I3143" s="6" t="inlineStr"/>
      <c r="J3143" s="6" t="n">
        <v>7900</v>
      </c>
      <c r="K3143" s="16" t="n">
        <v>5.95</v>
      </c>
      <c r="L3143" s="2" t="inlineStr">
        <is>
          <t>20260605000186</t>
        </is>
      </c>
      <c r="M3143" s="8">
        <f>HYPERLINK("https://dart.fss.or.kr/dsaf001/main.do?rcpNo=20260605000186", "공시열람")</f>
        <v/>
      </c>
    </row>
    <row r="3144" ht="22" customHeight="1">
      <c r="A3144" s="2" t="inlineStr">
        <is>
          <t>2026-06-05</t>
        </is>
      </c>
      <c r="B3144" s="3" t="inlineStr">
        <is>
          <t>엔지켐생명과학</t>
        </is>
      </c>
      <c r="C3144" s="2" t="inlineStr">
        <is>
          <t>183490</t>
        </is>
      </c>
      <c r="D3144" s="2" t="inlineStr">
        <is>
          <t>대량보유</t>
        </is>
      </c>
      <c r="E3144" s="3" t="inlineStr">
        <is>
          <t>채병오</t>
        </is>
      </c>
      <c r="F3144" s="3" t="inlineStr">
        <is>
          <t>특별관계자</t>
        </is>
      </c>
      <c r="G3144" s="3" t="inlineStr">
        <is>
          <t>신규보고(+)</t>
        </is>
      </c>
      <c r="H3144" s="15" t="n">
        <v>280500</v>
      </c>
      <c r="I3144" s="6" t="inlineStr"/>
      <c r="J3144" s="6" t="n">
        <v>93500</v>
      </c>
      <c r="K3144" s="16" t="n">
        <v>5.95</v>
      </c>
      <c r="L3144" s="2" t="inlineStr">
        <is>
          <t>20260605000186</t>
        </is>
      </c>
      <c r="M3144" s="8">
        <f>HYPERLINK("https://dart.fss.or.kr/dsaf001/main.do?rcpNo=20260605000186", "공시열람")</f>
        <v/>
      </c>
    </row>
    <row r="3145" ht="22" customHeight="1">
      <c r="A3145" s="2" t="inlineStr">
        <is>
          <t>2026-06-05</t>
        </is>
      </c>
      <c r="B3145" s="3" t="inlineStr">
        <is>
          <t>엔지켐생명과학</t>
        </is>
      </c>
      <c r="C3145" s="2" t="inlineStr">
        <is>
          <t>183490</t>
        </is>
      </c>
      <c r="D3145" s="2" t="inlineStr">
        <is>
          <t>대량보유</t>
        </is>
      </c>
      <c r="E3145" s="3" t="inlineStr">
        <is>
          <t>이현휘</t>
        </is>
      </c>
      <c r="F3145" s="3" t="inlineStr">
        <is>
          <t>특별관계자</t>
        </is>
      </c>
      <c r="G3145" s="3" t="inlineStr">
        <is>
          <t>신규보고(+)</t>
        </is>
      </c>
      <c r="H3145" s="15" t="n">
        <v>104142</v>
      </c>
      <c r="I3145" s="6" t="inlineStr"/>
      <c r="J3145" s="6" t="n">
        <v>34714</v>
      </c>
      <c r="K3145" s="16" t="n">
        <v>5.95</v>
      </c>
      <c r="L3145" s="2" t="inlineStr">
        <is>
          <t>20260605000186</t>
        </is>
      </c>
      <c r="M3145" s="8">
        <f>HYPERLINK("https://dart.fss.or.kr/dsaf001/main.do?rcpNo=20260605000186", "공시열람")</f>
        <v/>
      </c>
    </row>
    <row r="3146" ht="22" customHeight="1">
      <c r="A3146" s="2" t="inlineStr">
        <is>
          <t>2026-06-05</t>
        </is>
      </c>
      <c r="B3146" s="3" t="inlineStr">
        <is>
          <t>엔지켐생명과학</t>
        </is>
      </c>
      <c r="C3146" s="2" t="inlineStr">
        <is>
          <t>183490</t>
        </is>
      </c>
      <c r="D3146" s="2" t="inlineStr">
        <is>
          <t>대량보유</t>
        </is>
      </c>
      <c r="E3146" s="3" t="inlineStr">
        <is>
          <t>김지연</t>
        </is>
      </c>
      <c r="F3146" s="3" t="inlineStr">
        <is>
          <t>특별관계자</t>
        </is>
      </c>
      <c r="G3146" s="3" t="inlineStr">
        <is>
          <t>신규보고(+)</t>
        </is>
      </c>
      <c r="H3146" s="15" t="n">
        <v>2016</v>
      </c>
      <c r="I3146" s="6" t="inlineStr"/>
      <c r="J3146" s="6" t="n">
        <v>672</v>
      </c>
      <c r="K3146" s="16" t="n">
        <v>5.95</v>
      </c>
      <c r="L3146" s="2" t="inlineStr">
        <is>
          <t>20260605000186</t>
        </is>
      </c>
      <c r="M3146" s="8">
        <f>HYPERLINK("https://dart.fss.or.kr/dsaf001/main.do?rcpNo=20260605000186", "공시열람")</f>
        <v/>
      </c>
    </row>
    <row r="3147" ht="22" customHeight="1">
      <c r="A3147" s="2" t="inlineStr">
        <is>
          <t>2026-06-05</t>
        </is>
      </c>
      <c r="B3147" s="3" t="inlineStr">
        <is>
          <t>엔지켐생명과학</t>
        </is>
      </c>
      <c r="C3147" s="2" t="inlineStr">
        <is>
          <t>183490</t>
        </is>
      </c>
      <c r="D3147" s="2" t="inlineStr">
        <is>
          <t>대량보유</t>
        </is>
      </c>
      <c r="E3147" s="3" t="inlineStr">
        <is>
          <t>이인의</t>
        </is>
      </c>
      <c r="F3147" s="3" t="inlineStr">
        <is>
          <t>특별관계자</t>
        </is>
      </c>
      <c r="G3147" s="3" t="inlineStr">
        <is>
          <t>신규보고(+)</t>
        </is>
      </c>
      <c r="H3147" s="15" t="n">
        <v>33654</v>
      </c>
      <c r="I3147" s="6" t="inlineStr"/>
      <c r="J3147" s="6" t="n">
        <v>11218</v>
      </c>
      <c r="K3147" s="16" t="n">
        <v>5.95</v>
      </c>
      <c r="L3147" s="2" t="inlineStr">
        <is>
          <t>20260605000186</t>
        </is>
      </c>
      <c r="M3147" s="8">
        <f>HYPERLINK("https://dart.fss.or.kr/dsaf001/main.do?rcpNo=20260605000186", "공시열람")</f>
        <v/>
      </c>
    </row>
    <row r="3148" ht="22" customHeight="1">
      <c r="A3148" s="2" t="inlineStr">
        <is>
          <t>2026-06-05</t>
        </is>
      </c>
      <c r="B3148" s="3" t="inlineStr">
        <is>
          <t>엔지켐생명과학</t>
        </is>
      </c>
      <c r="C3148" s="2" t="inlineStr">
        <is>
          <t>183490</t>
        </is>
      </c>
      <c r="D3148" s="2" t="inlineStr">
        <is>
          <t>대량보유</t>
        </is>
      </c>
      <c r="E3148" s="3" t="inlineStr">
        <is>
          <t>목진석</t>
        </is>
      </c>
      <c r="F3148" s="3" t="inlineStr">
        <is>
          <t>특별관계자</t>
        </is>
      </c>
      <c r="G3148" s="3" t="inlineStr">
        <is>
          <t>신규보고(+)</t>
        </is>
      </c>
      <c r="H3148" s="15" t="n">
        <v>120000</v>
      </c>
      <c r="I3148" s="6" t="inlineStr"/>
      <c r="J3148" s="6" t="n">
        <v>40000</v>
      </c>
      <c r="K3148" s="16" t="n">
        <v>5.95</v>
      </c>
      <c r="L3148" s="2" t="inlineStr">
        <is>
          <t>20260605000186</t>
        </is>
      </c>
      <c r="M3148" s="8">
        <f>HYPERLINK("https://dart.fss.or.kr/dsaf001/main.do?rcpNo=20260605000186", "공시열람")</f>
        <v/>
      </c>
    </row>
    <row r="3149" ht="22" customHeight="1">
      <c r="A3149" s="2" t="inlineStr">
        <is>
          <t>2026-06-05</t>
        </is>
      </c>
      <c r="B3149" s="3" t="inlineStr">
        <is>
          <t>엔지켐생명과학</t>
        </is>
      </c>
      <c r="C3149" s="2" t="inlineStr">
        <is>
          <t>183490</t>
        </is>
      </c>
      <c r="D3149" s="2" t="inlineStr">
        <is>
          <t>대량보유</t>
        </is>
      </c>
      <c r="E3149" s="3" t="inlineStr">
        <is>
          <t>임선아</t>
        </is>
      </c>
      <c r="F3149" s="3" t="inlineStr">
        <is>
          <t>특별관계자</t>
        </is>
      </c>
      <c r="G3149" s="3" t="inlineStr">
        <is>
          <t>신규보고(+)</t>
        </is>
      </c>
      <c r="H3149" s="15" t="n">
        <v>38280</v>
      </c>
      <c r="I3149" s="6" t="inlineStr"/>
      <c r="J3149" s="6" t="n">
        <v>12760</v>
      </c>
      <c r="K3149" s="16" t="n">
        <v>5.95</v>
      </c>
      <c r="L3149" s="2" t="inlineStr">
        <is>
          <t>20260605000186</t>
        </is>
      </c>
      <c r="M3149" s="8">
        <f>HYPERLINK("https://dart.fss.or.kr/dsaf001/main.do?rcpNo=20260605000186", "공시열람")</f>
        <v/>
      </c>
    </row>
    <row r="3150" ht="22" customHeight="1">
      <c r="A3150" s="2" t="inlineStr">
        <is>
          <t>2026-06-05</t>
        </is>
      </c>
      <c r="B3150" s="3" t="inlineStr">
        <is>
          <t>엔지켐생명과학</t>
        </is>
      </c>
      <c r="C3150" s="2" t="inlineStr">
        <is>
          <t>183490</t>
        </is>
      </c>
      <c r="D3150" s="2" t="inlineStr">
        <is>
          <t>대량보유</t>
        </is>
      </c>
      <c r="E3150" s="3" t="inlineStr">
        <is>
          <t>오지연</t>
        </is>
      </c>
      <c r="F3150" s="3" t="inlineStr">
        <is>
          <t>특별관계자</t>
        </is>
      </c>
      <c r="G3150" s="3" t="inlineStr">
        <is>
          <t>신규보고(+)</t>
        </is>
      </c>
      <c r="H3150" s="15" t="n">
        <v>9801</v>
      </c>
      <c r="I3150" s="6" t="inlineStr"/>
      <c r="J3150" s="6" t="n">
        <v>3267</v>
      </c>
      <c r="K3150" s="16" t="n">
        <v>5.95</v>
      </c>
      <c r="L3150" s="2" t="inlineStr">
        <is>
          <t>20260605000186</t>
        </is>
      </c>
      <c r="M3150" s="8">
        <f>HYPERLINK("https://dart.fss.or.kr/dsaf001/main.do?rcpNo=20260605000186", "공시열람")</f>
        <v/>
      </c>
    </row>
    <row r="3151" ht="22" customHeight="1">
      <c r="A3151" s="2" t="inlineStr">
        <is>
          <t>2026-06-05</t>
        </is>
      </c>
      <c r="B3151" s="3" t="inlineStr">
        <is>
          <t>엔지켐생명과학</t>
        </is>
      </c>
      <c r="C3151" s="2" t="inlineStr">
        <is>
          <t>183490</t>
        </is>
      </c>
      <c r="D3151" s="2" t="inlineStr">
        <is>
          <t>대량보유</t>
        </is>
      </c>
      <c r="E3151" s="3" t="inlineStr">
        <is>
          <t>김희식</t>
        </is>
      </c>
      <c r="F3151" s="3" t="inlineStr">
        <is>
          <t>특별관계자</t>
        </is>
      </c>
      <c r="G3151" s="3" t="inlineStr">
        <is>
          <t>신규보고(+)</t>
        </is>
      </c>
      <c r="H3151" s="15" t="n">
        <v>23700</v>
      </c>
      <c r="I3151" s="6" t="inlineStr"/>
      <c r="J3151" s="6" t="n">
        <v>7900</v>
      </c>
      <c r="K3151" s="16" t="n">
        <v>5.95</v>
      </c>
      <c r="L3151" s="2" t="inlineStr">
        <is>
          <t>20260605000186</t>
        </is>
      </c>
      <c r="M3151" s="8">
        <f>HYPERLINK("https://dart.fss.or.kr/dsaf001/main.do?rcpNo=20260605000186", "공시열람")</f>
        <v/>
      </c>
    </row>
    <row r="3152" ht="22" customHeight="1">
      <c r="A3152" s="2" t="inlineStr">
        <is>
          <t>2026-06-05</t>
        </is>
      </c>
      <c r="B3152" s="3" t="inlineStr">
        <is>
          <t>엔지켐생명과학</t>
        </is>
      </c>
      <c r="C3152" s="2" t="inlineStr">
        <is>
          <t>183490</t>
        </is>
      </c>
      <c r="D3152" s="2" t="inlineStr">
        <is>
          <t>대량보유</t>
        </is>
      </c>
      <c r="E3152" s="3" t="inlineStr">
        <is>
          <t>민병훈</t>
        </is>
      </c>
      <c r="F3152" s="3" t="inlineStr">
        <is>
          <t>특별관계자</t>
        </is>
      </c>
      <c r="G3152" s="3" t="inlineStr">
        <is>
          <t>신규보고(+)</t>
        </is>
      </c>
      <c r="H3152" s="15" t="n">
        <v>28074</v>
      </c>
      <c r="I3152" s="6" t="inlineStr"/>
      <c r="J3152" s="6" t="n">
        <v>9358</v>
      </c>
      <c r="K3152" s="16" t="n">
        <v>5.95</v>
      </c>
      <c r="L3152" s="2" t="inlineStr">
        <is>
          <t>20260605000186</t>
        </is>
      </c>
      <c r="M3152" s="8">
        <f>HYPERLINK("https://dart.fss.or.kr/dsaf001/main.do?rcpNo=20260605000186", "공시열람")</f>
        <v/>
      </c>
    </row>
    <row r="3153" ht="22" customHeight="1">
      <c r="A3153" s="2" t="inlineStr">
        <is>
          <t>2026-06-05</t>
        </is>
      </c>
      <c r="B3153" s="3" t="inlineStr">
        <is>
          <t>엔지켐생명과학</t>
        </is>
      </c>
      <c r="C3153" s="2" t="inlineStr">
        <is>
          <t>183490</t>
        </is>
      </c>
      <c r="D3153" s="2" t="inlineStr">
        <is>
          <t>대량보유</t>
        </is>
      </c>
      <c r="E3153" s="3" t="inlineStr">
        <is>
          <t>이순이</t>
        </is>
      </c>
      <c r="F3153" s="3" t="inlineStr">
        <is>
          <t>특별관계자</t>
        </is>
      </c>
      <c r="G3153" s="3" t="inlineStr">
        <is>
          <t>신규보고(+)</t>
        </is>
      </c>
      <c r="H3153" s="15" t="n">
        <v>81585</v>
      </c>
      <c r="I3153" s="6" t="inlineStr"/>
      <c r="J3153" s="6" t="n">
        <v>27195</v>
      </c>
      <c r="K3153" s="16" t="n">
        <v>5.95</v>
      </c>
      <c r="L3153" s="2" t="inlineStr">
        <is>
          <t>20260605000186</t>
        </is>
      </c>
      <c r="M3153" s="8">
        <f>HYPERLINK("https://dart.fss.or.kr/dsaf001/main.do?rcpNo=20260605000186", "공시열람")</f>
        <v/>
      </c>
    </row>
    <row r="3154" ht="22" customHeight="1">
      <c r="A3154" s="2" t="inlineStr">
        <is>
          <t>2026-06-05</t>
        </is>
      </c>
      <c r="B3154" s="3" t="inlineStr">
        <is>
          <t>엔지켐생명과학</t>
        </is>
      </c>
      <c r="C3154" s="2" t="inlineStr">
        <is>
          <t>183490</t>
        </is>
      </c>
      <c r="D3154" s="2" t="inlineStr">
        <is>
          <t>대량보유</t>
        </is>
      </c>
      <c r="E3154" s="3" t="inlineStr">
        <is>
          <t>류정욱</t>
        </is>
      </c>
      <c r="F3154" s="3" t="inlineStr">
        <is>
          <t>특별관계자</t>
        </is>
      </c>
      <c r="G3154" s="3" t="inlineStr">
        <is>
          <t>신규보고(+)</t>
        </is>
      </c>
      <c r="H3154" s="15" t="n">
        <v>60000</v>
      </c>
      <c r="I3154" s="6" t="inlineStr"/>
      <c r="J3154" s="6" t="n">
        <v>20000</v>
      </c>
      <c r="K3154" s="16" t="n">
        <v>5.95</v>
      </c>
      <c r="L3154" s="2" t="inlineStr">
        <is>
          <t>20260605000186</t>
        </is>
      </c>
      <c r="M3154" s="8">
        <f>HYPERLINK("https://dart.fss.or.kr/dsaf001/main.do?rcpNo=20260605000186", "공시열람")</f>
        <v/>
      </c>
    </row>
    <row r="3155" ht="22" customHeight="1">
      <c r="A3155" s="2" t="inlineStr">
        <is>
          <t>2026-06-05</t>
        </is>
      </c>
      <c r="B3155" s="3" t="inlineStr">
        <is>
          <t>엔지켐생명과학</t>
        </is>
      </c>
      <c r="C3155" s="2" t="inlineStr">
        <is>
          <t>183490</t>
        </is>
      </c>
      <c r="D3155" s="2" t="inlineStr">
        <is>
          <t>대량보유</t>
        </is>
      </c>
      <c r="E3155" s="3" t="inlineStr">
        <is>
          <t>김형석</t>
        </is>
      </c>
      <c r="F3155" s="3" t="inlineStr">
        <is>
          <t>특별관계자</t>
        </is>
      </c>
      <c r="G3155" s="3" t="inlineStr">
        <is>
          <t>신규보고(+)</t>
        </is>
      </c>
      <c r="H3155" s="15" t="n">
        <v>88386</v>
      </c>
      <c r="I3155" s="6" t="inlineStr"/>
      <c r="J3155" s="6" t="n">
        <v>29462</v>
      </c>
      <c r="K3155" s="16" t="n">
        <v>5.95</v>
      </c>
      <c r="L3155" s="2" t="inlineStr">
        <is>
          <t>20260605000186</t>
        </is>
      </c>
      <c r="M3155" s="8">
        <f>HYPERLINK("https://dart.fss.or.kr/dsaf001/main.do?rcpNo=20260605000186", "공시열람")</f>
        <v/>
      </c>
    </row>
    <row r="3156" ht="22" customHeight="1">
      <c r="A3156" s="2" t="inlineStr">
        <is>
          <t>2026-06-05</t>
        </is>
      </c>
      <c r="B3156" s="3" t="inlineStr">
        <is>
          <t>엔지켐생명과학</t>
        </is>
      </c>
      <c r="C3156" s="2" t="inlineStr">
        <is>
          <t>183490</t>
        </is>
      </c>
      <c r="D3156" s="2" t="inlineStr">
        <is>
          <t>대량보유</t>
        </is>
      </c>
      <c r="E3156" s="3" t="inlineStr">
        <is>
          <t>김재민</t>
        </is>
      </c>
      <c r="F3156" s="3" t="inlineStr">
        <is>
          <t>특별관계자</t>
        </is>
      </c>
      <c r="G3156" s="3" t="inlineStr">
        <is>
          <t>신규보고(+)</t>
        </is>
      </c>
      <c r="H3156" s="15" t="n">
        <v>55500</v>
      </c>
      <c r="I3156" s="6" t="inlineStr"/>
      <c r="J3156" s="6" t="n">
        <v>18500</v>
      </c>
      <c r="K3156" s="16" t="n">
        <v>5.95</v>
      </c>
      <c r="L3156" s="2" t="inlineStr">
        <is>
          <t>20260605000186</t>
        </is>
      </c>
      <c r="M3156" s="8">
        <f>HYPERLINK("https://dart.fss.or.kr/dsaf001/main.do?rcpNo=20260605000186", "공시열람")</f>
        <v/>
      </c>
    </row>
    <row r="3157" ht="22" customHeight="1">
      <c r="A3157" s="2" t="inlineStr">
        <is>
          <t>2026-06-05</t>
        </is>
      </c>
      <c r="B3157" s="3" t="inlineStr">
        <is>
          <t>엔지켐생명과학</t>
        </is>
      </c>
      <c r="C3157" s="2" t="inlineStr">
        <is>
          <t>183490</t>
        </is>
      </c>
      <c r="D3157" s="2" t="inlineStr">
        <is>
          <t>대량보유</t>
        </is>
      </c>
      <c r="E3157" s="3" t="inlineStr">
        <is>
          <t>박현규</t>
        </is>
      </c>
      <c r="F3157" s="3" t="inlineStr">
        <is>
          <t>특별관계자</t>
        </is>
      </c>
      <c r="G3157" s="3" t="inlineStr">
        <is>
          <t>신규보고(+)</t>
        </is>
      </c>
      <c r="H3157" s="15" t="n">
        <v>3927</v>
      </c>
      <c r="I3157" s="6" t="inlineStr"/>
      <c r="J3157" s="6" t="n">
        <v>1309</v>
      </c>
      <c r="K3157" s="16" t="n">
        <v>5.95</v>
      </c>
      <c r="L3157" s="2" t="inlineStr">
        <is>
          <t>20260605000186</t>
        </is>
      </c>
      <c r="M3157" s="8">
        <f>HYPERLINK("https://dart.fss.or.kr/dsaf001/main.do?rcpNo=20260605000186", "공시열람")</f>
        <v/>
      </c>
    </row>
    <row r="3158" ht="22" customHeight="1">
      <c r="A3158" s="2" t="inlineStr">
        <is>
          <t>2026-06-05</t>
        </is>
      </c>
      <c r="B3158" s="3" t="inlineStr">
        <is>
          <t>엔지켐생명과학</t>
        </is>
      </c>
      <c r="C3158" s="2" t="inlineStr">
        <is>
          <t>183490</t>
        </is>
      </c>
      <c r="D3158" s="2" t="inlineStr">
        <is>
          <t>대량보유</t>
        </is>
      </c>
      <c r="E3158" s="3" t="inlineStr">
        <is>
          <t>이희용</t>
        </is>
      </c>
      <c r="F3158" s="3" t="inlineStr">
        <is>
          <t>특별관계자</t>
        </is>
      </c>
      <c r="G3158" s="3" t="inlineStr">
        <is>
          <t>신규보고(+)</t>
        </is>
      </c>
      <c r="H3158" s="15" t="n">
        <v>4470</v>
      </c>
      <c r="I3158" s="6" t="inlineStr"/>
      <c r="J3158" s="6" t="n">
        <v>1490</v>
      </c>
      <c r="K3158" s="16" t="n">
        <v>5.95</v>
      </c>
      <c r="L3158" s="2" t="inlineStr">
        <is>
          <t>20260605000186</t>
        </is>
      </c>
      <c r="M3158" s="8">
        <f>HYPERLINK("https://dart.fss.or.kr/dsaf001/main.do?rcpNo=20260605000186", "공시열람")</f>
        <v/>
      </c>
    </row>
    <row r="3159" ht="22" customHeight="1">
      <c r="A3159" s="2" t="inlineStr">
        <is>
          <t>2026-06-05</t>
        </is>
      </c>
      <c r="B3159" s="3" t="inlineStr">
        <is>
          <t>엔지켐생명과학</t>
        </is>
      </c>
      <c r="C3159" s="2" t="inlineStr">
        <is>
          <t>183490</t>
        </is>
      </c>
      <c r="D3159" s="2" t="inlineStr">
        <is>
          <t>대량보유</t>
        </is>
      </c>
      <c r="E3159" s="3" t="inlineStr">
        <is>
          <t>이동호</t>
        </is>
      </c>
      <c r="F3159" s="3" t="inlineStr">
        <is>
          <t>특별관계자</t>
        </is>
      </c>
      <c r="G3159" s="3" t="inlineStr">
        <is>
          <t>신규보고(+)</t>
        </is>
      </c>
      <c r="H3159" s="15" t="n">
        <v>9663</v>
      </c>
      <c r="I3159" s="6" t="inlineStr"/>
      <c r="J3159" s="6" t="n">
        <v>3221</v>
      </c>
      <c r="K3159" s="16" t="n">
        <v>5.95</v>
      </c>
      <c r="L3159" s="2" t="inlineStr">
        <is>
          <t>20260605000186</t>
        </is>
      </c>
      <c r="M3159" s="8">
        <f>HYPERLINK("https://dart.fss.or.kr/dsaf001/main.do?rcpNo=20260605000186", "공시열람")</f>
        <v/>
      </c>
    </row>
    <row r="3160" ht="22" customHeight="1">
      <c r="A3160" s="2" t="inlineStr">
        <is>
          <t>2026-06-05</t>
        </is>
      </c>
      <c r="B3160" s="3" t="inlineStr">
        <is>
          <t>엔지켐생명과학</t>
        </is>
      </c>
      <c r="C3160" s="2" t="inlineStr">
        <is>
          <t>183490</t>
        </is>
      </c>
      <c r="D3160" s="2" t="inlineStr">
        <is>
          <t>대량보유</t>
        </is>
      </c>
      <c r="E3160" s="3" t="inlineStr">
        <is>
          <t>정범건</t>
        </is>
      </c>
      <c r="F3160" s="3" t="inlineStr">
        <is>
          <t>특별관계자</t>
        </is>
      </c>
      <c r="G3160" s="3" t="inlineStr">
        <is>
          <t>신규보고(+)</t>
        </is>
      </c>
      <c r="H3160" s="15" t="n">
        <v>4815</v>
      </c>
      <c r="I3160" s="6" t="inlineStr"/>
      <c r="J3160" s="6" t="n">
        <v>1605</v>
      </c>
      <c r="K3160" s="16" t="n">
        <v>5.95</v>
      </c>
      <c r="L3160" s="2" t="inlineStr">
        <is>
          <t>20260605000186</t>
        </is>
      </c>
      <c r="M3160" s="8">
        <f>HYPERLINK("https://dart.fss.or.kr/dsaf001/main.do?rcpNo=20260605000186", "공시열람")</f>
        <v/>
      </c>
    </row>
    <row r="3161" ht="22" customHeight="1">
      <c r="A3161" s="2" t="inlineStr">
        <is>
          <t>2026-06-05</t>
        </is>
      </c>
      <c r="B3161" s="3" t="inlineStr">
        <is>
          <t>엔지켐생명과학</t>
        </is>
      </c>
      <c r="C3161" s="2" t="inlineStr">
        <is>
          <t>183490</t>
        </is>
      </c>
      <c r="D3161" s="2" t="inlineStr">
        <is>
          <t>대량보유</t>
        </is>
      </c>
      <c r="E3161" s="3" t="inlineStr">
        <is>
          <t>이동희</t>
        </is>
      </c>
      <c r="F3161" s="3" t="inlineStr">
        <is>
          <t>특별관계자</t>
        </is>
      </c>
      <c r="G3161" s="3" t="inlineStr">
        <is>
          <t>신규보고(+)</t>
        </is>
      </c>
      <c r="H3161" s="15" t="n">
        <v>193950</v>
      </c>
      <c r="I3161" s="6" t="inlineStr"/>
      <c r="J3161" s="6" t="n">
        <v>64650</v>
      </c>
      <c r="K3161" s="16" t="n">
        <v>5.95</v>
      </c>
      <c r="L3161" s="2" t="inlineStr">
        <is>
          <t>20260605000186</t>
        </is>
      </c>
      <c r="M3161" s="8">
        <f>HYPERLINK("https://dart.fss.or.kr/dsaf001/main.do?rcpNo=20260605000186", "공시열람")</f>
        <v/>
      </c>
    </row>
    <row r="3162" ht="22" customHeight="1">
      <c r="A3162" s="2" t="inlineStr">
        <is>
          <t>2026-06-05</t>
        </is>
      </c>
      <c r="B3162" s="3" t="inlineStr">
        <is>
          <t>엔지켐생명과학</t>
        </is>
      </c>
      <c r="C3162" s="2" t="inlineStr">
        <is>
          <t>183490</t>
        </is>
      </c>
      <c r="D3162" s="2" t="inlineStr">
        <is>
          <t>대량보유</t>
        </is>
      </c>
      <c r="E3162" s="3" t="inlineStr">
        <is>
          <t>박진호</t>
        </is>
      </c>
      <c r="F3162" s="3" t="inlineStr">
        <is>
          <t>특별관계자</t>
        </is>
      </c>
      <c r="G3162" s="3" t="inlineStr">
        <is>
          <t>신규보고(+)</t>
        </is>
      </c>
      <c r="H3162" s="15" t="n">
        <v>123000</v>
      </c>
      <c r="I3162" s="6" t="inlineStr"/>
      <c r="J3162" s="6" t="n">
        <v>41000</v>
      </c>
      <c r="K3162" s="16" t="n">
        <v>5.95</v>
      </c>
      <c r="L3162" s="2" t="inlineStr">
        <is>
          <t>20260605000186</t>
        </is>
      </c>
      <c r="M3162" s="8">
        <f>HYPERLINK("https://dart.fss.or.kr/dsaf001/main.do?rcpNo=20260605000186", "공시열람")</f>
        <v/>
      </c>
    </row>
    <row r="3163" ht="22" customHeight="1">
      <c r="A3163" s="2" t="inlineStr">
        <is>
          <t>2026-06-05</t>
        </is>
      </c>
      <c r="B3163" s="3" t="inlineStr">
        <is>
          <t>엔지켐생명과학</t>
        </is>
      </c>
      <c r="C3163" s="2" t="inlineStr">
        <is>
          <t>183490</t>
        </is>
      </c>
      <c r="D3163" s="2" t="inlineStr">
        <is>
          <t>대량보유</t>
        </is>
      </c>
      <c r="E3163" s="3" t="inlineStr">
        <is>
          <t>김동균</t>
        </is>
      </c>
      <c r="F3163" s="3" t="inlineStr">
        <is>
          <t>특별관계자</t>
        </is>
      </c>
      <c r="G3163" s="3" t="inlineStr">
        <is>
          <t>신규보고(+)</t>
        </is>
      </c>
      <c r="H3163" s="15" t="n">
        <v>90000</v>
      </c>
      <c r="I3163" s="6" t="inlineStr"/>
      <c r="J3163" s="6" t="n">
        <v>30000</v>
      </c>
      <c r="K3163" s="16" t="n">
        <v>5.95</v>
      </c>
      <c r="L3163" s="2" t="inlineStr">
        <is>
          <t>20260605000186</t>
        </is>
      </c>
      <c r="M3163" s="8">
        <f>HYPERLINK("https://dart.fss.or.kr/dsaf001/main.do?rcpNo=20260605000186", "공시열람")</f>
        <v/>
      </c>
    </row>
    <row r="3164" ht="22" customHeight="1">
      <c r="A3164" s="2" t="inlineStr">
        <is>
          <t>2026-06-05</t>
        </is>
      </c>
      <c r="B3164" s="3" t="inlineStr">
        <is>
          <t>엔지켐생명과학</t>
        </is>
      </c>
      <c r="C3164" s="2" t="inlineStr">
        <is>
          <t>183490</t>
        </is>
      </c>
      <c r="D3164" s="2" t="inlineStr">
        <is>
          <t>대량보유</t>
        </is>
      </c>
      <c r="E3164" s="3" t="inlineStr">
        <is>
          <t>김희태</t>
        </is>
      </c>
      <c r="F3164" s="3" t="inlineStr">
        <is>
          <t>특별관계자</t>
        </is>
      </c>
      <c r="G3164" s="3" t="inlineStr">
        <is>
          <t>신규보고(+)</t>
        </is>
      </c>
      <c r="H3164" s="15" t="n">
        <v>150474</v>
      </c>
      <c r="I3164" s="6" t="inlineStr"/>
      <c r="J3164" s="6" t="n">
        <v>50158</v>
      </c>
      <c r="K3164" s="16" t="n">
        <v>5.95</v>
      </c>
      <c r="L3164" s="2" t="inlineStr">
        <is>
          <t>20260605000186</t>
        </is>
      </c>
      <c r="M3164" s="8">
        <f>HYPERLINK("https://dart.fss.or.kr/dsaf001/main.do?rcpNo=20260605000186", "공시열람")</f>
        <v/>
      </c>
    </row>
    <row r="3165" ht="22" customHeight="1">
      <c r="A3165" s="2" t="inlineStr">
        <is>
          <t>2026-06-05</t>
        </is>
      </c>
      <c r="B3165" s="3" t="inlineStr">
        <is>
          <t>엔지켐생명과학</t>
        </is>
      </c>
      <c r="C3165" s="2" t="inlineStr">
        <is>
          <t>183490</t>
        </is>
      </c>
      <c r="D3165" s="2" t="inlineStr">
        <is>
          <t>대량보유</t>
        </is>
      </c>
      <c r="E3165" s="3" t="inlineStr">
        <is>
          <t>박찬경</t>
        </is>
      </c>
      <c r="F3165" s="3" t="inlineStr">
        <is>
          <t>특별관계자</t>
        </is>
      </c>
      <c r="G3165" s="3" t="inlineStr">
        <is>
          <t>신규보고(+)</t>
        </is>
      </c>
      <c r="H3165" s="15" t="n">
        <v>2262000</v>
      </c>
      <c r="I3165" s="6" t="inlineStr"/>
      <c r="J3165" s="6" t="n">
        <v>754000</v>
      </c>
      <c r="K3165" s="16" t="n">
        <v>5.95</v>
      </c>
      <c r="L3165" s="2" t="inlineStr">
        <is>
          <t>20260605000186</t>
        </is>
      </c>
      <c r="M3165" s="8">
        <f>HYPERLINK("https://dart.fss.or.kr/dsaf001/main.do?rcpNo=20260605000186", "공시열람")</f>
        <v/>
      </c>
    </row>
    <row r="3166" ht="22" customHeight="1">
      <c r="A3166" s="2" t="inlineStr">
        <is>
          <t>2026-06-05</t>
        </is>
      </c>
      <c r="B3166" s="3" t="inlineStr">
        <is>
          <t>엔지켐생명과학</t>
        </is>
      </c>
      <c r="C3166" s="2" t="inlineStr">
        <is>
          <t>183490</t>
        </is>
      </c>
      <c r="D3166" s="2" t="inlineStr">
        <is>
          <t>대량보유</t>
        </is>
      </c>
      <c r="E3166" s="3" t="inlineStr">
        <is>
          <t>문주영</t>
        </is>
      </c>
      <c r="F3166" s="3" t="inlineStr">
        <is>
          <t>특별관계자</t>
        </is>
      </c>
      <c r="G3166" s="3" t="inlineStr">
        <is>
          <t>신규보고(+)</t>
        </is>
      </c>
      <c r="H3166" s="15" t="n">
        <v>990</v>
      </c>
      <c r="I3166" s="6" t="inlineStr"/>
      <c r="J3166" s="6" t="n">
        <v>330</v>
      </c>
      <c r="K3166" s="16" t="n">
        <v>5.95</v>
      </c>
      <c r="L3166" s="2" t="inlineStr">
        <is>
          <t>20260605000186</t>
        </is>
      </c>
      <c r="M3166" s="8">
        <f>HYPERLINK("https://dart.fss.or.kr/dsaf001/main.do?rcpNo=20260605000186", "공시열람")</f>
        <v/>
      </c>
    </row>
    <row r="3167" ht="22" customHeight="1">
      <c r="A3167" s="2" t="inlineStr">
        <is>
          <t>2026-06-05</t>
        </is>
      </c>
      <c r="B3167" s="3" t="inlineStr">
        <is>
          <t>엔지켐생명과학</t>
        </is>
      </c>
      <c r="C3167" s="2" t="inlineStr">
        <is>
          <t>183490</t>
        </is>
      </c>
      <c r="D3167" s="2" t="inlineStr">
        <is>
          <t>대량보유</t>
        </is>
      </c>
      <c r="E3167" s="3" t="inlineStr">
        <is>
          <t>이정용</t>
        </is>
      </c>
      <c r="F3167" s="3" t="inlineStr">
        <is>
          <t>특별관계자</t>
        </is>
      </c>
      <c r="G3167" s="3" t="inlineStr">
        <is>
          <t>신규보고(+)</t>
        </is>
      </c>
      <c r="H3167" s="15" t="n">
        <v>27105</v>
      </c>
      <c r="I3167" s="6" t="inlineStr"/>
      <c r="J3167" s="6" t="n">
        <v>9035</v>
      </c>
      <c r="K3167" s="16" t="n">
        <v>5.95</v>
      </c>
      <c r="L3167" s="2" t="inlineStr">
        <is>
          <t>20260605000186</t>
        </is>
      </c>
      <c r="M3167" s="8">
        <f>HYPERLINK("https://dart.fss.or.kr/dsaf001/main.do?rcpNo=20260605000186", "공시열람")</f>
        <v/>
      </c>
    </row>
    <row r="3168" ht="22" customHeight="1">
      <c r="A3168" s="2" t="inlineStr">
        <is>
          <t>2026-06-05</t>
        </is>
      </c>
      <c r="B3168" s="3" t="inlineStr">
        <is>
          <t>엔지켐생명과학</t>
        </is>
      </c>
      <c r="C3168" s="2" t="inlineStr">
        <is>
          <t>183490</t>
        </is>
      </c>
      <c r="D3168" s="2" t="inlineStr">
        <is>
          <t>대량보유</t>
        </is>
      </c>
      <c r="E3168" s="3" t="inlineStr">
        <is>
          <t>유승욱</t>
        </is>
      </c>
      <c r="F3168" s="3" t="inlineStr">
        <is>
          <t>특별관계자</t>
        </is>
      </c>
      <c r="G3168" s="3" t="inlineStr">
        <is>
          <t>신규보고(+)</t>
        </is>
      </c>
      <c r="H3168" s="15" t="n">
        <v>36150</v>
      </c>
      <c r="I3168" s="6" t="inlineStr"/>
      <c r="J3168" s="6" t="n">
        <v>12050</v>
      </c>
      <c r="K3168" s="16" t="n">
        <v>5.95</v>
      </c>
      <c r="L3168" s="2" t="inlineStr">
        <is>
          <t>20260605000186</t>
        </is>
      </c>
      <c r="M3168" s="8">
        <f>HYPERLINK("https://dart.fss.or.kr/dsaf001/main.do?rcpNo=20260605000186", "공시열람")</f>
        <v/>
      </c>
    </row>
    <row r="3169" ht="22" customHeight="1">
      <c r="A3169" s="2" t="inlineStr">
        <is>
          <t>2026-06-05</t>
        </is>
      </c>
      <c r="B3169" s="3" t="inlineStr">
        <is>
          <t>엔지켐생명과학</t>
        </is>
      </c>
      <c r="C3169" s="2" t="inlineStr">
        <is>
          <t>183490</t>
        </is>
      </c>
      <c r="D3169" s="2" t="inlineStr">
        <is>
          <t>대량보유</t>
        </is>
      </c>
      <c r="E3169" s="3" t="inlineStr">
        <is>
          <t>홍미리</t>
        </is>
      </c>
      <c r="F3169" s="3" t="inlineStr">
        <is>
          <t>특별관계자</t>
        </is>
      </c>
      <c r="G3169" s="3" t="inlineStr">
        <is>
          <t>신규보고(+)</t>
        </is>
      </c>
      <c r="H3169" s="15" t="n">
        <v>8880</v>
      </c>
      <c r="I3169" s="6" t="inlineStr"/>
      <c r="J3169" s="6" t="n">
        <v>2960</v>
      </c>
      <c r="K3169" s="16" t="n">
        <v>5.95</v>
      </c>
      <c r="L3169" s="2" t="inlineStr">
        <is>
          <t>20260605000186</t>
        </is>
      </c>
      <c r="M3169" s="8">
        <f>HYPERLINK("https://dart.fss.or.kr/dsaf001/main.do?rcpNo=20260605000186", "공시열람")</f>
        <v/>
      </c>
    </row>
    <row r="3170" ht="22" customHeight="1">
      <c r="A3170" s="2" t="inlineStr">
        <is>
          <t>2026-06-05</t>
        </is>
      </c>
      <c r="B3170" s="3" t="inlineStr">
        <is>
          <t>엔지켐생명과학</t>
        </is>
      </c>
      <c r="C3170" s="2" t="inlineStr">
        <is>
          <t>183490</t>
        </is>
      </c>
      <c r="D3170" s="2" t="inlineStr">
        <is>
          <t>대량보유</t>
        </is>
      </c>
      <c r="E3170" s="3" t="inlineStr">
        <is>
          <t>전익권</t>
        </is>
      </c>
      <c r="F3170" s="3" t="inlineStr">
        <is>
          <t>특별관계자</t>
        </is>
      </c>
      <c r="G3170" s="3" t="inlineStr">
        <is>
          <t>신규보고(+)</t>
        </is>
      </c>
      <c r="H3170" s="15" t="n">
        <v>91884</v>
      </c>
      <c r="I3170" s="6" t="inlineStr"/>
      <c r="J3170" s="6" t="n">
        <v>30628</v>
      </c>
      <c r="K3170" s="16" t="n">
        <v>5.95</v>
      </c>
      <c r="L3170" s="2" t="inlineStr">
        <is>
          <t>20260605000186</t>
        </is>
      </c>
      <c r="M3170" s="8">
        <f>HYPERLINK("https://dart.fss.or.kr/dsaf001/main.do?rcpNo=20260605000186", "공시열람")</f>
        <v/>
      </c>
    </row>
    <row r="3171" ht="22" customHeight="1">
      <c r="A3171" s="2" t="inlineStr">
        <is>
          <t>2026-06-05</t>
        </is>
      </c>
      <c r="B3171" s="3" t="inlineStr">
        <is>
          <t>엔지켐생명과학</t>
        </is>
      </c>
      <c r="C3171" s="2" t="inlineStr">
        <is>
          <t>183490</t>
        </is>
      </c>
      <c r="D3171" s="2" t="inlineStr">
        <is>
          <t>대량보유</t>
        </is>
      </c>
      <c r="E3171" s="3" t="inlineStr">
        <is>
          <t>김태훈</t>
        </is>
      </c>
      <c r="F3171" s="3" t="inlineStr">
        <is>
          <t>특별관계자</t>
        </is>
      </c>
      <c r="G3171" s="3" t="inlineStr">
        <is>
          <t>신규보고(+)</t>
        </is>
      </c>
      <c r="H3171" s="15" t="n">
        <v>14616</v>
      </c>
      <c r="I3171" s="6" t="inlineStr"/>
      <c r="J3171" s="6" t="n">
        <v>4872</v>
      </c>
      <c r="K3171" s="16" t="n">
        <v>5.95</v>
      </c>
      <c r="L3171" s="2" t="inlineStr">
        <is>
          <t>20260605000186</t>
        </is>
      </c>
      <c r="M3171" s="8">
        <f>HYPERLINK("https://dart.fss.or.kr/dsaf001/main.do?rcpNo=20260605000186", "공시열람")</f>
        <v/>
      </c>
    </row>
    <row r="3172" ht="22" customHeight="1">
      <c r="A3172" s="2" t="inlineStr">
        <is>
          <t>2026-06-05</t>
        </is>
      </c>
      <c r="B3172" s="3" t="inlineStr">
        <is>
          <t>엔지켐생명과학</t>
        </is>
      </c>
      <c r="C3172" s="2" t="inlineStr">
        <is>
          <t>183490</t>
        </is>
      </c>
      <c r="D3172" s="2" t="inlineStr">
        <is>
          <t>대량보유</t>
        </is>
      </c>
      <c r="E3172" s="3" t="inlineStr">
        <is>
          <t>권영덕</t>
        </is>
      </c>
      <c r="F3172" s="3" t="inlineStr">
        <is>
          <t>특별관계자</t>
        </is>
      </c>
      <c r="G3172" s="3" t="inlineStr">
        <is>
          <t>신규보고(+)</t>
        </is>
      </c>
      <c r="H3172" s="15" t="n">
        <v>180819</v>
      </c>
      <c r="I3172" s="6" t="inlineStr"/>
      <c r="J3172" s="6" t="n">
        <v>60273</v>
      </c>
      <c r="K3172" s="16" t="n">
        <v>5.95</v>
      </c>
      <c r="L3172" s="2" t="inlineStr">
        <is>
          <t>20260605000186</t>
        </is>
      </c>
      <c r="M3172" s="8">
        <f>HYPERLINK("https://dart.fss.or.kr/dsaf001/main.do?rcpNo=20260605000186", "공시열람")</f>
        <v/>
      </c>
    </row>
    <row r="3173" ht="22" customHeight="1">
      <c r="A3173" s="2" t="inlineStr">
        <is>
          <t>2026-06-05</t>
        </is>
      </c>
      <c r="B3173" s="3" t="inlineStr">
        <is>
          <t>엔지켐생명과학</t>
        </is>
      </c>
      <c r="C3173" s="2" t="inlineStr">
        <is>
          <t>183490</t>
        </is>
      </c>
      <c r="D3173" s="2" t="inlineStr">
        <is>
          <t>대량보유</t>
        </is>
      </c>
      <c r="E3173" s="3" t="inlineStr">
        <is>
          <t>허유진</t>
        </is>
      </c>
      <c r="F3173" s="3" t="inlineStr">
        <is>
          <t>특별관계자</t>
        </is>
      </c>
      <c r="G3173" s="3" t="inlineStr">
        <is>
          <t>신규보고(+)</t>
        </is>
      </c>
      <c r="H3173" s="15" t="n">
        <v>119826</v>
      </c>
      <c r="I3173" s="6" t="inlineStr"/>
      <c r="J3173" s="6" t="n">
        <v>39942</v>
      </c>
      <c r="K3173" s="16" t="n">
        <v>5.95</v>
      </c>
      <c r="L3173" s="2" t="inlineStr">
        <is>
          <t>20260605000186</t>
        </is>
      </c>
      <c r="M3173" s="8">
        <f>HYPERLINK("https://dart.fss.or.kr/dsaf001/main.do?rcpNo=20260605000186", "공시열람")</f>
        <v/>
      </c>
    </row>
    <row r="3174" ht="22" customHeight="1">
      <c r="A3174" s="2" t="inlineStr">
        <is>
          <t>2026-06-05</t>
        </is>
      </c>
      <c r="B3174" s="3" t="inlineStr">
        <is>
          <t>엔지켐생명과학</t>
        </is>
      </c>
      <c r="C3174" s="2" t="inlineStr">
        <is>
          <t>183490</t>
        </is>
      </c>
      <c r="D3174" s="2" t="inlineStr">
        <is>
          <t>대량보유</t>
        </is>
      </c>
      <c r="E3174" s="3" t="inlineStr">
        <is>
          <t>김경숙</t>
        </is>
      </c>
      <c r="F3174" s="3" t="inlineStr">
        <is>
          <t>특별관계자</t>
        </is>
      </c>
      <c r="G3174" s="3" t="inlineStr">
        <is>
          <t>신규보고(+)</t>
        </is>
      </c>
      <c r="H3174" s="15" t="n">
        <v>1800</v>
      </c>
      <c r="I3174" s="6" t="inlineStr"/>
      <c r="J3174" s="6" t="n">
        <v>600</v>
      </c>
      <c r="K3174" s="16" t="n">
        <v>5.95</v>
      </c>
      <c r="L3174" s="2" t="inlineStr">
        <is>
          <t>20260605000186</t>
        </is>
      </c>
      <c r="M3174" s="8">
        <f>HYPERLINK("https://dart.fss.or.kr/dsaf001/main.do?rcpNo=20260605000186", "공시열람")</f>
        <v/>
      </c>
    </row>
    <row r="3175" ht="22" customHeight="1">
      <c r="A3175" s="2" t="inlineStr">
        <is>
          <t>2026-06-05</t>
        </is>
      </c>
      <c r="B3175" s="3" t="inlineStr">
        <is>
          <t>엔지켐생명과학</t>
        </is>
      </c>
      <c r="C3175" s="2" t="inlineStr">
        <is>
          <t>183490</t>
        </is>
      </c>
      <c r="D3175" s="2" t="inlineStr">
        <is>
          <t>대량보유</t>
        </is>
      </c>
      <c r="E3175" s="3" t="inlineStr">
        <is>
          <t>이용실</t>
        </is>
      </c>
      <c r="F3175" s="3" t="inlineStr">
        <is>
          <t>특별관계자</t>
        </is>
      </c>
      <c r="G3175" s="3" t="inlineStr">
        <is>
          <t>신규보고(+)</t>
        </is>
      </c>
      <c r="H3175" s="15" t="n">
        <v>33213</v>
      </c>
      <c r="I3175" s="6" t="inlineStr"/>
      <c r="J3175" s="6" t="n">
        <v>11071</v>
      </c>
      <c r="K3175" s="16" t="n">
        <v>5.95</v>
      </c>
      <c r="L3175" s="2" t="inlineStr">
        <is>
          <t>20260605000186</t>
        </is>
      </c>
      <c r="M3175" s="8">
        <f>HYPERLINK("https://dart.fss.or.kr/dsaf001/main.do?rcpNo=20260605000186", "공시열람")</f>
        <v/>
      </c>
    </row>
    <row r="3176" ht="22" customHeight="1">
      <c r="A3176" s="2" t="inlineStr">
        <is>
          <t>2026-06-05</t>
        </is>
      </c>
      <c r="B3176" s="3" t="inlineStr">
        <is>
          <t>엔지켐생명과학</t>
        </is>
      </c>
      <c r="C3176" s="2" t="inlineStr">
        <is>
          <t>183490</t>
        </is>
      </c>
      <c r="D3176" s="2" t="inlineStr">
        <is>
          <t>대량보유</t>
        </is>
      </c>
      <c r="E3176" s="3" t="inlineStr">
        <is>
          <t>이덕연</t>
        </is>
      </c>
      <c r="F3176" s="3" t="inlineStr">
        <is>
          <t>특별관계자</t>
        </is>
      </c>
      <c r="G3176" s="3" t="inlineStr">
        <is>
          <t>신규보고(+)</t>
        </is>
      </c>
      <c r="H3176" s="15" t="n">
        <v>900</v>
      </c>
      <c r="I3176" s="6" t="inlineStr"/>
      <c r="J3176" s="6" t="n">
        <v>300</v>
      </c>
      <c r="K3176" s="16" t="n">
        <v>5.95</v>
      </c>
      <c r="L3176" s="2" t="inlineStr">
        <is>
          <t>20260605000186</t>
        </is>
      </c>
      <c r="M3176" s="8">
        <f>HYPERLINK("https://dart.fss.or.kr/dsaf001/main.do?rcpNo=20260605000186", "공시열람")</f>
        <v/>
      </c>
    </row>
    <row r="3177" ht="22" customHeight="1">
      <c r="A3177" s="2" t="inlineStr">
        <is>
          <t>2026-06-05</t>
        </is>
      </c>
      <c r="B3177" s="3" t="inlineStr">
        <is>
          <t>엔지켐생명과학</t>
        </is>
      </c>
      <c r="C3177" s="2" t="inlineStr">
        <is>
          <t>183490</t>
        </is>
      </c>
      <c r="D3177" s="2" t="inlineStr">
        <is>
          <t>대량보유</t>
        </is>
      </c>
      <c r="E3177" s="3" t="inlineStr">
        <is>
          <t>김순옥</t>
        </is>
      </c>
      <c r="F3177" s="3" t="inlineStr">
        <is>
          <t>특별관계자</t>
        </is>
      </c>
      <c r="G3177" s="3" t="inlineStr">
        <is>
          <t>신규보고(+)</t>
        </is>
      </c>
      <c r="H3177" s="15" t="n">
        <v>204</v>
      </c>
      <c r="I3177" s="6" t="inlineStr"/>
      <c r="J3177" s="6" t="n">
        <v>68</v>
      </c>
      <c r="K3177" s="16" t="n">
        <v>5.95</v>
      </c>
      <c r="L3177" s="2" t="inlineStr">
        <is>
          <t>20260605000186</t>
        </is>
      </c>
      <c r="M3177" s="8">
        <f>HYPERLINK("https://dart.fss.or.kr/dsaf001/main.do?rcpNo=20260605000186", "공시열람")</f>
        <v/>
      </c>
    </row>
    <row r="3178" ht="22" customHeight="1">
      <c r="A3178" s="2" t="inlineStr">
        <is>
          <t>2026-06-05</t>
        </is>
      </c>
      <c r="B3178" s="3" t="inlineStr">
        <is>
          <t>엔지켐생명과학</t>
        </is>
      </c>
      <c r="C3178" s="2" t="inlineStr">
        <is>
          <t>183490</t>
        </is>
      </c>
      <c r="D3178" s="2" t="inlineStr">
        <is>
          <t>대량보유</t>
        </is>
      </c>
      <c r="E3178" s="3" t="inlineStr">
        <is>
          <t>강병조</t>
        </is>
      </c>
      <c r="F3178" s="3" t="inlineStr">
        <is>
          <t>특별관계자</t>
        </is>
      </c>
      <c r="G3178" s="3" t="inlineStr">
        <is>
          <t>신규보고(+)</t>
        </is>
      </c>
      <c r="H3178" s="15" t="n">
        <v>15000</v>
      </c>
      <c r="I3178" s="6" t="inlineStr"/>
      <c r="J3178" s="6" t="n">
        <v>5000</v>
      </c>
      <c r="K3178" s="16" t="n">
        <v>5.95</v>
      </c>
      <c r="L3178" s="2" t="inlineStr">
        <is>
          <t>20260605000186</t>
        </is>
      </c>
      <c r="M3178" s="8">
        <f>HYPERLINK("https://dart.fss.or.kr/dsaf001/main.do?rcpNo=20260605000186", "공시열람")</f>
        <v/>
      </c>
    </row>
    <row r="3179" ht="22" customHeight="1">
      <c r="A3179" s="2" t="inlineStr">
        <is>
          <t>2026-06-05</t>
        </is>
      </c>
      <c r="B3179" s="3" t="inlineStr">
        <is>
          <t>엔지켐생명과학</t>
        </is>
      </c>
      <c r="C3179" s="2" t="inlineStr">
        <is>
          <t>183490</t>
        </is>
      </c>
      <c r="D3179" s="2" t="inlineStr">
        <is>
          <t>대량보유</t>
        </is>
      </c>
      <c r="E3179" s="3" t="inlineStr">
        <is>
          <t>장미경</t>
        </is>
      </c>
      <c r="F3179" s="3" t="inlineStr">
        <is>
          <t>특별관계자</t>
        </is>
      </c>
      <c r="G3179" s="3" t="inlineStr">
        <is>
          <t>신규보고(+)</t>
        </is>
      </c>
      <c r="H3179" s="15" t="n">
        <v>163386</v>
      </c>
      <c r="I3179" s="6" t="inlineStr"/>
      <c r="J3179" s="6" t="n">
        <v>54462</v>
      </c>
      <c r="K3179" s="16" t="n">
        <v>5.95</v>
      </c>
      <c r="L3179" s="2" t="inlineStr">
        <is>
          <t>20260605000186</t>
        </is>
      </c>
      <c r="M3179" s="8">
        <f>HYPERLINK("https://dart.fss.or.kr/dsaf001/main.do?rcpNo=20260605000186", "공시열람")</f>
        <v/>
      </c>
    </row>
    <row r="3180" ht="22" customHeight="1">
      <c r="A3180" s="2" t="inlineStr">
        <is>
          <t>2026-06-05</t>
        </is>
      </c>
      <c r="B3180" s="3" t="inlineStr">
        <is>
          <t>엔지켐생명과학</t>
        </is>
      </c>
      <c r="C3180" s="2" t="inlineStr">
        <is>
          <t>183490</t>
        </is>
      </c>
      <c r="D3180" s="2" t="inlineStr">
        <is>
          <t>대량보유</t>
        </is>
      </c>
      <c r="E3180" s="3" t="inlineStr">
        <is>
          <t>김후창</t>
        </is>
      </c>
      <c r="F3180" s="3" t="inlineStr">
        <is>
          <t>특별관계자</t>
        </is>
      </c>
      <c r="G3180" s="3" t="inlineStr">
        <is>
          <t>신규보고(+)</t>
        </is>
      </c>
      <c r="H3180" s="15" t="n">
        <v>49437</v>
      </c>
      <c r="I3180" s="6" t="inlineStr"/>
      <c r="J3180" s="6" t="n">
        <v>16479</v>
      </c>
      <c r="K3180" s="16" t="n">
        <v>5.95</v>
      </c>
      <c r="L3180" s="2" t="inlineStr">
        <is>
          <t>20260605000186</t>
        </is>
      </c>
      <c r="M3180" s="8">
        <f>HYPERLINK("https://dart.fss.or.kr/dsaf001/main.do?rcpNo=20260605000186", "공시열람")</f>
        <v/>
      </c>
    </row>
    <row r="3181" ht="22" customHeight="1">
      <c r="A3181" s="2" t="inlineStr">
        <is>
          <t>2026-06-05</t>
        </is>
      </c>
      <c r="B3181" s="3" t="inlineStr">
        <is>
          <t>엔지켐생명과학</t>
        </is>
      </c>
      <c r="C3181" s="2" t="inlineStr">
        <is>
          <t>183490</t>
        </is>
      </c>
      <c r="D3181" s="2" t="inlineStr">
        <is>
          <t>대량보유</t>
        </is>
      </c>
      <c r="E3181" s="3" t="inlineStr">
        <is>
          <t>윤재호</t>
        </is>
      </c>
      <c r="F3181" s="3" t="inlineStr">
        <is>
          <t>특별관계자</t>
        </is>
      </c>
      <c r="G3181" s="3" t="inlineStr">
        <is>
          <t>신규보고(+)</t>
        </is>
      </c>
      <c r="H3181" s="15" t="n">
        <v>49056</v>
      </c>
      <c r="I3181" s="6" t="inlineStr"/>
      <c r="J3181" s="6" t="n">
        <v>16352</v>
      </c>
      <c r="K3181" s="16" t="n">
        <v>5.95</v>
      </c>
      <c r="L3181" s="2" t="inlineStr">
        <is>
          <t>20260605000186</t>
        </is>
      </c>
      <c r="M3181" s="8">
        <f>HYPERLINK("https://dart.fss.or.kr/dsaf001/main.do?rcpNo=20260605000186", "공시열람")</f>
        <v/>
      </c>
    </row>
    <row r="3182" ht="22" customHeight="1">
      <c r="A3182" s="2" t="inlineStr">
        <is>
          <t>2026-06-05</t>
        </is>
      </c>
      <c r="B3182" s="3" t="inlineStr">
        <is>
          <t>엔지켐생명과학</t>
        </is>
      </c>
      <c r="C3182" s="2" t="inlineStr">
        <is>
          <t>183490</t>
        </is>
      </c>
      <c r="D3182" s="2" t="inlineStr">
        <is>
          <t>대량보유</t>
        </is>
      </c>
      <c r="E3182" s="3" t="inlineStr">
        <is>
          <t>최환섭</t>
        </is>
      </c>
      <c r="F3182" s="3" t="inlineStr">
        <is>
          <t>특별관계자</t>
        </is>
      </c>
      <c r="G3182" s="3" t="inlineStr">
        <is>
          <t>신규보고(+)</t>
        </is>
      </c>
      <c r="H3182" s="15" t="n">
        <v>48636</v>
      </c>
      <c r="I3182" s="6" t="inlineStr"/>
      <c r="J3182" s="6" t="n">
        <v>16212</v>
      </c>
      <c r="K3182" s="16" t="n">
        <v>5.95</v>
      </c>
      <c r="L3182" s="2" t="inlineStr">
        <is>
          <t>20260605000186</t>
        </is>
      </c>
      <c r="M3182" s="8">
        <f>HYPERLINK("https://dart.fss.or.kr/dsaf001/main.do?rcpNo=20260605000186", "공시열람")</f>
        <v/>
      </c>
    </row>
    <row r="3183" ht="22" customHeight="1">
      <c r="A3183" s="2" t="inlineStr">
        <is>
          <t>2026-06-05</t>
        </is>
      </c>
      <c r="B3183" s="3" t="inlineStr">
        <is>
          <t>엔지켐생명과학</t>
        </is>
      </c>
      <c r="C3183" s="2" t="inlineStr">
        <is>
          <t>183490</t>
        </is>
      </c>
      <c r="D3183" s="2" t="inlineStr">
        <is>
          <t>대량보유</t>
        </is>
      </c>
      <c r="E3183" s="3" t="inlineStr">
        <is>
          <t>김수영</t>
        </is>
      </c>
      <c r="F3183" s="3" t="inlineStr">
        <is>
          <t>특별관계자</t>
        </is>
      </c>
      <c r="G3183" s="3" t="inlineStr">
        <is>
          <t>신규보고(+)</t>
        </is>
      </c>
      <c r="H3183" s="15" t="n">
        <v>6000</v>
      </c>
      <c r="I3183" s="6" t="inlineStr"/>
      <c r="J3183" s="6" t="n">
        <v>2000</v>
      </c>
      <c r="K3183" s="16" t="n">
        <v>5.95</v>
      </c>
      <c r="L3183" s="2" t="inlineStr">
        <is>
          <t>20260605000186</t>
        </is>
      </c>
      <c r="M3183" s="8">
        <f>HYPERLINK("https://dart.fss.or.kr/dsaf001/main.do?rcpNo=20260605000186", "공시열람")</f>
        <v/>
      </c>
    </row>
    <row r="3184" ht="22" customHeight="1">
      <c r="A3184" s="2" t="inlineStr">
        <is>
          <t>2026-06-05</t>
        </is>
      </c>
      <c r="B3184" s="3" t="inlineStr">
        <is>
          <t>엔지켐생명과학</t>
        </is>
      </c>
      <c r="C3184" s="2" t="inlineStr">
        <is>
          <t>183490</t>
        </is>
      </c>
      <c r="D3184" s="2" t="inlineStr">
        <is>
          <t>대량보유</t>
        </is>
      </c>
      <c r="E3184" s="3" t="inlineStr">
        <is>
          <t>공영애</t>
        </is>
      </c>
      <c r="F3184" s="3" t="inlineStr">
        <is>
          <t>특별관계자</t>
        </is>
      </c>
      <c r="G3184" s="3" t="inlineStr">
        <is>
          <t>신규보고(+)</t>
        </is>
      </c>
      <c r="H3184" s="15" t="n">
        <v>3600</v>
      </c>
      <c r="I3184" s="6" t="inlineStr"/>
      <c r="J3184" s="6" t="n">
        <v>1200</v>
      </c>
      <c r="K3184" s="16" t="n">
        <v>5.95</v>
      </c>
      <c r="L3184" s="2" t="inlineStr">
        <is>
          <t>20260605000186</t>
        </is>
      </c>
      <c r="M3184" s="8">
        <f>HYPERLINK("https://dart.fss.or.kr/dsaf001/main.do?rcpNo=20260605000186", "공시열람")</f>
        <v/>
      </c>
    </row>
    <row r="3185" ht="22" customHeight="1">
      <c r="A3185" s="2" t="inlineStr">
        <is>
          <t>2026-06-05</t>
        </is>
      </c>
      <c r="B3185" s="3" t="inlineStr">
        <is>
          <t>엔지켐생명과학</t>
        </is>
      </c>
      <c r="C3185" s="2" t="inlineStr">
        <is>
          <t>183490</t>
        </is>
      </c>
      <c r="D3185" s="2" t="inlineStr">
        <is>
          <t>대량보유</t>
        </is>
      </c>
      <c r="E3185" s="3" t="inlineStr">
        <is>
          <t>조강타</t>
        </is>
      </c>
      <c r="F3185" s="3" t="inlineStr">
        <is>
          <t>특별관계자</t>
        </is>
      </c>
      <c r="G3185" s="3" t="inlineStr">
        <is>
          <t>신규보고(+)</t>
        </is>
      </c>
      <c r="H3185" s="15" t="n">
        <v>129000</v>
      </c>
      <c r="I3185" s="6" t="inlineStr"/>
      <c r="J3185" s="6" t="n">
        <v>43000</v>
      </c>
      <c r="K3185" s="16" t="n">
        <v>5.95</v>
      </c>
      <c r="L3185" s="2" t="inlineStr">
        <is>
          <t>20260605000186</t>
        </is>
      </c>
      <c r="M3185" s="8">
        <f>HYPERLINK("https://dart.fss.or.kr/dsaf001/main.do?rcpNo=20260605000186", "공시열람")</f>
        <v/>
      </c>
    </row>
    <row r="3186" ht="22" customHeight="1">
      <c r="A3186" s="2" t="inlineStr">
        <is>
          <t>2026-06-05</t>
        </is>
      </c>
      <c r="B3186" s="3" t="inlineStr">
        <is>
          <t>엔지켐생명과학</t>
        </is>
      </c>
      <c r="C3186" s="2" t="inlineStr">
        <is>
          <t>183490</t>
        </is>
      </c>
      <c r="D3186" s="2" t="inlineStr">
        <is>
          <t>대량보유</t>
        </is>
      </c>
      <c r="E3186" s="3" t="inlineStr">
        <is>
          <t>사공천</t>
        </is>
      </c>
      <c r="F3186" s="3" t="inlineStr">
        <is>
          <t>특별관계자</t>
        </is>
      </c>
      <c r="G3186" s="3" t="inlineStr">
        <is>
          <t>신규보고(+)</t>
        </is>
      </c>
      <c r="H3186" s="15" t="n">
        <v>16968</v>
      </c>
      <c r="I3186" s="6" t="inlineStr"/>
      <c r="J3186" s="6" t="n">
        <v>5656</v>
      </c>
      <c r="K3186" s="16" t="n">
        <v>5.95</v>
      </c>
      <c r="L3186" s="2" t="inlineStr">
        <is>
          <t>20260605000186</t>
        </is>
      </c>
      <c r="M3186" s="8">
        <f>HYPERLINK("https://dart.fss.or.kr/dsaf001/main.do?rcpNo=20260605000186", "공시열람")</f>
        <v/>
      </c>
    </row>
    <row r="3187" ht="22" customHeight="1">
      <c r="A3187" s="2" t="inlineStr">
        <is>
          <t>2026-06-05</t>
        </is>
      </c>
      <c r="B3187" s="3" t="inlineStr">
        <is>
          <t>엔지켐생명과학</t>
        </is>
      </c>
      <c r="C3187" s="2" t="inlineStr">
        <is>
          <t>183490</t>
        </is>
      </c>
      <c r="D3187" s="2" t="inlineStr">
        <is>
          <t>대량보유</t>
        </is>
      </c>
      <c r="E3187" s="3" t="inlineStr">
        <is>
          <t>김준묵</t>
        </is>
      </c>
      <c r="F3187" s="3" t="inlineStr">
        <is>
          <t>특별관계자</t>
        </is>
      </c>
      <c r="G3187" s="3" t="inlineStr">
        <is>
          <t>신규보고(+)</t>
        </is>
      </c>
      <c r="H3187" s="15" t="n">
        <v>87738</v>
      </c>
      <c r="I3187" s="6" t="inlineStr"/>
      <c r="J3187" s="6" t="n">
        <v>29246</v>
      </c>
      <c r="K3187" s="16" t="n">
        <v>5.95</v>
      </c>
      <c r="L3187" s="2" t="inlineStr">
        <is>
          <t>20260605000186</t>
        </is>
      </c>
      <c r="M3187" s="8">
        <f>HYPERLINK("https://dart.fss.or.kr/dsaf001/main.do?rcpNo=20260605000186", "공시열람")</f>
        <v/>
      </c>
    </row>
    <row r="3188" ht="22" customHeight="1">
      <c r="A3188" s="2" t="inlineStr">
        <is>
          <t>2026-06-05</t>
        </is>
      </c>
      <c r="B3188" s="3" t="inlineStr">
        <is>
          <t>엔지켐생명과학</t>
        </is>
      </c>
      <c r="C3188" s="2" t="inlineStr">
        <is>
          <t>183490</t>
        </is>
      </c>
      <c r="D3188" s="2" t="inlineStr">
        <is>
          <t>대량보유</t>
        </is>
      </c>
      <c r="E3188" s="3" t="inlineStr">
        <is>
          <t>정옥경</t>
        </is>
      </c>
      <c r="F3188" s="3" t="inlineStr">
        <is>
          <t>특별관계자</t>
        </is>
      </c>
      <c r="G3188" s="3" t="inlineStr">
        <is>
          <t>신규보고(+)</t>
        </is>
      </c>
      <c r="H3188" s="15" t="n">
        <v>18000</v>
      </c>
      <c r="I3188" s="6" t="inlineStr"/>
      <c r="J3188" s="6" t="n">
        <v>6000</v>
      </c>
      <c r="K3188" s="16" t="n">
        <v>5.95</v>
      </c>
      <c r="L3188" s="2" t="inlineStr">
        <is>
          <t>20260605000186</t>
        </is>
      </c>
      <c r="M3188" s="8">
        <f>HYPERLINK("https://dart.fss.or.kr/dsaf001/main.do?rcpNo=20260605000186", "공시열람")</f>
        <v/>
      </c>
    </row>
    <row r="3189" ht="22" customHeight="1">
      <c r="A3189" s="2" t="inlineStr">
        <is>
          <t>2026-06-05</t>
        </is>
      </c>
      <c r="B3189" s="3" t="inlineStr">
        <is>
          <t>엔지켐생명과학</t>
        </is>
      </c>
      <c r="C3189" s="2" t="inlineStr">
        <is>
          <t>183490</t>
        </is>
      </c>
      <c r="D3189" s="2" t="inlineStr">
        <is>
          <t>대량보유</t>
        </is>
      </c>
      <c r="E3189" s="3" t="inlineStr">
        <is>
          <t>이상양</t>
        </is>
      </c>
      <c r="F3189" s="3" t="inlineStr">
        <is>
          <t>특별관계자</t>
        </is>
      </c>
      <c r="G3189" s="3" t="inlineStr">
        <is>
          <t>신규보고(+)</t>
        </is>
      </c>
      <c r="H3189" s="15" t="n">
        <v>52524</v>
      </c>
      <c r="I3189" s="6" t="inlineStr"/>
      <c r="J3189" s="6" t="n">
        <v>17508</v>
      </c>
      <c r="K3189" s="16" t="n">
        <v>5.95</v>
      </c>
      <c r="L3189" s="2" t="inlineStr">
        <is>
          <t>20260605000186</t>
        </is>
      </c>
      <c r="M3189" s="8">
        <f>HYPERLINK("https://dart.fss.or.kr/dsaf001/main.do?rcpNo=20260605000186", "공시열람")</f>
        <v/>
      </c>
    </row>
    <row r="3190" ht="22" customHeight="1">
      <c r="A3190" s="2" t="inlineStr">
        <is>
          <t>2026-06-05</t>
        </is>
      </c>
      <c r="B3190" s="3" t="inlineStr">
        <is>
          <t>엔지켐생명과학</t>
        </is>
      </c>
      <c r="C3190" s="2" t="inlineStr">
        <is>
          <t>183490</t>
        </is>
      </c>
      <c r="D3190" s="2" t="inlineStr">
        <is>
          <t>대량보유</t>
        </is>
      </c>
      <c r="E3190" s="3" t="inlineStr">
        <is>
          <t>이광석</t>
        </is>
      </c>
      <c r="F3190" s="3" t="inlineStr">
        <is>
          <t>특별관계자</t>
        </is>
      </c>
      <c r="G3190" s="3" t="inlineStr">
        <is>
          <t>신규보고(+)</t>
        </is>
      </c>
      <c r="H3190" s="15" t="n">
        <v>39126</v>
      </c>
      <c r="I3190" s="6" t="inlineStr"/>
      <c r="J3190" s="6" t="n">
        <v>13042</v>
      </c>
      <c r="K3190" s="16" t="n">
        <v>5.95</v>
      </c>
      <c r="L3190" s="2" t="inlineStr">
        <is>
          <t>20260605000186</t>
        </is>
      </c>
      <c r="M3190" s="8">
        <f>HYPERLINK("https://dart.fss.or.kr/dsaf001/main.do?rcpNo=20260605000186", "공시열람")</f>
        <v/>
      </c>
    </row>
    <row r="3191" ht="22" customHeight="1">
      <c r="A3191" s="2" t="inlineStr">
        <is>
          <t>2026-06-05</t>
        </is>
      </c>
      <c r="B3191" s="3" t="inlineStr">
        <is>
          <t>엔지켐생명과학</t>
        </is>
      </c>
      <c r="C3191" s="2" t="inlineStr">
        <is>
          <t>183490</t>
        </is>
      </c>
      <c r="D3191" s="2" t="inlineStr">
        <is>
          <t>대량보유</t>
        </is>
      </c>
      <c r="E3191" s="3" t="inlineStr">
        <is>
          <t>김익환</t>
        </is>
      </c>
      <c r="F3191" s="3" t="inlineStr">
        <is>
          <t>특별관계자</t>
        </is>
      </c>
      <c r="G3191" s="3" t="inlineStr">
        <is>
          <t>신규보고(+)</t>
        </is>
      </c>
      <c r="H3191" s="15" t="n">
        <v>1548</v>
      </c>
      <c r="I3191" s="6" t="inlineStr"/>
      <c r="J3191" s="6" t="n">
        <v>516</v>
      </c>
      <c r="K3191" s="16" t="n">
        <v>5.95</v>
      </c>
      <c r="L3191" s="2" t="inlineStr">
        <is>
          <t>20260605000186</t>
        </is>
      </c>
      <c r="M3191" s="8">
        <f>HYPERLINK("https://dart.fss.or.kr/dsaf001/main.do?rcpNo=20260605000186", "공시열람")</f>
        <v/>
      </c>
    </row>
    <row r="3192" ht="22" customHeight="1">
      <c r="A3192" s="2" t="inlineStr">
        <is>
          <t>2026-06-05</t>
        </is>
      </c>
      <c r="B3192" s="3" t="inlineStr">
        <is>
          <t>엔지켐생명과학</t>
        </is>
      </c>
      <c r="C3192" s="2" t="inlineStr">
        <is>
          <t>183490</t>
        </is>
      </c>
      <c r="D3192" s="2" t="inlineStr">
        <is>
          <t>대량보유</t>
        </is>
      </c>
      <c r="E3192" s="3" t="inlineStr">
        <is>
          <t>최호식</t>
        </is>
      </c>
      <c r="F3192" s="3" t="inlineStr">
        <is>
          <t>특별관계자</t>
        </is>
      </c>
      <c r="G3192" s="3" t="inlineStr">
        <is>
          <t>신규보고(+)</t>
        </is>
      </c>
      <c r="H3192" s="15" t="n">
        <v>84885</v>
      </c>
      <c r="I3192" s="6" t="inlineStr"/>
      <c r="J3192" s="6" t="n">
        <v>28295</v>
      </c>
      <c r="K3192" s="16" t="n">
        <v>5.95</v>
      </c>
      <c r="L3192" s="2" t="inlineStr">
        <is>
          <t>20260605000186</t>
        </is>
      </c>
      <c r="M3192" s="8">
        <f>HYPERLINK("https://dart.fss.or.kr/dsaf001/main.do?rcpNo=20260605000186", "공시열람")</f>
        <v/>
      </c>
    </row>
    <row r="3193" ht="22" customHeight="1">
      <c r="A3193" s="2" t="inlineStr">
        <is>
          <t>2026-06-05</t>
        </is>
      </c>
      <c r="B3193" s="3" t="inlineStr">
        <is>
          <t>엔지켐생명과학</t>
        </is>
      </c>
      <c r="C3193" s="2" t="inlineStr">
        <is>
          <t>183490</t>
        </is>
      </c>
      <c r="D3193" s="2" t="inlineStr">
        <is>
          <t>대량보유</t>
        </is>
      </c>
      <c r="E3193" s="3" t="inlineStr">
        <is>
          <t>박정미</t>
        </is>
      </c>
      <c r="F3193" s="3" t="inlineStr">
        <is>
          <t>특별관계자</t>
        </is>
      </c>
      <c r="G3193" s="3" t="inlineStr">
        <is>
          <t>신규보고(+)</t>
        </is>
      </c>
      <c r="H3193" s="15" t="n">
        <v>936</v>
      </c>
      <c r="I3193" s="6" t="inlineStr"/>
      <c r="J3193" s="6" t="n">
        <v>312</v>
      </c>
      <c r="K3193" s="16" t="n">
        <v>5.95</v>
      </c>
      <c r="L3193" s="2" t="inlineStr">
        <is>
          <t>20260605000186</t>
        </is>
      </c>
      <c r="M3193" s="8">
        <f>HYPERLINK("https://dart.fss.or.kr/dsaf001/main.do?rcpNo=20260605000186", "공시열람")</f>
        <v/>
      </c>
    </row>
    <row r="3194" ht="22" customHeight="1">
      <c r="A3194" s="2" t="inlineStr">
        <is>
          <t>2026-06-05</t>
        </is>
      </c>
      <c r="B3194" s="3" t="inlineStr">
        <is>
          <t>엔지켐생명과학</t>
        </is>
      </c>
      <c r="C3194" s="2" t="inlineStr">
        <is>
          <t>183490</t>
        </is>
      </c>
      <c r="D3194" s="2" t="inlineStr">
        <is>
          <t>대량보유</t>
        </is>
      </c>
      <c r="E3194" s="3" t="inlineStr">
        <is>
          <t>최기석</t>
        </is>
      </c>
      <c r="F3194" s="3" t="inlineStr">
        <is>
          <t>특별관계자</t>
        </is>
      </c>
      <c r="G3194" s="3" t="inlineStr">
        <is>
          <t>신규보고(+)</t>
        </is>
      </c>
      <c r="H3194" s="15" t="n">
        <v>32076</v>
      </c>
      <c r="I3194" s="6" t="inlineStr"/>
      <c r="J3194" s="6" t="n">
        <v>10692</v>
      </c>
      <c r="K3194" s="16" t="n">
        <v>5.95</v>
      </c>
      <c r="L3194" s="2" t="inlineStr">
        <is>
          <t>20260605000186</t>
        </is>
      </c>
      <c r="M3194" s="8">
        <f>HYPERLINK("https://dart.fss.or.kr/dsaf001/main.do?rcpNo=20260605000186", "공시열람")</f>
        <v/>
      </c>
    </row>
    <row r="3195" ht="22" customHeight="1">
      <c r="A3195" s="2" t="inlineStr">
        <is>
          <t>2026-06-05</t>
        </is>
      </c>
      <c r="B3195" s="3" t="inlineStr">
        <is>
          <t>엔지켐생명과학</t>
        </is>
      </c>
      <c r="C3195" s="2" t="inlineStr">
        <is>
          <t>183490</t>
        </is>
      </c>
      <c r="D3195" s="2" t="inlineStr">
        <is>
          <t>대량보유</t>
        </is>
      </c>
      <c r="E3195" s="3" t="inlineStr">
        <is>
          <t>장현진</t>
        </is>
      </c>
      <c r="F3195" s="3" t="inlineStr">
        <is>
          <t>특별관계자</t>
        </is>
      </c>
      <c r="G3195" s="3" t="inlineStr">
        <is>
          <t>신규보고(+)</t>
        </is>
      </c>
      <c r="H3195" s="15" t="n">
        <v>114000</v>
      </c>
      <c r="I3195" s="6" t="inlineStr"/>
      <c r="J3195" s="6" t="n">
        <v>38000</v>
      </c>
      <c r="K3195" s="16" t="n">
        <v>5.95</v>
      </c>
      <c r="L3195" s="2" t="inlineStr">
        <is>
          <t>20260605000186</t>
        </is>
      </c>
      <c r="M3195" s="8">
        <f>HYPERLINK("https://dart.fss.or.kr/dsaf001/main.do?rcpNo=20260605000186", "공시열람")</f>
        <v/>
      </c>
    </row>
    <row r="3196" ht="22" customHeight="1">
      <c r="A3196" s="2" t="inlineStr">
        <is>
          <t>2026-06-05</t>
        </is>
      </c>
      <c r="B3196" s="3" t="inlineStr">
        <is>
          <t>엔지켐생명과학</t>
        </is>
      </c>
      <c r="C3196" s="2" t="inlineStr">
        <is>
          <t>183490</t>
        </is>
      </c>
      <c r="D3196" s="2" t="inlineStr">
        <is>
          <t>대량보유</t>
        </is>
      </c>
      <c r="E3196" s="3" t="inlineStr">
        <is>
          <t>박종휘</t>
        </is>
      </c>
      <c r="F3196" s="3" t="inlineStr">
        <is>
          <t>특별관계자</t>
        </is>
      </c>
      <c r="G3196" s="3" t="inlineStr">
        <is>
          <t>신규보고(+)</t>
        </is>
      </c>
      <c r="H3196" s="15" t="n">
        <v>16200</v>
      </c>
      <c r="I3196" s="6" t="inlineStr"/>
      <c r="J3196" s="6" t="n">
        <v>5400</v>
      </c>
      <c r="K3196" s="16" t="n">
        <v>5.95</v>
      </c>
      <c r="L3196" s="2" t="inlineStr">
        <is>
          <t>20260605000186</t>
        </is>
      </c>
      <c r="M3196" s="8">
        <f>HYPERLINK("https://dart.fss.or.kr/dsaf001/main.do?rcpNo=20260605000186", "공시열람")</f>
        <v/>
      </c>
    </row>
    <row r="3197" ht="22" customHeight="1">
      <c r="A3197" s="2" t="inlineStr">
        <is>
          <t>2026-06-05</t>
        </is>
      </c>
      <c r="B3197" s="3" t="inlineStr">
        <is>
          <t>엔지켐생명과학</t>
        </is>
      </c>
      <c r="C3197" s="2" t="inlineStr">
        <is>
          <t>183490</t>
        </is>
      </c>
      <c r="D3197" s="2" t="inlineStr">
        <is>
          <t>대량보유</t>
        </is>
      </c>
      <c r="E3197" s="3" t="inlineStr">
        <is>
          <t>전병영</t>
        </is>
      </c>
      <c r="F3197" s="3" t="inlineStr">
        <is>
          <t>특별관계자</t>
        </is>
      </c>
      <c r="G3197" s="3" t="inlineStr">
        <is>
          <t>신규보고(+)</t>
        </is>
      </c>
      <c r="H3197" s="15" t="n">
        <v>28563</v>
      </c>
      <c r="I3197" s="6" t="inlineStr"/>
      <c r="J3197" s="6" t="n">
        <v>9521</v>
      </c>
      <c r="K3197" s="16" t="n">
        <v>5.95</v>
      </c>
      <c r="L3197" s="2" t="inlineStr">
        <is>
          <t>20260605000186</t>
        </is>
      </c>
      <c r="M3197" s="8">
        <f>HYPERLINK("https://dart.fss.or.kr/dsaf001/main.do?rcpNo=20260605000186", "공시열람")</f>
        <v/>
      </c>
    </row>
    <row r="3198" ht="22" customHeight="1">
      <c r="A3198" s="2" t="inlineStr">
        <is>
          <t>2026-06-05</t>
        </is>
      </c>
      <c r="B3198" s="3" t="inlineStr">
        <is>
          <t>엔지켐생명과학</t>
        </is>
      </c>
      <c r="C3198" s="2" t="inlineStr">
        <is>
          <t>183490</t>
        </is>
      </c>
      <c r="D3198" s="2" t="inlineStr">
        <is>
          <t>대량보유</t>
        </is>
      </c>
      <c r="E3198" s="3" t="inlineStr">
        <is>
          <t>임가영</t>
        </is>
      </c>
      <c r="F3198" s="3" t="inlineStr">
        <is>
          <t>특별관계자</t>
        </is>
      </c>
      <c r="G3198" s="3" t="inlineStr">
        <is>
          <t>신규보고(+)</t>
        </is>
      </c>
      <c r="H3198" s="15" t="n">
        <v>11358</v>
      </c>
      <c r="I3198" s="6" t="inlineStr"/>
      <c r="J3198" s="6" t="n">
        <v>3786</v>
      </c>
      <c r="K3198" s="16" t="n">
        <v>5.95</v>
      </c>
      <c r="L3198" s="2" t="inlineStr">
        <is>
          <t>20260605000186</t>
        </is>
      </c>
      <c r="M3198" s="8">
        <f>HYPERLINK("https://dart.fss.or.kr/dsaf001/main.do?rcpNo=20260605000186", "공시열람")</f>
        <v/>
      </c>
    </row>
    <row r="3199" ht="22" customHeight="1">
      <c r="A3199" s="2" t="inlineStr">
        <is>
          <t>2026-06-05</t>
        </is>
      </c>
      <c r="B3199" s="3" t="inlineStr">
        <is>
          <t>엔지켐생명과학</t>
        </is>
      </c>
      <c r="C3199" s="2" t="inlineStr">
        <is>
          <t>183490</t>
        </is>
      </c>
      <c r="D3199" s="2" t="inlineStr">
        <is>
          <t>대량보유</t>
        </is>
      </c>
      <c r="E3199" s="3" t="inlineStr">
        <is>
          <t>이상헌</t>
        </is>
      </c>
      <c r="F3199" s="3" t="inlineStr">
        <is>
          <t>특별관계자</t>
        </is>
      </c>
      <c r="G3199" s="3" t="inlineStr">
        <is>
          <t>신규보고(+)</t>
        </is>
      </c>
      <c r="H3199" s="15" t="n">
        <v>1520277</v>
      </c>
      <c r="I3199" s="6" t="inlineStr"/>
      <c r="J3199" s="6" t="n">
        <v>506759</v>
      </c>
      <c r="K3199" s="16" t="n">
        <v>5.95</v>
      </c>
      <c r="L3199" s="2" t="inlineStr">
        <is>
          <t>20260605000186</t>
        </is>
      </c>
      <c r="M3199" s="8">
        <f>HYPERLINK("https://dart.fss.or.kr/dsaf001/main.do?rcpNo=20260605000186", "공시열람")</f>
        <v/>
      </c>
    </row>
    <row r="3200" ht="22" customHeight="1">
      <c r="A3200" s="2" t="inlineStr">
        <is>
          <t>2026-06-05</t>
        </is>
      </c>
      <c r="B3200" s="3" t="inlineStr">
        <is>
          <t>엔지켐생명과학</t>
        </is>
      </c>
      <c r="C3200" s="2" t="inlineStr">
        <is>
          <t>183490</t>
        </is>
      </c>
      <c r="D3200" s="2" t="inlineStr">
        <is>
          <t>대량보유</t>
        </is>
      </c>
      <c r="E3200" s="3" t="inlineStr">
        <is>
          <t>전희선</t>
        </is>
      </c>
      <c r="F3200" s="3" t="inlineStr">
        <is>
          <t>특별관계자</t>
        </is>
      </c>
      <c r="G3200" s="3" t="inlineStr">
        <is>
          <t>신규보고(+)</t>
        </is>
      </c>
      <c r="H3200" s="15" t="n">
        <v>15480</v>
      </c>
      <c r="I3200" s="6" t="inlineStr"/>
      <c r="J3200" s="6" t="n">
        <v>5160</v>
      </c>
      <c r="K3200" s="16" t="n">
        <v>5.95</v>
      </c>
      <c r="L3200" s="2" t="inlineStr">
        <is>
          <t>20260605000186</t>
        </is>
      </c>
      <c r="M3200" s="8">
        <f>HYPERLINK("https://dart.fss.or.kr/dsaf001/main.do?rcpNo=20260605000186", "공시열람")</f>
        <v/>
      </c>
    </row>
    <row r="3201" ht="22" customHeight="1">
      <c r="A3201" s="2" t="inlineStr">
        <is>
          <t>2026-06-05</t>
        </is>
      </c>
      <c r="B3201" s="3" t="inlineStr">
        <is>
          <t>엔지켐생명과학</t>
        </is>
      </c>
      <c r="C3201" s="2" t="inlineStr">
        <is>
          <t>183490</t>
        </is>
      </c>
      <c r="D3201" s="2" t="inlineStr">
        <is>
          <t>대량보유</t>
        </is>
      </c>
      <c r="E3201" s="3" t="inlineStr">
        <is>
          <t>윤재구</t>
        </is>
      </c>
      <c r="F3201" s="3" t="inlineStr">
        <is>
          <t>특별관계자</t>
        </is>
      </c>
      <c r="G3201" s="3" t="inlineStr">
        <is>
          <t>신규보고(+)</t>
        </is>
      </c>
      <c r="H3201" s="15" t="n">
        <v>30180</v>
      </c>
      <c r="I3201" s="6" t="inlineStr"/>
      <c r="J3201" s="6" t="n">
        <v>10060</v>
      </c>
      <c r="K3201" s="16" t="n">
        <v>5.95</v>
      </c>
      <c r="L3201" s="2" t="inlineStr">
        <is>
          <t>20260605000186</t>
        </is>
      </c>
      <c r="M3201" s="8">
        <f>HYPERLINK("https://dart.fss.or.kr/dsaf001/main.do?rcpNo=20260605000186", "공시열람")</f>
        <v/>
      </c>
    </row>
    <row r="3202" ht="22" customHeight="1">
      <c r="A3202" s="2" t="inlineStr">
        <is>
          <t>2026-06-05</t>
        </is>
      </c>
      <c r="B3202" s="3" t="inlineStr">
        <is>
          <t>엔지켐생명과학</t>
        </is>
      </c>
      <c r="C3202" s="2" t="inlineStr">
        <is>
          <t>183490</t>
        </is>
      </c>
      <c r="D3202" s="2" t="inlineStr">
        <is>
          <t>대량보유</t>
        </is>
      </c>
      <c r="E3202" s="3" t="inlineStr">
        <is>
          <t>이승우</t>
        </is>
      </c>
      <c r="F3202" s="3" t="inlineStr">
        <is>
          <t>특별관계자</t>
        </is>
      </c>
      <c r="G3202" s="3" t="inlineStr">
        <is>
          <t>신규보고(+)</t>
        </is>
      </c>
      <c r="H3202" s="15" t="n">
        <v>7533</v>
      </c>
      <c r="I3202" s="6" t="inlineStr"/>
      <c r="J3202" s="6" t="n">
        <v>2511</v>
      </c>
      <c r="K3202" s="16" t="n">
        <v>5.95</v>
      </c>
      <c r="L3202" s="2" t="inlineStr">
        <is>
          <t>20260605000186</t>
        </is>
      </c>
      <c r="M3202" s="8">
        <f>HYPERLINK("https://dart.fss.or.kr/dsaf001/main.do?rcpNo=20260605000186", "공시열람")</f>
        <v/>
      </c>
    </row>
    <row r="3203" ht="22" customHeight="1">
      <c r="A3203" s="2" t="inlineStr">
        <is>
          <t>2026-06-05</t>
        </is>
      </c>
      <c r="B3203" s="3" t="inlineStr">
        <is>
          <t>엔지켐생명과학</t>
        </is>
      </c>
      <c r="C3203" s="2" t="inlineStr">
        <is>
          <t>183490</t>
        </is>
      </c>
      <c r="D3203" s="2" t="inlineStr">
        <is>
          <t>대량보유</t>
        </is>
      </c>
      <c r="E3203" s="3" t="inlineStr">
        <is>
          <t>임송엽</t>
        </is>
      </c>
      <c r="F3203" s="3" t="inlineStr">
        <is>
          <t>특별관계자</t>
        </is>
      </c>
      <c r="G3203" s="3" t="inlineStr">
        <is>
          <t>신규보고(+)</t>
        </is>
      </c>
      <c r="H3203" s="15" t="n">
        <v>1269537</v>
      </c>
      <c r="I3203" s="6" t="inlineStr"/>
      <c r="J3203" s="6" t="n">
        <v>423179</v>
      </c>
      <c r="K3203" s="16" t="n">
        <v>5.95</v>
      </c>
      <c r="L3203" s="2" t="inlineStr">
        <is>
          <t>20260605000186</t>
        </is>
      </c>
      <c r="M3203" s="8">
        <f>HYPERLINK("https://dart.fss.or.kr/dsaf001/main.do?rcpNo=20260605000186", "공시열람")</f>
        <v/>
      </c>
    </row>
    <row r="3204" ht="22" customHeight="1">
      <c r="A3204" s="2" t="inlineStr">
        <is>
          <t>2026-06-05</t>
        </is>
      </c>
      <c r="B3204" s="3" t="inlineStr">
        <is>
          <t>엔지켐생명과학</t>
        </is>
      </c>
      <c r="C3204" s="2" t="inlineStr">
        <is>
          <t>183490</t>
        </is>
      </c>
      <c r="D3204" s="2" t="inlineStr">
        <is>
          <t>대량보유</t>
        </is>
      </c>
      <c r="E3204" s="3" t="inlineStr">
        <is>
          <t>김춘호</t>
        </is>
      </c>
      <c r="F3204" s="3" t="inlineStr">
        <is>
          <t>특별관계자</t>
        </is>
      </c>
      <c r="G3204" s="3" t="inlineStr">
        <is>
          <t>신규보고(+)</t>
        </is>
      </c>
      <c r="H3204" s="15" t="n">
        <v>304650</v>
      </c>
      <c r="I3204" s="6" t="inlineStr"/>
      <c r="J3204" s="6" t="n">
        <v>101550</v>
      </c>
      <c r="K3204" s="16" t="n">
        <v>5.95</v>
      </c>
      <c r="L3204" s="2" t="inlineStr">
        <is>
          <t>20260605000186</t>
        </is>
      </c>
      <c r="M3204" s="8">
        <f>HYPERLINK("https://dart.fss.or.kr/dsaf001/main.do?rcpNo=20260605000186", "공시열람")</f>
        <v/>
      </c>
    </row>
    <row r="3205" ht="22" customHeight="1">
      <c r="A3205" s="2" t="inlineStr">
        <is>
          <t>2026-06-05</t>
        </is>
      </c>
      <c r="B3205" s="3" t="inlineStr">
        <is>
          <t>엔지켐생명과학</t>
        </is>
      </c>
      <c r="C3205" s="2" t="inlineStr">
        <is>
          <t>183490</t>
        </is>
      </c>
      <c r="D3205" s="2" t="inlineStr">
        <is>
          <t>대량보유</t>
        </is>
      </c>
      <c r="E3205" s="3" t="inlineStr">
        <is>
          <t>송미란</t>
        </is>
      </c>
      <c r="F3205" s="3" t="inlineStr">
        <is>
          <t>특별관계자</t>
        </is>
      </c>
      <c r="G3205" s="3" t="inlineStr">
        <is>
          <t>신규보고(+)</t>
        </is>
      </c>
      <c r="H3205" s="15" t="n">
        <v>7614</v>
      </c>
      <c r="I3205" s="6" t="inlineStr"/>
      <c r="J3205" s="6" t="n">
        <v>2538</v>
      </c>
      <c r="K3205" s="16" t="n">
        <v>5.95</v>
      </c>
      <c r="L3205" s="2" t="inlineStr">
        <is>
          <t>20260605000186</t>
        </is>
      </c>
      <c r="M3205" s="8">
        <f>HYPERLINK("https://dart.fss.or.kr/dsaf001/main.do?rcpNo=20260605000186", "공시열람")</f>
        <v/>
      </c>
    </row>
    <row r="3206" ht="22" customHeight="1">
      <c r="A3206" s="2" t="inlineStr">
        <is>
          <t>2026-06-05</t>
        </is>
      </c>
      <c r="B3206" s="3" t="inlineStr">
        <is>
          <t>엔지켐생명과학</t>
        </is>
      </c>
      <c r="C3206" s="2" t="inlineStr">
        <is>
          <t>183490</t>
        </is>
      </c>
      <c r="D3206" s="2" t="inlineStr">
        <is>
          <t>대량보유</t>
        </is>
      </c>
      <c r="E3206" s="3" t="inlineStr">
        <is>
          <t>조병훈</t>
        </is>
      </c>
      <c r="F3206" s="3" t="inlineStr">
        <is>
          <t>특별관계자</t>
        </is>
      </c>
      <c r="G3206" s="3" t="inlineStr">
        <is>
          <t>신규보고(+)</t>
        </is>
      </c>
      <c r="H3206" s="15" t="n">
        <v>2160</v>
      </c>
      <c r="I3206" s="6" t="inlineStr"/>
      <c r="J3206" s="6" t="n">
        <v>720</v>
      </c>
      <c r="K3206" s="16" t="n">
        <v>5.95</v>
      </c>
      <c r="L3206" s="2" t="inlineStr">
        <is>
          <t>20260605000186</t>
        </is>
      </c>
      <c r="M3206" s="8">
        <f>HYPERLINK("https://dart.fss.or.kr/dsaf001/main.do?rcpNo=20260605000186", "공시열람")</f>
        <v/>
      </c>
    </row>
    <row r="3207" ht="22" customHeight="1">
      <c r="A3207" s="2" t="inlineStr">
        <is>
          <t>2026-06-05</t>
        </is>
      </c>
      <c r="B3207" s="3" t="inlineStr">
        <is>
          <t>엔지켐생명과학</t>
        </is>
      </c>
      <c r="C3207" s="2" t="inlineStr">
        <is>
          <t>183490</t>
        </is>
      </c>
      <c r="D3207" s="2" t="inlineStr">
        <is>
          <t>대량보유</t>
        </is>
      </c>
      <c r="E3207" s="3" t="inlineStr">
        <is>
          <t>유수미</t>
        </is>
      </c>
      <c r="F3207" s="3" t="inlineStr">
        <is>
          <t>특별관계자</t>
        </is>
      </c>
      <c r="G3207" s="3" t="inlineStr">
        <is>
          <t>신규보고(+)</t>
        </is>
      </c>
      <c r="H3207" s="15" t="n">
        <v>4689</v>
      </c>
      <c r="I3207" s="6" t="inlineStr"/>
      <c r="J3207" s="6" t="n">
        <v>1563</v>
      </c>
      <c r="K3207" s="16" t="n">
        <v>5.95</v>
      </c>
      <c r="L3207" s="2" t="inlineStr">
        <is>
          <t>20260605000186</t>
        </is>
      </c>
      <c r="M3207" s="8">
        <f>HYPERLINK("https://dart.fss.or.kr/dsaf001/main.do?rcpNo=20260605000186", "공시열람")</f>
        <v/>
      </c>
    </row>
    <row r="3208" ht="22" customHeight="1">
      <c r="A3208" s="2" t="inlineStr">
        <is>
          <t>2026-06-05</t>
        </is>
      </c>
      <c r="B3208" s="3" t="inlineStr">
        <is>
          <t>엔지켐생명과학</t>
        </is>
      </c>
      <c r="C3208" s="2" t="inlineStr">
        <is>
          <t>183490</t>
        </is>
      </c>
      <c r="D3208" s="2" t="inlineStr">
        <is>
          <t>대량보유</t>
        </is>
      </c>
      <c r="E3208" s="3" t="inlineStr">
        <is>
          <t>고희언</t>
        </is>
      </c>
      <c r="F3208" s="3" t="inlineStr">
        <is>
          <t>특별관계자</t>
        </is>
      </c>
      <c r="G3208" s="3" t="inlineStr">
        <is>
          <t>신규보고(+)</t>
        </is>
      </c>
      <c r="H3208" s="15" t="n">
        <v>3000</v>
      </c>
      <c r="I3208" s="6" t="inlineStr"/>
      <c r="J3208" s="6" t="n">
        <v>1000</v>
      </c>
      <c r="K3208" s="16" t="n">
        <v>5.95</v>
      </c>
      <c r="L3208" s="2" t="inlineStr">
        <is>
          <t>20260605000186</t>
        </is>
      </c>
      <c r="M3208" s="8">
        <f>HYPERLINK("https://dart.fss.or.kr/dsaf001/main.do?rcpNo=20260605000186", "공시열람")</f>
        <v/>
      </c>
    </row>
    <row r="3209" ht="22" customHeight="1">
      <c r="A3209" s="2" t="inlineStr">
        <is>
          <t>2026-06-05</t>
        </is>
      </c>
      <c r="B3209" s="3" t="inlineStr">
        <is>
          <t>엔지켐생명과학</t>
        </is>
      </c>
      <c r="C3209" s="2" t="inlineStr">
        <is>
          <t>183490</t>
        </is>
      </c>
      <c r="D3209" s="2" t="inlineStr">
        <is>
          <t>대량보유</t>
        </is>
      </c>
      <c r="E3209" s="3" t="inlineStr">
        <is>
          <t>박은혜</t>
        </is>
      </c>
      <c r="F3209" s="3" t="inlineStr">
        <is>
          <t>특별관계자</t>
        </is>
      </c>
      <c r="G3209" s="3" t="inlineStr">
        <is>
          <t>신규보고(+)</t>
        </is>
      </c>
      <c r="H3209" s="15" t="n">
        <v>1800</v>
      </c>
      <c r="I3209" s="6" t="inlineStr"/>
      <c r="J3209" s="6" t="n">
        <v>600</v>
      </c>
      <c r="K3209" s="16" t="n">
        <v>5.95</v>
      </c>
      <c r="L3209" s="2" t="inlineStr">
        <is>
          <t>20260605000186</t>
        </is>
      </c>
      <c r="M3209" s="8">
        <f>HYPERLINK("https://dart.fss.or.kr/dsaf001/main.do?rcpNo=20260605000186", "공시열람")</f>
        <v/>
      </c>
    </row>
    <row r="3210" ht="22" customHeight="1">
      <c r="A3210" s="2" t="inlineStr">
        <is>
          <t>2026-06-05</t>
        </is>
      </c>
      <c r="B3210" s="3" t="inlineStr">
        <is>
          <t>엔지켐생명과학</t>
        </is>
      </c>
      <c r="C3210" s="2" t="inlineStr">
        <is>
          <t>183490</t>
        </is>
      </c>
      <c r="D3210" s="2" t="inlineStr">
        <is>
          <t>대량보유</t>
        </is>
      </c>
      <c r="E3210" s="3" t="inlineStr">
        <is>
          <t>최우영</t>
        </is>
      </c>
      <c r="F3210" s="3" t="inlineStr">
        <is>
          <t>특별관계자</t>
        </is>
      </c>
      <c r="G3210" s="3" t="inlineStr">
        <is>
          <t>신규보고(+)</t>
        </is>
      </c>
      <c r="H3210" s="15" t="n">
        <v>7674</v>
      </c>
      <c r="I3210" s="6" t="inlineStr"/>
      <c r="J3210" s="6" t="n">
        <v>2558</v>
      </c>
      <c r="K3210" s="16" t="n">
        <v>5.95</v>
      </c>
      <c r="L3210" s="2" t="inlineStr">
        <is>
          <t>20260605000186</t>
        </is>
      </c>
      <c r="M3210" s="8">
        <f>HYPERLINK("https://dart.fss.or.kr/dsaf001/main.do?rcpNo=20260605000186", "공시열람")</f>
        <v/>
      </c>
    </row>
    <row r="3211" ht="22" customHeight="1">
      <c r="A3211" s="2" t="inlineStr">
        <is>
          <t>2026-06-05</t>
        </is>
      </c>
      <c r="B3211" s="3" t="inlineStr">
        <is>
          <t>엔지켐생명과학</t>
        </is>
      </c>
      <c r="C3211" s="2" t="inlineStr">
        <is>
          <t>183490</t>
        </is>
      </c>
      <c r="D3211" s="2" t="inlineStr">
        <is>
          <t>대량보유</t>
        </is>
      </c>
      <c r="E3211" s="3" t="inlineStr">
        <is>
          <t>함덕현</t>
        </is>
      </c>
      <c r="F3211" s="3" t="inlineStr">
        <is>
          <t>특별관계자</t>
        </is>
      </c>
      <c r="G3211" s="3" t="inlineStr">
        <is>
          <t>신규보고(+)</t>
        </is>
      </c>
      <c r="H3211" s="15" t="n">
        <v>11895</v>
      </c>
      <c r="I3211" s="6" t="inlineStr"/>
      <c r="J3211" s="6" t="n">
        <v>3965</v>
      </c>
      <c r="K3211" s="16" t="n">
        <v>5.95</v>
      </c>
      <c r="L3211" s="2" t="inlineStr">
        <is>
          <t>20260605000186</t>
        </is>
      </c>
      <c r="M3211" s="8">
        <f>HYPERLINK("https://dart.fss.or.kr/dsaf001/main.do?rcpNo=20260605000186", "공시열람")</f>
        <v/>
      </c>
    </row>
    <row r="3212" ht="22" customHeight="1">
      <c r="A3212" s="2" t="inlineStr">
        <is>
          <t>2026-06-05</t>
        </is>
      </c>
      <c r="B3212" s="3" t="inlineStr">
        <is>
          <t>엔지켐생명과학</t>
        </is>
      </c>
      <c r="C3212" s="2" t="inlineStr">
        <is>
          <t>183490</t>
        </is>
      </c>
      <c r="D3212" s="2" t="inlineStr">
        <is>
          <t>대량보유</t>
        </is>
      </c>
      <c r="E3212" s="3" t="inlineStr">
        <is>
          <t>전세준</t>
        </is>
      </c>
      <c r="F3212" s="3" t="inlineStr">
        <is>
          <t>특별관계자</t>
        </is>
      </c>
      <c r="G3212" s="3" t="inlineStr">
        <is>
          <t>신규보고(+)</t>
        </is>
      </c>
      <c r="H3212" s="15" t="n">
        <v>30957</v>
      </c>
      <c r="I3212" s="6" t="inlineStr"/>
      <c r="J3212" s="6" t="n">
        <v>10319</v>
      </c>
      <c r="K3212" s="16" t="n">
        <v>5.95</v>
      </c>
      <c r="L3212" s="2" t="inlineStr">
        <is>
          <t>20260605000186</t>
        </is>
      </c>
      <c r="M3212" s="8">
        <f>HYPERLINK("https://dart.fss.or.kr/dsaf001/main.do?rcpNo=20260605000186", "공시열람")</f>
        <v/>
      </c>
    </row>
    <row r="3213" ht="22" customHeight="1">
      <c r="A3213" s="2" t="inlineStr">
        <is>
          <t>2026-06-05</t>
        </is>
      </c>
      <c r="B3213" s="3" t="inlineStr">
        <is>
          <t>엔지켐생명과학</t>
        </is>
      </c>
      <c r="C3213" s="2" t="inlineStr">
        <is>
          <t>183490</t>
        </is>
      </c>
      <c r="D3213" s="2" t="inlineStr">
        <is>
          <t>대량보유</t>
        </is>
      </c>
      <c r="E3213" s="3" t="inlineStr">
        <is>
          <t>김미정</t>
        </is>
      </c>
      <c r="F3213" s="3" t="inlineStr">
        <is>
          <t>특별관계자</t>
        </is>
      </c>
      <c r="G3213" s="3" t="inlineStr">
        <is>
          <t>신규보고(+)</t>
        </is>
      </c>
      <c r="H3213" s="15" t="n">
        <v>750</v>
      </c>
      <c r="I3213" s="6" t="inlineStr"/>
      <c r="J3213" s="6" t="n">
        <v>250</v>
      </c>
      <c r="K3213" s="16" t="n">
        <v>5.95</v>
      </c>
      <c r="L3213" s="2" t="inlineStr">
        <is>
          <t>20260605000186</t>
        </is>
      </c>
      <c r="M3213" s="8">
        <f>HYPERLINK("https://dart.fss.or.kr/dsaf001/main.do?rcpNo=20260605000186", "공시열람")</f>
        <v/>
      </c>
    </row>
    <row r="3214" ht="22" customHeight="1">
      <c r="A3214" s="2" t="inlineStr">
        <is>
          <t>2026-06-05</t>
        </is>
      </c>
      <c r="B3214" s="3" t="inlineStr">
        <is>
          <t>엔지켐생명과학</t>
        </is>
      </c>
      <c r="C3214" s="2" t="inlineStr">
        <is>
          <t>183490</t>
        </is>
      </c>
      <c r="D3214" s="2" t="inlineStr">
        <is>
          <t>대량보유</t>
        </is>
      </c>
      <c r="E3214" s="3" t="inlineStr">
        <is>
          <t>김삼덕</t>
        </is>
      </c>
      <c r="F3214" s="3" t="inlineStr">
        <is>
          <t>특별관계자</t>
        </is>
      </c>
      <c r="G3214" s="3" t="inlineStr">
        <is>
          <t>신규보고(+)</t>
        </is>
      </c>
      <c r="H3214" s="15" t="n">
        <v>147450</v>
      </c>
      <c r="I3214" s="6" t="inlineStr"/>
      <c r="J3214" s="6" t="n">
        <v>49150</v>
      </c>
      <c r="K3214" s="16" t="n">
        <v>5.95</v>
      </c>
      <c r="L3214" s="2" t="inlineStr">
        <is>
          <t>20260605000186</t>
        </is>
      </c>
      <c r="M3214" s="8">
        <f>HYPERLINK("https://dart.fss.or.kr/dsaf001/main.do?rcpNo=20260605000186", "공시열람")</f>
        <v/>
      </c>
    </row>
    <row r="3215" ht="22" customHeight="1">
      <c r="A3215" s="2" t="inlineStr">
        <is>
          <t>2026-06-05</t>
        </is>
      </c>
      <c r="B3215" s="3" t="inlineStr">
        <is>
          <t>엔지켐생명과학</t>
        </is>
      </c>
      <c r="C3215" s="2" t="inlineStr">
        <is>
          <t>183490</t>
        </is>
      </c>
      <c r="D3215" s="2" t="inlineStr">
        <is>
          <t>대량보유</t>
        </is>
      </c>
      <c r="E3215" s="3" t="inlineStr">
        <is>
          <t>김기환</t>
        </is>
      </c>
      <c r="F3215" s="3" t="inlineStr">
        <is>
          <t>특별관계자</t>
        </is>
      </c>
      <c r="G3215" s="3" t="inlineStr">
        <is>
          <t>신규보고(+)</t>
        </is>
      </c>
      <c r="H3215" s="15" t="n">
        <v>21543</v>
      </c>
      <c r="I3215" s="6" t="inlineStr"/>
      <c r="J3215" s="6" t="n">
        <v>7181</v>
      </c>
      <c r="K3215" s="16" t="n">
        <v>5.95</v>
      </c>
      <c r="L3215" s="2" t="inlineStr">
        <is>
          <t>20260605000186</t>
        </is>
      </c>
      <c r="M3215" s="8">
        <f>HYPERLINK("https://dart.fss.or.kr/dsaf001/main.do?rcpNo=20260605000186", "공시열람")</f>
        <v/>
      </c>
    </row>
    <row r="3216" ht="22" customHeight="1">
      <c r="A3216" s="2" t="inlineStr">
        <is>
          <t>2026-06-05</t>
        </is>
      </c>
      <c r="B3216" s="3" t="inlineStr">
        <is>
          <t>엔지켐생명과학</t>
        </is>
      </c>
      <c r="C3216" s="2" t="inlineStr">
        <is>
          <t>183490</t>
        </is>
      </c>
      <c r="D3216" s="2" t="inlineStr">
        <is>
          <t>대량보유</t>
        </is>
      </c>
      <c r="E3216" s="3" t="inlineStr">
        <is>
          <t>박정우</t>
        </is>
      </c>
      <c r="F3216" s="3" t="inlineStr">
        <is>
          <t>특별관계자</t>
        </is>
      </c>
      <c r="G3216" s="3" t="inlineStr">
        <is>
          <t>신규보고(+)</t>
        </is>
      </c>
      <c r="H3216" s="15" t="n">
        <v>26940</v>
      </c>
      <c r="I3216" s="6" t="inlineStr"/>
      <c r="J3216" s="6" t="n">
        <v>8980</v>
      </c>
      <c r="K3216" s="16" t="n">
        <v>5.95</v>
      </c>
      <c r="L3216" s="2" t="inlineStr">
        <is>
          <t>20260605000186</t>
        </is>
      </c>
      <c r="M3216" s="8">
        <f>HYPERLINK("https://dart.fss.or.kr/dsaf001/main.do?rcpNo=20260605000186", "공시열람")</f>
        <v/>
      </c>
    </row>
    <row r="3217" ht="22" customHeight="1">
      <c r="A3217" s="2" t="inlineStr">
        <is>
          <t>2026-06-05</t>
        </is>
      </c>
      <c r="B3217" s="3" t="inlineStr">
        <is>
          <t>엔지켐생명과학</t>
        </is>
      </c>
      <c r="C3217" s="2" t="inlineStr">
        <is>
          <t>183490</t>
        </is>
      </c>
      <c r="D3217" s="2" t="inlineStr">
        <is>
          <t>대량보유</t>
        </is>
      </c>
      <c r="E3217" s="3" t="inlineStr">
        <is>
          <t>유호태</t>
        </is>
      </c>
      <c r="F3217" s="3" t="inlineStr">
        <is>
          <t>특별관계자</t>
        </is>
      </c>
      <c r="G3217" s="3" t="inlineStr">
        <is>
          <t>신규보고(+)</t>
        </is>
      </c>
      <c r="H3217" s="15" t="n">
        <v>96096</v>
      </c>
      <c r="I3217" s="6" t="inlineStr"/>
      <c r="J3217" s="6" t="n">
        <v>32032</v>
      </c>
      <c r="K3217" s="16" t="n">
        <v>5.95</v>
      </c>
      <c r="L3217" s="2" t="inlineStr">
        <is>
          <t>20260605000186</t>
        </is>
      </c>
      <c r="M3217" s="8">
        <f>HYPERLINK("https://dart.fss.or.kr/dsaf001/main.do?rcpNo=20260605000186", "공시열람")</f>
        <v/>
      </c>
    </row>
    <row r="3218" ht="22" customHeight="1">
      <c r="A3218" s="2" t="inlineStr">
        <is>
          <t>2026-06-05</t>
        </is>
      </c>
      <c r="B3218" s="3" t="inlineStr">
        <is>
          <t>엔지켐생명과학</t>
        </is>
      </c>
      <c r="C3218" s="2" t="inlineStr">
        <is>
          <t>183490</t>
        </is>
      </c>
      <c r="D3218" s="2" t="inlineStr">
        <is>
          <t>대량보유</t>
        </is>
      </c>
      <c r="E3218" s="3" t="inlineStr">
        <is>
          <t>서경호</t>
        </is>
      </c>
      <c r="F3218" s="3" t="inlineStr">
        <is>
          <t>특별관계자</t>
        </is>
      </c>
      <c r="G3218" s="3" t="inlineStr">
        <is>
          <t>신규보고(+)</t>
        </is>
      </c>
      <c r="H3218" s="15" t="n">
        <v>41700</v>
      </c>
      <c r="I3218" s="6" t="inlineStr"/>
      <c r="J3218" s="6" t="n">
        <v>13900</v>
      </c>
      <c r="K3218" s="16" t="n">
        <v>5.95</v>
      </c>
      <c r="L3218" s="2" t="inlineStr">
        <is>
          <t>20260605000186</t>
        </is>
      </c>
      <c r="M3218" s="8">
        <f>HYPERLINK("https://dart.fss.or.kr/dsaf001/main.do?rcpNo=20260605000186", "공시열람")</f>
        <v/>
      </c>
    </row>
    <row r="3219" ht="22" customHeight="1">
      <c r="A3219" s="2" t="inlineStr">
        <is>
          <t>2026-06-05</t>
        </is>
      </c>
      <c r="B3219" s="3" t="inlineStr">
        <is>
          <t>엔지켐생명과학</t>
        </is>
      </c>
      <c r="C3219" s="2" t="inlineStr">
        <is>
          <t>183490</t>
        </is>
      </c>
      <c r="D3219" s="2" t="inlineStr">
        <is>
          <t>대량보유</t>
        </is>
      </c>
      <c r="E3219" s="3" t="inlineStr">
        <is>
          <t>이승준</t>
        </is>
      </c>
      <c r="F3219" s="3" t="inlineStr">
        <is>
          <t>특별관계자</t>
        </is>
      </c>
      <c r="G3219" s="3" t="inlineStr">
        <is>
          <t>신규보고(+)</t>
        </is>
      </c>
      <c r="H3219" s="15" t="n">
        <v>1440</v>
      </c>
      <c r="I3219" s="6" t="inlineStr"/>
      <c r="J3219" s="6" t="n">
        <v>480</v>
      </c>
      <c r="K3219" s="16" t="n">
        <v>5.95</v>
      </c>
      <c r="L3219" s="2" t="inlineStr">
        <is>
          <t>20260605000186</t>
        </is>
      </c>
      <c r="M3219" s="8">
        <f>HYPERLINK("https://dart.fss.or.kr/dsaf001/main.do?rcpNo=20260605000186", "공시열람")</f>
        <v/>
      </c>
    </row>
    <row r="3220" ht="22" customHeight="1">
      <c r="A3220" s="2" t="inlineStr">
        <is>
          <t>2026-06-05</t>
        </is>
      </c>
      <c r="B3220" s="3" t="inlineStr">
        <is>
          <t>엔지켐생명과학</t>
        </is>
      </c>
      <c r="C3220" s="2" t="inlineStr">
        <is>
          <t>183490</t>
        </is>
      </c>
      <c r="D3220" s="2" t="inlineStr">
        <is>
          <t>대량보유</t>
        </is>
      </c>
      <c r="E3220" s="3" t="inlineStr">
        <is>
          <t>온초현</t>
        </is>
      </c>
      <c r="F3220" s="3" t="inlineStr">
        <is>
          <t>특별관계자</t>
        </is>
      </c>
      <c r="G3220" s="3" t="inlineStr">
        <is>
          <t>신규보고(+)</t>
        </is>
      </c>
      <c r="H3220" s="15" t="n">
        <v>11016</v>
      </c>
      <c r="I3220" s="6" t="inlineStr"/>
      <c r="J3220" s="6" t="n">
        <v>3672</v>
      </c>
      <c r="K3220" s="16" t="n">
        <v>5.95</v>
      </c>
      <c r="L3220" s="2" t="inlineStr">
        <is>
          <t>20260605000186</t>
        </is>
      </c>
      <c r="M3220" s="8">
        <f>HYPERLINK("https://dart.fss.or.kr/dsaf001/main.do?rcpNo=20260605000186", "공시열람")</f>
        <v/>
      </c>
    </row>
    <row r="3221" ht="22" customHeight="1">
      <c r="A3221" s="2" t="inlineStr">
        <is>
          <t>2026-06-05</t>
        </is>
      </c>
      <c r="B3221" s="3" t="inlineStr">
        <is>
          <t>엔지켐생명과학</t>
        </is>
      </c>
      <c r="C3221" s="2" t="inlineStr">
        <is>
          <t>183490</t>
        </is>
      </c>
      <c r="D3221" s="2" t="inlineStr">
        <is>
          <t>대량보유</t>
        </is>
      </c>
      <c r="E3221" s="3" t="inlineStr">
        <is>
          <t>이명희</t>
        </is>
      </c>
      <c r="F3221" s="3" t="inlineStr">
        <is>
          <t>특별관계자</t>
        </is>
      </c>
      <c r="G3221" s="3" t="inlineStr">
        <is>
          <t>신규보고(+)</t>
        </is>
      </c>
      <c r="H3221" s="15" t="n">
        <v>127401</v>
      </c>
      <c r="I3221" s="6" t="inlineStr"/>
      <c r="J3221" s="6" t="n">
        <v>42467</v>
      </c>
      <c r="K3221" s="16" t="n">
        <v>5.95</v>
      </c>
      <c r="L3221" s="2" t="inlineStr">
        <is>
          <t>20260605000186</t>
        </is>
      </c>
      <c r="M3221" s="8">
        <f>HYPERLINK("https://dart.fss.or.kr/dsaf001/main.do?rcpNo=20260605000186", "공시열람")</f>
        <v/>
      </c>
    </row>
    <row r="3222" ht="22" customHeight="1">
      <c r="A3222" s="2" t="inlineStr">
        <is>
          <t>2026-06-05</t>
        </is>
      </c>
      <c r="B3222" s="3" t="inlineStr">
        <is>
          <t>엔지켐생명과학</t>
        </is>
      </c>
      <c r="C3222" s="2" t="inlineStr">
        <is>
          <t>183490</t>
        </is>
      </c>
      <c r="D3222" s="2" t="inlineStr">
        <is>
          <t>대량보유</t>
        </is>
      </c>
      <c r="E3222" s="3" t="inlineStr">
        <is>
          <t>박종관</t>
        </is>
      </c>
      <c r="F3222" s="3" t="inlineStr">
        <is>
          <t>특별관계자</t>
        </is>
      </c>
      <c r="G3222" s="3" t="inlineStr">
        <is>
          <t>신규보고(+)</t>
        </is>
      </c>
      <c r="H3222" s="15" t="n">
        <v>25677</v>
      </c>
      <c r="I3222" s="6" t="inlineStr"/>
      <c r="J3222" s="6" t="n">
        <v>8559</v>
      </c>
      <c r="K3222" s="16" t="n">
        <v>5.95</v>
      </c>
      <c r="L3222" s="2" t="inlineStr">
        <is>
          <t>20260605000186</t>
        </is>
      </c>
      <c r="M3222" s="8">
        <f>HYPERLINK("https://dart.fss.or.kr/dsaf001/main.do?rcpNo=20260605000186", "공시열람")</f>
        <v/>
      </c>
    </row>
    <row r="3223" ht="22" customHeight="1">
      <c r="A3223" s="2" t="inlineStr">
        <is>
          <t>2026-06-05</t>
        </is>
      </c>
      <c r="B3223" s="3" t="inlineStr">
        <is>
          <t>엔지켐생명과학</t>
        </is>
      </c>
      <c r="C3223" s="2" t="inlineStr">
        <is>
          <t>183490</t>
        </is>
      </c>
      <c r="D3223" s="2" t="inlineStr">
        <is>
          <t>대량보유</t>
        </is>
      </c>
      <c r="E3223" s="3" t="inlineStr">
        <is>
          <t>은기남</t>
        </is>
      </c>
      <c r="F3223" s="3" t="inlineStr">
        <is>
          <t>특별관계자</t>
        </is>
      </c>
      <c r="G3223" s="3" t="inlineStr">
        <is>
          <t>신규보고(+)</t>
        </is>
      </c>
      <c r="H3223" s="15" t="n">
        <v>143379</v>
      </c>
      <c r="I3223" s="6" t="inlineStr"/>
      <c r="J3223" s="6" t="n">
        <v>47793</v>
      </c>
      <c r="K3223" s="16" t="n">
        <v>5.95</v>
      </c>
      <c r="L3223" s="2" t="inlineStr">
        <is>
          <t>20260605000186</t>
        </is>
      </c>
      <c r="M3223" s="8">
        <f>HYPERLINK("https://dart.fss.or.kr/dsaf001/main.do?rcpNo=20260605000186", "공시열람")</f>
        <v/>
      </c>
    </row>
    <row r="3224" ht="22" customHeight="1">
      <c r="A3224" s="2" t="inlineStr">
        <is>
          <t>2026-06-05</t>
        </is>
      </c>
      <c r="B3224" s="3" t="inlineStr">
        <is>
          <t>엔지켐생명과학</t>
        </is>
      </c>
      <c r="C3224" s="2" t="inlineStr">
        <is>
          <t>183490</t>
        </is>
      </c>
      <c r="D3224" s="2" t="inlineStr">
        <is>
          <t>대량보유</t>
        </is>
      </c>
      <c r="E3224" s="3" t="inlineStr">
        <is>
          <t>신진우</t>
        </is>
      </c>
      <c r="F3224" s="3" t="inlineStr">
        <is>
          <t>특별관계자</t>
        </is>
      </c>
      <c r="G3224" s="3" t="inlineStr">
        <is>
          <t>신규보고(+)</t>
        </is>
      </c>
      <c r="H3224" s="15" t="n">
        <v>66000</v>
      </c>
      <c r="I3224" s="6" t="inlineStr"/>
      <c r="J3224" s="6" t="n">
        <v>22000</v>
      </c>
      <c r="K3224" s="16" t="n">
        <v>5.95</v>
      </c>
      <c r="L3224" s="2" t="inlineStr">
        <is>
          <t>20260605000186</t>
        </is>
      </c>
      <c r="M3224" s="8">
        <f>HYPERLINK("https://dart.fss.or.kr/dsaf001/main.do?rcpNo=20260605000186", "공시열람")</f>
        <v/>
      </c>
    </row>
    <row r="3225" ht="22" customHeight="1">
      <c r="A3225" s="2" t="inlineStr">
        <is>
          <t>2026-06-05</t>
        </is>
      </c>
      <c r="B3225" s="3" t="inlineStr">
        <is>
          <t>엔지켐생명과학</t>
        </is>
      </c>
      <c r="C3225" s="2" t="inlineStr">
        <is>
          <t>183490</t>
        </is>
      </c>
      <c r="D3225" s="2" t="inlineStr">
        <is>
          <t>대량보유</t>
        </is>
      </c>
      <c r="E3225" s="3" t="inlineStr">
        <is>
          <t>박정호</t>
        </is>
      </c>
      <c r="F3225" s="3" t="inlineStr">
        <is>
          <t>특별관계자</t>
        </is>
      </c>
      <c r="G3225" s="3" t="inlineStr">
        <is>
          <t>신규보고(+)</t>
        </is>
      </c>
      <c r="H3225" s="15" t="n">
        <v>12711</v>
      </c>
      <c r="I3225" s="6" t="inlineStr"/>
      <c r="J3225" s="6" t="n">
        <v>4237</v>
      </c>
      <c r="K3225" s="16" t="n">
        <v>5.95</v>
      </c>
      <c r="L3225" s="2" t="inlineStr">
        <is>
          <t>20260605000186</t>
        </is>
      </c>
      <c r="M3225" s="8">
        <f>HYPERLINK("https://dart.fss.or.kr/dsaf001/main.do?rcpNo=20260605000186", "공시열람")</f>
        <v/>
      </c>
    </row>
    <row r="3226" ht="22" customHeight="1">
      <c r="A3226" s="2" t="inlineStr">
        <is>
          <t>2026-06-05</t>
        </is>
      </c>
      <c r="B3226" s="3" t="inlineStr">
        <is>
          <t>엔지켐생명과학</t>
        </is>
      </c>
      <c r="C3226" s="2" t="inlineStr">
        <is>
          <t>183490</t>
        </is>
      </c>
      <c r="D3226" s="2" t="inlineStr">
        <is>
          <t>대량보유</t>
        </is>
      </c>
      <c r="E3226" s="3" t="inlineStr">
        <is>
          <t>이도경</t>
        </is>
      </c>
      <c r="F3226" s="3" t="inlineStr">
        <is>
          <t>특별관계자</t>
        </is>
      </c>
      <c r="G3226" s="3" t="inlineStr">
        <is>
          <t>신규보고(+)</t>
        </is>
      </c>
      <c r="H3226" s="15" t="n">
        <v>190257</v>
      </c>
      <c r="I3226" s="6" t="inlineStr"/>
      <c r="J3226" s="6" t="n">
        <v>63419</v>
      </c>
      <c r="K3226" s="16" t="n">
        <v>5.95</v>
      </c>
      <c r="L3226" s="2" t="inlineStr">
        <is>
          <t>20260605000186</t>
        </is>
      </c>
      <c r="M3226" s="8">
        <f>HYPERLINK("https://dart.fss.or.kr/dsaf001/main.do?rcpNo=20260605000186", "공시열람")</f>
        <v/>
      </c>
    </row>
    <row r="3227" ht="22" customHeight="1">
      <c r="A3227" s="2" t="inlineStr">
        <is>
          <t>2026-06-05</t>
        </is>
      </c>
      <c r="B3227" s="3" t="inlineStr">
        <is>
          <t>엔지켐생명과학</t>
        </is>
      </c>
      <c r="C3227" s="2" t="inlineStr">
        <is>
          <t>183490</t>
        </is>
      </c>
      <c r="D3227" s="2" t="inlineStr">
        <is>
          <t>대량보유</t>
        </is>
      </c>
      <c r="E3227" s="3" t="inlineStr">
        <is>
          <t>신현기</t>
        </is>
      </c>
      <c r="F3227" s="3" t="inlineStr">
        <is>
          <t>특별관계자</t>
        </is>
      </c>
      <c r="G3227" s="3" t="inlineStr">
        <is>
          <t>신규보고(+)</t>
        </is>
      </c>
      <c r="H3227" s="15" t="n">
        <v>23400</v>
      </c>
      <c r="I3227" s="6" t="inlineStr"/>
      <c r="J3227" s="6" t="n">
        <v>7800</v>
      </c>
      <c r="K3227" s="16" t="n">
        <v>5.95</v>
      </c>
      <c r="L3227" s="2" t="inlineStr">
        <is>
          <t>20260605000186</t>
        </is>
      </c>
      <c r="M3227" s="8">
        <f>HYPERLINK("https://dart.fss.or.kr/dsaf001/main.do?rcpNo=20260605000186", "공시열람")</f>
        <v/>
      </c>
    </row>
    <row r="3228" ht="22" customHeight="1">
      <c r="A3228" s="2" t="inlineStr">
        <is>
          <t>2026-06-05</t>
        </is>
      </c>
      <c r="B3228" s="3" t="inlineStr">
        <is>
          <t>엔지켐생명과학</t>
        </is>
      </c>
      <c r="C3228" s="2" t="inlineStr">
        <is>
          <t>183490</t>
        </is>
      </c>
      <c r="D3228" s="2" t="inlineStr">
        <is>
          <t>대량보유</t>
        </is>
      </c>
      <c r="E3228" s="3" t="inlineStr">
        <is>
          <t>최정원</t>
        </is>
      </c>
      <c r="F3228" s="3" t="inlineStr">
        <is>
          <t>특별관계자</t>
        </is>
      </c>
      <c r="G3228" s="3" t="inlineStr">
        <is>
          <t>신규보고(+)</t>
        </is>
      </c>
      <c r="H3228" s="15" t="n">
        <v>540</v>
      </c>
      <c r="I3228" s="6" t="inlineStr"/>
      <c r="J3228" s="6" t="n">
        <v>180</v>
      </c>
      <c r="K3228" s="16" t="n">
        <v>5.95</v>
      </c>
      <c r="L3228" s="2" t="inlineStr">
        <is>
          <t>20260605000186</t>
        </is>
      </c>
      <c r="M3228" s="8">
        <f>HYPERLINK("https://dart.fss.or.kr/dsaf001/main.do?rcpNo=20260605000186", "공시열람")</f>
        <v/>
      </c>
    </row>
    <row r="3229" ht="22" customHeight="1">
      <c r="A3229" s="2" t="inlineStr">
        <is>
          <t>2026-06-05</t>
        </is>
      </c>
      <c r="B3229" s="3" t="inlineStr">
        <is>
          <t>엔지켐생명과학</t>
        </is>
      </c>
      <c r="C3229" s="2" t="inlineStr">
        <is>
          <t>183490</t>
        </is>
      </c>
      <c r="D3229" s="2" t="inlineStr">
        <is>
          <t>대량보유</t>
        </is>
      </c>
      <c r="E3229" s="3" t="inlineStr">
        <is>
          <t>황선화</t>
        </is>
      </c>
      <c r="F3229" s="3" t="inlineStr">
        <is>
          <t>특별관계자</t>
        </is>
      </c>
      <c r="G3229" s="3" t="inlineStr">
        <is>
          <t>신규보고(+)</t>
        </is>
      </c>
      <c r="H3229" s="15" t="n">
        <v>294000</v>
      </c>
      <c r="I3229" s="6" t="inlineStr"/>
      <c r="J3229" s="6" t="n">
        <v>98000</v>
      </c>
      <c r="K3229" s="16" t="n">
        <v>5.95</v>
      </c>
      <c r="L3229" s="2" t="inlineStr">
        <is>
          <t>20260605000186</t>
        </is>
      </c>
      <c r="M3229" s="8">
        <f>HYPERLINK("https://dart.fss.or.kr/dsaf001/main.do?rcpNo=20260605000186", "공시열람")</f>
        <v/>
      </c>
    </row>
    <row r="3230" ht="22" customHeight="1">
      <c r="A3230" s="2" t="inlineStr">
        <is>
          <t>2026-06-05</t>
        </is>
      </c>
      <c r="B3230" s="3" t="inlineStr">
        <is>
          <t>엔지켐생명과학</t>
        </is>
      </c>
      <c r="C3230" s="2" t="inlineStr">
        <is>
          <t>183490</t>
        </is>
      </c>
      <c r="D3230" s="2" t="inlineStr">
        <is>
          <t>대량보유</t>
        </is>
      </c>
      <c r="E3230" s="3" t="inlineStr">
        <is>
          <t>정인혜</t>
        </is>
      </c>
      <c r="F3230" s="3" t="inlineStr">
        <is>
          <t>특별관계자</t>
        </is>
      </c>
      <c r="G3230" s="3" t="inlineStr">
        <is>
          <t>신규보고(+)</t>
        </is>
      </c>
      <c r="H3230" s="15" t="n">
        <v>1404</v>
      </c>
      <c r="I3230" s="6" t="inlineStr"/>
      <c r="J3230" s="6" t="n">
        <v>468</v>
      </c>
      <c r="K3230" s="16" t="n">
        <v>5.95</v>
      </c>
      <c r="L3230" s="2" t="inlineStr">
        <is>
          <t>20260605000186</t>
        </is>
      </c>
      <c r="M3230" s="8">
        <f>HYPERLINK("https://dart.fss.or.kr/dsaf001/main.do?rcpNo=20260605000186", "공시열람")</f>
        <v/>
      </c>
    </row>
    <row r="3231" ht="22" customHeight="1">
      <c r="A3231" s="2" t="inlineStr">
        <is>
          <t>2026-06-05</t>
        </is>
      </c>
      <c r="B3231" s="3" t="inlineStr">
        <is>
          <t>엔지켐생명과학</t>
        </is>
      </c>
      <c r="C3231" s="2" t="inlineStr">
        <is>
          <t>183490</t>
        </is>
      </c>
      <c r="D3231" s="2" t="inlineStr">
        <is>
          <t>대량보유</t>
        </is>
      </c>
      <c r="E3231" s="3" t="inlineStr">
        <is>
          <t>이현주</t>
        </is>
      </c>
      <c r="F3231" s="3" t="inlineStr">
        <is>
          <t>특별관계자</t>
        </is>
      </c>
      <c r="G3231" s="3" t="inlineStr">
        <is>
          <t>신규보고(+)</t>
        </is>
      </c>
      <c r="H3231" s="15" t="n">
        <v>9000</v>
      </c>
      <c r="I3231" s="6" t="inlineStr"/>
      <c r="J3231" s="6" t="n">
        <v>3000</v>
      </c>
      <c r="K3231" s="16" t="n">
        <v>5.95</v>
      </c>
      <c r="L3231" s="2" t="inlineStr">
        <is>
          <t>20260605000186</t>
        </is>
      </c>
      <c r="M3231" s="8">
        <f>HYPERLINK("https://dart.fss.or.kr/dsaf001/main.do?rcpNo=20260605000186", "공시열람")</f>
        <v/>
      </c>
    </row>
    <row r="3232" ht="22" customHeight="1">
      <c r="A3232" s="2" t="inlineStr">
        <is>
          <t>2026-06-05</t>
        </is>
      </c>
      <c r="B3232" s="3" t="inlineStr">
        <is>
          <t>엔지켐생명과학</t>
        </is>
      </c>
      <c r="C3232" s="2" t="inlineStr">
        <is>
          <t>183490</t>
        </is>
      </c>
      <c r="D3232" s="2" t="inlineStr">
        <is>
          <t>대량보유</t>
        </is>
      </c>
      <c r="E3232" s="3" t="inlineStr">
        <is>
          <t>김종철</t>
        </is>
      </c>
      <c r="F3232" s="3" t="inlineStr">
        <is>
          <t>특별관계자</t>
        </is>
      </c>
      <c r="G3232" s="3" t="inlineStr">
        <is>
          <t>신규보고(+)</t>
        </is>
      </c>
      <c r="H3232" s="15" t="n">
        <v>124977</v>
      </c>
      <c r="I3232" s="6" t="inlineStr"/>
      <c r="J3232" s="6" t="n">
        <v>41659</v>
      </c>
      <c r="K3232" s="16" t="n">
        <v>5.95</v>
      </c>
      <c r="L3232" s="2" t="inlineStr">
        <is>
          <t>20260605000186</t>
        </is>
      </c>
      <c r="M3232" s="8">
        <f>HYPERLINK("https://dart.fss.or.kr/dsaf001/main.do?rcpNo=20260605000186", "공시열람")</f>
        <v/>
      </c>
    </row>
    <row r="3233" ht="22" customHeight="1">
      <c r="A3233" s="2" t="inlineStr">
        <is>
          <t>2026-06-05</t>
        </is>
      </c>
      <c r="B3233" s="3" t="inlineStr">
        <is>
          <t>엔지켐생명과학</t>
        </is>
      </c>
      <c r="C3233" s="2" t="inlineStr">
        <is>
          <t>183490</t>
        </is>
      </c>
      <c r="D3233" s="2" t="inlineStr">
        <is>
          <t>대량보유</t>
        </is>
      </c>
      <c r="E3233" s="3" t="inlineStr">
        <is>
          <t>김복자</t>
        </is>
      </c>
      <c r="F3233" s="3" t="inlineStr">
        <is>
          <t>특별관계자</t>
        </is>
      </c>
      <c r="G3233" s="3" t="inlineStr">
        <is>
          <t>신규보고(+)</t>
        </is>
      </c>
      <c r="H3233" s="15" t="n">
        <v>159000</v>
      </c>
      <c r="I3233" s="6" t="inlineStr"/>
      <c r="J3233" s="6" t="n">
        <v>53000</v>
      </c>
      <c r="K3233" s="16" t="n">
        <v>5.95</v>
      </c>
      <c r="L3233" s="2" t="inlineStr">
        <is>
          <t>20260605000186</t>
        </is>
      </c>
      <c r="M3233" s="8">
        <f>HYPERLINK("https://dart.fss.or.kr/dsaf001/main.do?rcpNo=20260605000186", "공시열람")</f>
        <v/>
      </c>
    </row>
    <row r="3234" ht="22" customHeight="1">
      <c r="A3234" s="2" t="inlineStr">
        <is>
          <t>2026-06-05</t>
        </is>
      </c>
      <c r="B3234" s="3" t="inlineStr">
        <is>
          <t>엔지켐생명과학</t>
        </is>
      </c>
      <c r="C3234" s="2" t="inlineStr">
        <is>
          <t>183490</t>
        </is>
      </c>
      <c r="D3234" s="2" t="inlineStr">
        <is>
          <t>대량보유</t>
        </is>
      </c>
      <c r="E3234" s="3" t="inlineStr">
        <is>
          <t>박계령</t>
        </is>
      </c>
      <c r="F3234" s="3" t="inlineStr">
        <is>
          <t>특별관계자</t>
        </is>
      </c>
      <c r="G3234" s="3" t="inlineStr">
        <is>
          <t>신규보고(+)</t>
        </is>
      </c>
      <c r="H3234" s="15" t="n">
        <v>249000</v>
      </c>
      <c r="I3234" s="6" t="inlineStr"/>
      <c r="J3234" s="6" t="n">
        <v>83000</v>
      </c>
      <c r="K3234" s="16" t="n">
        <v>5.95</v>
      </c>
      <c r="L3234" s="2" t="inlineStr">
        <is>
          <t>20260605000186</t>
        </is>
      </c>
      <c r="M3234" s="8">
        <f>HYPERLINK("https://dart.fss.or.kr/dsaf001/main.do?rcpNo=20260605000186", "공시열람")</f>
        <v/>
      </c>
    </row>
    <row r="3235" ht="22" customHeight="1">
      <c r="A3235" s="2" t="inlineStr">
        <is>
          <t>2026-06-05</t>
        </is>
      </c>
      <c r="B3235" s="3" t="inlineStr">
        <is>
          <t>엔지켐생명과학</t>
        </is>
      </c>
      <c r="C3235" s="2" t="inlineStr">
        <is>
          <t>183490</t>
        </is>
      </c>
      <c r="D3235" s="2" t="inlineStr">
        <is>
          <t>대량보유</t>
        </is>
      </c>
      <c r="E3235" s="3" t="inlineStr">
        <is>
          <t>이정숙</t>
        </is>
      </c>
      <c r="F3235" s="3" t="inlineStr">
        <is>
          <t>특별관계자</t>
        </is>
      </c>
      <c r="G3235" s="3" t="inlineStr">
        <is>
          <t>신규보고(+)</t>
        </is>
      </c>
      <c r="H3235" s="15" t="n">
        <v>216084</v>
      </c>
      <c r="I3235" s="6" t="inlineStr"/>
      <c r="J3235" s="6" t="n">
        <v>72028</v>
      </c>
      <c r="K3235" s="16" t="n">
        <v>5.95</v>
      </c>
      <c r="L3235" s="2" t="inlineStr">
        <is>
          <t>20260605000186</t>
        </is>
      </c>
      <c r="M3235" s="8">
        <f>HYPERLINK("https://dart.fss.or.kr/dsaf001/main.do?rcpNo=20260605000186", "공시열람")</f>
        <v/>
      </c>
    </row>
    <row r="3236" ht="22" customHeight="1">
      <c r="A3236" s="2" t="inlineStr">
        <is>
          <t>2026-06-05</t>
        </is>
      </c>
      <c r="B3236" s="3" t="inlineStr">
        <is>
          <t>엔지켐생명과학</t>
        </is>
      </c>
      <c r="C3236" s="2" t="inlineStr">
        <is>
          <t>183490</t>
        </is>
      </c>
      <c r="D3236" s="2" t="inlineStr">
        <is>
          <t>대량보유</t>
        </is>
      </c>
      <c r="E3236" s="3" t="inlineStr">
        <is>
          <t>박성우</t>
        </is>
      </c>
      <c r="F3236" s="3" t="inlineStr">
        <is>
          <t>특별관계자</t>
        </is>
      </c>
      <c r="G3236" s="3" t="inlineStr">
        <is>
          <t>신규보고(+)</t>
        </is>
      </c>
      <c r="H3236" s="15" t="n">
        <v>855000</v>
      </c>
      <c r="I3236" s="6" t="inlineStr"/>
      <c r="J3236" s="6" t="n">
        <v>285000</v>
      </c>
      <c r="K3236" s="16" t="n">
        <v>5.95</v>
      </c>
      <c r="L3236" s="2" t="inlineStr">
        <is>
          <t>20260605000186</t>
        </is>
      </c>
      <c r="M3236" s="8">
        <f>HYPERLINK("https://dart.fss.or.kr/dsaf001/main.do?rcpNo=20260605000186", "공시열람")</f>
        <v/>
      </c>
    </row>
    <row r="3237" ht="22" customHeight="1">
      <c r="A3237" s="2" t="inlineStr">
        <is>
          <t>2026-06-05</t>
        </is>
      </c>
      <c r="B3237" s="3" t="inlineStr">
        <is>
          <t>엔지켐생명과학</t>
        </is>
      </c>
      <c r="C3237" s="2" t="inlineStr">
        <is>
          <t>183490</t>
        </is>
      </c>
      <c r="D3237" s="2" t="inlineStr">
        <is>
          <t>대량보유</t>
        </is>
      </c>
      <c r="E3237" s="3" t="inlineStr">
        <is>
          <t>송미성</t>
        </is>
      </c>
      <c r="F3237" s="3" t="inlineStr">
        <is>
          <t>특별관계자</t>
        </is>
      </c>
      <c r="G3237" s="3" t="inlineStr">
        <is>
          <t>신규보고(+)</t>
        </is>
      </c>
      <c r="H3237" s="15" t="n">
        <v>180270</v>
      </c>
      <c r="I3237" s="6" t="inlineStr"/>
      <c r="J3237" s="6" t="n">
        <v>60090</v>
      </c>
      <c r="K3237" s="16" t="n">
        <v>5.95</v>
      </c>
      <c r="L3237" s="2" t="inlineStr">
        <is>
          <t>20260605000186</t>
        </is>
      </c>
      <c r="M3237" s="8">
        <f>HYPERLINK("https://dart.fss.or.kr/dsaf001/main.do?rcpNo=20260605000186", "공시열람")</f>
        <v/>
      </c>
    </row>
    <row r="3238" ht="22" customHeight="1">
      <c r="A3238" s="2" t="inlineStr">
        <is>
          <t>2026-06-05</t>
        </is>
      </c>
      <c r="B3238" s="3" t="inlineStr">
        <is>
          <t>엔지켐생명과학</t>
        </is>
      </c>
      <c r="C3238" s="2" t="inlineStr">
        <is>
          <t>183490</t>
        </is>
      </c>
      <c r="D3238" s="2" t="inlineStr">
        <is>
          <t>대량보유</t>
        </is>
      </c>
      <c r="E3238" s="3" t="inlineStr">
        <is>
          <t>정영숙</t>
        </is>
      </c>
      <c r="F3238" s="3" t="inlineStr">
        <is>
          <t>특별관계자</t>
        </is>
      </c>
      <c r="G3238" s="3" t="inlineStr">
        <is>
          <t>신규보고(+)</t>
        </is>
      </c>
      <c r="H3238" s="15" t="n">
        <v>6000</v>
      </c>
      <c r="I3238" s="6" t="inlineStr"/>
      <c r="J3238" s="6" t="n">
        <v>2000</v>
      </c>
      <c r="K3238" s="16" t="n">
        <v>5.95</v>
      </c>
      <c r="L3238" s="2" t="inlineStr">
        <is>
          <t>20260605000186</t>
        </is>
      </c>
      <c r="M3238" s="8">
        <f>HYPERLINK("https://dart.fss.or.kr/dsaf001/main.do?rcpNo=20260605000186", "공시열람")</f>
        <v/>
      </c>
    </row>
    <row r="3239" ht="22" customHeight="1">
      <c r="A3239" s="2" t="inlineStr">
        <is>
          <t>2026-06-05</t>
        </is>
      </c>
      <c r="B3239" s="3" t="inlineStr">
        <is>
          <t>엔지켐생명과학</t>
        </is>
      </c>
      <c r="C3239" s="2" t="inlineStr">
        <is>
          <t>183490</t>
        </is>
      </c>
      <c r="D3239" s="2" t="inlineStr">
        <is>
          <t>대량보유</t>
        </is>
      </c>
      <c r="E3239" s="3" t="inlineStr">
        <is>
          <t>김민정</t>
        </is>
      </c>
      <c r="F3239" s="3" t="inlineStr">
        <is>
          <t>특별관계자</t>
        </is>
      </c>
      <c r="G3239" s="3" t="inlineStr">
        <is>
          <t>신규보고(+)</t>
        </is>
      </c>
      <c r="H3239" s="15" t="n">
        <v>14454</v>
      </c>
      <c r="I3239" s="6" t="inlineStr"/>
      <c r="J3239" s="6" t="n">
        <v>4818</v>
      </c>
      <c r="K3239" s="16" t="n">
        <v>5.95</v>
      </c>
      <c r="L3239" s="2" t="inlineStr">
        <is>
          <t>20260605000186</t>
        </is>
      </c>
      <c r="M3239" s="8">
        <f>HYPERLINK("https://dart.fss.or.kr/dsaf001/main.do?rcpNo=20260605000186", "공시열람")</f>
        <v/>
      </c>
    </row>
    <row r="3240" ht="22" customHeight="1">
      <c r="A3240" s="2" t="inlineStr">
        <is>
          <t>2026-06-05</t>
        </is>
      </c>
      <c r="B3240" s="3" t="inlineStr">
        <is>
          <t>엔지켐생명과학</t>
        </is>
      </c>
      <c r="C3240" s="2" t="inlineStr">
        <is>
          <t>183490</t>
        </is>
      </c>
      <c r="D3240" s="2" t="inlineStr">
        <is>
          <t>대량보유</t>
        </is>
      </c>
      <c r="E3240" s="3" t="inlineStr">
        <is>
          <t>최종환</t>
        </is>
      </c>
      <c r="F3240" s="3" t="inlineStr">
        <is>
          <t>특별관계자</t>
        </is>
      </c>
      <c r="G3240" s="3" t="inlineStr">
        <is>
          <t>신규보고(+)</t>
        </is>
      </c>
      <c r="H3240" s="15" t="n">
        <v>156933</v>
      </c>
      <c r="I3240" s="6" t="inlineStr"/>
      <c r="J3240" s="6" t="n">
        <v>52311</v>
      </c>
      <c r="K3240" s="16" t="n">
        <v>5.95</v>
      </c>
      <c r="L3240" s="2" t="inlineStr">
        <is>
          <t>20260605000186</t>
        </is>
      </c>
      <c r="M3240" s="8">
        <f>HYPERLINK("https://dart.fss.or.kr/dsaf001/main.do?rcpNo=20260605000186", "공시열람")</f>
        <v/>
      </c>
    </row>
    <row r="3241" ht="22" customHeight="1">
      <c r="A3241" s="2" t="inlineStr">
        <is>
          <t>2026-06-05</t>
        </is>
      </c>
      <c r="B3241" s="3" t="inlineStr">
        <is>
          <t>엔지켐생명과학</t>
        </is>
      </c>
      <c r="C3241" s="2" t="inlineStr">
        <is>
          <t>183490</t>
        </is>
      </c>
      <c r="D3241" s="2" t="inlineStr">
        <is>
          <t>대량보유</t>
        </is>
      </c>
      <c r="E3241" s="3" t="inlineStr">
        <is>
          <t>이창우</t>
        </is>
      </c>
      <c r="F3241" s="3" t="inlineStr">
        <is>
          <t>특별관계자</t>
        </is>
      </c>
      <c r="G3241" s="3" t="inlineStr">
        <is>
          <t>신규보고(+)</t>
        </is>
      </c>
      <c r="H3241" s="15" t="n">
        <v>9144</v>
      </c>
      <c r="I3241" s="6" t="inlineStr"/>
      <c r="J3241" s="6" t="n">
        <v>3048</v>
      </c>
      <c r="K3241" s="16" t="n">
        <v>5.95</v>
      </c>
      <c r="L3241" s="2" t="inlineStr">
        <is>
          <t>20260605000186</t>
        </is>
      </c>
      <c r="M3241" s="8">
        <f>HYPERLINK("https://dart.fss.or.kr/dsaf001/main.do?rcpNo=20260605000186", "공시열람")</f>
        <v/>
      </c>
    </row>
    <row r="3242" ht="22" customHeight="1">
      <c r="A3242" s="2" t="inlineStr">
        <is>
          <t>2026-06-05</t>
        </is>
      </c>
      <c r="B3242" s="3" t="inlineStr">
        <is>
          <t>엔지켐생명과학</t>
        </is>
      </c>
      <c r="C3242" s="2" t="inlineStr">
        <is>
          <t>183490</t>
        </is>
      </c>
      <c r="D3242" s="2" t="inlineStr">
        <is>
          <t>대량보유</t>
        </is>
      </c>
      <c r="E3242" s="3" t="inlineStr">
        <is>
          <t>김도수</t>
        </is>
      </c>
      <c r="F3242" s="3" t="inlineStr">
        <is>
          <t>특별관계자</t>
        </is>
      </c>
      <c r="G3242" s="3" t="inlineStr">
        <is>
          <t>신규보고(+)</t>
        </is>
      </c>
      <c r="H3242" s="15" t="n">
        <v>2700</v>
      </c>
      <c r="I3242" s="6" t="inlineStr"/>
      <c r="J3242" s="6" t="n">
        <v>900</v>
      </c>
      <c r="K3242" s="16" t="n">
        <v>5.95</v>
      </c>
      <c r="L3242" s="2" t="inlineStr">
        <is>
          <t>20260605000186</t>
        </is>
      </c>
      <c r="M3242" s="8">
        <f>HYPERLINK("https://dart.fss.or.kr/dsaf001/main.do?rcpNo=20260605000186", "공시열람")</f>
        <v/>
      </c>
    </row>
    <row r="3243" ht="22" customHeight="1">
      <c r="A3243" s="2" t="inlineStr">
        <is>
          <t>2026-06-05</t>
        </is>
      </c>
      <c r="B3243" s="3" t="inlineStr">
        <is>
          <t>엔지켐생명과학</t>
        </is>
      </c>
      <c r="C3243" s="2" t="inlineStr">
        <is>
          <t>183490</t>
        </is>
      </c>
      <c r="D3243" s="2" t="inlineStr">
        <is>
          <t>대량보유</t>
        </is>
      </c>
      <c r="E3243" s="3" t="inlineStr">
        <is>
          <t>이희선</t>
        </is>
      </c>
      <c r="F3243" s="3" t="inlineStr">
        <is>
          <t>특별관계자</t>
        </is>
      </c>
      <c r="G3243" s="3" t="inlineStr">
        <is>
          <t>신규보고(+)</t>
        </is>
      </c>
      <c r="H3243" s="15" t="n">
        <v>9132</v>
      </c>
      <c r="I3243" s="6" t="inlineStr"/>
      <c r="J3243" s="6" t="n">
        <v>3044</v>
      </c>
      <c r="K3243" s="16" t="n">
        <v>5.95</v>
      </c>
      <c r="L3243" s="2" t="inlineStr">
        <is>
          <t>20260605000186</t>
        </is>
      </c>
      <c r="M3243" s="8">
        <f>HYPERLINK("https://dart.fss.or.kr/dsaf001/main.do?rcpNo=20260605000186", "공시열람")</f>
        <v/>
      </c>
    </row>
    <row r="3244" ht="22" customHeight="1">
      <c r="A3244" s="2" t="inlineStr">
        <is>
          <t>2026-06-05</t>
        </is>
      </c>
      <c r="B3244" s="3" t="inlineStr">
        <is>
          <t>엔지켐생명과학</t>
        </is>
      </c>
      <c r="C3244" s="2" t="inlineStr">
        <is>
          <t>183490</t>
        </is>
      </c>
      <c r="D3244" s="2" t="inlineStr">
        <is>
          <t>대량보유</t>
        </is>
      </c>
      <c r="E3244" s="3" t="inlineStr">
        <is>
          <t>유영수</t>
        </is>
      </c>
      <c r="F3244" s="3" t="inlineStr">
        <is>
          <t>특별관계자</t>
        </is>
      </c>
      <c r="G3244" s="3" t="inlineStr">
        <is>
          <t>신규보고(+)</t>
        </is>
      </c>
      <c r="H3244" s="15" t="n">
        <v>31500</v>
      </c>
      <c r="I3244" s="6" t="inlineStr"/>
      <c r="J3244" s="6" t="n">
        <v>10500</v>
      </c>
      <c r="K3244" s="16" t="n">
        <v>5.95</v>
      </c>
      <c r="L3244" s="2" t="inlineStr">
        <is>
          <t>20260605000186</t>
        </is>
      </c>
      <c r="M3244" s="8">
        <f>HYPERLINK("https://dart.fss.or.kr/dsaf001/main.do?rcpNo=20260605000186", "공시열람")</f>
        <v/>
      </c>
    </row>
    <row r="3245" ht="22" customHeight="1">
      <c r="A3245" s="2" t="inlineStr">
        <is>
          <t>2026-06-05</t>
        </is>
      </c>
      <c r="B3245" s="3" t="inlineStr">
        <is>
          <t>엔지켐생명과학</t>
        </is>
      </c>
      <c r="C3245" s="2" t="inlineStr">
        <is>
          <t>183490</t>
        </is>
      </c>
      <c r="D3245" s="2" t="inlineStr">
        <is>
          <t>대량보유</t>
        </is>
      </c>
      <c r="E3245" s="3" t="inlineStr">
        <is>
          <t>주준기</t>
        </is>
      </c>
      <c r="F3245" s="3" t="inlineStr">
        <is>
          <t>특별관계자</t>
        </is>
      </c>
      <c r="G3245" s="3" t="inlineStr">
        <is>
          <t>신규보고(+)</t>
        </is>
      </c>
      <c r="H3245" s="15" t="n">
        <v>79800</v>
      </c>
      <c r="I3245" s="6" t="inlineStr"/>
      <c r="J3245" s="6" t="n">
        <v>26600</v>
      </c>
      <c r="K3245" s="16" t="n">
        <v>5.95</v>
      </c>
      <c r="L3245" s="2" t="inlineStr">
        <is>
          <t>20260605000186</t>
        </is>
      </c>
      <c r="M3245" s="8">
        <f>HYPERLINK("https://dart.fss.or.kr/dsaf001/main.do?rcpNo=20260605000186", "공시열람")</f>
        <v/>
      </c>
    </row>
    <row r="3246" ht="22" customHeight="1">
      <c r="A3246" s="2" t="inlineStr">
        <is>
          <t>2026-06-05</t>
        </is>
      </c>
      <c r="B3246" s="3" t="inlineStr">
        <is>
          <t>엔지켐생명과학</t>
        </is>
      </c>
      <c r="C3246" s="2" t="inlineStr">
        <is>
          <t>183490</t>
        </is>
      </c>
      <c r="D3246" s="2" t="inlineStr">
        <is>
          <t>대량보유</t>
        </is>
      </c>
      <c r="E3246" s="3" t="inlineStr">
        <is>
          <t>손계숙</t>
        </is>
      </c>
      <c r="F3246" s="3" t="inlineStr">
        <is>
          <t>특별관계자</t>
        </is>
      </c>
      <c r="G3246" s="3" t="inlineStr">
        <is>
          <t>신규보고(+)</t>
        </is>
      </c>
      <c r="H3246" s="15" t="n">
        <v>13650</v>
      </c>
      <c r="I3246" s="6" t="inlineStr"/>
      <c r="J3246" s="6" t="n">
        <v>4550</v>
      </c>
      <c r="K3246" s="16" t="n">
        <v>5.95</v>
      </c>
      <c r="L3246" s="2" t="inlineStr">
        <is>
          <t>20260605000186</t>
        </is>
      </c>
      <c r="M3246" s="8">
        <f>HYPERLINK("https://dart.fss.or.kr/dsaf001/main.do?rcpNo=20260605000186", "공시열람")</f>
        <v/>
      </c>
    </row>
    <row r="3247" ht="22" customHeight="1">
      <c r="A3247" s="2" t="inlineStr">
        <is>
          <t>2026-06-05</t>
        </is>
      </c>
      <c r="B3247" s="3" t="inlineStr">
        <is>
          <t>엔지켐생명과학</t>
        </is>
      </c>
      <c r="C3247" s="2" t="inlineStr">
        <is>
          <t>183490</t>
        </is>
      </c>
      <c r="D3247" s="2" t="inlineStr">
        <is>
          <t>대량보유</t>
        </is>
      </c>
      <c r="E3247" s="3" t="inlineStr">
        <is>
          <t>홍금님</t>
        </is>
      </c>
      <c r="F3247" s="3" t="inlineStr">
        <is>
          <t>특별관계자</t>
        </is>
      </c>
      <c r="G3247" s="3" t="inlineStr">
        <is>
          <t>신규보고(+)</t>
        </is>
      </c>
      <c r="H3247" s="15" t="n">
        <v>29196</v>
      </c>
      <c r="I3247" s="6" t="inlineStr"/>
      <c r="J3247" s="6" t="n">
        <v>9732</v>
      </c>
      <c r="K3247" s="16" t="n">
        <v>5.95</v>
      </c>
      <c r="L3247" s="2" t="inlineStr">
        <is>
          <t>20260605000186</t>
        </is>
      </c>
      <c r="M3247" s="8">
        <f>HYPERLINK("https://dart.fss.or.kr/dsaf001/main.do?rcpNo=20260605000186", "공시열람")</f>
        <v/>
      </c>
    </row>
    <row r="3248" ht="22" customHeight="1">
      <c r="A3248" s="2" t="inlineStr">
        <is>
          <t>2026-06-05</t>
        </is>
      </c>
      <c r="B3248" s="3" t="inlineStr">
        <is>
          <t>엔지켐생명과학</t>
        </is>
      </c>
      <c r="C3248" s="2" t="inlineStr">
        <is>
          <t>183490</t>
        </is>
      </c>
      <c r="D3248" s="2" t="inlineStr">
        <is>
          <t>대량보유</t>
        </is>
      </c>
      <c r="E3248" s="3" t="inlineStr">
        <is>
          <t>송호림</t>
        </is>
      </c>
      <c r="F3248" s="3" t="inlineStr">
        <is>
          <t>특별관계자</t>
        </is>
      </c>
      <c r="G3248" s="3" t="inlineStr">
        <is>
          <t>신규보고(+)</t>
        </is>
      </c>
      <c r="H3248" s="15" t="n">
        <v>195510</v>
      </c>
      <c r="I3248" s="6" t="inlineStr"/>
      <c r="J3248" s="6" t="n">
        <v>65170</v>
      </c>
      <c r="K3248" s="16" t="n">
        <v>5.95</v>
      </c>
      <c r="L3248" s="2" t="inlineStr">
        <is>
          <t>20260605000186</t>
        </is>
      </c>
      <c r="M3248" s="8">
        <f>HYPERLINK("https://dart.fss.or.kr/dsaf001/main.do?rcpNo=20260605000186", "공시열람")</f>
        <v/>
      </c>
    </row>
    <row r="3249" ht="22" customHeight="1">
      <c r="A3249" s="2" t="inlineStr">
        <is>
          <t>2026-06-05</t>
        </is>
      </c>
      <c r="B3249" s="3" t="inlineStr">
        <is>
          <t>엔지켐생명과학</t>
        </is>
      </c>
      <c r="C3249" s="2" t="inlineStr">
        <is>
          <t>183490</t>
        </is>
      </c>
      <c r="D3249" s="2" t="inlineStr">
        <is>
          <t>대량보유</t>
        </is>
      </c>
      <c r="E3249" s="3" t="inlineStr">
        <is>
          <t>김정국</t>
        </is>
      </c>
      <c r="F3249" s="3" t="inlineStr">
        <is>
          <t>특별관계자</t>
        </is>
      </c>
      <c r="G3249" s="3" t="inlineStr">
        <is>
          <t>신규보고(+)</t>
        </is>
      </c>
      <c r="H3249" s="15" t="n">
        <v>852681</v>
      </c>
      <c r="I3249" s="6" t="inlineStr"/>
      <c r="J3249" s="6" t="n">
        <v>284227</v>
      </c>
      <c r="K3249" s="16" t="n">
        <v>5.95</v>
      </c>
      <c r="L3249" s="2" t="inlineStr">
        <is>
          <t>20260605000186</t>
        </is>
      </c>
      <c r="M3249" s="8">
        <f>HYPERLINK("https://dart.fss.or.kr/dsaf001/main.do?rcpNo=20260605000186", "공시열람")</f>
        <v/>
      </c>
    </row>
    <row r="3250" ht="22" customHeight="1">
      <c r="A3250" s="2" t="inlineStr">
        <is>
          <t>2026-06-05</t>
        </is>
      </c>
      <c r="B3250" s="3" t="inlineStr">
        <is>
          <t>엔지켐생명과학</t>
        </is>
      </c>
      <c r="C3250" s="2" t="inlineStr">
        <is>
          <t>183490</t>
        </is>
      </c>
      <c r="D3250" s="2" t="inlineStr">
        <is>
          <t>대량보유</t>
        </is>
      </c>
      <c r="E3250" s="3" t="inlineStr">
        <is>
          <t>조진호</t>
        </is>
      </c>
      <c r="F3250" s="3" t="inlineStr">
        <is>
          <t>특별관계자</t>
        </is>
      </c>
      <c r="G3250" s="3" t="inlineStr">
        <is>
          <t>신규보고(+)</t>
        </is>
      </c>
      <c r="H3250" s="15" t="n">
        <v>198924</v>
      </c>
      <c r="I3250" s="6" t="inlineStr"/>
      <c r="J3250" s="6" t="n">
        <v>66308</v>
      </c>
      <c r="K3250" s="16" t="n">
        <v>5.95</v>
      </c>
      <c r="L3250" s="2" t="inlineStr">
        <is>
          <t>20260605000186</t>
        </is>
      </c>
      <c r="M3250" s="8">
        <f>HYPERLINK("https://dart.fss.or.kr/dsaf001/main.do?rcpNo=20260605000186", "공시열람")</f>
        <v/>
      </c>
    </row>
    <row r="3251" ht="22" customHeight="1">
      <c r="A3251" s="2" t="inlineStr">
        <is>
          <t>2026-06-05</t>
        </is>
      </c>
      <c r="B3251" s="3" t="inlineStr">
        <is>
          <t>엔지켐생명과학</t>
        </is>
      </c>
      <c r="C3251" s="2" t="inlineStr">
        <is>
          <t>183490</t>
        </is>
      </c>
      <c r="D3251" s="2" t="inlineStr">
        <is>
          <t>대량보유</t>
        </is>
      </c>
      <c r="E3251" s="3" t="inlineStr">
        <is>
          <t>허은형</t>
        </is>
      </c>
      <c r="F3251" s="3" t="inlineStr">
        <is>
          <t>특별관계자</t>
        </is>
      </c>
      <c r="G3251" s="3" t="inlineStr">
        <is>
          <t>신규보고(+)</t>
        </is>
      </c>
      <c r="H3251" s="15" t="n">
        <v>350073</v>
      </c>
      <c r="I3251" s="6" t="inlineStr"/>
      <c r="J3251" s="6" t="n">
        <v>116691</v>
      </c>
      <c r="K3251" s="16" t="n">
        <v>5.95</v>
      </c>
      <c r="L3251" s="2" t="inlineStr">
        <is>
          <t>20260605000186</t>
        </is>
      </c>
      <c r="M3251" s="8">
        <f>HYPERLINK("https://dart.fss.or.kr/dsaf001/main.do?rcpNo=20260605000186", "공시열람")</f>
        <v/>
      </c>
    </row>
    <row r="3252" ht="22" customHeight="1">
      <c r="A3252" s="2" t="inlineStr">
        <is>
          <t>2026-06-05</t>
        </is>
      </c>
      <c r="B3252" s="3" t="inlineStr">
        <is>
          <t>엔지켐생명과학</t>
        </is>
      </c>
      <c r="C3252" s="2" t="inlineStr">
        <is>
          <t>183490</t>
        </is>
      </c>
      <c r="D3252" s="2" t="inlineStr">
        <is>
          <t>대량보유</t>
        </is>
      </c>
      <c r="E3252" s="3" t="inlineStr">
        <is>
          <t>김윤수</t>
        </is>
      </c>
      <c r="F3252" s="3" t="inlineStr">
        <is>
          <t>특별관계자</t>
        </is>
      </c>
      <c r="G3252" s="3" t="inlineStr">
        <is>
          <t>신규보고(+)</t>
        </is>
      </c>
      <c r="H3252" s="15" t="n">
        <v>64890</v>
      </c>
      <c r="I3252" s="6" t="inlineStr"/>
      <c r="J3252" s="6" t="n">
        <v>21630</v>
      </c>
      <c r="K3252" s="16" t="n">
        <v>5.95</v>
      </c>
      <c r="L3252" s="2" t="inlineStr">
        <is>
          <t>20260605000186</t>
        </is>
      </c>
      <c r="M3252" s="8">
        <f>HYPERLINK("https://dart.fss.or.kr/dsaf001/main.do?rcpNo=20260605000186", "공시열람")</f>
        <v/>
      </c>
    </row>
    <row r="3253" ht="22" customHeight="1">
      <c r="A3253" s="2" t="inlineStr">
        <is>
          <t>2026-06-05</t>
        </is>
      </c>
      <c r="B3253" s="3" t="inlineStr">
        <is>
          <t>그리티</t>
        </is>
      </c>
      <c r="C3253" s="2" t="inlineStr">
        <is>
          <t>204020</t>
        </is>
      </c>
      <c r="D3253" s="2" t="inlineStr">
        <is>
          <t>대량보유</t>
        </is>
      </c>
      <c r="E3253" s="3" t="inlineStr">
        <is>
          <t>문영우</t>
        </is>
      </c>
      <c r="F3253" s="3" t="inlineStr">
        <is>
          <t>특별관계자</t>
        </is>
      </c>
      <c r="G3253" s="3" t="inlineStr">
        <is>
          <t>장내매수(+)</t>
        </is>
      </c>
      <c r="H3253" s="15" t="n">
        <v>26763</v>
      </c>
      <c r="I3253" s="6" t="n">
        <v>2296</v>
      </c>
      <c r="J3253" s="6" t="n">
        <v>7194272</v>
      </c>
      <c r="K3253" s="16" t="n">
        <v>6</v>
      </c>
      <c r="L3253" s="2" t="inlineStr">
        <is>
          <t>20260605000169</t>
        </is>
      </c>
      <c r="M3253" s="8">
        <f>HYPERLINK("https://dart.fss.or.kr/dsaf001/main.do?rcpNo=20260605000169", "공시열람")</f>
        <v/>
      </c>
    </row>
    <row r="3254" ht="22" customHeight="1">
      <c r="A3254" s="2" t="inlineStr">
        <is>
          <t>2026-06-05</t>
        </is>
      </c>
      <c r="B3254" s="3" t="inlineStr">
        <is>
          <t>그리티</t>
        </is>
      </c>
      <c r="C3254" s="2" t="inlineStr">
        <is>
          <t>204020</t>
        </is>
      </c>
      <c r="D3254" s="2" t="inlineStr">
        <is>
          <t>대량보유</t>
        </is>
      </c>
      <c r="E3254" s="3" t="inlineStr">
        <is>
          <t>문명기</t>
        </is>
      </c>
      <c r="F3254" s="3" t="inlineStr">
        <is>
          <t>특별관계자</t>
        </is>
      </c>
      <c r="G3254" s="3" t="inlineStr">
        <is>
          <t>장내매수(+)</t>
        </is>
      </c>
      <c r="H3254" s="15" t="n">
        <v>208267</v>
      </c>
      <c r="I3254" s="6" t="n">
        <v>2278</v>
      </c>
      <c r="J3254" s="6" t="n">
        <v>633377</v>
      </c>
      <c r="K3254" s="16" t="n">
        <v>6</v>
      </c>
      <c r="L3254" s="2" t="inlineStr">
        <is>
          <t>20260605000169</t>
        </is>
      </c>
      <c r="M3254" s="8">
        <f>HYPERLINK("https://dart.fss.or.kr/dsaf001/main.do?rcpNo=20260605000169", "공시열람")</f>
        <v/>
      </c>
    </row>
    <row r="3255" ht="22" customHeight="1">
      <c r="A3255" s="2" t="inlineStr">
        <is>
          <t>2026-06-05</t>
        </is>
      </c>
      <c r="B3255" s="3" t="inlineStr">
        <is>
          <t>미원상사</t>
        </is>
      </c>
      <c r="C3255" s="2" t="inlineStr">
        <is>
          <t>002840</t>
        </is>
      </c>
      <c r="D3255" s="2" t="inlineStr">
        <is>
          <t>임원보고</t>
        </is>
      </c>
      <c r="E3255" s="3" t="inlineStr">
        <is>
          <t>-</t>
        </is>
      </c>
      <c r="F3255" s="3" t="inlineStr">
        <is>
          <t>-</t>
        </is>
      </c>
      <c r="G3255" s="3" t="inlineStr">
        <is>
          <t>-</t>
        </is>
      </c>
      <c r="H3255" s="6" t="inlineStr"/>
      <c r="I3255" s="6" t="inlineStr"/>
      <c r="J3255" s="6" t="inlineStr"/>
      <c r="K3255" s="16" t="n">
        <v>12</v>
      </c>
      <c r="L3255" s="2" t="inlineStr">
        <is>
          <t>20260605800303</t>
        </is>
      </c>
      <c r="M3255" s="8">
        <f>HYPERLINK("https://dart.fss.or.kr/dsaf001/main.do?rcpNo=20260605800303", "공시열람")</f>
        <v/>
      </c>
    </row>
    <row r="3256" ht="22" customHeight="1">
      <c r="A3256" s="2" t="inlineStr">
        <is>
          <t>2026-06-05 (정정: 2026-06-18)</t>
        </is>
      </c>
      <c r="B3256" s="3" t="inlineStr">
        <is>
          <t>우성머티리얼스</t>
        </is>
      </c>
      <c r="C3256" s="2" t="inlineStr">
        <is>
          <t>011300</t>
        </is>
      </c>
      <c r="D3256" s="2" t="inlineStr">
        <is>
          <t>대량보유</t>
        </is>
      </c>
      <c r="E3256" s="3" t="inlineStr">
        <is>
          <t>-</t>
        </is>
      </c>
      <c r="F3256" s="3" t="inlineStr">
        <is>
          <t>보고자</t>
        </is>
      </c>
      <c r="G3256" s="3" t="inlineStr">
        <is>
          <t>-</t>
        </is>
      </c>
      <c r="H3256" s="6" t="inlineStr"/>
      <c r="I3256" s="6" t="inlineStr"/>
      <c r="J3256" s="6" t="inlineStr"/>
      <c r="K3256" s="18" t="inlineStr"/>
      <c r="L3256" s="2" t="inlineStr">
        <is>
          <t>20260617000505</t>
        </is>
      </c>
      <c r="M3256" s="8">
        <f>HYPERLINK("https://dart.fss.or.kr/dsaf001/main.do?rcpNo=20260617000505", "공시열람")</f>
        <v/>
      </c>
    </row>
    <row r="3257" ht="22" customHeight="1">
      <c r="A3257" s="2" t="inlineStr">
        <is>
          <t>2026-06-05</t>
        </is>
      </c>
      <c r="B3257" s="3" t="inlineStr">
        <is>
          <t>파버나인</t>
        </is>
      </c>
      <c r="C3257" s="2" t="inlineStr">
        <is>
          <t>177830</t>
        </is>
      </c>
      <c r="D3257" s="2" t="inlineStr">
        <is>
          <t>대량보유</t>
        </is>
      </c>
      <c r="E3257" s="3" t="inlineStr">
        <is>
          <t>오라이언자산운용(주)</t>
        </is>
      </c>
      <c r="F3257" s="3" t="inlineStr">
        <is>
          <t>특별관계자</t>
        </is>
      </c>
      <c r="G3257" s="3" t="inlineStr">
        <is>
          <t>장외매도(-)</t>
        </is>
      </c>
      <c r="H3257" s="17" t="n">
        <v>-272573</v>
      </c>
      <c r="I3257" s="6" t="n">
        <v>2935</v>
      </c>
      <c r="J3257" s="6" t="n">
        <v>1036570</v>
      </c>
      <c r="K3257" s="16" t="n">
        <v>7.13</v>
      </c>
      <c r="L3257" s="2" t="inlineStr">
        <is>
          <t>20260605000146</t>
        </is>
      </c>
      <c r="M3257" s="8">
        <f>HYPERLINK("https://dart.fss.or.kr/dsaf001/main.do?rcpNo=20260605000146", "공시열람")</f>
        <v/>
      </c>
    </row>
    <row r="3258" ht="22" customHeight="1">
      <c r="A3258" s="2" t="inlineStr">
        <is>
          <t>2026-06-05</t>
        </is>
      </c>
      <c r="B3258" s="3" t="inlineStr">
        <is>
          <t>브이엠</t>
        </is>
      </c>
      <c r="C3258" s="2" t="inlineStr">
        <is>
          <t>089970</t>
        </is>
      </c>
      <c r="D3258" s="2" t="inlineStr">
        <is>
          <t>대량보유</t>
        </is>
      </c>
      <c r="E3258" s="3" t="inlineStr">
        <is>
          <t>J.P.MorganSecuritiesPLC</t>
        </is>
      </c>
      <c r="F3258" s="3" t="inlineStr">
        <is>
          <t>특별관계자</t>
        </is>
      </c>
      <c r="G3258" s="3" t="inlineStr">
        <is>
          <t>장내매도(-), 장내매수(+), 기타(+)</t>
        </is>
      </c>
      <c r="H3258" s="15" t="n">
        <v>102391</v>
      </c>
      <c r="I3258" s="6" t="n">
        <v>55138</v>
      </c>
      <c r="J3258" s="6" t="n">
        <v>1436097</v>
      </c>
      <c r="K3258" s="16" t="n">
        <v>2</v>
      </c>
      <c r="L3258" s="2" t="inlineStr">
        <is>
          <t>20260605000134</t>
        </is>
      </c>
      <c r="M3258" s="8">
        <f>HYPERLINK("https://dart.fss.or.kr/dsaf001/main.do?rcpNo=20260605000134", "공시열람")</f>
        <v/>
      </c>
    </row>
    <row r="3259" ht="22" customHeight="1">
      <c r="A3259" s="2" t="inlineStr">
        <is>
          <t>2026-06-05</t>
        </is>
      </c>
      <c r="B3259" s="3" t="inlineStr">
        <is>
          <t>브이엠</t>
        </is>
      </c>
      <c r="C3259" s="2" t="inlineStr">
        <is>
          <t>089970</t>
        </is>
      </c>
      <c r="D3259" s="2" t="inlineStr">
        <is>
          <t>대량보유</t>
        </is>
      </c>
      <c r="E3259" s="3" t="inlineStr">
        <is>
          <t>J.P.MorganSecuritiesLLC</t>
        </is>
      </c>
      <c r="F3259" s="3" t="inlineStr">
        <is>
          <t>특별관계자</t>
        </is>
      </c>
      <c r="G3259" s="3" t="inlineStr">
        <is>
          <t>기타(-), 기타(+)</t>
        </is>
      </c>
      <c r="H3259" s="6" t="inlineStr"/>
      <c r="I3259" s="6" t="inlineStr"/>
      <c r="J3259" s="6" t="n">
        <v>5726</v>
      </c>
      <c r="K3259" s="16" t="n">
        <v>2</v>
      </c>
      <c r="L3259" s="2" t="inlineStr">
        <is>
          <t>20260605000134</t>
        </is>
      </c>
      <c r="M3259" s="8">
        <f>HYPERLINK("https://dart.fss.or.kr/dsaf001/main.do?rcpNo=20260605000134", "공시열람")</f>
        <v/>
      </c>
    </row>
    <row r="3260" ht="22" customHeight="1">
      <c r="A3260" s="2" t="inlineStr">
        <is>
          <t>2026-06-05</t>
        </is>
      </c>
      <c r="B3260" s="3" t="inlineStr">
        <is>
          <t>오리온</t>
        </is>
      </c>
      <c r="C3260" s="2" t="inlineStr">
        <is>
          <t>271560</t>
        </is>
      </c>
      <c r="D3260" s="2" t="inlineStr">
        <is>
          <t>대량보유</t>
        </is>
      </c>
      <c r="E3260" s="3" t="inlineStr">
        <is>
          <t>(주)오리온홀딩스</t>
        </is>
      </c>
      <c r="F3260" s="3" t="inlineStr">
        <is>
          <t>보고자</t>
        </is>
      </c>
      <c r="G3260" s="3" t="inlineStr">
        <is>
          <t>주요계약 내용 변경</t>
        </is>
      </c>
      <c r="H3260" s="6" t="inlineStr"/>
      <c r="I3260" s="6" t="inlineStr"/>
      <c r="J3260" s="6" t="n">
        <v>17321233</v>
      </c>
      <c r="K3260" s="16" t="n">
        <v>10</v>
      </c>
      <c r="L3260" s="2" t="inlineStr">
        <is>
          <t>20260605000116</t>
        </is>
      </c>
      <c r="M3260" s="8">
        <f>HYPERLINK("https://dart.fss.or.kr/dsaf001/main.do?rcpNo=20260605000116", "공시열람")</f>
        <v/>
      </c>
    </row>
    <row r="3261" ht="22" customHeight="1">
      <c r="A3261" s="2" t="inlineStr">
        <is>
          <t>2026-06-05</t>
        </is>
      </c>
      <c r="B3261" s="3" t="inlineStr">
        <is>
          <t>디와이씨</t>
        </is>
      </c>
      <c r="C3261" s="2" t="inlineStr">
        <is>
          <t>310870</t>
        </is>
      </c>
      <c r="D3261" s="2" t="inlineStr">
        <is>
          <t>대량보유</t>
        </is>
      </c>
      <c r="E3261" s="3" t="inlineStr">
        <is>
          <t>엘아이지디펜스앤에어로스페이스주식회사</t>
        </is>
      </c>
      <c r="F3261" s="3" t="inlineStr">
        <is>
          <t>특별관계자</t>
        </is>
      </c>
      <c r="G3261" s="3" t="inlineStr">
        <is>
          <t>제3자배정유상증자(+)</t>
        </is>
      </c>
      <c r="H3261" s="15" t="n">
        <v>1235331</v>
      </c>
      <c r="I3261" s="6" t="n">
        <v>1619</v>
      </c>
      <c r="J3261" s="6" t="n">
        <v>1235331</v>
      </c>
      <c r="K3261" s="16" t="n">
        <v>5.63</v>
      </c>
      <c r="L3261" s="2" t="inlineStr">
        <is>
          <t>20260605000110</t>
        </is>
      </c>
      <c r="M3261" s="8">
        <f>HYPERLINK("https://dart.fss.or.kr/dsaf001/main.do?rcpNo=20260605000110", "공시열람")</f>
        <v/>
      </c>
    </row>
    <row r="3262" ht="22" customHeight="1">
      <c r="A3262" s="2" t="inlineStr">
        <is>
          <t>2026-06-05</t>
        </is>
      </c>
      <c r="B3262" s="3" t="inlineStr">
        <is>
          <t>한스바이오메드</t>
        </is>
      </c>
      <c r="C3262" s="2" t="inlineStr">
        <is>
          <t>042520</t>
        </is>
      </c>
      <c r="D3262" s="2" t="inlineStr">
        <is>
          <t>대량보유</t>
        </is>
      </c>
      <c r="E3262" s="3" t="inlineStr">
        <is>
          <t>한국투자신탁운용</t>
        </is>
      </c>
      <c r="F3262" s="3" t="inlineStr">
        <is>
          <t>특별관계자</t>
        </is>
      </c>
      <c r="G3262" s="3" t="inlineStr">
        <is>
          <t>신규보고(+)</t>
        </is>
      </c>
      <c r="H3262" s="15" t="n">
        <v>45119</v>
      </c>
      <c r="I3262" s="6" t="n">
        <v>30102</v>
      </c>
      <c r="J3262" s="6" t="n">
        <v>730811</v>
      </c>
      <c r="K3262" s="16" t="n">
        <v>5.12</v>
      </c>
      <c r="L3262" s="2" t="inlineStr">
        <is>
          <t>20260605000106</t>
        </is>
      </c>
      <c r="M3262" s="8">
        <f>HYPERLINK("https://dart.fss.or.kr/dsaf001/main.do?rcpNo=20260605000106", "공시열람")</f>
        <v/>
      </c>
    </row>
    <row r="3263" ht="22" customHeight="1">
      <c r="A3263" s="2" t="inlineStr">
        <is>
          <t>2026-06-05</t>
        </is>
      </c>
      <c r="B3263" s="3" t="inlineStr">
        <is>
          <t>웅진씽크빅</t>
        </is>
      </c>
      <c r="C3263" s="2" t="inlineStr">
        <is>
          <t>095720</t>
        </is>
      </c>
      <c r="D3263" s="2" t="inlineStr">
        <is>
          <t>임원보고</t>
        </is>
      </c>
      <c r="E3263" s="3" t="inlineStr">
        <is>
          <t>-</t>
        </is>
      </c>
      <c r="F3263" s="3" t="inlineStr">
        <is>
          <t>-</t>
        </is>
      </c>
      <c r="G3263" s="3" t="inlineStr">
        <is>
          <t>-</t>
        </is>
      </c>
      <c r="H3263" s="6" t="inlineStr"/>
      <c r="I3263" s="6" t="inlineStr"/>
      <c r="J3263" s="6" t="inlineStr"/>
      <c r="K3263" s="16" t="n">
        <v>12</v>
      </c>
      <c r="L3263" s="2" t="inlineStr">
        <is>
          <t>20260605800200</t>
        </is>
      </c>
      <c r="M3263" s="8">
        <f>HYPERLINK("https://dart.fss.or.kr/dsaf001/main.do?rcpNo=20260605800200", "공시열람")</f>
        <v/>
      </c>
    </row>
    <row r="3264" ht="22" customHeight="1">
      <c r="A3264" s="2" t="inlineStr">
        <is>
          <t>2026-06-05</t>
        </is>
      </c>
      <c r="B3264" s="3" t="inlineStr">
        <is>
          <t>서울옥션</t>
        </is>
      </c>
      <c r="C3264" s="2" t="inlineStr">
        <is>
          <t>063170</t>
        </is>
      </c>
      <c r="D3264" s="2" t="inlineStr">
        <is>
          <t>대량보유</t>
        </is>
      </c>
      <c r="E3264" s="3" t="inlineStr">
        <is>
          <t>이상미</t>
        </is>
      </c>
      <c r="F3264" s="3" t="inlineStr">
        <is>
          <t>특별관계자</t>
        </is>
      </c>
      <c r="G3264" s="3" t="inlineStr">
        <is>
          <t>장내매수(+)</t>
        </is>
      </c>
      <c r="H3264" s="15" t="n">
        <v>4700</v>
      </c>
      <c r="I3264" s="6" t="n">
        <v>5624</v>
      </c>
      <c r="J3264" s="6" t="n">
        <v>4700</v>
      </c>
      <c r="K3264" s="16" t="n">
        <v>12</v>
      </c>
      <c r="L3264" s="2" t="inlineStr">
        <is>
          <t>20260605000085</t>
        </is>
      </c>
      <c r="M3264" s="8">
        <f>HYPERLINK("https://dart.fss.or.kr/dsaf001/main.do?rcpNo=20260605000085", "공시열람")</f>
        <v/>
      </c>
    </row>
    <row r="3265" ht="22" customHeight="1">
      <c r="A3265" s="2" t="inlineStr">
        <is>
          <t>2026-06-05</t>
        </is>
      </c>
      <c r="B3265" s="3" t="inlineStr">
        <is>
          <t>더존비즈온</t>
        </is>
      </c>
      <c r="C3265" s="2" t="inlineStr">
        <is>
          <t>012510</t>
        </is>
      </c>
      <c r="D3265" s="2" t="inlineStr">
        <is>
          <t>임원보고</t>
        </is>
      </c>
      <c r="E3265" s="3" t="inlineStr">
        <is>
          <t>-</t>
        </is>
      </c>
      <c r="F3265" s="3" t="inlineStr">
        <is>
          <t>-</t>
        </is>
      </c>
      <c r="G3265" s="3" t="inlineStr">
        <is>
          <t>-</t>
        </is>
      </c>
      <c r="H3265" s="6" t="inlineStr"/>
      <c r="I3265" s="6" t="inlineStr"/>
      <c r="J3265" s="6" t="inlineStr"/>
      <c r="K3265" s="16" t="n">
        <v>12</v>
      </c>
      <c r="L3265" s="2" t="inlineStr">
        <is>
          <t>20260605800158</t>
        </is>
      </c>
      <c r="M3265" s="8">
        <f>HYPERLINK("https://dart.fss.or.kr/dsaf001/main.do?rcpNo=20260605800158", "공시열람")</f>
        <v/>
      </c>
    </row>
    <row r="3266" ht="22" customHeight="1">
      <c r="A3266" s="2" t="inlineStr">
        <is>
          <t>2026-06-05</t>
        </is>
      </c>
      <c r="B3266" s="3" t="inlineStr">
        <is>
          <t>옵트론텍</t>
        </is>
      </c>
      <c r="C3266" s="2" t="inlineStr">
        <is>
          <t>082210</t>
        </is>
      </c>
      <c r="D3266" s="2" t="inlineStr">
        <is>
          <t>대량보유</t>
        </is>
      </c>
      <c r="E3266" s="3" t="inlineStr">
        <is>
          <t>노틱그린이노베이션션이에스지사모투자합자회사</t>
        </is>
      </c>
      <c r="F3266" s="3" t="inlineStr">
        <is>
          <t>특별관계자</t>
        </is>
      </c>
      <c r="G3266" s="3" t="inlineStr">
        <is>
          <t>기타(-)</t>
        </is>
      </c>
      <c r="H3266" s="17" t="n">
        <v>-1803751</v>
      </c>
      <c r="I3266" s="6" t="n">
        <v>2772</v>
      </c>
      <c r="J3266" s="6" t="inlineStr"/>
      <c r="K3266" s="16" t="n">
        <v>1</v>
      </c>
      <c r="L3266" s="2" t="inlineStr">
        <is>
          <t>20260605000052</t>
        </is>
      </c>
      <c r="M3266" s="8">
        <f>HYPERLINK("https://dart.fss.or.kr/dsaf001/main.do?rcpNo=20260605000052", "공시열람")</f>
        <v/>
      </c>
    </row>
    <row r="3267" ht="22" customHeight="1">
      <c r="A3267" s="2" t="inlineStr">
        <is>
          <t>2026-06-05</t>
        </is>
      </c>
      <c r="B3267" s="3" t="inlineStr">
        <is>
          <t>오상자이엘</t>
        </is>
      </c>
      <c r="C3267" s="2" t="inlineStr">
        <is>
          <t>053980</t>
        </is>
      </c>
      <c r="D3267" s="2" t="inlineStr">
        <is>
          <t>대량보유</t>
        </is>
      </c>
      <c r="E3267" s="3" t="inlineStr">
        <is>
          <t>김선기</t>
        </is>
      </c>
      <c r="F3267" s="3" t="inlineStr">
        <is>
          <t>특별관계자</t>
        </is>
      </c>
      <c r="G3267" s="3" t="inlineStr">
        <is>
          <t>장내매수(+)</t>
        </is>
      </c>
      <c r="H3267" s="15" t="n">
        <v>30000</v>
      </c>
      <c r="I3267" s="6" t="n">
        <v>2633</v>
      </c>
      <c r="J3267" s="6" t="n">
        <v>140000</v>
      </c>
      <c r="K3267" s="16" t="n">
        <v>5</v>
      </c>
      <c r="L3267" s="2" t="inlineStr">
        <is>
          <t>20260605000047</t>
        </is>
      </c>
      <c r="M3267" s="8">
        <f>HYPERLINK("https://dart.fss.or.kr/dsaf001/main.do?rcpNo=20260605000047", "공시열람")</f>
        <v/>
      </c>
    </row>
    <row r="3268" ht="22" customHeight="1">
      <c r="A3268" s="2" t="inlineStr">
        <is>
          <t>2026-06-05</t>
        </is>
      </c>
      <c r="B3268" s="3" t="inlineStr">
        <is>
          <t>남양유업</t>
        </is>
      </c>
      <c r="C3268" s="2" t="inlineStr">
        <is>
          <t>003920</t>
        </is>
      </c>
      <c r="D3268" s="2" t="inlineStr">
        <is>
          <t>대량보유</t>
        </is>
      </c>
      <c r="E3268" s="3" t="inlineStr">
        <is>
          <t>한앤코유업홀딩스유한회사</t>
        </is>
      </c>
      <c r="F3268" s="3" t="inlineStr">
        <is>
          <t>특별관계자</t>
        </is>
      </c>
      <c r="G3268" s="3" t="inlineStr">
        <is>
          <t>장내매도(-)</t>
        </is>
      </c>
      <c r="H3268" s="17" t="n">
        <v>-72802</v>
      </c>
      <c r="I3268" s="6" t="n">
        <v>49370</v>
      </c>
      <c r="J3268" s="6" t="n">
        <v>3645586</v>
      </c>
      <c r="K3268" s="16" t="n">
        <v>3</v>
      </c>
      <c r="L3268" s="2" t="inlineStr">
        <is>
          <t>20260605000041</t>
        </is>
      </c>
      <c r="M3268" s="8">
        <f>HYPERLINK("https://dart.fss.or.kr/dsaf001/main.do?rcpNo=20260605000041", "공시열람")</f>
        <v/>
      </c>
    </row>
    <row r="3269" ht="22" customHeight="1">
      <c r="A3269" s="2" t="inlineStr">
        <is>
          <t>2026-06-05</t>
        </is>
      </c>
      <c r="B3269" s="3" t="inlineStr">
        <is>
          <t>SK오션플랜트</t>
        </is>
      </c>
      <c r="C3269" s="2" t="inlineStr">
        <is>
          <t>100090</t>
        </is>
      </c>
      <c r="D3269" s="2" t="inlineStr">
        <is>
          <t>대량보유</t>
        </is>
      </c>
      <c r="E3269" s="3" t="inlineStr">
        <is>
          <t>에스케이에코플랜트(주)</t>
        </is>
      </c>
      <c r="F3269" s="3" t="inlineStr">
        <is>
          <t>보고자</t>
        </is>
      </c>
      <c r="G3269" s="3" t="inlineStr">
        <is>
          <t>보유 주식의 담보 제공(연장)</t>
        </is>
      </c>
      <c r="H3269" s="6" t="inlineStr"/>
      <c r="I3269" s="6" t="inlineStr"/>
      <c r="J3269" s="6" t="n">
        <v>22256969</v>
      </c>
      <c r="K3269" s="16" t="n">
        <v>1</v>
      </c>
      <c r="L3269" s="2" t="inlineStr">
        <is>
          <t>20260605000032</t>
        </is>
      </c>
      <c r="M3269" s="8">
        <f>HYPERLINK("https://dart.fss.or.kr/dsaf001/main.do?rcpNo=20260605000032", "공시열람")</f>
        <v/>
      </c>
    </row>
    <row r="3270" ht="22" customHeight="1">
      <c r="A3270" s="2" t="inlineStr">
        <is>
          <t>2026-06-05</t>
        </is>
      </c>
      <c r="B3270" s="3" t="inlineStr">
        <is>
          <t>HL홀딩스</t>
        </is>
      </c>
      <c r="C3270" s="2" t="inlineStr">
        <is>
          <t>060980</t>
        </is>
      </c>
      <c r="D3270" s="2" t="inlineStr">
        <is>
          <t>임원보고</t>
        </is>
      </c>
      <c r="E3270" s="3" t="inlineStr">
        <is>
          <t>-</t>
        </is>
      </c>
      <c r="F3270" s="3" t="inlineStr">
        <is>
          <t>-</t>
        </is>
      </c>
      <c r="G3270" s="3" t="inlineStr">
        <is>
          <t>-</t>
        </is>
      </c>
      <c r="H3270" s="6" t="inlineStr"/>
      <c r="I3270" s="6" t="inlineStr"/>
      <c r="J3270" s="6" t="inlineStr"/>
      <c r="K3270" s="16" t="n">
        <v>12</v>
      </c>
      <c r="L3270" s="2" t="inlineStr">
        <is>
          <t>20260605800042</t>
        </is>
      </c>
      <c r="M3270" s="8">
        <f>HYPERLINK("https://dart.fss.or.kr/dsaf001/main.do?rcpNo=20260605800042", "공시열람")</f>
        <v/>
      </c>
    </row>
    <row r="3271" ht="22" customHeight="1">
      <c r="A3271" s="2" t="inlineStr">
        <is>
          <t>2026-06-05</t>
        </is>
      </c>
      <c r="B3271" s="3" t="inlineStr">
        <is>
          <t>HL홀딩스</t>
        </is>
      </c>
      <c r="C3271" s="2" t="inlineStr">
        <is>
          <t>060980</t>
        </is>
      </c>
      <c r="D3271" s="2" t="inlineStr">
        <is>
          <t>대량보유</t>
        </is>
      </c>
      <c r="E3271" s="3" t="inlineStr">
        <is>
          <t>정지연</t>
        </is>
      </c>
      <c r="F3271" s="3" t="inlineStr">
        <is>
          <t>특별관계자</t>
        </is>
      </c>
      <c r="G3271" s="3" t="inlineStr">
        <is>
          <t>장내매수(+)</t>
        </is>
      </c>
      <c r="H3271" s="15" t="n">
        <v>25600</v>
      </c>
      <c r="I3271" s="6" t="n">
        <v>45219</v>
      </c>
      <c r="J3271" s="6" t="n">
        <v>227000</v>
      </c>
      <c r="K3271" s="16" t="n">
        <v>5</v>
      </c>
      <c r="L3271" s="2" t="inlineStr">
        <is>
          <t>20260604000658</t>
        </is>
      </c>
      <c r="M3271" s="8">
        <f>HYPERLINK("https://dart.fss.or.kr/dsaf001/main.do?rcpNo=20260604000658", "공시열람")</f>
        <v/>
      </c>
    </row>
    <row r="3272" ht="22" customHeight="1">
      <c r="A3272" s="2" t="inlineStr">
        <is>
          <t>2026-06-05</t>
        </is>
      </c>
      <c r="B3272" s="3" t="inlineStr">
        <is>
          <t>HL홀딩스</t>
        </is>
      </c>
      <c r="C3272" s="2" t="inlineStr">
        <is>
          <t>060980</t>
        </is>
      </c>
      <c r="D3272" s="2" t="inlineStr">
        <is>
          <t>대량보유</t>
        </is>
      </c>
      <c r="E3272" s="3" t="inlineStr">
        <is>
          <t>정지수</t>
        </is>
      </c>
      <c r="F3272" s="3" t="inlineStr">
        <is>
          <t>특별관계자</t>
        </is>
      </c>
      <c r="G3272" s="3" t="inlineStr">
        <is>
          <t>장내매수(+)</t>
        </is>
      </c>
      <c r="H3272" s="15" t="n">
        <v>25600</v>
      </c>
      <c r="I3272" s="6" t="n">
        <v>45239</v>
      </c>
      <c r="J3272" s="6" t="n">
        <v>227000</v>
      </c>
      <c r="K3272" s="16" t="n">
        <v>5</v>
      </c>
      <c r="L3272" s="2" t="inlineStr">
        <is>
          <t>20260604000658</t>
        </is>
      </c>
      <c r="M3272" s="8">
        <f>HYPERLINK("https://dart.fss.or.kr/dsaf001/main.do?rcpNo=20260604000658", "공시열람")</f>
        <v/>
      </c>
    </row>
    <row r="3273" ht="22" customHeight="1">
      <c r="A3273" s="2" t="inlineStr">
        <is>
          <t>2026-06-05</t>
        </is>
      </c>
      <c r="B3273" s="3" t="inlineStr">
        <is>
          <t>워트</t>
        </is>
      </c>
      <c r="C3273" s="2" t="inlineStr">
        <is>
          <t>396470</t>
        </is>
      </c>
      <c r="D3273" s="2" t="inlineStr">
        <is>
          <t>대량보유</t>
        </is>
      </c>
      <c r="E3273" s="3" t="inlineStr">
        <is>
          <t>양귀철</t>
        </is>
      </c>
      <c r="F3273" s="3" t="inlineStr">
        <is>
          <t>특별관계자</t>
        </is>
      </c>
      <c r="G3273" s="3" t="inlineStr">
        <is>
          <t>임원퇴임(-)</t>
        </is>
      </c>
      <c r="H3273" s="17" t="n">
        <v>-420000</v>
      </c>
      <c r="I3273" s="6" t="inlineStr"/>
      <c r="J3273" s="6" t="inlineStr"/>
      <c r="K3273" s="16" t="n">
        <v>4</v>
      </c>
      <c r="L3273" s="2" t="inlineStr">
        <is>
          <t>20260604000665</t>
        </is>
      </c>
      <c r="M3273" s="8">
        <f>HYPERLINK("https://dart.fss.or.kr/dsaf001/main.do?rcpNo=20260604000665", "공시열람")</f>
        <v/>
      </c>
    </row>
    <row r="3274" ht="22" customHeight="1">
      <c r="A3274" s="2" t="inlineStr">
        <is>
          <t>2026-06-08</t>
        </is>
      </c>
      <c r="B3274" s="3" t="inlineStr">
        <is>
          <t>삼익악기</t>
        </is>
      </c>
      <c r="C3274" s="2" t="inlineStr">
        <is>
          <t>002450</t>
        </is>
      </c>
      <c r="D3274" s="2" t="inlineStr">
        <is>
          <t>대량보유</t>
        </is>
      </c>
      <c r="E3274" s="3" t="inlineStr">
        <is>
          <t>삼익문화재단</t>
        </is>
      </c>
      <c r="F3274" s="3" t="inlineStr">
        <is>
          <t>특별관계자</t>
        </is>
      </c>
      <c r="G3274" s="3" t="inlineStr">
        <is>
          <t>장내매수(+)</t>
        </is>
      </c>
      <c r="H3274" s="15" t="n">
        <v>238921</v>
      </c>
      <c r="I3274" s="6" t="n">
        <v>1260</v>
      </c>
      <c r="J3274" s="6" t="n">
        <v>4178981</v>
      </c>
      <c r="K3274" s="16" t="n">
        <v>5</v>
      </c>
      <c r="L3274" s="2" t="inlineStr">
        <is>
          <t>20260608000465</t>
        </is>
      </c>
      <c r="M3274" s="8">
        <f>HYPERLINK("https://dart.fss.or.kr/dsaf001/main.do?rcpNo=20260608000465", "공시열람")</f>
        <v/>
      </c>
    </row>
    <row r="3275" ht="22" customHeight="1">
      <c r="A3275" s="2" t="inlineStr">
        <is>
          <t>2026-06-08</t>
        </is>
      </c>
      <c r="B3275" s="3" t="inlineStr">
        <is>
          <t>파라다이스</t>
        </is>
      </c>
      <c r="C3275" s="2" t="inlineStr">
        <is>
          <t>034230</t>
        </is>
      </c>
      <c r="D3275" s="2" t="inlineStr">
        <is>
          <t>대량보유</t>
        </is>
      </c>
      <c r="E3275" s="3" t="inlineStr">
        <is>
          <t>전원미</t>
        </is>
      </c>
      <c r="F3275" s="3" t="inlineStr">
        <is>
          <t>특별관계자</t>
        </is>
      </c>
      <c r="G3275" s="3" t="inlineStr">
        <is>
          <t>장내매수(+)</t>
        </is>
      </c>
      <c r="H3275" s="15" t="n">
        <v>533</v>
      </c>
      <c r="I3275" s="6" t="n">
        <v>14690</v>
      </c>
      <c r="J3275" s="6" t="n">
        <v>260000</v>
      </c>
      <c r="K3275" s="16" t="n">
        <v>7</v>
      </c>
      <c r="L3275" s="2" t="inlineStr">
        <is>
          <t>20260608000462</t>
        </is>
      </c>
      <c r="M3275" s="8">
        <f>HYPERLINK("https://dart.fss.or.kr/dsaf001/main.do?rcpNo=20260608000462", "공시열람")</f>
        <v/>
      </c>
    </row>
    <row r="3276" ht="22" customHeight="1">
      <c r="A3276" s="2" t="inlineStr">
        <is>
          <t>2026-06-08</t>
        </is>
      </c>
      <c r="B3276" s="3" t="inlineStr">
        <is>
          <t>파라다이스</t>
        </is>
      </c>
      <c r="C3276" s="2" t="inlineStr">
        <is>
          <t>034230</t>
        </is>
      </c>
      <c r="D3276" s="2" t="inlineStr">
        <is>
          <t>임원보고</t>
        </is>
      </c>
      <c r="E3276" s="3" t="inlineStr">
        <is>
          <t>-</t>
        </is>
      </c>
      <c r="F3276" s="3" t="inlineStr">
        <is>
          <t>-</t>
        </is>
      </c>
      <c r="G3276" s="3" t="inlineStr">
        <is>
          <t>-</t>
        </is>
      </c>
      <c r="H3276" s="6" t="inlineStr"/>
      <c r="I3276" s="6" t="inlineStr"/>
      <c r="J3276" s="6" t="inlineStr"/>
      <c r="K3276" s="16" t="n">
        <v>12</v>
      </c>
      <c r="L3276" s="2" t="inlineStr">
        <is>
          <t>20260608801002</t>
        </is>
      </c>
      <c r="M3276" s="8">
        <f>HYPERLINK("https://dart.fss.or.kr/dsaf001/main.do?rcpNo=20260608801002", "공시열람")</f>
        <v/>
      </c>
    </row>
    <row r="3277" ht="22" customHeight="1">
      <c r="A3277" s="2" t="inlineStr">
        <is>
          <t>2026-06-08</t>
        </is>
      </c>
      <c r="B3277" s="3" t="inlineStr">
        <is>
          <t>NH프라임리츠</t>
        </is>
      </c>
      <c r="C3277" s="2" t="inlineStr">
        <is>
          <t>338100</t>
        </is>
      </c>
      <c r="D3277" s="2" t="inlineStr">
        <is>
          <t>대량보유</t>
        </is>
      </c>
      <c r="E3277" s="3" t="inlineStr">
        <is>
          <t>미래에셋증권㈜</t>
        </is>
      </c>
      <c r="F3277" s="3" t="inlineStr">
        <is>
          <t>특별관계자</t>
        </is>
      </c>
      <c r="G3277" s="3" t="inlineStr">
        <is>
          <t>장내매도(-), 장내매수(+), 기타(-), 차입(+), 대여(-)</t>
        </is>
      </c>
      <c r="H3277" s="17" t="n">
        <v>-216661</v>
      </c>
      <c r="I3277" s="6" t="n">
        <v>4504</v>
      </c>
      <c r="J3277" s="6" t="n">
        <v>990663</v>
      </c>
      <c r="K3277" s="16" t="n">
        <v>5.3</v>
      </c>
      <c r="L3277" s="2" t="inlineStr">
        <is>
          <t>20260608000458</t>
        </is>
      </c>
      <c r="M3277" s="8">
        <f>HYPERLINK("https://dart.fss.or.kr/dsaf001/main.do?rcpNo=20260608000458", "공시열람")</f>
        <v/>
      </c>
    </row>
    <row r="3278" ht="22" customHeight="1">
      <c r="A3278" s="2" t="inlineStr">
        <is>
          <t>2026-06-08</t>
        </is>
      </c>
      <c r="B3278" s="3" t="inlineStr">
        <is>
          <t>알로이스</t>
        </is>
      </c>
      <c r="C3278" s="2" t="inlineStr">
        <is>
          <t>297570</t>
        </is>
      </c>
      <c r="D3278" s="2" t="inlineStr">
        <is>
          <t>대량보유</t>
        </is>
      </c>
      <c r="E3278" s="3" t="inlineStr">
        <is>
          <t>권충식</t>
        </is>
      </c>
      <c r="F3278" s="3" t="inlineStr">
        <is>
          <t>특별관계자</t>
        </is>
      </c>
      <c r="G3278" s="3" t="inlineStr">
        <is>
          <t>장외매도(-)</t>
        </is>
      </c>
      <c r="H3278" s="17" t="n">
        <v>-5756352</v>
      </c>
      <c r="I3278" s="6" t="n">
        <v>1600</v>
      </c>
      <c r="J3278" s="6" t="inlineStr"/>
      <c r="K3278" s="18" t="inlineStr"/>
      <c r="L3278" s="2" t="inlineStr">
        <is>
          <t>20260608000452</t>
        </is>
      </c>
      <c r="M3278" s="8">
        <f>HYPERLINK("https://dart.fss.or.kr/dsaf001/main.do?rcpNo=20260608000452", "공시열람")</f>
        <v/>
      </c>
    </row>
    <row r="3279" ht="22" customHeight="1">
      <c r="A3279" s="2" t="inlineStr">
        <is>
          <t>2026-06-08</t>
        </is>
      </c>
      <c r="B3279" s="3" t="inlineStr">
        <is>
          <t>알로이스</t>
        </is>
      </c>
      <c r="C3279" s="2" t="inlineStr">
        <is>
          <t>297570</t>
        </is>
      </c>
      <c r="D3279" s="2" t="inlineStr">
        <is>
          <t>대량보유</t>
        </is>
      </c>
      <c r="E3279" s="3" t="inlineStr">
        <is>
          <t>김도현</t>
        </is>
      </c>
      <c r="F3279" s="3" t="inlineStr">
        <is>
          <t>특별관계자</t>
        </is>
      </c>
      <c r="G3279" s="3" t="inlineStr">
        <is>
          <t>특별관계해소(-)</t>
        </is>
      </c>
      <c r="H3279" s="17" t="n">
        <v>-530000</v>
      </c>
      <c r="I3279" s="6" t="inlineStr"/>
      <c r="J3279" s="6" t="inlineStr"/>
      <c r="K3279" s="18" t="inlineStr"/>
      <c r="L3279" s="2" t="inlineStr">
        <is>
          <t>20260608000452</t>
        </is>
      </c>
      <c r="M3279" s="8">
        <f>HYPERLINK("https://dart.fss.or.kr/dsaf001/main.do?rcpNo=20260608000452", "공시열람")</f>
        <v/>
      </c>
    </row>
    <row r="3280" ht="22" customHeight="1">
      <c r="A3280" s="2" t="inlineStr">
        <is>
          <t>2026-06-08</t>
        </is>
      </c>
      <c r="B3280" s="3" t="inlineStr">
        <is>
          <t>알로이스</t>
        </is>
      </c>
      <c r="C3280" s="2" t="inlineStr">
        <is>
          <t>297570</t>
        </is>
      </c>
      <c r="D3280" s="2" t="inlineStr">
        <is>
          <t>대량보유</t>
        </is>
      </c>
      <c r="E3280" s="3" t="inlineStr">
        <is>
          <t>이민선</t>
        </is>
      </c>
      <c r="F3280" s="3" t="inlineStr">
        <is>
          <t>특별관계자</t>
        </is>
      </c>
      <c r="G3280" s="3" t="inlineStr">
        <is>
          <t>특별관계해소(-)</t>
        </is>
      </c>
      <c r="H3280" s="17" t="n">
        <v>-540000</v>
      </c>
      <c r="I3280" s="6" t="inlineStr"/>
      <c r="J3280" s="6" t="inlineStr"/>
      <c r="K3280" s="18" t="inlineStr"/>
      <c r="L3280" s="2" t="inlineStr">
        <is>
          <t>20260608000452</t>
        </is>
      </c>
      <c r="M3280" s="8">
        <f>HYPERLINK("https://dart.fss.or.kr/dsaf001/main.do?rcpNo=20260608000452", "공시열람")</f>
        <v/>
      </c>
    </row>
    <row r="3281" ht="22" customHeight="1">
      <c r="A3281" s="2" t="inlineStr">
        <is>
          <t>2026-06-08</t>
        </is>
      </c>
      <c r="B3281" s="3" t="inlineStr">
        <is>
          <t>알로이스</t>
        </is>
      </c>
      <c r="C3281" s="2" t="inlineStr">
        <is>
          <t>297570</t>
        </is>
      </c>
      <c r="D3281" s="2" t="inlineStr">
        <is>
          <t>대량보유</t>
        </is>
      </c>
      <c r="E3281" s="3" t="inlineStr">
        <is>
          <t>김민우</t>
        </is>
      </c>
      <c r="F3281" s="3" t="inlineStr">
        <is>
          <t>특별관계자</t>
        </is>
      </c>
      <c r="G3281" s="3" t="inlineStr">
        <is>
          <t>특별관계해소(-)</t>
        </is>
      </c>
      <c r="H3281" s="17" t="n">
        <v>-650000</v>
      </c>
      <c r="I3281" s="6" t="inlineStr"/>
      <c r="J3281" s="6" t="inlineStr"/>
      <c r="K3281" s="18" t="inlineStr"/>
      <c r="L3281" s="2" t="inlineStr">
        <is>
          <t>20260608000452</t>
        </is>
      </c>
      <c r="M3281" s="8">
        <f>HYPERLINK("https://dart.fss.or.kr/dsaf001/main.do?rcpNo=20260608000452", "공시열람")</f>
        <v/>
      </c>
    </row>
    <row r="3282" ht="22" customHeight="1">
      <c r="A3282" s="2" t="inlineStr">
        <is>
          <t>2026-06-08 (정정: 2026-06-15)</t>
        </is>
      </c>
      <c r="B3282" s="3" t="inlineStr">
        <is>
          <t>모아데이타</t>
        </is>
      </c>
      <c r="C3282" s="2" t="inlineStr">
        <is>
          <t>288980</t>
        </is>
      </c>
      <c r="D3282" s="2" t="inlineStr">
        <is>
          <t>대량보유</t>
        </is>
      </c>
      <c r="E3282" s="3" t="inlineStr">
        <is>
          <t>-</t>
        </is>
      </c>
      <c r="F3282" s="3" t="inlineStr">
        <is>
          <t>보고자</t>
        </is>
      </c>
      <c r="G3282" s="3" t="inlineStr">
        <is>
          <t>-</t>
        </is>
      </c>
      <c r="H3282" s="6" t="inlineStr"/>
      <c r="I3282" s="6" t="inlineStr"/>
      <c r="J3282" s="6" t="inlineStr"/>
      <c r="K3282" s="18" t="inlineStr"/>
      <c r="L3282" s="2" t="inlineStr">
        <is>
          <t>20260615900575</t>
        </is>
      </c>
      <c r="M3282" s="8">
        <f>HYPERLINK("https://dart.fss.or.kr/dsaf001/main.do?rcpNo=20260615900575", "공시열람")</f>
        <v/>
      </c>
    </row>
    <row r="3283" ht="22" customHeight="1">
      <c r="A3283" s="2" t="inlineStr">
        <is>
          <t>2026-06-08</t>
        </is>
      </c>
      <c r="B3283" s="3" t="inlineStr">
        <is>
          <t>에이플러스에셋</t>
        </is>
      </c>
      <c r="C3283" s="2" t="inlineStr">
        <is>
          <t>244920</t>
        </is>
      </c>
      <c r="D3283" s="2" t="inlineStr">
        <is>
          <t>임원보고</t>
        </is>
      </c>
      <c r="E3283" s="3" t="inlineStr">
        <is>
          <t>-</t>
        </is>
      </c>
      <c r="F3283" s="3" t="inlineStr">
        <is>
          <t>-</t>
        </is>
      </c>
      <c r="G3283" s="3" t="inlineStr">
        <is>
          <t>-</t>
        </is>
      </c>
      <c r="H3283" s="6" t="inlineStr"/>
      <c r="I3283" s="6" t="inlineStr"/>
      <c r="J3283" s="6" t="inlineStr"/>
      <c r="K3283" s="16" t="n">
        <v>12</v>
      </c>
      <c r="L3283" s="2" t="inlineStr">
        <is>
          <t>20260608800976</t>
        </is>
      </c>
      <c r="M3283" s="8">
        <f>HYPERLINK("https://dart.fss.or.kr/dsaf001/main.do?rcpNo=20260608800976", "공시열람")</f>
        <v/>
      </c>
    </row>
    <row r="3284" ht="22" customHeight="1">
      <c r="A3284" s="2" t="inlineStr">
        <is>
          <t>2026-06-08</t>
        </is>
      </c>
      <c r="B3284" s="3" t="inlineStr">
        <is>
          <t>에이플러스에셋</t>
        </is>
      </c>
      <c r="C3284" s="2" t="inlineStr">
        <is>
          <t>244920</t>
        </is>
      </c>
      <c r="D3284" s="2" t="inlineStr">
        <is>
          <t>대량보유</t>
        </is>
      </c>
      <c r="E3284" s="3" t="inlineStr">
        <is>
          <t>곽태민</t>
        </is>
      </c>
      <c r="F3284" s="3" t="inlineStr">
        <is>
          <t>특별관계자</t>
        </is>
      </c>
      <c r="G3284" s="3" t="inlineStr">
        <is>
          <t>장내매수(+)</t>
        </is>
      </c>
      <c r="H3284" s="15" t="n">
        <v>58286</v>
      </c>
      <c r="I3284" s="6" t="n">
        <v>9993</v>
      </c>
      <c r="J3284" s="6" t="n">
        <v>812783</v>
      </c>
      <c r="K3284" s="16" t="n">
        <v>18</v>
      </c>
      <c r="L3284" s="2" t="inlineStr">
        <is>
          <t>20260608000444</t>
        </is>
      </c>
      <c r="M3284" s="8">
        <f>HYPERLINK("https://dart.fss.or.kr/dsaf001/main.do?rcpNo=20260608000444", "공시열람")</f>
        <v/>
      </c>
    </row>
    <row r="3285" ht="22" customHeight="1">
      <c r="A3285" s="2" t="inlineStr">
        <is>
          <t>2026-06-08</t>
        </is>
      </c>
      <c r="B3285" s="3" t="inlineStr">
        <is>
          <t>에이플러스에셋</t>
        </is>
      </c>
      <c r="C3285" s="2" t="inlineStr">
        <is>
          <t>244920</t>
        </is>
      </c>
      <c r="D3285" s="2" t="inlineStr">
        <is>
          <t>대량보유</t>
        </is>
      </c>
      <c r="E3285" s="3" t="inlineStr">
        <is>
          <t>신다예</t>
        </is>
      </c>
      <c r="F3285" s="3" t="inlineStr">
        <is>
          <t>특별관계자</t>
        </is>
      </c>
      <c r="G3285" s="3" t="inlineStr">
        <is>
          <t>장내매수(+)</t>
        </is>
      </c>
      <c r="H3285" s="15" t="n">
        <v>65859</v>
      </c>
      <c r="I3285" s="6" t="n">
        <v>10105</v>
      </c>
      <c r="J3285" s="6" t="n">
        <v>303053</v>
      </c>
      <c r="K3285" s="16" t="n">
        <v>18</v>
      </c>
      <c r="L3285" s="2" t="inlineStr">
        <is>
          <t>20260608000444</t>
        </is>
      </c>
      <c r="M3285" s="8">
        <f>HYPERLINK("https://dart.fss.or.kr/dsaf001/main.do?rcpNo=20260608000444", "공시열람")</f>
        <v/>
      </c>
    </row>
    <row r="3286" ht="22" customHeight="1">
      <c r="A3286" s="2" t="inlineStr">
        <is>
          <t>2026-06-08</t>
        </is>
      </c>
      <c r="B3286" s="3" t="inlineStr">
        <is>
          <t>글로벌텍스프리</t>
        </is>
      </c>
      <c r="C3286" s="2" t="inlineStr">
        <is>
          <t>204620</t>
        </is>
      </c>
      <c r="D3286" s="2" t="inlineStr">
        <is>
          <t>대량보유</t>
        </is>
      </c>
      <c r="E3286" s="3" t="inlineStr">
        <is>
          <t>(주)제이에스아이홀딩스</t>
        </is>
      </c>
      <c r="F3286" s="3" t="inlineStr">
        <is>
          <t>특별관계자</t>
        </is>
      </c>
      <c r="G3286" s="3" t="inlineStr">
        <is>
          <t>장내매수(+)</t>
        </is>
      </c>
      <c r="H3286" s="15" t="n">
        <v>434300</v>
      </c>
      <c r="I3286" s="6" t="n">
        <v>4609</v>
      </c>
      <c r="J3286" s="6" t="n">
        <v>434300</v>
      </c>
      <c r="K3286" s="16" t="n">
        <v>3</v>
      </c>
      <c r="L3286" s="2" t="inlineStr">
        <is>
          <t>20260608000435</t>
        </is>
      </c>
      <c r="M3286" s="8">
        <f>HYPERLINK("https://dart.fss.or.kr/dsaf001/main.do?rcpNo=20260608000435", "공시열람")</f>
        <v/>
      </c>
    </row>
    <row r="3287" ht="22" customHeight="1">
      <c r="A3287" s="2" t="inlineStr">
        <is>
          <t>2026-06-08</t>
        </is>
      </c>
      <c r="B3287" s="3" t="inlineStr">
        <is>
          <t>서연탑메탈</t>
        </is>
      </c>
      <c r="C3287" s="2" t="inlineStr">
        <is>
          <t>019770</t>
        </is>
      </c>
      <c r="D3287" s="2" t="inlineStr">
        <is>
          <t>대량보유</t>
        </is>
      </c>
      <c r="E3287" s="3" t="inlineStr">
        <is>
          <t>최원재</t>
        </is>
      </c>
      <c r="F3287" s="3" t="inlineStr">
        <is>
          <t>특별관계자</t>
        </is>
      </c>
      <c r="G3287" s="3" t="inlineStr">
        <is>
          <t>장내매수(+)</t>
        </is>
      </c>
      <c r="H3287" s="15" t="n">
        <v>116000</v>
      </c>
      <c r="I3287" s="6" t="n">
        <v>3654</v>
      </c>
      <c r="J3287" s="6" t="n">
        <v>512000</v>
      </c>
      <c r="K3287" s="16" t="n">
        <v>3</v>
      </c>
      <c r="L3287" s="2" t="inlineStr">
        <is>
          <t>20260608000427</t>
        </is>
      </c>
      <c r="M3287" s="8">
        <f>HYPERLINK("https://dart.fss.or.kr/dsaf001/main.do?rcpNo=20260608000427", "공시열람")</f>
        <v/>
      </c>
    </row>
    <row r="3288" ht="22" customHeight="1">
      <c r="A3288" s="2" t="inlineStr">
        <is>
          <t>2026-06-08</t>
        </is>
      </c>
      <c r="B3288" s="3" t="inlineStr">
        <is>
          <t>서연탑메탈</t>
        </is>
      </c>
      <c r="C3288" s="2" t="inlineStr">
        <is>
          <t>019770</t>
        </is>
      </c>
      <c r="D3288" s="2" t="inlineStr">
        <is>
          <t>대량보유</t>
        </is>
      </c>
      <c r="E3288" s="3" t="inlineStr">
        <is>
          <t>유경내</t>
        </is>
      </c>
      <c r="F3288" s="3" t="inlineStr">
        <is>
          <t>특별관계자</t>
        </is>
      </c>
      <c r="G3288" s="3" t="inlineStr">
        <is>
          <t>장내매수(+)</t>
        </is>
      </c>
      <c r="H3288" s="15" t="n">
        <v>25000</v>
      </c>
      <c r="I3288" s="6" t="n">
        <v>3687</v>
      </c>
      <c r="J3288" s="6" t="n">
        <v>1100000</v>
      </c>
      <c r="K3288" s="16" t="n">
        <v>3</v>
      </c>
      <c r="L3288" s="2" t="inlineStr">
        <is>
          <t>20260608000427</t>
        </is>
      </c>
      <c r="M3288" s="8">
        <f>HYPERLINK("https://dart.fss.or.kr/dsaf001/main.do?rcpNo=20260608000427", "공시열람")</f>
        <v/>
      </c>
    </row>
    <row r="3289" ht="22" customHeight="1">
      <c r="A3289" s="2" t="inlineStr">
        <is>
          <t>2026-06-08 (정정: 2026-06-08)</t>
        </is>
      </c>
      <c r="B3289" s="3" t="inlineStr">
        <is>
          <t>알로이스</t>
        </is>
      </c>
      <c r="C3289" s="2" t="inlineStr">
        <is>
          <t>297570</t>
        </is>
      </c>
      <c r="D3289" s="2" t="inlineStr">
        <is>
          <t>대량보유</t>
        </is>
      </c>
      <c r="E3289" s="3" t="inlineStr">
        <is>
          <t>-</t>
        </is>
      </c>
      <c r="F3289" s="3" t="inlineStr">
        <is>
          <t>보고자</t>
        </is>
      </c>
      <c r="G3289" s="3" t="inlineStr">
        <is>
          <t>-</t>
        </is>
      </c>
      <c r="H3289" s="6" t="inlineStr"/>
      <c r="I3289" s="6" t="inlineStr"/>
      <c r="J3289" s="6" t="inlineStr"/>
      <c r="K3289" s="18" t="inlineStr"/>
      <c r="L3289" s="2" t="inlineStr">
        <is>
          <t>20260608900794</t>
        </is>
      </c>
      <c r="M3289" s="8">
        <f>HYPERLINK("https://dart.fss.or.kr/dsaf001/main.do?rcpNo=20260608900794", "공시열람")</f>
        <v/>
      </c>
    </row>
    <row r="3290" ht="22" customHeight="1">
      <c r="A3290" s="2" t="inlineStr">
        <is>
          <t>2026-06-08</t>
        </is>
      </c>
      <c r="B3290" s="3" t="inlineStr">
        <is>
          <t>팬오션</t>
        </is>
      </c>
      <c r="C3290" s="2" t="inlineStr">
        <is>
          <t>028670</t>
        </is>
      </c>
      <c r="D3290" s="2" t="inlineStr">
        <is>
          <t>대량보유</t>
        </is>
      </c>
      <c r="E3290" s="3" t="inlineStr">
        <is>
          <t>안중호</t>
        </is>
      </c>
      <c r="F3290" s="3" t="inlineStr">
        <is>
          <t>특별관계자</t>
        </is>
      </c>
      <c r="G3290" s="3" t="inlineStr">
        <is>
          <t>장내매수(+)</t>
        </is>
      </c>
      <c r="H3290" s="15" t="n">
        <v>9600</v>
      </c>
      <c r="I3290" s="6" t="n">
        <v>5150</v>
      </c>
      <c r="J3290" s="6" t="n">
        <v>25720</v>
      </c>
      <c r="K3290" s="16" t="n">
        <v>10</v>
      </c>
      <c r="L3290" s="2" t="inlineStr">
        <is>
          <t>20260608000417</t>
        </is>
      </c>
      <c r="M3290" s="8">
        <f>HYPERLINK("https://dart.fss.or.kr/dsaf001/main.do?rcpNo=20260608000417", "공시열람")</f>
        <v/>
      </c>
    </row>
    <row r="3291" ht="22" customHeight="1">
      <c r="A3291" s="2" t="inlineStr">
        <is>
          <t>2026-06-08</t>
        </is>
      </c>
      <c r="B3291" s="3" t="inlineStr">
        <is>
          <t>팜스코</t>
        </is>
      </c>
      <c r="C3291" s="2" t="inlineStr">
        <is>
          <t>036580</t>
        </is>
      </c>
      <c r="D3291" s="2" t="inlineStr">
        <is>
          <t>대량보유</t>
        </is>
      </c>
      <c r="E3291" s="3" t="inlineStr">
        <is>
          <t>(주)하림지주</t>
        </is>
      </c>
      <c r="F3291" s="3" t="inlineStr">
        <is>
          <t>보고자</t>
        </is>
      </c>
      <c r="G3291" s="3" t="inlineStr">
        <is>
          <t>보고자의 주식담보설정 계약 변경- 한국증권금융 차입금 4건 中 2건 만기에 따른 기한 연장(300억, 400억) (약정기간: 2026.05.30 ~ 2027.05.30)- 기존에 제공한 담보주식 수 변경없음</t>
        </is>
      </c>
      <c r="H3291" s="6" t="inlineStr"/>
      <c r="I3291" s="6" t="inlineStr"/>
      <c r="J3291" s="6" t="n">
        <v>20780022</v>
      </c>
      <c r="K3291" s="16" t="n">
        <v>5</v>
      </c>
      <c r="L3291" s="2" t="inlineStr">
        <is>
          <t>20260608000416</t>
        </is>
      </c>
      <c r="M3291" s="8">
        <f>HYPERLINK("https://dart.fss.or.kr/dsaf001/main.do?rcpNo=20260608000416", "공시열람")</f>
        <v/>
      </c>
    </row>
    <row r="3292" ht="22" customHeight="1">
      <c r="A3292" s="2" t="inlineStr">
        <is>
          <t>2026-06-08</t>
        </is>
      </c>
      <c r="B3292" s="3" t="inlineStr">
        <is>
          <t>선진</t>
        </is>
      </c>
      <c r="C3292" s="2" t="inlineStr">
        <is>
          <t>136490</t>
        </is>
      </c>
      <c r="D3292" s="2" t="inlineStr">
        <is>
          <t>대량보유</t>
        </is>
      </c>
      <c r="E3292" s="3" t="inlineStr">
        <is>
          <t>주식회사 하림지주</t>
        </is>
      </c>
      <c r="F3292" s="3" t="inlineStr">
        <is>
          <t>보고자</t>
        </is>
      </c>
      <c r="G3292" s="3" t="inlineStr">
        <is>
          <t>보고자의 주식담보설정 계약 변경- 한국증권금융 차입금 4건 中 2건 만기에 따른 기한 연장(300억, 400억) (약정기간: 2026.05.30 ~ 2027.05.30)- 기존에 제공한 담보주식 수 변경없음</t>
        </is>
      </c>
      <c r="H3292" s="6" t="inlineStr"/>
      <c r="I3292" s="6" t="inlineStr"/>
      <c r="J3292" s="6" t="n">
        <v>11904813</v>
      </c>
      <c r="K3292" s="16" t="n">
        <v>4</v>
      </c>
      <c r="L3292" s="2" t="inlineStr">
        <is>
          <t>20260608000413</t>
        </is>
      </c>
      <c r="M3292" s="8">
        <f>HYPERLINK("https://dart.fss.or.kr/dsaf001/main.do?rcpNo=20260608000413", "공시열람")</f>
        <v/>
      </c>
    </row>
    <row r="3293" ht="22" customHeight="1">
      <c r="A3293" s="2" t="inlineStr">
        <is>
          <t>2026-06-08</t>
        </is>
      </c>
      <c r="B3293" s="3" t="inlineStr">
        <is>
          <t>삼성전자</t>
        </is>
      </c>
      <c r="C3293" s="2" t="inlineStr">
        <is>
          <t>005930</t>
        </is>
      </c>
      <c r="D3293" s="2" t="inlineStr">
        <is>
          <t>임원보고</t>
        </is>
      </c>
      <c r="E3293" s="3" t="inlineStr">
        <is>
          <t>-</t>
        </is>
      </c>
      <c r="F3293" s="3" t="inlineStr">
        <is>
          <t>-</t>
        </is>
      </c>
      <c r="G3293" s="3" t="inlineStr">
        <is>
          <t>-</t>
        </is>
      </c>
      <c r="H3293" s="6" t="inlineStr"/>
      <c r="I3293" s="6" t="inlineStr"/>
      <c r="J3293" s="6" t="inlineStr"/>
      <c r="K3293" s="16" t="n">
        <v>12</v>
      </c>
      <c r="L3293" s="2" t="inlineStr">
        <is>
          <t>20260608800918</t>
        </is>
      </c>
      <c r="M3293" s="8">
        <f>HYPERLINK("https://dart.fss.or.kr/dsaf001/main.do?rcpNo=20260608800918", "공시열람")</f>
        <v/>
      </c>
    </row>
    <row r="3294" ht="22" customHeight="1">
      <c r="A3294" s="2" t="inlineStr">
        <is>
          <t>2026-06-08</t>
        </is>
      </c>
      <c r="B3294" s="3" t="inlineStr">
        <is>
          <t>오텍</t>
        </is>
      </c>
      <c r="C3294" s="2" t="inlineStr">
        <is>
          <t>067170</t>
        </is>
      </c>
      <c r="D3294" s="2" t="inlineStr">
        <is>
          <t>대량보유</t>
        </is>
      </c>
      <c r="E3294" s="3" t="inlineStr">
        <is>
          <t>강성희</t>
        </is>
      </c>
      <c r="F3294" s="3" t="inlineStr">
        <is>
          <t>특별관계자</t>
        </is>
      </c>
      <c r="G3294" s="3" t="inlineStr">
        <is>
          <t>BW인수(+)</t>
        </is>
      </c>
      <c r="H3294" s="15" t="n">
        <v>77000</v>
      </c>
      <c r="I3294" s="6" t="n">
        <v>822</v>
      </c>
      <c r="J3294" s="6" t="n">
        <v>5600780</v>
      </c>
      <c r="K3294" s="16" t="n">
        <v>2</v>
      </c>
      <c r="L3294" s="2" t="inlineStr">
        <is>
          <t>20260608000409</t>
        </is>
      </c>
      <c r="M3294" s="8">
        <f>HYPERLINK("https://dart.fss.or.kr/dsaf001/main.do?rcpNo=20260608000409", "공시열람")</f>
        <v/>
      </c>
    </row>
    <row r="3295" ht="22" customHeight="1">
      <c r="A3295" s="2" t="inlineStr">
        <is>
          <t>2026-06-08</t>
        </is>
      </c>
      <c r="B3295" s="3" t="inlineStr">
        <is>
          <t>오텍</t>
        </is>
      </c>
      <c r="C3295" s="2" t="inlineStr">
        <is>
          <t>067170</t>
        </is>
      </c>
      <c r="D3295" s="2" t="inlineStr">
        <is>
          <t>대량보유</t>
        </is>
      </c>
      <c r="E3295" s="3" t="inlineStr">
        <is>
          <t>강신욱</t>
        </is>
      </c>
      <c r="F3295" s="3" t="inlineStr">
        <is>
          <t>특별관계자</t>
        </is>
      </c>
      <c r="G3295" s="3" t="inlineStr">
        <is>
          <t>BW인수(+)</t>
        </is>
      </c>
      <c r="H3295" s="15" t="n">
        <v>34000</v>
      </c>
      <c r="I3295" s="6" t="n">
        <v>732</v>
      </c>
      <c r="J3295" s="6" t="n">
        <v>1594284</v>
      </c>
      <c r="K3295" s="16" t="n">
        <v>2</v>
      </c>
      <c r="L3295" s="2" t="inlineStr">
        <is>
          <t>20260608000409</t>
        </is>
      </c>
      <c r="M3295" s="8">
        <f>HYPERLINK("https://dart.fss.or.kr/dsaf001/main.do?rcpNo=20260608000409", "공시열람")</f>
        <v/>
      </c>
    </row>
    <row r="3296" ht="22" customHeight="1">
      <c r="A3296" s="2" t="inlineStr">
        <is>
          <t>2026-06-08</t>
        </is>
      </c>
      <c r="B3296" s="3" t="inlineStr">
        <is>
          <t>크래프톤</t>
        </is>
      </c>
      <c r="C3296" s="2" t="inlineStr">
        <is>
          <t>259960</t>
        </is>
      </c>
      <c r="D3296" s="2" t="inlineStr">
        <is>
          <t>임원보고</t>
        </is>
      </c>
      <c r="E3296" s="3" t="inlineStr">
        <is>
          <t>-</t>
        </is>
      </c>
      <c r="F3296" s="3" t="inlineStr">
        <is>
          <t>-</t>
        </is>
      </c>
      <c r="G3296" s="3" t="inlineStr">
        <is>
          <t>-</t>
        </is>
      </c>
      <c r="H3296" s="6" t="inlineStr"/>
      <c r="I3296" s="6" t="inlineStr"/>
      <c r="J3296" s="6" t="inlineStr"/>
      <c r="K3296" s="16" t="n">
        <v>12</v>
      </c>
      <c r="L3296" s="2" t="inlineStr">
        <is>
          <t>20260608800908</t>
        </is>
      </c>
      <c r="M3296" s="8">
        <f>HYPERLINK("https://dart.fss.or.kr/dsaf001/main.do?rcpNo=20260608800908", "공시열람")</f>
        <v/>
      </c>
    </row>
    <row r="3297" ht="22" customHeight="1">
      <c r="A3297" s="2" t="inlineStr">
        <is>
          <t>2026-06-08</t>
        </is>
      </c>
      <c r="B3297" s="3" t="inlineStr">
        <is>
          <t>SK스퀘어</t>
        </is>
      </c>
      <c r="C3297" s="2" t="inlineStr">
        <is>
          <t>402340</t>
        </is>
      </c>
      <c r="D3297" s="2" t="inlineStr">
        <is>
          <t>대량보유</t>
        </is>
      </c>
      <c r="E3297" s="3" t="inlineStr">
        <is>
          <t>NomuraInvestmentManagementBusinessTrust</t>
        </is>
      </c>
      <c r="F3297" s="3" t="inlineStr">
        <is>
          <t>특별관계자</t>
        </is>
      </c>
      <c r="G3297" s="3" t="inlineStr">
        <is>
          <t>장내매도(-), 장내매수(+)</t>
        </is>
      </c>
      <c r="H3297" s="17" t="n">
        <v>-1894574</v>
      </c>
      <c r="I3297" s="6" t="n">
        <v>1037621</v>
      </c>
      <c r="J3297" s="6" t="n">
        <v>6547247</v>
      </c>
      <c r="K3297" s="16" t="n">
        <v>2</v>
      </c>
      <c r="L3297" s="2" t="inlineStr">
        <is>
          <t>20260608000396</t>
        </is>
      </c>
      <c r="M3297" s="8">
        <f>HYPERLINK("https://dart.fss.or.kr/dsaf001/main.do?rcpNo=20260608000396", "공시열람")</f>
        <v/>
      </c>
    </row>
    <row r="3298" ht="22" customHeight="1">
      <c r="A3298" s="2" t="inlineStr">
        <is>
          <t>2026-06-08</t>
        </is>
      </c>
      <c r="B3298" s="3" t="inlineStr">
        <is>
          <t>SK스퀘어</t>
        </is>
      </c>
      <c r="C3298" s="2" t="inlineStr">
        <is>
          <t>402340</t>
        </is>
      </c>
      <c r="D3298" s="2" t="inlineStr">
        <is>
          <t>대량보유</t>
        </is>
      </c>
      <c r="E3298" s="3" t="inlineStr">
        <is>
          <t>NomuraAssetManagementCo.,Ltd</t>
        </is>
      </c>
      <c r="F3298" s="3" t="inlineStr">
        <is>
          <t>특별관계자</t>
        </is>
      </c>
      <c r="G3298" s="3" t="inlineStr">
        <is>
          <t>장내매수(+), 장내매도(-)</t>
        </is>
      </c>
      <c r="H3298" s="17" t="n">
        <v>-2332</v>
      </c>
      <c r="I3298" s="6" t="n">
        <v>554920</v>
      </c>
      <c r="J3298" s="6" t="n">
        <v>15206</v>
      </c>
      <c r="K3298" s="16" t="n">
        <v>2</v>
      </c>
      <c r="L3298" s="2" t="inlineStr">
        <is>
          <t>20260608000396</t>
        </is>
      </c>
      <c r="M3298" s="8">
        <f>HYPERLINK("https://dart.fss.or.kr/dsaf001/main.do?rcpNo=20260608000396", "공시열람")</f>
        <v/>
      </c>
    </row>
    <row r="3299" ht="22" customHeight="1">
      <c r="A3299" s="2" t="inlineStr">
        <is>
          <t>2026-06-08</t>
        </is>
      </c>
      <c r="B3299" s="3" t="inlineStr">
        <is>
          <t>피스피스스튜디오</t>
        </is>
      </c>
      <c r="C3299" s="2" t="inlineStr">
        <is>
          <t>0117P0</t>
        </is>
      </c>
      <c r="D3299" s="2" t="inlineStr">
        <is>
          <t>대량보유</t>
        </is>
      </c>
      <c r="E3299" s="3" t="inlineStr">
        <is>
          <t>케이비디지털플랫폼펀드</t>
        </is>
      </c>
      <c r="F3299" s="3" t="inlineStr">
        <is>
          <t>특별관계자</t>
        </is>
      </c>
      <c r="G3299" s="3" t="inlineStr">
        <is>
          <t>신규상장(+), 장내매도(-)</t>
        </is>
      </c>
      <c r="H3299" s="15" t="n">
        <v>484391</v>
      </c>
      <c r="I3299" s="6" t="n">
        <v>13762</v>
      </c>
      <c r="J3299" s="6" t="n">
        <v>484391</v>
      </c>
      <c r="K3299" s="16" t="n">
        <v>2</v>
      </c>
      <c r="L3299" s="2" t="inlineStr">
        <is>
          <t>20260608000393</t>
        </is>
      </c>
      <c r="M3299" s="8">
        <f>HYPERLINK("https://dart.fss.or.kr/dsaf001/main.do?rcpNo=20260608000393", "공시열람")</f>
        <v/>
      </c>
    </row>
    <row r="3300" ht="22" customHeight="1">
      <c r="A3300" s="2" t="inlineStr">
        <is>
          <t>2026-06-08</t>
        </is>
      </c>
      <c r="B3300" s="3" t="inlineStr">
        <is>
          <t>피스피스스튜디오</t>
        </is>
      </c>
      <c r="C3300" s="2" t="inlineStr">
        <is>
          <t>0117P0</t>
        </is>
      </c>
      <c r="D3300" s="2" t="inlineStr">
        <is>
          <t>대량보유</t>
        </is>
      </c>
      <c r="E3300" s="3" t="inlineStr">
        <is>
          <t>케이비프라임디지털플랫폼펀드</t>
        </is>
      </c>
      <c r="F3300" s="3" t="inlineStr">
        <is>
          <t>특별관계자</t>
        </is>
      </c>
      <c r="G3300" s="3" t="inlineStr">
        <is>
          <t>신규상장(+), 장내매도(-)</t>
        </is>
      </c>
      <c r="H3300" s="15" t="n">
        <v>191757</v>
      </c>
      <c r="I3300" s="6" t="n">
        <v>11900</v>
      </c>
      <c r="J3300" s="6" t="n">
        <v>191757</v>
      </c>
      <c r="K3300" s="16" t="n">
        <v>2</v>
      </c>
      <c r="L3300" s="2" t="inlineStr">
        <is>
          <t>20260608000393</t>
        </is>
      </c>
      <c r="M3300" s="8">
        <f>HYPERLINK("https://dart.fss.or.kr/dsaf001/main.do?rcpNo=20260608000393", "공시열람")</f>
        <v/>
      </c>
    </row>
    <row r="3301" ht="22" customHeight="1">
      <c r="A3301" s="2" t="inlineStr">
        <is>
          <t>2026-06-08</t>
        </is>
      </c>
      <c r="B3301" s="3" t="inlineStr">
        <is>
          <t>오스테오닉</t>
        </is>
      </c>
      <c r="C3301" s="2" t="inlineStr">
        <is>
          <t>226400</t>
        </is>
      </c>
      <c r="D3301" s="2" t="inlineStr">
        <is>
          <t>대량보유</t>
        </is>
      </c>
      <c r="E3301" s="3" t="inlineStr">
        <is>
          <t>지브이에이자산운용(주)</t>
        </is>
      </c>
      <c r="F3301" s="3" t="inlineStr">
        <is>
          <t>특별관계자</t>
        </is>
      </c>
      <c r="G3301" s="3" t="inlineStr">
        <is>
          <t>장내매수(+)</t>
        </is>
      </c>
      <c r="H3301" s="15" t="n">
        <v>90993</v>
      </c>
      <c r="I3301" s="6" t="n">
        <v>5075</v>
      </c>
      <c r="J3301" s="6" t="n">
        <v>1033192</v>
      </c>
      <c r="K3301" s="16" t="n">
        <v>5</v>
      </c>
      <c r="L3301" s="2" t="inlineStr">
        <is>
          <t>20260608000390</t>
        </is>
      </c>
      <c r="M3301" s="8">
        <f>HYPERLINK("https://dart.fss.or.kr/dsaf001/main.do?rcpNo=20260608000390", "공시열람")</f>
        <v/>
      </c>
    </row>
    <row r="3302" ht="22" customHeight="1">
      <c r="A3302" s="2" t="inlineStr">
        <is>
          <t>2026-06-08</t>
        </is>
      </c>
      <c r="B3302" s="3" t="inlineStr">
        <is>
          <t>사이냅소프트</t>
        </is>
      </c>
      <c r="C3302" s="2" t="inlineStr">
        <is>
          <t>466410</t>
        </is>
      </c>
      <c r="D3302" s="2" t="inlineStr">
        <is>
          <t>대량보유</t>
        </is>
      </c>
      <c r="E3302" s="3" t="inlineStr">
        <is>
          <t>전경헌</t>
        </is>
      </c>
      <c r="F3302" s="3" t="inlineStr">
        <is>
          <t>특별관계자</t>
        </is>
      </c>
      <c r="G3302" s="3" t="inlineStr">
        <is>
          <t>장내매수(+)</t>
        </is>
      </c>
      <c r="H3302" s="15" t="n">
        <v>10000</v>
      </c>
      <c r="I3302" s="6" t="n">
        <v>10138</v>
      </c>
      <c r="J3302" s="6" t="n">
        <v>1992627</v>
      </c>
      <c r="K3302" s="16" t="n">
        <v>2</v>
      </c>
      <c r="L3302" s="2" t="inlineStr">
        <is>
          <t>20260608000387</t>
        </is>
      </c>
      <c r="M3302" s="8">
        <f>HYPERLINK("https://dart.fss.or.kr/dsaf001/main.do?rcpNo=20260608000387", "공시열람")</f>
        <v/>
      </c>
    </row>
    <row r="3303" ht="22" customHeight="1">
      <c r="A3303" s="2" t="inlineStr">
        <is>
          <t>2026-06-08 (정정: 2026-06-08)</t>
        </is>
      </c>
      <c r="B3303" s="3" t="inlineStr">
        <is>
          <t>이엠텍</t>
        </is>
      </c>
      <c r="C3303" s="2" t="inlineStr">
        <is>
          <t>091120</t>
        </is>
      </c>
      <c r="D3303" s="2" t="inlineStr">
        <is>
          <t>대량보유</t>
        </is>
      </c>
      <c r="E3303" s="3" t="inlineStr">
        <is>
          <t>-</t>
        </is>
      </c>
      <c r="F3303" s="3" t="inlineStr">
        <is>
          <t>보고자</t>
        </is>
      </c>
      <c r="G3303" s="3" t="inlineStr">
        <is>
          <t>-</t>
        </is>
      </c>
      <c r="H3303" s="6" t="inlineStr"/>
      <c r="I3303" s="6" t="inlineStr"/>
      <c r="J3303" s="6" t="inlineStr"/>
      <c r="K3303" s="18" t="inlineStr"/>
      <c r="L3303" s="2" t="inlineStr">
        <is>
          <t>20260608900812</t>
        </is>
      </c>
      <c r="M3303" s="8">
        <f>HYPERLINK("https://dart.fss.or.kr/dsaf001/main.do?rcpNo=20260608900812", "공시열람")</f>
        <v/>
      </c>
    </row>
    <row r="3304" ht="22" customHeight="1">
      <c r="A3304" s="2" t="inlineStr">
        <is>
          <t>2026-06-08</t>
        </is>
      </c>
      <c r="B3304" s="3" t="inlineStr">
        <is>
          <t>솔루엠</t>
        </is>
      </c>
      <c r="C3304" s="2" t="inlineStr">
        <is>
          <t>248070</t>
        </is>
      </c>
      <c r="D3304" s="2" t="inlineStr">
        <is>
          <t>임원보고</t>
        </is>
      </c>
      <c r="E3304" s="3" t="inlineStr">
        <is>
          <t>-</t>
        </is>
      </c>
      <c r="F3304" s="3" t="inlineStr">
        <is>
          <t>-</t>
        </is>
      </c>
      <c r="G3304" s="3" t="inlineStr">
        <is>
          <t>-</t>
        </is>
      </c>
      <c r="H3304" s="6" t="inlineStr"/>
      <c r="I3304" s="6" t="inlineStr"/>
      <c r="J3304" s="6" t="inlineStr"/>
      <c r="K3304" s="16" t="n">
        <v>12</v>
      </c>
      <c r="L3304" s="2" t="inlineStr">
        <is>
          <t>20260608800865</t>
        </is>
      </c>
      <c r="M3304" s="8">
        <f>HYPERLINK("https://dart.fss.or.kr/dsaf001/main.do?rcpNo=20260608800865", "공시열람")</f>
        <v/>
      </c>
    </row>
    <row r="3305" ht="22" customHeight="1">
      <c r="A3305" s="2" t="inlineStr">
        <is>
          <t>2026-06-08</t>
        </is>
      </c>
      <c r="B3305" s="3" t="inlineStr">
        <is>
          <t>알엔티엑스</t>
        </is>
      </c>
      <c r="C3305" s="2" t="inlineStr">
        <is>
          <t>123010</t>
        </is>
      </c>
      <c r="D3305" s="2" t="inlineStr">
        <is>
          <t>대량보유</t>
        </is>
      </c>
      <c r="E3305" s="3" t="inlineStr">
        <is>
          <t>(주)알엔투테크놀로지</t>
        </is>
      </c>
      <c r="F3305" s="3" t="inlineStr">
        <is>
          <t>특별관계자</t>
        </is>
      </c>
      <c r="G3305" s="3" t="inlineStr">
        <is>
          <t>장외매도(-), 행사가액조정</t>
        </is>
      </c>
      <c r="H3305" s="17" t="n">
        <v>-6987756</v>
      </c>
      <c r="I3305" s="6" t="n">
        <v>1791</v>
      </c>
      <c r="J3305" s="6" t="n">
        <v>2590673</v>
      </c>
      <c r="K3305" s="16" t="n">
        <v>9.92</v>
      </c>
      <c r="L3305" s="2" t="inlineStr">
        <is>
          <t>20260608000373</t>
        </is>
      </c>
      <c r="M3305" s="8">
        <f>HYPERLINK("https://dart.fss.or.kr/dsaf001/main.do?rcpNo=20260608000373", "공시열람")</f>
        <v/>
      </c>
    </row>
    <row r="3306" ht="22" customHeight="1">
      <c r="A3306" s="2" t="inlineStr">
        <is>
          <t>2026-06-08</t>
        </is>
      </c>
      <c r="B3306" s="3" t="inlineStr">
        <is>
          <t>솔루엠</t>
        </is>
      </c>
      <c r="C3306" s="2" t="inlineStr">
        <is>
          <t>248070</t>
        </is>
      </c>
      <c r="D3306" s="2" t="inlineStr">
        <is>
          <t>대량보유</t>
        </is>
      </c>
      <c r="E3306" s="3" t="inlineStr">
        <is>
          <t>전성호</t>
        </is>
      </c>
      <c r="F3306" s="3" t="inlineStr">
        <is>
          <t>특별관계자</t>
        </is>
      </c>
      <c r="G3306" s="3" t="inlineStr">
        <is>
          <t>장내매수(+)</t>
        </is>
      </c>
      <c r="H3306" s="15" t="n">
        <v>40072</v>
      </c>
      <c r="I3306" s="6" t="n">
        <v>18664</v>
      </c>
      <c r="J3306" s="6" t="n">
        <v>7285072</v>
      </c>
      <c r="K3306" s="16" t="n">
        <v>22</v>
      </c>
      <c r="L3306" s="2" t="inlineStr">
        <is>
          <t>20260608000372</t>
        </is>
      </c>
      <c r="M3306" s="8">
        <f>HYPERLINK("https://dart.fss.or.kr/dsaf001/main.do?rcpNo=20260608000372", "공시열람")</f>
        <v/>
      </c>
    </row>
    <row r="3307" ht="22" customHeight="1">
      <c r="A3307" s="2" t="inlineStr">
        <is>
          <t>2026-06-08 (정정: 2026-06-08)</t>
        </is>
      </c>
      <c r="B3307" s="3" t="inlineStr">
        <is>
          <t>한울반도체</t>
        </is>
      </c>
      <c r="C3307" s="2" t="inlineStr">
        <is>
          <t>320000</t>
        </is>
      </c>
      <c r="D3307" s="2" t="inlineStr">
        <is>
          <t>대량보유</t>
        </is>
      </c>
      <c r="E3307" s="3" t="inlineStr">
        <is>
          <t>-</t>
        </is>
      </c>
      <c r="F3307" s="3" t="inlineStr">
        <is>
          <t>보고자</t>
        </is>
      </c>
      <c r="G3307" s="3" t="inlineStr">
        <is>
          <t>-</t>
        </is>
      </c>
      <c r="H3307" s="6" t="inlineStr"/>
      <c r="I3307" s="6" t="inlineStr"/>
      <c r="J3307" s="6" t="inlineStr"/>
      <c r="K3307" s="18" t="inlineStr"/>
      <c r="L3307" s="2" t="inlineStr">
        <is>
          <t>20260608900760</t>
        </is>
      </c>
      <c r="M3307" s="8">
        <f>HYPERLINK("https://dart.fss.or.kr/dsaf001/main.do?rcpNo=20260608900760", "공시열람")</f>
        <v/>
      </c>
    </row>
    <row r="3308" ht="22" customHeight="1">
      <c r="A3308" s="2" t="inlineStr">
        <is>
          <t>2026-06-08</t>
        </is>
      </c>
      <c r="B3308" s="3" t="inlineStr">
        <is>
          <t>인터지스</t>
        </is>
      </c>
      <c r="C3308" s="2" t="inlineStr">
        <is>
          <t>129260</t>
        </is>
      </c>
      <c r="D3308" s="2" t="inlineStr">
        <is>
          <t>임원보고</t>
        </is>
      </c>
      <c r="E3308" s="3" t="inlineStr">
        <is>
          <t>-</t>
        </is>
      </c>
      <c r="F3308" s="3" t="inlineStr">
        <is>
          <t>-</t>
        </is>
      </c>
      <c r="G3308" s="3" t="inlineStr">
        <is>
          <t>-</t>
        </is>
      </c>
      <c r="H3308" s="6" t="inlineStr"/>
      <c r="I3308" s="6" t="inlineStr"/>
      <c r="J3308" s="6" t="inlineStr"/>
      <c r="K3308" s="16" t="n">
        <v>12</v>
      </c>
      <c r="L3308" s="2" t="inlineStr">
        <is>
          <t>20260608800838</t>
        </is>
      </c>
      <c r="M3308" s="8">
        <f>HYPERLINK("https://dart.fss.or.kr/dsaf001/main.do?rcpNo=20260608800838", "공시열람")</f>
        <v/>
      </c>
    </row>
    <row r="3309" ht="22" customHeight="1">
      <c r="A3309" s="2" t="inlineStr">
        <is>
          <t>2026-06-08</t>
        </is>
      </c>
      <c r="B3309" s="3" t="inlineStr">
        <is>
          <t>크래프톤</t>
        </is>
      </c>
      <c r="C3309" s="2" t="inlineStr">
        <is>
          <t>259960</t>
        </is>
      </c>
      <c r="D3309" s="2" t="inlineStr">
        <is>
          <t>대량보유</t>
        </is>
      </c>
      <c r="E3309" s="3" t="inlineStr">
        <is>
          <t>KoThomasWoonyoung</t>
        </is>
      </c>
      <c r="F3309" s="3" t="inlineStr">
        <is>
          <t>특별관계자</t>
        </is>
      </c>
      <c r="G3309" s="3" t="inlineStr">
        <is>
          <t>특별관계해소(-)</t>
        </is>
      </c>
      <c r="H3309" s="17" t="n">
        <v>-6077</v>
      </c>
      <c r="I3309" s="6" t="inlineStr"/>
      <c r="J3309" s="6" t="inlineStr"/>
      <c r="K3309" s="16" t="n">
        <v>31</v>
      </c>
      <c r="L3309" s="2" t="inlineStr">
        <is>
          <t>20260608000348</t>
        </is>
      </c>
      <c r="M3309" s="8">
        <f>HYPERLINK("https://dart.fss.or.kr/dsaf001/main.do?rcpNo=20260608000348", "공시열람")</f>
        <v/>
      </c>
    </row>
    <row r="3310" ht="22" customHeight="1">
      <c r="A3310" s="2" t="inlineStr">
        <is>
          <t>2026-06-08</t>
        </is>
      </c>
      <c r="B3310" s="3" t="inlineStr">
        <is>
          <t>크래프톤</t>
        </is>
      </c>
      <c r="C3310" s="2" t="inlineStr">
        <is>
          <t>259960</t>
        </is>
      </c>
      <c r="D3310" s="2" t="inlineStr">
        <is>
          <t>대량보유</t>
        </is>
      </c>
      <c r="E3310" s="3" t="inlineStr">
        <is>
          <t>장병규</t>
        </is>
      </c>
      <c r="F3310" s="3" t="inlineStr">
        <is>
          <t>특별관계자</t>
        </is>
      </c>
      <c r="G3310" s="3" t="inlineStr">
        <is>
          <t>자사주상여금(+)</t>
        </is>
      </c>
      <c r="H3310" s="15" t="n">
        <v>1801</v>
      </c>
      <c r="I3310" s="6" t="inlineStr"/>
      <c r="J3310" s="6" t="n">
        <v>7173842</v>
      </c>
      <c r="K3310" s="16" t="n">
        <v>31</v>
      </c>
      <c r="L3310" s="2" t="inlineStr">
        <is>
          <t>20260608000348</t>
        </is>
      </c>
      <c r="M3310" s="8">
        <f>HYPERLINK("https://dart.fss.or.kr/dsaf001/main.do?rcpNo=20260608000348", "공시열람")</f>
        <v/>
      </c>
    </row>
    <row r="3311" ht="22" customHeight="1">
      <c r="A3311" s="2" t="inlineStr">
        <is>
          <t>2026-06-08</t>
        </is>
      </c>
      <c r="B3311" s="3" t="inlineStr">
        <is>
          <t>크래프톤</t>
        </is>
      </c>
      <c r="C3311" s="2" t="inlineStr">
        <is>
          <t>259960</t>
        </is>
      </c>
      <c r="D3311" s="2" t="inlineStr">
        <is>
          <t>대량보유</t>
        </is>
      </c>
      <c r="E3311" s="3" t="inlineStr">
        <is>
          <t>배동근</t>
        </is>
      </c>
      <c r="F3311" s="3" t="inlineStr">
        <is>
          <t>특별관계자</t>
        </is>
      </c>
      <c r="G3311" s="3" t="inlineStr">
        <is>
          <t>자사주상여금(+)</t>
        </is>
      </c>
      <c r="H3311" s="15" t="n">
        <v>2055</v>
      </c>
      <c r="I3311" s="6" t="inlineStr"/>
      <c r="J3311" s="6" t="n">
        <v>15000</v>
      </c>
      <c r="K3311" s="16" t="n">
        <v>31</v>
      </c>
      <c r="L3311" s="2" t="inlineStr">
        <is>
          <t>20260608000348</t>
        </is>
      </c>
      <c r="M3311" s="8">
        <f>HYPERLINK("https://dart.fss.or.kr/dsaf001/main.do?rcpNo=20260608000348", "공시열람")</f>
        <v/>
      </c>
    </row>
    <row r="3312" ht="22" customHeight="1">
      <c r="A3312" s="2" t="inlineStr">
        <is>
          <t>2026-06-08</t>
        </is>
      </c>
      <c r="B3312" s="3" t="inlineStr">
        <is>
          <t>크래프톤</t>
        </is>
      </c>
      <c r="C3312" s="2" t="inlineStr">
        <is>
          <t>259960</t>
        </is>
      </c>
      <c r="D3312" s="2" t="inlineStr">
        <is>
          <t>대량보유</t>
        </is>
      </c>
      <c r="E3312" s="3" t="inlineStr">
        <is>
          <t>임우열</t>
        </is>
      </c>
      <c r="F3312" s="3" t="inlineStr">
        <is>
          <t>특별관계자</t>
        </is>
      </c>
      <c r="G3312" s="3" t="inlineStr">
        <is>
          <t>자사주상여금(+), 주식매수선택권행사(-), 주식매수선택권행사(+)</t>
        </is>
      </c>
      <c r="H3312" s="15" t="n">
        <v>245</v>
      </c>
      <c r="I3312" s="6" t="n">
        <v>190000</v>
      </c>
      <c r="J3312" s="6" t="n">
        <v>4974</v>
      </c>
      <c r="K3312" s="16" t="n">
        <v>31</v>
      </c>
      <c r="L3312" s="2" t="inlineStr">
        <is>
          <t>20260608000348</t>
        </is>
      </c>
      <c r="M3312" s="8">
        <f>HYPERLINK("https://dart.fss.or.kr/dsaf001/main.do?rcpNo=20260608000348", "공시열람")</f>
        <v/>
      </c>
    </row>
    <row r="3313" ht="22" customHeight="1">
      <c r="A3313" s="2" t="inlineStr">
        <is>
          <t>2026-06-08</t>
        </is>
      </c>
      <c r="B3313" s="3" t="inlineStr">
        <is>
          <t>크래프톤</t>
        </is>
      </c>
      <c r="C3313" s="2" t="inlineStr">
        <is>
          <t>259960</t>
        </is>
      </c>
      <c r="D3313" s="2" t="inlineStr">
        <is>
          <t>대량보유</t>
        </is>
      </c>
      <c r="E3313" s="3" t="inlineStr">
        <is>
          <t>유재영</t>
        </is>
      </c>
      <c r="F3313" s="3" t="inlineStr">
        <is>
          <t>특별관계자</t>
        </is>
      </c>
      <c r="G3313" s="3" t="inlineStr">
        <is>
          <t>자사주상여금(+)</t>
        </is>
      </c>
      <c r="H3313" s="15" t="n">
        <v>512</v>
      </c>
      <c r="I3313" s="6" t="inlineStr"/>
      <c r="J3313" s="6" t="n">
        <v>565</v>
      </c>
      <c r="K3313" s="16" t="n">
        <v>31</v>
      </c>
      <c r="L3313" s="2" t="inlineStr">
        <is>
          <t>20260608000348</t>
        </is>
      </c>
      <c r="M3313" s="8">
        <f>HYPERLINK("https://dart.fss.or.kr/dsaf001/main.do?rcpNo=20260608000348", "공시열람")</f>
        <v/>
      </c>
    </row>
    <row r="3314" ht="22" customHeight="1">
      <c r="A3314" s="2" t="inlineStr">
        <is>
          <t>2026-06-08</t>
        </is>
      </c>
      <c r="B3314" s="3" t="inlineStr">
        <is>
          <t>크래프톤</t>
        </is>
      </c>
      <c r="C3314" s="2" t="inlineStr">
        <is>
          <t>259960</t>
        </is>
      </c>
      <c r="D3314" s="2" t="inlineStr">
        <is>
          <t>대량보유</t>
        </is>
      </c>
      <c r="E3314" s="3" t="inlineStr">
        <is>
          <t>이병욱</t>
        </is>
      </c>
      <c r="F3314" s="3" t="inlineStr">
        <is>
          <t>특별관계자</t>
        </is>
      </c>
      <c r="G3314" s="3" t="inlineStr">
        <is>
          <t>자사주상여금(+)</t>
        </is>
      </c>
      <c r="H3314" s="15" t="n">
        <v>930</v>
      </c>
      <c r="I3314" s="6" t="inlineStr"/>
      <c r="J3314" s="6" t="n">
        <v>13225</v>
      </c>
      <c r="K3314" s="16" t="n">
        <v>31</v>
      </c>
      <c r="L3314" s="2" t="inlineStr">
        <is>
          <t>20260608000348</t>
        </is>
      </c>
      <c r="M3314" s="8">
        <f>HYPERLINK("https://dart.fss.or.kr/dsaf001/main.do?rcpNo=20260608000348", "공시열람")</f>
        <v/>
      </c>
    </row>
    <row r="3315" ht="22" customHeight="1">
      <c r="A3315" s="2" t="inlineStr">
        <is>
          <t>2026-06-08</t>
        </is>
      </c>
      <c r="B3315" s="3" t="inlineStr">
        <is>
          <t>크래프톤</t>
        </is>
      </c>
      <c r="C3315" s="2" t="inlineStr">
        <is>
          <t>259960</t>
        </is>
      </c>
      <c r="D3315" s="2" t="inlineStr">
        <is>
          <t>대량보유</t>
        </is>
      </c>
      <c r="E3315" s="3" t="inlineStr">
        <is>
          <t>이강욱</t>
        </is>
      </c>
      <c r="F3315" s="3" t="inlineStr">
        <is>
          <t>특별관계자</t>
        </is>
      </c>
      <c r="G3315" s="3" t="inlineStr">
        <is>
          <t>자사주상여금(+)</t>
        </is>
      </c>
      <c r="H3315" s="15" t="n">
        <v>1350</v>
      </c>
      <c r="I3315" s="6" t="inlineStr"/>
      <c r="J3315" s="6" t="n">
        <v>4100</v>
      </c>
      <c r="K3315" s="16" t="n">
        <v>31</v>
      </c>
      <c r="L3315" s="2" t="inlineStr">
        <is>
          <t>20260608000348</t>
        </is>
      </c>
      <c r="M3315" s="8">
        <f>HYPERLINK("https://dart.fss.or.kr/dsaf001/main.do?rcpNo=20260608000348", "공시열람")</f>
        <v/>
      </c>
    </row>
    <row r="3316" ht="22" customHeight="1">
      <c r="A3316" s="2" t="inlineStr">
        <is>
          <t>2026-06-08</t>
        </is>
      </c>
      <c r="B3316" s="3" t="inlineStr">
        <is>
          <t>크래프톤</t>
        </is>
      </c>
      <c r="C3316" s="2" t="inlineStr">
        <is>
          <t>259960</t>
        </is>
      </c>
      <c r="D3316" s="2" t="inlineStr">
        <is>
          <t>대량보유</t>
        </is>
      </c>
      <c r="E3316" s="3" t="inlineStr">
        <is>
          <t>조혁일</t>
        </is>
      </c>
      <c r="F3316" s="3" t="inlineStr">
        <is>
          <t>특별관계자</t>
        </is>
      </c>
      <c r="G3316" s="3" t="inlineStr">
        <is>
          <t>자사주상여금(+)</t>
        </is>
      </c>
      <c r="H3316" s="15" t="n">
        <v>197</v>
      </c>
      <c r="I3316" s="6" t="inlineStr"/>
      <c r="J3316" s="6" t="n">
        <v>1268</v>
      </c>
      <c r="K3316" s="16" t="n">
        <v>31</v>
      </c>
      <c r="L3316" s="2" t="inlineStr">
        <is>
          <t>20260608000348</t>
        </is>
      </c>
      <c r="M3316" s="8">
        <f>HYPERLINK("https://dart.fss.or.kr/dsaf001/main.do?rcpNo=20260608000348", "공시열람")</f>
        <v/>
      </c>
    </row>
    <row r="3317" ht="22" customHeight="1">
      <c r="A3317" s="2" t="inlineStr">
        <is>
          <t>2026-06-08</t>
        </is>
      </c>
      <c r="B3317" s="3" t="inlineStr">
        <is>
          <t>크래프톤</t>
        </is>
      </c>
      <c r="C3317" s="2" t="inlineStr">
        <is>
          <t>259960</t>
        </is>
      </c>
      <c r="D3317" s="2" t="inlineStr">
        <is>
          <t>대량보유</t>
        </is>
      </c>
      <c r="E3317" s="3" t="inlineStr">
        <is>
          <t>한소영</t>
        </is>
      </c>
      <c r="F3317" s="3" t="inlineStr">
        <is>
          <t>특별관계자</t>
        </is>
      </c>
      <c r="G3317" s="3" t="inlineStr">
        <is>
          <t>자사주상여금(+)</t>
        </is>
      </c>
      <c r="H3317" s="15" t="n">
        <v>170</v>
      </c>
      <c r="I3317" s="6" t="inlineStr"/>
      <c r="J3317" s="6" t="n">
        <v>170</v>
      </c>
      <c r="K3317" s="16" t="n">
        <v>31</v>
      </c>
      <c r="L3317" s="2" t="inlineStr">
        <is>
          <t>20260608000348</t>
        </is>
      </c>
      <c r="M3317" s="8">
        <f>HYPERLINK("https://dart.fss.or.kr/dsaf001/main.do?rcpNo=20260608000348", "공시열람")</f>
        <v/>
      </c>
    </row>
    <row r="3318" ht="22" customHeight="1">
      <c r="A3318" s="2" t="inlineStr">
        <is>
          <t>2026-06-08</t>
        </is>
      </c>
      <c r="B3318" s="3" t="inlineStr">
        <is>
          <t>크래프톤</t>
        </is>
      </c>
      <c r="C3318" s="2" t="inlineStr">
        <is>
          <t>259960</t>
        </is>
      </c>
      <c r="D3318" s="2" t="inlineStr">
        <is>
          <t>대량보유</t>
        </is>
      </c>
      <c r="E3318" s="3" t="inlineStr">
        <is>
          <t>백양희</t>
        </is>
      </c>
      <c r="F3318" s="3" t="inlineStr">
        <is>
          <t>특별관계자</t>
        </is>
      </c>
      <c r="G3318" s="3" t="inlineStr">
        <is>
          <t>자사주상여금(+)</t>
        </is>
      </c>
      <c r="H3318" s="15" t="n">
        <v>500</v>
      </c>
      <c r="I3318" s="6" t="inlineStr"/>
      <c r="J3318" s="6" t="n">
        <v>500</v>
      </c>
      <c r="K3318" s="16" t="n">
        <v>31</v>
      </c>
      <c r="L3318" s="2" t="inlineStr">
        <is>
          <t>20260608000348</t>
        </is>
      </c>
      <c r="M3318" s="8">
        <f>HYPERLINK("https://dart.fss.or.kr/dsaf001/main.do?rcpNo=20260608000348", "공시열람")</f>
        <v/>
      </c>
    </row>
    <row r="3319" ht="22" customHeight="1">
      <c r="A3319" s="2" t="inlineStr">
        <is>
          <t>2026-06-08</t>
        </is>
      </c>
      <c r="B3319" s="3" t="inlineStr">
        <is>
          <t>야스</t>
        </is>
      </c>
      <c r="C3319" s="2" t="inlineStr">
        <is>
          <t>255440</t>
        </is>
      </c>
      <c r="D3319" s="2" t="inlineStr">
        <is>
          <t>대량보유</t>
        </is>
      </c>
      <c r="E3319" s="3" t="inlineStr">
        <is>
          <t>정광호</t>
        </is>
      </c>
      <c r="F3319" s="3" t="inlineStr">
        <is>
          <t>보고자</t>
        </is>
      </c>
      <c r="G3319" s="3" t="inlineStr">
        <is>
          <t>주식담보대출 기간연장</t>
        </is>
      </c>
      <c r="H3319" s="6" t="inlineStr"/>
      <c r="I3319" s="6" t="inlineStr"/>
      <c r="J3319" s="6" t="n">
        <v>6083500</v>
      </c>
      <c r="K3319" s="16" t="n">
        <v>4</v>
      </c>
      <c r="L3319" s="2" t="inlineStr">
        <is>
          <t>20260608000346</t>
        </is>
      </c>
      <c r="M3319" s="8">
        <f>HYPERLINK("https://dart.fss.or.kr/dsaf001/main.do?rcpNo=20260608000346", "공시열람")</f>
        <v/>
      </c>
    </row>
    <row r="3320" ht="22" customHeight="1">
      <c r="A3320" s="2" t="inlineStr">
        <is>
          <t>2026-06-08 (정정: 2026-06-08)</t>
        </is>
      </c>
      <c r="B3320" s="3" t="inlineStr">
        <is>
          <t>동화기업</t>
        </is>
      </c>
      <c r="C3320" s="2" t="inlineStr">
        <is>
          <t>025900</t>
        </is>
      </c>
      <c r="D3320" s="2" t="inlineStr">
        <is>
          <t>대량보유</t>
        </is>
      </c>
      <c r="E3320" s="3" t="inlineStr">
        <is>
          <t>-</t>
        </is>
      </c>
      <c r="F3320" s="3" t="inlineStr">
        <is>
          <t>보고자</t>
        </is>
      </c>
      <c r="G3320" s="3" t="inlineStr">
        <is>
          <t>-</t>
        </is>
      </c>
      <c r="H3320" s="6" t="inlineStr"/>
      <c r="I3320" s="6" t="inlineStr"/>
      <c r="J3320" s="6" t="inlineStr"/>
      <c r="K3320" s="18" t="inlineStr"/>
      <c r="L3320" s="2" t="inlineStr">
        <is>
          <t>20260608000286</t>
        </is>
      </c>
      <c r="M3320" s="8">
        <f>HYPERLINK("https://dart.fss.or.kr/dsaf001/main.do?rcpNo=20260608000286", "공시열람")</f>
        <v/>
      </c>
    </row>
    <row r="3321" ht="22" customHeight="1">
      <c r="A3321" s="2" t="inlineStr">
        <is>
          <t>2026-06-08</t>
        </is>
      </c>
      <c r="B3321" s="3" t="inlineStr">
        <is>
          <t>사조대림</t>
        </is>
      </c>
      <c r="C3321" s="2" t="inlineStr">
        <is>
          <t>003960</t>
        </is>
      </c>
      <c r="D3321" s="2" t="inlineStr">
        <is>
          <t>임원보고</t>
        </is>
      </c>
      <c r="E3321" s="3" t="inlineStr">
        <is>
          <t>-</t>
        </is>
      </c>
      <c r="F3321" s="3" t="inlineStr">
        <is>
          <t>-</t>
        </is>
      </c>
      <c r="G3321" s="3" t="inlineStr">
        <is>
          <t>-</t>
        </is>
      </c>
      <c r="H3321" s="6" t="inlineStr"/>
      <c r="I3321" s="6" t="inlineStr"/>
      <c r="J3321" s="6" t="inlineStr"/>
      <c r="K3321" s="16" t="n">
        <v>12</v>
      </c>
      <c r="L3321" s="2" t="inlineStr">
        <is>
          <t>20260608800808</t>
        </is>
      </c>
      <c r="M3321" s="8">
        <f>HYPERLINK("https://dart.fss.or.kr/dsaf001/main.do?rcpNo=20260608800808", "공시열람")</f>
        <v/>
      </c>
    </row>
    <row r="3322" ht="22" customHeight="1">
      <c r="A3322" s="2" t="inlineStr">
        <is>
          <t>2026-06-08</t>
        </is>
      </c>
      <c r="B3322" s="3" t="inlineStr">
        <is>
          <t>케이탑리츠</t>
        </is>
      </c>
      <c r="C3322" s="2" t="inlineStr">
        <is>
          <t>145270</t>
        </is>
      </c>
      <c r="D3322" s="2" t="inlineStr">
        <is>
          <t>임원보고</t>
        </is>
      </c>
      <c r="E3322" s="3" t="inlineStr">
        <is>
          <t>-</t>
        </is>
      </c>
      <c r="F3322" s="3" t="inlineStr">
        <is>
          <t>-</t>
        </is>
      </c>
      <c r="G3322" s="3" t="inlineStr">
        <is>
          <t>-</t>
        </is>
      </c>
      <c r="H3322" s="6" t="inlineStr"/>
      <c r="I3322" s="6" t="inlineStr"/>
      <c r="J3322" s="6" t="inlineStr"/>
      <c r="K3322" s="16" t="n">
        <v>12</v>
      </c>
      <c r="L3322" s="2" t="inlineStr">
        <is>
          <t>20260608800806</t>
        </is>
      </c>
      <c r="M3322" s="8">
        <f>HYPERLINK("https://dart.fss.or.kr/dsaf001/main.do?rcpNo=20260608800806", "공시열람")</f>
        <v/>
      </c>
    </row>
    <row r="3323" ht="22" customHeight="1">
      <c r="A3323" s="2" t="inlineStr">
        <is>
          <t>2026-06-08</t>
        </is>
      </c>
      <c r="B3323" s="3" t="inlineStr">
        <is>
          <t>보로노이</t>
        </is>
      </c>
      <c r="C3323" s="2" t="inlineStr">
        <is>
          <t>310210</t>
        </is>
      </c>
      <c r="D3323" s="2" t="inlineStr">
        <is>
          <t>대량보유</t>
        </is>
      </c>
      <c r="E3323" s="3" t="inlineStr">
        <is>
          <t>김성환</t>
        </is>
      </c>
      <c r="F3323" s="3" t="inlineStr">
        <is>
          <t>특별관계자</t>
        </is>
      </c>
      <c r="G3323" s="3" t="inlineStr">
        <is>
          <t>주식매수선택권행사(-), 주식매수선택권행사(+)</t>
        </is>
      </c>
      <c r="H3323" s="6" t="inlineStr"/>
      <c r="I3323" s="6" t="n">
        <v>70000</v>
      </c>
      <c r="J3323" s="6" t="n">
        <v>4000</v>
      </c>
      <c r="K3323" s="16" t="n">
        <v>9</v>
      </c>
      <c r="L3323" s="2" t="inlineStr">
        <is>
          <t>20260608000324</t>
        </is>
      </c>
      <c r="M3323" s="8">
        <f>HYPERLINK("https://dart.fss.or.kr/dsaf001/main.do?rcpNo=20260608000324", "공시열람")</f>
        <v/>
      </c>
    </row>
    <row r="3324" ht="22" customHeight="1">
      <c r="A3324" s="2" t="inlineStr">
        <is>
          <t>2026-06-08</t>
        </is>
      </c>
      <c r="B3324" s="3" t="inlineStr">
        <is>
          <t>보로노이</t>
        </is>
      </c>
      <c r="C3324" s="2" t="inlineStr">
        <is>
          <t>310210</t>
        </is>
      </c>
      <c r="D3324" s="2" t="inlineStr">
        <is>
          <t>대량보유</t>
        </is>
      </c>
      <c r="E3324" s="3" t="inlineStr">
        <is>
          <t>이상진</t>
        </is>
      </c>
      <c r="F3324" s="3" t="inlineStr">
        <is>
          <t>특별관계자</t>
        </is>
      </c>
      <c r="G3324" s="3" t="inlineStr">
        <is>
          <t>주식매수선택권행사(-), 주식매수선택권행사(+)</t>
        </is>
      </c>
      <c r="H3324" s="6" t="inlineStr"/>
      <c r="I3324" s="6" t="n">
        <v>70000</v>
      </c>
      <c r="J3324" s="6" t="n">
        <v>3000</v>
      </c>
      <c r="K3324" s="16" t="n">
        <v>9</v>
      </c>
      <c r="L3324" s="2" t="inlineStr">
        <is>
          <t>20260608000324</t>
        </is>
      </c>
      <c r="M3324" s="8">
        <f>HYPERLINK("https://dart.fss.or.kr/dsaf001/main.do?rcpNo=20260608000324", "공시열람")</f>
        <v/>
      </c>
    </row>
    <row r="3325" ht="22" customHeight="1">
      <c r="A3325" s="2" t="inlineStr">
        <is>
          <t>2026-06-08</t>
        </is>
      </c>
      <c r="B3325" s="3" t="inlineStr">
        <is>
          <t>사조오양</t>
        </is>
      </c>
      <c r="C3325" s="2" t="inlineStr">
        <is>
          <t>006090</t>
        </is>
      </c>
      <c r="D3325" s="2" t="inlineStr">
        <is>
          <t>임원보고</t>
        </is>
      </c>
      <c r="E3325" s="3" t="inlineStr">
        <is>
          <t>-</t>
        </is>
      </c>
      <c r="F3325" s="3" t="inlineStr">
        <is>
          <t>-</t>
        </is>
      </c>
      <c r="G3325" s="3" t="inlineStr">
        <is>
          <t>-</t>
        </is>
      </c>
      <c r="H3325" s="6" t="inlineStr"/>
      <c r="I3325" s="6" t="inlineStr"/>
      <c r="J3325" s="6" t="inlineStr"/>
      <c r="K3325" s="16" t="n">
        <v>12</v>
      </c>
      <c r="L3325" s="2" t="inlineStr">
        <is>
          <t>20260608800804</t>
        </is>
      </c>
      <c r="M3325" s="8">
        <f>HYPERLINK("https://dart.fss.or.kr/dsaf001/main.do?rcpNo=20260608800804", "공시열람")</f>
        <v/>
      </c>
    </row>
    <row r="3326" ht="22" customHeight="1">
      <c r="A3326" s="2" t="inlineStr">
        <is>
          <t>2026-06-08</t>
        </is>
      </c>
      <c r="B3326" s="3" t="inlineStr">
        <is>
          <t>사조대림</t>
        </is>
      </c>
      <c r="C3326" s="2" t="inlineStr">
        <is>
          <t>003960</t>
        </is>
      </c>
      <c r="D3326" s="2" t="inlineStr">
        <is>
          <t>대량보유</t>
        </is>
      </c>
      <c r="E3326" s="3" t="inlineStr">
        <is>
          <t>(주)사조랜더텍</t>
        </is>
      </c>
      <c r="F3326" s="3" t="inlineStr">
        <is>
          <t>특별관계자</t>
        </is>
      </c>
      <c r="G3326" s="3" t="inlineStr">
        <is>
          <t>장내매수(+)</t>
        </is>
      </c>
      <c r="H3326" s="15" t="n">
        <v>61719</v>
      </c>
      <c r="I3326" s="6" t="n">
        <v>29785</v>
      </c>
      <c r="J3326" s="6" t="n">
        <v>377895</v>
      </c>
      <c r="K3326" s="16" t="n">
        <v>10</v>
      </c>
      <c r="L3326" s="2" t="inlineStr">
        <is>
          <t>20260608000320</t>
        </is>
      </c>
      <c r="M3326" s="8">
        <f>HYPERLINK("https://dart.fss.or.kr/dsaf001/main.do?rcpNo=20260608000320", "공시열람")</f>
        <v/>
      </c>
    </row>
    <row r="3327" ht="22" customHeight="1">
      <c r="A3327" s="2" t="inlineStr">
        <is>
          <t>2026-06-08</t>
        </is>
      </c>
      <c r="B3327" s="3" t="inlineStr">
        <is>
          <t>사조대림</t>
        </is>
      </c>
      <c r="C3327" s="2" t="inlineStr">
        <is>
          <t>003960</t>
        </is>
      </c>
      <c r="D3327" s="2" t="inlineStr">
        <is>
          <t>대량보유</t>
        </is>
      </c>
      <c r="E3327" s="3" t="inlineStr">
        <is>
          <t>(주)캐슬렉스제주</t>
        </is>
      </c>
      <c r="F3327" s="3" t="inlineStr">
        <is>
          <t>특별관계자</t>
        </is>
      </c>
      <c r="G3327" s="3" t="inlineStr">
        <is>
          <t>장내매수(+)</t>
        </is>
      </c>
      <c r="H3327" s="15" t="n">
        <v>34204</v>
      </c>
      <c r="I3327" s="6" t="n">
        <v>29372</v>
      </c>
      <c r="J3327" s="6" t="n">
        <v>288208</v>
      </c>
      <c r="K3327" s="16" t="n">
        <v>10</v>
      </c>
      <c r="L3327" s="2" t="inlineStr">
        <is>
          <t>20260608000320</t>
        </is>
      </c>
      <c r="M3327" s="8">
        <f>HYPERLINK("https://dart.fss.or.kr/dsaf001/main.do?rcpNo=20260608000320", "공시열람")</f>
        <v/>
      </c>
    </row>
    <row r="3328" ht="22" customHeight="1">
      <c r="A3328" s="2" t="inlineStr">
        <is>
          <t>2026-06-08</t>
        </is>
      </c>
      <c r="B3328" s="3" t="inlineStr">
        <is>
          <t>공구우먼</t>
        </is>
      </c>
      <c r="C3328" s="2" t="inlineStr">
        <is>
          <t>366030</t>
        </is>
      </c>
      <c r="D3328" s="2" t="inlineStr">
        <is>
          <t>대량보유</t>
        </is>
      </c>
      <c r="E3328" s="3" t="inlineStr">
        <is>
          <t>김주영</t>
        </is>
      </c>
      <c r="F3328" s="3" t="inlineStr">
        <is>
          <t>보고자</t>
        </is>
      </c>
      <c r="G3328" s="3" t="inlineStr">
        <is>
          <t>경영권 변경 후 잔여지분 매각을 위한 주식매매계약 체결</t>
        </is>
      </c>
      <c r="H3328" s="6" t="inlineStr"/>
      <c r="I3328" s="6" t="inlineStr"/>
      <c r="J3328" s="6" t="n">
        <v>5000000</v>
      </c>
      <c r="K3328" s="16" t="n">
        <v>4</v>
      </c>
      <c r="L3328" s="2" t="inlineStr">
        <is>
          <t>20260608000317</t>
        </is>
      </c>
      <c r="M3328" s="8">
        <f>HYPERLINK("https://dart.fss.or.kr/dsaf001/main.do?rcpNo=20260608000317", "공시열람")</f>
        <v/>
      </c>
    </row>
    <row r="3329" ht="22" customHeight="1">
      <c r="A3329" s="2" t="inlineStr">
        <is>
          <t>2026-06-08</t>
        </is>
      </c>
      <c r="B3329" s="3" t="inlineStr">
        <is>
          <t>사조오양</t>
        </is>
      </c>
      <c r="C3329" s="2" t="inlineStr">
        <is>
          <t>006090</t>
        </is>
      </c>
      <c r="D3329" s="2" t="inlineStr">
        <is>
          <t>대량보유</t>
        </is>
      </c>
      <c r="E3329" s="3" t="inlineStr">
        <is>
          <t>주지홍</t>
        </is>
      </c>
      <c r="F3329" s="3" t="inlineStr">
        <is>
          <t>특별관계자</t>
        </is>
      </c>
      <c r="G3329" s="3" t="inlineStr">
        <is>
          <t>장내매수(+)</t>
        </is>
      </c>
      <c r="H3329" s="15" t="n">
        <v>90000</v>
      </c>
      <c r="I3329" s="6" t="n">
        <v>8242</v>
      </c>
      <c r="J3329" s="6" t="n">
        <v>90000</v>
      </c>
      <c r="K3329" s="16" t="n">
        <v>5</v>
      </c>
      <c r="L3329" s="2" t="inlineStr">
        <is>
          <t>20260608000313</t>
        </is>
      </c>
      <c r="M3329" s="8">
        <f>HYPERLINK("https://dart.fss.or.kr/dsaf001/main.do?rcpNo=20260608000313", "공시열람")</f>
        <v/>
      </c>
    </row>
    <row r="3330" ht="22" customHeight="1">
      <c r="A3330" s="2" t="inlineStr">
        <is>
          <t>2026-06-08</t>
        </is>
      </c>
      <c r="B3330" s="3" t="inlineStr">
        <is>
          <t>사조오양</t>
        </is>
      </c>
      <c r="C3330" s="2" t="inlineStr">
        <is>
          <t>006090</t>
        </is>
      </c>
      <c r="D3330" s="2" t="inlineStr">
        <is>
          <t>대량보유</t>
        </is>
      </c>
      <c r="E3330" s="3" t="inlineStr">
        <is>
          <t>윤성애</t>
        </is>
      </c>
      <c r="F3330" s="3" t="inlineStr">
        <is>
          <t>특별관계자</t>
        </is>
      </c>
      <c r="G3330" s="3" t="inlineStr">
        <is>
          <t>장내매수(+)</t>
        </is>
      </c>
      <c r="H3330" s="15" t="n">
        <v>12577</v>
      </c>
      <c r="I3330" s="6" t="n">
        <v>7974</v>
      </c>
      <c r="J3330" s="6" t="n">
        <v>12577</v>
      </c>
      <c r="K3330" s="16" t="n">
        <v>5</v>
      </c>
      <c r="L3330" s="2" t="inlineStr">
        <is>
          <t>20260608000313</t>
        </is>
      </c>
      <c r="M3330" s="8">
        <f>HYPERLINK("https://dart.fss.or.kr/dsaf001/main.do?rcpNo=20260608000313", "공시열람")</f>
        <v/>
      </c>
    </row>
    <row r="3331" ht="22" customHeight="1">
      <c r="A3331" s="2" t="inlineStr">
        <is>
          <t>2026-06-08</t>
        </is>
      </c>
      <c r="B3331" s="3" t="inlineStr">
        <is>
          <t>사조산업</t>
        </is>
      </c>
      <c r="C3331" s="2" t="inlineStr">
        <is>
          <t>007160</t>
        </is>
      </c>
      <c r="D3331" s="2" t="inlineStr">
        <is>
          <t>대량보유</t>
        </is>
      </c>
      <c r="E3331" s="3" t="inlineStr">
        <is>
          <t>주진우</t>
        </is>
      </c>
      <c r="F3331" s="3" t="inlineStr">
        <is>
          <t>보고자</t>
        </is>
      </c>
      <c r="G3331" s="3" t="inlineStr">
        <is>
          <t>특수관계자가 주식담보 계약 해지</t>
        </is>
      </c>
      <c r="H3331" s="6" t="inlineStr"/>
      <c r="I3331" s="6" t="inlineStr"/>
      <c r="J3331" s="6" t="n">
        <v>3379455</v>
      </c>
      <c r="K3331" s="16" t="n">
        <v>9</v>
      </c>
      <c r="L3331" s="2" t="inlineStr">
        <is>
          <t>20260608000311</t>
        </is>
      </c>
      <c r="M3331" s="8">
        <f>HYPERLINK("https://dart.fss.or.kr/dsaf001/main.do?rcpNo=20260608000311", "공시열람")</f>
        <v/>
      </c>
    </row>
    <row r="3332" ht="22" customHeight="1">
      <c r="A3332" s="2" t="inlineStr">
        <is>
          <t>2026-06-08</t>
        </is>
      </c>
      <c r="B3332" s="3" t="inlineStr">
        <is>
          <t>에이루트</t>
        </is>
      </c>
      <c r="C3332" s="2" t="inlineStr">
        <is>
          <t>096690</t>
        </is>
      </c>
      <c r="D3332" s="2" t="inlineStr">
        <is>
          <t>대량보유</t>
        </is>
      </c>
      <c r="E3332" s="3" t="inlineStr">
        <is>
          <t>이대성</t>
        </is>
      </c>
      <c r="F3332" s="3" t="inlineStr">
        <is>
          <t>특별관계자</t>
        </is>
      </c>
      <c r="G3332" s="3" t="inlineStr">
        <is>
          <t>장내매수(+)</t>
        </is>
      </c>
      <c r="H3332" s="15" t="n">
        <v>18641</v>
      </c>
      <c r="I3332" s="6" t="n">
        <v>5907</v>
      </c>
      <c r="J3332" s="6" t="n">
        <v>60170</v>
      </c>
      <c r="K3332" s="16" t="n">
        <v>4</v>
      </c>
      <c r="L3332" s="2" t="inlineStr">
        <is>
          <t>20260608000308</t>
        </is>
      </c>
      <c r="M3332" s="8">
        <f>HYPERLINK("https://dart.fss.or.kr/dsaf001/main.do?rcpNo=20260608000308", "공시열람")</f>
        <v/>
      </c>
    </row>
    <row r="3333" ht="22" customHeight="1">
      <c r="A3333" s="2" t="inlineStr">
        <is>
          <t>2026-06-08</t>
        </is>
      </c>
      <c r="B3333" s="3" t="inlineStr">
        <is>
          <t>에이루트</t>
        </is>
      </c>
      <c r="C3333" s="2" t="inlineStr">
        <is>
          <t>096690</t>
        </is>
      </c>
      <c r="D3333" s="2" t="inlineStr">
        <is>
          <t>대량보유</t>
        </is>
      </c>
      <c r="E3333" s="3" t="inlineStr">
        <is>
          <t>서문동군</t>
        </is>
      </c>
      <c r="F3333" s="3" t="inlineStr">
        <is>
          <t>특별관계자</t>
        </is>
      </c>
      <c r="G3333" s="3" t="inlineStr">
        <is>
          <t>장내매수(+)</t>
        </is>
      </c>
      <c r="H3333" s="15" t="n">
        <v>4874</v>
      </c>
      <c r="I3333" s="6" t="n">
        <v>6126</v>
      </c>
      <c r="J3333" s="6" t="n">
        <v>77933</v>
      </c>
      <c r="K3333" s="16" t="n">
        <v>4</v>
      </c>
      <c r="L3333" s="2" t="inlineStr">
        <is>
          <t>20260608000308</t>
        </is>
      </c>
      <c r="M3333" s="8">
        <f>HYPERLINK("https://dart.fss.or.kr/dsaf001/main.do?rcpNo=20260608000308", "공시열람")</f>
        <v/>
      </c>
    </row>
    <row r="3334" ht="22" customHeight="1">
      <c r="A3334" s="2" t="inlineStr">
        <is>
          <t>2026-06-08</t>
        </is>
      </c>
      <c r="B3334" s="3" t="inlineStr">
        <is>
          <t>에이루트</t>
        </is>
      </c>
      <c r="C3334" s="2" t="inlineStr">
        <is>
          <t>096690</t>
        </is>
      </c>
      <c r="D3334" s="2" t="inlineStr">
        <is>
          <t>대량보유</t>
        </is>
      </c>
      <c r="E3334" s="3" t="inlineStr">
        <is>
          <t>㈜다올에이엠</t>
        </is>
      </c>
      <c r="F3334" s="3" t="inlineStr">
        <is>
          <t>특별관계자</t>
        </is>
      </c>
      <c r="G3334" s="3" t="inlineStr">
        <is>
          <t>장내매수(+)</t>
        </is>
      </c>
      <c r="H3334" s="15" t="n">
        <v>1000</v>
      </c>
      <c r="I3334" s="6" t="n">
        <v>5906</v>
      </c>
      <c r="J3334" s="6" t="n">
        <v>218432</v>
      </c>
      <c r="K3334" s="16" t="n">
        <v>4</v>
      </c>
      <c r="L3334" s="2" t="inlineStr">
        <is>
          <t>20260608000308</t>
        </is>
      </c>
      <c r="M3334" s="8">
        <f>HYPERLINK("https://dart.fss.or.kr/dsaf001/main.do?rcpNo=20260608000308", "공시열람")</f>
        <v/>
      </c>
    </row>
    <row r="3335" ht="22" customHeight="1">
      <c r="A3335" s="2" t="inlineStr">
        <is>
          <t>2026-06-08</t>
        </is>
      </c>
      <c r="B3335" s="3" t="inlineStr">
        <is>
          <t>BYC</t>
        </is>
      </c>
      <c r="C3335" s="2" t="inlineStr">
        <is>
          <t>001460</t>
        </is>
      </c>
      <c r="D3335" s="2" t="inlineStr">
        <is>
          <t>임원보고</t>
        </is>
      </c>
      <c r="E3335" s="3" t="inlineStr">
        <is>
          <t>-</t>
        </is>
      </c>
      <c r="F3335" s="3" t="inlineStr">
        <is>
          <t>-</t>
        </is>
      </c>
      <c r="G3335" s="3" t="inlineStr">
        <is>
          <t>-</t>
        </is>
      </c>
      <c r="H3335" s="6" t="inlineStr"/>
      <c r="I3335" s="6" t="inlineStr"/>
      <c r="J3335" s="6" t="inlineStr"/>
      <c r="K3335" s="16" t="n">
        <v>12</v>
      </c>
      <c r="L3335" s="2" t="inlineStr">
        <is>
          <t>20260608800779</t>
        </is>
      </c>
      <c r="M3335" s="8">
        <f>HYPERLINK("https://dart.fss.or.kr/dsaf001/main.do?rcpNo=20260608800779", "공시열람")</f>
        <v/>
      </c>
    </row>
    <row r="3336" ht="22" customHeight="1">
      <c r="A3336" s="2" t="inlineStr">
        <is>
          <t>2026-06-08</t>
        </is>
      </c>
      <c r="B3336" s="3" t="inlineStr">
        <is>
          <t>이수스페셜티케미컬</t>
        </is>
      </c>
      <c r="C3336" s="2" t="inlineStr">
        <is>
          <t>457190</t>
        </is>
      </c>
      <c r="D3336" s="2" t="inlineStr">
        <is>
          <t>대량보유</t>
        </is>
      </c>
      <c r="E3336" s="3" t="inlineStr">
        <is>
          <t>(주)이수</t>
        </is>
      </c>
      <c r="F3336" s="3" t="inlineStr">
        <is>
          <t>보고자</t>
        </is>
      </c>
      <c r="G3336" s="3" t="inlineStr">
        <is>
          <t>보유주식에 관한 계약내용 변경 (차입금 담보 수량 변경)</t>
        </is>
      </c>
      <c r="H3336" s="6" t="inlineStr"/>
      <c r="I3336" s="6" t="inlineStr"/>
      <c r="J3336" s="6" t="n">
        <v>10862965</v>
      </c>
      <c r="K3336" s="16" t="n">
        <v>7</v>
      </c>
      <c r="L3336" s="2" t="inlineStr">
        <is>
          <t>20260608000304</t>
        </is>
      </c>
      <c r="M3336" s="8">
        <f>HYPERLINK("https://dart.fss.or.kr/dsaf001/main.do?rcpNo=20260608000304", "공시열람")</f>
        <v/>
      </c>
    </row>
    <row r="3337" ht="22" customHeight="1">
      <c r="A3337" s="2" t="inlineStr">
        <is>
          <t>2026-06-08</t>
        </is>
      </c>
      <c r="B3337" s="3" t="inlineStr">
        <is>
          <t>체시스</t>
        </is>
      </c>
      <c r="C3337" s="2" t="inlineStr">
        <is>
          <t>033250</t>
        </is>
      </c>
      <c r="D3337" s="2" t="inlineStr">
        <is>
          <t>임원보고</t>
        </is>
      </c>
      <c r="E3337" s="3" t="inlineStr">
        <is>
          <t>-</t>
        </is>
      </c>
      <c r="F3337" s="3" t="inlineStr">
        <is>
          <t>-</t>
        </is>
      </c>
      <c r="G3337" s="3" t="inlineStr">
        <is>
          <t>-</t>
        </is>
      </c>
      <c r="H3337" s="6" t="inlineStr"/>
      <c r="I3337" s="6" t="inlineStr"/>
      <c r="J3337" s="6" t="inlineStr"/>
      <c r="K3337" s="16" t="n">
        <v>12</v>
      </c>
      <c r="L3337" s="2" t="inlineStr">
        <is>
          <t>20260608800772</t>
        </is>
      </c>
      <c r="M3337" s="8">
        <f>HYPERLINK("https://dart.fss.or.kr/dsaf001/main.do?rcpNo=20260608800772", "공시열람")</f>
        <v/>
      </c>
    </row>
    <row r="3338" ht="22" customHeight="1">
      <c r="A3338" s="2" t="inlineStr">
        <is>
          <t>2026-06-08</t>
        </is>
      </c>
      <c r="B3338" s="3" t="inlineStr">
        <is>
          <t>태림포장</t>
        </is>
      </c>
      <c r="C3338" s="2" t="inlineStr">
        <is>
          <t>011280</t>
        </is>
      </c>
      <c r="D3338" s="2" t="inlineStr">
        <is>
          <t>임원보고</t>
        </is>
      </c>
      <c r="E3338" s="3" t="inlineStr">
        <is>
          <t>-</t>
        </is>
      </c>
      <c r="F3338" s="3" t="inlineStr">
        <is>
          <t>-</t>
        </is>
      </c>
      <c r="G3338" s="3" t="inlineStr">
        <is>
          <t>-</t>
        </is>
      </c>
      <c r="H3338" s="6" t="inlineStr"/>
      <c r="I3338" s="6" t="inlineStr"/>
      <c r="J3338" s="6" t="inlineStr"/>
      <c r="K3338" s="16" t="n">
        <v>12</v>
      </c>
      <c r="L3338" s="2" t="inlineStr">
        <is>
          <t>20260608800765</t>
        </is>
      </c>
      <c r="M3338" s="8">
        <f>HYPERLINK("https://dart.fss.or.kr/dsaf001/main.do?rcpNo=20260608800765", "공시열람")</f>
        <v/>
      </c>
    </row>
    <row r="3339" ht="22" customHeight="1">
      <c r="A3339" s="2" t="inlineStr">
        <is>
          <t>2026-06-08</t>
        </is>
      </c>
      <c r="B3339" s="3" t="inlineStr">
        <is>
          <t>KG케미칼</t>
        </is>
      </c>
      <c r="C3339" s="2" t="inlineStr">
        <is>
          <t>001390</t>
        </is>
      </c>
      <c r="D3339" s="2" t="inlineStr">
        <is>
          <t>대량보유</t>
        </is>
      </c>
      <c r="E3339" s="3" t="inlineStr">
        <is>
          <t>(주)KG제로인</t>
        </is>
      </c>
      <c r="F3339" s="3" t="inlineStr">
        <is>
          <t>보고자</t>
        </is>
      </c>
      <c r="G3339" s="3" t="inlineStr">
        <is>
          <t>기존 질권 설정 계약 만기 연장</t>
        </is>
      </c>
      <c r="H3339" s="6" t="inlineStr"/>
      <c r="I3339" s="6" t="inlineStr"/>
      <c r="J3339" s="6" t="n">
        <v>36653415</v>
      </c>
      <c r="K3339" s="16" t="n">
        <v>16</v>
      </c>
      <c r="L3339" s="2" t="inlineStr">
        <is>
          <t>20260608000299</t>
        </is>
      </c>
      <c r="M3339" s="8">
        <f>HYPERLINK("https://dart.fss.or.kr/dsaf001/main.do?rcpNo=20260608000299", "공시열람")</f>
        <v/>
      </c>
    </row>
    <row r="3340" ht="22" customHeight="1">
      <c r="A3340" s="2" t="inlineStr">
        <is>
          <t>2026-06-08</t>
        </is>
      </c>
      <c r="B3340" s="3" t="inlineStr">
        <is>
          <t>도화엔지니어링</t>
        </is>
      </c>
      <c r="C3340" s="2" t="inlineStr">
        <is>
          <t>002150</t>
        </is>
      </c>
      <c r="D3340" s="2" t="inlineStr">
        <is>
          <t>임원보고</t>
        </is>
      </c>
      <c r="E3340" s="3" t="inlineStr">
        <is>
          <t>-</t>
        </is>
      </c>
      <c r="F3340" s="3" t="inlineStr">
        <is>
          <t>-</t>
        </is>
      </c>
      <c r="G3340" s="3" t="inlineStr">
        <is>
          <t>-</t>
        </is>
      </c>
      <c r="H3340" s="6" t="inlineStr"/>
      <c r="I3340" s="6" t="inlineStr"/>
      <c r="J3340" s="6" t="inlineStr"/>
      <c r="K3340" s="16" t="n">
        <v>12</v>
      </c>
      <c r="L3340" s="2" t="inlineStr">
        <is>
          <t>20260608800761</t>
        </is>
      </c>
      <c r="M3340" s="8">
        <f>HYPERLINK("https://dart.fss.or.kr/dsaf001/main.do?rcpNo=20260608800761", "공시열람")</f>
        <v/>
      </c>
    </row>
    <row r="3341" ht="22" customHeight="1">
      <c r="A3341" s="2" t="inlineStr">
        <is>
          <t>2026-06-08</t>
        </is>
      </c>
      <c r="B3341" s="3" t="inlineStr">
        <is>
          <t>종근당홀딩스</t>
        </is>
      </c>
      <c r="C3341" s="2" t="inlineStr">
        <is>
          <t>001630</t>
        </is>
      </c>
      <c r="D3341" s="2" t="inlineStr">
        <is>
          <t>임원보고</t>
        </is>
      </c>
      <c r="E3341" s="3" t="inlineStr">
        <is>
          <t>-</t>
        </is>
      </c>
      <c r="F3341" s="3" t="inlineStr">
        <is>
          <t>-</t>
        </is>
      </c>
      <c r="G3341" s="3" t="inlineStr">
        <is>
          <t>-</t>
        </is>
      </c>
      <c r="H3341" s="6" t="inlineStr"/>
      <c r="I3341" s="6" t="inlineStr"/>
      <c r="J3341" s="6" t="inlineStr"/>
      <c r="K3341" s="16" t="n">
        <v>12</v>
      </c>
      <c r="L3341" s="2" t="inlineStr">
        <is>
          <t>20260608800753</t>
        </is>
      </c>
      <c r="M3341" s="8">
        <f>HYPERLINK("https://dart.fss.or.kr/dsaf001/main.do?rcpNo=20260608800753", "공시열람")</f>
        <v/>
      </c>
    </row>
    <row r="3342" ht="22" customHeight="1">
      <c r="A3342" s="2" t="inlineStr">
        <is>
          <t>2026-06-08</t>
        </is>
      </c>
      <c r="B3342" s="3" t="inlineStr">
        <is>
          <t>이지바이오</t>
        </is>
      </c>
      <c r="C3342" s="2" t="inlineStr">
        <is>
          <t>353810</t>
        </is>
      </c>
      <c r="D3342" s="2" t="inlineStr">
        <is>
          <t>대량보유</t>
        </is>
      </c>
      <c r="E3342" s="3" t="inlineStr">
        <is>
          <t>(주)브이아이피자산운용</t>
        </is>
      </c>
      <c r="F3342" s="3" t="inlineStr">
        <is>
          <t>특별관계자</t>
        </is>
      </c>
      <c r="G3342" s="3" t="inlineStr">
        <is>
          <t>장내매수(+), 기타(-)</t>
        </is>
      </c>
      <c r="H3342" s="15" t="n">
        <v>180902</v>
      </c>
      <c r="I3342" s="6" t="n">
        <v>6295</v>
      </c>
      <c r="J3342" s="6" t="n">
        <v>1752374</v>
      </c>
      <c r="K3342" s="16" t="n">
        <v>5.3</v>
      </c>
      <c r="L3342" s="2" t="inlineStr">
        <is>
          <t>20260608000288</t>
        </is>
      </c>
      <c r="M3342" s="8">
        <f>HYPERLINK("https://dart.fss.or.kr/dsaf001/main.do?rcpNo=20260608000288", "공시열람")</f>
        <v/>
      </c>
    </row>
    <row r="3343" ht="22" customHeight="1">
      <c r="A3343" s="2" t="inlineStr">
        <is>
          <t>2026-06-08</t>
        </is>
      </c>
      <c r="B3343" s="3" t="inlineStr">
        <is>
          <t>지니언스</t>
        </is>
      </c>
      <c r="C3343" s="2" t="inlineStr">
        <is>
          <t>263860</t>
        </is>
      </c>
      <c r="D3343" s="2" t="inlineStr">
        <is>
          <t>대량보유</t>
        </is>
      </c>
      <c r="E3343" s="3" t="inlineStr">
        <is>
          <t>모건스탠리앤씨오인터내셔널피엘씨</t>
        </is>
      </c>
      <c r="F3343" s="3" t="inlineStr">
        <is>
          <t>특별관계자</t>
        </is>
      </c>
      <c r="G3343" s="3" t="inlineStr">
        <is>
          <t>장내매도(-), 장내매수(+)</t>
        </is>
      </c>
      <c r="H3343" s="17" t="n">
        <v>-19182</v>
      </c>
      <c r="I3343" s="6" t="n">
        <v>19813</v>
      </c>
      <c r="J3343" s="6" t="n">
        <v>442372</v>
      </c>
      <c r="K3343" s="16" t="n">
        <v>4.87</v>
      </c>
      <c r="L3343" s="2" t="inlineStr">
        <is>
          <t>20260608000279</t>
        </is>
      </c>
      <c r="M3343" s="8">
        <f>HYPERLINK("https://dart.fss.or.kr/dsaf001/main.do?rcpNo=20260608000279", "공시열람")</f>
        <v/>
      </c>
    </row>
    <row r="3344" ht="22" customHeight="1">
      <c r="A3344" s="2" t="inlineStr">
        <is>
          <t>2026-06-08</t>
        </is>
      </c>
      <c r="B3344" s="3" t="inlineStr">
        <is>
          <t>아스테라시스</t>
        </is>
      </c>
      <c r="C3344" s="2" t="inlineStr">
        <is>
          <t>450950</t>
        </is>
      </c>
      <c r="D3344" s="2" t="inlineStr">
        <is>
          <t>대량보유</t>
        </is>
      </c>
      <c r="E3344" s="3" t="inlineStr">
        <is>
          <t>서은택</t>
        </is>
      </c>
      <c r="F3344" s="3" t="inlineStr">
        <is>
          <t>보고자</t>
        </is>
      </c>
      <c r="G3344" s="3" t="inlineStr">
        <is>
          <t>최대주주의 담보주식 추가 입고</t>
        </is>
      </c>
      <c r="H3344" s="6" t="inlineStr"/>
      <c r="I3344" s="6" t="inlineStr"/>
      <c r="J3344" s="6" t="n">
        <v>17451135</v>
      </c>
      <c r="K3344" s="16" t="n">
        <v>4</v>
      </c>
      <c r="L3344" s="2" t="inlineStr">
        <is>
          <t>20260608000278</t>
        </is>
      </c>
      <c r="M3344" s="8">
        <f>HYPERLINK("https://dart.fss.or.kr/dsaf001/main.do?rcpNo=20260608000278", "공시열람")</f>
        <v/>
      </c>
    </row>
    <row r="3345" ht="22" customHeight="1">
      <c r="A3345" s="2" t="inlineStr">
        <is>
          <t>2026-06-08</t>
        </is>
      </c>
      <c r="B3345" s="3" t="inlineStr">
        <is>
          <t>종근당홀딩스</t>
        </is>
      </c>
      <c r="C3345" s="2" t="inlineStr">
        <is>
          <t>001630</t>
        </is>
      </c>
      <c r="D3345" s="2" t="inlineStr">
        <is>
          <t>대량보유</t>
        </is>
      </c>
      <c r="E3345" s="3" t="inlineStr">
        <is>
          <t>(주)벨에스엠</t>
        </is>
      </c>
      <c r="F3345" s="3" t="inlineStr">
        <is>
          <t>특별관계자</t>
        </is>
      </c>
      <c r="G3345" s="3" t="inlineStr">
        <is>
          <t>장내매수(+)</t>
        </is>
      </c>
      <c r="H3345" s="15" t="n">
        <v>2363</v>
      </c>
      <c r="I3345" s="6" t="n">
        <v>43723</v>
      </c>
      <c r="J3345" s="6" t="n">
        <v>23437</v>
      </c>
      <c r="K3345" s="16" t="n">
        <v>7</v>
      </c>
      <c r="L3345" s="2" t="inlineStr">
        <is>
          <t>20260608000276</t>
        </is>
      </c>
      <c r="M3345" s="8">
        <f>HYPERLINK("https://dart.fss.or.kr/dsaf001/main.do?rcpNo=20260608000276", "공시열람")</f>
        <v/>
      </c>
    </row>
    <row r="3346" ht="22" customHeight="1">
      <c r="A3346" s="2" t="inlineStr">
        <is>
          <t>2026-06-08</t>
        </is>
      </c>
      <c r="B3346" s="3" t="inlineStr">
        <is>
          <t>중앙첨단소재</t>
        </is>
      </c>
      <c r="C3346" s="2" t="inlineStr">
        <is>
          <t>051980</t>
        </is>
      </c>
      <c r="D3346" s="2" t="inlineStr">
        <is>
          <t>대량보유</t>
        </is>
      </c>
      <c r="E3346" s="3" t="inlineStr">
        <is>
          <t>(주)엔켐</t>
        </is>
      </c>
      <c r="F3346" s="3" t="inlineStr">
        <is>
          <t>보고자</t>
        </is>
      </c>
      <c r="G3346" s="3" t="inlineStr">
        <is>
          <t>- 담보제공 계약의 변경</t>
        </is>
      </c>
      <c r="H3346" s="6" t="inlineStr"/>
      <c r="I3346" s="6" t="inlineStr"/>
      <c r="J3346" s="6" t="n">
        <v>16142059</v>
      </c>
      <c r="K3346" s="16" t="n">
        <v>14.53</v>
      </c>
      <c r="L3346" s="2" t="inlineStr">
        <is>
          <t>20260608000268</t>
        </is>
      </c>
      <c r="M3346" s="8">
        <f>HYPERLINK("https://dart.fss.or.kr/dsaf001/main.do?rcpNo=20260608000268", "공시열람")</f>
        <v/>
      </c>
    </row>
    <row r="3347" ht="22" customHeight="1">
      <c r="A3347" s="2" t="inlineStr">
        <is>
          <t>2026-06-08</t>
        </is>
      </c>
      <c r="B3347" s="3" t="inlineStr">
        <is>
          <t>엠케이전자</t>
        </is>
      </c>
      <c r="C3347" s="2" t="inlineStr">
        <is>
          <t>033160</t>
        </is>
      </c>
      <c r="D3347" s="2" t="inlineStr">
        <is>
          <t>대량보유</t>
        </is>
      </c>
      <c r="E3347" s="3" t="inlineStr">
        <is>
          <t>(주)오션비홀딩스</t>
        </is>
      </c>
      <c r="F3347" s="3" t="inlineStr">
        <is>
          <t>보고자</t>
        </is>
      </c>
      <c r="G3347" s="3" t="inlineStr">
        <is>
          <t>보고자의 보유주식등에 관한 계약 변경</t>
        </is>
      </c>
      <c r="H3347" s="6" t="inlineStr"/>
      <c r="I3347" s="6" t="inlineStr"/>
      <c r="J3347" s="6" t="n">
        <v>7818045</v>
      </c>
      <c r="K3347" s="16" t="n">
        <v>2</v>
      </c>
      <c r="L3347" s="2" t="inlineStr">
        <is>
          <t>20260608000266</t>
        </is>
      </c>
      <c r="M3347" s="8">
        <f>HYPERLINK("https://dart.fss.or.kr/dsaf001/main.do?rcpNo=20260608000266", "공시열람")</f>
        <v/>
      </c>
    </row>
    <row r="3348" ht="22" customHeight="1">
      <c r="A3348" s="2" t="inlineStr">
        <is>
          <t>2026-06-08</t>
        </is>
      </c>
      <c r="B3348" s="3" t="inlineStr">
        <is>
          <t>KSS해운</t>
        </is>
      </c>
      <c r="C3348" s="2" t="inlineStr">
        <is>
          <t>044450</t>
        </is>
      </c>
      <c r="D3348" s="2" t="inlineStr">
        <is>
          <t>대량보유</t>
        </is>
      </c>
      <c r="E3348" s="3" t="inlineStr">
        <is>
          <t>(주)KSS해운우리사주조합</t>
        </is>
      </c>
      <c r="F3348" s="3" t="inlineStr">
        <is>
          <t>특별관계자</t>
        </is>
      </c>
      <c r="G3348" s="3" t="inlineStr">
        <is>
          <t>기타(-), 자사주상여금(+), 장내매수(+), 장내매도(-)</t>
        </is>
      </c>
      <c r="H3348" s="15" t="n">
        <v>232285</v>
      </c>
      <c r="I3348" s="6" t="n">
        <v>9075</v>
      </c>
      <c r="J3348" s="6" t="n">
        <v>2891099</v>
      </c>
      <c r="K3348" s="16" t="n">
        <v>1</v>
      </c>
      <c r="L3348" s="2" t="inlineStr">
        <is>
          <t>20260608000264</t>
        </is>
      </c>
      <c r="M3348" s="8">
        <f>HYPERLINK("https://dart.fss.or.kr/dsaf001/main.do?rcpNo=20260608000264", "공시열람")</f>
        <v/>
      </c>
    </row>
    <row r="3349" ht="22" customHeight="1">
      <c r="A3349" s="2" t="inlineStr">
        <is>
          <t>2026-06-08</t>
        </is>
      </c>
      <c r="B3349" s="3" t="inlineStr">
        <is>
          <t>에코프로비엠</t>
        </is>
      </c>
      <c r="C3349" s="2" t="inlineStr">
        <is>
          <t>247540</t>
        </is>
      </c>
      <c r="D3349" s="2" t="inlineStr">
        <is>
          <t>대량보유</t>
        </is>
      </c>
      <c r="E3349" s="3" t="inlineStr">
        <is>
          <t>에코프로</t>
        </is>
      </c>
      <c r="F3349" s="3" t="inlineStr">
        <is>
          <t>보고자</t>
        </is>
      </c>
      <c r="G3349" s="3" t="inlineStr">
        <is>
          <t>만기연장,이자율변경</t>
        </is>
      </c>
      <c r="H3349" s="6" t="inlineStr"/>
      <c r="I3349" s="6" t="inlineStr"/>
      <c r="J3349" s="6" t="n">
        <v>44248514</v>
      </c>
      <c r="K3349" s="16" t="n">
        <v>12</v>
      </c>
      <c r="L3349" s="2" t="inlineStr">
        <is>
          <t>20260608000256</t>
        </is>
      </c>
      <c r="M3349" s="8">
        <f>HYPERLINK("https://dart.fss.or.kr/dsaf001/main.do?rcpNo=20260608000256", "공시열람")</f>
        <v/>
      </c>
    </row>
    <row r="3350" ht="22" customHeight="1">
      <c r="A3350" s="2" t="inlineStr">
        <is>
          <t>2026-06-08</t>
        </is>
      </c>
      <c r="B3350" s="3" t="inlineStr">
        <is>
          <t>국전</t>
        </is>
      </c>
      <c r="C3350" s="2" t="inlineStr">
        <is>
          <t>307750</t>
        </is>
      </c>
      <c r="D3350" s="2" t="inlineStr">
        <is>
          <t>대량보유</t>
        </is>
      </c>
      <c r="E3350" s="3" t="inlineStr">
        <is>
          <t>홍종호</t>
        </is>
      </c>
      <c r="F3350" s="3" t="inlineStr">
        <is>
          <t>보고자</t>
        </is>
      </c>
      <c r="G3350" s="3" t="inlineStr">
        <is>
          <t>※기존 주식담보대출 일부 상환건입니다. 보유주식수 및 지분율 변동은 없습니다.1.대표보고자 홍종호 : 대출금액 일부 상환</t>
        </is>
      </c>
      <c r="H3350" s="6" t="inlineStr"/>
      <c r="I3350" s="6" t="inlineStr"/>
      <c r="J3350" s="6" t="n">
        <v>28198023</v>
      </c>
      <c r="K3350" s="16" t="n">
        <v>8</v>
      </c>
      <c r="L3350" s="2" t="inlineStr">
        <is>
          <t>20260608000255</t>
        </is>
      </c>
      <c r="M3350" s="8">
        <f>HYPERLINK("https://dart.fss.or.kr/dsaf001/main.do?rcpNo=20260608000255", "공시열람")</f>
        <v/>
      </c>
    </row>
    <row r="3351" ht="22" customHeight="1">
      <c r="A3351" s="2" t="inlineStr">
        <is>
          <t>2026-06-08</t>
        </is>
      </c>
      <c r="B3351" s="3" t="inlineStr">
        <is>
          <t>삼성에피스홀딩스</t>
        </is>
      </c>
      <c r="C3351" s="2" t="inlineStr">
        <is>
          <t>0126Z0</t>
        </is>
      </c>
      <c r="D3351" s="2" t="inlineStr">
        <is>
          <t>임원보고</t>
        </is>
      </c>
      <c r="E3351" s="3" t="inlineStr">
        <is>
          <t>-</t>
        </is>
      </c>
      <c r="F3351" s="3" t="inlineStr">
        <is>
          <t>-</t>
        </is>
      </c>
      <c r="G3351" s="3" t="inlineStr">
        <is>
          <t>-</t>
        </is>
      </c>
      <c r="H3351" s="6" t="inlineStr"/>
      <c r="I3351" s="6" t="inlineStr"/>
      <c r="J3351" s="6" t="inlineStr"/>
      <c r="K3351" s="16" t="n">
        <v>12</v>
      </c>
      <c r="L3351" s="2" t="inlineStr">
        <is>
          <t>20260608800670</t>
        </is>
      </c>
      <c r="M3351" s="8">
        <f>HYPERLINK("https://dart.fss.or.kr/dsaf001/main.do?rcpNo=20260608800670", "공시열람")</f>
        <v/>
      </c>
    </row>
    <row r="3352" ht="22" customHeight="1">
      <c r="A3352" s="2" t="inlineStr">
        <is>
          <t>2026-06-08</t>
        </is>
      </c>
      <c r="B3352" s="3" t="inlineStr">
        <is>
          <t>삼일제약</t>
        </is>
      </c>
      <c r="C3352" s="2" t="inlineStr">
        <is>
          <t>000520</t>
        </is>
      </c>
      <c r="D3352" s="2" t="inlineStr">
        <is>
          <t>임원보고</t>
        </is>
      </c>
      <c r="E3352" s="3" t="inlineStr">
        <is>
          <t>-</t>
        </is>
      </c>
      <c r="F3352" s="3" t="inlineStr">
        <is>
          <t>-</t>
        </is>
      </c>
      <c r="G3352" s="3" t="inlineStr">
        <is>
          <t>-</t>
        </is>
      </c>
      <c r="H3352" s="6" t="inlineStr"/>
      <c r="I3352" s="6" t="inlineStr"/>
      <c r="J3352" s="6" t="inlineStr"/>
      <c r="K3352" s="16" t="n">
        <v>12</v>
      </c>
      <c r="L3352" s="2" t="inlineStr">
        <is>
          <t>20260608800666</t>
        </is>
      </c>
      <c r="M3352" s="8">
        <f>HYPERLINK("https://dart.fss.or.kr/dsaf001/main.do?rcpNo=20260608800666", "공시열람")</f>
        <v/>
      </c>
    </row>
    <row r="3353" ht="22" customHeight="1">
      <c r="A3353" s="2" t="inlineStr">
        <is>
          <t>2026-06-08</t>
        </is>
      </c>
      <c r="B3353" s="3" t="inlineStr">
        <is>
          <t>지아이이노베이션</t>
        </is>
      </c>
      <c r="C3353" s="2" t="inlineStr">
        <is>
          <t>358570</t>
        </is>
      </c>
      <c r="D3353" s="2" t="inlineStr">
        <is>
          <t>대량보유</t>
        </is>
      </c>
      <c r="E3353" s="3" t="inlineStr">
        <is>
          <t>양윤석</t>
        </is>
      </c>
      <c r="F3353" s="3" t="inlineStr">
        <is>
          <t>특별관계자</t>
        </is>
      </c>
      <c r="G3353" s="3" t="inlineStr">
        <is>
          <t>장내매도(-)</t>
        </is>
      </c>
      <c r="H3353" s="17" t="n">
        <v>-28500</v>
      </c>
      <c r="I3353" s="6" t="n">
        <v>12648</v>
      </c>
      <c r="J3353" s="6" t="n">
        <v>124726</v>
      </c>
      <c r="K3353" s="16" t="n">
        <v>12</v>
      </c>
      <c r="L3353" s="2" t="inlineStr">
        <is>
          <t>20260608000242</t>
        </is>
      </c>
      <c r="M3353" s="8">
        <f>HYPERLINK("https://dart.fss.or.kr/dsaf001/main.do?rcpNo=20260608000242", "공시열람")</f>
        <v/>
      </c>
    </row>
    <row r="3354" ht="22" customHeight="1">
      <c r="A3354" s="2" t="inlineStr">
        <is>
          <t>2026-06-08</t>
        </is>
      </c>
      <c r="B3354" s="3" t="inlineStr">
        <is>
          <t>지아이이노베이션</t>
        </is>
      </c>
      <c r="C3354" s="2" t="inlineStr">
        <is>
          <t>358570</t>
        </is>
      </c>
      <c r="D3354" s="2" t="inlineStr">
        <is>
          <t>대량보유</t>
        </is>
      </c>
      <c r="E3354" s="3" t="inlineStr">
        <is>
          <t>강창훈</t>
        </is>
      </c>
      <c r="F3354" s="3" t="inlineStr">
        <is>
          <t>특별관계자</t>
        </is>
      </c>
      <c r="G3354" s="3" t="inlineStr">
        <is>
          <t>장내매도(-)</t>
        </is>
      </c>
      <c r="H3354" s="17" t="n">
        <v>-227</v>
      </c>
      <c r="I3354" s="6" t="n">
        <v>13500</v>
      </c>
      <c r="J3354" s="6" t="n">
        <v>6200</v>
      </c>
      <c r="K3354" s="16" t="n">
        <v>12</v>
      </c>
      <c r="L3354" s="2" t="inlineStr">
        <is>
          <t>20260608000242</t>
        </is>
      </c>
      <c r="M3354" s="8">
        <f>HYPERLINK("https://dart.fss.or.kr/dsaf001/main.do?rcpNo=20260608000242", "공시열람")</f>
        <v/>
      </c>
    </row>
    <row r="3355" ht="22" customHeight="1">
      <c r="A3355" s="2" t="inlineStr">
        <is>
          <t>2026-06-08</t>
        </is>
      </c>
      <c r="B3355" s="3" t="inlineStr">
        <is>
          <t>지아이이노베이션</t>
        </is>
      </c>
      <c r="C3355" s="2" t="inlineStr">
        <is>
          <t>358570</t>
        </is>
      </c>
      <c r="D3355" s="2" t="inlineStr">
        <is>
          <t>대량보유</t>
        </is>
      </c>
      <c r="E3355" s="3" t="inlineStr">
        <is>
          <t>지동석</t>
        </is>
      </c>
      <c r="F3355" s="3" t="inlineStr">
        <is>
          <t>특별관계자</t>
        </is>
      </c>
      <c r="G3355" s="3" t="inlineStr">
        <is>
          <t>장내매수(+), 장내매도(-)</t>
        </is>
      </c>
      <c r="H3355" s="17" t="n">
        <v>-200</v>
      </c>
      <c r="I3355" s="6" t="n">
        <v>13194</v>
      </c>
      <c r="J3355" s="6" t="n">
        <v>11400</v>
      </c>
      <c r="K3355" s="16" t="n">
        <v>12</v>
      </c>
      <c r="L3355" s="2" t="inlineStr">
        <is>
          <t>20260608000242</t>
        </is>
      </c>
      <c r="M3355" s="8">
        <f>HYPERLINK("https://dart.fss.or.kr/dsaf001/main.do?rcpNo=20260608000242", "공시열람")</f>
        <v/>
      </c>
    </row>
    <row r="3356" ht="22" customHeight="1">
      <c r="A3356" s="2" t="inlineStr">
        <is>
          <t>2026-06-08</t>
        </is>
      </c>
      <c r="B3356" s="3" t="inlineStr">
        <is>
          <t>케이씨씨</t>
        </is>
      </c>
      <c r="C3356" s="2" t="inlineStr">
        <is>
          <t>002380</t>
        </is>
      </c>
      <c r="D3356" s="2" t="inlineStr">
        <is>
          <t>대량보유</t>
        </is>
      </c>
      <c r="E3356" s="3" t="inlineStr">
        <is>
          <t>정유희</t>
        </is>
      </c>
      <c r="F3356" s="3" t="inlineStr">
        <is>
          <t>특별관계자</t>
        </is>
      </c>
      <c r="G3356" s="3" t="inlineStr">
        <is>
          <t>장내매도(-)</t>
        </is>
      </c>
      <c r="H3356" s="17" t="n">
        <v>-1300</v>
      </c>
      <c r="I3356" s="6" t="n">
        <v>597500</v>
      </c>
      <c r="J3356" s="6" t="n">
        <v>9233</v>
      </c>
      <c r="K3356" s="16" t="n">
        <v>14</v>
      </c>
      <c r="L3356" s="2" t="inlineStr">
        <is>
          <t>20260608000238</t>
        </is>
      </c>
      <c r="M3356" s="8">
        <f>HYPERLINK("https://dart.fss.or.kr/dsaf001/main.do?rcpNo=20260608000238", "공시열람")</f>
        <v/>
      </c>
    </row>
    <row r="3357" ht="22" customHeight="1">
      <c r="A3357" s="2" t="inlineStr">
        <is>
          <t>2026-06-08</t>
        </is>
      </c>
      <c r="B3357" s="3" t="inlineStr">
        <is>
          <t>셀레믹스</t>
        </is>
      </c>
      <c r="C3357" s="2" t="inlineStr">
        <is>
          <t>331920</t>
        </is>
      </c>
      <c r="D3357" s="2" t="inlineStr">
        <is>
          <t>대량보유</t>
        </is>
      </c>
      <c r="E3357" s="3" t="inlineStr">
        <is>
          <t>이용훈</t>
        </is>
      </c>
      <c r="F3357" s="3" t="inlineStr">
        <is>
          <t>특별관계자</t>
        </is>
      </c>
      <c r="G3357" s="3" t="inlineStr">
        <is>
          <t>제3자배정유상증자(+)</t>
        </is>
      </c>
      <c r="H3357" s="15" t="n">
        <v>23872</v>
      </c>
      <c r="I3357" s="6" t="n">
        <v>8378</v>
      </c>
      <c r="J3357" s="6" t="n">
        <v>147997</v>
      </c>
      <c r="K3357" s="16" t="n">
        <v>5</v>
      </c>
      <c r="L3357" s="2" t="inlineStr">
        <is>
          <t>20260608000233</t>
        </is>
      </c>
      <c r="M3357" s="8">
        <f>HYPERLINK("https://dart.fss.or.kr/dsaf001/main.do?rcpNo=20260608000233", "공시열람")</f>
        <v/>
      </c>
    </row>
    <row r="3358" ht="22" customHeight="1">
      <c r="A3358" s="2" t="inlineStr">
        <is>
          <t>2026-06-08</t>
        </is>
      </c>
      <c r="B3358" s="3" t="inlineStr">
        <is>
          <t>셀레믹스</t>
        </is>
      </c>
      <c r="C3358" s="2" t="inlineStr">
        <is>
          <t>331920</t>
        </is>
      </c>
      <c r="D3358" s="2" t="inlineStr">
        <is>
          <t>대량보유</t>
        </is>
      </c>
      <c r="E3358" s="3" t="inlineStr">
        <is>
          <t>이상석</t>
        </is>
      </c>
      <c r="F3358" s="3" t="inlineStr">
        <is>
          <t>특별관계자</t>
        </is>
      </c>
      <c r="G3358" s="3" t="inlineStr">
        <is>
          <t>제3자배정유상증자(+)</t>
        </is>
      </c>
      <c r="H3358" s="15" t="n">
        <v>11936</v>
      </c>
      <c r="I3358" s="6" t="n">
        <v>8378</v>
      </c>
      <c r="J3358" s="6" t="n">
        <v>11936</v>
      </c>
      <c r="K3358" s="16" t="n">
        <v>5</v>
      </c>
      <c r="L3358" s="2" t="inlineStr">
        <is>
          <t>20260608000233</t>
        </is>
      </c>
      <c r="M3358" s="8">
        <f>HYPERLINK("https://dart.fss.or.kr/dsaf001/main.do?rcpNo=20260608000233", "공시열람")</f>
        <v/>
      </c>
    </row>
    <row r="3359" ht="22" customHeight="1">
      <c r="A3359" s="2" t="inlineStr">
        <is>
          <t>2026-06-08</t>
        </is>
      </c>
      <c r="B3359" s="3" t="inlineStr">
        <is>
          <t>인터지스</t>
        </is>
      </c>
      <c r="C3359" s="2" t="inlineStr">
        <is>
          <t>129260</t>
        </is>
      </c>
      <c r="D3359" s="2" t="inlineStr">
        <is>
          <t>대량보유</t>
        </is>
      </c>
      <c r="E3359" s="3" t="inlineStr">
        <is>
          <t>박성도</t>
        </is>
      </c>
      <c r="F3359" s="3" t="inlineStr">
        <is>
          <t>특별관계자</t>
        </is>
      </c>
      <c r="G3359" s="3" t="inlineStr">
        <is>
          <t>장내매수(+)</t>
        </is>
      </c>
      <c r="H3359" s="15" t="n">
        <v>4600</v>
      </c>
      <c r="I3359" s="6" t="n">
        <v>1937</v>
      </c>
      <c r="J3359" s="6" t="n">
        <v>4600</v>
      </c>
      <c r="K3359" s="16" t="n">
        <v>9</v>
      </c>
      <c r="L3359" s="2" t="inlineStr">
        <is>
          <t>20260608000227</t>
        </is>
      </c>
      <c r="M3359" s="8">
        <f>HYPERLINK("https://dart.fss.or.kr/dsaf001/main.do?rcpNo=20260608000227", "공시열람")</f>
        <v/>
      </c>
    </row>
    <row r="3360" ht="22" customHeight="1">
      <c r="A3360" s="2" t="inlineStr">
        <is>
          <t>2026-06-08</t>
        </is>
      </c>
      <c r="B3360" s="3" t="inlineStr">
        <is>
          <t>인벤티지랩</t>
        </is>
      </c>
      <c r="C3360" s="2" t="inlineStr">
        <is>
          <t>389470</t>
        </is>
      </c>
      <c r="D3360" s="2" t="inlineStr">
        <is>
          <t>대량보유</t>
        </is>
      </c>
      <c r="E3360" s="3" t="inlineStr">
        <is>
          <t>김주희</t>
        </is>
      </c>
      <c r="F3360" s="3" t="inlineStr">
        <is>
          <t>특별관계자</t>
        </is>
      </c>
      <c r="G3360" s="3" t="inlineStr">
        <is>
          <t>장내매수(+)</t>
        </is>
      </c>
      <c r="H3360" s="15" t="n">
        <v>2090</v>
      </c>
      <c r="I3360" s="6" t="n">
        <v>47600</v>
      </c>
      <c r="J3360" s="6" t="n">
        <v>1456437</v>
      </c>
      <c r="K3360" s="16" t="n">
        <v>6</v>
      </c>
      <c r="L3360" s="2" t="inlineStr">
        <is>
          <t>20260608000222</t>
        </is>
      </c>
      <c r="M3360" s="8">
        <f>HYPERLINK("https://dart.fss.or.kr/dsaf001/main.do?rcpNo=20260608000222", "공시열람")</f>
        <v/>
      </c>
    </row>
    <row r="3361" ht="22" customHeight="1">
      <c r="A3361" s="2" t="inlineStr">
        <is>
          <t>2026-06-08</t>
        </is>
      </c>
      <c r="B3361" s="3" t="inlineStr">
        <is>
          <t>이노스페이스</t>
        </is>
      </c>
      <c r="C3361" s="2" t="inlineStr">
        <is>
          <t>462350</t>
        </is>
      </c>
      <c r="D3361" s="2" t="inlineStr">
        <is>
          <t>대량보유</t>
        </is>
      </c>
      <c r="E3361" s="3" t="inlineStr">
        <is>
          <t>코오롱20174차산업혁명투자조합</t>
        </is>
      </c>
      <c r="F3361" s="3" t="inlineStr">
        <is>
          <t>특별관계자</t>
        </is>
      </c>
      <c r="G3361" s="3" t="inlineStr">
        <is>
          <t>장내매도(-), 기타(+), 장외매도(-)</t>
        </is>
      </c>
      <c r="H3361" s="17" t="n">
        <v>-155308</v>
      </c>
      <c r="I3361" s="6" t="n">
        <v>9917</v>
      </c>
      <c r="J3361" s="6" t="inlineStr"/>
      <c r="K3361" s="16" t="n">
        <v>7</v>
      </c>
      <c r="L3361" s="2" t="inlineStr">
        <is>
          <t>20260608000207</t>
        </is>
      </c>
      <c r="M3361" s="8">
        <f>HYPERLINK("https://dart.fss.or.kr/dsaf001/main.do?rcpNo=20260608000207", "공시열람")</f>
        <v/>
      </c>
    </row>
    <row r="3362" ht="22" customHeight="1">
      <c r="A3362" s="2" t="inlineStr">
        <is>
          <t>2026-06-08</t>
        </is>
      </c>
      <c r="B3362" s="3" t="inlineStr">
        <is>
          <t>이노스페이스</t>
        </is>
      </c>
      <c r="C3362" s="2" t="inlineStr">
        <is>
          <t>462350</t>
        </is>
      </c>
      <c r="D3362" s="2" t="inlineStr">
        <is>
          <t>대량보유</t>
        </is>
      </c>
      <c r="E3362" s="3" t="inlineStr">
        <is>
          <t>코오롱2019유니콘투자조합</t>
        </is>
      </c>
      <c r="F3362" s="3" t="inlineStr">
        <is>
          <t>특별관계자</t>
        </is>
      </c>
      <c r="G3362" s="3" t="inlineStr">
        <is>
          <t>기타(+), 장외매도(-)</t>
        </is>
      </c>
      <c r="H3362" s="6" t="inlineStr"/>
      <c r="I3362" s="6" t="n">
        <v>1316</v>
      </c>
      <c r="J3362" s="6" t="inlineStr"/>
      <c r="K3362" s="16" t="n">
        <v>7</v>
      </c>
      <c r="L3362" s="2" t="inlineStr">
        <is>
          <t>20260608000207</t>
        </is>
      </c>
      <c r="M3362" s="8">
        <f>HYPERLINK("https://dart.fss.or.kr/dsaf001/main.do?rcpNo=20260608000207", "공시열람")</f>
        <v/>
      </c>
    </row>
    <row r="3363" ht="22" customHeight="1">
      <c r="A3363" s="2" t="inlineStr">
        <is>
          <t>2026-06-08</t>
        </is>
      </c>
      <c r="B3363" s="3" t="inlineStr">
        <is>
          <t>이노스페이스</t>
        </is>
      </c>
      <c r="C3363" s="2" t="inlineStr">
        <is>
          <t>462350</t>
        </is>
      </c>
      <c r="D3363" s="2" t="inlineStr">
        <is>
          <t>대량보유</t>
        </is>
      </c>
      <c r="E3363" s="3" t="inlineStr">
        <is>
          <t>코오롱2020소재부품장비투자조합</t>
        </is>
      </c>
      <c r="F3363" s="3" t="inlineStr">
        <is>
          <t>특별관계자</t>
        </is>
      </c>
      <c r="G3363" s="3" t="inlineStr">
        <is>
          <t>기타(+), 장외매도(-)</t>
        </is>
      </c>
      <c r="H3363" s="6" t="inlineStr"/>
      <c r="I3363" s="6" t="n">
        <v>1316</v>
      </c>
      <c r="J3363" s="6" t="inlineStr"/>
      <c r="K3363" s="16" t="n">
        <v>7</v>
      </c>
      <c r="L3363" s="2" t="inlineStr">
        <is>
          <t>20260608000207</t>
        </is>
      </c>
      <c r="M3363" s="8">
        <f>HYPERLINK("https://dart.fss.or.kr/dsaf001/main.do?rcpNo=20260608000207", "공시열람")</f>
        <v/>
      </c>
    </row>
    <row r="3364" ht="22" customHeight="1">
      <c r="A3364" s="2" t="inlineStr">
        <is>
          <t>2026-06-08</t>
        </is>
      </c>
      <c r="B3364" s="3" t="inlineStr">
        <is>
          <t>이노스페이스</t>
        </is>
      </c>
      <c r="C3364" s="2" t="inlineStr">
        <is>
          <t>462350</t>
        </is>
      </c>
      <c r="D3364" s="2" t="inlineStr">
        <is>
          <t>대량보유</t>
        </is>
      </c>
      <c r="E3364" s="3" t="inlineStr">
        <is>
          <t>코오롱2021이노베이션투자조합</t>
        </is>
      </c>
      <c r="F3364" s="3" t="inlineStr">
        <is>
          <t>특별관계자</t>
        </is>
      </c>
      <c r="G3364" s="3" t="inlineStr">
        <is>
          <t>기타(+), 장외매도(-)</t>
        </is>
      </c>
      <c r="H3364" s="6" t="inlineStr"/>
      <c r="I3364" s="6" t="n">
        <v>1316</v>
      </c>
      <c r="J3364" s="6" t="inlineStr"/>
      <c r="K3364" s="16" t="n">
        <v>7</v>
      </c>
      <c r="L3364" s="2" t="inlineStr">
        <is>
          <t>20260608000207</t>
        </is>
      </c>
      <c r="M3364" s="8">
        <f>HYPERLINK("https://dart.fss.or.kr/dsaf001/main.do?rcpNo=20260608000207", "공시열람")</f>
        <v/>
      </c>
    </row>
    <row r="3365" ht="22" customHeight="1">
      <c r="A3365" s="2" t="inlineStr">
        <is>
          <t>2026-06-08</t>
        </is>
      </c>
      <c r="B3365" s="3" t="inlineStr">
        <is>
          <t>이노스페이스</t>
        </is>
      </c>
      <c r="C3365" s="2" t="inlineStr">
        <is>
          <t>462350</t>
        </is>
      </c>
      <c r="D3365" s="2" t="inlineStr">
        <is>
          <t>대량보유</t>
        </is>
      </c>
      <c r="E3365" s="3" t="inlineStr">
        <is>
          <t>코오롱글로텍㈜</t>
        </is>
      </c>
      <c r="F3365" s="3" t="inlineStr">
        <is>
          <t>특별관계자</t>
        </is>
      </c>
      <c r="G3365" s="3" t="inlineStr">
        <is>
          <t>기타(+), 장외매도(-)</t>
        </is>
      </c>
      <c r="H3365" s="6" t="inlineStr"/>
      <c r="I3365" s="6" t="n">
        <v>1450</v>
      </c>
      <c r="J3365" s="6" t="inlineStr"/>
      <c r="K3365" s="16" t="n">
        <v>7</v>
      </c>
      <c r="L3365" s="2" t="inlineStr">
        <is>
          <t>20260608000207</t>
        </is>
      </c>
      <c r="M3365" s="8">
        <f>HYPERLINK("https://dart.fss.or.kr/dsaf001/main.do?rcpNo=20260608000207", "공시열람")</f>
        <v/>
      </c>
    </row>
    <row r="3366" ht="22" customHeight="1">
      <c r="A3366" s="2" t="inlineStr">
        <is>
          <t>2026-06-08</t>
        </is>
      </c>
      <c r="B3366" s="3" t="inlineStr">
        <is>
          <t>이노스페이스</t>
        </is>
      </c>
      <c r="C3366" s="2" t="inlineStr">
        <is>
          <t>462350</t>
        </is>
      </c>
      <c r="D3366" s="2" t="inlineStr">
        <is>
          <t>대량보유</t>
        </is>
      </c>
      <c r="E3366" s="3" t="inlineStr">
        <is>
          <t>코오롱인더스트리㈜</t>
        </is>
      </c>
      <c r="F3366" s="3" t="inlineStr">
        <is>
          <t>특별관계자</t>
        </is>
      </c>
      <c r="G3366" s="3" t="inlineStr">
        <is>
          <t>기타(+), 장내매도(-)</t>
        </is>
      </c>
      <c r="H3366" s="6" t="inlineStr"/>
      <c r="I3366" s="6" t="n">
        <v>1978</v>
      </c>
      <c r="J3366" s="6" t="inlineStr"/>
      <c r="K3366" s="16" t="n">
        <v>7</v>
      </c>
      <c r="L3366" s="2" t="inlineStr">
        <is>
          <t>20260608000207</t>
        </is>
      </c>
      <c r="M3366" s="8">
        <f>HYPERLINK("https://dart.fss.or.kr/dsaf001/main.do?rcpNo=20260608000207", "공시열람")</f>
        <v/>
      </c>
    </row>
    <row r="3367" ht="22" customHeight="1">
      <c r="A3367" s="2" t="inlineStr">
        <is>
          <t>2026-06-08</t>
        </is>
      </c>
      <c r="B3367" s="3" t="inlineStr">
        <is>
          <t>NC</t>
        </is>
      </c>
      <c r="C3367" s="2" t="inlineStr">
        <is>
          <t>036570</t>
        </is>
      </c>
      <c r="D3367" s="2" t="inlineStr">
        <is>
          <t>대량보유</t>
        </is>
      </c>
      <c r="E3367" s="3" t="inlineStr">
        <is>
          <t>WestwoodGlobalInvestments,LLC</t>
        </is>
      </c>
      <c r="F3367" s="3" t="inlineStr">
        <is>
          <t>특별관계자</t>
        </is>
      </c>
      <c r="G3367" s="3" t="inlineStr">
        <is>
          <t>신규보고(+), 장내매수(+)</t>
        </is>
      </c>
      <c r="H3367" s="15" t="n">
        <v>1096876</v>
      </c>
      <c r="I3367" s="6" t="n">
        <v>295594</v>
      </c>
      <c r="J3367" s="6" t="n">
        <v>1096876</v>
      </c>
      <c r="K3367" s="16" t="n">
        <v>1</v>
      </c>
      <c r="L3367" s="2" t="inlineStr">
        <is>
          <t>20260608000201</t>
        </is>
      </c>
      <c r="M3367" s="8">
        <f>HYPERLINK("https://dart.fss.or.kr/dsaf001/main.do?rcpNo=20260608000201", "공시열람")</f>
        <v/>
      </c>
    </row>
    <row r="3368" ht="22" customHeight="1">
      <c r="A3368" s="2" t="inlineStr">
        <is>
          <t>2026-06-08</t>
        </is>
      </c>
      <c r="B3368" s="3" t="inlineStr">
        <is>
          <t>디지아이</t>
        </is>
      </c>
      <c r="C3368" s="2" t="inlineStr">
        <is>
          <t>043360</t>
        </is>
      </c>
      <c r="D3368" s="2" t="inlineStr">
        <is>
          <t>대량보유</t>
        </is>
      </c>
      <c r="E3368" s="3" t="inlineStr">
        <is>
          <t>윤연수</t>
        </is>
      </c>
      <c r="F3368" s="3" t="inlineStr">
        <is>
          <t>특별관계자</t>
        </is>
      </c>
      <c r="G3368" s="3" t="inlineStr">
        <is>
          <t>장내매도(-)</t>
        </is>
      </c>
      <c r="H3368" s="17" t="n">
        <v>-9578</v>
      </c>
      <c r="I3368" s="6" t="n">
        <v>0</v>
      </c>
      <c r="J3368" s="6" t="n">
        <v>5000</v>
      </c>
      <c r="K3368" s="16" t="n">
        <v>7</v>
      </c>
      <c r="L3368" s="2" t="inlineStr">
        <is>
          <t>20260608000177</t>
        </is>
      </c>
      <c r="M3368" s="8">
        <f>HYPERLINK("https://dart.fss.or.kr/dsaf001/main.do?rcpNo=20260608000177", "공시열람")</f>
        <v/>
      </c>
    </row>
    <row r="3369" ht="22" customHeight="1">
      <c r="A3369" s="2" t="inlineStr">
        <is>
          <t>2026-06-08</t>
        </is>
      </c>
      <c r="B3369" s="3" t="inlineStr">
        <is>
          <t>셀레믹스</t>
        </is>
      </c>
      <c r="C3369" s="2" t="inlineStr">
        <is>
          <t>331920</t>
        </is>
      </c>
      <c r="D3369" s="2" t="inlineStr">
        <is>
          <t>대량보유</t>
        </is>
      </c>
      <c r="E3369" s="3" t="inlineStr">
        <is>
          <t>수피젠신기술투자조합1호</t>
        </is>
      </c>
      <c r="F3369" s="3" t="inlineStr">
        <is>
          <t>특별관계자</t>
        </is>
      </c>
      <c r="G3369" s="3" t="inlineStr">
        <is>
          <t>제3자배정유상증자(+)</t>
        </is>
      </c>
      <c r="H3369" s="15" t="n">
        <v>1193602</v>
      </c>
      <c r="I3369" s="6" t="n">
        <v>8378</v>
      </c>
      <c r="J3369" s="6" t="n">
        <v>1193602</v>
      </c>
      <c r="K3369" s="16" t="n">
        <v>1</v>
      </c>
      <c r="L3369" s="2" t="inlineStr">
        <is>
          <t>20260608000171</t>
        </is>
      </c>
      <c r="M3369" s="8">
        <f>HYPERLINK("https://dart.fss.or.kr/dsaf001/main.do?rcpNo=20260608000171", "공시열람")</f>
        <v/>
      </c>
    </row>
    <row r="3370" ht="22" customHeight="1">
      <c r="A3370" s="2" t="inlineStr">
        <is>
          <t>2026-06-08</t>
        </is>
      </c>
      <c r="B3370" s="3" t="inlineStr">
        <is>
          <t>유진스팩12호</t>
        </is>
      </c>
      <c r="C3370" s="2" t="inlineStr">
        <is>
          <t>0105P0</t>
        </is>
      </c>
      <c r="D3370" s="2" t="inlineStr">
        <is>
          <t>대량보유</t>
        </is>
      </c>
      <c r="E3370" s="3" t="inlineStr">
        <is>
          <t>더블유자산운용</t>
        </is>
      </c>
      <c r="F3370" s="3" t="inlineStr">
        <is>
          <t>특별관계자</t>
        </is>
      </c>
      <c r="G3370" s="3" t="inlineStr">
        <is>
          <t>신규등록(+), 장내매도(-), 장내매수(+)</t>
        </is>
      </c>
      <c r="H3370" s="15" t="n">
        <v>327010</v>
      </c>
      <c r="I3370" s="6" t="n">
        <v>2025</v>
      </c>
      <c r="J3370" s="6" t="n">
        <v>327010</v>
      </c>
      <c r="K3370" s="16" t="n">
        <v>5.78</v>
      </c>
      <c r="L3370" s="2" t="inlineStr">
        <is>
          <t>20260608000158</t>
        </is>
      </c>
      <c r="M3370" s="8">
        <f>HYPERLINK("https://dart.fss.or.kr/dsaf001/main.do?rcpNo=20260608000158", "공시열람")</f>
        <v/>
      </c>
    </row>
    <row r="3371" ht="22" customHeight="1">
      <c r="A3371" s="2" t="inlineStr">
        <is>
          <t>2026-06-08</t>
        </is>
      </c>
      <c r="B3371" s="3" t="inlineStr">
        <is>
          <t>SH에너지화학</t>
        </is>
      </c>
      <c r="C3371" s="2" t="inlineStr">
        <is>
          <t>002360</t>
        </is>
      </c>
      <c r="D3371" s="2" t="inlineStr">
        <is>
          <t>임원보고</t>
        </is>
      </c>
      <c r="E3371" s="3" t="inlineStr">
        <is>
          <t>-</t>
        </is>
      </c>
      <c r="F3371" s="3" t="inlineStr">
        <is>
          <t>-</t>
        </is>
      </c>
      <c r="G3371" s="3" t="inlineStr">
        <is>
          <t>-</t>
        </is>
      </c>
      <c r="H3371" s="6" t="inlineStr"/>
      <c r="I3371" s="6" t="inlineStr"/>
      <c r="J3371" s="6" t="inlineStr"/>
      <c r="K3371" s="16" t="n">
        <v>12</v>
      </c>
      <c r="L3371" s="2" t="inlineStr">
        <is>
          <t>20260608800495</t>
        </is>
      </c>
      <c r="M3371" s="8">
        <f>HYPERLINK("https://dart.fss.or.kr/dsaf001/main.do?rcpNo=20260608800495", "공시열람")</f>
        <v/>
      </c>
    </row>
    <row r="3372" ht="22" customHeight="1">
      <c r="A3372" s="2" t="inlineStr">
        <is>
          <t>2026-06-08</t>
        </is>
      </c>
      <c r="B3372" s="3" t="inlineStr">
        <is>
          <t>인디에프</t>
        </is>
      </c>
      <c r="C3372" s="2" t="inlineStr">
        <is>
          <t>014990</t>
        </is>
      </c>
      <c r="D3372" s="2" t="inlineStr">
        <is>
          <t>임원보고</t>
        </is>
      </c>
      <c r="E3372" s="3" t="inlineStr">
        <is>
          <t>-</t>
        </is>
      </c>
      <c r="F3372" s="3" t="inlineStr">
        <is>
          <t>-</t>
        </is>
      </c>
      <c r="G3372" s="3" t="inlineStr">
        <is>
          <t>-</t>
        </is>
      </c>
      <c r="H3372" s="6" t="inlineStr"/>
      <c r="I3372" s="6" t="inlineStr"/>
      <c r="J3372" s="6" t="inlineStr"/>
      <c r="K3372" s="16" t="n">
        <v>12</v>
      </c>
      <c r="L3372" s="2" t="inlineStr">
        <is>
          <t>20260608800483</t>
        </is>
      </c>
      <c r="M3372" s="8">
        <f>HYPERLINK("https://dart.fss.or.kr/dsaf001/main.do?rcpNo=20260608800483", "공시열람")</f>
        <v/>
      </c>
    </row>
    <row r="3373" ht="22" customHeight="1">
      <c r="A3373" s="2" t="inlineStr">
        <is>
          <t>2026-06-08</t>
        </is>
      </c>
      <c r="B3373" s="3" t="inlineStr">
        <is>
          <t>현대에이치티</t>
        </is>
      </c>
      <c r="C3373" s="2" t="inlineStr">
        <is>
          <t>039010</t>
        </is>
      </c>
      <c r="D3373" s="2" t="inlineStr">
        <is>
          <t>대량보유</t>
        </is>
      </c>
      <c r="E3373" s="3" t="inlineStr">
        <is>
          <t>최현수</t>
        </is>
      </c>
      <c r="F3373" s="3" t="inlineStr">
        <is>
          <t>특별관계자</t>
        </is>
      </c>
      <c r="G3373" s="3" t="inlineStr">
        <is>
          <t>장내매수(+)</t>
        </is>
      </c>
      <c r="H3373" s="15" t="n">
        <v>463</v>
      </c>
      <c r="I3373" s="6" t="n">
        <v>6840</v>
      </c>
      <c r="J3373" s="6" t="n">
        <v>1463</v>
      </c>
      <c r="K3373" s="16" t="n">
        <v>8</v>
      </c>
      <c r="L3373" s="2" t="inlineStr">
        <is>
          <t>20260608000121</t>
        </is>
      </c>
      <c r="M3373" s="8">
        <f>HYPERLINK("https://dart.fss.or.kr/dsaf001/main.do?rcpNo=20260608000121", "공시열람")</f>
        <v/>
      </c>
    </row>
    <row r="3374" ht="22" customHeight="1">
      <c r="A3374" s="2" t="inlineStr">
        <is>
          <t>2026-06-08</t>
        </is>
      </c>
      <c r="B3374" s="3" t="inlineStr">
        <is>
          <t>현대에이치티</t>
        </is>
      </c>
      <c r="C3374" s="2" t="inlineStr">
        <is>
          <t>039010</t>
        </is>
      </c>
      <c r="D3374" s="2" t="inlineStr">
        <is>
          <t>대량보유</t>
        </is>
      </c>
      <c r="E3374" s="3" t="inlineStr">
        <is>
          <t>김기태</t>
        </is>
      </c>
      <c r="F3374" s="3" t="inlineStr">
        <is>
          <t>특별관계자</t>
        </is>
      </c>
      <c r="G3374" s="3" t="inlineStr">
        <is>
          <t>장내매수(+)</t>
        </is>
      </c>
      <c r="H3374" s="15" t="n">
        <v>301</v>
      </c>
      <c r="I3374" s="6" t="n">
        <v>7950</v>
      </c>
      <c r="J3374" s="6" t="n">
        <v>1501</v>
      </c>
      <c r="K3374" s="16" t="n">
        <v>8</v>
      </c>
      <c r="L3374" s="2" t="inlineStr">
        <is>
          <t>20260608000121</t>
        </is>
      </c>
      <c r="M3374" s="8">
        <f>HYPERLINK("https://dart.fss.or.kr/dsaf001/main.do?rcpNo=20260608000121", "공시열람")</f>
        <v/>
      </c>
    </row>
    <row r="3375" ht="22" customHeight="1">
      <c r="A3375" s="2" t="inlineStr">
        <is>
          <t>2026-06-08</t>
        </is>
      </c>
      <c r="B3375" s="3" t="inlineStr">
        <is>
          <t>동진쎄미켐</t>
        </is>
      </c>
      <c r="C3375" s="2" t="inlineStr">
        <is>
          <t>005290</t>
        </is>
      </c>
      <c r="D3375" s="2" t="inlineStr">
        <is>
          <t>대량보유</t>
        </is>
      </c>
      <c r="E3375" s="3" t="inlineStr">
        <is>
          <t>동진홀딩스</t>
        </is>
      </c>
      <c r="F3375" s="3" t="inlineStr">
        <is>
          <t>보고자</t>
        </is>
      </c>
      <c r="G3375" s="3" t="inlineStr">
        <is>
          <t>해당사항없음</t>
        </is>
      </c>
      <c r="H3375" s="6" t="inlineStr"/>
      <c r="I3375" s="6" t="inlineStr"/>
      <c r="J3375" s="6" t="n">
        <v>17757724</v>
      </c>
      <c r="K3375" s="16" t="n">
        <v>3</v>
      </c>
      <c r="L3375" s="2" t="inlineStr">
        <is>
          <t>20260608000119</t>
        </is>
      </c>
      <c r="M3375" s="8">
        <f>HYPERLINK("https://dart.fss.or.kr/dsaf001/main.do?rcpNo=20260608000119", "공시열람")</f>
        <v/>
      </c>
    </row>
    <row r="3376" ht="22" customHeight="1">
      <c r="A3376" s="2" t="inlineStr">
        <is>
          <t>2026-06-08</t>
        </is>
      </c>
      <c r="B3376" s="3" t="inlineStr">
        <is>
          <t>신흥</t>
        </is>
      </c>
      <c r="C3376" s="2" t="inlineStr">
        <is>
          <t>004080</t>
        </is>
      </c>
      <c r="D3376" s="2" t="inlineStr">
        <is>
          <t>임원보고</t>
        </is>
      </c>
      <c r="E3376" s="3" t="inlineStr">
        <is>
          <t>-</t>
        </is>
      </c>
      <c r="F3376" s="3" t="inlineStr">
        <is>
          <t>-</t>
        </is>
      </c>
      <c r="G3376" s="3" t="inlineStr">
        <is>
          <t>-</t>
        </is>
      </c>
      <c r="H3376" s="6" t="inlineStr"/>
      <c r="I3376" s="6" t="inlineStr"/>
      <c r="J3376" s="6" t="inlineStr"/>
      <c r="K3376" s="16" t="n">
        <v>12</v>
      </c>
      <c r="L3376" s="2" t="inlineStr">
        <is>
          <t>20260608800451</t>
        </is>
      </c>
      <c r="M3376" s="8">
        <f>HYPERLINK("https://dart.fss.or.kr/dsaf001/main.do?rcpNo=20260608800451", "공시열람")</f>
        <v/>
      </c>
    </row>
    <row r="3377" ht="22" customHeight="1">
      <c r="A3377" s="2" t="inlineStr">
        <is>
          <t>2026-06-08</t>
        </is>
      </c>
      <c r="B3377" s="3" t="inlineStr">
        <is>
          <t>펌텍코리아</t>
        </is>
      </c>
      <c r="C3377" s="2" t="inlineStr">
        <is>
          <t>251970</t>
        </is>
      </c>
      <c r="D3377" s="2" t="inlineStr">
        <is>
          <t>대량보유</t>
        </is>
      </c>
      <c r="E3377" s="3" t="inlineStr">
        <is>
          <t>FASTEMMKTSFUND</t>
        </is>
      </c>
      <c r="F3377" s="3" t="inlineStr">
        <is>
          <t>특별관계자</t>
        </is>
      </c>
      <c r="G3377" s="3" t="inlineStr">
        <is>
          <t>장내매도(-)</t>
        </is>
      </c>
      <c r="H3377" s="17" t="n">
        <v>-54351</v>
      </c>
      <c r="I3377" s="6" t="n">
        <v>41328</v>
      </c>
      <c r="J3377" s="6" t="inlineStr"/>
      <c r="K3377" s="16" t="n">
        <v>10</v>
      </c>
      <c r="L3377" s="2" t="inlineStr">
        <is>
          <t>20260608000113</t>
        </is>
      </c>
      <c r="M3377" s="8">
        <f>HYPERLINK("https://dart.fss.or.kr/dsaf001/main.do?rcpNo=20260608000113", "공시열람")</f>
        <v/>
      </c>
    </row>
    <row r="3378" ht="22" customHeight="1">
      <c r="A3378" s="2" t="inlineStr">
        <is>
          <t>2026-06-08</t>
        </is>
      </c>
      <c r="B3378" s="3" t="inlineStr">
        <is>
          <t>펌텍코리아</t>
        </is>
      </c>
      <c r="C3378" s="2" t="inlineStr">
        <is>
          <t>251970</t>
        </is>
      </c>
      <c r="D3378" s="2" t="inlineStr">
        <is>
          <t>대량보유</t>
        </is>
      </c>
      <c r="E3378" s="3" t="inlineStr">
        <is>
          <t>FIDASIANVALUES</t>
        </is>
      </c>
      <c r="F3378" s="3" t="inlineStr">
        <is>
          <t>특별관계자</t>
        </is>
      </c>
      <c r="G3378" s="3" t="inlineStr">
        <is>
          <t>장내매도(-)</t>
        </is>
      </c>
      <c r="H3378" s="17" t="n">
        <v>-25030</v>
      </c>
      <c r="I3378" s="6" t="n">
        <v>42863</v>
      </c>
      <c r="J3378" s="6" t="n">
        <v>97987</v>
      </c>
      <c r="K3378" s="16" t="n">
        <v>10</v>
      </c>
      <c r="L3378" s="2" t="inlineStr">
        <is>
          <t>20260608000113</t>
        </is>
      </c>
      <c r="M3378" s="8">
        <f>HYPERLINK("https://dart.fss.or.kr/dsaf001/main.do?rcpNo=20260608000113", "공시열람")</f>
        <v/>
      </c>
    </row>
    <row r="3379" ht="22" customHeight="1">
      <c r="A3379" s="2" t="inlineStr">
        <is>
          <t>2026-06-08</t>
        </is>
      </c>
      <c r="B3379" s="3" t="inlineStr">
        <is>
          <t>펌텍코리아</t>
        </is>
      </c>
      <c r="C3379" s="2" t="inlineStr">
        <is>
          <t>251970</t>
        </is>
      </c>
      <c r="D3379" s="2" t="inlineStr">
        <is>
          <t>대량보유</t>
        </is>
      </c>
      <c r="E3379" s="3" t="inlineStr">
        <is>
          <t>FIDEMERGINGMKTSLTD</t>
        </is>
      </c>
      <c r="F3379" s="3" t="inlineStr">
        <is>
          <t>특별관계자</t>
        </is>
      </c>
      <c r="G3379" s="3" t="inlineStr">
        <is>
          <t>장내매도(-)</t>
        </is>
      </c>
      <c r="H3379" s="17" t="n">
        <v>-76371</v>
      </c>
      <c r="I3379" s="6" t="n">
        <v>41323</v>
      </c>
      <c r="J3379" s="6" t="inlineStr"/>
      <c r="K3379" s="16" t="n">
        <v>10</v>
      </c>
      <c r="L3379" s="2" t="inlineStr">
        <is>
          <t>20260608000113</t>
        </is>
      </c>
      <c r="M3379" s="8">
        <f>HYPERLINK("https://dart.fss.or.kr/dsaf001/main.do?rcpNo=20260608000113", "공시열람")</f>
        <v/>
      </c>
    </row>
    <row r="3380" ht="22" customHeight="1">
      <c r="A3380" s="2" t="inlineStr">
        <is>
          <t>2026-06-08</t>
        </is>
      </c>
      <c r="B3380" s="3" t="inlineStr">
        <is>
          <t>펌텍코리아</t>
        </is>
      </c>
      <c r="C3380" s="2" t="inlineStr">
        <is>
          <t>251970</t>
        </is>
      </c>
      <c r="D3380" s="2" t="inlineStr">
        <is>
          <t>대량보유</t>
        </is>
      </c>
      <c r="E3380" s="3" t="inlineStr">
        <is>
          <t>FIDELITYFUNDS</t>
        </is>
      </c>
      <c r="F3380" s="3" t="inlineStr">
        <is>
          <t>특별관계자</t>
        </is>
      </c>
      <c r="G3380" s="3" t="inlineStr">
        <is>
          <t>장내매도(-)</t>
        </is>
      </c>
      <c r="H3380" s="17" t="n">
        <v>-158897</v>
      </c>
      <c r="I3380" s="6" t="n">
        <v>40119</v>
      </c>
      <c r="J3380" s="6" t="n">
        <v>523220</v>
      </c>
      <c r="K3380" s="16" t="n">
        <v>10</v>
      </c>
      <c r="L3380" s="2" t="inlineStr">
        <is>
          <t>20260608000113</t>
        </is>
      </c>
      <c r="M3380" s="8">
        <f>HYPERLINK("https://dart.fss.or.kr/dsaf001/main.do?rcpNo=20260608000113", "공시열람")</f>
        <v/>
      </c>
    </row>
    <row r="3381" ht="22" customHeight="1">
      <c r="A3381" s="2" t="inlineStr">
        <is>
          <t>2026-06-08</t>
        </is>
      </c>
      <c r="B3381" s="3" t="inlineStr">
        <is>
          <t>펌텍코리아</t>
        </is>
      </c>
      <c r="C3381" s="2" t="inlineStr">
        <is>
          <t>251970</t>
        </is>
      </c>
      <c r="D3381" s="2" t="inlineStr">
        <is>
          <t>대량보유</t>
        </is>
      </c>
      <c r="E3381" s="3" t="inlineStr">
        <is>
          <t>HI-KAPPA-14-SFONDS</t>
        </is>
      </c>
      <c r="F3381" s="3" t="inlineStr">
        <is>
          <t>특별관계자</t>
        </is>
      </c>
      <c r="G3381" s="3" t="inlineStr">
        <is>
          <t>장내매수(+)</t>
        </is>
      </c>
      <c r="H3381" s="15" t="n">
        <v>687</v>
      </c>
      <c r="I3381" s="6" t="n">
        <v>37147</v>
      </c>
      <c r="J3381" s="6" t="n">
        <v>11069</v>
      </c>
      <c r="K3381" s="16" t="n">
        <v>10</v>
      </c>
      <c r="L3381" s="2" t="inlineStr">
        <is>
          <t>20260608000113</t>
        </is>
      </c>
      <c r="M3381" s="8">
        <f>HYPERLINK("https://dart.fss.or.kr/dsaf001/main.do?rcpNo=20260608000113", "공시열람")</f>
        <v/>
      </c>
    </row>
    <row r="3382" ht="22" customHeight="1">
      <c r="A3382" s="2" t="inlineStr">
        <is>
          <t>2026-06-08</t>
        </is>
      </c>
      <c r="B3382" s="3" t="inlineStr">
        <is>
          <t>펌텍코리아</t>
        </is>
      </c>
      <c r="C3382" s="2" t="inlineStr">
        <is>
          <t>251970</t>
        </is>
      </c>
      <c r="D3382" s="2" t="inlineStr">
        <is>
          <t>대량보유</t>
        </is>
      </c>
      <c r="E3382" s="3" t="inlineStr">
        <is>
          <t>NORDESTASSETMANAGEMENT</t>
        </is>
      </c>
      <c r="F3382" s="3" t="inlineStr">
        <is>
          <t>특별관계자</t>
        </is>
      </c>
      <c r="G3382" s="3" t="inlineStr">
        <is>
          <t>장내매수(+)</t>
        </is>
      </c>
      <c r="H3382" s="15" t="n">
        <v>5238</v>
      </c>
      <c r="I3382" s="6" t="n">
        <v>37550</v>
      </c>
      <c r="J3382" s="6" t="n">
        <v>42932</v>
      </c>
      <c r="K3382" s="16" t="n">
        <v>10</v>
      </c>
      <c r="L3382" s="2" t="inlineStr">
        <is>
          <t>20260608000113</t>
        </is>
      </c>
      <c r="M3382" s="8">
        <f>HYPERLINK("https://dart.fss.or.kr/dsaf001/main.do?rcpNo=20260608000113", "공시열람")</f>
        <v/>
      </c>
    </row>
    <row r="3383" ht="22" customHeight="1">
      <c r="A3383" s="2" t="inlineStr">
        <is>
          <t>2026-06-08</t>
        </is>
      </c>
      <c r="B3383" s="3" t="inlineStr">
        <is>
          <t>네오팜</t>
        </is>
      </c>
      <c r="C3383" s="2" t="inlineStr">
        <is>
          <t>092730</t>
        </is>
      </c>
      <c r="D3383" s="2" t="inlineStr">
        <is>
          <t>대량보유</t>
        </is>
      </c>
      <c r="E3383" s="3" t="inlineStr">
        <is>
          <t>FIDELITYFUNDS</t>
        </is>
      </c>
      <c r="F3383" s="3" t="inlineStr">
        <is>
          <t>특별관계자</t>
        </is>
      </c>
      <c r="G3383" s="3" t="inlineStr">
        <is>
          <t>장내매수(+)</t>
        </is>
      </c>
      <c r="H3383" s="15" t="n">
        <v>150577</v>
      </c>
      <c r="I3383" s="6" t="n">
        <v>19558</v>
      </c>
      <c r="J3383" s="6" t="n">
        <v>1072328</v>
      </c>
      <c r="K3383" s="16" t="n">
        <v>8</v>
      </c>
      <c r="L3383" s="2" t="inlineStr">
        <is>
          <t>20260608000105</t>
        </is>
      </c>
      <c r="M3383" s="8">
        <f>HYPERLINK("https://dart.fss.or.kr/dsaf001/main.do?rcpNo=20260608000105", "공시열람")</f>
        <v/>
      </c>
    </row>
    <row r="3384" ht="22" customHeight="1">
      <c r="A3384" s="2" t="inlineStr">
        <is>
          <t>2026-06-08</t>
        </is>
      </c>
      <c r="B3384" s="3" t="inlineStr">
        <is>
          <t>네오팜</t>
        </is>
      </c>
      <c r="C3384" s="2" t="inlineStr">
        <is>
          <t>092730</t>
        </is>
      </c>
      <c r="D3384" s="2" t="inlineStr">
        <is>
          <t>대량보유</t>
        </is>
      </c>
      <c r="E3384" s="3" t="inlineStr">
        <is>
          <t>HI-KAPPA-14-SFONDS</t>
        </is>
      </c>
      <c r="F3384" s="3" t="inlineStr">
        <is>
          <t>특별관계자</t>
        </is>
      </c>
      <c r="G3384" s="3" t="inlineStr">
        <is>
          <t>장내매수(+)</t>
        </is>
      </c>
      <c r="H3384" s="15" t="n">
        <v>4804</v>
      </c>
      <c r="I3384" s="6" t="n">
        <v>19271</v>
      </c>
      <c r="J3384" s="6" t="n">
        <v>35366</v>
      </c>
      <c r="K3384" s="16" t="n">
        <v>8</v>
      </c>
      <c r="L3384" s="2" t="inlineStr">
        <is>
          <t>20260608000105</t>
        </is>
      </c>
      <c r="M3384" s="8">
        <f>HYPERLINK("https://dart.fss.or.kr/dsaf001/main.do?rcpNo=20260608000105", "공시열람")</f>
        <v/>
      </c>
    </row>
    <row r="3385" ht="22" customHeight="1">
      <c r="A3385" s="2" t="inlineStr">
        <is>
          <t>2026-06-08</t>
        </is>
      </c>
      <c r="B3385" s="3" t="inlineStr">
        <is>
          <t>네오팜</t>
        </is>
      </c>
      <c r="C3385" s="2" t="inlineStr">
        <is>
          <t>092730</t>
        </is>
      </c>
      <c r="D3385" s="2" t="inlineStr">
        <is>
          <t>대량보유</t>
        </is>
      </c>
      <c r="E3385" s="3" t="inlineStr">
        <is>
          <t>HI-SZVA-34-SFONDS</t>
        </is>
      </c>
      <c r="F3385" s="3" t="inlineStr">
        <is>
          <t>특별관계자</t>
        </is>
      </c>
      <c r="G3385" s="3" t="inlineStr">
        <is>
          <t>장내매수(+)</t>
        </is>
      </c>
      <c r="H3385" s="15" t="n">
        <v>4754</v>
      </c>
      <c r="I3385" s="6" t="n">
        <v>19267</v>
      </c>
      <c r="J3385" s="6" t="n">
        <v>51458</v>
      </c>
      <c r="K3385" s="16" t="n">
        <v>8</v>
      </c>
      <c r="L3385" s="2" t="inlineStr">
        <is>
          <t>20260608000105</t>
        </is>
      </c>
      <c r="M3385" s="8">
        <f>HYPERLINK("https://dart.fss.or.kr/dsaf001/main.do?rcpNo=20260608000105", "공시열람")</f>
        <v/>
      </c>
    </row>
    <row r="3386" ht="22" customHeight="1">
      <c r="A3386" s="2" t="inlineStr">
        <is>
          <t>2026-06-08</t>
        </is>
      </c>
      <c r="B3386" s="3" t="inlineStr">
        <is>
          <t>네오팜</t>
        </is>
      </c>
      <c r="C3386" s="2" t="inlineStr">
        <is>
          <t>092730</t>
        </is>
      </c>
      <c r="D3386" s="2" t="inlineStr">
        <is>
          <t>대량보유</t>
        </is>
      </c>
      <c r="E3386" s="3" t="inlineStr">
        <is>
          <t>NORDESTASSETMANAGEMENT</t>
        </is>
      </c>
      <c r="F3386" s="3" t="inlineStr">
        <is>
          <t>특별관계자</t>
        </is>
      </c>
      <c r="G3386" s="3" t="inlineStr">
        <is>
          <t>장내매수(+)</t>
        </is>
      </c>
      <c r="H3386" s="15" t="n">
        <v>8325</v>
      </c>
      <c r="I3386" s="6" t="n">
        <v>19533</v>
      </c>
      <c r="J3386" s="6" t="n">
        <v>134517</v>
      </c>
      <c r="K3386" s="16" t="n">
        <v>8</v>
      </c>
      <c r="L3386" s="2" t="inlineStr">
        <is>
          <t>20260608000105</t>
        </is>
      </c>
      <c r="M3386" s="8">
        <f>HYPERLINK("https://dart.fss.or.kr/dsaf001/main.do?rcpNo=20260608000105", "공시열람")</f>
        <v/>
      </c>
    </row>
    <row r="3387" ht="22" customHeight="1">
      <c r="A3387" s="2" t="inlineStr">
        <is>
          <t>2026-06-08</t>
        </is>
      </c>
      <c r="B3387" s="3" t="inlineStr">
        <is>
          <t>포커스에이아이</t>
        </is>
      </c>
      <c r="C3387" s="2" t="inlineStr">
        <is>
          <t>331380</t>
        </is>
      </c>
      <c r="D3387" s="2" t="inlineStr">
        <is>
          <t>대량보유</t>
        </is>
      </c>
      <c r="E3387" s="3" t="inlineStr">
        <is>
          <t>(주)제이플래닝</t>
        </is>
      </c>
      <c r="F3387" s="3" t="inlineStr">
        <is>
          <t>특별관계자</t>
        </is>
      </c>
      <c r="G3387" s="3" t="inlineStr">
        <is>
          <t>제3자배정유상증자(+)</t>
        </is>
      </c>
      <c r="H3387" s="15" t="n">
        <v>4149377</v>
      </c>
      <c r="I3387" s="6" t="n">
        <v>1928</v>
      </c>
      <c r="J3387" s="6" t="n">
        <v>4149377</v>
      </c>
      <c r="K3387" s="16" t="n">
        <v>8</v>
      </c>
      <c r="L3387" s="2" t="inlineStr">
        <is>
          <t>20260608000104</t>
        </is>
      </c>
      <c r="M3387" s="8">
        <f>HYPERLINK("https://dart.fss.or.kr/dsaf001/main.do?rcpNo=20260608000104", "공시열람")</f>
        <v/>
      </c>
    </row>
    <row r="3388" ht="22" customHeight="1">
      <c r="A3388" s="2" t="inlineStr">
        <is>
          <t>2026-06-08</t>
        </is>
      </c>
      <c r="B3388" s="3" t="inlineStr">
        <is>
          <t>삼익제약</t>
        </is>
      </c>
      <c r="C3388" s="2" t="inlineStr">
        <is>
          <t>014950</t>
        </is>
      </c>
      <c r="D3388" s="2" t="inlineStr">
        <is>
          <t>대량보유</t>
        </is>
      </c>
      <c r="E3388" s="3" t="inlineStr">
        <is>
          <t>유소연</t>
        </is>
      </c>
      <c r="F3388" s="3" t="inlineStr">
        <is>
          <t>특별관계자</t>
        </is>
      </c>
      <c r="G3388" s="3" t="inlineStr">
        <is>
          <t>장내매수(+)</t>
        </is>
      </c>
      <c r="H3388" s="15" t="n">
        <v>300</v>
      </c>
      <c r="I3388" s="6" t="n">
        <v>6640</v>
      </c>
      <c r="J3388" s="6" t="n">
        <v>2800</v>
      </c>
      <c r="K3388" s="16" t="n">
        <v>18</v>
      </c>
      <c r="L3388" s="2" t="inlineStr">
        <is>
          <t>20260608000101</t>
        </is>
      </c>
      <c r="M3388" s="8">
        <f>HYPERLINK("https://dart.fss.or.kr/dsaf001/main.do?rcpNo=20260608000101", "공시열람")</f>
        <v/>
      </c>
    </row>
    <row r="3389" ht="22" customHeight="1">
      <c r="A3389" s="2" t="inlineStr">
        <is>
          <t>2026-06-08</t>
        </is>
      </c>
      <c r="B3389" s="3" t="inlineStr">
        <is>
          <t>삼익제약</t>
        </is>
      </c>
      <c r="C3389" s="2" t="inlineStr">
        <is>
          <t>014950</t>
        </is>
      </c>
      <c r="D3389" s="2" t="inlineStr">
        <is>
          <t>대량보유</t>
        </is>
      </c>
      <c r="E3389" s="3" t="inlineStr">
        <is>
          <t>권영이</t>
        </is>
      </c>
      <c r="F3389" s="3" t="inlineStr">
        <is>
          <t>특별관계자</t>
        </is>
      </c>
      <c r="G3389" s="3" t="inlineStr">
        <is>
          <t>장내매도(-)</t>
        </is>
      </c>
      <c r="H3389" s="17" t="n">
        <v>-50000</v>
      </c>
      <c r="I3389" s="6" t="n">
        <v>5310</v>
      </c>
      <c r="J3389" s="6" t="n">
        <v>15000</v>
      </c>
      <c r="K3389" s="16" t="n">
        <v>18</v>
      </c>
      <c r="L3389" s="2" t="inlineStr">
        <is>
          <t>20260608000101</t>
        </is>
      </c>
      <c r="M3389" s="8">
        <f>HYPERLINK("https://dart.fss.or.kr/dsaf001/main.do?rcpNo=20260608000101", "공시열람")</f>
        <v/>
      </c>
    </row>
    <row r="3390" ht="22" customHeight="1">
      <c r="A3390" s="2" t="inlineStr">
        <is>
          <t>2026-06-08</t>
        </is>
      </c>
      <c r="B3390" s="3" t="inlineStr">
        <is>
          <t>EG</t>
        </is>
      </c>
      <c r="C3390" s="2" t="inlineStr">
        <is>
          <t>037370</t>
        </is>
      </c>
      <c r="D3390" s="2" t="inlineStr">
        <is>
          <t>대량보유</t>
        </is>
      </c>
      <c r="E3390" s="3" t="inlineStr">
        <is>
          <t>박지만</t>
        </is>
      </c>
      <c r="F3390" s="3" t="inlineStr">
        <is>
          <t>보고자</t>
        </is>
      </c>
      <c r="G3390" s="3" t="inlineStr">
        <is>
          <t>주식담보대출연장</t>
        </is>
      </c>
      <c r="H3390" s="6" t="inlineStr"/>
      <c r="I3390" s="6" t="inlineStr"/>
      <c r="J3390" s="6" t="n">
        <v>2100617</v>
      </c>
      <c r="K3390" s="16" t="n">
        <v>2</v>
      </c>
      <c r="L3390" s="2" t="inlineStr">
        <is>
          <t>20260608000100</t>
        </is>
      </c>
      <c r="M3390" s="8">
        <f>HYPERLINK("https://dart.fss.or.kr/dsaf001/main.do?rcpNo=20260608000100", "공시열람")</f>
        <v/>
      </c>
    </row>
    <row r="3391" ht="22" customHeight="1">
      <c r="A3391" s="2" t="inlineStr">
        <is>
          <t>2026-06-08</t>
        </is>
      </c>
      <c r="B3391" s="3" t="inlineStr">
        <is>
          <t>하이트진로</t>
        </is>
      </c>
      <c r="C3391" s="2" t="inlineStr">
        <is>
          <t>000080</t>
        </is>
      </c>
      <c r="D3391" s="2" t="inlineStr">
        <is>
          <t>임원보고</t>
        </is>
      </c>
      <c r="E3391" s="3" t="inlineStr">
        <is>
          <t>-</t>
        </is>
      </c>
      <c r="F3391" s="3" t="inlineStr">
        <is>
          <t>-</t>
        </is>
      </c>
      <c r="G3391" s="3" t="inlineStr">
        <is>
          <t>-</t>
        </is>
      </c>
      <c r="H3391" s="6" t="inlineStr"/>
      <c r="I3391" s="6" t="inlineStr"/>
      <c r="J3391" s="6" t="inlineStr"/>
      <c r="K3391" s="16" t="n">
        <v>12</v>
      </c>
      <c r="L3391" s="2" t="inlineStr">
        <is>
          <t>20260608800419</t>
        </is>
      </c>
      <c r="M3391" s="8">
        <f>HYPERLINK("https://dart.fss.or.kr/dsaf001/main.do?rcpNo=20260608800419", "공시열람")</f>
        <v/>
      </c>
    </row>
    <row r="3392" ht="22" customHeight="1">
      <c r="A3392" s="2" t="inlineStr">
        <is>
          <t>2026-06-08</t>
        </is>
      </c>
      <c r="B3392" s="3" t="inlineStr">
        <is>
          <t>HD현대마린솔루션</t>
        </is>
      </c>
      <c r="C3392" s="2" t="inlineStr">
        <is>
          <t>443060</t>
        </is>
      </c>
      <c r="D3392" s="2" t="inlineStr">
        <is>
          <t>대량보유</t>
        </is>
      </c>
      <c r="E3392" s="3" t="inlineStr">
        <is>
          <t>GICPrivateLimited</t>
        </is>
      </c>
      <c r="F3392" s="3" t="inlineStr">
        <is>
          <t>특별관계자</t>
        </is>
      </c>
      <c r="G3392" s="3" t="inlineStr">
        <is>
          <t>장내매수(+), 장내매도(-)</t>
        </is>
      </c>
      <c r="H3392" s="17" t="n">
        <v>-462896</v>
      </c>
      <c r="I3392" s="6" t="n">
        <v>226030</v>
      </c>
      <c r="J3392" s="6" t="n">
        <v>2701477</v>
      </c>
      <c r="K3392" s="16" t="n">
        <v>6.026</v>
      </c>
      <c r="L3392" s="2" t="inlineStr">
        <is>
          <t>20260608000092</t>
        </is>
      </c>
      <c r="M3392" s="8">
        <f>HYPERLINK("https://dart.fss.or.kr/dsaf001/main.do?rcpNo=20260608000092", "공시열람")</f>
        <v/>
      </c>
    </row>
    <row r="3393" ht="22" customHeight="1">
      <c r="A3393" s="2" t="inlineStr">
        <is>
          <t>2026-06-08</t>
        </is>
      </c>
      <c r="B3393" s="3" t="inlineStr">
        <is>
          <t>하이트진로</t>
        </is>
      </c>
      <c r="C3393" s="2" t="inlineStr">
        <is>
          <t>000080</t>
        </is>
      </c>
      <c r="D3393" s="2" t="inlineStr">
        <is>
          <t>대량보유</t>
        </is>
      </c>
      <c r="E3393" s="3" t="inlineStr">
        <is>
          <t>백명규</t>
        </is>
      </c>
      <c r="F3393" s="3" t="inlineStr">
        <is>
          <t>특별관계자</t>
        </is>
      </c>
      <c r="G3393" s="3" t="inlineStr">
        <is>
          <t>신규선임(유상취득)(+), 장내매수(+)</t>
        </is>
      </c>
      <c r="H3393" s="15" t="n">
        <v>1210</v>
      </c>
      <c r="I3393" s="6" t="n">
        <v>16415</v>
      </c>
      <c r="J3393" s="6" t="n">
        <v>1210</v>
      </c>
      <c r="K3393" s="16" t="n">
        <v>11</v>
      </c>
      <c r="L3393" s="2" t="inlineStr">
        <is>
          <t>20260608000077</t>
        </is>
      </c>
      <c r="M3393" s="8">
        <f>HYPERLINK("https://dart.fss.or.kr/dsaf001/main.do?rcpNo=20260608000077", "공시열람")</f>
        <v/>
      </c>
    </row>
    <row r="3394" ht="22" customHeight="1">
      <c r="A3394" s="2" t="inlineStr">
        <is>
          <t>2026-06-08</t>
        </is>
      </c>
      <c r="B3394" s="3" t="inlineStr">
        <is>
          <t>INVENI</t>
        </is>
      </c>
      <c r="C3394" s="2" t="inlineStr">
        <is>
          <t>015360</t>
        </is>
      </c>
      <c r="D3394" s="2" t="inlineStr">
        <is>
          <t>대량보유</t>
        </is>
      </c>
      <c r="E3394" s="3" t="inlineStr">
        <is>
          <t>구자은</t>
        </is>
      </c>
      <c r="F3394" s="3" t="inlineStr">
        <is>
          <t>특별관계자</t>
        </is>
      </c>
      <c r="G3394" s="3" t="inlineStr">
        <is>
          <t>장내매수(+)</t>
        </is>
      </c>
      <c r="H3394" s="15" t="n">
        <v>12770</v>
      </c>
      <c r="I3394" s="6" t="n">
        <v>14746</v>
      </c>
      <c r="J3394" s="6" t="n">
        <v>2432204</v>
      </c>
      <c r="K3394" s="16" t="n">
        <v>28</v>
      </c>
      <c r="L3394" s="2" t="inlineStr">
        <is>
          <t>20260608000055</t>
        </is>
      </c>
      <c r="M3394" s="8">
        <f>HYPERLINK("https://dart.fss.or.kr/dsaf001/main.do?rcpNo=20260608000055", "공시열람")</f>
        <v/>
      </c>
    </row>
    <row r="3395" ht="22" customHeight="1">
      <c r="A3395" s="2" t="inlineStr">
        <is>
          <t>2026-06-08 (정정: 2026-06-16)</t>
        </is>
      </c>
      <c r="B3395" s="3" t="inlineStr">
        <is>
          <t>INVENI</t>
        </is>
      </c>
      <c r="C3395" s="2" t="inlineStr">
        <is>
          <t>015360</t>
        </is>
      </c>
      <c r="D3395" s="2" t="inlineStr">
        <is>
          <t>임원보고</t>
        </is>
      </c>
      <c r="E3395" s="3" t="inlineStr">
        <is>
          <t>-</t>
        </is>
      </c>
      <c r="F3395" s="3" t="inlineStr">
        <is>
          <t>-</t>
        </is>
      </c>
      <c r="G3395" s="3" t="inlineStr">
        <is>
          <t>-</t>
        </is>
      </c>
      <c r="H3395" s="6" t="inlineStr"/>
      <c r="I3395" s="6" t="inlineStr"/>
      <c r="J3395" s="6" t="inlineStr"/>
      <c r="K3395" s="18" t="inlineStr"/>
      <c r="L3395" s="2" t="inlineStr">
        <is>
          <t>20260616800435</t>
        </is>
      </c>
      <c r="M3395" s="8">
        <f>HYPERLINK("https://dart.fss.or.kr/dsaf001/main.do?rcpNo=20260616800435", "공시열람")</f>
        <v/>
      </c>
    </row>
    <row r="3396" ht="22" customHeight="1">
      <c r="A3396" s="2" t="inlineStr">
        <is>
          <t>2026-06-08</t>
        </is>
      </c>
      <c r="B3396" s="3" t="inlineStr">
        <is>
          <t>레이</t>
        </is>
      </c>
      <c r="C3396" s="2" t="inlineStr">
        <is>
          <t>228670</t>
        </is>
      </c>
      <c r="D3396" s="2" t="inlineStr">
        <is>
          <t>대량보유</t>
        </is>
      </c>
      <c r="E3396" s="3" t="inlineStr">
        <is>
          <t>윤수빈</t>
        </is>
      </c>
      <c r="F3396" s="3" t="inlineStr">
        <is>
          <t>특별관계자</t>
        </is>
      </c>
      <c r="G3396" s="3" t="inlineStr">
        <is>
          <t>장내매수(+)</t>
        </is>
      </c>
      <c r="H3396" s="15" t="n">
        <v>4986</v>
      </c>
      <c r="I3396" s="6" t="n">
        <v>5057</v>
      </c>
      <c r="J3396" s="6" t="n">
        <v>4986</v>
      </c>
      <c r="K3396" s="16" t="n">
        <v>12</v>
      </c>
      <c r="L3396" s="2" t="inlineStr">
        <is>
          <t>20260608000043</t>
        </is>
      </c>
      <c r="M3396" s="8">
        <f>HYPERLINK("https://dart.fss.or.kr/dsaf001/main.do?rcpNo=20260608000043", "공시열람")</f>
        <v/>
      </c>
    </row>
    <row r="3397" ht="22" customHeight="1">
      <c r="A3397" s="2" t="inlineStr">
        <is>
          <t>2026-06-08</t>
        </is>
      </c>
      <c r="B3397" s="3" t="inlineStr">
        <is>
          <t>한국타이어앤테크놀로지</t>
        </is>
      </c>
      <c r="C3397" s="2" t="inlineStr">
        <is>
          <t>161390</t>
        </is>
      </c>
      <c r="D3397" s="2" t="inlineStr">
        <is>
          <t>대량보유</t>
        </is>
      </c>
      <c r="E3397" s="3" t="inlineStr">
        <is>
          <t>BlackRockFundAdvisors</t>
        </is>
      </c>
      <c r="F3397" s="3" t="inlineStr">
        <is>
          <t>특별관계자</t>
        </is>
      </c>
      <c r="G3397" s="3" t="inlineStr">
        <is>
          <t>신규보고(+), 장내매수(+)</t>
        </is>
      </c>
      <c r="H3397" s="15" t="n">
        <v>3105619</v>
      </c>
      <c r="I3397" s="6" t="n">
        <v>50148</v>
      </c>
      <c r="J3397" s="6" t="n">
        <v>3105619</v>
      </c>
      <c r="K3397" s="16" t="n">
        <v>12</v>
      </c>
      <c r="L3397" s="2" t="inlineStr">
        <is>
          <t>20260608000030</t>
        </is>
      </c>
      <c r="M3397" s="8">
        <f>HYPERLINK("https://dart.fss.or.kr/dsaf001/main.do?rcpNo=20260608000030", "공시열람")</f>
        <v/>
      </c>
    </row>
    <row r="3398" ht="22" customHeight="1">
      <c r="A3398" s="2" t="inlineStr">
        <is>
          <t>2026-06-08</t>
        </is>
      </c>
      <c r="B3398" s="3" t="inlineStr">
        <is>
          <t>한국타이어앤테크놀로지</t>
        </is>
      </c>
      <c r="C3398" s="2" t="inlineStr">
        <is>
          <t>161390</t>
        </is>
      </c>
      <c r="D3398" s="2" t="inlineStr">
        <is>
          <t>대량보유</t>
        </is>
      </c>
      <c r="E3398" s="3" t="inlineStr">
        <is>
          <t>BlackRockInstitutionalTrustCompany,N.A.</t>
        </is>
      </c>
      <c r="F3398" s="3" t="inlineStr">
        <is>
          <t>특별관계자</t>
        </is>
      </c>
      <c r="G3398" s="3" t="inlineStr">
        <is>
          <t>신규보고(+)</t>
        </is>
      </c>
      <c r="H3398" s="15" t="n">
        <v>897493</v>
      </c>
      <c r="I3398" s="6" t="n">
        <v>44201</v>
      </c>
      <c r="J3398" s="6" t="n">
        <v>897493</v>
      </c>
      <c r="K3398" s="16" t="n">
        <v>12</v>
      </c>
      <c r="L3398" s="2" t="inlineStr">
        <is>
          <t>20260608000030</t>
        </is>
      </c>
      <c r="M3398" s="8">
        <f>HYPERLINK("https://dart.fss.or.kr/dsaf001/main.do?rcpNo=20260608000030", "공시열람")</f>
        <v/>
      </c>
    </row>
    <row r="3399" ht="22" customHeight="1">
      <c r="A3399" s="2" t="inlineStr">
        <is>
          <t>2026-06-08</t>
        </is>
      </c>
      <c r="B3399" s="3" t="inlineStr">
        <is>
          <t>한국타이어앤테크놀로지</t>
        </is>
      </c>
      <c r="C3399" s="2" t="inlineStr">
        <is>
          <t>161390</t>
        </is>
      </c>
      <c r="D3399" s="2" t="inlineStr">
        <is>
          <t>대량보유</t>
        </is>
      </c>
      <c r="E3399" s="3" t="inlineStr">
        <is>
          <t>BlackRockAdvisors(UK)Limited</t>
        </is>
      </c>
      <c r="F3399" s="3" t="inlineStr">
        <is>
          <t>특별관계자</t>
        </is>
      </c>
      <c r="G3399" s="3" t="inlineStr">
        <is>
          <t>신규보고(+), 장내매수(+)</t>
        </is>
      </c>
      <c r="H3399" s="15" t="n">
        <v>803084</v>
      </c>
      <c r="I3399" s="6" t="n">
        <v>47522</v>
      </c>
      <c r="J3399" s="6" t="n">
        <v>803084</v>
      </c>
      <c r="K3399" s="16" t="n">
        <v>12</v>
      </c>
      <c r="L3399" s="2" t="inlineStr">
        <is>
          <t>20260608000030</t>
        </is>
      </c>
      <c r="M3399" s="8">
        <f>HYPERLINK("https://dart.fss.or.kr/dsaf001/main.do?rcpNo=20260608000030", "공시열람")</f>
        <v/>
      </c>
    </row>
    <row r="3400" ht="22" customHeight="1">
      <c r="A3400" s="2" t="inlineStr">
        <is>
          <t>2026-06-08</t>
        </is>
      </c>
      <c r="B3400" s="3" t="inlineStr">
        <is>
          <t>한국타이어앤테크놀로지</t>
        </is>
      </c>
      <c r="C3400" s="2" t="inlineStr">
        <is>
          <t>161390</t>
        </is>
      </c>
      <c r="D3400" s="2" t="inlineStr">
        <is>
          <t>대량보유</t>
        </is>
      </c>
      <c r="E3400" s="3" t="inlineStr">
        <is>
          <t>BlackRockFinancialManagement,Inc</t>
        </is>
      </c>
      <c r="F3400" s="3" t="inlineStr">
        <is>
          <t>특별관계자</t>
        </is>
      </c>
      <c r="G3400" s="3" t="inlineStr">
        <is>
          <t>신규보고(+), 장내매도(-)</t>
        </is>
      </c>
      <c r="H3400" s="15" t="n">
        <v>17945</v>
      </c>
      <c r="I3400" s="6" t="n">
        <v>45650</v>
      </c>
      <c r="J3400" s="6" t="n">
        <v>17945</v>
      </c>
      <c r="K3400" s="16" t="n">
        <v>12</v>
      </c>
      <c r="L3400" s="2" t="inlineStr">
        <is>
          <t>20260608000030</t>
        </is>
      </c>
      <c r="M3400" s="8">
        <f>HYPERLINK("https://dart.fss.or.kr/dsaf001/main.do?rcpNo=20260608000030", "공시열람")</f>
        <v/>
      </c>
    </row>
    <row r="3401" ht="22" customHeight="1">
      <c r="A3401" s="2" t="inlineStr">
        <is>
          <t>2026-06-08</t>
        </is>
      </c>
      <c r="B3401" s="3" t="inlineStr">
        <is>
          <t>한국타이어앤테크놀로지</t>
        </is>
      </c>
      <c r="C3401" s="2" t="inlineStr">
        <is>
          <t>161390</t>
        </is>
      </c>
      <c r="D3401" s="2" t="inlineStr">
        <is>
          <t>대량보유</t>
        </is>
      </c>
      <c r="E3401" s="3" t="inlineStr">
        <is>
          <t>BlackRockInvestmentManagement,LLC</t>
        </is>
      </c>
      <c r="F3401" s="3" t="inlineStr">
        <is>
          <t>특별관계자</t>
        </is>
      </c>
      <c r="G3401" s="3" t="inlineStr">
        <is>
          <t>신규보고(+)</t>
        </is>
      </c>
      <c r="H3401" s="15" t="n">
        <v>8573</v>
      </c>
      <c r="I3401" s="6" t="n">
        <v>70104</v>
      </c>
      <c r="J3401" s="6" t="n">
        <v>8573</v>
      </c>
      <c r="K3401" s="16" t="n">
        <v>12</v>
      </c>
      <c r="L3401" s="2" t="inlineStr">
        <is>
          <t>20260608000030</t>
        </is>
      </c>
      <c r="M3401" s="8">
        <f>HYPERLINK("https://dart.fss.or.kr/dsaf001/main.do?rcpNo=20260608000030", "공시열람")</f>
        <v/>
      </c>
    </row>
    <row r="3402" ht="22" customHeight="1">
      <c r="A3402" s="2" t="inlineStr">
        <is>
          <t>2026-06-08</t>
        </is>
      </c>
      <c r="B3402" s="3" t="inlineStr">
        <is>
          <t>한국타이어앤테크놀로지</t>
        </is>
      </c>
      <c r="C3402" s="2" t="inlineStr">
        <is>
          <t>161390</t>
        </is>
      </c>
      <c r="D3402" s="2" t="inlineStr">
        <is>
          <t>대량보유</t>
        </is>
      </c>
      <c r="E3402" s="3" t="inlineStr">
        <is>
          <t>BlackRockInvestmentManagement(UK)Limited</t>
        </is>
      </c>
      <c r="F3402" s="3" t="inlineStr">
        <is>
          <t>특별관계자</t>
        </is>
      </c>
      <c r="G3402" s="3" t="inlineStr">
        <is>
          <t>신규보고(+), 장내매도(-)</t>
        </is>
      </c>
      <c r="H3402" s="15" t="n">
        <v>1424007</v>
      </c>
      <c r="I3402" s="6" t="n">
        <v>49347</v>
      </c>
      <c r="J3402" s="6" t="n">
        <v>1424007</v>
      </c>
      <c r="K3402" s="16" t="n">
        <v>12</v>
      </c>
      <c r="L3402" s="2" t="inlineStr">
        <is>
          <t>20260608000030</t>
        </is>
      </c>
      <c r="M3402" s="8">
        <f>HYPERLINK("https://dart.fss.or.kr/dsaf001/main.do?rcpNo=20260608000030", "공시열람")</f>
        <v/>
      </c>
    </row>
    <row r="3403" ht="22" customHeight="1">
      <c r="A3403" s="2" t="inlineStr">
        <is>
          <t>2026-06-08</t>
        </is>
      </c>
      <c r="B3403" s="3" t="inlineStr">
        <is>
          <t>한국타이어앤테크놀로지</t>
        </is>
      </c>
      <c r="C3403" s="2" t="inlineStr">
        <is>
          <t>161390</t>
        </is>
      </c>
      <c r="D3403" s="2" t="inlineStr">
        <is>
          <t>대량보유</t>
        </is>
      </c>
      <c r="E3403" s="3" t="inlineStr">
        <is>
          <t>BlackRockAssetManagementCanadaLimited</t>
        </is>
      </c>
      <c r="F3403" s="3" t="inlineStr">
        <is>
          <t>특별관계자</t>
        </is>
      </c>
      <c r="G3403" s="3" t="inlineStr">
        <is>
          <t>신규보고(+)</t>
        </is>
      </c>
      <c r="H3403" s="15" t="n">
        <v>24439</v>
      </c>
      <c r="I3403" s="6" t="n">
        <v>41668</v>
      </c>
      <c r="J3403" s="6" t="n">
        <v>24439</v>
      </c>
      <c r="K3403" s="16" t="n">
        <v>12</v>
      </c>
      <c r="L3403" s="2" t="inlineStr">
        <is>
          <t>20260608000030</t>
        </is>
      </c>
      <c r="M3403" s="8">
        <f>HYPERLINK("https://dart.fss.or.kr/dsaf001/main.do?rcpNo=20260608000030", "공시열람")</f>
        <v/>
      </c>
    </row>
    <row r="3404" ht="22" customHeight="1">
      <c r="A3404" s="2" t="inlineStr">
        <is>
          <t>2026-06-08</t>
        </is>
      </c>
      <c r="B3404" s="3" t="inlineStr">
        <is>
          <t>한국타이어앤테크놀로지</t>
        </is>
      </c>
      <c r="C3404" s="2" t="inlineStr">
        <is>
          <t>161390</t>
        </is>
      </c>
      <c r="D3404" s="2" t="inlineStr">
        <is>
          <t>대량보유</t>
        </is>
      </c>
      <c r="E3404" s="3" t="inlineStr">
        <is>
          <t>BlackRock(Netherlands)B.V.</t>
        </is>
      </c>
      <c r="F3404" s="3" t="inlineStr">
        <is>
          <t>특별관계자</t>
        </is>
      </c>
      <c r="G3404" s="3" t="inlineStr">
        <is>
          <t>신규보고(+)</t>
        </is>
      </c>
      <c r="H3404" s="15" t="n">
        <v>24891</v>
      </c>
      <c r="I3404" s="6" t="n">
        <v>38943</v>
      </c>
      <c r="J3404" s="6" t="n">
        <v>24891</v>
      </c>
      <c r="K3404" s="16" t="n">
        <v>12</v>
      </c>
      <c r="L3404" s="2" t="inlineStr">
        <is>
          <t>20260608000030</t>
        </is>
      </c>
      <c r="M3404" s="8">
        <f>HYPERLINK("https://dart.fss.or.kr/dsaf001/main.do?rcpNo=20260608000030", "공시열람")</f>
        <v/>
      </c>
    </row>
    <row r="3405" ht="22" customHeight="1">
      <c r="A3405" s="2" t="inlineStr">
        <is>
          <t>2026-06-08</t>
        </is>
      </c>
      <c r="B3405" s="3" t="inlineStr">
        <is>
          <t>한국타이어앤테크놀로지</t>
        </is>
      </c>
      <c r="C3405" s="2" t="inlineStr">
        <is>
          <t>161390</t>
        </is>
      </c>
      <c r="D3405" s="2" t="inlineStr">
        <is>
          <t>대량보유</t>
        </is>
      </c>
      <c r="E3405" s="3" t="inlineStr">
        <is>
          <t>BlackRockAssetManagementNorthAsiaLimited</t>
        </is>
      </c>
      <c r="F3405" s="3" t="inlineStr">
        <is>
          <t>특별관계자</t>
        </is>
      </c>
      <c r="G3405" s="3" t="inlineStr">
        <is>
          <t>신규보고(+), 장내매도(-)</t>
        </is>
      </c>
      <c r="H3405" s="15" t="n">
        <v>40494</v>
      </c>
      <c r="I3405" s="6" t="n">
        <v>51799</v>
      </c>
      <c r="J3405" s="6" t="n">
        <v>40494</v>
      </c>
      <c r="K3405" s="16" t="n">
        <v>12</v>
      </c>
      <c r="L3405" s="2" t="inlineStr">
        <is>
          <t>20260608000030</t>
        </is>
      </c>
      <c r="M3405" s="8">
        <f>HYPERLINK("https://dart.fss.or.kr/dsaf001/main.do?rcpNo=20260608000030", "공시열람")</f>
        <v/>
      </c>
    </row>
    <row r="3406" ht="22" customHeight="1">
      <c r="A3406" s="2" t="inlineStr">
        <is>
          <t>2026-06-08</t>
        </is>
      </c>
      <c r="B3406" s="3" t="inlineStr">
        <is>
          <t>한국타이어앤테크놀로지</t>
        </is>
      </c>
      <c r="C3406" s="2" t="inlineStr">
        <is>
          <t>161390</t>
        </is>
      </c>
      <c r="D3406" s="2" t="inlineStr">
        <is>
          <t>대량보유</t>
        </is>
      </c>
      <c r="E3406" s="3" t="inlineStr">
        <is>
          <t>BlackRockJapanCo.,Ltd.</t>
        </is>
      </c>
      <c r="F3406" s="3" t="inlineStr">
        <is>
          <t>특별관계자</t>
        </is>
      </c>
      <c r="G3406" s="3" t="inlineStr">
        <is>
          <t>신규보고(+)</t>
        </is>
      </c>
      <c r="H3406" s="15" t="n">
        <v>59573</v>
      </c>
      <c r="I3406" s="6" t="n">
        <v>38925</v>
      </c>
      <c r="J3406" s="6" t="n">
        <v>59573</v>
      </c>
      <c r="K3406" s="16" t="n">
        <v>12</v>
      </c>
      <c r="L3406" s="2" t="inlineStr">
        <is>
          <t>20260608000030</t>
        </is>
      </c>
      <c r="M3406" s="8">
        <f>HYPERLINK("https://dart.fss.or.kr/dsaf001/main.do?rcpNo=20260608000030", "공시열람")</f>
        <v/>
      </c>
    </row>
    <row r="3407" ht="22" customHeight="1">
      <c r="A3407" s="2" t="inlineStr">
        <is>
          <t>2026-06-08</t>
        </is>
      </c>
      <c r="B3407" s="3" t="inlineStr">
        <is>
          <t>한국타이어앤테크놀로지</t>
        </is>
      </c>
      <c r="C3407" s="2" t="inlineStr">
        <is>
          <t>161390</t>
        </is>
      </c>
      <c r="D3407" s="2" t="inlineStr">
        <is>
          <t>대량보유</t>
        </is>
      </c>
      <c r="E3407" s="3" t="inlineStr">
        <is>
          <t>BlackRockInvestmentManagement(Australia)Limited</t>
        </is>
      </c>
      <c r="F3407" s="3" t="inlineStr">
        <is>
          <t>특별관계자</t>
        </is>
      </c>
      <c r="G3407" s="3" t="inlineStr">
        <is>
          <t>신규보고(+), 장내매수(+)</t>
        </is>
      </c>
      <c r="H3407" s="15" t="n">
        <v>24359</v>
      </c>
      <c r="I3407" s="6" t="n">
        <v>52399</v>
      </c>
      <c r="J3407" s="6" t="n">
        <v>24359</v>
      </c>
      <c r="K3407" s="16" t="n">
        <v>12</v>
      </c>
      <c r="L3407" s="2" t="inlineStr">
        <is>
          <t>20260608000030</t>
        </is>
      </c>
      <c r="M3407" s="8">
        <f>HYPERLINK("https://dart.fss.or.kr/dsaf001/main.do?rcpNo=20260608000030", "공시열람")</f>
        <v/>
      </c>
    </row>
    <row r="3408" ht="22" customHeight="1">
      <c r="A3408" s="2" t="inlineStr">
        <is>
          <t>2026-06-08</t>
        </is>
      </c>
      <c r="B3408" s="3" t="inlineStr">
        <is>
          <t>한국타이어앤테크놀로지</t>
        </is>
      </c>
      <c r="C3408" s="2" t="inlineStr">
        <is>
          <t>161390</t>
        </is>
      </c>
      <c r="D3408" s="2" t="inlineStr">
        <is>
          <t>대량보유</t>
        </is>
      </c>
      <c r="E3408" s="3" t="inlineStr">
        <is>
          <t>BlackRock(Singapore)Limited</t>
        </is>
      </c>
      <c r="F3408" s="3" t="inlineStr">
        <is>
          <t>특별관계자</t>
        </is>
      </c>
      <c r="G3408" s="3" t="inlineStr">
        <is>
          <t>신규보고(+), 장내매수(+)</t>
        </is>
      </c>
      <c r="H3408" s="15" t="n">
        <v>16620</v>
      </c>
      <c r="I3408" s="6" t="n">
        <v>51492</v>
      </c>
      <c r="J3408" s="6" t="n">
        <v>16620</v>
      </c>
      <c r="K3408" s="16" t="n">
        <v>12</v>
      </c>
      <c r="L3408" s="2" t="inlineStr">
        <is>
          <t>20260608000030</t>
        </is>
      </c>
      <c r="M3408" s="8">
        <f>HYPERLINK("https://dart.fss.or.kr/dsaf001/main.do?rcpNo=20260608000030", "공시열람")</f>
        <v/>
      </c>
    </row>
    <row r="3409" ht="22" customHeight="1">
      <c r="A3409" s="2" t="inlineStr">
        <is>
          <t>2026-06-08</t>
        </is>
      </c>
      <c r="B3409" s="3" t="inlineStr">
        <is>
          <t>유한양행</t>
        </is>
      </c>
      <c r="C3409" s="2" t="inlineStr">
        <is>
          <t>000100</t>
        </is>
      </c>
      <c r="D3409" s="2" t="inlineStr">
        <is>
          <t>대량보유</t>
        </is>
      </c>
      <c r="E3409" s="3" t="inlineStr">
        <is>
          <t>BlackrockFundAdvisors</t>
        </is>
      </c>
      <c r="F3409" s="3" t="inlineStr">
        <is>
          <t>특별관계자</t>
        </is>
      </c>
      <c r="G3409" s="3" t="inlineStr">
        <is>
          <t>신규보고(+), 장내매수(+)</t>
        </is>
      </c>
      <c r="H3409" s="15" t="n">
        <v>2385340</v>
      </c>
      <c r="I3409" s="6" t="n">
        <v>73394</v>
      </c>
      <c r="J3409" s="6" t="n">
        <v>2385340</v>
      </c>
      <c r="K3409" s="16" t="n">
        <v>12</v>
      </c>
      <c r="L3409" s="2" t="inlineStr">
        <is>
          <t>20260608000028</t>
        </is>
      </c>
      <c r="M3409" s="8">
        <f>HYPERLINK("https://dart.fss.or.kr/dsaf001/main.do?rcpNo=20260608000028", "공시열람")</f>
        <v/>
      </c>
    </row>
    <row r="3410" ht="22" customHeight="1">
      <c r="A3410" s="2" t="inlineStr">
        <is>
          <t>2026-06-08</t>
        </is>
      </c>
      <c r="B3410" s="3" t="inlineStr">
        <is>
          <t>유한양행</t>
        </is>
      </c>
      <c r="C3410" s="2" t="inlineStr">
        <is>
          <t>000100</t>
        </is>
      </c>
      <c r="D3410" s="2" t="inlineStr">
        <is>
          <t>대량보유</t>
        </is>
      </c>
      <c r="E3410" s="3" t="inlineStr">
        <is>
          <t>BlackRockInstitutionalTrustCompany,N.A.</t>
        </is>
      </c>
      <c r="F3410" s="3" t="inlineStr">
        <is>
          <t>특별관계자</t>
        </is>
      </c>
      <c r="G3410" s="3" t="inlineStr">
        <is>
          <t>신규보고(+)</t>
        </is>
      </c>
      <c r="H3410" s="15" t="n">
        <v>644618</v>
      </c>
      <c r="I3410" s="6" t="n">
        <v>69576</v>
      </c>
      <c r="J3410" s="6" t="n">
        <v>644618</v>
      </c>
      <c r="K3410" s="16" t="n">
        <v>12</v>
      </c>
      <c r="L3410" s="2" t="inlineStr">
        <is>
          <t>20260608000028</t>
        </is>
      </c>
      <c r="M3410" s="8">
        <f>HYPERLINK("https://dart.fss.or.kr/dsaf001/main.do?rcpNo=20260608000028", "공시열람")</f>
        <v/>
      </c>
    </row>
    <row r="3411" ht="22" customHeight="1">
      <c r="A3411" s="2" t="inlineStr">
        <is>
          <t>2026-06-08</t>
        </is>
      </c>
      <c r="B3411" s="3" t="inlineStr">
        <is>
          <t>유한양행</t>
        </is>
      </c>
      <c r="C3411" s="2" t="inlineStr">
        <is>
          <t>000100</t>
        </is>
      </c>
      <c r="D3411" s="2" t="inlineStr">
        <is>
          <t>대량보유</t>
        </is>
      </c>
      <c r="E3411" s="3" t="inlineStr">
        <is>
          <t>BlackRockAdvisors(UK)Limited</t>
        </is>
      </c>
      <c r="F3411" s="3" t="inlineStr">
        <is>
          <t>특별관계자</t>
        </is>
      </c>
      <c r="G3411" s="3" t="inlineStr">
        <is>
          <t>신규보고(+), 장내매도(-)</t>
        </is>
      </c>
      <c r="H3411" s="15" t="n">
        <v>635979</v>
      </c>
      <c r="I3411" s="6" t="n">
        <v>82084</v>
      </c>
      <c r="J3411" s="6" t="n">
        <v>635979</v>
      </c>
      <c r="K3411" s="16" t="n">
        <v>12</v>
      </c>
      <c r="L3411" s="2" t="inlineStr">
        <is>
          <t>20260608000028</t>
        </is>
      </c>
      <c r="M3411" s="8">
        <f>HYPERLINK("https://dart.fss.or.kr/dsaf001/main.do?rcpNo=20260608000028", "공시열람")</f>
        <v/>
      </c>
    </row>
    <row r="3412" ht="22" customHeight="1">
      <c r="A3412" s="2" t="inlineStr">
        <is>
          <t>2026-06-08</t>
        </is>
      </c>
      <c r="B3412" s="3" t="inlineStr">
        <is>
          <t>유한양행</t>
        </is>
      </c>
      <c r="C3412" s="2" t="inlineStr">
        <is>
          <t>000100</t>
        </is>
      </c>
      <c r="D3412" s="2" t="inlineStr">
        <is>
          <t>대량보유</t>
        </is>
      </c>
      <c r="E3412" s="3" t="inlineStr">
        <is>
          <t>BlackRockFinancialManagement,Inc</t>
        </is>
      </c>
      <c r="F3412" s="3" t="inlineStr">
        <is>
          <t>특별관계자</t>
        </is>
      </c>
      <c r="G3412" s="3" t="inlineStr">
        <is>
          <t>신규보고(+)</t>
        </is>
      </c>
      <c r="H3412" s="15" t="n">
        <v>15895</v>
      </c>
      <c r="I3412" s="6" t="n">
        <v>61569</v>
      </c>
      <c r="J3412" s="6" t="n">
        <v>15895</v>
      </c>
      <c r="K3412" s="16" t="n">
        <v>12</v>
      </c>
      <c r="L3412" s="2" t="inlineStr">
        <is>
          <t>20260608000028</t>
        </is>
      </c>
      <c r="M3412" s="8">
        <f>HYPERLINK("https://dart.fss.or.kr/dsaf001/main.do?rcpNo=20260608000028", "공시열람")</f>
        <v/>
      </c>
    </row>
    <row r="3413" ht="22" customHeight="1">
      <c r="A3413" s="2" t="inlineStr">
        <is>
          <t>2026-06-08</t>
        </is>
      </c>
      <c r="B3413" s="3" t="inlineStr">
        <is>
          <t>유한양행</t>
        </is>
      </c>
      <c r="C3413" s="2" t="inlineStr">
        <is>
          <t>000100</t>
        </is>
      </c>
      <c r="D3413" s="2" t="inlineStr">
        <is>
          <t>대량보유</t>
        </is>
      </c>
      <c r="E3413" s="3" t="inlineStr">
        <is>
          <t>BlackRockInvestmentManagement,LLC</t>
        </is>
      </c>
      <c r="F3413" s="3" t="inlineStr">
        <is>
          <t>특별관계자</t>
        </is>
      </c>
      <c r="G3413" s="3" t="inlineStr">
        <is>
          <t>신규보고(+)</t>
        </is>
      </c>
      <c r="H3413" s="15" t="n">
        <v>1599</v>
      </c>
      <c r="I3413" s="6" t="n">
        <v>109405</v>
      </c>
      <c r="J3413" s="6" t="n">
        <v>1599</v>
      </c>
      <c r="K3413" s="16" t="n">
        <v>12</v>
      </c>
      <c r="L3413" s="2" t="inlineStr">
        <is>
          <t>20260608000028</t>
        </is>
      </c>
      <c r="M3413" s="8">
        <f>HYPERLINK("https://dart.fss.or.kr/dsaf001/main.do?rcpNo=20260608000028", "공시열람")</f>
        <v/>
      </c>
    </row>
    <row r="3414" ht="22" customHeight="1">
      <c r="A3414" s="2" t="inlineStr">
        <is>
          <t>2026-06-08</t>
        </is>
      </c>
      <c r="B3414" s="3" t="inlineStr">
        <is>
          <t>유한양행</t>
        </is>
      </c>
      <c r="C3414" s="2" t="inlineStr">
        <is>
          <t>000100</t>
        </is>
      </c>
      <c r="D3414" s="2" t="inlineStr">
        <is>
          <t>대량보유</t>
        </is>
      </c>
      <c r="E3414" s="3" t="inlineStr">
        <is>
          <t>BlackRockInvestmentManagement(UK)Limited</t>
        </is>
      </c>
      <c r="F3414" s="3" t="inlineStr">
        <is>
          <t>특별관계자</t>
        </is>
      </c>
      <c r="G3414" s="3" t="inlineStr">
        <is>
          <t>신규보고(+), 장내매도(-)</t>
        </is>
      </c>
      <c r="H3414" s="15" t="n">
        <v>218879</v>
      </c>
      <c r="I3414" s="6" t="n">
        <v>89237</v>
      </c>
      <c r="J3414" s="6" t="n">
        <v>218879</v>
      </c>
      <c r="K3414" s="16" t="n">
        <v>12</v>
      </c>
      <c r="L3414" s="2" t="inlineStr">
        <is>
          <t>20260608000028</t>
        </is>
      </c>
      <c r="M3414" s="8">
        <f>HYPERLINK("https://dart.fss.or.kr/dsaf001/main.do?rcpNo=20260608000028", "공시열람")</f>
        <v/>
      </c>
    </row>
    <row r="3415" ht="22" customHeight="1">
      <c r="A3415" s="2" t="inlineStr">
        <is>
          <t>2026-06-08</t>
        </is>
      </c>
      <c r="B3415" s="3" t="inlineStr">
        <is>
          <t>유한양행</t>
        </is>
      </c>
      <c r="C3415" s="2" t="inlineStr">
        <is>
          <t>000100</t>
        </is>
      </c>
      <c r="D3415" s="2" t="inlineStr">
        <is>
          <t>대량보유</t>
        </is>
      </c>
      <c r="E3415" s="3" t="inlineStr">
        <is>
          <t>BlackRockAssetManagementCanadaLimited</t>
        </is>
      </c>
      <c r="F3415" s="3" t="inlineStr">
        <is>
          <t>특별관계자</t>
        </is>
      </c>
      <c r="G3415" s="3" t="inlineStr">
        <is>
          <t>신규보고(+)</t>
        </is>
      </c>
      <c r="H3415" s="15" t="n">
        <v>19271</v>
      </c>
      <c r="I3415" s="6" t="n">
        <v>70098</v>
      </c>
      <c r="J3415" s="6" t="n">
        <v>19271</v>
      </c>
      <c r="K3415" s="16" t="n">
        <v>12</v>
      </c>
      <c r="L3415" s="2" t="inlineStr">
        <is>
          <t>20260608000028</t>
        </is>
      </c>
      <c r="M3415" s="8">
        <f>HYPERLINK("https://dart.fss.or.kr/dsaf001/main.do?rcpNo=20260608000028", "공시열람")</f>
        <v/>
      </c>
    </row>
    <row r="3416" ht="22" customHeight="1">
      <c r="A3416" s="2" t="inlineStr">
        <is>
          <t>2026-06-08</t>
        </is>
      </c>
      <c r="B3416" s="3" t="inlineStr">
        <is>
          <t>유한양행</t>
        </is>
      </c>
      <c r="C3416" s="2" t="inlineStr">
        <is>
          <t>000100</t>
        </is>
      </c>
      <c r="D3416" s="2" t="inlineStr">
        <is>
          <t>대량보유</t>
        </is>
      </c>
      <c r="E3416" s="3" t="inlineStr">
        <is>
          <t>BlackRock(Netherlands)B.V.</t>
        </is>
      </c>
      <c r="F3416" s="3" t="inlineStr">
        <is>
          <t>특별관계자</t>
        </is>
      </c>
      <c r="G3416" s="3" t="inlineStr">
        <is>
          <t>신규보고(+)</t>
        </is>
      </c>
      <c r="H3416" s="15" t="n">
        <v>20660</v>
      </c>
      <c r="I3416" s="6" t="n">
        <v>62913</v>
      </c>
      <c r="J3416" s="6" t="n">
        <v>20660</v>
      </c>
      <c r="K3416" s="16" t="n">
        <v>12</v>
      </c>
      <c r="L3416" s="2" t="inlineStr">
        <is>
          <t>20260608000028</t>
        </is>
      </c>
      <c r="M3416" s="8">
        <f>HYPERLINK("https://dart.fss.or.kr/dsaf001/main.do?rcpNo=20260608000028", "공시열람")</f>
        <v/>
      </c>
    </row>
    <row r="3417" ht="22" customHeight="1">
      <c r="A3417" s="2" t="inlineStr">
        <is>
          <t>2026-06-08</t>
        </is>
      </c>
      <c r="B3417" s="3" t="inlineStr">
        <is>
          <t>유한양행</t>
        </is>
      </c>
      <c r="C3417" s="2" t="inlineStr">
        <is>
          <t>000100</t>
        </is>
      </c>
      <c r="D3417" s="2" t="inlineStr">
        <is>
          <t>대량보유</t>
        </is>
      </c>
      <c r="E3417" s="3" t="inlineStr">
        <is>
          <t>BlackRockAssetManagementNorthAsiaLimited</t>
        </is>
      </c>
      <c r="F3417" s="3" t="inlineStr">
        <is>
          <t>특별관계자</t>
        </is>
      </c>
      <c r="G3417" s="3" t="inlineStr">
        <is>
          <t>신규보고(+), 장내매도(-)</t>
        </is>
      </c>
      <c r="H3417" s="15" t="n">
        <v>31711</v>
      </c>
      <c r="I3417" s="6" t="n">
        <v>101681</v>
      </c>
      <c r="J3417" s="6" t="n">
        <v>31711</v>
      </c>
      <c r="K3417" s="16" t="n">
        <v>12</v>
      </c>
      <c r="L3417" s="2" t="inlineStr">
        <is>
          <t>20260608000028</t>
        </is>
      </c>
      <c r="M3417" s="8">
        <f>HYPERLINK("https://dart.fss.or.kr/dsaf001/main.do?rcpNo=20260608000028", "공시열람")</f>
        <v/>
      </c>
    </row>
    <row r="3418" ht="22" customHeight="1">
      <c r="A3418" s="2" t="inlineStr">
        <is>
          <t>2026-06-08</t>
        </is>
      </c>
      <c r="B3418" s="3" t="inlineStr">
        <is>
          <t>유한양행</t>
        </is>
      </c>
      <c r="C3418" s="2" t="inlineStr">
        <is>
          <t>000100</t>
        </is>
      </c>
      <c r="D3418" s="2" t="inlineStr">
        <is>
          <t>대량보유</t>
        </is>
      </c>
      <c r="E3418" s="3" t="inlineStr">
        <is>
          <t>BlackRockJapanCo.,Ltd.</t>
        </is>
      </c>
      <c r="F3418" s="3" t="inlineStr">
        <is>
          <t>특별관계자</t>
        </is>
      </c>
      <c r="G3418" s="3" t="inlineStr">
        <is>
          <t>신규보고(+)</t>
        </is>
      </c>
      <c r="H3418" s="15" t="n">
        <v>38337</v>
      </c>
      <c r="I3418" s="6" t="n">
        <v>76596</v>
      </c>
      <c r="J3418" s="6" t="n">
        <v>38337</v>
      </c>
      <c r="K3418" s="16" t="n">
        <v>12</v>
      </c>
      <c r="L3418" s="2" t="inlineStr">
        <is>
          <t>20260608000028</t>
        </is>
      </c>
      <c r="M3418" s="8">
        <f>HYPERLINK("https://dart.fss.or.kr/dsaf001/main.do?rcpNo=20260608000028", "공시열람")</f>
        <v/>
      </c>
    </row>
    <row r="3419" ht="22" customHeight="1">
      <c r="A3419" s="2" t="inlineStr">
        <is>
          <t>2026-06-08</t>
        </is>
      </c>
      <c r="B3419" s="3" t="inlineStr">
        <is>
          <t>유한양행</t>
        </is>
      </c>
      <c r="C3419" s="2" t="inlineStr">
        <is>
          <t>000100</t>
        </is>
      </c>
      <c r="D3419" s="2" t="inlineStr">
        <is>
          <t>대량보유</t>
        </is>
      </c>
      <c r="E3419" s="3" t="inlineStr">
        <is>
          <t>BlackRockInvestmentManagement(Australia)Limited</t>
        </is>
      </c>
      <c r="F3419" s="3" t="inlineStr">
        <is>
          <t>특별관계자</t>
        </is>
      </c>
      <c r="G3419" s="3" t="inlineStr">
        <is>
          <t>신규보고(+), 장내매수(+)</t>
        </is>
      </c>
      <c r="H3419" s="15" t="n">
        <v>13931</v>
      </c>
      <c r="I3419" s="6" t="n">
        <v>81102</v>
      </c>
      <c r="J3419" s="6" t="n">
        <v>13931</v>
      </c>
      <c r="K3419" s="16" t="n">
        <v>12</v>
      </c>
      <c r="L3419" s="2" t="inlineStr">
        <is>
          <t>20260608000028</t>
        </is>
      </c>
      <c r="M3419" s="8">
        <f>HYPERLINK("https://dart.fss.or.kr/dsaf001/main.do?rcpNo=20260608000028", "공시열람")</f>
        <v/>
      </c>
    </row>
    <row r="3420" ht="22" customHeight="1">
      <c r="A3420" s="2" t="inlineStr">
        <is>
          <t>2026-06-08</t>
        </is>
      </c>
      <c r="B3420" s="3" t="inlineStr">
        <is>
          <t>유한양행</t>
        </is>
      </c>
      <c r="C3420" s="2" t="inlineStr">
        <is>
          <t>000100</t>
        </is>
      </c>
      <c r="D3420" s="2" t="inlineStr">
        <is>
          <t>대량보유</t>
        </is>
      </c>
      <c r="E3420" s="3" t="inlineStr">
        <is>
          <t>BlackRockSingaporeLimited</t>
        </is>
      </c>
      <c r="F3420" s="3" t="inlineStr">
        <is>
          <t>특별관계자</t>
        </is>
      </c>
      <c r="G3420" s="3" t="inlineStr">
        <is>
          <t>신규보고(+), 장내매수(+)</t>
        </is>
      </c>
      <c r="H3420" s="15" t="n">
        <v>13188</v>
      </c>
      <c r="I3420" s="6" t="n">
        <v>67855</v>
      </c>
      <c r="J3420" s="6" t="n">
        <v>13188</v>
      </c>
      <c r="K3420" s="16" t="n">
        <v>12</v>
      </c>
      <c r="L3420" s="2" t="inlineStr">
        <is>
          <t>20260608000028</t>
        </is>
      </c>
      <c r="M3420" s="8">
        <f>HYPERLINK("https://dart.fss.or.kr/dsaf001/main.do?rcpNo=20260608000028", "공시열람")</f>
        <v/>
      </c>
    </row>
    <row r="3421" ht="22" customHeight="1">
      <c r="A3421" s="2" t="inlineStr">
        <is>
          <t>2026-06-08</t>
        </is>
      </c>
      <c r="B3421" s="3" t="inlineStr">
        <is>
          <t>한국금융지주</t>
        </is>
      </c>
      <c r="C3421" s="2" t="inlineStr">
        <is>
          <t>071050</t>
        </is>
      </c>
      <c r="D3421" s="2" t="inlineStr">
        <is>
          <t>대량보유</t>
        </is>
      </c>
      <c r="E3421" s="3" t="inlineStr">
        <is>
          <t>BlackRockFundAdvisors</t>
        </is>
      </c>
      <c r="F3421" s="3" t="inlineStr">
        <is>
          <t>특별관계자</t>
        </is>
      </c>
      <c r="G3421" s="3" t="inlineStr">
        <is>
          <t>신규보고(+), 장내매수(+)</t>
        </is>
      </c>
      <c r="H3421" s="15" t="n">
        <v>1491170</v>
      </c>
      <c r="I3421" s="6" t="n">
        <v>116590</v>
      </c>
      <c r="J3421" s="6" t="n">
        <v>1491170</v>
      </c>
      <c r="K3421" s="16" t="n">
        <v>12</v>
      </c>
      <c r="L3421" s="2" t="inlineStr">
        <is>
          <t>20260608000023</t>
        </is>
      </c>
      <c r="M3421" s="8">
        <f>HYPERLINK("https://dart.fss.or.kr/dsaf001/main.do?rcpNo=20260608000023", "공시열람")</f>
        <v/>
      </c>
    </row>
    <row r="3422" ht="22" customHeight="1">
      <c r="A3422" s="2" t="inlineStr">
        <is>
          <t>2026-06-08</t>
        </is>
      </c>
      <c r="B3422" s="3" t="inlineStr">
        <is>
          <t>한국금융지주</t>
        </is>
      </c>
      <c r="C3422" s="2" t="inlineStr">
        <is>
          <t>071050</t>
        </is>
      </c>
      <c r="D3422" s="2" t="inlineStr">
        <is>
          <t>대량보유</t>
        </is>
      </c>
      <c r="E3422" s="3" t="inlineStr">
        <is>
          <t>BlackRockInstitutionalTrustCompany,N.A.</t>
        </is>
      </c>
      <c r="F3422" s="3" t="inlineStr">
        <is>
          <t>특별관계자</t>
        </is>
      </c>
      <c r="G3422" s="3" t="inlineStr">
        <is>
          <t>신규보고(+), 장내매수(+)</t>
        </is>
      </c>
      <c r="H3422" s="15" t="n">
        <v>524358</v>
      </c>
      <c r="I3422" s="6" t="n">
        <v>81594</v>
      </c>
      <c r="J3422" s="6" t="n">
        <v>524358</v>
      </c>
      <c r="K3422" s="16" t="n">
        <v>12</v>
      </c>
      <c r="L3422" s="2" t="inlineStr">
        <is>
          <t>20260608000023</t>
        </is>
      </c>
      <c r="M3422" s="8">
        <f>HYPERLINK("https://dart.fss.or.kr/dsaf001/main.do?rcpNo=20260608000023", "공시열람")</f>
        <v/>
      </c>
    </row>
    <row r="3423" ht="22" customHeight="1">
      <c r="A3423" s="2" t="inlineStr">
        <is>
          <t>2026-06-08</t>
        </is>
      </c>
      <c r="B3423" s="3" t="inlineStr">
        <is>
          <t>한국금융지주</t>
        </is>
      </c>
      <c r="C3423" s="2" t="inlineStr">
        <is>
          <t>071050</t>
        </is>
      </c>
      <c r="D3423" s="2" t="inlineStr">
        <is>
          <t>대량보유</t>
        </is>
      </c>
      <c r="E3423" s="3" t="inlineStr">
        <is>
          <t>BlackRockAdvisors(UK)Limited</t>
        </is>
      </c>
      <c r="F3423" s="3" t="inlineStr">
        <is>
          <t>특별관계자</t>
        </is>
      </c>
      <c r="G3423" s="3" t="inlineStr">
        <is>
          <t>신규보고(+), 장내매수(+)</t>
        </is>
      </c>
      <c r="H3423" s="15" t="n">
        <v>461873</v>
      </c>
      <c r="I3423" s="6" t="n">
        <v>131205</v>
      </c>
      <c r="J3423" s="6" t="n">
        <v>461873</v>
      </c>
      <c r="K3423" s="16" t="n">
        <v>12</v>
      </c>
      <c r="L3423" s="2" t="inlineStr">
        <is>
          <t>20260608000023</t>
        </is>
      </c>
      <c r="M3423" s="8">
        <f>HYPERLINK("https://dart.fss.or.kr/dsaf001/main.do?rcpNo=20260608000023", "공시열람")</f>
        <v/>
      </c>
    </row>
    <row r="3424" ht="22" customHeight="1">
      <c r="A3424" s="2" t="inlineStr">
        <is>
          <t>2026-06-08</t>
        </is>
      </c>
      <c r="B3424" s="3" t="inlineStr">
        <is>
          <t>한국금융지주</t>
        </is>
      </c>
      <c r="C3424" s="2" t="inlineStr">
        <is>
          <t>071050</t>
        </is>
      </c>
      <c r="D3424" s="2" t="inlineStr">
        <is>
          <t>대량보유</t>
        </is>
      </c>
      <c r="E3424" s="3" t="inlineStr">
        <is>
          <t>BlackRockFinancialManagement,Inc</t>
        </is>
      </c>
      <c r="F3424" s="3" t="inlineStr">
        <is>
          <t>특별관계자</t>
        </is>
      </c>
      <c r="G3424" s="3" t="inlineStr">
        <is>
          <t>신규보고(+), 장내매수(+)</t>
        </is>
      </c>
      <c r="H3424" s="15" t="n">
        <v>27333</v>
      </c>
      <c r="I3424" s="6" t="n">
        <v>152406</v>
      </c>
      <c r="J3424" s="6" t="n">
        <v>27333</v>
      </c>
      <c r="K3424" s="16" t="n">
        <v>12</v>
      </c>
      <c r="L3424" s="2" t="inlineStr">
        <is>
          <t>20260608000023</t>
        </is>
      </c>
      <c r="M3424" s="8">
        <f>HYPERLINK("https://dart.fss.or.kr/dsaf001/main.do?rcpNo=20260608000023", "공시열람")</f>
        <v/>
      </c>
    </row>
    <row r="3425" ht="22" customHeight="1">
      <c r="A3425" s="2" t="inlineStr">
        <is>
          <t>2026-06-08</t>
        </is>
      </c>
      <c r="B3425" s="3" t="inlineStr">
        <is>
          <t>한국금융지주</t>
        </is>
      </c>
      <c r="C3425" s="2" t="inlineStr">
        <is>
          <t>071050</t>
        </is>
      </c>
      <c r="D3425" s="2" t="inlineStr">
        <is>
          <t>대량보유</t>
        </is>
      </c>
      <c r="E3425" s="3" t="inlineStr">
        <is>
          <t>BlackRockInvestmentManagement,LLC</t>
        </is>
      </c>
      <c r="F3425" s="3" t="inlineStr">
        <is>
          <t>특별관계자</t>
        </is>
      </c>
      <c r="G3425" s="3" t="inlineStr">
        <is>
          <t>신규보고(+)</t>
        </is>
      </c>
      <c r="H3425" s="15" t="n">
        <v>2417</v>
      </c>
      <c r="I3425" s="6" t="n">
        <v>227312</v>
      </c>
      <c r="J3425" s="6" t="n">
        <v>2417</v>
      </c>
      <c r="K3425" s="16" t="n">
        <v>12</v>
      </c>
      <c r="L3425" s="2" t="inlineStr">
        <is>
          <t>20260608000023</t>
        </is>
      </c>
      <c r="M3425" s="8">
        <f>HYPERLINK("https://dart.fss.or.kr/dsaf001/main.do?rcpNo=20260608000023", "공시열람")</f>
        <v/>
      </c>
    </row>
    <row r="3426" ht="22" customHeight="1">
      <c r="A3426" s="2" t="inlineStr">
        <is>
          <t>2026-06-08</t>
        </is>
      </c>
      <c r="B3426" s="3" t="inlineStr">
        <is>
          <t>한국금융지주</t>
        </is>
      </c>
      <c r="C3426" s="2" t="inlineStr">
        <is>
          <t>071050</t>
        </is>
      </c>
      <c r="D3426" s="2" t="inlineStr">
        <is>
          <t>대량보유</t>
        </is>
      </c>
      <c r="E3426" s="3" t="inlineStr">
        <is>
          <t>BlackRockInvestmentManagement(UK)Limited</t>
        </is>
      </c>
      <c r="F3426" s="3" t="inlineStr">
        <is>
          <t>특별관계자</t>
        </is>
      </c>
      <c r="G3426" s="3" t="inlineStr">
        <is>
          <t>신규보고(+), 장내매수(+)</t>
        </is>
      </c>
      <c r="H3426" s="15" t="n">
        <v>197426</v>
      </c>
      <c r="I3426" s="6" t="n">
        <v>124555</v>
      </c>
      <c r="J3426" s="6" t="n">
        <v>197426</v>
      </c>
      <c r="K3426" s="16" t="n">
        <v>12</v>
      </c>
      <c r="L3426" s="2" t="inlineStr">
        <is>
          <t>20260608000023</t>
        </is>
      </c>
      <c r="M3426" s="8">
        <f>HYPERLINK("https://dart.fss.or.kr/dsaf001/main.do?rcpNo=20260608000023", "공시열람")</f>
        <v/>
      </c>
    </row>
    <row r="3427" ht="22" customHeight="1">
      <c r="A3427" s="2" t="inlineStr">
        <is>
          <t>2026-06-08</t>
        </is>
      </c>
      <c r="B3427" s="3" t="inlineStr">
        <is>
          <t>한국금융지주</t>
        </is>
      </c>
      <c r="C3427" s="2" t="inlineStr">
        <is>
          <t>071050</t>
        </is>
      </c>
      <c r="D3427" s="2" t="inlineStr">
        <is>
          <t>대량보유</t>
        </is>
      </c>
      <c r="E3427" s="3" t="inlineStr">
        <is>
          <t>BlackRockAssetManagementCanadaLimited</t>
        </is>
      </c>
      <c r="F3427" s="3" t="inlineStr">
        <is>
          <t>특별관계자</t>
        </is>
      </c>
      <c r="G3427" s="3" t="inlineStr">
        <is>
          <t>신규보고(+), 장내매수(+)</t>
        </is>
      </c>
      <c r="H3427" s="15" t="n">
        <v>45842</v>
      </c>
      <c r="I3427" s="6" t="n">
        <v>139094</v>
      </c>
      <c r="J3427" s="6" t="n">
        <v>45842</v>
      </c>
      <c r="K3427" s="16" t="n">
        <v>12</v>
      </c>
      <c r="L3427" s="2" t="inlineStr">
        <is>
          <t>20260608000023</t>
        </is>
      </c>
      <c r="M3427" s="8">
        <f>HYPERLINK("https://dart.fss.or.kr/dsaf001/main.do?rcpNo=20260608000023", "공시열람")</f>
        <v/>
      </c>
    </row>
    <row r="3428" ht="22" customHeight="1">
      <c r="A3428" s="2" t="inlineStr">
        <is>
          <t>2026-06-08</t>
        </is>
      </c>
      <c r="B3428" s="3" t="inlineStr">
        <is>
          <t>한국금융지주</t>
        </is>
      </c>
      <c r="C3428" s="2" t="inlineStr">
        <is>
          <t>071050</t>
        </is>
      </c>
      <c r="D3428" s="2" t="inlineStr">
        <is>
          <t>대량보유</t>
        </is>
      </c>
      <c r="E3428" s="3" t="inlineStr">
        <is>
          <t>BlackRockAssetManagementNorthAsiaLimited</t>
        </is>
      </c>
      <c r="F3428" s="3" t="inlineStr">
        <is>
          <t>특별관계자</t>
        </is>
      </c>
      <c r="G3428" s="3" t="inlineStr">
        <is>
          <t>신규보고(+), 장내매도(-)</t>
        </is>
      </c>
      <c r="H3428" s="15" t="n">
        <v>22612</v>
      </c>
      <c r="I3428" s="6" t="n">
        <v>357242</v>
      </c>
      <c r="J3428" s="6" t="n">
        <v>22612</v>
      </c>
      <c r="K3428" s="16" t="n">
        <v>12</v>
      </c>
      <c r="L3428" s="2" t="inlineStr">
        <is>
          <t>20260608000023</t>
        </is>
      </c>
      <c r="M3428" s="8">
        <f>HYPERLINK("https://dart.fss.or.kr/dsaf001/main.do?rcpNo=20260608000023", "공시열람")</f>
        <v/>
      </c>
    </row>
    <row r="3429" ht="22" customHeight="1">
      <c r="A3429" s="2" t="inlineStr">
        <is>
          <t>2026-06-08</t>
        </is>
      </c>
      <c r="B3429" s="3" t="inlineStr">
        <is>
          <t>한국금융지주</t>
        </is>
      </c>
      <c r="C3429" s="2" t="inlineStr">
        <is>
          <t>071050</t>
        </is>
      </c>
      <c r="D3429" s="2" t="inlineStr">
        <is>
          <t>대량보유</t>
        </is>
      </c>
      <c r="E3429" s="3" t="inlineStr">
        <is>
          <t>BlackRockJapanCo.,Ltd.</t>
        </is>
      </c>
      <c r="F3429" s="3" t="inlineStr">
        <is>
          <t>특별관계자</t>
        </is>
      </c>
      <c r="G3429" s="3" t="inlineStr">
        <is>
          <t>신규보고(+), 장내매수(+)</t>
        </is>
      </c>
      <c r="H3429" s="15" t="n">
        <v>36279</v>
      </c>
      <c r="I3429" s="6" t="n">
        <v>96036</v>
      </c>
      <c r="J3429" s="6" t="n">
        <v>36279</v>
      </c>
      <c r="K3429" s="16" t="n">
        <v>12</v>
      </c>
      <c r="L3429" s="2" t="inlineStr">
        <is>
          <t>20260608000023</t>
        </is>
      </c>
      <c r="M3429" s="8">
        <f>HYPERLINK("https://dart.fss.or.kr/dsaf001/main.do?rcpNo=20260608000023", "공시열람")</f>
        <v/>
      </c>
    </row>
    <row r="3430" ht="22" customHeight="1">
      <c r="A3430" s="2" t="inlineStr">
        <is>
          <t>2026-06-08</t>
        </is>
      </c>
      <c r="B3430" s="3" t="inlineStr">
        <is>
          <t>한국금융지주</t>
        </is>
      </c>
      <c r="C3430" s="2" t="inlineStr">
        <is>
          <t>071050</t>
        </is>
      </c>
      <c r="D3430" s="2" t="inlineStr">
        <is>
          <t>대량보유</t>
        </is>
      </c>
      <c r="E3430" s="3" t="inlineStr">
        <is>
          <t>BlackRockInvestmentManagement(Australia)Limited</t>
        </is>
      </c>
      <c r="F3430" s="3" t="inlineStr">
        <is>
          <t>특별관계자</t>
        </is>
      </c>
      <c r="G3430" s="3" t="inlineStr">
        <is>
          <t>신규보고(+), 장내매수(+)</t>
        </is>
      </c>
      <c r="H3430" s="15" t="n">
        <v>11683</v>
      </c>
      <c r="I3430" s="6" t="n">
        <v>152692</v>
      </c>
      <c r="J3430" s="6" t="n">
        <v>11683</v>
      </c>
      <c r="K3430" s="16" t="n">
        <v>12</v>
      </c>
      <c r="L3430" s="2" t="inlineStr">
        <is>
          <t>20260608000023</t>
        </is>
      </c>
      <c r="M3430" s="8">
        <f>HYPERLINK("https://dart.fss.or.kr/dsaf001/main.do?rcpNo=20260608000023", "공시열람")</f>
        <v/>
      </c>
    </row>
    <row r="3431" ht="22" customHeight="1">
      <c r="A3431" s="2" t="inlineStr">
        <is>
          <t>2026-06-08</t>
        </is>
      </c>
      <c r="B3431" s="3" t="inlineStr">
        <is>
          <t>한국금융지주</t>
        </is>
      </c>
      <c r="C3431" s="2" t="inlineStr">
        <is>
          <t>071050</t>
        </is>
      </c>
      <c r="D3431" s="2" t="inlineStr">
        <is>
          <t>대량보유</t>
        </is>
      </c>
      <c r="E3431" s="3" t="inlineStr">
        <is>
          <t>BlackRock(Singapore)Limited</t>
        </is>
      </c>
      <c r="F3431" s="3" t="inlineStr">
        <is>
          <t>특별관계자</t>
        </is>
      </c>
      <c r="G3431" s="3" t="inlineStr">
        <is>
          <t>신규보고(+), 장내매도(-)</t>
        </is>
      </c>
      <c r="H3431" s="15" t="n">
        <v>14288</v>
      </c>
      <c r="I3431" s="6" t="n">
        <v>110299</v>
      </c>
      <c r="J3431" s="6" t="n">
        <v>14288</v>
      </c>
      <c r="K3431" s="16" t="n">
        <v>12</v>
      </c>
      <c r="L3431" s="2" t="inlineStr">
        <is>
          <t>20260608000023</t>
        </is>
      </c>
      <c r="M3431" s="8">
        <f>HYPERLINK("https://dart.fss.or.kr/dsaf001/main.do?rcpNo=20260608000023", "공시열람")</f>
        <v/>
      </c>
    </row>
    <row r="3432" ht="22" customHeight="1">
      <c r="A3432" s="2" t="inlineStr">
        <is>
          <t>2026-06-08</t>
        </is>
      </c>
      <c r="B3432" s="3" t="inlineStr">
        <is>
          <t>한국금융지주</t>
        </is>
      </c>
      <c r="C3432" s="2" t="inlineStr">
        <is>
          <t>071050</t>
        </is>
      </c>
      <c r="D3432" s="2" t="inlineStr">
        <is>
          <t>대량보유</t>
        </is>
      </c>
      <c r="E3432" s="3" t="inlineStr">
        <is>
          <t>BlackRock(Netherlands)B.V.</t>
        </is>
      </c>
      <c r="F3432" s="3" t="inlineStr">
        <is>
          <t>특별관계자</t>
        </is>
      </c>
      <c r="G3432" s="3" t="inlineStr">
        <is>
          <t>신규보고(+), 장내매도(-)</t>
        </is>
      </c>
      <c r="H3432" s="15" t="n">
        <v>14010</v>
      </c>
      <c r="I3432" s="6" t="n">
        <v>78633</v>
      </c>
      <c r="J3432" s="6" t="n">
        <v>14010</v>
      </c>
      <c r="K3432" s="16" t="n">
        <v>12</v>
      </c>
      <c r="L3432" s="2" t="inlineStr">
        <is>
          <t>20260608000023</t>
        </is>
      </c>
      <c r="M3432" s="8">
        <f>HYPERLINK("https://dart.fss.or.kr/dsaf001/main.do?rcpNo=20260608000023", "공시열람")</f>
        <v/>
      </c>
    </row>
    <row r="3433" ht="22" customHeight="1">
      <c r="A3433" s="2" t="inlineStr">
        <is>
          <t>2026-06-08</t>
        </is>
      </c>
      <c r="B3433" s="3" t="inlineStr">
        <is>
          <t>디지틀조선</t>
        </is>
      </c>
      <c r="C3433" s="2" t="inlineStr">
        <is>
          <t>033130</t>
        </is>
      </c>
      <c r="D3433" s="2" t="inlineStr">
        <is>
          <t>대량보유</t>
        </is>
      </c>
      <c r="E3433" s="3" t="inlineStr">
        <is>
          <t>박영옥</t>
        </is>
      </c>
      <c r="F3433" s="3" t="inlineStr">
        <is>
          <t>특별관계자</t>
        </is>
      </c>
      <c r="G3433" s="3" t="inlineStr">
        <is>
          <t>장내매수(+), 장내매도(-)</t>
        </is>
      </c>
      <c r="H3433" s="15" t="n">
        <v>380837</v>
      </c>
      <c r="I3433" s="6" t="n">
        <v>2226</v>
      </c>
      <c r="J3433" s="6" t="n">
        <v>3130580</v>
      </c>
      <c r="K3433" s="16" t="n">
        <v>1</v>
      </c>
      <c r="L3433" s="2" t="inlineStr">
        <is>
          <t>20260608000006</t>
        </is>
      </c>
      <c r="M3433" s="8">
        <f>HYPERLINK("https://dart.fss.or.kr/dsaf001/main.do?rcpNo=20260608000006", "공시열람")</f>
        <v/>
      </c>
    </row>
    <row r="3434" ht="22" customHeight="1">
      <c r="A3434" s="2" t="inlineStr">
        <is>
          <t>2026-06-08</t>
        </is>
      </c>
      <c r="B3434" s="3" t="inlineStr">
        <is>
          <t>디지틀조선</t>
        </is>
      </c>
      <c r="C3434" s="2" t="inlineStr">
        <is>
          <t>033130</t>
        </is>
      </c>
      <c r="D3434" s="2" t="inlineStr">
        <is>
          <t>대량보유</t>
        </is>
      </c>
      <c r="E3434" s="3" t="inlineStr">
        <is>
          <t>(주)스마트인컴</t>
        </is>
      </c>
      <c r="F3434" s="3" t="inlineStr">
        <is>
          <t>특별관계자</t>
        </is>
      </c>
      <c r="G3434" s="3" t="inlineStr">
        <is>
          <t>장내매수(+)</t>
        </is>
      </c>
      <c r="H3434" s="15" t="n">
        <v>13140</v>
      </c>
      <c r="I3434" s="6" t="n">
        <v>2106</v>
      </c>
      <c r="J3434" s="6" t="n">
        <v>13140</v>
      </c>
      <c r="K3434" s="16" t="n">
        <v>1</v>
      </c>
      <c r="L3434" s="2" t="inlineStr">
        <is>
          <t>20260608000006</t>
        </is>
      </c>
      <c r="M3434" s="8">
        <f>HYPERLINK("https://dart.fss.or.kr/dsaf001/main.do?rcpNo=20260608000006", "공시열람")</f>
        <v/>
      </c>
    </row>
    <row r="3435" ht="22" customHeight="1">
      <c r="A3435" s="2" t="inlineStr">
        <is>
          <t>2026-06-08</t>
        </is>
      </c>
      <c r="B3435" s="3" t="inlineStr">
        <is>
          <t>더네이쳐홀딩스</t>
        </is>
      </c>
      <c r="C3435" s="2" t="inlineStr">
        <is>
          <t>298540</t>
        </is>
      </c>
      <c r="D3435" s="2" t="inlineStr">
        <is>
          <t>대량보유</t>
        </is>
      </c>
      <c r="E3435" s="3" t="inlineStr">
        <is>
          <t>박영옥</t>
        </is>
      </c>
      <c r="F3435" s="3" t="inlineStr">
        <is>
          <t>특별관계자</t>
        </is>
      </c>
      <c r="G3435" s="3" t="inlineStr">
        <is>
          <t>장내매수(+)</t>
        </is>
      </c>
      <c r="H3435" s="15" t="n">
        <v>62003</v>
      </c>
      <c r="I3435" s="6" t="n">
        <v>6567</v>
      </c>
      <c r="J3435" s="6" t="n">
        <v>913231</v>
      </c>
      <c r="K3435" s="16" t="n">
        <v>1</v>
      </c>
      <c r="L3435" s="2" t="inlineStr">
        <is>
          <t>20260608000005</t>
        </is>
      </c>
      <c r="M3435" s="8">
        <f>HYPERLINK("https://dart.fss.or.kr/dsaf001/main.do?rcpNo=20260608000005", "공시열람")</f>
        <v/>
      </c>
    </row>
    <row r="3436" ht="22" customHeight="1">
      <c r="A3436" s="2" t="inlineStr">
        <is>
          <t>2026-06-08</t>
        </is>
      </c>
      <c r="B3436" s="3" t="inlineStr">
        <is>
          <t>더네이쳐홀딩스</t>
        </is>
      </c>
      <c r="C3436" s="2" t="inlineStr">
        <is>
          <t>298540</t>
        </is>
      </c>
      <c r="D3436" s="2" t="inlineStr">
        <is>
          <t>대량보유</t>
        </is>
      </c>
      <c r="E3436" s="3" t="inlineStr">
        <is>
          <t>(주)스마트인컴</t>
        </is>
      </c>
      <c r="F3436" s="3" t="inlineStr">
        <is>
          <t>특별관계자</t>
        </is>
      </c>
      <c r="G3436" s="3" t="inlineStr">
        <is>
          <t>장내매수(+)</t>
        </is>
      </c>
      <c r="H3436" s="15" t="n">
        <v>6948</v>
      </c>
      <c r="I3436" s="6" t="n">
        <v>7202</v>
      </c>
      <c r="J3436" s="6" t="n">
        <v>56108</v>
      </c>
      <c r="K3436" s="16" t="n">
        <v>1</v>
      </c>
      <c r="L3436" s="2" t="inlineStr">
        <is>
          <t>20260608000005</t>
        </is>
      </c>
      <c r="M3436" s="8">
        <f>HYPERLINK("https://dart.fss.or.kr/dsaf001/main.do?rcpNo=20260608000005", "공시열람")</f>
        <v/>
      </c>
    </row>
    <row r="3437" ht="22" customHeight="1">
      <c r="A3437" s="2" t="inlineStr">
        <is>
          <t>2026-06-09</t>
        </is>
      </c>
      <c r="B3437" s="3" t="inlineStr">
        <is>
          <t>큐로홀딩스</t>
        </is>
      </c>
      <c r="C3437" s="2" t="inlineStr">
        <is>
          <t>051780</t>
        </is>
      </c>
      <c r="D3437" s="2" t="inlineStr">
        <is>
          <t>대량보유</t>
        </is>
      </c>
      <c r="E3437" s="3" t="inlineStr">
        <is>
          <t>시너지턴어라운드28호신기술사업투자조합</t>
        </is>
      </c>
      <c r="F3437" s="3" t="inlineStr">
        <is>
          <t>특별관계자</t>
        </is>
      </c>
      <c r="G3437" s="3" t="inlineStr">
        <is>
          <t>주식병합, 행사가액조정, 전환등(-), 전환사채의권리행사(+), 장내매도(-)</t>
        </is>
      </c>
      <c r="H3437" s="17" t="n">
        <v>-12684485</v>
      </c>
      <c r="I3437" s="6" t="n">
        <v>2883</v>
      </c>
      <c r="J3437" s="6" t="n">
        <v>561519</v>
      </c>
      <c r="K3437" s="16" t="n">
        <v>5</v>
      </c>
      <c r="L3437" s="2" t="inlineStr">
        <is>
          <t>20260609000534</t>
        </is>
      </c>
      <c r="M3437" s="8">
        <f>HYPERLINK("https://dart.fss.or.kr/dsaf001/main.do?rcpNo=20260609000534", "공시열람")</f>
        <v/>
      </c>
    </row>
    <row r="3438" ht="22" customHeight="1">
      <c r="A3438" s="2" t="inlineStr">
        <is>
          <t>2026-06-09</t>
        </is>
      </c>
      <c r="B3438" s="3" t="inlineStr">
        <is>
          <t>큐로홀딩스</t>
        </is>
      </c>
      <c r="C3438" s="2" t="inlineStr">
        <is>
          <t>051780</t>
        </is>
      </c>
      <c r="D3438" s="2" t="inlineStr">
        <is>
          <t>대량보유</t>
        </is>
      </c>
      <c r="E3438" s="3" t="inlineStr">
        <is>
          <t>시너지아이비상생혁신신기술투자조합</t>
        </is>
      </c>
      <c r="F3438" s="3" t="inlineStr">
        <is>
          <t>특별관계자</t>
        </is>
      </c>
      <c r="G3438" s="3" t="inlineStr">
        <is>
          <t>주식병합, 행사가액조정, 전환등(-), 전환사채의권리행사(+), 장내매도(-)</t>
        </is>
      </c>
      <c r="H3438" s="17" t="n">
        <v>-720889</v>
      </c>
      <c r="I3438" s="6" t="n">
        <v>2883</v>
      </c>
      <c r="J3438" s="6" t="n">
        <v>15000</v>
      </c>
      <c r="K3438" s="16" t="n">
        <v>5</v>
      </c>
      <c r="L3438" s="2" t="inlineStr">
        <is>
          <t>20260609000534</t>
        </is>
      </c>
      <c r="M3438" s="8">
        <f>HYPERLINK("https://dart.fss.or.kr/dsaf001/main.do?rcpNo=20260609000534", "공시열람")</f>
        <v/>
      </c>
    </row>
    <row r="3439" ht="22" customHeight="1">
      <c r="A3439" s="2" t="inlineStr">
        <is>
          <t>2026-06-09</t>
        </is>
      </c>
      <c r="B3439" s="3" t="inlineStr">
        <is>
          <t>큐로홀딩스</t>
        </is>
      </c>
      <c r="C3439" s="2" t="inlineStr">
        <is>
          <t>051780</t>
        </is>
      </c>
      <c r="D3439" s="2" t="inlineStr">
        <is>
          <t>대량보유</t>
        </is>
      </c>
      <c r="E3439" s="3" t="inlineStr">
        <is>
          <t>시너지-프리미어메자닌블라인드1호신기술사업투자조합</t>
        </is>
      </c>
      <c r="F3439" s="3" t="inlineStr">
        <is>
          <t>특별관계자</t>
        </is>
      </c>
      <c r="G3439" s="3" t="inlineStr">
        <is>
          <t>주식병합, 행사가액조정, 전환등(-), 전환사채의권리행사(+), 장내매도(-)</t>
        </is>
      </c>
      <c r="H3439" s="17" t="n">
        <v>-431533</v>
      </c>
      <c r="I3439" s="6" t="n">
        <v>2883</v>
      </c>
      <c r="J3439" s="6" t="n">
        <v>10000</v>
      </c>
      <c r="K3439" s="16" t="n">
        <v>5</v>
      </c>
      <c r="L3439" s="2" t="inlineStr">
        <is>
          <t>20260609000534</t>
        </is>
      </c>
      <c r="M3439" s="8">
        <f>HYPERLINK("https://dart.fss.or.kr/dsaf001/main.do?rcpNo=20260609000534", "공시열람")</f>
        <v/>
      </c>
    </row>
    <row r="3440" ht="22" customHeight="1">
      <c r="A3440" s="2" t="inlineStr">
        <is>
          <t>2026-06-09</t>
        </is>
      </c>
      <c r="B3440" s="3" t="inlineStr">
        <is>
          <t>큐로홀딩스</t>
        </is>
      </c>
      <c r="C3440" s="2" t="inlineStr">
        <is>
          <t>051780</t>
        </is>
      </c>
      <c r="D3440" s="2" t="inlineStr">
        <is>
          <t>대량보유</t>
        </is>
      </c>
      <c r="E3440" s="3" t="inlineStr">
        <is>
          <t>시너지-엔에이치메자닌블라인드2호신기술사업투자조합</t>
        </is>
      </c>
      <c r="F3440" s="3" t="inlineStr">
        <is>
          <t>특별관계자</t>
        </is>
      </c>
      <c r="G3440" s="3" t="inlineStr">
        <is>
          <t>주식병합, 행사가액조정, 전환등(-), 전환사채의권리행사(+), 장내매도(-)</t>
        </is>
      </c>
      <c r="H3440" s="17" t="n">
        <v>-291500</v>
      </c>
      <c r="I3440" s="6" t="n">
        <v>2883</v>
      </c>
      <c r="J3440" s="6" t="n">
        <v>2856</v>
      </c>
      <c r="K3440" s="16" t="n">
        <v>5</v>
      </c>
      <c r="L3440" s="2" t="inlineStr">
        <is>
          <t>20260609000534</t>
        </is>
      </c>
      <c r="M3440" s="8">
        <f>HYPERLINK("https://dart.fss.or.kr/dsaf001/main.do?rcpNo=20260609000534", "공시열람")</f>
        <v/>
      </c>
    </row>
    <row r="3441" ht="22" customHeight="1">
      <c r="A3441" s="2" t="inlineStr">
        <is>
          <t>2026-06-09</t>
        </is>
      </c>
      <c r="B3441" s="3" t="inlineStr">
        <is>
          <t>코미코</t>
        </is>
      </c>
      <c r="C3441" s="2" t="inlineStr">
        <is>
          <t>183300</t>
        </is>
      </c>
      <c r="D3441" s="2" t="inlineStr">
        <is>
          <t>대량보유</t>
        </is>
      </c>
      <c r="E3441" s="3" t="inlineStr">
        <is>
          <t>(주)미코</t>
        </is>
      </c>
      <c r="F3441" s="3" t="inlineStr">
        <is>
          <t>특별관계자</t>
        </is>
      </c>
      <c r="G3441" s="3" t="inlineStr">
        <is>
          <t>무상신주취득(+)</t>
        </is>
      </c>
      <c r="H3441" s="15" t="n">
        <v>4299326</v>
      </c>
      <c r="I3441" s="6" t="inlineStr"/>
      <c r="J3441" s="6" t="n">
        <v>8598652</v>
      </c>
      <c r="K3441" s="16" t="n">
        <v>41.85</v>
      </c>
      <c r="L3441" s="2" t="inlineStr">
        <is>
          <t>20260609000533</t>
        </is>
      </c>
      <c r="M3441" s="8">
        <f>HYPERLINK("https://dart.fss.or.kr/dsaf001/main.do?rcpNo=20260609000533", "공시열람")</f>
        <v/>
      </c>
    </row>
    <row r="3442" ht="22" customHeight="1">
      <c r="A3442" s="2" t="inlineStr">
        <is>
          <t>2026-06-09</t>
        </is>
      </c>
      <c r="B3442" s="3" t="inlineStr">
        <is>
          <t>엠로</t>
        </is>
      </c>
      <c r="C3442" s="2" t="inlineStr">
        <is>
          <t>058970</t>
        </is>
      </c>
      <c r="D3442" s="2" t="inlineStr">
        <is>
          <t>대량보유</t>
        </is>
      </c>
      <c r="E3442" s="3" t="inlineStr">
        <is>
          <t>삼성에스디에스(주)</t>
        </is>
      </c>
      <c r="F3442" s="3" t="inlineStr">
        <is>
          <t>보고자</t>
        </is>
      </c>
      <c r="G3442" s="3" t="inlineStr">
        <is>
          <t>- 보유주식 등에 관한 계약의 변경</t>
        </is>
      </c>
      <c r="H3442" s="6" t="inlineStr"/>
      <c r="I3442" s="6" t="inlineStr"/>
      <c r="J3442" s="6" t="n">
        <v>4920662</v>
      </c>
      <c r="K3442" s="16" t="n">
        <v>2</v>
      </c>
      <c r="L3442" s="2" t="inlineStr">
        <is>
          <t>20260609000532</t>
        </is>
      </c>
      <c r="M3442" s="8">
        <f>HYPERLINK("https://dart.fss.or.kr/dsaf001/main.do?rcpNo=20260609000532", "공시열람")</f>
        <v/>
      </c>
    </row>
    <row r="3443" ht="22" customHeight="1">
      <c r="A3443" s="2" t="inlineStr">
        <is>
          <t>2026-06-09</t>
        </is>
      </c>
      <c r="B3443" s="3" t="inlineStr">
        <is>
          <t>피앤씨테크</t>
        </is>
      </c>
      <c r="C3443" s="2" t="inlineStr">
        <is>
          <t>237750</t>
        </is>
      </c>
      <c r="D3443" s="2" t="inlineStr">
        <is>
          <t>대량보유</t>
        </is>
      </c>
      <c r="E3443" s="3" t="inlineStr">
        <is>
          <t>조민기</t>
        </is>
      </c>
      <c r="F3443" s="3" t="inlineStr">
        <is>
          <t>특별관계자</t>
        </is>
      </c>
      <c r="G3443" s="3" t="inlineStr">
        <is>
          <t>장내매수(+)</t>
        </is>
      </c>
      <c r="H3443" s="15" t="n">
        <v>31631</v>
      </c>
      <c r="I3443" s="6" t="n">
        <v>4000</v>
      </c>
      <c r="J3443" s="6" t="n">
        <v>156631</v>
      </c>
      <c r="K3443" s="16" t="n">
        <v>2</v>
      </c>
      <c r="L3443" s="2" t="inlineStr">
        <is>
          <t>20260609000531</t>
        </is>
      </c>
      <c r="M3443" s="8">
        <f>HYPERLINK("https://dart.fss.or.kr/dsaf001/main.do?rcpNo=20260609000531", "공시열람")</f>
        <v/>
      </c>
    </row>
    <row r="3444" ht="22" customHeight="1">
      <c r="A3444" s="2" t="inlineStr">
        <is>
          <t>2026-06-09</t>
        </is>
      </c>
      <c r="B3444" s="3" t="inlineStr">
        <is>
          <t>쿠콘</t>
        </is>
      </c>
      <c r="C3444" s="2" t="inlineStr">
        <is>
          <t>294570</t>
        </is>
      </c>
      <c r="D3444" s="2" t="inlineStr">
        <is>
          <t>대량보유</t>
        </is>
      </c>
      <c r="E3444" s="3" t="inlineStr">
        <is>
          <t>웹케시㈜</t>
        </is>
      </c>
      <c r="F3444" s="3" t="inlineStr">
        <is>
          <t>특별관계자</t>
        </is>
      </c>
      <c r="G3444" s="3" t="inlineStr">
        <is>
          <t>장내매수(+)</t>
        </is>
      </c>
      <c r="H3444" s="15" t="n">
        <v>133848</v>
      </c>
      <c r="I3444" s="6" t="n">
        <v>24630</v>
      </c>
      <c r="J3444" s="6" t="n">
        <v>190954</v>
      </c>
      <c r="K3444" s="16" t="n">
        <v>10</v>
      </c>
      <c r="L3444" s="2" t="inlineStr">
        <is>
          <t>20260609000514</t>
        </is>
      </c>
      <c r="M3444" s="8">
        <f>HYPERLINK("https://dart.fss.or.kr/dsaf001/main.do?rcpNo=20260609000514", "공시열람")</f>
        <v/>
      </c>
    </row>
    <row r="3445" ht="22" customHeight="1">
      <c r="A3445" s="2" t="inlineStr">
        <is>
          <t>2026-06-09</t>
        </is>
      </c>
      <c r="B3445" s="3" t="inlineStr">
        <is>
          <t>리센스메디컬</t>
        </is>
      </c>
      <c r="C3445" s="2" t="inlineStr">
        <is>
          <t>394420</t>
        </is>
      </c>
      <c r="D3445" s="2" t="inlineStr">
        <is>
          <t>대량보유</t>
        </is>
      </c>
      <c r="E3445" s="3" t="inlineStr">
        <is>
          <t>신세계-케이디비씨아뜰리에투자조합</t>
        </is>
      </c>
      <c r="F3445" s="3" t="inlineStr">
        <is>
          <t>특별관계자</t>
        </is>
      </c>
      <c r="G3445" s="3" t="inlineStr">
        <is>
          <t>장내매도(-)</t>
        </is>
      </c>
      <c r="H3445" s="17" t="n">
        <v>-106776</v>
      </c>
      <c r="I3445" s="6" t="n">
        <v>30297</v>
      </c>
      <c r="J3445" s="6" t="n">
        <v>74228</v>
      </c>
      <c r="K3445" s="16" t="n">
        <v>2</v>
      </c>
      <c r="L3445" s="2" t="inlineStr">
        <is>
          <t>20260609000509</t>
        </is>
      </c>
      <c r="M3445" s="8">
        <f>HYPERLINK("https://dart.fss.or.kr/dsaf001/main.do?rcpNo=20260609000509", "공시열람")</f>
        <v/>
      </c>
    </row>
    <row r="3446" ht="22" customHeight="1">
      <c r="A3446" s="2" t="inlineStr">
        <is>
          <t>2026-06-09</t>
        </is>
      </c>
      <c r="B3446" s="3" t="inlineStr">
        <is>
          <t>알지노믹스</t>
        </is>
      </c>
      <c r="C3446" s="2" t="inlineStr">
        <is>
          <t>476830</t>
        </is>
      </c>
      <c r="D3446" s="2" t="inlineStr">
        <is>
          <t>대량보유</t>
        </is>
      </c>
      <c r="E3446" s="3" t="inlineStr">
        <is>
          <t>신한벤처투모로우투자조합1호</t>
        </is>
      </c>
      <c r="F3446" s="3" t="inlineStr">
        <is>
          <t>특별관계자</t>
        </is>
      </c>
      <c r="G3446" s="3" t="inlineStr">
        <is>
          <t>장내매도(-)</t>
        </is>
      </c>
      <c r="H3446" s="17" t="n">
        <v>-20500</v>
      </c>
      <c r="I3446" s="6" t="n">
        <v>178388</v>
      </c>
      <c r="J3446" s="6" t="n">
        <v>9444</v>
      </c>
      <c r="K3446" s="16" t="n">
        <v>2</v>
      </c>
      <c r="L3446" s="2" t="inlineStr">
        <is>
          <t>20260609000504</t>
        </is>
      </c>
      <c r="M3446" s="8">
        <f>HYPERLINK("https://dart.fss.or.kr/dsaf001/main.do?rcpNo=20260609000504", "공시열람")</f>
        <v/>
      </c>
    </row>
    <row r="3447" ht="22" customHeight="1">
      <c r="A3447" s="2" t="inlineStr">
        <is>
          <t>2026-06-09</t>
        </is>
      </c>
      <c r="B3447" s="3" t="inlineStr">
        <is>
          <t>더핑크퐁컴퍼니</t>
        </is>
      </c>
      <c r="C3447" s="2" t="inlineStr">
        <is>
          <t>403850</t>
        </is>
      </c>
      <c r="D3447" s="2" t="inlineStr">
        <is>
          <t>대량보유</t>
        </is>
      </c>
      <c r="E3447" s="3" t="inlineStr">
        <is>
          <t>김민석</t>
        </is>
      </c>
      <c r="F3447" s="3" t="inlineStr">
        <is>
          <t>특별관계자</t>
        </is>
      </c>
      <c r="G3447" s="3" t="inlineStr">
        <is>
          <t>장내매수(+)</t>
        </is>
      </c>
      <c r="H3447" s="15" t="n">
        <v>40000</v>
      </c>
      <c r="I3447" s="6" t="n">
        <v>12372</v>
      </c>
      <c r="J3447" s="6" t="n">
        <v>2400000</v>
      </c>
      <c r="K3447" s="16" t="n">
        <v>18</v>
      </c>
      <c r="L3447" s="2" t="inlineStr">
        <is>
          <t>20260609000503</t>
        </is>
      </c>
      <c r="M3447" s="8">
        <f>HYPERLINK("https://dart.fss.or.kr/dsaf001/main.do?rcpNo=20260609000503", "공시열람")</f>
        <v/>
      </c>
    </row>
    <row r="3448" ht="22" customHeight="1">
      <c r="A3448" s="2" t="inlineStr">
        <is>
          <t>2026-06-09</t>
        </is>
      </c>
      <c r="B3448" s="3" t="inlineStr">
        <is>
          <t>뉴보텍</t>
        </is>
      </c>
      <c r="C3448" s="2" t="inlineStr">
        <is>
          <t>060260</t>
        </is>
      </c>
      <c r="D3448" s="2" t="inlineStr">
        <is>
          <t>대량보유</t>
        </is>
      </c>
      <c r="E3448" s="3" t="inlineStr">
        <is>
          <t>김길표</t>
        </is>
      </c>
      <c r="F3448" s="3" t="inlineStr">
        <is>
          <t>특별관계자</t>
        </is>
      </c>
      <c r="G3448" s="3" t="inlineStr">
        <is>
          <t>장내매수(+)</t>
        </is>
      </c>
      <c r="H3448" s="15" t="n">
        <v>5000</v>
      </c>
      <c r="I3448" s="6" t="n">
        <v>1444</v>
      </c>
      <c r="J3448" s="6" t="n">
        <v>5000</v>
      </c>
      <c r="K3448" s="16" t="n">
        <v>8</v>
      </c>
      <c r="L3448" s="2" t="inlineStr">
        <is>
          <t>20260609000502</t>
        </is>
      </c>
      <c r="M3448" s="8">
        <f>HYPERLINK("https://dart.fss.or.kr/dsaf001/main.do?rcpNo=20260609000502", "공시열람")</f>
        <v/>
      </c>
    </row>
    <row r="3449" ht="22" customHeight="1">
      <c r="A3449" s="2" t="inlineStr">
        <is>
          <t>2026-06-09</t>
        </is>
      </c>
      <c r="B3449" s="3" t="inlineStr">
        <is>
          <t>DH오토리드</t>
        </is>
      </c>
      <c r="C3449" s="2" t="inlineStr">
        <is>
          <t>290120</t>
        </is>
      </c>
      <c r="D3449" s="2" t="inlineStr">
        <is>
          <t>대량보유</t>
        </is>
      </c>
      <c r="E3449" s="3" t="inlineStr">
        <is>
          <t>(주)거석홀딩스</t>
        </is>
      </c>
      <c r="F3449" s="3" t="inlineStr">
        <is>
          <t>특별관계자</t>
        </is>
      </c>
      <c r="G3449" s="3" t="inlineStr">
        <is>
          <t>합병(-)</t>
        </is>
      </c>
      <c r="H3449" s="17" t="n">
        <v>-20000</v>
      </c>
      <c r="I3449" s="6" t="inlineStr"/>
      <c r="J3449" s="6" t="inlineStr"/>
      <c r="K3449" s="16" t="n">
        <v>5</v>
      </c>
      <c r="L3449" s="2" t="inlineStr">
        <is>
          <t>20260609000501</t>
        </is>
      </c>
      <c r="M3449" s="8">
        <f>HYPERLINK("https://dart.fss.or.kr/dsaf001/main.do?rcpNo=20260609000501", "공시열람")</f>
        <v/>
      </c>
    </row>
    <row r="3450" ht="22" customHeight="1">
      <c r="A3450" s="2" t="inlineStr">
        <is>
          <t>2026-06-09</t>
        </is>
      </c>
      <c r="B3450" s="3" t="inlineStr">
        <is>
          <t>DH오토리드</t>
        </is>
      </c>
      <c r="C3450" s="2" t="inlineStr">
        <is>
          <t>290120</t>
        </is>
      </c>
      <c r="D3450" s="2" t="inlineStr">
        <is>
          <t>대량보유</t>
        </is>
      </c>
      <c r="E3450" s="3" t="inlineStr">
        <is>
          <t>(주)디에이치정공</t>
        </is>
      </c>
      <c r="F3450" s="3" t="inlineStr">
        <is>
          <t>특별관계자</t>
        </is>
      </c>
      <c r="G3450" s="3" t="inlineStr">
        <is>
          <t>합병(+)</t>
        </is>
      </c>
      <c r="H3450" s="15" t="n">
        <v>20000</v>
      </c>
      <c r="I3450" s="6" t="inlineStr"/>
      <c r="J3450" s="6" t="n">
        <v>1278028</v>
      </c>
      <c r="K3450" s="16" t="n">
        <v>5</v>
      </c>
      <c r="L3450" s="2" t="inlineStr">
        <is>
          <t>20260609000501</t>
        </is>
      </c>
      <c r="M3450" s="8">
        <f>HYPERLINK("https://dart.fss.or.kr/dsaf001/main.do?rcpNo=20260609000501", "공시열람")</f>
        <v/>
      </c>
    </row>
    <row r="3451" ht="22" customHeight="1">
      <c r="A3451" s="2" t="inlineStr">
        <is>
          <t>2026-06-09</t>
        </is>
      </c>
      <c r="B3451" s="3" t="inlineStr">
        <is>
          <t>신한제17호스팩</t>
        </is>
      </c>
      <c r="C3451" s="2" t="inlineStr">
        <is>
          <t>0130D0</t>
        </is>
      </c>
      <c r="D3451" s="2" t="inlineStr">
        <is>
          <t>대량보유</t>
        </is>
      </c>
      <c r="E3451" s="3" t="inlineStr">
        <is>
          <t>더블유자산운용</t>
        </is>
      </c>
      <c r="F3451" s="3" t="inlineStr">
        <is>
          <t>특별관계자</t>
        </is>
      </c>
      <c r="G3451" s="3" t="inlineStr">
        <is>
          <t>신규등록(+), 장내매도(-), 장내매수(+)</t>
        </is>
      </c>
      <c r="H3451" s="15" t="n">
        <v>297013</v>
      </c>
      <c r="I3451" s="6" t="n">
        <v>2037</v>
      </c>
      <c r="J3451" s="6" t="n">
        <v>297013</v>
      </c>
      <c r="K3451" s="16" t="n">
        <v>5.56</v>
      </c>
      <c r="L3451" s="2" t="inlineStr">
        <is>
          <t>20260609000500</t>
        </is>
      </c>
      <c r="M3451" s="8">
        <f>HYPERLINK("https://dart.fss.or.kr/dsaf001/main.do?rcpNo=20260609000500", "공시열람")</f>
        <v/>
      </c>
    </row>
    <row r="3452" ht="22" customHeight="1">
      <c r="A3452" s="2" t="inlineStr">
        <is>
          <t>2026-06-09</t>
        </is>
      </c>
      <c r="B3452" s="3" t="inlineStr">
        <is>
          <t>다스코</t>
        </is>
      </c>
      <c r="C3452" s="2" t="inlineStr">
        <is>
          <t>058730</t>
        </is>
      </c>
      <c r="D3452" s="2" t="inlineStr">
        <is>
          <t>대량보유</t>
        </is>
      </c>
      <c r="E3452" s="3" t="inlineStr">
        <is>
          <t>한상원</t>
        </is>
      </c>
      <c r="F3452" s="3" t="inlineStr">
        <is>
          <t>특별관계자</t>
        </is>
      </c>
      <c r="G3452" s="3" t="inlineStr">
        <is>
          <t>장내매수(+)</t>
        </is>
      </c>
      <c r="H3452" s="15" t="n">
        <v>175000</v>
      </c>
      <c r="I3452" s="6" t="n">
        <v>2627</v>
      </c>
      <c r="J3452" s="6" t="n">
        <v>4500000</v>
      </c>
      <c r="K3452" s="16" t="n">
        <v>6</v>
      </c>
      <c r="L3452" s="2" t="inlineStr">
        <is>
          <t>20260609000499</t>
        </is>
      </c>
      <c r="M3452" s="8">
        <f>HYPERLINK("https://dart.fss.or.kr/dsaf001/main.do?rcpNo=20260609000499", "공시열람")</f>
        <v/>
      </c>
    </row>
    <row r="3453" ht="22" customHeight="1">
      <c r="A3453" s="2" t="inlineStr">
        <is>
          <t>2026-06-09</t>
        </is>
      </c>
      <c r="B3453" s="3" t="inlineStr">
        <is>
          <t>SKC</t>
        </is>
      </c>
      <c r="C3453" s="2" t="inlineStr">
        <is>
          <t>011790</t>
        </is>
      </c>
      <c r="D3453" s="2" t="inlineStr">
        <is>
          <t>대량보유</t>
        </is>
      </c>
      <c r="E3453" s="3" t="inlineStr">
        <is>
          <t>한국투자2024사모투자합자회사</t>
        </is>
      </c>
      <c r="F3453" s="3" t="inlineStr">
        <is>
          <t>특별관계자</t>
        </is>
      </c>
      <c r="G3453" s="3" t="inlineStr">
        <is>
          <t>교환(-), 장내매도(-), 교환(+), 시간외매매(-)</t>
        </is>
      </c>
      <c r="H3453" s="17" t="n">
        <v>-183600</v>
      </c>
      <c r="I3453" s="6" t="n">
        <v>129657</v>
      </c>
      <c r="J3453" s="6" t="n">
        <v>2837</v>
      </c>
      <c r="K3453" s="16" t="n">
        <v>9</v>
      </c>
      <c r="L3453" s="2" t="inlineStr">
        <is>
          <t>20260609000497</t>
        </is>
      </c>
      <c r="M3453" s="8">
        <f>HYPERLINK("https://dart.fss.or.kr/dsaf001/main.do?rcpNo=20260609000497", "공시열람")</f>
        <v/>
      </c>
    </row>
    <row r="3454" ht="22" customHeight="1">
      <c r="A3454" s="2" t="inlineStr">
        <is>
          <t>2026-06-09</t>
        </is>
      </c>
      <c r="B3454" s="3" t="inlineStr">
        <is>
          <t>SKC</t>
        </is>
      </c>
      <c r="C3454" s="2" t="inlineStr">
        <is>
          <t>011790</t>
        </is>
      </c>
      <c r="D3454" s="2" t="inlineStr">
        <is>
          <t>대량보유</t>
        </is>
      </c>
      <c r="E3454" s="3" t="inlineStr">
        <is>
          <t>한국투자스페셜시츄에이션제1호기업재무안정사모투자합자회사</t>
        </is>
      </c>
      <c r="F3454" s="3" t="inlineStr">
        <is>
          <t>특별관계자</t>
        </is>
      </c>
      <c r="G3454" s="3" t="inlineStr">
        <is>
          <t>교환(-), 교환(+), 장내매도(-)</t>
        </is>
      </c>
      <c r="H3454" s="17" t="n">
        <v>-96300</v>
      </c>
      <c r="I3454" s="6" t="n">
        <v>125879</v>
      </c>
      <c r="J3454" s="6" t="n">
        <v>1531</v>
      </c>
      <c r="K3454" s="16" t="n">
        <v>9</v>
      </c>
      <c r="L3454" s="2" t="inlineStr">
        <is>
          <t>20260609000497</t>
        </is>
      </c>
      <c r="M3454" s="8">
        <f>HYPERLINK("https://dart.fss.or.kr/dsaf001/main.do?rcpNo=20260609000497", "공시열람")</f>
        <v/>
      </c>
    </row>
    <row r="3455" ht="22" customHeight="1">
      <c r="A3455" s="2" t="inlineStr">
        <is>
          <t>2026-06-09</t>
        </is>
      </c>
      <c r="B3455" s="3" t="inlineStr">
        <is>
          <t>SKC</t>
        </is>
      </c>
      <c r="C3455" s="2" t="inlineStr">
        <is>
          <t>011790</t>
        </is>
      </c>
      <c r="D3455" s="2" t="inlineStr">
        <is>
          <t>대량보유</t>
        </is>
      </c>
      <c r="E3455" s="3" t="inlineStr">
        <is>
          <t>한국투자2024의1호사모투자합자회사</t>
        </is>
      </c>
      <c r="F3455" s="3" t="inlineStr">
        <is>
          <t>특별관계자</t>
        </is>
      </c>
      <c r="G3455" s="3" t="inlineStr">
        <is>
          <t>교환(-), 기타(-), 장내매도(-), 교환(+), 시간외매매(-)</t>
        </is>
      </c>
      <c r="H3455" s="17" t="n">
        <v>-460503</v>
      </c>
      <c r="I3455" s="6" t="n">
        <v>133756</v>
      </c>
      <c r="J3455" s="6" t="n">
        <v>7434</v>
      </c>
      <c r="K3455" s="16" t="n">
        <v>9</v>
      </c>
      <c r="L3455" s="2" t="inlineStr">
        <is>
          <t>20260609000497</t>
        </is>
      </c>
      <c r="M3455" s="8">
        <f>HYPERLINK("https://dart.fss.or.kr/dsaf001/main.do?rcpNo=20260609000497", "공시열람")</f>
        <v/>
      </c>
    </row>
    <row r="3456" ht="22" customHeight="1">
      <c r="A3456" s="2" t="inlineStr">
        <is>
          <t>2026-06-09</t>
        </is>
      </c>
      <c r="B3456" s="3" t="inlineStr">
        <is>
          <t>OCI홀딩스</t>
        </is>
      </c>
      <c r="C3456" s="2" t="inlineStr">
        <is>
          <t>010060</t>
        </is>
      </c>
      <c r="D3456" s="2" t="inlineStr">
        <is>
          <t>임원보고</t>
        </is>
      </c>
      <c r="E3456" s="3" t="inlineStr">
        <is>
          <t>-</t>
        </is>
      </c>
      <c r="F3456" s="3" t="inlineStr">
        <is>
          <t>-</t>
        </is>
      </c>
      <c r="G3456" s="3" t="inlineStr">
        <is>
          <t>-</t>
        </is>
      </c>
      <c r="H3456" s="6" t="inlineStr"/>
      <c r="I3456" s="6" t="inlineStr"/>
      <c r="J3456" s="6" t="inlineStr"/>
      <c r="K3456" s="16" t="n">
        <v>12</v>
      </c>
      <c r="L3456" s="2" t="inlineStr">
        <is>
          <t>20260609800786</t>
        </is>
      </c>
      <c r="M3456" s="8">
        <f>HYPERLINK("https://dart.fss.or.kr/dsaf001/main.do?rcpNo=20260609800786", "공시열람")</f>
        <v/>
      </c>
    </row>
    <row r="3457" ht="22" customHeight="1">
      <c r="A3457" s="2" t="inlineStr">
        <is>
          <t>2026-06-09</t>
        </is>
      </c>
      <c r="B3457" s="3" t="inlineStr">
        <is>
          <t>성우전자</t>
        </is>
      </c>
      <c r="C3457" s="2" t="inlineStr">
        <is>
          <t>081580</t>
        </is>
      </c>
      <c r="D3457" s="2" t="inlineStr">
        <is>
          <t>대량보유</t>
        </is>
      </c>
      <c r="E3457" s="3" t="inlineStr">
        <is>
          <t>르네상스자산운용(주)</t>
        </is>
      </c>
      <c r="F3457" s="3" t="inlineStr">
        <is>
          <t>특별관계자</t>
        </is>
      </c>
      <c r="G3457" s="3" t="inlineStr">
        <is>
          <t>행사가액조정, 장외매도(-), 차입(+), 장내매도(-), 주식매수선택권행사(-), 장내매수(+), 기타(-)</t>
        </is>
      </c>
      <c r="H3457" s="17" t="n">
        <v>-707384</v>
      </c>
      <c r="I3457" s="6" t="n">
        <v>3034</v>
      </c>
      <c r="J3457" s="6" t="inlineStr"/>
      <c r="K3457" s="16" t="n">
        <v>12.02</v>
      </c>
      <c r="L3457" s="2" t="inlineStr">
        <is>
          <t>20260609000494</t>
        </is>
      </c>
      <c r="M3457" s="8">
        <f>HYPERLINK("https://dart.fss.or.kr/dsaf001/main.do?rcpNo=20260609000494", "공시열람")</f>
        <v/>
      </c>
    </row>
    <row r="3458" ht="22" customHeight="1">
      <c r="A3458" s="2" t="inlineStr">
        <is>
          <t>2026-06-09</t>
        </is>
      </c>
      <c r="B3458" s="3" t="inlineStr">
        <is>
          <t>지엠비코리아</t>
        </is>
      </c>
      <c r="C3458" s="2" t="inlineStr">
        <is>
          <t>013870</t>
        </is>
      </c>
      <c r="D3458" s="2" t="inlineStr">
        <is>
          <t>임원보고</t>
        </is>
      </c>
      <c r="E3458" s="3" t="inlineStr">
        <is>
          <t>-</t>
        </is>
      </c>
      <c r="F3458" s="3" t="inlineStr">
        <is>
          <t>-</t>
        </is>
      </c>
      <c r="G3458" s="3" t="inlineStr">
        <is>
          <t>-</t>
        </is>
      </c>
      <c r="H3458" s="6" t="inlineStr"/>
      <c r="I3458" s="6" t="inlineStr"/>
      <c r="J3458" s="6" t="inlineStr"/>
      <c r="K3458" s="16" t="n">
        <v>12</v>
      </c>
      <c r="L3458" s="2" t="inlineStr">
        <is>
          <t>20260609800781</t>
        </is>
      </c>
      <c r="M3458" s="8">
        <f>HYPERLINK("https://dart.fss.or.kr/dsaf001/main.do?rcpNo=20260609800781", "공시열람")</f>
        <v/>
      </c>
    </row>
    <row r="3459" ht="22" customHeight="1">
      <c r="A3459" s="2" t="inlineStr">
        <is>
          <t>2026-06-09</t>
        </is>
      </c>
      <c r="B3459" s="3" t="inlineStr">
        <is>
          <t>화일약품</t>
        </is>
      </c>
      <c r="C3459" s="2" t="inlineStr">
        <is>
          <t>061250</t>
        </is>
      </c>
      <c r="D3459" s="2" t="inlineStr">
        <is>
          <t>대량보유</t>
        </is>
      </c>
      <c r="E3459" s="3" t="inlineStr">
        <is>
          <t>㈜더블라썸묵동</t>
        </is>
      </c>
      <c r="F3459" s="3" t="inlineStr">
        <is>
          <t>특별관계자</t>
        </is>
      </c>
      <c r="G3459" s="3" t="inlineStr">
        <is>
          <t>장내매수(+)</t>
        </is>
      </c>
      <c r="H3459" s="15" t="n">
        <v>128283</v>
      </c>
      <c r="I3459" s="6" t="n">
        <v>8167</v>
      </c>
      <c r="J3459" s="6" t="n">
        <v>242769</v>
      </c>
      <c r="K3459" s="16" t="n">
        <v>2</v>
      </c>
      <c r="L3459" s="2" t="inlineStr">
        <is>
          <t>20260609000485</t>
        </is>
      </c>
      <c r="M3459" s="8">
        <f>HYPERLINK("https://dart.fss.or.kr/dsaf001/main.do?rcpNo=20260609000485", "공시열람")</f>
        <v/>
      </c>
    </row>
    <row r="3460" ht="22" customHeight="1">
      <c r="A3460" s="2" t="inlineStr">
        <is>
          <t>2026-06-09</t>
        </is>
      </c>
      <c r="B3460" s="3" t="inlineStr">
        <is>
          <t>인선이엔티</t>
        </is>
      </c>
      <c r="C3460" s="2" t="inlineStr">
        <is>
          <t>060150</t>
        </is>
      </c>
      <c r="D3460" s="2" t="inlineStr">
        <is>
          <t>대량보유</t>
        </is>
      </c>
      <c r="E3460" s="3" t="inlineStr">
        <is>
          <t>아이에스동서(주)</t>
        </is>
      </c>
      <c r="F3460" s="3" t="inlineStr">
        <is>
          <t>보고자</t>
        </is>
      </c>
      <c r="G3460" s="3" t="inlineStr">
        <is>
          <t>보유주식 등에 관한 계약 변경</t>
        </is>
      </c>
      <c r="H3460" s="6" t="inlineStr"/>
      <c r="I3460" s="6" t="inlineStr"/>
      <c r="J3460" s="6" t="n">
        <v>20937717</v>
      </c>
      <c r="K3460" s="16" t="n">
        <v>1</v>
      </c>
      <c r="L3460" s="2" t="inlineStr">
        <is>
          <t>20260609000480</t>
        </is>
      </c>
      <c r="M3460" s="8">
        <f>HYPERLINK("https://dart.fss.or.kr/dsaf001/main.do?rcpNo=20260609000480", "공시열람")</f>
        <v/>
      </c>
    </row>
    <row r="3461" ht="22" customHeight="1">
      <c r="A3461" s="2" t="inlineStr">
        <is>
          <t>2026-06-09</t>
        </is>
      </c>
      <c r="B3461" s="3" t="inlineStr">
        <is>
          <t>아진전자부품</t>
        </is>
      </c>
      <c r="C3461" s="2" t="inlineStr">
        <is>
          <t>009320</t>
        </is>
      </c>
      <c r="D3461" s="2" t="inlineStr">
        <is>
          <t>대량보유</t>
        </is>
      </c>
      <c r="E3461" s="3" t="inlineStr">
        <is>
          <t>(주)아진카인텍</t>
        </is>
      </c>
      <c r="F3461" s="3" t="inlineStr">
        <is>
          <t>특별관계자</t>
        </is>
      </c>
      <c r="G3461" s="3" t="inlineStr">
        <is>
          <t>장내매수(+)</t>
        </is>
      </c>
      <c r="H3461" s="15" t="n">
        <v>55000</v>
      </c>
      <c r="I3461" s="6" t="n">
        <v>999</v>
      </c>
      <c r="J3461" s="6" t="n">
        <v>6667608</v>
      </c>
      <c r="K3461" s="16" t="n">
        <v>13.52</v>
      </c>
      <c r="L3461" s="2" t="inlineStr">
        <is>
          <t>20260609000474</t>
        </is>
      </c>
      <c r="M3461" s="8">
        <f>HYPERLINK("https://dart.fss.or.kr/dsaf001/main.do?rcpNo=20260609000474", "공시열람")</f>
        <v/>
      </c>
    </row>
    <row r="3462" ht="22" customHeight="1">
      <c r="A3462" s="2" t="inlineStr">
        <is>
          <t>2026-06-09</t>
        </is>
      </c>
      <c r="B3462" s="3" t="inlineStr">
        <is>
          <t>유안타증권</t>
        </is>
      </c>
      <c r="C3462" s="2" t="inlineStr">
        <is>
          <t>003470</t>
        </is>
      </c>
      <c r="D3462" s="2" t="inlineStr">
        <is>
          <t>대량보유</t>
        </is>
      </c>
      <c r="E3462" s="3" t="inlineStr">
        <is>
          <t>뤄즈펑</t>
        </is>
      </c>
      <c r="F3462" s="3" t="inlineStr">
        <is>
          <t>특별관계자</t>
        </is>
      </c>
      <c r="G3462" s="3" t="inlineStr">
        <is>
          <t>장내매수(+)</t>
        </is>
      </c>
      <c r="H3462" s="15" t="n">
        <v>4303</v>
      </c>
      <c r="I3462" s="6" t="n">
        <v>4876</v>
      </c>
      <c r="J3462" s="6" t="n">
        <v>15082</v>
      </c>
      <c r="K3462" s="16" t="n">
        <v>3</v>
      </c>
      <c r="L3462" s="2" t="inlineStr">
        <is>
          <t>20260609000468</t>
        </is>
      </c>
      <c r="M3462" s="8">
        <f>HYPERLINK("https://dart.fss.or.kr/dsaf001/main.do?rcpNo=20260609000468", "공시열람")</f>
        <v/>
      </c>
    </row>
    <row r="3463" ht="22" customHeight="1">
      <c r="A3463" s="2" t="inlineStr">
        <is>
          <t>2026-06-09</t>
        </is>
      </c>
      <c r="B3463" s="3" t="inlineStr">
        <is>
          <t>유안타증권</t>
        </is>
      </c>
      <c r="C3463" s="2" t="inlineStr">
        <is>
          <t>003470</t>
        </is>
      </c>
      <c r="D3463" s="2" t="inlineStr">
        <is>
          <t>대량보유</t>
        </is>
      </c>
      <c r="E3463" s="3" t="inlineStr">
        <is>
          <t>YuantaSecuritiesAsiaFinancialServicesPrivateLimited</t>
        </is>
      </c>
      <c r="F3463" s="3" t="inlineStr">
        <is>
          <t>특별관계자</t>
        </is>
      </c>
      <c r="G3463" s="3" t="inlineStr">
        <is>
          <t>장내매수(+)</t>
        </is>
      </c>
      <c r="H3463" s="15" t="n">
        <v>291500</v>
      </c>
      <c r="I3463" s="6" t="n">
        <v>4845</v>
      </c>
      <c r="J3463" s="6" t="n">
        <v>117597411</v>
      </c>
      <c r="K3463" s="16" t="n">
        <v>3</v>
      </c>
      <c r="L3463" s="2" t="inlineStr">
        <is>
          <t>20260609000468</t>
        </is>
      </c>
      <c r="M3463" s="8">
        <f>HYPERLINK("https://dart.fss.or.kr/dsaf001/main.do?rcpNo=20260609000468", "공시열람")</f>
        <v/>
      </c>
    </row>
    <row r="3464" ht="22" customHeight="1">
      <c r="A3464" s="2" t="inlineStr">
        <is>
          <t>2026-06-09</t>
        </is>
      </c>
      <c r="B3464" s="3" t="inlineStr">
        <is>
          <t>디와이에이</t>
        </is>
      </c>
      <c r="C3464" s="2" t="inlineStr">
        <is>
          <t>002880</t>
        </is>
      </c>
      <c r="D3464" s="2" t="inlineStr">
        <is>
          <t>임원보고</t>
        </is>
      </c>
      <c r="E3464" s="3" t="inlineStr">
        <is>
          <t>-</t>
        </is>
      </c>
      <c r="F3464" s="3" t="inlineStr">
        <is>
          <t>-</t>
        </is>
      </c>
      <c r="G3464" s="3" t="inlineStr">
        <is>
          <t>-</t>
        </is>
      </c>
      <c r="H3464" s="6" t="inlineStr"/>
      <c r="I3464" s="6" t="inlineStr"/>
      <c r="J3464" s="6" t="inlineStr"/>
      <c r="K3464" s="16" t="n">
        <v>12</v>
      </c>
      <c r="L3464" s="2" t="inlineStr">
        <is>
          <t>20260609800736</t>
        </is>
      </c>
      <c r="M3464" s="8">
        <f>HYPERLINK("https://dart.fss.or.kr/dsaf001/main.do?rcpNo=20260609800736", "공시열람")</f>
        <v/>
      </c>
    </row>
    <row r="3465" ht="22" customHeight="1">
      <c r="A3465" s="2" t="inlineStr">
        <is>
          <t>2026-06-09 (정정: 2026-06-17)</t>
        </is>
      </c>
      <c r="B3465" s="3" t="inlineStr">
        <is>
          <t>다보링크</t>
        </is>
      </c>
      <c r="C3465" s="2" t="inlineStr">
        <is>
          <t>340360</t>
        </is>
      </c>
      <c r="D3465" s="2" t="inlineStr">
        <is>
          <t>대량보유</t>
        </is>
      </c>
      <c r="E3465" s="3" t="inlineStr">
        <is>
          <t>-</t>
        </is>
      </c>
      <c r="F3465" s="3" t="inlineStr">
        <is>
          <t>보고자</t>
        </is>
      </c>
      <c r="G3465" s="3" t="inlineStr">
        <is>
          <t>-</t>
        </is>
      </c>
      <c r="H3465" s="6" t="inlineStr"/>
      <c r="I3465" s="6" t="inlineStr"/>
      <c r="J3465" s="6" t="inlineStr"/>
      <c r="K3465" s="18" t="inlineStr"/>
      <c r="L3465" s="2" t="inlineStr">
        <is>
          <t>20260617900638</t>
        </is>
      </c>
      <c r="M3465" s="8">
        <f>HYPERLINK("https://dart.fss.or.kr/dsaf001/main.do?rcpNo=20260617900638", "공시열람")</f>
        <v/>
      </c>
    </row>
    <row r="3466" ht="22" customHeight="1">
      <c r="A3466" s="2" t="inlineStr">
        <is>
          <t>2026-06-09</t>
        </is>
      </c>
      <c r="B3466" s="3" t="inlineStr">
        <is>
          <t>두산로보틱스</t>
        </is>
      </c>
      <c r="C3466" s="2" t="inlineStr">
        <is>
          <t>454910</t>
        </is>
      </c>
      <c r="D3466" s="2" t="inlineStr">
        <is>
          <t>대량보유</t>
        </is>
      </c>
      <c r="E3466" s="3" t="inlineStr">
        <is>
          <t>(주)두산</t>
        </is>
      </c>
      <c r="F3466" s="3" t="inlineStr">
        <is>
          <t>보고자</t>
        </is>
      </c>
      <c r="G3466" s="3" t="inlineStr">
        <is>
          <t>계약 내용의 변경</t>
        </is>
      </c>
      <c r="H3466" s="6" t="inlineStr"/>
      <c r="I3466" s="6" t="inlineStr"/>
      <c r="J3466" s="6" t="n">
        <v>32394277</v>
      </c>
      <c r="K3466" s="16" t="n">
        <v>2</v>
      </c>
      <c r="L3466" s="2" t="inlineStr">
        <is>
          <t>20260609000456</t>
        </is>
      </c>
      <c r="M3466" s="8">
        <f>HYPERLINK("https://dart.fss.or.kr/dsaf001/main.do?rcpNo=20260609000456", "공시열람")</f>
        <v/>
      </c>
    </row>
    <row r="3467" ht="22" customHeight="1">
      <c r="A3467" s="2" t="inlineStr">
        <is>
          <t>2026-06-09</t>
        </is>
      </c>
      <c r="B3467" s="3" t="inlineStr">
        <is>
          <t>빛과전자</t>
        </is>
      </c>
      <c r="C3467" s="2" t="inlineStr">
        <is>
          <t>069540</t>
        </is>
      </c>
      <c r="D3467" s="2" t="inlineStr">
        <is>
          <t>대량보유</t>
        </is>
      </c>
      <c r="E3467" s="3" t="inlineStr">
        <is>
          <t>(주)바로저축은행</t>
        </is>
      </c>
      <c r="F3467" s="3" t="inlineStr">
        <is>
          <t>특별관계자</t>
        </is>
      </c>
      <c r="G3467" s="3" t="inlineStr">
        <is>
          <t>전환등(-), 전환사채의권리행사(+), 행사가액조정, CB인수(+), 장내매도(-)</t>
        </is>
      </c>
      <c r="H3467" s="17" t="n">
        <v>-1970780</v>
      </c>
      <c r="I3467" s="6" t="n">
        <v>1352</v>
      </c>
      <c r="J3467" s="6" t="inlineStr"/>
      <c r="K3467" s="16" t="n">
        <v>2</v>
      </c>
      <c r="L3467" s="2" t="inlineStr">
        <is>
          <t>20260609000435</t>
        </is>
      </c>
      <c r="M3467" s="8">
        <f>HYPERLINK("https://dart.fss.or.kr/dsaf001/main.do?rcpNo=20260609000435", "공시열람")</f>
        <v/>
      </c>
    </row>
    <row r="3468" ht="22" customHeight="1">
      <c r="A3468" s="2" t="inlineStr">
        <is>
          <t>2026-06-09</t>
        </is>
      </c>
      <c r="B3468" s="3" t="inlineStr">
        <is>
          <t>빛과전자</t>
        </is>
      </c>
      <c r="C3468" s="2" t="inlineStr">
        <is>
          <t>069540</t>
        </is>
      </c>
      <c r="D3468" s="2" t="inlineStr">
        <is>
          <t>대량보유</t>
        </is>
      </c>
      <c r="E3468" s="3" t="inlineStr">
        <is>
          <t>바로에프앤대부(주)</t>
        </is>
      </c>
      <c r="F3468" s="3" t="inlineStr">
        <is>
          <t>특별관계자</t>
        </is>
      </c>
      <c r="G3468" s="3" t="inlineStr">
        <is>
          <t>행사가액조정</t>
        </is>
      </c>
      <c r="H3468" s="15" t="n">
        <v>2713</v>
      </c>
      <c r="I3468" s="6" t="n">
        <v>743</v>
      </c>
      <c r="J3468" s="6" t="n">
        <v>2018842</v>
      </c>
      <c r="K3468" s="16" t="n">
        <v>2</v>
      </c>
      <c r="L3468" s="2" t="inlineStr">
        <is>
          <t>20260609000435</t>
        </is>
      </c>
      <c r="M3468" s="8">
        <f>HYPERLINK("https://dart.fss.or.kr/dsaf001/main.do?rcpNo=20260609000435", "공시열람")</f>
        <v/>
      </c>
    </row>
    <row r="3469" ht="22" customHeight="1">
      <c r="A3469" s="2" t="inlineStr">
        <is>
          <t>2026-06-09</t>
        </is>
      </c>
      <c r="B3469" s="3" t="inlineStr">
        <is>
          <t>두산에너빌리티</t>
        </is>
      </c>
      <c r="C3469" s="2" t="inlineStr">
        <is>
          <t>034020</t>
        </is>
      </c>
      <c r="D3469" s="2" t="inlineStr">
        <is>
          <t>대량보유</t>
        </is>
      </c>
      <c r="E3469" s="3" t="inlineStr">
        <is>
          <t>(주)두산</t>
        </is>
      </c>
      <c r="F3469" s="3" t="inlineStr">
        <is>
          <t>보고자</t>
        </is>
      </c>
      <c r="G3469" s="3" t="inlineStr">
        <is>
          <t>계약 내용의 변경</t>
        </is>
      </c>
      <c r="H3469" s="6" t="inlineStr"/>
      <c r="I3469" s="6" t="inlineStr"/>
      <c r="J3469" s="6" t="n">
        <v>196506795</v>
      </c>
      <c r="K3469" s="16" t="n">
        <v>27</v>
      </c>
      <c r="L3469" s="2" t="inlineStr">
        <is>
          <t>20260609000428</t>
        </is>
      </c>
      <c r="M3469" s="8">
        <f>HYPERLINK("https://dart.fss.or.kr/dsaf001/main.do?rcpNo=20260609000428", "공시열람")</f>
        <v/>
      </c>
    </row>
    <row r="3470" ht="22" customHeight="1">
      <c r="A3470" s="2" t="inlineStr">
        <is>
          <t>2026-06-09</t>
        </is>
      </c>
      <c r="B3470" s="3" t="inlineStr">
        <is>
          <t>엔피씨</t>
        </is>
      </c>
      <c r="C3470" s="2" t="inlineStr">
        <is>
          <t>004250</t>
        </is>
      </c>
      <c r="D3470" s="2" t="inlineStr">
        <is>
          <t>임원보고</t>
        </is>
      </c>
      <c r="E3470" s="3" t="inlineStr">
        <is>
          <t>-</t>
        </is>
      </c>
      <c r="F3470" s="3" t="inlineStr">
        <is>
          <t>-</t>
        </is>
      </c>
      <c r="G3470" s="3" t="inlineStr">
        <is>
          <t>-</t>
        </is>
      </c>
      <c r="H3470" s="6" t="inlineStr"/>
      <c r="I3470" s="6" t="inlineStr"/>
      <c r="J3470" s="6" t="inlineStr"/>
      <c r="K3470" s="16" t="n">
        <v>12</v>
      </c>
      <c r="L3470" s="2" t="inlineStr">
        <is>
          <t>20260609800654</t>
        </is>
      </c>
      <c r="M3470" s="8">
        <f>HYPERLINK("https://dart.fss.or.kr/dsaf001/main.do?rcpNo=20260609800654", "공시열람")</f>
        <v/>
      </c>
    </row>
    <row r="3471" ht="22" customHeight="1">
      <c r="A3471" s="2" t="inlineStr">
        <is>
          <t>2026-06-09</t>
        </is>
      </c>
      <c r="B3471" s="3" t="inlineStr">
        <is>
          <t>AJ네트웍스</t>
        </is>
      </c>
      <c r="C3471" s="2" t="inlineStr">
        <is>
          <t>095570</t>
        </is>
      </c>
      <c r="D3471" s="2" t="inlineStr">
        <is>
          <t>대량보유</t>
        </is>
      </c>
      <c r="E3471" s="3" t="inlineStr">
        <is>
          <t>문덕영</t>
        </is>
      </c>
      <c r="F3471" s="3" t="inlineStr">
        <is>
          <t>보고자</t>
        </is>
      </c>
      <c r="G3471" s="3" t="inlineStr">
        <is>
          <t>- 보고자 보유주식 등에 관한 주요계약 변경</t>
        </is>
      </c>
      <c r="H3471" s="6" t="inlineStr"/>
      <c r="I3471" s="6" t="inlineStr"/>
      <c r="J3471" s="6" t="n">
        <v>25293893</v>
      </c>
      <c r="K3471" s="16" t="n">
        <v>7</v>
      </c>
      <c r="L3471" s="2" t="inlineStr">
        <is>
          <t>20260609000400</t>
        </is>
      </c>
      <c r="M3471" s="8">
        <f>HYPERLINK("https://dart.fss.or.kr/dsaf001/main.do?rcpNo=20260609000400", "공시열람")</f>
        <v/>
      </c>
    </row>
    <row r="3472" ht="22" customHeight="1">
      <c r="A3472" s="2" t="inlineStr">
        <is>
          <t>2026-06-09</t>
        </is>
      </c>
      <c r="B3472" s="3" t="inlineStr">
        <is>
          <t>태림포장</t>
        </is>
      </c>
      <c r="C3472" s="2" t="inlineStr">
        <is>
          <t>011280</t>
        </is>
      </c>
      <c r="D3472" s="2" t="inlineStr">
        <is>
          <t>임원보고</t>
        </is>
      </c>
      <c r="E3472" s="3" t="inlineStr">
        <is>
          <t>-</t>
        </is>
      </c>
      <c r="F3472" s="3" t="inlineStr">
        <is>
          <t>-</t>
        </is>
      </c>
      <c r="G3472" s="3" t="inlineStr">
        <is>
          <t>-</t>
        </is>
      </c>
      <c r="H3472" s="6" t="inlineStr"/>
      <c r="I3472" s="6" t="inlineStr"/>
      <c r="J3472" s="6" t="inlineStr"/>
      <c r="K3472" s="16" t="n">
        <v>12</v>
      </c>
      <c r="L3472" s="2" t="inlineStr">
        <is>
          <t>20260609800621</t>
        </is>
      </c>
      <c r="M3472" s="8">
        <f>HYPERLINK("https://dart.fss.or.kr/dsaf001/main.do?rcpNo=20260609800621", "공시열람")</f>
        <v/>
      </c>
    </row>
    <row r="3473" ht="22" customHeight="1">
      <c r="A3473" s="2" t="inlineStr">
        <is>
          <t>2026-06-09</t>
        </is>
      </c>
      <c r="B3473" s="3" t="inlineStr">
        <is>
          <t>한스바이오메드</t>
        </is>
      </c>
      <c r="C3473" s="2" t="inlineStr">
        <is>
          <t>042520</t>
        </is>
      </c>
      <c r="D3473" s="2" t="inlineStr">
        <is>
          <t>대량보유</t>
        </is>
      </c>
      <c r="E3473" s="3" t="inlineStr">
        <is>
          <t>㈜네오솔루션즈</t>
        </is>
      </c>
      <c r="F3473" s="3" t="inlineStr">
        <is>
          <t>특별관계자</t>
        </is>
      </c>
      <c r="G3473" s="3" t="inlineStr">
        <is>
          <t>장내매도(-)</t>
        </is>
      </c>
      <c r="H3473" s="17" t="n">
        <v>-257420</v>
      </c>
      <c r="I3473" s="6" t="n">
        <v>27345</v>
      </c>
      <c r="J3473" s="6" t="inlineStr"/>
      <c r="K3473" s="16" t="n">
        <v>3</v>
      </c>
      <c r="L3473" s="2" t="inlineStr">
        <is>
          <t>20260609000396</t>
        </is>
      </c>
      <c r="M3473" s="8">
        <f>HYPERLINK("https://dart.fss.or.kr/dsaf001/main.do?rcpNo=20260609000396", "공시열람")</f>
        <v/>
      </c>
    </row>
    <row r="3474" ht="22" customHeight="1">
      <c r="A3474" s="2" t="inlineStr">
        <is>
          <t>2026-06-09</t>
        </is>
      </c>
      <c r="B3474" s="3" t="inlineStr">
        <is>
          <t>한스바이오메드</t>
        </is>
      </c>
      <c r="C3474" s="2" t="inlineStr">
        <is>
          <t>042520</t>
        </is>
      </c>
      <c r="D3474" s="2" t="inlineStr">
        <is>
          <t>대량보유</t>
        </is>
      </c>
      <c r="E3474" s="3" t="inlineStr">
        <is>
          <t>최규옥</t>
        </is>
      </c>
      <c r="F3474" s="3" t="inlineStr">
        <is>
          <t>특별관계자</t>
        </is>
      </c>
      <c r="G3474" s="3" t="inlineStr">
        <is>
          <t>장내매도(-)</t>
        </is>
      </c>
      <c r="H3474" s="17" t="n">
        <v>-42983</v>
      </c>
      <c r="I3474" s="6" t="n">
        <v>32214</v>
      </c>
      <c r="J3474" s="6" t="n">
        <v>95912</v>
      </c>
      <c r="K3474" s="16" t="n">
        <v>3</v>
      </c>
      <c r="L3474" s="2" t="inlineStr">
        <is>
          <t>20260609000396</t>
        </is>
      </c>
      <c r="M3474" s="8">
        <f>HYPERLINK("https://dart.fss.or.kr/dsaf001/main.do?rcpNo=20260609000396", "공시열람")</f>
        <v/>
      </c>
    </row>
    <row r="3475" ht="22" customHeight="1">
      <c r="A3475" s="2" t="inlineStr">
        <is>
          <t>2026-06-09</t>
        </is>
      </c>
      <c r="B3475" s="3" t="inlineStr">
        <is>
          <t>한스바이오메드</t>
        </is>
      </c>
      <c r="C3475" s="2" t="inlineStr">
        <is>
          <t>042520</t>
        </is>
      </c>
      <c r="D3475" s="2" t="inlineStr">
        <is>
          <t>대량보유</t>
        </is>
      </c>
      <c r="E3475" s="3" t="inlineStr">
        <is>
          <t>㈜네오영</t>
        </is>
      </c>
      <c r="F3475" s="3" t="inlineStr">
        <is>
          <t>특별관계자</t>
        </is>
      </c>
      <c r="G3475" s="3" t="inlineStr">
        <is>
          <t>장내매도(-)</t>
        </is>
      </c>
      <c r="H3475" s="17" t="n">
        <v>-180977</v>
      </c>
      <c r="I3475" s="6" t="n">
        <v>29537</v>
      </c>
      <c r="J3475" s="6" t="n">
        <v>700000</v>
      </c>
      <c r="K3475" s="16" t="n">
        <v>3</v>
      </c>
      <c r="L3475" s="2" t="inlineStr">
        <is>
          <t>20260609000396</t>
        </is>
      </c>
      <c r="M3475" s="8">
        <f>HYPERLINK("https://dart.fss.or.kr/dsaf001/main.do?rcpNo=20260609000396", "공시열람")</f>
        <v/>
      </c>
    </row>
    <row r="3476" ht="22" customHeight="1">
      <c r="A3476" s="2" t="inlineStr">
        <is>
          <t>2026-06-09</t>
        </is>
      </c>
      <c r="B3476" s="3" t="inlineStr">
        <is>
          <t>FSN</t>
        </is>
      </c>
      <c r="C3476" s="2" t="inlineStr">
        <is>
          <t>214270</t>
        </is>
      </c>
      <c r="D3476" s="2" t="inlineStr">
        <is>
          <t>대량보유</t>
        </is>
      </c>
      <c r="E3476" s="3" t="inlineStr">
        <is>
          <t>서정교</t>
        </is>
      </c>
      <c r="F3476" s="3" t="inlineStr">
        <is>
          <t>특별관계자</t>
        </is>
      </c>
      <c r="G3476" s="3" t="inlineStr">
        <is>
          <t>장내매수(+)</t>
        </is>
      </c>
      <c r="H3476" s="15" t="n">
        <v>18440</v>
      </c>
      <c r="I3476" s="6" t="n">
        <v>1291</v>
      </c>
      <c r="J3476" s="6" t="n">
        <v>2025362</v>
      </c>
      <c r="K3476" s="16" t="n">
        <v>16</v>
      </c>
      <c r="L3476" s="2" t="inlineStr">
        <is>
          <t>20260609000395</t>
        </is>
      </c>
      <c r="M3476" s="8">
        <f>HYPERLINK("https://dart.fss.or.kr/dsaf001/main.do?rcpNo=20260609000395", "공시열람")</f>
        <v/>
      </c>
    </row>
    <row r="3477" ht="22" customHeight="1">
      <c r="A3477" s="2" t="inlineStr">
        <is>
          <t>2026-06-09</t>
        </is>
      </c>
      <c r="B3477" s="3" t="inlineStr">
        <is>
          <t>FSN</t>
        </is>
      </c>
      <c r="C3477" s="2" t="inlineStr">
        <is>
          <t>214270</t>
        </is>
      </c>
      <c r="D3477" s="2" t="inlineStr">
        <is>
          <t>대량보유</t>
        </is>
      </c>
      <c r="E3477" s="3" t="inlineStr">
        <is>
          <t>김경호</t>
        </is>
      </c>
      <c r="F3477" s="3" t="inlineStr">
        <is>
          <t>특별관계자</t>
        </is>
      </c>
      <c r="G3477" s="3" t="inlineStr">
        <is>
          <t>장내매수(+)</t>
        </is>
      </c>
      <c r="H3477" s="15" t="n">
        <v>16000</v>
      </c>
      <c r="I3477" s="6" t="n">
        <v>1308</v>
      </c>
      <c r="J3477" s="6" t="n">
        <v>16000</v>
      </c>
      <c r="K3477" s="16" t="n">
        <v>16</v>
      </c>
      <c r="L3477" s="2" t="inlineStr">
        <is>
          <t>20260609000395</t>
        </is>
      </c>
      <c r="M3477" s="8">
        <f>HYPERLINK("https://dart.fss.or.kr/dsaf001/main.do?rcpNo=20260609000395", "공시열람")</f>
        <v/>
      </c>
    </row>
    <row r="3478" ht="22" customHeight="1">
      <c r="A3478" s="2" t="inlineStr">
        <is>
          <t>2026-06-09</t>
        </is>
      </c>
      <c r="B3478" s="3" t="inlineStr">
        <is>
          <t>FSN</t>
        </is>
      </c>
      <c r="C3478" s="2" t="inlineStr">
        <is>
          <t>214270</t>
        </is>
      </c>
      <c r="D3478" s="2" t="inlineStr">
        <is>
          <t>대량보유</t>
        </is>
      </c>
      <c r="E3478" s="3" t="inlineStr">
        <is>
          <t>김제성</t>
        </is>
      </c>
      <c r="F3478" s="3" t="inlineStr">
        <is>
          <t>특별관계자</t>
        </is>
      </c>
      <c r="G3478" s="3" t="inlineStr">
        <is>
          <t>장내매수(+)</t>
        </is>
      </c>
      <c r="H3478" s="15" t="n">
        <v>17029</v>
      </c>
      <c r="I3478" s="6" t="n">
        <v>1284</v>
      </c>
      <c r="J3478" s="6" t="n">
        <v>17029</v>
      </c>
      <c r="K3478" s="16" t="n">
        <v>16</v>
      </c>
      <c r="L3478" s="2" t="inlineStr">
        <is>
          <t>20260609000395</t>
        </is>
      </c>
      <c r="M3478" s="8">
        <f>HYPERLINK("https://dart.fss.or.kr/dsaf001/main.do?rcpNo=20260609000395", "공시열람")</f>
        <v/>
      </c>
    </row>
    <row r="3479" ht="22" customHeight="1">
      <c r="A3479" s="2" t="inlineStr">
        <is>
          <t>2026-06-09</t>
        </is>
      </c>
      <c r="B3479" s="3" t="inlineStr">
        <is>
          <t>FSN</t>
        </is>
      </c>
      <c r="C3479" s="2" t="inlineStr">
        <is>
          <t>214270</t>
        </is>
      </c>
      <c r="D3479" s="2" t="inlineStr">
        <is>
          <t>대량보유</t>
        </is>
      </c>
      <c r="E3479" s="3" t="inlineStr">
        <is>
          <t>이종은</t>
        </is>
      </c>
      <c r="F3479" s="3" t="inlineStr">
        <is>
          <t>특별관계자</t>
        </is>
      </c>
      <c r="G3479" s="3" t="inlineStr">
        <is>
          <t>장내매수(+)</t>
        </is>
      </c>
      <c r="H3479" s="15" t="n">
        <v>20639</v>
      </c>
      <c r="I3479" s="6" t="n">
        <v>1321</v>
      </c>
      <c r="J3479" s="6" t="n">
        <v>40779</v>
      </c>
      <c r="K3479" s="16" t="n">
        <v>16</v>
      </c>
      <c r="L3479" s="2" t="inlineStr">
        <is>
          <t>20260609000395</t>
        </is>
      </c>
      <c r="M3479" s="8">
        <f>HYPERLINK("https://dart.fss.or.kr/dsaf001/main.do?rcpNo=20260609000395", "공시열람")</f>
        <v/>
      </c>
    </row>
    <row r="3480" ht="22" customHeight="1">
      <c r="A3480" s="2" t="inlineStr">
        <is>
          <t>2026-06-09</t>
        </is>
      </c>
      <c r="B3480" s="3" t="inlineStr">
        <is>
          <t>삼일</t>
        </is>
      </c>
      <c r="C3480" s="2" t="inlineStr">
        <is>
          <t>032280</t>
        </is>
      </c>
      <c r="D3480" s="2" t="inlineStr">
        <is>
          <t>대량보유</t>
        </is>
      </c>
      <c r="E3480" s="3" t="inlineStr">
        <is>
          <t>스톨베르그&amp;삼일(주)</t>
        </is>
      </c>
      <c r="F3480" s="3" t="inlineStr">
        <is>
          <t>특별관계자</t>
        </is>
      </c>
      <c r="G3480" s="3" t="inlineStr">
        <is>
          <t>장내매수(+), 장내매도(-)</t>
        </is>
      </c>
      <c r="H3480" s="15" t="n">
        <v>48543</v>
      </c>
      <c r="I3480" s="6" t="n">
        <v>1373</v>
      </c>
      <c r="J3480" s="6" t="n">
        <v>655541</v>
      </c>
      <c r="K3480" s="16" t="n">
        <v>11</v>
      </c>
      <c r="L3480" s="2" t="inlineStr">
        <is>
          <t>20260609000394</t>
        </is>
      </c>
      <c r="M3480" s="8">
        <f>HYPERLINK("https://dart.fss.or.kr/dsaf001/main.do?rcpNo=20260609000394", "공시열람")</f>
        <v/>
      </c>
    </row>
    <row r="3481" ht="22" customHeight="1">
      <c r="A3481" s="2" t="inlineStr">
        <is>
          <t>2026-06-09</t>
        </is>
      </c>
      <c r="B3481" s="3" t="inlineStr">
        <is>
          <t>삼일</t>
        </is>
      </c>
      <c r="C3481" s="2" t="inlineStr">
        <is>
          <t>032280</t>
        </is>
      </c>
      <c r="D3481" s="2" t="inlineStr">
        <is>
          <t>대량보유</t>
        </is>
      </c>
      <c r="E3481" s="3" t="inlineStr">
        <is>
          <t>(주)호전</t>
        </is>
      </c>
      <c r="F3481" s="3" t="inlineStr">
        <is>
          <t>특별관계자</t>
        </is>
      </c>
      <c r="G3481" s="3" t="inlineStr">
        <is>
          <t>장내매수(+)</t>
        </is>
      </c>
      <c r="H3481" s="15" t="n">
        <v>130927</v>
      </c>
      <c r="I3481" s="6" t="n">
        <v>1302</v>
      </c>
      <c r="J3481" s="6" t="n">
        <v>792920</v>
      </c>
      <c r="K3481" s="16" t="n">
        <v>11</v>
      </c>
      <c r="L3481" s="2" t="inlineStr">
        <is>
          <t>20260609000394</t>
        </is>
      </c>
      <c r="M3481" s="8">
        <f>HYPERLINK("https://dart.fss.or.kr/dsaf001/main.do?rcpNo=20260609000394", "공시열람")</f>
        <v/>
      </c>
    </row>
    <row r="3482" ht="22" customHeight="1">
      <c r="A3482" s="2" t="inlineStr">
        <is>
          <t>2026-06-09</t>
        </is>
      </c>
      <c r="B3482" s="3" t="inlineStr">
        <is>
          <t>삼일</t>
        </is>
      </c>
      <c r="C3482" s="2" t="inlineStr">
        <is>
          <t>032280</t>
        </is>
      </c>
      <c r="D3482" s="2" t="inlineStr">
        <is>
          <t>대량보유</t>
        </is>
      </c>
      <c r="E3482" s="3" t="inlineStr">
        <is>
          <t>(주)경북매일신문</t>
        </is>
      </c>
      <c r="F3482" s="3" t="inlineStr">
        <is>
          <t>특별관계자</t>
        </is>
      </c>
      <c r="G3482" s="3" t="inlineStr">
        <is>
          <t>장내매수(+)</t>
        </is>
      </c>
      <c r="H3482" s="15" t="n">
        <v>50000</v>
      </c>
      <c r="I3482" s="6" t="n">
        <v>1212</v>
      </c>
      <c r="J3482" s="6" t="n">
        <v>100000</v>
      </c>
      <c r="K3482" s="16" t="n">
        <v>11</v>
      </c>
      <c r="L3482" s="2" t="inlineStr">
        <is>
          <t>20260609000394</t>
        </is>
      </c>
      <c r="M3482" s="8">
        <f>HYPERLINK("https://dart.fss.or.kr/dsaf001/main.do?rcpNo=20260609000394", "공시열람")</f>
        <v/>
      </c>
    </row>
    <row r="3483" ht="22" customHeight="1">
      <c r="A3483" s="2" t="inlineStr">
        <is>
          <t>2026-06-09 (정정: 2026-06-22)</t>
        </is>
      </c>
      <c r="B3483" s="3" t="inlineStr">
        <is>
          <t>덕산네오룩스</t>
        </is>
      </c>
      <c r="C3483" s="2" t="inlineStr">
        <is>
          <t>213420</t>
        </is>
      </c>
      <c r="D3483" s="2" t="inlineStr">
        <is>
          <t>대량보유</t>
        </is>
      </c>
      <c r="E3483" s="3" t="inlineStr">
        <is>
          <t>-</t>
        </is>
      </c>
      <c r="F3483" s="3" t="inlineStr">
        <is>
          <t>보고자</t>
        </is>
      </c>
      <c r="G3483" s="3" t="inlineStr">
        <is>
          <t>-</t>
        </is>
      </c>
      <c r="H3483" s="6" t="inlineStr"/>
      <c r="I3483" s="6" t="inlineStr"/>
      <c r="J3483" s="6" t="inlineStr"/>
      <c r="K3483" s="18" t="inlineStr"/>
      <c r="L3483" s="2" t="inlineStr">
        <is>
          <t>20260622900516</t>
        </is>
      </c>
      <c r="M3483" s="8">
        <f>HYPERLINK("https://dart.fss.or.kr/dsaf001/main.do?rcpNo=20260622900516", "공시열람")</f>
        <v/>
      </c>
    </row>
    <row r="3484" ht="22" customHeight="1">
      <c r="A3484" s="2" t="inlineStr">
        <is>
          <t>2026-06-09</t>
        </is>
      </c>
      <c r="B3484" s="3" t="inlineStr">
        <is>
          <t>알체라</t>
        </is>
      </c>
      <c r="C3484" s="2" t="inlineStr">
        <is>
          <t>347860</t>
        </is>
      </c>
      <c r="D3484" s="2" t="inlineStr">
        <is>
          <t>대량보유</t>
        </is>
      </c>
      <c r="E3484" s="3" t="inlineStr">
        <is>
          <t>김용호</t>
        </is>
      </c>
      <c r="F3484" s="3" t="inlineStr">
        <is>
          <t>특별관계자</t>
        </is>
      </c>
      <c r="G3484" s="3" t="inlineStr">
        <is>
          <t>장내매수(+)</t>
        </is>
      </c>
      <c r="H3484" s="15" t="n">
        <v>24810</v>
      </c>
      <c r="I3484" s="6" t="n">
        <v>1697</v>
      </c>
      <c r="J3484" s="6" t="n">
        <v>145379</v>
      </c>
      <c r="K3484" s="16" t="n">
        <v>7</v>
      </c>
      <c r="L3484" s="2" t="inlineStr">
        <is>
          <t>20260609000387</t>
        </is>
      </c>
      <c r="M3484" s="8">
        <f>HYPERLINK("https://dart.fss.or.kr/dsaf001/main.do?rcpNo=20260609000387", "공시열람")</f>
        <v/>
      </c>
    </row>
    <row r="3485" ht="22" customHeight="1">
      <c r="A3485" s="2" t="inlineStr">
        <is>
          <t>2026-06-09</t>
        </is>
      </c>
      <c r="B3485" s="3" t="inlineStr">
        <is>
          <t>오름테라퓨틱</t>
        </is>
      </c>
      <c r="C3485" s="2" t="inlineStr">
        <is>
          <t>475830</t>
        </is>
      </c>
      <c r="D3485" s="2" t="inlineStr">
        <is>
          <t>대량보유</t>
        </is>
      </c>
      <c r="E3485" s="3" t="inlineStr">
        <is>
          <t>피터운남박</t>
        </is>
      </c>
      <c r="F3485" s="3" t="inlineStr">
        <is>
          <t>특별관계자</t>
        </is>
      </c>
      <c r="G3485" s="3" t="inlineStr">
        <is>
          <t>주식매수선택권행사(-), 주식매수선택권행사(+)</t>
        </is>
      </c>
      <c r="H3485" s="6" t="inlineStr"/>
      <c r="I3485" s="6" t="n">
        <v>5250</v>
      </c>
      <c r="J3485" s="6" t="n">
        <v>121000</v>
      </c>
      <c r="K3485" s="16" t="n">
        <v>9</v>
      </c>
      <c r="L3485" s="2" t="inlineStr">
        <is>
          <t>20260609000382</t>
        </is>
      </c>
      <c r="M3485" s="8">
        <f>HYPERLINK("https://dart.fss.or.kr/dsaf001/main.do?rcpNo=20260609000382", "공시열람")</f>
        <v/>
      </c>
    </row>
    <row r="3486" ht="22" customHeight="1">
      <c r="A3486" s="2" t="inlineStr">
        <is>
          <t>2026-06-09</t>
        </is>
      </c>
      <c r="B3486" s="3" t="inlineStr">
        <is>
          <t>오름테라퓨틱</t>
        </is>
      </c>
      <c r="C3486" s="2" t="inlineStr">
        <is>
          <t>475830</t>
        </is>
      </c>
      <c r="D3486" s="2" t="inlineStr">
        <is>
          <t>대량보유</t>
        </is>
      </c>
      <c r="E3486" s="3" t="inlineStr">
        <is>
          <t>김병우</t>
        </is>
      </c>
      <c r="F3486" s="3" t="inlineStr">
        <is>
          <t>특별관계자</t>
        </is>
      </c>
      <c r="G3486" s="3" t="inlineStr">
        <is>
          <t>주식매수선택권행사(-), 주식매수선택권행사(+)</t>
        </is>
      </c>
      <c r="H3486" s="6" t="inlineStr"/>
      <c r="I3486" s="6" t="n">
        <v>8750</v>
      </c>
      <c r="J3486" s="6" t="n">
        <v>3300</v>
      </c>
      <c r="K3486" s="16" t="n">
        <v>9</v>
      </c>
      <c r="L3486" s="2" t="inlineStr">
        <is>
          <t>20260609000382</t>
        </is>
      </c>
      <c r="M3486" s="8">
        <f>HYPERLINK("https://dart.fss.or.kr/dsaf001/main.do?rcpNo=20260609000382", "공시열람")</f>
        <v/>
      </c>
    </row>
    <row r="3487" ht="22" customHeight="1">
      <c r="A3487" s="2" t="inlineStr">
        <is>
          <t>2026-06-09</t>
        </is>
      </c>
      <c r="B3487" s="3" t="inlineStr">
        <is>
          <t>오름테라퓨틱</t>
        </is>
      </c>
      <c r="C3487" s="2" t="inlineStr">
        <is>
          <t>475830</t>
        </is>
      </c>
      <c r="D3487" s="2" t="inlineStr">
        <is>
          <t>대량보유</t>
        </is>
      </c>
      <c r="E3487" s="3" t="inlineStr">
        <is>
          <t>이승환</t>
        </is>
      </c>
      <c r="F3487" s="3" t="inlineStr">
        <is>
          <t>특별관계자</t>
        </is>
      </c>
      <c r="G3487" s="3" t="inlineStr">
        <is>
          <t>장내매수(+)</t>
        </is>
      </c>
      <c r="H3487" s="15" t="n">
        <v>100</v>
      </c>
      <c r="I3487" s="6" t="n">
        <v>100000</v>
      </c>
      <c r="J3487" s="6" t="n">
        <v>25144</v>
      </c>
      <c r="K3487" s="16" t="n">
        <v>9</v>
      </c>
      <c r="L3487" s="2" t="inlineStr">
        <is>
          <t>20260609000382</t>
        </is>
      </c>
      <c r="M3487" s="8">
        <f>HYPERLINK("https://dart.fss.or.kr/dsaf001/main.do?rcpNo=20260609000382", "공시열람")</f>
        <v/>
      </c>
    </row>
    <row r="3488" ht="22" customHeight="1">
      <c r="A3488" s="2" t="inlineStr">
        <is>
          <t>2026-06-09</t>
        </is>
      </c>
      <c r="B3488" s="3" t="inlineStr">
        <is>
          <t>오름테라퓨틱</t>
        </is>
      </c>
      <c r="C3488" s="2" t="inlineStr">
        <is>
          <t>475830</t>
        </is>
      </c>
      <c r="D3488" s="2" t="inlineStr">
        <is>
          <t>대량보유</t>
        </is>
      </c>
      <c r="E3488" s="3" t="inlineStr">
        <is>
          <t>이현정</t>
        </is>
      </c>
      <c r="F3488" s="3" t="inlineStr">
        <is>
          <t>특별관계자</t>
        </is>
      </c>
      <c r="G3488" s="3" t="inlineStr">
        <is>
          <t>장내매수(+)</t>
        </is>
      </c>
      <c r="H3488" s="15" t="n">
        <v>100</v>
      </c>
      <c r="I3488" s="6" t="n">
        <v>76200</v>
      </c>
      <c r="J3488" s="6" t="n">
        <v>9220</v>
      </c>
      <c r="K3488" s="16" t="n">
        <v>9</v>
      </c>
      <c r="L3488" s="2" t="inlineStr">
        <is>
          <t>20260609000382</t>
        </is>
      </c>
      <c r="M3488" s="8">
        <f>HYPERLINK("https://dart.fss.or.kr/dsaf001/main.do?rcpNo=20260609000382", "공시열람")</f>
        <v/>
      </c>
    </row>
    <row r="3489" ht="22" customHeight="1">
      <c r="A3489" s="2" t="inlineStr">
        <is>
          <t>2026-06-09</t>
        </is>
      </c>
      <c r="B3489" s="3" t="inlineStr">
        <is>
          <t>오름테라퓨틱</t>
        </is>
      </c>
      <c r="C3489" s="2" t="inlineStr">
        <is>
          <t>475830</t>
        </is>
      </c>
      <c r="D3489" s="2" t="inlineStr">
        <is>
          <t>대량보유</t>
        </is>
      </c>
      <c r="E3489" s="3" t="inlineStr">
        <is>
          <t>정재성</t>
        </is>
      </c>
      <c r="F3489" s="3" t="inlineStr">
        <is>
          <t>특별관계자</t>
        </is>
      </c>
      <c r="G3489" s="3" t="inlineStr">
        <is>
          <t>장내매수(+)</t>
        </is>
      </c>
      <c r="H3489" s="15" t="n">
        <v>450</v>
      </c>
      <c r="I3489" s="6" t="n">
        <v>90969</v>
      </c>
      <c r="J3489" s="6" t="n">
        <v>2913</v>
      </c>
      <c r="K3489" s="16" t="n">
        <v>9</v>
      </c>
      <c r="L3489" s="2" t="inlineStr">
        <is>
          <t>20260609000382</t>
        </is>
      </c>
      <c r="M3489" s="8">
        <f>HYPERLINK("https://dart.fss.or.kr/dsaf001/main.do?rcpNo=20260609000382", "공시열람")</f>
        <v/>
      </c>
    </row>
    <row r="3490" ht="22" customHeight="1">
      <c r="A3490" s="2" t="inlineStr">
        <is>
          <t>2026-06-09</t>
        </is>
      </c>
      <c r="B3490" s="3" t="inlineStr">
        <is>
          <t>일월지엠엘</t>
        </is>
      </c>
      <c r="C3490" s="2" t="inlineStr">
        <is>
          <t>178780</t>
        </is>
      </c>
      <c r="D3490" s="2" t="inlineStr">
        <is>
          <t>대량보유</t>
        </is>
      </c>
      <c r="E3490" s="3" t="inlineStr">
        <is>
          <t>허희선</t>
        </is>
      </c>
      <c r="F3490" s="3" t="inlineStr">
        <is>
          <t>특별관계자</t>
        </is>
      </c>
      <c r="G3490" s="3" t="inlineStr">
        <is>
          <t>장내매수(+)</t>
        </is>
      </c>
      <c r="H3490" s="15" t="n">
        <v>10911</v>
      </c>
      <c r="I3490" s="6" t="n">
        <v>2364</v>
      </c>
      <c r="J3490" s="6" t="n">
        <v>810226</v>
      </c>
      <c r="K3490" s="16" t="n">
        <v>7</v>
      </c>
      <c r="L3490" s="2" t="inlineStr">
        <is>
          <t>20260609000381</t>
        </is>
      </c>
      <c r="M3490" s="8">
        <f>HYPERLINK("https://dart.fss.or.kr/dsaf001/main.do?rcpNo=20260609000381", "공시열람")</f>
        <v/>
      </c>
    </row>
    <row r="3491" ht="22" customHeight="1">
      <c r="A3491" s="2" t="inlineStr">
        <is>
          <t>2026-06-09</t>
        </is>
      </c>
      <c r="B3491" s="3" t="inlineStr">
        <is>
          <t>일월지엠엘</t>
        </is>
      </c>
      <c r="C3491" s="2" t="inlineStr">
        <is>
          <t>178780</t>
        </is>
      </c>
      <c r="D3491" s="2" t="inlineStr">
        <is>
          <t>대량보유</t>
        </is>
      </c>
      <c r="E3491" s="3" t="inlineStr">
        <is>
          <t>이광모</t>
        </is>
      </c>
      <c r="F3491" s="3" t="inlineStr">
        <is>
          <t>특별관계자</t>
        </is>
      </c>
      <c r="G3491" s="3" t="inlineStr">
        <is>
          <t>장내매수(+)</t>
        </is>
      </c>
      <c r="H3491" s="15" t="n">
        <v>13470</v>
      </c>
      <c r="I3491" s="6" t="n">
        <v>2294</v>
      </c>
      <c r="J3491" s="6" t="n">
        <v>1280970</v>
      </c>
      <c r="K3491" s="16" t="n">
        <v>7</v>
      </c>
      <c r="L3491" s="2" t="inlineStr">
        <is>
          <t>20260609000381</t>
        </is>
      </c>
      <c r="M3491" s="8">
        <f>HYPERLINK("https://dart.fss.or.kr/dsaf001/main.do?rcpNo=20260609000381", "공시열람")</f>
        <v/>
      </c>
    </row>
    <row r="3492" ht="22" customHeight="1">
      <c r="A3492" s="2" t="inlineStr">
        <is>
          <t>2026-06-09</t>
        </is>
      </c>
      <c r="B3492" s="3" t="inlineStr">
        <is>
          <t>일월지엠엘</t>
        </is>
      </c>
      <c r="C3492" s="2" t="inlineStr">
        <is>
          <t>178780</t>
        </is>
      </c>
      <c r="D3492" s="2" t="inlineStr">
        <is>
          <t>대량보유</t>
        </is>
      </c>
      <c r="E3492" s="3" t="inlineStr">
        <is>
          <t>이현정</t>
        </is>
      </c>
      <c r="F3492" s="3" t="inlineStr">
        <is>
          <t>특별관계자</t>
        </is>
      </c>
      <c r="G3492" s="3" t="inlineStr">
        <is>
          <t>장내매수(+)</t>
        </is>
      </c>
      <c r="H3492" s="15" t="n">
        <v>3823</v>
      </c>
      <c r="I3492" s="6" t="n">
        <v>2295</v>
      </c>
      <c r="J3492" s="6" t="n">
        <v>1103030</v>
      </c>
      <c r="K3492" s="16" t="n">
        <v>7</v>
      </c>
      <c r="L3492" s="2" t="inlineStr">
        <is>
          <t>20260609000381</t>
        </is>
      </c>
      <c r="M3492" s="8">
        <f>HYPERLINK("https://dart.fss.or.kr/dsaf001/main.do?rcpNo=20260609000381", "공시열람")</f>
        <v/>
      </c>
    </row>
    <row r="3493" ht="22" customHeight="1">
      <c r="A3493" s="2" t="inlineStr">
        <is>
          <t>2026-06-09</t>
        </is>
      </c>
      <c r="B3493" s="3" t="inlineStr">
        <is>
          <t>대림통상</t>
        </is>
      </c>
      <c r="C3493" s="2" t="inlineStr">
        <is>
          <t>006570</t>
        </is>
      </c>
      <c r="D3493" s="2" t="inlineStr">
        <is>
          <t>대량보유</t>
        </is>
      </c>
      <c r="E3493" s="3" t="inlineStr">
        <is>
          <t>디앤디파트너스(주)</t>
        </is>
      </c>
      <c r="F3493" s="3" t="inlineStr">
        <is>
          <t>특별관계자</t>
        </is>
      </c>
      <c r="G3493" s="3" t="inlineStr">
        <is>
          <t>장내매수(+)</t>
        </is>
      </c>
      <c r="H3493" s="15" t="n">
        <v>11500</v>
      </c>
      <c r="I3493" s="6" t="n">
        <v>1880</v>
      </c>
      <c r="J3493" s="6" t="n">
        <v>5969760</v>
      </c>
      <c r="K3493" s="16" t="n">
        <v>4</v>
      </c>
      <c r="L3493" s="2" t="inlineStr">
        <is>
          <t>20260609000380</t>
        </is>
      </c>
      <c r="M3493" s="8">
        <f>HYPERLINK("https://dart.fss.or.kr/dsaf001/main.do?rcpNo=20260609000380", "공시열람")</f>
        <v/>
      </c>
    </row>
    <row r="3494" ht="22" customHeight="1">
      <c r="A3494" s="2" t="inlineStr">
        <is>
          <t>2026-06-09</t>
        </is>
      </c>
      <c r="B3494" s="3" t="inlineStr">
        <is>
          <t>미래에셋생명</t>
        </is>
      </c>
      <c r="C3494" s="2" t="inlineStr">
        <is>
          <t>085620</t>
        </is>
      </c>
      <c r="D3494" s="2" t="inlineStr">
        <is>
          <t>임원보고</t>
        </is>
      </c>
      <c r="E3494" s="3" t="inlineStr">
        <is>
          <t>-</t>
        </is>
      </c>
      <c r="F3494" s="3" t="inlineStr">
        <is>
          <t>-</t>
        </is>
      </c>
      <c r="G3494" s="3" t="inlineStr">
        <is>
          <t>-</t>
        </is>
      </c>
      <c r="H3494" s="6" t="inlineStr"/>
      <c r="I3494" s="6" t="inlineStr"/>
      <c r="J3494" s="6" t="inlineStr"/>
      <c r="K3494" s="16" t="n">
        <v>12</v>
      </c>
      <c r="L3494" s="2" t="inlineStr">
        <is>
          <t>20260609800580</t>
        </is>
      </c>
      <c r="M3494" s="8">
        <f>HYPERLINK("https://dart.fss.or.kr/dsaf001/main.do?rcpNo=20260609800580", "공시열람")</f>
        <v/>
      </c>
    </row>
    <row r="3495" ht="22" customHeight="1">
      <c r="A3495" s="2" t="inlineStr">
        <is>
          <t>2026-06-09</t>
        </is>
      </c>
      <c r="B3495" s="3" t="inlineStr">
        <is>
          <t>한익스프레스</t>
        </is>
      </c>
      <c r="C3495" s="2" t="inlineStr">
        <is>
          <t>014130</t>
        </is>
      </c>
      <c r="D3495" s="2" t="inlineStr">
        <is>
          <t>임원보고</t>
        </is>
      </c>
      <c r="E3495" s="3" t="inlineStr">
        <is>
          <t>-</t>
        </is>
      </c>
      <c r="F3495" s="3" t="inlineStr">
        <is>
          <t>-</t>
        </is>
      </c>
      <c r="G3495" s="3" t="inlineStr">
        <is>
          <t>-</t>
        </is>
      </c>
      <c r="H3495" s="6" t="inlineStr"/>
      <c r="I3495" s="6" t="inlineStr"/>
      <c r="J3495" s="6" t="inlineStr"/>
      <c r="K3495" s="16" t="n">
        <v>12</v>
      </c>
      <c r="L3495" s="2" t="inlineStr">
        <is>
          <t>20260609800579</t>
        </is>
      </c>
      <c r="M3495" s="8">
        <f>HYPERLINK("https://dart.fss.or.kr/dsaf001/main.do?rcpNo=20260609800579", "공시열람")</f>
        <v/>
      </c>
    </row>
    <row r="3496" ht="22" customHeight="1">
      <c r="A3496" s="2" t="inlineStr">
        <is>
          <t>2026-06-09 (정정: 2026-06-10)</t>
        </is>
      </c>
      <c r="B3496" s="3" t="inlineStr">
        <is>
          <t>SKC</t>
        </is>
      </c>
      <c r="C3496" s="2" t="inlineStr">
        <is>
          <t>011790</t>
        </is>
      </c>
      <c r="D3496" s="2" t="inlineStr">
        <is>
          <t>대량보유</t>
        </is>
      </c>
      <c r="E3496" s="3" t="inlineStr">
        <is>
          <t>-</t>
        </is>
      </c>
      <c r="F3496" s="3" t="inlineStr">
        <is>
          <t>보고자</t>
        </is>
      </c>
      <c r="G3496" s="3" t="inlineStr">
        <is>
          <t>-</t>
        </is>
      </c>
      <c r="H3496" s="6" t="inlineStr"/>
      <c r="I3496" s="6" t="inlineStr"/>
      <c r="J3496" s="6" t="inlineStr"/>
      <c r="K3496" s="18" t="inlineStr"/>
      <c r="L3496" s="2" t="inlineStr">
        <is>
          <t>20260610000521</t>
        </is>
      </c>
      <c r="M3496" s="8">
        <f>HYPERLINK("https://dart.fss.or.kr/dsaf001/main.do?rcpNo=20260610000521", "공시열람")</f>
        <v/>
      </c>
    </row>
    <row r="3497" ht="22" customHeight="1">
      <c r="A3497" s="2" t="inlineStr">
        <is>
          <t>2026-06-09</t>
        </is>
      </c>
      <c r="B3497" s="3" t="inlineStr">
        <is>
          <t>삼익악기</t>
        </is>
      </c>
      <c r="C3497" s="2" t="inlineStr">
        <is>
          <t>002450</t>
        </is>
      </c>
      <c r="D3497" s="2" t="inlineStr">
        <is>
          <t>임원보고</t>
        </is>
      </c>
      <c r="E3497" s="3" t="inlineStr">
        <is>
          <t>-</t>
        </is>
      </c>
      <c r="F3497" s="3" t="inlineStr">
        <is>
          <t>-</t>
        </is>
      </c>
      <c r="G3497" s="3" t="inlineStr">
        <is>
          <t>-</t>
        </is>
      </c>
      <c r="H3497" s="6" t="inlineStr"/>
      <c r="I3497" s="6" t="inlineStr"/>
      <c r="J3497" s="6" t="inlineStr"/>
      <c r="K3497" s="16" t="n">
        <v>12</v>
      </c>
      <c r="L3497" s="2" t="inlineStr">
        <is>
          <t>20260609800568</t>
        </is>
      </c>
      <c r="M3497" s="8">
        <f>HYPERLINK("https://dart.fss.or.kr/dsaf001/main.do?rcpNo=20260609800568", "공시열람")</f>
        <v/>
      </c>
    </row>
    <row r="3498" ht="22" customHeight="1">
      <c r="A3498" s="2" t="inlineStr">
        <is>
          <t>2026-06-09</t>
        </is>
      </c>
      <c r="B3498" s="3" t="inlineStr">
        <is>
          <t>유니켐</t>
        </is>
      </c>
      <c r="C3498" s="2" t="inlineStr">
        <is>
          <t>011330</t>
        </is>
      </c>
      <c r="D3498" s="2" t="inlineStr">
        <is>
          <t>대량보유</t>
        </is>
      </c>
      <c r="E3498" s="3" t="inlineStr">
        <is>
          <t>주식회사이노네트</t>
        </is>
      </c>
      <c r="F3498" s="3" t="inlineStr">
        <is>
          <t>특별관계자</t>
        </is>
      </c>
      <c r="G3498" s="3" t="inlineStr">
        <is>
          <t>담보주식처분권보유</t>
        </is>
      </c>
      <c r="H3498" s="17" t="n">
        <v>-7200000</v>
      </c>
      <c r="I3498" s="6" t="inlineStr"/>
      <c r="J3498" s="6" t="inlineStr"/>
      <c r="K3498" s="16" t="n">
        <v>1</v>
      </c>
      <c r="L3498" s="2" t="inlineStr">
        <is>
          <t>20260609000368</t>
        </is>
      </c>
      <c r="M3498" s="8">
        <f>HYPERLINK("https://dart.fss.or.kr/dsaf001/main.do?rcpNo=20260609000368", "공시열람")</f>
        <v/>
      </c>
    </row>
    <row r="3499" ht="22" customHeight="1">
      <c r="A3499" s="2" t="inlineStr">
        <is>
          <t>2026-06-09 (정정: 2026-06-23)</t>
        </is>
      </c>
      <c r="B3499" s="3" t="inlineStr">
        <is>
          <t>대양금속</t>
        </is>
      </c>
      <c r="C3499" s="2" t="inlineStr">
        <is>
          <t>009190</t>
        </is>
      </c>
      <c r="D3499" s="2" t="inlineStr">
        <is>
          <t>대량보유</t>
        </is>
      </c>
      <c r="E3499" s="3" t="inlineStr">
        <is>
          <t>-</t>
        </is>
      </c>
      <c r="F3499" s="3" t="inlineStr">
        <is>
          <t>보고자</t>
        </is>
      </c>
      <c r="G3499" s="3" t="inlineStr">
        <is>
          <t>-</t>
        </is>
      </c>
      <c r="H3499" s="6" t="inlineStr"/>
      <c r="I3499" s="6" t="inlineStr"/>
      <c r="J3499" s="6" t="inlineStr"/>
      <c r="K3499" s="18" t="inlineStr"/>
      <c r="L3499" s="2" t="inlineStr">
        <is>
          <t>20260623800469</t>
        </is>
      </c>
      <c r="M3499" s="8">
        <f>HYPERLINK("https://dart.fss.or.kr/dsaf001/main.do?rcpNo=20260623800469", "공시열람")</f>
        <v/>
      </c>
    </row>
    <row r="3500" ht="22" customHeight="1">
      <c r="A3500" s="2" t="inlineStr">
        <is>
          <t>2026-06-09</t>
        </is>
      </c>
      <c r="B3500" s="3" t="inlineStr">
        <is>
          <t>유엔젤</t>
        </is>
      </c>
      <c r="C3500" s="2" t="inlineStr">
        <is>
          <t>072130</t>
        </is>
      </c>
      <c r="D3500" s="2" t="inlineStr">
        <is>
          <t>대량보유</t>
        </is>
      </c>
      <c r="E3500" s="3" t="inlineStr">
        <is>
          <t>(주)동심</t>
        </is>
      </c>
      <c r="F3500" s="3" t="inlineStr">
        <is>
          <t>특별관계자</t>
        </is>
      </c>
      <c r="G3500" s="3" t="inlineStr">
        <is>
          <t>장내매수(+)</t>
        </is>
      </c>
      <c r="H3500" s="15" t="n">
        <v>531949</v>
      </c>
      <c r="I3500" s="6" t="n">
        <v>4731</v>
      </c>
      <c r="J3500" s="6" t="n">
        <v>531949</v>
      </c>
      <c r="K3500" s="16" t="n">
        <v>1</v>
      </c>
      <c r="L3500" s="2" t="inlineStr">
        <is>
          <t>20260609000363</t>
        </is>
      </c>
      <c r="M3500" s="8">
        <f>HYPERLINK("https://dart.fss.or.kr/dsaf001/main.do?rcpNo=20260609000363", "공시열람")</f>
        <v/>
      </c>
    </row>
    <row r="3501" ht="22" customHeight="1">
      <c r="A3501" s="2" t="inlineStr">
        <is>
          <t>2026-06-09</t>
        </is>
      </c>
      <c r="B3501" s="3" t="inlineStr">
        <is>
          <t>유엔젤</t>
        </is>
      </c>
      <c r="C3501" s="2" t="inlineStr">
        <is>
          <t>072130</t>
        </is>
      </c>
      <c r="D3501" s="2" t="inlineStr">
        <is>
          <t>대량보유</t>
        </is>
      </c>
      <c r="E3501" s="3" t="inlineStr">
        <is>
          <t>정신</t>
        </is>
      </c>
      <c r="F3501" s="3" t="inlineStr">
        <is>
          <t>특별관계자</t>
        </is>
      </c>
      <c r="G3501" s="3" t="inlineStr">
        <is>
          <t>장내매수(+)</t>
        </is>
      </c>
      <c r="H3501" s="15" t="n">
        <v>159518</v>
      </c>
      <c r="I3501" s="6" t="n">
        <v>4879</v>
      </c>
      <c r="J3501" s="6" t="n">
        <v>159518</v>
      </c>
      <c r="K3501" s="16" t="n">
        <v>1</v>
      </c>
      <c r="L3501" s="2" t="inlineStr">
        <is>
          <t>20260609000363</t>
        </is>
      </c>
      <c r="M3501" s="8">
        <f>HYPERLINK("https://dart.fss.or.kr/dsaf001/main.do?rcpNo=20260609000363", "공시열람")</f>
        <v/>
      </c>
    </row>
    <row r="3502" ht="22" customHeight="1">
      <c r="A3502" s="2" t="inlineStr">
        <is>
          <t>2026-06-09</t>
        </is>
      </c>
      <c r="B3502" s="3" t="inlineStr">
        <is>
          <t>우림피티에스</t>
        </is>
      </c>
      <c r="C3502" s="2" t="inlineStr">
        <is>
          <t>101170</t>
        </is>
      </c>
      <c r="D3502" s="2" t="inlineStr">
        <is>
          <t>대량보유</t>
        </is>
      </c>
      <c r="E3502" s="3" t="inlineStr">
        <is>
          <t>한민주</t>
        </is>
      </c>
      <c r="F3502" s="3" t="inlineStr">
        <is>
          <t>특별관계자</t>
        </is>
      </c>
      <c r="G3502" s="3" t="inlineStr">
        <is>
          <t>장내매수(+)</t>
        </is>
      </c>
      <c r="H3502" s="15" t="n">
        <v>17695</v>
      </c>
      <c r="I3502" s="6" t="n">
        <v>10675</v>
      </c>
      <c r="J3502" s="6" t="n">
        <v>592999</v>
      </c>
      <c r="K3502" s="16" t="n">
        <v>3</v>
      </c>
      <c r="L3502" s="2" t="inlineStr">
        <is>
          <t>20260609000362</t>
        </is>
      </c>
      <c r="M3502" s="8">
        <f>HYPERLINK("https://dart.fss.or.kr/dsaf001/main.do?rcpNo=20260609000362", "공시열람")</f>
        <v/>
      </c>
    </row>
    <row r="3503" ht="22" customHeight="1">
      <c r="A3503" s="2" t="inlineStr">
        <is>
          <t>2026-06-09</t>
        </is>
      </c>
      <c r="B3503" s="3" t="inlineStr">
        <is>
          <t>유니켐</t>
        </is>
      </c>
      <c r="C3503" s="2" t="inlineStr">
        <is>
          <t>011330</t>
        </is>
      </c>
      <c r="D3503" s="2" t="inlineStr">
        <is>
          <t>대량보유</t>
        </is>
      </c>
      <c r="E3503" s="3" t="inlineStr">
        <is>
          <t>(주)엠제이홀딩컴퍼니</t>
        </is>
      </c>
      <c r="F3503" s="3" t="inlineStr">
        <is>
          <t>특별관계자</t>
        </is>
      </c>
      <c r="G3503" s="3" t="inlineStr">
        <is>
          <t>담보주식처분권보유</t>
        </is>
      </c>
      <c r="H3503" s="17" t="n">
        <v>-7700000</v>
      </c>
      <c r="I3503" s="6" t="inlineStr"/>
      <c r="J3503" s="6" t="inlineStr"/>
      <c r="K3503" s="16" t="n">
        <v>1</v>
      </c>
      <c r="L3503" s="2" t="inlineStr">
        <is>
          <t>20260609000361</t>
        </is>
      </c>
      <c r="M3503" s="8">
        <f>HYPERLINK("https://dart.fss.or.kr/dsaf001/main.do?rcpNo=20260609000361", "공시열람")</f>
        <v/>
      </c>
    </row>
    <row r="3504" ht="22" customHeight="1">
      <c r="A3504" s="2" t="inlineStr">
        <is>
          <t>2026-06-09</t>
        </is>
      </c>
      <c r="B3504" s="3" t="inlineStr">
        <is>
          <t>유니크</t>
        </is>
      </c>
      <c r="C3504" s="2" t="inlineStr">
        <is>
          <t>011320</t>
        </is>
      </c>
      <c r="D3504" s="2" t="inlineStr">
        <is>
          <t>대량보유</t>
        </is>
      </c>
      <c r="E3504" s="3" t="inlineStr">
        <is>
          <t>안영구</t>
        </is>
      </c>
      <c r="F3504" s="3" t="inlineStr">
        <is>
          <t>특별관계자</t>
        </is>
      </c>
      <c r="G3504" s="3" t="inlineStr">
        <is>
          <t>장내매수(+)</t>
        </is>
      </c>
      <c r="H3504" s="15" t="n">
        <v>193000</v>
      </c>
      <c r="I3504" s="6" t="n">
        <v>4364</v>
      </c>
      <c r="J3504" s="6" t="n">
        <v>3753623</v>
      </c>
      <c r="K3504" s="16" t="n">
        <v>9</v>
      </c>
      <c r="L3504" s="2" t="inlineStr">
        <is>
          <t>20260609000344</t>
        </is>
      </c>
      <c r="M3504" s="8">
        <f>HYPERLINK("https://dart.fss.or.kr/dsaf001/main.do?rcpNo=20260609000344", "공시열람")</f>
        <v/>
      </c>
    </row>
    <row r="3505" ht="22" customHeight="1">
      <c r="A3505" s="2" t="inlineStr">
        <is>
          <t>2026-06-09</t>
        </is>
      </c>
      <c r="B3505" s="3" t="inlineStr">
        <is>
          <t>유니크</t>
        </is>
      </c>
      <c r="C3505" s="2" t="inlineStr">
        <is>
          <t>011320</t>
        </is>
      </c>
      <c r="D3505" s="2" t="inlineStr">
        <is>
          <t>대량보유</t>
        </is>
      </c>
      <c r="E3505" s="3" t="inlineStr">
        <is>
          <t>안효정</t>
        </is>
      </c>
      <c r="F3505" s="3" t="inlineStr">
        <is>
          <t>특별관계자</t>
        </is>
      </c>
      <c r="G3505" s="3" t="inlineStr">
        <is>
          <t>장내매수(+)</t>
        </is>
      </c>
      <c r="H3505" s="15" t="n">
        <v>7000</v>
      </c>
      <c r="I3505" s="6" t="n">
        <v>4526</v>
      </c>
      <c r="J3505" s="6" t="n">
        <v>95849</v>
      </c>
      <c r="K3505" s="16" t="n">
        <v>9</v>
      </c>
      <c r="L3505" s="2" t="inlineStr">
        <is>
          <t>20260609000344</t>
        </is>
      </c>
      <c r="M3505" s="8">
        <f>HYPERLINK("https://dart.fss.or.kr/dsaf001/main.do?rcpNo=20260609000344", "공시열람")</f>
        <v/>
      </c>
    </row>
    <row r="3506" ht="22" customHeight="1">
      <c r="A3506" s="2" t="inlineStr">
        <is>
          <t>2026-06-09</t>
        </is>
      </c>
      <c r="B3506" s="3" t="inlineStr">
        <is>
          <t>유니크</t>
        </is>
      </c>
      <c r="C3506" s="2" t="inlineStr">
        <is>
          <t>011320</t>
        </is>
      </c>
      <c r="D3506" s="2" t="inlineStr">
        <is>
          <t>대량보유</t>
        </is>
      </c>
      <c r="E3506" s="3" t="inlineStr">
        <is>
          <t>정귀소</t>
        </is>
      </c>
      <c r="F3506" s="3" t="inlineStr">
        <is>
          <t>특별관계자</t>
        </is>
      </c>
      <c r="G3506" s="3" t="inlineStr">
        <is>
          <t>장내매수(+)</t>
        </is>
      </c>
      <c r="H3506" s="15" t="n">
        <v>10000</v>
      </c>
      <c r="I3506" s="6" t="n">
        <v>4564</v>
      </c>
      <c r="J3506" s="6" t="n">
        <v>146255</v>
      </c>
      <c r="K3506" s="16" t="n">
        <v>9</v>
      </c>
      <c r="L3506" s="2" t="inlineStr">
        <is>
          <t>20260609000344</t>
        </is>
      </c>
      <c r="M3506" s="8">
        <f>HYPERLINK("https://dart.fss.or.kr/dsaf001/main.do?rcpNo=20260609000344", "공시열람")</f>
        <v/>
      </c>
    </row>
    <row r="3507" ht="22" customHeight="1">
      <c r="A3507" s="2" t="inlineStr">
        <is>
          <t>2026-06-09</t>
        </is>
      </c>
      <c r="B3507" s="3" t="inlineStr">
        <is>
          <t>삼성카드</t>
        </is>
      </c>
      <c r="C3507" s="2" t="inlineStr">
        <is>
          <t>029780</t>
        </is>
      </c>
      <c r="D3507" s="2" t="inlineStr">
        <is>
          <t>임원보고</t>
        </is>
      </c>
      <c r="E3507" s="3" t="inlineStr">
        <is>
          <t>-</t>
        </is>
      </c>
      <c r="F3507" s="3" t="inlineStr">
        <is>
          <t>-</t>
        </is>
      </c>
      <c r="G3507" s="3" t="inlineStr">
        <is>
          <t>-</t>
        </is>
      </c>
      <c r="H3507" s="6" t="inlineStr"/>
      <c r="I3507" s="6" t="inlineStr"/>
      <c r="J3507" s="6" t="inlineStr"/>
      <c r="K3507" s="16" t="n">
        <v>12</v>
      </c>
      <c r="L3507" s="2" t="inlineStr">
        <is>
          <t>20260609800504</t>
        </is>
      </c>
      <c r="M3507" s="8">
        <f>HYPERLINK("https://dart.fss.or.kr/dsaf001/main.do?rcpNo=20260609800504", "공시열람")</f>
        <v/>
      </c>
    </row>
    <row r="3508" ht="22" customHeight="1">
      <c r="A3508" s="2" t="inlineStr">
        <is>
          <t>2026-06-09</t>
        </is>
      </c>
      <c r="B3508" s="3" t="inlineStr">
        <is>
          <t>이엘피</t>
        </is>
      </c>
      <c r="C3508" s="2" t="inlineStr">
        <is>
          <t>063760</t>
        </is>
      </c>
      <c r="D3508" s="2" t="inlineStr">
        <is>
          <t>대량보유</t>
        </is>
      </c>
      <c r="E3508" s="3" t="inlineStr">
        <is>
          <t>이재혁</t>
        </is>
      </c>
      <c r="F3508" s="3" t="inlineStr">
        <is>
          <t>특별관계자</t>
        </is>
      </c>
      <c r="G3508" s="3" t="inlineStr">
        <is>
          <t>장내매수(+)</t>
        </is>
      </c>
      <c r="H3508" s="15" t="n">
        <v>5009</v>
      </c>
      <c r="I3508" s="6" t="n">
        <v>2849</v>
      </c>
      <c r="J3508" s="6" t="n">
        <v>2138777</v>
      </c>
      <c r="K3508" s="16" t="n">
        <v>3</v>
      </c>
      <c r="L3508" s="2" t="inlineStr">
        <is>
          <t>20260609000338</t>
        </is>
      </c>
      <c r="M3508" s="8">
        <f>HYPERLINK("https://dart.fss.or.kr/dsaf001/main.do?rcpNo=20260609000338", "공시열람")</f>
        <v/>
      </c>
    </row>
    <row r="3509" ht="22" customHeight="1">
      <c r="A3509" s="2" t="inlineStr">
        <is>
          <t>2026-06-09</t>
        </is>
      </c>
      <c r="B3509" s="3" t="inlineStr">
        <is>
          <t>대림통상</t>
        </is>
      </c>
      <c r="C3509" s="2" t="inlineStr">
        <is>
          <t>006570</t>
        </is>
      </c>
      <c r="D3509" s="2" t="inlineStr">
        <is>
          <t>임원보고</t>
        </is>
      </c>
      <c r="E3509" s="3" t="inlineStr">
        <is>
          <t>-</t>
        </is>
      </c>
      <c r="F3509" s="3" t="inlineStr">
        <is>
          <t>-</t>
        </is>
      </c>
      <c r="G3509" s="3" t="inlineStr">
        <is>
          <t>-</t>
        </is>
      </c>
      <c r="H3509" s="6" t="inlineStr"/>
      <c r="I3509" s="6" t="inlineStr"/>
      <c r="J3509" s="6" t="inlineStr"/>
      <c r="K3509" s="16" t="n">
        <v>12</v>
      </c>
      <c r="L3509" s="2" t="inlineStr">
        <is>
          <t>20260609800484</t>
        </is>
      </c>
      <c r="M3509" s="8">
        <f>HYPERLINK("https://dart.fss.or.kr/dsaf001/main.do?rcpNo=20260609800484", "공시열람")</f>
        <v/>
      </c>
    </row>
    <row r="3510" ht="22" customHeight="1">
      <c r="A3510" s="2" t="inlineStr">
        <is>
          <t>2026-06-09</t>
        </is>
      </c>
      <c r="B3510" s="3" t="inlineStr">
        <is>
          <t>이지스레지던스리츠</t>
        </is>
      </c>
      <c r="C3510" s="2" t="inlineStr">
        <is>
          <t>350520</t>
        </is>
      </c>
      <c r="D3510" s="2" t="inlineStr">
        <is>
          <t>대량보유</t>
        </is>
      </c>
      <c r="E3510" s="3" t="inlineStr">
        <is>
          <t>미래에셋증권㈜</t>
        </is>
      </c>
      <c r="F3510" s="3" t="inlineStr">
        <is>
          <t>특별관계자</t>
        </is>
      </c>
      <c r="G3510" s="3" t="inlineStr">
        <is>
          <t>장내매수(+), 장내매도(-), 기타(-), 유상신주취득(+), 차입(+), 대여(-), 기타(+)</t>
        </is>
      </c>
      <c r="H3510" s="17" t="n">
        <v>-61072</v>
      </c>
      <c r="I3510" s="6" t="n">
        <v>3865</v>
      </c>
      <c r="J3510" s="6" t="n">
        <v>300081</v>
      </c>
      <c r="K3510" s="16" t="n">
        <v>3.69</v>
      </c>
      <c r="L3510" s="2" t="inlineStr">
        <is>
          <t>20260609000324</t>
        </is>
      </c>
      <c r="M3510" s="8">
        <f>HYPERLINK("https://dart.fss.or.kr/dsaf001/main.do?rcpNo=20260609000324", "공시열람")</f>
        <v/>
      </c>
    </row>
    <row r="3511" ht="22" customHeight="1">
      <c r="A3511" s="2" t="inlineStr">
        <is>
          <t>2026-06-09</t>
        </is>
      </c>
      <c r="B3511" s="3" t="inlineStr">
        <is>
          <t>파커스</t>
        </is>
      </c>
      <c r="C3511" s="2" t="inlineStr">
        <is>
          <t>065690</t>
        </is>
      </c>
      <c r="D3511" s="2" t="inlineStr">
        <is>
          <t>대량보유</t>
        </is>
      </c>
      <c r="E3511" s="3" t="inlineStr">
        <is>
          <t>박창식</t>
        </is>
      </c>
      <c r="F3511" s="3" t="inlineStr">
        <is>
          <t>보고자</t>
        </is>
      </c>
      <c r="G3511" s="3" t="inlineStr">
        <is>
          <t>주식담보계약 연장</t>
        </is>
      </c>
      <c r="H3511" s="6" t="inlineStr"/>
      <c r="I3511" s="6" t="inlineStr"/>
      <c r="J3511" s="6" t="n">
        <v>6150612</v>
      </c>
      <c r="K3511" s="16" t="n">
        <v>8</v>
      </c>
      <c r="L3511" s="2" t="inlineStr">
        <is>
          <t>20260609000322</t>
        </is>
      </c>
      <c r="M3511" s="8">
        <f>HYPERLINK("https://dart.fss.or.kr/dsaf001/main.do?rcpNo=20260609000322", "공시열람")</f>
        <v/>
      </c>
    </row>
    <row r="3512" ht="22" customHeight="1">
      <c r="A3512" s="2" t="inlineStr">
        <is>
          <t>2026-06-09</t>
        </is>
      </c>
      <c r="B3512" s="3" t="inlineStr">
        <is>
          <t>이지스밸류플러스리츠</t>
        </is>
      </c>
      <c r="C3512" s="2" t="inlineStr">
        <is>
          <t>334890</t>
        </is>
      </c>
      <c r="D3512" s="2" t="inlineStr">
        <is>
          <t>대량보유</t>
        </is>
      </c>
      <c r="E3512" s="3" t="inlineStr">
        <is>
          <t>주식회사코람코주택도시기금위탁관리부동산투자회사</t>
        </is>
      </c>
      <c r="F3512" s="3" t="inlineStr">
        <is>
          <t>특별관계자</t>
        </is>
      </c>
      <c r="G3512" s="3" t="inlineStr">
        <is>
          <t>장내매수(+)</t>
        </is>
      </c>
      <c r="H3512" s="15" t="n">
        <v>18819</v>
      </c>
      <c r="I3512" s="6" t="n">
        <v>3479</v>
      </c>
      <c r="J3512" s="6" t="n">
        <v>7065798</v>
      </c>
      <c r="K3512" s="16" t="n">
        <v>1</v>
      </c>
      <c r="L3512" s="2" t="inlineStr">
        <is>
          <t>20260609000278</t>
        </is>
      </c>
      <c r="M3512" s="8">
        <f>HYPERLINK("https://dart.fss.or.kr/dsaf001/main.do?rcpNo=20260609000278", "공시열람")</f>
        <v/>
      </c>
    </row>
    <row r="3513" ht="22" customHeight="1">
      <c r="A3513" s="2" t="inlineStr">
        <is>
          <t>2026-06-09</t>
        </is>
      </c>
      <c r="B3513" s="3" t="inlineStr">
        <is>
          <t>우진비앤지</t>
        </is>
      </c>
      <c r="C3513" s="2" t="inlineStr">
        <is>
          <t>018620</t>
        </is>
      </c>
      <c r="D3513" s="2" t="inlineStr">
        <is>
          <t>대량보유</t>
        </is>
      </c>
      <c r="E3513" s="3" t="inlineStr">
        <is>
          <t>강재구</t>
        </is>
      </c>
      <c r="F3513" s="3" t="inlineStr">
        <is>
          <t>특별관계자</t>
        </is>
      </c>
      <c r="G3513" s="3" t="inlineStr">
        <is>
          <t>장내매수(+)</t>
        </is>
      </c>
      <c r="H3513" s="15" t="n">
        <v>50951</v>
      </c>
      <c r="I3513" s="6" t="n">
        <v>3088</v>
      </c>
      <c r="J3513" s="6" t="n">
        <v>897579</v>
      </c>
      <c r="K3513" s="16" t="n">
        <v>8</v>
      </c>
      <c r="L3513" s="2" t="inlineStr">
        <is>
          <t>20260609000269</t>
        </is>
      </c>
      <c r="M3513" s="8">
        <f>HYPERLINK("https://dart.fss.or.kr/dsaf001/main.do?rcpNo=20260609000269", "공시열람")</f>
        <v/>
      </c>
    </row>
    <row r="3514" ht="22" customHeight="1">
      <c r="A3514" s="2" t="inlineStr">
        <is>
          <t>2026-06-09</t>
        </is>
      </c>
      <c r="B3514" s="3" t="inlineStr">
        <is>
          <t>우진비앤지</t>
        </is>
      </c>
      <c r="C3514" s="2" t="inlineStr">
        <is>
          <t>018620</t>
        </is>
      </c>
      <c r="D3514" s="2" t="inlineStr">
        <is>
          <t>대량보유</t>
        </is>
      </c>
      <c r="E3514" s="3" t="inlineStr">
        <is>
          <t>강석진</t>
        </is>
      </c>
      <c r="F3514" s="3" t="inlineStr">
        <is>
          <t>특별관계자</t>
        </is>
      </c>
      <c r="G3514" s="3" t="inlineStr">
        <is>
          <t>장내매수(+)</t>
        </is>
      </c>
      <c r="H3514" s="15" t="n">
        <v>16124</v>
      </c>
      <c r="I3514" s="6" t="n">
        <v>3092</v>
      </c>
      <c r="J3514" s="6" t="n">
        <v>423619</v>
      </c>
      <c r="K3514" s="16" t="n">
        <v>8</v>
      </c>
      <c r="L3514" s="2" t="inlineStr">
        <is>
          <t>20260609000269</t>
        </is>
      </c>
      <c r="M3514" s="8">
        <f>HYPERLINK("https://dart.fss.or.kr/dsaf001/main.do?rcpNo=20260609000269", "공시열람")</f>
        <v/>
      </c>
    </row>
    <row r="3515" ht="22" customHeight="1">
      <c r="A3515" s="2" t="inlineStr">
        <is>
          <t>2026-06-09</t>
        </is>
      </c>
      <c r="B3515" s="3" t="inlineStr">
        <is>
          <t>우진비앤지</t>
        </is>
      </c>
      <c r="C3515" s="2" t="inlineStr">
        <is>
          <t>018620</t>
        </is>
      </c>
      <c r="D3515" s="2" t="inlineStr">
        <is>
          <t>대량보유</t>
        </is>
      </c>
      <c r="E3515" s="3" t="inlineStr">
        <is>
          <t>소부자</t>
        </is>
      </c>
      <c r="F3515" s="3" t="inlineStr">
        <is>
          <t>특별관계자</t>
        </is>
      </c>
      <c r="G3515" s="3" t="inlineStr">
        <is>
          <t>장내매수(+)</t>
        </is>
      </c>
      <c r="H3515" s="15" t="n">
        <v>48015</v>
      </c>
      <c r="I3515" s="6" t="n">
        <v>3109</v>
      </c>
      <c r="J3515" s="6" t="n">
        <v>52582</v>
      </c>
      <c r="K3515" s="16" t="n">
        <v>8</v>
      </c>
      <c r="L3515" s="2" t="inlineStr">
        <is>
          <t>20260609000269</t>
        </is>
      </c>
      <c r="M3515" s="8">
        <f>HYPERLINK("https://dart.fss.or.kr/dsaf001/main.do?rcpNo=20260609000269", "공시열람")</f>
        <v/>
      </c>
    </row>
    <row r="3516" ht="22" customHeight="1">
      <c r="A3516" s="2" t="inlineStr">
        <is>
          <t>2026-06-09</t>
        </is>
      </c>
      <c r="B3516" s="3" t="inlineStr">
        <is>
          <t>에코심플렉스</t>
        </is>
      </c>
      <c r="C3516" s="2" t="inlineStr">
        <is>
          <t>038870</t>
        </is>
      </c>
      <c r="D3516" s="2" t="inlineStr">
        <is>
          <t>대량보유</t>
        </is>
      </c>
      <c r="E3516" s="3" t="inlineStr">
        <is>
          <t>신장욱</t>
        </is>
      </c>
      <c r="F3516" s="3" t="inlineStr">
        <is>
          <t>특별관계자</t>
        </is>
      </c>
      <c r="G3516" s="3" t="inlineStr">
        <is>
          <t>장내매수(+)</t>
        </is>
      </c>
      <c r="H3516" s="15" t="n">
        <v>22700</v>
      </c>
      <c r="I3516" s="6" t="n">
        <v>3000</v>
      </c>
      <c r="J3516" s="6" t="n">
        <v>22700</v>
      </c>
      <c r="K3516" s="16" t="n">
        <v>4</v>
      </c>
      <c r="L3516" s="2" t="inlineStr">
        <is>
          <t>20260609000252</t>
        </is>
      </c>
      <c r="M3516" s="8">
        <f>HYPERLINK("https://dart.fss.or.kr/dsaf001/main.do?rcpNo=20260609000252", "공시열람")</f>
        <v/>
      </c>
    </row>
    <row r="3517" ht="22" customHeight="1">
      <c r="A3517" s="2" t="inlineStr">
        <is>
          <t>2026-06-09</t>
        </is>
      </c>
      <c r="B3517" s="3" t="inlineStr">
        <is>
          <t>에코심플렉스</t>
        </is>
      </c>
      <c r="C3517" s="2" t="inlineStr">
        <is>
          <t>038870</t>
        </is>
      </c>
      <c r="D3517" s="2" t="inlineStr">
        <is>
          <t>대량보유</t>
        </is>
      </c>
      <c r="E3517" s="3" t="inlineStr">
        <is>
          <t>(주)이에스씨아이</t>
        </is>
      </c>
      <c r="F3517" s="3" t="inlineStr">
        <is>
          <t>특별관계자</t>
        </is>
      </c>
      <c r="G3517" s="3" t="inlineStr">
        <is>
          <t>장내매수(+)</t>
        </is>
      </c>
      <c r="H3517" s="15" t="n">
        <v>59380</v>
      </c>
      <c r="I3517" s="6" t="n">
        <v>2393</v>
      </c>
      <c r="J3517" s="6" t="n">
        <v>279380</v>
      </c>
      <c r="K3517" s="16" t="n">
        <v>4</v>
      </c>
      <c r="L3517" s="2" t="inlineStr">
        <is>
          <t>20260609000252</t>
        </is>
      </c>
      <c r="M3517" s="8">
        <f>HYPERLINK("https://dart.fss.or.kr/dsaf001/main.do?rcpNo=20260609000252", "공시열람")</f>
        <v/>
      </c>
    </row>
    <row r="3518" ht="22" customHeight="1">
      <c r="A3518" s="2" t="inlineStr">
        <is>
          <t>2026-06-09</t>
        </is>
      </c>
      <c r="B3518" s="3" t="inlineStr">
        <is>
          <t>화성밸브</t>
        </is>
      </c>
      <c r="C3518" s="2" t="inlineStr">
        <is>
          <t>039610</t>
        </is>
      </c>
      <c r="D3518" s="2" t="inlineStr">
        <is>
          <t>대량보유</t>
        </is>
      </c>
      <c r="E3518" s="3" t="inlineStr">
        <is>
          <t>HS테크(주)</t>
        </is>
      </c>
      <c r="F3518" s="3" t="inlineStr">
        <is>
          <t>특별관계자</t>
        </is>
      </c>
      <c r="G3518" s="3" t="inlineStr">
        <is>
          <t>장내매수(+)</t>
        </is>
      </c>
      <c r="H3518" s="15" t="n">
        <v>104000</v>
      </c>
      <c r="I3518" s="6" t="n">
        <v>6879</v>
      </c>
      <c r="J3518" s="6" t="n">
        <v>1229000</v>
      </c>
      <c r="K3518" s="16" t="n">
        <v>4</v>
      </c>
      <c r="L3518" s="2" t="inlineStr">
        <is>
          <t>20260609000235</t>
        </is>
      </c>
      <c r="M3518" s="8">
        <f>HYPERLINK("https://dart.fss.or.kr/dsaf001/main.do?rcpNo=20260609000235", "공시열람")</f>
        <v/>
      </c>
    </row>
    <row r="3519" ht="22" customHeight="1">
      <c r="A3519" s="2" t="inlineStr">
        <is>
          <t>2026-06-09</t>
        </is>
      </c>
      <c r="B3519" s="3" t="inlineStr">
        <is>
          <t>링크제니시스</t>
        </is>
      </c>
      <c r="C3519" s="2" t="inlineStr">
        <is>
          <t>219420</t>
        </is>
      </c>
      <c r="D3519" s="2" t="inlineStr">
        <is>
          <t>대량보유</t>
        </is>
      </c>
      <c r="E3519" s="3" t="inlineStr">
        <is>
          <t>아이디스파워텔(주)</t>
        </is>
      </c>
      <c r="F3519" s="3" t="inlineStr">
        <is>
          <t>특별관계자</t>
        </is>
      </c>
      <c r="G3519" s="3" t="inlineStr">
        <is>
          <t>장내매수(+)</t>
        </is>
      </c>
      <c r="H3519" s="15" t="n">
        <v>111624</v>
      </c>
      <c r="I3519" s="6" t="n">
        <v>4599</v>
      </c>
      <c r="J3519" s="6" t="n">
        <v>2874584</v>
      </c>
      <c r="K3519" s="16" t="n">
        <v>2</v>
      </c>
      <c r="L3519" s="2" t="inlineStr">
        <is>
          <t>20260609000210</t>
        </is>
      </c>
      <c r="M3519" s="8">
        <f>HYPERLINK("https://dart.fss.or.kr/dsaf001/main.do?rcpNo=20260609000210", "공시열람")</f>
        <v/>
      </c>
    </row>
    <row r="3520" ht="22" customHeight="1">
      <c r="A3520" s="2" t="inlineStr">
        <is>
          <t>2026-06-09</t>
        </is>
      </c>
      <c r="B3520" s="3" t="inlineStr">
        <is>
          <t>링크제니시스</t>
        </is>
      </c>
      <c r="C3520" s="2" t="inlineStr">
        <is>
          <t>219420</t>
        </is>
      </c>
      <c r="D3520" s="2" t="inlineStr">
        <is>
          <t>대량보유</t>
        </is>
      </c>
      <c r="E3520" s="3" t="inlineStr">
        <is>
          <t>아이디스파워텔㈜</t>
        </is>
      </c>
      <c r="F3520" s="3" t="inlineStr">
        <is>
          <t>특별관계자</t>
        </is>
      </c>
      <c r="G3520" s="3" t="inlineStr">
        <is>
          <t>장내매수(+)</t>
        </is>
      </c>
      <c r="H3520" s="15" t="n">
        <v>2300</v>
      </c>
      <c r="I3520" s="6" t="n">
        <v>4850</v>
      </c>
      <c r="J3520" s="6" t="n">
        <v>2850470</v>
      </c>
      <c r="K3520" s="16" t="n">
        <v>2</v>
      </c>
      <c r="L3520" s="2" t="inlineStr">
        <is>
          <t>20260609000210</t>
        </is>
      </c>
      <c r="M3520" s="8">
        <f>HYPERLINK("https://dart.fss.or.kr/dsaf001/main.do?rcpNo=20260609000210", "공시열람")</f>
        <v/>
      </c>
    </row>
    <row r="3521" ht="22" customHeight="1">
      <c r="A3521" s="2" t="inlineStr">
        <is>
          <t>2026-06-09</t>
        </is>
      </c>
      <c r="B3521" s="3" t="inlineStr">
        <is>
          <t>LG디스플레이</t>
        </is>
      </c>
      <c r="C3521" s="2" t="inlineStr">
        <is>
          <t>034220</t>
        </is>
      </c>
      <c r="D3521" s="2" t="inlineStr">
        <is>
          <t>대량보유</t>
        </is>
      </c>
      <c r="E3521" s="3" t="inlineStr">
        <is>
          <t>BlackRockFundAdvisors</t>
        </is>
      </c>
      <c r="F3521" s="3" t="inlineStr">
        <is>
          <t>특별관계자</t>
        </is>
      </c>
      <c r="G3521" s="3" t="inlineStr">
        <is>
          <t>장내매도(-), 장내매수(+)</t>
        </is>
      </c>
      <c r="H3521" s="15" t="n">
        <v>4656742</v>
      </c>
      <c r="I3521" s="6" t="n">
        <v>15971</v>
      </c>
      <c r="J3521" s="6" t="n">
        <v>17340496</v>
      </c>
      <c r="K3521" s="16" t="n">
        <v>15</v>
      </c>
      <c r="L3521" s="2" t="inlineStr">
        <is>
          <t>20260609000199</t>
        </is>
      </c>
      <c r="M3521" s="8">
        <f>HYPERLINK("https://dart.fss.or.kr/dsaf001/main.do?rcpNo=20260609000199", "공시열람")</f>
        <v/>
      </c>
    </row>
    <row r="3522" ht="22" customHeight="1">
      <c r="A3522" s="2" t="inlineStr">
        <is>
          <t>2026-06-09</t>
        </is>
      </c>
      <c r="B3522" s="3" t="inlineStr">
        <is>
          <t>LG디스플레이</t>
        </is>
      </c>
      <c r="C3522" s="2" t="inlineStr">
        <is>
          <t>034220</t>
        </is>
      </c>
      <c r="D3522" s="2" t="inlineStr">
        <is>
          <t>대량보유</t>
        </is>
      </c>
      <c r="E3522" s="3" t="inlineStr">
        <is>
          <t>BlackRockInstitutionalTrustCompany,N.A.</t>
        </is>
      </c>
      <c r="F3522" s="3" t="inlineStr">
        <is>
          <t>특별관계자</t>
        </is>
      </c>
      <c r="G3522" s="3" t="inlineStr">
        <is>
          <t>장내매수(+)</t>
        </is>
      </c>
      <c r="H3522" s="15" t="n">
        <v>155150</v>
      </c>
      <c r="I3522" s="6" t="n">
        <v>16090</v>
      </c>
      <c r="J3522" s="6" t="n">
        <v>4185940</v>
      </c>
      <c r="K3522" s="16" t="n">
        <v>15</v>
      </c>
      <c r="L3522" s="2" t="inlineStr">
        <is>
          <t>20260609000199</t>
        </is>
      </c>
      <c r="M3522" s="8">
        <f>HYPERLINK("https://dart.fss.or.kr/dsaf001/main.do?rcpNo=20260609000199", "공시열람")</f>
        <v/>
      </c>
    </row>
    <row r="3523" ht="22" customHeight="1">
      <c r="A3523" s="2" t="inlineStr">
        <is>
          <t>2026-06-09</t>
        </is>
      </c>
      <c r="B3523" s="3" t="inlineStr">
        <is>
          <t>LG디스플레이</t>
        </is>
      </c>
      <c r="C3523" s="2" t="inlineStr">
        <is>
          <t>034220</t>
        </is>
      </c>
      <c r="D3523" s="2" t="inlineStr">
        <is>
          <t>대량보유</t>
        </is>
      </c>
      <c r="E3523" s="3" t="inlineStr">
        <is>
          <t>BlackRockAdvisors(UK)Limited</t>
        </is>
      </c>
      <c r="F3523" s="3" t="inlineStr">
        <is>
          <t>특별관계자</t>
        </is>
      </c>
      <c r="G3523" s="3" t="inlineStr">
        <is>
          <t>장내매수(+), 장내매도(-), 기타(-)</t>
        </is>
      </c>
      <c r="H3523" s="17" t="n">
        <v>-445274</v>
      </c>
      <c r="I3523" s="6" t="n">
        <v>11890</v>
      </c>
      <c r="J3523" s="6" t="n">
        <v>18609</v>
      </c>
      <c r="K3523" s="16" t="n">
        <v>15</v>
      </c>
      <c r="L3523" s="2" t="inlineStr">
        <is>
          <t>20260609000199</t>
        </is>
      </c>
      <c r="M3523" s="8">
        <f>HYPERLINK("https://dart.fss.or.kr/dsaf001/main.do?rcpNo=20260609000199", "공시열람")</f>
        <v/>
      </c>
    </row>
    <row r="3524" ht="22" customHeight="1">
      <c r="A3524" s="2" t="inlineStr">
        <is>
          <t>2026-06-09</t>
        </is>
      </c>
      <c r="B3524" s="3" t="inlineStr">
        <is>
          <t>LG디스플레이</t>
        </is>
      </c>
      <c r="C3524" s="2" t="inlineStr">
        <is>
          <t>034220</t>
        </is>
      </c>
      <c r="D3524" s="2" t="inlineStr">
        <is>
          <t>대량보유</t>
        </is>
      </c>
      <c r="E3524" s="3" t="inlineStr">
        <is>
          <t>BlackRockFinancialManagement,Inc</t>
        </is>
      </c>
      <c r="F3524" s="3" t="inlineStr">
        <is>
          <t>특별관계자</t>
        </is>
      </c>
      <c r="G3524" s="3" t="inlineStr">
        <is>
          <t>장내매수(+)</t>
        </is>
      </c>
      <c r="H3524" s="15" t="n">
        <v>340</v>
      </c>
      <c r="I3524" s="6" t="n">
        <v>15206</v>
      </c>
      <c r="J3524" s="6" t="n">
        <v>298883</v>
      </c>
      <c r="K3524" s="16" t="n">
        <v>15</v>
      </c>
      <c r="L3524" s="2" t="inlineStr">
        <is>
          <t>20260609000199</t>
        </is>
      </c>
      <c r="M3524" s="8">
        <f>HYPERLINK("https://dart.fss.or.kr/dsaf001/main.do?rcpNo=20260609000199", "공시열람")</f>
        <v/>
      </c>
    </row>
    <row r="3525" ht="22" customHeight="1">
      <c r="A3525" s="2" t="inlineStr">
        <is>
          <t>2026-06-09</t>
        </is>
      </c>
      <c r="B3525" s="3" t="inlineStr">
        <is>
          <t>LG디스플레이</t>
        </is>
      </c>
      <c r="C3525" s="2" t="inlineStr">
        <is>
          <t>034220</t>
        </is>
      </c>
      <c r="D3525" s="2" t="inlineStr">
        <is>
          <t>대량보유</t>
        </is>
      </c>
      <c r="E3525" s="3" t="inlineStr">
        <is>
          <t>BlackRockInvestmentManagement,LLC</t>
        </is>
      </c>
      <c r="F3525" s="3" t="inlineStr">
        <is>
          <t>특별관계자</t>
        </is>
      </c>
      <c r="G3525" s="3" t="inlineStr">
        <is>
          <t>장내매도(-), 장내매수(+)</t>
        </is>
      </c>
      <c r="H3525" s="15" t="n">
        <v>394945</v>
      </c>
      <c r="I3525" s="6" t="n">
        <v>14188</v>
      </c>
      <c r="J3525" s="6" t="n">
        <v>1959874</v>
      </c>
      <c r="K3525" s="16" t="n">
        <v>15</v>
      </c>
      <c r="L3525" s="2" t="inlineStr">
        <is>
          <t>20260609000199</t>
        </is>
      </c>
      <c r="M3525" s="8">
        <f>HYPERLINK("https://dart.fss.or.kr/dsaf001/main.do?rcpNo=20260609000199", "공시열람")</f>
        <v/>
      </c>
    </row>
    <row r="3526" ht="22" customHeight="1">
      <c r="A3526" s="2" t="inlineStr">
        <is>
          <t>2026-06-09</t>
        </is>
      </c>
      <c r="B3526" s="3" t="inlineStr">
        <is>
          <t>LG디스플레이</t>
        </is>
      </c>
      <c r="C3526" s="2" t="inlineStr">
        <is>
          <t>034220</t>
        </is>
      </c>
      <c r="D3526" s="2" t="inlineStr">
        <is>
          <t>대량보유</t>
        </is>
      </c>
      <c r="E3526" s="3" t="inlineStr">
        <is>
          <t>BlackRockInvestmentManagement(UK)Limited</t>
        </is>
      </c>
      <c r="F3526" s="3" t="inlineStr">
        <is>
          <t>특별관계자</t>
        </is>
      </c>
      <c r="G3526" s="3" t="inlineStr">
        <is>
          <t>장내매수(+), 장내매도(-)</t>
        </is>
      </c>
      <c r="H3526" s="17" t="n">
        <v>-2716</v>
      </c>
      <c r="I3526" s="6" t="n">
        <v>14557</v>
      </c>
      <c r="J3526" s="6" t="n">
        <v>1957158</v>
      </c>
      <c r="K3526" s="16" t="n">
        <v>15</v>
      </c>
      <c r="L3526" s="2" t="inlineStr">
        <is>
          <t>20260609000199</t>
        </is>
      </c>
      <c r="M3526" s="8">
        <f>HYPERLINK("https://dart.fss.or.kr/dsaf001/main.do?rcpNo=20260609000199", "공시열람")</f>
        <v/>
      </c>
    </row>
    <row r="3527" ht="22" customHeight="1">
      <c r="A3527" s="2" t="inlineStr">
        <is>
          <t>2026-06-09</t>
        </is>
      </c>
      <c r="B3527" s="3" t="inlineStr">
        <is>
          <t>LG디스플레이</t>
        </is>
      </c>
      <c r="C3527" s="2" t="inlineStr">
        <is>
          <t>034220</t>
        </is>
      </c>
      <c r="D3527" s="2" t="inlineStr">
        <is>
          <t>대량보유</t>
        </is>
      </c>
      <c r="E3527" s="3" t="inlineStr">
        <is>
          <t>BlackRockAssetManagementCanadaLimited</t>
        </is>
      </c>
      <c r="F3527" s="3" t="inlineStr">
        <is>
          <t>특별관계자</t>
        </is>
      </c>
      <c r="G3527" s="3" t="inlineStr">
        <is>
          <t>장내매도(-)</t>
        </is>
      </c>
      <c r="H3527" s="17" t="n">
        <v>-21926</v>
      </c>
      <c r="I3527" s="6" t="n">
        <v>16090</v>
      </c>
      <c r="J3527" s="6" t="n">
        <v>691765</v>
      </c>
      <c r="K3527" s="16" t="n">
        <v>15</v>
      </c>
      <c r="L3527" s="2" t="inlineStr">
        <is>
          <t>20260609000199</t>
        </is>
      </c>
      <c r="M3527" s="8">
        <f>HYPERLINK("https://dart.fss.or.kr/dsaf001/main.do?rcpNo=20260609000199", "공시열람")</f>
        <v/>
      </c>
    </row>
    <row r="3528" ht="22" customHeight="1">
      <c r="A3528" s="2" t="inlineStr">
        <is>
          <t>2026-06-09</t>
        </is>
      </c>
      <c r="B3528" s="3" t="inlineStr">
        <is>
          <t>LG디스플레이</t>
        </is>
      </c>
      <c r="C3528" s="2" t="inlineStr">
        <is>
          <t>034220</t>
        </is>
      </c>
      <c r="D3528" s="2" t="inlineStr">
        <is>
          <t>대량보유</t>
        </is>
      </c>
      <c r="E3528" s="3" t="inlineStr">
        <is>
          <t>BlackRockAssetManagementNorthAsiaLimited</t>
        </is>
      </c>
      <c r="F3528" s="3" t="inlineStr">
        <is>
          <t>특별관계자</t>
        </is>
      </c>
      <c r="G3528" s="3" t="inlineStr">
        <is>
          <t>장내매도(-), 장내매수(+)</t>
        </is>
      </c>
      <c r="H3528" s="17" t="n">
        <v>-40436</v>
      </c>
      <c r="I3528" s="6" t="n">
        <v>15989</v>
      </c>
      <c r="J3528" s="6" t="n">
        <v>137897</v>
      </c>
      <c r="K3528" s="16" t="n">
        <v>15</v>
      </c>
      <c r="L3528" s="2" t="inlineStr">
        <is>
          <t>20260609000199</t>
        </is>
      </c>
      <c r="M3528" s="8">
        <f>HYPERLINK("https://dart.fss.or.kr/dsaf001/main.do?rcpNo=20260609000199", "공시열람")</f>
        <v/>
      </c>
    </row>
    <row r="3529" ht="22" customHeight="1">
      <c r="A3529" s="2" t="inlineStr">
        <is>
          <t>2026-06-09</t>
        </is>
      </c>
      <c r="B3529" s="3" t="inlineStr">
        <is>
          <t>LG디스플레이</t>
        </is>
      </c>
      <c r="C3529" s="2" t="inlineStr">
        <is>
          <t>034220</t>
        </is>
      </c>
      <c r="D3529" s="2" t="inlineStr">
        <is>
          <t>대량보유</t>
        </is>
      </c>
      <c r="E3529" s="3" t="inlineStr">
        <is>
          <t>BlackRockJapanCo.,Ltd.</t>
        </is>
      </c>
      <c r="F3529" s="3" t="inlineStr">
        <is>
          <t>특별관계자</t>
        </is>
      </c>
      <c r="G3529" s="3" t="inlineStr">
        <is>
          <t>장내매도(-)</t>
        </is>
      </c>
      <c r="H3529" s="17" t="n">
        <v>-47475</v>
      </c>
      <c r="I3529" s="6" t="n">
        <v>14197</v>
      </c>
      <c r="J3529" s="6" t="n">
        <v>254300</v>
      </c>
      <c r="K3529" s="16" t="n">
        <v>15</v>
      </c>
      <c r="L3529" s="2" t="inlineStr">
        <is>
          <t>20260609000199</t>
        </is>
      </c>
      <c r="M3529" s="8">
        <f>HYPERLINK("https://dart.fss.or.kr/dsaf001/main.do?rcpNo=20260609000199", "공시열람")</f>
        <v/>
      </c>
    </row>
    <row r="3530" ht="22" customHeight="1">
      <c r="A3530" s="2" t="inlineStr">
        <is>
          <t>2026-06-09</t>
        </is>
      </c>
      <c r="B3530" s="3" t="inlineStr">
        <is>
          <t>LG디스플레이</t>
        </is>
      </c>
      <c r="C3530" s="2" t="inlineStr">
        <is>
          <t>034220</t>
        </is>
      </c>
      <c r="D3530" s="2" t="inlineStr">
        <is>
          <t>대량보유</t>
        </is>
      </c>
      <c r="E3530" s="3" t="inlineStr">
        <is>
          <t>BlackRockAdvisors,LLC</t>
        </is>
      </c>
      <c r="F3530" s="3" t="inlineStr">
        <is>
          <t>특별관계자</t>
        </is>
      </c>
      <c r="G3530" s="3" t="inlineStr">
        <is>
          <t>장내매도(-), 장내매수(+)</t>
        </is>
      </c>
      <c r="H3530" s="17" t="n">
        <v>-3435</v>
      </c>
      <c r="I3530" s="6" t="n">
        <v>14116</v>
      </c>
      <c r="J3530" s="6" t="n">
        <v>23418</v>
      </c>
      <c r="K3530" s="16" t="n">
        <v>15</v>
      </c>
      <c r="L3530" s="2" t="inlineStr">
        <is>
          <t>20260609000199</t>
        </is>
      </c>
      <c r="M3530" s="8">
        <f>HYPERLINK("https://dart.fss.or.kr/dsaf001/main.do?rcpNo=20260609000199", "공시열람")</f>
        <v/>
      </c>
    </row>
    <row r="3531" ht="22" customHeight="1">
      <c r="A3531" s="2" t="inlineStr">
        <is>
          <t>2026-06-09</t>
        </is>
      </c>
      <c r="B3531" s="3" t="inlineStr">
        <is>
          <t>LG디스플레이</t>
        </is>
      </c>
      <c r="C3531" s="2" t="inlineStr">
        <is>
          <t>034220</t>
        </is>
      </c>
      <c r="D3531" s="2" t="inlineStr">
        <is>
          <t>대량보유</t>
        </is>
      </c>
      <c r="E3531" s="3" t="inlineStr">
        <is>
          <t>BlackRockInvestmentManagement(Australia)Limited</t>
        </is>
      </c>
      <c r="F3531" s="3" t="inlineStr">
        <is>
          <t>특별관계자</t>
        </is>
      </c>
      <c r="G3531" s="3" t="inlineStr">
        <is>
          <t>장내매수(+), 장내매도(-)</t>
        </is>
      </c>
      <c r="H3531" s="15" t="n">
        <v>4502</v>
      </c>
      <c r="I3531" s="6" t="n">
        <v>15162</v>
      </c>
      <c r="J3531" s="6" t="n">
        <v>100921</v>
      </c>
      <c r="K3531" s="16" t="n">
        <v>15</v>
      </c>
      <c r="L3531" s="2" t="inlineStr">
        <is>
          <t>20260609000199</t>
        </is>
      </c>
      <c r="M3531" s="8">
        <f>HYPERLINK("https://dart.fss.or.kr/dsaf001/main.do?rcpNo=20260609000199", "공시열람")</f>
        <v/>
      </c>
    </row>
    <row r="3532" ht="22" customHeight="1">
      <c r="A3532" s="2" t="inlineStr">
        <is>
          <t>2026-06-09</t>
        </is>
      </c>
      <c r="B3532" s="3" t="inlineStr">
        <is>
          <t>LG디스플레이</t>
        </is>
      </c>
      <c r="C3532" s="2" t="inlineStr">
        <is>
          <t>034220</t>
        </is>
      </c>
      <c r="D3532" s="2" t="inlineStr">
        <is>
          <t>대량보유</t>
        </is>
      </c>
      <c r="E3532" s="3" t="inlineStr">
        <is>
          <t>BlackRock(Singapore)Limited</t>
        </is>
      </c>
      <c r="F3532" s="3" t="inlineStr">
        <is>
          <t>특별관계자</t>
        </is>
      </c>
      <c r="G3532" s="3" t="inlineStr">
        <is>
          <t>장내매수(+), 장내매도(-)</t>
        </is>
      </c>
      <c r="H3532" s="17" t="n">
        <v>-91588</v>
      </c>
      <c r="I3532" s="6" t="n">
        <v>16089</v>
      </c>
      <c r="J3532" s="6" t="n">
        <v>56631</v>
      </c>
      <c r="K3532" s="16" t="n">
        <v>15</v>
      </c>
      <c r="L3532" s="2" t="inlineStr">
        <is>
          <t>20260609000199</t>
        </is>
      </c>
      <c r="M3532" s="8">
        <f>HYPERLINK("https://dart.fss.or.kr/dsaf001/main.do?rcpNo=20260609000199", "공시열람")</f>
        <v/>
      </c>
    </row>
    <row r="3533" ht="22" customHeight="1">
      <c r="A3533" s="2" t="inlineStr">
        <is>
          <t>2026-06-09</t>
        </is>
      </c>
      <c r="B3533" s="3" t="inlineStr">
        <is>
          <t>LG디스플레이</t>
        </is>
      </c>
      <c r="C3533" s="2" t="inlineStr">
        <is>
          <t>034220</t>
        </is>
      </c>
      <c r="D3533" s="2" t="inlineStr">
        <is>
          <t>대량보유</t>
        </is>
      </c>
      <c r="E3533" s="3" t="inlineStr">
        <is>
          <t>AperioGroupLLC</t>
        </is>
      </c>
      <c r="F3533" s="3" t="inlineStr">
        <is>
          <t>특별관계자</t>
        </is>
      </c>
      <c r="G3533" s="3" t="inlineStr">
        <is>
          <t>장외매수(+)</t>
        </is>
      </c>
      <c r="H3533" s="15" t="n">
        <v>989064</v>
      </c>
      <c r="I3533" s="6" t="n">
        <v>5</v>
      </c>
      <c r="J3533" s="6" t="n">
        <v>6676635</v>
      </c>
      <c r="K3533" s="16" t="n">
        <v>15</v>
      </c>
      <c r="L3533" s="2" t="inlineStr">
        <is>
          <t>20260609000199</t>
        </is>
      </c>
      <c r="M3533" s="8">
        <f>HYPERLINK("https://dart.fss.or.kr/dsaf001/main.do?rcpNo=20260609000199", "공시열람")</f>
        <v/>
      </c>
    </row>
    <row r="3534" ht="22" customHeight="1">
      <c r="A3534" s="2" t="inlineStr">
        <is>
          <t>2026-06-09</t>
        </is>
      </c>
      <c r="B3534" s="3" t="inlineStr">
        <is>
          <t>HLB</t>
        </is>
      </c>
      <c r="C3534" s="2" t="inlineStr">
        <is>
          <t>028300</t>
        </is>
      </c>
      <c r="D3534" s="2" t="inlineStr">
        <is>
          <t>대량보유</t>
        </is>
      </c>
      <c r="E3534" s="3" t="inlineStr">
        <is>
          <t>BlackRockFundAdvisors</t>
        </is>
      </c>
      <c r="F3534" s="3" t="inlineStr">
        <is>
          <t>특별관계자</t>
        </is>
      </c>
      <c r="G3534" s="3" t="inlineStr">
        <is>
          <t>장내매수(+), 장내매도(-)</t>
        </is>
      </c>
      <c r="H3534" s="15" t="n">
        <v>1226999</v>
      </c>
      <c r="I3534" s="6" t="n">
        <v>52226</v>
      </c>
      <c r="J3534" s="6" t="n">
        <v>4507281</v>
      </c>
      <c r="K3534" s="16" t="n">
        <v>12</v>
      </c>
      <c r="L3534" s="2" t="inlineStr">
        <is>
          <t>20260609000183</t>
        </is>
      </c>
      <c r="M3534" s="8">
        <f>HYPERLINK("https://dart.fss.or.kr/dsaf001/main.do?rcpNo=20260609000183", "공시열람")</f>
        <v/>
      </c>
    </row>
    <row r="3535" ht="22" customHeight="1">
      <c r="A3535" s="2" t="inlineStr">
        <is>
          <t>2026-06-09</t>
        </is>
      </c>
      <c r="B3535" s="3" t="inlineStr">
        <is>
          <t>HLB</t>
        </is>
      </c>
      <c r="C3535" s="2" t="inlineStr">
        <is>
          <t>028300</t>
        </is>
      </c>
      <c r="D3535" s="2" t="inlineStr">
        <is>
          <t>대량보유</t>
        </is>
      </c>
      <c r="E3535" s="3" t="inlineStr">
        <is>
          <t>BlackRockInstitutionalTrustCompany,N.A.</t>
        </is>
      </c>
      <c r="F3535" s="3" t="inlineStr">
        <is>
          <t>특별관계자</t>
        </is>
      </c>
      <c r="G3535" s="3" t="inlineStr">
        <is>
          <t>장내매수(+), 장내매도(-)</t>
        </is>
      </c>
      <c r="H3535" s="17" t="n">
        <v>-8197</v>
      </c>
      <c r="I3535" s="6" t="n">
        <v>53675</v>
      </c>
      <c r="J3535" s="6" t="n">
        <v>1421935</v>
      </c>
      <c r="K3535" s="16" t="n">
        <v>12</v>
      </c>
      <c r="L3535" s="2" t="inlineStr">
        <is>
          <t>20260609000183</t>
        </is>
      </c>
      <c r="M3535" s="8">
        <f>HYPERLINK("https://dart.fss.or.kr/dsaf001/main.do?rcpNo=20260609000183", "공시열람")</f>
        <v/>
      </c>
    </row>
    <row r="3536" ht="22" customHeight="1">
      <c r="A3536" s="2" t="inlineStr">
        <is>
          <t>2026-06-09</t>
        </is>
      </c>
      <c r="B3536" s="3" t="inlineStr">
        <is>
          <t>HLB</t>
        </is>
      </c>
      <c r="C3536" s="2" t="inlineStr">
        <is>
          <t>028300</t>
        </is>
      </c>
      <c r="D3536" s="2" t="inlineStr">
        <is>
          <t>대량보유</t>
        </is>
      </c>
      <c r="E3536" s="3" t="inlineStr">
        <is>
          <t>BlackRockAdvisors(UK)Limited</t>
        </is>
      </c>
      <c r="F3536" s="3" t="inlineStr">
        <is>
          <t>특별관계자</t>
        </is>
      </c>
      <c r="G3536" s="3" t="inlineStr">
        <is>
          <t>장내매수(+), 장내매도(-)</t>
        </is>
      </c>
      <c r="H3536" s="15" t="n">
        <v>194455</v>
      </c>
      <c r="I3536" s="6" t="n">
        <v>53060</v>
      </c>
      <c r="J3536" s="6" t="n">
        <v>1316872</v>
      </c>
      <c r="K3536" s="16" t="n">
        <v>12</v>
      </c>
      <c r="L3536" s="2" t="inlineStr">
        <is>
          <t>20260609000183</t>
        </is>
      </c>
      <c r="M3536" s="8">
        <f>HYPERLINK("https://dart.fss.or.kr/dsaf001/main.do?rcpNo=20260609000183", "공시열람")</f>
        <v/>
      </c>
    </row>
    <row r="3537" ht="22" customHeight="1">
      <c r="A3537" s="2" t="inlineStr">
        <is>
          <t>2026-06-09</t>
        </is>
      </c>
      <c r="B3537" s="3" t="inlineStr">
        <is>
          <t>HLB</t>
        </is>
      </c>
      <c r="C3537" s="2" t="inlineStr">
        <is>
          <t>028300</t>
        </is>
      </c>
      <c r="D3537" s="2" t="inlineStr">
        <is>
          <t>대량보유</t>
        </is>
      </c>
      <c r="E3537" s="3" t="inlineStr">
        <is>
          <t>BlackRockFinancialManagement,Inc</t>
        </is>
      </c>
      <c r="F3537" s="3" t="inlineStr">
        <is>
          <t>특별관계자</t>
        </is>
      </c>
      <c r="G3537" s="3" t="inlineStr">
        <is>
          <t>장내매도(-)</t>
        </is>
      </c>
      <c r="H3537" s="17" t="n">
        <v>-5279</v>
      </c>
      <c r="I3537" s="6" t="n">
        <v>60344</v>
      </c>
      <c r="J3537" s="6" t="n">
        <v>31107</v>
      </c>
      <c r="K3537" s="16" t="n">
        <v>12</v>
      </c>
      <c r="L3537" s="2" t="inlineStr">
        <is>
          <t>20260609000183</t>
        </is>
      </c>
      <c r="M3537" s="8">
        <f>HYPERLINK("https://dart.fss.or.kr/dsaf001/main.do?rcpNo=20260609000183", "공시열람")</f>
        <v/>
      </c>
    </row>
    <row r="3538" ht="22" customHeight="1">
      <c r="A3538" s="2" t="inlineStr">
        <is>
          <t>2026-06-09</t>
        </is>
      </c>
      <c r="B3538" s="3" t="inlineStr">
        <is>
          <t>HLB</t>
        </is>
      </c>
      <c r="C3538" s="2" t="inlineStr">
        <is>
          <t>028300</t>
        </is>
      </c>
      <c r="D3538" s="2" t="inlineStr">
        <is>
          <t>대량보유</t>
        </is>
      </c>
      <c r="E3538" s="3" t="inlineStr">
        <is>
          <t>BlackRockInvestmentManagement(UK)Limited</t>
        </is>
      </c>
      <c r="F3538" s="3" t="inlineStr">
        <is>
          <t>특별관계자</t>
        </is>
      </c>
      <c r="G3538" s="3" t="inlineStr">
        <is>
          <t>장내매도(-), 장내매수(+)</t>
        </is>
      </c>
      <c r="H3538" s="17" t="n">
        <v>-9110</v>
      </c>
      <c r="I3538" s="6" t="n">
        <v>52214</v>
      </c>
      <c r="J3538" s="6" t="n">
        <v>443410</v>
      </c>
      <c r="K3538" s="16" t="n">
        <v>12</v>
      </c>
      <c r="L3538" s="2" t="inlineStr">
        <is>
          <t>20260609000183</t>
        </is>
      </c>
      <c r="M3538" s="8">
        <f>HYPERLINK("https://dart.fss.or.kr/dsaf001/main.do?rcpNo=20260609000183", "공시열람")</f>
        <v/>
      </c>
    </row>
    <row r="3539" ht="22" customHeight="1">
      <c r="A3539" s="2" t="inlineStr">
        <is>
          <t>2026-06-09</t>
        </is>
      </c>
      <c r="B3539" s="3" t="inlineStr">
        <is>
          <t>HLB</t>
        </is>
      </c>
      <c r="C3539" s="2" t="inlineStr">
        <is>
          <t>028300</t>
        </is>
      </c>
      <c r="D3539" s="2" t="inlineStr">
        <is>
          <t>대량보유</t>
        </is>
      </c>
      <c r="E3539" s="3" t="inlineStr">
        <is>
          <t>BlackRockAssetManagementCanadaLimited</t>
        </is>
      </c>
      <c r="F3539" s="3" t="inlineStr">
        <is>
          <t>특별관계자</t>
        </is>
      </c>
      <c r="G3539" s="3" t="inlineStr">
        <is>
          <t>장내매수(+), 장내매도(-)</t>
        </is>
      </c>
      <c r="H3539" s="15" t="n">
        <v>2227</v>
      </c>
      <c r="I3539" s="6" t="n">
        <v>61268</v>
      </c>
      <c r="J3539" s="6" t="n">
        <v>39090</v>
      </c>
      <c r="K3539" s="16" t="n">
        <v>12</v>
      </c>
      <c r="L3539" s="2" t="inlineStr">
        <is>
          <t>20260609000183</t>
        </is>
      </c>
      <c r="M3539" s="8">
        <f>HYPERLINK("https://dart.fss.or.kr/dsaf001/main.do?rcpNo=20260609000183", "공시열람")</f>
        <v/>
      </c>
    </row>
    <row r="3540" ht="22" customHeight="1">
      <c r="A3540" s="2" t="inlineStr">
        <is>
          <t>2026-06-09</t>
        </is>
      </c>
      <c r="B3540" s="3" t="inlineStr">
        <is>
          <t>HLB</t>
        </is>
      </c>
      <c r="C3540" s="2" t="inlineStr">
        <is>
          <t>028300</t>
        </is>
      </c>
      <c r="D3540" s="2" t="inlineStr">
        <is>
          <t>대량보유</t>
        </is>
      </c>
      <c r="E3540" s="3" t="inlineStr">
        <is>
          <t>BlackRockAssetManagementNorthAsiaLimited</t>
        </is>
      </c>
      <c r="F3540" s="3" t="inlineStr">
        <is>
          <t>특별관계자</t>
        </is>
      </c>
      <c r="G3540" s="3" t="inlineStr">
        <is>
          <t>장내매도(-), 장내매수(+)</t>
        </is>
      </c>
      <c r="H3540" s="17" t="n">
        <v>-5706</v>
      </c>
      <c r="I3540" s="6" t="n">
        <v>53220</v>
      </c>
      <c r="J3540" s="6" t="n">
        <v>59562</v>
      </c>
      <c r="K3540" s="16" t="n">
        <v>12</v>
      </c>
      <c r="L3540" s="2" t="inlineStr">
        <is>
          <t>20260609000183</t>
        </is>
      </c>
      <c r="M3540" s="8">
        <f>HYPERLINK("https://dart.fss.or.kr/dsaf001/main.do?rcpNo=20260609000183", "공시열람")</f>
        <v/>
      </c>
    </row>
    <row r="3541" ht="22" customHeight="1">
      <c r="A3541" s="2" t="inlineStr">
        <is>
          <t>2026-06-09</t>
        </is>
      </c>
      <c r="B3541" s="3" t="inlineStr">
        <is>
          <t>HLB</t>
        </is>
      </c>
      <c r="C3541" s="2" t="inlineStr">
        <is>
          <t>028300</t>
        </is>
      </c>
      <c r="D3541" s="2" t="inlineStr">
        <is>
          <t>대량보유</t>
        </is>
      </c>
      <c r="E3541" s="3" t="inlineStr">
        <is>
          <t>BlackRockJapanCo.,Ltd.</t>
        </is>
      </c>
      <c r="F3541" s="3" t="inlineStr">
        <is>
          <t>특별관계자</t>
        </is>
      </c>
      <c r="G3541" s="3" t="inlineStr">
        <is>
          <t>장내매수(+), 장내매도(-)</t>
        </is>
      </c>
      <c r="H3541" s="15" t="n">
        <v>7505</v>
      </c>
      <c r="I3541" s="6" t="n">
        <v>54466</v>
      </c>
      <c r="J3541" s="6" t="n">
        <v>107658</v>
      </c>
      <c r="K3541" s="16" t="n">
        <v>12</v>
      </c>
      <c r="L3541" s="2" t="inlineStr">
        <is>
          <t>20260609000183</t>
        </is>
      </c>
      <c r="M3541" s="8">
        <f>HYPERLINK("https://dart.fss.or.kr/dsaf001/main.do?rcpNo=20260609000183", "공시열람")</f>
        <v/>
      </c>
    </row>
    <row r="3542" ht="22" customHeight="1">
      <c r="A3542" s="2" t="inlineStr">
        <is>
          <t>2026-06-09</t>
        </is>
      </c>
      <c r="B3542" s="3" t="inlineStr">
        <is>
          <t>HLB</t>
        </is>
      </c>
      <c r="C3542" s="2" t="inlineStr">
        <is>
          <t>028300</t>
        </is>
      </c>
      <c r="D3542" s="2" t="inlineStr">
        <is>
          <t>대량보유</t>
        </is>
      </c>
      <c r="E3542" s="3" t="inlineStr">
        <is>
          <t>BlackRock(Netherlands)B.V.</t>
        </is>
      </c>
      <c r="F3542" s="3" t="inlineStr">
        <is>
          <t>특별관계자</t>
        </is>
      </c>
      <c r="G3542" s="3" t="inlineStr">
        <is>
          <t>장내매도(-)</t>
        </is>
      </c>
      <c r="H3542" s="17" t="n">
        <v>-4226</v>
      </c>
      <c r="I3542" s="6" t="n">
        <v>60800</v>
      </c>
      <c r="J3542" s="6" t="n">
        <v>40201</v>
      </c>
      <c r="K3542" s="16" t="n">
        <v>12</v>
      </c>
      <c r="L3542" s="2" t="inlineStr">
        <is>
          <t>20260609000183</t>
        </is>
      </c>
      <c r="M3542" s="8">
        <f>HYPERLINK("https://dart.fss.or.kr/dsaf001/main.do?rcpNo=20260609000183", "공시열람")</f>
        <v/>
      </c>
    </row>
    <row r="3543" ht="22" customHeight="1">
      <c r="A3543" s="2" t="inlineStr">
        <is>
          <t>2026-06-09</t>
        </is>
      </c>
      <c r="B3543" s="3" t="inlineStr">
        <is>
          <t>HLB</t>
        </is>
      </c>
      <c r="C3543" s="2" t="inlineStr">
        <is>
          <t>028300</t>
        </is>
      </c>
      <c r="D3543" s="2" t="inlineStr">
        <is>
          <t>대량보유</t>
        </is>
      </c>
      <c r="E3543" s="3" t="inlineStr">
        <is>
          <t>BlackRockInvestmentManagement(Australia)Limited</t>
        </is>
      </c>
      <c r="F3543" s="3" t="inlineStr">
        <is>
          <t>특별관계자</t>
        </is>
      </c>
      <c r="G3543" s="3" t="inlineStr">
        <is>
          <t>장내매수(+), 장내매도(-)</t>
        </is>
      </c>
      <c r="H3543" s="15" t="n">
        <v>365</v>
      </c>
      <c r="I3543" s="6" t="n">
        <v>51841</v>
      </c>
      <c r="J3543" s="6" t="n">
        <v>36009</v>
      </c>
      <c r="K3543" s="16" t="n">
        <v>12</v>
      </c>
      <c r="L3543" s="2" t="inlineStr">
        <is>
          <t>20260609000183</t>
        </is>
      </c>
      <c r="M3543" s="8">
        <f>HYPERLINK("https://dart.fss.or.kr/dsaf001/main.do?rcpNo=20260609000183", "공시열람")</f>
        <v/>
      </c>
    </row>
    <row r="3544" ht="22" customHeight="1">
      <c r="A3544" s="2" t="inlineStr">
        <is>
          <t>2026-06-09</t>
        </is>
      </c>
      <c r="B3544" s="3" t="inlineStr">
        <is>
          <t>HLB</t>
        </is>
      </c>
      <c r="C3544" s="2" t="inlineStr">
        <is>
          <t>028300</t>
        </is>
      </c>
      <c r="D3544" s="2" t="inlineStr">
        <is>
          <t>대량보유</t>
        </is>
      </c>
      <c r="E3544" s="3" t="inlineStr">
        <is>
          <t>BlackRock(Singapore)Limited</t>
        </is>
      </c>
      <c r="F3544" s="3" t="inlineStr">
        <is>
          <t>특별관계자</t>
        </is>
      </c>
      <c r="G3544" s="3" t="inlineStr">
        <is>
          <t>장내매도(-), 장내매수(+)</t>
        </is>
      </c>
      <c r="H3544" s="17" t="n">
        <v>-7736</v>
      </c>
      <c r="I3544" s="6" t="n">
        <v>50667</v>
      </c>
      <c r="J3544" s="6" t="n">
        <v>39480</v>
      </c>
      <c r="K3544" s="16" t="n">
        <v>12</v>
      </c>
      <c r="L3544" s="2" t="inlineStr">
        <is>
          <t>20260609000183</t>
        </is>
      </c>
      <c r="M3544" s="8">
        <f>HYPERLINK("https://dart.fss.or.kr/dsaf001/main.do?rcpNo=20260609000183", "공시열람")</f>
        <v/>
      </c>
    </row>
    <row r="3545" ht="22" customHeight="1">
      <c r="A3545" s="2" t="inlineStr">
        <is>
          <t>2026-06-09</t>
        </is>
      </c>
      <c r="B3545" s="3" t="inlineStr">
        <is>
          <t>한미사이언스</t>
        </is>
      </c>
      <c r="C3545" s="2" t="inlineStr">
        <is>
          <t>008930</t>
        </is>
      </c>
      <c r="D3545" s="2" t="inlineStr">
        <is>
          <t>임원보고</t>
        </is>
      </c>
      <c r="E3545" s="3" t="inlineStr">
        <is>
          <t>-</t>
        </is>
      </c>
      <c r="F3545" s="3" t="inlineStr">
        <is>
          <t>-</t>
        </is>
      </c>
      <c r="G3545" s="3" t="inlineStr">
        <is>
          <t>-</t>
        </is>
      </c>
      <c r="H3545" s="6" t="inlineStr"/>
      <c r="I3545" s="6" t="inlineStr"/>
      <c r="J3545" s="6" t="inlineStr"/>
      <c r="K3545" s="16" t="n">
        <v>12</v>
      </c>
      <c r="L3545" s="2" t="inlineStr">
        <is>
          <t>20260609800350</t>
        </is>
      </c>
      <c r="M3545" s="8">
        <f>HYPERLINK("https://dart.fss.or.kr/dsaf001/main.do?rcpNo=20260609800350", "공시열람")</f>
        <v/>
      </c>
    </row>
    <row r="3546" ht="22" customHeight="1">
      <c r="A3546" s="2" t="inlineStr">
        <is>
          <t>2026-06-09</t>
        </is>
      </c>
      <c r="B3546" s="3" t="inlineStr">
        <is>
          <t>미창석유공업</t>
        </is>
      </c>
      <c r="C3546" s="2" t="inlineStr">
        <is>
          <t>003650</t>
        </is>
      </c>
      <c r="D3546" s="2" t="inlineStr">
        <is>
          <t>대량보유</t>
        </is>
      </c>
      <c r="E3546" s="3" t="inlineStr">
        <is>
          <t>유재순</t>
        </is>
      </c>
      <c r="F3546" s="3" t="inlineStr">
        <is>
          <t>보고자</t>
        </is>
      </c>
      <c r="G3546" s="3" t="inlineStr">
        <is>
          <t>증여세 연부연납을 신청하고자 유가증권 일부를 담보로 공탁함.</t>
        </is>
      </c>
      <c r="H3546" s="6" t="inlineStr"/>
      <c r="I3546" s="6" t="inlineStr"/>
      <c r="J3546" s="6" t="n">
        <v>700059</v>
      </c>
      <c r="K3546" s="16" t="n">
        <v>3</v>
      </c>
      <c r="L3546" s="2" t="inlineStr">
        <is>
          <t>20260609000173</t>
        </is>
      </c>
      <c r="M3546" s="8">
        <f>HYPERLINK("https://dart.fss.or.kr/dsaf001/main.do?rcpNo=20260609000173", "공시열람")</f>
        <v/>
      </c>
    </row>
    <row r="3547" ht="22" customHeight="1">
      <c r="A3547" s="2" t="inlineStr">
        <is>
          <t>2026-06-09</t>
        </is>
      </c>
      <c r="B3547" s="3" t="inlineStr">
        <is>
          <t>솔브레인</t>
        </is>
      </c>
      <c r="C3547" s="2" t="inlineStr">
        <is>
          <t>357780</t>
        </is>
      </c>
      <c r="D3547" s="2" t="inlineStr">
        <is>
          <t>대량보유</t>
        </is>
      </c>
      <c r="E3547" s="3" t="inlineStr">
        <is>
          <t>FF2-GBLDISCOVFD</t>
        </is>
      </c>
      <c r="F3547" s="3" t="inlineStr">
        <is>
          <t>특별관계자</t>
        </is>
      </c>
      <c r="G3547" s="3" t="inlineStr">
        <is>
          <t>장내매도(-)</t>
        </is>
      </c>
      <c r="H3547" s="17" t="n">
        <v>-61</v>
      </c>
      <c r="I3547" s="6" t="n">
        <v>496155</v>
      </c>
      <c r="J3547" s="6" t="n">
        <v>158</v>
      </c>
      <c r="K3547" s="16" t="n">
        <v>28</v>
      </c>
      <c r="L3547" s="2" t="inlineStr">
        <is>
          <t>20260609000160</t>
        </is>
      </c>
      <c r="M3547" s="8">
        <f>HYPERLINK("https://dart.fss.or.kr/dsaf001/main.do?rcpNo=20260609000160", "공시열람")</f>
        <v/>
      </c>
    </row>
    <row r="3548" ht="22" customHeight="1">
      <c r="A3548" s="2" t="inlineStr">
        <is>
          <t>2026-06-09</t>
        </is>
      </c>
      <c r="B3548" s="3" t="inlineStr">
        <is>
          <t>솔브레인</t>
        </is>
      </c>
      <c r="C3548" s="2" t="inlineStr">
        <is>
          <t>357780</t>
        </is>
      </c>
      <c r="D3548" s="2" t="inlineStr">
        <is>
          <t>대량보유</t>
        </is>
      </c>
      <c r="E3548" s="3" t="inlineStr">
        <is>
          <t>FIAMSELINTLSMCAP(T1056)</t>
        </is>
      </c>
      <c r="F3548" s="3" t="inlineStr">
        <is>
          <t>특별관계자</t>
        </is>
      </c>
      <c r="G3548" s="3" t="inlineStr">
        <is>
          <t>장내매도(-)</t>
        </is>
      </c>
      <c r="H3548" s="17" t="n">
        <v>-2800</v>
      </c>
      <c r="I3548" s="6" t="n">
        <v>460487</v>
      </c>
      <c r="J3548" s="6" t="n">
        <v>8455</v>
      </c>
      <c r="K3548" s="16" t="n">
        <v>28</v>
      </c>
      <c r="L3548" s="2" t="inlineStr">
        <is>
          <t>20260609000160</t>
        </is>
      </c>
      <c r="M3548" s="8">
        <f>HYPERLINK("https://dart.fss.or.kr/dsaf001/main.do?rcpNo=20260609000160", "공시열람")</f>
        <v/>
      </c>
    </row>
    <row r="3549" ht="22" customHeight="1">
      <c r="A3549" s="2" t="inlineStr">
        <is>
          <t>2026-06-09</t>
        </is>
      </c>
      <c r="B3549" s="3" t="inlineStr">
        <is>
          <t>솔브레인</t>
        </is>
      </c>
      <c r="C3549" s="2" t="inlineStr">
        <is>
          <t>357780</t>
        </is>
      </c>
      <c r="D3549" s="2" t="inlineStr">
        <is>
          <t>대량보유</t>
        </is>
      </c>
      <c r="E3549" s="3" t="inlineStr">
        <is>
          <t>FIDSRSINTRINSICOPPFND</t>
        </is>
      </c>
      <c r="F3549" s="3" t="inlineStr">
        <is>
          <t>특별관계자</t>
        </is>
      </c>
      <c r="G3549" s="3" t="inlineStr">
        <is>
          <t>장내매도(-)</t>
        </is>
      </c>
      <c r="H3549" s="17" t="n">
        <v>-10100</v>
      </c>
      <c r="I3549" s="6" t="n">
        <v>430411</v>
      </c>
      <c r="J3549" s="6" t="inlineStr"/>
      <c r="K3549" s="16" t="n">
        <v>28</v>
      </c>
      <c r="L3549" s="2" t="inlineStr">
        <is>
          <t>20260609000160</t>
        </is>
      </c>
      <c r="M3549" s="8">
        <f>HYPERLINK("https://dart.fss.or.kr/dsaf001/main.do?rcpNo=20260609000160", "공시열람")</f>
        <v/>
      </c>
    </row>
    <row r="3550" ht="22" customHeight="1">
      <c r="A3550" s="2" t="inlineStr">
        <is>
          <t>2026-06-09</t>
        </is>
      </c>
      <c r="B3550" s="3" t="inlineStr">
        <is>
          <t>솔브레인</t>
        </is>
      </c>
      <c r="C3550" s="2" t="inlineStr">
        <is>
          <t>357780</t>
        </is>
      </c>
      <c r="D3550" s="2" t="inlineStr">
        <is>
          <t>대량보유</t>
        </is>
      </c>
      <c r="E3550" s="3" t="inlineStr">
        <is>
          <t>FIDELITYNORTHSTARFUNDSUBB</t>
        </is>
      </c>
      <c r="F3550" s="3" t="inlineStr">
        <is>
          <t>특별관계자</t>
        </is>
      </c>
      <c r="G3550" s="3" t="inlineStr">
        <is>
          <t>장내매도(-)</t>
        </is>
      </c>
      <c r="H3550" s="17" t="n">
        <v>-5000</v>
      </c>
      <c r="I3550" s="6" t="n">
        <v>496155</v>
      </c>
      <c r="J3550" s="6" t="n">
        <v>6400</v>
      </c>
      <c r="K3550" s="16" t="n">
        <v>28</v>
      </c>
      <c r="L3550" s="2" t="inlineStr">
        <is>
          <t>20260609000160</t>
        </is>
      </c>
      <c r="M3550" s="8">
        <f>HYPERLINK("https://dart.fss.or.kr/dsaf001/main.do?rcpNo=20260609000160", "공시열람")</f>
        <v/>
      </c>
    </row>
    <row r="3551" ht="22" customHeight="1">
      <c r="A3551" s="2" t="inlineStr">
        <is>
          <t>2026-06-09</t>
        </is>
      </c>
      <c r="B3551" s="3" t="inlineStr">
        <is>
          <t>솔브레인</t>
        </is>
      </c>
      <c r="C3551" s="2" t="inlineStr">
        <is>
          <t>357780</t>
        </is>
      </c>
      <c r="D3551" s="2" t="inlineStr">
        <is>
          <t>대량보유</t>
        </is>
      </c>
      <c r="E3551" s="3" t="inlineStr">
        <is>
          <t>FIJITEMTVALADEQMTH</t>
        </is>
      </c>
      <c r="F3551" s="3" t="inlineStr">
        <is>
          <t>특별관계자</t>
        </is>
      </c>
      <c r="G3551" s="3" t="inlineStr">
        <is>
          <t>장내매도(-)</t>
        </is>
      </c>
      <c r="H3551" s="17" t="n">
        <v>-1000</v>
      </c>
      <c r="I3551" s="6" t="n">
        <v>432384</v>
      </c>
      <c r="J3551" s="6" t="n">
        <v>23368</v>
      </c>
      <c r="K3551" s="16" t="n">
        <v>28</v>
      </c>
      <c r="L3551" s="2" t="inlineStr">
        <is>
          <t>20260609000160</t>
        </is>
      </c>
      <c r="M3551" s="8">
        <f>HYPERLINK("https://dart.fss.or.kr/dsaf001/main.do?rcpNo=20260609000160", "공시열람")</f>
        <v/>
      </c>
    </row>
    <row r="3552" ht="22" customHeight="1">
      <c r="A3552" s="2" t="inlineStr">
        <is>
          <t>2026-06-09</t>
        </is>
      </c>
      <c r="B3552" s="3" t="inlineStr">
        <is>
          <t>솔브레인</t>
        </is>
      </c>
      <c r="C3552" s="2" t="inlineStr">
        <is>
          <t>357780</t>
        </is>
      </c>
      <c r="D3552" s="2" t="inlineStr">
        <is>
          <t>대량보유</t>
        </is>
      </c>
      <c r="E3552" s="3" t="inlineStr">
        <is>
          <t>VERZFIAMSELINTSMCPT55882</t>
        </is>
      </c>
      <c r="F3552" s="3" t="inlineStr">
        <is>
          <t>특별관계자</t>
        </is>
      </c>
      <c r="G3552" s="3" t="inlineStr">
        <is>
          <t>장내매도(-)</t>
        </is>
      </c>
      <c r="H3552" s="17" t="n">
        <v>-200</v>
      </c>
      <c r="I3552" s="6" t="n">
        <v>425388</v>
      </c>
      <c r="J3552" s="6" t="n">
        <v>5100</v>
      </c>
      <c r="K3552" s="16" t="n">
        <v>28</v>
      </c>
      <c r="L3552" s="2" t="inlineStr">
        <is>
          <t>20260609000160</t>
        </is>
      </c>
      <c r="M3552" s="8">
        <f>HYPERLINK("https://dart.fss.or.kr/dsaf001/main.do?rcpNo=20260609000160", "공시열람")</f>
        <v/>
      </c>
    </row>
    <row r="3553" ht="22" customHeight="1">
      <c r="A3553" s="2" t="inlineStr">
        <is>
          <t>2026-06-09</t>
        </is>
      </c>
      <c r="B3553" s="3" t="inlineStr">
        <is>
          <t>알로이스</t>
        </is>
      </c>
      <c r="C3553" s="2" t="inlineStr">
        <is>
          <t>297570</t>
        </is>
      </c>
      <c r="D3553" s="2" t="inlineStr">
        <is>
          <t>대량보유</t>
        </is>
      </c>
      <c r="E3553" s="3" t="inlineStr">
        <is>
          <t>미래산업(주)</t>
        </is>
      </c>
      <c r="F3553" s="3" t="inlineStr">
        <is>
          <t>특별관계자</t>
        </is>
      </c>
      <c r="G3553" s="3" t="inlineStr">
        <is>
          <t>장외매수(+)</t>
        </is>
      </c>
      <c r="H3553" s="15" t="n">
        <v>12751342</v>
      </c>
      <c r="I3553" s="6" t="n">
        <v>1600</v>
      </c>
      <c r="J3553" s="6" t="n">
        <v>12751342</v>
      </c>
      <c r="K3553" s="16" t="n">
        <v>2</v>
      </c>
      <c r="L3553" s="2" t="inlineStr">
        <is>
          <t>20260609000156</t>
        </is>
      </c>
      <c r="M3553" s="8">
        <f>HYPERLINK("https://dart.fss.or.kr/dsaf001/main.do?rcpNo=20260609000156", "공시열람")</f>
        <v/>
      </c>
    </row>
    <row r="3554" ht="22" customHeight="1">
      <c r="A3554" s="2" t="inlineStr">
        <is>
          <t>2026-06-09</t>
        </is>
      </c>
      <c r="B3554" s="3" t="inlineStr">
        <is>
          <t>알로이스</t>
        </is>
      </c>
      <c r="C3554" s="2" t="inlineStr">
        <is>
          <t>297570</t>
        </is>
      </c>
      <c r="D3554" s="2" t="inlineStr">
        <is>
          <t>대량보유</t>
        </is>
      </c>
      <c r="E3554" s="3" t="inlineStr">
        <is>
          <t>(주)로아앤코</t>
        </is>
      </c>
      <c r="F3554" s="3" t="inlineStr">
        <is>
          <t>특별관계자</t>
        </is>
      </c>
      <c r="G3554" s="3" t="inlineStr">
        <is>
          <t>기타(+)</t>
        </is>
      </c>
      <c r="H3554" s="6" t="inlineStr"/>
      <c r="I3554" s="6" t="inlineStr"/>
      <c r="J3554" s="6" t="n">
        <v>97876</v>
      </c>
      <c r="K3554" s="16" t="n">
        <v>2</v>
      </c>
      <c r="L3554" s="2" t="inlineStr">
        <is>
          <t>20260609000156</t>
        </is>
      </c>
      <c r="M3554" s="8">
        <f>HYPERLINK("https://dart.fss.or.kr/dsaf001/main.do?rcpNo=20260609000156", "공시열람")</f>
        <v/>
      </c>
    </row>
    <row r="3555" ht="22" customHeight="1">
      <c r="A3555" s="2" t="inlineStr">
        <is>
          <t>2026-06-09</t>
        </is>
      </c>
      <c r="B3555" s="3" t="inlineStr">
        <is>
          <t>알로이스</t>
        </is>
      </c>
      <c r="C3555" s="2" t="inlineStr">
        <is>
          <t>297570</t>
        </is>
      </c>
      <c r="D3555" s="2" t="inlineStr">
        <is>
          <t>대량보유</t>
        </is>
      </c>
      <c r="E3555" s="3" t="inlineStr">
        <is>
          <t>(주)에스엘에너지</t>
        </is>
      </c>
      <c r="F3555" s="3" t="inlineStr">
        <is>
          <t>특별관계자</t>
        </is>
      </c>
      <c r="G3555" s="3" t="inlineStr">
        <is>
          <t>기타(+)</t>
        </is>
      </c>
      <c r="H3555" s="6" t="inlineStr"/>
      <c r="I3555" s="6" t="inlineStr"/>
      <c r="J3555" s="6" t="n">
        <v>129076</v>
      </c>
      <c r="K3555" s="16" t="n">
        <v>2</v>
      </c>
      <c r="L3555" s="2" t="inlineStr">
        <is>
          <t>20260609000156</t>
        </is>
      </c>
      <c r="M3555" s="8">
        <f>HYPERLINK("https://dart.fss.or.kr/dsaf001/main.do?rcpNo=20260609000156", "공시열람")</f>
        <v/>
      </c>
    </row>
    <row r="3556" ht="22" customHeight="1">
      <c r="A3556" s="2" t="inlineStr">
        <is>
          <t>2026-06-09</t>
        </is>
      </c>
      <c r="B3556" s="3" t="inlineStr">
        <is>
          <t>HLB바이오스텝</t>
        </is>
      </c>
      <c r="C3556" s="2" t="inlineStr">
        <is>
          <t>278650</t>
        </is>
      </c>
      <c r="D3556" s="2" t="inlineStr">
        <is>
          <t>대량보유</t>
        </is>
      </c>
      <c r="E3556" s="3" t="inlineStr">
        <is>
          <t>진양곤</t>
        </is>
      </c>
      <c r="F3556" s="3" t="inlineStr">
        <is>
          <t>특별관계자</t>
        </is>
      </c>
      <c r="G3556" s="3" t="inlineStr">
        <is>
          <t>장내매수(+)</t>
        </is>
      </c>
      <c r="H3556" s="15" t="n">
        <v>25000</v>
      </c>
      <c r="I3556" s="6" t="n">
        <v>2935</v>
      </c>
      <c r="J3556" s="6" t="n">
        <v>171706</v>
      </c>
      <c r="K3556" s="16" t="n">
        <v>8</v>
      </c>
      <c r="L3556" s="2" t="inlineStr">
        <is>
          <t>20260609000155</t>
        </is>
      </c>
      <c r="M3556" s="8">
        <f>HYPERLINK("https://dart.fss.or.kr/dsaf001/main.do?rcpNo=20260609000155", "공시열람")</f>
        <v/>
      </c>
    </row>
    <row r="3557" ht="22" customHeight="1">
      <c r="A3557" s="2" t="inlineStr">
        <is>
          <t>2026-06-09</t>
        </is>
      </c>
      <c r="B3557" s="3" t="inlineStr">
        <is>
          <t>HLB이노베이션</t>
        </is>
      </c>
      <c r="C3557" s="2" t="inlineStr">
        <is>
          <t>024850</t>
        </is>
      </c>
      <c r="D3557" s="2" t="inlineStr">
        <is>
          <t>대량보유</t>
        </is>
      </c>
      <c r="E3557" s="3" t="inlineStr">
        <is>
          <t>진양곤</t>
        </is>
      </c>
      <c r="F3557" s="3" t="inlineStr">
        <is>
          <t>특별관계자</t>
        </is>
      </c>
      <c r="G3557" s="3" t="inlineStr">
        <is>
          <t>장내매수(+)</t>
        </is>
      </c>
      <c r="H3557" s="15" t="n">
        <v>37109</v>
      </c>
      <c r="I3557" s="6" t="n">
        <v>14385</v>
      </c>
      <c r="J3557" s="6" t="n">
        <v>221490</v>
      </c>
      <c r="K3557" s="16" t="n">
        <v>16</v>
      </c>
      <c r="L3557" s="2" t="inlineStr">
        <is>
          <t>20260609000153</t>
        </is>
      </c>
      <c r="M3557" s="8">
        <f>HYPERLINK("https://dart.fss.or.kr/dsaf001/main.do?rcpNo=20260609000153", "공시열람")</f>
        <v/>
      </c>
    </row>
    <row r="3558" ht="22" customHeight="1">
      <c r="A3558" s="2" t="inlineStr">
        <is>
          <t>2026-06-09</t>
        </is>
      </c>
      <c r="B3558" s="3" t="inlineStr">
        <is>
          <t>HLB제넥스</t>
        </is>
      </c>
      <c r="C3558" s="2" t="inlineStr">
        <is>
          <t>187420</t>
        </is>
      </c>
      <c r="D3558" s="2" t="inlineStr">
        <is>
          <t>대량보유</t>
        </is>
      </c>
      <c r="E3558" s="3" t="inlineStr">
        <is>
          <t>진양곤</t>
        </is>
      </c>
      <c r="F3558" s="3" t="inlineStr">
        <is>
          <t>특별관계자</t>
        </is>
      </c>
      <c r="G3558" s="3" t="inlineStr">
        <is>
          <t>장내매수(+)</t>
        </is>
      </c>
      <c r="H3558" s="15" t="n">
        <v>103735</v>
      </c>
      <c r="I3558" s="6" t="n">
        <v>2171</v>
      </c>
      <c r="J3558" s="6" t="n">
        <v>719430</v>
      </c>
      <c r="K3558" s="16" t="n">
        <v>10</v>
      </c>
      <c r="L3558" s="2" t="inlineStr">
        <is>
          <t>20260609000150</t>
        </is>
      </c>
      <c r="M3558" s="8">
        <f>HYPERLINK("https://dart.fss.or.kr/dsaf001/main.do?rcpNo=20260609000150", "공시열람")</f>
        <v/>
      </c>
    </row>
    <row r="3559" ht="22" customHeight="1">
      <c r="A3559" s="2" t="inlineStr">
        <is>
          <t>2026-06-09</t>
        </is>
      </c>
      <c r="B3559" s="3" t="inlineStr">
        <is>
          <t>매커스</t>
        </is>
      </c>
      <c r="C3559" s="2" t="inlineStr">
        <is>
          <t>093520</t>
        </is>
      </c>
      <c r="D3559" s="2" t="inlineStr">
        <is>
          <t>대량보유</t>
        </is>
      </c>
      <c r="E3559" s="3" t="inlineStr">
        <is>
          <t>FIDGLOBALMICRO-CAPFUND</t>
        </is>
      </c>
      <c r="F3559" s="3" t="inlineStr">
        <is>
          <t>특별관계자</t>
        </is>
      </c>
      <c r="G3559" s="3" t="inlineStr">
        <is>
          <t>장내매수(+), 장내매도(-)</t>
        </is>
      </c>
      <c r="H3559" s="17" t="n">
        <v>-4500</v>
      </c>
      <c r="I3559" s="6" t="n">
        <v>23550</v>
      </c>
      <c r="J3559" s="6" t="n">
        <v>5000</v>
      </c>
      <c r="K3559" s="16" t="n">
        <v>12</v>
      </c>
      <c r="L3559" s="2" t="inlineStr">
        <is>
          <t>20260609000149</t>
        </is>
      </c>
      <c r="M3559" s="8">
        <f>HYPERLINK("https://dart.fss.or.kr/dsaf001/main.do?rcpNo=20260609000149", "공시열람")</f>
        <v/>
      </c>
    </row>
    <row r="3560" ht="22" customHeight="1">
      <c r="A3560" s="2" t="inlineStr">
        <is>
          <t>2026-06-09</t>
        </is>
      </c>
      <c r="B3560" s="3" t="inlineStr">
        <is>
          <t>매커스</t>
        </is>
      </c>
      <c r="C3560" s="2" t="inlineStr">
        <is>
          <t>093520</t>
        </is>
      </c>
      <c r="D3560" s="2" t="inlineStr">
        <is>
          <t>대량보유</t>
        </is>
      </c>
      <c r="E3560" s="3" t="inlineStr">
        <is>
          <t>FIDGLOBALSM-MDCAPEQ-SUBD</t>
        </is>
      </c>
      <c r="F3560" s="3" t="inlineStr">
        <is>
          <t>특별관계자</t>
        </is>
      </c>
      <c r="G3560" s="3" t="inlineStr">
        <is>
          <t>장내매도(-)</t>
        </is>
      </c>
      <c r="H3560" s="17" t="n">
        <v>-100</v>
      </c>
      <c r="I3560" s="6" t="n">
        <v>23624</v>
      </c>
      <c r="J3560" s="6" t="n">
        <v>200</v>
      </c>
      <c r="K3560" s="16" t="n">
        <v>12</v>
      </c>
      <c r="L3560" s="2" t="inlineStr">
        <is>
          <t>20260609000149</t>
        </is>
      </c>
      <c r="M3560" s="8">
        <f>HYPERLINK("https://dart.fss.or.kr/dsaf001/main.do?rcpNo=20260609000149", "공시열람")</f>
        <v/>
      </c>
    </row>
    <row r="3561" ht="22" customHeight="1">
      <c r="A3561" s="2" t="inlineStr">
        <is>
          <t>2026-06-09</t>
        </is>
      </c>
      <c r="B3561" s="3" t="inlineStr">
        <is>
          <t>HLB테라퓨틱스</t>
        </is>
      </c>
      <c r="C3561" s="2" t="inlineStr">
        <is>
          <t>115450</t>
        </is>
      </c>
      <c r="D3561" s="2" t="inlineStr">
        <is>
          <t>대량보유</t>
        </is>
      </c>
      <c r="E3561" s="3" t="inlineStr">
        <is>
          <t>진양곤</t>
        </is>
      </c>
      <c r="F3561" s="3" t="inlineStr">
        <is>
          <t>특별관계자</t>
        </is>
      </c>
      <c r="G3561" s="3" t="inlineStr">
        <is>
          <t>장내매수(+)</t>
        </is>
      </c>
      <c r="H3561" s="15" t="n">
        <v>67321</v>
      </c>
      <c r="I3561" s="6" t="n">
        <v>2569</v>
      </c>
      <c r="J3561" s="6" t="n">
        <v>359013</v>
      </c>
      <c r="K3561" s="16" t="n">
        <v>13</v>
      </c>
      <c r="L3561" s="2" t="inlineStr">
        <is>
          <t>20260609000146</t>
        </is>
      </c>
      <c r="M3561" s="8">
        <f>HYPERLINK("https://dart.fss.or.kr/dsaf001/main.do?rcpNo=20260609000146", "공시열람")</f>
        <v/>
      </c>
    </row>
    <row r="3562" ht="22" customHeight="1">
      <c r="A3562" s="2" t="inlineStr">
        <is>
          <t>2026-06-09</t>
        </is>
      </c>
      <c r="B3562" s="3" t="inlineStr">
        <is>
          <t>HLB파나진</t>
        </is>
      </c>
      <c r="C3562" s="2" t="inlineStr">
        <is>
          <t>046210</t>
        </is>
      </c>
      <c r="D3562" s="2" t="inlineStr">
        <is>
          <t>대량보유</t>
        </is>
      </c>
      <c r="E3562" s="3" t="inlineStr">
        <is>
          <t>진양곤</t>
        </is>
      </c>
      <c r="F3562" s="3" t="inlineStr">
        <is>
          <t>특별관계자</t>
        </is>
      </c>
      <c r="G3562" s="3" t="inlineStr">
        <is>
          <t>장내매수(+)</t>
        </is>
      </c>
      <c r="H3562" s="15" t="n">
        <v>14562</v>
      </c>
      <c r="I3562" s="6" t="n">
        <v>1349</v>
      </c>
      <c r="J3562" s="6" t="n">
        <v>405373</v>
      </c>
      <c r="K3562" s="16" t="n">
        <v>7</v>
      </c>
      <c r="L3562" s="2" t="inlineStr">
        <is>
          <t>20260609000145</t>
        </is>
      </c>
      <c r="M3562" s="8">
        <f>HYPERLINK("https://dart.fss.or.kr/dsaf001/main.do?rcpNo=20260609000145", "공시열람")</f>
        <v/>
      </c>
    </row>
    <row r="3563" ht="22" customHeight="1">
      <c r="A3563" s="2" t="inlineStr">
        <is>
          <t>2026-06-09</t>
        </is>
      </c>
      <c r="B3563" s="3" t="inlineStr">
        <is>
          <t>퍼시스</t>
        </is>
      </c>
      <c r="C3563" s="2" t="inlineStr">
        <is>
          <t>016800</t>
        </is>
      </c>
      <c r="D3563" s="2" t="inlineStr">
        <is>
          <t>대량보유</t>
        </is>
      </c>
      <c r="E3563" s="3" t="inlineStr">
        <is>
          <t>장미자</t>
        </is>
      </c>
      <c r="F3563" s="3" t="inlineStr">
        <is>
          <t>특별관계자</t>
        </is>
      </c>
      <c r="G3563" s="3" t="inlineStr">
        <is>
          <t>증여(-)</t>
        </is>
      </c>
      <c r="H3563" s="17" t="n">
        <v>-73600</v>
      </c>
      <c r="I3563" s="6" t="inlineStr"/>
      <c r="J3563" s="6" t="inlineStr"/>
      <c r="K3563" s="16" t="n">
        <v>8</v>
      </c>
      <c r="L3563" s="2" t="inlineStr">
        <is>
          <t>20260609000139</t>
        </is>
      </c>
      <c r="M3563" s="8">
        <f>HYPERLINK("https://dart.fss.or.kr/dsaf001/main.do?rcpNo=20260609000139", "공시열람")</f>
        <v/>
      </c>
    </row>
    <row r="3564" ht="22" customHeight="1">
      <c r="A3564" s="2" t="inlineStr">
        <is>
          <t>2026-06-09</t>
        </is>
      </c>
      <c r="B3564" s="3" t="inlineStr">
        <is>
          <t>퍼시스</t>
        </is>
      </c>
      <c r="C3564" s="2" t="inlineStr">
        <is>
          <t>016800</t>
        </is>
      </c>
      <c r="D3564" s="2" t="inlineStr">
        <is>
          <t>대량보유</t>
        </is>
      </c>
      <c r="E3564" s="3" t="inlineStr">
        <is>
          <t>손희령</t>
        </is>
      </c>
      <c r="F3564" s="3" t="inlineStr">
        <is>
          <t>특별관계자</t>
        </is>
      </c>
      <c r="G3564" s="3" t="inlineStr">
        <is>
          <t>수증(+)</t>
        </is>
      </c>
      <c r="H3564" s="15" t="n">
        <v>73600</v>
      </c>
      <c r="I3564" s="6" t="inlineStr"/>
      <c r="J3564" s="6" t="n">
        <v>138000</v>
      </c>
      <c r="K3564" s="16" t="n">
        <v>8</v>
      </c>
      <c r="L3564" s="2" t="inlineStr">
        <is>
          <t>20260609000139</t>
        </is>
      </c>
      <c r="M3564" s="8">
        <f>HYPERLINK("https://dart.fss.or.kr/dsaf001/main.do?rcpNo=20260609000139", "공시열람")</f>
        <v/>
      </c>
    </row>
    <row r="3565" ht="22" customHeight="1">
      <c r="A3565" s="2" t="inlineStr">
        <is>
          <t>2026-06-09</t>
        </is>
      </c>
      <c r="B3565" s="3" t="inlineStr">
        <is>
          <t>코이즈</t>
        </is>
      </c>
      <c r="C3565" s="2" t="inlineStr">
        <is>
          <t>121850</t>
        </is>
      </c>
      <c r="D3565" s="2" t="inlineStr">
        <is>
          <t>대량보유</t>
        </is>
      </c>
      <c r="E3565" s="3" t="inlineStr">
        <is>
          <t>이기영</t>
        </is>
      </c>
      <c r="F3565" s="3" t="inlineStr">
        <is>
          <t>특별관계자</t>
        </is>
      </c>
      <c r="G3565" s="3" t="inlineStr">
        <is>
          <t>단순투자(전환사채 양수)</t>
        </is>
      </c>
      <c r="H3565" s="15" t="n">
        <v>313479</v>
      </c>
      <c r="I3565" s="6" t="n">
        <v>3190</v>
      </c>
      <c r="J3565" s="6" t="n">
        <v>313479</v>
      </c>
      <c r="K3565" s="16" t="n">
        <v>6.19</v>
      </c>
      <c r="L3565" s="2" t="inlineStr">
        <is>
          <t>20260609000138</t>
        </is>
      </c>
      <c r="M3565" s="8">
        <f>HYPERLINK("https://dart.fss.or.kr/dsaf001/main.do?rcpNo=20260609000138", "공시열람")</f>
        <v/>
      </c>
    </row>
    <row r="3566" ht="22" customHeight="1">
      <c r="A3566" s="2" t="inlineStr">
        <is>
          <t>2026-06-09 (정정: 2026-06-10)</t>
        </is>
      </c>
      <c r="B3566" s="3" t="inlineStr">
        <is>
          <t>플레이디</t>
        </is>
      </c>
      <c r="C3566" s="2" t="inlineStr">
        <is>
          <t>237820</t>
        </is>
      </c>
      <c r="D3566" s="2" t="inlineStr">
        <is>
          <t>대량보유</t>
        </is>
      </c>
      <c r="E3566" s="3" t="inlineStr">
        <is>
          <t>조명진</t>
        </is>
      </c>
      <c r="F3566" s="3" t="inlineStr">
        <is>
          <t>특별관계자</t>
        </is>
      </c>
      <c r="G3566" s="3" t="inlineStr">
        <is>
          <t>기타(+), 장내매수(+)</t>
        </is>
      </c>
      <c r="H3566" s="15" t="n">
        <v>17000</v>
      </c>
      <c r="I3566" s="6" t="n">
        <v>3206</v>
      </c>
      <c r="J3566" s="6" t="n">
        <v>17000</v>
      </c>
      <c r="K3566" s="16" t="n">
        <v>1</v>
      </c>
      <c r="L3566" s="2" t="inlineStr">
        <is>
          <t>20260610000173</t>
        </is>
      </c>
      <c r="M3566" s="8">
        <f>HYPERLINK("https://dart.fss.or.kr/dsaf001/main.do?rcpNo=20260610000173", "공시열람")</f>
        <v/>
      </c>
    </row>
    <row r="3567" ht="22" customHeight="1">
      <c r="A3567" s="2" t="inlineStr">
        <is>
          <t>2026-06-09</t>
        </is>
      </c>
      <c r="B3567" s="3" t="inlineStr">
        <is>
          <t>픽셀플러스</t>
        </is>
      </c>
      <c r="C3567" s="2" t="inlineStr">
        <is>
          <t>087600</t>
        </is>
      </c>
      <c r="D3567" s="2" t="inlineStr">
        <is>
          <t>대량보유</t>
        </is>
      </c>
      <c r="E3567" s="3" t="inlineStr">
        <is>
          <t>황혜숙</t>
        </is>
      </c>
      <c r="F3567" s="3" t="inlineStr">
        <is>
          <t>특별관계자</t>
        </is>
      </c>
      <c r="G3567" s="3" t="inlineStr">
        <is>
          <t>장내매수(+)</t>
        </is>
      </c>
      <c r="H3567" s="15" t="n">
        <v>27060</v>
      </c>
      <c r="I3567" s="6" t="n">
        <v>5210</v>
      </c>
      <c r="J3567" s="6" t="n">
        <v>352060</v>
      </c>
      <c r="K3567" s="16" t="n">
        <v>4</v>
      </c>
      <c r="L3567" s="2" t="inlineStr">
        <is>
          <t>20260609000127</t>
        </is>
      </c>
      <c r="M3567" s="8">
        <f>HYPERLINK("https://dart.fss.or.kr/dsaf001/main.do?rcpNo=20260609000127", "공시열람")</f>
        <v/>
      </c>
    </row>
    <row r="3568" ht="22" customHeight="1">
      <c r="A3568" s="2" t="inlineStr">
        <is>
          <t>2026-06-09</t>
        </is>
      </c>
      <c r="B3568" s="3" t="inlineStr">
        <is>
          <t>세니젠</t>
        </is>
      </c>
      <c r="C3568" s="2" t="inlineStr">
        <is>
          <t>188260</t>
        </is>
      </c>
      <c r="D3568" s="2" t="inlineStr">
        <is>
          <t>대량보유</t>
        </is>
      </c>
      <c r="E3568" s="3" t="inlineStr">
        <is>
          <t>송시범</t>
        </is>
      </c>
      <c r="F3568" s="3" t="inlineStr">
        <is>
          <t>특별관계자</t>
        </is>
      </c>
      <c r="G3568" s="3" t="inlineStr">
        <is>
          <t>특별관계해소(-)</t>
        </is>
      </c>
      <c r="H3568" s="17" t="n">
        <v>-4700</v>
      </c>
      <c r="I3568" s="6" t="inlineStr"/>
      <c r="J3568" s="6" t="inlineStr"/>
      <c r="K3568" s="16" t="n">
        <v>9</v>
      </c>
      <c r="L3568" s="2" t="inlineStr">
        <is>
          <t>20260609000098</t>
        </is>
      </c>
      <c r="M3568" s="8">
        <f>HYPERLINK("https://dart.fss.or.kr/dsaf001/main.do?rcpNo=20260609000098", "공시열람")</f>
        <v/>
      </c>
    </row>
    <row r="3569" ht="22" customHeight="1">
      <c r="A3569" s="2" t="inlineStr">
        <is>
          <t>2026-06-09</t>
        </is>
      </c>
      <c r="B3569" s="3" t="inlineStr">
        <is>
          <t>이노션</t>
        </is>
      </c>
      <c r="C3569" s="2" t="inlineStr">
        <is>
          <t>214320</t>
        </is>
      </c>
      <c r="D3569" s="2" t="inlineStr">
        <is>
          <t>대량보유</t>
        </is>
      </c>
      <c r="E3569" s="3" t="inlineStr">
        <is>
          <t>J.P.MorganSecuritiesPLC</t>
        </is>
      </c>
      <c r="F3569" s="3" t="inlineStr">
        <is>
          <t>특별관계자</t>
        </is>
      </c>
      <c r="G3569" s="3" t="inlineStr">
        <is>
          <t>신규보고(+), 기타(-), 기타(+), 장내매수(+)</t>
        </is>
      </c>
      <c r="H3569" s="15" t="n">
        <v>786452</v>
      </c>
      <c r="I3569" s="6" t="n">
        <v>20288</v>
      </c>
      <c r="J3569" s="6" t="n">
        <v>786452</v>
      </c>
      <c r="K3569" s="16" t="n">
        <v>2</v>
      </c>
      <c r="L3569" s="2" t="inlineStr">
        <is>
          <t>20260609000093</t>
        </is>
      </c>
      <c r="M3569" s="8">
        <f>HYPERLINK("https://dart.fss.or.kr/dsaf001/main.do?rcpNo=20260609000093", "공시열람")</f>
        <v/>
      </c>
    </row>
    <row r="3570" ht="22" customHeight="1">
      <c r="A3570" s="2" t="inlineStr">
        <is>
          <t>2026-06-09</t>
        </is>
      </c>
      <c r="B3570" s="3" t="inlineStr">
        <is>
          <t>이노션</t>
        </is>
      </c>
      <c r="C3570" s="2" t="inlineStr">
        <is>
          <t>214320</t>
        </is>
      </c>
      <c r="D3570" s="2" t="inlineStr">
        <is>
          <t>대량보유</t>
        </is>
      </c>
      <c r="E3570" s="3" t="inlineStr">
        <is>
          <t>J.P.MorganSecuritiesLLC</t>
        </is>
      </c>
      <c r="F3570" s="3" t="inlineStr">
        <is>
          <t>특별관계자</t>
        </is>
      </c>
      <c r="G3570" s="3" t="inlineStr">
        <is>
          <t>신규보고(+), 기타(+)</t>
        </is>
      </c>
      <c r="H3570" s="15" t="n">
        <v>1692486</v>
      </c>
      <c r="I3570" s="6" t="inlineStr"/>
      <c r="J3570" s="6" t="n">
        <v>1692486</v>
      </c>
      <c r="K3570" s="16" t="n">
        <v>2</v>
      </c>
      <c r="L3570" s="2" t="inlineStr">
        <is>
          <t>20260609000093</t>
        </is>
      </c>
      <c r="M3570" s="8">
        <f>HYPERLINK("https://dart.fss.or.kr/dsaf001/main.do?rcpNo=20260609000093", "공시열람")</f>
        <v/>
      </c>
    </row>
    <row r="3571" ht="22" customHeight="1">
      <c r="A3571" s="2" t="inlineStr">
        <is>
          <t>2026-06-09</t>
        </is>
      </c>
      <c r="B3571" s="3" t="inlineStr">
        <is>
          <t>한국타이어앤테크놀로지</t>
        </is>
      </c>
      <c r="C3571" s="2" t="inlineStr">
        <is>
          <t>161390</t>
        </is>
      </c>
      <c r="D3571" s="2" t="inlineStr">
        <is>
          <t>대량보유</t>
        </is>
      </c>
      <c r="E3571" s="3" t="inlineStr">
        <is>
          <t>한국앤컴퍼니(주)</t>
        </is>
      </c>
      <c r="F3571" s="3" t="inlineStr">
        <is>
          <t>보고자</t>
        </is>
      </c>
      <c r="G3571" s="3" t="inlineStr">
        <is>
          <t>보유 주식에 관한 계약의 변경</t>
        </is>
      </c>
      <c r="H3571" s="6" t="inlineStr"/>
      <c r="I3571" s="6" t="inlineStr"/>
      <c r="J3571" s="6" t="n">
        <v>53501364</v>
      </c>
      <c r="K3571" s="16" t="n">
        <v>15</v>
      </c>
      <c r="L3571" s="2" t="inlineStr">
        <is>
          <t>20260609000091</t>
        </is>
      </c>
      <c r="M3571" s="8">
        <f>HYPERLINK("https://dart.fss.or.kr/dsaf001/main.do?rcpNo=20260609000091", "공시열람")</f>
        <v/>
      </c>
    </row>
    <row r="3572" ht="22" customHeight="1">
      <c r="A3572" s="2" t="inlineStr">
        <is>
          <t>2026-06-09</t>
        </is>
      </c>
      <c r="B3572" s="3" t="inlineStr">
        <is>
          <t>보락</t>
        </is>
      </c>
      <c r="C3572" s="2" t="inlineStr">
        <is>
          <t>002760</t>
        </is>
      </c>
      <c r="D3572" s="2" t="inlineStr">
        <is>
          <t>임원보고</t>
        </is>
      </c>
      <c r="E3572" s="3" t="inlineStr">
        <is>
          <t>-</t>
        </is>
      </c>
      <c r="F3572" s="3" t="inlineStr">
        <is>
          <t>-</t>
        </is>
      </c>
      <c r="G3572" s="3" t="inlineStr">
        <is>
          <t>-</t>
        </is>
      </c>
      <c r="H3572" s="6" t="inlineStr"/>
      <c r="I3572" s="6" t="inlineStr"/>
      <c r="J3572" s="6" t="inlineStr"/>
      <c r="K3572" s="16" t="n">
        <v>12</v>
      </c>
      <c r="L3572" s="2" t="inlineStr">
        <is>
          <t>20260609800250</t>
        </is>
      </c>
      <c r="M3572" s="8">
        <f>HYPERLINK("https://dart.fss.or.kr/dsaf001/main.do?rcpNo=20260609800250", "공시열람")</f>
        <v/>
      </c>
    </row>
    <row r="3573" ht="22" customHeight="1">
      <c r="A3573" s="2" t="inlineStr">
        <is>
          <t>2026-06-09</t>
        </is>
      </c>
      <c r="B3573" s="3" t="inlineStr">
        <is>
          <t>유라클</t>
        </is>
      </c>
      <c r="C3573" s="2" t="inlineStr">
        <is>
          <t>088340</t>
        </is>
      </c>
      <c r="D3573" s="2" t="inlineStr">
        <is>
          <t>대량보유</t>
        </is>
      </c>
      <c r="E3573" s="3" t="inlineStr">
        <is>
          <t>조준희</t>
        </is>
      </c>
      <c r="F3573" s="3" t="inlineStr">
        <is>
          <t>특별관계자</t>
        </is>
      </c>
      <c r="G3573" s="3" t="inlineStr">
        <is>
          <t>장내매수(+)</t>
        </is>
      </c>
      <c r="H3573" s="15" t="n">
        <v>4000</v>
      </c>
      <c r="I3573" s="6" t="n">
        <v>8859</v>
      </c>
      <c r="J3573" s="6" t="n">
        <v>646780</v>
      </c>
      <c r="K3573" s="16" t="n">
        <v>14</v>
      </c>
      <c r="L3573" s="2" t="inlineStr">
        <is>
          <t>20260609000090</t>
        </is>
      </c>
      <c r="M3573" s="8">
        <f>HYPERLINK("https://dart.fss.or.kr/dsaf001/main.do?rcpNo=20260609000090", "공시열람")</f>
        <v/>
      </c>
    </row>
    <row r="3574" ht="22" customHeight="1">
      <c r="A3574" s="2" t="inlineStr">
        <is>
          <t>2026-06-09</t>
        </is>
      </c>
      <c r="B3574" s="3" t="inlineStr">
        <is>
          <t>유진테크</t>
        </is>
      </c>
      <c r="C3574" s="2" t="inlineStr">
        <is>
          <t>084370</t>
        </is>
      </c>
      <c r="D3574" s="2" t="inlineStr">
        <is>
          <t>대량보유</t>
        </is>
      </c>
      <c r="E3574" s="3" t="inlineStr">
        <is>
          <t>CapitalResearchandManagementCompany</t>
        </is>
      </c>
      <c r="F3574" s="3" t="inlineStr">
        <is>
          <t>특별관계자</t>
        </is>
      </c>
      <c r="G3574" s="3" t="inlineStr">
        <is>
          <t>장내매수(+), 장내매도(-)</t>
        </is>
      </c>
      <c r="H3574" s="15" t="n">
        <v>299688</v>
      </c>
      <c r="I3574" s="6" t="n">
        <v>132693</v>
      </c>
      <c r="J3574" s="6" t="n">
        <v>1497989</v>
      </c>
      <c r="K3574" s="16" t="n">
        <v>1</v>
      </c>
      <c r="L3574" s="2" t="inlineStr">
        <is>
          <t>20260609000079</t>
        </is>
      </c>
      <c r="M3574" s="8">
        <f>HYPERLINK("https://dart.fss.or.kr/dsaf001/main.do?rcpNo=20260609000079", "공시열람")</f>
        <v/>
      </c>
    </row>
    <row r="3575" ht="22" customHeight="1">
      <c r="A3575" s="2" t="inlineStr">
        <is>
          <t>2026-06-09</t>
        </is>
      </c>
      <c r="B3575" s="3" t="inlineStr">
        <is>
          <t>BNK금융지주</t>
        </is>
      </c>
      <c r="C3575" s="2" t="inlineStr">
        <is>
          <t>138930</t>
        </is>
      </c>
      <c r="D3575" s="2" t="inlineStr">
        <is>
          <t>대량보유</t>
        </is>
      </c>
      <c r="E3575" s="3" t="inlineStr">
        <is>
          <t>CapitalResearchandManagementCompany</t>
        </is>
      </c>
      <c r="F3575" s="3" t="inlineStr">
        <is>
          <t>특별관계자</t>
        </is>
      </c>
      <c r="G3575" s="3" t="inlineStr">
        <is>
          <t>장내매도(-)</t>
        </is>
      </c>
      <c r="H3575" s="17" t="n">
        <v>-2961389</v>
      </c>
      <c r="I3575" s="6" t="n">
        <v>17665</v>
      </c>
      <c r="J3575" s="6" t="n">
        <v>14294657</v>
      </c>
      <c r="K3575" s="16" t="n">
        <v>3</v>
      </c>
      <c r="L3575" s="2" t="inlineStr">
        <is>
          <t>20260609000076</t>
        </is>
      </c>
      <c r="M3575" s="8">
        <f>HYPERLINK("https://dart.fss.or.kr/dsaf001/main.do?rcpNo=20260609000076", "공시열람")</f>
        <v/>
      </c>
    </row>
    <row r="3576" ht="22" customHeight="1">
      <c r="A3576" s="2" t="inlineStr">
        <is>
          <t>2026-06-09</t>
        </is>
      </c>
      <c r="B3576" s="3" t="inlineStr">
        <is>
          <t>BNK금융지주</t>
        </is>
      </c>
      <c r="C3576" s="2" t="inlineStr">
        <is>
          <t>138930</t>
        </is>
      </c>
      <c r="D3576" s="2" t="inlineStr">
        <is>
          <t>대량보유</t>
        </is>
      </c>
      <c r="E3576" s="3" t="inlineStr">
        <is>
          <t>CapitalInternationalSarl</t>
        </is>
      </c>
      <c r="F3576" s="3" t="inlineStr">
        <is>
          <t>특별관계자</t>
        </is>
      </c>
      <c r="G3576" s="3" t="inlineStr">
        <is>
          <t>장내매도(-)</t>
        </is>
      </c>
      <c r="H3576" s="17" t="n">
        <v>-31774</v>
      </c>
      <c r="I3576" s="6" t="n">
        <v>17708</v>
      </c>
      <c r="J3576" s="6" t="n">
        <v>90024</v>
      </c>
      <c r="K3576" s="16" t="n">
        <v>3</v>
      </c>
      <c r="L3576" s="2" t="inlineStr">
        <is>
          <t>20260609000076</t>
        </is>
      </c>
      <c r="M3576" s="8">
        <f>HYPERLINK("https://dart.fss.or.kr/dsaf001/main.do?rcpNo=20260609000076", "공시열람")</f>
        <v/>
      </c>
    </row>
    <row r="3577" ht="22" customHeight="1">
      <c r="A3577" s="2" t="inlineStr">
        <is>
          <t>2026-06-09</t>
        </is>
      </c>
      <c r="B3577" s="3" t="inlineStr">
        <is>
          <t>BNK금융지주</t>
        </is>
      </c>
      <c r="C3577" s="2" t="inlineStr">
        <is>
          <t>138930</t>
        </is>
      </c>
      <c r="D3577" s="2" t="inlineStr">
        <is>
          <t>대량보유</t>
        </is>
      </c>
      <c r="E3577" s="3" t="inlineStr">
        <is>
          <t>CapitalInternational,Inc.</t>
        </is>
      </c>
      <c r="F3577" s="3" t="inlineStr">
        <is>
          <t>특별관계자</t>
        </is>
      </c>
      <c r="G3577" s="3" t="inlineStr">
        <is>
          <t>장내매도(-), 장내매수(+)</t>
        </is>
      </c>
      <c r="H3577" s="17" t="n">
        <v>-283843</v>
      </c>
      <c r="I3577" s="6" t="n">
        <v>17655</v>
      </c>
      <c r="J3577" s="6" t="n">
        <v>1264845</v>
      </c>
      <c r="K3577" s="16" t="n">
        <v>3</v>
      </c>
      <c r="L3577" s="2" t="inlineStr">
        <is>
          <t>20260609000076</t>
        </is>
      </c>
      <c r="M3577" s="8">
        <f>HYPERLINK("https://dart.fss.or.kr/dsaf001/main.do?rcpNo=20260609000076", "공시열람")</f>
        <v/>
      </c>
    </row>
    <row r="3578" ht="22" customHeight="1">
      <c r="A3578" s="2" t="inlineStr">
        <is>
          <t>2026-06-09</t>
        </is>
      </c>
      <c r="B3578" s="3" t="inlineStr">
        <is>
          <t>태성</t>
        </is>
      </c>
      <c r="C3578" s="2" t="inlineStr">
        <is>
          <t>323280</t>
        </is>
      </c>
      <c r="D3578" s="2" t="inlineStr">
        <is>
          <t>대량보유</t>
        </is>
      </c>
      <c r="E3578" s="3" t="inlineStr">
        <is>
          <t>김종학</t>
        </is>
      </c>
      <c r="F3578" s="3" t="inlineStr">
        <is>
          <t>보고자</t>
        </is>
      </c>
      <c r="G3578" s="3" t="inlineStr">
        <is>
          <t>주식담보대출 계약연장</t>
        </is>
      </c>
      <c r="H3578" s="6" t="inlineStr"/>
      <c r="I3578" s="6" t="inlineStr"/>
      <c r="J3578" s="6" t="n">
        <v>9454737</v>
      </c>
      <c r="K3578" s="16" t="n">
        <v>5</v>
      </c>
      <c r="L3578" s="2" t="inlineStr">
        <is>
          <t>20260609000075</t>
        </is>
      </c>
      <c r="M3578" s="8">
        <f>HYPERLINK("https://dart.fss.or.kr/dsaf001/main.do?rcpNo=20260609000075", "공시열람")</f>
        <v/>
      </c>
    </row>
    <row r="3579" ht="22" customHeight="1">
      <c r="A3579" s="2" t="inlineStr">
        <is>
          <t>2026-06-09</t>
        </is>
      </c>
      <c r="B3579" s="3" t="inlineStr">
        <is>
          <t>케이티앤지</t>
        </is>
      </c>
      <c r="C3579" s="2" t="inlineStr">
        <is>
          <t>033780</t>
        </is>
      </c>
      <c r="D3579" s="2" t="inlineStr">
        <is>
          <t>대량보유</t>
        </is>
      </c>
      <c r="E3579" s="3" t="inlineStr">
        <is>
          <t>CapitalResearchandManagementCompany</t>
        </is>
      </c>
      <c r="F3579" s="3" t="inlineStr">
        <is>
          <t>특별관계자</t>
        </is>
      </c>
      <c r="G3579" s="3" t="inlineStr">
        <is>
          <t>장내매수(+)</t>
        </is>
      </c>
      <c r="H3579" s="15" t="n">
        <v>1506682</v>
      </c>
      <c r="I3579" s="6" t="n">
        <v>180407</v>
      </c>
      <c r="J3579" s="6" t="n">
        <v>7139747</v>
      </c>
      <c r="K3579" s="16" t="n">
        <v>3</v>
      </c>
      <c r="L3579" s="2" t="inlineStr">
        <is>
          <t>20260609000066</t>
        </is>
      </c>
      <c r="M3579" s="8">
        <f>HYPERLINK("https://dart.fss.or.kr/dsaf001/main.do?rcpNo=20260609000066", "공시열람")</f>
        <v/>
      </c>
    </row>
    <row r="3580" ht="22" customHeight="1">
      <c r="A3580" s="2" t="inlineStr">
        <is>
          <t>2026-06-09</t>
        </is>
      </c>
      <c r="B3580" s="3" t="inlineStr">
        <is>
          <t>케이티앤지</t>
        </is>
      </c>
      <c r="C3580" s="2" t="inlineStr">
        <is>
          <t>033780</t>
        </is>
      </c>
      <c r="D3580" s="2" t="inlineStr">
        <is>
          <t>대량보유</t>
        </is>
      </c>
      <c r="E3580" s="3" t="inlineStr">
        <is>
          <t>CapitalInternationalSarl</t>
        </is>
      </c>
      <c r="F3580" s="3" t="inlineStr">
        <is>
          <t>특별관계자</t>
        </is>
      </c>
      <c r="G3580" s="3" t="inlineStr">
        <is>
          <t>장내매수(+)</t>
        </is>
      </c>
      <c r="H3580" s="15" t="n">
        <v>25616</v>
      </c>
      <c r="I3580" s="6" t="n">
        <v>179866</v>
      </c>
      <c r="J3580" s="6" t="n">
        <v>26045</v>
      </c>
      <c r="K3580" s="16" t="n">
        <v>3</v>
      </c>
      <c r="L3580" s="2" t="inlineStr">
        <is>
          <t>20260609000066</t>
        </is>
      </c>
      <c r="M3580" s="8">
        <f>HYPERLINK("https://dart.fss.or.kr/dsaf001/main.do?rcpNo=20260609000066", "공시열람")</f>
        <v/>
      </c>
    </row>
    <row r="3581" ht="22" customHeight="1">
      <c r="A3581" s="2" t="inlineStr">
        <is>
          <t>2026-06-09</t>
        </is>
      </c>
      <c r="B3581" s="3" t="inlineStr">
        <is>
          <t>케이티앤지</t>
        </is>
      </c>
      <c r="C3581" s="2" t="inlineStr">
        <is>
          <t>033780</t>
        </is>
      </c>
      <c r="D3581" s="2" t="inlineStr">
        <is>
          <t>대량보유</t>
        </is>
      </c>
      <c r="E3581" s="3" t="inlineStr">
        <is>
          <t>CapitalInternational,Inc.</t>
        </is>
      </c>
      <c r="F3581" s="3" t="inlineStr">
        <is>
          <t>특별관계자</t>
        </is>
      </c>
      <c r="G3581" s="3" t="inlineStr">
        <is>
          <t>장내매수(+)</t>
        </is>
      </c>
      <c r="H3581" s="15" t="n">
        <v>131313</v>
      </c>
      <c r="I3581" s="6" t="n">
        <v>179881</v>
      </c>
      <c r="J3581" s="6" t="n">
        <v>320748</v>
      </c>
      <c r="K3581" s="16" t="n">
        <v>3</v>
      </c>
      <c r="L3581" s="2" t="inlineStr">
        <is>
          <t>20260609000066</t>
        </is>
      </c>
      <c r="M3581" s="8">
        <f>HYPERLINK("https://dart.fss.or.kr/dsaf001/main.do?rcpNo=20260609000066", "공시열람")</f>
        <v/>
      </c>
    </row>
    <row r="3582" ht="22" customHeight="1">
      <c r="A3582" s="2" t="inlineStr">
        <is>
          <t>2026-06-09</t>
        </is>
      </c>
      <c r="B3582" s="3" t="inlineStr">
        <is>
          <t>코스모신소재</t>
        </is>
      </c>
      <c r="C3582" s="2" t="inlineStr">
        <is>
          <t>005070</t>
        </is>
      </c>
      <c r="D3582" s="2" t="inlineStr">
        <is>
          <t>대량보유</t>
        </is>
      </c>
      <c r="E3582" s="3" t="inlineStr">
        <is>
          <t>코스모화학(주)</t>
        </is>
      </c>
      <c r="F3582" s="3" t="inlineStr">
        <is>
          <t>보고자</t>
        </is>
      </c>
      <c r="G3582" s="3" t="inlineStr">
        <is>
          <t>주식담보대출 만기연장</t>
        </is>
      </c>
      <c r="H3582" s="6" t="inlineStr"/>
      <c r="I3582" s="6" t="inlineStr"/>
      <c r="J3582" s="6" t="n">
        <v>10231422</v>
      </c>
      <c r="K3582" s="16" t="n">
        <v>6</v>
      </c>
      <c r="L3582" s="2" t="inlineStr">
        <is>
          <t>20260609000064</t>
        </is>
      </c>
      <c r="M3582" s="8">
        <f>HYPERLINK("https://dart.fss.or.kr/dsaf001/main.do?rcpNo=20260609000064", "공시열람")</f>
        <v/>
      </c>
    </row>
    <row r="3583" ht="22" customHeight="1">
      <c r="A3583" s="2" t="inlineStr">
        <is>
          <t>2026-06-09</t>
        </is>
      </c>
      <c r="B3583" s="3" t="inlineStr">
        <is>
          <t>코이즈</t>
        </is>
      </c>
      <c r="C3583" s="2" t="inlineStr">
        <is>
          <t>121850</t>
        </is>
      </c>
      <c r="D3583" s="2" t="inlineStr">
        <is>
          <t>대량보유</t>
        </is>
      </c>
      <c r="E3583" s="3" t="inlineStr">
        <is>
          <t>이기영</t>
        </is>
      </c>
      <c r="F3583" s="3" t="inlineStr">
        <is>
          <t>특별관계자</t>
        </is>
      </c>
      <c r="G3583" s="3" t="inlineStr">
        <is>
          <t>단순투자(전환사채 양수)</t>
        </is>
      </c>
      <c r="H3583" s="6" t="inlineStr"/>
      <c r="I3583" s="6" t="inlineStr"/>
      <c r="J3583" s="6" t="n">
        <v>313479</v>
      </c>
      <c r="K3583" s="16" t="n">
        <v>6.19</v>
      </c>
      <c r="L3583" s="2" t="inlineStr">
        <is>
          <t>20260609000051</t>
        </is>
      </c>
      <c r="M3583" s="8">
        <f>HYPERLINK("https://dart.fss.or.kr/dsaf001/main.do?rcpNo=20260609000051", "공시열람")</f>
        <v/>
      </c>
    </row>
    <row r="3584" ht="22" customHeight="1">
      <c r="A3584" s="2" t="inlineStr">
        <is>
          <t>2026-06-09</t>
        </is>
      </c>
      <c r="B3584" s="3" t="inlineStr">
        <is>
          <t>SK하이닉스</t>
        </is>
      </c>
      <c r="C3584" s="2" t="inlineStr">
        <is>
          <t>000660</t>
        </is>
      </c>
      <c r="D3584" s="2" t="inlineStr">
        <is>
          <t>대량보유</t>
        </is>
      </c>
      <c r="E3584" s="3" t="inlineStr">
        <is>
          <t>CapitalResearchandManagementCompany</t>
        </is>
      </c>
      <c r="F3584" s="3" t="inlineStr">
        <is>
          <t>특별관계자</t>
        </is>
      </c>
      <c r="G3584" s="3" t="inlineStr">
        <is>
          <t>장내매도(-), 장내매수(+), 기타(+), 장외매수(+), 기타(-)</t>
        </is>
      </c>
      <c r="H3584" s="17" t="n">
        <v>-11568838</v>
      </c>
      <c r="I3584" s="6" t="n">
        <v>1268454</v>
      </c>
      <c r="J3584" s="6" t="n">
        <v>460996</v>
      </c>
      <c r="K3584" s="16" t="n">
        <v>6</v>
      </c>
      <c r="L3584" s="2" t="inlineStr">
        <is>
          <t>20260609000049</t>
        </is>
      </c>
      <c r="M3584" s="8">
        <f>HYPERLINK("https://dart.fss.or.kr/dsaf001/main.do?rcpNo=20260609000049", "공시열람")</f>
        <v/>
      </c>
    </row>
    <row r="3585" ht="22" customHeight="1">
      <c r="A3585" s="2" t="inlineStr">
        <is>
          <t>2026-06-09</t>
        </is>
      </c>
      <c r="B3585" s="3" t="inlineStr">
        <is>
          <t>SK하이닉스</t>
        </is>
      </c>
      <c r="C3585" s="2" t="inlineStr">
        <is>
          <t>000660</t>
        </is>
      </c>
      <c r="D3585" s="2" t="inlineStr">
        <is>
          <t>대량보유</t>
        </is>
      </c>
      <c r="E3585" s="3" t="inlineStr">
        <is>
          <t>CapitalInternational,Inc.</t>
        </is>
      </c>
      <c r="F3585" s="3" t="inlineStr">
        <is>
          <t>특별관계자</t>
        </is>
      </c>
      <c r="G3585" s="3" t="inlineStr">
        <is>
          <t>장내매도(-), 장내매수(+)</t>
        </is>
      </c>
      <c r="H3585" s="17" t="n">
        <v>-10732</v>
      </c>
      <c r="I3585" s="6" t="n">
        <v>1052713</v>
      </c>
      <c r="J3585" s="6" t="n">
        <v>409994</v>
      </c>
      <c r="K3585" s="16" t="n">
        <v>6</v>
      </c>
      <c r="L3585" s="2" t="inlineStr">
        <is>
          <t>20260609000049</t>
        </is>
      </c>
      <c r="M3585" s="8">
        <f>HYPERLINK("https://dart.fss.or.kr/dsaf001/main.do?rcpNo=20260609000049", "공시열람")</f>
        <v/>
      </c>
    </row>
    <row r="3586" ht="22" customHeight="1">
      <c r="A3586" s="2" t="inlineStr">
        <is>
          <t>2026-06-09</t>
        </is>
      </c>
      <c r="B3586" s="3" t="inlineStr">
        <is>
          <t>SK하이닉스</t>
        </is>
      </c>
      <c r="C3586" s="2" t="inlineStr">
        <is>
          <t>000660</t>
        </is>
      </c>
      <c r="D3586" s="2" t="inlineStr">
        <is>
          <t>대량보유</t>
        </is>
      </c>
      <c r="E3586" s="3" t="inlineStr">
        <is>
          <t>CapitalInternationalSarl</t>
        </is>
      </c>
      <c r="F3586" s="3" t="inlineStr">
        <is>
          <t>특별관계자</t>
        </is>
      </c>
      <c r="G3586" s="3" t="inlineStr">
        <is>
          <t>장내매도(-), 장내매수(+), 장외매수(+), 장외매도(-)</t>
        </is>
      </c>
      <c r="H3586" s="15" t="n">
        <v>1523</v>
      </c>
      <c r="I3586" s="6" t="n">
        <v>1144141</v>
      </c>
      <c r="J3586" s="6" t="n">
        <v>16168</v>
      </c>
      <c r="K3586" s="16" t="n">
        <v>6</v>
      </c>
      <c r="L3586" s="2" t="inlineStr">
        <is>
          <t>20260609000049</t>
        </is>
      </c>
      <c r="M3586" s="8">
        <f>HYPERLINK("https://dart.fss.or.kr/dsaf001/main.do?rcpNo=20260609000049", "공시열람")</f>
        <v/>
      </c>
    </row>
    <row r="3587" ht="22" customHeight="1">
      <c r="A3587" s="2" t="inlineStr">
        <is>
          <t>2026-06-09</t>
        </is>
      </c>
      <c r="B3587" s="3" t="inlineStr">
        <is>
          <t>SK하이닉스</t>
        </is>
      </c>
      <c r="C3587" s="2" t="inlineStr">
        <is>
          <t>000660</t>
        </is>
      </c>
      <c r="D3587" s="2" t="inlineStr">
        <is>
          <t>대량보유</t>
        </is>
      </c>
      <c r="E3587" s="3" t="inlineStr">
        <is>
          <t>CapitalGroupPrivateClientServices,Inc.</t>
        </is>
      </c>
      <c r="F3587" s="3" t="inlineStr">
        <is>
          <t>특별관계자</t>
        </is>
      </c>
      <c r="G3587" s="3" t="inlineStr">
        <is>
          <t>장외매수(+), 장외매도(-), 기타(-)</t>
        </is>
      </c>
      <c r="H3587" s="17" t="n">
        <v>-14644</v>
      </c>
      <c r="I3587" s="6" t="n">
        <v>848</v>
      </c>
      <c r="J3587" s="6" t="n">
        <v>24460</v>
      </c>
      <c r="K3587" s="16" t="n">
        <v>6</v>
      </c>
      <c r="L3587" s="2" t="inlineStr">
        <is>
          <t>20260609000049</t>
        </is>
      </c>
      <c r="M3587" s="8">
        <f>HYPERLINK("https://dart.fss.or.kr/dsaf001/main.do?rcpNo=20260609000049", "공시열람")</f>
        <v/>
      </c>
    </row>
    <row r="3588" ht="22" customHeight="1">
      <c r="A3588" s="2" t="inlineStr">
        <is>
          <t>2026-06-09</t>
        </is>
      </c>
      <c r="B3588" s="3" t="inlineStr">
        <is>
          <t>SK하이닉스</t>
        </is>
      </c>
      <c r="C3588" s="2" t="inlineStr">
        <is>
          <t>000660</t>
        </is>
      </c>
      <c r="D3588" s="2" t="inlineStr">
        <is>
          <t>대량보유</t>
        </is>
      </c>
      <c r="E3588" s="3" t="inlineStr">
        <is>
          <t>CapitalInternationalLimited</t>
        </is>
      </c>
      <c r="F3588" s="3" t="inlineStr">
        <is>
          <t>특별관계자</t>
        </is>
      </c>
      <c r="G3588" s="3" t="inlineStr">
        <is>
          <t>장내매수(+), 장내매도(-)</t>
        </is>
      </c>
      <c r="H3588" s="15" t="n">
        <v>8969</v>
      </c>
      <c r="I3588" s="6" t="n">
        <v>1433560</v>
      </c>
      <c r="J3588" s="6" t="n">
        <v>51240</v>
      </c>
      <c r="K3588" s="16" t="n">
        <v>6</v>
      </c>
      <c r="L3588" s="2" t="inlineStr">
        <is>
          <t>20260609000049</t>
        </is>
      </c>
      <c r="M3588" s="8">
        <f>HYPERLINK("https://dart.fss.or.kr/dsaf001/main.do?rcpNo=20260609000049", "공시열람")</f>
        <v/>
      </c>
    </row>
    <row r="3589" ht="22" customHeight="1">
      <c r="A3589" s="2" t="inlineStr">
        <is>
          <t>2026-06-09</t>
        </is>
      </c>
      <c r="B3589" s="3" t="inlineStr">
        <is>
          <t>SK하이닉스</t>
        </is>
      </c>
      <c r="C3589" s="2" t="inlineStr">
        <is>
          <t>000660</t>
        </is>
      </c>
      <c r="D3589" s="2" t="inlineStr">
        <is>
          <t>대량보유</t>
        </is>
      </c>
      <c r="E3589" s="3" t="inlineStr">
        <is>
          <t>CapitalGroupInvestmentManagementPte.Ltd.</t>
        </is>
      </c>
      <c r="F3589" s="3" t="inlineStr">
        <is>
          <t>특별관계자</t>
        </is>
      </c>
      <c r="G3589" s="3" t="inlineStr">
        <is>
          <t>장내매수(+), 장내매도(-)</t>
        </is>
      </c>
      <c r="H3589" s="15" t="n">
        <v>2149</v>
      </c>
      <c r="I3589" s="6" t="n">
        <v>1437201</v>
      </c>
      <c r="J3589" s="6" t="n">
        <v>11120</v>
      </c>
      <c r="K3589" s="16" t="n">
        <v>6</v>
      </c>
      <c r="L3589" s="2" t="inlineStr">
        <is>
          <t>20260609000049</t>
        </is>
      </c>
      <c r="M3589" s="8">
        <f>HYPERLINK("https://dart.fss.or.kr/dsaf001/main.do?rcpNo=20260609000049", "공시열람")</f>
        <v/>
      </c>
    </row>
    <row r="3590" ht="22" customHeight="1">
      <c r="A3590" s="2" t="inlineStr">
        <is>
          <t>2026-06-09</t>
        </is>
      </c>
      <c r="B3590" s="3" t="inlineStr">
        <is>
          <t>농심홀딩스</t>
        </is>
      </c>
      <c r="C3590" s="2" t="inlineStr">
        <is>
          <t>072710</t>
        </is>
      </c>
      <c r="D3590" s="2" t="inlineStr">
        <is>
          <t>임원보고</t>
        </is>
      </c>
      <c r="E3590" s="3" t="inlineStr">
        <is>
          <t>-</t>
        </is>
      </c>
      <c r="F3590" s="3" t="inlineStr">
        <is>
          <t>-</t>
        </is>
      </c>
      <c r="G3590" s="3" t="inlineStr">
        <is>
          <t>-</t>
        </is>
      </c>
      <c r="H3590" s="6" t="inlineStr"/>
      <c r="I3590" s="6" t="inlineStr"/>
      <c r="J3590" s="6" t="inlineStr"/>
      <c r="K3590" s="16" t="n">
        <v>12</v>
      </c>
      <c r="L3590" s="2" t="inlineStr">
        <is>
          <t>20260609800175</t>
        </is>
      </c>
      <c r="M3590" s="8">
        <f>HYPERLINK("https://dart.fss.or.kr/dsaf001/main.do?rcpNo=20260609800175", "공시열람")</f>
        <v/>
      </c>
    </row>
    <row r="3591" ht="22" customHeight="1">
      <c r="A3591" s="2" t="inlineStr">
        <is>
          <t>2026-06-09</t>
        </is>
      </c>
      <c r="B3591" s="3" t="inlineStr">
        <is>
          <t>대신밸런스제20호스팩</t>
        </is>
      </c>
      <c r="C3591" s="2" t="inlineStr">
        <is>
          <t>0134X0</t>
        </is>
      </c>
      <c r="D3591" s="2" t="inlineStr">
        <is>
          <t>대량보유</t>
        </is>
      </c>
      <c r="E3591" s="3" t="inlineStr">
        <is>
          <t>제이비우리캐피탈주식회사</t>
        </is>
      </c>
      <c r="F3591" s="3" t="inlineStr">
        <is>
          <t>특별관계자</t>
        </is>
      </c>
      <c r="G3591" s="3" t="inlineStr">
        <is>
          <t>신규상장(유상취득)(+)</t>
        </is>
      </c>
      <c r="H3591" s="15" t="n">
        <v>800000</v>
      </c>
      <c r="I3591" s="6" t="n">
        <v>1000</v>
      </c>
      <c r="J3591" s="6" t="n">
        <v>790000</v>
      </c>
      <c r="K3591" s="16" t="n">
        <v>10.62</v>
      </c>
      <c r="L3591" s="2" t="inlineStr">
        <is>
          <t>20260609000020</t>
        </is>
      </c>
      <c r="M3591" s="8">
        <f>HYPERLINK("https://dart.fss.or.kr/dsaf001/main.do?rcpNo=20260609000020", "공시열람")</f>
        <v/>
      </c>
    </row>
    <row r="3592" ht="22" customHeight="1">
      <c r="A3592" s="2" t="inlineStr">
        <is>
          <t>2026-06-09</t>
        </is>
      </c>
      <c r="B3592" s="3" t="inlineStr">
        <is>
          <t>팬오션</t>
        </is>
      </c>
      <c r="C3592" s="2" t="inlineStr">
        <is>
          <t>028670</t>
        </is>
      </c>
      <c r="D3592" s="2" t="inlineStr">
        <is>
          <t>임원보고</t>
        </is>
      </c>
      <c r="E3592" s="3" t="inlineStr">
        <is>
          <t>-</t>
        </is>
      </c>
      <c r="F3592" s="3" t="inlineStr">
        <is>
          <t>-</t>
        </is>
      </c>
      <c r="G3592" s="3" t="inlineStr">
        <is>
          <t>-</t>
        </is>
      </c>
      <c r="H3592" s="6" t="inlineStr"/>
      <c r="I3592" s="6" t="inlineStr"/>
      <c r="J3592" s="6" t="inlineStr"/>
      <c r="K3592" s="16" t="n">
        <v>12</v>
      </c>
      <c r="L3592" s="2" t="inlineStr">
        <is>
          <t>20260609800155</t>
        </is>
      </c>
      <c r="M3592" s="8">
        <f>HYPERLINK("https://dart.fss.or.kr/dsaf001/main.do?rcpNo=20260609800155", "공시열람")</f>
        <v/>
      </c>
    </row>
    <row r="3593" ht="22" customHeight="1">
      <c r="A3593" s="2" t="inlineStr">
        <is>
          <t>2026-06-09</t>
        </is>
      </c>
      <c r="B3593" s="3" t="inlineStr">
        <is>
          <t>모비데이즈</t>
        </is>
      </c>
      <c r="C3593" s="2" t="inlineStr">
        <is>
          <t>363260</t>
        </is>
      </c>
      <c r="D3593" s="2" t="inlineStr">
        <is>
          <t>대량보유</t>
        </is>
      </c>
      <c r="E3593" s="3" t="inlineStr">
        <is>
          <t>유범령</t>
        </is>
      </c>
      <c r="F3593" s="3" t="inlineStr">
        <is>
          <t>특별관계자</t>
        </is>
      </c>
      <c r="G3593" s="3" t="inlineStr">
        <is>
          <t>장내매수(+)</t>
        </is>
      </c>
      <c r="H3593" s="15" t="n">
        <v>145281</v>
      </c>
      <c r="I3593" s="6" t="n">
        <v>1063</v>
      </c>
      <c r="J3593" s="6" t="n">
        <v>16068286</v>
      </c>
      <c r="K3593" s="16" t="n">
        <v>1</v>
      </c>
      <c r="L3593" s="2" t="inlineStr">
        <is>
          <t>20260609000014</t>
        </is>
      </c>
      <c r="M3593" s="8">
        <f>HYPERLINK("https://dart.fss.or.kr/dsaf001/main.do?rcpNo=20260609000014", "공시열람")</f>
        <v/>
      </c>
    </row>
    <row r="3594" ht="22" customHeight="1">
      <c r="A3594" s="2" t="inlineStr">
        <is>
          <t>2026-06-09</t>
        </is>
      </c>
      <c r="B3594" s="3" t="inlineStr">
        <is>
          <t>유니켐</t>
        </is>
      </c>
      <c r="C3594" s="2" t="inlineStr">
        <is>
          <t>011330</t>
        </is>
      </c>
      <c r="D3594" s="2" t="inlineStr">
        <is>
          <t>대량보유</t>
        </is>
      </c>
      <c r="E3594" s="3" t="inlineStr">
        <is>
          <t>(주)제이에이치사람들</t>
        </is>
      </c>
      <c r="F3594" s="3" t="inlineStr">
        <is>
          <t>보고자</t>
        </is>
      </c>
      <c r="G3594" s="3" t="inlineStr">
        <is>
          <t>-담보권(질권) 해지</t>
        </is>
      </c>
      <c r="H3594" s="6" t="inlineStr"/>
      <c r="I3594" s="6" t="inlineStr"/>
      <c r="J3594" s="6" t="n">
        <v>19243604</v>
      </c>
      <c r="K3594" s="16" t="n">
        <v>1</v>
      </c>
      <c r="L3594" s="2" t="inlineStr">
        <is>
          <t>20260609000010</t>
        </is>
      </c>
      <c r="M3594" s="8">
        <f>HYPERLINK("https://dart.fss.or.kr/dsaf001/main.do?rcpNo=20260609000010", "공시열람")</f>
        <v/>
      </c>
    </row>
    <row r="3595" ht="22" customHeight="1">
      <c r="A3595" s="2" t="inlineStr">
        <is>
          <t>2026-06-09</t>
        </is>
      </c>
      <c r="B3595" s="3" t="inlineStr">
        <is>
          <t>월덱스</t>
        </is>
      </c>
      <c r="C3595" s="2" t="inlineStr">
        <is>
          <t>101160</t>
        </is>
      </c>
      <c r="D3595" s="2" t="inlineStr">
        <is>
          <t>대량보유</t>
        </is>
      </c>
      <c r="E3595" s="3" t="inlineStr">
        <is>
          <t>(주)브이아이피자산운용</t>
        </is>
      </c>
      <c r="F3595" s="3" t="inlineStr">
        <is>
          <t>특별관계자</t>
        </is>
      </c>
      <c r="G3595" s="3" t="inlineStr">
        <is>
          <t>장내매도(-), 장내매수(+), 기타(-)</t>
        </is>
      </c>
      <c r="H3595" s="15" t="n">
        <v>25740</v>
      </c>
      <c r="I3595" s="6" t="n">
        <v>27490</v>
      </c>
      <c r="J3595" s="6" t="n">
        <v>2582861</v>
      </c>
      <c r="K3595" s="16" t="n">
        <v>15.64</v>
      </c>
      <c r="L3595" s="2" t="inlineStr">
        <is>
          <t>20260609000008</t>
        </is>
      </c>
      <c r="M3595" s="8">
        <f>HYPERLINK("https://dart.fss.or.kr/dsaf001/main.do?rcpNo=20260609000008", "공시열람")</f>
        <v/>
      </c>
    </row>
    <row r="3596" ht="22" customHeight="1">
      <c r="A3596" s="2" t="inlineStr">
        <is>
          <t>2026-06-10</t>
        </is>
      </c>
      <c r="B3596" s="3" t="inlineStr">
        <is>
          <t>지에프아이</t>
        </is>
      </c>
      <c r="C3596" s="2" t="inlineStr">
        <is>
          <t>493330</t>
        </is>
      </c>
      <c r="D3596" s="2" t="inlineStr">
        <is>
          <t>대량보유</t>
        </is>
      </c>
      <c r="E3596" s="3" t="inlineStr">
        <is>
          <t>비엔케이안전신기술투자조합</t>
        </is>
      </c>
      <c r="F3596" s="3" t="inlineStr">
        <is>
          <t>특별관계자</t>
        </is>
      </c>
      <c r="G3596" s="3" t="inlineStr">
        <is>
          <t>장내매도(-)</t>
        </is>
      </c>
      <c r="H3596" s="17" t="n">
        <v>-25197</v>
      </c>
      <c r="I3596" s="6" t="n">
        <v>17856</v>
      </c>
      <c r="J3596" s="6" t="n">
        <v>444671</v>
      </c>
      <c r="K3596" s="16" t="n">
        <v>2</v>
      </c>
      <c r="L3596" s="2" t="inlineStr">
        <is>
          <t>20260610000686</t>
        </is>
      </c>
      <c r="M3596" s="8">
        <f>HYPERLINK("https://dart.fss.or.kr/dsaf001/main.do?rcpNo=20260610000686", "공시열람")</f>
        <v/>
      </c>
    </row>
    <row r="3597" ht="22" customHeight="1">
      <c r="A3597" s="2" t="inlineStr">
        <is>
          <t>2026-06-10</t>
        </is>
      </c>
      <c r="B3597" s="3" t="inlineStr">
        <is>
          <t>지에프아이</t>
        </is>
      </c>
      <c r="C3597" s="2" t="inlineStr">
        <is>
          <t>493330</t>
        </is>
      </c>
      <c r="D3597" s="2" t="inlineStr">
        <is>
          <t>대량보유</t>
        </is>
      </c>
      <c r="E3597" s="3" t="inlineStr">
        <is>
          <t>비엔케이안전신기술투자조합제2호</t>
        </is>
      </c>
      <c r="F3597" s="3" t="inlineStr">
        <is>
          <t>특별관계자</t>
        </is>
      </c>
      <c r="G3597" s="3" t="inlineStr">
        <is>
          <t>장내매도(-)</t>
        </is>
      </c>
      <c r="H3597" s="17" t="n">
        <v>-86576</v>
      </c>
      <c r="I3597" s="6" t="n">
        <v>17773</v>
      </c>
      <c r="J3597" s="6" t="n">
        <v>1007609</v>
      </c>
      <c r="K3597" s="16" t="n">
        <v>2</v>
      </c>
      <c r="L3597" s="2" t="inlineStr">
        <is>
          <t>20260610000686</t>
        </is>
      </c>
      <c r="M3597" s="8">
        <f>HYPERLINK("https://dart.fss.or.kr/dsaf001/main.do?rcpNo=20260610000686", "공시열람")</f>
        <v/>
      </c>
    </row>
    <row r="3598" ht="22" customHeight="1">
      <c r="A3598" s="2" t="inlineStr">
        <is>
          <t>2026-06-10</t>
        </is>
      </c>
      <c r="B3598" s="3" t="inlineStr">
        <is>
          <t>케이티앤지</t>
        </is>
      </c>
      <c r="C3598" s="2" t="inlineStr">
        <is>
          <t>033780</t>
        </is>
      </c>
      <c r="D3598" s="2" t="inlineStr">
        <is>
          <t>대량보유</t>
        </is>
      </c>
      <c r="E3598" s="3" t="inlineStr">
        <is>
          <t>BlackRockFundAdvisors</t>
        </is>
      </c>
      <c r="F3598" s="3" t="inlineStr">
        <is>
          <t>특별관계자</t>
        </is>
      </c>
      <c r="G3598" s="3" t="inlineStr">
        <is>
          <t>장내매수(+), 장내매도(-)</t>
        </is>
      </c>
      <c r="H3598" s="15" t="n">
        <v>379168</v>
      </c>
      <c r="I3598" s="6" t="n">
        <v>166134</v>
      </c>
      <c r="J3598" s="6" t="n">
        <v>3010229</v>
      </c>
      <c r="K3598" s="16" t="n">
        <v>12</v>
      </c>
      <c r="L3598" s="2" t="inlineStr">
        <is>
          <t>20260610000680</t>
        </is>
      </c>
      <c r="M3598" s="8">
        <f>HYPERLINK("https://dart.fss.or.kr/dsaf001/main.do?rcpNo=20260610000680", "공시열람")</f>
        <v/>
      </c>
    </row>
    <row r="3599" ht="22" customHeight="1">
      <c r="A3599" s="2" t="inlineStr">
        <is>
          <t>2026-06-10</t>
        </is>
      </c>
      <c r="B3599" s="3" t="inlineStr">
        <is>
          <t>케이티앤지</t>
        </is>
      </c>
      <c r="C3599" s="2" t="inlineStr">
        <is>
          <t>033780</t>
        </is>
      </c>
      <c r="D3599" s="2" t="inlineStr">
        <is>
          <t>대량보유</t>
        </is>
      </c>
      <c r="E3599" s="3" t="inlineStr">
        <is>
          <t>BlackRockInstitutionalTrustCompany,N.A.</t>
        </is>
      </c>
      <c r="F3599" s="3" t="inlineStr">
        <is>
          <t>특별관계자</t>
        </is>
      </c>
      <c r="G3599" s="3" t="inlineStr">
        <is>
          <t>장내매도(-), 장내매수(+)</t>
        </is>
      </c>
      <c r="H3599" s="15" t="n">
        <v>122783</v>
      </c>
      <c r="I3599" s="6" t="n">
        <v>162904</v>
      </c>
      <c r="J3599" s="6" t="n">
        <v>1393203</v>
      </c>
      <c r="K3599" s="16" t="n">
        <v>12</v>
      </c>
      <c r="L3599" s="2" t="inlineStr">
        <is>
          <t>20260610000680</t>
        </is>
      </c>
      <c r="M3599" s="8">
        <f>HYPERLINK("https://dart.fss.or.kr/dsaf001/main.do?rcpNo=20260610000680", "공시열람")</f>
        <v/>
      </c>
    </row>
    <row r="3600" ht="22" customHeight="1">
      <c r="A3600" s="2" t="inlineStr">
        <is>
          <t>2026-06-10</t>
        </is>
      </c>
      <c r="B3600" s="3" t="inlineStr">
        <is>
          <t>케이티앤지</t>
        </is>
      </c>
      <c r="C3600" s="2" t="inlineStr">
        <is>
          <t>033780</t>
        </is>
      </c>
      <c r="D3600" s="2" t="inlineStr">
        <is>
          <t>대량보유</t>
        </is>
      </c>
      <c r="E3600" s="3" t="inlineStr">
        <is>
          <t>BlackRockAdvisors(UK)Limited</t>
        </is>
      </c>
      <c r="F3600" s="3" t="inlineStr">
        <is>
          <t>특별관계자</t>
        </is>
      </c>
      <c r="G3600" s="3" t="inlineStr">
        <is>
          <t>장내매수(+), 장내매도(-)</t>
        </is>
      </c>
      <c r="H3600" s="15" t="n">
        <v>92196</v>
      </c>
      <c r="I3600" s="6" t="n">
        <v>168495</v>
      </c>
      <c r="J3600" s="6" t="n">
        <v>892894</v>
      </c>
      <c r="K3600" s="16" t="n">
        <v>12</v>
      </c>
      <c r="L3600" s="2" t="inlineStr">
        <is>
          <t>20260610000680</t>
        </is>
      </c>
      <c r="M3600" s="8">
        <f>HYPERLINK("https://dart.fss.or.kr/dsaf001/main.do?rcpNo=20260610000680", "공시열람")</f>
        <v/>
      </c>
    </row>
    <row r="3601" ht="22" customHeight="1">
      <c r="A3601" s="2" t="inlineStr">
        <is>
          <t>2026-06-10</t>
        </is>
      </c>
      <c r="B3601" s="3" t="inlineStr">
        <is>
          <t>케이티앤지</t>
        </is>
      </c>
      <c r="C3601" s="2" t="inlineStr">
        <is>
          <t>033780</t>
        </is>
      </c>
      <c r="D3601" s="2" t="inlineStr">
        <is>
          <t>대량보유</t>
        </is>
      </c>
      <c r="E3601" s="3" t="inlineStr">
        <is>
          <t>BlackRockFinancialManagement,Inc</t>
        </is>
      </c>
      <c r="F3601" s="3" t="inlineStr">
        <is>
          <t>특별관계자</t>
        </is>
      </c>
      <c r="G3601" s="3" t="inlineStr">
        <is>
          <t>장내매도(-)</t>
        </is>
      </c>
      <c r="H3601" s="17" t="n">
        <v>-4508</v>
      </c>
      <c r="I3601" s="6" t="n">
        <v>176570</v>
      </c>
      <c r="J3601" s="6" t="n">
        <v>22641</v>
      </c>
      <c r="K3601" s="16" t="n">
        <v>12</v>
      </c>
      <c r="L3601" s="2" t="inlineStr">
        <is>
          <t>20260610000680</t>
        </is>
      </c>
      <c r="M3601" s="8">
        <f>HYPERLINK("https://dart.fss.or.kr/dsaf001/main.do?rcpNo=20260610000680", "공시열람")</f>
        <v/>
      </c>
    </row>
    <row r="3602" ht="22" customHeight="1">
      <c r="A3602" s="2" t="inlineStr">
        <is>
          <t>2026-06-10</t>
        </is>
      </c>
      <c r="B3602" s="3" t="inlineStr">
        <is>
          <t>케이티앤지</t>
        </is>
      </c>
      <c r="C3602" s="2" t="inlineStr">
        <is>
          <t>033780</t>
        </is>
      </c>
      <c r="D3602" s="2" t="inlineStr">
        <is>
          <t>대량보유</t>
        </is>
      </c>
      <c r="E3602" s="3" t="inlineStr">
        <is>
          <t>BlackRockInvestmentManagement,LLC</t>
        </is>
      </c>
      <c r="F3602" s="3" t="inlineStr">
        <is>
          <t>특별관계자</t>
        </is>
      </c>
      <c r="G3602" s="3" t="inlineStr">
        <is>
          <t>장내매수(+), 장내매도(-)</t>
        </is>
      </c>
      <c r="H3602" s="15" t="n">
        <v>3596</v>
      </c>
      <c r="I3602" s="6" t="n">
        <v>159875</v>
      </c>
      <c r="J3602" s="6" t="n">
        <v>38720</v>
      </c>
      <c r="K3602" s="16" t="n">
        <v>12</v>
      </c>
      <c r="L3602" s="2" t="inlineStr">
        <is>
          <t>20260610000680</t>
        </is>
      </c>
      <c r="M3602" s="8">
        <f>HYPERLINK("https://dart.fss.or.kr/dsaf001/main.do?rcpNo=20260610000680", "공시열람")</f>
        <v/>
      </c>
    </row>
    <row r="3603" ht="22" customHeight="1">
      <c r="A3603" s="2" t="inlineStr">
        <is>
          <t>2026-06-10</t>
        </is>
      </c>
      <c r="B3603" s="3" t="inlineStr">
        <is>
          <t>케이티앤지</t>
        </is>
      </c>
      <c r="C3603" s="2" t="inlineStr">
        <is>
          <t>033780</t>
        </is>
      </c>
      <c r="D3603" s="2" t="inlineStr">
        <is>
          <t>대량보유</t>
        </is>
      </c>
      <c r="E3603" s="3" t="inlineStr">
        <is>
          <t>BlackRockInvestmentManagement(UK)Limited</t>
        </is>
      </c>
      <c r="F3603" s="3" t="inlineStr">
        <is>
          <t>특별관계자</t>
        </is>
      </c>
      <c r="G3603" s="3" t="inlineStr">
        <is>
          <t>장내매수(+), 장내매도(-)</t>
        </is>
      </c>
      <c r="H3603" s="17" t="n">
        <v>-14298</v>
      </c>
      <c r="I3603" s="6" t="n">
        <v>163912</v>
      </c>
      <c r="J3603" s="6" t="n">
        <v>255795</v>
      </c>
      <c r="K3603" s="16" t="n">
        <v>12</v>
      </c>
      <c r="L3603" s="2" t="inlineStr">
        <is>
          <t>20260610000680</t>
        </is>
      </c>
      <c r="M3603" s="8">
        <f>HYPERLINK("https://dart.fss.or.kr/dsaf001/main.do?rcpNo=20260610000680", "공시열람")</f>
        <v/>
      </c>
    </row>
    <row r="3604" ht="22" customHeight="1">
      <c r="A3604" s="2" t="inlineStr">
        <is>
          <t>2026-06-10</t>
        </is>
      </c>
      <c r="B3604" s="3" t="inlineStr">
        <is>
          <t>케이티앤지</t>
        </is>
      </c>
      <c r="C3604" s="2" t="inlineStr">
        <is>
          <t>033780</t>
        </is>
      </c>
      <c r="D3604" s="2" t="inlineStr">
        <is>
          <t>대량보유</t>
        </is>
      </c>
      <c r="E3604" s="3" t="inlineStr">
        <is>
          <t>BlackRockAssetManagementCanadaLimited</t>
        </is>
      </c>
      <c r="F3604" s="3" t="inlineStr">
        <is>
          <t>특별관계자</t>
        </is>
      </c>
      <c r="G3604" s="3" t="inlineStr">
        <is>
          <t>장내매수(+), 장내매도(-)</t>
        </is>
      </c>
      <c r="H3604" s="15" t="n">
        <v>3275</v>
      </c>
      <c r="I3604" s="6" t="n">
        <v>167628</v>
      </c>
      <c r="J3604" s="6" t="n">
        <v>32208</v>
      </c>
      <c r="K3604" s="16" t="n">
        <v>12</v>
      </c>
      <c r="L3604" s="2" t="inlineStr">
        <is>
          <t>20260610000680</t>
        </is>
      </c>
      <c r="M3604" s="8">
        <f>HYPERLINK("https://dart.fss.or.kr/dsaf001/main.do?rcpNo=20260610000680", "공시열람")</f>
        <v/>
      </c>
    </row>
    <row r="3605" ht="22" customHeight="1">
      <c r="A3605" s="2" t="inlineStr">
        <is>
          <t>2026-06-10</t>
        </is>
      </c>
      <c r="B3605" s="3" t="inlineStr">
        <is>
          <t>케이티앤지</t>
        </is>
      </c>
      <c r="C3605" s="2" t="inlineStr">
        <is>
          <t>033780</t>
        </is>
      </c>
      <c r="D3605" s="2" t="inlineStr">
        <is>
          <t>대량보유</t>
        </is>
      </c>
      <c r="E3605" s="3" t="inlineStr">
        <is>
          <t>BlackRockAssetManagementNorthAsiaLimited</t>
        </is>
      </c>
      <c r="F3605" s="3" t="inlineStr">
        <is>
          <t>특별관계자</t>
        </is>
      </c>
      <c r="G3605" s="3" t="inlineStr">
        <is>
          <t>장내매수(+), 장내매도(-)</t>
        </is>
      </c>
      <c r="H3605" s="17" t="n">
        <v>-117801</v>
      </c>
      <c r="I3605" s="6" t="n">
        <v>162715</v>
      </c>
      <c r="J3605" s="6" t="n">
        <v>527936</v>
      </c>
      <c r="K3605" s="16" t="n">
        <v>12</v>
      </c>
      <c r="L3605" s="2" t="inlineStr">
        <is>
          <t>20260610000680</t>
        </is>
      </c>
      <c r="M3605" s="8">
        <f>HYPERLINK("https://dart.fss.or.kr/dsaf001/main.do?rcpNo=20260610000680", "공시열람")</f>
        <v/>
      </c>
    </row>
    <row r="3606" ht="22" customHeight="1">
      <c r="A3606" s="2" t="inlineStr">
        <is>
          <t>2026-06-10</t>
        </is>
      </c>
      <c r="B3606" s="3" t="inlineStr">
        <is>
          <t>케이티앤지</t>
        </is>
      </c>
      <c r="C3606" s="2" t="inlineStr">
        <is>
          <t>033780</t>
        </is>
      </c>
      <c r="D3606" s="2" t="inlineStr">
        <is>
          <t>대량보유</t>
        </is>
      </c>
      <c r="E3606" s="3" t="inlineStr">
        <is>
          <t>BlackRockJapanCo.,Ltd.</t>
        </is>
      </c>
      <c r="F3606" s="3" t="inlineStr">
        <is>
          <t>특별관계자</t>
        </is>
      </c>
      <c r="G3606" s="3" t="inlineStr">
        <is>
          <t>장내매도(-), 장내매수(+)</t>
        </is>
      </c>
      <c r="H3606" s="17" t="n">
        <v>-299</v>
      </c>
      <c r="I3606" s="6" t="n">
        <v>168642</v>
      </c>
      <c r="J3606" s="6" t="n">
        <v>81951</v>
      </c>
      <c r="K3606" s="16" t="n">
        <v>12</v>
      </c>
      <c r="L3606" s="2" t="inlineStr">
        <is>
          <t>20260610000680</t>
        </is>
      </c>
      <c r="M3606" s="8">
        <f>HYPERLINK("https://dart.fss.or.kr/dsaf001/main.do?rcpNo=20260610000680", "공시열람")</f>
        <v/>
      </c>
    </row>
    <row r="3607" ht="22" customHeight="1">
      <c r="A3607" s="2" t="inlineStr">
        <is>
          <t>2026-06-10</t>
        </is>
      </c>
      <c r="B3607" s="3" t="inlineStr">
        <is>
          <t>케이티앤지</t>
        </is>
      </c>
      <c r="C3607" s="2" t="inlineStr">
        <is>
          <t>033780</t>
        </is>
      </c>
      <c r="D3607" s="2" t="inlineStr">
        <is>
          <t>대량보유</t>
        </is>
      </c>
      <c r="E3607" s="3" t="inlineStr">
        <is>
          <t>BlackRockAdvisors,LLC</t>
        </is>
      </c>
      <c r="F3607" s="3" t="inlineStr">
        <is>
          <t>특별관계자</t>
        </is>
      </c>
      <c r="G3607" s="3" t="inlineStr">
        <is>
          <t>장내매수(+), 장내매도(-)</t>
        </is>
      </c>
      <c r="H3607" s="15" t="n">
        <v>800</v>
      </c>
      <c r="I3607" s="6" t="n">
        <v>163564</v>
      </c>
      <c r="J3607" s="6" t="n">
        <v>56919</v>
      </c>
      <c r="K3607" s="16" t="n">
        <v>12</v>
      </c>
      <c r="L3607" s="2" t="inlineStr">
        <is>
          <t>20260610000680</t>
        </is>
      </c>
      <c r="M3607" s="8">
        <f>HYPERLINK("https://dart.fss.or.kr/dsaf001/main.do?rcpNo=20260610000680", "공시열람")</f>
        <v/>
      </c>
    </row>
    <row r="3608" ht="22" customHeight="1">
      <c r="A3608" s="2" t="inlineStr">
        <is>
          <t>2026-06-10</t>
        </is>
      </c>
      <c r="B3608" s="3" t="inlineStr">
        <is>
          <t>케이티앤지</t>
        </is>
      </c>
      <c r="C3608" s="2" t="inlineStr">
        <is>
          <t>033780</t>
        </is>
      </c>
      <c r="D3608" s="2" t="inlineStr">
        <is>
          <t>대량보유</t>
        </is>
      </c>
      <c r="E3608" s="3" t="inlineStr">
        <is>
          <t>BlackRockInvestmentManagement(Australia)Limited</t>
        </is>
      </c>
      <c r="F3608" s="3" t="inlineStr">
        <is>
          <t>특별관계자</t>
        </is>
      </c>
      <c r="G3608" s="3" t="inlineStr">
        <is>
          <t>장내매수(+), 장내매도(-)</t>
        </is>
      </c>
      <c r="H3608" s="17" t="n">
        <v>-681</v>
      </c>
      <c r="I3608" s="6" t="n">
        <v>168040</v>
      </c>
      <c r="J3608" s="6" t="n">
        <v>6263</v>
      </c>
      <c r="K3608" s="16" t="n">
        <v>12</v>
      </c>
      <c r="L3608" s="2" t="inlineStr">
        <is>
          <t>20260610000680</t>
        </is>
      </c>
      <c r="M3608" s="8">
        <f>HYPERLINK("https://dart.fss.or.kr/dsaf001/main.do?rcpNo=20260610000680", "공시열람")</f>
        <v/>
      </c>
    </row>
    <row r="3609" ht="22" customHeight="1">
      <c r="A3609" s="2" t="inlineStr">
        <is>
          <t>2026-06-10</t>
        </is>
      </c>
      <c r="B3609" s="3" t="inlineStr">
        <is>
          <t>케이티앤지</t>
        </is>
      </c>
      <c r="C3609" s="2" t="inlineStr">
        <is>
          <t>033780</t>
        </is>
      </c>
      <c r="D3609" s="2" t="inlineStr">
        <is>
          <t>대량보유</t>
        </is>
      </c>
      <c r="E3609" s="3" t="inlineStr">
        <is>
          <t>BlackRock(Singapore)Limited</t>
        </is>
      </c>
      <c r="F3609" s="3" t="inlineStr">
        <is>
          <t>특별관계자</t>
        </is>
      </c>
      <c r="G3609" s="3" t="inlineStr">
        <is>
          <t>장내매수(+), 장내매도(-)</t>
        </is>
      </c>
      <c r="H3609" s="15" t="n">
        <v>3119</v>
      </c>
      <c r="I3609" s="6" t="n">
        <v>164249</v>
      </c>
      <c r="J3609" s="6" t="n">
        <v>62760</v>
      </c>
      <c r="K3609" s="16" t="n">
        <v>12</v>
      </c>
      <c r="L3609" s="2" t="inlineStr">
        <is>
          <t>20260610000680</t>
        </is>
      </c>
      <c r="M3609" s="8">
        <f>HYPERLINK("https://dart.fss.or.kr/dsaf001/main.do?rcpNo=20260610000680", "공시열람")</f>
        <v/>
      </c>
    </row>
    <row r="3610" ht="22" customHeight="1">
      <c r="A3610" s="2" t="inlineStr">
        <is>
          <t>2026-06-10</t>
        </is>
      </c>
      <c r="B3610" s="3" t="inlineStr">
        <is>
          <t>한미사이언스</t>
        </is>
      </c>
      <c r="C3610" s="2" t="inlineStr">
        <is>
          <t>008930</t>
        </is>
      </c>
      <c r="D3610" s="2" t="inlineStr">
        <is>
          <t>대량보유</t>
        </is>
      </c>
      <c r="E3610" s="3" t="inlineStr">
        <is>
          <t>송영숙</t>
        </is>
      </c>
      <c r="F3610" s="3" t="inlineStr">
        <is>
          <t>보고자</t>
        </is>
      </c>
      <c r="G3610" s="3" t="inlineStr">
        <is>
          <t>주식담보계약 체결</t>
        </is>
      </c>
      <c r="H3610" s="6" t="inlineStr"/>
      <c r="I3610" s="6" t="inlineStr"/>
      <c r="J3610" s="6" t="n">
        <v>43692026</v>
      </c>
      <c r="K3610" s="16" t="n">
        <v>19</v>
      </c>
      <c r="L3610" s="2" t="inlineStr">
        <is>
          <t>20260610000678</t>
        </is>
      </c>
      <c r="M3610" s="8">
        <f>HYPERLINK("https://dart.fss.or.kr/dsaf001/main.do?rcpNo=20260610000678", "공시열람")</f>
        <v/>
      </c>
    </row>
    <row r="3611" ht="22" customHeight="1">
      <c r="A3611" s="2" t="inlineStr">
        <is>
          <t>2026-06-10</t>
        </is>
      </c>
      <c r="B3611" s="3" t="inlineStr">
        <is>
          <t>롯데지주</t>
        </is>
      </c>
      <c r="C3611" s="2" t="inlineStr">
        <is>
          <t>004990</t>
        </is>
      </c>
      <c r="D3611" s="2" t="inlineStr">
        <is>
          <t>임원보고</t>
        </is>
      </c>
      <c r="E3611" s="3" t="inlineStr">
        <is>
          <t>-</t>
        </is>
      </c>
      <c r="F3611" s="3" t="inlineStr">
        <is>
          <t>-</t>
        </is>
      </c>
      <c r="G3611" s="3" t="inlineStr">
        <is>
          <t>-</t>
        </is>
      </c>
      <c r="H3611" s="6" t="inlineStr"/>
      <c r="I3611" s="6" t="inlineStr"/>
      <c r="J3611" s="6" t="inlineStr"/>
      <c r="K3611" s="16" t="n">
        <v>12</v>
      </c>
      <c r="L3611" s="2" t="inlineStr">
        <is>
          <t>20260610800971</t>
        </is>
      </c>
      <c r="M3611" s="8">
        <f>HYPERLINK("https://dart.fss.or.kr/dsaf001/main.do?rcpNo=20260610800971", "공시열람")</f>
        <v/>
      </c>
    </row>
    <row r="3612" ht="22" customHeight="1">
      <c r="A3612" s="2" t="inlineStr">
        <is>
          <t>2026-06-10</t>
        </is>
      </c>
      <c r="B3612" s="3" t="inlineStr">
        <is>
          <t>온타이드</t>
        </is>
      </c>
      <c r="C3612" s="2" t="inlineStr">
        <is>
          <t>005320</t>
        </is>
      </c>
      <c r="D3612" s="2" t="inlineStr">
        <is>
          <t>대량보유</t>
        </is>
      </c>
      <c r="E3612" s="3" t="inlineStr">
        <is>
          <t>주식회사약진통상</t>
        </is>
      </c>
      <c r="F3612" s="3" t="inlineStr">
        <is>
          <t>특별관계자</t>
        </is>
      </c>
      <c r="G3612" s="3" t="inlineStr">
        <is>
          <t>장내매수(+)</t>
        </is>
      </c>
      <c r="H3612" s="15" t="n">
        <v>721784</v>
      </c>
      <c r="I3612" s="6" t="n">
        <v>1109</v>
      </c>
      <c r="J3612" s="6" t="n">
        <v>16699427</v>
      </c>
      <c r="K3612" s="16" t="n">
        <v>43.53</v>
      </c>
      <c r="L3612" s="2" t="inlineStr">
        <is>
          <t>20260610000654</t>
        </is>
      </c>
      <c r="M3612" s="8">
        <f>HYPERLINK("https://dart.fss.or.kr/dsaf001/main.do?rcpNo=20260610000654", "공시열람")</f>
        <v/>
      </c>
    </row>
    <row r="3613" ht="22" customHeight="1">
      <c r="A3613" s="2" t="inlineStr">
        <is>
          <t>2026-06-10</t>
        </is>
      </c>
      <c r="B3613" s="3" t="inlineStr">
        <is>
          <t>코다코</t>
        </is>
      </c>
      <c r="C3613" s="2" t="inlineStr">
        <is>
          <t>046070</t>
        </is>
      </c>
      <c r="D3613" s="2" t="inlineStr">
        <is>
          <t>대량보유</t>
        </is>
      </c>
      <c r="E3613" s="3" t="inlineStr">
        <is>
          <t>한국산업은행</t>
        </is>
      </c>
      <c r="F3613" s="3" t="inlineStr">
        <is>
          <t>특별관계자</t>
        </is>
      </c>
      <c r="G3613" s="3" t="inlineStr">
        <is>
          <t>출자전환</t>
        </is>
      </c>
      <c r="H3613" s="15" t="n">
        <v>247107</v>
      </c>
      <c r="I3613" s="6" t="inlineStr"/>
      <c r="J3613" s="6" t="n">
        <v>3697475</v>
      </c>
      <c r="K3613" s="16" t="n">
        <v>26.22</v>
      </c>
      <c r="L3613" s="2" t="inlineStr">
        <is>
          <t>20260610000648</t>
        </is>
      </c>
      <c r="M3613" s="8">
        <f>HYPERLINK("https://dart.fss.or.kr/dsaf001/main.do?rcpNo=20260610000648", "공시열람")</f>
        <v/>
      </c>
    </row>
    <row r="3614" ht="22" customHeight="1">
      <c r="A3614" s="2" t="inlineStr">
        <is>
          <t>2026-06-10</t>
        </is>
      </c>
      <c r="B3614" s="3" t="inlineStr">
        <is>
          <t>엠투엔</t>
        </is>
      </c>
      <c r="C3614" s="2" t="inlineStr">
        <is>
          <t>033310</t>
        </is>
      </c>
      <c r="D3614" s="2" t="inlineStr">
        <is>
          <t>대량보유</t>
        </is>
      </c>
      <c r="E3614" s="3" t="inlineStr">
        <is>
          <t>(주)디케이마린</t>
        </is>
      </c>
      <c r="F3614" s="3" t="inlineStr">
        <is>
          <t>보고자</t>
        </is>
      </c>
      <c r="G3614" s="3" t="inlineStr">
        <is>
          <t>주식담보계약 연장</t>
        </is>
      </c>
      <c r="H3614" s="6" t="inlineStr"/>
      <c r="I3614" s="6" t="inlineStr"/>
      <c r="J3614" s="6" t="n">
        <v>15048583</v>
      </c>
      <c r="K3614" s="16" t="n">
        <v>3</v>
      </c>
      <c r="L3614" s="2" t="inlineStr">
        <is>
          <t>20260610000642</t>
        </is>
      </c>
      <c r="M3614" s="8">
        <f>HYPERLINK("https://dart.fss.or.kr/dsaf001/main.do?rcpNo=20260610000642", "공시열람")</f>
        <v/>
      </c>
    </row>
    <row r="3615" ht="22" customHeight="1">
      <c r="A3615" s="2" t="inlineStr">
        <is>
          <t>2026-06-10</t>
        </is>
      </c>
      <c r="B3615" s="3" t="inlineStr">
        <is>
          <t>리드코프</t>
        </is>
      </c>
      <c r="C3615" s="2" t="inlineStr">
        <is>
          <t>012700</t>
        </is>
      </c>
      <c r="D3615" s="2" t="inlineStr">
        <is>
          <t>대량보유</t>
        </is>
      </c>
      <c r="E3615" s="3" t="inlineStr">
        <is>
          <t>(주)디케이마린</t>
        </is>
      </c>
      <c r="F3615" s="3" t="inlineStr">
        <is>
          <t>보고자</t>
        </is>
      </c>
      <c r="G3615" s="3" t="inlineStr">
        <is>
          <t>주식담보계약 연장 및 일부상환</t>
        </is>
      </c>
      <c r="H3615" s="6" t="inlineStr"/>
      <c r="I3615" s="6" t="inlineStr"/>
      <c r="J3615" s="6" t="n">
        <v>10667623</v>
      </c>
      <c r="K3615" s="16" t="n">
        <v>3</v>
      </c>
      <c r="L3615" s="2" t="inlineStr">
        <is>
          <t>20260610000635</t>
        </is>
      </c>
      <c r="M3615" s="8">
        <f>HYPERLINK("https://dart.fss.or.kr/dsaf001/main.do?rcpNo=20260610000635", "공시열람")</f>
        <v/>
      </c>
    </row>
    <row r="3616" ht="22" customHeight="1">
      <c r="A3616" s="2" t="inlineStr">
        <is>
          <t>2026-06-10</t>
        </is>
      </c>
      <c r="B3616" s="3" t="inlineStr">
        <is>
          <t>유안타증권</t>
        </is>
      </c>
      <c r="C3616" s="2" t="inlineStr">
        <is>
          <t>003470</t>
        </is>
      </c>
      <c r="D3616" s="2" t="inlineStr">
        <is>
          <t>임원보고</t>
        </is>
      </c>
      <c r="E3616" s="3" t="inlineStr">
        <is>
          <t>-</t>
        </is>
      </c>
      <c r="F3616" s="3" t="inlineStr">
        <is>
          <t>-</t>
        </is>
      </c>
      <c r="G3616" s="3" t="inlineStr">
        <is>
          <t>-</t>
        </is>
      </c>
      <c r="H3616" s="6" t="inlineStr"/>
      <c r="I3616" s="6" t="inlineStr"/>
      <c r="J3616" s="6" t="inlineStr"/>
      <c r="K3616" s="16" t="n">
        <v>12</v>
      </c>
      <c r="L3616" s="2" t="inlineStr">
        <is>
          <t>20260610800929</t>
        </is>
      </c>
      <c r="M3616" s="8">
        <f>HYPERLINK("https://dart.fss.or.kr/dsaf001/main.do?rcpNo=20260610800929", "공시열람")</f>
        <v/>
      </c>
    </row>
    <row r="3617" ht="22" customHeight="1">
      <c r="A3617" s="2" t="inlineStr">
        <is>
          <t>2026-06-10</t>
        </is>
      </c>
      <c r="B3617" s="3" t="inlineStr">
        <is>
          <t>삼성스팩11호</t>
        </is>
      </c>
      <c r="C3617" s="2" t="inlineStr">
        <is>
          <t>0071M0</t>
        </is>
      </c>
      <c r="D3617" s="2" t="inlineStr">
        <is>
          <t>대량보유</t>
        </is>
      </c>
      <c r="E3617" s="3" t="inlineStr">
        <is>
          <t>더블유자산운용</t>
        </is>
      </c>
      <c r="F3617" s="3" t="inlineStr">
        <is>
          <t>특별관계자</t>
        </is>
      </c>
      <c r="G3617" s="3" t="inlineStr">
        <is>
          <t>신규등록(+), 장내매도(-), 장내매수(+)</t>
        </is>
      </c>
      <c r="H3617" s="15" t="n">
        <v>304374</v>
      </c>
      <c r="I3617" s="6" t="n">
        <v>2027</v>
      </c>
      <c r="J3617" s="6" t="n">
        <v>304374</v>
      </c>
      <c r="K3617" s="16" t="n">
        <v>5.28</v>
      </c>
      <c r="L3617" s="2" t="inlineStr">
        <is>
          <t>20260610000631</t>
        </is>
      </c>
      <c r="M3617" s="8">
        <f>HYPERLINK("https://dart.fss.or.kr/dsaf001/main.do?rcpNo=20260610000631", "공시열람")</f>
        <v/>
      </c>
    </row>
    <row r="3618" ht="22" customHeight="1">
      <c r="A3618" s="2" t="inlineStr">
        <is>
          <t>2026-06-10</t>
        </is>
      </c>
      <c r="B3618" s="3" t="inlineStr">
        <is>
          <t>아세아</t>
        </is>
      </c>
      <c r="C3618" s="2" t="inlineStr">
        <is>
          <t>002030</t>
        </is>
      </c>
      <c r="D3618" s="2" t="inlineStr">
        <is>
          <t>대량보유</t>
        </is>
      </c>
      <c r="E3618" s="3" t="inlineStr">
        <is>
          <t>계산산업</t>
        </is>
      </c>
      <c r="F3618" s="3" t="inlineStr">
        <is>
          <t>특별관계자</t>
        </is>
      </c>
      <c r="G3618" s="3" t="inlineStr">
        <is>
          <t>장내매수(+)</t>
        </is>
      </c>
      <c r="H3618" s="6" t="inlineStr"/>
      <c r="I3618" s="6" t="inlineStr"/>
      <c r="J3618" s="6" t="n">
        <v>163839</v>
      </c>
      <c r="K3618" s="16" t="n">
        <v>3</v>
      </c>
      <c r="L3618" s="2" t="inlineStr">
        <is>
          <t>20260610000630</t>
        </is>
      </c>
      <c r="M3618" s="8">
        <f>HYPERLINK("https://dart.fss.or.kr/dsaf001/main.do?rcpNo=20260610000630", "공시열람")</f>
        <v/>
      </c>
    </row>
    <row r="3619" ht="22" customHeight="1">
      <c r="A3619" s="2" t="inlineStr">
        <is>
          <t>2026-06-10</t>
        </is>
      </c>
      <c r="B3619" s="3" t="inlineStr">
        <is>
          <t>아세아</t>
        </is>
      </c>
      <c r="C3619" s="2" t="inlineStr">
        <is>
          <t>002030</t>
        </is>
      </c>
      <c r="D3619" s="2" t="inlineStr">
        <is>
          <t>대량보유</t>
        </is>
      </c>
      <c r="E3619" s="3" t="inlineStr">
        <is>
          <t>정상균</t>
        </is>
      </c>
      <c r="F3619" s="3" t="inlineStr">
        <is>
          <t>특별관계자</t>
        </is>
      </c>
      <c r="G3619" s="3" t="inlineStr">
        <is>
          <t>장내매수(+)</t>
        </is>
      </c>
      <c r="H3619" s="6" t="inlineStr"/>
      <c r="I3619" s="6" t="inlineStr"/>
      <c r="J3619" s="6" t="n">
        <v>8062</v>
      </c>
      <c r="K3619" s="16" t="n">
        <v>3</v>
      </c>
      <c r="L3619" s="2" t="inlineStr">
        <is>
          <t>20260610000630</t>
        </is>
      </c>
      <c r="M3619" s="8">
        <f>HYPERLINK("https://dart.fss.or.kr/dsaf001/main.do?rcpNo=20260610000630", "공시열람")</f>
        <v/>
      </c>
    </row>
    <row r="3620" ht="22" customHeight="1">
      <c r="A3620" s="2" t="inlineStr">
        <is>
          <t>2026-06-10</t>
        </is>
      </c>
      <c r="B3620" s="3" t="inlineStr">
        <is>
          <t>아세아</t>
        </is>
      </c>
      <c r="C3620" s="2" t="inlineStr">
        <is>
          <t>002030</t>
        </is>
      </c>
      <c r="D3620" s="2" t="inlineStr">
        <is>
          <t>대량보유</t>
        </is>
      </c>
      <c r="E3620" s="3" t="inlineStr">
        <is>
          <t>문지이</t>
        </is>
      </c>
      <c r="F3620" s="3" t="inlineStr">
        <is>
          <t>특별관계자</t>
        </is>
      </c>
      <c r="G3620" s="3" t="inlineStr">
        <is>
          <t>장내매수(+)</t>
        </is>
      </c>
      <c r="H3620" s="6" t="inlineStr"/>
      <c r="I3620" s="6" t="inlineStr"/>
      <c r="J3620" s="6" t="n">
        <v>68011</v>
      </c>
      <c r="K3620" s="16" t="n">
        <v>3</v>
      </c>
      <c r="L3620" s="2" t="inlineStr">
        <is>
          <t>20260610000630</t>
        </is>
      </c>
      <c r="M3620" s="8">
        <f>HYPERLINK("https://dart.fss.or.kr/dsaf001/main.do?rcpNo=20260610000630", "공시열람")</f>
        <v/>
      </c>
    </row>
    <row r="3621" ht="22" customHeight="1">
      <c r="A3621" s="2" t="inlineStr">
        <is>
          <t>2026-06-10</t>
        </is>
      </c>
      <c r="B3621" s="3" t="inlineStr">
        <is>
          <t>아세아</t>
        </is>
      </c>
      <c r="C3621" s="2" t="inlineStr">
        <is>
          <t>002030</t>
        </is>
      </c>
      <c r="D3621" s="2" t="inlineStr">
        <is>
          <t>대량보유</t>
        </is>
      </c>
      <c r="E3621" s="3" t="inlineStr">
        <is>
          <t>정수연</t>
        </is>
      </c>
      <c r="F3621" s="3" t="inlineStr">
        <is>
          <t>특별관계자</t>
        </is>
      </c>
      <c r="G3621" s="3" t="inlineStr">
        <is>
          <t>장내매수(+)</t>
        </is>
      </c>
      <c r="H3621" s="6" t="inlineStr"/>
      <c r="I3621" s="6" t="inlineStr"/>
      <c r="J3621" s="6" t="n">
        <v>950</v>
      </c>
      <c r="K3621" s="16" t="n">
        <v>3</v>
      </c>
      <c r="L3621" s="2" t="inlineStr">
        <is>
          <t>20260610000630</t>
        </is>
      </c>
      <c r="M3621" s="8">
        <f>HYPERLINK("https://dart.fss.or.kr/dsaf001/main.do?rcpNo=20260610000630", "공시열람")</f>
        <v/>
      </c>
    </row>
    <row r="3622" ht="22" customHeight="1">
      <c r="A3622" s="2" t="inlineStr">
        <is>
          <t>2026-06-10</t>
        </is>
      </c>
      <c r="B3622" s="3" t="inlineStr">
        <is>
          <t>한울소재과학</t>
        </is>
      </c>
      <c r="C3622" s="2" t="inlineStr">
        <is>
          <t>091440</t>
        </is>
      </c>
      <c r="D3622" s="2" t="inlineStr">
        <is>
          <t>대량보유</t>
        </is>
      </c>
      <c r="E3622" s="3" t="inlineStr">
        <is>
          <t>전지윤</t>
        </is>
      </c>
      <c r="F3622" s="3" t="inlineStr">
        <is>
          <t>특별관계자</t>
        </is>
      </c>
      <c r="G3622" s="3" t="inlineStr">
        <is>
          <t>장내매도(-)</t>
        </is>
      </c>
      <c r="H3622" s="17" t="n">
        <v>-10000</v>
      </c>
      <c r="I3622" s="6" t="n">
        <v>3500</v>
      </c>
      <c r="J3622" s="6" t="n">
        <v>230000</v>
      </c>
      <c r="K3622" s="16" t="n">
        <v>1</v>
      </c>
      <c r="L3622" s="2" t="inlineStr">
        <is>
          <t>20260610000624</t>
        </is>
      </c>
      <c r="M3622" s="8">
        <f>HYPERLINK("https://dart.fss.or.kr/dsaf001/main.do?rcpNo=20260610000624", "공시열람")</f>
        <v/>
      </c>
    </row>
    <row r="3623" ht="22" customHeight="1">
      <c r="A3623" s="2" t="inlineStr">
        <is>
          <t>2026-06-10</t>
        </is>
      </c>
      <c r="B3623" s="3" t="inlineStr">
        <is>
          <t>한울소재과학</t>
        </is>
      </c>
      <c r="C3623" s="2" t="inlineStr">
        <is>
          <t>091440</t>
        </is>
      </c>
      <c r="D3623" s="2" t="inlineStr">
        <is>
          <t>대량보유</t>
        </is>
      </c>
      <c r="E3623" s="3" t="inlineStr">
        <is>
          <t>전태랑</t>
        </is>
      </c>
      <c r="F3623" s="3" t="inlineStr">
        <is>
          <t>특별관계자</t>
        </is>
      </c>
      <c r="G3623" s="3" t="inlineStr">
        <is>
          <t>장내매도(-)</t>
        </is>
      </c>
      <c r="H3623" s="17" t="n">
        <v>-90000</v>
      </c>
      <c r="I3623" s="6" t="n">
        <v>3097</v>
      </c>
      <c r="J3623" s="6" t="n">
        <v>145000</v>
      </c>
      <c r="K3623" s="16" t="n">
        <v>1</v>
      </c>
      <c r="L3623" s="2" t="inlineStr">
        <is>
          <t>20260610000624</t>
        </is>
      </c>
      <c r="M3623" s="8">
        <f>HYPERLINK("https://dart.fss.or.kr/dsaf001/main.do?rcpNo=20260610000624", "공시열람")</f>
        <v/>
      </c>
    </row>
    <row r="3624" ht="22" customHeight="1">
      <c r="A3624" s="2" t="inlineStr">
        <is>
          <t>2026-06-10</t>
        </is>
      </c>
      <c r="B3624" s="3" t="inlineStr">
        <is>
          <t>한울소재과학</t>
        </is>
      </c>
      <c r="C3624" s="2" t="inlineStr">
        <is>
          <t>091440</t>
        </is>
      </c>
      <c r="D3624" s="2" t="inlineStr">
        <is>
          <t>대량보유</t>
        </is>
      </c>
      <c r="E3624" s="3" t="inlineStr">
        <is>
          <t>노명주</t>
        </is>
      </c>
      <c r="F3624" s="3" t="inlineStr">
        <is>
          <t>특별관계자</t>
        </is>
      </c>
      <c r="G3624" s="3" t="inlineStr">
        <is>
          <t>장내매수(+), 장내매도(-)</t>
        </is>
      </c>
      <c r="H3624" s="17" t="n">
        <v>-10850</v>
      </c>
      <c r="I3624" s="6" t="n">
        <v>3206</v>
      </c>
      <c r="J3624" s="6" t="n">
        <v>11350</v>
      </c>
      <c r="K3624" s="16" t="n">
        <v>1</v>
      </c>
      <c r="L3624" s="2" t="inlineStr">
        <is>
          <t>20260610000624</t>
        </is>
      </c>
      <c r="M3624" s="8">
        <f>HYPERLINK("https://dart.fss.or.kr/dsaf001/main.do?rcpNo=20260610000624", "공시열람")</f>
        <v/>
      </c>
    </row>
    <row r="3625" ht="22" customHeight="1">
      <c r="A3625" s="2" t="inlineStr">
        <is>
          <t>2026-06-10</t>
        </is>
      </c>
      <c r="B3625" s="3" t="inlineStr">
        <is>
          <t>한울소재과학</t>
        </is>
      </c>
      <c r="C3625" s="2" t="inlineStr">
        <is>
          <t>091440</t>
        </is>
      </c>
      <c r="D3625" s="2" t="inlineStr">
        <is>
          <t>대량보유</t>
        </is>
      </c>
      <c r="E3625" s="3" t="inlineStr">
        <is>
          <t>주식회사케이디엠아이</t>
        </is>
      </c>
      <c r="F3625" s="3" t="inlineStr">
        <is>
          <t>특별관계자</t>
        </is>
      </c>
      <c r="G3625" s="3" t="inlineStr">
        <is>
          <t>장내매도(-)</t>
        </is>
      </c>
      <c r="H3625" s="17" t="n">
        <v>-19350</v>
      </c>
      <c r="I3625" s="6" t="n">
        <v>3226</v>
      </c>
      <c r="J3625" s="6" t="n">
        <v>143410</v>
      </c>
      <c r="K3625" s="16" t="n">
        <v>1</v>
      </c>
      <c r="L3625" s="2" t="inlineStr">
        <is>
          <t>20260610000624</t>
        </is>
      </c>
      <c r="M3625" s="8">
        <f>HYPERLINK("https://dart.fss.or.kr/dsaf001/main.do?rcpNo=20260610000624", "공시열람")</f>
        <v/>
      </c>
    </row>
    <row r="3626" ht="22" customHeight="1">
      <c r="A3626" s="2" t="inlineStr">
        <is>
          <t>2026-06-10</t>
        </is>
      </c>
      <c r="B3626" s="3" t="inlineStr">
        <is>
          <t>한울소재과학</t>
        </is>
      </c>
      <c r="C3626" s="2" t="inlineStr">
        <is>
          <t>091440</t>
        </is>
      </c>
      <c r="D3626" s="2" t="inlineStr">
        <is>
          <t>대량보유</t>
        </is>
      </c>
      <c r="E3626" s="3" t="inlineStr">
        <is>
          <t>주식회사카트</t>
        </is>
      </c>
      <c r="F3626" s="3" t="inlineStr">
        <is>
          <t>특별관계자</t>
        </is>
      </c>
      <c r="G3626" s="3" t="inlineStr">
        <is>
          <t>장내매도(-)</t>
        </is>
      </c>
      <c r="H3626" s="17" t="n">
        <v>-275431</v>
      </c>
      <c r="I3626" s="6" t="n">
        <v>3317</v>
      </c>
      <c r="J3626" s="6" t="n">
        <v>347913</v>
      </c>
      <c r="K3626" s="16" t="n">
        <v>1</v>
      </c>
      <c r="L3626" s="2" t="inlineStr">
        <is>
          <t>20260610000624</t>
        </is>
      </c>
      <c r="M3626" s="8">
        <f>HYPERLINK("https://dart.fss.or.kr/dsaf001/main.do?rcpNo=20260610000624", "공시열람")</f>
        <v/>
      </c>
    </row>
    <row r="3627" ht="22" customHeight="1">
      <c r="A3627" s="2" t="inlineStr">
        <is>
          <t>2026-06-10</t>
        </is>
      </c>
      <c r="B3627" s="3" t="inlineStr">
        <is>
          <t>HDC</t>
        </is>
      </c>
      <c r="C3627" s="2" t="inlineStr">
        <is>
          <t>012630</t>
        </is>
      </c>
      <c r="D3627" s="2" t="inlineStr">
        <is>
          <t>임원보고</t>
        </is>
      </c>
      <c r="E3627" s="3" t="inlineStr">
        <is>
          <t>-</t>
        </is>
      </c>
      <c r="F3627" s="3" t="inlineStr">
        <is>
          <t>-</t>
        </is>
      </c>
      <c r="G3627" s="3" t="inlineStr">
        <is>
          <t>-</t>
        </is>
      </c>
      <c r="H3627" s="6" t="inlineStr"/>
      <c r="I3627" s="6" t="inlineStr"/>
      <c r="J3627" s="6" t="inlineStr"/>
      <c r="K3627" s="16" t="n">
        <v>12</v>
      </c>
      <c r="L3627" s="2" t="inlineStr">
        <is>
          <t>20260610800922</t>
        </is>
      </c>
      <c r="M3627" s="8">
        <f>HYPERLINK("https://dart.fss.or.kr/dsaf001/main.do?rcpNo=20260610800922", "공시열람")</f>
        <v/>
      </c>
    </row>
    <row r="3628" ht="22" customHeight="1">
      <c r="A3628" s="2" t="inlineStr">
        <is>
          <t>2026-06-10</t>
        </is>
      </c>
      <c r="B3628" s="3" t="inlineStr">
        <is>
          <t>HDC</t>
        </is>
      </c>
      <c r="C3628" s="2" t="inlineStr">
        <is>
          <t>012630</t>
        </is>
      </c>
      <c r="D3628" s="2" t="inlineStr">
        <is>
          <t>대량보유</t>
        </is>
      </c>
      <c r="E3628" s="3" t="inlineStr">
        <is>
          <t>엠엔큐투자파트너스(유)</t>
        </is>
      </c>
      <c r="F3628" s="3" t="inlineStr">
        <is>
          <t>특별관계자</t>
        </is>
      </c>
      <c r="G3628" s="3" t="inlineStr">
        <is>
          <t>장내매수(+)</t>
        </is>
      </c>
      <c r="H3628" s="15" t="n">
        <v>21457</v>
      </c>
      <c r="I3628" s="6" t="n">
        <v>19141</v>
      </c>
      <c r="J3628" s="6" t="n">
        <v>3937275</v>
      </c>
      <c r="K3628" s="16" t="n">
        <v>9</v>
      </c>
      <c r="L3628" s="2" t="inlineStr">
        <is>
          <t>20260610000617</t>
        </is>
      </c>
      <c r="M3628" s="8">
        <f>HYPERLINK("https://dart.fss.or.kr/dsaf001/main.do?rcpNo=20260610000617", "공시열람")</f>
        <v/>
      </c>
    </row>
    <row r="3629" ht="22" customHeight="1">
      <c r="A3629" s="2" t="inlineStr">
        <is>
          <t>2026-06-10 (정정: 2026-06-15)</t>
        </is>
      </c>
      <c r="B3629" s="3" t="inlineStr">
        <is>
          <t>한울반도체</t>
        </is>
      </c>
      <c r="C3629" s="2" t="inlineStr">
        <is>
          <t>320000</t>
        </is>
      </c>
      <c r="D3629" s="2" t="inlineStr">
        <is>
          <t>대량보유</t>
        </is>
      </c>
      <c r="E3629" s="3" t="inlineStr">
        <is>
          <t>-</t>
        </is>
      </c>
      <c r="F3629" s="3" t="inlineStr">
        <is>
          <t>보고자</t>
        </is>
      </c>
      <c r="G3629" s="3" t="inlineStr">
        <is>
          <t>-</t>
        </is>
      </c>
      <c r="H3629" s="6" t="inlineStr"/>
      <c r="I3629" s="6" t="inlineStr"/>
      <c r="J3629" s="6" t="inlineStr"/>
      <c r="K3629" s="18" t="inlineStr"/>
      <c r="L3629" s="2" t="inlineStr">
        <is>
          <t>20260615000049</t>
        </is>
      </c>
      <c r="M3629" s="8">
        <f>HYPERLINK("https://dart.fss.or.kr/dsaf001/main.do?rcpNo=20260615000049", "공시열람")</f>
        <v/>
      </c>
    </row>
    <row r="3630" ht="22" customHeight="1">
      <c r="A3630" s="2" t="inlineStr">
        <is>
          <t>2026-06-10</t>
        </is>
      </c>
      <c r="B3630" s="3" t="inlineStr">
        <is>
          <t>휴림에이텍</t>
        </is>
      </c>
      <c r="C3630" s="2" t="inlineStr">
        <is>
          <t>078590</t>
        </is>
      </c>
      <c r="D3630" s="2" t="inlineStr">
        <is>
          <t>대량보유</t>
        </is>
      </c>
      <c r="E3630" s="3" t="inlineStr">
        <is>
          <t>휴림로봇㈜</t>
        </is>
      </c>
      <c r="F3630" s="3" t="inlineStr">
        <is>
          <t>특별관계자</t>
        </is>
      </c>
      <c r="G3630" s="3" t="inlineStr">
        <is>
          <t>자본감소</t>
        </is>
      </c>
      <c r="H3630" s="17" t="n">
        <v>-23021800</v>
      </c>
      <c r="I3630" s="6" t="inlineStr"/>
      <c r="J3630" s="6" t="n">
        <v>2557977</v>
      </c>
      <c r="K3630" s="16" t="n">
        <v>25.6</v>
      </c>
      <c r="L3630" s="2" t="inlineStr">
        <is>
          <t>20260610000612</t>
        </is>
      </c>
      <c r="M3630" s="8">
        <f>HYPERLINK("https://dart.fss.or.kr/dsaf001/main.do?rcpNo=20260610000612", "공시열람")</f>
        <v/>
      </c>
    </row>
    <row r="3631" ht="22" customHeight="1">
      <c r="A3631" s="2" t="inlineStr">
        <is>
          <t>2026-06-10</t>
        </is>
      </c>
      <c r="B3631" s="3" t="inlineStr">
        <is>
          <t>솔루엠</t>
        </is>
      </c>
      <c r="C3631" s="2" t="inlineStr">
        <is>
          <t>248070</t>
        </is>
      </c>
      <c r="D3631" s="2" t="inlineStr">
        <is>
          <t>대량보유</t>
        </is>
      </c>
      <c r="E3631" s="3" t="inlineStr">
        <is>
          <t>(주)브이아이피자산운용</t>
        </is>
      </c>
      <c r="F3631" s="3" t="inlineStr">
        <is>
          <t>특별관계자</t>
        </is>
      </c>
      <c r="G3631" s="3" t="inlineStr">
        <is>
          <t>장내매수(+), 장내매도(-), 기타(-)</t>
        </is>
      </c>
      <c r="H3631" s="17" t="n">
        <v>-608721</v>
      </c>
      <c r="I3631" s="6" t="n">
        <v>17882</v>
      </c>
      <c r="J3631" s="6" t="n">
        <v>3210118</v>
      </c>
      <c r="K3631" s="16" t="n">
        <v>6.71</v>
      </c>
      <c r="L3631" s="2" t="inlineStr">
        <is>
          <t>20260610000608</t>
        </is>
      </c>
      <c r="M3631" s="8">
        <f>HYPERLINK("https://dart.fss.or.kr/dsaf001/main.do?rcpNo=20260610000608", "공시열람")</f>
        <v/>
      </c>
    </row>
    <row r="3632" ht="22" customHeight="1">
      <c r="A3632" s="2" t="inlineStr">
        <is>
          <t>2026-06-10</t>
        </is>
      </c>
      <c r="B3632" s="3" t="inlineStr">
        <is>
          <t>야스</t>
        </is>
      </c>
      <c r="C3632" s="2" t="inlineStr">
        <is>
          <t>255440</t>
        </is>
      </c>
      <c r="D3632" s="2" t="inlineStr">
        <is>
          <t>대량보유</t>
        </is>
      </c>
      <c r="E3632" s="3" t="inlineStr">
        <is>
          <t>정광호</t>
        </is>
      </c>
      <c r="F3632" s="3" t="inlineStr">
        <is>
          <t>보고자</t>
        </is>
      </c>
      <c r="G3632" s="3" t="inlineStr">
        <is>
          <t>주식담보대출 기간연장</t>
        </is>
      </c>
      <c r="H3632" s="6" t="inlineStr"/>
      <c r="I3632" s="6" t="inlineStr"/>
      <c r="J3632" s="6" t="n">
        <v>6083500</v>
      </c>
      <c r="K3632" s="16" t="n">
        <v>4</v>
      </c>
      <c r="L3632" s="2" t="inlineStr">
        <is>
          <t>20260610000604</t>
        </is>
      </c>
      <c r="M3632" s="8">
        <f>HYPERLINK("https://dart.fss.or.kr/dsaf001/main.do?rcpNo=20260610000604", "공시열람")</f>
        <v/>
      </c>
    </row>
    <row r="3633" ht="22" customHeight="1">
      <c r="A3633" s="2" t="inlineStr">
        <is>
          <t>2026-06-10</t>
        </is>
      </c>
      <c r="B3633" s="3" t="inlineStr">
        <is>
          <t>대한제당</t>
        </is>
      </c>
      <c r="C3633" s="2" t="inlineStr">
        <is>
          <t>001790</t>
        </is>
      </c>
      <c r="D3633" s="2" t="inlineStr">
        <is>
          <t>임원보고</t>
        </is>
      </c>
      <c r="E3633" s="3" t="inlineStr">
        <is>
          <t>-</t>
        </is>
      </c>
      <c r="F3633" s="3" t="inlineStr">
        <is>
          <t>-</t>
        </is>
      </c>
      <c r="G3633" s="3" t="inlineStr">
        <is>
          <t>-</t>
        </is>
      </c>
      <c r="H3633" s="6" t="inlineStr"/>
      <c r="I3633" s="6" t="inlineStr"/>
      <c r="J3633" s="6" t="inlineStr"/>
      <c r="K3633" s="16" t="n">
        <v>12</v>
      </c>
      <c r="L3633" s="2" t="inlineStr">
        <is>
          <t>20260610800894</t>
        </is>
      </c>
      <c r="M3633" s="8">
        <f>HYPERLINK("https://dart.fss.or.kr/dsaf001/main.do?rcpNo=20260610800894", "공시열람")</f>
        <v/>
      </c>
    </row>
    <row r="3634" ht="22" customHeight="1">
      <c r="A3634" s="2" t="inlineStr">
        <is>
          <t>2026-06-10</t>
        </is>
      </c>
      <c r="B3634" s="3" t="inlineStr">
        <is>
          <t>꿈비</t>
        </is>
      </c>
      <c r="C3634" s="2" t="inlineStr">
        <is>
          <t>407400</t>
        </is>
      </c>
      <c r="D3634" s="2" t="inlineStr">
        <is>
          <t>대량보유</t>
        </is>
      </c>
      <c r="E3634" s="3" t="inlineStr">
        <is>
          <t>이시우</t>
        </is>
      </c>
      <c r="F3634" s="3" t="inlineStr">
        <is>
          <t>특별관계자</t>
        </is>
      </c>
      <c r="G3634" s="3" t="inlineStr">
        <is>
          <t>장내매도(-)</t>
        </is>
      </c>
      <c r="H3634" s="17" t="n">
        <v>-58142</v>
      </c>
      <c r="I3634" s="6" t="n">
        <v>2689</v>
      </c>
      <c r="J3634" s="6" t="n">
        <v>29696</v>
      </c>
      <c r="K3634" s="16" t="n">
        <v>6</v>
      </c>
      <c r="L3634" s="2" t="inlineStr">
        <is>
          <t>20260610000598</t>
        </is>
      </c>
      <c r="M3634" s="8">
        <f>HYPERLINK("https://dart.fss.or.kr/dsaf001/main.do?rcpNo=20260610000598", "공시열람")</f>
        <v/>
      </c>
    </row>
    <row r="3635" ht="22" customHeight="1">
      <c r="A3635" s="2" t="inlineStr">
        <is>
          <t>2026-06-10</t>
        </is>
      </c>
      <c r="B3635" s="3" t="inlineStr">
        <is>
          <t>아세아</t>
        </is>
      </c>
      <c r="C3635" s="2" t="inlineStr">
        <is>
          <t>002030</t>
        </is>
      </c>
      <c r="D3635" s="2" t="inlineStr">
        <is>
          <t>대량보유</t>
        </is>
      </c>
      <c r="E3635" s="3" t="inlineStr">
        <is>
          <t>(주)브이아이피자산운용</t>
        </is>
      </c>
      <c r="F3635" s="3" t="inlineStr">
        <is>
          <t>특별관계자</t>
        </is>
      </c>
      <c r="G3635" s="3" t="inlineStr">
        <is>
          <t>장내매도(-), 장내매수(+), 기타(-)</t>
        </is>
      </c>
      <c r="H3635" s="17" t="n">
        <v>-23581</v>
      </c>
      <c r="I3635" s="6" t="n">
        <v>267450</v>
      </c>
      <c r="J3635" s="6" t="n">
        <v>196414</v>
      </c>
      <c r="K3635" s="16" t="n">
        <v>9.539999999999999</v>
      </c>
      <c r="L3635" s="2" t="inlineStr">
        <is>
          <t>20260610000597</t>
        </is>
      </c>
      <c r="M3635" s="8">
        <f>HYPERLINK("https://dart.fss.or.kr/dsaf001/main.do?rcpNo=20260610000597", "공시열람")</f>
        <v/>
      </c>
    </row>
    <row r="3636" ht="22" customHeight="1">
      <c r="A3636" s="2" t="inlineStr">
        <is>
          <t>2026-06-10</t>
        </is>
      </c>
      <c r="B3636" s="3" t="inlineStr">
        <is>
          <t>한울소재과학</t>
        </is>
      </c>
      <c r="C3636" s="2" t="inlineStr">
        <is>
          <t>091440</t>
        </is>
      </c>
      <c r="D3636" s="2" t="inlineStr">
        <is>
          <t>대량보유</t>
        </is>
      </c>
      <c r="E3636" s="3" t="inlineStr">
        <is>
          <t>제이케이(JK)신기술투자조합제1호</t>
        </is>
      </c>
      <c r="F3636" s="3" t="inlineStr">
        <is>
          <t>특별관계자</t>
        </is>
      </c>
      <c r="G3636" s="3" t="inlineStr">
        <is>
          <t>장외매도(-)</t>
        </is>
      </c>
      <c r="H3636" s="17" t="n">
        <v>-911458</v>
      </c>
      <c r="I3636" s="6" t="n">
        <v>2304</v>
      </c>
      <c r="J3636" s="6" t="n">
        <v>12109375</v>
      </c>
      <c r="K3636" s="16" t="n">
        <v>1</v>
      </c>
      <c r="L3636" s="2" t="inlineStr">
        <is>
          <t>20260610000593</t>
        </is>
      </c>
      <c r="M3636" s="8">
        <f>HYPERLINK("https://dart.fss.or.kr/dsaf001/main.do?rcpNo=20260610000593", "공시열람")</f>
        <v/>
      </c>
    </row>
    <row r="3637" ht="22" customHeight="1">
      <c r="A3637" s="2" t="inlineStr">
        <is>
          <t>2026-06-10</t>
        </is>
      </c>
      <c r="B3637" s="3" t="inlineStr">
        <is>
          <t>차바이오텍</t>
        </is>
      </c>
      <c r="C3637" s="2" t="inlineStr">
        <is>
          <t>085660</t>
        </is>
      </c>
      <c r="D3637" s="2" t="inlineStr">
        <is>
          <t>대량보유</t>
        </is>
      </c>
      <c r="E3637" s="3" t="inlineStr">
        <is>
          <t>차광렬</t>
        </is>
      </c>
      <c r="F3637" s="3" t="inlineStr">
        <is>
          <t>보고자</t>
        </is>
      </c>
      <c r="G3637" s="3" t="inlineStr">
        <is>
          <t>특별관계자 주식담보대출 계약 연장</t>
        </is>
      </c>
      <c r="H3637" s="6" t="inlineStr"/>
      <c r="I3637" s="6" t="inlineStr"/>
      <c r="J3637" s="6" t="n">
        <v>23367692</v>
      </c>
      <c r="K3637" s="16" t="n">
        <v>17</v>
      </c>
      <c r="L3637" s="2" t="inlineStr">
        <is>
          <t>20260610000590</t>
        </is>
      </c>
      <c r="M3637" s="8">
        <f>HYPERLINK("https://dart.fss.or.kr/dsaf001/main.do?rcpNo=20260610000590", "공시열람")</f>
        <v/>
      </c>
    </row>
    <row r="3638" ht="22" customHeight="1">
      <c r="A3638" s="2" t="inlineStr">
        <is>
          <t>2026-06-10</t>
        </is>
      </c>
      <c r="B3638" s="3" t="inlineStr">
        <is>
          <t>케이엔제이</t>
        </is>
      </c>
      <c r="C3638" s="2" t="inlineStr">
        <is>
          <t>272110</t>
        </is>
      </c>
      <c r="D3638" s="2" t="inlineStr">
        <is>
          <t>대량보유</t>
        </is>
      </c>
      <c r="E3638" s="3" t="inlineStr">
        <is>
          <t>에셋플러스자산운용(주)</t>
        </is>
      </c>
      <c r="F3638" s="3" t="inlineStr">
        <is>
          <t>특별관계자</t>
        </is>
      </c>
      <c r="G3638" s="3" t="inlineStr">
        <is>
          <t>장내매도(-)</t>
        </is>
      </c>
      <c r="H3638" s="17" t="n">
        <v>-84144</v>
      </c>
      <c r="I3638" s="6" t="n">
        <v>31922</v>
      </c>
      <c r="J3638" s="6" t="n">
        <v>320321</v>
      </c>
      <c r="K3638" s="16" t="n">
        <v>3.99</v>
      </c>
      <c r="L3638" s="2" t="inlineStr">
        <is>
          <t>20260610000587</t>
        </is>
      </c>
      <c r="M3638" s="8">
        <f>HYPERLINK("https://dart.fss.or.kr/dsaf001/main.do?rcpNo=20260610000587", "공시열람")</f>
        <v/>
      </c>
    </row>
    <row r="3639" ht="22" customHeight="1">
      <c r="A3639" s="2" t="inlineStr">
        <is>
          <t>2026-06-10</t>
        </is>
      </c>
      <c r="B3639" s="3" t="inlineStr">
        <is>
          <t>키움히어로제1호스팩</t>
        </is>
      </c>
      <c r="C3639" s="2" t="inlineStr">
        <is>
          <t>466690</t>
        </is>
      </c>
      <c r="D3639" s="2" t="inlineStr">
        <is>
          <t>대량보유</t>
        </is>
      </c>
      <c r="E3639" s="3" t="inlineStr">
        <is>
          <t>더블유자산운용</t>
        </is>
      </c>
      <c r="F3639" s="3" t="inlineStr">
        <is>
          <t>특별관계자</t>
        </is>
      </c>
      <c r="G3639" s="3" t="inlineStr">
        <is>
          <t>신규등록(+), 장내매도(-), 장내매수(+)</t>
        </is>
      </c>
      <c r="H3639" s="15" t="n">
        <v>284010</v>
      </c>
      <c r="I3639" s="6" t="n">
        <v>2046</v>
      </c>
      <c r="J3639" s="6" t="n">
        <v>284010</v>
      </c>
      <c r="K3639" s="16" t="n">
        <v>5.57</v>
      </c>
      <c r="L3639" s="2" t="inlineStr">
        <is>
          <t>20260610000580</t>
        </is>
      </c>
      <c r="M3639" s="8">
        <f>HYPERLINK("https://dart.fss.or.kr/dsaf001/main.do?rcpNo=20260610000580", "공시열람")</f>
        <v/>
      </c>
    </row>
    <row r="3640" ht="22" customHeight="1">
      <c r="A3640" s="2" t="inlineStr">
        <is>
          <t>2026-06-10</t>
        </is>
      </c>
      <c r="B3640" s="3" t="inlineStr">
        <is>
          <t>마이크로컨텍솔</t>
        </is>
      </c>
      <c r="C3640" s="2" t="inlineStr">
        <is>
          <t>098120</t>
        </is>
      </c>
      <c r="D3640" s="2" t="inlineStr">
        <is>
          <t>대량보유</t>
        </is>
      </c>
      <c r="E3640" s="3" t="inlineStr">
        <is>
          <t>에셋플러스자산운용(주)</t>
        </is>
      </c>
      <c r="F3640" s="3" t="inlineStr">
        <is>
          <t>특별관계자</t>
        </is>
      </c>
      <c r="G3640" s="3" t="inlineStr">
        <is>
          <t>장내매수(+), 장내매도(-), 기타(+)</t>
        </is>
      </c>
      <c r="H3640" s="17" t="n">
        <v>-219528</v>
      </c>
      <c r="I3640" s="6" t="n">
        <v>34758</v>
      </c>
      <c r="J3640" s="6" t="n">
        <v>958938</v>
      </c>
      <c r="K3640" s="16" t="n">
        <v>11.54</v>
      </c>
      <c r="L3640" s="2" t="inlineStr">
        <is>
          <t>20260610000577</t>
        </is>
      </c>
      <c r="M3640" s="8">
        <f>HYPERLINK("https://dart.fss.or.kr/dsaf001/main.do?rcpNo=20260610000577", "공시열람")</f>
        <v/>
      </c>
    </row>
    <row r="3641" ht="22" customHeight="1">
      <c r="A3641" s="2" t="inlineStr">
        <is>
          <t>2026-06-10</t>
        </is>
      </c>
      <c r="B3641" s="3" t="inlineStr">
        <is>
          <t>부국증권</t>
        </is>
      </c>
      <c r="C3641" s="2" t="inlineStr">
        <is>
          <t>001270</t>
        </is>
      </c>
      <c r="D3641" s="2" t="inlineStr">
        <is>
          <t>대량보유</t>
        </is>
      </c>
      <c r="E3641" s="3" t="inlineStr">
        <is>
          <t>김정연</t>
        </is>
      </c>
      <c r="F3641" s="3" t="inlineStr">
        <is>
          <t>특별관계자</t>
        </is>
      </c>
      <c r="G3641" s="3" t="inlineStr">
        <is>
          <t>장내매수(+)</t>
        </is>
      </c>
      <c r="H3641" s="15" t="n">
        <v>880</v>
      </c>
      <c r="I3641" s="6" t="n">
        <v>56514</v>
      </c>
      <c r="J3641" s="6" t="n">
        <v>156008</v>
      </c>
      <c r="K3641" s="16" t="n">
        <v>9</v>
      </c>
      <c r="L3641" s="2" t="inlineStr">
        <is>
          <t>20260610000570</t>
        </is>
      </c>
      <c r="M3641" s="8">
        <f>HYPERLINK("https://dart.fss.or.kr/dsaf001/main.do?rcpNo=20260610000570", "공시열람")</f>
        <v/>
      </c>
    </row>
    <row r="3642" ht="22" customHeight="1">
      <c r="A3642" s="2" t="inlineStr">
        <is>
          <t>2026-06-10</t>
        </is>
      </c>
      <c r="B3642" s="3" t="inlineStr">
        <is>
          <t>부국증권</t>
        </is>
      </c>
      <c r="C3642" s="2" t="inlineStr">
        <is>
          <t>001270</t>
        </is>
      </c>
      <c r="D3642" s="2" t="inlineStr">
        <is>
          <t>대량보유</t>
        </is>
      </c>
      <c r="E3642" s="3" t="inlineStr">
        <is>
          <t>김정진</t>
        </is>
      </c>
      <c r="F3642" s="3" t="inlineStr">
        <is>
          <t>특별관계자</t>
        </is>
      </c>
      <c r="G3642" s="3" t="inlineStr">
        <is>
          <t>장내매수(+)</t>
        </is>
      </c>
      <c r="H3642" s="15" t="n">
        <v>2520</v>
      </c>
      <c r="I3642" s="6" t="n">
        <v>56757</v>
      </c>
      <c r="J3642" s="6" t="n">
        <v>127456</v>
      </c>
      <c r="K3642" s="16" t="n">
        <v>9</v>
      </c>
      <c r="L3642" s="2" t="inlineStr">
        <is>
          <t>20260610000570</t>
        </is>
      </c>
      <c r="M3642" s="8">
        <f>HYPERLINK("https://dart.fss.or.kr/dsaf001/main.do?rcpNo=20260610000570", "공시열람")</f>
        <v/>
      </c>
    </row>
    <row r="3643" ht="22" customHeight="1">
      <c r="A3643" s="2" t="inlineStr">
        <is>
          <t>2026-06-10</t>
        </is>
      </c>
      <c r="B3643" s="3" t="inlineStr">
        <is>
          <t>부국증권</t>
        </is>
      </c>
      <c r="C3643" s="2" t="inlineStr">
        <is>
          <t>001270</t>
        </is>
      </c>
      <c r="D3643" s="2" t="inlineStr">
        <is>
          <t>대량보유</t>
        </is>
      </c>
      <c r="E3643" s="3" t="inlineStr">
        <is>
          <t>이진우</t>
        </is>
      </c>
      <c r="F3643" s="3" t="inlineStr">
        <is>
          <t>특별관계자</t>
        </is>
      </c>
      <c r="G3643" s="3" t="inlineStr">
        <is>
          <t>장내매수(+)</t>
        </is>
      </c>
      <c r="H3643" s="15" t="n">
        <v>1190</v>
      </c>
      <c r="I3643" s="6" t="n">
        <v>56590</v>
      </c>
      <c r="J3643" s="6" t="n">
        <v>70923</v>
      </c>
      <c r="K3643" s="16" t="n">
        <v>9</v>
      </c>
      <c r="L3643" s="2" t="inlineStr">
        <is>
          <t>20260610000570</t>
        </is>
      </c>
      <c r="M3643" s="8">
        <f>HYPERLINK("https://dart.fss.or.kr/dsaf001/main.do?rcpNo=20260610000570", "공시열람")</f>
        <v/>
      </c>
    </row>
    <row r="3644" ht="22" customHeight="1">
      <c r="A3644" s="2" t="inlineStr">
        <is>
          <t>2026-06-10</t>
        </is>
      </c>
      <c r="B3644" s="3" t="inlineStr">
        <is>
          <t>메카로</t>
        </is>
      </c>
      <c r="C3644" s="2" t="inlineStr">
        <is>
          <t>241770</t>
        </is>
      </c>
      <c r="D3644" s="2" t="inlineStr">
        <is>
          <t>대량보유</t>
        </is>
      </c>
      <c r="E3644" s="3" t="inlineStr">
        <is>
          <t>노강식</t>
        </is>
      </c>
      <c r="F3644" s="3" t="inlineStr">
        <is>
          <t>특별관계자</t>
        </is>
      </c>
      <c r="G3644" s="3" t="inlineStr">
        <is>
          <t>장내매도(-)</t>
        </is>
      </c>
      <c r="H3644" s="17" t="n">
        <v>-1000</v>
      </c>
      <c r="I3644" s="6" t="n">
        <v>40500</v>
      </c>
      <c r="J3644" s="6" t="inlineStr"/>
      <c r="K3644" s="16" t="n">
        <v>25</v>
      </c>
      <c r="L3644" s="2" t="inlineStr">
        <is>
          <t>20260610000556</t>
        </is>
      </c>
      <c r="M3644" s="8">
        <f>HYPERLINK("https://dart.fss.or.kr/dsaf001/main.do?rcpNo=20260610000556", "공시열람")</f>
        <v/>
      </c>
    </row>
    <row r="3645" ht="22" customHeight="1">
      <c r="A3645" s="2" t="inlineStr">
        <is>
          <t>2026-06-10</t>
        </is>
      </c>
      <c r="B3645" s="3" t="inlineStr">
        <is>
          <t>아바텍</t>
        </is>
      </c>
      <c r="C3645" s="2" t="inlineStr">
        <is>
          <t>149950</t>
        </is>
      </c>
      <c r="D3645" s="2" t="inlineStr">
        <is>
          <t>대량보유</t>
        </is>
      </c>
      <c r="E3645" s="3" t="inlineStr">
        <is>
          <t>엘지디스플레이(주)</t>
        </is>
      </c>
      <c r="F3645" s="3" t="inlineStr">
        <is>
          <t>특별관계자</t>
        </is>
      </c>
      <c r="G3645" s="3" t="inlineStr">
        <is>
          <t>장내매도(-)</t>
        </is>
      </c>
      <c r="H3645" s="17" t="n">
        <v>-495325</v>
      </c>
      <c r="I3645" s="6" t="n">
        <v>16477</v>
      </c>
      <c r="J3645" s="6" t="n">
        <v>835654</v>
      </c>
      <c r="K3645" s="16" t="n">
        <v>6.11</v>
      </c>
      <c r="L3645" s="2" t="inlineStr">
        <is>
          <t>20260610000552</t>
        </is>
      </c>
      <c r="M3645" s="8">
        <f>HYPERLINK("https://dart.fss.or.kr/dsaf001/main.do?rcpNo=20260610000552", "공시열람")</f>
        <v/>
      </c>
    </row>
    <row r="3646" ht="22" customHeight="1">
      <c r="A3646" s="2" t="inlineStr">
        <is>
          <t>2026-06-10</t>
        </is>
      </c>
      <c r="B3646" s="3" t="inlineStr">
        <is>
          <t>세아홀딩스</t>
        </is>
      </c>
      <c r="C3646" s="2" t="inlineStr">
        <is>
          <t>058650</t>
        </is>
      </c>
      <c r="D3646" s="2" t="inlineStr">
        <is>
          <t>대량보유</t>
        </is>
      </c>
      <c r="E3646" s="3" t="inlineStr">
        <is>
          <t>박의숙</t>
        </is>
      </c>
      <c r="F3646" s="3" t="inlineStr">
        <is>
          <t>특별관계자</t>
        </is>
      </c>
      <c r="G3646" s="3" t="inlineStr">
        <is>
          <t>공개매수청약(-)</t>
        </is>
      </c>
      <c r="H3646" s="17" t="n">
        <v>-77180</v>
      </c>
      <c r="I3646" s="6" t="n">
        <v>160000</v>
      </c>
      <c r="J3646" s="6" t="n">
        <v>162692</v>
      </c>
      <c r="K3646" s="16" t="n">
        <v>16</v>
      </c>
      <c r="L3646" s="2" t="inlineStr">
        <is>
          <t>20260610000546</t>
        </is>
      </c>
      <c r="M3646" s="8">
        <f>HYPERLINK("https://dart.fss.or.kr/dsaf001/main.do?rcpNo=20260610000546", "공시열람")</f>
        <v/>
      </c>
    </row>
    <row r="3647" ht="22" customHeight="1">
      <c r="A3647" s="2" t="inlineStr">
        <is>
          <t>2026-06-10</t>
        </is>
      </c>
      <c r="B3647" s="3" t="inlineStr">
        <is>
          <t>SGA솔루션즈</t>
        </is>
      </c>
      <c r="C3647" s="2" t="inlineStr">
        <is>
          <t>184230</t>
        </is>
      </c>
      <c r="D3647" s="2" t="inlineStr">
        <is>
          <t>대량보유</t>
        </is>
      </c>
      <c r="E3647" s="3" t="inlineStr">
        <is>
          <t>시너지메자닌블라인드10호신기술사업투자조합</t>
        </is>
      </c>
      <c r="F3647" s="3" t="inlineStr">
        <is>
          <t>특별관계자</t>
        </is>
      </c>
      <c r="G3647" s="3" t="inlineStr">
        <is>
          <t>주식병합, 장내매도(-)</t>
        </is>
      </c>
      <c r="H3647" s="17" t="n">
        <v>-35800</v>
      </c>
      <c r="I3647" s="6" t="n">
        <v>2910</v>
      </c>
      <c r="J3647" s="6" t="inlineStr"/>
      <c r="K3647" s="16" t="n">
        <v>7</v>
      </c>
      <c r="L3647" s="2" t="inlineStr">
        <is>
          <t>20260610000540</t>
        </is>
      </c>
      <c r="M3647" s="8">
        <f>HYPERLINK("https://dart.fss.or.kr/dsaf001/main.do?rcpNo=20260610000540", "공시열람")</f>
        <v/>
      </c>
    </row>
    <row r="3648" ht="22" customHeight="1">
      <c r="A3648" s="2" t="inlineStr">
        <is>
          <t>2026-06-10</t>
        </is>
      </c>
      <c r="B3648" s="3" t="inlineStr">
        <is>
          <t>SGA솔루션즈</t>
        </is>
      </c>
      <c r="C3648" s="2" t="inlineStr">
        <is>
          <t>184230</t>
        </is>
      </c>
      <c r="D3648" s="2" t="inlineStr">
        <is>
          <t>대량보유</t>
        </is>
      </c>
      <c r="E3648" s="3" t="inlineStr">
        <is>
          <t>시너지아이비디지털대전환신기술투자조합</t>
        </is>
      </c>
      <c r="F3648" s="3" t="inlineStr">
        <is>
          <t>특별관계자</t>
        </is>
      </c>
      <c r="G3648" s="3" t="inlineStr">
        <is>
          <t>주식병합, 장내매도(-)</t>
        </is>
      </c>
      <c r="H3648" s="17" t="n">
        <v>-250600</v>
      </c>
      <c r="I3648" s="6" t="n">
        <v>2910</v>
      </c>
      <c r="J3648" s="6" t="inlineStr"/>
      <c r="K3648" s="16" t="n">
        <v>7</v>
      </c>
      <c r="L3648" s="2" t="inlineStr">
        <is>
          <t>20260610000540</t>
        </is>
      </c>
      <c r="M3648" s="8">
        <f>HYPERLINK("https://dart.fss.or.kr/dsaf001/main.do?rcpNo=20260610000540", "공시열람")</f>
        <v/>
      </c>
    </row>
    <row r="3649" ht="22" customHeight="1">
      <c r="A3649" s="2" t="inlineStr">
        <is>
          <t>2026-06-10</t>
        </is>
      </c>
      <c r="B3649" s="3" t="inlineStr">
        <is>
          <t>SGA솔루션즈</t>
        </is>
      </c>
      <c r="C3649" s="2" t="inlineStr">
        <is>
          <t>184230</t>
        </is>
      </c>
      <c r="D3649" s="2" t="inlineStr">
        <is>
          <t>대량보유</t>
        </is>
      </c>
      <c r="E3649" s="3" t="inlineStr">
        <is>
          <t>시너지아이비상생혁신신기술투자조합</t>
        </is>
      </c>
      <c r="F3649" s="3" t="inlineStr">
        <is>
          <t>특별관계자</t>
        </is>
      </c>
      <c r="G3649" s="3" t="inlineStr">
        <is>
          <t>주식병합, 행사가액조정, 장내매도(-)</t>
        </is>
      </c>
      <c r="H3649" s="17" t="n">
        <v>-1280060</v>
      </c>
      <c r="I3649" s="6" t="n">
        <v>3288</v>
      </c>
      <c r="J3649" s="6" t="inlineStr"/>
      <c r="K3649" s="16" t="n">
        <v>7</v>
      </c>
      <c r="L3649" s="2" t="inlineStr">
        <is>
          <t>20260610000540</t>
        </is>
      </c>
      <c r="M3649" s="8">
        <f>HYPERLINK("https://dart.fss.or.kr/dsaf001/main.do?rcpNo=20260610000540", "공시열람")</f>
        <v/>
      </c>
    </row>
    <row r="3650" ht="22" customHeight="1">
      <c r="A3650" s="2" t="inlineStr">
        <is>
          <t>2026-06-10</t>
        </is>
      </c>
      <c r="B3650" s="3" t="inlineStr">
        <is>
          <t>SGA솔루션즈</t>
        </is>
      </c>
      <c r="C3650" s="2" t="inlineStr">
        <is>
          <t>184230</t>
        </is>
      </c>
      <c r="D3650" s="2" t="inlineStr">
        <is>
          <t>대량보유</t>
        </is>
      </c>
      <c r="E3650" s="3" t="inlineStr">
        <is>
          <t>시너지-프리미어메자닌블라인드1호신기술사업투자조합</t>
        </is>
      </c>
      <c r="F3650" s="3" t="inlineStr">
        <is>
          <t>특별관계자</t>
        </is>
      </c>
      <c r="G3650" s="3" t="inlineStr">
        <is>
          <t>행사가액조정</t>
        </is>
      </c>
      <c r="H3650" s="17" t="n">
        <v>-2416919</v>
      </c>
      <c r="I3650" s="6" t="n">
        <v>3310</v>
      </c>
      <c r="J3650" s="6" t="n">
        <v>604229</v>
      </c>
      <c r="K3650" s="16" t="n">
        <v>7</v>
      </c>
      <c r="L3650" s="2" t="inlineStr">
        <is>
          <t>20260610000540</t>
        </is>
      </c>
      <c r="M3650" s="8">
        <f>HYPERLINK("https://dart.fss.or.kr/dsaf001/main.do?rcpNo=20260610000540", "공시열람")</f>
        <v/>
      </c>
    </row>
    <row r="3651" ht="22" customHeight="1">
      <c r="A3651" s="2" t="inlineStr">
        <is>
          <t>2026-06-10</t>
        </is>
      </c>
      <c r="B3651" s="3" t="inlineStr">
        <is>
          <t>SGA솔루션즈</t>
        </is>
      </c>
      <c r="C3651" s="2" t="inlineStr">
        <is>
          <t>184230</t>
        </is>
      </c>
      <c r="D3651" s="2" t="inlineStr">
        <is>
          <t>대량보유</t>
        </is>
      </c>
      <c r="E3651" s="3" t="inlineStr">
        <is>
          <t>시너지-신한메자닌신기술사업투자조합제3호</t>
        </is>
      </c>
      <c r="F3651" s="3" t="inlineStr">
        <is>
          <t>특별관계자</t>
        </is>
      </c>
      <c r="G3651" s="3" t="inlineStr">
        <is>
          <t>행사가액조정</t>
        </is>
      </c>
      <c r="H3651" s="17" t="n">
        <v>-1812689</v>
      </c>
      <c r="I3651" s="6" t="n">
        <v>3310</v>
      </c>
      <c r="J3651" s="6" t="n">
        <v>453172</v>
      </c>
      <c r="K3651" s="16" t="n">
        <v>7</v>
      </c>
      <c r="L3651" s="2" t="inlineStr">
        <is>
          <t>20260610000540</t>
        </is>
      </c>
      <c r="M3651" s="8">
        <f>HYPERLINK("https://dart.fss.or.kr/dsaf001/main.do?rcpNo=20260610000540", "공시열람")</f>
        <v/>
      </c>
    </row>
    <row r="3652" ht="22" customHeight="1">
      <c r="A3652" s="2" t="inlineStr">
        <is>
          <t>2026-06-10</t>
        </is>
      </c>
      <c r="B3652" s="3" t="inlineStr">
        <is>
          <t>SGA솔루션즈</t>
        </is>
      </c>
      <c r="C3652" s="2" t="inlineStr">
        <is>
          <t>184230</t>
        </is>
      </c>
      <c r="D3652" s="2" t="inlineStr">
        <is>
          <t>대량보유</t>
        </is>
      </c>
      <c r="E3652" s="3" t="inlineStr">
        <is>
          <t>시너지아이비시큐리티프론티어신기술투자조합</t>
        </is>
      </c>
      <c r="F3652" s="3" t="inlineStr">
        <is>
          <t>특별관계자</t>
        </is>
      </c>
      <c r="G3652" s="3" t="inlineStr">
        <is>
          <t>행사가액조정</t>
        </is>
      </c>
      <c r="H3652" s="17" t="n">
        <v>-1812689</v>
      </c>
      <c r="I3652" s="6" t="n">
        <v>3310</v>
      </c>
      <c r="J3652" s="6" t="n">
        <v>453172</v>
      </c>
      <c r="K3652" s="16" t="n">
        <v>7</v>
      </c>
      <c r="L3652" s="2" t="inlineStr">
        <is>
          <t>20260610000540</t>
        </is>
      </c>
      <c r="M3652" s="8">
        <f>HYPERLINK("https://dart.fss.or.kr/dsaf001/main.do?rcpNo=20260610000540", "공시열람")</f>
        <v/>
      </c>
    </row>
    <row r="3653" ht="22" customHeight="1">
      <c r="A3653" s="2" t="inlineStr">
        <is>
          <t>2026-06-10</t>
        </is>
      </c>
      <c r="B3653" s="3" t="inlineStr">
        <is>
          <t>아주IB투자</t>
        </is>
      </c>
      <c r="C3653" s="2" t="inlineStr">
        <is>
          <t>027360</t>
        </is>
      </c>
      <c r="D3653" s="2" t="inlineStr">
        <is>
          <t>대량보유</t>
        </is>
      </c>
      <c r="E3653" s="3" t="inlineStr">
        <is>
          <t>(주)아주</t>
        </is>
      </c>
      <c r="F3653" s="3" t="inlineStr">
        <is>
          <t>특별관계자</t>
        </is>
      </c>
      <c r="G3653" s="3" t="inlineStr">
        <is>
          <t>시간외매매(-)</t>
        </is>
      </c>
      <c r="H3653" s="17" t="n">
        <v>-3634363</v>
      </c>
      <c r="I3653" s="6" t="n">
        <v>9339</v>
      </c>
      <c r="J3653" s="6" t="n">
        <v>65871274</v>
      </c>
      <c r="K3653" s="16" t="n">
        <v>2</v>
      </c>
      <c r="L3653" s="2" t="inlineStr">
        <is>
          <t>20260610000536</t>
        </is>
      </c>
      <c r="M3653" s="8">
        <f>HYPERLINK("https://dart.fss.or.kr/dsaf001/main.do?rcpNo=20260610000536", "공시열람")</f>
        <v/>
      </c>
    </row>
    <row r="3654" ht="22" customHeight="1">
      <c r="A3654" s="2" t="inlineStr">
        <is>
          <t>2026-06-10</t>
        </is>
      </c>
      <c r="B3654" s="3" t="inlineStr">
        <is>
          <t>엑스큐어</t>
        </is>
      </c>
      <c r="C3654" s="2" t="inlineStr">
        <is>
          <t>070300</t>
        </is>
      </c>
      <c r="D3654" s="2" t="inlineStr">
        <is>
          <t>대량보유</t>
        </is>
      </c>
      <c r="E3654" s="3" t="inlineStr">
        <is>
          <t>(주)오션인더블유</t>
        </is>
      </c>
      <c r="F3654" s="3" t="inlineStr">
        <is>
          <t>특별관계자</t>
        </is>
      </c>
      <c r="G3654" s="3" t="inlineStr">
        <is>
          <t>기타(-)</t>
        </is>
      </c>
      <c r="H3654" s="17" t="n">
        <v>-2005208</v>
      </c>
      <c r="I3654" s="6" t="n">
        <v>0</v>
      </c>
      <c r="J3654" s="6" t="inlineStr"/>
      <c r="K3654" s="16" t="n">
        <v>5</v>
      </c>
      <c r="L3654" s="2" t="inlineStr">
        <is>
          <t>20260610000534</t>
        </is>
      </c>
      <c r="M3654" s="8">
        <f>HYPERLINK("https://dart.fss.or.kr/dsaf001/main.do?rcpNo=20260610000534", "공시열람")</f>
        <v/>
      </c>
    </row>
    <row r="3655" ht="22" customHeight="1">
      <c r="A3655" s="2" t="inlineStr">
        <is>
          <t>2026-06-10</t>
        </is>
      </c>
      <c r="B3655" s="3" t="inlineStr">
        <is>
          <t>엑스큐어</t>
        </is>
      </c>
      <c r="C3655" s="2" t="inlineStr">
        <is>
          <t>070300</t>
        </is>
      </c>
      <c r="D3655" s="2" t="inlineStr">
        <is>
          <t>대량보유</t>
        </is>
      </c>
      <c r="E3655" s="3" t="inlineStr">
        <is>
          <t>원성준</t>
        </is>
      </c>
      <c r="F3655" s="3" t="inlineStr">
        <is>
          <t>특별관계자</t>
        </is>
      </c>
      <c r="G3655" s="3" t="inlineStr">
        <is>
          <t>기타(-)</t>
        </is>
      </c>
      <c r="H3655" s="17" t="n">
        <v>-1822916</v>
      </c>
      <c r="I3655" s="6" t="n">
        <v>0</v>
      </c>
      <c r="J3655" s="6" t="inlineStr"/>
      <c r="K3655" s="16" t="n">
        <v>5</v>
      </c>
      <c r="L3655" s="2" t="inlineStr">
        <is>
          <t>20260610000534</t>
        </is>
      </c>
      <c r="M3655" s="8">
        <f>HYPERLINK("https://dart.fss.or.kr/dsaf001/main.do?rcpNo=20260610000534", "공시열람")</f>
        <v/>
      </c>
    </row>
    <row r="3656" ht="22" customHeight="1">
      <c r="A3656" s="2" t="inlineStr">
        <is>
          <t>2026-06-10</t>
        </is>
      </c>
      <c r="B3656" s="3" t="inlineStr">
        <is>
          <t>엑스큐어</t>
        </is>
      </c>
      <c r="C3656" s="2" t="inlineStr">
        <is>
          <t>070300</t>
        </is>
      </c>
      <c r="D3656" s="2" t="inlineStr">
        <is>
          <t>대량보유</t>
        </is>
      </c>
      <c r="E3656" s="3" t="inlineStr">
        <is>
          <t>정영진</t>
        </is>
      </c>
      <c r="F3656" s="3" t="inlineStr">
        <is>
          <t>특별관계자</t>
        </is>
      </c>
      <c r="G3656" s="3" t="inlineStr">
        <is>
          <t>기타(-)</t>
        </is>
      </c>
      <c r="H3656" s="17" t="n">
        <v>-78124</v>
      </c>
      <c r="I3656" s="6" t="n">
        <v>0</v>
      </c>
      <c r="J3656" s="6" t="inlineStr"/>
      <c r="K3656" s="16" t="n">
        <v>5</v>
      </c>
      <c r="L3656" s="2" t="inlineStr">
        <is>
          <t>20260610000534</t>
        </is>
      </c>
      <c r="M3656" s="8">
        <f>HYPERLINK("https://dart.fss.or.kr/dsaf001/main.do?rcpNo=20260610000534", "공시열람")</f>
        <v/>
      </c>
    </row>
    <row r="3657" ht="22" customHeight="1">
      <c r="A3657" s="2" t="inlineStr">
        <is>
          <t>2026-06-10</t>
        </is>
      </c>
      <c r="B3657" s="3" t="inlineStr">
        <is>
          <t>엑스큐어</t>
        </is>
      </c>
      <c r="C3657" s="2" t="inlineStr">
        <is>
          <t>070300</t>
        </is>
      </c>
      <c r="D3657" s="2" t="inlineStr">
        <is>
          <t>대량보유</t>
        </is>
      </c>
      <c r="E3657" s="3" t="inlineStr">
        <is>
          <t>하이츠투자조합</t>
        </is>
      </c>
      <c r="F3657" s="3" t="inlineStr">
        <is>
          <t>특별관계자</t>
        </is>
      </c>
      <c r="G3657" s="3" t="inlineStr">
        <is>
          <t>기타(+), 행사가액조정</t>
        </is>
      </c>
      <c r="H3657" s="15" t="n">
        <v>3347279</v>
      </c>
      <c r="I3657" s="6" t="n">
        <v>1646</v>
      </c>
      <c r="J3657" s="6" t="n">
        <v>3347280</v>
      </c>
      <c r="K3657" s="16" t="n">
        <v>5</v>
      </c>
      <c r="L3657" s="2" t="inlineStr">
        <is>
          <t>20260610000534</t>
        </is>
      </c>
      <c r="M3657" s="8">
        <f>HYPERLINK("https://dart.fss.or.kr/dsaf001/main.do?rcpNo=20260610000534", "공시열람")</f>
        <v/>
      </c>
    </row>
    <row r="3658" ht="22" customHeight="1">
      <c r="A3658" s="2" t="inlineStr">
        <is>
          <t>2026-06-10</t>
        </is>
      </c>
      <c r="B3658" s="3" t="inlineStr">
        <is>
          <t>엑스큐어</t>
        </is>
      </c>
      <c r="C3658" s="2" t="inlineStr">
        <is>
          <t>070300</t>
        </is>
      </c>
      <c r="D3658" s="2" t="inlineStr">
        <is>
          <t>대량보유</t>
        </is>
      </c>
      <c r="E3658" s="3" t="inlineStr">
        <is>
          <t>돌핀에이아이투자조합</t>
        </is>
      </c>
      <c r="F3658" s="3" t="inlineStr">
        <is>
          <t>특별관계자</t>
        </is>
      </c>
      <c r="G3658" s="3" t="inlineStr">
        <is>
          <t>기타(+), 행사가액조정, 전환등(-), 전환사채의권리행사(+), 장내매도(-)</t>
        </is>
      </c>
      <c r="H3658" s="15" t="n">
        <v>2082238</v>
      </c>
      <c r="I3658" s="6" t="n">
        <v>864</v>
      </c>
      <c r="J3658" s="6" t="n">
        <v>2082238</v>
      </c>
      <c r="K3658" s="16" t="n">
        <v>5</v>
      </c>
      <c r="L3658" s="2" t="inlineStr">
        <is>
          <t>20260610000534</t>
        </is>
      </c>
      <c r="M3658" s="8">
        <f>HYPERLINK("https://dart.fss.or.kr/dsaf001/main.do?rcpNo=20260610000534", "공시열람")</f>
        <v/>
      </c>
    </row>
    <row r="3659" ht="22" customHeight="1">
      <c r="A3659" s="2" t="inlineStr">
        <is>
          <t>2026-06-10</t>
        </is>
      </c>
      <c r="B3659" s="3" t="inlineStr">
        <is>
          <t>오가닉티코스메틱</t>
        </is>
      </c>
      <c r="C3659" s="2" t="inlineStr">
        <is>
          <t>900300</t>
        </is>
      </c>
      <c r="D3659" s="2" t="inlineStr">
        <is>
          <t>대량보유</t>
        </is>
      </c>
      <c r="E3659" s="3" t="inlineStr">
        <is>
          <t>SUNYANE</t>
        </is>
      </c>
      <c r="F3659" s="3" t="inlineStr">
        <is>
          <t>특별관계자</t>
        </is>
      </c>
      <c r="G3659" s="3" t="inlineStr">
        <is>
          <t>주식병합</t>
        </is>
      </c>
      <c r="H3659" s="17" t="n">
        <v>-22540000</v>
      </c>
      <c r="I3659" s="6" t="inlineStr"/>
      <c r="J3659" s="6" t="n">
        <v>460000</v>
      </c>
      <c r="K3659" s="16" t="n">
        <v>5.91</v>
      </c>
      <c r="L3659" s="2" t="inlineStr">
        <is>
          <t>20260610000531</t>
        </is>
      </c>
      <c r="M3659" s="8">
        <f>HYPERLINK("https://dart.fss.or.kr/dsaf001/main.do?rcpNo=20260610000531", "공시열람")</f>
        <v/>
      </c>
    </row>
    <row r="3660" ht="22" customHeight="1">
      <c r="A3660" s="2" t="inlineStr">
        <is>
          <t>2026-06-10</t>
        </is>
      </c>
      <c r="B3660" s="3" t="inlineStr">
        <is>
          <t>NC</t>
        </is>
      </c>
      <c r="C3660" s="2" t="inlineStr">
        <is>
          <t>036570</t>
        </is>
      </c>
      <c r="D3660" s="2" t="inlineStr">
        <is>
          <t>임원보고</t>
        </is>
      </c>
      <c r="E3660" s="3" t="inlineStr">
        <is>
          <t>-</t>
        </is>
      </c>
      <c r="F3660" s="3" t="inlineStr">
        <is>
          <t>-</t>
        </is>
      </c>
      <c r="G3660" s="3" t="inlineStr">
        <is>
          <t>-</t>
        </is>
      </c>
      <c r="H3660" s="6" t="inlineStr"/>
      <c r="I3660" s="6" t="inlineStr"/>
      <c r="J3660" s="6" t="inlineStr"/>
      <c r="K3660" s="16" t="n">
        <v>12</v>
      </c>
      <c r="L3660" s="2" t="inlineStr">
        <is>
          <t>20260610800771</t>
        </is>
      </c>
      <c r="M3660" s="8">
        <f>HYPERLINK("https://dart.fss.or.kr/dsaf001/main.do?rcpNo=20260610800771", "공시열람")</f>
        <v/>
      </c>
    </row>
    <row r="3661" ht="22" customHeight="1">
      <c r="A3661" s="2" t="inlineStr">
        <is>
          <t>2026-06-10</t>
        </is>
      </c>
      <c r="B3661" s="3" t="inlineStr">
        <is>
          <t>대신증권</t>
        </is>
      </c>
      <c r="C3661" s="2" t="inlineStr">
        <is>
          <t>003540</t>
        </is>
      </c>
      <c r="D3661" s="2" t="inlineStr">
        <is>
          <t>대량보유</t>
        </is>
      </c>
      <c r="E3661" s="3" t="inlineStr">
        <is>
          <t>진승욱</t>
        </is>
      </c>
      <c r="F3661" s="3" t="inlineStr">
        <is>
          <t>특별관계자</t>
        </is>
      </c>
      <c r="G3661" s="3" t="inlineStr">
        <is>
          <t>장내매수(+)</t>
        </is>
      </c>
      <c r="H3661" s="15" t="n">
        <v>7000</v>
      </c>
      <c r="I3661" s="6" t="n">
        <v>38843</v>
      </c>
      <c r="J3661" s="6" t="n">
        <v>25979</v>
      </c>
      <c r="K3661" s="16" t="n">
        <v>11</v>
      </c>
      <c r="L3661" s="2" t="inlineStr">
        <is>
          <t>20260610000527</t>
        </is>
      </c>
      <c r="M3661" s="8">
        <f>HYPERLINK("https://dart.fss.or.kr/dsaf001/main.do?rcpNo=20260610000527", "공시열람")</f>
        <v/>
      </c>
    </row>
    <row r="3662" ht="22" customHeight="1">
      <c r="A3662" s="2" t="inlineStr">
        <is>
          <t>2026-06-10</t>
        </is>
      </c>
      <c r="B3662" s="3" t="inlineStr">
        <is>
          <t>대신증권</t>
        </is>
      </c>
      <c r="C3662" s="2" t="inlineStr">
        <is>
          <t>003540</t>
        </is>
      </c>
      <c r="D3662" s="2" t="inlineStr">
        <is>
          <t>대량보유</t>
        </is>
      </c>
      <c r="E3662" s="3" t="inlineStr">
        <is>
          <t>양승주</t>
        </is>
      </c>
      <c r="F3662" s="3" t="inlineStr">
        <is>
          <t>특별관계자</t>
        </is>
      </c>
      <c r="G3662" s="3" t="inlineStr">
        <is>
          <t>장내매수(+)</t>
        </is>
      </c>
      <c r="H3662" s="15" t="n">
        <v>33590</v>
      </c>
      <c r="I3662" s="6" t="n">
        <v>28824</v>
      </c>
      <c r="J3662" s="6" t="n">
        <v>427964</v>
      </c>
      <c r="K3662" s="16" t="n">
        <v>11</v>
      </c>
      <c r="L3662" s="2" t="inlineStr">
        <is>
          <t>20260610000527</t>
        </is>
      </c>
      <c r="M3662" s="8">
        <f>HYPERLINK("https://dart.fss.or.kr/dsaf001/main.do?rcpNo=20260610000527", "공시열람")</f>
        <v/>
      </c>
    </row>
    <row r="3663" ht="22" customHeight="1">
      <c r="A3663" s="2" t="inlineStr">
        <is>
          <t>2026-06-10</t>
        </is>
      </c>
      <c r="B3663" s="3" t="inlineStr">
        <is>
          <t>플루토스</t>
        </is>
      </c>
      <c r="C3663" s="2" t="inlineStr">
        <is>
          <t>019570</t>
        </is>
      </c>
      <c r="D3663" s="2" t="inlineStr">
        <is>
          <t>대량보유</t>
        </is>
      </c>
      <c r="E3663" s="3" t="inlineStr">
        <is>
          <t>(주)광무</t>
        </is>
      </c>
      <c r="F3663" s="3" t="inlineStr">
        <is>
          <t>특별관계자</t>
        </is>
      </c>
      <c r="G3663" s="3" t="inlineStr">
        <is>
          <t>CB인수(+)</t>
        </is>
      </c>
      <c r="H3663" s="15" t="n">
        <v>40000000</v>
      </c>
      <c r="I3663" s="6" t="n">
        <v>500</v>
      </c>
      <c r="J3663" s="6" t="n">
        <v>44020000</v>
      </c>
      <c r="K3663" s="16" t="n">
        <v>31.56</v>
      </c>
      <c r="L3663" s="2" t="inlineStr">
        <is>
          <t>20260610000524</t>
        </is>
      </c>
      <c r="M3663" s="8">
        <f>HYPERLINK("https://dart.fss.or.kr/dsaf001/main.do?rcpNo=20260610000524", "공시열람")</f>
        <v/>
      </c>
    </row>
    <row r="3664" ht="22" customHeight="1">
      <c r="A3664" s="2" t="inlineStr">
        <is>
          <t>2026-06-10</t>
        </is>
      </c>
      <c r="B3664" s="3" t="inlineStr">
        <is>
          <t>딥커머스</t>
        </is>
      </c>
      <c r="C3664" s="2" t="inlineStr">
        <is>
          <t>900110</t>
        </is>
      </c>
      <c r="D3664" s="2" t="inlineStr">
        <is>
          <t>대량보유</t>
        </is>
      </c>
      <c r="E3664" s="3" t="inlineStr">
        <is>
          <t>정소영(DingShaoYing)</t>
        </is>
      </c>
      <c r="F3664" s="3" t="inlineStr">
        <is>
          <t>특별관계자</t>
        </is>
      </c>
      <c r="G3664" s="3" t="inlineStr">
        <is>
          <t>주식병합</t>
        </is>
      </c>
      <c r="H3664" s="17" t="n">
        <v>-2446859</v>
      </c>
      <c r="I3664" s="6" t="inlineStr"/>
      <c r="J3664" s="6" t="n">
        <v>46933</v>
      </c>
      <c r="K3664" s="16" t="n">
        <v>5</v>
      </c>
      <c r="L3664" s="2" t="inlineStr">
        <is>
          <t>20260610000517</t>
        </is>
      </c>
      <c r="M3664" s="8">
        <f>HYPERLINK("https://dart.fss.or.kr/dsaf001/main.do?rcpNo=20260610000517", "공시열람")</f>
        <v/>
      </c>
    </row>
    <row r="3665" ht="22" customHeight="1">
      <c r="A3665" s="2" t="inlineStr">
        <is>
          <t>2026-06-10</t>
        </is>
      </c>
      <c r="B3665" s="3" t="inlineStr">
        <is>
          <t>딥커머스</t>
        </is>
      </c>
      <c r="C3665" s="2" t="inlineStr">
        <is>
          <t>900110</t>
        </is>
      </c>
      <c r="D3665" s="2" t="inlineStr">
        <is>
          <t>대량보유</t>
        </is>
      </c>
      <c r="E3665" s="3" t="inlineStr">
        <is>
          <t>정소웅(DingShaoXiong)</t>
        </is>
      </c>
      <c r="F3665" s="3" t="inlineStr">
        <is>
          <t>특별관계자</t>
        </is>
      </c>
      <c r="G3665" s="3" t="inlineStr">
        <is>
          <t>주식병합</t>
        </is>
      </c>
      <c r="H3665" s="17" t="n">
        <v>-25764</v>
      </c>
      <c r="I3665" s="6" t="inlineStr"/>
      <c r="J3665" s="6" t="n">
        <v>8800</v>
      </c>
      <c r="K3665" s="16" t="n">
        <v>5</v>
      </c>
      <c r="L3665" s="2" t="inlineStr">
        <is>
          <t>20260610000517</t>
        </is>
      </c>
      <c r="M3665" s="8">
        <f>HYPERLINK("https://dart.fss.or.kr/dsaf001/main.do?rcpNo=20260610000517", "공시열람")</f>
        <v/>
      </c>
    </row>
    <row r="3666" ht="22" customHeight="1">
      <c r="A3666" s="2" t="inlineStr">
        <is>
          <t>2026-06-10</t>
        </is>
      </c>
      <c r="B3666" s="3" t="inlineStr">
        <is>
          <t>딥커머스</t>
        </is>
      </c>
      <c r="C3666" s="2" t="inlineStr">
        <is>
          <t>900110</t>
        </is>
      </c>
      <c r="D3666" s="2" t="inlineStr">
        <is>
          <t>대량보유</t>
        </is>
      </c>
      <c r="E3666" s="3" t="inlineStr">
        <is>
          <t>장호발(CheungHoFat)</t>
        </is>
      </c>
      <c r="F3666" s="3" t="inlineStr">
        <is>
          <t>특별관계자</t>
        </is>
      </c>
      <c r="G3666" s="3" t="inlineStr">
        <is>
          <t>주식병합</t>
        </is>
      </c>
      <c r="H3666" s="17" t="n">
        <v>-80000</v>
      </c>
      <c r="I3666" s="6" t="inlineStr"/>
      <c r="J3666" s="6" t="n">
        <v>40000</v>
      </c>
      <c r="K3666" s="16" t="n">
        <v>5</v>
      </c>
      <c r="L3666" s="2" t="inlineStr">
        <is>
          <t>20260610000517</t>
        </is>
      </c>
      <c r="M3666" s="8">
        <f>HYPERLINK("https://dart.fss.or.kr/dsaf001/main.do?rcpNo=20260610000517", "공시열람")</f>
        <v/>
      </c>
    </row>
    <row r="3667" ht="22" customHeight="1">
      <c r="A3667" s="2" t="inlineStr">
        <is>
          <t>2026-06-10</t>
        </is>
      </c>
      <c r="B3667" s="3" t="inlineStr">
        <is>
          <t>딥커머스</t>
        </is>
      </c>
      <c r="C3667" s="2" t="inlineStr">
        <is>
          <t>900110</t>
        </is>
      </c>
      <c r="D3667" s="2" t="inlineStr">
        <is>
          <t>대량보유</t>
        </is>
      </c>
      <c r="E3667" s="3" t="inlineStr">
        <is>
          <t>임신화(LinSinHoe)</t>
        </is>
      </c>
      <c r="F3667" s="3" t="inlineStr">
        <is>
          <t>특별관계자</t>
        </is>
      </c>
      <c r="G3667" s="3" t="inlineStr">
        <is>
          <t>주식병합</t>
        </is>
      </c>
      <c r="H3667" s="17" t="n">
        <v>-86134</v>
      </c>
      <c r="I3667" s="6" t="inlineStr"/>
      <c r="J3667" s="6" t="n">
        <v>43066</v>
      </c>
      <c r="K3667" s="16" t="n">
        <v>5</v>
      </c>
      <c r="L3667" s="2" t="inlineStr">
        <is>
          <t>20260610000517</t>
        </is>
      </c>
      <c r="M3667" s="8">
        <f>HYPERLINK("https://dart.fss.or.kr/dsaf001/main.do?rcpNo=20260610000517", "공시열람")</f>
        <v/>
      </c>
    </row>
    <row r="3668" ht="22" customHeight="1">
      <c r="A3668" s="2" t="inlineStr">
        <is>
          <t>2026-06-10</t>
        </is>
      </c>
      <c r="B3668" s="3" t="inlineStr">
        <is>
          <t>딥커머스</t>
        </is>
      </c>
      <c r="C3668" s="2" t="inlineStr">
        <is>
          <t>900110</t>
        </is>
      </c>
      <c r="D3668" s="2" t="inlineStr">
        <is>
          <t>대량보유</t>
        </is>
      </c>
      <c r="E3668" s="3" t="inlineStr">
        <is>
          <t>황량희(WongLeungHei)</t>
        </is>
      </c>
      <c r="F3668" s="3" t="inlineStr">
        <is>
          <t>특별관계자</t>
        </is>
      </c>
      <c r="G3668" s="3" t="inlineStr">
        <is>
          <t>주식병합</t>
        </is>
      </c>
      <c r="H3668" s="17" t="n">
        <v>-86134</v>
      </c>
      <c r="I3668" s="6" t="inlineStr"/>
      <c r="J3668" s="6" t="n">
        <v>43066</v>
      </c>
      <c r="K3668" s="16" t="n">
        <v>5</v>
      </c>
      <c r="L3668" s="2" t="inlineStr">
        <is>
          <t>20260610000517</t>
        </is>
      </c>
      <c r="M3668" s="8">
        <f>HYPERLINK("https://dart.fss.or.kr/dsaf001/main.do?rcpNo=20260610000517", "공시열람")</f>
        <v/>
      </c>
    </row>
    <row r="3669" ht="22" customHeight="1">
      <c r="A3669" s="2" t="inlineStr">
        <is>
          <t>2026-06-10</t>
        </is>
      </c>
      <c r="B3669" s="3" t="inlineStr">
        <is>
          <t>미원화학</t>
        </is>
      </c>
      <c r="C3669" s="2" t="inlineStr">
        <is>
          <t>134380</t>
        </is>
      </c>
      <c r="D3669" s="2" t="inlineStr">
        <is>
          <t>임원보고</t>
        </is>
      </c>
      <c r="E3669" s="3" t="inlineStr">
        <is>
          <t>-</t>
        </is>
      </c>
      <c r="F3669" s="3" t="inlineStr">
        <is>
          <t>-</t>
        </is>
      </c>
      <c r="G3669" s="3" t="inlineStr">
        <is>
          <t>-</t>
        </is>
      </c>
      <c r="H3669" s="6" t="inlineStr"/>
      <c r="I3669" s="6" t="inlineStr"/>
      <c r="J3669" s="6" t="inlineStr"/>
      <c r="K3669" s="16" t="n">
        <v>12</v>
      </c>
      <c r="L3669" s="2" t="inlineStr">
        <is>
          <t>20260610800746</t>
        </is>
      </c>
      <c r="M3669" s="8">
        <f>HYPERLINK("https://dart.fss.or.kr/dsaf001/main.do?rcpNo=20260610800746", "공시열람")</f>
        <v/>
      </c>
    </row>
    <row r="3670" ht="22" customHeight="1">
      <c r="A3670" s="2" t="inlineStr">
        <is>
          <t>2026-06-10</t>
        </is>
      </c>
      <c r="B3670" s="3" t="inlineStr">
        <is>
          <t>풍산</t>
        </is>
      </c>
      <c r="C3670" s="2" t="inlineStr">
        <is>
          <t>103140</t>
        </is>
      </c>
      <c r="D3670" s="2" t="inlineStr">
        <is>
          <t>임원보고</t>
        </is>
      </c>
      <c r="E3670" s="3" t="inlineStr">
        <is>
          <t>-</t>
        </is>
      </c>
      <c r="F3670" s="3" t="inlineStr">
        <is>
          <t>-</t>
        </is>
      </c>
      <c r="G3670" s="3" t="inlineStr">
        <is>
          <t>-</t>
        </is>
      </c>
      <c r="H3670" s="6" t="inlineStr"/>
      <c r="I3670" s="6" t="inlineStr"/>
      <c r="J3670" s="6" t="inlineStr"/>
      <c r="K3670" s="16" t="n">
        <v>12</v>
      </c>
      <c r="L3670" s="2" t="inlineStr">
        <is>
          <t>20260610800741</t>
        </is>
      </c>
      <c r="M3670" s="8">
        <f>HYPERLINK("https://dart.fss.or.kr/dsaf001/main.do?rcpNo=20260610800741", "공시열람")</f>
        <v/>
      </c>
    </row>
    <row r="3671" ht="22" customHeight="1">
      <c r="A3671" s="2" t="inlineStr">
        <is>
          <t>2026-06-10</t>
        </is>
      </c>
      <c r="B3671" s="3" t="inlineStr">
        <is>
          <t>대신증권</t>
        </is>
      </c>
      <c r="C3671" s="2" t="inlineStr">
        <is>
          <t>003540</t>
        </is>
      </c>
      <c r="D3671" s="2" t="inlineStr">
        <is>
          <t>임원보고</t>
        </is>
      </c>
      <c r="E3671" s="3" t="inlineStr">
        <is>
          <t>-</t>
        </is>
      </c>
      <c r="F3671" s="3" t="inlineStr">
        <is>
          <t>-</t>
        </is>
      </c>
      <c r="G3671" s="3" t="inlineStr">
        <is>
          <t>-</t>
        </is>
      </c>
      <c r="H3671" s="6" t="inlineStr"/>
      <c r="I3671" s="6" t="inlineStr"/>
      <c r="J3671" s="6" t="inlineStr"/>
      <c r="K3671" s="16" t="n">
        <v>12</v>
      </c>
      <c r="L3671" s="2" t="inlineStr">
        <is>
          <t>20260610800733</t>
        </is>
      </c>
      <c r="M3671" s="8">
        <f>HYPERLINK("https://dart.fss.or.kr/dsaf001/main.do?rcpNo=20260610800733", "공시열람")</f>
        <v/>
      </c>
    </row>
    <row r="3672" ht="22" customHeight="1">
      <c r="A3672" s="2" t="inlineStr">
        <is>
          <t>2026-06-10</t>
        </is>
      </c>
      <c r="B3672" s="3" t="inlineStr">
        <is>
          <t>포니링크</t>
        </is>
      </c>
      <c r="C3672" s="2" t="inlineStr">
        <is>
          <t>064800</t>
        </is>
      </c>
      <c r="D3672" s="2" t="inlineStr">
        <is>
          <t>대량보유</t>
        </is>
      </c>
      <c r="E3672" s="3" t="inlineStr">
        <is>
          <t>(주)젬백스앤카엘</t>
        </is>
      </c>
      <c r="F3672" s="3" t="inlineStr">
        <is>
          <t>특별관계자</t>
        </is>
      </c>
      <c r="G3672" s="3" t="inlineStr">
        <is>
          <t>주식병합</t>
        </is>
      </c>
      <c r="H3672" s="17" t="n">
        <v>-22239977</v>
      </c>
      <c r="I3672" s="6" t="inlineStr"/>
      <c r="J3672" s="6" t="n">
        <v>5559994</v>
      </c>
      <c r="K3672" s="16" t="n">
        <v>11</v>
      </c>
      <c r="L3672" s="2" t="inlineStr">
        <is>
          <t>20260610000507</t>
        </is>
      </c>
      <c r="M3672" s="8">
        <f>HYPERLINK("https://dart.fss.or.kr/dsaf001/main.do?rcpNo=20260610000507", "공시열람")</f>
        <v/>
      </c>
    </row>
    <row r="3673" ht="22" customHeight="1">
      <c r="A3673" s="2" t="inlineStr">
        <is>
          <t>2026-06-10</t>
        </is>
      </c>
      <c r="B3673" s="3" t="inlineStr">
        <is>
          <t>포니링크</t>
        </is>
      </c>
      <c r="C3673" s="2" t="inlineStr">
        <is>
          <t>064800</t>
        </is>
      </c>
      <c r="D3673" s="2" t="inlineStr">
        <is>
          <t>대량보유</t>
        </is>
      </c>
      <c r="E3673" s="3" t="inlineStr">
        <is>
          <t>정경표</t>
        </is>
      </c>
      <c r="F3673" s="3" t="inlineStr">
        <is>
          <t>특별관계자</t>
        </is>
      </c>
      <c r="G3673" s="3" t="inlineStr">
        <is>
          <t>주식병합</t>
        </is>
      </c>
      <c r="H3673" s="17" t="n">
        <v>-32000</v>
      </c>
      <c r="I3673" s="6" t="inlineStr"/>
      <c r="J3673" s="6" t="n">
        <v>8000</v>
      </c>
      <c r="K3673" s="16" t="n">
        <v>11</v>
      </c>
      <c r="L3673" s="2" t="inlineStr">
        <is>
          <t>20260610000507</t>
        </is>
      </c>
      <c r="M3673" s="8">
        <f>HYPERLINK("https://dart.fss.or.kr/dsaf001/main.do?rcpNo=20260610000507", "공시열람")</f>
        <v/>
      </c>
    </row>
    <row r="3674" ht="22" customHeight="1">
      <c r="A3674" s="2" t="inlineStr">
        <is>
          <t>2026-06-10</t>
        </is>
      </c>
      <c r="B3674" s="3" t="inlineStr">
        <is>
          <t>포니링크</t>
        </is>
      </c>
      <c r="C3674" s="2" t="inlineStr">
        <is>
          <t>064800</t>
        </is>
      </c>
      <c r="D3674" s="2" t="inlineStr">
        <is>
          <t>대량보유</t>
        </is>
      </c>
      <c r="E3674" s="3" t="inlineStr">
        <is>
          <t>김상재</t>
        </is>
      </c>
      <c r="F3674" s="3" t="inlineStr">
        <is>
          <t>특별관계자</t>
        </is>
      </c>
      <c r="G3674" s="3" t="inlineStr">
        <is>
          <t>주식병합</t>
        </is>
      </c>
      <c r="H3674" s="17" t="n">
        <v>-240000</v>
      </c>
      <c r="I3674" s="6" t="inlineStr"/>
      <c r="J3674" s="6" t="n">
        <v>60000</v>
      </c>
      <c r="K3674" s="16" t="n">
        <v>11</v>
      </c>
      <c r="L3674" s="2" t="inlineStr">
        <is>
          <t>20260610000507</t>
        </is>
      </c>
      <c r="M3674" s="8">
        <f>HYPERLINK("https://dart.fss.or.kr/dsaf001/main.do?rcpNo=20260610000507", "공시열람")</f>
        <v/>
      </c>
    </row>
    <row r="3675" ht="22" customHeight="1">
      <c r="A3675" s="2" t="inlineStr">
        <is>
          <t>2026-06-10</t>
        </is>
      </c>
      <c r="B3675" s="3" t="inlineStr">
        <is>
          <t>포니링크</t>
        </is>
      </c>
      <c r="C3675" s="2" t="inlineStr">
        <is>
          <t>064800</t>
        </is>
      </c>
      <c r="D3675" s="2" t="inlineStr">
        <is>
          <t>대량보유</t>
        </is>
      </c>
      <c r="E3675" s="3" t="inlineStr">
        <is>
          <t>황정일</t>
        </is>
      </c>
      <c r="F3675" s="3" t="inlineStr">
        <is>
          <t>특별관계자</t>
        </is>
      </c>
      <c r="G3675" s="3" t="inlineStr">
        <is>
          <t>주식병합</t>
        </is>
      </c>
      <c r="H3675" s="17" t="n">
        <v>-200000</v>
      </c>
      <c r="I3675" s="6" t="inlineStr"/>
      <c r="J3675" s="6" t="n">
        <v>50000</v>
      </c>
      <c r="K3675" s="16" t="n">
        <v>11</v>
      </c>
      <c r="L3675" s="2" t="inlineStr">
        <is>
          <t>20260610000507</t>
        </is>
      </c>
      <c r="M3675" s="8">
        <f>HYPERLINK("https://dart.fss.or.kr/dsaf001/main.do?rcpNo=20260610000507", "공시열람")</f>
        <v/>
      </c>
    </row>
    <row r="3676" ht="22" customHeight="1">
      <c r="A3676" s="2" t="inlineStr">
        <is>
          <t>2026-06-10</t>
        </is>
      </c>
      <c r="B3676" s="3" t="inlineStr">
        <is>
          <t>포니링크</t>
        </is>
      </c>
      <c r="C3676" s="2" t="inlineStr">
        <is>
          <t>064800</t>
        </is>
      </c>
      <c r="D3676" s="2" t="inlineStr">
        <is>
          <t>대량보유</t>
        </is>
      </c>
      <c r="E3676" s="3" t="inlineStr">
        <is>
          <t>문형식</t>
        </is>
      </c>
      <c r="F3676" s="3" t="inlineStr">
        <is>
          <t>특별관계자</t>
        </is>
      </c>
      <c r="G3676" s="3" t="inlineStr">
        <is>
          <t>주식병합</t>
        </is>
      </c>
      <c r="H3676" s="17" t="n">
        <v>-40000</v>
      </c>
      <c r="I3676" s="6" t="inlineStr"/>
      <c r="J3676" s="6" t="n">
        <v>10000</v>
      </c>
      <c r="K3676" s="16" t="n">
        <v>11</v>
      </c>
      <c r="L3676" s="2" t="inlineStr">
        <is>
          <t>20260610000507</t>
        </is>
      </c>
      <c r="M3676" s="8">
        <f>HYPERLINK("https://dart.fss.or.kr/dsaf001/main.do?rcpNo=20260610000507", "공시열람")</f>
        <v/>
      </c>
    </row>
    <row r="3677" ht="22" customHeight="1">
      <c r="A3677" s="2" t="inlineStr">
        <is>
          <t>2026-06-10</t>
        </is>
      </c>
      <c r="B3677" s="3" t="inlineStr">
        <is>
          <t>포니링크</t>
        </is>
      </c>
      <c r="C3677" s="2" t="inlineStr">
        <is>
          <t>064800</t>
        </is>
      </c>
      <c r="D3677" s="2" t="inlineStr">
        <is>
          <t>대량보유</t>
        </is>
      </c>
      <c r="E3677" s="3" t="inlineStr">
        <is>
          <t>임명수</t>
        </is>
      </c>
      <c r="F3677" s="3" t="inlineStr">
        <is>
          <t>특별관계자</t>
        </is>
      </c>
      <c r="G3677" s="3" t="inlineStr">
        <is>
          <t>주식병합</t>
        </is>
      </c>
      <c r="H3677" s="17" t="n">
        <v>-8000</v>
      </c>
      <c r="I3677" s="6" t="inlineStr"/>
      <c r="J3677" s="6" t="n">
        <v>2000</v>
      </c>
      <c r="K3677" s="16" t="n">
        <v>11</v>
      </c>
      <c r="L3677" s="2" t="inlineStr">
        <is>
          <t>20260610000507</t>
        </is>
      </c>
      <c r="M3677" s="8">
        <f>HYPERLINK("https://dart.fss.or.kr/dsaf001/main.do?rcpNo=20260610000507", "공시열람")</f>
        <v/>
      </c>
    </row>
    <row r="3678" ht="22" customHeight="1">
      <c r="A3678" s="2" t="inlineStr">
        <is>
          <t>2026-06-10</t>
        </is>
      </c>
      <c r="B3678" s="3" t="inlineStr">
        <is>
          <t>포니링크</t>
        </is>
      </c>
      <c r="C3678" s="2" t="inlineStr">
        <is>
          <t>064800</t>
        </is>
      </c>
      <c r="D3678" s="2" t="inlineStr">
        <is>
          <t>대량보유</t>
        </is>
      </c>
      <c r="E3678" s="3" t="inlineStr">
        <is>
          <t>삼성제약㈜</t>
        </is>
      </c>
      <c r="F3678" s="3" t="inlineStr">
        <is>
          <t>특별관계자</t>
        </is>
      </c>
      <c r="G3678" s="3" t="inlineStr">
        <is>
          <t>주식병합</t>
        </is>
      </c>
      <c r="H3678" s="17" t="n">
        <v>-1542400</v>
      </c>
      <c r="I3678" s="6" t="inlineStr"/>
      <c r="J3678" s="6" t="n">
        <v>385600</v>
      </c>
      <c r="K3678" s="16" t="n">
        <v>11</v>
      </c>
      <c r="L3678" s="2" t="inlineStr">
        <is>
          <t>20260610000507</t>
        </is>
      </c>
      <c r="M3678" s="8">
        <f>HYPERLINK("https://dart.fss.or.kr/dsaf001/main.do?rcpNo=20260610000507", "공시열람")</f>
        <v/>
      </c>
    </row>
    <row r="3679" ht="22" customHeight="1">
      <c r="A3679" s="2" t="inlineStr">
        <is>
          <t>2026-06-10</t>
        </is>
      </c>
      <c r="B3679" s="3" t="inlineStr">
        <is>
          <t>포니링크</t>
        </is>
      </c>
      <c r="C3679" s="2" t="inlineStr">
        <is>
          <t>064800</t>
        </is>
      </c>
      <c r="D3679" s="2" t="inlineStr">
        <is>
          <t>대량보유</t>
        </is>
      </c>
      <c r="E3679" s="3" t="inlineStr">
        <is>
          <t>이신성</t>
        </is>
      </c>
      <c r="F3679" s="3" t="inlineStr">
        <is>
          <t>특별관계자</t>
        </is>
      </c>
      <c r="G3679" s="3" t="inlineStr">
        <is>
          <t>주식병합</t>
        </is>
      </c>
      <c r="H3679" s="17" t="n">
        <v>-28000</v>
      </c>
      <c r="I3679" s="6" t="inlineStr"/>
      <c r="J3679" s="6" t="n">
        <v>7000</v>
      </c>
      <c r="K3679" s="16" t="n">
        <v>11</v>
      </c>
      <c r="L3679" s="2" t="inlineStr">
        <is>
          <t>20260610000507</t>
        </is>
      </c>
      <c r="M3679" s="8">
        <f>HYPERLINK("https://dart.fss.or.kr/dsaf001/main.do?rcpNo=20260610000507", "공시열람")</f>
        <v/>
      </c>
    </row>
    <row r="3680" ht="22" customHeight="1">
      <c r="A3680" s="2" t="inlineStr">
        <is>
          <t>2026-06-10</t>
        </is>
      </c>
      <c r="B3680" s="3" t="inlineStr">
        <is>
          <t>포니링크</t>
        </is>
      </c>
      <c r="C3680" s="2" t="inlineStr">
        <is>
          <t>064800</t>
        </is>
      </c>
      <c r="D3680" s="2" t="inlineStr">
        <is>
          <t>대량보유</t>
        </is>
      </c>
      <c r="E3680" s="3" t="inlineStr">
        <is>
          <t>구세진</t>
        </is>
      </c>
      <c r="F3680" s="3" t="inlineStr">
        <is>
          <t>특별관계자</t>
        </is>
      </c>
      <c r="G3680" s="3" t="inlineStr">
        <is>
          <t>주식병합</t>
        </is>
      </c>
      <c r="H3680" s="17" t="n">
        <v>-80000</v>
      </c>
      <c r="I3680" s="6" t="inlineStr"/>
      <c r="J3680" s="6" t="n">
        <v>20000</v>
      </c>
      <c r="K3680" s="16" t="n">
        <v>11</v>
      </c>
      <c r="L3680" s="2" t="inlineStr">
        <is>
          <t>20260610000507</t>
        </is>
      </c>
      <c r="M3680" s="8">
        <f>HYPERLINK("https://dart.fss.or.kr/dsaf001/main.do?rcpNo=20260610000507", "공시열람")</f>
        <v/>
      </c>
    </row>
    <row r="3681" ht="22" customHeight="1">
      <c r="A3681" s="2" t="inlineStr">
        <is>
          <t>2026-06-10</t>
        </is>
      </c>
      <c r="B3681" s="3" t="inlineStr">
        <is>
          <t>포니링크</t>
        </is>
      </c>
      <c r="C3681" s="2" t="inlineStr">
        <is>
          <t>064800</t>
        </is>
      </c>
      <c r="D3681" s="2" t="inlineStr">
        <is>
          <t>대량보유</t>
        </is>
      </c>
      <c r="E3681" s="3" t="inlineStr">
        <is>
          <t>박봉권</t>
        </is>
      </c>
      <c r="F3681" s="3" t="inlineStr">
        <is>
          <t>특별관계자</t>
        </is>
      </c>
      <c r="G3681" s="3" t="inlineStr">
        <is>
          <t>임원퇴임(-)</t>
        </is>
      </c>
      <c r="H3681" s="17" t="n">
        <v>-374251</v>
      </c>
      <c r="I3681" s="6" t="inlineStr"/>
      <c r="J3681" s="6" t="inlineStr"/>
      <c r="K3681" s="16" t="n">
        <v>11</v>
      </c>
      <c r="L3681" s="2" t="inlineStr">
        <is>
          <t>20260610000507</t>
        </is>
      </c>
      <c r="M3681" s="8">
        <f>HYPERLINK("https://dart.fss.or.kr/dsaf001/main.do?rcpNo=20260610000507", "공시열람")</f>
        <v/>
      </c>
    </row>
    <row r="3682" ht="22" customHeight="1">
      <c r="A3682" s="2" t="inlineStr">
        <is>
          <t>2026-06-10</t>
        </is>
      </c>
      <c r="B3682" s="3" t="inlineStr">
        <is>
          <t>포니링크</t>
        </is>
      </c>
      <c r="C3682" s="2" t="inlineStr">
        <is>
          <t>064800</t>
        </is>
      </c>
      <c r="D3682" s="2" t="inlineStr">
        <is>
          <t>대량보유</t>
        </is>
      </c>
      <c r="E3682" s="3" t="inlineStr">
        <is>
          <t>윤장섭</t>
        </is>
      </c>
      <c r="F3682" s="3" t="inlineStr">
        <is>
          <t>특별관계자</t>
        </is>
      </c>
      <c r="G3682" s="3" t="inlineStr">
        <is>
          <t>계열사편입(+)</t>
        </is>
      </c>
      <c r="H3682" s="15" t="n">
        <v>104615</v>
      </c>
      <c r="I3682" s="6" t="n">
        <v>2900</v>
      </c>
      <c r="J3682" s="6" t="n">
        <v>104615</v>
      </c>
      <c r="K3682" s="16" t="n">
        <v>11</v>
      </c>
      <c r="L3682" s="2" t="inlineStr">
        <is>
          <t>20260610000507</t>
        </is>
      </c>
      <c r="M3682" s="8">
        <f>HYPERLINK("https://dart.fss.or.kr/dsaf001/main.do?rcpNo=20260610000507", "공시열람")</f>
        <v/>
      </c>
    </row>
    <row r="3683" ht="22" customHeight="1">
      <c r="A3683" s="2" t="inlineStr">
        <is>
          <t>2026-06-10</t>
        </is>
      </c>
      <c r="B3683" s="3" t="inlineStr">
        <is>
          <t>포니링크</t>
        </is>
      </c>
      <c r="C3683" s="2" t="inlineStr">
        <is>
          <t>064800</t>
        </is>
      </c>
      <c r="D3683" s="2" t="inlineStr">
        <is>
          <t>대량보유</t>
        </is>
      </c>
      <c r="E3683" s="3" t="inlineStr">
        <is>
          <t>(주)킹스맨</t>
        </is>
      </c>
      <c r="F3683" s="3" t="inlineStr">
        <is>
          <t>특별관계자</t>
        </is>
      </c>
      <c r="G3683" s="3" t="inlineStr">
        <is>
          <t>계열사편입(+)</t>
        </is>
      </c>
      <c r="H3683" s="15" t="n">
        <v>18640</v>
      </c>
      <c r="I3683" s="6" t="n">
        <v>2900</v>
      </c>
      <c r="J3683" s="6" t="n">
        <v>18640</v>
      </c>
      <c r="K3683" s="16" t="n">
        <v>11</v>
      </c>
      <c r="L3683" s="2" t="inlineStr">
        <is>
          <t>20260610000507</t>
        </is>
      </c>
      <c r="M3683" s="8">
        <f>HYPERLINK("https://dart.fss.or.kr/dsaf001/main.do?rcpNo=20260610000507", "공시열람")</f>
        <v/>
      </c>
    </row>
    <row r="3684" ht="22" customHeight="1">
      <c r="A3684" s="2" t="inlineStr">
        <is>
          <t>2026-06-10</t>
        </is>
      </c>
      <c r="B3684" s="3" t="inlineStr">
        <is>
          <t>씨엑스아이</t>
        </is>
      </c>
      <c r="C3684" s="2" t="inlineStr">
        <is>
          <t>900120</t>
        </is>
      </c>
      <c r="D3684" s="2" t="inlineStr">
        <is>
          <t>대량보유</t>
        </is>
      </c>
      <c r="E3684" s="3" t="inlineStr">
        <is>
          <t>RUIXINGINTERNATIONALHOLDINGSLIMITED</t>
        </is>
      </c>
      <c r="F3684" s="3" t="inlineStr">
        <is>
          <t>특별관계자</t>
        </is>
      </c>
      <c r="G3684" s="3" t="inlineStr">
        <is>
          <t>주식병합</t>
        </is>
      </c>
      <c r="H3684" s="17" t="n">
        <v>-2011178</v>
      </c>
      <c r="I3684" s="6" t="inlineStr"/>
      <c r="J3684" s="6" t="n">
        <v>502794</v>
      </c>
      <c r="K3684" s="16" t="n">
        <v>6.73</v>
      </c>
      <c r="L3684" s="2" t="inlineStr">
        <is>
          <t>20260610000503</t>
        </is>
      </c>
      <c r="M3684" s="8">
        <f>HYPERLINK("https://dart.fss.or.kr/dsaf001/main.do?rcpNo=20260610000503", "공시열람")</f>
        <v/>
      </c>
    </row>
    <row r="3685" ht="22" customHeight="1">
      <c r="A3685" s="2" t="inlineStr">
        <is>
          <t>2026-06-10 (정정: 2026-06-22)</t>
        </is>
      </c>
      <c r="B3685" s="3" t="inlineStr">
        <is>
          <t>엑스플러스</t>
        </is>
      </c>
      <c r="C3685" s="2" t="inlineStr">
        <is>
          <t>373200</t>
        </is>
      </c>
      <c r="D3685" s="2" t="inlineStr">
        <is>
          <t>대량보유</t>
        </is>
      </c>
      <c r="E3685" s="3" t="inlineStr">
        <is>
          <t>(주)엑스페릭스</t>
        </is>
      </c>
      <c r="F3685" s="3" t="inlineStr">
        <is>
          <t>보고자</t>
        </is>
      </c>
      <c r="G3685" s="3" t="inlineStr">
        <is>
          <t>- 보고자가 보유한 전환사채권 양도 계약 종결일 변경- 특별관계자 출자지분 양도 계약 완료일 변경</t>
        </is>
      </c>
      <c r="H3685" s="6" t="inlineStr"/>
      <c r="I3685" s="6" t="inlineStr"/>
      <c r="J3685" s="6" t="n">
        <v>11629545</v>
      </c>
      <c r="K3685" s="16" t="n">
        <v>3</v>
      </c>
      <c r="L3685" s="2" t="inlineStr">
        <is>
          <t>20260622000368</t>
        </is>
      </c>
      <c r="M3685" s="8">
        <f>HYPERLINK("https://dart.fss.or.kr/dsaf001/main.do?rcpNo=20260622000368", "공시열람")</f>
        <v/>
      </c>
    </row>
    <row r="3686" ht="22" customHeight="1">
      <c r="A3686" s="2" t="inlineStr">
        <is>
          <t>2026-06-10</t>
        </is>
      </c>
      <c r="B3686" s="3" t="inlineStr">
        <is>
          <t>윙입푸드</t>
        </is>
      </c>
      <c r="C3686" s="2" t="inlineStr">
        <is>
          <t>900340</t>
        </is>
      </c>
      <c r="D3686" s="2" t="inlineStr">
        <is>
          <t>대량보유</t>
        </is>
      </c>
      <c r="E3686" s="3" t="inlineStr">
        <is>
          <t>왕정풍(WANGTINGFENG)</t>
        </is>
      </c>
      <c r="F3686" s="3" t="inlineStr">
        <is>
          <t>특별관계자</t>
        </is>
      </c>
      <c r="G3686" s="3" t="inlineStr">
        <is>
          <t>주식병합</t>
        </is>
      </c>
      <c r="H3686" s="17" t="n">
        <v>-9699024</v>
      </c>
      <c r="I3686" s="6" t="inlineStr"/>
      <c r="J3686" s="6" t="n">
        <v>3233007</v>
      </c>
      <c r="K3686" s="16" t="n">
        <v>3</v>
      </c>
      <c r="L3686" s="2" t="inlineStr">
        <is>
          <t>20260610000488</t>
        </is>
      </c>
      <c r="M3686" s="8">
        <f>HYPERLINK("https://dart.fss.or.kr/dsaf001/main.do?rcpNo=20260610000488", "공시열람")</f>
        <v/>
      </c>
    </row>
    <row r="3687" ht="22" customHeight="1">
      <c r="A3687" s="2" t="inlineStr">
        <is>
          <t>2026-06-10</t>
        </is>
      </c>
      <c r="B3687" s="3" t="inlineStr">
        <is>
          <t>윙입푸드</t>
        </is>
      </c>
      <c r="C3687" s="2" t="inlineStr">
        <is>
          <t>900340</t>
        </is>
      </c>
      <c r="D3687" s="2" t="inlineStr">
        <is>
          <t>대량보유</t>
        </is>
      </c>
      <c r="E3687" s="3" t="inlineStr">
        <is>
          <t>왕현도(WANGXIANTAO)</t>
        </is>
      </c>
      <c r="F3687" s="3" t="inlineStr">
        <is>
          <t>특별관계자</t>
        </is>
      </c>
      <c r="G3687" s="3" t="inlineStr">
        <is>
          <t>주식병합</t>
        </is>
      </c>
      <c r="H3687" s="17" t="n">
        <v>-6013236</v>
      </c>
      <c r="I3687" s="6" t="inlineStr"/>
      <c r="J3687" s="6" t="n">
        <v>2004411</v>
      </c>
      <c r="K3687" s="16" t="n">
        <v>3</v>
      </c>
      <c r="L3687" s="2" t="inlineStr">
        <is>
          <t>20260610000488</t>
        </is>
      </c>
      <c r="M3687" s="8">
        <f>HYPERLINK("https://dart.fss.or.kr/dsaf001/main.do?rcpNo=20260610000488", "공시열람")</f>
        <v/>
      </c>
    </row>
    <row r="3688" ht="22" customHeight="1">
      <c r="A3688" s="2" t="inlineStr">
        <is>
          <t>2026-06-10</t>
        </is>
      </c>
      <c r="B3688" s="3" t="inlineStr">
        <is>
          <t>윙입푸드</t>
        </is>
      </c>
      <c r="C3688" s="2" t="inlineStr">
        <is>
          <t>900340</t>
        </is>
      </c>
      <c r="D3688" s="2" t="inlineStr">
        <is>
          <t>대량보유</t>
        </is>
      </c>
      <c r="E3688" s="3" t="inlineStr">
        <is>
          <t>엽호파(YEHAOBO)</t>
        </is>
      </c>
      <c r="F3688" s="3" t="inlineStr">
        <is>
          <t>특별관계자</t>
        </is>
      </c>
      <c r="G3688" s="3" t="inlineStr">
        <is>
          <t>주식병합</t>
        </is>
      </c>
      <c r="H3688" s="17" t="n">
        <v>-1155723</v>
      </c>
      <c r="I3688" s="6" t="inlineStr"/>
      <c r="J3688" s="6" t="n">
        <v>385241</v>
      </c>
      <c r="K3688" s="16" t="n">
        <v>3</v>
      </c>
      <c r="L3688" s="2" t="inlineStr">
        <is>
          <t>20260610000488</t>
        </is>
      </c>
      <c r="M3688" s="8">
        <f>HYPERLINK("https://dart.fss.or.kr/dsaf001/main.do?rcpNo=20260610000488", "공시열람")</f>
        <v/>
      </c>
    </row>
    <row r="3689" ht="22" customHeight="1">
      <c r="A3689" s="2" t="inlineStr">
        <is>
          <t>2026-06-10</t>
        </is>
      </c>
      <c r="B3689" s="3" t="inlineStr">
        <is>
          <t>윙입푸드</t>
        </is>
      </c>
      <c r="C3689" s="2" t="inlineStr">
        <is>
          <t>900340</t>
        </is>
      </c>
      <c r="D3689" s="2" t="inlineStr">
        <is>
          <t>대량보유</t>
        </is>
      </c>
      <c r="E3689" s="3" t="inlineStr">
        <is>
          <t>엽순소(YECHUNZHAO)</t>
        </is>
      </c>
      <c r="F3689" s="3" t="inlineStr">
        <is>
          <t>특별관계자</t>
        </is>
      </c>
      <c r="G3689" s="3" t="inlineStr">
        <is>
          <t>주식병합</t>
        </is>
      </c>
      <c r="H3689" s="17" t="n">
        <v>-192621</v>
      </c>
      <c r="I3689" s="6" t="inlineStr"/>
      <c r="J3689" s="6" t="n">
        <v>64206</v>
      </c>
      <c r="K3689" s="16" t="n">
        <v>3</v>
      </c>
      <c r="L3689" s="2" t="inlineStr">
        <is>
          <t>20260610000488</t>
        </is>
      </c>
      <c r="M3689" s="8">
        <f>HYPERLINK("https://dart.fss.or.kr/dsaf001/main.do?rcpNo=20260610000488", "공시열람")</f>
        <v/>
      </c>
    </row>
    <row r="3690" ht="22" customHeight="1">
      <c r="A3690" s="2" t="inlineStr">
        <is>
          <t>2026-06-10</t>
        </is>
      </c>
      <c r="B3690" s="3" t="inlineStr">
        <is>
          <t>롯데관광개발</t>
        </is>
      </c>
      <c r="C3690" s="2" t="inlineStr">
        <is>
          <t>032350</t>
        </is>
      </c>
      <c r="D3690" s="2" t="inlineStr">
        <is>
          <t>대량보유</t>
        </is>
      </c>
      <c r="E3690" s="3" t="inlineStr">
        <is>
          <t>(주)브이아이피자산운용</t>
        </is>
      </c>
      <c r="F3690" s="3" t="inlineStr">
        <is>
          <t>특별관계자</t>
        </is>
      </c>
      <c r="G3690" s="3" t="inlineStr">
        <is>
          <t>장내매수(+), 장내매도(-), 기타(-), 전환등(-), 전환사채의권리행사(+)</t>
        </is>
      </c>
      <c r="H3690" s="15" t="n">
        <v>1610355</v>
      </c>
      <c r="I3690" s="6" t="n">
        <v>20838</v>
      </c>
      <c r="J3690" s="6" t="n">
        <v>6220441</v>
      </c>
      <c r="K3690" s="16" t="n">
        <v>7.99</v>
      </c>
      <c r="L3690" s="2" t="inlineStr">
        <is>
          <t>20260610000487</t>
        </is>
      </c>
      <c r="M3690" s="8">
        <f>HYPERLINK("https://dart.fss.or.kr/dsaf001/main.do?rcpNo=20260610000487", "공시열람")</f>
        <v/>
      </c>
    </row>
    <row r="3691" ht="22" customHeight="1">
      <c r="A3691" s="2" t="inlineStr">
        <is>
          <t>2026-06-10</t>
        </is>
      </c>
      <c r="B3691" s="3" t="inlineStr">
        <is>
          <t>포커스에이아이</t>
        </is>
      </c>
      <c r="C3691" s="2" t="inlineStr">
        <is>
          <t>331380</t>
        </is>
      </c>
      <c r="D3691" s="2" t="inlineStr">
        <is>
          <t>대량보유</t>
        </is>
      </c>
      <c r="E3691" s="3" t="inlineStr">
        <is>
          <t>(주)상상인플러스저축은행</t>
        </is>
      </c>
      <c r="F3691" s="3" t="inlineStr">
        <is>
          <t>특별관계자</t>
        </is>
      </c>
      <c r="G3691" s="3" t="inlineStr">
        <is>
          <t>장내매도(-), 장외매도(-)</t>
        </is>
      </c>
      <c r="H3691" s="17" t="n">
        <v>-1843119</v>
      </c>
      <c r="I3691" s="6" t="n">
        <v>2906</v>
      </c>
      <c r="J3691" s="6" t="inlineStr"/>
      <c r="K3691" s="16" t="n">
        <v>3</v>
      </c>
      <c r="L3691" s="2" t="inlineStr">
        <is>
          <t>20260610000483</t>
        </is>
      </c>
      <c r="M3691" s="8">
        <f>HYPERLINK("https://dart.fss.or.kr/dsaf001/main.do?rcpNo=20260610000483", "공시열람")</f>
        <v/>
      </c>
    </row>
    <row r="3692" ht="22" customHeight="1">
      <c r="A3692" s="2" t="inlineStr">
        <is>
          <t>2026-06-10</t>
        </is>
      </c>
      <c r="B3692" s="3" t="inlineStr">
        <is>
          <t>포커스에이아이</t>
        </is>
      </c>
      <c r="C3692" s="2" t="inlineStr">
        <is>
          <t>331380</t>
        </is>
      </c>
      <c r="D3692" s="2" t="inlineStr">
        <is>
          <t>대량보유</t>
        </is>
      </c>
      <c r="E3692" s="3" t="inlineStr">
        <is>
          <t>(주)상상인저축은행</t>
        </is>
      </c>
      <c r="F3692" s="3" t="inlineStr">
        <is>
          <t>특별관계자</t>
        </is>
      </c>
      <c r="G3692" s="3" t="inlineStr">
        <is>
          <t>장외매도(-)</t>
        </is>
      </c>
      <c r="H3692" s="17" t="n">
        <v>-642201</v>
      </c>
      <c r="I3692" s="6" t="n">
        <v>2900</v>
      </c>
      <c r="J3692" s="6" t="inlineStr"/>
      <c r="K3692" s="16" t="n">
        <v>3</v>
      </c>
      <c r="L3692" s="2" t="inlineStr">
        <is>
          <t>20260610000483</t>
        </is>
      </c>
      <c r="M3692" s="8">
        <f>HYPERLINK("https://dart.fss.or.kr/dsaf001/main.do?rcpNo=20260610000483", "공시열람")</f>
        <v/>
      </c>
    </row>
    <row r="3693" ht="22" customHeight="1">
      <c r="A3693" s="2" t="inlineStr">
        <is>
          <t>2026-06-10</t>
        </is>
      </c>
      <c r="B3693" s="3" t="inlineStr">
        <is>
          <t>포커스에이아이</t>
        </is>
      </c>
      <c r="C3693" s="2" t="inlineStr">
        <is>
          <t>331380</t>
        </is>
      </c>
      <c r="D3693" s="2" t="inlineStr">
        <is>
          <t>대량보유</t>
        </is>
      </c>
      <c r="E3693" s="3" t="inlineStr">
        <is>
          <t>(주)상상인증권</t>
        </is>
      </c>
      <c r="F3693" s="3" t="inlineStr">
        <is>
          <t>특별관계자</t>
        </is>
      </c>
      <c r="G3693" s="3" t="inlineStr">
        <is>
          <t>장내매도(-)</t>
        </is>
      </c>
      <c r="H3693" s="17" t="n">
        <v>-99172</v>
      </c>
      <c r="I3693" s="6" t="n">
        <v>2782</v>
      </c>
      <c r="J3693" s="6" t="n">
        <v>1384403</v>
      </c>
      <c r="K3693" s="16" t="n">
        <v>3</v>
      </c>
      <c r="L3693" s="2" t="inlineStr">
        <is>
          <t>20260610000483</t>
        </is>
      </c>
      <c r="M3693" s="8">
        <f>HYPERLINK("https://dart.fss.or.kr/dsaf001/main.do?rcpNo=20260610000483", "공시열람")</f>
        <v/>
      </c>
    </row>
    <row r="3694" ht="22" customHeight="1">
      <c r="A3694" s="2" t="inlineStr">
        <is>
          <t>2026-06-10</t>
        </is>
      </c>
      <c r="B3694" s="3" t="inlineStr">
        <is>
          <t>오로라</t>
        </is>
      </c>
      <c r="C3694" s="2" t="inlineStr">
        <is>
          <t>039830</t>
        </is>
      </c>
      <c r="D3694" s="2" t="inlineStr">
        <is>
          <t>대량보유</t>
        </is>
      </c>
      <c r="E3694" s="3" t="inlineStr">
        <is>
          <t>(주)브이아이피자산운용</t>
        </is>
      </c>
      <c r="F3694" s="3" t="inlineStr">
        <is>
          <t>특별관계자</t>
        </is>
      </c>
      <c r="G3694" s="3" t="inlineStr">
        <is>
          <t>장내매수(+), 장내매도(-), 기타(-)</t>
        </is>
      </c>
      <c r="H3694" s="15" t="n">
        <v>333211</v>
      </c>
      <c r="I3694" s="6" t="n">
        <v>17120</v>
      </c>
      <c r="J3694" s="6" t="n">
        <v>922241</v>
      </c>
      <c r="K3694" s="16" t="n">
        <v>8.57</v>
      </c>
      <c r="L3694" s="2" t="inlineStr">
        <is>
          <t>20260610000482</t>
        </is>
      </c>
      <c r="M3694" s="8">
        <f>HYPERLINK("https://dart.fss.or.kr/dsaf001/main.do?rcpNo=20260610000482", "공시열람")</f>
        <v/>
      </c>
    </row>
    <row r="3695" ht="22" customHeight="1">
      <c r="A3695" s="2" t="inlineStr">
        <is>
          <t>2026-06-10</t>
        </is>
      </c>
      <c r="B3695" s="3" t="inlineStr">
        <is>
          <t>태림포장</t>
        </is>
      </c>
      <c r="C3695" s="2" t="inlineStr">
        <is>
          <t>011280</t>
        </is>
      </c>
      <c r="D3695" s="2" t="inlineStr">
        <is>
          <t>임원보고</t>
        </is>
      </c>
      <c r="E3695" s="3" t="inlineStr">
        <is>
          <t>-</t>
        </is>
      </c>
      <c r="F3695" s="3" t="inlineStr">
        <is>
          <t>-</t>
        </is>
      </c>
      <c r="G3695" s="3" t="inlineStr">
        <is>
          <t>-</t>
        </is>
      </c>
      <c r="H3695" s="6" t="inlineStr"/>
      <c r="I3695" s="6" t="inlineStr"/>
      <c r="J3695" s="6" t="inlineStr"/>
      <c r="K3695" s="16" t="n">
        <v>12</v>
      </c>
      <c r="L3695" s="2" t="inlineStr">
        <is>
          <t>20260610800687</t>
        </is>
      </c>
      <c r="M3695" s="8">
        <f>HYPERLINK("https://dart.fss.or.kr/dsaf001/main.do?rcpNo=20260610800687", "공시열람")</f>
        <v/>
      </c>
    </row>
    <row r="3696" ht="22" customHeight="1">
      <c r="A3696" s="2" t="inlineStr">
        <is>
          <t>2026-06-10</t>
        </is>
      </c>
      <c r="B3696" s="3" t="inlineStr">
        <is>
          <t>엘앤씨바이오</t>
        </is>
      </c>
      <c r="C3696" s="2" t="inlineStr">
        <is>
          <t>290650</t>
        </is>
      </c>
      <c r="D3696" s="2" t="inlineStr">
        <is>
          <t>대량보유</t>
        </is>
      </c>
      <c r="E3696" s="3" t="inlineStr">
        <is>
          <t>(주)브이아이피자산운용</t>
        </is>
      </c>
      <c r="F3696" s="3" t="inlineStr">
        <is>
          <t>특별관계자</t>
        </is>
      </c>
      <c r="G3696" s="3" t="inlineStr">
        <is>
          <t>장내매수(+), 장내매도(-), 기타(-)</t>
        </is>
      </c>
      <c r="H3696" s="17" t="n">
        <v>-55023</v>
      </c>
      <c r="I3696" s="6" t="n">
        <v>37112</v>
      </c>
      <c r="J3696" s="6" t="n">
        <v>1446856</v>
      </c>
      <c r="K3696" s="16" t="n">
        <v>5.36</v>
      </c>
      <c r="L3696" s="2" t="inlineStr">
        <is>
          <t>20260610000475</t>
        </is>
      </c>
      <c r="M3696" s="8">
        <f>HYPERLINK("https://dart.fss.or.kr/dsaf001/main.do?rcpNo=20260610000475", "공시열람")</f>
        <v/>
      </c>
    </row>
    <row r="3697" ht="22" customHeight="1">
      <c r="A3697" s="2" t="inlineStr">
        <is>
          <t>2026-06-10</t>
        </is>
      </c>
      <c r="B3697" s="3" t="inlineStr">
        <is>
          <t>달바글로벌</t>
        </is>
      </c>
      <c r="C3697" s="2" t="inlineStr">
        <is>
          <t>483650</t>
        </is>
      </c>
      <c r="D3697" s="2" t="inlineStr">
        <is>
          <t>대량보유</t>
        </is>
      </c>
      <c r="E3697" s="3" t="inlineStr">
        <is>
          <t>(주)브이아이피자산운용</t>
        </is>
      </c>
      <c r="F3697" s="3" t="inlineStr">
        <is>
          <t>특별관계자</t>
        </is>
      </c>
      <c r="G3697" s="3" t="inlineStr">
        <is>
          <t>장내매수(+), 장내매도(-), 기타(-)</t>
        </is>
      </c>
      <c r="H3697" s="17" t="n">
        <v>-200303</v>
      </c>
      <c r="I3697" s="6" t="n">
        <v>161358</v>
      </c>
      <c r="J3697" s="6" t="n">
        <v>429963</v>
      </c>
      <c r="K3697" s="16" t="n">
        <v>3.45</v>
      </c>
      <c r="L3697" s="2" t="inlineStr">
        <is>
          <t>20260610000471</t>
        </is>
      </c>
      <c r="M3697" s="8">
        <f>HYPERLINK("https://dart.fss.or.kr/dsaf001/main.do?rcpNo=20260610000471", "공시열람")</f>
        <v/>
      </c>
    </row>
    <row r="3698" ht="22" customHeight="1">
      <c r="A3698" s="2" t="inlineStr">
        <is>
          <t>2026-06-10</t>
        </is>
      </c>
      <c r="B3698" s="3" t="inlineStr">
        <is>
          <t>씨엑스아이</t>
        </is>
      </c>
      <c r="C3698" s="2" t="inlineStr">
        <is>
          <t>900120</t>
        </is>
      </c>
      <c r="D3698" s="2" t="inlineStr">
        <is>
          <t>대량보유</t>
        </is>
      </c>
      <c r="E3698" s="3" t="inlineStr">
        <is>
          <t>LINJINSHENG</t>
        </is>
      </c>
      <c r="F3698" s="3" t="inlineStr">
        <is>
          <t>특별관계자</t>
        </is>
      </c>
      <c r="G3698" s="3" t="inlineStr">
        <is>
          <t>주식병합</t>
        </is>
      </c>
      <c r="H3698" s="17" t="n">
        <v>-5421238</v>
      </c>
      <c r="I3698" s="6" t="inlineStr"/>
      <c r="J3698" s="6" t="n">
        <v>955309</v>
      </c>
      <c r="K3698" s="16" t="n">
        <v>8</v>
      </c>
      <c r="L3698" s="2" t="inlineStr">
        <is>
          <t>20260610000469</t>
        </is>
      </c>
      <c r="M3698" s="8">
        <f>HYPERLINK("https://dart.fss.or.kr/dsaf001/main.do?rcpNo=20260610000469", "공시열람")</f>
        <v/>
      </c>
    </row>
    <row r="3699" ht="22" customHeight="1">
      <c r="A3699" s="2" t="inlineStr">
        <is>
          <t>2026-06-10</t>
        </is>
      </c>
      <c r="B3699" s="3" t="inlineStr">
        <is>
          <t>씨엑스아이</t>
        </is>
      </c>
      <c r="C3699" s="2" t="inlineStr">
        <is>
          <t>900120</t>
        </is>
      </c>
      <c r="D3699" s="2" t="inlineStr">
        <is>
          <t>대량보유</t>
        </is>
      </c>
      <c r="E3699" s="3" t="inlineStr">
        <is>
          <t>LINHANGHAN</t>
        </is>
      </c>
      <c r="F3699" s="3" t="inlineStr">
        <is>
          <t>특별관계자</t>
        </is>
      </c>
      <c r="G3699" s="3" t="inlineStr">
        <is>
          <t>주식병합</t>
        </is>
      </c>
      <c r="H3699" s="17" t="n">
        <v>-160000</v>
      </c>
      <c r="I3699" s="6" t="inlineStr"/>
      <c r="J3699" s="6" t="n">
        <v>40000</v>
      </c>
      <c r="K3699" s="16" t="n">
        <v>8</v>
      </c>
      <c r="L3699" s="2" t="inlineStr">
        <is>
          <t>20260610000469</t>
        </is>
      </c>
      <c r="M3699" s="8">
        <f>HYPERLINK("https://dart.fss.or.kr/dsaf001/main.do?rcpNo=20260610000469", "공시열람")</f>
        <v/>
      </c>
    </row>
    <row r="3700" ht="22" customHeight="1">
      <c r="A3700" s="2" t="inlineStr">
        <is>
          <t>2026-06-10</t>
        </is>
      </c>
      <c r="B3700" s="3" t="inlineStr">
        <is>
          <t>씨엑스아이</t>
        </is>
      </c>
      <c r="C3700" s="2" t="inlineStr">
        <is>
          <t>900120</t>
        </is>
      </c>
      <c r="D3700" s="2" t="inlineStr">
        <is>
          <t>대량보유</t>
        </is>
      </c>
      <c r="E3700" s="3" t="inlineStr">
        <is>
          <t>LINXIAO</t>
        </is>
      </c>
      <c r="F3700" s="3" t="inlineStr">
        <is>
          <t>특별관계자</t>
        </is>
      </c>
      <c r="G3700" s="3" t="inlineStr">
        <is>
          <t>주식병합</t>
        </is>
      </c>
      <c r="H3700" s="17" t="n">
        <v>-160000</v>
      </c>
      <c r="I3700" s="6" t="inlineStr"/>
      <c r="J3700" s="6" t="n">
        <v>40000</v>
      </c>
      <c r="K3700" s="16" t="n">
        <v>8</v>
      </c>
      <c r="L3700" s="2" t="inlineStr">
        <is>
          <t>20260610000469</t>
        </is>
      </c>
      <c r="M3700" s="8">
        <f>HYPERLINK("https://dart.fss.or.kr/dsaf001/main.do?rcpNo=20260610000469", "공시열람")</f>
        <v/>
      </c>
    </row>
    <row r="3701" ht="22" customHeight="1">
      <c r="A3701" s="2" t="inlineStr">
        <is>
          <t>2026-06-10</t>
        </is>
      </c>
      <c r="B3701" s="3" t="inlineStr">
        <is>
          <t>씨엑스아이</t>
        </is>
      </c>
      <c r="C3701" s="2" t="inlineStr">
        <is>
          <t>900120</t>
        </is>
      </c>
      <c r="D3701" s="2" t="inlineStr">
        <is>
          <t>대량보유</t>
        </is>
      </c>
      <c r="E3701" s="3" t="inlineStr">
        <is>
          <t>SHIJUNBO</t>
        </is>
      </c>
      <c r="F3701" s="3" t="inlineStr">
        <is>
          <t>특별관계자</t>
        </is>
      </c>
      <c r="G3701" s="3" t="inlineStr">
        <is>
          <t>주식병합</t>
        </is>
      </c>
      <c r="H3701" s="17" t="n">
        <v>-240000</v>
      </c>
      <c r="I3701" s="6" t="inlineStr"/>
      <c r="J3701" s="6" t="n">
        <v>60000</v>
      </c>
      <c r="K3701" s="16" t="n">
        <v>8</v>
      </c>
      <c r="L3701" s="2" t="inlineStr">
        <is>
          <t>20260610000469</t>
        </is>
      </c>
      <c r="M3701" s="8">
        <f>HYPERLINK("https://dart.fss.or.kr/dsaf001/main.do?rcpNo=20260610000469", "공시열람")</f>
        <v/>
      </c>
    </row>
    <row r="3702" ht="22" customHeight="1">
      <c r="A3702" s="2" t="inlineStr">
        <is>
          <t>2026-06-10</t>
        </is>
      </c>
      <c r="B3702" s="3" t="inlineStr">
        <is>
          <t>씨엑스아이</t>
        </is>
      </c>
      <c r="C3702" s="2" t="inlineStr">
        <is>
          <t>900120</t>
        </is>
      </c>
      <c r="D3702" s="2" t="inlineStr">
        <is>
          <t>대량보유</t>
        </is>
      </c>
      <c r="E3702" s="3" t="inlineStr">
        <is>
          <t>CHENZHEN</t>
        </is>
      </c>
      <c r="F3702" s="3" t="inlineStr">
        <is>
          <t>특별관계자</t>
        </is>
      </c>
      <c r="G3702" s="3" t="inlineStr">
        <is>
          <t>주식병합</t>
        </is>
      </c>
      <c r="H3702" s="17" t="n">
        <v>-80000</v>
      </c>
      <c r="I3702" s="6" t="inlineStr"/>
      <c r="J3702" s="6" t="n">
        <v>20000</v>
      </c>
      <c r="K3702" s="16" t="n">
        <v>8</v>
      </c>
      <c r="L3702" s="2" t="inlineStr">
        <is>
          <t>20260610000469</t>
        </is>
      </c>
      <c r="M3702" s="8">
        <f>HYPERLINK("https://dart.fss.or.kr/dsaf001/main.do?rcpNo=20260610000469", "공시열람")</f>
        <v/>
      </c>
    </row>
    <row r="3703" ht="22" customHeight="1">
      <c r="A3703" s="2" t="inlineStr">
        <is>
          <t>2026-06-10</t>
        </is>
      </c>
      <c r="B3703" s="3" t="inlineStr">
        <is>
          <t>씨엑스아이</t>
        </is>
      </c>
      <c r="C3703" s="2" t="inlineStr">
        <is>
          <t>900120</t>
        </is>
      </c>
      <c r="D3703" s="2" t="inlineStr">
        <is>
          <t>대량보유</t>
        </is>
      </c>
      <c r="E3703" s="3" t="inlineStr">
        <is>
          <t>ZHENGYUN</t>
        </is>
      </c>
      <c r="F3703" s="3" t="inlineStr">
        <is>
          <t>특별관계자</t>
        </is>
      </c>
      <c r="G3703" s="3" t="inlineStr">
        <is>
          <t>주식병합</t>
        </is>
      </c>
      <c r="H3703" s="17" t="n">
        <v>-80000</v>
      </c>
      <c r="I3703" s="6" t="inlineStr"/>
      <c r="J3703" s="6" t="n">
        <v>20000</v>
      </c>
      <c r="K3703" s="16" t="n">
        <v>8</v>
      </c>
      <c r="L3703" s="2" t="inlineStr">
        <is>
          <t>20260610000469</t>
        </is>
      </c>
      <c r="M3703" s="8">
        <f>HYPERLINK("https://dart.fss.or.kr/dsaf001/main.do?rcpNo=20260610000469", "공시열람")</f>
        <v/>
      </c>
    </row>
    <row r="3704" ht="22" customHeight="1">
      <c r="A3704" s="2" t="inlineStr">
        <is>
          <t>2026-06-10</t>
        </is>
      </c>
      <c r="B3704" s="3" t="inlineStr">
        <is>
          <t>씨엑스아이</t>
        </is>
      </c>
      <c r="C3704" s="2" t="inlineStr">
        <is>
          <t>900120</t>
        </is>
      </c>
      <c r="D3704" s="2" t="inlineStr">
        <is>
          <t>대량보유</t>
        </is>
      </c>
      <c r="E3704" s="3" t="inlineStr">
        <is>
          <t>JINMEIHUA</t>
        </is>
      </c>
      <c r="F3704" s="3" t="inlineStr">
        <is>
          <t>특별관계자</t>
        </is>
      </c>
      <c r="G3704" s="3" t="inlineStr">
        <is>
          <t>주식병합</t>
        </is>
      </c>
      <c r="H3704" s="17" t="n">
        <v>-960000</v>
      </c>
      <c r="I3704" s="6" t="inlineStr"/>
      <c r="J3704" s="6" t="n">
        <v>240000</v>
      </c>
      <c r="K3704" s="16" t="n">
        <v>8</v>
      </c>
      <c r="L3704" s="2" t="inlineStr">
        <is>
          <t>20260610000469</t>
        </is>
      </c>
      <c r="M3704" s="8">
        <f>HYPERLINK("https://dart.fss.or.kr/dsaf001/main.do?rcpNo=20260610000469", "공시열람")</f>
        <v/>
      </c>
    </row>
    <row r="3705" ht="22" customHeight="1">
      <c r="A3705" s="2" t="inlineStr">
        <is>
          <t>2026-06-10</t>
        </is>
      </c>
      <c r="B3705" s="3" t="inlineStr">
        <is>
          <t>씨엑스아이</t>
        </is>
      </c>
      <c r="C3705" s="2" t="inlineStr">
        <is>
          <t>900120</t>
        </is>
      </c>
      <c r="D3705" s="2" t="inlineStr">
        <is>
          <t>대량보유</t>
        </is>
      </c>
      <c r="E3705" s="3" t="inlineStr">
        <is>
          <t>LIUBENZHENG</t>
        </is>
      </c>
      <c r="F3705" s="3" t="inlineStr">
        <is>
          <t>특별관계자</t>
        </is>
      </c>
      <c r="G3705" s="3" t="inlineStr">
        <is>
          <t>주식병합</t>
        </is>
      </c>
      <c r="H3705" s="17" t="n">
        <v>-80000</v>
      </c>
      <c r="I3705" s="6" t="inlineStr"/>
      <c r="J3705" s="6" t="n">
        <v>20000</v>
      </c>
      <c r="K3705" s="16" t="n">
        <v>8</v>
      </c>
      <c r="L3705" s="2" t="inlineStr">
        <is>
          <t>20260610000469</t>
        </is>
      </c>
      <c r="M3705" s="8">
        <f>HYPERLINK("https://dart.fss.or.kr/dsaf001/main.do?rcpNo=20260610000469", "공시열람")</f>
        <v/>
      </c>
    </row>
    <row r="3706" ht="22" customHeight="1">
      <c r="A3706" s="2" t="inlineStr">
        <is>
          <t>2026-06-10</t>
        </is>
      </c>
      <c r="B3706" s="3" t="inlineStr">
        <is>
          <t>씨엑스아이</t>
        </is>
      </c>
      <c r="C3706" s="2" t="inlineStr">
        <is>
          <t>900120</t>
        </is>
      </c>
      <c r="D3706" s="2" t="inlineStr">
        <is>
          <t>대량보유</t>
        </is>
      </c>
      <c r="E3706" s="3" t="inlineStr">
        <is>
          <t>LIUFENFANG</t>
        </is>
      </c>
      <c r="F3706" s="3" t="inlineStr">
        <is>
          <t>특별관계자</t>
        </is>
      </c>
      <c r="G3706" s="3" t="inlineStr">
        <is>
          <t>주식병합</t>
        </is>
      </c>
      <c r="H3706" s="17" t="n">
        <v>-240000</v>
      </c>
      <c r="I3706" s="6" t="inlineStr"/>
      <c r="J3706" s="6" t="n">
        <v>60000</v>
      </c>
      <c r="K3706" s="16" t="n">
        <v>8</v>
      </c>
      <c r="L3706" s="2" t="inlineStr">
        <is>
          <t>20260610000469</t>
        </is>
      </c>
      <c r="M3706" s="8">
        <f>HYPERLINK("https://dart.fss.or.kr/dsaf001/main.do?rcpNo=20260610000469", "공시열람")</f>
        <v/>
      </c>
    </row>
    <row r="3707" ht="22" customHeight="1">
      <c r="A3707" s="2" t="inlineStr">
        <is>
          <t>2026-06-10</t>
        </is>
      </c>
      <c r="B3707" s="3" t="inlineStr">
        <is>
          <t>세아홀딩스</t>
        </is>
      </c>
      <c r="C3707" s="2" t="inlineStr">
        <is>
          <t>058650</t>
        </is>
      </c>
      <c r="D3707" s="2" t="inlineStr">
        <is>
          <t>임원보고</t>
        </is>
      </c>
      <c r="E3707" s="3" t="inlineStr">
        <is>
          <t>-</t>
        </is>
      </c>
      <c r="F3707" s="3" t="inlineStr">
        <is>
          <t>-</t>
        </is>
      </c>
      <c r="G3707" s="3" t="inlineStr">
        <is>
          <t>-</t>
        </is>
      </c>
      <c r="H3707" s="6" t="inlineStr"/>
      <c r="I3707" s="6" t="inlineStr"/>
      <c r="J3707" s="6" t="inlineStr"/>
      <c r="K3707" s="16" t="n">
        <v>12</v>
      </c>
      <c r="L3707" s="2" t="inlineStr">
        <is>
          <t>20260610800662</t>
        </is>
      </c>
      <c r="M3707" s="8">
        <f>HYPERLINK("https://dart.fss.or.kr/dsaf001/main.do?rcpNo=20260610800662", "공시열람")</f>
        <v/>
      </c>
    </row>
    <row r="3708" ht="22" customHeight="1">
      <c r="A3708" s="2" t="inlineStr">
        <is>
          <t>2026-06-10</t>
        </is>
      </c>
      <c r="B3708" s="3" t="inlineStr">
        <is>
          <t>롯데칠성음료</t>
        </is>
      </c>
      <c r="C3708" s="2" t="inlineStr">
        <is>
          <t>005300</t>
        </is>
      </c>
      <c r="D3708" s="2" t="inlineStr">
        <is>
          <t>대량보유</t>
        </is>
      </c>
      <c r="E3708" s="3" t="inlineStr">
        <is>
          <t>(주)브이아이피자산운용</t>
        </is>
      </c>
      <c r="F3708" s="3" t="inlineStr">
        <is>
          <t>특별관계자</t>
        </is>
      </c>
      <c r="G3708" s="3" t="inlineStr">
        <is>
          <t>장내매도(-), 장내매수(+), 기타(-)</t>
        </is>
      </c>
      <c r="H3708" s="17" t="n">
        <v>-170093</v>
      </c>
      <c r="I3708" s="6" t="n">
        <v>113249</v>
      </c>
      <c r="J3708" s="6" t="n">
        <v>469583</v>
      </c>
      <c r="K3708" s="16" t="n">
        <v>5.06</v>
      </c>
      <c r="L3708" s="2" t="inlineStr">
        <is>
          <t>20260610000460</t>
        </is>
      </c>
      <c r="M3708" s="8">
        <f>HYPERLINK("https://dart.fss.or.kr/dsaf001/main.do?rcpNo=20260610000460", "공시열람")</f>
        <v/>
      </c>
    </row>
    <row r="3709" ht="22" customHeight="1">
      <c r="A3709" s="2" t="inlineStr">
        <is>
          <t>2026-06-10</t>
        </is>
      </c>
      <c r="B3709" s="3" t="inlineStr">
        <is>
          <t>체시스</t>
        </is>
      </c>
      <c r="C3709" s="2" t="inlineStr">
        <is>
          <t>033250</t>
        </is>
      </c>
      <c r="D3709" s="2" t="inlineStr">
        <is>
          <t>임원보고</t>
        </is>
      </c>
      <c r="E3709" s="3" t="inlineStr">
        <is>
          <t>-</t>
        </is>
      </c>
      <c r="F3709" s="3" t="inlineStr">
        <is>
          <t>-</t>
        </is>
      </c>
      <c r="G3709" s="3" t="inlineStr">
        <is>
          <t>-</t>
        </is>
      </c>
      <c r="H3709" s="6" t="inlineStr"/>
      <c r="I3709" s="6" t="inlineStr"/>
      <c r="J3709" s="6" t="inlineStr"/>
      <c r="K3709" s="16" t="n">
        <v>12</v>
      </c>
      <c r="L3709" s="2" t="inlineStr">
        <is>
          <t>20260610800659</t>
        </is>
      </c>
      <c r="M3709" s="8">
        <f>HYPERLINK("https://dart.fss.or.kr/dsaf001/main.do?rcpNo=20260610800659", "공시열람")</f>
        <v/>
      </c>
    </row>
    <row r="3710" ht="22" customHeight="1">
      <c r="A3710" s="2" t="inlineStr">
        <is>
          <t>2026-06-10</t>
        </is>
      </c>
      <c r="B3710" s="3" t="inlineStr">
        <is>
          <t>로젠</t>
        </is>
      </c>
      <c r="C3710" s="2" t="inlineStr">
        <is>
          <t>033290</t>
        </is>
      </c>
      <c r="D3710" s="2" t="inlineStr">
        <is>
          <t>대량보유</t>
        </is>
      </c>
      <c r="E3710" s="3" t="inlineStr">
        <is>
          <t>(주)대명화학</t>
        </is>
      </c>
      <c r="F3710" s="3" t="inlineStr">
        <is>
          <t>보고자</t>
        </is>
      </c>
      <c r="G3710" s="3" t="inlineStr">
        <is>
          <t>주식담보계약 등의 주요계약 일부변경(만기연장,추가담보)</t>
        </is>
      </c>
      <c r="H3710" s="6" t="inlineStr"/>
      <c r="I3710" s="6" t="inlineStr"/>
      <c r="J3710" s="6" t="n">
        <v>38047192</v>
      </c>
      <c r="K3710" s="16" t="n">
        <v>3</v>
      </c>
      <c r="L3710" s="2" t="inlineStr">
        <is>
          <t>20260610000458</t>
        </is>
      </c>
      <c r="M3710" s="8">
        <f>HYPERLINK("https://dart.fss.or.kr/dsaf001/main.do?rcpNo=20260610000458", "공시열람")</f>
        <v/>
      </c>
    </row>
    <row r="3711" ht="22" customHeight="1">
      <c r="A3711" s="2" t="inlineStr">
        <is>
          <t>2026-06-10</t>
        </is>
      </c>
      <c r="B3711" s="3" t="inlineStr">
        <is>
          <t>신원</t>
        </is>
      </c>
      <c r="C3711" s="2" t="inlineStr">
        <is>
          <t>009270</t>
        </is>
      </c>
      <c r="D3711" s="2" t="inlineStr">
        <is>
          <t>대량보유</t>
        </is>
      </c>
      <c r="E3711" s="3" t="inlineStr">
        <is>
          <t>(주)티앤엠커뮤니케이션즈</t>
        </is>
      </c>
      <c r="F3711" s="3" t="inlineStr">
        <is>
          <t>보고자</t>
        </is>
      </c>
      <c r="G3711" s="3" t="inlineStr">
        <is>
          <t>보고자의 주식담보대출 계약 변경</t>
        </is>
      </c>
      <c r="H3711" s="6" t="inlineStr"/>
      <c r="I3711" s="6" t="inlineStr"/>
      <c r="J3711" s="6" t="n">
        <v>30710314</v>
      </c>
      <c r="K3711" s="16" t="n">
        <v>3</v>
      </c>
      <c r="L3711" s="2" t="inlineStr">
        <is>
          <t>20260610000452</t>
        </is>
      </c>
      <c r="M3711" s="8">
        <f>HYPERLINK("https://dart.fss.or.kr/dsaf001/main.do?rcpNo=20260610000452", "공시열람")</f>
        <v/>
      </c>
    </row>
    <row r="3712" ht="22" customHeight="1">
      <c r="A3712" s="2" t="inlineStr">
        <is>
          <t>2026-06-10</t>
        </is>
      </c>
      <c r="B3712" s="3" t="inlineStr">
        <is>
          <t>삼지전자</t>
        </is>
      </c>
      <c r="C3712" s="2" t="inlineStr">
        <is>
          <t>037460</t>
        </is>
      </c>
      <c r="D3712" s="2" t="inlineStr">
        <is>
          <t>대량보유</t>
        </is>
      </c>
      <c r="E3712" s="3" t="inlineStr">
        <is>
          <t>(주)브이아이피자산운용</t>
        </is>
      </c>
      <c r="F3712" s="3" t="inlineStr">
        <is>
          <t>특별관계자</t>
        </is>
      </c>
      <c r="G3712" s="3" t="inlineStr">
        <is>
          <t>장내매수(+), 장내매도(-), 기타(-)</t>
        </is>
      </c>
      <c r="H3712" s="15" t="n">
        <v>235246</v>
      </c>
      <c r="I3712" s="6" t="n">
        <v>42412</v>
      </c>
      <c r="J3712" s="6" t="n">
        <v>1087386</v>
      </c>
      <c r="K3712" s="16" t="n">
        <v>6.66</v>
      </c>
      <c r="L3712" s="2" t="inlineStr">
        <is>
          <t>20260610000451</t>
        </is>
      </c>
      <c r="M3712" s="8">
        <f>HYPERLINK("https://dart.fss.or.kr/dsaf001/main.do?rcpNo=20260610000451", "공시열람")</f>
        <v/>
      </c>
    </row>
    <row r="3713" ht="22" customHeight="1">
      <c r="A3713" s="2" t="inlineStr">
        <is>
          <t>2026-06-10 (정정: 2026-06-19)</t>
        </is>
      </c>
      <c r="B3713" s="3" t="inlineStr">
        <is>
          <t>에이텍</t>
        </is>
      </c>
      <c r="C3713" s="2" t="inlineStr">
        <is>
          <t>045660</t>
        </is>
      </c>
      <c r="D3713" s="2" t="inlineStr">
        <is>
          <t>대량보유</t>
        </is>
      </c>
      <c r="E3713" s="3" t="inlineStr">
        <is>
          <t>-</t>
        </is>
      </c>
      <c r="F3713" s="3" t="inlineStr">
        <is>
          <t>보고자</t>
        </is>
      </c>
      <c r="G3713" s="3" t="inlineStr">
        <is>
          <t>-</t>
        </is>
      </c>
      <c r="H3713" s="6" t="inlineStr"/>
      <c r="I3713" s="6" t="inlineStr"/>
      <c r="J3713" s="6" t="inlineStr"/>
      <c r="K3713" s="18" t="inlineStr"/>
      <c r="L3713" s="2" t="inlineStr">
        <is>
          <t>20260619000542</t>
        </is>
      </c>
      <c r="M3713" s="8">
        <f>HYPERLINK("https://dart.fss.or.kr/dsaf001/main.do?rcpNo=20260619000542", "공시열람")</f>
        <v/>
      </c>
    </row>
    <row r="3714" ht="22" customHeight="1">
      <c r="A3714" s="2" t="inlineStr">
        <is>
          <t>2026-06-10</t>
        </is>
      </c>
      <c r="B3714" s="3" t="inlineStr">
        <is>
          <t>신영증권</t>
        </is>
      </c>
      <c r="C3714" s="2" t="inlineStr">
        <is>
          <t>001720</t>
        </is>
      </c>
      <c r="D3714" s="2" t="inlineStr">
        <is>
          <t>임원보고</t>
        </is>
      </c>
      <c r="E3714" s="3" t="inlineStr">
        <is>
          <t>-</t>
        </is>
      </c>
      <c r="F3714" s="3" t="inlineStr">
        <is>
          <t>-</t>
        </is>
      </c>
      <c r="G3714" s="3" t="inlineStr">
        <is>
          <t>-</t>
        </is>
      </c>
      <c r="H3714" s="6" t="inlineStr"/>
      <c r="I3714" s="6" t="inlineStr"/>
      <c r="J3714" s="6" t="inlineStr"/>
      <c r="K3714" s="16" t="n">
        <v>12</v>
      </c>
      <c r="L3714" s="2" t="inlineStr">
        <is>
          <t>20260610800647</t>
        </is>
      </c>
      <c r="M3714" s="8">
        <f>HYPERLINK("https://dart.fss.or.kr/dsaf001/main.do?rcpNo=20260610800647", "공시열람")</f>
        <v/>
      </c>
    </row>
    <row r="3715" ht="22" customHeight="1">
      <c r="A3715" s="2" t="inlineStr">
        <is>
          <t>2026-06-10</t>
        </is>
      </c>
      <c r="B3715" s="3" t="inlineStr">
        <is>
          <t>아이스크림미디어</t>
        </is>
      </c>
      <c r="C3715" s="2" t="inlineStr">
        <is>
          <t>461300</t>
        </is>
      </c>
      <c r="D3715" s="2" t="inlineStr">
        <is>
          <t>대량보유</t>
        </is>
      </c>
      <c r="E3715" s="3" t="inlineStr">
        <is>
          <t>(주)시공테크</t>
        </is>
      </c>
      <c r="F3715" s="3" t="inlineStr">
        <is>
          <t>보고자</t>
        </is>
      </c>
      <c r="G3715" s="3" t="inlineStr">
        <is>
          <t>특별관계인의 주식담보 계약 변경</t>
        </is>
      </c>
      <c r="H3715" s="6" t="inlineStr"/>
      <c r="I3715" s="6" t="inlineStr"/>
      <c r="J3715" s="6" t="n">
        <v>8182149</v>
      </c>
      <c r="K3715" s="16" t="n">
        <v>8</v>
      </c>
      <c r="L3715" s="2" t="inlineStr">
        <is>
          <t>20260610000448</t>
        </is>
      </c>
      <c r="M3715" s="8">
        <f>HYPERLINK("https://dart.fss.or.kr/dsaf001/main.do?rcpNo=20260610000448", "공시열람")</f>
        <v/>
      </c>
    </row>
    <row r="3716" ht="22" customHeight="1">
      <c r="A3716" s="2" t="inlineStr">
        <is>
          <t>2026-06-10</t>
        </is>
      </c>
      <c r="B3716" s="3" t="inlineStr">
        <is>
          <t>GC메디아이</t>
        </is>
      </c>
      <c r="C3716" s="2" t="inlineStr">
        <is>
          <t>032620</t>
        </is>
      </c>
      <c r="D3716" s="2" t="inlineStr">
        <is>
          <t>대량보유</t>
        </is>
      </c>
      <c r="E3716" s="3" t="inlineStr">
        <is>
          <t>권태훈</t>
        </is>
      </c>
      <c r="F3716" s="3" t="inlineStr">
        <is>
          <t>특별관계자</t>
        </is>
      </c>
      <c r="G3716" s="3" t="inlineStr">
        <is>
          <t>자사주상여금(+), 장내매수(+)</t>
        </is>
      </c>
      <c r="H3716" s="15" t="n">
        <v>22670</v>
      </c>
      <c r="I3716" s="6" t="n">
        <v>3484</v>
      </c>
      <c r="J3716" s="6" t="n">
        <v>22670</v>
      </c>
      <c r="K3716" s="16" t="n">
        <v>7</v>
      </c>
      <c r="L3716" s="2" t="inlineStr">
        <is>
          <t>20260610000446</t>
        </is>
      </c>
      <c r="M3716" s="8">
        <f>HYPERLINK("https://dart.fss.or.kr/dsaf001/main.do?rcpNo=20260610000446", "공시열람")</f>
        <v/>
      </c>
    </row>
    <row r="3717" ht="22" customHeight="1">
      <c r="A3717" s="2" t="inlineStr">
        <is>
          <t>2026-06-10</t>
        </is>
      </c>
      <c r="B3717" s="3" t="inlineStr">
        <is>
          <t>GC메디아이</t>
        </is>
      </c>
      <c r="C3717" s="2" t="inlineStr">
        <is>
          <t>032620</t>
        </is>
      </c>
      <c r="D3717" s="2" t="inlineStr">
        <is>
          <t>대량보유</t>
        </is>
      </c>
      <c r="E3717" s="3" t="inlineStr">
        <is>
          <t>김준혁</t>
        </is>
      </c>
      <c r="F3717" s="3" t="inlineStr">
        <is>
          <t>특별관계자</t>
        </is>
      </c>
      <c r="G3717" s="3" t="inlineStr">
        <is>
          <t>자사주상여금(+)</t>
        </is>
      </c>
      <c r="H3717" s="15" t="n">
        <v>2469</v>
      </c>
      <c r="I3717" s="6" t="n">
        <v>3745</v>
      </c>
      <c r="J3717" s="6" t="n">
        <v>2469</v>
      </c>
      <c r="K3717" s="16" t="n">
        <v>7</v>
      </c>
      <c r="L3717" s="2" t="inlineStr">
        <is>
          <t>20260610000446</t>
        </is>
      </c>
      <c r="M3717" s="8">
        <f>HYPERLINK("https://dart.fss.or.kr/dsaf001/main.do?rcpNo=20260610000446", "공시열람")</f>
        <v/>
      </c>
    </row>
    <row r="3718" ht="22" customHeight="1">
      <c r="A3718" s="2" t="inlineStr">
        <is>
          <t>2026-06-10</t>
        </is>
      </c>
      <c r="B3718" s="3" t="inlineStr">
        <is>
          <t>비트맥스</t>
        </is>
      </c>
      <c r="C3718" s="2" t="inlineStr">
        <is>
          <t>377030</t>
        </is>
      </c>
      <c r="D3718" s="2" t="inlineStr">
        <is>
          <t>대량보유</t>
        </is>
      </c>
      <c r="E3718" s="3" t="inlineStr">
        <is>
          <t>(주)한국첨단소재</t>
        </is>
      </c>
      <c r="F3718" s="3" t="inlineStr">
        <is>
          <t>특별관계자</t>
        </is>
      </c>
      <c r="G3718" s="3" t="inlineStr">
        <is>
          <t>CB인수(+)</t>
        </is>
      </c>
      <c r="H3718" s="15" t="n">
        <v>440276</v>
      </c>
      <c r="I3718" s="6" t="n">
        <v>2612</v>
      </c>
      <c r="J3718" s="6" t="n">
        <v>440276</v>
      </c>
      <c r="K3718" s="16" t="n">
        <v>3</v>
      </c>
      <c r="L3718" s="2" t="inlineStr">
        <is>
          <t>20260610000445</t>
        </is>
      </c>
      <c r="M3718" s="8">
        <f>HYPERLINK("https://dart.fss.or.kr/dsaf001/main.do?rcpNo=20260610000445", "공시열람")</f>
        <v/>
      </c>
    </row>
    <row r="3719" ht="22" customHeight="1">
      <c r="A3719" s="2" t="inlineStr">
        <is>
          <t>2026-06-10</t>
        </is>
      </c>
      <c r="B3719" s="3" t="inlineStr">
        <is>
          <t>비트맥스</t>
        </is>
      </c>
      <c r="C3719" s="2" t="inlineStr">
        <is>
          <t>377030</t>
        </is>
      </c>
      <c r="D3719" s="2" t="inlineStr">
        <is>
          <t>대량보유</t>
        </is>
      </c>
      <c r="E3719" s="3" t="inlineStr">
        <is>
          <t>에스밸류투자조합</t>
        </is>
      </c>
      <c r="F3719" s="3" t="inlineStr">
        <is>
          <t>특별관계자</t>
        </is>
      </c>
      <c r="G3719" s="3" t="inlineStr">
        <is>
          <t>CB인수(+)</t>
        </is>
      </c>
      <c r="H3719" s="15" t="n">
        <v>569044</v>
      </c>
      <c r="I3719" s="6" t="n">
        <v>2636</v>
      </c>
      <c r="J3719" s="6" t="n">
        <v>569044</v>
      </c>
      <c r="K3719" s="16" t="n">
        <v>3</v>
      </c>
      <c r="L3719" s="2" t="inlineStr">
        <is>
          <t>20260610000445</t>
        </is>
      </c>
      <c r="M3719" s="8">
        <f>HYPERLINK("https://dart.fss.or.kr/dsaf001/main.do?rcpNo=20260610000445", "공시열람")</f>
        <v/>
      </c>
    </row>
    <row r="3720" ht="22" customHeight="1">
      <c r="A3720" s="2" t="inlineStr">
        <is>
          <t>2026-06-10</t>
        </is>
      </c>
      <c r="B3720" s="3" t="inlineStr">
        <is>
          <t>F&amp;F</t>
        </is>
      </c>
      <c r="C3720" s="2" t="inlineStr">
        <is>
          <t>383220</t>
        </is>
      </c>
      <c r="D3720" s="2" t="inlineStr">
        <is>
          <t>대량보유</t>
        </is>
      </c>
      <c r="E3720" s="3" t="inlineStr">
        <is>
          <t>(주)브이아이피자산운용</t>
        </is>
      </c>
      <c r="F3720" s="3" t="inlineStr">
        <is>
          <t>특별관계자</t>
        </is>
      </c>
      <c r="G3720" s="3" t="inlineStr">
        <is>
          <t>장내매도(-), 장내매수(+), 기타(-), 기타(+)</t>
        </is>
      </c>
      <c r="H3720" s="17" t="n">
        <v>-577319</v>
      </c>
      <c r="I3720" s="6" t="n">
        <v>72046</v>
      </c>
      <c r="J3720" s="6" t="n">
        <v>2770858</v>
      </c>
      <c r="K3720" s="16" t="n">
        <v>7.23</v>
      </c>
      <c r="L3720" s="2" t="inlineStr">
        <is>
          <t>20260610000443</t>
        </is>
      </c>
      <c r="M3720" s="8">
        <f>HYPERLINK("https://dart.fss.or.kr/dsaf001/main.do?rcpNo=20260610000443", "공시열람")</f>
        <v/>
      </c>
    </row>
    <row r="3721" ht="22" customHeight="1">
      <c r="A3721" s="2" t="inlineStr">
        <is>
          <t>2026-06-10</t>
        </is>
      </c>
      <c r="B3721" s="3" t="inlineStr">
        <is>
          <t>리메드</t>
        </is>
      </c>
      <c r="C3721" s="2" t="inlineStr">
        <is>
          <t>302550</t>
        </is>
      </c>
      <c r="D3721" s="2" t="inlineStr">
        <is>
          <t>대량보유</t>
        </is>
      </c>
      <c r="E3721" s="3" t="inlineStr">
        <is>
          <t>이근용</t>
        </is>
      </c>
      <c r="F3721" s="3" t="inlineStr">
        <is>
          <t>보고자</t>
        </is>
      </c>
      <c r="G3721" s="3" t="inlineStr">
        <is>
          <t>보고자 및 특별관계자의 주식담보대출 변경</t>
        </is>
      </c>
      <c r="H3721" s="6" t="inlineStr"/>
      <c r="I3721" s="6" t="inlineStr"/>
      <c r="J3721" s="6" t="n">
        <v>11166076</v>
      </c>
      <c r="K3721" s="16" t="n">
        <v>10</v>
      </c>
      <c r="L3721" s="2" t="inlineStr">
        <is>
          <t>20260610000435</t>
        </is>
      </c>
      <c r="M3721" s="8">
        <f>HYPERLINK("https://dart.fss.or.kr/dsaf001/main.do?rcpNo=20260610000435", "공시열람")</f>
        <v/>
      </c>
    </row>
    <row r="3722" ht="22" customHeight="1">
      <c r="A3722" s="2" t="inlineStr">
        <is>
          <t>2026-06-10</t>
        </is>
      </c>
      <c r="B3722" s="3" t="inlineStr">
        <is>
          <t>미스토홀딩스</t>
        </is>
      </c>
      <c r="C3722" s="2" t="inlineStr">
        <is>
          <t>081660</t>
        </is>
      </c>
      <c r="D3722" s="2" t="inlineStr">
        <is>
          <t>대량보유</t>
        </is>
      </c>
      <c r="E3722" s="3" t="inlineStr">
        <is>
          <t>(주)피에몬테</t>
        </is>
      </c>
      <c r="F3722" s="3" t="inlineStr">
        <is>
          <t>특별관계자</t>
        </is>
      </c>
      <c r="G3722" s="3" t="inlineStr">
        <is>
          <t>주식담보 대출 만기 연장</t>
        </is>
      </c>
      <c r="H3722" s="6" t="inlineStr"/>
      <c r="I3722" s="6" t="inlineStr"/>
      <c r="J3722" s="6" t="n">
        <v>21522814</v>
      </c>
      <c r="K3722" s="16" t="n">
        <v>3</v>
      </c>
      <c r="L3722" s="2" t="inlineStr">
        <is>
          <t>20260610000430</t>
        </is>
      </c>
      <c r="M3722" s="8">
        <f>HYPERLINK("https://dart.fss.or.kr/dsaf001/main.do?rcpNo=20260610000430", "공시열람")</f>
        <v/>
      </c>
    </row>
    <row r="3723" ht="22" customHeight="1">
      <c r="A3723" s="2" t="inlineStr">
        <is>
          <t>2026-06-10</t>
        </is>
      </c>
      <c r="B3723" s="3" t="inlineStr">
        <is>
          <t>에이프로젠</t>
        </is>
      </c>
      <c r="C3723" s="2" t="inlineStr">
        <is>
          <t>007460</t>
        </is>
      </c>
      <c r="D3723" s="2" t="inlineStr">
        <is>
          <t>대량보유</t>
        </is>
      </c>
      <c r="E3723" s="3" t="inlineStr">
        <is>
          <t>(주)하베스트로즈</t>
        </is>
      </c>
      <c r="F3723" s="3" t="inlineStr">
        <is>
          <t>특별관계자</t>
        </is>
      </c>
      <c r="G3723" s="3" t="inlineStr">
        <is>
          <t>장외매도(-)</t>
        </is>
      </c>
      <c r="H3723" s="17" t="n">
        <v>-703400</v>
      </c>
      <c r="I3723" s="6" t="n">
        <v>6611</v>
      </c>
      <c r="J3723" s="6" t="n">
        <v>3282532</v>
      </c>
      <c r="K3723" s="16" t="n">
        <v>12.21</v>
      </c>
      <c r="L3723" s="2" t="inlineStr">
        <is>
          <t>20260610000429</t>
        </is>
      </c>
      <c r="M3723" s="8">
        <f>HYPERLINK("https://dart.fss.or.kr/dsaf001/main.do?rcpNo=20260610000429", "공시열람")</f>
        <v/>
      </c>
    </row>
    <row r="3724" ht="22" customHeight="1">
      <c r="A3724" s="2" t="inlineStr">
        <is>
          <t>2026-06-10</t>
        </is>
      </c>
      <c r="B3724" s="3" t="inlineStr">
        <is>
          <t>한국석유공업</t>
        </is>
      </c>
      <c r="C3724" s="2" t="inlineStr">
        <is>
          <t>004090</t>
        </is>
      </c>
      <c r="D3724" s="2" t="inlineStr">
        <is>
          <t>대량보유</t>
        </is>
      </c>
      <c r="E3724" s="3" t="inlineStr">
        <is>
          <t>강해인</t>
        </is>
      </c>
      <c r="F3724" s="3" t="inlineStr">
        <is>
          <t>특별관계자</t>
        </is>
      </c>
      <c r="G3724" s="3" t="inlineStr">
        <is>
          <t>장내매도(-), 장내매수(+)</t>
        </is>
      </c>
      <c r="H3724" s="17" t="n">
        <v>-82160</v>
      </c>
      <c r="I3724" s="6" t="n">
        <v>23755</v>
      </c>
      <c r="J3724" s="6" t="inlineStr"/>
      <c r="K3724" s="16" t="n">
        <v>16</v>
      </c>
      <c r="L3724" s="2" t="inlineStr">
        <is>
          <t>20260610000417</t>
        </is>
      </c>
      <c r="M3724" s="8">
        <f>HYPERLINK("https://dart.fss.or.kr/dsaf001/main.do?rcpNo=20260610000417", "공시열람")</f>
        <v/>
      </c>
    </row>
    <row r="3725" ht="22" customHeight="1">
      <c r="A3725" s="2" t="inlineStr">
        <is>
          <t>2026-06-10</t>
        </is>
      </c>
      <c r="B3725" s="3" t="inlineStr">
        <is>
          <t>한국석유공업</t>
        </is>
      </c>
      <c r="C3725" s="2" t="inlineStr">
        <is>
          <t>004090</t>
        </is>
      </c>
      <c r="D3725" s="2" t="inlineStr">
        <is>
          <t>대량보유</t>
        </is>
      </c>
      <c r="E3725" s="3" t="inlineStr">
        <is>
          <t>강성구</t>
        </is>
      </c>
      <c r="F3725" s="3" t="inlineStr">
        <is>
          <t>특별관계자</t>
        </is>
      </c>
      <c r="G3725" s="3" t="inlineStr">
        <is>
          <t>장내매도(-)</t>
        </is>
      </c>
      <c r="H3725" s="17" t="n">
        <v>-10000</v>
      </c>
      <c r="I3725" s="6" t="n">
        <v>18703</v>
      </c>
      <c r="J3725" s="6" t="n">
        <v>10000</v>
      </c>
      <c r="K3725" s="16" t="n">
        <v>16</v>
      </c>
      <c r="L3725" s="2" t="inlineStr">
        <is>
          <t>20260610000417</t>
        </is>
      </c>
      <c r="M3725" s="8">
        <f>HYPERLINK("https://dart.fss.or.kr/dsaf001/main.do?rcpNo=20260610000417", "공시열람")</f>
        <v/>
      </c>
    </row>
    <row r="3726" ht="22" customHeight="1">
      <c r="A3726" s="2" t="inlineStr">
        <is>
          <t>2026-06-10</t>
        </is>
      </c>
      <c r="B3726" s="3" t="inlineStr">
        <is>
          <t>한국석유공업</t>
        </is>
      </c>
      <c r="C3726" s="2" t="inlineStr">
        <is>
          <t>004090</t>
        </is>
      </c>
      <c r="D3726" s="2" t="inlineStr">
        <is>
          <t>대량보유</t>
        </is>
      </c>
      <c r="E3726" s="3" t="inlineStr">
        <is>
          <t>최혜영</t>
        </is>
      </c>
      <c r="F3726" s="3" t="inlineStr">
        <is>
          <t>특별관계자</t>
        </is>
      </c>
      <c r="G3726" s="3" t="inlineStr">
        <is>
          <t>장내매도(-)</t>
        </is>
      </c>
      <c r="H3726" s="17" t="n">
        <v>-10000</v>
      </c>
      <c r="I3726" s="6" t="n">
        <v>19086</v>
      </c>
      <c r="J3726" s="6" t="n">
        <v>41000</v>
      </c>
      <c r="K3726" s="16" t="n">
        <v>16</v>
      </c>
      <c r="L3726" s="2" t="inlineStr">
        <is>
          <t>20260610000417</t>
        </is>
      </c>
      <c r="M3726" s="8">
        <f>HYPERLINK("https://dart.fss.or.kr/dsaf001/main.do?rcpNo=20260610000417", "공시열람")</f>
        <v/>
      </c>
    </row>
    <row r="3727" ht="22" customHeight="1">
      <c r="A3727" s="2" t="inlineStr">
        <is>
          <t>2026-06-10</t>
        </is>
      </c>
      <c r="B3727" s="3" t="inlineStr">
        <is>
          <t>HLB펩</t>
        </is>
      </c>
      <c r="C3727" s="2" t="inlineStr">
        <is>
          <t>196300</t>
        </is>
      </c>
      <c r="D3727" s="2" t="inlineStr">
        <is>
          <t>대량보유</t>
        </is>
      </c>
      <c r="E3727" s="3" t="inlineStr">
        <is>
          <t>그레이스신기술조합제75호</t>
        </is>
      </c>
      <c r="F3727" s="3" t="inlineStr">
        <is>
          <t>특별관계자</t>
        </is>
      </c>
      <c r="G3727" s="3" t="inlineStr">
        <is>
          <t>기타(-)</t>
        </is>
      </c>
      <c r="H3727" s="17" t="n">
        <v>-616994</v>
      </c>
      <c r="I3727" s="6" t="n">
        <v>0</v>
      </c>
      <c r="J3727" s="6" t="n">
        <v>264425</v>
      </c>
      <c r="K3727" s="16" t="n">
        <v>75</v>
      </c>
      <c r="L3727" s="2" t="inlineStr">
        <is>
          <t>20260610000407</t>
        </is>
      </c>
      <c r="M3727" s="8">
        <f>HYPERLINK("https://dart.fss.or.kr/dsaf001/main.do?rcpNo=20260610000407", "공시열람")</f>
        <v/>
      </c>
    </row>
    <row r="3728" ht="22" customHeight="1">
      <c r="A3728" s="2" t="inlineStr">
        <is>
          <t>2026-06-10</t>
        </is>
      </c>
      <c r="B3728" s="3" t="inlineStr">
        <is>
          <t>HLB펩</t>
        </is>
      </c>
      <c r="C3728" s="2" t="inlineStr">
        <is>
          <t>196300</t>
        </is>
      </c>
      <c r="D3728" s="2" t="inlineStr">
        <is>
          <t>대량보유</t>
        </is>
      </c>
      <c r="E3728" s="3" t="inlineStr">
        <is>
          <t>(주)이스트게이트인베스트먼트</t>
        </is>
      </c>
      <c r="F3728" s="3" t="inlineStr">
        <is>
          <t>특별관계자</t>
        </is>
      </c>
      <c r="G3728" s="3" t="inlineStr">
        <is>
          <t>기타(+)</t>
        </is>
      </c>
      <c r="H3728" s="15" t="n">
        <v>6169</v>
      </c>
      <c r="I3728" s="6" t="n">
        <v>8509</v>
      </c>
      <c r="J3728" s="6" t="n">
        <v>6169</v>
      </c>
      <c r="K3728" s="16" t="n">
        <v>75</v>
      </c>
      <c r="L3728" s="2" t="inlineStr">
        <is>
          <t>20260610000407</t>
        </is>
      </c>
      <c r="M3728" s="8">
        <f>HYPERLINK("https://dart.fss.or.kr/dsaf001/main.do?rcpNo=20260610000407", "공시열람")</f>
        <v/>
      </c>
    </row>
    <row r="3729" ht="22" customHeight="1">
      <c r="A3729" s="2" t="inlineStr">
        <is>
          <t>2026-06-10</t>
        </is>
      </c>
      <c r="B3729" s="3" t="inlineStr">
        <is>
          <t>SK오션플랜트</t>
        </is>
      </c>
      <c r="C3729" s="2" t="inlineStr">
        <is>
          <t>100090</t>
        </is>
      </c>
      <c r="D3729" s="2" t="inlineStr">
        <is>
          <t>대량보유</t>
        </is>
      </c>
      <c r="E3729" s="3" t="inlineStr">
        <is>
          <t>송무석</t>
        </is>
      </c>
      <c r="F3729" s="3" t="inlineStr">
        <is>
          <t>보고자</t>
        </is>
      </c>
      <c r="G3729" s="3" t="inlineStr">
        <is>
          <t>담보계약 변경(담보수량 변경)</t>
        </is>
      </c>
      <c r="H3729" s="6" t="inlineStr"/>
      <c r="I3729" s="6" t="inlineStr"/>
      <c r="J3729" s="6" t="n">
        <v>5505658</v>
      </c>
      <c r="K3729" s="16" t="n">
        <v>4</v>
      </c>
      <c r="L3729" s="2" t="inlineStr">
        <is>
          <t>20260610000395</t>
        </is>
      </c>
      <c r="M3729" s="8">
        <f>HYPERLINK("https://dart.fss.or.kr/dsaf001/main.do?rcpNo=20260610000395", "공시열람")</f>
        <v/>
      </c>
    </row>
    <row r="3730" ht="22" customHeight="1">
      <c r="A3730" s="2" t="inlineStr">
        <is>
          <t>2026-06-10</t>
        </is>
      </c>
      <c r="B3730" s="3" t="inlineStr">
        <is>
          <t>오비고</t>
        </is>
      </c>
      <c r="C3730" s="2" t="inlineStr">
        <is>
          <t>352910</t>
        </is>
      </c>
      <c r="D3730" s="2" t="inlineStr">
        <is>
          <t>대량보유</t>
        </is>
      </c>
      <c r="E3730" s="3" t="inlineStr">
        <is>
          <t>장영준</t>
        </is>
      </c>
      <c r="F3730" s="3" t="inlineStr">
        <is>
          <t>특별관계자</t>
        </is>
      </c>
      <c r="G3730" s="3" t="inlineStr">
        <is>
          <t>장내매수(+)</t>
        </is>
      </c>
      <c r="H3730" s="15" t="n">
        <v>3487</v>
      </c>
      <c r="I3730" s="6" t="n">
        <v>4602</v>
      </c>
      <c r="J3730" s="6" t="n">
        <v>2864417</v>
      </c>
      <c r="K3730" s="16" t="n">
        <v>6</v>
      </c>
      <c r="L3730" s="2" t="inlineStr">
        <is>
          <t>20260610000381</t>
        </is>
      </c>
      <c r="M3730" s="8">
        <f>HYPERLINK("https://dart.fss.or.kr/dsaf001/main.do?rcpNo=20260610000381", "공시열람")</f>
        <v/>
      </c>
    </row>
    <row r="3731" ht="22" customHeight="1">
      <c r="A3731" s="2" t="inlineStr">
        <is>
          <t>2026-06-10</t>
        </is>
      </c>
      <c r="B3731" s="3" t="inlineStr">
        <is>
          <t>오비고</t>
        </is>
      </c>
      <c r="C3731" s="2" t="inlineStr">
        <is>
          <t>352910</t>
        </is>
      </c>
      <c r="D3731" s="2" t="inlineStr">
        <is>
          <t>대량보유</t>
        </is>
      </c>
      <c r="E3731" s="3" t="inlineStr">
        <is>
          <t>장은우</t>
        </is>
      </c>
      <c r="F3731" s="3" t="inlineStr">
        <is>
          <t>특별관계자</t>
        </is>
      </c>
      <c r="G3731" s="3" t="inlineStr">
        <is>
          <t>장내매수(+)</t>
        </is>
      </c>
      <c r="H3731" s="15" t="n">
        <v>2304</v>
      </c>
      <c r="I3731" s="6" t="n">
        <v>4333</v>
      </c>
      <c r="J3731" s="6" t="n">
        <v>7911</v>
      </c>
      <c r="K3731" s="16" t="n">
        <v>6</v>
      </c>
      <c r="L3731" s="2" t="inlineStr">
        <is>
          <t>20260610000381</t>
        </is>
      </c>
      <c r="M3731" s="8">
        <f>HYPERLINK("https://dart.fss.or.kr/dsaf001/main.do?rcpNo=20260610000381", "공시열람")</f>
        <v/>
      </c>
    </row>
    <row r="3732" ht="22" customHeight="1">
      <c r="A3732" s="2" t="inlineStr">
        <is>
          <t>2026-06-10</t>
        </is>
      </c>
      <c r="B3732" s="3" t="inlineStr">
        <is>
          <t>오비고</t>
        </is>
      </c>
      <c r="C3732" s="2" t="inlineStr">
        <is>
          <t>352910</t>
        </is>
      </c>
      <c r="D3732" s="2" t="inlineStr">
        <is>
          <t>대량보유</t>
        </is>
      </c>
      <c r="E3732" s="3" t="inlineStr">
        <is>
          <t>장은제</t>
        </is>
      </c>
      <c r="F3732" s="3" t="inlineStr">
        <is>
          <t>특별관계자</t>
        </is>
      </c>
      <c r="G3732" s="3" t="inlineStr">
        <is>
          <t>장내매수(+)</t>
        </is>
      </c>
      <c r="H3732" s="15" t="n">
        <v>2292</v>
      </c>
      <c r="I3732" s="6" t="n">
        <v>4355</v>
      </c>
      <c r="J3732" s="6" t="n">
        <v>7946</v>
      </c>
      <c r="K3732" s="16" t="n">
        <v>6</v>
      </c>
      <c r="L3732" s="2" t="inlineStr">
        <is>
          <t>20260610000381</t>
        </is>
      </c>
      <c r="M3732" s="8">
        <f>HYPERLINK("https://dart.fss.or.kr/dsaf001/main.do?rcpNo=20260610000381", "공시열람")</f>
        <v/>
      </c>
    </row>
    <row r="3733" ht="22" customHeight="1">
      <c r="A3733" s="2" t="inlineStr">
        <is>
          <t>2026-06-10</t>
        </is>
      </c>
      <c r="B3733" s="3" t="inlineStr">
        <is>
          <t>이엠텍</t>
        </is>
      </c>
      <c r="C3733" s="2" t="inlineStr">
        <is>
          <t>091120</t>
        </is>
      </c>
      <c r="D3733" s="2" t="inlineStr">
        <is>
          <t>대량보유</t>
        </is>
      </c>
      <c r="E3733" s="3" t="inlineStr">
        <is>
          <t>정승규</t>
        </is>
      </c>
      <c r="F3733" s="3" t="inlineStr">
        <is>
          <t>보고자</t>
        </is>
      </c>
      <c r="G3733" s="3" t="inlineStr">
        <is>
          <t>- 주식담보대출 계약의 대출 일부상환</t>
        </is>
      </c>
      <c r="H3733" s="6" t="inlineStr"/>
      <c r="I3733" s="6" t="inlineStr"/>
      <c r="J3733" s="6" t="n">
        <v>2524866</v>
      </c>
      <c r="K3733" s="16" t="n">
        <v>6</v>
      </c>
      <c r="L3733" s="2" t="inlineStr">
        <is>
          <t>20260610000354</t>
        </is>
      </c>
      <c r="M3733" s="8">
        <f>HYPERLINK("https://dart.fss.or.kr/dsaf001/main.do?rcpNo=20260610000354", "공시열람")</f>
        <v/>
      </c>
    </row>
    <row r="3734" ht="22" customHeight="1">
      <c r="A3734" s="2" t="inlineStr">
        <is>
          <t>2026-06-10</t>
        </is>
      </c>
      <c r="B3734" s="3" t="inlineStr">
        <is>
          <t>모다이노칩</t>
        </is>
      </c>
      <c r="C3734" s="2" t="inlineStr">
        <is>
          <t>080420</t>
        </is>
      </c>
      <c r="D3734" s="2" t="inlineStr">
        <is>
          <t>대량보유</t>
        </is>
      </c>
      <c r="E3734" s="3" t="inlineStr">
        <is>
          <t>(주)대명화학</t>
        </is>
      </c>
      <c r="F3734" s="3" t="inlineStr">
        <is>
          <t>보고자</t>
        </is>
      </c>
      <c r="G3734" s="3" t="inlineStr">
        <is>
          <t>[변경] 주식담보계약 등의 주요계약 일부변경(추가담보, 만기연장)</t>
        </is>
      </c>
      <c r="H3734" s="6" t="inlineStr"/>
      <c r="I3734" s="6" t="inlineStr"/>
      <c r="J3734" s="6" t="n">
        <v>60344962</v>
      </c>
      <c r="K3734" s="16" t="n">
        <v>1</v>
      </c>
      <c r="L3734" s="2" t="inlineStr">
        <is>
          <t>20260610000341</t>
        </is>
      </c>
      <c r="M3734" s="8">
        <f>HYPERLINK("https://dart.fss.or.kr/dsaf001/main.do?rcpNo=20260610000341", "공시열람")</f>
        <v/>
      </c>
    </row>
    <row r="3735" ht="22" customHeight="1">
      <c r="A3735" s="2" t="inlineStr">
        <is>
          <t>2026-06-10</t>
        </is>
      </c>
      <c r="B3735" s="3" t="inlineStr">
        <is>
          <t>SOOP</t>
        </is>
      </c>
      <c r="C3735" s="2" t="inlineStr">
        <is>
          <t>067160</t>
        </is>
      </c>
      <c r="D3735" s="2" t="inlineStr">
        <is>
          <t>대량보유</t>
        </is>
      </c>
      <c r="E3735" s="3" t="inlineStr">
        <is>
          <t>UBSAG</t>
        </is>
      </c>
      <c r="F3735" s="3" t="inlineStr">
        <is>
          <t>특별관계자</t>
        </is>
      </c>
      <c r="G3735" s="3" t="inlineStr">
        <is>
          <t>장내매도(-), 기타(-), 장내매수(+)</t>
        </is>
      </c>
      <c r="H3735" s="15" t="n">
        <v>2985</v>
      </c>
      <c r="I3735" s="6" t="n">
        <v>50520</v>
      </c>
      <c r="J3735" s="6" t="n">
        <v>881967</v>
      </c>
      <c r="K3735" s="16" t="n">
        <v>1</v>
      </c>
      <c r="L3735" s="2" t="inlineStr">
        <is>
          <t>20260610000324</t>
        </is>
      </c>
      <c r="M3735" s="8">
        <f>HYPERLINK("https://dart.fss.or.kr/dsaf001/main.do?rcpNo=20260610000324", "공시열람")</f>
        <v/>
      </c>
    </row>
    <row r="3736" ht="22" customHeight="1">
      <c r="A3736" s="2" t="inlineStr">
        <is>
          <t>2026-06-10</t>
        </is>
      </c>
      <c r="B3736" s="3" t="inlineStr">
        <is>
          <t>SOOP</t>
        </is>
      </c>
      <c r="C3736" s="2" t="inlineStr">
        <is>
          <t>067160</t>
        </is>
      </c>
      <c r="D3736" s="2" t="inlineStr">
        <is>
          <t>대량보유</t>
        </is>
      </c>
      <c r="E3736" s="3" t="inlineStr">
        <is>
          <t>UBSFundManagement(Switzerland)AG(KYBURG-AKTIENEMERGINGMARKETSIV(CH0614-F-Account)</t>
        </is>
      </c>
      <c r="F3736" s="3" t="inlineStr">
        <is>
          <t>특별관계자</t>
        </is>
      </c>
      <c r="G3736" s="3" t="inlineStr">
        <is>
          <t>장내매도(-)</t>
        </is>
      </c>
      <c r="H3736" s="17" t="n">
        <v>-940</v>
      </c>
      <c r="I3736" s="6" t="n">
        <v>50400</v>
      </c>
      <c r="J3736" s="6" t="inlineStr"/>
      <c r="K3736" s="16" t="n">
        <v>1</v>
      </c>
      <c r="L3736" s="2" t="inlineStr">
        <is>
          <t>20260610000324</t>
        </is>
      </c>
      <c r="M3736" s="8">
        <f>HYPERLINK("https://dart.fss.or.kr/dsaf001/main.do?rcpNo=20260610000324", "공시열람")</f>
        <v/>
      </c>
    </row>
    <row r="3737" ht="22" customHeight="1">
      <c r="A3737" s="2" t="inlineStr">
        <is>
          <t>2026-06-10</t>
        </is>
      </c>
      <c r="B3737" s="3" t="inlineStr">
        <is>
          <t>SOOP</t>
        </is>
      </c>
      <c r="C3737" s="2" t="inlineStr">
        <is>
          <t>067160</t>
        </is>
      </c>
      <c r="D3737" s="2" t="inlineStr">
        <is>
          <t>대량보유</t>
        </is>
      </c>
      <c r="E3737" s="3" t="inlineStr">
        <is>
          <t>UBSFundManagement(Switzerland)AG(PUBEquitiesEmergingMarkets1:3487)</t>
        </is>
      </c>
      <c r="F3737" s="3" t="inlineStr">
        <is>
          <t>특별관계자</t>
        </is>
      </c>
      <c r="G3737" s="3" t="inlineStr">
        <is>
          <t>장내매도(-)</t>
        </is>
      </c>
      <c r="H3737" s="17" t="n">
        <v>-2682</v>
      </c>
      <c r="I3737" s="6" t="n">
        <v>50288</v>
      </c>
      <c r="J3737" s="6" t="inlineStr"/>
      <c r="K3737" s="16" t="n">
        <v>1</v>
      </c>
      <c r="L3737" s="2" t="inlineStr">
        <is>
          <t>20260610000324</t>
        </is>
      </c>
      <c r="M3737" s="8">
        <f>HYPERLINK("https://dart.fss.or.kr/dsaf001/main.do?rcpNo=20260610000324", "공시열람")</f>
        <v/>
      </c>
    </row>
    <row r="3738" ht="22" customHeight="1">
      <c r="A3738" s="2" t="inlineStr">
        <is>
          <t>2026-06-10</t>
        </is>
      </c>
      <c r="B3738" s="3" t="inlineStr">
        <is>
          <t>제이앤티씨</t>
        </is>
      </c>
      <c r="C3738" s="2" t="inlineStr">
        <is>
          <t>204270</t>
        </is>
      </c>
      <c r="D3738" s="2" t="inlineStr">
        <is>
          <t>대량보유</t>
        </is>
      </c>
      <c r="E3738" s="3" t="inlineStr">
        <is>
          <t>(주)진우엔지니어링</t>
        </is>
      </c>
      <c r="F3738" s="3" t="inlineStr">
        <is>
          <t>보고자</t>
        </is>
      </c>
      <c r="G3738" s="3" t="inlineStr">
        <is>
          <t>주식담보대출 만기 전 상환에 따른 변경</t>
        </is>
      </c>
      <c r="H3738" s="6" t="inlineStr"/>
      <c r="I3738" s="6" t="inlineStr"/>
      <c r="J3738" s="6" t="n">
        <v>38101397</v>
      </c>
      <c r="K3738" s="16" t="n">
        <v>4</v>
      </c>
      <c r="L3738" s="2" t="inlineStr">
        <is>
          <t>20260610000306</t>
        </is>
      </c>
      <c r="M3738" s="8">
        <f>HYPERLINK("https://dart.fss.or.kr/dsaf001/main.do?rcpNo=20260610000306", "공시열람")</f>
        <v/>
      </c>
    </row>
    <row r="3739" ht="22" customHeight="1">
      <c r="A3739" s="2" t="inlineStr">
        <is>
          <t>2026-06-10</t>
        </is>
      </c>
      <c r="B3739" s="3" t="inlineStr">
        <is>
          <t>일정실업</t>
        </is>
      </c>
      <c r="C3739" s="2" t="inlineStr">
        <is>
          <t>008500</t>
        </is>
      </c>
      <c r="D3739" s="2" t="inlineStr">
        <is>
          <t>임원보고</t>
        </is>
      </c>
      <c r="E3739" s="3" t="inlineStr">
        <is>
          <t>-</t>
        </is>
      </c>
      <c r="F3739" s="3" t="inlineStr">
        <is>
          <t>-</t>
        </is>
      </c>
      <c r="G3739" s="3" t="inlineStr">
        <is>
          <t>-</t>
        </is>
      </c>
      <c r="H3739" s="6" t="inlineStr"/>
      <c r="I3739" s="6" t="inlineStr"/>
      <c r="J3739" s="6" t="inlineStr"/>
      <c r="K3739" s="16" t="n">
        <v>12</v>
      </c>
      <c r="L3739" s="2" t="inlineStr">
        <is>
          <t>20260610800435</t>
        </is>
      </c>
      <c r="M3739" s="8">
        <f>HYPERLINK("https://dart.fss.or.kr/dsaf001/main.do?rcpNo=20260610800435", "공시열람")</f>
        <v/>
      </c>
    </row>
    <row r="3740" ht="22" customHeight="1">
      <c r="A3740" s="2" t="inlineStr">
        <is>
          <t>2026-06-10</t>
        </is>
      </c>
      <c r="B3740" s="3" t="inlineStr">
        <is>
          <t>에이원큐브텍</t>
        </is>
      </c>
      <c r="C3740" s="2" t="inlineStr">
        <is>
          <t>234070</t>
        </is>
      </c>
      <c r="D3740" s="2" t="inlineStr">
        <is>
          <t>대량보유</t>
        </is>
      </c>
      <c r="E3740" s="3" t="inlineStr">
        <is>
          <t>안시현</t>
        </is>
      </c>
      <c r="F3740" s="3" t="inlineStr">
        <is>
          <t>특별관계자</t>
        </is>
      </c>
      <c r="G3740" s="3" t="inlineStr">
        <is>
          <t>장내매수(+)</t>
        </is>
      </c>
      <c r="H3740" s="15" t="n">
        <v>95000</v>
      </c>
      <c r="I3740" s="6" t="n">
        <v>750</v>
      </c>
      <c r="J3740" s="6" t="n">
        <v>95000</v>
      </c>
      <c r="K3740" s="16" t="n">
        <v>8</v>
      </c>
      <c r="L3740" s="2" t="inlineStr">
        <is>
          <t>20260610000296</t>
        </is>
      </c>
      <c r="M3740" s="8">
        <f>HYPERLINK("https://dart.fss.or.kr/dsaf001/main.do?rcpNo=20260610000296", "공시열람")</f>
        <v/>
      </c>
    </row>
    <row r="3741" ht="22" customHeight="1">
      <c r="A3741" s="2" t="inlineStr">
        <is>
          <t>2026-06-10</t>
        </is>
      </c>
      <c r="B3741" s="3" t="inlineStr">
        <is>
          <t>에이원큐브텍</t>
        </is>
      </c>
      <c r="C3741" s="2" t="inlineStr">
        <is>
          <t>234070</t>
        </is>
      </c>
      <c r="D3741" s="2" t="inlineStr">
        <is>
          <t>대량보유</t>
        </is>
      </c>
      <c r="E3741" s="3" t="inlineStr">
        <is>
          <t>안용하</t>
        </is>
      </c>
      <c r="F3741" s="3" t="inlineStr">
        <is>
          <t>특별관계자</t>
        </is>
      </c>
      <c r="G3741" s="3" t="inlineStr">
        <is>
          <t>장내매수(+)</t>
        </is>
      </c>
      <c r="H3741" s="15" t="n">
        <v>15117</v>
      </c>
      <c r="I3741" s="6" t="n">
        <v>750</v>
      </c>
      <c r="J3741" s="6" t="n">
        <v>15117</v>
      </c>
      <c r="K3741" s="16" t="n">
        <v>8</v>
      </c>
      <c r="L3741" s="2" t="inlineStr">
        <is>
          <t>20260610000296</t>
        </is>
      </c>
      <c r="M3741" s="8">
        <f>HYPERLINK("https://dart.fss.or.kr/dsaf001/main.do?rcpNo=20260610000296", "공시열람")</f>
        <v/>
      </c>
    </row>
    <row r="3742" ht="22" customHeight="1">
      <c r="A3742" s="2" t="inlineStr">
        <is>
          <t>2026-06-10</t>
        </is>
      </c>
      <c r="B3742" s="3" t="inlineStr">
        <is>
          <t>웨이버스</t>
        </is>
      </c>
      <c r="C3742" s="2" t="inlineStr">
        <is>
          <t>336060</t>
        </is>
      </c>
      <c r="D3742" s="2" t="inlineStr">
        <is>
          <t>대량보유</t>
        </is>
      </c>
      <c r="E3742" s="3" t="inlineStr">
        <is>
          <t>김학성</t>
        </is>
      </c>
      <c r="F3742" s="3" t="inlineStr">
        <is>
          <t>특별관계자</t>
        </is>
      </c>
      <c r="G3742" s="3" t="inlineStr">
        <is>
          <t>장내매수(+)</t>
        </is>
      </c>
      <c r="H3742" s="15" t="n">
        <v>152387</v>
      </c>
      <c r="I3742" s="6" t="n">
        <v>787</v>
      </c>
      <c r="J3742" s="6" t="n">
        <v>12155411</v>
      </c>
      <c r="K3742" s="16" t="n">
        <v>15</v>
      </c>
      <c r="L3742" s="2" t="inlineStr">
        <is>
          <t>20260610000255</t>
        </is>
      </c>
      <c r="M3742" s="8">
        <f>HYPERLINK("https://dart.fss.or.kr/dsaf001/main.do?rcpNo=20260610000255", "공시열람")</f>
        <v/>
      </c>
    </row>
    <row r="3743" ht="22" customHeight="1">
      <c r="A3743" s="2" t="inlineStr">
        <is>
          <t>2026-06-10</t>
        </is>
      </c>
      <c r="B3743" s="3" t="inlineStr">
        <is>
          <t>웨이버스</t>
        </is>
      </c>
      <c r="C3743" s="2" t="inlineStr">
        <is>
          <t>336060</t>
        </is>
      </c>
      <c r="D3743" s="2" t="inlineStr">
        <is>
          <t>대량보유</t>
        </is>
      </c>
      <c r="E3743" s="3" t="inlineStr">
        <is>
          <t>황승연</t>
        </is>
      </c>
      <c r="F3743" s="3" t="inlineStr">
        <is>
          <t>특별관계자</t>
        </is>
      </c>
      <c r="G3743" s="3" t="inlineStr">
        <is>
          <t>장내매수(+)</t>
        </is>
      </c>
      <c r="H3743" s="15" t="n">
        <v>58600</v>
      </c>
      <c r="I3743" s="6" t="n">
        <v>682</v>
      </c>
      <c r="J3743" s="6" t="n">
        <v>58600</v>
      </c>
      <c r="K3743" s="16" t="n">
        <v>15</v>
      </c>
      <c r="L3743" s="2" t="inlineStr">
        <is>
          <t>20260610000255</t>
        </is>
      </c>
      <c r="M3743" s="8">
        <f>HYPERLINK("https://dart.fss.or.kr/dsaf001/main.do?rcpNo=20260610000255", "공시열람")</f>
        <v/>
      </c>
    </row>
    <row r="3744" ht="22" customHeight="1">
      <c r="A3744" s="2" t="inlineStr">
        <is>
          <t>2026-06-10</t>
        </is>
      </c>
      <c r="B3744" s="3" t="inlineStr">
        <is>
          <t>대상홀딩스</t>
        </is>
      </c>
      <c r="C3744" s="2" t="inlineStr">
        <is>
          <t>084690</t>
        </is>
      </c>
      <c r="D3744" s="2" t="inlineStr">
        <is>
          <t>대량보유</t>
        </is>
      </c>
      <c r="E3744" s="3" t="inlineStr">
        <is>
          <t>김영배</t>
        </is>
      </c>
      <c r="F3744" s="3" t="inlineStr">
        <is>
          <t>특별관계자</t>
        </is>
      </c>
      <c r="G3744" s="3" t="inlineStr">
        <is>
          <t>장내매수(+)</t>
        </is>
      </c>
      <c r="H3744" s="15" t="n">
        <v>107636</v>
      </c>
      <c r="I3744" s="6" t="n">
        <v>9186</v>
      </c>
      <c r="J3744" s="6" t="n">
        <v>407636</v>
      </c>
      <c r="K3744" s="16" t="n">
        <v>2</v>
      </c>
      <c r="L3744" s="2" t="inlineStr">
        <is>
          <t>20260610000252</t>
        </is>
      </c>
      <c r="M3744" s="8">
        <f>HYPERLINK("https://dart.fss.or.kr/dsaf001/main.do?rcpNo=20260610000252", "공시열람")</f>
        <v/>
      </c>
    </row>
    <row r="3745" ht="22" customHeight="1">
      <c r="A3745" s="2" t="inlineStr">
        <is>
          <t>2026-06-10</t>
        </is>
      </c>
      <c r="B3745" s="3" t="inlineStr">
        <is>
          <t>대상홀딩스</t>
        </is>
      </c>
      <c r="C3745" s="2" t="inlineStr">
        <is>
          <t>084690</t>
        </is>
      </c>
      <c r="D3745" s="2" t="inlineStr">
        <is>
          <t>대량보유</t>
        </is>
      </c>
      <c r="E3745" s="3" t="inlineStr">
        <is>
          <t>정명순</t>
        </is>
      </c>
      <c r="F3745" s="3" t="inlineStr">
        <is>
          <t>특별관계자</t>
        </is>
      </c>
      <c r="G3745" s="3" t="inlineStr">
        <is>
          <t>장내매수(+)</t>
        </is>
      </c>
      <c r="H3745" s="15" t="n">
        <v>435476</v>
      </c>
      <c r="I3745" s="6" t="n">
        <v>9221</v>
      </c>
      <c r="J3745" s="6" t="n">
        <v>1000000</v>
      </c>
      <c r="K3745" s="16" t="n">
        <v>2</v>
      </c>
      <c r="L3745" s="2" t="inlineStr">
        <is>
          <t>20260610000252</t>
        </is>
      </c>
      <c r="M3745" s="8">
        <f>HYPERLINK("https://dart.fss.or.kr/dsaf001/main.do?rcpNo=20260610000252", "공시열람")</f>
        <v/>
      </c>
    </row>
    <row r="3746" ht="22" customHeight="1">
      <c r="A3746" s="2" t="inlineStr">
        <is>
          <t>2026-06-10</t>
        </is>
      </c>
      <c r="B3746" s="3" t="inlineStr">
        <is>
          <t>가온칩스</t>
        </is>
      </c>
      <c r="C3746" s="2" t="inlineStr">
        <is>
          <t>399720</t>
        </is>
      </c>
      <c r="D3746" s="2" t="inlineStr">
        <is>
          <t>대량보유</t>
        </is>
      </c>
      <c r="E3746" s="3" t="inlineStr">
        <is>
          <t>대신-SAM신기술투자조합제1호</t>
        </is>
      </c>
      <c r="F3746" s="3" t="inlineStr">
        <is>
          <t>특별관계자</t>
        </is>
      </c>
      <c r="G3746" s="3" t="inlineStr">
        <is>
          <t>전환등(-), 전환사채의권리행사(+), 장내매도(-)</t>
        </is>
      </c>
      <c r="H3746" s="17" t="n">
        <v>-150776</v>
      </c>
      <c r="I3746" s="6" t="n">
        <v>43410</v>
      </c>
      <c r="J3746" s="6" t="n">
        <v>70371</v>
      </c>
      <c r="K3746" s="16" t="n">
        <v>2</v>
      </c>
      <c r="L3746" s="2" t="inlineStr">
        <is>
          <t>20260610000236</t>
        </is>
      </c>
      <c r="M3746" s="8">
        <f>HYPERLINK("https://dart.fss.or.kr/dsaf001/main.do?rcpNo=20260610000236", "공시열람")</f>
        <v/>
      </c>
    </row>
    <row r="3747" ht="22" customHeight="1">
      <c r="A3747" s="2" t="inlineStr">
        <is>
          <t>2026-06-10</t>
        </is>
      </c>
      <c r="B3747" s="3" t="inlineStr">
        <is>
          <t>가온칩스</t>
        </is>
      </c>
      <c r="C3747" s="2" t="inlineStr">
        <is>
          <t>399720</t>
        </is>
      </c>
      <c r="D3747" s="2" t="inlineStr">
        <is>
          <t>대량보유</t>
        </is>
      </c>
      <c r="E3747" s="3" t="inlineStr">
        <is>
          <t>2023신한-JB우리-대신상장사Mezzanine신기술투자조합</t>
        </is>
      </c>
      <c r="F3747" s="3" t="inlineStr">
        <is>
          <t>특별관계자</t>
        </is>
      </c>
      <c r="G3747" s="3" t="inlineStr">
        <is>
          <t>전환등(-), 전환사채의권리행사(+), 장내매도(-)</t>
        </is>
      </c>
      <c r="H3747" s="17" t="n">
        <v>-17277</v>
      </c>
      <c r="I3747" s="6" t="n">
        <v>43410</v>
      </c>
      <c r="J3747" s="6" t="n">
        <v>3292</v>
      </c>
      <c r="K3747" s="16" t="n">
        <v>2</v>
      </c>
      <c r="L3747" s="2" t="inlineStr">
        <is>
          <t>20260610000236</t>
        </is>
      </c>
      <c r="M3747" s="8">
        <f>HYPERLINK("https://dart.fss.or.kr/dsaf001/main.do?rcpNo=20260610000236", "공시열람")</f>
        <v/>
      </c>
    </row>
    <row r="3748" ht="22" customHeight="1">
      <c r="A3748" s="2" t="inlineStr">
        <is>
          <t>2026-06-10</t>
        </is>
      </c>
      <c r="B3748" s="3" t="inlineStr">
        <is>
          <t>한신공영</t>
        </is>
      </c>
      <c r="C3748" s="2" t="inlineStr">
        <is>
          <t>004960</t>
        </is>
      </c>
      <c r="D3748" s="2" t="inlineStr">
        <is>
          <t>대량보유</t>
        </is>
      </c>
      <c r="E3748" s="3" t="inlineStr">
        <is>
          <t>타이거자산운용투자일임(주)</t>
        </is>
      </c>
      <c r="F3748" s="3" t="inlineStr">
        <is>
          <t>특별관계자</t>
        </is>
      </c>
      <c r="G3748" s="3" t="inlineStr">
        <is>
          <t>장내매수(+), 장내매도(-)</t>
        </is>
      </c>
      <c r="H3748" s="15" t="n">
        <v>226248</v>
      </c>
      <c r="I3748" s="6" t="n">
        <v>38177</v>
      </c>
      <c r="J3748" s="6" t="n">
        <v>1187836</v>
      </c>
      <c r="K3748" s="16" t="n">
        <v>10.27</v>
      </c>
      <c r="L3748" s="2" t="inlineStr">
        <is>
          <t>20260610000228</t>
        </is>
      </c>
      <c r="M3748" s="8">
        <f>HYPERLINK("https://dart.fss.or.kr/dsaf001/main.do?rcpNo=20260610000228", "공시열람")</f>
        <v/>
      </c>
    </row>
    <row r="3749" ht="22" customHeight="1">
      <c r="A3749" s="2" t="inlineStr">
        <is>
          <t>2026-06-10</t>
        </is>
      </c>
      <c r="B3749" s="3" t="inlineStr">
        <is>
          <t>노머스</t>
        </is>
      </c>
      <c r="C3749" s="2" t="inlineStr">
        <is>
          <t>473980</t>
        </is>
      </c>
      <c r="D3749" s="2" t="inlineStr">
        <is>
          <t>대량보유</t>
        </is>
      </c>
      <c r="E3749" s="3" t="inlineStr">
        <is>
          <t>타이거자산운용투자일임(주)</t>
        </is>
      </c>
      <c r="F3749" s="3" t="inlineStr">
        <is>
          <t>특별관계자</t>
        </is>
      </c>
      <c r="G3749" s="3" t="inlineStr">
        <is>
          <t>장내매수(+), 장내매도(-), 계약기간만료</t>
        </is>
      </c>
      <c r="H3749" s="15" t="n">
        <v>259529</v>
      </c>
      <c r="I3749" s="6" t="n">
        <v>18685</v>
      </c>
      <c r="J3749" s="6" t="n">
        <v>1131131</v>
      </c>
      <c r="K3749" s="16" t="n">
        <v>10.23</v>
      </c>
      <c r="L3749" s="2" t="inlineStr">
        <is>
          <t>20260610000227</t>
        </is>
      </c>
      <c r="M3749" s="8">
        <f>HYPERLINK("https://dart.fss.or.kr/dsaf001/main.do?rcpNo=20260610000227", "공시열람")</f>
        <v/>
      </c>
    </row>
    <row r="3750" ht="22" customHeight="1">
      <c r="A3750" s="2" t="inlineStr">
        <is>
          <t>2026-06-10</t>
        </is>
      </c>
      <c r="B3750" s="3" t="inlineStr">
        <is>
          <t>스맥</t>
        </is>
      </c>
      <c r="C3750" s="2" t="inlineStr">
        <is>
          <t>099440</t>
        </is>
      </c>
      <c r="D3750" s="2" t="inlineStr">
        <is>
          <t>대량보유</t>
        </is>
      </c>
      <c r="E3750" s="3" t="inlineStr">
        <is>
          <t>최영섭</t>
        </is>
      </c>
      <c r="F3750" s="3" t="inlineStr">
        <is>
          <t>특별관계자</t>
        </is>
      </c>
      <c r="G3750" s="3" t="inlineStr">
        <is>
          <t>장내매수(+)</t>
        </is>
      </c>
      <c r="H3750" s="15" t="n">
        <v>91592</v>
      </c>
      <c r="I3750" s="6" t="n">
        <v>3272</v>
      </c>
      <c r="J3750" s="6" t="n">
        <v>7509891</v>
      </c>
      <c r="K3750" s="16" t="n">
        <v>3</v>
      </c>
      <c r="L3750" s="2" t="inlineStr">
        <is>
          <t>20260610000225</t>
        </is>
      </c>
      <c r="M3750" s="8">
        <f>HYPERLINK("https://dart.fss.or.kr/dsaf001/main.do?rcpNo=20260610000225", "공시열람")</f>
        <v/>
      </c>
    </row>
    <row r="3751" ht="22" customHeight="1">
      <c r="A3751" s="2" t="inlineStr">
        <is>
          <t>2026-06-10</t>
        </is>
      </c>
      <c r="B3751" s="3" t="inlineStr">
        <is>
          <t>피엔에이치테크</t>
        </is>
      </c>
      <c r="C3751" s="2" t="inlineStr">
        <is>
          <t>239890</t>
        </is>
      </c>
      <c r="D3751" s="2" t="inlineStr">
        <is>
          <t>대량보유</t>
        </is>
      </c>
      <c r="E3751" s="3" t="inlineStr">
        <is>
          <t>현서용</t>
        </is>
      </c>
      <c r="F3751" s="3" t="inlineStr">
        <is>
          <t>특별관계자</t>
        </is>
      </c>
      <c r="G3751" s="3" t="inlineStr">
        <is>
          <t>장내매수(+)</t>
        </is>
      </c>
      <c r="H3751" s="15" t="n">
        <v>20000</v>
      </c>
      <c r="I3751" s="6" t="n">
        <v>3840</v>
      </c>
      <c r="J3751" s="6" t="n">
        <v>2970000</v>
      </c>
      <c r="K3751" s="16" t="n">
        <v>1</v>
      </c>
      <c r="L3751" s="2" t="inlineStr">
        <is>
          <t>20260610000216</t>
        </is>
      </c>
      <c r="M3751" s="8">
        <f>HYPERLINK("https://dart.fss.or.kr/dsaf001/main.do?rcpNo=20260610000216", "공시열람")</f>
        <v/>
      </c>
    </row>
    <row r="3752" ht="22" customHeight="1">
      <c r="A3752" s="2" t="inlineStr">
        <is>
          <t>2026-06-10</t>
        </is>
      </c>
      <c r="B3752" s="3" t="inlineStr">
        <is>
          <t>마스턴프리미어리츠</t>
        </is>
      </c>
      <c r="C3752" s="2" t="inlineStr">
        <is>
          <t>357430</t>
        </is>
      </c>
      <c r="D3752" s="2" t="inlineStr">
        <is>
          <t>대량보유</t>
        </is>
      </c>
      <c r="E3752" s="3" t="inlineStr">
        <is>
          <t>주식회사코람코자산운용</t>
        </is>
      </c>
      <c r="F3752" s="3" t="inlineStr">
        <is>
          <t>특별관계자</t>
        </is>
      </c>
      <c r="G3752" s="3" t="inlineStr">
        <is>
          <t>장내매도(-)</t>
        </is>
      </c>
      <c r="H3752" s="17" t="n">
        <v>-417478</v>
      </c>
      <c r="I3752" s="6" t="n">
        <v>863</v>
      </c>
      <c r="J3752" s="6" t="n">
        <v>1552197</v>
      </c>
      <c r="K3752" s="16" t="n">
        <v>5.09</v>
      </c>
      <c r="L3752" s="2" t="inlineStr">
        <is>
          <t>20260610000214</t>
        </is>
      </c>
      <c r="M3752" s="8">
        <f>HYPERLINK("https://dart.fss.or.kr/dsaf001/main.do?rcpNo=20260610000214", "공시열람")</f>
        <v/>
      </c>
    </row>
    <row r="3753" ht="22" customHeight="1">
      <c r="A3753" s="2" t="inlineStr">
        <is>
          <t>2026-06-10</t>
        </is>
      </c>
      <c r="B3753" s="3" t="inlineStr">
        <is>
          <t>부국증권</t>
        </is>
      </c>
      <c r="C3753" s="2" t="inlineStr">
        <is>
          <t>001270</t>
        </is>
      </c>
      <c r="D3753" s="2" t="inlineStr">
        <is>
          <t>대량보유</t>
        </is>
      </c>
      <c r="E3753" s="3" t="inlineStr">
        <is>
          <t>케이프투자증권(주)</t>
        </is>
      </c>
      <c r="F3753" s="3" t="inlineStr">
        <is>
          <t>특별관계자</t>
        </is>
      </c>
      <c r="G3753" s="3" t="inlineStr">
        <is>
          <t>장내매도(-), 장내매수(+)</t>
        </is>
      </c>
      <c r="H3753" s="15" t="n">
        <v>129293</v>
      </c>
      <c r="I3753" s="6" t="n">
        <v>72983</v>
      </c>
      <c r="J3753" s="6" t="n">
        <v>733000</v>
      </c>
      <c r="K3753" s="16" t="n">
        <v>7.07</v>
      </c>
      <c r="L3753" s="2" t="inlineStr">
        <is>
          <t>20260610000191</t>
        </is>
      </c>
      <c r="M3753" s="8">
        <f>HYPERLINK("https://dart.fss.or.kr/dsaf001/main.do?rcpNo=20260610000191", "공시열람")</f>
        <v/>
      </c>
    </row>
    <row r="3754" ht="22" customHeight="1">
      <c r="A3754" s="2" t="inlineStr">
        <is>
          <t>2026-06-10 (정정: 2026-06-16)</t>
        </is>
      </c>
      <c r="B3754" s="3" t="inlineStr">
        <is>
          <t>THE E&amp;M</t>
        </is>
      </c>
      <c r="C3754" s="2" t="inlineStr">
        <is>
          <t>089230</t>
        </is>
      </c>
      <c r="D3754" s="2" t="inlineStr">
        <is>
          <t>대량보유</t>
        </is>
      </c>
      <c r="E3754" s="3" t="inlineStr">
        <is>
          <t>-</t>
        </is>
      </c>
      <c r="F3754" s="3" t="inlineStr">
        <is>
          <t>보고자</t>
        </is>
      </c>
      <c r="G3754" s="3" t="inlineStr">
        <is>
          <t>-</t>
        </is>
      </c>
      <c r="H3754" s="6" t="inlineStr"/>
      <c r="I3754" s="6" t="inlineStr"/>
      <c r="J3754" s="6" t="inlineStr"/>
      <c r="K3754" s="18" t="inlineStr"/>
      <c r="L3754" s="2" t="inlineStr">
        <is>
          <t>20260616000297</t>
        </is>
      </c>
      <c r="M3754" s="8">
        <f>HYPERLINK("https://dart.fss.or.kr/dsaf001/main.do?rcpNo=20260616000297", "공시열람")</f>
        <v/>
      </c>
    </row>
    <row r="3755" ht="22" customHeight="1">
      <c r="A3755" s="2" t="inlineStr">
        <is>
          <t>2026-06-10</t>
        </is>
      </c>
      <c r="B3755" s="3" t="inlineStr">
        <is>
          <t>텔콘RF제약</t>
        </is>
      </c>
      <c r="C3755" s="2" t="inlineStr">
        <is>
          <t>200230</t>
        </is>
      </c>
      <c r="D3755" s="2" t="inlineStr">
        <is>
          <t>대량보유</t>
        </is>
      </c>
      <c r="E3755" s="3" t="inlineStr">
        <is>
          <t>(주)상상인저축은행</t>
        </is>
      </c>
      <c r="F3755" s="3" t="inlineStr">
        <is>
          <t>특별관계자</t>
        </is>
      </c>
      <c r="G3755" s="3" t="inlineStr">
        <is>
          <t>행사가액조정, 기타(-)</t>
        </is>
      </c>
      <c r="H3755" s="17" t="n">
        <v>-1079113</v>
      </c>
      <c r="I3755" s="6" t="n">
        <v>1000</v>
      </c>
      <c r="J3755" s="6" t="n">
        <v>5250000</v>
      </c>
      <c r="K3755" s="16" t="n">
        <v>2</v>
      </c>
      <c r="L3755" s="2" t="inlineStr">
        <is>
          <t>20260610000188</t>
        </is>
      </c>
      <c r="M3755" s="8">
        <f>HYPERLINK("https://dart.fss.or.kr/dsaf001/main.do?rcpNo=20260610000188", "공시열람")</f>
        <v/>
      </c>
    </row>
    <row r="3756" ht="22" customHeight="1">
      <c r="A3756" s="2" t="inlineStr">
        <is>
          <t>2026-06-10</t>
        </is>
      </c>
      <c r="B3756" s="3" t="inlineStr">
        <is>
          <t>텔콘RF제약</t>
        </is>
      </c>
      <c r="C3756" s="2" t="inlineStr">
        <is>
          <t>200230</t>
        </is>
      </c>
      <c r="D3756" s="2" t="inlineStr">
        <is>
          <t>대량보유</t>
        </is>
      </c>
      <c r="E3756" s="3" t="inlineStr">
        <is>
          <t>(주)상상인플러스저축은행</t>
        </is>
      </c>
      <c r="F3756" s="3" t="inlineStr">
        <is>
          <t>특별관계자</t>
        </is>
      </c>
      <c r="G3756" s="3" t="inlineStr">
        <is>
          <t>행사가액조정, 기타(-)</t>
        </is>
      </c>
      <c r="H3756" s="17" t="n">
        <v>-770795</v>
      </c>
      <c r="I3756" s="6" t="n">
        <v>1000</v>
      </c>
      <c r="J3756" s="6" t="n">
        <v>3750000</v>
      </c>
      <c r="K3756" s="16" t="n">
        <v>2</v>
      </c>
      <c r="L3756" s="2" t="inlineStr">
        <is>
          <t>20260610000188</t>
        </is>
      </c>
      <c r="M3756" s="8">
        <f>HYPERLINK("https://dart.fss.or.kr/dsaf001/main.do?rcpNo=20260610000188", "공시열람")</f>
        <v/>
      </c>
    </row>
    <row r="3757" ht="22" customHeight="1">
      <c r="A3757" s="2" t="inlineStr">
        <is>
          <t>2026-06-10</t>
        </is>
      </c>
      <c r="B3757" s="3" t="inlineStr">
        <is>
          <t>알엔투테크놀로지</t>
        </is>
      </c>
      <c r="C3757" s="2" t="inlineStr">
        <is>
          <t>148250</t>
        </is>
      </c>
      <c r="D3757" s="2" t="inlineStr">
        <is>
          <t>대량보유</t>
        </is>
      </c>
      <c r="E3757" s="3" t="inlineStr">
        <is>
          <t>(주)상상인저축은행</t>
        </is>
      </c>
      <c r="F3757" s="3" t="inlineStr">
        <is>
          <t>특별관계자</t>
        </is>
      </c>
      <c r="G3757" s="3" t="inlineStr">
        <is>
          <t>행사가액조정, 전환등(-), 전환사채의권리행사(+), 장내매도(-), 기타(-)</t>
        </is>
      </c>
      <c r="H3757" s="17" t="n">
        <v>-354662</v>
      </c>
      <c r="I3757" s="6" t="n">
        <v>2907</v>
      </c>
      <c r="J3757" s="6" t="n">
        <v>31935</v>
      </c>
      <c r="K3757" s="16" t="n">
        <v>2</v>
      </c>
      <c r="L3757" s="2" t="inlineStr">
        <is>
          <t>20260610000187</t>
        </is>
      </c>
      <c r="M3757" s="8">
        <f>HYPERLINK("https://dart.fss.or.kr/dsaf001/main.do?rcpNo=20260610000187", "공시열람")</f>
        <v/>
      </c>
    </row>
    <row r="3758" ht="22" customHeight="1">
      <c r="A3758" s="2" t="inlineStr">
        <is>
          <t>2026-06-10</t>
        </is>
      </c>
      <c r="B3758" s="3" t="inlineStr">
        <is>
          <t>알엔투테크놀로지</t>
        </is>
      </c>
      <c r="C3758" s="2" t="inlineStr">
        <is>
          <t>148250</t>
        </is>
      </c>
      <c r="D3758" s="2" t="inlineStr">
        <is>
          <t>대량보유</t>
        </is>
      </c>
      <c r="E3758" s="3" t="inlineStr">
        <is>
          <t>(주)상상인플러스저축은행</t>
        </is>
      </c>
      <c r="F3758" s="3" t="inlineStr">
        <is>
          <t>특별관계자</t>
        </is>
      </c>
      <c r="G3758" s="3" t="inlineStr">
        <is>
          <t>행사가액조정, 전환등(-), 전환사채의권리행사(+), 장내매도(-), 기타(-)</t>
        </is>
      </c>
      <c r="H3758" s="15" t="n">
        <v>71661</v>
      </c>
      <c r="I3758" s="6" t="n">
        <v>2721</v>
      </c>
      <c r="J3758" s="6" t="n">
        <v>458258</v>
      </c>
      <c r="K3758" s="16" t="n">
        <v>2</v>
      </c>
      <c r="L3758" s="2" t="inlineStr">
        <is>
          <t>20260610000187</t>
        </is>
      </c>
      <c r="M3758" s="8">
        <f>HYPERLINK("https://dart.fss.or.kr/dsaf001/main.do?rcpNo=20260610000187", "공시열람")</f>
        <v/>
      </c>
    </row>
    <row r="3759" ht="22" customHeight="1">
      <c r="A3759" s="2" t="inlineStr">
        <is>
          <t>2026-06-10</t>
        </is>
      </c>
      <c r="B3759" s="3" t="inlineStr">
        <is>
          <t>소룩스</t>
        </is>
      </c>
      <c r="C3759" s="2" t="inlineStr">
        <is>
          <t>290690</t>
        </is>
      </c>
      <c r="D3759" s="2" t="inlineStr">
        <is>
          <t>대량보유</t>
        </is>
      </c>
      <c r="E3759" s="3" t="inlineStr">
        <is>
          <t>(주)상상인저축은행</t>
        </is>
      </c>
      <c r="F3759" s="3" t="inlineStr">
        <is>
          <t>특별관계자</t>
        </is>
      </c>
      <c r="G3759" s="3" t="inlineStr">
        <is>
          <t>행사가액조정, 기타(-), 장외매도(-), 장외매수(+)</t>
        </is>
      </c>
      <c r="H3759" s="17" t="n">
        <v>-528132</v>
      </c>
      <c r="I3759" s="6" t="n">
        <v>3596</v>
      </c>
      <c r="J3759" s="6" t="n">
        <v>3109863</v>
      </c>
      <c r="K3759" s="16" t="n">
        <v>3</v>
      </c>
      <c r="L3759" s="2" t="inlineStr">
        <is>
          <t>20260610000186</t>
        </is>
      </c>
      <c r="M3759" s="8">
        <f>HYPERLINK("https://dart.fss.or.kr/dsaf001/main.do?rcpNo=20260610000186", "공시열람")</f>
        <v/>
      </c>
    </row>
    <row r="3760" ht="22" customHeight="1">
      <c r="A3760" s="2" t="inlineStr">
        <is>
          <t>2026-06-10</t>
        </is>
      </c>
      <c r="B3760" s="3" t="inlineStr">
        <is>
          <t>소룩스</t>
        </is>
      </c>
      <c r="C3760" s="2" t="inlineStr">
        <is>
          <t>290690</t>
        </is>
      </c>
      <c r="D3760" s="2" t="inlineStr">
        <is>
          <t>대량보유</t>
        </is>
      </c>
      <c r="E3760" s="3" t="inlineStr">
        <is>
          <t>(주)상상인플러스저축은행</t>
        </is>
      </c>
      <c r="F3760" s="3" t="inlineStr">
        <is>
          <t>특별관계자</t>
        </is>
      </c>
      <c r="G3760" s="3" t="inlineStr">
        <is>
          <t>행사가액조정, 기타(-), 장외매도(-), 장외매수(+)</t>
        </is>
      </c>
      <c r="H3760" s="17" t="n">
        <v>-528132</v>
      </c>
      <c r="I3760" s="6" t="n">
        <v>3596</v>
      </c>
      <c r="J3760" s="6" t="n">
        <v>3109863</v>
      </c>
      <c r="K3760" s="16" t="n">
        <v>3</v>
      </c>
      <c r="L3760" s="2" t="inlineStr">
        <is>
          <t>20260610000186</t>
        </is>
      </c>
      <c r="M3760" s="8">
        <f>HYPERLINK("https://dart.fss.or.kr/dsaf001/main.do?rcpNo=20260610000186", "공시열람")</f>
        <v/>
      </c>
    </row>
    <row r="3761" ht="22" customHeight="1">
      <c r="A3761" s="2" t="inlineStr">
        <is>
          <t>2026-06-10</t>
        </is>
      </c>
      <c r="B3761" s="3" t="inlineStr">
        <is>
          <t>소룩스</t>
        </is>
      </c>
      <c r="C3761" s="2" t="inlineStr">
        <is>
          <t>290690</t>
        </is>
      </c>
      <c r="D3761" s="2" t="inlineStr">
        <is>
          <t>대량보유</t>
        </is>
      </c>
      <c r="E3761" s="3" t="inlineStr">
        <is>
          <t>(주)상상인증권</t>
        </is>
      </c>
      <c r="F3761" s="3" t="inlineStr">
        <is>
          <t>특별관계자</t>
        </is>
      </c>
      <c r="G3761" s="3" t="inlineStr">
        <is>
          <t>장외매수(+)</t>
        </is>
      </c>
      <c r="H3761" s="15" t="n">
        <v>1158412</v>
      </c>
      <c r="I3761" s="6" t="n">
        <v>3453</v>
      </c>
      <c r="J3761" s="6" t="n">
        <v>1158412</v>
      </c>
      <c r="K3761" s="16" t="n">
        <v>3</v>
      </c>
      <c r="L3761" s="2" t="inlineStr">
        <is>
          <t>20260610000186</t>
        </is>
      </c>
      <c r="M3761" s="8">
        <f>HYPERLINK("https://dart.fss.or.kr/dsaf001/main.do?rcpNo=20260610000186", "공시열람")</f>
        <v/>
      </c>
    </row>
    <row r="3762" ht="22" customHeight="1">
      <c r="A3762" s="2" t="inlineStr">
        <is>
          <t>2026-06-10</t>
        </is>
      </c>
      <c r="B3762" s="3" t="inlineStr">
        <is>
          <t>KG모빌리티</t>
        </is>
      </c>
      <c r="C3762" s="2" t="inlineStr">
        <is>
          <t>003620</t>
        </is>
      </c>
      <c r="D3762" s="2" t="inlineStr">
        <is>
          <t>임원보고</t>
        </is>
      </c>
      <c r="E3762" s="3" t="inlineStr">
        <is>
          <t>-</t>
        </is>
      </c>
      <c r="F3762" s="3" t="inlineStr">
        <is>
          <t>-</t>
        </is>
      </c>
      <c r="G3762" s="3" t="inlineStr">
        <is>
          <t>-</t>
        </is>
      </c>
      <c r="H3762" s="6" t="inlineStr"/>
      <c r="I3762" s="6" t="inlineStr"/>
      <c r="J3762" s="6" t="inlineStr"/>
      <c r="K3762" s="16" t="n">
        <v>12</v>
      </c>
      <c r="L3762" s="2" t="inlineStr">
        <is>
          <t>20260610800270</t>
        </is>
      </c>
      <c r="M3762" s="8">
        <f>HYPERLINK("https://dart.fss.or.kr/dsaf001/main.do?rcpNo=20260610800270", "공시열람")</f>
        <v/>
      </c>
    </row>
    <row r="3763" ht="22" customHeight="1">
      <c r="A3763" s="2" t="inlineStr">
        <is>
          <t>2026-06-10</t>
        </is>
      </c>
      <c r="B3763" s="3" t="inlineStr">
        <is>
          <t>앤씨앤</t>
        </is>
      </c>
      <c r="C3763" s="2" t="inlineStr">
        <is>
          <t>092600</t>
        </is>
      </c>
      <c r="D3763" s="2" t="inlineStr">
        <is>
          <t>대량보유</t>
        </is>
      </c>
      <c r="E3763" s="3" t="inlineStr">
        <is>
          <t>최종현</t>
        </is>
      </c>
      <c r="F3763" s="3" t="inlineStr">
        <is>
          <t>특별관계자</t>
        </is>
      </c>
      <c r="G3763" s="3" t="inlineStr">
        <is>
          <t>장내매수(+), 주식병합</t>
        </is>
      </c>
      <c r="H3763" s="17" t="n">
        <v>-112554</v>
      </c>
      <c r="I3763" s="6" t="n">
        <v>1294</v>
      </c>
      <c r="J3763" s="6" t="n">
        <v>35888</v>
      </c>
      <c r="K3763" s="16" t="n">
        <v>3</v>
      </c>
      <c r="L3763" s="2" t="inlineStr">
        <is>
          <t>20260610000171</t>
        </is>
      </c>
      <c r="M3763" s="8">
        <f>HYPERLINK("https://dart.fss.or.kr/dsaf001/main.do?rcpNo=20260610000171", "공시열람")</f>
        <v/>
      </c>
    </row>
    <row r="3764" ht="22" customHeight="1">
      <c r="A3764" s="2" t="inlineStr">
        <is>
          <t>2026-06-10</t>
        </is>
      </c>
      <c r="B3764" s="3" t="inlineStr">
        <is>
          <t>앤씨앤</t>
        </is>
      </c>
      <c r="C3764" s="2" t="inlineStr">
        <is>
          <t>092600</t>
        </is>
      </c>
      <c r="D3764" s="2" t="inlineStr">
        <is>
          <t>대량보유</t>
        </is>
      </c>
      <c r="E3764" s="3" t="inlineStr">
        <is>
          <t>김경수</t>
        </is>
      </c>
      <c r="F3764" s="3" t="inlineStr">
        <is>
          <t>특별관계자</t>
        </is>
      </c>
      <c r="G3764" s="3" t="inlineStr">
        <is>
          <t>주식병합</t>
        </is>
      </c>
      <c r="H3764" s="17" t="n">
        <v>-3896800</v>
      </c>
      <c r="I3764" s="6" t="inlineStr"/>
      <c r="J3764" s="6" t="n">
        <v>974200</v>
      </c>
      <c r="K3764" s="16" t="n">
        <v>3</v>
      </c>
      <c r="L3764" s="2" t="inlineStr">
        <is>
          <t>20260610000171</t>
        </is>
      </c>
      <c r="M3764" s="8">
        <f>HYPERLINK("https://dart.fss.or.kr/dsaf001/main.do?rcpNo=20260610000171", "공시열람")</f>
        <v/>
      </c>
    </row>
    <row r="3765" ht="22" customHeight="1">
      <c r="A3765" s="2" t="inlineStr">
        <is>
          <t>2026-06-10</t>
        </is>
      </c>
      <c r="B3765" s="3" t="inlineStr">
        <is>
          <t>앤씨앤</t>
        </is>
      </c>
      <c r="C3765" s="2" t="inlineStr">
        <is>
          <t>092600</t>
        </is>
      </c>
      <c r="D3765" s="2" t="inlineStr">
        <is>
          <t>대량보유</t>
        </is>
      </c>
      <c r="E3765" s="3" t="inlineStr">
        <is>
          <t>장지훈</t>
        </is>
      </c>
      <c r="F3765" s="3" t="inlineStr">
        <is>
          <t>특별관계자</t>
        </is>
      </c>
      <c r="G3765" s="3" t="inlineStr">
        <is>
          <t>주식병합</t>
        </is>
      </c>
      <c r="H3765" s="17" t="n">
        <v>-1384818</v>
      </c>
      <c r="I3765" s="6" t="inlineStr"/>
      <c r="J3765" s="6" t="n">
        <v>346204</v>
      </c>
      <c r="K3765" s="16" t="n">
        <v>3</v>
      </c>
      <c r="L3765" s="2" t="inlineStr">
        <is>
          <t>20260610000171</t>
        </is>
      </c>
      <c r="M3765" s="8">
        <f>HYPERLINK("https://dart.fss.or.kr/dsaf001/main.do?rcpNo=20260610000171", "공시열람")</f>
        <v/>
      </c>
    </row>
    <row r="3766" ht="22" customHeight="1">
      <c r="A3766" s="2" t="inlineStr">
        <is>
          <t>2026-06-10</t>
        </is>
      </c>
      <c r="B3766" s="3" t="inlineStr">
        <is>
          <t>앤씨앤</t>
        </is>
      </c>
      <c r="C3766" s="2" t="inlineStr">
        <is>
          <t>092600</t>
        </is>
      </c>
      <c r="D3766" s="2" t="inlineStr">
        <is>
          <t>대량보유</t>
        </is>
      </c>
      <c r="E3766" s="3" t="inlineStr">
        <is>
          <t>김동욱</t>
        </is>
      </c>
      <c r="F3766" s="3" t="inlineStr">
        <is>
          <t>특별관계자</t>
        </is>
      </c>
      <c r="G3766" s="3" t="inlineStr">
        <is>
          <t>주식병합</t>
        </is>
      </c>
      <c r="H3766" s="17" t="n">
        <v>-1384818</v>
      </c>
      <c r="I3766" s="6" t="inlineStr"/>
      <c r="J3766" s="6" t="n">
        <v>346204</v>
      </c>
      <c r="K3766" s="16" t="n">
        <v>3</v>
      </c>
      <c r="L3766" s="2" t="inlineStr">
        <is>
          <t>20260610000171</t>
        </is>
      </c>
      <c r="M3766" s="8">
        <f>HYPERLINK("https://dart.fss.or.kr/dsaf001/main.do?rcpNo=20260610000171", "공시열람")</f>
        <v/>
      </c>
    </row>
    <row r="3767" ht="22" customHeight="1">
      <c r="A3767" s="2" t="inlineStr">
        <is>
          <t>2026-06-10</t>
        </is>
      </c>
      <c r="B3767" s="3" t="inlineStr">
        <is>
          <t>마이크로디지탈</t>
        </is>
      </c>
      <c r="C3767" s="2" t="inlineStr">
        <is>
          <t>305090</t>
        </is>
      </c>
      <c r="D3767" s="2" t="inlineStr">
        <is>
          <t>대량보유</t>
        </is>
      </c>
      <c r="E3767" s="3" t="inlineStr">
        <is>
          <t>김경남</t>
        </is>
      </c>
      <c r="F3767" s="3" t="inlineStr">
        <is>
          <t>특별관계자</t>
        </is>
      </c>
      <c r="G3767" s="3" t="inlineStr">
        <is>
          <t>장내매수(+)</t>
        </is>
      </c>
      <c r="H3767" s="15" t="n">
        <v>13643</v>
      </c>
      <c r="I3767" s="6" t="n">
        <v>2935</v>
      </c>
      <c r="J3767" s="6" t="n">
        <v>3731108</v>
      </c>
      <c r="K3767" s="16" t="n">
        <v>4</v>
      </c>
      <c r="L3767" s="2" t="inlineStr">
        <is>
          <t>20260610000164</t>
        </is>
      </c>
      <c r="M3767" s="8">
        <f>HYPERLINK("https://dart.fss.or.kr/dsaf001/main.do?rcpNo=20260610000164", "공시열람")</f>
        <v/>
      </c>
    </row>
    <row r="3768" ht="22" customHeight="1">
      <c r="A3768" s="2" t="inlineStr">
        <is>
          <t>2026-06-10</t>
        </is>
      </c>
      <c r="B3768" s="3" t="inlineStr">
        <is>
          <t>이지스레지던스리츠</t>
        </is>
      </c>
      <c r="C3768" s="2" t="inlineStr">
        <is>
          <t>350520</t>
        </is>
      </c>
      <c r="D3768" s="2" t="inlineStr">
        <is>
          <t>대량보유</t>
        </is>
      </c>
      <c r="E3768" s="3" t="inlineStr">
        <is>
          <t>주식회사코람코자산운용</t>
        </is>
      </c>
      <c r="F3768" s="3" t="inlineStr">
        <is>
          <t>특별관계자</t>
        </is>
      </c>
      <c r="G3768" s="3" t="inlineStr">
        <is>
          <t>장내매도(-)</t>
        </is>
      </c>
      <c r="H3768" s="17" t="n">
        <v>-105700</v>
      </c>
      <c r="I3768" s="6" t="n">
        <v>3498</v>
      </c>
      <c r="J3768" s="6" t="n">
        <v>3819006</v>
      </c>
      <c r="K3768" s="16" t="n">
        <v>10.36</v>
      </c>
      <c r="L3768" s="2" t="inlineStr">
        <is>
          <t>20260610000163</t>
        </is>
      </c>
      <c r="M3768" s="8">
        <f>HYPERLINK("https://dart.fss.or.kr/dsaf001/main.do?rcpNo=20260610000163", "공시열람")</f>
        <v/>
      </c>
    </row>
    <row r="3769" ht="22" customHeight="1">
      <c r="A3769" s="2" t="inlineStr">
        <is>
          <t>2026-06-10</t>
        </is>
      </c>
      <c r="B3769" s="3" t="inlineStr">
        <is>
          <t>이지스밸류플러스리츠</t>
        </is>
      </c>
      <c r="C3769" s="2" t="inlineStr">
        <is>
          <t>334890</t>
        </is>
      </c>
      <c r="D3769" s="2" t="inlineStr">
        <is>
          <t>대량보유</t>
        </is>
      </c>
      <c r="E3769" s="3" t="inlineStr">
        <is>
          <t>주식회사코람코자산운용</t>
        </is>
      </c>
      <c r="F3769" s="3" t="inlineStr">
        <is>
          <t>특별관계자</t>
        </is>
      </c>
      <c r="G3769" s="3" t="inlineStr">
        <is>
          <t>장내매도(-)</t>
        </is>
      </c>
      <c r="H3769" s="17" t="n">
        <v>-346187</v>
      </c>
      <c r="I3769" s="6" t="n">
        <v>3829</v>
      </c>
      <c r="J3769" s="6" t="n">
        <v>8037930</v>
      </c>
      <c r="K3769" s="16" t="n">
        <v>11.57</v>
      </c>
      <c r="L3769" s="2" t="inlineStr">
        <is>
          <t>20260610000149</t>
        </is>
      </c>
      <c r="M3769" s="8">
        <f>HYPERLINK("https://dart.fss.or.kr/dsaf001/main.do?rcpNo=20260610000149", "공시열람")</f>
        <v/>
      </c>
    </row>
    <row r="3770" ht="22" customHeight="1">
      <c r="A3770" s="2" t="inlineStr">
        <is>
          <t>2026-06-10</t>
        </is>
      </c>
      <c r="B3770" s="3" t="inlineStr">
        <is>
          <t>코람코더원리츠</t>
        </is>
      </c>
      <c r="C3770" s="2" t="inlineStr">
        <is>
          <t>417310</t>
        </is>
      </c>
      <c r="D3770" s="2" t="inlineStr">
        <is>
          <t>대량보유</t>
        </is>
      </c>
      <c r="E3770" s="3" t="inlineStr">
        <is>
          <t>주식회사코람코자산운용</t>
        </is>
      </c>
      <c r="F3770" s="3" t="inlineStr">
        <is>
          <t>특별관계자</t>
        </is>
      </c>
      <c r="G3770" s="3" t="inlineStr">
        <is>
          <t>장내매도(-)</t>
        </is>
      </c>
      <c r="H3770" s="17" t="n">
        <v>-357655</v>
      </c>
      <c r="I3770" s="6" t="n">
        <v>9987</v>
      </c>
      <c r="J3770" s="6" t="n">
        <v>2051482</v>
      </c>
      <c r="K3770" s="16" t="n">
        <v>5.08</v>
      </c>
      <c r="L3770" s="2" t="inlineStr">
        <is>
          <t>20260610000136</t>
        </is>
      </c>
      <c r="M3770" s="8">
        <f>HYPERLINK("https://dart.fss.or.kr/dsaf001/main.do?rcpNo=20260610000136", "공시열람")</f>
        <v/>
      </c>
    </row>
    <row r="3771" ht="22" customHeight="1">
      <c r="A3771" s="2" t="inlineStr">
        <is>
          <t>2026-06-10</t>
        </is>
      </c>
      <c r="B3771" s="3" t="inlineStr">
        <is>
          <t>엠에프씨</t>
        </is>
      </c>
      <c r="C3771" s="2" t="inlineStr">
        <is>
          <t>432980</t>
        </is>
      </c>
      <c r="D3771" s="2" t="inlineStr">
        <is>
          <t>대량보유</t>
        </is>
      </c>
      <c r="E3771" s="3" t="inlineStr">
        <is>
          <t>황성관</t>
        </is>
      </c>
      <c r="F3771" s="3" t="inlineStr">
        <is>
          <t>특별관계자</t>
        </is>
      </c>
      <c r="G3771" s="3" t="inlineStr">
        <is>
          <t>장내매수(+)</t>
        </is>
      </c>
      <c r="H3771" s="15" t="n">
        <v>11442</v>
      </c>
      <c r="I3771" s="6" t="n">
        <v>2995</v>
      </c>
      <c r="J3771" s="6" t="n">
        <v>2907802</v>
      </c>
      <c r="K3771" s="16" t="n">
        <v>15</v>
      </c>
      <c r="L3771" s="2" t="inlineStr">
        <is>
          <t>20260610000128</t>
        </is>
      </c>
      <c r="M3771" s="8">
        <f>HYPERLINK("https://dart.fss.or.kr/dsaf001/main.do?rcpNo=20260610000128", "공시열람")</f>
        <v/>
      </c>
    </row>
    <row r="3772" ht="22" customHeight="1">
      <c r="A3772" s="2" t="inlineStr">
        <is>
          <t>2026-06-10</t>
        </is>
      </c>
      <c r="B3772" s="3" t="inlineStr">
        <is>
          <t>코람코라이프인프라리츠</t>
        </is>
      </c>
      <c r="C3772" s="2" t="inlineStr">
        <is>
          <t>357120</t>
        </is>
      </c>
      <c r="D3772" s="2" t="inlineStr">
        <is>
          <t>대량보유</t>
        </is>
      </c>
      <c r="E3772" s="3" t="inlineStr">
        <is>
          <t>주식회사코람코자산운용</t>
        </is>
      </c>
      <c r="F3772" s="3" t="inlineStr">
        <is>
          <t>특별관계자</t>
        </is>
      </c>
      <c r="G3772" s="3" t="inlineStr">
        <is>
          <t>장내매도(-)</t>
        </is>
      </c>
      <c r="H3772" s="17" t="n">
        <v>-70000</v>
      </c>
      <c r="I3772" s="6" t="n">
        <v>4311</v>
      </c>
      <c r="J3772" s="6" t="n">
        <v>7478107</v>
      </c>
      <c r="K3772" s="16" t="n">
        <v>7.68</v>
      </c>
      <c r="L3772" s="2" t="inlineStr">
        <is>
          <t>20260610000111</t>
        </is>
      </c>
      <c r="M3772" s="8">
        <f>HYPERLINK("https://dart.fss.or.kr/dsaf001/main.do?rcpNo=20260610000111", "공시열람")</f>
        <v/>
      </c>
    </row>
    <row r="3773" ht="22" customHeight="1">
      <c r="A3773" s="2" t="inlineStr">
        <is>
          <t>2026-06-10</t>
        </is>
      </c>
      <c r="B3773" s="3" t="inlineStr">
        <is>
          <t>보령</t>
        </is>
      </c>
      <c r="C3773" s="2" t="inlineStr">
        <is>
          <t>003850</t>
        </is>
      </c>
      <c r="D3773" s="2" t="inlineStr">
        <is>
          <t>대량보유</t>
        </is>
      </c>
      <c r="E3773" s="3" t="inlineStr">
        <is>
          <t>(주)보령홀딩스</t>
        </is>
      </c>
      <c r="F3773" s="3" t="inlineStr">
        <is>
          <t>보고자</t>
        </is>
      </c>
      <c r="G3773" s="3" t="inlineStr">
        <is>
          <t>연명보고자의 주식담보계약 변경</t>
        </is>
      </c>
      <c r="H3773" s="6" t="inlineStr"/>
      <c r="I3773" s="6" t="inlineStr"/>
      <c r="J3773" s="6" t="n">
        <v>55933042</v>
      </c>
      <c r="K3773" s="16" t="n">
        <v>10</v>
      </c>
      <c r="L3773" s="2" t="inlineStr">
        <is>
          <t>20260610000102</t>
        </is>
      </c>
      <c r="M3773" s="8">
        <f>HYPERLINK("https://dart.fss.or.kr/dsaf001/main.do?rcpNo=20260610000102", "공시열람")</f>
        <v/>
      </c>
    </row>
    <row r="3774" ht="22" customHeight="1">
      <c r="A3774" s="2" t="inlineStr">
        <is>
          <t>2026-06-10</t>
        </is>
      </c>
      <c r="B3774" s="3" t="inlineStr">
        <is>
          <t>티비에이치글로벌</t>
        </is>
      </c>
      <c r="C3774" s="2" t="inlineStr">
        <is>
          <t>084870</t>
        </is>
      </c>
      <c r="D3774" s="2" t="inlineStr">
        <is>
          <t>임원보고</t>
        </is>
      </c>
      <c r="E3774" s="3" t="inlineStr">
        <is>
          <t>-</t>
        </is>
      </c>
      <c r="F3774" s="3" t="inlineStr">
        <is>
          <t>-</t>
        </is>
      </c>
      <c r="G3774" s="3" t="inlineStr">
        <is>
          <t>-</t>
        </is>
      </c>
      <c r="H3774" s="6" t="inlineStr"/>
      <c r="I3774" s="6" t="inlineStr"/>
      <c r="J3774" s="6" t="inlineStr"/>
      <c r="K3774" s="16" t="n">
        <v>12</v>
      </c>
      <c r="L3774" s="2" t="inlineStr">
        <is>
          <t>20260610800198</t>
        </is>
      </c>
      <c r="M3774" s="8">
        <f>HYPERLINK("https://dart.fss.or.kr/dsaf001/main.do?rcpNo=20260610800198", "공시열람")</f>
        <v/>
      </c>
    </row>
    <row r="3775" ht="22" customHeight="1">
      <c r="A3775" s="2" t="inlineStr">
        <is>
          <t>2026-06-10</t>
        </is>
      </c>
      <c r="B3775" s="3" t="inlineStr">
        <is>
          <t>풀무원</t>
        </is>
      </c>
      <c r="C3775" s="2" t="inlineStr">
        <is>
          <t>017810</t>
        </is>
      </c>
      <c r="D3775" s="2" t="inlineStr">
        <is>
          <t>임원보고</t>
        </is>
      </c>
      <c r="E3775" s="3" t="inlineStr">
        <is>
          <t>-</t>
        </is>
      </c>
      <c r="F3775" s="3" t="inlineStr">
        <is>
          <t>-</t>
        </is>
      </c>
      <c r="G3775" s="3" t="inlineStr">
        <is>
          <t>-</t>
        </is>
      </c>
      <c r="H3775" s="6" t="inlineStr"/>
      <c r="I3775" s="6" t="inlineStr"/>
      <c r="J3775" s="6" t="inlineStr"/>
      <c r="K3775" s="16" t="n">
        <v>12</v>
      </c>
      <c r="L3775" s="2" t="inlineStr">
        <is>
          <t>20260610800189</t>
        </is>
      </c>
      <c r="M3775" s="8">
        <f>HYPERLINK("https://dart.fss.or.kr/dsaf001/main.do?rcpNo=20260610800189", "공시열람")</f>
        <v/>
      </c>
    </row>
    <row r="3776" ht="22" customHeight="1">
      <c r="A3776" s="2" t="inlineStr">
        <is>
          <t>2026-06-10</t>
        </is>
      </c>
      <c r="B3776" s="3" t="inlineStr">
        <is>
          <t>풀무원</t>
        </is>
      </c>
      <c r="C3776" s="2" t="inlineStr">
        <is>
          <t>017810</t>
        </is>
      </c>
      <c r="D3776" s="2" t="inlineStr">
        <is>
          <t>대량보유</t>
        </is>
      </c>
      <c r="E3776" s="3" t="inlineStr">
        <is>
          <t>김종헌</t>
        </is>
      </c>
      <c r="F3776" s="3" t="inlineStr">
        <is>
          <t>특별관계자</t>
        </is>
      </c>
      <c r="G3776" s="3" t="inlineStr">
        <is>
          <t>장내매수(+)</t>
        </is>
      </c>
      <c r="H3776" s="15" t="n">
        <v>1902</v>
      </c>
      <c r="I3776" s="6" t="n">
        <v>9611</v>
      </c>
      <c r="J3776" s="6" t="n">
        <v>6000</v>
      </c>
      <c r="K3776" s="16" t="n">
        <v>23</v>
      </c>
      <c r="L3776" s="2" t="inlineStr">
        <is>
          <t>20260610000072</t>
        </is>
      </c>
      <c r="M3776" s="8">
        <f>HYPERLINK("https://dart.fss.or.kr/dsaf001/main.do?rcpNo=20260610000072", "공시열람")</f>
        <v/>
      </c>
    </row>
    <row r="3777" ht="22" customHeight="1">
      <c r="A3777" s="2" t="inlineStr">
        <is>
          <t>2026-06-10</t>
        </is>
      </c>
      <c r="B3777" s="3" t="inlineStr">
        <is>
          <t>풀무원</t>
        </is>
      </c>
      <c r="C3777" s="2" t="inlineStr">
        <is>
          <t>017810</t>
        </is>
      </c>
      <c r="D3777" s="2" t="inlineStr">
        <is>
          <t>대량보유</t>
        </is>
      </c>
      <c r="E3777" s="3" t="inlineStr">
        <is>
          <t>이동훈</t>
        </is>
      </c>
      <c r="F3777" s="3" t="inlineStr">
        <is>
          <t>특별관계자</t>
        </is>
      </c>
      <c r="G3777" s="3" t="inlineStr">
        <is>
          <t>장내매수(+)</t>
        </is>
      </c>
      <c r="H3777" s="15" t="n">
        <v>900</v>
      </c>
      <c r="I3777" s="6" t="n">
        <v>9525</v>
      </c>
      <c r="J3777" s="6" t="n">
        <v>900</v>
      </c>
      <c r="K3777" s="16" t="n">
        <v>23</v>
      </c>
      <c r="L3777" s="2" t="inlineStr">
        <is>
          <t>20260610000072</t>
        </is>
      </c>
      <c r="M3777" s="8">
        <f>HYPERLINK("https://dart.fss.or.kr/dsaf001/main.do?rcpNo=20260610000072", "공시열람")</f>
        <v/>
      </c>
    </row>
    <row r="3778" ht="22" customHeight="1">
      <c r="A3778" s="2" t="inlineStr">
        <is>
          <t>2026-06-10</t>
        </is>
      </c>
      <c r="B3778" s="3" t="inlineStr">
        <is>
          <t>코퍼스코리아</t>
        </is>
      </c>
      <c r="C3778" s="2" t="inlineStr">
        <is>
          <t>322780</t>
        </is>
      </c>
      <c r="D3778" s="2" t="inlineStr">
        <is>
          <t>대량보유</t>
        </is>
      </c>
      <c r="E3778" s="3" t="inlineStr">
        <is>
          <t>제이비우리-디에스콘텐츠신기조합</t>
        </is>
      </c>
      <c r="F3778" s="3" t="inlineStr">
        <is>
          <t>특별관계자</t>
        </is>
      </c>
      <c r="G3778" s="3" t="inlineStr">
        <is>
          <t>주식병합, 장외매도(-)</t>
        </is>
      </c>
      <c r="H3778" s="17" t="n">
        <v>-5839138</v>
      </c>
      <c r="I3778" s="6" t="n">
        <v>6305</v>
      </c>
      <c r="J3778" s="6" t="n">
        <v>1366488</v>
      </c>
      <c r="K3778" s="16" t="n">
        <v>2</v>
      </c>
      <c r="L3778" s="2" t="inlineStr">
        <is>
          <t>20260610000071</t>
        </is>
      </c>
      <c r="M3778" s="8">
        <f>HYPERLINK("https://dart.fss.or.kr/dsaf001/main.do?rcpNo=20260610000071", "공시열람")</f>
        <v/>
      </c>
    </row>
    <row r="3779" ht="22" customHeight="1">
      <c r="A3779" s="2" t="inlineStr">
        <is>
          <t>2026-06-10</t>
        </is>
      </c>
      <c r="B3779" s="3" t="inlineStr">
        <is>
          <t>코퍼스코리아</t>
        </is>
      </c>
      <c r="C3779" s="2" t="inlineStr">
        <is>
          <t>322780</t>
        </is>
      </c>
      <c r="D3779" s="2" t="inlineStr">
        <is>
          <t>대량보유</t>
        </is>
      </c>
      <c r="E3779" s="3" t="inlineStr">
        <is>
          <t>키움-디에스메자닌블라인드신기술투자조합</t>
        </is>
      </c>
      <c r="F3779" s="3" t="inlineStr">
        <is>
          <t>특별관계자</t>
        </is>
      </c>
      <c r="G3779" s="3" t="inlineStr">
        <is>
          <t>주식병합, 장외매도(-)</t>
        </is>
      </c>
      <c r="H3779" s="17" t="n">
        <v>-1751741</v>
      </c>
      <c r="I3779" s="6" t="n">
        <v>6305</v>
      </c>
      <c r="J3779" s="6" t="n">
        <v>409946</v>
      </c>
      <c r="K3779" s="16" t="n">
        <v>2</v>
      </c>
      <c r="L3779" s="2" t="inlineStr">
        <is>
          <t>20260610000071</t>
        </is>
      </c>
      <c r="M3779" s="8">
        <f>HYPERLINK("https://dart.fss.or.kr/dsaf001/main.do?rcpNo=20260610000071", "공시열람")</f>
        <v/>
      </c>
    </row>
    <row r="3780" ht="22" customHeight="1">
      <c r="A3780" s="2" t="inlineStr">
        <is>
          <t>2026-06-10</t>
        </is>
      </c>
      <c r="B3780" s="3" t="inlineStr">
        <is>
          <t>에이프릴바이오</t>
        </is>
      </c>
      <c r="C3780" s="2" t="inlineStr">
        <is>
          <t>397030</t>
        </is>
      </c>
      <c r="D3780" s="2" t="inlineStr">
        <is>
          <t>대량보유</t>
        </is>
      </c>
      <c r="E3780" s="3" t="inlineStr">
        <is>
          <t>이베스트시노신기술조합제일호</t>
        </is>
      </c>
      <c r="F3780" s="3" t="inlineStr">
        <is>
          <t>특별관계자</t>
        </is>
      </c>
      <c r="G3780" s="3" t="inlineStr">
        <is>
          <t>장내매도(-)</t>
        </is>
      </c>
      <c r="H3780" s="17" t="n">
        <v>-225995</v>
      </c>
      <c r="I3780" s="6" t="n">
        <v>55069</v>
      </c>
      <c r="J3780" s="6" t="inlineStr"/>
      <c r="K3780" s="16" t="n">
        <v>7</v>
      </c>
      <c r="L3780" s="2" t="inlineStr">
        <is>
          <t>20260610000067</t>
        </is>
      </c>
      <c r="M3780" s="8">
        <f>HYPERLINK("https://dart.fss.or.kr/dsaf001/main.do?rcpNo=20260610000067", "공시열람")</f>
        <v/>
      </c>
    </row>
    <row r="3781" ht="22" customHeight="1">
      <c r="A3781" s="2" t="inlineStr">
        <is>
          <t>2026-06-10</t>
        </is>
      </c>
      <c r="B3781" s="3" t="inlineStr">
        <is>
          <t>에이프릴바이오</t>
        </is>
      </c>
      <c r="C3781" s="2" t="inlineStr">
        <is>
          <t>397030</t>
        </is>
      </c>
      <c r="D3781" s="2" t="inlineStr">
        <is>
          <t>대량보유</t>
        </is>
      </c>
      <c r="E3781" s="3" t="inlineStr">
        <is>
          <t>(주)씨앤엠무역</t>
        </is>
      </c>
      <c r="F3781" s="3" t="inlineStr">
        <is>
          <t>특별관계자</t>
        </is>
      </c>
      <c r="G3781" s="3" t="inlineStr">
        <is>
          <t>장내매도(-)</t>
        </is>
      </c>
      <c r="H3781" s="17" t="n">
        <v>-984</v>
      </c>
      <c r="I3781" s="6" t="n">
        <v>43047</v>
      </c>
      <c r="J3781" s="6" t="n">
        <v>1460</v>
      </c>
      <c r="K3781" s="16" t="n">
        <v>7</v>
      </c>
      <c r="L3781" s="2" t="inlineStr">
        <is>
          <t>20260610000067</t>
        </is>
      </c>
      <c r="M3781" s="8">
        <f>HYPERLINK("https://dart.fss.or.kr/dsaf001/main.do?rcpNo=20260610000067", "공시열람")</f>
        <v/>
      </c>
    </row>
    <row r="3782" ht="22" customHeight="1">
      <c r="A3782" s="2" t="inlineStr">
        <is>
          <t>2026-06-10</t>
        </is>
      </c>
      <c r="B3782" s="3" t="inlineStr">
        <is>
          <t>에이프릴바이오</t>
        </is>
      </c>
      <c r="C3782" s="2" t="inlineStr">
        <is>
          <t>397030</t>
        </is>
      </c>
      <c r="D3782" s="2" t="inlineStr">
        <is>
          <t>대량보유</t>
        </is>
      </c>
      <c r="E3782" s="3" t="inlineStr">
        <is>
          <t>민상식</t>
        </is>
      </c>
      <c r="F3782" s="3" t="inlineStr">
        <is>
          <t>특별관계자</t>
        </is>
      </c>
      <c r="G3782" s="3" t="inlineStr">
        <is>
          <t>장내매도(-)</t>
        </is>
      </c>
      <c r="H3782" s="17" t="n">
        <v>-3162</v>
      </c>
      <c r="I3782" s="6" t="n">
        <v>20020</v>
      </c>
      <c r="J3782" s="6" t="n">
        <v>76838</v>
      </c>
      <c r="K3782" s="16" t="n">
        <v>7</v>
      </c>
      <c r="L3782" s="2" t="inlineStr">
        <is>
          <t>20260610000067</t>
        </is>
      </c>
      <c r="M3782" s="8">
        <f>HYPERLINK("https://dart.fss.or.kr/dsaf001/main.do?rcpNo=20260610000067", "공시열람")</f>
        <v/>
      </c>
    </row>
    <row r="3783" ht="22" customHeight="1">
      <c r="A3783" s="2" t="inlineStr">
        <is>
          <t>2026-06-10</t>
        </is>
      </c>
      <c r="B3783" s="3" t="inlineStr">
        <is>
          <t>에이프릴바이오</t>
        </is>
      </c>
      <c r="C3783" s="2" t="inlineStr">
        <is>
          <t>397030</t>
        </is>
      </c>
      <c r="D3783" s="2" t="inlineStr">
        <is>
          <t>대량보유</t>
        </is>
      </c>
      <c r="E3783" s="3" t="inlineStr">
        <is>
          <t>민병권</t>
        </is>
      </c>
      <c r="F3783" s="3" t="inlineStr">
        <is>
          <t>특별관계자</t>
        </is>
      </c>
      <c r="G3783" s="3" t="inlineStr">
        <is>
          <t>장내매도(-)</t>
        </is>
      </c>
      <c r="H3783" s="17" t="n">
        <v>-17331</v>
      </c>
      <c r="I3783" s="6" t="n">
        <v>49271</v>
      </c>
      <c r="J3783" s="6" t="n">
        <v>30000</v>
      </c>
      <c r="K3783" s="16" t="n">
        <v>7</v>
      </c>
      <c r="L3783" s="2" t="inlineStr">
        <is>
          <t>20260610000067</t>
        </is>
      </c>
      <c r="M3783" s="8">
        <f>HYPERLINK("https://dart.fss.or.kr/dsaf001/main.do?rcpNo=20260610000067", "공시열람")</f>
        <v/>
      </c>
    </row>
    <row r="3784" ht="22" customHeight="1">
      <c r="A3784" s="2" t="inlineStr">
        <is>
          <t>2026-06-10</t>
        </is>
      </c>
      <c r="B3784" s="3" t="inlineStr">
        <is>
          <t>에이프릴바이오</t>
        </is>
      </c>
      <c r="C3784" s="2" t="inlineStr">
        <is>
          <t>397030</t>
        </is>
      </c>
      <c r="D3784" s="2" t="inlineStr">
        <is>
          <t>대량보유</t>
        </is>
      </c>
      <c r="E3784" s="3" t="inlineStr">
        <is>
          <t>민예다</t>
        </is>
      </c>
      <c r="F3784" s="3" t="inlineStr">
        <is>
          <t>특별관계자</t>
        </is>
      </c>
      <c r="G3784" s="3" t="inlineStr">
        <is>
          <t>장내매도(-)</t>
        </is>
      </c>
      <c r="H3784" s="17" t="n">
        <v>-13000</v>
      </c>
      <c r="I3784" s="6" t="n">
        <v>68519</v>
      </c>
      <c r="J3784" s="6" t="n">
        <v>57000</v>
      </c>
      <c r="K3784" s="16" t="n">
        <v>7</v>
      </c>
      <c r="L3784" s="2" t="inlineStr">
        <is>
          <t>20260610000067</t>
        </is>
      </c>
      <c r="M3784" s="8">
        <f>HYPERLINK("https://dart.fss.or.kr/dsaf001/main.do?rcpNo=20260610000067", "공시열람")</f>
        <v/>
      </c>
    </row>
    <row r="3785" ht="22" customHeight="1">
      <c r="A3785" s="2" t="inlineStr">
        <is>
          <t>2026-06-10</t>
        </is>
      </c>
      <c r="B3785" s="3" t="inlineStr">
        <is>
          <t>에이프릴바이오</t>
        </is>
      </c>
      <c r="C3785" s="2" t="inlineStr">
        <is>
          <t>397030</t>
        </is>
      </c>
      <c r="D3785" s="2" t="inlineStr">
        <is>
          <t>대량보유</t>
        </is>
      </c>
      <c r="E3785" s="3" t="inlineStr">
        <is>
          <t>장경희</t>
        </is>
      </c>
      <c r="F3785" s="3" t="inlineStr">
        <is>
          <t>특별관계자</t>
        </is>
      </c>
      <c r="G3785" s="3" t="inlineStr">
        <is>
          <t>장내매도(-)</t>
        </is>
      </c>
      <c r="H3785" s="17" t="n">
        <v>-7000</v>
      </c>
      <c r="I3785" s="6" t="n">
        <v>71014</v>
      </c>
      <c r="J3785" s="6" t="n">
        <v>13000</v>
      </c>
      <c r="K3785" s="16" t="n">
        <v>7</v>
      </c>
      <c r="L3785" s="2" t="inlineStr">
        <is>
          <t>20260610000067</t>
        </is>
      </c>
      <c r="M3785" s="8">
        <f>HYPERLINK("https://dart.fss.or.kr/dsaf001/main.do?rcpNo=20260610000067", "공시열람")</f>
        <v/>
      </c>
    </row>
    <row r="3786" ht="22" customHeight="1">
      <c r="A3786" s="2" t="inlineStr">
        <is>
          <t>2026-06-10</t>
        </is>
      </c>
      <c r="B3786" s="3" t="inlineStr">
        <is>
          <t>예스티</t>
        </is>
      </c>
      <c r="C3786" s="2" t="inlineStr">
        <is>
          <t>122640</t>
        </is>
      </c>
      <c r="D3786" s="2" t="inlineStr">
        <is>
          <t>대량보유</t>
        </is>
      </c>
      <c r="E3786" s="3" t="inlineStr">
        <is>
          <t>장동복</t>
        </is>
      </c>
      <c r="F3786" s="3" t="inlineStr">
        <is>
          <t>보고자</t>
        </is>
      </c>
      <c r="G3786" s="3" t="inlineStr">
        <is>
          <t>보통주식 증가</t>
        </is>
      </c>
      <c r="H3786" s="6" t="inlineStr"/>
      <c r="I3786" s="6" t="inlineStr"/>
      <c r="J3786" s="6" t="n">
        <v>5617077</v>
      </c>
      <c r="K3786" s="16" t="n">
        <v>3</v>
      </c>
      <c r="L3786" s="2" t="inlineStr">
        <is>
          <t>20260610000065</t>
        </is>
      </c>
      <c r="M3786" s="8">
        <f>HYPERLINK("https://dart.fss.or.kr/dsaf001/main.do?rcpNo=20260610000065", "공시열람")</f>
        <v/>
      </c>
    </row>
    <row r="3787" ht="22" customHeight="1">
      <c r="A3787" s="2" t="inlineStr">
        <is>
          <t>2026-06-10</t>
        </is>
      </c>
      <c r="B3787" s="3" t="inlineStr">
        <is>
          <t>SDN</t>
        </is>
      </c>
      <c r="C3787" s="2" t="inlineStr">
        <is>
          <t>099220</t>
        </is>
      </c>
      <c r="D3787" s="2" t="inlineStr">
        <is>
          <t>대량보유</t>
        </is>
      </c>
      <c r="E3787" s="3" t="inlineStr">
        <is>
          <t>최기혁</t>
        </is>
      </c>
      <c r="F3787" s="3" t="inlineStr">
        <is>
          <t>특별관계자</t>
        </is>
      </c>
      <c r="G3787" s="3" t="inlineStr">
        <is>
          <t>장내매수(+)</t>
        </is>
      </c>
      <c r="H3787" s="15" t="n">
        <v>91328</v>
      </c>
      <c r="I3787" s="6" t="n">
        <v>936</v>
      </c>
      <c r="J3787" s="6" t="n">
        <v>3911328</v>
      </c>
      <c r="K3787" s="16" t="n">
        <v>14</v>
      </c>
      <c r="L3787" s="2" t="inlineStr">
        <is>
          <t>20260610000012</t>
        </is>
      </c>
      <c r="M3787" s="8">
        <f>HYPERLINK("https://dart.fss.or.kr/dsaf001/main.do?rcpNo=20260610000012", "공시열람")</f>
        <v/>
      </c>
    </row>
    <row r="3788" ht="22" customHeight="1">
      <c r="A3788" s="2" t="inlineStr">
        <is>
          <t>2026-06-10</t>
        </is>
      </c>
      <c r="B3788" s="3" t="inlineStr">
        <is>
          <t>SDN</t>
        </is>
      </c>
      <c r="C3788" s="2" t="inlineStr">
        <is>
          <t>099220</t>
        </is>
      </c>
      <c r="D3788" s="2" t="inlineStr">
        <is>
          <t>대량보유</t>
        </is>
      </c>
      <c r="E3788" s="3" t="inlineStr">
        <is>
          <t>최유선</t>
        </is>
      </c>
      <c r="F3788" s="3" t="inlineStr">
        <is>
          <t>특별관계자</t>
        </is>
      </c>
      <c r="G3788" s="3" t="inlineStr">
        <is>
          <t>장내매수(+)</t>
        </is>
      </c>
      <c r="H3788" s="15" t="n">
        <v>23114</v>
      </c>
      <c r="I3788" s="6" t="n">
        <v>1432</v>
      </c>
      <c r="J3788" s="6" t="n">
        <v>156366</v>
      </c>
      <c r="K3788" s="16" t="n">
        <v>14</v>
      </c>
      <c r="L3788" s="2" t="inlineStr">
        <is>
          <t>20260610000012</t>
        </is>
      </c>
      <c r="M3788" s="8">
        <f>HYPERLINK("https://dart.fss.or.kr/dsaf001/main.do?rcpNo=20260610000012", "공시열람")</f>
        <v/>
      </c>
    </row>
    <row r="3789" ht="22" customHeight="1">
      <c r="A3789" s="2" t="inlineStr">
        <is>
          <t>2026-06-10</t>
        </is>
      </c>
      <c r="B3789" s="3" t="inlineStr">
        <is>
          <t>삼성SDI</t>
        </is>
      </c>
      <c r="C3789" s="2" t="inlineStr">
        <is>
          <t>006400</t>
        </is>
      </c>
      <c r="D3789" s="2" t="inlineStr">
        <is>
          <t>임원보고</t>
        </is>
      </c>
      <c r="E3789" s="3" t="inlineStr">
        <is>
          <t>-</t>
        </is>
      </c>
      <c r="F3789" s="3" t="inlineStr">
        <is>
          <t>-</t>
        </is>
      </c>
      <c r="G3789" s="3" t="inlineStr">
        <is>
          <t>-</t>
        </is>
      </c>
      <c r="H3789" s="6" t="inlineStr"/>
      <c r="I3789" s="6" t="inlineStr"/>
      <c r="J3789" s="6" t="inlineStr"/>
      <c r="K3789" s="16" t="n">
        <v>12</v>
      </c>
      <c r="L3789" s="2" t="inlineStr">
        <is>
          <t>20260610800111</t>
        </is>
      </c>
      <c r="M3789" s="8">
        <f>HYPERLINK("https://dart.fss.or.kr/dsaf001/main.do?rcpNo=20260610800111", "공시열람")</f>
        <v/>
      </c>
    </row>
    <row r="3790" ht="22" customHeight="1">
      <c r="A3790" s="2" t="inlineStr">
        <is>
          <t>2026-06-10</t>
        </is>
      </c>
      <c r="B3790" s="3" t="inlineStr">
        <is>
          <t>아리바이오LAB</t>
        </is>
      </c>
      <c r="C3790" s="2" t="inlineStr">
        <is>
          <t>261780</t>
        </is>
      </c>
      <c r="D3790" s="2" t="inlineStr">
        <is>
          <t>대량보유</t>
        </is>
      </c>
      <c r="E3790" s="3" t="inlineStr">
        <is>
          <t>(주)소룩스</t>
        </is>
      </c>
      <c r="F3790" s="3" t="inlineStr">
        <is>
          <t>보고자</t>
        </is>
      </c>
      <c r="G3790" s="3" t="inlineStr">
        <is>
          <t>- 기존 주식담보대출 상환- 신규 주식담보대출 계약 체결</t>
        </is>
      </c>
      <c r="H3790" s="6" t="inlineStr"/>
      <c r="I3790" s="6" t="inlineStr"/>
      <c r="J3790" s="6" t="n">
        <v>3948813</v>
      </c>
      <c r="K3790" s="16" t="n">
        <v>1</v>
      </c>
      <c r="L3790" s="2" t="inlineStr">
        <is>
          <t>20260609000535</t>
        </is>
      </c>
      <c r="M3790" s="8">
        <f>HYPERLINK("https://dart.fss.or.kr/dsaf001/main.do?rcpNo=20260609000535", "공시열람")</f>
        <v/>
      </c>
    </row>
    <row r="3791" ht="22" customHeight="1">
      <c r="A3791" s="2" t="inlineStr">
        <is>
          <t>2026-06-11</t>
        </is>
      </c>
      <c r="B3791" s="3" t="inlineStr">
        <is>
          <t>DSR제강</t>
        </is>
      </c>
      <c r="C3791" s="2" t="inlineStr">
        <is>
          <t>069730</t>
        </is>
      </c>
      <c r="D3791" s="2" t="inlineStr">
        <is>
          <t>임원보고</t>
        </is>
      </c>
      <c r="E3791" s="3" t="inlineStr">
        <is>
          <t>-</t>
        </is>
      </c>
      <c r="F3791" s="3" t="inlineStr">
        <is>
          <t>-</t>
        </is>
      </c>
      <c r="G3791" s="3" t="inlineStr">
        <is>
          <t>-</t>
        </is>
      </c>
      <c r="H3791" s="6" t="inlineStr"/>
      <c r="I3791" s="6" t="inlineStr"/>
      <c r="J3791" s="6" t="inlineStr"/>
      <c r="K3791" s="16" t="n">
        <v>12</v>
      </c>
      <c r="L3791" s="2" t="inlineStr">
        <is>
          <t>20260611800862</t>
        </is>
      </c>
      <c r="M3791" s="8">
        <f>HYPERLINK("https://dart.fss.or.kr/dsaf001/main.do?rcpNo=20260611800862", "공시열람")</f>
        <v/>
      </c>
    </row>
    <row r="3792" ht="22" customHeight="1">
      <c r="A3792" s="2" t="inlineStr">
        <is>
          <t>2026-06-11</t>
        </is>
      </c>
      <c r="B3792" s="3" t="inlineStr">
        <is>
          <t>RF머트리얼즈</t>
        </is>
      </c>
      <c r="C3792" s="2" t="inlineStr">
        <is>
          <t>327260</t>
        </is>
      </c>
      <c r="D3792" s="2" t="inlineStr">
        <is>
          <t>대량보유</t>
        </is>
      </c>
      <c r="E3792" s="3" t="inlineStr">
        <is>
          <t>김주현</t>
        </is>
      </c>
      <c r="F3792" s="3" t="inlineStr">
        <is>
          <t>특별관계자</t>
        </is>
      </c>
      <c r="G3792" s="3" t="inlineStr">
        <is>
          <t>장내매도(-), 주식매수선택권행사(-), 주식매수선택권행사(+), 기타(+)</t>
        </is>
      </c>
      <c r="H3792" s="17" t="n">
        <v>-4124</v>
      </c>
      <c r="I3792" s="6" t="n">
        <v>31833</v>
      </c>
      <c r="J3792" s="6" t="inlineStr"/>
      <c r="K3792" s="16" t="n">
        <v>7</v>
      </c>
      <c r="L3792" s="2" t="inlineStr">
        <is>
          <t>20260611000665</t>
        </is>
      </c>
      <c r="M3792" s="8">
        <f>HYPERLINK("https://dart.fss.or.kr/dsaf001/main.do?rcpNo=20260611000665", "공시열람")</f>
        <v/>
      </c>
    </row>
    <row r="3793" ht="22" customHeight="1">
      <c r="A3793" s="2" t="inlineStr">
        <is>
          <t>2026-06-11</t>
        </is>
      </c>
      <c r="B3793" s="3" t="inlineStr">
        <is>
          <t>RF머트리얼즈</t>
        </is>
      </c>
      <c r="C3793" s="2" t="inlineStr">
        <is>
          <t>327260</t>
        </is>
      </c>
      <c r="D3793" s="2" t="inlineStr">
        <is>
          <t>대량보유</t>
        </is>
      </c>
      <c r="E3793" s="3" t="inlineStr">
        <is>
          <t>남동우</t>
        </is>
      </c>
      <c r="F3793" s="3" t="inlineStr">
        <is>
          <t>특별관계자</t>
        </is>
      </c>
      <c r="G3793" s="3" t="inlineStr">
        <is>
          <t>주식매수선택권행사(-), 주식매수선택권행사(+), 장내매도(-), 기타(+)</t>
        </is>
      </c>
      <c r="H3793" s="17" t="n">
        <v>-31000</v>
      </c>
      <c r="I3793" s="6" t="n">
        <v>37177</v>
      </c>
      <c r="J3793" s="6" t="inlineStr"/>
      <c r="K3793" s="16" t="n">
        <v>7</v>
      </c>
      <c r="L3793" s="2" t="inlineStr">
        <is>
          <t>20260611000665</t>
        </is>
      </c>
      <c r="M3793" s="8">
        <f>HYPERLINK("https://dart.fss.or.kr/dsaf001/main.do?rcpNo=20260611000665", "공시열람")</f>
        <v/>
      </c>
    </row>
    <row r="3794" ht="22" customHeight="1">
      <c r="A3794" s="2" t="inlineStr">
        <is>
          <t>2026-06-11</t>
        </is>
      </c>
      <c r="B3794" s="3" t="inlineStr">
        <is>
          <t>RF머트리얼즈</t>
        </is>
      </c>
      <c r="C3794" s="2" t="inlineStr">
        <is>
          <t>327260</t>
        </is>
      </c>
      <c r="D3794" s="2" t="inlineStr">
        <is>
          <t>대량보유</t>
        </is>
      </c>
      <c r="E3794" s="3" t="inlineStr">
        <is>
          <t>김종기</t>
        </is>
      </c>
      <c r="F3794" s="3" t="inlineStr">
        <is>
          <t>특별관계자</t>
        </is>
      </c>
      <c r="G3794" s="3" t="inlineStr">
        <is>
          <t>주식매수선택권행사(-), 주식매수선택권행사(+), 장내매도(-), 기타(+)</t>
        </is>
      </c>
      <c r="H3794" s="17" t="n">
        <v>-904</v>
      </c>
      <c r="I3794" s="6" t="n">
        <v>9542</v>
      </c>
      <c r="J3794" s="6" t="inlineStr"/>
      <c r="K3794" s="16" t="n">
        <v>7</v>
      </c>
      <c r="L3794" s="2" t="inlineStr">
        <is>
          <t>20260611000665</t>
        </is>
      </c>
      <c r="M3794" s="8">
        <f>HYPERLINK("https://dart.fss.or.kr/dsaf001/main.do?rcpNo=20260611000665", "공시열람")</f>
        <v/>
      </c>
    </row>
    <row r="3795" ht="22" customHeight="1">
      <c r="A3795" s="2" t="inlineStr">
        <is>
          <t>2026-06-11</t>
        </is>
      </c>
      <c r="B3795" s="3" t="inlineStr">
        <is>
          <t>RF머트리얼즈</t>
        </is>
      </c>
      <c r="C3795" s="2" t="inlineStr">
        <is>
          <t>327260</t>
        </is>
      </c>
      <c r="D3795" s="2" t="inlineStr">
        <is>
          <t>대량보유</t>
        </is>
      </c>
      <c r="E3795" s="3" t="inlineStr">
        <is>
          <t>김시남</t>
        </is>
      </c>
      <c r="F3795" s="3" t="inlineStr">
        <is>
          <t>특별관계자</t>
        </is>
      </c>
      <c r="G3795" s="3" t="inlineStr">
        <is>
          <t>장내매도(-), 장내매수(+), 기타(+)</t>
        </is>
      </c>
      <c r="H3795" s="17" t="n">
        <v>-14040</v>
      </c>
      <c r="I3795" s="6" t="n">
        <v>40608</v>
      </c>
      <c r="J3795" s="6" t="n">
        <v>1446</v>
      </c>
      <c r="K3795" s="16" t="n">
        <v>7</v>
      </c>
      <c r="L3795" s="2" t="inlineStr">
        <is>
          <t>20260611000665</t>
        </is>
      </c>
      <c r="M3795" s="8">
        <f>HYPERLINK("https://dart.fss.or.kr/dsaf001/main.do?rcpNo=20260611000665", "공시열람")</f>
        <v/>
      </c>
    </row>
    <row r="3796" ht="22" customHeight="1">
      <c r="A3796" s="2" t="inlineStr">
        <is>
          <t>2026-06-11</t>
        </is>
      </c>
      <c r="B3796" s="3" t="inlineStr">
        <is>
          <t>RF머트리얼즈</t>
        </is>
      </c>
      <c r="C3796" s="2" t="inlineStr">
        <is>
          <t>327260</t>
        </is>
      </c>
      <c r="D3796" s="2" t="inlineStr">
        <is>
          <t>대량보유</t>
        </is>
      </c>
      <c r="E3796" s="3" t="inlineStr">
        <is>
          <t>박근영</t>
        </is>
      </c>
      <c r="F3796" s="3" t="inlineStr">
        <is>
          <t>특별관계자</t>
        </is>
      </c>
      <c r="G3796" s="3" t="inlineStr">
        <is>
          <t>장내매도(-), 기타(+)</t>
        </is>
      </c>
      <c r="H3796" s="17" t="n">
        <v>-1600</v>
      </c>
      <c r="I3796" s="6" t="n">
        <v>39664</v>
      </c>
      <c r="J3796" s="6" t="inlineStr"/>
      <c r="K3796" s="16" t="n">
        <v>7</v>
      </c>
      <c r="L3796" s="2" t="inlineStr">
        <is>
          <t>20260611000665</t>
        </is>
      </c>
      <c r="M3796" s="8">
        <f>HYPERLINK("https://dart.fss.or.kr/dsaf001/main.do?rcpNo=20260611000665", "공시열람")</f>
        <v/>
      </c>
    </row>
    <row r="3797" ht="22" customHeight="1">
      <c r="A3797" s="2" t="inlineStr">
        <is>
          <t>2026-06-11</t>
        </is>
      </c>
      <c r="B3797" s="3" t="inlineStr">
        <is>
          <t>RF머트리얼즈</t>
        </is>
      </c>
      <c r="C3797" s="2" t="inlineStr">
        <is>
          <t>327260</t>
        </is>
      </c>
      <c r="D3797" s="2" t="inlineStr">
        <is>
          <t>대량보유</t>
        </is>
      </c>
      <c r="E3797" s="3" t="inlineStr">
        <is>
          <t>임성은</t>
        </is>
      </c>
      <c r="F3797" s="3" t="inlineStr">
        <is>
          <t>특별관계자</t>
        </is>
      </c>
      <c r="G3797" s="3" t="inlineStr">
        <is>
          <t>주식매수선택권부여취소(-), 임원퇴임(-)</t>
        </is>
      </c>
      <c r="H3797" s="17" t="n">
        <v>-30000</v>
      </c>
      <c r="I3797" s="6" t="inlineStr"/>
      <c r="J3797" s="6" t="inlineStr"/>
      <c r="K3797" s="16" t="n">
        <v>7</v>
      </c>
      <c r="L3797" s="2" t="inlineStr">
        <is>
          <t>20260611000665</t>
        </is>
      </c>
      <c r="M3797" s="8">
        <f>HYPERLINK("https://dart.fss.or.kr/dsaf001/main.do?rcpNo=20260611000665", "공시열람")</f>
        <v/>
      </c>
    </row>
    <row r="3798" ht="22" customHeight="1">
      <c r="A3798" s="2" t="inlineStr">
        <is>
          <t>2026-06-11</t>
        </is>
      </c>
      <c r="B3798" s="3" t="inlineStr">
        <is>
          <t>RF머트리얼즈</t>
        </is>
      </c>
      <c r="C3798" s="2" t="inlineStr">
        <is>
          <t>327260</t>
        </is>
      </c>
      <c r="D3798" s="2" t="inlineStr">
        <is>
          <t>대량보유</t>
        </is>
      </c>
      <c r="E3798" s="3" t="inlineStr">
        <is>
          <t>알에프에이치아이씨(주)</t>
        </is>
      </c>
      <c r="F3798" s="3" t="inlineStr">
        <is>
          <t>특별관계자</t>
        </is>
      </c>
      <c r="G3798" s="3" t="inlineStr">
        <is>
          <t>기타(+)</t>
        </is>
      </c>
      <c r="H3798" s="15" t="n">
        <v>207742</v>
      </c>
      <c r="I3798" s="6" t="inlineStr"/>
      <c r="J3798" s="6" t="n">
        <v>207742</v>
      </c>
      <c r="K3798" s="16" t="n">
        <v>7</v>
      </c>
      <c r="L3798" s="2" t="inlineStr">
        <is>
          <t>20260611000665</t>
        </is>
      </c>
      <c r="M3798" s="8">
        <f>HYPERLINK("https://dart.fss.or.kr/dsaf001/main.do?rcpNo=20260611000665", "공시열람")</f>
        <v/>
      </c>
    </row>
    <row r="3799" ht="22" customHeight="1">
      <c r="A3799" s="2" t="inlineStr">
        <is>
          <t>2026-06-11</t>
        </is>
      </c>
      <c r="B3799" s="3" t="inlineStr">
        <is>
          <t>RF머트리얼즈</t>
        </is>
      </c>
      <c r="C3799" s="2" t="inlineStr">
        <is>
          <t>327260</t>
        </is>
      </c>
      <c r="D3799" s="2" t="inlineStr">
        <is>
          <t>대량보유</t>
        </is>
      </c>
      <c r="E3799" s="3" t="inlineStr">
        <is>
          <t>한기우</t>
        </is>
      </c>
      <c r="F3799" s="3" t="inlineStr">
        <is>
          <t>특별관계자</t>
        </is>
      </c>
      <c r="G3799" s="3" t="inlineStr">
        <is>
          <t>기타(+), 장내매도(-)</t>
        </is>
      </c>
      <c r="H3799" s="6" t="inlineStr"/>
      <c r="I3799" s="6" t="n">
        <v>16180</v>
      </c>
      <c r="J3799" s="6" t="inlineStr"/>
      <c r="K3799" s="16" t="n">
        <v>7</v>
      </c>
      <c r="L3799" s="2" t="inlineStr">
        <is>
          <t>20260611000665</t>
        </is>
      </c>
      <c r="M3799" s="8">
        <f>HYPERLINK("https://dart.fss.or.kr/dsaf001/main.do?rcpNo=20260611000665", "공시열람")</f>
        <v/>
      </c>
    </row>
    <row r="3800" ht="22" customHeight="1">
      <c r="A3800" s="2" t="inlineStr">
        <is>
          <t>2026-06-11</t>
        </is>
      </c>
      <c r="B3800" s="3" t="inlineStr">
        <is>
          <t>티앤엘</t>
        </is>
      </c>
      <c r="C3800" s="2" t="inlineStr">
        <is>
          <t>340570</t>
        </is>
      </c>
      <c r="D3800" s="2" t="inlineStr">
        <is>
          <t>대량보유</t>
        </is>
      </c>
      <c r="E3800" s="3" t="inlineStr">
        <is>
          <t>최승우</t>
        </is>
      </c>
      <c r="F3800" s="3" t="inlineStr">
        <is>
          <t>특별관계자</t>
        </is>
      </c>
      <c r="G3800" s="3" t="inlineStr">
        <is>
          <t>임원퇴임(-)</t>
        </is>
      </c>
      <c r="H3800" s="17" t="n">
        <v>-200000</v>
      </c>
      <c r="I3800" s="6" t="inlineStr"/>
      <c r="J3800" s="6" t="inlineStr"/>
      <c r="K3800" s="16" t="n">
        <v>8</v>
      </c>
      <c r="L3800" s="2" t="inlineStr">
        <is>
          <t>20260611000662</t>
        </is>
      </c>
      <c r="M3800" s="8">
        <f>HYPERLINK("https://dart.fss.or.kr/dsaf001/main.do?rcpNo=20260611000662", "공시열람")</f>
        <v/>
      </c>
    </row>
    <row r="3801" ht="22" customHeight="1">
      <c r="A3801" s="2" t="inlineStr">
        <is>
          <t>2026-06-11</t>
        </is>
      </c>
      <c r="B3801" s="3" t="inlineStr">
        <is>
          <t>유안타증권</t>
        </is>
      </c>
      <c r="C3801" s="2" t="inlineStr">
        <is>
          <t>003470</t>
        </is>
      </c>
      <c r="D3801" s="2" t="inlineStr">
        <is>
          <t>임원보고</t>
        </is>
      </c>
      <c r="E3801" s="3" t="inlineStr">
        <is>
          <t>-</t>
        </is>
      </c>
      <c r="F3801" s="3" t="inlineStr">
        <is>
          <t>-</t>
        </is>
      </c>
      <c r="G3801" s="3" t="inlineStr">
        <is>
          <t>-</t>
        </is>
      </c>
      <c r="H3801" s="6" t="inlineStr"/>
      <c r="I3801" s="6" t="inlineStr"/>
      <c r="J3801" s="6" t="inlineStr"/>
      <c r="K3801" s="16" t="n">
        <v>12</v>
      </c>
      <c r="L3801" s="2" t="inlineStr">
        <is>
          <t>20260611800803</t>
        </is>
      </c>
      <c r="M3801" s="8">
        <f>HYPERLINK("https://dart.fss.or.kr/dsaf001/main.do?rcpNo=20260611800803", "공시열람")</f>
        <v/>
      </c>
    </row>
    <row r="3802" ht="22" customHeight="1">
      <c r="A3802" s="2" t="inlineStr">
        <is>
          <t>2026-06-11</t>
        </is>
      </c>
      <c r="B3802" s="3" t="inlineStr">
        <is>
          <t>폰드그룹</t>
        </is>
      </c>
      <c r="C3802" s="2" t="inlineStr">
        <is>
          <t>472850</t>
        </is>
      </c>
      <c r="D3802" s="2" t="inlineStr">
        <is>
          <t>대량보유</t>
        </is>
      </c>
      <c r="E3802" s="3" t="inlineStr">
        <is>
          <t>㈜대명화학</t>
        </is>
      </c>
      <c r="F3802" s="3" t="inlineStr">
        <is>
          <t>보고자</t>
        </is>
      </c>
      <c r="G3802" s="3" t="inlineStr">
        <is>
          <t>- 주식담보계약 등의 주요계약 일부변경</t>
        </is>
      </c>
      <c r="H3802" s="6" t="inlineStr"/>
      <c r="I3802" s="6" t="inlineStr"/>
      <c r="J3802" s="6" t="n">
        <v>44363256</v>
      </c>
      <c r="K3802" s="16" t="n">
        <v>3</v>
      </c>
      <c r="L3802" s="2" t="inlineStr">
        <is>
          <t>20260611000646</t>
        </is>
      </c>
      <c r="M3802" s="8">
        <f>HYPERLINK("https://dart.fss.or.kr/dsaf001/main.do?rcpNo=20260611000646", "공시열람")</f>
        <v/>
      </c>
    </row>
    <row r="3803" ht="22" customHeight="1">
      <c r="A3803" s="2" t="inlineStr">
        <is>
          <t>2026-06-11</t>
        </is>
      </c>
      <c r="B3803" s="3" t="inlineStr">
        <is>
          <t>금호에이치티</t>
        </is>
      </c>
      <c r="C3803" s="2" t="inlineStr">
        <is>
          <t>214330</t>
        </is>
      </c>
      <c r="D3803" s="2" t="inlineStr">
        <is>
          <t>임원보고</t>
        </is>
      </c>
      <c r="E3803" s="3" t="inlineStr">
        <is>
          <t>-</t>
        </is>
      </c>
      <c r="F3803" s="3" t="inlineStr">
        <is>
          <t>-</t>
        </is>
      </c>
      <c r="G3803" s="3" t="inlineStr">
        <is>
          <t>-</t>
        </is>
      </c>
      <c r="H3803" s="6" t="inlineStr"/>
      <c r="I3803" s="6" t="inlineStr"/>
      <c r="J3803" s="6" t="inlineStr"/>
      <c r="K3803" s="16" t="n">
        <v>12</v>
      </c>
      <c r="L3803" s="2" t="inlineStr">
        <is>
          <t>20260611800788</t>
        </is>
      </c>
      <c r="M3803" s="8">
        <f>HYPERLINK("https://dart.fss.or.kr/dsaf001/main.do?rcpNo=20260611800788", "공시열람")</f>
        <v/>
      </c>
    </row>
    <row r="3804" ht="22" customHeight="1">
      <c r="A3804" s="2" t="inlineStr">
        <is>
          <t>2026-06-11</t>
        </is>
      </c>
      <c r="B3804" s="3" t="inlineStr">
        <is>
          <t>금호에이치티</t>
        </is>
      </c>
      <c r="C3804" s="2" t="inlineStr">
        <is>
          <t>214330</t>
        </is>
      </c>
      <c r="D3804" s="2" t="inlineStr">
        <is>
          <t>대량보유</t>
        </is>
      </c>
      <c r="E3804" s="3" t="inlineStr">
        <is>
          <t>김두인</t>
        </is>
      </c>
      <c r="F3804" s="3" t="inlineStr">
        <is>
          <t>특별관계자</t>
        </is>
      </c>
      <c r="G3804" s="3" t="inlineStr">
        <is>
          <t>장내매수(+), 자본감소</t>
        </is>
      </c>
      <c r="H3804" s="17" t="n">
        <v>-5000</v>
      </c>
      <c r="I3804" s="6" t="n">
        <v>3017</v>
      </c>
      <c r="J3804" s="6" t="n">
        <v>35000</v>
      </c>
      <c r="K3804" s="16" t="n">
        <v>3</v>
      </c>
      <c r="L3804" s="2" t="inlineStr">
        <is>
          <t>20260611000634</t>
        </is>
      </c>
      <c r="M3804" s="8">
        <f>HYPERLINK("https://dart.fss.or.kr/dsaf001/main.do?rcpNo=20260611000634", "공시열람")</f>
        <v/>
      </c>
    </row>
    <row r="3805" ht="22" customHeight="1">
      <c r="A3805" s="2" t="inlineStr">
        <is>
          <t>2026-06-11</t>
        </is>
      </c>
      <c r="B3805" s="3" t="inlineStr">
        <is>
          <t>금호에이치티</t>
        </is>
      </c>
      <c r="C3805" s="2" t="inlineStr">
        <is>
          <t>214330</t>
        </is>
      </c>
      <c r="D3805" s="2" t="inlineStr">
        <is>
          <t>대량보유</t>
        </is>
      </c>
      <c r="E3805" s="3" t="inlineStr">
        <is>
          <t>에코볼트주식회사</t>
        </is>
      </c>
      <c r="F3805" s="3" t="inlineStr">
        <is>
          <t>특별관계자</t>
        </is>
      </c>
      <c r="G3805" s="3" t="inlineStr">
        <is>
          <t>자본감소</t>
        </is>
      </c>
      <c r="H3805" s="17" t="n">
        <v>-3525183</v>
      </c>
      <c r="I3805" s="6" t="inlineStr"/>
      <c r="J3805" s="6" t="n">
        <v>3525183</v>
      </c>
      <c r="K3805" s="16" t="n">
        <v>3</v>
      </c>
      <c r="L3805" s="2" t="inlineStr">
        <is>
          <t>20260611000634</t>
        </is>
      </c>
      <c r="M3805" s="8">
        <f>HYPERLINK("https://dart.fss.or.kr/dsaf001/main.do?rcpNo=20260611000634", "공시열람")</f>
        <v/>
      </c>
    </row>
    <row r="3806" ht="22" customHeight="1">
      <c r="A3806" s="2" t="inlineStr">
        <is>
          <t>2026-06-11</t>
        </is>
      </c>
      <c r="B3806" s="3" t="inlineStr">
        <is>
          <t>금호에이치티</t>
        </is>
      </c>
      <c r="C3806" s="2" t="inlineStr">
        <is>
          <t>214330</t>
        </is>
      </c>
      <c r="D3806" s="2" t="inlineStr">
        <is>
          <t>대량보유</t>
        </is>
      </c>
      <c r="E3806" s="3" t="inlineStr">
        <is>
          <t>오성첨단소재주식회사</t>
        </is>
      </c>
      <c r="F3806" s="3" t="inlineStr">
        <is>
          <t>특별관계자</t>
        </is>
      </c>
      <c r="G3806" s="3" t="inlineStr">
        <is>
          <t>자본감소</t>
        </is>
      </c>
      <c r="H3806" s="17" t="n">
        <v>-860036</v>
      </c>
      <c r="I3806" s="6" t="inlineStr"/>
      <c r="J3806" s="6" t="n">
        <v>860035</v>
      </c>
      <c r="K3806" s="16" t="n">
        <v>3</v>
      </c>
      <c r="L3806" s="2" t="inlineStr">
        <is>
          <t>20260611000634</t>
        </is>
      </c>
      <c r="M3806" s="8">
        <f>HYPERLINK("https://dart.fss.or.kr/dsaf001/main.do?rcpNo=20260611000634", "공시열람")</f>
        <v/>
      </c>
    </row>
    <row r="3807" ht="22" customHeight="1">
      <c r="A3807" s="2" t="inlineStr">
        <is>
          <t>2026-06-11</t>
        </is>
      </c>
      <c r="B3807" s="3" t="inlineStr">
        <is>
          <t>금호에이치티</t>
        </is>
      </c>
      <c r="C3807" s="2" t="inlineStr">
        <is>
          <t>214330</t>
        </is>
      </c>
      <c r="D3807" s="2" t="inlineStr">
        <is>
          <t>대량보유</t>
        </is>
      </c>
      <c r="E3807" s="3" t="inlineStr">
        <is>
          <t>김진곤</t>
        </is>
      </c>
      <c r="F3807" s="3" t="inlineStr">
        <is>
          <t>특별관계자</t>
        </is>
      </c>
      <c r="G3807" s="3" t="inlineStr">
        <is>
          <t>자본감소</t>
        </is>
      </c>
      <c r="H3807" s="17" t="n">
        <v>-5018</v>
      </c>
      <c r="I3807" s="6" t="inlineStr"/>
      <c r="J3807" s="6" t="n">
        <v>5017</v>
      </c>
      <c r="K3807" s="16" t="n">
        <v>3</v>
      </c>
      <c r="L3807" s="2" t="inlineStr">
        <is>
          <t>20260611000634</t>
        </is>
      </c>
      <c r="M3807" s="8">
        <f>HYPERLINK("https://dart.fss.or.kr/dsaf001/main.do?rcpNo=20260611000634", "공시열람")</f>
        <v/>
      </c>
    </row>
    <row r="3808" ht="22" customHeight="1">
      <c r="A3808" s="2" t="inlineStr">
        <is>
          <t>2026-06-11</t>
        </is>
      </c>
      <c r="B3808" s="3" t="inlineStr">
        <is>
          <t>국도화학</t>
        </is>
      </c>
      <c r="C3808" s="2" t="inlineStr">
        <is>
          <t>007690</t>
        </is>
      </c>
      <c r="D3808" s="2" t="inlineStr">
        <is>
          <t>임원보고</t>
        </is>
      </c>
      <c r="E3808" s="3" t="inlineStr">
        <is>
          <t>-</t>
        </is>
      </c>
      <c r="F3808" s="3" t="inlineStr">
        <is>
          <t>-</t>
        </is>
      </c>
      <c r="G3808" s="3" t="inlineStr">
        <is>
          <t>-</t>
        </is>
      </c>
      <c r="H3808" s="6" t="inlineStr"/>
      <c r="I3808" s="6" t="inlineStr"/>
      <c r="J3808" s="6" t="inlineStr"/>
      <c r="K3808" s="16" t="n">
        <v>12</v>
      </c>
      <c r="L3808" s="2" t="inlineStr">
        <is>
          <t>20260611800774</t>
        </is>
      </c>
      <c r="M3808" s="8">
        <f>HYPERLINK("https://dart.fss.or.kr/dsaf001/main.do?rcpNo=20260611800774", "공시열람")</f>
        <v/>
      </c>
    </row>
    <row r="3809" ht="22" customHeight="1">
      <c r="A3809" s="2" t="inlineStr">
        <is>
          <t>2026-06-11</t>
        </is>
      </c>
      <c r="B3809" s="3" t="inlineStr">
        <is>
          <t>플레이위드</t>
        </is>
      </c>
      <c r="C3809" s="2" t="inlineStr">
        <is>
          <t>023770</t>
        </is>
      </c>
      <c r="D3809" s="2" t="inlineStr">
        <is>
          <t>대량보유</t>
        </is>
      </c>
      <c r="E3809" s="3" t="inlineStr">
        <is>
          <t>오세용</t>
        </is>
      </c>
      <c r="F3809" s="3" t="inlineStr">
        <is>
          <t>특별관계자</t>
        </is>
      </c>
      <c r="G3809" s="3" t="inlineStr">
        <is>
          <t>주식매수선택권부여취소(-)</t>
        </is>
      </c>
      <c r="H3809" s="17" t="n">
        <v>-20000</v>
      </c>
      <c r="I3809" s="6" t="inlineStr"/>
      <c r="J3809" s="6" t="inlineStr"/>
      <c r="K3809" s="16" t="n">
        <v>10</v>
      </c>
      <c r="L3809" s="2" t="inlineStr">
        <is>
          <t>20260611000613</t>
        </is>
      </c>
      <c r="M3809" s="8">
        <f>HYPERLINK("https://dart.fss.or.kr/dsaf001/main.do?rcpNo=20260611000613", "공시열람")</f>
        <v/>
      </c>
    </row>
    <row r="3810" ht="22" customHeight="1">
      <c r="A3810" s="2" t="inlineStr">
        <is>
          <t>2026-06-11</t>
        </is>
      </c>
      <c r="B3810" s="3" t="inlineStr">
        <is>
          <t>플레이위드</t>
        </is>
      </c>
      <c r="C3810" s="2" t="inlineStr">
        <is>
          <t>023770</t>
        </is>
      </c>
      <c r="D3810" s="2" t="inlineStr">
        <is>
          <t>대량보유</t>
        </is>
      </c>
      <c r="E3810" s="3" t="inlineStr">
        <is>
          <t>박상희</t>
        </is>
      </c>
      <c r="F3810" s="3" t="inlineStr">
        <is>
          <t>특별관계자</t>
        </is>
      </c>
      <c r="G3810" s="3" t="inlineStr">
        <is>
          <t>주식매수선택권부여취소(-)</t>
        </is>
      </c>
      <c r="H3810" s="17" t="n">
        <v>-15000</v>
      </c>
      <c r="I3810" s="6" t="inlineStr"/>
      <c r="J3810" s="6" t="inlineStr"/>
      <c r="K3810" s="16" t="n">
        <v>10</v>
      </c>
      <c r="L3810" s="2" t="inlineStr">
        <is>
          <t>20260611000613</t>
        </is>
      </c>
      <c r="M3810" s="8">
        <f>HYPERLINK("https://dart.fss.or.kr/dsaf001/main.do?rcpNo=20260611000613", "공시열람")</f>
        <v/>
      </c>
    </row>
    <row r="3811" ht="22" customHeight="1">
      <c r="A3811" s="2" t="inlineStr">
        <is>
          <t>2026-06-11</t>
        </is>
      </c>
      <c r="B3811" s="3" t="inlineStr">
        <is>
          <t>플레이위드</t>
        </is>
      </c>
      <c r="C3811" s="2" t="inlineStr">
        <is>
          <t>023770</t>
        </is>
      </c>
      <c r="D3811" s="2" t="inlineStr">
        <is>
          <t>대량보유</t>
        </is>
      </c>
      <c r="E3811" s="3" t="inlineStr">
        <is>
          <t>(주)플레이위드게임즈</t>
        </is>
      </c>
      <c r="F3811" s="3" t="inlineStr">
        <is>
          <t>특별관계자</t>
        </is>
      </c>
      <c r="G3811" s="3" t="inlineStr">
        <is>
          <t>장내매수(+)</t>
        </is>
      </c>
      <c r="H3811" s="15" t="n">
        <v>117302</v>
      </c>
      <c r="I3811" s="6" t="n">
        <v>2642</v>
      </c>
      <c r="J3811" s="6" t="n">
        <v>894061</v>
      </c>
      <c r="K3811" s="16" t="n">
        <v>10</v>
      </c>
      <c r="L3811" s="2" t="inlineStr">
        <is>
          <t>20260611000613</t>
        </is>
      </c>
      <c r="M3811" s="8">
        <f>HYPERLINK("https://dart.fss.or.kr/dsaf001/main.do?rcpNo=20260611000613", "공시열람")</f>
        <v/>
      </c>
    </row>
    <row r="3812" ht="22" customHeight="1">
      <c r="A3812" s="2" t="inlineStr">
        <is>
          <t>2026-06-11</t>
        </is>
      </c>
      <c r="B3812" s="3" t="inlineStr">
        <is>
          <t>비씨엔씨</t>
        </is>
      </c>
      <c r="C3812" s="2" t="inlineStr">
        <is>
          <t>146320</t>
        </is>
      </c>
      <c r="D3812" s="2" t="inlineStr">
        <is>
          <t>대량보유</t>
        </is>
      </c>
      <c r="E3812" s="3" t="inlineStr">
        <is>
          <t>김돈한</t>
        </is>
      </c>
      <c r="F3812" s="3" t="inlineStr">
        <is>
          <t>보고자</t>
        </is>
      </c>
      <c r="G3812" s="3" t="inlineStr">
        <is>
          <t>주식담보대출 계약 연장</t>
        </is>
      </c>
      <c r="H3812" s="6" t="inlineStr"/>
      <c r="I3812" s="6" t="inlineStr"/>
      <c r="J3812" s="6" t="n">
        <v>6737946</v>
      </c>
      <c r="K3812" s="16" t="n">
        <v>3</v>
      </c>
      <c r="L3812" s="2" t="inlineStr">
        <is>
          <t>20260611000609</t>
        </is>
      </c>
      <c r="M3812" s="8">
        <f>HYPERLINK("https://dart.fss.or.kr/dsaf001/main.do?rcpNo=20260611000609", "공시열람")</f>
        <v/>
      </c>
    </row>
    <row r="3813" ht="22" customHeight="1">
      <c r="A3813" s="2" t="inlineStr">
        <is>
          <t>2026-06-11</t>
        </is>
      </c>
      <c r="B3813" s="3" t="inlineStr">
        <is>
          <t>에이아이코리아</t>
        </is>
      </c>
      <c r="C3813" s="2" t="inlineStr">
        <is>
          <t>364950</t>
        </is>
      </c>
      <c r="D3813" s="2" t="inlineStr">
        <is>
          <t>대량보유</t>
        </is>
      </c>
      <c r="E3813" s="3" t="inlineStr">
        <is>
          <t>안진호</t>
        </is>
      </c>
      <c r="F3813" s="3" t="inlineStr">
        <is>
          <t>보고자</t>
        </is>
      </c>
      <c r="G3813" s="3" t="inlineStr">
        <is>
          <t>주식담보계약 등의 주요계약 일부변경 (주식담보수 조정)</t>
        </is>
      </c>
      <c r="H3813" s="6" t="inlineStr"/>
      <c r="I3813" s="6" t="inlineStr"/>
      <c r="J3813" s="6" t="n">
        <v>2591820</v>
      </c>
      <c r="K3813" s="16" t="n">
        <v>2</v>
      </c>
      <c r="L3813" s="2" t="inlineStr">
        <is>
          <t>20260611000598</t>
        </is>
      </c>
      <c r="M3813" s="8">
        <f>HYPERLINK("https://dart.fss.or.kr/dsaf001/main.do?rcpNo=20260611000598", "공시열람")</f>
        <v/>
      </c>
    </row>
    <row r="3814" ht="22" customHeight="1">
      <c r="A3814" s="2" t="inlineStr">
        <is>
          <t>2026-06-11</t>
        </is>
      </c>
      <c r="B3814" s="3" t="inlineStr">
        <is>
          <t>에이팩트</t>
        </is>
      </c>
      <c r="C3814" s="2" t="inlineStr">
        <is>
          <t>200470</t>
        </is>
      </c>
      <c r="D3814" s="2" t="inlineStr">
        <is>
          <t>대량보유</t>
        </is>
      </c>
      <c r="E3814" s="3" t="inlineStr">
        <is>
          <t>브레인자산운용㈜</t>
        </is>
      </c>
      <c r="F3814" s="3" t="inlineStr">
        <is>
          <t>특별관계자</t>
        </is>
      </c>
      <c r="G3814" s="3" t="inlineStr">
        <is>
          <t>CB인수(+)</t>
        </is>
      </c>
      <c r="H3814" s="15" t="n">
        <v>1037880</v>
      </c>
      <c r="I3814" s="6" t="n">
        <v>9635</v>
      </c>
      <c r="J3814" s="6" t="n">
        <v>1037880</v>
      </c>
      <c r="K3814" s="16" t="n">
        <v>2</v>
      </c>
      <c r="L3814" s="2" t="inlineStr">
        <is>
          <t>20260611000591</t>
        </is>
      </c>
      <c r="M3814" s="8">
        <f>HYPERLINK("https://dart.fss.or.kr/dsaf001/main.do?rcpNo=20260611000591", "공시열람")</f>
        <v/>
      </c>
    </row>
    <row r="3815" ht="22" customHeight="1">
      <c r="A3815" s="2" t="inlineStr">
        <is>
          <t>2026-06-11</t>
        </is>
      </c>
      <c r="B3815" s="3" t="inlineStr">
        <is>
          <t>에이팩트</t>
        </is>
      </c>
      <c r="C3815" s="2" t="inlineStr">
        <is>
          <t>200470</t>
        </is>
      </c>
      <c r="D3815" s="2" t="inlineStr">
        <is>
          <t>대량보유</t>
        </is>
      </c>
      <c r="E3815" s="3" t="inlineStr">
        <is>
          <t>케이와이성장투자제1호사모투자합자회사</t>
        </is>
      </c>
      <c r="F3815" s="3" t="inlineStr">
        <is>
          <t>특별관계자</t>
        </is>
      </c>
      <c r="G3815" s="3" t="inlineStr">
        <is>
          <t>CB인수(+)</t>
        </is>
      </c>
      <c r="H3815" s="15" t="n">
        <v>1556824</v>
      </c>
      <c r="I3815" s="6" t="n">
        <v>9365</v>
      </c>
      <c r="J3815" s="6" t="n">
        <v>1556824</v>
      </c>
      <c r="K3815" s="16" t="n">
        <v>2</v>
      </c>
      <c r="L3815" s="2" t="inlineStr">
        <is>
          <t>20260611000591</t>
        </is>
      </c>
      <c r="M3815" s="8">
        <f>HYPERLINK("https://dart.fss.or.kr/dsaf001/main.do?rcpNo=20260611000591", "공시열람")</f>
        <v/>
      </c>
    </row>
    <row r="3816" ht="22" customHeight="1">
      <c r="A3816" s="2" t="inlineStr">
        <is>
          <t>2026-06-11</t>
        </is>
      </c>
      <c r="B3816" s="3" t="inlineStr">
        <is>
          <t>티이엠씨</t>
        </is>
      </c>
      <c r="C3816" s="2" t="inlineStr">
        <is>
          <t>425040</t>
        </is>
      </c>
      <c r="D3816" s="2" t="inlineStr">
        <is>
          <t>대량보유</t>
        </is>
      </c>
      <c r="E3816" s="3" t="inlineStr">
        <is>
          <t>전상훈</t>
        </is>
      </c>
      <c r="F3816" s="3" t="inlineStr">
        <is>
          <t>특별관계자</t>
        </is>
      </c>
      <c r="G3816" s="3" t="inlineStr">
        <is>
          <t>주식매수청구권 행사(+), 주식매수선택권행사(-)</t>
        </is>
      </c>
      <c r="H3816" s="6" t="inlineStr"/>
      <c r="I3816" s="6" t="n">
        <v>3500</v>
      </c>
      <c r="J3816" s="6" t="n">
        <v>8700</v>
      </c>
      <c r="K3816" s="16" t="n">
        <v>10</v>
      </c>
      <c r="L3816" s="2" t="inlineStr">
        <is>
          <t>20260611000586</t>
        </is>
      </c>
      <c r="M3816" s="8">
        <f>HYPERLINK("https://dart.fss.or.kr/dsaf001/main.do?rcpNo=20260611000586", "공시열람")</f>
        <v/>
      </c>
    </row>
    <row r="3817" ht="22" customHeight="1">
      <c r="A3817" s="2" t="inlineStr">
        <is>
          <t>2026-06-11</t>
        </is>
      </c>
      <c r="B3817" s="3" t="inlineStr">
        <is>
          <t>티이엠씨</t>
        </is>
      </c>
      <c r="C3817" s="2" t="inlineStr">
        <is>
          <t>425040</t>
        </is>
      </c>
      <c r="D3817" s="2" t="inlineStr">
        <is>
          <t>대량보유</t>
        </is>
      </c>
      <c r="E3817" s="3" t="inlineStr">
        <is>
          <t>송창근</t>
        </is>
      </c>
      <c r="F3817" s="3" t="inlineStr">
        <is>
          <t>특별관계자</t>
        </is>
      </c>
      <c r="G3817" s="3" t="inlineStr">
        <is>
          <t>주식매수청구권 행사(+), 주식매수선택권행사(-)</t>
        </is>
      </c>
      <c r="H3817" s="6" t="inlineStr"/>
      <c r="I3817" s="6" t="n">
        <v>3500</v>
      </c>
      <c r="J3817" s="6" t="n">
        <v>18000</v>
      </c>
      <c r="K3817" s="16" t="n">
        <v>10</v>
      </c>
      <c r="L3817" s="2" t="inlineStr">
        <is>
          <t>20260611000586</t>
        </is>
      </c>
      <c r="M3817" s="8">
        <f>HYPERLINK("https://dart.fss.or.kr/dsaf001/main.do?rcpNo=20260611000586", "공시열람")</f>
        <v/>
      </c>
    </row>
    <row r="3818" ht="22" customHeight="1">
      <c r="A3818" s="2" t="inlineStr">
        <is>
          <t>2026-06-11</t>
        </is>
      </c>
      <c r="B3818" s="3" t="inlineStr">
        <is>
          <t>티이엠씨</t>
        </is>
      </c>
      <c r="C3818" s="2" t="inlineStr">
        <is>
          <t>425040</t>
        </is>
      </c>
      <c r="D3818" s="2" t="inlineStr">
        <is>
          <t>대량보유</t>
        </is>
      </c>
      <c r="E3818" s="3" t="inlineStr">
        <is>
          <t>김성곤</t>
        </is>
      </c>
      <c r="F3818" s="3" t="inlineStr">
        <is>
          <t>특별관계자</t>
        </is>
      </c>
      <c r="G3818" s="3" t="inlineStr">
        <is>
          <t>주식매수청구권 행사(+), 주식매수선택권행사(-)</t>
        </is>
      </c>
      <c r="H3818" s="6" t="inlineStr"/>
      <c r="I3818" s="6" t="n">
        <v>3500</v>
      </c>
      <c r="J3818" s="6" t="n">
        <v>10500</v>
      </c>
      <c r="K3818" s="16" t="n">
        <v>10</v>
      </c>
      <c r="L3818" s="2" t="inlineStr">
        <is>
          <t>20260611000586</t>
        </is>
      </c>
      <c r="M3818" s="8">
        <f>HYPERLINK("https://dart.fss.or.kr/dsaf001/main.do?rcpNo=20260611000586", "공시열람")</f>
        <v/>
      </c>
    </row>
    <row r="3819" ht="22" customHeight="1">
      <c r="A3819" s="2" t="inlineStr">
        <is>
          <t>2026-06-11</t>
        </is>
      </c>
      <c r="B3819" s="3" t="inlineStr">
        <is>
          <t>티이엠씨</t>
        </is>
      </c>
      <c r="C3819" s="2" t="inlineStr">
        <is>
          <t>425040</t>
        </is>
      </c>
      <c r="D3819" s="2" t="inlineStr">
        <is>
          <t>대량보유</t>
        </is>
      </c>
      <c r="E3819" s="3" t="inlineStr">
        <is>
          <t>최찬규</t>
        </is>
      </c>
      <c r="F3819" s="3" t="inlineStr">
        <is>
          <t>특별관계자</t>
        </is>
      </c>
      <c r="G3819" s="3" t="inlineStr">
        <is>
          <t>주식매수청구권 행사(+), 주식매수선택권행사(-)</t>
        </is>
      </c>
      <c r="H3819" s="6" t="inlineStr"/>
      <c r="I3819" s="6" t="n">
        <v>3500</v>
      </c>
      <c r="J3819" s="6" t="n">
        <v>3000</v>
      </c>
      <c r="K3819" s="16" t="n">
        <v>10</v>
      </c>
      <c r="L3819" s="2" t="inlineStr">
        <is>
          <t>20260611000586</t>
        </is>
      </c>
      <c r="M3819" s="8">
        <f>HYPERLINK("https://dart.fss.or.kr/dsaf001/main.do?rcpNo=20260611000586", "공시열람")</f>
        <v/>
      </c>
    </row>
    <row r="3820" ht="22" customHeight="1">
      <c r="A3820" s="2" t="inlineStr">
        <is>
          <t>2026-06-11</t>
        </is>
      </c>
      <c r="B3820" s="3" t="inlineStr">
        <is>
          <t>티이엠씨</t>
        </is>
      </c>
      <c r="C3820" s="2" t="inlineStr">
        <is>
          <t>425040</t>
        </is>
      </c>
      <c r="D3820" s="2" t="inlineStr">
        <is>
          <t>대량보유</t>
        </is>
      </c>
      <c r="E3820" s="3" t="inlineStr">
        <is>
          <t>유원양</t>
        </is>
      </c>
      <c r="F3820" s="3" t="inlineStr">
        <is>
          <t>특별관계자</t>
        </is>
      </c>
      <c r="G3820" s="3" t="inlineStr">
        <is>
          <t>시간외매매(+)</t>
        </is>
      </c>
      <c r="H3820" s="15" t="n">
        <v>30000</v>
      </c>
      <c r="I3820" s="6" t="n">
        <v>20250</v>
      </c>
      <c r="J3820" s="6" t="n">
        <v>5186186</v>
      </c>
      <c r="K3820" s="16" t="n">
        <v>10</v>
      </c>
      <c r="L3820" s="2" t="inlineStr">
        <is>
          <t>20260611000586</t>
        </is>
      </c>
      <c r="M3820" s="8">
        <f>HYPERLINK("https://dart.fss.or.kr/dsaf001/main.do?rcpNo=20260611000586", "공시열람")</f>
        <v/>
      </c>
    </row>
    <row r="3821" ht="22" customHeight="1">
      <c r="A3821" s="2" t="inlineStr">
        <is>
          <t>2026-06-11</t>
        </is>
      </c>
      <c r="B3821" s="3" t="inlineStr">
        <is>
          <t>티이엠씨</t>
        </is>
      </c>
      <c r="C3821" s="2" t="inlineStr">
        <is>
          <t>425040</t>
        </is>
      </c>
      <c r="D3821" s="2" t="inlineStr">
        <is>
          <t>대량보유</t>
        </is>
      </c>
      <c r="E3821" s="3" t="inlineStr">
        <is>
          <t>유경희</t>
        </is>
      </c>
      <c r="F3821" s="3" t="inlineStr">
        <is>
          <t>특별관계자</t>
        </is>
      </c>
      <c r="G3821" s="3" t="inlineStr">
        <is>
          <t>시간외매매(-)</t>
        </is>
      </c>
      <c r="H3821" s="17" t="n">
        <v>-30000</v>
      </c>
      <c r="I3821" s="6" t="n">
        <v>0</v>
      </c>
      <c r="J3821" s="6" t="inlineStr"/>
      <c r="K3821" s="16" t="n">
        <v>10</v>
      </c>
      <c r="L3821" s="2" t="inlineStr">
        <is>
          <t>20260611000586</t>
        </is>
      </c>
      <c r="M3821" s="8">
        <f>HYPERLINK("https://dart.fss.or.kr/dsaf001/main.do?rcpNo=20260611000586", "공시열람")</f>
        <v/>
      </c>
    </row>
    <row r="3822" ht="22" customHeight="1">
      <c r="A3822" s="2" t="inlineStr">
        <is>
          <t>2026-06-11</t>
        </is>
      </c>
      <c r="B3822" s="3" t="inlineStr">
        <is>
          <t>유진스팩11호</t>
        </is>
      </c>
      <c r="C3822" s="2" t="inlineStr">
        <is>
          <t>488060</t>
        </is>
      </c>
      <c r="D3822" s="2" t="inlineStr">
        <is>
          <t>대량보유</t>
        </is>
      </c>
      <c r="E3822" s="3" t="inlineStr">
        <is>
          <t>더블유자산운용</t>
        </is>
      </c>
      <c r="F3822" s="3" t="inlineStr">
        <is>
          <t>특별관계자</t>
        </is>
      </c>
      <c r="G3822" s="3" t="inlineStr">
        <is>
          <t>신규등록(+), 장내매도(-), 장내매수(+)</t>
        </is>
      </c>
      <c r="H3822" s="15" t="n">
        <v>189983</v>
      </c>
      <c r="I3822" s="6" t="n">
        <v>2041</v>
      </c>
      <c r="J3822" s="6" t="n">
        <v>189983</v>
      </c>
      <c r="K3822" s="16" t="n">
        <v>4.03</v>
      </c>
      <c r="L3822" s="2" t="inlineStr">
        <is>
          <t>20260611000580</t>
        </is>
      </c>
      <c r="M3822" s="8">
        <f>HYPERLINK("https://dart.fss.or.kr/dsaf001/main.do?rcpNo=20260611000580", "공시열람")</f>
        <v/>
      </c>
    </row>
    <row r="3823" ht="22" customHeight="1">
      <c r="A3823" s="2" t="inlineStr">
        <is>
          <t>2026-06-11</t>
        </is>
      </c>
      <c r="B3823" s="3" t="inlineStr">
        <is>
          <t>신성이엔지</t>
        </is>
      </c>
      <c r="C3823" s="2" t="inlineStr">
        <is>
          <t>011930</t>
        </is>
      </c>
      <c r="D3823" s="2" t="inlineStr">
        <is>
          <t>임원보고</t>
        </is>
      </c>
      <c r="E3823" s="3" t="inlineStr">
        <is>
          <t>-</t>
        </is>
      </c>
      <c r="F3823" s="3" t="inlineStr">
        <is>
          <t>-</t>
        </is>
      </c>
      <c r="G3823" s="3" t="inlineStr">
        <is>
          <t>-</t>
        </is>
      </c>
      <c r="H3823" s="6" t="inlineStr"/>
      <c r="I3823" s="6" t="inlineStr"/>
      <c r="J3823" s="6" t="inlineStr"/>
      <c r="K3823" s="16" t="n">
        <v>12</v>
      </c>
      <c r="L3823" s="2" t="inlineStr">
        <is>
          <t>20260611800636</t>
        </is>
      </c>
      <c r="M3823" s="8">
        <f>HYPERLINK("https://dart.fss.or.kr/dsaf001/main.do?rcpNo=20260611800636", "공시열람")</f>
        <v/>
      </c>
    </row>
    <row r="3824" ht="22" customHeight="1">
      <c r="A3824" s="2" t="inlineStr">
        <is>
          <t>2026-06-11</t>
        </is>
      </c>
      <c r="B3824" s="3" t="inlineStr">
        <is>
          <t>엠케이전자</t>
        </is>
      </c>
      <c r="C3824" s="2" t="inlineStr">
        <is>
          <t>033160</t>
        </is>
      </c>
      <c r="D3824" s="2" t="inlineStr">
        <is>
          <t>대량보유</t>
        </is>
      </c>
      <c r="E3824" s="3" t="inlineStr">
        <is>
          <t>미래에셋자산운용</t>
        </is>
      </c>
      <c r="F3824" s="3" t="inlineStr">
        <is>
          <t>특별관계자</t>
        </is>
      </c>
      <c r="G3824" s="3" t="inlineStr">
        <is>
          <t>신규보고(+), 기타(+), 장내매수(+)</t>
        </is>
      </c>
      <c r="H3824" s="15" t="n">
        <v>1156795</v>
      </c>
      <c r="I3824" s="6" t="n">
        <v>1739</v>
      </c>
      <c r="J3824" s="6" t="n">
        <v>1156795</v>
      </c>
      <c r="K3824" s="16" t="n">
        <v>1</v>
      </c>
      <c r="L3824" s="2" t="inlineStr">
        <is>
          <t>20260611000552</t>
        </is>
      </c>
      <c r="M3824" s="8">
        <f>HYPERLINK("https://dart.fss.or.kr/dsaf001/main.do?rcpNo=20260611000552", "공시열람")</f>
        <v/>
      </c>
    </row>
    <row r="3825" ht="22" customHeight="1">
      <c r="A3825" s="2" t="inlineStr">
        <is>
          <t>2026-06-11</t>
        </is>
      </c>
      <c r="B3825" s="3" t="inlineStr">
        <is>
          <t>엠케이전자</t>
        </is>
      </c>
      <c r="C3825" s="2" t="inlineStr">
        <is>
          <t>033160</t>
        </is>
      </c>
      <c r="D3825" s="2" t="inlineStr">
        <is>
          <t>대량보유</t>
        </is>
      </c>
      <c r="E3825" s="3" t="inlineStr">
        <is>
          <t>미래에셋디스커버리증권(주식)</t>
        </is>
      </c>
      <c r="F3825" s="3" t="inlineStr">
        <is>
          <t>특별관계자</t>
        </is>
      </c>
      <c r="G3825" s="3" t="inlineStr">
        <is>
          <t>신규보고(+), 장내매수(+)</t>
        </is>
      </c>
      <c r="H3825" s="15" t="n">
        <v>60649</v>
      </c>
      <c r="I3825" s="6" t="n">
        <v>5146</v>
      </c>
      <c r="J3825" s="6" t="n">
        <v>60649</v>
      </c>
      <c r="K3825" s="16" t="n">
        <v>1</v>
      </c>
      <c r="L3825" s="2" t="inlineStr">
        <is>
          <t>20260611000552</t>
        </is>
      </c>
      <c r="M3825" s="8">
        <f>HYPERLINK("https://dart.fss.or.kr/dsaf001/main.do?rcpNo=20260611000552", "공시열람")</f>
        <v/>
      </c>
    </row>
    <row r="3826" ht="22" customHeight="1">
      <c r="A3826" s="2" t="inlineStr">
        <is>
          <t>2026-06-11</t>
        </is>
      </c>
      <c r="B3826" s="3" t="inlineStr">
        <is>
          <t>코리아써키트</t>
        </is>
      </c>
      <c r="C3826" s="2" t="inlineStr">
        <is>
          <t>007810</t>
        </is>
      </c>
      <c r="D3826" s="2" t="inlineStr">
        <is>
          <t>대량보유</t>
        </is>
      </c>
      <c r="E3826" s="3" t="inlineStr">
        <is>
          <t>미래에셋자산운용</t>
        </is>
      </c>
      <c r="F3826" s="3" t="inlineStr">
        <is>
          <t>특별관계자</t>
        </is>
      </c>
      <c r="G3826" s="3" t="inlineStr">
        <is>
          <t>신규보고(+), 기타(+), 기타(-), 장내매수(+)</t>
        </is>
      </c>
      <c r="H3826" s="15" t="n">
        <v>1230563</v>
      </c>
      <c r="I3826" s="6" t="n">
        <v>6401</v>
      </c>
      <c r="J3826" s="6" t="n">
        <v>1230563</v>
      </c>
      <c r="K3826" s="16" t="n">
        <v>2</v>
      </c>
      <c r="L3826" s="2" t="inlineStr">
        <is>
          <t>20260611000551</t>
        </is>
      </c>
      <c r="M3826" s="8">
        <f>HYPERLINK("https://dart.fss.or.kr/dsaf001/main.do?rcpNo=20260611000551", "공시열람")</f>
        <v/>
      </c>
    </row>
    <row r="3827" ht="22" customHeight="1">
      <c r="A3827" s="2" t="inlineStr">
        <is>
          <t>2026-06-11</t>
        </is>
      </c>
      <c r="B3827" s="3" t="inlineStr">
        <is>
          <t>코리아써키트</t>
        </is>
      </c>
      <c r="C3827" s="2" t="inlineStr">
        <is>
          <t>007810</t>
        </is>
      </c>
      <c r="D3827" s="2" t="inlineStr">
        <is>
          <t>대량보유</t>
        </is>
      </c>
      <c r="E3827" s="3" t="inlineStr">
        <is>
          <t>미래에셋디스커버리증권(주식)</t>
        </is>
      </c>
      <c r="F3827" s="3" t="inlineStr">
        <is>
          <t>특별관계자</t>
        </is>
      </c>
      <c r="G3827" s="3" t="inlineStr">
        <is>
          <t>신규보고(+)</t>
        </is>
      </c>
      <c r="H3827" s="15" t="n">
        <v>22303</v>
      </c>
      <c r="I3827" s="6" t="n">
        <v>0</v>
      </c>
      <c r="J3827" s="6" t="n">
        <v>22303</v>
      </c>
      <c r="K3827" s="16" t="n">
        <v>2</v>
      </c>
      <c r="L3827" s="2" t="inlineStr">
        <is>
          <t>20260611000551</t>
        </is>
      </c>
      <c r="M3827" s="8">
        <f>HYPERLINK("https://dart.fss.or.kr/dsaf001/main.do?rcpNo=20260611000551", "공시열람")</f>
        <v/>
      </c>
    </row>
    <row r="3828" ht="22" customHeight="1">
      <c r="A3828" s="2" t="inlineStr">
        <is>
          <t>2026-06-11</t>
        </is>
      </c>
      <c r="B3828" s="3" t="inlineStr">
        <is>
          <t>코리아써키트</t>
        </is>
      </c>
      <c r="C3828" s="2" t="inlineStr">
        <is>
          <t>007810</t>
        </is>
      </c>
      <c r="D3828" s="2" t="inlineStr">
        <is>
          <t>대량보유</t>
        </is>
      </c>
      <c r="E3828" s="3" t="inlineStr">
        <is>
          <t>미래에셋드림타겟증권(주식)</t>
        </is>
      </c>
      <c r="F3828" s="3" t="inlineStr">
        <is>
          <t>특별관계자</t>
        </is>
      </c>
      <c r="G3828" s="3" t="inlineStr">
        <is>
          <t>신규보고(+), 장내매수(+)</t>
        </is>
      </c>
      <c r="H3828" s="15" t="n">
        <v>3501</v>
      </c>
      <c r="I3828" s="6" t="n">
        <v>11689</v>
      </c>
      <c r="J3828" s="6" t="n">
        <v>3501</v>
      </c>
      <c r="K3828" s="16" t="n">
        <v>2</v>
      </c>
      <c r="L3828" s="2" t="inlineStr">
        <is>
          <t>20260611000551</t>
        </is>
      </c>
      <c r="M3828" s="8">
        <f>HYPERLINK("https://dart.fss.or.kr/dsaf001/main.do?rcpNo=20260611000551", "공시열람")</f>
        <v/>
      </c>
    </row>
    <row r="3829" ht="22" customHeight="1">
      <c r="A3829" s="2" t="inlineStr">
        <is>
          <t>2026-06-11</t>
        </is>
      </c>
      <c r="B3829" s="3" t="inlineStr">
        <is>
          <t>코오롱인더</t>
        </is>
      </c>
      <c r="C3829" s="2" t="inlineStr">
        <is>
          <t>120110</t>
        </is>
      </c>
      <c r="D3829" s="2" t="inlineStr">
        <is>
          <t>대량보유</t>
        </is>
      </c>
      <c r="E3829" s="3" t="inlineStr">
        <is>
          <t>미래에셋자산운용</t>
        </is>
      </c>
      <c r="F3829" s="3" t="inlineStr">
        <is>
          <t>특별관계자</t>
        </is>
      </c>
      <c r="G3829" s="3" t="inlineStr">
        <is>
          <t>신규보고(+), 기타(+), 기타(-), 장내매수(+)</t>
        </is>
      </c>
      <c r="H3829" s="15" t="n">
        <v>1517568</v>
      </c>
      <c r="I3829" s="6" t="n">
        <v>4826</v>
      </c>
      <c r="J3829" s="6" t="n">
        <v>1517568</v>
      </c>
      <c r="K3829" s="16" t="n">
        <v>5.07</v>
      </c>
      <c r="L3829" s="2" t="inlineStr">
        <is>
          <t>20260611000549</t>
        </is>
      </c>
      <c r="M3829" s="8">
        <f>HYPERLINK("https://dart.fss.or.kr/dsaf001/main.do?rcpNo=20260611000549", "공시열람")</f>
        <v/>
      </c>
    </row>
    <row r="3830" ht="22" customHeight="1">
      <c r="A3830" s="2" t="inlineStr">
        <is>
          <t>2026-06-11</t>
        </is>
      </c>
      <c r="B3830" s="3" t="inlineStr">
        <is>
          <t>제테마</t>
        </is>
      </c>
      <c r="C3830" s="2" t="inlineStr">
        <is>
          <t>216080</t>
        </is>
      </c>
      <c r="D3830" s="2" t="inlineStr">
        <is>
          <t>대량보유</t>
        </is>
      </c>
      <c r="E3830" s="3" t="inlineStr">
        <is>
          <t>김수현</t>
        </is>
      </c>
      <c r="F3830" s="3" t="inlineStr">
        <is>
          <t>특별관계자</t>
        </is>
      </c>
      <c r="G3830" s="3" t="inlineStr">
        <is>
          <t>신규등록(+), 장내매수(+)</t>
        </is>
      </c>
      <c r="H3830" s="15" t="n">
        <v>11068</v>
      </c>
      <c r="I3830" s="6" t="n">
        <v>4716</v>
      </c>
      <c r="J3830" s="6" t="n">
        <v>11068</v>
      </c>
      <c r="K3830" s="16" t="n">
        <v>18</v>
      </c>
      <c r="L3830" s="2" t="inlineStr">
        <is>
          <t>20260611000548</t>
        </is>
      </c>
      <c r="M3830" s="8">
        <f>HYPERLINK("https://dart.fss.or.kr/dsaf001/main.do?rcpNo=20260611000548", "공시열람")</f>
        <v/>
      </c>
    </row>
    <row r="3831" ht="22" customHeight="1">
      <c r="A3831" s="2" t="inlineStr">
        <is>
          <t>2026-06-11 (정정: 2026-06-17)</t>
        </is>
      </c>
      <c r="B3831" s="3" t="inlineStr">
        <is>
          <t>한솔테크닉스</t>
        </is>
      </c>
      <c r="C3831" s="2" t="inlineStr">
        <is>
          <t>004710</t>
        </is>
      </c>
      <c r="D3831" s="2" t="inlineStr">
        <is>
          <t>대량보유</t>
        </is>
      </c>
      <c r="E3831" s="3" t="inlineStr">
        <is>
          <t>-</t>
        </is>
      </c>
      <c r="F3831" s="3" t="inlineStr">
        <is>
          <t>보고자</t>
        </is>
      </c>
      <c r="G3831" s="3" t="inlineStr">
        <is>
          <t>-</t>
        </is>
      </c>
      <c r="H3831" s="6" t="inlineStr"/>
      <c r="I3831" s="6" t="inlineStr"/>
      <c r="J3831" s="6" t="inlineStr"/>
      <c r="K3831" s="18" t="inlineStr"/>
      <c r="L3831" s="2" t="inlineStr">
        <is>
          <t>20260617000421</t>
        </is>
      </c>
      <c r="M3831" s="8">
        <f>HYPERLINK("https://dart.fss.or.kr/dsaf001/main.do?rcpNo=20260617000421", "공시열람")</f>
        <v/>
      </c>
    </row>
    <row r="3832" ht="22" customHeight="1">
      <c r="A3832" s="2" t="inlineStr">
        <is>
          <t>2026-06-11</t>
        </is>
      </c>
      <c r="B3832" s="3" t="inlineStr">
        <is>
          <t>풍산홀딩스</t>
        </is>
      </c>
      <c r="C3832" s="2" t="inlineStr">
        <is>
          <t>005810</t>
        </is>
      </c>
      <c r="D3832" s="2" t="inlineStr">
        <is>
          <t>임원보고</t>
        </is>
      </c>
      <c r="E3832" s="3" t="inlineStr">
        <is>
          <t>-</t>
        </is>
      </c>
      <c r="F3832" s="3" t="inlineStr">
        <is>
          <t>-</t>
        </is>
      </c>
      <c r="G3832" s="3" t="inlineStr">
        <is>
          <t>-</t>
        </is>
      </c>
      <c r="H3832" s="6" t="inlineStr"/>
      <c r="I3832" s="6" t="inlineStr"/>
      <c r="J3832" s="6" t="inlineStr"/>
      <c r="K3832" s="16" t="n">
        <v>12</v>
      </c>
      <c r="L3832" s="2" t="inlineStr">
        <is>
          <t>20260611800602</t>
        </is>
      </c>
      <c r="M3832" s="8">
        <f>HYPERLINK("https://dart.fss.or.kr/dsaf001/main.do?rcpNo=20260611800602", "공시열람")</f>
        <v/>
      </c>
    </row>
    <row r="3833" ht="22" customHeight="1">
      <c r="A3833" s="2" t="inlineStr">
        <is>
          <t>2026-06-11</t>
        </is>
      </c>
      <c r="B3833" s="3" t="inlineStr">
        <is>
          <t>한글과컴퓨터</t>
        </is>
      </c>
      <c r="C3833" s="2" t="inlineStr">
        <is>
          <t>030520</t>
        </is>
      </c>
      <c r="D3833" s="2" t="inlineStr">
        <is>
          <t>대량보유</t>
        </is>
      </c>
      <c r="E3833" s="3" t="inlineStr">
        <is>
          <t>한컴위드</t>
        </is>
      </c>
      <c r="F3833" s="3" t="inlineStr">
        <is>
          <t>특별관계자</t>
        </is>
      </c>
      <c r="G3833" s="3" t="inlineStr">
        <is>
          <t>장내매수(+)</t>
        </is>
      </c>
      <c r="H3833" s="15" t="n">
        <v>318717</v>
      </c>
      <c r="I3833" s="6" t="n">
        <v>19032</v>
      </c>
      <c r="J3833" s="6" t="n">
        <v>6781132</v>
      </c>
      <c r="K3833" s="16" t="n">
        <v>6</v>
      </c>
      <c r="L3833" s="2" t="inlineStr">
        <is>
          <t>20260611000541</t>
        </is>
      </c>
      <c r="M3833" s="8">
        <f>HYPERLINK("https://dart.fss.or.kr/dsaf001/main.do?rcpNo=20260611000541", "공시열람")</f>
        <v/>
      </c>
    </row>
    <row r="3834" ht="22" customHeight="1">
      <c r="A3834" s="2" t="inlineStr">
        <is>
          <t>2026-06-11</t>
        </is>
      </c>
      <c r="B3834" s="3" t="inlineStr">
        <is>
          <t>자연과환경</t>
        </is>
      </c>
      <c r="C3834" s="2" t="inlineStr">
        <is>
          <t>043910</t>
        </is>
      </c>
      <c r="D3834" s="2" t="inlineStr">
        <is>
          <t>대량보유</t>
        </is>
      </c>
      <c r="E3834" s="3" t="inlineStr">
        <is>
          <t>(주)데이터테크놀로지</t>
        </is>
      </c>
      <c r="F3834" s="3" t="inlineStr">
        <is>
          <t>특별관계자</t>
        </is>
      </c>
      <c r="G3834" s="3" t="inlineStr">
        <is>
          <t>장내매수(+)</t>
        </is>
      </c>
      <c r="H3834" s="15" t="n">
        <v>13430</v>
      </c>
      <c r="I3834" s="6" t="n">
        <v>2921</v>
      </c>
      <c r="J3834" s="6" t="n">
        <v>617115</v>
      </c>
      <c r="K3834" s="16" t="n">
        <v>2</v>
      </c>
      <c r="L3834" s="2" t="inlineStr">
        <is>
          <t>20260611000539</t>
        </is>
      </c>
      <c r="M3834" s="8">
        <f>HYPERLINK("https://dart.fss.or.kr/dsaf001/main.do?rcpNo=20260611000539", "공시열람")</f>
        <v/>
      </c>
    </row>
    <row r="3835" ht="22" customHeight="1">
      <c r="A3835" s="2" t="inlineStr">
        <is>
          <t>2026-06-11</t>
        </is>
      </c>
      <c r="B3835" s="3" t="inlineStr">
        <is>
          <t>자연과환경</t>
        </is>
      </c>
      <c r="C3835" s="2" t="inlineStr">
        <is>
          <t>043910</t>
        </is>
      </c>
      <c r="D3835" s="2" t="inlineStr">
        <is>
          <t>대량보유</t>
        </is>
      </c>
      <c r="E3835" s="3" t="inlineStr">
        <is>
          <t>이병용</t>
        </is>
      </c>
      <c r="F3835" s="3" t="inlineStr">
        <is>
          <t>특별관계자</t>
        </is>
      </c>
      <c r="G3835" s="3" t="inlineStr">
        <is>
          <t>장내매수(+)</t>
        </is>
      </c>
      <c r="H3835" s="15" t="n">
        <v>640</v>
      </c>
      <c r="I3835" s="6" t="n">
        <v>2899</v>
      </c>
      <c r="J3835" s="6" t="n">
        <v>359543</v>
      </c>
      <c r="K3835" s="16" t="n">
        <v>2</v>
      </c>
      <c r="L3835" s="2" t="inlineStr">
        <is>
          <t>20260611000539</t>
        </is>
      </c>
      <c r="M3835" s="8">
        <f>HYPERLINK("https://dart.fss.or.kr/dsaf001/main.do?rcpNo=20260611000539", "공시열람")</f>
        <v/>
      </c>
    </row>
    <row r="3836" ht="22" customHeight="1">
      <c r="A3836" s="2" t="inlineStr">
        <is>
          <t>2026-06-11</t>
        </is>
      </c>
      <c r="B3836" s="3" t="inlineStr">
        <is>
          <t>씨앤투스</t>
        </is>
      </c>
      <c r="C3836" s="2" t="inlineStr">
        <is>
          <t>352700</t>
        </is>
      </c>
      <c r="D3836" s="2" t="inlineStr">
        <is>
          <t>대량보유</t>
        </is>
      </c>
      <c r="E3836" s="3" t="inlineStr">
        <is>
          <t>이정원</t>
        </is>
      </c>
      <c r="F3836" s="3" t="inlineStr">
        <is>
          <t>특별관계자</t>
        </is>
      </c>
      <c r="G3836" s="3" t="inlineStr">
        <is>
          <t>장내매도(-)</t>
        </is>
      </c>
      <c r="H3836" s="17" t="n">
        <v>-9848</v>
      </c>
      <c r="I3836" s="6" t="n">
        <v>1545</v>
      </c>
      <c r="J3836" s="6" t="n">
        <v>1000</v>
      </c>
      <c r="K3836" s="16" t="n">
        <v>8</v>
      </c>
      <c r="L3836" s="2" t="inlineStr">
        <is>
          <t>20260611000535</t>
        </is>
      </c>
      <c r="M3836" s="8">
        <f>HYPERLINK("https://dart.fss.or.kr/dsaf001/main.do?rcpNo=20260611000535", "공시열람")</f>
        <v/>
      </c>
    </row>
    <row r="3837" ht="22" customHeight="1">
      <c r="A3837" s="2" t="inlineStr">
        <is>
          <t>2026-06-11</t>
        </is>
      </c>
      <c r="B3837" s="3" t="inlineStr">
        <is>
          <t>큐캐피탈</t>
        </is>
      </c>
      <c r="C3837" s="2" t="inlineStr">
        <is>
          <t>016600</t>
        </is>
      </c>
      <c r="D3837" s="2" t="inlineStr">
        <is>
          <t>대량보유</t>
        </is>
      </c>
      <c r="E3837" s="3" t="inlineStr">
        <is>
          <t>김영배</t>
        </is>
      </c>
      <c r="F3837" s="3" t="inlineStr">
        <is>
          <t>특별관계자</t>
        </is>
      </c>
      <c r="G3837" s="3" t="inlineStr">
        <is>
          <t>장내매수(+)</t>
        </is>
      </c>
      <c r="H3837" s="15" t="n">
        <v>1500</v>
      </c>
      <c r="I3837" s="6" t="n">
        <v>3365</v>
      </c>
      <c r="J3837" s="6" t="n">
        <v>1500</v>
      </c>
      <c r="K3837" s="16" t="n">
        <v>12</v>
      </c>
      <c r="L3837" s="2" t="inlineStr">
        <is>
          <t>20260611000534</t>
        </is>
      </c>
      <c r="M3837" s="8">
        <f>HYPERLINK("https://dart.fss.or.kr/dsaf001/main.do?rcpNo=20260611000534", "공시열람")</f>
        <v/>
      </c>
    </row>
    <row r="3838" ht="22" customHeight="1">
      <c r="A3838" s="2" t="inlineStr">
        <is>
          <t>2026-06-11</t>
        </is>
      </c>
      <c r="B3838" s="3" t="inlineStr">
        <is>
          <t>RF머트리얼즈</t>
        </is>
      </c>
      <c r="C3838" s="2" t="inlineStr">
        <is>
          <t>327260</t>
        </is>
      </c>
      <c r="D3838" s="2" t="inlineStr">
        <is>
          <t>대량보유</t>
        </is>
      </c>
      <c r="E3838" s="3" t="inlineStr">
        <is>
          <t>한기우</t>
        </is>
      </c>
      <c r="F3838" s="3" t="inlineStr">
        <is>
          <t>특별관계자</t>
        </is>
      </c>
      <c r="G3838" s="3" t="inlineStr">
        <is>
          <t>기타(+), 장내매도(-)</t>
        </is>
      </c>
      <c r="H3838" s="6" t="inlineStr"/>
      <c r="I3838" s="6" t="n">
        <v>16180</v>
      </c>
      <c r="J3838" s="6" t="inlineStr"/>
      <c r="K3838" s="16" t="n">
        <v>3</v>
      </c>
      <c r="L3838" s="2" t="inlineStr">
        <is>
          <t>20260611000530</t>
        </is>
      </c>
      <c r="M3838" s="8">
        <f>HYPERLINK("https://dart.fss.or.kr/dsaf001/main.do?rcpNo=20260611000530", "공시열람")</f>
        <v/>
      </c>
    </row>
    <row r="3839" ht="22" customHeight="1">
      <c r="A3839" s="2" t="inlineStr">
        <is>
          <t>2026-06-11</t>
        </is>
      </c>
      <c r="B3839" s="3" t="inlineStr">
        <is>
          <t>RF머트리얼즈</t>
        </is>
      </c>
      <c r="C3839" s="2" t="inlineStr">
        <is>
          <t>327260</t>
        </is>
      </c>
      <c r="D3839" s="2" t="inlineStr">
        <is>
          <t>대량보유</t>
        </is>
      </c>
      <c r="E3839" s="3" t="inlineStr">
        <is>
          <t>백민경</t>
        </is>
      </c>
      <c r="F3839" s="3" t="inlineStr">
        <is>
          <t>특별관계자</t>
        </is>
      </c>
      <c r="G3839" s="3" t="inlineStr">
        <is>
          <t>기타(+), 장내매도(-)</t>
        </is>
      </c>
      <c r="H3839" s="15" t="n">
        <v>2</v>
      </c>
      <c r="I3839" s="6" t="n">
        <v>18059</v>
      </c>
      <c r="J3839" s="6" t="n">
        <v>2</v>
      </c>
      <c r="K3839" s="16" t="n">
        <v>3</v>
      </c>
      <c r="L3839" s="2" t="inlineStr">
        <is>
          <t>20260611000530</t>
        </is>
      </c>
      <c r="M3839" s="8">
        <f>HYPERLINK("https://dart.fss.or.kr/dsaf001/main.do?rcpNo=20260611000530", "공시열람")</f>
        <v/>
      </c>
    </row>
    <row r="3840" ht="22" customHeight="1">
      <c r="A3840" s="2" t="inlineStr">
        <is>
          <t>2026-06-11</t>
        </is>
      </c>
      <c r="B3840" s="3" t="inlineStr">
        <is>
          <t>RF머트리얼즈</t>
        </is>
      </c>
      <c r="C3840" s="2" t="inlineStr">
        <is>
          <t>327260</t>
        </is>
      </c>
      <c r="D3840" s="2" t="inlineStr">
        <is>
          <t>대량보유</t>
        </is>
      </c>
      <c r="E3840" s="3" t="inlineStr">
        <is>
          <t>한승철</t>
        </is>
      </c>
      <c r="F3840" s="3" t="inlineStr">
        <is>
          <t>특별관계자</t>
        </is>
      </c>
      <c r="G3840" s="3" t="inlineStr">
        <is>
          <t>기타(+), 장내매도(-)</t>
        </is>
      </c>
      <c r="H3840" s="6" t="inlineStr"/>
      <c r="I3840" s="6" t="n">
        <v>16633</v>
      </c>
      <c r="J3840" s="6" t="inlineStr"/>
      <c r="K3840" s="16" t="n">
        <v>3</v>
      </c>
      <c r="L3840" s="2" t="inlineStr">
        <is>
          <t>20260611000530</t>
        </is>
      </c>
      <c r="M3840" s="8">
        <f>HYPERLINK("https://dart.fss.or.kr/dsaf001/main.do?rcpNo=20260611000530", "공시열람")</f>
        <v/>
      </c>
    </row>
    <row r="3841" ht="22" customHeight="1">
      <c r="A3841" s="2" t="inlineStr">
        <is>
          <t>2026-06-11</t>
        </is>
      </c>
      <c r="B3841" s="3" t="inlineStr">
        <is>
          <t>RF머트리얼즈</t>
        </is>
      </c>
      <c r="C3841" s="2" t="inlineStr">
        <is>
          <t>327260</t>
        </is>
      </c>
      <c r="D3841" s="2" t="inlineStr">
        <is>
          <t>대량보유</t>
        </is>
      </c>
      <c r="E3841" s="3" t="inlineStr">
        <is>
          <t>한아람</t>
        </is>
      </c>
      <c r="F3841" s="3" t="inlineStr">
        <is>
          <t>특별관계자</t>
        </is>
      </c>
      <c r="G3841" s="3" t="inlineStr">
        <is>
          <t>기타(+), 장내매수(+), 장내매도(-)</t>
        </is>
      </c>
      <c r="H3841" s="6" t="inlineStr"/>
      <c r="I3841" s="6" t="n">
        <v>17860</v>
      </c>
      <c r="J3841" s="6" t="inlineStr"/>
      <c r="K3841" s="16" t="n">
        <v>3</v>
      </c>
      <c r="L3841" s="2" t="inlineStr">
        <is>
          <t>20260611000530</t>
        </is>
      </c>
      <c r="M3841" s="8">
        <f>HYPERLINK("https://dart.fss.or.kr/dsaf001/main.do?rcpNo=20260611000530", "공시열람")</f>
        <v/>
      </c>
    </row>
    <row r="3842" ht="22" customHeight="1">
      <c r="A3842" s="2" t="inlineStr">
        <is>
          <t>2026-06-11</t>
        </is>
      </c>
      <c r="B3842" s="3" t="inlineStr">
        <is>
          <t>오픈놀</t>
        </is>
      </c>
      <c r="C3842" s="2" t="inlineStr">
        <is>
          <t>440320</t>
        </is>
      </c>
      <c r="D3842" s="2" t="inlineStr">
        <is>
          <t>대량보유</t>
        </is>
      </c>
      <c r="E3842" s="3" t="inlineStr">
        <is>
          <t>한상태</t>
        </is>
      </c>
      <c r="F3842" s="3" t="inlineStr">
        <is>
          <t>특별관계자</t>
        </is>
      </c>
      <c r="G3842" s="3" t="inlineStr">
        <is>
          <t>주식매수선택권행사(+), 기타(-)</t>
        </is>
      </c>
      <c r="H3842" s="6" t="inlineStr"/>
      <c r="I3842" s="6" t="n">
        <v>435</v>
      </c>
      <c r="J3842" s="6" t="n">
        <v>167858</v>
      </c>
      <c r="K3842" s="16" t="n">
        <v>2</v>
      </c>
      <c r="L3842" s="2" t="inlineStr">
        <is>
          <t>20260611000523</t>
        </is>
      </c>
      <c r="M3842" s="8">
        <f>HYPERLINK("https://dart.fss.or.kr/dsaf001/main.do?rcpNo=20260611000523", "공시열람")</f>
        <v/>
      </c>
    </row>
    <row r="3843" ht="22" customHeight="1">
      <c r="A3843" s="2" t="inlineStr">
        <is>
          <t>2026-06-11</t>
        </is>
      </c>
      <c r="B3843" s="3" t="inlineStr">
        <is>
          <t>금호석유화학</t>
        </is>
      </c>
      <c r="C3843" s="2" t="inlineStr">
        <is>
          <t>011780</t>
        </is>
      </c>
      <c r="D3843" s="2" t="inlineStr">
        <is>
          <t>임원보고</t>
        </is>
      </c>
      <c r="E3843" s="3" t="inlineStr">
        <is>
          <t>-</t>
        </is>
      </c>
      <c r="F3843" s="3" t="inlineStr">
        <is>
          <t>-</t>
        </is>
      </c>
      <c r="G3843" s="3" t="inlineStr">
        <is>
          <t>-</t>
        </is>
      </c>
      <c r="H3843" s="6" t="inlineStr"/>
      <c r="I3843" s="6" t="inlineStr"/>
      <c r="J3843" s="6" t="inlineStr"/>
      <c r="K3843" s="16" t="n">
        <v>12</v>
      </c>
      <c r="L3843" s="2" t="inlineStr">
        <is>
          <t>20260611800567</t>
        </is>
      </c>
      <c r="M3843" s="8">
        <f>HYPERLINK("https://dart.fss.or.kr/dsaf001/main.do?rcpNo=20260611800567", "공시열람")</f>
        <v/>
      </c>
    </row>
    <row r="3844" ht="22" customHeight="1">
      <c r="A3844" s="2" t="inlineStr">
        <is>
          <t>2026-06-11 (정정: 2026-06-25)</t>
        </is>
      </c>
      <c r="B3844" s="3" t="inlineStr">
        <is>
          <t>동구바이오제약</t>
        </is>
      </c>
      <c r="C3844" s="2" t="inlineStr">
        <is>
          <t>006620</t>
        </is>
      </c>
      <c r="D3844" s="2" t="inlineStr">
        <is>
          <t>대량보유</t>
        </is>
      </c>
      <c r="E3844" s="3" t="inlineStr">
        <is>
          <t>-</t>
        </is>
      </c>
      <c r="F3844" s="3" t="inlineStr">
        <is>
          <t>보고자</t>
        </is>
      </c>
      <c r="G3844" s="3" t="inlineStr">
        <is>
          <t>-</t>
        </is>
      </c>
      <c r="H3844" s="6" t="inlineStr"/>
      <c r="I3844" s="6" t="inlineStr"/>
      <c r="J3844" s="6" t="inlineStr"/>
      <c r="K3844" s="18" t="inlineStr"/>
      <c r="L3844" s="2" t="inlineStr">
        <is>
          <t>20260625000520</t>
        </is>
      </c>
      <c r="M3844" s="8">
        <f>HYPERLINK("https://dart.fss.or.kr/dsaf001/main.do?rcpNo=20260625000520", "공시열람")</f>
        <v/>
      </c>
    </row>
    <row r="3845" ht="22" customHeight="1">
      <c r="A3845" s="2" t="inlineStr">
        <is>
          <t>2026-06-11</t>
        </is>
      </c>
      <c r="B3845" s="3" t="inlineStr">
        <is>
          <t>케이탑리츠</t>
        </is>
      </c>
      <c r="C3845" s="2" t="inlineStr">
        <is>
          <t>145270</t>
        </is>
      </c>
      <c r="D3845" s="2" t="inlineStr">
        <is>
          <t>임원보고</t>
        </is>
      </c>
      <c r="E3845" s="3" t="inlineStr">
        <is>
          <t>-</t>
        </is>
      </c>
      <c r="F3845" s="3" t="inlineStr">
        <is>
          <t>-</t>
        </is>
      </c>
      <c r="G3845" s="3" t="inlineStr">
        <is>
          <t>-</t>
        </is>
      </c>
      <c r="H3845" s="6" t="inlineStr"/>
      <c r="I3845" s="6" t="inlineStr"/>
      <c r="J3845" s="6" t="inlineStr"/>
      <c r="K3845" s="16" t="n">
        <v>12</v>
      </c>
      <c r="L3845" s="2" t="inlineStr">
        <is>
          <t>20260611800552</t>
        </is>
      </c>
      <c r="M3845" s="8">
        <f>HYPERLINK("https://dart.fss.or.kr/dsaf001/main.do?rcpNo=20260611800552", "공시열람")</f>
        <v/>
      </c>
    </row>
    <row r="3846" ht="22" customHeight="1">
      <c r="A3846" s="2" t="inlineStr">
        <is>
          <t>2026-06-11 (정정: 2026-06-12)</t>
        </is>
      </c>
      <c r="B3846" s="3" t="inlineStr">
        <is>
          <t>신영증권</t>
        </is>
      </c>
      <c r="C3846" s="2" t="inlineStr">
        <is>
          <t>001720</t>
        </is>
      </c>
      <c r="D3846" s="2" t="inlineStr">
        <is>
          <t>임원보고</t>
        </is>
      </c>
      <c r="E3846" s="3" t="inlineStr">
        <is>
          <t>-</t>
        </is>
      </c>
      <c r="F3846" s="3" t="inlineStr">
        <is>
          <t>-</t>
        </is>
      </c>
      <c r="G3846" s="3" t="inlineStr">
        <is>
          <t>-</t>
        </is>
      </c>
      <c r="H3846" s="6" t="inlineStr"/>
      <c r="I3846" s="6" t="inlineStr"/>
      <c r="J3846" s="6" t="inlineStr"/>
      <c r="K3846" s="18" t="inlineStr"/>
      <c r="L3846" s="2" t="inlineStr">
        <is>
          <t>20260612000252</t>
        </is>
      </c>
      <c r="M3846" s="8">
        <f>HYPERLINK("https://dart.fss.or.kr/dsaf001/main.do?rcpNo=20260612000252", "공시열람")</f>
        <v/>
      </c>
    </row>
    <row r="3847" ht="22" customHeight="1">
      <c r="A3847" s="2" t="inlineStr">
        <is>
          <t>2026-06-11</t>
        </is>
      </c>
      <c r="B3847" s="3" t="inlineStr">
        <is>
          <t>디와이에이</t>
        </is>
      </c>
      <c r="C3847" s="2" t="inlineStr">
        <is>
          <t>002880</t>
        </is>
      </c>
      <c r="D3847" s="2" t="inlineStr">
        <is>
          <t>임원보고</t>
        </is>
      </c>
      <c r="E3847" s="3" t="inlineStr">
        <is>
          <t>-</t>
        </is>
      </c>
      <c r="F3847" s="3" t="inlineStr">
        <is>
          <t>-</t>
        </is>
      </c>
      <c r="G3847" s="3" t="inlineStr">
        <is>
          <t>-</t>
        </is>
      </c>
      <c r="H3847" s="6" t="inlineStr"/>
      <c r="I3847" s="6" t="inlineStr"/>
      <c r="J3847" s="6" t="inlineStr"/>
      <c r="K3847" s="16" t="n">
        <v>12</v>
      </c>
      <c r="L3847" s="2" t="inlineStr">
        <is>
          <t>20260611800538</t>
        </is>
      </c>
      <c r="M3847" s="8">
        <f>HYPERLINK("https://dart.fss.or.kr/dsaf001/main.do?rcpNo=20260611800538", "공시열람")</f>
        <v/>
      </c>
    </row>
    <row r="3848" ht="22" customHeight="1">
      <c r="A3848" s="2" t="inlineStr">
        <is>
          <t>2026-06-11</t>
        </is>
      </c>
      <c r="B3848" s="3" t="inlineStr">
        <is>
          <t>제주항공</t>
        </is>
      </c>
      <c r="C3848" s="2" t="inlineStr">
        <is>
          <t>089590</t>
        </is>
      </c>
      <c r="D3848" s="2" t="inlineStr">
        <is>
          <t>대량보유</t>
        </is>
      </c>
      <c r="E3848" s="3" t="inlineStr">
        <is>
          <t>에이케이홀딩스(주)</t>
        </is>
      </c>
      <c r="F3848" s="3" t="inlineStr">
        <is>
          <t>보고자</t>
        </is>
      </c>
      <c r="G3848" s="3" t="inlineStr">
        <is>
          <t>- 특별관계자 보유주식등에 관한 계약(담보계약) 변경</t>
        </is>
      </c>
      <c r="H3848" s="6" t="inlineStr"/>
      <c r="I3848" s="6" t="inlineStr"/>
      <c r="J3848" s="6" t="n">
        <v>43245552</v>
      </c>
      <c r="K3848" s="16" t="n">
        <v>5</v>
      </c>
      <c r="L3848" s="2" t="inlineStr">
        <is>
          <t>20260611000488</t>
        </is>
      </c>
      <c r="M3848" s="8">
        <f>HYPERLINK("https://dart.fss.or.kr/dsaf001/main.do?rcpNo=20260611000488", "공시열람")</f>
        <v/>
      </c>
    </row>
    <row r="3849" ht="22" customHeight="1">
      <c r="A3849" s="2" t="inlineStr">
        <is>
          <t>2026-06-11</t>
        </is>
      </c>
      <c r="B3849" s="3" t="inlineStr">
        <is>
          <t>애경케미칼</t>
        </is>
      </c>
      <c r="C3849" s="2" t="inlineStr">
        <is>
          <t>161000</t>
        </is>
      </c>
      <c r="D3849" s="2" t="inlineStr">
        <is>
          <t>대량보유</t>
        </is>
      </c>
      <c r="E3849" s="3" t="inlineStr">
        <is>
          <t>에이케이홀딩스(주)</t>
        </is>
      </c>
      <c r="F3849" s="3" t="inlineStr">
        <is>
          <t>보고자</t>
        </is>
      </c>
      <c r="G3849" s="3" t="inlineStr">
        <is>
          <t>- 특별관계자 보유주식등에 관한 계약(담보계약) 변경</t>
        </is>
      </c>
      <c r="H3849" s="6" t="inlineStr"/>
      <c r="I3849" s="6" t="inlineStr"/>
      <c r="J3849" s="6" t="n">
        <v>30301507</v>
      </c>
      <c r="K3849" s="16" t="n">
        <v>10</v>
      </c>
      <c r="L3849" s="2" t="inlineStr">
        <is>
          <t>20260611000480</t>
        </is>
      </c>
      <c r="M3849" s="8">
        <f>HYPERLINK("https://dart.fss.or.kr/dsaf001/main.do?rcpNo=20260611000480", "공시열람")</f>
        <v/>
      </c>
    </row>
    <row r="3850" ht="22" customHeight="1">
      <c r="A3850" s="2" t="inlineStr">
        <is>
          <t>2026-06-11</t>
        </is>
      </c>
      <c r="B3850" s="3" t="inlineStr">
        <is>
          <t>덕성</t>
        </is>
      </c>
      <c r="C3850" s="2" t="inlineStr">
        <is>
          <t>004830</t>
        </is>
      </c>
      <c r="D3850" s="2" t="inlineStr">
        <is>
          <t>임원보고</t>
        </is>
      </c>
      <c r="E3850" s="3" t="inlineStr">
        <is>
          <t>-</t>
        </is>
      </c>
      <c r="F3850" s="3" t="inlineStr">
        <is>
          <t>-</t>
        </is>
      </c>
      <c r="G3850" s="3" t="inlineStr">
        <is>
          <t>-</t>
        </is>
      </c>
      <c r="H3850" s="6" t="inlineStr"/>
      <c r="I3850" s="6" t="inlineStr"/>
      <c r="J3850" s="6" t="inlineStr"/>
      <c r="K3850" s="16" t="n">
        <v>12</v>
      </c>
      <c r="L3850" s="2" t="inlineStr">
        <is>
          <t>20260611800503</t>
        </is>
      </c>
      <c r="M3850" s="8">
        <f>HYPERLINK("https://dart.fss.or.kr/dsaf001/main.do?rcpNo=20260611800503", "공시열람")</f>
        <v/>
      </c>
    </row>
    <row r="3851" ht="22" customHeight="1">
      <c r="A3851" s="2" t="inlineStr">
        <is>
          <t>2026-06-11</t>
        </is>
      </c>
      <c r="B3851" s="3" t="inlineStr">
        <is>
          <t>이삭엔지니어링</t>
        </is>
      </c>
      <c r="C3851" s="2" t="inlineStr">
        <is>
          <t>351330</t>
        </is>
      </c>
      <c r="D3851" s="2" t="inlineStr">
        <is>
          <t>대량보유</t>
        </is>
      </c>
      <c r="E3851" s="3" t="inlineStr">
        <is>
          <t>김창수</t>
        </is>
      </c>
      <c r="F3851" s="3" t="inlineStr">
        <is>
          <t>보고자</t>
        </is>
      </c>
      <c r="G3851" s="3" t="inlineStr">
        <is>
          <t>보고자 본인 주식담보대출 신규 계약</t>
        </is>
      </c>
      <c r="H3851" s="6" t="inlineStr"/>
      <c r="I3851" s="6" t="inlineStr"/>
      <c r="J3851" s="6" t="n">
        <v>4676300</v>
      </c>
      <c r="K3851" s="16" t="n">
        <v>4</v>
      </c>
      <c r="L3851" s="2" t="inlineStr">
        <is>
          <t>20260611000458</t>
        </is>
      </c>
      <c r="M3851" s="8">
        <f>HYPERLINK("https://dart.fss.or.kr/dsaf001/main.do?rcpNo=20260611000458", "공시열람")</f>
        <v/>
      </c>
    </row>
    <row r="3852" ht="22" customHeight="1">
      <c r="A3852" s="2" t="inlineStr">
        <is>
          <t>2026-06-11</t>
        </is>
      </c>
      <c r="B3852" s="3" t="inlineStr">
        <is>
          <t>제노레이</t>
        </is>
      </c>
      <c r="C3852" s="2" t="inlineStr">
        <is>
          <t>122310</t>
        </is>
      </c>
      <c r="D3852" s="2" t="inlineStr">
        <is>
          <t>대량보유</t>
        </is>
      </c>
      <c r="E3852" s="3" t="inlineStr">
        <is>
          <t>박중현</t>
        </is>
      </c>
      <c r="F3852" s="3" t="inlineStr">
        <is>
          <t>특별관계자</t>
        </is>
      </c>
      <c r="G3852" s="3" t="inlineStr">
        <is>
          <t>장내매수(+)</t>
        </is>
      </c>
      <c r="H3852" s="15" t="n">
        <v>2000</v>
      </c>
      <c r="I3852" s="6" t="n">
        <v>3450</v>
      </c>
      <c r="J3852" s="6" t="n">
        <v>5500</v>
      </c>
      <c r="K3852" s="16" t="n">
        <v>11</v>
      </c>
      <c r="L3852" s="2" t="inlineStr">
        <is>
          <t>20260611000455</t>
        </is>
      </c>
      <c r="M3852" s="8">
        <f>HYPERLINK("https://dart.fss.or.kr/dsaf001/main.do?rcpNo=20260611000455", "공시열람")</f>
        <v/>
      </c>
    </row>
    <row r="3853" ht="22" customHeight="1">
      <c r="A3853" s="2" t="inlineStr">
        <is>
          <t>2026-06-11</t>
        </is>
      </c>
      <c r="B3853" s="3" t="inlineStr">
        <is>
          <t>크레오에스지</t>
        </is>
      </c>
      <c r="C3853" s="2" t="inlineStr">
        <is>
          <t>040350</t>
        </is>
      </c>
      <c r="D3853" s="2" t="inlineStr">
        <is>
          <t>대량보유</t>
        </is>
      </c>
      <c r="E3853" s="3" t="inlineStr">
        <is>
          <t>안석준</t>
        </is>
      </c>
      <c r="F3853" s="3" t="inlineStr">
        <is>
          <t>특별관계자</t>
        </is>
      </c>
      <c r="G3853" s="3" t="inlineStr">
        <is>
          <t>장내매수(+), 장내매도(-)</t>
        </is>
      </c>
      <c r="H3853" s="15" t="n">
        <v>18810</v>
      </c>
      <c r="I3853" s="6" t="n">
        <v>5333</v>
      </c>
      <c r="J3853" s="6" t="n">
        <v>18810</v>
      </c>
      <c r="K3853" s="16" t="n">
        <v>8</v>
      </c>
      <c r="L3853" s="2" t="inlineStr">
        <is>
          <t>20260611000451</t>
        </is>
      </c>
      <c r="M3853" s="8">
        <f>HYPERLINK("https://dart.fss.or.kr/dsaf001/main.do?rcpNo=20260611000451", "공시열람")</f>
        <v/>
      </c>
    </row>
    <row r="3854" ht="22" customHeight="1">
      <c r="A3854" s="2" t="inlineStr">
        <is>
          <t>2026-06-11</t>
        </is>
      </c>
      <c r="B3854" s="3" t="inlineStr">
        <is>
          <t>신영스팩10호</t>
        </is>
      </c>
      <c r="C3854" s="2" t="inlineStr">
        <is>
          <t>472220</t>
        </is>
      </c>
      <c r="D3854" s="2" t="inlineStr">
        <is>
          <t>대량보유</t>
        </is>
      </c>
      <c r="E3854" s="3" t="inlineStr">
        <is>
          <t>더블유자산운용</t>
        </is>
      </c>
      <c r="F3854" s="3" t="inlineStr">
        <is>
          <t>특별관계자</t>
        </is>
      </c>
      <c r="G3854" s="3" t="inlineStr">
        <is>
          <t>장내매도(-), 장내매수(+)</t>
        </is>
      </c>
      <c r="H3854" s="17" t="n">
        <v>-13097</v>
      </c>
      <c r="I3854" s="6" t="n">
        <v>2142</v>
      </c>
      <c r="J3854" s="6" t="n">
        <v>88018</v>
      </c>
      <c r="K3854" s="16" t="n">
        <v>1.88</v>
      </c>
      <c r="L3854" s="2" t="inlineStr">
        <is>
          <t>20260611000443</t>
        </is>
      </c>
      <c r="M3854" s="8">
        <f>HYPERLINK("https://dart.fss.or.kr/dsaf001/main.do?rcpNo=20260611000443", "공시열람")</f>
        <v/>
      </c>
    </row>
    <row r="3855" ht="22" customHeight="1">
      <c r="A3855" s="2" t="inlineStr">
        <is>
          <t>2026-06-11</t>
        </is>
      </c>
      <c r="B3855" s="3" t="inlineStr">
        <is>
          <t>디앤디파마텍</t>
        </is>
      </c>
      <c r="C3855" s="2" t="inlineStr">
        <is>
          <t>347850</t>
        </is>
      </c>
      <c r="D3855" s="2" t="inlineStr">
        <is>
          <t>대량보유</t>
        </is>
      </c>
      <c r="E3855" s="3" t="inlineStr">
        <is>
          <t>이슬기</t>
        </is>
      </c>
      <c r="F3855" s="3" t="inlineStr">
        <is>
          <t>특별관계자</t>
        </is>
      </c>
      <c r="G3855" s="3" t="inlineStr">
        <is>
          <t>무상신주취득(+)</t>
        </is>
      </c>
      <c r="H3855" s="15" t="n">
        <v>4241643</v>
      </c>
      <c r="I3855" s="6" t="inlineStr"/>
      <c r="J3855" s="6" t="n">
        <v>5655524</v>
      </c>
      <c r="K3855" s="16" t="n">
        <v>16</v>
      </c>
      <c r="L3855" s="2" t="inlineStr">
        <is>
          <t>20260611000427</t>
        </is>
      </c>
      <c r="M3855" s="8">
        <f>HYPERLINK("https://dart.fss.or.kr/dsaf001/main.do?rcpNo=20260611000427", "공시열람")</f>
        <v/>
      </c>
    </row>
    <row r="3856" ht="22" customHeight="1">
      <c r="A3856" s="2" t="inlineStr">
        <is>
          <t>2026-06-11</t>
        </is>
      </c>
      <c r="B3856" s="3" t="inlineStr">
        <is>
          <t>디앤디파마텍</t>
        </is>
      </c>
      <c r="C3856" s="2" t="inlineStr">
        <is>
          <t>347850</t>
        </is>
      </c>
      <c r="D3856" s="2" t="inlineStr">
        <is>
          <t>대량보유</t>
        </is>
      </c>
      <c r="E3856" s="3" t="inlineStr">
        <is>
          <t>이강춘</t>
        </is>
      </c>
      <c r="F3856" s="3" t="inlineStr">
        <is>
          <t>특별관계자</t>
        </is>
      </c>
      <c r="G3856" s="3" t="inlineStr">
        <is>
          <t>무상신주취득(+)</t>
        </is>
      </c>
      <c r="H3856" s="15" t="n">
        <v>1257870</v>
      </c>
      <c r="I3856" s="6" t="inlineStr"/>
      <c r="J3856" s="6" t="n">
        <v>1677160</v>
      </c>
      <c r="K3856" s="16" t="n">
        <v>16</v>
      </c>
      <c r="L3856" s="2" t="inlineStr">
        <is>
          <t>20260611000427</t>
        </is>
      </c>
      <c r="M3856" s="8">
        <f>HYPERLINK("https://dart.fss.or.kr/dsaf001/main.do?rcpNo=20260611000427", "공시열람")</f>
        <v/>
      </c>
    </row>
    <row r="3857" ht="22" customHeight="1">
      <c r="A3857" s="2" t="inlineStr">
        <is>
          <t>2026-06-11</t>
        </is>
      </c>
      <c r="B3857" s="3" t="inlineStr">
        <is>
          <t>디앤디파마텍</t>
        </is>
      </c>
      <c r="C3857" s="2" t="inlineStr">
        <is>
          <t>347850</t>
        </is>
      </c>
      <c r="D3857" s="2" t="inlineStr">
        <is>
          <t>대량보유</t>
        </is>
      </c>
      <c r="E3857" s="3" t="inlineStr">
        <is>
          <t>이지은</t>
        </is>
      </c>
      <c r="F3857" s="3" t="inlineStr">
        <is>
          <t>특별관계자</t>
        </is>
      </c>
      <c r="G3857" s="3" t="inlineStr">
        <is>
          <t>무상신주취득(+)</t>
        </is>
      </c>
      <c r="H3857" s="15" t="n">
        <v>81870</v>
      </c>
      <c r="I3857" s="6" t="inlineStr"/>
      <c r="J3857" s="6" t="n">
        <v>109160</v>
      </c>
      <c r="K3857" s="16" t="n">
        <v>16</v>
      </c>
      <c r="L3857" s="2" t="inlineStr">
        <is>
          <t>20260611000427</t>
        </is>
      </c>
      <c r="M3857" s="8">
        <f>HYPERLINK("https://dart.fss.or.kr/dsaf001/main.do?rcpNo=20260611000427", "공시열람")</f>
        <v/>
      </c>
    </row>
    <row r="3858" ht="22" customHeight="1">
      <c r="A3858" s="2" t="inlineStr">
        <is>
          <t>2026-06-11</t>
        </is>
      </c>
      <c r="B3858" s="3" t="inlineStr">
        <is>
          <t>디앤디파마텍</t>
        </is>
      </c>
      <c r="C3858" s="2" t="inlineStr">
        <is>
          <t>347850</t>
        </is>
      </c>
      <c r="D3858" s="2" t="inlineStr">
        <is>
          <t>대량보유</t>
        </is>
      </c>
      <c r="E3858" s="3" t="inlineStr">
        <is>
          <t>이성배</t>
        </is>
      </c>
      <c r="F3858" s="3" t="inlineStr">
        <is>
          <t>특별관계자</t>
        </is>
      </c>
      <c r="G3858" s="3" t="inlineStr">
        <is>
          <t>무상신주취득(+)</t>
        </is>
      </c>
      <c r="H3858" s="15" t="n">
        <v>300000</v>
      </c>
      <c r="I3858" s="6" t="inlineStr"/>
      <c r="J3858" s="6" t="n">
        <v>400000</v>
      </c>
      <c r="K3858" s="16" t="n">
        <v>16</v>
      </c>
      <c r="L3858" s="2" t="inlineStr">
        <is>
          <t>20260611000427</t>
        </is>
      </c>
      <c r="M3858" s="8">
        <f>HYPERLINK("https://dart.fss.or.kr/dsaf001/main.do?rcpNo=20260611000427", "공시열람")</f>
        <v/>
      </c>
    </row>
    <row r="3859" ht="22" customHeight="1">
      <c r="A3859" s="2" t="inlineStr">
        <is>
          <t>2026-06-11</t>
        </is>
      </c>
      <c r="B3859" s="3" t="inlineStr">
        <is>
          <t>디앤디파마텍</t>
        </is>
      </c>
      <c r="C3859" s="2" t="inlineStr">
        <is>
          <t>347850</t>
        </is>
      </c>
      <c r="D3859" s="2" t="inlineStr">
        <is>
          <t>대량보유</t>
        </is>
      </c>
      <c r="E3859" s="3" t="inlineStr">
        <is>
          <t>임성묵</t>
        </is>
      </c>
      <c r="F3859" s="3" t="inlineStr">
        <is>
          <t>특별관계자</t>
        </is>
      </c>
      <c r="G3859" s="3" t="inlineStr">
        <is>
          <t>무상신주취득(+), 주식매수선택권행사(-), 주식매수선택권행사(+)</t>
        </is>
      </c>
      <c r="H3859" s="15" t="n">
        <v>291000</v>
      </c>
      <c r="I3859" s="6" t="n">
        <v>3500</v>
      </c>
      <c r="J3859" s="6" t="n">
        <v>288000</v>
      </c>
      <c r="K3859" s="16" t="n">
        <v>16</v>
      </c>
      <c r="L3859" s="2" t="inlineStr">
        <is>
          <t>20260611000427</t>
        </is>
      </c>
      <c r="M3859" s="8">
        <f>HYPERLINK("https://dart.fss.or.kr/dsaf001/main.do?rcpNo=20260611000427", "공시열람")</f>
        <v/>
      </c>
    </row>
    <row r="3860" ht="22" customHeight="1">
      <c r="A3860" s="2" t="inlineStr">
        <is>
          <t>2026-06-11</t>
        </is>
      </c>
      <c r="B3860" s="3" t="inlineStr">
        <is>
          <t>디앤디파마텍</t>
        </is>
      </c>
      <c r="C3860" s="2" t="inlineStr">
        <is>
          <t>347850</t>
        </is>
      </c>
      <c r="D3860" s="2" t="inlineStr">
        <is>
          <t>대량보유</t>
        </is>
      </c>
      <c r="E3860" s="3" t="inlineStr">
        <is>
          <t>홍성훈</t>
        </is>
      </c>
      <c r="F3860" s="3" t="inlineStr">
        <is>
          <t>특별관계자</t>
        </is>
      </c>
      <c r="G3860" s="3" t="inlineStr">
        <is>
          <t>무상신주취득(+)</t>
        </is>
      </c>
      <c r="H3860" s="15" t="n">
        <v>540000</v>
      </c>
      <c r="I3860" s="6" t="inlineStr"/>
      <c r="J3860" s="6" t="n">
        <v>100000</v>
      </c>
      <c r="K3860" s="16" t="n">
        <v>16</v>
      </c>
      <c r="L3860" s="2" t="inlineStr">
        <is>
          <t>20260611000427</t>
        </is>
      </c>
      <c r="M3860" s="8">
        <f>HYPERLINK("https://dart.fss.or.kr/dsaf001/main.do?rcpNo=20260611000427", "공시열람")</f>
        <v/>
      </c>
    </row>
    <row r="3861" ht="22" customHeight="1">
      <c r="A3861" s="2" t="inlineStr">
        <is>
          <t>2026-06-11</t>
        </is>
      </c>
      <c r="B3861" s="3" t="inlineStr">
        <is>
          <t>디앤디파마텍</t>
        </is>
      </c>
      <c r="C3861" s="2" t="inlineStr">
        <is>
          <t>347850</t>
        </is>
      </c>
      <c r="D3861" s="2" t="inlineStr">
        <is>
          <t>대량보유</t>
        </is>
      </c>
      <c r="E3861" s="3" t="inlineStr">
        <is>
          <t>신재희</t>
        </is>
      </c>
      <c r="F3861" s="3" t="inlineStr">
        <is>
          <t>특별관계자</t>
        </is>
      </c>
      <c r="G3861" s="3" t="inlineStr">
        <is>
          <t>주식매수청구권 행사(-), 주식매수청구권 행사(+), 무상신주취득(+), 주식매수선택권행사(-), 주식매수선택권행사(+)</t>
        </is>
      </c>
      <c r="H3861" s="15" t="n">
        <v>97500</v>
      </c>
      <c r="I3861" s="6" t="n">
        <v>3500</v>
      </c>
      <c r="J3861" s="6" t="n">
        <v>110000</v>
      </c>
      <c r="K3861" s="16" t="n">
        <v>16</v>
      </c>
      <c r="L3861" s="2" t="inlineStr">
        <is>
          <t>20260611000427</t>
        </is>
      </c>
      <c r="M3861" s="8">
        <f>HYPERLINK("https://dart.fss.or.kr/dsaf001/main.do?rcpNo=20260611000427", "공시열람")</f>
        <v/>
      </c>
    </row>
    <row r="3862" ht="22" customHeight="1">
      <c r="A3862" s="2" t="inlineStr">
        <is>
          <t>2026-06-11</t>
        </is>
      </c>
      <c r="B3862" s="3" t="inlineStr">
        <is>
          <t>디앤디파마텍</t>
        </is>
      </c>
      <c r="C3862" s="2" t="inlineStr">
        <is>
          <t>347850</t>
        </is>
      </c>
      <c r="D3862" s="2" t="inlineStr">
        <is>
          <t>대량보유</t>
        </is>
      </c>
      <c r="E3862" s="3" t="inlineStr">
        <is>
          <t>박평아</t>
        </is>
      </c>
      <c r="F3862" s="3" t="inlineStr">
        <is>
          <t>특별관계자</t>
        </is>
      </c>
      <c r="G3862" s="3" t="inlineStr">
        <is>
          <t>주식매수선택권행사(-), 주식매수선택권행사(+), 무상신주취득(+)</t>
        </is>
      </c>
      <c r="H3862" s="15" t="n">
        <v>81000</v>
      </c>
      <c r="I3862" s="6" t="n">
        <v>8275</v>
      </c>
      <c r="J3862" s="6" t="n">
        <v>8400</v>
      </c>
      <c r="K3862" s="16" t="n">
        <v>16</v>
      </c>
      <c r="L3862" s="2" t="inlineStr">
        <is>
          <t>20260611000427</t>
        </is>
      </c>
      <c r="M3862" s="8">
        <f>HYPERLINK("https://dart.fss.or.kr/dsaf001/main.do?rcpNo=20260611000427", "공시열람")</f>
        <v/>
      </c>
    </row>
    <row r="3863" ht="22" customHeight="1">
      <c r="A3863" s="2" t="inlineStr">
        <is>
          <t>2026-06-11</t>
        </is>
      </c>
      <c r="B3863" s="3" t="inlineStr">
        <is>
          <t>디앤디파마텍</t>
        </is>
      </c>
      <c r="C3863" s="2" t="inlineStr">
        <is>
          <t>347850</t>
        </is>
      </c>
      <c r="D3863" s="2" t="inlineStr">
        <is>
          <t>대량보유</t>
        </is>
      </c>
      <c r="E3863" s="3" t="inlineStr">
        <is>
          <t>DawsonTedMurray</t>
        </is>
      </c>
      <c r="F3863" s="3" t="inlineStr">
        <is>
          <t>특별관계자</t>
        </is>
      </c>
      <c r="G3863" s="3" t="inlineStr">
        <is>
          <t>무상신주취득(+), 주식매수선택권행사(-), 주식매수선택권행사(+)</t>
        </is>
      </c>
      <c r="H3863" s="15" t="n">
        <v>205692</v>
      </c>
      <c r="I3863" s="6" t="n">
        <v>5888</v>
      </c>
      <c r="J3863" s="6" t="n">
        <v>274256</v>
      </c>
      <c r="K3863" s="16" t="n">
        <v>16</v>
      </c>
      <c r="L3863" s="2" t="inlineStr">
        <is>
          <t>20260611000427</t>
        </is>
      </c>
      <c r="M3863" s="8">
        <f>HYPERLINK("https://dart.fss.or.kr/dsaf001/main.do?rcpNo=20260611000427", "공시열람")</f>
        <v/>
      </c>
    </row>
    <row r="3864" ht="22" customHeight="1">
      <c r="A3864" s="2" t="inlineStr">
        <is>
          <t>2026-06-11</t>
        </is>
      </c>
      <c r="B3864" s="3" t="inlineStr">
        <is>
          <t>디앤디파마텍</t>
        </is>
      </c>
      <c r="C3864" s="2" t="inlineStr">
        <is>
          <t>347850</t>
        </is>
      </c>
      <c r="D3864" s="2" t="inlineStr">
        <is>
          <t>대량보유</t>
        </is>
      </c>
      <c r="E3864" s="3" t="inlineStr">
        <is>
          <t>PasrichaPankajJay</t>
        </is>
      </c>
      <c r="F3864" s="3" t="inlineStr">
        <is>
          <t>특별관계자</t>
        </is>
      </c>
      <c r="G3864" s="3" t="inlineStr">
        <is>
          <t>무상신주취득(+), 주식매수선택권행사(-), 주식매수선택권행사(+)</t>
        </is>
      </c>
      <c r="H3864" s="15" t="n">
        <v>80478</v>
      </c>
      <c r="I3864" s="6" t="n">
        <v>8275</v>
      </c>
      <c r="J3864" s="6" t="n">
        <v>87297</v>
      </c>
      <c r="K3864" s="16" t="n">
        <v>16</v>
      </c>
      <c r="L3864" s="2" t="inlineStr">
        <is>
          <t>20260611000427</t>
        </is>
      </c>
      <c r="M3864" s="8">
        <f>HYPERLINK("https://dart.fss.or.kr/dsaf001/main.do?rcpNo=20260611000427", "공시열람")</f>
        <v/>
      </c>
    </row>
    <row r="3865" ht="22" customHeight="1">
      <c r="A3865" s="2" t="inlineStr">
        <is>
          <t>2026-06-11</t>
        </is>
      </c>
      <c r="B3865" s="3" t="inlineStr">
        <is>
          <t>디앤디파마텍</t>
        </is>
      </c>
      <c r="C3865" s="2" t="inlineStr">
        <is>
          <t>347850</t>
        </is>
      </c>
      <c r="D3865" s="2" t="inlineStr">
        <is>
          <t>대량보유</t>
        </is>
      </c>
      <c r="E3865" s="3" t="inlineStr">
        <is>
          <t>PhillipH.Pharm</t>
        </is>
      </c>
      <c r="F3865" s="3" t="inlineStr">
        <is>
          <t>특별관계자</t>
        </is>
      </c>
      <c r="G3865" s="3" t="inlineStr">
        <is>
          <t>무상신주취득(+), 주식매수선택권행사(-), 주식매수선택권행사(+)</t>
        </is>
      </c>
      <c r="H3865" s="15" t="n">
        <v>75000</v>
      </c>
      <c r="I3865" s="6" t="n">
        <v>8275</v>
      </c>
      <c r="J3865" s="6" t="n">
        <v>25000</v>
      </c>
      <c r="K3865" s="16" t="n">
        <v>16</v>
      </c>
      <c r="L3865" s="2" t="inlineStr">
        <is>
          <t>20260611000427</t>
        </is>
      </c>
      <c r="M3865" s="8">
        <f>HYPERLINK("https://dart.fss.or.kr/dsaf001/main.do?rcpNo=20260611000427", "공시열람")</f>
        <v/>
      </c>
    </row>
    <row r="3866" ht="22" customHeight="1">
      <c r="A3866" s="2" t="inlineStr">
        <is>
          <t>2026-06-11</t>
        </is>
      </c>
      <c r="B3866" s="3" t="inlineStr">
        <is>
          <t>디앤디파마텍</t>
        </is>
      </c>
      <c r="C3866" s="2" t="inlineStr">
        <is>
          <t>347850</t>
        </is>
      </c>
      <c r="D3866" s="2" t="inlineStr">
        <is>
          <t>대량보유</t>
        </is>
      </c>
      <c r="E3866" s="3" t="inlineStr">
        <is>
          <t>BardiaNezami</t>
        </is>
      </c>
      <c r="F3866" s="3" t="inlineStr">
        <is>
          <t>특별관계자</t>
        </is>
      </c>
      <c r="G3866" s="3" t="inlineStr">
        <is>
          <t>무상신주취득(+)</t>
        </is>
      </c>
      <c r="H3866" s="15" t="n">
        <v>16500</v>
      </c>
      <c r="I3866" s="6" t="inlineStr"/>
      <c r="J3866" s="6" t="n">
        <v>22000</v>
      </c>
      <c r="K3866" s="16" t="n">
        <v>16</v>
      </c>
      <c r="L3866" s="2" t="inlineStr">
        <is>
          <t>20260611000427</t>
        </is>
      </c>
      <c r="M3866" s="8">
        <f>HYPERLINK("https://dart.fss.or.kr/dsaf001/main.do?rcpNo=20260611000427", "공시열람")</f>
        <v/>
      </c>
    </row>
    <row r="3867" ht="22" customHeight="1">
      <c r="A3867" s="2" t="inlineStr">
        <is>
          <t>2026-06-11</t>
        </is>
      </c>
      <c r="B3867" s="3" t="inlineStr">
        <is>
          <t>디앤디파마텍</t>
        </is>
      </c>
      <c r="C3867" s="2" t="inlineStr">
        <is>
          <t>347850</t>
        </is>
      </c>
      <c r="D3867" s="2" t="inlineStr">
        <is>
          <t>대량보유</t>
        </is>
      </c>
      <c r="E3867" s="3" t="inlineStr">
        <is>
          <t>AnnaNesterenko</t>
        </is>
      </c>
      <c r="F3867" s="3" t="inlineStr">
        <is>
          <t>특별관계자</t>
        </is>
      </c>
      <c r="G3867" s="3" t="inlineStr">
        <is>
          <t>무상신주취득(+)</t>
        </is>
      </c>
      <c r="H3867" s="15" t="n">
        <v>42000</v>
      </c>
      <c r="I3867" s="6" t="inlineStr"/>
      <c r="J3867" s="6" t="n">
        <v>56000</v>
      </c>
      <c r="K3867" s="16" t="n">
        <v>16</v>
      </c>
      <c r="L3867" s="2" t="inlineStr">
        <is>
          <t>20260611000427</t>
        </is>
      </c>
      <c r="M3867" s="8">
        <f>HYPERLINK("https://dart.fss.or.kr/dsaf001/main.do?rcpNo=20260611000427", "공시열람")</f>
        <v/>
      </c>
    </row>
    <row r="3868" ht="22" customHeight="1">
      <c r="A3868" s="2" t="inlineStr">
        <is>
          <t>2026-06-11</t>
        </is>
      </c>
      <c r="B3868" s="3" t="inlineStr">
        <is>
          <t>디앤디파마텍</t>
        </is>
      </c>
      <c r="C3868" s="2" t="inlineStr">
        <is>
          <t>347850</t>
        </is>
      </c>
      <c r="D3868" s="2" t="inlineStr">
        <is>
          <t>대량보유</t>
        </is>
      </c>
      <c r="E3868" s="3" t="inlineStr">
        <is>
          <t>RoschkeVictorVladimirovich</t>
        </is>
      </c>
      <c r="F3868" s="3" t="inlineStr">
        <is>
          <t>특별관계자</t>
        </is>
      </c>
      <c r="G3868" s="3" t="inlineStr">
        <is>
          <t>무상신주취득(+)</t>
        </is>
      </c>
      <c r="H3868" s="15" t="n">
        <v>361527</v>
      </c>
      <c r="I3868" s="6" t="inlineStr"/>
      <c r="J3868" s="6" t="n">
        <v>482036</v>
      </c>
      <c r="K3868" s="16" t="n">
        <v>16</v>
      </c>
      <c r="L3868" s="2" t="inlineStr">
        <is>
          <t>20260611000427</t>
        </is>
      </c>
      <c r="M3868" s="8">
        <f>HYPERLINK("https://dart.fss.or.kr/dsaf001/main.do?rcpNo=20260611000427", "공시열람")</f>
        <v/>
      </c>
    </row>
    <row r="3869" ht="22" customHeight="1">
      <c r="A3869" s="2" t="inlineStr">
        <is>
          <t>2026-06-11</t>
        </is>
      </c>
      <c r="B3869" s="3" t="inlineStr">
        <is>
          <t>디앤디파마텍</t>
        </is>
      </c>
      <c r="C3869" s="2" t="inlineStr">
        <is>
          <t>347850</t>
        </is>
      </c>
      <c r="D3869" s="2" t="inlineStr">
        <is>
          <t>대량보유</t>
        </is>
      </c>
      <c r="E3869" s="3" t="inlineStr">
        <is>
          <t>PomperMartinGilbert</t>
        </is>
      </c>
      <c r="F3869" s="3" t="inlineStr">
        <is>
          <t>특별관계자</t>
        </is>
      </c>
      <c r="G3869" s="3" t="inlineStr">
        <is>
          <t>무상신주취득(+), 주식매수선택권행사(-), 주식매수선택권행사(+)</t>
        </is>
      </c>
      <c r="H3869" s="15" t="n">
        <v>314838</v>
      </c>
      <c r="I3869" s="6" t="n">
        <v>3500</v>
      </c>
      <c r="J3869" s="6" t="n">
        <v>219784</v>
      </c>
      <c r="K3869" s="16" t="n">
        <v>16</v>
      </c>
      <c r="L3869" s="2" t="inlineStr">
        <is>
          <t>20260611000427</t>
        </is>
      </c>
      <c r="M3869" s="8">
        <f>HYPERLINK("https://dart.fss.or.kr/dsaf001/main.do?rcpNo=20260611000427", "공시열람")</f>
        <v/>
      </c>
    </row>
    <row r="3870" ht="22" customHeight="1">
      <c r="A3870" s="2" t="inlineStr">
        <is>
          <t>2026-06-11</t>
        </is>
      </c>
      <c r="B3870" s="3" t="inlineStr">
        <is>
          <t>디앤디파마텍</t>
        </is>
      </c>
      <c r="C3870" s="2" t="inlineStr">
        <is>
          <t>347850</t>
        </is>
      </c>
      <c r="D3870" s="2" t="inlineStr">
        <is>
          <t>대량보유</t>
        </is>
      </c>
      <c r="E3870" s="3" t="inlineStr">
        <is>
          <t>DawsonValinaLynn</t>
        </is>
      </c>
      <c r="F3870" s="3" t="inlineStr">
        <is>
          <t>특별관계자</t>
        </is>
      </c>
      <c r="G3870" s="3" t="inlineStr">
        <is>
          <t>무상신주취득(+), 주식매수선택권행사(-), 주식매수선택권행사(+)</t>
        </is>
      </c>
      <c r="H3870" s="15" t="n">
        <v>97731</v>
      </c>
      <c r="I3870" s="6" t="n">
        <v>8275</v>
      </c>
      <c r="J3870" s="6" t="n">
        <v>130308</v>
      </c>
      <c r="K3870" s="16" t="n">
        <v>16</v>
      </c>
      <c r="L3870" s="2" t="inlineStr">
        <is>
          <t>20260611000427</t>
        </is>
      </c>
      <c r="M3870" s="8">
        <f>HYPERLINK("https://dart.fss.or.kr/dsaf001/main.do?rcpNo=20260611000427", "공시열람")</f>
        <v/>
      </c>
    </row>
    <row r="3871" ht="22" customHeight="1">
      <c r="A3871" s="2" t="inlineStr">
        <is>
          <t>2026-06-11</t>
        </is>
      </c>
      <c r="B3871" s="3" t="inlineStr">
        <is>
          <t>디앤디파마텍</t>
        </is>
      </c>
      <c r="C3871" s="2" t="inlineStr">
        <is>
          <t>347850</t>
        </is>
      </c>
      <c r="D3871" s="2" t="inlineStr">
        <is>
          <t>대량보유</t>
        </is>
      </c>
      <c r="E3871" s="3" t="inlineStr">
        <is>
          <t>AquilaInvestmentsXX</t>
        </is>
      </c>
      <c r="F3871" s="3" t="inlineStr">
        <is>
          <t>특별관계자</t>
        </is>
      </c>
      <c r="G3871" s="3" t="inlineStr">
        <is>
          <t>무상신주취득(+), CB인수(+)</t>
        </is>
      </c>
      <c r="H3871" s="15" t="n">
        <v>907049</v>
      </c>
      <c r="I3871" s="6" t="n">
        <v>77736</v>
      </c>
      <c r="J3871" s="6" t="n">
        <v>1140791</v>
      </c>
      <c r="K3871" s="16" t="n">
        <v>16</v>
      </c>
      <c r="L3871" s="2" t="inlineStr">
        <is>
          <t>20260611000427</t>
        </is>
      </c>
      <c r="M3871" s="8">
        <f>HYPERLINK("https://dart.fss.or.kr/dsaf001/main.do?rcpNo=20260611000427", "공시열람")</f>
        <v/>
      </c>
    </row>
    <row r="3872" ht="22" customHeight="1">
      <c r="A3872" s="2" t="inlineStr">
        <is>
          <t>2026-06-11</t>
        </is>
      </c>
      <c r="B3872" s="3" t="inlineStr">
        <is>
          <t>HC보광산업</t>
        </is>
      </c>
      <c r="C3872" s="2" t="inlineStr">
        <is>
          <t>225530</t>
        </is>
      </c>
      <c r="D3872" s="2" t="inlineStr">
        <is>
          <t>대량보유</t>
        </is>
      </c>
      <c r="E3872" s="3" t="inlineStr">
        <is>
          <t>에이치씨파트너스(주)</t>
        </is>
      </c>
      <c r="F3872" s="3" t="inlineStr">
        <is>
          <t>특별관계자</t>
        </is>
      </c>
      <c r="G3872" s="3" t="inlineStr">
        <is>
          <t>장내매수(+)</t>
        </is>
      </c>
      <c r="H3872" s="15" t="n">
        <v>35397</v>
      </c>
      <c r="I3872" s="6" t="n">
        <v>2242</v>
      </c>
      <c r="J3872" s="6" t="n">
        <v>960935</v>
      </c>
      <c r="K3872" s="16" t="n">
        <v>10</v>
      </c>
      <c r="L3872" s="2" t="inlineStr">
        <is>
          <t>20260611000422</t>
        </is>
      </c>
      <c r="M3872" s="8">
        <f>HYPERLINK("https://dart.fss.or.kr/dsaf001/main.do?rcpNo=20260611000422", "공시열람")</f>
        <v/>
      </c>
    </row>
    <row r="3873" ht="22" customHeight="1">
      <c r="A3873" s="2" t="inlineStr">
        <is>
          <t>2026-06-11</t>
        </is>
      </c>
      <c r="B3873" s="3" t="inlineStr">
        <is>
          <t>피에이치에이</t>
        </is>
      </c>
      <c r="C3873" s="2" t="inlineStr">
        <is>
          <t>043370</t>
        </is>
      </c>
      <c r="D3873" s="2" t="inlineStr">
        <is>
          <t>대량보유</t>
        </is>
      </c>
      <c r="E3873" s="3" t="inlineStr">
        <is>
          <t>김상태</t>
        </is>
      </c>
      <c r="F3873" s="3" t="inlineStr">
        <is>
          <t>특별관계자</t>
        </is>
      </c>
      <c r="G3873" s="3" t="inlineStr">
        <is>
          <t>증여(-)</t>
        </is>
      </c>
      <c r="H3873" s="17" t="n">
        <v>-630000</v>
      </c>
      <c r="I3873" s="6" t="inlineStr"/>
      <c r="J3873" s="6" t="inlineStr"/>
      <c r="K3873" s="16" t="n">
        <v>2</v>
      </c>
      <c r="L3873" s="2" t="inlineStr">
        <is>
          <t>20260611000416</t>
        </is>
      </c>
      <c r="M3873" s="8">
        <f>HYPERLINK("https://dart.fss.or.kr/dsaf001/main.do?rcpNo=20260611000416", "공시열람")</f>
        <v/>
      </c>
    </row>
    <row r="3874" ht="22" customHeight="1">
      <c r="A3874" s="2" t="inlineStr">
        <is>
          <t>2026-06-11</t>
        </is>
      </c>
      <c r="B3874" s="3" t="inlineStr">
        <is>
          <t>피에이치에이</t>
        </is>
      </c>
      <c r="C3874" s="2" t="inlineStr">
        <is>
          <t>043370</t>
        </is>
      </c>
      <c r="D3874" s="2" t="inlineStr">
        <is>
          <t>대량보유</t>
        </is>
      </c>
      <c r="E3874" s="3" t="inlineStr">
        <is>
          <t>김도연</t>
        </is>
      </c>
      <c r="F3874" s="3" t="inlineStr">
        <is>
          <t>특별관계자</t>
        </is>
      </c>
      <c r="G3874" s="3" t="inlineStr">
        <is>
          <t>수증(+)</t>
        </is>
      </c>
      <c r="H3874" s="15" t="n">
        <v>630000</v>
      </c>
      <c r="I3874" s="6" t="inlineStr"/>
      <c r="J3874" s="6" t="n">
        <v>630000</v>
      </c>
      <c r="K3874" s="16" t="n">
        <v>2</v>
      </c>
      <c r="L3874" s="2" t="inlineStr">
        <is>
          <t>20260611000416</t>
        </is>
      </c>
      <c r="M3874" s="8">
        <f>HYPERLINK("https://dart.fss.or.kr/dsaf001/main.do?rcpNo=20260611000416", "공시열람")</f>
        <v/>
      </c>
    </row>
    <row r="3875" ht="22" customHeight="1">
      <c r="A3875" s="2" t="inlineStr">
        <is>
          <t>2026-06-11</t>
        </is>
      </c>
      <c r="B3875" s="3" t="inlineStr">
        <is>
          <t>네오오토</t>
        </is>
      </c>
      <c r="C3875" s="2" t="inlineStr">
        <is>
          <t>212560</t>
        </is>
      </c>
      <c r="D3875" s="2" t="inlineStr">
        <is>
          <t>대량보유</t>
        </is>
      </c>
      <c r="E3875" s="3" t="inlineStr">
        <is>
          <t>김선현</t>
        </is>
      </c>
      <c r="F3875" s="3" t="inlineStr">
        <is>
          <t>특별관계자</t>
        </is>
      </c>
      <c r="G3875" s="3" t="inlineStr">
        <is>
          <t>무상신주취득(+), 콜옵션권리행사에따른CB취득(+)</t>
        </is>
      </c>
      <c r="H3875" s="15" t="n">
        <v>2077232</v>
      </c>
      <c r="I3875" s="6" t="inlineStr"/>
      <c r="J3875" s="6" t="n">
        <v>5227232</v>
      </c>
      <c r="K3875" s="16" t="n">
        <v>11</v>
      </c>
      <c r="L3875" s="2" t="inlineStr">
        <is>
          <t>20260611000397</t>
        </is>
      </c>
      <c r="M3875" s="8">
        <f>HYPERLINK("https://dart.fss.or.kr/dsaf001/main.do?rcpNo=20260611000397", "공시열람")</f>
        <v/>
      </c>
    </row>
    <row r="3876" ht="22" customHeight="1">
      <c r="A3876" s="2" t="inlineStr">
        <is>
          <t>2026-06-11</t>
        </is>
      </c>
      <c r="B3876" s="3" t="inlineStr">
        <is>
          <t>네오오토</t>
        </is>
      </c>
      <c r="C3876" s="2" t="inlineStr">
        <is>
          <t>212560</t>
        </is>
      </c>
      <c r="D3876" s="2" t="inlineStr">
        <is>
          <t>대량보유</t>
        </is>
      </c>
      <c r="E3876" s="3" t="inlineStr">
        <is>
          <t>(주)오토인더스트리</t>
        </is>
      </c>
      <c r="F3876" s="3" t="inlineStr">
        <is>
          <t>특별관계자</t>
        </is>
      </c>
      <c r="G3876" s="3" t="inlineStr">
        <is>
          <t>무상신주취득(+)</t>
        </is>
      </c>
      <c r="H3876" s="15" t="n">
        <v>315000</v>
      </c>
      <c r="I3876" s="6" t="inlineStr"/>
      <c r="J3876" s="6" t="n">
        <v>945000</v>
      </c>
      <c r="K3876" s="16" t="n">
        <v>11</v>
      </c>
      <c r="L3876" s="2" t="inlineStr">
        <is>
          <t>20260611000397</t>
        </is>
      </c>
      <c r="M3876" s="8">
        <f>HYPERLINK("https://dart.fss.or.kr/dsaf001/main.do?rcpNo=20260611000397", "공시열람")</f>
        <v/>
      </c>
    </row>
    <row r="3877" ht="22" customHeight="1">
      <c r="A3877" s="2" t="inlineStr">
        <is>
          <t>2026-06-11</t>
        </is>
      </c>
      <c r="B3877" s="3" t="inlineStr">
        <is>
          <t>네오오토</t>
        </is>
      </c>
      <c r="C3877" s="2" t="inlineStr">
        <is>
          <t>212560</t>
        </is>
      </c>
      <c r="D3877" s="2" t="inlineStr">
        <is>
          <t>대량보유</t>
        </is>
      </c>
      <c r="E3877" s="3" t="inlineStr">
        <is>
          <t>이진규</t>
        </is>
      </c>
      <c r="F3877" s="3" t="inlineStr">
        <is>
          <t>특별관계자</t>
        </is>
      </c>
      <c r="G3877" s="3" t="inlineStr">
        <is>
          <t>무상신주취득(+)</t>
        </is>
      </c>
      <c r="H3877" s="15" t="n">
        <v>65625</v>
      </c>
      <c r="I3877" s="6" t="inlineStr"/>
      <c r="J3877" s="6" t="n">
        <v>196875</v>
      </c>
      <c r="K3877" s="16" t="n">
        <v>11</v>
      </c>
      <c r="L3877" s="2" t="inlineStr">
        <is>
          <t>20260611000397</t>
        </is>
      </c>
      <c r="M3877" s="8">
        <f>HYPERLINK("https://dart.fss.or.kr/dsaf001/main.do?rcpNo=20260611000397", "공시열람")</f>
        <v/>
      </c>
    </row>
    <row r="3878" ht="22" customHeight="1">
      <c r="A3878" s="2" t="inlineStr">
        <is>
          <t>2026-06-11</t>
        </is>
      </c>
      <c r="B3878" s="3" t="inlineStr">
        <is>
          <t>네오오토</t>
        </is>
      </c>
      <c r="C3878" s="2" t="inlineStr">
        <is>
          <t>212560</t>
        </is>
      </c>
      <c r="D3878" s="2" t="inlineStr">
        <is>
          <t>대량보유</t>
        </is>
      </c>
      <c r="E3878" s="3" t="inlineStr">
        <is>
          <t>김미현</t>
        </is>
      </c>
      <c r="F3878" s="3" t="inlineStr">
        <is>
          <t>특별관계자</t>
        </is>
      </c>
      <c r="G3878" s="3" t="inlineStr">
        <is>
          <t>무상신주취득(+)</t>
        </is>
      </c>
      <c r="H3878" s="15" t="n">
        <v>57950</v>
      </c>
      <c r="I3878" s="6" t="inlineStr"/>
      <c r="J3878" s="6" t="n">
        <v>173850</v>
      </c>
      <c r="K3878" s="16" t="n">
        <v>11</v>
      </c>
      <c r="L3878" s="2" t="inlineStr">
        <is>
          <t>20260611000397</t>
        </is>
      </c>
      <c r="M3878" s="8">
        <f>HYPERLINK("https://dart.fss.or.kr/dsaf001/main.do?rcpNo=20260611000397", "공시열람")</f>
        <v/>
      </c>
    </row>
    <row r="3879" ht="22" customHeight="1">
      <c r="A3879" s="2" t="inlineStr">
        <is>
          <t>2026-06-11</t>
        </is>
      </c>
      <c r="B3879" s="3" t="inlineStr">
        <is>
          <t>네오오토</t>
        </is>
      </c>
      <c r="C3879" s="2" t="inlineStr">
        <is>
          <t>212560</t>
        </is>
      </c>
      <c r="D3879" s="2" t="inlineStr">
        <is>
          <t>대량보유</t>
        </is>
      </c>
      <c r="E3879" s="3" t="inlineStr">
        <is>
          <t>곽한솔</t>
        </is>
      </c>
      <c r="F3879" s="3" t="inlineStr">
        <is>
          <t>특별관계자</t>
        </is>
      </c>
      <c r="G3879" s="3" t="inlineStr">
        <is>
          <t>무상신주취득(+)</t>
        </is>
      </c>
      <c r="H3879" s="15" t="n">
        <v>1500</v>
      </c>
      <c r="I3879" s="6" t="inlineStr"/>
      <c r="J3879" s="6" t="n">
        <v>4500</v>
      </c>
      <c r="K3879" s="16" t="n">
        <v>11</v>
      </c>
      <c r="L3879" s="2" t="inlineStr">
        <is>
          <t>20260611000397</t>
        </is>
      </c>
      <c r="M3879" s="8">
        <f>HYPERLINK("https://dart.fss.or.kr/dsaf001/main.do?rcpNo=20260611000397", "공시열람")</f>
        <v/>
      </c>
    </row>
    <row r="3880" ht="22" customHeight="1">
      <c r="A3880" s="2" t="inlineStr">
        <is>
          <t>2026-06-11</t>
        </is>
      </c>
      <c r="B3880" s="3" t="inlineStr">
        <is>
          <t>네오오토</t>
        </is>
      </c>
      <c r="C3880" s="2" t="inlineStr">
        <is>
          <t>212560</t>
        </is>
      </c>
      <c r="D3880" s="2" t="inlineStr">
        <is>
          <t>대량보유</t>
        </is>
      </c>
      <c r="E3880" s="3" t="inlineStr">
        <is>
          <t>곽태원</t>
        </is>
      </c>
      <c r="F3880" s="3" t="inlineStr">
        <is>
          <t>특별관계자</t>
        </is>
      </c>
      <c r="G3880" s="3" t="inlineStr">
        <is>
          <t>무상신주취득(+), 장내매도(-)</t>
        </is>
      </c>
      <c r="H3880" s="17" t="n">
        <v>-97</v>
      </c>
      <c r="I3880" s="6" t="n">
        <v>8300</v>
      </c>
      <c r="J3880" s="6" t="n">
        <v>1</v>
      </c>
      <c r="K3880" s="16" t="n">
        <v>11</v>
      </c>
      <c r="L3880" s="2" t="inlineStr">
        <is>
          <t>20260611000397</t>
        </is>
      </c>
      <c r="M3880" s="8">
        <f>HYPERLINK("https://dart.fss.or.kr/dsaf001/main.do?rcpNo=20260611000397", "공시열람")</f>
        <v/>
      </c>
    </row>
    <row r="3881" ht="22" customHeight="1">
      <c r="A3881" s="2" t="inlineStr">
        <is>
          <t>2026-06-11</t>
        </is>
      </c>
      <c r="B3881" s="3" t="inlineStr">
        <is>
          <t>네오오토</t>
        </is>
      </c>
      <c r="C3881" s="2" t="inlineStr">
        <is>
          <t>212560</t>
        </is>
      </c>
      <c r="D3881" s="2" t="inlineStr">
        <is>
          <t>대량보유</t>
        </is>
      </c>
      <c r="E3881" s="3" t="inlineStr">
        <is>
          <t>곽한결</t>
        </is>
      </c>
      <c r="F3881" s="3" t="inlineStr">
        <is>
          <t>특별관계자</t>
        </is>
      </c>
      <c r="G3881" s="3" t="inlineStr">
        <is>
          <t>무상신주취득(+)</t>
        </is>
      </c>
      <c r="H3881" s="15" t="n">
        <v>5</v>
      </c>
      <c r="I3881" s="6" t="inlineStr"/>
      <c r="J3881" s="6" t="n">
        <v>15</v>
      </c>
      <c r="K3881" s="16" t="n">
        <v>11</v>
      </c>
      <c r="L3881" s="2" t="inlineStr">
        <is>
          <t>20260611000397</t>
        </is>
      </c>
      <c r="M3881" s="8">
        <f>HYPERLINK("https://dart.fss.or.kr/dsaf001/main.do?rcpNo=20260611000397", "공시열람")</f>
        <v/>
      </c>
    </row>
    <row r="3882" ht="22" customHeight="1">
      <c r="A3882" s="2" t="inlineStr">
        <is>
          <t>2026-06-11</t>
        </is>
      </c>
      <c r="B3882" s="3" t="inlineStr">
        <is>
          <t>네오오토</t>
        </is>
      </c>
      <c r="C3882" s="2" t="inlineStr">
        <is>
          <t>212560</t>
        </is>
      </c>
      <c r="D3882" s="2" t="inlineStr">
        <is>
          <t>대량보유</t>
        </is>
      </c>
      <c r="E3882" s="3" t="inlineStr">
        <is>
          <t>모빌리티사업재편유한회사</t>
        </is>
      </c>
      <c r="F3882" s="3" t="inlineStr">
        <is>
          <t>특별관계자</t>
        </is>
      </c>
      <c r="G3882" s="3" t="inlineStr">
        <is>
          <t>행사가액조정, 기타(-)</t>
        </is>
      </c>
      <c r="H3882" s="15" t="n">
        <v>238943</v>
      </c>
      <c r="I3882" s="6" t="inlineStr"/>
      <c r="J3882" s="6" t="n">
        <v>1171875</v>
      </c>
      <c r="K3882" s="16" t="n">
        <v>11</v>
      </c>
      <c r="L3882" s="2" t="inlineStr">
        <is>
          <t>20260611000397</t>
        </is>
      </c>
      <c r="M3882" s="8">
        <f>HYPERLINK("https://dart.fss.or.kr/dsaf001/main.do?rcpNo=20260611000397", "공시열람")</f>
        <v/>
      </c>
    </row>
    <row r="3883" ht="22" customHeight="1">
      <c r="A3883" s="2" t="inlineStr">
        <is>
          <t>2026-06-11</t>
        </is>
      </c>
      <c r="B3883" s="3" t="inlineStr">
        <is>
          <t>엘에스스팩1호</t>
        </is>
      </c>
      <c r="C3883" s="2" t="inlineStr">
        <is>
          <t>0041J0</t>
        </is>
      </c>
      <c r="D3883" s="2" t="inlineStr">
        <is>
          <t>대량보유</t>
        </is>
      </c>
      <c r="E3883" s="3" t="inlineStr">
        <is>
          <t>더블유자산운용</t>
        </is>
      </c>
      <c r="F3883" s="3" t="inlineStr">
        <is>
          <t>특별관계자</t>
        </is>
      </c>
      <c r="G3883" s="3" t="inlineStr">
        <is>
          <t>신규등록(+), 장내매도(-), 장내매수(+)</t>
        </is>
      </c>
      <c r="H3883" s="15" t="n">
        <v>167056</v>
      </c>
      <c r="I3883" s="6" t="n">
        <v>2010</v>
      </c>
      <c r="J3883" s="6" t="n">
        <v>167056</v>
      </c>
      <c r="K3883" s="16" t="n">
        <v>4.06</v>
      </c>
      <c r="L3883" s="2" t="inlineStr">
        <is>
          <t>20260611000391</t>
        </is>
      </c>
      <c r="M3883" s="8">
        <f>HYPERLINK("https://dart.fss.or.kr/dsaf001/main.do?rcpNo=20260611000391", "공시열람")</f>
        <v/>
      </c>
    </row>
    <row r="3884" ht="22" customHeight="1">
      <c r="A3884" s="2" t="inlineStr">
        <is>
          <t>2026-06-11</t>
        </is>
      </c>
      <c r="B3884" s="3" t="inlineStr">
        <is>
          <t>애드바이오텍</t>
        </is>
      </c>
      <c r="C3884" s="2" t="inlineStr">
        <is>
          <t>179530</t>
        </is>
      </c>
      <c r="D3884" s="2" t="inlineStr">
        <is>
          <t>대량보유</t>
        </is>
      </c>
      <c r="E3884" s="3" t="inlineStr">
        <is>
          <t>이트론주식회사</t>
        </is>
      </c>
      <c r="F3884" s="3" t="inlineStr">
        <is>
          <t>특별관계자</t>
        </is>
      </c>
      <c r="G3884" s="3" t="inlineStr">
        <is>
          <t>신규보고(+)</t>
        </is>
      </c>
      <c r="H3884" s="15" t="n">
        <v>3319251</v>
      </c>
      <c r="I3884" s="6" t="inlineStr"/>
      <c r="J3884" s="6" t="n">
        <v>3319251</v>
      </c>
      <c r="K3884" s="16" t="n">
        <v>2</v>
      </c>
      <c r="L3884" s="2" t="inlineStr">
        <is>
          <t>20260611000377</t>
        </is>
      </c>
      <c r="M3884" s="8">
        <f>HYPERLINK("https://dart.fss.or.kr/dsaf001/main.do?rcpNo=20260611000377", "공시열람")</f>
        <v/>
      </c>
    </row>
    <row r="3885" ht="22" customHeight="1">
      <c r="A3885" s="2" t="inlineStr">
        <is>
          <t>2026-06-11</t>
        </is>
      </c>
      <c r="B3885" s="3" t="inlineStr">
        <is>
          <t>케이엠제약</t>
        </is>
      </c>
      <c r="C3885" s="2" t="inlineStr">
        <is>
          <t>225430</t>
        </is>
      </c>
      <c r="D3885" s="2" t="inlineStr">
        <is>
          <t>대량보유</t>
        </is>
      </c>
      <c r="E3885" s="3" t="inlineStr">
        <is>
          <t>강일모</t>
        </is>
      </c>
      <c r="F3885" s="3" t="inlineStr">
        <is>
          <t>특별관계자</t>
        </is>
      </c>
      <c r="G3885" s="3" t="inlineStr">
        <is>
          <t>주식병합</t>
        </is>
      </c>
      <c r="H3885" s="17" t="n">
        <v>-8392209</v>
      </c>
      <c r="I3885" s="6" t="n">
        <v>0</v>
      </c>
      <c r="J3885" s="6" t="n">
        <v>2098052</v>
      </c>
      <c r="K3885" s="16" t="n">
        <v>4</v>
      </c>
      <c r="L3885" s="2" t="inlineStr">
        <is>
          <t>20260611000369</t>
        </is>
      </c>
      <c r="M3885" s="8">
        <f>HYPERLINK("https://dart.fss.or.kr/dsaf001/main.do?rcpNo=20260611000369", "공시열람")</f>
        <v/>
      </c>
    </row>
    <row r="3886" ht="22" customHeight="1">
      <c r="A3886" s="2" t="inlineStr">
        <is>
          <t>2026-06-11</t>
        </is>
      </c>
      <c r="B3886" s="3" t="inlineStr">
        <is>
          <t>케이엠제약</t>
        </is>
      </c>
      <c r="C3886" s="2" t="inlineStr">
        <is>
          <t>225430</t>
        </is>
      </c>
      <c r="D3886" s="2" t="inlineStr">
        <is>
          <t>대량보유</t>
        </is>
      </c>
      <c r="E3886" s="3" t="inlineStr">
        <is>
          <t>백승원(BAIKBRIANSEUNGWON)</t>
        </is>
      </c>
      <c r="F3886" s="3" t="inlineStr">
        <is>
          <t>특별관계자</t>
        </is>
      </c>
      <c r="G3886" s="3" t="inlineStr">
        <is>
          <t>주식병합</t>
        </is>
      </c>
      <c r="H3886" s="17" t="n">
        <v>-373936</v>
      </c>
      <c r="I3886" s="6" t="n">
        <v>0</v>
      </c>
      <c r="J3886" s="6" t="n">
        <v>93484</v>
      </c>
      <c r="K3886" s="16" t="n">
        <v>4</v>
      </c>
      <c r="L3886" s="2" t="inlineStr">
        <is>
          <t>20260611000369</t>
        </is>
      </c>
      <c r="M3886" s="8">
        <f>HYPERLINK("https://dart.fss.or.kr/dsaf001/main.do?rcpNo=20260611000369", "공시열람")</f>
        <v/>
      </c>
    </row>
    <row r="3887" ht="22" customHeight="1">
      <c r="A3887" s="2" t="inlineStr">
        <is>
          <t>2026-06-11</t>
        </is>
      </c>
      <c r="B3887" s="3" t="inlineStr">
        <is>
          <t>케이엠제약</t>
        </is>
      </c>
      <c r="C3887" s="2" t="inlineStr">
        <is>
          <t>225430</t>
        </is>
      </c>
      <c r="D3887" s="2" t="inlineStr">
        <is>
          <t>대량보유</t>
        </is>
      </c>
      <c r="E3887" s="3" t="inlineStr">
        <is>
          <t>황민영</t>
        </is>
      </c>
      <c r="F3887" s="3" t="inlineStr">
        <is>
          <t>특별관계자</t>
        </is>
      </c>
      <c r="G3887" s="3" t="inlineStr">
        <is>
          <t>주식병합</t>
        </is>
      </c>
      <c r="H3887" s="17" t="n">
        <v>-3311</v>
      </c>
      <c r="I3887" s="6" t="n">
        <v>0</v>
      </c>
      <c r="J3887" s="6" t="n">
        <v>827</v>
      </c>
      <c r="K3887" s="16" t="n">
        <v>4</v>
      </c>
      <c r="L3887" s="2" t="inlineStr">
        <is>
          <t>20260611000369</t>
        </is>
      </c>
      <c r="M3887" s="8">
        <f>HYPERLINK("https://dart.fss.or.kr/dsaf001/main.do?rcpNo=20260611000369", "공시열람")</f>
        <v/>
      </c>
    </row>
    <row r="3888" ht="22" customHeight="1">
      <c r="A3888" s="2" t="inlineStr">
        <is>
          <t>2026-06-11</t>
        </is>
      </c>
      <c r="B3888" s="3" t="inlineStr">
        <is>
          <t>케이엠제약</t>
        </is>
      </c>
      <c r="C3888" s="2" t="inlineStr">
        <is>
          <t>225430</t>
        </is>
      </c>
      <c r="D3888" s="2" t="inlineStr">
        <is>
          <t>대량보유</t>
        </is>
      </c>
      <c r="E3888" s="3" t="inlineStr">
        <is>
          <t>임영애</t>
        </is>
      </c>
      <c r="F3888" s="3" t="inlineStr">
        <is>
          <t>특별관계자</t>
        </is>
      </c>
      <c r="G3888" s="3" t="inlineStr">
        <is>
          <t>주식병합</t>
        </is>
      </c>
      <c r="H3888" s="17" t="n">
        <v>-3148</v>
      </c>
      <c r="I3888" s="6" t="n">
        <v>0</v>
      </c>
      <c r="J3888" s="6" t="n">
        <v>787</v>
      </c>
      <c r="K3888" s="16" t="n">
        <v>4</v>
      </c>
      <c r="L3888" s="2" t="inlineStr">
        <is>
          <t>20260611000369</t>
        </is>
      </c>
      <c r="M3888" s="8">
        <f>HYPERLINK("https://dart.fss.or.kr/dsaf001/main.do?rcpNo=20260611000369", "공시열람")</f>
        <v/>
      </c>
    </row>
    <row r="3889" ht="22" customHeight="1">
      <c r="A3889" s="2" t="inlineStr">
        <is>
          <t>2026-06-11</t>
        </is>
      </c>
      <c r="B3889" s="3" t="inlineStr">
        <is>
          <t>BYC</t>
        </is>
      </c>
      <c r="C3889" s="2" t="inlineStr">
        <is>
          <t>001460</t>
        </is>
      </c>
      <c r="D3889" s="2" t="inlineStr">
        <is>
          <t>대량보유</t>
        </is>
      </c>
      <c r="E3889" s="3" t="inlineStr">
        <is>
          <t>한승홀딩스</t>
        </is>
      </c>
      <c r="F3889" s="3" t="inlineStr">
        <is>
          <t>특별관계자</t>
        </is>
      </c>
      <c r="G3889" s="3" t="inlineStr">
        <is>
          <t>장내매수(+)</t>
        </is>
      </c>
      <c r="H3889" s="15" t="n">
        <v>55477</v>
      </c>
      <c r="I3889" s="6" t="n">
        <v>41485</v>
      </c>
      <c r="J3889" s="6" t="n">
        <v>901607</v>
      </c>
      <c r="K3889" s="16" t="n">
        <v>11</v>
      </c>
      <c r="L3889" s="2" t="inlineStr">
        <is>
          <t>20260611000313</t>
        </is>
      </c>
      <c r="M3889" s="8">
        <f>HYPERLINK("https://dart.fss.or.kr/dsaf001/main.do?rcpNo=20260611000313", "공시열람")</f>
        <v/>
      </c>
    </row>
    <row r="3890" ht="22" customHeight="1">
      <c r="A3890" s="2" t="inlineStr">
        <is>
          <t>2026-06-11</t>
        </is>
      </c>
      <c r="B3890" s="3" t="inlineStr">
        <is>
          <t>BYC</t>
        </is>
      </c>
      <c r="C3890" s="2" t="inlineStr">
        <is>
          <t>001460</t>
        </is>
      </c>
      <c r="D3890" s="2" t="inlineStr">
        <is>
          <t>대량보유</t>
        </is>
      </c>
      <c r="E3890" s="3" t="inlineStr">
        <is>
          <t>한석범</t>
        </is>
      </c>
      <c r="F3890" s="3" t="inlineStr">
        <is>
          <t>특별관계자</t>
        </is>
      </c>
      <c r="G3890" s="3" t="inlineStr">
        <is>
          <t>장내매수(+)</t>
        </is>
      </c>
      <c r="H3890" s="15" t="n">
        <v>1578</v>
      </c>
      <c r="I3890" s="6" t="n">
        <v>26853</v>
      </c>
      <c r="J3890" s="6" t="n">
        <v>217458</v>
      </c>
      <c r="K3890" s="16" t="n">
        <v>11</v>
      </c>
      <c r="L3890" s="2" t="inlineStr">
        <is>
          <t>20260611000313</t>
        </is>
      </c>
      <c r="M3890" s="8">
        <f>HYPERLINK("https://dart.fss.or.kr/dsaf001/main.do?rcpNo=20260611000313", "공시열람")</f>
        <v/>
      </c>
    </row>
    <row r="3891" ht="22" customHeight="1">
      <c r="A3891" s="2" t="inlineStr">
        <is>
          <t>2026-06-11</t>
        </is>
      </c>
      <c r="B3891" s="3" t="inlineStr">
        <is>
          <t>BYC</t>
        </is>
      </c>
      <c r="C3891" s="2" t="inlineStr">
        <is>
          <t>001460</t>
        </is>
      </c>
      <c r="D3891" s="2" t="inlineStr">
        <is>
          <t>대량보유</t>
        </is>
      </c>
      <c r="E3891" s="3" t="inlineStr">
        <is>
          <t>신한에디피스</t>
        </is>
      </c>
      <c r="F3891" s="3" t="inlineStr">
        <is>
          <t>특별관계자</t>
        </is>
      </c>
      <c r="G3891" s="3" t="inlineStr">
        <is>
          <t>장내매수(+)</t>
        </is>
      </c>
      <c r="H3891" s="15" t="n">
        <v>7861</v>
      </c>
      <c r="I3891" s="6" t="n">
        <v>37139</v>
      </c>
      <c r="J3891" s="6" t="n">
        <v>1159261</v>
      </c>
      <c r="K3891" s="16" t="n">
        <v>11</v>
      </c>
      <c r="L3891" s="2" t="inlineStr">
        <is>
          <t>20260611000313</t>
        </is>
      </c>
      <c r="M3891" s="8">
        <f>HYPERLINK("https://dart.fss.or.kr/dsaf001/main.do?rcpNo=20260611000313", "공시열람")</f>
        <v/>
      </c>
    </row>
    <row r="3892" ht="22" customHeight="1">
      <c r="A3892" s="2" t="inlineStr">
        <is>
          <t>2026-06-11</t>
        </is>
      </c>
      <c r="B3892" s="3" t="inlineStr">
        <is>
          <t>BYC</t>
        </is>
      </c>
      <c r="C3892" s="2" t="inlineStr">
        <is>
          <t>001460</t>
        </is>
      </c>
      <c r="D3892" s="2" t="inlineStr">
        <is>
          <t>대량보유</t>
        </is>
      </c>
      <c r="E3892" s="3" t="inlineStr">
        <is>
          <t>제원기업</t>
        </is>
      </c>
      <c r="F3892" s="3" t="inlineStr">
        <is>
          <t>특별관계자</t>
        </is>
      </c>
      <c r="G3892" s="3" t="inlineStr">
        <is>
          <t>장내매수(+)</t>
        </is>
      </c>
      <c r="H3892" s="15" t="n">
        <v>83660</v>
      </c>
      <c r="I3892" s="6" t="n">
        <v>32000</v>
      </c>
      <c r="J3892" s="6" t="n">
        <v>102720</v>
      </c>
      <c r="K3892" s="16" t="n">
        <v>11</v>
      </c>
      <c r="L3892" s="2" t="inlineStr">
        <is>
          <t>20260611000310</t>
        </is>
      </c>
      <c r="M3892" s="8">
        <f>HYPERLINK("https://dart.fss.or.kr/dsaf001/main.do?rcpNo=20260611000310", "공시열람")</f>
        <v/>
      </c>
    </row>
    <row r="3893" ht="22" customHeight="1">
      <c r="A3893" s="2" t="inlineStr">
        <is>
          <t>2026-06-11</t>
        </is>
      </c>
      <c r="B3893" s="3" t="inlineStr">
        <is>
          <t>BYC</t>
        </is>
      </c>
      <c r="C3893" s="2" t="inlineStr">
        <is>
          <t>001460</t>
        </is>
      </c>
      <c r="D3893" s="2" t="inlineStr">
        <is>
          <t>대량보유</t>
        </is>
      </c>
      <c r="E3893" s="3" t="inlineStr">
        <is>
          <t>인화상품</t>
        </is>
      </c>
      <c r="F3893" s="3" t="inlineStr">
        <is>
          <t>특별관계자</t>
        </is>
      </c>
      <c r="G3893" s="3" t="inlineStr">
        <is>
          <t>장내매수(+)</t>
        </is>
      </c>
      <c r="H3893" s="15" t="n">
        <v>4230</v>
      </c>
      <c r="I3893" s="6" t="n">
        <v>32000</v>
      </c>
      <c r="J3893" s="6" t="n">
        <v>164250</v>
      </c>
      <c r="K3893" s="16" t="n">
        <v>11</v>
      </c>
      <c r="L3893" s="2" t="inlineStr">
        <is>
          <t>20260611000310</t>
        </is>
      </c>
      <c r="M3893" s="8">
        <f>HYPERLINK("https://dart.fss.or.kr/dsaf001/main.do?rcpNo=20260611000310", "공시열람")</f>
        <v/>
      </c>
    </row>
    <row r="3894" ht="22" customHeight="1">
      <c r="A3894" s="2" t="inlineStr">
        <is>
          <t>2026-06-11</t>
        </is>
      </c>
      <c r="B3894" s="3" t="inlineStr">
        <is>
          <t>BYC</t>
        </is>
      </c>
      <c r="C3894" s="2" t="inlineStr">
        <is>
          <t>001460</t>
        </is>
      </c>
      <c r="D3894" s="2" t="inlineStr">
        <is>
          <t>대량보유</t>
        </is>
      </c>
      <c r="E3894" s="3" t="inlineStr">
        <is>
          <t>신한방</t>
        </is>
      </c>
      <c r="F3894" s="3" t="inlineStr">
        <is>
          <t>특별관계자</t>
        </is>
      </c>
      <c r="G3894" s="3" t="inlineStr">
        <is>
          <t>장내매수(+)</t>
        </is>
      </c>
      <c r="H3894" s="15" t="n">
        <v>83739</v>
      </c>
      <c r="I3894" s="6" t="n">
        <v>32128</v>
      </c>
      <c r="J3894" s="6" t="n">
        <v>424369</v>
      </c>
      <c r="K3894" s="16" t="n">
        <v>11</v>
      </c>
      <c r="L3894" s="2" t="inlineStr">
        <is>
          <t>20260611000310</t>
        </is>
      </c>
      <c r="M3894" s="8">
        <f>HYPERLINK("https://dart.fss.or.kr/dsaf001/main.do?rcpNo=20260611000310", "공시열람")</f>
        <v/>
      </c>
    </row>
    <row r="3895" ht="22" customHeight="1">
      <c r="A3895" s="2" t="inlineStr">
        <is>
          <t>2026-06-11</t>
        </is>
      </c>
      <c r="B3895" s="3" t="inlineStr">
        <is>
          <t>BYC</t>
        </is>
      </c>
      <c r="C3895" s="2" t="inlineStr">
        <is>
          <t>001460</t>
        </is>
      </c>
      <c r="D3895" s="2" t="inlineStr">
        <is>
          <t>대량보유</t>
        </is>
      </c>
      <c r="E3895" s="3" t="inlineStr">
        <is>
          <t>한승홀딩스</t>
        </is>
      </c>
      <c r="F3895" s="3" t="inlineStr">
        <is>
          <t>특별관계자</t>
        </is>
      </c>
      <c r="G3895" s="3" t="inlineStr">
        <is>
          <t>주식분할</t>
        </is>
      </c>
      <c r="H3895" s="15" t="n">
        <v>2284551</v>
      </c>
      <c r="I3895" s="6" t="n">
        <v>0</v>
      </c>
      <c r="J3895" s="6" t="n">
        <v>846130</v>
      </c>
      <c r="K3895" s="16" t="n">
        <v>11</v>
      </c>
      <c r="L3895" s="2" t="inlineStr">
        <is>
          <t>20260611000307</t>
        </is>
      </c>
      <c r="M3895" s="8">
        <f>HYPERLINK("https://dart.fss.or.kr/dsaf001/main.do?rcpNo=20260611000307", "공시열람")</f>
        <v/>
      </c>
    </row>
    <row r="3896" ht="22" customHeight="1">
      <c r="A3896" s="2" t="inlineStr">
        <is>
          <t>2026-06-11</t>
        </is>
      </c>
      <c r="B3896" s="3" t="inlineStr">
        <is>
          <t>BYC</t>
        </is>
      </c>
      <c r="C3896" s="2" t="inlineStr">
        <is>
          <t>001460</t>
        </is>
      </c>
      <c r="D3896" s="2" t="inlineStr">
        <is>
          <t>대량보유</t>
        </is>
      </c>
      <c r="E3896" s="3" t="inlineStr">
        <is>
          <t>한석범</t>
        </is>
      </c>
      <c r="F3896" s="3" t="inlineStr">
        <is>
          <t>특별관계자</t>
        </is>
      </c>
      <c r="G3896" s="3" t="inlineStr">
        <is>
          <t>주식분할</t>
        </is>
      </c>
      <c r="H3896" s="15" t="n">
        <v>582876</v>
      </c>
      <c r="I3896" s="6" t="n">
        <v>0</v>
      </c>
      <c r="J3896" s="6" t="n">
        <v>215880</v>
      </c>
      <c r="K3896" s="16" t="n">
        <v>11</v>
      </c>
      <c r="L3896" s="2" t="inlineStr">
        <is>
          <t>20260611000307</t>
        </is>
      </c>
      <c r="M3896" s="8">
        <f>HYPERLINK("https://dart.fss.or.kr/dsaf001/main.do?rcpNo=20260611000307", "공시열람")</f>
        <v/>
      </c>
    </row>
    <row r="3897" ht="22" customHeight="1">
      <c r="A3897" s="2" t="inlineStr">
        <is>
          <t>2026-06-11</t>
        </is>
      </c>
      <c r="B3897" s="3" t="inlineStr">
        <is>
          <t>BYC</t>
        </is>
      </c>
      <c r="C3897" s="2" t="inlineStr">
        <is>
          <t>001460</t>
        </is>
      </c>
      <c r="D3897" s="2" t="inlineStr">
        <is>
          <t>대량보유</t>
        </is>
      </c>
      <c r="E3897" s="3" t="inlineStr">
        <is>
          <t>한석범(한지원)</t>
        </is>
      </c>
      <c r="F3897" s="3" t="inlineStr">
        <is>
          <t>특별관계자</t>
        </is>
      </c>
      <c r="G3897" s="3" t="inlineStr">
        <is>
          <t>기타(+)</t>
        </is>
      </c>
      <c r="H3897" s="15" t="n">
        <v>281460</v>
      </c>
      <c r="I3897" s="6" t="n">
        <v>0</v>
      </c>
      <c r="J3897" s="6" t="n">
        <v>281460</v>
      </c>
      <c r="K3897" s="16" t="n">
        <v>11</v>
      </c>
      <c r="L3897" s="2" t="inlineStr">
        <is>
          <t>20260611000307</t>
        </is>
      </c>
      <c r="M3897" s="8">
        <f>HYPERLINK("https://dart.fss.or.kr/dsaf001/main.do?rcpNo=20260611000307", "공시열람")</f>
        <v/>
      </c>
    </row>
    <row r="3898" ht="22" customHeight="1">
      <c r="A3898" s="2" t="inlineStr">
        <is>
          <t>2026-06-11</t>
        </is>
      </c>
      <c r="B3898" s="3" t="inlineStr">
        <is>
          <t>BYC</t>
        </is>
      </c>
      <c r="C3898" s="2" t="inlineStr">
        <is>
          <t>001460</t>
        </is>
      </c>
      <c r="D3898" s="2" t="inlineStr">
        <is>
          <t>대량보유</t>
        </is>
      </c>
      <c r="E3898" s="3" t="inlineStr">
        <is>
          <t>한석범(한서원)</t>
        </is>
      </c>
      <c r="F3898" s="3" t="inlineStr">
        <is>
          <t>특별관계자</t>
        </is>
      </c>
      <c r="G3898" s="3" t="inlineStr">
        <is>
          <t>기타(+)</t>
        </is>
      </c>
      <c r="H3898" s="15" t="n">
        <v>218110</v>
      </c>
      <c r="I3898" s="6" t="n">
        <v>0</v>
      </c>
      <c r="J3898" s="6" t="n">
        <v>218110</v>
      </c>
      <c r="K3898" s="16" t="n">
        <v>11</v>
      </c>
      <c r="L3898" s="2" t="inlineStr">
        <is>
          <t>20260611000307</t>
        </is>
      </c>
      <c r="M3898" s="8">
        <f>HYPERLINK("https://dart.fss.or.kr/dsaf001/main.do?rcpNo=20260611000307", "공시열람")</f>
        <v/>
      </c>
    </row>
    <row r="3899" ht="22" customHeight="1">
      <c r="A3899" s="2" t="inlineStr">
        <is>
          <t>2026-06-11</t>
        </is>
      </c>
      <c r="B3899" s="3" t="inlineStr">
        <is>
          <t>BYC</t>
        </is>
      </c>
      <c r="C3899" s="2" t="inlineStr">
        <is>
          <t>001460</t>
        </is>
      </c>
      <c r="D3899" s="2" t="inlineStr">
        <is>
          <t>대량보유</t>
        </is>
      </c>
      <c r="E3899" s="3" t="inlineStr">
        <is>
          <t>장은숙</t>
        </is>
      </c>
      <c r="F3899" s="3" t="inlineStr">
        <is>
          <t>특별관계자</t>
        </is>
      </c>
      <c r="G3899" s="3" t="inlineStr">
        <is>
          <t>주식분할</t>
        </is>
      </c>
      <c r="H3899" s="15" t="n">
        <v>691767</v>
      </c>
      <c r="I3899" s="6" t="n">
        <v>0</v>
      </c>
      <c r="J3899" s="6" t="n">
        <v>256210</v>
      </c>
      <c r="K3899" s="16" t="n">
        <v>11</v>
      </c>
      <c r="L3899" s="2" t="inlineStr">
        <is>
          <t>20260611000307</t>
        </is>
      </c>
      <c r="M3899" s="8">
        <f>HYPERLINK("https://dart.fss.or.kr/dsaf001/main.do?rcpNo=20260611000307", "공시열람")</f>
        <v/>
      </c>
    </row>
    <row r="3900" ht="22" customHeight="1">
      <c r="A3900" s="2" t="inlineStr">
        <is>
          <t>2026-06-11</t>
        </is>
      </c>
      <c r="B3900" s="3" t="inlineStr">
        <is>
          <t>BYC</t>
        </is>
      </c>
      <c r="C3900" s="2" t="inlineStr">
        <is>
          <t>001460</t>
        </is>
      </c>
      <c r="D3900" s="2" t="inlineStr">
        <is>
          <t>대량보유</t>
        </is>
      </c>
      <c r="E3900" s="3" t="inlineStr">
        <is>
          <t>한지원</t>
        </is>
      </c>
      <c r="F3900" s="3" t="inlineStr">
        <is>
          <t>특별관계자</t>
        </is>
      </c>
      <c r="G3900" s="3" t="inlineStr">
        <is>
          <t>주식분할, 기타(-)</t>
        </is>
      </c>
      <c r="H3900" s="15" t="n">
        <v>478482</v>
      </c>
      <c r="I3900" s="6" t="n">
        <v>0</v>
      </c>
      <c r="J3900" s="6" t="n">
        <v>281460</v>
      </c>
      <c r="K3900" s="16" t="n">
        <v>11</v>
      </c>
      <c r="L3900" s="2" t="inlineStr">
        <is>
          <t>20260611000307</t>
        </is>
      </c>
      <c r="M3900" s="8">
        <f>HYPERLINK("https://dart.fss.or.kr/dsaf001/main.do?rcpNo=20260611000307", "공시열람")</f>
        <v/>
      </c>
    </row>
    <row r="3901" ht="22" customHeight="1">
      <c r="A3901" s="2" t="inlineStr">
        <is>
          <t>2026-06-11</t>
        </is>
      </c>
      <c r="B3901" s="3" t="inlineStr">
        <is>
          <t>BYC</t>
        </is>
      </c>
      <c r="C3901" s="2" t="inlineStr">
        <is>
          <t>001460</t>
        </is>
      </c>
      <c r="D3901" s="2" t="inlineStr">
        <is>
          <t>대량보유</t>
        </is>
      </c>
      <c r="E3901" s="3" t="inlineStr">
        <is>
          <t>한서원</t>
        </is>
      </c>
      <c r="F3901" s="3" t="inlineStr">
        <is>
          <t>특별관계자</t>
        </is>
      </c>
      <c r="G3901" s="3" t="inlineStr">
        <is>
          <t>장내매수(+), 주식분할, 기타(-)</t>
        </is>
      </c>
      <c r="H3901" s="15" t="n">
        <v>370883</v>
      </c>
      <c r="I3901" s="6" t="n">
        <v>49</v>
      </c>
      <c r="J3901" s="6" t="n">
        <v>218110</v>
      </c>
      <c r="K3901" s="16" t="n">
        <v>11</v>
      </c>
      <c r="L3901" s="2" t="inlineStr">
        <is>
          <t>20260611000307</t>
        </is>
      </c>
      <c r="M3901" s="8">
        <f>HYPERLINK("https://dart.fss.or.kr/dsaf001/main.do?rcpNo=20260611000307", "공시열람")</f>
        <v/>
      </c>
    </row>
    <row r="3902" ht="22" customHeight="1">
      <c r="A3902" s="2" t="inlineStr">
        <is>
          <t>2026-06-11</t>
        </is>
      </c>
      <c r="B3902" s="3" t="inlineStr">
        <is>
          <t>BYC</t>
        </is>
      </c>
      <c r="C3902" s="2" t="inlineStr">
        <is>
          <t>001460</t>
        </is>
      </c>
      <c r="D3902" s="2" t="inlineStr">
        <is>
          <t>대량보유</t>
        </is>
      </c>
      <c r="E3902" s="3" t="inlineStr">
        <is>
          <t>한승우</t>
        </is>
      </c>
      <c r="F3902" s="3" t="inlineStr">
        <is>
          <t>특별관계자</t>
        </is>
      </c>
      <c r="G3902" s="3" t="inlineStr">
        <is>
          <t>주식분할</t>
        </is>
      </c>
      <c r="H3902" s="15" t="n">
        <v>785484</v>
      </c>
      <c r="I3902" s="6" t="n">
        <v>0</v>
      </c>
      <c r="J3902" s="6" t="n">
        <v>290920</v>
      </c>
      <c r="K3902" s="16" t="n">
        <v>11</v>
      </c>
      <c r="L3902" s="2" t="inlineStr">
        <is>
          <t>20260611000307</t>
        </is>
      </c>
      <c r="M3902" s="8">
        <f>HYPERLINK("https://dart.fss.or.kr/dsaf001/main.do?rcpNo=20260611000307", "공시열람")</f>
        <v/>
      </c>
    </row>
    <row r="3903" ht="22" customHeight="1">
      <c r="A3903" s="2" t="inlineStr">
        <is>
          <t>2026-06-11</t>
        </is>
      </c>
      <c r="B3903" s="3" t="inlineStr">
        <is>
          <t>BYC</t>
        </is>
      </c>
      <c r="C3903" s="2" t="inlineStr">
        <is>
          <t>001460</t>
        </is>
      </c>
      <c r="D3903" s="2" t="inlineStr">
        <is>
          <t>대량보유</t>
        </is>
      </c>
      <c r="E3903" s="3" t="inlineStr">
        <is>
          <t>신한학원</t>
        </is>
      </c>
      <c r="F3903" s="3" t="inlineStr">
        <is>
          <t>특별관계자</t>
        </is>
      </c>
      <c r="G3903" s="3" t="inlineStr">
        <is>
          <t>주식분할</t>
        </is>
      </c>
      <c r="H3903" s="15" t="n">
        <v>843210</v>
      </c>
      <c r="I3903" s="6" t="n">
        <v>0</v>
      </c>
      <c r="J3903" s="6" t="n">
        <v>312300</v>
      </c>
      <c r="K3903" s="16" t="n">
        <v>11</v>
      </c>
      <c r="L3903" s="2" t="inlineStr">
        <is>
          <t>20260611000307</t>
        </is>
      </c>
      <c r="M3903" s="8">
        <f>HYPERLINK("https://dart.fss.or.kr/dsaf001/main.do?rcpNo=20260611000307", "공시열람")</f>
        <v/>
      </c>
    </row>
    <row r="3904" ht="22" customHeight="1">
      <c r="A3904" s="2" t="inlineStr">
        <is>
          <t>2026-06-11</t>
        </is>
      </c>
      <c r="B3904" s="3" t="inlineStr">
        <is>
          <t>BYC</t>
        </is>
      </c>
      <c r="C3904" s="2" t="inlineStr">
        <is>
          <t>001460</t>
        </is>
      </c>
      <c r="D3904" s="2" t="inlineStr">
        <is>
          <t>대량보유</t>
        </is>
      </c>
      <c r="E3904" s="3" t="inlineStr">
        <is>
          <t>신한에디피스</t>
        </is>
      </c>
      <c r="F3904" s="3" t="inlineStr">
        <is>
          <t>특별관계자</t>
        </is>
      </c>
      <c r="G3904" s="3" t="inlineStr">
        <is>
          <t>주식분할</t>
        </is>
      </c>
      <c r="H3904" s="15" t="n">
        <v>3108780</v>
      </c>
      <c r="I3904" s="6" t="n">
        <v>0</v>
      </c>
      <c r="J3904" s="6" t="n">
        <v>1151400</v>
      </c>
      <c r="K3904" s="16" t="n">
        <v>11</v>
      </c>
      <c r="L3904" s="2" t="inlineStr">
        <is>
          <t>20260611000307</t>
        </is>
      </c>
      <c r="M3904" s="8">
        <f>HYPERLINK("https://dart.fss.or.kr/dsaf001/main.do?rcpNo=20260611000307", "공시열람")</f>
        <v/>
      </c>
    </row>
    <row r="3905" ht="22" customHeight="1">
      <c r="A3905" s="2" t="inlineStr">
        <is>
          <t>2026-06-11</t>
        </is>
      </c>
      <c r="B3905" s="3" t="inlineStr">
        <is>
          <t>BYC</t>
        </is>
      </c>
      <c r="C3905" s="2" t="inlineStr">
        <is>
          <t>001460</t>
        </is>
      </c>
      <c r="D3905" s="2" t="inlineStr">
        <is>
          <t>대량보유</t>
        </is>
      </c>
      <c r="E3905" s="3" t="inlineStr">
        <is>
          <t>제원기업</t>
        </is>
      </c>
      <c r="F3905" s="3" t="inlineStr">
        <is>
          <t>특별관계자</t>
        </is>
      </c>
      <c r="G3905" s="3" t="inlineStr">
        <is>
          <t>주식분할</t>
        </is>
      </c>
      <c r="H3905" s="15" t="n">
        <v>51462</v>
      </c>
      <c r="I3905" s="6" t="n">
        <v>0</v>
      </c>
      <c r="J3905" s="6" t="n">
        <v>19060</v>
      </c>
      <c r="K3905" s="16" t="n">
        <v>11</v>
      </c>
      <c r="L3905" s="2" t="inlineStr">
        <is>
          <t>20260611000307</t>
        </is>
      </c>
      <c r="M3905" s="8">
        <f>HYPERLINK("https://dart.fss.or.kr/dsaf001/main.do?rcpNo=20260611000307", "공시열람")</f>
        <v/>
      </c>
    </row>
    <row r="3906" ht="22" customHeight="1">
      <c r="A3906" s="2" t="inlineStr">
        <is>
          <t>2026-06-11</t>
        </is>
      </c>
      <c r="B3906" s="3" t="inlineStr">
        <is>
          <t>BYC</t>
        </is>
      </c>
      <c r="C3906" s="2" t="inlineStr">
        <is>
          <t>001460</t>
        </is>
      </c>
      <c r="D3906" s="2" t="inlineStr">
        <is>
          <t>대량보유</t>
        </is>
      </c>
      <c r="E3906" s="3" t="inlineStr">
        <is>
          <t>일관</t>
        </is>
      </c>
      <c r="F3906" s="3" t="inlineStr">
        <is>
          <t>특별관계자</t>
        </is>
      </c>
      <c r="G3906" s="3" t="inlineStr">
        <is>
          <t>주식분할</t>
        </is>
      </c>
      <c r="H3906" s="15" t="n">
        <v>505953</v>
      </c>
      <c r="I3906" s="6" t="n">
        <v>0</v>
      </c>
      <c r="J3906" s="6" t="n">
        <v>187390</v>
      </c>
      <c r="K3906" s="16" t="n">
        <v>11</v>
      </c>
      <c r="L3906" s="2" t="inlineStr">
        <is>
          <t>20260611000307</t>
        </is>
      </c>
      <c r="M3906" s="8">
        <f>HYPERLINK("https://dart.fss.or.kr/dsaf001/main.do?rcpNo=20260611000307", "공시열람")</f>
        <v/>
      </c>
    </row>
    <row r="3907" ht="22" customHeight="1">
      <c r="A3907" s="2" t="inlineStr">
        <is>
          <t>2026-06-11</t>
        </is>
      </c>
      <c r="B3907" s="3" t="inlineStr">
        <is>
          <t>BYC</t>
        </is>
      </c>
      <c r="C3907" s="2" t="inlineStr">
        <is>
          <t>001460</t>
        </is>
      </c>
      <c r="D3907" s="2" t="inlineStr">
        <is>
          <t>대량보유</t>
        </is>
      </c>
      <c r="E3907" s="3" t="inlineStr">
        <is>
          <t>인화상품</t>
        </is>
      </c>
      <c r="F3907" s="3" t="inlineStr">
        <is>
          <t>특별관계자</t>
        </is>
      </c>
      <c r="G3907" s="3" t="inlineStr">
        <is>
          <t>주식분할</t>
        </is>
      </c>
      <c r="H3907" s="15" t="n">
        <v>432054</v>
      </c>
      <c r="I3907" s="6" t="n">
        <v>0</v>
      </c>
      <c r="J3907" s="6" t="n">
        <v>160020</v>
      </c>
      <c r="K3907" s="16" t="n">
        <v>11</v>
      </c>
      <c r="L3907" s="2" t="inlineStr">
        <is>
          <t>20260611000307</t>
        </is>
      </c>
      <c r="M3907" s="8">
        <f>HYPERLINK("https://dart.fss.or.kr/dsaf001/main.do?rcpNo=20260611000307", "공시열람")</f>
        <v/>
      </c>
    </row>
    <row r="3908" ht="22" customHeight="1">
      <c r="A3908" s="2" t="inlineStr">
        <is>
          <t>2026-06-11</t>
        </is>
      </c>
      <c r="B3908" s="3" t="inlineStr">
        <is>
          <t>BYC</t>
        </is>
      </c>
      <c r="C3908" s="2" t="inlineStr">
        <is>
          <t>001460</t>
        </is>
      </c>
      <c r="D3908" s="2" t="inlineStr">
        <is>
          <t>대량보유</t>
        </is>
      </c>
      <c r="E3908" s="3" t="inlineStr">
        <is>
          <t>신한방</t>
        </is>
      </c>
      <c r="F3908" s="3" t="inlineStr">
        <is>
          <t>특별관계자</t>
        </is>
      </c>
      <c r="G3908" s="3" t="inlineStr">
        <is>
          <t>장내매수(+), 주식분할</t>
        </is>
      </c>
      <c r="H3908" s="15" t="n">
        <v>922308</v>
      </c>
      <c r="I3908" s="6" t="n">
        <v>1203</v>
      </c>
      <c r="J3908" s="6" t="n">
        <v>340630</v>
      </c>
      <c r="K3908" s="16" t="n">
        <v>11</v>
      </c>
      <c r="L3908" s="2" t="inlineStr">
        <is>
          <t>20260611000307</t>
        </is>
      </c>
      <c r="M3908" s="8">
        <f>HYPERLINK("https://dart.fss.or.kr/dsaf001/main.do?rcpNo=20260611000307", "공시열람")</f>
        <v/>
      </c>
    </row>
    <row r="3909" ht="22" customHeight="1">
      <c r="A3909" s="2" t="inlineStr">
        <is>
          <t>2026-06-11</t>
        </is>
      </c>
      <c r="B3909" s="3" t="inlineStr">
        <is>
          <t>대한해운</t>
        </is>
      </c>
      <c r="C3909" s="2" t="inlineStr">
        <is>
          <t>005880</t>
        </is>
      </c>
      <c r="D3909" s="2" t="inlineStr">
        <is>
          <t>대량보유</t>
        </is>
      </c>
      <c r="E3909" s="3" t="inlineStr">
        <is>
          <t>에스엠상선(주)</t>
        </is>
      </c>
      <c r="F3909" s="3" t="inlineStr">
        <is>
          <t>보고자</t>
        </is>
      </c>
      <c r="G3909" s="3" t="inlineStr">
        <is>
          <t>- 특별관계자 (주)우방의 보유주식에 관한 계약 변경 (담보대출 5건 기간 연장)</t>
        </is>
      </c>
      <c r="H3909" s="6" t="inlineStr"/>
      <c r="I3909" s="6" t="inlineStr"/>
      <c r="J3909" s="6" t="n">
        <v>157528554</v>
      </c>
      <c r="K3909" s="16" t="n">
        <v>2</v>
      </c>
      <c r="L3909" s="2" t="inlineStr">
        <is>
          <t>20260611000305</t>
        </is>
      </c>
      <c r="M3909" s="8">
        <f>HYPERLINK("https://dart.fss.or.kr/dsaf001/main.do?rcpNo=20260611000305", "공시열람")</f>
        <v/>
      </c>
    </row>
    <row r="3910" ht="22" customHeight="1">
      <c r="A3910" s="2" t="inlineStr">
        <is>
          <t>2026-06-11</t>
        </is>
      </c>
      <c r="B3910" s="3" t="inlineStr">
        <is>
          <t>타이드</t>
        </is>
      </c>
      <c r="C3910" s="2" t="inlineStr">
        <is>
          <t>346010</t>
        </is>
      </c>
      <c r="D3910" s="2" t="inlineStr">
        <is>
          <t>대량보유</t>
        </is>
      </c>
      <c r="E3910" s="3" t="inlineStr">
        <is>
          <t>유창금속공업㈜</t>
        </is>
      </c>
      <c r="F3910" s="3" t="inlineStr">
        <is>
          <t>특별관계자</t>
        </is>
      </c>
      <c r="G3910" s="3" t="inlineStr">
        <is>
          <t>장외매수(+)</t>
        </is>
      </c>
      <c r="H3910" s="15" t="n">
        <v>1415047</v>
      </c>
      <c r="I3910" s="6" t="n">
        <v>6863</v>
      </c>
      <c r="J3910" s="6" t="n">
        <v>2835980</v>
      </c>
      <c r="K3910" s="16" t="n">
        <v>5</v>
      </c>
      <c r="L3910" s="2" t="inlineStr">
        <is>
          <t>20260611000299</t>
        </is>
      </c>
      <c r="M3910" s="8">
        <f>HYPERLINK("https://dart.fss.or.kr/dsaf001/main.do?rcpNo=20260611000299", "공시열람")</f>
        <v/>
      </c>
    </row>
    <row r="3911" ht="22" customHeight="1">
      <c r="A3911" s="2" t="inlineStr">
        <is>
          <t>2026-06-11</t>
        </is>
      </c>
      <c r="B3911" s="3" t="inlineStr">
        <is>
          <t>보락</t>
        </is>
      </c>
      <c r="C3911" s="2" t="inlineStr">
        <is>
          <t>002760</t>
        </is>
      </c>
      <c r="D3911" s="2" t="inlineStr">
        <is>
          <t>임원보고</t>
        </is>
      </c>
      <c r="E3911" s="3" t="inlineStr">
        <is>
          <t>-</t>
        </is>
      </c>
      <c r="F3911" s="3" t="inlineStr">
        <is>
          <t>-</t>
        </is>
      </c>
      <c r="G3911" s="3" t="inlineStr">
        <is>
          <t>-</t>
        </is>
      </c>
      <c r="H3911" s="6" t="inlineStr"/>
      <c r="I3911" s="6" t="inlineStr"/>
      <c r="J3911" s="6" t="inlineStr"/>
      <c r="K3911" s="16" t="n">
        <v>12</v>
      </c>
      <c r="L3911" s="2" t="inlineStr">
        <is>
          <t>20260611800325</t>
        </is>
      </c>
      <c r="M3911" s="8">
        <f>HYPERLINK("https://dart.fss.or.kr/dsaf001/main.do?rcpNo=20260611800325", "공시열람")</f>
        <v/>
      </c>
    </row>
    <row r="3912" ht="22" customHeight="1">
      <c r="A3912" s="2" t="inlineStr">
        <is>
          <t>2026-06-11</t>
        </is>
      </c>
      <c r="B3912" s="3" t="inlineStr">
        <is>
          <t>조광페인트</t>
        </is>
      </c>
      <c r="C3912" s="2" t="inlineStr">
        <is>
          <t>004910</t>
        </is>
      </c>
      <c r="D3912" s="2" t="inlineStr">
        <is>
          <t>임원보고</t>
        </is>
      </c>
      <c r="E3912" s="3" t="inlineStr">
        <is>
          <t>-</t>
        </is>
      </c>
      <c r="F3912" s="3" t="inlineStr">
        <is>
          <t>-</t>
        </is>
      </c>
      <c r="G3912" s="3" t="inlineStr">
        <is>
          <t>-</t>
        </is>
      </c>
      <c r="H3912" s="6" t="inlineStr"/>
      <c r="I3912" s="6" t="inlineStr"/>
      <c r="J3912" s="6" t="inlineStr"/>
      <c r="K3912" s="16" t="n">
        <v>12</v>
      </c>
      <c r="L3912" s="2" t="inlineStr">
        <is>
          <t>20260611800319</t>
        </is>
      </c>
      <c r="M3912" s="8">
        <f>HYPERLINK("https://dart.fss.or.kr/dsaf001/main.do?rcpNo=20260611800319", "공시열람")</f>
        <v/>
      </c>
    </row>
    <row r="3913" ht="22" customHeight="1">
      <c r="A3913" s="2" t="inlineStr">
        <is>
          <t>2026-06-11</t>
        </is>
      </c>
      <c r="B3913" s="3" t="inlineStr">
        <is>
          <t>케이지에이</t>
        </is>
      </c>
      <c r="C3913" s="2" t="inlineStr">
        <is>
          <t>455180</t>
        </is>
      </c>
      <c r="D3913" s="2" t="inlineStr">
        <is>
          <t>대량보유</t>
        </is>
      </c>
      <c r="E3913" s="3" t="inlineStr">
        <is>
          <t>이성일</t>
        </is>
      </c>
      <c r="F3913" s="3" t="inlineStr">
        <is>
          <t>특별관계자</t>
        </is>
      </c>
      <c r="G3913" s="3" t="inlineStr">
        <is>
          <t>주식매수선택권행사(-), 주식매수선택권행사(+)</t>
        </is>
      </c>
      <c r="H3913" s="6" t="inlineStr"/>
      <c r="I3913" s="6" t="n">
        <v>1000</v>
      </c>
      <c r="J3913" s="6" t="n">
        <v>73389</v>
      </c>
      <c r="K3913" s="16" t="n">
        <v>7</v>
      </c>
      <c r="L3913" s="2" t="inlineStr">
        <is>
          <t>20260611000280</t>
        </is>
      </c>
      <c r="M3913" s="8">
        <f>HYPERLINK("https://dart.fss.or.kr/dsaf001/main.do?rcpNo=20260611000280", "공시열람")</f>
        <v/>
      </c>
    </row>
    <row r="3914" ht="22" customHeight="1">
      <c r="A3914" s="2" t="inlineStr">
        <is>
          <t>2026-06-11</t>
        </is>
      </c>
      <c r="B3914" s="3" t="inlineStr">
        <is>
          <t>케이지에이</t>
        </is>
      </c>
      <c r="C3914" s="2" t="inlineStr">
        <is>
          <t>455180</t>
        </is>
      </c>
      <c r="D3914" s="2" t="inlineStr">
        <is>
          <t>대량보유</t>
        </is>
      </c>
      <c r="E3914" s="3" t="inlineStr">
        <is>
          <t>김옥태</t>
        </is>
      </c>
      <c r="F3914" s="3" t="inlineStr">
        <is>
          <t>특별관계자</t>
        </is>
      </c>
      <c r="G3914" s="3" t="inlineStr">
        <is>
          <t>장내매수(+)</t>
        </is>
      </c>
      <c r="H3914" s="15" t="n">
        <v>38933</v>
      </c>
      <c r="I3914" s="6" t="n">
        <v>1743</v>
      </c>
      <c r="J3914" s="6" t="n">
        <v>2540927</v>
      </c>
      <c r="K3914" s="16" t="n">
        <v>7</v>
      </c>
      <c r="L3914" s="2" t="inlineStr">
        <is>
          <t>20260611000280</t>
        </is>
      </c>
      <c r="M3914" s="8">
        <f>HYPERLINK("https://dart.fss.or.kr/dsaf001/main.do?rcpNo=20260611000280", "공시열람")</f>
        <v/>
      </c>
    </row>
    <row r="3915" ht="22" customHeight="1">
      <c r="A3915" s="2" t="inlineStr">
        <is>
          <t>2026-06-11</t>
        </is>
      </c>
      <c r="B3915" s="3" t="inlineStr">
        <is>
          <t>E1</t>
        </is>
      </c>
      <c r="C3915" s="2" t="inlineStr">
        <is>
          <t>017940</t>
        </is>
      </c>
      <c r="D3915" s="2" t="inlineStr">
        <is>
          <t>임원보고</t>
        </is>
      </c>
      <c r="E3915" s="3" t="inlineStr">
        <is>
          <t>-</t>
        </is>
      </c>
      <c r="F3915" s="3" t="inlineStr">
        <is>
          <t>-</t>
        </is>
      </c>
      <c r="G3915" s="3" t="inlineStr">
        <is>
          <t>-</t>
        </is>
      </c>
      <c r="H3915" s="6" t="inlineStr"/>
      <c r="I3915" s="6" t="inlineStr"/>
      <c r="J3915" s="6" t="inlineStr"/>
      <c r="K3915" s="16" t="n">
        <v>12</v>
      </c>
      <c r="L3915" s="2" t="inlineStr">
        <is>
          <t>20260611800300</t>
        </is>
      </c>
      <c r="M3915" s="8">
        <f>HYPERLINK("https://dart.fss.or.kr/dsaf001/main.do?rcpNo=20260611800300", "공시열람")</f>
        <v/>
      </c>
    </row>
    <row r="3916" ht="22" customHeight="1">
      <c r="A3916" s="2" t="inlineStr">
        <is>
          <t>2026-06-11</t>
        </is>
      </c>
      <c r="B3916" s="3" t="inlineStr">
        <is>
          <t>E1</t>
        </is>
      </c>
      <c r="C3916" s="2" t="inlineStr">
        <is>
          <t>017940</t>
        </is>
      </c>
      <c r="D3916" s="2" t="inlineStr">
        <is>
          <t>대량보유</t>
        </is>
      </c>
      <c r="E3916" s="3" t="inlineStr">
        <is>
          <t>구건모</t>
        </is>
      </c>
      <c r="F3916" s="3" t="inlineStr">
        <is>
          <t>특별관계자</t>
        </is>
      </c>
      <c r="G3916" s="3" t="inlineStr">
        <is>
          <t>장내매수(+)</t>
        </is>
      </c>
      <c r="H3916" s="15" t="n">
        <v>1210</v>
      </c>
      <c r="I3916" s="6" t="n">
        <v>82522</v>
      </c>
      <c r="J3916" s="6" t="n">
        <v>8818</v>
      </c>
      <c r="K3916" s="16" t="n">
        <v>11</v>
      </c>
      <c r="L3916" s="2" t="inlineStr">
        <is>
          <t>20260611000262</t>
        </is>
      </c>
      <c r="M3916" s="8">
        <f>HYPERLINK("https://dart.fss.or.kr/dsaf001/main.do?rcpNo=20260611000262", "공시열람")</f>
        <v/>
      </c>
    </row>
    <row r="3917" ht="22" customHeight="1">
      <c r="A3917" s="2" t="inlineStr">
        <is>
          <t>2026-06-11</t>
        </is>
      </c>
      <c r="B3917" s="3" t="inlineStr">
        <is>
          <t>동남합성</t>
        </is>
      </c>
      <c r="C3917" s="2" t="inlineStr">
        <is>
          <t>023450</t>
        </is>
      </c>
      <c r="D3917" s="2" t="inlineStr">
        <is>
          <t>임원보고</t>
        </is>
      </c>
      <c r="E3917" s="3" t="inlineStr">
        <is>
          <t>-</t>
        </is>
      </c>
      <c r="F3917" s="3" t="inlineStr">
        <is>
          <t>-</t>
        </is>
      </c>
      <c r="G3917" s="3" t="inlineStr">
        <is>
          <t>-</t>
        </is>
      </c>
      <c r="H3917" s="6" t="inlineStr"/>
      <c r="I3917" s="6" t="inlineStr"/>
      <c r="J3917" s="6" t="inlineStr"/>
      <c r="K3917" s="16" t="n">
        <v>12</v>
      </c>
      <c r="L3917" s="2" t="inlineStr">
        <is>
          <t>20260611800257</t>
        </is>
      </c>
      <c r="M3917" s="8">
        <f>HYPERLINK("https://dart.fss.or.kr/dsaf001/main.do?rcpNo=20260611800257", "공시열람")</f>
        <v/>
      </c>
    </row>
    <row r="3918" ht="22" customHeight="1">
      <c r="A3918" s="2" t="inlineStr">
        <is>
          <t>2026-06-11</t>
        </is>
      </c>
      <c r="B3918" s="3" t="inlineStr">
        <is>
          <t>서울옥션</t>
        </is>
      </c>
      <c r="C3918" s="2" t="inlineStr">
        <is>
          <t>063170</t>
        </is>
      </c>
      <c r="D3918" s="2" t="inlineStr">
        <is>
          <t>대량보유</t>
        </is>
      </c>
      <c r="E3918" s="3" t="inlineStr">
        <is>
          <t>이상미</t>
        </is>
      </c>
      <c r="F3918" s="3" t="inlineStr">
        <is>
          <t>특별관계자</t>
        </is>
      </c>
      <c r="G3918" s="3" t="inlineStr">
        <is>
          <t>장내매수(+)</t>
        </is>
      </c>
      <c r="H3918" s="15" t="n">
        <v>46529</v>
      </c>
      <c r="I3918" s="6" t="n">
        <v>5395</v>
      </c>
      <c r="J3918" s="6" t="n">
        <v>51229</v>
      </c>
      <c r="K3918" s="16" t="n">
        <v>12</v>
      </c>
      <c r="L3918" s="2" t="inlineStr">
        <is>
          <t>20260611000202</t>
        </is>
      </c>
      <c r="M3918" s="8">
        <f>HYPERLINK("https://dart.fss.or.kr/dsaf001/main.do?rcpNo=20260611000202", "공시열람")</f>
        <v/>
      </c>
    </row>
    <row r="3919" ht="22" customHeight="1">
      <c r="A3919" s="2" t="inlineStr">
        <is>
          <t>2026-06-11</t>
        </is>
      </c>
      <c r="B3919" s="3" t="inlineStr">
        <is>
          <t>지아이텍</t>
        </is>
      </c>
      <c r="C3919" s="2" t="inlineStr">
        <is>
          <t>382480</t>
        </is>
      </c>
      <c r="D3919" s="2" t="inlineStr">
        <is>
          <t>대량보유</t>
        </is>
      </c>
      <c r="E3919" s="3" t="inlineStr">
        <is>
          <t>이인영</t>
        </is>
      </c>
      <c r="F3919" s="3" t="inlineStr">
        <is>
          <t>보고자</t>
        </is>
      </c>
      <c r="G3919" s="3" t="inlineStr">
        <is>
          <t>주식담보대출 만기연장</t>
        </is>
      </c>
      <c r="H3919" s="6" t="inlineStr"/>
      <c r="I3919" s="6" t="inlineStr"/>
      <c r="J3919" s="6" t="n">
        <v>18788591</v>
      </c>
      <c r="K3919" s="16" t="n">
        <v>4</v>
      </c>
      <c r="L3919" s="2" t="inlineStr">
        <is>
          <t>20260611000183</t>
        </is>
      </c>
      <c r="M3919" s="8">
        <f>HYPERLINK("https://dart.fss.or.kr/dsaf001/main.do?rcpNo=20260611000183", "공시열람")</f>
        <v/>
      </c>
    </row>
    <row r="3920" ht="22" customHeight="1">
      <c r="A3920" s="2" t="inlineStr">
        <is>
          <t>2026-06-11</t>
        </is>
      </c>
      <c r="B3920" s="3" t="inlineStr">
        <is>
          <t>피에스케이홀딩스</t>
        </is>
      </c>
      <c r="C3920" s="2" t="inlineStr">
        <is>
          <t>031980</t>
        </is>
      </c>
      <c r="D3920" s="2" t="inlineStr">
        <is>
          <t>대량보유</t>
        </is>
      </c>
      <c r="E3920" s="3" t="inlineStr">
        <is>
          <t>김선경</t>
        </is>
      </c>
      <c r="F3920" s="3" t="inlineStr">
        <is>
          <t>특별관계자</t>
        </is>
      </c>
      <c r="G3920" s="3" t="inlineStr">
        <is>
          <t>시간외매매(-)</t>
        </is>
      </c>
      <c r="H3920" s="17" t="n">
        <v>-50000</v>
      </c>
      <c r="I3920" s="6" t="n">
        <v>131765</v>
      </c>
      <c r="J3920" s="6" t="n">
        <v>1083770</v>
      </c>
      <c r="K3920" s="16" t="n">
        <v>21</v>
      </c>
      <c r="L3920" s="2" t="inlineStr">
        <is>
          <t>20260611000163</t>
        </is>
      </c>
      <c r="M3920" s="8">
        <f>HYPERLINK("https://dart.fss.or.kr/dsaf001/main.do?rcpNo=20260611000163", "공시열람")</f>
        <v/>
      </c>
    </row>
    <row r="3921" ht="22" customHeight="1">
      <c r="A3921" s="2" t="inlineStr">
        <is>
          <t>2026-06-11</t>
        </is>
      </c>
      <c r="B3921" s="3" t="inlineStr">
        <is>
          <t>피에스케이홀딩스</t>
        </is>
      </c>
      <c r="C3921" s="2" t="inlineStr">
        <is>
          <t>031980</t>
        </is>
      </c>
      <c r="D3921" s="2" t="inlineStr">
        <is>
          <t>대량보유</t>
        </is>
      </c>
      <c r="E3921" s="3" t="inlineStr">
        <is>
          <t>박우경</t>
        </is>
      </c>
      <c r="F3921" s="3" t="inlineStr">
        <is>
          <t>특별관계자</t>
        </is>
      </c>
      <c r="G3921" s="3" t="inlineStr">
        <is>
          <t>시간외매매(-)</t>
        </is>
      </c>
      <c r="H3921" s="17" t="n">
        <v>-50000</v>
      </c>
      <c r="I3921" s="6" t="n">
        <v>131765</v>
      </c>
      <c r="J3921" s="6" t="n">
        <v>248199</v>
      </c>
      <c r="K3921" s="16" t="n">
        <v>21</v>
      </c>
      <c r="L3921" s="2" t="inlineStr">
        <is>
          <t>20260611000163</t>
        </is>
      </c>
      <c r="M3921" s="8">
        <f>HYPERLINK("https://dart.fss.or.kr/dsaf001/main.do?rcpNo=20260611000163", "공시열람")</f>
        <v/>
      </c>
    </row>
    <row r="3922" ht="22" customHeight="1">
      <c r="A3922" s="2" t="inlineStr">
        <is>
          <t>2026-06-11</t>
        </is>
      </c>
      <c r="B3922" s="3" t="inlineStr">
        <is>
          <t>피에스케이홀딩스</t>
        </is>
      </c>
      <c r="C3922" s="2" t="inlineStr">
        <is>
          <t>031980</t>
        </is>
      </c>
      <c r="D3922" s="2" t="inlineStr">
        <is>
          <t>대량보유</t>
        </is>
      </c>
      <c r="E3922" s="3" t="inlineStr">
        <is>
          <t>양원재</t>
        </is>
      </c>
      <c r="F3922" s="3" t="inlineStr">
        <is>
          <t>특별관계자</t>
        </is>
      </c>
      <c r="G3922" s="3" t="inlineStr">
        <is>
          <t>시간외매매(-)</t>
        </is>
      </c>
      <c r="H3922" s="17" t="n">
        <v>-50000</v>
      </c>
      <c r="I3922" s="6" t="n">
        <v>131765</v>
      </c>
      <c r="J3922" s="6" t="n">
        <v>230311</v>
      </c>
      <c r="K3922" s="16" t="n">
        <v>21</v>
      </c>
      <c r="L3922" s="2" t="inlineStr">
        <is>
          <t>20260611000163</t>
        </is>
      </c>
      <c r="M3922" s="8">
        <f>HYPERLINK("https://dart.fss.or.kr/dsaf001/main.do?rcpNo=20260611000163", "공시열람")</f>
        <v/>
      </c>
    </row>
    <row r="3923" ht="22" customHeight="1">
      <c r="A3923" s="2" t="inlineStr">
        <is>
          <t>2026-06-11</t>
        </is>
      </c>
      <c r="B3923" s="3" t="inlineStr">
        <is>
          <t>엠씨넥스</t>
        </is>
      </c>
      <c r="C3923" s="2" t="inlineStr">
        <is>
          <t>097520</t>
        </is>
      </c>
      <c r="D3923" s="2" t="inlineStr">
        <is>
          <t>임원보고</t>
        </is>
      </c>
      <c r="E3923" s="3" t="inlineStr">
        <is>
          <t>-</t>
        </is>
      </c>
      <c r="F3923" s="3" t="inlineStr">
        <is>
          <t>-</t>
        </is>
      </c>
      <c r="G3923" s="3" t="inlineStr">
        <is>
          <t>-</t>
        </is>
      </c>
      <c r="H3923" s="6" t="inlineStr"/>
      <c r="I3923" s="6" t="inlineStr"/>
      <c r="J3923" s="6" t="inlineStr"/>
      <c r="K3923" s="16" t="n">
        <v>12</v>
      </c>
      <c r="L3923" s="2" t="inlineStr">
        <is>
          <t>20260611800211</t>
        </is>
      </c>
      <c r="M3923" s="8">
        <f>HYPERLINK("https://dart.fss.or.kr/dsaf001/main.do?rcpNo=20260611800211", "공시열람")</f>
        <v/>
      </c>
    </row>
    <row r="3924" ht="22" customHeight="1">
      <c r="A3924" s="2" t="inlineStr">
        <is>
          <t>2026-06-11</t>
        </is>
      </c>
      <c r="B3924" s="3" t="inlineStr">
        <is>
          <t>엠씨넥스</t>
        </is>
      </c>
      <c r="C3924" s="2" t="inlineStr">
        <is>
          <t>097520</t>
        </is>
      </c>
      <c r="D3924" s="2" t="inlineStr">
        <is>
          <t>대량보유</t>
        </is>
      </c>
      <c r="E3924" s="3" t="inlineStr">
        <is>
          <t>민동욱</t>
        </is>
      </c>
      <c r="F3924" s="3" t="inlineStr">
        <is>
          <t>특별관계자</t>
        </is>
      </c>
      <c r="G3924" s="3" t="inlineStr">
        <is>
          <t>장내매수(+), 장내매도(-)</t>
        </is>
      </c>
      <c r="H3924" s="15" t="n">
        <v>52000</v>
      </c>
      <c r="I3924" s="6" t="n">
        <v>19935</v>
      </c>
      <c r="J3924" s="6" t="n">
        <v>4892000</v>
      </c>
      <c r="K3924" s="16" t="n">
        <v>3</v>
      </c>
      <c r="L3924" s="2" t="inlineStr">
        <is>
          <t>20260611000141</t>
        </is>
      </c>
      <c r="M3924" s="8">
        <f>HYPERLINK("https://dart.fss.or.kr/dsaf001/main.do?rcpNo=20260611000141", "공시열람")</f>
        <v/>
      </c>
    </row>
    <row r="3925" ht="22" customHeight="1">
      <c r="A3925" s="2" t="inlineStr">
        <is>
          <t>2026-06-11</t>
        </is>
      </c>
      <c r="B3925" s="3" t="inlineStr">
        <is>
          <t>대림통상</t>
        </is>
      </c>
      <c r="C3925" s="2" t="inlineStr">
        <is>
          <t>006570</t>
        </is>
      </c>
      <c r="D3925" s="2" t="inlineStr">
        <is>
          <t>대량보유</t>
        </is>
      </c>
      <c r="E3925" s="3" t="inlineStr">
        <is>
          <t>디앤디파트너스(주)</t>
        </is>
      </c>
      <c r="F3925" s="3" t="inlineStr">
        <is>
          <t>특별관계자</t>
        </is>
      </c>
      <c r="G3925" s="3" t="inlineStr">
        <is>
          <t>장내매수(+)</t>
        </is>
      </c>
      <c r="H3925" s="15" t="n">
        <v>4956</v>
      </c>
      <c r="I3925" s="6" t="n">
        <v>1832</v>
      </c>
      <c r="J3925" s="6" t="n">
        <v>5974716</v>
      </c>
      <c r="K3925" s="16" t="n">
        <v>4</v>
      </c>
      <c r="L3925" s="2" t="inlineStr">
        <is>
          <t>20260611000135</t>
        </is>
      </c>
      <c r="M3925" s="8">
        <f>HYPERLINK("https://dart.fss.or.kr/dsaf001/main.do?rcpNo=20260611000135", "공시열람")</f>
        <v/>
      </c>
    </row>
    <row r="3926" ht="22" customHeight="1">
      <c r="A3926" s="2" t="inlineStr">
        <is>
          <t>2026-06-11</t>
        </is>
      </c>
      <c r="B3926" s="3" t="inlineStr">
        <is>
          <t>대림통상</t>
        </is>
      </c>
      <c r="C3926" s="2" t="inlineStr">
        <is>
          <t>006570</t>
        </is>
      </c>
      <c r="D3926" s="2" t="inlineStr">
        <is>
          <t>임원보고</t>
        </is>
      </c>
      <c r="E3926" s="3" t="inlineStr">
        <is>
          <t>-</t>
        </is>
      </c>
      <c r="F3926" s="3" t="inlineStr">
        <is>
          <t>-</t>
        </is>
      </c>
      <c r="G3926" s="3" t="inlineStr">
        <is>
          <t>-</t>
        </is>
      </c>
      <c r="H3926" s="6" t="inlineStr"/>
      <c r="I3926" s="6" t="inlineStr"/>
      <c r="J3926" s="6" t="inlineStr"/>
      <c r="K3926" s="16" t="n">
        <v>12</v>
      </c>
      <c r="L3926" s="2" t="inlineStr">
        <is>
          <t>20260611800190</t>
        </is>
      </c>
      <c r="M3926" s="8">
        <f>HYPERLINK("https://dart.fss.or.kr/dsaf001/main.do?rcpNo=20260611800190", "공시열람")</f>
        <v/>
      </c>
    </row>
    <row r="3927" ht="22" customHeight="1">
      <c r="A3927" s="2" t="inlineStr">
        <is>
          <t>2026-06-11</t>
        </is>
      </c>
      <c r="B3927" s="3" t="inlineStr">
        <is>
          <t>유성티엔에스</t>
        </is>
      </c>
      <c r="C3927" s="2" t="inlineStr">
        <is>
          <t>024800</t>
        </is>
      </c>
      <c r="D3927" s="2" t="inlineStr">
        <is>
          <t>대량보유</t>
        </is>
      </c>
      <c r="E3927" s="3" t="inlineStr">
        <is>
          <t>(주)브이아이피자산운용</t>
        </is>
      </c>
      <c r="F3927" s="3" t="inlineStr">
        <is>
          <t>특별관계자</t>
        </is>
      </c>
      <c r="G3927" s="3" t="inlineStr">
        <is>
          <t>장내매수(+)</t>
        </is>
      </c>
      <c r="H3927" s="15" t="n">
        <v>414229</v>
      </c>
      <c r="I3927" s="6" t="n">
        <v>4635</v>
      </c>
      <c r="J3927" s="6" t="n">
        <v>2594756</v>
      </c>
      <c r="K3927" s="16" t="n">
        <v>7</v>
      </c>
      <c r="L3927" s="2" t="inlineStr">
        <is>
          <t>20260611000094</t>
        </is>
      </c>
      <c r="M3927" s="8">
        <f>HYPERLINK("https://dart.fss.or.kr/dsaf001/main.do?rcpNo=20260611000094", "공시열람")</f>
        <v/>
      </c>
    </row>
    <row r="3928" ht="22" customHeight="1">
      <c r="A3928" s="2" t="inlineStr">
        <is>
          <t>2026-06-11</t>
        </is>
      </c>
      <c r="B3928" s="3" t="inlineStr">
        <is>
          <t>노바렉스</t>
        </is>
      </c>
      <c r="C3928" s="2" t="inlineStr">
        <is>
          <t>194700</t>
        </is>
      </c>
      <c r="D3928" s="2" t="inlineStr">
        <is>
          <t>대량보유</t>
        </is>
      </c>
      <c r="E3928" s="3" t="inlineStr">
        <is>
          <t>이상구</t>
        </is>
      </c>
      <c r="F3928" s="3" t="inlineStr">
        <is>
          <t>특별관계자</t>
        </is>
      </c>
      <c r="G3928" s="3" t="inlineStr">
        <is>
          <t>장내매수(+)</t>
        </is>
      </c>
      <c r="H3928" s="15" t="n">
        <v>1000</v>
      </c>
      <c r="I3928" s="6" t="n">
        <v>14110</v>
      </c>
      <c r="J3928" s="6" t="n">
        <v>45411</v>
      </c>
      <c r="K3928" s="16" t="n">
        <v>9</v>
      </c>
      <c r="L3928" s="2" t="inlineStr">
        <is>
          <t>20260611000058</t>
        </is>
      </c>
      <c r="M3928" s="8">
        <f>HYPERLINK("https://dart.fss.or.kr/dsaf001/main.do?rcpNo=20260611000058", "공시열람")</f>
        <v/>
      </c>
    </row>
    <row r="3929" ht="22" customHeight="1">
      <c r="A3929" s="2" t="inlineStr">
        <is>
          <t>2026-06-11</t>
        </is>
      </c>
      <c r="B3929" s="3" t="inlineStr">
        <is>
          <t>이노션</t>
        </is>
      </c>
      <c r="C3929" s="2" t="inlineStr">
        <is>
          <t>214320</t>
        </is>
      </c>
      <c r="D3929" s="2" t="inlineStr">
        <is>
          <t>대량보유</t>
        </is>
      </c>
      <c r="E3929" s="3" t="inlineStr">
        <is>
          <t>J.P.MorganSecuritiesPLC</t>
        </is>
      </c>
      <c r="F3929" s="3" t="inlineStr">
        <is>
          <t>특별관계자</t>
        </is>
      </c>
      <c r="G3929" s="3" t="inlineStr">
        <is>
          <t>장내매도(-), 장내매수(+), 기타(+)</t>
        </is>
      </c>
      <c r="H3929" s="15" t="n">
        <v>4592</v>
      </c>
      <c r="I3929" s="6" t="n">
        <v>19601</v>
      </c>
      <c r="J3929" s="6" t="n">
        <v>791044</v>
      </c>
      <c r="K3929" s="16" t="n">
        <v>1</v>
      </c>
      <c r="L3929" s="2" t="inlineStr">
        <is>
          <t>20260611000029</t>
        </is>
      </c>
      <c r="M3929" s="8">
        <f>HYPERLINK("https://dart.fss.or.kr/dsaf001/main.do?rcpNo=20260611000029", "공시열람")</f>
        <v/>
      </c>
    </row>
    <row r="3930" ht="22" customHeight="1">
      <c r="A3930" s="2" t="inlineStr">
        <is>
          <t>2026-06-11</t>
        </is>
      </c>
      <c r="B3930" s="3" t="inlineStr">
        <is>
          <t>이노션</t>
        </is>
      </c>
      <c r="C3930" s="2" t="inlineStr">
        <is>
          <t>214320</t>
        </is>
      </c>
      <c r="D3930" s="2" t="inlineStr">
        <is>
          <t>대량보유</t>
        </is>
      </c>
      <c r="E3930" s="3" t="inlineStr">
        <is>
          <t>J.P.MorganSecuritiesLLC</t>
        </is>
      </c>
      <c r="F3930" s="3" t="inlineStr">
        <is>
          <t>특별관계자</t>
        </is>
      </c>
      <c r="G3930" s="3" t="inlineStr">
        <is>
          <t>기타(-)</t>
        </is>
      </c>
      <c r="H3930" s="17" t="n">
        <v>-1692486</v>
      </c>
      <c r="I3930" s="6" t="inlineStr"/>
      <c r="J3930" s="6" t="n">
        <v>818871</v>
      </c>
      <c r="K3930" s="16" t="n">
        <v>1</v>
      </c>
      <c r="L3930" s="2" t="inlineStr">
        <is>
          <t>20260611000029</t>
        </is>
      </c>
      <c r="M3930" s="8">
        <f>HYPERLINK("https://dart.fss.or.kr/dsaf001/main.do?rcpNo=20260611000029", "공시열람")</f>
        <v/>
      </c>
    </row>
    <row r="3931" ht="22" customHeight="1">
      <c r="A3931" s="2" t="inlineStr">
        <is>
          <t>2026-06-11</t>
        </is>
      </c>
      <c r="B3931" s="3" t="inlineStr">
        <is>
          <t>브이엠</t>
        </is>
      </c>
      <c r="C3931" s="2" t="inlineStr">
        <is>
          <t>089970</t>
        </is>
      </c>
      <c r="D3931" s="2" t="inlineStr">
        <is>
          <t>대량보유</t>
        </is>
      </c>
      <c r="E3931" s="3" t="inlineStr">
        <is>
          <t>J.P.MorganSecuritiesPLC</t>
        </is>
      </c>
      <c r="F3931" s="3" t="inlineStr">
        <is>
          <t>특별관계자</t>
        </is>
      </c>
      <c r="G3931" s="3" t="inlineStr">
        <is>
          <t>장내매도(-), 기타(-), 기타(+), 장내매수(+)</t>
        </is>
      </c>
      <c r="H3931" s="17" t="n">
        <v>-65428</v>
      </c>
      <c r="I3931" s="6" t="n">
        <v>68213</v>
      </c>
      <c r="J3931" s="6" t="n">
        <v>1370669</v>
      </c>
      <c r="K3931" s="16" t="n">
        <v>2</v>
      </c>
      <c r="L3931" s="2" t="inlineStr">
        <is>
          <t>20260611000016</t>
        </is>
      </c>
      <c r="M3931" s="8">
        <f>HYPERLINK("https://dart.fss.or.kr/dsaf001/main.do?rcpNo=20260611000016", "공시열람")</f>
        <v/>
      </c>
    </row>
    <row r="3932" ht="22" customHeight="1">
      <c r="A3932" s="2" t="inlineStr">
        <is>
          <t>2026-06-11</t>
        </is>
      </c>
      <c r="B3932" s="3" t="inlineStr">
        <is>
          <t>브이엠</t>
        </is>
      </c>
      <c r="C3932" s="2" t="inlineStr">
        <is>
          <t>089970</t>
        </is>
      </c>
      <c r="D3932" s="2" t="inlineStr">
        <is>
          <t>대량보유</t>
        </is>
      </c>
      <c r="E3932" s="3" t="inlineStr">
        <is>
          <t>J.P.MorganSecuritiesLLC</t>
        </is>
      </c>
      <c r="F3932" s="3" t="inlineStr">
        <is>
          <t>특별관계자</t>
        </is>
      </c>
      <c r="G3932" s="3" t="inlineStr">
        <is>
          <t>기타(-), 기타(+)</t>
        </is>
      </c>
      <c r="H3932" s="6" t="inlineStr"/>
      <c r="I3932" s="6" t="inlineStr"/>
      <c r="J3932" s="6" t="n">
        <v>5726</v>
      </c>
      <c r="K3932" s="16" t="n">
        <v>2</v>
      </c>
      <c r="L3932" s="2" t="inlineStr">
        <is>
          <t>20260611000016</t>
        </is>
      </c>
      <c r="M3932" s="8">
        <f>HYPERLINK("https://dart.fss.or.kr/dsaf001/main.do?rcpNo=20260611000016", "공시열람")</f>
        <v/>
      </c>
    </row>
    <row r="3933" ht="22" customHeight="1">
      <c r="A3933" s="2" t="inlineStr">
        <is>
          <t>2026-06-11</t>
        </is>
      </c>
      <c r="B3933" s="3" t="inlineStr">
        <is>
          <t>SAMG엔터</t>
        </is>
      </c>
      <c r="C3933" s="2" t="inlineStr">
        <is>
          <t>419530</t>
        </is>
      </c>
      <c r="D3933" s="2" t="inlineStr">
        <is>
          <t>대량보유</t>
        </is>
      </c>
      <c r="E3933" s="3" t="inlineStr">
        <is>
          <t>김수훈</t>
        </is>
      </c>
      <c r="F3933" s="3" t="inlineStr">
        <is>
          <t>특별관계자</t>
        </is>
      </c>
      <c r="G3933" s="3" t="inlineStr">
        <is>
          <t>장내매수(+)</t>
        </is>
      </c>
      <c r="H3933" s="15" t="n">
        <v>12000</v>
      </c>
      <c r="I3933" s="6" t="n">
        <v>25258</v>
      </c>
      <c r="J3933" s="6" t="n">
        <v>1480268</v>
      </c>
      <c r="K3933" s="16" t="n">
        <v>2</v>
      </c>
      <c r="L3933" s="2" t="inlineStr">
        <is>
          <t>20260610000691</t>
        </is>
      </c>
      <c r="M3933" s="8">
        <f>HYPERLINK("https://dart.fss.or.kr/dsaf001/main.do?rcpNo=20260610000691", "공시열람")</f>
        <v/>
      </c>
    </row>
    <row r="3934" ht="22" customHeight="1">
      <c r="A3934" s="2" t="inlineStr">
        <is>
          <t>2026-06-11</t>
        </is>
      </c>
      <c r="B3934" s="3" t="inlineStr">
        <is>
          <t>SAMG엔터</t>
        </is>
      </c>
      <c r="C3934" s="2" t="inlineStr">
        <is>
          <t>419530</t>
        </is>
      </c>
      <c r="D3934" s="2" t="inlineStr">
        <is>
          <t>대량보유</t>
        </is>
      </c>
      <c r="E3934" s="3" t="inlineStr">
        <is>
          <t>최재원</t>
        </is>
      </c>
      <c r="F3934" s="3" t="inlineStr">
        <is>
          <t>특별관계자</t>
        </is>
      </c>
      <c r="G3934" s="3" t="inlineStr">
        <is>
          <t>주식매수선택권행사(+), 주식매수선택권행사(-)</t>
        </is>
      </c>
      <c r="H3934" s="6" t="inlineStr"/>
      <c r="I3934" s="6" t="n">
        <v>5600</v>
      </c>
      <c r="J3934" s="6" t="n">
        <v>169850</v>
      </c>
      <c r="K3934" s="16" t="n">
        <v>2</v>
      </c>
      <c r="L3934" s="2" t="inlineStr">
        <is>
          <t>20260610000691</t>
        </is>
      </c>
      <c r="M3934" s="8">
        <f>HYPERLINK("https://dart.fss.or.kr/dsaf001/main.do?rcpNo=20260610000691", "공시열람")</f>
        <v/>
      </c>
    </row>
    <row r="3935" ht="22" customHeight="1">
      <c r="A3935" s="2" t="inlineStr">
        <is>
          <t>2026-06-12</t>
        </is>
      </c>
      <c r="B3935" s="3" t="inlineStr">
        <is>
          <t>셀바이오휴먼텍</t>
        </is>
      </c>
      <c r="C3935" s="2" t="inlineStr">
        <is>
          <t>318160</t>
        </is>
      </c>
      <c r="D3935" s="2" t="inlineStr">
        <is>
          <t>대량보유</t>
        </is>
      </c>
      <c r="E3935" s="3" t="inlineStr">
        <is>
          <t>이권선</t>
        </is>
      </c>
      <c r="F3935" s="3" t="inlineStr">
        <is>
          <t>특별관계자</t>
        </is>
      </c>
      <c r="G3935" s="3" t="inlineStr">
        <is>
          <t>장내매수(+)</t>
        </is>
      </c>
      <c r="H3935" s="15" t="n">
        <v>29656</v>
      </c>
      <c r="I3935" s="6" t="n">
        <v>7087</v>
      </c>
      <c r="J3935" s="6" t="n">
        <v>3236521</v>
      </c>
      <c r="K3935" s="16" t="n">
        <v>10</v>
      </c>
      <c r="L3935" s="2" t="inlineStr">
        <is>
          <t>20260612000695</t>
        </is>
      </c>
      <c r="M3935" s="8">
        <f>HYPERLINK("https://dart.fss.or.kr/dsaf001/main.do?rcpNo=20260612000695", "공시열람")</f>
        <v/>
      </c>
    </row>
    <row r="3936" ht="22" customHeight="1">
      <c r="A3936" s="2" t="inlineStr">
        <is>
          <t>2026-06-12</t>
        </is>
      </c>
      <c r="B3936" s="3" t="inlineStr">
        <is>
          <t>셀바이오휴먼텍</t>
        </is>
      </c>
      <c r="C3936" s="2" t="inlineStr">
        <is>
          <t>318160</t>
        </is>
      </c>
      <c r="D3936" s="2" t="inlineStr">
        <is>
          <t>대량보유</t>
        </is>
      </c>
      <c r="E3936" s="3" t="inlineStr">
        <is>
          <t>안성준</t>
        </is>
      </c>
      <c r="F3936" s="3" t="inlineStr">
        <is>
          <t>특별관계자</t>
        </is>
      </c>
      <c r="G3936" s="3" t="inlineStr">
        <is>
          <t>계열사편입(+)</t>
        </is>
      </c>
      <c r="H3936" s="15" t="n">
        <v>105478</v>
      </c>
      <c r="I3936" s="6" t="n">
        <v>8480</v>
      </c>
      <c r="J3936" s="6" t="n">
        <v>105478</v>
      </c>
      <c r="K3936" s="16" t="n">
        <v>10</v>
      </c>
      <c r="L3936" s="2" t="inlineStr">
        <is>
          <t>20260612000695</t>
        </is>
      </c>
      <c r="M3936" s="8">
        <f>HYPERLINK("https://dart.fss.or.kr/dsaf001/main.do?rcpNo=20260612000695", "공시열람")</f>
        <v/>
      </c>
    </row>
    <row r="3937" ht="22" customHeight="1">
      <c r="A3937" s="2" t="inlineStr">
        <is>
          <t>2026-06-12</t>
        </is>
      </c>
      <c r="B3937" s="3" t="inlineStr">
        <is>
          <t>셀바이오휴먼텍</t>
        </is>
      </c>
      <c r="C3937" s="2" t="inlineStr">
        <is>
          <t>318160</t>
        </is>
      </c>
      <c r="D3937" s="2" t="inlineStr">
        <is>
          <t>대량보유</t>
        </is>
      </c>
      <c r="E3937" s="3" t="inlineStr">
        <is>
          <t>이지민</t>
        </is>
      </c>
      <c r="F3937" s="3" t="inlineStr">
        <is>
          <t>특별관계자</t>
        </is>
      </c>
      <c r="G3937" s="3" t="inlineStr">
        <is>
          <t>장내매수(+)</t>
        </is>
      </c>
      <c r="H3937" s="15" t="n">
        <v>1000</v>
      </c>
      <c r="I3937" s="6" t="n">
        <v>5436</v>
      </c>
      <c r="J3937" s="6" t="n">
        <v>4959</v>
      </c>
      <c r="K3937" s="16" t="n">
        <v>10</v>
      </c>
      <c r="L3937" s="2" t="inlineStr">
        <is>
          <t>20260612000695</t>
        </is>
      </c>
      <c r="M3937" s="8">
        <f>HYPERLINK("https://dart.fss.or.kr/dsaf001/main.do?rcpNo=20260612000695", "공시열람")</f>
        <v/>
      </c>
    </row>
    <row r="3938" ht="22" customHeight="1">
      <c r="A3938" s="2" t="inlineStr">
        <is>
          <t>2026-06-12</t>
        </is>
      </c>
      <c r="B3938" s="3" t="inlineStr">
        <is>
          <t>셀바이오휴먼텍</t>
        </is>
      </c>
      <c r="C3938" s="2" t="inlineStr">
        <is>
          <t>318160</t>
        </is>
      </c>
      <c r="D3938" s="2" t="inlineStr">
        <is>
          <t>대량보유</t>
        </is>
      </c>
      <c r="E3938" s="3" t="inlineStr">
        <is>
          <t>이승윤</t>
        </is>
      </c>
      <c r="F3938" s="3" t="inlineStr">
        <is>
          <t>특별관계자</t>
        </is>
      </c>
      <c r="G3938" s="3" t="inlineStr">
        <is>
          <t>장내매수(+)</t>
        </is>
      </c>
      <c r="H3938" s="15" t="n">
        <v>3000</v>
      </c>
      <c r="I3938" s="6" t="n">
        <v>5533</v>
      </c>
      <c r="J3938" s="6" t="n">
        <v>3000</v>
      </c>
      <c r="K3938" s="16" t="n">
        <v>10</v>
      </c>
      <c r="L3938" s="2" t="inlineStr">
        <is>
          <t>20260612000695</t>
        </is>
      </c>
      <c r="M3938" s="8">
        <f>HYPERLINK("https://dart.fss.or.kr/dsaf001/main.do?rcpNo=20260612000695", "공시열람")</f>
        <v/>
      </c>
    </row>
    <row r="3939" ht="22" customHeight="1">
      <c r="A3939" s="2" t="inlineStr">
        <is>
          <t>2026-06-12</t>
        </is>
      </c>
      <c r="B3939" s="3" t="inlineStr">
        <is>
          <t>웰크론한텍</t>
        </is>
      </c>
      <c r="C3939" s="2" t="inlineStr">
        <is>
          <t>076080</t>
        </is>
      </c>
      <c r="D3939" s="2" t="inlineStr">
        <is>
          <t>대량보유</t>
        </is>
      </c>
      <c r="E3939" s="3" t="inlineStr">
        <is>
          <t>(주)웰크론</t>
        </is>
      </c>
      <c r="F3939" s="3" t="inlineStr">
        <is>
          <t>특별관계자</t>
        </is>
      </c>
      <c r="G3939" s="3" t="inlineStr">
        <is>
          <t>장내매수(+)</t>
        </is>
      </c>
      <c r="H3939" s="15" t="n">
        <v>58464</v>
      </c>
      <c r="I3939" s="6" t="n">
        <v>853</v>
      </c>
      <c r="J3939" s="6" t="n">
        <v>5987996</v>
      </c>
      <c r="K3939" s="16" t="n">
        <v>7</v>
      </c>
      <c r="L3939" s="2" t="inlineStr">
        <is>
          <t>20260612000692</t>
        </is>
      </c>
      <c r="M3939" s="8">
        <f>HYPERLINK("https://dart.fss.or.kr/dsaf001/main.do?rcpNo=20260612000692", "공시열람")</f>
        <v/>
      </c>
    </row>
    <row r="3940" ht="22" customHeight="1">
      <c r="A3940" s="2" t="inlineStr">
        <is>
          <t>2026-06-12</t>
        </is>
      </c>
      <c r="B3940" s="3" t="inlineStr">
        <is>
          <t>웰크론한텍</t>
        </is>
      </c>
      <c r="C3940" s="2" t="inlineStr">
        <is>
          <t>076080</t>
        </is>
      </c>
      <c r="D3940" s="2" t="inlineStr">
        <is>
          <t>대량보유</t>
        </is>
      </c>
      <c r="E3940" s="3" t="inlineStr">
        <is>
          <t>정성식</t>
        </is>
      </c>
      <c r="F3940" s="3" t="inlineStr">
        <is>
          <t>특별관계자</t>
        </is>
      </c>
      <c r="G3940" s="3" t="inlineStr">
        <is>
          <t>장내매수(+)</t>
        </is>
      </c>
      <c r="H3940" s="15" t="n">
        <v>26648</v>
      </c>
      <c r="I3940" s="6" t="n">
        <v>819</v>
      </c>
      <c r="J3940" s="6" t="n">
        <v>244067</v>
      </c>
      <c r="K3940" s="16" t="n">
        <v>7</v>
      </c>
      <c r="L3940" s="2" t="inlineStr">
        <is>
          <t>20260612000692</t>
        </is>
      </c>
      <c r="M3940" s="8">
        <f>HYPERLINK("https://dart.fss.or.kr/dsaf001/main.do?rcpNo=20260612000692", "공시열람")</f>
        <v/>
      </c>
    </row>
    <row r="3941" ht="22" customHeight="1">
      <c r="A3941" s="2" t="inlineStr">
        <is>
          <t>2026-06-12</t>
        </is>
      </c>
      <c r="B3941" s="3" t="inlineStr">
        <is>
          <t>웰크론한텍</t>
        </is>
      </c>
      <c r="C3941" s="2" t="inlineStr">
        <is>
          <t>076080</t>
        </is>
      </c>
      <c r="D3941" s="2" t="inlineStr">
        <is>
          <t>대량보유</t>
        </is>
      </c>
      <c r="E3941" s="3" t="inlineStr">
        <is>
          <t>이영규</t>
        </is>
      </c>
      <c r="F3941" s="3" t="inlineStr">
        <is>
          <t>특별관계자</t>
        </is>
      </c>
      <c r="G3941" s="3" t="inlineStr">
        <is>
          <t>장내매수(+)</t>
        </is>
      </c>
      <c r="H3941" s="15" t="n">
        <v>35000</v>
      </c>
      <c r="I3941" s="6" t="n">
        <v>795</v>
      </c>
      <c r="J3941" s="6" t="n">
        <v>1129214</v>
      </c>
      <c r="K3941" s="16" t="n">
        <v>7</v>
      </c>
      <c r="L3941" s="2" t="inlineStr">
        <is>
          <t>20260612000692</t>
        </is>
      </c>
      <c r="M3941" s="8">
        <f>HYPERLINK("https://dart.fss.or.kr/dsaf001/main.do?rcpNo=20260612000692", "공시열람")</f>
        <v/>
      </c>
    </row>
    <row r="3942" ht="22" customHeight="1">
      <c r="A3942" s="2" t="inlineStr">
        <is>
          <t>2026-06-12</t>
        </is>
      </c>
      <c r="B3942" s="3" t="inlineStr">
        <is>
          <t>웰크론한텍</t>
        </is>
      </c>
      <c r="C3942" s="2" t="inlineStr">
        <is>
          <t>076080</t>
        </is>
      </c>
      <c r="D3942" s="2" t="inlineStr">
        <is>
          <t>대량보유</t>
        </is>
      </c>
      <c r="E3942" s="3" t="inlineStr">
        <is>
          <t>신정재</t>
        </is>
      </c>
      <c r="F3942" s="3" t="inlineStr">
        <is>
          <t>특별관계자</t>
        </is>
      </c>
      <c r="G3942" s="3" t="inlineStr">
        <is>
          <t>장내매수(+)</t>
        </is>
      </c>
      <c r="H3942" s="15" t="n">
        <v>23800</v>
      </c>
      <c r="I3942" s="6" t="n">
        <v>876</v>
      </c>
      <c r="J3942" s="6" t="n">
        <v>315970</v>
      </c>
      <c r="K3942" s="16" t="n">
        <v>7</v>
      </c>
      <c r="L3942" s="2" t="inlineStr">
        <is>
          <t>20260612000692</t>
        </is>
      </c>
      <c r="M3942" s="8">
        <f>HYPERLINK("https://dart.fss.or.kr/dsaf001/main.do?rcpNo=20260612000692", "공시열람")</f>
        <v/>
      </c>
    </row>
    <row r="3943" ht="22" customHeight="1">
      <c r="A3943" s="2" t="inlineStr">
        <is>
          <t>2026-06-12</t>
        </is>
      </c>
      <c r="B3943" s="3" t="inlineStr">
        <is>
          <t>GRT</t>
        </is>
      </c>
      <c r="C3943" s="2" t="inlineStr">
        <is>
          <t>900290</t>
        </is>
      </c>
      <c r="D3943" s="2" t="inlineStr">
        <is>
          <t>대량보유</t>
        </is>
      </c>
      <c r="E3943" s="3" t="inlineStr">
        <is>
          <t>XINRUIXIANGHOLDINGLIMITED</t>
        </is>
      </c>
      <c r="F3943" s="3" t="inlineStr">
        <is>
          <t>특별관계자</t>
        </is>
      </c>
      <c r="G3943" s="3" t="inlineStr">
        <is>
          <t>시간외매매(-)</t>
        </is>
      </c>
      <c r="H3943" s="17" t="n">
        <v>-1500000</v>
      </c>
      <c r="I3943" s="6" t="n">
        <v>2825</v>
      </c>
      <c r="J3943" s="6" t="n">
        <v>4964401</v>
      </c>
      <c r="K3943" s="16" t="n">
        <v>3</v>
      </c>
      <c r="L3943" s="2" t="inlineStr">
        <is>
          <t>20260612000684</t>
        </is>
      </c>
      <c r="M3943" s="8">
        <f>HYPERLINK("https://dart.fss.or.kr/dsaf001/main.do?rcpNo=20260612000684", "공시열람")</f>
        <v/>
      </c>
    </row>
    <row r="3944" ht="22" customHeight="1">
      <c r="A3944" s="2" t="inlineStr">
        <is>
          <t>2026-06-12</t>
        </is>
      </c>
      <c r="B3944" s="3" t="inlineStr">
        <is>
          <t>서진시스템</t>
        </is>
      </c>
      <c r="C3944" s="2" t="inlineStr">
        <is>
          <t>178320</t>
        </is>
      </c>
      <c r="D3944" s="2" t="inlineStr">
        <is>
          <t>대량보유</t>
        </is>
      </c>
      <c r="E3944" s="3" t="inlineStr">
        <is>
          <t>시스테마제일차주식회사</t>
        </is>
      </c>
      <c r="F3944" s="3" t="inlineStr">
        <is>
          <t>특별관계자</t>
        </is>
      </c>
      <c r="G3944" s="3" t="inlineStr">
        <is>
          <t>신고대량매매(-)</t>
        </is>
      </c>
      <c r="H3944" s="17" t="n">
        <v>-2000000</v>
      </c>
      <c r="I3944" s="6" t="n">
        <v>59500</v>
      </c>
      <c r="J3944" s="6" t="inlineStr"/>
      <c r="K3944" s="16" t="n">
        <v>11</v>
      </c>
      <c r="L3944" s="2" t="inlineStr">
        <is>
          <t>20260612000680</t>
        </is>
      </c>
      <c r="M3944" s="8">
        <f>HYPERLINK("https://dart.fss.or.kr/dsaf001/main.do?rcpNo=20260612000680", "공시열람")</f>
        <v/>
      </c>
    </row>
    <row r="3945" ht="22" customHeight="1">
      <c r="A3945" s="2" t="inlineStr">
        <is>
          <t>2026-06-12</t>
        </is>
      </c>
      <c r="B3945" s="3" t="inlineStr">
        <is>
          <t>콜마홀딩스</t>
        </is>
      </c>
      <c r="C3945" s="2" t="inlineStr">
        <is>
          <t>024720</t>
        </is>
      </c>
      <c r="D3945" s="2" t="inlineStr">
        <is>
          <t>대량보유</t>
        </is>
      </c>
      <c r="E3945" s="3" t="inlineStr">
        <is>
          <t>윤상현</t>
        </is>
      </c>
      <c r="F3945" s="3" t="inlineStr">
        <is>
          <t>보고자</t>
        </is>
      </c>
      <c r="G3945" s="3" t="inlineStr">
        <is>
          <t>특별관계자 주식담보계약 일부상환특별관계자 주식담보계약 변경</t>
        </is>
      </c>
      <c r="H3945" s="6" t="inlineStr"/>
      <c r="I3945" s="6" t="inlineStr"/>
      <c r="J3945" s="6" t="n">
        <v>16624326</v>
      </c>
      <c r="K3945" s="16" t="n">
        <v>12</v>
      </c>
      <c r="L3945" s="2" t="inlineStr">
        <is>
          <t>20260612000675</t>
        </is>
      </c>
      <c r="M3945" s="8">
        <f>HYPERLINK("https://dart.fss.or.kr/dsaf001/main.do?rcpNo=20260612000675", "공시열람")</f>
        <v/>
      </c>
    </row>
    <row r="3946" ht="22" customHeight="1">
      <c r="A3946" s="2" t="inlineStr">
        <is>
          <t>2026-06-12</t>
        </is>
      </c>
      <c r="B3946" s="3" t="inlineStr">
        <is>
          <t>성광벤드</t>
        </is>
      </c>
      <c r="C3946" s="2" t="inlineStr">
        <is>
          <t>014620</t>
        </is>
      </c>
      <c r="D3946" s="2" t="inlineStr">
        <is>
          <t>대량보유</t>
        </is>
      </c>
      <c r="E3946" s="3" t="inlineStr">
        <is>
          <t>J.P.MorganSecuritiesPLC</t>
        </is>
      </c>
      <c r="F3946" s="3" t="inlineStr">
        <is>
          <t>특별관계자</t>
        </is>
      </c>
      <c r="G3946" s="3" t="inlineStr">
        <is>
          <t>신규보고(+), 장내매수(+), 기타(-), 기타(+)</t>
        </is>
      </c>
      <c r="H3946" s="15" t="n">
        <v>582139</v>
      </c>
      <c r="I3946" s="6" t="n">
        <v>28364</v>
      </c>
      <c r="J3946" s="6" t="n">
        <v>582139</v>
      </c>
      <c r="K3946" s="16" t="n">
        <v>2</v>
      </c>
      <c r="L3946" s="2" t="inlineStr">
        <is>
          <t>20260612000674</t>
        </is>
      </c>
      <c r="M3946" s="8">
        <f>HYPERLINK("https://dart.fss.or.kr/dsaf001/main.do?rcpNo=20260612000674", "공시열람")</f>
        <v/>
      </c>
    </row>
    <row r="3947" ht="22" customHeight="1">
      <c r="A3947" s="2" t="inlineStr">
        <is>
          <t>2026-06-12</t>
        </is>
      </c>
      <c r="B3947" s="3" t="inlineStr">
        <is>
          <t>성광벤드</t>
        </is>
      </c>
      <c r="C3947" s="2" t="inlineStr">
        <is>
          <t>014620</t>
        </is>
      </c>
      <c r="D3947" s="2" t="inlineStr">
        <is>
          <t>대량보유</t>
        </is>
      </c>
      <c r="E3947" s="3" t="inlineStr">
        <is>
          <t>J.P.MorganSecuritiesLLC</t>
        </is>
      </c>
      <c r="F3947" s="3" t="inlineStr">
        <is>
          <t>특별관계자</t>
        </is>
      </c>
      <c r="G3947" s="3" t="inlineStr">
        <is>
          <t>기타(+)</t>
        </is>
      </c>
      <c r="H3947" s="15" t="n">
        <v>818594</v>
      </c>
      <c r="I3947" s="6" t="inlineStr"/>
      <c r="J3947" s="6" t="n">
        <v>818594</v>
      </c>
      <c r="K3947" s="16" t="n">
        <v>2</v>
      </c>
      <c r="L3947" s="2" t="inlineStr">
        <is>
          <t>20260612000674</t>
        </is>
      </c>
      <c r="M3947" s="8">
        <f>HYPERLINK("https://dart.fss.or.kr/dsaf001/main.do?rcpNo=20260612000674", "공시열람")</f>
        <v/>
      </c>
    </row>
    <row r="3948" ht="22" customHeight="1">
      <c r="A3948" s="2" t="inlineStr">
        <is>
          <t>2026-06-12</t>
        </is>
      </c>
      <c r="B3948" s="3" t="inlineStr">
        <is>
          <t>콜마비앤에이치</t>
        </is>
      </c>
      <c r="C3948" s="2" t="inlineStr">
        <is>
          <t>200130</t>
        </is>
      </c>
      <c r="D3948" s="2" t="inlineStr">
        <is>
          <t>대량보유</t>
        </is>
      </c>
      <c r="E3948" s="3" t="inlineStr">
        <is>
          <t>콜마홀딩스(주)</t>
        </is>
      </c>
      <c r="F3948" s="3" t="inlineStr">
        <is>
          <t>보고자</t>
        </is>
      </c>
      <c r="G3948" s="3" t="inlineStr">
        <is>
          <t>- 특별관계자 주식담보계약 일부상환- 특별관계자 주식담보계약 변경</t>
        </is>
      </c>
      <c r="H3948" s="6" t="inlineStr"/>
      <c r="I3948" s="6" t="inlineStr"/>
      <c r="J3948" s="6" t="n">
        <v>15779436</v>
      </c>
      <c r="K3948" s="16" t="n">
        <v>11</v>
      </c>
      <c r="L3948" s="2" t="inlineStr">
        <is>
          <t>20260612000671</t>
        </is>
      </c>
      <c r="M3948" s="8">
        <f>HYPERLINK("https://dart.fss.or.kr/dsaf001/main.do?rcpNo=20260612000671", "공시열람")</f>
        <v/>
      </c>
    </row>
    <row r="3949" ht="22" customHeight="1">
      <c r="A3949" s="2" t="inlineStr">
        <is>
          <t>2026-06-12</t>
        </is>
      </c>
      <c r="B3949" s="3" t="inlineStr">
        <is>
          <t>아이엠바이오로직스</t>
        </is>
      </c>
      <c r="C3949" s="2" t="inlineStr">
        <is>
          <t>493280</t>
        </is>
      </c>
      <c r="D3949" s="2" t="inlineStr">
        <is>
          <t>대량보유</t>
        </is>
      </c>
      <c r="E3949" s="3" t="inlineStr">
        <is>
          <t>유승완</t>
        </is>
      </c>
      <c r="F3949" s="3" t="inlineStr">
        <is>
          <t>특별관계자</t>
        </is>
      </c>
      <c r="G3949" s="3" t="inlineStr">
        <is>
          <t>주식매수선택권부여(+)</t>
        </is>
      </c>
      <c r="H3949" s="15" t="n">
        <v>7400</v>
      </c>
      <c r="I3949" s="6" t="inlineStr"/>
      <c r="J3949" s="6" t="n">
        <v>20000</v>
      </c>
      <c r="K3949" s="16" t="n">
        <v>22</v>
      </c>
      <c r="L3949" s="2" t="inlineStr">
        <is>
          <t>20260612000667</t>
        </is>
      </c>
      <c r="M3949" s="8">
        <f>HYPERLINK("https://dart.fss.or.kr/dsaf001/main.do?rcpNo=20260612000667", "공시열람")</f>
        <v/>
      </c>
    </row>
    <row r="3950" ht="22" customHeight="1">
      <c r="A3950" s="2" t="inlineStr">
        <is>
          <t>2026-06-12</t>
        </is>
      </c>
      <c r="B3950" s="3" t="inlineStr">
        <is>
          <t>아이엠바이오로직스</t>
        </is>
      </c>
      <c r="C3950" s="2" t="inlineStr">
        <is>
          <t>493280</t>
        </is>
      </c>
      <c r="D3950" s="2" t="inlineStr">
        <is>
          <t>대량보유</t>
        </is>
      </c>
      <c r="E3950" s="3" t="inlineStr">
        <is>
          <t>이홍재</t>
        </is>
      </c>
      <c r="F3950" s="3" t="inlineStr">
        <is>
          <t>특별관계자</t>
        </is>
      </c>
      <c r="G3950" s="3" t="inlineStr">
        <is>
          <t>주식매수선택권행사(+), 주식매수선택권행사(-)</t>
        </is>
      </c>
      <c r="H3950" s="6" t="inlineStr"/>
      <c r="I3950" s="6" t="n">
        <v>3333</v>
      </c>
      <c r="J3950" s="6" t="n">
        <v>9000</v>
      </c>
      <c r="K3950" s="16" t="n">
        <v>22</v>
      </c>
      <c r="L3950" s="2" t="inlineStr">
        <is>
          <t>20260612000667</t>
        </is>
      </c>
      <c r="M3950" s="8">
        <f>HYPERLINK("https://dart.fss.or.kr/dsaf001/main.do?rcpNo=20260612000667", "공시열람")</f>
        <v/>
      </c>
    </row>
    <row r="3951" ht="22" customHeight="1">
      <c r="A3951" s="2" t="inlineStr">
        <is>
          <t>2026-06-12</t>
        </is>
      </c>
      <c r="B3951" s="3" t="inlineStr">
        <is>
          <t>아이엠바이오로직스</t>
        </is>
      </c>
      <c r="C3951" s="2" t="inlineStr">
        <is>
          <t>493280</t>
        </is>
      </c>
      <c r="D3951" s="2" t="inlineStr">
        <is>
          <t>대량보유</t>
        </is>
      </c>
      <c r="E3951" s="3" t="inlineStr">
        <is>
          <t>강성묵</t>
        </is>
      </c>
      <c r="F3951" s="3" t="inlineStr">
        <is>
          <t>특별관계자</t>
        </is>
      </c>
      <c r="G3951" s="3" t="inlineStr">
        <is>
          <t>주식매수선택권행사(+), 주식매수선택권행사(-), 증여(-)</t>
        </is>
      </c>
      <c r="H3951" s="17" t="n">
        <v>-7500</v>
      </c>
      <c r="I3951" s="6" t="n">
        <v>3333</v>
      </c>
      <c r="J3951" s="6" t="n">
        <v>9000</v>
      </c>
      <c r="K3951" s="16" t="n">
        <v>22</v>
      </c>
      <c r="L3951" s="2" t="inlineStr">
        <is>
          <t>20260612000667</t>
        </is>
      </c>
      <c r="M3951" s="8">
        <f>HYPERLINK("https://dart.fss.or.kr/dsaf001/main.do?rcpNo=20260612000667", "공시열람")</f>
        <v/>
      </c>
    </row>
    <row r="3952" ht="22" customHeight="1">
      <c r="A3952" s="2" t="inlineStr">
        <is>
          <t>2026-06-12</t>
        </is>
      </c>
      <c r="B3952" s="3" t="inlineStr">
        <is>
          <t>아이엠바이오로직스</t>
        </is>
      </c>
      <c r="C3952" s="2" t="inlineStr">
        <is>
          <t>493280</t>
        </is>
      </c>
      <c r="D3952" s="2" t="inlineStr">
        <is>
          <t>대량보유</t>
        </is>
      </c>
      <c r="E3952" s="3" t="inlineStr">
        <is>
          <t>디에스자산운용㈜</t>
        </is>
      </c>
      <c r="F3952" s="3" t="inlineStr">
        <is>
          <t>특별관계자</t>
        </is>
      </c>
      <c r="G3952" s="3" t="inlineStr">
        <is>
          <t>장내매도(-), 장내매수(+)</t>
        </is>
      </c>
      <c r="H3952" s="17" t="n">
        <v>-950</v>
      </c>
      <c r="I3952" s="6" t="n">
        <v>42280</v>
      </c>
      <c r="J3952" s="6" t="n">
        <v>394276</v>
      </c>
      <c r="K3952" s="16" t="n">
        <v>22</v>
      </c>
      <c r="L3952" s="2" t="inlineStr">
        <is>
          <t>20260612000667</t>
        </is>
      </c>
      <c r="M3952" s="8">
        <f>HYPERLINK("https://dart.fss.or.kr/dsaf001/main.do?rcpNo=20260612000667", "공시열람")</f>
        <v/>
      </c>
    </row>
    <row r="3953" ht="22" customHeight="1">
      <c r="A3953" s="2" t="inlineStr">
        <is>
          <t>2026-06-12</t>
        </is>
      </c>
      <c r="B3953" s="3" t="inlineStr">
        <is>
          <t>랩지노믹스</t>
        </is>
      </c>
      <c r="C3953" s="2" t="inlineStr">
        <is>
          <t>084650</t>
        </is>
      </c>
      <c r="D3953" s="2" t="inlineStr">
        <is>
          <t>대량보유</t>
        </is>
      </c>
      <c r="E3953" s="3" t="inlineStr">
        <is>
          <t>루하갈락티코스유한회사</t>
        </is>
      </c>
      <c r="F3953" s="3" t="inlineStr">
        <is>
          <t>특별관계자</t>
        </is>
      </c>
      <c r="G3953" s="3" t="inlineStr">
        <is>
          <t>장내매수(+)</t>
        </is>
      </c>
      <c r="H3953" s="15" t="n">
        <v>1893891</v>
      </c>
      <c r="I3953" s="6" t="n">
        <v>1056</v>
      </c>
      <c r="J3953" s="6" t="n">
        <v>21222116</v>
      </c>
      <c r="K3953" s="16" t="n">
        <v>12</v>
      </c>
      <c r="L3953" s="2" t="inlineStr">
        <is>
          <t>20260612000666</t>
        </is>
      </c>
      <c r="M3953" s="8">
        <f>HYPERLINK("https://dart.fss.or.kr/dsaf001/main.do?rcpNo=20260612000666", "공시열람")</f>
        <v/>
      </c>
    </row>
    <row r="3954" ht="22" customHeight="1">
      <c r="A3954" s="2" t="inlineStr">
        <is>
          <t>2026-06-12</t>
        </is>
      </c>
      <c r="B3954" s="3" t="inlineStr">
        <is>
          <t>대림통상</t>
        </is>
      </c>
      <c r="C3954" s="2" t="inlineStr">
        <is>
          <t>006570</t>
        </is>
      </c>
      <c r="D3954" s="2" t="inlineStr">
        <is>
          <t>대량보유</t>
        </is>
      </c>
      <c r="E3954" s="3" t="inlineStr">
        <is>
          <t>디앤디파트너스(주)</t>
        </is>
      </c>
      <c r="F3954" s="3" t="inlineStr">
        <is>
          <t>특별관계자</t>
        </is>
      </c>
      <c r="G3954" s="3" t="inlineStr">
        <is>
          <t>장내매수(+)</t>
        </is>
      </c>
      <c r="H3954" s="15" t="n">
        <v>13953</v>
      </c>
      <c r="I3954" s="6" t="n">
        <v>1877</v>
      </c>
      <c r="J3954" s="6" t="n">
        <v>5988669</v>
      </c>
      <c r="K3954" s="16" t="n">
        <v>4</v>
      </c>
      <c r="L3954" s="2" t="inlineStr">
        <is>
          <t>20260612000665</t>
        </is>
      </c>
      <c r="M3954" s="8">
        <f>HYPERLINK("https://dart.fss.or.kr/dsaf001/main.do?rcpNo=20260612000665", "공시열람")</f>
        <v/>
      </c>
    </row>
    <row r="3955" ht="22" customHeight="1">
      <c r="A3955" s="2" t="inlineStr">
        <is>
          <t>2026-06-12</t>
        </is>
      </c>
      <c r="B3955" s="3" t="inlineStr">
        <is>
          <t>교촌에프앤비</t>
        </is>
      </c>
      <c r="C3955" s="2" t="inlineStr">
        <is>
          <t>339770</t>
        </is>
      </c>
      <c r="D3955" s="2" t="inlineStr">
        <is>
          <t>임원보고</t>
        </is>
      </c>
      <c r="E3955" s="3" t="inlineStr">
        <is>
          <t>-</t>
        </is>
      </c>
      <c r="F3955" s="3" t="inlineStr">
        <is>
          <t>-</t>
        </is>
      </c>
      <c r="G3955" s="3" t="inlineStr">
        <is>
          <t>-</t>
        </is>
      </c>
      <c r="H3955" s="6" t="inlineStr"/>
      <c r="I3955" s="6" t="inlineStr"/>
      <c r="J3955" s="6" t="inlineStr"/>
      <c r="K3955" s="16" t="n">
        <v>12</v>
      </c>
      <c r="L3955" s="2" t="inlineStr">
        <is>
          <t>20260612801051</t>
        </is>
      </c>
      <c r="M3955" s="8">
        <f>HYPERLINK("https://dart.fss.or.kr/dsaf001/main.do?rcpNo=20260612801051", "공시열람")</f>
        <v/>
      </c>
    </row>
    <row r="3956" ht="22" customHeight="1">
      <c r="A3956" s="2" t="inlineStr">
        <is>
          <t>2026-06-12</t>
        </is>
      </c>
      <c r="B3956" s="3" t="inlineStr">
        <is>
          <t>교촌에프앤비</t>
        </is>
      </c>
      <c r="C3956" s="2" t="inlineStr">
        <is>
          <t>339770</t>
        </is>
      </c>
      <c r="D3956" s="2" t="inlineStr">
        <is>
          <t>대량보유</t>
        </is>
      </c>
      <c r="E3956" s="3" t="inlineStr">
        <is>
          <t>송종화</t>
        </is>
      </c>
      <c r="F3956" s="3" t="inlineStr">
        <is>
          <t>특별관계자</t>
        </is>
      </c>
      <c r="G3956" s="3" t="inlineStr">
        <is>
          <t>장내매수(+)</t>
        </is>
      </c>
      <c r="H3956" s="15" t="n">
        <v>20009</v>
      </c>
      <c r="I3956" s="6" t="n">
        <v>3989</v>
      </c>
      <c r="J3956" s="6" t="n">
        <v>71181</v>
      </c>
      <c r="K3956" s="16" t="n">
        <v>9</v>
      </c>
      <c r="L3956" s="2" t="inlineStr">
        <is>
          <t>20260612000652</t>
        </is>
      </c>
      <c r="M3956" s="8">
        <f>HYPERLINK("https://dart.fss.or.kr/dsaf001/main.do?rcpNo=20260612000652", "공시열람")</f>
        <v/>
      </c>
    </row>
    <row r="3957" ht="22" customHeight="1">
      <c r="A3957" s="2" t="inlineStr">
        <is>
          <t>2026-06-12</t>
        </is>
      </c>
      <c r="B3957" s="3" t="inlineStr">
        <is>
          <t>세종텔레콤</t>
        </is>
      </c>
      <c r="C3957" s="2" t="inlineStr">
        <is>
          <t>036630</t>
        </is>
      </c>
      <c r="D3957" s="2" t="inlineStr">
        <is>
          <t>대량보유</t>
        </is>
      </c>
      <c r="E3957" s="3" t="inlineStr">
        <is>
          <t>주식회사세종</t>
        </is>
      </c>
      <c r="F3957" s="3" t="inlineStr">
        <is>
          <t>특별관계자</t>
        </is>
      </c>
      <c r="G3957" s="3" t="inlineStr">
        <is>
          <t>장내매수(+)</t>
        </is>
      </c>
      <c r="H3957" s="15" t="n">
        <v>110000</v>
      </c>
      <c r="I3957" s="6" t="n">
        <v>12048</v>
      </c>
      <c r="J3957" s="6" t="n">
        <v>7000000</v>
      </c>
      <c r="K3957" s="16" t="n">
        <v>1</v>
      </c>
      <c r="L3957" s="2" t="inlineStr">
        <is>
          <t>20260612000650</t>
        </is>
      </c>
      <c r="M3957" s="8">
        <f>HYPERLINK("https://dart.fss.or.kr/dsaf001/main.do?rcpNo=20260612000650", "공시열람")</f>
        <v/>
      </c>
    </row>
    <row r="3958" ht="22" customHeight="1">
      <c r="A3958" s="2" t="inlineStr">
        <is>
          <t>2026-06-12</t>
        </is>
      </c>
      <c r="B3958" s="3" t="inlineStr">
        <is>
          <t>메리츠금융지주</t>
        </is>
      </c>
      <c r="C3958" s="2" t="inlineStr">
        <is>
          <t>138040</t>
        </is>
      </c>
      <c r="D3958" s="2" t="inlineStr">
        <is>
          <t>임원보고</t>
        </is>
      </c>
      <c r="E3958" s="3" t="inlineStr">
        <is>
          <t>-</t>
        </is>
      </c>
      <c r="F3958" s="3" t="inlineStr">
        <is>
          <t>-</t>
        </is>
      </c>
      <c r="G3958" s="3" t="inlineStr">
        <is>
          <t>-</t>
        </is>
      </c>
      <c r="H3958" s="6" t="inlineStr"/>
      <c r="I3958" s="6" t="inlineStr"/>
      <c r="J3958" s="6" t="inlineStr"/>
      <c r="K3958" s="16" t="n">
        <v>12</v>
      </c>
      <c r="L3958" s="2" t="inlineStr">
        <is>
          <t>20260612801027</t>
        </is>
      </c>
      <c r="M3958" s="8">
        <f>HYPERLINK("https://dart.fss.or.kr/dsaf001/main.do?rcpNo=20260612801027", "공시열람")</f>
        <v/>
      </c>
    </row>
    <row r="3959" ht="22" customHeight="1">
      <c r="A3959" s="2" t="inlineStr">
        <is>
          <t>2026-06-12</t>
        </is>
      </c>
      <c r="B3959" s="3" t="inlineStr">
        <is>
          <t>와이엠</t>
        </is>
      </c>
      <c r="C3959" s="2" t="inlineStr">
        <is>
          <t>007530</t>
        </is>
      </c>
      <c r="D3959" s="2" t="inlineStr">
        <is>
          <t>대량보유</t>
        </is>
      </c>
      <c r="E3959" s="3" t="inlineStr">
        <is>
          <t>넥스런</t>
        </is>
      </c>
      <c r="F3959" s="3" t="inlineStr">
        <is>
          <t>특별관계자</t>
        </is>
      </c>
      <c r="G3959" s="3" t="inlineStr">
        <is>
          <t>장내매수(+)</t>
        </is>
      </c>
      <c r="H3959" s="15" t="n">
        <v>37930</v>
      </c>
      <c r="I3959" s="6" t="n">
        <v>1072070</v>
      </c>
      <c r="J3959" s="6" t="n">
        <v>1110000</v>
      </c>
      <c r="K3959" s="16" t="n">
        <v>5</v>
      </c>
      <c r="L3959" s="2" t="inlineStr">
        <is>
          <t>20260612000640</t>
        </is>
      </c>
      <c r="M3959" s="8">
        <f>HYPERLINK("https://dart.fss.or.kr/dsaf001/main.do?rcpNo=20260612000640", "공시열람")</f>
        <v/>
      </c>
    </row>
    <row r="3960" ht="22" customHeight="1">
      <c r="A3960" s="2" t="inlineStr">
        <is>
          <t>2026-06-12</t>
        </is>
      </c>
      <c r="B3960" s="3" t="inlineStr">
        <is>
          <t>와이엠</t>
        </is>
      </c>
      <c r="C3960" s="2" t="inlineStr">
        <is>
          <t>007530</t>
        </is>
      </c>
      <c r="D3960" s="2" t="inlineStr">
        <is>
          <t>대량보유</t>
        </is>
      </c>
      <c r="E3960" s="3" t="inlineStr">
        <is>
          <t>와이티케미칼</t>
        </is>
      </c>
      <c r="F3960" s="3" t="inlineStr">
        <is>
          <t>특별관계자</t>
        </is>
      </c>
      <c r="G3960" s="3" t="inlineStr">
        <is>
          <t>장내매수(+)</t>
        </is>
      </c>
      <c r="H3960" s="15" t="n">
        <v>5396</v>
      </c>
      <c r="I3960" s="6" t="n">
        <v>42630</v>
      </c>
      <c r="J3960" s="6" t="n">
        <v>48026</v>
      </c>
      <c r="K3960" s="16" t="n">
        <v>5</v>
      </c>
      <c r="L3960" s="2" t="inlineStr">
        <is>
          <t>20260612000640</t>
        </is>
      </c>
      <c r="M3960" s="8">
        <f>HYPERLINK("https://dart.fss.or.kr/dsaf001/main.do?rcpNo=20260612000640", "공시열람")</f>
        <v/>
      </c>
    </row>
    <row r="3961" ht="22" customHeight="1">
      <c r="A3961" s="2" t="inlineStr">
        <is>
          <t>2026-06-12</t>
        </is>
      </c>
      <c r="B3961" s="3" t="inlineStr">
        <is>
          <t>메리츠금융지주</t>
        </is>
      </c>
      <c r="C3961" s="2" t="inlineStr">
        <is>
          <t>138040</t>
        </is>
      </c>
      <c r="D3961" s="2" t="inlineStr">
        <is>
          <t>대량보유</t>
        </is>
      </c>
      <c r="E3961" s="3" t="inlineStr">
        <is>
          <t>김종민</t>
        </is>
      </c>
      <c r="F3961" s="3" t="inlineStr">
        <is>
          <t>특별관계자</t>
        </is>
      </c>
      <c r="G3961" s="3" t="inlineStr">
        <is>
          <t>장내매수(+)</t>
        </is>
      </c>
      <c r="H3961" s="15" t="n">
        <v>2000</v>
      </c>
      <c r="I3961" s="6" t="n">
        <v>103754</v>
      </c>
      <c r="J3961" s="6" t="n">
        <v>14144</v>
      </c>
      <c r="K3961" s="16" t="n">
        <v>11</v>
      </c>
      <c r="L3961" s="2" t="inlineStr">
        <is>
          <t>20260612000636</t>
        </is>
      </c>
      <c r="M3961" s="8">
        <f>HYPERLINK("https://dart.fss.or.kr/dsaf001/main.do?rcpNo=20260612000636", "공시열람")</f>
        <v/>
      </c>
    </row>
    <row r="3962" ht="22" customHeight="1">
      <c r="A3962" s="2" t="inlineStr">
        <is>
          <t>2026-06-12</t>
        </is>
      </c>
      <c r="B3962" s="3" t="inlineStr">
        <is>
          <t>씨티케이</t>
        </is>
      </c>
      <c r="C3962" s="2" t="inlineStr">
        <is>
          <t>260930</t>
        </is>
      </c>
      <c r="D3962" s="2" t="inlineStr">
        <is>
          <t>대량보유</t>
        </is>
      </c>
      <c r="E3962" s="3" t="inlineStr">
        <is>
          <t>이종호</t>
        </is>
      </c>
      <c r="F3962" s="3" t="inlineStr">
        <is>
          <t>특별관계자</t>
        </is>
      </c>
      <c r="G3962" s="3" t="inlineStr">
        <is>
          <t>장내매수(+)</t>
        </is>
      </c>
      <c r="H3962" s="15" t="n">
        <v>10500</v>
      </c>
      <c r="I3962" s="6" t="n">
        <v>3044</v>
      </c>
      <c r="J3962" s="6" t="n">
        <v>12000</v>
      </c>
      <c r="K3962" s="16" t="n">
        <v>9</v>
      </c>
      <c r="L3962" s="2" t="inlineStr">
        <is>
          <t>20260612000635</t>
        </is>
      </c>
      <c r="M3962" s="8">
        <f>HYPERLINK("https://dart.fss.or.kr/dsaf001/main.do?rcpNo=20260612000635", "공시열람")</f>
        <v/>
      </c>
    </row>
    <row r="3963" ht="22" customHeight="1">
      <c r="A3963" s="2" t="inlineStr">
        <is>
          <t>2026-06-12</t>
        </is>
      </c>
      <c r="B3963" s="3" t="inlineStr">
        <is>
          <t>메타바이오메드</t>
        </is>
      </c>
      <c r="C3963" s="2" t="inlineStr">
        <is>
          <t>059210</t>
        </is>
      </c>
      <c r="D3963" s="2" t="inlineStr">
        <is>
          <t>대량보유</t>
        </is>
      </c>
      <c r="E3963" s="3" t="inlineStr">
        <is>
          <t>오지수</t>
        </is>
      </c>
      <c r="F3963" s="3" t="inlineStr">
        <is>
          <t>특별관계자</t>
        </is>
      </c>
      <c r="G3963" s="3" t="inlineStr">
        <is>
          <t>장내매수(+), 콜옵션권리행사에따른CB취득(+), 전환등(-), 신규상장(유상취득)(+), 장외매수(+)</t>
        </is>
      </c>
      <c r="H3963" s="15" t="n">
        <v>467080</v>
      </c>
      <c r="I3963" s="6" t="n">
        <v>3561</v>
      </c>
      <c r="J3963" s="6" t="n">
        <v>467080</v>
      </c>
      <c r="K3963" s="16" t="n">
        <v>2</v>
      </c>
      <c r="L3963" s="2" t="inlineStr">
        <is>
          <t>20260612000634</t>
        </is>
      </c>
      <c r="M3963" s="8">
        <f>HYPERLINK("https://dart.fss.or.kr/dsaf001/main.do?rcpNo=20260612000634", "공시열람")</f>
        <v/>
      </c>
    </row>
    <row r="3964" ht="22" customHeight="1">
      <c r="A3964" s="2" t="inlineStr">
        <is>
          <t>2026-06-12</t>
        </is>
      </c>
      <c r="B3964" s="3" t="inlineStr">
        <is>
          <t>메타바이오메드</t>
        </is>
      </c>
      <c r="C3964" s="2" t="inlineStr">
        <is>
          <t>059210</t>
        </is>
      </c>
      <c r="D3964" s="2" t="inlineStr">
        <is>
          <t>대량보유</t>
        </is>
      </c>
      <c r="E3964" s="3" t="inlineStr">
        <is>
          <t>유연춘</t>
        </is>
      </c>
      <c r="F3964" s="3" t="inlineStr">
        <is>
          <t>특별관계자</t>
        </is>
      </c>
      <c r="G3964" s="3" t="inlineStr">
        <is>
          <t>장내매수(+)</t>
        </is>
      </c>
      <c r="H3964" s="15" t="n">
        <v>32147</v>
      </c>
      <c r="I3964" s="6" t="n">
        <v>2305</v>
      </c>
      <c r="J3964" s="6" t="n">
        <v>32147</v>
      </c>
      <c r="K3964" s="16" t="n">
        <v>2</v>
      </c>
      <c r="L3964" s="2" t="inlineStr">
        <is>
          <t>20260612000634</t>
        </is>
      </c>
      <c r="M3964" s="8">
        <f>HYPERLINK("https://dart.fss.or.kr/dsaf001/main.do?rcpNo=20260612000634", "공시열람")</f>
        <v/>
      </c>
    </row>
    <row r="3965" ht="22" customHeight="1">
      <c r="A3965" s="2" t="inlineStr">
        <is>
          <t>2026-06-12</t>
        </is>
      </c>
      <c r="B3965" s="3" t="inlineStr">
        <is>
          <t>현대로템</t>
        </is>
      </c>
      <c r="C3965" s="2" t="inlineStr">
        <is>
          <t>064350</t>
        </is>
      </c>
      <c r="D3965" s="2" t="inlineStr">
        <is>
          <t>대량보유</t>
        </is>
      </c>
      <c r="E3965" s="3" t="inlineStr">
        <is>
          <t>이용배</t>
        </is>
      </c>
      <c r="F3965" s="3" t="inlineStr">
        <is>
          <t>특별관계자</t>
        </is>
      </c>
      <c r="G3965" s="3" t="inlineStr">
        <is>
          <t>장내매수(+)</t>
        </is>
      </c>
      <c r="H3965" s="15" t="n">
        <v>1000</v>
      </c>
      <c r="I3965" s="6" t="n">
        <v>177050</v>
      </c>
      <c r="J3965" s="6" t="n">
        <v>2612</v>
      </c>
      <c r="K3965" s="16" t="n">
        <v>3</v>
      </c>
      <c r="L3965" s="2" t="inlineStr">
        <is>
          <t>20260612000626</t>
        </is>
      </c>
      <c r="M3965" s="8">
        <f>HYPERLINK("https://dart.fss.or.kr/dsaf001/main.do?rcpNo=20260612000626", "공시열람")</f>
        <v/>
      </c>
    </row>
    <row r="3966" ht="22" customHeight="1">
      <c r="A3966" s="2" t="inlineStr">
        <is>
          <t>2026-06-12</t>
        </is>
      </c>
      <c r="B3966" s="3" t="inlineStr">
        <is>
          <t>현대로템</t>
        </is>
      </c>
      <c r="C3966" s="2" t="inlineStr">
        <is>
          <t>064350</t>
        </is>
      </c>
      <c r="D3966" s="2" t="inlineStr">
        <is>
          <t>대량보유</t>
        </is>
      </c>
      <c r="E3966" s="3" t="inlineStr">
        <is>
          <t>정재호</t>
        </is>
      </c>
      <c r="F3966" s="3" t="inlineStr">
        <is>
          <t>특별관계자</t>
        </is>
      </c>
      <c r="G3966" s="3" t="inlineStr">
        <is>
          <t>장내매수(+)</t>
        </is>
      </c>
      <c r="H3966" s="15" t="n">
        <v>300</v>
      </c>
      <c r="I3966" s="6" t="n">
        <v>185700</v>
      </c>
      <c r="J3966" s="6" t="n">
        <v>400</v>
      </c>
      <c r="K3966" s="16" t="n">
        <v>3</v>
      </c>
      <c r="L3966" s="2" t="inlineStr">
        <is>
          <t>20260612000626</t>
        </is>
      </c>
      <c r="M3966" s="8">
        <f>HYPERLINK("https://dart.fss.or.kr/dsaf001/main.do?rcpNo=20260612000626", "공시열람")</f>
        <v/>
      </c>
    </row>
    <row r="3967" ht="22" customHeight="1">
      <c r="A3967" s="2" t="inlineStr">
        <is>
          <t>2026-06-12</t>
        </is>
      </c>
      <c r="B3967" s="3" t="inlineStr">
        <is>
          <t>현대로템</t>
        </is>
      </c>
      <c r="C3967" s="2" t="inlineStr">
        <is>
          <t>064350</t>
        </is>
      </c>
      <c r="D3967" s="2" t="inlineStr">
        <is>
          <t>대량보유</t>
        </is>
      </c>
      <c r="E3967" s="3" t="inlineStr">
        <is>
          <t>조형준</t>
        </is>
      </c>
      <c r="F3967" s="3" t="inlineStr">
        <is>
          <t>특별관계자</t>
        </is>
      </c>
      <c r="G3967" s="3" t="inlineStr">
        <is>
          <t>장내매수(+)</t>
        </is>
      </c>
      <c r="H3967" s="15" t="n">
        <v>300</v>
      </c>
      <c r="I3967" s="6" t="n">
        <v>177162</v>
      </c>
      <c r="J3967" s="6" t="n">
        <v>300</v>
      </c>
      <c r="K3967" s="16" t="n">
        <v>3</v>
      </c>
      <c r="L3967" s="2" t="inlineStr">
        <is>
          <t>20260612000626</t>
        </is>
      </c>
      <c r="M3967" s="8">
        <f>HYPERLINK("https://dart.fss.or.kr/dsaf001/main.do?rcpNo=20260612000626", "공시열람")</f>
        <v/>
      </c>
    </row>
    <row r="3968" ht="22" customHeight="1">
      <c r="A3968" s="2" t="inlineStr">
        <is>
          <t>2026-06-12</t>
        </is>
      </c>
      <c r="B3968" s="3" t="inlineStr">
        <is>
          <t>스마트레이더시스템</t>
        </is>
      </c>
      <c r="C3968" s="2" t="inlineStr">
        <is>
          <t>424960</t>
        </is>
      </c>
      <c r="D3968" s="2" t="inlineStr">
        <is>
          <t>대량보유</t>
        </is>
      </c>
      <c r="E3968" s="3" t="inlineStr">
        <is>
          <t>김동홍</t>
        </is>
      </c>
      <c r="F3968" s="3" t="inlineStr">
        <is>
          <t>특별관계자</t>
        </is>
      </c>
      <c r="G3968" s="3" t="inlineStr">
        <is>
          <t>증여(-)</t>
        </is>
      </c>
      <c r="H3968" s="17" t="n">
        <v>-185000</v>
      </c>
      <c r="I3968" s="6" t="inlineStr"/>
      <c r="J3968" s="6" t="n">
        <v>854500</v>
      </c>
      <c r="K3968" s="16" t="n">
        <v>16</v>
      </c>
      <c r="L3968" s="2" t="inlineStr">
        <is>
          <t>20260612000625</t>
        </is>
      </c>
      <c r="M3968" s="8">
        <f>HYPERLINK("https://dart.fss.or.kr/dsaf001/main.do?rcpNo=20260612000625", "공시열람")</f>
        <v/>
      </c>
    </row>
    <row r="3969" ht="22" customHeight="1">
      <c r="A3969" s="2" t="inlineStr">
        <is>
          <t>2026-06-12</t>
        </is>
      </c>
      <c r="B3969" s="3" t="inlineStr">
        <is>
          <t>알트</t>
        </is>
      </c>
      <c r="C3969" s="2" t="inlineStr">
        <is>
          <t>459550</t>
        </is>
      </c>
      <c r="D3969" s="2" t="inlineStr">
        <is>
          <t>대량보유</t>
        </is>
      </c>
      <c r="E3969" s="3" t="inlineStr">
        <is>
          <t>케이에이아이(KAI)아만타니신기술투자조합1호</t>
        </is>
      </c>
      <c r="F3969" s="3" t="inlineStr">
        <is>
          <t>특별관계자</t>
        </is>
      </c>
      <c r="G3969" s="3" t="inlineStr">
        <is>
          <t>장내매도(-)</t>
        </is>
      </c>
      <c r="H3969" s="17" t="n">
        <v>-675000</v>
      </c>
      <c r="I3969" s="6" t="n">
        <v>2230</v>
      </c>
      <c r="J3969" s="6" t="n">
        <v>675000</v>
      </c>
      <c r="K3969" s="16" t="n">
        <v>2</v>
      </c>
      <c r="L3969" s="2" t="inlineStr">
        <is>
          <t>20260612000618</t>
        </is>
      </c>
      <c r="M3969" s="8">
        <f>HYPERLINK("https://dart.fss.or.kr/dsaf001/main.do?rcpNo=20260612000618", "공시열람")</f>
        <v/>
      </c>
    </row>
    <row r="3970" ht="22" customHeight="1">
      <c r="A3970" s="2" t="inlineStr">
        <is>
          <t>2026-06-12</t>
        </is>
      </c>
      <c r="B3970" s="3" t="inlineStr">
        <is>
          <t>리드코프</t>
        </is>
      </c>
      <c r="C3970" s="2" t="inlineStr">
        <is>
          <t>012700</t>
        </is>
      </c>
      <c r="D3970" s="2" t="inlineStr">
        <is>
          <t>대량보유</t>
        </is>
      </c>
      <c r="E3970" s="3" t="inlineStr">
        <is>
          <t>(주)엠투엔</t>
        </is>
      </c>
      <c r="F3970" s="3" t="inlineStr">
        <is>
          <t>특별관계자</t>
        </is>
      </c>
      <c r="G3970" s="3" t="inlineStr">
        <is>
          <t>시간외매매(+)</t>
        </is>
      </c>
      <c r="H3970" s="15" t="n">
        <v>400000</v>
      </c>
      <c r="I3970" s="6" t="n">
        <v>2830</v>
      </c>
      <c r="J3970" s="6" t="n">
        <v>4716783</v>
      </c>
      <c r="K3970" s="16" t="n">
        <v>3</v>
      </c>
      <c r="L3970" s="2" t="inlineStr">
        <is>
          <t>20260612000615</t>
        </is>
      </c>
      <c r="M3970" s="8">
        <f>HYPERLINK("https://dart.fss.or.kr/dsaf001/main.do?rcpNo=20260612000615", "공시열람")</f>
        <v/>
      </c>
    </row>
    <row r="3971" ht="22" customHeight="1">
      <c r="A3971" s="2" t="inlineStr">
        <is>
          <t>2026-06-12</t>
        </is>
      </c>
      <c r="B3971" s="3" t="inlineStr">
        <is>
          <t>현대백화점</t>
        </is>
      </c>
      <c r="C3971" s="2" t="inlineStr">
        <is>
          <t>069960</t>
        </is>
      </c>
      <c r="D3971" s="2" t="inlineStr">
        <is>
          <t>임원보고</t>
        </is>
      </c>
      <c r="E3971" s="3" t="inlineStr">
        <is>
          <t>-</t>
        </is>
      </c>
      <c r="F3971" s="3" t="inlineStr">
        <is>
          <t>-</t>
        </is>
      </c>
      <c r="G3971" s="3" t="inlineStr">
        <is>
          <t>-</t>
        </is>
      </c>
      <c r="H3971" s="6" t="inlineStr"/>
      <c r="I3971" s="6" t="inlineStr"/>
      <c r="J3971" s="6" t="inlineStr"/>
      <c r="K3971" s="16" t="n">
        <v>12</v>
      </c>
      <c r="L3971" s="2" t="inlineStr">
        <is>
          <t>20260612800917</t>
        </is>
      </c>
      <c r="M3971" s="8">
        <f>HYPERLINK("https://dart.fss.or.kr/dsaf001/main.do?rcpNo=20260612800917", "공시열람")</f>
        <v/>
      </c>
    </row>
    <row r="3972" ht="22" customHeight="1">
      <c r="A3972" s="2" t="inlineStr">
        <is>
          <t>2026-06-12</t>
        </is>
      </c>
      <c r="B3972" s="3" t="inlineStr">
        <is>
          <t>아이에스동서</t>
        </is>
      </c>
      <c r="C3972" s="2" t="inlineStr">
        <is>
          <t>010780</t>
        </is>
      </c>
      <c r="D3972" s="2" t="inlineStr">
        <is>
          <t>대량보유</t>
        </is>
      </c>
      <c r="E3972" s="3" t="inlineStr">
        <is>
          <t>권혁운</t>
        </is>
      </c>
      <c r="F3972" s="3" t="inlineStr">
        <is>
          <t>보고자</t>
        </is>
      </c>
      <c r="G3972" s="3" t="inlineStr">
        <is>
          <t>보유주식등에 관한 계약 변경</t>
        </is>
      </c>
      <c r="H3972" s="6" t="inlineStr"/>
      <c r="I3972" s="6" t="inlineStr"/>
      <c r="J3972" s="6" t="n">
        <v>16871628</v>
      </c>
      <c r="K3972" s="16" t="n">
        <v>7</v>
      </c>
      <c r="L3972" s="2" t="inlineStr">
        <is>
          <t>20260612000595</t>
        </is>
      </c>
      <c r="M3972" s="8">
        <f>HYPERLINK("https://dart.fss.or.kr/dsaf001/main.do?rcpNo=20260612000595", "공시열람")</f>
        <v/>
      </c>
    </row>
    <row r="3973" ht="22" customHeight="1">
      <c r="A3973" s="2" t="inlineStr">
        <is>
          <t>2026-06-12</t>
        </is>
      </c>
      <c r="B3973" s="3" t="inlineStr">
        <is>
          <t>에이스테크</t>
        </is>
      </c>
      <c r="C3973" s="2" t="inlineStr">
        <is>
          <t>088800</t>
        </is>
      </c>
      <c r="D3973" s="2" t="inlineStr">
        <is>
          <t>대량보유</t>
        </is>
      </c>
      <c r="E3973" s="3" t="inlineStr">
        <is>
          <t>구관영</t>
        </is>
      </c>
      <c r="F3973" s="3" t="inlineStr">
        <is>
          <t>보고자</t>
        </is>
      </c>
      <c r="G3973" s="3" t="inlineStr">
        <is>
          <t>공탁해소에 따른 담보수량 일부감소(구관영 235,472주 )</t>
        </is>
      </c>
      <c r="H3973" s="6" t="inlineStr"/>
      <c r="I3973" s="6" t="inlineStr"/>
      <c r="J3973" s="6" t="n">
        <v>15241615</v>
      </c>
      <c r="K3973" s="16" t="n">
        <v>8</v>
      </c>
      <c r="L3973" s="2" t="inlineStr">
        <is>
          <t>20260612000587</t>
        </is>
      </c>
      <c r="M3973" s="8">
        <f>HYPERLINK("https://dart.fss.or.kr/dsaf001/main.do?rcpNo=20260612000587", "공시열람")</f>
        <v/>
      </c>
    </row>
    <row r="3974" ht="22" customHeight="1">
      <c r="A3974" s="2" t="inlineStr">
        <is>
          <t>2026-06-12</t>
        </is>
      </c>
      <c r="B3974" s="3" t="inlineStr">
        <is>
          <t>더존비즈온</t>
        </is>
      </c>
      <c r="C3974" s="2" t="inlineStr">
        <is>
          <t>012510</t>
        </is>
      </c>
      <c r="D3974" s="2" t="inlineStr">
        <is>
          <t>임원보고</t>
        </is>
      </c>
      <c r="E3974" s="3" t="inlineStr">
        <is>
          <t>-</t>
        </is>
      </c>
      <c r="F3974" s="3" t="inlineStr">
        <is>
          <t>-</t>
        </is>
      </c>
      <c r="G3974" s="3" t="inlineStr">
        <is>
          <t>-</t>
        </is>
      </c>
      <c r="H3974" s="6" t="inlineStr"/>
      <c r="I3974" s="6" t="inlineStr"/>
      <c r="J3974" s="6" t="inlineStr"/>
      <c r="K3974" s="16" t="n">
        <v>12</v>
      </c>
      <c r="L3974" s="2" t="inlineStr">
        <is>
          <t>20260612800877</t>
        </is>
      </c>
      <c r="M3974" s="8">
        <f>HYPERLINK("https://dart.fss.or.kr/dsaf001/main.do?rcpNo=20260612800877", "공시열람")</f>
        <v/>
      </c>
    </row>
    <row r="3975" ht="22" customHeight="1">
      <c r="A3975" s="2" t="inlineStr">
        <is>
          <t>2026-06-12</t>
        </is>
      </c>
      <c r="B3975" s="3" t="inlineStr">
        <is>
          <t>대림통상</t>
        </is>
      </c>
      <c r="C3975" s="2" t="inlineStr">
        <is>
          <t>006570</t>
        </is>
      </c>
      <c r="D3975" s="2" t="inlineStr">
        <is>
          <t>임원보고</t>
        </is>
      </c>
      <c r="E3975" s="3" t="inlineStr">
        <is>
          <t>-</t>
        </is>
      </c>
      <c r="F3975" s="3" t="inlineStr">
        <is>
          <t>-</t>
        </is>
      </c>
      <c r="G3975" s="3" t="inlineStr">
        <is>
          <t>-</t>
        </is>
      </c>
      <c r="H3975" s="6" t="inlineStr"/>
      <c r="I3975" s="6" t="inlineStr"/>
      <c r="J3975" s="6" t="inlineStr"/>
      <c r="K3975" s="16" t="n">
        <v>12</v>
      </c>
      <c r="L3975" s="2" t="inlineStr">
        <is>
          <t>20260612800873</t>
        </is>
      </c>
      <c r="M3975" s="8">
        <f>HYPERLINK("https://dart.fss.or.kr/dsaf001/main.do?rcpNo=20260612800873", "공시열람")</f>
        <v/>
      </c>
    </row>
    <row r="3976" ht="22" customHeight="1">
      <c r="A3976" s="2" t="inlineStr">
        <is>
          <t>2026-06-12</t>
        </is>
      </c>
      <c r="B3976" s="3" t="inlineStr">
        <is>
          <t>대원강업</t>
        </is>
      </c>
      <c r="C3976" s="2" t="inlineStr">
        <is>
          <t>000430</t>
        </is>
      </c>
      <c r="D3976" s="2" t="inlineStr">
        <is>
          <t>임원보고</t>
        </is>
      </c>
      <c r="E3976" s="3" t="inlineStr">
        <is>
          <t>-</t>
        </is>
      </c>
      <c r="F3976" s="3" t="inlineStr">
        <is>
          <t>-</t>
        </is>
      </c>
      <c r="G3976" s="3" t="inlineStr">
        <is>
          <t>-</t>
        </is>
      </c>
      <c r="H3976" s="6" t="inlineStr"/>
      <c r="I3976" s="6" t="inlineStr"/>
      <c r="J3976" s="6" t="inlineStr"/>
      <c r="K3976" s="16" t="n">
        <v>12</v>
      </c>
      <c r="L3976" s="2" t="inlineStr">
        <is>
          <t>20260612800850</t>
        </is>
      </c>
      <c r="M3976" s="8">
        <f>HYPERLINK("https://dart.fss.or.kr/dsaf001/main.do?rcpNo=20260612800850", "공시열람")</f>
        <v/>
      </c>
    </row>
    <row r="3977" ht="22" customHeight="1">
      <c r="A3977" s="2" t="inlineStr">
        <is>
          <t>2026-06-12</t>
        </is>
      </c>
      <c r="B3977" s="3" t="inlineStr">
        <is>
          <t>노을</t>
        </is>
      </c>
      <c r="C3977" s="2" t="inlineStr">
        <is>
          <t>376930</t>
        </is>
      </c>
      <c r="D3977" s="2" t="inlineStr">
        <is>
          <t>대량보유</t>
        </is>
      </c>
      <c r="E3977" s="3" t="inlineStr">
        <is>
          <t>MSEED, INC</t>
        </is>
      </c>
      <c r="F3977" s="3" t="inlineStr">
        <is>
          <t>보고자</t>
        </is>
      </c>
      <c r="G3977" s="3" t="inlineStr">
        <is>
          <t>환매조건부 주식매매계약 주식수 변경</t>
        </is>
      </c>
      <c r="H3977" s="6" t="inlineStr"/>
      <c r="I3977" s="6" t="inlineStr"/>
      <c r="J3977" s="6" t="n">
        <v>9305282</v>
      </c>
      <c r="K3977" s="16" t="n">
        <v>3</v>
      </c>
      <c r="L3977" s="2" t="inlineStr">
        <is>
          <t>20260612000566</t>
        </is>
      </c>
      <c r="M3977" s="8">
        <f>HYPERLINK("https://dart.fss.or.kr/dsaf001/main.do?rcpNo=20260612000566", "공시열람")</f>
        <v/>
      </c>
    </row>
    <row r="3978" ht="22" customHeight="1">
      <c r="A3978" s="2" t="inlineStr">
        <is>
          <t>2026-06-12</t>
        </is>
      </c>
      <c r="B3978" s="3" t="inlineStr">
        <is>
          <t>현대엘리베이터</t>
        </is>
      </c>
      <c r="C3978" s="2" t="inlineStr">
        <is>
          <t>017800</t>
        </is>
      </c>
      <c r="D3978" s="2" t="inlineStr">
        <is>
          <t>임원보고</t>
        </is>
      </c>
      <c r="E3978" s="3" t="inlineStr">
        <is>
          <t>-</t>
        </is>
      </c>
      <c r="F3978" s="3" t="inlineStr">
        <is>
          <t>-</t>
        </is>
      </c>
      <c r="G3978" s="3" t="inlineStr">
        <is>
          <t>-</t>
        </is>
      </c>
      <c r="H3978" s="6" t="inlineStr"/>
      <c r="I3978" s="6" t="inlineStr"/>
      <c r="J3978" s="6" t="inlineStr"/>
      <c r="K3978" s="16" t="n">
        <v>12</v>
      </c>
      <c r="L3978" s="2" t="inlineStr">
        <is>
          <t>20260612800833</t>
        </is>
      </c>
      <c r="M3978" s="8">
        <f>HYPERLINK("https://dart.fss.or.kr/dsaf001/main.do?rcpNo=20260612800833", "공시열람")</f>
        <v/>
      </c>
    </row>
    <row r="3979" ht="22" customHeight="1">
      <c r="A3979" s="2" t="inlineStr">
        <is>
          <t>2026-06-12</t>
        </is>
      </c>
      <c r="B3979" s="3" t="inlineStr">
        <is>
          <t>아이에스티이</t>
        </is>
      </c>
      <c r="C3979" s="2" t="inlineStr">
        <is>
          <t>212710</t>
        </is>
      </c>
      <c r="D3979" s="2" t="inlineStr">
        <is>
          <t>대량보유</t>
        </is>
      </c>
      <c r="E3979" s="3" t="inlineStr">
        <is>
          <t>이영민</t>
        </is>
      </c>
      <c r="F3979" s="3" t="inlineStr">
        <is>
          <t>특별관계자</t>
        </is>
      </c>
      <c r="G3979" s="3" t="inlineStr">
        <is>
          <t>주식매수선택권행사(-), 주식매수선택권행사(+)</t>
        </is>
      </c>
      <c r="H3979" s="6" t="inlineStr"/>
      <c r="I3979" s="6" t="n">
        <v>2625</v>
      </c>
      <c r="J3979" s="6" t="n">
        <v>28000</v>
      </c>
      <c r="K3979" s="16" t="n">
        <v>13</v>
      </c>
      <c r="L3979" s="2" t="inlineStr">
        <is>
          <t>20260612000551</t>
        </is>
      </c>
      <c r="M3979" s="8">
        <f>HYPERLINK("https://dart.fss.or.kr/dsaf001/main.do?rcpNo=20260612000551", "공시열람")</f>
        <v/>
      </c>
    </row>
    <row r="3980" ht="22" customHeight="1">
      <c r="A3980" s="2" t="inlineStr">
        <is>
          <t>2026-06-12</t>
        </is>
      </c>
      <c r="B3980" s="3" t="inlineStr">
        <is>
          <t>아이에스티이</t>
        </is>
      </c>
      <c r="C3980" s="2" t="inlineStr">
        <is>
          <t>212710</t>
        </is>
      </c>
      <c r="D3980" s="2" t="inlineStr">
        <is>
          <t>대량보유</t>
        </is>
      </c>
      <c r="E3980" s="3" t="inlineStr">
        <is>
          <t>허정수</t>
        </is>
      </c>
      <c r="F3980" s="3" t="inlineStr">
        <is>
          <t>특별관계자</t>
        </is>
      </c>
      <c r="G3980" s="3" t="inlineStr">
        <is>
          <t>주식매수선택권행사(-), 주식매수선택권행사(+)</t>
        </is>
      </c>
      <c r="H3980" s="6" t="inlineStr"/>
      <c r="I3980" s="6" t="n">
        <v>2625</v>
      </c>
      <c r="J3980" s="6" t="n">
        <v>68000</v>
      </c>
      <c r="K3980" s="16" t="n">
        <v>13</v>
      </c>
      <c r="L3980" s="2" t="inlineStr">
        <is>
          <t>20260612000551</t>
        </is>
      </c>
      <c r="M3980" s="8">
        <f>HYPERLINK("https://dart.fss.or.kr/dsaf001/main.do?rcpNo=20260612000551", "공시열람")</f>
        <v/>
      </c>
    </row>
    <row r="3981" ht="22" customHeight="1">
      <c r="A3981" s="2" t="inlineStr">
        <is>
          <t>2026-06-12</t>
        </is>
      </c>
      <c r="B3981" s="3" t="inlineStr">
        <is>
          <t>아이에스티이</t>
        </is>
      </c>
      <c r="C3981" s="2" t="inlineStr">
        <is>
          <t>212710</t>
        </is>
      </c>
      <c r="D3981" s="2" t="inlineStr">
        <is>
          <t>대량보유</t>
        </is>
      </c>
      <c r="E3981" s="3" t="inlineStr">
        <is>
          <t>노길수</t>
        </is>
      </c>
      <c r="F3981" s="3" t="inlineStr">
        <is>
          <t>특별관계자</t>
        </is>
      </c>
      <c r="G3981" s="3" t="inlineStr">
        <is>
          <t>주식매수선택권행사(-), 주식매수선택권행사(+)</t>
        </is>
      </c>
      <c r="H3981" s="6" t="inlineStr"/>
      <c r="I3981" s="6" t="n">
        <v>2625</v>
      </c>
      <c r="J3981" s="6" t="n">
        <v>100000</v>
      </c>
      <c r="K3981" s="16" t="n">
        <v>13</v>
      </c>
      <c r="L3981" s="2" t="inlineStr">
        <is>
          <t>20260612000551</t>
        </is>
      </c>
      <c r="M3981" s="8">
        <f>HYPERLINK("https://dart.fss.or.kr/dsaf001/main.do?rcpNo=20260612000551", "공시열람")</f>
        <v/>
      </c>
    </row>
    <row r="3982" ht="22" customHeight="1">
      <c r="A3982" s="2" t="inlineStr">
        <is>
          <t>2026-06-12</t>
        </is>
      </c>
      <c r="B3982" s="3" t="inlineStr">
        <is>
          <t>아이에스티이</t>
        </is>
      </c>
      <c r="C3982" s="2" t="inlineStr">
        <is>
          <t>212710</t>
        </is>
      </c>
      <c r="D3982" s="2" t="inlineStr">
        <is>
          <t>대량보유</t>
        </is>
      </c>
      <c r="E3982" s="3" t="inlineStr">
        <is>
          <t>서강석</t>
        </is>
      </c>
      <c r="F3982" s="3" t="inlineStr">
        <is>
          <t>특별관계자</t>
        </is>
      </c>
      <c r="G3982" s="3" t="inlineStr">
        <is>
          <t>주식매수선택권행사(-), 주식매수선택권행사(+)</t>
        </is>
      </c>
      <c r="H3982" s="6" t="inlineStr"/>
      <c r="I3982" s="6" t="n">
        <v>4000</v>
      </c>
      <c r="J3982" s="6" t="n">
        <v>26000</v>
      </c>
      <c r="K3982" s="16" t="n">
        <v>13</v>
      </c>
      <c r="L3982" s="2" t="inlineStr">
        <is>
          <t>20260612000551</t>
        </is>
      </c>
      <c r="M3982" s="8">
        <f>HYPERLINK("https://dart.fss.or.kr/dsaf001/main.do?rcpNo=20260612000551", "공시열람")</f>
        <v/>
      </c>
    </row>
    <row r="3983" ht="22" customHeight="1">
      <c r="A3983" s="2" t="inlineStr">
        <is>
          <t>2026-06-12</t>
        </is>
      </c>
      <c r="B3983" s="3" t="inlineStr">
        <is>
          <t>아이에스티이</t>
        </is>
      </c>
      <c r="C3983" s="2" t="inlineStr">
        <is>
          <t>212710</t>
        </is>
      </c>
      <c r="D3983" s="2" t="inlineStr">
        <is>
          <t>대량보유</t>
        </is>
      </c>
      <c r="E3983" s="3" t="inlineStr">
        <is>
          <t>양정오</t>
        </is>
      </c>
      <c r="F3983" s="3" t="inlineStr">
        <is>
          <t>특별관계자</t>
        </is>
      </c>
      <c r="G3983" s="3" t="inlineStr">
        <is>
          <t>주식매수선택권행사(-), 주식매수선택권행사(+)</t>
        </is>
      </c>
      <c r="H3983" s="6" t="inlineStr"/>
      <c r="I3983" s="6" t="n">
        <v>2125</v>
      </c>
      <c r="J3983" s="6" t="n">
        <v>40000</v>
      </c>
      <c r="K3983" s="16" t="n">
        <v>13</v>
      </c>
      <c r="L3983" s="2" t="inlineStr">
        <is>
          <t>20260612000551</t>
        </is>
      </c>
      <c r="M3983" s="8">
        <f>HYPERLINK("https://dart.fss.or.kr/dsaf001/main.do?rcpNo=20260612000551", "공시열람")</f>
        <v/>
      </c>
    </row>
    <row r="3984" ht="22" customHeight="1">
      <c r="A3984" s="2" t="inlineStr">
        <is>
          <t>2026-06-12</t>
        </is>
      </c>
      <c r="B3984" s="3" t="inlineStr">
        <is>
          <t>HC홈센타</t>
        </is>
      </c>
      <c r="C3984" s="2" t="inlineStr">
        <is>
          <t>060560</t>
        </is>
      </c>
      <c r="D3984" s="2" t="inlineStr">
        <is>
          <t>대량보유</t>
        </is>
      </c>
      <c r="E3984" s="3" t="inlineStr">
        <is>
          <t>에이치씨파트너스(주)</t>
        </is>
      </c>
      <c r="F3984" s="3" t="inlineStr">
        <is>
          <t>특별관계자</t>
        </is>
      </c>
      <c r="G3984" s="3" t="inlineStr">
        <is>
          <t>장내매수(+)</t>
        </is>
      </c>
      <c r="H3984" s="15" t="n">
        <v>13382</v>
      </c>
      <c r="I3984" s="6" t="n">
        <v>1894</v>
      </c>
      <c r="J3984" s="6" t="n">
        <v>6456508</v>
      </c>
      <c r="K3984" s="16" t="n">
        <v>12</v>
      </c>
      <c r="L3984" s="2" t="inlineStr">
        <is>
          <t>20260612000550</t>
        </is>
      </c>
      <c r="M3984" s="8">
        <f>HYPERLINK("https://dart.fss.or.kr/dsaf001/main.do?rcpNo=20260612000550", "공시열람")</f>
        <v/>
      </c>
    </row>
    <row r="3985" ht="22" customHeight="1">
      <c r="A3985" s="2" t="inlineStr">
        <is>
          <t>2026-06-12</t>
        </is>
      </c>
      <c r="B3985" s="3" t="inlineStr">
        <is>
          <t>현대백화점</t>
        </is>
      </c>
      <c r="C3985" s="2" t="inlineStr">
        <is>
          <t>069960</t>
        </is>
      </c>
      <c r="D3985" s="2" t="inlineStr">
        <is>
          <t>대량보유</t>
        </is>
      </c>
      <c r="E3985" s="3" t="inlineStr">
        <is>
          <t>(주)현대지에프홀딩스</t>
        </is>
      </c>
      <c r="F3985" s="3" t="inlineStr">
        <is>
          <t>특별관계자</t>
        </is>
      </c>
      <c r="G3985" s="3" t="inlineStr">
        <is>
          <t>장내매수(+)</t>
        </is>
      </c>
      <c r="H3985" s="15" t="n">
        <v>40000</v>
      </c>
      <c r="I3985" s="6" t="n">
        <v>153489</v>
      </c>
      <c r="J3985" s="6" t="n">
        <v>7972700</v>
      </c>
      <c r="K3985" s="16" t="n">
        <v>3</v>
      </c>
      <c r="L3985" s="2" t="inlineStr">
        <is>
          <t>20260612000549</t>
        </is>
      </c>
      <c r="M3985" s="8">
        <f>HYPERLINK("https://dart.fss.or.kr/dsaf001/main.do?rcpNo=20260612000549", "공시열람")</f>
        <v/>
      </c>
    </row>
    <row r="3986" ht="22" customHeight="1">
      <c r="A3986" s="2" t="inlineStr">
        <is>
          <t>2026-06-12</t>
        </is>
      </c>
      <c r="B3986" s="3" t="inlineStr">
        <is>
          <t>유안타증권</t>
        </is>
      </c>
      <c r="C3986" s="2" t="inlineStr">
        <is>
          <t>003470</t>
        </is>
      </c>
      <c r="D3986" s="2" t="inlineStr">
        <is>
          <t>임원보고</t>
        </is>
      </c>
      <c r="E3986" s="3" t="inlineStr">
        <is>
          <t>-</t>
        </is>
      </c>
      <c r="F3986" s="3" t="inlineStr">
        <is>
          <t>-</t>
        </is>
      </c>
      <c r="G3986" s="3" t="inlineStr">
        <is>
          <t>-</t>
        </is>
      </c>
      <c r="H3986" s="6" t="inlineStr"/>
      <c r="I3986" s="6" t="inlineStr"/>
      <c r="J3986" s="6" t="inlineStr"/>
      <c r="K3986" s="16" t="n">
        <v>12</v>
      </c>
      <c r="L3986" s="2" t="inlineStr">
        <is>
          <t>20260612800822</t>
        </is>
      </c>
      <c r="M3986" s="8">
        <f>HYPERLINK("https://dart.fss.or.kr/dsaf001/main.do?rcpNo=20260612800822", "공시열람")</f>
        <v/>
      </c>
    </row>
    <row r="3987" ht="22" customHeight="1">
      <c r="A3987" s="2" t="inlineStr">
        <is>
          <t>2026-06-12</t>
        </is>
      </c>
      <c r="B3987" s="3" t="inlineStr">
        <is>
          <t>에스엠벡셀</t>
        </is>
      </c>
      <c r="C3987" s="2" t="inlineStr">
        <is>
          <t>010580</t>
        </is>
      </c>
      <c r="D3987" s="2" t="inlineStr">
        <is>
          <t>임원보고</t>
        </is>
      </c>
      <c r="E3987" s="3" t="inlineStr">
        <is>
          <t>-</t>
        </is>
      </c>
      <c r="F3987" s="3" t="inlineStr">
        <is>
          <t>-</t>
        </is>
      </c>
      <c r="G3987" s="3" t="inlineStr">
        <is>
          <t>-</t>
        </is>
      </c>
      <c r="H3987" s="6" t="inlineStr"/>
      <c r="I3987" s="6" t="inlineStr"/>
      <c r="J3987" s="6" t="inlineStr"/>
      <c r="K3987" s="16" t="n">
        <v>12</v>
      </c>
      <c r="L3987" s="2" t="inlineStr">
        <is>
          <t>20260612800809</t>
        </is>
      </c>
      <c r="M3987" s="8">
        <f>HYPERLINK("https://dart.fss.or.kr/dsaf001/main.do?rcpNo=20260612800809", "공시열람")</f>
        <v/>
      </c>
    </row>
    <row r="3988" ht="22" customHeight="1">
      <c r="A3988" s="2" t="inlineStr">
        <is>
          <t>2026-06-12</t>
        </is>
      </c>
      <c r="B3988" s="3" t="inlineStr">
        <is>
          <t>체시스</t>
        </is>
      </c>
      <c r="C3988" s="2" t="inlineStr">
        <is>
          <t>033250</t>
        </is>
      </c>
      <c r="D3988" s="2" t="inlineStr">
        <is>
          <t>대량보유</t>
        </is>
      </c>
      <c r="E3988" s="3" t="inlineStr">
        <is>
          <t>이명곤</t>
        </is>
      </c>
      <c r="F3988" s="3" t="inlineStr">
        <is>
          <t>특별관계자</t>
        </is>
      </c>
      <c r="G3988" s="3" t="inlineStr">
        <is>
          <t>주식병합</t>
        </is>
      </c>
      <c r="H3988" s="17" t="n">
        <v>-2540000</v>
      </c>
      <c r="I3988" s="6" t="inlineStr"/>
      <c r="J3988" s="6" t="n">
        <v>635000</v>
      </c>
      <c r="K3988" s="16" t="n">
        <v>4</v>
      </c>
      <c r="L3988" s="2" t="inlineStr">
        <is>
          <t>20260612000539</t>
        </is>
      </c>
      <c r="M3988" s="8">
        <f>HYPERLINK("https://dart.fss.or.kr/dsaf001/main.do?rcpNo=20260612000539", "공시열람")</f>
        <v/>
      </c>
    </row>
    <row r="3989" ht="22" customHeight="1">
      <c r="A3989" s="2" t="inlineStr">
        <is>
          <t>2026-06-12</t>
        </is>
      </c>
      <c r="B3989" s="3" t="inlineStr">
        <is>
          <t>체시스</t>
        </is>
      </c>
      <c r="C3989" s="2" t="inlineStr">
        <is>
          <t>033250</t>
        </is>
      </c>
      <c r="D3989" s="2" t="inlineStr">
        <is>
          <t>대량보유</t>
        </is>
      </c>
      <c r="E3989" s="3" t="inlineStr">
        <is>
          <t>최재원</t>
        </is>
      </c>
      <c r="F3989" s="3" t="inlineStr">
        <is>
          <t>특별관계자</t>
        </is>
      </c>
      <c r="G3989" s="3" t="inlineStr">
        <is>
          <t>주식병합</t>
        </is>
      </c>
      <c r="H3989" s="17" t="n">
        <v>-552000</v>
      </c>
      <c r="I3989" s="6" t="inlineStr"/>
      <c r="J3989" s="6" t="n">
        <v>138000</v>
      </c>
      <c r="K3989" s="16" t="n">
        <v>4</v>
      </c>
      <c r="L3989" s="2" t="inlineStr">
        <is>
          <t>20260612000539</t>
        </is>
      </c>
      <c r="M3989" s="8">
        <f>HYPERLINK("https://dart.fss.or.kr/dsaf001/main.do?rcpNo=20260612000539", "공시열람")</f>
        <v/>
      </c>
    </row>
    <row r="3990" ht="22" customHeight="1">
      <c r="A3990" s="2" t="inlineStr">
        <is>
          <t>2026-06-12</t>
        </is>
      </c>
      <c r="B3990" s="3" t="inlineStr">
        <is>
          <t>체시스</t>
        </is>
      </c>
      <c r="C3990" s="2" t="inlineStr">
        <is>
          <t>033250</t>
        </is>
      </c>
      <c r="D3990" s="2" t="inlineStr">
        <is>
          <t>대량보유</t>
        </is>
      </c>
      <c r="E3990" s="3" t="inlineStr">
        <is>
          <t>이준성</t>
        </is>
      </c>
      <c r="F3990" s="3" t="inlineStr">
        <is>
          <t>특별관계자</t>
        </is>
      </c>
      <c r="G3990" s="3" t="inlineStr">
        <is>
          <t>주식병합</t>
        </is>
      </c>
      <c r="H3990" s="17" t="n">
        <v>-556000</v>
      </c>
      <c r="I3990" s="6" t="inlineStr"/>
      <c r="J3990" s="6" t="n">
        <v>139000</v>
      </c>
      <c r="K3990" s="16" t="n">
        <v>4</v>
      </c>
      <c r="L3990" s="2" t="inlineStr">
        <is>
          <t>20260612000539</t>
        </is>
      </c>
      <c r="M3990" s="8">
        <f>HYPERLINK("https://dart.fss.or.kr/dsaf001/main.do?rcpNo=20260612000539", "공시열람")</f>
        <v/>
      </c>
    </row>
    <row r="3991" ht="22" customHeight="1">
      <c r="A3991" s="2" t="inlineStr">
        <is>
          <t>2026-06-12</t>
        </is>
      </c>
      <c r="B3991" s="3" t="inlineStr">
        <is>
          <t>체시스</t>
        </is>
      </c>
      <c r="C3991" s="2" t="inlineStr">
        <is>
          <t>033250</t>
        </is>
      </c>
      <c r="D3991" s="2" t="inlineStr">
        <is>
          <t>대량보유</t>
        </is>
      </c>
      <c r="E3991" s="3" t="inlineStr">
        <is>
          <t>(주)엠에스에이치씨</t>
        </is>
      </c>
      <c r="F3991" s="3" t="inlineStr">
        <is>
          <t>특별관계자</t>
        </is>
      </c>
      <c r="G3991" s="3" t="inlineStr">
        <is>
          <t>주식병합, 장내매수(+)</t>
        </is>
      </c>
      <c r="H3991" s="17" t="n">
        <v>-5240991</v>
      </c>
      <c r="I3991" s="6" t="n">
        <v>4174</v>
      </c>
      <c r="J3991" s="6" t="n">
        <v>1427910</v>
      </c>
      <c r="K3991" s="16" t="n">
        <v>4</v>
      </c>
      <c r="L3991" s="2" t="inlineStr">
        <is>
          <t>20260612000539</t>
        </is>
      </c>
      <c r="M3991" s="8">
        <f>HYPERLINK("https://dart.fss.or.kr/dsaf001/main.do?rcpNo=20260612000539", "공시열람")</f>
        <v/>
      </c>
    </row>
    <row r="3992" ht="22" customHeight="1">
      <c r="A3992" s="2" t="inlineStr">
        <is>
          <t>2026-06-12</t>
        </is>
      </c>
      <c r="B3992" s="3" t="inlineStr">
        <is>
          <t>다이나믹솔루션</t>
        </is>
      </c>
      <c r="C3992" s="2" t="inlineStr">
        <is>
          <t>290660</t>
        </is>
      </c>
      <c r="D3992" s="2" t="inlineStr">
        <is>
          <t>대량보유</t>
        </is>
      </c>
      <c r="E3992" s="3" t="inlineStr">
        <is>
          <t>이니텍(주)</t>
        </is>
      </c>
      <c r="F3992" s="3" t="inlineStr">
        <is>
          <t>특별관계자</t>
        </is>
      </c>
      <c r="G3992" s="3" t="inlineStr">
        <is>
          <t>CB인수(+)</t>
        </is>
      </c>
      <c r="H3992" s="15" t="n">
        <v>4895738</v>
      </c>
      <c r="I3992" s="6" t="n">
        <v>2206</v>
      </c>
      <c r="J3992" s="6" t="n">
        <v>4895738</v>
      </c>
      <c r="K3992" s="16" t="n">
        <v>10.3</v>
      </c>
      <c r="L3992" s="2" t="inlineStr">
        <is>
          <t>20260612000538</t>
        </is>
      </c>
      <c r="M3992" s="8">
        <f>HYPERLINK("https://dart.fss.or.kr/dsaf001/main.do?rcpNo=20260612000538", "공시열람")</f>
        <v/>
      </c>
    </row>
    <row r="3993" ht="22" customHeight="1">
      <c r="A3993" s="2" t="inlineStr">
        <is>
          <t>2026-06-12</t>
        </is>
      </c>
      <c r="B3993" s="3" t="inlineStr">
        <is>
          <t>한국피아이엠</t>
        </is>
      </c>
      <c r="C3993" s="2" t="inlineStr">
        <is>
          <t>448900</t>
        </is>
      </c>
      <c r="D3993" s="2" t="inlineStr">
        <is>
          <t>대량보유</t>
        </is>
      </c>
      <c r="E3993" s="3" t="inlineStr">
        <is>
          <t>송준호</t>
        </is>
      </c>
      <c r="F3993" s="3" t="inlineStr">
        <is>
          <t>특별관계자</t>
        </is>
      </c>
      <c r="G3993" s="3" t="inlineStr">
        <is>
          <t>장내매수(+)</t>
        </is>
      </c>
      <c r="H3993" s="15" t="n">
        <v>12760</v>
      </c>
      <c r="I3993" s="6" t="n">
        <v>77756</v>
      </c>
      <c r="J3993" s="6" t="n">
        <v>1976460</v>
      </c>
      <c r="K3993" s="16" t="n">
        <v>6</v>
      </c>
      <c r="L3993" s="2" t="inlineStr">
        <is>
          <t>20260612000537</t>
        </is>
      </c>
      <c r="M3993" s="8">
        <f>HYPERLINK("https://dart.fss.or.kr/dsaf001/main.do?rcpNo=20260612000537", "공시열람")</f>
        <v/>
      </c>
    </row>
    <row r="3994" ht="22" customHeight="1">
      <c r="A3994" s="2" t="inlineStr">
        <is>
          <t>2026-06-12</t>
        </is>
      </c>
      <c r="B3994" s="3" t="inlineStr">
        <is>
          <t>팬스타엔터프라이즈</t>
        </is>
      </c>
      <c r="C3994" s="2" t="inlineStr">
        <is>
          <t>054300</t>
        </is>
      </c>
      <c r="D3994" s="2" t="inlineStr">
        <is>
          <t>대량보유</t>
        </is>
      </c>
      <c r="E3994" s="3" t="inlineStr">
        <is>
          <t>김현겸</t>
        </is>
      </c>
      <c r="F3994" s="3" t="inlineStr">
        <is>
          <t>보고자</t>
        </is>
      </c>
      <c r="G3994" s="3" t="inlineStr">
        <is>
          <t>주식담보차입</t>
        </is>
      </c>
      <c r="H3994" s="6" t="inlineStr"/>
      <c r="I3994" s="6" t="inlineStr"/>
      <c r="J3994" s="6" t="n">
        <v>27421200</v>
      </c>
      <c r="K3994" s="16" t="n">
        <v>8</v>
      </c>
      <c r="L3994" s="2" t="inlineStr">
        <is>
          <t>20260612000533</t>
        </is>
      </c>
      <c r="M3994" s="8">
        <f>HYPERLINK("https://dart.fss.or.kr/dsaf001/main.do?rcpNo=20260612000533", "공시열람")</f>
        <v/>
      </c>
    </row>
    <row r="3995" ht="22" customHeight="1">
      <c r="A3995" s="2" t="inlineStr">
        <is>
          <t>2026-06-12</t>
        </is>
      </c>
      <c r="B3995" s="3" t="inlineStr">
        <is>
          <t>대원강업</t>
        </is>
      </c>
      <c r="C3995" s="2" t="inlineStr">
        <is>
          <t>000430</t>
        </is>
      </c>
      <c r="D3995" s="2" t="inlineStr">
        <is>
          <t>대량보유</t>
        </is>
      </c>
      <c r="E3995" s="3" t="inlineStr">
        <is>
          <t>(주)현대지에프홀딩스</t>
        </is>
      </c>
      <c r="F3995" s="3" t="inlineStr">
        <is>
          <t>특별관계자</t>
        </is>
      </c>
      <c r="G3995" s="3" t="inlineStr">
        <is>
          <t>장내매수(+)</t>
        </is>
      </c>
      <c r="H3995" s="15" t="n">
        <v>259168</v>
      </c>
      <c r="I3995" s="6" t="n">
        <v>5035</v>
      </c>
      <c r="J3995" s="6" t="n">
        <v>23862041</v>
      </c>
      <c r="K3995" s="16" t="n">
        <v>3</v>
      </c>
      <c r="L3995" s="2" t="inlineStr">
        <is>
          <t>20260612000532</t>
        </is>
      </c>
      <c r="M3995" s="8">
        <f>HYPERLINK("https://dart.fss.or.kr/dsaf001/main.do?rcpNo=20260612000532", "공시열람")</f>
        <v/>
      </c>
    </row>
    <row r="3996" ht="22" customHeight="1">
      <c r="A3996" s="2" t="inlineStr">
        <is>
          <t>2026-06-12</t>
        </is>
      </c>
      <c r="B3996" s="3" t="inlineStr">
        <is>
          <t>티로보틱스</t>
        </is>
      </c>
      <c r="C3996" s="2" t="inlineStr">
        <is>
          <t>117730</t>
        </is>
      </c>
      <c r="D3996" s="2" t="inlineStr">
        <is>
          <t>대량보유</t>
        </is>
      </c>
      <c r="E3996" s="3" t="inlineStr">
        <is>
          <t>안승욱</t>
        </is>
      </c>
      <c r="F3996" s="3" t="inlineStr">
        <is>
          <t>보고자</t>
        </is>
      </c>
      <c r="G3996" s="3" t="inlineStr">
        <is>
          <t>주식담보대출 연장 계약 체결</t>
        </is>
      </c>
      <c r="H3996" s="6" t="inlineStr"/>
      <c r="I3996" s="6" t="inlineStr"/>
      <c r="J3996" s="6" t="n">
        <v>4498574</v>
      </c>
      <c r="K3996" s="16" t="n">
        <v>6</v>
      </c>
      <c r="L3996" s="2" t="inlineStr">
        <is>
          <t>20260612000527</t>
        </is>
      </c>
      <c r="M3996" s="8">
        <f>HYPERLINK("https://dart.fss.or.kr/dsaf001/main.do?rcpNo=20260612000527", "공시열람")</f>
        <v/>
      </c>
    </row>
    <row r="3997" ht="22" customHeight="1">
      <c r="A3997" s="2" t="inlineStr">
        <is>
          <t>2026-06-12</t>
        </is>
      </c>
      <c r="B3997" s="3" t="inlineStr">
        <is>
          <t>온타이드</t>
        </is>
      </c>
      <c r="C3997" s="2" t="inlineStr">
        <is>
          <t>005320</t>
        </is>
      </c>
      <c r="D3997" s="2" t="inlineStr">
        <is>
          <t>임원보고</t>
        </is>
      </c>
      <c r="E3997" s="3" t="inlineStr">
        <is>
          <t>-</t>
        </is>
      </c>
      <c r="F3997" s="3" t="inlineStr">
        <is>
          <t>-</t>
        </is>
      </c>
      <c r="G3997" s="3" t="inlineStr">
        <is>
          <t>-</t>
        </is>
      </c>
      <c r="H3997" s="6" t="inlineStr"/>
      <c r="I3997" s="6" t="inlineStr"/>
      <c r="J3997" s="6" t="inlineStr"/>
      <c r="K3997" s="16" t="n">
        <v>12</v>
      </c>
      <c r="L3997" s="2" t="inlineStr">
        <is>
          <t>20260612800791</t>
        </is>
      </c>
      <c r="M3997" s="8">
        <f>HYPERLINK("https://dart.fss.or.kr/dsaf001/main.do?rcpNo=20260612800791", "공시열람")</f>
        <v/>
      </c>
    </row>
    <row r="3998" ht="22" customHeight="1">
      <c r="A3998" s="2" t="inlineStr">
        <is>
          <t>2026-06-12</t>
        </is>
      </c>
      <c r="B3998" s="3" t="inlineStr">
        <is>
          <t>HD현대</t>
        </is>
      </c>
      <c r="C3998" s="2" t="inlineStr">
        <is>
          <t>267250</t>
        </is>
      </c>
      <c r="D3998" s="2" t="inlineStr">
        <is>
          <t>대량보유</t>
        </is>
      </c>
      <c r="E3998" s="3" t="inlineStr">
        <is>
          <t>정몽준</t>
        </is>
      </c>
      <c r="F3998" s="3" t="inlineStr">
        <is>
          <t>보고자</t>
        </is>
      </c>
      <c r="G3998" s="3" t="inlineStr">
        <is>
          <t>- 보유주식에 대한 담보계약 연장</t>
        </is>
      </c>
      <c r="H3998" s="6" t="inlineStr"/>
      <c r="I3998" s="6" t="inlineStr"/>
      <c r="J3998" s="6" t="n">
        <v>29323325</v>
      </c>
      <c r="K3998" s="16" t="n">
        <v>6</v>
      </c>
      <c r="L3998" s="2" t="inlineStr">
        <is>
          <t>20260612000521</t>
        </is>
      </c>
      <c r="M3998" s="8">
        <f>HYPERLINK("https://dart.fss.or.kr/dsaf001/main.do?rcpNo=20260612000521", "공시열람")</f>
        <v/>
      </c>
    </row>
    <row r="3999" ht="22" customHeight="1">
      <c r="A3999" s="2" t="inlineStr">
        <is>
          <t>2026-06-12</t>
        </is>
      </c>
      <c r="B3999" s="3" t="inlineStr">
        <is>
          <t>화인베스틸</t>
        </is>
      </c>
      <c r="C3999" s="2" t="inlineStr">
        <is>
          <t>133820</t>
        </is>
      </c>
      <c r="D3999" s="2" t="inlineStr">
        <is>
          <t>임원보고</t>
        </is>
      </c>
      <c r="E3999" s="3" t="inlineStr">
        <is>
          <t>-</t>
        </is>
      </c>
      <c r="F3999" s="3" t="inlineStr">
        <is>
          <t>-</t>
        </is>
      </c>
      <c r="G3999" s="3" t="inlineStr">
        <is>
          <t>-</t>
        </is>
      </c>
      <c r="H3999" s="6" t="inlineStr"/>
      <c r="I3999" s="6" t="inlineStr"/>
      <c r="J3999" s="6" t="inlineStr"/>
      <c r="K3999" s="16" t="n">
        <v>12</v>
      </c>
      <c r="L3999" s="2" t="inlineStr">
        <is>
          <t>20260612800779</t>
        </is>
      </c>
      <c r="M3999" s="8">
        <f>HYPERLINK("https://dart.fss.or.kr/dsaf001/main.do?rcpNo=20260612800779", "공시열람")</f>
        <v/>
      </c>
    </row>
    <row r="4000" ht="22" customHeight="1">
      <c r="A4000" s="2" t="inlineStr">
        <is>
          <t>2026-06-12</t>
        </is>
      </c>
      <c r="B4000" s="3" t="inlineStr">
        <is>
          <t>화인베스틸</t>
        </is>
      </c>
      <c r="C4000" s="2" t="inlineStr">
        <is>
          <t>133820</t>
        </is>
      </c>
      <c r="D4000" s="2" t="inlineStr">
        <is>
          <t>대량보유</t>
        </is>
      </c>
      <c r="E4000" s="3" t="inlineStr">
        <is>
          <t>장선영</t>
        </is>
      </c>
      <c r="F4000" s="3" t="inlineStr">
        <is>
          <t>특별관계자</t>
        </is>
      </c>
      <c r="G4000" s="3" t="inlineStr">
        <is>
          <t>장내매수(+)</t>
        </is>
      </c>
      <c r="H4000" s="15" t="n">
        <v>26282</v>
      </c>
      <c r="I4000" s="6" t="n">
        <v>1034</v>
      </c>
      <c r="J4000" s="6" t="n">
        <v>26282</v>
      </c>
      <c r="K4000" s="16" t="n">
        <v>4</v>
      </c>
      <c r="L4000" s="2" t="inlineStr">
        <is>
          <t>20260612000516</t>
        </is>
      </c>
      <c r="M4000" s="8">
        <f>HYPERLINK("https://dart.fss.or.kr/dsaf001/main.do?rcpNo=20260612000516", "공시열람")</f>
        <v/>
      </c>
    </row>
    <row r="4001" ht="22" customHeight="1">
      <c r="A4001" s="2" t="inlineStr">
        <is>
          <t>2026-06-12</t>
        </is>
      </c>
      <c r="B4001" s="3" t="inlineStr">
        <is>
          <t>크레버스</t>
        </is>
      </c>
      <c r="C4001" s="2" t="inlineStr">
        <is>
          <t>096240</t>
        </is>
      </c>
      <c r="D4001" s="2" t="inlineStr">
        <is>
          <t>대량보유</t>
        </is>
      </c>
      <c r="E4001" s="3" t="inlineStr">
        <is>
          <t>김영화</t>
        </is>
      </c>
      <c r="F4001" s="3" t="inlineStr">
        <is>
          <t>특별관계자</t>
        </is>
      </c>
      <c r="G4001" s="3" t="inlineStr">
        <is>
          <t>장내매수(+)</t>
        </is>
      </c>
      <c r="H4001" s="15" t="n">
        <v>11525</v>
      </c>
      <c r="I4001" s="6" t="n">
        <v>9027</v>
      </c>
      <c r="J4001" s="6" t="n">
        <v>1736863</v>
      </c>
      <c r="K4001" s="16" t="n">
        <v>7</v>
      </c>
      <c r="L4001" s="2" t="inlineStr">
        <is>
          <t>20260612000509</t>
        </is>
      </c>
      <c r="M4001" s="8">
        <f>HYPERLINK("https://dart.fss.or.kr/dsaf001/main.do?rcpNo=20260612000509", "공시열람")</f>
        <v/>
      </c>
    </row>
    <row r="4002" ht="22" customHeight="1">
      <c r="A4002" s="2" t="inlineStr">
        <is>
          <t>2026-06-12</t>
        </is>
      </c>
      <c r="B4002" s="3" t="inlineStr">
        <is>
          <t>파인디지털</t>
        </is>
      </c>
      <c r="C4002" s="2" t="inlineStr">
        <is>
          <t>038950</t>
        </is>
      </c>
      <c r="D4002" s="2" t="inlineStr">
        <is>
          <t>대량보유</t>
        </is>
      </c>
      <c r="E4002" s="3" t="inlineStr">
        <is>
          <t>한세희</t>
        </is>
      </c>
      <c r="F4002" s="3" t="inlineStr">
        <is>
          <t>특별관계자</t>
        </is>
      </c>
      <c r="G4002" s="3" t="inlineStr">
        <is>
          <t>장내매수(+)</t>
        </is>
      </c>
      <c r="H4002" s="15" t="n">
        <v>608000</v>
      </c>
      <c r="I4002" s="6" t="n">
        <v>2981</v>
      </c>
      <c r="J4002" s="6" t="n">
        <v>608000</v>
      </c>
      <c r="K4002" s="16" t="n">
        <v>5.95</v>
      </c>
      <c r="L4002" s="2" t="inlineStr">
        <is>
          <t>20260612000487</t>
        </is>
      </c>
      <c r="M4002" s="8">
        <f>HYPERLINK("https://dart.fss.or.kr/dsaf001/main.do?rcpNo=20260612000487", "공시열람")</f>
        <v/>
      </c>
    </row>
    <row r="4003" ht="22" customHeight="1">
      <c r="A4003" s="2" t="inlineStr">
        <is>
          <t>2026-06-12</t>
        </is>
      </c>
      <c r="B4003" s="3" t="inlineStr">
        <is>
          <t>비스토스</t>
        </is>
      </c>
      <c r="C4003" s="2" t="inlineStr">
        <is>
          <t>419540</t>
        </is>
      </c>
      <c r="D4003" s="2" t="inlineStr">
        <is>
          <t>대량보유</t>
        </is>
      </c>
      <c r="E4003" s="3" t="inlineStr">
        <is>
          <t>이대형</t>
        </is>
      </c>
      <c r="F4003" s="3" t="inlineStr">
        <is>
          <t>특별관계자</t>
        </is>
      </c>
      <c r="G4003" s="3" t="inlineStr">
        <is>
          <t>임원퇴임(-)</t>
        </is>
      </c>
      <c r="H4003" s="17" t="n">
        <v>-100000</v>
      </c>
      <c r="I4003" s="6" t="inlineStr"/>
      <c r="J4003" s="6" t="inlineStr"/>
      <c r="K4003" s="16" t="n">
        <v>1</v>
      </c>
      <c r="L4003" s="2" t="inlineStr">
        <is>
          <t>20260612000484</t>
        </is>
      </c>
      <c r="M4003" s="8">
        <f>HYPERLINK("https://dart.fss.or.kr/dsaf001/main.do?rcpNo=20260612000484", "공시열람")</f>
        <v/>
      </c>
    </row>
    <row r="4004" ht="22" customHeight="1">
      <c r="A4004" s="2" t="inlineStr">
        <is>
          <t>2026-06-12</t>
        </is>
      </c>
      <c r="B4004" s="3" t="inlineStr">
        <is>
          <t>비스토스</t>
        </is>
      </c>
      <c r="C4004" s="2" t="inlineStr">
        <is>
          <t>419540</t>
        </is>
      </c>
      <c r="D4004" s="2" t="inlineStr">
        <is>
          <t>대량보유</t>
        </is>
      </c>
      <c r="E4004" s="3" t="inlineStr">
        <is>
          <t>(주)씨유메디칼시스템</t>
        </is>
      </c>
      <c r="F4004" s="3" t="inlineStr">
        <is>
          <t>특별관계자</t>
        </is>
      </c>
      <c r="G4004" s="3" t="inlineStr">
        <is>
          <t>주식병합, 장내매수(+)</t>
        </is>
      </c>
      <c r="H4004" s="17" t="n">
        <v>-6221399</v>
      </c>
      <c r="I4004" s="6" t="n">
        <v>2658</v>
      </c>
      <c r="J4004" s="6" t="n">
        <v>1567761</v>
      </c>
      <c r="K4004" s="16" t="n">
        <v>1</v>
      </c>
      <c r="L4004" s="2" t="inlineStr">
        <is>
          <t>20260612000484</t>
        </is>
      </c>
      <c r="M4004" s="8">
        <f>HYPERLINK("https://dart.fss.or.kr/dsaf001/main.do?rcpNo=20260612000484", "공시열람")</f>
        <v/>
      </c>
    </row>
    <row r="4005" ht="22" customHeight="1">
      <c r="A4005" s="2" t="inlineStr">
        <is>
          <t>2026-06-12</t>
        </is>
      </c>
      <c r="B4005" s="3" t="inlineStr">
        <is>
          <t>비스토스</t>
        </is>
      </c>
      <c r="C4005" s="2" t="inlineStr">
        <is>
          <t>419540</t>
        </is>
      </c>
      <c r="D4005" s="2" t="inlineStr">
        <is>
          <t>대량보유</t>
        </is>
      </c>
      <c r="E4005" s="3" t="inlineStr">
        <is>
          <t>박승기</t>
        </is>
      </c>
      <c r="F4005" s="3" t="inlineStr">
        <is>
          <t>특별관계자</t>
        </is>
      </c>
      <c r="G4005" s="3" t="inlineStr">
        <is>
          <t>주식병합</t>
        </is>
      </c>
      <c r="H4005" s="17" t="n">
        <v>-20000</v>
      </c>
      <c r="I4005" s="6" t="inlineStr"/>
      <c r="J4005" s="6" t="n">
        <v>5000</v>
      </c>
      <c r="K4005" s="16" t="n">
        <v>1</v>
      </c>
      <c r="L4005" s="2" t="inlineStr">
        <is>
          <t>20260612000484</t>
        </is>
      </c>
      <c r="M4005" s="8">
        <f>HYPERLINK("https://dart.fss.or.kr/dsaf001/main.do?rcpNo=20260612000484", "공시열람")</f>
        <v/>
      </c>
    </row>
    <row r="4006" ht="22" customHeight="1">
      <c r="A4006" s="2" t="inlineStr">
        <is>
          <t>2026-06-12</t>
        </is>
      </c>
      <c r="B4006" s="3" t="inlineStr">
        <is>
          <t>체시스</t>
        </is>
      </c>
      <c r="C4006" s="2" t="inlineStr">
        <is>
          <t>033250</t>
        </is>
      </c>
      <c r="D4006" s="2" t="inlineStr">
        <is>
          <t>임원보고</t>
        </is>
      </c>
      <c r="E4006" s="3" t="inlineStr">
        <is>
          <t>-</t>
        </is>
      </c>
      <c r="F4006" s="3" t="inlineStr">
        <is>
          <t>-</t>
        </is>
      </c>
      <c r="G4006" s="3" t="inlineStr">
        <is>
          <t>-</t>
        </is>
      </c>
      <c r="H4006" s="6" t="inlineStr"/>
      <c r="I4006" s="6" t="inlineStr"/>
      <c r="J4006" s="6" t="inlineStr"/>
      <c r="K4006" s="16" t="n">
        <v>12</v>
      </c>
      <c r="L4006" s="2" t="inlineStr">
        <is>
          <t>20260612800728</t>
        </is>
      </c>
      <c r="M4006" s="8">
        <f>HYPERLINK("https://dart.fss.or.kr/dsaf001/main.do?rcpNo=20260612800728", "공시열람")</f>
        <v/>
      </c>
    </row>
    <row r="4007" ht="22" customHeight="1">
      <c r="A4007" s="2" t="inlineStr">
        <is>
          <t>2026-06-12</t>
        </is>
      </c>
      <c r="B4007" s="3" t="inlineStr">
        <is>
          <t>미래에셋증권</t>
        </is>
      </c>
      <c r="C4007" s="2" t="inlineStr">
        <is>
          <t>006800</t>
        </is>
      </c>
      <c r="D4007" s="2" t="inlineStr">
        <is>
          <t>대량보유</t>
        </is>
      </c>
      <c r="E4007" s="3" t="inlineStr">
        <is>
          <t>미래에셋캐피탈(주)</t>
        </is>
      </c>
      <c r="F4007" s="3" t="inlineStr">
        <is>
          <t>특별관계자</t>
        </is>
      </c>
      <c r="G4007" s="3" t="inlineStr">
        <is>
          <t>장내매수(+)</t>
        </is>
      </c>
      <c r="H4007" s="15" t="n">
        <v>5094645</v>
      </c>
      <c r="I4007" s="6" t="n">
        <v>19614</v>
      </c>
      <c r="J4007" s="6" t="n">
        <v>187879645</v>
      </c>
      <c r="K4007" s="16" t="n">
        <v>21</v>
      </c>
      <c r="L4007" s="2" t="inlineStr">
        <is>
          <t>20260612000478</t>
        </is>
      </c>
      <c r="M4007" s="8">
        <f>HYPERLINK("https://dart.fss.or.kr/dsaf001/main.do?rcpNo=20260612000478", "공시열람")</f>
        <v/>
      </c>
    </row>
    <row r="4008" ht="22" customHeight="1">
      <c r="A4008" s="2" t="inlineStr">
        <is>
          <t>2026-06-12</t>
        </is>
      </c>
      <c r="B4008" s="3" t="inlineStr">
        <is>
          <t>미래에셋증권</t>
        </is>
      </c>
      <c r="C4008" s="2" t="inlineStr">
        <is>
          <t>006800</t>
        </is>
      </c>
      <c r="D4008" s="2" t="inlineStr">
        <is>
          <t>대량보유</t>
        </is>
      </c>
      <c r="E4008" s="3" t="inlineStr">
        <is>
          <t>김은령</t>
        </is>
      </c>
      <c r="F4008" s="3" t="inlineStr">
        <is>
          <t>특별관계자</t>
        </is>
      </c>
      <c r="G4008" s="3" t="inlineStr">
        <is>
          <t>임원퇴임(-)</t>
        </is>
      </c>
      <c r="H4008" s="17" t="n">
        <v>-4200</v>
      </c>
      <c r="I4008" s="6" t="inlineStr"/>
      <c r="J4008" s="6" t="inlineStr"/>
      <c r="K4008" s="16" t="n">
        <v>21</v>
      </c>
      <c r="L4008" s="2" t="inlineStr">
        <is>
          <t>20260612000478</t>
        </is>
      </c>
      <c r="M4008" s="8">
        <f>HYPERLINK("https://dart.fss.or.kr/dsaf001/main.do?rcpNo=20260612000478", "공시열람")</f>
        <v/>
      </c>
    </row>
    <row r="4009" ht="22" customHeight="1">
      <c r="A4009" s="2" t="inlineStr">
        <is>
          <t>2026-06-12</t>
        </is>
      </c>
      <c r="B4009" s="3" t="inlineStr">
        <is>
          <t>미래에셋증권</t>
        </is>
      </c>
      <c r="C4009" s="2" t="inlineStr">
        <is>
          <t>006800</t>
        </is>
      </c>
      <c r="D4009" s="2" t="inlineStr">
        <is>
          <t>대량보유</t>
        </is>
      </c>
      <c r="E4009" s="3" t="inlineStr">
        <is>
          <t>김주철</t>
        </is>
      </c>
      <c r="F4009" s="3" t="inlineStr">
        <is>
          <t>특별관계자</t>
        </is>
      </c>
      <c r="G4009" s="3" t="inlineStr">
        <is>
          <t>신규등록(+), 장내매도(-)</t>
        </is>
      </c>
      <c r="H4009" s="6" t="inlineStr"/>
      <c r="I4009" s="6" t="n">
        <v>17500</v>
      </c>
      <c r="J4009" s="6" t="inlineStr"/>
      <c r="K4009" s="16" t="n">
        <v>21</v>
      </c>
      <c r="L4009" s="2" t="inlineStr">
        <is>
          <t>20260612000478</t>
        </is>
      </c>
      <c r="M4009" s="8">
        <f>HYPERLINK("https://dart.fss.or.kr/dsaf001/main.do?rcpNo=20260612000478", "공시열람")</f>
        <v/>
      </c>
    </row>
    <row r="4010" ht="22" customHeight="1">
      <c r="A4010" s="2" t="inlineStr">
        <is>
          <t>2026-06-12</t>
        </is>
      </c>
      <c r="B4010" s="3" t="inlineStr">
        <is>
          <t>미래에셋증권</t>
        </is>
      </c>
      <c r="C4010" s="2" t="inlineStr">
        <is>
          <t>006800</t>
        </is>
      </c>
      <c r="D4010" s="2" t="inlineStr">
        <is>
          <t>대량보유</t>
        </is>
      </c>
      <c r="E4010" s="3" t="inlineStr">
        <is>
          <t>고영철</t>
        </is>
      </c>
      <c r="F4010" s="3" t="inlineStr">
        <is>
          <t>특별관계자</t>
        </is>
      </c>
      <c r="G4010" s="3" t="inlineStr">
        <is>
          <t>장내매도(-)</t>
        </is>
      </c>
      <c r="H4010" s="17" t="n">
        <v>-8000</v>
      </c>
      <c r="I4010" s="6" t="n">
        <v>21631</v>
      </c>
      <c r="J4010" s="6" t="n">
        <v>22000</v>
      </c>
      <c r="K4010" s="16" t="n">
        <v>21</v>
      </c>
      <c r="L4010" s="2" t="inlineStr">
        <is>
          <t>20260612000478</t>
        </is>
      </c>
      <c r="M4010" s="8">
        <f>HYPERLINK("https://dart.fss.or.kr/dsaf001/main.do?rcpNo=20260612000478", "공시열람")</f>
        <v/>
      </c>
    </row>
    <row r="4011" ht="22" customHeight="1">
      <c r="A4011" s="2" t="inlineStr">
        <is>
          <t>2026-06-12</t>
        </is>
      </c>
      <c r="B4011" s="3" t="inlineStr">
        <is>
          <t>미래에셋증권</t>
        </is>
      </c>
      <c r="C4011" s="2" t="inlineStr">
        <is>
          <t>006800</t>
        </is>
      </c>
      <c r="D4011" s="2" t="inlineStr">
        <is>
          <t>대량보유</t>
        </is>
      </c>
      <c r="E4011" s="3" t="inlineStr">
        <is>
          <t>한현희</t>
        </is>
      </c>
      <c r="F4011" s="3" t="inlineStr">
        <is>
          <t>특별관계자</t>
        </is>
      </c>
      <c r="G4011" s="3" t="inlineStr">
        <is>
          <t>신규등록(+), 임원퇴임(-)</t>
        </is>
      </c>
      <c r="H4011" s="6" t="inlineStr"/>
      <c r="I4011" s="6" t="n">
        <v>20625</v>
      </c>
      <c r="J4011" s="6" t="inlineStr"/>
      <c r="K4011" s="16" t="n">
        <v>21</v>
      </c>
      <c r="L4011" s="2" t="inlineStr">
        <is>
          <t>20260612000478</t>
        </is>
      </c>
      <c r="M4011" s="8">
        <f>HYPERLINK("https://dart.fss.or.kr/dsaf001/main.do?rcpNo=20260612000478", "공시열람")</f>
        <v/>
      </c>
    </row>
    <row r="4012" ht="22" customHeight="1">
      <c r="A4012" s="2" t="inlineStr">
        <is>
          <t>2026-06-12</t>
        </is>
      </c>
      <c r="B4012" s="3" t="inlineStr">
        <is>
          <t>미래에셋증권</t>
        </is>
      </c>
      <c r="C4012" s="2" t="inlineStr">
        <is>
          <t>006800</t>
        </is>
      </c>
      <c r="D4012" s="2" t="inlineStr">
        <is>
          <t>대량보유</t>
        </is>
      </c>
      <c r="E4012" s="3" t="inlineStr">
        <is>
          <t>이만희</t>
        </is>
      </c>
      <c r="F4012" s="3" t="inlineStr">
        <is>
          <t>특별관계자</t>
        </is>
      </c>
      <c r="G4012" s="3" t="inlineStr">
        <is>
          <t>임원퇴임(-)</t>
        </is>
      </c>
      <c r="H4012" s="17" t="n">
        <v>-75000</v>
      </c>
      <c r="I4012" s="6" t="inlineStr"/>
      <c r="J4012" s="6" t="inlineStr"/>
      <c r="K4012" s="16" t="n">
        <v>21</v>
      </c>
      <c r="L4012" s="2" t="inlineStr">
        <is>
          <t>20260612000478</t>
        </is>
      </c>
      <c r="M4012" s="8">
        <f>HYPERLINK("https://dart.fss.or.kr/dsaf001/main.do?rcpNo=20260612000478", "공시열람")</f>
        <v/>
      </c>
    </row>
    <row r="4013" ht="22" customHeight="1">
      <c r="A4013" s="2" t="inlineStr">
        <is>
          <t>2026-06-12</t>
        </is>
      </c>
      <c r="B4013" s="3" t="inlineStr">
        <is>
          <t>미래에셋증권</t>
        </is>
      </c>
      <c r="C4013" s="2" t="inlineStr">
        <is>
          <t>006800</t>
        </is>
      </c>
      <c r="D4013" s="2" t="inlineStr">
        <is>
          <t>대량보유</t>
        </is>
      </c>
      <c r="E4013" s="3" t="inlineStr">
        <is>
          <t>강길환</t>
        </is>
      </c>
      <c r="F4013" s="3" t="inlineStr">
        <is>
          <t>특별관계자</t>
        </is>
      </c>
      <c r="G4013" s="3" t="inlineStr">
        <is>
          <t>신규등록(+)</t>
        </is>
      </c>
      <c r="H4013" s="15" t="n">
        <v>10000</v>
      </c>
      <c r="I4013" s="6" t="n">
        <v>21500</v>
      </c>
      <c r="J4013" s="6" t="n">
        <v>10000</v>
      </c>
      <c r="K4013" s="16" t="n">
        <v>21</v>
      </c>
      <c r="L4013" s="2" t="inlineStr">
        <is>
          <t>20260612000478</t>
        </is>
      </c>
      <c r="M4013" s="8">
        <f>HYPERLINK("https://dart.fss.or.kr/dsaf001/main.do?rcpNo=20260612000478", "공시열람")</f>
        <v/>
      </c>
    </row>
    <row r="4014" ht="22" customHeight="1">
      <c r="A4014" s="2" t="inlineStr">
        <is>
          <t>2026-06-12</t>
        </is>
      </c>
      <c r="B4014" s="3" t="inlineStr">
        <is>
          <t>크래프톤</t>
        </is>
      </c>
      <c r="C4014" s="2" t="inlineStr">
        <is>
          <t>259960</t>
        </is>
      </c>
      <c r="D4014" s="2" t="inlineStr">
        <is>
          <t>임원보고</t>
        </is>
      </c>
      <c r="E4014" s="3" t="inlineStr">
        <is>
          <t>-</t>
        </is>
      </c>
      <c r="F4014" s="3" t="inlineStr">
        <is>
          <t>-</t>
        </is>
      </c>
      <c r="G4014" s="3" t="inlineStr">
        <is>
          <t>-</t>
        </is>
      </c>
      <c r="H4014" s="6" t="inlineStr"/>
      <c r="I4014" s="6" t="inlineStr"/>
      <c r="J4014" s="6" t="inlineStr"/>
      <c r="K4014" s="16" t="n">
        <v>12</v>
      </c>
      <c r="L4014" s="2" t="inlineStr">
        <is>
          <t>20260612800725</t>
        </is>
      </c>
      <c r="M4014" s="8">
        <f>HYPERLINK("https://dart.fss.or.kr/dsaf001/main.do?rcpNo=20260612800725", "공시열람")</f>
        <v/>
      </c>
    </row>
    <row r="4015" ht="22" customHeight="1">
      <c r="A4015" s="2" t="inlineStr">
        <is>
          <t>2026-06-12 (정정: 2026-06-24)</t>
        </is>
      </c>
      <c r="B4015" s="3" t="inlineStr">
        <is>
          <t>비투엔</t>
        </is>
      </c>
      <c r="C4015" s="2" t="inlineStr">
        <is>
          <t>307870</t>
        </is>
      </c>
      <c r="D4015" s="2" t="inlineStr">
        <is>
          <t>대량보유</t>
        </is>
      </c>
      <c r="E4015" s="3" t="inlineStr">
        <is>
          <t>-</t>
        </is>
      </c>
      <c r="F4015" s="3" t="inlineStr">
        <is>
          <t>보고자</t>
        </is>
      </c>
      <c r="G4015" s="3" t="inlineStr">
        <is>
          <t>-</t>
        </is>
      </c>
      <c r="H4015" s="6" t="inlineStr"/>
      <c r="I4015" s="6" t="inlineStr"/>
      <c r="J4015" s="6" t="inlineStr"/>
      <c r="K4015" s="18" t="inlineStr"/>
      <c r="L4015" s="2" t="inlineStr">
        <is>
          <t>20260624900917</t>
        </is>
      </c>
      <c r="M4015" s="8">
        <f>HYPERLINK("https://dart.fss.or.kr/dsaf001/main.do?rcpNo=20260624900917", "공시열람")</f>
        <v/>
      </c>
    </row>
    <row r="4016" ht="22" customHeight="1">
      <c r="A4016" s="2" t="inlineStr">
        <is>
          <t>2026-06-12</t>
        </is>
      </c>
      <c r="B4016" s="3" t="inlineStr">
        <is>
          <t>경인전자</t>
        </is>
      </c>
      <c r="C4016" s="2" t="inlineStr">
        <is>
          <t>009140</t>
        </is>
      </c>
      <c r="D4016" s="2" t="inlineStr">
        <is>
          <t>대량보유</t>
        </is>
      </c>
      <c r="E4016" s="3" t="inlineStr">
        <is>
          <t>김성은</t>
        </is>
      </c>
      <c r="F4016" s="3" t="inlineStr">
        <is>
          <t>특별관계자</t>
        </is>
      </c>
      <c r="G4016" s="3" t="inlineStr">
        <is>
          <t>장내매수(+), 시간외매매(+), 자사주상여금(+)</t>
        </is>
      </c>
      <c r="H4016" s="15" t="n">
        <v>200210</v>
      </c>
      <c r="I4016" s="6" t="n">
        <v>20462</v>
      </c>
      <c r="J4016" s="6" t="n">
        <v>785139</v>
      </c>
      <c r="K4016" s="16" t="n">
        <v>6</v>
      </c>
      <c r="L4016" s="2" t="inlineStr">
        <is>
          <t>20260612000472</t>
        </is>
      </c>
      <c r="M4016" s="8">
        <f>HYPERLINK("https://dart.fss.or.kr/dsaf001/main.do?rcpNo=20260612000472", "공시열람")</f>
        <v/>
      </c>
    </row>
    <row r="4017" ht="22" customHeight="1">
      <c r="A4017" s="2" t="inlineStr">
        <is>
          <t>2026-06-12</t>
        </is>
      </c>
      <c r="B4017" s="3" t="inlineStr">
        <is>
          <t>경인전자</t>
        </is>
      </c>
      <c r="C4017" s="2" t="inlineStr">
        <is>
          <t>009140</t>
        </is>
      </c>
      <c r="D4017" s="2" t="inlineStr">
        <is>
          <t>대량보유</t>
        </is>
      </c>
      <c r="E4017" s="3" t="inlineStr">
        <is>
          <t>김효조</t>
        </is>
      </c>
      <c r="F4017" s="3" t="inlineStr">
        <is>
          <t>특별관계자</t>
        </is>
      </c>
      <c r="G4017" s="3" t="inlineStr">
        <is>
          <t>시간외매매(-)</t>
        </is>
      </c>
      <c r="H4017" s="17" t="n">
        <v>-185320</v>
      </c>
      <c r="I4017" s="6" t="n">
        <v>20550</v>
      </c>
      <c r="J4017" s="6" t="inlineStr"/>
      <c r="K4017" s="16" t="n">
        <v>6</v>
      </c>
      <c r="L4017" s="2" t="inlineStr">
        <is>
          <t>20260612000472</t>
        </is>
      </c>
      <c r="M4017" s="8">
        <f>HYPERLINK("https://dart.fss.or.kr/dsaf001/main.do?rcpNo=20260612000472", "공시열람")</f>
        <v/>
      </c>
    </row>
    <row r="4018" ht="22" customHeight="1">
      <c r="A4018" s="2" t="inlineStr">
        <is>
          <t>2026-06-12</t>
        </is>
      </c>
      <c r="B4018" s="3" t="inlineStr">
        <is>
          <t>경인전자</t>
        </is>
      </c>
      <c r="C4018" s="2" t="inlineStr">
        <is>
          <t>009140</t>
        </is>
      </c>
      <c r="D4018" s="2" t="inlineStr">
        <is>
          <t>대량보유</t>
        </is>
      </c>
      <c r="E4018" s="3" t="inlineStr">
        <is>
          <t>김영주</t>
        </is>
      </c>
      <c r="F4018" s="3" t="inlineStr">
        <is>
          <t>특별관계자</t>
        </is>
      </c>
      <c r="G4018" s="3" t="inlineStr">
        <is>
          <t>시간외매매(+)</t>
        </is>
      </c>
      <c r="H4018" s="15" t="n">
        <v>2553</v>
      </c>
      <c r="I4018" s="6" t="n">
        <v>26980</v>
      </c>
      <c r="J4018" s="6" t="n">
        <v>5213</v>
      </c>
      <c r="K4018" s="16" t="n">
        <v>6</v>
      </c>
      <c r="L4018" s="2" t="inlineStr">
        <is>
          <t>20260612000472</t>
        </is>
      </c>
      <c r="M4018" s="8">
        <f>HYPERLINK("https://dart.fss.or.kr/dsaf001/main.do?rcpNo=20260612000472", "공시열람")</f>
        <v/>
      </c>
    </row>
    <row r="4019" ht="22" customHeight="1">
      <c r="A4019" s="2" t="inlineStr">
        <is>
          <t>2026-06-12</t>
        </is>
      </c>
      <c r="B4019" s="3" t="inlineStr">
        <is>
          <t>경인전자</t>
        </is>
      </c>
      <c r="C4019" s="2" t="inlineStr">
        <is>
          <t>009140</t>
        </is>
      </c>
      <c r="D4019" s="2" t="inlineStr">
        <is>
          <t>대량보유</t>
        </is>
      </c>
      <c r="E4019" s="3" t="inlineStr">
        <is>
          <t>김정민</t>
        </is>
      </c>
      <c r="F4019" s="3" t="inlineStr">
        <is>
          <t>특별관계자</t>
        </is>
      </c>
      <c r="G4019" s="3" t="inlineStr">
        <is>
          <t>시간외매매(+)</t>
        </is>
      </c>
      <c r="H4019" s="15" t="n">
        <v>2593</v>
      </c>
      <c r="I4019" s="6" t="n">
        <v>26980</v>
      </c>
      <c r="J4019" s="6" t="n">
        <v>5213</v>
      </c>
      <c r="K4019" s="16" t="n">
        <v>6</v>
      </c>
      <c r="L4019" s="2" t="inlineStr">
        <is>
          <t>20260612000472</t>
        </is>
      </c>
      <c r="M4019" s="8">
        <f>HYPERLINK("https://dart.fss.or.kr/dsaf001/main.do?rcpNo=20260612000472", "공시열람")</f>
        <v/>
      </c>
    </row>
    <row r="4020" ht="22" customHeight="1">
      <c r="A4020" s="2" t="inlineStr">
        <is>
          <t>2026-06-12</t>
        </is>
      </c>
      <c r="B4020" s="3" t="inlineStr">
        <is>
          <t>경인전자</t>
        </is>
      </c>
      <c r="C4020" s="2" t="inlineStr">
        <is>
          <t>009140</t>
        </is>
      </c>
      <c r="D4020" s="2" t="inlineStr">
        <is>
          <t>대량보유</t>
        </is>
      </c>
      <c r="E4020" s="3" t="inlineStr">
        <is>
          <t>김민준</t>
        </is>
      </c>
      <c r="F4020" s="3" t="inlineStr">
        <is>
          <t>특별관계자</t>
        </is>
      </c>
      <c r="G4020" s="3" t="inlineStr">
        <is>
          <t>시간외매매(+)</t>
        </is>
      </c>
      <c r="H4020" s="15" t="n">
        <v>2934</v>
      </c>
      <c r="I4020" s="6" t="n">
        <v>26983</v>
      </c>
      <c r="J4020" s="6" t="n">
        <v>5214</v>
      </c>
      <c r="K4020" s="16" t="n">
        <v>6</v>
      </c>
      <c r="L4020" s="2" t="inlineStr">
        <is>
          <t>20260612000472</t>
        </is>
      </c>
      <c r="M4020" s="8">
        <f>HYPERLINK("https://dart.fss.or.kr/dsaf001/main.do?rcpNo=20260612000472", "공시열람")</f>
        <v/>
      </c>
    </row>
    <row r="4021" ht="22" customHeight="1">
      <c r="A4021" s="2" t="inlineStr">
        <is>
          <t>2026-06-12</t>
        </is>
      </c>
      <c r="B4021" s="3" t="inlineStr">
        <is>
          <t>경인전자</t>
        </is>
      </c>
      <c r="C4021" s="2" t="inlineStr">
        <is>
          <t>009140</t>
        </is>
      </c>
      <c r="D4021" s="2" t="inlineStr">
        <is>
          <t>대량보유</t>
        </is>
      </c>
      <c r="E4021" s="3" t="inlineStr">
        <is>
          <t>김연수</t>
        </is>
      </c>
      <c r="F4021" s="3" t="inlineStr">
        <is>
          <t>특별관계자</t>
        </is>
      </c>
      <c r="G4021" s="3" t="inlineStr">
        <is>
          <t>시간외매매(-)</t>
        </is>
      </c>
      <c r="H4021" s="17" t="n">
        <v>-1540</v>
      </c>
      <c r="I4021" s="6" t="n">
        <v>26950</v>
      </c>
      <c r="J4021" s="6" t="inlineStr"/>
      <c r="K4021" s="16" t="n">
        <v>6</v>
      </c>
      <c r="L4021" s="2" t="inlineStr">
        <is>
          <t>20260612000472</t>
        </is>
      </c>
      <c r="M4021" s="8">
        <f>HYPERLINK("https://dart.fss.or.kr/dsaf001/main.do?rcpNo=20260612000472", "공시열람")</f>
        <v/>
      </c>
    </row>
    <row r="4022" ht="22" customHeight="1">
      <c r="A4022" s="2" t="inlineStr">
        <is>
          <t>2026-06-12</t>
        </is>
      </c>
      <c r="B4022" s="3" t="inlineStr">
        <is>
          <t>경인전자</t>
        </is>
      </c>
      <c r="C4022" s="2" t="inlineStr">
        <is>
          <t>009140</t>
        </is>
      </c>
      <c r="D4022" s="2" t="inlineStr">
        <is>
          <t>대량보유</t>
        </is>
      </c>
      <c r="E4022" s="3" t="inlineStr">
        <is>
          <t>김신우</t>
        </is>
      </c>
      <c r="F4022" s="3" t="inlineStr">
        <is>
          <t>특별관계자</t>
        </is>
      </c>
      <c r="G4022" s="3" t="inlineStr">
        <is>
          <t>시간외매매(-)</t>
        </is>
      </c>
      <c r="H4022" s="17" t="n">
        <v>-1540</v>
      </c>
      <c r="I4022" s="6" t="n">
        <v>26950</v>
      </c>
      <c r="J4022" s="6" t="inlineStr"/>
      <c r="K4022" s="16" t="n">
        <v>6</v>
      </c>
      <c r="L4022" s="2" t="inlineStr">
        <is>
          <t>20260612000472</t>
        </is>
      </c>
      <c r="M4022" s="8">
        <f>HYPERLINK("https://dart.fss.or.kr/dsaf001/main.do?rcpNo=20260612000472", "공시열람")</f>
        <v/>
      </c>
    </row>
    <row r="4023" ht="22" customHeight="1">
      <c r="A4023" s="2" t="inlineStr">
        <is>
          <t>2026-06-12</t>
        </is>
      </c>
      <c r="B4023" s="3" t="inlineStr">
        <is>
          <t>경인전자</t>
        </is>
      </c>
      <c r="C4023" s="2" t="inlineStr">
        <is>
          <t>009140</t>
        </is>
      </c>
      <c r="D4023" s="2" t="inlineStr">
        <is>
          <t>임원보고</t>
        </is>
      </c>
      <c r="E4023" s="3" t="inlineStr">
        <is>
          <t>-</t>
        </is>
      </c>
      <c r="F4023" s="3" t="inlineStr">
        <is>
          <t>-</t>
        </is>
      </c>
      <c r="G4023" s="3" t="inlineStr">
        <is>
          <t>-</t>
        </is>
      </c>
      <c r="H4023" s="6" t="inlineStr"/>
      <c r="I4023" s="6" t="inlineStr"/>
      <c r="J4023" s="6" t="inlineStr"/>
      <c r="K4023" s="16" t="n">
        <v>12</v>
      </c>
      <c r="L4023" s="2" t="inlineStr">
        <is>
          <t>20260612800715</t>
        </is>
      </c>
      <c r="M4023" s="8">
        <f>HYPERLINK("https://dart.fss.or.kr/dsaf001/main.do?rcpNo=20260612800715", "공시열람")</f>
        <v/>
      </c>
    </row>
    <row r="4024" ht="22" customHeight="1">
      <c r="A4024" s="2" t="inlineStr">
        <is>
          <t>2026-06-12</t>
        </is>
      </c>
      <c r="B4024" s="3" t="inlineStr">
        <is>
          <t>크래프톤</t>
        </is>
      </c>
      <c r="C4024" s="2" t="inlineStr">
        <is>
          <t>259960</t>
        </is>
      </c>
      <c r="D4024" s="2" t="inlineStr">
        <is>
          <t>대량보유</t>
        </is>
      </c>
      <c r="E4024" s="3" t="inlineStr">
        <is>
          <t>SongRichardKyongChan</t>
        </is>
      </c>
      <c r="F4024" s="3" t="inlineStr">
        <is>
          <t>특별관계자</t>
        </is>
      </c>
      <c r="G4024" s="3" t="inlineStr">
        <is>
          <t>장내매수(+)</t>
        </is>
      </c>
      <c r="H4024" s="15" t="n">
        <v>178</v>
      </c>
      <c r="I4024" s="6" t="n">
        <v>264927</v>
      </c>
      <c r="J4024" s="6" t="n">
        <v>591</v>
      </c>
      <c r="K4024" s="16" t="n">
        <v>30</v>
      </c>
      <c r="L4024" s="2" t="inlineStr">
        <is>
          <t>20260612000466</t>
        </is>
      </c>
      <c r="M4024" s="8">
        <f>HYPERLINK("https://dart.fss.or.kr/dsaf001/main.do?rcpNo=20260612000466", "공시열람")</f>
        <v/>
      </c>
    </row>
    <row r="4025" ht="22" customHeight="1">
      <c r="A4025" s="2" t="inlineStr">
        <is>
          <t>2026-06-12</t>
        </is>
      </c>
      <c r="B4025" s="3" t="inlineStr">
        <is>
          <t>크래프톤</t>
        </is>
      </c>
      <c r="C4025" s="2" t="inlineStr">
        <is>
          <t>259960</t>
        </is>
      </c>
      <c r="D4025" s="2" t="inlineStr">
        <is>
          <t>대량보유</t>
        </is>
      </c>
      <c r="E4025" s="3" t="inlineStr">
        <is>
          <t>유재영</t>
        </is>
      </c>
      <c r="F4025" s="3" t="inlineStr">
        <is>
          <t>특별관계자</t>
        </is>
      </c>
      <c r="G4025" s="3" t="inlineStr">
        <is>
          <t>특별관계해소(-)</t>
        </is>
      </c>
      <c r="H4025" s="17" t="n">
        <v>-565</v>
      </c>
      <c r="I4025" s="6" t="inlineStr"/>
      <c r="J4025" s="6" t="inlineStr"/>
      <c r="K4025" s="16" t="n">
        <v>30</v>
      </c>
      <c r="L4025" s="2" t="inlineStr">
        <is>
          <t>20260612000466</t>
        </is>
      </c>
      <c r="M4025" s="8">
        <f>HYPERLINK("https://dart.fss.or.kr/dsaf001/main.do?rcpNo=20260612000466", "공시열람")</f>
        <v/>
      </c>
    </row>
    <row r="4026" ht="22" customHeight="1">
      <c r="A4026" s="2" t="inlineStr">
        <is>
          <t>2026-06-12</t>
        </is>
      </c>
      <c r="B4026" s="3" t="inlineStr">
        <is>
          <t>다이나믹솔루션</t>
        </is>
      </c>
      <c r="C4026" s="2" t="inlineStr">
        <is>
          <t>290660</t>
        </is>
      </c>
      <c r="D4026" s="2" t="inlineStr">
        <is>
          <t>대량보유</t>
        </is>
      </c>
      <c r="E4026" s="3" t="inlineStr">
        <is>
          <t>그린루미너스2호투자조합</t>
        </is>
      </c>
      <c r="F4026" s="3" t="inlineStr">
        <is>
          <t>특별관계자</t>
        </is>
      </c>
      <c r="G4026" s="3" t="inlineStr">
        <is>
          <t>CB인수(+), 행사가액조정, 기타(-)</t>
        </is>
      </c>
      <c r="H4026" s="6" t="inlineStr"/>
      <c r="I4026" s="6" t="n">
        <v>552</v>
      </c>
      <c r="J4026" s="6" t="inlineStr"/>
      <c r="K4026" s="16" t="n">
        <v>2</v>
      </c>
      <c r="L4026" s="2" t="inlineStr">
        <is>
          <t>20260612000454</t>
        </is>
      </c>
      <c r="M4026" s="8">
        <f>HYPERLINK("https://dart.fss.or.kr/dsaf001/main.do?rcpNo=20260612000454", "공시열람")</f>
        <v/>
      </c>
    </row>
    <row r="4027" ht="22" customHeight="1">
      <c r="A4027" s="2" t="inlineStr">
        <is>
          <t>2026-06-12</t>
        </is>
      </c>
      <c r="B4027" s="3" t="inlineStr">
        <is>
          <t>아스테라시스</t>
        </is>
      </c>
      <c r="C4027" s="2" t="inlineStr">
        <is>
          <t>450950</t>
        </is>
      </c>
      <c r="D4027" s="2" t="inlineStr">
        <is>
          <t>대량보유</t>
        </is>
      </c>
      <c r="E4027" s="3" t="inlineStr">
        <is>
          <t>서은택</t>
        </is>
      </c>
      <c r="F4027" s="3" t="inlineStr">
        <is>
          <t>보고자</t>
        </is>
      </c>
      <c r="G4027" s="3" t="inlineStr">
        <is>
          <t>최대주주 및 특수관계인 담보주식 추가 입고</t>
        </is>
      </c>
      <c r="H4027" s="6" t="inlineStr"/>
      <c r="I4027" s="6" t="inlineStr"/>
      <c r="J4027" s="6" t="n">
        <v>17451135</v>
      </c>
      <c r="K4027" s="16" t="n">
        <v>4</v>
      </c>
      <c r="L4027" s="2" t="inlineStr">
        <is>
          <t>20260612000451</t>
        </is>
      </c>
      <c r="M4027" s="8">
        <f>HYPERLINK("https://dart.fss.or.kr/dsaf001/main.do?rcpNo=20260612000451", "공시열람")</f>
        <v/>
      </c>
    </row>
    <row r="4028" ht="22" customHeight="1">
      <c r="A4028" s="2" t="inlineStr">
        <is>
          <t>2026-06-12</t>
        </is>
      </c>
      <c r="B4028" s="3" t="inlineStr">
        <is>
          <t>현대바이오</t>
        </is>
      </c>
      <c r="C4028" s="2" t="inlineStr">
        <is>
          <t>048410</t>
        </is>
      </c>
      <c r="D4028" s="2" t="inlineStr">
        <is>
          <t>대량보유</t>
        </is>
      </c>
      <c r="E4028" s="3" t="inlineStr">
        <is>
          <t>(주)씨앤팜</t>
        </is>
      </c>
      <c r="F4028" s="3" t="inlineStr">
        <is>
          <t>보고자</t>
        </is>
      </c>
      <c r="G4028" s="3" t="inlineStr">
        <is>
          <t>주식담보계약 변경</t>
        </is>
      </c>
      <c r="H4028" s="6" t="inlineStr"/>
      <c r="I4028" s="6" t="inlineStr"/>
      <c r="J4028" s="6" t="n">
        <v>11517914</v>
      </c>
      <c r="K4028" s="16" t="n">
        <v>5</v>
      </c>
      <c r="L4028" s="2" t="inlineStr">
        <is>
          <t>20260612000445</t>
        </is>
      </c>
      <c r="M4028" s="8">
        <f>HYPERLINK("https://dart.fss.or.kr/dsaf001/main.do?rcpNo=20260612000445", "공시열람")</f>
        <v/>
      </c>
    </row>
    <row r="4029" ht="22" customHeight="1">
      <c r="A4029" s="2" t="inlineStr">
        <is>
          <t>2026-06-12</t>
        </is>
      </c>
      <c r="B4029" s="3" t="inlineStr">
        <is>
          <t>현대로템</t>
        </is>
      </c>
      <c r="C4029" s="2" t="inlineStr">
        <is>
          <t>064350</t>
        </is>
      </c>
      <c r="D4029" s="2" t="inlineStr">
        <is>
          <t>임원보고</t>
        </is>
      </c>
      <c r="E4029" s="3" t="inlineStr">
        <is>
          <t>-</t>
        </is>
      </c>
      <c r="F4029" s="3" t="inlineStr">
        <is>
          <t>-</t>
        </is>
      </c>
      <c r="G4029" s="3" t="inlineStr">
        <is>
          <t>-</t>
        </is>
      </c>
      <c r="H4029" s="6" t="inlineStr"/>
      <c r="I4029" s="6" t="inlineStr"/>
      <c r="J4029" s="6" t="inlineStr"/>
      <c r="K4029" s="16" t="n">
        <v>12</v>
      </c>
      <c r="L4029" s="2" t="inlineStr">
        <is>
          <t>20260612800652</t>
        </is>
      </c>
      <c r="M4029" s="8">
        <f>HYPERLINK("https://dart.fss.or.kr/dsaf001/main.do?rcpNo=20260612800652", "공시열람")</f>
        <v/>
      </c>
    </row>
    <row r="4030" ht="22" customHeight="1">
      <c r="A4030" s="2" t="inlineStr">
        <is>
          <t>2026-06-12</t>
        </is>
      </c>
      <c r="B4030" s="3" t="inlineStr">
        <is>
          <t>동서</t>
        </is>
      </c>
      <c r="C4030" s="2" t="inlineStr">
        <is>
          <t>026960</t>
        </is>
      </c>
      <c r="D4030" s="2" t="inlineStr">
        <is>
          <t>임원보고</t>
        </is>
      </c>
      <c r="E4030" s="3" t="inlineStr">
        <is>
          <t>-</t>
        </is>
      </c>
      <c r="F4030" s="3" t="inlineStr">
        <is>
          <t>-</t>
        </is>
      </c>
      <c r="G4030" s="3" t="inlineStr">
        <is>
          <t>-</t>
        </is>
      </c>
      <c r="H4030" s="6" t="inlineStr"/>
      <c r="I4030" s="6" t="inlineStr"/>
      <c r="J4030" s="6" t="inlineStr"/>
      <c r="K4030" s="16" t="n">
        <v>12</v>
      </c>
      <c r="L4030" s="2" t="inlineStr">
        <is>
          <t>20260612800629</t>
        </is>
      </c>
      <c r="M4030" s="8">
        <f>HYPERLINK("https://dart.fss.or.kr/dsaf001/main.do?rcpNo=20260612800629", "공시열람")</f>
        <v/>
      </c>
    </row>
    <row r="4031" ht="22" customHeight="1">
      <c r="A4031" s="2" t="inlineStr">
        <is>
          <t>2026-06-12</t>
        </is>
      </c>
      <c r="B4031" s="3" t="inlineStr">
        <is>
          <t>에스엠벡셀</t>
        </is>
      </c>
      <c r="C4031" s="2" t="inlineStr">
        <is>
          <t>010580</t>
        </is>
      </c>
      <c r="D4031" s="2" t="inlineStr">
        <is>
          <t>대량보유</t>
        </is>
      </c>
      <c r="E4031" s="3" t="inlineStr">
        <is>
          <t>에스엠하이플러스(주)</t>
        </is>
      </c>
      <c r="F4031" s="3" t="inlineStr">
        <is>
          <t>특별관계자</t>
        </is>
      </c>
      <c r="G4031" s="3" t="inlineStr">
        <is>
          <t>장내매수(+)</t>
        </is>
      </c>
      <c r="H4031" s="15" t="n">
        <v>87600</v>
      </c>
      <c r="I4031" s="6" t="n">
        <v>2121</v>
      </c>
      <c r="J4031" s="6" t="n">
        <v>56397640</v>
      </c>
      <c r="K4031" s="16" t="n">
        <v>4</v>
      </c>
      <c r="L4031" s="2" t="inlineStr">
        <is>
          <t>20260612000394</t>
        </is>
      </c>
      <c r="M4031" s="8">
        <f>HYPERLINK("https://dart.fss.or.kr/dsaf001/main.do?rcpNo=20260612000394", "공시열람")</f>
        <v/>
      </c>
    </row>
    <row r="4032" ht="22" customHeight="1">
      <c r="A4032" s="2" t="inlineStr">
        <is>
          <t>2026-06-12</t>
        </is>
      </c>
      <c r="B4032" s="3" t="inlineStr">
        <is>
          <t>온코크로스</t>
        </is>
      </c>
      <c r="C4032" s="2" t="inlineStr">
        <is>
          <t>382150</t>
        </is>
      </c>
      <c r="D4032" s="2" t="inlineStr">
        <is>
          <t>대량보유</t>
        </is>
      </c>
      <c r="E4032" s="3" t="inlineStr">
        <is>
          <t>김윤슬</t>
        </is>
      </c>
      <c r="F4032" s="3" t="inlineStr">
        <is>
          <t>특별관계자</t>
        </is>
      </c>
      <c r="G4032" s="3" t="inlineStr">
        <is>
          <t>장내매수(+)</t>
        </is>
      </c>
      <c r="H4032" s="15" t="n">
        <v>5628</v>
      </c>
      <c r="I4032" s="6" t="n">
        <v>5320</v>
      </c>
      <c r="J4032" s="6" t="n">
        <v>10248</v>
      </c>
      <c r="K4032" s="16" t="n">
        <v>16</v>
      </c>
      <c r="L4032" s="2" t="inlineStr">
        <is>
          <t>20260612000315</t>
        </is>
      </c>
      <c r="M4032" s="8">
        <f>HYPERLINK("https://dart.fss.or.kr/dsaf001/main.do?rcpNo=20260612000315", "공시열람")</f>
        <v/>
      </c>
    </row>
    <row r="4033" ht="22" customHeight="1">
      <c r="A4033" s="2" t="inlineStr">
        <is>
          <t>2026-06-12</t>
        </is>
      </c>
      <c r="B4033" s="3" t="inlineStr">
        <is>
          <t>온코크로스</t>
        </is>
      </c>
      <c r="C4033" s="2" t="inlineStr">
        <is>
          <t>382150</t>
        </is>
      </c>
      <c r="D4033" s="2" t="inlineStr">
        <is>
          <t>대량보유</t>
        </is>
      </c>
      <c r="E4033" s="3" t="inlineStr">
        <is>
          <t>김찬슬</t>
        </is>
      </c>
      <c r="F4033" s="3" t="inlineStr">
        <is>
          <t>특별관계자</t>
        </is>
      </c>
      <c r="G4033" s="3" t="inlineStr">
        <is>
          <t>장내매수(+)</t>
        </is>
      </c>
      <c r="H4033" s="15" t="n">
        <v>5628</v>
      </c>
      <c r="I4033" s="6" t="n">
        <v>5320</v>
      </c>
      <c r="J4033" s="6" t="n">
        <v>10248</v>
      </c>
      <c r="K4033" s="16" t="n">
        <v>16</v>
      </c>
      <c r="L4033" s="2" t="inlineStr">
        <is>
          <t>20260612000315</t>
        </is>
      </c>
      <c r="M4033" s="8">
        <f>HYPERLINK("https://dart.fss.or.kr/dsaf001/main.do?rcpNo=20260612000315", "공시열람")</f>
        <v/>
      </c>
    </row>
    <row r="4034" ht="22" customHeight="1">
      <c r="A4034" s="2" t="inlineStr">
        <is>
          <t>2026-06-12</t>
        </is>
      </c>
      <c r="B4034" s="3" t="inlineStr">
        <is>
          <t>에스엠</t>
        </is>
      </c>
      <c r="C4034" s="2" t="inlineStr">
        <is>
          <t>041510</t>
        </is>
      </c>
      <c r="D4034" s="2" t="inlineStr">
        <is>
          <t>대량보유</t>
        </is>
      </c>
      <c r="E4034" s="3" t="inlineStr">
        <is>
          <t>BRIDGEHOUSEGLOBALALLOCATIONFUNDEMERGINGMARKETSSTOCK</t>
        </is>
      </c>
      <c r="F4034" s="3" t="inlineStr">
        <is>
          <t>특별관계자</t>
        </is>
      </c>
      <c r="G4034" s="3" t="inlineStr">
        <is>
          <t>장내매수(+)</t>
        </is>
      </c>
      <c r="H4034" s="15" t="n">
        <v>272</v>
      </c>
      <c r="I4034" s="6" t="n">
        <v>83600</v>
      </c>
      <c r="J4034" s="6" t="n">
        <v>706</v>
      </c>
      <c r="K4034" s="16" t="n">
        <v>24</v>
      </c>
      <c r="L4034" s="2" t="inlineStr">
        <is>
          <t>20260612000309</t>
        </is>
      </c>
      <c r="M4034" s="8">
        <f>HYPERLINK("https://dart.fss.or.kr/dsaf001/main.do?rcpNo=20260612000309", "공시열람")</f>
        <v/>
      </c>
    </row>
    <row r="4035" ht="22" customHeight="1">
      <c r="A4035" s="2" t="inlineStr">
        <is>
          <t>2026-06-12</t>
        </is>
      </c>
      <c r="B4035" s="3" t="inlineStr">
        <is>
          <t>에스엠</t>
        </is>
      </c>
      <c r="C4035" s="2" t="inlineStr">
        <is>
          <t>041510</t>
        </is>
      </c>
      <c r="D4035" s="2" t="inlineStr">
        <is>
          <t>대량보유</t>
        </is>
      </c>
      <c r="E4035" s="3" t="inlineStr">
        <is>
          <t>CITIGROUPINC.-INTERNATIONALSMALLCAP</t>
        </is>
      </c>
      <c r="F4035" s="3" t="inlineStr">
        <is>
          <t>특별관계자</t>
        </is>
      </c>
      <c r="G4035" s="3" t="inlineStr">
        <is>
          <t>장내매수(+), 장내매도(-)</t>
        </is>
      </c>
      <c r="H4035" s="15" t="n">
        <v>477</v>
      </c>
      <c r="I4035" s="6" t="n">
        <v>97593</v>
      </c>
      <c r="J4035" s="6" t="n">
        <v>4404</v>
      </c>
      <c r="K4035" s="16" t="n">
        <v>24</v>
      </c>
      <c r="L4035" s="2" t="inlineStr">
        <is>
          <t>20260612000309</t>
        </is>
      </c>
      <c r="M4035" s="8">
        <f>HYPERLINK("https://dart.fss.or.kr/dsaf001/main.do?rcpNo=20260612000309", "공시열람")</f>
        <v/>
      </c>
    </row>
    <row r="4036" ht="22" customHeight="1">
      <c r="A4036" s="2" t="inlineStr">
        <is>
          <t>2026-06-12</t>
        </is>
      </c>
      <c r="B4036" s="3" t="inlineStr">
        <is>
          <t>에스엠</t>
        </is>
      </c>
      <c r="C4036" s="2" t="inlineStr">
        <is>
          <t>041510</t>
        </is>
      </c>
      <c r="D4036" s="2" t="inlineStr">
        <is>
          <t>대량보유</t>
        </is>
      </c>
      <c r="E4036" s="3" t="inlineStr">
        <is>
          <t>T.ROWEPRICEGAF-EMERGINGMARKETSEQUITY</t>
        </is>
      </c>
      <c r="F4036" s="3" t="inlineStr">
        <is>
          <t>특별관계자</t>
        </is>
      </c>
      <c r="G4036" s="3" t="inlineStr">
        <is>
          <t>장내매수(+), 장내매도(-)</t>
        </is>
      </c>
      <c r="H4036" s="15" t="n">
        <v>541</v>
      </c>
      <c r="I4036" s="6" t="n">
        <v>84956</v>
      </c>
      <c r="J4036" s="6" t="n">
        <v>2652</v>
      </c>
      <c r="K4036" s="16" t="n">
        <v>24</v>
      </c>
      <c r="L4036" s="2" t="inlineStr">
        <is>
          <t>20260612000309</t>
        </is>
      </c>
      <c r="M4036" s="8">
        <f>HYPERLINK("https://dart.fss.or.kr/dsaf001/main.do?rcpNo=20260612000309", "공시열람")</f>
        <v/>
      </c>
    </row>
    <row r="4037" ht="22" customHeight="1">
      <c r="A4037" s="2" t="inlineStr">
        <is>
          <t>2026-06-12</t>
        </is>
      </c>
      <c r="B4037" s="3" t="inlineStr">
        <is>
          <t>에스엠</t>
        </is>
      </c>
      <c r="C4037" s="2" t="inlineStr">
        <is>
          <t>041510</t>
        </is>
      </c>
      <c r="D4037" s="2" t="inlineStr">
        <is>
          <t>대량보유</t>
        </is>
      </c>
      <c r="E4037" s="3" t="inlineStr">
        <is>
          <t>T.ROWEPRICEGAF-INTERNATIONALSMALL-CAP</t>
        </is>
      </c>
      <c r="F4037" s="3" t="inlineStr">
        <is>
          <t>특별관계자</t>
        </is>
      </c>
      <c r="G4037" s="3" t="inlineStr">
        <is>
          <t>장내매수(+)</t>
        </is>
      </c>
      <c r="H4037" s="15" t="n">
        <v>161</v>
      </c>
      <c r="I4037" s="6" t="n">
        <v>98121</v>
      </c>
      <c r="J4037" s="6" t="n">
        <v>1512</v>
      </c>
      <c r="K4037" s="16" t="n">
        <v>24</v>
      </c>
      <c r="L4037" s="2" t="inlineStr">
        <is>
          <t>20260612000309</t>
        </is>
      </c>
      <c r="M4037" s="8">
        <f>HYPERLINK("https://dart.fss.or.kr/dsaf001/main.do?rcpNo=20260612000309", "공시열람")</f>
        <v/>
      </c>
    </row>
    <row r="4038" ht="22" customHeight="1">
      <c r="A4038" s="2" t="inlineStr">
        <is>
          <t>2026-06-12</t>
        </is>
      </c>
      <c r="B4038" s="3" t="inlineStr">
        <is>
          <t>에스엠</t>
        </is>
      </c>
      <c r="C4038" s="2" t="inlineStr">
        <is>
          <t>041510</t>
        </is>
      </c>
      <c r="D4038" s="2" t="inlineStr">
        <is>
          <t>대량보유</t>
        </is>
      </c>
      <c r="E4038" s="3" t="inlineStr">
        <is>
          <t>T.ROWEPRICEGLOBALEX-U.S.EQUITYMACROPOOL-EMEQUITY</t>
        </is>
      </c>
      <c r="F4038" s="3" t="inlineStr">
        <is>
          <t>특별관계자</t>
        </is>
      </c>
      <c r="G4038" s="3" t="inlineStr">
        <is>
          <t>장내매수(+)</t>
        </is>
      </c>
      <c r="H4038" s="15" t="n">
        <v>54</v>
      </c>
      <c r="I4038" s="6" t="n">
        <v>79700</v>
      </c>
      <c r="J4038" s="6" t="n">
        <v>348</v>
      </c>
      <c r="K4038" s="16" t="n">
        <v>24</v>
      </c>
      <c r="L4038" s="2" t="inlineStr">
        <is>
          <t>20260612000309</t>
        </is>
      </c>
      <c r="M4038" s="8">
        <f>HYPERLINK("https://dart.fss.or.kr/dsaf001/main.do?rcpNo=20260612000309", "공시열람")</f>
        <v/>
      </c>
    </row>
    <row r="4039" ht="22" customHeight="1">
      <c r="A4039" s="2" t="inlineStr">
        <is>
          <t>2026-06-12</t>
        </is>
      </c>
      <c r="B4039" s="3" t="inlineStr">
        <is>
          <t>에스엠</t>
        </is>
      </c>
      <c r="C4039" s="2" t="inlineStr">
        <is>
          <t>041510</t>
        </is>
      </c>
      <c r="D4039" s="2" t="inlineStr">
        <is>
          <t>대량보유</t>
        </is>
      </c>
      <c r="E4039" s="3" t="inlineStr">
        <is>
          <t>T.ROWEPRICEGLOBALEX-U.S.EQUITYMACROPOOL-INTLSMCAP</t>
        </is>
      </c>
      <c r="F4039" s="3" t="inlineStr">
        <is>
          <t>특별관계자</t>
        </is>
      </c>
      <c r="G4039" s="3" t="inlineStr">
        <is>
          <t>장내매수(+), 장내매도(-)</t>
        </is>
      </c>
      <c r="H4039" s="15" t="n">
        <v>4</v>
      </c>
      <c r="I4039" s="6" t="n">
        <v>91836</v>
      </c>
      <c r="J4039" s="6" t="n">
        <v>498</v>
      </c>
      <c r="K4039" s="16" t="n">
        <v>24</v>
      </c>
      <c r="L4039" s="2" t="inlineStr">
        <is>
          <t>20260612000309</t>
        </is>
      </c>
      <c r="M4039" s="8">
        <f>HYPERLINK("https://dart.fss.or.kr/dsaf001/main.do?rcpNo=20260612000309", "공시열람")</f>
        <v/>
      </c>
    </row>
    <row r="4040" ht="22" customHeight="1">
      <c r="A4040" s="2" t="inlineStr">
        <is>
          <t>2026-06-12</t>
        </is>
      </c>
      <c r="B4040" s="3" t="inlineStr">
        <is>
          <t>에스엠</t>
        </is>
      </c>
      <c r="C4040" s="2" t="inlineStr">
        <is>
          <t>041510</t>
        </is>
      </c>
      <c r="D4040" s="2" t="inlineStr">
        <is>
          <t>대량보유</t>
        </is>
      </c>
      <c r="E4040" s="3" t="inlineStr">
        <is>
          <t>T.ROWEPRICEINSTITUTIONALEMERGINGMARKETSEQUITYFUND</t>
        </is>
      </c>
      <c r="F4040" s="3" t="inlineStr">
        <is>
          <t>특별관계자</t>
        </is>
      </c>
      <c r="G4040" s="3" t="inlineStr">
        <is>
          <t>장내매수(+), 장내매도(-)</t>
        </is>
      </c>
      <c r="H4040" s="15" t="n">
        <v>425</v>
      </c>
      <c r="I4040" s="6" t="n">
        <v>82791</v>
      </c>
      <c r="J4040" s="6" t="n">
        <v>39127</v>
      </c>
      <c r="K4040" s="16" t="n">
        <v>24</v>
      </c>
      <c r="L4040" s="2" t="inlineStr">
        <is>
          <t>20260612000309</t>
        </is>
      </c>
      <c r="M4040" s="8">
        <f>HYPERLINK("https://dart.fss.or.kr/dsaf001/main.do?rcpNo=20260612000309", "공시열람")</f>
        <v/>
      </c>
    </row>
    <row r="4041" ht="22" customHeight="1">
      <c r="A4041" s="2" t="inlineStr">
        <is>
          <t>2026-06-12</t>
        </is>
      </c>
      <c r="B4041" s="3" t="inlineStr">
        <is>
          <t>에스엠</t>
        </is>
      </c>
      <c r="C4041" s="2" t="inlineStr">
        <is>
          <t>041510</t>
        </is>
      </c>
      <c r="D4041" s="2" t="inlineStr">
        <is>
          <t>대량보유</t>
        </is>
      </c>
      <c r="E4041" s="3" t="inlineStr">
        <is>
          <t>T.ROWEPRICEINTERNATIONALDISCOVERYFUND</t>
        </is>
      </c>
      <c r="F4041" s="3" t="inlineStr">
        <is>
          <t>특별관계자</t>
        </is>
      </c>
      <c r="G4041" s="3" t="inlineStr">
        <is>
          <t>장내매수(+)</t>
        </is>
      </c>
      <c r="H4041" s="15" t="n">
        <v>51304</v>
      </c>
      <c r="I4041" s="6" t="n">
        <v>98122</v>
      </c>
      <c r="J4041" s="6" t="n">
        <v>424512</v>
      </c>
      <c r="K4041" s="16" t="n">
        <v>24</v>
      </c>
      <c r="L4041" s="2" t="inlineStr">
        <is>
          <t>20260612000309</t>
        </is>
      </c>
      <c r="M4041" s="8">
        <f>HYPERLINK("https://dart.fss.or.kr/dsaf001/main.do?rcpNo=20260612000309", "공시열람")</f>
        <v/>
      </c>
    </row>
    <row r="4042" ht="22" customHeight="1">
      <c r="A4042" s="2" t="inlineStr">
        <is>
          <t>2026-06-12</t>
        </is>
      </c>
      <c r="B4042" s="3" t="inlineStr">
        <is>
          <t>에스엠</t>
        </is>
      </c>
      <c r="C4042" s="2" t="inlineStr">
        <is>
          <t>041510</t>
        </is>
      </c>
      <c r="D4042" s="2" t="inlineStr">
        <is>
          <t>대량보유</t>
        </is>
      </c>
      <c r="E4042" s="3" t="inlineStr">
        <is>
          <t>T.ROWEPRICEINTERNATIONALSMALL-CAPEQUITYTRUST</t>
        </is>
      </c>
      <c r="F4042" s="3" t="inlineStr">
        <is>
          <t>특별관계자</t>
        </is>
      </c>
      <c r="G4042" s="3" t="inlineStr">
        <is>
          <t>장내매수(+)</t>
        </is>
      </c>
      <c r="H4042" s="15" t="n">
        <v>12090</v>
      </c>
      <c r="I4042" s="6" t="n">
        <v>98122</v>
      </c>
      <c r="J4042" s="6" t="n">
        <v>97699</v>
      </c>
      <c r="K4042" s="16" t="n">
        <v>24</v>
      </c>
      <c r="L4042" s="2" t="inlineStr">
        <is>
          <t>20260612000309</t>
        </is>
      </c>
      <c r="M4042" s="8">
        <f>HYPERLINK("https://dart.fss.or.kr/dsaf001/main.do?rcpNo=20260612000309", "공시열람")</f>
        <v/>
      </c>
    </row>
    <row r="4043" ht="22" customHeight="1">
      <c r="A4043" s="2" t="inlineStr">
        <is>
          <t>2026-06-12</t>
        </is>
      </c>
      <c r="B4043" s="3" t="inlineStr">
        <is>
          <t>에스엠</t>
        </is>
      </c>
      <c r="C4043" s="2" t="inlineStr">
        <is>
          <t>041510</t>
        </is>
      </c>
      <c r="D4043" s="2" t="inlineStr">
        <is>
          <t>대량보유</t>
        </is>
      </c>
      <c r="E4043" s="3" t="inlineStr">
        <is>
          <t>T.ROWEPRICENON-USEQUITIESTRUSTEMERGMKTS</t>
        </is>
      </c>
      <c r="F4043" s="3" t="inlineStr">
        <is>
          <t>특별관계자</t>
        </is>
      </c>
      <c r="G4043" s="3" t="inlineStr">
        <is>
          <t>장내매수(+)</t>
        </is>
      </c>
      <c r="H4043" s="15" t="n">
        <v>28356</v>
      </c>
      <c r="I4043" s="6" t="n">
        <v>90128</v>
      </c>
      <c r="J4043" s="6" t="n">
        <v>98045</v>
      </c>
      <c r="K4043" s="16" t="n">
        <v>24</v>
      </c>
      <c r="L4043" s="2" t="inlineStr">
        <is>
          <t>20260612000309</t>
        </is>
      </c>
      <c r="M4043" s="8">
        <f>HYPERLINK("https://dart.fss.or.kr/dsaf001/main.do?rcpNo=20260612000309", "공시열람")</f>
        <v/>
      </c>
    </row>
    <row r="4044" ht="22" customHeight="1">
      <c r="A4044" s="2" t="inlineStr">
        <is>
          <t>2026-06-12</t>
        </is>
      </c>
      <c r="B4044" s="3" t="inlineStr">
        <is>
          <t>에스엠</t>
        </is>
      </c>
      <c r="C4044" s="2" t="inlineStr">
        <is>
          <t>041510</t>
        </is>
      </c>
      <c r="D4044" s="2" t="inlineStr">
        <is>
          <t>대량보유</t>
        </is>
      </c>
      <c r="E4044" s="3" t="inlineStr">
        <is>
          <t>TRPSICAVASIANOPPORTUNITIESEQUITYFUND</t>
        </is>
      </c>
      <c r="F4044" s="3" t="inlineStr">
        <is>
          <t>특별관계자</t>
        </is>
      </c>
      <c r="G4044" s="3" t="inlineStr">
        <is>
          <t>장내매도(-)</t>
        </is>
      </c>
      <c r="H4044" s="17" t="n">
        <v>-9342</v>
      </c>
      <c r="I4044" s="6" t="n">
        <v>77109</v>
      </c>
      <c r="J4044" s="6" t="inlineStr"/>
      <c r="K4044" s="16" t="n">
        <v>24</v>
      </c>
      <c r="L4044" s="2" t="inlineStr">
        <is>
          <t>20260612000309</t>
        </is>
      </c>
      <c r="M4044" s="8">
        <f>HYPERLINK("https://dart.fss.or.kr/dsaf001/main.do?rcpNo=20260612000309", "공시열람")</f>
        <v/>
      </c>
    </row>
    <row r="4045" ht="22" customHeight="1">
      <c r="A4045" s="2" t="inlineStr">
        <is>
          <t>2026-06-12</t>
        </is>
      </c>
      <c r="B4045" s="3" t="inlineStr">
        <is>
          <t>에스엠</t>
        </is>
      </c>
      <c r="C4045" s="2" t="inlineStr">
        <is>
          <t>041510</t>
        </is>
      </c>
      <c r="D4045" s="2" t="inlineStr">
        <is>
          <t>대량보유</t>
        </is>
      </c>
      <c r="E4045" s="3" t="inlineStr">
        <is>
          <t>TRPSICAVEMERGINGMARKETSEQUITYFUND</t>
        </is>
      </c>
      <c r="F4045" s="3" t="inlineStr">
        <is>
          <t>특별관계자</t>
        </is>
      </c>
      <c r="G4045" s="3" t="inlineStr">
        <is>
          <t>장내매수(+), 장내매도(-)</t>
        </is>
      </c>
      <c r="H4045" s="15" t="n">
        <v>1571</v>
      </c>
      <c r="I4045" s="6" t="n">
        <v>92632</v>
      </c>
      <c r="J4045" s="6" t="n">
        <v>9081</v>
      </c>
      <c r="K4045" s="16" t="n">
        <v>24</v>
      </c>
      <c r="L4045" s="2" t="inlineStr">
        <is>
          <t>20260612000309</t>
        </is>
      </c>
      <c r="M4045" s="8">
        <f>HYPERLINK("https://dart.fss.or.kr/dsaf001/main.do?rcpNo=20260612000309", "공시열람")</f>
        <v/>
      </c>
    </row>
    <row r="4046" ht="22" customHeight="1">
      <c r="A4046" s="2" t="inlineStr">
        <is>
          <t>2026-06-12</t>
        </is>
      </c>
      <c r="B4046" s="3" t="inlineStr">
        <is>
          <t>에스엠</t>
        </is>
      </c>
      <c r="C4046" s="2" t="inlineStr">
        <is>
          <t>041510</t>
        </is>
      </c>
      <c r="D4046" s="2" t="inlineStr">
        <is>
          <t>대량보유</t>
        </is>
      </c>
      <c r="E4046" s="3" t="inlineStr">
        <is>
          <t>TRPSICAVGLOBALALLOCATIONEXTENDEDFUNDEMSTOCK</t>
        </is>
      </c>
      <c r="F4046" s="3" t="inlineStr">
        <is>
          <t>특별관계자</t>
        </is>
      </c>
      <c r="G4046" s="3" t="inlineStr">
        <is>
          <t>장내매수(+)</t>
        </is>
      </c>
      <c r="H4046" s="15" t="n">
        <v>67</v>
      </c>
      <c r="I4046" s="6" t="n">
        <v>86979</v>
      </c>
      <c r="J4046" s="6" t="n">
        <v>266</v>
      </c>
      <c r="K4046" s="16" t="n">
        <v>24</v>
      </c>
      <c r="L4046" s="2" t="inlineStr">
        <is>
          <t>20260612000309</t>
        </is>
      </c>
      <c r="M4046" s="8">
        <f>HYPERLINK("https://dart.fss.or.kr/dsaf001/main.do?rcpNo=20260612000309", "공시열람")</f>
        <v/>
      </c>
    </row>
    <row r="4047" ht="22" customHeight="1">
      <c r="A4047" s="2" t="inlineStr">
        <is>
          <t>2026-06-12</t>
        </is>
      </c>
      <c r="B4047" s="3" t="inlineStr">
        <is>
          <t>에스엠</t>
        </is>
      </c>
      <c r="C4047" s="2" t="inlineStr">
        <is>
          <t>041510</t>
        </is>
      </c>
      <c r="D4047" s="2" t="inlineStr">
        <is>
          <t>대량보유</t>
        </is>
      </c>
      <c r="E4047" s="3" t="inlineStr">
        <is>
          <t>TRPSICAVGLOBALALLOCATIONFUNDEMERGINGMARKETSSTOCK</t>
        </is>
      </c>
      <c r="F4047" s="3" t="inlineStr">
        <is>
          <t>특별관계자</t>
        </is>
      </c>
      <c r="G4047" s="3" t="inlineStr">
        <is>
          <t>장내매수(+)</t>
        </is>
      </c>
      <c r="H4047" s="15" t="n">
        <v>58</v>
      </c>
      <c r="I4047" s="6" t="n">
        <v>86979</v>
      </c>
      <c r="J4047" s="6" t="n">
        <v>264</v>
      </c>
      <c r="K4047" s="16" t="n">
        <v>24</v>
      </c>
      <c r="L4047" s="2" t="inlineStr">
        <is>
          <t>20260612000309</t>
        </is>
      </c>
      <c r="M4047" s="8">
        <f>HYPERLINK("https://dart.fss.or.kr/dsaf001/main.do?rcpNo=20260612000309", "공시열람")</f>
        <v/>
      </c>
    </row>
    <row r="4048" ht="22" customHeight="1">
      <c r="A4048" s="2" t="inlineStr">
        <is>
          <t>2026-06-12</t>
        </is>
      </c>
      <c r="B4048" s="3" t="inlineStr">
        <is>
          <t>에스엠</t>
        </is>
      </c>
      <c r="C4048" s="2" t="inlineStr">
        <is>
          <t>041510</t>
        </is>
      </c>
      <c r="D4048" s="2" t="inlineStr">
        <is>
          <t>대량보유</t>
        </is>
      </c>
      <c r="E4048" s="3" t="inlineStr">
        <is>
          <t>TRPSICAVGLOBALSTRUCTUREDRESEARCHEQUITYFUNDISR</t>
        </is>
      </c>
      <c r="F4048" s="3" t="inlineStr">
        <is>
          <t>특별관계자</t>
        </is>
      </c>
      <c r="G4048" s="3" t="inlineStr">
        <is>
          <t>장내매수(+)</t>
        </is>
      </c>
      <c r="H4048" s="15" t="n">
        <v>29</v>
      </c>
      <c r="I4048" s="6" t="n">
        <v>86090</v>
      </c>
      <c r="J4048" s="6" t="n">
        <v>188</v>
      </c>
      <c r="K4048" s="16" t="n">
        <v>24</v>
      </c>
      <c r="L4048" s="2" t="inlineStr">
        <is>
          <t>20260612000309</t>
        </is>
      </c>
      <c r="M4048" s="8">
        <f>HYPERLINK("https://dart.fss.or.kr/dsaf001/main.do?rcpNo=20260612000309", "공시열람")</f>
        <v/>
      </c>
    </row>
    <row r="4049" ht="22" customHeight="1">
      <c r="A4049" s="2" t="inlineStr">
        <is>
          <t>2026-06-12</t>
        </is>
      </c>
      <c r="B4049" s="3" t="inlineStr">
        <is>
          <t>신한제18호스팩</t>
        </is>
      </c>
      <c r="C4049" s="2" t="inlineStr">
        <is>
          <t>0129K0</t>
        </is>
      </c>
      <c r="D4049" s="2" t="inlineStr">
        <is>
          <t>대량보유</t>
        </is>
      </c>
      <c r="E4049" s="3" t="inlineStr">
        <is>
          <t>더블유자산운용</t>
        </is>
      </c>
      <c r="F4049" s="3" t="inlineStr">
        <is>
          <t>특별관계자</t>
        </is>
      </c>
      <c r="G4049" s="3" t="inlineStr">
        <is>
          <t>신규등록(+), 장내매도(-), 장내매수(+)</t>
        </is>
      </c>
      <c r="H4049" s="15" t="n">
        <v>296012</v>
      </c>
      <c r="I4049" s="6" t="n">
        <v>2051</v>
      </c>
      <c r="J4049" s="6" t="n">
        <v>296012</v>
      </c>
      <c r="K4049" s="16" t="n">
        <v>5.27</v>
      </c>
      <c r="L4049" s="2" t="inlineStr">
        <is>
          <t>20260612000301</t>
        </is>
      </c>
      <c r="M4049" s="8">
        <f>HYPERLINK("https://dart.fss.or.kr/dsaf001/main.do?rcpNo=20260612000301", "공시열람")</f>
        <v/>
      </c>
    </row>
    <row r="4050" ht="22" customHeight="1">
      <c r="A4050" s="2" t="inlineStr">
        <is>
          <t>2026-06-12 (정정: 2026-06-12)</t>
        </is>
      </c>
      <c r="B4050" s="3" t="inlineStr">
        <is>
          <t>아나패스</t>
        </is>
      </c>
      <c r="C4050" s="2" t="inlineStr">
        <is>
          <t>123860</t>
        </is>
      </c>
      <c r="D4050" s="2" t="inlineStr">
        <is>
          <t>대량보유</t>
        </is>
      </c>
      <c r="E4050" s="3" t="inlineStr">
        <is>
          <t>-</t>
        </is>
      </c>
      <c r="F4050" s="3" t="inlineStr">
        <is>
          <t>보고자</t>
        </is>
      </c>
      <c r="G4050" s="3" t="inlineStr">
        <is>
          <t>-</t>
        </is>
      </c>
      <c r="H4050" s="6" t="inlineStr"/>
      <c r="I4050" s="6" t="inlineStr"/>
      <c r="J4050" s="6" t="inlineStr"/>
      <c r="K4050" s="18" t="inlineStr"/>
      <c r="L4050" s="2" t="inlineStr">
        <is>
          <t>20260612900405</t>
        </is>
      </c>
      <c r="M4050" s="8">
        <f>HYPERLINK("https://dart.fss.or.kr/dsaf001/main.do?rcpNo=20260612900405", "공시열람")</f>
        <v/>
      </c>
    </row>
    <row r="4051" ht="22" customHeight="1">
      <c r="A4051" s="2" t="inlineStr">
        <is>
          <t>2026-06-12</t>
        </is>
      </c>
      <c r="B4051" s="3" t="inlineStr">
        <is>
          <t>한독</t>
        </is>
      </c>
      <c r="C4051" s="2" t="inlineStr">
        <is>
          <t>002390</t>
        </is>
      </c>
      <c r="D4051" s="2" t="inlineStr">
        <is>
          <t>대량보유</t>
        </is>
      </c>
      <c r="E4051" s="3" t="inlineStr">
        <is>
          <t>김영진</t>
        </is>
      </c>
      <c r="F4051" s="3" t="inlineStr">
        <is>
          <t>보고자</t>
        </is>
      </c>
      <c r="G4051" s="3" t="inlineStr">
        <is>
          <t>특별관계자 보유주식 주식담보대출 계약 체결</t>
        </is>
      </c>
      <c r="H4051" s="6" t="inlineStr"/>
      <c r="I4051" s="6" t="inlineStr"/>
      <c r="J4051" s="6" t="n">
        <v>5801115</v>
      </c>
      <c r="K4051" s="16" t="n">
        <v>11</v>
      </c>
      <c r="L4051" s="2" t="inlineStr">
        <is>
          <t>20260612000264</t>
        </is>
      </c>
      <c r="M4051" s="8">
        <f>HYPERLINK("https://dart.fss.or.kr/dsaf001/main.do?rcpNo=20260612000264", "공시열람")</f>
        <v/>
      </c>
    </row>
    <row r="4052" ht="22" customHeight="1">
      <c r="A4052" s="2" t="inlineStr">
        <is>
          <t>2026-06-12</t>
        </is>
      </c>
      <c r="B4052" s="3" t="inlineStr">
        <is>
          <t>삼성스팩13호</t>
        </is>
      </c>
      <c r="C4052" s="2" t="inlineStr">
        <is>
          <t>0115H0</t>
        </is>
      </c>
      <c r="D4052" s="2" t="inlineStr">
        <is>
          <t>대량보유</t>
        </is>
      </c>
      <c r="E4052" s="3" t="inlineStr">
        <is>
          <t>더블유자산운용</t>
        </is>
      </c>
      <c r="F4052" s="3" t="inlineStr">
        <is>
          <t>특별관계자</t>
        </is>
      </c>
      <c r="G4052" s="3" t="inlineStr">
        <is>
          <t>신규등록(+), 장내매도(-), 장내매수(+)</t>
        </is>
      </c>
      <c r="H4052" s="15" t="n">
        <v>367639</v>
      </c>
      <c r="I4052" s="6" t="n">
        <v>2097</v>
      </c>
      <c r="J4052" s="6" t="n">
        <v>367639</v>
      </c>
      <c r="K4052" s="16" t="n">
        <v>5</v>
      </c>
      <c r="L4052" s="2" t="inlineStr">
        <is>
          <t>20260612000258</t>
        </is>
      </c>
      <c r="M4052" s="8">
        <f>HYPERLINK("https://dart.fss.or.kr/dsaf001/main.do?rcpNo=20260612000258", "공시열람")</f>
        <v/>
      </c>
    </row>
    <row r="4053" ht="22" customHeight="1">
      <c r="A4053" s="2" t="inlineStr">
        <is>
          <t>2026-06-12</t>
        </is>
      </c>
      <c r="B4053" s="3" t="inlineStr">
        <is>
          <t>에이비온</t>
        </is>
      </c>
      <c r="C4053" s="2" t="inlineStr">
        <is>
          <t>203400</t>
        </is>
      </c>
      <c r="D4053" s="2" t="inlineStr">
        <is>
          <t>대량보유</t>
        </is>
      </c>
      <c r="E4053" s="3" t="inlineStr">
        <is>
          <t>김영선</t>
        </is>
      </c>
      <c r="F4053" s="3" t="inlineStr">
        <is>
          <t>특별관계자</t>
        </is>
      </c>
      <c r="G4053" s="3" t="inlineStr">
        <is>
          <t>장내매도(-), 기타(-)</t>
        </is>
      </c>
      <c r="H4053" s="17" t="n">
        <v>-6023494</v>
      </c>
      <c r="I4053" s="6" t="n">
        <v>1225</v>
      </c>
      <c r="J4053" s="6" t="inlineStr"/>
      <c r="K4053" s="16" t="n">
        <v>1</v>
      </c>
      <c r="L4053" s="2" t="inlineStr">
        <is>
          <t>20260612000235</t>
        </is>
      </c>
      <c r="M4053" s="8">
        <f>HYPERLINK("https://dart.fss.or.kr/dsaf001/main.do?rcpNo=20260612000235", "공시열람")</f>
        <v/>
      </c>
    </row>
    <row r="4054" ht="22" customHeight="1">
      <c r="A4054" s="2" t="inlineStr">
        <is>
          <t>2026-06-12</t>
        </is>
      </c>
      <c r="B4054" s="3" t="inlineStr">
        <is>
          <t>삼성스팩12호</t>
        </is>
      </c>
      <c r="C4054" s="2" t="inlineStr">
        <is>
          <t>0096B0</t>
        </is>
      </c>
      <c r="D4054" s="2" t="inlineStr">
        <is>
          <t>대량보유</t>
        </is>
      </c>
      <c r="E4054" s="3" t="inlineStr">
        <is>
          <t>더블유자산운용</t>
        </is>
      </c>
      <c r="F4054" s="3" t="inlineStr">
        <is>
          <t>특별관계자</t>
        </is>
      </c>
      <c r="G4054" s="3" t="inlineStr">
        <is>
          <t>신규등록(+), 장내매도(-), 장내매수(+)</t>
        </is>
      </c>
      <c r="H4054" s="15" t="n">
        <v>336896</v>
      </c>
      <c r="I4054" s="6" t="n">
        <v>2058</v>
      </c>
      <c r="J4054" s="6" t="n">
        <v>336896</v>
      </c>
      <c r="K4054" s="16" t="n">
        <v>5.12</v>
      </c>
      <c r="L4054" s="2" t="inlineStr">
        <is>
          <t>20260612000232</t>
        </is>
      </c>
      <c r="M4054" s="8">
        <f>HYPERLINK("https://dart.fss.or.kr/dsaf001/main.do?rcpNo=20260612000232", "공시열람")</f>
        <v/>
      </c>
    </row>
    <row r="4055" ht="22" customHeight="1">
      <c r="A4055" s="2" t="inlineStr">
        <is>
          <t>2026-06-12</t>
        </is>
      </c>
      <c r="B4055" s="3" t="inlineStr">
        <is>
          <t>스튜디오미르</t>
        </is>
      </c>
      <c r="C4055" s="2" t="inlineStr">
        <is>
          <t>408900</t>
        </is>
      </c>
      <c r="D4055" s="2" t="inlineStr">
        <is>
          <t>대량보유</t>
        </is>
      </c>
      <c r="E4055" s="3" t="inlineStr">
        <is>
          <t>유재명</t>
        </is>
      </c>
      <c r="F4055" s="3" t="inlineStr">
        <is>
          <t>보고자</t>
        </is>
      </c>
      <c r="G4055" s="3" t="inlineStr">
        <is>
          <t>최대주주의 주식담보계약 전액 상환에 의한 질권 해지</t>
        </is>
      </c>
      <c r="H4055" s="6" t="inlineStr"/>
      <c r="I4055" s="6" t="inlineStr"/>
      <c r="J4055" s="6" t="n">
        <v>21484897</v>
      </c>
      <c r="K4055" s="16" t="n">
        <v>8</v>
      </c>
      <c r="L4055" s="2" t="inlineStr">
        <is>
          <t>20260612000230</t>
        </is>
      </c>
      <c r="M4055" s="8">
        <f>HYPERLINK("https://dart.fss.or.kr/dsaf001/main.do?rcpNo=20260612000230", "공시열람")</f>
        <v/>
      </c>
    </row>
    <row r="4056" ht="22" customHeight="1">
      <c r="A4056" s="2" t="inlineStr">
        <is>
          <t>2026-06-12</t>
        </is>
      </c>
      <c r="B4056" s="3" t="inlineStr">
        <is>
          <t>에이텍모빌리티</t>
        </is>
      </c>
      <c r="C4056" s="2" t="inlineStr">
        <is>
          <t>224110</t>
        </is>
      </c>
      <c r="D4056" s="2" t="inlineStr">
        <is>
          <t>대량보유</t>
        </is>
      </c>
      <c r="E4056" s="3" t="inlineStr">
        <is>
          <t>(주)에이텍씨앤</t>
        </is>
      </c>
      <c r="F4056" s="3" t="inlineStr">
        <is>
          <t>특별관계자</t>
        </is>
      </c>
      <c r="G4056" s="3" t="inlineStr">
        <is>
          <t>장내매수(+)</t>
        </is>
      </c>
      <c r="H4056" s="15" t="n">
        <v>90667</v>
      </c>
      <c r="I4056" s="6" t="n">
        <v>7781</v>
      </c>
      <c r="J4056" s="6" t="n">
        <v>173953</v>
      </c>
      <c r="K4056" s="16" t="n">
        <v>7</v>
      </c>
      <c r="L4056" s="2" t="inlineStr">
        <is>
          <t>20260612000204</t>
        </is>
      </c>
      <c r="M4056" s="8">
        <f>HYPERLINK("https://dart.fss.or.kr/dsaf001/main.do?rcpNo=20260612000204", "공시열람")</f>
        <v/>
      </c>
    </row>
    <row r="4057" ht="22" customHeight="1">
      <c r="A4057" s="2" t="inlineStr">
        <is>
          <t>2026-06-12</t>
        </is>
      </c>
      <c r="B4057" s="3" t="inlineStr">
        <is>
          <t>아이스크림미디어</t>
        </is>
      </c>
      <c r="C4057" s="2" t="inlineStr">
        <is>
          <t>461300</t>
        </is>
      </c>
      <c r="D4057" s="2" t="inlineStr">
        <is>
          <t>대량보유</t>
        </is>
      </c>
      <c r="E4057" s="3" t="inlineStr">
        <is>
          <t>(주)시공테크</t>
        </is>
      </c>
      <c r="F4057" s="3" t="inlineStr">
        <is>
          <t>보고자</t>
        </is>
      </c>
      <c r="G4057" s="3" t="inlineStr">
        <is>
          <t>특별관계인의 주식담보 계약 변경(만기연장)</t>
        </is>
      </c>
      <c r="H4057" s="6" t="inlineStr"/>
      <c r="I4057" s="6" t="inlineStr"/>
      <c r="J4057" s="6" t="n">
        <v>8182149</v>
      </c>
      <c r="K4057" s="16" t="n">
        <v>8</v>
      </c>
      <c r="L4057" s="2" t="inlineStr">
        <is>
          <t>20260612000203</t>
        </is>
      </c>
      <c r="M4057" s="8">
        <f>HYPERLINK("https://dart.fss.or.kr/dsaf001/main.do?rcpNo=20260612000203", "공시열람")</f>
        <v/>
      </c>
    </row>
    <row r="4058" ht="22" customHeight="1">
      <c r="A4058" s="2" t="inlineStr">
        <is>
          <t>2026-06-12</t>
        </is>
      </c>
      <c r="B4058" s="3" t="inlineStr">
        <is>
          <t>티비에이치글로벌</t>
        </is>
      </c>
      <c r="C4058" s="2" t="inlineStr">
        <is>
          <t>084870</t>
        </is>
      </c>
      <c r="D4058" s="2" t="inlineStr">
        <is>
          <t>임원보고</t>
        </is>
      </c>
      <c r="E4058" s="3" t="inlineStr">
        <is>
          <t>-</t>
        </is>
      </c>
      <c r="F4058" s="3" t="inlineStr">
        <is>
          <t>-</t>
        </is>
      </c>
      <c r="G4058" s="3" t="inlineStr">
        <is>
          <t>-</t>
        </is>
      </c>
      <c r="H4058" s="6" t="inlineStr"/>
      <c r="I4058" s="6" t="inlineStr"/>
      <c r="J4058" s="6" t="inlineStr"/>
      <c r="K4058" s="16" t="n">
        <v>12</v>
      </c>
      <c r="L4058" s="2" t="inlineStr">
        <is>
          <t>20260612800417</t>
        </is>
      </c>
      <c r="M4058" s="8">
        <f>HYPERLINK("https://dart.fss.or.kr/dsaf001/main.do?rcpNo=20260612800417", "공시열람")</f>
        <v/>
      </c>
    </row>
    <row r="4059" ht="22" customHeight="1">
      <c r="A4059" s="2" t="inlineStr">
        <is>
          <t>2026-06-12</t>
        </is>
      </c>
      <c r="B4059" s="3" t="inlineStr">
        <is>
          <t>아이디피</t>
        </is>
      </c>
      <c r="C4059" s="2" t="inlineStr">
        <is>
          <t>332370</t>
        </is>
      </c>
      <c r="D4059" s="2" t="inlineStr">
        <is>
          <t>대량보유</t>
        </is>
      </c>
      <c r="E4059" s="3" t="inlineStr">
        <is>
          <t>(주)빅솔론</t>
        </is>
      </c>
      <c r="F4059" s="3" t="inlineStr">
        <is>
          <t>특별관계자</t>
        </is>
      </c>
      <c r="G4059" s="3" t="inlineStr">
        <is>
          <t>장내매수(+)</t>
        </is>
      </c>
      <c r="H4059" s="15" t="n">
        <v>243213</v>
      </c>
      <c r="I4059" s="6" t="n">
        <v>5142</v>
      </c>
      <c r="J4059" s="6" t="n">
        <v>890441</v>
      </c>
      <c r="K4059" s="16" t="n">
        <v>5</v>
      </c>
      <c r="L4059" s="2" t="inlineStr">
        <is>
          <t>20260612000117</t>
        </is>
      </c>
      <c r="M4059" s="8">
        <f>HYPERLINK("https://dart.fss.or.kr/dsaf001/main.do?rcpNo=20260612000117", "공시열람")</f>
        <v/>
      </c>
    </row>
    <row r="4060" ht="22" customHeight="1">
      <c r="A4060" s="2" t="inlineStr">
        <is>
          <t>2026-06-12</t>
        </is>
      </c>
      <c r="B4060" s="3" t="inlineStr">
        <is>
          <t>세우글로벌</t>
        </is>
      </c>
      <c r="C4060" s="2" t="inlineStr">
        <is>
          <t>013000</t>
        </is>
      </c>
      <c r="D4060" s="2" t="inlineStr">
        <is>
          <t>대량보유</t>
        </is>
      </c>
      <c r="E4060" s="3" t="inlineStr">
        <is>
          <t>(주)에이스나노켐</t>
        </is>
      </c>
      <c r="F4060" s="3" t="inlineStr">
        <is>
          <t>특별관계자</t>
        </is>
      </c>
      <c r="G4060" s="3" t="inlineStr">
        <is>
          <t>장내매수(+)</t>
        </is>
      </c>
      <c r="H4060" s="15" t="n">
        <v>517000</v>
      </c>
      <c r="I4060" s="6" t="n">
        <v>1166</v>
      </c>
      <c r="J4060" s="6" t="n">
        <v>2410000</v>
      </c>
      <c r="K4060" s="16" t="n">
        <v>8.390000000000001</v>
      </c>
      <c r="L4060" s="2" t="inlineStr">
        <is>
          <t>20260612000080</t>
        </is>
      </c>
      <c r="M4060" s="8">
        <f>HYPERLINK("https://dart.fss.or.kr/dsaf001/main.do?rcpNo=20260612000080", "공시열람")</f>
        <v/>
      </c>
    </row>
    <row r="4061" ht="22" customHeight="1">
      <c r="A4061" s="2" t="inlineStr">
        <is>
          <t>2026-06-12</t>
        </is>
      </c>
      <c r="B4061" s="3" t="inlineStr">
        <is>
          <t>에코아이</t>
        </is>
      </c>
      <c r="C4061" s="2" t="inlineStr">
        <is>
          <t>448280</t>
        </is>
      </c>
      <c r="D4061" s="2" t="inlineStr">
        <is>
          <t>대량보유</t>
        </is>
      </c>
      <c r="E4061" s="3" t="inlineStr">
        <is>
          <t>전종수</t>
        </is>
      </c>
      <c r="F4061" s="3" t="inlineStr">
        <is>
          <t>특별관계자</t>
        </is>
      </c>
      <c r="G4061" s="3" t="inlineStr">
        <is>
          <t>장내매수(+)</t>
        </is>
      </c>
      <c r="H4061" s="15" t="n">
        <v>11910</v>
      </c>
      <c r="I4061" s="6" t="n">
        <v>10719</v>
      </c>
      <c r="J4061" s="6" t="n">
        <v>6072334</v>
      </c>
      <c r="K4061" s="16" t="n">
        <v>15</v>
      </c>
      <c r="L4061" s="2" t="inlineStr">
        <is>
          <t>20260612000045</t>
        </is>
      </c>
      <c r="M4061" s="8">
        <f>HYPERLINK("https://dart.fss.or.kr/dsaf001/main.do?rcpNo=20260612000045", "공시열람")</f>
        <v/>
      </c>
    </row>
    <row r="4062" ht="22" customHeight="1">
      <c r="A4062" s="2" t="inlineStr">
        <is>
          <t>2026-06-12</t>
        </is>
      </c>
      <c r="B4062" s="3" t="inlineStr">
        <is>
          <t>에코아이</t>
        </is>
      </c>
      <c r="C4062" s="2" t="inlineStr">
        <is>
          <t>448280</t>
        </is>
      </c>
      <c r="D4062" s="2" t="inlineStr">
        <is>
          <t>대량보유</t>
        </is>
      </c>
      <c r="E4062" s="3" t="inlineStr">
        <is>
          <t>전유찬</t>
        </is>
      </c>
      <c r="F4062" s="3" t="inlineStr">
        <is>
          <t>특별관계자</t>
        </is>
      </c>
      <c r="G4062" s="3" t="inlineStr">
        <is>
          <t>장내매수(+)</t>
        </is>
      </c>
      <c r="H4062" s="15" t="n">
        <v>8110</v>
      </c>
      <c r="I4062" s="6" t="n">
        <v>10379</v>
      </c>
      <c r="J4062" s="6" t="n">
        <v>1986684</v>
      </c>
      <c r="K4062" s="16" t="n">
        <v>15</v>
      </c>
      <c r="L4062" s="2" t="inlineStr">
        <is>
          <t>20260612000045</t>
        </is>
      </c>
      <c r="M4062" s="8">
        <f>HYPERLINK("https://dart.fss.or.kr/dsaf001/main.do?rcpNo=20260612000045", "공시열람")</f>
        <v/>
      </c>
    </row>
    <row r="4063" ht="22" customHeight="1">
      <c r="A4063" s="2" t="inlineStr">
        <is>
          <t>2026-06-12</t>
        </is>
      </c>
      <c r="B4063" s="3" t="inlineStr">
        <is>
          <t>에코아이</t>
        </is>
      </c>
      <c r="C4063" s="2" t="inlineStr">
        <is>
          <t>448280</t>
        </is>
      </c>
      <c r="D4063" s="2" t="inlineStr">
        <is>
          <t>대량보유</t>
        </is>
      </c>
      <c r="E4063" s="3" t="inlineStr">
        <is>
          <t>전윤서</t>
        </is>
      </c>
      <c r="F4063" s="3" t="inlineStr">
        <is>
          <t>특별관계자</t>
        </is>
      </c>
      <c r="G4063" s="3" t="inlineStr">
        <is>
          <t>장내매수(+)</t>
        </is>
      </c>
      <c r="H4063" s="15" t="n">
        <v>8372</v>
      </c>
      <c r="I4063" s="6" t="n">
        <v>10052</v>
      </c>
      <c r="J4063" s="6" t="n">
        <v>1985566</v>
      </c>
      <c r="K4063" s="16" t="n">
        <v>15</v>
      </c>
      <c r="L4063" s="2" t="inlineStr">
        <is>
          <t>20260612000045</t>
        </is>
      </c>
      <c r="M4063" s="8">
        <f>HYPERLINK("https://dart.fss.or.kr/dsaf001/main.do?rcpNo=20260612000045", "공시열람")</f>
        <v/>
      </c>
    </row>
    <row r="4064" ht="22" customHeight="1">
      <c r="A4064" s="2" t="inlineStr">
        <is>
          <t>2026-06-12</t>
        </is>
      </c>
      <c r="B4064" s="3" t="inlineStr">
        <is>
          <t>에코아이</t>
        </is>
      </c>
      <c r="C4064" s="2" t="inlineStr">
        <is>
          <t>448280</t>
        </is>
      </c>
      <c r="D4064" s="2" t="inlineStr">
        <is>
          <t>대량보유</t>
        </is>
      </c>
      <c r="E4064" s="3" t="inlineStr">
        <is>
          <t>박선영</t>
        </is>
      </c>
      <c r="F4064" s="3" t="inlineStr">
        <is>
          <t>특별관계자</t>
        </is>
      </c>
      <c r="G4064" s="3" t="inlineStr">
        <is>
          <t>장내매수(+)</t>
        </is>
      </c>
      <c r="H4064" s="15" t="n">
        <v>3</v>
      </c>
      <c r="I4064" s="6" t="n">
        <v>11510</v>
      </c>
      <c r="J4064" s="6" t="n">
        <v>30947</v>
      </c>
      <c r="K4064" s="16" t="n">
        <v>15</v>
      </c>
      <c r="L4064" s="2" t="inlineStr">
        <is>
          <t>20260612000045</t>
        </is>
      </c>
      <c r="M4064" s="8">
        <f>HYPERLINK("https://dart.fss.or.kr/dsaf001/main.do?rcpNo=20260612000045", "공시열람")</f>
        <v/>
      </c>
    </row>
    <row r="4065" ht="22" customHeight="1">
      <c r="A4065" s="2" t="inlineStr">
        <is>
          <t>2026-06-12</t>
        </is>
      </c>
      <c r="B4065" s="3" t="inlineStr">
        <is>
          <t>아진전자부품</t>
        </is>
      </c>
      <c r="C4065" s="2" t="inlineStr">
        <is>
          <t>009320</t>
        </is>
      </c>
      <c r="D4065" s="2" t="inlineStr">
        <is>
          <t>임원보고</t>
        </is>
      </c>
      <c r="E4065" s="3" t="inlineStr">
        <is>
          <t>-</t>
        </is>
      </c>
      <c r="F4065" s="3" t="inlineStr">
        <is>
          <t>-</t>
        </is>
      </c>
      <c r="G4065" s="3" t="inlineStr">
        <is>
          <t>-</t>
        </is>
      </c>
      <c r="H4065" s="6" t="inlineStr"/>
      <c r="I4065" s="6" t="inlineStr"/>
      <c r="J4065" s="6" t="inlineStr"/>
      <c r="K4065" s="16" t="n">
        <v>12</v>
      </c>
      <c r="L4065" s="2" t="inlineStr">
        <is>
          <t>20260612800196</t>
        </is>
      </c>
      <c r="M4065" s="8">
        <f>HYPERLINK("https://dart.fss.or.kr/dsaf001/main.do?rcpNo=20260612800196", "공시열람")</f>
        <v/>
      </c>
    </row>
    <row r="4066" ht="22" customHeight="1">
      <c r="A4066" s="2" t="inlineStr">
        <is>
          <t>2026-06-12</t>
        </is>
      </c>
      <c r="B4066" s="3" t="inlineStr">
        <is>
          <t>다이나믹솔루션</t>
        </is>
      </c>
      <c r="C4066" s="2" t="inlineStr">
        <is>
          <t>290660</t>
        </is>
      </c>
      <c r="D4066" s="2" t="inlineStr">
        <is>
          <t>대량보유</t>
        </is>
      </c>
      <c r="E4066" s="3" t="inlineStr">
        <is>
          <t>(주)여미미디어</t>
        </is>
      </c>
      <c r="F4066" s="3" t="inlineStr">
        <is>
          <t>특별관계자</t>
        </is>
      </c>
      <c r="G4066" s="3" t="inlineStr">
        <is>
          <t>주식병합</t>
        </is>
      </c>
      <c r="H4066" s="17" t="n">
        <v>-7919014</v>
      </c>
      <c r="I4066" s="6" t="inlineStr"/>
      <c r="J4066" s="6" t="n">
        <v>7919014</v>
      </c>
      <c r="K4066" s="16" t="n">
        <v>4</v>
      </c>
      <c r="L4066" s="2" t="inlineStr">
        <is>
          <t>20260612000037</t>
        </is>
      </c>
      <c r="M4066" s="8">
        <f>HYPERLINK("https://dart.fss.or.kr/dsaf001/main.do?rcpNo=20260612000037", "공시열람")</f>
        <v/>
      </c>
    </row>
    <row r="4067" ht="22" customHeight="1">
      <c r="A4067" s="2" t="inlineStr">
        <is>
          <t>2026-06-12</t>
        </is>
      </c>
      <c r="B4067" s="3" t="inlineStr">
        <is>
          <t>다이나믹솔루션</t>
        </is>
      </c>
      <c r="C4067" s="2" t="inlineStr">
        <is>
          <t>290660</t>
        </is>
      </c>
      <c r="D4067" s="2" t="inlineStr">
        <is>
          <t>대량보유</t>
        </is>
      </c>
      <c r="E4067" s="3" t="inlineStr">
        <is>
          <t>백명훈</t>
        </is>
      </c>
      <c r="F4067" s="3" t="inlineStr">
        <is>
          <t>특별관계자</t>
        </is>
      </c>
      <c r="G4067" s="3" t="inlineStr">
        <is>
          <t>신규보고(+), 주식매수선택권부여(+)</t>
        </is>
      </c>
      <c r="H4067" s="15" t="n">
        <v>632475</v>
      </c>
      <c r="I4067" s="6" t="inlineStr"/>
      <c r="J4067" s="6" t="n">
        <v>500000</v>
      </c>
      <c r="K4067" s="16" t="n">
        <v>4</v>
      </c>
      <c r="L4067" s="2" t="inlineStr">
        <is>
          <t>20260612000037</t>
        </is>
      </c>
      <c r="M4067" s="8">
        <f>HYPERLINK("https://dart.fss.or.kr/dsaf001/main.do?rcpNo=20260612000037", "공시열람")</f>
        <v/>
      </c>
    </row>
    <row r="4068" ht="22" customHeight="1">
      <c r="A4068" s="2" t="inlineStr">
        <is>
          <t>2026-06-12</t>
        </is>
      </c>
      <c r="B4068" s="3" t="inlineStr">
        <is>
          <t>다이나믹솔루션</t>
        </is>
      </c>
      <c r="C4068" s="2" t="inlineStr">
        <is>
          <t>290660</t>
        </is>
      </c>
      <c r="D4068" s="2" t="inlineStr">
        <is>
          <t>대량보유</t>
        </is>
      </c>
      <c r="E4068" s="3" t="inlineStr">
        <is>
          <t>유철호</t>
        </is>
      </c>
      <c r="F4068" s="3" t="inlineStr">
        <is>
          <t>특별관계자</t>
        </is>
      </c>
      <c r="G4068" s="3" t="inlineStr">
        <is>
          <t>주식매수선택권부여(+)</t>
        </is>
      </c>
      <c r="H4068" s="15" t="n">
        <v>500000</v>
      </c>
      <c r="I4068" s="6" t="inlineStr"/>
      <c r="J4068" s="6" t="n">
        <v>500000</v>
      </c>
      <c r="K4068" s="16" t="n">
        <v>4</v>
      </c>
      <c r="L4068" s="2" t="inlineStr">
        <is>
          <t>20260612000037</t>
        </is>
      </c>
      <c r="M4068" s="8">
        <f>HYPERLINK("https://dart.fss.or.kr/dsaf001/main.do?rcpNo=20260612000037", "공시열람")</f>
        <v/>
      </c>
    </row>
    <row r="4069" ht="22" customHeight="1">
      <c r="A4069" s="2" t="inlineStr">
        <is>
          <t>2026-06-12</t>
        </is>
      </c>
      <c r="B4069" s="3" t="inlineStr">
        <is>
          <t>다이나믹솔루션</t>
        </is>
      </c>
      <c r="C4069" s="2" t="inlineStr">
        <is>
          <t>290660</t>
        </is>
      </c>
      <c r="D4069" s="2" t="inlineStr">
        <is>
          <t>대량보유</t>
        </is>
      </c>
      <c r="E4069" s="3" t="inlineStr">
        <is>
          <t>이세라</t>
        </is>
      </c>
      <c r="F4069" s="3" t="inlineStr">
        <is>
          <t>특별관계자</t>
        </is>
      </c>
      <c r="G4069" s="3" t="inlineStr">
        <is>
          <t>신규보고(+), 주식매수선택권부여(+)</t>
        </is>
      </c>
      <c r="H4069" s="15" t="n">
        <v>187000</v>
      </c>
      <c r="I4069" s="6" t="inlineStr"/>
      <c r="J4069" s="6" t="n">
        <v>150000</v>
      </c>
      <c r="K4069" s="16" t="n">
        <v>4</v>
      </c>
      <c r="L4069" s="2" t="inlineStr">
        <is>
          <t>20260612000037</t>
        </is>
      </c>
      <c r="M4069" s="8">
        <f>HYPERLINK("https://dart.fss.or.kr/dsaf001/main.do?rcpNo=20260612000037", "공시열람")</f>
        <v/>
      </c>
    </row>
    <row r="4070" ht="22" customHeight="1">
      <c r="A4070" s="2" t="inlineStr">
        <is>
          <t>2026-06-12</t>
        </is>
      </c>
      <c r="B4070" s="3" t="inlineStr">
        <is>
          <t>다이나믹솔루션</t>
        </is>
      </c>
      <c r="C4070" s="2" t="inlineStr">
        <is>
          <t>290660</t>
        </is>
      </c>
      <c r="D4070" s="2" t="inlineStr">
        <is>
          <t>대량보유</t>
        </is>
      </c>
      <c r="E4070" s="3" t="inlineStr">
        <is>
          <t>성수연</t>
        </is>
      </c>
      <c r="F4070" s="3" t="inlineStr">
        <is>
          <t>특별관계자</t>
        </is>
      </c>
      <c r="G4070" s="3" t="inlineStr">
        <is>
          <t>신규보고(+), 주식매수선택권부여(+)</t>
        </is>
      </c>
      <c r="H4070" s="15" t="n">
        <v>285000</v>
      </c>
      <c r="I4070" s="6" t="inlineStr"/>
      <c r="J4070" s="6" t="n">
        <v>250000</v>
      </c>
      <c r="K4070" s="16" t="n">
        <v>4</v>
      </c>
      <c r="L4070" s="2" t="inlineStr">
        <is>
          <t>20260612000037</t>
        </is>
      </c>
      <c r="M4070" s="8">
        <f>HYPERLINK("https://dart.fss.or.kr/dsaf001/main.do?rcpNo=20260612000037", "공시열람")</f>
        <v/>
      </c>
    </row>
    <row r="4071" ht="22" customHeight="1">
      <c r="A4071" s="2" t="inlineStr">
        <is>
          <t>2026-06-12</t>
        </is>
      </c>
      <c r="B4071" s="3" t="inlineStr">
        <is>
          <t>문배철강</t>
        </is>
      </c>
      <c r="C4071" s="2" t="inlineStr">
        <is>
          <t>008420</t>
        </is>
      </c>
      <c r="D4071" s="2" t="inlineStr">
        <is>
          <t>임원보고</t>
        </is>
      </c>
      <c r="E4071" s="3" t="inlineStr">
        <is>
          <t>-</t>
        </is>
      </c>
      <c r="F4071" s="3" t="inlineStr">
        <is>
          <t>-</t>
        </is>
      </c>
      <c r="G4071" s="3" t="inlineStr">
        <is>
          <t>-</t>
        </is>
      </c>
      <c r="H4071" s="6" t="inlineStr"/>
      <c r="I4071" s="6" t="inlineStr"/>
      <c r="J4071" s="6" t="inlineStr"/>
      <c r="K4071" s="16" t="n">
        <v>12</v>
      </c>
      <c r="L4071" s="2" t="inlineStr">
        <is>
          <t>20260612800161</t>
        </is>
      </c>
      <c r="M4071" s="8">
        <f>HYPERLINK("https://dart.fss.or.kr/dsaf001/main.do?rcpNo=20260612800161", "공시열람")</f>
        <v/>
      </c>
    </row>
    <row r="4072" ht="22" customHeight="1">
      <c r="A4072" s="2" t="inlineStr">
        <is>
          <t>2026-06-15</t>
        </is>
      </c>
      <c r="B4072" s="3" t="inlineStr">
        <is>
          <t>뉴인텍</t>
        </is>
      </c>
      <c r="C4072" s="2" t="inlineStr">
        <is>
          <t>012340</t>
        </is>
      </c>
      <c r="D4072" s="2" t="inlineStr">
        <is>
          <t>대량보유</t>
        </is>
      </c>
      <c r="E4072" s="3" t="inlineStr">
        <is>
          <t>장기수</t>
        </is>
      </c>
      <c r="F4072" s="3" t="inlineStr">
        <is>
          <t>특별관계자</t>
        </is>
      </c>
      <c r="G4072" s="3" t="inlineStr">
        <is>
          <t>기타(-), 유상신주취득(+), 제3자배정유상증자(+), 자본감소, 기타(+), 장내매수(+)</t>
        </is>
      </c>
      <c r="H4072" s="17" t="n">
        <v>-3826696</v>
      </c>
      <c r="I4072" s="6" t="n">
        <v>872</v>
      </c>
      <c r="J4072" s="6" t="n">
        <v>1623451</v>
      </c>
      <c r="K4072" s="16" t="n">
        <v>3</v>
      </c>
      <c r="L4072" s="2" t="inlineStr">
        <is>
          <t>20260615000446</t>
        </is>
      </c>
      <c r="M4072" s="8">
        <f>HYPERLINK("https://dart.fss.or.kr/dsaf001/main.do?rcpNo=20260615000446", "공시열람")</f>
        <v/>
      </c>
    </row>
    <row r="4073" ht="22" customHeight="1">
      <c r="A4073" s="2" t="inlineStr">
        <is>
          <t>2026-06-15</t>
        </is>
      </c>
      <c r="B4073" s="3" t="inlineStr">
        <is>
          <t>뉴인텍</t>
        </is>
      </c>
      <c r="C4073" s="2" t="inlineStr">
        <is>
          <t>012340</t>
        </is>
      </c>
      <c r="D4073" s="2" t="inlineStr">
        <is>
          <t>대량보유</t>
        </is>
      </c>
      <c r="E4073" s="3" t="inlineStr">
        <is>
          <t>이복례</t>
        </is>
      </c>
      <c r="F4073" s="3" t="inlineStr">
        <is>
          <t>특별관계자</t>
        </is>
      </c>
      <c r="G4073" s="3" t="inlineStr">
        <is>
          <t>자본감소, 기타(+)</t>
        </is>
      </c>
      <c r="H4073" s="17" t="n">
        <v>-516025</v>
      </c>
      <c r="I4073" s="6" t="inlineStr"/>
      <c r="J4073" s="6" t="n">
        <v>25332</v>
      </c>
      <c r="K4073" s="16" t="n">
        <v>3</v>
      </c>
      <c r="L4073" s="2" t="inlineStr">
        <is>
          <t>20260615000446</t>
        </is>
      </c>
      <c r="M4073" s="8">
        <f>HYPERLINK("https://dart.fss.or.kr/dsaf001/main.do?rcpNo=20260615000446", "공시열람")</f>
        <v/>
      </c>
    </row>
    <row r="4074" ht="22" customHeight="1">
      <c r="A4074" s="2" t="inlineStr">
        <is>
          <t>2026-06-15</t>
        </is>
      </c>
      <c r="B4074" s="3" t="inlineStr">
        <is>
          <t>뉴인텍</t>
        </is>
      </c>
      <c r="C4074" s="2" t="inlineStr">
        <is>
          <t>012340</t>
        </is>
      </c>
      <c r="D4074" s="2" t="inlineStr">
        <is>
          <t>대량보유</t>
        </is>
      </c>
      <c r="E4074" s="3" t="inlineStr">
        <is>
          <t>김은영</t>
        </is>
      </c>
      <c r="F4074" s="3" t="inlineStr">
        <is>
          <t>특별관계자</t>
        </is>
      </c>
      <c r="G4074" s="3" t="inlineStr">
        <is>
          <t>자본감소, 기타(+)</t>
        </is>
      </c>
      <c r="H4074" s="17" t="n">
        <v>-355865</v>
      </c>
      <c r="I4074" s="6" t="inlineStr"/>
      <c r="J4074" s="6" t="n">
        <v>17469</v>
      </c>
      <c r="K4074" s="16" t="n">
        <v>3</v>
      </c>
      <c r="L4074" s="2" t="inlineStr">
        <is>
          <t>20260615000446</t>
        </is>
      </c>
      <c r="M4074" s="8">
        <f>HYPERLINK("https://dart.fss.or.kr/dsaf001/main.do?rcpNo=20260615000446", "공시열람")</f>
        <v/>
      </c>
    </row>
    <row r="4075" ht="22" customHeight="1">
      <c r="A4075" s="2" t="inlineStr">
        <is>
          <t>2026-06-15</t>
        </is>
      </c>
      <c r="B4075" s="3" t="inlineStr">
        <is>
          <t>뉴인텍</t>
        </is>
      </c>
      <c r="C4075" s="2" t="inlineStr">
        <is>
          <t>012340</t>
        </is>
      </c>
      <c r="D4075" s="2" t="inlineStr">
        <is>
          <t>대량보유</t>
        </is>
      </c>
      <c r="E4075" s="3" t="inlineStr">
        <is>
          <t>장선미</t>
        </is>
      </c>
      <c r="F4075" s="3" t="inlineStr">
        <is>
          <t>특별관계자</t>
        </is>
      </c>
      <c r="G4075" s="3" t="inlineStr">
        <is>
          <t>자본감소, 기타(+)</t>
        </is>
      </c>
      <c r="H4075" s="17" t="n">
        <v>-42611</v>
      </c>
      <c r="I4075" s="6" t="inlineStr"/>
      <c r="J4075" s="6" t="n">
        <v>2091</v>
      </c>
      <c r="K4075" s="16" t="n">
        <v>3</v>
      </c>
      <c r="L4075" s="2" t="inlineStr">
        <is>
          <t>20260615000446</t>
        </is>
      </c>
      <c r="M4075" s="8">
        <f>HYPERLINK("https://dart.fss.or.kr/dsaf001/main.do?rcpNo=20260615000446", "공시열람")</f>
        <v/>
      </c>
    </row>
    <row r="4076" ht="22" customHeight="1">
      <c r="A4076" s="2" t="inlineStr">
        <is>
          <t>2026-06-15 (정정: 2026-06-15)</t>
        </is>
      </c>
      <c r="B4076" s="3" t="inlineStr">
        <is>
          <t>경인전자</t>
        </is>
      </c>
      <c r="C4076" s="2" t="inlineStr">
        <is>
          <t>009140</t>
        </is>
      </c>
      <c r="D4076" s="2" t="inlineStr">
        <is>
          <t>임원보고</t>
        </is>
      </c>
      <c r="E4076" s="3" t="inlineStr">
        <is>
          <t>-</t>
        </is>
      </c>
      <c r="F4076" s="3" t="inlineStr">
        <is>
          <t>-</t>
        </is>
      </c>
      <c r="G4076" s="3" t="inlineStr">
        <is>
          <t>-</t>
        </is>
      </c>
      <c r="H4076" s="6" t="inlineStr"/>
      <c r="I4076" s="6" t="inlineStr"/>
      <c r="J4076" s="6" t="inlineStr"/>
      <c r="K4076" s="16" t="n">
        <v>50.08</v>
      </c>
      <c r="L4076" s="2" t="inlineStr">
        <is>
          <t>20260615000201</t>
        </is>
      </c>
      <c r="M4076" s="8">
        <f>HYPERLINK("https://dart.fss.or.kr/dsaf001/main.do?rcpNo=20260615000201", "공시열람")</f>
        <v/>
      </c>
    </row>
    <row r="4077" ht="22" customHeight="1">
      <c r="A4077" s="2" t="inlineStr">
        <is>
          <t>2026-06-15</t>
        </is>
      </c>
      <c r="B4077" s="3" t="inlineStr">
        <is>
          <t>푸드나무</t>
        </is>
      </c>
      <c r="C4077" s="2" t="inlineStr">
        <is>
          <t>290720</t>
        </is>
      </c>
      <c r="D4077" s="2" t="inlineStr">
        <is>
          <t>대량보유</t>
        </is>
      </c>
      <c r="E4077" s="3" t="inlineStr">
        <is>
          <t>김유선</t>
        </is>
      </c>
      <c r="F4077" s="3" t="inlineStr">
        <is>
          <t>특별관계자</t>
        </is>
      </c>
      <c r="G4077" s="3" t="inlineStr">
        <is>
          <t>기타(-)</t>
        </is>
      </c>
      <c r="H4077" s="17" t="n">
        <v>-3165760</v>
      </c>
      <c r="I4077" s="6" t="n">
        <v>0</v>
      </c>
      <c r="J4077" s="6" t="inlineStr"/>
      <c r="K4077" s="18" t="inlineStr"/>
      <c r="L4077" s="2" t="inlineStr">
        <is>
          <t>20260615000442</t>
        </is>
      </c>
      <c r="M4077" s="8">
        <f>HYPERLINK("https://dart.fss.or.kr/dsaf001/main.do?rcpNo=20260615000442", "공시열람")</f>
        <v/>
      </c>
    </row>
    <row r="4078" ht="22" customHeight="1">
      <c r="A4078" s="2" t="inlineStr">
        <is>
          <t>2026-06-15</t>
        </is>
      </c>
      <c r="B4078" s="3" t="inlineStr">
        <is>
          <t>메디앙스</t>
        </is>
      </c>
      <c r="C4078" s="2" t="inlineStr">
        <is>
          <t>014100</t>
        </is>
      </c>
      <c r="D4078" s="2" t="inlineStr">
        <is>
          <t>대량보유</t>
        </is>
      </c>
      <c r="E4078" s="3" t="inlineStr">
        <is>
          <t>유피스판매주식회사</t>
        </is>
      </c>
      <c r="F4078" s="3" t="inlineStr">
        <is>
          <t>특별관계자</t>
        </is>
      </c>
      <c r="G4078" s="3" t="inlineStr">
        <is>
          <t>장내매수(+), 장내매도(-)</t>
        </is>
      </c>
      <c r="H4078" s="15" t="n">
        <v>37996</v>
      </c>
      <c r="I4078" s="6" t="n">
        <v>1480</v>
      </c>
      <c r="J4078" s="6" t="n">
        <v>37996</v>
      </c>
      <c r="K4078" s="16" t="n">
        <v>3</v>
      </c>
      <c r="L4078" s="2" t="inlineStr">
        <is>
          <t>20260615000437</t>
        </is>
      </c>
      <c r="M4078" s="8">
        <f>HYPERLINK("https://dart.fss.or.kr/dsaf001/main.do?rcpNo=20260615000437", "공시열람")</f>
        <v/>
      </c>
    </row>
    <row r="4079" ht="22" customHeight="1">
      <c r="A4079" s="2" t="inlineStr">
        <is>
          <t>2026-06-15</t>
        </is>
      </c>
      <c r="B4079" s="3" t="inlineStr">
        <is>
          <t>에코마케팅</t>
        </is>
      </c>
      <c r="C4079" s="2" t="inlineStr">
        <is>
          <t>230360</t>
        </is>
      </c>
      <c r="D4079" s="2" t="inlineStr">
        <is>
          <t>대량보유</t>
        </is>
      </c>
      <c r="E4079" s="3" t="inlineStr">
        <is>
          <t>비씨피이이에이비드코원주식회사</t>
        </is>
      </c>
      <c r="F4079" s="3" t="inlineStr">
        <is>
          <t>특별관계자</t>
        </is>
      </c>
      <c r="G4079" s="3" t="inlineStr">
        <is>
          <t>교환(+)</t>
        </is>
      </c>
      <c r="H4079" s="15" t="n">
        <v>3527196</v>
      </c>
      <c r="I4079" s="6" t="n">
        <v>16000</v>
      </c>
      <c r="J4079" s="6" t="n">
        <v>30998758</v>
      </c>
      <c r="K4079" s="16" t="n">
        <v>2</v>
      </c>
      <c r="L4079" s="2" t="inlineStr">
        <is>
          <t>20260615000435</t>
        </is>
      </c>
      <c r="M4079" s="8">
        <f>HYPERLINK("https://dart.fss.or.kr/dsaf001/main.do?rcpNo=20260615000435", "공시열람")</f>
        <v/>
      </c>
    </row>
    <row r="4080" ht="22" customHeight="1">
      <c r="A4080" s="2" t="inlineStr">
        <is>
          <t>2026-06-15</t>
        </is>
      </c>
      <c r="B4080" s="3" t="inlineStr">
        <is>
          <t>에코마케팅</t>
        </is>
      </c>
      <c r="C4080" s="2" t="inlineStr">
        <is>
          <t>230360</t>
        </is>
      </c>
      <c r="D4080" s="2" t="inlineStr">
        <is>
          <t>대량보유</t>
        </is>
      </c>
      <c r="E4080" s="3" t="inlineStr">
        <is>
          <t>(주)에코마케팅우리사주조합</t>
        </is>
      </c>
      <c r="F4080" s="3" t="inlineStr">
        <is>
          <t>특별관계자</t>
        </is>
      </c>
      <c r="G4080" s="3" t="inlineStr">
        <is>
          <t>교환(-)</t>
        </is>
      </c>
      <c r="H4080" s="17" t="n">
        <v>-1212328</v>
      </c>
      <c r="I4080" s="6" t="n">
        <v>16000</v>
      </c>
      <c r="J4080" s="6" t="inlineStr"/>
      <c r="K4080" s="16" t="n">
        <v>2</v>
      </c>
      <c r="L4080" s="2" t="inlineStr">
        <is>
          <t>20260615000435</t>
        </is>
      </c>
      <c r="M4080" s="8">
        <f>HYPERLINK("https://dart.fss.or.kr/dsaf001/main.do?rcpNo=20260615000435", "공시열람")</f>
        <v/>
      </c>
    </row>
    <row r="4081" ht="22" customHeight="1">
      <c r="A4081" s="2" t="inlineStr">
        <is>
          <t>2026-06-15</t>
        </is>
      </c>
      <c r="B4081" s="3" t="inlineStr">
        <is>
          <t>에코마케팅</t>
        </is>
      </c>
      <c r="C4081" s="2" t="inlineStr">
        <is>
          <t>230360</t>
        </is>
      </c>
      <c r="D4081" s="2" t="inlineStr">
        <is>
          <t>대량보유</t>
        </is>
      </c>
      <c r="E4081" s="3" t="inlineStr">
        <is>
          <t>BCPEEAInvestments,L.P.</t>
        </is>
      </c>
      <c r="F4081" s="3" t="inlineStr">
        <is>
          <t>특별관계자</t>
        </is>
      </c>
      <c r="G4081" s="3" t="inlineStr">
        <is>
          <t>장내매수(+), 교환(-)</t>
        </is>
      </c>
      <c r="H4081" s="17" t="n">
        <v>-1085934</v>
      </c>
      <c r="I4081" s="6" t="n">
        <v>16000</v>
      </c>
      <c r="J4081" s="6" t="inlineStr"/>
      <c r="K4081" s="16" t="n">
        <v>2</v>
      </c>
      <c r="L4081" s="2" t="inlineStr">
        <is>
          <t>20260615000435</t>
        </is>
      </c>
      <c r="M4081" s="8">
        <f>HYPERLINK("https://dart.fss.or.kr/dsaf001/main.do?rcpNo=20260615000435", "공시열람")</f>
        <v/>
      </c>
    </row>
    <row r="4082" ht="22" customHeight="1">
      <c r="A4082" s="2" t="inlineStr">
        <is>
          <t>2026-06-15</t>
        </is>
      </c>
      <c r="B4082" s="3" t="inlineStr">
        <is>
          <t>케어랩스</t>
        </is>
      </c>
      <c r="C4082" s="2" t="inlineStr">
        <is>
          <t>263700</t>
        </is>
      </c>
      <c r="D4082" s="2" t="inlineStr">
        <is>
          <t>대량보유</t>
        </is>
      </c>
      <c r="E4082" s="3" t="inlineStr">
        <is>
          <t>김동선</t>
        </is>
      </c>
      <c r="F4082" s="3" t="inlineStr">
        <is>
          <t>특별관계자</t>
        </is>
      </c>
      <c r="G4082" s="3" t="inlineStr">
        <is>
          <t>장내매수(+), 장내매도(-)</t>
        </is>
      </c>
      <c r="H4082" s="17" t="n">
        <v>-22615</v>
      </c>
      <c r="I4082" s="6" t="n">
        <v>3070</v>
      </c>
      <c r="J4082" s="6" t="n">
        <v>16000</v>
      </c>
      <c r="K4082" s="16" t="n">
        <v>4</v>
      </c>
      <c r="L4082" s="2" t="inlineStr">
        <is>
          <t>20260615000427</t>
        </is>
      </c>
      <c r="M4082" s="8">
        <f>HYPERLINK("https://dart.fss.or.kr/dsaf001/main.do?rcpNo=20260615000427", "공시열람")</f>
        <v/>
      </c>
    </row>
    <row r="4083" ht="22" customHeight="1">
      <c r="A4083" s="2" t="inlineStr">
        <is>
          <t>2026-06-15</t>
        </is>
      </c>
      <c r="B4083" s="3" t="inlineStr">
        <is>
          <t>케어랩스</t>
        </is>
      </c>
      <c r="C4083" s="2" t="inlineStr">
        <is>
          <t>263700</t>
        </is>
      </c>
      <c r="D4083" s="2" t="inlineStr">
        <is>
          <t>대량보유</t>
        </is>
      </c>
      <c r="E4083" s="3" t="inlineStr">
        <is>
          <t>이민경</t>
        </is>
      </c>
      <c r="F4083" s="3" t="inlineStr">
        <is>
          <t>특별관계자</t>
        </is>
      </c>
      <c r="G4083" s="3" t="inlineStr">
        <is>
          <t>장내매수(+)</t>
        </is>
      </c>
      <c r="H4083" s="15" t="n">
        <v>53472</v>
      </c>
      <c r="I4083" s="6" t="n">
        <v>1867</v>
      </c>
      <c r="J4083" s="6" t="n">
        <v>53472</v>
      </c>
      <c r="K4083" s="16" t="n">
        <v>4</v>
      </c>
      <c r="L4083" s="2" t="inlineStr">
        <is>
          <t>20260615000427</t>
        </is>
      </c>
      <c r="M4083" s="8">
        <f>HYPERLINK("https://dart.fss.or.kr/dsaf001/main.do?rcpNo=20260615000427", "공시열람")</f>
        <v/>
      </c>
    </row>
    <row r="4084" ht="22" customHeight="1">
      <c r="A4084" s="2" t="inlineStr">
        <is>
          <t>2026-06-15</t>
        </is>
      </c>
      <c r="B4084" s="3" t="inlineStr">
        <is>
          <t>케어랩스</t>
        </is>
      </c>
      <c r="C4084" s="2" t="inlineStr">
        <is>
          <t>263700</t>
        </is>
      </c>
      <c r="D4084" s="2" t="inlineStr">
        <is>
          <t>대량보유</t>
        </is>
      </c>
      <c r="E4084" s="3" t="inlineStr">
        <is>
          <t>이희억</t>
        </is>
      </c>
      <c r="F4084" s="3" t="inlineStr">
        <is>
          <t>특별관계자</t>
        </is>
      </c>
      <c r="G4084" s="3" t="inlineStr">
        <is>
          <t>장내매수(+)</t>
        </is>
      </c>
      <c r="H4084" s="15" t="n">
        <v>1000</v>
      </c>
      <c r="I4084" s="6" t="n">
        <v>2368</v>
      </c>
      <c r="J4084" s="6" t="n">
        <v>1000</v>
      </c>
      <c r="K4084" s="16" t="n">
        <v>4</v>
      </c>
      <c r="L4084" s="2" t="inlineStr">
        <is>
          <t>20260615000427</t>
        </is>
      </c>
      <c r="M4084" s="8">
        <f>HYPERLINK("https://dart.fss.or.kr/dsaf001/main.do?rcpNo=20260615000427", "공시열람")</f>
        <v/>
      </c>
    </row>
    <row r="4085" ht="22" customHeight="1">
      <c r="A4085" s="2" t="inlineStr">
        <is>
          <t>2026-06-15</t>
        </is>
      </c>
      <c r="B4085" s="3" t="inlineStr">
        <is>
          <t>케어랩스</t>
        </is>
      </c>
      <c r="C4085" s="2" t="inlineStr">
        <is>
          <t>263700</t>
        </is>
      </c>
      <c r="D4085" s="2" t="inlineStr">
        <is>
          <t>대량보유</t>
        </is>
      </c>
      <c r="E4085" s="3" t="inlineStr">
        <is>
          <t>박찬익</t>
        </is>
      </c>
      <c r="F4085" s="3" t="inlineStr">
        <is>
          <t>특별관계자</t>
        </is>
      </c>
      <c r="G4085" s="3" t="inlineStr">
        <is>
          <t>신규보고(+), 장내매수(+), 임원퇴임(-)</t>
        </is>
      </c>
      <c r="H4085" s="6" t="inlineStr"/>
      <c r="I4085" s="6" t="n">
        <v>3250</v>
      </c>
      <c r="J4085" s="6" t="inlineStr"/>
      <c r="K4085" s="16" t="n">
        <v>4</v>
      </c>
      <c r="L4085" s="2" t="inlineStr">
        <is>
          <t>20260615000427</t>
        </is>
      </c>
      <c r="M4085" s="8">
        <f>HYPERLINK("https://dart.fss.or.kr/dsaf001/main.do?rcpNo=20260615000427", "공시열람")</f>
        <v/>
      </c>
    </row>
    <row r="4086" ht="22" customHeight="1">
      <c r="A4086" s="2" t="inlineStr">
        <is>
          <t>2026-06-15</t>
        </is>
      </c>
      <c r="B4086" s="3" t="inlineStr">
        <is>
          <t>푸드나무</t>
        </is>
      </c>
      <c r="C4086" s="2" t="inlineStr">
        <is>
          <t>290720</t>
        </is>
      </c>
      <c r="D4086" s="2" t="inlineStr">
        <is>
          <t>대량보유</t>
        </is>
      </c>
      <c r="E4086" s="3" t="inlineStr">
        <is>
          <t>김우주</t>
        </is>
      </c>
      <c r="F4086" s="3" t="inlineStr">
        <is>
          <t>특별관계자</t>
        </is>
      </c>
      <c r="G4086" s="3" t="inlineStr">
        <is>
          <t>장외매수(+)</t>
        </is>
      </c>
      <c r="H4086" s="15" t="n">
        <v>10151661</v>
      </c>
      <c r="I4086" s="6" t="n">
        <v>2212</v>
      </c>
      <c r="J4086" s="6" t="n">
        <v>10151661</v>
      </c>
      <c r="K4086" s="16" t="n">
        <v>2</v>
      </c>
      <c r="L4086" s="2" t="inlineStr">
        <is>
          <t>20260615000426</t>
        </is>
      </c>
      <c r="M4086" s="8">
        <f>HYPERLINK("https://dart.fss.or.kr/dsaf001/main.do?rcpNo=20260615000426", "공시열람")</f>
        <v/>
      </c>
    </row>
    <row r="4087" ht="22" customHeight="1">
      <c r="A4087" s="2" t="inlineStr">
        <is>
          <t>2026-06-15</t>
        </is>
      </c>
      <c r="B4087" s="3" t="inlineStr">
        <is>
          <t>푸드나무</t>
        </is>
      </c>
      <c r="C4087" s="2" t="inlineStr">
        <is>
          <t>290720</t>
        </is>
      </c>
      <c r="D4087" s="2" t="inlineStr">
        <is>
          <t>대량보유</t>
        </is>
      </c>
      <c r="E4087" s="3" t="inlineStr">
        <is>
          <t>김유선</t>
        </is>
      </c>
      <c r="F4087" s="3" t="inlineStr">
        <is>
          <t>특별관계자</t>
        </is>
      </c>
      <c r="G4087" s="3" t="inlineStr">
        <is>
          <t>기타(+), 장내매수(+)</t>
        </is>
      </c>
      <c r="H4087" s="15" t="n">
        <v>3204449</v>
      </c>
      <c r="I4087" s="6" t="n">
        <v>2539</v>
      </c>
      <c r="J4087" s="6" t="n">
        <v>3204449</v>
      </c>
      <c r="K4087" s="16" t="n">
        <v>2</v>
      </c>
      <c r="L4087" s="2" t="inlineStr">
        <is>
          <t>20260615000426</t>
        </is>
      </c>
      <c r="M4087" s="8">
        <f>HYPERLINK("https://dart.fss.or.kr/dsaf001/main.do?rcpNo=20260615000426", "공시열람")</f>
        <v/>
      </c>
    </row>
    <row r="4088" ht="22" customHeight="1">
      <c r="A4088" s="2" t="inlineStr">
        <is>
          <t>2026-06-15</t>
        </is>
      </c>
      <c r="B4088" s="3" t="inlineStr">
        <is>
          <t>푸드나무</t>
        </is>
      </c>
      <c r="C4088" s="2" t="inlineStr">
        <is>
          <t>290720</t>
        </is>
      </c>
      <c r="D4088" s="2" t="inlineStr">
        <is>
          <t>대량보유</t>
        </is>
      </c>
      <c r="E4088" s="3" t="inlineStr">
        <is>
          <t>김영찬</t>
        </is>
      </c>
      <c r="F4088" s="3" t="inlineStr">
        <is>
          <t>특별관계자</t>
        </is>
      </c>
      <c r="G4088" s="3" t="inlineStr">
        <is>
          <t>주식매수선택권부여(+)</t>
        </is>
      </c>
      <c r="H4088" s="15" t="n">
        <v>180000</v>
      </c>
      <c r="I4088" s="6" t="n">
        <v>2880</v>
      </c>
      <c r="J4088" s="6" t="n">
        <v>180000</v>
      </c>
      <c r="K4088" s="16" t="n">
        <v>2</v>
      </c>
      <c r="L4088" s="2" t="inlineStr">
        <is>
          <t>20260615000426</t>
        </is>
      </c>
      <c r="M4088" s="8">
        <f>HYPERLINK("https://dart.fss.or.kr/dsaf001/main.do?rcpNo=20260615000426", "공시열람")</f>
        <v/>
      </c>
    </row>
    <row r="4089" ht="22" customHeight="1">
      <c r="A4089" s="2" t="inlineStr">
        <is>
          <t>2026-06-15</t>
        </is>
      </c>
      <c r="B4089" s="3" t="inlineStr">
        <is>
          <t>성광벤드</t>
        </is>
      </c>
      <c r="C4089" s="2" t="inlineStr">
        <is>
          <t>014620</t>
        </is>
      </c>
      <c r="D4089" s="2" t="inlineStr">
        <is>
          <t>대량보유</t>
        </is>
      </c>
      <c r="E4089" s="3" t="inlineStr">
        <is>
          <t>J.P.MorganSecuritiesPLC</t>
        </is>
      </c>
      <c r="F4089" s="3" t="inlineStr">
        <is>
          <t>특별관계자</t>
        </is>
      </c>
      <c r="G4089" s="3" t="inlineStr">
        <is>
          <t>장내매도(-), 장내매수(+)</t>
        </is>
      </c>
      <c r="H4089" s="15" t="n">
        <v>4572</v>
      </c>
      <c r="I4089" s="6" t="n">
        <v>28735</v>
      </c>
      <c r="J4089" s="6" t="n">
        <v>586711</v>
      </c>
      <c r="K4089" s="16" t="n">
        <v>2</v>
      </c>
      <c r="L4089" s="2" t="inlineStr">
        <is>
          <t>20260615000415</t>
        </is>
      </c>
      <c r="M4089" s="8">
        <f>HYPERLINK("https://dart.fss.or.kr/dsaf001/main.do?rcpNo=20260615000415", "공시열람")</f>
        <v/>
      </c>
    </row>
    <row r="4090" ht="22" customHeight="1">
      <c r="A4090" s="2" t="inlineStr">
        <is>
          <t>2026-06-15</t>
        </is>
      </c>
      <c r="B4090" s="3" t="inlineStr">
        <is>
          <t>성광벤드</t>
        </is>
      </c>
      <c r="C4090" s="2" t="inlineStr">
        <is>
          <t>014620</t>
        </is>
      </c>
      <c r="D4090" s="2" t="inlineStr">
        <is>
          <t>대량보유</t>
        </is>
      </c>
      <c r="E4090" s="3" t="inlineStr">
        <is>
          <t>J.P.MorganSecuritiesLLC</t>
        </is>
      </c>
      <c r="F4090" s="3" t="inlineStr">
        <is>
          <t>특별관계자</t>
        </is>
      </c>
      <c r="G4090" s="3" t="inlineStr">
        <is>
          <t>기타(-)</t>
        </is>
      </c>
      <c r="H4090" s="17" t="n">
        <v>-817066</v>
      </c>
      <c r="I4090" s="6" t="inlineStr"/>
      <c r="J4090" s="6" t="n">
        <v>1528</v>
      </c>
      <c r="K4090" s="16" t="n">
        <v>2</v>
      </c>
      <c r="L4090" s="2" t="inlineStr">
        <is>
          <t>20260615000415</t>
        </is>
      </c>
      <c r="M4090" s="8">
        <f>HYPERLINK("https://dart.fss.or.kr/dsaf001/main.do?rcpNo=20260615000415", "공시열람")</f>
        <v/>
      </c>
    </row>
    <row r="4091" ht="22" customHeight="1">
      <c r="A4091" s="2" t="inlineStr">
        <is>
          <t>2026-06-15</t>
        </is>
      </c>
      <c r="B4091" s="3" t="inlineStr">
        <is>
          <t>녹십자홀딩스</t>
        </is>
      </c>
      <c r="C4091" s="2" t="inlineStr">
        <is>
          <t>005250</t>
        </is>
      </c>
      <c r="D4091" s="2" t="inlineStr">
        <is>
          <t>대량보유</t>
        </is>
      </c>
      <c r="E4091" s="3" t="inlineStr">
        <is>
          <t>허진성</t>
        </is>
      </c>
      <c r="F4091" s="3" t="inlineStr">
        <is>
          <t>특별관계자</t>
        </is>
      </c>
      <c r="G4091" s="3" t="inlineStr">
        <is>
          <t>장내매수(+)</t>
        </is>
      </c>
      <c r="H4091" s="15" t="n">
        <v>42243</v>
      </c>
      <c r="I4091" s="6" t="n">
        <v>14319</v>
      </c>
      <c r="J4091" s="6" t="n">
        <v>407000</v>
      </c>
      <c r="K4091" s="16" t="n">
        <v>31</v>
      </c>
      <c r="L4091" s="2" t="inlineStr">
        <is>
          <t>20260615000399</t>
        </is>
      </c>
      <c r="M4091" s="8">
        <f>HYPERLINK("https://dart.fss.or.kr/dsaf001/main.do?rcpNo=20260615000399", "공시열람")</f>
        <v/>
      </c>
    </row>
    <row r="4092" ht="22" customHeight="1">
      <c r="A4092" s="2" t="inlineStr">
        <is>
          <t>2026-06-15</t>
        </is>
      </c>
      <c r="B4092" s="3" t="inlineStr">
        <is>
          <t>녹십자홀딩스</t>
        </is>
      </c>
      <c r="C4092" s="2" t="inlineStr">
        <is>
          <t>005250</t>
        </is>
      </c>
      <c r="D4092" s="2" t="inlineStr">
        <is>
          <t>대량보유</t>
        </is>
      </c>
      <c r="E4092" s="3" t="inlineStr">
        <is>
          <t>허진훈</t>
        </is>
      </c>
      <c r="F4092" s="3" t="inlineStr">
        <is>
          <t>특별관계자</t>
        </is>
      </c>
      <c r="G4092" s="3" t="inlineStr">
        <is>
          <t>장내매수(+)</t>
        </is>
      </c>
      <c r="H4092" s="15" t="n">
        <v>62422</v>
      </c>
      <c r="I4092" s="6" t="n">
        <v>12941</v>
      </c>
      <c r="J4092" s="6" t="n">
        <v>401777</v>
      </c>
      <c r="K4092" s="16" t="n">
        <v>31</v>
      </c>
      <c r="L4092" s="2" t="inlineStr">
        <is>
          <t>20260615000399</t>
        </is>
      </c>
      <c r="M4092" s="8">
        <f>HYPERLINK("https://dart.fss.or.kr/dsaf001/main.do?rcpNo=20260615000399", "공시열람")</f>
        <v/>
      </c>
    </row>
    <row r="4093" ht="22" customHeight="1">
      <c r="A4093" s="2" t="inlineStr">
        <is>
          <t>2026-06-15</t>
        </is>
      </c>
      <c r="B4093" s="3" t="inlineStr">
        <is>
          <t>녹십자홀딩스</t>
        </is>
      </c>
      <c r="C4093" s="2" t="inlineStr">
        <is>
          <t>005250</t>
        </is>
      </c>
      <c r="D4093" s="2" t="inlineStr">
        <is>
          <t>대량보유</t>
        </is>
      </c>
      <c r="E4093" s="3" t="inlineStr">
        <is>
          <t>허은철</t>
        </is>
      </c>
      <c r="F4093" s="3" t="inlineStr">
        <is>
          <t>특별관계자</t>
        </is>
      </c>
      <c r="G4093" s="3" t="inlineStr">
        <is>
          <t>장내매수(+)</t>
        </is>
      </c>
      <c r="H4093" s="15" t="n">
        <v>48912</v>
      </c>
      <c r="I4093" s="6" t="n">
        <v>10198</v>
      </c>
      <c r="J4093" s="6" t="n">
        <v>1309541</v>
      </c>
      <c r="K4093" s="16" t="n">
        <v>31</v>
      </c>
      <c r="L4093" s="2" t="inlineStr">
        <is>
          <t>20260615000399</t>
        </is>
      </c>
      <c r="M4093" s="8">
        <f>HYPERLINK("https://dart.fss.or.kr/dsaf001/main.do?rcpNo=20260615000399", "공시열람")</f>
        <v/>
      </c>
    </row>
    <row r="4094" ht="22" customHeight="1">
      <c r="A4094" s="2" t="inlineStr">
        <is>
          <t>2026-06-15</t>
        </is>
      </c>
      <c r="B4094" s="3" t="inlineStr">
        <is>
          <t>녹십자홀딩스</t>
        </is>
      </c>
      <c r="C4094" s="2" t="inlineStr">
        <is>
          <t>005250</t>
        </is>
      </c>
      <c r="D4094" s="2" t="inlineStr">
        <is>
          <t>대량보유</t>
        </is>
      </c>
      <c r="E4094" s="3" t="inlineStr">
        <is>
          <t>노형주</t>
        </is>
      </c>
      <c r="F4094" s="3" t="inlineStr">
        <is>
          <t>특별관계자</t>
        </is>
      </c>
      <c r="G4094" s="3" t="inlineStr">
        <is>
          <t>장내매수(+)</t>
        </is>
      </c>
      <c r="H4094" s="15" t="n">
        <v>3000</v>
      </c>
      <c r="I4094" s="6" t="n">
        <v>9980</v>
      </c>
      <c r="J4094" s="6" t="n">
        <v>4623</v>
      </c>
      <c r="K4094" s="16" t="n">
        <v>31</v>
      </c>
      <c r="L4094" s="2" t="inlineStr">
        <is>
          <t>20260615000399</t>
        </is>
      </c>
      <c r="M4094" s="8">
        <f>HYPERLINK("https://dart.fss.or.kr/dsaf001/main.do?rcpNo=20260615000399", "공시열람")</f>
        <v/>
      </c>
    </row>
    <row r="4095" ht="22" customHeight="1">
      <c r="A4095" s="2" t="inlineStr">
        <is>
          <t>2026-06-15</t>
        </is>
      </c>
      <c r="B4095" s="3" t="inlineStr">
        <is>
          <t>유안타증권</t>
        </is>
      </c>
      <c r="C4095" s="2" t="inlineStr">
        <is>
          <t>003470</t>
        </is>
      </c>
      <c r="D4095" s="2" t="inlineStr">
        <is>
          <t>임원보고</t>
        </is>
      </c>
      <c r="E4095" s="3" t="inlineStr">
        <is>
          <t>-</t>
        </is>
      </c>
      <c r="F4095" s="3" t="inlineStr">
        <is>
          <t>-</t>
        </is>
      </c>
      <c r="G4095" s="3" t="inlineStr">
        <is>
          <t>-</t>
        </is>
      </c>
      <c r="H4095" s="6" t="inlineStr"/>
      <c r="I4095" s="6" t="inlineStr"/>
      <c r="J4095" s="6" t="inlineStr"/>
      <c r="K4095" s="16" t="n">
        <v>12</v>
      </c>
      <c r="L4095" s="2" t="inlineStr">
        <is>
          <t>20260615800819</t>
        </is>
      </c>
      <c r="M4095" s="8">
        <f>HYPERLINK("https://dart.fss.or.kr/dsaf001/main.do?rcpNo=20260615800819", "공시열람")</f>
        <v/>
      </c>
    </row>
    <row r="4096" ht="22" customHeight="1">
      <c r="A4096" s="2" t="inlineStr">
        <is>
          <t>2026-06-15</t>
        </is>
      </c>
      <c r="B4096" s="3" t="inlineStr">
        <is>
          <t>코스모화학</t>
        </is>
      </c>
      <c r="C4096" s="2" t="inlineStr">
        <is>
          <t>005420</t>
        </is>
      </c>
      <c r="D4096" s="2" t="inlineStr">
        <is>
          <t>대량보유</t>
        </is>
      </c>
      <c r="E4096" s="3" t="inlineStr">
        <is>
          <t>신동구</t>
        </is>
      </c>
      <c r="F4096" s="3" t="inlineStr">
        <is>
          <t>특별관계자</t>
        </is>
      </c>
      <c r="G4096" s="3" t="inlineStr">
        <is>
          <t>장내매수(+)</t>
        </is>
      </c>
      <c r="H4096" s="15" t="n">
        <v>10000</v>
      </c>
      <c r="I4096" s="6" t="n">
        <v>11457</v>
      </c>
      <c r="J4096" s="6" t="n">
        <v>10000</v>
      </c>
      <c r="K4096" s="16" t="n">
        <v>7</v>
      </c>
      <c r="L4096" s="2" t="inlineStr">
        <is>
          <t>20260615000395</t>
        </is>
      </c>
      <c r="M4096" s="8">
        <f>HYPERLINK("https://dart.fss.or.kr/dsaf001/main.do?rcpNo=20260615000395", "공시열람")</f>
        <v/>
      </c>
    </row>
    <row r="4097" ht="22" customHeight="1">
      <c r="A4097" s="2" t="inlineStr">
        <is>
          <t>2026-06-15</t>
        </is>
      </c>
      <c r="B4097" s="3" t="inlineStr">
        <is>
          <t>HDC</t>
        </is>
      </c>
      <c r="C4097" s="2" t="inlineStr">
        <is>
          <t>012630</t>
        </is>
      </c>
      <c r="D4097" s="2" t="inlineStr">
        <is>
          <t>임원보고</t>
        </is>
      </c>
      <c r="E4097" s="3" t="inlineStr">
        <is>
          <t>-</t>
        </is>
      </c>
      <c r="F4097" s="3" t="inlineStr">
        <is>
          <t>-</t>
        </is>
      </c>
      <c r="G4097" s="3" t="inlineStr">
        <is>
          <t>-</t>
        </is>
      </c>
      <c r="H4097" s="6" t="inlineStr"/>
      <c r="I4097" s="6" t="inlineStr"/>
      <c r="J4097" s="6" t="inlineStr"/>
      <c r="K4097" s="16" t="n">
        <v>12</v>
      </c>
      <c r="L4097" s="2" t="inlineStr">
        <is>
          <t>20260615800816</t>
        </is>
      </c>
      <c r="M4097" s="8">
        <f>HYPERLINK("https://dart.fss.or.kr/dsaf001/main.do?rcpNo=20260615800816", "공시열람")</f>
        <v/>
      </c>
    </row>
    <row r="4098" ht="22" customHeight="1">
      <c r="A4098" s="2" t="inlineStr">
        <is>
          <t>2026-06-15</t>
        </is>
      </c>
      <c r="B4098" s="3" t="inlineStr">
        <is>
          <t>핑거</t>
        </is>
      </c>
      <c r="C4098" s="2" t="inlineStr">
        <is>
          <t>163730</t>
        </is>
      </c>
      <c r="D4098" s="2" t="inlineStr">
        <is>
          <t>대량보유</t>
        </is>
      </c>
      <c r="E4098" s="3" t="inlineStr">
        <is>
          <t>몬타나40</t>
        </is>
      </c>
      <c r="F4098" s="3" t="inlineStr">
        <is>
          <t>특별관계자</t>
        </is>
      </c>
      <c r="G4098" s="3" t="inlineStr">
        <is>
          <t>발행회사의 유상증자에 따른 발행주식수 증가로 인한 지분율 변동 (5% 이하)</t>
        </is>
      </c>
      <c r="H4098" s="6" t="inlineStr"/>
      <c r="I4098" s="6" t="inlineStr"/>
      <c r="J4098" s="6" t="n">
        <v>560000</v>
      </c>
      <c r="K4098" s="16" t="n">
        <v>40</v>
      </c>
      <c r="L4098" s="2" t="inlineStr">
        <is>
          <t>20260615000393</t>
        </is>
      </c>
      <c r="M4098" s="8">
        <f>HYPERLINK("https://dart.fss.or.kr/dsaf001/main.do?rcpNo=20260615000393", "공시열람")</f>
        <v/>
      </c>
    </row>
    <row r="4099" ht="22" customHeight="1">
      <c r="A4099" s="2" t="inlineStr">
        <is>
          <t>2026-06-15</t>
        </is>
      </c>
      <c r="B4099" s="3" t="inlineStr">
        <is>
          <t>HDC</t>
        </is>
      </c>
      <c r="C4099" s="2" t="inlineStr">
        <is>
          <t>012630</t>
        </is>
      </c>
      <c r="D4099" s="2" t="inlineStr">
        <is>
          <t>대량보유</t>
        </is>
      </c>
      <c r="E4099" s="3" t="inlineStr">
        <is>
          <t>엠엔큐투자파트너스(유)</t>
        </is>
      </c>
      <c r="F4099" s="3" t="inlineStr">
        <is>
          <t>특별관계자</t>
        </is>
      </c>
      <c r="G4099" s="3" t="inlineStr">
        <is>
          <t>장내매수(+)</t>
        </is>
      </c>
      <c r="H4099" s="15" t="n">
        <v>15474</v>
      </c>
      <c r="I4099" s="6" t="n">
        <v>19891</v>
      </c>
      <c r="J4099" s="6" t="n">
        <v>3952749</v>
      </c>
      <c r="K4099" s="16" t="n">
        <v>9</v>
      </c>
      <c r="L4099" s="2" t="inlineStr">
        <is>
          <t>20260615000392</t>
        </is>
      </c>
      <c r="M4099" s="8">
        <f>HYPERLINK("https://dart.fss.or.kr/dsaf001/main.do?rcpNo=20260615000392", "공시열람")</f>
        <v/>
      </c>
    </row>
    <row r="4100" ht="22" customHeight="1">
      <c r="A4100" s="2" t="inlineStr">
        <is>
          <t>2026-06-15</t>
        </is>
      </c>
      <c r="B4100" s="3" t="inlineStr">
        <is>
          <t>우듬지팜</t>
        </is>
      </c>
      <c r="C4100" s="2" t="inlineStr">
        <is>
          <t>403490</t>
        </is>
      </c>
      <c r="D4100" s="2" t="inlineStr">
        <is>
          <t>대량보유</t>
        </is>
      </c>
      <c r="E4100" s="3" t="inlineStr">
        <is>
          <t>서상교</t>
        </is>
      </c>
      <c r="F4100" s="3" t="inlineStr">
        <is>
          <t>특별관계자</t>
        </is>
      </c>
      <c r="G4100" s="3" t="inlineStr">
        <is>
          <t>특별관계해소(-)</t>
        </is>
      </c>
      <c r="H4100" s="17" t="n">
        <v>-210000</v>
      </c>
      <c r="I4100" s="6" t="n">
        <v>1000</v>
      </c>
      <c r="J4100" s="6" t="inlineStr"/>
      <c r="K4100" s="16" t="n">
        <v>7</v>
      </c>
      <c r="L4100" s="2" t="inlineStr">
        <is>
          <t>20260615000391</t>
        </is>
      </c>
      <c r="M4100" s="8">
        <f>HYPERLINK("https://dart.fss.or.kr/dsaf001/main.do?rcpNo=20260615000391", "공시열람")</f>
        <v/>
      </c>
    </row>
    <row r="4101" ht="22" customHeight="1">
      <c r="A4101" s="2" t="inlineStr">
        <is>
          <t>2026-06-15</t>
        </is>
      </c>
      <c r="B4101" s="3" t="inlineStr">
        <is>
          <t>우듬지팜</t>
        </is>
      </c>
      <c r="C4101" s="2" t="inlineStr">
        <is>
          <t>403490</t>
        </is>
      </c>
      <c r="D4101" s="2" t="inlineStr">
        <is>
          <t>대량보유</t>
        </is>
      </c>
      <c r="E4101" s="3" t="inlineStr">
        <is>
          <t>강평식</t>
        </is>
      </c>
      <c r="F4101" s="3" t="inlineStr">
        <is>
          <t>특별관계자</t>
        </is>
      </c>
      <c r="G4101" s="3" t="inlineStr">
        <is>
          <t>장내매도(-)</t>
        </is>
      </c>
      <c r="H4101" s="17" t="n">
        <v>-145</v>
      </c>
      <c r="I4101" s="6" t="n">
        <v>1414</v>
      </c>
      <c r="J4101" s="6" t="inlineStr"/>
      <c r="K4101" s="16" t="n">
        <v>7</v>
      </c>
      <c r="L4101" s="2" t="inlineStr">
        <is>
          <t>20260615000391</t>
        </is>
      </c>
      <c r="M4101" s="8">
        <f>HYPERLINK("https://dart.fss.or.kr/dsaf001/main.do?rcpNo=20260615000391", "공시열람")</f>
        <v/>
      </c>
    </row>
    <row r="4102" ht="22" customHeight="1">
      <c r="A4102" s="2" t="inlineStr">
        <is>
          <t>2026-06-15</t>
        </is>
      </c>
      <c r="B4102" s="3" t="inlineStr">
        <is>
          <t>우듬지팜</t>
        </is>
      </c>
      <c r="C4102" s="2" t="inlineStr">
        <is>
          <t>403490</t>
        </is>
      </c>
      <c r="D4102" s="2" t="inlineStr">
        <is>
          <t>대량보유</t>
        </is>
      </c>
      <c r="E4102" s="3" t="inlineStr">
        <is>
          <t>유준현</t>
        </is>
      </c>
      <c r="F4102" s="3" t="inlineStr">
        <is>
          <t>특별관계자</t>
        </is>
      </c>
      <c r="G4102" s="3" t="inlineStr">
        <is>
          <t>장내매도(-), 장내매수(+)</t>
        </is>
      </c>
      <c r="H4102" s="15" t="n">
        <v>1145</v>
      </c>
      <c r="I4102" s="6" t="n">
        <v>867</v>
      </c>
      <c r="J4102" s="6" t="n">
        <v>1155</v>
      </c>
      <c r="K4102" s="16" t="n">
        <v>7</v>
      </c>
      <c r="L4102" s="2" t="inlineStr">
        <is>
          <t>20260615000391</t>
        </is>
      </c>
      <c r="M4102" s="8">
        <f>HYPERLINK("https://dart.fss.or.kr/dsaf001/main.do?rcpNo=20260615000391", "공시열람")</f>
        <v/>
      </c>
    </row>
    <row r="4103" ht="22" customHeight="1">
      <c r="A4103" s="2" t="inlineStr">
        <is>
          <t>2026-06-15</t>
        </is>
      </c>
      <c r="B4103" s="3" t="inlineStr">
        <is>
          <t>우듬지팜</t>
        </is>
      </c>
      <c r="C4103" s="2" t="inlineStr">
        <is>
          <t>403490</t>
        </is>
      </c>
      <c r="D4103" s="2" t="inlineStr">
        <is>
          <t>대량보유</t>
        </is>
      </c>
      <c r="E4103" s="3" t="inlineStr">
        <is>
          <t>김정규</t>
        </is>
      </c>
      <c r="F4103" s="3" t="inlineStr">
        <is>
          <t>특별관계자</t>
        </is>
      </c>
      <c r="G4103" s="3" t="inlineStr">
        <is>
          <t>장내매도(-)</t>
        </is>
      </c>
      <c r="H4103" s="17" t="n">
        <v>-40768</v>
      </c>
      <c r="I4103" s="6" t="n">
        <v>1536</v>
      </c>
      <c r="J4103" s="6" t="n">
        <v>27105</v>
      </c>
      <c r="K4103" s="16" t="n">
        <v>7</v>
      </c>
      <c r="L4103" s="2" t="inlineStr">
        <is>
          <t>20260615000391</t>
        </is>
      </c>
      <c r="M4103" s="8">
        <f>HYPERLINK("https://dart.fss.or.kr/dsaf001/main.do?rcpNo=20260615000391", "공시열람")</f>
        <v/>
      </c>
    </row>
    <row r="4104" ht="22" customHeight="1">
      <c r="A4104" s="2" t="inlineStr">
        <is>
          <t>2026-06-15</t>
        </is>
      </c>
      <c r="B4104" s="3" t="inlineStr">
        <is>
          <t>우듬지팜</t>
        </is>
      </c>
      <c r="C4104" s="2" t="inlineStr">
        <is>
          <t>403490</t>
        </is>
      </c>
      <c r="D4104" s="2" t="inlineStr">
        <is>
          <t>대량보유</t>
        </is>
      </c>
      <c r="E4104" s="3" t="inlineStr">
        <is>
          <t>농업회사법인우듬지팜주식회사</t>
        </is>
      </c>
      <c r="F4104" s="3" t="inlineStr">
        <is>
          <t>특별관계자</t>
        </is>
      </c>
      <c r="G4104" s="3" t="inlineStr">
        <is>
          <t>기타(+), 장내매수(+)</t>
        </is>
      </c>
      <c r="H4104" s="15" t="n">
        <v>347827</v>
      </c>
      <c r="I4104" s="6" t="n">
        <v>902</v>
      </c>
      <c r="J4104" s="6" t="n">
        <v>347827</v>
      </c>
      <c r="K4104" s="16" t="n">
        <v>7</v>
      </c>
      <c r="L4104" s="2" t="inlineStr">
        <is>
          <t>20260615000391</t>
        </is>
      </c>
      <c r="M4104" s="8">
        <f>HYPERLINK("https://dart.fss.or.kr/dsaf001/main.do?rcpNo=20260615000391", "공시열람")</f>
        <v/>
      </c>
    </row>
    <row r="4105" ht="22" customHeight="1">
      <c r="A4105" s="2" t="inlineStr">
        <is>
          <t>2026-06-15</t>
        </is>
      </c>
      <c r="B4105" s="3" t="inlineStr">
        <is>
          <t>우듬지팜</t>
        </is>
      </c>
      <c r="C4105" s="2" t="inlineStr">
        <is>
          <t>403490</t>
        </is>
      </c>
      <c r="D4105" s="2" t="inlineStr">
        <is>
          <t>대량보유</t>
        </is>
      </c>
      <c r="E4105" s="3" t="inlineStr">
        <is>
          <t>김호연</t>
        </is>
      </c>
      <c r="F4105" s="3" t="inlineStr">
        <is>
          <t>특별관계자</t>
        </is>
      </c>
      <c r="G4105" s="3" t="inlineStr">
        <is>
          <t>장내매수(+)</t>
        </is>
      </c>
      <c r="H4105" s="15" t="n">
        <v>41273</v>
      </c>
      <c r="I4105" s="6" t="n">
        <v>874</v>
      </c>
      <c r="J4105" s="6" t="n">
        <v>17712663</v>
      </c>
      <c r="K4105" s="16" t="n">
        <v>7</v>
      </c>
      <c r="L4105" s="2" t="inlineStr">
        <is>
          <t>20260615000391</t>
        </is>
      </c>
      <c r="M4105" s="8">
        <f>HYPERLINK("https://dart.fss.or.kr/dsaf001/main.do?rcpNo=20260615000391", "공시열람")</f>
        <v/>
      </c>
    </row>
    <row r="4106" ht="22" customHeight="1">
      <c r="A4106" s="2" t="inlineStr">
        <is>
          <t>2026-06-15</t>
        </is>
      </c>
      <c r="B4106" s="3" t="inlineStr">
        <is>
          <t>유니슨</t>
        </is>
      </c>
      <c r="C4106" s="2" t="inlineStr">
        <is>
          <t>018000</t>
        </is>
      </c>
      <c r="D4106" s="2" t="inlineStr">
        <is>
          <t>대량보유</t>
        </is>
      </c>
      <c r="E4106" s="3" t="inlineStr">
        <is>
          <t>비그림파워코리아주식회사</t>
        </is>
      </c>
      <c r="F4106" s="3" t="inlineStr">
        <is>
          <t>특별관계자</t>
        </is>
      </c>
      <c r="G4106" s="3" t="inlineStr">
        <is>
          <t>CB인수(+)</t>
        </is>
      </c>
      <c r="H4106" s="15" t="n">
        <v>29878618</v>
      </c>
      <c r="I4106" s="6" t="n">
        <v>1071</v>
      </c>
      <c r="J4106" s="6" t="n">
        <v>29878618</v>
      </c>
      <c r="K4106" s="16" t="n">
        <v>10.33</v>
      </c>
      <c r="L4106" s="2" t="inlineStr">
        <is>
          <t>20260615000383</t>
        </is>
      </c>
      <c r="M4106" s="8">
        <f>HYPERLINK("https://dart.fss.or.kr/dsaf001/main.do?rcpNo=20260615000383", "공시열람")</f>
        <v/>
      </c>
    </row>
    <row r="4107" ht="22" customHeight="1">
      <c r="A4107" s="2" t="inlineStr">
        <is>
          <t>2026-06-15 (정정: 2026-06-22)</t>
        </is>
      </c>
      <c r="B4107" s="3" t="inlineStr">
        <is>
          <t>제이스코홀딩스</t>
        </is>
      </c>
      <c r="C4107" s="2" t="inlineStr">
        <is>
          <t>023440</t>
        </is>
      </c>
      <c r="D4107" s="2" t="inlineStr">
        <is>
          <t>대량보유</t>
        </is>
      </c>
      <c r="E4107" s="3" t="inlineStr">
        <is>
          <t>-</t>
        </is>
      </c>
      <c r="F4107" s="3" t="inlineStr">
        <is>
          <t>보고자</t>
        </is>
      </c>
      <c r="G4107" s="3" t="inlineStr">
        <is>
          <t>-</t>
        </is>
      </c>
      <c r="H4107" s="6" t="inlineStr"/>
      <c r="I4107" s="6" t="inlineStr"/>
      <c r="J4107" s="6" t="inlineStr"/>
      <c r="K4107" s="18" t="inlineStr"/>
      <c r="L4107" s="2" t="inlineStr">
        <is>
          <t>20260622900722</t>
        </is>
      </c>
      <c r="M4107" s="8">
        <f>HYPERLINK("https://dart.fss.or.kr/dsaf001/main.do?rcpNo=20260622900722", "공시열람")</f>
        <v/>
      </c>
    </row>
    <row r="4108" ht="22" customHeight="1">
      <c r="A4108" s="2" t="inlineStr">
        <is>
          <t>2026-06-15</t>
        </is>
      </c>
      <c r="B4108" s="3" t="inlineStr">
        <is>
          <t>에이치엔에스하이텍</t>
        </is>
      </c>
      <c r="C4108" s="2" t="inlineStr">
        <is>
          <t>044990</t>
        </is>
      </c>
      <c r="D4108" s="2" t="inlineStr">
        <is>
          <t>대량보유</t>
        </is>
      </c>
      <c r="E4108" s="3" t="inlineStr">
        <is>
          <t>배의호</t>
        </is>
      </c>
      <c r="F4108" s="3" t="inlineStr">
        <is>
          <t>특별관계자</t>
        </is>
      </c>
      <c r="G4108" s="3" t="inlineStr">
        <is>
          <t>장내매수(+)</t>
        </is>
      </c>
      <c r="H4108" s="15" t="n">
        <v>1500</v>
      </c>
      <c r="I4108" s="6" t="n">
        <v>14460</v>
      </c>
      <c r="J4108" s="6" t="n">
        <v>39545</v>
      </c>
      <c r="K4108" s="16" t="n">
        <v>11</v>
      </c>
      <c r="L4108" s="2" t="inlineStr">
        <is>
          <t>20260615000329</t>
        </is>
      </c>
      <c r="M4108" s="8">
        <f>HYPERLINK("https://dart.fss.or.kr/dsaf001/main.do?rcpNo=20260615000329", "공시열람")</f>
        <v/>
      </c>
    </row>
    <row r="4109" ht="22" customHeight="1">
      <c r="A4109" s="2" t="inlineStr">
        <is>
          <t>2026-06-15</t>
        </is>
      </c>
      <c r="B4109" s="3" t="inlineStr">
        <is>
          <t>에이치엔에스하이텍</t>
        </is>
      </c>
      <c r="C4109" s="2" t="inlineStr">
        <is>
          <t>044990</t>
        </is>
      </c>
      <c r="D4109" s="2" t="inlineStr">
        <is>
          <t>대량보유</t>
        </is>
      </c>
      <c r="E4109" s="3" t="inlineStr">
        <is>
          <t>김정희</t>
        </is>
      </c>
      <c r="F4109" s="3" t="inlineStr">
        <is>
          <t>특별관계자</t>
        </is>
      </c>
      <c r="G4109" s="3" t="inlineStr">
        <is>
          <t>장내매수(+)</t>
        </is>
      </c>
      <c r="H4109" s="15" t="n">
        <v>27900</v>
      </c>
      <c r="I4109" s="6" t="n">
        <v>13464</v>
      </c>
      <c r="J4109" s="6" t="n">
        <v>1624503</v>
      </c>
      <c r="K4109" s="16" t="n">
        <v>11</v>
      </c>
      <c r="L4109" s="2" t="inlineStr">
        <is>
          <t>20260615000329</t>
        </is>
      </c>
      <c r="M4109" s="8">
        <f>HYPERLINK("https://dart.fss.or.kr/dsaf001/main.do?rcpNo=20260615000329", "공시열람")</f>
        <v/>
      </c>
    </row>
    <row r="4110" ht="22" customHeight="1">
      <c r="A4110" s="2" t="inlineStr">
        <is>
          <t>2026-06-15</t>
        </is>
      </c>
      <c r="B4110" s="3" t="inlineStr">
        <is>
          <t>디와이에이</t>
        </is>
      </c>
      <c r="C4110" s="2" t="inlineStr">
        <is>
          <t>002880</t>
        </is>
      </c>
      <c r="D4110" s="2" t="inlineStr">
        <is>
          <t>임원보고</t>
        </is>
      </c>
      <c r="E4110" s="3" t="inlineStr">
        <is>
          <t>-</t>
        </is>
      </c>
      <c r="F4110" s="3" t="inlineStr">
        <is>
          <t>-</t>
        </is>
      </c>
      <c r="G4110" s="3" t="inlineStr">
        <is>
          <t>-</t>
        </is>
      </c>
      <c r="H4110" s="6" t="inlineStr"/>
      <c r="I4110" s="6" t="inlineStr"/>
      <c r="J4110" s="6" t="inlineStr"/>
      <c r="K4110" s="16" t="n">
        <v>12</v>
      </c>
      <c r="L4110" s="2" t="inlineStr">
        <is>
          <t>20260615800720</t>
        </is>
      </c>
      <c r="M4110" s="8">
        <f>HYPERLINK("https://dart.fss.or.kr/dsaf001/main.do?rcpNo=20260615800720", "공시열람")</f>
        <v/>
      </c>
    </row>
    <row r="4111" ht="22" customHeight="1">
      <c r="A4111" s="2" t="inlineStr">
        <is>
          <t>2026-06-15</t>
        </is>
      </c>
      <c r="B4111" s="3" t="inlineStr">
        <is>
          <t>톱텍</t>
        </is>
      </c>
      <c r="C4111" s="2" t="inlineStr">
        <is>
          <t>108230</t>
        </is>
      </c>
      <c r="D4111" s="2" t="inlineStr">
        <is>
          <t>대량보유</t>
        </is>
      </c>
      <c r="E4111" s="3" t="inlineStr">
        <is>
          <t>정지용</t>
        </is>
      </c>
      <c r="F4111" s="3" t="inlineStr">
        <is>
          <t>특별관계자</t>
        </is>
      </c>
      <c r="G4111" s="3" t="inlineStr">
        <is>
          <t>장내매수(+)</t>
        </is>
      </c>
      <c r="H4111" s="15" t="n">
        <v>10000</v>
      </c>
      <c r="I4111" s="6" t="n">
        <v>3421</v>
      </c>
      <c r="J4111" s="6" t="n">
        <v>30000</v>
      </c>
      <c r="K4111" s="16" t="n">
        <v>5</v>
      </c>
      <c r="L4111" s="2" t="inlineStr">
        <is>
          <t>20260615000315</t>
        </is>
      </c>
      <c r="M4111" s="8">
        <f>HYPERLINK("https://dart.fss.or.kr/dsaf001/main.do?rcpNo=20260615000315", "공시열람")</f>
        <v/>
      </c>
    </row>
    <row r="4112" ht="22" customHeight="1">
      <c r="A4112" s="2" t="inlineStr">
        <is>
          <t>2026-06-15 (정정: 2026-06-16)</t>
        </is>
      </c>
      <c r="B4112" s="3" t="inlineStr">
        <is>
          <t>조이웍스앤코</t>
        </is>
      </c>
      <c r="C4112" s="2" t="inlineStr">
        <is>
          <t>309930</t>
        </is>
      </c>
      <c r="D4112" s="2" t="inlineStr">
        <is>
          <t>대량보유</t>
        </is>
      </c>
      <c r="E4112" s="3" t="inlineStr">
        <is>
          <t>오하임투자조합</t>
        </is>
      </c>
      <c r="F4112" s="3" t="inlineStr">
        <is>
          <t>특별관계자</t>
        </is>
      </c>
      <c r="G4112" s="3" t="inlineStr">
        <is>
          <t>장외매도(-), 주식병합, 무상신주취득(+)</t>
        </is>
      </c>
      <c r="H4112" s="17" t="n">
        <v>-912797</v>
      </c>
      <c r="I4112" s="6" t="n">
        <v>4222</v>
      </c>
      <c r="J4112" s="6" t="n">
        <v>1651182</v>
      </c>
      <c r="K4112" s="16" t="n">
        <v>2</v>
      </c>
      <c r="L4112" s="2" t="inlineStr">
        <is>
          <t>20260616000034</t>
        </is>
      </c>
      <c r="M4112" s="8">
        <f>HYPERLINK("https://dart.fss.or.kr/dsaf001/main.do?rcpNo=20260616000034", "공시열람")</f>
        <v/>
      </c>
    </row>
    <row r="4113" ht="22" customHeight="1">
      <c r="A4113" s="2" t="inlineStr">
        <is>
          <t>2026-06-15</t>
        </is>
      </c>
      <c r="B4113" s="3" t="inlineStr">
        <is>
          <t>녹십자홀딩스</t>
        </is>
      </c>
      <c r="C4113" s="2" t="inlineStr">
        <is>
          <t>005250</t>
        </is>
      </c>
      <c r="D4113" s="2" t="inlineStr">
        <is>
          <t>임원보고</t>
        </is>
      </c>
      <c r="E4113" s="3" t="inlineStr">
        <is>
          <t>-</t>
        </is>
      </c>
      <c r="F4113" s="3" t="inlineStr">
        <is>
          <t>-</t>
        </is>
      </c>
      <c r="G4113" s="3" t="inlineStr">
        <is>
          <t>-</t>
        </is>
      </c>
      <c r="H4113" s="6" t="inlineStr"/>
      <c r="I4113" s="6" t="inlineStr"/>
      <c r="J4113" s="6" t="inlineStr"/>
      <c r="K4113" s="16" t="n">
        <v>12</v>
      </c>
      <c r="L4113" s="2" t="inlineStr">
        <is>
          <t>20260615800699</t>
        </is>
      </c>
      <c r="M4113" s="8">
        <f>HYPERLINK("https://dart.fss.or.kr/dsaf001/main.do?rcpNo=20260615800699", "공시열람")</f>
        <v/>
      </c>
    </row>
    <row r="4114" ht="22" customHeight="1">
      <c r="A4114" s="2" t="inlineStr">
        <is>
          <t>2026-06-15</t>
        </is>
      </c>
      <c r="B4114" s="3" t="inlineStr">
        <is>
          <t>태림포장</t>
        </is>
      </c>
      <c r="C4114" s="2" t="inlineStr">
        <is>
          <t>011280</t>
        </is>
      </c>
      <c r="D4114" s="2" t="inlineStr">
        <is>
          <t>임원보고</t>
        </is>
      </c>
      <c r="E4114" s="3" t="inlineStr">
        <is>
          <t>-</t>
        </is>
      </c>
      <c r="F4114" s="3" t="inlineStr">
        <is>
          <t>-</t>
        </is>
      </c>
      <c r="G4114" s="3" t="inlineStr">
        <is>
          <t>-</t>
        </is>
      </c>
      <c r="H4114" s="6" t="inlineStr"/>
      <c r="I4114" s="6" t="inlineStr"/>
      <c r="J4114" s="6" t="inlineStr"/>
      <c r="K4114" s="16" t="n">
        <v>12</v>
      </c>
      <c r="L4114" s="2" t="inlineStr">
        <is>
          <t>20260615800696</t>
        </is>
      </c>
      <c r="M4114" s="8">
        <f>HYPERLINK("https://dart.fss.or.kr/dsaf001/main.do?rcpNo=20260615800696", "공시열람")</f>
        <v/>
      </c>
    </row>
    <row r="4115" ht="22" customHeight="1">
      <c r="A4115" s="2" t="inlineStr">
        <is>
          <t>2026-06-15</t>
        </is>
      </c>
      <c r="B4115" s="3" t="inlineStr">
        <is>
          <t>위메이드</t>
        </is>
      </c>
      <c r="C4115" s="2" t="inlineStr">
        <is>
          <t>112040</t>
        </is>
      </c>
      <c r="D4115" s="2" t="inlineStr">
        <is>
          <t>대량보유</t>
        </is>
      </c>
      <c r="E4115" s="3" t="inlineStr">
        <is>
          <t>박관호</t>
        </is>
      </c>
      <c r="F4115" s="3" t="inlineStr">
        <is>
          <t>보고자</t>
        </is>
      </c>
      <c r="G4115" s="3" t="inlineStr">
        <is>
          <t>- 기존 보유주식등에 대한 담보계약 만기연장 및 상환</t>
        </is>
      </c>
      <c r="H4115" s="6" t="inlineStr"/>
      <c r="I4115" s="6" t="inlineStr"/>
      <c r="J4115" s="6" t="n">
        <v>13412580</v>
      </c>
      <c r="K4115" s="16" t="n">
        <v>3</v>
      </c>
      <c r="L4115" s="2" t="inlineStr">
        <is>
          <t>20260615000308</t>
        </is>
      </c>
      <c r="M4115" s="8">
        <f>HYPERLINK("https://dart.fss.or.kr/dsaf001/main.do?rcpNo=20260615000308", "공시열람")</f>
        <v/>
      </c>
    </row>
    <row r="4116" ht="22" customHeight="1">
      <c r="A4116" s="2" t="inlineStr">
        <is>
          <t>2026-06-15 (정정: 2026-06-17)</t>
        </is>
      </c>
      <c r="B4116" s="3" t="inlineStr">
        <is>
          <t>조이웍스앤코</t>
        </is>
      </c>
      <c r="C4116" s="2" t="inlineStr">
        <is>
          <t>309930</t>
        </is>
      </c>
      <c r="D4116" s="2" t="inlineStr">
        <is>
          <t>대량보유</t>
        </is>
      </c>
      <c r="E4116" s="3" t="inlineStr">
        <is>
          <t>-</t>
        </is>
      </c>
      <c r="F4116" s="3" t="inlineStr">
        <is>
          <t>보고자</t>
        </is>
      </c>
      <c r="G4116" s="3" t="inlineStr">
        <is>
          <t>-</t>
        </is>
      </c>
      <c r="H4116" s="6" t="inlineStr"/>
      <c r="I4116" s="6" t="inlineStr"/>
      <c r="J4116" s="6" t="inlineStr"/>
      <c r="K4116" s="18" t="inlineStr"/>
      <c r="L4116" s="2" t="inlineStr">
        <is>
          <t>20260617900476</t>
        </is>
      </c>
      <c r="M4116" s="8">
        <f>HYPERLINK("https://dart.fss.or.kr/dsaf001/main.do?rcpNo=20260617900476", "공시열람")</f>
        <v/>
      </c>
    </row>
    <row r="4117" ht="22" customHeight="1">
      <c r="A4117" s="2" t="inlineStr">
        <is>
          <t>2026-06-15</t>
        </is>
      </c>
      <c r="B4117" s="3" t="inlineStr">
        <is>
          <t>에어부산</t>
        </is>
      </c>
      <c r="C4117" s="2" t="inlineStr">
        <is>
          <t>298690</t>
        </is>
      </c>
      <c r="D4117" s="2" t="inlineStr">
        <is>
          <t>임원보고</t>
        </is>
      </c>
      <c r="E4117" s="3" t="inlineStr">
        <is>
          <t>-</t>
        </is>
      </c>
      <c r="F4117" s="3" t="inlineStr">
        <is>
          <t>-</t>
        </is>
      </c>
      <c r="G4117" s="3" t="inlineStr">
        <is>
          <t>-</t>
        </is>
      </c>
      <c r="H4117" s="6" t="inlineStr"/>
      <c r="I4117" s="6" t="inlineStr"/>
      <c r="J4117" s="6" t="inlineStr"/>
      <c r="K4117" s="16" t="n">
        <v>12</v>
      </c>
      <c r="L4117" s="2" t="inlineStr">
        <is>
          <t>20260615800673</t>
        </is>
      </c>
      <c r="M4117" s="8">
        <f>HYPERLINK("https://dart.fss.or.kr/dsaf001/main.do?rcpNo=20260615800673", "공시열람")</f>
        <v/>
      </c>
    </row>
    <row r="4118" ht="22" customHeight="1">
      <c r="A4118" s="2" t="inlineStr">
        <is>
          <t>2026-06-15</t>
        </is>
      </c>
      <c r="B4118" s="3" t="inlineStr">
        <is>
          <t>에이비온</t>
        </is>
      </c>
      <c r="C4118" s="2" t="inlineStr">
        <is>
          <t>203400</t>
        </is>
      </c>
      <c r="D4118" s="2" t="inlineStr">
        <is>
          <t>대량보유</t>
        </is>
      </c>
      <c r="E4118" s="3" t="inlineStr">
        <is>
          <t>신영기</t>
        </is>
      </c>
      <c r="F4118" s="3" t="inlineStr">
        <is>
          <t>특별관계자</t>
        </is>
      </c>
      <c r="G4118" s="3" t="inlineStr">
        <is>
          <t>장내매수(+), 기타(+), 장내매도(-), 기타(-)</t>
        </is>
      </c>
      <c r="H4118" s="17" t="n">
        <v>-4812961</v>
      </c>
      <c r="I4118" s="6" t="n">
        <v>1238</v>
      </c>
      <c r="J4118" s="6" t="n">
        <v>1288472</v>
      </c>
      <c r="K4118" s="16" t="n">
        <v>7</v>
      </c>
      <c r="L4118" s="2" t="inlineStr">
        <is>
          <t>20260615000278</t>
        </is>
      </c>
      <c r="M4118" s="8">
        <f>HYPERLINK("https://dart.fss.or.kr/dsaf001/main.do?rcpNo=20260615000278", "공시열람")</f>
        <v/>
      </c>
    </row>
    <row r="4119" ht="22" customHeight="1">
      <c r="A4119" s="2" t="inlineStr">
        <is>
          <t>2026-06-15</t>
        </is>
      </c>
      <c r="B4119" s="3" t="inlineStr">
        <is>
          <t>더네이쳐홀딩스</t>
        </is>
      </c>
      <c r="C4119" s="2" t="inlineStr">
        <is>
          <t>298540</t>
        </is>
      </c>
      <c r="D4119" s="2" t="inlineStr">
        <is>
          <t>대량보유</t>
        </is>
      </c>
      <c r="E4119" s="3" t="inlineStr">
        <is>
          <t>박영준</t>
        </is>
      </c>
      <c r="F4119" s="3" t="inlineStr">
        <is>
          <t>특별관계자</t>
        </is>
      </c>
      <c r="G4119" s="3" t="inlineStr">
        <is>
          <t>장내매수(+)</t>
        </is>
      </c>
      <c r="H4119" s="15" t="n">
        <v>3000</v>
      </c>
      <c r="I4119" s="6" t="n">
        <v>5863</v>
      </c>
      <c r="J4119" s="6" t="n">
        <v>3281470</v>
      </c>
      <c r="K4119" s="16" t="n">
        <v>10</v>
      </c>
      <c r="L4119" s="2" t="inlineStr">
        <is>
          <t>20260615000245</t>
        </is>
      </c>
      <c r="M4119" s="8">
        <f>HYPERLINK("https://dart.fss.or.kr/dsaf001/main.do?rcpNo=20260615000245", "공시열람")</f>
        <v/>
      </c>
    </row>
    <row r="4120" ht="22" customHeight="1">
      <c r="A4120" s="2" t="inlineStr">
        <is>
          <t>2026-06-15</t>
        </is>
      </c>
      <c r="B4120" s="3" t="inlineStr">
        <is>
          <t>IPARK현대산업개발</t>
        </is>
      </c>
      <c r="C4120" s="2" t="inlineStr">
        <is>
          <t>294870</t>
        </is>
      </c>
      <c r="D4120" s="2" t="inlineStr">
        <is>
          <t>대량보유</t>
        </is>
      </c>
      <c r="E4120" s="3" t="inlineStr">
        <is>
          <t>베어링자산운용</t>
        </is>
      </c>
      <c r="F4120" s="3" t="inlineStr">
        <is>
          <t>특별관계자</t>
        </is>
      </c>
      <c r="G4120" s="3" t="inlineStr">
        <is>
          <t>신규보고(+)</t>
        </is>
      </c>
      <c r="H4120" s="15" t="n">
        <v>3221785</v>
      </c>
      <c r="I4120" s="6" t="inlineStr"/>
      <c r="J4120" s="6" t="n">
        <v>3221785</v>
      </c>
      <c r="K4120" s="16" t="n">
        <v>3</v>
      </c>
      <c r="L4120" s="2" t="inlineStr">
        <is>
          <t>20260615000231</t>
        </is>
      </c>
      <c r="M4120" s="8">
        <f>HYPERLINK("https://dart.fss.or.kr/dsaf001/main.do?rcpNo=20260615000231", "공시열람")</f>
        <v/>
      </c>
    </row>
    <row r="4121" ht="22" customHeight="1">
      <c r="A4121" s="2" t="inlineStr">
        <is>
          <t>2026-06-15</t>
        </is>
      </c>
      <c r="B4121" s="3" t="inlineStr">
        <is>
          <t>IPARK현대산업개발</t>
        </is>
      </c>
      <c r="C4121" s="2" t="inlineStr">
        <is>
          <t>294870</t>
        </is>
      </c>
      <c r="D4121" s="2" t="inlineStr">
        <is>
          <t>대량보유</t>
        </is>
      </c>
      <c r="E4121" s="3" t="inlineStr">
        <is>
          <t>베어링고배당증권투자회사(주식)</t>
        </is>
      </c>
      <c r="F4121" s="3" t="inlineStr">
        <is>
          <t>특별관계자</t>
        </is>
      </c>
      <c r="G4121" s="3" t="inlineStr">
        <is>
          <t>신규보고(+)</t>
        </is>
      </c>
      <c r="H4121" s="15" t="n">
        <v>99212</v>
      </c>
      <c r="I4121" s="6" t="inlineStr"/>
      <c r="J4121" s="6" t="n">
        <v>99212</v>
      </c>
      <c r="K4121" s="16" t="n">
        <v>3</v>
      </c>
      <c r="L4121" s="2" t="inlineStr">
        <is>
          <t>20260615000231</t>
        </is>
      </c>
      <c r="M4121" s="8">
        <f>HYPERLINK("https://dart.fss.or.kr/dsaf001/main.do?rcpNo=20260615000231", "공시열람")</f>
        <v/>
      </c>
    </row>
    <row r="4122" ht="22" customHeight="1">
      <c r="A4122" s="2" t="inlineStr">
        <is>
          <t>2026-06-15</t>
        </is>
      </c>
      <c r="B4122" s="3" t="inlineStr">
        <is>
          <t>IPARK현대산업개발</t>
        </is>
      </c>
      <c r="C4122" s="2" t="inlineStr">
        <is>
          <t>294870</t>
        </is>
      </c>
      <c r="D4122" s="2" t="inlineStr">
        <is>
          <t>대량보유</t>
        </is>
      </c>
      <c r="E4122" s="3" t="inlineStr">
        <is>
          <t>베어링고배당밸런스드60증권투자회사(주식혼합)</t>
        </is>
      </c>
      <c r="F4122" s="3" t="inlineStr">
        <is>
          <t>특별관계자</t>
        </is>
      </c>
      <c r="G4122" s="3" t="inlineStr">
        <is>
          <t>신규보고(+)</t>
        </is>
      </c>
      <c r="H4122" s="15" t="n">
        <v>2235</v>
      </c>
      <c r="I4122" s="6" t="inlineStr"/>
      <c r="J4122" s="6" t="n">
        <v>2235</v>
      </c>
      <c r="K4122" s="16" t="n">
        <v>3</v>
      </c>
      <c r="L4122" s="2" t="inlineStr">
        <is>
          <t>20260615000231</t>
        </is>
      </c>
      <c r="M4122" s="8">
        <f>HYPERLINK("https://dart.fss.or.kr/dsaf001/main.do?rcpNo=20260615000231", "공시열람")</f>
        <v/>
      </c>
    </row>
    <row r="4123" ht="22" customHeight="1">
      <c r="A4123" s="2" t="inlineStr">
        <is>
          <t>2026-06-15</t>
        </is>
      </c>
      <c r="B4123" s="3" t="inlineStr">
        <is>
          <t>라온텍</t>
        </is>
      </c>
      <c r="C4123" s="2" t="inlineStr">
        <is>
          <t>418420</t>
        </is>
      </c>
      <c r="D4123" s="2" t="inlineStr">
        <is>
          <t>대량보유</t>
        </is>
      </c>
      <c r="E4123" s="3" t="inlineStr">
        <is>
          <t>김민석</t>
        </is>
      </c>
      <c r="F4123" s="3" t="inlineStr">
        <is>
          <t>특별관계자</t>
        </is>
      </c>
      <c r="G4123" s="3" t="inlineStr">
        <is>
          <t>주식매수청구권 행사(+), 주식매수선택권행사(-)</t>
        </is>
      </c>
      <c r="H4123" s="6" t="inlineStr"/>
      <c r="I4123" s="6" t="n">
        <v>2400</v>
      </c>
      <c r="J4123" s="6" t="n">
        <v>16375</v>
      </c>
      <c r="K4123" s="16" t="n">
        <v>6</v>
      </c>
      <c r="L4123" s="2" t="inlineStr">
        <is>
          <t>20260615000230</t>
        </is>
      </c>
      <c r="M4123" s="8">
        <f>HYPERLINK("https://dart.fss.or.kr/dsaf001/main.do?rcpNo=20260615000230", "공시열람")</f>
        <v/>
      </c>
    </row>
    <row r="4124" ht="22" customHeight="1">
      <c r="A4124" s="2" t="inlineStr">
        <is>
          <t>2026-06-15</t>
        </is>
      </c>
      <c r="B4124" s="3" t="inlineStr">
        <is>
          <t>삼목에스폼</t>
        </is>
      </c>
      <c r="C4124" s="2" t="inlineStr">
        <is>
          <t>018310</t>
        </is>
      </c>
      <c r="D4124" s="2" t="inlineStr">
        <is>
          <t>대량보유</t>
        </is>
      </c>
      <c r="E4124" s="3" t="inlineStr">
        <is>
          <t>에스폼(주)</t>
        </is>
      </c>
      <c r="F4124" s="3" t="inlineStr">
        <is>
          <t>특별관계자</t>
        </is>
      </c>
      <c r="G4124" s="3" t="inlineStr">
        <is>
          <t>공개매수(+)</t>
        </is>
      </c>
      <c r="H4124" s="15" t="n">
        <v>1200000</v>
      </c>
      <c r="I4124" s="6" t="n">
        <v>22800</v>
      </c>
      <c r="J4124" s="6" t="n">
        <v>6903203</v>
      </c>
      <c r="K4124" s="16" t="n">
        <v>16</v>
      </c>
      <c r="L4124" s="2" t="inlineStr">
        <is>
          <t>20260615000217</t>
        </is>
      </c>
      <c r="M4124" s="8">
        <f>HYPERLINK("https://dart.fss.or.kr/dsaf001/main.do?rcpNo=20260615000217", "공시열람")</f>
        <v/>
      </c>
    </row>
    <row r="4125" ht="22" customHeight="1">
      <c r="A4125" s="2" t="inlineStr">
        <is>
          <t>2026-06-15</t>
        </is>
      </c>
      <c r="B4125" s="3" t="inlineStr">
        <is>
          <t>미원홀딩스</t>
        </is>
      </c>
      <c r="C4125" s="2" t="inlineStr">
        <is>
          <t>107590</t>
        </is>
      </c>
      <c r="D4125" s="2" t="inlineStr">
        <is>
          <t>임원보고</t>
        </is>
      </c>
      <c r="E4125" s="3" t="inlineStr">
        <is>
          <t>-</t>
        </is>
      </c>
      <c r="F4125" s="3" t="inlineStr">
        <is>
          <t>-</t>
        </is>
      </c>
      <c r="G4125" s="3" t="inlineStr">
        <is>
          <t>-</t>
        </is>
      </c>
      <c r="H4125" s="6" t="inlineStr"/>
      <c r="I4125" s="6" t="inlineStr"/>
      <c r="J4125" s="6" t="inlineStr"/>
      <c r="K4125" s="16" t="n">
        <v>12</v>
      </c>
      <c r="L4125" s="2" t="inlineStr">
        <is>
          <t>20260615800493</t>
        </is>
      </c>
      <c r="M4125" s="8">
        <f>HYPERLINK("https://dart.fss.or.kr/dsaf001/main.do?rcpNo=20260615800493", "공시열람")</f>
        <v/>
      </c>
    </row>
    <row r="4126" ht="22" customHeight="1">
      <c r="A4126" s="2" t="inlineStr">
        <is>
          <t>2026-06-15</t>
        </is>
      </c>
      <c r="B4126" s="3" t="inlineStr">
        <is>
          <t>명신산업</t>
        </is>
      </c>
      <c r="C4126" s="2" t="inlineStr">
        <is>
          <t>009900</t>
        </is>
      </c>
      <c r="D4126" s="2" t="inlineStr">
        <is>
          <t>대량보유</t>
        </is>
      </c>
      <c r="E4126" s="3" t="inlineStr">
        <is>
          <t>엠에스오토텍</t>
        </is>
      </c>
      <c r="F4126" s="3" t="inlineStr">
        <is>
          <t>보고자</t>
        </is>
      </c>
      <c r="G4126" s="3" t="inlineStr">
        <is>
          <t>주식담보 수량 변경(대출 일부 상환)</t>
        </is>
      </c>
      <c r="H4126" s="6" t="inlineStr"/>
      <c r="I4126" s="6" t="inlineStr"/>
      <c r="J4126" s="6" t="n">
        <v>23848210</v>
      </c>
      <c r="K4126" s="16" t="n">
        <v>1</v>
      </c>
      <c r="L4126" s="2" t="inlineStr">
        <is>
          <t>20260615000179</t>
        </is>
      </c>
      <c r="M4126" s="8">
        <f>HYPERLINK("https://dart.fss.or.kr/dsaf001/main.do?rcpNo=20260615000179", "공시열람")</f>
        <v/>
      </c>
    </row>
    <row r="4127" ht="22" customHeight="1">
      <c r="A4127" s="2" t="inlineStr">
        <is>
          <t>2026-06-15</t>
        </is>
      </c>
      <c r="B4127" s="3" t="inlineStr">
        <is>
          <t>전진바이오팜</t>
        </is>
      </c>
      <c r="C4127" s="2" t="inlineStr">
        <is>
          <t>110020</t>
        </is>
      </c>
      <c r="D4127" s="2" t="inlineStr">
        <is>
          <t>대량보유</t>
        </is>
      </c>
      <c r="E4127" s="3" t="inlineStr">
        <is>
          <t>이태훈</t>
        </is>
      </c>
      <c r="F4127" s="3" t="inlineStr">
        <is>
          <t>특별관계자</t>
        </is>
      </c>
      <c r="G4127" s="3" t="inlineStr">
        <is>
          <t>장내매수(+)</t>
        </is>
      </c>
      <c r="H4127" s="15" t="n">
        <v>24740</v>
      </c>
      <c r="I4127" s="6" t="n">
        <v>1885</v>
      </c>
      <c r="J4127" s="6" t="n">
        <v>402222</v>
      </c>
      <c r="K4127" s="16" t="n">
        <v>1</v>
      </c>
      <c r="L4127" s="2" t="inlineStr">
        <is>
          <t>20260615000172</t>
        </is>
      </c>
      <c r="M4127" s="8">
        <f>HYPERLINK("https://dart.fss.or.kr/dsaf001/main.do?rcpNo=20260615000172", "공시열람")</f>
        <v/>
      </c>
    </row>
    <row r="4128" ht="22" customHeight="1">
      <c r="A4128" s="2" t="inlineStr">
        <is>
          <t>2026-06-15</t>
        </is>
      </c>
      <c r="B4128" s="3" t="inlineStr">
        <is>
          <t>미래반도체</t>
        </is>
      </c>
      <c r="C4128" s="2" t="inlineStr">
        <is>
          <t>254490</t>
        </is>
      </c>
      <c r="D4128" s="2" t="inlineStr">
        <is>
          <t>대량보유</t>
        </is>
      </c>
      <c r="E4128" s="3" t="inlineStr">
        <is>
          <t>이정</t>
        </is>
      </c>
      <c r="F4128" s="3" t="inlineStr">
        <is>
          <t>보고자</t>
        </is>
      </c>
      <c r="G4128" s="3" t="inlineStr">
        <is>
          <t>주식담보계약 만기 연장</t>
        </is>
      </c>
      <c r="H4128" s="6" t="inlineStr"/>
      <c r="I4128" s="6" t="inlineStr"/>
      <c r="J4128" s="6" t="n">
        <v>10555595</v>
      </c>
      <c r="K4128" s="16" t="n">
        <v>4</v>
      </c>
      <c r="L4128" s="2" t="inlineStr">
        <is>
          <t>20260615000158</t>
        </is>
      </c>
      <c r="M4128" s="8">
        <f>HYPERLINK("https://dart.fss.or.kr/dsaf001/main.do?rcpNo=20260615000158", "공시열람")</f>
        <v/>
      </c>
    </row>
    <row r="4129" ht="22" customHeight="1">
      <c r="A4129" s="2" t="inlineStr">
        <is>
          <t>2026-06-15</t>
        </is>
      </c>
      <c r="B4129" s="3" t="inlineStr">
        <is>
          <t>문배철강</t>
        </is>
      </c>
      <c r="C4129" s="2" t="inlineStr">
        <is>
          <t>008420</t>
        </is>
      </c>
      <c r="D4129" s="2" t="inlineStr">
        <is>
          <t>대량보유</t>
        </is>
      </c>
      <c r="E4129" s="3" t="inlineStr">
        <is>
          <t>배종순</t>
        </is>
      </c>
      <c r="F4129" s="3" t="inlineStr">
        <is>
          <t>특별관계자</t>
        </is>
      </c>
      <c r="G4129" s="3" t="inlineStr">
        <is>
          <t>장내매수(+)</t>
        </is>
      </c>
      <c r="H4129" s="15" t="n">
        <v>3000</v>
      </c>
      <c r="I4129" s="6" t="n">
        <v>3350</v>
      </c>
      <c r="J4129" s="6" t="n">
        <v>128375</v>
      </c>
      <c r="K4129" s="16" t="n">
        <v>11</v>
      </c>
      <c r="L4129" s="2" t="inlineStr">
        <is>
          <t>20260615000144</t>
        </is>
      </c>
      <c r="M4129" s="8">
        <f>HYPERLINK("https://dart.fss.or.kr/dsaf001/main.do?rcpNo=20260615000144", "공시열람")</f>
        <v/>
      </c>
    </row>
    <row r="4130" ht="22" customHeight="1">
      <c r="A4130" s="2" t="inlineStr">
        <is>
          <t>2026-06-15</t>
        </is>
      </c>
      <c r="B4130" s="3" t="inlineStr">
        <is>
          <t>문배철강</t>
        </is>
      </c>
      <c r="C4130" s="2" t="inlineStr">
        <is>
          <t>008420</t>
        </is>
      </c>
      <c r="D4130" s="2" t="inlineStr">
        <is>
          <t>대량보유</t>
        </is>
      </c>
      <c r="E4130" s="3" t="inlineStr">
        <is>
          <t>배승준</t>
        </is>
      </c>
      <c r="F4130" s="3" t="inlineStr">
        <is>
          <t>특별관계자</t>
        </is>
      </c>
      <c r="G4130" s="3" t="inlineStr">
        <is>
          <t>장내매수(+)</t>
        </is>
      </c>
      <c r="H4130" s="15" t="n">
        <v>40000</v>
      </c>
      <c r="I4130" s="6" t="n">
        <v>1246</v>
      </c>
      <c r="J4130" s="6" t="n">
        <v>2969100</v>
      </c>
      <c r="K4130" s="16" t="n">
        <v>11</v>
      </c>
      <c r="L4130" s="2" t="inlineStr">
        <is>
          <t>20260615000144</t>
        </is>
      </c>
      <c r="M4130" s="8">
        <f>HYPERLINK("https://dart.fss.or.kr/dsaf001/main.do?rcpNo=20260615000144", "공시열람")</f>
        <v/>
      </c>
    </row>
    <row r="4131" ht="22" customHeight="1">
      <c r="A4131" s="2" t="inlineStr">
        <is>
          <t>2026-06-15</t>
        </is>
      </c>
      <c r="B4131" s="3" t="inlineStr">
        <is>
          <t>문배철강</t>
        </is>
      </c>
      <c r="C4131" s="2" t="inlineStr">
        <is>
          <t>008420</t>
        </is>
      </c>
      <c r="D4131" s="2" t="inlineStr">
        <is>
          <t>대량보유</t>
        </is>
      </c>
      <c r="E4131" s="3" t="inlineStr">
        <is>
          <t>배윤경</t>
        </is>
      </c>
      <c r="F4131" s="3" t="inlineStr">
        <is>
          <t>특별관계자</t>
        </is>
      </c>
      <c r="G4131" s="3" t="inlineStr">
        <is>
          <t>장내매수(+)</t>
        </is>
      </c>
      <c r="H4131" s="15" t="n">
        <v>222600</v>
      </c>
      <c r="I4131" s="6" t="n">
        <v>2247</v>
      </c>
      <c r="J4131" s="6" t="n">
        <v>346600</v>
      </c>
      <c r="K4131" s="16" t="n">
        <v>11</v>
      </c>
      <c r="L4131" s="2" t="inlineStr">
        <is>
          <t>20260615000144</t>
        </is>
      </c>
      <c r="M4131" s="8">
        <f>HYPERLINK("https://dart.fss.or.kr/dsaf001/main.do?rcpNo=20260615000144", "공시열람")</f>
        <v/>
      </c>
    </row>
    <row r="4132" ht="22" customHeight="1">
      <c r="A4132" s="2" t="inlineStr">
        <is>
          <t>2026-06-15</t>
        </is>
      </c>
      <c r="B4132" s="3" t="inlineStr">
        <is>
          <t>문배철강</t>
        </is>
      </c>
      <c r="C4132" s="2" t="inlineStr">
        <is>
          <t>008420</t>
        </is>
      </c>
      <c r="D4132" s="2" t="inlineStr">
        <is>
          <t>대량보유</t>
        </is>
      </c>
      <c r="E4132" s="3" t="inlineStr">
        <is>
          <t>배윤선</t>
        </is>
      </c>
      <c r="F4132" s="3" t="inlineStr">
        <is>
          <t>특별관계자</t>
        </is>
      </c>
      <c r="G4132" s="3" t="inlineStr">
        <is>
          <t>장내매수(+)</t>
        </is>
      </c>
      <c r="H4132" s="15" t="n">
        <v>220143</v>
      </c>
      <c r="I4132" s="6" t="n">
        <v>2271</v>
      </c>
      <c r="J4132" s="6" t="n">
        <v>343143</v>
      </c>
      <c r="K4132" s="16" t="n">
        <v>11</v>
      </c>
      <c r="L4132" s="2" t="inlineStr">
        <is>
          <t>20260615000144</t>
        </is>
      </c>
      <c r="M4132" s="8">
        <f>HYPERLINK("https://dart.fss.or.kr/dsaf001/main.do?rcpNo=20260615000144", "공시열람")</f>
        <v/>
      </c>
    </row>
    <row r="4133" ht="22" customHeight="1">
      <c r="A4133" s="2" t="inlineStr">
        <is>
          <t>2026-06-15</t>
        </is>
      </c>
      <c r="B4133" s="3" t="inlineStr">
        <is>
          <t>문배철강</t>
        </is>
      </c>
      <c r="C4133" s="2" t="inlineStr">
        <is>
          <t>008420</t>
        </is>
      </c>
      <c r="D4133" s="2" t="inlineStr">
        <is>
          <t>대량보유</t>
        </is>
      </c>
      <c r="E4133" s="3" t="inlineStr">
        <is>
          <t>배윤정</t>
        </is>
      </c>
      <c r="F4133" s="3" t="inlineStr">
        <is>
          <t>특별관계자</t>
        </is>
      </c>
      <c r="G4133" s="3" t="inlineStr">
        <is>
          <t>장내매수(+)</t>
        </is>
      </c>
      <c r="H4133" s="15" t="n">
        <v>223200</v>
      </c>
      <c r="I4133" s="6" t="n">
        <v>2240</v>
      </c>
      <c r="J4133" s="6" t="n">
        <v>346200</v>
      </c>
      <c r="K4133" s="16" t="n">
        <v>11</v>
      </c>
      <c r="L4133" s="2" t="inlineStr">
        <is>
          <t>20260615000144</t>
        </is>
      </c>
      <c r="M4133" s="8">
        <f>HYPERLINK("https://dart.fss.or.kr/dsaf001/main.do?rcpNo=20260615000144", "공시열람")</f>
        <v/>
      </c>
    </row>
    <row r="4134" ht="22" customHeight="1">
      <c r="A4134" s="2" t="inlineStr">
        <is>
          <t>2026-06-15</t>
        </is>
      </c>
      <c r="B4134" s="3" t="inlineStr">
        <is>
          <t>문배철강</t>
        </is>
      </c>
      <c r="C4134" s="2" t="inlineStr">
        <is>
          <t>008420</t>
        </is>
      </c>
      <c r="D4134" s="2" t="inlineStr">
        <is>
          <t>대량보유</t>
        </is>
      </c>
      <c r="E4134" s="3" t="inlineStr">
        <is>
          <t>이창환</t>
        </is>
      </c>
      <c r="F4134" s="3" t="inlineStr">
        <is>
          <t>특별관계자</t>
        </is>
      </c>
      <c r="G4134" s="3" t="inlineStr">
        <is>
          <t>장내매수(+)</t>
        </is>
      </c>
      <c r="H4134" s="15" t="n">
        <v>25000</v>
      </c>
      <c r="I4134" s="6" t="n">
        <v>2081</v>
      </c>
      <c r="J4134" s="6" t="n">
        <v>25000</v>
      </c>
      <c r="K4134" s="16" t="n">
        <v>11</v>
      </c>
      <c r="L4134" s="2" t="inlineStr">
        <is>
          <t>20260615000144</t>
        </is>
      </c>
      <c r="M4134" s="8">
        <f>HYPERLINK("https://dart.fss.or.kr/dsaf001/main.do?rcpNo=20260615000144", "공시열람")</f>
        <v/>
      </c>
    </row>
    <row r="4135" ht="22" customHeight="1">
      <c r="A4135" s="2" t="inlineStr">
        <is>
          <t>2026-06-15</t>
        </is>
      </c>
      <c r="B4135" s="3" t="inlineStr">
        <is>
          <t>문배철강</t>
        </is>
      </c>
      <c r="C4135" s="2" t="inlineStr">
        <is>
          <t>008420</t>
        </is>
      </c>
      <c r="D4135" s="2" t="inlineStr">
        <is>
          <t>대량보유</t>
        </is>
      </c>
      <c r="E4135" s="3" t="inlineStr">
        <is>
          <t>(주)N.I스틸</t>
        </is>
      </c>
      <c r="F4135" s="3" t="inlineStr">
        <is>
          <t>특별관계자</t>
        </is>
      </c>
      <c r="G4135" s="3" t="inlineStr">
        <is>
          <t>시간외매매(+)</t>
        </is>
      </c>
      <c r="H4135" s="15" t="n">
        <v>1935621</v>
      </c>
      <c r="I4135" s="6" t="n">
        <v>2090</v>
      </c>
      <c r="J4135" s="6" t="n">
        <v>1935621</v>
      </c>
      <c r="K4135" s="16" t="n">
        <v>11</v>
      </c>
      <c r="L4135" s="2" t="inlineStr">
        <is>
          <t>20260615000144</t>
        </is>
      </c>
      <c r="M4135" s="8">
        <f>HYPERLINK("https://dart.fss.or.kr/dsaf001/main.do?rcpNo=20260615000144", "공시열람")</f>
        <v/>
      </c>
    </row>
    <row r="4136" ht="22" customHeight="1">
      <c r="A4136" s="2" t="inlineStr">
        <is>
          <t>2026-06-15</t>
        </is>
      </c>
      <c r="B4136" s="3" t="inlineStr">
        <is>
          <t>문배철강</t>
        </is>
      </c>
      <c r="C4136" s="2" t="inlineStr">
        <is>
          <t>008420</t>
        </is>
      </c>
      <c r="D4136" s="2" t="inlineStr">
        <is>
          <t>대량보유</t>
        </is>
      </c>
      <c r="E4136" s="3" t="inlineStr">
        <is>
          <t>창화철강(주)</t>
        </is>
      </c>
      <c r="F4136" s="3" t="inlineStr">
        <is>
          <t>특별관계자</t>
        </is>
      </c>
      <c r="G4136" s="3" t="inlineStr">
        <is>
          <t>장내매수(+)</t>
        </is>
      </c>
      <c r="H4136" s="15" t="n">
        <v>682379</v>
      </c>
      <c r="I4136" s="6" t="n">
        <v>2249</v>
      </c>
      <c r="J4136" s="6" t="n">
        <v>682379</v>
      </c>
      <c r="K4136" s="16" t="n">
        <v>11</v>
      </c>
      <c r="L4136" s="2" t="inlineStr">
        <is>
          <t>20260615000144</t>
        </is>
      </c>
      <c r="M4136" s="8">
        <f>HYPERLINK("https://dart.fss.or.kr/dsaf001/main.do?rcpNo=20260615000144", "공시열람")</f>
        <v/>
      </c>
    </row>
    <row r="4137" ht="22" customHeight="1">
      <c r="A4137" s="2" t="inlineStr">
        <is>
          <t>2026-06-15</t>
        </is>
      </c>
      <c r="B4137" s="3" t="inlineStr">
        <is>
          <t>일정실업</t>
        </is>
      </c>
      <c r="C4137" s="2" t="inlineStr">
        <is>
          <t>008500</t>
        </is>
      </c>
      <c r="D4137" s="2" t="inlineStr">
        <is>
          <t>임원보고</t>
        </is>
      </c>
      <c r="E4137" s="3" t="inlineStr">
        <is>
          <t>-</t>
        </is>
      </c>
      <c r="F4137" s="3" t="inlineStr">
        <is>
          <t>-</t>
        </is>
      </c>
      <c r="G4137" s="3" t="inlineStr">
        <is>
          <t>-</t>
        </is>
      </c>
      <c r="H4137" s="6" t="inlineStr"/>
      <c r="I4137" s="6" t="inlineStr"/>
      <c r="J4137" s="6" t="inlineStr"/>
      <c r="K4137" s="16" t="n">
        <v>12</v>
      </c>
      <c r="L4137" s="2" t="inlineStr">
        <is>
          <t>20260615800389</t>
        </is>
      </c>
      <c r="M4137" s="8">
        <f>HYPERLINK("https://dart.fss.or.kr/dsaf001/main.do?rcpNo=20260615800389", "공시열람")</f>
        <v/>
      </c>
    </row>
    <row r="4138" ht="22" customHeight="1">
      <c r="A4138" s="2" t="inlineStr">
        <is>
          <t>2026-06-15</t>
        </is>
      </c>
      <c r="B4138" s="3" t="inlineStr">
        <is>
          <t>문배철강</t>
        </is>
      </c>
      <c r="C4138" s="2" t="inlineStr">
        <is>
          <t>008420</t>
        </is>
      </c>
      <c r="D4138" s="2" t="inlineStr">
        <is>
          <t>임원보고</t>
        </is>
      </c>
      <c r="E4138" s="3" t="inlineStr">
        <is>
          <t>-</t>
        </is>
      </c>
      <c r="F4138" s="3" t="inlineStr">
        <is>
          <t>-</t>
        </is>
      </c>
      <c r="G4138" s="3" t="inlineStr">
        <is>
          <t>-</t>
        </is>
      </c>
      <c r="H4138" s="6" t="inlineStr"/>
      <c r="I4138" s="6" t="inlineStr"/>
      <c r="J4138" s="6" t="inlineStr"/>
      <c r="K4138" s="16" t="n">
        <v>12</v>
      </c>
      <c r="L4138" s="2" t="inlineStr">
        <is>
          <t>20260615800365</t>
        </is>
      </c>
      <c r="M4138" s="8">
        <f>HYPERLINK("https://dart.fss.or.kr/dsaf001/main.do?rcpNo=20260615800365", "공시열람")</f>
        <v/>
      </c>
    </row>
    <row r="4139" ht="22" customHeight="1">
      <c r="A4139" s="2" t="inlineStr">
        <is>
          <t>2026-06-15</t>
        </is>
      </c>
      <c r="B4139" s="3" t="inlineStr">
        <is>
          <t>에넥스</t>
        </is>
      </c>
      <c r="C4139" s="2" t="inlineStr">
        <is>
          <t>011090</t>
        </is>
      </c>
      <c r="D4139" s="2" t="inlineStr">
        <is>
          <t>대량보유</t>
        </is>
      </c>
      <c r="E4139" s="3" t="inlineStr">
        <is>
          <t>박진규</t>
        </is>
      </c>
      <c r="F4139" s="3" t="inlineStr">
        <is>
          <t>특별관계자</t>
        </is>
      </c>
      <c r="G4139" s="3" t="inlineStr">
        <is>
          <t>장내매수(+)</t>
        </is>
      </c>
      <c r="H4139" s="15" t="n">
        <v>16600</v>
      </c>
      <c r="I4139" s="6" t="n">
        <v>1314</v>
      </c>
      <c r="J4139" s="6" t="n">
        <v>2729558</v>
      </c>
      <c r="K4139" s="16" t="n">
        <v>9</v>
      </c>
      <c r="L4139" s="2" t="inlineStr">
        <is>
          <t>20260615000125</t>
        </is>
      </c>
      <c r="M4139" s="8">
        <f>HYPERLINK("https://dart.fss.or.kr/dsaf001/main.do?rcpNo=20260615000125", "공시열람")</f>
        <v/>
      </c>
    </row>
    <row r="4140" ht="22" customHeight="1">
      <c r="A4140" s="2" t="inlineStr">
        <is>
          <t>2026-06-15</t>
        </is>
      </c>
      <c r="B4140" s="3" t="inlineStr">
        <is>
          <t>에넥스</t>
        </is>
      </c>
      <c r="C4140" s="2" t="inlineStr">
        <is>
          <t>011090</t>
        </is>
      </c>
      <c r="D4140" s="2" t="inlineStr">
        <is>
          <t>임원보고</t>
        </is>
      </c>
      <c r="E4140" s="3" t="inlineStr">
        <is>
          <t>-</t>
        </is>
      </c>
      <c r="F4140" s="3" t="inlineStr">
        <is>
          <t>-</t>
        </is>
      </c>
      <c r="G4140" s="3" t="inlineStr">
        <is>
          <t>-</t>
        </is>
      </c>
      <c r="H4140" s="6" t="inlineStr"/>
      <c r="I4140" s="6" t="inlineStr"/>
      <c r="J4140" s="6" t="inlineStr"/>
      <c r="K4140" s="16" t="n">
        <v>12</v>
      </c>
      <c r="L4140" s="2" t="inlineStr">
        <is>
          <t>20260615800356</t>
        </is>
      </c>
      <c r="M4140" s="8">
        <f>HYPERLINK("https://dart.fss.or.kr/dsaf001/main.do?rcpNo=20260615800356", "공시열람")</f>
        <v/>
      </c>
    </row>
    <row r="4141" ht="22" customHeight="1">
      <c r="A4141" s="2" t="inlineStr">
        <is>
          <t>2026-06-15</t>
        </is>
      </c>
      <c r="B4141" s="3" t="inlineStr">
        <is>
          <t>중앙백신</t>
        </is>
      </c>
      <c r="C4141" s="2" t="inlineStr">
        <is>
          <t>072020</t>
        </is>
      </c>
      <c r="D4141" s="2" t="inlineStr">
        <is>
          <t>대량보유</t>
        </is>
      </c>
      <c r="E4141" s="3" t="inlineStr">
        <is>
          <t>김필봉</t>
        </is>
      </c>
      <c r="F4141" s="3" t="inlineStr">
        <is>
          <t>특별관계자</t>
        </is>
      </c>
      <c r="G4141" s="3" t="inlineStr">
        <is>
          <t>장내매도(-)</t>
        </is>
      </c>
      <c r="H4141" s="17" t="n">
        <v>-23118</v>
      </c>
      <c r="I4141" s="6" t="n">
        <v>9935</v>
      </c>
      <c r="J4141" s="6" t="n">
        <v>16630</v>
      </c>
      <c r="K4141" s="16" t="n">
        <v>11</v>
      </c>
      <c r="L4141" s="2" t="inlineStr">
        <is>
          <t>20260615000118</t>
        </is>
      </c>
      <c r="M4141" s="8">
        <f>HYPERLINK("https://dart.fss.or.kr/dsaf001/main.do?rcpNo=20260615000118", "공시열람")</f>
        <v/>
      </c>
    </row>
    <row r="4142" ht="22" customHeight="1">
      <c r="A4142" s="2" t="inlineStr">
        <is>
          <t>2026-06-15</t>
        </is>
      </c>
      <c r="B4142" s="3" t="inlineStr">
        <is>
          <t>중앙백신</t>
        </is>
      </c>
      <c r="C4142" s="2" t="inlineStr">
        <is>
          <t>072020</t>
        </is>
      </c>
      <c r="D4142" s="2" t="inlineStr">
        <is>
          <t>대량보유</t>
        </is>
      </c>
      <c r="E4142" s="3" t="inlineStr">
        <is>
          <t>윤석인</t>
        </is>
      </c>
      <c r="F4142" s="3" t="inlineStr">
        <is>
          <t>특별관계자</t>
        </is>
      </c>
      <c r="G4142" s="3" t="inlineStr">
        <is>
          <t>장내매수(+)</t>
        </is>
      </c>
      <c r="H4142" s="15" t="n">
        <v>13515</v>
      </c>
      <c r="I4142" s="6" t="n">
        <v>9672</v>
      </c>
      <c r="J4142" s="6" t="n">
        <v>730666</v>
      </c>
      <c r="K4142" s="16" t="n">
        <v>11</v>
      </c>
      <c r="L4142" s="2" t="inlineStr">
        <is>
          <t>20260615000118</t>
        </is>
      </c>
      <c r="M4142" s="8">
        <f>HYPERLINK("https://dart.fss.or.kr/dsaf001/main.do?rcpNo=20260615000118", "공시열람")</f>
        <v/>
      </c>
    </row>
    <row r="4143" ht="22" customHeight="1">
      <c r="A4143" s="2" t="inlineStr">
        <is>
          <t>2026-06-15</t>
        </is>
      </c>
      <c r="B4143" s="3" t="inlineStr">
        <is>
          <t>중앙백신</t>
        </is>
      </c>
      <c r="C4143" s="2" t="inlineStr">
        <is>
          <t>072020</t>
        </is>
      </c>
      <c r="D4143" s="2" t="inlineStr">
        <is>
          <t>대량보유</t>
        </is>
      </c>
      <c r="E4143" s="3" t="inlineStr">
        <is>
          <t>김은희</t>
        </is>
      </c>
      <c r="F4143" s="3" t="inlineStr">
        <is>
          <t>특별관계자</t>
        </is>
      </c>
      <c r="G4143" s="3" t="inlineStr">
        <is>
          <t>장내매수(+)</t>
        </is>
      </c>
      <c r="H4143" s="15" t="n">
        <v>31000</v>
      </c>
      <c r="I4143" s="6" t="n">
        <v>9795</v>
      </c>
      <c r="J4143" s="6" t="n">
        <v>217789</v>
      </c>
      <c r="K4143" s="16" t="n">
        <v>11</v>
      </c>
      <c r="L4143" s="2" t="inlineStr">
        <is>
          <t>20260615000118</t>
        </is>
      </c>
      <c r="M4143" s="8">
        <f>HYPERLINK("https://dart.fss.or.kr/dsaf001/main.do?rcpNo=20260615000118", "공시열람")</f>
        <v/>
      </c>
    </row>
    <row r="4144" ht="22" customHeight="1">
      <c r="A4144" s="2" t="inlineStr">
        <is>
          <t>2026-06-15</t>
        </is>
      </c>
      <c r="B4144" s="3" t="inlineStr">
        <is>
          <t>중앙백신</t>
        </is>
      </c>
      <c r="C4144" s="2" t="inlineStr">
        <is>
          <t>072020</t>
        </is>
      </c>
      <c r="D4144" s="2" t="inlineStr">
        <is>
          <t>대량보유</t>
        </is>
      </c>
      <c r="E4144" s="3" t="inlineStr">
        <is>
          <t>윤석원</t>
        </is>
      </c>
      <c r="F4144" s="3" t="inlineStr">
        <is>
          <t>특별관계자</t>
        </is>
      </c>
      <c r="G4144" s="3" t="inlineStr">
        <is>
          <t>장내매수(+)</t>
        </is>
      </c>
      <c r="H4144" s="15" t="n">
        <v>11000</v>
      </c>
      <c r="I4144" s="6" t="n">
        <v>9290</v>
      </c>
      <c r="J4144" s="6" t="n">
        <v>37320</v>
      </c>
      <c r="K4144" s="16" t="n">
        <v>11</v>
      </c>
      <c r="L4144" s="2" t="inlineStr">
        <is>
          <t>20260615000118</t>
        </is>
      </c>
      <c r="M4144" s="8">
        <f>HYPERLINK("https://dart.fss.or.kr/dsaf001/main.do?rcpNo=20260615000118", "공시열람")</f>
        <v/>
      </c>
    </row>
    <row r="4145" ht="22" customHeight="1">
      <c r="A4145" s="2" t="inlineStr">
        <is>
          <t>2026-06-15</t>
        </is>
      </c>
      <c r="B4145" s="3" t="inlineStr">
        <is>
          <t>중앙백신</t>
        </is>
      </c>
      <c r="C4145" s="2" t="inlineStr">
        <is>
          <t>072020</t>
        </is>
      </c>
      <c r="D4145" s="2" t="inlineStr">
        <is>
          <t>대량보유</t>
        </is>
      </c>
      <c r="E4145" s="3" t="inlineStr">
        <is>
          <t>윤인중</t>
        </is>
      </c>
      <c r="F4145" s="3" t="inlineStr">
        <is>
          <t>특별관계자</t>
        </is>
      </c>
      <c r="G4145" s="3" t="inlineStr">
        <is>
          <t>장내매수(+)</t>
        </is>
      </c>
      <c r="H4145" s="15" t="n">
        <v>11000</v>
      </c>
      <c r="I4145" s="6" t="n">
        <v>9289</v>
      </c>
      <c r="J4145" s="6" t="n">
        <v>2311000</v>
      </c>
      <c r="K4145" s="16" t="n">
        <v>11</v>
      </c>
      <c r="L4145" s="2" t="inlineStr">
        <is>
          <t>20260615000118</t>
        </is>
      </c>
      <c r="M4145" s="8">
        <f>HYPERLINK("https://dart.fss.or.kr/dsaf001/main.do?rcpNo=20260615000118", "공시열람")</f>
        <v/>
      </c>
    </row>
    <row r="4146" ht="22" customHeight="1">
      <c r="A4146" s="2" t="inlineStr">
        <is>
          <t>2026-06-15</t>
        </is>
      </c>
      <c r="B4146" s="3" t="inlineStr">
        <is>
          <t>엠에스오토텍</t>
        </is>
      </c>
      <c r="C4146" s="2" t="inlineStr">
        <is>
          <t>123040</t>
        </is>
      </c>
      <c r="D4146" s="2" t="inlineStr">
        <is>
          <t>대량보유</t>
        </is>
      </c>
      <c r="E4146" s="3" t="inlineStr">
        <is>
          <t>송혜승</t>
        </is>
      </c>
      <c r="F4146" s="3" t="inlineStr">
        <is>
          <t>보고자</t>
        </is>
      </c>
      <c r="G4146" s="3" t="inlineStr">
        <is>
          <t>특별관계자의 주식담보 수량 변경(대출 일부 상환)</t>
        </is>
      </c>
      <c r="H4146" s="6" t="inlineStr"/>
      <c r="I4146" s="6" t="inlineStr"/>
      <c r="J4146" s="6" t="n">
        <v>28809771</v>
      </c>
      <c r="K4146" s="16" t="n">
        <v>4</v>
      </c>
      <c r="L4146" s="2" t="inlineStr">
        <is>
          <t>20260615000092</t>
        </is>
      </c>
      <c r="M4146" s="8">
        <f>HYPERLINK("https://dart.fss.or.kr/dsaf001/main.do?rcpNo=20260615000092", "공시열람")</f>
        <v/>
      </c>
    </row>
    <row r="4147" ht="22" customHeight="1">
      <c r="A4147" s="2" t="inlineStr">
        <is>
          <t>2026-06-15</t>
        </is>
      </c>
      <c r="B4147" s="3" t="inlineStr">
        <is>
          <t>티웨이홀딩스</t>
        </is>
      </c>
      <c r="C4147" s="2" t="inlineStr">
        <is>
          <t>004870</t>
        </is>
      </c>
      <c r="D4147" s="2" t="inlineStr">
        <is>
          <t>대량보유</t>
        </is>
      </c>
      <c r="E4147" s="3" t="inlineStr">
        <is>
          <t>이기호</t>
        </is>
      </c>
      <c r="F4147" s="3" t="inlineStr">
        <is>
          <t>특별관계자</t>
        </is>
      </c>
      <c r="G4147" s="3" t="inlineStr">
        <is>
          <t>공동보유약정 제외</t>
        </is>
      </c>
      <c r="H4147" s="6" t="inlineStr"/>
      <c r="I4147" s="6" t="inlineStr"/>
      <c r="J4147" s="6" t="n">
        <v>300000</v>
      </c>
      <c r="K4147" s="16" t="n">
        <v>0.27</v>
      </c>
      <c r="L4147" s="2" t="inlineStr">
        <is>
          <t>20260615000090</t>
        </is>
      </c>
      <c r="M4147" s="8">
        <f>HYPERLINK("https://dart.fss.or.kr/dsaf001/main.do?rcpNo=20260615000090", "공시열람")</f>
        <v/>
      </c>
    </row>
    <row r="4148" ht="22" customHeight="1">
      <c r="A4148" s="2" t="inlineStr">
        <is>
          <t>2026-06-15</t>
        </is>
      </c>
      <c r="B4148" s="3" t="inlineStr">
        <is>
          <t>티웨이홀딩스</t>
        </is>
      </c>
      <c r="C4148" s="2" t="inlineStr">
        <is>
          <t>004870</t>
        </is>
      </c>
      <c r="D4148" s="2" t="inlineStr">
        <is>
          <t>대량보유</t>
        </is>
      </c>
      <c r="E4148" s="3" t="inlineStr">
        <is>
          <t>김남영</t>
        </is>
      </c>
      <c r="F4148" s="3" t="inlineStr">
        <is>
          <t>특별관계자</t>
        </is>
      </c>
      <c r="G4148" s="3" t="inlineStr">
        <is>
          <t>기타(-)</t>
        </is>
      </c>
      <c r="H4148" s="17" t="n">
        <v>-58066</v>
      </c>
      <c r="I4148" s="6" t="inlineStr"/>
      <c r="J4148" s="6" t="inlineStr"/>
      <c r="K4148" s="16" t="n">
        <v>0.27</v>
      </c>
      <c r="L4148" s="2" t="inlineStr">
        <is>
          <t>20260615000090</t>
        </is>
      </c>
      <c r="M4148" s="8">
        <f>HYPERLINK("https://dart.fss.or.kr/dsaf001/main.do?rcpNo=20260615000090", "공시열람")</f>
        <v/>
      </c>
    </row>
    <row r="4149" ht="22" customHeight="1">
      <c r="A4149" s="2" t="inlineStr">
        <is>
          <t>2026-06-15</t>
        </is>
      </c>
      <c r="B4149" s="3" t="inlineStr">
        <is>
          <t>티웨이홀딩스</t>
        </is>
      </c>
      <c r="C4149" s="2" t="inlineStr">
        <is>
          <t>004870</t>
        </is>
      </c>
      <c r="D4149" s="2" t="inlineStr">
        <is>
          <t>대량보유</t>
        </is>
      </c>
      <c r="E4149" s="3" t="inlineStr">
        <is>
          <t>이선영</t>
        </is>
      </c>
      <c r="F4149" s="3" t="inlineStr">
        <is>
          <t>특별관계자</t>
        </is>
      </c>
      <c r="G4149" s="3" t="inlineStr">
        <is>
          <t>기타(-)</t>
        </is>
      </c>
      <c r="H4149" s="17" t="n">
        <v>-29375</v>
      </c>
      <c r="I4149" s="6" t="inlineStr"/>
      <c r="J4149" s="6" t="inlineStr"/>
      <c r="K4149" s="16" t="n">
        <v>0.27</v>
      </c>
      <c r="L4149" s="2" t="inlineStr">
        <is>
          <t>20260615000090</t>
        </is>
      </c>
      <c r="M4149" s="8">
        <f>HYPERLINK("https://dart.fss.or.kr/dsaf001/main.do?rcpNo=20260615000090", "공시열람")</f>
        <v/>
      </c>
    </row>
    <row r="4150" ht="22" customHeight="1">
      <c r="A4150" s="2" t="inlineStr">
        <is>
          <t>2026-06-15</t>
        </is>
      </c>
      <c r="B4150" s="3" t="inlineStr">
        <is>
          <t>티웨이홀딩스</t>
        </is>
      </c>
      <c r="C4150" s="2" t="inlineStr">
        <is>
          <t>004870</t>
        </is>
      </c>
      <c r="D4150" s="2" t="inlineStr">
        <is>
          <t>대량보유</t>
        </is>
      </c>
      <c r="E4150" s="3" t="inlineStr">
        <is>
          <t>노인경</t>
        </is>
      </c>
      <c r="F4150" s="3" t="inlineStr">
        <is>
          <t>특별관계자</t>
        </is>
      </c>
      <c r="G4150" s="3" t="inlineStr">
        <is>
          <t>기타(-)</t>
        </is>
      </c>
      <c r="H4150" s="17" t="n">
        <v>-104000</v>
      </c>
      <c r="I4150" s="6" t="inlineStr"/>
      <c r="J4150" s="6" t="inlineStr"/>
      <c r="K4150" s="16" t="n">
        <v>0.27</v>
      </c>
      <c r="L4150" s="2" t="inlineStr">
        <is>
          <t>20260615000090</t>
        </is>
      </c>
      <c r="M4150" s="8">
        <f>HYPERLINK("https://dart.fss.or.kr/dsaf001/main.do?rcpNo=20260615000090", "공시열람")</f>
        <v/>
      </c>
    </row>
    <row r="4151" ht="22" customHeight="1">
      <c r="A4151" s="2" t="inlineStr">
        <is>
          <t>2026-06-15</t>
        </is>
      </c>
      <c r="B4151" s="3" t="inlineStr">
        <is>
          <t>티웨이홀딩스</t>
        </is>
      </c>
      <c r="C4151" s="2" t="inlineStr">
        <is>
          <t>004870</t>
        </is>
      </c>
      <c r="D4151" s="2" t="inlineStr">
        <is>
          <t>대량보유</t>
        </is>
      </c>
      <c r="E4151" s="3" t="inlineStr">
        <is>
          <t>고영철</t>
        </is>
      </c>
      <c r="F4151" s="3" t="inlineStr">
        <is>
          <t>특별관계자</t>
        </is>
      </c>
      <c r="G4151" s="3" t="inlineStr">
        <is>
          <t>기타(-)</t>
        </is>
      </c>
      <c r="H4151" s="17" t="n">
        <v>-140010</v>
      </c>
      <c r="I4151" s="6" t="inlineStr"/>
      <c r="J4151" s="6" t="inlineStr"/>
      <c r="K4151" s="16" t="n">
        <v>0.27</v>
      </c>
      <c r="L4151" s="2" t="inlineStr">
        <is>
          <t>20260615000090</t>
        </is>
      </c>
      <c r="M4151" s="8">
        <f>HYPERLINK("https://dart.fss.or.kr/dsaf001/main.do?rcpNo=20260615000090", "공시열람")</f>
        <v/>
      </c>
    </row>
    <row r="4152" ht="22" customHeight="1">
      <c r="A4152" s="2" t="inlineStr">
        <is>
          <t>2026-06-15</t>
        </is>
      </c>
      <c r="B4152" s="3" t="inlineStr">
        <is>
          <t>티웨이홀딩스</t>
        </is>
      </c>
      <c r="C4152" s="2" t="inlineStr">
        <is>
          <t>004870</t>
        </is>
      </c>
      <c r="D4152" s="2" t="inlineStr">
        <is>
          <t>대량보유</t>
        </is>
      </c>
      <c r="E4152" s="3" t="inlineStr">
        <is>
          <t>윤준호</t>
        </is>
      </c>
      <c r="F4152" s="3" t="inlineStr">
        <is>
          <t>특별관계자</t>
        </is>
      </c>
      <c r="G4152" s="3" t="inlineStr">
        <is>
          <t>기타(-)</t>
        </is>
      </c>
      <c r="H4152" s="17" t="n">
        <v>-12069</v>
      </c>
      <c r="I4152" s="6" t="inlineStr"/>
      <c r="J4152" s="6" t="inlineStr"/>
      <c r="K4152" s="16" t="n">
        <v>0.27</v>
      </c>
      <c r="L4152" s="2" t="inlineStr">
        <is>
          <t>20260615000090</t>
        </is>
      </c>
      <c r="M4152" s="8">
        <f>HYPERLINK("https://dart.fss.or.kr/dsaf001/main.do?rcpNo=20260615000090", "공시열람")</f>
        <v/>
      </c>
    </row>
    <row r="4153" ht="22" customHeight="1">
      <c r="A4153" s="2" t="inlineStr">
        <is>
          <t>2026-06-15</t>
        </is>
      </c>
      <c r="B4153" s="3" t="inlineStr">
        <is>
          <t>티웨이홀딩스</t>
        </is>
      </c>
      <c r="C4153" s="2" t="inlineStr">
        <is>
          <t>004870</t>
        </is>
      </c>
      <c r="D4153" s="2" t="inlineStr">
        <is>
          <t>대량보유</t>
        </is>
      </c>
      <c r="E4153" s="3" t="inlineStr">
        <is>
          <t>박병철</t>
        </is>
      </c>
      <c r="F4153" s="3" t="inlineStr">
        <is>
          <t>특별관계자</t>
        </is>
      </c>
      <c r="G4153" s="3" t="inlineStr">
        <is>
          <t>기타(-)</t>
        </is>
      </c>
      <c r="H4153" s="17" t="n">
        <v>-9538</v>
      </c>
      <c r="I4153" s="6" t="inlineStr"/>
      <c r="J4153" s="6" t="inlineStr"/>
      <c r="K4153" s="16" t="n">
        <v>0.27</v>
      </c>
      <c r="L4153" s="2" t="inlineStr">
        <is>
          <t>20260615000090</t>
        </is>
      </c>
      <c r="M4153" s="8">
        <f>HYPERLINK("https://dart.fss.or.kr/dsaf001/main.do?rcpNo=20260615000090", "공시열람")</f>
        <v/>
      </c>
    </row>
    <row r="4154" ht="22" customHeight="1">
      <c r="A4154" s="2" t="inlineStr">
        <is>
          <t>2026-06-15</t>
        </is>
      </c>
      <c r="B4154" s="3" t="inlineStr">
        <is>
          <t>티웨이홀딩스</t>
        </is>
      </c>
      <c r="C4154" s="2" t="inlineStr">
        <is>
          <t>004870</t>
        </is>
      </c>
      <c r="D4154" s="2" t="inlineStr">
        <is>
          <t>대량보유</t>
        </is>
      </c>
      <c r="E4154" s="3" t="inlineStr">
        <is>
          <t>김영일</t>
        </is>
      </c>
      <c r="F4154" s="3" t="inlineStr">
        <is>
          <t>특별관계자</t>
        </is>
      </c>
      <c r="G4154" s="3" t="inlineStr">
        <is>
          <t>기타(-)</t>
        </is>
      </c>
      <c r="H4154" s="17" t="n">
        <v>-182782</v>
      </c>
      <c r="I4154" s="6" t="inlineStr"/>
      <c r="J4154" s="6" t="inlineStr"/>
      <c r="K4154" s="16" t="n">
        <v>0.27</v>
      </c>
      <c r="L4154" s="2" t="inlineStr">
        <is>
          <t>20260615000090</t>
        </is>
      </c>
      <c r="M4154" s="8">
        <f>HYPERLINK("https://dart.fss.or.kr/dsaf001/main.do?rcpNo=20260615000090", "공시열람")</f>
        <v/>
      </c>
    </row>
    <row r="4155" ht="22" customHeight="1">
      <c r="A4155" s="2" t="inlineStr">
        <is>
          <t>2026-06-15</t>
        </is>
      </c>
      <c r="B4155" s="3" t="inlineStr">
        <is>
          <t>티웨이홀딩스</t>
        </is>
      </c>
      <c r="C4155" s="2" t="inlineStr">
        <is>
          <t>004870</t>
        </is>
      </c>
      <c r="D4155" s="2" t="inlineStr">
        <is>
          <t>대량보유</t>
        </is>
      </c>
      <c r="E4155" s="3" t="inlineStr">
        <is>
          <t>홍진기</t>
        </is>
      </c>
      <c r="F4155" s="3" t="inlineStr">
        <is>
          <t>특별관계자</t>
        </is>
      </c>
      <c r="G4155" s="3" t="inlineStr">
        <is>
          <t>기타(-)</t>
        </is>
      </c>
      <c r="H4155" s="17" t="n">
        <v>-100000</v>
      </c>
      <c r="I4155" s="6" t="inlineStr"/>
      <c r="J4155" s="6" t="inlineStr"/>
      <c r="K4155" s="16" t="n">
        <v>0.27</v>
      </c>
      <c r="L4155" s="2" t="inlineStr">
        <is>
          <t>20260615000090</t>
        </is>
      </c>
      <c r="M4155" s="8">
        <f>HYPERLINK("https://dart.fss.or.kr/dsaf001/main.do?rcpNo=20260615000090", "공시열람")</f>
        <v/>
      </c>
    </row>
    <row r="4156" ht="22" customHeight="1">
      <c r="A4156" s="2" t="inlineStr">
        <is>
          <t>2026-06-15</t>
        </is>
      </c>
      <c r="B4156" s="3" t="inlineStr">
        <is>
          <t>티웨이홀딩스</t>
        </is>
      </c>
      <c r="C4156" s="2" t="inlineStr">
        <is>
          <t>004870</t>
        </is>
      </c>
      <c r="D4156" s="2" t="inlineStr">
        <is>
          <t>대량보유</t>
        </is>
      </c>
      <c r="E4156" s="3" t="inlineStr">
        <is>
          <t>강명희</t>
        </is>
      </c>
      <c r="F4156" s="3" t="inlineStr">
        <is>
          <t>특별관계자</t>
        </is>
      </c>
      <c r="G4156" s="3" t="inlineStr">
        <is>
          <t>기타(-)</t>
        </is>
      </c>
      <c r="H4156" s="17" t="n">
        <v>-77348</v>
      </c>
      <c r="I4156" s="6" t="inlineStr"/>
      <c r="J4156" s="6" t="inlineStr"/>
      <c r="K4156" s="16" t="n">
        <v>0.27</v>
      </c>
      <c r="L4156" s="2" t="inlineStr">
        <is>
          <t>20260615000090</t>
        </is>
      </c>
      <c r="M4156" s="8">
        <f>HYPERLINK("https://dart.fss.or.kr/dsaf001/main.do?rcpNo=20260615000090", "공시열람")</f>
        <v/>
      </c>
    </row>
    <row r="4157" ht="22" customHeight="1">
      <c r="A4157" s="2" t="inlineStr">
        <is>
          <t>2026-06-15</t>
        </is>
      </c>
      <c r="B4157" s="3" t="inlineStr">
        <is>
          <t>티웨이홀딩스</t>
        </is>
      </c>
      <c r="C4157" s="2" t="inlineStr">
        <is>
          <t>004870</t>
        </is>
      </c>
      <c r="D4157" s="2" t="inlineStr">
        <is>
          <t>대량보유</t>
        </is>
      </c>
      <c r="E4157" s="3" t="inlineStr">
        <is>
          <t>최형규</t>
        </is>
      </c>
      <c r="F4157" s="3" t="inlineStr">
        <is>
          <t>특별관계자</t>
        </is>
      </c>
      <c r="G4157" s="3" t="inlineStr">
        <is>
          <t>기타(-)</t>
        </is>
      </c>
      <c r="H4157" s="17" t="n">
        <v>-200000</v>
      </c>
      <c r="I4157" s="6" t="inlineStr"/>
      <c r="J4157" s="6" t="inlineStr"/>
      <c r="K4157" s="16" t="n">
        <v>0.27</v>
      </c>
      <c r="L4157" s="2" t="inlineStr">
        <is>
          <t>20260615000090</t>
        </is>
      </c>
      <c r="M4157" s="8">
        <f>HYPERLINK("https://dart.fss.or.kr/dsaf001/main.do?rcpNo=20260615000090", "공시열람")</f>
        <v/>
      </c>
    </row>
    <row r="4158" ht="22" customHeight="1">
      <c r="A4158" s="2" t="inlineStr">
        <is>
          <t>2026-06-15</t>
        </is>
      </c>
      <c r="B4158" s="3" t="inlineStr">
        <is>
          <t>티웨이홀딩스</t>
        </is>
      </c>
      <c r="C4158" s="2" t="inlineStr">
        <is>
          <t>004870</t>
        </is>
      </c>
      <c r="D4158" s="2" t="inlineStr">
        <is>
          <t>대량보유</t>
        </is>
      </c>
      <c r="E4158" s="3" t="inlineStr">
        <is>
          <t>최정임</t>
        </is>
      </c>
      <c r="F4158" s="3" t="inlineStr">
        <is>
          <t>특별관계자</t>
        </is>
      </c>
      <c r="G4158" s="3" t="inlineStr">
        <is>
          <t>기타(-)</t>
        </is>
      </c>
      <c r="H4158" s="17" t="n">
        <v>-23411</v>
      </c>
      <c r="I4158" s="6" t="inlineStr"/>
      <c r="J4158" s="6" t="inlineStr"/>
      <c r="K4158" s="16" t="n">
        <v>0.27</v>
      </c>
      <c r="L4158" s="2" t="inlineStr">
        <is>
          <t>20260615000090</t>
        </is>
      </c>
      <c r="M4158" s="8">
        <f>HYPERLINK("https://dart.fss.or.kr/dsaf001/main.do?rcpNo=20260615000090", "공시열람")</f>
        <v/>
      </c>
    </row>
    <row r="4159" ht="22" customHeight="1">
      <c r="A4159" s="2" t="inlineStr">
        <is>
          <t>2026-06-15</t>
        </is>
      </c>
      <c r="B4159" s="3" t="inlineStr">
        <is>
          <t>티웨이홀딩스</t>
        </is>
      </c>
      <c r="C4159" s="2" t="inlineStr">
        <is>
          <t>004870</t>
        </is>
      </c>
      <c r="D4159" s="2" t="inlineStr">
        <is>
          <t>대량보유</t>
        </is>
      </c>
      <c r="E4159" s="3" t="inlineStr">
        <is>
          <t>강명자</t>
        </is>
      </c>
      <c r="F4159" s="3" t="inlineStr">
        <is>
          <t>특별관계자</t>
        </is>
      </c>
      <c r="G4159" s="3" t="inlineStr">
        <is>
          <t>기타(-)</t>
        </is>
      </c>
      <c r="H4159" s="17" t="n">
        <v>-60000</v>
      </c>
      <c r="I4159" s="6" t="inlineStr"/>
      <c r="J4159" s="6" t="inlineStr"/>
      <c r="K4159" s="16" t="n">
        <v>0.27</v>
      </c>
      <c r="L4159" s="2" t="inlineStr">
        <is>
          <t>20260615000090</t>
        </is>
      </c>
      <c r="M4159" s="8">
        <f>HYPERLINK("https://dart.fss.or.kr/dsaf001/main.do?rcpNo=20260615000090", "공시열람")</f>
        <v/>
      </c>
    </row>
    <row r="4160" ht="22" customHeight="1">
      <c r="A4160" s="2" t="inlineStr">
        <is>
          <t>2026-06-15</t>
        </is>
      </c>
      <c r="B4160" s="3" t="inlineStr">
        <is>
          <t>티웨이홀딩스</t>
        </is>
      </c>
      <c r="C4160" s="2" t="inlineStr">
        <is>
          <t>004870</t>
        </is>
      </c>
      <c r="D4160" s="2" t="inlineStr">
        <is>
          <t>대량보유</t>
        </is>
      </c>
      <c r="E4160" s="3" t="inlineStr">
        <is>
          <t>노인희</t>
        </is>
      </c>
      <c r="F4160" s="3" t="inlineStr">
        <is>
          <t>특별관계자</t>
        </is>
      </c>
      <c r="G4160" s="3" t="inlineStr">
        <is>
          <t>기타(-)</t>
        </is>
      </c>
      <c r="H4160" s="17" t="n">
        <v>-116696</v>
      </c>
      <c r="I4160" s="6" t="inlineStr"/>
      <c r="J4160" s="6" t="inlineStr"/>
      <c r="K4160" s="16" t="n">
        <v>0.27</v>
      </c>
      <c r="L4160" s="2" t="inlineStr">
        <is>
          <t>20260615000090</t>
        </is>
      </c>
      <c r="M4160" s="8">
        <f>HYPERLINK("https://dart.fss.or.kr/dsaf001/main.do?rcpNo=20260615000090", "공시열람")</f>
        <v/>
      </c>
    </row>
    <row r="4161" ht="22" customHeight="1">
      <c r="A4161" s="2" t="inlineStr">
        <is>
          <t>2026-06-15</t>
        </is>
      </c>
      <c r="B4161" s="3" t="inlineStr">
        <is>
          <t>티웨이홀딩스</t>
        </is>
      </c>
      <c r="C4161" s="2" t="inlineStr">
        <is>
          <t>004870</t>
        </is>
      </c>
      <c r="D4161" s="2" t="inlineStr">
        <is>
          <t>대량보유</t>
        </is>
      </c>
      <c r="E4161" s="3" t="inlineStr">
        <is>
          <t>문상철</t>
        </is>
      </c>
      <c r="F4161" s="3" t="inlineStr">
        <is>
          <t>특별관계자</t>
        </is>
      </c>
      <c r="G4161" s="3" t="inlineStr">
        <is>
          <t>기타(-)</t>
        </is>
      </c>
      <c r="H4161" s="17" t="n">
        <v>-15347</v>
      </c>
      <c r="I4161" s="6" t="inlineStr"/>
      <c r="J4161" s="6" t="inlineStr"/>
      <c r="K4161" s="16" t="n">
        <v>0.27</v>
      </c>
      <c r="L4161" s="2" t="inlineStr">
        <is>
          <t>20260615000090</t>
        </is>
      </c>
      <c r="M4161" s="8">
        <f>HYPERLINK("https://dart.fss.or.kr/dsaf001/main.do?rcpNo=20260615000090", "공시열람")</f>
        <v/>
      </c>
    </row>
    <row r="4162" ht="22" customHeight="1">
      <c r="A4162" s="2" t="inlineStr">
        <is>
          <t>2026-06-15</t>
        </is>
      </c>
      <c r="B4162" s="3" t="inlineStr">
        <is>
          <t>티웨이홀딩스</t>
        </is>
      </c>
      <c r="C4162" s="2" t="inlineStr">
        <is>
          <t>004870</t>
        </is>
      </c>
      <c r="D4162" s="2" t="inlineStr">
        <is>
          <t>대량보유</t>
        </is>
      </c>
      <c r="E4162" s="3" t="inlineStr">
        <is>
          <t>정영미</t>
        </is>
      </c>
      <c r="F4162" s="3" t="inlineStr">
        <is>
          <t>특별관계자</t>
        </is>
      </c>
      <c r="G4162" s="3" t="inlineStr">
        <is>
          <t>기타(-)</t>
        </is>
      </c>
      <c r="H4162" s="17" t="n">
        <v>-245988</v>
      </c>
      <c r="I4162" s="6" t="inlineStr"/>
      <c r="J4162" s="6" t="inlineStr"/>
      <c r="K4162" s="16" t="n">
        <v>0.27</v>
      </c>
      <c r="L4162" s="2" t="inlineStr">
        <is>
          <t>20260615000090</t>
        </is>
      </c>
      <c r="M4162" s="8">
        <f>HYPERLINK("https://dart.fss.or.kr/dsaf001/main.do?rcpNo=20260615000090", "공시열람")</f>
        <v/>
      </c>
    </row>
    <row r="4163" ht="22" customHeight="1">
      <c r="A4163" s="2" t="inlineStr">
        <is>
          <t>2026-06-15</t>
        </is>
      </c>
      <c r="B4163" s="3" t="inlineStr">
        <is>
          <t>티웨이홀딩스</t>
        </is>
      </c>
      <c r="C4163" s="2" t="inlineStr">
        <is>
          <t>004870</t>
        </is>
      </c>
      <c r="D4163" s="2" t="inlineStr">
        <is>
          <t>대량보유</t>
        </is>
      </c>
      <c r="E4163" s="3" t="inlineStr">
        <is>
          <t>박부성</t>
        </is>
      </c>
      <c r="F4163" s="3" t="inlineStr">
        <is>
          <t>특별관계자</t>
        </is>
      </c>
      <c r="G4163" s="3" t="inlineStr">
        <is>
          <t>기타(-)</t>
        </is>
      </c>
      <c r="H4163" s="17" t="n">
        <v>-118000</v>
      </c>
      <c r="I4163" s="6" t="inlineStr"/>
      <c r="J4163" s="6" t="inlineStr"/>
      <c r="K4163" s="16" t="n">
        <v>0.27</v>
      </c>
      <c r="L4163" s="2" t="inlineStr">
        <is>
          <t>20260615000090</t>
        </is>
      </c>
      <c r="M4163" s="8">
        <f>HYPERLINK("https://dart.fss.or.kr/dsaf001/main.do?rcpNo=20260615000090", "공시열람")</f>
        <v/>
      </c>
    </row>
    <row r="4164" ht="22" customHeight="1">
      <c r="A4164" s="2" t="inlineStr">
        <is>
          <t>2026-06-15</t>
        </is>
      </c>
      <c r="B4164" s="3" t="inlineStr">
        <is>
          <t>티웨이홀딩스</t>
        </is>
      </c>
      <c r="C4164" s="2" t="inlineStr">
        <is>
          <t>004870</t>
        </is>
      </c>
      <c r="D4164" s="2" t="inlineStr">
        <is>
          <t>대량보유</t>
        </is>
      </c>
      <c r="E4164" s="3" t="inlineStr">
        <is>
          <t>김병준</t>
        </is>
      </c>
      <c r="F4164" s="3" t="inlineStr">
        <is>
          <t>특별관계자</t>
        </is>
      </c>
      <c r="G4164" s="3" t="inlineStr">
        <is>
          <t>기타(-)</t>
        </is>
      </c>
      <c r="H4164" s="17" t="n">
        <v>-350000</v>
      </c>
      <c r="I4164" s="6" t="inlineStr"/>
      <c r="J4164" s="6" t="inlineStr"/>
      <c r="K4164" s="16" t="n">
        <v>0.27</v>
      </c>
      <c r="L4164" s="2" t="inlineStr">
        <is>
          <t>20260615000090</t>
        </is>
      </c>
      <c r="M4164" s="8">
        <f>HYPERLINK("https://dart.fss.or.kr/dsaf001/main.do?rcpNo=20260615000090", "공시열람")</f>
        <v/>
      </c>
    </row>
    <row r="4165" ht="22" customHeight="1">
      <c r="A4165" s="2" t="inlineStr">
        <is>
          <t>2026-06-15</t>
        </is>
      </c>
      <c r="B4165" s="3" t="inlineStr">
        <is>
          <t>티웨이홀딩스</t>
        </is>
      </c>
      <c r="C4165" s="2" t="inlineStr">
        <is>
          <t>004870</t>
        </is>
      </c>
      <c r="D4165" s="2" t="inlineStr">
        <is>
          <t>대량보유</t>
        </is>
      </c>
      <c r="E4165" s="3" t="inlineStr">
        <is>
          <t>노지혜</t>
        </is>
      </c>
      <c r="F4165" s="3" t="inlineStr">
        <is>
          <t>특별관계자</t>
        </is>
      </c>
      <c r="G4165" s="3" t="inlineStr">
        <is>
          <t>기타(-)</t>
        </is>
      </c>
      <c r="H4165" s="17" t="n">
        <v>-130072</v>
      </c>
      <c r="I4165" s="6" t="inlineStr"/>
      <c r="J4165" s="6" t="inlineStr"/>
      <c r="K4165" s="16" t="n">
        <v>0.27</v>
      </c>
      <c r="L4165" s="2" t="inlineStr">
        <is>
          <t>20260615000090</t>
        </is>
      </c>
      <c r="M4165" s="8">
        <f>HYPERLINK("https://dart.fss.or.kr/dsaf001/main.do?rcpNo=20260615000090", "공시열람")</f>
        <v/>
      </c>
    </row>
    <row r="4166" ht="22" customHeight="1">
      <c r="A4166" s="2" t="inlineStr">
        <is>
          <t>2026-06-15</t>
        </is>
      </c>
      <c r="B4166" s="3" t="inlineStr">
        <is>
          <t>티웨이홀딩스</t>
        </is>
      </c>
      <c r="C4166" s="2" t="inlineStr">
        <is>
          <t>004870</t>
        </is>
      </c>
      <c r="D4166" s="2" t="inlineStr">
        <is>
          <t>대량보유</t>
        </is>
      </c>
      <c r="E4166" s="3" t="inlineStr">
        <is>
          <t>송창헌</t>
        </is>
      </c>
      <c r="F4166" s="3" t="inlineStr">
        <is>
          <t>특별관계자</t>
        </is>
      </c>
      <c r="G4166" s="3" t="inlineStr">
        <is>
          <t>기타(-)</t>
        </is>
      </c>
      <c r="H4166" s="17" t="n">
        <v>-5865</v>
      </c>
      <c r="I4166" s="6" t="inlineStr"/>
      <c r="J4166" s="6" t="inlineStr"/>
      <c r="K4166" s="16" t="n">
        <v>0.27</v>
      </c>
      <c r="L4166" s="2" t="inlineStr">
        <is>
          <t>20260615000090</t>
        </is>
      </c>
      <c r="M4166" s="8">
        <f>HYPERLINK("https://dart.fss.or.kr/dsaf001/main.do?rcpNo=20260615000090", "공시열람")</f>
        <v/>
      </c>
    </row>
    <row r="4167" ht="22" customHeight="1">
      <c r="A4167" s="2" t="inlineStr">
        <is>
          <t>2026-06-15</t>
        </is>
      </c>
      <c r="B4167" s="3" t="inlineStr">
        <is>
          <t>티웨이홀딩스</t>
        </is>
      </c>
      <c r="C4167" s="2" t="inlineStr">
        <is>
          <t>004870</t>
        </is>
      </c>
      <c r="D4167" s="2" t="inlineStr">
        <is>
          <t>대량보유</t>
        </is>
      </c>
      <c r="E4167" s="3" t="inlineStr">
        <is>
          <t>노인선</t>
        </is>
      </c>
      <c r="F4167" s="3" t="inlineStr">
        <is>
          <t>특별관계자</t>
        </is>
      </c>
      <c r="G4167" s="3" t="inlineStr">
        <is>
          <t>기타(-)</t>
        </is>
      </c>
      <c r="H4167" s="17" t="n">
        <v>-159586</v>
      </c>
      <c r="I4167" s="6" t="inlineStr"/>
      <c r="J4167" s="6" t="inlineStr"/>
      <c r="K4167" s="16" t="n">
        <v>0.27</v>
      </c>
      <c r="L4167" s="2" t="inlineStr">
        <is>
          <t>20260615000090</t>
        </is>
      </c>
      <c r="M4167" s="8">
        <f>HYPERLINK("https://dart.fss.or.kr/dsaf001/main.do?rcpNo=20260615000090", "공시열람")</f>
        <v/>
      </c>
    </row>
    <row r="4168" ht="22" customHeight="1">
      <c r="A4168" s="2" t="inlineStr">
        <is>
          <t>2026-06-15</t>
        </is>
      </c>
      <c r="B4168" s="3" t="inlineStr">
        <is>
          <t>티웨이홀딩스</t>
        </is>
      </c>
      <c r="C4168" s="2" t="inlineStr">
        <is>
          <t>004870</t>
        </is>
      </c>
      <c r="D4168" s="2" t="inlineStr">
        <is>
          <t>대량보유</t>
        </is>
      </c>
      <c r="E4168" s="3" t="inlineStr">
        <is>
          <t>황은영</t>
        </is>
      </c>
      <c r="F4168" s="3" t="inlineStr">
        <is>
          <t>특별관계자</t>
        </is>
      </c>
      <c r="G4168" s="3" t="inlineStr">
        <is>
          <t>기타(-)</t>
        </is>
      </c>
      <c r="H4168" s="17" t="n">
        <v>-19250</v>
      </c>
      <c r="I4168" s="6" t="inlineStr"/>
      <c r="J4168" s="6" t="inlineStr"/>
      <c r="K4168" s="16" t="n">
        <v>0.27</v>
      </c>
      <c r="L4168" s="2" t="inlineStr">
        <is>
          <t>20260615000090</t>
        </is>
      </c>
      <c r="M4168" s="8">
        <f>HYPERLINK("https://dart.fss.or.kr/dsaf001/main.do?rcpNo=20260615000090", "공시열람")</f>
        <v/>
      </c>
    </row>
    <row r="4169" ht="22" customHeight="1">
      <c r="A4169" s="2" t="inlineStr">
        <is>
          <t>2026-06-15</t>
        </is>
      </c>
      <c r="B4169" s="3" t="inlineStr">
        <is>
          <t>티웨이홀딩스</t>
        </is>
      </c>
      <c r="C4169" s="2" t="inlineStr">
        <is>
          <t>004870</t>
        </is>
      </c>
      <c r="D4169" s="2" t="inlineStr">
        <is>
          <t>대량보유</t>
        </is>
      </c>
      <c r="E4169" s="3" t="inlineStr">
        <is>
          <t>성남호</t>
        </is>
      </c>
      <c r="F4169" s="3" t="inlineStr">
        <is>
          <t>특별관계자</t>
        </is>
      </c>
      <c r="G4169" s="3" t="inlineStr">
        <is>
          <t>기타(-)</t>
        </is>
      </c>
      <c r="H4169" s="17" t="n">
        <v>-109807</v>
      </c>
      <c r="I4169" s="6" t="inlineStr"/>
      <c r="J4169" s="6" t="inlineStr"/>
      <c r="K4169" s="16" t="n">
        <v>0.27</v>
      </c>
      <c r="L4169" s="2" t="inlineStr">
        <is>
          <t>20260615000090</t>
        </is>
      </c>
      <c r="M4169" s="8">
        <f>HYPERLINK("https://dart.fss.or.kr/dsaf001/main.do?rcpNo=20260615000090", "공시열람")</f>
        <v/>
      </c>
    </row>
    <row r="4170" ht="22" customHeight="1">
      <c r="A4170" s="2" t="inlineStr">
        <is>
          <t>2026-06-15</t>
        </is>
      </c>
      <c r="B4170" s="3" t="inlineStr">
        <is>
          <t>티웨이홀딩스</t>
        </is>
      </c>
      <c r="C4170" s="2" t="inlineStr">
        <is>
          <t>004870</t>
        </is>
      </c>
      <c r="D4170" s="2" t="inlineStr">
        <is>
          <t>대량보유</t>
        </is>
      </c>
      <c r="E4170" s="3" t="inlineStr">
        <is>
          <t>홍연주</t>
        </is>
      </c>
      <c r="F4170" s="3" t="inlineStr">
        <is>
          <t>특별관계자</t>
        </is>
      </c>
      <c r="G4170" s="3" t="inlineStr">
        <is>
          <t>기타(-)</t>
        </is>
      </c>
      <c r="H4170" s="17" t="n">
        <v>-29417</v>
      </c>
      <c r="I4170" s="6" t="inlineStr"/>
      <c r="J4170" s="6" t="inlineStr"/>
      <c r="K4170" s="16" t="n">
        <v>0.27</v>
      </c>
      <c r="L4170" s="2" t="inlineStr">
        <is>
          <t>20260615000090</t>
        </is>
      </c>
      <c r="M4170" s="8">
        <f>HYPERLINK("https://dart.fss.or.kr/dsaf001/main.do?rcpNo=20260615000090", "공시열람")</f>
        <v/>
      </c>
    </row>
    <row r="4171" ht="22" customHeight="1">
      <c r="A4171" s="2" t="inlineStr">
        <is>
          <t>2026-06-15</t>
        </is>
      </c>
      <c r="B4171" s="3" t="inlineStr">
        <is>
          <t>티웨이홀딩스</t>
        </is>
      </c>
      <c r="C4171" s="2" t="inlineStr">
        <is>
          <t>004870</t>
        </is>
      </c>
      <c r="D4171" s="2" t="inlineStr">
        <is>
          <t>대량보유</t>
        </is>
      </c>
      <c r="E4171" s="3" t="inlineStr">
        <is>
          <t>이현자</t>
        </is>
      </c>
      <c r="F4171" s="3" t="inlineStr">
        <is>
          <t>특별관계자</t>
        </is>
      </c>
      <c r="G4171" s="3" t="inlineStr">
        <is>
          <t>기타(-)</t>
        </is>
      </c>
      <c r="H4171" s="17" t="n">
        <v>-8500</v>
      </c>
      <c r="I4171" s="6" t="inlineStr"/>
      <c r="J4171" s="6" t="inlineStr"/>
      <c r="K4171" s="16" t="n">
        <v>0.27</v>
      </c>
      <c r="L4171" s="2" t="inlineStr">
        <is>
          <t>20260615000090</t>
        </is>
      </c>
      <c r="M4171" s="8">
        <f>HYPERLINK("https://dart.fss.or.kr/dsaf001/main.do?rcpNo=20260615000090", "공시열람")</f>
        <v/>
      </c>
    </row>
    <row r="4172" ht="22" customHeight="1">
      <c r="A4172" s="2" t="inlineStr">
        <is>
          <t>2026-06-15</t>
        </is>
      </c>
      <c r="B4172" s="3" t="inlineStr">
        <is>
          <t>티웨이홀딩스</t>
        </is>
      </c>
      <c r="C4172" s="2" t="inlineStr">
        <is>
          <t>004870</t>
        </is>
      </c>
      <c r="D4172" s="2" t="inlineStr">
        <is>
          <t>대량보유</t>
        </is>
      </c>
      <c r="E4172" s="3" t="inlineStr">
        <is>
          <t>강상구</t>
        </is>
      </c>
      <c r="F4172" s="3" t="inlineStr">
        <is>
          <t>특별관계자</t>
        </is>
      </c>
      <c r="G4172" s="3" t="inlineStr">
        <is>
          <t>기타(-)</t>
        </is>
      </c>
      <c r="H4172" s="17" t="n">
        <v>-100000</v>
      </c>
      <c r="I4172" s="6" t="inlineStr"/>
      <c r="J4172" s="6" t="inlineStr"/>
      <c r="K4172" s="16" t="n">
        <v>0.27</v>
      </c>
      <c r="L4172" s="2" t="inlineStr">
        <is>
          <t>20260615000090</t>
        </is>
      </c>
      <c r="M4172" s="8">
        <f>HYPERLINK("https://dart.fss.or.kr/dsaf001/main.do?rcpNo=20260615000090", "공시열람")</f>
        <v/>
      </c>
    </row>
    <row r="4173" ht="22" customHeight="1">
      <c r="A4173" s="2" t="inlineStr">
        <is>
          <t>2026-06-15</t>
        </is>
      </c>
      <c r="B4173" s="3" t="inlineStr">
        <is>
          <t>티웨이홀딩스</t>
        </is>
      </c>
      <c r="C4173" s="2" t="inlineStr">
        <is>
          <t>004870</t>
        </is>
      </c>
      <c r="D4173" s="2" t="inlineStr">
        <is>
          <t>대량보유</t>
        </is>
      </c>
      <c r="E4173" s="3" t="inlineStr">
        <is>
          <t>박혜영</t>
        </is>
      </c>
      <c r="F4173" s="3" t="inlineStr">
        <is>
          <t>특별관계자</t>
        </is>
      </c>
      <c r="G4173" s="3" t="inlineStr">
        <is>
          <t>기타(-)</t>
        </is>
      </c>
      <c r="H4173" s="17" t="n">
        <v>-40000</v>
      </c>
      <c r="I4173" s="6" t="inlineStr"/>
      <c r="J4173" s="6" t="inlineStr"/>
      <c r="K4173" s="16" t="n">
        <v>0.27</v>
      </c>
      <c r="L4173" s="2" t="inlineStr">
        <is>
          <t>20260615000090</t>
        </is>
      </c>
      <c r="M4173" s="8">
        <f>HYPERLINK("https://dart.fss.or.kr/dsaf001/main.do?rcpNo=20260615000090", "공시열람")</f>
        <v/>
      </c>
    </row>
    <row r="4174" ht="22" customHeight="1">
      <c r="A4174" s="2" t="inlineStr">
        <is>
          <t>2026-06-15</t>
        </is>
      </c>
      <c r="B4174" s="3" t="inlineStr">
        <is>
          <t>티웨이홀딩스</t>
        </is>
      </c>
      <c r="C4174" s="2" t="inlineStr">
        <is>
          <t>004870</t>
        </is>
      </c>
      <c r="D4174" s="2" t="inlineStr">
        <is>
          <t>대량보유</t>
        </is>
      </c>
      <c r="E4174" s="3" t="inlineStr">
        <is>
          <t>김미숙</t>
        </is>
      </c>
      <c r="F4174" s="3" t="inlineStr">
        <is>
          <t>특별관계자</t>
        </is>
      </c>
      <c r="G4174" s="3" t="inlineStr">
        <is>
          <t>기타(-)</t>
        </is>
      </c>
      <c r="H4174" s="17" t="n">
        <v>-34906</v>
      </c>
      <c r="I4174" s="6" t="inlineStr"/>
      <c r="J4174" s="6" t="inlineStr"/>
      <c r="K4174" s="16" t="n">
        <v>0.27</v>
      </c>
      <c r="L4174" s="2" t="inlineStr">
        <is>
          <t>20260615000090</t>
        </is>
      </c>
      <c r="M4174" s="8">
        <f>HYPERLINK("https://dart.fss.or.kr/dsaf001/main.do?rcpNo=20260615000090", "공시열람")</f>
        <v/>
      </c>
    </row>
    <row r="4175" ht="22" customHeight="1">
      <c r="A4175" s="2" t="inlineStr">
        <is>
          <t>2026-06-15</t>
        </is>
      </c>
      <c r="B4175" s="3" t="inlineStr">
        <is>
          <t>티웨이홀딩스</t>
        </is>
      </c>
      <c r="C4175" s="2" t="inlineStr">
        <is>
          <t>004870</t>
        </is>
      </c>
      <c r="D4175" s="2" t="inlineStr">
        <is>
          <t>대량보유</t>
        </is>
      </c>
      <c r="E4175" s="3" t="inlineStr">
        <is>
          <t>금정환</t>
        </is>
      </c>
      <c r="F4175" s="3" t="inlineStr">
        <is>
          <t>특별관계자</t>
        </is>
      </c>
      <c r="G4175" s="3" t="inlineStr">
        <is>
          <t>기타(-)</t>
        </is>
      </c>
      <c r="H4175" s="17" t="n">
        <v>-24110</v>
      </c>
      <c r="I4175" s="6" t="inlineStr"/>
      <c r="J4175" s="6" t="inlineStr"/>
      <c r="K4175" s="16" t="n">
        <v>0.27</v>
      </c>
      <c r="L4175" s="2" t="inlineStr">
        <is>
          <t>20260615000090</t>
        </is>
      </c>
      <c r="M4175" s="8">
        <f>HYPERLINK("https://dart.fss.or.kr/dsaf001/main.do?rcpNo=20260615000090", "공시열람")</f>
        <v/>
      </c>
    </row>
    <row r="4176" ht="22" customHeight="1">
      <c r="A4176" s="2" t="inlineStr">
        <is>
          <t>2026-06-15</t>
        </is>
      </c>
      <c r="B4176" s="3" t="inlineStr">
        <is>
          <t>티웨이홀딩스</t>
        </is>
      </c>
      <c r="C4176" s="2" t="inlineStr">
        <is>
          <t>004870</t>
        </is>
      </c>
      <c r="D4176" s="2" t="inlineStr">
        <is>
          <t>대량보유</t>
        </is>
      </c>
      <c r="E4176" s="3" t="inlineStr">
        <is>
          <t>정연진</t>
        </is>
      </c>
      <c r="F4176" s="3" t="inlineStr">
        <is>
          <t>특별관계자</t>
        </is>
      </c>
      <c r="G4176" s="3" t="inlineStr">
        <is>
          <t>기타(-)</t>
        </is>
      </c>
      <c r="H4176" s="17" t="n">
        <v>-20781</v>
      </c>
      <c r="I4176" s="6" t="inlineStr"/>
      <c r="J4176" s="6" t="inlineStr"/>
      <c r="K4176" s="16" t="n">
        <v>0.27</v>
      </c>
      <c r="L4176" s="2" t="inlineStr">
        <is>
          <t>20260615000090</t>
        </is>
      </c>
      <c r="M4176" s="8">
        <f>HYPERLINK("https://dart.fss.or.kr/dsaf001/main.do?rcpNo=20260615000090", "공시열람")</f>
        <v/>
      </c>
    </row>
    <row r="4177" ht="22" customHeight="1">
      <c r="A4177" s="2" t="inlineStr">
        <is>
          <t>2026-06-15</t>
        </is>
      </c>
      <c r="B4177" s="3" t="inlineStr">
        <is>
          <t>티웨이홀딩스</t>
        </is>
      </c>
      <c r="C4177" s="2" t="inlineStr">
        <is>
          <t>004870</t>
        </is>
      </c>
      <c r="D4177" s="2" t="inlineStr">
        <is>
          <t>대량보유</t>
        </is>
      </c>
      <c r="E4177" s="3" t="inlineStr">
        <is>
          <t>김태희</t>
        </is>
      </c>
      <c r="F4177" s="3" t="inlineStr">
        <is>
          <t>특별관계자</t>
        </is>
      </c>
      <c r="G4177" s="3" t="inlineStr">
        <is>
          <t>기타(-)</t>
        </is>
      </c>
      <c r="H4177" s="17" t="n">
        <v>-42794</v>
      </c>
      <c r="I4177" s="6" t="inlineStr"/>
      <c r="J4177" s="6" t="inlineStr"/>
      <c r="K4177" s="16" t="n">
        <v>0.27</v>
      </c>
      <c r="L4177" s="2" t="inlineStr">
        <is>
          <t>20260615000090</t>
        </is>
      </c>
      <c r="M4177" s="8">
        <f>HYPERLINK("https://dart.fss.or.kr/dsaf001/main.do?rcpNo=20260615000090", "공시열람")</f>
        <v/>
      </c>
    </row>
    <row r="4178" ht="22" customHeight="1">
      <c r="A4178" s="2" t="inlineStr">
        <is>
          <t>2026-06-15</t>
        </is>
      </c>
      <c r="B4178" s="3" t="inlineStr">
        <is>
          <t>티웨이홀딩스</t>
        </is>
      </c>
      <c r="C4178" s="2" t="inlineStr">
        <is>
          <t>004870</t>
        </is>
      </c>
      <c r="D4178" s="2" t="inlineStr">
        <is>
          <t>대량보유</t>
        </is>
      </c>
      <c r="E4178" s="3" t="inlineStr">
        <is>
          <t>김재수</t>
        </is>
      </c>
      <c r="F4178" s="3" t="inlineStr">
        <is>
          <t>특별관계자</t>
        </is>
      </c>
      <c r="G4178" s="3" t="inlineStr">
        <is>
          <t>기타(-)</t>
        </is>
      </c>
      <c r="H4178" s="17" t="n">
        <v>-22775</v>
      </c>
      <c r="I4178" s="6" t="inlineStr"/>
      <c r="J4178" s="6" t="inlineStr"/>
      <c r="K4178" s="16" t="n">
        <v>0.27</v>
      </c>
      <c r="L4178" s="2" t="inlineStr">
        <is>
          <t>20260615000090</t>
        </is>
      </c>
      <c r="M4178" s="8">
        <f>HYPERLINK("https://dart.fss.or.kr/dsaf001/main.do?rcpNo=20260615000090", "공시열람")</f>
        <v/>
      </c>
    </row>
    <row r="4179" ht="22" customHeight="1">
      <c r="A4179" s="2" t="inlineStr">
        <is>
          <t>2026-06-15</t>
        </is>
      </c>
      <c r="B4179" s="3" t="inlineStr">
        <is>
          <t>티웨이홀딩스</t>
        </is>
      </c>
      <c r="C4179" s="2" t="inlineStr">
        <is>
          <t>004870</t>
        </is>
      </c>
      <c r="D4179" s="2" t="inlineStr">
        <is>
          <t>대량보유</t>
        </is>
      </c>
      <c r="E4179" s="3" t="inlineStr">
        <is>
          <t>이현철</t>
        </is>
      </c>
      <c r="F4179" s="3" t="inlineStr">
        <is>
          <t>특별관계자</t>
        </is>
      </c>
      <c r="G4179" s="3" t="inlineStr">
        <is>
          <t>기타(-)</t>
        </is>
      </c>
      <c r="H4179" s="17" t="n">
        <v>-5001</v>
      </c>
      <c r="I4179" s="6" t="inlineStr"/>
      <c r="J4179" s="6" t="inlineStr"/>
      <c r="K4179" s="16" t="n">
        <v>0.27</v>
      </c>
      <c r="L4179" s="2" t="inlineStr">
        <is>
          <t>20260615000090</t>
        </is>
      </c>
      <c r="M4179" s="8">
        <f>HYPERLINK("https://dart.fss.or.kr/dsaf001/main.do?rcpNo=20260615000090", "공시열람")</f>
        <v/>
      </c>
    </row>
    <row r="4180" ht="22" customHeight="1">
      <c r="A4180" s="2" t="inlineStr">
        <is>
          <t>2026-06-15</t>
        </is>
      </c>
      <c r="B4180" s="3" t="inlineStr">
        <is>
          <t>티웨이홀딩스</t>
        </is>
      </c>
      <c r="C4180" s="2" t="inlineStr">
        <is>
          <t>004870</t>
        </is>
      </c>
      <c r="D4180" s="2" t="inlineStr">
        <is>
          <t>대량보유</t>
        </is>
      </c>
      <c r="E4180" s="3" t="inlineStr">
        <is>
          <t>임영예</t>
        </is>
      </c>
      <c r="F4180" s="3" t="inlineStr">
        <is>
          <t>특별관계자</t>
        </is>
      </c>
      <c r="G4180" s="3" t="inlineStr">
        <is>
          <t>기타(-)</t>
        </is>
      </c>
      <c r="H4180" s="17" t="n">
        <v>-12032</v>
      </c>
      <c r="I4180" s="6" t="inlineStr"/>
      <c r="J4180" s="6" t="inlineStr"/>
      <c r="K4180" s="16" t="n">
        <v>0.27</v>
      </c>
      <c r="L4180" s="2" t="inlineStr">
        <is>
          <t>20260615000090</t>
        </is>
      </c>
      <c r="M4180" s="8">
        <f>HYPERLINK("https://dart.fss.or.kr/dsaf001/main.do?rcpNo=20260615000090", "공시열람")</f>
        <v/>
      </c>
    </row>
    <row r="4181" ht="22" customHeight="1">
      <c r="A4181" s="2" t="inlineStr">
        <is>
          <t>2026-06-15</t>
        </is>
      </c>
      <c r="B4181" s="3" t="inlineStr">
        <is>
          <t>티웨이홀딩스</t>
        </is>
      </c>
      <c r="C4181" s="2" t="inlineStr">
        <is>
          <t>004870</t>
        </is>
      </c>
      <c r="D4181" s="2" t="inlineStr">
        <is>
          <t>대량보유</t>
        </is>
      </c>
      <c r="E4181" s="3" t="inlineStr">
        <is>
          <t>이동호</t>
        </is>
      </c>
      <c r="F4181" s="3" t="inlineStr">
        <is>
          <t>특별관계자</t>
        </is>
      </c>
      <c r="G4181" s="3" t="inlineStr">
        <is>
          <t>기타(-)</t>
        </is>
      </c>
      <c r="H4181" s="17" t="n">
        <v>-12000</v>
      </c>
      <c r="I4181" s="6" t="inlineStr"/>
      <c r="J4181" s="6" t="inlineStr"/>
      <c r="K4181" s="16" t="n">
        <v>0.27</v>
      </c>
      <c r="L4181" s="2" t="inlineStr">
        <is>
          <t>20260615000090</t>
        </is>
      </c>
      <c r="M4181" s="8">
        <f>HYPERLINK("https://dart.fss.or.kr/dsaf001/main.do?rcpNo=20260615000090", "공시열람")</f>
        <v/>
      </c>
    </row>
    <row r="4182" ht="22" customHeight="1">
      <c r="A4182" s="2" t="inlineStr">
        <is>
          <t>2026-06-15</t>
        </is>
      </c>
      <c r="B4182" s="3" t="inlineStr">
        <is>
          <t>티웨이홀딩스</t>
        </is>
      </c>
      <c r="C4182" s="2" t="inlineStr">
        <is>
          <t>004870</t>
        </is>
      </c>
      <c r="D4182" s="2" t="inlineStr">
        <is>
          <t>대량보유</t>
        </is>
      </c>
      <c r="E4182" s="3" t="inlineStr">
        <is>
          <t>최용우</t>
        </is>
      </c>
      <c r="F4182" s="3" t="inlineStr">
        <is>
          <t>특별관계자</t>
        </is>
      </c>
      <c r="G4182" s="3" t="inlineStr">
        <is>
          <t>기타(-)</t>
        </is>
      </c>
      <c r="H4182" s="17" t="n">
        <v>-10000</v>
      </c>
      <c r="I4182" s="6" t="inlineStr"/>
      <c r="J4182" s="6" t="inlineStr"/>
      <c r="K4182" s="16" t="n">
        <v>0.27</v>
      </c>
      <c r="L4182" s="2" t="inlineStr">
        <is>
          <t>20260615000090</t>
        </is>
      </c>
      <c r="M4182" s="8">
        <f>HYPERLINK("https://dart.fss.or.kr/dsaf001/main.do?rcpNo=20260615000090", "공시열람")</f>
        <v/>
      </c>
    </row>
    <row r="4183" ht="22" customHeight="1">
      <c r="A4183" s="2" t="inlineStr">
        <is>
          <t>2026-06-15</t>
        </is>
      </c>
      <c r="B4183" s="3" t="inlineStr">
        <is>
          <t>티웨이홀딩스</t>
        </is>
      </c>
      <c r="C4183" s="2" t="inlineStr">
        <is>
          <t>004870</t>
        </is>
      </c>
      <c r="D4183" s="2" t="inlineStr">
        <is>
          <t>대량보유</t>
        </is>
      </c>
      <c r="E4183" s="3" t="inlineStr">
        <is>
          <t>김남돈</t>
        </is>
      </c>
      <c r="F4183" s="3" t="inlineStr">
        <is>
          <t>특별관계자</t>
        </is>
      </c>
      <c r="G4183" s="3" t="inlineStr">
        <is>
          <t>기타(-)</t>
        </is>
      </c>
      <c r="H4183" s="17" t="n">
        <v>-76175</v>
      </c>
      <c r="I4183" s="6" t="inlineStr"/>
      <c r="J4183" s="6" t="inlineStr"/>
      <c r="K4183" s="16" t="n">
        <v>0.27</v>
      </c>
      <c r="L4183" s="2" t="inlineStr">
        <is>
          <t>20260615000090</t>
        </is>
      </c>
      <c r="M4183" s="8">
        <f>HYPERLINK("https://dart.fss.or.kr/dsaf001/main.do?rcpNo=20260615000090", "공시열람")</f>
        <v/>
      </c>
    </row>
    <row r="4184" ht="22" customHeight="1">
      <c r="A4184" s="2" t="inlineStr">
        <is>
          <t>2026-06-15</t>
        </is>
      </c>
      <c r="B4184" s="3" t="inlineStr">
        <is>
          <t>티웨이홀딩스</t>
        </is>
      </c>
      <c r="C4184" s="2" t="inlineStr">
        <is>
          <t>004870</t>
        </is>
      </c>
      <c r="D4184" s="2" t="inlineStr">
        <is>
          <t>대량보유</t>
        </is>
      </c>
      <c r="E4184" s="3" t="inlineStr">
        <is>
          <t>김칠휘</t>
        </is>
      </c>
      <c r="F4184" s="3" t="inlineStr">
        <is>
          <t>특별관계자</t>
        </is>
      </c>
      <c r="G4184" s="3" t="inlineStr">
        <is>
          <t>기타(-)</t>
        </is>
      </c>
      <c r="H4184" s="17" t="n">
        <v>-230013</v>
      </c>
      <c r="I4184" s="6" t="inlineStr"/>
      <c r="J4184" s="6" t="inlineStr"/>
      <c r="K4184" s="16" t="n">
        <v>0.27</v>
      </c>
      <c r="L4184" s="2" t="inlineStr">
        <is>
          <t>20260615000090</t>
        </is>
      </c>
      <c r="M4184" s="8">
        <f>HYPERLINK("https://dart.fss.or.kr/dsaf001/main.do?rcpNo=20260615000090", "공시열람")</f>
        <v/>
      </c>
    </row>
    <row r="4185" ht="22" customHeight="1">
      <c r="A4185" s="2" t="inlineStr">
        <is>
          <t>2026-06-15</t>
        </is>
      </c>
      <c r="B4185" s="3" t="inlineStr">
        <is>
          <t>티웨이홀딩스</t>
        </is>
      </c>
      <c r="C4185" s="2" t="inlineStr">
        <is>
          <t>004870</t>
        </is>
      </c>
      <c r="D4185" s="2" t="inlineStr">
        <is>
          <t>대량보유</t>
        </is>
      </c>
      <c r="E4185" s="3" t="inlineStr">
        <is>
          <t>김정호</t>
        </is>
      </c>
      <c r="F4185" s="3" t="inlineStr">
        <is>
          <t>특별관계자</t>
        </is>
      </c>
      <c r="G4185" s="3" t="inlineStr">
        <is>
          <t>기타(-)</t>
        </is>
      </c>
      <c r="H4185" s="17" t="n">
        <v>-95521</v>
      </c>
      <c r="I4185" s="6" t="inlineStr"/>
      <c r="J4185" s="6" t="inlineStr"/>
      <c r="K4185" s="16" t="n">
        <v>0.27</v>
      </c>
      <c r="L4185" s="2" t="inlineStr">
        <is>
          <t>20260615000090</t>
        </is>
      </c>
      <c r="M4185" s="8">
        <f>HYPERLINK("https://dart.fss.or.kr/dsaf001/main.do?rcpNo=20260615000090", "공시열람")</f>
        <v/>
      </c>
    </row>
    <row r="4186" ht="22" customHeight="1">
      <c r="A4186" s="2" t="inlineStr">
        <is>
          <t>2026-06-15</t>
        </is>
      </c>
      <c r="B4186" s="3" t="inlineStr">
        <is>
          <t>티웨이홀딩스</t>
        </is>
      </c>
      <c r="C4186" s="2" t="inlineStr">
        <is>
          <t>004870</t>
        </is>
      </c>
      <c r="D4186" s="2" t="inlineStr">
        <is>
          <t>대량보유</t>
        </is>
      </c>
      <c r="E4186" s="3" t="inlineStr">
        <is>
          <t>이성숙</t>
        </is>
      </c>
      <c r="F4186" s="3" t="inlineStr">
        <is>
          <t>특별관계자</t>
        </is>
      </c>
      <c r="G4186" s="3" t="inlineStr">
        <is>
          <t>기타(-)</t>
        </is>
      </c>
      <c r="H4186" s="17" t="n">
        <v>-5300</v>
      </c>
      <c r="I4186" s="6" t="inlineStr"/>
      <c r="J4186" s="6" t="inlineStr"/>
      <c r="K4186" s="16" t="n">
        <v>0.27</v>
      </c>
      <c r="L4186" s="2" t="inlineStr">
        <is>
          <t>20260615000090</t>
        </is>
      </c>
      <c r="M4186" s="8">
        <f>HYPERLINK("https://dart.fss.or.kr/dsaf001/main.do?rcpNo=20260615000090", "공시열람")</f>
        <v/>
      </c>
    </row>
    <row r="4187" ht="22" customHeight="1">
      <c r="A4187" s="2" t="inlineStr">
        <is>
          <t>2026-06-15</t>
        </is>
      </c>
      <c r="B4187" s="3" t="inlineStr">
        <is>
          <t>티웨이홀딩스</t>
        </is>
      </c>
      <c r="C4187" s="2" t="inlineStr">
        <is>
          <t>004870</t>
        </is>
      </c>
      <c r="D4187" s="2" t="inlineStr">
        <is>
          <t>대량보유</t>
        </is>
      </c>
      <c r="E4187" s="3" t="inlineStr">
        <is>
          <t>이종훈</t>
        </is>
      </c>
      <c r="F4187" s="3" t="inlineStr">
        <is>
          <t>특별관계자</t>
        </is>
      </c>
      <c r="G4187" s="3" t="inlineStr">
        <is>
          <t>기타(-)</t>
        </is>
      </c>
      <c r="H4187" s="17" t="n">
        <v>-1613110</v>
      </c>
      <c r="I4187" s="6" t="inlineStr"/>
      <c r="J4187" s="6" t="inlineStr"/>
      <c r="K4187" s="16" t="n">
        <v>0.27</v>
      </c>
      <c r="L4187" s="2" t="inlineStr">
        <is>
          <t>20260615000090</t>
        </is>
      </c>
      <c r="M4187" s="8">
        <f>HYPERLINK("https://dart.fss.or.kr/dsaf001/main.do?rcpNo=20260615000090", "공시열람")</f>
        <v/>
      </c>
    </row>
    <row r="4188" ht="22" customHeight="1">
      <c r="A4188" s="2" t="inlineStr">
        <is>
          <t>2026-06-15</t>
        </is>
      </c>
      <c r="B4188" s="3" t="inlineStr">
        <is>
          <t>티웨이홀딩스</t>
        </is>
      </c>
      <c r="C4188" s="2" t="inlineStr">
        <is>
          <t>004870</t>
        </is>
      </c>
      <c r="D4188" s="2" t="inlineStr">
        <is>
          <t>대량보유</t>
        </is>
      </c>
      <c r="E4188" s="3" t="inlineStr">
        <is>
          <t>이장현</t>
        </is>
      </c>
      <c r="F4188" s="3" t="inlineStr">
        <is>
          <t>특별관계자</t>
        </is>
      </c>
      <c r="G4188" s="3" t="inlineStr">
        <is>
          <t>기타(-)</t>
        </is>
      </c>
      <c r="H4188" s="17" t="n">
        <v>-1100000</v>
      </c>
      <c r="I4188" s="6" t="inlineStr"/>
      <c r="J4188" s="6" t="inlineStr"/>
      <c r="K4188" s="16" t="n">
        <v>0.27</v>
      </c>
      <c r="L4188" s="2" t="inlineStr">
        <is>
          <t>20260615000090</t>
        </is>
      </c>
      <c r="M4188" s="8">
        <f>HYPERLINK("https://dart.fss.or.kr/dsaf001/main.do?rcpNo=20260615000090", "공시열람")</f>
        <v/>
      </c>
    </row>
    <row r="4189" ht="22" customHeight="1">
      <c r="A4189" s="2" t="inlineStr">
        <is>
          <t>2026-06-15</t>
        </is>
      </c>
      <c r="B4189" s="3" t="inlineStr">
        <is>
          <t>씨아이테크</t>
        </is>
      </c>
      <c r="C4189" s="2" t="inlineStr">
        <is>
          <t>004920</t>
        </is>
      </c>
      <c r="D4189" s="2" t="inlineStr">
        <is>
          <t>대량보유</t>
        </is>
      </c>
      <c r="E4189" s="3" t="inlineStr">
        <is>
          <t>이학영</t>
        </is>
      </c>
      <c r="F4189" s="3" t="inlineStr">
        <is>
          <t>특별관계자</t>
        </is>
      </c>
      <c r="G4189" s="3" t="inlineStr">
        <is>
          <t>장내매수(+), 대여(-)</t>
        </is>
      </c>
      <c r="H4189" s="17" t="n">
        <v>-1732458</v>
      </c>
      <c r="I4189" s="6" t="n">
        <v>965</v>
      </c>
      <c r="J4189" s="6" t="n">
        <v>267542</v>
      </c>
      <c r="K4189" s="16" t="n">
        <v>2</v>
      </c>
      <c r="L4189" s="2" t="inlineStr">
        <is>
          <t>20260615000088</t>
        </is>
      </c>
      <c r="M4189" s="8">
        <f>HYPERLINK("https://dart.fss.or.kr/dsaf001/main.do?rcpNo=20260615000088", "공시열람")</f>
        <v/>
      </c>
    </row>
    <row r="4190" ht="22" customHeight="1">
      <c r="A4190" s="2" t="inlineStr">
        <is>
          <t>2026-06-15</t>
        </is>
      </c>
      <c r="B4190" s="3" t="inlineStr">
        <is>
          <t>씨아이테크</t>
        </is>
      </c>
      <c r="C4190" s="2" t="inlineStr">
        <is>
          <t>004920</t>
        </is>
      </c>
      <c r="D4190" s="2" t="inlineStr">
        <is>
          <t>대량보유</t>
        </is>
      </c>
      <c r="E4190" s="3" t="inlineStr">
        <is>
          <t>(주)여울컴퍼니</t>
        </is>
      </c>
      <c r="F4190" s="3" t="inlineStr">
        <is>
          <t>특별관계자</t>
        </is>
      </c>
      <c r="G4190" s="3" t="inlineStr">
        <is>
          <t>차입(+)</t>
        </is>
      </c>
      <c r="H4190" s="15" t="n">
        <v>2000000</v>
      </c>
      <c r="I4190" s="6" t="inlineStr"/>
      <c r="J4190" s="6" t="n">
        <v>9920727</v>
      </c>
      <c r="K4190" s="16" t="n">
        <v>2</v>
      </c>
      <c r="L4190" s="2" t="inlineStr">
        <is>
          <t>20260615000088</t>
        </is>
      </c>
      <c r="M4190" s="8">
        <f>HYPERLINK("https://dart.fss.or.kr/dsaf001/main.do?rcpNo=20260615000088", "공시열람")</f>
        <v/>
      </c>
    </row>
    <row r="4191" ht="22" customHeight="1">
      <c r="A4191" s="2" t="inlineStr">
        <is>
          <t>2026-06-15</t>
        </is>
      </c>
      <c r="B4191" s="3" t="inlineStr">
        <is>
          <t>아세아</t>
        </is>
      </c>
      <c r="C4191" s="2" t="inlineStr">
        <is>
          <t>002030</t>
        </is>
      </c>
      <c r="D4191" s="2" t="inlineStr">
        <is>
          <t>대량보유</t>
        </is>
      </c>
      <c r="E4191" s="3" t="inlineStr">
        <is>
          <t>계산산업</t>
        </is>
      </c>
      <c r="F4191" s="3" t="inlineStr">
        <is>
          <t>특별관계자</t>
        </is>
      </c>
      <c r="G4191" s="3" t="inlineStr">
        <is>
          <t>장내매수(+)</t>
        </is>
      </c>
      <c r="H4191" s="6" t="inlineStr"/>
      <c r="I4191" s="6" t="inlineStr"/>
      <c r="J4191" s="6" t="n">
        <v>163839</v>
      </c>
      <c r="K4191" s="16" t="n">
        <v>3</v>
      </c>
      <c r="L4191" s="2" t="inlineStr">
        <is>
          <t>20260615000071</t>
        </is>
      </c>
      <c r="M4191" s="8">
        <f>HYPERLINK("https://dart.fss.or.kr/dsaf001/main.do?rcpNo=20260615000071", "공시열람")</f>
        <v/>
      </c>
    </row>
    <row r="4192" ht="22" customHeight="1">
      <c r="A4192" s="2" t="inlineStr">
        <is>
          <t>2026-06-15</t>
        </is>
      </c>
      <c r="B4192" s="3" t="inlineStr">
        <is>
          <t>아세아</t>
        </is>
      </c>
      <c r="C4192" s="2" t="inlineStr">
        <is>
          <t>002030</t>
        </is>
      </c>
      <c r="D4192" s="2" t="inlineStr">
        <is>
          <t>대량보유</t>
        </is>
      </c>
      <c r="E4192" s="3" t="inlineStr">
        <is>
          <t>정상균</t>
        </is>
      </c>
      <c r="F4192" s="3" t="inlineStr">
        <is>
          <t>특별관계자</t>
        </is>
      </c>
      <c r="G4192" s="3" t="inlineStr">
        <is>
          <t>장내매수(+)</t>
        </is>
      </c>
      <c r="H4192" s="6" t="inlineStr"/>
      <c r="I4192" s="6" t="inlineStr"/>
      <c r="J4192" s="6" t="n">
        <v>8062</v>
      </c>
      <c r="K4192" s="16" t="n">
        <v>3</v>
      </c>
      <c r="L4192" s="2" t="inlineStr">
        <is>
          <t>20260615000071</t>
        </is>
      </c>
      <c r="M4192" s="8">
        <f>HYPERLINK("https://dart.fss.or.kr/dsaf001/main.do?rcpNo=20260615000071", "공시열람")</f>
        <v/>
      </c>
    </row>
    <row r="4193" ht="22" customHeight="1">
      <c r="A4193" s="2" t="inlineStr">
        <is>
          <t>2026-06-15</t>
        </is>
      </c>
      <c r="B4193" s="3" t="inlineStr">
        <is>
          <t>아세아</t>
        </is>
      </c>
      <c r="C4193" s="2" t="inlineStr">
        <is>
          <t>002030</t>
        </is>
      </c>
      <c r="D4193" s="2" t="inlineStr">
        <is>
          <t>대량보유</t>
        </is>
      </c>
      <c r="E4193" s="3" t="inlineStr">
        <is>
          <t>문지이</t>
        </is>
      </c>
      <c r="F4193" s="3" t="inlineStr">
        <is>
          <t>특별관계자</t>
        </is>
      </c>
      <c r="G4193" s="3" t="inlineStr">
        <is>
          <t>장내매수(+)</t>
        </is>
      </c>
      <c r="H4193" s="6" t="inlineStr"/>
      <c r="I4193" s="6" t="inlineStr"/>
      <c r="J4193" s="6" t="n">
        <v>68011</v>
      </c>
      <c r="K4193" s="16" t="n">
        <v>3</v>
      </c>
      <c r="L4193" s="2" t="inlineStr">
        <is>
          <t>20260615000071</t>
        </is>
      </c>
      <c r="M4193" s="8">
        <f>HYPERLINK("https://dart.fss.or.kr/dsaf001/main.do?rcpNo=20260615000071", "공시열람")</f>
        <v/>
      </c>
    </row>
    <row r="4194" ht="22" customHeight="1">
      <c r="A4194" s="2" t="inlineStr">
        <is>
          <t>2026-06-15</t>
        </is>
      </c>
      <c r="B4194" s="3" t="inlineStr">
        <is>
          <t>아세아</t>
        </is>
      </c>
      <c r="C4194" s="2" t="inlineStr">
        <is>
          <t>002030</t>
        </is>
      </c>
      <c r="D4194" s="2" t="inlineStr">
        <is>
          <t>대량보유</t>
        </is>
      </c>
      <c r="E4194" s="3" t="inlineStr">
        <is>
          <t>정수연</t>
        </is>
      </c>
      <c r="F4194" s="3" t="inlineStr">
        <is>
          <t>특별관계자</t>
        </is>
      </c>
      <c r="G4194" s="3" t="inlineStr">
        <is>
          <t>장내매수(+)</t>
        </is>
      </c>
      <c r="H4194" s="6" t="inlineStr"/>
      <c r="I4194" s="6" t="inlineStr"/>
      <c r="J4194" s="6" t="n">
        <v>950</v>
      </c>
      <c r="K4194" s="16" t="n">
        <v>3</v>
      </c>
      <c r="L4194" s="2" t="inlineStr">
        <is>
          <t>20260615000071</t>
        </is>
      </c>
      <c r="M4194" s="8">
        <f>HYPERLINK("https://dart.fss.or.kr/dsaf001/main.do?rcpNo=20260615000071", "공시열람")</f>
        <v/>
      </c>
    </row>
    <row r="4195" ht="22" customHeight="1">
      <c r="A4195" s="2" t="inlineStr">
        <is>
          <t>2026-06-15</t>
        </is>
      </c>
      <c r="B4195" s="3" t="inlineStr">
        <is>
          <t>피스피스스튜디오</t>
        </is>
      </c>
      <c r="C4195" s="2" t="inlineStr">
        <is>
          <t>0117P0</t>
        </is>
      </c>
      <c r="D4195" s="2" t="inlineStr">
        <is>
          <t>대량보유</t>
        </is>
      </c>
      <c r="E4195" s="3" t="inlineStr">
        <is>
          <t>박화목</t>
        </is>
      </c>
      <c r="F4195" s="3" t="inlineStr">
        <is>
          <t>특별관계자</t>
        </is>
      </c>
      <c r="G4195" s="3" t="inlineStr">
        <is>
          <t>신규상장(무상취득)(+)</t>
        </is>
      </c>
      <c r="H4195" s="15" t="n">
        <v>4800000</v>
      </c>
      <c r="I4195" s="6" t="inlineStr"/>
      <c r="J4195" s="6" t="n">
        <v>4800000</v>
      </c>
      <c r="K4195" s="16" t="n">
        <v>6</v>
      </c>
      <c r="L4195" s="2" t="inlineStr">
        <is>
          <t>20260615000038</t>
        </is>
      </c>
      <c r="M4195" s="8">
        <f>HYPERLINK("https://dart.fss.or.kr/dsaf001/main.do?rcpNo=20260615000038", "공시열람")</f>
        <v/>
      </c>
    </row>
    <row r="4196" ht="22" customHeight="1">
      <c r="A4196" s="2" t="inlineStr">
        <is>
          <t>2026-06-15</t>
        </is>
      </c>
      <c r="B4196" s="3" t="inlineStr">
        <is>
          <t>피스피스스튜디오</t>
        </is>
      </c>
      <c r="C4196" s="2" t="inlineStr">
        <is>
          <t>0117P0</t>
        </is>
      </c>
      <c r="D4196" s="2" t="inlineStr">
        <is>
          <t>대량보유</t>
        </is>
      </c>
      <c r="E4196" s="3" t="inlineStr">
        <is>
          <t>이수현</t>
        </is>
      </c>
      <c r="F4196" s="3" t="inlineStr">
        <is>
          <t>특별관계자</t>
        </is>
      </c>
      <c r="G4196" s="3" t="inlineStr">
        <is>
          <t>신규상장(무상취득)(+)</t>
        </is>
      </c>
      <c r="H4196" s="15" t="n">
        <v>192800</v>
      </c>
      <c r="I4196" s="6" t="inlineStr"/>
      <c r="J4196" s="6" t="n">
        <v>192800</v>
      </c>
      <c r="K4196" s="16" t="n">
        <v>6</v>
      </c>
      <c r="L4196" s="2" t="inlineStr">
        <is>
          <t>20260615000038</t>
        </is>
      </c>
      <c r="M4196" s="8">
        <f>HYPERLINK("https://dart.fss.or.kr/dsaf001/main.do?rcpNo=20260615000038", "공시열람")</f>
        <v/>
      </c>
    </row>
    <row r="4197" ht="22" customHeight="1">
      <c r="A4197" s="2" t="inlineStr">
        <is>
          <t>2026-06-15</t>
        </is>
      </c>
      <c r="B4197" s="3" t="inlineStr">
        <is>
          <t>피스피스스튜디오</t>
        </is>
      </c>
      <c r="C4197" s="2" t="inlineStr">
        <is>
          <t>0117P0</t>
        </is>
      </c>
      <c r="D4197" s="2" t="inlineStr">
        <is>
          <t>대량보유</t>
        </is>
      </c>
      <c r="E4197" s="3" t="inlineStr">
        <is>
          <t>박제인</t>
        </is>
      </c>
      <c r="F4197" s="3" t="inlineStr">
        <is>
          <t>특별관계자</t>
        </is>
      </c>
      <c r="G4197" s="3" t="inlineStr">
        <is>
          <t>신규상장(무상취득)(+)</t>
        </is>
      </c>
      <c r="H4197" s="15" t="n">
        <v>1028800</v>
      </c>
      <c r="I4197" s="6" t="inlineStr"/>
      <c r="J4197" s="6" t="n">
        <v>1028800</v>
      </c>
      <c r="K4197" s="16" t="n">
        <v>6</v>
      </c>
      <c r="L4197" s="2" t="inlineStr">
        <is>
          <t>20260615000038</t>
        </is>
      </c>
      <c r="M4197" s="8">
        <f>HYPERLINK("https://dart.fss.or.kr/dsaf001/main.do?rcpNo=20260615000038", "공시열람")</f>
        <v/>
      </c>
    </row>
    <row r="4198" ht="22" customHeight="1">
      <c r="A4198" s="2" t="inlineStr">
        <is>
          <t>2026-06-15</t>
        </is>
      </c>
      <c r="B4198" s="3" t="inlineStr">
        <is>
          <t>피스피스스튜디오</t>
        </is>
      </c>
      <c r="C4198" s="2" t="inlineStr">
        <is>
          <t>0117P0</t>
        </is>
      </c>
      <c r="D4198" s="2" t="inlineStr">
        <is>
          <t>대량보유</t>
        </is>
      </c>
      <c r="E4198" s="3" t="inlineStr">
        <is>
          <t>이수인</t>
        </is>
      </c>
      <c r="F4198" s="3" t="inlineStr">
        <is>
          <t>특별관계자</t>
        </is>
      </c>
      <c r="G4198" s="3" t="inlineStr">
        <is>
          <t>신규상장(무상취득)(+)</t>
        </is>
      </c>
      <c r="H4198" s="15" t="n">
        <v>317246</v>
      </c>
      <c r="I4198" s="6" t="inlineStr"/>
      <c r="J4198" s="6" t="n">
        <v>317246</v>
      </c>
      <c r="K4198" s="16" t="n">
        <v>6</v>
      </c>
      <c r="L4198" s="2" t="inlineStr">
        <is>
          <t>20260615000038</t>
        </is>
      </c>
      <c r="M4198" s="8">
        <f>HYPERLINK("https://dart.fss.or.kr/dsaf001/main.do?rcpNo=20260615000038", "공시열람")</f>
        <v/>
      </c>
    </row>
    <row r="4199" ht="22" customHeight="1">
      <c r="A4199" s="2" t="inlineStr">
        <is>
          <t>2026-06-15</t>
        </is>
      </c>
      <c r="B4199" s="3" t="inlineStr">
        <is>
          <t>피스피스스튜디오</t>
        </is>
      </c>
      <c r="C4199" s="2" t="inlineStr">
        <is>
          <t>0117P0</t>
        </is>
      </c>
      <c r="D4199" s="2" t="inlineStr">
        <is>
          <t>대량보유</t>
        </is>
      </c>
      <c r="E4199" s="3" t="inlineStr">
        <is>
          <t>서승완</t>
        </is>
      </c>
      <c r="F4199" s="3" t="inlineStr">
        <is>
          <t>특별관계자</t>
        </is>
      </c>
      <c r="G4199" s="3" t="inlineStr">
        <is>
          <t>신규상장(무상취득)(+)</t>
        </is>
      </c>
      <c r="H4199" s="15" t="n">
        <v>525317</v>
      </c>
      <c r="I4199" s="6" t="inlineStr"/>
      <c r="J4199" s="6" t="n">
        <v>136000</v>
      </c>
      <c r="K4199" s="16" t="n">
        <v>6</v>
      </c>
      <c r="L4199" s="2" t="inlineStr">
        <is>
          <t>20260615000038</t>
        </is>
      </c>
      <c r="M4199" s="8">
        <f>HYPERLINK("https://dart.fss.or.kr/dsaf001/main.do?rcpNo=20260615000038", "공시열람")</f>
        <v/>
      </c>
    </row>
    <row r="4200" ht="22" customHeight="1">
      <c r="A4200" s="2" t="inlineStr">
        <is>
          <t>2026-06-15</t>
        </is>
      </c>
      <c r="B4200" s="3" t="inlineStr">
        <is>
          <t>피스피스스튜디오</t>
        </is>
      </c>
      <c r="C4200" s="2" t="inlineStr">
        <is>
          <t>0117P0</t>
        </is>
      </c>
      <c r="D4200" s="2" t="inlineStr">
        <is>
          <t>대량보유</t>
        </is>
      </c>
      <c r="E4200" s="3" t="inlineStr">
        <is>
          <t>이강래</t>
        </is>
      </c>
      <c r="F4200" s="3" t="inlineStr">
        <is>
          <t>특별관계자</t>
        </is>
      </c>
      <c r="G4200" s="3" t="inlineStr">
        <is>
          <t>신규상장(무상취득)(+)</t>
        </is>
      </c>
      <c r="H4200" s="15" t="n">
        <v>100000</v>
      </c>
      <c r="I4200" s="6" t="inlineStr"/>
      <c r="J4200" s="6" t="n">
        <v>100000</v>
      </c>
      <c r="K4200" s="16" t="n">
        <v>6</v>
      </c>
      <c r="L4200" s="2" t="inlineStr">
        <is>
          <t>20260615000038</t>
        </is>
      </c>
      <c r="M4200" s="8">
        <f>HYPERLINK("https://dart.fss.or.kr/dsaf001/main.do?rcpNo=20260615000038", "공시열람")</f>
        <v/>
      </c>
    </row>
    <row r="4201" ht="22" customHeight="1">
      <c r="A4201" s="2" t="inlineStr">
        <is>
          <t>2026-06-15</t>
        </is>
      </c>
      <c r="B4201" s="3" t="inlineStr">
        <is>
          <t>현대홈쇼핑</t>
        </is>
      </c>
      <c r="C4201" s="2" t="inlineStr">
        <is>
          <t>057050</t>
        </is>
      </c>
      <c r="D4201" s="2" t="inlineStr">
        <is>
          <t>대량보유</t>
        </is>
      </c>
      <c r="E4201" s="3" t="inlineStr">
        <is>
          <t>(주)브이아이피자산운용</t>
        </is>
      </c>
      <c r="F4201" s="3" t="inlineStr">
        <is>
          <t>특별관계자</t>
        </is>
      </c>
      <c r="G4201" s="3" t="inlineStr">
        <is>
          <t>장내매수(+), 장내매도(-)</t>
        </is>
      </c>
      <c r="H4201" s="15" t="n">
        <v>8893</v>
      </c>
      <c r="I4201" s="6" t="n">
        <v>77356</v>
      </c>
      <c r="J4201" s="6" t="n">
        <v>600754</v>
      </c>
      <c r="K4201" s="16" t="n">
        <v>5.01</v>
      </c>
      <c r="L4201" s="2" t="inlineStr">
        <is>
          <t>20260615000037</t>
        </is>
      </c>
      <c r="M4201" s="8">
        <f>HYPERLINK("https://dart.fss.or.kr/dsaf001/main.do?rcpNo=20260615000037", "공시열람")</f>
        <v/>
      </c>
    </row>
    <row r="4202" ht="22" customHeight="1">
      <c r="A4202" s="2" t="inlineStr">
        <is>
          <t>2026-06-15</t>
        </is>
      </c>
      <c r="B4202" s="3" t="inlineStr">
        <is>
          <t>코스모화학</t>
        </is>
      </c>
      <c r="C4202" s="2" t="inlineStr">
        <is>
          <t>005420</t>
        </is>
      </c>
      <c r="D4202" s="2" t="inlineStr">
        <is>
          <t>임원보고</t>
        </is>
      </c>
      <c r="E4202" s="3" t="inlineStr">
        <is>
          <t>-</t>
        </is>
      </c>
      <c r="F4202" s="3" t="inlineStr">
        <is>
          <t>-</t>
        </is>
      </c>
      <c r="G4202" s="3" t="inlineStr">
        <is>
          <t>-</t>
        </is>
      </c>
      <c r="H4202" s="6" t="inlineStr"/>
      <c r="I4202" s="6" t="inlineStr"/>
      <c r="J4202" s="6" t="inlineStr"/>
      <c r="K4202" s="16" t="n">
        <v>12</v>
      </c>
      <c r="L4202" s="2" t="inlineStr">
        <is>
          <t>20260615800205</t>
        </is>
      </c>
      <c r="M4202" s="8">
        <f>HYPERLINK("https://dart.fss.or.kr/dsaf001/main.do?rcpNo=20260615800205", "공시열람")</f>
        <v/>
      </c>
    </row>
    <row r="4203" ht="22" customHeight="1">
      <c r="A4203" s="2" t="inlineStr">
        <is>
          <t>2026-06-15</t>
        </is>
      </c>
      <c r="B4203" s="3" t="inlineStr">
        <is>
          <t>NICE평가정보</t>
        </is>
      </c>
      <c r="C4203" s="2" t="inlineStr">
        <is>
          <t>030190</t>
        </is>
      </c>
      <c r="D4203" s="2" t="inlineStr">
        <is>
          <t>대량보유</t>
        </is>
      </c>
      <c r="E4203" s="3" t="inlineStr">
        <is>
          <t>KayneAndersonRudnickInvestmentManagement,LLC</t>
        </is>
      </c>
      <c r="F4203" s="3" t="inlineStr">
        <is>
          <t>특별관계자</t>
        </is>
      </c>
      <c r="G4203" s="3" t="inlineStr">
        <is>
          <t>장내매수(+), 장내매도(-), 기타(-)</t>
        </is>
      </c>
      <c r="H4203" s="17" t="n">
        <v>-131832</v>
      </c>
      <c r="I4203" s="6" t="n">
        <v>15827</v>
      </c>
      <c r="J4203" s="6" t="n">
        <v>1012633</v>
      </c>
      <c r="K4203" s="16" t="n">
        <v>6</v>
      </c>
      <c r="L4203" s="2" t="inlineStr">
        <is>
          <t>20260615000034</t>
        </is>
      </c>
      <c r="M4203" s="8">
        <f>HYPERLINK("https://dart.fss.or.kr/dsaf001/main.do?rcpNo=20260615000034", "공시열람")</f>
        <v/>
      </c>
    </row>
    <row r="4204" ht="22" customHeight="1">
      <c r="A4204" s="2" t="inlineStr">
        <is>
          <t>2026-06-15</t>
        </is>
      </c>
      <c r="B4204" s="3" t="inlineStr">
        <is>
          <t>NICE평가정보</t>
        </is>
      </c>
      <c r="C4204" s="2" t="inlineStr">
        <is>
          <t>030190</t>
        </is>
      </c>
      <c r="D4204" s="2" t="inlineStr">
        <is>
          <t>대량보유</t>
        </is>
      </c>
      <c r="E4204" s="3" t="inlineStr">
        <is>
          <t>VirtusKARInternationalSmall-MidCapFund</t>
        </is>
      </c>
      <c r="F4204" s="3" t="inlineStr">
        <is>
          <t>특별관계자</t>
        </is>
      </c>
      <c r="G4204" s="3" t="inlineStr">
        <is>
          <t>장내매수(+), 장내매도(-)</t>
        </is>
      </c>
      <c r="H4204" s="17" t="n">
        <v>-5962</v>
      </c>
      <c r="I4204" s="6" t="n">
        <v>12795</v>
      </c>
      <c r="J4204" s="6" t="n">
        <v>1112725</v>
      </c>
      <c r="K4204" s="16" t="n">
        <v>6</v>
      </c>
      <c r="L4204" s="2" t="inlineStr">
        <is>
          <t>20260615000034</t>
        </is>
      </c>
      <c r="M4204" s="8">
        <f>HYPERLINK("https://dart.fss.or.kr/dsaf001/main.do?rcpNo=20260615000034", "공시열람")</f>
        <v/>
      </c>
    </row>
    <row r="4205" ht="22" customHeight="1">
      <c r="A4205" s="2" t="inlineStr">
        <is>
          <t>2026-06-15</t>
        </is>
      </c>
      <c r="B4205" s="3" t="inlineStr">
        <is>
          <t>NICE평가정보</t>
        </is>
      </c>
      <c r="C4205" s="2" t="inlineStr">
        <is>
          <t>030190</t>
        </is>
      </c>
      <c r="D4205" s="2" t="inlineStr">
        <is>
          <t>대량보유</t>
        </is>
      </c>
      <c r="E4205" s="3" t="inlineStr">
        <is>
          <t>VirtusKAREmergingMarketsSmall-CapFund</t>
        </is>
      </c>
      <c r="F4205" s="3" t="inlineStr">
        <is>
          <t>특별관계자</t>
        </is>
      </c>
      <c r="G4205" s="3" t="inlineStr">
        <is>
          <t>장내매도(-), 장내매수(+)</t>
        </is>
      </c>
      <c r="H4205" s="17" t="n">
        <v>-608781</v>
      </c>
      <c r="I4205" s="6" t="n">
        <v>14959</v>
      </c>
      <c r="J4205" s="6" t="n">
        <v>1011060</v>
      </c>
      <c r="K4205" s="16" t="n">
        <v>6</v>
      </c>
      <c r="L4205" s="2" t="inlineStr">
        <is>
          <t>20260615000034</t>
        </is>
      </c>
      <c r="M4205" s="8">
        <f>HYPERLINK("https://dart.fss.or.kr/dsaf001/main.do?rcpNo=20260615000034", "공시열람")</f>
        <v/>
      </c>
    </row>
    <row r="4206" ht="22" customHeight="1">
      <c r="A4206" s="2" t="inlineStr">
        <is>
          <t>2026-06-15</t>
        </is>
      </c>
      <c r="B4206" s="3" t="inlineStr">
        <is>
          <t>NICE평가정보</t>
        </is>
      </c>
      <c r="C4206" s="2" t="inlineStr">
        <is>
          <t>030190</t>
        </is>
      </c>
      <c r="D4206" s="2" t="inlineStr">
        <is>
          <t>대량보유</t>
        </is>
      </c>
      <c r="E4206" s="3" t="inlineStr">
        <is>
          <t>VirtusTacticalAllocationFund</t>
        </is>
      </c>
      <c r="F4206" s="3" t="inlineStr">
        <is>
          <t>특별관계자</t>
        </is>
      </c>
      <c r="G4206" s="3" t="inlineStr">
        <is>
          <t>장내매수(+)</t>
        </is>
      </c>
      <c r="H4206" s="15" t="n">
        <v>12825</v>
      </c>
      <c r="I4206" s="6" t="n">
        <v>11755</v>
      </c>
      <c r="J4206" s="6" t="n">
        <v>143029</v>
      </c>
      <c r="K4206" s="16" t="n">
        <v>6</v>
      </c>
      <c r="L4206" s="2" t="inlineStr">
        <is>
          <t>20260615000034</t>
        </is>
      </c>
      <c r="M4206" s="8">
        <f>HYPERLINK("https://dart.fss.or.kr/dsaf001/main.do?rcpNo=20260615000034", "공시열람")</f>
        <v/>
      </c>
    </row>
    <row r="4207" ht="22" customHeight="1">
      <c r="A4207" s="2" t="inlineStr">
        <is>
          <t>2026-06-15</t>
        </is>
      </c>
      <c r="B4207" s="3" t="inlineStr">
        <is>
          <t>NICE평가정보</t>
        </is>
      </c>
      <c r="C4207" s="2" t="inlineStr">
        <is>
          <t>030190</t>
        </is>
      </c>
      <c r="D4207" s="2" t="inlineStr">
        <is>
          <t>대량보유</t>
        </is>
      </c>
      <c r="E4207" s="3" t="inlineStr">
        <is>
          <t>VirtusTacticalAllocationSeries</t>
        </is>
      </c>
      <c r="F4207" s="3" t="inlineStr">
        <is>
          <t>특별관계자</t>
        </is>
      </c>
      <c r="G4207" s="3" t="inlineStr">
        <is>
          <t>장내매수(+), 장내매도(-)</t>
        </is>
      </c>
      <c r="H4207" s="15" t="n">
        <v>1159</v>
      </c>
      <c r="I4207" s="6" t="n">
        <v>12501</v>
      </c>
      <c r="J4207" s="6" t="n">
        <v>15225</v>
      </c>
      <c r="K4207" s="16" t="n">
        <v>6</v>
      </c>
      <c r="L4207" s="2" t="inlineStr">
        <is>
          <t>20260615000034</t>
        </is>
      </c>
      <c r="M4207" s="8">
        <f>HYPERLINK("https://dart.fss.or.kr/dsaf001/main.do?rcpNo=20260615000034", "공시열람")</f>
        <v/>
      </c>
    </row>
    <row r="4208" ht="22" customHeight="1">
      <c r="A4208" s="2" t="inlineStr">
        <is>
          <t>2026-06-15</t>
        </is>
      </c>
      <c r="B4208" s="3" t="inlineStr">
        <is>
          <t>NICE평가정보</t>
        </is>
      </c>
      <c r="C4208" s="2" t="inlineStr">
        <is>
          <t>030190</t>
        </is>
      </c>
      <c r="D4208" s="2" t="inlineStr">
        <is>
          <t>대량보유</t>
        </is>
      </c>
      <c r="E4208" s="3" t="inlineStr">
        <is>
          <t>VirtusKARDevelopingMarketsFund</t>
        </is>
      </c>
      <c r="F4208" s="3" t="inlineStr">
        <is>
          <t>특별관계자</t>
        </is>
      </c>
      <c r="G4208" s="3" t="inlineStr">
        <is>
          <t>장내매수(+), 장내매도(-)</t>
        </is>
      </c>
      <c r="H4208" s="15" t="n">
        <v>462</v>
      </c>
      <c r="I4208" s="6" t="n">
        <v>14785</v>
      </c>
      <c r="J4208" s="6" t="n">
        <v>8088</v>
      </c>
      <c r="K4208" s="16" t="n">
        <v>6</v>
      </c>
      <c r="L4208" s="2" t="inlineStr">
        <is>
          <t>20260615000034</t>
        </is>
      </c>
      <c r="M4208" s="8">
        <f>HYPERLINK("https://dart.fss.or.kr/dsaf001/main.do?rcpNo=20260615000034", "공시열람")</f>
        <v/>
      </c>
    </row>
    <row r="4209" ht="22" customHeight="1">
      <c r="A4209" s="2" t="inlineStr">
        <is>
          <t>2026-06-15</t>
        </is>
      </c>
      <c r="B4209" s="3" t="inlineStr">
        <is>
          <t>SDN</t>
        </is>
      </c>
      <c r="C4209" s="2" t="inlineStr">
        <is>
          <t>099220</t>
        </is>
      </c>
      <c r="D4209" s="2" t="inlineStr">
        <is>
          <t>대량보유</t>
        </is>
      </c>
      <c r="E4209" s="3" t="inlineStr">
        <is>
          <t>최기혁</t>
        </is>
      </c>
      <c r="F4209" s="3" t="inlineStr">
        <is>
          <t>특별관계자</t>
        </is>
      </c>
      <c r="G4209" s="3" t="inlineStr">
        <is>
          <t>장내매수(+)</t>
        </is>
      </c>
      <c r="H4209" s="15" t="n">
        <v>137806</v>
      </c>
      <c r="I4209" s="6" t="n">
        <v>972</v>
      </c>
      <c r="J4209" s="6" t="n">
        <v>4049134</v>
      </c>
      <c r="K4209" s="16" t="n">
        <v>14</v>
      </c>
      <c r="L4209" s="2" t="inlineStr">
        <is>
          <t>20260615000011</t>
        </is>
      </c>
      <c r="M4209" s="8">
        <f>HYPERLINK("https://dart.fss.or.kr/dsaf001/main.do?rcpNo=20260615000011", "공시열람")</f>
        <v/>
      </c>
    </row>
    <row r="4210" ht="22" customHeight="1">
      <c r="A4210" s="2" t="inlineStr">
        <is>
          <t>2026-06-15</t>
        </is>
      </c>
      <c r="B4210" s="3" t="inlineStr">
        <is>
          <t>리노공업</t>
        </is>
      </c>
      <c r="C4210" s="2" t="inlineStr">
        <is>
          <t>058470</t>
        </is>
      </c>
      <c r="D4210" s="2" t="inlineStr">
        <is>
          <t>대량보유</t>
        </is>
      </c>
      <c r="E4210" s="3" t="inlineStr">
        <is>
          <t>김형계</t>
        </is>
      </c>
      <c r="F4210" s="3" t="inlineStr">
        <is>
          <t>특별관계자</t>
        </is>
      </c>
      <c r="G4210" s="3" t="inlineStr">
        <is>
          <t>신규선임(무상취득)(+), 주식분할</t>
        </is>
      </c>
      <c r="H4210" s="15" t="n">
        <v>3000</v>
      </c>
      <c r="I4210" s="6" t="inlineStr"/>
      <c r="J4210" s="6" t="n">
        <v>3000</v>
      </c>
      <c r="K4210" s="16" t="n">
        <v>1</v>
      </c>
      <c r="L4210" s="2" t="inlineStr">
        <is>
          <t>20260615000001</t>
        </is>
      </c>
      <c r="M4210" s="8">
        <f>HYPERLINK("https://dart.fss.or.kr/dsaf001/main.do?rcpNo=20260615000001", "공시열람")</f>
        <v/>
      </c>
    </row>
    <row r="4211" ht="22" customHeight="1">
      <c r="A4211" s="2" t="inlineStr">
        <is>
          <t>2026-06-15</t>
        </is>
      </c>
      <c r="B4211" s="3" t="inlineStr">
        <is>
          <t>리노공업</t>
        </is>
      </c>
      <c r="C4211" s="2" t="inlineStr">
        <is>
          <t>058470</t>
        </is>
      </c>
      <c r="D4211" s="2" t="inlineStr">
        <is>
          <t>대량보유</t>
        </is>
      </c>
      <c r="E4211" s="3" t="inlineStr">
        <is>
          <t>이채윤</t>
        </is>
      </c>
      <c r="F4211" s="3" t="inlineStr">
        <is>
          <t>특별관계자</t>
        </is>
      </c>
      <c r="G4211" s="3" t="inlineStr">
        <is>
          <t>주식분할, 시간외매매(-)</t>
        </is>
      </c>
      <c r="H4211" s="15" t="n">
        <v>14134676</v>
      </c>
      <c r="I4211" s="6" t="n">
        <v>90000</v>
      </c>
      <c r="J4211" s="6" t="n">
        <v>19418345</v>
      </c>
      <c r="K4211" s="16" t="n">
        <v>1</v>
      </c>
      <c r="L4211" s="2" t="inlineStr">
        <is>
          <t>20260615000001</t>
        </is>
      </c>
      <c r="M4211" s="8">
        <f>HYPERLINK("https://dart.fss.or.kr/dsaf001/main.do?rcpNo=20260615000001", "공시열람")</f>
        <v/>
      </c>
    </row>
    <row r="4212" ht="22" customHeight="1">
      <c r="A4212" s="2" t="inlineStr">
        <is>
          <t>2026-06-16</t>
        </is>
      </c>
      <c r="B4212" s="3" t="inlineStr">
        <is>
          <t>팬오션</t>
        </is>
      </c>
      <c r="C4212" s="2" t="inlineStr">
        <is>
          <t>028670</t>
        </is>
      </c>
      <c r="D4212" s="2" t="inlineStr">
        <is>
          <t>대량보유</t>
        </is>
      </c>
      <c r="E4212" s="3" t="inlineStr">
        <is>
          <t>김동균</t>
        </is>
      </c>
      <c r="F4212" s="3" t="inlineStr">
        <is>
          <t>특별관계자</t>
        </is>
      </c>
      <c r="G4212" s="3" t="inlineStr">
        <is>
          <t>장내매수(+)</t>
        </is>
      </c>
      <c r="H4212" s="15" t="n">
        <v>2050</v>
      </c>
      <c r="I4212" s="6" t="n">
        <v>4995</v>
      </c>
      <c r="J4212" s="6" t="n">
        <v>3550</v>
      </c>
      <c r="K4212" s="16" t="n">
        <v>10</v>
      </c>
      <c r="L4212" s="2" t="inlineStr">
        <is>
          <t>20260616000385</t>
        </is>
      </c>
      <c r="M4212" s="8">
        <f>HYPERLINK("https://dart.fss.or.kr/dsaf001/main.do?rcpNo=20260616000385", "공시열람")</f>
        <v/>
      </c>
    </row>
    <row r="4213" ht="22" customHeight="1">
      <c r="A4213" s="2" t="inlineStr">
        <is>
          <t>2026-06-16</t>
        </is>
      </c>
      <c r="B4213" s="3" t="inlineStr">
        <is>
          <t>브이엠</t>
        </is>
      </c>
      <c r="C4213" s="2" t="inlineStr">
        <is>
          <t>089970</t>
        </is>
      </c>
      <c r="D4213" s="2" t="inlineStr">
        <is>
          <t>대량보유</t>
        </is>
      </c>
      <c r="E4213" s="3" t="inlineStr">
        <is>
          <t>J.P.MorganSecuritiesPLC</t>
        </is>
      </c>
      <c r="F4213" s="3" t="inlineStr">
        <is>
          <t>특별관계자</t>
        </is>
      </c>
      <c r="G4213" s="3" t="inlineStr">
        <is>
          <t>장내매도(-), 장내매수(+), 기타(+)</t>
        </is>
      </c>
      <c r="H4213" s="17" t="n">
        <v>-177473</v>
      </c>
      <c r="I4213" s="6" t="n">
        <v>81595</v>
      </c>
      <c r="J4213" s="6" t="n">
        <v>1193196</v>
      </c>
      <c r="K4213" s="16" t="n">
        <v>2</v>
      </c>
      <c r="L4213" s="2" t="inlineStr">
        <is>
          <t>20260616000368</t>
        </is>
      </c>
      <c r="M4213" s="8">
        <f>HYPERLINK("https://dart.fss.or.kr/dsaf001/main.do?rcpNo=20260616000368", "공시열람")</f>
        <v/>
      </c>
    </row>
    <row r="4214" ht="22" customHeight="1">
      <c r="A4214" s="2" t="inlineStr">
        <is>
          <t>2026-06-16</t>
        </is>
      </c>
      <c r="B4214" s="3" t="inlineStr">
        <is>
          <t>브이엠</t>
        </is>
      </c>
      <c r="C4214" s="2" t="inlineStr">
        <is>
          <t>089970</t>
        </is>
      </c>
      <c r="D4214" s="2" t="inlineStr">
        <is>
          <t>대량보유</t>
        </is>
      </c>
      <c r="E4214" s="3" t="inlineStr">
        <is>
          <t>J.P.MorganSecuritiesLLC</t>
        </is>
      </c>
      <c r="F4214" s="3" t="inlineStr">
        <is>
          <t>특별관계자</t>
        </is>
      </c>
      <c r="G4214" s="3" t="inlineStr">
        <is>
          <t>기타(-), 기타(+)</t>
        </is>
      </c>
      <c r="H4214" s="6" t="inlineStr"/>
      <c r="I4214" s="6" t="inlineStr"/>
      <c r="J4214" s="6" t="n">
        <v>5726</v>
      </c>
      <c r="K4214" s="16" t="n">
        <v>2</v>
      </c>
      <c r="L4214" s="2" t="inlineStr">
        <is>
          <t>20260616000368</t>
        </is>
      </c>
      <c r="M4214" s="8">
        <f>HYPERLINK("https://dart.fss.or.kr/dsaf001/main.do?rcpNo=20260616000368", "공시열람")</f>
        <v/>
      </c>
    </row>
    <row r="4215" ht="22" customHeight="1">
      <c r="A4215" s="2" t="inlineStr">
        <is>
          <t>2026-06-16 (정정: 2026-06-16)</t>
        </is>
      </c>
      <c r="B4215" s="3" t="inlineStr">
        <is>
          <t>보원케미칼</t>
        </is>
      </c>
      <c r="C4215" s="2" t="inlineStr">
        <is>
          <t>0010F0</t>
        </is>
      </c>
      <c r="D4215" s="2" t="inlineStr">
        <is>
          <t>대량보유</t>
        </is>
      </c>
      <c r="E4215" s="3" t="inlineStr">
        <is>
          <t>-</t>
        </is>
      </c>
      <c r="F4215" s="3" t="inlineStr">
        <is>
          <t>보고자</t>
        </is>
      </c>
      <c r="G4215" s="3" t="inlineStr">
        <is>
          <t>-</t>
        </is>
      </c>
      <c r="H4215" s="6" t="inlineStr"/>
      <c r="I4215" s="6" t="inlineStr"/>
      <c r="J4215" s="6" t="inlineStr"/>
      <c r="K4215" s="18" t="inlineStr"/>
      <c r="L4215" s="2" t="inlineStr">
        <is>
          <t>20260616000289</t>
        </is>
      </c>
      <c r="M4215" s="8">
        <f>HYPERLINK("https://dart.fss.or.kr/dsaf001/main.do?rcpNo=20260616000289", "공시열람")</f>
        <v/>
      </c>
    </row>
    <row r="4216" ht="22" customHeight="1">
      <c r="A4216" s="2" t="inlineStr">
        <is>
          <t>2026-06-16</t>
        </is>
      </c>
      <c r="B4216" s="3" t="inlineStr">
        <is>
          <t>이상네트웍스</t>
        </is>
      </c>
      <c r="C4216" s="2" t="inlineStr">
        <is>
          <t>080010</t>
        </is>
      </c>
      <c r="D4216" s="2" t="inlineStr">
        <is>
          <t>대량보유</t>
        </is>
      </c>
      <c r="E4216" s="3" t="inlineStr">
        <is>
          <t>하성일</t>
        </is>
      </c>
      <c r="F4216" s="3" t="inlineStr">
        <is>
          <t>특별관계자</t>
        </is>
      </c>
      <c r="G4216" s="3" t="inlineStr">
        <is>
          <t>장내매수(+)</t>
        </is>
      </c>
      <c r="H4216" s="15" t="n">
        <v>26336</v>
      </c>
      <c r="I4216" s="6" t="n">
        <v>7254</v>
      </c>
      <c r="J4216" s="6" t="n">
        <v>1516759</v>
      </c>
      <c r="K4216" s="16" t="n">
        <v>2</v>
      </c>
      <c r="L4216" s="2" t="inlineStr">
        <is>
          <t>20260616000361</t>
        </is>
      </c>
      <c r="M4216" s="8">
        <f>HYPERLINK("https://dart.fss.or.kr/dsaf001/main.do?rcpNo=20260616000361", "공시열람")</f>
        <v/>
      </c>
    </row>
    <row r="4217" ht="22" customHeight="1">
      <c r="A4217" s="2" t="inlineStr">
        <is>
          <t>2026-06-16</t>
        </is>
      </c>
      <c r="B4217" s="3" t="inlineStr">
        <is>
          <t>이상네트웍스</t>
        </is>
      </c>
      <c r="C4217" s="2" t="inlineStr">
        <is>
          <t>080010</t>
        </is>
      </c>
      <c r="D4217" s="2" t="inlineStr">
        <is>
          <t>대량보유</t>
        </is>
      </c>
      <c r="E4217" s="3" t="inlineStr">
        <is>
          <t>거산이엔지</t>
        </is>
      </c>
      <c r="F4217" s="3" t="inlineStr">
        <is>
          <t>특별관계자</t>
        </is>
      </c>
      <c r="G4217" s="3" t="inlineStr">
        <is>
          <t>장내매수(+)</t>
        </is>
      </c>
      <c r="H4217" s="15" t="n">
        <v>10</v>
      </c>
      <c r="I4217" s="6" t="n">
        <v>7200</v>
      </c>
      <c r="J4217" s="6" t="n">
        <v>1516769</v>
      </c>
      <c r="K4217" s="16" t="n">
        <v>2</v>
      </c>
      <c r="L4217" s="2" t="inlineStr">
        <is>
          <t>20260616000361</t>
        </is>
      </c>
      <c r="M4217" s="8">
        <f>HYPERLINK("https://dart.fss.or.kr/dsaf001/main.do?rcpNo=20260616000361", "공시열람")</f>
        <v/>
      </c>
    </row>
    <row r="4218" ht="22" customHeight="1">
      <c r="A4218" s="2" t="inlineStr">
        <is>
          <t>2026-06-16</t>
        </is>
      </c>
      <c r="B4218" s="3" t="inlineStr">
        <is>
          <t>글로벌텍스프리</t>
        </is>
      </c>
      <c r="C4218" s="2" t="inlineStr">
        <is>
          <t>204620</t>
        </is>
      </c>
      <c r="D4218" s="2" t="inlineStr">
        <is>
          <t>대량보유</t>
        </is>
      </c>
      <c r="E4218" s="3" t="inlineStr">
        <is>
          <t>(주)제이에스아이홀딩스</t>
        </is>
      </c>
      <c r="F4218" s="3" t="inlineStr">
        <is>
          <t>특별관계자</t>
        </is>
      </c>
      <c r="G4218" s="3" t="inlineStr">
        <is>
          <t>장내매수(+)</t>
        </is>
      </c>
      <c r="H4218" s="15" t="n">
        <v>211720</v>
      </c>
      <c r="I4218" s="6" t="n">
        <v>4695</v>
      </c>
      <c r="J4218" s="6" t="n">
        <v>646020</v>
      </c>
      <c r="K4218" s="16" t="n">
        <v>3</v>
      </c>
      <c r="L4218" s="2" t="inlineStr">
        <is>
          <t>20260616000354</t>
        </is>
      </c>
      <c r="M4218" s="8">
        <f>HYPERLINK("https://dart.fss.or.kr/dsaf001/main.do?rcpNo=20260616000354", "공시열람")</f>
        <v/>
      </c>
    </row>
    <row r="4219" ht="22" customHeight="1">
      <c r="A4219" s="2" t="inlineStr">
        <is>
          <t>2026-06-16</t>
        </is>
      </c>
      <c r="B4219" s="3" t="inlineStr">
        <is>
          <t>피앤씨테크</t>
        </is>
      </c>
      <c r="C4219" s="2" t="inlineStr">
        <is>
          <t>237750</t>
        </is>
      </c>
      <c r="D4219" s="2" t="inlineStr">
        <is>
          <t>대량보유</t>
        </is>
      </c>
      <c r="E4219" s="3" t="inlineStr">
        <is>
          <t>조민기</t>
        </is>
      </c>
      <c r="F4219" s="3" t="inlineStr">
        <is>
          <t>특별관계자</t>
        </is>
      </c>
      <c r="G4219" s="3" t="inlineStr">
        <is>
          <t>장내매수(+)</t>
        </is>
      </c>
      <c r="H4219" s="15" t="n">
        <v>25369</v>
      </c>
      <c r="I4219" s="6" t="n">
        <v>4262</v>
      </c>
      <c r="J4219" s="6" t="n">
        <v>182000</v>
      </c>
      <c r="K4219" s="16" t="n">
        <v>2</v>
      </c>
      <c r="L4219" s="2" t="inlineStr">
        <is>
          <t>20260616000341</t>
        </is>
      </c>
      <c r="M4219" s="8">
        <f>HYPERLINK("https://dart.fss.or.kr/dsaf001/main.do?rcpNo=20260616000341", "공시열람")</f>
        <v/>
      </c>
    </row>
    <row r="4220" ht="22" customHeight="1">
      <c r="A4220" s="2" t="inlineStr">
        <is>
          <t>2026-06-16</t>
        </is>
      </c>
      <c r="B4220" s="3" t="inlineStr">
        <is>
          <t>유안타증권</t>
        </is>
      </c>
      <c r="C4220" s="2" t="inlineStr">
        <is>
          <t>003470</t>
        </is>
      </c>
      <c r="D4220" s="2" t="inlineStr">
        <is>
          <t>임원보고</t>
        </is>
      </c>
      <c r="E4220" s="3" t="inlineStr">
        <is>
          <t>-</t>
        </is>
      </c>
      <c r="F4220" s="3" t="inlineStr">
        <is>
          <t>-</t>
        </is>
      </c>
      <c r="G4220" s="3" t="inlineStr">
        <is>
          <t>-</t>
        </is>
      </c>
      <c r="H4220" s="6" t="inlineStr"/>
      <c r="I4220" s="6" t="inlineStr"/>
      <c r="J4220" s="6" t="inlineStr"/>
      <c r="K4220" s="16" t="n">
        <v>12</v>
      </c>
      <c r="L4220" s="2" t="inlineStr">
        <is>
          <t>20260616800735</t>
        </is>
      </c>
      <c r="M4220" s="8">
        <f>HYPERLINK("https://dart.fss.or.kr/dsaf001/main.do?rcpNo=20260616800735", "공시열람")</f>
        <v/>
      </c>
    </row>
    <row r="4221" ht="22" customHeight="1">
      <c r="A4221" s="2" t="inlineStr">
        <is>
          <t>2026-06-16</t>
        </is>
      </c>
      <c r="B4221" s="3" t="inlineStr">
        <is>
          <t>태림포장</t>
        </is>
      </c>
      <c r="C4221" s="2" t="inlineStr">
        <is>
          <t>011280</t>
        </is>
      </c>
      <c r="D4221" s="2" t="inlineStr">
        <is>
          <t>임원보고</t>
        </is>
      </c>
      <c r="E4221" s="3" t="inlineStr">
        <is>
          <t>-</t>
        </is>
      </c>
      <c r="F4221" s="3" t="inlineStr">
        <is>
          <t>-</t>
        </is>
      </c>
      <c r="G4221" s="3" t="inlineStr">
        <is>
          <t>-</t>
        </is>
      </c>
      <c r="H4221" s="6" t="inlineStr"/>
      <c r="I4221" s="6" t="inlineStr"/>
      <c r="J4221" s="6" t="inlineStr"/>
      <c r="K4221" s="16" t="n">
        <v>12</v>
      </c>
      <c r="L4221" s="2" t="inlineStr">
        <is>
          <t>20260616800715</t>
        </is>
      </c>
      <c r="M4221" s="8">
        <f>HYPERLINK("https://dart.fss.or.kr/dsaf001/main.do?rcpNo=20260616800715", "공시열람")</f>
        <v/>
      </c>
    </row>
    <row r="4222" ht="22" customHeight="1">
      <c r="A4222" s="2" t="inlineStr">
        <is>
          <t>2026-06-16</t>
        </is>
      </c>
      <c r="B4222" s="3" t="inlineStr">
        <is>
          <t>코오롱글로벌</t>
        </is>
      </c>
      <c r="C4222" s="2" t="inlineStr">
        <is>
          <t>003070</t>
        </is>
      </c>
      <c r="D4222" s="2" t="inlineStr">
        <is>
          <t>임원보고</t>
        </is>
      </c>
      <c r="E4222" s="3" t="inlineStr">
        <is>
          <t>-</t>
        </is>
      </c>
      <c r="F4222" s="3" t="inlineStr">
        <is>
          <t>-</t>
        </is>
      </c>
      <c r="G4222" s="3" t="inlineStr">
        <is>
          <t>-</t>
        </is>
      </c>
      <c r="H4222" s="6" t="inlineStr"/>
      <c r="I4222" s="6" t="inlineStr"/>
      <c r="J4222" s="6" t="inlineStr"/>
      <c r="K4222" s="16" t="n">
        <v>12</v>
      </c>
      <c r="L4222" s="2" t="inlineStr">
        <is>
          <t>20260616800709</t>
        </is>
      </c>
      <c r="M4222" s="8">
        <f>HYPERLINK("https://dart.fss.or.kr/dsaf001/main.do?rcpNo=20260616800709", "공시열람")</f>
        <v/>
      </c>
    </row>
    <row r="4223" ht="22" customHeight="1">
      <c r="A4223" s="2" t="inlineStr">
        <is>
          <t>2026-06-16</t>
        </is>
      </c>
      <c r="B4223" s="3" t="inlineStr">
        <is>
          <t>키움제10호스팩</t>
        </is>
      </c>
      <c r="C4223" s="2" t="inlineStr">
        <is>
          <t>487720</t>
        </is>
      </c>
      <c r="D4223" s="2" t="inlineStr">
        <is>
          <t>대량보유</t>
        </is>
      </c>
      <c r="E4223" s="3" t="inlineStr">
        <is>
          <t>더블유자산운용</t>
        </is>
      </c>
      <c r="F4223" s="3" t="inlineStr">
        <is>
          <t>특별관계자</t>
        </is>
      </c>
      <c r="G4223" s="3" t="inlineStr">
        <is>
          <t>신규등록(+), 장내매도(-), 장내매수(+)</t>
        </is>
      </c>
      <c r="H4223" s="15" t="n">
        <v>254440</v>
      </c>
      <c r="I4223" s="6" t="n">
        <v>2045</v>
      </c>
      <c r="J4223" s="6" t="n">
        <v>254440</v>
      </c>
      <c r="K4223" s="16" t="n">
        <v>6.02</v>
      </c>
      <c r="L4223" s="2" t="inlineStr">
        <is>
          <t>20260616000331</t>
        </is>
      </c>
      <c r="M4223" s="8">
        <f>HYPERLINK("https://dart.fss.or.kr/dsaf001/main.do?rcpNo=20260616000331", "공시열람")</f>
        <v/>
      </c>
    </row>
    <row r="4224" ht="22" customHeight="1">
      <c r="A4224" s="2" t="inlineStr">
        <is>
          <t>2026-06-16</t>
        </is>
      </c>
      <c r="B4224" s="3" t="inlineStr">
        <is>
          <t>한국항공우주</t>
        </is>
      </c>
      <c r="C4224" s="2" t="inlineStr">
        <is>
          <t>047810</t>
        </is>
      </c>
      <c r="D4224" s="2" t="inlineStr">
        <is>
          <t>대량보유</t>
        </is>
      </c>
      <c r="E4224" s="3" t="inlineStr">
        <is>
          <t>한화에어로스페이스(주)</t>
        </is>
      </c>
      <c r="F4224" s="3" t="inlineStr">
        <is>
          <t>특별관계자</t>
        </is>
      </c>
      <c r="G4224" s="3" t="inlineStr">
        <is>
          <t>장내매수(+)</t>
        </is>
      </c>
      <c r="H4224" s="15" t="n">
        <v>853813</v>
      </c>
      <c r="I4224" s="6" t="n">
        <v>162709</v>
      </c>
      <c r="J4224" s="6" t="n">
        <v>6334788</v>
      </c>
      <c r="K4224" s="16" t="n">
        <v>3</v>
      </c>
      <c r="L4224" s="2" t="inlineStr">
        <is>
          <t>20260616000329</t>
        </is>
      </c>
      <c r="M4224" s="8">
        <f>HYPERLINK("https://dart.fss.or.kr/dsaf001/main.do?rcpNo=20260616000329", "공시열람")</f>
        <v/>
      </c>
    </row>
    <row r="4225" ht="22" customHeight="1">
      <c r="A4225" s="2" t="inlineStr">
        <is>
          <t>2026-06-16</t>
        </is>
      </c>
      <c r="B4225" s="3" t="inlineStr">
        <is>
          <t>한국항공우주</t>
        </is>
      </c>
      <c r="C4225" s="2" t="inlineStr">
        <is>
          <t>047810</t>
        </is>
      </c>
      <c r="D4225" s="2" t="inlineStr">
        <is>
          <t>대량보유</t>
        </is>
      </c>
      <c r="E4225" s="3" t="inlineStr">
        <is>
          <t>한화시스템(주)</t>
        </is>
      </c>
      <c r="F4225" s="3" t="inlineStr">
        <is>
          <t>특별관계자</t>
        </is>
      </c>
      <c r="G4225" s="3" t="inlineStr">
        <is>
          <t>장내매수(+)</t>
        </is>
      </c>
      <c r="H4225" s="15" t="n">
        <v>920895</v>
      </c>
      <c r="I4225" s="6" t="n">
        <v>135702</v>
      </c>
      <c r="J4225" s="6" t="n">
        <v>1487530</v>
      </c>
      <c r="K4225" s="16" t="n">
        <v>3</v>
      </c>
      <c r="L4225" s="2" t="inlineStr">
        <is>
          <t>20260616000329</t>
        </is>
      </c>
      <c r="M4225" s="8">
        <f>HYPERLINK("https://dart.fss.or.kr/dsaf001/main.do?rcpNo=20260616000329", "공시열람")</f>
        <v/>
      </c>
    </row>
    <row r="4226" ht="22" customHeight="1">
      <c r="A4226" s="2" t="inlineStr">
        <is>
          <t>2026-06-16</t>
        </is>
      </c>
      <c r="B4226" s="3" t="inlineStr">
        <is>
          <t>한솔홀딩스</t>
        </is>
      </c>
      <c r="C4226" s="2" t="inlineStr">
        <is>
          <t>004150</t>
        </is>
      </c>
      <c r="D4226" s="2" t="inlineStr">
        <is>
          <t>임원보고</t>
        </is>
      </c>
      <c r="E4226" s="3" t="inlineStr">
        <is>
          <t>-</t>
        </is>
      </c>
      <c r="F4226" s="3" t="inlineStr">
        <is>
          <t>-</t>
        </is>
      </c>
      <c r="G4226" s="3" t="inlineStr">
        <is>
          <t>-</t>
        </is>
      </c>
      <c r="H4226" s="6" t="inlineStr"/>
      <c r="I4226" s="6" t="inlineStr"/>
      <c r="J4226" s="6" t="inlineStr"/>
      <c r="K4226" s="16" t="n">
        <v>12</v>
      </c>
      <c r="L4226" s="2" t="inlineStr">
        <is>
          <t>20260616800697</t>
        </is>
      </c>
      <c r="M4226" s="8">
        <f>HYPERLINK("https://dart.fss.or.kr/dsaf001/main.do?rcpNo=20260616800697", "공시열람")</f>
        <v/>
      </c>
    </row>
    <row r="4227" ht="22" customHeight="1">
      <c r="A4227" s="2" t="inlineStr">
        <is>
          <t>2026-06-16</t>
        </is>
      </c>
      <c r="B4227" s="3" t="inlineStr">
        <is>
          <t>우진</t>
        </is>
      </c>
      <c r="C4227" s="2" t="inlineStr">
        <is>
          <t>105840</t>
        </is>
      </c>
      <c r="D4227" s="2" t="inlineStr">
        <is>
          <t>대량보유</t>
        </is>
      </c>
      <c r="E4227" s="3" t="inlineStr">
        <is>
          <t>이재원</t>
        </is>
      </c>
      <c r="F4227" s="3" t="inlineStr">
        <is>
          <t>보고자</t>
        </is>
      </c>
      <c r="G4227" s="3" t="inlineStr">
        <is>
          <t>주식담보대출 계약 연장에 따른 변경 보고</t>
        </is>
      </c>
      <c r="H4227" s="6" t="inlineStr"/>
      <c r="I4227" s="6" t="inlineStr"/>
      <c r="J4227" s="6" t="n">
        <v>6029869</v>
      </c>
      <c r="K4227" s="16" t="n">
        <v>11</v>
      </c>
      <c r="L4227" s="2" t="inlineStr">
        <is>
          <t>20260616000320</t>
        </is>
      </c>
      <c r="M4227" s="8">
        <f>HYPERLINK("https://dart.fss.or.kr/dsaf001/main.do?rcpNo=20260616000320", "공시열람")</f>
        <v/>
      </c>
    </row>
    <row r="4228" ht="22" customHeight="1">
      <c r="A4228" s="2" t="inlineStr">
        <is>
          <t>2026-06-16</t>
        </is>
      </c>
      <c r="B4228" s="3" t="inlineStr">
        <is>
          <t>하나35호스팩</t>
        </is>
      </c>
      <c r="C4228" s="2" t="inlineStr">
        <is>
          <t>0041L0</t>
        </is>
      </c>
      <c r="D4228" s="2" t="inlineStr">
        <is>
          <t>대량보유</t>
        </is>
      </c>
      <c r="E4228" s="3" t="inlineStr">
        <is>
          <t>더블유자산운용</t>
        </is>
      </c>
      <c r="F4228" s="3" t="inlineStr">
        <is>
          <t>특별관계자</t>
        </is>
      </c>
      <c r="G4228" s="3" t="inlineStr">
        <is>
          <t>신규등록(+), 장내매도(-), 장내매수(+)</t>
        </is>
      </c>
      <c r="H4228" s="15" t="n">
        <v>369008</v>
      </c>
      <c r="I4228" s="6" t="n">
        <v>2006</v>
      </c>
      <c r="J4228" s="6" t="n">
        <v>369008</v>
      </c>
      <c r="K4228" s="16" t="n">
        <v>6.12</v>
      </c>
      <c r="L4228" s="2" t="inlineStr">
        <is>
          <t>20260616000317</t>
        </is>
      </c>
      <c r="M4228" s="8">
        <f>HYPERLINK("https://dart.fss.or.kr/dsaf001/main.do?rcpNo=20260616000317", "공시열람")</f>
        <v/>
      </c>
    </row>
    <row r="4229" ht="22" customHeight="1">
      <c r="A4229" s="2" t="inlineStr">
        <is>
          <t>2026-06-16</t>
        </is>
      </c>
      <c r="B4229" s="3" t="inlineStr">
        <is>
          <t>화승코퍼레이션</t>
        </is>
      </c>
      <c r="C4229" s="2" t="inlineStr">
        <is>
          <t>013520</t>
        </is>
      </c>
      <c r="D4229" s="2" t="inlineStr">
        <is>
          <t>임원보고</t>
        </is>
      </c>
      <c r="E4229" s="3" t="inlineStr">
        <is>
          <t>-</t>
        </is>
      </c>
      <c r="F4229" s="3" t="inlineStr">
        <is>
          <t>-</t>
        </is>
      </c>
      <c r="G4229" s="3" t="inlineStr">
        <is>
          <t>-</t>
        </is>
      </c>
      <c r="H4229" s="6" t="inlineStr"/>
      <c r="I4229" s="6" t="inlineStr"/>
      <c r="J4229" s="6" t="inlineStr"/>
      <c r="K4229" s="16" t="n">
        <v>12</v>
      </c>
      <c r="L4229" s="2" t="inlineStr">
        <is>
          <t>20260616800686</t>
        </is>
      </c>
      <c r="M4229" s="8">
        <f>HYPERLINK("https://dart.fss.or.kr/dsaf001/main.do?rcpNo=20260616800686", "공시열람")</f>
        <v/>
      </c>
    </row>
    <row r="4230" ht="22" customHeight="1">
      <c r="A4230" s="2" t="inlineStr">
        <is>
          <t>2026-06-16</t>
        </is>
      </c>
      <c r="B4230" s="3" t="inlineStr">
        <is>
          <t>한솔홀딩스</t>
        </is>
      </c>
      <c r="C4230" s="2" t="inlineStr">
        <is>
          <t>004150</t>
        </is>
      </c>
      <c r="D4230" s="2" t="inlineStr">
        <is>
          <t>대량보유</t>
        </is>
      </c>
      <c r="E4230" s="3" t="inlineStr">
        <is>
          <t>조성민</t>
        </is>
      </c>
      <c r="F4230" s="3" t="inlineStr">
        <is>
          <t>특별관계자</t>
        </is>
      </c>
      <c r="G4230" s="3" t="inlineStr">
        <is>
          <t>장내매수(+)</t>
        </is>
      </c>
      <c r="H4230" s="15" t="n">
        <v>1166</v>
      </c>
      <c r="I4230" s="6" t="n">
        <v>3430</v>
      </c>
      <c r="J4230" s="6" t="n">
        <v>1685880</v>
      </c>
      <c r="K4230" s="16" t="n">
        <v>10</v>
      </c>
      <c r="L4230" s="2" t="inlineStr">
        <is>
          <t>20260616000316</t>
        </is>
      </c>
      <c r="M4230" s="8">
        <f>HYPERLINK("https://dart.fss.or.kr/dsaf001/main.do?rcpNo=20260616000316", "공시열람")</f>
        <v/>
      </c>
    </row>
    <row r="4231" ht="22" customHeight="1">
      <c r="A4231" s="2" t="inlineStr">
        <is>
          <t>2026-06-16</t>
        </is>
      </c>
      <c r="B4231" s="3" t="inlineStr">
        <is>
          <t>모다이노칩</t>
        </is>
      </c>
      <c r="C4231" s="2" t="inlineStr">
        <is>
          <t>080420</t>
        </is>
      </c>
      <c r="D4231" s="2" t="inlineStr">
        <is>
          <t>대량보유</t>
        </is>
      </c>
      <c r="E4231" s="3" t="inlineStr">
        <is>
          <t>(주)대명화학</t>
        </is>
      </c>
      <c r="F4231" s="3" t="inlineStr">
        <is>
          <t>보고자</t>
        </is>
      </c>
      <c r="G4231" s="3" t="inlineStr">
        <is>
          <t>[변경] 주식담보계약 등의 주요계약 일부변경 (만기연장,대출금액변경)</t>
        </is>
      </c>
      <c r="H4231" s="6" t="inlineStr"/>
      <c r="I4231" s="6" t="inlineStr"/>
      <c r="J4231" s="6" t="n">
        <v>60344962</v>
      </c>
      <c r="K4231" s="16" t="n">
        <v>1</v>
      </c>
      <c r="L4231" s="2" t="inlineStr">
        <is>
          <t>20260616000304</t>
        </is>
      </c>
      <c r="M4231" s="8">
        <f>HYPERLINK("https://dart.fss.or.kr/dsaf001/main.do?rcpNo=20260616000304", "공시열람")</f>
        <v/>
      </c>
    </row>
    <row r="4232" ht="22" customHeight="1">
      <c r="A4232" s="2" t="inlineStr">
        <is>
          <t>2026-06-16</t>
        </is>
      </c>
      <c r="B4232" s="3" t="inlineStr">
        <is>
          <t>코오롱글로벌</t>
        </is>
      </c>
      <c r="C4232" s="2" t="inlineStr">
        <is>
          <t>003070</t>
        </is>
      </c>
      <c r="D4232" s="2" t="inlineStr">
        <is>
          <t>대량보유</t>
        </is>
      </c>
      <c r="E4232" s="3" t="inlineStr">
        <is>
          <t>이수진</t>
        </is>
      </c>
      <c r="F4232" s="3" t="inlineStr">
        <is>
          <t>특별관계자</t>
        </is>
      </c>
      <c r="G4232" s="3" t="inlineStr">
        <is>
          <t>장내매수(+)</t>
        </is>
      </c>
      <c r="H4232" s="15" t="n">
        <v>2000</v>
      </c>
      <c r="I4232" s="6" t="n">
        <v>8700</v>
      </c>
      <c r="J4232" s="6" t="n">
        <v>5000</v>
      </c>
      <c r="K4232" s="16" t="n">
        <v>7</v>
      </c>
      <c r="L4232" s="2" t="inlineStr">
        <is>
          <t>20260616000302</t>
        </is>
      </c>
      <c r="M4232" s="8">
        <f>HYPERLINK("https://dart.fss.or.kr/dsaf001/main.do?rcpNo=20260616000302", "공시열람")</f>
        <v/>
      </c>
    </row>
    <row r="4233" ht="22" customHeight="1">
      <c r="A4233" s="2" t="inlineStr">
        <is>
          <t>2026-06-16</t>
        </is>
      </c>
      <c r="B4233" s="3" t="inlineStr">
        <is>
          <t>한창제지</t>
        </is>
      </c>
      <c r="C4233" s="2" t="inlineStr">
        <is>
          <t>009460</t>
        </is>
      </c>
      <c r="D4233" s="2" t="inlineStr">
        <is>
          <t>대량보유</t>
        </is>
      </c>
      <c r="E4233" s="3" t="inlineStr">
        <is>
          <t>이상무</t>
        </is>
      </c>
      <c r="F4233" s="3" t="inlineStr">
        <is>
          <t>특별관계자</t>
        </is>
      </c>
      <c r="G4233" s="3" t="inlineStr">
        <is>
          <t>장내매수(+)</t>
        </is>
      </c>
      <c r="H4233" s="15" t="n">
        <v>9153</v>
      </c>
      <c r="I4233" s="6" t="n">
        <v>2185</v>
      </c>
      <c r="J4233" s="6" t="n">
        <v>9153</v>
      </c>
      <c r="K4233" s="16" t="n">
        <v>7</v>
      </c>
      <c r="L4233" s="2" t="inlineStr">
        <is>
          <t>20260616000301</t>
        </is>
      </c>
      <c r="M4233" s="8">
        <f>HYPERLINK("https://dart.fss.or.kr/dsaf001/main.do?rcpNo=20260616000301", "공시열람")</f>
        <v/>
      </c>
    </row>
    <row r="4234" ht="22" customHeight="1">
      <c r="A4234" s="2" t="inlineStr">
        <is>
          <t>2026-06-16</t>
        </is>
      </c>
      <c r="B4234" s="3" t="inlineStr">
        <is>
          <t>다이나믹솔루션</t>
        </is>
      </c>
      <c r="C4234" s="2" t="inlineStr">
        <is>
          <t>290660</t>
        </is>
      </c>
      <c r="D4234" s="2" t="inlineStr">
        <is>
          <t>대량보유</t>
        </is>
      </c>
      <c r="E4234" s="3" t="inlineStr">
        <is>
          <t>플레르신기술조합제91호</t>
        </is>
      </c>
      <c r="F4234" s="3" t="inlineStr">
        <is>
          <t>특별관계자</t>
        </is>
      </c>
      <c r="G4234" s="3" t="inlineStr">
        <is>
          <t>주식병합</t>
        </is>
      </c>
      <c r="H4234" s="17" t="n">
        <v>-3750000</v>
      </c>
      <c r="I4234" s="6" t="inlineStr"/>
      <c r="J4234" s="6" t="n">
        <v>3750000</v>
      </c>
      <c r="K4234" s="16" t="n">
        <v>91</v>
      </c>
      <c r="L4234" s="2" t="inlineStr">
        <is>
          <t>20260616000300</t>
        </is>
      </c>
      <c r="M4234" s="8">
        <f>HYPERLINK("https://dart.fss.or.kr/dsaf001/main.do?rcpNo=20260616000300", "공시열람")</f>
        <v/>
      </c>
    </row>
    <row r="4235" ht="22" customHeight="1">
      <c r="A4235" s="2" t="inlineStr">
        <is>
          <t>2026-06-16</t>
        </is>
      </c>
      <c r="B4235" s="3" t="inlineStr">
        <is>
          <t>엑셈</t>
        </is>
      </c>
      <c r="C4235" s="2" t="inlineStr">
        <is>
          <t>205100</t>
        </is>
      </c>
      <c r="D4235" s="2" t="inlineStr">
        <is>
          <t>대량보유</t>
        </is>
      </c>
      <c r="E4235" s="3" t="inlineStr">
        <is>
          <t>조종암</t>
        </is>
      </c>
      <c r="F4235" s="3" t="inlineStr">
        <is>
          <t>특별관계자</t>
        </is>
      </c>
      <c r="G4235" s="3" t="inlineStr">
        <is>
          <t>장내매수(+)</t>
        </is>
      </c>
      <c r="H4235" s="15" t="n">
        <v>70000</v>
      </c>
      <c r="I4235" s="6" t="n">
        <v>1596</v>
      </c>
      <c r="J4235" s="6" t="n">
        <v>26301061</v>
      </c>
      <c r="K4235" s="16" t="n">
        <v>2</v>
      </c>
      <c r="L4235" s="2" t="inlineStr">
        <is>
          <t>20260616000299</t>
        </is>
      </c>
      <c r="M4235" s="8">
        <f>HYPERLINK("https://dart.fss.or.kr/dsaf001/main.do?rcpNo=20260616000299", "공시열람")</f>
        <v/>
      </c>
    </row>
    <row r="4236" ht="22" customHeight="1">
      <c r="A4236" s="2" t="inlineStr">
        <is>
          <t>2026-06-16</t>
        </is>
      </c>
      <c r="B4236" s="3" t="inlineStr">
        <is>
          <t>아나패스</t>
        </is>
      </c>
      <c r="C4236" s="2" t="inlineStr">
        <is>
          <t>123860</t>
        </is>
      </c>
      <c r="D4236" s="2" t="inlineStr">
        <is>
          <t>대량보유</t>
        </is>
      </c>
      <c r="E4236" s="3" t="inlineStr">
        <is>
          <t>이준혁</t>
        </is>
      </c>
      <c r="F4236" s="3" t="inlineStr">
        <is>
          <t>특별관계자</t>
        </is>
      </c>
      <c r="G4236" s="3" t="inlineStr">
        <is>
          <t>CB인수(+)</t>
        </is>
      </c>
      <c r="H4236" s="15" t="n">
        <v>1176470</v>
      </c>
      <c r="I4236" s="6" t="n">
        <v>17000</v>
      </c>
      <c r="J4236" s="6" t="n">
        <v>1176470</v>
      </c>
      <c r="K4236" s="16" t="n">
        <v>1</v>
      </c>
      <c r="L4236" s="2" t="inlineStr">
        <is>
          <t>20260616000294</t>
        </is>
      </c>
      <c r="M4236" s="8">
        <f>HYPERLINK("https://dart.fss.or.kr/dsaf001/main.do?rcpNo=20260616000294", "공시열람")</f>
        <v/>
      </c>
    </row>
    <row r="4237" ht="22" customHeight="1">
      <c r="A4237" s="2" t="inlineStr">
        <is>
          <t>2026-06-16</t>
        </is>
      </c>
      <c r="B4237" s="3" t="inlineStr">
        <is>
          <t>아나패스</t>
        </is>
      </c>
      <c r="C4237" s="2" t="inlineStr">
        <is>
          <t>123860</t>
        </is>
      </c>
      <c r="D4237" s="2" t="inlineStr">
        <is>
          <t>대량보유</t>
        </is>
      </c>
      <c r="E4237" s="3" t="inlineStr">
        <is>
          <t>김수신</t>
        </is>
      </c>
      <c r="F4237" s="3" t="inlineStr">
        <is>
          <t>특별관계자</t>
        </is>
      </c>
      <c r="G4237" s="3" t="inlineStr">
        <is>
          <t>장내매수(+)</t>
        </is>
      </c>
      <c r="H4237" s="15" t="n">
        <v>51987</v>
      </c>
      <c r="I4237" s="6" t="n">
        <v>20675</v>
      </c>
      <c r="J4237" s="6" t="n">
        <v>51987</v>
      </c>
      <c r="K4237" s="16" t="n">
        <v>1</v>
      </c>
      <c r="L4237" s="2" t="inlineStr">
        <is>
          <t>20260616000294</t>
        </is>
      </c>
      <c r="M4237" s="8">
        <f>HYPERLINK("https://dart.fss.or.kr/dsaf001/main.do?rcpNo=20260616000294", "공시열람")</f>
        <v/>
      </c>
    </row>
    <row r="4238" ht="22" customHeight="1">
      <c r="A4238" s="2" t="inlineStr">
        <is>
          <t>2026-06-16</t>
        </is>
      </c>
      <c r="B4238" s="3" t="inlineStr">
        <is>
          <t>코리아나</t>
        </is>
      </c>
      <c r="C4238" s="2" t="inlineStr">
        <is>
          <t>027050</t>
        </is>
      </c>
      <c r="D4238" s="2" t="inlineStr">
        <is>
          <t>대량보유</t>
        </is>
      </c>
      <c r="E4238" s="3" t="inlineStr">
        <is>
          <t>김태준</t>
        </is>
      </c>
      <c r="F4238" s="3" t="inlineStr">
        <is>
          <t>특별관계자</t>
        </is>
      </c>
      <c r="G4238" s="3" t="inlineStr">
        <is>
          <t>장내매수(+)</t>
        </is>
      </c>
      <c r="H4238" s="15" t="n">
        <v>55000</v>
      </c>
      <c r="I4238" s="6" t="n">
        <v>1449</v>
      </c>
      <c r="J4238" s="6" t="n">
        <v>105000</v>
      </c>
      <c r="K4238" s="16" t="n">
        <v>14</v>
      </c>
      <c r="L4238" s="2" t="inlineStr">
        <is>
          <t>20260616000266</t>
        </is>
      </c>
      <c r="M4238" s="8">
        <f>HYPERLINK("https://dart.fss.or.kr/dsaf001/main.do?rcpNo=20260616000266", "공시열람")</f>
        <v/>
      </c>
    </row>
    <row r="4239" ht="22" customHeight="1">
      <c r="A4239" s="2" t="inlineStr">
        <is>
          <t>2026-06-16</t>
        </is>
      </c>
      <c r="B4239" s="3" t="inlineStr">
        <is>
          <t>코리아나</t>
        </is>
      </c>
      <c r="C4239" s="2" t="inlineStr">
        <is>
          <t>027050</t>
        </is>
      </c>
      <c r="D4239" s="2" t="inlineStr">
        <is>
          <t>대량보유</t>
        </is>
      </c>
      <c r="E4239" s="3" t="inlineStr">
        <is>
          <t>유선윤</t>
        </is>
      </c>
      <c r="F4239" s="3" t="inlineStr">
        <is>
          <t>특별관계자</t>
        </is>
      </c>
      <c r="G4239" s="3" t="inlineStr">
        <is>
          <t>장내매수(+)</t>
        </is>
      </c>
      <c r="H4239" s="15" t="n">
        <v>24000</v>
      </c>
      <c r="I4239" s="6" t="n">
        <v>1394</v>
      </c>
      <c r="J4239" s="6" t="n">
        <v>24000</v>
      </c>
      <c r="K4239" s="16" t="n">
        <v>14</v>
      </c>
      <c r="L4239" s="2" t="inlineStr">
        <is>
          <t>20260616000266</t>
        </is>
      </c>
      <c r="M4239" s="8">
        <f>HYPERLINK("https://dart.fss.or.kr/dsaf001/main.do?rcpNo=20260616000266", "공시열람")</f>
        <v/>
      </c>
    </row>
    <row r="4240" ht="22" customHeight="1">
      <c r="A4240" s="2" t="inlineStr">
        <is>
          <t>2026-06-16</t>
        </is>
      </c>
      <c r="B4240" s="3" t="inlineStr">
        <is>
          <t>테라뷰</t>
        </is>
      </c>
      <c r="C4240" s="2" t="inlineStr">
        <is>
          <t>950250</t>
        </is>
      </c>
      <c r="D4240" s="2" t="inlineStr">
        <is>
          <t>대량보유</t>
        </is>
      </c>
      <c r="E4240" s="3" t="inlineStr">
        <is>
          <t>WONIK2019START-UPPARTNERSHIPFUND</t>
        </is>
      </c>
      <c r="F4240" s="3" t="inlineStr">
        <is>
          <t>특별관계자</t>
        </is>
      </c>
      <c r="G4240" s="3" t="inlineStr">
        <is>
          <t>장내매도(-)</t>
        </is>
      </c>
      <c r="H4240" s="17" t="n">
        <v>-19000</v>
      </c>
      <c r="I4240" s="6" t="n">
        <v>9125</v>
      </c>
      <c r="J4240" s="6" t="n">
        <v>666678</v>
      </c>
      <c r="K4240" s="16" t="n">
        <v>14</v>
      </c>
      <c r="L4240" s="2" t="inlineStr">
        <is>
          <t>20260616000252</t>
        </is>
      </c>
      <c r="M4240" s="8">
        <f>HYPERLINK("https://dart.fss.or.kr/dsaf001/main.do?rcpNo=20260616000252", "공시열람")</f>
        <v/>
      </c>
    </row>
    <row r="4241" ht="22" customHeight="1">
      <c r="A4241" s="2" t="inlineStr">
        <is>
          <t>2026-06-16</t>
        </is>
      </c>
      <c r="B4241" s="3" t="inlineStr">
        <is>
          <t>체시스</t>
        </is>
      </c>
      <c r="C4241" s="2" t="inlineStr">
        <is>
          <t>033250</t>
        </is>
      </c>
      <c r="D4241" s="2" t="inlineStr">
        <is>
          <t>임원보고</t>
        </is>
      </c>
      <c r="E4241" s="3" t="inlineStr">
        <is>
          <t>-</t>
        </is>
      </c>
      <c r="F4241" s="3" t="inlineStr">
        <is>
          <t>-</t>
        </is>
      </c>
      <c r="G4241" s="3" t="inlineStr">
        <is>
          <t>-</t>
        </is>
      </c>
      <c r="H4241" s="6" t="inlineStr"/>
      <c r="I4241" s="6" t="inlineStr"/>
      <c r="J4241" s="6" t="inlineStr"/>
      <c r="K4241" s="16" t="n">
        <v>12</v>
      </c>
      <c r="L4241" s="2" t="inlineStr">
        <is>
          <t>20260616800557</t>
        </is>
      </c>
      <c r="M4241" s="8">
        <f>HYPERLINK("https://dart.fss.or.kr/dsaf001/main.do?rcpNo=20260616800557", "공시열람")</f>
        <v/>
      </c>
    </row>
    <row r="4242" ht="22" customHeight="1">
      <c r="A4242" s="2" t="inlineStr">
        <is>
          <t>2026-06-16</t>
        </is>
      </c>
      <c r="B4242" s="3" t="inlineStr">
        <is>
          <t>에코글로우</t>
        </is>
      </c>
      <c r="C4242" s="2" t="inlineStr">
        <is>
          <t>159910</t>
        </is>
      </c>
      <c r="D4242" s="2" t="inlineStr">
        <is>
          <t>대량보유</t>
        </is>
      </c>
      <c r="E4242" s="3" t="inlineStr">
        <is>
          <t>김기훈</t>
        </is>
      </c>
      <c r="F4242" s="3" t="inlineStr">
        <is>
          <t>특별관계자</t>
        </is>
      </c>
      <c r="G4242" s="3" t="inlineStr">
        <is>
          <t>장내매수(+)</t>
        </is>
      </c>
      <c r="H4242" s="15" t="n">
        <v>3000</v>
      </c>
      <c r="I4242" s="6" t="n">
        <v>3170</v>
      </c>
      <c r="J4242" s="6" t="n">
        <v>68000</v>
      </c>
      <c r="K4242" s="16" t="n">
        <v>5</v>
      </c>
      <c r="L4242" s="2" t="inlineStr">
        <is>
          <t>20260616000228</t>
        </is>
      </c>
      <c r="M4242" s="8">
        <f>HYPERLINK("https://dart.fss.or.kr/dsaf001/main.do?rcpNo=20260616000228", "공시열람")</f>
        <v/>
      </c>
    </row>
    <row r="4243" ht="22" customHeight="1">
      <c r="A4243" s="2" t="inlineStr">
        <is>
          <t>2026-06-16</t>
        </is>
      </c>
      <c r="B4243" s="3" t="inlineStr">
        <is>
          <t>알로이스</t>
        </is>
      </c>
      <c r="C4243" s="2" t="inlineStr">
        <is>
          <t>297570</t>
        </is>
      </c>
      <c r="D4243" s="2" t="inlineStr">
        <is>
          <t>대량보유</t>
        </is>
      </c>
      <c r="E4243" s="3" t="inlineStr">
        <is>
          <t>신정관</t>
        </is>
      </c>
      <c r="F4243" s="3" t="inlineStr">
        <is>
          <t>보고자</t>
        </is>
      </c>
      <c r="G4243" s="3" t="inlineStr">
        <is>
          <t>주식 양수도 계약에 따른 질권설정</t>
        </is>
      </c>
      <c r="H4243" s="6" t="inlineStr"/>
      <c r="I4243" s="6" t="inlineStr"/>
      <c r="J4243" s="6" t="n">
        <v>7575504</v>
      </c>
      <c r="K4243" s="16" t="n">
        <v>3</v>
      </c>
      <c r="L4243" s="2" t="inlineStr">
        <is>
          <t>20260616000220</t>
        </is>
      </c>
      <c r="M4243" s="8">
        <f>HYPERLINK("https://dart.fss.or.kr/dsaf001/main.do?rcpNo=20260616000220", "공시열람")</f>
        <v/>
      </c>
    </row>
    <row r="4244" ht="22" customHeight="1">
      <c r="A4244" s="2" t="inlineStr">
        <is>
          <t>2026-06-16</t>
        </is>
      </c>
      <c r="B4244" s="3" t="inlineStr">
        <is>
          <t>핑거</t>
        </is>
      </c>
      <c r="C4244" s="2" t="inlineStr">
        <is>
          <t>163730</t>
        </is>
      </c>
      <c r="D4244" s="2" t="inlineStr">
        <is>
          <t>대량보유</t>
        </is>
      </c>
      <c r="E4244" s="3" t="inlineStr">
        <is>
          <t>몬타나40</t>
        </is>
      </c>
      <c r="F4244" s="3" t="inlineStr">
        <is>
          <t>특별관계자</t>
        </is>
      </c>
      <c r="G4244" s="3" t="inlineStr">
        <is>
          <t>발행회사의 유상증자에 따른 발행주식수 증가로 인한 지분율 변동 (5% 이하)</t>
        </is>
      </c>
      <c r="H4244" s="6" t="inlineStr"/>
      <c r="I4244" s="6" t="inlineStr"/>
      <c r="J4244" s="6" t="n">
        <v>550000</v>
      </c>
      <c r="K4244" s="16" t="n">
        <v>40</v>
      </c>
      <c r="L4244" s="2" t="inlineStr">
        <is>
          <t>20260616000218</t>
        </is>
      </c>
      <c r="M4244" s="8">
        <f>HYPERLINK("https://dart.fss.or.kr/dsaf001/main.do?rcpNo=20260616000218", "공시열람")</f>
        <v/>
      </c>
    </row>
    <row r="4245" ht="22" customHeight="1">
      <c r="A4245" s="2" t="inlineStr">
        <is>
          <t>2026-06-16</t>
        </is>
      </c>
      <c r="B4245" s="3" t="inlineStr">
        <is>
          <t>KG스틸</t>
        </is>
      </c>
      <c r="C4245" s="2" t="inlineStr">
        <is>
          <t>016380</t>
        </is>
      </c>
      <c r="D4245" s="2" t="inlineStr">
        <is>
          <t>임원보고</t>
        </is>
      </c>
      <c r="E4245" s="3" t="inlineStr">
        <is>
          <t>-</t>
        </is>
      </c>
      <c r="F4245" s="3" t="inlineStr">
        <is>
          <t>-</t>
        </is>
      </c>
      <c r="G4245" s="3" t="inlineStr">
        <is>
          <t>-</t>
        </is>
      </c>
      <c r="H4245" s="6" t="inlineStr"/>
      <c r="I4245" s="6" t="inlineStr"/>
      <c r="J4245" s="6" t="inlineStr"/>
      <c r="K4245" s="16" t="n">
        <v>12</v>
      </c>
      <c r="L4245" s="2" t="inlineStr">
        <is>
          <t>20260616800500</t>
        </is>
      </c>
      <c r="M4245" s="8">
        <f>HYPERLINK("https://dart.fss.or.kr/dsaf001/main.do?rcpNo=20260616800500", "공시열람")</f>
        <v/>
      </c>
    </row>
    <row r="4246" ht="22" customHeight="1">
      <c r="A4246" s="2" t="inlineStr">
        <is>
          <t>2026-06-16</t>
        </is>
      </c>
      <c r="B4246" s="3" t="inlineStr">
        <is>
          <t>알로이스</t>
        </is>
      </c>
      <c r="C4246" s="2" t="inlineStr">
        <is>
          <t>297570</t>
        </is>
      </c>
      <c r="D4246" s="2" t="inlineStr">
        <is>
          <t>대량보유</t>
        </is>
      </c>
      <c r="E4246" s="3" t="inlineStr">
        <is>
          <t>미래산업(주)</t>
        </is>
      </c>
      <c r="F4246" s="3" t="inlineStr">
        <is>
          <t>보고자</t>
        </is>
      </c>
      <c r="G4246" s="3" t="inlineStr">
        <is>
          <t>주식양수도 계약에 따른 질권 설정</t>
        </is>
      </c>
      <c r="H4246" s="6" t="inlineStr"/>
      <c r="I4246" s="6" t="inlineStr"/>
      <c r="J4246" s="6" t="n">
        <v>12978294</v>
      </c>
      <c r="K4246" s="16" t="n">
        <v>2</v>
      </c>
      <c r="L4246" s="2" t="inlineStr">
        <is>
          <t>20260616000215</t>
        </is>
      </c>
      <c r="M4246" s="8">
        <f>HYPERLINK("https://dart.fss.or.kr/dsaf001/main.do?rcpNo=20260616000215", "공시열람")</f>
        <v/>
      </c>
    </row>
    <row r="4247" ht="22" customHeight="1">
      <c r="A4247" s="2" t="inlineStr">
        <is>
          <t>2026-06-16</t>
        </is>
      </c>
      <c r="B4247" s="3" t="inlineStr">
        <is>
          <t>제일파마홀딩스</t>
        </is>
      </c>
      <c r="C4247" s="2" t="inlineStr">
        <is>
          <t>002620</t>
        </is>
      </c>
      <c r="D4247" s="2" t="inlineStr">
        <is>
          <t>대량보유</t>
        </is>
      </c>
      <c r="E4247" s="3" t="inlineStr">
        <is>
          <t>한승수</t>
        </is>
      </c>
      <c r="F4247" s="3" t="inlineStr">
        <is>
          <t>보고자</t>
        </is>
      </c>
      <c r="G4247" s="3" t="inlineStr">
        <is>
          <t>연부연납 허가에 따른 담보 제공</t>
        </is>
      </c>
      <c r="H4247" s="6" t="inlineStr"/>
      <c r="I4247" s="6" t="inlineStr"/>
      <c r="J4247" s="6" t="n">
        <v>11694808</v>
      </c>
      <c r="K4247" s="16" t="n">
        <v>8</v>
      </c>
      <c r="L4247" s="2" t="inlineStr">
        <is>
          <t>20260616000204</t>
        </is>
      </c>
      <c r="M4247" s="8">
        <f>HYPERLINK("https://dart.fss.or.kr/dsaf001/main.do?rcpNo=20260616000204", "공시열람")</f>
        <v/>
      </c>
    </row>
    <row r="4248" ht="22" customHeight="1">
      <c r="A4248" s="2" t="inlineStr">
        <is>
          <t>2026-06-16</t>
        </is>
      </c>
      <c r="B4248" s="3" t="inlineStr">
        <is>
          <t>한국정보통신</t>
        </is>
      </c>
      <c r="C4248" s="2" t="inlineStr">
        <is>
          <t>025770</t>
        </is>
      </c>
      <c r="D4248" s="2" t="inlineStr">
        <is>
          <t>대량보유</t>
        </is>
      </c>
      <c r="E4248" s="3" t="inlineStr">
        <is>
          <t>박헌서</t>
        </is>
      </c>
      <c r="F4248" s="3" t="inlineStr">
        <is>
          <t>보고자</t>
        </is>
      </c>
      <c r="G4248" s="3" t="inlineStr">
        <is>
          <t>보고자의 담보계약 변경</t>
        </is>
      </c>
      <c r="H4248" s="6" t="inlineStr"/>
      <c r="I4248" s="6" t="inlineStr"/>
      <c r="J4248" s="6" t="n">
        <v>31075918</v>
      </c>
      <c r="K4248" s="16" t="n">
        <v>5</v>
      </c>
      <c r="L4248" s="2" t="inlineStr">
        <is>
          <t>20260616000200</t>
        </is>
      </c>
      <c r="M4248" s="8">
        <f>HYPERLINK("https://dart.fss.or.kr/dsaf001/main.do?rcpNo=20260616000200", "공시열람")</f>
        <v/>
      </c>
    </row>
    <row r="4249" ht="22" customHeight="1">
      <c r="A4249" s="2" t="inlineStr">
        <is>
          <t>2026-06-16</t>
        </is>
      </c>
      <c r="B4249" s="3" t="inlineStr">
        <is>
          <t>지엔코</t>
        </is>
      </c>
      <c r="C4249" s="2" t="inlineStr">
        <is>
          <t>065060</t>
        </is>
      </c>
      <c r="D4249" s="2" t="inlineStr">
        <is>
          <t>대량보유</t>
        </is>
      </c>
      <c r="E4249" s="3" t="inlineStr">
        <is>
          <t>(주)크레오에스지</t>
        </is>
      </c>
      <c r="F4249" s="3" t="inlineStr">
        <is>
          <t>보고자</t>
        </is>
      </c>
      <c r="G4249" s="3" t="inlineStr">
        <is>
          <t>특별관계자의 차입금 상환으로 인한 담보해지</t>
        </is>
      </c>
      <c r="H4249" s="6" t="inlineStr"/>
      <c r="I4249" s="6" t="inlineStr"/>
      <c r="J4249" s="6" t="n">
        <v>4280396</v>
      </c>
      <c r="K4249" s="16" t="n">
        <v>9</v>
      </c>
      <c r="L4249" s="2" t="inlineStr">
        <is>
          <t>20260616000195</t>
        </is>
      </c>
      <c r="M4249" s="8">
        <f>HYPERLINK("https://dart.fss.or.kr/dsaf001/main.do?rcpNo=20260616000195", "공시열람")</f>
        <v/>
      </c>
    </row>
    <row r="4250" ht="22" customHeight="1">
      <c r="A4250" s="2" t="inlineStr">
        <is>
          <t>2026-06-16</t>
        </is>
      </c>
      <c r="B4250" s="3" t="inlineStr">
        <is>
          <t>디와이덕양</t>
        </is>
      </c>
      <c r="C4250" s="2" t="inlineStr">
        <is>
          <t>024900</t>
        </is>
      </c>
      <c r="D4250" s="2" t="inlineStr">
        <is>
          <t>대량보유</t>
        </is>
      </c>
      <c r="E4250" s="3" t="inlineStr">
        <is>
          <t>로고스산업</t>
        </is>
      </c>
      <c r="F4250" s="3" t="inlineStr">
        <is>
          <t>특별관계자</t>
        </is>
      </c>
      <c r="G4250" s="3" t="inlineStr">
        <is>
          <t>장내매수(+)</t>
        </is>
      </c>
      <c r="H4250" s="15" t="n">
        <v>147587</v>
      </c>
      <c r="I4250" s="6" t="n">
        <v>1894</v>
      </c>
      <c r="J4250" s="6" t="n">
        <v>1995287</v>
      </c>
      <c r="K4250" s="16" t="n">
        <v>7</v>
      </c>
      <c r="L4250" s="2" t="inlineStr">
        <is>
          <t>20260616000190</t>
        </is>
      </c>
      <c r="M4250" s="8">
        <f>HYPERLINK("https://dart.fss.or.kr/dsaf001/main.do?rcpNo=20260616000190", "공시열람")</f>
        <v/>
      </c>
    </row>
    <row r="4251" ht="22" customHeight="1">
      <c r="A4251" s="2" t="inlineStr">
        <is>
          <t>2026-06-16</t>
        </is>
      </c>
      <c r="B4251" s="3" t="inlineStr">
        <is>
          <t>에이피알</t>
        </is>
      </c>
      <c r="C4251" s="2" t="inlineStr">
        <is>
          <t>278470</t>
        </is>
      </c>
      <c r="D4251" s="2" t="inlineStr">
        <is>
          <t>대량보유</t>
        </is>
      </c>
      <c r="E4251" s="3" t="inlineStr">
        <is>
          <t>CONTRAFUND-LEADSUB</t>
        </is>
      </c>
      <c r="F4251" s="3" t="inlineStr">
        <is>
          <t>특별관계자</t>
        </is>
      </c>
      <c r="G4251" s="3" t="inlineStr">
        <is>
          <t>장내매수(+)</t>
        </is>
      </c>
      <c r="H4251" s="15" t="n">
        <v>18431</v>
      </c>
      <c r="I4251" s="6" t="n">
        <v>397012</v>
      </c>
      <c r="J4251" s="6" t="n">
        <v>18431</v>
      </c>
      <c r="K4251" s="16" t="n">
        <v>38</v>
      </c>
      <c r="L4251" s="2" t="inlineStr">
        <is>
          <t>20260616000180</t>
        </is>
      </c>
      <c r="M4251" s="8">
        <f>HYPERLINK("https://dart.fss.or.kr/dsaf001/main.do?rcpNo=20260616000180", "공시열람")</f>
        <v/>
      </c>
    </row>
    <row r="4252" ht="22" customHeight="1">
      <c r="A4252" s="2" t="inlineStr">
        <is>
          <t>2026-06-16</t>
        </is>
      </c>
      <c r="B4252" s="3" t="inlineStr">
        <is>
          <t>에이피알</t>
        </is>
      </c>
      <c r="C4252" s="2" t="inlineStr">
        <is>
          <t>278470</t>
        </is>
      </c>
      <c r="D4252" s="2" t="inlineStr">
        <is>
          <t>대량보유</t>
        </is>
      </c>
      <c r="E4252" s="3" t="inlineStr">
        <is>
          <t>CONTRAFUND-SUBB</t>
        </is>
      </c>
      <c r="F4252" s="3" t="inlineStr">
        <is>
          <t>특별관계자</t>
        </is>
      </c>
      <c r="G4252" s="3" t="inlineStr">
        <is>
          <t>장내매수(+)</t>
        </is>
      </c>
      <c r="H4252" s="15" t="n">
        <v>36270</v>
      </c>
      <c r="I4252" s="6" t="n">
        <v>400827</v>
      </c>
      <c r="J4252" s="6" t="n">
        <v>128430</v>
      </c>
      <c r="K4252" s="16" t="n">
        <v>38</v>
      </c>
      <c r="L4252" s="2" t="inlineStr">
        <is>
          <t>20260616000180</t>
        </is>
      </c>
      <c r="M4252" s="8">
        <f>HYPERLINK("https://dart.fss.or.kr/dsaf001/main.do?rcpNo=20260616000180", "공시열람")</f>
        <v/>
      </c>
    </row>
    <row r="4253" ht="22" customHeight="1">
      <c r="A4253" s="2" t="inlineStr">
        <is>
          <t>2026-06-16</t>
        </is>
      </c>
      <c r="B4253" s="3" t="inlineStr">
        <is>
          <t>에이피알</t>
        </is>
      </c>
      <c r="C4253" s="2" t="inlineStr">
        <is>
          <t>278470</t>
        </is>
      </c>
      <c r="D4253" s="2" t="inlineStr">
        <is>
          <t>대량보유</t>
        </is>
      </c>
      <c r="E4253" s="3" t="inlineStr">
        <is>
          <t>CONTRAFUNDK6-LEADSUB</t>
        </is>
      </c>
      <c r="F4253" s="3" t="inlineStr">
        <is>
          <t>특별관계자</t>
        </is>
      </c>
      <c r="G4253" s="3" t="inlineStr">
        <is>
          <t>장내매수(+)</t>
        </is>
      </c>
      <c r="H4253" s="15" t="n">
        <v>3900</v>
      </c>
      <c r="I4253" s="6" t="n">
        <v>397012</v>
      </c>
      <c r="J4253" s="6" t="n">
        <v>3900</v>
      </c>
      <c r="K4253" s="16" t="n">
        <v>38</v>
      </c>
      <c r="L4253" s="2" t="inlineStr">
        <is>
          <t>20260616000180</t>
        </is>
      </c>
      <c r="M4253" s="8">
        <f>HYPERLINK("https://dart.fss.or.kr/dsaf001/main.do?rcpNo=20260616000180", "공시열람")</f>
        <v/>
      </c>
    </row>
    <row r="4254" ht="22" customHeight="1">
      <c r="A4254" s="2" t="inlineStr">
        <is>
          <t>2026-06-16</t>
        </is>
      </c>
      <c r="B4254" s="3" t="inlineStr">
        <is>
          <t>에이피알</t>
        </is>
      </c>
      <c r="C4254" s="2" t="inlineStr">
        <is>
          <t>278470</t>
        </is>
      </c>
      <c r="D4254" s="2" t="inlineStr">
        <is>
          <t>대량보유</t>
        </is>
      </c>
      <c r="E4254" s="3" t="inlineStr">
        <is>
          <t>CONTRAFUNDK6-SUBB</t>
        </is>
      </c>
      <c r="F4254" s="3" t="inlineStr">
        <is>
          <t>특별관계자</t>
        </is>
      </c>
      <c r="G4254" s="3" t="inlineStr">
        <is>
          <t>장내매수(+)</t>
        </is>
      </c>
      <c r="H4254" s="15" t="n">
        <v>7670</v>
      </c>
      <c r="I4254" s="6" t="n">
        <v>400827</v>
      </c>
      <c r="J4254" s="6" t="n">
        <v>27240</v>
      </c>
      <c r="K4254" s="16" t="n">
        <v>38</v>
      </c>
      <c r="L4254" s="2" t="inlineStr">
        <is>
          <t>20260616000180</t>
        </is>
      </c>
      <c r="M4254" s="8">
        <f>HYPERLINK("https://dart.fss.or.kr/dsaf001/main.do?rcpNo=20260616000180", "공시열람")</f>
        <v/>
      </c>
    </row>
    <row r="4255" ht="22" customHeight="1">
      <c r="A4255" s="2" t="inlineStr">
        <is>
          <t>2026-06-16</t>
        </is>
      </c>
      <c r="B4255" s="3" t="inlineStr">
        <is>
          <t>에이피알</t>
        </is>
      </c>
      <c r="C4255" s="2" t="inlineStr">
        <is>
          <t>278470</t>
        </is>
      </c>
      <c r="D4255" s="2" t="inlineStr">
        <is>
          <t>대량보유</t>
        </is>
      </c>
      <c r="E4255" s="3" t="inlineStr">
        <is>
          <t>FIAMSELGBLPLALLCAPT47814</t>
        </is>
      </c>
      <c r="F4255" s="3" t="inlineStr">
        <is>
          <t>특별관계자</t>
        </is>
      </c>
      <c r="G4255" s="3" t="inlineStr">
        <is>
          <t>장내매수(+)</t>
        </is>
      </c>
      <c r="H4255" s="15" t="n">
        <v>1200</v>
      </c>
      <c r="I4255" s="6" t="n">
        <v>423012</v>
      </c>
      <c r="J4255" s="6" t="n">
        <v>2000</v>
      </c>
      <c r="K4255" s="16" t="n">
        <v>38</v>
      </c>
      <c r="L4255" s="2" t="inlineStr">
        <is>
          <t>20260616000180</t>
        </is>
      </c>
      <c r="M4255" s="8">
        <f>HYPERLINK("https://dart.fss.or.kr/dsaf001/main.do?rcpNo=20260616000180", "공시열람")</f>
        <v/>
      </c>
    </row>
    <row r="4256" ht="22" customHeight="1">
      <c r="A4256" s="2" t="inlineStr">
        <is>
          <t>2026-06-16</t>
        </is>
      </c>
      <c r="B4256" s="3" t="inlineStr">
        <is>
          <t>에이피알</t>
        </is>
      </c>
      <c r="C4256" s="2" t="inlineStr">
        <is>
          <t>278470</t>
        </is>
      </c>
      <c r="D4256" s="2" t="inlineStr">
        <is>
          <t>대량보유</t>
        </is>
      </c>
      <c r="E4256" s="3" t="inlineStr">
        <is>
          <t>FIAMSELECTEMEQLPT16800</t>
        </is>
      </c>
      <c r="F4256" s="3" t="inlineStr">
        <is>
          <t>특별관계자</t>
        </is>
      </c>
      <c r="G4256" s="3" t="inlineStr">
        <is>
          <t>장내매수(+)</t>
        </is>
      </c>
      <c r="H4256" s="15" t="n">
        <v>9320</v>
      </c>
      <c r="I4256" s="6" t="n">
        <v>410903</v>
      </c>
      <c r="J4256" s="6" t="n">
        <v>16380</v>
      </c>
      <c r="K4256" s="16" t="n">
        <v>38</v>
      </c>
      <c r="L4256" s="2" t="inlineStr">
        <is>
          <t>20260616000180</t>
        </is>
      </c>
      <c r="M4256" s="8">
        <f>HYPERLINK("https://dart.fss.or.kr/dsaf001/main.do?rcpNo=20260616000180", "공시열람")</f>
        <v/>
      </c>
    </row>
    <row r="4257" ht="22" customHeight="1">
      <c r="A4257" s="2" t="inlineStr">
        <is>
          <t>2026-06-16</t>
        </is>
      </c>
      <c r="B4257" s="3" t="inlineStr">
        <is>
          <t>에이피알</t>
        </is>
      </c>
      <c r="C4257" s="2" t="inlineStr">
        <is>
          <t>278470</t>
        </is>
      </c>
      <c r="D4257" s="2" t="inlineStr">
        <is>
          <t>대량보유</t>
        </is>
      </c>
      <c r="E4257" s="3" t="inlineStr">
        <is>
          <t>FIAMSELECTEMEXCHINAPILOT</t>
        </is>
      </c>
      <c r="F4257" s="3" t="inlineStr">
        <is>
          <t>특별관계자</t>
        </is>
      </c>
      <c r="G4257" s="3" t="inlineStr">
        <is>
          <t>장내매수(+)</t>
        </is>
      </c>
      <c r="H4257" s="15" t="n">
        <v>159</v>
      </c>
      <c r="I4257" s="6" t="n">
        <v>420395</v>
      </c>
      <c r="J4257" s="6" t="n">
        <v>247</v>
      </c>
      <c r="K4257" s="16" t="n">
        <v>38</v>
      </c>
      <c r="L4257" s="2" t="inlineStr">
        <is>
          <t>20260616000180</t>
        </is>
      </c>
      <c r="M4257" s="8">
        <f>HYPERLINK("https://dart.fss.or.kr/dsaf001/main.do?rcpNo=20260616000180", "공시열람")</f>
        <v/>
      </c>
    </row>
    <row r="4258" ht="22" customHeight="1">
      <c r="A4258" s="2" t="inlineStr">
        <is>
          <t>2026-06-16</t>
        </is>
      </c>
      <c r="B4258" s="3" t="inlineStr">
        <is>
          <t>에이피알</t>
        </is>
      </c>
      <c r="C4258" s="2" t="inlineStr">
        <is>
          <t>278470</t>
        </is>
      </c>
      <c r="D4258" s="2" t="inlineStr">
        <is>
          <t>대량보유</t>
        </is>
      </c>
      <c r="E4258" s="3" t="inlineStr">
        <is>
          <t>FIAMSLEMRGMRKTEQCPT16061</t>
        </is>
      </c>
      <c r="F4258" s="3" t="inlineStr">
        <is>
          <t>특별관계자</t>
        </is>
      </c>
      <c r="G4258" s="3" t="inlineStr">
        <is>
          <t>장내매수(+)</t>
        </is>
      </c>
      <c r="H4258" s="15" t="n">
        <v>69400</v>
      </c>
      <c r="I4258" s="6" t="n">
        <v>410876</v>
      </c>
      <c r="J4258" s="6" t="n">
        <v>123420</v>
      </c>
      <c r="K4258" s="16" t="n">
        <v>38</v>
      </c>
      <c r="L4258" s="2" t="inlineStr">
        <is>
          <t>20260616000180</t>
        </is>
      </c>
      <c r="M4258" s="8">
        <f>HYPERLINK("https://dart.fss.or.kr/dsaf001/main.do?rcpNo=20260616000180", "공시열람")</f>
        <v/>
      </c>
    </row>
    <row r="4259" ht="22" customHeight="1">
      <c r="A4259" s="2" t="inlineStr">
        <is>
          <t>2026-06-16</t>
        </is>
      </c>
      <c r="B4259" s="3" t="inlineStr">
        <is>
          <t>에이피알</t>
        </is>
      </c>
      <c r="C4259" s="2" t="inlineStr">
        <is>
          <t>278470</t>
        </is>
      </c>
      <c r="D4259" s="2" t="inlineStr">
        <is>
          <t>대량보유</t>
        </is>
      </c>
      <c r="E4259" s="3" t="inlineStr">
        <is>
          <t>FIDCONTCPLDSBT68513</t>
        </is>
      </c>
      <c r="F4259" s="3" t="inlineStr">
        <is>
          <t>특별관계자</t>
        </is>
      </c>
      <c r="G4259" s="3" t="inlineStr">
        <is>
          <t>장내매수(+)</t>
        </is>
      </c>
      <c r="H4259" s="15" t="n">
        <v>6900</v>
      </c>
      <c r="I4259" s="6" t="n">
        <v>397012</v>
      </c>
      <c r="J4259" s="6" t="n">
        <v>6900</v>
      </c>
      <c r="K4259" s="16" t="n">
        <v>38</v>
      </c>
      <c r="L4259" s="2" t="inlineStr">
        <is>
          <t>20260616000180</t>
        </is>
      </c>
      <c r="M4259" s="8">
        <f>HYPERLINK("https://dart.fss.or.kr/dsaf001/main.do?rcpNo=20260616000180", "공시열람")</f>
        <v/>
      </c>
    </row>
    <row r="4260" ht="22" customHeight="1">
      <c r="A4260" s="2" t="inlineStr">
        <is>
          <t>2026-06-16</t>
        </is>
      </c>
      <c r="B4260" s="3" t="inlineStr">
        <is>
          <t>에이피알</t>
        </is>
      </c>
      <c r="C4260" s="2" t="inlineStr">
        <is>
          <t>278470</t>
        </is>
      </c>
      <c r="D4260" s="2" t="inlineStr">
        <is>
          <t>대량보유</t>
        </is>
      </c>
      <c r="E4260" s="3" t="inlineStr">
        <is>
          <t>FIDCONTCPSBBT68512</t>
        </is>
      </c>
      <c r="F4260" s="3" t="inlineStr">
        <is>
          <t>특별관계자</t>
        </is>
      </c>
      <c r="G4260" s="3" t="inlineStr">
        <is>
          <t>장내매수(+)</t>
        </is>
      </c>
      <c r="H4260" s="15" t="n">
        <v>13570</v>
      </c>
      <c r="I4260" s="6" t="n">
        <v>400827</v>
      </c>
      <c r="J4260" s="6" t="n">
        <v>48020</v>
      </c>
      <c r="K4260" s="16" t="n">
        <v>38</v>
      </c>
      <c r="L4260" s="2" t="inlineStr">
        <is>
          <t>20260616000180</t>
        </is>
      </c>
      <c r="M4260" s="8">
        <f>HYPERLINK("https://dart.fss.or.kr/dsaf001/main.do?rcpNo=20260616000180", "공시열람")</f>
        <v/>
      </c>
    </row>
    <row r="4261" ht="22" customHeight="1">
      <c r="A4261" s="2" t="inlineStr">
        <is>
          <t>2026-06-16</t>
        </is>
      </c>
      <c r="B4261" s="3" t="inlineStr">
        <is>
          <t>에이피알</t>
        </is>
      </c>
      <c r="C4261" s="2" t="inlineStr">
        <is>
          <t>278470</t>
        </is>
      </c>
      <c r="D4261" s="2" t="inlineStr">
        <is>
          <t>대량보유</t>
        </is>
      </c>
      <c r="E4261" s="3" t="inlineStr">
        <is>
          <t>FIDEMMKTOPPFD</t>
        </is>
      </c>
      <c r="F4261" s="3" t="inlineStr">
        <is>
          <t>특별관계자</t>
        </is>
      </c>
      <c r="G4261" s="3" t="inlineStr">
        <is>
          <t>장내매수(+)</t>
        </is>
      </c>
      <c r="H4261" s="15" t="n">
        <v>20708</v>
      </c>
      <c r="I4261" s="6" t="n">
        <v>397340</v>
      </c>
      <c r="J4261" s="6" t="n">
        <v>20708</v>
      </c>
      <c r="K4261" s="16" t="n">
        <v>38</v>
      </c>
      <c r="L4261" s="2" t="inlineStr">
        <is>
          <t>20260616000180</t>
        </is>
      </c>
      <c r="M4261" s="8">
        <f>HYPERLINK("https://dart.fss.or.kr/dsaf001/main.do?rcpNo=20260616000180", "공시열람")</f>
        <v/>
      </c>
    </row>
    <row r="4262" ht="22" customHeight="1">
      <c r="A4262" s="2" t="inlineStr">
        <is>
          <t>2026-06-16</t>
        </is>
      </c>
      <c r="B4262" s="3" t="inlineStr">
        <is>
          <t>에이피알</t>
        </is>
      </c>
      <c r="C4262" s="2" t="inlineStr">
        <is>
          <t>278470</t>
        </is>
      </c>
      <c r="D4262" s="2" t="inlineStr">
        <is>
          <t>대량보유</t>
        </is>
      </c>
      <c r="E4262" s="3" t="inlineStr">
        <is>
          <t>FIDFUNDAMENTALGLBLEXUSETF</t>
        </is>
      </c>
      <c r="F4262" s="3" t="inlineStr">
        <is>
          <t>특별관계자</t>
        </is>
      </c>
      <c r="G4262" s="3" t="inlineStr">
        <is>
          <t>장내매수(+)</t>
        </is>
      </c>
      <c r="H4262" s="15" t="n">
        <v>85</v>
      </c>
      <c r="I4262" s="6" t="n">
        <v>419415</v>
      </c>
      <c r="J4262" s="6" t="n">
        <v>262</v>
      </c>
      <c r="K4262" s="16" t="n">
        <v>38</v>
      </c>
      <c r="L4262" s="2" t="inlineStr">
        <is>
          <t>20260616000180</t>
        </is>
      </c>
      <c r="M4262" s="8">
        <f>HYPERLINK("https://dart.fss.or.kr/dsaf001/main.do?rcpNo=20260616000180", "공시열람")</f>
        <v/>
      </c>
    </row>
    <row r="4263" ht="22" customHeight="1">
      <c r="A4263" s="2" t="inlineStr">
        <is>
          <t>2026-06-16</t>
        </is>
      </c>
      <c r="B4263" s="3" t="inlineStr">
        <is>
          <t>에이피알</t>
        </is>
      </c>
      <c r="C4263" s="2" t="inlineStr">
        <is>
          <t>278470</t>
        </is>
      </c>
      <c r="D4263" s="2" t="inlineStr">
        <is>
          <t>대량보유</t>
        </is>
      </c>
      <c r="E4263" s="3" t="inlineStr">
        <is>
          <t>FIDSAISUSTAINABLEEMEQFD</t>
        </is>
      </c>
      <c r="F4263" s="3" t="inlineStr">
        <is>
          <t>특별관계자</t>
        </is>
      </c>
      <c r="G4263" s="3" t="inlineStr">
        <is>
          <t>장내매수(+)</t>
        </is>
      </c>
      <c r="H4263" s="15" t="n">
        <v>2068</v>
      </c>
      <c r="I4263" s="6" t="n">
        <v>410903</v>
      </c>
      <c r="J4263" s="6" t="n">
        <v>3581</v>
      </c>
      <c r="K4263" s="16" t="n">
        <v>38</v>
      </c>
      <c r="L4263" s="2" t="inlineStr">
        <is>
          <t>20260616000180</t>
        </is>
      </c>
      <c r="M4263" s="8">
        <f>HYPERLINK("https://dart.fss.or.kr/dsaf001/main.do?rcpNo=20260616000180", "공시열람")</f>
        <v/>
      </c>
    </row>
    <row r="4264" ht="22" customHeight="1">
      <c r="A4264" s="2" t="inlineStr">
        <is>
          <t>2026-06-16</t>
        </is>
      </c>
      <c r="B4264" s="3" t="inlineStr">
        <is>
          <t>에이피알</t>
        </is>
      </c>
      <c r="C4264" s="2" t="inlineStr">
        <is>
          <t>278470</t>
        </is>
      </c>
      <c r="D4264" s="2" t="inlineStr">
        <is>
          <t>대량보유</t>
        </is>
      </c>
      <c r="E4264" s="3" t="inlineStr">
        <is>
          <t>FIDSELGLBACEQINSTT56014</t>
        </is>
      </c>
      <c r="F4264" s="3" t="inlineStr">
        <is>
          <t>특별관계자</t>
        </is>
      </c>
      <c r="G4264" s="3" t="inlineStr">
        <is>
          <t>장내매수(+)</t>
        </is>
      </c>
      <c r="H4264" s="15" t="n">
        <v>300</v>
      </c>
      <c r="I4264" s="6" t="n">
        <v>426610</v>
      </c>
      <c r="J4264" s="6" t="n">
        <v>400</v>
      </c>
      <c r="K4264" s="16" t="n">
        <v>38</v>
      </c>
      <c r="L4264" s="2" t="inlineStr">
        <is>
          <t>20260616000180</t>
        </is>
      </c>
      <c r="M4264" s="8">
        <f>HYPERLINK("https://dart.fss.or.kr/dsaf001/main.do?rcpNo=20260616000180", "공시열람")</f>
        <v/>
      </c>
    </row>
    <row r="4265" ht="22" customHeight="1">
      <c r="A4265" s="2" t="inlineStr">
        <is>
          <t>2026-06-16</t>
        </is>
      </c>
      <c r="B4265" s="3" t="inlineStr">
        <is>
          <t>에이피알</t>
        </is>
      </c>
      <c r="C4265" s="2" t="inlineStr">
        <is>
          <t>278470</t>
        </is>
      </c>
      <c r="D4265" s="2" t="inlineStr">
        <is>
          <t>대량보유</t>
        </is>
      </c>
      <c r="E4265" s="3" t="inlineStr">
        <is>
          <t>FIDSERIESEMERGINGMARKETSFD</t>
        </is>
      </c>
      <c r="F4265" s="3" t="inlineStr">
        <is>
          <t>특별관계자</t>
        </is>
      </c>
      <c r="G4265" s="3" t="inlineStr">
        <is>
          <t>장내매수(+)</t>
        </is>
      </c>
      <c r="H4265" s="15" t="n">
        <v>135925</v>
      </c>
      <c r="I4265" s="6" t="n">
        <v>410857</v>
      </c>
      <c r="J4265" s="6" t="n">
        <v>238890</v>
      </c>
      <c r="K4265" s="16" t="n">
        <v>38</v>
      </c>
      <c r="L4265" s="2" t="inlineStr">
        <is>
          <t>20260616000180</t>
        </is>
      </c>
      <c r="M4265" s="8">
        <f>HYPERLINK("https://dart.fss.or.kr/dsaf001/main.do?rcpNo=20260616000180", "공시열람")</f>
        <v/>
      </c>
    </row>
    <row r="4266" ht="22" customHeight="1">
      <c r="A4266" s="2" t="inlineStr">
        <is>
          <t>2026-06-16</t>
        </is>
      </c>
      <c r="B4266" s="3" t="inlineStr">
        <is>
          <t>에이피알</t>
        </is>
      </c>
      <c r="C4266" s="2" t="inlineStr">
        <is>
          <t>278470</t>
        </is>
      </c>
      <c r="D4266" s="2" t="inlineStr">
        <is>
          <t>대량보유</t>
        </is>
      </c>
      <c r="E4266" s="3" t="inlineStr">
        <is>
          <t>FIDSLEMMKTEQINSTRT55497</t>
        </is>
      </c>
      <c r="F4266" s="3" t="inlineStr">
        <is>
          <t>특별관계자</t>
        </is>
      </c>
      <c r="G4266" s="3" t="inlineStr">
        <is>
          <t>장내매수(+)</t>
        </is>
      </c>
      <c r="H4266" s="15" t="n">
        <v>4950</v>
      </c>
      <c r="I4266" s="6" t="n">
        <v>411080</v>
      </c>
      <c r="J4266" s="6" t="n">
        <v>8780</v>
      </c>
      <c r="K4266" s="16" t="n">
        <v>38</v>
      </c>
      <c r="L4266" s="2" t="inlineStr">
        <is>
          <t>20260616000180</t>
        </is>
      </c>
      <c r="M4266" s="8">
        <f>HYPERLINK("https://dart.fss.or.kr/dsaf001/main.do?rcpNo=20260616000180", "공시열람")</f>
        <v/>
      </c>
    </row>
    <row r="4267" ht="22" customHeight="1">
      <c r="A4267" s="2" t="inlineStr">
        <is>
          <t>2026-06-16</t>
        </is>
      </c>
      <c r="B4267" s="3" t="inlineStr">
        <is>
          <t>에이피알</t>
        </is>
      </c>
      <c r="C4267" s="2" t="inlineStr">
        <is>
          <t>278470</t>
        </is>
      </c>
      <c r="D4267" s="2" t="inlineStr">
        <is>
          <t>대량보유</t>
        </is>
      </c>
      <c r="E4267" s="3" t="inlineStr">
        <is>
          <t>FIDSLTEMRGIMKEQFUND</t>
        </is>
      </c>
      <c r="F4267" s="3" t="inlineStr">
        <is>
          <t>특별관계자</t>
        </is>
      </c>
      <c r="G4267" s="3" t="inlineStr">
        <is>
          <t>장내매수(+), 장내매도(-)</t>
        </is>
      </c>
      <c r="H4267" s="15" t="n">
        <v>650</v>
      </c>
      <c r="I4267" s="6" t="n">
        <v>407925</v>
      </c>
      <c r="J4267" s="6" t="n">
        <v>1260</v>
      </c>
      <c r="K4267" s="16" t="n">
        <v>38</v>
      </c>
      <c r="L4267" s="2" t="inlineStr">
        <is>
          <t>20260616000180</t>
        </is>
      </c>
      <c r="M4267" s="8">
        <f>HYPERLINK("https://dart.fss.or.kr/dsaf001/main.do?rcpNo=20260616000180", "공시열람")</f>
        <v/>
      </c>
    </row>
    <row r="4268" ht="22" customHeight="1">
      <c r="A4268" s="2" t="inlineStr">
        <is>
          <t>2026-06-16</t>
        </is>
      </c>
      <c r="B4268" s="3" t="inlineStr">
        <is>
          <t>에이피알</t>
        </is>
      </c>
      <c r="C4268" s="2" t="inlineStr">
        <is>
          <t>278470</t>
        </is>
      </c>
      <c r="D4268" s="2" t="inlineStr">
        <is>
          <t>대량보유</t>
        </is>
      </c>
      <c r="E4268" s="3" t="inlineStr">
        <is>
          <t>FIDSUSTEMEQFUND</t>
        </is>
      </c>
      <c r="F4268" s="3" t="inlineStr">
        <is>
          <t>특별관계자</t>
        </is>
      </c>
      <c r="G4268" s="3" t="inlineStr">
        <is>
          <t>장내매수(+)</t>
        </is>
      </c>
      <c r="H4268" s="15" t="n">
        <v>789</v>
      </c>
      <c r="I4268" s="6" t="n">
        <v>405158</v>
      </c>
      <c r="J4268" s="6" t="n">
        <v>1262</v>
      </c>
      <c r="K4268" s="16" t="n">
        <v>38</v>
      </c>
      <c r="L4268" s="2" t="inlineStr">
        <is>
          <t>20260616000180</t>
        </is>
      </c>
      <c r="M4268" s="8">
        <f>HYPERLINK("https://dart.fss.or.kr/dsaf001/main.do?rcpNo=20260616000180", "공시열람")</f>
        <v/>
      </c>
    </row>
    <row r="4269" ht="22" customHeight="1">
      <c r="A4269" s="2" t="inlineStr">
        <is>
          <t>2026-06-16</t>
        </is>
      </c>
      <c r="B4269" s="3" t="inlineStr">
        <is>
          <t>에이피알</t>
        </is>
      </c>
      <c r="C4269" s="2" t="inlineStr">
        <is>
          <t>278470</t>
        </is>
      </c>
      <c r="D4269" s="2" t="inlineStr">
        <is>
          <t>대량보유</t>
        </is>
      </c>
      <c r="E4269" s="3" t="inlineStr">
        <is>
          <t>FIDELITYFUNDAMENTALEMETF</t>
        </is>
      </c>
      <c r="F4269" s="3" t="inlineStr">
        <is>
          <t>특별관계자</t>
        </is>
      </c>
      <c r="G4269" s="3" t="inlineStr">
        <is>
          <t>장내매수(+)</t>
        </is>
      </c>
      <c r="H4269" s="15" t="n">
        <v>77</v>
      </c>
      <c r="I4269" s="6" t="n">
        <v>401500</v>
      </c>
      <c r="J4269" s="6" t="n">
        <v>590</v>
      </c>
      <c r="K4269" s="16" t="n">
        <v>38</v>
      </c>
      <c r="L4269" s="2" t="inlineStr">
        <is>
          <t>20260616000180</t>
        </is>
      </c>
      <c r="M4269" s="8">
        <f>HYPERLINK("https://dart.fss.or.kr/dsaf001/main.do?rcpNo=20260616000180", "공시열람")</f>
        <v/>
      </c>
    </row>
    <row r="4270" ht="22" customHeight="1">
      <c r="A4270" s="2" t="inlineStr">
        <is>
          <t>2026-06-16</t>
        </is>
      </c>
      <c r="B4270" s="3" t="inlineStr">
        <is>
          <t>에이피알</t>
        </is>
      </c>
      <c r="C4270" s="2" t="inlineStr">
        <is>
          <t>278470</t>
        </is>
      </c>
      <c r="D4270" s="2" t="inlineStr">
        <is>
          <t>대량보유</t>
        </is>
      </c>
      <c r="E4270" s="3" t="inlineStr">
        <is>
          <t>FIJITUSEQLEADSUB</t>
        </is>
      </c>
      <c r="F4270" s="3" t="inlineStr">
        <is>
          <t>특별관계자</t>
        </is>
      </c>
      <c r="G4270" s="3" t="inlineStr">
        <is>
          <t>장내매수(+)</t>
        </is>
      </c>
      <c r="H4270" s="15" t="n">
        <v>500</v>
      </c>
      <c r="I4270" s="6" t="n">
        <v>397012</v>
      </c>
      <c r="J4270" s="6" t="n">
        <v>500</v>
      </c>
      <c r="K4270" s="16" t="n">
        <v>38</v>
      </c>
      <c r="L4270" s="2" t="inlineStr">
        <is>
          <t>20260616000180</t>
        </is>
      </c>
      <c r="M4270" s="8">
        <f>HYPERLINK("https://dart.fss.or.kr/dsaf001/main.do?rcpNo=20260616000180", "공시열람")</f>
        <v/>
      </c>
    </row>
    <row r="4271" ht="22" customHeight="1">
      <c r="A4271" s="2" t="inlineStr">
        <is>
          <t>2026-06-16</t>
        </is>
      </c>
      <c r="B4271" s="3" t="inlineStr">
        <is>
          <t>에이피알</t>
        </is>
      </c>
      <c r="C4271" s="2" t="inlineStr">
        <is>
          <t>278470</t>
        </is>
      </c>
      <c r="D4271" s="2" t="inlineStr">
        <is>
          <t>대량보유</t>
        </is>
      </c>
      <c r="E4271" s="3" t="inlineStr">
        <is>
          <t>FIJITUSEQSubB</t>
        </is>
      </c>
      <c r="F4271" s="3" t="inlineStr">
        <is>
          <t>특별관계자</t>
        </is>
      </c>
      <c r="G4271" s="3" t="inlineStr">
        <is>
          <t>장내매수(+)</t>
        </is>
      </c>
      <c r="H4271" s="15" t="n">
        <v>1000</v>
      </c>
      <c r="I4271" s="6" t="n">
        <v>400827</v>
      </c>
      <c r="J4271" s="6" t="n">
        <v>3910</v>
      </c>
      <c r="K4271" s="16" t="n">
        <v>38</v>
      </c>
      <c r="L4271" s="2" t="inlineStr">
        <is>
          <t>20260616000180</t>
        </is>
      </c>
      <c r="M4271" s="8">
        <f>HYPERLINK("https://dart.fss.or.kr/dsaf001/main.do?rcpNo=20260616000180", "공시열람")</f>
        <v/>
      </c>
    </row>
    <row r="4272" ht="22" customHeight="1">
      <c r="A4272" s="2" t="inlineStr">
        <is>
          <t>2026-06-16</t>
        </is>
      </c>
      <c r="B4272" s="3" t="inlineStr">
        <is>
          <t>에이피알</t>
        </is>
      </c>
      <c r="C4272" s="2" t="inlineStr">
        <is>
          <t>278470</t>
        </is>
      </c>
      <c r="D4272" s="2" t="inlineStr">
        <is>
          <t>대량보유</t>
        </is>
      </c>
      <c r="E4272" s="3" t="inlineStr">
        <is>
          <t>SAFIDEMFIAMSELECTEMSUB</t>
        </is>
      </c>
      <c r="F4272" s="3" t="inlineStr">
        <is>
          <t>특별관계자</t>
        </is>
      </c>
      <c r="G4272" s="3" t="inlineStr">
        <is>
          <t>장내매수(+)</t>
        </is>
      </c>
      <c r="H4272" s="15" t="n">
        <v>161220</v>
      </c>
      <c r="I4272" s="6" t="n">
        <v>410876</v>
      </c>
      <c r="J4272" s="6" t="n">
        <v>284008</v>
      </c>
      <c r="K4272" s="16" t="n">
        <v>38</v>
      </c>
      <c r="L4272" s="2" t="inlineStr">
        <is>
          <t>20260616000180</t>
        </is>
      </c>
      <c r="M4272" s="8">
        <f>HYPERLINK("https://dart.fss.or.kr/dsaf001/main.do?rcpNo=20260616000180", "공시열람")</f>
        <v/>
      </c>
    </row>
    <row r="4273" ht="22" customHeight="1">
      <c r="A4273" s="2" t="inlineStr">
        <is>
          <t>2026-06-16</t>
        </is>
      </c>
      <c r="B4273" s="3" t="inlineStr">
        <is>
          <t>에이피알</t>
        </is>
      </c>
      <c r="C4273" s="2" t="inlineStr">
        <is>
          <t>278470</t>
        </is>
      </c>
      <c r="D4273" s="2" t="inlineStr">
        <is>
          <t>대량보유</t>
        </is>
      </c>
      <c r="E4273" s="3" t="inlineStr">
        <is>
          <t>SAIEMFIAMSELEMEQTYT55902</t>
        </is>
      </c>
      <c r="F4273" s="3" t="inlineStr">
        <is>
          <t>특별관계자</t>
        </is>
      </c>
      <c r="G4273" s="3" t="inlineStr">
        <is>
          <t>장내매수(+)</t>
        </is>
      </c>
      <c r="H4273" s="15" t="n">
        <v>45840</v>
      </c>
      <c r="I4273" s="6" t="n">
        <v>410839</v>
      </c>
      <c r="J4273" s="6" t="n">
        <v>81220</v>
      </c>
      <c r="K4273" s="16" t="n">
        <v>38</v>
      </c>
      <c r="L4273" s="2" t="inlineStr">
        <is>
          <t>20260616000180</t>
        </is>
      </c>
      <c r="M4273" s="8">
        <f>HYPERLINK("https://dart.fss.or.kr/dsaf001/main.do?rcpNo=20260616000180", "공시열람")</f>
        <v/>
      </c>
    </row>
    <row r="4274" ht="22" customHeight="1">
      <c r="A4274" s="2" t="inlineStr">
        <is>
          <t>2026-06-16</t>
        </is>
      </c>
      <c r="B4274" s="3" t="inlineStr">
        <is>
          <t>에이피알</t>
        </is>
      </c>
      <c r="C4274" s="2" t="inlineStr">
        <is>
          <t>278470</t>
        </is>
      </c>
      <c r="D4274" s="2" t="inlineStr">
        <is>
          <t>대량보유</t>
        </is>
      </c>
      <c r="E4274" s="3" t="inlineStr">
        <is>
          <t>SERIESSUSTAINABLEEMFUND</t>
        </is>
      </c>
      <c r="F4274" s="3" t="inlineStr">
        <is>
          <t>특별관계자</t>
        </is>
      </c>
      <c r="G4274" s="3" t="inlineStr">
        <is>
          <t>장내매수(+)</t>
        </is>
      </c>
      <c r="H4274" s="15" t="n">
        <v>53</v>
      </c>
      <c r="I4274" s="6" t="n">
        <v>446000</v>
      </c>
      <c r="J4274" s="6" t="n">
        <v>53</v>
      </c>
      <c r="K4274" s="16" t="n">
        <v>38</v>
      </c>
      <c r="L4274" s="2" t="inlineStr">
        <is>
          <t>20260616000180</t>
        </is>
      </c>
      <c r="M4274" s="8">
        <f>HYPERLINK("https://dart.fss.or.kr/dsaf001/main.do?rcpNo=20260616000180", "공시열람")</f>
        <v/>
      </c>
    </row>
    <row r="4275" ht="22" customHeight="1">
      <c r="A4275" s="2" t="inlineStr">
        <is>
          <t>2026-06-16</t>
        </is>
      </c>
      <c r="B4275" s="3" t="inlineStr">
        <is>
          <t>성신양회</t>
        </is>
      </c>
      <c r="C4275" s="2" t="inlineStr">
        <is>
          <t>004980</t>
        </is>
      </c>
      <c r="D4275" s="2" t="inlineStr">
        <is>
          <t>대량보유</t>
        </is>
      </c>
      <c r="E4275" s="3" t="inlineStr">
        <is>
          <t>김석현</t>
        </is>
      </c>
      <c r="F4275" s="3" t="inlineStr">
        <is>
          <t>특별관계자</t>
        </is>
      </c>
      <c r="G4275" s="3" t="inlineStr">
        <is>
          <t>장내매수(+)</t>
        </is>
      </c>
      <c r="H4275" s="15" t="n">
        <v>31102</v>
      </c>
      <c r="I4275" s="6" t="n">
        <v>8005</v>
      </c>
      <c r="J4275" s="6" t="n">
        <v>1220664</v>
      </c>
      <c r="K4275" s="16" t="n">
        <v>8</v>
      </c>
      <c r="L4275" s="2" t="inlineStr">
        <is>
          <t>20260616000178</t>
        </is>
      </c>
      <c r="M4275" s="8">
        <f>HYPERLINK("https://dart.fss.or.kr/dsaf001/main.do?rcpNo=20260616000178", "공시열람")</f>
        <v/>
      </c>
    </row>
    <row r="4276" ht="22" customHeight="1">
      <c r="A4276" s="2" t="inlineStr">
        <is>
          <t>2026-06-16</t>
        </is>
      </c>
      <c r="B4276" s="3" t="inlineStr">
        <is>
          <t>국도화학</t>
        </is>
      </c>
      <c r="C4276" s="2" t="inlineStr">
        <is>
          <t>007690</t>
        </is>
      </c>
      <c r="D4276" s="2" t="inlineStr">
        <is>
          <t>임원보고</t>
        </is>
      </c>
      <c r="E4276" s="3" t="inlineStr">
        <is>
          <t>-</t>
        </is>
      </c>
      <c r="F4276" s="3" t="inlineStr">
        <is>
          <t>-</t>
        </is>
      </c>
      <c r="G4276" s="3" t="inlineStr">
        <is>
          <t>-</t>
        </is>
      </c>
      <c r="H4276" s="6" t="inlineStr"/>
      <c r="I4276" s="6" t="inlineStr"/>
      <c r="J4276" s="6" t="inlineStr"/>
      <c r="K4276" s="16" t="n">
        <v>12</v>
      </c>
      <c r="L4276" s="2" t="inlineStr">
        <is>
          <t>20260616800448</t>
        </is>
      </c>
      <c r="M4276" s="8">
        <f>HYPERLINK("https://dart.fss.or.kr/dsaf001/main.do?rcpNo=20260616800448", "공시열람")</f>
        <v/>
      </c>
    </row>
    <row r="4277" ht="22" customHeight="1">
      <c r="A4277" s="2" t="inlineStr">
        <is>
          <t>2026-06-16</t>
        </is>
      </c>
      <c r="B4277" s="3" t="inlineStr">
        <is>
          <t>디와이덕양</t>
        </is>
      </c>
      <c r="C4277" s="2" t="inlineStr">
        <is>
          <t>024900</t>
        </is>
      </c>
      <c r="D4277" s="2" t="inlineStr">
        <is>
          <t>임원보고</t>
        </is>
      </c>
      <c r="E4277" s="3" t="inlineStr">
        <is>
          <t>-</t>
        </is>
      </c>
      <c r="F4277" s="3" t="inlineStr">
        <is>
          <t>-</t>
        </is>
      </c>
      <c r="G4277" s="3" t="inlineStr">
        <is>
          <t>-</t>
        </is>
      </c>
      <c r="H4277" s="6" t="inlineStr"/>
      <c r="I4277" s="6" t="inlineStr"/>
      <c r="J4277" s="6" t="inlineStr"/>
      <c r="K4277" s="16" t="n">
        <v>12</v>
      </c>
      <c r="L4277" s="2" t="inlineStr">
        <is>
          <t>20260616800442</t>
        </is>
      </c>
      <c r="M4277" s="8">
        <f>HYPERLINK("https://dart.fss.or.kr/dsaf001/main.do?rcpNo=20260616800442", "공시열람")</f>
        <v/>
      </c>
    </row>
    <row r="4278" ht="22" customHeight="1">
      <c r="A4278" s="2" t="inlineStr">
        <is>
          <t>2026-06-16</t>
        </is>
      </c>
      <c r="B4278" s="3" t="inlineStr">
        <is>
          <t>신성이엔지</t>
        </is>
      </c>
      <c r="C4278" s="2" t="inlineStr">
        <is>
          <t>011930</t>
        </is>
      </c>
      <c r="D4278" s="2" t="inlineStr">
        <is>
          <t>임원보고</t>
        </is>
      </c>
      <c r="E4278" s="3" t="inlineStr">
        <is>
          <t>-</t>
        </is>
      </c>
      <c r="F4278" s="3" t="inlineStr">
        <is>
          <t>-</t>
        </is>
      </c>
      <c r="G4278" s="3" t="inlineStr">
        <is>
          <t>-</t>
        </is>
      </c>
      <c r="H4278" s="6" t="inlineStr"/>
      <c r="I4278" s="6" t="inlineStr"/>
      <c r="J4278" s="6" t="inlineStr"/>
      <c r="K4278" s="16" t="n">
        <v>12</v>
      </c>
      <c r="L4278" s="2" t="inlineStr">
        <is>
          <t>20260616800430</t>
        </is>
      </c>
      <c r="M4278" s="8">
        <f>HYPERLINK("https://dart.fss.or.kr/dsaf001/main.do?rcpNo=20260616800430", "공시열람")</f>
        <v/>
      </c>
    </row>
    <row r="4279" ht="22" customHeight="1">
      <c r="A4279" s="2" t="inlineStr">
        <is>
          <t>2026-06-16</t>
        </is>
      </c>
      <c r="B4279" s="3" t="inlineStr">
        <is>
          <t>더블유씨피</t>
        </is>
      </c>
      <c r="C4279" s="2" t="inlineStr">
        <is>
          <t>393890</t>
        </is>
      </c>
      <c r="D4279" s="2" t="inlineStr">
        <is>
          <t>대량보유</t>
        </is>
      </c>
      <c r="E4279" s="3" t="inlineStr">
        <is>
          <t>한화자산운용㈜</t>
        </is>
      </c>
      <c r="F4279" s="3" t="inlineStr">
        <is>
          <t>특별관계자</t>
        </is>
      </c>
      <c r="G4279" s="3" t="inlineStr">
        <is>
          <t>신규보고(+)</t>
        </is>
      </c>
      <c r="H4279" s="15" t="n">
        <v>1634664</v>
      </c>
      <c r="I4279" s="6" t="inlineStr"/>
      <c r="J4279" s="6" t="n">
        <v>1634664</v>
      </c>
      <c r="K4279" s="16" t="n">
        <v>1</v>
      </c>
      <c r="L4279" s="2" t="inlineStr">
        <is>
          <t>20260616000149</t>
        </is>
      </c>
      <c r="M4279" s="8">
        <f>HYPERLINK("https://dart.fss.or.kr/dsaf001/main.do?rcpNo=20260616000149", "공시열람")</f>
        <v/>
      </c>
    </row>
    <row r="4280" ht="22" customHeight="1">
      <c r="A4280" s="2" t="inlineStr">
        <is>
          <t>2026-06-16</t>
        </is>
      </c>
      <c r="B4280" s="3" t="inlineStr">
        <is>
          <t>더블유씨피</t>
        </is>
      </c>
      <c r="C4280" s="2" t="inlineStr">
        <is>
          <t>393890</t>
        </is>
      </c>
      <c r="D4280" s="2" t="inlineStr">
        <is>
          <t>대량보유</t>
        </is>
      </c>
      <c r="E4280" s="3" t="inlineStr">
        <is>
          <t>한화생명보험㈜</t>
        </is>
      </c>
      <c r="F4280" s="3" t="inlineStr">
        <is>
          <t>특별관계자</t>
        </is>
      </c>
      <c r="G4280" s="3" t="inlineStr">
        <is>
          <t>신규보고(+)</t>
        </is>
      </c>
      <c r="H4280" s="15" t="n">
        <v>63029</v>
      </c>
      <c r="I4280" s="6" t="inlineStr"/>
      <c r="J4280" s="6" t="n">
        <v>63029</v>
      </c>
      <c r="K4280" s="16" t="n">
        <v>1</v>
      </c>
      <c r="L4280" s="2" t="inlineStr">
        <is>
          <t>20260616000149</t>
        </is>
      </c>
      <c r="M4280" s="8">
        <f>HYPERLINK("https://dart.fss.or.kr/dsaf001/main.do?rcpNo=20260616000149", "공시열람")</f>
        <v/>
      </c>
    </row>
    <row r="4281" ht="22" customHeight="1">
      <c r="A4281" s="2" t="inlineStr">
        <is>
          <t>2026-06-16 (정정: 2026-06-16)</t>
        </is>
      </c>
      <c r="B4281" s="3" t="inlineStr">
        <is>
          <t>RF머트리얼즈</t>
        </is>
      </c>
      <c r="C4281" s="2" t="inlineStr">
        <is>
          <t>327260</t>
        </is>
      </c>
      <c r="D4281" s="2" t="inlineStr">
        <is>
          <t>대량보유</t>
        </is>
      </c>
      <c r="E4281" s="3" t="inlineStr">
        <is>
          <t>-</t>
        </is>
      </c>
      <c r="F4281" s="3" t="inlineStr">
        <is>
          <t>보고자</t>
        </is>
      </c>
      <c r="G4281" s="3" t="inlineStr">
        <is>
          <t>-</t>
        </is>
      </c>
      <c r="H4281" s="6" t="inlineStr"/>
      <c r="I4281" s="6" t="inlineStr"/>
      <c r="J4281" s="6" t="inlineStr"/>
      <c r="K4281" s="18" t="inlineStr"/>
      <c r="L4281" s="2" t="inlineStr">
        <is>
          <t>20260616000061</t>
        </is>
      </c>
      <c r="M4281" s="8">
        <f>HYPERLINK("https://dart.fss.or.kr/dsaf001/main.do?rcpNo=20260616000061", "공시열람")</f>
        <v/>
      </c>
    </row>
    <row r="4282" ht="22" customHeight="1">
      <c r="A4282" s="2" t="inlineStr">
        <is>
          <t>2026-06-16</t>
        </is>
      </c>
      <c r="B4282" s="3" t="inlineStr">
        <is>
          <t>한창제지</t>
        </is>
      </c>
      <c r="C4282" s="2" t="inlineStr">
        <is>
          <t>009460</t>
        </is>
      </c>
      <c r="D4282" s="2" t="inlineStr">
        <is>
          <t>임원보고</t>
        </is>
      </c>
      <c r="E4282" s="3" t="inlineStr">
        <is>
          <t>-</t>
        </is>
      </c>
      <c r="F4282" s="3" t="inlineStr">
        <is>
          <t>-</t>
        </is>
      </c>
      <c r="G4282" s="3" t="inlineStr">
        <is>
          <t>-</t>
        </is>
      </c>
      <c r="H4282" s="6" t="inlineStr"/>
      <c r="I4282" s="6" t="inlineStr"/>
      <c r="J4282" s="6" t="inlineStr"/>
      <c r="K4282" s="16" t="n">
        <v>12</v>
      </c>
      <c r="L4282" s="2" t="inlineStr">
        <is>
          <t>20260616800391</t>
        </is>
      </c>
      <c r="M4282" s="8">
        <f>HYPERLINK("https://dart.fss.or.kr/dsaf001/main.do?rcpNo=20260616800391", "공시열람")</f>
        <v/>
      </c>
    </row>
    <row r="4283" ht="22" customHeight="1">
      <c r="A4283" s="2" t="inlineStr">
        <is>
          <t>2026-06-16</t>
        </is>
      </c>
      <c r="B4283" s="3" t="inlineStr">
        <is>
          <t>영흥</t>
        </is>
      </c>
      <c r="C4283" s="2" t="inlineStr">
        <is>
          <t>012160</t>
        </is>
      </c>
      <c r="D4283" s="2" t="inlineStr">
        <is>
          <t>대량보유</t>
        </is>
      </c>
      <c r="E4283" s="3" t="inlineStr">
        <is>
          <t>장세일</t>
        </is>
      </c>
      <c r="F4283" s="3" t="inlineStr">
        <is>
          <t>특별관계자</t>
        </is>
      </c>
      <c r="G4283" s="3" t="inlineStr">
        <is>
          <t>주식병합</t>
        </is>
      </c>
      <c r="H4283" s="17" t="n">
        <v>-13973389</v>
      </c>
      <c r="I4283" s="6" t="inlineStr"/>
      <c r="J4283" s="6" t="n">
        <v>3493347</v>
      </c>
      <c r="K4283" s="16" t="n">
        <v>3</v>
      </c>
      <c r="L4283" s="2" t="inlineStr">
        <is>
          <t>20260616000108</t>
        </is>
      </c>
      <c r="M4283" s="8">
        <f>HYPERLINK("https://dart.fss.or.kr/dsaf001/main.do?rcpNo=20260616000108", "공시열람")</f>
        <v/>
      </c>
    </row>
    <row r="4284" ht="22" customHeight="1">
      <c r="A4284" s="2" t="inlineStr">
        <is>
          <t>2026-06-16</t>
        </is>
      </c>
      <c r="B4284" s="3" t="inlineStr">
        <is>
          <t>영흥</t>
        </is>
      </c>
      <c r="C4284" s="2" t="inlineStr">
        <is>
          <t>012160</t>
        </is>
      </c>
      <c r="D4284" s="2" t="inlineStr">
        <is>
          <t>대량보유</t>
        </is>
      </c>
      <c r="E4284" s="3" t="inlineStr">
        <is>
          <t>(주)대유코아</t>
        </is>
      </c>
      <c r="F4284" s="3" t="inlineStr">
        <is>
          <t>특별관계자</t>
        </is>
      </c>
      <c r="G4284" s="3" t="inlineStr">
        <is>
          <t>주식병합</t>
        </is>
      </c>
      <c r="H4284" s="17" t="n">
        <v>-2324891</v>
      </c>
      <c r="I4284" s="6" t="inlineStr"/>
      <c r="J4284" s="6" t="n">
        <v>581222</v>
      </c>
      <c r="K4284" s="16" t="n">
        <v>3</v>
      </c>
      <c r="L4284" s="2" t="inlineStr">
        <is>
          <t>20260616000108</t>
        </is>
      </c>
      <c r="M4284" s="8">
        <f>HYPERLINK("https://dart.fss.or.kr/dsaf001/main.do?rcpNo=20260616000108", "공시열람")</f>
        <v/>
      </c>
    </row>
    <row r="4285" ht="22" customHeight="1">
      <c r="A4285" s="2" t="inlineStr">
        <is>
          <t>2026-06-16</t>
        </is>
      </c>
      <c r="B4285" s="3" t="inlineStr">
        <is>
          <t>영흥</t>
        </is>
      </c>
      <c r="C4285" s="2" t="inlineStr">
        <is>
          <t>012160</t>
        </is>
      </c>
      <c r="D4285" s="2" t="inlineStr">
        <is>
          <t>대량보유</t>
        </is>
      </c>
      <c r="E4285" s="3" t="inlineStr">
        <is>
          <t>조경은</t>
        </is>
      </c>
      <c r="F4285" s="3" t="inlineStr">
        <is>
          <t>특별관계자</t>
        </is>
      </c>
      <c r="G4285" s="3" t="inlineStr">
        <is>
          <t>주식병합</t>
        </is>
      </c>
      <c r="H4285" s="17" t="n">
        <v>-133338</v>
      </c>
      <c r="I4285" s="6" t="inlineStr"/>
      <c r="J4285" s="6" t="n">
        <v>33334</v>
      </c>
      <c r="K4285" s="16" t="n">
        <v>3</v>
      </c>
      <c r="L4285" s="2" t="inlineStr">
        <is>
          <t>20260616000108</t>
        </is>
      </c>
      <c r="M4285" s="8">
        <f>HYPERLINK("https://dart.fss.or.kr/dsaf001/main.do?rcpNo=20260616000108", "공시열람")</f>
        <v/>
      </c>
    </row>
    <row r="4286" ht="22" customHeight="1">
      <c r="A4286" s="2" t="inlineStr">
        <is>
          <t>2026-06-16</t>
        </is>
      </c>
      <c r="B4286" s="3" t="inlineStr">
        <is>
          <t>영흥</t>
        </is>
      </c>
      <c r="C4286" s="2" t="inlineStr">
        <is>
          <t>012160</t>
        </is>
      </c>
      <c r="D4286" s="2" t="inlineStr">
        <is>
          <t>대량보유</t>
        </is>
      </c>
      <c r="E4286" s="3" t="inlineStr">
        <is>
          <t>(주)대호특수강</t>
        </is>
      </c>
      <c r="F4286" s="3" t="inlineStr">
        <is>
          <t>특별관계자</t>
        </is>
      </c>
      <c r="G4286" s="3" t="inlineStr">
        <is>
          <t>주식병합</t>
        </is>
      </c>
      <c r="H4286" s="17" t="n">
        <v>-4000000</v>
      </c>
      <c r="I4286" s="6" t="inlineStr"/>
      <c r="J4286" s="6" t="n">
        <v>1000000</v>
      </c>
      <c r="K4286" s="16" t="n">
        <v>3</v>
      </c>
      <c r="L4286" s="2" t="inlineStr">
        <is>
          <t>20260616000108</t>
        </is>
      </c>
      <c r="M4286" s="8">
        <f>HYPERLINK("https://dart.fss.or.kr/dsaf001/main.do?rcpNo=20260616000108", "공시열람")</f>
        <v/>
      </c>
    </row>
    <row r="4287" ht="22" customHeight="1">
      <c r="A4287" s="2" t="inlineStr">
        <is>
          <t>2026-06-16 (정정: 2026-06-17)</t>
        </is>
      </c>
      <c r="B4287" s="3" t="inlineStr">
        <is>
          <t>푸드나무</t>
        </is>
      </c>
      <c r="C4287" s="2" t="inlineStr">
        <is>
          <t>290720</t>
        </is>
      </c>
      <c r="D4287" s="2" t="inlineStr">
        <is>
          <t>대량보유</t>
        </is>
      </c>
      <c r="E4287" s="3" t="inlineStr">
        <is>
          <t>-</t>
        </is>
      </c>
      <c r="F4287" s="3" t="inlineStr">
        <is>
          <t>보고자</t>
        </is>
      </c>
      <c r="G4287" s="3" t="inlineStr">
        <is>
          <t>-</t>
        </is>
      </c>
      <c r="H4287" s="6" t="inlineStr"/>
      <c r="I4287" s="6" t="inlineStr"/>
      <c r="J4287" s="6" t="inlineStr"/>
      <c r="K4287" s="18" t="inlineStr"/>
      <c r="L4287" s="2" t="inlineStr">
        <is>
          <t>20260617900194</t>
        </is>
      </c>
      <c r="M4287" s="8">
        <f>HYPERLINK("https://dart.fss.or.kr/dsaf001/main.do?rcpNo=20260617900194", "공시열람")</f>
        <v/>
      </c>
    </row>
    <row r="4288" ht="22" customHeight="1">
      <c r="A4288" s="2" t="inlineStr">
        <is>
          <t>2026-06-16</t>
        </is>
      </c>
      <c r="B4288" s="3" t="inlineStr">
        <is>
          <t>와이엔텍</t>
        </is>
      </c>
      <c r="C4288" s="2" t="inlineStr">
        <is>
          <t>067900</t>
        </is>
      </c>
      <c r="D4288" s="2" t="inlineStr">
        <is>
          <t>대량보유</t>
        </is>
      </c>
      <c r="E4288" s="3" t="inlineStr">
        <is>
          <t>박지영</t>
        </is>
      </c>
      <c r="F4288" s="3" t="inlineStr">
        <is>
          <t>특별관계자</t>
        </is>
      </c>
      <c r="G4288" s="3" t="inlineStr">
        <is>
          <t>장내매수(+)</t>
        </is>
      </c>
      <c r="H4288" s="15" t="n">
        <v>20000</v>
      </c>
      <c r="I4288" s="6" t="n">
        <v>20000</v>
      </c>
      <c r="J4288" s="6" t="n">
        <v>1705587</v>
      </c>
      <c r="K4288" s="16" t="n">
        <v>5</v>
      </c>
      <c r="L4288" s="2" t="inlineStr">
        <is>
          <t>20260616000072</t>
        </is>
      </c>
      <c r="M4288" s="8">
        <f>HYPERLINK("https://dart.fss.or.kr/dsaf001/main.do?rcpNo=20260616000072", "공시열람")</f>
        <v/>
      </c>
    </row>
    <row r="4289" ht="22" customHeight="1">
      <c r="A4289" s="2" t="inlineStr">
        <is>
          <t>2026-06-16</t>
        </is>
      </c>
      <c r="B4289" s="3" t="inlineStr">
        <is>
          <t>세동</t>
        </is>
      </c>
      <c r="C4289" s="2" t="inlineStr">
        <is>
          <t>053060</t>
        </is>
      </c>
      <c r="D4289" s="2" t="inlineStr">
        <is>
          <t>대량보유</t>
        </is>
      </c>
      <c r="E4289" s="3" t="inlineStr">
        <is>
          <t>윤정상</t>
        </is>
      </c>
      <c r="F4289" s="3" t="inlineStr">
        <is>
          <t>보고자</t>
        </is>
      </c>
      <c r="G4289" s="3" t="inlineStr">
        <is>
          <t>주식담보 계약해지(대출상환)</t>
        </is>
      </c>
      <c r="H4289" s="6" t="inlineStr"/>
      <c r="I4289" s="6" t="inlineStr"/>
      <c r="J4289" s="6" t="n">
        <v>4999712</v>
      </c>
      <c r="K4289" s="16" t="n">
        <v>2</v>
      </c>
      <c r="L4289" s="2" t="inlineStr">
        <is>
          <t>20260616000048</t>
        </is>
      </c>
      <c r="M4289" s="8">
        <f>HYPERLINK("https://dart.fss.or.kr/dsaf001/main.do?rcpNo=20260616000048", "공시열람")</f>
        <v/>
      </c>
    </row>
    <row r="4290" ht="22" customHeight="1">
      <c r="A4290" s="2" t="inlineStr">
        <is>
          <t>2026-06-16</t>
        </is>
      </c>
      <c r="B4290" s="3" t="inlineStr">
        <is>
          <t>영흥</t>
        </is>
      </c>
      <c r="C4290" s="2" t="inlineStr">
        <is>
          <t>012160</t>
        </is>
      </c>
      <c r="D4290" s="2" t="inlineStr">
        <is>
          <t>임원보고</t>
        </is>
      </c>
      <c r="E4290" s="3" t="inlineStr">
        <is>
          <t>-</t>
        </is>
      </c>
      <c r="F4290" s="3" t="inlineStr">
        <is>
          <t>-</t>
        </is>
      </c>
      <c r="G4290" s="3" t="inlineStr">
        <is>
          <t>-</t>
        </is>
      </c>
      <c r="H4290" s="6" t="inlineStr"/>
      <c r="I4290" s="6" t="inlineStr"/>
      <c r="J4290" s="6" t="inlineStr"/>
      <c r="K4290" s="16" t="n">
        <v>12</v>
      </c>
      <c r="L4290" s="2" t="inlineStr">
        <is>
          <t>20260616800269</t>
        </is>
      </c>
      <c r="M4290" s="8">
        <f>HYPERLINK("https://dart.fss.or.kr/dsaf001/main.do?rcpNo=20260616800269", "공시열람")</f>
        <v/>
      </c>
    </row>
    <row r="4291" ht="22" customHeight="1">
      <c r="A4291" s="2" t="inlineStr">
        <is>
          <t>2026-06-16</t>
        </is>
      </c>
      <c r="B4291" s="3" t="inlineStr">
        <is>
          <t>조이시티</t>
        </is>
      </c>
      <c r="C4291" s="2" t="inlineStr">
        <is>
          <t>067000</t>
        </is>
      </c>
      <c r="D4291" s="2" t="inlineStr">
        <is>
          <t>대량보유</t>
        </is>
      </c>
      <c r="E4291" s="3" t="inlineStr">
        <is>
          <t>조성원</t>
        </is>
      </c>
      <c r="F4291" s="3" t="inlineStr">
        <is>
          <t>특별관계자</t>
        </is>
      </c>
      <c r="G4291" s="3" t="inlineStr">
        <is>
          <t>장내매수(+)</t>
        </is>
      </c>
      <c r="H4291" s="15" t="n">
        <v>70000</v>
      </c>
      <c r="I4291" s="6" t="n">
        <v>2003</v>
      </c>
      <c r="J4291" s="6" t="n">
        <v>122173</v>
      </c>
      <c r="K4291" s="16" t="n">
        <v>4</v>
      </c>
      <c r="L4291" s="2" t="inlineStr">
        <is>
          <t>20260616000047</t>
        </is>
      </c>
      <c r="M4291" s="8">
        <f>HYPERLINK("https://dart.fss.or.kr/dsaf001/main.do?rcpNo=20260616000047", "공시열람")</f>
        <v/>
      </c>
    </row>
    <row r="4292" ht="22" customHeight="1">
      <c r="A4292" s="2" t="inlineStr">
        <is>
          <t>2026-06-16</t>
        </is>
      </c>
      <c r="B4292" s="3" t="inlineStr">
        <is>
          <t>대림통상</t>
        </is>
      </c>
      <c r="C4292" s="2" t="inlineStr">
        <is>
          <t>006570</t>
        </is>
      </c>
      <c r="D4292" s="2" t="inlineStr">
        <is>
          <t>대량보유</t>
        </is>
      </c>
      <c r="E4292" s="3" t="inlineStr">
        <is>
          <t>디앤디파트너스(주)</t>
        </is>
      </c>
      <c r="F4292" s="3" t="inlineStr">
        <is>
          <t>특별관계자</t>
        </is>
      </c>
      <c r="G4292" s="3" t="inlineStr">
        <is>
          <t>장내매수(+)</t>
        </is>
      </c>
      <c r="H4292" s="15" t="n">
        <v>9500</v>
      </c>
      <c r="I4292" s="6" t="n">
        <v>1917</v>
      </c>
      <c r="J4292" s="6" t="n">
        <v>5998169</v>
      </c>
      <c r="K4292" s="16" t="n">
        <v>4</v>
      </c>
      <c r="L4292" s="2" t="inlineStr">
        <is>
          <t>20260616000042</t>
        </is>
      </c>
      <c r="M4292" s="8">
        <f>HYPERLINK("https://dart.fss.or.kr/dsaf001/main.do?rcpNo=20260616000042", "공시열람")</f>
        <v/>
      </c>
    </row>
    <row r="4293" ht="22" customHeight="1">
      <c r="A4293" s="2" t="inlineStr">
        <is>
          <t>2026-06-16</t>
        </is>
      </c>
      <c r="B4293" s="3" t="inlineStr">
        <is>
          <t>대림통상</t>
        </is>
      </c>
      <c r="C4293" s="2" t="inlineStr">
        <is>
          <t>006570</t>
        </is>
      </c>
      <c r="D4293" s="2" t="inlineStr">
        <is>
          <t>임원보고</t>
        </is>
      </c>
      <c r="E4293" s="3" t="inlineStr">
        <is>
          <t>-</t>
        </is>
      </c>
      <c r="F4293" s="3" t="inlineStr">
        <is>
          <t>-</t>
        </is>
      </c>
      <c r="G4293" s="3" t="inlineStr">
        <is>
          <t>-</t>
        </is>
      </c>
      <c r="H4293" s="6" t="inlineStr"/>
      <c r="I4293" s="6" t="inlineStr"/>
      <c r="J4293" s="6" t="inlineStr"/>
      <c r="K4293" s="16" t="n">
        <v>12</v>
      </c>
      <c r="L4293" s="2" t="inlineStr">
        <is>
          <t>20260616800239</t>
        </is>
      </c>
      <c r="M4293" s="8">
        <f>HYPERLINK("https://dart.fss.or.kr/dsaf001/main.do?rcpNo=20260616800239", "공시열람")</f>
        <v/>
      </c>
    </row>
    <row r="4294" ht="22" customHeight="1">
      <c r="A4294" s="2" t="inlineStr">
        <is>
          <t>2026-06-16</t>
        </is>
      </c>
      <c r="B4294" s="3" t="inlineStr">
        <is>
          <t>새론오토모티브</t>
        </is>
      </c>
      <c r="C4294" s="2" t="inlineStr">
        <is>
          <t>075180</t>
        </is>
      </c>
      <c r="D4294" s="2" t="inlineStr">
        <is>
          <t>대량보유</t>
        </is>
      </c>
      <c r="E4294" s="3" t="inlineStr">
        <is>
          <t>김형인</t>
        </is>
      </c>
      <c r="F4294" s="3" t="inlineStr">
        <is>
          <t>특별관계자</t>
        </is>
      </c>
      <c r="G4294" s="3" t="inlineStr">
        <is>
          <t>장내매도(-)</t>
        </is>
      </c>
      <c r="H4294" s="17" t="n">
        <v>-47000</v>
      </c>
      <c r="I4294" s="6" t="n">
        <v>3385</v>
      </c>
      <c r="J4294" s="6" t="n">
        <v>3158667</v>
      </c>
      <c r="K4294" s="16" t="n">
        <v>1</v>
      </c>
      <c r="L4294" s="2" t="inlineStr">
        <is>
          <t>20260616000015</t>
        </is>
      </c>
      <c r="M4294" s="8">
        <f>HYPERLINK("https://dart.fss.or.kr/dsaf001/main.do?rcpNo=20260616000015", "공시열람")</f>
        <v/>
      </c>
    </row>
    <row r="4295" ht="22" customHeight="1">
      <c r="A4295" s="2" t="inlineStr">
        <is>
          <t>2026-06-16</t>
        </is>
      </c>
      <c r="B4295" s="3" t="inlineStr">
        <is>
          <t>새론오토모티브</t>
        </is>
      </c>
      <c r="C4295" s="2" t="inlineStr">
        <is>
          <t>075180</t>
        </is>
      </c>
      <c r="D4295" s="2" t="inlineStr">
        <is>
          <t>대량보유</t>
        </is>
      </c>
      <c r="E4295" s="3" t="inlineStr">
        <is>
          <t>에이엘티</t>
        </is>
      </c>
      <c r="F4295" s="3" t="inlineStr">
        <is>
          <t>특별관계자</t>
        </is>
      </c>
      <c r="G4295" s="3" t="inlineStr">
        <is>
          <t>장내매수(+), 장내매도(-)</t>
        </is>
      </c>
      <c r="H4295" s="15" t="n">
        <v>119735</v>
      </c>
      <c r="I4295" s="6" t="n">
        <v>3103</v>
      </c>
      <c r="J4295" s="6" t="n">
        <v>3278402</v>
      </c>
      <c r="K4295" s="16" t="n">
        <v>1</v>
      </c>
      <c r="L4295" s="2" t="inlineStr">
        <is>
          <t>20260616000015</t>
        </is>
      </c>
      <c r="M4295" s="8">
        <f>HYPERLINK("https://dart.fss.or.kr/dsaf001/main.do?rcpNo=20260616000015", "공시열람")</f>
        <v/>
      </c>
    </row>
    <row r="4296" ht="22" customHeight="1">
      <c r="A4296" s="2" t="inlineStr">
        <is>
          <t>2026-06-17</t>
        </is>
      </c>
      <c r="B4296" s="3" t="inlineStr">
        <is>
          <t>온타이드</t>
        </is>
      </c>
      <c r="C4296" s="2" t="inlineStr">
        <is>
          <t>005320</t>
        </is>
      </c>
      <c r="D4296" s="2" t="inlineStr">
        <is>
          <t>대량보유</t>
        </is>
      </c>
      <c r="E4296" s="3" t="inlineStr">
        <is>
          <t>주식회사약진통상</t>
        </is>
      </c>
      <c r="F4296" s="3" t="inlineStr">
        <is>
          <t>특별관계자</t>
        </is>
      </c>
      <c r="G4296" s="3" t="inlineStr">
        <is>
          <t>장내매수(+)</t>
        </is>
      </c>
      <c r="H4296" s="15" t="n">
        <v>577100</v>
      </c>
      <c r="I4296" s="6" t="n">
        <v>1110</v>
      </c>
      <c r="J4296" s="6" t="n">
        <v>17276527</v>
      </c>
      <c r="K4296" s="16" t="n">
        <v>45.03</v>
      </c>
      <c r="L4296" s="2" t="inlineStr">
        <is>
          <t>20260617000493</t>
        </is>
      </c>
      <c r="M4296" s="8">
        <f>HYPERLINK("https://dart.fss.or.kr/dsaf001/main.do?rcpNo=20260617000493", "공시열람")</f>
        <v/>
      </c>
    </row>
    <row r="4297" ht="22" customHeight="1">
      <c r="A4297" s="2" t="inlineStr">
        <is>
          <t>2026-06-17</t>
        </is>
      </c>
      <c r="B4297" s="3" t="inlineStr">
        <is>
          <t>에피소드컴퍼니</t>
        </is>
      </c>
      <c r="C4297" s="2" t="inlineStr">
        <is>
          <t>317530</t>
        </is>
      </c>
      <c r="D4297" s="2" t="inlineStr">
        <is>
          <t>대량보유</t>
        </is>
      </c>
      <c r="E4297" s="3" t="inlineStr">
        <is>
          <t>김동하</t>
        </is>
      </c>
      <c r="F4297" s="3" t="inlineStr">
        <is>
          <t>특별관계자</t>
        </is>
      </c>
      <c r="G4297" s="3" t="inlineStr">
        <is>
          <t>장내매수(+)</t>
        </is>
      </c>
      <c r="H4297" s="15" t="n">
        <v>10000</v>
      </c>
      <c r="I4297" s="6" t="n">
        <v>3003</v>
      </c>
      <c r="J4297" s="6" t="n">
        <v>10000</v>
      </c>
      <c r="K4297" s="16" t="n">
        <v>2</v>
      </c>
      <c r="L4297" s="2" t="inlineStr">
        <is>
          <t>20260617000492</t>
        </is>
      </c>
      <c r="M4297" s="8">
        <f>HYPERLINK("https://dart.fss.or.kr/dsaf001/main.do?rcpNo=20260617000492", "공시열람")</f>
        <v/>
      </c>
    </row>
    <row r="4298" ht="22" customHeight="1">
      <c r="A4298" s="2" t="inlineStr">
        <is>
          <t>2026-06-17</t>
        </is>
      </c>
      <c r="B4298" s="3" t="inlineStr">
        <is>
          <t>이엠텍</t>
        </is>
      </c>
      <c r="C4298" s="2" t="inlineStr">
        <is>
          <t>091120</t>
        </is>
      </c>
      <c r="D4298" s="2" t="inlineStr">
        <is>
          <t>대량보유</t>
        </is>
      </c>
      <c r="E4298" s="3" t="inlineStr">
        <is>
          <t>정승규</t>
        </is>
      </c>
      <c r="F4298" s="3" t="inlineStr">
        <is>
          <t>보고자</t>
        </is>
      </c>
      <c r="G4298" s="3" t="inlineStr">
        <is>
          <t>- 주식담보대출 일부상환 및 계약연장</t>
        </is>
      </c>
      <c r="H4298" s="6" t="inlineStr"/>
      <c r="I4298" s="6" t="inlineStr"/>
      <c r="J4298" s="6" t="n">
        <v>2524866</v>
      </c>
      <c r="K4298" s="16" t="n">
        <v>6</v>
      </c>
      <c r="L4298" s="2" t="inlineStr">
        <is>
          <t>20260617000490</t>
        </is>
      </c>
      <c r="M4298" s="8">
        <f>HYPERLINK("https://dart.fss.or.kr/dsaf001/main.do?rcpNo=20260617000490", "공시열람")</f>
        <v/>
      </c>
    </row>
    <row r="4299" ht="22" customHeight="1">
      <c r="A4299" s="2" t="inlineStr">
        <is>
          <t>2026-06-17</t>
        </is>
      </c>
      <c r="B4299" s="3" t="inlineStr">
        <is>
          <t>아이윈</t>
        </is>
      </c>
      <c r="C4299" s="2" t="inlineStr">
        <is>
          <t>090150</t>
        </is>
      </c>
      <c r="D4299" s="2" t="inlineStr">
        <is>
          <t>대량보유</t>
        </is>
      </c>
      <c r="E4299" s="3" t="inlineStr">
        <is>
          <t>신규진</t>
        </is>
      </c>
      <c r="F4299" s="3" t="inlineStr">
        <is>
          <t>특별관계자</t>
        </is>
      </c>
      <c r="G4299" s="3" t="inlineStr">
        <is>
          <t>장내매수(+)</t>
        </is>
      </c>
      <c r="H4299" s="15" t="n">
        <v>410000</v>
      </c>
      <c r="I4299" s="6" t="n">
        <v>589</v>
      </c>
      <c r="J4299" s="6" t="n">
        <v>12605700</v>
      </c>
      <c r="K4299" s="16" t="n">
        <v>3</v>
      </c>
      <c r="L4299" s="2" t="inlineStr">
        <is>
          <t>20260617000484</t>
        </is>
      </c>
      <c r="M4299" s="8">
        <f>HYPERLINK("https://dart.fss.or.kr/dsaf001/main.do?rcpNo=20260617000484", "공시열람")</f>
        <v/>
      </c>
    </row>
    <row r="4300" ht="22" customHeight="1">
      <c r="A4300" s="2" t="inlineStr">
        <is>
          <t>2026-06-17</t>
        </is>
      </c>
      <c r="B4300" s="3" t="inlineStr">
        <is>
          <t>제테마</t>
        </is>
      </c>
      <c r="C4300" s="2" t="inlineStr">
        <is>
          <t>216080</t>
        </is>
      </c>
      <c r="D4300" s="2" t="inlineStr">
        <is>
          <t>대량보유</t>
        </is>
      </c>
      <c r="E4300" s="3" t="inlineStr">
        <is>
          <t>김수현</t>
        </is>
      </c>
      <c r="F4300" s="3" t="inlineStr">
        <is>
          <t>특별관계자</t>
        </is>
      </c>
      <c r="G4300" s="3" t="inlineStr">
        <is>
          <t>장내매수(+)</t>
        </is>
      </c>
      <c r="H4300" s="15" t="n">
        <v>9260</v>
      </c>
      <c r="I4300" s="6" t="n">
        <v>4860</v>
      </c>
      <c r="J4300" s="6" t="n">
        <v>20328</v>
      </c>
      <c r="K4300" s="16" t="n">
        <v>18</v>
      </c>
      <c r="L4300" s="2" t="inlineStr">
        <is>
          <t>20260617000482</t>
        </is>
      </c>
      <c r="M4300" s="8">
        <f>HYPERLINK("https://dart.fss.or.kr/dsaf001/main.do?rcpNo=20260617000482", "공시열람")</f>
        <v/>
      </c>
    </row>
    <row r="4301" ht="22" customHeight="1">
      <c r="A4301" s="2" t="inlineStr">
        <is>
          <t>2026-06-17</t>
        </is>
      </c>
      <c r="B4301" s="3" t="inlineStr">
        <is>
          <t>제테마</t>
        </is>
      </c>
      <c r="C4301" s="2" t="inlineStr">
        <is>
          <t>216080</t>
        </is>
      </c>
      <c r="D4301" s="2" t="inlineStr">
        <is>
          <t>대량보유</t>
        </is>
      </c>
      <c r="E4301" s="3" t="inlineStr">
        <is>
          <t>곽민정</t>
        </is>
      </c>
      <c r="F4301" s="3" t="inlineStr">
        <is>
          <t>특별관계자</t>
        </is>
      </c>
      <c r="G4301" s="3" t="inlineStr">
        <is>
          <t>장내매수(+)</t>
        </is>
      </c>
      <c r="H4301" s="15" t="n">
        <v>20000</v>
      </c>
      <c r="I4301" s="6" t="n">
        <v>4812</v>
      </c>
      <c r="J4301" s="6" t="n">
        <v>267406</v>
      </c>
      <c r="K4301" s="16" t="n">
        <v>18</v>
      </c>
      <c r="L4301" s="2" t="inlineStr">
        <is>
          <t>20260617000482</t>
        </is>
      </c>
      <c r="M4301" s="8">
        <f>HYPERLINK("https://dart.fss.or.kr/dsaf001/main.do?rcpNo=20260617000482", "공시열람")</f>
        <v/>
      </c>
    </row>
    <row r="4302" ht="22" customHeight="1">
      <c r="A4302" s="2" t="inlineStr">
        <is>
          <t>2026-06-17</t>
        </is>
      </c>
      <c r="B4302" s="3" t="inlineStr">
        <is>
          <t>한일홀딩스</t>
        </is>
      </c>
      <c r="C4302" s="2" t="inlineStr">
        <is>
          <t>003300</t>
        </is>
      </c>
      <c r="D4302" s="2" t="inlineStr">
        <is>
          <t>임원보고</t>
        </is>
      </c>
      <c r="E4302" s="3" t="inlineStr">
        <is>
          <t>-</t>
        </is>
      </c>
      <c r="F4302" s="3" t="inlineStr">
        <is>
          <t>-</t>
        </is>
      </c>
      <c r="G4302" s="3" t="inlineStr">
        <is>
          <t>-</t>
        </is>
      </c>
      <c r="H4302" s="6" t="inlineStr"/>
      <c r="I4302" s="6" t="inlineStr"/>
      <c r="J4302" s="6" t="inlineStr"/>
      <c r="K4302" s="16" t="n">
        <v>12</v>
      </c>
      <c r="L4302" s="2" t="inlineStr">
        <is>
          <t>20260617800628</t>
        </is>
      </c>
      <c r="M4302" s="8">
        <f>HYPERLINK("https://dart.fss.or.kr/dsaf001/main.do?rcpNo=20260617800628", "공시열람")</f>
        <v/>
      </c>
    </row>
    <row r="4303" ht="22" customHeight="1">
      <c r="A4303" s="2" t="inlineStr">
        <is>
          <t>2026-06-17 (정정: 2026-06-26)</t>
        </is>
      </c>
      <c r="B4303" s="3" t="inlineStr">
        <is>
          <t>한일홀딩스</t>
        </is>
      </c>
      <c r="C4303" s="2" t="inlineStr">
        <is>
          <t>003300</t>
        </is>
      </c>
      <c r="D4303" s="2" t="inlineStr">
        <is>
          <t>대량보유</t>
        </is>
      </c>
      <c r="E4303" s="3" t="inlineStr">
        <is>
          <t>-</t>
        </is>
      </c>
      <c r="F4303" s="3" t="inlineStr">
        <is>
          <t>보고자</t>
        </is>
      </c>
      <c r="G4303" s="3" t="inlineStr">
        <is>
          <t>-</t>
        </is>
      </c>
      <c r="H4303" s="6" t="inlineStr"/>
      <c r="I4303" s="6" t="inlineStr"/>
      <c r="J4303" s="6" t="inlineStr"/>
      <c r="K4303" s="18" t="inlineStr"/>
      <c r="L4303" s="2" t="inlineStr">
        <is>
          <t>20260626800989</t>
        </is>
      </c>
      <c r="M4303" s="8">
        <f>HYPERLINK("https://dart.fss.or.kr/dsaf001/main.do?rcpNo=20260626800989", "공시열람")</f>
        <v/>
      </c>
    </row>
    <row r="4304" ht="22" customHeight="1">
      <c r="A4304" s="2" t="inlineStr">
        <is>
          <t>2026-06-17</t>
        </is>
      </c>
      <c r="B4304" s="3" t="inlineStr">
        <is>
          <t>티사이언티픽</t>
        </is>
      </c>
      <c r="C4304" s="2" t="inlineStr">
        <is>
          <t>057680</t>
        </is>
      </c>
      <c r="D4304" s="2" t="inlineStr">
        <is>
          <t>대량보유</t>
        </is>
      </c>
      <c r="E4304" s="3" t="inlineStr">
        <is>
          <t>(주)위지트</t>
        </is>
      </c>
      <c r="F4304" s="3" t="inlineStr">
        <is>
          <t>특별관계자</t>
        </is>
      </c>
      <c r="G4304" s="3" t="inlineStr">
        <is>
          <t>자본감소</t>
        </is>
      </c>
      <c r="H4304" s="17" t="n">
        <v>-17538740</v>
      </c>
      <c r="I4304" s="6" t="inlineStr"/>
      <c r="J4304" s="6" t="n">
        <v>4384684</v>
      </c>
      <c r="K4304" s="16" t="n">
        <v>4</v>
      </c>
      <c r="L4304" s="2" t="inlineStr">
        <is>
          <t>20260617000451</t>
        </is>
      </c>
      <c r="M4304" s="8">
        <f>HYPERLINK("https://dart.fss.or.kr/dsaf001/main.do?rcpNo=20260617000451", "공시열람")</f>
        <v/>
      </c>
    </row>
    <row r="4305" ht="22" customHeight="1">
      <c r="A4305" s="2" t="inlineStr">
        <is>
          <t>2026-06-17</t>
        </is>
      </c>
      <c r="B4305" s="3" t="inlineStr">
        <is>
          <t>티사이언티픽</t>
        </is>
      </c>
      <c r="C4305" s="2" t="inlineStr">
        <is>
          <t>057680</t>
        </is>
      </c>
      <c r="D4305" s="2" t="inlineStr">
        <is>
          <t>대량보유</t>
        </is>
      </c>
      <c r="E4305" s="3" t="inlineStr">
        <is>
          <t>(주)제이에스아이홀딩스</t>
        </is>
      </c>
      <c r="F4305" s="3" t="inlineStr">
        <is>
          <t>특별관계자</t>
        </is>
      </c>
      <c r="G4305" s="3" t="inlineStr">
        <is>
          <t>자본감소, 제3자배정유상증자(+)</t>
        </is>
      </c>
      <c r="H4305" s="15" t="n">
        <v>473337</v>
      </c>
      <c r="I4305" s="6" t="n">
        <v>1944</v>
      </c>
      <c r="J4305" s="6" t="n">
        <v>1810676</v>
      </c>
      <c r="K4305" s="16" t="n">
        <v>4</v>
      </c>
      <c r="L4305" s="2" t="inlineStr">
        <is>
          <t>20260617000451</t>
        </is>
      </c>
      <c r="M4305" s="8">
        <f>HYPERLINK("https://dart.fss.or.kr/dsaf001/main.do?rcpNo=20260617000451", "공시열람")</f>
        <v/>
      </c>
    </row>
    <row r="4306" ht="22" customHeight="1">
      <c r="A4306" s="2" t="inlineStr">
        <is>
          <t>2026-06-17</t>
        </is>
      </c>
      <c r="B4306" s="3" t="inlineStr">
        <is>
          <t>티사이언티픽</t>
        </is>
      </c>
      <c r="C4306" s="2" t="inlineStr">
        <is>
          <t>057680</t>
        </is>
      </c>
      <c r="D4306" s="2" t="inlineStr">
        <is>
          <t>대량보유</t>
        </is>
      </c>
      <c r="E4306" s="3" t="inlineStr">
        <is>
          <t>김상우</t>
        </is>
      </c>
      <c r="F4306" s="3" t="inlineStr">
        <is>
          <t>특별관계자</t>
        </is>
      </c>
      <c r="G4306" s="3" t="inlineStr">
        <is>
          <t>자본감소</t>
        </is>
      </c>
      <c r="H4306" s="17" t="n">
        <v>-57361</v>
      </c>
      <c r="I4306" s="6" t="inlineStr"/>
      <c r="J4306" s="6" t="n">
        <v>14340</v>
      </c>
      <c r="K4306" s="16" t="n">
        <v>4</v>
      </c>
      <c r="L4306" s="2" t="inlineStr">
        <is>
          <t>20260617000451</t>
        </is>
      </c>
      <c r="M4306" s="8">
        <f>HYPERLINK("https://dart.fss.or.kr/dsaf001/main.do?rcpNo=20260617000451", "공시열람")</f>
        <v/>
      </c>
    </row>
    <row r="4307" ht="22" customHeight="1">
      <c r="A4307" s="2" t="inlineStr">
        <is>
          <t>2026-06-17</t>
        </is>
      </c>
      <c r="B4307" s="3" t="inlineStr">
        <is>
          <t>티사이언티픽</t>
        </is>
      </c>
      <c r="C4307" s="2" t="inlineStr">
        <is>
          <t>057680</t>
        </is>
      </c>
      <c r="D4307" s="2" t="inlineStr">
        <is>
          <t>대량보유</t>
        </is>
      </c>
      <c r="E4307" s="3" t="inlineStr">
        <is>
          <t>양승환</t>
        </is>
      </c>
      <c r="F4307" s="3" t="inlineStr">
        <is>
          <t>특별관계자</t>
        </is>
      </c>
      <c r="G4307" s="3" t="inlineStr">
        <is>
          <t>자본감소</t>
        </is>
      </c>
      <c r="H4307" s="17" t="n">
        <v>-64000</v>
      </c>
      <c r="I4307" s="6" t="inlineStr"/>
      <c r="J4307" s="6" t="n">
        <v>16000</v>
      </c>
      <c r="K4307" s="16" t="n">
        <v>4</v>
      </c>
      <c r="L4307" s="2" t="inlineStr">
        <is>
          <t>20260617000451</t>
        </is>
      </c>
      <c r="M4307" s="8">
        <f>HYPERLINK("https://dart.fss.or.kr/dsaf001/main.do?rcpNo=20260617000451", "공시열람")</f>
        <v/>
      </c>
    </row>
    <row r="4308" ht="22" customHeight="1">
      <c r="A4308" s="2" t="inlineStr">
        <is>
          <t>2026-06-17</t>
        </is>
      </c>
      <c r="B4308" s="3" t="inlineStr">
        <is>
          <t>티사이언티픽</t>
        </is>
      </c>
      <c r="C4308" s="2" t="inlineStr">
        <is>
          <t>057680</t>
        </is>
      </c>
      <c r="D4308" s="2" t="inlineStr">
        <is>
          <t>대량보유</t>
        </is>
      </c>
      <c r="E4308" s="3" t="inlineStr">
        <is>
          <t>유승재</t>
        </is>
      </c>
      <c r="F4308" s="3" t="inlineStr">
        <is>
          <t>특별관계자</t>
        </is>
      </c>
      <c r="G4308" s="3" t="inlineStr">
        <is>
          <t>자본감소</t>
        </is>
      </c>
      <c r="H4308" s="17" t="n">
        <v>-58616</v>
      </c>
      <c r="I4308" s="6" t="inlineStr"/>
      <c r="J4308" s="6" t="n">
        <v>14653</v>
      </c>
      <c r="K4308" s="16" t="n">
        <v>4</v>
      </c>
      <c r="L4308" s="2" t="inlineStr">
        <is>
          <t>20260617000451</t>
        </is>
      </c>
      <c r="M4308" s="8">
        <f>HYPERLINK("https://dart.fss.or.kr/dsaf001/main.do?rcpNo=20260617000451", "공시열람")</f>
        <v/>
      </c>
    </row>
    <row r="4309" ht="22" customHeight="1">
      <c r="A4309" s="2" t="inlineStr">
        <is>
          <t>2026-06-17</t>
        </is>
      </c>
      <c r="B4309" s="3" t="inlineStr">
        <is>
          <t>씨엑스아이</t>
        </is>
      </c>
      <c r="C4309" s="2" t="inlineStr">
        <is>
          <t>900120</t>
        </is>
      </c>
      <c r="D4309" s="2" t="inlineStr">
        <is>
          <t>대량보유</t>
        </is>
      </c>
      <c r="E4309" s="3" t="inlineStr">
        <is>
          <t>LINJINSHENG</t>
        </is>
      </c>
      <c r="F4309" s="3" t="inlineStr">
        <is>
          <t>특별관계자</t>
        </is>
      </c>
      <c r="G4309" s="3" t="inlineStr">
        <is>
          <t>제3자배정유상증자(+)</t>
        </is>
      </c>
      <c r="H4309" s="15" t="n">
        <v>3700000</v>
      </c>
      <c r="I4309" s="6" t="n">
        <v>1955</v>
      </c>
      <c r="J4309" s="6" t="n">
        <v>4655309</v>
      </c>
      <c r="K4309" s="16" t="n">
        <v>8</v>
      </c>
      <c r="L4309" s="2" t="inlineStr">
        <is>
          <t>20260617000446</t>
        </is>
      </c>
      <c r="M4309" s="8">
        <f>HYPERLINK("https://dart.fss.or.kr/dsaf001/main.do?rcpNo=20260617000446", "공시열람")</f>
        <v/>
      </c>
    </row>
    <row r="4310" ht="22" customHeight="1">
      <c r="A4310" s="2" t="inlineStr">
        <is>
          <t>2026-06-17 (정정: 2026-06-22)</t>
        </is>
      </c>
      <c r="B4310" s="3" t="inlineStr">
        <is>
          <t>SK디스커버리</t>
        </is>
      </c>
      <c r="C4310" s="2" t="inlineStr">
        <is>
          <t>006120</t>
        </is>
      </c>
      <c r="D4310" s="2" t="inlineStr">
        <is>
          <t>대량보유</t>
        </is>
      </c>
      <c r="E4310" s="3" t="inlineStr">
        <is>
          <t>-</t>
        </is>
      </c>
      <c r="F4310" s="3" t="inlineStr">
        <is>
          <t>보고자</t>
        </is>
      </c>
      <c r="G4310" s="3" t="inlineStr">
        <is>
          <t>-</t>
        </is>
      </c>
      <c r="H4310" s="6" t="inlineStr"/>
      <c r="I4310" s="6" t="inlineStr"/>
      <c r="J4310" s="6" t="inlineStr"/>
      <c r="K4310" s="18" t="inlineStr"/>
      <c r="L4310" s="2" t="inlineStr">
        <is>
          <t>20260622800661</t>
        </is>
      </c>
      <c r="M4310" s="8">
        <f>HYPERLINK("https://dart.fss.or.kr/dsaf001/main.do?rcpNo=20260622800661", "공시열람")</f>
        <v/>
      </c>
    </row>
    <row r="4311" ht="22" customHeight="1">
      <c r="A4311" s="2" t="inlineStr">
        <is>
          <t>2026-06-17</t>
        </is>
      </c>
      <c r="B4311" s="3" t="inlineStr">
        <is>
          <t>한울앤제주</t>
        </is>
      </c>
      <c r="C4311" s="2" t="inlineStr">
        <is>
          <t>276730</t>
        </is>
      </c>
      <c r="D4311" s="2" t="inlineStr">
        <is>
          <t>대량보유</t>
        </is>
      </c>
      <c r="E4311" s="3" t="inlineStr">
        <is>
          <t>에스에프세레스조합</t>
        </is>
      </c>
      <c r="F4311" s="3" t="inlineStr">
        <is>
          <t>특별관계자</t>
        </is>
      </c>
      <c r="G4311" s="3" t="inlineStr">
        <is>
          <t>장외매수(+)</t>
        </is>
      </c>
      <c r="H4311" s="15" t="n">
        <v>130662</v>
      </c>
      <c r="I4311" s="6" t="n">
        <v>12628</v>
      </c>
      <c r="J4311" s="6" t="n">
        <v>130662</v>
      </c>
      <c r="K4311" s="16" t="n">
        <v>2</v>
      </c>
      <c r="L4311" s="2" t="inlineStr">
        <is>
          <t>20260617000442</t>
        </is>
      </c>
      <c r="M4311" s="8">
        <f>HYPERLINK("https://dart.fss.or.kr/dsaf001/main.do?rcpNo=20260617000442", "공시열람")</f>
        <v/>
      </c>
    </row>
    <row r="4312" ht="22" customHeight="1">
      <c r="A4312" s="2" t="inlineStr">
        <is>
          <t>2026-06-17</t>
        </is>
      </c>
      <c r="B4312" s="3" t="inlineStr">
        <is>
          <t>탑런토탈솔루션</t>
        </is>
      </c>
      <c r="C4312" s="2" t="inlineStr">
        <is>
          <t>336680</t>
        </is>
      </c>
      <c r="D4312" s="2" t="inlineStr">
        <is>
          <t>대량보유</t>
        </is>
      </c>
      <c r="E4312" s="3" t="inlineStr">
        <is>
          <t>박영근</t>
        </is>
      </c>
      <c r="F4312" s="3" t="inlineStr">
        <is>
          <t>보고자</t>
        </is>
      </c>
      <c r="G4312" s="3" t="inlineStr">
        <is>
          <t>주식담보대출계약 변경</t>
        </is>
      </c>
      <c r="H4312" s="6" t="inlineStr"/>
      <c r="I4312" s="6" t="inlineStr"/>
      <c r="J4312" s="6" t="n">
        <v>29018320</v>
      </c>
      <c r="K4312" s="16" t="n">
        <v>3</v>
      </c>
      <c r="L4312" s="2" t="inlineStr">
        <is>
          <t>20260617000439</t>
        </is>
      </c>
      <c r="M4312" s="8">
        <f>HYPERLINK("https://dart.fss.or.kr/dsaf001/main.do?rcpNo=20260617000439", "공시열람")</f>
        <v/>
      </c>
    </row>
    <row r="4313" ht="22" customHeight="1">
      <c r="A4313" s="2" t="inlineStr">
        <is>
          <t>2026-06-17 (정정: 2026-06-24)</t>
        </is>
      </c>
      <c r="B4313" s="3" t="inlineStr">
        <is>
          <t>한울앤제주</t>
        </is>
      </c>
      <c r="C4313" s="2" t="inlineStr">
        <is>
          <t>276730</t>
        </is>
      </c>
      <c r="D4313" s="2" t="inlineStr">
        <is>
          <t>대량보유</t>
        </is>
      </c>
      <c r="E4313" s="3" t="inlineStr">
        <is>
          <t>티케1호조합</t>
        </is>
      </c>
      <c r="F4313" s="3" t="inlineStr">
        <is>
          <t>특별관계자</t>
        </is>
      </c>
      <c r="G4313" s="3" t="inlineStr">
        <is>
          <t>제3자배정유상증자(+)</t>
        </is>
      </c>
      <c r="H4313" s="15" t="n">
        <v>209175</v>
      </c>
      <c r="I4313" s="6" t="n">
        <v>10160</v>
      </c>
      <c r="J4313" s="6" t="n">
        <v>69725</v>
      </c>
      <c r="K4313" s="16" t="n">
        <v>8</v>
      </c>
      <c r="L4313" s="2" t="inlineStr">
        <is>
          <t>20260624000402</t>
        </is>
      </c>
      <c r="M4313" s="8">
        <f>HYPERLINK("https://dart.fss.or.kr/dsaf001/main.do?rcpNo=20260624000402", "공시열람")</f>
        <v/>
      </c>
    </row>
    <row r="4314" ht="22" customHeight="1">
      <c r="A4314" s="2" t="inlineStr">
        <is>
          <t>2026-06-17 (정정: 2026-06-24)</t>
        </is>
      </c>
      <c r="B4314" s="3" t="inlineStr">
        <is>
          <t>한울앤제주</t>
        </is>
      </c>
      <c r="C4314" s="2" t="inlineStr">
        <is>
          <t>276730</t>
        </is>
      </c>
      <c r="D4314" s="2" t="inlineStr">
        <is>
          <t>대량보유</t>
        </is>
      </c>
      <c r="E4314" s="3" t="inlineStr">
        <is>
          <t>제이케이(JK)신기술투자조합제2호</t>
        </is>
      </c>
      <c r="F4314" s="3" t="inlineStr">
        <is>
          <t>특별관계자</t>
        </is>
      </c>
      <c r="G4314" s="3" t="inlineStr">
        <is>
          <t>특별관계해소(-)</t>
        </is>
      </c>
      <c r="H4314" s="17" t="n">
        <v>-1537377</v>
      </c>
      <c r="I4314" s="6" t="inlineStr"/>
      <c r="J4314" s="6" t="inlineStr"/>
      <c r="K4314" s="16" t="n">
        <v>8</v>
      </c>
      <c r="L4314" s="2" t="inlineStr">
        <is>
          <t>20260624000402</t>
        </is>
      </c>
      <c r="M4314" s="8">
        <f>HYPERLINK("https://dart.fss.or.kr/dsaf001/main.do?rcpNo=20260624000402", "공시열람")</f>
        <v/>
      </c>
    </row>
    <row r="4315" ht="22" customHeight="1">
      <c r="A4315" s="2" t="inlineStr">
        <is>
          <t>2026-06-17 (정정: 2026-06-24)</t>
        </is>
      </c>
      <c r="B4315" s="3" t="inlineStr">
        <is>
          <t>한울앤제주</t>
        </is>
      </c>
      <c r="C4315" s="2" t="inlineStr">
        <is>
          <t>276730</t>
        </is>
      </c>
      <c r="D4315" s="2" t="inlineStr">
        <is>
          <t>대량보유</t>
        </is>
      </c>
      <c r="E4315" s="3" t="inlineStr">
        <is>
          <t>주식회사한울반도체</t>
        </is>
      </c>
      <c r="F4315" s="3" t="inlineStr">
        <is>
          <t>특별관계자</t>
        </is>
      </c>
      <c r="G4315" s="3" t="inlineStr">
        <is>
          <t>장외매도(-)</t>
        </is>
      </c>
      <c r="H4315" s="17" t="n">
        <v>-80904</v>
      </c>
      <c r="I4315" s="6" t="n">
        <v>18579</v>
      </c>
      <c r="J4315" s="6" t="inlineStr"/>
      <c r="K4315" s="16" t="n">
        <v>8</v>
      </c>
      <c r="L4315" s="2" t="inlineStr">
        <is>
          <t>20260624000402</t>
        </is>
      </c>
      <c r="M4315" s="8">
        <f>HYPERLINK("https://dart.fss.or.kr/dsaf001/main.do?rcpNo=20260624000402", "공시열람")</f>
        <v/>
      </c>
    </row>
    <row r="4316" ht="22" customHeight="1">
      <c r="A4316" s="2" t="inlineStr">
        <is>
          <t>2026-06-17</t>
        </is>
      </c>
      <c r="B4316" s="3" t="inlineStr">
        <is>
          <t>메타랩스</t>
        </is>
      </c>
      <c r="C4316" s="2" t="inlineStr">
        <is>
          <t>090370</t>
        </is>
      </c>
      <c r="D4316" s="2" t="inlineStr">
        <is>
          <t>임원보고</t>
        </is>
      </c>
      <c r="E4316" s="3" t="inlineStr">
        <is>
          <t>-</t>
        </is>
      </c>
      <c r="F4316" s="3" t="inlineStr">
        <is>
          <t>-</t>
        </is>
      </c>
      <c r="G4316" s="3" t="inlineStr">
        <is>
          <t>-</t>
        </is>
      </c>
      <c r="H4316" s="6" t="inlineStr"/>
      <c r="I4316" s="6" t="inlineStr"/>
      <c r="J4316" s="6" t="inlineStr"/>
      <c r="K4316" s="16" t="n">
        <v>12</v>
      </c>
      <c r="L4316" s="2" t="inlineStr">
        <is>
          <t>20260617800547</t>
        </is>
      </c>
      <c r="M4316" s="8">
        <f>HYPERLINK("https://dart.fss.or.kr/dsaf001/main.do?rcpNo=20260617800547", "공시열람")</f>
        <v/>
      </c>
    </row>
    <row r="4317" ht="22" customHeight="1">
      <c r="A4317" s="2" t="inlineStr">
        <is>
          <t>2026-06-17</t>
        </is>
      </c>
      <c r="B4317" s="3" t="inlineStr">
        <is>
          <t>BGF</t>
        </is>
      </c>
      <c r="C4317" s="2" t="inlineStr">
        <is>
          <t>027410</t>
        </is>
      </c>
      <c r="D4317" s="2" t="inlineStr">
        <is>
          <t>임원보고</t>
        </is>
      </c>
      <c r="E4317" s="3" t="inlineStr">
        <is>
          <t>-</t>
        </is>
      </c>
      <c r="F4317" s="3" t="inlineStr">
        <is>
          <t>-</t>
        </is>
      </c>
      <c r="G4317" s="3" t="inlineStr">
        <is>
          <t>-</t>
        </is>
      </c>
      <c r="H4317" s="6" t="inlineStr"/>
      <c r="I4317" s="6" t="inlineStr"/>
      <c r="J4317" s="6" t="inlineStr"/>
      <c r="K4317" s="16" t="n">
        <v>12</v>
      </c>
      <c r="L4317" s="2" t="inlineStr">
        <is>
          <t>20260617800541</t>
        </is>
      </c>
      <c r="M4317" s="8">
        <f>HYPERLINK("https://dart.fss.or.kr/dsaf001/main.do?rcpNo=20260617800541", "공시열람")</f>
        <v/>
      </c>
    </row>
    <row r="4318" ht="22" customHeight="1">
      <c r="A4318" s="2" t="inlineStr">
        <is>
          <t>2026-06-17</t>
        </is>
      </c>
      <c r="B4318" s="3" t="inlineStr">
        <is>
          <t>아주IB투자</t>
        </is>
      </c>
      <c r="C4318" s="2" t="inlineStr">
        <is>
          <t>027360</t>
        </is>
      </c>
      <c r="D4318" s="2" t="inlineStr">
        <is>
          <t>대량보유</t>
        </is>
      </c>
      <c r="E4318" s="3" t="inlineStr">
        <is>
          <t>(주)아주</t>
        </is>
      </c>
      <c r="F4318" s="3" t="inlineStr">
        <is>
          <t>특별관계자</t>
        </is>
      </c>
      <c r="G4318" s="3" t="inlineStr">
        <is>
          <t>시간외매매(-)</t>
        </is>
      </c>
      <c r="H4318" s="17" t="n">
        <v>-3634361</v>
      </c>
      <c r="I4318" s="6" t="n">
        <v>8126</v>
      </c>
      <c r="J4318" s="6" t="n">
        <v>62236913</v>
      </c>
      <c r="K4318" s="16" t="n">
        <v>2</v>
      </c>
      <c r="L4318" s="2" t="inlineStr">
        <is>
          <t>20260617000428</t>
        </is>
      </c>
      <c r="M4318" s="8">
        <f>HYPERLINK("https://dart.fss.or.kr/dsaf001/main.do?rcpNo=20260617000428", "공시열람")</f>
        <v/>
      </c>
    </row>
    <row r="4319" ht="22" customHeight="1">
      <c r="A4319" s="2" t="inlineStr">
        <is>
          <t>2026-06-17</t>
        </is>
      </c>
      <c r="B4319" s="3" t="inlineStr">
        <is>
          <t>더네이쳐홀딩스</t>
        </is>
      </c>
      <c r="C4319" s="2" t="inlineStr">
        <is>
          <t>298540</t>
        </is>
      </c>
      <c r="D4319" s="2" t="inlineStr">
        <is>
          <t>대량보유</t>
        </is>
      </c>
      <c r="E4319" s="3" t="inlineStr">
        <is>
          <t>박영옥</t>
        </is>
      </c>
      <c r="F4319" s="3" t="inlineStr">
        <is>
          <t>특별관계자</t>
        </is>
      </c>
      <c r="G4319" s="3" t="inlineStr">
        <is>
          <t>장내매수(+)</t>
        </is>
      </c>
      <c r="H4319" s="15" t="n">
        <v>66082</v>
      </c>
      <c r="I4319" s="6" t="n">
        <v>6140</v>
      </c>
      <c r="J4319" s="6" t="n">
        <v>979313</v>
      </c>
      <c r="K4319" s="16" t="n">
        <v>1</v>
      </c>
      <c r="L4319" s="2" t="inlineStr">
        <is>
          <t>20260617000423</t>
        </is>
      </c>
      <c r="M4319" s="8">
        <f>HYPERLINK("https://dart.fss.or.kr/dsaf001/main.do?rcpNo=20260617000423", "공시열람")</f>
        <v/>
      </c>
    </row>
    <row r="4320" ht="22" customHeight="1">
      <c r="A4320" s="2" t="inlineStr">
        <is>
          <t>2026-06-17</t>
        </is>
      </c>
      <c r="B4320" s="3" t="inlineStr">
        <is>
          <t>BGF</t>
        </is>
      </c>
      <c r="C4320" s="2" t="inlineStr">
        <is>
          <t>027410</t>
        </is>
      </c>
      <c r="D4320" s="2" t="inlineStr">
        <is>
          <t>대량보유</t>
        </is>
      </c>
      <c r="E4320" s="3" t="inlineStr">
        <is>
          <t>홍석현</t>
        </is>
      </c>
      <c r="F4320" s="3" t="inlineStr">
        <is>
          <t>특별관계자</t>
        </is>
      </c>
      <c r="G4320" s="3" t="inlineStr">
        <is>
          <t>장내매도(-)</t>
        </is>
      </c>
      <c r="H4320" s="17" t="n">
        <v>-1021212</v>
      </c>
      <c r="I4320" s="6" t="n">
        <v>4096</v>
      </c>
      <c r="J4320" s="6" t="inlineStr"/>
      <c r="K4320" s="16" t="n">
        <v>25</v>
      </c>
      <c r="L4320" s="2" t="inlineStr">
        <is>
          <t>20260617000416</t>
        </is>
      </c>
      <c r="M4320" s="8">
        <f>HYPERLINK("https://dart.fss.or.kr/dsaf001/main.do?rcpNo=20260617000416", "공시열람")</f>
        <v/>
      </c>
    </row>
    <row r="4321" ht="22" customHeight="1">
      <c r="A4321" s="2" t="inlineStr">
        <is>
          <t>2026-06-17</t>
        </is>
      </c>
      <c r="B4321" s="3" t="inlineStr">
        <is>
          <t>디와이에이</t>
        </is>
      </c>
      <c r="C4321" s="2" t="inlineStr">
        <is>
          <t>002880</t>
        </is>
      </c>
      <c r="D4321" s="2" t="inlineStr">
        <is>
          <t>임원보고</t>
        </is>
      </c>
      <c r="E4321" s="3" t="inlineStr">
        <is>
          <t>-</t>
        </is>
      </c>
      <c r="F4321" s="3" t="inlineStr">
        <is>
          <t>-</t>
        </is>
      </c>
      <c r="G4321" s="3" t="inlineStr">
        <is>
          <t>-</t>
        </is>
      </c>
      <c r="H4321" s="6" t="inlineStr"/>
      <c r="I4321" s="6" t="inlineStr"/>
      <c r="J4321" s="6" t="inlineStr"/>
      <c r="K4321" s="16" t="n">
        <v>12</v>
      </c>
      <c r="L4321" s="2" t="inlineStr">
        <is>
          <t>20260617800512</t>
        </is>
      </c>
      <c r="M4321" s="8">
        <f>HYPERLINK("https://dart.fss.or.kr/dsaf001/main.do?rcpNo=20260617800512", "공시열람")</f>
        <v/>
      </c>
    </row>
    <row r="4322" ht="22" customHeight="1">
      <c r="A4322" s="2" t="inlineStr">
        <is>
          <t>2026-06-17</t>
        </is>
      </c>
      <c r="B4322" s="3" t="inlineStr">
        <is>
          <t>한국첨단소재</t>
        </is>
      </c>
      <c r="C4322" s="2" t="inlineStr">
        <is>
          <t>062970</t>
        </is>
      </c>
      <c r="D4322" s="2" t="inlineStr">
        <is>
          <t>대량보유</t>
        </is>
      </c>
      <c r="E4322" s="3" t="inlineStr">
        <is>
          <t>사토시홀딩스(주)</t>
        </is>
      </c>
      <c r="F4322" s="3" t="inlineStr">
        <is>
          <t>특별관계자</t>
        </is>
      </c>
      <c r="G4322" s="3" t="inlineStr">
        <is>
          <t>유상신주취득(+), 무상신주취득(+)</t>
        </is>
      </c>
      <c r="H4322" s="15" t="n">
        <v>4132112</v>
      </c>
      <c r="I4322" s="6" t="n">
        <v>1043</v>
      </c>
      <c r="J4322" s="6" t="n">
        <v>6932112</v>
      </c>
      <c r="K4322" s="16" t="n">
        <v>3</v>
      </c>
      <c r="L4322" s="2" t="inlineStr">
        <is>
          <t>20260617000405</t>
        </is>
      </c>
      <c r="M4322" s="8">
        <f>HYPERLINK("https://dart.fss.or.kr/dsaf001/main.do?rcpNo=20260617000405", "공시열람")</f>
        <v/>
      </c>
    </row>
    <row r="4323" ht="22" customHeight="1">
      <c r="A4323" s="2" t="inlineStr">
        <is>
          <t>2026-06-17</t>
        </is>
      </c>
      <c r="B4323" s="3" t="inlineStr">
        <is>
          <t>한국첨단소재</t>
        </is>
      </c>
      <c r="C4323" s="2" t="inlineStr">
        <is>
          <t>062970</t>
        </is>
      </c>
      <c r="D4323" s="2" t="inlineStr">
        <is>
          <t>대량보유</t>
        </is>
      </c>
      <c r="E4323" s="3" t="inlineStr">
        <is>
          <t>스페이셜인베스트먼트(주)</t>
        </is>
      </c>
      <c r="F4323" s="3" t="inlineStr">
        <is>
          <t>특별관계자</t>
        </is>
      </c>
      <c r="G4323" s="3" t="inlineStr">
        <is>
          <t>CB인수(+)</t>
        </is>
      </c>
      <c r="H4323" s="15" t="n">
        <v>1784439</v>
      </c>
      <c r="I4323" s="6" t="n">
        <v>2802</v>
      </c>
      <c r="J4323" s="6" t="n">
        <v>1784439</v>
      </c>
      <c r="K4323" s="16" t="n">
        <v>3</v>
      </c>
      <c r="L4323" s="2" t="inlineStr">
        <is>
          <t>20260617000405</t>
        </is>
      </c>
      <c r="M4323" s="8">
        <f>HYPERLINK("https://dart.fss.or.kr/dsaf001/main.do?rcpNo=20260617000405", "공시열람")</f>
        <v/>
      </c>
    </row>
    <row r="4324" ht="22" customHeight="1">
      <c r="A4324" s="2" t="inlineStr">
        <is>
          <t>2026-06-17</t>
        </is>
      </c>
      <c r="B4324" s="3" t="inlineStr">
        <is>
          <t>오텍</t>
        </is>
      </c>
      <c r="C4324" s="2" t="inlineStr">
        <is>
          <t>067170</t>
        </is>
      </c>
      <c r="D4324" s="2" t="inlineStr">
        <is>
          <t>대량보유</t>
        </is>
      </c>
      <c r="E4324" s="3" t="inlineStr">
        <is>
          <t>강성희</t>
        </is>
      </c>
      <c r="F4324" s="3" t="inlineStr">
        <is>
          <t>특별관계자</t>
        </is>
      </c>
      <c r="G4324" s="3" t="inlineStr">
        <is>
          <t>BW인수(+)</t>
        </is>
      </c>
      <c r="H4324" s="15" t="n">
        <v>100000</v>
      </c>
      <c r="I4324" s="6" t="n">
        <v>628</v>
      </c>
      <c r="J4324" s="6" t="n">
        <v>5700780</v>
      </c>
      <c r="K4324" s="16" t="n">
        <v>2</v>
      </c>
      <c r="L4324" s="2" t="inlineStr">
        <is>
          <t>20260617000401</t>
        </is>
      </c>
      <c r="M4324" s="8">
        <f>HYPERLINK("https://dart.fss.or.kr/dsaf001/main.do?rcpNo=20260617000401", "공시열람")</f>
        <v/>
      </c>
    </row>
    <row r="4325" ht="22" customHeight="1">
      <c r="A4325" s="2" t="inlineStr">
        <is>
          <t>2026-06-17</t>
        </is>
      </c>
      <c r="B4325" s="3" t="inlineStr">
        <is>
          <t>오텍</t>
        </is>
      </c>
      <c r="C4325" s="2" t="inlineStr">
        <is>
          <t>067170</t>
        </is>
      </c>
      <c r="D4325" s="2" t="inlineStr">
        <is>
          <t>대량보유</t>
        </is>
      </c>
      <c r="E4325" s="3" t="inlineStr">
        <is>
          <t>강신욱</t>
        </is>
      </c>
      <c r="F4325" s="3" t="inlineStr">
        <is>
          <t>특별관계자</t>
        </is>
      </c>
      <c r="G4325" s="3" t="inlineStr">
        <is>
          <t>BW인수(+)</t>
        </is>
      </c>
      <c r="H4325" s="15" t="n">
        <v>13000</v>
      </c>
      <c r="I4325" s="6" t="n">
        <v>607</v>
      </c>
      <c r="J4325" s="6" t="n">
        <v>1607284</v>
      </c>
      <c r="K4325" s="16" t="n">
        <v>2</v>
      </c>
      <c r="L4325" s="2" t="inlineStr">
        <is>
          <t>20260617000401</t>
        </is>
      </c>
      <c r="M4325" s="8">
        <f>HYPERLINK("https://dart.fss.or.kr/dsaf001/main.do?rcpNo=20260617000401", "공시열람")</f>
        <v/>
      </c>
    </row>
    <row r="4326" ht="22" customHeight="1">
      <c r="A4326" s="2" t="inlineStr">
        <is>
          <t>2026-06-17</t>
        </is>
      </c>
      <c r="B4326" s="3" t="inlineStr">
        <is>
          <t>웰크론</t>
        </is>
      </c>
      <c r="C4326" s="2" t="inlineStr">
        <is>
          <t>065950</t>
        </is>
      </c>
      <c r="D4326" s="2" t="inlineStr">
        <is>
          <t>대량보유</t>
        </is>
      </c>
      <c r="E4326" s="3" t="inlineStr">
        <is>
          <t>신정재</t>
        </is>
      </c>
      <c r="F4326" s="3" t="inlineStr">
        <is>
          <t>특별관계자</t>
        </is>
      </c>
      <c r="G4326" s="3" t="inlineStr">
        <is>
          <t>장내매수(+)</t>
        </is>
      </c>
      <c r="H4326" s="15" t="n">
        <v>43460</v>
      </c>
      <c r="I4326" s="6" t="n">
        <v>1279</v>
      </c>
      <c r="J4326" s="6" t="n">
        <v>505371</v>
      </c>
      <c r="K4326" s="16" t="n">
        <v>10</v>
      </c>
      <c r="L4326" s="2" t="inlineStr">
        <is>
          <t>20260617000400</t>
        </is>
      </c>
      <c r="M4326" s="8">
        <f>HYPERLINK("https://dart.fss.or.kr/dsaf001/main.do?rcpNo=20260617000400", "공시열람")</f>
        <v/>
      </c>
    </row>
    <row r="4327" ht="22" customHeight="1">
      <c r="A4327" s="2" t="inlineStr">
        <is>
          <t>2026-06-17</t>
        </is>
      </c>
      <c r="B4327" s="3" t="inlineStr">
        <is>
          <t>웰크론</t>
        </is>
      </c>
      <c r="C4327" s="2" t="inlineStr">
        <is>
          <t>065950</t>
        </is>
      </c>
      <c r="D4327" s="2" t="inlineStr">
        <is>
          <t>대량보유</t>
        </is>
      </c>
      <c r="E4327" s="3" t="inlineStr">
        <is>
          <t>정성식</t>
        </is>
      </c>
      <c r="F4327" s="3" t="inlineStr">
        <is>
          <t>특별관계자</t>
        </is>
      </c>
      <c r="G4327" s="3" t="inlineStr">
        <is>
          <t>장내매수(+)</t>
        </is>
      </c>
      <c r="H4327" s="15" t="n">
        <v>27979</v>
      </c>
      <c r="I4327" s="6" t="n">
        <v>978</v>
      </c>
      <c r="J4327" s="6" t="n">
        <v>47979</v>
      </c>
      <c r="K4327" s="16" t="n">
        <v>10</v>
      </c>
      <c r="L4327" s="2" t="inlineStr">
        <is>
          <t>20260617000400</t>
        </is>
      </c>
      <c r="M4327" s="8">
        <f>HYPERLINK("https://dart.fss.or.kr/dsaf001/main.do?rcpNo=20260617000400", "공시열람")</f>
        <v/>
      </c>
    </row>
    <row r="4328" ht="22" customHeight="1">
      <c r="A4328" s="2" t="inlineStr">
        <is>
          <t>2026-06-17</t>
        </is>
      </c>
      <c r="B4328" s="3" t="inlineStr">
        <is>
          <t>웰크론</t>
        </is>
      </c>
      <c r="C4328" s="2" t="inlineStr">
        <is>
          <t>065950</t>
        </is>
      </c>
      <c r="D4328" s="2" t="inlineStr">
        <is>
          <t>대량보유</t>
        </is>
      </c>
      <c r="E4328" s="3" t="inlineStr">
        <is>
          <t>주식회사웰크론헬스케어</t>
        </is>
      </c>
      <c r="F4328" s="3" t="inlineStr">
        <is>
          <t>특별관계자</t>
        </is>
      </c>
      <c r="G4328" s="3" t="inlineStr">
        <is>
          <t>장내매수(+)</t>
        </is>
      </c>
      <c r="H4328" s="15" t="n">
        <v>107423</v>
      </c>
      <c r="I4328" s="6" t="n">
        <v>1086</v>
      </c>
      <c r="J4328" s="6" t="n">
        <v>626420</v>
      </c>
      <c r="K4328" s="16" t="n">
        <v>10</v>
      </c>
      <c r="L4328" s="2" t="inlineStr">
        <is>
          <t>20260617000400</t>
        </is>
      </c>
      <c r="M4328" s="8">
        <f>HYPERLINK("https://dart.fss.or.kr/dsaf001/main.do?rcpNo=20260617000400", "공시열람")</f>
        <v/>
      </c>
    </row>
    <row r="4329" ht="22" customHeight="1">
      <c r="A4329" s="2" t="inlineStr">
        <is>
          <t>2026-06-17</t>
        </is>
      </c>
      <c r="B4329" s="3" t="inlineStr">
        <is>
          <t>미래에셋생명</t>
        </is>
      </c>
      <c r="C4329" s="2" t="inlineStr">
        <is>
          <t>085620</t>
        </is>
      </c>
      <c r="D4329" s="2" t="inlineStr">
        <is>
          <t>임원보고</t>
        </is>
      </c>
      <c r="E4329" s="3" t="inlineStr">
        <is>
          <t>-</t>
        </is>
      </c>
      <c r="F4329" s="3" t="inlineStr">
        <is>
          <t>-</t>
        </is>
      </c>
      <c r="G4329" s="3" t="inlineStr">
        <is>
          <t>-</t>
        </is>
      </c>
      <c r="H4329" s="6" t="inlineStr"/>
      <c r="I4329" s="6" t="inlineStr"/>
      <c r="J4329" s="6" t="inlineStr"/>
      <c r="K4329" s="16" t="n">
        <v>12</v>
      </c>
      <c r="L4329" s="2" t="inlineStr">
        <is>
          <t>20260617800469</t>
        </is>
      </c>
      <c r="M4329" s="8">
        <f>HYPERLINK("https://dart.fss.or.kr/dsaf001/main.do?rcpNo=20260617800469", "공시열람")</f>
        <v/>
      </c>
    </row>
    <row r="4330" ht="22" customHeight="1">
      <c r="A4330" s="2" t="inlineStr">
        <is>
          <t>2026-06-17</t>
        </is>
      </c>
      <c r="B4330" s="3" t="inlineStr">
        <is>
          <t>미스토홀딩스</t>
        </is>
      </c>
      <c r="C4330" s="2" t="inlineStr">
        <is>
          <t>081660</t>
        </is>
      </c>
      <c r="D4330" s="2" t="inlineStr">
        <is>
          <t>대량보유</t>
        </is>
      </c>
      <c r="E4330" s="3" t="inlineStr">
        <is>
          <t>(주)피에몬테</t>
        </is>
      </c>
      <c r="F4330" s="3" t="inlineStr">
        <is>
          <t>특별관계자</t>
        </is>
      </c>
      <c r="G4330" s="3" t="inlineStr">
        <is>
          <t>주식담보 대출 이율 변경</t>
        </is>
      </c>
      <c r="H4330" s="6" t="inlineStr"/>
      <c r="I4330" s="6" t="inlineStr"/>
      <c r="J4330" s="6" t="n">
        <v>21522814</v>
      </c>
      <c r="K4330" s="16" t="n">
        <v>3</v>
      </c>
      <c r="L4330" s="2" t="inlineStr">
        <is>
          <t>20260617000383</t>
        </is>
      </c>
      <c r="M4330" s="8">
        <f>HYPERLINK("https://dart.fss.or.kr/dsaf001/main.do?rcpNo=20260617000383", "공시열람")</f>
        <v/>
      </c>
    </row>
    <row r="4331" ht="22" customHeight="1">
      <c r="A4331" s="2" t="inlineStr">
        <is>
          <t>2026-06-17</t>
        </is>
      </c>
      <c r="B4331" s="3" t="inlineStr">
        <is>
          <t>제이엔케이글로벌</t>
        </is>
      </c>
      <c r="C4331" s="2" t="inlineStr">
        <is>
          <t>126880</t>
        </is>
      </c>
      <c r="D4331" s="2" t="inlineStr">
        <is>
          <t>대량보유</t>
        </is>
      </c>
      <c r="E4331" s="3" t="inlineStr">
        <is>
          <t>김방희</t>
        </is>
      </c>
      <c r="F4331" s="3" t="inlineStr">
        <is>
          <t>특별관계자</t>
        </is>
      </c>
      <c r="G4331" s="3" t="inlineStr">
        <is>
          <t>장내매수(+)</t>
        </is>
      </c>
      <c r="H4331" s="15" t="n">
        <v>7000</v>
      </c>
      <c r="I4331" s="6" t="n">
        <v>2887</v>
      </c>
      <c r="J4331" s="6" t="n">
        <v>3580197</v>
      </c>
      <c r="K4331" s="16" t="n">
        <v>2</v>
      </c>
      <c r="L4331" s="2" t="inlineStr">
        <is>
          <t>20260617000382</t>
        </is>
      </c>
      <c r="M4331" s="8">
        <f>HYPERLINK("https://dart.fss.or.kr/dsaf001/main.do?rcpNo=20260617000382", "공시열람")</f>
        <v/>
      </c>
    </row>
    <row r="4332" ht="22" customHeight="1">
      <c r="A4332" s="2" t="inlineStr">
        <is>
          <t>2026-06-17</t>
        </is>
      </c>
      <c r="B4332" s="3" t="inlineStr">
        <is>
          <t>아이티엠반도체</t>
        </is>
      </c>
      <c r="C4332" s="2" t="inlineStr">
        <is>
          <t>084850</t>
        </is>
      </c>
      <c r="D4332" s="2" t="inlineStr">
        <is>
          <t>대량보유</t>
        </is>
      </c>
      <c r="E4332" s="3" t="inlineStr">
        <is>
          <t>(주)나이스홀딩스</t>
        </is>
      </c>
      <c r="F4332" s="3" t="inlineStr">
        <is>
          <t>보고자</t>
        </is>
      </c>
      <c r="G4332" s="3" t="inlineStr">
        <is>
          <t>특별관계자의 주식담보계약 변경</t>
        </is>
      </c>
      <c r="H4332" s="6" t="inlineStr"/>
      <c r="I4332" s="6" t="inlineStr"/>
      <c r="J4332" s="6" t="n">
        <v>13938031</v>
      </c>
      <c r="K4332" s="16" t="n">
        <v>13</v>
      </c>
      <c r="L4332" s="2" t="inlineStr">
        <is>
          <t>20260617000381</t>
        </is>
      </c>
      <c r="M4332" s="8">
        <f>HYPERLINK("https://dart.fss.or.kr/dsaf001/main.do?rcpNo=20260617000381", "공시열람")</f>
        <v/>
      </c>
    </row>
    <row r="4333" ht="22" customHeight="1">
      <c r="A4333" s="2" t="inlineStr">
        <is>
          <t>2026-06-17</t>
        </is>
      </c>
      <c r="B4333" s="3" t="inlineStr">
        <is>
          <t>보해양조</t>
        </is>
      </c>
      <c r="C4333" s="2" t="inlineStr">
        <is>
          <t>000890</t>
        </is>
      </c>
      <c r="D4333" s="2" t="inlineStr">
        <is>
          <t>임원보고</t>
        </is>
      </c>
      <c r="E4333" s="3" t="inlineStr">
        <is>
          <t>-</t>
        </is>
      </c>
      <c r="F4333" s="3" t="inlineStr">
        <is>
          <t>-</t>
        </is>
      </c>
      <c r="G4333" s="3" t="inlineStr">
        <is>
          <t>-</t>
        </is>
      </c>
      <c r="H4333" s="6" t="inlineStr"/>
      <c r="I4333" s="6" t="inlineStr"/>
      <c r="J4333" s="6" t="inlineStr"/>
      <c r="K4333" s="16" t="n">
        <v>12</v>
      </c>
      <c r="L4333" s="2" t="inlineStr">
        <is>
          <t>20260617800449</t>
        </is>
      </c>
      <c r="M4333" s="8">
        <f>HYPERLINK("https://dart.fss.or.kr/dsaf001/main.do?rcpNo=20260617800449", "공시열람")</f>
        <v/>
      </c>
    </row>
    <row r="4334" ht="22" customHeight="1">
      <c r="A4334" s="2" t="inlineStr">
        <is>
          <t>2026-06-17</t>
        </is>
      </c>
      <c r="B4334" s="3" t="inlineStr">
        <is>
          <t>AJ네트웍스</t>
        </is>
      </c>
      <c r="C4334" s="2" t="inlineStr">
        <is>
          <t>095570</t>
        </is>
      </c>
      <c r="D4334" s="2" t="inlineStr">
        <is>
          <t>대량보유</t>
        </is>
      </c>
      <c r="E4334" s="3" t="inlineStr">
        <is>
          <t>문덕영</t>
        </is>
      </c>
      <c r="F4334" s="3" t="inlineStr">
        <is>
          <t>보고자</t>
        </is>
      </c>
      <c r="G4334" s="3" t="inlineStr">
        <is>
          <t>- 보고자 보유주식 등에 관한 주요계약 변경</t>
        </is>
      </c>
      <c r="H4334" s="6" t="inlineStr"/>
      <c r="I4334" s="6" t="inlineStr"/>
      <c r="J4334" s="6" t="n">
        <v>25293893</v>
      </c>
      <c r="K4334" s="16" t="n">
        <v>7</v>
      </c>
      <c r="L4334" s="2" t="inlineStr">
        <is>
          <t>20260617000369</t>
        </is>
      </c>
      <c r="M4334" s="8">
        <f>HYPERLINK("https://dart.fss.or.kr/dsaf001/main.do?rcpNo=20260617000369", "공시열람")</f>
        <v/>
      </c>
    </row>
    <row r="4335" ht="22" customHeight="1">
      <c r="A4335" s="2" t="inlineStr">
        <is>
          <t>2026-06-17</t>
        </is>
      </c>
      <c r="B4335" s="3" t="inlineStr">
        <is>
          <t>디와이</t>
        </is>
      </c>
      <c r="C4335" s="2" t="inlineStr">
        <is>
          <t>013570</t>
        </is>
      </c>
      <c r="D4335" s="2" t="inlineStr">
        <is>
          <t>임원보고</t>
        </is>
      </c>
      <c r="E4335" s="3" t="inlineStr">
        <is>
          <t>-</t>
        </is>
      </c>
      <c r="F4335" s="3" t="inlineStr">
        <is>
          <t>-</t>
        </is>
      </c>
      <c r="G4335" s="3" t="inlineStr">
        <is>
          <t>-</t>
        </is>
      </c>
      <c r="H4335" s="6" t="inlineStr"/>
      <c r="I4335" s="6" t="inlineStr"/>
      <c r="J4335" s="6" t="inlineStr"/>
      <c r="K4335" s="16" t="n">
        <v>12</v>
      </c>
      <c r="L4335" s="2" t="inlineStr">
        <is>
          <t>20260617800430</t>
        </is>
      </c>
      <c r="M4335" s="8">
        <f>HYPERLINK("https://dart.fss.or.kr/dsaf001/main.do?rcpNo=20260617800430", "공시열람")</f>
        <v/>
      </c>
    </row>
    <row r="4336" ht="22" customHeight="1">
      <c r="A4336" s="2" t="inlineStr">
        <is>
          <t>2026-06-17</t>
        </is>
      </c>
      <c r="B4336" s="3" t="inlineStr">
        <is>
          <t>롤링스톤</t>
        </is>
      </c>
      <c r="C4336" s="2" t="inlineStr">
        <is>
          <t>214610</t>
        </is>
      </c>
      <c r="D4336" s="2" t="inlineStr">
        <is>
          <t>대량보유</t>
        </is>
      </c>
      <c r="E4336" s="3" t="inlineStr">
        <is>
          <t>(주)상상인저축은행</t>
        </is>
      </c>
      <c r="F4336" s="3" t="inlineStr">
        <is>
          <t>특별관계자</t>
        </is>
      </c>
      <c r="G4336" s="3" t="inlineStr">
        <is>
          <t>기타(-)</t>
        </is>
      </c>
      <c r="H4336" s="17" t="n">
        <v>-288406</v>
      </c>
      <c r="I4336" s="6" t="n">
        <v>10402</v>
      </c>
      <c r="J4336" s="6" t="inlineStr"/>
      <c r="K4336" s="16" t="n">
        <v>1</v>
      </c>
      <c r="L4336" s="2" t="inlineStr">
        <is>
          <t>20260617000353</t>
        </is>
      </c>
      <c r="M4336" s="8">
        <f>HYPERLINK("https://dart.fss.or.kr/dsaf001/main.do?rcpNo=20260617000353", "공시열람")</f>
        <v/>
      </c>
    </row>
    <row r="4337" ht="22" customHeight="1">
      <c r="A4337" s="2" t="inlineStr">
        <is>
          <t>2026-06-17</t>
        </is>
      </c>
      <c r="B4337" s="3" t="inlineStr">
        <is>
          <t>한국앤컴퍼니</t>
        </is>
      </c>
      <c r="C4337" s="2" t="inlineStr">
        <is>
          <t>000240</t>
        </is>
      </c>
      <c r="D4337" s="2" t="inlineStr">
        <is>
          <t>대량보유</t>
        </is>
      </c>
      <c r="E4337" s="3" t="inlineStr">
        <is>
          <t>조현범</t>
        </is>
      </c>
      <c r="F4337" s="3" t="inlineStr">
        <is>
          <t>보고자</t>
        </is>
      </c>
      <c r="G4337" s="3" t="inlineStr">
        <is>
          <t>보유주식에 관한 계약의 변경</t>
        </is>
      </c>
      <c r="H4337" s="6" t="inlineStr"/>
      <c r="I4337" s="6" t="inlineStr"/>
      <c r="J4337" s="6" t="n">
        <v>44861150</v>
      </c>
      <c r="K4337" s="16" t="n">
        <v>9</v>
      </c>
      <c r="L4337" s="2" t="inlineStr">
        <is>
          <t>20260617000349</t>
        </is>
      </c>
      <c r="M4337" s="8">
        <f>HYPERLINK("https://dart.fss.or.kr/dsaf001/main.do?rcpNo=20260617000349", "공시열람")</f>
        <v/>
      </c>
    </row>
    <row r="4338" ht="22" customHeight="1">
      <c r="A4338" s="2" t="inlineStr">
        <is>
          <t>2026-06-17</t>
        </is>
      </c>
      <c r="B4338" s="3" t="inlineStr">
        <is>
          <t>씨엔알리서치</t>
        </is>
      </c>
      <c r="C4338" s="2" t="inlineStr">
        <is>
          <t>359090</t>
        </is>
      </c>
      <c r="D4338" s="2" t="inlineStr">
        <is>
          <t>대량보유</t>
        </is>
      </c>
      <c r="E4338" s="3" t="inlineStr">
        <is>
          <t>윤문태</t>
        </is>
      </c>
      <c r="F4338" s="3" t="inlineStr">
        <is>
          <t>특별관계자</t>
        </is>
      </c>
      <c r="G4338" s="3" t="inlineStr">
        <is>
          <t>주식병합</t>
        </is>
      </c>
      <c r="H4338" s="17" t="n">
        <v>-11753898</v>
      </c>
      <c r="I4338" s="6" t="inlineStr"/>
      <c r="J4338" s="6" t="n">
        <v>2938474</v>
      </c>
      <c r="K4338" s="16" t="n">
        <v>3</v>
      </c>
      <c r="L4338" s="2" t="inlineStr">
        <is>
          <t>20260617000344</t>
        </is>
      </c>
      <c r="M4338" s="8">
        <f>HYPERLINK("https://dart.fss.or.kr/dsaf001/main.do?rcpNo=20260617000344", "공시열람")</f>
        <v/>
      </c>
    </row>
    <row r="4339" ht="22" customHeight="1">
      <c r="A4339" s="2" t="inlineStr">
        <is>
          <t>2026-06-17</t>
        </is>
      </c>
      <c r="B4339" s="3" t="inlineStr">
        <is>
          <t>씨엔알리서치</t>
        </is>
      </c>
      <c r="C4339" s="2" t="inlineStr">
        <is>
          <t>359090</t>
        </is>
      </c>
      <c r="D4339" s="2" t="inlineStr">
        <is>
          <t>대량보유</t>
        </is>
      </c>
      <c r="E4339" s="3" t="inlineStr">
        <is>
          <t>김은숙</t>
        </is>
      </c>
      <c r="F4339" s="3" t="inlineStr">
        <is>
          <t>특별관계자</t>
        </is>
      </c>
      <c r="G4339" s="3" t="inlineStr">
        <is>
          <t>주식병합</t>
        </is>
      </c>
      <c r="H4339" s="17" t="n">
        <v>-4083147</v>
      </c>
      <c r="I4339" s="6" t="inlineStr"/>
      <c r="J4339" s="6" t="n">
        <v>1020786</v>
      </c>
      <c r="K4339" s="16" t="n">
        <v>3</v>
      </c>
      <c r="L4339" s="2" t="inlineStr">
        <is>
          <t>20260617000344</t>
        </is>
      </c>
      <c r="M4339" s="8">
        <f>HYPERLINK("https://dart.fss.or.kr/dsaf001/main.do?rcpNo=20260617000344", "공시열람")</f>
        <v/>
      </c>
    </row>
    <row r="4340" ht="22" customHeight="1">
      <c r="A4340" s="2" t="inlineStr">
        <is>
          <t>2026-06-17</t>
        </is>
      </c>
      <c r="B4340" s="3" t="inlineStr">
        <is>
          <t>씨엔알리서치</t>
        </is>
      </c>
      <c r="C4340" s="2" t="inlineStr">
        <is>
          <t>359090</t>
        </is>
      </c>
      <c r="D4340" s="2" t="inlineStr">
        <is>
          <t>대량보유</t>
        </is>
      </c>
      <c r="E4340" s="3" t="inlineStr">
        <is>
          <t>윤병인</t>
        </is>
      </c>
      <c r="F4340" s="3" t="inlineStr">
        <is>
          <t>특별관계자</t>
        </is>
      </c>
      <c r="G4340" s="3" t="inlineStr">
        <is>
          <t>주식병합</t>
        </is>
      </c>
      <c r="H4340" s="17" t="n">
        <v>-10030644</v>
      </c>
      <c r="I4340" s="6" t="inlineStr"/>
      <c r="J4340" s="6" t="n">
        <v>2507660</v>
      </c>
      <c r="K4340" s="16" t="n">
        <v>3</v>
      </c>
      <c r="L4340" s="2" t="inlineStr">
        <is>
          <t>20260617000344</t>
        </is>
      </c>
      <c r="M4340" s="8">
        <f>HYPERLINK("https://dart.fss.or.kr/dsaf001/main.do?rcpNo=20260617000344", "공시열람")</f>
        <v/>
      </c>
    </row>
    <row r="4341" ht="22" customHeight="1">
      <c r="A4341" s="2" t="inlineStr">
        <is>
          <t>2026-06-17</t>
        </is>
      </c>
      <c r="B4341" s="3" t="inlineStr">
        <is>
          <t>씨엔알리서치</t>
        </is>
      </c>
      <c r="C4341" s="2" t="inlineStr">
        <is>
          <t>359090</t>
        </is>
      </c>
      <c r="D4341" s="2" t="inlineStr">
        <is>
          <t>대량보유</t>
        </is>
      </c>
      <c r="E4341" s="3" t="inlineStr">
        <is>
          <t>윤병선</t>
        </is>
      </c>
      <c r="F4341" s="3" t="inlineStr">
        <is>
          <t>특별관계자</t>
        </is>
      </c>
      <c r="G4341" s="3" t="inlineStr">
        <is>
          <t>주식병합</t>
        </is>
      </c>
      <c r="H4341" s="17" t="n">
        <v>-3223536</v>
      </c>
      <c r="I4341" s="6" t="inlineStr"/>
      <c r="J4341" s="6" t="n">
        <v>805884</v>
      </c>
      <c r="K4341" s="16" t="n">
        <v>3</v>
      </c>
      <c r="L4341" s="2" t="inlineStr">
        <is>
          <t>20260617000344</t>
        </is>
      </c>
      <c r="M4341" s="8">
        <f>HYPERLINK("https://dart.fss.or.kr/dsaf001/main.do?rcpNo=20260617000344", "공시열람")</f>
        <v/>
      </c>
    </row>
    <row r="4342" ht="22" customHeight="1">
      <c r="A4342" s="2" t="inlineStr">
        <is>
          <t>2026-06-17</t>
        </is>
      </c>
      <c r="B4342" s="3" t="inlineStr">
        <is>
          <t>SH에너지화학</t>
        </is>
      </c>
      <c r="C4342" s="2" t="inlineStr">
        <is>
          <t>002360</t>
        </is>
      </c>
      <c r="D4342" s="2" t="inlineStr">
        <is>
          <t>임원보고</t>
        </is>
      </c>
      <c r="E4342" s="3" t="inlineStr">
        <is>
          <t>-</t>
        </is>
      </c>
      <c r="F4342" s="3" t="inlineStr">
        <is>
          <t>-</t>
        </is>
      </c>
      <c r="G4342" s="3" t="inlineStr">
        <is>
          <t>-</t>
        </is>
      </c>
      <c r="H4342" s="6" t="inlineStr"/>
      <c r="I4342" s="6" t="inlineStr"/>
      <c r="J4342" s="6" t="inlineStr"/>
      <c r="K4342" s="16" t="n">
        <v>12</v>
      </c>
      <c r="L4342" s="2" t="inlineStr">
        <is>
          <t>20260617800375</t>
        </is>
      </c>
      <c r="M4342" s="8">
        <f>HYPERLINK("https://dart.fss.or.kr/dsaf001/main.do?rcpNo=20260617800375", "공시열람")</f>
        <v/>
      </c>
    </row>
    <row r="4343" ht="22" customHeight="1">
      <c r="A4343" s="2" t="inlineStr">
        <is>
          <t>2026-06-17</t>
        </is>
      </c>
      <c r="B4343" s="3" t="inlineStr">
        <is>
          <t>KB금융</t>
        </is>
      </c>
      <c r="C4343" s="2" t="inlineStr">
        <is>
          <t>105560</t>
        </is>
      </c>
      <c r="D4343" s="2" t="inlineStr">
        <is>
          <t>대량보유</t>
        </is>
      </c>
      <c r="E4343" s="3" t="inlineStr">
        <is>
          <t>국민연금기금</t>
        </is>
      </c>
      <c r="F4343" s="3" t="inlineStr">
        <is>
          <t>특별관계자</t>
        </is>
      </c>
      <c r="G4343" s="3" t="inlineStr">
        <is>
          <t>일반투자목적에서 단순투자목적으로 보유목적 변경</t>
        </is>
      </c>
      <c r="H4343" s="17" t="n">
        <v>-240772</v>
      </c>
      <c r="I4343" s="6" t="inlineStr"/>
      <c r="J4343" s="6" t="n">
        <v>33101147</v>
      </c>
      <c r="K4343" s="16" t="n">
        <v>1</v>
      </c>
      <c r="L4343" s="2" t="inlineStr">
        <is>
          <t>20260617000314</t>
        </is>
      </c>
      <c r="M4343" s="8">
        <f>HYPERLINK("https://dart.fss.or.kr/dsaf001/main.do?rcpNo=20260617000314", "공시열람")</f>
        <v/>
      </c>
    </row>
    <row r="4344" ht="22" customHeight="1">
      <c r="A4344" s="2" t="inlineStr">
        <is>
          <t>2026-06-17</t>
        </is>
      </c>
      <c r="B4344" s="3" t="inlineStr">
        <is>
          <t>NH투자증권</t>
        </is>
      </c>
      <c r="C4344" s="2" t="inlineStr">
        <is>
          <t>005940</t>
        </is>
      </c>
      <c r="D4344" s="2" t="inlineStr">
        <is>
          <t>대량보유</t>
        </is>
      </c>
      <c r="E4344" s="3" t="inlineStr">
        <is>
          <t>국민연금기금</t>
        </is>
      </c>
      <c r="F4344" s="3" t="inlineStr">
        <is>
          <t>특별관계자</t>
        </is>
      </c>
      <c r="G4344" s="3" t="inlineStr">
        <is>
          <t>일반투자목적에서 단순투자목적으로 보유목적 변경</t>
        </is>
      </c>
      <c r="H4344" s="17" t="n">
        <v>-1484021</v>
      </c>
      <c r="I4344" s="6" t="inlineStr"/>
      <c r="J4344" s="6" t="n">
        <v>28304200</v>
      </c>
      <c r="K4344" s="16" t="n">
        <v>1</v>
      </c>
      <c r="L4344" s="2" t="inlineStr">
        <is>
          <t>20260617000311</t>
        </is>
      </c>
      <c r="M4344" s="8">
        <f>HYPERLINK("https://dart.fss.or.kr/dsaf001/main.do?rcpNo=20260617000311", "공시열람")</f>
        <v/>
      </c>
    </row>
    <row r="4345" ht="22" customHeight="1">
      <c r="A4345" s="2" t="inlineStr">
        <is>
          <t>2026-06-17</t>
        </is>
      </c>
      <c r="B4345" s="3" t="inlineStr">
        <is>
          <t>대동스틸</t>
        </is>
      </c>
      <c r="C4345" s="2" t="inlineStr">
        <is>
          <t>048470</t>
        </is>
      </c>
      <c r="D4345" s="2" t="inlineStr">
        <is>
          <t>대량보유</t>
        </is>
      </c>
      <c r="E4345" s="3" t="inlineStr">
        <is>
          <t>임주희</t>
        </is>
      </c>
      <c r="F4345" s="3" t="inlineStr">
        <is>
          <t>특별관계자</t>
        </is>
      </c>
      <c r="G4345" s="3" t="inlineStr">
        <is>
          <t>장내매수(+)</t>
        </is>
      </c>
      <c r="H4345" s="15" t="n">
        <v>57913</v>
      </c>
      <c r="I4345" s="6" t="n">
        <v>2899</v>
      </c>
      <c r="J4345" s="6" t="n">
        <v>600100</v>
      </c>
      <c r="K4345" s="16" t="n">
        <v>3</v>
      </c>
      <c r="L4345" s="2" t="inlineStr">
        <is>
          <t>20260617000310</t>
        </is>
      </c>
      <c r="M4345" s="8">
        <f>HYPERLINK("https://dart.fss.or.kr/dsaf001/main.do?rcpNo=20260617000310", "공시열람")</f>
        <v/>
      </c>
    </row>
    <row r="4346" ht="22" customHeight="1">
      <c r="A4346" s="2" t="inlineStr">
        <is>
          <t>2026-06-17</t>
        </is>
      </c>
      <c r="B4346" s="3" t="inlineStr">
        <is>
          <t>대동스틸</t>
        </is>
      </c>
      <c r="C4346" s="2" t="inlineStr">
        <is>
          <t>048470</t>
        </is>
      </c>
      <c r="D4346" s="2" t="inlineStr">
        <is>
          <t>대량보유</t>
        </is>
      </c>
      <c r="E4346" s="3" t="inlineStr">
        <is>
          <t>임지현</t>
        </is>
      </c>
      <c r="F4346" s="3" t="inlineStr">
        <is>
          <t>특별관계자</t>
        </is>
      </c>
      <c r="G4346" s="3" t="inlineStr">
        <is>
          <t>장내매수(+)</t>
        </is>
      </c>
      <c r="H4346" s="15" t="n">
        <v>53411</v>
      </c>
      <c r="I4346" s="6" t="n">
        <v>2924</v>
      </c>
      <c r="J4346" s="6" t="n">
        <v>501126</v>
      </c>
      <c r="K4346" s="16" t="n">
        <v>3</v>
      </c>
      <c r="L4346" s="2" t="inlineStr">
        <is>
          <t>20260617000310</t>
        </is>
      </c>
      <c r="M4346" s="8">
        <f>HYPERLINK("https://dart.fss.or.kr/dsaf001/main.do?rcpNo=20260617000310", "공시열람")</f>
        <v/>
      </c>
    </row>
    <row r="4347" ht="22" customHeight="1">
      <c r="A4347" s="2" t="inlineStr">
        <is>
          <t>2026-06-17</t>
        </is>
      </c>
      <c r="B4347" s="3" t="inlineStr">
        <is>
          <t>금강공업</t>
        </is>
      </c>
      <c r="C4347" s="2" t="inlineStr">
        <is>
          <t>014280</t>
        </is>
      </c>
      <c r="D4347" s="2" t="inlineStr">
        <is>
          <t>대량보유</t>
        </is>
      </c>
      <c r="E4347" s="3" t="inlineStr">
        <is>
          <t>안영순</t>
        </is>
      </c>
      <c r="F4347" s="3" t="inlineStr">
        <is>
          <t>보고자</t>
        </is>
      </c>
      <c r="G4347" s="3" t="inlineStr">
        <is>
          <t>주식 담보대출 만기 연장</t>
        </is>
      </c>
      <c r="H4347" s="6" t="inlineStr"/>
      <c r="I4347" s="6" t="inlineStr"/>
      <c r="J4347" s="6" t="n">
        <v>11608057</v>
      </c>
      <c r="K4347" s="16" t="n">
        <v>7</v>
      </c>
      <c r="L4347" s="2" t="inlineStr">
        <is>
          <t>20260617000305</t>
        </is>
      </c>
      <c r="M4347" s="8">
        <f>HYPERLINK("https://dart.fss.or.kr/dsaf001/main.do?rcpNo=20260617000305", "공시열람")</f>
        <v/>
      </c>
    </row>
    <row r="4348" ht="22" customHeight="1">
      <c r="A4348" s="2" t="inlineStr">
        <is>
          <t>2026-06-17</t>
        </is>
      </c>
      <c r="B4348" s="3" t="inlineStr">
        <is>
          <t>대동스틸</t>
        </is>
      </c>
      <c r="C4348" s="2" t="inlineStr">
        <is>
          <t>048470</t>
        </is>
      </c>
      <c r="D4348" s="2" t="inlineStr">
        <is>
          <t>대량보유</t>
        </is>
      </c>
      <c r="E4348" s="3" t="inlineStr">
        <is>
          <t>임주희</t>
        </is>
      </c>
      <c r="F4348" s="3" t="inlineStr">
        <is>
          <t>특별관계자</t>
        </is>
      </c>
      <c r="G4348" s="3" t="inlineStr">
        <is>
          <t>대표보고자 변경</t>
        </is>
      </c>
      <c r="H4348" s="15" t="n">
        <v>542187</v>
      </c>
      <c r="I4348" s="6" t="inlineStr"/>
      <c r="J4348" s="6" t="n">
        <v>542187</v>
      </c>
      <c r="K4348" s="16" t="n">
        <v>3</v>
      </c>
      <c r="L4348" s="2" t="inlineStr">
        <is>
          <t>20260617000285</t>
        </is>
      </c>
      <c r="M4348" s="8">
        <f>HYPERLINK("https://dart.fss.or.kr/dsaf001/main.do?rcpNo=20260617000285", "공시열람")</f>
        <v/>
      </c>
    </row>
    <row r="4349" ht="22" customHeight="1">
      <c r="A4349" s="2" t="inlineStr">
        <is>
          <t>2026-06-17</t>
        </is>
      </c>
      <c r="B4349" s="3" t="inlineStr">
        <is>
          <t>대동스틸</t>
        </is>
      </c>
      <c r="C4349" s="2" t="inlineStr">
        <is>
          <t>048470</t>
        </is>
      </c>
      <c r="D4349" s="2" t="inlineStr">
        <is>
          <t>대량보유</t>
        </is>
      </c>
      <c r="E4349" s="3" t="inlineStr">
        <is>
          <t>임형기</t>
        </is>
      </c>
      <c r="F4349" s="3" t="inlineStr">
        <is>
          <t>특별관계자</t>
        </is>
      </c>
      <c r="G4349" s="3" t="inlineStr">
        <is>
          <t>대표보고자 변경</t>
        </is>
      </c>
      <c r="H4349" s="15" t="n">
        <v>2009247</v>
      </c>
      <c r="I4349" s="6" t="inlineStr"/>
      <c r="J4349" s="6" t="n">
        <v>2009247</v>
      </c>
      <c r="K4349" s="16" t="n">
        <v>3</v>
      </c>
      <c r="L4349" s="2" t="inlineStr">
        <is>
          <t>20260617000285</t>
        </is>
      </c>
      <c r="M4349" s="8">
        <f>HYPERLINK("https://dart.fss.or.kr/dsaf001/main.do?rcpNo=20260617000285", "공시열람")</f>
        <v/>
      </c>
    </row>
    <row r="4350" ht="22" customHeight="1">
      <c r="A4350" s="2" t="inlineStr">
        <is>
          <t>2026-06-17</t>
        </is>
      </c>
      <c r="B4350" s="3" t="inlineStr">
        <is>
          <t>대동스틸</t>
        </is>
      </c>
      <c r="C4350" s="2" t="inlineStr">
        <is>
          <t>048470</t>
        </is>
      </c>
      <c r="D4350" s="2" t="inlineStr">
        <is>
          <t>대량보유</t>
        </is>
      </c>
      <c r="E4350" s="3" t="inlineStr">
        <is>
          <t>오수복</t>
        </is>
      </c>
      <c r="F4350" s="3" t="inlineStr">
        <is>
          <t>특별관계자</t>
        </is>
      </c>
      <c r="G4350" s="3" t="inlineStr">
        <is>
          <t>대표보고자 변경</t>
        </is>
      </c>
      <c r="H4350" s="15" t="n">
        <v>1000000</v>
      </c>
      <c r="I4350" s="6" t="inlineStr"/>
      <c r="J4350" s="6" t="n">
        <v>1000000</v>
      </c>
      <c r="K4350" s="16" t="n">
        <v>3</v>
      </c>
      <c r="L4350" s="2" t="inlineStr">
        <is>
          <t>20260617000285</t>
        </is>
      </c>
      <c r="M4350" s="8">
        <f>HYPERLINK("https://dart.fss.or.kr/dsaf001/main.do?rcpNo=20260617000285", "공시열람")</f>
        <v/>
      </c>
    </row>
    <row r="4351" ht="22" customHeight="1">
      <c r="A4351" s="2" t="inlineStr">
        <is>
          <t>2026-06-17</t>
        </is>
      </c>
      <c r="B4351" s="3" t="inlineStr">
        <is>
          <t>대동스틸</t>
        </is>
      </c>
      <c r="C4351" s="2" t="inlineStr">
        <is>
          <t>048470</t>
        </is>
      </c>
      <c r="D4351" s="2" t="inlineStr">
        <is>
          <t>대량보유</t>
        </is>
      </c>
      <c r="E4351" s="3" t="inlineStr">
        <is>
          <t>임지현</t>
        </is>
      </c>
      <c r="F4351" s="3" t="inlineStr">
        <is>
          <t>특별관계자</t>
        </is>
      </c>
      <c r="G4351" s="3" t="inlineStr">
        <is>
          <t>대표보고자 변경</t>
        </is>
      </c>
      <c r="H4351" s="15" t="n">
        <v>447715</v>
      </c>
      <c r="I4351" s="6" t="inlineStr"/>
      <c r="J4351" s="6" t="n">
        <v>447715</v>
      </c>
      <c r="K4351" s="16" t="n">
        <v>3</v>
      </c>
      <c r="L4351" s="2" t="inlineStr">
        <is>
          <t>20260617000285</t>
        </is>
      </c>
      <c r="M4351" s="8">
        <f>HYPERLINK("https://dart.fss.or.kr/dsaf001/main.do?rcpNo=20260617000285", "공시열람")</f>
        <v/>
      </c>
    </row>
    <row r="4352" ht="22" customHeight="1">
      <c r="A4352" s="2" t="inlineStr">
        <is>
          <t>2026-06-17</t>
        </is>
      </c>
      <c r="B4352" s="3" t="inlineStr">
        <is>
          <t>천보</t>
        </is>
      </c>
      <c r="C4352" s="2" t="inlineStr">
        <is>
          <t>278280</t>
        </is>
      </c>
      <c r="D4352" s="2" t="inlineStr">
        <is>
          <t>대량보유</t>
        </is>
      </c>
      <c r="E4352" s="3" t="inlineStr">
        <is>
          <t>우동희</t>
        </is>
      </c>
      <c r="F4352" s="3" t="inlineStr">
        <is>
          <t>특별관계자</t>
        </is>
      </c>
      <c r="G4352" s="3" t="inlineStr">
        <is>
          <t>신규선임(유상취득)(+)</t>
        </is>
      </c>
      <c r="H4352" s="15" t="n">
        <v>190</v>
      </c>
      <c r="I4352" s="6" t="n">
        <v>50763</v>
      </c>
      <c r="J4352" s="6" t="n">
        <v>190</v>
      </c>
      <c r="K4352" s="16" t="n">
        <v>14</v>
      </c>
      <c r="L4352" s="2" t="inlineStr">
        <is>
          <t>20260617000253</t>
        </is>
      </c>
      <c r="M4352" s="8">
        <f>HYPERLINK("https://dart.fss.or.kr/dsaf001/main.do?rcpNo=20260617000253", "공시열람")</f>
        <v/>
      </c>
    </row>
    <row r="4353" ht="22" customHeight="1">
      <c r="A4353" s="2" t="inlineStr">
        <is>
          <t>2026-06-17</t>
        </is>
      </c>
      <c r="B4353" s="3" t="inlineStr">
        <is>
          <t>천보</t>
        </is>
      </c>
      <c r="C4353" s="2" t="inlineStr">
        <is>
          <t>278280</t>
        </is>
      </c>
      <c r="D4353" s="2" t="inlineStr">
        <is>
          <t>대량보유</t>
        </is>
      </c>
      <c r="E4353" s="3" t="inlineStr">
        <is>
          <t>이근필</t>
        </is>
      </c>
      <c r="F4353" s="3" t="inlineStr">
        <is>
          <t>특별관계자</t>
        </is>
      </c>
      <c r="G4353" s="3" t="inlineStr">
        <is>
          <t>장내매수(+)</t>
        </is>
      </c>
      <c r="H4353" s="15" t="n">
        <v>301</v>
      </c>
      <c r="I4353" s="6" t="n">
        <v>38507</v>
      </c>
      <c r="J4353" s="6" t="n">
        <v>301</v>
      </c>
      <c r="K4353" s="16" t="n">
        <v>14</v>
      </c>
      <c r="L4353" s="2" t="inlineStr">
        <is>
          <t>20260617000253</t>
        </is>
      </c>
      <c r="M4353" s="8">
        <f>HYPERLINK("https://dart.fss.or.kr/dsaf001/main.do?rcpNo=20260617000253", "공시열람")</f>
        <v/>
      </c>
    </row>
    <row r="4354" ht="22" customHeight="1">
      <c r="A4354" s="2" t="inlineStr">
        <is>
          <t>2026-06-17</t>
        </is>
      </c>
      <c r="B4354" s="3" t="inlineStr">
        <is>
          <t>로젠</t>
        </is>
      </c>
      <c r="C4354" s="2" t="inlineStr">
        <is>
          <t>033290</t>
        </is>
      </c>
      <c r="D4354" s="2" t="inlineStr">
        <is>
          <t>대량보유</t>
        </is>
      </c>
      <c r="E4354" s="3" t="inlineStr">
        <is>
          <t>(주)대명화학</t>
        </is>
      </c>
      <c r="F4354" s="3" t="inlineStr">
        <is>
          <t>보고자</t>
        </is>
      </c>
      <c r="G4354" s="3" t="inlineStr">
        <is>
          <t>주식담보계약 등의 주요계약 일부변경(만기연장,추가담보,일부상환)</t>
        </is>
      </c>
      <c r="H4354" s="6" t="inlineStr"/>
      <c r="I4354" s="6" t="inlineStr"/>
      <c r="J4354" s="6" t="n">
        <v>38047192</v>
      </c>
      <c r="K4354" s="16" t="n">
        <v>3</v>
      </c>
      <c r="L4354" s="2" t="inlineStr">
        <is>
          <t>20260617000243</t>
        </is>
      </c>
      <c r="M4354" s="8">
        <f>HYPERLINK("https://dart.fss.or.kr/dsaf001/main.do?rcpNo=20260617000243", "공시열람")</f>
        <v/>
      </c>
    </row>
    <row r="4355" ht="22" customHeight="1">
      <c r="A4355" s="2" t="inlineStr">
        <is>
          <t>2026-06-17</t>
        </is>
      </c>
      <c r="B4355" s="3" t="inlineStr">
        <is>
          <t>모비데이즈</t>
        </is>
      </c>
      <c r="C4355" s="2" t="inlineStr">
        <is>
          <t>363260</t>
        </is>
      </c>
      <c r="D4355" s="2" t="inlineStr">
        <is>
          <t>대량보유</t>
        </is>
      </c>
      <c r="E4355" s="3" t="inlineStr">
        <is>
          <t>유범령</t>
        </is>
      </c>
      <c r="F4355" s="3" t="inlineStr">
        <is>
          <t>특별관계자</t>
        </is>
      </c>
      <c r="G4355" s="3" t="inlineStr">
        <is>
          <t>- 주식담보대출 일부 상환에 따른 담보제공 주식 수 변경- 주식담보계약 대출기간 연장</t>
        </is>
      </c>
      <c r="H4355" s="6" t="inlineStr"/>
      <c r="I4355" s="6" t="inlineStr"/>
      <c r="J4355" s="6" t="n">
        <v>16068286</v>
      </c>
      <c r="K4355" s="16" t="n">
        <v>1</v>
      </c>
      <c r="L4355" s="2" t="inlineStr">
        <is>
          <t>20260617000238</t>
        </is>
      </c>
      <c r="M4355" s="8">
        <f>HYPERLINK("https://dart.fss.or.kr/dsaf001/main.do?rcpNo=20260617000238", "공시열람")</f>
        <v/>
      </c>
    </row>
    <row r="4356" ht="22" customHeight="1">
      <c r="A4356" s="2" t="inlineStr">
        <is>
          <t>2026-06-17</t>
        </is>
      </c>
      <c r="B4356" s="3" t="inlineStr">
        <is>
          <t>대동스틸</t>
        </is>
      </c>
      <c r="C4356" s="2" t="inlineStr">
        <is>
          <t>048470</t>
        </is>
      </c>
      <c r="D4356" s="2" t="inlineStr">
        <is>
          <t>대량보유</t>
        </is>
      </c>
      <c r="E4356" s="3" t="inlineStr">
        <is>
          <t>임형기</t>
        </is>
      </c>
      <c r="F4356" s="3" t="inlineStr">
        <is>
          <t>특별관계자</t>
        </is>
      </c>
      <c r="G4356" s="3" t="inlineStr">
        <is>
          <t>대표보고자 변경</t>
        </is>
      </c>
      <c r="H4356" s="17" t="n">
        <v>-2009247</v>
      </c>
      <c r="I4356" s="6" t="inlineStr"/>
      <c r="J4356" s="6" t="inlineStr"/>
      <c r="K4356" s="16" t="n">
        <v>3</v>
      </c>
      <c r="L4356" s="2" t="inlineStr">
        <is>
          <t>20260617000225</t>
        </is>
      </c>
      <c r="M4356" s="8">
        <f>HYPERLINK("https://dart.fss.or.kr/dsaf001/main.do?rcpNo=20260617000225", "공시열람")</f>
        <v/>
      </c>
    </row>
    <row r="4357" ht="22" customHeight="1">
      <c r="A4357" s="2" t="inlineStr">
        <is>
          <t>2026-06-17</t>
        </is>
      </c>
      <c r="B4357" s="3" t="inlineStr">
        <is>
          <t>대동스틸</t>
        </is>
      </c>
      <c r="C4357" s="2" t="inlineStr">
        <is>
          <t>048470</t>
        </is>
      </c>
      <c r="D4357" s="2" t="inlineStr">
        <is>
          <t>대량보유</t>
        </is>
      </c>
      <c r="E4357" s="3" t="inlineStr">
        <is>
          <t>오수복</t>
        </is>
      </c>
      <c r="F4357" s="3" t="inlineStr">
        <is>
          <t>특별관계자</t>
        </is>
      </c>
      <c r="G4357" s="3" t="inlineStr">
        <is>
          <t>대표보고자 변경</t>
        </is>
      </c>
      <c r="H4357" s="17" t="n">
        <v>-1000000</v>
      </c>
      <c r="I4357" s="6" t="inlineStr"/>
      <c r="J4357" s="6" t="inlineStr"/>
      <c r="K4357" s="16" t="n">
        <v>3</v>
      </c>
      <c r="L4357" s="2" t="inlineStr">
        <is>
          <t>20260617000225</t>
        </is>
      </c>
      <c r="M4357" s="8">
        <f>HYPERLINK("https://dart.fss.or.kr/dsaf001/main.do?rcpNo=20260617000225", "공시열람")</f>
        <v/>
      </c>
    </row>
    <row r="4358" ht="22" customHeight="1">
      <c r="A4358" s="2" t="inlineStr">
        <is>
          <t>2026-06-17</t>
        </is>
      </c>
      <c r="B4358" s="3" t="inlineStr">
        <is>
          <t>대동스틸</t>
        </is>
      </c>
      <c r="C4358" s="2" t="inlineStr">
        <is>
          <t>048470</t>
        </is>
      </c>
      <c r="D4358" s="2" t="inlineStr">
        <is>
          <t>대량보유</t>
        </is>
      </c>
      <c r="E4358" s="3" t="inlineStr">
        <is>
          <t>임주희</t>
        </is>
      </c>
      <c r="F4358" s="3" t="inlineStr">
        <is>
          <t>특별관계자</t>
        </is>
      </c>
      <c r="G4358" s="3" t="inlineStr">
        <is>
          <t>대표보고자 변경</t>
        </is>
      </c>
      <c r="H4358" s="17" t="n">
        <v>-542187</v>
      </c>
      <c r="I4358" s="6" t="inlineStr"/>
      <c r="J4358" s="6" t="inlineStr"/>
      <c r="K4358" s="16" t="n">
        <v>3</v>
      </c>
      <c r="L4358" s="2" t="inlineStr">
        <is>
          <t>20260617000225</t>
        </is>
      </c>
      <c r="M4358" s="8">
        <f>HYPERLINK("https://dart.fss.or.kr/dsaf001/main.do?rcpNo=20260617000225", "공시열람")</f>
        <v/>
      </c>
    </row>
    <row r="4359" ht="22" customHeight="1">
      <c r="A4359" s="2" t="inlineStr">
        <is>
          <t>2026-06-17</t>
        </is>
      </c>
      <c r="B4359" s="3" t="inlineStr">
        <is>
          <t>대동스틸</t>
        </is>
      </c>
      <c r="C4359" s="2" t="inlineStr">
        <is>
          <t>048470</t>
        </is>
      </c>
      <c r="D4359" s="2" t="inlineStr">
        <is>
          <t>대량보유</t>
        </is>
      </c>
      <c r="E4359" s="3" t="inlineStr">
        <is>
          <t>임지현</t>
        </is>
      </c>
      <c r="F4359" s="3" t="inlineStr">
        <is>
          <t>특별관계자</t>
        </is>
      </c>
      <c r="G4359" s="3" t="inlineStr">
        <is>
          <t>대표보고자 변경</t>
        </is>
      </c>
      <c r="H4359" s="17" t="n">
        <v>-447715</v>
      </c>
      <c r="I4359" s="6" t="inlineStr"/>
      <c r="J4359" s="6" t="inlineStr"/>
      <c r="K4359" s="16" t="n">
        <v>3</v>
      </c>
      <c r="L4359" s="2" t="inlineStr">
        <is>
          <t>20260617000225</t>
        </is>
      </c>
      <c r="M4359" s="8">
        <f>HYPERLINK("https://dart.fss.or.kr/dsaf001/main.do?rcpNo=20260617000225", "공시열람")</f>
        <v/>
      </c>
    </row>
    <row r="4360" ht="22" customHeight="1">
      <c r="A4360" s="2" t="inlineStr">
        <is>
          <t>2026-06-17</t>
        </is>
      </c>
      <c r="B4360" s="3" t="inlineStr">
        <is>
          <t>풀무원</t>
        </is>
      </c>
      <c r="C4360" s="2" t="inlineStr">
        <is>
          <t>017810</t>
        </is>
      </c>
      <c r="D4360" s="2" t="inlineStr">
        <is>
          <t>임원보고</t>
        </is>
      </c>
      <c r="E4360" s="3" t="inlineStr">
        <is>
          <t>-</t>
        </is>
      </c>
      <c r="F4360" s="3" t="inlineStr">
        <is>
          <t>-</t>
        </is>
      </c>
      <c r="G4360" s="3" t="inlineStr">
        <is>
          <t>-</t>
        </is>
      </c>
      <c r="H4360" s="6" t="inlineStr"/>
      <c r="I4360" s="6" t="inlineStr"/>
      <c r="J4360" s="6" t="inlineStr"/>
      <c r="K4360" s="16" t="n">
        <v>12</v>
      </c>
      <c r="L4360" s="2" t="inlineStr">
        <is>
          <t>20260617800282</t>
        </is>
      </c>
      <c r="M4360" s="8">
        <f>HYPERLINK("https://dart.fss.or.kr/dsaf001/main.do?rcpNo=20260617800282", "공시열람")</f>
        <v/>
      </c>
    </row>
    <row r="4361" ht="22" customHeight="1">
      <c r="A4361" s="2" t="inlineStr">
        <is>
          <t>2026-06-17</t>
        </is>
      </c>
      <c r="B4361" s="3" t="inlineStr">
        <is>
          <t>풀무원</t>
        </is>
      </c>
      <c r="C4361" s="2" t="inlineStr">
        <is>
          <t>017810</t>
        </is>
      </c>
      <c r="D4361" s="2" t="inlineStr">
        <is>
          <t>대량보유</t>
        </is>
      </c>
      <c r="E4361" s="3" t="inlineStr">
        <is>
          <t>이상준</t>
        </is>
      </c>
      <c r="F4361" s="3" t="inlineStr">
        <is>
          <t>특별관계자</t>
        </is>
      </c>
      <c r="G4361" s="3" t="inlineStr">
        <is>
          <t>장내매수(+)</t>
        </is>
      </c>
      <c r="H4361" s="15" t="n">
        <v>2019</v>
      </c>
      <c r="I4361" s="6" t="n">
        <v>9494</v>
      </c>
      <c r="J4361" s="6" t="n">
        <v>2019</v>
      </c>
      <c r="K4361" s="16" t="n">
        <v>24</v>
      </c>
      <c r="L4361" s="2" t="inlineStr">
        <is>
          <t>20260617000213</t>
        </is>
      </c>
      <c r="M4361" s="8">
        <f>HYPERLINK("https://dart.fss.or.kr/dsaf001/main.do?rcpNo=20260617000213", "공시열람")</f>
        <v/>
      </c>
    </row>
    <row r="4362" ht="22" customHeight="1">
      <c r="A4362" s="2" t="inlineStr">
        <is>
          <t>2026-06-17</t>
        </is>
      </c>
      <c r="B4362" s="3" t="inlineStr">
        <is>
          <t>에브리봇</t>
        </is>
      </c>
      <c r="C4362" s="2" t="inlineStr">
        <is>
          <t>270660</t>
        </is>
      </c>
      <c r="D4362" s="2" t="inlineStr">
        <is>
          <t>대량보유</t>
        </is>
      </c>
      <c r="E4362" s="3" t="inlineStr">
        <is>
          <t>KB자산운용</t>
        </is>
      </c>
      <c r="F4362" s="3" t="inlineStr">
        <is>
          <t>특별관계자</t>
        </is>
      </c>
      <c r="G4362" s="3" t="inlineStr">
        <is>
          <t>신규등록(+), 기타(+), 장내매수(+), 기타(-), 장내매도(-)</t>
        </is>
      </c>
      <c r="H4362" s="15" t="n">
        <v>687980</v>
      </c>
      <c r="I4362" s="6" t="n">
        <v>16501</v>
      </c>
      <c r="J4362" s="6" t="n">
        <v>687980</v>
      </c>
      <c r="K4362" s="16" t="n">
        <v>5.42</v>
      </c>
      <c r="L4362" s="2" t="inlineStr">
        <is>
          <t>20260617000174</t>
        </is>
      </c>
      <c r="M4362" s="8">
        <f>HYPERLINK("https://dart.fss.or.kr/dsaf001/main.do?rcpNo=20260617000174", "공시열람")</f>
        <v/>
      </c>
    </row>
    <row r="4363" ht="22" customHeight="1">
      <c r="A4363" s="2" t="inlineStr">
        <is>
          <t>2026-06-17</t>
        </is>
      </c>
      <c r="B4363" s="3" t="inlineStr">
        <is>
          <t>알에스오토메이션</t>
        </is>
      </c>
      <c r="C4363" s="2" t="inlineStr">
        <is>
          <t>140670</t>
        </is>
      </c>
      <c r="D4363" s="2" t="inlineStr">
        <is>
          <t>대량보유</t>
        </is>
      </c>
      <c r="E4363" s="3" t="inlineStr">
        <is>
          <t>KB자산운용</t>
        </is>
      </c>
      <c r="F4363" s="3" t="inlineStr">
        <is>
          <t>특별관계자</t>
        </is>
      </c>
      <c r="G4363" s="3" t="inlineStr">
        <is>
          <t>신규등록(+), 기타(+), 장내매수(+), 기타(-), 장내매도(-)</t>
        </is>
      </c>
      <c r="H4363" s="15" t="n">
        <v>740830</v>
      </c>
      <c r="I4363" s="6" t="n">
        <v>13591</v>
      </c>
      <c r="J4363" s="6" t="n">
        <v>740830</v>
      </c>
      <c r="K4363" s="16" t="n">
        <v>5.77</v>
      </c>
      <c r="L4363" s="2" t="inlineStr">
        <is>
          <t>20260617000173</t>
        </is>
      </c>
      <c r="M4363" s="8">
        <f>HYPERLINK("https://dart.fss.or.kr/dsaf001/main.do?rcpNo=20260617000173", "공시열람")</f>
        <v/>
      </c>
    </row>
    <row r="4364" ht="22" customHeight="1">
      <c r="A4364" s="2" t="inlineStr">
        <is>
          <t>2026-06-17</t>
        </is>
      </c>
      <c r="B4364" s="3" t="inlineStr">
        <is>
          <t>글로벌에스엠</t>
        </is>
      </c>
      <c r="C4364" s="2" t="inlineStr">
        <is>
          <t>900070</t>
        </is>
      </c>
      <c r="D4364" s="2" t="inlineStr">
        <is>
          <t>대량보유</t>
        </is>
      </c>
      <c r="E4364" s="3" t="inlineStr">
        <is>
          <t>(주)서울메탈홀딩스</t>
        </is>
      </c>
      <c r="F4364" s="3" t="inlineStr">
        <is>
          <t>특별관계자</t>
        </is>
      </c>
      <c r="G4364" s="3" t="inlineStr">
        <is>
          <t>주식병합</t>
        </is>
      </c>
      <c r="H4364" s="17" t="n">
        <v>-10250373</v>
      </c>
      <c r="I4364" s="6" t="inlineStr"/>
      <c r="J4364" s="6" t="n">
        <v>10250373</v>
      </c>
      <c r="K4364" s="16" t="n">
        <v>4</v>
      </c>
      <c r="L4364" s="2" t="inlineStr">
        <is>
          <t>20260617000164</t>
        </is>
      </c>
      <c r="M4364" s="8">
        <f>HYPERLINK("https://dart.fss.or.kr/dsaf001/main.do?rcpNo=20260617000164", "공시열람")</f>
        <v/>
      </c>
    </row>
    <row r="4365" ht="22" customHeight="1">
      <c r="A4365" s="2" t="inlineStr">
        <is>
          <t>2026-06-17</t>
        </is>
      </c>
      <c r="B4365" s="3" t="inlineStr">
        <is>
          <t>글로벌에스엠</t>
        </is>
      </c>
      <c r="C4365" s="2" t="inlineStr">
        <is>
          <t>900070</t>
        </is>
      </c>
      <c r="D4365" s="2" t="inlineStr">
        <is>
          <t>대량보유</t>
        </is>
      </c>
      <c r="E4365" s="3" t="inlineStr">
        <is>
          <t>SEOULMETAL(H.K.)CO.LIMITED</t>
        </is>
      </c>
      <c r="F4365" s="3" t="inlineStr">
        <is>
          <t>특별관계자</t>
        </is>
      </c>
      <c r="G4365" s="3" t="inlineStr">
        <is>
          <t>주식병합, 장내매수(+)</t>
        </is>
      </c>
      <c r="H4365" s="17" t="n">
        <v>-292398</v>
      </c>
      <c r="I4365" s="6" t="n">
        <v>1105</v>
      </c>
      <c r="J4365" s="6" t="n">
        <v>892397</v>
      </c>
      <c r="K4365" s="16" t="n">
        <v>4</v>
      </c>
      <c r="L4365" s="2" t="inlineStr">
        <is>
          <t>20260617000164</t>
        </is>
      </c>
      <c r="M4365" s="8">
        <f>HYPERLINK("https://dart.fss.or.kr/dsaf001/main.do?rcpNo=20260617000164", "공시열람")</f>
        <v/>
      </c>
    </row>
    <row r="4366" ht="22" customHeight="1">
      <c r="A4366" s="2" t="inlineStr">
        <is>
          <t>2026-06-17</t>
        </is>
      </c>
      <c r="B4366" s="3" t="inlineStr">
        <is>
          <t>글로벌에스엠</t>
        </is>
      </c>
      <c r="C4366" s="2" t="inlineStr">
        <is>
          <t>900070</t>
        </is>
      </c>
      <c r="D4366" s="2" t="inlineStr">
        <is>
          <t>대량보유</t>
        </is>
      </c>
      <c r="E4366" s="3" t="inlineStr">
        <is>
          <t>나윤환</t>
        </is>
      </c>
      <c r="F4366" s="3" t="inlineStr">
        <is>
          <t>특별관계자</t>
        </is>
      </c>
      <c r="G4366" s="3" t="inlineStr">
        <is>
          <t>주식병합</t>
        </is>
      </c>
      <c r="H4366" s="17" t="n">
        <v>-775686</v>
      </c>
      <c r="I4366" s="6" t="inlineStr"/>
      <c r="J4366" s="6" t="n">
        <v>775685</v>
      </c>
      <c r="K4366" s="16" t="n">
        <v>4</v>
      </c>
      <c r="L4366" s="2" t="inlineStr">
        <is>
          <t>20260617000164</t>
        </is>
      </c>
      <c r="M4366" s="8">
        <f>HYPERLINK("https://dart.fss.or.kr/dsaf001/main.do?rcpNo=20260617000164", "공시열람")</f>
        <v/>
      </c>
    </row>
    <row r="4367" ht="22" customHeight="1">
      <c r="A4367" s="2" t="inlineStr">
        <is>
          <t>2026-06-17</t>
        </is>
      </c>
      <c r="B4367" s="3" t="inlineStr">
        <is>
          <t>글로벌에스엠</t>
        </is>
      </c>
      <c r="C4367" s="2" t="inlineStr">
        <is>
          <t>900070</t>
        </is>
      </c>
      <c r="D4367" s="2" t="inlineStr">
        <is>
          <t>대량보유</t>
        </is>
      </c>
      <c r="E4367" s="3" t="inlineStr">
        <is>
          <t>나윤용</t>
        </is>
      </c>
      <c r="F4367" s="3" t="inlineStr">
        <is>
          <t>특별관계자</t>
        </is>
      </c>
      <c r="G4367" s="3" t="inlineStr">
        <is>
          <t>주식병합</t>
        </is>
      </c>
      <c r="H4367" s="17" t="n">
        <v>-612894</v>
      </c>
      <c r="I4367" s="6" t="inlineStr"/>
      <c r="J4367" s="6" t="n">
        <v>612893</v>
      </c>
      <c r="K4367" s="16" t="n">
        <v>4</v>
      </c>
      <c r="L4367" s="2" t="inlineStr">
        <is>
          <t>20260617000164</t>
        </is>
      </c>
      <c r="M4367" s="8">
        <f>HYPERLINK("https://dart.fss.or.kr/dsaf001/main.do?rcpNo=20260617000164", "공시열람")</f>
        <v/>
      </c>
    </row>
    <row r="4368" ht="22" customHeight="1">
      <c r="A4368" s="2" t="inlineStr">
        <is>
          <t>2026-06-17</t>
        </is>
      </c>
      <c r="B4368" s="3" t="inlineStr">
        <is>
          <t>글로벌에스엠</t>
        </is>
      </c>
      <c r="C4368" s="2" t="inlineStr">
        <is>
          <t>900070</t>
        </is>
      </c>
      <c r="D4368" s="2" t="inlineStr">
        <is>
          <t>대량보유</t>
        </is>
      </c>
      <c r="E4368" s="3" t="inlineStr">
        <is>
          <t>나윤복</t>
        </is>
      </c>
      <c r="F4368" s="3" t="inlineStr">
        <is>
          <t>특별관계자</t>
        </is>
      </c>
      <c r="G4368" s="3" t="inlineStr">
        <is>
          <t>주식병합</t>
        </is>
      </c>
      <c r="H4368" s="17" t="n">
        <v>-1130382</v>
      </c>
      <c r="I4368" s="6" t="inlineStr"/>
      <c r="J4368" s="6" t="n">
        <v>1130381</v>
      </c>
      <c r="K4368" s="16" t="n">
        <v>4</v>
      </c>
      <c r="L4368" s="2" t="inlineStr">
        <is>
          <t>20260617000164</t>
        </is>
      </c>
      <c r="M4368" s="8">
        <f>HYPERLINK("https://dart.fss.or.kr/dsaf001/main.do?rcpNo=20260617000164", "공시열람")</f>
        <v/>
      </c>
    </row>
    <row r="4369" ht="22" customHeight="1">
      <c r="A4369" s="2" t="inlineStr">
        <is>
          <t>2026-06-17 (정정: 2026-06-24)</t>
        </is>
      </c>
      <c r="B4369" s="3" t="inlineStr">
        <is>
          <t>에코프로</t>
        </is>
      </c>
      <c r="C4369" s="2" t="inlineStr">
        <is>
          <t>086520</t>
        </is>
      </c>
      <c r="D4369" s="2" t="inlineStr">
        <is>
          <t>대량보유</t>
        </is>
      </c>
      <c r="E4369" s="3" t="inlineStr">
        <is>
          <t>-</t>
        </is>
      </c>
      <c r="F4369" s="3" t="inlineStr">
        <is>
          <t>보고자</t>
        </is>
      </c>
      <c r="G4369" s="3" t="inlineStr">
        <is>
          <t>-</t>
        </is>
      </c>
      <c r="H4369" s="6" t="inlineStr"/>
      <c r="I4369" s="6" t="inlineStr"/>
      <c r="J4369" s="6" t="inlineStr"/>
      <c r="K4369" s="18" t="inlineStr"/>
      <c r="L4369" s="2" t="inlineStr">
        <is>
          <t>20260624900694</t>
        </is>
      </c>
      <c r="M4369" s="8">
        <f>HYPERLINK("https://dart.fss.or.kr/dsaf001/main.do?rcpNo=20260624900694", "공시열람")</f>
        <v/>
      </c>
    </row>
    <row r="4370" ht="22" customHeight="1">
      <c r="A4370" s="2" t="inlineStr">
        <is>
          <t>2026-06-17</t>
        </is>
      </c>
      <c r="B4370" s="3" t="inlineStr">
        <is>
          <t>대림통상</t>
        </is>
      </c>
      <c r="C4370" s="2" t="inlineStr">
        <is>
          <t>006570</t>
        </is>
      </c>
      <c r="D4370" s="2" t="inlineStr">
        <is>
          <t>대량보유</t>
        </is>
      </c>
      <c r="E4370" s="3" t="inlineStr">
        <is>
          <t>디앤디파트너스(주)</t>
        </is>
      </c>
      <c r="F4370" s="3" t="inlineStr">
        <is>
          <t>특별관계자</t>
        </is>
      </c>
      <c r="G4370" s="3" t="inlineStr">
        <is>
          <t>장내매수(+)</t>
        </is>
      </c>
      <c r="H4370" s="15" t="n">
        <v>13305</v>
      </c>
      <c r="I4370" s="6" t="n">
        <v>1947</v>
      </c>
      <c r="J4370" s="6" t="n">
        <v>6011474</v>
      </c>
      <c r="K4370" s="16" t="n">
        <v>4</v>
      </c>
      <c r="L4370" s="2" t="inlineStr">
        <is>
          <t>20260617000155</t>
        </is>
      </c>
      <c r="M4370" s="8">
        <f>HYPERLINK("https://dart.fss.or.kr/dsaf001/main.do?rcpNo=20260617000155", "공시열람")</f>
        <v/>
      </c>
    </row>
    <row r="4371" ht="22" customHeight="1">
      <c r="A4371" s="2" t="inlineStr">
        <is>
          <t>2026-06-17</t>
        </is>
      </c>
      <c r="B4371" s="3" t="inlineStr">
        <is>
          <t>대림통상</t>
        </is>
      </c>
      <c r="C4371" s="2" t="inlineStr">
        <is>
          <t>006570</t>
        </is>
      </c>
      <c r="D4371" s="2" t="inlineStr">
        <is>
          <t>임원보고</t>
        </is>
      </c>
      <c r="E4371" s="3" t="inlineStr">
        <is>
          <t>-</t>
        </is>
      </c>
      <c r="F4371" s="3" t="inlineStr">
        <is>
          <t>-</t>
        </is>
      </c>
      <c r="G4371" s="3" t="inlineStr">
        <is>
          <t>-</t>
        </is>
      </c>
      <c r="H4371" s="6" t="inlineStr"/>
      <c r="I4371" s="6" t="inlineStr"/>
      <c r="J4371" s="6" t="inlineStr"/>
      <c r="K4371" s="16" t="n">
        <v>12</v>
      </c>
      <c r="L4371" s="2" t="inlineStr">
        <is>
          <t>20260617800195</t>
        </is>
      </c>
      <c r="M4371" s="8">
        <f>HYPERLINK("https://dart.fss.or.kr/dsaf001/main.do?rcpNo=20260617800195", "공시열람")</f>
        <v/>
      </c>
    </row>
    <row r="4372" ht="22" customHeight="1">
      <c r="A4372" s="2" t="inlineStr">
        <is>
          <t>2026-06-17</t>
        </is>
      </c>
      <c r="B4372" s="3" t="inlineStr">
        <is>
          <t>세미티에스</t>
        </is>
      </c>
      <c r="C4372" s="2" t="inlineStr">
        <is>
          <t>0017J0</t>
        </is>
      </c>
      <c r="D4372" s="2" t="inlineStr">
        <is>
          <t>대량보유</t>
        </is>
      </c>
      <c r="E4372" s="3" t="inlineStr">
        <is>
          <t>민남홍</t>
        </is>
      </c>
      <c r="F4372" s="3" t="inlineStr">
        <is>
          <t>특별관계자</t>
        </is>
      </c>
      <c r="G4372" s="3" t="inlineStr">
        <is>
          <t>신규상장(무상취득)(+)</t>
        </is>
      </c>
      <c r="H4372" s="15" t="n">
        <v>15953855</v>
      </c>
      <c r="I4372" s="6" t="inlineStr"/>
      <c r="J4372" s="6" t="n">
        <v>15953855</v>
      </c>
      <c r="K4372" s="16" t="n">
        <v>6</v>
      </c>
      <c r="L4372" s="2" t="inlineStr">
        <is>
          <t>20260617000094</t>
        </is>
      </c>
      <c r="M4372" s="8">
        <f>HYPERLINK("https://dart.fss.or.kr/dsaf001/main.do?rcpNo=20260617000094", "공시열람")</f>
        <v/>
      </c>
    </row>
    <row r="4373" ht="22" customHeight="1">
      <c r="A4373" s="2" t="inlineStr">
        <is>
          <t>2026-06-17</t>
        </is>
      </c>
      <c r="B4373" s="3" t="inlineStr">
        <is>
          <t>세미티에스</t>
        </is>
      </c>
      <c r="C4373" s="2" t="inlineStr">
        <is>
          <t>0017J0</t>
        </is>
      </c>
      <c r="D4373" s="2" t="inlineStr">
        <is>
          <t>대량보유</t>
        </is>
      </c>
      <c r="E4373" s="3" t="inlineStr">
        <is>
          <t>김기윤</t>
        </is>
      </c>
      <c r="F4373" s="3" t="inlineStr">
        <is>
          <t>특별관계자</t>
        </is>
      </c>
      <c r="G4373" s="3" t="inlineStr">
        <is>
          <t>신규상장(무상취득)(+)</t>
        </is>
      </c>
      <c r="H4373" s="15" t="n">
        <v>494519</v>
      </c>
      <c r="I4373" s="6" t="inlineStr"/>
      <c r="J4373" s="6" t="n">
        <v>494519</v>
      </c>
      <c r="K4373" s="16" t="n">
        <v>6</v>
      </c>
      <c r="L4373" s="2" t="inlineStr">
        <is>
          <t>20260617000094</t>
        </is>
      </c>
      <c r="M4373" s="8">
        <f>HYPERLINK("https://dart.fss.or.kr/dsaf001/main.do?rcpNo=20260617000094", "공시열람")</f>
        <v/>
      </c>
    </row>
    <row r="4374" ht="22" customHeight="1">
      <c r="A4374" s="2" t="inlineStr">
        <is>
          <t>2026-06-17</t>
        </is>
      </c>
      <c r="B4374" s="3" t="inlineStr">
        <is>
          <t>세미티에스</t>
        </is>
      </c>
      <c r="C4374" s="2" t="inlineStr">
        <is>
          <t>0017J0</t>
        </is>
      </c>
      <c r="D4374" s="2" t="inlineStr">
        <is>
          <t>대량보유</t>
        </is>
      </c>
      <c r="E4374" s="3" t="inlineStr">
        <is>
          <t>김현섭</t>
        </is>
      </c>
      <c r="F4374" s="3" t="inlineStr">
        <is>
          <t>특별관계자</t>
        </is>
      </c>
      <c r="G4374" s="3" t="inlineStr">
        <is>
          <t>신규상장(무상취득)(+)</t>
        </is>
      </c>
      <c r="H4374" s="15" t="n">
        <v>425056</v>
      </c>
      <c r="I4374" s="6" t="inlineStr"/>
      <c r="J4374" s="6" t="n">
        <v>425056</v>
      </c>
      <c r="K4374" s="16" t="n">
        <v>6</v>
      </c>
      <c r="L4374" s="2" t="inlineStr">
        <is>
          <t>20260617000094</t>
        </is>
      </c>
      <c r="M4374" s="8">
        <f>HYPERLINK("https://dart.fss.or.kr/dsaf001/main.do?rcpNo=20260617000094", "공시열람")</f>
        <v/>
      </c>
    </row>
    <row r="4375" ht="22" customHeight="1">
      <c r="A4375" s="2" t="inlineStr">
        <is>
          <t>2026-06-17</t>
        </is>
      </c>
      <c r="B4375" s="3" t="inlineStr">
        <is>
          <t>세미티에스</t>
        </is>
      </c>
      <c r="C4375" s="2" t="inlineStr">
        <is>
          <t>0017J0</t>
        </is>
      </c>
      <c r="D4375" s="2" t="inlineStr">
        <is>
          <t>대량보유</t>
        </is>
      </c>
      <c r="E4375" s="3" t="inlineStr">
        <is>
          <t>정재민</t>
        </is>
      </c>
      <c r="F4375" s="3" t="inlineStr">
        <is>
          <t>특별관계자</t>
        </is>
      </c>
      <c r="G4375" s="3" t="inlineStr">
        <is>
          <t>신규상장(무상취득)(+)</t>
        </is>
      </c>
      <c r="H4375" s="15" t="n">
        <v>173478</v>
      </c>
      <c r="I4375" s="6" t="inlineStr"/>
      <c r="J4375" s="6" t="n">
        <v>173478</v>
      </c>
      <c r="K4375" s="16" t="n">
        <v>6</v>
      </c>
      <c r="L4375" s="2" t="inlineStr">
        <is>
          <t>20260617000094</t>
        </is>
      </c>
      <c r="M4375" s="8">
        <f>HYPERLINK("https://dart.fss.or.kr/dsaf001/main.do?rcpNo=20260617000094", "공시열람")</f>
        <v/>
      </c>
    </row>
    <row r="4376" ht="22" customHeight="1">
      <c r="A4376" s="2" t="inlineStr">
        <is>
          <t>2026-06-17</t>
        </is>
      </c>
      <c r="B4376" s="3" t="inlineStr">
        <is>
          <t>세미티에스</t>
        </is>
      </c>
      <c r="C4376" s="2" t="inlineStr">
        <is>
          <t>0017J0</t>
        </is>
      </c>
      <c r="D4376" s="2" t="inlineStr">
        <is>
          <t>대량보유</t>
        </is>
      </c>
      <c r="E4376" s="3" t="inlineStr">
        <is>
          <t>홍성철</t>
        </is>
      </c>
      <c r="F4376" s="3" t="inlineStr">
        <is>
          <t>특별관계자</t>
        </is>
      </c>
      <c r="G4376" s="3" t="inlineStr">
        <is>
          <t>신규상장(무상취득)(+)</t>
        </is>
      </c>
      <c r="H4376" s="15" t="n">
        <v>60015</v>
      </c>
      <c r="I4376" s="6" t="inlineStr"/>
      <c r="J4376" s="6" t="n">
        <v>60015</v>
      </c>
      <c r="K4376" s="16" t="n">
        <v>6</v>
      </c>
      <c r="L4376" s="2" t="inlineStr">
        <is>
          <t>20260617000094</t>
        </is>
      </c>
      <c r="M4376" s="8">
        <f>HYPERLINK("https://dart.fss.or.kr/dsaf001/main.do?rcpNo=20260617000094", "공시열람")</f>
        <v/>
      </c>
    </row>
    <row r="4377" ht="22" customHeight="1">
      <c r="A4377" s="2" t="inlineStr">
        <is>
          <t>2026-06-17</t>
        </is>
      </c>
      <c r="B4377" s="3" t="inlineStr">
        <is>
          <t>세미티에스</t>
        </is>
      </c>
      <c r="C4377" s="2" t="inlineStr">
        <is>
          <t>0017J0</t>
        </is>
      </c>
      <c r="D4377" s="2" t="inlineStr">
        <is>
          <t>대량보유</t>
        </is>
      </c>
      <c r="E4377" s="3" t="inlineStr">
        <is>
          <t>김진수</t>
        </is>
      </c>
      <c r="F4377" s="3" t="inlineStr">
        <is>
          <t>특별관계자</t>
        </is>
      </c>
      <c r="G4377" s="3" t="inlineStr">
        <is>
          <t>신규상장(무상취득)(+)</t>
        </is>
      </c>
      <c r="H4377" s="15" t="n">
        <v>50012</v>
      </c>
      <c r="I4377" s="6" t="inlineStr"/>
      <c r="J4377" s="6" t="n">
        <v>50012</v>
      </c>
      <c r="K4377" s="16" t="n">
        <v>6</v>
      </c>
      <c r="L4377" s="2" t="inlineStr">
        <is>
          <t>20260617000094</t>
        </is>
      </c>
      <c r="M4377" s="8">
        <f>HYPERLINK("https://dart.fss.or.kr/dsaf001/main.do?rcpNo=20260617000094", "공시열람")</f>
        <v/>
      </c>
    </row>
    <row r="4378" ht="22" customHeight="1">
      <c r="A4378" s="2" t="inlineStr">
        <is>
          <t>2026-06-17</t>
        </is>
      </c>
      <c r="B4378" s="3" t="inlineStr">
        <is>
          <t>세미티에스</t>
        </is>
      </c>
      <c r="C4378" s="2" t="inlineStr">
        <is>
          <t>0017J0</t>
        </is>
      </c>
      <c r="D4378" s="2" t="inlineStr">
        <is>
          <t>대량보유</t>
        </is>
      </c>
      <c r="E4378" s="3" t="inlineStr">
        <is>
          <t>이재한</t>
        </is>
      </c>
      <c r="F4378" s="3" t="inlineStr">
        <is>
          <t>특별관계자</t>
        </is>
      </c>
      <c r="G4378" s="3" t="inlineStr">
        <is>
          <t>신규상장(무상취득)(+)</t>
        </is>
      </c>
      <c r="H4378" s="15" t="n">
        <v>59034</v>
      </c>
      <c r="I4378" s="6" t="inlineStr"/>
      <c r="J4378" s="6" t="n">
        <v>59034</v>
      </c>
      <c r="K4378" s="16" t="n">
        <v>6</v>
      </c>
      <c r="L4378" s="2" t="inlineStr">
        <is>
          <t>20260617000094</t>
        </is>
      </c>
      <c r="M4378" s="8">
        <f>HYPERLINK("https://dart.fss.or.kr/dsaf001/main.do?rcpNo=20260617000094", "공시열람")</f>
        <v/>
      </c>
    </row>
    <row r="4379" ht="22" customHeight="1">
      <c r="A4379" s="2" t="inlineStr">
        <is>
          <t>2026-06-17</t>
        </is>
      </c>
      <c r="B4379" s="3" t="inlineStr">
        <is>
          <t>세미티에스</t>
        </is>
      </c>
      <c r="C4379" s="2" t="inlineStr">
        <is>
          <t>0017J0</t>
        </is>
      </c>
      <c r="D4379" s="2" t="inlineStr">
        <is>
          <t>대량보유</t>
        </is>
      </c>
      <c r="E4379" s="3" t="inlineStr">
        <is>
          <t>로프티록블루코너반도체신기술조합</t>
        </is>
      </c>
      <c r="F4379" s="3" t="inlineStr">
        <is>
          <t>특별관계자</t>
        </is>
      </c>
      <c r="G4379" s="3" t="inlineStr">
        <is>
          <t>신규상장(+), 장내매도(-)</t>
        </is>
      </c>
      <c r="H4379" s="15" t="n">
        <v>911948</v>
      </c>
      <c r="I4379" s="6" t="n">
        <v>4110</v>
      </c>
      <c r="J4379" s="6" t="n">
        <v>911948</v>
      </c>
      <c r="K4379" s="16" t="n">
        <v>1</v>
      </c>
      <c r="L4379" s="2" t="inlineStr">
        <is>
          <t>20260617000072</t>
        </is>
      </c>
      <c r="M4379" s="8">
        <f>HYPERLINK("https://dart.fss.or.kr/dsaf001/main.do?rcpNo=20260617000072", "공시열람")</f>
        <v/>
      </c>
    </row>
    <row r="4380" ht="22" customHeight="1">
      <c r="A4380" s="2" t="inlineStr">
        <is>
          <t>2026-06-17</t>
        </is>
      </c>
      <c r="B4380" s="3" t="inlineStr">
        <is>
          <t>세미티에스</t>
        </is>
      </c>
      <c r="C4380" s="2" t="inlineStr">
        <is>
          <t>0017J0</t>
        </is>
      </c>
      <c r="D4380" s="2" t="inlineStr">
        <is>
          <t>대량보유</t>
        </is>
      </c>
      <c r="E4380" s="3" t="inlineStr">
        <is>
          <t>로프티록반도체신기술조합2호</t>
        </is>
      </c>
      <c r="F4380" s="3" t="inlineStr">
        <is>
          <t>특별관계자</t>
        </is>
      </c>
      <c r="G4380" s="3" t="inlineStr">
        <is>
          <t>신규상장(+), 장내매도(-)</t>
        </is>
      </c>
      <c r="H4380" s="15" t="n">
        <v>250493</v>
      </c>
      <c r="I4380" s="6" t="n">
        <v>4146</v>
      </c>
      <c r="J4380" s="6" t="n">
        <v>250493</v>
      </c>
      <c r="K4380" s="16" t="n">
        <v>1</v>
      </c>
      <c r="L4380" s="2" t="inlineStr">
        <is>
          <t>20260617000072</t>
        </is>
      </c>
      <c r="M4380" s="8">
        <f>HYPERLINK("https://dart.fss.or.kr/dsaf001/main.do?rcpNo=20260617000072", "공시열람")</f>
        <v/>
      </c>
    </row>
    <row r="4381" ht="22" customHeight="1">
      <c r="A4381" s="2" t="inlineStr">
        <is>
          <t>2026-06-17</t>
        </is>
      </c>
      <c r="B4381" s="3" t="inlineStr">
        <is>
          <t>팬오션</t>
        </is>
      </c>
      <c r="C4381" s="2" t="inlineStr">
        <is>
          <t>028670</t>
        </is>
      </c>
      <c r="D4381" s="2" t="inlineStr">
        <is>
          <t>임원보고</t>
        </is>
      </c>
      <c r="E4381" s="3" t="inlineStr">
        <is>
          <t>-</t>
        </is>
      </c>
      <c r="F4381" s="3" t="inlineStr">
        <is>
          <t>-</t>
        </is>
      </c>
      <c r="G4381" s="3" t="inlineStr">
        <is>
          <t>-</t>
        </is>
      </c>
      <c r="H4381" s="6" t="inlineStr"/>
      <c r="I4381" s="6" t="inlineStr"/>
      <c r="J4381" s="6" t="inlineStr"/>
      <c r="K4381" s="16" t="n">
        <v>12</v>
      </c>
      <c r="L4381" s="2" t="inlineStr">
        <is>
          <t>20260617800079</t>
        </is>
      </c>
      <c r="M4381" s="8">
        <f>HYPERLINK("https://dart.fss.or.kr/dsaf001/main.do?rcpNo=20260617800079", "공시열람")</f>
        <v/>
      </c>
    </row>
    <row r="4382" ht="22" customHeight="1">
      <c r="A4382" s="2" t="inlineStr">
        <is>
          <t>2026-06-17</t>
        </is>
      </c>
      <c r="B4382" s="3" t="inlineStr">
        <is>
          <t>젬백스</t>
        </is>
      </c>
      <c r="C4382" s="2" t="inlineStr">
        <is>
          <t>082270</t>
        </is>
      </c>
      <c r="D4382" s="2" t="inlineStr">
        <is>
          <t>대량보유</t>
        </is>
      </c>
      <c r="E4382" s="3" t="inlineStr">
        <is>
          <t>남경필</t>
        </is>
      </c>
      <c r="F4382" s="3" t="inlineStr">
        <is>
          <t>특별관계자</t>
        </is>
      </c>
      <c r="G4382" s="3" t="inlineStr">
        <is>
          <t>신규보고(+)</t>
        </is>
      </c>
      <c r="H4382" s="15" t="n">
        <v>55348</v>
      </c>
      <c r="I4382" s="6" t="n">
        <v>13710</v>
      </c>
      <c r="J4382" s="6" t="n">
        <v>55348</v>
      </c>
      <c r="K4382" s="16" t="n">
        <v>17</v>
      </c>
      <c r="L4382" s="2" t="inlineStr">
        <is>
          <t>20260617000015</t>
        </is>
      </c>
      <c r="M4382" s="8">
        <f>HYPERLINK("https://dart.fss.or.kr/dsaf001/main.do?rcpNo=20260617000015", "공시열람")</f>
        <v/>
      </c>
    </row>
    <row r="4383" ht="22" customHeight="1">
      <c r="A4383" s="2" t="inlineStr">
        <is>
          <t>2026-06-18</t>
        </is>
      </c>
      <c r="B4383" s="3" t="inlineStr">
        <is>
          <t>더존비즈온</t>
        </is>
      </c>
      <c r="C4383" s="2" t="inlineStr">
        <is>
          <t>012510</t>
        </is>
      </c>
      <c r="D4383" s="2" t="inlineStr">
        <is>
          <t>대량보유</t>
        </is>
      </c>
      <c r="E4383" s="3" t="inlineStr">
        <is>
          <t>DoronicumSingapore,LP</t>
        </is>
      </c>
      <c r="F4383" s="3" t="inlineStr">
        <is>
          <t>특별관계자</t>
        </is>
      </c>
      <c r="G4383" s="3" t="inlineStr">
        <is>
          <t>장내매수(+)</t>
        </is>
      </c>
      <c r="H4383" s="15" t="n">
        <v>455182</v>
      </c>
      <c r="I4383" s="6" t="n">
        <v>120000</v>
      </c>
      <c r="J4383" s="6" t="n">
        <v>1309509</v>
      </c>
      <c r="K4383" s="16" t="n">
        <v>3</v>
      </c>
      <c r="L4383" s="2" t="inlineStr">
        <is>
          <t>20260618000405</t>
        </is>
      </c>
      <c r="M4383" s="8">
        <f>HYPERLINK("https://dart.fss.or.kr/dsaf001/main.do?rcpNo=20260618000405", "공시열람")</f>
        <v/>
      </c>
    </row>
    <row r="4384" ht="22" customHeight="1">
      <c r="A4384" s="2" t="inlineStr">
        <is>
          <t>2026-06-18</t>
        </is>
      </c>
      <c r="B4384" s="3" t="inlineStr">
        <is>
          <t>테크윙</t>
        </is>
      </c>
      <c r="C4384" s="2" t="inlineStr">
        <is>
          <t>089030</t>
        </is>
      </c>
      <c r="D4384" s="2" t="inlineStr">
        <is>
          <t>대량보유</t>
        </is>
      </c>
      <c r="E4384" s="3" t="inlineStr">
        <is>
          <t>J.P.MorganSecuritiesPLC</t>
        </is>
      </c>
      <c r="F4384" s="3" t="inlineStr">
        <is>
          <t>특별관계자</t>
        </is>
      </c>
      <c r="G4384" s="3" t="inlineStr">
        <is>
          <t>신규보고(+), 장내매수(+), 기타(+), 차입(+)</t>
        </is>
      </c>
      <c r="H4384" s="15" t="n">
        <v>2050004</v>
      </c>
      <c r="I4384" s="6" t="n">
        <v>65552</v>
      </c>
      <c r="J4384" s="6" t="n">
        <v>2050004</v>
      </c>
      <c r="K4384" s="16" t="n">
        <v>1</v>
      </c>
      <c r="L4384" s="2" t="inlineStr">
        <is>
          <t>20260618000400</t>
        </is>
      </c>
      <c r="M4384" s="8">
        <f>HYPERLINK("https://dart.fss.or.kr/dsaf001/main.do?rcpNo=20260618000400", "공시열람")</f>
        <v/>
      </c>
    </row>
    <row r="4385" ht="22" customHeight="1">
      <c r="A4385" s="2" t="inlineStr">
        <is>
          <t>2026-06-18</t>
        </is>
      </c>
      <c r="B4385" s="3" t="inlineStr">
        <is>
          <t>전진건설로봇</t>
        </is>
      </c>
      <c r="C4385" s="2" t="inlineStr">
        <is>
          <t>079900</t>
        </is>
      </c>
      <c r="D4385" s="2" t="inlineStr">
        <is>
          <t>임원보고</t>
        </is>
      </c>
      <c r="E4385" s="3" t="inlineStr">
        <is>
          <t>-</t>
        </is>
      </c>
      <c r="F4385" s="3" t="inlineStr">
        <is>
          <t>-</t>
        </is>
      </c>
      <c r="G4385" s="3" t="inlineStr">
        <is>
          <t>-</t>
        </is>
      </c>
      <c r="H4385" s="6" t="inlineStr"/>
      <c r="I4385" s="6" t="inlineStr"/>
      <c r="J4385" s="6" t="inlineStr"/>
      <c r="K4385" s="16" t="n">
        <v>12</v>
      </c>
      <c r="L4385" s="2" t="inlineStr">
        <is>
          <t>20260618800827</t>
        </is>
      </c>
      <c r="M4385" s="8">
        <f>HYPERLINK("https://dart.fss.or.kr/dsaf001/main.do?rcpNo=20260618800827", "공시열람")</f>
        <v/>
      </c>
    </row>
    <row r="4386" ht="22" customHeight="1">
      <c r="A4386" s="2" t="inlineStr">
        <is>
          <t>2026-06-18</t>
        </is>
      </c>
      <c r="B4386" s="3" t="inlineStr">
        <is>
          <t>블루산업개발</t>
        </is>
      </c>
      <c r="C4386" s="2" t="inlineStr">
        <is>
          <t>006740</t>
        </is>
      </c>
      <c r="D4386" s="2" t="inlineStr">
        <is>
          <t>대량보유</t>
        </is>
      </c>
      <c r="E4386" s="3" t="inlineStr">
        <is>
          <t>피엠에이조합</t>
        </is>
      </c>
      <c r="F4386" s="3" t="inlineStr">
        <is>
          <t>특별관계자</t>
        </is>
      </c>
      <c r="G4386" s="3" t="inlineStr">
        <is>
          <t>CB인수(+)</t>
        </is>
      </c>
      <c r="H4386" s="15" t="n">
        <v>2283849</v>
      </c>
      <c r="I4386" s="6" t="n">
        <v>5692</v>
      </c>
      <c r="J4386" s="6" t="n">
        <v>3017476</v>
      </c>
      <c r="K4386" s="16" t="n">
        <v>3</v>
      </c>
      <c r="L4386" s="2" t="inlineStr">
        <is>
          <t>20260618000382</t>
        </is>
      </c>
      <c r="M4386" s="8">
        <f>HYPERLINK("https://dart.fss.or.kr/dsaf001/main.do?rcpNo=20260618000382", "공시열람")</f>
        <v/>
      </c>
    </row>
    <row r="4387" ht="22" customHeight="1">
      <c r="A4387" s="2" t="inlineStr">
        <is>
          <t>2026-06-18</t>
        </is>
      </c>
      <c r="B4387" s="3" t="inlineStr">
        <is>
          <t>꿈비</t>
        </is>
      </c>
      <c r="C4387" s="2" t="inlineStr">
        <is>
          <t>407400</t>
        </is>
      </c>
      <c r="D4387" s="2" t="inlineStr">
        <is>
          <t>대량보유</t>
        </is>
      </c>
      <c r="E4387" s="3" t="inlineStr">
        <is>
          <t>이현우</t>
        </is>
      </c>
      <c r="F4387" s="3" t="inlineStr">
        <is>
          <t>특별관계자</t>
        </is>
      </c>
      <c r="G4387" s="3" t="inlineStr">
        <is>
          <t>장내매도(-)</t>
        </is>
      </c>
      <c r="H4387" s="17" t="n">
        <v>-58142</v>
      </c>
      <c r="I4387" s="6" t="n">
        <v>2601</v>
      </c>
      <c r="J4387" s="6" t="inlineStr"/>
      <c r="K4387" s="16" t="n">
        <v>5</v>
      </c>
      <c r="L4387" s="2" t="inlineStr">
        <is>
          <t>20260618000381</t>
        </is>
      </c>
      <c r="M4387" s="8">
        <f>HYPERLINK("https://dart.fss.or.kr/dsaf001/main.do?rcpNo=20260618000381", "공시열람")</f>
        <v/>
      </c>
    </row>
    <row r="4388" ht="22" customHeight="1">
      <c r="A4388" s="2" t="inlineStr">
        <is>
          <t>2026-06-18</t>
        </is>
      </c>
      <c r="B4388" s="3" t="inlineStr">
        <is>
          <t>네오오토</t>
        </is>
      </c>
      <c r="C4388" s="2" t="inlineStr">
        <is>
          <t>212560</t>
        </is>
      </c>
      <c r="D4388" s="2" t="inlineStr">
        <is>
          <t>대량보유</t>
        </is>
      </c>
      <c r="E4388" s="3" t="inlineStr">
        <is>
          <t>김선현</t>
        </is>
      </c>
      <c r="F4388" s="3" t="inlineStr">
        <is>
          <t>특별관계자</t>
        </is>
      </c>
      <c r="G4388" s="3" t="inlineStr">
        <is>
          <t>전환등(-), 전환사채의권리행사(+)</t>
        </is>
      </c>
      <c r="H4388" s="6" t="inlineStr"/>
      <c r="I4388" s="6" t="inlineStr"/>
      <c r="J4388" s="6" t="n">
        <v>5227232</v>
      </c>
      <c r="K4388" s="16" t="n">
        <v>11</v>
      </c>
      <c r="L4388" s="2" t="inlineStr">
        <is>
          <t>20260618000365</t>
        </is>
      </c>
      <c r="M4388" s="8">
        <f>HYPERLINK("https://dart.fss.or.kr/dsaf001/main.do?rcpNo=20260618000365", "공시열람")</f>
        <v/>
      </c>
    </row>
    <row r="4389" ht="22" customHeight="1">
      <c r="A4389" s="2" t="inlineStr">
        <is>
          <t>2026-06-18</t>
        </is>
      </c>
      <c r="B4389" s="3" t="inlineStr">
        <is>
          <t>네오오토</t>
        </is>
      </c>
      <c r="C4389" s="2" t="inlineStr">
        <is>
          <t>212560</t>
        </is>
      </c>
      <c r="D4389" s="2" t="inlineStr">
        <is>
          <t>대량보유</t>
        </is>
      </c>
      <c r="E4389" s="3" t="inlineStr">
        <is>
          <t>모빌리티사업재편유한회사</t>
        </is>
      </c>
      <c r="F4389" s="3" t="inlineStr">
        <is>
          <t>특별관계자</t>
        </is>
      </c>
      <c r="G4389" s="3" t="inlineStr">
        <is>
          <t>전환등(-), 전환사채의권리행사(+)</t>
        </is>
      </c>
      <c r="H4389" s="6" t="inlineStr"/>
      <c r="I4389" s="6" t="inlineStr"/>
      <c r="J4389" s="6" t="n">
        <v>1171875</v>
      </c>
      <c r="K4389" s="16" t="n">
        <v>11</v>
      </c>
      <c r="L4389" s="2" t="inlineStr">
        <is>
          <t>20260618000365</t>
        </is>
      </c>
      <c r="M4389" s="8">
        <f>HYPERLINK("https://dart.fss.or.kr/dsaf001/main.do?rcpNo=20260618000365", "공시열람")</f>
        <v/>
      </c>
    </row>
    <row r="4390" ht="22" customHeight="1">
      <c r="A4390" s="2" t="inlineStr">
        <is>
          <t>2026-06-18</t>
        </is>
      </c>
      <c r="B4390" s="3" t="inlineStr">
        <is>
          <t>코스모로보틱스</t>
        </is>
      </c>
      <c r="C4390" s="2" t="inlineStr">
        <is>
          <t>439960</t>
        </is>
      </c>
      <c r="D4390" s="2" t="inlineStr">
        <is>
          <t>대량보유</t>
        </is>
      </c>
      <c r="E4390" s="3" t="inlineStr">
        <is>
          <t>엔비에이치캐피탈(주)</t>
        </is>
      </c>
      <c r="F4390" s="3" t="inlineStr">
        <is>
          <t>특별관계자</t>
        </is>
      </c>
      <c r="G4390" s="3" t="inlineStr">
        <is>
          <t>기타(+), 장내매도(-)</t>
        </is>
      </c>
      <c r="H4390" s="6" t="inlineStr"/>
      <c r="I4390" s="6" t="n">
        <v>14958</v>
      </c>
      <c r="J4390" s="6" t="n">
        <v>48275</v>
      </c>
      <c r="K4390" s="16" t="n">
        <v>4</v>
      </c>
      <c r="L4390" s="2" t="inlineStr">
        <is>
          <t>20260618000364</t>
        </is>
      </c>
      <c r="M4390" s="8">
        <f>HYPERLINK("https://dart.fss.or.kr/dsaf001/main.do?rcpNo=20260618000364", "공시열람")</f>
        <v/>
      </c>
    </row>
    <row r="4391" ht="22" customHeight="1">
      <c r="A4391" s="2" t="inlineStr">
        <is>
          <t>2026-06-18</t>
        </is>
      </c>
      <c r="B4391" s="3" t="inlineStr">
        <is>
          <t>코스모로보틱스</t>
        </is>
      </c>
      <c r="C4391" s="2" t="inlineStr">
        <is>
          <t>439960</t>
        </is>
      </c>
      <c r="D4391" s="2" t="inlineStr">
        <is>
          <t>대량보유</t>
        </is>
      </c>
      <c r="E4391" s="3" t="inlineStr">
        <is>
          <t>리네아인베스트먼트(주)</t>
        </is>
      </c>
      <c r="F4391" s="3" t="inlineStr">
        <is>
          <t>특별관계자</t>
        </is>
      </c>
      <c r="G4391" s="3" t="inlineStr">
        <is>
          <t>장내매도(-), 기타(+)</t>
        </is>
      </c>
      <c r="H4391" s="15" t="n">
        <v>145848</v>
      </c>
      <c r="I4391" s="6" t="n">
        <v>5847</v>
      </c>
      <c r="J4391" s="6" t="n">
        <v>173887</v>
      </c>
      <c r="K4391" s="16" t="n">
        <v>4</v>
      </c>
      <c r="L4391" s="2" t="inlineStr">
        <is>
          <t>20260618000364</t>
        </is>
      </c>
      <c r="M4391" s="8">
        <f>HYPERLINK("https://dart.fss.or.kr/dsaf001/main.do?rcpNo=20260618000364", "공시열람")</f>
        <v/>
      </c>
    </row>
    <row r="4392" ht="22" customHeight="1">
      <c r="A4392" s="2" t="inlineStr">
        <is>
          <t>2026-06-18</t>
        </is>
      </c>
      <c r="B4392" s="3" t="inlineStr">
        <is>
          <t>코스모로보틱스</t>
        </is>
      </c>
      <c r="C4392" s="2" t="inlineStr">
        <is>
          <t>439960</t>
        </is>
      </c>
      <c r="D4392" s="2" t="inlineStr">
        <is>
          <t>대량보유</t>
        </is>
      </c>
      <c r="E4392" s="3" t="inlineStr">
        <is>
          <t>리네아-NBH신기술투자조합제1호</t>
        </is>
      </c>
      <c r="F4392" s="3" t="inlineStr">
        <is>
          <t>특별관계자</t>
        </is>
      </c>
      <c r="G4392" s="3" t="inlineStr">
        <is>
          <t>기타(-)</t>
        </is>
      </c>
      <c r="H4392" s="17" t="n">
        <v>-1820524</v>
      </c>
      <c r="I4392" s="6" t="n">
        <v>1392</v>
      </c>
      <c r="J4392" s="6" t="n">
        <v>26</v>
      </c>
      <c r="K4392" s="16" t="n">
        <v>4</v>
      </c>
      <c r="L4392" s="2" t="inlineStr">
        <is>
          <t>20260618000364</t>
        </is>
      </c>
      <c r="M4392" s="8">
        <f>HYPERLINK("https://dart.fss.or.kr/dsaf001/main.do?rcpNo=20260618000364", "공시열람")</f>
        <v/>
      </c>
    </row>
    <row r="4393" ht="22" customHeight="1">
      <c r="A4393" s="2" t="inlineStr">
        <is>
          <t>2026-06-18</t>
        </is>
      </c>
      <c r="B4393" s="3" t="inlineStr">
        <is>
          <t>HDC</t>
        </is>
      </c>
      <c r="C4393" s="2" t="inlineStr">
        <is>
          <t>012630</t>
        </is>
      </c>
      <c r="D4393" s="2" t="inlineStr">
        <is>
          <t>임원보고</t>
        </is>
      </c>
      <c r="E4393" s="3" t="inlineStr">
        <is>
          <t>-</t>
        </is>
      </c>
      <c r="F4393" s="3" t="inlineStr">
        <is>
          <t>-</t>
        </is>
      </c>
      <c r="G4393" s="3" t="inlineStr">
        <is>
          <t>-</t>
        </is>
      </c>
      <c r="H4393" s="6" t="inlineStr"/>
      <c r="I4393" s="6" t="inlineStr"/>
      <c r="J4393" s="6" t="inlineStr"/>
      <c r="K4393" s="16" t="n">
        <v>12</v>
      </c>
      <c r="L4393" s="2" t="inlineStr">
        <is>
          <t>20260618800752</t>
        </is>
      </c>
      <c r="M4393" s="8">
        <f>HYPERLINK("https://dart.fss.or.kr/dsaf001/main.do?rcpNo=20260618800752", "공시열람")</f>
        <v/>
      </c>
    </row>
    <row r="4394" ht="22" customHeight="1">
      <c r="A4394" s="2" t="inlineStr">
        <is>
          <t>2026-06-18</t>
        </is>
      </c>
      <c r="B4394" s="3" t="inlineStr">
        <is>
          <t>HDC</t>
        </is>
      </c>
      <c r="C4394" s="2" t="inlineStr">
        <is>
          <t>012630</t>
        </is>
      </c>
      <c r="D4394" s="2" t="inlineStr">
        <is>
          <t>대량보유</t>
        </is>
      </c>
      <c r="E4394" s="3" t="inlineStr">
        <is>
          <t>엠엔큐투자파트너스(유)</t>
        </is>
      </c>
      <c r="F4394" s="3" t="inlineStr">
        <is>
          <t>특별관계자</t>
        </is>
      </c>
      <c r="G4394" s="3" t="inlineStr">
        <is>
          <t>장내매수(+)</t>
        </is>
      </c>
      <c r="H4394" s="15" t="n">
        <v>22926</v>
      </c>
      <c r="I4394" s="6" t="n">
        <v>21420</v>
      </c>
      <c r="J4394" s="6" t="n">
        <v>3975675</v>
      </c>
      <c r="K4394" s="16" t="n">
        <v>9</v>
      </c>
      <c r="L4394" s="2" t="inlineStr">
        <is>
          <t>20260618000362</t>
        </is>
      </c>
      <c r="M4394" s="8">
        <f>HYPERLINK("https://dart.fss.or.kr/dsaf001/main.do?rcpNo=20260618000362", "공시열람")</f>
        <v/>
      </c>
    </row>
    <row r="4395" ht="22" customHeight="1">
      <c r="A4395" s="2" t="inlineStr">
        <is>
          <t>2026-06-18</t>
        </is>
      </c>
      <c r="B4395" s="3" t="inlineStr">
        <is>
          <t>블루엠텍</t>
        </is>
      </c>
      <c r="C4395" s="2" t="inlineStr">
        <is>
          <t>439580</t>
        </is>
      </c>
      <c r="D4395" s="2" t="inlineStr">
        <is>
          <t>대량보유</t>
        </is>
      </c>
      <c r="E4395" s="3" t="inlineStr">
        <is>
          <t>정병찬</t>
        </is>
      </c>
      <c r="F4395" s="3" t="inlineStr">
        <is>
          <t>특별관계자</t>
        </is>
      </c>
      <c r="G4395" s="3" t="inlineStr">
        <is>
          <t>특별관계해소(-)</t>
        </is>
      </c>
      <c r="H4395" s="17" t="n">
        <v>-1200000</v>
      </c>
      <c r="I4395" s="6" t="inlineStr"/>
      <c r="J4395" s="6" t="inlineStr"/>
      <c r="K4395" s="16" t="n">
        <v>7</v>
      </c>
      <c r="L4395" s="2" t="inlineStr">
        <is>
          <t>20260618000351</t>
        </is>
      </c>
      <c r="M4395" s="8">
        <f>HYPERLINK("https://dart.fss.or.kr/dsaf001/main.do?rcpNo=20260618000351", "공시열람")</f>
        <v/>
      </c>
    </row>
    <row r="4396" ht="22" customHeight="1">
      <c r="A4396" s="2" t="inlineStr">
        <is>
          <t>2026-06-18</t>
        </is>
      </c>
      <c r="B4396" s="3" t="inlineStr">
        <is>
          <t>블루엠텍</t>
        </is>
      </c>
      <c r="C4396" s="2" t="inlineStr">
        <is>
          <t>439580</t>
        </is>
      </c>
      <c r="D4396" s="2" t="inlineStr">
        <is>
          <t>대량보유</t>
        </is>
      </c>
      <c r="E4396" s="3" t="inlineStr">
        <is>
          <t>송봉호</t>
        </is>
      </c>
      <c r="F4396" s="3" t="inlineStr">
        <is>
          <t>특별관계자</t>
        </is>
      </c>
      <c r="G4396" s="3" t="inlineStr">
        <is>
          <t>특별관계해소(-)</t>
        </is>
      </c>
      <c r="H4396" s="17" t="n">
        <v>-396735</v>
      </c>
      <c r="I4396" s="6" t="inlineStr"/>
      <c r="J4396" s="6" t="inlineStr"/>
      <c r="K4396" s="16" t="n">
        <v>7</v>
      </c>
      <c r="L4396" s="2" t="inlineStr">
        <is>
          <t>20260618000351</t>
        </is>
      </c>
      <c r="M4396" s="8">
        <f>HYPERLINK("https://dart.fss.or.kr/dsaf001/main.do?rcpNo=20260618000351", "공시열람")</f>
        <v/>
      </c>
    </row>
    <row r="4397" ht="22" customHeight="1">
      <c r="A4397" s="2" t="inlineStr">
        <is>
          <t>2026-06-18</t>
        </is>
      </c>
      <c r="B4397" s="3" t="inlineStr">
        <is>
          <t>블루엠텍</t>
        </is>
      </c>
      <c r="C4397" s="2" t="inlineStr">
        <is>
          <t>439580</t>
        </is>
      </c>
      <c r="D4397" s="2" t="inlineStr">
        <is>
          <t>대량보유</t>
        </is>
      </c>
      <c r="E4397" s="3" t="inlineStr">
        <is>
          <t>김우현</t>
        </is>
      </c>
      <c r="F4397" s="3" t="inlineStr">
        <is>
          <t>특별관계자</t>
        </is>
      </c>
      <c r="G4397" s="3" t="inlineStr">
        <is>
          <t>특별관계해소(-)</t>
        </is>
      </c>
      <c r="H4397" s="6" t="inlineStr"/>
      <c r="I4397" s="6" t="inlineStr"/>
      <c r="J4397" s="6" t="inlineStr"/>
      <c r="K4397" s="16" t="n">
        <v>7</v>
      </c>
      <c r="L4397" s="2" t="inlineStr">
        <is>
          <t>20260618000351</t>
        </is>
      </c>
      <c r="M4397" s="8">
        <f>HYPERLINK("https://dart.fss.or.kr/dsaf001/main.do?rcpNo=20260618000351", "공시열람")</f>
        <v/>
      </c>
    </row>
    <row r="4398" ht="22" customHeight="1">
      <c r="A4398" s="2" t="inlineStr">
        <is>
          <t>2026-06-18</t>
        </is>
      </c>
      <c r="B4398" s="3" t="inlineStr">
        <is>
          <t>블루엠텍</t>
        </is>
      </c>
      <c r="C4398" s="2" t="inlineStr">
        <is>
          <t>439580</t>
        </is>
      </c>
      <c r="D4398" s="2" t="inlineStr">
        <is>
          <t>대량보유</t>
        </is>
      </c>
      <c r="E4398" s="3" t="inlineStr">
        <is>
          <t>김자민</t>
        </is>
      </c>
      <c r="F4398" s="3" t="inlineStr">
        <is>
          <t>특별관계자</t>
        </is>
      </c>
      <c r="G4398" s="3" t="inlineStr">
        <is>
          <t>특별관계해소(-)</t>
        </is>
      </c>
      <c r="H4398" s="17" t="n">
        <v>-904500</v>
      </c>
      <c r="I4398" s="6" t="inlineStr"/>
      <c r="J4398" s="6" t="inlineStr"/>
      <c r="K4398" s="16" t="n">
        <v>7</v>
      </c>
      <c r="L4398" s="2" t="inlineStr">
        <is>
          <t>20260618000351</t>
        </is>
      </c>
      <c r="M4398" s="8">
        <f>HYPERLINK("https://dart.fss.or.kr/dsaf001/main.do?rcpNo=20260618000351", "공시열람")</f>
        <v/>
      </c>
    </row>
    <row r="4399" ht="22" customHeight="1">
      <c r="A4399" s="2" t="inlineStr">
        <is>
          <t>2026-06-18</t>
        </is>
      </c>
      <c r="B4399" s="3" t="inlineStr">
        <is>
          <t>블루엠텍</t>
        </is>
      </c>
      <c r="C4399" s="2" t="inlineStr">
        <is>
          <t>439580</t>
        </is>
      </c>
      <c r="D4399" s="2" t="inlineStr">
        <is>
          <t>대량보유</t>
        </is>
      </c>
      <c r="E4399" s="3" t="inlineStr">
        <is>
          <t>김자원</t>
        </is>
      </c>
      <c r="F4399" s="3" t="inlineStr">
        <is>
          <t>특별관계자</t>
        </is>
      </c>
      <c r="G4399" s="3" t="inlineStr">
        <is>
          <t>특별관계해소(-)</t>
        </is>
      </c>
      <c r="H4399" s="17" t="n">
        <v>-240000</v>
      </c>
      <c r="I4399" s="6" t="inlineStr"/>
      <c r="J4399" s="6" t="inlineStr"/>
      <c r="K4399" s="16" t="n">
        <v>7</v>
      </c>
      <c r="L4399" s="2" t="inlineStr">
        <is>
          <t>20260618000351</t>
        </is>
      </c>
      <c r="M4399" s="8">
        <f>HYPERLINK("https://dart.fss.or.kr/dsaf001/main.do?rcpNo=20260618000351", "공시열람")</f>
        <v/>
      </c>
    </row>
    <row r="4400" ht="22" customHeight="1">
      <c r="A4400" s="2" t="inlineStr">
        <is>
          <t>2026-06-18</t>
        </is>
      </c>
      <c r="B4400" s="3" t="inlineStr">
        <is>
          <t>블루엠텍</t>
        </is>
      </c>
      <c r="C4400" s="2" t="inlineStr">
        <is>
          <t>439580</t>
        </is>
      </c>
      <c r="D4400" s="2" t="inlineStr">
        <is>
          <t>대량보유</t>
        </is>
      </c>
      <c r="E4400" s="3" t="inlineStr">
        <is>
          <t>김종수</t>
        </is>
      </c>
      <c r="F4400" s="3" t="inlineStr">
        <is>
          <t>특별관계자</t>
        </is>
      </c>
      <c r="G4400" s="3" t="inlineStr">
        <is>
          <t>특별관계해소(-)</t>
        </is>
      </c>
      <c r="H4400" s="17" t="n">
        <v>-228000</v>
      </c>
      <c r="I4400" s="6" t="inlineStr"/>
      <c r="J4400" s="6" t="inlineStr"/>
      <c r="K4400" s="16" t="n">
        <v>7</v>
      </c>
      <c r="L4400" s="2" t="inlineStr">
        <is>
          <t>20260618000351</t>
        </is>
      </c>
      <c r="M4400" s="8">
        <f>HYPERLINK("https://dart.fss.or.kr/dsaf001/main.do?rcpNo=20260618000351", "공시열람")</f>
        <v/>
      </c>
    </row>
    <row r="4401" ht="22" customHeight="1">
      <c r="A4401" s="2" t="inlineStr">
        <is>
          <t>2026-06-18</t>
        </is>
      </c>
      <c r="B4401" s="3" t="inlineStr">
        <is>
          <t>블루엠텍</t>
        </is>
      </c>
      <c r="C4401" s="2" t="inlineStr">
        <is>
          <t>439580</t>
        </is>
      </c>
      <c r="D4401" s="2" t="inlineStr">
        <is>
          <t>대량보유</t>
        </is>
      </c>
      <c r="E4401" s="3" t="inlineStr">
        <is>
          <t>심기동</t>
        </is>
      </c>
      <c r="F4401" s="3" t="inlineStr">
        <is>
          <t>특별관계자</t>
        </is>
      </c>
      <c r="G4401" s="3" t="inlineStr">
        <is>
          <t>특별관계해소(-)</t>
        </is>
      </c>
      <c r="H4401" s="17" t="n">
        <v>-300000</v>
      </c>
      <c r="I4401" s="6" t="inlineStr"/>
      <c r="J4401" s="6" t="inlineStr"/>
      <c r="K4401" s="16" t="n">
        <v>7</v>
      </c>
      <c r="L4401" s="2" t="inlineStr">
        <is>
          <t>20260618000351</t>
        </is>
      </c>
      <c r="M4401" s="8">
        <f>HYPERLINK("https://dart.fss.or.kr/dsaf001/main.do?rcpNo=20260618000351", "공시열람")</f>
        <v/>
      </c>
    </row>
    <row r="4402" ht="22" customHeight="1">
      <c r="A4402" s="2" t="inlineStr">
        <is>
          <t>2026-06-18</t>
        </is>
      </c>
      <c r="B4402" s="3" t="inlineStr">
        <is>
          <t>블루엠텍</t>
        </is>
      </c>
      <c r="C4402" s="2" t="inlineStr">
        <is>
          <t>439580</t>
        </is>
      </c>
      <c r="D4402" s="2" t="inlineStr">
        <is>
          <t>대량보유</t>
        </is>
      </c>
      <c r="E4402" s="3" t="inlineStr">
        <is>
          <t>주도영</t>
        </is>
      </c>
      <c r="F4402" s="3" t="inlineStr">
        <is>
          <t>특별관계자</t>
        </is>
      </c>
      <c r="G4402" s="3" t="inlineStr">
        <is>
          <t>특별관계해소(-)</t>
        </is>
      </c>
      <c r="H4402" s="17" t="n">
        <v>-300000</v>
      </c>
      <c r="I4402" s="6" t="inlineStr"/>
      <c r="J4402" s="6" t="inlineStr"/>
      <c r="K4402" s="16" t="n">
        <v>7</v>
      </c>
      <c r="L4402" s="2" t="inlineStr">
        <is>
          <t>20260618000351</t>
        </is>
      </c>
      <c r="M4402" s="8">
        <f>HYPERLINK("https://dart.fss.or.kr/dsaf001/main.do?rcpNo=20260618000351", "공시열람")</f>
        <v/>
      </c>
    </row>
    <row r="4403" ht="22" customHeight="1">
      <c r="A4403" s="2" t="inlineStr">
        <is>
          <t>2026-06-18</t>
        </is>
      </c>
      <c r="B4403" s="3" t="inlineStr">
        <is>
          <t>메타케어</t>
        </is>
      </c>
      <c r="C4403" s="2" t="inlineStr">
        <is>
          <t>118000</t>
        </is>
      </c>
      <c r="D4403" s="2" t="inlineStr">
        <is>
          <t>임원보고</t>
        </is>
      </c>
      <c r="E4403" s="3" t="inlineStr">
        <is>
          <t>-</t>
        </is>
      </c>
      <c r="F4403" s="3" t="inlineStr">
        <is>
          <t>-</t>
        </is>
      </c>
      <c r="G4403" s="3" t="inlineStr">
        <is>
          <t>-</t>
        </is>
      </c>
      <c r="H4403" s="6" t="inlineStr"/>
      <c r="I4403" s="6" t="inlineStr"/>
      <c r="J4403" s="6" t="inlineStr"/>
      <c r="K4403" s="16" t="n">
        <v>12</v>
      </c>
      <c r="L4403" s="2" t="inlineStr">
        <is>
          <t>20260618800687</t>
        </is>
      </c>
      <c r="M4403" s="8">
        <f>HYPERLINK("https://dart.fss.or.kr/dsaf001/main.do?rcpNo=20260618800687", "공시열람")</f>
        <v/>
      </c>
    </row>
    <row r="4404" ht="22" customHeight="1">
      <c r="A4404" s="2" t="inlineStr">
        <is>
          <t>2026-06-18</t>
        </is>
      </c>
      <c r="B4404" s="3" t="inlineStr">
        <is>
          <t>대덕전자</t>
        </is>
      </c>
      <c r="C4404" s="2" t="inlineStr">
        <is>
          <t>353200</t>
        </is>
      </c>
      <c r="D4404" s="2" t="inlineStr">
        <is>
          <t>임원보고</t>
        </is>
      </c>
      <c r="E4404" s="3" t="inlineStr">
        <is>
          <t>-</t>
        </is>
      </c>
      <c r="F4404" s="3" t="inlineStr">
        <is>
          <t>-</t>
        </is>
      </c>
      <c r="G4404" s="3" t="inlineStr">
        <is>
          <t>-</t>
        </is>
      </c>
      <c r="H4404" s="6" t="inlineStr"/>
      <c r="I4404" s="6" t="inlineStr"/>
      <c r="J4404" s="6" t="inlineStr"/>
      <c r="K4404" s="16" t="n">
        <v>12</v>
      </c>
      <c r="L4404" s="2" t="inlineStr">
        <is>
          <t>20260618800674</t>
        </is>
      </c>
      <c r="M4404" s="8">
        <f>HYPERLINK("https://dart.fss.or.kr/dsaf001/main.do?rcpNo=20260618800674", "공시열람")</f>
        <v/>
      </c>
    </row>
    <row r="4405" ht="22" customHeight="1">
      <c r="A4405" s="2" t="inlineStr">
        <is>
          <t>2026-06-18</t>
        </is>
      </c>
      <c r="B4405" s="3" t="inlineStr">
        <is>
          <t>위지트</t>
        </is>
      </c>
      <c r="C4405" s="2" t="inlineStr">
        <is>
          <t>036090</t>
        </is>
      </c>
      <c r="D4405" s="2" t="inlineStr">
        <is>
          <t>대량보유</t>
        </is>
      </c>
      <c r="E4405" s="3" t="inlineStr">
        <is>
          <t>김문수</t>
        </is>
      </c>
      <c r="F4405" s="3" t="inlineStr">
        <is>
          <t>특별관계자</t>
        </is>
      </c>
      <c r="G4405" s="3" t="inlineStr">
        <is>
          <t>장내매도(-), 자본감소</t>
        </is>
      </c>
      <c r="H4405" s="17" t="n">
        <v>-3292884</v>
      </c>
      <c r="I4405" s="6" t="n">
        <v>731</v>
      </c>
      <c r="J4405" s="6" t="n">
        <v>1054942</v>
      </c>
      <c r="K4405" s="16" t="n">
        <v>4</v>
      </c>
      <c r="L4405" s="2" t="inlineStr">
        <is>
          <t>20260618000319</t>
        </is>
      </c>
      <c r="M4405" s="8">
        <f>HYPERLINK("https://dart.fss.or.kr/dsaf001/main.do?rcpNo=20260618000319", "공시열람")</f>
        <v/>
      </c>
    </row>
    <row r="4406" ht="22" customHeight="1">
      <c r="A4406" s="2" t="inlineStr">
        <is>
          <t>2026-06-18</t>
        </is>
      </c>
      <c r="B4406" s="3" t="inlineStr">
        <is>
          <t>위지트</t>
        </is>
      </c>
      <c r="C4406" s="2" t="inlineStr">
        <is>
          <t>036090</t>
        </is>
      </c>
      <c r="D4406" s="2" t="inlineStr">
        <is>
          <t>대량보유</t>
        </is>
      </c>
      <c r="E4406" s="3" t="inlineStr">
        <is>
          <t>㈜제이에스아이홀딩스</t>
        </is>
      </c>
      <c r="F4406" s="3" t="inlineStr">
        <is>
          <t>특별관계자</t>
        </is>
      </c>
      <c r="G4406" s="3" t="inlineStr">
        <is>
          <t>자본감소, 제3자배정유상증자(+)</t>
        </is>
      </c>
      <c r="H4406" s="17" t="n">
        <v>-10820930</v>
      </c>
      <c r="I4406" s="6" t="n">
        <v>1296</v>
      </c>
      <c r="J4406" s="6" t="n">
        <v>10040093</v>
      </c>
      <c r="K4406" s="16" t="n">
        <v>4</v>
      </c>
      <c r="L4406" s="2" t="inlineStr">
        <is>
          <t>20260618000319</t>
        </is>
      </c>
      <c r="M4406" s="8">
        <f>HYPERLINK("https://dart.fss.or.kr/dsaf001/main.do?rcpNo=20260618000319", "공시열람")</f>
        <v/>
      </c>
    </row>
    <row r="4407" ht="22" customHeight="1">
      <c r="A4407" s="2" t="inlineStr">
        <is>
          <t>2026-06-18</t>
        </is>
      </c>
      <c r="B4407" s="3" t="inlineStr">
        <is>
          <t>위지트</t>
        </is>
      </c>
      <c r="C4407" s="2" t="inlineStr">
        <is>
          <t>036090</t>
        </is>
      </c>
      <c r="D4407" s="2" t="inlineStr">
        <is>
          <t>대량보유</t>
        </is>
      </c>
      <c r="E4407" s="3" t="inlineStr">
        <is>
          <t>㈜아이즈비전</t>
        </is>
      </c>
      <c r="F4407" s="3" t="inlineStr">
        <is>
          <t>특별관계자</t>
        </is>
      </c>
      <c r="G4407" s="3" t="inlineStr">
        <is>
          <t>자본감소</t>
        </is>
      </c>
      <c r="H4407" s="17" t="n">
        <v>-5280345</v>
      </c>
      <c r="I4407" s="6" t="inlineStr"/>
      <c r="J4407" s="6" t="n">
        <v>2640172</v>
      </c>
      <c r="K4407" s="16" t="n">
        <v>4</v>
      </c>
      <c r="L4407" s="2" t="inlineStr">
        <is>
          <t>20260618000319</t>
        </is>
      </c>
      <c r="M4407" s="8">
        <f>HYPERLINK("https://dart.fss.or.kr/dsaf001/main.do?rcpNo=20260618000319", "공시열람")</f>
        <v/>
      </c>
    </row>
    <row r="4408" ht="22" customHeight="1">
      <c r="A4408" s="2" t="inlineStr">
        <is>
          <t>2026-06-18</t>
        </is>
      </c>
      <c r="B4408" s="3" t="inlineStr">
        <is>
          <t>위지트</t>
        </is>
      </c>
      <c r="C4408" s="2" t="inlineStr">
        <is>
          <t>036090</t>
        </is>
      </c>
      <c r="D4408" s="2" t="inlineStr">
        <is>
          <t>대량보유</t>
        </is>
      </c>
      <c r="E4408" s="3" t="inlineStr">
        <is>
          <t>㈜머큐리</t>
        </is>
      </c>
      <c r="F4408" s="3" t="inlineStr">
        <is>
          <t>특별관계자</t>
        </is>
      </c>
      <c r="G4408" s="3" t="inlineStr">
        <is>
          <t>자본감소</t>
        </is>
      </c>
      <c r="H4408" s="17" t="n">
        <v>-2773156</v>
      </c>
      <c r="I4408" s="6" t="inlineStr"/>
      <c r="J4408" s="6" t="n">
        <v>1386577</v>
      </c>
      <c r="K4408" s="16" t="n">
        <v>4</v>
      </c>
      <c r="L4408" s="2" t="inlineStr">
        <is>
          <t>20260618000319</t>
        </is>
      </c>
      <c r="M4408" s="8">
        <f>HYPERLINK("https://dart.fss.or.kr/dsaf001/main.do?rcpNo=20260618000319", "공시열람")</f>
        <v/>
      </c>
    </row>
    <row r="4409" ht="22" customHeight="1">
      <c r="A4409" s="2" t="inlineStr">
        <is>
          <t>2026-06-18</t>
        </is>
      </c>
      <c r="B4409" s="3" t="inlineStr">
        <is>
          <t>위지트</t>
        </is>
      </c>
      <c r="C4409" s="2" t="inlineStr">
        <is>
          <t>036090</t>
        </is>
      </c>
      <c r="D4409" s="2" t="inlineStr">
        <is>
          <t>대량보유</t>
        </is>
      </c>
      <c r="E4409" s="3" t="inlineStr">
        <is>
          <t>김상우</t>
        </is>
      </c>
      <c r="F4409" s="3" t="inlineStr">
        <is>
          <t>특별관계자</t>
        </is>
      </c>
      <c r="G4409" s="3" t="inlineStr">
        <is>
          <t>자본감소</t>
        </is>
      </c>
      <c r="H4409" s="17" t="n">
        <v>-2898551</v>
      </c>
      <c r="I4409" s="6" t="inlineStr"/>
      <c r="J4409" s="6" t="n">
        <v>1449275</v>
      </c>
      <c r="K4409" s="16" t="n">
        <v>4</v>
      </c>
      <c r="L4409" s="2" t="inlineStr">
        <is>
          <t>20260618000319</t>
        </is>
      </c>
      <c r="M4409" s="8">
        <f>HYPERLINK("https://dart.fss.or.kr/dsaf001/main.do?rcpNo=20260618000319", "공시열람")</f>
        <v/>
      </c>
    </row>
    <row r="4410" ht="22" customHeight="1">
      <c r="A4410" s="2" t="inlineStr">
        <is>
          <t>2026-06-18</t>
        </is>
      </c>
      <c r="B4410" s="3" t="inlineStr">
        <is>
          <t>한국토지신탁</t>
        </is>
      </c>
      <c r="C4410" s="2" t="inlineStr">
        <is>
          <t>034830</t>
        </is>
      </c>
      <c r="D4410" s="2" t="inlineStr">
        <is>
          <t>대량보유</t>
        </is>
      </c>
      <c r="E4410" s="3" t="inlineStr">
        <is>
          <t>엠케이인베스트먼트(주)</t>
        </is>
      </c>
      <c r="F4410" s="3" t="inlineStr">
        <is>
          <t>보고자</t>
        </is>
      </c>
      <c r="G4410" s="3" t="inlineStr">
        <is>
          <t>보고자의 보유주식등에 관한 계약 변경</t>
        </is>
      </c>
      <c r="H4410" s="6" t="inlineStr"/>
      <c r="I4410" s="6" t="inlineStr"/>
      <c r="J4410" s="6" t="n">
        <v>90230558</v>
      </c>
      <c r="K4410" s="16" t="n">
        <v>5</v>
      </c>
      <c r="L4410" s="2" t="inlineStr">
        <is>
          <t>20260618000318</t>
        </is>
      </c>
      <c r="M4410" s="8">
        <f>HYPERLINK("https://dart.fss.or.kr/dsaf001/main.do?rcpNo=20260618000318", "공시열람")</f>
        <v/>
      </c>
    </row>
    <row r="4411" ht="22" customHeight="1">
      <c r="A4411" s="2" t="inlineStr">
        <is>
          <t>2026-06-18</t>
        </is>
      </c>
      <c r="B4411" s="3" t="inlineStr">
        <is>
          <t>케이탑리츠</t>
        </is>
      </c>
      <c r="C4411" s="2" t="inlineStr">
        <is>
          <t>145270</t>
        </is>
      </c>
      <c r="D4411" s="2" t="inlineStr">
        <is>
          <t>임원보고</t>
        </is>
      </c>
      <c r="E4411" s="3" t="inlineStr">
        <is>
          <t>-</t>
        </is>
      </c>
      <c r="F4411" s="3" t="inlineStr">
        <is>
          <t>-</t>
        </is>
      </c>
      <c r="G4411" s="3" t="inlineStr">
        <is>
          <t>-</t>
        </is>
      </c>
      <c r="H4411" s="6" t="inlineStr"/>
      <c r="I4411" s="6" t="inlineStr"/>
      <c r="J4411" s="6" t="inlineStr"/>
      <c r="K4411" s="16" t="n">
        <v>12</v>
      </c>
      <c r="L4411" s="2" t="inlineStr">
        <is>
          <t>20260618800640</t>
        </is>
      </c>
      <c r="M4411" s="8">
        <f>HYPERLINK("https://dart.fss.or.kr/dsaf001/main.do?rcpNo=20260618800640", "공시열람")</f>
        <v/>
      </c>
    </row>
    <row r="4412" ht="22" customHeight="1">
      <c r="A4412" s="2" t="inlineStr">
        <is>
          <t>2026-06-18</t>
        </is>
      </c>
      <c r="B4412" s="3" t="inlineStr">
        <is>
          <t>본시스템즈</t>
        </is>
      </c>
      <c r="C4412" s="2" t="inlineStr">
        <is>
          <t>496320</t>
        </is>
      </c>
      <c r="D4412" s="2" t="inlineStr">
        <is>
          <t>대량보유</t>
        </is>
      </c>
      <c r="E4412" s="3" t="inlineStr">
        <is>
          <t>NH-IBKS코넥스스케일업신기술투자조합</t>
        </is>
      </c>
      <c r="F4412" s="3" t="inlineStr">
        <is>
          <t>특별관계자</t>
        </is>
      </c>
      <c r="G4412" s="3" t="inlineStr">
        <is>
          <t>장외매수(+)</t>
        </is>
      </c>
      <c r="H4412" s="15" t="n">
        <v>57471</v>
      </c>
      <c r="I4412" s="6" t="n">
        <v>52200</v>
      </c>
      <c r="J4412" s="6" t="n">
        <v>57471</v>
      </c>
      <c r="K4412" s="16" t="n">
        <v>4</v>
      </c>
      <c r="L4412" s="2" t="inlineStr">
        <is>
          <t>20260618000306</t>
        </is>
      </c>
      <c r="M4412" s="8">
        <f>HYPERLINK("https://dart.fss.or.kr/dsaf001/main.do?rcpNo=20260618000306", "공시열람")</f>
        <v/>
      </c>
    </row>
    <row r="4413" ht="22" customHeight="1">
      <c r="A4413" s="2" t="inlineStr">
        <is>
          <t>2026-06-18</t>
        </is>
      </c>
      <c r="B4413" s="3" t="inlineStr">
        <is>
          <t>본시스템즈</t>
        </is>
      </c>
      <c r="C4413" s="2" t="inlineStr">
        <is>
          <t>496320</t>
        </is>
      </c>
      <c r="D4413" s="2" t="inlineStr">
        <is>
          <t>대량보유</t>
        </is>
      </c>
      <c r="E4413" s="3" t="inlineStr">
        <is>
          <t>아이비케이에스혁신소부장신기술투자조합제5호</t>
        </is>
      </c>
      <c r="F4413" s="3" t="inlineStr">
        <is>
          <t>특별관계자</t>
        </is>
      </c>
      <c r="G4413" s="3" t="inlineStr">
        <is>
          <t>장외매수(+)</t>
        </is>
      </c>
      <c r="H4413" s="15" t="n">
        <v>220306</v>
      </c>
      <c r="I4413" s="6" t="n">
        <v>52200</v>
      </c>
      <c r="J4413" s="6" t="n">
        <v>220306</v>
      </c>
      <c r="K4413" s="16" t="n">
        <v>4</v>
      </c>
      <c r="L4413" s="2" t="inlineStr">
        <is>
          <t>20260618000306</t>
        </is>
      </c>
      <c r="M4413" s="8">
        <f>HYPERLINK("https://dart.fss.or.kr/dsaf001/main.do?rcpNo=20260618000306", "공시열람")</f>
        <v/>
      </c>
    </row>
    <row r="4414" ht="22" customHeight="1">
      <c r="A4414" s="2" t="inlineStr">
        <is>
          <t>2026-06-18</t>
        </is>
      </c>
      <c r="B4414" s="3" t="inlineStr">
        <is>
          <t>애드바이오텍</t>
        </is>
      </c>
      <c r="C4414" s="2" t="inlineStr">
        <is>
          <t>179530</t>
        </is>
      </c>
      <c r="D4414" s="2" t="inlineStr">
        <is>
          <t>대량보유</t>
        </is>
      </c>
      <c r="E4414" s="3" t="inlineStr">
        <is>
          <t>엑시엄자산운용(주)</t>
        </is>
      </c>
      <c r="F4414" s="3" t="inlineStr">
        <is>
          <t>특별관계자</t>
        </is>
      </c>
      <c r="G4414" s="3" t="inlineStr">
        <is>
          <t>CB인수(+)</t>
        </is>
      </c>
      <c r="H4414" s="15" t="n">
        <v>278241</v>
      </c>
      <c r="I4414" s="6" t="n">
        <v>1833</v>
      </c>
      <c r="J4414" s="6" t="n">
        <v>1143160</v>
      </c>
      <c r="K4414" s="16" t="n">
        <v>4.2</v>
      </c>
      <c r="L4414" s="2" t="inlineStr">
        <is>
          <t>20260618000305</t>
        </is>
      </c>
      <c r="M4414" s="8">
        <f>HYPERLINK("https://dart.fss.or.kr/dsaf001/main.do?rcpNo=20260618000305", "공시열람")</f>
        <v/>
      </c>
    </row>
    <row r="4415" ht="22" customHeight="1">
      <c r="A4415" s="2" t="inlineStr">
        <is>
          <t>2026-06-18</t>
        </is>
      </c>
      <c r="B4415" s="3" t="inlineStr">
        <is>
          <t>대덕전자</t>
        </is>
      </c>
      <c r="C4415" s="2" t="inlineStr">
        <is>
          <t>353200</t>
        </is>
      </c>
      <c r="D4415" s="2" t="inlineStr">
        <is>
          <t>대량보유</t>
        </is>
      </c>
      <c r="E4415" s="3" t="inlineStr">
        <is>
          <t>배영근</t>
        </is>
      </c>
      <c r="F4415" s="3" t="inlineStr">
        <is>
          <t>특별관계자</t>
        </is>
      </c>
      <c r="G4415" s="3" t="inlineStr">
        <is>
          <t>장내매도(-)</t>
        </is>
      </c>
      <c r="H4415" s="17" t="n">
        <v>-4082</v>
      </c>
      <c r="I4415" s="6" t="n">
        <v>169608</v>
      </c>
      <c r="J4415" s="6" t="n">
        <v>1000</v>
      </c>
      <c r="K4415" s="16" t="n">
        <v>6</v>
      </c>
      <c r="L4415" s="2" t="inlineStr">
        <is>
          <t>20260618000304</t>
        </is>
      </c>
      <c r="M4415" s="8">
        <f>HYPERLINK("https://dart.fss.or.kr/dsaf001/main.do?rcpNo=20260618000304", "공시열람")</f>
        <v/>
      </c>
    </row>
    <row r="4416" ht="22" customHeight="1">
      <c r="A4416" s="2" t="inlineStr">
        <is>
          <t>2026-06-18</t>
        </is>
      </c>
      <c r="B4416" s="3" t="inlineStr">
        <is>
          <t>듀오백</t>
        </is>
      </c>
      <c r="C4416" s="2" t="inlineStr">
        <is>
          <t>073190</t>
        </is>
      </c>
      <c r="D4416" s="2" t="inlineStr">
        <is>
          <t>대량보유</t>
        </is>
      </c>
      <c r="E4416" s="3" t="inlineStr">
        <is>
          <t>앨터스투자자문</t>
        </is>
      </c>
      <c r="F4416" s="3" t="inlineStr">
        <is>
          <t>특별관계자</t>
        </is>
      </c>
      <c r="G4416" s="3" t="inlineStr">
        <is>
          <t>장내매수(+), 계약기간만료, 장내매도(-)</t>
        </is>
      </c>
      <c r="H4416" s="15" t="n">
        <v>174354</v>
      </c>
      <c r="I4416" s="6" t="n">
        <v>1135</v>
      </c>
      <c r="J4416" s="6" t="n">
        <v>1535344</v>
      </c>
      <c r="K4416" s="16" t="n">
        <v>10</v>
      </c>
      <c r="L4416" s="2" t="inlineStr">
        <is>
          <t>20260618000301</t>
        </is>
      </c>
      <c r="M4416" s="8">
        <f>HYPERLINK("https://dart.fss.or.kr/dsaf001/main.do?rcpNo=20260618000301", "공시열람")</f>
        <v/>
      </c>
    </row>
    <row r="4417" ht="22" customHeight="1">
      <c r="A4417" s="2" t="inlineStr">
        <is>
          <t>2026-06-18</t>
        </is>
      </c>
      <c r="B4417" s="3" t="inlineStr">
        <is>
          <t>대동</t>
        </is>
      </c>
      <c r="C4417" s="2" t="inlineStr">
        <is>
          <t>000490</t>
        </is>
      </c>
      <c r="D4417" s="2" t="inlineStr">
        <is>
          <t>임원보고</t>
        </is>
      </c>
      <c r="E4417" s="3" t="inlineStr">
        <is>
          <t>-</t>
        </is>
      </c>
      <c r="F4417" s="3" t="inlineStr">
        <is>
          <t>-</t>
        </is>
      </c>
      <c r="G4417" s="3" t="inlineStr">
        <is>
          <t>-</t>
        </is>
      </c>
      <c r="H4417" s="6" t="inlineStr"/>
      <c r="I4417" s="6" t="inlineStr"/>
      <c r="J4417" s="6" t="inlineStr"/>
      <c r="K4417" s="16" t="n">
        <v>12</v>
      </c>
      <c r="L4417" s="2" t="inlineStr">
        <is>
          <t>20260618800615</t>
        </is>
      </c>
      <c r="M4417" s="8">
        <f>HYPERLINK("https://dart.fss.or.kr/dsaf001/main.do?rcpNo=20260618800615", "공시열람")</f>
        <v/>
      </c>
    </row>
    <row r="4418" ht="22" customHeight="1">
      <c r="A4418" s="2" t="inlineStr">
        <is>
          <t>2026-06-18</t>
        </is>
      </c>
      <c r="B4418" s="3" t="inlineStr">
        <is>
          <t>헥토이노베이션</t>
        </is>
      </c>
      <c r="C4418" s="2" t="inlineStr">
        <is>
          <t>214180</t>
        </is>
      </c>
      <c r="D4418" s="2" t="inlineStr">
        <is>
          <t>대량보유</t>
        </is>
      </c>
      <c r="E4418" s="3" t="inlineStr">
        <is>
          <t>이경민</t>
        </is>
      </c>
      <c r="F4418" s="3" t="inlineStr">
        <is>
          <t>보고자</t>
        </is>
      </c>
      <c r="G4418" s="3" t="inlineStr">
        <is>
          <t>담보 대출 연장</t>
        </is>
      </c>
      <c r="H4418" s="6" t="inlineStr"/>
      <c r="I4418" s="6" t="inlineStr"/>
      <c r="J4418" s="6" t="n">
        <v>5116140</v>
      </c>
      <c r="K4418" s="16" t="n">
        <v>4</v>
      </c>
      <c r="L4418" s="2" t="inlineStr">
        <is>
          <t>20260618000297</t>
        </is>
      </c>
      <c r="M4418" s="8">
        <f>HYPERLINK("https://dart.fss.or.kr/dsaf001/main.do?rcpNo=20260618000297", "공시열람")</f>
        <v/>
      </c>
    </row>
    <row r="4419" ht="22" customHeight="1">
      <c r="A4419" s="2" t="inlineStr">
        <is>
          <t>2026-06-18</t>
        </is>
      </c>
      <c r="B4419" s="3" t="inlineStr">
        <is>
          <t>IBKS제23호스팩</t>
        </is>
      </c>
      <c r="C4419" s="2" t="inlineStr">
        <is>
          <t>467930</t>
        </is>
      </c>
      <c r="D4419" s="2" t="inlineStr">
        <is>
          <t>대량보유</t>
        </is>
      </c>
      <c r="E4419" s="3" t="inlineStr">
        <is>
          <t>하우자산운용(주)</t>
        </is>
      </c>
      <c r="F4419" s="3" t="inlineStr">
        <is>
          <t>특별관계자</t>
        </is>
      </c>
      <c r="G4419" s="3" t="inlineStr">
        <is>
          <t>장내매수(+), 장내매도(-)</t>
        </is>
      </c>
      <c r="H4419" s="15" t="n">
        <v>171418</v>
      </c>
      <c r="I4419" s="6" t="n">
        <v>2142</v>
      </c>
      <c r="J4419" s="6" t="n">
        <v>285921</v>
      </c>
      <c r="K4419" s="16" t="n">
        <v>6.76</v>
      </c>
      <c r="L4419" s="2" t="inlineStr">
        <is>
          <t>20260618000292</t>
        </is>
      </c>
      <c r="M4419" s="8">
        <f>HYPERLINK("https://dart.fss.or.kr/dsaf001/main.do?rcpNo=20260618000292", "공시열람")</f>
        <v/>
      </c>
    </row>
    <row r="4420" ht="22" customHeight="1">
      <c r="A4420" s="2" t="inlineStr">
        <is>
          <t>2026-06-18</t>
        </is>
      </c>
      <c r="B4420" s="3" t="inlineStr">
        <is>
          <t>페니트리움바이오</t>
        </is>
      </c>
      <c r="C4420" s="2" t="inlineStr">
        <is>
          <t>187660</t>
        </is>
      </c>
      <c r="D4420" s="2" t="inlineStr">
        <is>
          <t>대량보유</t>
        </is>
      </c>
      <c r="E4420" s="3" t="inlineStr">
        <is>
          <t>현대바이오사이언스(주)</t>
        </is>
      </c>
      <c r="F4420" s="3" t="inlineStr">
        <is>
          <t>보고자</t>
        </is>
      </c>
      <c r="G4420" s="3" t="inlineStr">
        <is>
          <t>- 주식담보 추가제공</t>
        </is>
      </c>
      <c r="H4420" s="6" t="inlineStr"/>
      <c r="I4420" s="6" t="inlineStr"/>
      <c r="J4420" s="6" t="n">
        <v>20614284</v>
      </c>
      <c r="K4420" s="16" t="n">
        <v>4</v>
      </c>
      <c r="L4420" s="2" t="inlineStr">
        <is>
          <t>20260618000280</t>
        </is>
      </c>
      <c r="M4420" s="8">
        <f>HYPERLINK("https://dart.fss.or.kr/dsaf001/main.do?rcpNo=20260618000280", "공시열람")</f>
        <v/>
      </c>
    </row>
    <row r="4421" ht="22" customHeight="1">
      <c r="A4421" s="2" t="inlineStr">
        <is>
          <t>2026-06-18</t>
        </is>
      </c>
      <c r="B4421" s="3" t="inlineStr">
        <is>
          <t>다산솔루에타</t>
        </is>
      </c>
      <c r="C4421" s="2" t="inlineStr">
        <is>
          <t>154040</t>
        </is>
      </c>
      <c r="D4421" s="2" t="inlineStr">
        <is>
          <t>대량보유</t>
        </is>
      </c>
      <c r="E4421" s="3" t="inlineStr">
        <is>
          <t>(주)다산모바일</t>
        </is>
      </c>
      <c r="F4421" s="3" t="inlineStr">
        <is>
          <t>특별관계자</t>
        </is>
      </c>
      <c r="G4421" s="3" t="inlineStr">
        <is>
          <t>제3자배정유상증자(+)</t>
        </is>
      </c>
      <c r="H4421" s="15" t="n">
        <v>2520045</v>
      </c>
      <c r="I4421" s="6" t="n">
        <v>873</v>
      </c>
      <c r="J4421" s="6" t="n">
        <v>2520045</v>
      </c>
      <c r="K4421" s="16" t="n">
        <v>6</v>
      </c>
      <c r="L4421" s="2" t="inlineStr">
        <is>
          <t>20260618000279</t>
        </is>
      </c>
      <c r="M4421" s="8">
        <f>HYPERLINK("https://dart.fss.or.kr/dsaf001/main.do?rcpNo=20260618000279", "공시열람")</f>
        <v/>
      </c>
    </row>
    <row r="4422" ht="22" customHeight="1">
      <c r="A4422" s="2" t="inlineStr">
        <is>
          <t>2026-06-18</t>
        </is>
      </c>
      <c r="B4422" s="3" t="inlineStr">
        <is>
          <t>다산솔루에타</t>
        </is>
      </c>
      <c r="C4422" s="2" t="inlineStr">
        <is>
          <t>154040</t>
        </is>
      </c>
      <c r="D4422" s="2" t="inlineStr">
        <is>
          <t>대량보유</t>
        </is>
      </c>
      <c r="E4422" s="3" t="inlineStr">
        <is>
          <t>(주)다산벤처스</t>
        </is>
      </c>
      <c r="F4422" s="3" t="inlineStr">
        <is>
          <t>특별관계자</t>
        </is>
      </c>
      <c r="G4422" s="3" t="inlineStr">
        <is>
          <t>제3자배정유상증자(+), 장내매수(+)</t>
        </is>
      </c>
      <c r="H4422" s="15" t="n">
        <v>1241739</v>
      </c>
      <c r="I4422" s="6" t="n">
        <v>867</v>
      </c>
      <c r="J4422" s="6" t="n">
        <v>1970852</v>
      </c>
      <c r="K4422" s="16" t="n">
        <v>6</v>
      </c>
      <c r="L4422" s="2" t="inlineStr">
        <is>
          <t>20260618000279</t>
        </is>
      </c>
      <c r="M4422" s="8">
        <f>HYPERLINK("https://dart.fss.or.kr/dsaf001/main.do?rcpNo=20260618000279", "공시열람")</f>
        <v/>
      </c>
    </row>
    <row r="4423" ht="22" customHeight="1">
      <c r="A4423" s="2" t="inlineStr">
        <is>
          <t>2026-06-18</t>
        </is>
      </c>
      <c r="B4423" s="3" t="inlineStr">
        <is>
          <t>대동</t>
        </is>
      </c>
      <c r="C4423" s="2" t="inlineStr">
        <is>
          <t>000490</t>
        </is>
      </c>
      <c r="D4423" s="2" t="inlineStr">
        <is>
          <t>대량보유</t>
        </is>
      </c>
      <c r="E4423" s="3" t="inlineStr">
        <is>
          <t>김준식</t>
        </is>
      </c>
      <c r="F4423" s="3" t="inlineStr">
        <is>
          <t>특별관계자</t>
        </is>
      </c>
      <c r="G4423" s="3" t="inlineStr">
        <is>
          <t>장내매수(+)</t>
        </is>
      </c>
      <c r="H4423" s="15" t="n">
        <v>130000</v>
      </c>
      <c r="I4423" s="6" t="n">
        <v>8062</v>
      </c>
      <c r="J4423" s="6" t="n">
        <v>8097552</v>
      </c>
      <c r="K4423" s="16" t="n">
        <v>11</v>
      </c>
      <c r="L4423" s="2" t="inlineStr">
        <is>
          <t>20260618000277</t>
        </is>
      </c>
      <c r="M4423" s="8">
        <f>HYPERLINK("https://dart.fss.or.kr/dsaf001/main.do?rcpNo=20260618000277", "공시열람")</f>
        <v/>
      </c>
    </row>
    <row r="4424" ht="22" customHeight="1">
      <c r="A4424" s="2" t="inlineStr">
        <is>
          <t>2026-06-18</t>
        </is>
      </c>
      <c r="B4424" s="3" t="inlineStr">
        <is>
          <t>대동</t>
        </is>
      </c>
      <c r="C4424" s="2" t="inlineStr">
        <is>
          <t>000490</t>
        </is>
      </c>
      <c r="D4424" s="2" t="inlineStr">
        <is>
          <t>대량보유</t>
        </is>
      </c>
      <c r="E4424" s="3" t="inlineStr">
        <is>
          <t>원유현</t>
        </is>
      </c>
      <c r="F4424" s="3" t="inlineStr">
        <is>
          <t>특별관계자</t>
        </is>
      </c>
      <c r="G4424" s="3" t="inlineStr">
        <is>
          <t>장내매수(+)</t>
        </is>
      </c>
      <c r="H4424" s="15" t="n">
        <v>40000</v>
      </c>
      <c r="I4424" s="6" t="n">
        <v>7348</v>
      </c>
      <c r="J4424" s="6" t="n">
        <v>119088</v>
      </c>
      <c r="K4424" s="16" t="n">
        <v>11</v>
      </c>
      <c r="L4424" s="2" t="inlineStr">
        <is>
          <t>20260618000277</t>
        </is>
      </c>
      <c r="M4424" s="8">
        <f>HYPERLINK("https://dart.fss.or.kr/dsaf001/main.do?rcpNo=20260618000277", "공시열람")</f>
        <v/>
      </c>
    </row>
    <row r="4425" ht="22" customHeight="1">
      <c r="A4425" s="2" t="inlineStr">
        <is>
          <t>2026-06-18</t>
        </is>
      </c>
      <c r="B4425" s="3" t="inlineStr">
        <is>
          <t>대동</t>
        </is>
      </c>
      <c r="C4425" s="2" t="inlineStr">
        <is>
          <t>000490</t>
        </is>
      </c>
      <c r="D4425" s="2" t="inlineStr">
        <is>
          <t>대량보유</t>
        </is>
      </c>
      <c r="E4425" s="3" t="inlineStr">
        <is>
          <t>권기재</t>
        </is>
      </c>
      <c r="F4425" s="3" t="inlineStr">
        <is>
          <t>특별관계자</t>
        </is>
      </c>
      <c r="G4425" s="3" t="inlineStr">
        <is>
          <t>장내매수(+)</t>
        </is>
      </c>
      <c r="H4425" s="15" t="n">
        <v>5000</v>
      </c>
      <c r="I4425" s="6" t="n">
        <v>7323</v>
      </c>
      <c r="J4425" s="6" t="n">
        <v>14093</v>
      </c>
      <c r="K4425" s="16" t="n">
        <v>11</v>
      </c>
      <c r="L4425" s="2" t="inlineStr">
        <is>
          <t>20260618000277</t>
        </is>
      </c>
      <c r="M4425" s="8">
        <f>HYPERLINK("https://dart.fss.or.kr/dsaf001/main.do?rcpNo=20260618000277", "공시열람")</f>
        <v/>
      </c>
    </row>
    <row r="4426" ht="22" customHeight="1">
      <c r="A4426" s="2" t="inlineStr">
        <is>
          <t>2026-06-18</t>
        </is>
      </c>
      <c r="B4426" s="3" t="inlineStr">
        <is>
          <t>대동</t>
        </is>
      </c>
      <c r="C4426" s="2" t="inlineStr">
        <is>
          <t>000490</t>
        </is>
      </c>
      <c r="D4426" s="2" t="inlineStr">
        <is>
          <t>대량보유</t>
        </is>
      </c>
      <c r="E4426" s="3" t="inlineStr">
        <is>
          <t>나영중</t>
        </is>
      </c>
      <c r="F4426" s="3" t="inlineStr">
        <is>
          <t>특별관계자</t>
        </is>
      </c>
      <c r="G4426" s="3" t="inlineStr">
        <is>
          <t>장내매수(+)</t>
        </is>
      </c>
      <c r="H4426" s="15" t="n">
        <v>5000</v>
      </c>
      <c r="I4426" s="6" t="n">
        <v>7453</v>
      </c>
      <c r="J4426" s="6" t="n">
        <v>6241</v>
      </c>
      <c r="K4426" s="16" t="n">
        <v>11</v>
      </c>
      <c r="L4426" s="2" t="inlineStr">
        <is>
          <t>20260618000277</t>
        </is>
      </c>
      <c r="M4426" s="8">
        <f>HYPERLINK("https://dart.fss.or.kr/dsaf001/main.do?rcpNo=20260618000277", "공시열람")</f>
        <v/>
      </c>
    </row>
    <row r="4427" ht="22" customHeight="1">
      <c r="A4427" s="2" t="inlineStr">
        <is>
          <t>2026-06-18</t>
        </is>
      </c>
      <c r="B4427" s="3" t="inlineStr">
        <is>
          <t>대동</t>
        </is>
      </c>
      <c r="C4427" s="2" t="inlineStr">
        <is>
          <t>000490</t>
        </is>
      </c>
      <c r="D4427" s="2" t="inlineStr">
        <is>
          <t>대량보유</t>
        </is>
      </c>
      <c r="E4427" s="3" t="inlineStr">
        <is>
          <t>강성철</t>
        </is>
      </c>
      <c r="F4427" s="3" t="inlineStr">
        <is>
          <t>특별관계자</t>
        </is>
      </c>
      <c r="G4427" s="3" t="inlineStr">
        <is>
          <t>장내매수(+)</t>
        </is>
      </c>
      <c r="H4427" s="15" t="n">
        <v>5000</v>
      </c>
      <c r="I4427" s="6" t="n">
        <v>8069</v>
      </c>
      <c r="J4427" s="6" t="n">
        <v>4500</v>
      </c>
      <c r="K4427" s="16" t="n">
        <v>11</v>
      </c>
      <c r="L4427" s="2" t="inlineStr">
        <is>
          <t>20260618000277</t>
        </is>
      </c>
      <c r="M4427" s="8">
        <f>HYPERLINK("https://dart.fss.or.kr/dsaf001/main.do?rcpNo=20260618000277", "공시열람")</f>
        <v/>
      </c>
    </row>
    <row r="4428" ht="22" customHeight="1">
      <c r="A4428" s="2" t="inlineStr">
        <is>
          <t>2026-06-18</t>
        </is>
      </c>
      <c r="B4428" s="3" t="inlineStr">
        <is>
          <t>차이커뮤니케이션</t>
        </is>
      </c>
      <c r="C4428" s="2" t="inlineStr">
        <is>
          <t>351870</t>
        </is>
      </c>
      <c r="D4428" s="2" t="inlineStr">
        <is>
          <t>대량보유</t>
        </is>
      </c>
      <c r="E4428" s="3" t="inlineStr">
        <is>
          <t>최영섭</t>
        </is>
      </c>
      <c r="F4428" s="3" t="inlineStr">
        <is>
          <t>특별관계자</t>
        </is>
      </c>
      <c r="G4428" s="3" t="inlineStr">
        <is>
          <t>증여취소(+)</t>
        </is>
      </c>
      <c r="H4428" s="15" t="n">
        <v>702302</v>
      </c>
      <c r="I4428" s="6" t="inlineStr"/>
      <c r="J4428" s="6" t="n">
        <v>7180631</v>
      </c>
      <c r="K4428" s="16" t="n">
        <v>2</v>
      </c>
      <c r="L4428" s="2" t="inlineStr">
        <is>
          <t>20260618000273</t>
        </is>
      </c>
      <c r="M4428" s="8">
        <f>HYPERLINK("https://dart.fss.or.kr/dsaf001/main.do?rcpNo=20260618000273", "공시열람")</f>
        <v/>
      </c>
    </row>
    <row r="4429" ht="22" customHeight="1">
      <c r="A4429" s="2" t="inlineStr">
        <is>
          <t>2026-06-18</t>
        </is>
      </c>
      <c r="B4429" s="3" t="inlineStr">
        <is>
          <t>경인전자</t>
        </is>
      </c>
      <c r="C4429" s="2" t="inlineStr">
        <is>
          <t>009140</t>
        </is>
      </c>
      <c r="D4429" s="2" t="inlineStr">
        <is>
          <t>대량보유</t>
        </is>
      </c>
      <c r="E4429" s="3" t="inlineStr">
        <is>
          <t>주식회사케이일레븐파트너스</t>
        </is>
      </c>
      <c r="F4429" s="3" t="inlineStr">
        <is>
          <t>특별관계자</t>
        </is>
      </c>
      <c r="G4429" s="3" t="inlineStr">
        <is>
          <t>장외매수(+)</t>
        </is>
      </c>
      <c r="H4429" s="15" t="n">
        <v>785139</v>
      </c>
      <c r="I4429" s="6" t="n">
        <v>26600</v>
      </c>
      <c r="J4429" s="6" t="n">
        <v>785139</v>
      </c>
      <c r="K4429" s="16" t="n">
        <v>3</v>
      </c>
      <c r="L4429" s="2" t="inlineStr">
        <is>
          <t>20260618000259</t>
        </is>
      </c>
      <c r="M4429" s="8">
        <f>HYPERLINK("https://dart.fss.or.kr/dsaf001/main.do?rcpNo=20260618000259", "공시열람")</f>
        <v/>
      </c>
    </row>
    <row r="4430" ht="22" customHeight="1">
      <c r="A4430" s="2" t="inlineStr">
        <is>
          <t>2026-06-18</t>
        </is>
      </c>
      <c r="B4430" s="3" t="inlineStr">
        <is>
          <t>비에이치아이</t>
        </is>
      </c>
      <c r="C4430" s="2" t="inlineStr">
        <is>
          <t>083650</t>
        </is>
      </c>
      <c r="D4430" s="2" t="inlineStr">
        <is>
          <t>대량보유</t>
        </is>
      </c>
      <c r="E4430" s="3" t="inlineStr">
        <is>
          <t>삼성자산운용</t>
        </is>
      </c>
      <c r="F4430" s="3" t="inlineStr">
        <is>
          <t>특별관계자</t>
        </is>
      </c>
      <c r="G4430" s="3" t="inlineStr">
        <is>
          <t>장내매수(+), 기타(+), 기타(-), 장내매도(-)</t>
        </is>
      </c>
      <c r="H4430" s="17" t="n">
        <v>-337726</v>
      </c>
      <c r="I4430" s="6" t="n">
        <v>85669</v>
      </c>
      <c r="J4430" s="6" t="n">
        <v>1220665</v>
      </c>
      <c r="K4430" s="16" t="n">
        <v>3.94</v>
      </c>
      <c r="L4430" s="2" t="inlineStr">
        <is>
          <t>20260618000254</t>
        </is>
      </c>
      <c r="M4430" s="8">
        <f>HYPERLINK("https://dart.fss.or.kr/dsaf001/main.do?rcpNo=20260618000254", "공시열람")</f>
        <v/>
      </c>
    </row>
    <row r="4431" ht="22" customHeight="1">
      <c r="A4431" s="2" t="inlineStr">
        <is>
          <t>2026-06-18</t>
        </is>
      </c>
      <c r="B4431" s="3" t="inlineStr">
        <is>
          <t>디와이파워</t>
        </is>
      </c>
      <c r="C4431" s="2" t="inlineStr">
        <is>
          <t>210540</t>
        </is>
      </c>
      <c r="D4431" s="2" t="inlineStr">
        <is>
          <t>임원보고</t>
        </is>
      </c>
      <c r="E4431" s="3" t="inlineStr">
        <is>
          <t>-</t>
        </is>
      </c>
      <c r="F4431" s="3" t="inlineStr">
        <is>
          <t>-</t>
        </is>
      </c>
      <c r="G4431" s="3" t="inlineStr">
        <is>
          <t>-</t>
        </is>
      </c>
      <c r="H4431" s="6" t="inlineStr"/>
      <c r="I4431" s="6" t="inlineStr"/>
      <c r="J4431" s="6" t="inlineStr"/>
      <c r="K4431" s="16" t="n">
        <v>12</v>
      </c>
      <c r="L4431" s="2" t="inlineStr">
        <is>
          <t>20260618800557</t>
        </is>
      </c>
      <c r="M4431" s="8">
        <f>HYPERLINK("https://dart.fss.or.kr/dsaf001/main.do?rcpNo=20260618800557", "공시열람")</f>
        <v/>
      </c>
    </row>
    <row r="4432" ht="22" customHeight="1">
      <c r="A4432" s="2" t="inlineStr">
        <is>
          <t>2026-06-18</t>
        </is>
      </c>
      <c r="B4432" s="3" t="inlineStr">
        <is>
          <t>체시스</t>
        </is>
      </c>
      <c r="C4432" s="2" t="inlineStr">
        <is>
          <t>033250</t>
        </is>
      </c>
      <c r="D4432" s="2" t="inlineStr">
        <is>
          <t>임원보고</t>
        </is>
      </c>
      <c r="E4432" s="3" t="inlineStr">
        <is>
          <t>-</t>
        </is>
      </c>
      <c r="F4432" s="3" t="inlineStr">
        <is>
          <t>-</t>
        </is>
      </c>
      <c r="G4432" s="3" t="inlineStr">
        <is>
          <t>-</t>
        </is>
      </c>
      <c r="H4432" s="6" t="inlineStr"/>
      <c r="I4432" s="6" t="inlineStr"/>
      <c r="J4432" s="6" t="inlineStr"/>
      <c r="K4432" s="16" t="n">
        <v>12</v>
      </c>
      <c r="L4432" s="2" t="inlineStr">
        <is>
          <t>20260618800556</t>
        </is>
      </c>
      <c r="M4432" s="8">
        <f>HYPERLINK("https://dart.fss.or.kr/dsaf001/main.do?rcpNo=20260618800556", "공시열람")</f>
        <v/>
      </c>
    </row>
    <row r="4433" ht="22" customHeight="1">
      <c r="A4433" s="2" t="inlineStr">
        <is>
          <t>2026-06-18</t>
        </is>
      </c>
      <c r="B4433" s="3" t="inlineStr">
        <is>
          <t>LX세미콘</t>
        </is>
      </c>
      <c r="C4433" s="2" t="inlineStr">
        <is>
          <t>108320</t>
        </is>
      </c>
      <c r="D4433" s="2" t="inlineStr">
        <is>
          <t>대량보유</t>
        </is>
      </c>
      <c r="E4433" s="3" t="inlineStr">
        <is>
          <t>삼성자산운용</t>
        </is>
      </c>
      <c r="F4433" s="3" t="inlineStr">
        <is>
          <t>특별관계자</t>
        </is>
      </c>
      <c r="G4433" s="3" t="inlineStr">
        <is>
          <t>장내매수(+), 기타(+), 기타(-), 장내매도(-)</t>
        </is>
      </c>
      <c r="H4433" s="17" t="n">
        <v>-222368</v>
      </c>
      <c r="I4433" s="6" t="n">
        <v>55368</v>
      </c>
      <c r="J4433" s="6" t="n">
        <v>601250</v>
      </c>
      <c r="K4433" s="16" t="n">
        <v>3.7</v>
      </c>
      <c r="L4433" s="2" t="inlineStr">
        <is>
          <t>20260618000250</t>
        </is>
      </c>
      <c r="M4433" s="8">
        <f>HYPERLINK("https://dart.fss.or.kr/dsaf001/main.do?rcpNo=20260618000250", "공시열람")</f>
        <v/>
      </c>
    </row>
    <row r="4434" ht="22" customHeight="1">
      <c r="A4434" s="2" t="inlineStr">
        <is>
          <t>2026-06-18</t>
        </is>
      </c>
      <c r="B4434" s="3" t="inlineStr">
        <is>
          <t>이삭엔지니어링</t>
        </is>
      </c>
      <c r="C4434" s="2" t="inlineStr">
        <is>
          <t>351330</t>
        </is>
      </c>
      <c r="D4434" s="2" t="inlineStr">
        <is>
          <t>대량보유</t>
        </is>
      </c>
      <c r="E4434" s="3" t="inlineStr">
        <is>
          <t>김창수</t>
        </is>
      </c>
      <c r="F4434" s="3" t="inlineStr">
        <is>
          <t>보고자</t>
        </is>
      </c>
      <c r="G4434" s="3" t="inlineStr">
        <is>
          <t>보고자 주식담보대출 일부상환 및 연장</t>
        </is>
      </c>
      <c r="H4434" s="6" t="inlineStr"/>
      <c r="I4434" s="6" t="inlineStr"/>
      <c r="J4434" s="6" t="n">
        <v>4676300</v>
      </c>
      <c r="K4434" s="16" t="n">
        <v>4</v>
      </c>
      <c r="L4434" s="2" t="inlineStr">
        <is>
          <t>20260618000249</t>
        </is>
      </c>
      <c r="M4434" s="8">
        <f>HYPERLINK("https://dart.fss.or.kr/dsaf001/main.do?rcpNo=20260618000249", "공시열람")</f>
        <v/>
      </c>
    </row>
    <row r="4435" ht="22" customHeight="1">
      <c r="A4435" s="2" t="inlineStr">
        <is>
          <t>2026-06-18</t>
        </is>
      </c>
      <c r="B4435" s="3" t="inlineStr">
        <is>
          <t>달바글로벌</t>
        </is>
      </c>
      <c r="C4435" s="2" t="inlineStr">
        <is>
          <t>483650</t>
        </is>
      </c>
      <c r="D4435" s="2" t="inlineStr">
        <is>
          <t>대량보유</t>
        </is>
      </c>
      <c r="E4435" s="3" t="inlineStr">
        <is>
          <t>BestInvestmentCorp</t>
        </is>
      </c>
      <c r="F4435" s="3" t="inlineStr">
        <is>
          <t>특별관계자</t>
        </is>
      </c>
      <c r="G4435" s="3" t="inlineStr">
        <is>
          <t>장내매수(+)</t>
        </is>
      </c>
      <c r="H4435" s="15" t="n">
        <v>109</v>
      </c>
      <c r="I4435" s="6" t="n">
        <v>258757</v>
      </c>
      <c r="J4435" s="6" t="n">
        <v>959</v>
      </c>
      <c r="K4435" s="16" t="n">
        <v>20</v>
      </c>
      <c r="L4435" s="2" t="inlineStr">
        <is>
          <t>20260618000248</t>
        </is>
      </c>
      <c r="M4435" s="8">
        <f>HYPERLINK("https://dart.fss.or.kr/dsaf001/main.do?rcpNo=20260618000248", "공시열람")</f>
        <v/>
      </c>
    </row>
    <row r="4436" ht="22" customHeight="1">
      <c r="A4436" s="2" t="inlineStr">
        <is>
          <t>2026-06-18</t>
        </is>
      </c>
      <c r="B4436" s="3" t="inlineStr">
        <is>
          <t>달바글로벌</t>
        </is>
      </c>
      <c r="C4436" s="2" t="inlineStr">
        <is>
          <t>483650</t>
        </is>
      </c>
      <c r="D4436" s="2" t="inlineStr">
        <is>
          <t>대량보유</t>
        </is>
      </c>
      <c r="E4436" s="3" t="inlineStr">
        <is>
          <t>FALCONREFIDELITYEME</t>
        </is>
      </c>
      <c r="F4436" s="3" t="inlineStr">
        <is>
          <t>특별관계자</t>
        </is>
      </c>
      <c r="G4436" s="3" t="inlineStr">
        <is>
          <t>장내매수(+)</t>
        </is>
      </c>
      <c r="H4436" s="15" t="n">
        <v>14505</v>
      </c>
      <c r="I4436" s="6" t="n">
        <v>247178</v>
      </c>
      <c r="J4436" s="6" t="n">
        <v>83808</v>
      </c>
      <c r="K4436" s="16" t="n">
        <v>20</v>
      </c>
      <c r="L4436" s="2" t="inlineStr">
        <is>
          <t>20260618000248</t>
        </is>
      </c>
      <c r="M4436" s="8">
        <f>HYPERLINK("https://dart.fss.or.kr/dsaf001/main.do?rcpNo=20260618000248", "공시열람")</f>
        <v/>
      </c>
    </row>
    <row r="4437" ht="22" customHeight="1">
      <c r="A4437" s="2" t="inlineStr">
        <is>
          <t>2026-06-18</t>
        </is>
      </c>
      <c r="B4437" s="3" t="inlineStr">
        <is>
          <t>달바글로벌</t>
        </is>
      </c>
      <c r="C4437" s="2" t="inlineStr">
        <is>
          <t>483650</t>
        </is>
      </c>
      <c r="D4437" s="2" t="inlineStr">
        <is>
          <t>대량보유</t>
        </is>
      </c>
      <c r="E4437" s="3" t="inlineStr">
        <is>
          <t>FASTEMMKTSFUND</t>
        </is>
      </c>
      <c r="F4437" s="3" t="inlineStr">
        <is>
          <t>특별관계자</t>
        </is>
      </c>
      <c r="G4437" s="3" t="inlineStr">
        <is>
          <t>장내매수(+)</t>
        </is>
      </c>
      <c r="H4437" s="15" t="n">
        <v>11579</v>
      </c>
      <c r="I4437" s="6" t="n">
        <v>229318</v>
      </c>
      <c r="J4437" s="6" t="n">
        <v>44867</v>
      </c>
      <c r="K4437" s="16" t="n">
        <v>20</v>
      </c>
      <c r="L4437" s="2" t="inlineStr">
        <is>
          <t>20260618000248</t>
        </is>
      </c>
      <c r="M4437" s="8">
        <f>HYPERLINK("https://dart.fss.or.kr/dsaf001/main.do?rcpNo=20260618000248", "공시열람")</f>
        <v/>
      </c>
    </row>
    <row r="4438" ht="22" customHeight="1">
      <c r="A4438" s="2" t="inlineStr">
        <is>
          <t>2026-06-18</t>
        </is>
      </c>
      <c r="B4438" s="3" t="inlineStr">
        <is>
          <t>달바글로벌</t>
        </is>
      </c>
      <c r="C4438" s="2" t="inlineStr">
        <is>
          <t>483650</t>
        </is>
      </c>
      <c r="D4438" s="2" t="inlineStr">
        <is>
          <t>대량보유</t>
        </is>
      </c>
      <c r="E4438" s="3" t="inlineStr">
        <is>
          <t>FGIF-AsiaPacificEq</t>
        </is>
      </c>
      <c r="F4438" s="3" t="inlineStr">
        <is>
          <t>특별관계자</t>
        </is>
      </c>
      <c r="G4438" s="3" t="inlineStr">
        <is>
          <t>장내매수(+)</t>
        </is>
      </c>
      <c r="H4438" s="15" t="n">
        <v>27310</v>
      </c>
      <c r="I4438" s="6" t="n">
        <v>219531</v>
      </c>
      <c r="J4438" s="6" t="n">
        <v>89462</v>
      </c>
      <c r="K4438" s="16" t="n">
        <v>20</v>
      </c>
      <c r="L4438" s="2" t="inlineStr">
        <is>
          <t>20260618000248</t>
        </is>
      </c>
      <c r="M4438" s="8">
        <f>HYPERLINK("https://dart.fss.or.kr/dsaf001/main.do?rcpNo=20260618000248", "공시열람")</f>
        <v/>
      </c>
    </row>
    <row r="4439" ht="22" customHeight="1">
      <c r="A4439" s="2" t="inlineStr">
        <is>
          <t>2026-06-18</t>
        </is>
      </c>
      <c r="B4439" s="3" t="inlineStr">
        <is>
          <t>달바글로벌</t>
        </is>
      </c>
      <c r="C4439" s="2" t="inlineStr">
        <is>
          <t>483650</t>
        </is>
      </c>
      <c r="D4439" s="2" t="inlineStr">
        <is>
          <t>대량보유</t>
        </is>
      </c>
      <c r="E4439" s="3" t="inlineStr">
        <is>
          <t>FIDEMEQRESETF</t>
        </is>
      </c>
      <c r="F4439" s="3" t="inlineStr">
        <is>
          <t>특별관계자</t>
        </is>
      </c>
      <c r="G4439" s="3" t="inlineStr">
        <is>
          <t>장내매수(+)</t>
        </is>
      </c>
      <c r="H4439" s="15" t="n">
        <v>45422</v>
      </c>
      <c r="I4439" s="6" t="n">
        <v>210315</v>
      </c>
      <c r="J4439" s="6" t="n">
        <v>45422</v>
      </c>
      <c r="K4439" s="16" t="n">
        <v>20</v>
      </c>
      <c r="L4439" s="2" t="inlineStr">
        <is>
          <t>20260618000248</t>
        </is>
      </c>
      <c r="M4439" s="8">
        <f>HYPERLINK("https://dart.fss.or.kr/dsaf001/main.do?rcpNo=20260618000248", "공시열람")</f>
        <v/>
      </c>
    </row>
    <row r="4440" ht="22" customHeight="1">
      <c r="A4440" s="2" t="inlineStr">
        <is>
          <t>2026-06-18</t>
        </is>
      </c>
      <c r="B4440" s="3" t="inlineStr">
        <is>
          <t>달바글로벌</t>
        </is>
      </c>
      <c r="C4440" s="2" t="inlineStr">
        <is>
          <t>483650</t>
        </is>
      </c>
      <c r="D4440" s="2" t="inlineStr">
        <is>
          <t>대량보유</t>
        </is>
      </c>
      <c r="E4440" s="3" t="inlineStr">
        <is>
          <t>FIDEMERGMKTSFUND</t>
        </is>
      </c>
      <c r="F4440" s="3" t="inlineStr">
        <is>
          <t>특별관계자</t>
        </is>
      </c>
      <c r="G4440" s="3" t="inlineStr">
        <is>
          <t>장내매수(+)</t>
        </is>
      </c>
      <c r="H4440" s="15" t="n">
        <v>5830</v>
      </c>
      <c r="I4440" s="6" t="n">
        <v>247178</v>
      </c>
      <c r="J4440" s="6" t="n">
        <v>33408</v>
      </c>
      <c r="K4440" s="16" t="n">
        <v>20</v>
      </c>
      <c r="L4440" s="2" t="inlineStr">
        <is>
          <t>20260618000248</t>
        </is>
      </c>
      <c r="M4440" s="8">
        <f>HYPERLINK("https://dart.fss.or.kr/dsaf001/main.do?rcpNo=20260618000248", "공시열람")</f>
        <v/>
      </c>
    </row>
    <row r="4441" ht="22" customHeight="1">
      <c r="A4441" s="2" t="inlineStr">
        <is>
          <t>2026-06-18</t>
        </is>
      </c>
      <c r="B4441" s="3" t="inlineStr">
        <is>
          <t>달바글로벌</t>
        </is>
      </c>
      <c r="C4441" s="2" t="inlineStr">
        <is>
          <t>483650</t>
        </is>
      </c>
      <c r="D4441" s="2" t="inlineStr">
        <is>
          <t>대량보유</t>
        </is>
      </c>
      <c r="E4441" s="3" t="inlineStr">
        <is>
          <t>FIDEMERGINGMKTSLTD</t>
        </is>
      </c>
      <c r="F4441" s="3" t="inlineStr">
        <is>
          <t>특별관계자</t>
        </is>
      </c>
      <c r="G4441" s="3" t="inlineStr">
        <is>
          <t>장내매수(+)</t>
        </is>
      </c>
      <c r="H4441" s="15" t="n">
        <v>7997</v>
      </c>
      <c r="I4441" s="6" t="n">
        <v>247178</v>
      </c>
      <c r="J4441" s="6" t="n">
        <v>50132</v>
      </c>
      <c r="K4441" s="16" t="n">
        <v>20</v>
      </c>
      <c r="L4441" s="2" t="inlineStr">
        <is>
          <t>20260618000248</t>
        </is>
      </c>
      <c r="M4441" s="8">
        <f>HYPERLINK("https://dart.fss.or.kr/dsaf001/main.do?rcpNo=20260618000248", "공시열람")</f>
        <v/>
      </c>
    </row>
    <row r="4442" ht="22" customHeight="1">
      <c r="A4442" s="2" t="inlineStr">
        <is>
          <t>2026-06-18</t>
        </is>
      </c>
      <c r="B4442" s="3" t="inlineStr">
        <is>
          <t>달바글로벌</t>
        </is>
      </c>
      <c r="C4442" s="2" t="inlineStr">
        <is>
          <t>483650</t>
        </is>
      </c>
      <c r="D4442" s="2" t="inlineStr">
        <is>
          <t>대량보유</t>
        </is>
      </c>
      <c r="E4442" s="3" t="inlineStr">
        <is>
          <t>FIDSEASTASIAFUND</t>
        </is>
      </c>
      <c r="F4442" s="3" t="inlineStr">
        <is>
          <t>특별관계자</t>
        </is>
      </c>
      <c r="G4442" s="3" t="inlineStr">
        <is>
          <t>장내매수(+)</t>
        </is>
      </c>
      <c r="H4442" s="15" t="n">
        <v>2994</v>
      </c>
      <c r="I4442" s="6" t="n">
        <v>220565</v>
      </c>
      <c r="J4442" s="6" t="n">
        <v>10035</v>
      </c>
      <c r="K4442" s="16" t="n">
        <v>20</v>
      </c>
      <c r="L4442" s="2" t="inlineStr">
        <is>
          <t>20260618000248</t>
        </is>
      </c>
      <c r="M4442" s="8">
        <f>HYPERLINK("https://dart.fss.or.kr/dsaf001/main.do?rcpNo=20260618000248", "공시열람")</f>
        <v/>
      </c>
    </row>
    <row r="4443" ht="22" customHeight="1">
      <c r="A4443" s="2" t="inlineStr">
        <is>
          <t>2026-06-18</t>
        </is>
      </c>
      <c r="B4443" s="3" t="inlineStr">
        <is>
          <t>달바글로벌</t>
        </is>
      </c>
      <c r="C4443" s="2" t="inlineStr">
        <is>
          <t>483650</t>
        </is>
      </c>
      <c r="D4443" s="2" t="inlineStr">
        <is>
          <t>대량보유</t>
        </is>
      </c>
      <c r="E4443" s="3" t="inlineStr">
        <is>
          <t>FIDELITYFUNDS</t>
        </is>
      </c>
      <c r="F4443" s="3" t="inlineStr">
        <is>
          <t>특별관계자</t>
        </is>
      </c>
      <c r="G4443" s="3" t="inlineStr">
        <is>
          <t>장내매수(+), 장내매도(-)</t>
        </is>
      </c>
      <c r="H4443" s="15" t="n">
        <v>16749</v>
      </c>
      <c r="I4443" s="6" t="n">
        <v>242513</v>
      </c>
      <c r="J4443" s="6" t="n">
        <v>222496</v>
      </c>
      <c r="K4443" s="16" t="n">
        <v>20</v>
      </c>
      <c r="L4443" s="2" t="inlineStr">
        <is>
          <t>20260618000248</t>
        </is>
      </c>
      <c r="M4443" s="8">
        <f>HYPERLINK("https://dart.fss.or.kr/dsaf001/main.do?rcpNo=20260618000248", "공시열람")</f>
        <v/>
      </c>
    </row>
    <row r="4444" ht="22" customHeight="1">
      <c r="A4444" s="2" t="inlineStr">
        <is>
          <t>2026-06-18</t>
        </is>
      </c>
      <c r="B4444" s="3" t="inlineStr">
        <is>
          <t>달바글로벌</t>
        </is>
      </c>
      <c r="C4444" s="2" t="inlineStr">
        <is>
          <t>483650</t>
        </is>
      </c>
      <c r="D4444" s="2" t="inlineStr">
        <is>
          <t>대량보유</t>
        </is>
      </c>
      <c r="E4444" s="3" t="inlineStr">
        <is>
          <t>HI-KAPPA-14-SFONDS</t>
        </is>
      </c>
      <c r="F4444" s="3" t="inlineStr">
        <is>
          <t>특별관계자</t>
        </is>
      </c>
      <c r="G4444" s="3" t="inlineStr">
        <is>
          <t>장내매도(-)</t>
        </is>
      </c>
      <c r="H4444" s="17" t="n">
        <v>-497</v>
      </c>
      <c r="I4444" s="6" t="n">
        <v>255276</v>
      </c>
      <c r="J4444" s="6" t="n">
        <v>3252</v>
      </c>
      <c r="K4444" s="16" t="n">
        <v>20</v>
      </c>
      <c r="L4444" s="2" t="inlineStr">
        <is>
          <t>20260618000248</t>
        </is>
      </c>
      <c r="M4444" s="8">
        <f>HYPERLINK("https://dart.fss.or.kr/dsaf001/main.do?rcpNo=20260618000248", "공시열람")</f>
        <v/>
      </c>
    </row>
    <row r="4445" ht="22" customHeight="1">
      <c r="A4445" s="2" t="inlineStr">
        <is>
          <t>2026-06-18</t>
        </is>
      </c>
      <c r="B4445" s="3" t="inlineStr">
        <is>
          <t>달바글로벌</t>
        </is>
      </c>
      <c r="C4445" s="2" t="inlineStr">
        <is>
          <t>483650</t>
        </is>
      </c>
      <c r="D4445" s="2" t="inlineStr">
        <is>
          <t>대량보유</t>
        </is>
      </c>
      <c r="E4445" s="3" t="inlineStr">
        <is>
          <t>HI-SZVA-34-SFONDS</t>
        </is>
      </c>
      <c r="F4445" s="3" t="inlineStr">
        <is>
          <t>특별관계자</t>
        </is>
      </c>
      <c r="G4445" s="3" t="inlineStr">
        <is>
          <t>장내매도(-)</t>
        </is>
      </c>
      <c r="H4445" s="17" t="n">
        <v>-705</v>
      </c>
      <c r="I4445" s="6" t="n">
        <v>255260</v>
      </c>
      <c r="J4445" s="6" t="n">
        <v>4607</v>
      </c>
      <c r="K4445" s="16" t="n">
        <v>20</v>
      </c>
      <c r="L4445" s="2" t="inlineStr">
        <is>
          <t>20260618000248</t>
        </is>
      </c>
      <c r="M4445" s="8">
        <f>HYPERLINK("https://dart.fss.or.kr/dsaf001/main.do?rcpNo=20260618000248", "공시열람")</f>
        <v/>
      </c>
    </row>
    <row r="4446" ht="22" customHeight="1">
      <c r="A4446" s="2" t="inlineStr">
        <is>
          <t>2026-06-18</t>
        </is>
      </c>
      <c r="B4446" s="3" t="inlineStr">
        <is>
          <t>달바글로벌</t>
        </is>
      </c>
      <c r="C4446" s="2" t="inlineStr">
        <is>
          <t>483650</t>
        </is>
      </c>
      <c r="D4446" s="2" t="inlineStr">
        <is>
          <t>대량보유</t>
        </is>
      </c>
      <c r="E4446" s="3" t="inlineStr">
        <is>
          <t>LPF-GLOBALDYNAMICAPEQ</t>
        </is>
      </c>
      <c r="F4446" s="3" t="inlineStr">
        <is>
          <t>특별관계자</t>
        </is>
      </c>
      <c r="G4446" s="3" t="inlineStr">
        <is>
          <t>장내매수(+)</t>
        </is>
      </c>
      <c r="H4446" s="15" t="n">
        <v>237</v>
      </c>
      <c r="I4446" s="6" t="n">
        <v>219959</v>
      </c>
      <c r="J4446" s="6" t="n">
        <v>975</v>
      </c>
      <c r="K4446" s="16" t="n">
        <v>20</v>
      </c>
      <c r="L4446" s="2" t="inlineStr">
        <is>
          <t>20260618000248</t>
        </is>
      </c>
      <c r="M4446" s="8">
        <f>HYPERLINK("https://dart.fss.or.kr/dsaf001/main.do?rcpNo=20260618000248", "공시열람")</f>
        <v/>
      </c>
    </row>
    <row r="4447" ht="22" customHeight="1">
      <c r="A4447" s="2" t="inlineStr">
        <is>
          <t>2026-06-18</t>
        </is>
      </c>
      <c r="B4447" s="3" t="inlineStr">
        <is>
          <t>달바글로벌</t>
        </is>
      </c>
      <c r="C4447" s="2" t="inlineStr">
        <is>
          <t>483650</t>
        </is>
      </c>
      <c r="D4447" s="2" t="inlineStr">
        <is>
          <t>대량보유</t>
        </is>
      </c>
      <c r="E4447" s="3" t="inlineStr">
        <is>
          <t>NEFEMEQUITY</t>
        </is>
      </c>
      <c r="F4447" s="3" t="inlineStr">
        <is>
          <t>특별관계자</t>
        </is>
      </c>
      <c r="G4447" s="3" t="inlineStr">
        <is>
          <t>장내매수(+)</t>
        </is>
      </c>
      <c r="H4447" s="15" t="n">
        <v>12018</v>
      </c>
      <c r="I4447" s="6" t="n">
        <v>215124</v>
      </c>
      <c r="J4447" s="6" t="n">
        <v>12018</v>
      </c>
      <c r="K4447" s="16" t="n">
        <v>20</v>
      </c>
      <c r="L4447" s="2" t="inlineStr">
        <is>
          <t>20260618000248</t>
        </is>
      </c>
      <c r="M4447" s="8">
        <f>HYPERLINK("https://dart.fss.or.kr/dsaf001/main.do?rcpNo=20260618000248", "공시열람")</f>
        <v/>
      </c>
    </row>
    <row r="4448" ht="22" customHeight="1">
      <c r="A4448" s="2" t="inlineStr">
        <is>
          <t>2026-06-18</t>
        </is>
      </c>
      <c r="B4448" s="3" t="inlineStr">
        <is>
          <t>달바글로벌</t>
        </is>
      </c>
      <c r="C4448" s="2" t="inlineStr">
        <is>
          <t>483650</t>
        </is>
      </c>
      <c r="D4448" s="2" t="inlineStr">
        <is>
          <t>대량보유</t>
        </is>
      </c>
      <c r="E4448" s="3" t="inlineStr">
        <is>
          <t>NORDESTASSETMANAGEMENT</t>
        </is>
      </c>
      <c r="F4448" s="3" t="inlineStr">
        <is>
          <t>특별관계자</t>
        </is>
      </c>
      <c r="G4448" s="3" t="inlineStr">
        <is>
          <t>장내매도(-)</t>
        </is>
      </c>
      <c r="H4448" s="17" t="n">
        <v>-1904</v>
      </c>
      <c r="I4448" s="6" t="n">
        <v>255356</v>
      </c>
      <c r="J4448" s="6" t="n">
        <v>12483</v>
      </c>
      <c r="K4448" s="16" t="n">
        <v>20</v>
      </c>
      <c r="L4448" s="2" t="inlineStr">
        <is>
          <t>20260618000248</t>
        </is>
      </c>
      <c r="M4448" s="8">
        <f>HYPERLINK("https://dart.fss.or.kr/dsaf001/main.do?rcpNo=20260618000248", "공시열람")</f>
        <v/>
      </c>
    </row>
    <row r="4449" ht="22" customHeight="1">
      <c r="A4449" s="2" t="inlineStr">
        <is>
          <t>2026-06-18</t>
        </is>
      </c>
      <c r="B4449" s="3" t="inlineStr">
        <is>
          <t>달바글로벌</t>
        </is>
      </c>
      <c r="C4449" s="2" t="inlineStr">
        <is>
          <t>483650</t>
        </is>
      </c>
      <c r="D4449" s="2" t="inlineStr">
        <is>
          <t>대량보유</t>
        </is>
      </c>
      <c r="E4449" s="3" t="inlineStr">
        <is>
          <t>NPIF-GLBDYNAMICAPEQ</t>
        </is>
      </c>
      <c r="F4449" s="3" t="inlineStr">
        <is>
          <t>특별관계자</t>
        </is>
      </c>
      <c r="G4449" s="3" t="inlineStr">
        <is>
          <t>장내매수(+)</t>
        </is>
      </c>
      <c r="H4449" s="15" t="n">
        <v>34</v>
      </c>
      <c r="I4449" s="6" t="n">
        <v>219881</v>
      </c>
      <c r="J4449" s="6" t="n">
        <v>142</v>
      </c>
      <c r="K4449" s="16" t="n">
        <v>20</v>
      </c>
      <c r="L4449" s="2" t="inlineStr">
        <is>
          <t>20260618000248</t>
        </is>
      </c>
      <c r="M4449" s="8">
        <f>HYPERLINK("https://dart.fss.or.kr/dsaf001/main.do?rcpNo=20260618000248", "공시열람")</f>
        <v/>
      </c>
    </row>
    <row r="4450" ht="22" customHeight="1">
      <c r="A4450" s="2" t="inlineStr">
        <is>
          <t>2026-06-18</t>
        </is>
      </c>
      <c r="B4450" s="3" t="inlineStr">
        <is>
          <t>우리기술</t>
        </is>
      </c>
      <c r="C4450" s="2" t="inlineStr">
        <is>
          <t>032820</t>
        </is>
      </c>
      <c r="D4450" s="2" t="inlineStr">
        <is>
          <t>대량보유</t>
        </is>
      </c>
      <c r="E4450" s="3" t="inlineStr">
        <is>
          <t>삼성자산운용</t>
        </is>
      </c>
      <c r="F4450" s="3" t="inlineStr">
        <is>
          <t>특별관계자</t>
        </is>
      </c>
      <c r="G4450" s="3" t="inlineStr">
        <is>
          <t>장내매수(+), 기타(+), 기타(-), 장내매도(-)</t>
        </is>
      </c>
      <c r="H4450" s="17" t="n">
        <v>-1535636</v>
      </c>
      <c r="I4450" s="6" t="n">
        <v>19744</v>
      </c>
      <c r="J4450" s="6" t="n">
        <v>6951602</v>
      </c>
      <c r="K4450" s="16" t="n">
        <v>4.05</v>
      </c>
      <c r="L4450" s="2" t="inlineStr">
        <is>
          <t>20260618000247</t>
        </is>
      </c>
      <c r="M4450" s="8">
        <f>HYPERLINK("https://dart.fss.or.kr/dsaf001/main.do?rcpNo=20260618000247", "공시열람")</f>
        <v/>
      </c>
    </row>
    <row r="4451" ht="22" customHeight="1">
      <c r="A4451" s="2" t="inlineStr">
        <is>
          <t>2026-06-18</t>
        </is>
      </c>
      <c r="B4451" s="3" t="inlineStr">
        <is>
          <t>서진시스템</t>
        </is>
      </c>
      <c r="C4451" s="2" t="inlineStr">
        <is>
          <t>178320</t>
        </is>
      </c>
      <c r="D4451" s="2" t="inlineStr">
        <is>
          <t>대량보유</t>
        </is>
      </c>
      <c r="E4451" s="3" t="inlineStr">
        <is>
          <t>삼성자산운용</t>
        </is>
      </c>
      <c r="F4451" s="3" t="inlineStr">
        <is>
          <t>특별관계자</t>
        </is>
      </c>
      <c r="G4451" s="3" t="inlineStr">
        <is>
          <t>신규보고(+), 장내매수(+), 기타(+), 기타(-)</t>
        </is>
      </c>
      <c r="H4451" s="15" t="n">
        <v>3235356</v>
      </c>
      <c r="I4451" s="6" t="n">
        <v>74146</v>
      </c>
      <c r="J4451" s="6" t="n">
        <v>3235356</v>
      </c>
      <c r="K4451" s="16" t="n">
        <v>5.08</v>
      </c>
      <c r="L4451" s="2" t="inlineStr">
        <is>
          <t>20260618000243</t>
        </is>
      </c>
      <c r="M4451" s="8">
        <f>HYPERLINK("https://dart.fss.or.kr/dsaf001/main.do?rcpNo=20260618000243", "공시열람")</f>
        <v/>
      </c>
    </row>
    <row r="4452" ht="22" customHeight="1">
      <c r="A4452" s="2" t="inlineStr">
        <is>
          <t>2026-06-18</t>
        </is>
      </c>
      <c r="B4452" s="3" t="inlineStr">
        <is>
          <t>SB성보</t>
        </is>
      </c>
      <c r="C4452" s="2" t="inlineStr">
        <is>
          <t>003080</t>
        </is>
      </c>
      <c r="D4452" s="2" t="inlineStr">
        <is>
          <t>대량보유</t>
        </is>
      </c>
      <c r="E4452" s="3" t="inlineStr">
        <is>
          <t>윤정선</t>
        </is>
      </c>
      <c r="F4452" s="3" t="inlineStr">
        <is>
          <t>보고자</t>
        </is>
      </c>
      <c r="G4452" s="3" t="inlineStr">
        <is>
          <t>보유주식등에 관한 계약 변경</t>
        </is>
      </c>
      <c r="H4452" s="6" t="inlineStr"/>
      <c r="I4452" s="6" t="inlineStr"/>
      <c r="J4452" s="6" t="n">
        <v>9734061</v>
      </c>
      <c r="K4452" s="16" t="n">
        <v>13</v>
      </c>
      <c r="L4452" s="2" t="inlineStr">
        <is>
          <t>20260618000241</t>
        </is>
      </c>
      <c r="M4452" s="8">
        <f>HYPERLINK("https://dart.fss.or.kr/dsaf001/main.do?rcpNo=20260618000241", "공시열람")</f>
        <v/>
      </c>
    </row>
    <row r="4453" ht="22" customHeight="1">
      <c r="A4453" s="2" t="inlineStr">
        <is>
          <t>2026-06-18</t>
        </is>
      </c>
      <c r="B4453" s="3" t="inlineStr">
        <is>
          <t>디앤디플랫폼리츠</t>
        </is>
      </c>
      <c r="C4453" s="2" t="inlineStr">
        <is>
          <t>377190</t>
        </is>
      </c>
      <c r="D4453" s="2" t="inlineStr">
        <is>
          <t>대량보유</t>
        </is>
      </c>
      <c r="E4453" s="3" t="inlineStr">
        <is>
          <t>삼성자산운용</t>
        </is>
      </c>
      <c r="F4453" s="3" t="inlineStr">
        <is>
          <t>특별관계자</t>
        </is>
      </c>
      <c r="G4453" s="3" t="inlineStr">
        <is>
          <t>신규보고(+), 장내매수(+)</t>
        </is>
      </c>
      <c r="H4453" s="15" t="n">
        <v>4697923</v>
      </c>
      <c r="I4453" s="6" t="n">
        <v>2127</v>
      </c>
      <c r="J4453" s="6" t="n">
        <v>4697923</v>
      </c>
      <c r="K4453" s="16" t="n">
        <v>5.31</v>
      </c>
      <c r="L4453" s="2" t="inlineStr">
        <is>
          <t>20260618000239</t>
        </is>
      </c>
      <c r="M4453" s="8">
        <f>HYPERLINK("https://dart.fss.or.kr/dsaf001/main.do?rcpNo=20260618000239", "공시열람")</f>
        <v/>
      </c>
    </row>
    <row r="4454" ht="22" customHeight="1">
      <c r="A4454" s="2" t="inlineStr">
        <is>
          <t>2026-06-18</t>
        </is>
      </c>
      <c r="B4454" s="3" t="inlineStr">
        <is>
          <t>한글과컴퓨터</t>
        </is>
      </c>
      <c r="C4454" s="2" t="inlineStr">
        <is>
          <t>030520</t>
        </is>
      </c>
      <c r="D4454" s="2" t="inlineStr">
        <is>
          <t>대량보유</t>
        </is>
      </c>
      <c r="E4454" s="3" t="inlineStr">
        <is>
          <t>한컴위드</t>
        </is>
      </c>
      <c r="F4454" s="3" t="inlineStr">
        <is>
          <t>특별관계자</t>
        </is>
      </c>
      <c r="G4454" s="3" t="inlineStr">
        <is>
          <t>장내매수(+)</t>
        </is>
      </c>
      <c r="H4454" s="15" t="n">
        <v>67478</v>
      </c>
      <c r="I4454" s="6" t="n">
        <v>19500</v>
      </c>
      <c r="J4454" s="6" t="n">
        <v>6848610</v>
      </c>
      <c r="K4454" s="16" t="n">
        <v>6</v>
      </c>
      <c r="L4454" s="2" t="inlineStr">
        <is>
          <t>20260618000235</t>
        </is>
      </c>
      <c r="M4454" s="8">
        <f>HYPERLINK("https://dart.fss.or.kr/dsaf001/main.do?rcpNo=20260618000235", "공시열람")</f>
        <v/>
      </c>
    </row>
    <row r="4455" ht="22" customHeight="1">
      <c r="A4455" s="2" t="inlineStr">
        <is>
          <t>2026-06-18</t>
        </is>
      </c>
      <c r="B4455" s="3" t="inlineStr">
        <is>
          <t>KB스타리츠</t>
        </is>
      </c>
      <c r="C4455" s="2" t="inlineStr">
        <is>
          <t>432320</t>
        </is>
      </c>
      <c r="D4455" s="2" t="inlineStr">
        <is>
          <t>대량보유</t>
        </is>
      </c>
      <c r="E4455" s="3" t="inlineStr">
        <is>
          <t>삼성자산운용</t>
        </is>
      </c>
      <c r="F4455" s="3" t="inlineStr">
        <is>
          <t>특별관계자</t>
        </is>
      </c>
      <c r="G4455" s="3" t="inlineStr">
        <is>
          <t>신규보고(+), 장내매수(+)</t>
        </is>
      </c>
      <c r="H4455" s="15" t="n">
        <v>8000509</v>
      </c>
      <c r="I4455" s="6" t="n">
        <v>1486</v>
      </c>
      <c r="J4455" s="6" t="n">
        <v>8000509</v>
      </c>
      <c r="K4455" s="16" t="n">
        <v>5.31</v>
      </c>
      <c r="L4455" s="2" t="inlineStr">
        <is>
          <t>20260618000234</t>
        </is>
      </c>
      <c r="M4455" s="8">
        <f>HYPERLINK("https://dart.fss.or.kr/dsaf001/main.do?rcpNo=20260618000234", "공시열람")</f>
        <v/>
      </c>
    </row>
    <row r="4456" ht="22" customHeight="1">
      <c r="A4456" s="2" t="inlineStr">
        <is>
          <t>2026-06-18</t>
        </is>
      </c>
      <c r="B4456" s="3" t="inlineStr">
        <is>
          <t>경인전자</t>
        </is>
      </c>
      <c r="C4456" s="2" t="inlineStr">
        <is>
          <t>009140</t>
        </is>
      </c>
      <c r="D4456" s="2" t="inlineStr">
        <is>
          <t>대량보유</t>
        </is>
      </c>
      <c r="E4456" s="3" t="inlineStr">
        <is>
          <t>김성은</t>
        </is>
      </c>
      <c r="F4456" s="3" t="inlineStr">
        <is>
          <t>특별관계자</t>
        </is>
      </c>
      <c r="G4456" s="3" t="inlineStr">
        <is>
          <t>장외매도(-)</t>
        </is>
      </c>
      <c r="H4456" s="17" t="n">
        <v>-785139</v>
      </c>
      <c r="I4456" s="6" t="n">
        <v>26600</v>
      </c>
      <c r="J4456" s="6" t="inlineStr"/>
      <c r="K4456" s="16" t="n">
        <v>3</v>
      </c>
      <c r="L4456" s="2" t="inlineStr">
        <is>
          <t>20260618000232</t>
        </is>
      </c>
      <c r="M4456" s="8">
        <f>HYPERLINK("https://dart.fss.or.kr/dsaf001/main.do?rcpNo=20260618000232", "공시열람")</f>
        <v/>
      </c>
    </row>
    <row r="4457" ht="22" customHeight="1">
      <c r="A4457" s="2" t="inlineStr">
        <is>
          <t>2026-06-18</t>
        </is>
      </c>
      <c r="B4457" s="3" t="inlineStr">
        <is>
          <t>핸즈코퍼레이션</t>
        </is>
      </c>
      <c r="C4457" s="2" t="inlineStr">
        <is>
          <t>143210</t>
        </is>
      </c>
      <c r="D4457" s="2" t="inlineStr">
        <is>
          <t>임원보고</t>
        </is>
      </c>
      <c r="E4457" s="3" t="inlineStr">
        <is>
          <t>-</t>
        </is>
      </c>
      <c r="F4457" s="3" t="inlineStr">
        <is>
          <t>-</t>
        </is>
      </c>
      <c r="G4457" s="3" t="inlineStr">
        <is>
          <t>-</t>
        </is>
      </c>
      <c r="H4457" s="6" t="inlineStr"/>
      <c r="I4457" s="6" t="inlineStr"/>
      <c r="J4457" s="6" t="inlineStr"/>
      <c r="K4457" s="16" t="n">
        <v>12</v>
      </c>
      <c r="L4457" s="2" t="inlineStr">
        <is>
          <t>20260618800509</t>
        </is>
      </c>
      <c r="M4457" s="8">
        <f>HYPERLINK("https://dart.fss.or.kr/dsaf001/main.do?rcpNo=20260618800509", "공시열람")</f>
        <v/>
      </c>
    </row>
    <row r="4458" ht="22" customHeight="1">
      <c r="A4458" s="2" t="inlineStr">
        <is>
          <t>2026-06-18</t>
        </is>
      </c>
      <c r="B4458" s="3" t="inlineStr">
        <is>
          <t>HLB제넥스</t>
        </is>
      </c>
      <c r="C4458" s="2" t="inlineStr">
        <is>
          <t>187420</t>
        </is>
      </c>
      <c r="D4458" s="2" t="inlineStr">
        <is>
          <t>대량보유</t>
        </is>
      </c>
      <c r="E4458" s="3" t="inlineStr">
        <is>
          <t>진양곤</t>
        </is>
      </c>
      <c r="F4458" s="3" t="inlineStr">
        <is>
          <t>특별관계자</t>
        </is>
      </c>
      <c r="G4458" s="3" t="inlineStr">
        <is>
          <t>장내매수(+)</t>
        </is>
      </c>
      <c r="H4458" s="15" t="n">
        <v>14000</v>
      </c>
      <c r="I4458" s="6" t="n">
        <v>2215</v>
      </c>
      <c r="J4458" s="6" t="n">
        <v>733430</v>
      </c>
      <c r="K4458" s="16" t="n">
        <v>10</v>
      </c>
      <c r="L4458" s="2" t="inlineStr">
        <is>
          <t>20260618000220</t>
        </is>
      </c>
      <c r="M4458" s="8">
        <f>HYPERLINK("https://dart.fss.or.kr/dsaf001/main.do?rcpNo=20260618000220", "공시열람")</f>
        <v/>
      </c>
    </row>
    <row r="4459" ht="22" customHeight="1">
      <c r="A4459" s="2" t="inlineStr">
        <is>
          <t>2026-06-18</t>
        </is>
      </c>
      <c r="B4459" s="3" t="inlineStr">
        <is>
          <t>HLB제넥스</t>
        </is>
      </c>
      <c r="C4459" s="2" t="inlineStr">
        <is>
          <t>187420</t>
        </is>
      </c>
      <c r="D4459" s="2" t="inlineStr">
        <is>
          <t>대량보유</t>
        </is>
      </c>
      <c r="E4459" s="3" t="inlineStr">
        <is>
          <t>에이치엘비㈜</t>
        </is>
      </c>
      <c r="F4459" s="3" t="inlineStr">
        <is>
          <t>특별관계자</t>
        </is>
      </c>
      <c r="G4459" s="3" t="inlineStr">
        <is>
          <t>행사가액조정</t>
        </is>
      </c>
      <c r="H4459" s="15" t="n">
        <v>730424</v>
      </c>
      <c r="I4459" s="6" t="n">
        <v>2220</v>
      </c>
      <c r="J4459" s="6" t="n">
        <v>67567</v>
      </c>
      <c r="K4459" s="16" t="n">
        <v>10</v>
      </c>
      <c r="L4459" s="2" t="inlineStr">
        <is>
          <t>20260618000220</t>
        </is>
      </c>
      <c r="M4459" s="8">
        <f>HYPERLINK("https://dart.fss.or.kr/dsaf001/main.do?rcpNo=20260618000220", "공시열람")</f>
        <v/>
      </c>
    </row>
    <row r="4460" ht="22" customHeight="1">
      <c r="A4460" s="2" t="inlineStr">
        <is>
          <t>2026-06-18</t>
        </is>
      </c>
      <c r="B4460" s="3" t="inlineStr">
        <is>
          <t>본시스템즈</t>
        </is>
      </c>
      <c r="C4460" s="2" t="inlineStr">
        <is>
          <t>496320</t>
        </is>
      </c>
      <c r="D4460" s="2" t="inlineStr">
        <is>
          <t>대량보유</t>
        </is>
      </c>
      <c r="E4460" s="3" t="inlineStr">
        <is>
          <t>NH-IBKS코넥스스케일업신기술투자조합</t>
        </is>
      </c>
      <c r="F4460" s="3" t="inlineStr">
        <is>
          <t>특별관계자</t>
        </is>
      </c>
      <c r="G4460" s="3" t="inlineStr">
        <is>
          <t>장외매수(+)</t>
        </is>
      </c>
      <c r="H4460" s="15" t="n">
        <v>57471</v>
      </c>
      <c r="I4460" s="6" t="n">
        <v>52200</v>
      </c>
      <c r="J4460" s="6" t="n">
        <v>57471</v>
      </c>
      <c r="K4460" s="16" t="n">
        <v>4</v>
      </c>
      <c r="L4460" s="2" t="inlineStr">
        <is>
          <t>20260618000219</t>
        </is>
      </c>
      <c r="M4460" s="8">
        <f>HYPERLINK("https://dart.fss.or.kr/dsaf001/main.do?rcpNo=20260618000219", "공시열람")</f>
        <v/>
      </c>
    </row>
    <row r="4461" ht="22" customHeight="1">
      <c r="A4461" s="2" t="inlineStr">
        <is>
          <t>2026-06-18</t>
        </is>
      </c>
      <c r="B4461" s="3" t="inlineStr">
        <is>
          <t>본시스템즈</t>
        </is>
      </c>
      <c r="C4461" s="2" t="inlineStr">
        <is>
          <t>496320</t>
        </is>
      </c>
      <c r="D4461" s="2" t="inlineStr">
        <is>
          <t>대량보유</t>
        </is>
      </c>
      <c r="E4461" s="3" t="inlineStr">
        <is>
          <t>아이비케이에스혁신소부장신기술투자조합제5호</t>
        </is>
      </c>
      <c r="F4461" s="3" t="inlineStr">
        <is>
          <t>특별관계자</t>
        </is>
      </c>
      <c r="G4461" s="3" t="inlineStr">
        <is>
          <t>장외매수(+)</t>
        </is>
      </c>
      <c r="H4461" s="15" t="n">
        <v>220306</v>
      </c>
      <c r="I4461" s="6" t="n">
        <v>52200</v>
      </c>
      <c r="J4461" s="6" t="n">
        <v>220306</v>
      </c>
      <c r="K4461" s="16" t="n">
        <v>4</v>
      </c>
      <c r="L4461" s="2" t="inlineStr">
        <is>
          <t>20260618000219</t>
        </is>
      </c>
      <c r="M4461" s="8">
        <f>HYPERLINK("https://dart.fss.or.kr/dsaf001/main.do?rcpNo=20260618000219", "공시열람")</f>
        <v/>
      </c>
    </row>
    <row r="4462" ht="22" customHeight="1">
      <c r="A4462" s="2" t="inlineStr">
        <is>
          <t>2026-06-18</t>
        </is>
      </c>
      <c r="B4462" s="3" t="inlineStr">
        <is>
          <t>HLB파나진</t>
        </is>
      </c>
      <c r="C4462" s="2" t="inlineStr">
        <is>
          <t>046210</t>
        </is>
      </c>
      <c r="D4462" s="2" t="inlineStr">
        <is>
          <t>대량보유</t>
        </is>
      </c>
      <c r="E4462" s="3" t="inlineStr">
        <is>
          <t>장인근</t>
        </is>
      </c>
      <c r="F4462" s="3" t="inlineStr">
        <is>
          <t>특별관계자</t>
        </is>
      </c>
      <c r="G4462" s="3" t="inlineStr">
        <is>
          <t>장내매수(+)</t>
        </is>
      </c>
      <c r="H4462" s="15" t="n">
        <v>1525</v>
      </c>
      <c r="I4462" s="6" t="n">
        <v>1380</v>
      </c>
      <c r="J4462" s="6" t="n">
        <v>11525</v>
      </c>
      <c r="K4462" s="16" t="n">
        <v>7</v>
      </c>
      <c r="L4462" s="2" t="inlineStr">
        <is>
          <t>20260618000216</t>
        </is>
      </c>
      <c r="M4462" s="8">
        <f>HYPERLINK("https://dart.fss.or.kr/dsaf001/main.do?rcpNo=20260618000216", "공시열람")</f>
        <v/>
      </c>
    </row>
    <row r="4463" ht="22" customHeight="1">
      <c r="A4463" s="2" t="inlineStr">
        <is>
          <t>2026-06-18</t>
        </is>
      </c>
      <c r="B4463" s="3" t="inlineStr">
        <is>
          <t>디에스케이</t>
        </is>
      </c>
      <c r="C4463" s="2" t="inlineStr">
        <is>
          <t>109740</t>
        </is>
      </c>
      <c r="D4463" s="2" t="inlineStr">
        <is>
          <t>대량보유</t>
        </is>
      </c>
      <c r="E4463" s="3" t="inlineStr">
        <is>
          <t>(주)시너지이노베이션</t>
        </is>
      </c>
      <c r="F4463" s="3" t="inlineStr">
        <is>
          <t>보고자</t>
        </is>
      </c>
      <c r="G4463" s="3" t="inlineStr">
        <is>
          <t>주식매매 계약 변경합의</t>
        </is>
      </c>
      <c r="H4463" s="6" t="inlineStr"/>
      <c r="I4463" s="6" t="inlineStr"/>
      <c r="J4463" s="6" t="n">
        <v>11075440</v>
      </c>
      <c r="K4463" s="16" t="n">
        <v>3</v>
      </c>
      <c r="L4463" s="2" t="inlineStr">
        <is>
          <t>20260618000211</t>
        </is>
      </c>
      <c r="M4463" s="8">
        <f>HYPERLINK("https://dart.fss.or.kr/dsaf001/main.do?rcpNo=20260618000211", "공시열람")</f>
        <v/>
      </c>
    </row>
    <row r="4464" ht="22" customHeight="1">
      <c r="A4464" s="2" t="inlineStr">
        <is>
          <t>2026-06-18</t>
        </is>
      </c>
      <c r="B4464" s="3" t="inlineStr">
        <is>
          <t>본시스템즈</t>
        </is>
      </c>
      <c r="C4464" s="2" t="inlineStr">
        <is>
          <t>496320</t>
        </is>
      </c>
      <c r="D4464" s="2" t="inlineStr">
        <is>
          <t>대량보유</t>
        </is>
      </c>
      <c r="E4464" s="3" t="inlineStr">
        <is>
          <t>NH-IBKS코넥스스케일업신기술투자조합</t>
        </is>
      </c>
      <c r="F4464" s="3" t="inlineStr">
        <is>
          <t>특별관계자</t>
        </is>
      </c>
      <c r="G4464" s="3" t="inlineStr">
        <is>
          <t>장외매수(+)</t>
        </is>
      </c>
      <c r="H4464" s="15" t="n">
        <v>57471</v>
      </c>
      <c r="I4464" s="6" t="n">
        <v>52200</v>
      </c>
      <c r="J4464" s="6" t="n">
        <v>57471</v>
      </c>
      <c r="K4464" s="16" t="n">
        <v>4</v>
      </c>
      <c r="L4464" s="2" t="inlineStr">
        <is>
          <t>20260618000198</t>
        </is>
      </c>
      <c r="M4464" s="8">
        <f>HYPERLINK("https://dart.fss.or.kr/dsaf001/main.do?rcpNo=20260618000198", "공시열람")</f>
        <v/>
      </c>
    </row>
    <row r="4465" ht="22" customHeight="1">
      <c r="A4465" s="2" t="inlineStr">
        <is>
          <t>2026-06-18</t>
        </is>
      </c>
      <c r="B4465" s="3" t="inlineStr">
        <is>
          <t>본시스템즈</t>
        </is>
      </c>
      <c r="C4465" s="2" t="inlineStr">
        <is>
          <t>496320</t>
        </is>
      </c>
      <c r="D4465" s="2" t="inlineStr">
        <is>
          <t>대량보유</t>
        </is>
      </c>
      <c r="E4465" s="3" t="inlineStr">
        <is>
          <t>아이비케이에스혁신소부장신기술투자조합제5호</t>
        </is>
      </c>
      <c r="F4465" s="3" t="inlineStr">
        <is>
          <t>특별관계자</t>
        </is>
      </c>
      <c r="G4465" s="3" t="inlineStr">
        <is>
          <t>장외매수(+)</t>
        </is>
      </c>
      <c r="H4465" s="15" t="n">
        <v>220306</v>
      </c>
      <c r="I4465" s="6" t="n">
        <v>52200</v>
      </c>
      <c r="J4465" s="6" t="n">
        <v>220306</v>
      </c>
      <c r="K4465" s="16" t="n">
        <v>4</v>
      </c>
      <c r="L4465" s="2" t="inlineStr">
        <is>
          <t>20260618000198</t>
        </is>
      </c>
      <c r="M4465" s="8">
        <f>HYPERLINK("https://dart.fss.or.kr/dsaf001/main.do?rcpNo=20260618000198", "공시열람")</f>
        <v/>
      </c>
    </row>
    <row r="4466" ht="22" customHeight="1">
      <c r="A4466" s="2" t="inlineStr">
        <is>
          <t>2026-06-18</t>
        </is>
      </c>
      <c r="B4466" s="3" t="inlineStr">
        <is>
          <t>미창석유공업</t>
        </is>
      </c>
      <c r="C4466" s="2" t="inlineStr">
        <is>
          <t>003650</t>
        </is>
      </c>
      <c r="D4466" s="2" t="inlineStr">
        <is>
          <t>대량보유</t>
        </is>
      </c>
      <c r="E4466" s="3" t="inlineStr">
        <is>
          <t>유재순</t>
        </is>
      </c>
      <c r="F4466" s="3" t="inlineStr">
        <is>
          <t>보고자</t>
        </is>
      </c>
      <c r="G4466" s="3" t="inlineStr">
        <is>
          <t>증여세 연부연납을 신청하고자 유가증권 일부를 담보로 공탁함.</t>
        </is>
      </c>
      <c r="H4466" s="6" t="inlineStr"/>
      <c r="I4466" s="6" t="inlineStr"/>
      <c r="J4466" s="6" t="n">
        <v>700059</v>
      </c>
      <c r="K4466" s="16" t="n">
        <v>3</v>
      </c>
      <c r="L4466" s="2" t="inlineStr">
        <is>
          <t>20260618000184</t>
        </is>
      </c>
      <c r="M4466" s="8">
        <f>HYPERLINK("https://dart.fss.or.kr/dsaf001/main.do?rcpNo=20260618000184", "공시열람")</f>
        <v/>
      </c>
    </row>
    <row r="4467" ht="22" customHeight="1">
      <c r="A4467" s="2" t="inlineStr">
        <is>
          <t>2026-06-18</t>
        </is>
      </c>
      <c r="B4467" s="3" t="inlineStr">
        <is>
          <t>마키나락스</t>
        </is>
      </c>
      <c r="C4467" s="2" t="inlineStr">
        <is>
          <t>477850</t>
        </is>
      </c>
      <c r="D4467" s="2" t="inlineStr">
        <is>
          <t>대량보유</t>
        </is>
      </c>
      <c r="E4467" s="3" t="inlineStr">
        <is>
          <t>허영신</t>
        </is>
      </c>
      <c r="F4467" s="3" t="inlineStr">
        <is>
          <t>특별관계자</t>
        </is>
      </c>
      <c r="G4467" s="3" t="inlineStr">
        <is>
          <t>주식매수선택권행사(-), 주식매수선택권행사(+)</t>
        </is>
      </c>
      <c r="H4467" s="6" t="inlineStr"/>
      <c r="I4467" s="6" t="n">
        <v>4062</v>
      </c>
      <c r="J4467" s="6" t="n">
        <v>120000</v>
      </c>
      <c r="K4467" s="16" t="n">
        <v>5</v>
      </c>
      <c r="L4467" s="2" t="inlineStr">
        <is>
          <t>20260618000168</t>
        </is>
      </c>
      <c r="M4467" s="8">
        <f>HYPERLINK("https://dart.fss.or.kr/dsaf001/main.do?rcpNo=20260618000168", "공시열람")</f>
        <v/>
      </c>
    </row>
    <row r="4468" ht="22" customHeight="1">
      <c r="A4468" s="2" t="inlineStr">
        <is>
          <t>2026-06-18</t>
        </is>
      </c>
      <c r="B4468" s="3" t="inlineStr">
        <is>
          <t>에스엠벡셀</t>
        </is>
      </c>
      <c r="C4468" s="2" t="inlineStr">
        <is>
          <t>010580</t>
        </is>
      </c>
      <c r="D4468" s="2" t="inlineStr">
        <is>
          <t>임원보고</t>
        </is>
      </c>
      <c r="E4468" s="3" t="inlineStr">
        <is>
          <t>-</t>
        </is>
      </c>
      <c r="F4468" s="3" t="inlineStr">
        <is>
          <t>-</t>
        </is>
      </c>
      <c r="G4468" s="3" t="inlineStr">
        <is>
          <t>-</t>
        </is>
      </c>
      <c r="H4468" s="6" t="inlineStr"/>
      <c r="I4468" s="6" t="inlineStr"/>
      <c r="J4468" s="6" t="inlineStr"/>
      <c r="K4468" s="16" t="n">
        <v>12</v>
      </c>
      <c r="L4468" s="2" t="inlineStr">
        <is>
          <t>20260618800366</t>
        </is>
      </c>
      <c r="M4468" s="8">
        <f>HYPERLINK("https://dart.fss.or.kr/dsaf001/main.do?rcpNo=20260618800366", "공시열람")</f>
        <v/>
      </c>
    </row>
    <row r="4469" ht="22" customHeight="1">
      <c r="A4469" s="2" t="inlineStr">
        <is>
          <t>2026-06-18</t>
        </is>
      </c>
      <c r="B4469" s="3" t="inlineStr">
        <is>
          <t>금비</t>
        </is>
      </c>
      <c r="C4469" s="2" t="inlineStr">
        <is>
          <t>008870</t>
        </is>
      </c>
      <c r="D4469" s="2" t="inlineStr">
        <is>
          <t>임원보고</t>
        </is>
      </c>
      <c r="E4469" s="3" t="inlineStr">
        <is>
          <t>-</t>
        </is>
      </c>
      <c r="F4469" s="3" t="inlineStr">
        <is>
          <t>-</t>
        </is>
      </c>
      <c r="G4469" s="3" t="inlineStr">
        <is>
          <t>-</t>
        </is>
      </c>
      <c r="H4469" s="6" t="inlineStr"/>
      <c r="I4469" s="6" t="inlineStr"/>
      <c r="J4469" s="6" t="inlineStr"/>
      <c r="K4469" s="16" t="n">
        <v>12</v>
      </c>
      <c r="L4469" s="2" t="inlineStr">
        <is>
          <t>20260618800362</t>
        </is>
      </c>
      <c r="M4469" s="8">
        <f>HYPERLINK("https://dart.fss.or.kr/dsaf001/main.do?rcpNo=20260618800362", "공시열람")</f>
        <v/>
      </c>
    </row>
    <row r="4470" ht="22" customHeight="1">
      <c r="A4470" s="2" t="inlineStr">
        <is>
          <t>2026-06-18</t>
        </is>
      </c>
      <c r="B4470" s="3" t="inlineStr">
        <is>
          <t>티앤알바이오팹</t>
        </is>
      </c>
      <c r="C4470" s="2" t="inlineStr">
        <is>
          <t>246710</t>
        </is>
      </c>
      <c r="D4470" s="2" t="inlineStr">
        <is>
          <t>대량보유</t>
        </is>
      </c>
      <c r="E4470" s="3" t="inlineStr">
        <is>
          <t>정승교</t>
        </is>
      </c>
      <c r="F4470" s="3" t="inlineStr">
        <is>
          <t>특별관계자</t>
        </is>
      </c>
      <c r="G4470" s="3" t="inlineStr">
        <is>
          <t>임원퇴임(-)</t>
        </is>
      </c>
      <c r="H4470" s="17" t="n">
        <v>-208096</v>
      </c>
      <c r="I4470" s="6" t="inlineStr"/>
      <c r="J4470" s="6" t="inlineStr"/>
      <c r="K4470" s="16" t="n">
        <v>2</v>
      </c>
      <c r="L4470" s="2" t="inlineStr">
        <is>
          <t>20260618000142</t>
        </is>
      </c>
      <c r="M4470" s="8">
        <f>HYPERLINK("https://dart.fss.or.kr/dsaf001/main.do?rcpNo=20260618000142", "공시열람")</f>
        <v/>
      </c>
    </row>
    <row r="4471" ht="22" customHeight="1">
      <c r="A4471" s="2" t="inlineStr">
        <is>
          <t>2026-06-18</t>
        </is>
      </c>
      <c r="B4471" s="3" t="inlineStr">
        <is>
          <t>에스엠벡셀</t>
        </is>
      </c>
      <c r="C4471" s="2" t="inlineStr">
        <is>
          <t>010580</t>
        </is>
      </c>
      <c r="D4471" s="2" t="inlineStr">
        <is>
          <t>대량보유</t>
        </is>
      </c>
      <c r="E4471" s="3" t="inlineStr">
        <is>
          <t>에스엠하이플러스(주)</t>
        </is>
      </c>
      <c r="F4471" s="3" t="inlineStr">
        <is>
          <t>특별관계자</t>
        </is>
      </c>
      <c r="G4471" s="3" t="inlineStr">
        <is>
          <t>장내매수(+)</t>
        </is>
      </c>
      <c r="H4471" s="15" t="n">
        <v>65007</v>
      </c>
      <c r="I4471" s="6" t="n">
        <v>2054</v>
      </c>
      <c r="J4471" s="6" t="n">
        <v>56462647</v>
      </c>
      <c r="K4471" s="16" t="n">
        <v>4</v>
      </c>
      <c r="L4471" s="2" t="inlineStr">
        <is>
          <t>20260618000141</t>
        </is>
      </c>
      <c r="M4471" s="8">
        <f>HYPERLINK("https://dart.fss.or.kr/dsaf001/main.do?rcpNo=20260618000141", "공시열람")</f>
        <v/>
      </c>
    </row>
    <row r="4472" ht="22" customHeight="1">
      <c r="A4472" s="2" t="inlineStr">
        <is>
          <t>2026-06-18</t>
        </is>
      </c>
      <c r="B4472" s="3" t="inlineStr">
        <is>
          <t>오리온</t>
        </is>
      </c>
      <c r="C4472" s="2" t="inlineStr">
        <is>
          <t>271560</t>
        </is>
      </c>
      <c r="D4472" s="2" t="inlineStr">
        <is>
          <t>대량보유</t>
        </is>
      </c>
      <c r="E4472" s="3" t="inlineStr">
        <is>
          <t>SilchesterInternationalInvestorsLLP</t>
        </is>
      </c>
      <c r="F4472" s="3" t="inlineStr">
        <is>
          <t>특별관계자</t>
        </is>
      </c>
      <c r="G4472" s="3" t="inlineStr">
        <is>
          <t>장내매수(+)</t>
        </is>
      </c>
      <c r="H4472" s="15" t="n">
        <v>38896</v>
      </c>
      <c r="I4472" s="6" t="n">
        <v>133189</v>
      </c>
      <c r="J4472" s="6" t="n">
        <v>1987632</v>
      </c>
      <c r="K4472" s="16" t="n">
        <v>1</v>
      </c>
      <c r="L4472" s="2" t="inlineStr">
        <is>
          <t>20260618000114</t>
        </is>
      </c>
      <c r="M4472" s="8">
        <f>HYPERLINK("https://dart.fss.or.kr/dsaf001/main.do?rcpNo=20260618000114", "공시열람")</f>
        <v/>
      </c>
    </row>
    <row r="4473" ht="22" customHeight="1">
      <c r="A4473" s="2" t="inlineStr">
        <is>
          <t>2026-06-18</t>
        </is>
      </c>
      <c r="B4473" s="3" t="inlineStr">
        <is>
          <t>티디에스팜</t>
        </is>
      </c>
      <c r="C4473" s="2" t="inlineStr">
        <is>
          <t>464280</t>
        </is>
      </c>
      <c r="D4473" s="2" t="inlineStr">
        <is>
          <t>대량보유</t>
        </is>
      </c>
      <c r="E4473" s="3" t="inlineStr">
        <is>
          <t>김철준</t>
        </is>
      </c>
      <c r="F4473" s="3" t="inlineStr">
        <is>
          <t>특별관계자</t>
        </is>
      </c>
      <c r="G4473" s="3" t="inlineStr">
        <is>
          <t>장내매수(+)</t>
        </is>
      </c>
      <c r="H4473" s="15" t="n">
        <v>750</v>
      </c>
      <c r="I4473" s="6" t="n">
        <v>11656</v>
      </c>
      <c r="J4473" s="6" t="n">
        <v>2539847</v>
      </c>
      <c r="K4473" s="16" t="n">
        <v>5</v>
      </c>
      <c r="L4473" s="2" t="inlineStr">
        <is>
          <t>20260618000110</t>
        </is>
      </c>
      <c r="M4473" s="8">
        <f>HYPERLINK("https://dart.fss.or.kr/dsaf001/main.do?rcpNo=20260618000110", "공시열람")</f>
        <v/>
      </c>
    </row>
    <row r="4474" ht="22" customHeight="1">
      <c r="A4474" s="2" t="inlineStr">
        <is>
          <t>2026-06-18</t>
        </is>
      </c>
      <c r="B4474" s="3" t="inlineStr">
        <is>
          <t>티디에스팜</t>
        </is>
      </c>
      <c r="C4474" s="2" t="inlineStr">
        <is>
          <t>464280</t>
        </is>
      </c>
      <c r="D4474" s="2" t="inlineStr">
        <is>
          <t>대량보유</t>
        </is>
      </c>
      <c r="E4474" s="3" t="inlineStr">
        <is>
          <t>신동열</t>
        </is>
      </c>
      <c r="F4474" s="3" t="inlineStr">
        <is>
          <t>특별관계자</t>
        </is>
      </c>
      <c r="G4474" s="3" t="inlineStr">
        <is>
          <t>최대주주 및 특별관계인의 주식 장내 취득</t>
        </is>
      </c>
      <c r="H4474" s="6" t="inlineStr"/>
      <c r="I4474" s="6" t="inlineStr"/>
      <c r="J4474" s="6" t="n">
        <v>6100</v>
      </c>
      <c r="K4474" s="16" t="n">
        <v>5</v>
      </c>
      <c r="L4474" s="2" t="inlineStr">
        <is>
          <t>20260618000110</t>
        </is>
      </c>
      <c r="M4474" s="8">
        <f>HYPERLINK("https://dart.fss.or.kr/dsaf001/main.do?rcpNo=20260618000110", "공시열람")</f>
        <v/>
      </c>
    </row>
    <row r="4475" ht="22" customHeight="1">
      <c r="A4475" s="2" t="inlineStr">
        <is>
          <t>2026-06-18</t>
        </is>
      </c>
      <c r="B4475" s="3" t="inlineStr">
        <is>
          <t>티디에스팜</t>
        </is>
      </c>
      <c r="C4475" s="2" t="inlineStr">
        <is>
          <t>464280</t>
        </is>
      </c>
      <c r="D4475" s="2" t="inlineStr">
        <is>
          <t>대량보유</t>
        </is>
      </c>
      <c r="E4475" s="3" t="inlineStr">
        <is>
          <t>고영미</t>
        </is>
      </c>
      <c r="F4475" s="3" t="inlineStr">
        <is>
          <t>특별관계자</t>
        </is>
      </c>
      <c r="G4475" s="3" t="inlineStr">
        <is>
          <t>장내매수(+)</t>
        </is>
      </c>
      <c r="H4475" s="15" t="n">
        <v>1699</v>
      </c>
      <c r="I4475" s="6" t="n">
        <v>6910</v>
      </c>
      <c r="J4475" s="6" t="n">
        <v>6571</v>
      </c>
      <c r="K4475" s="16" t="n">
        <v>5</v>
      </c>
      <c r="L4475" s="2" t="inlineStr">
        <is>
          <t>20260618000110</t>
        </is>
      </c>
      <c r="M4475" s="8">
        <f>HYPERLINK("https://dart.fss.or.kr/dsaf001/main.do?rcpNo=20260618000110", "공시열람")</f>
        <v/>
      </c>
    </row>
    <row r="4476" ht="22" customHeight="1">
      <c r="A4476" s="2" t="inlineStr">
        <is>
          <t>2026-06-18</t>
        </is>
      </c>
      <c r="B4476" s="3" t="inlineStr">
        <is>
          <t>티디에스팜</t>
        </is>
      </c>
      <c r="C4476" s="2" t="inlineStr">
        <is>
          <t>464280</t>
        </is>
      </c>
      <c r="D4476" s="2" t="inlineStr">
        <is>
          <t>대량보유</t>
        </is>
      </c>
      <c r="E4476" s="3" t="inlineStr">
        <is>
          <t>김민지</t>
        </is>
      </c>
      <c r="F4476" s="3" t="inlineStr">
        <is>
          <t>특별관계자</t>
        </is>
      </c>
      <c r="G4476" s="3" t="inlineStr">
        <is>
          <t>장내매수(+)</t>
        </is>
      </c>
      <c r="H4476" s="15" t="n">
        <v>1200</v>
      </c>
      <c r="I4476" s="6" t="n">
        <v>9693</v>
      </c>
      <c r="J4476" s="6" t="n">
        <v>2849</v>
      </c>
      <c r="K4476" s="16" t="n">
        <v>5</v>
      </c>
      <c r="L4476" s="2" t="inlineStr">
        <is>
          <t>20260618000110</t>
        </is>
      </c>
      <c r="M4476" s="8">
        <f>HYPERLINK("https://dart.fss.or.kr/dsaf001/main.do?rcpNo=20260618000110", "공시열람")</f>
        <v/>
      </c>
    </row>
    <row r="4477" ht="22" customHeight="1">
      <c r="A4477" s="2" t="inlineStr">
        <is>
          <t>2026-06-18</t>
        </is>
      </c>
      <c r="B4477" s="3" t="inlineStr">
        <is>
          <t>티디에스팜</t>
        </is>
      </c>
      <c r="C4477" s="2" t="inlineStr">
        <is>
          <t>464280</t>
        </is>
      </c>
      <c r="D4477" s="2" t="inlineStr">
        <is>
          <t>대량보유</t>
        </is>
      </c>
      <c r="E4477" s="3" t="inlineStr">
        <is>
          <t>김명지</t>
        </is>
      </c>
      <c r="F4477" s="3" t="inlineStr">
        <is>
          <t>특별관계자</t>
        </is>
      </c>
      <c r="G4477" s="3" t="inlineStr">
        <is>
          <t>장내매수(+)</t>
        </is>
      </c>
      <c r="H4477" s="15" t="n">
        <v>364</v>
      </c>
      <c r="I4477" s="6" t="n">
        <v>8958</v>
      </c>
      <c r="J4477" s="6" t="n">
        <v>2193</v>
      </c>
      <c r="K4477" s="16" t="n">
        <v>5</v>
      </c>
      <c r="L4477" s="2" t="inlineStr">
        <is>
          <t>20260618000110</t>
        </is>
      </c>
      <c r="M4477" s="8">
        <f>HYPERLINK("https://dart.fss.or.kr/dsaf001/main.do?rcpNo=20260618000110", "공시열람")</f>
        <v/>
      </c>
    </row>
    <row r="4478" ht="22" customHeight="1">
      <c r="A4478" s="2" t="inlineStr">
        <is>
          <t>2026-06-18</t>
        </is>
      </c>
      <c r="B4478" s="3" t="inlineStr">
        <is>
          <t>티디에스팜</t>
        </is>
      </c>
      <c r="C4478" s="2" t="inlineStr">
        <is>
          <t>464280</t>
        </is>
      </c>
      <c r="D4478" s="2" t="inlineStr">
        <is>
          <t>대량보유</t>
        </is>
      </c>
      <c r="E4478" s="3" t="inlineStr">
        <is>
          <t>김경환</t>
        </is>
      </c>
      <c r="F4478" s="3" t="inlineStr">
        <is>
          <t>특별관계자</t>
        </is>
      </c>
      <c r="G4478" s="3" t="inlineStr">
        <is>
          <t>장내매수(+)</t>
        </is>
      </c>
      <c r="H4478" s="15" t="n">
        <v>1409</v>
      </c>
      <c r="I4478" s="6" t="n">
        <v>6500</v>
      </c>
      <c r="J4478" s="6" t="n">
        <v>5645</v>
      </c>
      <c r="K4478" s="16" t="n">
        <v>5</v>
      </c>
      <c r="L4478" s="2" t="inlineStr">
        <is>
          <t>20260618000110</t>
        </is>
      </c>
      <c r="M4478" s="8">
        <f>HYPERLINK("https://dart.fss.or.kr/dsaf001/main.do?rcpNo=20260618000110", "공시열람")</f>
        <v/>
      </c>
    </row>
    <row r="4479" ht="22" customHeight="1">
      <c r="A4479" s="2" t="inlineStr">
        <is>
          <t>2026-06-18 (정정: 2026-06-25)</t>
        </is>
      </c>
      <c r="B4479" s="3" t="inlineStr">
        <is>
          <t>서진시스템</t>
        </is>
      </c>
      <c r="C4479" s="2" t="inlineStr">
        <is>
          <t>178320</t>
        </is>
      </c>
      <c r="D4479" s="2" t="inlineStr">
        <is>
          <t>대량보유</t>
        </is>
      </c>
      <c r="E4479" s="3" t="inlineStr">
        <is>
          <t>-</t>
        </is>
      </c>
      <c r="F4479" s="3" t="inlineStr">
        <is>
          <t>보고자</t>
        </is>
      </c>
      <c r="G4479" s="3" t="inlineStr">
        <is>
          <t>-</t>
        </is>
      </c>
      <c r="H4479" s="6" t="inlineStr"/>
      <c r="I4479" s="6" t="inlineStr"/>
      <c r="J4479" s="6" t="inlineStr"/>
      <c r="K4479" s="18" t="inlineStr"/>
      <c r="L4479" s="2" t="inlineStr">
        <is>
          <t>20260625000582</t>
        </is>
      </c>
      <c r="M4479" s="8">
        <f>HYPERLINK("https://dart.fss.or.kr/dsaf001/main.do?rcpNo=20260625000582", "공시열람")</f>
        <v/>
      </c>
    </row>
    <row r="4480" ht="22" customHeight="1">
      <c r="A4480" s="2" t="inlineStr">
        <is>
          <t>2026-06-18</t>
        </is>
      </c>
      <c r="B4480" s="3" t="inlineStr">
        <is>
          <t>드림어스컴퍼니</t>
        </is>
      </c>
      <c r="C4480" s="2" t="inlineStr">
        <is>
          <t>060570</t>
        </is>
      </c>
      <c r="D4480" s="2" t="inlineStr">
        <is>
          <t>대량보유</t>
        </is>
      </c>
      <c r="E4480" s="3" t="inlineStr">
        <is>
          <t>이기영</t>
        </is>
      </c>
      <c r="F4480" s="3" t="inlineStr">
        <is>
          <t>특별관계자</t>
        </is>
      </c>
      <c r="G4480" s="3" t="inlineStr">
        <is>
          <t>장내매수(+)</t>
        </is>
      </c>
      <c r="H4480" s="15" t="n">
        <v>28000</v>
      </c>
      <c r="I4480" s="6" t="n">
        <v>847</v>
      </c>
      <c r="J4480" s="6" t="n">
        <v>100000</v>
      </c>
      <c r="K4480" s="16" t="n">
        <v>3</v>
      </c>
      <c r="L4480" s="2" t="inlineStr">
        <is>
          <t>20260618000096</t>
        </is>
      </c>
      <c r="M4480" s="8">
        <f>HYPERLINK("https://dart.fss.or.kr/dsaf001/main.do?rcpNo=20260618000096", "공시열람")</f>
        <v/>
      </c>
    </row>
    <row r="4481" ht="22" customHeight="1">
      <c r="A4481" s="2" t="inlineStr">
        <is>
          <t>2026-06-18</t>
        </is>
      </c>
      <c r="B4481" s="3" t="inlineStr">
        <is>
          <t>에스와이</t>
        </is>
      </c>
      <c r="C4481" s="2" t="inlineStr">
        <is>
          <t>109610</t>
        </is>
      </c>
      <c r="D4481" s="2" t="inlineStr">
        <is>
          <t>대량보유</t>
        </is>
      </c>
      <c r="E4481" s="3" t="inlineStr">
        <is>
          <t>김옥주</t>
        </is>
      </c>
      <c r="F4481" s="3" t="inlineStr">
        <is>
          <t>특별관계자</t>
        </is>
      </c>
      <c r="G4481" s="3" t="inlineStr">
        <is>
          <t>장내매도(-)</t>
        </is>
      </c>
      <c r="H4481" s="17" t="n">
        <v>-48448</v>
      </c>
      <c r="I4481" s="6" t="n">
        <v>2168</v>
      </c>
      <c r="J4481" s="6" t="n">
        <v>137825</v>
      </c>
      <c r="K4481" s="16" t="n">
        <v>18</v>
      </c>
      <c r="L4481" s="2" t="inlineStr">
        <is>
          <t>20260618000095</t>
        </is>
      </c>
      <c r="M4481" s="8">
        <f>HYPERLINK("https://dart.fss.or.kr/dsaf001/main.do?rcpNo=20260618000095", "공시열람")</f>
        <v/>
      </c>
    </row>
    <row r="4482" ht="22" customHeight="1">
      <c r="A4482" s="2" t="inlineStr">
        <is>
          <t>2026-06-18</t>
        </is>
      </c>
      <c r="B4482" s="3" t="inlineStr">
        <is>
          <t>에스와이</t>
        </is>
      </c>
      <c r="C4482" s="2" t="inlineStr">
        <is>
          <t>109610</t>
        </is>
      </c>
      <c r="D4482" s="2" t="inlineStr">
        <is>
          <t>대량보유</t>
        </is>
      </c>
      <c r="E4482" s="3" t="inlineStr">
        <is>
          <t>홍성부</t>
        </is>
      </c>
      <c r="F4482" s="3" t="inlineStr">
        <is>
          <t>특별관계자</t>
        </is>
      </c>
      <c r="G4482" s="3" t="inlineStr">
        <is>
          <t>장내매수(+)</t>
        </is>
      </c>
      <c r="H4482" s="15" t="n">
        <v>447370</v>
      </c>
      <c r="I4482" s="6" t="n">
        <v>2234</v>
      </c>
      <c r="J4482" s="6" t="n">
        <v>646918</v>
      </c>
      <c r="K4482" s="16" t="n">
        <v>18</v>
      </c>
      <c r="L4482" s="2" t="inlineStr">
        <is>
          <t>20260618000095</t>
        </is>
      </c>
      <c r="M4482" s="8">
        <f>HYPERLINK("https://dart.fss.or.kr/dsaf001/main.do?rcpNo=20260618000095", "공시열람")</f>
        <v/>
      </c>
    </row>
    <row r="4483" ht="22" customHeight="1">
      <c r="A4483" s="2" t="inlineStr">
        <is>
          <t>2026-06-18</t>
        </is>
      </c>
      <c r="B4483" s="3" t="inlineStr">
        <is>
          <t>대림통상</t>
        </is>
      </c>
      <c r="C4483" s="2" t="inlineStr">
        <is>
          <t>006570</t>
        </is>
      </c>
      <c r="D4483" s="2" t="inlineStr">
        <is>
          <t>대량보유</t>
        </is>
      </c>
      <c r="E4483" s="3" t="inlineStr">
        <is>
          <t>디앤디파트너스(주)</t>
        </is>
      </c>
      <c r="F4483" s="3" t="inlineStr">
        <is>
          <t>특별관계자</t>
        </is>
      </c>
      <c r="G4483" s="3" t="inlineStr">
        <is>
          <t>장내매수(+)</t>
        </is>
      </c>
      <c r="H4483" s="15" t="n">
        <v>1000</v>
      </c>
      <c r="I4483" s="6" t="n">
        <v>1937</v>
      </c>
      <c r="J4483" s="6" t="n">
        <v>6012474</v>
      </c>
      <c r="K4483" s="16" t="n">
        <v>4</v>
      </c>
      <c r="L4483" s="2" t="inlineStr">
        <is>
          <t>20260618000091</t>
        </is>
      </c>
      <c r="M4483" s="8">
        <f>HYPERLINK("https://dart.fss.or.kr/dsaf001/main.do?rcpNo=20260618000091", "공시열람")</f>
        <v/>
      </c>
    </row>
    <row r="4484" ht="22" customHeight="1">
      <c r="A4484" s="2" t="inlineStr">
        <is>
          <t>2026-06-18</t>
        </is>
      </c>
      <c r="B4484" s="3" t="inlineStr">
        <is>
          <t>대림통상</t>
        </is>
      </c>
      <c r="C4484" s="2" t="inlineStr">
        <is>
          <t>006570</t>
        </is>
      </c>
      <c r="D4484" s="2" t="inlineStr">
        <is>
          <t>임원보고</t>
        </is>
      </c>
      <c r="E4484" s="3" t="inlineStr">
        <is>
          <t>-</t>
        </is>
      </c>
      <c r="F4484" s="3" t="inlineStr">
        <is>
          <t>-</t>
        </is>
      </c>
      <c r="G4484" s="3" t="inlineStr">
        <is>
          <t>-</t>
        </is>
      </c>
      <c r="H4484" s="6" t="inlineStr"/>
      <c r="I4484" s="6" t="inlineStr"/>
      <c r="J4484" s="6" t="inlineStr"/>
      <c r="K4484" s="16" t="n">
        <v>12</v>
      </c>
      <c r="L4484" s="2" t="inlineStr">
        <is>
          <t>20260618800176</t>
        </is>
      </c>
      <c r="M4484" s="8">
        <f>HYPERLINK("https://dart.fss.or.kr/dsaf001/main.do?rcpNo=20260618800176", "공시열람")</f>
        <v/>
      </c>
    </row>
    <row r="4485" ht="22" customHeight="1">
      <c r="A4485" s="2" t="inlineStr">
        <is>
          <t>2026-06-18</t>
        </is>
      </c>
      <c r="B4485" s="3" t="inlineStr">
        <is>
          <t>제노레이</t>
        </is>
      </c>
      <c r="C4485" s="2" t="inlineStr">
        <is>
          <t>122310</t>
        </is>
      </c>
      <c r="D4485" s="2" t="inlineStr">
        <is>
          <t>대량보유</t>
        </is>
      </c>
      <c r="E4485" s="3" t="inlineStr">
        <is>
          <t>박병욱</t>
        </is>
      </c>
      <c r="F4485" s="3" t="inlineStr">
        <is>
          <t>보고자</t>
        </is>
      </c>
      <c r="G4485" s="3" t="inlineStr">
        <is>
          <t>최대주주의 보유주식에 대한 담보계약 일부 상환 및 기간 연장최대주주의 보유주식에 대한 추가 담보계약</t>
        </is>
      </c>
      <c r="H4485" s="6" t="inlineStr"/>
      <c r="I4485" s="6" t="inlineStr"/>
      <c r="J4485" s="6" t="n">
        <v>3908221</v>
      </c>
      <c r="K4485" s="16" t="n">
        <v>11</v>
      </c>
      <c r="L4485" s="2" t="inlineStr">
        <is>
          <t>20260618000080</t>
        </is>
      </c>
      <c r="M4485" s="8">
        <f>HYPERLINK("https://dart.fss.or.kr/dsaf001/main.do?rcpNo=20260618000080", "공시열람")</f>
        <v/>
      </c>
    </row>
    <row r="4486" ht="22" customHeight="1">
      <c r="A4486" s="2" t="inlineStr">
        <is>
          <t>2026-06-18</t>
        </is>
      </c>
      <c r="B4486" s="3" t="inlineStr">
        <is>
          <t>에넥스</t>
        </is>
      </c>
      <c r="C4486" s="2" t="inlineStr">
        <is>
          <t>011090</t>
        </is>
      </c>
      <c r="D4486" s="2" t="inlineStr">
        <is>
          <t>임원보고</t>
        </is>
      </c>
      <c r="E4486" s="3" t="inlineStr">
        <is>
          <t>-</t>
        </is>
      </c>
      <c r="F4486" s="3" t="inlineStr">
        <is>
          <t>-</t>
        </is>
      </c>
      <c r="G4486" s="3" t="inlineStr">
        <is>
          <t>-</t>
        </is>
      </c>
      <c r="H4486" s="6" t="inlineStr"/>
      <c r="I4486" s="6" t="inlineStr"/>
      <c r="J4486" s="6" t="inlineStr"/>
      <c r="K4486" s="16" t="n">
        <v>12</v>
      </c>
      <c r="L4486" s="2" t="inlineStr">
        <is>
          <t>20260618800169</t>
        </is>
      </c>
      <c r="M4486" s="8">
        <f>HYPERLINK("https://dart.fss.or.kr/dsaf001/main.do?rcpNo=20260618800169", "공시열람")</f>
        <v/>
      </c>
    </row>
    <row r="4487" ht="22" customHeight="1">
      <c r="A4487" s="2" t="inlineStr">
        <is>
          <t>2026-06-18</t>
        </is>
      </c>
      <c r="B4487" s="3" t="inlineStr">
        <is>
          <t>한독</t>
        </is>
      </c>
      <c r="C4487" s="2" t="inlineStr">
        <is>
          <t>002390</t>
        </is>
      </c>
      <c r="D4487" s="2" t="inlineStr">
        <is>
          <t>대량보유</t>
        </is>
      </c>
      <c r="E4487" s="3" t="inlineStr">
        <is>
          <t>김영진</t>
        </is>
      </c>
      <c r="F4487" s="3" t="inlineStr">
        <is>
          <t>보고자</t>
        </is>
      </c>
      <c r="G4487" s="3" t="inlineStr">
        <is>
          <t>최대주주 보유주식 주식담보대출 계약 체결</t>
        </is>
      </c>
      <c r="H4487" s="6" t="inlineStr"/>
      <c r="I4487" s="6" t="inlineStr"/>
      <c r="J4487" s="6" t="n">
        <v>5801115</v>
      </c>
      <c r="K4487" s="16" t="n">
        <v>11</v>
      </c>
      <c r="L4487" s="2" t="inlineStr">
        <is>
          <t>20260618000039</t>
        </is>
      </c>
      <c r="M4487" s="8">
        <f>HYPERLINK("https://dart.fss.or.kr/dsaf001/main.do?rcpNo=20260618000039", "공시열람")</f>
        <v/>
      </c>
    </row>
    <row r="4488" ht="22" customHeight="1">
      <c r="A4488" s="2" t="inlineStr">
        <is>
          <t>2026-06-18</t>
        </is>
      </c>
      <c r="B4488" s="3" t="inlineStr">
        <is>
          <t>브이씨</t>
        </is>
      </c>
      <c r="C4488" s="2" t="inlineStr">
        <is>
          <t>365900</t>
        </is>
      </c>
      <c r="D4488" s="2" t="inlineStr">
        <is>
          <t>대량보유</t>
        </is>
      </c>
      <c r="E4488" s="3" t="inlineStr">
        <is>
          <t>김준오</t>
        </is>
      </c>
      <c r="F4488" s="3" t="inlineStr">
        <is>
          <t>특별관계자</t>
        </is>
      </c>
      <c r="G4488" s="3" t="inlineStr">
        <is>
          <t>장내매수(+)</t>
        </is>
      </c>
      <c r="H4488" s="15" t="n">
        <v>8099</v>
      </c>
      <c r="I4488" s="6" t="n">
        <v>2693</v>
      </c>
      <c r="J4488" s="6" t="n">
        <v>2239882</v>
      </c>
      <c r="K4488" s="16" t="n">
        <v>4</v>
      </c>
      <c r="L4488" s="2" t="inlineStr">
        <is>
          <t>20260618000016</t>
        </is>
      </c>
      <c r="M4488" s="8">
        <f>HYPERLINK("https://dart.fss.or.kr/dsaf001/main.do?rcpNo=20260618000016", "공시열람")</f>
        <v/>
      </c>
    </row>
    <row r="4489" ht="22" customHeight="1">
      <c r="A4489" s="2" t="inlineStr">
        <is>
          <t>2026-06-18</t>
        </is>
      </c>
      <c r="B4489" s="3" t="inlineStr">
        <is>
          <t>에코프로비엠</t>
        </is>
      </c>
      <c r="C4489" s="2" t="inlineStr">
        <is>
          <t>247540</t>
        </is>
      </c>
      <c r="D4489" s="2" t="inlineStr">
        <is>
          <t>대량보유</t>
        </is>
      </c>
      <c r="E4489" s="3" t="inlineStr">
        <is>
          <t>에코프로</t>
        </is>
      </c>
      <c r="F4489" s="3" t="inlineStr">
        <is>
          <t>보고자</t>
        </is>
      </c>
      <c r="G4489" s="3" t="inlineStr">
        <is>
          <t>만기연장,이자율변경</t>
        </is>
      </c>
      <c r="H4489" s="6" t="inlineStr"/>
      <c r="I4489" s="6" t="inlineStr"/>
      <c r="J4489" s="6" t="n">
        <v>44248514</v>
      </c>
      <c r="K4489" s="16" t="n">
        <v>12</v>
      </c>
      <c r="L4489" s="2" t="inlineStr">
        <is>
          <t>20260618000009</t>
        </is>
      </c>
      <c r="M4489" s="8">
        <f>HYPERLINK("https://dart.fss.or.kr/dsaf001/main.do?rcpNo=20260618000009", "공시열람")</f>
        <v/>
      </c>
    </row>
    <row r="4490" ht="22" customHeight="1">
      <c r="A4490" s="2" t="inlineStr">
        <is>
          <t>2026-06-18</t>
        </is>
      </c>
      <c r="B4490" s="3" t="inlineStr">
        <is>
          <t>DB하이텍</t>
        </is>
      </c>
      <c r="C4490" s="2" t="inlineStr">
        <is>
          <t>000990</t>
        </is>
      </c>
      <c r="D4490" s="2" t="inlineStr">
        <is>
          <t>대량보유</t>
        </is>
      </c>
      <c r="E4490" s="3" t="inlineStr">
        <is>
          <t>(주)DB Inc.</t>
        </is>
      </c>
      <c r="F4490" s="3" t="inlineStr">
        <is>
          <t>보고자</t>
        </is>
      </c>
      <c r="G4490" s="3" t="inlineStr">
        <is>
          <t>보고자 (주)DB Inc.의 보유주식 등에 관한 계약 변경</t>
        </is>
      </c>
      <c r="H4490" s="6" t="inlineStr"/>
      <c r="I4490" s="6" t="inlineStr"/>
      <c r="J4490" s="6" t="n">
        <v>10918429</v>
      </c>
      <c r="K4490" s="16" t="n">
        <v>9</v>
      </c>
      <c r="L4490" s="2" t="inlineStr">
        <is>
          <t>20260618000008</t>
        </is>
      </c>
      <c r="M4490" s="8">
        <f>HYPERLINK("https://dart.fss.or.kr/dsaf001/main.do?rcpNo=20260618000008", "공시열람")</f>
        <v/>
      </c>
    </row>
    <row r="4491" ht="22" customHeight="1">
      <c r="A4491" s="2" t="inlineStr">
        <is>
          <t>2026-06-18</t>
        </is>
      </c>
      <c r="B4491" s="3" t="inlineStr">
        <is>
          <t>KX하이텍</t>
        </is>
      </c>
      <c r="C4491" s="2" t="inlineStr">
        <is>
          <t>052900</t>
        </is>
      </c>
      <c r="D4491" s="2" t="inlineStr">
        <is>
          <t>대량보유</t>
        </is>
      </c>
      <c r="E4491" s="3" t="inlineStr">
        <is>
          <t>키움소부장제3호신기술사업투자조합</t>
        </is>
      </c>
      <c r="F4491" s="3" t="inlineStr">
        <is>
          <t>특별관계자</t>
        </is>
      </c>
      <c r="G4491" s="3" t="inlineStr">
        <is>
          <t>전환등(-), 전환사채의권리행사(+), 장내매도(-), 신고대량매매(-)</t>
        </is>
      </c>
      <c r="H4491" s="17" t="n">
        <v>-3593429</v>
      </c>
      <c r="I4491" s="6" t="n">
        <v>974</v>
      </c>
      <c r="J4491" s="6" t="inlineStr"/>
      <c r="K4491" s="16" t="n">
        <v>3</v>
      </c>
      <c r="L4491" s="2" t="inlineStr">
        <is>
          <t>20260618000004</t>
        </is>
      </c>
      <c r="M4491" s="8">
        <f>HYPERLINK("https://dart.fss.or.kr/dsaf001/main.do?rcpNo=20260618000004", "공시열람")</f>
        <v/>
      </c>
    </row>
    <row r="4492" ht="22" customHeight="1">
      <c r="A4492" s="2" t="inlineStr">
        <is>
          <t>2026-06-19</t>
        </is>
      </c>
      <c r="B4492" s="3" t="inlineStr">
        <is>
          <t>플라즈맵</t>
        </is>
      </c>
      <c r="C4492" s="2" t="inlineStr">
        <is>
          <t>405000</t>
        </is>
      </c>
      <c r="D4492" s="2" t="inlineStr">
        <is>
          <t>대량보유</t>
        </is>
      </c>
      <c r="E4492" s="3" t="inlineStr">
        <is>
          <t>이윤철</t>
        </is>
      </c>
      <c r="F4492" s="3" t="inlineStr">
        <is>
          <t>특별관계자</t>
        </is>
      </c>
      <c r="G4492" s="3" t="inlineStr">
        <is>
          <t>장내매수(+)</t>
        </is>
      </c>
      <c r="H4492" s="15" t="n">
        <v>2000</v>
      </c>
      <c r="I4492" s="6" t="n">
        <v>4591</v>
      </c>
      <c r="J4492" s="6" t="n">
        <v>18722</v>
      </c>
      <c r="K4492" s="16" t="n">
        <v>9</v>
      </c>
      <c r="L4492" s="2" t="inlineStr">
        <is>
          <t>20260619000675</t>
        </is>
      </c>
      <c r="M4492" s="8">
        <f>HYPERLINK("https://dart.fss.or.kr/dsaf001/main.do?rcpNo=20260619000675", "공시열람")</f>
        <v/>
      </c>
    </row>
    <row r="4493" ht="22" customHeight="1">
      <c r="A4493" s="2" t="inlineStr">
        <is>
          <t>2026-06-19</t>
        </is>
      </c>
      <c r="B4493" s="3" t="inlineStr">
        <is>
          <t>에코캡</t>
        </is>
      </c>
      <c r="C4493" s="2" t="inlineStr">
        <is>
          <t>128540</t>
        </is>
      </c>
      <c r="D4493" s="2" t="inlineStr">
        <is>
          <t>대량보유</t>
        </is>
      </c>
      <c r="E4493" s="3" t="inlineStr">
        <is>
          <t>김창규</t>
        </is>
      </c>
      <c r="F4493" s="3" t="inlineStr">
        <is>
          <t>보고자</t>
        </is>
      </c>
      <c r="G4493" s="3" t="inlineStr">
        <is>
          <t>주식담보대출 연장</t>
        </is>
      </c>
      <c r="H4493" s="6" t="inlineStr"/>
      <c r="I4493" s="6" t="inlineStr"/>
      <c r="J4493" s="6" t="n">
        <v>8729945</v>
      </c>
      <c r="K4493" s="16" t="n">
        <v>2</v>
      </c>
      <c r="L4493" s="2" t="inlineStr">
        <is>
          <t>20260619000670</t>
        </is>
      </c>
      <c r="M4493" s="8">
        <f>HYPERLINK("https://dart.fss.or.kr/dsaf001/main.do?rcpNo=20260619000670", "공시열람")</f>
        <v/>
      </c>
    </row>
    <row r="4494" ht="22" customHeight="1">
      <c r="A4494" s="2" t="inlineStr">
        <is>
          <t>2026-06-19</t>
        </is>
      </c>
      <c r="B4494" s="3" t="inlineStr">
        <is>
          <t>뉴엔AI</t>
        </is>
      </c>
      <c r="C4494" s="2" t="inlineStr">
        <is>
          <t>463020</t>
        </is>
      </c>
      <c r="D4494" s="2" t="inlineStr">
        <is>
          <t>대량보유</t>
        </is>
      </c>
      <c r="E4494" s="3" t="inlineStr">
        <is>
          <t>KB자산운용</t>
        </is>
      </c>
      <c r="F4494" s="3" t="inlineStr">
        <is>
          <t>특별관계자</t>
        </is>
      </c>
      <c r="G4494" s="3" t="inlineStr">
        <is>
          <t>신규등록(+), 기타(+), 장내매수(+)</t>
        </is>
      </c>
      <c r="H4494" s="15" t="n">
        <v>447949</v>
      </c>
      <c r="I4494" s="6" t="n">
        <v>12043</v>
      </c>
      <c r="J4494" s="6" t="n">
        <v>447949</v>
      </c>
      <c r="K4494" s="16" t="n">
        <v>5.04</v>
      </c>
      <c r="L4494" s="2" t="inlineStr">
        <is>
          <t>20260619000669</t>
        </is>
      </c>
      <c r="M4494" s="8">
        <f>HYPERLINK("https://dart.fss.or.kr/dsaf001/main.do?rcpNo=20260619000669", "공시열람")</f>
        <v/>
      </c>
    </row>
    <row r="4495" ht="22" customHeight="1">
      <c r="A4495" s="2" t="inlineStr">
        <is>
          <t>2026-06-19</t>
        </is>
      </c>
      <c r="B4495" s="3" t="inlineStr">
        <is>
          <t>제이엘케이</t>
        </is>
      </c>
      <c r="C4495" s="2" t="inlineStr">
        <is>
          <t>322510</t>
        </is>
      </c>
      <c r="D4495" s="2" t="inlineStr">
        <is>
          <t>대량보유</t>
        </is>
      </c>
      <c r="E4495" s="3" t="inlineStr">
        <is>
          <t>KB자산운용</t>
        </is>
      </c>
      <c r="F4495" s="3" t="inlineStr">
        <is>
          <t>특별관계자</t>
        </is>
      </c>
      <c r="G4495" s="3" t="inlineStr">
        <is>
          <t>신규등록(+), 기타(+), 장내매수(+)</t>
        </is>
      </c>
      <c r="H4495" s="15" t="n">
        <v>1309845</v>
      </c>
      <c r="I4495" s="6" t="n">
        <v>5694</v>
      </c>
      <c r="J4495" s="6" t="n">
        <v>1309845</v>
      </c>
      <c r="K4495" s="16" t="n">
        <v>5.09</v>
      </c>
      <c r="L4495" s="2" t="inlineStr">
        <is>
          <t>20260619000666</t>
        </is>
      </c>
      <c r="M4495" s="8">
        <f>HYPERLINK("https://dart.fss.or.kr/dsaf001/main.do?rcpNo=20260619000666", "공시열람")</f>
        <v/>
      </c>
    </row>
    <row r="4496" ht="22" customHeight="1">
      <c r="A4496" s="2" t="inlineStr">
        <is>
          <t>2026-06-19</t>
        </is>
      </c>
      <c r="B4496" s="3" t="inlineStr">
        <is>
          <t>롯데관광개발</t>
        </is>
      </c>
      <c r="C4496" s="2" t="inlineStr">
        <is>
          <t>032350</t>
        </is>
      </c>
      <c r="D4496" s="2" t="inlineStr">
        <is>
          <t>대량보유</t>
        </is>
      </c>
      <c r="E4496" s="3" t="inlineStr">
        <is>
          <t>김기병</t>
        </is>
      </c>
      <c r="F4496" s="3" t="inlineStr">
        <is>
          <t>보고자</t>
        </is>
      </c>
      <c r="G4496" s="3" t="inlineStr">
        <is>
          <t>특별관계자(김한준, 동화투자개발(주)) 가 보유한 당사 주식 담보제공 변동</t>
        </is>
      </c>
      <c r="H4496" s="6" t="inlineStr"/>
      <c r="I4496" s="6" t="inlineStr"/>
      <c r="J4496" s="6" t="n">
        <v>40501587</v>
      </c>
      <c r="K4496" s="16" t="n">
        <v>4</v>
      </c>
      <c r="L4496" s="2" t="inlineStr">
        <is>
          <t>20260619000661</t>
        </is>
      </c>
      <c r="M4496" s="8">
        <f>HYPERLINK("https://dart.fss.or.kr/dsaf001/main.do?rcpNo=20260619000661", "공시열람")</f>
        <v/>
      </c>
    </row>
    <row r="4497" ht="22" customHeight="1">
      <c r="A4497" s="2" t="inlineStr">
        <is>
          <t>2026-06-19</t>
        </is>
      </c>
      <c r="B4497" s="3" t="inlineStr">
        <is>
          <t>롯데관광개발</t>
        </is>
      </c>
      <c r="C4497" s="2" t="inlineStr">
        <is>
          <t>032350</t>
        </is>
      </c>
      <c r="D4497" s="2" t="inlineStr">
        <is>
          <t>임원보고</t>
        </is>
      </c>
      <c r="E4497" s="3" t="inlineStr">
        <is>
          <t>-</t>
        </is>
      </c>
      <c r="F4497" s="3" t="inlineStr">
        <is>
          <t>-</t>
        </is>
      </c>
      <c r="G4497" s="3" t="inlineStr">
        <is>
          <t>-</t>
        </is>
      </c>
      <c r="H4497" s="6" t="inlineStr"/>
      <c r="I4497" s="6" t="inlineStr"/>
      <c r="J4497" s="6" t="inlineStr"/>
      <c r="K4497" s="16" t="n">
        <v>12</v>
      </c>
      <c r="L4497" s="2" t="inlineStr">
        <is>
          <t>20260619800989</t>
        </is>
      </c>
      <c r="M4497" s="8">
        <f>HYPERLINK("https://dart.fss.or.kr/dsaf001/main.do?rcpNo=20260619800989", "공시열람")</f>
        <v/>
      </c>
    </row>
    <row r="4498" ht="22" customHeight="1">
      <c r="A4498" s="2" t="inlineStr">
        <is>
          <t>2026-06-19</t>
        </is>
      </c>
      <c r="B4498" s="3" t="inlineStr">
        <is>
          <t>서울도시가스</t>
        </is>
      </c>
      <c r="C4498" s="2" t="inlineStr">
        <is>
          <t>017390</t>
        </is>
      </c>
      <c r="D4498" s="2" t="inlineStr">
        <is>
          <t>임원보고</t>
        </is>
      </c>
      <c r="E4498" s="3" t="inlineStr">
        <is>
          <t>-</t>
        </is>
      </c>
      <c r="F4498" s="3" t="inlineStr">
        <is>
          <t>-</t>
        </is>
      </c>
      <c r="G4498" s="3" t="inlineStr">
        <is>
          <t>-</t>
        </is>
      </c>
      <c r="H4498" s="6" t="inlineStr"/>
      <c r="I4498" s="6" t="inlineStr"/>
      <c r="J4498" s="6" t="inlineStr"/>
      <c r="K4498" s="16" t="n">
        <v>12</v>
      </c>
      <c r="L4498" s="2" t="inlineStr">
        <is>
          <t>20260619800976</t>
        </is>
      </c>
      <c r="M4498" s="8">
        <f>HYPERLINK("https://dart.fss.or.kr/dsaf001/main.do?rcpNo=20260619800976", "공시열람")</f>
        <v/>
      </c>
    </row>
    <row r="4499" ht="22" customHeight="1">
      <c r="A4499" s="2" t="inlineStr">
        <is>
          <t>2026-06-19</t>
        </is>
      </c>
      <c r="B4499" s="3" t="inlineStr">
        <is>
          <t>에코글로우</t>
        </is>
      </c>
      <c r="C4499" s="2" t="inlineStr">
        <is>
          <t>159910</t>
        </is>
      </c>
      <c r="D4499" s="2" t="inlineStr">
        <is>
          <t>대량보유</t>
        </is>
      </c>
      <c r="E4499" s="3" t="inlineStr">
        <is>
          <t>(주)크리스티아너티</t>
        </is>
      </c>
      <c r="F4499" s="3" t="inlineStr">
        <is>
          <t>특별관계자</t>
        </is>
      </c>
      <c r="G4499" s="3" t="inlineStr">
        <is>
          <t>기타(+)</t>
        </is>
      </c>
      <c r="H4499" s="15" t="n">
        <v>1702236</v>
      </c>
      <c r="I4499" s="6" t="inlineStr"/>
      <c r="J4499" s="6" t="n">
        <v>648298</v>
      </c>
      <c r="K4499" s="16" t="n">
        <v>7</v>
      </c>
      <c r="L4499" s="2" t="inlineStr">
        <is>
          <t>20260619000654</t>
        </is>
      </c>
      <c r="M4499" s="8">
        <f>HYPERLINK("https://dart.fss.or.kr/dsaf001/main.do?rcpNo=20260619000654", "공시열람")</f>
        <v/>
      </c>
    </row>
    <row r="4500" ht="22" customHeight="1">
      <c r="A4500" s="2" t="inlineStr">
        <is>
          <t>2026-06-19</t>
        </is>
      </c>
      <c r="B4500" s="3" t="inlineStr">
        <is>
          <t>에코글로우</t>
        </is>
      </c>
      <c r="C4500" s="2" t="inlineStr">
        <is>
          <t>159910</t>
        </is>
      </c>
      <c r="D4500" s="2" t="inlineStr">
        <is>
          <t>대량보유</t>
        </is>
      </c>
      <c r="E4500" s="3" t="inlineStr">
        <is>
          <t>정현임</t>
        </is>
      </c>
      <c r="F4500" s="3" t="inlineStr">
        <is>
          <t>특별관계자</t>
        </is>
      </c>
      <c r="G4500" s="3" t="inlineStr">
        <is>
          <t>기타(+)</t>
        </is>
      </c>
      <c r="H4500" s="15" t="n">
        <v>10000</v>
      </c>
      <c r="I4500" s="6" t="inlineStr"/>
      <c r="J4500" s="6" t="n">
        <v>10000</v>
      </c>
      <c r="K4500" s="16" t="n">
        <v>7</v>
      </c>
      <c r="L4500" s="2" t="inlineStr">
        <is>
          <t>20260619000654</t>
        </is>
      </c>
      <c r="M4500" s="8">
        <f>HYPERLINK("https://dart.fss.or.kr/dsaf001/main.do?rcpNo=20260619000654", "공시열람")</f>
        <v/>
      </c>
    </row>
    <row r="4501" ht="22" customHeight="1">
      <c r="A4501" s="2" t="inlineStr">
        <is>
          <t>2026-06-19</t>
        </is>
      </c>
      <c r="B4501" s="3" t="inlineStr">
        <is>
          <t>씨아이테크</t>
        </is>
      </c>
      <c r="C4501" s="2" t="inlineStr">
        <is>
          <t>004920</t>
        </is>
      </c>
      <c r="D4501" s="2" t="inlineStr">
        <is>
          <t>대량보유</t>
        </is>
      </c>
      <c r="E4501" s="3" t="inlineStr">
        <is>
          <t>(주)씨엔씨기술</t>
        </is>
      </c>
      <c r="F4501" s="3" t="inlineStr">
        <is>
          <t>보고자</t>
        </is>
      </c>
      <c r="G4501" s="3" t="inlineStr">
        <is>
          <t>주식질권계약 연장</t>
        </is>
      </c>
      <c r="H4501" s="6" t="inlineStr"/>
      <c r="I4501" s="6" t="inlineStr"/>
      <c r="J4501" s="6" t="n">
        <v>16694852</v>
      </c>
      <c r="K4501" s="16" t="n">
        <v>12</v>
      </c>
      <c r="L4501" s="2" t="inlineStr">
        <is>
          <t>20260619000645</t>
        </is>
      </c>
      <c r="M4501" s="8">
        <f>HYPERLINK("https://dart.fss.or.kr/dsaf001/main.do?rcpNo=20260619000645", "공시열람")</f>
        <v/>
      </c>
    </row>
    <row r="4502" ht="22" customHeight="1">
      <c r="A4502" s="2" t="inlineStr">
        <is>
          <t>2026-06-19</t>
        </is>
      </c>
      <c r="B4502" s="3" t="inlineStr">
        <is>
          <t>알엔티엑스</t>
        </is>
      </c>
      <c r="C4502" s="2" t="inlineStr">
        <is>
          <t>123010</t>
        </is>
      </c>
      <c r="D4502" s="2" t="inlineStr">
        <is>
          <t>대량보유</t>
        </is>
      </c>
      <c r="E4502" s="3" t="inlineStr">
        <is>
          <t>스카이해머1호투자조합</t>
        </is>
      </c>
      <c r="F4502" s="3" t="inlineStr">
        <is>
          <t>특별관계자</t>
        </is>
      </c>
      <c r="G4502" s="3" t="inlineStr">
        <is>
          <t>장외매수(+)</t>
        </is>
      </c>
      <c r="H4502" s="15" t="n">
        <v>3000000</v>
      </c>
      <c r="I4502" s="6" t="n">
        <v>1850</v>
      </c>
      <c r="J4502" s="6" t="n">
        <v>3000000</v>
      </c>
      <c r="K4502" s="16" t="n">
        <v>1</v>
      </c>
      <c r="L4502" s="2" t="inlineStr">
        <is>
          <t>20260619000637</t>
        </is>
      </c>
      <c r="M4502" s="8">
        <f>HYPERLINK("https://dart.fss.or.kr/dsaf001/main.do?rcpNo=20260619000637", "공시열람")</f>
        <v/>
      </c>
    </row>
    <row r="4503" ht="22" customHeight="1">
      <c r="A4503" s="2" t="inlineStr">
        <is>
          <t>2026-06-19</t>
        </is>
      </c>
      <c r="B4503" s="3" t="inlineStr">
        <is>
          <t>엔지켐생명과학</t>
        </is>
      </c>
      <c r="C4503" s="2" t="inlineStr">
        <is>
          <t>183490</t>
        </is>
      </c>
      <c r="D4503" s="2" t="inlineStr">
        <is>
          <t>대량보유</t>
        </is>
      </c>
      <c r="E4503" s="3" t="inlineStr">
        <is>
          <t>구병주</t>
        </is>
      </c>
      <c r="F4503" s="3" t="inlineStr">
        <is>
          <t>특별관계자</t>
        </is>
      </c>
      <c r="G4503" s="3" t="inlineStr">
        <is>
          <t>임원퇴임(-)</t>
        </is>
      </c>
      <c r="H4503" s="17" t="n">
        <v>-7200</v>
      </c>
      <c r="I4503" s="6" t="inlineStr"/>
      <c r="J4503" s="6" t="inlineStr"/>
      <c r="K4503" s="16" t="n">
        <v>7</v>
      </c>
      <c r="L4503" s="2" t="inlineStr">
        <is>
          <t>20260619000629</t>
        </is>
      </c>
      <c r="M4503" s="8">
        <f>HYPERLINK("https://dart.fss.or.kr/dsaf001/main.do?rcpNo=20260619000629", "공시열람")</f>
        <v/>
      </c>
    </row>
    <row r="4504" ht="22" customHeight="1">
      <c r="A4504" s="2" t="inlineStr">
        <is>
          <t>2026-06-19</t>
        </is>
      </c>
      <c r="B4504" s="3" t="inlineStr">
        <is>
          <t>아이에스동서</t>
        </is>
      </c>
      <c r="C4504" s="2" t="inlineStr">
        <is>
          <t>010780</t>
        </is>
      </c>
      <c r="D4504" s="2" t="inlineStr">
        <is>
          <t>대량보유</t>
        </is>
      </c>
      <c r="E4504" s="3" t="inlineStr">
        <is>
          <t>권혁운</t>
        </is>
      </c>
      <c r="F4504" s="3" t="inlineStr">
        <is>
          <t>보고자</t>
        </is>
      </c>
      <c r="G4504" s="3" t="inlineStr">
        <is>
          <t>보유주식등에 관한 계약 변경</t>
        </is>
      </c>
      <c r="H4504" s="6" t="inlineStr"/>
      <c r="I4504" s="6" t="inlineStr"/>
      <c r="J4504" s="6" t="n">
        <v>16871628</v>
      </c>
      <c r="K4504" s="16" t="n">
        <v>7</v>
      </c>
      <c r="L4504" s="2" t="inlineStr">
        <is>
          <t>20260619000627</t>
        </is>
      </c>
      <c r="M4504" s="8">
        <f>HYPERLINK("https://dart.fss.or.kr/dsaf001/main.do?rcpNo=20260619000627", "공시열람")</f>
        <v/>
      </c>
    </row>
    <row r="4505" ht="22" customHeight="1">
      <c r="A4505" s="2" t="inlineStr">
        <is>
          <t>2026-06-19</t>
        </is>
      </c>
      <c r="B4505" s="3" t="inlineStr">
        <is>
          <t>콜마홀딩스</t>
        </is>
      </c>
      <c r="C4505" s="2" t="inlineStr">
        <is>
          <t>024720</t>
        </is>
      </c>
      <c r="D4505" s="2" t="inlineStr">
        <is>
          <t>대량보유</t>
        </is>
      </c>
      <c r="E4505" s="3" t="inlineStr">
        <is>
          <t>윤상현</t>
        </is>
      </c>
      <c r="F4505" s="3" t="inlineStr">
        <is>
          <t>보고자</t>
        </is>
      </c>
      <c r="G4505" s="3" t="inlineStr">
        <is>
          <t>특별관계자 주식담보계약 일부상환</t>
        </is>
      </c>
      <c r="H4505" s="6" t="inlineStr"/>
      <c r="I4505" s="6" t="inlineStr"/>
      <c r="J4505" s="6" t="n">
        <v>16624326</v>
      </c>
      <c r="K4505" s="16" t="n">
        <v>12</v>
      </c>
      <c r="L4505" s="2" t="inlineStr">
        <is>
          <t>20260619000625</t>
        </is>
      </c>
      <c r="M4505" s="8">
        <f>HYPERLINK("https://dart.fss.or.kr/dsaf001/main.do?rcpNo=20260619000625", "공시열람")</f>
        <v/>
      </c>
    </row>
    <row r="4506" ht="22" customHeight="1">
      <c r="A4506" s="2" t="inlineStr">
        <is>
          <t>2026-06-19</t>
        </is>
      </c>
      <c r="B4506" s="3" t="inlineStr">
        <is>
          <t>신한제12호스팩</t>
        </is>
      </c>
      <c r="C4506" s="2" t="inlineStr">
        <is>
          <t>474660</t>
        </is>
      </c>
      <c r="D4506" s="2" t="inlineStr">
        <is>
          <t>대량보유</t>
        </is>
      </c>
      <c r="E4506" s="3" t="inlineStr">
        <is>
          <t>더블유자산운용</t>
        </is>
      </c>
      <c r="F4506" s="3" t="inlineStr">
        <is>
          <t>특별관계자</t>
        </is>
      </c>
      <c r="G4506" s="3" t="inlineStr">
        <is>
          <t>신규등록(+), 장내매도(-), 장내매수(+)</t>
        </is>
      </c>
      <c r="H4506" s="15" t="n">
        <v>304534</v>
      </c>
      <c r="I4506" s="6" t="n">
        <v>2139</v>
      </c>
      <c r="J4506" s="6" t="n">
        <v>304534</v>
      </c>
      <c r="K4506" s="16" t="n">
        <v>5.52</v>
      </c>
      <c r="L4506" s="2" t="inlineStr">
        <is>
          <t>20260619000620</t>
        </is>
      </c>
      <c r="M4506" s="8">
        <f>HYPERLINK("https://dart.fss.or.kr/dsaf001/main.do?rcpNo=20260619000620", "공시열람")</f>
        <v/>
      </c>
    </row>
    <row r="4507" ht="22" customHeight="1">
      <c r="A4507" s="2" t="inlineStr">
        <is>
          <t>2026-06-19</t>
        </is>
      </c>
      <c r="B4507" s="3" t="inlineStr">
        <is>
          <t>콜마비앤에이치</t>
        </is>
      </c>
      <c r="C4507" s="2" t="inlineStr">
        <is>
          <t>200130</t>
        </is>
      </c>
      <c r="D4507" s="2" t="inlineStr">
        <is>
          <t>대량보유</t>
        </is>
      </c>
      <c r="E4507" s="3" t="inlineStr">
        <is>
          <t>콜마홀딩스(주)</t>
        </is>
      </c>
      <c r="F4507" s="3" t="inlineStr">
        <is>
          <t>보고자</t>
        </is>
      </c>
      <c r="G4507" s="3" t="inlineStr">
        <is>
          <t>특별관계자 주식담보계약 일부상환</t>
        </is>
      </c>
      <c r="H4507" s="6" t="inlineStr"/>
      <c r="I4507" s="6" t="inlineStr"/>
      <c r="J4507" s="6" t="n">
        <v>15779436</v>
      </c>
      <c r="K4507" s="16" t="n">
        <v>11</v>
      </c>
      <c r="L4507" s="2" t="inlineStr">
        <is>
          <t>20260619000613</t>
        </is>
      </c>
      <c r="M4507" s="8">
        <f>HYPERLINK("https://dart.fss.or.kr/dsaf001/main.do?rcpNo=20260619000613", "공시열람")</f>
        <v/>
      </c>
    </row>
    <row r="4508" ht="22" customHeight="1">
      <c r="A4508" s="2" t="inlineStr">
        <is>
          <t>2026-06-19</t>
        </is>
      </c>
      <c r="B4508" s="3" t="inlineStr">
        <is>
          <t>파버나인</t>
        </is>
      </c>
      <c r="C4508" s="2" t="inlineStr">
        <is>
          <t>177830</t>
        </is>
      </c>
      <c r="D4508" s="2" t="inlineStr">
        <is>
          <t>대량보유</t>
        </is>
      </c>
      <c r="E4508" s="3" t="inlineStr">
        <is>
          <t>수성자산운용(주)</t>
        </is>
      </c>
      <c r="F4508" s="3" t="inlineStr">
        <is>
          <t>특별관계자</t>
        </is>
      </c>
      <c r="G4508" s="3" t="inlineStr">
        <is>
          <t>행사가액조정</t>
        </is>
      </c>
      <c r="H4508" s="15" t="n">
        <v>73723</v>
      </c>
      <c r="I4508" s="6" t="n">
        <v>2565</v>
      </c>
      <c r="J4508" s="6" t="n">
        <v>1695905</v>
      </c>
      <c r="K4508" s="16" t="n">
        <v>13.02</v>
      </c>
      <c r="L4508" s="2" t="inlineStr">
        <is>
          <t>20260619000596</t>
        </is>
      </c>
      <c r="M4508" s="8">
        <f>HYPERLINK("https://dart.fss.or.kr/dsaf001/main.do?rcpNo=20260619000596", "공시열람")</f>
        <v/>
      </c>
    </row>
    <row r="4509" ht="22" customHeight="1">
      <c r="A4509" s="2" t="inlineStr">
        <is>
          <t>2026-06-19</t>
        </is>
      </c>
      <c r="B4509" s="3" t="inlineStr">
        <is>
          <t>온타이드</t>
        </is>
      </c>
      <c r="C4509" s="2" t="inlineStr">
        <is>
          <t>005320</t>
        </is>
      </c>
      <c r="D4509" s="2" t="inlineStr">
        <is>
          <t>임원보고</t>
        </is>
      </c>
      <c r="E4509" s="3" t="inlineStr">
        <is>
          <t>-</t>
        </is>
      </c>
      <c r="F4509" s="3" t="inlineStr">
        <is>
          <t>-</t>
        </is>
      </c>
      <c r="G4509" s="3" t="inlineStr">
        <is>
          <t>-</t>
        </is>
      </c>
      <c r="H4509" s="6" t="inlineStr"/>
      <c r="I4509" s="6" t="inlineStr"/>
      <c r="J4509" s="6" t="inlineStr"/>
      <c r="K4509" s="16" t="n">
        <v>12</v>
      </c>
      <c r="L4509" s="2" t="inlineStr">
        <is>
          <t>20260619800845</t>
        </is>
      </c>
      <c r="M4509" s="8">
        <f>HYPERLINK("https://dart.fss.or.kr/dsaf001/main.do?rcpNo=20260619800845", "공시열람")</f>
        <v/>
      </c>
    </row>
    <row r="4510" ht="22" customHeight="1">
      <c r="A4510" s="2" t="inlineStr">
        <is>
          <t>2026-06-19</t>
        </is>
      </c>
      <c r="B4510" s="3" t="inlineStr">
        <is>
          <t>핸즈코퍼레이션</t>
        </is>
      </c>
      <c r="C4510" s="2" t="inlineStr">
        <is>
          <t>143210</t>
        </is>
      </c>
      <c r="D4510" s="2" t="inlineStr">
        <is>
          <t>대량보유</t>
        </is>
      </c>
      <c r="E4510" s="3" t="inlineStr">
        <is>
          <t>승현창</t>
        </is>
      </c>
      <c r="F4510" s="3" t="inlineStr">
        <is>
          <t>특별관계자</t>
        </is>
      </c>
      <c r="G4510" s="3" t="inlineStr">
        <is>
          <t>제3자배정유상증자(+), 기타(-)</t>
        </is>
      </c>
      <c r="H4510" s="17" t="n">
        <v>-388669</v>
      </c>
      <c r="I4510" s="6" t="n">
        <v>3492</v>
      </c>
      <c r="J4510" s="6" t="n">
        <v>9433630</v>
      </c>
      <c r="K4510" s="16" t="n">
        <v>15</v>
      </c>
      <c r="L4510" s="2" t="inlineStr">
        <is>
          <t>20260619000579</t>
        </is>
      </c>
      <c r="M4510" s="8">
        <f>HYPERLINK("https://dart.fss.or.kr/dsaf001/main.do?rcpNo=20260619000579", "공시열람")</f>
        <v/>
      </c>
    </row>
    <row r="4511" ht="22" customHeight="1">
      <c r="A4511" s="2" t="inlineStr">
        <is>
          <t>2026-06-19</t>
        </is>
      </c>
      <c r="B4511" s="3" t="inlineStr">
        <is>
          <t>핸즈코퍼레이션</t>
        </is>
      </c>
      <c r="C4511" s="2" t="inlineStr">
        <is>
          <t>143210</t>
        </is>
      </c>
      <c r="D4511" s="2" t="inlineStr">
        <is>
          <t>대량보유</t>
        </is>
      </c>
      <c r="E4511" s="3" t="inlineStr">
        <is>
          <t>동화상협</t>
        </is>
      </c>
      <c r="F4511" s="3" t="inlineStr">
        <is>
          <t>특별관계자</t>
        </is>
      </c>
      <c r="G4511" s="3" t="inlineStr">
        <is>
          <t>제3자배정유상증자(+), 기타(-)</t>
        </is>
      </c>
      <c r="H4511" s="15" t="n">
        <v>2258665</v>
      </c>
      <c r="I4511" s="6" t="n">
        <v>3492</v>
      </c>
      <c r="J4511" s="6" t="n">
        <v>3158418</v>
      </c>
      <c r="K4511" s="16" t="n">
        <v>15</v>
      </c>
      <c r="L4511" s="2" t="inlineStr">
        <is>
          <t>20260619000579</t>
        </is>
      </c>
      <c r="M4511" s="8">
        <f>HYPERLINK("https://dart.fss.or.kr/dsaf001/main.do?rcpNo=20260619000579", "공시열람")</f>
        <v/>
      </c>
    </row>
    <row r="4512" ht="22" customHeight="1">
      <c r="A4512" s="2" t="inlineStr">
        <is>
          <t>2026-06-19</t>
        </is>
      </c>
      <c r="B4512" s="3" t="inlineStr">
        <is>
          <t>핸즈코퍼레이션</t>
        </is>
      </c>
      <c r="C4512" s="2" t="inlineStr">
        <is>
          <t>143210</t>
        </is>
      </c>
      <c r="D4512" s="2" t="inlineStr">
        <is>
          <t>대량보유</t>
        </is>
      </c>
      <c r="E4512" s="3" t="inlineStr">
        <is>
          <t>차희선</t>
        </is>
      </c>
      <c r="F4512" s="3" t="inlineStr">
        <is>
          <t>특별관계자</t>
        </is>
      </c>
      <c r="G4512" s="3" t="inlineStr">
        <is>
          <t>제3자배정유상증자(+)</t>
        </is>
      </c>
      <c r="H4512" s="15" t="n">
        <v>1454346</v>
      </c>
      <c r="I4512" s="6" t="n">
        <v>3492</v>
      </c>
      <c r="J4512" s="6" t="n">
        <v>1454346</v>
      </c>
      <c r="K4512" s="16" t="n">
        <v>15</v>
      </c>
      <c r="L4512" s="2" t="inlineStr">
        <is>
          <t>20260619000579</t>
        </is>
      </c>
      <c r="M4512" s="8">
        <f>HYPERLINK("https://dart.fss.or.kr/dsaf001/main.do?rcpNo=20260619000579", "공시열람")</f>
        <v/>
      </c>
    </row>
    <row r="4513" ht="22" customHeight="1">
      <c r="A4513" s="2" t="inlineStr">
        <is>
          <t>2026-06-19</t>
        </is>
      </c>
      <c r="B4513" s="3" t="inlineStr">
        <is>
          <t>핸즈코퍼레이션</t>
        </is>
      </c>
      <c r="C4513" s="2" t="inlineStr">
        <is>
          <t>143210</t>
        </is>
      </c>
      <c r="D4513" s="2" t="inlineStr">
        <is>
          <t>대량보유</t>
        </is>
      </c>
      <c r="E4513" s="3" t="inlineStr">
        <is>
          <t>이석주</t>
        </is>
      </c>
      <c r="F4513" s="3" t="inlineStr">
        <is>
          <t>특별관계자</t>
        </is>
      </c>
      <c r="G4513" s="3" t="inlineStr">
        <is>
          <t>기타(-)</t>
        </is>
      </c>
      <c r="H4513" s="17" t="n">
        <v>-226512</v>
      </c>
      <c r="I4513" s="6" t="inlineStr"/>
      <c r="J4513" s="6" t="inlineStr"/>
      <c r="K4513" s="16" t="n">
        <v>15</v>
      </c>
      <c r="L4513" s="2" t="inlineStr">
        <is>
          <t>20260619000579</t>
        </is>
      </c>
      <c r="M4513" s="8">
        <f>HYPERLINK("https://dart.fss.or.kr/dsaf001/main.do?rcpNo=20260619000579", "공시열람")</f>
        <v/>
      </c>
    </row>
    <row r="4514" ht="22" customHeight="1">
      <c r="A4514" s="2" t="inlineStr">
        <is>
          <t>2026-06-19</t>
        </is>
      </c>
      <c r="B4514" s="3" t="inlineStr">
        <is>
          <t>핸즈코퍼레이션</t>
        </is>
      </c>
      <c r="C4514" s="2" t="inlineStr">
        <is>
          <t>143210</t>
        </is>
      </c>
      <c r="D4514" s="2" t="inlineStr">
        <is>
          <t>대량보유</t>
        </is>
      </c>
      <c r="E4514" s="3" t="inlineStr">
        <is>
          <t>김영창</t>
        </is>
      </c>
      <c r="F4514" s="3" t="inlineStr">
        <is>
          <t>특별관계자</t>
        </is>
      </c>
      <c r="G4514" s="3" t="inlineStr">
        <is>
          <t>기타(-)</t>
        </is>
      </c>
      <c r="H4514" s="17" t="n">
        <v>-14529</v>
      </c>
      <c r="I4514" s="6" t="inlineStr"/>
      <c r="J4514" s="6" t="inlineStr"/>
      <c r="K4514" s="16" t="n">
        <v>15</v>
      </c>
      <c r="L4514" s="2" t="inlineStr">
        <is>
          <t>20260619000579</t>
        </is>
      </c>
      <c r="M4514" s="8">
        <f>HYPERLINK("https://dart.fss.or.kr/dsaf001/main.do?rcpNo=20260619000579", "공시열람")</f>
        <v/>
      </c>
    </row>
    <row r="4515" ht="22" customHeight="1">
      <c r="A4515" s="2" t="inlineStr">
        <is>
          <t>2026-06-19</t>
        </is>
      </c>
      <c r="B4515" s="3" t="inlineStr">
        <is>
          <t>디와이에이</t>
        </is>
      </c>
      <c r="C4515" s="2" t="inlineStr">
        <is>
          <t>002880</t>
        </is>
      </c>
      <c r="D4515" s="2" t="inlineStr">
        <is>
          <t>임원보고</t>
        </is>
      </c>
      <c r="E4515" s="3" t="inlineStr">
        <is>
          <t>-</t>
        </is>
      </c>
      <c r="F4515" s="3" t="inlineStr">
        <is>
          <t>-</t>
        </is>
      </c>
      <c r="G4515" s="3" t="inlineStr">
        <is>
          <t>-</t>
        </is>
      </c>
      <c r="H4515" s="6" t="inlineStr"/>
      <c r="I4515" s="6" t="inlineStr"/>
      <c r="J4515" s="6" t="inlineStr"/>
      <c r="K4515" s="16" t="n">
        <v>12</v>
      </c>
      <c r="L4515" s="2" t="inlineStr">
        <is>
          <t>20260619800821</t>
        </is>
      </c>
      <c r="M4515" s="8">
        <f>HYPERLINK("https://dart.fss.or.kr/dsaf001/main.do?rcpNo=20260619800821", "공시열람")</f>
        <v/>
      </c>
    </row>
    <row r="4516" ht="22" customHeight="1">
      <c r="A4516" s="2" t="inlineStr">
        <is>
          <t>2026-06-19</t>
        </is>
      </c>
      <c r="B4516" s="3" t="inlineStr">
        <is>
          <t>이노스페이스</t>
        </is>
      </c>
      <c r="C4516" s="2" t="inlineStr">
        <is>
          <t>462350</t>
        </is>
      </c>
      <c r="D4516" s="2" t="inlineStr">
        <is>
          <t>대량보유</t>
        </is>
      </c>
      <c r="E4516" s="3" t="inlineStr">
        <is>
          <t>김수종</t>
        </is>
      </c>
      <c r="F4516" s="3" t="inlineStr">
        <is>
          <t>특별관계자</t>
        </is>
      </c>
      <c r="G4516" s="3" t="inlineStr">
        <is>
          <t>기타(-), 유상신주취득(+), 무상신주취득(+), 기타(+)</t>
        </is>
      </c>
      <c r="H4516" s="15" t="n">
        <v>666881</v>
      </c>
      <c r="I4516" s="6" t="n">
        <v>10655</v>
      </c>
      <c r="J4516" s="6" t="n">
        <v>281730</v>
      </c>
      <c r="K4516" s="16" t="n">
        <v>4</v>
      </c>
      <c r="L4516" s="2" t="inlineStr">
        <is>
          <t>20260619000546</t>
        </is>
      </c>
      <c r="M4516" s="8">
        <f>HYPERLINK("https://dart.fss.or.kr/dsaf001/main.do?rcpNo=20260619000546", "공시열람")</f>
        <v/>
      </c>
    </row>
    <row r="4517" ht="22" customHeight="1">
      <c r="A4517" s="2" t="inlineStr">
        <is>
          <t>2026-06-19</t>
        </is>
      </c>
      <c r="B4517" s="3" t="inlineStr">
        <is>
          <t>이노스페이스</t>
        </is>
      </c>
      <c r="C4517" s="2" t="inlineStr">
        <is>
          <t>462350</t>
        </is>
      </c>
      <c r="D4517" s="2" t="inlineStr">
        <is>
          <t>대량보유</t>
        </is>
      </c>
      <c r="E4517" s="3" t="inlineStr">
        <is>
          <t>정훈</t>
        </is>
      </c>
      <c r="F4517" s="3" t="inlineStr">
        <is>
          <t>특별관계자</t>
        </is>
      </c>
      <c r="G4517" s="3" t="inlineStr">
        <is>
          <t>기타(+), 무상신주취득(+)</t>
        </is>
      </c>
      <c r="H4517" s="15" t="n">
        <v>24113</v>
      </c>
      <c r="I4517" s="6" t="n">
        <v>9889</v>
      </c>
      <c r="J4517" s="6" t="n">
        <v>120142</v>
      </c>
      <c r="K4517" s="16" t="n">
        <v>4</v>
      </c>
      <c r="L4517" s="2" t="inlineStr">
        <is>
          <t>20260619000546</t>
        </is>
      </c>
      <c r="M4517" s="8">
        <f>HYPERLINK("https://dart.fss.or.kr/dsaf001/main.do?rcpNo=20260619000546", "공시열람")</f>
        <v/>
      </c>
    </row>
    <row r="4518" ht="22" customHeight="1">
      <c r="A4518" s="2" t="inlineStr">
        <is>
          <t>2026-06-19</t>
        </is>
      </c>
      <c r="B4518" s="3" t="inlineStr">
        <is>
          <t>이노스페이스</t>
        </is>
      </c>
      <c r="C4518" s="2" t="inlineStr">
        <is>
          <t>462350</t>
        </is>
      </c>
      <c r="D4518" s="2" t="inlineStr">
        <is>
          <t>대량보유</t>
        </is>
      </c>
      <c r="E4518" s="3" t="inlineStr">
        <is>
          <t>김찬중</t>
        </is>
      </c>
      <c r="F4518" s="3" t="inlineStr">
        <is>
          <t>특별관계자</t>
        </is>
      </c>
      <c r="G4518" s="3" t="inlineStr">
        <is>
          <t>기타(-), 유상신주취득(+), 기타(+), 무상신주취득(+)</t>
        </is>
      </c>
      <c r="H4518" s="15" t="n">
        <v>18629</v>
      </c>
      <c r="I4518" s="6" t="n">
        <v>12229</v>
      </c>
      <c r="J4518" s="6" t="n">
        <v>71965</v>
      </c>
      <c r="K4518" s="16" t="n">
        <v>4</v>
      </c>
      <c r="L4518" s="2" t="inlineStr">
        <is>
          <t>20260619000546</t>
        </is>
      </c>
      <c r="M4518" s="8">
        <f>HYPERLINK("https://dart.fss.or.kr/dsaf001/main.do?rcpNo=20260619000546", "공시열람")</f>
        <v/>
      </c>
    </row>
    <row r="4519" ht="22" customHeight="1">
      <c r="A4519" s="2" t="inlineStr">
        <is>
          <t>2026-06-19</t>
        </is>
      </c>
      <c r="B4519" s="3" t="inlineStr">
        <is>
          <t>이노스페이스</t>
        </is>
      </c>
      <c r="C4519" s="2" t="inlineStr">
        <is>
          <t>462350</t>
        </is>
      </c>
      <c r="D4519" s="2" t="inlineStr">
        <is>
          <t>대량보유</t>
        </is>
      </c>
      <c r="E4519" s="3" t="inlineStr">
        <is>
          <t>국태승</t>
        </is>
      </c>
      <c r="F4519" s="3" t="inlineStr">
        <is>
          <t>특별관계자</t>
        </is>
      </c>
      <c r="G4519" s="3" t="inlineStr">
        <is>
          <t>기타(-), 기타(+), 무상신주취득(+)</t>
        </is>
      </c>
      <c r="H4519" s="15" t="n">
        <v>18315</v>
      </c>
      <c r="I4519" s="6" t="n">
        <v>10772</v>
      </c>
      <c r="J4519" s="6" t="n">
        <v>98423</v>
      </c>
      <c r="K4519" s="16" t="n">
        <v>4</v>
      </c>
      <c r="L4519" s="2" t="inlineStr">
        <is>
          <t>20260619000546</t>
        </is>
      </c>
      <c r="M4519" s="8">
        <f>HYPERLINK("https://dart.fss.or.kr/dsaf001/main.do?rcpNo=20260619000546", "공시열람")</f>
        <v/>
      </c>
    </row>
    <row r="4520" ht="22" customHeight="1">
      <c r="A4520" s="2" t="inlineStr">
        <is>
          <t>2026-06-19</t>
        </is>
      </c>
      <c r="B4520" s="3" t="inlineStr">
        <is>
          <t>이노스페이스</t>
        </is>
      </c>
      <c r="C4520" s="2" t="inlineStr">
        <is>
          <t>462350</t>
        </is>
      </c>
      <c r="D4520" s="2" t="inlineStr">
        <is>
          <t>대량보유</t>
        </is>
      </c>
      <c r="E4520" s="3" t="inlineStr">
        <is>
          <t>엘아이지넥스원-아이비케이씨방산혁신신기술사업투자조합제1호</t>
        </is>
      </c>
      <c r="F4520" s="3" t="inlineStr">
        <is>
          <t>특별관계자</t>
        </is>
      </c>
      <c r="G4520" s="3" t="inlineStr">
        <is>
          <t>무상신주취득(+)</t>
        </is>
      </c>
      <c r="H4520" s="15" t="n">
        <v>42495</v>
      </c>
      <c r="I4520" s="6" t="n">
        <v>9778</v>
      </c>
      <c r="J4520" s="6" t="n">
        <v>254974</v>
      </c>
      <c r="K4520" s="16" t="n">
        <v>4</v>
      </c>
      <c r="L4520" s="2" t="inlineStr">
        <is>
          <t>20260619000546</t>
        </is>
      </c>
      <c r="M4520" s="8">
        <f>HYPERLINK("https://dart.fss.or.kr/dsaf001/main.do?rcpNo=20260619000546", "공시열람")</f>
        <v/>
      </c>
    </row>
    <row r="4521" ht="22" customHeight="1">
      <c r="A4521" s="2" t="inlineStr">
        <is>
          <t>2026-06-19</t>
        </is>
      </c>
      <c r="B4521" s="3" t="inlineStr">
        <is>
          <t>율촌화학</t>
        </is>
      </c>
      <c r="C4521" s="2" t="inlineStr">
        <is>
          <t>008730</t>
        </is>
      </c>
      <c r="D4521" s="2" t="inlineStr">
        <is>
          <t>임원보고</t>
        </is>
      </c>
      <c r="E4521" s="3" t="inlineStr">
        <is>
          <t>-</t>
        </is>
      </c>
      <c r="F4521" s="3" t="inlineStr">
        <is>
          <t>-</t>
        </is>
      </c>
      <c r="G4521" s="3" t="inlineStr">
        <is>
          <t>-</t>
        </is>
      </c>
      <c r="H4521" s="6" t="inlineStr"/>
      <c r="I4521" s="6" t="inlineStr"/>
      <c r="J4521" s="6" t="inlineStr"/>
      <c r="K4521" s="16" t="n">
        <v>12</v>
      </c>
      <c r="L4521" s="2" t="inlineStr">
        <is>
          <t>20260619800795</t>
        </is>
      </c>
      <c r="M4521" s="8">
        <f>HYPERLINK("https://dart.fss.or.kr/dsaf001/main.do?rcpNo=20260619800795", "공시열람")</f>
        <v/>
      </c>
    </row>
    <row r="4522" ht="22" customHeight="1">
      <c r="A4522" s="2" t="inlineStr">
        <is>
          <t>2026-06-19</t>
        </is>
      </c>
      <c r="B4522" s="3" t="inlineStr">
        <is>
          <t>폰드그룹</t>
        </is>
      </c>
      <c r="C4522" s="2" t="inlineStr">
        <is>
          <t>472850</t>
        </is>
      </c>
      <c r="D4522" s="2" t="inlineStr">
        <is>
          <t>대량보유</t>
        </is>
      </c>
      <c r="E4522" s="3" t="inlineStr">
        <is>
          <t>㈜대명화학</t>
        </is>
      </c>
      <c r="F4522" s="3" t="inlineStr">
        <is>
          <t>보고자</t>
        </is>
      </c>
      <c r="G4522" s="3" t="inlineStr">
        <is>
          <t>- 주식담보계약 등의 주요계약 일부변경</t>
        </is>
      </c>
      <c r="H4522" s="6" t="inlineStr"/>
      <c r="I4522" s="6" t="inlineStr"/>
      <c r="J4522" s="6" t="n">
        <v>44363256</v>
      </c>
      <c r="K4522" s="16" t="n">
        <v>3</v>
      </c>
      <c r="L4522" s="2" t="inlineStr">
        <is>
          <t>20260619000540</t>
        </is>
      </c>
      <c r="M4522" s="8">
        <f>HYPERLINK("https://dart.fss.or.kr/dsaf001/main.do?rcpNo=20260619000540", "공시열람")</f>
        <v/>
      </c>
    </row>
    <row r="4523" ht="22" customHeight="1">
      <c r="A4523" s="2" t="inlineStr">
        <is>
          <t>2026-06-19</t>
        </is>
      </c>
      <c r="B4523" s="3" t="inlineStr">
        <is>
          <t>영우디에스피</t>
        </is>
      </c>
      <c r="C4523" s="2" t="inlineStr">
        <is>
          <t>143540</t>
        </is>
      </c>
      <c r="D4523" s="2" t="inlineStr">
        <is>
          <t>대량보유</t>
        </is>
      </c>
      <c r="E4523" s="3" t="inlineStr">
        <is>
          <t>박금성</t>
        </is>
      </c>
      <c r="F4523" s="3" t="inlineStr">
        <is>
          <t>보고자</t>
        </is>
      </c>
      <c r="G4523" s="3" t="inlineStr">
        <is>
          <t>- 주식담보계약의 변경(만기연장)</t>
        </is>
      </c>
      <c r="H4523" s="6" t="inlineStr"/>
      <c r="I4523" s="6" t="inlineStr"/>
      <c r="J4523" s="6" t="n">
        <v>8640134</v>
      </c>
      <c r="K4523" s="16" t="n">
        <v>3</v>
      </c>
      <c r="L4523" s="2" t="inlineStr">
        <is>
          <t>20260619000533</t>
        </is>
      </c>
      <c r="M4523" s="8">
        <f>HYPERLINK("https://dart.fss.or.kr/dsaf001/main.do?rcpNo=20260619000533", "공시열람")</f>
        <v/>
      </c>
    </row>
    <row r="4524" ht="22" customHeight="1">
      <c r="A4524" s="2" t="inlineStr">
        <is>
          <t>2026-06-19</t>
        </is>
      </c>
      <c r="B4524" s="3" t="inlineStr">
        <is>
          <t>플레이위드</t>
        </is>
      </c>
      <c r="C4524" s="2" t="inlineStr">
        <is>
          <t>023770</t>
        </is>
      </c>
      <c r="D4524" s="2" t="inlineStr">
        <is>
          <t>대량보유</t>
        </is>
      </c>
      <c r="E4524" s="3" t="inlineStr">
        <is>
          <t>김학준</t>
        </is>
      </c>
      <c r="F4524" s="3" t="inlineStr">
        <is>
          <t>특별관계자</t>
        </is>
      </c>
      <c r="G4524" s="3" t="inlineStr">
        <is>
          <t>장내매수(+)</t>
        </is>
      </c>
      <c r="H4524" s="15" t="n">
        <v>28735</v>
      </c>
      <c r="I4524" s="6" t="n">
        <v>2519</v>
      </c>
      <c r="J4524" s="6" t="n">
        <v>56935</v>
      </c>
      <c r="K4524" s="16" t="n">
        <v>8</v>
      </c>
      <c r="L4524" s="2" t="inlineStr">
        <is>
          <t>20260619000530</t>
        </is>
      </c>
      <c r="M4524" s="8">
        <f>HYPERLINK("https://dart.fss.or.kr/dsaf001/main.do?rcpNo=20260619000530", "공시열람")</f>
        <v/>
      </c>
    </row>
    <row r="4525" ht="22" customHeight="1">
      <c r="A4525" s="2" t="inlineStr">
        <is>
          <t>2026-06-19</t>
        </is>
      </c>
      <c r="B4525" s="3" t="inlineStr">
        <is>
          <t>솔루엠</t>
        </is>
      </c>
      <c r="C4525" s="2" t="inlineStr">
        <is>
          <t>248070</t>
        </is>
      </c>
      <c r="D4525" s="2" t="inlineStr">
        <is>
          <t>대량보유</t>
        </is>
      </c>
      <c r="E4525" s="3" t="inlineStr">
        <is>
          <t>전성호</t>
        </is>
      </c>
      <c r="F4525" s="3" t="inlineStr">
        <is>
          <t>특별관계자</t>
        </is>
      </c>
      <c r="G4525" s="3" t="inlineStr">
        <is>
          <t>장내매수(+)</t>
        </is>
      </c>
      <c r="H4525" s="15" t="n">
        <v>71073</v>
      </c>
      <c r="I4525" s="6" t="n">
        <v>19054</v>
      </c>
      <c r="J4525" s="6" t="n">
        <v>7285072</v>
      </c>
      <c r="K4525" s="16" t="n">
        <v>4</v>
      </c>
      <c r="L4525" s="2" t="inlineStr">
        <is>
          <t>20260619000522</t>
        </is>
      </c>
      <c r="M4525" s="8">
        <f>HYPERLINK("https://dart.fss.or.kr/dsaf001/main.do?rcpNo=20260619000522", "공시열람")</f>
        <v/>
      </c>
    </row>
    <row r="4526" ht="22" customHeight="1">
      <c r="A4526" s="2" t="inlineStr">
        <is>
          <t>2026-06-19</t>
        </is>
      </c>
      <c r="B4526" s="3" t="inlineStr">
        <is>
          <t>오상자이엘</t>
        </is>
      </c>
      <c r="C4526" s="2" t="inlineStr">
        <is>
          <t>053980</t>
        </is>
      </c>
      <c r="D4526" s="2" t="inlineStr">
        <is>
          <t>대량보유</t>
        </is>
      </c>
      <c r="E4526" s="3" t="inlineStr">
        <is>
          <t>(주)오상</t>
        </is>
      </c>
      <c r="F4526" s="3" t="inlineStr">
        <is>
          <t>보고자</t>
        </is>
      </c>
      <c r="G4526" s="3" t="inlineStr">
        <is>
          <t>최대주주의 주식담보제공 계약 변경</t>
        </is>
      </c>
      <c r="H4526" s="6" t="inlineStr"/>
      <c r="I4526" s="6" t="inlineStr"/>
      <c r="J4526" s="6" t="n">
        <v>7178982</v>
      </c>
      <c r="K4526" s="16" t="n">
        <v>5</v>
      </c>
      <c r="L4526" s="2" t="inlineStr">
        <is>
          <t>20260619000516</t>
        </is>
      </c>
      <c r="M4526" s="8">
        <f>HYPERLINK("https://dart.fss.or.kr/dsaf001/main.do?rcpNo=20260619000516", "공시열람")</f>
        <v/>
      </c>
    </row>
    <row r="4527" ht="22" customHeight="1">
      <c r="A4527" s="2" t="inlineStr">
        <is>
          <t>2026-06-19 (정정: 2026-06-26)</t>
        </is>
      </c>
      <c r="B4527" s="3" t="inlineStr">
        <is>
          <t>에이프로젠</t>
        </is>
      </c>
      <c r="C4527" s="2" t="inlineStr">
        <is>
          <t>007460</t>
        </is>
      </c>
      <c r="D4527" s="2" t="inlineStr">
        <is>
          <t>대량보유</t>
        </is>
      </c>
      <c r="E4527" s="3" t="inlineStr">
        <is>
          <t>-</t>
        </is>
      </c>
      <c r="F4527" s="3" t="inlineStr">
        <is>
          <t>보고자</t>
        </is>
      </c>
      <c r="G4527" s="3" t="inlineStr">
        <is>
          <t>-</t>
        </is>
      </c>
      <c r="H4527" s="6" t="inlineStr"/>
      <c r="I4527" s="6" t="inlineStr"/>
      <c r="J4527" s="6" t="inlineStr"/>
      <c r="K4527" s="18" t="inlineStr"/>
      <c r="L4527" s="2" t="inlineStr">
        <is>
          <t>20260626801127</t>
        </is>
      </c>
      <c r="M4527" s="8">
        <f>HYPERLINK("https://dart.fss.or.kr/dsaf001/main.do?rcpNo=20260626801127", "공시열람")</f>
        <v/>
      </c>
    </row>
    <row r="4528" ht="22" customHeight="1">
      <c r="A4528" s="2" t="inlineStr">
        <is>
          <t>2026-06-19</t>
        </is>
      </c>
      <c r="B4528" s="3" t="inlineStr">
        <is>
          <t>비보존 제약</t>
        </is>
      </c>
      <c r="C4528" s="2" t="inlineStr">
        <is>
          <t>082800</t>
        </is>
      </c>
      <c r="D4528" s="2" t="inlineStr">
        <is>
          <t>대량보유</t>
        </is>
      </c>
      <c r="E4528" s="3" t="inlineStr">
        <is>
          <t>주식회사 비보존홀딩스</t>
        </is>
      </c>
      <c r="F4528" s="3" t="inlineStr">
        <is>
          <t>보고자</t>
        </is>
      </c>
      <c r="G4528" s="3" t="inlineStr">
        <is>
          <t>담보유지비율 충족을 위한 추가 근질권 설정교환사채 교환 완료분에 대한 담보주식 해지특별관계자(비보존) 교환사채 조기상환에 따른 교환대상주식 반환</t>
        </is>
      </c>
      <c r="H4528" s="6" t="inlineStr"/>
      <c r="I4528" s="6" t="inlineStr"/>
      <c r="J4528" s="6" t="n">
        <v>19787259</v>
      </c>
      <c r="K4528" s="16" t="n">
        <v>2</v>
      </c>
      <c r="L4528" s="2" t="inlineStr">
        <is>
          <t>20260619000498</t>
        </is>
      </c>
      <c r="M4528" s="8">
        <f>HYPERLINK("https://dart.fss.or.kr/dsaf001/main.do?rcpNo=20260619000498", "공시열람")</f>
        <v/>
      </c>
    </row>
    <row r="4529" ht="22" customHeight="1">
      <c r="A4529" s="2" t="inlineStr">
        <is>
          <t>2026-06-19</t>
        </is>
      </c>
      <c r="B4529" s="3" t="inlineStr">
        <is>
          <t>솔본</t>
        </is>
      </c>
      <c r="C4529" s="2" t="inlineStr">
        <is>
          <t>035610</t>
        </is>
      </c>
      <c r="D4529" s="2" t="inlineStr">
        <is>
          <t>대량보유</t>
        </is>
      </c>
      <c r="E4529" s="3" t="inlineStr">
        <is>
          <t>(주)알에이지</t>
        </is>
      </c>
      <c r="F4529" s="3" t="inlineStr">
        <is>
          <t>특별관계자</t>
        </is>
      </c>
      <c r="G4529" s="3" t="inlineStr">
        <is>
          <t>장내매수(+)</t>
        </is>
      </c>
      <c r="H4529" s="15" t="n">
        <v>67554</v>
      </c>
      <c r="I4529" s="6" t="n">
        <v>3528</v>
      </c>
      <c r="J4529" s="6" t="n">
        <v>2332696</v>
      </c>
      <c r="K4529" s="16" t="n">
        <v>6</v>
      </c>
      <c r="L4529" s="2" t="inlineStr">
        <is>
          <t>20260619000495</t>
        </is>
      </c>
      <c r="M4529" s="8">
        <f>HYPERLINK("https://dart.fss.or.kr/dsaf001/main.do?rcpNo=20260619000495", "공시열람")</f>
        <v/>
      </c>
    </row>
    <row r="4530" ht="22" customHeight="1">
      <c r="A4530" s="2" t="inlineStr">
        <is>
          <t>2026-06-19</t>
        </is>
      </c>
      <c r="B4530" s="3" t="inlineStr">
        <is>
          <t>솔본</t>
        </is>
      </c>
      <c r="C4530" s="2" t="inlineStr">
        <is>
          <t>035610</t>
        </is>
      </c>
      <c r="D4530" s="2" t="inlineStr">
        <is>
          <t>대량보유</t>
        </is>
      </c>
      <c r="E4530" s="3" t="inlineStr">
        <is>
          <t>테크하임(주)</t>
        </is>
      </c>
      <c r="F4530" s="3" t="inlineStr">
        <is>
          <t>특별관계자</t>
        </is>
      </c>
      <c r="G4530" s="3" t="inlineStr">
        <is>
          <t>장내매수(+)</t>
        </is>
      </c>
      <c r="H4530" s="15" t="n">
        <v>59012</v>
      </c>
      <c r="I4530" s="6" t="n">
        <v>3588</v>
      </c>
      <c r="J4530" s="6" t="n">
        <v>2229889</v>
      </c>
      <c r="K4530" s="16" t="n">
        <v>6</v>
      </c>
      <c r="L4530" s="2" t="inlineStr">
        <is>
          <t>20260619000495</t>
        </is>
      </c>
      <c r="M4530" s="8">
        <f>HYPERLINK("https://dart.fss.or.kr/dsaf001/main.do?rcpNo=20260619000495", "공시열람")</f>
        <v/>
      </c>
    </row>
    <row r="4531" ht="22" customHeight="1">
      <c r="A4531" s="2" t="inlineStr">
        <is>
          <t>2026-06-19</t>
        </is>
      </c>
      <c r="B4531" s="3" t="inlineStr">
        <is>
          <t>솔본</t>
        </is>
      </c>
      <c r="C4531" s="2" t="inlineStr">
        <is>
          <t>035610</t>
        </is>
      </c>
      <c r="D4531" s="2" t="inlineStr">
        <is>
          <t>대량보유</t>
        </is>
      </c>
      <c r="E4531" s="3" t="inlineStr">
        <is>
          <t>키네마스터(주)</t>
        </is>
      </c>
      <c r="F4531" s="3" t="inlineStr">
        <is>
          <t>특별관계자</t>
        </is>
      </c>
      <c r="G4531" s="3" t="inlineStr">
        <is>
          <t>장내매수(+)</t>
        </is>
      </c>
      <c r="H4531" s="15" t="n">
        <v>291962</v>
      </c>
      <c r="I4531" s="6" t="n">
        <v>3478</v>
      </c>
      <c r="J4531" s="6" t="n">
        <v>539431</v>
      </c>
      <c r="K4531" s="16" t="n">
        <v>6</v>
      </c>
      <c r="L4531" s="2" t="inlineStr">
        <is>
          <t>20260619000495</t>
        </is>
      </c>
      <c r="M4531" s="8">
        <f>HYPERLINK("https://dart.fss.or.kr/dsaf001/main.do?rcpNo=20260619000495", "공시열람")</f>
        <v/>
      </c>
    </row>
    <row r="4532" ht="22" customHeight="1">
      <c r="A4532" s="2" t="inlineStr">
        <is>
          <t>2026-06-19</t>
        </is>
      </c>
      <c r="B4532" s="3" t="inlineStr">
        <is>
          <t>성일하이텍</t>
        </is>
      </c>
      <c r="C4532" s="2" t="inlineStr">
        <is>
          <t>365340</t>
        </is>
      </c>
      <c r="D4532" s="2" t="inlineStr">
        <is>
          <t>대량보유</t>
        </is>
      </c>
      <c r="E4532" s="3" t="inlineStr">
        <is>
          <t>이강명</t>
        </is>
      </c>
      <c r="F4532" s="3" t="inlineStr">
        <is>
          <t>특별관계자</t>
        </is>
      </c>
      <c r="G4532" s="3" t="inlineStr">
        <is>
          <t>발행회사의 유상증자에 따른 발행주식수 증가로 인한 지분율 변동,연명인 추가</t>
        </is>
      </c>
      <c r="H4532" s="6" t="inlineStr"/>
      <c r="I4532" s="6" t="inlineStr"/>
      <c r="J4532" s="6" t="inlineStr"/>
      <c r="K4532" s="16" t="n">
        <v>3</v>
      </c>
      <c r="L4532" s="2" t="inlineStr">
        <is>
          <t>20260619000492</t>
        </is>
      </c>
      <c r="M4532" s="8">
        <f>HYPERLINK("https://dart.fss.or.kr/dsaf001/main.do?rcpNo=20260619000492", "공시열람")</f>
        <v/>
      </c>
    </row>
    <row r="4533" ht="22" customHeight="1">
      <c r="A4533" s="2" t="inlineStr">
        <is>
          <t>2026-06-19</t>
        </is>
      </c>
      <c r="B4533" s="3" t="inlineStr">
        <is>
          <t>성일하이텍</t>
        </is>
      </c>
      <c r="C4533" s="2" t="inlineStr">
        <is>
          <t>365340</t>
        </is>
      </c>
      <c r="D4533" s="2" t="inlineStr">
        <is>
          <t>대량보유</t>
        </is>
      </c>
      <c r="E4533" s="3" t="inlineStr">
        <is>
          <t>이경열</t>
        </is>
      </c>
      <c r="F4533" s="3" t="inlineStr">
        <is>
          <t>특별관계자</t>
        </is>
      </c>
      <c r="G4533" s="3" t="inlineStr">
        <is>
          <t>발행회사의 유상증자에 따른 발행주식수 증가로 인한 지분율 변동,연명인 추가</t>
        </is>
      </c>
      <c r="H4533" s="6" t="inlineStr"/>
      <c r="I4533" s="6" t="inlineStr"/>
      <c r="J4533" s="6" t="inlineStr"/>
      <c r="K4533" s="16" t="n">
        <v>3</v>
      </c>
      <c r="L4533" s="2" t="inlineStr">
        <is>
          <t>20260619000492</t>
        </is>
      </c>
      <c r="M4533" s="8">
        <f>HYPERLINK("https://dart.fss.or.kr/dsaf001/main.do?rcpNo=20260619000492", "공시열람")</f>
        <v/>
      </c>
    </row>
    <row r="4534" ht="22" customHeight="1">
      <c r="A4534" s="2" t="inlineStr">
        <is>
          <t>2026-06-19</t>
        </is>
      </c>
      <c r="B4534" s="3" t="inlineStr">
        <is>
          <t>성일하이텍</t>
        </is>
      </c>
      <c r="C4534" s="2" t="inlineStr">
        <is>
          <t>365340</t>
        </is>
      </c>
      <c r="D4534" s="2" t="inlineStr">
        <is>
          <t>대량보유</t>
        </is>
      </c>
      <c r="E4534" s="3" t="inlineStr">
        <is>
          <t>디케이피-KAI신기술투자조합제1호</t>
        </is>
      </c>
      <c r="F4534" s="3" t="inlineStr">
        <is>
          <t>특별관계자</t>
        </is>
      </c>
      <c r="G4534" s="3" t="inlineStr">
        <is>
          <t>신규등록(+)</t>
        </is>
      </c>
      <c r="H4534" s="15" t="n">
        <v>713296</v>
      </c>
      <c r="I4534" s="6" t="inlineStr"/>
      <c r="J4534" s="6" t="n">
        <v>713296</v>
      </c>
      <c r="K4534" s="16" t="n">
        <v>3</v>
      </c>
      <c r="L4534" s="2" t="inlineStr">
        <is>
          <t>20260619000492</t>
        </is>
      </c>
      <c r="M4534" s="8">
        <f>HYPERLINK("https://dart.fss.or.kr/dsaf001/main.do?rcpNo=20260619000492", "공시열람")</f>
        <v/>
      </c>
    </row>
    <row r="4535" ht="22" customHeight="1">
      <c r="A4535" s="2" t="inlineStr">
        <is>
          <t>2026-06-19</t>
        </is>
      </c>
      <c r="B4535" s="3" t="inlineStr">
        <is>
          <t>미래에셋비전스팩4호</t>
        </is>
      </c>
      <c r="C4535" s="2" t="inlineStr">
        <is>
          <t>477380</t>
        </is>
      </c>
      <c r="D4535" s="2" t="inlineStr">
        <is>
          <t>대량보유</t>
        </is>
      </c>
      <c r="E4535" s="3" t="inlineStr">
        <is>
          <t>더블유자산운용</t>
        </is>
      </c>
      <c r="F4535" s="3" t="inlineStr">
        <is>
          <t>특별관계자</t>
        </is>
      </c>
      <c r="G4535" s="3" t="inlineStr">
        <is>
          <t>신규등록(+), 장내매도(-), 장내매수(+)</t>
        </is>
      </c>
      <c r="H4535" s="15" t="n">
        <v>440265</v>
      </c>
      <c r="I4535" s="6" t="n">
        <v>2067</v>
      </c>
      <c r="J4535" s="6" t="n">
        <v>440265</v>
      </c>
      <c r="K4535" s="16" t="n">
        <v>5.44</v>
      </c>
      <c r="L4535" s="2" t="inlineStr">
        <is>
          <t>20260619000481</t>
        </is>
      </c>
      <c r="M4535" s="8">
        <f>HYPERLINK("https://dart.fss.or.kr/dsaf001/main.do?rcpNo=20260619000481", "공시열람")</f>
        <v/>
      </c>
    </row>
    <row r="4536" ht="22" customHeight="1">
      <c r="A4536" s="2" t="inlineStr">
        <is>
          <t>2026-06-19 (정정: 2026-06-19)</t>
        </is>
      </c>
      <c r="B4536" s="3" t="inlineStr">
        <is>
          <t>일정실업</t>
        </is>
      </c>
      <c r="C4536" s="2" t="inlineStr">
        <is>
          <t>008500</t>
        </is>
      </c>
      <c r="D4536" s="2" t="inlineStr">
        <is>
          <t>대량보유</t>
        </is>
      </c>
      <c r="E4536" s="3" t="inlineStr">
        <is>
          <t>고태원</t>
        </is>
      </c>
      <c r="F4536" s="3" t="inlineStr">
        <is>
          <t>특별관계자</t>
        </is>
      </c>
      <c r="G4536" s="3" t="inlineStr">
        <is>
          <t>장내매수(+)</t>
        </is>
      </c>
      <c r="H4536" s="15" t="n">
        <v>52651</v>
      </c>
      <c r="I4536" s="6" t="n">
        <v>2670</v>
      </c>
      <c r="J4536" s="6" t="n">
        <v>588966</v>
      </c>
      <c r="K4536" s="16" t="n">
        <v>11</v>
      </c>
      <c r="L4536" s="2" t="inlineStr">
        <is>
          <t>20260619000458</t>
        </is>
      </c>
      <c r="M4536" s="8">
        <f>HYPERLINK("https://dart.fss.or.kr/dsaf001/main.do?rcpNo=20260619000458", "공시열람")</f>
        <v/>
      </c>
    </row>
    <row r="4537" ht="22" customHeight="1">
      <c r="A4537" s="2" t="inlineStr">
        <is>
          <t>2026-06-19 (정정: 2026-06-19)</t>
        </is>
      </c>
      <c r="B4537" s="3" t="inlineStr">
        <is>
          <t>일정실업</t>
        </is>
      </c>
      <c r="C4537" s="2" t="inlineStr">
        <is>
          <t>008500</t>
        </is>
      </c>
      <c r="D4537" s="2" t="inlineStr">
        <is>
          <t>대량보유</t>
        </is>
      </c>
      <c r="E4537" s="3" t="inlineStr">
        <is>
          <t>고민지</t>
        </is>
      </c>
      <c r="F4537" s="3" t="inlineStr">
        <is>
          <t>특별관계자</t>
        </is>
      </c>
      <c r="G4537" s="3" t="inlineStr">
        <is>
          <t>장내매수(+)</t>
        </is>
      </c>
      <c r="H4537" s="15" t="n">
        <v>1975</v>
      </c>
      <c r="I4537" s="6" t="n">
        <v>2431</v>
      </c>
      <c r="J4537" s="6" t="n">
        <v>192694</v>
      </c>
      <c r="K4537" s="16" t="n">
        <v>11</v>
      </c>
      <c r="L4537" s="2" t="inlineStr">
        <is>
          <t>20260619000458</t>
        </is>
      </c>
      <c r="M4537" s="8">
        <f>HYPERLINK("https://dart.fss.or.kr/dsaf001/main.do?rcpNo=20260619000458", "공시열람")</f>
        <v/>
      </c>
    </row>
    <row r="4538" ht="22" customHeight="1">
      <c r="A4538" s="2" t="inlineStr">
        <is>
          <t>2026-06-19 (정정: 2026-06-19)</t>
        </is>
      </c>
      <c r="B4538" s="3" t="inlineStr">
        <is>
          <t>일정실업</t>
        </is>
      </c>
      <c r="C4538" s="2" t="inlineStr">
        <is>
          <t>008500</t>
        </is>
      </c>
      <c r="D4538" s="2" t="inlineStr">
        <is>
          <t>대량보유</t>
        </is>
      </c>
      <c r="E4538" s="3" t="inlineStr">
        <is>
          <t>고나현</t>
        </is>
      </c>
      <c r="F4538" s="3" t="inlineStr">
        <is>
          <t>특별관계자</t>
        </is>
      </c>
      <c r="G4538" s="3" t="inlineStr">
        <is>
          <t>장내매수(+)</t>
        </is>
      </c>
      <c r="H4538" s="15" t="n">
        <v>17630</v>
      </c>
      <c r="I4538" s="6" t="n">
        <v>2617</v>
      </c>
      <c r="J4538" s="6" t="n">
        <v>150844</v>
      </c>
      <c r="K4538" s="16" t="n">
        <v>11</v>
      </c>
      <c r="L4538" s="2" t="inlineStr">
        <is>
          <t>20260619000458</t>
        </is>
      </c>
      <c r="M4538" s="8">
        <f>HYPERLINK("https://dart.fss.or.kr/dsaf001/main.do?rcpNo=20260619000458", "공시열람")</f>
        <v/>
      </c>
    </row>
    <row r="4539" ht="22" customHeight="1">
      <c r="A4539" s="2" t="inlineStr">
        <is>
          <t>2026-06-19</t>
        </is>
      </c>
      <c r="B4539" s="3" t="inlineStr">
        <is>
          <t>나노캠텍</t>
        </is>
      </c>
      <c r="C4539" s="2" t="inlineStr">
        <is>
          <t>091970</t>
        </is>
      </c>
      <c r="D4539" s="2" t="inlineStr">
        <is>
          <t>대량보유</t>
        </is>
      </c>
      <c r="E4539" s="3" t="inlineStr">
        <is>
          <t>신해용</t>
        </is>
      </c>
      <c r="F4539" s="3" t="inlineStr">
        <is>
          <t>특별관계자</t>
        </is>
      </c>
      <c r="G4539" s="3" t="inlineStr">
        <is>
          <t>전환등(-)</t>
        </is>
      </c>
      <c r="H4539" s="17" t="n">
        <v>-17094</v>
      </c>
      <c r="I4539" s="6" t="inlineStr"/>
      <c r="J4539" s="6" t="inlineStr"/>
      <c r="K4539" s="16" t="n">
        <v>8</v>
      </c>
      <c r="L4539" s="2" t="inlineStr">
        <is>
          <t>20260619000466</t>
        </is>
      </c>
      <c r="M4539" s="8">
        <f>HYPERLINK("https://dart.fss.or.kr/dsaf001/main.do?rcpNo=20260619000466", "공시열람")</f>
        <v/>
      </c>
    </row>
    <row r="4540" ht="22" customHeight="1">
      <c r="A4540" s="2" t="inlineStr">
        <is>
          <t>2026-06-19</t>
        </is>
      </c>
      <c r="B4540" s="3" t="inlineStr">
        <is>
          <t>나노캠텍</t>
        </is>
      </c>
      <c r="C4540" s="2" t="inlineStr">
        <is>
          <t>091970</t>
        </is>
      </c>
      <c r="D4540" s="2" t="inlineStr">
        <is>
          <t>대량보유</t>
        </is>
      </c>
      <c r="E4540" s="3" t="inlineStr">
        <is>
          <t>김태수</t>
        </is>
      </c>
      <c r="F4540" s="3" t="inlineStr">
        <is>
          <t>특별관계자</t>
        </is>
      </c>
      <c r="G4540" s="3" t="inlineStr">
        <is>
          <t>장내매수(+)</t>
        </is>
      </c>
      <c r="H4540" s="15" t="n">
        <v>3054</v>
      </c>
      <c r="I4540" s="6" t="n">
        <v>2715</v>
      </c>
      <c r="J4540" s="6" t="n">
        <v>3054</v>
      </c>
      <c r="K4540" s="16" t="n">
        <v>8</v>
      </c>
      <c r="L4540" s="2" t="inlineStr">
        <is>
          <t>20260619000466</t>
        </is>
      </c>
      <c r="M4540" s="8">
        <f>HYPERLINK("https://dart.fss.or.kr/dsaf001/main.do?rcpNo=20260619000466", "공시열람")</f>
        <v/>
      </c>
    </row>
    <row r="4541" ht="22" customHeight="1">
      <c r="A4541" s="2" t="inlineStr">
        <is>
          <t>2026-06-19</t>
        </is>
      </c>
      <c r="B4541" s="3" t="inlineStr">
        <is>
          <t>나노캠텍</t>
        </is>
      </c>
      <c r="C4541" s="2" t="inlineStr">
        <is>
          <t>091970</t>
        </is>
      </c>
      <c r="D4541" s="2" t="inlineStr">
        <is>
          <t>대량보유</t>
        </is>
      </c>
      <c r="E4541" s="3" t="inlineStr">
        <is>
          <t>선순룡</t>
        </is>
      </c>
      <c r="F4541" s="3" t="inlineStr">
        <is>
          <t>특별관계자</t>
        </is>
      </c>
      <c r="G4541" s="3" t="inlineStr">
        <is>
          <t>장내매수(+)</t>
        </is>
      </c>
      <c r="H4541" s="15" t="n">
        <v>3377</v>
      </c>
      <c r="I4541" s="6" t="n">
        <v>2969</v>
      </c>
      <c r="J4541" s="6" t="n">
        <v>3377</v>
      </c>
      <c r="K4541" s="16" t="n">
        <v>8</v>
      </c>
      <c r="L4541" s="2" t="inlineStr">
        <is>
          <t>20260619000466</t>
        </is>
      </c>
      <c r="M4541" s="8">
        <f>HYPERLINK("https://dart.fss.or.kr/dsaf001/main.do?rcpNo=20260619000466", "공시열람")</f>
        <v/>
      </c>
    </row>
    <row r="4542" ht="22" customHeight="1">
      <c r="A4542" s="2" t="inlineStr">
        <is>
          <t>2026-06-19</t>
        </is>
      </c>
      <c r="B4542" s="3" t="inlineStr">
        <is>
          <t>미래에셋증권</t>
        </is>
      </c>
      <c r="C4542" s="2" t="inlineStr">
        <is>
          <t>006800</t>
        </is>
      </c>
      <c r="D4542" s="2" t="inlineStr">
        <is>
          <t>임원보고</t>
        </is>
      </c>
      <c r="E4542" s="3" t="inlineStr">
        <is>
          <t>-</t>
        </is>
      </c>
      <c r="F4542" s="3" t="inlineStr">
        <is>
          <t>-</t>
        </is>
      </c>
      <c r="G4542" s="3" t="inlineStr">
        <is>
          <t>-</t>
        </is>
      </c>
      <c r="H4542" s="6" t="inlineStr"/>
      <c r="I4542" s="6" t="inlineStr"/>
      <c r="J4542" s="6" t="inlineStr"/>
      <c r="K4542" s="16" t="n">
        <v>12</v>
      </c>
      <c r="L4542" s="2" t="inlineStr">
        <is>
          <t>20260619800714</t>
        </is>
      </c>
      <c r="M4542" s="8">
        <f>HYPERLINK("https://dart.fss.or.kr/dsaf001/main.do?rcpNo=20260619800714", "공시열람")</f>
        <v/>
      </c>
    </row>
    <row r="4543" ht="22" customHeight="1">
      <c r="A4543" s="2" t="inlineStr">
        <is>
          <t>2026-06-19</t>
        </is>
      </c>
      <c r="B4543" s="3" t="inlineStr">
        <is>
          <t>크레오에스지</t>
        </is>
      </c>
      <c r="C4543" s="2" t="inlineStr">
        <is>
          <t>040350</t>
        </is>
      </c>
      <c r="D4543" s="2" t="inlineStr">
        <is>
          <t>대량보유</t>
        </is>
      </c>
      <c r="E4543" s="3" t="inlineStr">
        <is>
          <t>추승호</t>
        </is>
      </c>
      <c r="F4543" s="3" t="inlineStr">
        <is>
          <t>특별관계자</t>
        </is>
      </c>
      <c r="G4543" s="3" t="inlineStr">
        <is>
          <t>장내매수(+), 유상신주취득(+), 자본감소, 주식병합, 장내매도(-)</t>
        </is>
      </c>
      <c r="H4543" s="15" t="n">
        <v>2000</v>
      </c>
      <c r="I4543" s="6" t="n">
        <v>884</v>
      </c>
      <c r="J4543" s="6" t="n">
        <v>2000</v>
      </c>
      <c r="K4543" s="16" t="n">
        <v>8</v>
      </c>
      <c r="L4543" s="2" t="inlineStr">
        <is>
          <t>20260619000452</t>
        </is>
      </c>
      <c r="M4543" s="8">
        <f>HYPERLINK("https://dart.fss.or.kr/dsaf001/main.do?rcpNo=20260619000452", "공시열람")</f>
        <v/>
      </c>
    </row>
    <row r="4544" ht="22" customHeight="1">
      <c r="A4544" s="2" t="inlineStr">
        <is>
          <t>2026-06-19</t>
        </is>
      </c>
      <c r="B4544" s="3" t="inlineStr">
        <is>
          <t>에이프로젠바이오로직스</t>
        </is>
      </c>
      <c r="C4544" s="2" t="inlineStr">
        <is>
          <t>003060</t>
        </is>
      </c>
      <c r="D4544" s="2" t="inlineStr">
        <is>
          <t>대량보유</t>
        </is>
      </c>
      <c r="E4544" s="3" t="inlineStr">
        <is>
          <t>제이드신기술조합제79호</t>
        </is>
      </c>
      <c r="F4544" s="3" t="inlineStr">
        <is>
          <t>특별관계자</t>
        </is>
      </c>
      <c r="G4544" s="3" t="inlineStr">
        <is>
          <t>장외매도(-)</t>
        </is>
      </c>
      <c r="H4544" s="17" t="n">
        <v>-118518</v>
      </c>
      <c r="I4544" s="6" t="n">
        <v>3375</v>
      </c>
      <c r="J4544" s="6" t="n">
        <v>11140741</v>
      </c>
      <c r="K4544" s="16" t="n">
        <v>5</v>
      </c>
      <c r="L4544" s="2" t="inlineStr">
        <is>
          <t>20260619000447</t>
        </is>
      </c>
      <c r="M4544" s="8">
        <f>HYPERLINK("https://dart.fss.or.kr/dsaf001/main.do?rcpNo=20260619000447", "공시열람")</f>
        <v/>
      </c>
    </row>
    <row r="4545" ht="22" customHeight="1">
      <c r="A4545" s="2" t="inlineStr">
        <is>
          <t>2026-06-19</t>
        </is>
      </c>
      <c r="B4545" s="3" t="inlineStr">
        <is>
          <t>현대바이오</t>
        </is>
      </c>
      <c r="C4545" s="2" t="inlineStr">
        <is>
          <t>048410</t>
        </is>
      </c>
      <c r="D4545" s="2" t="inlineStr">
        <is>
          <t>대량보유</t>
        </is>
      </c>
      <c r="E4545" s="3" t="inlineStr">
        <is>
          <t>(주)씨앤팜</t>
        </is>
      </c>
      <c r="F4545" s="3" t="inlineStr">
        <is>
          <t>보고자</t>
        </is>
      </c>
      <c r="G4545" s="3" t="inlineStr">
        <is>
          <t>주식담보계약 변경</t>
        </is>
      </c>
      <c r="H4545" s="6" t="inlineStr"/>
      <c r="I4545" s="6" t="inlineStr"/>
      <c r="J4545" s="6" t="n">
        <v>11517914</v>
      </c>
      <c r="K4545" s="16" t="n">
        <v>5</v>
      </c>
      <c r="L4545" s="2" t="inlineStr">
        <is>
          <t>20260619000442</t>
        </is>
      </c>
      <c r="M4545" s="8">
        <f>HYPERLINK("https://dart.fss.or.kr/dsaf001/main.do?rcpNo=20260619000442", "공시열람")</f>
        <v/>
      </c>
    </row>
    <row r="4546" ht="22" customHeight="1">
      <c r="A4546" s="2" t="inlineStr">
        <is>
          <t>2026-06-19</t>
        </is>
      </c>
      <c r="B4546" s="3" t="inlineStr">
        <is>
          <t>더존비즈온</t>
        </is>
      </c>
      <c r="C4546" s="2" t="inlineStr">
        <is>
          <t>012510</t>
        </is>
      </c>
      <c r="D4546" s="2" t="inlineStr">
        <is>
          <t>임원보고</t>
        </is>
      </c>
      <c r="E4546" s="3" t="inlineStr">
        <is>
          <t>-</t>
        </is>
      </c>
      <c r="F4546" s="3" t="inlineStr">
        <is>
          <t>-</t>
        </is>
      </c>
      <c r="G4546" s="3" t="inlineStr">
        <is>
          <t>-</t>
        </is>
      </c>
      <c r="H4546" s="6" t="inlineStr"/>
      <c r="I4546" s="6" t="inlineStr"/>
      <c r="J4546" s="6" t="inlineStr"/>
      <c r="K4546" s="16" t="n">
        <v>12</v>
      </c>
      <c r="L4546" s="2" t="inlineStr">
        <is>
          <t>20260619800680</t>
        </is>
      </c>
      <c r="M4546" s="8">
        <f>HYPERLINK("https://dart.fss.or.kr/dsaf001/main.do?rcpNo=20260619800680", "공시열람")</f>
        <v/>
      </c>
    </row>
    <row r="4547" ht="22" customHeight="1">
      <c r="A4547" s="2" t="inlineStr">
        <is>
          <t>2026-06-19</t>
        </is>
      </c>
      <c r="B4547" s="3" t="inlineStr">
        <is>
          <t>파미셀</t>
        </is>
      </c>
      <c r="C4547" s="2" t="inlineStr">
        <is>
          <t>005690</t>
        </is>
      </c>
      <c r="D4547" s="2" t="inlineStr">
        <is>
          <t>임원보고</t>
        </is>
      </c>
      <c r="E4547" s="3" t="inlineStr">
        <is>
          <t>-</t>
        </is>
      </c>
      <c r="F4547" s="3" t="inlineStr">
        <is>
          <t>-</t>
        </is>
      </c>
      <c r="G4547" s="3" t="inlineStr">
        <is>
          <t>-</t>
        </is>
      </c>
      <c r="H4547" s="6" t="inlineStr"/>
      <c r="I4547" s="6" t="inlineStr"/>
      <c r="J4547" s="6" t="inlineStr"/>
      <c r="K4547" s="16" t="n">
        <v>12</v>
      </c>
      <c r="L4547" s="2" t="inlineStr">
        <is>
          <t>20260619800665</t>
        </is>
      </c>
      <c r="M4547" s="8">
        <f>HYPERLINK("https://dart.fss.or.kr/dsaf001/main.do?rcpNo=20260619800665", "공시열람")</f>
        <v/>
      </c>
    </row>
    <row r="4548" ht="22" customHeight="1">
      <c r="A4548" s="2" t="inlineStr">
        <is>
          <t>2026-06-19</t>
        </is>
      </c>
      <c r="B4548" s="3" t="inlineStr">
        <is>
          <t>디비금융제14호스팩</t>
        </is>
      </c>
      <c r="C4548" s="2" t="inlineStr">
        <is>
          <t>0004Y0</t>
        </is>
      </c>
      <c r="D4548" s="2" t="inlineStr">
        <is>
          <t>대량보유</t>
        </is>
      </c>
      <c r="E4548" s="3" t="inlineStr">
        <is>
          <t>더블유자산운용</t>
        </is>
      </c>
      <c r="F4548" s="3" t="inlineStr">
        <is>
          <t>특별관계자</t>
        </is>
      </c>
      <c r="G4548" s="3" t="inlineStr">
        <is>
          <t>신규등록(+), 장내매도(-), 장내매수(+)</t>
        </is>
      </c>
      <c r="H4548" s="15" t="n">
        <v>284086</v>
      </c>
      <c r="I4548" s="6" t="n">
        <v>2005</v>
      </c>
      <c r="J4548" s="6" t="n">
        <v>284086</v>
      </c>
      <c r="K4548" s="16" t="n">
        <v>5.34</v>
      </c>
      <c r="L4548" s="2" t="inlineStr">
        <is>
          <t>20260619000394</t>
        </is>
      </c>
      <c r="M4548" s="8">
        <f>HYPERLINK("https://dart.fss.or.kr/dsaf001/main.do?rcpNo=20260619000394", "공시열람")</f>
        <v/>
      </c>
    </row>
    <row r="4549" ht="22" customHeight="1">
      <c r="A4549" s="2" t="inlineStr">
        <is>
          <t>2026-06-19</t>
        </is>
      </c>
      <c r="B4549" s="3" t="inlineStr">
        <is>
          <t>알엔티엑스</t>
        </is>
      </c>
      <c r="C4549" s="2" t="inlineStr">
        <is>
          <t>123010</t>
        </is>
      </c>
      <c r="D4549" s="2" t="inlineStr">
        <is>
          <t>대량보유</t>
        </is>
      </c>
      <c r="E4549" s="3" t="inlineStr">
        <is>
          <t>시너직스1호투자조합</t>
        </is>
      </c>
      <c r="F4549" s="3" t="inlineStr">
        <is>
          <t>특별관계자</t>
        </is>
      </c>
      <c r="G4549" s="3" t="inlineStr">
        <is>
          <t>CB인수(+)</t>
        </is>
      </c>
      <c r="H4549" s="15" t="n">
        <v>3218884</v>
      </c>
      <c r="I4549" s="6" t="n">
        <v>1864</v>
      </c>
      <c r="J4549" s="6" t="n">
        <v>3218884</v>
      </c>
      <c r="K4549" s="16" t="n">
        <v>91</v>
      </c>
      <c r="L4549" s="2" t="inlineStr">
        <is>
          <t>20260619000386</t>
        </is>
      </c>
      <c r="M4549" s="8">
        <f>HYPERLINK("https://dart.fss.or.kr/dsaf001/main.do?rcpNo=20260619000386", "공시열람")</f>
        <v/>
      </c>
    </row>
    <row r="4550" ht="22" customHeight="1">
      <c r="A4550" s="2" t="inlineStr">
        <is>
          <t>2026-06-19</t>
        </is>
      </c>
      <c r="B4550" s="3" t="inlineStr">
        <is>
          <t>코나솔</t>
        </is>
      </c>
      <c r="C4550" s="2" t="inlineStr">
        <is>
          <t>176590</t>
        </is>
      </c>
      <c r="D4550" s="2" t="inlineStr">
        <is>
          <t>대량보유</t>
        </is>
      </c>
      <c r="E4550" s="3" t="inlineStr">
        <is>
          <t>이상주</t>
        </is>
      </c>
      <c r="F4550" s="3" t="inlineStr">
        <is>
          <t>특별관계자</t>
        </is>
      </c>
      <c r="G4550" s="3" t="inlineStr">
        <is>
          <t>장내매수(+)</t>
        </is>
      </c>
      <c r="H4550" s="15" t="n">
        <v>84949</v>
      </c>
      <c r="I4550" s="6" t="n">
        <v>1960</v>
      </c>
      <c r="J4550" s="6" t="n">
        <v>291387</v>
      </c>
      <c r="K4550" s="16" t="n">
        <v>6</v>
      </c>
      <c r="L4550" s="2" t="inlineStr">
        <is>
          <t>20260619000357</t>
        </is>
      </c>
      <c r="M4550" s="8">
        <f>HYPERLINK("https://dart.fss.or.kr/dsaf001/main.do?rcpNo=20260619000357", "공시열람")</f>
        <v/>
      </c>
    </row>
    <row r="4551" ht="22" customHeight="1">
      <c r="A4551" s="2" t="inlineStr">
        <is>
          <t>2026-06-19</t>
        </is>
      </c>
      <c r="B4551" s="3" t="inlineStr">
        <is>
          <t>일정실업</t>
        </is>
      </c>
      <c r="C4551" s="2" t="inlineStr">
        <is>
          <t>008500</t>
        </is>
      </c>
      <c r="D4551" s="2" t="inlineStr">
        <is>
          <t>임원보고</t>
        </is>
      </c>
      <c r="E4551" s="3" t="inlineStr">
        <is>
          <t>-</t>
        </is>
      </c>
      <c r="F4551" s="3" t="inlineStr">
        <is>
          <t>-</t>
        </is>
      </c>
      <c r="G4551" s="3" t="inlineStr">
        <is>
          <t>-</t>
        </is>
      </c>
      <c r="H4551" s="6" t="inlineStr"/>
      <c r="I4551" s="6" t="inlineStr"/>
      <c r="J4551" s="6" t="inlineStr"/>
      <c r="K4551" s="16" t="n">
        <v>12</v>
      </c>
      <c r="L4551" s="2" t="inlineStr">
        <is>
          <t>20260619800593</t>
        </is>
      </c>
      <c r="M4551" s="8">
        <f>HYPERLINK("https://dart.fss.or.kr/dsaf001/main.do?rcpNo=20260619800593", "공시열람")</f>
        <v/>
      </c>
    </row>
    <row r="4552" ht="22" customHeight="1">
      <c r="A4552" s="2" t="inlineStr">
        <is>
          <t>2026-06-19</t>
        </is>
      </c>
      <c r="B4552" s="3" t="inlineStr">
        <is>
          <t>티엘비</t>
        </is>
      </c>
      <c r="C4552" s="2" t="inlineStr">
        <is>
          <t>356860</t>
        </is>
      </c>
      <c r="D4552" s="2" t="inlineStr">
        <is>
          <t>대량보유</t>
        </is>
      </c>
      <c r="E4552" s="3" t="inlineStr">
        <is>
          <t>백성현</t>
        </is>
      </c>
      <c r="F4552" s="3" t="inlineStr">
        <is>
          <t>특별관계자</t>
        </is>
      </c>
      <c r="G4552" s="3" t="inlineStr">
        <is>
          <t>기타(+), 장외매도(-), 장내매도(-)</t>
        </is>
      </c>
      <c r="H4552" s="17" t="n">
        <v>-45510</v>
      </c>
      <c r="I4552" s="6" t="n">
        <v>34598</v>
      </c>
      <c r="J4552" s="6" t="n">
        <v>1754000</v>
      </c>
      <c r="K4552" s="16" t="n">
        <v>8</v>
      </c>
      <c r="L4552" s="2" t="inlineStr">
        <is>
          <t>20260619000263</t>
        </is>
      </c>
      <c r="M4552" s="8">
        <f>HYPERLINK("https://dart.fss.or.kr/dsaf001/main.do?rcpNo=20260619000263", "공시열람")</f>
        <v/>
      </c>
    </row>
    <row r="4553" ht="22" customHeight="1">
      <c r="A4553" s="2" t="inlineStr">
        <is>
          <t>2026-06-19</t>
        </is>
      </c>
      <c r="B4553" s="3" t="inlineStr">
        <is>
          <t>티엘비</t>
        </is>
      </c>
      <c r="C4553" s="2" t="inlineStr">
        <is>
          <t>356860</t>
        </is>
      </c>
      <c r="D4553" s="2" t="inlineStr">
        <is>
          <t>대량보유</t>
        </is>
      </c>
      <c r="E4553" s="3" t="inlineStr">
        <is>
          <t>이세현</t>
        </is>
      </c>
      <c r="F4553" s="3" t="inlineStr">
        <is>
          <t>특별관계자</t>
        </is>
      </c>
      <c r="G4553" s="3" t="inlineStr">
        <is>
          <t>기타(+)</t>
        </is>
      </c>
      <c r="H4553" s="15" t="n">
        <v>80168</v>
      </c>
      <c r="I4553" s="6" t="inlineStr"/>
      <c r="J4553" s="6" t="n">
        <v>80168</v>
      </c>
      <c r="K4553" s="16" t="n">
        <v>8</v>
      </c>
      <c r="L4553" s="2" t="inlineStr">
        <is>
          <t>20260619000263</t>
        </is>
      </c>
      <c r="M4553" s="8">
        <f>HYPERLINK("https://dart.fss.or.kr/dsaf001/main.do?rcpNo=20260619000263", "공시열람")</f>
        <v/>
      </c>
    </row>
    <row r="4554" ht="22" customHeight="1">
      <c r="A4554" s="2" t="inlineStr">
        <is>
          <t>2026-06-19</t>
        </is>
      </c>
      <c r="B4554" s="3" t="inlineStr">
        <is>
          <t>티엘비</t>
        </is>
      </c>
      <c r="C4554" s="2" t="inlineStr">
        <is>
          <t>356860</t>
        </is>
      </c>
      <c r="D4554" s="2" t="inlineStr">
        <is>
          <t>대량보유</t>
        </is>
      </c>
      <c r="E4554" s="3" t="inlineStr">
        <is>
          <t>조승건</t>
        </is>
      </c>
      <c r="F4554" s="3" t="inlineStr">
        <is>
          <t>특별관계자</t>
        </is>
      </c>
      <c r="G4554" s="3" t="inlineStr">
        <is>
          <t>기타(+)</t>
        </is>
      </c>
      <c r="H4554" s="15" t="n">
        <v>72492</v>
      </c>
      <c r="I4554" s="6" t="inlineStr"/>
      <c r="J4554" s="6" t="n">
        <v>72492</v>
      </c>
      <c r="K4554" s="16" t="n">
        <v>8</v>
      </c>
      <c r="L4554" s="2" t="inlineStr">
        <is>
          <t>20260619000263</t>
        </is>
      </c>
      <c r="M4554" s="8">
        <f>HYPERLINK("https://dart.fss.or.kr/dsaf001/main.do?rcpNo=20260619000263", "공시열람")</f>
        <v/>
      </c>
    </row>
    <row r="4555" ht="22" customHeight="1">
      <c r="A4555" s="2" t="inlineStr">
        <is>
          <t>2026-06-19</t>
        </is>
      </c>
      <c r="B4555" s="3" t="inlineStr">
        <is>
          <t>티엘비</t>
        </is>
      </c>
      <c r="C4555" s="2" t="inlineStr">
        <is>
          <t>356860</t>
        </is>
      </c>
      <c r="D4555" s="2" t="inlineStr">
        <is>
          <t>대량보유</t>
        </is>
      </c>
      <c r="E4555" s="3" t="inlineStr">
        <is>
          <t>백승일</t>
        </is>
      </c>
      <c r="F4555" s="3" t="inlineStr">
        <is>
          <t>특별관계자</t>
        </is>
      </c>
      <c r="G4555" s="3" t="inlineStr">
        <is>
          <t>기타(+)</t>
        </is>
      </c>
      <c r="H4555" s="15" t="n">
        <v>14924</v>
      </c>
      <c r="I4555" s="6" t="inlineStr"/>
      <c r="J4555" s="6" t="n">
        <v>14924</v>
      </c>
      <c r="K4555" s="16" t="n">
        <v>8</v>
      </c>
      <c r="L4555" s="2" t="inlineStr">
        <is>
          <t>20260619000263</t>
        </is>
      </c>
      <c r="M4555" s="8">
        <f>HYPERLINK("https://dart.fss.or.kr/dsaf001/main.do?rcpNo=20260619000263", "공시열람")</f>
        <v/>
      </c>
    </row>
    <row r="4556" ht="22" customHeight="1">
      <c r="A4556" s="2" t="inlineStr">
        <is>
          <t>2026-06-19</t>
        </is>
      </c>
      <c r="B4556" s="3" t="inlineStr">
        <is>
          <t>티엘비</t>
        </is>
      </c>
      <c r="C4556" s="2" t="inlineStr">
        <is>
          <t>356860</t>
        </is>
      </c>
      <c r="D4556" s="2" t="inlineStr">
        <is>
          <t>대량보유</t>
        </is>
      </c>
      <c r="E4556" s="3" t="inlineStr">
        <is>
          <t>이애영</t>
        </is>
      </c>
      <c r="F4556" s="3" t="inlineStr">
        <is>
          <t>특별관계자</t>
        </is>
      </c>
      <c r="G4556" s="3" t="inlineStr">
        <is>
          <t>기타(+)</t>
        </is>
      </c>
      <c r="H4556" s="15" t="n">
        <v>14924</v>
      </c>
      <c r="I4556" s="6" t="inlineStr"/>
      <c r="J4556" s="6" t="n">
        <v>14924</v>
      </c>
      <c r="K4556" s="16" t="n">
        <v>8</v>
      </c>
      <c r="L4556" s="2" t="inlineStr">
        <is>
          <t>20260619000263</t>
        </is>
      </c>
      <c r="M4556" s="8">
        <f>HYPERLINK("https://dart.fss.or.kr/dsaf001/main.do?rcpNo=20260619000263", "공시열람")</f>
        <v/>
      </c>
    </row>
    <row r="4557" ht="22" customHeight="1">
      <c r="A4557" s="2" t="inlineStr">
        <is>
          <t>2026-06-19</t>
        </is>
      </c>
      <c r="B4557" s="3" t="inlineStr">
        <is>
          <t>티엘비</t>
        </is>
      </c>
      <c r="C4557" s="2" t="inlineStr">
        <is>
          <t>356860</t>
        </is>
      </c>
      <c r="D4557" s="2" t="inlineStr">
        <is>
          <t>대량보유</t>
        </is>
      </c>
      <c r="E4557" s="3" t="inlineStr">
        <is>
          <t>백승준</t>
        </is>
      </c>
      <c r="F4557" s="3" t="inlineStr">
        <is>
          <t>특별관계자</t>
        </is>
      </c>
      <c r="G4557" s="3" t="inlineStr">
        <is>
          <t>기타(+)</t>
        </is>
      </c>
      <c r="H4557" s="15" t="n">
        <v>10660</v>
      </c>
      <c r="I4557" s="6" t="inlineStr"/>
      <c r="J4557" s="6" t="n">
        <v>10660</v>
      </c>
      <c r="K4557" s="16" t="n">
        <v>8</v>
      </c>
      <c r="L4557" s="2" t="inlineStr">
        <is>
          <t>20260619000263</t>
        </is>
      </c>
      <c r="M4557" s="8">
        <f>HYPERLINK("https://dart.fss.or.kr/dsaf001/main.do?rcpNo=20260619000263", "공시열람")</f>
        <v/>
      </c>
    </row>
    <row r="4558" ht="22" customHeight="1">
      <c r="A4558" s="2" t="inlineStr">
        <is>
          <t>2026-06-19</t>
        </is>
      </c>
      <c r="B4558" s="3" t="inlineStr">
        <is>
          <t>티엘비</t>
        </is>
      </c>
      <c r="C4558" s="2" t="inlineStr">
        <is>
          <t>356860</t>
        </is>
      </c>
      <c r="D4558" s="2" t="inlineStr">
        <is>
          <t>대량보유</t>
        </is>
      </c>
      <c r="E4558" s="3" t="inlineStr">
        <is>
          <t>최민호</t>
        </is>
      </c>
      <c r="F4558" s="3" t="inlineStr">
        <is>
          <t>특별관계자</t>
        </is>
      </c>
      <c r="G4558" s="3" t="inlineStr">
        <is>
          <t>기타(+)</t>
        </is>
      </c>
      <c r="H4558" s="15" t="n">
        <v>10447</v>
      </c>
      <c r="I4558" s="6" t="inlineStr"/>
      <c r="J4558" s="6" t="n">
        <v>10447</v>
      </c>
      <c r="K4558" s="16" t="n">
        <v>8</v>
      </c>
      <c r="L4558" s="2" t="inlineStr">
        <is>
          <t>20260619000263</t>
        </is>
      </c>
      <c r="M4558" s="8">
        <f>HYPERLINK("https://dart.fss.or.kr/dsaf001/main.do?rcpNo=20260619000263", "공시열람")</f>
        <v/>
      </c>
    </row>
    <row r="4559" ht="22" customHeight="1">
      <c r="A4559" s="2" t="inlineStr">
        <is>
          <t>2026-06-19</t>
        </is>
      </c>
      <c r="B4559" s="3" t="inlineStr">
        <is>
          <t>티엘비</t>
        </is>
      </c>
      <c r="C4559" s="2" t="inlineStr">
        <is>
          <t>356860</t>
        </is>
      </c>
      <c r="D4559" s="2" t="inlineStr">
        <is>
          <t>대량보유</t>
        </is>
      </c>
      <c r="E4559" s="3" t="inlineStr">
        <is>
          <t>한현종</t>
        </is>
      </c>
      <c r="F4559" s="3" t="inlineStr">
        <is>
          <t>특별관계자</t>
        </is>
      </c>
      <c r="G4559" s="3" t="inlineStr">
        <is>
          <t>기타(+)</t>
        </is>
      </c>
      <c r="H4559" s="15" t="n">
        <v>426</v>
      </c>
      <c r="I4559" s="6" t="inlineStr"/>
      <c r="J4559" s="6" t="n">
        <v>426</v>
      </c>
      <c r="K4559" s="16" t="n">
        <v>8</v>
      </c>
      <c r="L4559" s="2" t="inlineStr">
        <is>
          <t>20260619000263</t>
        </is>
      </c>
      <c r="M4559" s="8">
        <f>HYPERLINK("https://dart.fss.or.kr/dsaf001/main.do?rcpNo=20260619000263", "공시열람")</f>
        <v/>
      </c>
    </row>
    <row r="4560" ht="22" customHeight="1">
      <c r="A4560" s="2" t="inlineStr">
        <is>
          <t>2026-06-19</t>
        </is>
      </c>
      <c r="B4560" s="3" t="inlineStr">
        <is>
          <t>티엘비</t>
        </is>
      </c>
      <c r="C4560" s="2" t="inlineStr">
        <is>
          <t>356860</t>
        </is>
      </c>
      <c r="D4560" s="2" t="inlineStr">
        <is>
          <t>대량보유</t>
        </is>
      </c>
      <c r="E4560" s="3" t="inlineStr">
        <is>
          <t>김용현</t>
        </is>
      </c>
      <c r="F4560" s="3" t="inlineStr">
        <is>
          <t>특별관계자</t>
        </is>
      </c>
      <c r="G4560" s="3" t="inlineStr">
        <is>
          <t>기타(+)</t>
        </is>
      </c>
      <c r="H4560" s="15" t="n">
        <v>469</v>
      </c>
      <c r="I4560" s="6" t="inlineStr"/>
      <c r="J4560" s="6" t="n">
        <v>469</v>
      </c>
      <c r="K4560" s="16" t="n">
        <v>8</v>
      </c>
      <c r="L4560" s="2" t="inlineStr">
        <is>
          <t>20260619000263</t>
        </is>
      </c>
      <c r="M4560" s="8">
        <f>HYPERLINK("https://dart.fss.or.kr/dsaf001/main.do?rcpNo=20260619000263", "공시열람")</f>
        <v/>
      </c>
    </row>
    <row r="4561" ht="22" customHeight="1">
      <c r="A4561" s="2" t="inlineStr">
        <is>
          <t>2026-06-19</t>
        </is>
      </c>
      <c r="B4561" s="3" t="inlineStr">
        <is>
          <t>KB제30호스팩</t>
        </is>
      </c>
      <c r="C4561" s="2" t="inlineStr">
        <is>
          <t>486630</t>
        </is>
      </c>
      <c r="D4561" s="2" t="inlineStr">
        <is>
          <t>대량보유</t>
        </is>
      </c>
      <c r="E4561" s="3" t="inlineStr">
        <is>
          <t>더블유자산운용</t>
        </is>
      </c>
      <c r="F4561" s="3" t="inlineStr">
        <is>
          <t>특별관계자</t>
        </is>
      </c>
      <c r="G4561" s="3" t="inlineStr">
        <is>
          <t>장내매도(-), 장내매수(+)</t>
        </is>
      </c>
      <c r="H4561" s="15" t="n">
        <v>110089</v>
      </c>
      <c r="I4561" s="6" t="n">
        <v>2057</v>
      </c>
      <c r="J4561" s="6" t="n">
        <v>278159</v>
      </c>
      <c r="K4561" s="16" t="n">
        <v>5.24</v>
      </c>
      <c r="L4561" s="2" t="inlineStr">
        <is>
          <t>20260619000239</t>
        </is>
      </c>
      <c r="M4561" s="8">
        <f>HYPERLINK("https://dart.fss.or.kr/dsaf001/main.do?rcpNo=20260619000239", "공시열람")</f>
        <v/>
      </c>
    </row>
    <row r="4562" ht="22" customHeight="1">
      <c r="A4562" s="2" t="inlineStr">
        <is>
          <t>2026-06-19</t>
        </is>
      </c>
      <c r="B4562" s="3" t="inlineStr">
        <is>
          <t>삼익악기</t>
        </is>
      </c>
      <c r="C4562" s="2" t="inlineStr">
        <is>
          <t>002450</t>
        </is>
      </c>
      <c r="D4562" s="2" t="inlineStr">
        <is>
          <t>대량보유</t>
        </is>
      </c>
      <c r="E4562" s="3" t="inlineStr">
        <is>
          <t>(주)스페코</t>
        </is>
      </c>
      <c r="F4562" s="3" t="inlineStr">
        <is>
          <t>보고자</t>
        </is>
      </c>
      <c r="G4562" s="3" t="inlineStr">
        <is>
          <t>특별관계자 주식담보대출 계약연장</t>
        </is>
      </c>
      <c r="H4562" s="6" t="inlineStr"/>
      <c r="I4562" s="6" t="inlineStr"/>
      <c r="J4562" s="6" t="n">
        <v>42587306</v>
      </c>
      <c r="K4562" s="16" t="n">
        <v>5</v>
      </c>
      <c r="L4562" s="2" t="inlineStr">
        <is>
          <t>20260619000202</t>
        </is>
      </c>
      <c r="M4562" s="8">
        <f>HYPERLINK("https://dart.fss.or.kr/dsaf001/main.do?rcpNo=20260619000202", "공시열람")</f>
        <v/>
      </c>
    </row>
    <row r="4563" ht="22" customHeight="1">
      <c r="A4563" s="2" t="inlineStr">
        <is>
          <t>2026-06-19</t>
        </is>
      </c>
      <c r="B4563" s="3" t="inlineStr">
        <is>
          <t>파이온엑스</t>
        </is>
      </c>
      <c r="C4563" s="2" t="inlineStr">
        <is>
          <t>900100</t>
        </is>
      </c>
      <c r="D4563" s="2" t="inlineStr">
        <is>
          <t>대량보유</t>
        </is>
      </c>
      <c r="E4563" s="3" t="inlineStr">
        <is>
          <t>LUXHOOVER,LLC</t>
        </is>
      </c>
      <c r="F4563" s="3" t="inlineStr">
        <is>
          <t>특별관계자</t>
        </is>
      </c>
      <c r="G4563" s="3" t="inlineStr">
        <is>
          <t>주식병합</t>
        </is>
      </c>
      <c r="H4563" s="17" t="n">
        <v>-6173530</v>
      </c>
      <c r="I4563" s="6" t="inlineStr"/>
      <c r="J4563" s="6" t="n">
        <v>685947</v>
      </c>
      <c r="K4563" s="16" t="n">
        <v>13</v>
      </c>
      <c r="L4563" s="2" t="inlineStr">
        <is>
          <t>20260619000181</t>
        </is>
      </c>
      <c r="M4563" s="8">
        <f>HYPERLINK("https://dart.fss.or.kr/dsaf001/main.do?rcpNo=20260619000181", "공시열람")</f>
        <v/>
      </c>
    </row>
    <row r="4564" ht="22" customHeight="1">
      <c r="A4564" s="2" t="inlineStr">
        <is>
          <t>2026-06-19</t>
        </is>
      </c>
      <c r="B4564" s="3" t="inlineStr">
        <is>
          <t>에넥스</t>
        </is>
      </c>
      <c r="C4564" s="2" t="inlineStr">
        <is>
          <t>011090</t>
        </is>
      </c>
      <c r="D4564" s="2" t="inlineStr">
        <is>
          <t>대량보유</t>
        </is>
      </c>
      <c r="E4564" s="3" t="inlineStr">
        <is>
          <t>박진규</t>
        </is>
      </c>
      <c r="F4564" s="3" t="inlineStr">
        <is>
          <t>특별관계자</t>
        </is>
      </c>
      <c r="G4564" s="3" t="inlineStr">
        <is>
          <t>장내매수(+)</t>
        </is>
      </c>
      <c r="H4564" s="15" t="n">
        <v>35548</v>
      </c>
      <c r="I4564" s="6" t="n">
        <v>1555</v>
      </c>
      <c r="J4564" s="6" t="n">
        <v>2765106</v>
      </c>
      <c r="K4564" s="16" t="n">
        <v>9</v>
      </c>
      <c r="L4564" s="2" t="inlineStr">
        <is>
          <t>20260619000163</t>
        </is>
      </c>
      <c r="M4564" s="8">
        <f>HYPERLINK("https://dart.fss.or.kr/dsaf001/main.do?rcpNo=20260619000163", "공시열람")</f>
        <v/>
      </c>
    </row>
    <row r="4565" ht="22" customHeight="1">
      <c r="A4565" s="2" t="inlineStr">
        <is>
          <t>2026-06-19</t>
        </is>
      </c>
      <c r="B4565" s="3" t="inlineStr">
        <is>
          <t>에넥스</t>
        </is>
      </c>
      <c r="C4565" s="2" t="inlineStr">
        <is>
          <t>011090</t>
        </is>
      </c>
      <c r="D4565" s="2" t="inlineStr">
        <is>
          <t>대량보유</t>
        </is>
      </c>
      <c r="E4565" s="3" t="inlineStr">
        <is>
          <t>박성은</t>
        </is>
      </c>
      <c r="F4565" s="3" t="inlineStr">
        <is>
          <t>특별관계자</t>
        </is>
      </c>
      <c r="G4565" s="3" t="inlineStr">
        <is>
          <t>장내매수(+)</t>
        </is>
      </c>
      <c r="H4565" s="15" t="n">
        <v>18039</v>
      </c>
      <c r="I4565" s="6" t="n">
        <v>1598</v>
      </c>
      <c r="J4565" s="6" t="n">
        <v>148039</v>
      </c>
      <c r="K4565" s="16" t="n">
        <v>9</v>
      </c>
      <c r="L4565" s="2" t="inlineStr">
        <is>
          <t>20260619000163</t>
        </is>
      </c>
      <c r="M4565" s="8">
        <f>HYPERLINK("https://dart.fss.or.kr/dsaf001/main.do?rcpNo=20260619000163", "공시열람")</f>
        <v/>
      </c>
    </row>
    <row r="4566" ht="22" customHeight="1">
      <c r="A4566" s="2" t="inlineStr">
        <is>
          <t>2026-06-19</t>
        </is>
      </c>
      <c r="B4566" s="3" t="inlineStr">
        <is>
          <t>에넥스</t>
        </is>
      </c>
      <c r="C4566" s="2" t="inlineStr">
        <is>
          <t>011090</t>
        </is>
      </c>
      <c r="D4566" s="2" t="inlineStr">
        <is>
          <t>대량보유</t>
        </is>
      </c>
      <c r="E4566" s="3" t="inlineStr">
        <is>
          <t>김주환</t>
        </is>
      </c>
      <c r="F4566" s="3" t="inlineStr">
        <is>
          <t>특별관계자</t>
        </is>
      </c>
      <c r="G4566" s="3" t="inlineStr">
        <is>
          <t>장내매수(+)</t>
        </is>
      </c>
      <c r="H4566" s="15" t="n">
        <v>18000</v>
      </c>
      <c r="I4566" s="6" t="n">
        <v>1612</v>
      </c>
      <c r="J4566" s="6" t="n">
        <v>24000</v>
      </c>
      <c r="K4566" s="16" t="n">
        <v>9</v>
      </c>
      <c r="L4566" s="2" t="inlineStr">
        <is>
          <t>20260619000163</t>
        </is>
      </c>
      <c r="M4566" s="8">
        <f>HYPERLINK("https://dart.fss.or.kr/dsaf001/main.do?rcpNo=20260619000163", "공시열람")</f>
        <v/>
      </c>
    </row>
    <row r="4567" ht="22" customHeight="1">
      <c r="A4567" s="2" t="inlineStr">
        <is>
          <t>2026-06-19</t>
        </is>
      </c>
      <c r="B4567" s="3" t="inlineStr">
        <is>
          <t>에넥스</t>
        </is>
      </c>
      <c r="C4567" s="2" t="inlineStr">
        <is>
          <t>011090</t>
        </is>
      </c>
      <c r="D4567" s="2" t="inlineStr">
        <is>
          <t>대량보유</t>
        </is>
      </c>
      <c r="E4567" s="3" t="inlineStr">
        <is>
          <t>김시철</t>
        </is>
      </c>
      <c r="F4567" s="3" t="inlineStr">
        <is>
          <t>특별관계자</t>
        </is>
      </c>
      <c r="G4567" s="3" t="inlineStr">
        <is>
          <t>장내매수(+)</t>
        </is>
      </c>
      <c r="H4567" s="15" t="n">
        <v>19300</v>
      </c>
      <c r="I4567" s="6" t="n">
        <v>1618</v>
      </c>
      <c r="J4567" s="6" t="n">
        <v>25362</v>
      </c>
      <c r="K4567" s="16" t="n">
        <v>9</v>
      </c>
      <c r="L4567" s="2" t="inlineStr">
        <is>
          <t>20260619000163</t>
        </is>
      </c>
      <c r="M4567" s="8">
        <f>HYPERLINK("https://dart.fss.or.kr/dsaf001/main.do?rcpNo=20260619000163", "공시열람")</f>
        <v/>
      </c>
    </row>
    <row r="4568" ht="22" customHeight="1">
      <c r="A4568" s="2" t="inlineStr">
        <is>
          <t>2026-06-19</t>
        </is>
      </c>
      <c r="B4568" s="3" t="inlineStr">
        <is>
          <t>에넥스</t>
        </is>
      </c>
      <c r="C4568" s="2" t="inlineStr">
        <is>
          <t>011090</t>
        </is>
      </c>
      <c r="D4568" s="2" t="inlineStr">
        <is>
          <t>임원보고</t>
        </is>
      </c>
      <c r="E4568" s="3" t="inlineStr">
        <is>
          <t>-</t>
        </is>
      </c>
      <c r="F4568" s="3" t="inlineStr">
        <is>
          <t>-</t>
        </is>
      </c>
      <c r="G4568" s="3" t="inlineStr">
        <is>
          <t>-</t>
        </is>
      </c>
      <c r="H4568" s="6" t="inlineStr"/>
      <c r="I4568" s="6" t="inlineStr"/>
      <c r="J4568" s="6" t="inlineStr"/>
      <c r="K4568" s="16" t="n">
        <v>12</v>
      </c>
      <c r="L4568" s="2" t="inlineStr">
        <is>
          <t>20260619800435</t>
        </is>
      </c>
      <c r="M4568" s="8">
        <f>HYPERLINK("https://dart.fss.or.kr/dsaf001/main.do?rcpNo=20260619800435", "공시열람")</f>
        <v/>
      </c>
    </row>
    <row r="4569" ht="22" customHeight="1">
      <c r="A4569" s="2" t="inlineStr">
        <is>
          <t>2026-06-19</t>
        </is>
      </c>
      <c r="B4569" s="3" t="inlineStr">
        <is>
          <t>제일기획</t>
        </is>
      </c>
      <c r="C4569" s="2" t="inlineStr">
        <is>
          <t>030000</t>
        </is>
      </c>
      <c r="D4569" s="2" t="inlineStr">
        <is>
          <t>대량보유</t>
        </is>
      </c>
      <c r="E4569" s="3" t="inlineStr">
        <is>
          <t>한화자산운용(주)</t>
        </is>
      </c>
      <c r="F4569" s="3" t="inlineStr">
        <is>
          <t>특별관계자</t>
        </is>
      </c>
      <c r="G4569" s="3" t="inlineStr">
        <is>
          <t>신규보고(+), 장내매도(-), 기타(+), 장내매수(+)</t>
        </is>
      </c>
      <c r="H4569" s="15" t="n">
        <v>7573486</v>
      </c>
      <c r="I4569" s="6" t="n">
        <v>21179</v>
      </c>
      <c r="J4569" s="6" t="n">
        <v>7573486</v>
      </c>
      <c r="K4569" s="16" t="n">
        <v>2</v>
      </c>
      <c r="L4569" s="2" t="inlineStr">
        <is>
          <t>20260619000096</t>
        </is>
      </c>
      <c r="M4569" s="8">
        <f>HYPERLINK("https://dart.fss.or.kr/dsaf001/main.do?rcpNo=20260619000096", "공시열람")</f>
        <v/>
      </c>
    </row>
    <row r="4570" ht="22" customHeight="1">
      <c r="A4570" s="2" t="inlineStr">
        <is>
          <t>2026-06-19</t>
        </is>
      </c>
      <c r="B4570" s="3" t="inlineStr">
        <is>
          <t>제일기획</t>
        </is>
      </c>
      <c r="C4570" s="2" t="inlineStr">
        <is>
          <t>030000</t>
        </is>
      </c>
      <c r="D4570" s="2" t="inlineStr">
        <is>
          <t>대량보유</t>
        </is>
      </c>
      <c r="E4570" s="3" t="inlineStr">
        <is>
          <t>한화생명보험㈜</t>
        </is>
      </c>
      <c r="F4570" s="3" t="inlineStr">
        <is>
          <t>특별관계자</t>
        </is>
      </c>
      <c r="G4570" s="3" t="inlineStr">
        <is>
          <t>신규보고(+), 장내매수(+)</t>
        </is>
      </c>
      <c r="H4570" s="15" t="n">
        <v>56230</v>
      </c>
      <c r="I4570" s="6" t="n">
        <v>19532</v>
      </c>
      <c r="J4570" s="6" t="n">
        <v>56230</v>
      </c>
      <c r="K4570" s="16" t="n">
        <v>2</v>
      </c>
      <c r="L4570" s="2" t="inlineStr">
        <is>
          <t>20260619000096</t>
        </is>
      </c>
      <c r="M4570" s="8">
        <f>HYPERLINK("https://dart.fss.or.kr/dsaf001/main.do?rcpNo=20260619000096", "공시열람")</f>
        <v/>
      </c>
    </row>
    <row r="4571" ht="22" customHeight="1">
      <c r="A4571" s="2" t="inlineStr">
        <is>
          <t>2026-06-19</t>
        </is>
      </c>
      <c r="B4571" s="3" t="inlineStr">
        <is>
          <t>제일기획</t>
        </is>
      </c>
      <c r="C4571" s="2" t="inlineStr">
        <is>
          <t>030000</t>
        </is>
      </c>
      <c r="D4571" s="2" t="inlineStr">
        <is>
          <t>대량보유</t>
        </is>
      </c>
      <c r="E4571" s="3" t="inlineStr">
        <is>
          <t>한화투자증권㈜</t>
        </is>
      </c>
      <c r="F4571" s="3" t="inlineStr">
        <is>
          <t>특별관계자</t>
        </is>
      </c>
      <c r="G4571" s="3" t="inlineStr">
        <is>
          <t>신규보고(+), 기타(+), 기타(-), 장내매도(-), 장내매수(+)</t>
        </is>
      </c>
      <c r="H4571" s="15" t="n">
        <v>1482</v>
      </c>
      <c r="I4571" s="6" t="n">
        <v>19052</v>
      </c>
      <c r="J4571" s="6" t="n">
        <v>1482</v>
      </c>
      <c r="K4571" s="16" t="n">
        <v>2</v>
      </c>
      <c r="L4571" s="2" t="inlineStr">
        <is>
          <t>20260619000096</t>
        </is>
      </c>
      <c r="M4571" s="8">
        <f>HYPERLINK("https://dart.fss.or.kr/dsaf001/main.do?rcpNo=20260619000096", "공시열람")</f>
        <v/>
      </c>
    </row>
    <row r="4572" ht="22" customHeight="1">
      <c r="A4572" s="2" t="inlineStr">
        <is>
          <t>2026-06-19</t>
        </is>
      </c>
      <c r="B4572" s="3" t="inlineStr">
        <is>
          <t>JB금융지주</t>
        </is>
      </c>
      <c r="C4572" s="2" t="inlineStr">
        <is>
          <t>175330</t>
        </is>
      </c>
      <c r="D4572" s="2" t="inlineStr">
        <is>
          <t>대량보유</t>
        </is>
      </c>
      <c r="E4572" s="3" t="inlineStr">
        <is>
          <t>삼양사</t>
        </is>
      </c>
      <c r="F4572" s="3" t="inlineStr">
        <is>
          <t>특별관계자</t>
        </is>
      </c>
      <c r="G4572" s="3" t="inlineStr">
        <is>
          <t>장내매도(-)</t>
        </is>
      </c>
      <c r="H4572" s="17" t="n">
        <v>-270000</v>
      </c>
      <c r="I4572" s="6" t="n">
        <v>28227</v>
      </c>
      <c r="J4572" s="6" t="n">
        <v>27035041</v>
      </c>
      <c r="K4572" s="16" t="n">
        <v>3</v>
      </c>
      <c r="L4572" s="2" t="inlineStr">
        <is>
          <t>20260619000089</t>
        </is>
      </c>
      <c r="M4572" s="8">
        <f>HYPERLINK("https://dart.fss.or.kr/dsaf001/main.do?rcpNo=20260619000089", "공시열람")</f>
        <v/>
      </c>
    </row>
    <row r="4573" ht="22" customHeight="1">
      <c r="A4573" s="2" t="inlineStr">
        <is>
          <t>2026-06-19</t>
        </is>
      </c>
      <c r="B4573" s="3" t="inlineStr">
        <is>
          <t>스틱인베스트먼트</t>
        </is>
      </c>
      <c r="C4573" s="2" t="inlineStr">
        <is>
          <t>026890</t>
        </is>
      </c>
      <c r="D4573" s="2" t="inlineStr">
        <is>
          <t>대량보유</t>
        </is>
      </c>
      <c r="E4573" s="3" t="inlineStr">
        <is>
          <t>MiriCapitalManagementLLC</t>
        </is>
      </c>
      <c r="F4573" s="3" t="inlineStr">
        <is>
          <t>특별관계자</t>
        </is>
      </c>
      <c r="G4573" s="3" t="inlineStr">
        <is>
          <t>장내매수(+)</t>
        </is>
      </c>
      <c r="H4573" s="15" t="n">
        <v>15100</v>
      </c>
      <c r="I4573" s="6" t="n">
        <v>6995</v>
      </c>
      <c r="J4573" s="6" t="n">
        <v>10421487</v>
      </c>
      <c r="K4573" s="16" t="n">
        <v>2</v>
      </c>
      <c r="L4573" s="2" t="inlineStr">
        <is>
          <t>20260619000082</t>
        </is>
      </c>
      <c r="M4573" s="8">
        <f>HYPERLINK("https://dart.fss.or.kr/dsaf001/main.do?rcpNo=20260619000082", "공시열람")</f>
        <v/>
      </c>
    </row>
    <row r="4574" ht="22" customHeight="1">
      <c r="A4574" s="2" t="inlineStr">
        <is>
          <t>2026-06-19</t>
        </is>
      </c>
      <c r="B4574" s="3" t="inlineStr">
        <is>
          <t>엔알비</t>
        </is>
      </c>
      <c r="C4574" s="2" t="inlineStr">
        <is>
          <t>475230</t>
        </is>
      </c>
      <c r="D4574" s="2" t="inlineStr">
        <is>
          <t>대량보유</t>
        </is>
      </c>
      <c r="E4574" s="3" t="inlineStr">
        <is>
          <t>강건우</t>
        </is>
      </c>
      <c r="F4574" s="3" t="inlineStr">
        <is>
          <t>특별관계자</t>
        </is>
      </c>
      <c r="G4574" s="3" t="inlineStr">
        <is>
          <t>장내매수(+)</t>
        </is>
      </c>
      <c r="H4574" s="15" t="n">
        <v>7000</v>
      </c>
      <c r="I4574" s="6" t="n">
        <v>10691</v>
      </c>
      <c r="J4574" s="6" t="n">
        <v>3479000</v>
      </c>
      <c r="K4574" s="16" t="n">
        <v>3</v>
      </c>
      <c r="L4574" s="2" t="inlineStr">
        <is>
          <t>20260619000056</t>
        </is>
      </c>
      <c r="M4574" s="8">
        <f>HYPERLINK("https://dart.fss.or.kr/dsaf001/main.do?rcpNo=20260619000056", "공시열람")</f>
        <v/>
      </c>
    </row>
    <row r="4575" ht="22" customHeight="1">
      <c r="A4575" s="2" t="inlineStr">
        <is>
          <t>2026-06-19</t>
        </is>
      </c>
      <c r="B4575" s="3" t="inlineStr">
        <is>
          <t>엔알비</t>
        </is>
      </c>
      <c r="C4575" s="2" t="inlineStr">
        <is>
          <t>475230</t>
        </is>
      </c>
      <c r="D4575" s="2" t="inlineStr">
        <is>
          <t>대량보유</t>
        </is>
      </c>
      <c r="E4575" s="3" t="inlineStr">
        <is>
          <t>김동우</t>
        </is>
      </c>
      <c r="F4575" s="3" t="inlineStr">
        <is>
          <t>특별관계자</t>
        </is>
      </c>
      <c r="G4575" s="3" t="inlineStr">
        <is>
          <t>장내매수(+)</t>
        </is>
      </c>
      <c r="H4575" s="15" t="n">
        <v>2000</v>
      </c>
      <c r="I4575" s="6" t="n">
        <v>10514</v>
      </c>
      <c r="J4575" s="6" t="n">
        <v>1122000</v>
      </c>
      <c r="K4575" s="16" t="n">
        <v>3</v>
      </c>
      <c r="L4575" s="2" t="inlineStr">
        <is>
          <t>20260619000056</t>
        </is>
      </c>
      <c r="M4575" s="8">
        <f>HYPERLINK("https://dart.fss.or.kr/dsaf001/main.do?rcpNo=20260619000056", "공시열람")</f>
        <v/>
      </c>
    </row>
    <row r="4576" ht="22" customHeight="1">
      <c r="A4576" s="2" t="inlineStr">
        <is>
          <t>2026-06-19</t>
        </is>
      </c>
      <c r="B4576" s="3" t="inlineStr">
        <is>
          <t>엔알비</t>
        </is>
      </c>
      <c r="C4576" s="2" t="inlineStr">
        <is>
          <t>475230</t>
        </is>
      </c>
      <c r="D4576" s="2" t="inlineStr">
        <is>
          <t>대량보유</t>
        </is>
      </c>
      <c r="E4576" s="3" t="inlineStr">
        <is>
          <t>강혜경</t>
        </is>
      </c>
      <c r="F4576" s="3" t="inlineStr">
        <is>
          <t>특별관계자</t>
        </is>
      </c>
      <c r="G4576" s="3" t="inlineStr">
        <is>
          <t>장내매수(+)</t>
        </is>
      </c>
      <c r="H4576" s="15" t="n">
        <v>1000</v>
      </c>
      <c r="I4576" s="6" t="n">
        <v>9900</v>
      </c>
      <c r="J4576" s="6" t="n">
        <v>449000</v>
      </c>
      <c r="K4576" s="16" t="n">
        <v>3</v>
      </c>
      <c r="L4576" s="2" t="inlineStr">
        <is>
          <t>20260619000056</t>
        </is>
      </c>
      <c r="M4576" s="8">
        <f>HYPERLINK("https://dart.fss.or.kr/dsaf001/main.do?rcpNo=20260619000056", "공시열람")</f>
        <v/>
      </c>
    </row>
    <row r="4577" ht="22" customHeight="1">
      <c r="A4577" s="2" t="inlineStr">
        <is>
          <t>2026-06-19</t>
        </is>
      </c>
      <c r="B4577" s="3" t="inlineStr">
        <is>
          <t>엔알비</t>
        </is>
      </c>
      <c r="C4577" s="2" t="inlineStr">
        <is>
          <t>475230</t>
        </is>
      </c>
      <c r="D4577" s="2" t="inlineStr">
        <is>
          <t>대량보유</t>
        </is>
      </c>
      <c r="E4577" s="3" t="inlineStr">
        <is>
          <t>김명진</t>
        </is>
      </c>
      <c r="F4577" s="3" t="inlineStr">
        <is>
          <t>특별관계자</t>
        </is>
      </c>
      <c r="G4577" s="3" t="inlineStr">
        <is>
          <t>주식매수선택권행사(+), 장내매수(+)</t>
        </is>
      </c>
      <c r="H4577" s="15" t="n">
        <v>17340</v>
      </c>
      <c r="I4577" s="6" t="n">
        <v>10385</v>
      </c>
      <c r="J4577" s="6" t="n">
        <v>17340</v>
      </c>
      <c r="K4577" s="16" t="n">
        <v>3</v>
      </c>
      <c r="L4577" s="2" t="inlineStr">
        <is>
          <t>20260619000056</t>
        </is>
      </c>
      <c r="M4577" s="8">
        <f>HYPERLINK("https://dart.fss.or.kr/dsaf001/main.do?rcpNo=20260619000056", "공시열람")</f>
        <v/>
      </c>
    </row>
    <row r="4578" ht="22" customHeight="1">
      <c r="A4578" s="2" t="inlineStr">
        <is>
          <t>2026-06-19</t>
        </is>
      </c>
      <c r="B4578" s="3" t="inlineStr">
        <is>
          <t>엠투엔</t>
        </is>
      </c>
      <c r="C4578" s="2" t="inlineStr">
        <is>
          <t>033310</t>
        </is>
      </c>
      <c r="D4578" s="2" t="inlineStr">
        <is>
          <t>대량보유</t>
        </is>
      </c>
      <c r="E4578" s="3" t="inlineStr">
        <is>
          <t>(주)디케이마린</t>
        </is>
      </c>
      <c r="F4578" s="3" t="inlineStr">
        <is>
          <t>보고자</t>
        </is>
      </c>
      <c r="G4578" s="3" t="inlineStr">
        <is>
          <t>주식담보계약 연장</t>
        </is>
      </c>
      <c r="H4578" s="6" t="inlineStr"/>
      <c r="I4578" s="6" t="inlineStr"/>
      <c r="J4578" s="6" t="n">
        <v>15048583</v>
      </c>
      <c r="K4578" s="16" t="n">
        <v>3</v>
      </c>
      <c r="L4578" s="2" t="inlineStr">
        <is>
          <t>20260619000034</t>
        </is>
      </c>
      <c r="M4578" s="8">
        <f>HYPERLINK("https://dart.fss.or.kr/dsaf001/main.do?rcpNo=20260619000034", "공시열람")</f>
        <v/>
      </c>
    </row>
    <row r="4579" ht="22" customHeight="1">
      <c r="A4579" s="2" t="inlineStr">
        <is>
          <t>2026-06-19</t>
        </is>
      </c>
      <c r="B4579" s="3" t="inlineStr">
        <is>
          <t>리드코프</t>
        </is>
      </c>
      <c r="C4579" s="2" t="inlineStr">
        <is>
          <t>012700</t>
        </is>
      </c>
      <c r="D4579" s="2" t="inlineStr">
        <is>
          <t>대량보유</t>
        </is>
      </c>
      <c r="E4579" s="3" t="inlineStr">
        <is>
          <t>(주)디케이마린</t>
        </is>
      </c>
      <c r="F4579" s="3" t="inlineStr">
        <is>
          <t>보고자</t>
        </is>
      </c>
      <c r="G4579" s="3" t="inlineStr">
        <is>
          <t>주식담보계약 연장, 상환</t>
        </is>
      </c>
      <c r="H4579" s="6" t="inlineStr"/>
      <c r="I4579" s="6" t="inlineStr"/>
      <c r="J4579" s="6" t="n">
        <v>11067623</v>
      </c>
      <c r="K4579" s="16" t="n">
        <v>3</v>
      </c>
      <c r="L4579" s="2" t="inlineStr">
        <is>
          <t>20260619000031</t>
        </is>
      </c>
      <c r="M4579" s="8">
        <f>HYPERLINK("https://dart.fss.or.kr/dsaf001/main.do?rcpNo=20260619000031", "공시열람")</f>
        <v/>
      </c>
    </row>
    <row r="4580" ht="22" customHeight="1">
      <c r="A4580" s="2" t="inlineStr">
        <is>
          <t>2026-06-22</t>
        </is>
      </c>
      <c r="B4580" s="3" t="inlineStr">
        <is>
          <t>메디앙스</t>
        </is>
      </c>
      <c r="C4580" s="2" t="inlineStr">
        <is>
          <t>014100</t>
        </is>
      </c>
      <c r="D4580" s="2" t="inlineStr">
        <is>
          <t>대량보유</t>
        </is>
      </c>
      <c r="E4580" s="3" t="inlineStr">
        <is>
          <t>유피스판매주식회사</t>
        </is>
      </c>
      <c r="F4580" s="3" t="inlineStr">
        <is>
          <t>특별관계자</t>
        </is>
      </c>
      <c r="G4580" s="3" t="inlineStr">
        <is>
          <t>장내매수(+)</t>
        </is>
      </c>
      <c r="H4580" s="15" t="n">
        <v>57439</v>
      </c>
      <c r="I4580" s="6" t="n">
        <v>1654</v>
      </c>
      <c r="J4580" s="6" t="n">
        <v>57439</v>
      </c>
      <c r="K4580" s="16" t="n">
        <v>3</v>
      </c>
      <c r="L4580" s="2" t="inlineStr">
        <is>
          <t>20260622000405</t>
        </is>
      </c>
      <c r="M4580" s="8">
        <f>HYPERLINK("https://dart.fss.or.kr/dsaf001/main.do?rcpNo=20260622000405", "공시열람")</f>
        <v/>
      </c>
    </row>
    <row r="4581" ht="22" customHeight="1">
      <c r="A4581" s="2" t="inlineStr">
        <is>
          <t>2026-06-22</t>
        </is>
      </c>
      <c r="B4581" s="3" t="inlineStr">
        <is>
          <t>비스토스</t>
        </is>
      </c>
      <c r="C4581" s="2" t="inlineStr">
        <is>
          <t>419540</t>
        </is>
      </c>
      <c r="D4581" s="2" t="inlineStr">
        <is>
          <t>대량보유</t>
        </is>
      </c>
      <c r="E4581" s="3" t="inlineStr">
        <is>
          <t>(주)씨유메디칼시스템</t>
        </is>
      </c>
      <c r="F4581" s="3" t="inlineStr">
        <is>
          <t>특별관계자</t>
        </is>
      </c>
      <c r="G4581" s="3" t="inlineStr">
        <is>
          <t>제3자배정유상증자(+)</t>
        </is>
      </c>
      <c r="H4581" s="15" t="n">
        <v>1359751</v>
      </c>
      <c r="I4581" s="6" t="n">
        <v>2574</v>
      </c>
      <c r="J4581" s="6" t="n">
        <v>2927512</v>
      </c>
      <c r="K4581" s="16" t="n">
        <v>1</v>
      </c>
      <c r="L4581" s="2" t="inlineStr">
        <is>
          <t>20260622000403</t>
        </is>
      </c>
      <c r="M4581" s="8">
        <f>HYPERLINK("https://dart.fss.or.kr/dsaf001/main.do?rcpNo=20260622000403", "공시열람")</f>
        <v/>
      </c>
    </row>
    <row r="4582" ht="22" customHeight="1">
      <c r="A4582" s="2" t="inlineStr">
        <is>
          <t>2026-06-22</t>
        </is>
      </c>
      <c r="B4582" s="3" t="inlineStr">
        <is>
          <t>팅크웨어</t>
        </is>
      </c>
      <c r="C4582" s="2" t="inlineStr">
        <is>
          <t>084730</t>
        </is>
      </c>
      <c r="D4582" s="2" t="inlineStr">
        <is>
          <t>대량보유</t>
        </is>
      </c>
      <c r="E4582" s="3" t="inlineStr">
        <is>
          <t>아르게스그로쓰캐피탈제1호사모투자합자회사</t>
        </is>
      </c>
      <c r="F4582" s="3" t="inlineStr">
        <is>
          <t>특별관계자</t>
        </is>
      </c>
      <c r="G4582" s="3" t="inlineStr">
        <is>
          <t>장외매도(-), 특별관계해소(-)</t>
        </is>
      </c>
      <c r="H4582" s="17" t="n">
        <v>-1623560</v>
      </c>
      <c r="I4582" s="6" t="n">
        <v>14996</v>
      </c>
      <c r="J4582" s="6" t="inlineStr"/>
      <c r="K4582" s="16" t="n">
        <v>4</v>
      </c>
      <c r="L4582" s="2" t="inlineStr">
        <is>
          <t>20260622000400</t>
        </is>
      </c>
      <c r="M4582" s="8">
        <f>HYPERLINK("https://dart.fss.or.kr/dsaf001/main.do?rcpNo=20260622000400", "공시열람")</f>
        <v/>
      </c>
    </row>
    <row r="4583" ht="22" customHeight="1">
      <c r="A4583" s="2" t="inlineStr">
        <is>
          <t>2026-06-22</t>
        </is>
      </c>
      <c r="B4583" s="3" t="inlineStr">
        <is>
          <t>폴라리스오피스</t>
        </is>
      </c>
      <c r="C4583" s="2" t="inlineStr">
        <is>
          <t>041020</t>
        </is>
      </c>
      <c r="D4583" s="2" t="inlineStr">
        <is>
          <t>대량보유</t>
        </is>
      </c>
      <c r="E4583" s="3" t="inlineStr">
        <is>
          <t>(주)폴라리스에이아이</t>
        </is>
      </c>
      <c r="F4583" s="3" t="inlineStr">
        <is>
          <t>특별관계자</t>
        </is>
      </c>
      <c r="G4583" s="3" t="inlineStr">
        <is>
          <t>장내매수(+)</t>
        </is>
      </c>
      <c r="H4583" s="15" t="n">
        <v>428487</v>
      </c>
      <c r="I4583" s="6" t="n">
        <v>3257</v>
      </c>
      <c r="J4583" s="6" t="n">
        <v>492172</v>
      </c>
      <c r="K4583" s="16" t="n">
        <v>6</v>
      </c>
      <c r="L4583" s="2" t="inlineStr">
        <is>
          <t>20260622000393</t>
        </is>
      </c>
      <c r="M4583" s="8">
        <f>HYPERLINK("https://dart.fss.or.kr/dsaf001/main.do?rcpNo=20260622000393", "공시열람")</f>
        <v/>
      </c>
    </row>
    <row r="4584" ht="22" customHeight="1">
      <c r="A4584" s="2" t="inlineStr">
        <is>
          <t>2026-06-22</t>
        </is>
      </c>
      <c r="B4584" s="3" t="inlineStr">
        <is>
          <t>폴라리스오피스</t>
        </is>
      </c>
      <c r="C4584" s="2" t="inlineStr">
        <is>
          <t>041020</t>
        </is>
      </c>
      <c r="D4584" s="2" t="inlineStr">
        <is>
          <t>대량보유</t>
        </is>
      </c>
      <c r="E4584" s="3" t="inlineStr">
        <is>
          <t>(주)폴라리스에이아이파마</t>
        </is>
      </c>
      <c r="F4584" s="3" t="inlineStr">
        <is>
          <t>특별관계자</t>
        </is>
      </c>
      <c r="G4584" s="3" t="inlineStr">
        <is>
          <t>장내매수(+)</t>
        </is>
      </c>
      <c r="H4584" s="15" t="n">
        <v>426077</v>
      </c>
      <c r="I4584" s="6" t="n">
        <v>3203</v>
      </c>
      <c r="J4584" s="6" t="n">
        <v>489830</v>
      </c>
      <c r="K4584" s="16" t="n">
        <v>6</v>
      </c>
      <c r="L4584" s="2" t="inlineStr">
        <is>
          <t>20260622000393</t>
        </is>
      </c>
      <c r="M4584" s="8">
        <f>HYPERLINK("https://dart.fss.or.kr/dsaf001/main.do?rcpNo=20260622000393", "공시열람")</f>
        <v/>
      </c>
    </row>
    <row r="4585" ht="22" customHeight="1">
      <c r="A4585" s="2" t="inlineStr">
        <is>
          <t>2026-06-22</t>
        </is>
      </c>
      <c r="B4585" s="3" t="inlineStr">
        <is>
          <t>엔에이치스팩32호</t>
        </is>
      </c>
      <c r="C4585" s="2" t="inlineStr">
        <is>
          <t>0054V0</t>
        </is>
      </c>
      <c r="D4585" s="2" t="inlineStr">
        <is>
          <t>대량보유</t>
        </is>
      </c>
      <c r="E4585" s="3" t="inlineStr">
        <is>
          <t>더블유자산운용</t>
        </is>
      </c>
      <c r="F4585" s="3" t="inlineStr">
        <is>
          <t>특별관계자</t>
        </is>
      </c>
      <c r="G4585" s="3" t="inlineStr">
        <is>
          <t>신규등록(+), 장내매도(-), 장내매수(+)</t>
        </is>
      </c>
      <c r="H4585" s="15" t="n">
        <v>338009</v>
      </c>
      <c r="I4585" s="6" t="n">
        <v>2093</v>
      </c>
      <c r="J4585" s="6" t="n">
        <v>338009</v>
      </c>
      <c r="K4585" s="16" t="n">
        <v>5.44</v>
      </c>
      <c r="L4585" s="2" t="inlineStr">
        <is>
          <t>20260622000390</t>
        </is>
      </c>
      <c r="M4585" s="8">
        <f>HYPERLINK("https://dart.fss.or.kr/dsaf001/main.do?rcpNo=20260622000390", "공시열람")</f>
        <v/>
      </c>
    </row>
    <row r="4586" ht="22" customHeight="1">
      <c r="A4586" s="2" t="inlineStr">
        <is>
          <t>2026-06-22</t>
        </is>
      </c>
      <c r="B4586" s="3" t="inlineStr">
        <is>
          <t>포니링크</t>
        </is>
      </c>
      <c r="C4586" s="2" t="inlineStr">
        <is>
          <t>064800</t>
        </is>
      </c>
      <c r="D4586" s="2" t="inlineStr">
        <is>
          <t>대량보유</t>
        </is>
      </c>
      <c r="E4586" s="3" t="inlineStr">
        <is>
          <t>남경필</t>
        </is>
      </c>
      <c r="F4586" s="3" t="inlineStr">
        <is>
          <t>특별관계자</t>
        </is>
      </c>
      <c r="G4586" s="3" t="inlineStr">
        <is>
          <t>신규보고(+)</t>
        </is>
      </c>
      <c r="H4586" s="15" t="n">
        <v>292306</v>
      </c>
      <c r="I4586" s="6" t="n">
        <v>2580</v>
      </c>
      <c r="J4586" s="6" t="n">
        <v>200000</v>
      </c>
      <c r="K4586" s="16" t="n">
        <v>12</v>
      </c>
      <c r="L4586" s="2" t="inlineStr">
        <is>
          <t>20260622000388</t>
        </is>
      </c>
      <c r="M4586" s="8">
        <f>HYPERLINK("https://dart.fss.or.kr/dsaf001/main.do?rcpNo=20260622000388", "공시열람")</f>
        <v/>
      </c>
    </row>
    <row r="4587" ht="22" customHeight="1">
      <c r="A4587" s="2" t="inlineStr">
        <is>
          <t>2026-06-22</t>
        </is>
      </c>
      <c r="B4587" s="3" t="inlineStr">
        <is>
          <t>SK증권제12호스팩</t>
        </is>
      </c>
      <c r="C4587" s="2" t="inlineStr">
        <is>
          <t>473000</t>
        </is>
      </c>
      <c r="D4587" s="2" t="inlineStr">
        <is>
          <t>대량보유</t>
        </is>
      </c>
      <c r="E4587" s="3" t="inlineStr">
        <is>
          <t>더블유자산운용</t>
        </is>
      </c>
      <c r="F4587" s="3" t="inlineStr">
        <is>
          <t>특별관계자</t>
        </is>
      </c>
      <c r="G4587" s="3" t="inlineStr">
        <is>
          <t>신규등록(+), 장내매도(-), 장내매수(+)</t>
        </is>
      </c>
      <c r="H4587" s="15" t="n">
        <v>201754</v>
      </c>
      <c r="I4587" s="6" t="n">
        <v>2100</v>
      </c>
      <c r="J4587" s="6" t="n">
        <v>201754</v>
      </c>
      <c r="K4587" s="16" t="n">
        <v>6.1</v>
      </c>
      <c r="L4587" s="2" t="inlineStr">
        <is>
          <t>20260622000377</t>
        </is>
      </c>
      <c r="M4587" s="8">
        <f>HYPERLINK("https://dart.fss.or.kr/dsaf001/main.do?rcpNo=20260622000377", "공시열람")</f>
        <v/>
      </c>
    </row>
    <row r="4588" ht="22" customHeight="1">
      <c r="A4588" s="2" t="inlineStr">
        <is>
          <t>2026-06-22</t>
        </is>
      </c>
      <c r="B4588" s="3" t="inlineStr">
        <is>
          <t>엠플러스</t>
        </is>
      </c>
      <c r="C4588" s="2" t="inlineStr">
        <is>
          <t>259630</t>
        </is>
      </c>
      <c r="D4588" s="2" t="inlineStr">
        <is>
          <t>대량보유</t>
        </is>
      </c>
      <c r="E4588" s="3" t="inlineStr">
        <is>
          <t>김종성</t>
        </is>
      </c>
      <c r="F4588" s="3" t="inlineStr">
        <is>
          <t>보고자</t>
        </is>
      </c>
      <c r="G4588" s="3" t="inlineStr">
        <is>
          <t>기존 주식담보대출의 기간 연장</t>
        </is>
      </c>
      <c r="H4588" s="6" t="inlineStr"/>
      <c r="I4588" s="6" t="inlineStr"/>
      <c r="J4588" s="6" t="n">
        <v>3376801</v>
      </c>
      <c r="K4588" s="16" t="n">
        <v>12</v>
      </c>
      <c r="L4588" s="2" t="inlineStr">
        <is>
          <t>20260622000371</t>
        </is>
      </c>
      <c r="M4588" s="8">
        <f>HYPERLINK("https://dart.fss.or.kr/dsaf001/main.do?rcpNo=20260622000371", "공시열람")</f>
        <v/>
      </c>
    </row>
    <row r="4589" ht="22" customHeight="1">
      <c r="A4589" s="2" t="inlineStr">
        <is>
          <t>2026-06-22</t>
        </is>
      </c>
      <c r="B4589" s="3" t="inlineStr">
        <is>
          <t>HEM파마</t>
        </is>
      </c>
      <c r="C4589" s="2" t="inlineStr">
        <is>
          <t>376270</t>
        </is>
      </c>
      <c r="D4589" s="2" t="inlineStr">
        <is>
          <t>대량보유</t>
        </is>
      </c>
      <c r="E4589" s="3" t="inlineStr">
        <is>
          <t>김봉준</t>
        </is>
      </c>
      <c r="F4589" s="3" t="inlineStr">
        <is>
          <t>특별관계자</t>
        </is>
      </c>
      <c r="G4589" s="3" t="inlineStr">
        <is>
          <t>주식매수선택권행사(+), 주식매수선택권행사(-)</t>
        </is>
      </c>
      <c r="H4589" s="6" t="inlineStr"/>
      <c r="I4589" s="6" t="n">
        <v>14590</v>
      </c>
      <c r="J4589" s="6" t="n">
        <v>21500</v>
      </c>
      <c r="K4589" s="16" t="n">
        <v>15</v>
      </c>
      <c r="L4589" s="2" t="inlineStr">
        <is>
          <t>20260622000370</t>
        </is>
      </c>
      <c r="M4589" s="8">
        <f>HYPERLINK("https://dart.fss.or.kr/dsaf001/main.do?rcpNo=20260622000370", "공시열람")</f>
        <v/>
      </c>
    </row>
    <row r="4590" ht="22" customHeight="1">
      <c r="A4590" s="2" t="inlineStr">
        <is>
          <t>2026-06-22</t>
        </is>
      </c>
      <c r="B4590" s="3" t="inlineStr">
        <is>
          <t>국전</t>
        </is>
      </c>
      <c r="C4590" s="2" t="inlineStr">
        <is>
          <t>307750</t>
        </is>
      </c>
      <c r="D4590" s="2" t="inlineStr">
        <is>
          <t>대량보유</t>
        </is>
      </c>
      <c r="E4590" s="3" t="inlineStr">
        <is>
          <t>홍종호</t>
        </is>
      </c>
      <c r="F4590" s="3" t="inlineStr">
        <is>
          <t>보고자</t>
        </is>
      </c>
      <c r="G4590" s="3" t="inlineStr">
        <is>
          <t>※기존 주식담보대출 일부 상환 및 담보계약 조건 변경입니다. 보유주식수 및 지분율 변동은 없습니다.1.대표보고자 홍종호 : 대출금액 일부 상환, 담보계약 조건(담보주식수/만료기간/이자율) 변경</t>
        </is>
      </c>
      <c r="H4590" s="6" t="inlineStr"/>
      <c r="I4590" s="6" t="inlineStr"/>
      <c r="J4590" s="6" t="n">
        <v>28198023</v>
      </c>
      <c r="K4590" s="16" t="n">
        <v>8</v>
      </c>
      <c r="L4590" s="2" t="inlineStr">
        <is>
          <t>20260622000367</t>
        </is>
      </c>
      <c r="M4590" s="8">
        <f>HYPERLINK("https://dart.fss.or.kr/dsaf001/main.do?rcpNo=20260622000367", "공시열람")</f>
        <v/>
      </c>
    </row>
    <row r="4591" ht="22" customHeight="1">
      <c r="A4591" s="2" t="inlineStr">
        <is>
          <t>2026-06-22 (정정: 2026-06-25)</t>
        </is>
      </c>
      <c r="B4591" s="3" t="inlineStr">
        <is>
          <t>다보링크</t>
        </is>
      </c>
      <c r="C4591" s="2" t="inlineStr">
        <is>
          <t>340360</t>
        </is>
      </c>
      <c r="D4591" s="2" t="inlineStr">
        <is>
          <t>대량보유</t>
        </is>
      </c>
      <c r="E4591" s="3" t="inlineStr">
        <is>
          <t>-</t>
        </is>
      </c>
      <c r="F4591" s="3" t="inlineStr">
        <is>
          <t>보고자</t>
        </is>
      </c>
      <c r="G4591" s="3" t="inlineStr">
        <is>
          <t>-</t>
        </is>
      </c>
      <c r="H4591" s="6" t="inlineStr"/>
      <c r="I4591" s="6" t="inlineStr"/>
      <c r="J4591" s="6" t="inlineStr"/>
      <c r="K4591" s="18" t="inlineStr"/>
      <c r="L4591" s="2" t="inlineStr">
        <is>
          <t>20260625900697</t>
        </is>
      </c>
      <c r="M4591" s="8">
        <f>HYPERLINK("https://dart.fss.or.kr/dsaf001/main.do?rcpNo=20260625900697", "공시열람")</f>
        <v/>
      </c>
    </row>
    <row r="4592" ht="22" customHeight="1">
      <c r="A4592" s="2" t="inlineStr">
        <is>
          <t>2026-06-22</t>
        </is>
      </c>
      <c r="B4592" s="3" t="inlineStr">
        <is>
          <t>인카금융서비스</t>
        </is>
      </c>
      <c r="C4592" s="2" t="inlineStr">
        <is>
          <t>211050</t>
        </is>
      </c>
      <c r="D4592" s="2" t="inlineStr">
        <is>
          <t>대량보유</t>
        </is>
      </c>
      <c r="E4592" s="3" t="inlineStr">
        <is>
          <t>㈜머스트자산운용</t>
        </is>
      </c>
      <c r="F4592" s="3" t="inlineStr">
        <is>
          <t>특별관계자</t>
        </is>
      </c>
      <c r="G4592" s="3" t="inlineStr">
        <is>
          <t>장내매수(+), 장내매도(-)</t>
        </is>
      </c>
      <c r="H4592" s="17" t="n">
        <v>-238582</v>
      </c>
      <c r="I4592" s="6" t="n">
        <v>12527</v>
      </c>
      <c r="J4592" s="6" t="n">
        <v>2392548</v>
      </c>
      <c r="K4592" s="16" t="n">
        <v>1</v>
      </c>
      <c r="L4592" s="2" t="inlineStr">
        <is>
          <t>20260622000363</t>
        </is>
      </c>
      <c r="M4592" s="8">
        <f>HYPERLINK("https://dart.fss.or.kr/dsaf001/main.do?rcpNo=20260622000363", "공시열람")</f>
        <v/>
      </c>
    </row>
    <row r="4593" ht="22" customHeight="1">
      <c r="A4593" s="2" t="inlineStr">
        <is>
          <t>2026-06-22</t>
        </is>
      </c>
      <c r="B4593" s="3" t="inlineStr">
        <is>
          <t>유안타증권</t>
        </is>
      </c>
      <c r="C4593" s="2" t="inlineStr">
        <is>
          <t>003470</t>
        </is>
      </c>
      <c r="D4593" s="2" t="inlineStr">
        <is>
          <t>임원보고</t>
        </is>
      </c>
      <c r="E4593" s="3" t="inlineStr">
        <is>
          <t>-</t>
        </is>
      </c>
      <c r="F4593" s="3" t="inlineStr">
        <is>
          <t>-</t>
        </is>
      </c>
      <c r="G4593" s="3" t="inlineStr">
        <is>
          <t>-</t>
        </is>
      </c>
      <c r="H4593" s="6" t="inlineStr"/>
      <c r="I4593" s="6" t="inlineStr"/>
      <c r="J4593" s="6" t="inlineStr"/>
      <c r="K4593" s="16" t="n">
        <v>12</v>
      </c>
      <c r="L4593" s="2" t="inlineStr">
        <is>
          <t>20260622800724</t>
        </is>
      </c>
      <c r="M4593" s="8">
        <f>HYPERLINK("https://dart.fss.or.kr/dsaf001/main.do?rcpNo=20260622800724", "공시열람")</f>
        <v/>
      </c>
    </row>
    <row r="4594" ht="22" customHeight="1">
      <c r="A4594" s="2" t="inlineStr">
        <is>
          <t>2026-06-22</t>
        </is>
      </c>
      <c r="B4594" s="3" t="inlineStr">
        <is>
          <t>유니켐</t>
        </is>
      </c>
      <c r="C4594" s="2" t="inlineStr">
        <is>
          <t>011330</t>
        </is>
      </c>
      <c r="D4594" s="2" t="inlineStr">
        <is>
          <t>대량보유</t>
        </is>
      </c>
      <c r="E4594" s="3" t="inlineStr">
        <is>
          <t>(주)제이에이치사람들</t>
        </is>
      </c>
      <c r="F4594" s="3" t="inlineStr">
        <is>
          <t>특별관계자</t>
        </is>
      </c>
      <c r="G4594" s="3" t="inlineStr">
        <is>
          <t>주식병합</t>
        </is>
      </c>
      <c r="H4594" s="17" t="n">
        <v>-17283700</v>
      </c>
      <c r="I4594" s="6" t="inlineStr"/>
      <c r="J4594" s="6" t="n">
        <v>1920411</v>
      </c>
      <c r="K4594" s="16" t="n">
        <v>1</v>
      </c>
      <c r="L4594" s="2" t="inlineStr">
        <is>
          <t>20260622000355</t>
        </is>
      </c>
      <c r="M4594" s="8">
        <f>HYPERLINK("https://dart.fss.or.kr/dsaf001/main.do?rcpNo=20260622000355", "공시열람")</f>
        <v/>
      </c>
    </row>
    <row r="4595" ht="22" customHeight="1">
      <c r="A4595" s="2" t="inlineStr">
        <is>
          <t>2026-06-22</t>
        </is>
      </c>
      <c r="B4595" s="3" t="inlineStr">
        <is>
          <t>유니켐</t>
        </is>
      </c>
      <c r="C4595" s="2" t="inlineStr">
        <is>
          <t>011330</t>
        </is>
      </c>
      <c r="D4595" s="2" t="inlineStr">
        <is>
          <t>대량보유</t>
        </is>
      </c>
      <c r="E4595" s="3" t="inlineStr">
        <is>
          <t>김진환</t>
        </is>
      </c>
      <c r="F4595" s="3" t="inlineStr">
        <is>
          <t>특별관계자</t>
        </is>
      </c>
      <c r="G4595" s="3" t="inlineStr">
        <is>
          <t>주식병합</t>
        </is>
      </c>
      <c r="H4595" s="17" t="n">
        <v>-35544</v>
      </c>
      <c r="I4595" s="6" t="inlineStr"/>
      <c r="J4595" s="6" t="n">
        <v>3949</v>
      </c>
      <c r="K4595" s="16" t="n">
        <v>1</v>
      </c>
      <c r="L4595" s="2" t="inlineStr">
        <is>
          <t>20260622000355</t>
        </is>
      </c>
      <c r="M4595" s="8">
        <f>HYPERLINK("https://dart.fss.or.kr/dsaf001/main.do?rcpNo=20260622000355", "공시열람")</f>
        <v/>
      </c>
    </row>
    <row r="4596" ht="22" customHeight="1">
      <c r="A4596" s="2" t="inlineStr">
        <is>
          <t>2026-06-22</t>
        </is>
      </c>
      <c r="B4596" s="3" t="inlineStr">
        <is>
          <t>SGA솔루션즈</t>
        </is>
      </c>
      <c r="C4596" s="2" t="inlineStr">
        <is>
          <t>184230</t>
        </is>
      </c>
      <c r="D4596" s="2" t="inlineStr">
        <is>
          <t>대량보유</t>
        </is>
      </c>
      <c r="E4596" s="3" t="inlineStr">
        <is>
          <t>에스지에이홀딩스(주)</t>
        </is>
      </c>
      <c r="F4596" s="3" t="inlineStr">
        <is>
          <t>특별관계자</t>
        </is>
      </c>
      <c r="G4596" s="3" t="inlineStr">
        <is>
          <t>- 기존 계약의 담보유지비율 충족을 위한 담보주식 추가 제공</t>
        </is>
      </c>
      <c r="H4596" s="6" t="inlineStr"/>
      <c r="I4596" s="6" t="inlineStr"/>
      <c r="J4596" s="6" t="inlineStr"/>
      <c r="K4596" s="16" t="n">
        <v>4</v>
      </c>
      <c r="L4596" s="2" t="inlineStr">
        <is>
          <t>20260622000354</t>
        </is>
      </c>
      <c r="M4596" s="8">
        <f>HYPERLINK("https://dart.fss.or.kr/dsaf001/main.do?rcpNo=20260622000354", "공시열람")</f>
        <v/>
      </c>
    </row>
    <row r="4597" ht="22" customHeight="1">
      <c r="A4597" s="2" t="inlineStr">
        <is>
          <t>2026-06-22</t>
        </is>
      </c>
      <c r="B4597" s="3" t="inlineStr">
        <is>
          <t>SGA솔루션즈</t>
        </is>
      </c>
      <c r="C4597" s="2" t="inlineStr">
        <is>
          <t>184230</t>
        </is>
      </c>
      <c r="D4597" s="2" t="inlineStr">
        <is>
          <t>대량보유</t>
        </is>
      </c>
      <c r="E4597" s="3" t="inlineStr">
        <is>
          <t>최영철</t>
        </is>
      </c>
      <c r="F4597" s="3" t="inlineStr">
        <is>
          <t>특별관계자</t>
        </is>
      </c>
      <c r="G4597" s="3" t="inlineStr">
        <is>
          <t>- 기존 계약의 담보유지비율 충족을 위한 담보주식 추가 제공</t>
        </is>
      </c>
      <c r="H4597" s="6" t="inlineStr"/>
      <c r="I4597" s="6" t="inlineStr"/>
      <c r="J4597" s="6" t="inlineStr"/>
      <c r="K4597" s="16" t="n">
        <v>4</v>
      </c>
      <c r="L4597" s="2" t="inlineStr">
        <is>
          <t>20260622000354</t>
        </is>
      </c>
      <c r="M4597" s="8">
        <f>HYPERLINK("https://dart.fss.or.kr/dsaf001/main.do?rcpNo=20260622000354", "공시열람")</f>
        <v/>
      </c>
    </row>
    <row r="4598" ht="22" customHeight="1">
      <c r="A4598" s="2" t="inlineStr">
        <is>
          <t>2026-06-22</t>
        </is>
      </c>
      <c r="B4598" s="3" t="inlineStr">
        <is>
          <t>SGA솔루션즈</t>
        </is>
      </c>
      <c r="C4598" s="2" t="inlineStr">
        <is>
          <t>184230</t>
        </is>
      </c>
      <c r="D4598" s="2" t="inlineStr">
        <is>
          <t>대량보유</t>
        </is>
      </c>
      <c r="E4598" s="3" t="inlineStr">
        <is>
          <t>박진선</t>
        </is>
      </c>
      <c r="F4598" s="3" t="inlineStr">
        <is>
          <t>특별관계자</t>
        </is>
      </c>
      <c r="G4598" s="3" t="inlineStr">
        <is>
          <t>- 기존 계약의 담보유지비율 충족을 위한 담보주식 추가 제공</t>
        </is>
      </c>
      <c r="H4598" s="6" t="inlineStr"/>
      <c r="I4598" s="6" t="inlineStr"/>
      <c r="J4598" s="6" t="inlineStr"/>
      <c r="K4598" s="16" t="n">
        <v>4</v>
      </c>
      <c r="L4598" s="2" t="inlineStr">
        <is>
          <t>20260622000354</t>
        </is>
      </c>
      <c r="M4598" s="8">
        <f>HYPERLINK("https://dart.fss.or.kr/dsaf001/main.do?rcpNo=20260622000354", "공시열람")</f>
        <v/>
      </c>
    </row>
    <row r="4599" ht="22" customHeight="1">
      <c r="A4599" s="2" t="inlineStr">
        <is>
          <t>2026-06-22</t>
        </is>
      </c>
      <c r="B4599" s="3" t="inlineStr">
        <is>
          <t>SGA솔루션즈</t>
        </is>
      </c>
      <c r="C4599" s="2" t="inlineStr">
        <is>
          <t>184230</t>
        </is>
      </c>
      <c r="D4599" s="2" t="inlineStr">
        <is>
          <t>대량보유</t>
        </is>
      </c>
      <c r="E4599" s="3" t="inlineStr">
        <is>
          <t>강현모</t>
        </is>
      </c>
      <c r="F4599" s="3" t="inlineStr">
        <is>
          <t>특별관계자</t>
        </is>
      </c>
      <c r="G4599" s="3" t="inlineStr">
        <is>
          <t>- 기존 계약의 담보유지비율 충족을 위한 담보주식 추가 제공</t>
        </is>
      </c>
      <c r="H4599" s="6" t="inlineStr"/>
      <c r="I4599" s="6" t="inlineStr"/>
      <c r="J4599" s="6" t="inlineStr"/>
      <c r="K4599" s="16" t="n">
        <v>4</v>
      </c>
      <c r="L4599" s="2" t="inlineStr">
        <is>
          <t>20260622000354</t>
        </is>
      </c>
      <c r="M4599" s="8">
        <f>HYPERLINK("https://dart.fss.or.kr/dsaf001/main.do?rcpNo=20260622000354", "공시열람")</f>
        <v/>
      </c>
    </row>
    <row r="4600" ht="22" customHeight="1">
      <c r="A4600" s="2" t="inlineStr">
        <is>
          <t>2026-06-22</t>
        </is>
      </c>
      <c r="B4600" s="3" t="inlineStr">
        <is>
          <t>엑스플러스</t>
        </is>
      </c>
      <c r="C4600" s="2" t="inlineStr">
        <is>
          <t>373200</t>
        </is>
      </c>
      <c r="D4600" s="2" t="inlineStr">
        <is>
          <t>대량보유</t>
        </is>
      </c>
      <c r="E4600" s="3" t="inlineStr">
        <is>
          <t>(주)엑스페릭스</t>
        </is>
      </c>
      <c r="F4600" s="3" t="inlineStr">
        <is>
          <t>보고자</t>
        </is>
      </c>
      <c r="G4600" s="3" t="inlineStr">
        <is>
          <t>- 보고자가 보유한 전환사채권 양도 계약 종결일 변경</t>
        </is>
      </c>
      <c r="H4600" s="6" t="inlineStr"/>
      <c r="I4600" s="6" t="inlineStr"/>
      <c r="J4600" s="6" t="n">
        <v>11629545</v>
      </c>
      <c r="K4600" s="16" t="n">
        <v>3</v>
      </c>
      <c r="L4600" s="2" t="inlineStr">
        <is>
          <t>20260622000352</t>
        </is>
      </c>
      <c r="M4600" s="8">
        <f>HYPERLINK("https://dart.fss.or.kr/dsaf001/main.do?rcpNo=20260622000352", "공시열람")</f>
        <v/>
      </c>
    </row>
    <row r="4601" ht="22" customHeight="1">
      <c r="A4601" s="2" t="inlineStr">
        <is>
          <t>2026-06-22</t>
        </is>
      </c>
      <c r="B4601" s="3" t="inlineStr">
        <is>
          <t>THE CUBE&amp;</t>
        </is>
      </c>
      <c r="C4601" s="2" t="inlineStr">
        <is>
          <t>013720</t>
        </is>
      </c>
      <c r="D4601" s="2" t="inlineStr">
        <is>
          <t>대량보유</t>
        </is>
      </c>
      <c r="E4601" s="3" t="inlineStr">
        <is>
          <t>(주)노블리제</t>
        </is>
      </c>
      <c r="F4601" s="3" t="inlineStr">
        <is>
          <t>특별관계자</t>
        </is>
      </c>
      <c r="G4601" s="3" t="inlineStr">
        <is>
          <t>풋옵션권리행사에따른주식처분(-)</t>
        </is>
      </c>
      <c r="H4601" s="17" t="n">
        <v>-1000000</v>
      </c>
      <c r="I4601" s="6" t="n">
        <v>1000</v>
      </c>
      <c r="J4601" s="6" t="n">
        <v>54837</v>
      </c>
      <c r="K4601" s="16" t="n">
        <v>5</v>
      </c>
      <c r="L4601" s="2" t="inlineStr">
        <is>
          <t>20260622000350</t>
        </is>
      </c>
      <c r="M4601" s="8">
        <f>HYPERLINK("https://dart.fss.or.kr/dsaf001/main.do?rcpNo=20260622000350", "공시열람")</f>
        <v/>
      </c>
    </row>
    <row r="4602" ht="22" customHeight="1">
      <c r="A4602" s="2" t="inlineStr">
        <is>
          <t>2026-06-22</t>
        </is>
      </c>
      <c r="B4602" s="3" t="inlineStr">
        <is>
          <t>THE CUBE&amp;</t>
        </is>
      </c>
      <c r="C4602" s="2" t="inlineStr">
        <is>
          <t>013720</t>
        </is>
      </c>
      <c r="D4602" s="2" t="inlineStr">
        <is>
          <t>대량보유</t>
        </is>
      </c>
      <c r="E4602" s="3" t="inlineStr">
        <is>
          <t>배진한</t>
        </is>
      </c>
      <c r="F4602" s="3" t="inlineStr">
        <is>
          <t>특별관계자</t>
        </is>
      </c>
      <c r="G4602" s="3" t="inlineStr">
        <is>
          <t>장내매수(+)</t>
        </is>
      </c>
      <c r="H4602" s="15" t="n">
        <v>20000</v>
      </c>
      <c r="I4602" s="6" t="n">
        <v>536</v>
      </c>
      <c r="J4602" s="6" t="n">
        <v>3938042</v>
      </c>
      <c r="K4602" s="16" t="n">
        <v>5</v>
      </c>
      <c r="L4602" s="2" t="inlineStr">
        <is>
          <t>20260622000350</t>
        </is>
      </c>
      <c r="M4602" s="8">
        <f>HYPERLINK("https://dart.fss.or.kr/dsaf001/main.do?rcpNo=20260622000350", "공시열람")</f>
        <v/>
      </c>
    </row>
    <row r="4603" ht="22" customHeight="1">
      <c r="A4603" s="2" t="inlineStr">
        <is>
          <t>2026-06-22</t>
        </is>
      </c>
      <c r="B4603" s="3" t="inlineStr">
        <is>
          <t>HC보광산업</t>
        </is>
      </c>
      <c r="C4603" s="2" t="inlineStr">
        <is>
          <t>225530</t>
        </is>
      </c>
      <c r="D4603" s="2" t="inlineStr">
        <is>
          <t>대량보유</t>
        </is>
      </c>
      <c r="E4603" s="3" t="inlineStr">
        <is>
          <t>에이치씨파트너스(주)</t>
        </is>
      </c>
      <c r="F4603" s="3" t="inlineStr">
        <is>
          <t>특별관계자</t>
        </is>
      </c>
      <c r="G4603" s="3" t="inlineStr">
        <is>
          <t>장내매수(+)</t>
        </is>
      </c>
      <c r="H4603" s="15" t="n">
        <v>20856</v>
      </c>
      <c r="I4603" s="6" t="n">
        <v>2179</v>
      </c>
      <c r="J4603" s="6" t="n">
        <v>981791</v>
      </c>
      <c r="K4603" s="16" t="n">
        <v>10</v>
      </c>
      <c r="L4603" s="2" t="inlineStr">
        <is>
          <t>20260622000349</t>
        </is>
      </c>
      <c r="M4603" s="8">
        <f>HYPERLINK("https://dart.fss.or.kr/dsaf001/main.do?rcpNo=20260622000349", "공시열람")</f>
        <v/>
      </c>
    </row>
    <row r="4604" ht="22" customHeight="1">
      <c r="A4604" s="2" t="inlineStr">
        <is>
          <t>2026-06-22</t>
        </is>
      </c>
      <c r="B4604" s="3" t="inlineStr">
        <is>
          <t>큐리언트</t>
        </is>
      </c>
      <c r="C4604" s="2" t="inlineStr">
        <is>
          <t>115180</t>
        </is>
      </c>
      <c r="D4604" s="2" t="inlineStr">
        <is>
          <t>대량보유</t>
        </is>
      </c>
      <c r="E4604" s="3" t="inlineStr">
        <is>
          <t>장준일</t>
        </is>
      </c>
      <c r="F4604" s="3" t="inlineStr">
        <is>
          <t>특별관계자</t>
        </is>
      </c>
      <c r="G4604" s="3" t="inlineStr">
        <is>
          <t>장내매도(-)</t>
        </is>
      </c>
      <c r="H4604" s="17" t="n">
        <v>-2000</v>
      </c>
      <c r="I4604" s="6" t="n">
        <v>43085</v>
      </c>
      <c r="J4604" s="6" t="n">
        <v>23000</v>
      </c>
      <c r="K4604" s="16" t="n">
        <v>3</v>
      </c>
      <c r="L4604" s="2" t="inlineStr">
        <is>
          <t>20260622000345</t>
        </is>
      </c>
      <c r="M4604" s="8">
        <f>HYPERLINK("https://dart.fss.or.kr/dsaf001/main.do?rcpNo=20260622000345", "공시열람")</f>
        <v/>
      </c>
    </row>
    <row r="4605" ht="22" customHeight="1">
      <c r="A4605" s="2" t="inlineStr">
        <is>
          <t>2026-06-22</t>
        </is>
      </c>
      <c r="B4605" s="3" t="inlineStr">
        <is>
          <t>코미코</t>
        </is>
      </c>
      <c r="C4605" s="2" t="inlineStr">
        <is>
          <t>183300</t>
        </is>
      </c>
      <c r="D4605" s="2" t="inlineStr">
        <is>
          <t>대량보유</t>
        </is>
      </c>
      <c r="E4605" s="3" t="inlineStr">
        <is>
          <t>(주)미코</t>
        </is>
      </c>
      <c r="F4605" s="3" t="inlineStr">
        <is>
          <t>보고자</t>
        </is>
      </c>
      <c r="G4605" s="3" t="inlineStr">
        <is>
          <t>- 보고자의 주식담보 대출 계약 담보 주식 수량 변경</t>
        </is>
      </c>
      <c r="H4605" s="6" t="inlineStr"/>
      <c r="I4605" s="6" t="inlineStr"/>
      <c r="J4605" s="6" t="n">
        <v>8598652</v>
      </c>
      <c r="K4605" s="16" t="n">
        <v>41.85</v>
      </c>
      <c r="L4605" s="2" t="inlineStr">
        <is>
          <t>20260622000342</t>
        </is>
      </c>
      <c r="M4605" s="8">
        <f>HYPERLINK("https://dart.fss.or.kr/dsaf001/main.do?rcpNo=20260622000342", "공시열람")</f>
        <v/>
      </c>
    </row>
    <row r="4606" ht="22" customHeight="1">
      <c r="A4606" s="2" t="inlineStr">
        <is>
          <t>2026-06-22</t>
        </is>
      </c>
      <c r="B4606" s="3" t="inlineStr">
        <is>
          <t>유니켐</t>
        </is>
      </c>
      <c r="C4606" s="2" t="inlineStr">
        <is>
          <t>011330</t>
        </is>
      </c>
      <c r="D4606" s="2" t="inlineStr">
        <is>
          <t>임원보고</t>
        </is>
      </c>
      <c r="E4606" s="3" t="inlineStr">
        <is>
          <t>-</t>
        </is>
      </c>
      <c r="F4606" s="3" t="inlineStr">
        <is>
          <t>-</t>
        </is>
      </c>
      <c r="G4606" s="3" t="inlineStr">
        <is>
          <t>-</t>
        </is>
      </c>
      <c r="H4606" s="6" t="inlineStr"/>
      <c r="I4606" s="6" t="inlineStr"/>
      <c r="J4606" s="6" t="inlineStr"/>
      <c r="K4606" s="16" t="n">
        <v>12</v>
      </c>
      <c r="L4606" s="2" t="inlineStr">
        <is>
          <t>20260622800687</t>
        </is>
      </c>
      <c r="M4606" s="8">
        <f>HYPERLINK("https://dart.fss.or.kr/dsaf001/main.do?rcpNo=20260622800687", "공시열람")</f>
        <v/>
      </c>
    </row>
    <row r="4607" ht="22" customHeight="1">
      <c r="A4607" s="2" t="inlineStr">
        <is>
          <t>2026-06-22</t>
        </is>
      </c>
      <c r="B4607" s="3" t="inlineStr">
        <is>
          <t>영흥</t>
        </is>
      </c>
      <c r="C4607" s="2" t="inlineStr">
        <is>
          <t>012160</t>
        </is>
      </c>
      <c r="D4607" s="2" t="inlineStr">
        <is>
          <t>대량보유</t>
        </is>
      </c>
      <c r="E4607" s="3" t="inlineStr">
        <is>
          <t>수성에셋제1호메자닌신기술사업투자</t>
        </is>
      </c>
      <c r="F4607" s="3" t="inlineStr">
        <is>
          <t>특별관계자</t>
        </is>
      </c>
      <c r="G4607" s="3" t="inlineStr">
        <is>
          <t>기타(-), 교환사채의권리행사(+), 장내매도(-), 주식병합</t>
        </is>
      </c>
      <c r="H4607" s="17" t="n">
        <v>-660433</v>
      </c>
      <c r="I4607" s="6" t="n">
        <v>620</v>
      </c>
      <c r="J4607" s="6" t="n">
        <v>1436338</v>
      </c>
      <c r="K4607" s="16" t="n">
        <v>1</v>
      </c>
      <c r="L4607" s="2" t="inlineStr">
        <is>
          <t>20260622000337</t>
        </is>
      </c>
      <c r="M4607" s="8">
        <f>HYPERLINK("https://dart.fss.or.kr/dsaf001/main.do?rcpNo=20260622000337", "공시열람")</f>
        <v/>
      </c>
    </row>
    <row r="4608" ht="22" customHeight="1">
      <c r="A4608" s="2" t="inlineStr">
        <is>
          <t>2026-06-22</t>
        </is>
      </c>
      <c r="B4608" s="3" t="inlineStr">
        <is>
          <t>영흥</t>
        </is>
      </c>
      <c r="C4608" s="2" t="inlineStr">
        <is>
          <t>012160</t>
        </is>
      </c>
      <c r="D4608" s="2" t="inlineStr">
        <is>
          <t>대량보유</t>
        </is>
      </c>
      <c r="E4608" s="3" t="inlineStr">
        <is>
          <t>수성자산운용(주)</t>
        </is>
      </c>
      <c r="F4608" s="3" t="inlineStr">
        <is>
          <t>특별관계자</t>
        </is>
      </c>
      <c r="G4608" s="3" t="inlineStr">
        <is>
          <t>주식병합</t>
        </is>
      </c>
      <c r="H4608" s="17" t="n">
        <v>-5161287</v>
      </c>
      <c r="I4608" s="6" t="n">
        <v>620</v>
      </c>
      <c r="J4608" s="6" t="n">
        <v>2020411</v>
      </c>
      <c r="K4608" s="16" t="n">
        <v>1</v>
      </c>
      <c r="L4608" s="2" t="inlineStr">
        <is>
          <t>20260622000337</t>
        </is>
      </c>
      <c r="M4608" s="8">
        <f>HYPERLINK("https://dart.fss.or.kr/dsaf001/main.do?rcpNo=20260622000337", "공시열람")</f>
        <v/>
      </c>
    </row>
    <row r="4609" ht="22" customHeight="1">
      <c r="A4609" s="2" t="inlineStr">
        <is>
          <t>2026-06-22</t>
        </is>
      </c>
      <c r="B4609" s="3" t="inlineStr">
        <is>
          <t>JB금융지주</t>
        </is>
      </c>
      <c r="C4609" s="2" t="inlineStr">
        <is>
          <t>175330</t>
        </is>
      </c>
      <c r="D4609" s="2" t="inlineStr">
        <is>
          <t>임원보고</t>
        </is>
      </c>
      <c r="E4609" s="3" t="inlineStr">
        <is>
          <t>-</t>
        </is>
      </c>
      <c r="F4609" s="3" t="inlineStr">
        <is>
          <t>-</t>
        </is>
      </c>
      <c r="G4609" s="3" t="inlineStr">
        <is>
          <t>-</t>
        </is>
      </c>
      <c r="H4609" s="6" t="inlineStr"/>
      <c r="I4609" s="6" t="inlineStr"/>
      <c r="J4609" s="6" t="inlineStr"/>
      <c r="K4609" s="16" t="n">
        <v>12</v>
      </c>
      <c r="L4609" s="2" t="inlineStr">
        <is>
          <t>20260622800680</t>
        </is>
      </c>
      <c r="M4609" s="8">
        <f>HYPERLINK("https://dart.fss.or.kr/dsaf001/main.do?rcpNo=20260622800680", "공시열람")</f>
        <v/>
      </c>
    </row>
    <row r="4610" ht="22" customHeight="1">
      <c r="A4610" s="2" t="inlineStr">
        <is>
          <t>2026-06-22</t>
        </is>
      </c>
      <c r="B4610" s="3" t="inlineStr">
        <is>
          <t>와이지-원</t>
        </is>
      </c>
      <c r="C4610" s="2" t="inlineStr">
        <is>
          <t>019210</t>
        </is>
      </c>
      <c r="D4610" s="2" t="inlineStr">
        <is>
          <t>대량보유</t>
        </is>
      </c>
      <c r="E4610" s="3" t="inlineStr">
        <is>
          <t>송호근</t>
        </is>
      </c>
      <c r="F4610" s="3" t="inlineStr">
        <is>
          <t>보고자</t>
        </is>
      </c>
      <c r="G4610" s="3" t="inlineStr">
        <is>
          <t>1. 질권해지2. 차입금 상환 및 주식담보계약 해지</t>
        </is>
      </c>
      <c r="H4610" s="6" t="inlineStr"/>
      <c r="I4610" s="6" t="inlineStr"/>
      <c r="J4610" s="6" t="n">
        <v>11542233</v>
      </c>
      <c r="K4610" s="16" t="n">
        <v>11</v>
      </c>
      <c r="L4610" s="2" t="inlineStr">
        <is>
          <t>20260622000334</t>
        </is>
      </c>
      <c r="M4610" s="8">
        <f>HYPERLINK("https://dart.fss.or.kr/dsaf001/main.do?rcpNo=20260622000334", "공시열람")</f>
        <v/>
      </c>
    </row>
    <row r="4611" ht="22" customHeight="1">
      <c r="A4611" s="2" t="inlineStr">
        <is>
          <t>2026-06-22</t>
        </is>
      </c>
      <c r="B4611" s="3" t="inlineStr">
        <is>
          <t>대성하이텍</t>
        </is>
      </c>
      <c r="C4611" s="2" t="inlineStr">
        <is>
          <t>129920</t>
        </is>
      </c>
      <c r="D4611" s="2" t="inlineStr">
        <is>
          <t>대량보유</t>
        </is>
      </c>
      <c r="E4611" s="3" t="inlineStr">
        <is>
          <t>최호형</t>
        </is>
      </c>
      <c r="F4611" s="3" t="inlineStr">
        <is>
          <t>특별관계자</t>
        </is>
      </c>
      <c r="G4611" s="3" t="inlineStr">
        <is>
          <t>콜옵션취득(+), 행사가액조정</t>
        </is>
      </c>
      <c r="H4611" s="15" t="n">
        <v>165562</v>
      </c>
      <c r="I4611" s="6" t="n">
        <v>3789</v>
      </c>
      <c r="J4611" s="6" t="n">
        <v>165562</v>
      </c>
      <c r="K4611" s="16" t="n">
        <v>4</v>
      </c>
      <c r="L4611" s="2" t="inlineStr">
        <is>
          <t>20260622000332</t>
        </is>
      </c>
      <c r="M4611" s="8">
        <f>HYPERLINK("https://dart.fss.or.kr/dsaf001/main.do?rcpNo=20260622000332", "공시열람")</f>
        <v/>
      </c>
    </row>
    <row r="4612" ht="22" customHeight="1">
      <c r="A4612" s="2" t="inlineStr">
        <is>
          <t>2026-06-22</t>
        </is>
      </c>
      <c r="B4612" s="3" t="inlineStr">
        <is>
          <t>대성하이텍</t>
        </is>
      </c>
      <c r="C4612" s="2" t="inlineStr">
        <is>
          <t>129920</t>
        </is>
      </c>
      <c r="D4612" s="2" t="inlineStr">
        <is>
          <t>대량보유</t>
        </is>
      </c>
      <c r="E4612" s="3" t="inlineStr">
        <is>
          <t>김중호</t>
        </is>
      </c>
      <c r="F4612" s="3" t="inlineStr">
        <is>
          <t>특별관계자</t>
        </is>
      </c>
      <c r="G4612" s="3" t="inlineStr">
        <is>
          <t>장내매도(-)</t>
        </is>
      </c>
      <c r="H4612" s="17" t="n">
        <v>-46000</v>
      </c>
      <c r="I4612" s="6" t="n">
        <v>6394</v>
      </c>
      <c r="J4612" s="6" t="n">
        <v>150000</v>
      </c>
      <c r="K4612" s="16" t="n">
        <v>4</v>
      </c>
      <c r="L4612" s="2" t="inlineStr">
        <is>
          <t>20260622000332</t>
        </is>
      </c>
      <c r="M4612" s="8">
        <f>HYPERLINK("https://dart.fss.or.kr/dsaf001/main.do?rcpNo=20260622000332", "공시열람")</f>
        <v/>
      </c>
    </row>
    <row r="4613" ht="22" customHeight="1">
      <c r="A4613" s="2" t="inlineStr">
        <is>
          <t>2026-06-22</t>
        </is>
      </c>
      <c r="B4613" s="3" t="inlineStr">
        <is>
          <t>HC홈센타</t>
        </is>
      </c>
      <c r="C4613" s="2" t="inlineStr">
        <is>
          <t>060560</t>
        </is>
      </c>
      <c r="D4613" s="2" t="inlineStr">
        <is>
          <t>대량보유</t>
        </is>
      </c>
      <c r="E4613" s="3" t="inlineStr">
        <is>
          <t>에이치씨파트너스(주)</t>
        </is>
      </c>
      <c r="F4613" s="3" t="inlineStr">
        <is>
          <t>특별관계자</t>
        </is>
      </c>
      <c r="G4613" s="3" t="inlineStr">
        <is>
          <t>장내매수(+)</t>
        </is>
      </c>
      <c r="H4613" s="15" t="n">
        <v>7262</v>
      </c>
      <c r="I4613" s="6" t="n">
        <v>2031</v>
      </c>
      <c r="J4613" s="6" t="n">
        <v>6463770</v>
      </c>
      <c r="K4613" s="16" t="n">
        <v>12</v>
      </c>
      <c r="L4613" s="2" t="inlineStr">
        <is>
          <t>20260622000322</t>
        </is>
      </c>
      <c r="M4613" s="8">
        <f>HYPERLINK("https://dart.fss.or.kr/dsaf001/main.do?rcpNo=20260622000322", "공시열람")</f>
        <v/>
      </c>
    </row>
    <row r="4614" ht="22" customHeight="1">
      <c r="A4614" s="2" t="inlineStr">
        <is>
          <t>2026-06-22</t>
        </is>
      </c>
      <c r="B4614" s="3" t="inlineStr">
        <is>
          <t>대창단조</t>
        </is>
      </c>
      <c r="C4614" s="2" t="inlineStr">
        <is>
          <t>015230</t>
        </is>
      </c>
      <c r="D4614" s="2" t="inlineStr">
        <is>
          <t>임원보고</t>
        </is>
      </c>
      <c r="E4614" s="3" t="inlineStr">
        <is>
          <t>-</t>
        </is>
      </c>
      <c r="F4614" s="3" t="inlineStr">
        <is>
          <t>-</t>
        </is>
      </c>
      <c r="G4614" s="3" t="inlineStr">
        <is>
          <t>-</t>
        </is>
      </c>
      <c r="H4614" s="6" t="inlineStr"/>
      <c r="I4614" s="6" t="inlineStr"/>
      <c r="J4614" s="6" t="inlineStr"/>
      <c r="K4614" s="16" t="n">
        <v>12</v>
      </c>
      <c r="L4614" s="2" t="inlineStr">
        <is>
          <t>20260622800658</t>
        </is>
      </c>
      <c r="M4614" s="8">
        <f>HYPERLINK("https://dart.fss.or.kr/dsaf001/main.do?rcpNo=20260622800658", "공시열람")</f>
        <v/>
      </c>
    </row>
    <row r="4615" ht="22" customHeight="1">
      <c r="A4615" s="2" t="inlineStr">
        <is>
          <t>2026-06-22</t>
        </is>
      </c>
      <c r="B4615" s="3" t="inlineStr">
        <is>
          <t>딥노이드</t>
        </is>
      </c>
      <c r="C4615" s="2" t="inlineStr">
        <is>
          <t>315640</t>
        </is>
      </c>
      <c r="D4615" s="2" t="inlineStr">
        <is>
          <t>대량보유</t>
        </is>
      </c>
      <c r="E4615" s="3" t="inlineStr">
        <is>
          <t>김태규</t>
        </is>
      </c>
      <c r="F4615" s="3" t="inlineStr">
        <is>
          <t>특별관계자</t>
        </is>
      </c>
      <c r="G4615" s="3" t="inlineStr">
        <is>
          <t>장내매도(-)</t>
        </is>
      </c>
      <c r="H4615" s="17" t="n">
        <v>-210000</v>
      </c>
      <c r="I4615" s="6" t="n">
        <v>2181</v>
      </c>
      <c r="J4615" s="6" t="n">
        <v>2924155</v>
      </c>
      <c r="K4615" s="16" t="n">
        <v>1</v>
      </c>
      <c r="L4615" s="2" t="inlineStr">
        <is>
          <t>20260622000312</t>
        </is>
      </c>
      <c r="M4615" s="8">
        <f>HYPERLINK("https://dart.fss.or.kr/dsaf001/main.do?rcpNo=20260622000312", "공시열람")</f>
        <v/>
      </c>
    </row>
    <row r="4616" ht="22" customHeight="1">
      <c r="A4616" s="2" t="inlineStr">
        <is>
          <t>2026-06-22</t>
        </is>
      </c>
      <c r="B4616" s="3" t="inlineStr">
        <is>
          <t>나라스페이스테크놀로지</t>
        </is>
      </c>
      <c r="C4616" s="2" t="inlineStr">
        <is>
          <t>478340</t>
        </is>
      </c>
      <c r="D4616" s="2" t="inlineStr">
        <is>
          <t>대량보유</t>
        </is>
      </c>
      <c r="E4616" s="3" t="inlineStr">
        <is>
          <t>박재필</t>
        </is>
      </c>
      <c r="F4616" s="3" t="inlineStr">
        <is>
          <t>특별관계자</t>
        </is>
      </c>
      <c r="G4616" s="3" t="inlineStr">
        <is>
          <t>신규상장(무상취득)(+)</t>
        </is>
      </c>
      <c r="H4616" s="15" t="n">
        <v>7022700</v>
      </c>
      <c r="I4616" s="6" t="inlineStr"/>
      <c r="J4616" s="6" t="n">
        <v>2340900</v>
      </c>
      <c r="K4616" s="16" t="n">
        <v>18</v>
      </c>
      <c r="L4616" s="2" t="inlineStr">
        <is>
          <t>20260622000291</t>
        </is>
      </c>
      <c r="M4616" s="8">
        <f>HYPERLINK("https://dart.fss.or.kr/dsaf001/main.do?rcpNo=20260622000291", "공시열람")</f>
        <v/>
      </c>
    </row>
    <row r="4617" ht="22" customHeight="1">
      <c r="A4617" s="2" t="inlineStr">
        <is>
          <t>2026-06-22</t>
        </is>
      </c>
      <c r="B4617" s="3" t="inlineStr">
        <is>
          <t>나라스페이스테크놀로지</t>
        </is>
      </c>
      <c r="C4617" s="2" t="inlineStr">
        <is>
          <t>478340</t>
        </is>
      </c>
      <c r="D4617" s="2" t="inlineStr">
        <is>
          <t>대량보유</t>
        </is>
      </c>
      <c r="E4617" s="3" t="inlineStr">
        <is>
          <t>박기연</t>
        </is>
      </c>
      <c r="F4617" s="3" t="inlineStr">
        <is>
          <t>특별관계자</t>
        </is>
      </c>
      <c r="G4617" s="3" t="inlineStr">
        <is>
          <t>신규상장(무상취득)(+), 주식매수선택권부여(+)</t>
        </is>
      </c>
      <c r="H4617" s="15" t="n">
        <v>1392444</v>
      </c>
      <c r="I4617" s="6" t="inlineStr"/>
      <c r="J4617" s="6" t="n">
        <v>19484</v>
      </c>
      <c r="K4617" s="16" t="n">
        <v>18</v>
      </c>
      <c r="L4617" s="2" t="inlineStr">
        <is>
          <t>20260622000291</t>
        </is>
      </c>
      <c r="M4617" s="8">
        <f>HYPERLINK("https://dart.fss.or.kr/dsaf001/main.do?rcpNo=20260622000291", "공시열람")</f>
        <v/>
      </c>
    </row>
    <row r="4618" ht="22" customHeight="1">
      <c r="A4618" s="2" t="inlineStr">
        <is>
          <t>2026-06-22</t>
        </is>
      </c>
      <c r="B4618" s="3" t="inlineStr">
        <is>
          <t>나라스페이스테크놀로지</t>
        </is>
      </c>
      <c r="C4618" s="2" t="inlineStr">
        <is>
          <t>478340</t>
        </is>
      </c>
      <c r="D4618" s="2" t="inlineStr">
        <is>
          <t>대량보유</t>
        </is>
      </c>
      <c r="E4618" s="3" t="inlineStr">
        <is>
          <t>이성환</t>
        </is>
      </c>
      <c r="F4618" s="3" t="inlineStr">
        <is>
          <t>특별관계자</t>
        </is>
      </c>
      <c r="G4618" s="3" t="inlineStr">
        <is>
          <t>신규상장(무상취득)(+), 주식매수선택권부여(+)</t>
        </is>
      </c>
      <c r="H4618" s="15" t="n">
        <v>965172</v>
      </c>
      <c r="I4618" s="6" t="inlineStr"/>
      <c r="J4618" s="6" t="n">
        <v>3000</v>
      </c>
      <c r="K4618" s="16" t="n">
        <v>18</v>
      </c>
      <c r="L4618" s="2" t="inlineStr">
        <is>
          <t>20260622000291</t>
        </is>
      </c>
      <c r="M4618" s="8">
        <f>HYPERLINK("https://dart.fss.or.kr/dsaf001/main.do?rcpNo=20260622000291", "공시열람")</f>
        <v/>
      </c>
    </row>
    <row r="4619" ht="22" customHeight="1">
      <c r="A4619" s="2" t="inlineStr">
        <is>
          <t>2026-06-22</t>
        </is>
      </c>
      <c r="B4619" s="3" t="inlineStr">
        <is>
          <t>나라스페이스테크놀로지</t>
        </is>
      </c>
      <c r="C4619" s="2" t="inlineStr">
        <is>
          <t>478340</t>
        </is>
      </c>
      <c r="D4619" s="2" t="inlineStr">
        <is>
          <t>대량보유</t>
        </is>
      </c>
      <c r="E4619" s="3" t="inlineStr">
        <is>
          <t>오형직</t>
        </is>
      </c>
      <c r="F4619" s="3" t="inlineStr">
        <is>
          <t>특별관계자</t>
        </is>
      </c>
      <c r="G4619" s="3" t="inlineStr">
        <is>
          <t>신규상장(무상취득)(+), 주식매수선택권부여(+)</t>
        </is>
      </c>
      <c r="H4619" s="15" t="n">
        <v>948804</v>
      </c>
      <c r="I4619" s="6" t="inlineStr"/>
      <c r="J4619" s="6" t="n">
        <v>16228</v>
      </c>
      <c r="K4619" s="16" t="n">
        <v>18</v>
      </c>
      <c r="L4619" s="2" t="inlineStr">
        <is>
          <t>20260622000291</t>
        </is>
      </c>
      <c r="M4619" s="8">
        <f>HYPERLINK("https://dart.fss.or.kr/dsaf001/main.do?rcpNo=20260622000291", "공시열람")</f>
        <v/>
      </c>
    </row>
    <row r="4620" ht="22" customHeight="1">
      <c r="A4620" s="2" t="inlineStr">
        <is>
          <t>2026-06-22</t>
        </is>
      </c>
      <c r="B4620" s="3" t="inlineStr">
        <is>
          <t>나라스페이스테크놀로지</t>
        </is>
      </c>
      <c r="C4620" s="2" t="inlineStr">
        <is>
          <t>478340</t>
        </is>
      </c>
      <c r="D4620" s="2" t="inlineStr">
        <is>
          <t>대량보유</t>
        </is>
      </c>
      <c r="E4620" s="3" t="inlineStr">
        <is>
          <t>김민식</t>
        </is>
      </c>
      <c r="F4620" s="3" t="inlineStr">
        <is>
          <t>특별관계자</t>
        </is>
      </c>
      <c r="G4620" s="3" t="inlineStr">
        <is>
          <t>신규상장(무상취득)(+), 주식매수선택권부여(+)</t>
        </is>
      </c>
      <c r="H4620" s="15" t="n">
        <v>558264</v>
      </c>
      <c r="I4620" s="6" t="inlineStr"/>
      <c r="J4620" s="6" t="n">
        <v>6080</v>
      </c>
      <c r="K4620" s="16" t="n">
        <v>18</v>
      </c>
      <c r="L4620" s="2" t="inlineStr">
        <is>
          <t>20260622000291</t>
        </is>
      </c>
      <c r="M4620" s="8">
        <f>HYPERLINK("https://dart.fss.or.kr/dsaf001/main.do?rcpNo=20260622000291", "공시열람")</f>
        <v/>
      </c>
    </row>
    <row r="4621" ht="22" customHeight="1">
      <c r="A4621" s="2" t="inlineStr">
        <is>
          <t>2026-06-22</t>
        </is>
      </c>
      <c r="B4621" s="3" t="inlineStr">
        <is>
          <t>나라스페이스테크놀로지</t>
        </is>
      </c>
      <c r="C4621" s="2" t="inlineStr">
        <is>
          <t>478340</t>
        </is>
      </c>
      <c r="D4621" s="2" t="inlineStr">
        <is>
          <t>대량보유</t>
        </is>
      </c>
      <c r="E4621" s="3" t="inlineStr">
        <is>
          <t>이광원</t>
        </is>
      </c>
      <c r="F4621" s="3" t="inlineStr">
        <is>
          <t>특별관계자</t>
        </is>
      </c>
      <c r="G4621" s="3" t="inlineStr">
        <is>
          <t>신규상장(무상취득)(+), 주식매수선택권부여(+)</t>
        </is>
      </c>
      <c r="H4621" s="15" t="n">
        <v>225408</v>
      </c>
      <c r="I4621" s="6" t="inlineStr"/>
      <c r="J4621" s="6" t="n">
        <v>36496</v>
      </c>
      <c r="K4621" s="16" t="n">
        <v>18</v>
      </c>
      <c r="L4621" s="2" t="inlineStr">
        <is>
          <t>20260622000291</t>
        </is>
      </c>
      <c r="M4621" s="8">
        <f>HYPERLINK("https://dart.fss.or.kr/dsaf001/main.do?rcpNo=20260622000291", "공시열람")</f>
        <v/>
      </c>
    </row>
    <row r="4622" ht="22" customHeight="1">
      <c r="A4622" s="2" t="inlineStr">
        <is>
          <t>2026-06-22</t>
        </is>
      </c>
      <c r="B4622" s="3" t="inlineStr">
        <is>
          <t>나라스페이스테크놀로지</t>
        </is>
      </c>
      <c r="C4622" s="2" t="inlineStr">
        <is>
          <t>478340</t>
        </is>
      </c>
      <c r="D4622" s="2" t="inlineStr">
        <is>
          <t>대량보유</t>
        </is>
      </c>
      <c r="E4622" s="3" t="inlineStr">
        <is>
          <t>이정규</t>
        </is>
      </c>
      <c r="F4622" s="3" t="inlineStr">
        <is>
          <t>특별관계자</t>
        </is>
      </c>
      <c r="G4622" s="3" t="inlineStr">
        <is>
          <t>신규상장(무상취득)(+), 주식매수선택권부여(+)</t>
        </is>
      </c>
      <c r="H4622" s="15" t="n">
        <v>108540</v>
      </c>
      <c r="I4622" s="6" t="inlineStr"/>
      <c r="J4622" s="6" t="n">
        <v>15792</v>
      </c>
      <c r="K4622" s="16" t="n">
        <v>18</v>
      </c>
      <c r="L4622" s="2" t="inlineStr">
        <is>
          <t>20260622000291</t>
        </is>
      </c>
      <c r="M4622" s="8">
        <f>HYPERLINK("https://dart.fss.or.kr/dsaf001/main.do?rcpNo=20260622000291", "공시열람")</f>
        <v/>
      </c>
    </row>
    <row r="4623" ht="22" customHeight="1">
      <c r="A4623" s="2" t="inlineStr">
        <is>
          <t>2026-06-22</t>
        </is>
      </c>
      <c r="B4623" s="3" t="inlineStr">
        <is>
          <t>나라스페이스테크놀로지</t>
        </is>
      </c>
      <c r="C4623" s="2" t="inlineStr">
        <is>
          <t>478340</t>
        </is>
      </c>
      <c r="D4623" s="2" t="inlineStr">
        <is>
          <t>대량보유</t>
        </is>
      </c>
      <c r="E4623" s="3" t="inlineStr">
        <is>
          <t>정인선</t>
        </is>
      </c>
      <c r="F4623" s="3" t="inlineStr">
        <is>
          <t>특별관계자</t>
        </is>
      </c>
      <c r="G4623" s="3" t="inlineStr">
        <is>
          <t>신규상장(무상취득)(+), 주식매수선택권부여(+)</t>
        </is>
      </c>
      <c r="H4623" s="15" t="n">
        <v>229984</v>
      </c>
      <c r="I4623" s="6" t="inlineStr"/>
      <c r="J4623" s="6" t="n">
        <v>20124</v>
      </c>
      <c r="K4623" s="16" t="n">
        <v>18</v>
      </c>
      <c r="L4623" s="2" t="inlineStr">
        <is>
          <t>20260622000291</t>
        </is>
      </c>
      <c r="M4623" s="8">
        <f>HYPERLINK("https://dart.fss.or.kr/dsaf001/main.do?rcpNo=20260622000291", "공시열람")</f>
        <v/>
      </c>
    </row>
    <row r="4624" ht="22" customHeight="1">
      <c r="A4624" s="2" t="inlineStr">
        <is>
          <t>2026-06-22</t>
        </is>
      </c>
      <c r="B4624" s="3" t="inlineStr">
        <is>
          <t>나라스페이스테크놀로지</t>
        </is>
      </c>
      <c r="C4624" s="2" t="inlineStr">
        <is>
          <t>478340</t>
        </is>
      </c>
      <c r="D4624" s="2" t="inlineStr">
        <is>
          <t>대량보유</t>
        </is>
      </c>
      <c r="E4624" s="3" t="inlineStr">
        <is>
          <t>김도현</t>
        </is>
      </c>
      <c r="F4624" s="3" t="inlineStr">
        <is>
          <t>특별관계자</t>
        </is>
      </c>
      <c r="G4624" s="3" t="inlineStr">
        <is>
          <t>신규상장(무상취득)(+), 주식매수선택권부여(+)</t>
        </is>
      </c>
      <c r="H4624" s="15" t="n">
        <v>509728</v>
      </c>
      <c r="I4624" s="6" t="inlineStr"/>
      <c r="J4624" s="6" t="n">
        <v>18972</v>
      </c>
      <c r="K4624" s="16" t="n">
        <v>18</v>
      </c>
      <c r="L4624" s="2" t="inlineStr">
        <is>
          <t>20260622000291</t>
        </is>
      </c>
      <c r="M4624" s="8">
        <f>HYPERLINK("https://dart.fss.or.kr/dsaf001/main.do?rcpNo=20260622000291", "공시열람")</f>
        <v/>
      </c>
    </row>
    <row r="4625" ht="22" customHeight="1">
      <c r="A4625" s="2" t="inlineStr">
        <is>
          <t>2026-06-22</t>
        </is>
      </c>
      <c r="B4625" s="3" t="inlineStr">
        <is>
          <t>나라스페이스테크놀로지</t>
        </is>
      </c>
      <c r="C4625" s="2" t="inlineStr">
        <is>
          <t>478340</t>
        </is>
      </c>
      <c r="D4625" s="2" t="inlineStr">
        <is>
          <t>대량보유</t>
        </is>
      </c>
      <c r="E4625" s="3" t="inlineStr">
        <is>
          <t>이주인</t>
        </is>
      </c>
      <c r="F4625" s="3" t="inlineStr">
        <is>
          <t>특별관계자</t>
        </is>
      </c>
      <c r="G4625" s="3" t="inlineStr">
        <is>
          <t>신규상장(무상취득)(+), 주식매수선택권부여(+)</t>
        </is>
      </c>
      <c r="H4625" s="15" t="n">
        <v>161568</v>
      </c>
      <c r="I4625" s="6" t="inlineStr"/>
      <c r="J4625" s="6" t="n">
        <v>19320</v>
      </c>
      <c r="K4625" s="16" t="n">
        <v>18</v>
      </c>
      <c r="L4625" s="2" t="inlineStr">
        <is>
          <t>20260622000291</t>
        </is>
      </c>
      <c r="M4625" s="8">
        <f>HYPERLINK("https://dart.fss.or.kr/dsaf001/main.do?rcpNo=20260622000291", "공시열람")</f>
        <v/>
      </c>
    </row>
    <row r="4626" ht="22" customHeight="1">
      <c r="A4626" s="2" t="inlineStr">
        <is>
          <t>2026-06-22</t>
        </is>
      </c>
      <c r="B4626" s="3" t="inlineStr">
        <is>
          <t>나라스페이스테크놀로지</t>
        </is>
      </c>
      <c r="C4626" s="2" t="inlineStr">
        <is>
          <t>478340</t>
        </is>
      </c>
      <c r="D4626" s="2" t="inlineStr">
        <is>
          <t>대량보유</t>
        </is>
      </c>
      <c r="E4626" s="3" t="inlineStr">
        <is>
          <t>이동민</t>
        </is>
      </c>
      <c r="F4626" s="3" t="inlineStr">
        <is>
          <t>특별관계자</t>
        </is>
      </c>
      <c r="G4626" s="3" t="inlineStr">
        <is>
          <t>신규상장(무상취득)(+), 주식매수선택권부여(+)</t>
        </is>
      </c>
      <c r="H4626" s="15" t="n">
        <v>113816</v>
      </c>
      <c r="I4626" s="6" t="inlineStr"/>
      <c r="J4626" s="6" t="n">
        <v>2640</v>
      </c>
      <c r="K4626" s="16" t="n">
        <v>18</v>
      </c>
      <c r="L4626" s="2" t="inlineStr">
        <is>
          <t>20260622000291</t>
        </is>
      </c>
      <c r="M4626" s="8">
        <f>HYPERLINK("https://dart.fss.or.kr/dsaf001/main.do?rcpNo=20260622000291", "공시열람")</f>
        <v/>
      </c>
    </row>
    <row r="4627" ht="22" customHeight="1">
      <c r="A4627" s="2" t="inlineStr">
        <is>
          <t>2026-06-22</t>
        </is>
      </c>
      <c r="B4627" s="3" t="inlineStr">
        <is>
          <t>나라스페이스테크놀로지</t>
        </is>
      </c>
      <c r="C4627" s="2" t="inlineStr">
        <is>
          <t>478340</t>
        </is>
      </c>
      <c r="D4627" s="2" t="inlineStr">
        <is>
          <t>대량보유</t>
        </is>
      </c>
      <c r="E4627" s="3" t="inlineStr">
        <is>
          <t>이정호</t>
        </is>
      </c>
      <c r="F4627" s="3" t="inlineStr">
        <is>
          <t>특별관계자</t>
        </is>
      </c>
      <c r="G4627" s="3" t="inlineStr">
        <is>
          <t>신규상장(무상취득)(+), 주식매수선택권부여(+)</t>
        </is>
      </c>
      <c r="H4627" s="15" t="n">
        <v>36456</v>
      </c>
      <c r="I4627" s="6" t="inlineStr"/>
      <c r="J4627" s="6" t="n">
        <v>13332</v>
      </c>
      <c r="K4627" s="16" t="n">
        <v>18</v>
      </c>
      <c r="L4627" s="2" t="inlineStr">
        <is>
          <t>20260622000291</t>
        </is>
      </c>
      <c r="M4627" s="8">
        <f>HYPERLINK("https://dart.fss.or.kr/dsaf001/main.do?rcpNo=20260622000291", "공시열람")</f>
        <v/>
      </c>
    </row>
    <row r="4628" ht="22" customHeight="1">
      <c r="A4628" s="2" t="inlineStr">
        <is>
          <t>2026-06-22</t>
        </is>
      </c>
      <c r="B4628" s="3" t="inlineStr">
        <is>
          <t>나라스페이스테크놀로지</t>
        </is>
      </c>
      <c r="C4628" s="2" t="inlineStr">
        <is>
          <t>478340</t>
        </is>
      </c>
      <c r="D4628" s="2" t="inlineStr">
        <is>
          <t>대량보유</t>
        </is>
      </c>
      <c r="E4628" s="3" t="inlineStr">
        <is>
          <t>김현민</t>
        </is>
      </c>
      <c r="F4628" s="3" t="inlineStr">
        <is>
          <t>특별관계자</t>
        </is>
      </c>
      <c r="G4628" s="3" t="inlineStr">
        <is>
          <t>신규상장(무상취득)(+), 주식매수선택권부여(+)</t>
        </is>
      </c>
      <c r="H4628" s="15" t="n">
        <v>15056</v>
      </c>
      <c r="I4628" s="6" t="inlineStr"/>
      <c r="J4628" s="6" t="n">
        <v>4860</v>
      </c>
      <c r="K4628" s="16" t="n">
        <v>18</v>
      </c>
      <c r="L4628" s="2" t="inlineStr">
        <is>
          <t>20260622000291</t>
        </is>
      </c>
      <c r="M4628" s="8">
        <f>HYPERLINK("https://dart.fss.or.kr/dsaf001/main.do?rcpNo=20260622000291", "공시열람")</f>
        <v/>
      </c>
    </row>
    <row r="4629" ht="22" customHeight="1">
      <c r="A4629" s="2" t="inlineStr">
        <is>
          <t>2026-06-22</t>
        </is>
      </c>
      <c r="B4629" s="3" t="inlineStr">
        <is>
          <t>나라스페이스테크놀로지</t>
        </is>
      </c>
      <c r="C4629" s="2" t="inlineStr">
        <is>
          <t>478340</t>
        </is>
      </c>
      <c r="D4629" s="2" t="inlineStr">
        <is>
          <t>대량보유</t>
        </is>
      </c>
      <c r="E4629" s="3" t="inlineStr">
        <is>
          <t>신진영</t>
        </is>
      </c>
      <c r="F4629" s="3" t="inlineStr">
        <is>
          <t>특별관계자</t>
        </is>
      </c>
      <c r="G4629" s="3" t="inlineStr">
        <is>
          <t>신규상장(무상취득)(+), 주식매수선택권부여(+)</t>
        </is>
      </c>
      <c r="H4629" s="15" t="n">
        <v>27824</v>
      </c>
      <c r="I4629" s="6" t="inlineStr"/>
      <c r="J4629" s="6" t="n">
        <v>11244</v>
      </c>
      <c r="K4629" s="16" t="n">
        <v>18</v>
      </c>
      <c r="L4629" s="2" t="inlineStr">
        <is>
          <t>20260622000291</t>
        </is>
      </c>
      <c r="M4629" s="8">
        <f>HYPERLINK("https://dart.fss.or.kr/dsaf001/main.do?rcpNo=20260622000291", "공시열람")</f>
        <v/>
      </c>
    </row>
    <row r="4630" ht="22" customHeight="1">
      <c r="A4630" s="2" t="inlineStr">
        <is>
          <t>2026-06-22</t>
        </is>
      </c>
      <c r="B4630" s="3" t="inlineStr">
        <is>
          <t>나라스페이스테크놀로지</t>
        </is>
      </c>
      <c r="C4630" s="2" t="inlineStr">
        <is>
          <t>478340</t>
        </is>
      </c>
      <c r="D4630" s="2" t="inlineStr">
        <is>
          <t>대량보유</t>
        </is>
      </c>
      <c r="E4630" s="3" t="inlineStr">
        <is>
          <t>윤예슬</t>
        </is>
      </c>
      <c r="F4630" s="3" t="inlineStr">
        <is>
          <t>특별관계자</t>
        </is>
      </c>
      <c r="G4630" s="3" t="inlineStr">
        <is>
          <t>신규상장(무상취득)(+), 주식매수선택권부여(+)</t>
        </is>
      </c>
      <c r="H4630" s="15" t="n">
        <v>13936</v>
      </c>
      <c r="I4630" s="6" t="inlineStr"/>
      <c r="J4630" s="6" t="n">
        <v>4268</v>
      </c>
      <c r="K4630" s="16" t="n">
        <v>18</v>
      </c>
      <c r="L4630" s="2" t="inlineStr">
        <is>
          <t>20260622000291</t>
        </is>
      </c>
      <c r="M4630" s="8">
        <f>HYPERLINK("https://dart.fss.or.kr/dsaf001/main.do?rcpNo=20260622000291", "공시열람")</f>
        <v/>
      </c>
    </row>
    <row r="4631" ht="22" customHeight="1">
      <c r="A4631" s="2" t="inlineStr">
        <is>
          <t>2026-06-22</t>
        </is>
      </c>
      <c r="B4631" s="3" t="inlineStr">
        <is>
          <t>나라스페이스테크놀로지</t>
        </is>
      </c>
      <c r="C4631" s="2" t="inlineStr">
        <is>
          <t>478340</t>
        </is>
      </c>
      <c r="D4631" s="2" t="inlineStr">
        <is>
          <t>대량보유</t>
        </is>
      </c>
      <c r="E4631" s="3" t="inlineStr">
        <is>
          <t>이태양</t>
        </is>
      </c>
      <c r="F4631" s="3" t="inlineStr">
        <is>
          <t>특별관계자</t>
        </is>
      </c>
      <c r="G4631" s="3" t="inlineStr">
        <is>
          <t>신규상장(무상취득)(+), 주식매수선택권부여(+)</t>
        </is>
      </c>
      <c r="H4631" s="15" t="n">
        <v>21192</v>
      </c>
      <c r="I4631" s="6" t="inlineStr"/>
      <c r="J4631" s="6" t="n">
        <v>5260</v>
      </c>
      <c r="K4631" s="16" t="n">
        <v>18</v>
      </c>
      <c r="L4631" s="2" t="inlineStr">
        <is>
          <t>20260622000291</t>
        </is>
      </c>
      <c r="M4631" s="8">
        <f>HYPERLINK("https://dart.fss.or.kr/dsaf001/main.do?rcpNo=20260622000291", "공시열람")</f>
        <v/>
      </c>
    </row>
    <row r="4632" ht="22" customHeight="1">
      <c r="A4632" s="2" t="inlineStr">
        <is>
          <t>2026-06-22</t>
        </is>
      </c>
      <c r="B4632" s="3" t="inlineStr">
        <is>
          <t>나라스페이스테크놀로지</t>
        </is>
      </c>
      <c r="C4632" s="2" t="inlineStr">
        <is>
          <t>478340</t>
        </is>
      </c>
      <c r="D4632" s="2" t="inlineStr">
        <is>
          <t>대량보유</t>
        </is>
      </c>
      <c r="E4632" s="3" t="inlineStr">
        <is>
          <t>이효정</t>
        </is>
      </c>
      <c r="F4632" s="3" t="inlineStr">
        <is>
          <t>특별관계자</t>
        </is>
      </c>
      <c r="G4632" s="3" t="inlineStr">
        <is>
          <t>신규상장(무상취득)(+), 주식매수선택권부여(+)</t>
        </is>
      </c>
      <c r="H4632" s="15" t="n">
        <v>16400</v>
      </c>
      <c r="I4632" s="6" t="inlineStr"/>
      <c r="J4632" s="6" t="n">
        <v>4200</v>
      </c>
      <c r="K4632" s="16" t="n">
        <v>18</v>
      </c>
      <c r="L4632" s="2" t="inlineStr">
        <is>
          <t>20260622000291</t>
        </is>
      </c>
      <c r="M4632" s="8">
        <f>HYPERLINK("https://dart.fss.or.kr/dsaf001/main.do?rcpNo=20260622000291", "공시열람")</f>
        <v/>
      </c>
    </row>
    <row r="4633" ht="22" customHeight="1">
      <c r="A4633" s="2" t="inlineStr">
        <is>
          <t>2026-06-22</t>
        </is>
      </c>
      <c r="B4633" s="3" t="inlineStr">
        <is>
          <t>나라스페이스테크놀로지</t>
        </is>
      </c>
      <c r="C4633" s="2" t="inlineStr">
        <is>
          <t>478340</t>
        </is>
      </c>
      <c r="D4633" s="2" t="inlineStr">
        <is>
          <t>대량보유</t>
        </is>
      </c>
      <c r="E4633" s="3" t="inlineStr">
        <is>
          <t>조근후</t>
        </is>
      </c>
      <c r="F4633" s="3" t="inlineStr">
        <is>
          <t>특별관계자</t>
        </is>
      </c>
      <c r="G4633" s="3" t="inlineStr">
        <is>
          <t>주식매수선택권부여(+)</t>
        </is>
      </c>
      <c r="H4633" s="15" t="n">
        <v>4000</v>
      </c>
      <c r="I4633" s="6" t="inlineStr"/>
      <c r="J4633" s="6" t="n">
        <v>2000</v>
      </c>
      <c r="K4633" s="16" t="n">
        <v>18</v>
      </c>
      <c r="L4633" s="2" t="inlineStr">
        <is>
          <t>20260622000291</t>
        </is>
      </c>
      <c r="M4633" s="8">
        <f>HYPERLINK("https://dart.fss.or.kr/dsaf001/main.do?rcpNo=20260622000291", "공시열람")</f>
        <v/>
      </c>
    </row>
    <row r="4634" ht="22" customHeight="1">
      <c r="A4634" s="2" t="inlineStr">
        <is>
          <t>2026-06-22</t>
        </is>
      </c>
      <c r="B4634" s="3" t="inlineStr">
        <is>
          <t>나라스페이스테크놀로지</t>
        </is>
      </c>
      <c r="C4634" s="2" t="inlineStr">
        <is>
          <t>478340</t>
        </is>
      </c>
      <c r="D4634" s="2" t="inlineStr">
        <is>
          <t>대량보유</t>
        </is>
      </c>
      <c r="E4634" s="3" t="inlineStr">
        <is>
          <t>배청준</t>
        </is>
      </c>
      <c r="F4634" s="3" t="inlineStr">
        <is>
          <t>특별관계자</t>
        </is>
      </c>
      <c r="G4634" s="3" t="inlineStr">
        <is>
          <t>주식매수선택권부여(+)</t>
        </is>
      </c>
      <c r="H4634" s="15" t="n">
        <v>134858</v>
      </c>
      <c r="I4634" s="6" t="inlineStr"/>
      <c r="J4634" s="6" t="n">
        <v>67429</v>
      </c>
      <c r="K4634" s="16" t="n">
        <v>18</v>
      </c>
      <c r="L4634" s="2" t="inlineStr">
        <is>
          <t>20260622000291</t>
        </is>
      </c>
      <c r="M4634" s="8">
        <f>HYPERLINK("https://dart.fss.or.kr/dsaf001/main.do?rcpNo=20260622000291", "공시열람")</f>
        <v/>
      </c>
    </row>
    <row r="4635" ht="22" customHeight="1">
      <c r="A4635" s="2" t="inlineStr">
        <is>
          <t>2026-06-22</t>
        </is>
      </c>
      <c r="B4635" s="3" t="inlineStr">
        <is>
          <t>석경에이티</t>
        </is>
      </c>
      <c r="C4635" s="2" t="inlineStr">
        <is>
          <t>357550</t>
        </is>
      </c>
      <c r="D4635" s="2" t="inlineStr">
        <is>
          <t>대량보유</t>
        </is>
      </c>
      <c r="E4635" s="3" t="inlineStr">
        <is>
          <t>임형섭</t>
        </is>
      </c>
      <c r="F4635" s="3" t="inlineStr">
        <is>
          <t>특별관계자</t>
        </is>
      </c>
      <c r="G4635" s="3" t="inlineStr">
        <is>
          <t>증여(-)</t>
        </is>
      </c>
      <c r="H4635" s="17" t="n">
        <v>-11000</v>
      </c>
      <c r="I4635" s="6" t="n">
        <v>44200</v>
      </c>
      <c r="J4635" s="6" t="n">
        <v>1354663</v>
      </c>
      <c r="K4635" s="16" t="n">
        <v>17</v>
      </c>
      <c r="L4635" s="2" t="inlineStr">
        <is>
          <t>20260622000286</t>
        </is>
      </c>
      <c r="M4635" s="8">
        <f>HYPERLINK("https://dart.fss.or.kr/dsaf001/main.do?rcpNo=20260622000286", "공시열람")</f>
        <v/>
      </c>
    </row>
    <row r="4636" ht="22" customHeight="1">
      <c r="A4636" s="2" t="inlineStr">
        <is>
          <t>2026-06-22</t>
        </is>
      </c>
      <c r="B4636" s="3" t="inlineStr">
        <is>
          <t>석경에이티</t>
        </is>
      </c>
      <c r="C4636" s="2" t="inlineStr">
        <is>
          <t>357550</t>
        </is>
      </c>
      <c r="D4636" s="2" t="inlineStr">
        <is>
          <t>대량보유</t>
        </is>
      </c>
      <c r="E4636" s="3" t="inlineStr">
        <is>
          <t>김희련</t>
        </is>
      </c>
      <c r="F4636" s="3" t="inlineStr">
        <is>
          <t>특별관계자</t>
        </is>
      </c>
      <c r="G4636" s="3" t="inlineStr">
        <is>
          <t>수증(+)</t>
        </is>
      </c>
      <c r="H4636" s="15" t="n">
        <v>11000</v>
      </c>
      <c r="I4636" s="6" t="n">
        <v>44200</v>
      </c>
      <c r="J4636" s="6" t="n">
        <v>11000</v>
      </c>
      <c r="K4636" s="16" t="n">
        <v>17</v>
      </c>
      <c r="L4636" s="2" t="inlineStr">
        <is>
          <t>20260622000286</t>
        </is>
      </c>
      <c r="M4636" s="8">
        <f>HYPERLINK("https://dart.fss.or.kr/dsaf001/main.do?rcpNo=20260622000286", "공시열람")</f>
        <v/>
      </c>
    </row>
    <row r="4637" ht="22" customHeight="1">
      <c r="A4637" s="2" t="inlineStr">
        <is>
          <t>2026-06-22</t>
        </is>
      </c>
      <c r="B4637" s="3" t="inlineStr">
        <is>
          <t>석경에이티</t>
        </is>
      </c>
      <c r="C4637" s="2" t="inlineStr">
        <is>
          <t>357550</t>
        </is>
      </c>
      <c r="D4637" s="2" t="inlineStr">
        <is>
          <t>대량보유</t>
        </is>
      </c>
      <c r="E4637" s="3" t="inlineStr">
        <is>
          <t>이종창</t>
        </is>
      </c>
      <c r="F4637" s="3" t="inlineStr">
        <is>
          <t>특별관계자</t>
        </is>
      </c>
      <c r="G4637" s="3" t="inlineStr">
        <is>
          <t>장내매도(-)</t>
        </is>
      </c>
      <c r="H4637" s="17" t="n">
        <v>-10180</v>
      </c>
      <c r="I4637" s="6" t="n">
        <v>53644</v>
      </c>
      <c r="J4637" s="6" t="n">
        <v>29192</v>
      </c>
      <c r="K4637" s="16" t="n">
        <v>17</v>
      </c>
      <c r="L4637" s="2" t="inlineStr">
        <is>
          <t>20260622000286</t>
        </is>
      </c>
      <c r="M4637" s="8">
        <f>HYPERLINK("https://dart.fss.or.kr/dsaf001/main.do?rcpNo=20260622000286", "공시열람")</f>
        <v/>
      </c>
    </row>
    <row r="4638" ht="22" customHeight="1">
      <c r="A4638" s="2" t="inlineStr">
        <is>
          <t>2026-06-22</t>
        </is>
      </c>
      <c r="B4638" s="3" t="inlineStr">
        <is>
          <t>석경에이티</t>
        </is>
      </c>
      <c r="C4638" s="2" t="inlineStr">
        <is>
          <t>357550</t>
        </is>
      </c>
      <c r="D4638" s="2" t="inlineStr">
        <is>
          <t>대량보유</t>
        </is>
      </c>
      <c r="E4638" s="3" t="inlineStr">
        <is>
          <t>임형열</t>
        </is>
      </c>
      <c r="F4638" s="3" t="inlineStr">
        <is>
          <t>특별관계자</t>
        </is>
      </c>
      <c r="G4638" s="3" t="inlineStr">
        <is>
          <t>장내매도(-)</t>
        </is>
      </c>
      <c r="H4638" s="17" t="n">
        <v>-5914</v>
      </c>
      <c r="I4638" s="6" t="n">
        <v>51292</v>
      </c>
      <c r="J4638" s="6" t="n">
        <v>24756</v>
      </c>
      <c r="K4638" s="16" t="n">
        <v>17</v>
      </c>
      <c r="L4638" s="2" t="inlineStr">
        <is>
          <t>20260622000286</t>
        </is>
      </c>
      <c r="M4638" s="8">
        <f>HYPERLINK("https://dart.fss.or.kr/dsaf001/main.do?rcpNo=20260622000286", "공시열람")</f>
        <v/>
      </c>
    </row>
    <row r="4639" ht="22" customHeight="1">
      <c r="A4639" s="2" t="inlineStr">
        <is>
          <t>2026-06-22</t>
        </is>
      </c>
      <c r="B4639" s="3" t="inlineStr">
        <is>
          <t>석경에이티</t>
        </is>
      </c>
      <c r="C4639" s="2" t="inlineStr">
        <is>
          <t>357550</t>
        </is>
      </c>
      <c r="D4639" s="2" t="inlineStr">
        <is>
          <t>대량보유</t>
        </is>
      </c>
      <c r="E4639" s="3" t="inlineStr">
        <is>
          <t>임옥화</t>
        </is>
      </c>
      <c r="F4639" s="3" t="inlineStr">
        <is>
          <t>특별관계자</t>
        </is>
      </c>
      <c r="G4639" s="3" t="inlineStr">
        <is>
          <t>장내매도(-)</t>
        </is>
      </c>
      <c r="H4639" s="17" t="n">
        <v>-3000</v>
      </c>
      <c r="I4639" s="6" t="n">
        <v>42920</v>
      </c>
      <c r="J4639" s="6" t="n">
        <v>22215</v>
      </c>
      <c r="K4639" s="16" t="n">
        <v>17</v>
      </c>
      <c r="L4639" s="2" t="inlineStr">
        <is>
          <t>20260622000286</t>
        </is>
      </c>
      <c r="M4639" s="8">
        <f>HYPERLINK("https://dart.fss.or.kr/dsaf001/main.do?rcpNo=20260622000286", "공시열람")</f>
        <v/>
      </c>
    </row>
    <row r="4640" ht="22" customHeight="1">
      <c r="A4640" s="2" t="inlineStr">
        <is>
          <t>2026-06-22</t>
        </is>
      </c>
      <c r="B4640" s="3" t="inlineStr">
        <is>
          <t>석경에이티</t>
        </is>
      </c>
      <c r="C4640" s="2" t="inlineStr">
        <is>
          <t>357550</t>
        </is>
      </c>
      <c r="D4640" s="2" t="inlineStr">
        <is>
          <t>대량보유</t>
        </is>
      </c>
      <c r="E4640" s="3" t="inlineStr">
        <is>
          <t>강상헌</t>
        </is>
      </c>
      <c r="F4640" s="3" t="inlineStr">
        <is>
          <t>특별관계자</t>
        </is>
      </c>
      <c r="G4640" s="3" t="inlineStr">
        <is>
          <t>장내매도(-)</t>
        </is>
      </c>
      <c r="H4640" s="17" t="n">
        <v>-10115</v>
      </c>
      <c r="I4640" s="6" t="n">
        <v>57885</v>
      </c>
      <c r="J4640" s="6" t="n">
        <v>14000</v>
      </c>
      <c r="K4640" s="16" t="n">
        <v>17</v>
      </c>
      <c r="L4640" s="2" t="inlineStr">
        <is>
          <t>20260622000286</t>
        </is>
      </c>
      <c r="M4640" s="8">
        <f>HYPERLINK("https://dart.fss.or.kr/dsaf001/main.do?rcpNo=20260622000286", "공시열람")</f>
        <v/>
      </c>
    </row>
    <row r="4641" ht="22" customHeight="1">
      <c r="A4641" s="2" t="inlineStr">
        <is>
          <t>2026-06-22</t>
        </is>
      </c>
      <c r="B4641" s="3" t="inlineStr">
        <is>
          <t>석경에이티</t>
        </is>
      </c>
      <c r="C4641" s="2" t="inlineStr">
        <is>
          <t>357550</t>
        </is>
      </c>
      <c r="D4641" s="2" t="inlineStr">
        <is>
          <t>대량보유</t>
        </is>
      </c>
      <c r="E4641" s="3" t="inlineStr">
        <is>
          <t>김장보</t>
        </is>
      </c>
      <c r="F4641" s="3" t="inlineStr">
        <is>
          <t>특별관계자</t>
        </is>
      </c>
      <c r="G4641" s="3" t="inlineStr">
        <is>
          <t>장내매도(-)</t>
        </is>
      </c>
      <c r="H4641" s="17" t="n">
        <v>-4817</v>
      </c>
      <c r="I4641" s="6" t="n">
        <v>46522</v>
      </c>
      <c r="J4641" s="6" t="n">
        <v>15193</v>
      </c>
      <c r="K4641" s="16" t="n">
        <v>17</v>
      </c>
      <c r="L4641" s="2" t="inlineStr">
        <is>
          <t>20260622000286</t>
        </is>
      </c>
      <c r="M4641" s="8">
        <f>HYPERLINK("https://dart.fss.or.kr/dsaf001/main.do?rcpNo=20260622000286", "공시열람")</f>
        <v/>
      </c>
    </row>
    <row r="4642" ht="22" customHeight="1">
      <c r="A4642" s="2" t="inlineStr">
        <is>
          <t>2026-06-22</t>
        </is>
      </c>
      <c r="B4642" s="3" t="inlineStr">
        <is>
          <t>석경에이티</t>
        </is>
      </c>
      <c r="C4642" s="2" t="inlineStr">
        <is>
          <t>357550</t>
        </is>
      </c>
      <c r="D4642" s="2" t="inlineStr">
        <is>
          <t>대량보유</t>
        </is>
      </c>
      <c r="E4642" s="3" t="inlineStr">
        <is>
          <t>허수길</t>
        </is>
      </c>
      <c r="F4642" s="3" t="inlineStr">
        <is>
          <t>특별관계자</t>
        </is>
      </c>
      <c r="G4642" s="3" t="inlineStr">
        <is>
          <t>장내매도(-)</t>
        </is>
      </c>
      <c r="H4642" s="17" t="n">
        <v>-13124</v>
      </c>
      <c r="I4642" s="6" t="n">
        <v>24010</v>
      </c>
      <c r="J4642" s="6" t="inlineStr"/>
      <c r="K4642" s="16" t="n">
        <v>17</v>
      </c>
      <c r="L4642" s="2" t="inlineStr">
        <is>
          <t>20260622000286</t>
        </is>
      </c>
      <c r="M4642" s="8">
        <f>HYPERLINK("https://dart.fss.or.kr/dsaf001/main.do?rcpNo=20260622000286", "공시열람")</f>
        <v/>
      </c>
    </row>
    <row r="4643" ht="22" customHeight="1">
      <c r="A4643" s="2" t="inlineStr">
        <is>
          <t>2026-06-22</t>
        </is>
      </c>
      <c r="B4643" s="3" t="inlineStr">
        <is>
          <t>석경에이티</t>
        </is>
      </c>
      <c r="C4643" s="2" t="inlineStr">
        <is>
          <t>357550</t>
        </is>
      </c>
      <c r="D4643" s="2" t="inlineStr">
        <is>
          <t>대량보유</t>
        </is>
      </c>
      <c r="E4643" s="3" t="inlineStr">
        <is>
          <t>임형준</t>
        </is>
      </c>
      <c r="F4643" s="3" t="inlineStr">
        <is>
          <t>특별관계자</t>
        </is>
      </c>
      <c r="G4643" s="3" t="inlineStr">
        <is>
          <t>장내매도(-)</t>
        </is>
      </c>
      <c r="H4643" s="17" t="n">
        <v>-6323</v>
      </c>
      <c r="I4643" s="6" t="n">
        <v>39757</v>
      </c>
      <c r="J4643" s="6" t="n">
        <v>4</v>
      </c>
      <c r="K4643" s="16" t="n">
        <v>17</v>
      </c>
      <c r="L4643" s="2" t="inlineStr">
        <is>
          <t>20260622000286</t>
        </is>
      </c>
      <c r="M4643" s="8">
        <f>HYPERLINK("https://dart.fss.or.kr/dsaf001/main.do?rcpNo=20260622000286", "공시열람")</f>
        <v/>
      </c>
    </row>
    <row r="4644" ht="22" customHeight="1">
      <c r="A4644" s="2" t="inlineStr">
        <is>
          <t>2026-06-22</t>
        </is>
      </c>
      <c r="B4644" s="3" t="inlineStr">
        <is>
          <t>석경에이티</t>
        </is>
      </c>
      <c r="C4644" s="2" t="inlineStr">
        <is>
          <t>357550</t>
        </is>
      </c>
      <c r="D4644" s="2" t="inlineStr">
        <is>
          <t>대량보유</t>
        </is>
      </c>
      <c r="E4644" s="3" t="inlineStr">
        <is>
          <t>김순화</t>
        </is>
      </c>
      <c r="F4644" s="3" t="inlineStr">
        <is>
          <t>특별관계자</t>
        </is>
      </c>
      <c r="G4644" s="3" t="inlineStr">
        <is>
          <t>장내매수(+), 장내매도(-)</t>
        </is>
      </c>
      <c r="H4644" s="17" t="n">
        <v>-3281</v>
      </c>
      <c r="I4644" s="6" t="n">
        <v>17208</v>
      </c>
      <c r="J4644" s="6" t="inlineStr"/>
      <c r="K4644" s="16" t="n">
        <v>17</v>
      </c>
      <c r="L4644" s="2" t="inlineStr">
        <is>
          <t>20260622000286</t>
        </is>
      </c>
      <c r="M4644" s="8">
        <f>HYPERLINK("https://dart.fss.or.kr/dsaf001/main.do?rcpNo=20260622000286", "공시열람")</f>
        <v/>
      </c>
    </row>
    <row r="4645" ht="22" customHeight="1">
      <c r="A4645" s="2" t="inlineStr">
        <is>
          <t>2026-06-22</t>
        </is>
      </c>
      <c r="B4645" s="3" t="inlineStr">
        <is>
          <t>석경에이티</t>
        </is>
      </c>
      <c r="C4645" s="2" t="inlineStr">
        <is>
          <t>357550</t>
        </is>
      </c>
      <c r="D4645" s="2" t="inlineStr">
        <is>
          <t>대량보유</t>
        </is>
      </c>
      <c r="E4645" s="3" t="inlineStr">
        <is>
          <t>허두양</t>
        </is>
      </c>
      <c r="F4645" s="3" t="inlineStr">
        <is>
          <t>특별관계자</t>
        </is>
      </c>
      <c r="G4645" s="3" t="inlineStr">
        <is>
          <t>장내매도(-)</t>
        </is>
      </c>
      <c r="H4645" s="17" t="n">
        <v>-2500</v>
      </c>
      <c r="I4645" s="6" t="n">
        <v>18200</v>
      </c>
      <c r="J4645" s="6" t="inlineStr"/>
      <c r="K4645" s="16" t="n">
        <v>17</v>
      </c>
      <c r="L4645" s="2" t="inlineStr">
        <is>
          <t>20260622000286</t>
        </is>
      </c>
      <c r="M4645" s="8">
        <f>HYPERLINK("https://dart.fss.or.kr/dsaf001/main.do?rcpNo=20260622000286", "공시열람")</f>
        <v/>
      </c>
    </row>
    <row r="4646" ht="22" customHeight="1">
      <c r="A4646" s="2" t="inlineStr">
        <is>
          <t>2026-06-22</t>
        </is>
      </c>
      <c r="B4646" s="3" t="inlineStr">
        <is>
          <t>석경에이티</t>
        </is>
      </c>
      <c r="C4646" s="2" t="inlineStr">
        <is>
          <t>357550</t>
        </is>
      </c>
      <c r="D4646" s="2" t="inlineStr">
        <is>
          <t>대량보유</t>
        </is>
      </c>
      <c r="E4646" s="3" t="inlineStr">
        <is>
          <t>안성초</t>
        </is>
      </c>
      <c r="F4646" s="3" t="inlineStr">
        <is>
          <t>특별관계자</t>
        </is>
      </c>
      <c r="G4646" s="3" t="inlineStr">
        <is>
          <t>장내매도(-)</t>
        </is>
      </c>
      <c r="H4646" s="17" t="n">
        <v>-250</v>
      </c>
      <c r="I4646" s="6" t="n">
        <v>56267</v>
      </c>
      <c r="J4646" s="6" t="n">
        <v>58983</v>
      </c>
      <c r="K4646" s="16" t="n">
        <v>17</v>
      </c>
      <c r="L4646" s="2" t="inlineStr">
        <is>
          <t>20260622000286</t>
        </is>
      </c>
      <c r="M4646" s="8">
        <f>HYPERLINK("https://dart.fss.or.kr/dsaf001/main.do?rcpNo=20260622000286", "공시열람")</f>
        <v/>
      </c>
    </row>
    <row r="4647" ht="22" customHeight="1">
      <c r="A4647" s="2" t="inlineStr">
        <is>
          <t>2026-06-22</t>
        </is>
      </c>
      <c r="B4647" s="3" t="inlineStr">
        <is>
          <t>금호석유화학</t>
        </is>
      </c>
      <c r="C4647" s="2" t="inlineStr">
        <is>
          <t>011780</t>
        </is>
      </c>
      <c r="D4647" s="2" t="inlineStr">
        <is>
          <t>임원보고</t>
        </is>
      </c>
      <c r="E4647" s="3" t="inlineStr">
        <is>
          <t>-</t>
        </is>
      </c>
      <c r="F4647" s="3" t="inlineStr">
        <is>
          <t>-</t>
        </is>
      </c>
      <c r="G4647" s="3" t="inlineStr">
        <is>
          <t>-</t>
        </is>
      </c>
      <c r="H4647" s="6" t="inlineStr"/>
      <c r="I4647" s="6" t="inlineStr"/>
      <c r="J4647" s="6" t="inlineStr"/>
      <c r="K4647" s="16" t="n">
        <v>12</v>
      </c>
      <c r="L4647" s="2" t="inlineStr">
        <is>
          <t>20260622800586</t>
        </is>
      </c>
      <c r="M4647" s="8">
        <f>HYPERLINK("https://dart.fss.or.kr/dsaf001/main.do?rcpNo=20260622800586", "공시열람")</f>
        <v/>
      </c>
    </row>
    <row r="4648" ht="22" customHeight="1">
      <c r="A4648" s="2" t="inlineStr">
        <is>
          <t>2026-06-22</t>
        </is>
      </c>
      <c r="B4648" s="3" t="inlineStr">
        <is>
          <t>신영증권</t>
        </is>
      </c>
      <c r="C4648" s="2" t="inlineStr">
        <is>
          <t>001720</t>
        </is>
      </c>
      <c r="D4648" s="2" t="inlineStr">
        <is>
          <t>임원보고</t>
        </is>
      </c>
      <c r="E4648" s="3" t="inlineStr">
        <is>
          <t>-</t>
        </is>
      </c>
      <c r="F4648" s="3" t="inlineStr">
        <is>
          <t>-</t>
        </is>
      </c>
      <c r="G4648" s="3" t="inlineStr">
        <is>
          <t>-</t>
        </is>
      </c>
      <c r="H4648" s="6" t="inlineStr"/>
      <c r="I4648" s="6" t="inlineStr"/>
      <c r="J4648" s="6" t="inlineStr"/>
      <c r="K4648" s="16" t="n">
        <v>12</v>
      </c>
      <c r="L4648" s="2" t="inlineStr">
        <is>
          <t>20260622800585</t>
        </is>
      </c>
      <c r="M4648" s="8">
        <f>HYPERLINK("https://dart.fss.or.kr/dsaf001/main.do?rcpNo=20260622800585", "공시열람")</f>
        <v/>
      </c>
    </row>
    <row r="4649" ht="22" customHeight="1">
      <c r="A4649" s="2" t="inlineStr">
        <is>
          <t>2026-06-22</t>
        </is>
      </c>
      <c r="B4649" s="3" t="inlineStr">
        <is>
          <t>우림피티에스</t>
        </is>
      </c>
      <c r="C4649" s="2" t="inlineStr">
        <is>
          <t>101170</t>
        </is>
      </c>
      <c r="D4649" s="2" t="inlineStr">
        <is>
          <t>대량보유</t>
        </is>
      </c>
      <c r="E4649" s="3" t="inlineStr">
        <is>
          <t>한민주</t>
        </is>
      </c>
      <c r="F4649" s="3" t="inlineStr">
        <is>
          <t>특별관계자</t>
        </is>
      </c>
      <c r="G4649" s="3" t="inlineStr">
        <is>
          <t>장내매수(+)</t>
        </is>
      </c>
      <c r="H4649" s="15" t="n">
        <v>15911</v>
      </c>
      <c r="I4649" s="6" t="n">
        <v>9427</v>
      </c>
      <c r="J4649" s="6" t="n">
        <v>608910</v>
      </c>
      <c r="K4649" s="16" t="n">
        <v>3</v>
      </c>
      <c r="L4649" s="2" t="inlineStr">
        <is>
          <t>20260622000278</t>
        </is>
      </c>
      <c r="M4649" s="8">
        <f>HYPERLINK("https://dart.fss.or.kr/dsaf001/main.do?rcpNo=20260622000278", "공시열람")</f>
        <v/>
      </c>
    </row>
    <row r="4650" ht="22" customHeight="1">
      <c r="A4650" s="2" t="inlineStr">
        <is>
          <t>2026-06-22</t>
        </is>
      </c>
      <c r="B4650" s="3" t="inlineStr">
        <is>
          <t>ES큐브</t>
        </is>
      </c>
      <c r="C4650" s="2" t="inlineStr">
        <is>
          <t>050120</t>
        </is>
      </c>
      <c r="D4650" s="2" t="inlineStr">
        <is>
          <t>대량보유</t>
        </is>
      </c>
      <c r="E4650" s="3" t="inlineStr">
        <is>
          <t>비케이자산관리대부㈜</t>
        </is>
      </c>
      <c r="F4650" s="3" t="inlineStr">
        <is>
          <t>특별관계자</t>
        </is>
      </c>
      <c r="G4650" s="3" t="inlineStr">
        <is>
          <t>장내매수(+)</t>
        </is>
      </c>
      <c r="H4650" s="15" t="n">
        <v>387985</v>
      </c>
      <c r="I4650" s="6" t="n">
        <v>3338</v>
      </c>
      <c r="J4650" s="6" t="n">
        <v>521232</v>
      </c>
      <c r="K4650" s="16" t="n">
        <v>1</v>
      </c>
      <c r="L4650" s="2" t="inlineStr">
        <is>
          <t>20260622000276</t>
        </is>
      </c>
      <c r="M4650" s="8">
        <f>HYPERLINK("https://dart.fss.or.kr/dsaf001/main.do?rcpNo=20260622000276", "공시열람")</f>
        <v/>
      </c>
    </row>
    <row r="4651" ht="22" customHeight="1">
      <c r="A4651" s="2" t="inlineStr">
        <is>
          <t>2026-06-22</t>
        </is>
      </c>
      <c r="B4651" s="3" t="inlineStr">
        <is>
          <t>녹십자</t>
        </is>
      </c>
      <c r="C4651" s="2" t="inlineStr">
        <is>
          <t>006280</t>
        </is>
      </c>
      <c r="D4651" s="2" t="inlineStr">
        <is>
          <t>임원보고</t>
        </is>
      </c>
      <c r="E4651" s="3" t="inlineStr">
        <is>
          <t>-</t>
        </is>
      </c>
      <c r="F4651" s="3" t="inlineStr">
        <is>
          <t>-</t>
        </is>
      </c>
      <c r="G4651" s="3" t="inlineStr">
        <is>
          <t>-</t>
        </is>
      </c>
      <c r="H4651" s="6" t="inlineStr"/>
      <c r="I4651" s="6" t="inlineStr"/>
      <c r="J4651" s="6" t="inlineStr"/>
      <c r="K4651" s="16" t="n">
        <v>12</v>
      </c>
      <c r="L4651" s="2" t="inlineStr">
        <is>
          <t>20260622800561</t>
        </is>
      </c>
      <c r="M4651" s="8">
        <f>HYPERLINK("https://dart.fss.or.kr/dsaf001/main.do?rcpNo=20260622800561", "공시열람")</f>
        <v/>
      </c>
    </row>
    <row r="4652" ht="22" customHeight="1">
      <c r="A4652" s="2" t="inlineStr">
        <is>
          <t>2026-06-22</t>
        </is>
      </c>
      <c r="B4652" s="3" t="inlineStr">
        <is>
          <t>신한제16호스팩</t>
        </is>
      </c>
      <c r="C4652" s="2" t="inlineStr">
        <is>
          <t>496070</t>
        </is>
      </c>
      <c r="D4652" s="2" t="inlineStr">
        <is>
          <t>대량보유</t>
        </is>
      </c>
      <c r="E4652" s="3" t="inlineStr">
        <is>
          <t>더블유자산운용</t>
        </is>
      </c>
      <c r="F4652" s="3" t="inlineStr">
        <is>
          <t>특별관계자</t>
        </is>
      </c>
      <c r="G4652" s="3" t="inlineStr">
        <is>
          <t>신규등록(+), 장내매도(-), 장내매수(+)</t>
        </is>
      </c>
      <c r="H4652" s="15" t="n">
        <v>296468</v>
      </c>
      <c r="I4652" s="6" t="n">
        <v>2028</v>
      </c>
      <c r="J4652" s="6" t="n">
        <v>296468</v>
      </c>
      <c r="K4652" s="16" t="n">
        <v>5.28</v>
      </c>
      <c r="L4652" s="2" t="inlineStr">
        <is>
          <t>20260622000259</t>
        </is>
      </c>
      <c r="M4652" s="8">
        <f>HYPERLINK("https://dart.fss.or.kr/dsaf001/main.do?rcpNo=20260622000259", "공시열람")</f>
        <v/>
      </c>
    </row>
    <row r="4653" ht="22" customHeight="1">
      <c r="A4653" s="2" t="inlineStr">
        <is>
          <t>2026-06-22</t>
        </is>
      </c>
      <c r="B4653" s="3" t="inlineStr">
        <is>
          <t>티비에이치글로벌</t>
        </is>
      </c>
      <c r="C4653" s="2" t="inlineStr">
        <is>
          <t>084870</t>
        </is>
      </c>
      <c r="D4653" s="2" t="inlineStr">
        <is>
          <t>임원보고</t>
        </is>
      </c>
      <c r="E4653" s="3" t="inlineStr">
        <is>
          <t>-</t>
        </is>
      </c>
      <c r="F4653" s="3" t="inlineStr">
        <is>
          <t>-</t>
        </is>
      </c>
      <c r="G4653" s="3" t="inlineStr">
        <is>
          <t>-</t>
        </is>
      </c>
      <c r="H4653" s="6" t="inlineStr"/>
      <c r="I4653" s="6" t="inlineStr"/>
      <c r="J4653" s="6" t="inlineStr"/>
      <c r="K4653" s="16" t="n">
        <v>12</v>
      </c>
      <c r="L4653" s="2" t="inlineStr">
        <is>
          <t>20260622800528</t>
        </is>
      </c>
      <c r="M4653" s="8">
        <f>HYPERLINK("https://dart.fss.or.kr/dsaf001/main.do?rcpNo=20260622800528", "공시열람")</f>
        <v/>
      </c>
    </row>
    <row r="4654" ht="22" customHeight="1">
      <c r="A4654" s="2" t="inlineStr">
        <is>
          <t>2026-06-22</t>
        </is>
      </c>
      <c r="B4654" s="3" t="inlineStr">
        <is>
          <t>아진산업</t>
        </is>
      </c>
      <c r="C4654" s="2" t="inlineStr">
        <is>
          <t>013310</t>
        </is>
      </c>
      <c r="D4654" s="2" t="inlineStr">
        <is>
          <t>대량보유</t>
        </is>
      </c>
      <c r="E4654" s="3" t="inlineStr">
        <is>
          <t>(주)우신산업</t>
        </is>
      </c>
      <c r="F4654" s="3" t="inlineStr">
        <is>
          <t>보고자</t>
        </is>
      </c>
      <c r="G4654" s="3" t="inlineStr">
        <is>
          <t>주요계약체결(주식담보대출)-연장</t>
        </is>
      </c>
      <c r="H4654" s="6" t="inlineStr"/>
      <c r="I4654" s="6" t="inlineStr"/>
      <c r="J4654" s="6" t="n">
        <v>12140962</v>
      </c>
      <c r="K4654" s="16" t="n">
        <v>17</v>
      </c>
      <c r="L4654" s="2" t="inlineStr">
        <is>
          <t>20260622000250</t>
        </is>
      </c>
      <c r="M4654" s="8">
        <f>HYPERLINK("https://dart.fss.or.kr/dsaf001/main.do?rcpNo=20260622000250", "공시열람")</f>
        <v/>
      </c>
    </row>
    <row r="4655" ht="22" customHeight="1">
      <c r="A4655" s="2" t="inlineStr">
        <is>
          <t>2026-06-22</t>
        </is>
      </c>
      <c r="B4655" s="3" t="inlineStr">
        <is>
          <t>체시스</t>
        </is>
      </c>
      <c r="C4655" s="2" t="inlineStr">
        <is>
          <t>033250</t>
        </is>
      </c>
      <c r="D4655" s="2" t="inlineStr">
        <is>
          <t>대량보유</t>
        </is>
      </c>
      <c r="E4655" s="3" t="inlineStr">
        <is>
          <t>(주)엠에스에이치씨</t>
        </is>
      </c>
      <c r="F4655" s="3" t="inlineStr">
        <is>
          <t>특별관계자</t>
        </is>
      </c>
      <c r="G4655" s="3" t="inlineStr">
        <is>
          <t>장내매수(+)</t>
        </is>
      </c>
      <c r="H4655" s="15" t="n">
        <v>119730</v>
      </c>
      <c r="I4655" s="6" t="n">
        <v>4233</v>
      </c>
      <c r="J4655" s="6" t="n">
        <v>1547640</v>
      </c>
      <c r="K4655" s="16" t="n">
        <v>4</v>
      </c>
      <c r="L4655" s="2" t="inlineStr">
        <is>
          <t>20260622000245</t>
        </is>
      </c>
      <c r="M4655" s="8">
        <f>HYPERLINK("https://dart.fss.or.kr/dsaf001/main.do?rcpNo=20260622000245", "공시열람")</f>
        <v/>
      </c>
    </row>
    <row r="4656" ht="22" customHeight="1">
      <c r="A4656" s="2" t="inlineStr">
        <is>
          <t>2026-06-22</t>
        </is>
      </c>
      <c r="B4656" s="3" t="inlineStr">
        <is>
          <t>동원개발</t>
        </is>
      </c>
      <c r="C4656" s="2" t="inlineStr">
        <is>
          <t>013120</t>
        </is>
      </c>
      <c r="D4656" s="2" t="inlineStr">
        <is>
          <t>대량보유</t>
        </is>
      </c>
      <c r="E4656" s="3" t="inlineStr">
        <is>
          <t>장복만</t>
        </is>
      </c>
      <c r="F4656" s="3" t="inlineStr">
        <is>
          <t>보고자</t>
        </is>
      </c>
      <c r="G4656" s="3" t="inlineStr">
        <is>
          <t>주식담보대출 기간연장</t>
        </is>
      </c>
      <c r="H4656" s="6" t="inlineStr"/>
      <c r="I4656" s="6" t="inlineStr"/>
      <c r="J4656" s="6" t="n">
        <v>59766641</v>
      </c>
      <c r="K4656" s="16" t="n">
        <v>9</v>
      </c>
      <c r="L4656" s="2" t="inlineStr">
        <is>
          <t>20260622000244</t>
        </is>
      </c>
      <c r="M4656" s="8">
        <f>HYPERLINK("https://dart.fss.or.kr/dsaf001/main.do?rcpNo=20260622000244", "공시열람")</f>
        <v/>
      </c>
    </row>
    <row r="4657" ht="22" customHeight="1">
      <c r="A4657" s="2" t="inlineStr">
        <is>
          <t>2026-06-22</t>
        </is>
      </c>
      <c r="B4657" s="3" t="inlineStr">
        <is>
          <t>체시스</t>
        </is>
      </c>
      <c r="C4657" s="2" t="inlineStr">
        <is>
          <t>033250</t>
        </is>
      </c>
      <c r="D4657" s="2" t="inlineStr">
        <is>
          <t>임원보고</t>
        </is>
      </c>
      <c r="E4657" s="3" t="inlineStr">
        <is>
          <t>-</t>
        </is>
      </c>
      <c r="F4657" s="3" t="inlineStr">
        <is>
          <t>-</t>
        </is>
      </c>
      <c r="G4657" s="3" t="inlineStr">
        <is>
          <t>-</t>
        </is>
      </c>
      <c r="H4657" s="6" t="inlineStr"/>
      <c r="I4657" s="6" t="inlineStr"/>
      <c r="J4657" s="6" t="inlineStr"/>
      <c r="K4657" s="16" t="n">
        <v>12</v>
      </c>
      <c r="L4657" s="2" t="inlineStr">
        <is>
          <t>20260622800511</t>
        </is>
      </c>
      <c r="M4657" s="8">
        <f>HYPERLINK("https://dart.fss.or.kr/dsaf001/main.do?rcpNo=20260622800511", "공시열람")</f>
        <v/>
      </c>
    </row>
    <row r="4658" ht="22" customHeight="1">
      <c r="A4658" s="2" t="inlineStr">
        <is>
          <t>2026-06-22 (정정: 2026-06-24)</t>
        </is>
      </c>
      <c r="B4658" s="3" t="inlineStr">
        <is>
          <t>보로노이</t>
        </is>
      </c>
      <c r="C4658" s="2" t="inlineStr">
        <is>
          <t>310210</t>
        </is>
      </c>
      <c r="D4658" s="2" t="inlineStr">
        <is>
          <t>대량보유</t>
        </is>
      </c>
      <c r="E4658" s="3" t="inlineStr">
        <is>
          <t>-</t>
        </is>
      </c>
      <c r="F4658" s="3" t="inlineStr">
        <is>
          <t>보고자</t>
        </is>
      </c>
      <c r="G4658" s="3" t="inlineStr">
        <is>
          <t>-</t>
        </is>
      </c>
      <c r="H4658" s="6" t="inlineStr"/>
      <c r="I4658" s="6" t="inlineStr"/>
      <c r="J4658" s="6" t="inlineStr"/>
      <c r="K4658" s="18" t="inlineStr"/>
      <c r="L4658" s="2" t="inlineStr">
        <is>
          <t>20260624000449</t>
        </is>
      </c>
      <c r="M4658" s="8">
        <f>HYPERLINK("https://dart.fss.or.kr/dsaf001/main.do?rcpNo=20260624000449", "공시열람")</f>
        <v/>
      </c>
    </row>
    <row r="4659" ht="22" customHeight="1">
      <c r="A4659" s="2" t="inlineStr">
        <is>
          <t>2026-06-22</t>
        </is>
      </c>
      <c r="B4659" s="3" t="inlineStr">
        <is>
          <t>한중엔시에스</t>
        </is>
      </c>
      <c r="C4659" s="2" t="inlineStr">
        <is>
          <t>107640</t>
        </is>
      </c>
      <c r="D4659" s="2" t="inlineStr">
        <is>
          <t>대량보유</t>
        </is>
      </c>
      <c r="E4659" s="3" t="inlineStr">
        <is>
          <t>김환식</t>
        </is>
      </c>
      <c r="F4659" s="3" t="inlineStr">
        <is>
          <t>보고자</t>
        </is>
      </c>
      <c r="G4659" s="3" t="inlineStr">
        <is>
          <t>- 특별관계자 보유주식 담보(공탁) 계약</t>
        </is>
      </c>
      <c r="H4659" s="6" t="inlineStr"/>
      <c r="I4659" s="6" t="inlineStr"/>
      <c r="J4659" s="6" t="n">
        <v>3215300</v>
      </c>
      <c r="K4659" s="16" t="n">
        <v>8</v>
      </c>
      <c r="L4659" s="2" t="inlineStr">
        <is>
          <t>20260622000228</t>
        </is>
      </c>
      <c r="M4659" s="8">
        <f>HYPERLINK("https://dart.fss.or.kr/dsaf001/main.do?rcpNo=20260622000228", "공시열람")</f>
        <v/>
      </c>
    </row>
    <row r="4660" ht="22" customHeight="1">
      <c r="A4660" s="2" t="inlineStr">
        <is>
          <t>2026-06-22</t>
        </is>
      </c>
      <c r="B4660" s="3" t="inlineStr">
        <is>
          <t>신한제15호스팩</t>
        </is>
      </c>
      <c r="C4660" s="2" t="inlineStr">
        <is>
          <t>487830</t>
        </is>
      </c>
      <c r="D4660" s="2" t="inlineStr">
        <is>
          <t>대량보유</t>
        </is>
      </c>
      <c r="E4660" s="3" t="inlineStr">
        <is>
          <t>더블유자산운용</t>
        </is>
      </c>
      <c r="F4660" s="3" t="inlineStr">
        <is>
          <t>특별관계자</t>
        </is>
      </c>
      <c r="G4660" s="3" t="inlineStr">
        <is>
          <t>신규등록(+), 장내매도(-), 장내매수(+)</t>
        </is>
      </c>
      <c r="H4660" s="15" t="n">
        <v>228449</v>
      </c>
      <c r="I4660" s="6" t="n">
        <v>2023</v>
      </c>
      <c r="J4660" s="6" t="n">
        <v>228449</v>
      </c>
      <c r="K4660" s="16" t="n">
        <v>5.25</v>
      </c>
      <c r="L4660" s="2" t="inlineStr">
        <is>
          <t>20260622000222</t>
        </is>
      </c>
      <c r="M4660" s="8">
        <f>HYPERLINK("https://dart.fss.or.kr/dsaf001/main.do?rcpNo=20260622000222", "공시열람")</f>
        <v/>
      </c>
    </row>
    <row r="4661" ht="22" customHeight="1">
      <c r="A4661" s="2" t="inlineStr">
        <is>
          <t>2026-06-22</t>
        </is>
      </c>
      <c r="B4661" s="3" t="inlineStr">
        <is>
          <t>한세예스24홀딩스</t>
        </is>
      </c>
      <c r="C4661" s="2" t="inlineStr">
        <is>
          <t>016450</t>
        </is>
      </c>
      <c r="D4661" s="2" t="inlineStr">
        <is>
          <t>대량보유</t>
        </is>
      </c>
      <c r="E4661" s="3" t="inlineStr">
        <is>
          <t>김동녕</t>
        </is>
      </c>
      <c r="F4661" s="3" t="inlineStr">
        <is>
          <t>보고자</t>
        </is>
      </c>
      <c r="G4661" s="3" t="inlineStr">
        <is>
          <t>주식담보대출 연장</t>
        </is>
      </c>
      <c r="H4661" s="6" t="inlineStr"/>
      <c r="I4661" s="6" t="inlineStr"/>
      <c r="J4661" s="6" t="n">
        <v>31873085</v>
      </c>
      <c r="K4661" s="16" t="n">
        <v>20</v>
      </c>
      <c r="L4661" s="2" t="inlineStr">
        <is>
          <t>20260622000211</t>
        </is>
      </c>
      <c r="M4661" s="8">
        <f>HYPERLINK("https://dart.fss.or.kr/dsaf001/main.do?rcpNo=20260622000211", "공시열람")</f>
        <v/>
      </c>
    </row>
    <row r="4662" ht="22" customHeight="1">
      <c r="A4662" s="2" t="inlineStr">
        <is>
          <t>2026-06-22</t>
        </is>
      </c>
      <c r="B4662" s="3" t="inlineStr">
        <is>
          <t>한양이엔지</t>
        </is>
      </c>
      <c r="C4662" s="2" t="inlineStr">
        <is>
          <t>045100</t>
        </is>
      </c>
      <c r="D4662" s="2" t="inlineStr">
        <is>
          <t>대량보유</t>
        </is>
      </c>
      <c r="E4662" s="3" t="inlineStr">
        <is>
          <t>김윤상</t>
        </is>
      </c>
      <c r="F4662" s="3" t="inlineStr">
        <is>
          <t>특별관계자</t>
        </is>
      </c>
      <c r="G4662" s="3" t="inlineStr">
        <is>
          <t>기타(-)</t>
        </is>
      </c>
      <c r="H4662" s="17" t="n">
        <v>-360000</v>
      </c>
      <c r="I4662" s="6" t="inlineStr"/>
      <c r="J4662" s="6" t="n">
        <v>4191010</v>
      </c>
      <c r="K4662" s="16" t="n">
        <v>7</v>
      </c>
      <c r="L4662" s="2" t="inlineStr">
        <is>
          <t>20260622000206</t>
        </is>
      </c>
      <c r="M4662" s="8">
        <f>HYPERLINK("https://dart.fss.or.kr/dsaf001/main.do?rcpNo=20260622000206", "공시열람")</f>
        <v/>
      </c>
    </row>
    <row r="4663" ht="22" customHeight="1">
      <c r="A4663" s="2" t="inlineStr">
        <is>
          <t>2026-06-22</t>
        </is>
      </c>
      <c r="B4663" s="3" t="inlineStr">
        <is>
          <t>한양이엔지</t>
        </is>
      </c>
      <c r="C4663" s="2" t="inlineStr">
        <is>
          <t>045100</t>
        </is>
      </c>
      <c r="D4663" s="2" t="inlineStr">
        <is>
          <t>대량보유</t>
        </is>
      </c>
      <c r="E4663" s="3" t="inlineStr">
        <is>
          <t>한양이엔지사내근로복지기금</t>
        </is>
      </c>
      <c r="F4663" s="3" t="inlineStr">
        <is>
          <t>특별관계자</t>
        </is>
      </c>
      <c r="G4663" s="3" t="inlineStr">
        <is>
          <t>기타(+)</t>
        </is>
      </c>
      <c r="H4663" s="15" t="n">
        <v>360000</v>
      </c>
      <c r="I4663" s="6" t="inlineStr"/>
      <c r="J4663" s="6" t="n">
        <v>360000</v>
      </c>
      <c r="K4663" s="16" t="n">
        <v>7</v>
      </c>
      <c r="L4663" s="2" t="inlineStr">
        <is>
          <t>20260622000206</t>
        </is>
      </c>
      <c r="M4663" s="8">
        <f>HYPERLINK("https://dart.fss.or.kr/dsaf001/main.do?rcpNo=20260622000206", "공시열람")</f>
        <v/>
      </c>
    </row>
    <row r="4664" ht="22" customHeight="1">
      <c r="A4664" s="2" t="inlineStr">
        <is>
          <t>2026-06-22</t>
        </is>
      </c>
      <c r="B4664" s="3" t="inlineStr">
        <is>
          <t>비씨엔씨</t>
        </is>
      </c>
      <c r="C4664" s="2" t="inlineStr">
        <is>
          <t>146320</t>
        </is>
      </c>
      <c r="D4664" s="2" t="inlineStr">
        <is>
          <t>대량보유</t>
        </is>
      </c>
      <c r="E4664" s="3" t="inlineStr">
        <is>
          <t>김동석</t>
        </is>
      </c>
      <c r="F4664" s="3" t="inlineStr">
        <is>
          <t>특별관계자</t>
        </is>
      </c>
      <c r="G4664" s="3" t="inlineStr">
        <is>
          <t>장내매수(+)</t>
        </is>
      </c>
      <c r="H4664" s="15" t="n">
        <v>77000</v>
      </c>
      <c r="I4664" s="6" t="n">
        <v>13062</v>
      </c>
      <c r="J4664" s="6" t="n">
        <v>288630</v>
      </c>
      <c r="K4664" s="16" t="n">
        <v>3</v>
      </c>
      <c r="L4664" s="2" t="inlineStr">
        <is>
          <t>20260622000183</t>
        </is>
      </c>
      <c r="M4664" s="8">
        <f>HYPERLINK("https://dart.fss.or.kr/dsaf001/main.do?rcpNo=20260622000183", "공시열람")</f>
        <v/>
      </c>
    </row>
    <row r="4665" ht="22" customHeight="1">
      <c r="A4665" s="2" t="inlineStr">
        <is>
          <t>2026-06-22</t>
        </is>
      </c>
      <c r="B4665" s="3" t="inlineStr">
        <is>
          <t>케이티</t>
        </is>
      </c>
      <c r="C4665" s="2" t="inlineStr">
        <is>
          <t>030200</t>
        </is>
      </c>
      <c r="D4665" s="2" t="inlineStr">
        <is>
          <t>대량보유</t>
        </is>
      </c>
      <c r="E4665" s="3" t="inlineStr">
        <is>
          <t>WellingtonManagementCompanyLLP</t>
        </is>
      </c>
      <c r="F4665" s="3" t="inlineStr">
        <is>
          <t>특별관계자</t>
        </is>
      </c>
      <c r="G4665" s="3" t="inlineStr">
        <is>
          <t>장내매도(-), 장내매수(+), 장외매수(+), 장외매도(-)</t>
        </is>
      </c>
      <c r="H4665" s="15" t="n">
        <v>2987303</v>
      </c>
      <c r="I4665" s="6" t="n">
        <v>8318</v>
      </c>
      <c r="J4665" s="6" t="n">
        <v>12526188</v>
      </c>
      <c r="K4665" s="16" t="n">
        <v>5</v>
      </c>
      <c r="L4665" s="2" t="inlineStr">
        <is>
          <t>20260622000155</t>
        </is>
      </c>
      <c r="M4665" s="8">
        <f>HYPERLINK("https://dart.fss.or.kr/dsaf001/main.do?rcpNo=20260622000155", "공시열람")</f>
        <v/>
      </c>
    </row>
    <row r="4666" ht="22" customHeight="1">
      <c r="A4666" s="2" t="inlineStr">
        <is>
          <t>2026-06-22</t>
        </is>
      </c>
      <c r="B4666" s="3" t="inlineStr">
        <is>
          <t>케이티</t>
        </is>
      </c>
      <c r="C4666" s="2" t="inlineStr">
        <is>
          <t>030200</t>
        </is>
      </c>
      <c r="D4666" s="2" t="inlineStr">
        <is>
          <t>대량보유</t>
        </is>
      </c>
      <c r="E4666" s="3" t="inlineStr">
        <is>
          <t>WellingtonManagementInternationalLtd</t>
        </is>
      </c>
      <c r="F4666" s="3" t="inlineStr">
        <is>
          <t>특별관계자</t>
        </is>
      </c>
      <c r="G4666" s="3" t="inlineStr">
        <is>
          <t>장내매도(-), 장내매수(+), 장외매도(-), 장외매수(+)</t>
        </is>
      </c>
      <c r="H4666" s="17" t="n">
        <v>-267613</v>
      </c>
      <c r="I4666" s="6" t="n">
        <v>33514</v>
      </c>
      <c r="J4666" s="6" t="n">
        <v>227899</v>
      </c>
      <c r="K4666" s="16" t="n">
        <v>5</v>
      </c>
      <c r="L4666" s="2" t="inlineStr">
        <is>
          <t>20260622000155</t>
        </is>
      </c>
      <c r="M4666" s="8">
        <f>HYPERLINK("https://dart.fss.or.kr/dsaf001/main.do?rcpNo=20260622000155", "공시열람")</f>
        <v/>
      </c>
    </row>
    <row r="4667" ht="22" customHeight="1">
      <c r="A4667" s="2" t="inlineStr">
        <is>
          <t>2026-06-22</t>
        </is>
      </c>
      <c r="B4667" s="3" t="inlineStr">
        <is>
          <t>케이티</t>
        </is>
      </c>
      <c r="C4667" s="2" t="inlineStr">
        <is>
          <t>030200</t>
        </is>
      </c>
      <c r="D4667" s="2" t="inlineStr">
        <is>
          <t>대량보유</t>
        </is>
      </c>
      <c r="E4667" s="3" t="inlineStr">
        <is>
          <t>WellingtonManagementSingaporePte.Ltd.</t>
        </is>
      </c>
      <c r="F4667" s="3" t="inlineStr">
        <is>
          <t>특별관계자</t>
        </is>
      </c>
      <c r="G4667" s="3" t="inlineStr">
        <is>
          <t>장내매수(+), 장내매도(-), 장외매수(+), 장외매도(-)</t>
        </is>
      </c>
      <c r="H4667" s="15" t="n">
        <v>29083</v>
      </c>
      <c r="I4667" s="6" t="n">
        <v>2226</v>
      </c>
      <c r="J4667" s="6" t="n">
        <v>42096</v>
      </c>
      <c r="K4667" s="16" t="n">
        <v>5</v>
      </c>
      <c r="L4667" s="2" t="inlineStr">
        <is>
          <t>20260622000155</t>
        </is>
      </c>
      <c r="M4667" s="8">
        <f>HYPERLINK("https://dart.fss.or.kr/dsaf001/main.do?rcpNo=20260622000155", "공시열람")</f>
        <v/>
      </c>
    </row>
    <row r="4668" ht="22" customHeight="1">
      <c r="A4668" s="2" t="inlineStr">
        <is>
          <t>2026-06-22</t>
        </is>
      </c>
      <c r="B4668" s="3" t="inlineStr">
        <is>
          <t>케이티</t>
        </is>
      </c>
      <c r="C4668" s="2" t="inlineStr">
        <is>
          <t>030200</t>
        </is>
      </c>
      <c r="D4668" s="2" t="inlineStr">
        <is>
          <t>대량보유</t>
        </is>
      </c>
      <c r="E4668" s="3" t="inlineStr">
        <is>
          <t>WellingtonManagementHongKongLtd</t>
        </is>
      </c>
      <c r="F4668" s="3" t="inlineStr">
        <is>
          <t>특별관계자</t>
        </is>
      </c>
      <c r="G4668" s="3" t="inlineStr">
        <is>
          <t>장내매도(-), 장외매수(+), 장외매도(-)</t>
        </is>
      </c>
      <c r="H4668" s="17" t="n">
        <v>-107973</v>
      </c>
      <c r="I4668" s="6" t="n">
        <v>27</v>
      </c>
      <c r="J4668" s="6" t="n">
        <v>415690</v>
      </c>
      <c r="K4668" s="16" t="n">
        <v>5</v>
      </c>
      <c r="L4668" s="2" t="inlineStr">
        <is>
          <t>20260622000155</t>
        </is>
      </c>
      <c r="M4668" s="8">
        <f>HYPERLINK("https://dart.fss.or.kr/dsaf001/main.do?rcpNo=20260622000155", "공시열람")</f>
        <v/>
      </c>
    </row>
    <row r="4669" ht="22" customHeight="1">
      <c r="A4669" s="2" t="inlineStr">
        <is>
          <t>2026-06-22</t>
        </is>
      </c>
      <c r="B4669" s="3" t="inlineStr">
        <is>
          <t>케이티</t>
        </is>
      </c>
      <c r="C4669" s="2" t="inlineStr">
        <is>
          <t>030200</t>
        </is>
      </c>
      <c r="D4669" s="2" t="inlineStr">
        <is>
          <t>대량보유</t>
        </is>
      </c>
      <c r="E4669" s="3" t="inlineStr">
        <is>
          <t>WellingtonManagementEuropeGmbH</t>
        </is>
      </c>
      <c r="F4669" s="3" t="inlineStr">
        <is>
          <t>특별관계자</t>
        </is>
      </c>
      <c r="G4669" s="3" t="inlineStr">
        <is>
          <t>장외매수(+)</t>
        </is>
      </c>
      <c r="H4669" s="15" t="n">
        <v>2285</v>
      </c>
      <c r="I4669" s="6" t="n">
        <v>22</v>
      </c>
      <c r="J4669" s="6" t="n">
        <v>3233</v>
      </c>
      <c r="K4669" s="16" t="n">
        <v>5</v>
      </c>
      <c r="L4669" s="2" t="inlineStr">
        <is>
          <t>20260622000155</t>
        </is>
      </c>
      <c r="M4669" s="8">
        <f>HYPERLINK("https://dart.fss.or.kr/dsaf001/main.do?rcpNo=20260622000155", "공시열람")</f>
        <v/>
      </c>
    </row>
    <row r="4670" ht="22" customHeight="1">
      <c r="A4670" s="2" t="inlineStr">
        <is>
          <t>2026-06-22</t>
        </is>
      </c>
      <c r="B4670" s="3" t="inlineStr">
        <is>
          <t>보령</t>
        </is>
      </c>
      <c r="C4670" s="2" t="inlineStr">
        <is>
          <t>003850</t>
        </is>
      </c>
      <c r="D4670" s="2" t="inlineStr">
        <is>
          <t>대량보유</t>
        </is>
      </c>
      <c r="E4670" s="3" t="inlineStr">
        <is>
          <t>(주)보령홀딩스</t>
        </is>
      </c>
      <c r="F4670" s="3" t="inlineStr">
        <is>
          <t>보고자</t>
        </is>
      </c>
      <c r="G4670" s="3" t="inlineStr">
        <is>
          <t>보고자의 주식담보대출 계약</t>
        </is>
      </c>
      <c r="H4670" s="6" t="inlineStr"/>
      <c r="I4670" s="6" t="inlineStr"/>
      <c r="J4670" s="6" t="n">
        <v>55933042</v>
      </c>
      <c r="K4670" s="16" t="n">
        <v>10</v>
      </c>
      <c r="L4670" s="2" t="inlineStr">
        <is>
          <t>20260622000146</t>
        </is>
      </c>
      <c r="M4670" s="8">
        <f>HYPERLINK("https://dart.fss.or.kr/dsaf001/main.do?rcpNo=20260622000146", "공시열람")</f>
        <v/>
      </c>
    </row>
    <row r="4671" ht="22" customHeight="1">
      <c r="A4671" s="2" t="inlineStr">
        <is>
          <t>2026-06-22</t>
        </is>
      </c>
      <c r="B4671" s="3" t="inlineStr">
        <is>
          <t>대림통상</t>
        </is>
      </c>
      <c r="C4671" s="2" t="inlineStr">
        <is>
          <t>006570</t>
        </is>
      </c>
      <c r="D4671" s="2" t="inlineStr">
        <is>
          <t>대량보유</t>
        </is>
      </c>
      <c r="E4671" s="3" t="inlineStr">
        <is>
          <t>디앤디파트너스(주)</t>
        </is>
      </c>
      <c r="F4671" s="3" t="inlineStr">
        <is>
          <t>특별관계자</t>
        </is>
      </c>
      <c r="G4671" s="3" t="inlineStr">
        <is>
          <t>장내매수(+)</t>
        </is>
      </c>
      <c r="H4671" s="15" t="n">
        <v>10000</v>
      </c>
      <c r="I4671" s="6" t="n">
        <v>1921</v>
      </c>
      <c r="J4671" s="6" t="n">
        <v>6022474</v>
      </c>
      <c r="K4671" s="16" t="n">
        <v>4</v>
      </c>
      <c r="L4671" s="2" t="inlineStr">
        <is>
          <t>20260622000113</t>
        </is>
      </c>
      <c r="M4671" s="8">
        <f>HYPERLINK("https://dart.fss.or.kr/dsaf001/main.do?rcpNo=20260622000113", "공시열람")</f>
        <v/>
      </c>
    </row>
    <row r="4672" ht="22" customHeight="1">
      <c r="A4672" s="2" t="inlineStr">
        <is>
          <t>2026-06-22</t>
        </is>
      </c>
      <c r="B4672" s="3" t="inlineStr">
        <is>
          <t>대림통상</t>
        </is>
      </c>
      <c r="C4672" s="2" t="inlineStr">
        <is>
          <t>006570</t>
        </is>
      </c>
      <c r="D4672" s="2" t="inlineStr">
        <is>
          <t>임원보고</t>
        </is>
      </c>
      <c r="E4672" s="3" t="inlineStr">
        <is>
          <t>-</t>
        </is>
      </c>
      <c r="F4672" s="3" t="inlineStr">
        <is>
          <t>-</t>
        </is>
      </c>
      <c r="G4672" s="3" t="inlineStr">
        <is>
          <t>-</t>
        </is>
      </c>
      <c r="H4672" s="6" t="inlineStr"/>
      <c r="I4672" s="6" t="inlineStr"/>
      <c r="J4672" s="6" t="inlineStr"/>
      <c r="K4672" s="16" t="n">
        <v>12</v>
      </c>
      <c r="L4672" s="2" t="inlineStr">
        <is>
          <t>20260622800306</t>
        </is>
      </c>
      <c r="M4672" s="8">
        <f>HYPERLINK("https://dart.fss.or.kr/dsaf001/main.do?rcpNo=20260622800306", "공시열람")</f>
        <v/>
      </c>
    </row>
    <row r="4673" ht="22" customHeight="1">
      <c r="A4673" s="2" t="inlineStr">
        <is>
          <t>2026-06-22</t>
        </is>
      </c>
      <c r="B4673" s="3" t="inlineStr">
        <is>
          <t>휴럼</t>
        </is>
      </c>
      <c r="C4673" s="2" t="inlineStr">
        <is>
          <t>353190</t>
        </is>
      </c>
      <c r="D4673" s="2" t="inlineStr">
        <is>
          <t>대량보유</t>
        </is>
      </c>
      <c r="E4673" s="3" t="inlineStr">
        <is>
          <t>김진석</t>
        </is>
      </c>
      <c r="F4673" s="3" t="inlineStr">
        <is>
          <t>특별관계자</t>
        </is>
      </c>
      <c r="G4673" s="3" t="inlineStr">
        <is>
          <t>주식병합, 증여(-)</t>
        </is>
      </c>
      <c r="H4673" s="17" t="n">
        <v>-10131202</v>
      </c>
      <c r="I4673" s="6" t="inlineStr"/>
      <c r="J4673" s="6" t="n">
        <v>2157800</v>
      </c>
      <c r="K4673" s="16" t="n">
        <v>5</v>
      </c>
      <c r="L4673" s="2" t="inlineStr">
        <is>
          <t>20260622000102</t>
        </is>
      </c>
      <c r="M4673" s="8">
        <f>HYPERLINK("https://dart.fss.or.kr/dsaf001/main.do?rcpNo=20260622000102", "공시열람")</f>
        <v/>
      </c>
    </row>
    <row r="4674" ht="22" customHeight="1">
      <c r="A4674" s="2" t="inlineStr">
        <is>
          <t>2026-06-22</t>
        </is>
      </c>
      <c r="B4674" s="3" t="inlineStr">
        <is>
          <t>휴럼</t>
        </is>
      </c>
      <c r="C4674" s="2" t="inlineStr">
        <is>
          <t>353190</t>
        </is>
      </c>
      <c r="D4674" s="2" t="inlineStr">
        <is>
          <t>대량보유</t>
        </is>
      </c>
      <c r="E4674" s="3" t="inlineStr">
        <is>
          <t>김진성</t>
        </is>
      </c>
      <c r="F4674" s="3" t="inlineStr">
        <is>
          <t>특별관계자</t>
        </is>
      </c>
      <c r="G4674" s="3" t="inlineStr">
        <is>
          <t>주식병합, 장내매수(+)</t>
        </is>
      </c>
      <c r="H4674" s="17" t="n">
        <v>-1967329</v>
      </c>
      <c r="I4674" s="6" t="n">
        <v>3352</v>
      </c>
      <c r="J4674" s="6" t="n">
        <v>547707</v>
      </c>
      <c r="K4674" s="16" t="n">
        <v>5</v>
      </c>
      <c r="L4674" s="2" t="inlineStr">
        <is>
          <t>20260622000102</t>
        </is>
      </c>
      <c r="M4674" s="8">
        <f>HYPERLINK("https://dart.fss.or.kr/dsaf001/main.do?rcpNo=20260622000102", "공시열람")</f>
        <v/>
      </c>
    </row>
    <row r="4675" ht="22" customHeight="1">
      <c r="A4675" s="2" t="inlineStr">
        <is>
          <t>2026-06-22</t>
        </is>
      </c>
      <c r="B4675" s="3" t="inlineStr">
        <is>
          <t>휴럼</t>
        </is>
      </c>
      <c r="C4675" s="2" t="inlineStr">
        <is>
          <t>353190</t>
        </is>
      </c>
      <c r="D4675" s="2" t="inlineStr">
        <is>
          <t>대량보유</t>
        </is>
      </c>
      <c r="E4675" s="3" t="inlineStr">
        <is>
          <t>최은영</t>
        </is>
      </c>
      <c r="F4675" s="3" t="inlineStr">
        <is>
          <t>특별관계자</t>
        </is>
      </c>
      <c r="G4675" s="3" t="inlineStr">
        <is>
          <t>수증(+)</t>
        </is>
      </c>
      <c r="H4675" s="15" t="n">
        <v>150000</v>
      </c>
      <c r="I4675" s="6" t="inlineStr"/>
      <c r="J4675" s="6" t="n">
        <v>150000</v>
      </c>
      <c r="K4675" s="16" t="n">
        <v>5</v>
      </c>
      <c r="L4675" s="2" t="inlineStr">
        <is>
          <t>20260622000102</t>
        </is>
      </c>
      <c r="M4675" s="8">
        <f>HYPERLINK("https://dart.fss.or.kr/dsaf001/main.do?rcpNo=20260622000102", "공시열람")</f>
        <v/>
      </c>
    </row>
    <row r="4676" ht="22" customHeight="1">
      <c r="A4676" s="2" t="inlineStr">
        <is>
          <t>2026-06-22</t>
        </is>
      </c>
      <c r="B4676" s="3" t="inlineStr">
        <is>
          <t>휴럼</t>
        </is>
      </c>
      <c r="C4676" s="2" t="inlineStr">
        <is>
          <t>353190</t>
        </is>
      </c>
      <c r="D4676" s="2" t="inlineStr">
        <is>
          <t>대량보유</t>
        </is>
      </c>
      <c r="E4676" s="3" t="inlineStr">
        <is>
          <t>김정연</t>
        </is>
      </c>
      <c r="F4676" s="3" t="inlineStr">
        <is>
          <t>특별관계자</t>
        </is>
      </c>
      <c r="G4676" s="3" t="inlineStr">
        <is>
          <t>수증(+)</t>
        </is>
      </c>
      <c r="H4676" s="15" t="n">
        <v>63000</v>
      </c>
      <c r="I4676" s="6" t="inlineStr"/>
      <c r="J4676" s="6" t="n">
        <v>63000</v>
      </c>
      <c r="K4676" s="16" t="n">
        <v>5</v>
      </c>
      <c r="L4676" s="2" t="inlineStr">
        <is>
          <t>20260622000102</t>
        </is>
      </c>
      <c r="M4676" s="8">
        <f>HYPERLINK("https://dart.fss.or.kr/dsaf001/main.do?rcpNo=20260622000102", "공시열람")</f>
        <v/>
      </c>
    </row>
    <row r="4677" ht="22" customHeight="1">
      <c r="A4677" s="2" t="inlineStr">
        <is>
          <t>2026-06-22</t>
        </is>
      </c>
      <c r="B4677" s="3" t="inlineStr">
        <is>
          <t>휴럼</t>
        </is>
      </c>
      <c r="C4677" s="2" t="inlineStr">
        <is>
          <t>353190</t>
        </is>
      </c>
      <c r="D4677" s="2" t="inlineStr">
        <is>
          <t>대량보유</t>
        </is>
      </c>
      <c r="E4677" s="3" t="inlineStr">
        <is>
          <t>김성연</t>
        </is>
      </c>
      <c r="F4677" s="3" t="inlineStr">
        <is>
          <t>특별관계자</t>
        </is>
      </c>
      <c r="G4677" s="3" t="inlineStr">
        <is>
          <t>수증(+)</t>
        </is>
      </c>
      <c r="H4677" s="15" t="n">
        <v>63000</v>
      </c>
      <c r="I4677" s="6" t="inlineStr"/>
      <c r="J4677" s="6" t="n">
        <v>63000</v>
      </c>
      <c r="K4677" s="16" t="n">
        <v>5</v>
      </c>
      <c r="L4677" s="2" t="inlineStr">
        <is>
          <t>20260622000102</t>
        </is>
      </c>
      <c r="M4677" s="8">
        <f>HYPERLINK("https://dart.fss.or.kr/dsaf001/main.do?rcpNo=20260622000102", "공시열람")</f>
        <v/>
      </c>
    </row>
    <row r="4678" ht="22" customHeight="1">
      <c r="A4678" s="2" t="inlineStr">
        <is>
          <t>2026-06-22</t>
        </is>
      </c>
      <c r="B4678" s="3" t="inlineStr">
        <is>
          <t>휴럼</t>
        </is>
      </c>
      <c r="C4678" s="2" t="inlineStr">
        <is>
          <t>353190</t>
        </is>
      </c>
      <c r="D4678" s="2" t="inlineStr">
        <is>
          <t>대량보유</t>
        </is>
      </c>
      <c r="E4678" s="3" t="inlineStr">
        <is>
          <t>송민주</t>
        </is>
      </c>
      <c r="F4678" s="3" t="inlineStr">
        <is>
          <t>특별관계자</t>
        </is>
      </c>
      <c r="G4678" s="3" t="inlineStr">
        <is>
          <t>수증(+)</t>
        </is>
      </c>
      <c r="H4678" s="15" t="n">
        <v>12000</v>
      </c>
      <c r="I4678" s="6" t="inlineStr"/>
      <c r="J4678" s="6" t="n">
        <v>12000</v>
      </c>
      <c r="K4678" s="16" t="n">
        <v>5</v>
      </c>
      <c r="L4678" s="2" t="inlineStr">
        <is>
          <t>20260622000102</t>
        </is>
      </c>
      <c r="M4678" s="8">
        <f>HYPERLINK("https://dart.fss.or.kr/dsaf001/main.do?rcpNo=20260622000102", "공시열람")</f>
        <v/>
      </c>
    </row>
    <row r="4679" ht="22" customHeight="1">
      <c r="A4679" s="2" t="inlineStr">
        <is>
          <t>2026-06-22</t>
        </is>
      </c>
      <c r="B4679" s="3" t="inlineStr">
        <is>
          <t>스페코</t>
        </is>
      </c>
      <c r="C4679" s="2" t="inlineStr">
        <is>
          <t>013810</t>
        </is>
      </c>
      <c r="D4679" s="2" t="inlineStr">
        <is>
          <t>대량보유</t>
        </is>
      </c>
      <c r="E4679" s="3" t="inlineStr">
        <is>
          <t>김종섭</t>
        </is>
      </c>
      <c r="F4679" s="3" t="inlineStr">
        <is>
          <t>보고자</t>
        </is>
      </c>
      <c r="G4679" s="3" t="inlineStr">
        <is>
          <t>주식 담보대출 계약변경</t>
        </is>
      </c>
      <c r="H4679" s="6" t="inlineStr"/>
      <c r="I4679" s="6" t="inlineStr"/>
      <c r="J4679" s="6" t="n">
        <v>4917071</v>
      </c>
      <c r="K4679" s="16" t="n">
        <v>33.55</v>
      </c>
      <c r="L4679" s="2" t="inlineStr">
        <is>
          <t>20260622000095</t>
        </is>
      </c>
      <c r="M4679" s="8">
        <f>HYPERLINK("https://dart.fss.or.kr/dsaf001/main.do?rcpNo=20260622000095", "공시열람")</f>
        <v/>
      </c>
    </row>
    <row r="4680" ht="22" customHeight="1">
      <c r="A4680" s="2" t="inlineStr">
        <is>
          <t>2026-06-22 (정정: 2026-06-26)</t>
        </is>
      </c>
      <c r="B4680" s="3" t="inlineStr">
        <is>
          <t>힘스</t>
        </is>
      </c>
      <c r="C4680" s="2" t="inlineStr">
        <is>
          <t>238490</t>
        </is>
      </c>
      <c r="D4680" s="2" t="inlineStr">
        <is>
          <t>대량보유</t>
        </is>
      </c>
      <c r="E4680" s="3" t="inlineStr">
        <is>
          <t>-</t>
        </is>
      </c>
      <c r="F4680" s="3" t="inlineStr">
        <is>
          <t>보고자</t>
        </is>
      </c>
      <c r="G4680" s="3" t="inlineStr">
        <is>
          <t>-</t>
        </is>
      </c>
      <c r="H4680" s="6" t="inlineStr"/>
      <c r="I4680" s="6" t="inlineStr"/>
      <c r="J4680" s="6" t="inlineStr"/>
      <c r="K4680" s="18" t="inlineStr"/>
      <c r="L4680" s="2" t="inlineStr">
        <is>
          <t>20260626000019</t>
        </is>
      </c>
      <c r="M4680" s="8">
        <f>HYPERLINK("https://dart.fss.or.kr/dsaf001/main.do?rcpNo=20260626000019", "공시열람")</f>
        <v/>
      </c>
    </row>
    <row r="4681" ht="22" customHeight="1">
      <c r="A4681" s="2" t="inlineStr">
        <is>
          <t>2026-06-22</t>
        </is>
      </c>
      <c r="B4681" s="3" t="inlineStr">
        <is>
          <t>신성이엔지</t>
        </is>
      </c>
      <c r="C4681" s="2" t="inlineStr">
        <is>
          <t>011930</t>
        </is>
      </c>
      <c r="D4681" s="2" t="inlineStr">
        <is>
          <t>임원보고</t>
        </is>
      </c>
      <c r="E4681" s="3" t="inlineStr">
        <is>
          <t>-</t>
        </is>
      </c>
      <c r="F4681" s="3" t="inlineStr">
        <is>
          <t>-</t>
        </is>
      </c>
      <c r="G4681" s="3" t="inlineStr">
        <is>
          <t>-</t>
        </is>
      </c>
      <c r="H4681" s="6" t="inlineStr"/>
      <c r="I4681" s="6" t="inlineStr"/>
      <c r="J4681" s="6" t="inlineStr"/>
      <c r="K4681" s="16" t="n">
        <v>12</v>
      </c>
      <c r="L4681" s="2" t="inlineStr">
        <is>
          <t>20260622800269</t>
        </is>
      </c>
      <c r="M4681" s="8">
        <f>HYPERLINK("https://dart.fss.or.kr/dsaf001/main.do?rcpNo=20260622800269", "공시열람")</f>
        <v/>
      </c>
    </row>
    <row r="4682" ht="22" customHeight="1">
      <c r="A4682" s="2" t="inlineStr">
        <is>
          <t>2026-06-22</t>
        </is>
      </c>
      <c r="B4682" s="3" t="inlineStr">
        <is>
          <t>HLB글로벌</t>
        </is>
      </c>
      <c r="C4682" s="2" t="inlineStr">
        <is>
          <t>003580</t>
        </is>
      </c>
      <c r="D4682" s="2" t="inlineStr">
        <is>
          <t>임원보고</t>
        </is>
      </c>
      <c r="E4682" s="3" t="inlineStr">
        <is>
          <t>-</t>
        </is>
      </c>
      <c r="F4682" s="3" t="inlineStr">
        <is>
          <t>-</t>
        </is>
      </c>
      <c r="G4682" s="3" t="inlineStr">
        <is>
          <t>-</t>
        </is>
      </c>
      <c r="H4682" s="6" t="inlineStr"/>
      <c r="I4682" s="6" t="inlineStr"/>
      <c r="J4682" s="6" t="inlineStr"/>
      <c r="K4682" s="16" t="n">
        <v>12</v>
      </c>
      <c r="L4682" s="2" t="inlineStr">
        <is>
          <t>20260622800257</t>
        </is>
      </c>
      <c r="M4682" s="8">
        <f>HYPERLINK("https://dart.fss.or.kr/dsaf001/main.do?rcpNo=20260622800257", "공시열람")</f>
        <v/>
      </c>
    </row>
    <row r="4683" ht="22" customHeight="1">
      <c r="A4683" s="2" t="inlineStr">
        <is>
          <t>2026-06-22</t>
        </is>
      </c>
      <c r="B4683" s="3" t="inlineStr">
        <is>
          <t>조이시티</t>
        </is>
      </c>
      <c r="C4683" s="2" t="inlineStr">
        <is>
          <t>067000</t>
        </is>
      </c>
      <c r="D4683" s="2" t="inlineStr">
        <is>
          <t>대량보유</t>
        </is>
      </c>
      <c r="E4683" s="3" t="inlineStr">
        <is>
          <t>조한서</t>
        </is>
      </c>
      <c r="F4683" s="3" t="inlineStr">
        <is>
          <t>특별관계자</t>
        </is>
      </c>
      <c r="G4683" s="3" t="inlineStr">
        <is>
          <t>장내매수(+)</t>
        </is>
      </c>
      <c r="H4683" s="15" t="n">
        <v>100000</v>
      </c>
      <c r="I4683" s="6" t="n">
        <v>1120</v>
      </c>
      <c r="J4683" s="6" t="n">
        <v>335000</v>
      </c>
      <c r="K4683" s="16" t="n">
        <v>4</v>
      </c>
      <c r="L4683" s="2" t="inlineStr">
        <is>
          <t>20260622000063</t>
        </is>
      </c>
      <c r="M4683" s="8">
        <f>HYPERLINK("https://dart.fss.or.kr/dsaf001/main.do?rcpNo=20260622000063", "공시열람")</f>
        <v/>
      </c>
    </row>
    <row r="4684" ht="22" customHeight="1">
      <c r="A4684" s="2" t="inlineStr">
        <is>
          <t>2026-06-22</t>
        </is>
      </c>
      <c r="B4684" s="3" t="inlineStr">
        <is>
          <t>케이엠제약</t>
        </is>
      </c>
      <c r="C4684" s="2" t="inlineStr">
        <is>
          <t>225430</t>
        </is>
      </c>
      <c r="D4684" s="2" t="inlineStr">
        <is>
          <t>대량보유</t>
        </is>
      </c>
      <c r="E4684" s="3" t="inlineStr">
        <is>
          <t>강일모</t>
        </is>
      </c>
      <c r="F4684" s="3" t="inlineStr">
        <is>
          <t>특별관계자</t>
        </is>
      </c>
      <c r="G4684" s="3" t="inlineStr">
        <is>
          <t>장내매수(+)</t>
        </is>
      </c>
      <c r="H4684" s="15" t="n">
        <v>1490</v>
      </c>
      <c r="I4684" s="6" t="n">
        <v>2044</v>
      </c>
      <c r="J4684" s="6" t="n">
        <v>2099542</v>
      </c>
      <c r="K4684" s="16" t="n">
        <v>4</v>
      </c>
      <c r="L4684" s="2" t="inlineStr">
        <is>
          <t>20260622000045</t>
        </is>
      </c>
      <c r="M4684" s="8">
        <f>HYPERLINK("https://dart.fss.or.kr/dsaf001/main.do?rcpNo=20260622000045", "공시열람")</f>
        <v/>
      </c>
    </row>
    <row r="4685" ht="22" customHeight="1">
      <c r="A4685" s="2" t="inlineStr">
        <is>
          <t>2026-06-22</t>
        </is>
      </c>
      <c r="B4685" s="3" t="inlineStr">
        <is>
          <t>천보</t>
        </is>
      </c>
      <c r="C4685" s="2" t="inlineStr">
        <is>
          <t>278280</t>
        </is>
      </c>
      <c r="D4685" s="2" t="inlineStr">
        <is>
          <t>대량보유</t>
        </is>
      </c>
      <c r="E4685" s="3" t="inlineStr">
        <is>
          <t>이상율</t>
        </is>
      </c>
      <c r="F4685" s="3" t="inlineStr">
        <is>
          <t>특별관계자</t>
        </is>
      </c>
      <c r="G4685" s="3" t="inlineStr">
        <is>
          <t>장내매수(+)</t>
        </is>
      </c>
      <c r="H4685" s="15" t="n">
        <v>39720</v>
      </c>
      <c r="I4685" s="6" t="n">
        <v>40537</v>
      </c>
      <c r="J4685" s="6" t="n">
        <v>3339720</v>
      </c>
      <c r="K4685" s="16" t="n">
        <v>14</v>
      </c>
      <c r="L4685" s="2" t="inlineStr">
        <is>
          <t>20260622000025</t>
        </is>
      </c>
      <c r="M4685" s="8">
        <f>HYPERLINK("https://dart.fss.or.kr/dsaf001/main.do?rcpNo=20260622000025", "공시열람")</f>
        <v/>
      </c>
    </row>
    <row r="4686" ht="22" customHeight="1">
      <c r="A4686" s="2" t="inlineStr">
        <is>
          <t>2026-06-22</t>
        </is>
      </c>
      <c r="B4686" s="3" t="inlineStr">
        <is>
          <t>천보</t>
        </is>
      </c>
      <c r="C4686" s="2" t="inlineStr">
        <is>
          <t>278280</t>
        </is>
      </c>
      <c r="D4686" s="2" t="inlineStr">
        <is>
          <t>대량보유</t>
        </is>
      </c>
      <c r="E4686" s="3" t="inlineStr">
        <is>
          <t>천보정밀</t>
        </is>
      </c>
      <c r="F4686" s="3" t="inlineStr">
        <is>
          <t>특별관계자</t>
        </is>
      </c>
      <c r="G4686" s="3" t="inlineStr">
        <is>
          <t>장내매수(+)</t>
        </is>
      </c>
      <c r="H4686" s="15" t="n">
        <v>20470</v>
      </c>
      <c r="I4686" s="6" t="n">
        <v>40603</v>
      </c>
      <c r="J4686" s="6" t="n">
        <v>120470</v>
      </c>
      <c r="K4686" s="16" t="n">
        <v>14</v>
      </c>
      <c r="L4686" s="2" t="inlineStr">
        <is>
          <t>20260622000025</t>
        </is>
      </c>
      <c r="M4686" s="8">
        <f>HYPERLINK("https://dart.fss.or.kr/dsaf001/main.do?rcpNo=20260622000025", "공시열람")</f>
        <v/>
      </c>
    </row>
    <row r="4687" ht="22" customHeight="1">
      <c r="A4687" s="2" t="inlineStr">
        <is>
          <t>2026-06-22</t>
        </is>
      </c>
      <c r="B4687" s="3" t="inlineStr">
        <is>
          <t>에이엘티</t>
        </is>
      </c>
      <c r="C4687" s="2" t="inlineStr">
        <is>
          <t>172670</t>
        </is>
      </c>
      <c r="D4687" s="2" t="inlineStr">
        <is>
          <t>대량보유</t>
        </is>
      </c>
      <c r="E4687" s="3" t="inlineStr">
        <is>
          <t>이은철</t>
        </is>
      </c>
      <c r="F4687" s="3" t="inlineStr">
        <is>
          <t>특별관계자</t>
        </is>
      </c>
      <c r="G4687" s="3" t="inlineStr">
        <is>
          <t>장내매수(+)</t>
        </is>
      </c>
      <c r="H4687" s="15" t="n">
        <v>3000</v>
      </c>
      <c r="I4687" s="6" t="n">
        <v>13080</v>
      </c>
      <c r="J4687" s="6" t="n">
        <v>6000</v>
      </c>
      <c r="K4687" s="16" t="n">
        <v>10</v>
      </c>
      <c r="L4687" s="2" t="inlineStr">
        <is>
          <t>20260622000010</t>
        </is>
      </c>
      <c r="M4687" s="8">
        <f>HYPERLINK("https://dart.fss.or.kr/dsaf001/main.do?rcpNo=20260622000010", "공시열람")</f>
        <v/>
      </c>
    </row>
    <row r="4688" ht="22" customHeight="1">
      <c r="A4688" s="2" t="inlineStr">
        <is>
          <t>2026-06-23</t>
        </is>
      </c>
      <c r="B4688" s="3" t="inlineStr">
        <is>
          <t>하나머티리얼즈</t>
        </is>
      </c>
      <c r="C4688" s="2" t="inlineStr">
        <is>
          <t>166090</t>
        </is>
      </c>
      <c r="D4688" s="2" t="inlineStr">
        <is>
          <t>대량보유</t>
        </is>
      </c>
      <c r="E4688" s="3" t="inlineStr">
        <is>
          <t>하나마이크론 주식회사</t>
        </is>
      </c>
      <c r="F4688" s="3" t="inlineStr">
        <is>
          <t>보고자</t>
        </is>
      </c>
      <c r="G4688" s="3" t="inlineStr">
        <is>
          <t>- 주식담보대출 계약변경</t>
        </is>
      </c>
      <c r="H4688" s="6" t="inlineStr"/>
      <c r="I4688" s="6" t="inlineStr"/>
      <c r="J4688" s="6" t="n">
        <v>8957208</v>
      </c>
      <c r="K4688" s="16" t="n">
        <v>7</v>
      </c>
      <c r="L4688" s="2" t="inlineStr">
        <is>
          <t>20260623000397</t>
        </is>
      </c>
      <c r="M4688" s="8">
        <f>HYPERLINK("https://dart.fss.or.kr/dsaf001/main.do?rcpNo=20260623000397", "공시열람")</f>
        <v/>
      </c>
    </row>
    <row r="4689" ht="22" customHeight="1">
      <c r="A4689" s="2" t="inlineStr">
        <is>
          <t>2026-06-23</t>
        </is>
      </c>
      <c r="B4689" s="3" t="inlineStr">
        <is>
          <t>동원금속</t>
        </is>
      </c>
      <c r="C4689" s="2" t="inlineStr">
        <is>
          <t>018500</t>
        </is>
      </c>
      <c r="D4689" s="2" t="inlineStr">
        <is>
          <t>임원보고</t>
        </is>
      </c>
      <c r="E4689" s="3" t="inlineStr">
        <is>
          <t>-</t>
        </is>
      </c>
      <c r="F4689" s="3" t="inlineStr">
        <is>
          <t>-</t>
        </is>
      </c>
      <c r="G4689" s="3" t="inlineStr">
        <is>
          <t>-</t>
        </is>
      </c>
      <c r="H4689" s="6" t="inlineStr"/>
      <c r="I4689" s="6" t="inlineStr"/>
      <c r="J4689" s="6" t="inlineStr"/>
      <c r="K4689" s="16" t="n">
        <v>12</v>
      </c>
      <c r="L4689" s="2" t="inlineStr">
        <is>
          <t>20260623800722</t>
        </is>
      </c>
      <c r="M4689" s="8">
        <f>HYPERLINK("https://dart.fss.or.kr/dsaf001/main.do?rcpNo=20260623800722", "공시열람")</f>
        <v/>
      </c>
    </row>
    <row r="4690" ht="22" customHeight="1">
      <c r="A4690" s="2" t="inlineStr">
        <is>
          <t>2026-06-23</t>
        </is>
      </c>
      <c r="B4690" s="3" t="inlineStr">
        <is>
          <t>부국증권</t>
        </is>
      </c>
      <c r="C4690" s="2" t="inlineStr">
        <is>
          <t>001270</t>
        </is>
      </c>
      <c r="D4690" s="2" t="inlineStr">
        <is>
          <t>대량보유</t>
        </is>
      </c>
      <c r="E4690" s="3" t="inlineStr">
        <is>
          <t>이진우</t>
        </is>
      </c>
      <c r="F4690" s="3" t="inlineStr">
        <is>
          <t>특별관계자</t>
        </is>
      </c>
      <c r="G4690" s="3" t="inlineStr">
        <is>
          <t>장내매수(+)</t>
        </is>
      </c>
      <c r="H4690" s="15" t="n">
        <v>587</v>
      </c>
      <c r="I4690" s="6" t="n">
        <v>57120</v>
      </c>
      <c r="J4690" s="6" t="n">
        <v>71510</v>
      </c>
      <c r="K4690" s="16" t="n">
        <v>9</v>
      </c>
      <c r="L4690" s="2" t="inlineStr">
        <is>
          <t>20260623000383</t>
        </is>
      </c>
      <c r="M4690" s="8">
        <f>HYPERLINK("https://dart.fss.or.kr/dsaf001/main.do?rcpNo=20260623000383", "공시열람")</f>
        <v/>
      </c>
    </row>
    <row r="4691" ht="22" customHeight="1">
      <c r="A4691" s="2" t="inlineStr">
        <is>
          <t>2026-06-23</t>
        </is>
      </c>
      <c r="B4691" s="3" t="inlineStr">
        <is>
          <t>금양그린파워</t>
        </is>
      </c>
      <c r="C4691" s="2" t="inlineStr">
        <is>
          <t>282720</t>
        </is>
      </c>
      <c r="D4691" s="2" t="inlineStr">
        <is>
          <t>대량보유</t>
        </is>
      </c>
      <c r="E4691" s="3" t="inlineStr">
        <is>
          <t>이윤철</t>
        </is>
      </c>
      <c r="F4691" s="3" t="inlineStr">
        <is>
          <t>보고자</t>
        </is>
      </c>
      <c r="G4691" s="3" t="inlineStr">
        <is>
          <t>특별관계자의 보유주식등에 관한 담보계약 갱신</t>
        </is>
      </c>
      <c r="H4691" s="6" t="inlineStr"/>
      <c r="I4691" s="6" t="inlineStr"/>
      <c r="J4691" s="6" t="n">
        <v>6922462</v>
      </c>
      <c r="K4691" s="16" t="n">
        <v>20</v>
      </c>
      <c r="L4691" s="2" t="inlineStr">
        <is>
          <t>20260623000379</t>
        </is>
      </c>
      <c r="M4691" s="8">
        <f>HYPERLINK("https://dart.fss.or.kr/dsaf001/main.do?rcpNo=20260623000379", "공시열람")</f>
        <v/>
      </c>
    </row>
    <row r="4692" ht="22" customHeight="1">
      <c r="A4692" s="2" t="inlineStr">
        <is>
          <t>2026-06-23</t>
        </is>
      </c>
      <c r="B4692" s="3" t="inlineStr">
        <is>
          <t>코스모로보틱스</t>
        </is>
      </c>
      <c r="C4692" s="2" t="inlineStr">
        <is>
          <t>439960</t>
        </is>
      </c>
      <c r="D4692" s="2" t="inlineStr">
        <is>
          <t>대량보유</t>
        </is>
      </c>
      <c r="E4692" s="3" t="inlineStr">
        <is>
          <t>리네아-NBH신기술투자조합제2호</t>
        </is>
      </c>
      <c r="F4692" s="3" t="inlineStr">
        <is>
          <t>특별관계자</t>
        </is>
      </c>
      <c r="G4692" s="3" t="inlineStr">
        <is>
          <t>시간외매매(-)</t>
        </is>
      </c>
      <c r="H4692" s="17" t="n">
        <v>-285000</v>
      </c>
      <c r="I4692" s="6" t="n">
        <v>21560</v>
      </c>
      <c r="J4692" s="6" t="n">
        <v>2137500</v>
      </c>
      <c r="K4692" s="16" t="n">
        <v>4</v>
      </c>
      <c r="L4692" s="2" t="inlineStr">
        <is>
          <t>20260623000378</t>
        </is>
      </c>
      <c r="M4692" s="8">
        <f>HYPERLINK("https://dart.fss.or.kr/dsaf001/main.do?rcpNo=20260623000378", "공시열람")</f>
        <v/>
      </c>
    </row>
    <row r="4693" ht="22" customHeight="1">
      <c r="A4693" s="2" t="inlineStr">
        <is>
          <t>2026-06-23</t>
        </is>
      </c>
      <c r="B4693" s="3" t="inlineStr">
        <is>
          <t>코스모로보틱스</t>
        </is>
      </c>
      <c r="C4693" s="2" t="inlineStr">
        <is>
          <t>439960</t>
        </is>
      </c>
      <c r="D4693" s="2" t="inlineStr">
        <is>
          <t>대량보유</t>
        </is>
      </c>
      <c r="E4693" s="3" t="inlineStr">
        <is>
          <t>리네아-NBH신기술투자조합제3호</t>
        </is>
      </c>
      <c r="F4693" s="3" t="inlineStr">
        <is>
          <t>특별관계자</t>
        </is>
      </c>
      <c r="G4693" s="3" t="inlineStr">
        <is>
          <t>시간외매매(-)</t>
        </is>
      </c>
      <c r="H4693" s="17" t="n">
        <v>-69390</v>
      </c>
      <c r="I4693" s="6" t="n">
        <v>21560</v>
      </c>
      <c r="J4693" s="6" t="n">
        <v>520428</v>
      </c>
      <c r="K4693" s="16" t="n">
        <v>4</v>
      </c>
      <c r="L4693" s="2" t="inlineStr">
        <is>
          <t>20260623000378</t>
        </is>
      </c>
      <c r="M4693" s="8">
        <f>HYPERLINK("https://dart.fss.or.kr/dsaf001/main.do?rcpNo=20260623000378", "공시열람")</f>
        <v/>
      </c>
    </row>
    <row r="4694" ht="22" customHeight="1">
      <c r="A4694" s="2" t="inlineStr">
        <is>
          <t>2026-06-23</t>
        </is>
      </c>
      <c r="B4694" s="3" t="inlineStr">
        <is>
          <t>코스모로보틱스</t>
        </is>
      </c>
      <c r="C4694" s="2" t="inlineStr">
        <is>
          <t>439960</t>
        </is>
      </c>
      <c r="D4694" s="2" t="inlineStr">
        <is>
          <t>대량보유</t>
        </is>
      </c>
      <c r="E4694" s="3" t="inlineStr">
        <is>
          <t>리네아-NBH신기술투자조합제1호</t>
        </is>
      </c>
      <c r="F4694" s="3" t="inlineStr">
        <is>
          <t>특별관계자</t>
        </is>
      </c>
      <c r="G4694" s="3" t="inlineStr">
        <is>
          <t>장내매도(-)</t>
        </is>
      </c>
      <c r="H4694" s="17" t="n">
        <v>-26</v>
      </c>
      <c r="I4694" s="6" t="n">
        <v>20550</v>
      </c>
      <c r="J4694" s="6" t="inlineStr"/>
      <c r="K4694" s="16" t="n">
        <v>4</v>
      </c>
      <c r="L4694" s="2" t="inlineStr">
        <is>
          <t>20260623000378</t>
        </is>
      </c>
      <c r="M4694" s="8">
        <f>HYPERLINK("https://dart.fss.or.kr/dsaf001/main.do?rcpNo=20260623000378", "공시열람")</f>
        <v/>
      </c>
    </row>
    <row r="4695" ht="22" customHeight="1">
      <c r="A4695" s="2" t="inlineStr">
        <is>
          <t>2026-06-23</t>
        </is>
      </c>
      <c r="B4695" s="3" t="inlineStr">
        <is>
          <t>HDC</t>
        </is>
      </c>
      <c r="C4695" s="2" t="inlineStr">
        <is>
          <t>012630</t>
        </is>
      </c>
      <c r="D4695" s="2" t="inlineStr">
        <is>
          <t>임원보고</t>
        </is>
      </c>
      <c r="E4695" s="3" t="inlineStr">
        <is>
          <t>-</t>
        </is>
      </c>
      <c r="F4695" s="3" t="inlineStr">
        <is>
          <t>-</t>
        </is>
      </c>
      <c r="G4695" s="3" t="inlineStr">
        <is>
          <t>-</t>
        </is>
      </c>
      <c r="H4695" s="6" t="inlineStr"/>
      <c r="I4695" s="6" t="inlineStr"/>
      <c r="J4695" s="6" t="inlineStr"/>
      <c r="K4695" s="16" t="n">
        <v>12</v>
      </c>
      <c r="L4695" s="2" t="inlineStr">
        <is>
          <t>20260623800651</t>
        </is>
      </c>
      <c r="M4695" s="8">
        <f>HYPERLINK("https://dart.fss.or.kr/dsaf001/main.do?rcpNo=20260623800651", "공시열람")</f>
        <v/>
      </c>
    </row>
    <row r="4696" ht="22" customHeight="1">
      <c r="A4696" s="2" t="inlineStr">
        <is>
          <t>2026-06-23</t>
        </is>
      </c>
      <c r="B4696" s="3" t="inlineStr">
        <is>
          <t>HDC</t>
        </is>
      </c>
      <c r="C4696" s="2" t="inlineStr">
        <is>
          <t>012630</t>
        </is>
      </c>
      <c r="D4696" s="2" t="inlineStr">
        <is>
          <t>대량보유</t>
        </is>
      </c>
      <c r="E4696" s="3" t="inlineStr">
        <is>
          <t>엠엔큐투자파트너스(유)</t>
        </is>
      </c>
      <c r="F4696" s="3" t="inlineStr">
        <is>
          <t>특별관계자</t>
        </is>
      </c>
      <c r="G4696" s="3" t="inlineStr">
        <is>
          <t>장내매수(+)</t>
        </is>
      </c>
      <c r="H4696" s="15" t="n">
        <v>34450</v>
      </c>
      <c r="I4696" s="6" t="n">
        <v>20316</v>
      </c>
      <c r="J4696" s="6" t="n">
        <v>4010125</v>
      </c>
      <c r="K4696" s="16" t="n">
        <v>9</v>
      </c>
      <c r="L4696" s="2" t="inlineStr">
        <is>
          <t>20260623000351</t>
        </is>
      </c>
      <c r="M4696" s="8">
        <f>HYPERLINK("https://dart.fss.or.kr/dsaf001/main.do?rcpNo=20260623000351", "공시열람")</f>
        <v/>
      </c>
    </row>
    <row r="4697" ht="22" customHeight="1">
      <c r="A4697" s="2" t="inlineStr">
        <is>
          <t>2026-06-23</t>
        </is>
      </c>
      <c r="B4697" s="3" t="inlineStr">
        <is>
          <t>케이씨씨글라스</t>
        </is>
      </c>
      <c r="C4697" s="2" t="inlineStr">
        <is>
          <t>344820</t>
        </is>
      </c>
      <c r="D4697" s="2" t="inlineStr">
        <is>
          <t>대량보유</t>
        </is>
      </c>
      <c r="E4697" s="3" t="inlineStr">
        <is>
          <t>정몽익</t>
        </is>
      </c>
      <c r="F4697" s="3" t="inlineStr">
        <is>
          <t>보고자</t>
        </is>
      </c>
      <c r="G4697" s="3" t="inlineStr">
        <is>
          <t>- 특별관계자(정한선, 정재림, 정명선)의 주식담보대출 계약 체결</t>
        </is>
      </c>
      <c r="H4697" s="6" t="inlineStr"/>
      <c r="I4697" s="6" t="inlineStr"/>
      <c r="J4697" s="6" t="n">
        <v>7442005</v>
      </c>
      <c r="K4697" s="16" t="n">
        <v>16</v>
      </c>
      <c r="L4697" s="2" t="inlineStr">
        <is>
          <t>20260623000345</t>
        </is>
      </c>
      <c r="M4697" s="8">
        <f>HYPERLINK("https://dart.fss.or.kr/dsaf001/main.do?rcpNo=20260623000345", "공시열람")</f>
        <v/>
      </c>
    </row>
    <row r="4698" ht="22" customHeight="1">
      <c r="A4698" s="2" t="inlineStr">
        <is>
          <t>2026-06-23</t>
        </is>
      </c>
      <c r="B4698" s="3" t="inlineStr">
        <is>
          <t>CJ제일제당</t>
        </is>
      </c>
      <c r="C4698" s="2" t="inlineStr">
        <is>
          <t>097950</t>
        </is>
      </c>
      <c r="D4698" s="2" t="inlineStr">
        <is>
          <t>대량보유</t>
        </is>
      </c>
      <c r="E4698" s="3" t="inlineStr">
        <is>
          <t>국민연금기금</t>
        </is>
      </c>
      <c r="F4698" s="3" t="inlineStr">
        <is>
          <t>특별관계자</t>
        </is>
      </c>
      <c r="G4698" s="3" t="inlineStr">
        <is>
          <t>단순투자목적에서 일반투자목적으로 보유목적 변경</t>
        </is>
      </c>
      <c r="H4698" s="15" t="n">
        <v>48382</v>
      </c>
      <c r="I4698" s="6" t="inlineStr"/>
      <c r="J4698" s="6" t="n">
        <v>1224703</v>
      </c>
      <c r="K4698" s="16" t="n">
        <v>1</v>
      </c>
      <c r="L4698" s="2" t="inlineStr">
        <is>
          <t>20260623000341</t>
        </is>
      </c>
      <c r="M4698" s="8">
        <f>HYPERLINK("https://dart.fss.or.kr/dsaf001/main.do?rcpNo=20260623000341", "공시열람")</f>
        <v/>
      </c>
    </row>
    <row r="4699" ht="22" customHeight="1">
      <c r="A4699" s="2" t="inlineStr">
        <is>
          <t>2026-06-23</t>
        </is>
      </c>
      <c r="B4699" s="3" t="inlineStr">
        <is>
          <t>야스</t>
        </is>
      </c>
      <c r="C4699" s="2" t="inlineStr">
        <is>
          <t>255440</t>
        </is>
      </c>
      <c r="D4699" s="2" t="inlineStr">
        <is>
          <t>대량보유</t>
        </is>
      </c>
      <c r="E4699" s="3" t="inlineStr">
        <is>
          <t>정광호</t>
        </is>
      </c>
      <c r="F4699" s="3" t="inlineStr">
        <is>
          <t>보고자</t>
        </is>
      </c>
      <c r="G4699" s="3" t="inlineStr">
        <is>
          <t>주식담보대출 기간연장</t>
        </is>
      </c>
      <c r="H4699" s="6" t="inlineStr"/>
      <c r="I4699" s="6" t="inlineStr"/>
      <c r="J4699" s="6" t="n">
        <v>6083500</v>
      </c>
      <c r="K4699" s="16" t="n">
        <v>4</v>
      </c>
      <c r="L4699" s="2" t="inlineStr">
        <is>
          <t>20260623000339</t>
        </is>
      </c>
      <c r="M4699" s="8">
        <f>HYPERLINK("https://dart.fss.or.kr/dsaf001/main.do?rcpNo=20260623000339", "공시열람")</f>
        <v/>
      </c>
    </row>
    <row r="4700" ht="22" customHeight="1">
      <c r="A4700" s="2" t="inlineStr">
        <is>
          <t>2026-06-23</t>
        </is>
      </c>
      <c r="B4700" s="3" t="inlineStr">
        <is>
          <t>한화오션</t>
        </is>
      </c>
      <c r="C4700" s="2" t="inlineStr">
        <is>
          <t>042660</t>
        </is>
      </c>
      <c r="D4700" s="2" t="inlineStr">
        <is>
          <t>대량보유</t>
        </is>
      </c>
      <c r="E4700" s="3" t="inlineStr">
        <is>
          <t>국민연금기금</t>
        </is>
      </c>
      <c r="F4700" s="3" t="inlineStr">
        <is>
          <t>특별관계자</t>
        </is>
      </c>
      <c r="G4700" s="3" t="inlineStr">
        <is>
          <t>단순투자목적에서 일반투자목적으로 보유목적 변경</t>
        </is>
      </c>
      <c r="H4700" s="15" t="n">
        <v>578412</v>
      </c>
      <c r="I4700" s="6" t="inlineStr"/>
      <c r="J4700" s="6" t="n">
        <v>20413224</v>
      </c>
      <c r="K4700" s="16" t="n">
        <v>1</v>
      </c>
      <c r="L4700" s="2" t="inlineStr">
        <is>
          <t>20260623000338</t>
        </is>
      </c>
      <c r="M4700" s="8">
        <f>HYPERLINK("https://dart.fss.or.kr/dsaf001/main.do?rcpNo=20260623000338", "공시열람")</f>
        <v/>
      </c>
    </row>
    <row r="4701" ht="22" customHeight="1">
      <c r="A4701" s="2" t="inlineStr">
        <is>
          <t>2026-06-23</t>
        </is>
      </c>
      <c r="B4701" s="3" t="inlineStr">
        <is>
          <t>POSCO홀딩스</t>
        </is>
      </c>
      <c r="C4701" s="2" t="inlineStr">
        <is>
          <t>005490</t>
        </is>
      </c>
      <c r="D4701" s="2" t="inlineStr">
        <is>
          <t>대량보유</t>
        </is>
      </c>
      <c r="E4701" s="3" t="inlineStr">
        <is>
          <t>국민연금기금</t>
        </is>
      </c>
      <c r="F4701" s="3" t="inlineStr">
        <is>
          <t>특별관계자</t>
        </is>
      </c>
      <c r="G4701" s="3" t="inlineStr">
        <is>
          <t>단순투자목적에서 일반투자목적으로 보유목적 변경</t>
        </is>
      </c>
      <c r="H4701" s="17" t="n">
        <v>-270696</v>
      </c>
      <c r="I4701" s="6" t="inlineStr"/>
      <c r="J4701" s="6" t="n">
        <v>6576661</v>
      </c>
      <c r="K4701" s="16" t="n">
        <v>1</v>
      </c>
      <c r="L4701" s="2" t="inlineStr">
        <is>
          <t>20260623000336</t>
        </is>
      </c>
      <c r="M4701" s="8">
        <f>HYPERLINK("https://dart.fss.or.kr/dsaf001/main.do?rcpNo=20260623000336", "공시열람")</f>
        <v/>
      </c>
    </row>
    <row r="4702" ht="22" customHeight="1">
      <c r="A4702" s="2" t="inlineStr">
        <is>
          <t>2026-06-23</t>
        </is>
      </c>
      <c r="B4702" s="3" t="inlineStr">
        <is>
          <t>삼화전자공업</t>
        </is>
      </c>
      <c r="C4702" s="2" t="inlineStr">
        <is>
          <t>011230</t>
        </is>
      </c>
      <c r="D4702" s="2" t="inlineStr">
        <is>
          <t>대량보유</t>
        </is>
      </c>
      <c r="E4702" s="3" t="inlineStr">
        <is>
          <t>삼화기업(주)</t>
        </is>
      </c>
      <c r="F4702" s="3" t="inlineStr">
        <is>
          <t>특별관계자</t>
        </is>
      </c>
      <c r="G4702" s="3" t="inlineStr">
        <is>
          <t>장내매도(-)</t>
        </is>
      </c>
      <c r="H4702" s="17" t="n">
        <v>-1913</v>
      </c>
      <c r="I4702" s="6" t="n">
        <v>3740</v>
      </c>
      <c r="J4702" s="6" t="inlineStr"/>
      <c r="K4702" s="16" t="n">
        <v>7</v>
      </c>
      <c r="L4702" s="2" t="inlineStr">
        <is>
          <t>20260623000320</t>
        </is>
      </c>
      <c r="M4702" s="8">
        <f>HYPERLINK("https://dart.fss.or.kr/dsaf001/main.do?rcpNo=20260623000320", "공시열람")</f>
        <v/>
      </c>
    </row>
    <row r="4703" ht="22" customHeight="1">
      <c r="A4703" s="2" t="inlineStr">
        <is>
          <t>2026-06-23</t>
        </is>
      </c>
      <c r="B4703" s="3" t="inlineStr">
        <is>
          <t>스틱인베스트먼트</t>
        </is>
      </c>
      <c r="C4703" s="2" t="inlineStr">
        <is>
          <t>026890</t>
        </is>
      </c>
      <c r="D4703" s="2" t="inlineStr">
        <is>
          <t>임원보고</t>
        </is>
      </c>
      <c r="E4703" s="3" t="inlineStr">
        <is>
          <t>-</t>
        </is>
      </c>
      <c r="F4703" s="3" t="inlineStr">
        <is>
          <t>-</t>
        </is>
      </c>
      <c r="G4703" s="3" t="inlineStr">
        <is>
          <t>-</t>
        </is>
      </c>
      <c r="H4703" s="6" t="inlineStr"/>
      <c r="I4703" s="6" t="inlineStr"/>
      <c r="J4703" s="6" t="inlineStr"/>
      <c r="K4703" s="16" t="n">
        <v>12</v>
      </c>
      <c r="L4703" s="2" t="inlineStr">
        <is>
          <t>20260623800575</t>
        </is>
      </c>
      <c r="M4703" s="8">
        <f>HYPERLINK("https://dart.fss.or.kr/dsaf001/main.do?rcpNo=20260623800575", "공시열람")</f>
        <v/>
      </c>
    </row>
    <row r="4704" ht="22" customHeight="1">
      <c r="A4704" s="2" t="inlineStr">
        <is>
          <t>2026-06-23</t>
        </is>
      </c>
      <c r="B4704" s="3" t="inlineStr">
        <is>
          <t>한미사이언스</t>
        </is>
      </c>
      <c r="C4704" s="2" t="inlineStr">
        <is>
          <t>008930</t>
        </is>
      </c>
      <c r="D4704" s="2" t="inlineStr">
        <is>
          <t>대량보유</t>
        </is>
      </c>
      <c r="E4704" s="3" t="inlineStr">
        <is>
          <t>송영숙</t>
        </is>
      </c>
      <c r="F4704" s="3" t="inlineStr">
        <is>
          <t>보고자</t>
        </is>
      </c>
      <c r="G4704" s="3" t="inlineStr">
        <is>
          <t>주식담보계약 변경</t>
        </is>
      </c>
      <c r="H4704" s="6" t="inlineStr"/>
      <c r="I4704" s="6" t="inlineStr"/>
      <c r="J4704" s="6" t="n">
        <v>43692026</v>
      </c>
      <c r="K4704" s="16" t="n">
        <v>19</v>
      </c>
      <c r="L4704" s="2" t="inlineStr">
        <is>
          <t>20260623000314</t>
        </is>
      </c>
      <c r="M4704" s="8">
        <f>HYPERLINK("https://dart.fss.or.kr/dsaf001/main.do?rcpNo=20260623000314", "공시열람")</f>
        <v/>
      </c>
    </row>
    <row r="4705" ht="22" customHeight="1">
      <c r="A4705" s="2" t="inlineStr">
        <is>
          <t>2026-06-23</t>
        </is>
      </c>
      <c r="B4705" s="3" t="inlineStr">
        <is>
          <t>삼화전자공업</t>
        </is>
      </c>
      <c r="C4705" s="2" t="inlineStr">
        <is>
          <t>011230</t>
        </is>
      </c>
      <c r="D4705" s="2" t="inlineStr">
        <is>
          <t>임원보고</t>
        </is>
      </c>
      <c r="E4705" s="3" t="inlineStr">
        <is>
          <t>-</t>
        </is>
      </c>
      <c r="F4705" s="3" t="inlineStr">
        <is>
          <t>-</t>
        </is>
      </c>
      <c r="G4705" s="3" t="inlineStr">
        <is>
          <t>-</t>
        </is>
      </c>
      <c r="H4705" s="6" t="inlineStr"/>
      <c r="I4705" s="6" t="inlineStr"/>
      <c r="J4705" s="6" t="inlineStr"/>
      <c r="K4705" s="16" t="n">
        <v>12</v>
      </c>
      <c r="L4705" s="2" t="inlineStr">
        <is>
          <t>20260623800564</t>
        </is>
      </c>
      <c r="M4705" s="8">
        <f>HYPERLINK("https://dart.fss.or.kr/dsaf001/main.do?rcpNo=20260623800564", "공시열람")</f>
        <v/>
      </c>
    </row>
    <row r="4706" ht="22" customHeight="1">
      <c r="A4706" s="2" t="inlineStr">
        <is>
          <t>2026-06-23</t>
        </is>
      </c>
      <c r="B4706" s="3" t="inlineStr">
        <is>
          <t>온타이드</t>
        </is>
      </c>
      <c r="C4706" s="2" t="inlineStr">
        <is>
          <t>005320</t>
        </is>
      </c>
      <c r="D4706" s="2" t="inlineStr">
        <is>
          <t>대량보유</t>
        </is>
      </c>
      <c r="E4706" s="3" t="inlineStr">
        <is>
          <t>주식회사약진통상</t>
        </is>
      </c>
      <c r="F4706" s="3" t="inlineStr">
        <is>
          <t>특별관계자</t>
        </is>
      </c>
      <c r="G4706" s="3" t="inlineStr">
        <is>
          <t>장내매수(+)</t>
        </is>
      </c>
      <c r="H4706" s="15" t="n">
        <v>907428</v>
      </c>
      <c r="I4706" s="6" t="n">
        <v>1093</v>
      </c>
      <c r="J4706" s="6" t="n">
        <v>18183955</v>
      </c>
      <c r="K4706" s="16" t="n">
        <v>47.4</v>
      </c>
      <c r="L4706" s="2" t="inlineStr">
        <is>
          <t>20260623000312</t>
        </is>
      </c>
      <c r="M4706" s="8">
        <f>HYPERLINK("https://dart.fss.or.kr/dsaf001/main.do?rcpNo=20260623000312", "공시열람")</f>
        <v/>
      </c>
    </row>
    <row r="4707" ht="22" customHeight="1">
      <c r="A4707" s="2" t="inlineStr">
        <is>
          <t>2026-06-23</t>
        </is>
      </c>
      <c r="B4707" s="3" t="inlineStr">
        <is>
          <t>엘앤씨바이오</t>
        </is>
      </c>
      <c r="C4707" s="2" t="inlineStr">
        <is>
          <t>290650</t>
        </is>
      </c>
      <c r="D4707" s="2" t="inlineStr">
        <is>
          <t>대량보유</t>
        </is>
      </c>
      <c r="E4707" s="3" t="inlineStr">
        <is>
          <t>이환철</t>
        </is>
      </c>
      <c r="F4707" s="3" t="inlineStr">
        <is>
          <t>보고자</t>
        </is>
      </c>
      <c r="G4707" s="3" t="inlineStr">
        <is>
          <t>계약내용 변경</t>
        </is>
      </c>
      <c r="H4707" s="6" t="inlineStr"/>
      <c r="I4707" s="6" t="inlineStr"/>
      <c r="J4707" s="6" t="n">
        <v>6738328</v>
      </c>
      <c r="K4707" s="16" t="n">
        <v>11</v>
      </c>
      <c r="L4707" s="2" t="inlineStr">
        <is>
          <t>20260623000309</t>
        </is>
      </c>
      <c r="M4707" s="8">
        <f>HYPERLINK("https://dart.fss.or.kr/dsaf001/main.do?rcpNo=20260623000309", "공시열람")</f>
        <v/>
      </c>
    </row>
    <row r="4708" ht="22" customHeight="1">
      <c r="A4708" s="2" t="inlineStr">
        <is>
          <t>2026-06-23</t>
        </is>
      </c>
      <c r="B4708" s="3" t="inlineStr">
        <is>
          <t>삼화콘덴서공업</t>
        </is>
      </c>
      <c r="C4708" s="2" t="inlineStr">
        <is>
          <t>001820</t>
        </is>
      </c>
      <c r="D4708" s="2" t="inlineStr">
        <is>
          <t>대량보유</t>
        </is>
      </c>
      <c r="E4708" s="3" t="inlineStr">
        <is>
          <t>오영호</t>
        </is>
      </c>
      <c r="F4708" s="3" t="inlineStr">
        <is>
          <t>특별관계자</t>
        </is>
      </c>
      <c r="G4708" s="3" t="inlineStr">
        <is>
          <t>장내매도(-)</t>
        </is>
      </c>
      <c r="H4708" s="17" t="n">
        <v>-202832</v>
      </c>
      <c r="I4708" s="6" t="n">
        <v>116138</v>
      </c>
      <c r="J4708" s="6" t="n">
        <v>251000</v>
      </c>
      <c r="K4708" s="16" t="n">
        <v>3</v>
      </c>
      <c r="L4708" s="2" t="inlineStr">
        <is>
          <t>20260623000308</t>
        </is>
      </c>
      <c r="M4708" s="8">
        <f>HYPERLINK("https://dart.fss.or.kr/dsaf001/main.do?rcpNo=20260623000308", "공시열람")</f>
        <v/>
      </c>
    </row>
    <row r="4709" ht="22" customHeight="1">
      <c r="A4709" s="2" t="inlineStr">
        <is>
          <t>2026-06-23</t>
        </is>
      </c>
      <c r="B4709" s="3" t="inlineStr">
        <is>
          <t>엣지파운드리</t>
        </is>
      </c>
      <c r="C4709" s="2" t="inlineStr">
        <is>
          <t>105550</t>
        </is>
      </c>
      <c r="D4709" s="2" t="inlineStr">
        <is>
          <t>대량보유</t>
        </is>
      </c>
      <c r="E4709" s="3" t="inlineStr">
        <is>
          <t>퍼시먼트리홀딩스스타주식회사</t>
        </is>
      </c>
      <c r="F4709" s="3" t="inlineStr">
        <is>
          <t>특별관계자</t>
        </is>
      </c>
      <c r="G4709" s="3" t="inlineStr">
        <is>
          <t>CB인수(+)</t>
        </is>
      </c>
      <c r="H4709" s="15" t="n">
        <v>13262599</v>
      </c>
      <c r="I4709" s="6" t="n">
        <v>754</v>
      </c>
      <c r="J4709" s="6" t="n">
        <v>13262599</v>
      </c>
      <c r="K4709" s="16" t="n">
        <v>14.48</v>
      </c>
      <c r="L4709" s="2" t="inlineStr">
        <is>
          <t>20260623000306</t>
        </is>
      </c>
      <c r="M4709" s="8">
        <f>HYPERLINK("https://dart.fss.or.kr/dsaf001/main.do?rcpNo=20260623000306", "공시열람")</f>
        <v/>
      </c>
    </row>
    <row r="4710" ht="22" customHeight="1">
      <c r="A4710" s="2" t="inlineStr">
        <is>
          <t>2026-06-23</t>
        </is>
      </c>
      <c r="B4710" s="3" t="inlineStr">
        <is>
          <t>키움제11호스팩</t>
        </is>
      </c>
      <c r="C4710" s="2" t="inlineStr">
        <is>
          <t>489480</t>
        </is>
      </c>
      <c r="D4710" s="2" t="inlineStr">
        <is>
          <t>대량보유</t>
        </is>
      </c>
      <c r="E4710" s="3" t="inlineStr">
        <is>
          <t>더블유자산운용</t>
        </is>
      </c>
      <c r="F4710" s="3" t="inlineStr">
        <is>
          <t>특별관계자</t>
        </is>
      </c>
      <c r="G4710" s="3" t="inlineStr">
        <is>
          <t>신규등록(+), 장내매도(-), 장내매수(+)</t>
        </is>
      </c>
      <c r="H4710" s="15" t="n">
        <v>374261</v>
      </c>
      <c r="I4710" s="6" t="n">
        <v>2063</v>
      </c>
      <c r="J4710" s="6" t="n">
        <v>374261</v>
      </c>
      <c r="K4710" s="16" t="n">
        <v>5.67</v>
      </c>
      <c r="L4710" s="2" t="inlineStr">
        <is>
          <t>20260623000303</t>
        </is>
      </c>
      <c r="M4710" s="8">
        <f>HYPERLINK("https://dart.fss.or.kr/dsaf001/main.do?rcpNo=20260623000303", "공시열람")</f>
        <v/>
      </c>
    </row>
    <row r="4711" ht="22" customHeight="1">
      <c r="A4711" s="2" t="inlineStr">
        <is>
          <t>2026-06-23</t>
        </is>
      </c>
      <c r="B4711" s="3" t="inlineStr">
        <is>
          <t>삼화콘덴서공업</t>
        </is>
      </c>
      <c r="C4711" s="2" t="inlineStr">
        <is>
          <t>001820</t>
        </is>
      </c>
      <c r="D4711" s="2" t="inlineStr">
        <is>
          <t>임원보고</t>
        </is>
      </c>
      <c r="E4711" s="3" t="inlineStr">
        <is>
          <t>-</t>
        </is>
      </c>
      <c r="F4711" s="3" t="inlineStr">
        <is>
          <t>-</t>
        </is>
      </c>
      <c r="G4711" s="3" t="inlineStr">
        <is>
          <t>-</t>
        </is>
      </c>
      <c r="H4711" s="6" t="inlineStr"/>
      <c r="I4711" s="6" t="inlineStr"/>
      <c r="J4711" s="6" t="inlineStr"/>
      <c r="K4711" s="16" t="n">
        <v>12</v>
      </c>
      <c r="L4711" s="2" t="inlineStr">
        <is>
          <t>20260623800516</t>
        </is>
      </c>
      <c r="M4711" s="8">
        <f>HYPERLINK("https://dart.fss.or.kr/dsaf001/main.do?rcpNo=20260623800516", "공시열람")</f>
        <v/>
      </c>
    </row>
    <row r="4712" ht="22" customHeight="1">
      <c r="A4712" s="2" t="inlineStr">
        <is>
          <t>2026-06-23</t>
        </is>
      </c>
      <c r="B4712" s="3" t="inlineStr">
        <is>
          <t>넥써쓰</t>
        </is>
      </c>
      <c r="C4712" s="2" t="inlineStr">
        <is>
          <t>205500</t>
        </is>
      </c>
      <c r="D4712" s="2" t="inlineStr">
        <is>
          <t>대량보유</t>
        </is>
      </c>
      <c r="E4712" s="3" t="inlineStr">
        <is>
          <t>장현국</t>
        </is>
      </c>
      <c r="F4712" s="3" t="inlineStr">
        <is>
          <t>특별관계자</t>
        </is>
      </c>
      <c r="G4712" s="3" t="inlineStr">
        <is>
          <t>콜옵션취득(+)</t>
        </is>
      </c>
      <c r="H4712" s="15" t="n">
        <v>17171788</v>
      </c>
      <c r="I4712" s="6" t="n">
        <v>2300</v>
      </c>
      <c r="J4712" s="6" t="n">
        <v>32503012</v>
      </c>
      <c r="K4712" s="16" t="n">
        <v>9</v>
      </c>
      <c r="L4712" s="2" t="inlineStr">
        <is>
          <t>20260623000296</t>
        </is>
      </c>
      <c r="M4712" s="8">
        <f>HYPERLINK("https://dart.fss.or.kr/dsaf001/main.do?rcpNo=20260623000296", "공시열람")</f>
        <v/>
      </c>
    </row>
    <row r="4713" ht="22" customHeight="1">
      <c r="A4713" s="2" t="inlineStr">
        <is>
          <t>2026-06-23</t>
        </is>
      </c>
      <c r="B4713" s="3" t="inlineStr">
        <is>
          <t>티엠씨</t>
        </is>
      </c>
      <c r="C4713" s="2" t="inlineStr">
        <is>
          <t>217590</t>
        </is>
      </c>
      <c r="D4713" s="2" t="inlineStr">
        <is>
          <t>대량보유</t>
        </is>
      </c>
      <c r="E4713" s="3" t="inlineStr">
        <is>
          <t>펙투스-제이비우리신기술사업투자조합제1호</t>
        </is>
      </c>
      <c r="F4713" s="3" t="inlineStr">
        <is>
          <t>특별관계자</t>
        </is>
      </c>
      <c r="G4713" s="3" t="inlineStr">
        <is>
          <t>시간외매매(-)</t>
        </is>
      </c>
      <c r="H4713" s="17" t="n">
        <v>-1000000</v>
      </c>
      <c r="I4713" s="6" t="n">
        <v>18420</v>
      </c>
      <c r="J4713" s="6" t="n">
        <v>2360224</v>
      </c>
      <c r="K4713" s="16" t="n">
        <v>1</v>
      </c>
      <c r="L4713" s="2" t="inlineStr">
        <is>
          <t>20260623000293</t>
        </is>
      </c>
      <c r="M4713" s="8">
        <f>HYPERLINK("https://dart.fss.or.kr/dsaf001/main.do?rcpNo=20260623000293", "공시열람")</f>
        <v/>
      </c>
    </row>
    <row r="4714" ht="22" customHeight="1">
      <c r="A4714" s="2" t="inlineStr">
        <is>
          <t>2026-06-23</t>
        </is>
      </c>
      <c r="B4714" s="3" t="inlineStr">
        <is>
          <t>BGF리테일</t>
        </is>
      </c>
      <c r="C4714" s="2" t="inlineStr">
        <is>
          <t>282330</t>
        </is>
      </c>
      <c r="D4714" s="2" t="inlineStr">
        <is>
          <t>임원보고</t>
        </is>
      </c>
      <c r="E4714" s="3" t="inlineStr">
        <is>
          <t>-</t>
        </is>
      </c>
      <c r="F4714" s="3" t="inlineStr">
        <is>
          <t>-</t>
        </is>
      </c>
      <c r="G4714" s="3" t="inlineStr">
        <is>
          <t>-</t>
        </is>
      </c>
      <c r="H4714" s="6" t="inlineStr"/>
      <c r="I4714" s="6" t="inlineStr"/>
      <c r="J4714" s="6" t="inlineStr"/>
      <c r="K4714" s="16" t="n">
        <v>12</v>
      </c>
      <c r="L4714" s="2" t="inlineStr">
        <is>
          <t>20260623800499</t>
        </is>
      </c>
      <c r="M4714" s="8">
        <f>HYPERLINK("https://dart.fss.or.kr/dsaf001/main.do?rcpNo=20260623800499", "공시열람")</f>
        <v/>
      </c>
    </row>
    <row r="4715" ht="22" customHeight="1">
      <c r="A4715" s="2" t="inlineStr">
        <is>
          <t>2026-06-23</t>
        </is>
      </c>
      <c r="B4715" s="3" t="inlineStr">
        <is>
          <t>BGF리테일</t>
        </is>
      </c>
      <c r="C4715" s="2" t="inlineStr">
        <is>
          <t>282330</t>
        </is>
      </c>
      <c r="D4715" s="2" t="inlineStr">
        <is>
          <t>대량보유</t>
        </is>
      </c>
      <c r="E4715" s="3" t="inlineStr">
        <is>
          <t>홍승연</t>
        </is>
      </c>
      <c r="F4715" s="3" t="inlineStr">
        <is>
          <t>특별관계자</t>
        </is>
      </c>
      <c r="G4715" s="3" t="inlineStr">
        <is>
          <t>장내매도(-)</t>
        </is>
      </c>
      <c r="H4715" s="17" t="n">
        <v>-35965</v>
      </c>
      <c r="I4715" s="6" t="n">
        <v>130819</v>
      </c>
      <c r="J4715" s="6" t="n">
        <v>146045</v>
      </c>
      <c r="K4715" s="16" t="n">
        <v>19</v>
      </c>
      <c r="L4715" s="2" t="inlineStr">
        <is>
          <t>20260623000284</t>
        </is>
      </c>
      <c r="M4715" s="8">
        <f>HYPERLINK("https://dart.fss.or.kr/dsaf001/main.do?rcpNo=20260623000284", "공시열람")</f>
        <v/>
      </c>
    </row>
    <row r="4716" ht="22" customHeight="1">
      <c r="A4716" s="2" t="inlineStr">
        <is>
          <t>2026-06-23</t>
        </is>
      </c>
      <c r="B4716" s="3" t="inlineStr">
        <is>
          <t>BGF리테일</t>
        </is>
      </c>
      <c r="C4716" s="2" t="inlineStr">
        <is>
          <t>282330</t>
        </is>
      </c>
      <c r="D4716" s="2" t="inlineStr">
        <is>
          <t>대량보유</t>
        </is>
      </c>
      <c r="E4716" s="3" t="inlineStr">
        <is>
          <t>홍석현</t>
        </is>
      </c>
      <c r="F4716" s="3" t="inlineStr">
        <is>
          <t>특별관계자</t>
        </is>
      </c>
      <c r="G4716" s="3" t="inlineStr">
        <is>
          <t>장내매도(-)</t>
        </is>
      </c>
      <c r="H4716" s="17" t="n">
        <v>-370878</v>
      </c>
      <c r="I4716" s="6" t="n">
        <v>125932</v>
      </c>
      <c r="J4716" s="6" t="n">
        <v>176193</v>
      </c>
      <c r="K4716" s="16" t="n">
        <v>19</v>
      </c>
      <c r="L4716" s="2" t="inlineStr">
        <is>
          <t>20260623000284</t>
        </is>
      </c>
      <c r="M4716" s="8">
        <f>HYPERLINK("https://dart.fss.or.kr/dsaf001/main.do?rcpNo=20260623000284", "공시열람")</f>
        <v/>
      </c>
    </row>
    <row r="4717" ht="22" customHeight="1">
      <c r="A4717" s="2" t="inlineStr">
        <is>
          <t>2026-06-23</t>
        </is>
      </c>
      <c r="B4717" s="3" t="inlineStr">
        <is>
          <t>BGF리테일</t>
        </is>
      </c>
      <c r="C4717" s="2" t="inlineStr">
        <is>
          <t>282330</t>
        </is>
      </c>
      <c r="D4717" s="2" t="inlineStr">
        <is>
          <t>대량보유</t>
        </is>
      </c>
      <c r="E4717" s="3" t="inlineStr">
        <is>
          <t>신연균</t>
        </is>
      </c>
      <c r="F4717" s="3" t="inlineStr">
        <is>
          <t>특별관계자</t>
        </is>
      </c>
      <c r="G4717" s="3" t="inlineStr">
        <is>
          <t>장내매도(-)</t>
        </is>
      </c>
      <c r="H4717" s="17" t="n">
        <v>-70688</v>
      </c>
      <c r="I4717" s="6" t="n">
        <v>127157</v>
      </c>
      <c r="J4717" s="6" t="n">
        <v>109132</v>
      </c>
      <c r="K4717" s="16" t="n">
        <v>19</v>
      </c>
      <c r="L4717" s="2" t="inlineStr">
        <is>
          <t>20260623000284</t>
        </is>
      </c>
      <c r="M4717" s="8">
        <f>HYPERLINK("https://dart.fss.or.kr/dsaf001/main.do?rcpNo=20260623000284", "공시열람")</f>
        <v/>
      </c>
    </row>
    <row r="4718" ht="22" customHeight="1">
      <c r="A4718" s="2" t="inlineStr">
        <is>
          <t>2026-06-23</t>
        </is>
      </c>
      <c r="B4718" s="3" t="inlineStr">
        <is>
          <t>플레이그램</t>
        </is>
      </c>
      <c r="C4718" s="2" t="inlineStr">
        <is>
          <t>009810</t>
        </is>
      </c>
      <c r="D4718" s="2" t="inlineStr">
        <is>
          <t>대량보유</t>
        </is>
      </c>
      <c r="E4718" s="3" t="inlineStr">
        <is>
          <t>트라이콘1호투자조합</t>
        </is>
      </c>
      <c r="F4718" s="3" t="inlineStr">
        <is>
          <t>특별관계자</t>
        </is>
      </c>
      <c r="G4718" s="3" t="inlineStr">
        <is>
          <t>장내매수(+), 주식병합</t>
        </is>
      </c>
      <c r="H4718" s="17" t="n">
        <v>-2817497</v>
      </c>
      <c r="I4718" s="6" t="n">
        <v>1161</v>
      </c>
      <c r="J4718" s="6" t="n">
        <v>3015531</v>
      </c>
      <c r="K4718" s="16" t="n">
        <v>1</v>
      </c>
      <c r="L4718" s="2" t="inlineStr">
        <is>
          <t>20260623000280</t>
        </is>
      </c>
      <c r="M4718" s="8">
        <f>HYPERLINK("https://dart.fss.or.kr/dsaf001/main.do?rcpNo=20260623000280", "공시열람")</f>
        <v/>
      </c>
    </row>
    <row r="4719" ht="22" customHeight="1">
      <c r="A4719" s="2" t="inlineStr">
        <is>
          <t>2026-06-23</t>
        </is>
      </c>
      <c r="B4719" s="3" t="inlineStr">
        <is>
          <t>플레이그램</t>
        </is>
      </c>
      <c r="C4719" s="2" t="inlineStr">
        <is>
          <t>009810</t>
        </is>
      </c>
      <c r="D4719" s="2" t="inlineStr">
        <is>
          <t>대량보유</t>
        </is>
      </c>
      <c r="E4719" s="3" t="inlineStr">
        <is>
          <t>에이치제이디인베스트(주)</t>
        </is>
      </c>
      <c r="F4719" s="3" t="inlineStr">
        <is>
          <t>특별관계자</t>
        </is>
      </c>
      <c r="G4719" s="3" t="inlineStr">
        <is>
          <t>주식병합, 장내매도(-), 장외매도(-)</t>
        </is>
      </c>
      <c r="H4719" s="17" t="n">
        <v>-372102</v>
      </c>
      <c r="I4719" s="6" t="n">
        <v>8048</v>
      </c>
      <c r="J4719" s="6" t="n">
        <v>121724</v>
      </c>
      <c r="K4719" s="16" t="n">
        <v>1</v>
      </c>
      <c r="L4719" s="2" t="inlineStr">
        <is>
          <t>20260623000280</t>
        </is>
      </c>
      <c r="M4719" s="8">
        <f>HYPERLINK("https://dart.fss.or.kr/dsaf001/main.do?rcpNo=20260623000280", "공시열람")</f>
        <v/>
      </c>
    </row>
    <row r="4720" ht="22" customHeight="1">
      <c r="A4720" s="2" t="inlineStr">
        <is>
          <t>2026-06-23</t>
        </is>
      </c>
      <c r="B4720" s="3" t="inlineStr">
        <is>
          <t>플레이그램</t>
        </is>
      </c>
      <c r="C4720" s="2" t="inlineStr">
        <is>
          <t>009810</t>
        </is>
      </c>
      <c r="D4720" s="2" t="inlineStr">
        <is>
          <t>대량보유</t>
        </is>
      </c>
      <c r="E4720" s="3" t="inlineStr">
        <is>
          <t>유한회사트라이콘홀딩스</t>
        </is>
      </c>
      <c r="F4720" s="3" t="inlineStr">
        <is>
          <t>특별관계자</t>
        </is>
      </c>
      <c r="G4720" s="3" t="inlineStr">
        <is>
          <t>장외매수(+)</t>
        </is>
      </c>
      <c r="H4720" s="15" t="n">
        <v>121724</v>
      </c>
      <c r="I4720" s="6" t="n">
        <v>8220</v>
      </c>
      <c r="J4720" s="6" t="n">
        <v>121724</v>
      </c>
      <c r="K4720" s="16" t="n">
        <v>1</v>
      </c>
      <c r="L4720" s="2" t="inlineStr">
        <is>
          <t>20260623000280</t>
        </is>
      </c>
      <c r="M4720" s="8">
        <f>HYPERLINK("https://dart.fss.or.kr/dsaf001/main.do?rcpNo=20260623000280", "공시열람")</f>
        <v/>
      </c>
    </row>
    <row r="4721" ht="22" customHeight="1">
      <c r="A4721" s="2" t="inlineStr">
        <is>
          <t>2026-06-23</t>
        </is>
      </c>
      <c r="B4721" s="3" t="inlineStr">
        <is>
          <t>플레이그램</t>
        </is>
      </c>
      <c r="C4721" s="2" t="inlineStr">
        <is>
          <t>009810</t>
        </is>
      </c>
      <c r="D4721" s="2" t="inlineStr">
        <is>
          <t>대량보유</t>
        </is>
      </c>
      <c r="E4721" s="3" t="inlineStr">
        <is>
          <t>김재욱</t>
        </is>
      </c>
      <c r="F4721" s="3" t="inlineStr">
        <is>
          <t>특별관계자</t>
        </is>
      </c>
      <c r="G4721" s="3" t="inlineStr">
        <is>
          <t>주식병합</t>
        </is>
      </c>
      <c r="H4721" s="17" t="n">
        <v>-242424</v>
      </c>
      <c r="I4721" s="6" t="inlineStr"/>
      <c r="J4721" s="6" t="n">
        <v>242424</v>
      </c>
      <c r="K4721" s="16" t="n">
        <v>1</v>
      </c>
      <c r="L4721" s="2" t="inlineStr">
        <is>
          <t>20260623000280</t>
        </is>
      </c>
      <c r="M4721" s="8">
        <f>HYPERLINK("https://dart.fss.or.kr/dsaf001/main.do?rcpNo=20260623000280", "공시열람")</f>
        <v/>
      </c>
    </row>
    <row r="4722" ht="22" customHeight="1">
      <c r="A4722" s="2" t="inlineStr">
        <is>
          <t>2026-06-23</t>
        </is>
      </c>
      <c r="B4722" s="3" t="inlineStr">
        <is>
          <t>플레이그램</t>
        </is>
      </c>
      <c r="C4722" s="2" t="inlineStr">
        <is>
          <t>009810</t>
        </is>
      </c>
      <c r="D4722" s="2" t="inlineStr">
        <is>
          <t>대량보유</t>
        </is>
      </c>
      <c r="E4722" s="3" t="inlineStr">
        <is>
          <t>이숙미</t>
        </is>
      </c>
      <c r="F4722" s="3" t="inlineStr">
        <is>
          <t>특별관계자</t>
        </is>
      </c>
      <c r="G4722" s="3" t="inlineStr">
        <is>
          <t>주식병합</t>
        </is>
      </c>
      <c r="H4722" s="17" t="n">
        <v>-3800</v>
      </c>
      <c r="I4722" s="6" t="inlineStr"/>
      <c r="J4722" s="6" t="n">
        <v>3800</v>
      </c>
      <c r="K4722" s="16" t="n">
        <v>1</v>
      </c>
      <c r="L4722" s="2" t="inlineStr">
        <is>
          <t>20260623000280</t>
        </is>
      </c>
      <c r="M4722" s="8">
        <f>HYPERLINK("https://dart.fss.or.kr/dsaf001/main.do?rcpNo=20260623000280", "공시열람")</f>
        <v/>
      </c>
    </row>
    <row r="4723" ht="22" customHeight="1">
      <c r="A4723" s="2" t="inlineStr">
        <is>
          <t>2026-06-23</t>
        </is>
      </c>
      <c r="B4723" s="3" t="inlineStr">
        <is>
          <t>아이티아이즈</t>
        </is>
      </c>
      <c r="C4723" s="2" t="inlineStr">
        <is>
          <t>372800</t>
        </is>
      </c>
      <c r="D4723" s="2" t="inlineStr">
        <is>
          <t>대량보유</t>
        </is>
      </c>
      <c r="E4723" s="3" t="inlineStr">
        <is>
          <t>이성남</t>
        </is>
      </c>
      <c r="F4723" s="3" t="inlineStr">
        <is>
          <t>특별관계자</t>
        </is>
      </c>
      <c r="G4723" s="3" t="inlineStr">
        <is>
          <t>장내매수(+)</t>
        </is>
      </c>
      <c r="H4723" s="15" t="n">
        <v>32814</v>
      </c>
      <c r="I4723" s="6" t="n">
        <v>3420</v>
      </c>
      <c r="J4723" s="6" t="n">
        <v>2253270</v>
      </c>
      <c r="K4723" s="16" t="n">
        <v>17</v>
      </c>
      <c r="L4723" s="2" t="inlineStr">
        <is>
          <t>20260623000278</t>
        </is>
      </c>
      <c r="M4723" s="8">
        <f>HYPERLINK("https://dart.fss.or.kr/dsaf001/main.do?rcpNo=20260623000278", "공시열람")</f>
        <v/>
      </c>
    </row>
    <row r="4724" ht="22" customHeight="1">
      <c r="A4724" s="2" t="inlineStr">
        <is>
          <t>2026-06-23</t>
        </is>
      </c>
      <c r="B4724" s="3" t="inlineStr">
        <is>
          <t>화승코퍼레이션</t>
        </is>
      </c>
      <c r="C4724" s="2" t="inlineStr">
        <is>
          <t>013520</t>
        </is>
      </c>
      <c r="D4724" s="2" t="inlineStr">
        <is>
          <t>임원보고</t>
        </is>
      </c>
      <c r="E4724" s="3" t="inlineStr">
        <is>
          <t>-</t>
        </is>
      </c>
      <c r="F4724" s="3" t="inlineStr">
        <is>
          <t>-</t>
        </is>
      </c>
      <c r="G4724" s="3" t="inlineStr">
        <is>
          <t>-</t>
        </is>
      </c>
      <c r="H4724" s="6" t="inlineStr"/>
      <c r="I4724" s="6" t="inlineStr"/>
      <c r="J4724" s="6" t="inlineStr"/>
      <c r="K4724" s="16" t="n">
        <v>12</v>
      </c>
      <c r="L4724" s="2" t="inlineStr">
        <is>
          <t>20260623800484</t>
        </is>
      </c>
      <c r="M4724" s="8">
        <f>HYPERLINK("https://dart.fss.or.kr/dsaf001/main.do?rcpNo=20260623800484", "공시열람")</f>
        <v/>
      </c>
    </row>
    <row r="4725" ht="22" customHeight="1">
      <c r="A4725" s="2" t="inlineStr">
        <is>
          <t>2026-06-23</t>
        </is>
      </c>
      <c r="B4725" s="3" t="inlineStr">
        <is>
          <t>플레이그램</t>
        </is>
      </c>
      <c r="C4725" s="2" t="inlineStr">
        <is>
          <t>009810</t>
        </is>
      </c>
      <c r="D4725" s="2" t="inlineStr">
        <is>
          <t>임원보고</t>
        </is>
      </c>
      <c r="E4725" s="3" t="inlineStr">
        <is>
          <t>-</t>
        </is>
      </c>
      <c r="F4725" s="3" t="inlineStr">
        <is>
          <t>-</t>
        </is>
      </c>
      <c r="G4725" s="3" t="inlineStr">
        <is>
          <t>-</t>
        </is>
      </c>
      <c r="H4725" s="6" t="inlineStr"/>
      <c r="I4725" s="6" t="inlineStr"/>
      <c r="J4725" s="6" t="inlineStr"/>
      <c r="K4725" s="16" t="n">
        <v>12</v>
      </c>
      <c r="L4725" s="2" t="inlineStr">
        <is>
          <t>20260623800474</t>
        </is>
      </c>
      <c r="M4725" s="8">
        <f>HYPERLINK("https://dart.fss.or.kr/dsaf001/main.do?rcpNo=20260623800474", "공시열람")</f>
        <v/>
      </c>
    </row>
    <row r="4726" ht="22" customHeight="1">
      <c r="A4726" s="2" t="inlineStr">
        <is>
          <t>2026-06-23</t>
        </is>
      </c>
      <c r="B4726" s="3" t="inlineStr">
        <is>
          <t>LF</t>
        </is>
      </c>
      <c r="C4726" s="2" t="inlineStr">
        <is>
          <t>093050</t>
        </is>
      </c>
      <c r="D4726" s="2" t="inlineStr">
        <is>
          <t>대량보유</t>
        </is>
      </c>
      <c r="E4726" s="3" t="inlineStr">
        <is>
          <t>구본걸</t>
        </is>
      </c>
      <c r="F4726" s="3" t="inlineStr">
        <is>
          <t>보고자</t>
        </is>
      </c>
      <c r="G4726" s="3" t="inlineStr">
        <is>
          <t>보유주식 등에 관한 주식담보대출계약 갱신(1건)1) LF디앤엘 주식담보대출계약 갱신 (1건)</t>
        </is>
      </c>
      <c r="H4726" s="6" t="inlineStr"/>
      <c r="I4726" s="6" t="inlineStr"/>
      <c r="J4726" s="6" t="n">
        <v>17248006</v>
      </c>
      <c r="K4726" s="16" t="n">
        <v>21</v>
      </c>
      <c r="L4726" s="2" t="inlineStr">
        <is>
          <t>20260623000270</t>
        </is>
      </c>
      <c r="M4726" s="8">
        <f>HYPERLINK("https://dart.fss.or.kr/dsaf001/main.do?rcpNo=20260623000270", "공시열람")</f>
        <v/>
      </c>
    </row>
    <row r="4727" ht="22" customHeight="1">
      <c r="A4727" s="2" t="inlineStr">
        <is>
          <t>2026-06-23</t>
        </is>
      </c>
      <c r="B4727" s="3" t="inlineStr">
        <is>
          <t>큐리언트</t>
        </is>
      </c>
      <c r="C4727" s="2" t="inlineStr">
        <is>
          <t>115180</t>
        </is>
      </c>
      <c r="D4727" s="2" t="inlineStr">
        <is>
          <t>대량보유</t>
        </is>
      </c>
      <c r="E4727" s="3" t="inlineStr">
        <is>
          <t>장준일</t>
        </is>
      </c>
      <c r="F4727" s="3" t="inlineStr">
        <is>
          <t>특별관계자</t>
        </is>
      </c>
      <c r="G4727" s="3" t="inlineStr">
        <is>
          <t>장내매도(-)</t>
        </is>
      </c>
      <c r="H4727" s="17" t="n">
        <v>-2000</v>
      </c>
      <c r="I4727" s="6" t="n">
        <v>43085</v>
      </c>
      <c r="J4727" s="6" t="n">
        <v>23000</v>
      </c>
      <c r="K4727" s="16" t="n">
        <v>7</v>
      </c>
      <c r="L4727" s="2" t="inlineStr">
        <is>
          <t>20260623000267</t>
        </is>
      </c>
      <c r="M4727" s="8">
        <f>HYPERLINK("https://dart.fss.or.kr/dsaf001/main.do?rcpNo=20260623000267", "공시열람")</f>
        <v/>
      </c>
    </row>
    <row r="4728" ht="22" customHeight="1">
      <c r="A4728" s="2" t="inlineStr">
        <is>
          <t>2026-06-23</t>
        </is>
      </c>
      <c r="B4728" s="3" t="inlineStr">
        <is>
          <t>국보디자인</t>
        </is>
      </c>
      <c r="C4728" s="2" t="inlineStr">
        <is>
          <t>066620</t>
        </is>
      </c>
      <c r="D4728" s="2" t="inlineStr">
        <is>
          <t>대량보유</t>
        </is>
      </c>
      <c r="E4728" s="3" t="inlineStr">
        <is>
          <t>황선응</t>
        </is>
      </c>
      <c r="F4728" s="3" t="inlineStr">
        <is>
          <t>특별관계자</t>
        </is>
      </c>
      <c r="G4728" s="3" t="inlineStr">
        <is>
          <t>장내매수(+), 자사주상여금(+), 수증(+)</t>
        </is>
      </c>
      <c r="H4728" s="15" t="n">
        <v>318582</v>
      </c>
      <c r="I4728" s="6" t="n">
        <v>10300</v>
      </c>
      <c r="J4728" s="6" t="n">
        <v>469409</v>
      </c>
      <c r="K4728" s="16" t="n">
        <v>11</v>
      </c>
      <c r="L4728" s="2" t="inlineStr">
        <is>
          <t>20260623000263</t>
        </is>
      </c>
      <c r="M4728" s="8">
        <f>HYPERLINK("https://dart.fss.or.kr/dsaf001/main.do?rcpNo=20260623000263", "공시열람")</f>
        <v/>
      </c>
    </row>
    <row r="4729" ht="22" customHeight="1">
      <c r="A4729" s="2" t="inlineStr">
        <is>
          <t>2026-06-23</t>
        </is>
      </c>
      <c r="B4729" s="3" t="inlineStr">
        <is>
          <t>국보디자인</t>
        </is>
      </c>
      <c r="C4729" s="2" t="inlineStr">
        <is>
          <t>066620</t>
        </is>
      </c>
      <c r="D4729" s="2" t="inlineStr">
        <is>
          <t>대량보유</t>
        </is>
      </c>
      <c r="E4729" s="3" t="inlineStr">
        <is>
          <t>황창연</t>
        </is>
      </c>
      <c r="F4729" s="3" t="inlineStr">
        <is>
          <t>특별관계자</t>
        </is>
      </c>
      <c r="G4729" s="3" t="inlineStr">
        <is>
          <t>증여(-)</t>
        </is>
      </c>
      <c r="H4729" s="17" t="n">
        <v>-631876</v>
      </c>
      <c r="I4729" s="6" t="inlineStr"/>
      <c r="J4729" s="6" t="n">
        <v>2858089</v>
      </c>
      <c r="K4729" s="16" t="n">
        <v>11</v>
      </c>
      <c r="L4729" s="2" t="inlineStr">
        <is>
          <t>20260623000263</t>
        </is>
      </c>
      <c r="M4729" s="8">
        <f>HYPERLINK("https://dart.fss.or.kr/dsaf001/main.do?rcpNo=20260623000263", "공시열람")</f>
        <v/>
      </c>
    </row>
    <row r="4730" ht="22" customHeight="1">
      <c r="A4730" s="2" t="inlineStr">
        <is>
          <t>2026-06-23</t>
        </is>
      </c>
      <c r="B4730" s="3" t="inlineStr">
        <is>
          <t>국보디자인</t>
        </is>
      </c>
      <c r="C4730" s="2" t="inlineStr">
        <is>
          <t>066620</t>
        </is>
      </c>
      <c r="D4730" s="2" t="inlineStr">
        <is>
          <t>대량보유</t>
        </is>
      </c>
      <c r="E4730" s="3" t="inlineStr">
        <is>
          <t>황선준</t>
        </is>
      </c>
      <c r="F4730" s="3" t="inlineStr">
        <is>
          <t>특별관계자</t>
        </is>
      </c>
      <c r="G4730" s="3" t="inlineStr">
        <is>
          <t>장내매수(+), 자사주상여금(+), 수증(+)</t>
        </is>
      </c>
      <c r="H4730" s="15" t="n">
        <v>320332</v>
      </c>
      <c r="I4730" s="6" t="n">
        <v>9908</v>
      </c>
      <c r="J4730" s="6" t="n">
        <v>424161</v>
      </c>
      <c r="K4730" s="16" t="n">
        <v>11</v>
      </c>
      <c r="L4730" s="2" t="inlineStr">
        <is>
          <t>20260623000263</t>
        </is>
      </c>
      <c r="M4730" s="8">
        <f>HYPERLINK("https://dart.fss.or.kr/dsaf001/main.do?rcpNo=20260623000263", "공시열람")</f>
        <v/>
      </c>
    </row>
    <row r="4731" ht="22" customHeight="1">
      <c r="A4731" s="2" t="inlineStr">
        <is>
          <t>2026-06-23</t>
        </is>
      </c>
      <c r="B4731" s="3" t="inlineStr">
        <is>
          <t>국보디자인</t>
        </is>
      </c>
      <c r="C4731" s="2" t="inlineStr">
        <is>
          <t>066620</t>
        </is>
      </c>
      <c r="D4731" s="2" t="inlineStr">
        <is>
          <t>대량보유</t>
        </is>
      </c>
      <c r="E4731" s="3" t="inlineStr">
        <is>
          <t>진보라</t>
        </is>
      </c>
      <c r="F4731" s="3" t="inlineStr">
        <is>
          <t>특별관계자</t>
        </is>
      </c>
      <c r="G4731" s="3" t="inlineStr">
        <is>
          <t>신규보고(+)</t>
        </is>
      </c>
      <c r="H4731" s="15" t="n">
        <v>1896</v>
      </c>
      <c r="I4731" s="6" t="inlineStr"/>
      <c r="J4731" s="6" t="n">
        <v>1896</v>
      </c>
      <c r="K4731" s="16" t="n">
        <v>11</v>
      </c>
      <c r="L4731" s="2" t="inlineStr">
        <is>
          <t>20260623000263</t>
        </is>
      </c>
      <c r="M4731" s="8">
        <f>HYPERLINK("https://dart.fss.or.kr/dsaf001/main.do?rcpNo=20260623000263", "공시열람")</f>
        <v/>
      </c>
    </row>
    <row r="4732" ht="22" customHeight="1">
      <c r="A4732" s="2" t="inlineStr">
        <is>
          <t>2026-06-23</t>
        </is>
      </c>
      <c r="B4732" s="3" t="inlineStr">
        <is>
          <t>국보디자인</t>
        </is>
      </c>
      <c r="C4732" s="2" t="inlineStr">
        <is>
          <t>066620</t>
        </is>
      </c>
      <c r="D4732" s="2" t="inlineStr">
        <is>
          <t>대량보유</t>
        </is>
      </c>
      <c r="E4732" s="3" t="inlineStr">
        <is>
          <t>황준영</t>
        </is>
      </c>
      <c r="F4732" s="3" t="inlineStr">
        <is>
          <t>특별관계자</t>
        </is>
      </c>
      <c r="G4732" s="3" t="inlineStr">
        <is>
          <t>신규보고(+)</t>
        </is>
      </c>
      <c r="H4732" s="15" t="n">
        <v>7969</v>
      </c>
      <c r="I4732" s="6" t="inlineStr"/>
      <c r="J4732" s="6" t="n">
        <v>7969</v>
      </c>
      <c r="K4732" s="16" t="n">
        <v>11</v>
      </c>
      <c r="L4732" s="2" t="inlineStr">
        <is>
          <t>20260623000263</t>
        </is>
      </c>
      <c r="M4732" s="8">
        <f>HYPERLINK("https://dart.fss.or.kr/dsaf001/main.do?rcpNo=20260623000263", "공시열람")</f>
        <v/>
      </c>
    </row>
    <row r="4733" ht="22" customHeight="1">
      <c r="A4733" s="2" t="inlineStr">
        <is>
          <t>2026-06-23</t>
        </is>
      </c>
      <c r="B4733" s="3" t="inlineStr">
        <is>
          <t>국보디자인</t>
        </is>
      </c>
      <c r="C4733" s="2" t="inlineStr">
        <is>
          <t>066620</t>
        </is>
      </c>
      <c r="D4733" s="2" t="inlineStr">
        <is>
          <t>대량보유</t>
        </is>
      </c>
      <c r="E4733" s="3" t="inlineStr">
        <is>
          <t>황윤성</t>
        </is>
      </c>
      <c r="F4733" s="3" t="inlineStr">
        <is>
          <t>특별관계자</t>
        </is>
      </c>
      <c r="G4733" s="3" t="inlineStr">
        <is>
          <t>신규보고(+)</t>
        </is>
      </c>
      <c r="H4733" s="15" t="n">
        <v>7969</v>
      </c>
      <c r="I4733" s="6" t="inlineStr"/>
      <c r="J4733" s="6" t="n">
        <v>7969</v>
      </c>
      <c r="K4733" s="16" t="n">
        <v>11</v>
      </c>
      <c r="L4733" s="2" t="inlineStr">
        <is>
          <t>20260623000263</t>
        </is>
      </c>
      <c r="M4733" s="8">
        <f>HYPERLINK("https://dart.fss.or.kr/dsaf001/main.do?rcpNo=20260623000263", "공시열람")</f>
        <v/>
      </c>
    </row>
    <row r="4734" ht="22" customHeight="1">
      <c r="A4734" s="2" t="inlineStr">
        <is>
          <t>2026-06-23</t>
        </is>
      </c>
      <c r="B4734" s="3" t="inlineStr">
        <is>
          <t>국보디자인</t>
        </is>
      </c>
      <c r="C4734" s="2" t="inlineStr">
        <is>
          <t>066620</t>
        </is>
      </c>
      <c r="D4734" s="2" t="inlineStr">
        <is>
          <t>대량보유</t>
        </is>
      </c>
      <c r="E4734" s="3" t="inlineStr">
        <is>
          <t>황민영</t>
        </is>
      </c>
      <c r="F4734" s="3" t="inlineStr">
        <is>
          <t>특별관계자</t>
        </is>
      </c>
      <c r="G4734" s="3" t="inlineStr">
        <is>
          <t>신규보고(+)</t>
        </is>
      </c>
      <c r="H4734" s="15" t="n">
        <v>7969</v>
      </c>
      <c r="I4734" s="6" t="inlineStr"/>
      <c r="J4734" s="6" t="n">
        <v>7969</v>
      </c>
      <c r="K4734" s="16" t="n">
        <v>11</v>
      </c>
      <c r="L4734" s="2" t="inlineStr">
        <is>
          <t>20260623000263</t>
        </is>
      </c>
      <c r="M4734" s="8">
        <f>HYPERLINK("https://dart.fss.or.kr/dsaf001/main.do?rcpNo=20260623000263", "공시열람")</f>
        <v/>
      </c>
    </row>
    <row r="4735" ht="22" customHeight="1">
      <c r="A4735" s="2" t="inlineStr">
        <is>
          <t>2026-06-23</t>
        </is>
      </c>
      <c r="B4735" s="3" t="inlineStr">
        <is>
          <t>국보디자인</t>
        </is>
      </c>
      <c r="C4735" s="2" t="inlineStr">
        <is>
          <t>066620</t>
        </is>
      </c>
      <c r="D4735" s="2" t="inlineStr">
        <is>
          <t>대량보유</t>
        </is>
      </c>
      <c r="E4735" s="3" t="inlineStr">
        <is>
          <t>황윤도</t>
        </is>
      </c>
      <c r="F4735" s="3" t="inlineStr">
        <is>
          <t>특별관계자</t>
        </is>
      </c>
      <c r="G4735" s="3" t="inlineStr">
        <is>
          <t>신규보고(+)</t>
        </is>
      </c>
      <c r="H4735" s="15" t="n">
        <v>7969</v>
      </c>
      <c r="I4735" s="6" t="inlineStr"/>
      <c r="J4735" s="6" t="n">
        <v>7969</v>
      </c>
      <c r="K4735" s="16" t="n">
        <v>11</v>
      </c>
      <c r="L4735" s="2" t="inlineStr">
        <is>
          <t>20260623000263</t>
        </is>
      </c>
      <c r="M4735" s="8">
        <f>HYPERLINK("https://dart.fss.or.kr/dsaf001/main.do?rcpNo=20260623000263", "공시열람")</f>
        <v/>
      </c>
    </row>
    <row r="4736" ht="22" customHeight="1">
      <c r="A4736" s="2" t="inlineStr">
        <is>
          <t>2026-06-23</t>
        </is>
      </c>
      <c r="B4736" s="3" t="inlineStr">
        <is>
          <t>국보디자인</t>
        </is>
      </c>
      <c r="C4736" s="2" t="inlineStr">
        <is>
          <t>066620</t>
        </is>
      </c>
      <c r="D4736" s="2" t="inlineStr">
        <is>
          <t>대량보유</t>
        </is>
      </c>
      <c r="E4736" s="3" t="inlineStr">
        <is>
          <t>이영옥</t>
        </is>
      </c>
      <c r="F4736" s="3" t="inlineStr">
        <is>
          <t>특별관계자</t>
        </is>
      </c>
      <c r="G4736" s="3" t="inlineStr">
        <is>
          <t>자사주상여금(+)</t>
        </is>
      </c>
      <c r="H4736" s="15" t="n">
        <v>1538</v>
      </c>
      <c r="I4736" s="6" t="inlineStr"/>
      <c r="J4736" s="6" t="n">
        <v>1538</v>
      </c>
      <c r="K4736" s="16" t="n">
        <v>11</v>
      </c>
      <c r="L4736" s="2" t="inlineStr">
        <is>
          <t>20260623000263</t>
        </is>
      </c>
      <c r="M4736" s="8">
        <f>HYPERLINK("https://dart.fss.or.kr/dsaf001/main.do?rcpNo=20260623000263", "공시열람")</f>
        <v/>
      </c>
    </row>
    <row r="4737" ht="22" customHeight="1">
      <c r="A4737" s="2" t="inlineStr">
        <is>
          <t>2026-06-23</t>
        </is>
      </c>
      <c r="B4737" s="3" t="inlineStr">
        <is>
          <t>국보디자인</t>
        </is>
      </c>
      <c r="C4737" s="2" t="inlineStr">
        <is>
          <t>066620</t>
        </is>
      </c>
      <c r="D4737" s="2" t="inlineStr">
        <is>
          <t>대량보유</t>
        </is>
      </c>
      <c r="E4737" s="3" t="inlineStr">
        <is>
          <t>김민기</t>
        </is>
      </c>
      <c r="F4737" s="3" t="inlineStr">
        <is>
          <t>특별관계자</t>
        </is>
      </c>
      <c r="G4737" s="3" t="inlineStr">
        <is>
          <t>신규보고(+)</t>
        </is>
      </c>
      <c r="H4737" s="15" t="n">
        <v>1318</v>
      </c>
      <c r="I4737" s="6" t="inlineStr"/>
      <c r="J4737" s="6" t="n">
        <v>1318</v>
      </c>
      <c r="K4737" s="16" t="n">
        <v>11</v>
      </c>
      <c r="L4737" s="2" t="inlineStr">
        <is>
          <t>20260623000263</t>
        </is>
      </c>
      <c r="M4737" s="8">
        <f>HYPERLINK("https://dart.fss.or.kr/dsaf001/main.do?rcpNo=20260623000263", "공시열람")</f>
        <v/>
      </c>
    </row>
    <row r="4738" ht="22" customHeight="1">
      <c r="A4738" s="2" t="inlineStr">
        <is>
          <t>2026-06-23</t>
        </is>
      </c>
      <c r="B4738" s="3" t="inlineStr">
        <is>
          <t>국보디자인</t>
        </is>
      </c>
      <c r="C4738" s="2" t="inlineStr">
        <is>
          <t>066620</t>
        </is>
      </c>
      <c r="D4738" s="2" t="inlineStr">
        <is>
          <t>대량보유</t>
        </is>
      </c>
      <c r="E4738" s="3" t="inlineStr">
        <is>
          <t>박재윤</t>
        </is>
      </c>
      <c r="F4738" s="3" t="inlineStr">
        <is>
          <t>특별관계자</t>
        </is>
      </c>
      <c r="G4738" s="3" t="inlineStr">
        <is>
          <t>신규보고(+)</t>
        </is>
      </c>
      <c r="H4738" s="15" t="n">
        <v>900</v>
      </c>
      <c r="I4738" s="6" t="inlineStr"/>
      <c r="J4738" s="6" t="n">
        <v>900</v>
      </c>
      <c r="K4738" s="16" t="n">
        <v>11</v>
      </c>
      <c r="L4738" s="2" t="inlineStr">
        <is>
          <t>20260623000263</t>
        </is>
      </c>
      <c r="M4738" s="8">
        <f>HYPERLINK("https://dart.fss.or.kr/dsaf001/main.do?rcpNo=20260623000263", "공시열람")</f>
        <v/>
      </c>
    </row>
    <row r="4739" ht="22" customHeight="1">
      <c r="A4739" s="2" t="inlineStr">
        <is>
          <t>2026-06-23</t>
        </is>
      </c>
      <c r="B4739" s="3" t="inlineStr">
        <is>
          <t>모아데이타</t>
        </is>
      </c>
      <c r="C4739" s="2" t="inlineStr">
        <is>
          <t>288980</t>
        </is>
      </c>
      <c r="D4739" s="2" t="inlineStr">
        <is>
          <t>대량보유</t>
        </is>
      </c>
      <c r="E4739" s="3" t="inlineStr">
        <is>
          <t>(주)다이나믹솔루션</t>
        </is>
      </c>
      <c r="F4739" s="3" t="inlineStr">
        <is>
          <t>특별관계자</t>
        </is>
      </c>
      <c r="G4739" s="3" t="inlineStr">
        <is>
          <t>CB인수(+)</t>
        </is>
      </c>
      <c r="H4739" s="15" t="n">
        <v>4609595</v>
      </c>
      <c r="I4739" s="6" t="n">
        <v>1063</v>
      </c>
      <c r="J4739" s="6" t="n">
        <v>4609595</v>
      </c>
      <c r="K4739" s="16" t="n">
        <v>11.25</v>
      </c>
      <c r="L4739" s="2" t="inlineStr">
        <is>
          <t>20260623000261</t>
        </is>
      </c>
      <c r="M4739" s="8">
        <f>HYPERLINK("https://dart.fss.or.kr/dsaf001/main.do?rcpNo=20260623000261", "공시열람")</f>
        <v/>
      </c>
    </row>
    <row r="4740" ht="22" customHeight="1">
      <c r="A4740" s="2" t="inlineStr">
        <is>
          <t>2026-06-23</t>
        </is>
      </c>
      <c r="B4740" s="3" t="inlineStr">
        <is>
          <t>유엔젤</t>
        </is>
      </c>
      <c r="C4740" s="2" t="inlineStr">
        <is>
          <t>072130</t>
        </is>
      </c>
      <c r="D4740" s="2" t="inlineStr">
        <is>
          <t>대량보유</t>
        </is>
      </c>
      <c r="E4740" s="3" t="inlineStr">
        <is>
          <t>(주)동심</t>
        </is>
      </c>
      <c r="F4740" s="3" t="inlineStr">
        <is>
          <t>특별관계자</t>
        </is>
      </c>
      <c r="G4740" s="3" t="inlineStr">
        <is>
          <t>장내매수(+)</t>
        </is>
      </c>
      <c r="H4740" s="15" t="n">
        <v>181140</v>
      </c>
      <c r="I4740" s="6" t="n">
        <v>4959</v>
      </c>
      <c r="J4740" s="6" t="n">
        <v>713089</v>
      </c>
      <c r="K4740" s="16" t="n">
        <v>1</v>
      </c>
      <c r="L4740" s="2" t="inlineStr">
        <is>
          <t>20260623000254</t>
        </is>
      </c>
      <c r="M4740" s="8">
        <f>HYPERLINK("https://dart.fss.or.kr/dsaf001/main.do?rcpNo=20260623000254", "공시열람")</f>
        <v/>
      </c>
    </row>
    <row r="4741" ht="22" customHeight="1">
      <c r="A4741" s="2" t="inlineStr">
        <is>
          <t>2026-06-23</t>
        </is>
      </c>
      <c r="B4741" s="3" t="inlineStr">
        <is>
          <t>하나34호스팩</t>
        </is>
      </c>
      <c r="C4741" s="2" t="inlineStr">
        <is>
          <t>484130</t>
        </is>
      </c>
      <c r="D4741" s="2" t="inlineStr">
        <is>
          <t>대량보유</t>
        </is>
      </c>
      <c r="E4741" s="3" t="inlineStr">
        <is>
          <t>더블유자산운용</t>
        </is>
      </c>
      <c r="F4741" s="3" t="inlineStr">
        <is>
          <t>특별관계자</t>
        </is>
      </c>
      <c r="G4741" s="3" t="inlineStr">
        <is>
          <t>신규등록(+), 장내매도(-), 장내매수(+)</t>
        </is>
      </c>
      <c r="H4741" s="15" t="n">
        <v>272447</v>
      </c>
      <c r="I4741" s="6" t="n">
        <v>2053</v>
      </c>
      <c r="J4741" s="6" t="n">
        <v>272447</v>
      </c>
      <c r="K4741" s="16" t="n">
        <v>6.03</v>
      </c>
      <c r="L4741" s="2" t="inlineStr">
        <is>
          <t>20260623000247</t>
        </is>
      </c>
      <c r="M4741" s="8">
        <f>HYPERLINK("https://dart.fss.or.kr/dsaf001/main.do?rcpNo=20260623000247", "공시열람")</f>
        <v/>
      </c>
    </row>
    <row r="4742" ht="22" customHeight="1">
      <c r="A4742" s="2" t="inlineStr">
        <is>
          <t>2026-06-23</t>
        </is>
      </c>
      <c r="B4742" s="3" t="inlineStr">
        <is>
          <t>아스타</t>
        </is>
      </c>
      <c r="C4742" s="2" t="inlineStr">
        <is>
          <t>246720</t>
        </is>
      </c>
      <c r="D4742" s="2" t="inlineStr">
        <is>
          <t>대량보유</t>
        </is>
      </c>
      <c r="E4742" s="3" t="inlineStr">
        <is>
          <t>조응준</t>
        </is>
      </c>
      <c r="F4742" s="3" t="inlineStr">
        <is>
          <t>보고자</t>
        </is>
      </c>
      <c r="G4742" s="3" t="inlineStr">
        <is>
          <t>주식양수도 계약체결 종결일 변경으로 인한 계약기간 정정</t>
        </is>
      </c>
      <c r="H4742" s="6" t="inlineStr"/>
      <c r="I4742" s="6" t="inlineStr"/>
      <c r="J4742" s="6" t="n">
        <v>5237099</v>
      </c>
      <c r="K4742" s="16" t="n">
        <v>5</v>
      </c>
      <c r="L4742" s="2" t="inlineStr">
        <is>
          <t>20260623000229</t>
        </is>
      </c>
      <c r="M4742" s="8">
        <f>HYPERLINK("https://dart.fss.or.kr/dsaf001/main.do?rcpNo=20260623000229", "공시열람")</f>
        <v/>
      </c>
    </row>
    <row r="4743" ht="22" customHeight="1">
      <c r="A4743" s="2" t="inlineStr">
        <is>
          <t>2026-06-23</t>
        </is>
      </c>
      <c r="B4743" s="3" t="inlineStr">
        <is>
          <t>누리플렉스</t>
        </is>
      </c>
      <c r="C4743" s="2" t="inlineStr">
        <is>
          <t>040160</t>
        </is>
      </c>
      <c r="D4743" s="2" t="inlineStr">
        <is>
          <t>대량보유</t>
        </is>
      </c>
      <c r="E4743" s="3" t="inlineStr">
        <is>
          <t>NuriFlex Holdings INC</t>
        </is>
      </c>
      <c r="F4743" s="3" t="inlineStr">
        <is>
          <t>보고자</t>
        </is>
      </c>
      <c r="G4743" s="3" t="inlineStr">
        <is>
          <t>변경(특관자 계약 변경)</t>
        </is>
      </c>
      <c r="H4743" s="6" t="inlineStr"/>
      <c r="I4743" s="6" t="inlineStr"/>
      <c r="J4743" s="6" t="n">
        <v>4414117</v>
      </c>
      <c r="K4743" s="16" t="n">
        <v>7</v>
      </c>
      <c r="L4743" s="2" t="inlineStr">
        <is>
          <t>20260623000227</t>
        </is>
      </c>
      <c r="M4743" s="8">
        <f>HYPERLINK("https://dart.fss.or.kr/dsaf001/main.do?rcpNo=20260623000227", "공시열람")</f>
        <v/>
      </c>
    </row>
    <row r="4744" ht="22" customHeight="1">
      <c r="A4744" s="2" t="inlineStr">
        <is>
          <t>2026-06-23 (정정: 2026-06-23)</t>
        </is>
      </c>
      <c r="B4744" s="3" t="inlineStr">
        <is>
          <t>아스타</t>
        </is>
      </c>
      <c r="C4744" s="2" t="inlineStr">
        <is>
          <t>246720</t>
        </is>
      </c>
      <c r="D4744" s="2" t="inlineStr">
        <is>
          <t>대량보유</t>
        </is>
      </c>
      <c r="E4744" s="3" t="inlineStr">
        <is>
          <t>-</t>
        </is>
      </c>
      <c r="F4744" s="3" t="inlineStr">
        <is>
          <t>보고자</t>
        </is>
      </c>
      <c r="G4744" s="3" t="inlineStr">
        <is>
          <t>-</t>
        </is>
      </c>
      <c r="H4744" s="6" t="inlineStr"/>
      <c r="I4744" s="6" t="inlineStr"/>
      <c r="J4744" s="6" t="inlineStr"/>
      <c r="K4744" s="18" t="inlineStr"/>
      <c r="L4744" s="2" t="inlineStr">
        <is>
          <t>20260623900247</t>
        </is>
      </c>
      <c r="M4744" s="8">
        <f>HYPERLINK("https://dart.fss.or.kr/dsaf001/main.do?rcpNo=20260623900247", "공시열람")</f>
        <v/>
      </c>
    </row>
    <row r="4745" ht="22" customHeight="1">
      <c r="A4745" s="2" t="inlineStr">
        <is>
          <t>2026-06-23</t>
        </is>
      </c>
      <c r="B4745" s="3" t="inlineStr">
        <is>
          <t>모아데이타</t>
        </is>
      </c>
      <c r="C4745" s="2" t="inlineStr">
        <is>
          <t>288980</t>
        </is>
      </c>
      <c r="D4745" s="2" t="inlineStr">
        <is>
          <t>대량보유</t>
        </is>
      </c>
      <c r="E4745" s="3" t="inlineStr">
        <is>
          <t>아너스2호투자조합</t>
        </is>
      </c>
      <c r="F4745" s="3" t="inlineStr">
        <is>
          <t>특별관계자</t>
        </is>
      </c>
      <c r="G4745" s="3" t="inlineStr">
        <is>
          <t>CB인수(+), 기타(-)</t>
        </is>
      </c>
      <c r="H4745" s="6" t="inlineStr"/>
      <c r="I4745" s="6" t="n">
        <v>532</v>
      </c>
      <c r="J4745" s="6" t="inlineStr"/>
      <c r="K4745" s="16" t="n">
        <v>2</v>
      </c>
      <c r="L4745" s="2" t="inlineStr">
        <is>
          <t>20260623000197</t>
        </is>
      </c>
      <c r="M4745" s="8">
        <f>HYPERLINK("https://dart.fss.or.kr/dsaf001/main.do?rcpNo=20260623000197", "공시열람")</f>
        <v/>
      </c>
    </row>
    <row r="4746" ht="22" customHeight="1">
      <c r="A4746" s="2" t="inlineStr">
        <is>
          <t>2026-06-23</t>
        </is>
      </c>
      <c r="B4746" s="3" t="inlineStr">
        <is>
          <t>일월지엠엘</t>
        </is>
      </c>
      <c r="C4746" s="2" t="inlineStr">
        <is>
          <t>178780</t>
        </is>
      </c>
      <c r="D4746" s="2" t="inlineStr">
        <is>
          <t>대량보유</t>
        </is>
      </c>
      <c r="E4746" s="3" t="inlineStr">
        <is>
          <t>김도운</t>
        </is>
      </c>
      <c r="F4746" s="3" t="inlineStr">
        <is>
          <t>특별관계자</t>
        </is>
      </c>
      <c r="G4746" s="3" t="inlineStr">
        <is>
          <t>장내매수(+)</t>
        </is>
      </c>
      <c r="H4746" s="15" t="n">
        <v>11769</v>
      </c>
      <c r="I4746" s="6" t="n">
        <v>2321</v>
      </c>
      <c r="J4746" s="6" t="n">
        <v>11769</v>
      </c>
      <c r="K4746" s="16" t="n">
        <v>10</v>
      </c>
      <c r="L4746" s="2" t="inlineStr">
        <is>
          <t>20260623000175</t>
        </is>
      </c>
      <c r="M4746" s="8">
        <f>HYPERLINK("https://dart.fss.or.kr/dsaf001/main.do?rcpNo=20260623000175", "공시열람")</f>
        <v/>
      </c>
    </row>
    <row r="4747" ht="22" customHeight="1">
      <c r="A4747" s="2" t="inlineStr">
        <is>
          <t>2026-06-23</t>
        </is>
      </c>
      <c r="B4747" s="3" t="inlineStr">
        <is>
          <t>일월지엠엘</t>
        </is>
      </c>
      <c r="C4747" s="2" t="inlineStr">
        <is>
          <t>178780</t>
        </is>
      </c>
      <c r="D4747" s="2" t="inlineStr">
        <is>
          <t>대량보유</t>
        </is>
      </c>
      <c r="E4747" s="3" t="inlineStr">
        <is>
          <t>김나연</t>
        </is>
      </c>
      <c r="F4747" s="3" t="inlineStr">
        <is>
          <t>특별관계자</t>
        </is>
      </c>
      <c r="G4747" s="3" t="inlineStr">
        <is>
          <t>장내매수(+)</t>
        </is>
      </c>
      <c r="H4747" s="15" t="n">
        <v>13149</v>
      </c>
      <c r="I4747" s="6" t="n">
        <v>2280</v>
      </c>
      <c r="J4747" s="6" t="n">
        <v>13149</v>
      </c>
      <c r="K4747" s="16" t="n">
        <v>10</v>
      </c>
      <c r="L4747" s="2" t="inlineStr">
        <is>
          <t>20260623000175</t>
        </is>
      </c>
      <c r="M4747" s="8">
        <f>HYPERLINK("https://dart.fss.or.kr/dsaf001/main.do?rcpNo=20260623000175", "공시열람")</f>
        <v/>
      </c>
    </row>
    <row r="4748" ht="22" customHeight="1">
      <c r="A4748" s="2" t="inlineStr">
        <is>
          <t>2026-06-23</t>
        </is>
      </c>
      <c r="B4748" s="3" t="inlineStr">
        <is>
          <t>일월지엠엘</t>
        </is>
      </c>
      <c r="C4748" s="2" t="inlineStr">
        <is>
          <t>178780</t>
        </is>
      </c>
      <c r="D4748" s="2" t="inlineStr">
        <is>
          <t>대량보유</t>
        </is>
      </c>
      <c r="E4748" s="3" t="inlineStr">
        <is>
          <t>김영동</t>
        </is>
      </c>
      <c r="F4748" s="3" t="inlineStr">
        <is>
          <t>특별관계자</t>
        </is>
      </c>
      <c r="G4748" s="3" t="inlineStr">
        <is>
          <t>장내매수(+)</t>
        </is>
      </c>
      <c r="H4748" s="15" t="n">
        <v>22652</v>
      </c>
      <c r="I4748" s="6" t="n">
        <v>2254</v>
      </c>
      <c r="J4748" s="6" t="n">
        <v>1103452</v>
      </c>
      <c r="K4748" s="16" t="n">
        <v>10</v>
      </c>
      <c r="L4748" s="2" t="inlineStr">
        <is>
          <t>20260623000175</t>
        </is>
      </c>
      <c r="M4748" s="8">
        <f>HYPERLINK("https://dart.fss.or.kr/dsaf001/main.do?rcpNo=20260623000175", "공시열람")</f>
        <v/>
      </c>
    </row>
    <row r="4749" ht="22" customHeight="1">
      <c r="A4749" s="2" t="inlineStr">
        <is>
          <t>2026-06-23</t>
        </is>
      </c>
      <c r="B4749" s="3" t="inlineStr">
        <is>
          <t>일월지엠엘</t>
        </is>
      </c>
      <c r="C4749" s="2" t="inlineStr">
        <is>
          <t>178780</t>
        </is>
      </c>
      <c r="D4749" s="2" t="inlineStr">
        <is>
          <t>대량보유</t>
        </is>
      </c>
      <c r="E4749" s="3" t="inlineStr">
        <is>
          <t>허희선</t>
        </is>
      </c>
      <c r="F4749" s="3" t="inlineStr">
        <is>
          <t>특별관계자</t>
        </is>
      </c>
      <c r="G4749" s="3" t="inlineStr">
        <is>
          <t>장내매수(+)</t>
        </is>
      </c>
      <c r="H4749" s="15" t="n">
        <v>5934</v>
      </c>
      <c r="I4749" s="6" t="n">
        <v>2269</v>
      </c>
      <c r="J4749" s="6" t="n">
        <v>816160</v>
      </c>
      <c r="K4749" s="16" t="n">
        <v>10</v>
      </c>
      <c r="L4749" s="2" t="inlineStr">
        <is>
          <t>20260623000175</t>
        </is>
      </c>
      <c r="M4749" s="8">
        <f>HYPERLINK("https://dart.fss.or.kr/dsaf001/main.do?rcpNo=20260623000175", "공시열람")</f>
        <v/>
      </c>
    </row>
    <row r="4750" ht="22" customHeight="1">
      <c r="A4750" s="2" t="inlineStr">
        <is>
          <t>2026-06-23</t>
        </is>
      </c>
      <c r="B4750" s="3" t="inlineStr">
        <is>
          <t>일월지엠엘</t>
        </is>
      </c>
      <c r="C4750" s="2" t="inlineStr">
        <is>
          <t>178780</t>
        </is>
      </c>
      <c r="D4750" s="2" t="inlineStr">
        <is>
          <t>대량보유</t>
        </is>
      </c>
      <c r="E4750" s="3" t="inlineStr">
        <is>
          <t>전시안</t>
        </is>
      </c>
      <c r="F4750" s="3" t="inlineStr">
        <is>
          <t>특별관계자</t>
        </is>
      </c>
      <c r="G4750" s="3" t="inlineStr">
        <is>
          <t>장내매수(+)</t>
        </is>
      </c>
      <c r="H4750" s="15" t="n">
        <v>4374</v>
      </c>
      <c r="I4750" s="6" t="n">
        <v>2274</v>
      </c>
      <c r="J4750" s="6" t="n">
        <v>15794</v>
      </c>
      <c r="K4750" s="16" t="n">
        <v>10</v>
      </c>
      <c r="L4750" s="2" t="inlineStr">
        <is>
          <t>20260623000175</t>
        </is>
      </c>
      <c r="M4750" s="8">
        <f>HYPERLINK("https://dart.fss.or.kr/dsaf001/main.do?rcpNo=20260623000175", "공시열람")</f>
        <v/>
      </c>
    </row>
    <row r="4751" ht="22" customHeight="1">
      <c r="A4751" s="2" t="inlineStr">
        <is>
          <t>2026-06-23</t>
        </is>
      </c>
      <c r="B4751" s="3" t="inlineStr">
        <is>
          <t>일월지엠엘</t>
        </is>
      </c>
      <c r="C4751" s="2" t="inlineStr">
        <is>
          <t>178780</t>
        </is>
      </c>
      <c r="D4751" s="2" t="inlineStr">
        <is>
          <t>대량보유</t>
        </is>
      </c>
      <c r="E4751" s="3" t="inlineStr">
        <is>
          <t>이현정</t>
        </is>
      </c>
      <c r="F4751" s="3" t="inlineStr">
        <is>
          <t>특별관계자</t>
        </is>
      </c>
      <c r="G4751" s="3" t="inlineStr">
        <is>
          <t>장내매수(+)</t>
        </is>
      </c>
      <c r="H4751" s="15" t="n">
        <v>9030</v>
      </c>
      <c r="I4751" s="6" t="n">
        <v>2268</v>
      </c>
      <c r="J4751" s="6" t="n">
        <v>1112060</v>
      </c>
      <c r="K4751" s="16" t="n">
        <v>10</v>
      </c>
      <c r="L4751" s="2" t="inlineStr">
        <is>
          <t>20260623000175</t>
        </is>
      </c>
      <c r="M4751" s="8">
        <f>HYPERLINK("https://dart.fss.or.kr/dsaf001/main.do?rcpNo=20260623000175", "공시열람")</f>
        <v/>
      </c>
    </row>
    <row r="4752" ht="22" customHeight="1">
      <c r="A4752" s="2" t="inlineStr">
        <is>
          <t>2026-06-23</t>
        </is>
      </c>
      <c r="B4752" s="3" t="inlineStr">
        <is>
          <t>일월지엠엘</t>
        </is>
      </c>
      <c r="C4752" s="2" t="inlineStr">
        <is>
          <t>178780</t>
        </is>
      </c>
      <c r="D4752" s="2" t="inlineStr">
        <is>
          <t>대량보유</t>
        </is>
      </c>
      <c r="E4752" s="3" t="inlineStr">
        <is>
          <t>전지우</t>
        </is>
      </c>
      <c r="F4752" s="3" t="inlineStr">
        <is>
          <t>특별관계자</t>
        </is>
      </c>
      <c r="G4752" s="3" t="inlineStr">
        <is>
          <t>장내매수(+)</t>
        </is>
      </c>
      <c r="H4752" s="15" t="n">
        <v>13375</v>
      </c>
      <c r="I4752" s="6" t="n">
        <v>2247</v>
      </c>
      <c r="J4752" s="6" t="n">
        <v>13375</v>
      </c>
      <c r="K4752" s="16" t="n">
        <v>10</v>
      </c>
      <c r="L4752" s="2" t="inlineStr">
        <is>
          <t>20260623000175</t>
        </is>
      </c>
      <c r="M4752" s="8">
        <f>HYPERLINK("https://dart.fss.or.kr/dsaf001/main.do?rcpNo=20260623000175", "공시열람")</f>
        <v/>
      </c>
    </row>
    <row r="4753" ht="22" customHeight="1">
      <c r="A4753" s="2" t="inlineStr">
        <is>
          <t>2026-06-23</t>
        </is>
      </c>
      <c r="B4753" s="3" t="inlineStr">
        <is>
          <t>오픈놀</t>
        </is>
      </c>
      <c r="C4753" s="2" t="inlineStr">
        <is>
          <t>440320</t>
        </is>
      </c>
      <c r="D4753" s="2" t="inlineStr">
        <is>
          <t>대량보유</t>
        </is>
      </c>
      <c r="E4753" s="3" t="inlineStr">
        <is>
          <t>라이프자산운용(주)</t>
        </is>
      </c>
      <c r="F4753" s="3" t="inlineStr">
        <is>
          <t>특별관계자</t>
        </is>
      </c>
      <c r="G4753" s="3" t="inlineStr">
        <is>
          <t>CB인수(+)</t>
        </is>
      </c>
      <c r="H4753" s="15" t="n">
        <v>699300</v>
      </c>
      <c r="I4753" s="6" t="n">
        <v>3575</v>
      </c>
      <c r="J4753" s="6" t="n">
        <v>1278866</v>
      </c>
      <c r="K4753" s="16" t="n">
        <v>11.51</v>
      </c>
      <c r="L4753" s="2" t="inlineStr">
        <is>
          <t>20260623000155</t>
        </is>
      </c>
      <c r="M4753" s="8">
        <f>HYPERLINK("https://dart.fss.or.kr/dsaf001/main.do?rcpNo=20260623000155", "공시열람")</f>
        <v/>
      </c>
    </row>
    <row r="4754" ht="22" customHeight="1">
      <c r="A4754" s="2" t="inlineStr">
        <is>
          <t>2026-06-23</t>
        </is>
      </c>
      <c r="B4754" s="3" t="inlineStr">
        <is>
          <t>대림통상</t>
        </is>
      </c>
      <c r="C4754" s="2" t="inlineStr">
        <is>
          <t>006570</t>
        </is>
      </c>
      <c r="D4754" s="2" t="inlineStr">
        <is>
          <t>대량보유</t>
        </is>
      </c>
      <c r="E4754" s="3" t="inlineStr">
        <is>
          <t>디앤디파트너스(주)</t>
        </is>
      </c>
      <c r="F4754" s="3" t="inlineStr">
        <is>
          <t>특별관계자</t>
        </is>
      </c>
      <c r="G4754" s="3" t="inlineStr">
        <is>
          <t>장내매수(+)</t>
        </is>
      </c>
      <c r="H4754" s="15" t="n">
        <v>2000</v>
      </c>
      <c r="I4754" s="6" t="n">
        <v>1911</v>
      </c>
      <c r="J4754" s="6" t="n">
        <v>6024474</v>
      </c>
      <c r="K4754" s="16" t="n">
        <v>4</v>
      </c>
      <c r="L4754" s="2" t="inlineStr">
        <is>
          <t>20260623000135</t>
        </is>
      </c>
      <c r="M4754" s="8">
        <f>HYPERLINK("https://dart.fss.or.kr/dsaf001/main.do?rcpNo=20260623000135", "공시열람")</f>
        <v/>
      </c>
    </row>
    <row r="4755" ht="22" customHeight="1">
      <c r="A4755" s="2" t="inlineStr">
        <is>
          <t>2026-06-23</t>
        </is>
      </c>
      <c r="B4755" s="3" t="inlineStr">
        <is>
          <t>대림통상</t>
        </is>
      </c>
      <c r="C4755" s="2" t="inlineStr">
        <is>
          <t>006570</t>
        </is>
      </c>
      <c r="D4755" s="2" t="inlineStr">
        <is>
          <t>임원보고</t>
        </is>
      </c>
      <c r="E4755" s="3" t="inlineStr">
        <is>
          <t>-</t>
        </is>
      </c>
      <c r="F4755" s="3" t="inlineStr">
        <is>
          <t>-</t>
        </is>
      </c>
      <c r="G4755" s="3" t="inlineStr">
        <is>
          <t>-</t>
        </is>
      </c>
      <c r="H4755" s="6" t="inlineStr"/>
      <c r="I4755" s="6" t="inlineStr"/>
      <c r="J4755" s="6" t="inlineStr"/>
      <c r="K4755" s="16" t="n">
        <v>12</v>
      </c>
      <c r="L4755" s="2" t="inlineStr">
        <is>
          <t>20260623800252</t>
        </is>
      </c>
      <c r="M4755" s="8">
        <f>HYPERLINK("https://dart.fss.or.kr/dsaf001/main.do?rcpNo=20260623800252", "공시열람")</f>
        <v/>
      </c>
    </row>
    <row r="4756" ht="22" customHeight="1">
      <c r="A4756" s="2" t="inlineStr">
        <is>
          <t>2026-06-23</t>
        </is>
      </c>
      <c r="B4756" s="3" t="inlineStr">
        <is>
          <t>대원화성</t>
        </is>
      </c>
      <c r="C4756" s="2" t="inlineStr">
        <is>
          <t>024890</t>
        </is>
      </c>
      <c r="D4756" s="2" t="inlineStr">
        <is>
          <t>대량보유</t>
        </is>
      </c>
      <c r="E4756" s="3" t="inlineStr">
        <is>
          <t>김병욱</t>
        </is>
      </c>
      <c r="F4756" s="3" t="inlineStr">
        <is>
          <t>특별관계자</t>
        </is>
      </c>
      <c r="G4756" s="3" t="inlineStr">
        <is>
          <t>장내매수(+), 주식병합</t>
        </is>
      </c>
      <c r="H4756" s="17" t="n">
        <v>-1450298</v>
      </c>
      <c r="I4756" s="6" t="n">
        <v>1851</v>
      </c>
      <c r="J4756" s="6" t="n">
        <v>449702</v>
      </c>
      <c r="K4756" s="16" t="n">
        <v>3</v>
      </c>
      <c r="L4756" s="2" t="inlineStr">
        <is>
          <t>20260623000117</t>
        </is>
      </c>
      <c r="M4756" s="8">
        <f>HYPERLINK("https://dart.fss.or.kr/dsaf001/main.do?rcpNo=20260623000117", "공시열람")</f>
        <v/>
      </c>
    </row>
    <row r="4757" ht="22" customHeight="1">
      <c r="A4757" s="2" t="inlineStr">
        <is>
          <t>2026-06-23</t>
        </is>
      </c>
      <c r="B4757" s="3" t="inlineStr">
        <is>
          <t>대원화성</t>
        </is>
      </c>
      <c r="C4757" s="2" t="inlineStr">
        <is>
          <t>024890</t>
        </is>
      </c>
      <c r="D4757" s="2" t="inlineStr">
        <is>
          <t>대량보유</t>
        </is>
      </c>
      <c r="E4757" s="3" t="inlineStr">
        <is>
          <t>탁현선</t>
        </is>
      </c>
      <c r="F4757" s="3" t="inlineStr">
        <is>
          <t>특별관계자</t>
        </is>
      </c>
      <c r="G4757" s="3" t="inlineStr">
        <is>
          <t>장내매수(+), 주식병합</t>
        </is>
      </c>
      <c r="H4757" s="17" t="n">
        <v>-255210</v>
      </c>
      <c r="I4757" s="6" t="n">
        <v>721</v>
      </c>
      <c r="J4757" s="6" t="n">
        <v>81140</v>
      </c>
      <c r="K4757" s="16" t="n">
        <v>3</v>
      </c>
      <c r="L4757" s="2" t="inlineStr">
        <is>
          <t>20260623000117</t>
        </is>
      </c>
      <c r="M4757" s="8">
        <f>HYPERLINK("https://dart.fss.or.kr/dsaf001/main.do?rcpNo=20260623000117", "공시열람")</f>
        <v/>
      </c>
    </row>
    <row r="4758" ht="22" customHeight="1">
      <c r="A4758" s="2" t="inlineStr">
        <is>
          <t>2026-06-23</t>
        </is>
      </c>
      <c r="B4758" s="3" t="inlineStr">
        <is>
          <t>대원화성</t>
        </is>
      </c>
      <c r="C4758" s="2" t="inlineStr">
        <is>
          <t>024890</t>
        </is>
      </c>
      <c r="D4758" s="2" t="inlineStr">
        <is>
          <t>대량보유</t>
        </is>
      </c>
      <c r="E4758" s="3" t="inlineStr">
        <is>
          <t>김규현</t>
        </is>
      </c>
      <c r="F4758" s="3" t="inlineStr">
        <is>
          <t>특별관계자</t>
        </is>
      </c>
      <c r="G4758" s="3" t="inlineStr">
        <is>
          <t>장내매수(+), 주식병합</t>
        </is>
      </c>
      <c r="H4758" s="17" t="n">
        <v>-31297</v>
      </c>
      <c r="I4758" s="6" t="n">
        <v>1121</v>
      </c>
      <c r="J4758" s="6" t="n">
        <v>15625</v>
      </c>
      <c r="K4758" s="16" t="n">
        <v>3</v>
      </c>
      <c r="L4758" s="2" t="inlineStr">
        <is>
          <t>20260623000117</t>
        </is>
      </c>
      <c r="M4758" s="8">
        <f>HYPERLINK("https://dart.fss.or.kr/dsaf001/main.do?rcpNo=20260623000117", "공시열람")</f>
        <v/>
      </c>
    </row>
    <row r="4759" ht="22" customHeight="1">
      <c r="A4759" s="2" t="inlineStr">
        <is>
          <t>2026-06-23</t>
        </is>
      </c>
      <c r="B4759" s="3" t="inlineStr">
        <is>
          <t>대원화성</t>
        </is>
      </c>
      <c r="C4759" s="2" t="inlineStr">
        <is>
          <t>024890</t>
        </is>
      </c>
      <c r="D4759" s="2" t="inlineStr">
        <is>
          <t>대량보유</t>
        </is>
      </c>
      <c r="E4759" s="3" t="inlineStr">
        <is>
          <t>김규인</t>
        </is>
      </c>
      <c r="F4759" s="3" t="inlineStr">
        <is>
          <t>특별관계자</t>
        </is>
      </c>
      <c r="G4759" s="3" t="inlineStr">
        <is>
          <t>장내매수(+), 장내매도(-), 주식병합</t>
        </is>
      </c>
      <c r="H4759" s="17" t="n">
        <v>-31130</v>
      </c>
      <c r="I4759" s="6" t="n">
        <v>1224</v>
      </c>
      <c r="J4759" s="6" t="n">
        <v>12692</v>
      </c>
      <c r="K4759" s="16" t="n">
        <v>3</v>
      </c>
      <c r="L4759" s="2" t="inlineStr">
        <is>
          <t>20260623000117</t>
        </is>
      </c>
      <c r="M4759" s="8">
        <f>HYPERLINK("https://dart.fss.or.kr/dsaf001/main.do?rcpNo=20260623000117", "공시열람")</f>
        <v/>
      </c>
    </row>
    <row r="4760" ht="22" customHeight="1">
      <c r="A4760" s="2" t="inlineStr">
        <is>
          <t>2026-06-23</t>
        </is>
      </c>
      <c r="B4760" s="3" t="inlineStr">
        <is>
          <t>미창석유공업</t>
        </is>
      </c>
      <c r="C4760" s="2" t="inlineStr">
        <is>
          <t>003650</t>
        </is>
      </c>
      <c r="D4760" s="2" t="inlineStr">
        <is>
          <t>대량보유</t>
        </is>
      </c>
      <c r="E4760" s="3" t="inlineStr">
        <is>
          <t>유재순</t>
        </is>
      </c>
      <c r="F4760" s="3" t="inlineStr">
        <is>
          <t>보고자</t>
        </is>
      </c>
      <c r="G4760" s="3" t="inlineStr">
        <is>
          <t>이전 계약된 증여세 연부연납 세액이 완납되어 담보 해제함.</t>
        </is>
      </c>
      <c r="H4760" s="6" t="inlineStr"/>
      <c r="I4760" s="6" t="inlineStr"/>
      <c r="J4760" s="6" t="n">
        <v>700059</v>
      </c>
      <c r="K4760" s="16" t="n">
        <v>3</v>
      </c>
      <c r="L4760" s="2" t="inlineStr">
        <is>
          <t>20260623000085</t>
        </is>
      </c>
      <c r="M4760" s="8">
        <f>HYPERLINK("https://dart.fss.or.kr/dsaf001/main.do?rcpNo=20260623000085", "공시열람")</f>
        <v/>
      </c>
    </row>
    <row r="4761" ht="22" customHeight="1">
      <c r="A4761" s="2" t="inlineStr">
        <is>
          <t>2026-06-23</t>
        </is>
      </c>
      <c r="B4761" s="3" t="inlineStr">
        <is>
          <t>나라엠앤디</t>
        </is>
      </c>
      <c r="C4761" s="2" t="inlineStr">
        <is>
          <t>051490</t>
        </is>
      </c>
      <c r="D4761" s="2" t="inlineStr">
        <is>
          <t>대량보유</t>
        </is>
      </c>
      <c r="E4761" s="3" t="inlineStr">
        <is>
          <t>김영주</t>
        </is>
      </c>
      <c r="F4761" s="3" t="inlineStr">
        <is>
          <t>특별관계자</t>
        </is>
      </c>
      <c r="G4761" s="3" t="inlineStr">
        <is>
          <t>장내매수(+)</t>
        </is>
      </c>
      <c r="H4761" s="15" t="n">
        <v>12007</v>
      </c>
      <c r="I4761" s="6" t="n">
        <v>2729</v>
      </c>
      <c r="J4761" s="6" t="n">
        <v>65500</v>
      </c>
      <c r="K4761" s="16" t="n">
        <v>15</v>
      </c>
      <c r="L4761" s="2" t="inlineStr">
        <is>
          <t>20260623000082</t>
        </is>
      </c>
      <c r="M4761" s="8">
        <f>HYPERLINK("https://dart.fss.or.kr/dsaf001/main.do?rcpNo=20260623000082", "공시열람")</f>
        <v/>
      </c>
    </row>
    <row r="4762" ht="22" customHeight="1">
      <c r="A4762" s="2" t="inlineStr">
        <is>
          <t>2026-06-23</t>
        </is>
      </c>
      <c r="B4762" s="3" t="inlineStr">
        <is>
          <t>유진로봇</t>
        </is>
      </c>
      <c r="C4762" s="2" t="inlineStr">
        <is>
          <t>056080</t>
        </is>
      </c>
      <c r="D4762" s="2" t="inlineStr">
        <is>
          <t>대량보유</t>
        </is>
      </c>
      <c r="E4762" s="3" t="inlineStr">
        <is>
          <t>유한회사시만</t>
        </is>
      </c>
      <c r="F4762" s="3" t="inlineStr">
        <is>
          <t>특별관계자</t>
        </is>
      </c>
      <c r="G4762" s="3" t="inlineStr">
        <is>
          <t>시간외매매(-)</t>
        </is>
      </c>
      <c r="H4762" s="17" t="n">
        <v>-1126490</v>
      </c>
      <c r="I4762" s="6" t="n">
        <v>15117</v>
      </c>
      <c r="J4762" s="6" t="n">
        <v>13337890</v>
      </c>
      <c r="K4762" s="16" t="n">
        <v>2</v>
      </c>
      <c r="L4762" s="2" t="inlineStr">
        <is>
          <t>20260623000049</t>
        </is>
      </c>
      <c r="M4762" s="8">
        <f>HYPERLINK("https://dart.fss.or.kr/dsaf001/main.do?rcpNo=20260623000049", "공시열람")</f>
        <v/>
      </c>
    </row>
    <row r="4763" ht="22" customHeight="1">
      <c r="A4763" s="2" t="inlineStr">
        <is>
          <t>2026-06-23</t>
        </is>
      </c>
      <c r="B4763" s="3" t="inlineStr">
        <is>
          <t>삼보산업</t>
        </is>
      </c>
      <c r="C4763" s="2" t="inlineStr">
        <is>
          <t>009620</t>
        </is>
      </c>
      <c r="D4763" s="2" t="inlineStr">
        <is>
          <t>대량보유</t>
        </is>
      </c>
      <c r="E4763" s="3" t="inlineStr">
        <is>
          <t>(주)해창</t>
        </is>
      </c>
      <c r="F4763" s="3" t="inlineStr">
        <is>
          <t>특별관계자</t>
        </is>
      </c>
      <c r="G4763" s="3" t="inlineStr">
        <is>
          <t>장내매수(+)</t>
        </is>
      </c>
      <c r="H4763" s="15" t="n">
        <v>660728</v>
      </c>
      <c r="I4763" s="6" t="n">
        <v>774</v>
      </c>
      <c r="J4763" s="6" t="n">
        <v>660728</v>
      </c>
      <c r="K4763" s="16" t="n">
        <v>3</v>
      </c>
      <c r="L4763" s="2" t="inlineStr">
        <is>
          <t>20260623000010</t>
        </is>
      </c>
      <c r="M4763" s="8">
        <f>HYPERLINK("https://dart.fss.or.kr/dsaf001/main.do?rcpNo=20260623000010", "공시열람")</f>
        <v/>
      </c>
    </row>
    <row r="4764" ht="22" customHeight="1">
      <c r="A4764" s="2" t="inlineStr">
        <is>
          <t>2026-06-23</t>
        </is>
      </c>
      <c r="B4764" s="3" t="inlineStr">
        <is>
          <t>핑거</t>
        </is>
      </c>
      <c r="C4764" s="2" t="inlineStr">
        <is>
          <t>163730</t>
        </is>
      </c>
      <c r="D4764" s="2" t="inlineStr">
        <is>
          <t>대량보유</t>
        </is>
      </c>
      <c r="E4764" s="3" t="inlineStr">
        <is>
          <t>몬타나41조합</t>
        </is>
      </c>
      <c r="F4764" s="3" t="inlineStr">
        <is>
          <t>특별관계자</t>
        </is>
      </c>
      <c r="G4764" s="3" t="inlineStr">
        <is>
          <t>기타(-)</t>
        </is>
      </c>
      <c r="H4764" s="17" t="n">
        <v>-560000</v>
      </c>
      <c r="I4764" s="6" t="inlineStr"/>
      <c r="J4764" s="6" t="inlineStr"/>
      <c r="K4764" s="16" t="n">
        <v>41</v>
      </c>
      <c r="L4764" s="2" t="inlineStr">
        <is>
          <t>20260623000001</t>
        </is>
      </c>
      <c r="M4764" s="8">
        <f>HYPERLINK("https://dart.fss.or.kr/dsaf001/main.do?rcpNo=20260623000001", "공시열람")</f>
        <v/>
      </c>
    </row>
    <row r="4765" ht="22" customHeight="1">
      <c r="A4765" s="2" t="inlineStr">
        <is>
          <t>2026-06-23</t>
        </is>
      </c>
      <c r="B4765" s="3" t="inlineStr">
        <is>
          <t>핑거</t>
        </is>
      </c>
      <c r="C4765" s="2" t="inlineStr">
        <is>
          <t>163730</t>
        </is>
      </c>
      <c r="D4765" s="2" t="inlineStr">
        <is>
          <t>대량보유</t>
        </is>
      </c>
      <c r="E4765" s="3" t="inlineStr">
        <is>
          <t>서룡전자(주)</t>
        </is>
      </c>
      <c r="F4765" s="3" t="inlineStr">
        <is>
          <t>특별관계자</t>
        </is>
      </c>
      <c r="G4765" s="3" t="inlineStr">
        <is>
          <t>조합원 변경</t>
        </is>
      </c>
      <c r="H4765" s="6" t="inlineStr"/>
      <c r="I4765" s="6" t="inlineStr"/>
      <c r="J4765" s="6" t="inlineStr"/>
      <c r="K4765" s="16" t="n">
        <v>41</v>
      </c>
      <c r="L4765" s="2" t="inlineStr">
        <is>
          <t>20260623000001</t>
        </is>
      </c>
      <c r="M4765" s="8">
        <f>HYPERLINK("https://dart.fss.or.kr/dsaf001/main.do?rcpNo=20260623000001", "공시열람")</f>
        <v/>
      </c>
    </row>
    <row r="4766" ht="22" customHeight="1">
      <c r="A4766" s="2" t="inlineStr">
        <is>
          <t>2026-06-23</t>
        </is>
      </c>
      <c r="B4766" s="3" t="inlineStr">
        <is>
          <t>핑거</t>
        </is>
      </c>
      <c r="C4766" s="2" t="inlineStr">
        <is>
          <t>163730</t>
        </is>
      </c>
      <c r="D4766" s="2" t="inlineStr">
        <is>
          <t>대량보유</t>
        </is>
      </c>
      <c r="E4766" s="3" t="inlineStr">
        <is>
          <t>조준휘</t>
        </is>
      </c>
      <c r="F4766" s="3" t="inlineStr">
        <is>
          <t>특별관계자</t>
        </is>
      </c>
      <c r="G4766" s="3" t="inlineStr">
        <is>
          <t>조합원 변경</t>
        </is>
      </c>
      <c r="H4766" s="6" t="inlineStr"/>
      <c r="I4766" s="6" t="inlineStr"/>
      <c r="J4766" s="6" t="inlineStr"/>
      <c r="K4766" s="16" t="n">
        <v>41</v>
      </c>
      <c r="L4766" s="2" t="inlineStr">
        <is>
          <t>20260623000001</t>
        </is>
      </c>
      <c r="M4766" s="8">
        <f>HYPERLINK("https://dart.fss.or.kr/dsaf001/main.do?rcpNo=20260623000001", "공시열람")</f>
        <v/>
      </c>
    </row>
    <row r="4767" ht="22" customHeight="1">
      <c r="A4767" s="2" t="inlineStr">
        <is>
          <t>2026-06-23</t>
        </is>
      </c>
      <c r="B4767" s="3" t="inlineStr">
        <is>
          <t>핑거</t>
        </is>
      </c>
      <c r="C4767" s="2" t="inlineStr">
        <is>
          <t>163730</t>
        </is>
      </c>
      <c r="D4767" s="2" t="inlineStr">
        <is>
          <t>대량보유</t>
        </is>
      </c>
      <c r="E4767" s="3" t="inlineStr">
        <is>
          <t>(주)동아디젤</t>
        </is>
      </c>
      <c r="F4767" s="3" t="inlineStr">
        <is>
          <t>특별관계자</t>
        </is>
      </c>
      <c r="G4767" s="3" t="inlineStr">
        <is>
          <t>조합원 변경</t>
        </is>
      </c>
      <c r="H4767" s="6" t="inlineStr"/>
      <c r="I4767" s="6" t="inlineStr"/>
      <c r="J4767" s="6" t="inlineStr"/>
      <c r="K4767" s="16" t="n">
        <v>41</v>
      </c>
      <c r="L4767" s="2" t="inlineStr">
        <is>
          <t>20260623000001</t>
        </is>
      </c>
      <c r="M4767" s="8">
        <f>HYPERLINK("https://dart.fss.or.kr/dsaf001/main.do?rcpNo=20260623000001", "공시열람")</f>
        <v/>
      </c>
    </row>
    <row r="4768" ht="22" customHeight="1">
      <c r="A4768" s="2" t="inlineStr">
        <is>
          <t>2026-06-23</t>
        </is>
      </c>
      <c r="B4768" s="3" t="inlineStr">
        <is>
          <t>핑거</t>
        </is>
      </c>
      <c r="C4768" s="2" t="inlineStr">
        <is>
          <t>163730</t>
        </is>
      </c>
      <c r="D4768" s="2" t="inlineStr">
        <is>
          <t>대량보유</t>
        </is>
      </c>
      <c r="E4768" s="3" t="inlineStr">
        <is>
          <t>(주)세진비앤씨</t>
        </is>
      </c>
      <c r="F4768" s="3" t="inlineStr">
        <is>
          <t>특별관계자</t>
        </is>
      </c>
      <c r="G4768" s="3" t="inlineStr">
        <is>
          <t>조합원 변경</t>
        </is>
      </c>
      <c r="H4768" s="6" t="inlineStr"/>
      <c r="I4768" s="6" t="inlineStr"/>
      <c r="J4768" s="6" t="inlineStr"/>
      <c r="K4768" s="16" t="n">
        <v>41</v>
      </c>
      <c r="L4768" s="2" t="inlineStr">
        <is>
          <t>20260623000001</t>
        </is>
      </c>
      <c r="M4768" s="8">
        <f>HYPERLINK("https://dart.fss.or.kr/dsaf001/main.do?rcpNo=20260623000001", "공시열람")</f>
        <v/>
      </c>
    </row>
    <row r="4769" ht="22" customHeight="1">
      <c r="A4769" s="2" t="inlineStr">
        <is>
          <t>2026-06-23</t>
        </is>
      </c>
      <c r="B4769" s="3" t="inlineStr">
        <is>
          <t>핑거</t>
        </is>
      </c>
      <c r="C4769" s="2" t="inlineStr">
        <is>
          <t>163730</t>
        </is>
      </c>
      <c r="D4769" s="2" t="inlineStr">
        <is>
          <t>대량보유</t>
        </is>
      </c>
      <c r="E4769" s="3" t="inlineStr">
        <is>
          <t>정우찬</t>
        </is>
      </c>
      <c r="F4769" s="3" t="inlineStr">
        <is>
          <t>특별관계자</t>
        </is>
      </c>
      <c r="G4769" s="3" t="inlineStr">
        <is>
          <t>조합원 변경</t>
        </is>
      </c>
      <c r="H4769" s="6" t="inlineStr"/>
      <c r="I4769" s="6" t="inlineStr"/>
      <c r="J4769" s="6" t="inlineStr"/>
      <c r="K4769" s="16" t="n">
        <v>41</v>
      </c>
      <c r="L4769" s="2" t="inlineStr">
        <is>
          <t>20260623000001</t>
        </is>
      </c>
      <c r="M4769" s="8">
        <f>HYPERLINK("https://dart.fss.or.kr/dsaf001/main.do?rcpNo=20260623000001", "공시열람")</f>
        <v/>
      </c>
    </row>
    <row r="4770" ht="22" customHeight="1">
      <c r="A4770" s="2" t="inlineStr">
        <is>
          <t>2026-06-23</t>
        </is>
      </c>
      <c r="B4770" s="3" t="inlineStr">
        <is>
          <t>핑거</t>
        </is>
      </c>
      <c r="C4770" s="2" t="inlineStr">
        <is>
          <t>163730</t>
        </is>
      </c>
      <c r="D4770" s="2" t="inlineStr">
        <is>
          <t>대량보유</t>
        </is>
      </c>
      <c r="E4770" s="3" t="inlineStr">
        <is>
          <t>코어스트림파트너스(주)</t>
        </is>
      </c>
      <c r="F4770" s="3" t="inlineStr">
        <is>
          <t>특별관계자</t>
        </is>
      </c>
      <c r="G4770" s="3" t="inlineStr">
        <is>
          <t>조합원 변경</t>
        </is>
      </c>
      <c r="H4770" s="6" t="inlineStr"/>
      <c r="I4770" s="6" t="inlineStr"/>
      <c r="J4770" s="6" t="inlineStr"/>
      <c r="K4770" s="16" t="n">
        <v>41</v>
      </c>
      <c r="L4770" s="2" t="inlineStr">
        <is>
          <t>20260623000001</t>
        </is>
      </c>
      <c r="M4770" s="8">
        <f>HYPERLINK("https://dart.fss.or.kr/dsaf001/main.do?rcpNo=20260623000001", "공시열람")</f>
        <v/>
      </c>
    </row>
    <row r="4771" ht="22" customHeight="1">
      <c r="A4771" s="2" t="inlineStr">
        <is>
          <t>2026-06-23</t>
        </is>
      </c>
      <c r="B4771" s="3" t="inlineStr">
        <is>
          <t>핑거</t>
        </is>
      </c>
      <c r="C4771" s="2" t="inlineStr">
        <is>
          <t>163730</t>
        </is>
      </c>
      <c r="D4771" s="2" t="inlineStr">
        <is>
          <t>대량보유</t>
        </is>
      </c>
      <c r="E4771" s="3" t="inlineStr">
        <is>
          <t>정승재</t>
        </is>
      </c>
      <c r="F4771" s="3" t="inlineStr">
        <is>
          <t>특별관계자</t>
        </is>
      </c>
      <c r="G4771" s="3" t="inlineStr">
        <is>
          <t>조합원 변경</t>
        </is>
      </c>
      <c r="H4771" s="6" t="inlineStr"/>
      <c r="I4771" s="6" t="inlineStr"/>
      <c r="J4771" s="6" t="inlineStr"/>
      <c r="K4771" s="16" t="n">
        <v>41</v>
      </c>
      <c r="L4771" s="2" t="inlineStr">
        <is>
          <t>20260623000001</t>
        </is>
      </c>
      <c r="M4771" s="8">
        <f>HYPERLINK("https://dart.fss.or.kr/dsaf001/main.do?rcpNo=20260623000001", "공시열람")</f>
        <v/>
      </c>
    </row>
    <row r="4772" ht="22" customHeight="1">
      <c r="A4772" s="2" t="inlineStr">
        <is>
          <t>2026-06-23</t>
        </is>
      </c>
      <c r="B4772" s="3" t="inlineStr">
        <is>
          <t>핑거</t>
        </is>
      </c>
      <c r="C4772" s="2" t="inlineStr">
        <is>
          <t>163730</t>
        </is>
      </c>
      <c r="D4772" s="2" t="inlineStr">
        <is>
          <t>대량보유</t>
        </is>
      </c>
      <c r="E4772" s="3" t="inlineStr">
        <is>
          <t>장창수</t>
        </is>
      </c>
      <c r="F4772" s="3" t="inlineStr">
        <is>
          <t>특별관계자</t>
        </is>
      </c>
      <c r="G4772" s="3" t="inlineStr">
        <is>
          <t>조합원 변경</t>
        </is>
      </c>
      <c r="H4772" s="6" t="inlineStr"/>
      <c r="I4772" s="6" t="inlineStr"/>
      <c r="J4772" s="6" t="inlineStr"/>
      <c r="K4772" s="16" t="n">
        <v>41</v>
      </c>
      <c r="L4772" s="2" t="inlineStr">
        <is>
          <t>20260623000001</t>
        </is>
      </c>
      <c r="M4772" s="8">
        <f>HYPERLINK("https://dart.fss.or.kr/dsaf001/main.do?rcpNo=20260623000001", "공시열람")</f>
        <v/>
      </c>
    </row>
    <row r="4773" ht="22" customHeight="1">
      <c r="A4773" s="2" t="inlineStr">
        <is>
          <t>2026-06-23</t>
        </is>
      </c>
      <c r="B4773" s="3" t="inlineStr">
        <is>
          <t>핑거</t>
        </is>
      </c>
      <c r="C4773" s="2" t="inlineStr">
        <is>
          <t>163730</t>
        </is>
      </c>
      <c r="D4773" s="2" t="inlineStr">
        <is>
          <t>대량보유</t>
        </is>
      </c>
      <c r="E4773" s="3" t="inlineStr">
        <is>
          <t>서룡전자(주)</t>
        </is>
      </c>
      <c r="F4773" s="3" t="inlineStr">
        <is>
          <t>특별관계자</t>
        </is>
      </c>
      <c r="G4773" s="3" t="inlineStr">
        <is>
          <t>장외매수(+)</t>
        </is>
      </c>
      <c r="H4773" s="15" t="n">
        <v>45000</v>
      </c>
      <c r="I4773" s="6" t="n">
        <v>17000</v>
      </c>
      <c r="J4773" s="6" t="n">
        <v>2893245</v>
      </c>
      <c r="K4773" s="16" t="n">
        <v>19</v>
      </c>
      <c r="L4773" s="2" t="inlineStr">
        <is>
          <t>20260622000414</t>
        </is>
      </c>
      <c r="M4773" s="8">
        <f>HYPERLINK("https://dart.fss.or.kr/dsaf001/main.do?rcpNo=20260622000414", "공시열람")</f>
        <v/>
      </c>
    </row>
    <row r="4774" ht="22" customHeight="1">
      <c r="A4774" s="2" t="inlineStr">
        <is>
          <t>2026-06-23</t>
        </is>
      </c>
      <c r="B4774" s="3" t="inlineStr">
        <is>
          <t>핑거</t>
        </is>
      </c>
      <c r="C4774" s="2" t="inlineStr">
        <is>
          <t>163730</t>
        </is>
      </c>
      <c r="D4774" s="2" t="inlineStr">
        <is>
          <t>대량보유</t>
        </is>
      </c>
      <c r="E4774" s="3" t="inlineStr">
        <is>
          <t>몬타나41조합</t>
        </is>
      </c>
      <c r="F4774" s="3" t="inlineStr">
        <is>
          <t>특별관계자</t>
        </is>
      </c>
      <c r="G4774" s="3" t="inlineStr">
        <is>
          <t>신규보고(+)</t>
        </is>
      </c>
      <c r="H4774" s="15" t="n">
        <v>560000</v>
      </c>
      <c r="I4774" s="6" t="n">
        <v>17000</v>
      </c>
      <c r="J4774" s="6" t="n">
        <v>560000</v>
      </c>
      <c r="K4774" s="16" t="n">
        <v>19</v>
      </c>
      <c r="L4774" s="2" t="inlineStr">
        <is>
          <t>20260622000414</t>
        </is>
      </c>
      <c r="M4774" s="8">
        <f>HYPERLINK("https://dart.fss.or.kr/dsaf001/main.do?rcpNo=20260622000414", "공시열람")</f>
        <v/>
      </c>
    </row>
    <row r="4775" ht="22" customHeight="1">
      <c r="A4775" s="2" t="inlineStr">
        <is>
          <t>2026-06-23</t>
        </is>
      </c>
      <c r="B4775" s="3" t="inlineStr">
        <is>
          <t>핑거</t>
        </is>
      </c>
      <c r="C4775" s="2" t="inlineStr">
        <is>
          <t>163730</t>
        </is>
      </c>
      <c r="D4775" s="2" t="inlineStr">
        <is>
          <t>대량보유</t>
        </is>
      </c>
      <c r="E4775" s="3" t="inlineStr">
        <is>
          <t>조준휘</t>
        </is>
      </c>
      <c r="F4775" s="3" t="inlineStr">
        <is>
          <t>특별관계자</t>
        </is>
      </c>
      <c r="G4775" s="3" t="inlineStr">
        <is>
          <t>단순추가취득 및 조합가입</t>
        </is>
      </c>
      <c r="H4775" s="6" t="inlineStr"/>
      <c r="I4775" s="6" t="inlineStr"/>
      <c r="J4775" s="6" t="inlineStr"/>
      <c r="K4775" s="16" t="n">
        <v>19</v>
      </c>
      <c r="L4775" s="2" t="inlineStr">
        <is>
          <t>20260622000414</t>
        </is>
      </c>
      <c r="M4775" s="8">
        <f>HYPERLINK("https://dart.fss.or.kr/dsaf001/main.do?rcpNo=20260622000414", "공시열람")</f>
        <v/>
      </c>
    </row>
    <row r="4776" ht="22" customHeight="1">
      <c r="A4776" s="2" t="inlineStr">
        <is>
          <t>2026-06-23</t>
        </is>
      </c>
      <c r="B4776" s="3" t="inlineStr">
        <is>
          <t>핑거</t>
        </is>
      </c>
      <c r="C4776" s="2" t="inlineStr">
        <is>
          <t>163730</t>
        </is>
      </c>
      <c r="D4776" s="2" t="inlineStr">
        <is>
          <t>대량보유</t>
        </is>
      </c>
      <c r="E4776" s="3" t="inlineStr">
        <is>
          <t>(주)동아디젤</t>
        </is>
      </c>
      <c r="F4776" s="3" t="inlineStr">
        <is>
          <t>특별관계자</t>
        </is>
      </c>
      <c r="G4776" s="3" t="inlineStr">
        <is>
          <t>단순추가취득 및 조합가입</t>
        </is>
      </c>
      <c r="H4776" s="6" t="inlineStr"/>
      <c r="I4776" s="6" t="inlineStr"/>
      <c r="J4776" s="6" t="inlineStr"/>
      <c r="K4776" s="16" t="n">
        <v>19</v>
      </c>
      <c r="L4776" s="2" t="inlineStr">
        <is>
          <t>20260622000414</t>
        </is>
      </c>
      <c r="M4776" s="8">
        <f>HYPERLINK("https://dart.fss.or.kr/dsaf001/main.do?rcpNo=20260622000414", "공시열람")</f>
        <v/>
      </c>
    </row>
    <row r="4777" ht="22" customHeight="1">
      <c r="A4777" s="2" t="inlineStr">
        <is>
          <t>2026-06-23</t>
        </is>
      </c>
      <c r="B4777" s="3" t="inlineStr">
        <is>
          <t>핑거</t>
        </is>
      </c>
      <c r="C4777" s="2" t="inlineStr">
        <is>
          <t>163730</t>
        </is>
      </c>
      <c r="D4777" s="2" t="inlineStr">
        <is>
          <t>대량보유</t>
        </is>
      </c>
      <c r="E4777" s="3" t="inlineStr">
        <is>
          <t>(주)세진비앤씨</t>
        </is>
      </c>
      <c r="F4777" s="3" t="inlineStr">
        <is>
          <t>특별관계자</t>
        </is>
      </c>
      <c r="G4777" s="3" t="inlineStr">
        <is>
          <t>단순추가취득 및 조합가입</t>
        </is>
      </c>
      <c r="H4777" s="6" t="inlineStr"/>
      <c r="I4777" s="6" t="inlineStr"/>
      <c r="J4777" s="6" t="inlineStr"/>
      <c r="K4777" s="16" t="n">
        <v>19</v>
      </c>
      <c r="L4777" s="2" t="inlineStr">
        <is>
          <t>20260622000414</t>
        </is>
      </c>
      <c r="M4777" s="8">
        <f>HYPERLINK("https://dart.fss.or.kr/dsaf001/main.do?rcpNo=20260622000414", "공시열람")</f>
        <v/>
      </c>
    </row>
    <row r="4778" ht="22" customHeight="1">
      <c r="A4778" s="2" t="inlineStr">
        <is>
          <t>2026-06-23</t>
        </is>
      </c>
      <c r="B4778" s="3" t="inlineStr">
        <is>
          <t>핑거</t>
        </is>
      </c>
      <c r="C4778" s="2" t="inlineStr">
        <is>
          <t>163730</t>
        </is>
      </c>
      <c r="D4778" s="2" t="inlineStr">
        <is>
          <t>대량보유</t>
        </is>
      </c>
      <c r="E4778" s="3" t="inlineStr">
        <is>
          <t>정우찬</t>
        </is>
      </c>
      <c r="F4778" s="3" t="inlineStr">
        <is>
          <t>특별관계자</t>
        </is>
      </c>
      <c r="G4778" s="3" t="inlineStr">
        <is>
          <t>단순추가취득 및 조합가입</t>
        </is>
      </c>
      <c r="H4778" s="6" t="inlineStr"/>
      <c r="I4778" s="6" t="inlineStr"/>
      <c r="J4778" s="6" t="inlineStr"/>
      <c r="K4778" s="16" t="n">
        <v>19</v>
      </c>
      <c r="L4778" s="2" t="inlineStr">
        <is>
          <t>20260622000414</t>
        </is>
      </c>
      <c r="M4778" s="8">
        <f>HYPERLINK("https://dart.fss.or.kr/dsaf001/main.do?rcpNo=20260622000414", "공시열람")</f>
        <v/>
      </c>
    </row>
    <row r="4779" ht="22" customHeight="1">
      <c r="A4779" s="2" t="inlineStr">
        <is>
          <t>2026-06-23</t>
        </is>
      </c>
      <c r="B4779" s="3" t="inlineStr">
        <is>
          <t>핑거</t>
        </is>
      </c>
      <c r="C4779" s="2" t="inlineStr">
        <is>
          <t>163730</t>
        </is>
      </c>
      <c r="D4779" s="2" t="inlineStr">
        <is>
          <t>대량보유</t>
        </is>
      </c>
      <c r="E4779" s="3" t="inlineStr">
        <is>
          <t>코어스트림파트너스(주)</t>
        </is>
      </c>
      <c r="F4779" s="3" t="inlineStr">
        <is>
          <t>특별관계자</t>
        </is>
      </c>
      <c r="G4779" s="3" t="inlineStr">
        <is>
          <t>단순추가취득 및 조합가입</t>
        </is>
      </c>
      <c r="H4779" s="6" t="inlineStr"/>
      <c r="I4779" s="6" t="inlineStr"/>
      <c r="J4779" s="6" t="inlineStr"/>
      <c r="K4779" s="16" t="n">
        <v>19</v>
      </c>
      <c r="L4779" s="2" t="inlineStr">
        <is>
          <t>20260622000414</t>
        </is>
      </c>
      <c r="M4779" s="8">
        <f>HYPERLINK("https://dart.fss.or.kr/dsaf001/main.do?rcpNo=20260622000414", "공시열람")</f>
        <v/>
      </c>
    </row>
    <row r="4780" ht="22" customHeight="1">
      <c r="A4780" s="2" t="inlineStr">
        <is>
          <t>2026-06-23</t>
        </is>
      </c>
      <c r="B4780" s="3" t="inlineStr">
        <is>
          <t>핑거</t>
        </is>
      </c>
      <c r="C4780" s="2" t="inlineStr">
        <is>
          <t>163730</t>
        </is>
      </c>
      <c r="D4780" s="2" t="inlineStr">
        <is>
          <t>대량보유</t>
        </is>
      </c>
      <c r="E4780" s="3" t="inlineStr">
        <is>
          <t>정승재</t>
        </is>
      </c>
      <c r="F4780" s="3" t="inlineStr">
        <is>
          <t>특별관계자</t>
        </is>
      </c>
      <c r="G4780" s="3" t="inlineStr">
        <is>
          <t>단순추가취득 및 조합가입</t>
        </is>
      </c>
      <c r="H4780" s="6" t="inlineStr"/>
      <c r="I4780" s="6" t="inlineStr"/>
      <c r="J4780" s="6" t="inlineStr"/>
      <c r="K4780" s="16" t="n">
        <v>19</v>
      </c>
      <c r="L4780" s="2" t="inlineStr">
        <is>
          <t>20260622000414</t>
        </is>
      </c>
      <c r="M4780" s="8">
        <f>HYPERLINK("https://dart.fss.or.kr/dsaf001/main.do?rcpNo=20260622000414", "공시열람")</f>
        <v/>
      </c>
    </row>
    <row r="4781" ht="22" customHeight="1">
      <c r="A4781" s="2" t="inlineStr">
        <is>
          <t>2026-06-23</t>
        </is>
      </c>
      <c r="B4781" s="3" t="inlineStr">
        <is>
          <t>핑거</t>
        </is>
      </c>
      <c r="C4781" s="2" t="inlineStr">
        <is>
          <t>163730</t>
        </is>
      </c>
      <c r="D4781" s="2" t="inlineStr">
        <is>
          <t>대량보유</t>
        </is>
      </c>
      <c r="E4781" s="3" t="inlineStr">
        <is>
          <t>장창수</t>
        </is>
      </c>
      <c r="F4781" s="3" t="inlineStr">
        <is>
          <t>특별관계자</t>
        </is>
      </c>
      <c r="G4781" s="3" t="inlineStr">
        <is>
          <t>단순추가취득 및 조합가입</t>
        </is>
      </c>
      <c r="H4781" s="6" t="inlineStr"/>
      <c r="I4781" s="6" t="inlineStr"/>
      <c r="J4781" s="6" t="inlineStr"/>
      <c r="K4781" s="16" t="n">
        <v>19</v>
      </c>
      <c r="L4781" s="2" t="inlineStr">
        <is>
          <t>20260622000414</t>
        </is>
      </c>
      <c r="M4781" s="8">
        <f>HYPERLINK("https://dart.fss.or.kr/dsaf001/main.do?rcpNo=20260622000414", "공시열람")</f>
        <v/>
      </c>
    </row>
    <row r="4782" ht="22" customHeight="1">
      <c r="A4782" s="2" t="inlineStr">
        <is>
          <t>2026-06-24</t>
        </is>
      </c>
      <c r="B4782" s="3" t="inlineStr">
        <is>
          <t>팬오션</t>
        </is>
      </c>
      <c r="C4782" s="2" t="inlineStr">
        <is>
          <t>028670</t>
        </is>
      </c>
      <c r="D4782" s="2" t="inlineStr">
        <is>
          <t>대량보유</t>
        </is>
      </c>
      <c r="E4782" s="3" t="inlineStr">
        <is>
          <t>천세기</t>
        </is>
      </c>
      <c r="F4782" s="3" t="inlineStr">
        <is>
          <t>특별관계자</t>
        </is>
      </c>
      <c r="G4782" s="3" t="inlineStr">
        <is>
          <t>장내매수(+)</t>
        </is>
      </c>
      <c r="H4782" s="15" t="n">
        <v>2000</v>
      </c>
      <c r="I4782" s="6" t="n">
        <v>5150</v>
      </c>
      <c r="J4782" s="6" t="n">
        <v>7555</v>
      </c>
      <c r="K4782" s="16" t="n">
        <v>10</v>
      </c>
      <c r="L4782" s="2" t="inlineStr">
        <is>
          <t>20260624000495</t>
        </is>
      </c>
      <c r="M4782" s="8">
        <f>HYPERLINK("https://dart.fss.or.kr/dsaf001/main.do?rcpNo=20260624000495", "공시열람")</f>
        <v/>
      </c>
    </row>
    <row r="4783" ht="22" customHeight="1">
      <c r="A4783" s="2" t="inlineStr">
        <is>
          <t>2026-06-24</t>
        </is>
      </c>
      <c r="B4783" s="3" t="inlineStr">
        <is>
          <t>에이프로젠바이오로직스</t>
        </is>
      </c>
      <c r="C4783" s="2" t="inlineStr">
        <is>
          <t>003060</t>
        </is>
      </c>
      <c r="D4783" s="2" t="inlineStr">
        <is>
          <t>대량보유</t>
        </is>
      </c>
      <c r="E4783" s="3" t="inlineStr">
        <is>
          <t>이영철</t>
        </is>
      </c>
      <c r="F4783" s="3" t="inlineStr">
        <is>
          <t>특별관계자</t>
        </is>
      </c>
      <c r="G4783" s="3" t="inlineStr">
        <is>
          <t>계약중도해지</t>
        </is>
      </c>
      <c r="H4783" s="17" t="n">
        <v>-7585185</v>
      </c>
      <c r="I4783" s="6" t="n">
        <v>3375</v>
      </c>
      <c r="J4783" s="6" t="n">
        <v>118518</v>
      </c>
      <c r="K4783" s="16" t="n">
        <v>0.82</v>
      </c>
      <c r="L4783" s="2" t="inlineStr">
        <is>
          <t>20260624000490</t>
        </is>
      </c>
      <c r="M4783" s="8">
        <f>HYPERLINK("https://dart.fss.or.kr/dsaf001/main.do?rcpNo=20260624000490", "공시열람")</f>
        <v/>
      </c>
    </row>
    <row r="4784" ht="22" customHeight="1">
      <c r="A4784" s="2" t="inlineStr">
        <is>
          <t>2026-06-24</t>
        </is>
      </c>
      <c r="B4784" s="3" t="inlineStr">
        <is>
          <t>한국화장품</t>
        </is>
      </c>
      <c r="C4784" s="2" t="inlineStr">
        <is>
          <t>123690</t>
        </is>
      </c>
      <c r="D4784" s="2" t="inlineStr">
        <is>
          <t>임원보고</t>
        </is>
      </c>
      <c r="E4784" s="3" t="inlineStr">
        <is>
          <t>-</t>
        </is>
      </c>
      <c r="F4784" s="3" t="inlineStr">
        <is>
          <t>-</t>
        </is>
      </c>
      <c r="G4784" s="3" t="inlineStr">
        <is>
          <t>-</t>
        </is>
      </c>
      <c r="H4784" s="6" t="inlineStr"/>
      <c r="I4784" s="6" t="inlineStr"/>
      <c r="J4784" s="6" t="inlineStr"/>
      <c r="K4784" s="16" t="n">
        <v>12</v>
      </c>
      <c r="L4784" s="2" t="inlineStr">
        <is>
          <t>20260624800957</t>
        </is>
      </c>
      <c r="M4784" s="8">
        <f>HYPERLINK("https://dart.fss.or.kr/dsaf001/main.do?rcpNo=20260624800957", "공시열람")</f>
        <v/>
      </c>
    </row>
    <row r="4785" ht="22" customHeight="1">
      <c r="A4785" s="2" t="inlineStr">
        <is>
          <t>2026-06-24</t>
        </is>
      </c>
      <c r="B4785" s="3" t="inlineStr">
        <is>
          <t>한국화장품제조</t>
        </is>
      </c>
      <c r="C4785" s="2" t="inlineStr">
        <is>
          <t>003350</t>
        </is>
      </c>
      <c r="D4785" s="2" t="inlineStr">
        <is>
          <t>임원보고</t>
        </is>
      </c>
      <c r="E4785" s="3" t="inlineStr">
        <is>
          <t>-</t>
        </is>
      </c>
      <c r="F4785" s="3" t="inlineStr">
        <is>
          <t>-</t>
        </is>
      </c>
      <c r="G4785" s="3" t="inlineStr">
        <is>
          <t>-</t>
        </is>
      </c>
      <c r="H4785" s="6" t="inlineStr"/>
      <c r="I4785" s="6" t="inlineStr"/>
      <c r="J4785" s="6" t="inlineStr"/>
      <c r="K4785" s="16" t="n">
        <v>12</v>
      </c>
      <c r="L4785" s="2" t="inlineStr">
        <is>
          <t>20260624800956</t>
        </is>
      </c>
      <c r="M4785" s="8">
        <f>HYPERLINK("https://dart.fss.or.kr/dsaf001/main.do?rcpNo=20260624800956", "공시열람")</f>
        <v/>
      </c>
    </row>
    <row r="4786" ht="22" customHeight="1">
      <c r="A4786" s="2" t="inlineStr">
        <is>
          <t>2026-06-24</t>
        </is>
      </c>
      <c r="B4786" s="3" t="inlineStr">
        <is>
          <t>드림시큐리티</t>
        </is>
      </c>
      <c r="C4786" s="2" t="inlineStr">
        <is>
          <t>203650</t>
        </is>
      </c>
      <c r="D4786" s="2" t="inlineStr">
        <is>
          <t>대량보유</t>
        </is>
      </c>
      <c r="E4786" s="3" t="inlineStr">
        <is>
          <t>범진규</t>
        </is>
      </c>
      <c r="F4786" s="3" t="inlineStr">
        <is>
          <t>보고자</t>
        </is>
      </c>
      <c r="G4786" s="3" t="inlineStr">
        <is>
          <t>주식담보대출계약 기간 연장</t>
        </is>
      </c>
      <c r="H4786" s="6" t="inlineStr"/>
      <c r="I4786" s="6" t="inlineStr"/>
      <c r="J4786" s="6" t="n">
        <v>41140326</v>
      </c>
      <c r="K4786" s="16" t="n">
        <v>6</v>
      </c>
      <c r="L4786" s="2" t="inlineStr">
        <is>
          <t>20260624000477</t>
        </is>
      </c>
      <c r="M4786" s="8">
        <f>HYPERLINK("https://dart.fss.or.kr/dsaf001/main.do?rcpNo=20260624000477", "공시열람")</f>
        <v/>
      </c>
    </row>
    <row r="4787" ht="22" customHeight="1">
      <c r="A4787" s="2" t="inlineStr">
        <is>
          <t>2026-06-24</t>
        </is>
      </c>
      <c r="B4787" s="3" t="inlineStr">
        <is>
          <t>유안타증권</t>
        </is>
      </c>
      <c r="C4787" s="2" t="inlineStr">
        <is>
          <t>003470</t>
        </is>
      </c>
      <c r="D4787" s="2" t="inlineStr">
        <is>
          <t>임원보고</t>
        </is>
      </c>
      <c r="E4787" s="3" t="inlineStr">
        <is>
          <t>-</t>
        </is>
      </c>
      <c r="F4787" s="3" t="inlineStr">
        <is>
          <t>-</t>
        </is>
      </c>
      <c r="G4787" s="3" t="inlineStr">
        <is>
          <t>-</t>
        </is>
      </c>
      <c r="H4787" s="6" t="inlineStr"/>
      <c r="I4787" s="6" t="inlineStr"/>
      <c r="J4787" s="6" t="inlineStr"/>
      <c r="K4787" s="16" t="n">
        <v>12</v>
      </c>
      <c r="L4787" s="2" t="inlineStr">
        <is>
          <t>20260624800936</t>
        </is>
      </c>
      <c r="M4787" s="8">
        <f>HYPERLINK("https://dart.fss.or.kr/dsaf001/main.do?rcpNo=20260624800936", "공시열람")</f>
        <v/>
      </c>
    </row>
    <row r="4788" ht="22" customHeight="1">
      <c r="A4788" s="2" t="inlineStr">
        <is>
          <t>2026-06-24</t>
        </is>
      </c>
      <c r="B4788" s="3" t="inlineStr">
        <is>
          <t>DB손해보험</t>
        </is>
      </c>
      <c r="C4788" s="2" t="inlineStr">
        <is>
          <t>005830</t>
        </is>
      </c>
      <c r="D4788" s="2" t="inlineStr">
        <is>
          <t>임원보고</t>
        </is>
      </c>
      <c r="E4788" s="3" t="inlineStr">
        <is>
          <t>-</t>
        </is>
      </c>
      <c r="F4788" s="3" t="inlineStr">
        <is>
          <t>-</t>
        </is>
      </c>
      <c r="G4788" s="3" t="inlineStr">
        <is>
          <t>-</t>
        </is>
      </c>
      <c r="H4788" s="6" t="inlineStr"/>
      <c r="I4788" s="6" t="inlineStr"/>
      <c r="J4788" s="6" t="inlineStr"/>
      <c r="K4788" s="16" t="n">
        <v>12</v>
      </c>
      <c r="L4788" s="2" t="inlineStr">
        <is>
          <t>20260624800900</t>
        </is>
      </c>
      <c r="M4788" s="8">
        <f>HYPERLINK("https://dart.fss.or.kr/dsaf001/main.do?rcpNo=20260624800900", "공시열람")</f>
        <v/>
      </c>
    </row>
    <row r="4789" ht="22" customHeight="1">
      <c r="A4789" s="2" t="inlineStr">
        <is>
          <t>2026-06-24</t>
        </is>
      </c>
      <c r="B4789" s="3" t="inlineStr">
        <is>
          <t>하이딥</t>
        </is>
      </c>
      <c r="C4789" s="2" t="inlineStr">
        <is>
          <t>365590</t>
        </is>
      </c>
      <c r="D4789" s="2" t="inlineStr">
        <is>
          <t>대량보유</t>
        </is>
      </c>
      <c r="E4789" s="3" t="inlineStr">
        <is>
          <t>신현철</t>
        </is>
      </c>
      <c r="F4789" s="3" t="inlineStr">
        <is>
          <t>특별관계자</t>
        </is>
      </c>
      <c r="G4789" s="3" t="inlineStr">
        <is>
          <t>장내매도(-), 장내매수(+)</t>
        </is>
      </c>
      <c r="H4789" s="17" t="n">
        <v>-19268</v>
      </c>
      <c r="I4789" s="6" t="n">
        <v>2191</v>
      </c>
      <c r="J4789" s="6" t="n">
        <v>4535</v>
      </c>
      <c r="K4789" s="16" t="n">
        <v>8</v>
      </c>
      <c r="L4789" s="2" t="inlineStr">
        <is>
          <t>20260624000442</t>
        </is>
      </c>
      <c r="M4789" s="8">
        <f>HYPERLINK("https://dart.fss.or.kr/dsaf001/main.do?rcpNo=20260624000442", "공시열람")</f>
        <v/>
      </c>
    </row>
    <row r="4790" ht="22" customHeight="1">
      <c r="A4790" s="2" t="inlineStr">
        <is>
          <t>2026-06-24</t>
        </is>
      </c>
      <c r="B4790" s="3" t="inlineStr">
        <is>
          <t>하이딥</t>
        </is>
      </c>
      <c r="C4790" s="2" t="inlineStr">
        <is>
          <t>365590</t>
        </is>
      </c>
      <c r="D4790" s="2" t="inlineStr">
        <is>
          <t>대량보유</t>
        </is>
      </c>
      <c r="E4790" s="3" t="inlineStr">
        <is>
          <t>고범규</t>
        </is>
      </c>
      <c r="F4790" s="3" t="inlineStr">
        <is>
          <t>특별관계자</t>
        </is>
      </c>
      <c r="G4790" s="3" t="inlineStr">
        <is>
          <t>제3자배정유상증자(+)</t>
        </is>
      </c>
      <c r="H4790" s="15" t="n">
        <v>3753351</v>
      </c>
      <c r="I4790" s="6" t="n">
        <v>1119</v>
      </c>
      <c r="J4790" s="6" t="n">
        <v>13374012</v>
      </c>
      <c r="K4790" s="16" t="n">
        <v>8</v>
      </c>
      <c r="L4790" s="2" t="inlineStr">
        <is>
          <t>20260624000442</t>
        </is>
      </c>
      <c r="M4790" s="8">
        <f>HYPERLINK("https://dart.fss.or.kr/dsaf001/main.do?rcpNo=20260624000442", "공시열람")</f>
        <v/>
      </c>
    </row>
    <row r="4791" ht="22" customHeight="1">
      <c r="A4791" s="2" t="inlineStr">
        <is>
          <t>2026-06-24</t>
        </is>
      </c>
      <c r="B4791" s="3" t="inlineStr">
        <is>
          <t>하이딥</t>
        </is>
      </c>
      <c r="C4791" s="2" t="inlineStr">
        <is>
          <t>365590</t>
        </is>
      </c>
      <c r="D4791" s="2" t="inlineStr">
        <is>
          <t>대량보유</t>
        </is>
      </c>
      <c r="E4791" s="3" t="inlineStr">
        <is>
          <t>최소연</t>
        </is>
      </c>
      <c r="F4791" s="3" t="inlineStr">
        <is>
          <t>특별관계자</t>
        </is>
      </c>
      <c r="G4791" s="3" t="inlineStr">
        <is>
          <t>제3자배정유상증자(+)</t>
        </is>
      </c>
      <c r="H4791" s="15" t="n">
        <v>625559</v>
      </c>
      <c r="I4791" s="6" t="n">
        <v>1119</v>
      </c>
      <c r="J4791" s="6" t="n">
        <v>2174790</v>
      </c>
      <c r="K4791" s="16" t="n">
        <v>8</v>
      </c>
      <c r="L4791" s="2" t="inlineStr">
        <is>
          <t>20260624000442</t>
        </is>
      </c>
      <c r="M4791" s="8">
        <f>HYPERLINK("https://dart.fss.or.kr/dsaf001/main.do?rcpNo=20260624000442", "공시열람")</f>
        <v/>
      </c>
    </row>
    <row r="4792" ht="22" customHeight="1">
      <c r="A4792" s="2" t="inlineStr">
        <is>
          <t>2026-06-24</t>
        </is>
      </c>
      <c r="B4792" s="3" t="inlineStr">
        <is>
          <t>하이딥</t>
        </is>
      </c>
      <c r="C4792" s="2" t="inlineStr">
        <is>
          <t>365590</t>
        </is>
      </c>
      <c r="D4792" s="2" t="inlineStr">
        <is>
          <t>대량보유</t>
        </is>
      </c>
      <c r="E4792" s="3" t="inlineStr">
        <is>
          <t>조영호</t>
        </is>
      </c>
      <c r="F4792" s="3" t="inlineStr">
        <is>
          <t>특별관계자</t>
        </is>
      </c>
      <c r="G4792" s="3" t="inlineStr">
        <is>
          <t>행사가액조정</t>
        </is>
      </c>
      <c r="H4792" s="15" t="n">
        <v>7987</v>
      </c>
      <c r="I4792" s="6" t="inlineStr"/>
      <c r="J4792" s="6" t="n">
        <v>60116</v>
      </c>
      <c r="K4792" s="16" t="n">
        <v>8</v>
      </c>
      <c r="L4792" s="2" t="inlineStr">
        <is>
          <t>20260624000442</t>
        </is>
      </c>
      <c r="M4792" s="8">
        <f>HYPERLINK("https://dart.fss.or.kr/dsaf001/main.do?rcpNo=20260624000442", "공시열람")</f>
        <v/>
      </c>
    </row>
    <row r="4793" ht="22" customHeight="1">
      <c r="A4793" s="2" t="inlineStr">
        <is>
          <t>2026-06-24</t>
        </is>
      </c>
      <c r="B4793" s="3" t="inlineStr">
        <is>
          <t>하이딥</t>
        </is>
      </c>
      <c r="C4793" s="2" t="inlineStr">
        <is>
          <t>365590</t>
        </is>
      </c>
      <c r="D4793" s="2" t="inlineStr">
        <is>
          <t>대량보유</t>
        </is>
      </c>
      <c r="E4793" s="3" t="inlineStr">
        <is>
          <t>김윤정</t>
        </is>
      </c>
      <c r="F4793" s="3" t="inlineStr">
        <is>
          <t>특별관계자</t>
        </is>
      </c>
      <c r="G4793" s="3" t="inlineStr">
        <is>
          <t>행사가액조정</t>
        </is>
      </c>
      <c r="H4793" s="15" t="n">
        <v>7987</v>
      </c>
      <c r="I4793" s="6" t="inlineStr"/>
      <c r="J4793" s="6" t="n">
        <v>60116</v>
      </c>
      <c r="K4793" s="16" t="n">
        <v>8</v>
      </c>
      <c r="L4793" s="2" t="inlineStr">
        <is>
          <t>20260624000442</t>
        </is>
      </c>
      <c r="M4793" s="8">
        <f>HYPERLINK("https://dart.fss.or.kr/dsaf001/main.do?rcpNo=20260624000442", "공시열람")</f>
        <v/>
      </c>
    </row>
    <row r="4794" ht="22" customHeight="1">
      <c r="A4794" s="2" t="inlineStr">
        <is>
          <t>2026-06-24</t>
        </is>
      </c>
      <c r="B4794" s="3" t="inlineStr">
        <is>
          <t>DB손해보험</t>
        </is>
      </c>
      <c r="C4794" s="2" t="inlineStr">
        <is>
          <t>005830</t>
        </is>
      </c>
      <c r="D4794" s="2" t="inlineStr">
        <is>
          <t>대량보유</t>
        </is>
      </c>
      <c r="E4794" s="3" t="inlineStr">
        <is>
          <t>DB하이텍</t>
        </is>
      </c>
      <c r="F4794" s="3" t="inlineStr">
        <is>
          <t>특별관계자</t>
        </is>
      </c>
      <c r="G4794" s="3" t="inlineStr">
        <is>
          <t>장내매수(+)</t>
        </is>
      </c>
      <c r="H4794" s="15" t="n">
        <v>45000</v>
      </c>
      <c r="I4794" s="6" t="n">
        <v>147952</v>
      </c>
      <c r="J4794" s="6" t="n">
        <v>395000</v>
      </c>
      <c r="K4794" s="16" t="n">
        <v>15</v>
      </c>
      <c r="L4794" s="2" t="inlineStr">
        <is>
          <t>20260624000441</t>
        </is>
      </c>
      <c r="M4794" s="8">
        <f>HYPERLINK("https://dart.fss.or.kr/dsaf001/main.do?rcpNo=20260624000441", "공시열람")</f>
        <v/>
      </c>
    </row>
    <row r="4795" ht="22" customHeight="1">
      <c r="A4795" s="2" t="inlineStr">
        <is>
          <t>2026-06-24</t>
        </is>
      </c>
      <c r="B4795" s="3" t="inlineStr">
        <is>
          <t>에르코스</t>
        </is>
      </c>
      <c r="C4795" s="2" t="inlineStr">
        <is>
          <t>435570</t>
        </is>
      </c>
      <c r="D4795" s="2" t="inlineStr">
        <is>
          <t>대량보유</t>
        </is>
      </c>
      <c r="E4795" s="3" t="inlineStr">
        <is>
          <t>김슬기</t>
        </is>
      </c>
      <c r="F4795" s="3" t="inlineStr">
        <is>
          <t>보고자</t>
        </is>
      </c>
      <c r="G4795" s="3" t="inlineStr">
        <is>
          <t>- 특별관계자의 주식담보제공</t>
        </is>
      </c>
      <c r="H4795" s="6" t="inlineStr"/>
      <c r="I4795" s="6" t="inlineStr"/>
      <c r="J4795" s="6" t="n">
        <v>5746664</v>
      </c>
      <c r="K4795" s="16" t="n">
        <v>6</v>
      </c>
      <c r="L4795" s="2" t="inlineStr">
        <is>
          <t>20260624000440</t>
        </is>
      </c>
      <c r="M4795" s="8">
        <f>HYPERLINK("https://dart.fss.or.kr/dsaf001/main.do?rcpNo=20260624000440", "공시열람")</f>
        <v/>
      </c>
    </row>
    <row r="4796" ht="22" customHeight="1">
      <c r="A4796" s="2" t="inlineStr">
        <is>
          <t>2026-06-24</t>
        </is>
      </c>
      <c r="B4796" s="3" t="inlineStr">
        <is>
          <t>비트플래닛</t>
        </is>
      </c>
      <c r="C4796" s="2" t="inlineStr">
        <is>
          <t>049470</t>
        </is>
      </c>
      <c r="D4796" s="2" t="inlineStr">
        <is>
          <t>대량보유</t>
        </is>
      </c>
      <c r="E4796" s="3" t="inlineStr">
        <is>
          <t>NRCapitalHoldingCompanyLimited</t>
        </is>
      </c>
      <c r="F4796" s="3" t="inlineStr">
        <is>
          <t>특별관계자</t>
        </is>
      </c>
      <c r="G4796" s="3" t="inlineStr">
        <is>
          <t>CB인수(+)</t>
        </is>
      </c>
      <c r="H4796" s="15" t="n">
        <v>1383125</v>
      </c>
      <c r="I4796" s="6" t="n">
        <v>3615</v>
      </c>
      <c r="J4796" s="6" t="n">
        <v>1383125</v>
      </c>
      <c r="K4796" s="16" t="n">
        <v>1</v>
      </c>
      <c r="L4796" s="2" t="inlineStr">
        <is>
          <t>20260624000429</t>
        </is>
      </c>
      <c r="M4796" s="8">
        <f>HYPERLINK("https://dart.fss.or.kr/dsaf001/main.do?rcpNo=20260624000429", "공시열람")</f>
        <v/>
      </c>
    </row>
    <row r="4797" ht="22" customHeight="1">
      <c r="A4797" s="2" t="inlineStr">
        <is>
          <t>2026-06-24</t>
        </is>
      </c>
      <c r="B4797" s="3" t="inlineStr">
        <is>
          <t>메타랩스</t>
        </is>
      </c>
      <c r="C4797" s="2" t="inlineStr">
        <is>
          <t>090370</t>
        </is>
      </c>
      <c r="D4797" s="2" t="inlineStr">
        <is>
          <t>대량보유</t>
        </is>
      </c>
      <c r="E4797" s="3" t="inlineStr">
        <is>
          <t>(주)메타약품</t>
        </is>
      </c>
      <c r="F4797" s="3" t="inlineStr">
        <is>
          <t>특별관계자</t>
        </is>
      </c>
      <c r="G4797" s="3" t="inlineStr">
        <is>
          <t>제3자배정유상증자(+)</t>
        </is>
      </c>
      <c r="H4797" s="15" t="n">
        <v>2400000</v>
      </c>
      <c r="I4797" s="6" t="n">
        <v>2500</v>
      </c>
      <c r="J4797" s="6" t="n">
        <v>2607559</v>
      </c>
      <c r="K4797" s="16" t="n">
        <v>4</v>
      </c>
      <c r="L4797" s="2" t="inlineStr">
        <is>
          <t>20260624000428</t>
        </is>
      </c>
      <c r="M4797" s="8">
        <f>HYPERLINK("https://dart.fss.or.kr/dsaf001/main.do?rcpNo=20260624000428", "공시열람")</f>
        <v/>
      </c>
    </row>
    <row r="4798" ht="22" customHeight="1">
      <c r="A4798" s="2" t="inlineStr">
        <is>
          <t>2026-06-24</t>
        </is>
      </c>
      <c r="B4798" s="3" t="inlineStr">
        <is>
          <t>한울반도체</t>
        </is>
      </c>
      <c r="C4798" s="2" t="inlineStr">
        <is>
          <t>320000</t>
        </is>
      </c>
      <c r="D4798" s="2" t="inlineStr">
        <is>
          <t>대량보유</t>
        </is>
      </c>
      <c r="E4798" s="3" t="inlineStr">
        <is>
          <t>주식회사한울소재과학</t>
        </is>
      </c>
      <c r="F4798" s="3" t="inlineStr">
        <is>
          <t>보고자</t>
        </is>
      </c>
      <c r="G4798" s="3" t="inlineStr">
        <is>
          <t>- 특별관계자 주식담보대출 대환에 따른 변경보고</t>
        </is>
      </c>
      <c r="H4798" s="6" t="inlineStr"/>
      <c r="I4798" s="6" t="inlineStr"/>
      <c r="J4798" s="6" t="n">
        <v>2472418</v>
      </c>
      <c r="K4798" s="16" t="n">
        <v>9</v>
      </c>
      <c r="L4798" s="2" t="inlineStr">
        <is>
          <t>20260624000415</t>
        </is>
      </c>
      <c r="M4798" s="8">
        <f>HYPERLINK("https://dart.fss.or.kr/dsaf001/main.do?rcpNo=20260624000415", "공시열람")</f>
        <v/>
      </c>
    </row>
    <row r="4799" ht="22" customHeight="1">
      <c r="A4799" s="2" t="inlineStr">
        <is>
          <t>2026-06-24</t>
        </is>
      </c>
      <c r="B4799" s="3" t="inlineStr">
        <is>
          <t>대원강업</t>
        </is>
      </c>
      <c r="C4799" s="2" t="inlineStr">
        <is>
          <t>000430</t>
        </is>
      </c>
      <c r="D4799" s="2" t="inlineStr">
        <is>
          <t>임원보고</t>
        </is>
      </c>
      <c r="E4799" s="3" t="inlineStr">
        <is>
          <t>-</t>
        </is>
      </c>
      <c r="F4799" s="3" t="inlineStr">
        <is>
          <t>-</t>
        </is>
      </c>
      <c r="G4799" s="3" t="inlineStr">
        <is>
          <t>-</t>
        </is>
      </c>
      <c r="H4799" s="6" t="inlineStr"/>
      <c r="I4799" s="6" t="inlineStr"/>
      <c r="J4799" s="6" t="inlineStr"/>
      <c r="K4799" s="16" t="n">
        <v>12</v>
      </c>
      <c r="L4799" s="2" t="inlineStr">
        <is>
          <t>20260624800749</t>
        </is>
      </c>
      <c r="M4799" s="8">
        <f>HYPERLINK("https://dart.fss.or.kr/dsaf001/main.do?rcpNo=20260624800749", "공시열람")</f>
        <v/>
      </c>
    </row>
    <row r="4800" ht="22" customHeight="1">
      <c r="A4800" s="2" t="inlineStr">
        <is>
          <t>2026-06-24</t>
        </is>
      </c>
      <c r="B4800" s="3" t="inlineStr">
        <is>
          <t>휴젤</t>
        </is>
      </c>
      <c r="C4800" s="2" t="inlineStr">
        <is>
          <t>145020</t>
        </is>
      </c>
      <c r="D4800" s="2" t="inlineStr">
        <is>
          <t>대량보유</t>
        </is>
      </c>
      <c r="E4800" s="3" t="inlineStr">
        <is>
          <t>AphroditeAcquisitionHoldingsLLC</t>
        </is>
      </c>
      <c r="F4800" s="3" t="inlineStr">
        <is>
          <t>특별관계자</t>
        </is>
      </c>
      <c r="G4800" s="3" t="inlineStr">
        <is>
          <t>주식등에 대한 담보계약 체결 및 특별관계자 변경</t>
        </is>
      </c>
      <c r="H4800" s="6" t="inlineStr"/>
      <c r="I4800" s="6" t="inlineStr"/>
      <c r="J4800" s="6" t="inlineStr"/>
      <c r="K4800" s="16" t="n">
        <v>2</v>
      </c>
      <c r="L4800" s="2" t="inlineStr">
        <is>
          <t>20260624000370</t>
        </is>
      </c>
      <c r="M4800" s="8">
        <f>HYPERLINK("https://dart.fss.or.kr/dsaf001/main.do?rcpNo=20260624000370", "공시열람")</f>
        <v/>
      </c>
    </row>
    <row r="4801" ht="22" customHeight="1">
      <c r="A4801" s="2" t="inlineStr">
        <is>
          <t>2026-06-24</t>
        </is>
      </c>
      <c r="B4801" s="3" t="inlineStr">
        <is>
          <t>휴젤</t>
        </is>
      </c>
      <c r="C4801" s="2" t="inlineStr">
        <is>
          <t>145020</t>
        </is>
      </c>
      <c r="D4801" s="2" t="inlineStr">
        <is>
          <t>대량보유</t>
        </is>
      </c>
      <c r="E4801" s="3" t="inlineStr">
        <is>
          <t>차석용</t>
        </is>
      </c>
      <c r="F4801" s="3" t="inlineStr">
        <is>
          <t>특별관계자</t>
        </is>
      </c>
      <c r="G4801" s="3" t="inlineStr">
        <is>
          <t>장내매도(-), 임원퇴임(-)</t>
        </is>
      </c>
      <c r="H4801" s="17" t="n">
        <v>-123040</v>
      </c>
      <c r="I4801" s="6" t="n">
        <v>302983</v>
      </c>
      <c r="J4801" s="6" t="inlineStr"/>
      <c r="K4801" s="16" t="n">
        <v>2</v>
      </c>
      <c r="L4801" s="2" t="inlineStr">
        <is>
          <t>20260624000370</t>
        </is>
      </c>
      <c r="M4801" s="8">
        <f>HYPERLINK("https://dart.fss.or.kr/dsaf001/main.do?rcpNo=20260624000370", "공시열람")</f>
        <v/>
      </c>
    </row>
    <row r="4802" ht="22" customHeight="1">
      <c r="A4802" s="2" t="inlineStr">
        <is>
          <t>2026-06-24</t>
        </is>
      </c>
      <c r="B4802" s="3" t="inlineStr">
        <is>
          <t>휴젤</t>
        </is>
      </c>
      <c r="C4802" s="2" t="inlineStr">
        <is>
          <t>145020</t>
        </is>
      </c>
      <c r="D4802" s="2" t="inlineStr">
        <is>
          <t>대량보유</t>
        </is>
      </c>
      <c r="E4802" s="3" t="inlineStr">
        <is>
          <t>문형진</t>
        </is>
      </c>
      <c r="F4802" s="3" t="inlineStr">
        <is>
          <t>특별관계자</t>
        </is>
      </c>
      <c r="G4802" s="3" t="inlineStr">
        <is>
          <t>임원퇴임(-)</t>
        </is>
      </c>
      <c r="H4802" s="17" t="n">
        <v>-26667</v>
      </c>
      <c r="I4802" s="6" t="inlineStr"/>
      <c r="J4802" s="6" t="inlineStr"/>
      <c r="K4802" s="16" t="n">
        <v>2</v>
      </c>
      <c r="L4802" s="2" t="inlineStr">
        <is>
          <t>20260624000370</t>
        </is>
      </c>
      <c r="M4802" s="8">
        <f>HYPERLINK("https://dart.fss.or.kr/dsaf001/main.do?rcpNo=20260624000370", "공시열람")</f>
        <v/>
      </c>
    </row>
    <row r="4803" ht="22" customHeight="1">
      <c r="A4803" s="2" t="inlineStr">
        <is>
          <t>2026-06-24</t>
        </is>
      </c>
      <c r="B4803" s="3" t="inlineStr">
        <is>
          <t>휴젤</t>
        </is>
      </c>
      <c r="C4803" s="2" t="inlineStr">
        <is>
          <t>145020</t>
        </is>
      </c>
      <c r="D4803" s="2" t="inlineStr">
        <is>
          <t>대량보유</t>
        </is>
      </c>
      <c r="E4803" s="3" t="inlineStr">
        <is>
          <t>박철민</t>
        </is>
      </c>
      <c r="F4803" s="3" t="inlineStr">
        <is>
          <t>특별관계자</t>
        </is>
      </c>
      <c r="G4803" s="3" t="inlineStr">
        <is>
          <t>임원퇴임(-)</t>
        </is>
      </c>
      <c r="H4803" s="17" t="n">
        <v>-5668</v>
      </c>
      <c r="I4803" s="6" t="inlineStr"/>
      <c r="J4803" s="6" t="inlineStr"/>
      <c r="K4803" s="16" t="n">
        <v>2</v>
      </c>
      <c r="L4803" s="2" t="inlineStr">
        <is>
          <t>20260624000370</t>
        </is>
      </c>
      <c r="M4803" s="8">
        <f>HYPERLINK("https://dart.fss.or.kr/dsaf001/main.do?rcpNo=20260624000370", "공시열람")</f>
        <v/>
      </c>
    </row>
    <row r="4804" ht="22" customHeight="1">
      <c r="A4804" s="2" t="inlineStr">
        <is>
          <t>2026-06-24</t>
        </is>
      </c>
      <c r="B4804" s="3" t="inlineStr">
        <is>
          <t>휴젤</t>
        </is>
      </c>
      <c r="C4804" s="2" t="inlineStr">
        <is>
          <t>145020</t>
        </is>
      </c>
      <c r="D4804" s="2" t="inlineStr">
        <is>
          <t>대량보유</t>
        </is>
      </c>
      <c r="E4804" s="3" t="inlineStr">
        <is>
          <t>장두현</t>
        </is>
      </c>
      <c r="F4804" s="3" t="inlineStr">
        <is>
          <t>특별관계자</t>
        </is>
      </c>
      <c r="G4804" s="3" t="inlineStr">
        <is>
          <t>신규선임(무상취득)(+)</t>
        </is>
      </c>
      <c r="H4804" s="15" t="n">
        <v>30000</v>
      </c>
      <c r="I4804" s="6" t="inlineStr"/>
      <c r="J4804" s="6" t="n">
        <v>30000</v>
      </c>
      <c r="K4804" s="16" t="n">
        <v>2</v>
      </c>
      <c r="L4804" s="2" t="inlineStr">
        <is>
          <t>20260624000370</t>
        </is>
      </c>
      <c r="M4804" s="8">
        <f>HYPERLINK("https://dart.fss.or.kr/dsaf001/main.do?rcpNo=20260624000370", "공시열람")</f>
        <v/>
      </c>
    </row>
    <row r="4805" ht="22" customHeight="1">
      <c r="A4805" s="2" t="inlineStr">
        <is>
          <t>2026-06-24</t>
        </is>
      </c>
      <c r="B4805" s="3" t="inlineStr">
        <is>
          <t>휴젤</t>
        </is>
      </c>
      <c r="C4805" s="2" t="inlineStr">
        <is>
          <t>145020</t>
        </is>
      </c>
      <c r="D4805" s="2" t="inlineStr">
        <is>
          <t>대량보유</t>
        </is>
      </c>
      <c r="E4805" s="3" t="inlineStr">
        <is>
          <t>JuliaCarrollStrom</t>
        </is>
      </c>
      <c r="F4805" s="3" t="inlineStr">
        <is>
          <t>특별관계자</t>
        </is>
      </c>
      <c r="G4805" s="3" t="inlineStr">
        <is>
          <t>신규선임(무상취득)(+)</t>
        </is>
      </c>
      <c r="H4805" s="15" t="n">
        <v>108012</v>
      </c>
      <c r="I4805" s="6" t="inlineStr"/>
      <c r="J4805" s="6" t="n">
        <v>108012</v>
      </c>
      <c r="K4805" s="16" t="n">
        <v>2</v>
      </c>
      <c r="L4805" s="2" t="inlineStr">
        <is>
          <t>20260624000370</t>
        </is>
      </c>
      <c r="M4805" s="8">
        <f>HYPERLINK("https://dart.fss.or.kr/dsaf001/main.do?rcpNo=20260624000370", "공시열람")</f>
        <v/>
      </c>
    </row>
    <row r="4806" ht="22" customHeight="1">
      <c r="A4806" s="2" t="inlineStr">
        <is>
          <t>2026-06-24</t>
        </is>
      </c>
      <c r="B4806" s="3" t="inlineStr">
        <is>
          <t>에스와이스틸텍</t>
        </is>
      </c>
      <c r="C4806" s="2" t="inlineStr">
        <is>
          <t>365330</t>
        </is>
      </c>
      <c r="D4806" s="2" t="inlineStr">
        <is>
          <t>대량보유</t>
        </is>
      </c>
      <c r="E4806" s="3" t="inlineStr">
        <is>
          <t>에스와이(주)</t>
        </is>
      </c>
      <c r="F4806" s="3" t="inlineStr">
        <is>
          <t>보고자</t>
        </is>
      </c>
      <c r="G4806" s="3" t="inlineStr">
        <is>
          <t>보고자의 주식담보대출 실행</t>
        </is>
      </c>
      <c r="H4806" s="6" t="inlineStr"/>
      <c r="I4806" s="6" t="inlineStr"/>
      <c r="J4806" s="6" t="n">
        <v>18521824</v>
      </c>
      <c r="K4806" s="16" t="n">
        <v>9</v>
      </c>
      <c r="L4806" s="2" t="inlineStr">
        <is>
          <t>20260624000361</t>
        </is>
      </c>
      <c r="M4806" s="8">
        <f>HYPERLINK("https://dart.fss.or.kr/dsaf001/main.do?rcpNo=20260624000361", "공시열람")</f>
        <v/>
      </c>
    </row>
    <row r="4807" ht="22" customHeight="1">
      <c r="A4807" s="2" t="inlineStr">
        <is>
          <t>2026-06-24</t>
        </is>
      </c>
      <c r="B4807" s="3" t="inlineStr">
        <is>
          <t>레뷰코퍼레이션</t>
        </is>
      </c>
      <c r="C4807" s="2" t="inlineStr">
        <is>
          <t>443250</t>
        </is>
      </c>
      <c r="D4807" s="2" t="inlineStr">
        <is>
          <t>대량보유</t>
        </is>
      </c>
      <c r="E4807" s="3" t="inlineStr">
        <is>
          <t>김주오</t>
        </is>
      </c>
      <c r="F4807" s="3" t="inlineStr">
        <is>
          <t>특별관계자</t>
        </is>
      </c>
      <c r="G4807" s="3" t="inlineStr">
        <is>
          <t>장내매도(-)</t>
        </is>
      </c>
      <c r="H4807" s="17" t="n">
        <v>-10000</v>
      </c>
      <c r="I4807" s="6" t="n">
        <v>8608</v>
      </c>
      <c r="J4807" s="6" t="n">
        <v>9097</v>
      </c>
      <c r="K4807" s="16" t="n">
        <v>4</v>
      </c>
      <c r="L4807" s="2" t="inlineStr">
        <is>
          <t>20260624000360</t>
        </is>
      </c>
      <c r="M4807" s="8">
        <f>HYPERLINK("https://dart.fss.or.kr/dsaf001/main.do?rcpNo=20260624000360", "공시열람")</f>
        <v/>
      </c>
    </row>
    <row r="4808" ht="22" customHeight="1">
      <c r="A4808" s="2" t="inlineStr">
        <is>
          <t>2026-06-24</t>
        </is>
      </c>
      <c r="B4808" s="3" t="inlineStr">
        <is>
          <t>레뷰코퍼레이션</t>
        </is>
      </c>
      <c r="C4808" s="2" t="inlineStr">
        <is>
          <t>443250</t>
        </is>
      </c>
      <c r="D4808" s="2" t="inlineStr">
        <is>
          <t>대량보유</t>
        </is>
      </c>
      <c r="E4808" s="3" t="inlineStr">
        <is>
          <t>송인상</t>
        </is>
      </c>
      <c r="F4808" s="3" t="inlineStr">
        <is>
          <t>특별관계자</t>
        </is>
      </c>
      <c r="G4808" s="3" t="inlineStr">
        <is>
          <t>임원퇴임(-)</t>
        </is>
      </c>
      <c r="H4808" s="17" t="n">
        <v>-35000</v>
      </c>
      <c r="I4808" s="6" t="inlineStr"/>
      <c r="J4808" s="6" t="inlineStr"/>
      <c r="K4808" s="16" t="n">
        <v>4</v>
      </c>
      <c r="L4808" s="2" t="inlineStr">
        <is>
          <t>20260624000360</t>
        </is>
      </c>
      <c r="M4808" s="8">
        <f>HYPERLINK("https://dart.fss.or.kr/dsaf001/main.do?rcpNo=20260624000360", "공시열람")</f>
        <v/>
      </c>
    </row>
    <row r="4809" ht="22" customHeight="1">
      <c r="A4809" s="2" t="inlineStr">
        <is>
          <t>2026-06-24</t>
        </is>
      </c>
      <c r="B4809" s="3" t="inlineStr">
        <is>
          <t>현대백화점</t>
        </is>
      </c>
      <c r="C4809" s="2" t="inlineStr">
        <is>
          <t>069960</t>
        </is>
      </c>
      <c r="D4809" s="2" t="inlineStr">
        <is>
          <t>임원보고</t>
        </is>
      </c>
      <c r="E4809" s="3" t="inlineStr">
        <is>
          <t>-</t>
        </is>
      </c>
      <c r="F4809" s="3" t="inlineStr">
        <is>
          <t>-</t>
        </is>
      </c>
      <c r="G4809" s="3" t="inlineStr">
        <is>
          <t>-</t>
        </is>
      </c>
      <c r="H4809" s="6" t="inlineStr"/>
      <c r="I4809" s="6" t="inlineStr"/>
      <c r="J4809" s="6" t="inlineStr"/>
      <c r="K4809" s="16" t="n">
        <v>12</v>
      </c>
      <c r="L4809" s="2" t="inlineStr">
        <is>
          <t>20260624800710</t>
        </is>
      </c>
      <c r="M4809" s="8">
        <f>HYPERLINK("https://dart.fss.or.kr/dsaf001/main.do?rcpNo=20260624800710", "공시열람")</f>
        <v/>
      </c>
    </row>
    <row r="4810" ht="22" customHeight="1">
      <c r="A4810" s="2" t="inlineStr">
        <is>
          <t>2026-06-24 (정정: 2026-06-26)</t>
        </is>
      </c>
      <c r="B4810" s="3" t="inlineStr">
        <is>
          <t>리메드</t>
        </is>
      </c>
      <c r="C4810" s="2" t="inlineStr">
        <is>
          <t>302550</t>
        </is>
      </c>
      <c r="D4810" s="2" t="inlineStr">
        <is>
          <t>대량보유</t>
        </is>
      </c>
      <c r="E4810" s="3" t="inlineStr">
        <is>
          <t>-</t>
        </is>
      </c>
      <c r="F4810" s="3" t="inlineStr">
        <is>
          <t>보고자</t>
        </is>
      </c>
      <c r="G4810" s="3" t="inlineStr">
        <is>
          <t>-</t>
        </is>
      </c>
      <c r="H4810" s="6" t="inlineStr"/>
      <c r="I4810" s="6" t="inlineStr"/>
      <c r="J4810" s="6" t="inlineStr"/>
      <c r="K4810" s="18" t="inlineStr"/>
      <c r="L4810" s="2" t="inlineStr">
        <is>
          <t>20260626000758</t>
        </is>
      </c>
      <c r="M4810" s="8">
        <f>HYPERLINK("https://dart.fss.or.kr/dsaf001/main.do?rcpNo=20260626000758", "공시열람")</f>
        <v/>
      </c>
    </row>
    <row r="4811" ht="22" customHeight="1">
      <c r="A4811" s="2" t="inlineStr">
        <is>
          <t>2026-06-24</t>
        </is>
      </c>
      <c r="B4811" s="3" t="inlineStr">
        <is>
          <t>아즈텍WB</t>
        </is>
      </c>
      <c r="C4811" s="2" t="inlineStr">
        <is>
          <t>032080</t>
        </is>
      </c>
      <c r="D4811" s="2" t="inlineStr">
        <is>
          <t>대량보유</t>
        </is>
      </c>
      <c r="E4811" s="3" t="inlineStr">
        <is>
          <t>(주)유송코퍼레이션</t>
        </is>
      </c>
      <c r="F4811" s="3" t="inlineStr">
        <is>
          <t>특별관계자</t>
        </is>
      </c>
      <c r="G4811" s="3" t="inlineStr">
        <is>
          <t>장내매수(+)</t>
        </is>
      </c>
      <c r="H4811" s="15" t="n">
        <v>121735</v>
      </c>
      <c r="I4811" s="6" t="n">
        <v>1200</v>
      </c>
      <c r="J4811" s="6" t="n">
        <v>235055</v>
      </c>
      <c r="K4811" s="16" t="n">
        <v>6</v>
      </c>
      <c r="L4811" s="2" t="inlineStr">
        <is>
          <t>20260624000336</t>
        </is>
      </c>
      <c r="M4811" s="8">
        <f>HYPERLINK("https://dart.fss.or.kr/dsaf001/main.do?rcpNo=20260624000336", "공시열람")</f>
        <v/>
      </c>
    </row>
    <row r="4812" ht="22" customHeight="1">
      <c r="A4812" s="2" t="inlineStr">
        <is>
          <t>2026-06-24</t>
        </is>
      </c>
      <c r="B4812" s="3" t="inlineStr">
        <is>
          <t>아즈텍WB</t>
        </is>
      </c>
      <c r="C4812" s="2" t="inlineStr">
        <is>
          <t>032080</t>
        </is>
      </c>
      <c r="D4812" s="2" t="inlineStr">
        <is>
          <t>대량보유</t>
        </is>
      </c>
      <c r="E4812" s="3" t="inlineStr">
        <is>
          <t>(주)제원아이엔씨</t>
        </is>
      </c>
      <c r="F4812" s="3" t="inlineStr">
        <is>
          <t>특별관계자</t>
        </is>
      </c>
      <c r="G4812" s="3" t="inlineStr">
        <is>
          <t>장내매수(+)</t>
        </is>
      </c>
      <c r="H4812" s="15" t="n">
        <v>113320</v>
      </c>
      <c r="I4812" s="6" t="n">
        <v>1198</v>
      </c>
      <c r="J4812" s="6" t="n">
        <v>206517</v>
      </c>
      <c r="K4812" s="16" t="n">
        <v>6</v>
      </c>
      <c r="L4812" s="2" t="inlineStr">
        <is>
          <t>20260624000336</t>
        </is>
      </c>
      <c r="M4812" s="8">
        <f>HYPERLINK("https://dart.fss.or.kr/dsaf001/main.do?rcpNo=20260624000336", "공시열람")</f>
        <v/>
      </c>
    </row>
    <row r="4813" ht="22" customHeight="1">
      <c r="A4813" s="2" t="inlineStr">
        <is>
          <t>2026-06-24</t>
        </is>
      </c>
      <c r="B4813" s="3" t="inlineStr">
        <is>
          <t>현대백화점</t>
        </is>
      </c>
      <c r="C4813" s="2" t="inlineStr">
        <is>
          <t>069960</t>
        </is>
      </c>
      <c r="D4813" s="2" t="inlineStr">
        <is>
          <t>대량보유</t>
        </is>
      </c>
      <c r="E4813" s="3" t="inlineStr">
        <is>
          <t>(주)현대지에프홀딩스</t>
        </is>
      </c>
      <c r="F4813" s="3" t="inlineStr">
        <is>
          <t>특별관계자</t>
        </is>
      </c>
      <c r="G4813" s="3" t="inlineStr">
        <is>
          <t>장내매수(+)</t>
        </is>
      </c>
      <c r="H4813" s="15" t="n">
        <v>48710</v>
      </c>
      <c r="I4813" s="6" t="n">
        <v>195792</v>
      </c>
      <c r="J4813" s="6" t="n">
        <v>8021410</v>
      </c>
      <c r="K4813" s="16" t="n">
        <v>3</v>
      </c>
      <c r="L4813" s="2" t="inlineStr">
        <is>
          <t>20260624000332</t>
        </is>
      </c>
      <c r="M4813" s="8">
        <f>HYPERLINK("https://dart.fss.or.kr/dsaf001/main.do?rcpNo=20260624000332", "공시열람")</f>
        <v/>
      </c>
    </row>
    <row r="4814" ht="22" customHeight="1">
      <c r="A4814" s="2" t="inlineStr">
        <is>
          <t>2026-06-24</t>
        </is>
      </c>
      <c r="B4814" s="3" t="inlineStr">
        <is>
          <t>종근당홀딩스</t>
        </is>
      </c>
      <c r="C4814" s="2" t="inlineStr">
        <is>
          <t>001630</t>
        </is>
      </c>
      <c r="D4814" s="2" t="inlineStr">
        <is>
          <t>대량보유</t>
        </is>
      </c>
      <c r="E4814" s="3" t="inlineStr">
        <is>
          <t>이주아</t>
        </is>
      </c>
      <c r="F4814" s="3" t="inlineStr">
        <is>
          <t>특별관계자</t>
        </is>
      </c>
      <c r="G4814" s="3" t="inlineStr">
        <is>
          <t>주식담보대출 계약 체결 ☞ 삼성증권 86,742주(2026. 06. 22 ~ 2026. 09. 22)</t>
        </is>
      </c>
      <c r="H4814" s="6" t="inlineStr"/>
      <c r="I4814" s="6" t="inlineStr"/>
      <c r="J4814" s="6" t="inlineStr"/>
      <c r="K4814" s="16" t="n">
        <v>7</v>
      </c>
      <c r="L4814" s="2" t="inlineStr">
        <is>
          <t>20260624000321</t>
        </is>
      </c>
      <c r="M4814" s="8">
        <f>HYPERLINK("https://dart.fss.or.kr/dsaf001/main.do?rcpNo=20260624000321", "공시열람")</f>
        <v/>
      </c>
    </row>
    <row r="4815" ht="22" customHeight="1">
      <c r="A4815" s="2" t="inlineStr">
        <is>
          <t>2026-06-24</t>
        </is>
      </c>
      <c r="B4815" s="3" t="inlineStr">
        <is>
          <t>노루페인트</t>
        </is>
      </c>
      <c r="C4815" s="2" t="inlineStr">
        <is>
          <t>090350</t>
        </is>
      </c>
      <c r="D4815" s="2" t="inlineStr">
        <is>
          <t>임원보고</t>
        </is>
      </c>
      <c r="E4815" s="3" t="inlineStr">
        <is>
          <t>-</t>
        </is>
      </c>
      <c r="F4815" s="3" t="inlineStr">
        <is>
          <t>-</t>
        </is>
      </c>
      <c r="G4815" s="3" t="inlineStr">
        <is>
          <t>-</t>
        </is>
      </c>
      <c r="H4815" s="6" t="inlineStr"/>
      <c r="I4815" s="6" t="inlineStr"/>
      <c r="J4815" s="6" t="inlineStr"/>
      <c r="K4815" s="16" t="n">
        <v>12</v>
      </c>
      <c r="L4815" s="2" t="inlineStr">
        <is>
          <t>20260624800640</t>
        </is>
      </c>
      <c r="M4815" s="8">
        <f>HYPERLINK("https://dart.fss.or.kr/dsaf001/main.do?rcpNo=20260624800640", "공시열람")</f>
        <v/>
      </c>
    </row>
    <row r="4816" ht="22" customHeight="1">
      <c r="A4816" s="2" t="inlineStr">
        <is>
          <t>2026-06-24</t>
        </is>
      </c>
      <c r="B4816" s="3" t="inlineStr">
        <is>
          <t>종근당</t>
        </is>
      </c>
      <c r="C4816" s="2" t="inlineStr">
        <is>
          <t>185750</t>
        </is>
      </c>
      <c r="D4816" s="2" t="inlineStr">
        <is>
          <t>대량보유</t>
        </is>
      </c>
      <c r="E4816" s="3" t="inlineStr">
        <is>
          <t>이장한</t>
        </is>
      </c>
      <c r="F4816" s="3" t="inlineStr">
        <is>
          <t>보고자</t>
        </is>
      </c>
      <c r="G4816" s="3" t="inlineStr">
        <is>
          <t>담보대출 일부 상환 및 변경</t>
        </is>
      </c>
      <c r="H4816" s="6" t="inlineStr"/>
      <c r="I4816" s="6" t="inlineStr"/>
      <c r="J4816" s="6" t="n">
        <v>5542063</v>
      </c>
      <c r="K4816" s="16" t="n">
        <v>6</v>
      </c>
      <c r="L4816" s="2" t="inlineStr">
        <is>
          <t>20260624000311</t>
        </is>
      </c>
      <c r="M4816" s="8">
        <f>HYPERLINK("https://dart.fss.or.kr/dsaf001/main.do?rcpNo=20260624000311", "공시열람")</f>
        <v/>
      </c>
    </row>
    <row r="4817" ht="22" customHeight="1">
      <c r="A4817" s="2" t="inlineStr">
        <is>
          <t>2026-06-24</t>
        </is>
      </c>
      <c r="B4817" s="3" t="inlineStr">
        <is>
          <t>대원강업</t>
        </is>
      </c>
      <c r="C4817" s="2" t="inlineStr">
        <is>
          <t>000430</t>
        </is>
      </c>
      <c r="D4817" s="2" t="inlineStr">
        <is>
          <t>대량보유</t>
        </is>
      </c>
      <c r="E4817" s="3" t="inlineStr">
        <is>
          <t>(주)현대지에프홀딩스</t>
        </is>
      </c>
      <c r="F4817" s="3" t="inlineStr">
        <is>
          <t>특별관계자</t>
        </is>
      </c>
      <c r="G4817" s="3" t="inlineStr">
        <is>
          <t>장내매수(+)</t>
        </is>
      </c>
      <c r="H4817" s="15" t="n">
        <v>304000</v>
      </c>
      <c r="I4817" s="6" t="n">
        <v>4602</v>
      </c>
      <c r="J4817" s="6" t="n">
        <v>24166041</v>
      </c>
      <c r="K4817" s="16" t="n">
        <v>3</v>
      </c>
      <c r="L4817" s="2" t="inlineStr">
        <is>
          <t>20260624000310</t>
        </is>
      </c>
      <c r="M4817" s="8">
        <f>HYPERLINK("https://dart.fss.or.kr/dsaf001/main.do?rcpNo=20260624000310", "공시열람")</f>
        <v/>
      </c>
    </row>
    <row r="4818" ht="22" customHeight="1">
      <c r="A4818" s="2" t="inlineStr">
        <is>
          <t>2026-06-24</t>
        </is>
      </c>
      <c r="B4818" s="3" t="inlineStr">
        <is>
          <t>부스타</t>
        </is>
      </c>
      <c r="C4818" s="2" t="inlineStr">
        <is>
          <t>008470</t>
        </is>
      </c>
      <c r="D4818" s="2" t="inlineStr">
        <is>
          <t>대량보유</t>
        </is>
      </c>
      <c r="E4818" s="3" t="inlineStr">
        <is>
          <t>박철호</t>
        </is>
      </c>
      <c r="F4818" s="3" t="inlineStr">
        <is>
          <t>특별관계자</t>
        </is>
      </c>
      <c r="G4818" s="3" t="inlineStr">
        <is>
          <t>자사주상여금(+)</t>
        </is>
      </c>
      <c r="H4818" s="15" t="n">
        <v>40917</v>
      </c>
      <c r="I4818" s="6" t="inlineStr"/>
      <c r="J4818" s="6" t="n">
        <v>51131</v>
      </c>
      <c r="K4818" s="16" t="n">
        <v>8</v>
      </c>
      <c r="L4818" s="2" t="inlineStr">
        <is>
          <t>20260624000309</t>
        </is>
      </c>
      <c r="M4818" s="8">
        <f>HYPERLINK("https://dart.fss.or.kr/dsaf001/main.do?rcpNo=20260624000309", "공시열람")</f>
        <v/>
      </c>
    </row>
    <row r="4819" ht="22" customHeight="1">
      <c r="A4819" s="2" t="inlineStr">
        <is>
          <t>2026-06-24</t>
        </is>
      </c>
      <c r="B4819" s="3" t="inlineStr">
        <is>
          <t>부스타</t>
        </is>
      </c>
      <c r="C4819" s="2" t="inlineStr">
        <is>
          <t>008470</t>
        </is>
      </c>
      <c r="D4819" s="2" t="inlineStr">
        <is>
          <t>대량보유</t>
        </is>
      </c>
      <c r="E4819" s="3" t="inlineStr">
        <is>
          <t>유재현</t>
        </is>
      </c>
      <c r="F4819" s="3" t="inlineStr">
        <is>
          <t>특별관계자</t>
        </is>
      </c>
      <c r="G4819" s="3" t="inlineStr">
        <is>
          <t>장내매수(+)</t>
        </is>
      </c>
      <c r="H4819" s="15" t="n">
        <v>44462</v>
      </c>
      <c r="I4819" s="6" t="n">
        <v>3866</v>
      </c>
      <c r="J4819" s="6" t="n">
        <v>49097</v>
      </c>
      <c r="K4819" s="16" t="n">
        <v>8</v>
      </c>
      <c r="L4819" s="2" t="inlineStr">
        <is>
          <t>20260624000309</t>
        </is>
      </c>
      <c r="M4819" s="8">
        <f>HYPERLINK("https://dart.fss.or.kr/dsaf001/main.do?rcpNo=20260624000309", "공시열람")</f>
        <v/>
      </c>
    </row>
    <row r="4820" ht="22" customHeight="1">
      <c r="A4820" s="2" t="inlineStr">
        <is>
          <t>2026-06-24</t>
        </is>
      </c>
      <c r="B4820" s="3" t="inlineStr">
        <is>
          <t>부스타</t>
        </is>
      </c>
      <c r="C4820" s="2" t="inlineStr">
        <is>
          <t>008470</t>
        </is>
      </c>
      <c r="D4820" s="2" t="inlineStr">
        <is>
          <t>대량보유</t>
        </is>
      </c>
      <c r="E4820" s="3" t="inlineStr">
        <is>
          <t>경일정수</t>
        </is>
      </c>
      <c r="F4820" s="3" t="inlineStr">
        <is>
          <t>특별관계자</t>
        </is>
      </c>
      <c r="G4820" s="3" t="inlineStr">
        <is>
          <t>장내매수(+)</t>
        </is>
      </c>
      <c r="H4820" s="15" t="n">
        <v>17859</v>
      </c>
      <c r="I4820" s="6" t="n">
        <v>3719</v>
      </c>
      <c r="J4820" s="6" t="n">
        <v>47240</v>
      </c>
      <c r="K4820" s="16" t="n">
        <v>8</v>
      </c>
      <c r="L4820" s="2" t="inlineStr">
        <is>
          <t>20260624000309</t>
        </is>
      </c>
      <c r="M4820" s="8">
        <f>HYPERLINK("https://dart.fss.or.kr/dsaf001/main.do?rcpNo=20260624000309", "공시열람")</f>
        <v/>
      </c>
    </row>
    <row r="4821" ht="22" customHeight="1">
      <c r="A4821" s="2" t="inlineStr">
        <is>
          <t>2026-06-24</t>
        </is>
      </c>
      <c r="B4821" s="3" t="inlineStr">
        <is>
          <t>체시스</t>
        </is>
      </c>
      <c r="C4821" s="2" t="inlineStr">
        <is>
          <t>033250</t>
        </is>
      </c>
      <c r="D4821" s="2" t="inlineStr">
        <is>
          <t>임원보고</t>
        </is>
      </c>
      <c r="E4821" s="3" t="inlineStr">
        <is>
          <t>-</t>
        </is>
      </c>
      <c r="F4821" s="3" t="inlineStr">
        <is>
          <t>-</t>
        </is>
      </c>
      <c r="G4821" s="3" t="inlineStr">
        <is>
          <t>-</t>
        </is>
      </c>
      <c r="H4821" s="6" t="inlineStr"/>
      <c r="I4821" s="6" t="inlineStr"/>
      <c r="J4821" s="6" t="inlineStr"/>
      <c r="K4821" s="16" t="n">
        <v>12</v>
      </c>
      <c r="L4821" s="2" t="inlineStr">
        <is>
          <t>20260624800628</t>
        </is>
      </c>
      <c r="M4821" s="8">
        <f>HYPERLINK("https://dart.fss.or.kr/dsaf001/main.do?rcpNo=20260624800628", "공시열람")</f>
        <v/>
      </c>
    </row>
    <row r="4822" ht="22" customHeight="1">
      <c r="A4822" s="2" t="inlineStr">
        <is>
          <t>2026-06-24</t>
        </is>
      </c>
      <c r="B4822" s="3" t="inlineStr">
        <is>
          <t>삼천리</t>
        </is>
      </c>
      <c r="C4822" s="2" t="inlineStr">
        <is>
          <t>004690</t>
        </is>
      </c>
      <c r="D4822" s="2" t="inlineStr">
        <is>
          <t>임원보고</t>
        </is>
      </c>
      <c r="E4822" s="3" t="inlineStr">
        <is>
          <t>-</t>
        </is>
      </c>
      <c r="F4822" s="3" t="inlineStr">
        <is>
          <t>-</t>
        </is>
      </c>
      <c r="G4822" s="3" t="inlineStr">
        <is>
          <t>-</t>
        </is>
      </c>
      <c r="H4822" s="6" t="inlineStr"/>
      <c r="I4822" s="6" t="inlineStr"/>
      <c r="J4822" s="6" t="inlineStr"/>
      <c r="K4822" s="16" t="n">
        <v>12</v>
      </c>
      <c r="L4822" s="2" t="inlineStr">
        <is>
          <t>20260624800616</t>
        </is>
      </c>
      <c r="M4822" s="8">
        <f>HYPERLINK("https://dart.fss.or.kr/dsaf001/main.do?rcpNo=20260624800616", "공시열람")</f>
        <v/>
      </c>
    </row>
    <row r="4823" ht="22" customHeight="1">
      <c r="A4823" s="2" t="inlineStr">
        <is>
          <t>2026-06-24</t>
        </is>
      </c>
      <c r="B4823" s="3" t="inlineStr">
        <is>
          <t>라메디텍</t>
        </is>
      </c>
      <c r="C4823" s="2" t="inlineStr">
        <is>
          <t>462510</t>
        </is>
      </c>
      <c r="D4823" s="2" t="inlineStr">
        <is>
          <t>대량보유</t>
        </is>
      </c>
      <c r="E4823" s="3" t="inlineStr">
        <is>
          <t>정봉균</t>
        </is>
      </c>
      <c r="F4823" s="3" t="inlineStr">
        <is>
          <t>특별관계자</t>
        </is>
      </c>
      <c r="G4823" s="3" t="inlineStr">
        <is>
          <t>계약기간만료</t>
        </is>
      </c>
      <c r="H4823" s="17" t="n">
        <v>-19770</v>
      </c>
      <c r="I4823" s="6" t="inlineStr"/>
      <c r="J4823" s="6" t="inlineStr"/>
      <c r="K4823" s="16" t="n">
        <v>6</v>
      </c>
      <c r="L4823" s="2" t="inlineStr">
        <is>
          <t>20260624000286</t>
        </is>
      </c>
      <c r="M4823" s="8">
        <f>HYPERLINK("https://dart.fss.or.kr/dsaf001/main.do?rcpNo=20260624000286", "공시열람")</f>
        <v/>
      </c>
    </row>
    <row r="4824" ht="22" customHeight="1">
      <c r="A4824" s="2" t="inlineStr">
        <is>
          <t>2026-06-24</t>
        </is>
      </c>
      <c r="B4824" s="3" t="inlineStr">
        <is>
          <t>라메디텍</t>
        </is>
      </c>
      <c r="C4824" s="2" t="inlineStr">
        <is>
          <t>462510</t>
        </is>
      </c>
      <c r="D4824" s="2" t="inlineStr">
        <is>
          <t>대량보유</t>
        </is>
      </c>
      <c r="E4824" s="3" t="inlineStr">
        <is>
          <t>강민정</t>
        </is>
      </c>
      <c r="F4824" s="3" t="inlineStr">
        <is>
          <t>특별관계자</t>
        </is>
      </c>
      <c r="G4824" s="3" t="inlineStr">
        <is>
          <t>임원퇴임(-)</t>
        </is>
      </c>
      <c r="H4824" s="17" t="n">
        <v>-2500</v>
      </c>
      <c r="I4824" s="6" t="inlineStr"/>
      <c r="J4824" s="6" t="inlineStr"/>
      <c r="K4824" s="16" t="n">
        <v>6</v>
      </c>
      <c r="L4824" s="2" t="inlineStr">
        <is>
          <t>20260624000286</t>
        </is>
      </c>
      <c r="M4824" s="8">
        <f>HYPERLINK("https://dart.fss.or.kr/dsaf001/main.do?rcpNo=20260624000286", "공시열람")</f>
        <v/>
      </c>
    </row>
    <row r="4825" ht="22" customHeight="1">
      <c r="A4825" s="2" t="inlineStr">
        <is>
          <t>2026-06-24</t>
        </is>
      </c>
      <c r="B4825" s="3" t="inlineStr">
        <is>
          <t>라메디텍</t>
        </is>
      </c>
      <c r="C4825" s="2" t="inlineStr">
        <is>
          <t>462510</t>
        </is>
      </c>
      <c r="D4825" s="2" t="inlineStr">
        <is>
          <t>대량보유</t>
        </is>
      </c>
      <c r="E4825" s="3" t="inlineStr">
        <is>
          <t>장창욱</t>
        </is>
      </c>
      <c r="F4825" s="3" t="inlineStr">
        <is>
          <t>특별관계자</t>
        </is>
      </c>
      <c r="G4825" s="3" t="inlineStr">
        <is>
          <t>주식매수선택권행사(+), 주식매수선택권행사(-)</t>
        </is>
      </c>
      <c r="H4825" s="6" t="inlineStr"/>
      <c r="I4825" s="6" t="n">
        <v>3000</v>
      </c>
      <c r="J4825" s="6" t="n">
        <v>118000</v>
      </c>
      <c r="K4825" s="16" t="n">
        <v>6</v>
      </c>
      <c r="L4825" s="2" t="inlineStr">
        <is>
          <t>20260624000286</t>
        </is>
      </c>
      <c r="M4825" s="8">
        <f>HYPERLINK("https://dart.fss.or.kr/dsaf001/main.do?rcpNo=20260624000286", "공시열람")</f>
        <v/>
      </c>
    </row>
    <row r="4826" ht="22" customHeight="1">
      <c r="A4826" s="2" t="inlineStr">
        <is>
          <t>2026-06-24</t>
        </is>
      </c>
      <c r="B4826" s="3" t="inlineStr">
        <is>
          <t>라메디텍</t>
        </is>
      </c>
      <c r="C4826" s="2" t="inlineStr">
        <is>
          <t>462510</t>
        </is>
      </c>
      <c r="D4826" s="2" t="inlineStr">
        <is>
          <t>대량보유</t>
        </is>
      </c>
      <c r="E4826" s="3" t="inlineStr">
        <is>
          <t>이승용</t>
        </is>
      </c>
      <c r="F4826" s="3" t="inlineStr">
        <is>
          <t>특별관계자</t>
        </is>
      </c>
      <c r="G4826" s="3" t="inlineStr">
        <is>
          <t>임원퇴임(-)</t>
        </is>
      </c>
      <c r="H4826" s="17" t="n">
        <v>-40000</v>
      </c>
      <c r="I4826" s="6" t="inlineStr"/>
      <c r="J4826" s="6" t="inlineStr"/>
      <c r="K4826" s="16" t="n">
        <v>6</v>
      </c>
      <c r="L4826" s="2" t="inlineStr">
        <is>
          <t>20260624000286</t>
        </is>
      </c>
      <c r="M4826" s="8">
        <f>HYPERLINK("https://dart.fss.or.kr/dsaf001/main.do?rcpNo=20260624000286", "공시열람")</f>
        <v/>
      </c>
    </row>
    <row r="4827" ht="22" customHeight="1">
      <c r="A4827" s="2" t="inlineStr">
        <is>
          <t>2026-06-24</t>
        </is>
      </c>
      <c r="B4827" s="3" t="inlineStr">
        <is>
          <t>라메디텍</t>
        </is>
      </c>
      <c r="C4827" s="2" t="inlineStr">
        <is>
          <t>462510</t>
        </is>
      </c>
      <c r="D4827" s="2" t="inlineStr">
        <is>
          <t>대량보유</t>
        </is>
      </c>
      <c r="E4827" s="3" t="inlineStr">
        <is>
          <t>임채승</t>
        </is>
      </c>
      <c r="F4827" s="3" t="inlineStr">
        <is>
          <t>특별관계자</t>
        </is>
      </c>
      <c r="G4827" s="3" t="inlineStr">
        <is>
          <t>특별관계해소(-)</t>
        </is>
      </c>
      <c r="H4827" s="17" t="n">
        <v>-69250</v>
      </c>
      <c r="I4827" s="6" t="inlineStr"/>
      <c r="J4827" s="6" t="inlineStr"/>
      <c r="K4827" s="16" t="n">
        <v>6</v>
      </c>
      <c r="L4827" s="2" t="inlineStr">
        <is>
          <t>20260624000286</t>
        </is>
      </c>
      <c r="M4827" s="8">
        <f>HYPERLINK("https://dart.fss.or.kr/dsaf001/main.do?rcpNo=20260624000286", "공시열람")</f>
        <v/>
      </c>
    </row>
    <row r="4828" ht="22" customHeight="1">
      <c r="A4828" s="2" t="inlineStr">
        <is>
          <t>2026-06-24</t>
        </is>
      </c>
      <c r="B4828" s="3" t="inlineStr">
        <is>
          <t>에이텀</t>
        </is>
      </c>
      <c r="C4828" s="2" t="inlineStr">
        <is>
          <t>355690</t>
        </is>
      </c>
      <c r="D4828" s="2" t="inlineStr">
        <is>
          <t>대량보유</t>
        </is>
      </c>
      <c r="E4828" s="3" t="inlineStr">
        <is>
          <t>르네상스자산운용(주)</t>
        </is>
      </c>
      <c r="F4828" s="3" t="inlineStr">
        <is>
          <t>특별관계자</t>
        </is>
      </c>
      <c r="G4828" s="3" t="inlineStr">
        <is>
          <t>장내매도(-), 유상신주취득(+), 기타(+)</t>
        </is>
      </c>
      <c r="H4828" s="15" t="n">
        <v>315296</v>
      </c>
      <c r="I4828" s="6" t="n">
        <v>5880</v>
      </c>
      <c r="J4828" s="6" t="n">
        <v>712376</v>
      </c>
      <c r="K4828" s="16" t="n">
        <v>9.65</v>
      </c>
      <c r="L4828" s="2" t="inlineStr">
        <is>
          <t>20260624000282</t>
        </is>
      </c>
      <c r="M4828" s="8">
        <f>HYPERLINK("https://dart.fss.or.kr/dsaf001/main.do?rcpNo=20260624000282", "공시열람")</f>
        <v/>
      </c>
    </row>
    <row r="4829" ht="22" customHeight="1">
      <c r="A4829" s="2" t="inlineStr">
        <is>
          <t>2026-06-24</t>
        </is>
      </c>
      <c r="B4829" s="3" t="inlineStr">
        <is>
          <t>피플바이오</t>
        </is>
      </c>
      <c r="C4829" s="2" t="inlineStr">
        <is>
          <t>304840</t>
        </is>
      </c>
      <c r="D4829" s="2" t="inlineStr">
        <is>
          <t>대량보유</t>
        </is>
      </c>
      <c r="E4829" s="3" t="inlineStr">
        <is>
          <t>(유)휴먼데이타</t>
        </is>
      </c>
      <c r="F4829" s="3" t="inlineStr">
        <is>
          <t>보고자</t>
        </is>
      </c>
      <c r="G4829" s="3" t="inlineStr">
        <is>
          <t>영구전환사채, 주식 담보제공 추가 계약 체결</t>
        </is>
      </c>
      <c r="H4829" s="6" t="inlineStr"/>
      <c r="I4829" s="6" t="inlineStr"/>
      <c r="J4829" s="6" t="n">
        <v>31072236</v>
      </c>
      <c r="K4829" s="16" t="n">
        <v>2</v>
      </c>
      <c r="L4829" s="2" t="inlineStr">
        <is>
          <t>20260624000270</t>
        </is>
      </c>
      <c r="M4829" s="8">
        <f>HYPERLINK("https://dart.fss.or.kr/dsaf001/main.do?rcpNo=20260624000270", "공시열람")</f>
        <v/>
      </c>
    </row>
    <row r="4830" ht="22" customHeight="1">
      <c r="A4830" s="2" t="inlineStr">
        <is>
          <t>2026-06-24</t>
        </is>
      </c>
      <c r="B4830" s="3" t="inlineStr">
        <is>
          <t>코스텍시스템</t>
        </is>
      </c>
      <c r="C4830" s="2" t="inlineStr">
        <is>
          <t>169670</t>
        </is>
      </c>
      <c r="D4830" s="2" t="inlineStr">
        <is>
          <t>대량보유</t>
        </is>
      </c>
      <c r="E4830" s="3" t="inlineStr">
        <is>
          <t>배건우</t>
        </is>
      </c>
      <c r="F4830" s="3" t="inlineStr">
        <is>
          <t>특별관계자</t>
        </is>
      </c>
      <c r="G4830" s="3" t="inlineStr">
        <is>
          <t>상속(+)</t>
        </is>
      </c>
      <c r="H4830" s="15" t="n">
        <v>1643526</v>
      </c>
      <c r="I4830" s="6" t="n">
        <v>0</v>
      </c>
      <c r="J4830" s="6" t="n">
        <v>1643526</v>
      </c>
      <c r="K4830" s="16" t="n">
        <v>14</v>
      </c>
      <c r="L4830" s="2" t="inlineStr">
        <is>
          <t>20260624000263</t>
        </is>
      </c>
      <c r="M4830" s="8">
        <f>HYPERLINK("https://dart.fss.or.kr/dsaf001/main.do?rcpNo=20260624000263", "공시열람")</f>
        <v/>
      </c>
    </row>
    <row r="4831" ht="22" customHeight="1">
      <c r="A4831" s="2" t="inlineStr">
        <is>
          <t>2026-06-24</t>
        </is>
      </c>
      <c r="B4831" s="3" t="inlineStr">
        <is>
          <t>에코프로</t>
        </is>
      </c>
      <c r="C4831" s="2" t="inlineStr">
        <is>
          <t>086520</t>
        </is>
      </c>
      <c r="D4831" s="2" t="inlineStr">
        <is>
          <t>대량보유</t>
        </is>
      </c>
      <c r="E4831" s="3" t="inlineStr">
        <is>
          <t>이선이</t>
        </is>
      </c>
      <c r="F4831" s="3" t="inlineStr">
        <is>
          <t>특별관계자</t>
        </is>
      </c>
      <c r="G4831" s="3" t="inlineStr">
        <is>
          <t>장내매도(-)</t>
        </is>
      </c>
      <c r="H4831" s="17" t="n">
        <v>-10500</v>
      </c>
      <c r="I4831" s="6" t="n">
        <v>123300</v>
      </c>
      <c r="J4831" s="6" t="n">
        <v>1807654</v>
      </c>
      <c r="K4831" s="16" t="n">
        <v>14</v>
      </c>
      <c r="L4831" s="2" t="inlineStr">
        <is>
          <t>20260624000260</t>
        </is>
      </c>
      <c r="M4831" s="8">
        <f>HYPERLINK("https://dart.fss.or.kr/dsaf001/main.do?rcpNo=20260624000260", "공시열람")</f>
        <v/>
      </c>
    </row>
    <row r="4832" ht="22" customHeight="1">
      <c r="A4832" s="2" t="inlineStr">
        <is>
          <t>2026-06-24</t>
        </is>
      </c>
      <c r="B4832" s="3" t="inlineStr">
        <is>
          <t>SDN</t>
        </is>
      </c>
      <c r="C4832" s="2" t="inlineStr">
        <is>
          <t>099220</t>
        </is>
      </c>
      <c r="D4832" s="2" t="inlineStr">
        <is>
          <t>대량보유</t>
        </is>
      </c>
      <c r="E4832" s="3" t="inlineStr">
        <is>
          <t>최기혁</t>
        </is>
      </c>
      <c r="F4832" s="3" t="inlineStr">
        <is>
          <t>특별관계자</t>
        </is>
      </c>
      <c r="G4832" s="3" t="inlineStr">
        <is>
          <t>장내매수(+)</t>
        </is>
      </c>
      <c r="H4832" s="15" t="n">
        <v>283785</v>
      </c>
      <c r="I4832" s="6" t="n">
        <v>983</v>
      </c>
      <c r="J4832" s="6" t="n">
        <v>4332919</v>
      </c>
      <c r="K4832" s="16" t="n">
        <v>14</v>
      </c>
      <c r="L4832" s="2" t="inlineStr">
        <is>
          <t>20260624000249</t>
        </is>
      </c>
      <c r="M4832" s="8">
        <f>HYPERLINK("https://dart.fss.or.kr/dsaf001/main.do?rcpNo=20260624000249", "공시열람")</f>
        <v/>
      </c>
    </row>
    <row r="4833" ht="22" customHeight="1">
      <c r="A4833" s="2" t="inlineStr">
        <is>
          <t>2026-06-24</t>
        </is>
      </c>
      <c r="B4833" s="3" t="inlineStr">
        <is>
          <t>아진전자부품</t>
        </is>
      </c>
      <c r="C4833" s="2" t="inlineStr">
        <is>
          <t>009320</t>
        </is>
      </c>
      <c r="D4833" s="2" t="inlineStr">
        <is>
          <t>대량보유</t>
        </is>
      </c>
      <c r="E4833" s="3" t="inlineStr">
        <is>
          <t>(주)우신산업</t>
        </is>
      </c>
      <c r="F4833" s="3" t="inlineStr">
        <is>
          <t>보고자</t>
        </is>
      </c>
      <c r="G4833" s="3" t="inlineStr">
        <is>
          <t>질권설정 연장</t>
        </is>
      </c>
      <c r="H4833" s="6" t="inlineStr"/>
      <c r="I4833" s="6" t="inlineStr"/>
      <c r="J4833" s="6" t="n">
        <v>12321610</v>
      </c>
      <c r="K4833" s="16" t="n">
        <v>3</v>
      </c>
      <c r="L4833" s="2" t="inlineStr">
        <is>
          <t>20260624000231</t>
        </is>
      </c>
      <c r="M4833" s="8">
        <f>HYPERLINK("https://dart.fss.or.kr/dsaf001/main.do?rcpNo=20260624000231", "공시열람")</f>
        <v/>
      </c>
    </row>
    <row r="4834" ht="22" customHeight="1">
      <c r="A4834" s="2" t="inlineStr">
        <is>
          <t>2026-06-24</t>
        </is>
      </c>
      <c r="B4834" s="3" t="inlineStr">
        <is>
          <t>동운아나텍</t>
        </is>
      </c>
      <c r="C4834" s="2" t="inlineStr">
        <is>
          <t>094170</t>
        </is>
      </c>
      <c r="D4834" s="2" t="inlineStr">
        <is>
          <t>대량보유</t>
        </is>
      </c>
      <c r="E4834" s="3" t="inlineStr">
        <is>
          <t>김동철</t>
        </is>
      </c>
      <c r="F4834" s="3" t="inlineStr">
        <is>
          <t>특별관계자</t>
        </is>
      </c>
      <c r="G4834" s="3" t="inlineStr">
        <is>
          <t>장내매수(+)</t>
        </is>
      </c>
      <c r="H4834" s="15" t="n">
        <v>68349</v>
      </c>
      <c r="I4834" s="6" t="n">
        <v>35450</v>
      </c>
      <c r="J4834" s="6" t="n">
        <v>2789051</v>
      </c>
      <c r="K4834" s="16" t="n">
        <v>13</v>
      </c>
      <c r="L4834" s="2" t="inlineStr">
        <is>
          <t>20260624000212</t>
        </is>
      </c>
      <c r="M4834" s="8">
        <f>HYPERLINK("https://dart.fss.or.kr/dsaf001/main.do?rcpNo=20260624000212", "공시열람")</f>
        <v/>
      </c>
    </row>
    <row r="4835" ht="22" customHeight="1">
      <c r="A4835" s="2" t="inlineStr">
        <is>
          <t>2026-06-24</t>
        </is>
      </c>
      <c r="B4835" s="3" t="inlineStr">
        <is>
          <t>동운아나텍</t>
        </is>
      </c>
      <c r="C4835" s="2" t="inlineStr">
        <is>
          <t>094170</t>
        </is>
      </c>
      <c r="D4835" s="2" t="inlineStr">
        <is>
          <t>대량보유</t>
        </is>
      </c>
      <c r="E4835" s="3" t="inlineStr">
        <is>
          <t>윤태준</t>
        </is>
      </c>
      <c r="F4835" s="3" t="inlineStr">
        <is>
          <t>특별관계자</t>
        </is>
      </c>
      <c r="G4835" s="3" t="inlineStr">
        <is>
          <t>증여(-)</t>
        </is>
      </c>
      <c r="H4835" s="17" t="n">
        <v>-2000</v>
      </c>
      <c r="I4835" s="6" t="inlineStr"/>
      <c r="J4835" s="6" t="n">
        <v>32824</v>
      </c>
      <c r="K4835" s="16" t="n">
        <v>13</v>
      </c>
      <c r="L4835" s="2" t="inlineStr">
        <is>
          <t>20260624000212</t>
        </is>
      </c>
      <c r="M4835" s="8">
        <f>HYPERLINK("https://dart.fss.or.kr/dsaf001/main.do?rcpNo=20260624000212", "공시열람")</f>
        <v/>
      </c>
    </row>
    <row r="4836" ht="22" customHeight="1">
      <c r="A4836" s="2" t="inlineStr">
        <is>
          <t>2026-06-24</t>
        </is>
      </c>
      <c r="B4836" s="3" t="inlineStr">
        <is>
          <t>라온피플</t>
        </is>
      </c>
      <c r="C4836" s="2" t="inlineStr">
        <is>
          <t>300120</t>
        </is>
      </c>
      <c r="D4836" s="2" t="inlineStr">
        <is>
          <t>대량보유</t>
        </is>
      </c>
      <c r="E4836" s="3" t="inlineStr">
        <is>
          <t>이지원</t>
        </is>
      </c>
      <c r="F4836" s="3" t="inlineStr">
        <is>
          <t>특별관계자</t>
        </is>
      </c>
      <c r="G4836" s="3" t="inlineStr">
        <is>
          <t>장내매수(+)</t>
        </is>
      </c>
      <c r="H4836" s="15" t="n">
        <v>30000</v>
      </c>
      <c r="I4836" s="6" t="n">
        <v>529</v>
      </c>
      <c r="J4836" s="6" t="n">
        <v>30000</v>
      </c>
      <c r="K4836" s="16" t="n">
        <v>6</v>
      </c>
      <c r="L4836" s="2" t="inlineStr">
        <is>
          <t>20260624000207</t>
        </is>
      </c>
      <c r="M4836" s="8">
        <f>HYPERLINK("https://dart.fss.or.kr/dsaf001/main.do?rcpNo=20260624000207", "공시열람")</f>
        <v/>
      </c>
    </row>
    <row r="4837" ht="22" customHeight="1">
      <c r="A4837" s="2" t="inlineStr">
        <is>
          <t>2026-06-24</t>
        </is>
      </c>
      <c r="B4837" s="3" t="inlineStr">
        <is>
          <t>CS</t>
        </is>
      </c>
      <c r="C4837" s="2" t="inlineStr">
        <is>
          <t>065770</t>
        </is>
      </c>
      <c r="D4837" s="2" t="inlineStr">
        <is>
          <t>대량보유</t>
        </is>
      </c>
      <c r="E4837" s="3" t="inlineStr">
        <is>
          <t>김태연</t>
        </is>
      </c>
      <c r="F4837" s="3" t="inlineStr">
        <is>
          <t>특별관계자</t>
        </is>
      </c>
      <c r="G4837" s="3" t="inlineStr">
        <is>
          <t>장내매수(+)</t>
        </is>
      </c>
      <c r="H4837" s="15" t="n">
        <v>7000</v>
      </c>
      <c r="I4837" s="6" t="n">
        <v>1459</v>
      </c>
      <c r="J4837" s="6" t="n">
        <v>13551</v>
      </c>
      <c r="K4837" s="16" t="n">
        <v>4</v>
      </c>
      <c r="L4837" s="2" t="inlineStr">
        <is>
          <t>20260624000206</t>
        </is>
      </c>
      <c r="M4837" s="8">
        <f>HYPERLINK("https://dart.fss.or.kr/dsaf001/main.do?rcpNo=20260624000206", "공시열람")</f>
        <v/>
      </c>
    </row>
    <row r="4838" ht="22" customHeight="1">
      <c r="A4838" s="2" t="inlineStr">
        <is>
          <t>2026-06-24</t>
        </is>
      </c>
      <c r="B4838" s="3" t="inlineStr">
        <is>
          <t>DH오토웨어</t>
        </is>
      </c>
      <c r="C4838" s="2" t="inlineStr">
        <is>
          <t>025440</t>
        </is>
      </c>
      <c r="D4838" s="2" t="inlineStr">
        <is>
          <t>대량보유</t>
        </is>
      </c>
      <c r="E4838" s="3" t="inlineStr">
        <is>
          <t>(주)디에이치정공</t>
        </is>
      </c>
      <c r="F4838" s="3" t="inlineStr">
        <is>
          <t>특별관계자</t>
        </is>
      </c>
      <c r="G4838" s="3" t="inlineStr">
        <is>
          <t>장내매도(-), 주식병합</t>
        </is>
      </c>
      <c r="H4838" s="17" t="n">
        <v>-2404155</v>
      </c>
      <c r="I4838" s="6" t="n">
        <v>1300</v>
      </c>
      <c r="J4838" s="6" t="n">
        <v>596038</v>
      </c>
      <c r="K4838" s="16" t="n">
        <v>3</v>
      </c>
      <c r="L4838" s="2" t="inlineStr">
        <is>
          <t>20260624000181</t>
        </is>
      </c>
      <c r="M4838" s="8">
        <f>HYPERLINK("https://dart.fss.or.kr/dsaf001/main.do?rcpNo=20260624000181", "공시열람")</f>
        <v/>
      </c>
    </row>
    <row r="4839" ht="22" customHeight="1">
      <c r="A4839" s="2" t="inlineStr">
        <is>
          <t>2026-06-24</t>
        </is>
      </c>
      <c r="B4839" s="3" t="inlineStr">
        <is>
          <t>DH오토웨어</t>
        </is>
      </c>
      <c r="C4839" s="2" t="inlineStr">
        <is>
          <t>025440</t>
        </is>
      </c>
      <c r="D4839" s="2" t="inlineStr">
        <is>
          <t>대량보유</t>
        </is>
      </c>
      <c r="E4839" s="3" t="inlineStr">
        <is>
          <t>(주)디에이치글로벌</t>
        </is>
      </c>
      <c r="F4839" s="3" t="inlineStr">
        <is>
          <t>특별관계자</t>
        </is>
      </c>
      <c r="G4839" s="3" t="inlineStr">
        <is>
          <t>주식병합</t>
        </is>
      </c>
      <c r="H4839" s="17" t="n">
        <v>-14531344</v>
      </c>
      <c r="I4839" s="6" t="inlineStr"/>
      <c r="J4839" s="6" t="n">
        <v>3632836</v>
      </c>
      <c r="K4839" s="16" t="n">
        <v>3</v>
      </c>
      <c r="L4839" s="2" t="inlineStr">
        <is>
          <t>20260624000181</t>
        </is>
      </c>
      <c r="M4839" s="8">
        <f>HYPERLINK("https://dart.fss.or.kr/dsaf001/main.do?rcpNo=20260624000181", "공시열람")</f>
        <v/>
      </c>
    </row>
    <row r="4840" ht="22" customHeight="1">
      <c r="A4840" s="2" t="inlineStr">
        <is>
          <t>2026-06-24</t>
        </is>
      </c>
      <c r="B4840" s="3" t="inlineStr">
        <is>
          <t>DH오토웨어</t>
        </is>
      </c>
      <c r="C4840" s="2" t="inlineStr">
        <is>
          <t>025440</t>
        </is>
      </c>
      <c r="D4840" s="2" t="inlineStr">
        <is>
          <t>대량보유</t>
        </is>
      </c>
      <c r="E4840" s="3" t="inlineStr">
        <is>
          <t>이정권</t>
        </is>
      </c>
      <c r="F4840" s="3" t="inlineStr">
        <is>
          <t>특별관계자</t>
        </is>
      </c>
      <c r="G4840" s="3" t="inlineStr">
        <is>
          <t>주식병합</t>
        </is>
      </c>
      <c r="H4840" s="17" t="n">
        <v>-989428</v>
      </c>
      <c r="I4840" s="6" t="inlineStr"/>
      <c r="J4840" s="6" t="n">
        <v>247356</v>
      </c>
      <c r="K4840" s="16" t="n">
        <v>3</v>
      </c>
      <c r="L4840" s="2" t="inlineStr">
        <is>
          <t>20260624000181</t>
        </is>
      </c>
      <c r="M4840" s="8">
        <f>HYPERLINK("https://dart.fss.or.kr/dsaf001/main.do?rcpNo=20260624000181", "공시열람")</f>
        <v/>
      </c>
    </row>
    <row r="4841" ht="22" customHeight="1">
      <c r="A4841" s="2" t="inlineStr">
        <is>
          <t>2026-06-24</t>
        </is>
      </c>
      <c r="B4841" s="3" t="inlineStr">
        <is>
          <t>모다이노칩</t>
        </is>
      </c>
      <c r="C4841" s="2" t="inlineStr">
        <is>
          <t>080420</t>
        </is>
      </c>
      <c r="D4841" s="2" t="inlineStr">
        <is>
          <t>대량보유</t>
        </is>
      </c>
      <c r="E4841" s="3" t="inlineStr">
        <is>
          <t>(주)대명화학</t>
        </is>
      </c>
      <c r="F4841" s="3" t="inlineStr">
        <is>
          <t>보고자</t>
        </is>
      </c>
      <c r="G4841" s="3" t="inlineStr">
        <is>
          <t>[변경] 주식담보계약 등의 주요계약 일부변경(전액상환)</t>
        </is>
      </c>
      <c r="H4841" s="6" t="inlineStr"/>
      <c r="I4841" s="6" t="inlineStr"/>
      <c r="J4841" s="6" t="n">
        <v>60344962</v>
      </c>
      <c r="K4841" s="16" t="n">
        <v>1</v>
      </c>
      <c r="L4841" s="2" t="inlineStr">
        <is>
          <t>20260624000176</t>
        </is>
      </c>
      <c r="M4841" s="8">
        <f>HYPERLINK("https://dart.fss.or.kr/dsaf001/main.do?rcpNo=20260624000176", "공시열람")</f>
        <v/>
      </c>
    </row>
    <row r="4842" ht="22" customHeight="1">
      <c r="A4842" s="2" t="inlineStr">
        <is>
          <t>2026-06-24</t>
        </is>
      </c>
      <c r="B4842" s="3" t="inlineStr">
        <is>
          <t>인디에프</t>
        </is>
      </c>
      <c r="C4842" s="2" t="inlineStr">
        <is>
          <t>014990</t>
        </is>
      </c>
      <c r="D4842" s="2" t="inlineStr">
        <is>
          <t>임원보고</t>
        </is>
      </c>
      <c r="E4842" s="3" t="inlineStr">
        <is>
          <t>-</t>
        </is>
      </c>
      <c r="F4842" s="3" t="inlineStr">
        <is>
          <t>-</t>
        </is>
      </c>
      <c r="G4842" s="3" t="inlineStr">
        <is>
          <t>-</t>
        </is>
      </c>
      <c r="H4842" s="6" t="inlineStr"/>
      <c r="I4842" s="6" t="inlineStr"/>
      <c r="J4842" s="6" t="inlineStr"/>
      <c r="K4842" s="16" t="n">
        <v>12</v>
      </c>
      <c r="L4842" s="2" t="inlineStr">
        <is>
          <t>20260624800432</t>
        </is>
      </c>
      <c r="M4842" s="8">
        <f>HYPERLINK("https://dart.fss.or.kr/dsaf001/main.do?rcpNo=20260624800432", "공시열람")</f>
        <v/>
      </c>
    </row>
    <row r="4843" ht="22" customHeight="1">
      <c r="A4843" s="2" t="inlineStr">
        <is>
          <t>2026-06-24</t>
        </is>
      </c>
      <c r="B4843" s="3" t="inlineStr">
        <is>
          <t>알체라</t>
        </is>
      </c>
      <c r="C4843" s="2" t="inlineStr">
        <is>
          <t>347860</t>
        </is>
      </c>
      <c r="D4843" s="2" t="inlineStr">
        <is>
          <t>대량보유</t>
        </is>
      </c>
      <c r="E4843" s="3" t="inlineStr">
        <is>
          <t>김용호</t>
        </is>
      </c>
      <c r="F4843" s="3" t="inlineStr">
        <is>
          <t>특별관계자</t>
        </is>
      </c>
      <c r="G4843" s="3" t="inlineStr">
        <is>
          <t>장내매수(+)</t>
        </is>
      </c>
      <c r="H4843" s="15" t="n">
        <v>19197</v>
      </c>
      <c r="I4843" s="6" t="n">
        <v>1571</v>
      </c>
      <c r="J4843" s="6" t="n">
        <v>164576</v>
      </c>
      <c r="K4843" s="16" t="n">
        <v>7</v>
      </c>
      <c r="L4843" s="2" t="inlineStr">
        <is>
          <t>20260624000140</t>
        </is>
      </c>
      <c r="M4843" s="8">
        <f>HYPERLINK("https://dart.fss.or.kr/dsaf001/main.do?rcpNo=20260624000140", "공시열람")</f>
        <v/>
      </c>
    </row>
    <row r="4844" ht="22" customHeight="1">
      <c r="A4844" s="2" t="inlineStr">
        <is>
          <t>2026-06-24</t>
        </is>
      </c>
      <c r="B4844" s="3" t="inlineStr">
        <is>
          <t>HC홈센타</t>
        </is>
      </c>
      <c r="C4844" s="2" t="inlineStr">
        <is>
          <t>060560</t>
        </is>
      </c>
      <c r="D4844" s="2" t="inlineStr">
        <is>
          <t>대량보유</t>
        </is>
      </c>
      <c r="E4844" s="3" t="inlineStr">
        <is>
          <t>신건</t>
        </is>
      </c>
      <c r="F4844" s="3" t="inlineStr">
        <is>
          <t>특별관계자</t>
        </is>
      </c>
      <c r="G4844" s="3" t="inlineStr">
        <is>
          <t>장내매수(+), 장내매도(-), 주식병합</t>
        </is>
      </c>
      <c r="H4844" s="15" t="n">
        <v>1535031</v>
      </c>
      <c r="I4844" s="6" t="n">
        <v>2213</v>
      </c>
      <c r="J4844" s="6" t="n">
        <v>1565031</v>
      </c>
      <c r="K4844" s="16" t="n">
        <v>1</v>
      </c>
      <c r="L4844" s="2" t="inlineStr">
        <is>
          <t>20260624000120</t>
        </is>
      </c>
      <c r="M4844" s="8">
        <f>HYPERLINK("https://dart.fss.or.kr/dsaf001/main.do?rcpNo=20260624000120", "공시열람")</f>
        <v/>
      </c>
    </row>
    <row r="4845" ht="22" customHeight="1">
      <c r="A4845" s="2" t="inlineStr">
        <is>
          <t>2026-06-24</t>
        </is>
      </c>
      <c r="B4845" s="3" t="inlineStr">
        <is>
          <t>미원상사</t>
        </is>
      </c>
      <c r="C4845" s="2" t="inlineStr">
        <is>
          <t>002840</t>
        </is>
      </c>
      <c r="D4845" s="2" t="inlineStr">
        <is>
          <t>임원보고</t>
        </is>
      </c>
      <c r="E4845" s="3" t="inlineStr">
        <is>
          <t>-</t>
        </is>
      </c>
      <c r="F4845" s="3" t="inlineStr">
        <is>
          <t>-</t>
        </is>
      </c>
      <c r="G4845" s="3" t="inlineStr">
        <is>
          <t>-</t>
        </is>
      </c>
      <c r="H4845" s="6" t="inlineStr"/>
      <c r="I4845" s="6" t="inlineStr"/>
      <c r="J4845" s="6" t="inlineStr"/>
      <c r="K4845" s="16" t="n">
        <v>12</v>
      </c>
      <c r="L4845" s="2" t="inlineStr">
        <is>
          <t>20260624800369</t>
        </is>
      </c>
      <c r="M4845" s="8">
        <f>HYPERLINK("https://dart.fss.or.kr/dsaf001/main.do?rcpNo=20260624800369", "공시열람")</f>
        <v/>
      </c>
    </row>
    <row r="4846" ht="22" customHeight="1">
      <c r="A4846" s="2" t="inlineStr">
        <is>
          <t>2026-06-24</t>
        </is>
      </c>
      <c r="B4846" s="3" t="inlineStr">
        <is>
          <t>프리티</t>
        </is>
      </c>
      <c r="C4846" s="2" t="inlineStr">
        <is>
          <t>006490</t>
        </is>
      </c>
      <c r="D4846" s="2" t="inlineStr">
        <is>
          <t>임원보고</t>
        </is>
      </c>
      <c r="E4846" s="3" t="inlineStr">
        <is>
          <t>-</t>
        </is>
      </c>
      <c r="F4846" s="3" t="inlineStr">
        <is>
          <t>-</t>
        </is>
      </c>
      <c r="G4846" s="3" t="inlineStr">
        <is>
          <t>-</t>
        </is>
      </c>
      <c r="H4846" s="6" t="inlineStr"/>
      <c r="I4846" s="6" t="inlineStr"/>
      <c r="J4846" s="6" t="inlineStr"/>
      <c r="K4846" s="16" t="n">
        <v>12</v>
      </c>
      <c r="L4846" s="2" t="inlineStr">
        <is>
          <t>20260624800364</t>
        </is>
      </c>
      <c r="M4846" s="8">
        <f>HYPERLINK("https://dart.fss.or.kr/dsaf001/main.do?rcpNo=20260624800364", "공시열람")</f>
        <v/>
      </c>
    </row>
    <row r="4847" ht="22" customHeight="1">
      <c r="A4847" s="2" t="inlineStr">
        <is>
          <t>2026-06-24</t>
        </is>
      </c>
      <c r="B4847" s="3" t="inlineStr">
        <is>
          <t>엔피케이</t>
        </is>
      </c>
      <c r="C4847" s="2" t="inlineStr">
        <is>
          <t>048830</t>
        </is>
      </c>
      <c r="D4847" s="2" t="inlineStr">
        <is>
          <t>대량보유</t>
        </is>
      </c>
      <c r="E4847" s="3" t="inlineStr">
        <is>
          <t>최상건</t>
        </is>
      </c>
      <c r="F4847" s="3" t="inlineStr">
        <is>
          <t>특별관계자</t>
        </is>
      </c>
      <c r="G4847" s="3" t="inlineStr">
        <is>
          <t>장내매수(+)</t>
        </is>
      </c>
      <c r="H4847" s="15" t="n">
        <v>90000</v>
      </c>
      <c r="I4847" s="6" t="n">
        <v>894</v>
      </c>
      <c r="J4847" s="6" t="n">
        <v>290000</v>
      </c>
      <c r="K4847" s="16" t="n">
        <v>5</v>
      </c>
      <c r="L4847" s="2" t="inlineStr">
        <is>
          <t>20260624000080</t>
        </is>
      </c>
      <c r="M4847" s="8">
        <f>HYPERLINK("https://dart.fss.or.kr/dsaf001/main.do?rcpNo=20260624000080", "공시열람")</f>
        <v/>
      </c>
    </row>
    <row r="4848" ht="22" customHeight="1">
      <c r="A4848" s="2" t="inlineStr">
        <is>
          <t>2026-06-24</t>
        </is>
      </c>
      <c r="B4848" s="3" t="inlineStr">
        <is>
          <t>엔피케이</t>
        </is>
      </c>
      <c r="C4848" s="2" t="inlineStr">
        <is>
          <t>048830</t>
        </is>
      </c>
      <c r="D4848" s="2" t="inlineStr">
        <is>
          <t>대량보유</t>
        </is>
      </c>
      <c r="E4848" s="3" t="inlineStr">
        <is>
          <t>최윤혁</t>
        </is>
      </c>
      <c r="F4848" s="3" t="inlineStr">
        <is>
          <t>특별관계자</t>
        </is>
      </c>
      <c r="G4848" s="3" t="inlineStr">
        <is>
          <t>장내매수(+)</t>
        </is>
      </c>
      <c r="H4848" s="15" t="n">
        <v>3742</v>
      </c>
      <c r="I4848" s="6" t="n">
        <v>801</v>
      </c>
      <c r="J4848" s="6" t="n">
        <v>3742</v>
      </c>
      <c r="K4848" s="16" t="n">
        <v>5</v>
      </c>
      <c r="L4848" s="2" t="inlineStr">
        <is>
          <t>20260624000080</t>
        </is>
      </c>
      <c r="M4848" s="8">
        <f>HYPERLINK("https://dart.fss.or.kr/dsaf001/main.do?rcpNo=20260624000080", "공시열람")</f>
        <v/>
      </c>
    </row>
    <row r="4849" ht="22" customHeight="1">
      <c r="A4849" s="2" t="inlineStr">
        <is>
          <t>2026-06-24</t>
        </is>
      </c>
      <c r="B4849" s="3" t="inlineStr">
        <is>
          <t>엔피케이</t>
        </is>
      </c>
      <c r="C4849" s="2" t="inlineStr">
        <is>
          <t>048830</t>
        </is>
      </c>
      <c r="D4849" s="2" t="inlineStr">
        <is>
          <t>대량보유</t>
        </is>
      </c>
      <c r="E4849" s="3" t="inlineStr">
        <is>
          <t>(주)엔피아이</t>
        </is>
      </c>
      <c r="F4849" s="3" t="inlineStr">
        <is>
          <t>특별관계자</t>
        </is>
      </c>
      <c r="G4849" s="3" t="inlineStr">
        <is>
          <t>장내매수(+)</t>
        </is>
      </c>
      <c r="H4849" s="15" t="n">
        <v>5000</v>
      </c>
      <c r="I4849" s="6" t="n">
        <v>810</v>
      </c>
      <c r="J4849" s="6" t="n">
        <v>2085000</v>
      </c>
      <c r="K4849" s="16" t="n">
        <v>5</v>
      </c>
      <c r="L4849" s="2" t="inlineStr">
        <is>
          <t>20260624000080</t>
        </is>
      </c>
      <c r="M4849" s="8">
        <f>HYPERLINK("https://dart.fss.or.kr/dsaf001/main.do?rcpNo=20260624000080", "공시열람")</f>
        <v/>
      </c>
    </row>
    <row r="4850" ht="22" customHeight="1">
      <c r="A4850" s="2" t="inlineStr">
        <is>
          <t>2026-06-24</t>
        </is>
      </c>
      <c r="B4850" s="3" t="inlineStr">
        <is>
          <t>프리티</t>
        </is>
      </c>
      <c r="C4850" s="2" t="inlineStr">
        <is>
          <t>006490</t>
        </is>
      </c>
      <c r="D4850" s="2" t="inlineStr">
        <is>
          <t>임원보고</t>
        </is>
      </c>
      <c r="E4850" s="3" t="inlineStr">
        <is>
          <t>-</t>
        </is>
      </c>
      <c r="F4850" s="3" t="inlineStr">
        <is>
          <t>-</t>
        </is>
      </c>
      <c r="G4850" s="3" t="inlineStr">
        <is>
          <t>-</t>
        </is>
      </c>
      <c r="H4850" s="6" t="inlineStr"/>
      <c r="I4850" s="6" t="inlineStr"/>
      <c r="J4850" s="6" t="inlineStr"/>
      <c r="K4850" s="16" t="n">
        <v>12</v>
      </c>
      <c r="L4850" s="2" t="inlineStr">
        <is>
          <t>20260624800330</t>
        </is>
      </c>
      <c r="M4850" s="8">
        <f>HYPERLINK("https://dart.fss.or.kr/dsaf001/main.do?rcpNo=20260624800330", "공시열람")</f>
        <v/>
      </c>
    </row>
    <row r="4851" ht="22" customHeight="1">
      <c r="A4851" s="2" t="inlineStr">
        <is>
          <t>2026-06-24</t>
        </is>
      </c>
      <c r="B4851" s="3" t="inlineStr">
        <is>
          <t>풀무원</t>
        </is>
      </c>
      <c r="C4851" s="2" t="inlineStr">
        <is>
          <t>017810</t>
        </is>
      </c>
      <c r="D4851" s="2" t="inlineStr">
        <is>
          <t>임원보고</t>
        </is>
      </c>
      <c r="E4851" s="3" t="inlineStr">
        <is>
          <t>-</t>
        </is>
      </c>
      <c r="F4851" s="3" t="inlineStr">
        <is>
          <t>-</t>
        </is>
      </c>
      <c r="G4851" s="3" t="inlineStr">
        <is>
          <t>-</t>
        </is>
      </c>
      <c r="H4851" s="6" t="inlineStr"/>
      <c r="I4851" s="6" t="inlineStr"/>
      <c r="J4851" s="6" t="inlineStr"/>
      <c r="K4851" s="16" t="n">
        <v>12</v>
      </c>
      <c r="L4851" s="2" t="inlineStr">
        <is>
          <t>20260624800327</t>
        </is>
      </c>
      <c r="M4851" s="8">
        <f>HYPERLINK("https://dart.fss.or.kr/dsaf001/main.do?rcpNo=20260624800327", "공시열람")</f>
        <v/>
      </c>
    </row>
    <row r="4852" ht="22" customHeight="1">
      <c r="A4852" s="2" t="inlineStr">
        <is>
          <t>2026-06-24</t>
        </is>
      </c>
      <c r="B4852" s="3" t="inlineStr">
        <is>
          <t>풀무원</t>
        </is>
      </c>
      <c r="C4852" s="2" t="inlineStr">
        <is>
          <t>017810</t>
        </is>
      </c>
      <c r="D4852" s="2" t="inlineStr">
        <is>
          <t>대량보유</t>
        </is>
      </c>
      <c r="E4852" s="3" t="inlineStr">
        <is>
          <t>천영훈</t>
        </is>
      </c>
      <c r="F4852" s="3" t="inlineStr">
        <is>
          <t>특별관계자</t>
        </is>
      </c>
      <c r="G4852" s="3" t="inlineStr">
        <is>
          <t>장내매수(+)</t>
        </is>
      </c>
      <c r="H4852" s="15" t="n">
        <v>3190</v>
      </c>
      <c r="I4852" s="6" t="n">
        <v>9700</v>
      </c>
      <c r="J4852" s="6" t="n">
        <v>3190</v>
      </c>
      <c r="K4852" s="16" t="n">
        <v>25</v>
      </c>
      <c r="L4852" s="2" t="inlineStr">
        <is>
          <t>20260624000073</t>
        </is>
      </c>
      <c r="M4852" s="8">
        <f>HYPERLINK("https://dart.fss.or.kr/dsaf001/main.do?rcpNo=20260624000073", "공시열람")</f>
        <v/>
      </c>
    </row>
    <row r="4853" ht="22" customHeight="1">
      <c r="A4853" s="2" t="inlineStr">
        <is>
          <t>2026-06-24</t>
        </is>
      </c>
      <c r="B4853" s="3" t="inlineStr">
        <is>
          <t>제테마</t>
        </is>
      </c>
      <c r="C4853" s="2" t="inlineStr">
        <is>
          <t>216080</t>
        </is>
      </c>
      <c r="D4853" s="2" t="inlineStr">
        <is>
          <t>대량보유</t>
        </is>
      </c>
      <c r="E4853" s="3" t="inlineStr">
        <is>
          <t>김수현</t>
        </is>
      </c>
      <c r="F4853" s="3" t="inlineStr">
        <is>
          <t>특별관계자</t>
        </is>
      </c>
      <c r="G4853" s="3" t="inlineStr">
        <is>
          <t>장내매수(+)</t>
        </is>
      </c>
      <c r="H4853" s="15" t="n">
        <v>12272</v>
      </c>
      <c r="I4853" s="6" t="n">
        <v>4714</v>
      </c>
      <c r="J4853" s="6" t="n">
        <v>32600</v>
      </c>
      <c r="K4853" s="16" t="n">
        <v>18</v>
      </c>
      <c r="L4853" s="2" t="inlineStr">
        <is>
          <t>20260624000049</t>
        </is>
      </c>
      <c r="M4853" s="8">
        <f>HYPERLINK("https://dart.fss.or.kr/dsaf001/main.do?rcpNo=20260624000049", "공시열람")</f>
        <v/>
      </c>
    </row>
    <row r="4854" ht="22" customHeight="1">
      <c r="A4854" s="2" t="inlineStr">
        <is>
          <t>2026-06-24</t>
        </is>
      </c>
      <c r="B4854" s="3" t="inlineStr">
        <is>
          <t>제테마</t>
        </is>
      </c>
      <c r="C4854" s="2" t="inlineStr">
        <is>
          <t>216080</t>
        </is>
      </c>
      <c r="D4854" s="2" t="inlineStr">
        <is>
          <t>대량보유</t>
        </is>
      </c>
      <c r="E4854" s="3" t="inlineStr">
        <is>
          <t>조상준</t>
        </is>
      </c>
      <c r="F4854" s="3" t="inlineStr">
        <is>
          <t>특별관계자</t>
        </is>
      </c>
      <c r="G4854" s="3" t="inlineStr">
        <is>
          <t>기타(+), 장내매수(+)</t>
        </is>
      </c>
      <c r="H4854" s="15" t="n">
        <v>830</v>
      </c>
      <c r="I4854" s="6" t="n">
        <v>4915</v>
      </c>
      <c r="J4854" s="6" t="n">
        <v>830</v>
      </c>
      <c r="K4854" s="16" t="n">
        <v>18</v>
      </c>
      <c r="L4854" s="2" t="inlineStr">
        <is>
          <t>20260624000049</t>
        </is>
      </c>
      <c r="M4854" s="8">
        <f>HYPERLINK("https://dart.fss.or.kr/dsaf001/main.do?rcpNo=20260624000049", "공시열람")</f>
        <v/>
      </c>
    </row>
    <row r="4855" ht="22" customHeight="1">
      <c r="A4855" s="2" t="inlineStr">
        <is>
          <t>2026-06-24</t>
        </is>
      </c>
      <c r="B4855" s="3" t="inlineStr">
        <is>
          <t>POSCO홀딩스</t>
        </is>
      </c>
      <c r="C4855" s="2" t="inlineStr">
        <is>
          <t>005490</t>
        </is>
      </c>
      <c r="D4855" s="2" t="inlineStr">
        <is>
          <t>임원보고</t>
        </is>
      </c>
      <c r="E4855" s="3" t="inlineStr">
        <is>
          <t>-</t>
        </is>
      </c>
      <c r="F4855" s="3" t="inlineStr">
        <is>
          <t>-</t>
        </is>
      </c>
      <c r="G4855" s="3" t="inlineStr">
        <is>
          <t>-</t>
        </is>
      </c>
      <c r="H4855" s="6" t="inlineStr"/>
      <c r="I4855" s="6" t="inlineStr"/>
      <c r="J4855" s="6" t="inlineStr"/>
      <c r="K4855" s="16" t="n">
        <v>12</v>
      </c>
      <c r="L4855" s="2" t="inlineStr">
        <is>
          <t>20260624800258</t>
        </is>
      </c>
      <c r="M4855" s="8">
        <f>HYPERLINK("https://dart.fss.or.kr/dsaf001/main.do?rcpNo=20260624800258", "공시열람")</f>
        <v/>
      </c>
    </row>
    <row r="4856" ht="22" customHeight="1">
      <c r="A4856" s="2" t="inlineStr">
        <is>
          <t>2026-06-24</t>
        </is>
      </c>
      <c r="B4856" s="3" t="inlineStr">
        <is>
          <t>한국항공우주</t>
        </is>
      </c>
      <c r="C4856" s="2" t="inlineStr">
        <is>
          <t>047810</t>
        </is>
      </c>
      <c r="D4856" s="2" t="inlineStr">
        <is>
          <t>대량보유</t>
        </is>
      </c>
      <c r="E4856" s="3" t="inlineStr">
        <is>
          <t>한화에어로스페이스(주)</t>
        </is>
      </c>
      <c r="F4856" s="3" t="inlineStr">
        <is>
          <t>특별관계자</t>
        </is>
      </c>
      <c r="G4856" s="3" t="inlineStr">
        <is>
          <t>장내매수(+)</t>
        </is>
      </c>
      <c r="H4856" s="15" t="n">
        <v>1087080</v>
      </c>
      <c r="I4856" s="6" t="n">
        <v>150257</v>
      </c>
      <c r="J4856" s="6" t="n">
        <v>7421868</v>
      </c>
      <c r="K4856" s="16" t="n">
        <v>3</v>
      </c>
      <c r="L4856" s="2" t="inlineStr">
        <is>
          <t>20260624000002</t>
        </is>
      </c>
      <c r="M4856" s="8">
        <f>HYPERLINK("https://dart.fss.or.kr/dsaf001/main.do?rcpNo=20260624000002", "공시열람")</f>
        <v/>
      </c>
    </row>
    <row r="4857" ht="22" customHeight="1">
      <c r="A4857" s="2" t="inlineStr">
        <is>
          <t>2026-06-24</t>
        </is>
      </c>
      <c r="B4857" s="3" t="inlineStr">
        <is>
          <t>동원금속</t>
        </is>
      </c>
      <c r="C4857" s="2" t="inlineStr">
        <is>
          <t>018500</t>
        </is>
      </c>
      <c r="D4857" s="2" t="inlineStr">
        <is>
          <t>대량보유</t>
        </is>
      </c>
      <c r="E4857" s="3" t="inlineStr">
        <is>
          <t>이순현</t>
        </is>
      </c>
      <c r="F4857" s="3" t="inlineStr">
        <is>
          <t>특별관계자</t>
        </is>
      </c>
      <c r="G4857" s="3" t="inlineStr">
        <is>
          <t>장내매도(-)</t>
        </is>
      </c>
      <c r="H4857" s="17" t="n">
        <v>-46093</v>
      </c>
      <c r="I4857" s="6" t="n">
        <v>3900</v>
      </c>
      <c r="J4857" s="6" t="n">
        <v>50000</v>
      </c>
      <c r="K4857" s="16" t="n">
        <v>7</v>
      </c>
      <c r="L4857" s="2" t="inlineStr">
        <is>
          <t>20260623000428</t>
        </is>
      </c>
      <c r="M4857" s="8">
        <f>HYPERLINK("https://dart.fss.or.kr/dsaf001/main.do?rcpNo=20260623000428", "공시열람")</f>
        <v/>
      </c>
    </row>
    <row r="4858" ht="22" customHeight="1">
      <c r="A4858" s="2" t="inlineStr">
        <is>
          <t>2026-06-24</t>
        </is>
      </c>
      <c r="B4858" s="3" t="inlineStr">
        <is>
          <t>동원금속</t>
        </is>
      </c>
      <c r="C4858" s="2" t="inlineStr">
        <is>
          <t>018500</t>
        </is>
      </c>
      <c r="D4858" s="2" t="inlineStr">
        <is>
          <t>대량보유</t>
        </is>
      </c>
      <c r="E4858" s="3" t="inlineStr">
        <is>
          <t>이은우</t>
        </is>
      </c>
      <c r="F4858" s="3" t="inlineStr">
        <is>
          <t>특별관계자</t>
        </is>
      </c>
      <c r="G4858" s="3" t="inlineStr">
        <is>
          <t>증여(-)</t>
        </is>
      </c>
      <c r="H4858" s="17" t="n">
        <v>-3000000</v>
      </c>
      <c r="I4858" s="6" t="n">
        <v>1661</v>
      </c>
      <c r="J4858" s="6" t="n">
        <v>5783966</v>
      </c>
      <c r="K4858" s="16" t="n">
        <v>7</v>
      </c>
      <c r="L4858" s="2" t="inlineStr">
        <is>
          <t>20260623000428</t>
        </is>
      </c>
      <c r="M4858" s="8">
        <f>HYPERLINK("https://dart.fss.or.kr/dsaf001/main.do?rcpNo=20260623000428", "공시열람")</f>
        <v/>
      </c>
    </row>
    <row r="4859" ht="22" customHeight="1">
      <c r="A4859" s="2" t="inlineStr">
        <is>
          <t>2026-06-24</t>
        </is>
      </c>
      <c r="B4859" s="3" t="inlineStr">
        <is>
          <t>동원금속</t>
        </is>
      </c>
      <c r="C4859" s="2" t="inlineStr">
        <is>
          <t>018500</t>
        </is>
      </c>
      <c r="D4859" s="2" t="inlineStr">
        <is>
          <t>대량보유</t>
        </is>
      </c>
      <c r="E4859" s="3" t="inlineStr">
        <is>
          <t>이승재</t>
        </is>
      </c>
      <c r="F4859" s="3" t="inlineStr">
        <is>
          <t>특별관계자</t>
        </is>
      </c>
      <c r="G4859" s="3" t="inlineStr">
        <is>
          <t>수증(+), 장내매수(+)</t>
        </is>
      </c>
      <c r="H4859" s="15" t="n">
        <v>3884573</v>
      </c>
      <c r="I4859" s="6" t="n">
        <v>1660</v>
      </c>
      <c r="J4859" s="6" t="n">
        <v>5237065</v>
      </c>
      <c r="K4859" s="16" t="n">
        <v>7</v>
      </c>
      <c r="L4859" s="2" t="inlineStr">
        <is>
          <t>20260623000428</t>
        </is>
      </c>
      <c r="M4859" s="8">
        <f>HYPERLINK("https://dart.fss.or.kr/dsaf001/main.do?rcpNo=20260623000428", "공시열람")</f>
        <v/>
      </c>
    </row>
    <row r="4860" ht="22" customHeight="1">
      <c r="A4860" s="2" t="inlineStr">
        <is>
          <t>2026-06-24</t>
        </is>
      </c>
      <c r="B4860" s="3" t="inlineStr">
        <is>
          <t>동원금속</t>
        </is>
      </c>
      <c r="C4860" s="2" t="inlineStr">
        <is>
          <t>018500</t>
        </is>
      </c>
      <c r="D4860" s="2" t="inlineStr">
        <is>
          <t>대량보유</t>
        </is>
      </c>
      <c r="E4860" s="3" t="inlineStr">
        <is>
          <t>이수연</t>
        </is>
      </c>
      <c r="F4860" s="3" t="inlineStr">
        <is>
          <t>특별관계자</t>
        </is>
      </c>
      <c r="G4860" s="3" t="inlineStr">
        <is>
          <t>장내매수(+)</t>
        </is>
      </c>
      <c r="H4860" s="15" t="n">
        <v>73293</v>
      </c>
      <c r="I4860" s="6" t="n">
        <v>1399</v>
      </c>
      <c r="J4860" s="6" t="n">
        <v>73293</v>
      </c>
      <c r="K4860" s="16" t="n">
        <v>7</v>
      </c>
      <c r="L4860" s="2" t="inlineStr">
        <is>
          <t>20260623000428</t>
        </is>
      </c>
      <c r="M4860" s="8">
        <f>HYPERLINK("https://dart.fss.or.kr/dsaf001/main.do?rcpNo=20260623000428", "공시열람")</f>
        <v/>
      </c>
    </row>
    <row r="4861" ht="22" customHeight="1">
      <c r="A4861" s="2" t="inlineStr">
        <is>
          <t>2026-06-24</t>
        </is>
      </c>
      <c r="B4861" s="3" t="inlineStr">
        <is>
          <t>동원금속</t>
        </is>
      </c>
      <c r="C4861" s="2" t="inlineStr">
        <is>
          <t>018500</t>
        </is>
      </c>
      <c r="D4861" s="2" t="inlineStr">
        <is>
          <t>대량보유</t>
        </is>
      </c>
      <c r="E4861" s="3" t="inlineStr">
        <is>
          <t>이은주</t>
        </is>
      </c>
      <c r="F4861" s="3" t="inlineStr">
        <is>
          <t>특별관계자</t>
        </is>
      </c>
      <c r="G4861" s="3" t="inlineStr">
        <is>
          <t>장내매수(+), 장내매도(-)</t>
        </is>
      </c>
      <c r="H4861" s="6" t="inlineStr"/>
      <c r="I4861" s="6" t="n">
        <v>1421</v>
      </c>
      <c r="J4861" s="6" t="n">
        <v>32093</v>
      </c>
      <c r="K4861" s="16" t="n">
        <v>7</v>
      </c>
      <c r="L4861" s="2" t="inlineStr">
        <is>
          <t>20260623000428</t>
        </is>
      </c>
      <c r="M4861" s="8">
        <f>HYPERLINK("https://dart.fss.or.kr/dsaf001/main.do?rcpNo=20260623000428", "공시열람")</f>
        <v/>
      </c>
    </row>
    <row r="4862" ht="22" customHeight="1">
      <c r="A4862" s="2" t="inlineStr">
        <is>
          <t>2026-06-24</t>
        </is>
      </c>
      <c r="B4862" s="3" t="inlineStr">
        <is>
          <t>해성옵틱스</t>
        </is>
      </c>
      <c r="C4862" s="2" t="inlineStr">
        <is>
          <t>076610</t>
        </is>
      </c>
      <c r="D4862" s="2" t="inlineStr">
        <is>
          <t>대량보유</t>
        </is>
      </c>
      <c r="E4862" s="3" t="inlineStr">
        <is>
          <t>티7재도약조합</t>
        </is>
      </c>
      <c r="F4862" s="3" t="inlineStr">
        <is>
          <t>특별관계자</t>
        </is>
      </c>
      <c r="G4862" s="3" t="inlineStr">
        <is>
          <t>장내매도(-)</t>
        </is>
      </c>
      <c r="H4862" s="17" t="n">
        <v>-987848</v>
      </c>
      <c r="I4862" s="6" t="n">
        <v>1257</v>
      </c>
      <c r="J4862" s="6" t="n">
        <v>1669449</v>
      </c>
      <c r="K4862" s="16" t="n">
        <v>7</v>
      </c>
      <c r="L4862" s="2" t="inlineStr">
        <is>
          <t>20260623000425</t>
        </is>
      </c>
      <c r="M4862" s="8">
        <f>HYPERLINK("https://dart.fss.or.kr/dsaf001/main.do?rcpNo=20260623000425", "공시열람")</f>
        <v/>
      </c>
    </row>
    <row r="4863" ht="22" customHeight="1">
      <c r="A4863" s="2" t="inlineStr">
        <is>
          <t>2026-06-25</t>
        </is>
      </c>
      <c r="B4863" s="3" t="inlineStr">
        <is>
          <t>메리츠제2호스팩</t>
        </is>
      </c>
      <c r="C4863" s="2" t="inlineStr">
        <is>
          <t>0165X0</t>
        </is>
      </c>
      <c r="D4863" s="2" t="inlineStr">
        <is>
          <t>대량보유</t>
        </is>
      </c>
      <c r="E4863" s="3" t="inlineStr">
        <is>
          <t>J.P.MorganSecuritiesPLC</t>
        </is>
      </c>
      <c r="F4863" s="3" t="inlineStr">
        <is>
          <t>특별관계자</t>
        </is>
      </c>
      <c r="G4863" s="3" t="inlineStr">
        <is>
          <t>장내매수(+), 장내매도(-)</t>
        </is>
      </c>
      <c r="H4863" s="15" t="n">
        <v>369565</v>
      </c>
      <c r="I4863" s="6" t="n">
        <v>1954</v>
      </c>
      <c r="J4863" s="6" t="n">
        <v>369565</v>
      </c>
      <c r="K4863" s="16" t="n">
        <v>1</v>
      </c>
      <c r="L4863" s="2" t="inlineStr">
        <is>
          <t>20260625000633</t>
        </is>
      </c>
      <c r="M4863" s="8">
        <f>HYPERLINK("https://dart.fss.or.kr/dsaf001/main.do?rcpNo=20260625000633", "공시열람")</f>
        <v/>
      </c>
    </row>
    <row r="4864" ht="22" customHeight="1">
      <c r="A4864" s="2" t="inlineStr">
        <is>
          <t>2026-06-25 (정정: 2026-06-26)</t>
        </is>
      </c>
      <c r="B4864" s="3" t="inlineStr">
        <is>
          <t>케이카</t>
        </is>
      </c>
      <c r="C4864" s="2" t="inlineStr">
        <is>
          <t>381970</t>
        </is>
      </c>
      <c r="D4864" s="2" t="inlineStr">
        <is>
          <t>대량보유</t>
        </is>
      </c>
      <c r="E4864" s="3" t="inlineStr">
        <is>
          <t>케이모빌리티밸류업주식회사</t>
        </is>
      </c>
      <c r="F4864" s="3" t="inlineStr">
        <is>
          <t>특별관계자</t>
        </is>
      </c>
      <c r="G4864" s="3" t="inlineStr">
        <is>
          <t>장외매수(+)</t>
        </is>
      </c>
      <c r="H4864" s="15" t="n">
        <v>9612860</v>
      </c>
      <c r="I4864" s="6" t="n">
        <v>15605</v>
      </c>
      <c r="J4864" s="6" t="n">
        <v>9612860</v>
      </c>
      <c r="K4864" s="16" t="n">
        <v>19.69</v>
      </c>
      <c r="L4864" s="2" t="inlineStr">
        <is>
          <t>20260626000686</t>
        </is>
      </c>
      <c r="M4864" s="8">
        <f>HYPERLINK("https://dart.fss.or.kr/dsaf001/main.do?rcpNo=20260626000686", "공시열람")</f>
        <v/>
      </c>
    </row>
    <row r="4865" ht="22" customHeight="1">
      <c r="A4865" s="2" t="inlineStr">
        <is>
          <t>2026-06-25</t>
        </is>
      </c>
      <c r="B4865" s="3" t="inlineStr">
        <is>
          <t>케이카</t>
        </is>
      </c>
      <c r="C4865" s="2" t="inlineStr">
        <is>
          <t>381970</t>
        </is>
      </c>
      <c r="D4865" s="2" t="inlineStr">
        <is>
          <t>대량보유</t>
        </is>
      </c>
      <c r="E4865" s="3" t="inlineStr">
        <is>
          <t>케이모빌리티밸류업주식회사</t>
        </is>
      </c>
      <c r="F4865" s="3" t="inlineStr">
        <is>
          <t>특별관계자</t>
        </is>
      </c>
      <c r="G4865" s="3" t="inlineStr">
        <is>
          <t>장외매수(+)</t>
        </is>
      </c>
      <c r="H4865" s="15" t="n">
        <v>9612860</v>
      </c>
      <c r="I4865" s="6" t="n">
        <v>15605</v>
      </c>
      <c r="J4865" s="6" t="n">
        <v>9612860</v>
      </c>
      <c r="K4865" s="16" t="n">
        <v>19.69</v>
      </c>
      <c r="L4865" s="2" t="inlineStr">
        <is>
          <t>20260625000613</t>
        </is>
      </c>
      <c r="M4865" s="8">
        <f>HYPERLINK("https://dart.fss.or.kr/dsaf001/main.do?rcpNo=20260625000613", "공시열람")</f>
        <v/>
      </c>
    </row>
    <row r="4866" ht="22" customHeight="1">
      <c r="A4866" s="2" t="inlineStr">
        <is>
          <t>2026-06-25</t>
        </is>
      </c>
      <c r="B4866" s="3" t="inlineStr">
        <is>
          <t>블루산업개발</t>
        </is>
      </c>
      <c r="C4866" s="2" t="inlineStr">
        <is>
          <t>006740</t>
        </is>
      </c>
      <c r="D4866" s="2" t="inlineStr">
        <is>
          <t>대량보유</t>
        </is>
      </c>
      <c r="E4866" s="3" t="inlineStr">
        <is>
          <t>에스디비조합</t>
        </is>
      </c>
      <c r="F4866" s="3" t="inlineStr">
        <is>
          <t>특별관계자</t>
        </is>
      </c>
      <c r="G4866" s="3" t="inlineStr">
        <is>
          <t>자본감소, CB인수(+), 장외매도(-)</t>
        </is>
      </c>
      <c r="H4866" s="17" t="n">
        <v>-1173498</v>
      </c>
      <c r="I4866" s="6" t="n">
        <v>8023</v>
      </c>
      <c r="J4866" s="6" t="n">
        <v>2368414</v>
      </c>
      <c r="K4866" s="16" t="n">
        <v>2</v>
      </c>
      <c r="L4866" s="2" t="inlineStr">
        <is>
          <t>20260625000611</t>
        </is>
      </c>
      <c r="M4866" s="8">
        <f>HYPERLINK("https://dart.fss.or.kr/dsaf001/main.do?rcpNo=20260625000611", "공시열람")</f>
        <v/>
      </c>
    </row>
    <row r="4867" ht="22" customHeight="1">
      <c r="A4867" s="2" t="inlineStr">
        <is>
          <t>2026-06-25</t>
        </is>
      </c>
      <c r="B4867" s="3" t="inlineStr">
        <is>
          <t>큐브엔터</t>
        </is>
      </c>
      <c r="C4867" s="2" t="inlineStr">
        <is>
          <t>182360</t>
        </is>
      </c>
      <c r="D4867" s="2" t="inlineStr">
        <is>
          <t>대량보유</t>
        </is>
      </c>
      <c r="E4867" s="3" t="inlineStr">
        <is>
          <t>강승곤</t>
        </is>
      </c>
      <c r="F4867" s="3" t="inlineStr">
        <is>
          <t>보고자</t>
        </is>
      </c>
      <c r="G4867" s="3" t="inlineStr">
        <is>
          <t>주식담보 계약 연장</t>
        </is>
      </c>
      <c r="H4867" s="6" t="inlineStr"/>
      <c r="I4867" s="6" t="inlineStr"/>
      <c r="J4867" s="6" t="n">
        <v>8995316</v>
      </c>
      <c r="K4867" s="16" t="n">
        <v>6</v>
      </c>
      <c r="L4867" s="2" t="inlineStr">
        <is>
          <t>20260625000604</t>
        </is>
      </c>
      <c r="M4867" s="8">
        <f>HYPERLINK("https://dart.fss.or.kr/dsaf001/main.do?rcpNo=20260625000604", "공시열람")</f>
        <v/>
      </c>
    </row>
    <row r="4868" ht="22" customHeight="1">
      <c r="A4868" s="2" t="inlineStr">
        <is>
          <t>2026-06-25</t>
        </is>
      </c>
      <c r="B4868" s="3" t="inlineStr">
        <is>
          <t>갤럭시아에스엠</t>
        </is>
      </c>
      <c r="C4868" s="2" t="inlineStr">
        <is>
          <t>011420</t>
        </is>
      </c>
      <c r="D4868" s="2" t="inlineStr">
        <is>
          <t>임원보고</t>
        </is>
      </c>
      <c r="E4868" s="3" t="inlineStr">
        <is>
          <t>-</t>
        </is>
      </c>
      <c r="F4868" s="3" t="inlineStr">
        <is>
          <t>-</t>
        </is>
      </c>
      <c r="G4868" s="3" t="inlineStr">
        <is>
          <t>-</t>
        </is>
      </c>
      <c r="H4868" s="6" t="inlineStr"/>
      <c r="I4868" s="6" t="inlineStr"/>
      <c r="J4868" s="6" t="inlineStr"/>
      <c r="K4868" s="16" t="n">
        <v>12</v>
      </c>
      <c r="L4868" s="2" t="inlineStr">
        <is>
          <t>20260625800818</t>
        </is>
      </c>
      <c r="M4868" s="8">
        <f>HYPERLINK("https://dart.fss.or.kr/dsaf001/main.do?rcpNo=20260625800818", "공시열람")</f>
        <v/>
      </c>
    </row>
    <row r="4869" ht="22" customHeight="1">
      <c r="A4869" s="2" t="inlineStr">
        <is>
          <t>2026-06-25</t>
        </is>
      </c>
      <c r="B4869" s="3" t="inlineStr">
        <is>
          <t>대한광통신</t>
        </is>
      </c>
      <c r="C4869" s="2" t="inlineStr">
        <is>
          <t>010170</t>
        </is>
      </c>
      <c r="D4869" s="2" t="inlineStr">
        <is>
          <t>대량보유</t>
        </is>
      </c>
      <c r="E4869" s="3" t="inlineStr">
        <is>
          <t>티에프오인더스트리(주)</t>
        </is>
      </c>
      <c r="F4869" s="3" t="inlineStr">
        <is>
          <t>특별관계자</t>
        </is>
      </c>
      <c r="G4869" s="3" t="inlineStr">
        <is>
          <t>장내매도(-)</t>
        </is>
      </c>
      <c r="H4869" s="17" t="n">
        <v>-1012000</v>
      </c>
      <c r="I4869" s="6" t="n">
        <v>14824</v>
      </c>
      <c r="J4869" s="6" t="n">
        <v>10318327</v>
      </c>
      <c r="K4869" s="16" t="n">
        <v>3</v>
      </c>
      <c r="L4869" s="2" t="inlineStr">
        <is>
          <t>20260625000603</t>
        </is>
      </c>
      <c r="M4869" s="8">
        <f>HYPERLINK("https://dart.fss.or.kr/dsaf001/main.do?rcpNo=20260625000603", "공시열람")</f>
        <v/>
      </c>
    </row>
    <row r="4870" ht="22" customHeight="1">
      <c r="A4870" s="2" t="inlineStr">
        <is>
          <t>2026-06-25</t>
        </is>
      </c>
      <c r="B4870" s="3" t="inlineStr">
        <is>
          <t>갤럭시아에스엠</t>
        </is>
      </c>
      <c r="C4870" s="2" t="inlineStr">
        <is>
          <t>011420</t>
        </is>
      </c>
      <c r="D4870" s="2" t="inlineStr">
        <is>
          <t>대량보유</t>
        </is>
      </c>
      <c r="E4870" s="3" t="inlineStr">
        <is>
          <t>조현준</t>
        </is>
      </c>
      <c r="F4870" s="3" t="inlineStr">
        <is>
          <t>특별관계자</t>
        </is>
      </c>
      <c r="G4870" s="3" t="inlineStr">
        <is>
          <t>장내매수(+)</t>
        </is>
      </c>
      <c r="H4870" s="15" t="n">
        <v>211351</v>
      </c>
      <c r="I4870" s="6" t="n">
        <v>1863</v>
      </c>
      <c r="J4870" s="6" t="n">
        <v>3127161</v>
      </c>
      <c r="K4870" s="16" t="n">
        <v>5</v>
      </c>
      <c r="L4870" s="2" t="inlineStr">
        <is>
          <t>20260625000602</t>
        </is>
      </c>
      <c r="M4870" s="8">
        <f>HYPERLINK("https://dart.fss.or.kr/dsaf001/main.do?rcpNo=20260625000602", "공시열람")</f>
        <v/>
      </c>
    </row>
    <row r="4871" ht="22" customHeight="1">
      <c r="A4871" s="2" t="inlineStr">
        <is>
          <t>2026-06-25</t>
        </is>
      </c>
      <c r="B4871" s="3" t="inlineStr">
        <is>
          <t>갤럭시아에스엠</t>
        </is>
      </c>
      <c r="C4871" s="2" t="inlineStr">
        <is>
          <t>011420</t>
        </is>
      </c>
      <c r="D4871" s="2" t="inlineStr">
        <is>
          <t>대량보유</t>
        </is>
      </c>
      <c r="E4871" s="3" t="inlineStr">
        <is>
          <t>조재현</t>
        </is>
      </c>
      <c r="F4871" s="3" t="inlineStr">
        <is>
          <t>특별관계자</t>
        </is>
      </c>
      <c r="G4871" s="3" t="inlineStr">
        <is>
          <t>장내매수(+)</t>
        </is>
      </c>
      <c r="H4871" s="15" t="n">
        <v>77720</v>
      </c>
      <c r="I4871" s="6" t="n">
        <v>1395</v>
      </c>
      <c r="J4871" s="6" t="n">
        <v>77720</v>
      </c>
      <c r="K4871" s="16" t="n">
        <v>5</v>
      </c>
      <c r="L4871" s="2" t="inlineStr">
        <is>
          <t>20260625000602</t>
        </is>
      </c>
      <c r="M4871" s="8">
        <f>HYPERLINK("https://dart.fss.or.kr/dsaf001/main.do?rcpNo=20260625000602", "공시열람")</f>
        <v/>
      </c>
    </row>
    <row r="4872" ht="22" customHeight="1">
      <c r="A4872" s="2" t="inlineStr">
        <is>
          <t>2026-06-25</t>
        </is>
      </c>
      <c r="B4872" s="3" t="inlineStr">
        <is>
          <t>미코</t>
        </is>
      </c>
      <c r="C4872" s="2" t="inlineStr">
        <is>
          <t>059090</t>
        </is>
      </c>
      <c r="D4872" s="2" t="inlineStr">
        <is>
          <t>대량보유</t>
        </is>
      </c>
      <c r="E4872" s="3" t="inlineStr">
        <is>
          <t>전선규</t>
        </is>
      </c>
      <c r="F4872" s="3" t="inlineStr">
        <is>
          <t>보고자</t>
        </is>
      </c>
      <c r="G4872" s="3" t="inlineStr">
        <is>
          <t>- 보고자의 주식담보대출 계약 연장</t>
        </is>
      </c>
      <c r="H4872" s="6" t="inlineStr"/>
      <c r="I4872" s="6" t="inlineStr"/>
      <c r="J4872" s="6" t="n">
        <v>8756942</v>
      </c>
      <c r="K4872" s="16" t="n">
        <v>5</v>
      </c>
      <c r="L4872" s="2" t="inlineStr">
        <is>
          <t>20260625000592</t>
        </is>
      </c>
      <c r="M4872" s="8">
        <f>HYPERLINK("https://dart.fss.or.kr/dsaf001/main.do?rcpNo=20260625000592", "공시열람")</f>
        <v/>
      </c>
    </row>
    <row r="4873" ht="22" customHeight="1">
      <c r="A4873" s="2" t="inlineStr">
        <is>
          <t>2026-06-25</t>
        </is>
      </c>
      <c r="B4873" s="3" t="inlineStr">
        <is>
          <t>티엘비</t>
        </is>
      </c>
      <c r="C4873" s="2" t="inlineStr">
        <is>
          <t>356860</t>
        </is>
      </c>
      <c r="D4873" s="2" t="inlineStr">
        <is>
          <t>대량보유</t>
        </is>
      </c>
      <c r="E4873" s="3" t="inlineStr">
        <is>
          <t>백성현</t>
        </is>
      </c>
      <c r="F4873" s="3" t="inlineStr">
        <is>
          <t>특별관계자</t>
        </is>
      </c>
      <c r="G4873" s="3" t="inlineStr">
        <is>
          <t>장외매도(-), 장외매수(+)</t>
        </is>
      </c>
      <c r="H4873" s="15" t="n">
        <v>27000</v>
      </c>
      <c r="I4873" s="6" t="n">
        <v>9444</v>
      </c>
      <c r="J4873" s="6" t="n">
        <v>131490</v>
      </c>
      <c r="K4873" s="16" t="n">
        <v>8</v>
      </c>
      <c r="L4873" s="2" t="inlineStr">
        <is>
          <t>20260625000591</t>
        </is>
      </c>
      <c r="M4873" s="8">
        <f>HYPERLINK("https://dart.fss.or.kr/dsaf001/main.do?rcpNo=20260625000591", "공시열람")</f>
        <v/>
      </c>
    </row>
    <row r="4874" ht="22" customHeight="1">
      <c r="A4874" s="2" t="inlineStr">
        <is>
          <t>2026-06-25</t>
        </is>
      </c>
      <c r="B4874" s="3" t="inlineStr">
        <is>
          <t>티엘비</t>
        </is>
      </c>
      <c r="C4874" s="2" t="inlineStr">
        <is>
          <t>356860</t>
        </is>
      </c>
      <c r="D4874" s="2" t="inlineStr">
        <is>
          <t>대량보유</t>
        </is>
      </c>
      <c r="E4874" s="3" t="inlineStr">
        <is>
          <t>이세현</t>
        </is>
      </c>
      <c r="F4874" s="3" t="inlineStr">
        <is>
          <t>특별관계자</t>
        </is>
      </c>
      <c r="G4874" s="3" t="inlineStr">
        <is>
          <t>장외매도(-), 장내매도(-)</t>
        </is>
      </c>
      <c r="H4874" s="17" t="n">
        <v>-70168</v>
      </c>
      <c r="I4874" s="6" t="n">
        <v>8458</v>
      </c>
      <c r="J4874" s="6" t="n">
        <v>10000</v>
      </c>
      <c r="K4874" s="16" t="n">
        <v>8</v>
      </c>
      <c r="L4874" s="2" t="inlineStr">
        <is>
          <t>20260625000591</t>
        </is>
      </c>
      <c r="M4874" s="8">
        <f>HYPERLINK("https://dart.fss.or.kr/dsaf001/main.do?rcpNo=20260625000591", "공시열람")</f>
        <v/>
      </c>
    </row>
    <row r="4875" ht="22" customHeight="1">
      <c r="A4875" s="2" t="inlineStr">
        <is>
          <t>2026-06-25</t>
        </is>
      </c>
      <c r="B4875" s="3" t="inlineStr">
        <is>
          <t>티엘비</t>
        </is>
      </c>
      <c r="C4875" s="2" t="inlineStr">
        <is>
          <t>356860</t>
        </is>
      </c>
      <c r="D4875" s="2" t="inlineStr">
        <is>
          <t>대량보유</t>
        </is>
      </c>
      <c r="E4875" s="3" t="inlineStr">
        <is>
          <t>조승건</t>
        </is>
      </c>
      <c r="F4875" s="3" t="inlineStr">
        <is>
          <t>특별관계자</t>
        </is>
      </c>
      <c r="G4875" s="3" t="inlineStr">
        <is>
          <t>장외매도(-), 장내매도(-)</t>
        </is>
      </c>
      <c r="H4875" s="17" t="n">
        <v>-72492</v>
      </c>
      <c r="I4875" s="6" t="n">
        <v>9774</v>
      </c>
      <c r="J4875" s="6" t="inlineStr"/>
      <c r="K4875" s="16" t="n">
        <v>8</v>
      </c>
      <c r="L4875" s="2" t="inlineStr">
        <is>
          <t>20260625000591</t>
        </is>
      </c>
      <c r="M4875" s="8">
        <f>HYPERLINK("https://dart.fss.or.kr/dsaf001/main.do?rcpNo=20260625000591", "공시열람")</f>
        <v/>
      </c>
    </row>
    <row r="4876" ht="22" customHeight="1">
      <c r="A4876" s="2" t="inlineStr">
        <is>
          <t>2026-06-25</t>
        </is>
      </c>
      <c r="B4876" s="3" t="inlineStr">
        <is>
          <t>티엘비</t>
        </is>
      </c>
      <c r="C4876" s="2" t="inlineStr">
        <is>
          <t>356860</t>
        </is>
      </c>
      <c r="D4876" s="2" t="inlineStr">
        <is>
          <t>대량보유</t>
        </is>
      </c>
      <c r="E4876" s="3" t="inlineStr">
        <is>
          <t>한현종</t>
        </is>
      </c>
      <c r="F4876" s="3" t="inlineStr">
        <is>
          <t>특별관계자</t>
        </is>
      </c>
      <c r="G4876" s="3" t="inlineStr">
        <is>
          <t>장외매도(-)</t>
        </is>
      </c>
      <c r="H4876" s="17" t="n">
        <v>-426</v>
      </c>
      <c r="I4876" s="6" t="n">
        <v>7700</v>
      </c>
      <c r="J4876" s="6" t="inlineStr"/>
      <c r="K4876" s="16" t="n">
        <v>8</v>
      </c>
      <c r="L4876" s="2" t="inlineStr">
        <is>
          <t>20260625000591</t>
        </is>
      </c>
      <c r="M4876" s="8">
        <f>HYPERLINK("https://dart.fss.or.kr/dsaf001/main.do?rcpNo=20260625000591", "공시열람")</f>
        <v/>
      </c>
    </row>
    <row r="4877" ht="22" customHeight="1">
      <c r="A4877" s="2" t="inlineStr">
        <is>
          <t>2026-06-25</t>
        </is>
      </c>
      <c r="B4877" s="3" t="inlineStr">
        <is>
          <t>티엘비</t>
        </is>
      </c>
      <c r="C4877" s="2" t="inlineStr">
        <is>
          <t>356860</t>
        </is>
      </c>
      <c r="D4877" s="2" t="inlineStr">
        <is>
          <t>대량보유</t>
        </is>
      </c>
      <c r="E4877" s="3" t="inlineStr">
        <is>
          <t>최민호</t>
        </is>
      </c>
      <c r="F4877" s="3" t="inlineStr">
        <is>
          <t>특별관계자</t>
        </is>
      </c>
      <c r="G4877" s="3" t="inlineStr">
        <is>
          <t>장내매도(-)</t>
        </is>
      </c>
      <c r="H4877" s="17" t="n">
        <v>-10447</v>
      </c>
      <c r="I4877" s="6" t="n">
        <v>12061</v>
      </c>
      <c r="J4877" s="6" t="inlineStr"/>
      <c r="K4877" s="16" t="n">
        <v>8</v>
      </c>
      <c r="L4877" s="2" t="inlineStr">
        <is>
          <t>20260625000591</t>
        </is>
      </c>
      <c r="M4877" s="8">
        <f>HYPERLINK("https://dart.fss.or.kr/dsaf001/main.do?rcpNo=20260625000591", "공시열람")</f>
        <v/>
      </c>
    </row>
    <row r="4878" ht="22" customHeight="1">
      <c r="A4878" s="2" t="inlineStr">
        <is>
          <t>2026-06-25</t>
        </is>
      </c>
      <c r="B4878" s="3" t="inlineStr">
        <is>
          <t>한글과컴퓨터</t>
        </is>
      </c>
      <c r="C4878" s="2" t="inlineStr">
        <is>
          <t>030520</t>
        </is>
      </c>
      <c r="D4878" s="2" t="inlineStr">
        <is>
          <t>대량보유</t>
        </is>
      </c>
      <c r="E4878" s="3" t="inlineStr">
        <is>
          <t>한컴위드</t>
        </is>
      </c>
      <c r="F4878" s="3" t="inlineStr">
        <is>
          <t>특별관계자</t>
        </is>
      </c>
      <c r="G4878" s="3" t="inlineStr">
        <is>
          <t>장내매수(+)</t>
        </is>
      </c>
      <c r="H4878" s="15" t="n">
        <v>390277</v>
      </c>
      <c r="I4878" s="6" t="n">
        <v>18865</v>
      </c>
      <c r="J4878" s="6" t="n">
        <v>7238887</v>
      </c>
      <c r="K4878" s="16" t="n">
        <v>6</v>
      </c>
      <c r="L4878" s="2" t="inlineStr">
        <is>
          <t>20260625000579</t>
        </is>
      </c>
      <c r="M4878" s="8">
        <f>HYPERLINK("https://dart.fss.or.kr/dsaf001/main.do?rcpNo=20260625000579", "공시열람")</f>
        <v/>
      </c>
    </row>
    <row r="4879" ht="22" customHeight="1">
      <c r="A4879" s="2" t="inlineStr">
        <is>
          <t>2026-06-25</t>
        </is>
      </c>
      <c r="B4879" s="3" t="inlineStr">
        <is>
          <t>메리츠제2호스팩</t>
        </is>
      </c>
      <c r="C4879" s="2" t="inlineStr">
        <is>
          <t>0165X0</t>
        </is>
      </c>
      <c r="D4879" s="2" t="inlineStr">
        <is>
          <t>대량보유</t>
        </is>
      </c>
      <c r="E4879" s="3" t="inlineStr">
        <is>
          <t>메리츠증권(주)</t>
        </is>
      </c>
      <c r="F4879" s="3" t="inlineStr">
        <is>
          <t>특별관계자</t>
        </is>
      </c>
      <c r="G4879" s="3" t="inlineStr">
        <is>
          <t>신규상장(유상취득)(+)</t>
        </is>
      </c>
      <c r="H4879" s="15" t="n">
        <v>2100000</v>
      </c>
      <c r="I4879" s="6" t="n">
        <v>1000</v>
      </c>
      <c r="J4879" s="6" t="n">
        <v>2090000</v>
      </c>
      <c r="K4879" s="16" t="n">
        <v>22.51</v>
      </c>
      <c r="L4879" s="2" t="inlineStr">
        <is>
          <t>20260625000576</t>
        </is>
      </c>
      <c r="M4879" s="8">
        <f>HYPERLINK("https://dart.fss.or.kr/dsaf001/main.do?rcpNo=20260625000576", "공시열람")</f>
        <v/>
      </c>
    </row>
    <row r="4880" ht="22" customHeight="1">
      <c r="A4880" s="2" t="inlineStr">
        <is>
          <t>2026-06-25</t>
        </is>
      </c>
      <c r="B4880" s="3" t="inlineStr">
        <is>
          <t>SG</t>
        </is>
      </c>
      <c r="C4880" s="2" t="inlineStr">
        <is>
          <t>255220</t>
        </is>
      </c>
      <c r="D4880" s="2" t="inlineStr">
        <is>
          <t>대량보유</t>
        </is>
      </c>
      <c r="E4880" s="3" t="inlineStr">
        <is>
          <t>박창호</t>
        </is>
      </c>
      <c r="F4880" s="3" t="inlineStr">
        <is>
          <t>보고자</t>
        </is>
      </c>
      <c r="G4880" s="3" t="inlineStr">
        <is>
          <t>보유주식 등에 관한 계약 변경</t>
        </is>
      </c>
      <c r="H4880" s="6" t="inlineStr"/>
      <c r="I4880" s="6" t="inlineStr"/>
      <c r="J4880" s="6" t="n">
        <v>19565140</v>
      </c>
      <c r="K4880" s="16" t="n">
        <v>2</v>
      </c>
      <c r="L4880" s="2" t="inlineStr">
        <is>
          <t>20260625000572</t>
        </is>
      </c>
      <c r="M4880" s="8">
        <f>HYPERLINK("https://dart.fss.or.kr/dsaf001/main.do?rcpNo=20260625000572", "공시열람")</f>
        <v/>
      </c>
    </row>
    <row r="4881" ht="22" customHeight="1">
      <c r="A4881" s="2" t="inlineStr">
        <is>
          <t>2026-06-25</t>
        </is>
      </c>
      <c r="B4881" s="3" t="inlineStr">
        <is>
          <t>IBKS제25호스팩</t>
        </is>
      </c>
      <c r="C4881" s="2" t="inlineStr">
        <is>
          <t>0099X0</t>
        </is>
      </c>
      <c r="D4881" s="2" t="inlineStr">
        <is>
          <t>대량보유</t>
        </is>
      </c>
      <c r="E4881" s="3" t="inlineStr">
        <is>
          <t>더블유자산운용</t>
        </is>
      </c>
      <c r="F4881" s="3" t="inlineStr">
        <is>
          <t>특별관계자</t>
        </is>
      </c>
      <c r="G4881" s="3" t="inlineStr">
        <is>
          <t>신규등록(+), 장내매도(-), 장내매수(+)</t>
        </is>
      </c>
      <c r="H4881" s="15" t="n">
        <v>344909</v>
      </c>
      <c r="I4881" s="6" t="n">
        <v>2185</v>
      </c>
      <c r="J4881" s="6" t="n">
        <v>344909</v>
      </c>
      <c r="K4881" s="16" t="n">
        <v>5.77</v>
      </c>
      <c r="L4881" s="2" t="inlineStr">
        <is>
          <t>20260625000557</t>
        </is>
      </c>
      <c r="M4881" s="8">
        <f>HYPERLINK("https://dart.fss.or.kr/dsaf001/main.do?rcpNo=20260625000557", "공시열람")</f>
        <v/>
      </c>
    </row>
    <row r="4882" ht="22" customHeight="1">
      <c r="A4882" s="2" t="inlineStr">
        <is>
          <t>2026-06-25</t>
        </is>
      </c>
      <c r="B4882" s="3" t="inlineStr">
        <is>
          <t>서부T&amp;D</t>
        </is>
      </c>
      <c r="C4882" s="2" t="inlineStr">
        <is>
          <t>006730</t>
        </is>
      </c>
      <c r="D4882" s="2" t="inlineStr">
        <is>
          <t>대량보유</t>
        </is>
      </c>
      <c r="E4882" s="3" t="inlineStr">
        <is>
          <t>(주)엠와이에이치</t>
        </is>
      </c>
      <c r="F4882" s="3" t="inlineStr">
        <is>
          <t>특별관계자</t>
        </is>
      </c>
      <c r="G4882" s="3" t="inlineStr">
        <is>
          <t>시간외매매(-)</t>
        </is>
      </c>
      <c r="H4882" s="17" t="n">
        <v>-27496</v>
      </c>
      <c r="I4882" s="6" t="n">
        <v>10910</v>
      </c>
      <c r="J4882" s="6" t="n">
        <v>11551010</v>
      </c>
      <c r="K4882" s="16" t="n">
        <v>15</v>
      </c>
      <c r="L4882" s="2" t="inlineStr">
        <is>
          <t>20260625000555</t>
        </is>
      </c>
      <c r="M4882" s="8">
        <f>HYPERLINK("https://dart.fss.or.kr/dsaf001/main.do?rcpNo=20260625000555", "공시열람")</f>
        <v/>
      </c>
    </row>
    <row r="4883" ht="22" customHeight="1">
      <c r="A4883" s="2" t="inlineStr">
        <is>
          <t>2026-06-25</t>
        </is>
      </c>
      <c r="B4883" s="3" t="inlineStr">
        <is>
          <t>서부T&amp;D</t>
        </is>
      </c>
      <c r="C4883" s="2" t="inlineStr">
        <is>
          <t>006730</t>
        </is>
      </c>
      <c r="D4883" s="2" t="inlineStr">
        <is>
          <t>대량보유</t>
        </is>
      </c>
      <c r="E4883" s="3" t="inlineStr">
        <is>
          <t>승만호</t>
        </is>
      </c>
      <c r="F4883" s="3" t="inlineStr">
        <is>
          <t>특별관계자</t>
        </is>
      </c>
      <c r="G4883" s="3" t="inlineStr">
        <is>
          <t>시간외매매(+)</t>
        </is>
      </c>
      <c r="H4883" s="15" t="n">
        <v>27496</v>
      </c>
      <c r="I4883" s="6" t="n">
        <v>10910</v>
      </c>
      <c r="J4883" s="6" t="n">
        <v>9590174</v>
      </c>
      <c r="K4883" s="16" t="n">
        <v>15</v>
      </c>
      <c r="L4883" s="2" t="inlineStr">
        <is>
          <t>20260625000555</t>
        </is>
      </c>
      <c r="M4883" s="8">
        <f>HYPERLINK("https://dart.fss.or.kr/dsaf001/main.do?rcpNo=20260625000555", "공시열람")</f>
        <v/>
      </c>
    </row>
    <row r="4884" ht="22" customHeight="1">
      <c r="A4884" s="2" t="inlineStr">
        <is>
          <t>2026-06-25</t>
        </is>
      </c>
      <c r="B4884" s="3" t="inlineStr">
        <is>
          <t>삼익제약</t>
        </is>
      </c>
      <c r="C4884" s="2" t="inlineStr">
        <is>
          <t>014950</t>
        </is>
      </c>
      <c r="D4884" s="2" t="inlineStr">
        <is>
          <t>대량보유</t>
        </is>
      </c>
      <c r="E4884" s="3" t="inlineStr">
        <is>
          <t>하나증권(주)</t>
        </is>
      </c>
      <c r="F4884" s="3" t="inlineStr">
        <is>
          <t>특별관계자</t>
        </is>
      </c>
      <c r="G4884" s="3" t="inlineStr">
        <is>
          <t>전환등(-), 전환사채의권리행사(+), 장내매도(-)</t>
        </is>
      </c>
      <c r="H4884" s="17" t="n">
        <v>-192303</v>
      </c>
      <c r="I4884" s="6" t="n">
        <v>3599</v>
      </c>
      <c r="J4884" s="6" t="n">
        <v>482042</v>
      </c>
      <c r="K4884" s="16" t="n">
        <v>4.82</v>
      </c>
      <c r="L4884" s="2" t="inlineStr">
        <is>
          <t>20260625000554</t>
        </is>
      </c>
      <c r="M4884" s="8">
        <f>HYPERLINK("https://dart.fss.or.kr/dsaf001/main.do?rcpNo=20260625000554", "공시열람")</f>
        <v/>
      </c>
    </row>
    <row r="4885" ht="22" customHeight="1">
      <c r="A4885" s="2" t="inlineStr">
        <is>
          <t>2026-06-25</t>
        </is>
      </c>
      <c r="B4885" s="3" t="inlineStr">
        <is>
          <t>카카오게임즈</t>
        </is>
      </c>
      <c r="C4885" s="2" t="inlineStr">
        <is>
          <t>293490</t>
        </is>
      </c>
      <c r="D4885" s="2" t="inlineStr">
        <is>
          <t>대량보유</t>
        </is>
      </c>
      <c r="E4885" s="3" t="inlineStr">
        <is>
          <t>엘트리플에이인베스트먼트유한회사</t>
        </is>
      </c>
      <c r="F4885" s="3" t="inlineStr">
        <is>
          <t>특별관계자</t>
        </is>
      </c>
      <c r="G4885" s="3" t="inlineStr">
        <is>
          <t>장외매수(+), CB인수(+), 유상신주취득(+)</t>
        </is>
      </c>
      <c r="H4885" s="15" t="n">
        <v>39910134</v>
      </c>
      <c r="I4885" s="6" t="n">
        <v>13754</v>
      </c>
      <c r="J4885" s="6" t="n">
        <v>35566086</v>
      </c>
      <c r="K4885" s="16" t="n">
        <v>12</v>
      </c>
      <c r="L4885" s="2" t="inlineStr">
        <is>
          <t>20260625000547</t>
        </is>
      </c>
      <c r="M4885" s="8">
        <f>HYPERLINK("https://dart.fss.or.kr/dsaf001/main.do?rcpNo=20260625000547", "공시열람")</f>
        <v/>
      </c>
    </row>
    <row r="4886" ht="22" customHeight="1">
      <c r="A4886" s="2" t="inlineStr">
        <is>
          <t>2026-06-25</t>
        </is>
      </c>
      <c r="B4886" s="3" t="inlineStr">
        <is>
          <t>카카오게임즈</t>
        </is>
      </c>
      <c r="C4886" s="2" t="inlineStr">
        <is>
          <t>293490</t>
        </is>
      </c>
      <c r="D4886" s="2" t="inlineStr">
        <is>
          <t>대량보유</t>
        </is>
      </c>
      <c r="E4886" s="3" t="inlineStr">
        <is>
          <t>김재영</t>
        </is>
      </c>
      <c r="F4886" s="3" t="inlineStr">
        <is>
          <t>특별관계자</t>
        </is>
      </c>
      <c r="G4886" s="3" t="inlineStr">
        <is>
          <t>신규보고(+)</t>
        </is>
      </c>
      <c r="H4886" s="15" t="n">
        <v>5389214</v>
      </c>
      <c r="I4886" s="6" t="inlineStr"/>
      <c r="J4886" s="6" t="n">
        <v>5389214</v>
      </c>
      <c r="K4886" s="16" t="n">
        <v>12</v>
      </c>
      <c r="L4886" s="2" t="inlineStr">
        <is>
          <t>20260625000547</t>
        </is>
      </c>
      <c r="M4886" s="8">
        <f>HYPERLINK("https://dart.fss.or.kr/dsaf001/main.do?rcpNo=20260625000547", "공시열람")</f>
        <v/>
      </c>
    </row>
    <row r="4887" ht="22" customHeight="1">
      <c r="A4887" s="2" t="inlineStr">
        <is>
          <t>2026-06-25</t>
        </is>
      </c>
      <c r="B4887" s="3" t="inlineStr">
        <is>
          <t>카카오게임즈</t>
        </is>
      </c>
      <c r="C4887" s="2" t="inlineStr">
        <is>
          <t>293490</t>
        </is>
      </c>
      <c r="D4887" s="2" t="inlineStr">
        <is>
          <t>대량보유</t>
        </is>
      </c>
      <c r="E4887" s="3" t="inlineStr">
        <is>
          <t>이한순</t>
        </is>
      </c>
      <c r="F4887" s="3" t="inlineStr">
        <is>
          <t>특별관계자</t>
        </is>
      </c>
      <c r="G4887" s="3" t="inlineStr">
        <is>
          <t>신규보고(+)</t>
        </is>
      </c>
      <c r="H4887" s="15" t="n">
        <v>369424</v>
      </c>
      <c r="I4887" s="6" t="inlineStr"/>
      <c r="J4887" s="6" t="n">
        <v>369424</v>
      </c>
      <c r="K4887" s="16" t="n">
        <v>12</v>
      </c>
      <c r="L4887" s="2" t="inlineStr">
        <is>
          <t>20260625000547</t>
        </is>
      </c>
      <c r="M4887" s="8">
        <f>HYPERLINK("https://dart.fss.or.kr/dsaf001/main.do?rcpNo=20260625000547", "공시열람")</f>
        <v/>
      </c>
    </row>
    <row r="4888" ht="22" customHeight="1">
      <c r="A4888" s="2" t="inlineStr">
        <is>
          <t>2026-06-25</t>
        </is>
      </c>
      <c r="B4888" s="3" t="inlineStr">
        <is>
          <t>카카오게임즈</t>
        </is>
      </c>
      <c r="C4888" s="2" t="inlineStr">
        <is>
          <t>293490</t>
        </is>
      </c>
      <c r="D4888" s="2" t="inlineStr">
        <is>
          <t>대량보유</t>
        </is>
      </c>
      <c r="E4888" s="3" t="inlineStr">
        <is>
          <t>한상우</t>
        </is>
      </c>
      <c r="F4888" s="3" t="inlineStr">
        <is>
          <t>특별관계자</t>
        </is>
      </c>
      <c r="G4888" s="3" t="inlineStr">
        <is>
          <t>신규보고(+), 특별관계해소(-)</t>
        </is>
      </c>
      <c r="H4888" s="6" t="inlineStr"/>
      <c r="I4888" s="6" t="inlineStr"/>
      <c r="J4888" s="6" t="inlineStr"/>
      <c r="K4888" s="16" t="n">
        <v>12</v>
      </c>
      <c r="L4888" s="2" t="inlineStr">
        <is>
          <t>20260625000547</t>
        </is>
      </c>
      <c r="M4888" s="8">
        <f>HYPERLINK("https://dart.fss.or.kr/dsaf001/main.do?rcpNo=20260625000547", "공시열람")</f>
        <v/>
      </c>
    </row>
    <row r="4889" ht="22" customHeight="1">
      <c r="A4889" s="2" t="inlineStr">
        <is>
          <t>2026-06-25</t>
        </is>
      </c>
      <c r="B4889" s="3" t="inlineStr">
        <is>
          <t>카카오게임즈</t>
        </is>
      </c>
      <c r="C4889" s="2" t="inlineStr">
        <is>
          <t>293490</t>
        </is>
      </c>
      <c r="D4889" s="2" t="inlineStr">
        <is>
          <t>대량보유</t>
        </is>
      </c>
      <c r="E4889" s="3" t="inlineStr">
        <is>
          <t>최세훈</t>
        </is>
      </c>
      <c r="F4889" s="3" t="inlineStr">
        <is>
          <t>특별관계자</t>
        </is>
      </c>
      <c r="G4889" s="3" t="inlineStr">
        <is>
          <t>신규보고(+)</t>
        </is>
      </c>
      <c r="H4889" s="15" t="n">
        <v>34200</v>
      </c>
      <c r="I4889" s="6" t="inlineStr"/>
      <c r="J4889" s="6" t="n">
        <v>34200</v>
      </c>
      <c r="K4889" s="16" t="n">
        <v>12</v>
      </c>
      <c r="L4889" s="2" t="inlineStr">
        <is>
          <t>20260625000547</t>
        </is>
      </c>
      <c r="M4889" s="8">
        <f>HYPERLINK("https://dart.fss.or.kr/dsaf001/main.do?rcpNo=20260625000547", "공시열람")</f>
        <v/>
      </c>
    </row>
    <row r="4890" ht="22" customHeight="1">
      <c r="A4890" s="2" t="inlineStr">
        <is>
          <t>2026-06-25</t>
        </is>
      </c>
      <c r="B4890" s="3" t="inlineStr">
        <is>
          <t>카카오게임즈</t>
        </is>
      </c>
      <c r="C4890" s="2" t="inlineStr">
        <is>
          <t>293490</t>
        </is>
      </c>
      <c r="D4890" s="2" t="inlineStr">
        <is>
          <t>대량보유</t>
        </is>
      </c>
      <c r="E4890" s="3" t="inlineStr">
        <is>
          <t>최관호</t>
        </is>
      </c>
      <c r="F4890" s="3" t="inlineStr">
        <is>
          <t>특별관계자</t>
        </is>
      </c>
      <c r="G4890" s="3" t="inlineStr">
        <is>
          <t>신규보고(+)</t>
        </is>
      </c>
      <c r="H4890" s="15" t="n">
        <v>27377</v>
      </c>
      <c r="I4890" s="6" t="inlineStr"/>
      <c r="J4890" s="6" t="n">
        <v>27377</v>
      </c>
      <c r="K4890" s="16" t="n">
        <v>12</v>
      </c>
      <c r="L4890" s="2" t="inlineStr">
        <is>
          <t>20260625000547</t>
        </is>
      </c>
      <c r="M4890" s="8">
        <f>HYPERLINK("https://dart.fss.or.kr/dsaf001/main.do?rcpNo=20260625000547", "공시열람")</f>
        <v/>
      </c>
    </row>
    <row r="4891" ht="22" customHeight="1">
      <c r="A4891" s="2" t="inlineStr">
        <is>
          <t>2026-06-25</t>
        </is>
      </c>
      <c r="B4891" s="3" t="inlineStr">
        <is>
          <t>카카오게임즈</t>
        </is>
      </c>
      <c r="C4891" s="2" t="inlineStr">
        <is>
          <t>293490</t>
        </is>
      </c>
      <c r="D4891" s="2" t="inlineStr">
        <is>
          <t>대량보유</t>
        </is>
      </c>
      <c r="E4891" s="3" t="inlineStr">
        <is>
          <t>양용진</t>
        </is>
      </c>
      <c r="F4891" s="3" t="inlineStr">
        <is>
          <t>특별관계자</t>
        </is>
      </c>
      <c r="G4891" s="3" t="inlineStr">
        <is>
          <t>신규보고(+)</t>
        </is>
      </c>
      <c r="H4891" s="15" t="n">
        <v>7834</v>
      </c>
      <c r="I4891" s="6" t="inlineStr"/>
      <c r="J4891" s="6" t="n">
        <v>600</v>
      </c>
      <c r="K4891" s="16" t="n">
        <v>12</v>
      </c>
      <c r="L4891" s="2" t="inlineStr">
        <is>
          <t>20260625000547</t>
        </is>
      </c>
      <c r="M4891" s="8">
        <f>HYPERLINK("https://dart.fss.or.kr/dsaf001/main.do?rcpNo=20260625000547", "공시열람")</f>
        <v/>
      </c>
    </row>
    <row r="4892" ht="22" customHeight="1">
      <c r="A4892" s="2" t="inlineStr">
        <is>
          <t>2026-06-25</t>
        </is>
      </c>
      <c r="B4892" s="3" t="inlineStr">
        <is>
          <t>카카오게임즈</t>
        </is>
      </c>
      <c r="C4892" s="2" t="inlineStr">
        <is>
          <t>293490</t>
        </is>
      </c>
      <c r="D4892" s="2" t="inlineStr">
        <is>
          <t>대량보유</t>
        </is>
      </c>
      <c r="E4892" s="3" t="inlineStr">
        <is>
          <t>이시우</t>
        </is>
      </c>
      <c r="F4892" s="3" t="inlineStr">
        <is>
          <t>특별관계자</t>
        </is>
      </c>
      <c r="G4892" s="3" t="inlineStr">
        <is>
          <t>신규보고(+)</t>
        </is>
      </c>
      <c r="H4892" s="15" t="n">
        <v>36000</v>
      </c>
      <c r="I4892" s="6" t="inlineStr"/>
      <c r="J4892" s="6" t="n">
        <v>30000</v>
      </c>
      <c r="K4892" s="16" t="n">
        <v>12</v>
      </c>
      <c r="L4892" s="2" t="inlineStr">
        <is>
          <t>20260625000547</t>
        </is>
      </c>
      <c r="M4892" s="8">
        <f>HYPERLINK("https://dart.fss.or.kr/dsaf001/main.do?rcpNo=20260625000547", "공시열람")</f>
        <v/>
      </c>
    </row>
    <row r="4893" ht="22" customHeight="1">
      <c r="A4893" s="2" t="inlineStr">
        <is>
          <t>2026-06-25</t>
        </is>
      </c>
      <c r="B4893" s="3" t="inlineStr">
        <is>
          <t>카카오게임즈</t>
        </is>
      </c>
      <c r="C4893" s="2" t="inlineStr">
        <is>
          <t>293490</t>
        </is>
      </c>
      <c r="D4893" s="2" t="inlineStr">
        <is>
          <t>대량보유</t>
        </is>
      </c>
      <c r="E4893" s="3" t="inlineStr">
        <is>
          <t>김세희</t>
        </is>
      </c>
      <c r="F4893" s="3" t="inlineStr">
        <is>
          <t>특별관계자</t>
        </is>
      </c>
      <c r="G4893" s="3" t="inlineStr">
        <is>
          <t>신규보고(+)</t>
        </is>
      </c>
      <c r="H4893" s="15" t="n">
        <v>8600</v>
      </c>
      <c r="I4893" s="6" t="inlineStr"/>
      <c r="J4893" s="6" t="n">
        <v>600</v>
      </c>
      <c r="K4893" s="16" t="n">
        <v>12</v>
      </c>
      <c r="L4893" s="2" t="inlineStr">
        <is>
          <t>20260625000547</t>
        </is>
      </c>
      <c r="M4893" s="8">
        <f>HYPERLINK("https://dart.fss.or.kr/dsaf001/main.do?rcpNo=20260625000547", "공시열람")</f>
        <v/>
      </c>
    </row>
    <row r="4894" ht="22" customHeight="1">
      <c r="A4894" s="2" t="inlineStr">
        <is>
          <t>2026-06-25</t>
        </is>
      </c>
      <c r="B4894" s="3" t="inlineStr">
        <is>
          <t>카카오게임즈</t>
        </is>
      </c>
      <c r="C4894" s="2" t="inlineStr">
        <is>
          <t>293490</t>
        </is>
      </c>
      <c r="D4894" s="2" t="inlineStr">
        <is>
          <t>대량보유</t>
        </is>
      </c>
      <c r="E4894" s="3" t="inlineStr">
        <is>
          <t>강지모</t>
        </is>
      </c>
      <c r="F4894" s="3" t="inlineStr">
        <is>
          <t>특별관계자</t>
        </is>
      </c>
      <c r="G4894" s="3" t="inlineStr">
        <is>
          <t>신규보고(+)</t>
        </is>
      </c>
      <c r="H4894" s="15" t="n">
        <v>1500</v>
      </c>
      <c r="I4894" s="6" t="inlineStr"/>
      <c r="J4894" s="6" t="n">
        <v>1500</v>
      </c>
      <c r="K4894" s="16" t="n">
        <v>12</v>
      </c>
      <c r="L4894" s="2" t="inlineStr">
        <is>
          <t>20260625000547</t>
        </is>
      </c>
      <c r="M4894" s="8">
        <f>HYPERLINK("https://dart.fss.or.kr/dsaf001/main.do?rcpNo=20260625000547", "공시열람")</f>
        <v/>
      </c>
    </row>
    <row r="4895" ht="22" customHeight="1">
      <c r="A4895" s="2" t="inlineStr">
        <is>
          <t>2026-06-25</t>
        </is>
      </c>
      <c r="B4895" s="3" t="inlineStr">
        <is>
          <t>카카오게임즈</t>
        </is>
      </c>
      <c r="C4895" s="2" t="inlineStr">
        <is>
          <t>293490</t>
        </is>
      </c>
      <c r="D4895" s="2" t="inlineStr">
        <is>
          <t>대량보유</t>
        </is>
      </c>
      <c r="E4895" s="3" t="inlineStr">
        <is>
          <t>주식회사카카오</t>
        </is>
      </c>
      <c r="F4895" s="3" t="inlineStr">
        <is>
          <t>특별관계자</t>
        </is>
      </c>
      <c r="G4895" s="3" t="inlineStr">
        <is>
          <t>신규보고(+)</t>
        </is>
      </c>
      <c r="H4895" s="15" t="n">
        <v>15622268</v>
      </c>
      <c r="I4895" s="6" t="inlineStr"/>
      <c r="J4895" s="6" t="n">
        <v>15622268</v>
      </c>
      <c r="K4895" s="16" t="n">
        <v>12</v>
      </c>
      <c r="L4895" s="2" t="inlineStr">
        <is>
          <t>20260625000547</t>
        </is>
      </c>
      <c r="M4895" s="8">
        <f>HYPERLINK("https://dart.fss.or.kr/dsaf001/main.do?rcpNo=20260625000547", "공시열람")</f>
        <v/>
      </c>
    </row>
    <row r="4896" ht="22" customHeight="1">
      <c r="A4896" s="2" t="inlineStr">
        <is>
          <t>2026-06-25</t>
        </is>
      </c>
      <c r="B4896" s="3" t="inlineStr">
        <is>
          <t>카카오게임즈</t>
        </is>
      </c>
      <c r="C4896" s="2" t="inlineStr">
        <is>
          <t>293490</t>
        </is>
      </c>
      <c r="D4896" s="2" t="inlineStr">
        <is>
          <t>대량보유</t>
        </is>
      </c>
      <c r="E4896" s="3" t="inlineStr">
        <is>
          <t>㈜카카오</t>
        </is>
      </c>
      <c r="F4896" s="3" t="inlineStr">
        <is>
          <t>특별관계자</t>
        </is>
      </c>
      <c r="G4896" s="3" t="inlineStr">
        <is>
          <t>장외매도(-)</t>
        </is>
      </c>
      <c r="H4896" s="17" t="n">
        <v>-18107732</v>
      </c>
      <c r="I4896" s="6" t="n">
        <v>13747</v>
      </c>
      <c r="J4896" s="6" t="n">
        <v>15622268</v>
      </c>
      <c r="K4896" s="16" t="n">
        <v>19</v>
      </c>
      <c r="L4896" s="2" t="inlineStr">
        <is>
          <t>20260625000541</t>
        </is>
      </c>
      <c r="M4896" s="8">
        <f>HYPERLINK("https://dart.fss.or.kr/dsaf001/main.do?rcpNo=20260625000541", "공시열람")</f>
        <v/>
      </c>
    </row>
    <row r="4897" ht="22" customHeight="1">
      <c r="A4897" s="2" t="inlineStr">
        <is>
          <t>2026-06-25</t>
        </is>
      </c>
      <c r="B4897" s="3" t="inlineStr">
        <is>
          <t>카카오게임즈</t>
        </is>
      </c>
      <c r="C4897" s="2" t="inlineStr">
        <is>
          <t>293490</t>
        </is>
      </c>
      <c r="D4897" s="2" t="inlineStr">
        <is>
          <t>대량보유</t>
        </is>
      </c>
      <c r="E4897" s="3" t="inlineStr">
        <is>
          <t>문태식</t>
        </is>
      </c>
      <c r="F4897" s="3" t="inlineStr">
        <is>
          <t>특별관계자</t>
        </is>
      </c>
      <c r="G4897" s="3" t="inlineStr">
        <is>
          <t>장내매도(-), 장내매수(+)</t>
        </is>
      </c>
      <c r="H4897" s="17" t="n">
        <v>-49067</v>
      </c>
      <c r="I4897" s="6" t="n">
        <v>10460</v>
      </c>
      <c r="J4897" s="6" t="inlineStr"/>
      <c r="K4897" s="16" t="n">
        <v>19</v>
      </c>
      <c r="L4897" s="2" t="inlineStr">
        <is>
          <t>20260625000541</t>
        </is>
      </c>
      <c r="M4897" s="8">
        <f>HYPERLINK("https://dart.fss.or.kr/dsaf001/main.do?rcpNo=20260625000541", "공시열람")</f>
        <v/>
      </c>
    </row>
    <row r="4898" ht="22" customHeight="1">
      <c r="A4898" s="2" t="inlineStr">
        <is>
          <t>2026-06-25</t>
        </is>
      </c>
      <c r="B4898" s="3" t="inlineStr">
        <is>
          <t>카카오게임즈</t>
        </is>
      </c>
      <c r="C4898" s="2" t="inlineStr">
        <is>
          <t>293490</t>
        </is>
      </c>
      <c r="D4898" s="2" t="inlineStr">
        <is>
          <t>대량보유</t>
        </is>
      </c>
      <c r="E4898" s="3" t="inlineStr">
        <is>
          <t>한상우</t>
        </is>
      </c>
      <c r="F4898" s="3" t="inlineStr">
        <is>
          <t>특별관계자</t>
        </is>
      </c>
      <c r="G4898" s="3" t="inlineStr">
        <is>
          <t>특별관계해소(-)</t>
        </is>
      </c>
      <c r="H4898" s="17" t="n">
        <v>-32300</v>
      </c>
      <c r="I4898" s="6" t="inlineStr"/>
      <c r="J4898" s="6" t="inlineStr"/>
      <c r="K4898" s="16" t="n">
        <v>19</v>
      </c>
      <c r="L4898" s="2" t="inlineStr">
        <is>
          <t>20260625000541</t>
        </is>
      </c>
      <c r="M4898" s="8">
        <f>HYPERLINK("https://dart.fss.or.kr/dsaf001/main.do?rcpNo=20260625000541", "공시열람")</f>
        <v/>
      </c>
    </row>
    <row r="4899" ht="22" customHeight="1">
      <c r="A4899" s="2" t="inlineStr">
        <is>
          <t>2026-06-25</t>
        </is>
      </c>
      <c r="B4899" s="3" t="inlineStr">
        <is>
          <t>카카오게임즈</t>
        </is>
      </c>
      <c r="C4899" s="2" t="inlineStr">
        <is>
          <t>293490</t>
        </is>
      </c>
      <c r="D4899" s="2" t="inlineStr">
        <is>
          <t>대량보유</t>
        </is>
      </c>
      <c r="E4899" s="3" t="inlineStr">
        <is>
          <t>최광옥</t>
        </is>
      </c>
      <c r="F4899" s="3" t="inlineStr">
        <is>
          <t>특별관계자</t>
        </is>
      </c>
      <c r="G4899" s="3" t="inlineStr">
        <is>
          <t>장내매도(-)</t>
        </is>
      </c>
      <c r="H4899" s="17" t="n">
        <v>-6500</v>
      </c>
      <c r="I4899" s="6" t="n">
        <v>9443</v>
      </c>
      <c r="J4899" s="6" t="n">
        <v>1500</v>
      </c>
      <c r="K4899" s="16" t="n">
        <v>19</v>
      </c>
      <c r="L4899" s="2" t="inlineStr">
        <is>
          <t>20260625000541</t>
        </is>
      </c>
      <c r="M4899" s="8">
        <f>HYPERLINK("https://dart.fss.or.kr/dsaf001/main.do?rcpNo=20260625000541", "공시열람")</f>
        <v/>
      </c>
    </row>
    <row r="4900" ht="22" customHeight="1">
      <c r="A4900" s="2" t="inlineStr">
        <is>
          <t>2026-06-25</t>
        </is>
      </c>
      <c r="B4900" s="3" t="inlineStr">
        <is>
          <t>카카오게임즈</t>
        </is>
      </c>
      <c r="C4900" s="2" t="inlineStr">
        <is>
          <t>293490</t>
        </is>
      </c>
      <c r="D4900" s="2" t="inlineStr">
        <is>
          <t>대량보유</t>
        </is>
      </c>
      <c r="E4900" s="3" t="inlineStr">
        <is>
          <t>엘트리플에이인베스트먼트유한회사</t>
        </is>
      </c>
      <c r="F4900" s="3" t="inlineStr">
        <is>
          <t>특별관계자</t>
        </is>
      </c>
      <c r="G4900" s="3" t="inlineStr">
        <is>
          <t>장외매수(+), CB인수(+), 제3자배정유상증자(+)</t>
        </is>
      </c>
      <c r="H4900" s="15" t="n">
        <v>39910134</v>
      </c>
      <c r="I4900" s="6" t="n">
        <v>13754</v>
      </c>
      <c r="J4900" s="6" t="n">
        <v>35566086</v>
      </c>
      <c r="K4900" s="16" t="n">
        <v>19</v>
      </c>
      <c r="L4900" s="2" t="inlineStr">
        <is>
          <t>20260625000541</t>
        </is>
      </c>
      <c r="M4900" s="8">
        <f>HYPERLINK("https://dart.fss.or.kr/dsaf001/main.do?rcpNo=20260625000541", "공시열람")</f>
        <v/>
      </c>
    </row>
    <row r="4901" ht="22" customHeight="1">
      <c r="A4901" s="2" t="inlineStr">
        <is>
          <t>2026-06-25</t>
        </is>
      </c>
      <c r="B4901" s="3" t="inlineStr">
        <is>
          <t>엘티씨</t>
        </is>
      </c>
      <c r="C4901" s="2" t="inlineStr">
        <is>
          <t>170920</t>
        </is>
      </c>
      <c r="D4901" s="2" t="inlineStr">
        <is>
          <t>대량보유</t>
        </is>
      </c>
      <c r="E4901" s="3" t="inlineStr">
        <is>
          <t>미래에셋자산운용</t>
        </is>
      </c>
      <c r="F4901" s="3" t="inlineStr">
        <is>
          <t>특별관계자</t>
        </is>
      </c>
      <c r="G4901" s="3" t="inlineStr">
        <is>
          <t>신규보고(+), 기타(-), 장내매수(+)</t>
        </is>
      </c>
      <c r="H4901" s="15" t="n">
        <v>497195</v>
      </c>
      <c r="I4901" s="6" t="n">
        <v>5883</v>
      </c>
      <c r="J4901" s="6" t="n">
        <v>497195</v>
      </c>
      <c r="K4901" s="16" t="n">
        <v>1</v>
      </c>
      <c r="L4901" s="2" t="inlineStr">
        <is>
          <t>20260625000540</t>
        </is>
      </c>
      <c r="M4901" s="8">
        <f>HYPERLINK("https://dart.fss.or.kr/dsaf001/main.do?rcpNo=20260625000540", "공시열람")</f>
        <v/>
      </c>
    </row>
    <row r="4902" ht="22" customHeight="1">
      <c r="A4902" s="2" t="inlineStr">
        <is>
          <t>2026-06-25</t>
        </is>
      </c>
      <c r="B4902" s="3" t="inlineStr">
        <is>
          <t>엘티씨</t>
        </is>
      </c>
      <c r="C4902" s="2" t="inlineStr">
        <is>
          <t>170920</t>
        </is>
      </c>
      <c r="D4902" s="2" t="inlineStr">
        <is>
          <t>대량보유</t>
        </is>
      </c>
      <c r="E4902" s="3" t="inlineStr">
        <is>
          <t>미래에셋디스커버리증권(주식)</t>
        </is>
      </c>
      <c r="F4902" s="3" t="inlineStr">
        <is>
          <t>특별관계자</t>
        </is>
      </c>
      <c r="G4902" s="3" t="inlineStr">
        <is>
          <t>신규보고(+), 장내매수(+)</t>
        </is>
      </c>
      <c r="H4902" s="15" t="n">
        <v>59747</v>
      </c>
      <c r="I4902" s="6" t="n">
        <v>6068</v>
      </c>
      <c r="J4902" s="6" t="n">
        <v>59747</v>
      </c>
      <c r="K4902" s="16" t="n">
        <v>1</v>
      </c>
      <c r="L4902" s="2" t="inlineStr">
        <is>
          <t>20260625000540</t>
        </is>
      </c>
      <c r="M4902" s="8">
        <f>HYPERLINK("https://dart.fss.or.kr/dsaf001/main.do?rcpNo=20260625000540", "공시열람")</f>
        <v/>
      </c>
    </row>
    <row r="4903" ht="22" customHeight="1">
      <c r="A4903" s="2" t="inlineStr">
        <is>
          <t>2026-06-25</t>
        </is>
      </c>
      <c r="B4903" s="3" t="inlineStr">
        <is>
          <t>더블유에스아이</t>
        </is>
      </c>
      <c r="C4903" s="2" t="inlineStr">
        <is>
          <t>299170</t>
        </is>
      </c>
      <c r="D4903" s="2" t="inlineStr">
        <is>
          <t>대량보유</t>
        </is>
      </c>
      <c r="E4903" s="3" t="inlineStr">
        <is>
          <t>안진수</t>
        </is>
      </c>
      <c r="F4903" s="3" t="inlineStr">
        <is>
          <t>특별관계자</t>
        </is>
      </c>
      <c r="G4903" s="3" t="inlineStr">
        <is>
          <t>장내매수(+)</t>
        </is>
      </c>
      <c r="H4903" s="15" t="n">
        <v>37890</v>
      </c>
      <c r="I4903" s="6" t="n">
        <v>1400</v>
      </c>
      <c r="J4903" s="6" t="n">
        <v>69290</v>
      </c>
      <c r="K4903" s="16" t="n">
        <v>6</v>
      </c>
      <c r="L4903" s="2" t="inlineStr">
        <is>
          <t>20260625000517</t>
        </is>
      </c>
      <c r="M4903" s="8">
        <f>HYPERLINK("https://dart.fss.or.kr/dsaf001/main.do?rcpNo=20260625000517", "공시열람")</f>
        <v/>
      </c>
    </row>
    <row r="4904" ht="22" customHeight="1">
      <c r="A4904" s="2" t="inlineStr">
        <is>
          <t>2026-06-25</t>
        </is>
      </c>
      <c r="B4904" s="3" t="inlineStr">
        <is>
          <t>더블유에스아이</t>
        </is>
      </c>
      <c r="C4904" s="2" t="inlineStr">
        <is>
          <t>299170</t>
        </is>
      </c>
      <c r="D4904" s="2" t="inlineStr">
        <is>
          <t>대량보유</t>
        </is>
      </c>
      <c r="E4904" s="3" t="inlineStr">
        <is>
          <t>박재희</t>
        </is>
      </c>
      <c r="F4904" s="3" t="inlineStr">
        <is>
          <t>특별관계자</t>
        </is>
      </c>
      <c r="G4904" s="3" t="inlineStr">
        <is>
          <t>장내매도(-)</t>
        </is>
      </c>
      <c r="H4904" s="17" t="n">
        <v>-26466</v>
      </c>
      <c r="I4904" s="6" t="n">
        <v>1636</v>
      </c>
      <c r="J4904" s="6" t="n">
        <v>619056</v>
      </c>
      <c r="K4904" s="16" t="n">
        <v>6</v>
      </c>
      <c r="L4904" s="2" t="inlineStr">
        <is>
          <t>20260625000517</t>
        </is>
      </c>
      <c r="M4904" s="8">
        <f>HYPERLINK("https://dart.fss.or.kr/dsaf001/main.do?rcpNo=20260625000517", "공시열람")</f>
        <v/>
      </c>
    </row>
    <row r="4905" ht="22" customHeight="1">
      <c r="A4905" s="2" t="inlineStr">
        <is>
          <t>2026-06-25</t>
        </is>
      </c>
      <c r="B4905" s="3" t="inlineStr">
        <is>
          <t>제이에스코퍼레이션</t>
        </is>
      </c>
      <c r="C4905" s="2" t="inlineStr">
        <is>
          <t>194370</t>
        </is>
      </c>
      <c r="D4905" s="2" t="inlineStr">
        <is>
          <t>대량보유</t>
        </is>
      </c>
      <c r="E4905" s="3" t="inlineStr">
        <is>
          <t>삼성액티브자산운용</t>
        </is>
      </c>
      <c r="F4905" s="3" t="inlineStr">
        <is>
          <t>특별관계자</t>
        </is>
      </c>
      <c r="G4905" s="3" t="inlineStr">
        <is>
          <t>신규보고(+), 장내매수(+), 장내매도(-)</t>
        </is>
      </c>
      <c r="H4905" s="15" t="n">
        <v>1460261</v>
      </c>
      <c r="I4905" s="6" t="n">
        <v>11774</v>
      </c>
      <c r="J4905" s="6" t="n">
        <v>1460261</v>
      </c>
      <c r="K4905" s="16" t="n">
        <v>5.03</v>
      </c>
      <c r="L4905" s="2" t="inlineStr">
        <is>
          <t>20260625000514</t>
        </is>
      </c>
      <c r="M4905" s="8">
        <f>HYPERLINK("https://dart.fss.or.kr/dsaf001/main.do?rcpNo=20260625000514", "공시열람")</f>
        <v/>
      </c>
    </row>
    <row r="4906" ht="22" customHeight="1">
      <c r="A4906" s="2" t="inlineStr">
        <is>
          <t>2026-06-25</t>
        </is>
      </c>
      <c r="B4906" s="3" t="inlineStr">
        <is>
          <t>유안타증권</t>
        </is>
      </c>
      <c r="C4906" s="2" t="inlineStr">
        <is>
          <t>003470</t>
        </is>
      </c>
      <c r="D4906" s="2" t="inlineStr">
        <is>
          <t>임원보고</t>
        </is>
      </c>
      <c r="E4906" s="3" t="inlineStr">
        <is>
          <t>-</t>
        </is>
      </c>
      <c r="F4906" s="3" t="inlineStr">
        <is>
          <t>-</t>
        </is>
      </c>
      <c r="G4906" s="3" t="inlineStr">
        <is>
          <t>-</t>
        </is>
      </c>
      <c r="H4906" s="6" t="inlineStr"/>
      <c r="I4906" s="6" t="inlineStr"/>
      <c r="J4906" s="6" t="inlineStr"/>
      <c r="K4906" s="16" t="n">
        <v>12</v>
      </c>
      <c r="L4906" s="2" t="inlineStr">
        <is>
          <t>20260625800649</t>
        </is>
      </c>
      <c r="M4906" s="8">
        <f>HYPERLINK("https://dart.fss.or.kr/dsaf001/main.do?rcpNo=20260625800649", "공시열람")</f>
        <v/>
      </c>
    </row>
    <row r="4907" ht="22" customHeight="1">
      <c r="A4907" s="2" t="inlineStr">
        <is>
          <t>2026-06-25</t>
        </is>
      </c>
      <c r="B4907" s="3" t="inlineStr">
        <is>
          <t>에스엠벡셀</t>
        </is>
      </c>
      <c r="C4907" s="2" t="inlineStr">
        <is>
          <t>010580</t>
        </is>
      </c>
      <c r="D4907" s="2" t="inlineStr">
        <is>
          <t>임원보고</t>
        </is>
      </c>
      <c r="E4907" s="3" t="inlineStr">
        <is>
          <t>-</t>
        </is>
      </c>
      <c r="F4907" s="3" t="inlineStr">
        <is>
          <t>-</t>
        </is>
      </c>
      <c r="G4907" s="3" t="inlineStr">
        <is>
          <t>-</t>
        </is>
      </c>
      <c r="H4907" s="6" t="inlineStr"/>
      <c r="I4907" s="6" t="inlineStr"/>
      <c r="J4907" s="6" t="inlineStr"/>
      <c r="K4907" s="16" t="n">
        <v>12</v>
      </c>
      <c r="L4907" s="2" t="inlineStr">
        <is>
          <t>20260625800642</t>
        </is>
      </c>
      <c r="M4907" s="8">
        <f>HYPERLINK("https://dart.fss.or.kr/dsaf001/main.do?rcpNo=20260625800642", "공시열람")</f>
        <v/>
      </c>
    </row>
    <row r="4908" ht="22" customHeight="1">
      <c r="A4908" s="2" t="inlineStr">
        <is>
          <t>2026-06-25</t>
        </is>
      </c>
      <c r="B4908" s="3" t="inlineStr">
        <is>
          <t>심텍</t>
        </is>
      </c>
      <c r="C4908" s="2" t="inlineStr">
        <is>
          <t>222800</t>
        </is>
      </c>
      <c r="D4908" s="2" t="inlineStr">
        <is>
          <t>대량보유</t>
        </is>
      </c>
      <c r="E4908" s="3" t="inlineStr">
        <is>
          <t>㈜심텍홀딩스</t>
        </is>
      </c>
      <c r="F4908" s="3" t="inlineStr">
        <is>
          <t>특별관계자</t>
        </is>
      </c>
      <c r="G4908" s="3" t="inlineStr">
        <is>
          <t>기타(-), 콜옵션권리행사에따른CB취득(+)</t>
        </is>
      </c>
      <c r="H4908" s="15" t="n">
        <v>518015</v>
      </c>
      <c r="I4908" s="6" t="n">
        <v>73555</v>
      </c>
      <c r="J4908" s="6" t="n">
        <v>765448</v>
      </c>
      <c r="K4908" s="16" t="n">
        <v>6</v>
      </c>
      <c r="L4908" s="2" t="inlineStr">
        <is>
          <t>20260625000495</t>
        </is>
      </c>
      <c r="M4908" s="8">
        <f>HYPERLINK("https://dart.fss.or.kr/dsaf001/main.do?rcpNo=20260625000495", "공시열람")</f>
        <v/>
      </c>
    </row>
    <row r="4909" ht="22" customHeight="1">
      <c r="A4909" s="2" t="inlineStr">
        <is>
          <t>2026-06-25</t>
        </is>
      </c>
      <c r="B4909" s="3" t="inlineStr">
        <is>
          <t>프리티</t>
        </is>
      </c>
      <c r="C4909" s="2" t="inlineStr">
        <is>
          <t>006490</t>
        </is>
      </c>
      <c r="D4909" s="2" t="inlineStr">
        <is>
          <t>임원보고</t>
        </is>
      </c>
      <c r="E4909" s="3" t="inlineStr">
        <is>
          <t>-</t>
        </is>
      </c>
      <c r="F4909" s="3" t="inlineStr">
        <is>
          <t>-</t>
        </is>
      </c>
      <c r="G4909" s="3" t="inlineStr">
        <is>
          <t>-</t>
        </is>
      </c>
      <c r="H4909" s="6" t="inlineStr"/>
      <c r="I4909" s="6" t="inlineStr"/>
      <c r="J4909" s="6" t="inlineStr"/>
      <c r="K4909" s="16" t="n">
        <v>12</v>
      </c>
      <c r="L4909" s="2" t="inlineStr">
        <is>
          <t>20260625800622</t>
        </is>
      </c>
      <c r="M4909" s="8">
        <f>HYPERLINK("https://dart.fss.or.kr/dsaf001/main.do?rcpNo=20260625800622", "공시열람")</f>
        <v/>
      </c>
    </row>
    <row r="4910" ht="22" customHeight="1">
      <c r="A4910" s="2" t="inlineStr">
        <is>
          <t>2026-06-25</t>
        </is>
      </c>
      <c r="B4910" s="3" t="inlineStr">
        <is>
          <t>오텍</t>
        </is>
      </c>
      <c r="C4910" s="2" t="inlineStr">
        <is>
          <t>067170</t>
        </is>
      </c>
      <c r="D4910" s="2" t="inlineStr">
        <is>
          <t>대량보유</t>
        </is>
      </c>
      <c r="E4910" s="3" t="inlineStr">
        <is>
          <t>강성희</t>
        </is>
      </c>
      <c r="F4910" s="3" t="inlineStr">
        <is>
          <t>특별관계자</t>
        </is>
      </c>
      <c r="G4910" s="3" t="inlineStr">
        <is>
          <t>BW인수(+)</t>
        </is>
      </c>
      <c r="H4910" s="15" t="n">
        <v>38000</v>
      </c>
      <c r="I4910" s="6" t="n">
        <v>835</v>
      </c>
      <c r="J4910" s="6" t="n">
        <v>5638780</v>
      </c>
      <c r="K4910" s="16" t="n">
        <v>2</v>
      </c>
      <c r="L4910" s="2" t="inlineStr">
        <is>
          <t>20260625000477</t>
        </is>
      </c>
      <c r="M4910" s="8">
        <f>HYPERLINK("https://dart.fss.or.kr/dsaf001/main.do?rcpNo=20260625000477", "공시열람")</f>
        <v/>
      </c>
    </row>
    <row r="4911" ht="22" customHeight="1">
      <c r="A4911" s="2" t="inlineStr">
        <is>
          <t>2026-06-25</t>
        </is>
      </c>
      <c r="B4911" s="3" t="inlineStr">
        <is>
          <t>오텍</t>
        </is>
      </c>
      <c r="C4911" s="2" t="inlineStr">
        <is>
          <t>067170</t>
        </is>
      </c>
      <c r="D4911" s="2" t="inlineStr">
        <is>
          <t>대량보유</t>
        </is>
      </c>
      <c r="E4911" s="3" t="inlineStr">
        <is>
          <t>강신욱</t>
        </is>
      </c>
      <c r="F4911" s="3" t="inlineStr">
        <is>
          <t>특별관계자</t>
        </is>
      </c>
      <c r="G4911" s="3" t="inlineStr">
        <is>
          <t>BW인수(+)</t>
        </is>
      </c>
      <c r="H4911" s="15" t="n">
        <v>21000</v>
      </c>
      <c r="I4911" s="6" t="n">
        <v>830</v>
      </c>
      <c r="J4911" s="6" t="n">
        <v>1615284</v>
      </c>
      <c r="K4911" s="16" t="n">
        <v>2</v>
      </c>
      <c r="L4911" s="2" t="inlineStr">
        <is>
          <t>20260625000477</t>
        </is>
      </c>
      <c r="M4911" s="8">
        <f>HYPERLINK("https://dart.fss.or.kr/dsaf001/main.do?rcpNo=20260625000477", "공시열람")</f>
        <v/>
      </c>
    </row>
    <row r="4912" ht="22" customHeight="1">
      <c r="A4912" s="2" t="inlineStr">
        <is>
          <t>2026-06-25</t>
        </is>
      </c>
      <c r="B4912" s="3" t="inlineStr">
        <is>
          <t>브이티</t>
        </is>
      </c>
      <c r="C4912" s="2" t="inlineStr">
        <is>
          <t>018290</t>
        </is>
      </c>
      <c r="D4912" s="2" t="inlineStr">
        <is>
          <t>대량보유</t>
        </is>
      </c>
      <c r="E4912" s="3" t="inlineStr">
        <is>
          <t>조하나</t>
        </is>
      </c>
      <c r="F4912" s="3" t="inlineStr">
        <is>
          <t>특별관계자</t>
        </is>
      </c>
      <c r="G4912" s="3" t="inlineStr">
        <is>
          <t>주식담보 계약</t>
        </is>
      </c>
      <c r="H4912" s="6" t="inlineStr"/>
      <c r="I4912" s="6" t="inlineStr"/>
      <c r="J4912" s="6" t="inlineStr"/>
      <c r="K4912" s="16" t="n">
        <v>3</v>
      </c>
      <c r="L4912" s="2" t="inlineStr">
        <is>
          <t>20260625000471</t>
        </is>
      </c>
      <c r="M4912" s="8">
        <f>HYPERLINK("https://dart.fss.or.kr/dsaf001/main.do?rcpNo=20260625000471", "공시열람")</f>
        <v/>
      </c>
    </row>
    <row r="4913" ht="22" customHeight="1">
      <c r="A4913" s="2" t="inlineStr">
        <is>
          <t>2026-06-25</t>
        </is>
      </c>
      <c r="B4913" s="3" t="inlineStr">
        <is>
          <t>브이티</t>
        </is>
      </c>
      <c r="C4913" s="2" t="inlineStr">
        <is>
          <t>018290</t>
        </is>
      </c>
      <c r="D4913" s="2" t="inlineStr">
        <is>
          <t>대량보유</t>
        </is>
      </c>
      <c r="E4913" s="3" t="inlineStr">
        <is>
          <t>강승곤</t>
        </is>
      </c>
      <c r="F4913" s="3" t="inlineStr">
        <is>
          <t>특별관계자</t>
        </is>
      </c>
      <c r="G4913" s="3" t="inlineStr">
        <is>
          <t>주식담보 계약</t>
        </is>
      </c>
      <c r="H4913" s="6" t="inlineStr"/>
      <c r="I4913" s="6" t="inlineStr"/>
      <c r="J4913" s="6" t="inlineStr"/>
      <c r="K4913" s="16" t="n">
        <v>3</v>
      </c>
      <c r="L4913" s="2" t="inlineStr">
        <is>
          <t>20260625000471</t>
        </is>
      </c>
      <c r="M4913" s="8">
        <f>HYPERLINK("https://dart.fss.or.kr/dsaf001/main.do?rcpNo=20260625000471", "공시열람")</f>
        <v/>
      </c>
    </row>
    <row r="4914" ht="22" customHeight="1">
      <c r="A4914" s="2" t="inlineStr">
        <is>
          <t>2026-06-25</t>
        </is>
      </c>
      <c r="B4914" s="3" t="inlineStr">
        <is>
          <t>삼성공조</t>
        </is>
      </c>
      <c r="C4914" s="2" t="inlineStr">
        <is>
          <t>006660</t>
        </is>
      </c>
      <c r="D4914" s="2" t="inlineStr">
        <is>
          <t>임원보고</t>
        </is>
      </c>
      <c r="E4914" s="3" t="inlineStr">
        <is>
          <t>-</t>
        </is>
      </c>
      <c r="F4914" s="3" t="inlineStr">
        <is>
          <t>-</t>
        </is>
      </c>
      <c r="G4914" s="3" t="inlineStr">
        <is>
          <t>-</t>
        </is>
      </c>
      <c r="H4914" s="6" t="inlineStr"/>
      <c r="I4914" s="6" t="inlineStr"/>
      <c r="J4914" s="6" t="inlineStr"/>
      <c r="K4914" s="16" t="n">
        <v>12</v>
      </c>
      <c r="L4914" s="2" t="inlineStr">
        <is>
          <t>20260625800582</t>
        </is>
      </c>
      <c r="M4914" s="8">
        <f>HYPERLINK("https://dart.fss.or.kr/dsaf001/main.do?rcpNo=20260625800582", "공시열람")</f>
        <v/>
      </c>
    </row>
    <row r="4915" ht="22" customHeight="1">
      <c r="A4915" s="2" t="inlineStr">
        <is>
          <t>2026-06-25</t>
        </is>
      </c>
      <c r="B4915" s="3" t="inlineStr">
        <is>
          <t>삼립</t>
        </is>
      </c>
      <c r="C4915" s="2" t="inlineStr">
        <is>
          <t>005610</t>
        </is>
      </c>
      <c r="D4915" s="2" t="inlineStr">
        <is>
          <t>임원보고</t>
        </is>
      </c>
      <c r="E4915" s="3" t="inlineStr">
        <is>
          <t>-</t>
        </is>
      </c>
      <c r="F4915" s="3" t="inlineStr">
        <is>
          <t>-</t>
        </is>
      </c>
      <c r="G4915" s="3" t="inlineStr">
        <is>
          <t>-</t>
        </is>
      </c>
      <c r="H4915" s="6" t="inlineStr"/>
      <c r="I4915" s="6" t="inlineStr"/>
      <c r="J4915" s="6" t="inlineStr"/>
      <c r="K4915" s="16" t="n">
        <v>12</v>
      </c>
      <c r="L4915" s="2" t="inlineStr">
        <is>
          <t>20260625800560</t>
        </is>
      </c>
      <c r="M4915" s="8">
        <f>HYPERLINK("https://dart.fss.or.kr/dsaf001/main.do?rcpNo=20260625800560", "공시열람")</f>
        <v/>
      </c>
    </row>
    <row r="4916" ht="22" customHeight="1">
      <c r="A4916" s="2" t="inlineStr">
        <is>
          <t>2026-06-25</t>
        </is>
      </c>
      <c r="B4916" s="3" t="inlineStr">
        <is>
          <t>이삭엔지니어링</t>
        </is>
      </c>
      <c r="C4916" s="2" t="inlineStr">
        <is>
          <t>351330</t>
        </is>
      </c>
      <c r="D4916" s="2" t="inlineStr">
        <is>
          <t>대량보유</t>
        </is>
      </c>
      <c r="E4916" s="3" t="inlineStr">
        <is>
          <t>김창수</t>
        </is>
      </c>
      <c r="F4916" s="3" t="inlineStr">
        <is>
          <t>특별관계자</t>
        </is>
      </c>
      <c r="G4916" s="3" t="inlineStr">
        <is>
          <t>장내매수(+)</t>
        </is>
      </c>
      <c r="H4916" s="15" t="n">
        <v>2000</v>
      </c>
      <c r="I4916" s="6" t="n">
        <v>4381</v>
      </c>
      <c r="J4916" s="6" t="n">
        <v>937260</v>
      </c>
      <c r="K4916" s="16" t="n">
        <v>4</v>
      </c>
      <c r="L4916" s="2" t="inlineStr">
        <is>
          <t>20260625000448</t>
        </is>
      </c>
      <c r="M4916" s="8">
        <f>HYPERLINK("https://dart.fss.or.kr/dsaf001/main.do?rcpNo=20260625000448", "공시열람")</f>
        <v/>
      </c>
    </row>
    <row r="4917" ht="22" customHeight="1">
      <c r="A4917" s="2" t="inlineStr">
        <is>
          <t>2026-06-25</t>
        </is>
      </c>
      <c r="B4917" s="3" t="inlineStr">
        <is>
          <t>이삭엔지니어링</t>
        </is>
      </c>
      <c r="C4917" s="2" t="inlineStr">
        <is>
          <t>351330</t>
        </is>
      </c>
      <c r="D4917" s="2" t="inlineStr">
        <is>
          <t>대량보유</t>
        </is>
      </c>
      <c r="E4917" s="3" t="inlineStr">
        <is>
          <t>김범수</t>
        </is>
      </c>
      <c r="F4917" s="3" t="inlineStr">
        <is>
          <t>특별관계자</t>
        </is>
      </c>
      <c r="G4917" s="3" t="inlineStr">
        <is>
          <t>장내매수(+)</t>
        </is>
      </c>
      <c r="H4917" s="15" t="n">
        <v>2000</v>
      </c>
      <c r="I4917" s="6" t="n">
        <v>4332</v>
      </c>
      <c r="J4917" s="6" t="n">
        <v>937260</v>
      </c>
      <c r="K4917" s="16" t="n">
        <v>4</v>
      </c>
      <c r="L4917" s="2" t="inlineStr">
        <is>
          <t>20260625000448</t>
        </is>
      </c>
      <c r="M4917" s="8">
        <f>HYPERLINK("https://dart.fss.or.kr/dsaf001/main.do?rcpNo=20260625000448", "공시열람")</f>
        <v/>
      </c>
    </row>
    <row r="4918" ht="22" customHeight="1">
      <c r="A4918" s="2" t="inlineStr">
        <is>
          <t>2026-06-25</t>
        </is>
      </c>
      <c r="B4918" s="3" t="inlineStr">
        <is>
          <t>이삭엔지니어링</t>
        </is>
      </c>
      <c r="C4918" s="2" t="inlineStr">
        <is>
          <t>351330</t>
        </is>
      </c>
      <c r="D4918" s="2" t="inlineStr">
        <is>
          <t>대량보유</t>
        </is>
      </c>
      <c r="E4918" s="3" t="inlineStr">
        <is>
          <t>이명섭</t>
        </is>
      </c>
      <c r="F4918" s="3" t="inlineStr">
        <is>
          <t>특별관계자</t>
        </is>
      </c>
      <c r="G4918" s="3" t="inlineStr">
        <is>
          <t>장내매수(+)</t>
        </is>
      </c>
      <c r="H4918" s="15" t="n">
        <v>2000</v>
      </c>
      <c r="I4918" s="6" t="n">
        <v>4439</v>
      </c>
      <c r="J4918" s="6" t="n">
        <v>937260</v>
      </c>
      <c r="K4918" s="16" t="n">
        <v>4</v>
      </c>
      <c r="L4918" s="2" t="inlineStr">
        <is>
          <t>20260625000448</t>
        </is>
      </c>
      <c r="M4918" s="8">
        <f>HYPERLINK("https://dart.fss.or.kr/dsaf001/main.do?rcpNo=20260625000448", "공시열람")</f>
        <v/>
      </c>
    </row>
    <row r="4919" ht="22" customHeight="1">
      <c r="A4919" s="2" t="inlineStr">
        <is>
          <t>2026-06-25</t>
        </is>
      </c>
      <c r="B4919" s="3" t="inlineStr">
        <is>
          <t>이삭엔지니어링</t>
        </is>
      </c>
      <c r="C4919" s="2" t="inlineStr">
        <is>
          <t>351330</t>
        </is>
      </c>
      <c r="D4919" s="2" t="inlineStr">
        <is>
          <t>대량보유</t>
        </is>
      </c>
      <c r="E4919" s="3" t="inlineStr">
        <is>
          <t>이광용</t>
        </is>
      </c>
      <c r="F4919" s="3" t="inlineStr">
        <is>
          <t>특별관계자</t>
        </is>
      </c>
      <c r="G4919" s="3" t="inlineStr">
        <is>
          <t>장내매수(+)</t>
        </is>
      </c>
      <c r="H4919" s="15" t="n">
        <v>2000</v>
      </c>
      <c r="I4919" s="6" t="n">
        <v>4311</v>
      </c>
      <c r="J4919" s="6" t="n">
        <v>937260</v>
      </c>
      <c r="K4919" s="16" t="n">
        <v>4</v>
      </c>
      <c r="L4919" s="2" t="inlineStr">
        <is>
          <t>20260625000448</t>
        </is>
      </c>
      <c r="M4919" s="8">
        <f>HYPERLINK("https://dart.fss.or.kr/dsaf001/main.do?rcpNo=20260625000448", "공시열람")</f>
        <v/>
      </c>
    </row>
    <row r="4920" ht="22" customHeight="1">
      <c r="A4920" s="2" t="inlineStr">
        <is>
          <t>2026-06-25</t>
        </is>
      </c>
      <c r="B4920" s="3" t="inlineStr">
        <is>
          <t>이삭엔지니어링</t>
        </is>
      </c>
      <c r="C4920" s="2" t="inlineStr">
        <is>
          <t>351330</t>
        </is>
      </c>
      <c r="D4920" s="2" t="inlineStr">
        <is>
          <t>대량보유</t>
        </is>
      </c>
      <c r="E4920" s="3" t="inlineStr">
        <is>
          <t>임규선</t>
        </is>
      </c>
      <c r="F4920" s="3" t="inlineStr">
        <is>
          <t>특별관계자</t>
        </is>
      </c>
      <c r="G4920" s="3" t="inlineStr">
        <is>
          <t>장내매수(+)</t>
        </is>
      </c>
      <c r="H4920" s="15" t="n">
        <v>2000</v>
      </c>
      <c r="I4920" s="6" t="n">
        <v>4388</v>
      </c>
      <c r="J4920" s="6" t="n">
        <v>937260</v>
      </c>
      <c r="K4920" s="16" t="n">
        <v>4</v>
      </c>
      <c r="L4920" s="2" t="inlineStr">
        <is>
          <t>20260625000448</t>
        </is>
      </c>
      <c r="M4920" s="8">
        <f>HYPERLINK("https://dart.fss.or.kr/dsaf001/main.do?rcpNo=20260625000448", "공시열람")</f>
        <v/>
      </c>
    </row>
    <row r="4921" ht="22" customHeight="1">
      <c r="A4921" s="2" t="inlineStr">
        <is>
          <t>2026-06-25</t>
        </is>
      </c>
      <c r="B4921" s="3" t="inlineStr">
        <is>
          <t>사조대림</t>
        </is>
      </c>
      <c r="C4921" s="2" t="inlineStr">
        <is>
          <t>003960</t>
        </is>
      </c>
      <c r="D4921" s="2" t="inlineStr">
        <is>
          <t>임원보고</t>
        </is>
      </c>
      <c r="E4921" s="3" t="inlineStr">
        <is>
          <t>-</t>
        </is>
      </c>
      <c r="F4921" s="3" t="inlineStr">
        <is>
          <t>-</t>
        </is>
      </c>
      <c r="G4921" s="3" t="inlineStr">
        <is>
          <t>-</t>
        </is>
      </c>
      <c r="H4921" s="6" t="inlineStr"/>
      <c r="I4921" s="6" t="inlineStr"/>
      <c r="J4921" s="6" t="inlineStr"/>
      <c r="K4921" s="16" t="n">
        <v>12</v>
      </c>
      <c r="L4921" s="2" t="inlineStr">
        <is>
          <t>20260625800556</t>
        </is>
      </c>
      <c r="M4921" s="8">
        <f>HYPERLINK("https://dart.fss.or.kr/dsaf001/main.do?rcpNo=20260625800556", "공시열람")</f>
        <v/>
      </c>
    </row>
    <row r="4922" ht="22" customHeight="1">
      <c r="A4922" s="2" t="inlineStr">
        <is>
          <t>2026-06-25</t>
        </is>
      </c>
      <c r="B4922" s="3" t="inlineStr">
        <is>
          <t>사조씨푸드</t>
        </is>
      </c>
      <c r="C4922" s="2" t="inlineStr">
        <is>
          <t>014710</t>
        </is>
      </c>
      <c r="D4922" s="2" t="inlineStr">
        <is>
          <t>임원보고</t>
        </is>
      </c>
      <c r="E4922" s="3" t="inlineStr">
        <is>
          <t>-</t>
        </is>
      </c>
      <c r="F4922" s="3" t="inlineStr">
        <is>
          <t>-</t>
        </is>
      </c>
      <c r="G4922" s="3" t="inlineStr">
        <is>
          <t>-</t>
        </is>
      </c>
      <c r="H4922" s="6" t="inlineStr"/>
      <c r="I4922" s="6" t="inlineStr"/>
      <c r="J4922" s="6" t="inlineStr"/>
      <c r="K4922" s="16" t="n">
        <v>12</v>
      </c>
      <c r="L4922" s="2" t="inlineStr">
        <is>
          <t>20260625800553</t>
        </is>
      </c>
      <c r="M4922" s="8">
        <f>HYPERLINK("https://dart.fss.or.kr/dsaf001/main.do?rcpNo=20260625800553", "공시열람")</f>
        <v/>
      </c>
    </row>
    <row r="4923" ht="22" customHeight="1">
      <c r="A4923" s="2" t="inlineStr">
        <is>
          <t>2026-06-25</t>
        </is>
      </c>
      <c r="B4923" s="3" t="inlineStr">
        <is>
          <t>엔켐</t>
        </is>
      </c>
      <c r="C4923" s="2" t="inlineStr">
        <is>
          <t>348370</t>
        </is>
      </c>
      <c r="D4923" s="2" t="inlineStr">
        <is>
          <t>대량보유</t>
        </is>
      </c>
      <c r="E4923" s="3" t="inlineStr">
        <is>
          <t>오정강</t>
        </is>
      </c>
      <c r="F4923" s="3" t="inlineStr">
        <is>
          <t>특별관계자</t>
        </is>
      </c>
      <c r="G4923" s="3" t="inlineStr">
        <is>
          <t>장외매수(+)</t>
        </is>
      </c>
      <c r="H4923" s="15" t="n">
        <v>19166</v>
      </c>
      <c r="I4923" s="6" t="n">
        <v>117897</v>
      </c>
      <c r="J4923" s="6" t="n">
        <v>36674</v>
      </c>
      <c r="K4923" s="16" t="n">
        <v>1</v>
      </c>
      <c r="L4923" s="2" t="inlineStr">
        <is>
          <t>20260625000431</t>
        </is>
      </c>
      <c r="M4923" s="8">
        <f>HYPERLINK("https://dart.fss.or.kr/dsaf001/main.do?rcpNo=20260625000431", "공시열람")</f>
        <v/>
      </c>
    </row>
    <row r="4924" ht="22" customHeight="1">
      <c r="A4924" s="2" t="inlineStr">
        <is>
          <t>2026-06-25</t>
        </is>
      </c>
      <c r="B4924" s="3" t="inlineStr">
        <is>
          <t>저스템</t>
        </is>
      </c>
      <c r="C4924" s="2" t="inlineStr">
        <is>
          <t>417840</t>
        </is>
      </c>
      <c r="D4924" s="2" t="inlineStr">
        <is>
          <t>대량보유</t>
        </is>
      </c>
      <c r="E4924" s="3" t="inlineStr">
        <is>
          <t>이광재</t>
        </is>
      </c>
      <c r="F4924" s="3" t="inlineStr">
        <is>
          <t>특별관계자</t>
        </is>
      </c>
      <c r="G4924" s="3" t="inlineStr">
        <is>
          <t>장내매수(+)</t>
        </is>
      </c>
      <c r="H4924" s="15" t="n">
        <v>800</v>
      </c>
      <c r="I4924" s="6" t="n">
        <v>14829</v>
      </c>
      <c r="J4924" s="6" t="n">
        <v>800</v>
      </c>
      <c r="K4924" s="16" t="n">
        <v>9</v>
      </c>
      <c r="L4924" s="2" t="inlineStr">
        <is>
          <t>20260625000430</t>
        </is>
      </c>
      <c r="M4924" s="8">
        <f>HYPERLINK("https://dart.fss.or.kr/dsaf001/main.do?rcpNo=20260625000430", "공시열람")</f>
        <v/>
      </c>
    </row>
    <row r="4925" ht="22" customHeight="1">
      <c r="A4925" s="2" t="inlineStr">
        <is>
          <t>2026-06-25</t>
        </is>
      </c>
      <c r="B4925" s="3" t="inlineStr">
        <is>
          <t>저스템</t>
        </is>
      </c>
      <c r="C4925" s="2" t="inlineStr">
        <is>
          <t>417840</t>
        </is>
      </c>
      <c r="D4925" s="2" t="inlineStr">
        <is>
          <t>대량보유</t>
        </is>
      </c>
      <c r="E4925" s="3" t="inlineStr">
        <is>
          <t>이윤재</t>
        </is>
      </c>
      <c r="F4925" s="3" t="inlineStr">
        <is>
          <t>특별관계자</t>
        </is>
      </c>
      <c r="G4925" s="3" t="inlineStr">
        <is>
          <t>장내매수(+)</t>
        </is>
      </c>
      <c r="H4925" s="15" t="n">
        <v>1600</v>
      </c>
      <c r="I4925" s="6" t="n">
        <v>14670</v>
      </c>
      <c r="J4925" s="6" t="n">
        <v>1600</v>
      </c>
      <c r="K4925" s="16" t="n">
        <v>9</v>
      </c>
      <c r="L4925" s="2" t="inlineStr">
        <is>
          <t>20260625000430</t>
        </is>
      </c>
      <c r="M4925" s="8">
        <f>HYPERLINK("https://dart.fss.or.kr/dsaf001/main.do?rcpNo=20260625000430", "공시열람")</f>
        <v/>
      </c>
    </row>
    <row r="4926" ht="22" customHeight="1">
      <c r="A4926" s="2" t="inlineStr">
        <is>
          <t>2026-06-25</t>
        </is>
      </c>
      <c r="B4926" s="3" t="inlineStr">
        <is>
          <t>알멕</t>
        </is>
      </c>
      <c r="C4926" s="2" t="inlineStr">
        <is>
          <t>354320</t>
        </is>
      </c>
      <c r="D4926" s="2" t="inlineStr">
        <is>
          <t>대량보유</t>
        </is>
      </c>
      <c r="E4926" s="3" t="inlineStr">
        <is>
          <t>주식회사다이엑스</t>
        </is>
      </c>
      <c r="F4926" s="3" t="inlineStr">
        <is>
          <t>특별관계자</t>
        </is>
      </c>
      <c r="G4926" s="3" t="inlineStr">
        <is>
          <t>주식담보대출 계약내용의 변경(담보주식수 및 이자율 변경)</t>
        </is>
      </c>
      <c r="H4926" s="6" t="inlineStr"/>
      <c r="I4926" s="6" t="inlineStr"/>
      <c r="J4926" s="6" t="n">
        <v>2349966</v>
      </c>
      <c r="K4926" s="16" t="n">
        <v>36.77</v>
      </c>
      <c r="L4926" s="2" t="inlineStr">
        <is>
          <t>20260625000414</t>
        </is>
      </c>
      <c r="M4926" s="8">
        <f>HYPERLINK("https://dart.fss.or.kr/dsaf001/main.do?rcpNo=20260625000414", "공시열람")</f>
        <v/>
      </c>
    </row>
    <row r="4927" ht="22" customHeight="1">
      <c r="A4927" s="2" t="inlineStr">
        <is>
          <t>2026-06-25</t>
        </is>
      </c>
      <c r="B4927" s="3" t="inlineStr">
        <is>
          <t>마크로젠</t>
        </is>
      </c>
      <c r="C4927" s="2" t="inlineStr">
        <is>
          <t>038290</t>
        </is>
      </c>
      <c r="D4927" s="2" t="inlineStr">
        <is>
          <t>대량보유</t>
        </is>
      </c>
      <c r="E4927" s="3" t="inlineStr">
        <is>
          <t>서정선</t>
        </is>
      </c>
      <c r="F4927" s="3" t="inlineStr">
        <is>
          <t>보고자</t>
        </is>
      </c>
      <c r="G4927" s="3" t="inlineStr">
        <is>
          <t>주식담보대출 계약의 연장 및 일부 대출 상환</t>
        </is>
      </c>
      <c r="H4927" s="6" t="inlineStr"/>
      <c r="I4927" s="6" t="inlineStr"/>
      <c r="J4927" s="6" t="n">
        <v>2182802</v>
      </c>
      <c r="K4927" s="16" t="n">
        <v>7</v>
      </c>
      <c r="L4927" s="2" t="inlineStr">
        <is>
          <t>20260625000413</t>
        </is>
      </c>
      <c r="M4927" s="8">
        <f>HYPERLINK("https://dart.fss.or.kr/dsaf001/main.do?rcpNo=20260625000413", "공시열람")</f>
        <v/>
      </c>
    </row>
    <row r="4928" ht="22" customHeight="1">
      <c r="A4928" s="2" t="inlineStr">
        <is>
          <t>2026-06-25</t>
        </is>
      </c>
      <c r="B4928" s="3" t="inlineStr">
        <is>
          <t>GS</t>
        </is>
      </c>
      <c r="C4928" s="2" t="inlineStr">
        <is>
          <t>078930</t>
        </is>
      </c>
      <c r="D4928" s="2" t="inlineStr">
        <is>
          <t>임원보고</t>
        </is>
      </c>
      <c r="E4928" s="3" t="inlineStr">
        <is>
          <t>-</t>
        </is>
      </c>
      <c r="F4928" s="3" t="inlineStr">
        <is>
          <t>-</t>
        </is>
      </c>
      <c r="G4928" s="3" t="inlineStr">
        <is>
          <t>-</t>
        </is>
      </c>
      <c r="H4928" s="6" t="inlineStr"/>
      <c r="I4928" s="6" t="inlineStr"/>
      <c r="J4928" s="6" t="inlineStr"/>
      <c r="K4928" s="16" t="n">
        <v>12</v>
      </c>
      <c r="L4928" s="2" t="inlineStr">
        <is>
          <t>20260625800503</t>
        </is>
      </c>
      <c r="M4928" s="8">
        <f>HYPERLINK("https://dart.fss.or.kr/dsaf001/main.do?rcpNo=20260625800503", "공시열람")</f>
        <v/>
      </c>
    </row>
    <row r="4929" ht="22" customHeight="1">
      <c r="A4929" s="2" t="inlineStr">
        <is>
          <t>2026-06-25</t>
        </is>
      </c>
      <c r="B4929" s="3" t="inlineStr">
        <is>
          <t>대림통상</t>
        </is>
      </c>
      <c r="C4929" s="2" t="inlineStr">
        <is>
          <t>006570</t>
        </is>
      </c>
      <c r="D4929" s="2" t="inlineStr">
        <is>
          <t>대량보유</t>
        </is>
      </c>
      <c r="E4929" s="3" t="inlineStr">
        <is>
          <t>디앤디파트너스(주)</t>
        </is>
      </c>
      <c r="F4929" s="3" t="inlineStr">
        <is>
          <t>특별관계자</t>
        </is>
      </c>
      <c r="G4929" s="3" t="inlineStr">
        <is>
          <t>장내매수(+)</t>
        </is>
      </c>
      <c r="H4929" s="15" t="n">
        <v>2923</v>
      </c>
      <c r="I4929" s="6" t="n">
        <v>1992</v>
      </c>
      <c r="J4929" s="6" t="n">
        <v>6027397</v>
      </c>
      <c r="K4929" s="16" t="n">
        <v>4</v>
      </c>
      <c r="L4929" s="2" t="inlineStr">
        <is>
          <t>20260625000400</t>
        </is>
      </c>
      <c r="M4929" s="8">
        <f>HYPERLINK("https://dart.fss.or.kr/dsaf001/main.do?rcpNo=20260625000400", "공시열람")</f>
        <v/>
      </c>
    </row>
    <row r="4930" ht="22" customHeight="1">
      <c r="A4930" s="2" t="inlineStr">
        <is>
          <t>2026-06-25</t>
        </is>
      </c>
      <c r="B4930" s="3" t="inlineStr">
        <is>
          <t>엑스큐어</t>
        </is>
      </c>
      <c r="C4930" s="2" t="inlineStr">
        <is>
          <t>070300</t>
        </is>
      </c>
      <c r="D4930" s="2" t="inlineStr">
        <is>
          <t>대량보유</t>
        </is>
      </c>
      <c r="E4930" s="3" t="inlineStr">
        <is>
          <t>브이에스티디(VSTD)투자조합</t>
        </is>
      </c>
      <c r="F4930" s="3" t="inlineStr">
        <is>
          <t>보고자</t>
        </is>
      </c>
      <c r="G4930" s="3" t="inlineStr">
        <is>
          <t>특별관계자인 엑사투자조합의 보유주식 주식근질권 설정계약 체결</t>
        </is>
      </c>
      <c r="H4930" s="6" t="inlineStr"/>
      <c r="I4930" s="6" t="inlineStr"/>
      <c r="J4930" s="6" t="n">
        <v>5470475</v>
      </c>
      <c r="K4930" s="16" t="n">
        <v>5</v>
      </c>
      <c r="L4930" s="2" t="inlineStr">
        <is>
          <t>20260625000393</t>
        </is>
      </c>
      <c r="M4930" s="8">
        <f>HYPERLINK("https://dart.fss.or.kr/dsaf001/main.do?rcpNo=20260625000393", "공시열람")</f>
        <v/>
      </c>
    </row>
    <row r="4931" ht="22" customHeight="1">
      <c r="A4931" s="2" t="inlineStr">
        <is>
          <t>2026-06-25</t>
        </is>
      </c>
      <c r="B4931" s="3" t="inlineStr">
        <is>
          <t>GS</t>
        </is>
      </c>
      <c r="C4931" s="2" t="inlineStr">
        <is>
          <t>078930</t>
        </is>
      </c>
      <c r="D4931" s="2" t="inlineStr">
        <is>
          <t>대량보유</t>
        </is>
      </c>
      <c r="E4931" s="3" t="inlineStr">
        <is>
          <t>허정홍</t>
        </is>
      </c>
      <c r="F4931" s="3" t="inlineStr">
        <is>
          <t>특별관계자</t>
        </is>
      </c>
      <c r="G4931" s="3" t="inlineStr">
        <is>
          <t>장내매수(+)</t>
        </is>
      </c>
      <c r="H4931" s="15" t="n">
        <v>66000</v>
      </c>
      <c r="I4931" s="6" t="n">
        <v>71350</v>
      </c>
      <c r="J4931" s="6" t="n">
        <v>787000</v>
      </c>
      <c r="K4931" s="16" t="n">
        <v>58</v>
      </c>
      <c r="L4931" s="2" t="inlineStr">
        <is>
          <t>20260625000388</t>
        </is>
      </c>
      <c r="M4931" s="8">
        <f>HYPERLINK("https://dart.fss.or.kr/dsaf001/main.do?rcpNo=20260625000388", "공시열람")</f>
        <v/>
      </c>
    </row>
    <row r="4932" ht="22" customHeight="1">
      <c r="A4932" s="2" t="inlineStr">
        <is>
          <t>2026-06-25</t>
        </is>
      </c>
      <c r="B4932" s="3" t="inlineStr">
        <is>
          <t>대림통상</t>
        </is>
      </c>
      <c r="C4932" s="2" t="inlineStr">
        <is>
          <t>006570</t>
        </is>
      </c>
      <c r="D4932" s="2" t="inlineStr">
        <is>
          <t>임원보고</t>
        </is>
      </c>
      <c r="E4932" s="3" t="inlineStr">
        <is>
          <t>-</t>
        </is>
      </c>
      <c r="F4932" s="3" t="inlineStr">
        <is>
          <t>-</t>
        </is>
      </c>
      <c r="G4932" s="3" t="inlineStr">
        <is>
          <t>-</t>
        </is>
      </c>
      <c r="H4932" s="6" t="inlineStr"/>
      <c r="I4932" s="6" t="inlineStr"/>
      <c r="J4932" s="6" t="inlineStr"/>
      <c r="K4932" s="16" t="n">
        <v>12</v>
      </c>
      <c r="L4932" s="2" t="inlineStr">
        <is>
          <t>20260625800461</t>
        </is>
      </c>
      <c r="M4932" s="8">
        <f>HYPERLINK("https://dart.fss.or.kr/dsaf001/main.do?rcpNo=20260625800461", "공시열람")</f>
        <v/>
      </c>
    </row>
    <row r="4933" ht="22" customHeight="1">
      <c r="A4933" s="2" t="inlineStr">
        <is>
          <t>2026-06-25</t>
        </is>
      </c>
      <c r="B4933" s="3" t="inlineStr">
        <is>
          <t>금비</t>
        </is>
      </c>
      <c r="C4933" s="2" t="inlineStr">
        <is>
          <t>008870</t>
        </is>
      </c>
      <c r="D4933" s="2" t="inlineStr">
        <is>
          <t>임원보고</t>
        </is>
      </c>
      <c r="E4933" s="3" t="inlineStr">
        <is>
          <t>-</t>
        </is>
      </c>
      <c r="F4933" s="3" t="inlineStr">
        <is>
          <t>-</t>
        </is>
      </c>
      <c r="G4933" s="3" t="inlineStr">
        <is>
          <t>-</t>
        </is>
      </c>
      <c r="H4933" s="6" t="inlineStr"/>
      <c r="I4933" s="6" t="inlineStr"/>
      <c r="J4933" s="6" t="inlineStr"/>
      <c r="K4933" s="16" t="n">
        <v>12</v>
      </c>
      <c r="L4933" s="2" t="inlineStr">
        <is>
          <t>20260625800446</t>
        </is>
      </c>
      <c r="M4933" s="8">
        <f>HYPERLINK("https://dart.fss.or.kr/dsaf001/main.do?rcpNo=20260625800446", "공시열람")</f>
        <v/>
      </c>
    </row>
    <row r="4934" ht="22" customHeight="1">
      <c r="A4934" s="2" t="inlineStr">
        <is>
          <t>2026-06-25</t>
        </is>
      </c>
      <c r="B4934" s="3" t="inlineStr">
        <is>
          <t>핸즈코퍼레이션</t>
        </is>
      </c>
      <c r="C4934" s="2" t="inlineStr">
        <is>
          <t>143210</t>
        </is>
      </c>
      <c r="D4934" s="2" t="inlineStr">
        <is>
          <t>임원보고</t>
        </is>
      </c>
      <c r="E4934" s="3" t="inlineStr">
        <is>
          <t>-</t>
        </is>
      </c>
      <c r="F4934" s="3" t="inlineStr">
        <is>
          <t>-</t>
        </is>
      </c>
      <c r="G4934" s="3" t="inlineStr">
        <is>
          <t>-</t>
        </is>
      </c>
      <c r="H4934" s="6" t="inlineStr"/>
      <c r="I4934" s="6" t="inlineStr"/>
      <c r="J4934" s="6" t="inlineStr"/>
      <c r="K4934" s="16" t="n">
        <v>12</v>
      </c>
      <c r="L4934" s="2" t="inlineStr">
        <is>
          <t>20260625800417</t>
        </is>
      </c>
      <c r="M4934" s="8">
        <f>HYPERLINK("https://dart.fss.or.kr/dsaf001/main.do?rcpNo=20260625800417", "공시열람")</f>
        <v/>
      </c>
    </row>
    <row r="4935" ht="22" customHeight="1">
      <c r="A4935" s="2" t="inlineStr">
        <is>
          <t>2026-06-25</t>
        </is>
      </c>
      <c r="B4935" s="3" t="inlineStr">
        <is>
          <t>에스엠벡셀</t>
        </is>
      </c>
      <c r="C4935" s="2" t="inlineStr">
        <is>
          <t>010580</t>
        </is>
      </c>
      <c r="D4935" s="2" t="inlineStr">
        <is>
          <t>대량보유</t>
        </is>
      </c>
      <c r="E4935" s="3" t="inlineStr">
        <is>
          <t>에스엠하이플러스(주)</t>
        </is>
      </c>
      <c r="F4935" s="3" t="inlineStr">
        <is>
          <t>특별관계자</t>
        </is>
      </c>
      <c r="G4935" s="3" t="inlineStr">
        <is>
          <t>장내매수(+)</t>
        </is>
      </c>
      <c r="H4935" s="15" t="n">
        <v>99943</v>
      </c>
      <c r="I4935" s="6" t="n">
        <v>1840</v>
      </c>
      <c r="J4935" s="6" t="n">
        <v>56562590</v>
      </c>
      <c r="K4935" s="16" t="n">
        <v>4</v>
      </c>
      <c r="L4935" s="2" t="inlineStr">
        <is>
          <t>20260625000293</t>
        </is>
      </c>
      <c r="M4935" s="8">
        <f>HYPERLINK("https://dart.fss.or.kr/dsaf001/main.do?rcpNo=20260625000293", "공시열람")</f>
        <v/>
      </c>
    </row>
    <row r="4936" ht="22" customHeight="1">
      <c r="A4936" s="2" t="inlineStr">
        <is>
          <t>2026-06-25</t>
        </is>
      </c>
      <c r="B4936" s="3" t="inlineStr">
        <is>
          <t>에코프로머티</t>
        </is>
      </c>
      <c r="C4936" s="2" t="inlineStr">
        <is>
          <t>450080</t>
        </is>
      </c>
      <c r="D4936" s="2" t="inlineStr">
        <is>
          <t>임원보고</t>
        </is>
      </c>
      <c r="E4936" s="3" t="inlineStr">
        <is>
          <t>-</t>
        </is>
      </c>
      <c r="F4936" s="3" t="inlineStr">
        <is>
          <t>-</t>
        </is>
      </c>
      <c r="G4936" s="3" t="inlineStr">
        <is>
          <t>-</t>
        </is>
      </c>
      <c r="H4936" s="6" t="inlineStr"/>
      <c r="I4936" s="6" t="inlineStr"/>
      <c r="J4936" s="6" t="inlineStr"/>
      <c r="K4936" s="16" t="n">
        <v>12</v>
      </c>
      <c r="L4936" s="2" t="inlineStr">
        <is>
          <t>20260625800337</t>
        </is>
      </c>
      <c r="M4936" s="8">
        <f>HYPERLINK("https://dart.fss.or.kr/dsaf001/main.do?rcpNo=20260625800337", "공시열람")</f>
        <v/>
      </c>
    </row>
    <row r="4937" ht="22" customHeight="1">
      <c r="A4937" s="2" t="inlineStr">
        <is>
          <t>2026-06-25</t>
        </is>
      </c>
      <c r="B4937" s="3" t="inlineStr">
        <is>
          <t>에코프로머티</t>
        </is>
      </c>
      <c r="C4937" s="2" t="inlineStr">
        <is>
          <t>450080</t>
        </is>
      </c>
      <c r="D4937" s="2" t="inlineStr">
        <is>
          <t>대량보유</t>
        </is>
      </c>
      <c r="E4937" s="3" t="inlineStr">
        <is>
          <t>이태근</t>
        </is>
      </c>
      <c r="F4937" s="3" t="inlineStr">
        <is>
          <t>특별관계자</t>
        </is>
      </c>
      <c r="G4937" s="3" t="inlineStr">
        <is>
          <t>장내매도(-)</t>
        </is>
      </c>
      <c r="H4937" s="17" t="n">
        <v>-10000</v>
      </c>
      <c r="I4937" s="6" t="n">
        <v>78000</v>
      </c>
      <c r="J4937" s="6" t="n">
        <v>22800</v>
      </c>
      <c r="K4937" s="16" t="n">
        <v>22</v>
      </c>
      <c r="L4937" s="2" t="inlineStr">
        <is>
          <t>20260625000260</t>
        </is>
      </c>
      <c r="M4937" s="8">
        <f>HYPERLINK("https://dart.fss.or.kr/dsaf001/main.do?rcpNo=20260625000260", "공시열람")</f>
        <v/>
      </c>
    </row>
    <row r="4938" ht="22" customHeight="1">
      <c r="A4938" s="2" t="inlineStr">
        <is>
          <t>2026-06-25</t>
        </is>
      </c>
      <c r="B4938" s="3" t="inlineStr">
        <is>
          <t>에코프로머티</t>
        </is>
      </c>
      <c r="C4938" s="2" t="inlineStr">
        <is>
          <t>450080</t>
        </is>
      </c>
      <c r="D4938" s="2" t="inlineStr">
        <is>
          <t>대량보유</t>
        </is>
      </c>
      <c r="E4938" s="3" t="inlineStr">
        <is>
          <t>김수연</t>
        </is>
      </c>
      <c r="F4938" s="3" t="inlineStr">
        <is>
          <t>특별관계자</t>
        </is>
      </c>
      <c r="G4938" s="3" t="inlineStr">
        <is>
          <t>주식매수선택권행사(-), 주식매수선택권행사(+)</t>
        </is>
      </c>
      <c r="H4938" s="6" t="inlineStr"/>
      <c r="I4938" s="6" t="n">
        <v>2691</v>
      </c>
      <c r="J4938" s="6" t="n">
        <v>205800</v>
      </c>
      <c r="K4938" s="16" t="n">
        <v>22</v>
      </c>
      <c r="L4938" s="2" t="inlineStr">
        <is>
          <t>20260625000260</t>
        </is>
      </c>
      <c r="M4938" s="8">
        <f>HYPERLINK("https://dart.fss.or.kr/dsaf001/main.do?rcpNo=20260625000260", "공시열람")</f>
        <v/>
      </c>
    </row>
    <row r="4939" ht="22" customHeight="1">
      <c r="A4939" s="2" t="inlineStr">
        <is>
          <t>2026-06-25</t>
        </is>
      </c>
      <c r="B4939" s="3" t="inlineStr">
        <is>
          <t>에코프로머티</t>
        </is>
      </c>
      <c r="C4939" s="2" t="inlineStr">
        <is>
          <t>450080</t>
        </is>
      </c>
      <c r="D4939" s="2" t="inlineStr">
        <is>
          <t>대량보유</t>
        </is>
      </c>
      <c r="E4939" s="3" t="inlineStr">
        <is>
          <t>이성준</t>
        </is>
      </c>
      <c r="F4939" s="3" t="inlineStr">
        <is>
          <t>특별관계자</t>
        </is>
      </c>
      <c r="G4939" s="3" t="inlineStr">
        <is>
          <t>주식매수선택권행사(-), 주식매수선택권행사(+)</t>
        </is>
      </c>
      <c r="H4939" s="6" t="inlineStr"/>
      <c r="I4939" s="6" t="n">
        <v>2691</v>
      </c>
      <c r="J4939" s="6" t="n">
        <v>39589</v>
      </c>
      <c r="K4939" s="16" t="n">
        <v>22</v>
      </c>
      <c r="L4939" s="2" t="inlineStr">
        <is>
          <t>20260625000260</t>
        </is>
      </c>
      <c r="M4939" s="8">
        <f>HYPERLINK("https://dart.fss.or.kr/dsaf001/main.do?rcpNo=20260625000260", "공시열람")</f>
        <v/>
      </c>
    </row>
    <row r="4940" ht="22" customHeight="1">
      <c r="A4940" s="2" t="inlineStr">
        <is>
          <t>2026-06-25</t>
        </is>
      </c>
      <c r="B4940" s="3" t="inlineStr">
        <is>
          <t>에코프로머티</t>
        </is>
      </c>
      <c r="C4940" s="2" t="inlineStr">
        <is>
          <t>450080</t>
        </is>
      </c>
      <c r="D4940" s="2" t="inlineStr">
        <is>
          <t>대량보유</t>
        </is>
      </c>
      <c r="E4940" s="3" t="inlineStr">
        <is>
          <t>김윤태</t>
        </is>
      </c>
      <c r="F4940" s="3" t="inlineStr">
        <is>
          <t>특별관계자</t>
        </is>
      </c>
      <c r="G4940" s="3" t="inlineStr">
        <is>
          <t>장내매도(-)</t>
        </is>
      </c>
      <c r="H4940" s="17" t="n">
        <v>-4500</v>
      </c>
      <c r="I4940" s="6" t="n">
        <v>52239</v>
      </c>
      <c r="J4940" s="6" t="n">
        <v>29800</v>
      </c>
      <c r="K4940" s="16" t="n">
        <v>22</v>
      </c>
      <c r="L4940" s="2" t="inlineStr">
        <is>
          <t>20260625000260</t>
        </is>
      </c>
      <c r="M4940" s="8">
        <f>HYPERLINK("https://dart.fss.or.kr/dsaf001/main.do?rcpNo=20260625000260", "공시열람")</f>
        <v/>
      </c>
    </row>
    <row r="4941" ht="22" customHeight="1">
      <c r="A4941" s="2" t="inlineStr">
        <is>
          <t>2026-06-25</t>
        </is>
      </c>
      <c r="B4941" s="3" t="inlineStr">
        <is>
          <t>FSN</t>
        </is>
      </c>
      <c r="C4941" s="2" t="inlineStr">
        <is>
          <t>214270</t>
        </is>
      </c>
      <c r="D4941" s="2" t="inlineStr">
        <is>
          <t>대량보유</t>
        </is>
      </c>
      <c r="E4941" s="3" t="inlineStr">
        <is>
          <t>김정률</t>
        </is>
      </c>
      <c r="F4941" s="3" t="inlineStr">
        <is>
          <t>특별관계자</t>
        </is>
      </c>
      <c r="G4941" s="3" t="inlineStr">
        <is>
          <t>신규등록(+), 장내매수(+)</t>
        </is>
      </c>
      <c r="H4941" s="15" t="n">
        <v>2531453</v>
      </c>
      <c r="I4941" s="6" t="n">
        <v>1390</v>
      </c>
      <c r="J4941" s="6" t="n">
        <v>2531453</v>
      </c>
      <c r="K4941" s="16" t="n">
        <v>5.59</v>
      </c>
      <c r="L4941" s="2" t="inlineStr">
        <is>
          <t>20260625000243</t>
        </is>
      </c>
      <c r="M4941" s="8">
        <f>HYPERLINK("https://dart.fss.or.kr/dsaf001/main.do?rcpNo=20260625000243", "공시열람")</f>
        <v/>
      </c>
    </row>
    <row r="4942" ht="22" customHeight="1">
      <c r="A4942" s="2" t="inlineStr">
        <is>
          <t>2026-06-25</t>
        </is>
      </c>
      <c r="B4942" s="3" t="inlineStr">
        <is>
          <t>심텍</t>
        </is>
      </c>
      <c r="C4942" s="2" t="inlineStr">
        <is>
          <t>222800</t>
        </is>
      </c>
      <c r="D4942" s="2" t="inlineStr">
        <is>
          <t>대량보유</t>
        </is>
      </c>
      <c r="E4942" s="3" t="inlineStr">
        <is>
          <t>케이비메자닌캐피탈제4호사모투자합자회사</t>
        </is>
      </c>
      <c r="F4942" s="3" t="inlineStr">
        <is>
          <t>특별관계자</t>
        </is>
      </c>
      <c r="G4942" s="3" t="inlineStr">
        <is>
          <t>전환등(-)</t>
        </is>
      </c>
      <c r="H4942" s="17" t="n">
        <v>-765448</v>
      </c>
      <c r="I4942" s="6" t="inlineStr"/>
      <c r="J4942" s="6" t="n">
        <v>1554091</v>
      </c>
      <c r="K4942" s="16" t="n">
        <v>4</v>
      </c>
      <c r="L4942" s="2" t="inlineStr">
        <is>
          <t>20260625000229</t>
        </is>
      </c>
      <c r="M4942" s="8">
        <f>HYPERLINK("https://dart.fss.or.kr/dsaf001/main.do?rcpNo=20260625000229", "공시열람")</f>
        <v/>
      </c>
    </row>
    <row r="4943" ht="22" customHeight="1">
      <c r="A4943" s="2" t="inlineStr">
        <is>
          <t>2026-06-25</t>
        </is>
      </c>
      <c r="B4943" s="3" t="inlineStr">
        <is>
          <t>플루토스</t>
        </is>
      </c>
      <c r="C4943" s="2" t="inlineStr">
        <is>
          <t>019570</t>
        </is>
      </c>
      <c r="D4943" s="2" t="inlineStr">
        <is>
          <t>대량보유</t>
        </is>
      </c>
      <c r="E4943" s="3" t="inlineStr">
        <is>
          <t>(주)아이오케이이엔엠</t>
        </is>
      </c>
      <c r="F4943" s="3" t="inlineStr">
        <is>
          <t>특별관계자</t>
        </is>
      </c>
      <c r="G4943" s="3" t="inlineStr">
        <is>
          <t>제 25회 전환사채 인수에 따른 변동</t>
        </is>
      </c>
      <c r="H4943" s="15" t="n">
        <v>6000000</v>
      </c>
      <c r="I4943" s="6" t="n">
        <v>500</v>
      </c>
      <c r="J4943" s="6" t="n">
        <v>6000000</v>
      </c>
      <c r="K4943" s="16" t="n">
        <v>5.91</v>
      </c>
      <c r="L4943" s="2" t="inlineStr">
        <is>
          <t>20260625000222</t>
        </is>
      </c>
      <c r="M4943" s="8">
        <f>HYPERLINK("https://dart.fss.or.kr/dsaf001/main.do?rcpNo=20260625000222", "공시열람")</f>
        <v/>
      </c>
    </row>
    <row r="4944" ht="22" customHeight="1">
      <c r="A4944" s="2" t="inlineStr">
        <is>
          <t>2026-06-25</t>
        </is>
      </c>
      <c r="B4944" s="3" t="inlineStr">
        <is>
          <t>비투엔</t>
        </is>
      </c>
      <c r="C4944" s="2" t="inlineStr">
        <is>
          <t>307870</t>
        </is>
      </c>
      <c r="D4944" s="2" t="inlineStr">
        <is>
          <t>대량보유</t>
        </is>
      </c>
      <c r="E4944" s="3" t="inlineStr">
        <is>
          <t>-</t>
        </is>
      </c>
      <c r="F4944" s="3" t="inlineStr">
        <is>
          <t>보고자</t>
        </is>
      </c>
      <c r="G4944" s="3" t="inlineStr">
        <is>
          <t>보고자 및 특별관계자의 주식 양수도계약 변경합의서 체결</t>
        </is>
      </c>
      <c r="H4944" s="6" t="inlineStr"/>
      <c r="I4944" s="6" t="inlineStr"/>
      <c r="J4944" s="6" t="n">
        <v>15800854</v>
      </c>
      <c r="K4944" s="16" t="n">
        <v>1</v>
      </c>
      <c r="L4944" s="2" t="inlineStr">
        <is>
          <t>20260625000175</t>
        </is>
      </c>
      <c r="M4944" s="8">
        <f>HYPERLINK("https://dart.fss.or.kr/dsaf001/main.do?rcpNo=20260625000175", "공시열람")</f>
        <v/>
      </c>
    </row>
    <row r="4945" ht="22" customHeight="1">
      <c r="A4945" s="2" t="inlineStr">
        <is>
          <t>2026-06-25</t>
        </is>
      </c>
      <c r="B4945" s="3" t="inlineStr">
        <is>
          <t>한국카본</t>
        </is>
      </c>
      <c r="C4945" s="2" t="inlineStr">
        <is>
          <t>017960</t>
        </is>
      </c>
      <c r="D4945" s="2" t="inlineStr">
        <is>
          <t>대량보유</t>
        </is>
      </c>
      <c r="E4945" s="3" t="inlineStr">
        <is>
          <t>조경은</t>
        </is>
      </c>
      <c r="F4945" s="3" t="inlineStr">
        <is>
          <t>특별관계자</t>
        </is>
      </c>
      <c r="G4945" s="3" t="inlineStr">
        <is>
          <t>특수관계인의 주식담보대출 계약 연장</t>
        </is>
      </c>
      <c r="H4945" s="6" t="inlineStr"/>
      <c r="I4945" s="6" t="inlineStr"/>
      <c r="J4945" s="6" t="inlineStr"/>
      <c r="K4945" s="16" t="n">
        <v>5</v>
      </c>
      <c r="L4945" s="2" t="inlineStr">
        <is>
          <t>20260625000174</t>
        </is>
      </c>
      <c r="M4945" s="8">
        <f>HYPERLINK("https://dart.fss.or.kr/dsaf001/main.do?rcpNo=20260625000174", "공시열람")</f>
        <v/>
      </c>
    </row>
    <row r="4946" ht="22" customHeight="1">
      <c r="A4946" s="2" t="inlineStr">
        <is>
          <t>2026-06-25</t>
        </is>
      </c>
      <c r="B4946" s="3" t="inlineStr">
        <is>
          <t>한국카본</t>
        </is>
      </c>
      <c r="C4946" s="2" t="inlineStr">
        <is>
          <t>017960</t>
        </is>
      </c>
      <c r="D4946" s="2" t="inlineStr">
        <is>
          <t>대량보유</t>
        </is>
      </c>
      <c r="E4946" s="3" t="inlineStr">
        <is>
          <t>조윤서</t>
        </is>
      </c>
      <c r="F4946" s="3" t="inlineStr">
        <is>
          <t>특별관계자</t>
        </is>
      </c>
      <c r="G4946" s="3" t="inlineStr">
        <is>
          <t>특수관계인의 주식담보대출 계약 연장</t>
        </is>
      </c>
      <c r="H4946" s="6" t="inlineStr"/>
      <c r="I4946" s="6" t="inlineStr"/>
      <c r="J4946" s="6" t="inlineStr"/>
      <c r="K4946" s="16" t="n">
        <v>5</v>
      </c>
      <c r="L4946" s="2" t="inlineStr">
        <is>
          <t>20260625000174</t>
        </is>
      </c>
      <c r="M4946" s="8">
        <f>HYPERLINK("https://dart.fss.or.kr/dsaf001/main.do?rcpNo=20260625000174", "공시열람")</f>
        <v/>
      </c>
    </row>
    <row r="4947" ht="22" customHeight="1">
      <c r="A4947" s="2" t="inlineStr">
        <is>
          <t>2026-06-25</t>
        </is>
      </c>
      <c r="B4947" s="3" t="inlineStr">
        <is>
          <t>씨앤투스</t>
        </is>
      </c>
      <c r="C4947" s="2" t="inlineStr">
        <is>
          <t>352700</t>
        </is>
      </c>
      <c r="D4947" s="2" t="inlineStr">
        <is>
          <t>대량보유</t>
        </is>
      </c>
      <c r="E4947" s="3" t="inlineStr">
        <is>
          <t>하춘욱</t>
        </is>
      </c>
      <c r="F4947" s="3" t="inlineStr">
        <is>
          <t>특별관계자</t>
        </is>
      </c>
      <c r="G4947" s="3" t="inlineStr">
        <is>
          <t>장내매수(+)</t>
        </is>
      </c>
      <c r="H4947" s="15" t="n">
        <v>33075</v>
      </c>
      <c r="I4947" s="6" t="n">
        <v>1563</v>
      </c>
      <c r="J4947" s="6" t="n">
        <v>11077987</v>
      </c>
      <c r="K4947" s="16" t="n">
        <v>8</v>
      </c>
      <c r="L4947" s="2" t="inlineStr">
        <is>
          <t>20260625000167</t>
        </is>
      </c>
      <c r="M4947" s="8">
        <f>HYPERLINK("https://dart.fss.or.kr/dsaf001/main.do?rcpNo=20260625000167", "공시열람")</f>
        <v/>
      </c>
    </row>
    <row r="4948" ht="22" customHeight="1">
      <c r="A4948" s="2" t="inlineStr">
        <is>
          <t>2026-06-25</t>
        </is>
      </c>
      <c r="B4948" s="3" t="inlineStr">
        <is>
          <t>코스맥스</t>
        </is>
      </c>
      <c r="C4948" s="2" t="inlineStr">
        <is>
          <t>192820</t>
        </is>
      </c>
      <c r="D4948" s="2" t="inlineStr">
        <is>
          <t>대량보유</t>
        </is>
      </c>
      <c r="E4948" s="3" t="inlineStr">
        <is>
          <t>NorgesBank</t>
        </is>
      </c>
      <c r="F4948" s="3" t="inlineStr">
        <is>
          <t>특별관계자</t>
        </is>
      </c>
      <c r="G4948" s="3" t="inlineStr">
        <is>
          <t>장내매수(+), 장내매도(-)</t>
        </is>
      </c>
      <c r="H4948" s="15" t="n">
        <v>120977</v>
      </c>
      <c r="I4948" s="6" t="n">
        <v>182165</v>
      </c>
      <c r="J4948" s="6" t="n">
        <v>689547</v>
      </c>
      <c r="K4948" s="16" t="n">
        <v>1</v>
      </c>
      <c r="L4948" s="2" t="inlineStr">
        <is>
          <t>20260625000096</t>
        </is>
      </c>
      <c r="M4948" s="8">
        <f>HYPERLINK("https://dart.fss.or.kr/dsaf001/main.do?rcpNo=20260625000096", "공시열람")</f>
        <v/>
      </c>
    </row>
    <row r="4949" ht="22" customHeight="1">
      <c r="A4949" s="2" t="inlineStr">
        <is>
          <t>2026-06-25</t>
        </is>
      </c>
      <c r="B4949" s="3" t="inlineStr">
        <is>
          <t>팬오션</t>
        </is>
      </c>
      <c r="C4949" s="2" t="inlineStr">
        <is>
          <t>028670</t>
        </is>
      </c>
      <c r="D4949" s="2" t="inlineStr">
        <is>
          <t>임원보고</t>
        </is>
      </c>
      <c r="E4949" s="3" t="inlineStr">
        <is>
          <t>-</t>
        </is>
      </c>
      <c r="F4949" s="3" t="inlineStr">
        <is>
          <t>-</t>
        </is>
      </c>
      <c r="G4949" s="3" t="inlineStr">
        <is>
          <t>-</t>
        </is>
      </c>
      <c r="H4949" s="6" t="inlineStr"/>
      <c r="I4949" s="6" t="inlineStr"/>
      <c r="J4949" s="6" t="inlineStr"/>
      <c r="K4949" s="16" t="n">
        <v>12</v>
      </c>
      <c r="L4949" s="2" t="inlineStr">
        <is>
          <t>20260625800144</t>
        </is>
      </c>
      <c r="M4949" s="8">
        <f>HYPERLINK("https://dart.fss.or.kr/dsaf001/main.do?rcpNo=20260625800144", "공시열람")</f>
        <v/>
      </c>
    </row>
    <row r="4950" ht="22" customHeight="1">
      <c r="A4950" s="2" t="inlineStr">
        <is>
          <t>2026-06-25</t>
        </is>
      </c>
      <c r="B4950" s="3" t="inlineStr">
        <is>
          <t>대원전선</t>
        </is>
      </c>
      <c r="C4950" s="2" t="inlineStr">
        <is>
          <t>006340</t>
        </is>
      </c>
      <c r="D4950" s="2" t="inlineStr">
        <is>
          <t>임원보고</t>
        </is>
      </c>
      <c r="E4950" s="3" t="inlineStr">
        <is>
          <t>-</t>
        </is>
      </c>
      <c r="F4950" s="3" t="inlineStr">
        <is>
          <t>-</t>
        </is>
      </c>
      <c r="G4950" s="3" t="inlineStr">
        <is>
          <t>-</t>
        </is>
      </c>
      <c r="H4950" s="6" t="inlineStr"/>
      <c r="I4950" s="6" t="inlineStr"/>
      <c r="J4950" s="6" t="inlineStr"/>
      <c r="K4950" s="16" t="n">
        <v>12</v>
      </c>
      <c r="L4950" s="2" t="inlineStr">
        <is>
          <t>20260625800131</t>
        </is>
      </c>
      <c r="M4950" s="8">
        <f>HYPERLINK("https://dart.fss.or.kr/dsaf001/main.do?rcpNo=20260625800131", "공시열람")</f>
        <v/>
      </c>
    </row>
    <row r="4951" ht="22" customHeight="1">
      <c r="A4951" s="2" t="inlineStr">
        <is>
          <t>2026-06-25</t>
        </is>
      </c>
      <c r="B4951" s="3" t="inlineStr">
        <is>
          <t>로젠</t>
        </is>
      </c>
      <c r="C4951" s="2" t="inlineStr">
        <is>
          <t>033290</t>
        </is>
      </c>
      <c r="D4951" s="2" t="inlineStr">
        <is>
          <t>대량보유</t>
        </is>
      </c>
      <c r="E4951" s="3" t="inlineStr">
        <is>
          <t>(주)대명화학</t>
        </is>
      </c>
      <c r="F4951" s="3" t="inlineStr">
        <is>
          <t>보고자</t>
        </is>
      </c>
      <c r="G4951" s="3" t="inlineStr">
        <is>
          <t>주식담보계약 등의 주요계약 일부변경(만기연장,일부상환)</t>
        </is>
      </c>
      <c r="H4951" s="6" t="inlineStr"/>
      <c r="I4951" s="6" t="inlineStr"/>
      <c r="J4951" s="6" t="n">
        <v>38047192</v>
      </c>
      <c r="K4951" s="16" t="n">
        <v>3</v>
      </c>
      <c r="L4951" s="2" t="inlineStr">
        <is>
          <t>20260625000023</t>
        </is>
      </c>
      <c r="M4951" s="8">
        <f>HYPERLINK("https://dart.fss.or.kr/dsaf001/main.do?rcpNo=20260625000023", "공시열람")</f>
        <v/>
      </c>
    </row>
    <row r="4952" ht="22" customHeight="1">
      <c r="A4952" s="2" t="inlineStr">
        <is>
          <t>2026-06-26</t>
        </is>
      </c>
      <c r="B4952" s="3" t="inlineStr">
        <is>
          <t>폰드그룹</t>
        </is>
      </c>
      <c r="C4952" s="2" t="inlineStr">
        <is>
          <t>472850</t>
        </is>
      </c>
      <c r="D4952" s="2" t="inlineStr">
        <is>
          <t>대량보유</t>
        </is>
      </c>
      <c r="E4952" s="3" t="inlineStr">
        <is>
          <t>㈜대명화학</t>
        </is>
      </c>
      <c r="F4952" s="3" t="inlineStr">
        <is>
          <t>보고자</t>
        </is>
      </c>
      <c r="G4952" s="3" t="inlineStr">
        <is>
          <t>- 주식담보계약 등의 주요계약 일부변경</t>
        </is>
      </c>
      <c r="H4952" s="6" t="inlineStr"/>
      <c r="I4952" s="6" t="inlineStr"/>
      <c r="J4952" s="6" t="n">
        <v>44363256</v>
      </c>
      <c r="K4952" s="16" t="n">
        <v>3</v>
      </c>
      <c r="L4952" s="2" t="inlineStr">
        <is>
          <t>20260626000767</t>
        </is>
      </c>
      <c r="M4952" s="8">
        <f>HYPERLINK("https://dart.fss.or.kr/dsaf001/main.do?rcpNo=20260626000767", "공시열람")</f>
        <v/>
      </c>
    </row>
    <row r="4953" ht="22" customHeight="1">
      <c r="A4953" s="2" t="inlineStr">
        <is>
          <t>2026-06-26</t>
        </is>
      </c>
      <c r="B4953" s="3" t="inlineStr">
        <is>
          <t>싸이토젠</t>
        </is>
      </c>
      <c r="C4953" s="2" t="inlineStr">
        <is>
          <t>217330</t>
        </is>
      </c>
      <c r="D4953" s="2" t="inlineStr">
        <is>
          <t>대량보유</t>
        </is>
      </c>
      <c r="E4953" s="3" t="inlineStr">
        <is>
          <t>전병희</t>
        </is>
      </c>
      <c r="F4953" s="3" t="inlineStr">
        <is>
          <t>특별관계자</t>
        </is>
      </c>
      <c r="G4953" s="3" t="inlineStr">
        <is>
          <t>증여(-)</t>
        </is>
      </c>
      <c r="H4953" s="17" t="n">
        <v>-750000</v>
      </c>
      <c r="I4953" s="6" t="n">
        <v>3535</v>
      </c>
      <c r="J4953" s="6" t="n">
        <v>1295271</v>
      </c>
      <c r="K4953" s="16" t="n">
        <v>6</v>
      </c>
      <c r="L4953" s="2" t="inlineStr">
        <is>
          <t>20260626000763</t>
        </is>
      </c>
      <c r="M4953" s="8">
        <f>HYPERLINK("https://dart.fss.or.kr/dsaf001/main.do?rcpNo=20260626000763", "공시열람")</f>
        <v/>
      </c>
    </row>
    <row r="4954" ht="22" customHeight="1">
      <c r="A4954" s="2" t="inlineStr">
        <is>
          <t>2026-06-26</t>
        </is>
      </c>
      <c r="B4954" s="3" t="inlineStr">
        <is>
          <t>하림지주</t>
        </is>
      </c>
      <c r="C4954" s="2" t="inlineStr">
        <is>
          <t>003380</t>
        </is>
      </c>
      <c r="D4954" s="2" t="inlineStr">
        <is>
          <t>대량보유</t>
        </is>
      </c>
      <c r="E4954" s="3" t="inlineStr">
        <is>
          <t>권지은</t>
        </is>
      </c>
      <c r="F4954" s="3" t="inlineStr">
        <is>
          <t>특별관계자</t>
        </is>
      </c>
      <c r="G4954" s="3" t="inlineStr">
        <is>
          <t>장내매수(+)</t>
        </is>
      </c>
      <c r="H4954" s="15" t="n">
        <v>1000</v>
      </c>
      <c r="I4954" s="6" t="n">
        <v>9650</v>
      </c>
      <c r="J4954" s="6" t="n">
        <v>6000</v>
      </c>
      <c r="K4954" s="16" t="n">
        <v>21</v>
      </c>
      <c r="L4954" s="2" t="inlineStr">
        <is>
          <t>20260626000754</t>
        </is>
      </c>
      <c r="M4954" s="8">
        <f>HYPERLINK("https://dart.fss.or.kr/dsaf001/main.do?rcpNo=20260626000754", "공시열람")</f>
        <v/>
      </c>
    </row>
    <row r="4955" ht="22" customHeight="1">
      <c r="A4955" s="2" t="inlineStr">
        <is>
          <t>2026-06-26</t>
        </is>
      </c>
      <c r="B4955" s="3" t="inlineStr">
        <is>
          <t>싸이토젠</t>
        </is>
      </c>
      <c r="C4955" s="2" t="inlineStr">
        <is>
          <t>217330</t>
        </is>
      </c>
      <c r="D4955" s="2" t="inlineStr">
        <is>
          <t>대량보유</t>
        </is>
      </c>
      <c r="E4955" s="3" t="inlineStr">
        <is>
          <t>전병희</t>
        </is>
      </c>
      <c r="F4955" s="3" t="inlineStr">
        <is>
          <t>특별관계자</t>
        </is>
      </c>
      <c r="G4955" s="3" t="inlineStr">
        <is>
          <t>증여(-)</t>
        </is>
      </c>
      <c r="H4955" s="17" t="n">
        <v>-750000</v>
      </c>
      <c r="I4955" s="6" t="n">
        <v>3535</v>
      </c>
      <c r="J4955" s="6" t="n">
        <v>1295271</v>
      </c>
      <c r="K4955" s="16" t="n">
        <v>4</v>
      </c>
      <c r="L4955" s="2" t="inlineStr">
        <is>
          <t>20260626000735</t>
        </is>
      </c>
      <c r="M4955" s="8">
        <f>HYPERLINK("https://dart.fss.or.kr/dsaf001/main.do?rcpNo=20260626000735", "공시열람")</f>
        <v/>
      </c>
    </row>
    <row r="4956" ht="22" customHeight="1">
      <c r="A4956" s="2" t="inlineStr">
        <is>
          <t>2026-06-26</t>
        </is>
      </c>
      <c r="B4956" s="3" t="inlineStr">
        <is>
          <t>싸이토젠</t>
        </is>
      </c>
      <c r="C4956" s="2" t="inlineStr">
        <is>
          <t>217330</t>
        </is>
      </c>
      <c r="D4956" s="2" t="inlineStr">
        <is>
          <t>대량보유</t>
        </is>
      </c>
      <c r="E4956" s="3" t="inlineStr">
        <is>
          <t>최미숙</t>
        </is>
      </c>
      <c r="F4956" s="3" t="inlineStr">
        <is>
          <t>특별관계자</t>
        </is>
      </c>
      <c r="G4956" s="3" t="inlineStr">
        <is>
          <t>수증(+)</t>
        </is>
      </c>
      <c r="H4956" s="15" t="n">
        <v>250000</v>
      </c>
      <c r="I4956" s="6" t="n">
        <v>3535</v>
      </c>
      <c r="J4956" s="6" t="n">
        <v>250000</v>
      </c>
      <c r="K4956" s="16" t="n">
        <v>4</v>
      </c>
      <c r="L4956" s="2" t="inlineStr">
        <is>
          <t>20260626000735</t>
        </is>
      </c>
      <c r="M4956" s="8">
        <f>HYPERLINK("https://dart.fss.or.kr/dsaf001/main.do?rcpNo=20260626000735", "공시열람")</f>
        <v/>
      </c>
    </row>
    <row r="4957" ht="22" customHeight="1">
      <c r="A4957" s="2" t="inlineStr">
        <is>
          <t>2026-06-26</t>
        </is>
      </c>
      <c r="B4957" s="3" t="inlineStr">
        <is>
          <t>싸이토젠</t>
        </is>
      </c>
      <c r="C4957" s="2" t="inlineStr">
        <is>
          <t>217330</t>
        </is>
      </c>
      <c r="D4957" s="2" t="inlineStr">
        <is>
          <t>대량보유</t>
        </is>
      </c>
      <c r="E4957" s="3" t="inlineStr">
        <is>
          <t>전인혜</t>
        </is>
      </c>
      <c r="F4957" s="3" t="inlineStr">
        <is>
          <t>특별관계자</t>
        </is>
      </c>
      <c r="G4957" s="3" t="inlineStr">
        <is>
          <t>수증(+)</t>
        </is>
      </c>
      <c r="H4957" s="15" t="n">
        <v>250000</v>
      </c>
      <c r="I4957" s="6" t="n">
        <v>3535</v>
      </c>
      <c r="J4957" s="6" t="n">
        <v>250000</v>
      </c>
      <c r="K4957" s="16" t="n">
        <v>4</v>
      </c>
      <c r="L4957" s="2" t="inlineStr">
        <is>
          <t>20260626000735</t>
        </is>
      </c>
      <c r="M4957" s="8">
        <f>HYPERLINK("https://dart.fss.or.kr/dsaf001/main.do?rcpNo=20260626000735", "공시열람")</f>
        <v/>
      </c>
    </row>
    <row r="4958" ht="22" customHeight="1">
      <c r="A4958" s="2" t="inlineStr">
        <is>
          <t>2026-06-26</t>
        </is>
      </c>
      <c r="B4958" s="3" t="inlineStr">
        <is>
          <t>싸이토젠</t>
        </is>
      </c>
      <c r="C4958" s="2" t="inlineStr">
        <is>
          <t>217330</t>
        </is>
      </c>
      <c r="D4958" s="2" t="inlineStr">
        <is>
          <t>대량보유</t>
        </is>
      </c>
      <c r="E4958" s="3" t="inlineStr">
        <is>
          <t>전태준</t>
        </is>
      </c>
      <c r="F4958" s="3" t="inlineStr">
        <is>
          <t>특별관계자</t>
        </is>
      </c>
      <c r="G4958" s="3" t="inlineStr">
        <is>
          <t>수증(+)</t>
        </is>
      </c>
      <c r="H4958" s="15" t="n">
        <v>250000</v>
      </c>
      <c r="I4958" s="6" t="n">
        <v>3535</v>
      </c>
      <c r="J4958" s="6" t="n">
        <v>250000</v>
      </c>
      <c r="K4958" s="16" t="n">
        <v>4</v>
      </c>
      <c r="L4958" s="2" t="inlineStr">
        <is>
          <t>20260626000735</t>
        </is>
      </c>
      <c r="M4958" s="8">
        <f>HYPERLINK("https://dart.fss.or.kr/dsaf001/main.do?rcpNo=20260626000735", "공시열람")</f>
        <v/>
      </c>
    </row>
    <row r="4959" ht="22" customHeight="1">
      <c r="A4959" s="2" t="inlineStr">
        <is>
          <t>2026-06-26</t>
        </is>
      </c>
      <c r="B4959" s="3" t="inlineStr">
        <is>
          <t>싸이토젠</t>
        </is>
      </c>
      <c r="C4959" s="2" t="inlineStr">
        <is>
          <t>217330</t>
        </is>
      </c>
      <c r="D4959" s="2" t="inlineStr">
        <is>
          <t>대량보유</t>
        </is>
      </c>
      <c r="E4959" s="3" t="inlineStr">
        <is>
          <t>캔디엑스홀딩스유한회사</t>
        </is>
      </c>
      <c r="F4959" s="3" t="inlineStr">
        <is>
          <t>특별관계자</t>
        </is>
      </c>
      <c r="G4959" s="3" t="inlineStr">
        <is>
          <t>특별관계해소(-)</t>
        </is>
      </c>
      <c r="H4959" s="17" t="n">
        <v>-8811573</v>
      </c>
      <c r="I4959" s="6" t="inlineStr"/>
      <c r="J4959" s="6" t="n">
        <v>-1690847</v>
      </c>
      <c r="K4959" s="16" t="n">
        <v>4</v>
      </c>
      <c r="L4959" s="2" t="inlineStr">
        <is>
          <t>20260626000735</t>
        </is>
      </c>
      <c r="M4959" s="8">
        <f>HYPERLINK("https://dart.fss.or.kr/dsaf001/main.do?rcpNo=20260626000735", "공시열람")</f>
        <v/>
      </c>
    </row>
    <row r="4960" ht="22" customHeight="1">
      <c r="A4960" s="2" t="inlineStr">
        <is>
          <t>2026-06-26</t>
        </is>
      </c>
      <c r="B4960" s="3" t="inlineStr">
        <is>
          <t>싸이토젠</t>
        </is>
      </c>
      <c r="C4960" s="2" t="inlineStr">
        <is>
          <t>217330</t>
        </is>
      </c>
      <c r="D4960" s="2" t="inlineStr">
        <is>
          <t>대량보유</t>
        </is>
      </c>
      <c r="E4960" s="3" t="inlineStr">
        <is>
          <t>손영웅</t>
        </is>
      </c>
      <c r="F4960" s="3" t="inlineStr">
        <is>
          <t>특별관계자</t>
        </is>
      </c>
      <c r="G4960" s="3" t="inlineStr">
        <is>
          <t>특별관계해소(-)</t>
        </is>
      </c>
      <c r="H4960" s="17" t="n">
        <v>-32000</v>
      </c>
      <c r="I4960" s="6" t="inlineStr"/>
      <c r="J4960" s="6" t="n">
        <v>-32000</v>
      </c>
      <c r="K4960" s="16" t="n">
        <v>4</v>
      </c>
      <c r="L4960" s="2" t="inlineStr">
        <is>
          <t>20260626000735</t>
        </is>
      </c>
      <c r="M4960" s="8">
        <f>HYPERLINK("https://dart.fss.or.kr/dsaf001/main.do?rcpNo=20260626000735", "공시열람")</f>
        <v/>
      </c>
    </row>
    <row r="4961" ht="22" customHeight="1">
      <c r="A4961" s="2" t="inlineStr">
        <is>
          <t>2026-06-26</t>
        </is>
      </c>
      <c r="B4961" s="3" t="inlineStr">
        <is>
          <t>싸이토젠</t>
        </is>
      </c>
      <c r="C4961" s="2" t="inlineStr">
        <is>
          <t>217330</t>
        </is>
      </c>
      <c r="D4961" s="2" t="inlineStr">
        <is>
          <t>대량보유</t>
        </is>
      </c>
      <c r="E4961" s="3" t="inlineStr">
        <is>
          <t>정윤영</t>
        </is>
      </c>
      <c r="F4961" s="3" t="inlineStr">
        <is>
          <t>특별관계자</t>
        </is>
      </c>
      <c r="G4961" s="3" t="inlineStr">
        <is>
          <t>특별관계해소(-)</t>
        </is>
      </c>
      <c r="H4961" s="17" t="n">
        <v>-2016</v>
      </c>
      <c r="I4961" s="6" t="inlineStr"/>
      <c r="J4961" s="6" t="n">
        <v>-2016</v>
      </c>
      <c r="K4961" s="16" t="n">
        <v>4</v>
      </c>
      <c r="L4961" s="2" t="inlineStr">
        <is>
          <t>20260626000735</t>
        </is>
      </c>
      <c r="M4961" s="8">
        <f>HYPERLINK("https://dart.fss.or.kr/dsaf001/main.do?rcpNo=20260626000735", "공시열람")</f>
        <v/>
      </c>
    </row>
    <row r="4962" ht="22" customHeight="1">
      <c r="A4962" s="2" t="inlineStr">
        <is>
          <t>2026-06-26</t>
        </is>
      </c>
      <c r="B4962" s="3" t="inlineStr">
        <is>
          <t>종근당</t>
        </is>
      </c>
      <c r="C4962" s="2" t="inlineStr">
        <is>
          <t>185750</t>
        </is>
      </c>
      <c r="D4962" s="2" t="inlineStr">
        <is>
          <t>대량보유</t>
        </is>
      </c>
      <c r="E4962" s="3" t="inlineStr">
        <is>
          <t>KopernikGlobalInvestors,LLC</t>
        </is>
      </c>
      <c r="F4962" s="3" t="inlineStr">
        <is>
          <t>특별관계자</t>
        </is>
      </c>
      <c r="G4962" s="3" t="inlineStr">
        <is>
          <t>장내매수(+)</t>
        </is>
      </c>
      <c r="H4962" s="15" t="n">
        <v>161418</v>
      </c>
      <c r="I4962" s="6" t="n">
        <v>74123</v>
      </c>
      <c r="J4962" s="6" t="n">
        <v>1156820</v>
      </c>
      <c r="K4962" s="16" t="n">
        <v>8.380000000000001</v>
      </c>
      <c r="L4962" s="2" t="inlineStr">
        <is>
          <t>20260626000723</t>
        </is>
      </c>
      <c r="M4962" s="8">
        <f>HYPERLINK("https://dart.fss.or.kr/dsaf001/main.do?rcpNo=20260626000723", "공시열람")</f>
        <v/>
      </c>
    </row>
    <row r="4963" ht="22" customHeight="1">
      <c r="A4963" s="2" t="inlineStr">
        <is>
          <t>2026-06-26</t>
        </is>
      </c>
      <c r="B4963" s="3" t="inlineStr">
        <is>
          <t>더존비즈온</t>
        </is>
      </c>
      <c r="C4963" s="2" t="inlineStr">
        <is>
          <t>012510</t>
        </is>
      </c>
      <c r="D4963" s="2" t="inlineStr">
        <is>
          <t>임원보고</t>
        </is>
      </c>
      <c r="E4963" s="3" t="inlineStr">
        <is>
          <t>-</t>
        </is>
      </c>
      <c r="F4963" s="3" t="inlineStr">
        <is>
          <t>-</t>
        </is>
      </c>
      <c r="G4963" s="3" t="inlineStr">
        <is>
          <t>-</t>
        </is>
      </c>
      <c r="H4963" s="6" t="inlineStr"/>
      <c r="I4963" s="6" t="inlineStr"/>
      <c r="J4963" s="6" t="inlineStr"/>
      <c r="K4963" s="16" t="n">
        <v>12</v>
      </c>
      <c r="L4963" s="2" t="inlineStr">
        <is>
          <t>20260626801124</t>
        </is>
      </c>
      <c r="M4963" s="8">
        <f>HYPERLINK("https://dart.fss.or.kr/dsaf001/main.do?rcpNo=20260626801124", "공시열람")</f>
        <v/>
      </c>
    </row>
    <row r="4964" ht="22" customHeight="1">
      <c r="A4964" s="2" t="inlineStr">
        <is>
          <t>2026-06-26</t>
        </is>
      </c>
      <c r="B4964" s="3" t="inlineStr">
        <is>
          <t>SK디앤디</t>
        </is>
      </c>
      <c r="C4964" s="2" t="inlineStr">
        <is>
          <t>210980</t>
        </is>
      </c>
      <c r="D4964" s="2" t="inlineStr">
        <is>
          <t>대량보유</t>
        </is>
      </c>
      <c r="E4964" s="3" t="inlineStr">
        <is>
          <t>김도현</t>
        </is>
      </c>
      <c r="F4964" s="3" t="inlineStr">
        <is>
          <t>특별관계자</t>
        </is>
      </c>
      <c r="G4964" s="3" t="inlineStr">
        <is>
          <t>기타(-)</t>
        </is>
      </c>
      <c r="H4964" s="17" t="n">
        <v>-15392</v>
      </c>
      <c r="I4964" s="6" t="inlineStr"/>
      <c r="J4964" s="6" t="n">
        <v>125449</v>
      </c>
      <c r="K4964" s="16" t="n">
        <v>2</v>
      </c>
      <c r="L4964" s="2" t="inlineStr">
        <is>
          <t>20260626000714</t>
        </is>
      </c>
      <c r="M4964" s="8">
        <f>HYPERLINK("https://dart.fss.or.kr/dsaf001/main.do?rcpNo=20260626000714", "공시열람")</f>
        <v/>
      </c>
    </row>
    <row r="4965" ht="22" customHeight="1">
      <c r="A4965" s="2" t="inlineStr">
        <is>
          <t>2026-06-26</t>
        </is>
      </c>
      <c r="B4965" s="3" t="inlineStr">
        <is>
          <t>SK디앤디</t>
        </is>
      </c>
      <c r="C4965" s="2" t="inlineStr">
        <is>
          <t>210980</t>
        </is>
      </c>
      <c r="D4965" s="2" t="inlineStr">
        <is>
          <t>대량보유</t>
        </is>
      </c>
      <c r="E4965" s="3" t="inlineStr">
        <is>
          <t>안재현</t>
        </is>
      </c>
      <c r="F4965" s="3" t="inlineStr">
        <is>
          <t>특별관계자</t>
        </is>
      </c>
      <c r="G4965" s="3" t="inlineStr">
        <is>
          <t>기타(-)</t>
        </is>
      </c>
      <c r="H4965" s="17" t="n">
        <v>-30785</v>
      </c>
      <c r="I4965" s="6" t="inlineStr"/>
      <c r="J4965" s="6" t="inlineStr"/>
      <c r="K4965" s="16" t="n">
        <v>2</v>
      </c>
      <c r="L4965" s="2" t="inlineStr">
        <is>
          <t>20260626000714</t>
        </is>
      </c>
      <c r="M4965" s="8">
        <f>HYPERLINK("https://dart.fss.or.kr/dsaf001/main.do?rcpNo=20260626000714", "공시열람")</f>
        <v/>
      </c>
    </row>
    <row r="4966" ht="22" customHeight="1">
      <c r="A4966" s="2" t="inlineStr">
        <is>
          <t>2026-06-26</t>
        </is>
      </c>
      <c r="B4966" s="3" t="inlineStr">
        <is>
          <t>SK디앤디</t>
        </is>
      </c>
      <c r="C4966" s="2" t="inlineStr">
        <is>
          <t>210980</t>
        </is>
      </c>
      <c r="D4966" s="2" t="inlineStr">
        <is>
          <t>대량보유</t>
        </is>
      </c>
      <c r="E4966" s="3" t="inlineStr">
        <is>
          <t>한앤코개발홀딩스유한회사</t>
        </is>
      </c>
      <c r="F4966" s="3" t="inlineStr">
        <is>
          <t>특별관계자</t>
        </is>
      </c>
      <c r="G4966" s="3" t="inlineStr">
        <is>
          <t>기타(-)</t>
        </is>
      </c>
      <c r="H4966" s="17" t="n">
        <v>-8827669</v>
      </c>
      <c r="I4966" s="6" t="inlineStr"/>
      <c r="J4966" s="6" t="inlineStr"/>
      <c r="K4966" s="16" t="n">
        <v>2</v>
      </c>
      <c r="L4966" s="2" t="inlineStr">
        <is>
          <t>20260626000714</t>
        </is>
      </c>
      <c r="M4966" s="8">
        <f>HYPERLINK("https://dart.fss.or.kr/dsaf001/main.do?rcpNo=20260626000714", "공시열람")</f>
        <v/>
      </c>
    </row>
    <row r="4967" ht="22" customHeight="1">
      <c r="A4967" s="2" t="inlineStr">
        <is>
          <t>2026-06-26</t>
        </is>
      </c>
      <c r="B4967" s="3" t="inlineStr">
        <is>
          <t>SK디앤디</t>
        </is>
      </c>
      <c r="C4967" s="2" t="inlineStr">
        <is>
          <t>210980</t>
        </is>
      </c>
      <c r="D4967" s="2" t="inlineStr">
        <is>
          <t>대량보유</t>
        </is>
      </c>
      <c r="E4967" s="3" t="inlineStr">
        <is>
          <t>한앤컴퍼니제2의1호사모투자전문회사</t>
        </is>
      </c>
      <c r="F4967" s="3" t="inlineStr">
        <is>
          <t>특별관계자</t>
        </is>
      </c>
      <c r="G4967" s="3" t="inlineStr">
        <is>
          <t>기타(-)</t>
        </is>
      </c>
      <c r="H4967" s="6" t="inlineStr"/>
      <c r="I4967" s="6" t="inlineStr"/>
      <c r="J4967" s="6" t="inlineStr"/>
      <c r="K4967" s="16" t="n">
        <v>2</v>
      </c>
      <c r="L4967" s="2" t="inlineStr">
        <is>
          <t>20260626000714</t>
        </is>
      </c>
      <c r="M4967" s="8">
        <f>HYPERLINK("https://dart.fss.or.kr/dsaf001/main.do?rcpNo=20260626000714", "공시열람")</f>
        <v/>
      </c>
    </row>
    <row r="4968" ht="22" customHeight="1">
      <c r="A4968" s="2" t="inlineStr">
        <is>
          <t>2026-06-26</t>
        </is>
      </c>
      <c r="B4968" s="3" t="inlineStr">
        <is>
          <t>SK디앤디</t>
        </is>
      </c>
      <c r="C4968" s="2" t="inlineStr">
        <is>
          <t>210980</t>
        </is>
      </c>
      <c r="D4968" s="2" t="inlineStr">
        <is>
          <t>대량보유</t>
        </is>
      </c>
      <c r="E4968" s="3" t="inlineStr">
        <is>
          <t>한앤컴퍼니유한책임회사</t>
        </is>
      </c>
      <c r="F4968" s="3" t="inlineStr">
        <is>
          <t>특별관계자</t>
        </is>
      </c>
      <c r="G4968" s="3" t="inlineStr">
        <is>
          <t>기타(-)</t>
        </is>
      </c>
      <c r="H4968" s="6" t="inlineStr"/>
      <c r="I4968" s="6" t="inlineStr"/>
      <c r="J4968" s="6" t="inlineStr"/>
      <c r="K4968" s="16" t="n">
        <v>2</v>
      </c>
      <c r="L4968" s="2" t="inlineStr">
        <is>
          <t>20260626000714</t>
        </is>
      </c>
      <c r="M4968" s="8">
        <f>HYPERLINK("https://dart.fss.or.kr/dsaf001/main.do?rcpNo=20260626000714", "공시열람")</f>
        <v/>
      </c>
    </row>
    <row r="4969" ht="22" customHeight="1">
      <c r="A4969" s="2" t="inlineStr">
        <is>
          <t>2026-06-26</t>
        </is>
      </c>
      <c r="B4969" s="3" t="inlineStr">
        <is>
          <t>덴티스</t>
        </is>
      </c>
      <c r="C4969" s="2" t="inlineStr">
        <is>
          <t>261200</t>
        </is>
      </c>
      <c r="D4969" s="2" t="inlineStr">
        <is>
          <t>대량보유</t>
        </is>
      </c>
      <c r="E4969" s="3" t="inlineStr">
        <is>
          <t>심기봉</t>
        </is>
      </c>
      <c r="F4969" s="3" t="inlineStr">
        <is>
          <t>보고자</t>
        </is>
      </c>
      <c r="G4969" s="3" t="inlineStr">
        <is>
          <t>주식담보계약 변경</t>
        </is>
      </c>
      <c r="H4969" s="6" t="inlineStr"/>
      <c r="I4969" s="6" t="inlineStr"/>
      <c r="J4969" s="6" t="n">
        <v>4501575</v>
      </c>
      <c r="K4969" s="16" t="n">
        <v>14</v>
      </c>
      <c r="L4969" s="2" t="inlineStr">
        <is>
          <t>20260626000712</t>
        </is>
      </c>
      <c r="M4969" s="8">
        <f>HYPERLINK("https://dart.fss.or.kr/dsaf001/main.do?rcpNo=20260626000712", "공시열람")</f>
        <v/>
      </c>
    </row>
    <row r="4970" ht="22" customHeight="1">
      <c r="A4970" s="2" t="inlineStr">
        <is>
          <t>2026-06-26</t>
        </is>
      </c>
      <c r="B4970" s="3" t="inlineStr">
        <is>
          <t>에코글로우</t>
        </is>
      </c>
      <c r="C4970" s="2" t="inlineStr">
        <is>
          <t>159910</t>
        </is>
      </c>
      <c r="D4970" s="2" t="inlineStr">
        <is>
          <t>대량보유</t>
        </is>
      </c>
      <c r="E4970" s="3" t="inlineStr">
        <is>
          <t>김기훈</t>
        </is>
      </c>
      <c r="F4970" s="3" t="inlineStr">
        <is>
          <t>특별관계자</t>
        </is>
      </c>
      <c r="G4970" s="3" t="inlineStr">
        <is>
          <t>장내매수(+)</t>
        </is>
      </c>
      <c r="H4970" s="15" t="n">
        <v>3480</v>
      </c>
      <c r="I4970" s="6" t="n">
        <v>2921</v>
      </c>
      <c r="J4970" s="6" t="n">
        <v>71480</v>
      </c>
      <c r="K4970" s="16" t="n">
        <v>7</v>
      </c>
      <c r="L4970" s="2" t="inlineStr">
        <is>
          <t>20260626000694</t>
        </is>
      </c>
      <c r="M4970" s="8">
        <f>HYPERLINK("https://dart.fss.or.kr/dsaf001/main.do?rcpNo=20260626000694", "공시열람")</f>
        <v/>
      </c>
    </row>
    <row r="4971" ht="22" customHeight="1">
      <c r="A4971" s="2" t="inlineStr">
        <is>
          <t>2026-06-26</t>
        </is>
      </c>
      <c r="B4971" s="3" t="inlineStr">
        <is>
          <t>에코글로우</t>
        </is>
      </c>
      <c r="C4971" s="2" t="inlineStr">
        <is>
          <t>159910</t>
        </is>
      </c>
      <c r="D4971" s="2" t="inlineStr">
        <is>
          <t>대량보유</t>
        </is>
      </c>
      <c r="E4971" s="3" t="inlineStr">
        <is>
          <t>(주)크리스티아너티</t>
        </is>
      </c>
      <c r="F4971" s="3" t="inlineStr">
        <is>
          <t>특별관계자</t>
        </is>
      </c>
      <c r="G4971" s="3" t="inlineStr">
        <is>
          <t>장외매도(-)</t>
        </is>
      </c>
      <c r="H4971" s="17" t="n">
        <v>-155844</v>
      </c>
      <c r="I4971" s="6" t="n">
        <v>3850</v>
      </c>
      <c r="J4971" s="6" t="n">
        <v>131752</v>
      </c>
      <c r="K4971" s="16" t="n">
        <v>7</v>
      </c>
      <c r="L4971" s="2" t="inlineStr">
        <is>
          <t>20260626000694</t>
        </is>
      </c>
      <c r="M4971" s="8">
        <f>HYPERLINK("https://dart.fss.or.kr/dsaf001/main.do?rcpNo=20260626000694", "공시열람")</f>
        <v/>
      </c>
    </row>
    <row r="4972" ht="22" customHeight="1">
      <c r="A4972" s="2" t="inlineStr">
        <is>
          <t>2026-06-26</t>
        </is>
      </c>
      <c r="B4972" s="3" t="inlineStr">
        <is>
          <t>DXVX</t>
        </is>
      </c>
      <c r="C4972" s="2" t="inlineStr">
        <is>
          <t>180400</t>
        </is>
      </c>
      <c r="D4972" s="2" t="inlineStr">
        <is>
          <t>대량보유</t>
        </is>
      </c>
      <c r="E4972" s="3" t="inlineStr">
        <is>
          <t>임종윤</t>
        </is>
      </c>
      <c r="F4972" s="3" t="inlineStr">
        <is>
          <t>특별관계자</t>
        </is>
      </c>
      <c r="G4972" s="3" t="inlineStr">
        <is>
          <t>장내매수(+)</t>
        </is>
      </c>
      <c r="H4972" s="15" t="n">
        <v>206080</v>
      </c>
      <c r="I4972" s="6" t="n">
        <v>4831</v>
      </c>
      <c r="J4972" s="6" t="n">
        <v>57272631</v>
      </c>
      <c r="K4972" s="16" t="n">
        <v>6</v>
      </c>
      <c r="L4972" s="2" t="inlineStr">
        <is>
          <t>20260626000692</t>
        </is>
      </c>
      <c r="M4972" s="8">
        <f>HYPERLINK("https://dart.fss.or.kr/dsaf001/main.do?rcpNo=20260626000692", "공시열람")</f>
        <v/>
      </c>
    </row>
    <row r="4973" ht="22" customHeight="1">
      <c r="A4973" s="2" t="inlineStr">
        <is>
          <t>2026-06-26</t>
        </is>
      </c>
      <c r="B4973" s="3" t="inlineStr">
        <is>
          <t>DXVX</t>
        </is>
      </c>
      <c r="C4973" s="2" t="inlineStr">
        <is>
          <t>180400</t>
        </is>
      </c>
      <c r="D4973" s="2" t="inlineStr">
        <is>
          <t>대량보유</t>
        </is>
      </c>
      <c r="E4973" s="3" t="inlineStr">
        <is>
          <t>이용구</t>
        </is>
      </c>
      <c r="F4973" s="3" t="inlineStr">
        <is>
          <t>특별관계자</t>
        </is>
      </c>
      <c r="G4973" s="3" t="inlineStr">
        <is>
          <t>장내매수(+)</t>
        </is>
      </c>
      <c r="H4973" s="15" t="n">
        <v>1900</v>
      </c>
      <c r="I4973" s="6" t="n">
        <v>3186</v>
      </c>
      <c r="J4973" s="6" t="n">
        <v>56900</v>
      </c>
      <c r="K4973" s="16" t="n">
        <v>6</v>
      </c>
      <c r="L4973" s="2" t="inlineStr">
        <is>
          <t>20260626000692</t>
        </is>
      </c>
      <c r="M4973" s="8">
        <f>HYPERLINK("https://dart.fss.or.kr/dsaf001/main.do?rcpNo=20260626000692", "공시열람")</f>
        <v/>
      </c>
    </row>
    <row r="4974" ht="22" customHeight="1">
      <c r="A4974" s="2" t="inlineStr">
        <is>
          <t>2026-06-26</t>
        </is>
      </c>
      <c r="B4974" s="3" t="inlineStr">
        <is>
          <t>HDC</t>
        </is>
      </c>
      <c r="C4974" s="2" t="inlineStr">
        <is>
          <t>012630</t>
        </is>
      </c>
      <c r="D4974" s="2" t="inlineStr">
        <is>
          <t>임원보고</t>
        </is>
      </c>
      <c r="E4974" s="3" t="inlineStr">
        <is>
          <t>-</t>
        </is>
      </c>
      <c r="F4974" s="3" t="inlineStr">
        <is>
          <t>-</t>
        </is>
      </c>
      <c r="G4974" s="3" t="inlineStr">
        <is>
          <t>-</t>
        </is>
      </c>
      <c r="H4974" s="6" t="inlineStr"/>
      <c r="I4974" s="6" t="inlineStr"/>
      <c r="J4974" s="6" t="inlineStr"/>
      <c r="K4974" s="16" t="n">
        <v>12</v>
      </c>
      <c r="L4974" s="2" t="inlineStr">
        <is>
          <t>20260626801077</t>
        </is>
      </c>
      <c r="M4974" s="8">
        <f>HYPERLINK("https://dart.fss.or.kr/dsaf001/main.do?rcpNo=20260626801077", "공시열람")</f>
        <v/>
      </c>
    </row>
    <row r="4975" ht="22" customHeight="1">
      <c r="A4975" s="2" t="inlineStr">
        <is>
          <t>2026-06-26</t>
        </is>
      </c>
      <c r="B4975" s="3" t="inlineStr">
        <is>
          <t>HDC</t>
        </is>
      </c>
      <c r="C4975" s="2" t="inlineStr">
        <is>
          <t>012630</t>
        </is>
      </c>
      <c r="D4975" s="2" t="inlineStr">
        <is>
          <t>대량보유</t>
        </is>
      </c>
      <c r="E4975" s="3" t="inlineStr">
        <is>
          <t>엠엔큐투자파트너스(유)</t>
        </is>
      </c>
      <c r="F4975" s="3" t="inlineStr">
        <is>
          <t>특별관계자</t>
        </is>
      </c>
      <c r="G4975" s="3" t="inlineStr">
        <is>
          <t>장내매수(+)</t>
        </is>
      </c>
      <c r="H4975" s="15" t="n">
        <v>31011</v>
      </c>
      <c r="I4975" s="6" t="n">
        <v>19439</v>
      </c>
      <c r="J4975" s="6" t="n">
        <v>4041136</v>
      </c>
      <c r="K4975" s="16" t="n">
        <v>9</v>
      </c>
      <c r="L4975" s="2" t="inlineStr">
        <is>
          <t>20260626000688</t>
        </is>
      </c>
      <c r="M4975" s="8">
        <f>HYPERLINK("https://dart.fss.or.kr/dsaf001/main.do?rcpNo=20260626000688", "공시열람")</f>
        <v/>
      </c>
    </row>
    <row r="4976" ht="22" customHeight="1">
      <c r="A4976" s="2" t="inlineStr">
        <is>
          <t>2026-06-26</t>
        </is>
      </c>
      <c r="B4976" s="3" t="inlineStr">
        <is>
          <t>대림통상</t>
        </is>
      </c>
      <c r="C4976" s="2" t="inlineStr">
        <is>
          <t>006570</t>
        </is>
      </c>
      <c r="D4976" s="2" t="inlineStr">
        <is>
          <t>대량보유</t>
        </is>
      </c>
      <c r="E4976" s="3" t="inlineStr">
        <is>
          <t>디앤디파트너스(주)</t>
        </is>
      </c>
      <c r="F4976" s="3" t="inlineStr">
        <is>
          <t>특별관계자</t>
        </is>
      </c>
      <c r="G4976" s="3" t="inlineStr">
        <is>
          <t>장내매수(+)</t>
        </is>
      </c>
      <c r="H4976" s="15" t="n">
        <v>13000</v>
      </c>
      <c r="I4976" s="6" t="n">
        <v>1995</v>
      </c>
      <c r="J4976" s="6" t="n">
        <v>6040397</v>
      </c>
      <c r="K4976" s="16" t="n">
        <v>4</v>
      </c>
      <c r="L4976" s="2" t="inlineStr">
        <is>
          <t>20260626000670</t>
        </is>
      </c>
      <c r="M4976" s="8">
        <f>HYPERLINK("https://dart.fss.or.kr/dsaf001/main.do?rcpNo=20260626000670", "공시열람")</f>
        <v/>
      </c>
    </row>
    <row r="4977" ht="22" customHeight="1">
      <c r="A4977" s="2" t="inlineStr">
        <is>
          <t>2026-06-26</t>
        </is>
      </c>
      <c r="B4977" s="3" t="inlineStr">
        <is>
          <t>에이루트</t>
        </is>
      </c>
      <c r="C4977" s="2" t="inlineStr">
        <is>
          <t>096690</t>
        </is>
      </c>
      <c r="D4977" s="2" t="inlineStr">
        <is>
          <t>대량보유</t>
        </is>
      </c>
      <c r="E4977" s="3" t="inlineStr">
        <is>
          <t>큐리어스홀딩스㈜</t>
        </is>
      </c>
      <c r="F4977" s="3" t="inlineStr">
        <is>
          <t>특별관계자</t>
        </is>
      </c>
      <c r="G4977" s="3" t="inlineStr">
        <is>
          <t>CB인수(+)</t>
        </is>
      </c>
      <c r="H4977" s="15" t="n">
        <v>345841</v>
      </c>
      <c r="I4977" s="6" t="n">
        <v>5783</v>
      </c>
      <c r="J4977" s="6" t="n">
        <v>345841</v>
      </c>
      <c r="K4977" s="16" t="n">
        <v>7.92</v>
      </c>
      <c r="L4977" s="2" t="inlineStr">
        <is>
          <t>20260626000669</t>
        </is>
      </c>
      <c r="M4977" s="8">
        <f>HYPERLINK("https://dart.fss.or.kr/dsaf001/main.do?rcpNo=20260626000669", "공시열람")</f>
        <v/>
      </c>
    </row>
    <row r="4978" ht="22" customHeight="1">
      <c r="A4978" s="2" t="inlineStr">
        <is>
          <t>2026-06-26</t>
        </is>
      </c>
      <c r="B4978" s="3" t="inlineStr">
        <is>
          <t>엔젠바이오</t>
        </is>
      </c>
      <c r="C4978" s="2" t="inlineStr">
        <is>
          <t>354200</t>
        </is>
      </c>
      <c r="D4978" s="2" t="inlineStr">
        <is>
          <t>대량보유</t>
        </is>
      </c>
      <c r="E4978" s="3" t="inlineStr">
        <is>
          <t>에스에이치헬스케어투자1호조합</t>
        </is>
      </c>
      <c r="F4978" s="3" t="inlineStr">
        <is>
          <t>특별관계자</t>
        </is>
      </c>
      <c r="G4978" s="3" t="inlineStr">
        <is>
          <t>자본감소</t>
        </is>
      </c>
      <c r="H4978" s="17" t="n">
        <v>-3923852</v>
      </c>
      <c r="I4978" s="6" t="inlineStr"/>
      <c r="J4978" s="6" t="n">
        <v>1961926</v>
      </c>
      <c r="K4978" s="16" t="n">
        <v>1</v>
      </c>
      <c r="L4978" s="2" t="inlineStr">
        <is>
          <t>20260626000668</t>
        </is>
      </c>
      <c r="M4978" s="8">
        <f>HYPERLINK("https://dart.fss.or.kr/dsaf001/main.do?rcpNo=20260626000668", "공시열람")</f>
        <v/>
      </c>
    </row>
    <row r="4979" ht="22" customHeight="1">
      <c r="A4979" s="2" t="inlineStr">
        <is>
          <t>2026-06-26</t>
        </is>
      </c>
      <c r="B4979" s="3" t="inlineStr">
        <is>
          <t>엔젠바이오</t>
        </is>
      </c>
      <c r="C4979" s="2" t="inlineStr">
        <is>
          <t>354200</t>
        </is>
      </c>
      <c r="D4979" s="2" t="inlineStr">
        <is>
          <t>대량보유</t>
        </is>
      </c>
      <c r="E4979" s="3" t="inlineStr">
        <is>
          <t>김민식</t>
        </is>
      </c>
      <c r="F4979" s="3" t="inlineStr">
        <is>
          <t>특별관계자</t>
        </is>
      </c>
      <c r="G4979" s="3" t="inlineStr">
        <is>
          <t>자본감소</t>
        </is>
      </c>
      <c r="H4979" s="17" t="n">
        <v>-66667</v>
      </c>
      <c r="I4979" s="6" t="inlineStr"/>
      <c r="J4979" s="6" t="n">
        <v>33333</v>
      </c>
      <c r="K4979" s="16" t="n">
        <v>1</v>
      </c>
      <c r="L4979" s="2" t="inlineStr">
        <is>
          <t>20260626000668</t>
        </is>
      </c>
      <c r="M4979" s="8">
        <f>HYPERLINK("https://dart.fss.or.kr/dsaf001/main.do?rcpNo=20260626000668", "공시열람")</f>
        <v/>
      </c>
    </row>
    <row r="4980" ht="22" customHeight="1">
      <c r="A4980" s="2" t="inlineStr">
        <is>
          <t>2026-06-26</t>
        </is>
      </c>
      <c r="B4980" s="3" t="inlineStr">
        <is>
          <t>엔젠바이오</t>
        </is>
      </c>
      <c r="C4980" s="2" t="inlineStr">
        <is>
          <t>354200</t>
        </is>
      </c>
      <c r="D4980" s="2" t="inlineStr">
        <is>
          <t>대량보유</t>
        </is>
      </c>
      <c r="E4980" s="3" t="inlineStr">
        <is>
          <t>송명준</t>
        </is>
      </c>
      <c r="F4980" s="3" t="inlineStr">
        <is>
          <t>특별관계자</t>
        </is>
      </c>
      <c r="G4980" s="3" t="inlineStr">
        <is>
          <t>자본감소</t>
        </is>
      </c>
      <c r="H4980" s="17" t="n">
        <v>-53334</v>
      </c>
      <c r="I4980" s="6" t="inlineStr"/>
      <c r="J4980" s="6" t="n">
        <v>26666</v>
      </c>
      <c r="K4980" s="16" t="n">
        <v>1</v>
      </c>
      <c r="L4980" s="2" t="inlineStr">
        <is>
          <t>20260626000668</t>
        </is>
      </c>
      <c r="M4980" s="8">
        <f>HYPERLINK("https://dart.fss.or.kr/dsaf001/main.do?rcpNo=20260626000668", "공시열람")</f>
        <v/>
      </c>
    </row>
    <row r="4981" ht="22" customHeight="1">
      <c r="A4981" s="2" t="inlineStr">
        <is>
          <t>2026-06-26</t>
        </is>
      </c>
      <c r="B4981" s="3" t="inlineStr">
        <is>
          <t>엔젠바이오</t>
        </is>
      </c>
      <c r="C4981" s="2" t="inlineStr">
        <is>
          <t>354200</t>
        </is>
      </c>
      <c r="D4981" s="2" t="inlineStr">
        <is>
          <t>대량보유</t>
        </is>
      </c>
      <c r="E4981" s="3" t="inlineStr">
        <is>
          <t>송기환</t>
        </is>
      </c>
      <c r="F4981" s="3" t="inlineStr">
        <is>
          <t>특별관계자</t>
        </is>
      </c>
      <c r="G4981" s="3" t="inlineStr">
        <is>
          <t>자본감소</t>
        </is>
      </c>
      <c r="H4981" s="17" t="n">
        <v>-13334</v>
      </c>
      <c r="I4981" s="6" t="inlineStr"/>
      <c r="J4981" s="6" t="n">
        <v>6666</v>
      </c>
      <c r="K4981" s="16" t="n">
        <v>1</v>
      </c>
      <c r="L4981" s="2" t="inlineStr">
        <is>
          <t>20260626000668</t>
        </is>
      </c>
      <c r="M4981" s="8">
        <f>HYPERLINK("https://dart.fss.or.kr/dsaf001/main.do?rcpNo=20260626000668", "공시열람")</f>
        <v/>
      </c>
    </row>
    <row r="4982" ht="22" customHeight="1">
      <c r="A4982" s="2" t="inlineStr">
        <is>
          <t>2026-06-26</t>
        </is>
      </c>
      <c r="B4982" s="3" t="inlineStr">
        <is>
          <t>엔젠바이오</t>
        </is>
      </c>
      <c r="C4982" s="2" t="inlineStr">
        <is>
          <t>354200</t>
        </is>
      </c>
      <c r="D4982" s="2" t="inlineStr">
        <is>
          <t>대량보유</t>
        </is>
      </c>
      <c r="E4982" s="3" t="inlineStr">
        <is>
          <t>이경남</t>
        </is>
      </c>
      <c r="F4982" s="3" t="inlineStr">
        <is>
          <t>특별관계자</t>
        </is>
      </c>
      <c r="G4982" s="3" t="inlineStr">
        <is>
          <t>자본감소</t>
        </is>
      </c>
      <c r="H4982" s="17" t="n">
        <v>-53334</v>
      </c>
      <c r="I4982" s="6" t="inlineStr"/>
      <c r="J4982" s="6" t="n">
        <v>26666</v>
      </c>
      <c r="K4982" s="16" t="n">
        <v>1</v>
      </c>
      <c r="L4982" s="2" t="inlineStr">
        <is>
          <t>20260626000668</t>
        </is>
      </c>
      <c r="M4982" s="8">
        <f>HYPERLINK("https://dart.fss.or.kr/dsaf001/main.do?rcpNo=20260626000668", "공시열람")</f>
        <v/>
      </c>
    </row>
    <row r="4983" ht="22" customHeight="1">
      <c r="A4983" s="2" t="inlineStr">
        <is>
          <t>2026-06-26</t>
        </is>
      </c>
      <c r="B4983" s="3" t="inlineStr">
        <is>
          <t>대림통상</t>
        </is>
      </c>
      <c r="C4983" s="2" t="inlineStr">
        <is>
          <t>006570</t>
        </is>
      </c>
      <c r="D4983" s="2" t="inlineStr">
        <is>
          <t>임원보고</t>
        </is>
      </c>
      <c r="E4983" s="3" t="inlineStr">
        <is>
          <t>-</t>
        </is>
      </c>
      <c r="F4983" s="3" t="inlineStr">
        <is>
          <t>-</t>
        </is>
      </c>
      <c r="G4983" s="3" t="inlineStr">
        <is>
          <t>-</t>
        </is>
      </c>
      <c r="H4983" s="6" t="inlineStr"/>
      <c r="I4983" s="6" t="inlineStr"/>
      <c r="J4983" s="6" t="inlineStr"/>
      <c r="K4983" s="16" t="n">
        <v>12</v>
      </c>
      <c r="L4983" s="2" t="inlineStr">
        <is>
          <t>20260626801038</t>
        </is>
      </c>
      <c r="M4983" s="8">
        <f>HYPERLINK("https://dart.fss.or.kr/dsaf001/main.do?rcpNo=20260626801038", "공시열람")</f>
        <v/>
      </c>
    </row>
    <row r="4984" ht="22" customHeight="1">
      <c r="A4984" s="2" t="inlineStr">
        <is>
          <t>2026-06-26</t>
        </is>
      </c>
      <c r="B4984" s="3" t="inlineStr">
        <is>
          <t>유안타증권</t>
        </is>
      </c>
      <c r="C4984" s="2" t="inlineStr">
        <is>
          <t>003470</t>
        </is>
      </c>
      <c r="D4984" s="2" t="inlineStr">
        <is>
          <t>임원보고</t>
        </is>
      </c>
      <c r="E4984" s="3" t="inlineStr">
        <is>
          <t>-</t>
        </is>
      </c>
      <c r="F4984" s="3" t="inlineStr">
        <is>
          <t>-</t>
        </is>
      </c>
      <c r="G4984" s="3" t="inlineStr">
        <is>
          <t>-</t>
        </is>
      </c>
      <c r="H4984" s="6" t="inlineStr"/>
      <c r="I4984" s="6" t="inlineStr"/>
      <c r="J4984" s="6" t="inlineStr"/>
      <c r="K4984" s="16" t="n">
        <v>12</v>
      </c>
      <c r="L4984" s="2" t="inlineStr">
        <is>
          <t>20260626800974</t>
        </is>
      </c>
      <c r="M4984" s="8">
        <f>HYPERLINK("https://dart.fss.or.kr/dsaf001/main.do?rcpNo=20260626800974", "공시열람")</f>
        <v/>
      </c>
    </row>
    <row r="4985" ht="22" customHeight="1">
      <c r="A4985" s="2" t="inlineStr">
        <is>
          <t>2026-06-26</t>
        </is>
      </c>
      <c r="B4985" s="3" t="inlineStr">
        <is>
          <t>씨앤지하이테크</t>
        </is>
      </c>
      <c r="C4985" s="2" t="inlineStr">
        <is>
          <t>264660</t>
        </is>
      </c>
      <c r="D4985" s="2" t="inlineStr">
        <is>
          <t>대량보유</t>
        </is>
      </c>
      <c r="E4985" s="3" t="inlineStr">
        <is>
          <t>이연범</t>
        </is>
      </c>
      <c r="F4985" s="3" t="inlineStr">
        <is>
          <t>특별관계자</t>
        </is>
      </c>
      <c r="G4985" s="3" t="inlineStr">
        <is>
          <t>특별관계해소(-)</t>
        </is>
      </c>
      <c r="H4985" s="17" t="n">
        <v>-118853</v>
      </c>
      <c r="I4985" s="6" t="inlineStr"/>
      <c r="J4985" s="6" t="inlineStr"/>
      <c r="K4985" s="16" t="n">
        <v>3</v>
      </c>
      <c r="L4985" s="2" t="inlineStr">
        <is>
          <t>20260626000617</t>
        </is>
      </c>
      <c r="M4985" s="8">
        <f>HYPERLINK("https://dart.fss.or.kr/dsaf001/main.do?rcpNo=20260626000617", "공시열람")</f>
        <v/>
      </c>
    </row>
    <row r="4986" ht="22" customHeight="1">
      <c r="A4986" s="2" t="inlineStr">
        <is>
          <t>2026-06-26</t>
        </is>
      </c>
      <c r="B4986" s="3" t="inlineStr">
        <is>
          <t>케이피엠테크</t>
        </is>
      </c>
      <c r="C4986" s="2" t="inlineStr">
        <is>
          <t>042040</t>
        </is>
      </c>
      <c r="D4986" s="2" t="inlineStr">
        <is>
          <t>대량보유</t>
        </is>
      </c>
      <c r="E4986" s="3" t="inlineStr">
        <is>
          <t>(주)텔콘알에프제약</t>
        </is>
      </c>
      <c r="F4986" s="3" t="inlineStr">
        <is>
          <t>특별관계자</t>
        </is>
      </c>
      <c r="G4986" s="3" t="inlineStr">
        <is>
          <t>자본감소</t>
        </is>
      </c>
      <c r="H4986" s="17" t="n">
        <v>-7269242</v>
      </c>
      <c r="I4986" s="6" t="inlineStr"/>
      <c r="J4986" s="6" t="n">
        <v>807693</v>
      </c>
      <c r="K4986" s="16" t="n">
        <v>32.68</v>
      </c>
      <c r="L4986" s="2" t="inlineStr">
        <is>
          <t>20260626000611</t>
        </is>
      </c>
      <c r="M4986" s="8">
        <f>HYPERLINK("https://dart.fss.or.kr/dsaf001/main.do?rcpNo=20260626000611", "공시열람")</f>
        <v/>
      </c>
    </row>
    <row r="4987" ht="22" customHeight="1">
      <c r="A4987" s="2" t="inlineStr">
        <is>
          <t>2026-06-26</t>
        </is>
      </c>
      <c r="B4987" s="3" t="inlineStr">
        <is>
          <t>한익스프레스</t>
        </is>
      </c>
      <c r="C4987" s="2" t="inlineStr">
        <is>
          <t>014130</t>
        </is>
      </c>
      <c r="D4987" s="2" t="inlineStr">
        <is>
          <t>대량보유</t>
        </is>
      </c>
      <c r="E4987" s="3" t="inlineStr">
        <is>
          <t>이석환</t>
        </is>
      </c>
      <c r="F4987" s="3" t="inlineStr">
        <is>
          <t>특별관계자</t>
        </is>
      </c>
      <c r="G4987" s="3" t="inlineStr">
        <is>
          <t>장내매수(+)</t>
        </is>
      </c>
      <c r="H4987" s="15" t="n">
        <v>60000</v>
      </c>
      <c r="I4987" s="6" t="n">
        <v>2261</v>
      </c>
      <c r="J4987" s="6" t="n">
        <v>4798139</v>
      </c>
      <c r="K4987" s="16" t="n">
        <v>4</v>
      </c>
      <c r="L4987" s="2" t="inlineStr">
        <is>
          <t>20260626000588</t>
        </is>
      </c>
      <c r="M4987" s="8">
        <f>HYPERLINK("https://dart.fss.or.kr/dsaf001/main.do?rcpNo=20260626000588", "공시열람")</f>
        <v/>
      </c>
    </row>
    <row r="4988" ht="22" customHeight="1">
      <c r="A4988" s="2" t="inlineStr">
        <is>
          <t>2026-06-26</t>
        </is>
      </c>
      <c r="B4988" s="3" t="inlineStr">
        <is>
          <t>에이루트</t>
        </is>
      </c>
      <c r="C4988" s="2" t="inlineStr">
        <is>
          <t>096690</t>
        </is>
      </c>
      <c r="D4988" s="2" t="inlineStr">
        <is>
          <t>대량보유</t>
        </is>
      </c>
      <c r="E4988" s="3" t="inlineStr">
        <is>
          <t>크립토그로스1호</t>
        </is>
      </c>
      <c r="F4988" s="3" t="inlineStr">
        <is>
          <t>특별관계자</t>
        </is>
      </c>
      <c r="G4988" s="3" t="inlineStr">
        <is>
          <t>CB인수(+), 기타(-)</t>
        </is>
      </c>
      <c r="H4988" s="15" t="n">
        <v>665744</v>
      </c>
      <c r="I4988" s="6" t="n">
        <v>5783</v>
      </c>
      <c r="J4988" s="6" t="n">
        <v>665744</v>
      </c>
      <c r="K4988" s="16" t="n">
        <v>1</v>
      </c>
      <c r="L4988" s="2" t="inlineStr">
        <is>
          <t>20260626000577</t>
        </is>
      </c>
      <c r="M4988" s="8">
        <f>HYPERLINK("https://dart.fss.or.kr/dsaf001/main.do?rcpNo=20260626000577", "공시열람")</f>
        <v/>
      </c>
    </row>
    <row r="4989" ht="22" customHeight="1">
      <c r="A4989" s="2" t="inlineStr">
        <is>
          <t>2026-06-26</t>
        </is>
      </c>
      <c r="B4989" s="3" t="inlineStr">
        <is>
          <t>플레이위드</t>
        </is>
      </c>
      <c r="C4989" s="2" t="inlineStr">
        <is>
          <t>023770</t>
        </is>
      </c>
      <c r="D4989" s="2" t="inlineStr">
        <is>
          <t>대량보유</t>
        </is>
      </c>
      <c r="E4989" s="3" t="inlineStr">
        <is>
          <t>김학준</t>
        </is>
      </c>
      <c r="F4989" s="3" t="inlineStr">
        <is>
          <t>특별관계자</t>
        </is>
      </c>
      <c r="G4989" s="3" t="inlineStr">
        <is>
          <t>장내매수(+)</t>
        </is>
      </c>
      <c r="H4989" s="15" t="n">
        <v>46000</v>
      </c>
      <c r="I4989" s="6" t="n">
        <v>2348</v>
      </c>
      <c r="J4989" s="6" t="n">
        <v>102935</v>
      </c>
      <c r="K4989" s="16" t="n">
        <v>8</v>
      </c>
      <c r="L4989" s="2" t="inlineStr">
        <is>
          <t>20260626000573</t>
        </is>
      </c>
      <c r="M4989" s="8">
        <f>HYPERLINK("https://dart.fss.or.kr/dsaf001/main.do?rcpNo=20260626000573", "공시열람")</f>
        <v/>
      </c>
    </row>
    <row r="4990" ht="22" customHeight="1">
      <c r="A4990" s="2" t="inlineStr">
        <is>
          <t>2026-06-26</t>
        </is>
      </c>
      <c r="B4990" s="3" t="inlineStr">
        <is>
          <t>이노뎁</t>
        </is>
      </c>
      <c r="C4990" s="2" t="inlineStr">
        <is>
          <t>303530</t>
        </is>
      </c>
      <c r="D4990" s="2" t="inlineStr">
        <is>
          <t>대량보유</t>
        </is>
      </c>
      <c r="E4990" s="3" t="inlineStr">
        <is>
          <t>이성진</t>
        </is>
      </c>
      <c r="F4990" s="3" t="inlineStr">
        <is>
          <t>보고자</t>
        </is>
      </c>
      <c r="G4990" s="3" t="inlineStr">
        <is>
          <t>주식 담보계약 상환</t>
        </is>
      </c>
      <c r="H4990" s="6" t="inlineStr"/>
      <c r="I4990" s="6" t="inlineStr"/>
      <c r="J4990" s="6" t="n">
        <v>2322742</v>
      </c>
      <c r="K4990" s="16" t="n">
        <v>2</v>
      </c>
      <c r="L4990" s="2" t="inlineStr">
        <is>
          <t>20260626000549</t>
        </is>
      </c>
      <c r="M4990" s="8">
        <f>HYPERLINK("https://dart.fss.or.kr/dsaf001/main.do?rcpNo=20260626000549", "공시열람")</f>
        <v/>
      </c>
    </row>
    <row r="4991" ht="22" customHeight="1">
      <c r="A4991" s="2" t="inlineStr">
        <is>
          <t>2026-06-26</t>
        </is>
      </c>
      <c r="B4991" s="3" t="inlineStr">
        <is>
          <t>신원</t>
        </is>
      </c>
      <c r="C4991" s="2" t="inlineStr">
        <is>
          <t>009270</t>
        </is>
      </c>
      <c r="D4991" s="2" t="inlineStr">
        <is>
          <t>대량보유</t>
        </is>
      </c>
      <c r="E4991" s="3" t="inlineStr">
        <is>
          <t>(주)티앤엠커뮤니케이션즈</t>
        </is>
      </c>
      <c r="F4991" s="3" t="inlineStr">
        <is>
          <t>보고자</t>
        </is>
      </c>
      <c r="G4991" s="3" t="inlineStr">
        <is>
          <t>보고자의 주식담보대출 계약 변경</t>
        </is>
      </c>
      <c r="H4991" s="6" t="inlineStr"/>
      <c r="I4991" s="6" t="inlineStr"/>
      <c r="J4991" s="6" t="n">
        <v>30710314</v>
      </c>
      <c r="K4991" s="16" t="n">
        <v>3</v>
      </c>
      <c r="L4991" s="2" t="inlineStr">
        <is>
          <t>20260626000544</t>
        </is>
      </c>
      <c r="M4991" s="8">
        <f>HYPERLINK("https://dart.fss.or.kr/dsaf001/main.do?rcpNo=20260626000544", "공시열람")</f>
        <v/>
      </c>
    </row>
    <row r="4992" ht="22" customHeight="1">
      <c r="A4992" s="2" t="inlineStr">
        <is>
          <t>2026-06-26</t>
        </is>
      </c>
      <c r="B4992" s="3" t="inlineStr">
        <is>
          <t>파인메딕스</t>
        </is>
      </c>
      <c r="C4992" s="2" t="inlineStr">
        <is>
          <t>387570</t>
        </is>
      </c>
      <c r="D4992" s="2" t="inlineStr">
        <is>
          <t>대량보유</t>
        </is>
      </c>
      <c r="E4992" s="3" t="inlineStr">
        <is>
          <t>이문수</t>
        </is>
      </c>
      <c r="F4992" s="3" t="inlineStr">
        <is>
          <t>특별관계자</t>
        </is>
      </c>
      <c r="G4992" s="3" t="inlineStr">
        <is>
          <t>기타(+), 대여(-)</t>
        </is>
      </c>
      <c r="H4992" s="15" t="n">
        <v>237562</v>
      </c>
      <c r="I4992" s="6" t="inlineStr"/>
      <c r="J4992" s="6" t="n">
        <v>237562</v>
      </c>
      <c r="K4992" s="16" t="n">
        <v>2</v>
      </c>
      <c r="L4992" s="2" t="inlineStr">
        <is>
          <t>20260626000543</t>
        </is>
      </c>
      <c r="M4992" s="8">
        <f>HYPERLINK("https://dart.fss.or.kr/dsaf001/main.do?rcpNo=20260626000543", "공시열람")</f>
        <v/>
      </c>
    </row>
    <row r="4993" ht="22" customHeight="1">
      <c r="A4993" s="2" t="inlineStr">
        <is>
          <t>2026-06-26</t>
        </is>
      </c>
      <c r="B4993" s="3" t="inlineStr">
        <is>
          <t>파인메딕스</t>
        </is>
      </c>
      <c r="C4993" s="2" t="inlineStr">
        <is>
          <t>387570</t>
        </is>
      </c>
      <c r="D4993" s="2" t="inlineStr">
        <is>
          <t>대량보유</t>
        </is>
      </c>
      <c r="E4993" s="3" t="inlineStr">
        <is>
          <t>성춘호</t>
        </is>
      </c>
      <c r="F4993" s="3" t="inlineStr">
        <is>
          <t>특별관계자</t>
        </is>
      </c>
      <c r="G4993" s="3" t="inlineStr">
        <is>
          <t>차입(+)</t>
        </is>
      </c>
      <c r="H4993" s="15" t="n">
        <v>80000</v>
      </c>
      <c r="I4993" s="6" t="inlineStr"/>
      <c r="J4993" s="6" t="n">
        <v>80000</v>
      </c>
      <c r="K4993" s="16" t="n">
        <v>2</v>
      </c>
      <c r="L4993" s="2" t="inlineStr">
        <is>
          <t>20260626000543</t>
        </is>
      </c>
      <c r="M4993" s="8">
        <f>HYPERLINK("https://dart.fss.or.kr/dsaf001/main.do?rcpNo=20260626000543", "공시열람")</f>
        <v/>
      </c>
    </row>
    <row r="4994" ht="22" customHeight="1">
      <c r="A4994" s="2" t="inlineStr">
        <is>
          <t>2026-06-26</t>
        </is>
      </c>
      <c r="B4994" s="3" t="inlineStr">
        <is>
          <t>에이루트</t>
        </is>
      </c>
      <c r="C4994" s="2" t="inlineStr">
        <is>
          <t>096690</t>
        </is>
      </c>
      <c r="D4994" s="2" t="inlineStr">
        <is>
          <t>대량보유</t>
        </is>
      </c>
      <c r="E4994" s="3" t="inlineStr">
        <is>
          <t>㈜다올에이엠</t>
        </is>
      </c>
      <c r="F4994" s="3" t="inlineStr">
        <is>
          <t>특별관계자</t>
        </is>
      </c>
      <c r="G4994" s="3" t="inlineStr">
        <is>
          <t>장내매수(+), 콜옵션취득(+)</t>
        </is>
      </c>
      <c r="H4994" s="15" t="n">
        <v>76355</v>
      </c>
      <c r="I4994" s="6" t="n">
        <v>5774</v>
      </c>
      <c r="J4994" s="6" t="n">
        <v>74355</v>
      </c>
      <c r="K4994" s="16" t="n">
        <v>4</v>
      </c>
      <c r="L4994" s="2" t="inlineStr">
        <is>
          <t>20260626000542</t>
        </is>
      </c>
      <c r="M4994" s="8">
        <f>HYPERLINK("https://dart.fss.or.kr/dsaf001/main.do?rcpNo=20260626000542", "공시열람")</f>
        <v/>
      </c>
    </row>
    <row r="4995" ht="22" customHeight="1">
      <c r="A4995" s="2" t="inlineStr">
        <is>
          <t>2026-06-26</t>
        </is>
      </c>
      <c r="B4995" s="3" t="inlineStr">
        <is>
          <t>에이루트</t>
        </is>
      </c>
      <c r="C4995" s="2" t="inlineStr">
        <is>
          <t>096690</t>
        </is>
      </c>
      <c r="D4995" s="2" t="inlineStr">
        <is>
          <t>대량보유</t>
        </is>
      </c>
      <c r="E4995" s="3" t="inlineStr">
        <is>
          <t>최정임</t>
        </is>
      </c>
      <c r="F4995" s="3" t="inlineStr">
        <is>
          <t>특별관계자</t>
        </is>
      </c>
      <c r="G4995" s="3" t="inlineStr">
        <is>
          <t>장내매수(+), 콜옵션취득(+)</t>
        </is>
      </c>
      <c r="H4995" s="15" t="n">
        <v>117979</v>
      </c>
      <c r="I4995" s="6" t="n">
        <v>5768</v>
      </c>
      <c r="J4995" s="6" t="n">
        <v>108248</v>
      </c>
      <c r="K4995" s="16" t="n">
        <v>4</v>
      </c>
      <c r="L4995" s="2" t="inlineStr">
        <is>
          <t>20260626000542</t>
        </is>
      </c>
      <c r="M4995" s="8">
        <f>HYPERLINK("https://dart.fss.or.kr/dsaf001/main.do?rcpNo=20260626000542", "공시열람")</f>
        <v/>
      </c>
    </row>
    <row r="4996" ht="22" customHeight="1">
      <c r="A4996" s="2" t="inlineStr">
        <is>
          <t>2026-06-26</t>
        </is>
      </c>
      <c r="B4996" s="3" t="inlineStr">
        <is>
          <t>에이루트</t>
        </is>
      </c>
      <c r="C4996" s="2" t="inlineStr">
        <is>
          <t>096690</t>
        </is>
      </c>
      <c r="D4996" s="2" t="inlineStr">
        <is>
          <t>대량보유</t>
        </is>
      </c>
      <c r="E4996" s="3" t="inlineStr">
        <is>
          <t>이대성</t>
        </is>
      </c>
      <c r="F4996" s="3" t="inlineStr">
        <is>
          <t>특별관계자</t>
        </is>
      </c>
      <c r="G4996" s="3" t="inlineStr">
        <is>
          <t>콜옵션취득(+)</t>
        </is>
      </c>
      <c r="H4996" s="15" t="n">
        <v>20231</v>
      </c>
      <c r="I4996" s="6" t="n">
        <v>5783</v>
      </c>
      <c r="J4996" s="6" t="n">
        <v>20231</v>
      </c>
      <c r="K4996" s="16" t="n">
        <v>4</v>
      </c>
      <c r="L4996" s="2" t="inlineStr">
        <is>
          <t>20260626000542</t>
        </is>
      </c>
      <c r="M4996" s="8">
        <f>HYPERLINK("https://dart.fss.or.kr/dsaf001/main.do?rcpNo=20260626000542", "공시열람")</f>
        <v/>
      </c>
    </row>
    <row r="4997" ht="22" customHeight="1">
      <c r="A4997" s="2" t="inlineStr">
        <is>
          <t>2026-06-26</t>
        </is>
      </c>
      <c r="B4997" s="3" t="inlineStr">
        <is>
          <t>에이루트</t>
        </is>
      </c>
      <c r="C4997" s="2" t="inlineStr">
        <is>
          <t>096690</t>
        </is>
      </c>
      <c r="D4997" s="2" t="inlineStr">
        <is>
          <t>대량보유</t>
        </is>
      </c>
      <c r="E4997" s="3" t="inlineStr">
        <is>
          <t>서문동군</t>
        </is>
      </c>
      <c r="F4997" s="3" t="inlineStr">
        <is>
          <t>특별관계자</t>
        </is>
      </c>
      <c r="G4997" s="3" t="inlineStr">
        <is>
          <t>콜옵션취득(+)</t>
        </is>
      </c>
      <c r="H4997" s="15" t="n">
        <v>26283</v>
      </c>
      <c r="I4997" s="6" t="n">
        <v>5783</v>
      </c>
      <c r="J4997" s="6" t="n">
        <v>26283</v>
      </c>
      <c r="K4997" s="16" t="n">
        <v>4</v>
      </c>
      <c r="L4997" s="2" t="inlineStr">
        <is>
          <t>20260626000542</t>
        </is>
      </c>
      <c r="M4997" s="8">
        <f>HYPERLINK("https://dart.fss.or.kr/dsaf001/main.do?rcpNo=20260626000542", "공시열람")</f>
        <v/>
      </c>
    </row>
    <row r="4998" ht="22" customHeight="1">
      <c r="A4998" s="2" t="inlineStr">
        <is>
          <t>2026-06-26</t>
        </is>
      </c>
      <c r="B4998" s="3" t="inlineStr">
        <is>
          <t>에이루트</t>
        </is>
      </c>
      <c r="C4998" s="2" t="inlineStr">
        <is>
          <t>096690</t>
        </is>
      </c>
      <c r="D4998" s="2" t="inlineStr">
        <is>
          <t>대량보유</t>
        </is>
      </c>
      <c r="E4998" s="3" t="inlineStr">
        <is>
          <t>㈜글로불스</t>
        </is>
      </c>
      <c r="F4998" s="3" t="inlineStr">
        <is>
          <t>특별관계자</t>
        </is>
      </c>
      <c r="G4998" s="3" t="inlineStr">
        <is>
          <t>콜옵션취득(+)</t>
        </is>
      </c>
      <c r="H4998" s="15" t="n">
        <v>7954</v>
      </c>
      <c r="I4998" s="6" t="n">
        <v>5783</v>
      </c>
      <c r="J4998" s="6" t="n">
        <v>7954</v>
      </c>
      <c r="K4998" s="16" t="n">
        <v>4</v>
      </c>
      <c r="L4998" s="2" t="inlineStr">
        <is>
          <t>20260626000542</t>
        </is>
      </c>
      <c r="M4998" s="8">
        <f>HYPERLINK("https://dart.fss.or.kr/dsaf001/main.do?rcpNo=20260626000542", "공시열람")</f>
        <v/>
      </c>
    </row>
    <row r="4999" ht="22" customHeight="1">
      <c r="A4999" s="2" t="inlineStr">
        <is>
          <t>2026-06-26</t>
        </is>
      </c>
      <c r="B4999" s="3" t="inlineStr">
        <is>
          <t>한익스프레스</t>
        </is>
      </c>
      <c r="C4999" s="2" t="inlineStr">
        <is>
          <t>014130</t>
        </is>
      </c>
      <c r="D4999" s="2" t="inlineStr">
        <is>
          <t>임원보고</t>
        </is>
      </c>
      <c r="E4999" s="3" t="inlineStr">
        <is>
          <t>-</t>
        </is>
      </c>
      <c r="F4999" s="3" t="inlineStr">
        <is>
          <t>-</t>
        </is>
      </c>
      <c r="G4999" s="3" t="inlineStr">
        <is>
          <t>-</t>
        </is>
      </c>
      <c r="H4999" s="6" t="inlineStr"/>
      <c r="I4999" s="6" t="inlineStr"/>
      <c r="J4999" s="6" t="inlineStr"/>
      <c r="K4999" s="16" t="n">
        <v>12</v>
      </c>
      <c r="L4999" s="2" t="inlineStr">
        <is>
          <t>20260626800848</t>
        </is>
      </c>
      <c r="M4999" s="8">
        <f>HYPERLINK("https://dart.fss.or.kr/dsaf001/main.do?rcpNo=20260626800848", "공시열람")</f>
        <v/>
      </c>
    </row>
    <row r="5000" ht="22" customHeight="1">
      <c r="A5000" s="2" t="inlineStr">
        <is>
          <t>2026-06-26</t>
        </is>
      </c>
      <c r="B5000" s="3" t="inlineStr">
        <is>
          <t>이녹스첨단소재</t>
        </is>
      </c>
      <c r="C5000" s="2" t="inlineStr">
        <is>
          <t>272290</t>
        </is>
      </c>
      <c r="D5000" s="2" t="inlineStr">
        <is>
          <t>대량보유</t>
        </is>
      </c>
      <c r="E5000" s="3" t="inlineStr">
        <is>
          <t>(주)이녹스</t>
        </is>
      </c>
      <c r="F5000" s="3" t="inlineStr">
        <is>
          <t>특별관계자</t>
        </is>
      </c>
      <c r="G5000" s="3" t="inlineStr">
        <is>
          <t>장내매수(+)</t>
        </is>
      </c>
      <c r="H5000" s="15" t="n">
        <v>61810</v>
      </c>
      <c r="I5000" s="6" t="n">
        <v>27272</v>
      </c>
      <c r="J5000" s="6" t="n">
        <v>5307540</v>
      </c>
      <c r="K5000" s="16" t="n">
        <v>6</v>
      </c>
      <c r="L5000" s="2" t="inlineStr">
        <is>
          <t>20260626000530</t>
        </is>
      </c>
      <c r="M5000" s="8">
        <f>HYPERLINK("https://dart.fss.or.kr/dsaf001/main.do?rcpNo=20260626000530", "공시열람")</f>
        <v/>
      </c>
    </row>
    <row r="5001" ht="22" customHeight="1">
      <c r="A5001" s="2" t="inlineStr">
        <is>
          <t>2026-06-26</t>
        </is>
      </c>
      <c r="B5001" s="3" t="inlineStr">
        <is>
          <t>크레버스</t>
        </is>
      </c>
      <c r="C5001" s="2" t="inlineStr">
        <is>
          <t>096240</t>
        </is>
      </c>
      <c r="D5001" s="2" t="inlineStr">
        <is>
          <t>대량보유</t>
        </is>
      </c>
      <c r="E5001" s="3" t="inlineStr">
        <is>
          <t>김영화</t>
        </is>
      </c>
      <c r="F5001" s="3" t="inlineStr">
        <is>
          <t>보고자</t>
        </is>
      </c>
      <c r="G5001" s="3" t="inlineStr">
        <is>
          <t>보고자 보유주식등에 관한 계약 내용 변경</t>
        </is>
      </c>
      <c r="H5001" s="6" t="inlineStr"/>
      <c r="I5001" s="6" t="inlineStr"/>
      <c r="J5001" s="6" t="n">
        <v>2775695</v>
      </c>
      <c r="K5001" s="16" t="n">
        <v>7</v>
      </c>
      <c r="L5001" s="2" t="inlineStr">
        <is>
          <t>20260626000529</t>
        </is>
      </c>
      <c r="M5001" s="8">
        <f>HYPERLINK("https://dart.fss.or.kr/dsaf001/main.do?rcpNo=20260626000529", "공시열람")</f>
        <v/>
      </c>
    </row>
    <row r="5002" ht="22" customHeight="1">
      <c r="A5002" s="2" t="inlineStr">
        <is>
          <t>2026-06-26</t>
        </is>
      </c>
      <c r="B5002" s="3" t="inlineStr">
        <is>
          <t>경남제약</t>
        </is>
      </c>
      <c r="C5002" s="2" t="inlineStr">
        <is>
          <t>053950</t>
        </is>
      </c>
      <c r="D5002" s="2" t="inlineStr">
        <is>
          <t>대량보유</t>
        </is>
      </c>
      <c r="E5002" s="3" t="inlineStr">
        <is>
          <t>(주)인콘</t>
        </is>
      </c>
      <c r="F5002" s="3" t="inlineStr">
        <is>
          <t>특별관계자</t>
        </is>
      </c>
      <c r="G5002" s="3" t="inlineStr">
        <is>
          <t>풋옵션권리행사에따른주식처분(-)</t>
        </is>
      </c>
      <c r="H5002" s="17" t="n">
        <v>-789889</v>
      </c>
      <c r="I5002" s="6" t="n">
        <v>3165</v>
      </c>
      <c r="J5002" s="6" t="inlineStr"/>
      <c r="K5002" s="16" t="n">
        <v>3</v>
      </c>
      <c r="L5002" s="2" t="inlineStr">
        <is>
          <t>20260626000528</t>
        </is>
      </c>
      <c r="M5002" s="8">
        <f>HYPERLINK("https://dart.fss.or.kr/dsaf001/main.do?rcpNo=20260626000528", "공시열람")</f>
        <v/>
      </c>
    </row>
    <row r="5003" ht="22" customHeight="1">
      <c r="A5003" s="2" t="inlineStr">
        <is>
          <t>2026-06-26</t>
        </is>
      </c>
      <c r="B5003" s="3" t="inlineStr">
        <is>
          <t>에이프로젠</t>
        </is>
      </c>
      <c r="C5003" s="2" t="inlineStr">
        <is>
          <t>007460</t>
        </is>
      </c>
      <c r="D5003" s="2" t="inlineStr">
        <is>
          <t>대량보유</t>
        </is>
      </c>
      <c r="E5003" s="3" t="inlineStr">
        <is>
          <t>(주)앱토크롬</t>
        </is>
      </c>
      <c r="F5003" s="3" t="inlineStr">
        <is>
          <t>특별관계자</t>
        </is>
      </c>
      <c r="G5003" s="3" t="inlineStr">
        <is>
          <t>행사가액조정, 장외매도(-)</t>
        </is>
      </c>
      <c r="H5003" s="15" t="n">
        <v>851012</v>
      </c>
      <c r="I5003" s="6" t="n">
        <v>3145</v>
      </c>
      <c r="J5003" s="6" t="n">
        <v>31048934</v>
      </c>
      <c r="K5003" s="16" t="n">
        <v>10</v>
      </c>
      <c r="L5003" s="2" t="inlineStr">
        <is>
          <t>20260626000522</t>
        </is>
      </c>
      <c r="M5003" s="8">
        <f>HYPERLINK("https://dart.fss.or.kr/dsaf001/main.do?rcpNo=20260626000522", "공시열람")</f>
        <v/>
      </c>
    </row>
    <row r="5004" ht="22" customHeight="1">
      <c r="A5004" s="2" t="inlineStr">
        <is>
          <t>2026-06-26</t>
        </is>
      </c>
      <c r="B5004" s="3" t="inlineStr">
        <is>
          <t>엠케이전자</t>
        </is>
      </c>
      <c r="C5004" s="2" t="inlineStr">
        <is>
          <t>033160</t>
        </is>
      </c>
      <c r="D5004" s="2" t="inlineStr">
        <is>
          <t>대량보유</t>
        </is>
      </c>
      <c r="E5004" s="3" t="inlineStr">
        <is>
          <t>(주)오션비홀딩스</t>
        </is>
      </c>
      <c r="F5004" s="3" t="inlineStr">
        <is>
          <t>보고자</t>
        </is>
      </c>
      <c r="G5004" s="3" t="inlineStr">
        <is>
          <t>보고자의 보유주식등에 관한 계약 변경</t>
        </is>
      </c>
      <c r="H5004" s="6" t="inlineStr"/>
      <c r="I5004" s="6" t="inlineStr"/>
      <c r="J5004" s="6" t="n">
        <v>7818045</v>
      </c>
      <c r="K5004" s="16" t="n">
        <v>2</v>
      </c>
      <c r="L5004" s="2" t="inlineStr">
        <is>
          <t>20260626000520</t>
        </is>
      </c>
      <c r="M5004" s="8">
        <f>HYPERLINK("https://dart.fss.or.kr/dsaf001/main.do?rcpNo=20260626000520", "공시열람")</f>
        <v/>
      </c>
    </row>
    <row r="5005" ht="22" customHeight="1">
      <c r="A5005" s="2" t="inlineStr">
        <is>
          <t>2026-06-26</t>
        </is>
      </c>
      <c r="B5005" s="3" t="inlineStr">
        <is>
          <t>크래프톤</t>
        </is>
      </c>
      <c r="C5005" s="2" t="inlineStr">
        <is>
          <t>259960</t>
        </is>
      </c>
      <c r="D5005" s="2" t="inlineStr">
        <is>
          <t>임원보고</t>
        </is>
      </c>
      <c r="E5005" s="3" t="inlineStr">
        <is>
          <t>-</t>
        </is>
      </c>
      <c r="F5005" s="3" t="inlineStr">
        <is>
          <t>-</t>
        </is>
      </c>
      <c r="G5005" s="3" t="inlineStr">
        <is>
          <t>-</t>
        </is>
      </c>
      <c r="H5005" s="6" t="inlineStr"/>
      <c r="I5005" s="6" t="inlineStr"/>
      <c r="J5005" s="6" t="inlineStr"/>
      <c r="K5005" s="16" t="n">
        <v>12</v>
      </c>
      <c r="L5005" s="2" t="inlineStr">
        <is>
          <t>20260626800825</t>
        </is>
      </c>
      <c r="M5005" s="8">
        <f>HYPERLINK("https://dart.fss.or.kr/dsaf001/main.do?rcpNo=20260626800825", "공시열람")</f>
        <v/>
      </c>
    </row>
    <row r="5006" ht="22" customHeight="1">
      <c r="A5006" s="2" t="inlineStr">
        <is>
          <t>2026-06-26</t>
        </is>
      </c>
      <c r="B5006" s="3" t="inlineStr">
        <is>
          <t>노루페인트</t>
        </is>
      </c>
      <c r="C5006" s="2" t="inlineStr">
        <is>
          <t>090350</t>
        </is>
      </c>
      <c r="D5006" s="2" t="inlineStr">
        <is>
          <t>임원보고</t>
        </is>
      </c>
      <c r="E5006" s="3" t="inlineStr">
        <is>
          <t>-</t>
        </is>
      </c>
      <c r="F5006" s="3" t="inlineStr">
        <is>
          <t>-</t>
        </is>
      </c>
      <c r="G5006" s="3" t="inlineStr">
        <is>
          <t>-</t>
        </is>
      </c>
      <c r="H5006" s="6" t="inlineStr"/>
      <c r="I5006" s="6" t="inlineStr"/>
      <c r="J5006" s="6" t="inlineStr"/>
      <c r="K5006" s="16" t="n">
        <v>12</v>
      </c>
      <c r="L5006" s="2" t="inlineStr">
        <is>
          <t>20260626800821</t>
        </is>
      </c>
      <c r="M5006" s="8">
        <f>HYPERLINK("https://dart.fss.or.kr/dsaf001/main.do?rcpNo=20260626800821", "공시열람")</f>
        <v/>
      </c>
    </row>
    <row r="5007" ht="22" customHeight="1">
      <c r="A5007" s="2" t="inlineStr">
        <is>
          <t>2026-06-26</t>
        </is>
      </c>
      <c r="B5007" s="3" t="inlineStr">
        <is>
          <t>체시스</t>
        </is>
      </c>
      <c r="C5007" s="2" t="inlineStr">
        <is>
          <t>033250</t>
        </is>
      </c>
      <c r="D5007" s="2" t="inlineStr">
        <is>
          <t>임원보고</t>
        </is>
      </c>
      <c r="E5007" s="3" t="inlineStr">
        <is>
          <t>-</t>
        </is>
      </c>
      <c r="F5007" s="3" t="inlineStr">
        <is>
          <t>-</t>
        </is>
      </c>
      <c r="G5007" s="3" t="inlineStr">
        <is>
          <t>-</t>
        </is>
      </c>
      <c r="H5007" s="6" t="inlineStr"/>
      <c r="I5007" s="6" t="inlineStr"/>
      <c r="J5007" s="6" t="inlineStr"/>
      <c r="K5007" s="16" t="n">
        <v>12</v>
      </c>
      <c r="L5007" s="2" t="inlineStr">
        <is>
          <t>20260626800807</t>
        </is>
      </c>
      <c r="M5007" s="8">
        <f>HYPERLINK("https://dart.fss.or.kr/dsaf001/main.do?rcpNo=20260626800807", "공시열람")</f>
        <v/>
      </c>
    </row>
    <row r="5008" ht="22" customHeight="1">
      <c r="A5008" s="2" t="inlineStr">
        <is>
          <t>2026-06-26</t>
        </is>
      </c>
      <c r="B5008" s="3" t="inlineStr">
        <is>
          <t>코웨이</t>
        </is>
      </c>
      <c r="C5008" s="2" t="inlineStr">
        <is>
          <t>021240</t>
        </is>
      </c>
      <c r="D5008" s="2" t="inlineStr">
        <is>
          <t>임원보고</t>
        </is>
      </c>
      <c r="E5008" s="3" t="inlineStr">
        <is>
          <t>-</t>
        </is>
      </c>
      <c r="F5008" s="3" t="inlineStr">
        <is>
          <t>-</t>
        </is>
      </c>
      <c r="G5008" s="3" t="inlineStr">
        <is>
          <t>-</t>
        </is>
      </c>
      <c r="H5008" s="6" t="inlineStr"/>
      <c r="I5008" s="6" t="inlineStr"/>
      <c r="J5008" s="6" t="inlineStr"/>
      <c r="K5008" s="16" t="n">
        <v>12</v>
      </c>
      <c r="L5008" s="2" t="inlineStr">
        <is>
          <t>20260626800804</t>
        </is>
      </c>
      <c r="M5008" s="8">
        <f>HYPERLINK("https://dart.fss.or.kr/dsaf001/main.do?rcpNo=20260626800804", "공시열람")</f>
        <v/>
      </c>
    </row>
    <row r="5009" ht="22" customHeight="1">
      <c r="A5009" s="2" t="inlineStr">
        <is>
          <t>2026-06-26</t>
        </is>
      </c>
      <c r="B5009" s="3" t="inlineStr">
        <is>
          <t>크래프톤</t>
        </is>
      </c>
      <c r="C5009" s="2" t="inlineStr">
        <is>
          <t>259960</t>
        </is>
      </c>
      <c r="D5009" s="2" t="inlineStr">
        <is>
          <t>대량보유</t>
        </is>
      </c>
      <c r="E5009" s="3" t="inlineStr">
        <is>
          <t>노경원</t>
        </is>
      </c>
      <c r="F5009" s="3" t="inlineStr">
        <is>
          <t>특별관계자</t>
        </is>
      </c>
      <c r="G5009" s="3" t="inlineStr">
        <is>
          <t>신규보고(+)</t>
        </is>
      </c>
      <c r="H5009" s="15" t="n">
        <v>202</v>
      </c>
      <c r="I5009" s="6" t="inlineStr"/>
      <c r="J5009" s="6" t="n">
        <v>202</v>
      </c>
      <c r="K5009" s="16" t="n">
        <v>30</v>
      </c>
      <c r="L5009" s="2" t="inlineStr">
        <is>
          <t>20260626000498</t>
        </is>
      </c>
      <c r="M5009" s="8">
        <f>HYPERLINK("https://dart.fss.or.kr/dsaf001/main.do?rcpNo=20260626000498", "공시열람")</f>
        <v/>
      </c>
    </row>
    <row r="5010" ht="22" customHeight="1">
      <c r="A5010" s="2" t="inlineStr">
        <is>
          <t>2026-06-26</t>
        </is>
      </c>
      <c r="B5010" s="3" t="inlineStr">
        <is>
          <t>코리아나</t>
        </is>
      </c>
      <c r="C5010" s="2" t="inlineStr">
        <is>
          <t>027050</t>
        </is>
      </c>
      <c r="D5010" s="2" t="inlineStr">
        <is>
          <t>대량보유</t>
        </is>
      </c>
      <c r="E5010" s="3" t="inlineStr">
        <is>
          <t>유선윤</t>
        </is>
      </c>
      <c r="F5010" s="3" t="inlineStr">
        <is>
          <t>특별관계자</t>
        </is>
      </c>
      <c r="G5010" s="3" t="inlineStr">
        <is>
          <t>장내매수(+)</t>
        </is>
      </c>
      <c r="H5010" s="15" t="n">
        <v>26000</v>
      </c>
      <c r="I5010" s="6" t="n">
        <v>1458</v>
      </c>
      <c r="J5010" s="6" t="n">
        <v>50000</v>
      </c>
      <c r="K5010" s="16" t="n">
        <v>14</v>
      </c>
      <c r="L5010" s="2" t="inlineStr">
        <is>
          <t>20260626000492</t>
        </is>
      </c>
      <c r="M5010" s="8">
        <f>HYPERLINK("https://dart.fss.or.kr/dsaf001/main.do?rcpNo=20260626000492", "공시열람")</f>
        <v/>
      </c>
    </row>
    <row r="5011" ht="22" customHeight="1">
      <c r="A5011" s="2" t="inlineStr">
        <is>
          <t>2026-06-26</t>
        </is>
      </c>
      <c r="B5011" s="3" t="inlineStr">
        <is>
          <t>코리아나</t>
        </is>
      </c>
      <c r="C5011" s="2" t="inlineStr">
        <is>
          <t>027050</t>
        </is>
      </c>
      <c r="D5011" s="2" t="inlineStr">
        <is>
          <t>대량보유</t>
        </is>
      </c>
      <c r="E5011" s="3" t="inlineStr">
        <is>
          <t>유경숙</t>
        </is>
      </c>
      <c r="F5011" s="3" t="inlineStr">
        <is>
          <t>특별관계자</t>
        </is>
      </c>
      <c r="G5011" s="3" t="inlineStr">
        <is>
          <t>장내매수(+)</t>
        </is>
      </c>
      <c r="H5011" s="15" t="n">
        <v>50000</v>
      </c>
      <c r="I5011" s="6" t="n">
        <v>1394</v>
      </c>
      <c r="J5011" s="6" t="n">
        <v>51000</v>
      </c>
      <c r="K5011" s="16" t="n">
        <v>14</v>
      </c>
      <c r="L5011" s="2" t="inlineStr">
        <is>
          <t>20260626000492</t>
        </is>
      </c>
      <c r="M5011" s="8">
        <f>HYPERLINK("https://dart.fss.or.kr/dsaf001/main.do?rcpNo=20260626000492", "공시열람")</f>
        <v/>
      </c>
    </row>
    <row r="5012" ht="22" customHeight="1">
      <c r="A5012" s="2" t="inlineStr">
        <is>
          <t>2026-06-26</t>
        </is>
      </c>
      <c r="B5012" s="3" t="inlineStr">
        <is>
          <t>코스맥스비티아이</t>
        </is>
      </c>
      <c r="C5012" s="2" t="inlineStr">
        <is>
          <t>044820</t>
        </is>
      </c>
      <c r="D5012" s="2" t="inlineStr">
        <is>
          <t>대량보유</t>
        </is>
      </c>
      <c r="E5012" s="3" t="inlineStr">
        <is>
          <t>서성석</t>
        </is>
      </c>
      <c r="F5012" s="3" t="inlineStr">
        <is>
          <t>보고자</t>
        </is>
      </c>
      <c r="G5012" s="3" t="inlineStr">
        <is>
          <t>담보계약의 해소</t>
        </is>
      </c>
      <c r="H5012" s="6" t="inlineStr"/>
      <c r="I5012" s="6" t="inlineStr"/>
      <c r="J5012" s="6" t="n">
        <v>6051726</v>
      </c>
      <c r="K5012" s="16" t="n">
        <v>9</v>
      </c>
      <c r="L5012" s="2" t="inlineStr">
        <is>
          <t>20260626000489</t>
        </is>
      </c>
      <c r="M5012" s="8">
        <f>HYPERLINK("https://dart.fss.or.kr/dsaf001/main.do?rcpNo=20260626000489", "공시열람")</f>
        <v/>
      </c>
    </row>
    <row r="5013" ht="22" customHeight="1">
      <c r="A5013" s="2" t="inlineStr">
        <is>
          <t>2026-06-26</t>
        </is>
      </c>
      <c r="B5013" s="3" t="inlineStr">
        <is>
          <t>유니퀘스트</t>
        </is>
      </c>
      <c r="C5013" s="2" t="inlineStr">
        <is>
          <t>077500</t>
        </is>
      </c>
      <c r="D5013" s="2" t="inlineStr">
        <is>
          <t>대량보유</t>
        </is>
      </c>
      <c r="E5013" s="3" t="inlineStr">
        <is>
          <t>Kim,Andrew</t>
        </is>
      </c>
      <c r="F5013" s="3" t="inlineStr">
        <is>
          <t>특별관계자</t>
        </is>
      </c>
      <c r="G5013" s="3" t="inlineStr">
        <is>
          <t>장내매수(+)</t>
        </is>
      </c>
      <c r="H5013" s="15" t="n">
        <v>20000</v>
      </c>
      <c r="I5013" s="6" t="n">
        <v>6145</v>
      </c>
      <c r="J5013" s="6" t="n">
        <v>117496</v>
      </c>
      <c r="K5013" s="16" t="n">
        <v>5</v>
      </c>
      <c r="L5013" s="2" t="inlineStr">
        <is>
          <t>20260626000475</t>
        </is>
      </c>
      <c r="M5013" s="8">
        <f>HYPERLINK("https://dart.fss.or.kr/dsaf001/main.do?rcpNo=20260626000475", "공시열람")</f>
        <v/>
      </c>
    </row>
    <row r="5014" ht="22" customHeight="1">
      <c r="A5014" s="2" t="inlineStr">
        <is>
          <t>2026-06-26</t>
        </is>
      </c>
      <c r="B5014" s="3" t="inlineStr">
        <is>
          <t>인텔리안테크</t>
        </is>
      </c>
      <c r="C5014" s="2" t="inlineStr">
        <is>
          <t>189300</t>
        </is>
      </c>
      <c r="D5014" s="2" t="inlineStr">
        <is>
          <t>대량보유</t>
        </is>
      </c>
      <c r="E5014" s="3" t="inlineStr">
        <is>
          <t>박세훈</t>
        </is>
      </c>
      <c r="F5014" s="3" t="inlineStr">
        <is>
          <t>특별관계자</t>
        </is>
      </c>
      <c r="G5014" s="3" t="inlineStr">
        <is>
          <t>임원퇴임(-)</t>
        </is>
      </c>
      <c r="H5014" s="17" t="n">
        <v>-27201</v>
      </c>
      <c r="I5014" s="6" t="inlineStr"/>
      <c r="J5014" s="6" t="inlineStr"/>
      <c r="K5014" s="16" t="n">
        <v>5</v>
      </c>
      <c r="L5014" s="2" t="inlineStr">
        <is>
          <t>20260626000467</t>
        </is>
      </c>
      <c r="M5014" s="8">
        <f>HYPERLINK("https://dart.fss.or.kr/dsaf001/main.do?rcpNo=20260626000467", "공시열람")</f>
        <v/>
      </c>
    </row>
    <row r="5015" ht="22" customHeight="1">
      <c r="A5015" s="2" t="inlineStr">
        <is>
          <t>2026-06-26</t>
        </is>
      </c>
      <c r="B5015" s="3" t="inlineStr">
        <is>
          <t>디아이씨</t>
        </is>
      </c>
      <c r="C5015" s="2" t="inlineStr">
        <is>
          <t>092200</t>
        </is>
      </c>
      <c r="D5015" s="2" t="inlineStr">
        <is>
          <t>임원보고</t>
        </is>
      </c>
      <c r="E5015" s="3" t="inlineStr">
        <is>
          <t>-</t>
        </is>
      </c>
      <c r="F5015" s="3" t="inlineStr">
        <is>
          <t>-</t>
        </is>
      </c>
      <c r="G5015" s="3" t="inlineStr">
        <is>
          <t>-</t>
        </is>
      </c>
      <c r="H5015" s="6" t="inlineStr"/>
      <c r="I5015" s="6" t="inlineStr"/>
      <c r="J5015" s="6" t="inlineStr"/>
      <c r="K5015" s="16" t="n">
        <v>12</v>
      </c>
      <c r="L5015" s="2" t="inlineStr">
        <is>
          <t>20260626800734</t>
        </is>
      </c>
      <c r="M5015" s="8">
        <f>HYPERLINK("https://dart.fss.or.kr/dsaf001/main.do?rcpNo=20260626800734", "공시열람")</f>
        <v/>
      </c>
    </row>
    <row r="5016" ht="22" customHeight="1">
      <c r="A5016" s="2" t="inlineStr">
        <is>
          <t>2026-06-26</t>
        </is>
      </c>
      <c r="B5016" s="3" t="inlineStr">
        <is>
          <t>DSR</t>
        </is>
      </c>
      <c r="C5016" s="2" t="inlineStr">
        <is>
          <t>155660</t>
        </is>
      </c>
      <c r="D5016" s="2" t="inlineStr">
        <is>
          <t>임원보고</t>
        </is>
      </c>
      <c r="E5016" s="3" t="inlineStr">
        <is>
          <t>-</t>
        </is>
      </c>
      <c r="F5016" s="3" t="inlineStr">
        <is>
          <t>-</t>
        </is>
      </c>
      <c r="G5016" s="3" t="inlineStr">
        <is>
          <t>-</t>
        </is>
      </c>
      <c r="H5016" s="6" t="inlineStr"/>
      <c r="I5016" s="6" t="inlineStr"/>
      <c r="J5016" s="6" t="inlineStr"/>
      <c r="K5016" s="16" t="n">
        <v>12</v>
      </c>
      <c r="L5016" s="2" t="inlineStr">
        <is>
          <t>20260626800732</t>
        </is>
      </c>
      <c r="M5016" s="8">
        <f>HYPERLINK("https://dart.fss.or.kr/dsaf001/main.do?rcpNo=20260626800732", "공시열람")</f>
        <v/>
      </c>
    </row>
    <row r="5017" ht="22" customHeight="1">
      <c r="A5017" s="2" t="inlineStr">
        <is>
          <t>2026-06-26</t>
        </is>
      </c>
      <c r="B5017" s="3" t="inlineStr">
        <is>
          <t>DSR제강</t>
        </is>
      </c>
      <c r="C5017" s="2" t="inlineStr">
        <is>
          <t>069730</t>
        </is>
      </c>
      <c r="D5017" s="2" t="inlineStr">
        <is>
          <t>임원보고</t>
        </is>
      </c>
      <c r="E5017" s="3" t="inlineStr">
        <is>
          <t>-</t>
        </is>
      </c>
      <c r="F5017" s="3" t="inlineStr">
        <is>
          <t>-</t>
        </is>
      </c>
      <c r="G5017" s="3" t="inlineStr">
        <is>
          <t>-</t>
        </is>
      </c>
      <c r="H5017" s="6" t="inlineStr"/>
      <c r="I5017" s="6" t="inlineStr"/>
      <c r="J5017" s="6" t="inlineStr"/>
      <c r="K5017" s="16" t="n">
        <v>12</v>
      </c>
      <c r="L5017" s="2" t="inlineStr">
        <is>
          <t>20260626800724</t>
        </is>
      </c>
      <c r="M5017" s="8">
        <f>HYPERLINK("https://dart.fss.or.kr/dsaf001/main.do?rcpNo=20260626800724", "공시열람")</f>
        <v/>
      </c>
    </row>
    <row r="5018" ht="22" customHeight="1">
      <c r="A5018" s="2" t="inlineStr">
        <is>
          <t>2026-06-26</t>
        </is>
      </c>
      <c r="B5018" s="3" t="inlineStr">
        <is>
          <t>파인메딕스</t>
        </is>
      </c>
      <c r="C5018" s="2" t="inlineStr">
        <is>
          <t>387570</t>
        </is>
      </c>
      <c r="D5018" s="2" t="inlineStr">
        <is>
          <t>대량보유</t>
        </is>
      </c>
      <c r="E5018" s="3" t="inlineStr">
        <is>
          <t>엔브이씨파트너스(주)</t>
        </is>
      </c>
      <c r="F5018" s="3" t="inlineStr">
        <is>
          <t>특별관계자</t>
        </is>
      </c>
      <c r="G5018" s="3" t="inlineStr">
        <is>
          <t>장내매도(-), 기타(+)</t>
        </is>
      </c>
      <c r="H5018" s="15" t="n">
        <v>16367</v>
      </c>
      <c r="I5018" s="6" t="n">
        <v>7355</v>
      </c>
      <c r="J5018" s="6" t="n">
        <v>21387</v>
      </c>
      <c r="K5018" s="16" t="n">
        <v>2</v>
      </c>
      <c r="L5018" s="2" t="inlineStr">
        <is>
          <t>20260626000456</t>
        </is>
      </c>
      <c r="M5018" s="8">
        <f>HYPERLINK("https://dart.fss.or.kr/dsaf001/main.do?rcpNo=20260626000456", "공시열람")</f>
        <v/>
      </c>
    </row>
    <row r="5019" ht="22" customHeight="1">
      <c r="A5019" s="2" t="inlineStr">
        <is>
          <t>2026-06-26</t>
        </is>
      </c>
      <c r="B5019" s="3" t="inlineStr">
        <is>
          <t>파인메딕스</t>
        </is>
      </c>
      <c r="C5019" s="2" t="inlineStr">
        <is>
          <t>387570</t>
        </is>
      </c>
      <c r="D5019" s="2" t="inlineStr">
        <is>
          <t>대량보유</t>
        </is>
      </c>
      <c r="E5019" s="3" t="inlineStr">
        <is>
          <t>엔브이씨2019바이오헬스케어투자조합</t>
        </is>
      </c>
      <c r="F5019" s="3" t="inlineStr">
        <is>
          <t>특별관계자</t>
        </is>
      </c>
      <c r="G5019" s="3" t="inlineStr">
        <is>
          <t>장내매도(-), 기타(-)</t>
        </is>
      </c>
      <c r="H5019" s="17" t="n">
        <v>-344700</v>
      </c>
      <c r="I5019" s="6" t="n">
        <v>6040</v>
      </c>
      <c r="J5019" s="6" t="inlineStr"/>
      <c r="K5019" s="16" t="n">
        <v>2</v>
      </c>
      <c r="L5019" s="2" t="inlineStr">
        <is>
          <t>20260626000456</t>
        </is>
      </c>
      <c r="M5019" s="8">
        <f>HYPERLINK("https://dart.fss.or.kr/dsaf001/main.do?rcpNo=20260626000456", "공시열람")</f>
        <v/>
      </c>
    </row>
    <row r="5020" ht="22" customHeight="1">
      <c r="A5020" s="2" t="inlineStr">
        <is>
          <t>2026-06-26</t>
        </is>
      </c>
      <c r="B5020" s="3" t="inlineStr">
        <is>
          <t>유니퀘스트</t>
        </is>
      </c>
      <c r="C5020" s="2" t="inlineStr">
        <is>
          <t>077500</t>
        </is>
      </c>
      <c r="D5020" s="2" t="inlineStr">
        <is>
          <t>임원보고</t>
        </is>
      </c>
      <c r="E5020" s="3" t="inlineStr">
        <is>
          <t>-</t>
        </is>
      </c>
      <c r="F5020" s="3" t="inlineStr">
        <is>
          <t>-</t>
        </is>
      </c>
      <c r="G5020" s="3" t="inlineStr">
        <is>
          <t>-</t>
        </is>
      </c>
      <c r="H5020" s="6" t="inlineStr"/>
      <c r="I5020" s="6" t="inlineStr"/>
      <c r="J5020" s="6" t="inlineStr"/>
      <c r="K5020" s="16" t="n">
        <v>12</v>
      </c>
      <c r="L5020" s="2" t="inlineStr">
        <is>
          <t>20260626800700</t>
        </is>
      </c>
      <c r="M5020" s="8">
        <f>HYPERLINK("https://dart.fss.or.kr/dsaf001/main.do?rcpNo=20260626800700", "공시열람")</f>
        <v/>
      </c>
    </row>
    <row r="5021" ht="22" customHeight="1">
      <c r="A5021" s="2" t="inlineStr">
        <is>
          <t>2026-06-26</t>
        </is>
      </c>
      <c r="B5021" s="3" t="inlineStr">
        <is>
          <t>에이치엔에스하이텍</t>
        </is>
      </c>
      <c r="C5021" s="2" t="inlineStr">
        <is>
          <t>044990</t>
        </is>
      </c>
      <c r="D5021" s="2" t="inlineStr">
        <is>
          <t>대량보유</t>
        </is>
      </c>
      <c r="E5021" s="3" t="inlineStr">
        <is>
          <t>김정희</t>
        </is>
      </c>
      <c r="F5021" s="3" t="inlineStr">
        <is>
          <t>특별관계자</t>
        </is>
      </c>
      <c r="G5021" s="3" t="inlineStr">
        <is>
          <t>장내매수(+)</t>
        </is>
      </c>
      <c r="H5021" s="15" t="n">
        <v>8637</v>
      </c>
      <c r="I5021" s="6" t="n">
        <v>14501</v>
      </c>
      <c r="J5021" s="6" t="n">
        <v>1633140</v>
      </c>
      <c r="K5021" s="16" t="n">
        <v>11</v>
      </c>
      <c r="L5021" s="2" t="inlineStr">
        <is>
          <t>20260626000444</t>
        </is>
      </c>
      <c r="M5021" s="8">
        <f>HYPERLINK("https://dart.fss.or.kr/dsaf001/main.do?rcpNo=20260626000444", "공시열람")</f>
        <v/>
      </c>
    </row>
    <row r="5022" ht="22" customHeight="1">
      <c r="A5022" s="2" t="inlineStr">
        <is>
          <t>2026-06-26</t>
        </is>
      </c>
      <c r="B5022" s="3" t="inlineStr">
        <is>
          <t>삼영엠텍</t>
        </is>
      </c>
      <c r="C5022" s="2" t="inlineStr">
        <is>
          <t>054540</t>
        </is>
      </c>
      <c r="D5022" s="2" t="inlineStr">
        <is>
          <t>대량보유</t>
        </is>
      </c>
      <c r="E5022" s="3" t="inlineStr">
        <is>
          <t>서미정</t>
        </is>
      </c>
      <c r="F5022" s="3" t="inlineStr">
        <is>
          <t>특별관계자</t>
        </is>
      </c>
      <c r="G5022" s="3" t="inlineStr">
        <is>
          <t>장내매수(+)</t>
        </is>
      </c>
      <c r="H5022" s="15" t="n">
        <v>6520</v>
      </c>
      <c r="I5022" s="6" t="n">
        <v>9907</v>
      </c>
      <c r="J5022" s="6" t="n">
        <v>114520</v>
      </c>
      <c r="K5022" s="16" t="n">
        <v>5</v>
      </c>
      <c r="L5022" s="2" t="inlineStr">
        <is>
          <t>20260626000423</t>
        </is>
      </c>
      <c r="M5022" s="8">
        <f>HYPERLINK("https://dart.fss.or.kr/dsaf001/main.do?rcpNo=20260626000423", "공시열람")</f>
        <v/>
      </c>
    </row>
    <row r="5023" ht="22" customHeight="1">
      <c r="A5023" s="2" t="inlineStr">
        <is>
          <t>2026-06-26</t>
        </is>
      </c>
      <c r="B5023" s="3" t="inlineStr">
        <is>
          <t>삼영엠텍</t>
        </is>
      </c>
      <c r="C5023" s="2" t="inlineStr">
        <is>
          <t>054540</t>
        </is>
      </c>
      <c r="D5023" s="2" t="inlineStr">
        <is>
          <t>대량보유</t>
        </is>
      </c>
      <c r="E5023" s="3" t="inlineStr">
        <is>
          <t>전준수</t>
        </is>
      </c>
      <c r="F5023" s="3" t="inlineStr">
        <is>
          <t>특별관계자</t>
        </is>
      </c>
      <c r="G5023" s="3" t="inlineStr">
        <is>
          <t>장내매수(+)</t>
        </is>
      </c>
      <c r="H5023" s="15" t="n">
        <v>17910</v>
      </c>
      <c r="I5023" s="6" t="n">
        <v>8912</v>
      </c>
      <c r="J5023" s="6" t="n">
        <v>33000</v>
      </c>
      <c r="K5023" s="16" t="n">
        <v>5</v>
      </c>
      <c r="L5023" s="2" t="inlineStr">
        <is>
          <t>20260626000423</t>
        </is>
      </c>
      <c r="M5023" s="8">
        <f>HYPERLINK("https://dart.fss.or.kr/dsaf001/main.do?rcpNo=20260626000423", "공시열람")</f>
        <v/>
      </c>
    </row>
    <row r="5024" ht="22" customHeight="1">
      <c r="A5024" s="2" t="inlineStr">
        <is>
          <t>2026-06-26</t>
        </is>
      </c>
      <c r="B5024" s="3" t="inlineStr">
        <is>
          <t>리드코프</t>
        </is>
      </c>
      <c r="C5024" s="2" t="inlineStr">
        <is>
          <t>012700</t>
        </is>
      </c>
      <c r="D5024" s="2" t="inlineStr">
        <is>
          <t>대량보유</t>
        </is>
      </c>
      <c r="E5024" s="3" t="inlineStr">
        <is>
          <t>(주)디케이마린</t>
        </is>
      </c>
      <c r="F5024" s="3" t="inlineStr">
        <is>
          <t>보고자</t>
        </is>
      </c>
      <c r="G5024" s="3" t="inlineStr">
        <is>
          <t>주식담보계약 상환 및 담보제공</t>
        </is>
      </c>
      <c r="H5024" s="6" t="inlineStr"/>
      <c r="I5024" s="6" t="inlineStr"/>
      <c r="J5024" s="6" t="n">
        <v>11067623</v>
      </c>
      <c r="K5024" s="16" t="n">
        <v>3</v>
      </c>
      <c r="L5024" s="2" t="inlineStr">
        <is>
          <t>20260626000416</t>
        </is>
      </c>
      <c r="M5024" s="8">
        <f>HYPERLINK("https://dart.fss.or.kr/dsaf001/main.do?rcpNo=20260626000416", "공시열람")</f>
        <v/>
      </c>
    </row>
    <row r="5025" ht="22" customHeight="1">
      <c r="A5025" s="2" t="inlineStr">
        <is>
          <t>2026-06-26</t>
        </is>
      </c>
      <c r="B5025" s="3" t="inlineStr">
        <is>
          <t>큐캐피탈</t>
        </is>
      </c>
      <c r="C5025" s="2" t="inlineStr">
        <is>
          <t>016600</t>
        </is>
      </c>
      <c r="D5025" s="2" t="inlineStr">
        <is>
          <t>대량보유</t>
        </is>
      </c>
      <c r="E5025" s="3" t="inlineStr">
        <is>
          <t>권경훈</t>
        </is>
      </c>
      <c r="F5025" s="3" t="inlineStr">
        <is>
          <t>특별관계자</t>
        </is>
      </c>
      <c r="G5025" s="3" t="inlineStr">
        <is>
          <t>장내매수(+)</t>
        </is>
      </c>
      <c r="H5025" s="15" t="n">
        <v>10000</v>
      </c>
      <c r="I5025" s="6" t="n">
        <v>3083</v>
      </c>
      <c r="J5025" s="6" t="n">
        <v>90000</v>
      </c>
      <c r="K5025" s="16" t="n">
        <v>12</v>
      </c>
      <c r="L5025" s="2" t="inlineStr">
        <is>
          <t>20260626000407</t>
        </is>
      </c>
      <c r="M5025" s="8">
        <f>HYPERLINK("https://dart.fss.or.kr/dsaf001/main.do?rcpNo=20260626000407", "공시열람")</f>
        <v/>
      </c>
    </row>
    <row r="5026" ht="22" customHeight="1">
      <c r="A5026" s="2" t="inlineStr">
        <is>
          <t>2026-06-26</t>
        </is>
      </c>
      <c r="B5026" s="3" t="inlineStr">
        <is>
          <t>큐캐피탈</t>
        </is>
      </c>
      <c r="C5026" s="2" t="inlineStr">
        <is>
          <t>016600</t>
        </is>
      </c>
      <c r="D5026" s="2" t="inlineStr">
        <is>
          <t>대량보유</t>
        </is>
      </c>
      <c r="E5026" s="3" t="inlineStr">
        <is>
          <t>황희연</t>
        </is>
      </c>
      <c r="F5026" s="3" t="inlineStr">
        <is>
          <t>특별관계자</t>
        </is>
      </c>
      <c r="G5026" s="3" t="inlineStr">
        <is>
          <t>장내매수(+)</t>
        </is>
      </c>
      <c r="H5026" s="15" t="n">
        <v>1600</v>
      </c>
      <c r="I5026" s="6" t="n">
        <v>3030</v>
      </c>
      <c r="J5026" s="6" t="n">
        <v>61200</v>
      </c>
      <c r="K5026" s="16" t="n">
        <v>12</v>
      </c>
      <c r="L5026" s="2" t="inlineStr">
        <is>
          <t>20260626000407</t>
        </is>
      </c>
      <c r="M5026" s="8">
        <f>HYPERLINK("https://dart.fss.or.kr/dsaf001/main.do?rcpNo=20260626000407", "공시열람")</f>
        <v/>
      </c>
    </row>
    <row r="5027" ht="22" customHeight="1">
      <c r="A5027" s="2" t="inlineStr">
        <is>
          <t>2026-06-26</t>
        </is>
      </c>
      <c r="B5027" s="3" t="inlineStr">
        <is>
          <t>큐캐피탈</t>
        </is>
      </c>
      <c r="C5027" s="2" t="inlineStr">
        <is>
          <t>016600</t>
        </is>
      </c>
      <c r="D5027" s="2" t="inlineStr">
        <is>
          <t>대량보유</t>
        </is>
      </c>
      <c r="E5027" s="3" t="inlineStr">
        <is>
          <t>윤동현</t>
        </is>
      </c>
      <c r="F5027" s="3" t="inlineStr">
        <is>
          <t>특별관계자</t>
        </is>
      </c>
      <c r="G5027" s="3" t="inlineStr">
        <is>
          <t>장내매수(+)</t>
        </is>
      </c>
      <c r="H5027" s="15" t="n">
        <v>900</v>
      </c>
      <c r="I5027" s="6" t="n">
        <v>3055</v>
      </c>
      <c r="J5027" s="6" t="n">
        <v>15300</v>
      </c>
      <c r="K5027" s="16" t="n">
        <v>12</v>
      </c>
      <c r="L5027" s="2" t="inlineStr">
        <is>
          <t>20260626000407</t>
        </is>
      </c>
      <c r="M5027" s="8">
        <f>HYPERLINK("https://dart.fss.or.kr/dsaf001/main.do?rcpNo=20260626000407", "공시열람")</f>
        <v/>
      </c>
    </row>
    <row r="5028" ht="22" customHeight="1">
      <c r="A5028" s="2" t="inlineStr">
        <is>
          <t>2026-06-26</t>
        </is>
      </c>
      <c r="B5028" s="3" t="inlineStr">
        <is>
          <t>큐캐피탈</t>
        </is>
      </c>
      <c r="C5028" s="2" t="inlineStr">
        <is>
          <t>016600</t>
        </is>
      </c>
      <c r="D5028" s="2" t="inlineStr">
        <is>
          <t>대량보유</t>
        </is>
      </c>
      <c r="E5028" s="3" t="inlineStr">
        <is>
          <t>이창민</t>
        </is>
      </c>
      <c r="F5028" s="3" t="inlineStr">
        <is>
          <t>특별관계자</t>
        </is>
      </c>
      <c r="G5028" s="3" t="inlineStr">
        <is>
          <t>장내매수(+)</t>
        </is>
      </c>
      <c r="H5028" s="15" t="n">
        <v>1000</v>
      </c>
      <c r="I5028" s="6" t="n">
        <v>2868</v>
      </c>
      <c r="J5028" s="6" t="n">
        <v>15000</v>
      </c>
      <c r="K5028" s="16" t="n">
        <v>12</v>
      </c>
      <c r="L5028" s="2" t="inlineStr">
        <is>
          <t>20260626000407</t>
        </is>
      </c>
      <c r="M5028" s="8">
        <f>HYPERLINK("https://dart.fss.or.kr/dsaf001/main.do?rcpNo=20260626000407", "공시열람")</f>
        <v/>
      </c>
    </row>
    <row r="5029" ht="22" customHeight="1">
      <c r="A5029" s="2" t="inlineStr">
        <is>
          <t>2026-06-26</t>
        </is>
      </c>
      <c r="B5029" s="3" t="inlineStr">
        <is>
          <t>큐캐피탈</t>
        </is>
      </c>
      <c r="C5029" s="2" t="inlineStr">
        <is>
          <t>016600</t>
        </is>
      </c>
      <c r="D5029" s="2" t="inlineStr">
        <is>
          <t>대량보유</t>
        </is>
      </c>
      <c r="E5029" s="3" t="inlineStr">
        <is>
          <t>평기호</t>
        </is>
      </c>
      <c r="F5029" s="3" t="inlineStr">
        <is>
          <t>특별관계자</t>
        </is>
      </c>
      <c r="G5029" s="3" t="inlineStr">
        <is>
          <t>장내매수(+)</t>
        </is>
      </c>
      <c r="H5029" s="15" t="n">
        <v>110</v>
      </c>
      <c r="I5029" s="6" t="n">
        <v>3050</v>
      </c>
      <c r="J5029" s="6" t="n">
        <v>2910</v>
      </c>
      <c r="K5029" s="16" t="n">
        <v>12</v>
      </c>
      <c r="L5029" s="2" t="inlineStr">
        <is>
          <t>20260626000407</t>
        </is>
      </c>
      <c r="M5029" s="8">
        <f>HYPERLINK("https://dart.fss.or.kr/dsaf001/main.do?rcpNo=20260626000407", "공시열람")</f>
        <v/>
      </c>
    </row>
    <row r="5030" ht="22" customHeight="1">
      <c r="A5030" s="2" t="inlineStr">
        <is>
          <t>2026-06-26</t>
        </is>
      </c>
      <c r="B5030" s="3" t="inlineStr">
        <is>
          <t>큐캐피탈</t>
        </is>
      </c>
      <c r="C5030" s="2" t="inlineStr">
        <is>
          <t>016600</t>
        </is>
      </c>
      <c r="D5030" s="2" t="inlineStr">
        <is>
          <t>대량보유</t>
        </is>
      </c>
      <c r="E5030" s="3" t="inlineStr">
        <is>
          <t>김성훈</t>
        </is>
      </c>
      <c r="F5030" s="3" t="inlineStr">
        <is>
          <t>특별관계자</t>
        </is>
      </c>
      <c r="G5030" s="3" t="inlineStr">
        <is>
          <t>장내매수(+)</t>
        </is>
      </c>
      <c r="H5030" s="15" t="n">
        <v>150</v>
      </c>
      <c r="I5030" s="6" t="n">
        <v>2930</v>
      </c>
      <c r="J5030" s="6" t="n">
        <v>2950</v>
      </c>
      <c r="K5030" s="16" t="n">
        <v>12</v>
      </c>
      <c r="L5030" s="2" t="inlineStr">
        <is>
          <t>20260626000407</t>
        </is>
      </c>
      <c r="M5030" s="8">
        <f>HYPERLINK("https://dart.fss.or.kr/dsaf001/main.do?rcpNo=20260626000407", "공시열람")</f>
        <v/>
      </c>
    </row>
    <row r="5031" ht="22" customHeight="1">
      <c r="A5031" s="2" t="inlineStr">
        <is>
          <t>2026-06-26</t>
        </is>
      </c>
      <c r="B5031" s="3" t="inlineStr">
        <is>
          <t>큐캐피탈</t>
        </is>
      </c>
      <c r="C5031" s="2" t="inlineStr">
        <is>
          <t>016600</t>
        </is>
      </c>
      <c r="D5031" s="2" t="inlineStr">
        <is>
          <t>대량보유</t>
        </is>
      </c>
      <c r="E5031" s="3" t="inlineStr">
        <is>
          <t>김재현</t>
        </is>
      </c>
      <c r="F5031" s="3" t="inlineStr">
        <is>
          <t>특별관계자</t>
        </is>
      </c>
      <c r="G5031" s="3" t="inlineStr">
        <is>
          <t>장내매수(+)</t>
        </is>
      </c>
      <c r="H5031" s="15" t="n">
        <v>30</v>
      </c>
      <c r="I5031" s="6" t="n">
        <v>3007</v>
      </c>
      <c r="J5031" s="6" t="n">
        <v>2795</v>
      </c>
      <c r="K5031" s="16" t="n">
        <v>12</v>
      </c>
      <c r="L5031" s="2" t="inlineStr">
        <is>
          <t>20260626000407</t>
        </is>
      </c>
      <c r="M5031" s="8">
        <f>HYPERLINK("https://dart.fss.or.kr/dsaf001/main.do?rcpNo=20260626000407", "공시열람")</f>
        <v/>
      </c>
    </row>
    <row r="5032" ht="22" customHeight="1">
      <c r="A5032" s="2" t="inlineStr">
        <is>
          <t>2026-06-26</t>
        </is>
      </c>
      <c r="B5032" s="3" t="inlineStr">
        <is>
          <t>큐캐피탈</t>
        </is>
      </c>
      <c r="C5032" s="2" t="inlineStr">
        <is>
          <t>016600</t>
        </is>
      </c>
      <c r="D5032" s="2" t="inlineStr">
        <is>
          <t>대량보유</t>
        </is>
      </c>
      <c r="E5032" s="3" t="inlineStr">
        <is>
          <t>진윤정</t>
        </is>
      </c>
      <c r="F5032" s="3" t="inlineStr">
        <is>
          <t>특별관계자</t>
        </is>
      </c>
      <c r="G5032" s="3" t="inlineStr">
        <is>
          <t>장내매수(+)</t>
        </is>
      </c>
      <c r="H5032" s="15" t="n">
        <v>100</v>
      </c>
      <c r="I5032" s="6" t="n">
        <v>2950</v>
      </c>
      <c r="J5032" s="6" t="n">
        <v>980</v>
      </c>
      <c r="K5032" s="16" t="n">
        <v>12</v>
      </c>
      <c r="L5032" s="2" t="inlineStr">
        <is>
          <t>20260626000407</t>
        </is>
      </c>
      <c r="M5032" s="8">
        <f>HYPERLINK("https://dart.fss.or.kr/dsaf001/main.do?rcpNo=20260626000407", "공시열람")</f>
        <v/>
      </c>
    </row>
    <row r="5033" ht="22" customHeight="1">
      <c r="A5033" s="2" t="inlineStr">
        <is>
          <t>2026-06-26</t>
        </is>
      </c>
      <c r="B5033" s="3" t="inlineStr">
        <is>
          <t>큐캐피탈</t>
        </is>
      </c>
      <c r="C5033" s="2" t="inlineStr">
        <is>
          <t>016600</t>
        </is>
      </c>
      <c r="D5033" s="2" t="inlineStr">
        <is>
          <t>대량보유</t>
        </is>
      </c>
      <c r="E5033" s="3" t="inlineStr">
        <is>
          <t>감경일</t>
        </is>
      </c>
      <c r="F5033" s="3" t="inlineStr">
        <is>
          <t>특별관계자</t>
        </is>
      </c>
      <c r="G5033" s="3" t="inlineStr">
        <is>
          <t>장내매수(+)</t>
        </is>
      </c>
      <c r="H5033" s="15" t="n">
        <v>200</v>
      </c>
      <c r="I5033" s="6" t="n">
        <v>2970</v>
      </c>
      <c r="J5033" s="6" t="n">
        <v>4200</v>
      </c>
      <c r="K5033" s="16" t="n">
        <v>12</v>
      </c>
      <c r="L5033" s="2" t="inlineStr">
        <is>
          <t>20260626000407</t>
        </is>
      </c>
      <c r="M5033" s="8">
        <f>HYPERLINK("https://dart.fss.or.kr/dsaf001/main.do?rcpNo=20260626000407", "공시열람")</f>
        <v/>
      </c>
    </row>
    <row r="5034" ht="22" customHeight="1">
      <c r="A5034" s="2" t="inlineStr">
        <is>
          <t>2026-06-26</t>
        </is>
      </c>
      <c r="B5034" s="3" t="inlineStr">
        <is>
          <t>SH에너지화학</t>
        </is>
      </c>
      <c r="C5034" s="2" t="inlineStr">
        <is>
          <t>002360</t>
        </is>
      </c>
      <c r="D5034" s="2" t="inlineStr">
        <is>
          <t>임원보고</t>
        </is>
      </c>
      <c r="E5034" s="3" t="inlineStr">
        <is>
          <t>-</t>
        </is>
      </c>
      <c r="F5034" s="3" t="inlineStr">
        <is>
          <t>-</t>
        </is>
      </c>
      <c r="G5034" s="3" t="inlineStr">
        <is>
          <t>-</t>
        </is>
      </c>
      <c r="H5034" s="6" t="inlineStr"/>
      <c r="I5034" s="6" t="inlineStr"/>
      <c r="J5034" s="6" t="inlineStr"/>
      <c r="K5034" s="16" t="n">
        <v>12</v>
      </c>
      <c r="L5034" s="2" t="inlineStr">
        <is>
          <t>20260626800628</t>
        </is>
      </c>
      <c r="M5034" s="8">
        <f>HYPERLINK("https://dart.fss.or.kr/dsaf001/main.do?rcpNo=20260626800628", "공시열람")</f>
        <v/>
      </c>
    </row>
    <row r="5035" ht="22" customHeight="1">
      <c r="A5035" s="2" t="inlineStr">
        <is>
          <t>2026-06-26</t>
        </is>
      </c>
      <c r="B5035" s="3" t="inlineStr">
        <is>
          <t>대신밸런스제20호스팩</t>
        </is>
      </c>
      <c r="C5035" s="2" t="inlineStr">
        <is>
          <t>0134X0</t>
        </is>
      </c>
      <c r="D5035" s="2" t="inlineStr">
        <is>
          <t>대량보유</t>
        </is>
      </c>
      <c r="E5035" s="3" t="inlineStr">
        <is>
          <t>대신증권(주)</t>
        </is>
      </c>
      <c r="F5035" s="3" t="inlineStr">
        <is>
          <t>특별관계자</t>
        </is>
      </c>
      <c r="G5035" s="3" t="inlineStr">
        <is>
          <t>신규등록(+)</t>
        </is>
      </c>
      <c r="H5035" s="15" t="n">
        <v>1000000</v>
      </c>
      <c r="I5035" s="6" t="n">
        <v>1000</v>
      </c>
      <c r="J5035" s="6" t="n">
        <v>990000</v>
      </c>
      <c r="K5035" s="16" t="n">
        <v>14.84</v>
      </c>
      <c r="L5035" s="2" t="inlineStr">
        <is>
          <t>20260626000388</t>
        </is>
      </c>
      <c r="M5035" s="8">
        <f>HYPERLINK("https://dart.fss.or.kr/dsaf001/main.do?rcpNo=20260626000388", "공시열람")</f>
        <v/>
      </c>
    </row>
    <row r="5036" ht="22" customHeight="1">
      <c r="A5036" s="2" t="inlineStr">
        <is>
          <t>2026-06-26</t>
        </is>
      </c>
      <c r="B5036" s="3" t="inlineStr">
        <is>
          <t>케이탑리츠</t>
        </is>
      </c>
      <c r="C5036" s="2" t="inlineStr">
        <is>
          <t>145270</t>
        </is>
      </c>
      <c r="D5036" s="2" t="inlineStr">
        <is>
          <t>임원보고</t>
        </is>
      </c>
      <c r="E5036" s="3" t="inlineStr">
        <is>
          <t>-</t>
        </is>
      </c>
      <c r="F5036" s="3" t="inlineStr">
        <is>
          <t>-</t>
        </is>
      </c>
      <c r="G5036" s="3" t="inlineStr">
        <is>
          <t>-</t>
        </is>
      </c>
      <c r="H5036" s="6" t="inlineStr"/>
      <c r="I5036" s="6" t="inlineStr"/>
      <c r="J5036" s="6" t="inlineStr"/>
      <c r="K5036" s="16" t="n">
        <v>12</v>
      </c>
      <c r="L5036" s="2" t="inlineStr">
        <is>
          <t>20260626800570</t>
        </is>
      </c>
      <c r="M5036" s="8">
        <f>HYPERLINK("https://dart.fss.or.kr/dsaf001/main.do?rcpNo=20260626800570", "공시열람")</f>
        <v/>
      </c>
    </row>
    <row r="5037" ht="22" customHeight="1">
      <c r="A5037" s="2" t="inlineStr">
        <is>
          <t>2026-06-26</t>
        </is>
      </c>
      <c r="B5037" s="3" t="inlineStr">
        <is>
          <t>에이텍모빌리티</t>
        </is>
      </c>
      <c r="C5037" s="2" t="inlineStr">
        <is>
          <t>224110</t>
        </is>
      </c>
      <c r="D5037" s="2" t="inlineStr">
        <is>
          <t>대량보유</t>
        </is>
      </c>
      <c r="E5037" s="3" t="inlineStr">
        <is>
          <t>㈜에이텍씨앤</t>
        </is>
      </c>
      <c r="F5037" s="3" t="inlineStr">
        <is>
          <t>특별관계자</t>
        </is>
      </c>
      <c r="G5037" s="3" t="inlineStr">
        <is>
          <t>장내매수(+)</t>
        </is>
      </c>
      <c r="H5037" s="15" t="n">
        <v>70047</v>
      </c>
      <c r="I5037" s="6" t="n">
        <v>7896</v>
      </c>
      <c r="J5037" s="6" t="n">
        <v>244000</v>
      </c>
      <c r="K5037" s="16" t="n">
        <v>7</v>
      </c>
      <c r="L5037" s="2" t="inlineStr">
        <is>
          <t>20260626000344</t>
        </is>
      </c>
      <c r="M5037" s="8">
        <f>HYPERLINK("https://dart.fss.or.kr/dsaf001/main.do?rcpNo=20260626000344", "공시열람")</f>
        <v/>
      </c>
    </row>
    <row r="5038" ht="22" customHeight="1">
      <c r="A5038" s="2" t="inlineStr">
        <is>
          <t>2026-06-26</t>
        </is>
      </c>
      <c r="B5038" s="3" t="inlineStr">
        <is>
          <t>삼익THK</t>
        </is>
      </c>
      <c r="C5038" s="2" t="inlineStr">
        <is>
          <t>004380</t>
        </is>
      </c>
      <c r="D5038" s="2" t="inlineStr">
        <is>
          <t>임원보고</t>
        </is>
      </c>
      <c r="E5038" s="3" t="inlineStr">
        <is>
          <t>-</t>
        </is>
      </c>
      <c r="F5038" s="3" t="inlineStr">
        <is>
          <t>-</t>
        </is>
      </c>
      <c r="G5038" s="3" t="inlineStr">
        <is>
          <t>-</t>
        </is>
      </c>
      <c r="H5038" s="6" t="inlineStr"/>
      <c r="I5038" s="6" t="inlineStr"/>
      <c r="J5038" s="6" t="inlineStr"/>
      <c r="K5038" s="16" t="n">
        <v>12</v>
      </c>
      <c r="L5038" s="2" t="inlineStr">
        <is>
          <t>20260626800510</t>
        </is>
      </c>
      <c r="M5038" s="8">
        <f>HYPERLINK("https://dart.fss.or.kr/dsaf001/main.do?rcpNo=20260626800510", "공시열람")</f>
        <v/>
      </c>
    </row>
    <row r="5039" ht="22" customHeight="1">
      <c r="A5039" s="2" t="inlineStr">
        <is>
          <t>2026-06-26</t>
        </is>
      </c>
      <c r="B5039" s="3" t="inlineStr">
        <is>
          <t>아이디피</t>
        </is>
      </c>
      <c r="C5039" s="2" t="inlineStr">
        <is>
          <t>332370</t>
        </is>
      </c>
      <c r="D5039" s="2" t="inlineStr">
        <is>
          <t>대량보유</t>
        </is>
      </c>
      <c r="E5039" s="3" t="inlineStr">
        <is>
          <t>(주)빅솔론</t>
        </is>
      </c>
      <c r="F5039" s="3" t="inlineStr">
        <is>
          <t>특별관계자</t>
        </is>
      </c>
      <c r="G5039" s="3" t="inlineStr">
        <is>
          <t>장내매수(+)</t>
        </is>
      </c>
      <c r="H5039" s="15" t="n">
        <v>221813</v>
      </c>
      <c r="I5039" s="6" t="n">
        <v>4996</v>
      </c>
      <c r="J5039" s="6" t="n">
        <v>1112254</v>
      </c>
      <c r="K5039" s="16" t="n">
        <v>5</v>
      </c>
      <c r="L5039" s="2" t="inlineStr">
        <is>
          <t>20260626000296</t>
        </is>
      </c>
      <c r="M5039" s="8">
        <f>HYPERLINK("https://dart.fss.or.kr/dsaf001/main.do?rcpNo=20260626000296", "공시열람")</f>
        <v/>
      </c>
    </row>
    <row r="5040" ht="22" customHeight="1">
      <c r="A5040" s="2" t="inlineStr">
        <is>
          <t>2026-06-26</t>
        </is>
      </c>
      <c r="B5040" s="3" t="inlineStr">
        <is>
          <t>아이디스</t>
        </is>
      </c>
      <c r="C5040" s="2" t="inlineStr">
        <is>
          <t>143160</t>
        </is>
      </c>
      <c r="D5040" s="2" t="inlineStr">
        <is>
          <t>대량보유</t>
        </is>
      </c>
      <c r="E5040" s="3" t="inlineStr">
        <is>
          <t>㈜코텍</t>
        </is>
      </c>
      <c r="F5040" s="3" t="inlineStr">
        <is>
          <t>특별관계자</t>
        </is>
      </c>
      <c r="G5040" s="3" t="inlineStr">
        <is>
          <t>장내매수(+)</t>
        </is>
      </c>
      <c r="H5040" s="15" t="n">
        <v>115115</v>
      </c>
      <c r="I5040" s="6" t="n">
        <v>15603</v>
      </c>
      <c r="J5040" s="6" t="n">
        <v>837502</v>
      </c>
      <c r="K5040" s="16" t="n">
        <v>3</v>
      </c>
      <c r="L5040" s="2" t="inlineStr">
        <is>
          <t>20260626000295</t>
        </is>
      </c>
      <c r="M5040" s="8">
        <f>HYPERLINK("https://dart.fss.or.kr/dsaf001/main.do?rcpNo=20260626000295", "공시열람")</f>
        <v/>
      </c>
    </row>
    <row r="5041" ht="22" customHeight="1">
      <c r="A5041" s="2" t="inlineStr">
        <is>
          <t>2026-06-26</t>
        </is>
      </c>
      <c r="B5041" s="3" t="inlineStr">
        <is>
          <t>우림피티에스</t>
        </is>
      </c>
      <c r="C5041" s="2" t="inlineStr">
        <is>
          <t>101170</t>
        </is>
      </c>
      <c r="D5041" s="2" t="inlineStr">
        <is>
          <t>대량보유</t>
        </is>
      </c>
      <c r="E5041" s="3" t="inlineStr">
        <is>
          <t>한현석</t>
        </is>
      </c>
      <c r="F5041" s="3" t="inlineStr">
        <is>
          <t>보고자</t>
        </is>
      </c>
      <c r="G5041" s="3" t="inlineStr">
        <is>
          <t>보고자의 주식담보 계약</t>
        </is>
      </c>
      <c r="H5041" s="6" t="inlineStr"/>
      <c r="I5041" s="6" t="inlineStr"/>
      <c r="J5041" s="6" t="n">
        <v>7601708</v>
      </c>
      <c r="K5041" s="16" t="n">
        <v>3</v>
      </c>
      <c r="L5041" s="2" t="inlineStr">
        <is>
          <t>20260626000293</t>
        </is>
      </c>
      <c r="M5041" s="8">
        <f>HYPERLINK("https://dart.fss.or.kr/dsaf001/main.do?rcpNo=20260626000293", "공시열람")</f>
        <v/>
      </c>
    </row>
    <row r="5042" ht="22" customHeight="1">
      <c r="A5042" s="2" t="inlineStr">
        <is>
          <t>2026-06-26</t>
        </is>
      </c>
      <c r="B5042" s="3" t="inlineStr">
        <is>
          <t>이엘피</t>
        </is>
      </c>
      <c r="C5042" s="2" t="inlineStr">
        <is>
          <t>063760</t>
        </is>
      </c>
      <c r="D5042" s="2" t="inlineStr">
        <is>
          <t>대량보유</t>
        </is>
      </c>
      <c r="E5042" s="3" t="inlineStr">
        <is>
          <t>이재혁</t>
        </is>
      </c>
      <c r="F5042" s="3" t="inlineStr">
        <is>
          <t>특별관계자</t>
        </is>
      </c>
      <c r="G5042" s="3" t="inlineStr">
        <is>
          <t>장내매수(+)</t>
        </is>
      </c>
      <c r="H5042" s="15" t="n">
        <v>6643</v>
      </c>
      <c r="I5042" s="6" t="n">
        <v>2610</v>
      </c>
      <c r="J5042" s="6" t="n">
        <v>2145420</v>
      </c>
      <c r="K5042" s="16" t="n">
        <v>3</v>
      </c>
      <c r="L5042" s="2" t="inlineStr">
        <is>
          <t>20260626000272</t>
        </is>
      </c>
      <c r="M5042" s="8">
        <f>HYPERLINK("https://dart.fss.or.kr/dsaf001/main.do?rcpNo=20260626000272", "공시열람")</f>
        <v/>
      </c>
    </row>
    <row r="5043" ht="22" customHeight="1">
      <c r="A5043" s="2" t="inlineStr">
        <is>
          <t>2026-06-26</t>
        </is>
      </c>
      <c r="B5043" s="3" t="inlineStr">
        <is>
          <t>대창단조</t>
        </is>
      </c>
      <c r="C5043" s="2" t="inlineStr">
        <is>
          <t>015230</t>
        </is>
      </c>
      <c r="D5043" s="2" t="inlineStr">
        <is>
          <t>임원보고</t>
        </is>
      </c>
      <c r="E5043" s="3" t="inlineStr">
        <is>
          <t>-</t>
        </is>
      </c>
      <c r="F5043" s="3" t="inlineStr">
        <is>
          <t>-</t>
        </is>
      </c>
      <c r="G5043" s="3" t="inlineStr">
        <is>
          <t>-</t>
        </is>
      </c>
      <c r="H5043" s="6" t="inlineStr"/>
      <c r="I5043" s="6" t="inlineStr"/>
      <c r="J5043" s="6" t="inlineStr"/>
      <c r="K5043" s="16" t="n">
        <v>12</v>
      </c>
      <c r="L5043" s="2" t="inlineStr">
        <is>
          <t>20260626800424</t>
        </is>
      </c>
      <c r="M5043" s="8">
        <f>HYPERLINK("https://dart.fss.or.kr/dsaf001/main.do?rcpNo=20260626800424", "공시열람")</f>
        <v/>
      </c>
    </row>
    <row r="5044" ht="22" customHeight="1">
      <c r="A5044" s="2" t="inlineStr">
        <is>
          <t>2026-06-26</t>
        </is>
      </c>
      <c r="B5044" s="3" t="inlineStr">
        <is>
          <t>성호전자</t>
        </is>
      </c>
      <c r="C5044" s="2" t="inlineStr">
        <is>
          <t>043260</t>
        </is>
      </c>
      <c r="D5044" s="2" t="inlineStr">
        <is>
          <t>대량보유</t>
        </is>
      </c>
      <c r="E5044" s="3" t="inlineStr">
        <is>
          <t>서룡전자(주)</t>
        </is>
      </c>
      <c r="F5044" s="3" t="inlineStr">
        <is>
          <t>특별관계자</t>
        </is>
      </c>
      <c r="G5044" s="3" t="inlineStr">
        <is>
          <t>장내매수(+)</t>
        </is>
      </c>
      <c r="H5044" s="15" t="n">
        <v>11000</v>
      </c>
      <c r="I5044" s="6" t="n">
        <v>27088</v>
      </c>
      <c r="J5044" s="6" t="n">
        <v>27303815</v>
      </c>
      <c r="K5044" s="16" t="n">
        <v>17</v>
      </c>
      <c r="L5044" s="2" t="inlineStr">
        <is>
          <t>20260626000257</t>
        </is>
      </c>
      <c r="M5044" s="8">
        <f>HYPERLINK("https://dart.fss.or.kr/dsaf001/main.do?rcpNo=20260626000257", "공시열람")</f>
        <v/>
      </c>
    </row>
    <row r="5045" ht="22" customHeight="1">
      <c r="A5045" s="2" t="inlineStr">
        <is>
          <t>2026-06-26</t>
        </is>
      </c>
      <c r="B5045" s="3" t="inlineStr">
        <is>
          <t>지엠비코리아</t>
        </is>
      </c>
      <c r="C5045" s="2" t="inlineStr">
        <is>
          <t>013870</t>
        </is>
      </c>
      <c r="D5045" s="2" t="inlineStr">
        <is>
          <t>임원보고</t>
        </is>
      </c>
      <c r="E5045" s="3" t="inlineStr">
        <is>
          <t>-</t>
        </is>
      </c>
      <c r="F5045" s="3" t="inlineStr">
        <is>
          <t>-</t>
        </is>
      </c>
      <c r="G5045" s="3" t="inlineStr">
        <is>
          <t>-</t>
        </is>
      </c>
      <c r="H5045" s="6" t="inlineStr"/>
      <c r="I5045" s="6" t="inlineStr"/>
      <c r="J5045" s="6" t="inlineStr"/>
      <c r="K5045" s="16" t="n">
        <v>12</v>
      </c>
      <c r="L5045" s="2" t="inlineStr">
        <is>
          <t>20260626800417</t>
        </is>
      </c>
      <c r="M5045" s="8">
        <f>HYPERLINK("https://dart.fss.or.kr/dsaf001/main.do?rcpNo=20260626800417", "공시열람")</f>
        <v/>
      </c>
    </row>
    <row r="5046" ht="22" customHeight="1">
      <c r="A5046" s="2" t="inlineStr">
        <is>
          <t>2026-06-26</t>
        </is>
      </c>
      <c r="B5046" s="3" t="inlineStr">
        <is>
          <t>인바디</t>
        </is>
      </c>
      <c r="C5046" s="2" t="inlineStr">
        <is>
          <t>041830</t>
        </is>
      </c>
      <c r="D5046" s="2" t="inlineStr">
        <is>
          <t>대량보유</t>
        </is>
      </c>
      <c r="E5046" s="3" t="inlineStr">
        <is>
          <t>차인준</t>
        </is>
      </c>
      <c r="F5046" s="3" t="inlineStr">
        <is>
          <t>보고자</t>
        </is>
      </c>
      <c r="G5046" s="3" t="inlineStr">
        <is>
          <t>주식담보계약 변경</t>
        </is>
      </c>
      <c r="H5046" s="6" t="inlineStr"/>
      <c r="I5046" s="6" t="inlineStr"/>
      <c r="J5046" s="6" t="n">
        <v>3922033</v>
      </c>
      <c r="K5046" s="16" t="n">
        <v>6</v>
      </c>
      <c r="L5046" s="2" t="inlineStr">
        <is>
          <t>20260626000237</t>
        </is>
      </c>
      <c r="M5046" s="8">
        <f>HYPERLINK("https://dart.fss.or.kr/dsaf001/main.do?rcpNo=20260626000237", "공시열람")</f>
        <v/>
      </c>
    </row>
    <row r="5047" ht="22" customHeight="1">
      <c r="A5047" s="2" t="inlineStr">
        <is>
          <t>2026-06-26</t>
        </is>
      </c>
      <c r="B5047" s="3" t="inlineStr">
        <is>
          <t>디케이락</t>
        </is>
      </c>
      <c r="C5047" s="2" t="inlineStr">
        <is>
          <t>105740</t>
        </is>
      </c>
      <c r="D5047" s="2" t="inlineStr">
        <is>
          <t>대량보유</t>
        </is>
      </c>
      <c r="E5047" s="3" t="inlineStr">
        <is>
          <t>노은식</t>
        </is>
      </c>
      <c r="F5047" s="3" t="inlineStr">
        <is>
          <t>특별관계자</t>
        </is>
      </c>
      <c r="G5047" s="3" t="inlineStr">
        <is>
          <t>장내매수(+)</t>
        </is>
      </c>
      <c r="H5047" s="15" t="n">
        <v>100000</v>
      </c>
      <c r="I5047" s="6" t="n">
        <v>6901</v>
      </c>
      <c r="J5047" s="6" t="n">
        <v>3146900</v>
      </c>
      <c r="K5047" s="16" t="n">
        <v>5</v>
      </c>
      <c r="L5047" s="2" t="inlineStr">
        <is>
          <t>20260626000201</t>
        </is>
      </c>
      <c r="M5047" s="8">
        <f>HYPERLINK("https://dart.fss.or.kr/dsaf001/main.do?rcpNo=20260626000201", "공시열람")</f>
        <v/>
      </c>
    </row>
    <row r="5048" ht="22" customHeight="1">
      <c r="A5048" s="2" t="inlineStr">
        <is>
          <t>2026-06-26</t>
        </is>
      </c>
      <c r="B5048" s="3" t="inlineStr">
        <is>
          <t>디케이락</t>
        </is>
      </c>
      <c r="C5048" s="2" t="inlineStr">
        <is>
          <t>105740</t>
        </is>
      </c>
      <c r="D5048" s="2" t="inlineStr">
        <is>
          <t>대량보유</t>
        </is>
      </c>
      <c r="E5048" s="3" t="inlineStr">
        <is>
          <t>강희춘</t>
        </is>
      </c>
      <c r="F5048" s="3" t="inlineStr">
        <is>
          <t>특별관계자</t>
        </is>
      </c>
      <c r="G5048" s="3" t="inlineStr">
        <is>
          <t>임원퇴임(-)</t>
        </is>
      </c>
      <c r="H5048" s="17" t="n">
        <v>-52975</v>
      </c>
      <c r="I5048" s="6" t="inlineStr"/>
      <c r="J5048" s="6" t="inlineStr"/>
      <c r="K5048" s="16" t="n">
        <v>5</v>
      </c>
      <c r="L5048" s="2" t="inlineStr">
        <is>
          <t>20260626000201</t>
        </is>
      </c>
      <c r="M5048" s="8">
        <f>HYPERLINK("https://dart.fss.or.kr/dsaf001/main.do?rcpNo=20260626000201", "공시열람")</f>
        <v/>
      </c>
    </row>
    <row r="5049" ht="22" customHeight="1">
      <c r="A5049" s="2" t="inlineStr">
        <is>
          <t>2026-06-26</t>
        </is>
      </c>
      <c r="B5049" s="3" t="inlineStr">
        <is>
          <t>메디톡스</t>
        </is>
      </c>
      <c r="C5049" s="2" t="inlineStr">
        <is>
          <t>086900</t>
        </is>
      </c>
      <c r="D5049" s="2" t="inlineStr">
        <is>
          <t>대량보유</t>
        </is>
      </c>
      <c r="E5049" s="3" t="inlineStr">
        <is>
          <t>정현호</t>
        </is>
      </c>
      <c r="F5049" s="3" t="inlineStr">
        <is>
          <t>특별관계자</t>
        </is>
      </c>
      <c r="G5049" s="3" t="inlineStr">
        <is>
          <t>장내매수(+)</t>
        </is>
      </c>
      <c r="H5049" s="15" t="n">
        <v>1315</v>
      </c>
      <c r="I5049" s="6" t="n">
        <v>75977</v>
      </c>
      <c r="J5049" s="6" t="n">
        <v>1332007</v>
      </c>
      <c r="K5049" s="16" t="n">
        <v>7</v>
      </c>
      <c r="L5049" s="2" t="inlineStr">
        <is>
          <t>20260626000178</t>
        </is>
      </c>
      <c r="M5049" s="8">
        <f>HYPERLINK("https://dart.fss.or.kr/dsaf001/main.do?rcpNo=20260626000178", "공시열람")</f>
        <v/>
      </c>
    </row>
    <row r="5050" ht="22" customHeight="1">
      <c r="A5050" s="2" t="inlineStr">
        <is>
          <t>2026-06-26</t>
        </is>
      </c>
      <c r="B5050" s="3" t="inlineStr">
        <is>
          <t>천보</t>
        </is>
      </c>
      <c r="C5050" s="2" t="inlineStr">
        <is>
          <t>278280</t>
        </is>
      </c>
      <c r="D5050" s="2" t="inlineStr">
        <is>
          <t>대량보유</t>
        </is>
      </c>
      <c r="E5050" s="3" t="inlineStr">
        <is>
          <t>이상율</t>
        </is>
      </c>
      <c r="F5050" s="3" t="inlineStr">
        <is>
          <t>특별관계자</t>
        </is>
      </c>
      <c r="G5050" s="3" t="inlineStr">
        <is>
          <t>장내매수(+)</t>
        </is>
      </c>
      <c r="H5050" s="15" t="n">
        <v>53742</v>
      </c>
      <c r="I5050" s="6" t="n">
        <v>42396</v>
      </c>
      <c r="J5050" s="6" t="n">
        <v>3393462</v>
      </c>
      <c r="K5050" s="16" t="n">
        <v>14</v>
      </c>
      <c r="L5050" s="2" t="inlineStr">
        <is>
          <t>20260626000110</t>
        </is>
      </c>
      <c r="M5050" s="8">
        <f>HYPERLINK("https://dart.fss.or.kr/dsaf001/main.do?rcpNo=20260626000110", "공시열람")</f>
        <v/>
      </c>
    </row>
    <row r="5051" ht="22" customHeight="1">
      <c r="A5051" s="2" t="inlineStr">
        <is>
          <t>2026-06-26</t>
        </is>
      </c>
      <c r="B5051" s="3" t="inlineStr">
        <is>
          <t>천보</t>
        </is>
      </c>
      <c r="C5051" s="2" t="inlineStr">
        <is>
          <t>278280</t>
        </is>
      </c>
      <c r="D5051" s="2" t="inlineStr">
        <is>
          <t>대량보유</t>
        </is>
      </c>
      <c r="E5051" s="3" t="inlineStr">
        <is>
          <t>천보정밀</t>
        </is>
      </c>
      <c r="F5051" s="3" t="inlineStr">
        <is>
          <t>특별관계자</t>
        </is>
      </c>
      <c r="G5051" s="3" t="inlineStr">
        <is>
          <t>장내매수(+)</t>
        </is>
      </c>
      <c r="H5051" s="15" t="n">
        <v>48570</v>
      </c>
      <c r="I5051" s="6" t="n">
        <v>40951</v>
      </c>
      <c r="J5051" s="6" t="n">
        <v>169040</v>
      </c>
      <c r="K5051" s="16" t="n">
        <v>14</v>
      </c>
      <c r="L5051" s="2" t="inlineStr">
        <is>
          <t>20260626000110</t>
        </is>
      </c>
      <c r="M5051" s="8">
        <f>HYPERLINK("https://dart.fss.or.kr/dsaf001/main.do?rcpNo=20260626000110", "공시열람")</f>
        <v/>
      </c>
    </row>
    <row r="5052" ht="22" customHeight="1">
      <c r="A5052" s="2" t="inlineStr">
        <is>
          <t>2026-06-26</t>
        </is>
      </c>
      <c r="B5052" s="3" t="inlineStr">
        <is>
          <t>대정화금</t>
        </is>
      </c>
      <c r="C5052" s="2" t="inlineStr">
        <is>
          <t>120240</t>
        </is>
      </c>
      <c r="D5052" s="2" t="inlineStr">
        <is>
          <t>대량보유</t>
        </is>
      </c>
      <c r="E5052" s="3" t="inlineStr">
        <is>
          <t>삼전순약공업(주)</t>
        </is>
      </c>
      <c r="F5052" s="3" t="inlineStr">
        <is>
          <t>특별관계자</t>
        </is>
      </c>
      <c r="G5052" s="3" t="inlineStr">
        <is>
          <t>신규보고(+), 장내매수(+)</t>
        </is>
      </c>
      <c r="H5052" s="15" t="n">
        <v>413333</v>
      </c>
      <c r="I5052" s="6" t="n">
        <v>13419</v>
      </c>
      <c r="J5052" s="6" t="n">
        <v>413333</v>
      </c>
      <c r="K5052" s="16" t="n">
        <v>5.74</v>
      </c>
      <c r="L5052" s="2" t="inlineStr">
        <is>
          <t>20260626000079</t>
        </is>
      </c>
      <c r="M5052" s="8">
        <f>HYPERLINK("https://dart.fss.or.kr/dsaf001/main.do?rcpNo=20260626000079", "공시열람")</f>
        <v/>
      </c>
    </row>
    <row r="5053" ht="22" customHeight="1">
      <c r="A5053" s="2" t="inlineStr">
        <is>
          <t>2026-06-26</t>
        </is>
      </c>
      <c r="B5053" s="3" t="inlineStr">
        <is>
          <t>화성밸브</t>
        </is>
      </c>
      <c r="C5053" s="2" t="inlineStr">
        <is>
          <t>039610</t>
        </is>
      </c>
      <c r="D5053" s="2" t="inlineStr">
        <is>
          <t>대량보유</t>
        </is>
      </c>
      <c r="E5053" s="3" t="inlineStr">
        <is>
          <t>장원규</t>
        </is>
      </c>
      <c r="F5053" s="3" t="inlineStr">
        <is>
          <t>특별관계자</t>
        </is>
      </c>
      <c r="G5053" s="3" t="inlineStr">
        <is>
          <t>장내매수(+)</t>
        </is>
      </c>
      <c r="H5053" s="15" t="n">
        <v>20000</v>
      </c>
      <c r="I5053" s="6" t="n">
        <v>5996</v>
      </c>
      <c r="J5053" s="6" t="n">
        <v>1584508</v>
      </c>
      <c r="K5053" s="16" t="n">
        <v>4</v>
      </c>
      <c r="L5053" s="2" t="inlineStr">
        <is>
          <t>20260626000051</t>
        </is>
      </c>
      <c r="M5053" s="8">
        <f>HYPERLINK("https://dart.fss.or.kr/dsaf001/main.do?rcpNo=20260626000051", "공시열람")</f>
        <v/>
      </c>
    </row>
    <row r="5054" ht="22" customHeight="1">
      <c r="A5054" s="2" t="inlineStr">
        <is>
          <t>2026-06-26</t>
        </is>
      </c>
      <c r="B5054" s="3" t="inlineStr">
        <is>
          <t>삼성출판사</t>
        </is>
      </c>
      <c r="C5054" s="2" t="inlineStr">
        <is>
          <t>068290</t>
        </is>
      </c>
      <c r="D5054" s="2" t="inlineStr">
        <is>
          <t>임원보고</t>
        </is>
      </c>
      <c r="E5054" s="3" t="inlineStr">
        <is>
          <t>-</t>
        </is>
      </c>
      <c r="F5054" s="3" t="inlineStr">
        <is>
          <t>-</t>
        </is>
      </c>
      <c r="G5054" s="3" t="inlineStr">
        <is>
          <t>-</t>
        </is>
      </c>
      <c r="H5054" s="6" t="inlineStr"/>
      <c r="I5054" s="6" t="inlineStr"/>
      <c r="J5054" s="6" t="inlineStr"/>
      <c r="K5054" s="16" t="n">
        <v>12</v>
      </c>
      <c r="L5054" s="2" t="inlineStr">
        <is>
          <t>20260626800188</t>
        </is>
      </c>
      <c r="M5054" s="8">
        <f>HYPERLINK("https://dart.fss.or.kr/dsaf001/main.do?rcpNo=20260626800188", "공시열람")</f>
        <v/>
      </c>
    </row>
    <row r="5055" ht="22" customHeight="1">
      <c r="A5055" s="2" t="inlineStr">
        <is>
          <t>2026-06-26</t>
        </is>
      </c>
      <c r="B5055" s="3" t="inlineStr">
        <is>
          <t>성광벤드</t>
        </is>
      </c>
      <c r="C5055" s="2" t="inlineStr">
        <is>
          <t>014620</t>
        </is>
      </c>
      <c r="D5055" s="2" t="inlineStr">
        <is>
          <t>대량보유</t>
        </is>
      </c>
      <c r="E5055" s="3" t="inlineStr">
        <is>
          <t>(주)성광벤드사내근로복지기금</t>
        </is>
      </c>
      <c r="F5055" s="3" t="inlineStr">
        <is>
          <t>특별관계자</t>
        </is>
      </c>
      <c r="G5055" s="3" t="inlineStr">
        <is>
          <t>장내매도(-)</t>
        </is>
      </c>
      <c r="H5055" s="17" t="n">
        <v>-61483</v>
      </c>
      <c r="I5055" s="6" t="n">
        <v>46793</v>
      </c>
      <c r="J5055" s="6" t="n">
        <v>738517</v>
      </c>
      <c r="K5055" s="16" t="n">
        <v>5</v>
      </c>
      <c r="L5055" s="2" t="inlineStr">
        <is>
          <t>20260626000025</t>
        </is>
      </c>
      <c r="M5055" s="8">
        <f>HYPERLINK("https://dart.fss.or.kr/dsaf001/main.do?rcpNo=20260626000025", "공시열람")</f>
        <v/>
      </c>
    </row>
    <row r="5056" ht="22" customHeight="1">
      <c r="A5056" s="2" t="inlineStr">
        <is>
          <t>2026-06-26</t>
        </is>
      </c>
      <c r="B5056" s="3" t="inlineStr">
        <is>
          <t>성광벤드</t>
        </is>
      </c>
      <c r="C5056" s="2" t="inlineStr">
        <is>
          <t>014620</t>
        </is>
      </c>
      <c r="D5056" s="2" t="inlineStr">
        <is>
          <t>대량보유</t>
        </is>
      </c>
      <c r="E5056" s="3" t="inlineStr">
        <is>
          <t>김경조</t>
        </is>
      </c>
      <c r="F5056" s="3" t="inlineStr">
        <is>
          <t>특별관계자</t>
        </is>
      </c>
      <c r="G5056" s="3" t="inlineStr">
        <is>
          <t>장내매도(-)</t>
        </is>
      </c>
      <c r="H5056" s="17" t="n">
        <v>-120435</v>
      </c>
      <c r="I5056" s="6" t="n">
        <v>33705</v>
      </c>
      <c r="J5056" s="6" t="n">
        <v>109246</v>
      </c>
      <c r="K5056" s="16" t="n">
        <v>5</v>
      </c>
      <c r="L5056" s="2" t="inlineStr">
        <is>
          <t>20260626000025</t>
        </is>
      </c>
      <c r="M5056" s="8">
        <f>HYPERLINK("https://dart.fss.or.kr/dsaf001/main.do?rcpNo=20260626000025", "공시열람")</f>
        <v/>
      </c>
    </row>
    <row r="5057" ht="22" customHeight="1">
      <c r="A5057" s="2" t="inlineStr">
        <is>
          <t>2026-06-26</t>
        </is>
      </c>
      <c r="B5057" s="3" t="inlineStr">
        <is>
          <t>풍원정밀</t>
        </is>
      </c>
      <c r="C5057" s="2" t="inlineStr">
        <is>
          <t>371950</t>
        </is>
      </c>
      <c r="D5057" s="2" t="inlineStr">
        <is>
          <t>대량보유</t>
        </is>
      </c>
      <c r="E5057" s="3" t="inlineStr">
        <is>
          <t>에이오에이-하이달타냥투자조합1호</t>
        </is>
      </c>
      <c r="F5057" s="3" t="inlineStr">
        <is>
          <t>특별관계자</t>
        </is>
      </c>
      <c r="G5057" s="3" t="inlineStr">
        <is>
          <t>기타(-)</t>
        </is>
      </c>
      <c r="H5057" s="17" t="n">
        <v>-423170</v>
      </c>
      <c r="I5057" s="6" t="n">
        <v>10634</v>
      </c>
      <c r="J5057" s="6" t="inlineStr"/>
      <c r="K5057" s="16" t="n">
        <v>1</v>
      </c>
      <c r="L5057" s="2" t="inlineStr">
        <is>
          <t>20260626000021</t>
        </is>
      </c>
      <c r="M5057" s="8">
        <f>HYPERLINK("https://dart.fss.or.kr/dsaf001/main.do?rcpNo=20260626000021", "공시열람")</f>
        <v/>
      </c>
    </row>
    <row r="5058" ht="22" customHeight="1">
      <c r="A5058" s="2" t="inlineStr">
        <is>
          <t>2026-06-26</t>
        </is>
      </c>
      <c r="B5058" s="3" t="inlineStr">
        <is>
          <t>에코프로비엠</t>
        </is>
      </c>
      <c r="C5058" s="2" t="inlineStr">
        <is>
          <t>247540</t>
        </is>
      </c>
      <c r="D5058" s="2" t="inlineStr">
        <is>
          <t>대량보유</t>
        </is>
      </c>
      <c r="E5058" s="3" t="inlineStr">
        <is>
          <t>에코프로</t>
        </is>
      </c>
      <c r="F5058" s="3" t="inlineStr">
        <is>
          <t>보고자</t>
        </is>
      </c>
      <c r="G5058" s="3" t="inlineStr">
        <is>
          <t>만기연장,만기상환</t>
        </is>
      </c>
      <c r="H5058" s="6" t="inlineStr"/>
      <c r="I5058" s="6" t="inlineStr"/>
      <c r="J5058" s="6" t="n">
        <v>44248514</v>
      </c>
      <c r="K5058" s="16" t="n">
        <v>12</v>
      </c>
      <c r="L5058" s="2" t="inlineStr">
        <is>
          <t>20260626000016</t>
        </is>
      </c>
      <c r="M5058" s="8">
        <f>HYPERLINK("https://dart.fss.or.kr/dsaf001/main.do?rcpNo=20260626000016", "공시열람")</f>
        <v/>
      </c>
    </row>
    <row r="5059" ht="22" customHeight="1">
      <c r="A5059" s="2" t="inlineStr">
        <is>
          <t>2026-06-30</t>
        </is>
      </c>
      <c r="B5059" s="3" t="inlineStr">
        <is>
          <t>유안타증권</t>
        </is>
      </c>
      <c r="C5059" s="2" t="inlineStr">
        <is>
          <t>003470</t>
        </is>
      </c>
      <c r="D5059" s="2" t="inlineStr">
        <is>
          <t>임원보고</t>
        </is>
      </c>
      <c r="E5059" s="3" t="inlineStr">
        <is>
          <t>-</t>
        </is>
      </c>
      <c r="F5059" s="3" t="inlineStr">
        <is>
          <t>-</t>
        </is>
      </c>
      <c r="G5059" s="3" t="inlineStr">
        <is>
          <t>-</t>
        </is>
      </c>
      <c r="H5059" s="6" t="inlineStr"/>
      <c r="I5059" s="6" t="inlineStr"/>
      <c r="J5059" s="6" t="inlineStr"/>
      <c r="K5059" s="16" t="n">
        <v>12</v>
      </c>
      <c r="L5059" s="2" t="inlineStr">
        <is>
          <t>20260630801223</t>
        </is>
      </c>
      <c r="M5059" s="8">
        <f>HYPERLINK("https://dart.fss.or.kr/dsaf001/main.do?rcpNo=20260630801223", "공시열람")</f>
        <v/>
      </c>
    </row>
    <row r="5060" ht="22" customHeight="1">
      <c r="A5060" s="2" t="inlineStr">
        <is>
          <t>2026-06-30</t>
        </is>
      </c>
      <c r="B5060" s="3" t="inlineStr">
        <is>
          <t>에넥스</t>
        </is>
      </c>
      <c r="C5060" s="2" t="inlineStr">
        <is>
          <t>011090</t>
        </is>
      </c>
      <c r="D5060" s="2" t="inlineStr">
        <is>
          <t>대량보유</t>
        </is>
      </c>
      <c r="E5060" s="3" t="inlineStr">
        <is>
          <t>박미영</t>
        </is>
      </c>
      <c r="F5060" s="3" t="inlineStr">
        <is>
          <t>특별관계자</t>
        </is>
      </c>
      <c r="G5060" s="3" t="inlineStr">
        <is>
          <t>장내매도(-)</t>
        </is>
      </c>
      <c r="H5060" s="17" t="n">
        <v>-5757</v>
      </c>
      <c r="I5060" s="6" t="n">
        <v>1060</v>
      </c>
      <c r="J5060" s="6" t="n">
        <v>14243</v>
      </c>
      <c r="K5060" s="16" t="n">
        <v>9</v>
      </c>
      <c r="L5060" s="2" t="inlineStr">
        <is>
          <t>20260630000937</t>
        </is>
      </c>
      <c r="M5060" s="8">
        <f>HYPERLINK("https://dart.fss.or.kr/dsaf001/main.do?rcpNo=20260630000937", "공시열람")</f>
        <v/>
      </c>
    </row>
    <row r="5061" ht="22" customHeight="1">
      <c r="A5061" s="2" t="inlineStr">
        <is>
          <t>2026-06-30</t>
        </is>
      </c>
      <c r="B5061" s="3" t="inlineStr">
        <is>
          <t>현대지에프홀딩스</t>
        </is>
      </c>
      <c r="C5061" s="2" t="inlineStr">
        <is>
          <t>005440</t>
        </is>
      </c>
      <c r="D5061" s="2" t="inlineStr">
        <is>
          <t>대량보유</t>
        </is>
      </c>
      <c r="E5061" s="3" t="inlineStr">
        <is>
          <t>정교선</t>
        </is>
      </c>
      <c r="F5061" s="3" t="inlineStr">
        <is>
          <t>특별관계자</t>
        </is>
      </c>
      <c r="G5061" s="3" t="inlineStr">
        <is>
          <t>기타(-)</t>
        </is>
      </c>
      <c r="H5061" s="6" t="inlineStr"/>
      <c r="I5061" s="6" t="inlineStr"/>
      <c r="J5061" s="6" t="n">
        <v>45425141</v>
      </c>
      <c r="K5061" s="16" t="n">
        <v>3</v>
      </c>
      <c r="L5061" s="2" t="inlineStr">
        <is>
          <t>20260630000930</t>
        </is>
      </c>
      <c r="M5061" s="8">
        <f>HYPERLINK("https://dart.fss.or.kr/dsaf001/main.do?rcpNo=20260630000930", "공시열람")</f>
        <v/>
      </c>
    </row>
    <row r="5062" ht="22" customHeight="1">
      <c r="A5062" s="2" t="inlineStr">
        <is>
          <t>2026-06-30</t>
        </is>
      </c>
      <c r="B5062" s="3" t="inlineStr">
        <is>
          <t>현대지에프홀딩스</t>
        </is>
      </c>
      <c r="C5062" s="2" t="inlineStr">
        <is>
          <t>005440</t>
        </is>
      </c>
      <c r="D5062" s="2" t="inlineStr">
        <is>
          <t>대량보유</t>
        </is>
      </c>
      <c r="E5062" s="3" t="inlineStr">
        <is>
          <t>정몽근</t>
        </is>
      </c>
      <c r="F5062" s="3" t="inlineStr">
        <is>
          <t>특별관계자</t>
        </is>
      </c>
      <c r="G5062" s="3" t="inlineStr">
        <is>
          <t>기타(-)</t>
        </is>
      </c>
      <c r="H5062" s="6" t="inlineStr"/>
      <c r="I5062" s="6" t="inlineStr"/>
      <c r="J5062" s="6" t="n">
        <v>13013353</v>
      </c>
      <c r="K5062" s="16" t="n">
        <v>3</v>
      </c>
      <c r="L5062" s="2" t="inlineStr">
        <is>
          <t>20260630000930</t>
        </is>
      </c>
      <c r="M5062" s="8">
        <f>HYPERLINK("https://dart.fss.or.kr/dsaf001/main.do?rcpNo=20260630000930", "공시열람")</f>
        <v/>
      </c>
    </row>
    <row r="5063" ht="22" customHeight="1">
      <c r="A5063" s="2" t="inlineStr">
        <is>
          <t>2026-06-30</t>
        </is>
      </c>
      <c r="B5063" s="3" t="inlineStr">
        <is>
          <t>현대지에프홀딩스</t>
        </is>
      </c>
      <c r="C5063" s="2" t="inlineStr">
        <is>
          <t>005440</t>
        </is>
      </c>
      <c r="D5063" s="2" t="inlineStr">
        <is>
          <t>대량보유</t>
        </is>
      </c>
      <c r="E5063" s="3" t="inlineStr">
        <is>
          <t>정지선</t>
        </is>
      </c>
      <c r="F5063" s="3" t="inlineStr">
        <is>
          <t>특별관계자</t>
        </is>
      </c>
      <c r="G5063" s="3" t="inlineStr">
        <is>
          <t>기타(-)</t>
        </is>
      </c>
      <c r="H5063" s="6" t="inlineStr"/>
      <c r="I5063" s="6" t="inlineStr"/>
      <c r="J5063" s="6" t="n">
        <v>61847333</v>
      </c>
      <c r="K5063" s="16" t="n">
        <v>3</v>
      </c>
      <c r="L5063" s="2" t="inlineStr">
        <is>
          <t>20260630000930</t>
        </is>
      </c>
      <c r="M5063" s="8">
        <f>HYPERLINK("https://dart.fss.or.kr/dsaf001/main.do?rcpNo=20260630000930", "공시열람")</f>
        <v/>
      </c>
    </row>
    <row r="5064" ht="22" customHeight="1">
      <c r="A5064" s="2" t="inlineStr">
        <is>
          <t>2026-06-30</t>
        </is>
      </c>
      <c r="B5064" s="3" t="inlineStr">
        <is>
          <t>네패스</t>
        </is>
      </c>
      <c r="C5064" s="2" t="inlineStr">
        <is>
          <t>033640</t>
        </is>
      </c>
      <c r="D5064" s="2" t="inlineStr">
        <is>
          <t>대량보유</t>
        </is>
      </c>
      <c r="E5064" s="3" t="inlineStr">
        <is>
          <t>이창우</t>
        </is>
      </c>
      <c r="F5064" s="3" t="inlineStr">
        <is>
          <t>보고자</t>
        </is>
      </c>
      <c r="G5064" s="3" t="inlineStr">
        <is>
          <t>기존 담보계약의 연장</t>
        </is>
      </c>
      <c r="H5064" s="6" t="inlineStr"/>
      <c r="I5064" s="6" t="inlineStr"/>
      <c r="J5064" s="6" t="n">
        <v>6293717</v>
      </c>
      <c r="K5064" s="16" t="n">
        <v>5</v>
      </c>
      <c r="L5064" s="2" t="inlineStr">
        <is>
          <t>20260630000919</t>
        </is>
      </c>
      <c r="M5064" s="8">
        <f>HYPERLINK("https://dart.fss.or.kr/dsaf001/main.do?rcpNo=20260630000919", "공시열람")</f>
        <v/>
      </c>
    </row>
    <row r="5065" ht="22" customHeight="1">
      <c r="A5065" s="2" t="inlineStr">
        <is>
          <t>2026-06-30</t>
        </is>
      </c>
      <c r="B5065" s="3" t="inlineStr">
        <is>
          <t>에넥스</t>
        </is>
      </c>
      <c r="C5065" s="2" t="inlineStr">
        <is>
          <t>011090</t>
        </is>
      </c>
      <c r="D5065" s="2" t="inlineStr">
        <is>
          <t>임원보고</t>
        </is>
      </c>
      <c r="E5065" s="3" t="inlineStr">
        <is>
          <t>-</t>
        </is>
      </c>
      <c r="F5065" s="3" t="inlineStr">
        <is>
          <t>-</t>
        </is>
      </c>
      <c r="G5065" s="3" t="inlineStr">
        <is>
          <t>-</t>
        </is>
      </c>
      <c r="H5065" s="6" t="inlineStr"/>
      <c r="I5065" s="6" t="inlineStr"/>
      <c r="J5065" s="6" t="inlineStr"/>
      <c r="K5065" s="16" t="n">
        <v>12</v>
      </c>
      <c r="L5065" s="2" t="inlineStr">
        <is>
          <t>20260630801182</t>
        </is>
      </c>
      <c r="M5065" s="8">
        <f>HYPERLINK("https://dart.fss.or.kr/dsaf001/main.do?rcpNo=20260630801182", "공시열람")</f>
        <v/>
      </c>
    </row>
    <row r="5066" ht="22" customHeight="1">
      <c r="A5066" s="2" t="inlineStr">
        <is>
          <t>2026-06-30</t>
        </is>
      </c>
      <c r="B5066" s="3" t="inlineStr">
        <is>
          <t>티앤알바이오팹</t>
        </is>
      </c>
      <c r="C5066" s="2" t="inlineStr">
        <is>
          <t>246710</t>
        </is>
      </c>
      <c r="D5066" s="2" t="inlineStr">
        <is>
          <t>대량보유</t>
        </is>
      </c>
      <c r="E5066" s="3" t="inlineStr">
        <is>
          <t>윤원수</t>
        </is>
      </c>
      <c r="F5066" s="3" t="inlineStr">
        <is>
          <t>보고자</t>
        </is>
      </c>
      <c r="G5066" s="3" t="inlineStr">
        <is>
          <t>주식담보대출 일부 상환 및 잔여 주식담보대출 상환기한 등 유예</t>
        </is>
      </c>
      <c r="H5066" s="6" t="inlineStr"/>
      <c r="I5066" s="6" t="inlineStr"/>
      <c r="J5066" s="6" t="n">
        <v>7172622</v>
      </c>
      <c r="K5066" s="16" t="n">
        <v>2</v>
      </c>
      <c r="L5066" s="2" t="inlineStr">
        <is>
          <t>20260630000893</t>
        </is>
      </c>
      <c r="M5066" s="8">
        <f>HYPERLINK("https://dart.fss.or.kr/dsaf001/main.do?rcpNo=20260630000893", "공시열람")</f>
        <v/>
      </c>
    </row>
    <row r="5067" ht="22" customHeight="1">
      <c r="A5067" s="2" t="inlineStr">
        <is>
          <t>2026-06-30</t>
        </is>
      </c>
      <c r="B5067" s="3" t="inlineStr">
        <is>
          <t>현대홈쇼핑</t>
        </is>
      </c>
      <c r="C5067" s="2" t="inlineStr">
        <is>
          <t>057050</t>
        </is>
      </c>
      <c r="D5067" s="2" t="inlineStr">
        <is>
          <t>임원보고</t>
        </is>
      </c>
      <c r="E5067" s="3" t="inlineStr">
        <is>
          <t>-</t>
        </is>
      </c>
      <c r="F5067" s="3" t="inlineStr">
        <is>
          <t>-</t>
        </is>
      </c>
      <c r="G5067" s="3" t="inlineStr">
        <is>
          <t>-</t>
        </is>
      </c>
      <c r="H5067" s="6" t="inlineStr"/>
      <c r="I5067" s="6" t="inlineStr"/>
      <c r="J5067" s="6" t="inlineStr"/>
      <c r="K5067" s="16" t="n">
        <v>12</v>
      </c>
      <c r="L5067" s="2" t="inlineStr">
        <is>
          <t>20260630801159</t>
        </is>
      </c>
      <c r="M5067" s="8">
        <f>HYPERLINK("https://dart.fss.or.kr/dsaf001/main.do?rcpNo=20260630801159", "공시열람")</f>
        <v/>
      </c>
    </row>
    <row r="5068" ht="22" customHeight="1">
      <c r="A5068" s="2" t="inlineStr">
        <is>
          <t>2026-06-30</t>
        </is>
      </c>
      <c r="B5068" s="3" t="inlineStr">
        <is>
          <t>현대홈쇼핑</t>
        </is>
      </c>
      <c r="C5068" s="2" t="inlineStr">
        <is>
          <t>057050</t>
        </is>
      </c>
      <c r="D5068" s="2" t="inlineStr">
        <is>
          <t>대량보유</t>
        </is>
      </c>
      <c r="E5068" s="3" t="inlineStr">
        <is>
          <t>(주)현대지에프홀딩스</t>
        </is>
      </c>
      <c r="F5068" s="3" t="inlineStr">
        <is>
          <t>특별관계자</t>
        </is>
      </c>
      <c r="G5068" s="3" t="inlineStr">
        <is>
          <t>교환(+)</t>
        </is>
      </c>
      <c r="H5068" s="15" t="n">
        <v>4324752</v>
      </c>
      <c r="I5068" s="6" t="n">
        <v>63598</v>
      </c>
      <c r="J5068" s="6" t="n">
        <v>11207604</v>
      </c>
      <c r="K5068" s="16" t="n">
        <v>1</v>
      </c>
      <c r="L5068" s="2" t="inlineStr">
        <is>
          <t>20260630000884</t>
        </is>
      </c>
      <c r="M5068" s="8">
        <f>HYPERLINK("https://dart.fss.or.kr/dsaf001/main.do?rcpNo=20260630000884", "공시열람")</f>
        <v/>
      </c>
    </row>
    <row r="5069" ht="22" customHeight="1">
      <c r="A5069" s="2" t="inlineStr">
        <is>
          <t>2026-06-30</t>
        </is>
      </c>
      <c r="B5069" s="3" t="inlineStr">
        <is>
          <t>시프트업</t>
        </is>
      </c>
      <c r="C5069" s="2" t="inlineStr">
        <is>
          <t>462870</t>
        </is>
      </c>
      <c r="D5069" s="2" t="inlineStr">
        <is>
          <t>임원보고</t>
        </is>
      </c>
      <c r="E5069" s="3" t="inlineStr">
        <is>
          <t>-</t>
        </is>
      </c>
      <c r="F5069" s="3" t="inlineStr">
        <is>
          <t>-</t>
        </is>
      </c>
      <c r="G5069" s="3" t="inlineStr">
        <is>
          <t>-</t>
        </is>
      </c>
      <c r="H5069" s="6" t="inlineStr"/>
      <c r="I5069" s="6" t="inlineStr"/>
      <c r="J5069" s="6" t="inlineStr"/>
      <c r="K5069" s="16" t="n">
        <v>12</v>
      </c>
      <c r="L5069" s="2" t="inlineStr">
        <is>
          <t>20260630801114</t>
        </is>
      </c>
      <c r="M5069" s="8">
        <f>HYPERLINK("https://dart.fss.or.kr/dsaf001/main.do?rcpNo=20260630801114", "공시열람")</f>
        <v/>
      </c>
    </row>
    <row r="5070" ht="22" customHeight="1">
      <c r="A5070" s="2" t="inlineStr">
        <is>
          <t>2026-06-30</t>
        </is>
      </c>
      <c r="B5070" s="3" t="inlineStr">
        <is>
          <t>텔콘RF제약</t>
        </is>
      </c>
      <c r="C5070" s="2" t="inlineStr">
        <is>
          <t>200230</t>
        </is>
      </c>
      <c r="D5070" s="2" t="inlineStr">
        <is>
          <t>대량보유</t>
        </is>
      </c>
      <c r="E5070" s="3" t="inlineStr">
        <is>
          <t>(주)뉴온</t>
        </is>
      </c>
      <c r="F5070" s="3" t="inlineStr">
        <is>
          <t>특별관계자</t>
        </is>
      </c>
      <c r="G5070" s="3" t="inlineStr">
        <is>
          <t>자본감소</t>
        </is>
      </c>
      <c r="H5070" s="17" t="n">
        <v>-12362844</v>
      </c>
      <c r="I5070" s="6" t="inlineStr"/>
      <c r="J5070" s="6" t="n">
        <v>1373649</v>
      </c>
      <c r="K5070" s="16" t="n">
        <v>3</v>
      </c>
      <c r="L5070" s="2" t="inlineStr">
        <is>
          <t>20260630000872</t>
        </is>
      </c>
      <c r="M5070" s="8">
        <f>HYPERLINK("https://dart.fss.or.kr/dsaf001/main.do?rcpNo=20260630000872", "공시열람")</f>
        <v/>
      </c>
    </row>
    <row r="5071" ht="22" customHeight="1">
      <c r="A5071" s="2" t="inlineStr">
        <is>
          <t>2026-06-30</t>
        </is>
      </c>
      <c r="B5071" s="3" t="inlineStr">
        <is>
          <t>텔콘RF제약</t>
        </is>
      </c>
      <c r="C5071" s="2" t="inlineStr">
        <is>
          <t>200230</t>
        </is>
      </c>
      <c r="D5071" s="2" t="inlineStr">
        <is>
          <t>대량보유</t>
        </is>
      </c>
      <c r="E5071" s="3" t="inlineStr">
        <is>
          <t>(주)엘투엘홀딩스</t>
        </is>
      </c>
      <c r="F5071" s="3" t="inlineStr">
        <is>
          <t>특별관계자</t>
        </is>
      </c>
      <c r="G5071" s="3" t="inlineStr">
        <is>
          <t>자본감소</t>
        </is>
      </c>
      <c r="H5071" s="17" t="n">
        <v>-1301787</v>
      </c>
      <c r="I5071" s="6" t="inlineStr"/>
      <c r="J5071" s="6" t="n">
        <v>144642</v>
      </c>
      <c r="K5071" s="16" t="n">
        <v>3</v>
      </c>
      <c r="L5071" s="2" t="inlineStr">
        <is>
          <t>20260630000872</t>
        </is>
      </c>
      <c r="M5071" s="8">
        <f>HYPERLINK("https://dart.fss.or.kr/dsaf001/main.do?rcpNo=20260630000872", "공시열람")</f>
        <v/>
      </c>
    </row>
    <row r="5072" ht="22" customHeight="1">
      <c r="A5072" s="2" t="inlineStr">
        <is>
          <t>2026-06-30</t>
        </is>
      </c>
      <c r="B5072" s="3" t="inlineStr">
        <is>
          <t>텔콘RF제약</t>
        </is>
      </c>
      <c r="C5072" s="2" t="inlineStr">
        <is>
          <t>200230</t>
        </is>
      </c>
      <c r="D5072" s="2" t="inlineStr">
        <is>
          <t>대량보유</t>
        </is>
      </c>
      <c r="E5072" s="3" t="inlineStr">
        <is>
          <t>권중길</t>
        </is>
      </c>
      <c r="F5072" s="3" t="inlineStr">
        <is>
          <t>특별관계자</t>
        </is>
      </c>
      <c r="G5072" s="3" t="inlineStr">
        <is>
          <t>자본감소</t>
        </is>
      </c>
      <c r="H5072" s="17" t="n">
        <v>-9000</v>
      </c>
      <c r="I5072" s="6" t="inlineStr"/>
      <c r="J5072" s="6" t="n">
        <v>1000</v>
      </c>
      <c r="K5072" s="16" t="n">
        <v>3</v>
      </c>
      <c r="L5072" s="2" t="inlineStr">
        <is>
          <t>20260630000872</t>
        </is>
      </c>
      <c r="M5072" s="8">
        <f>HYPERLINK("https://dart.fss.or.kr/dsaf001/main.do?rcpNo=20260630000872", "공시열람")</f>
        <v/>
      </c>
    </row>
    <row r="5073" ht="22" customHeight="1">
      <c r="A5073" s="2" t="inlineStr">
        <is>
          <t>2026-06-30</t>
        </is>
      </c>
      <c r="B5073" s="3" t="inlineStr">
        <is>
          <t>텔콘RF제약</t>
        </is>
      </c>
      <c r="C5073" s="2" t="inlineStr">
        <is>
          <t>200230</t>
        </is>
      </c>
      <c r="D5073" s="2" t="inlineStr">
        <is>
          <t>대량보유</t>
        </is>
      </c>
      <c r="E5073" s="3" t="inlineStr">
        <is>
          <t>최지한</t>
        </is>
      </c>
      <c r="F5073" s="3" t="inlineStr">
        <is>
          <t>특별관계자</t>
        </is>
      </c>
      <c r="G5073" s="3" t="inlineStr">
        <is>
          <t>자본감소</t>
        </is>
      </c>
      <c r="H5073" s="17" t="n">
        <v>-270000</v>
      </c>
      <c r="I5073" s="6" t="inlineStr"/>
      <c r="J5073" s="6" t="n">
        <v>30000</v>
      </c>
      <c r="K5073" s="16" t="n">
        <v>3</v>
      </c>
      <c r="L5073" s="2" t="inlineStr">
        <is>
          <t>20260630000872</t>
        </is>
      </c>
      <c r="M5073" s="8">
        <f>HYPERLINK("https://dart.fss.or.kr/dsaf001/main.do?rcpNo=20260630000872", "공시열람")</f>
        <v/>
      </c>
    </row>
    <row r="5074" ht="22" customHeight="1">
      <c r="A5074" s="2" t="inlineStr">
        <is>
          <t>2026-06-30</t>
        </is>
      </c>
      <c r="B5074" s="3" t="inlineStr">
        <is>
          <t>토박스코리아</t>
        </is>
      </c>
      <c r="C5074" s="2" t="inlineStr">
        <is>
          <t>215480</t>
        </is>
      </c>
      <c r="D5074" s="2" t="inlineStr">
        <is>
          <t>대량보유</t>
        </is>
      </c>
      <c r="E5074" s="3" t="inlineStr">
        <is>
          <t>남규설</t>
        </is>
      </c>
      <c r="F5074" s="3" t="inlineStr">
        <is>
          <t>특별관계자</t>
        </is>
      </c>
      <c r="G5074" s="3" t="inlineStr">
        <is>
          <t>임원퇴임(-)</t>
        </is>
      </c>
      <c r="H5074" s="17" t="n">
        <v>-15188</v>
      </c>
      <c r="I5074" s="6" t="inlineStr"/>
      <c r="J5074" s="6" t="inlineStr"/>
      <c r="K5074" s="16" t="n">
        <v>7</v>
      </c>
      <c r="L5074" s="2" t="inlineStr">
        <is>
          <t>20260630000861</t>
        </is>
      </c>
      <c r="M5074" s="8">
        <f>HYPERLINK("https://dart.fss.or.kr/dsaf001/main.do?rcpNo=20260630000861", "공시열람")</f>
        <v/>
      </c>
    </row>
    <row r="5075" ht="22" customHeight="1">
      <c r="A5075" s="2" t="inlineStr">
        <is>
          <t>2026-06-30</t>
        </is>
      </c>
      <c r="B5075" s="3" t="inlineStr">
        <is>
          <t>시프트업</t>
        </is>
      </c>
      <c r="C5075" s="2" t="inlineStr">
        <is>
          <t>462870</t>
        </is>
      </c>
      <c r="D5075" s="2" t="inlineStr">
        <is>
          <t>대량보유</t>
        </is>
      </c>
      <c r="E5075" s="3" t="inlineStr">
        <is>
          <t>안재우</t>
        </is>
      </c>
      <c r="F5075" s="3" t="inlineStr">
        <is>
          <t>특별관계자</t>
        </is>
      </c>
      <c r="G5075" s="3" t="inlineStr">
        <is>
          <t>주식매수선택권행사(-), 주식매수선택권행사(+)</t>
        </is>
      </c>
      <c r="H5075" s="6" t="inlineStr"/>
      <c r="I5075" s="6" t="n">
        <v>200</v>
      </c>
      <c r="J5075" s="6" t="n">
        <v>28310</v>
      </c>
      <c r="K5075" s="16" t="n">
        <v>6</v>
      </c>
      <c r="L5075" s="2" t="inlineStr">
        <is>
          <t>20260630000854</t>
        </is>
      </c>
      <c r="M5075" s="8">
        <f>HYPERLINK("https://dart.fss.or.kr/dsaf001/main.do?rcpNo=20260630000854", "공시열람")</f>
        <v/>
      </c>
    </row>
    <row r="5076" ht="22" customHeight="1">
      <c r="A5076" s="2" t="inlineStr">
        <is>
          <t>2026-06-30</t>
        </is>
      </c>
      <c r="B5076" s="3" t="inlineStr">
        <is>
          <t>시프트업</t>
        </is>
      </c>
      <c r="C5076" s="2" t="inlineStr">
        <is>
          <t>462870</t>
        </is>
      </c>
      <c r="D5076" s="2" t="inlineStr">
        <is>
          <t>대량보유</t>
        </is>
      </c>
      <c r="E5076" s="3" t="inlineStr">
        <is>
          <t>유준석</t>
        </is>
      </c>
      <c r="F5076" s="3" t="inlineStr">
        <is>
          <t>특별관계자</t>
        </is>
      </c>
      <c r="G5076" s="3" t="inlineStr">
        <is>
          <t>신규보고(+)</t>
        </is>
      </c>
      <c r="H5076" s="15" t="n">
        <v>42000</v>
      </c>
      <c r="I5076" s="6" t="inlineStr"/>
      <c r="J5076" s="6" t="n">
        <v>9000</v>
      </c>
      <c r="K5076" s="16" t="n">
        <v>6</v>
      </c>
      <c r="L5076" s="2" t="inlineStr">
        <is>
          <t>20260630000854</t>
        </is>
      </c>
      <c r="M5076" s="8">
        <f>HYPERLINK("https://dart.fss.or.kr/dsaf001/main.do?rcpNo=20260630000854", "공시열람")</f>
        <v/>
      </c>
    </row>
    <row r="5077" ht="22" customHeight="1">
      <c r="A5077" s="2" t="inlineStr">
        <is>
          <t>2026-06-30</t>
        </is>
      </c>
      <c r="B5077" s="3" t="inlineStr">
        <is>
          <t>시프트업</t>
        </is>
      </c>
      <c r="C5077" s="2" t="inlineStr">
        <is>
          <t>462870</t>
        </is>
      </c>
      <c r="D5077" s="2" t="inlineStr">
        <is>
          <t>대량보유</t>
        </is>
      </c>
      <c r="E5077" s="3" t="inlineStr">
        <is>
          <t>김미리</t>
        </is>
      </c>
      <c r="F5077" s="3" t="inlineStr">
        <is>
          <t>특별관계자</t>
        </is>
      </c>
      <c r="G5077" s="3" t="inlineStr">
        <is>
          <t>신규보고(+)</t>
        </is>
      </c>
      <c r="H5077" s="15" t="n">
        <v>4500</v>
      </c>
      <c r="I5077" s="6" t="inlineStr"/>
      <c r="J5077" s="6" t="n">
        <v>4500</v>
      </c>
      <c r="K5077" s="16" t="n">
        <v>6</v>
      </c>
      <c r="L5077" s="2" t="inlineStr">
        <is>
          <t>20260630000854</t>
        </is>
      </c>
      <c r="M5077" s="8">
        <f>HYPERLINK("https://dart.fss.or.kr/dsaf001/main.do?rcpNo=20260630000854", "공시열람")</f>
        <v/>
      </c>
    </row>
    <row r="5078" ht="22" customHeight="1">
      <c r="A5078" s="2" t="inlineStr">
        <is>
          <t>2026-06-30</t>
        </is>
      </c>
      <c r="B5078" s="3" t="inlineStr">
        <is>
          <t>모아데이타</t>
        </is>
      </c>
      <c r="C5078" s="2" t="inlineStr">
        <is>
          <t>288980</t>
        </is>
      </c>
      <c r="D5078" s="2" t="inlineStr">
        <is>
          <t>대량보유</t>
        </is>
      </c>
      <c r="E5078" s="3" t="inlineStr">
        <is>
          <t>한상진</t>
        </is>
      </c>
      <c r="F5078" s="3" t="inlineStr">
        <is>
          <t>보고자</t>
        </is>
      </c>
      <c r="G5078" s="3" t="inlineStr">
        <is>
          <t>주식양도담보대출 계약 연장</t>
        </is>
      </c>
      <c r="H5078" s="6" t="inlineStr"/>
      <c r="I5078" s="6" t="inlineStr"/>
      <c r="J5078" s="6" t="n">
        <v>12084233</v>
      </c>
      <c r="K5078" s="16" t="n">
        <v>4</v>
      </c>
      <c r="L5078" s="2" t="inlineStr">
        <is>
          <t>20260630000849</t>
        </is>
      </c>
      <c r="M5078" s="8">
        <f>HYPERLINK("https://dart.fss.or.kr/dsaf001/main.do?rcpNo=20260630000849", "공시열람")</f>
        <v/>
      </c>
    </row>
    <row r="5079" ht="22" customHeight="1">
      <c r="A5079" s="2" t="inlineStr">
        <is>
          <t>2026-06-30</t>
        </is>
      </c>
      <c r="B5079" s="3" t="inlineStr">
        <is>
          <t>부방</t>
        </is>
      </c>
      <c r="C5079" s="2" t="inlineStr">
        <is>
          <t>014470</t>
        </is>
      </c>
      <c r="D5079" s="2" t="inlineStr">
        <is>
          <t>대량보유</t>
        </is>
      </c>
      <c r="E5079" s="3" t="inlineStr">
        <is>
          <t>(주)테크로스홀딩스</t>
        </is>
      </c>
      <c r="F5079" s="3" t="inlineStr">
        <is>
          <t>보고자</t>
        </is>
      </c>
      <c r="G5079" s="3" t="inlineStr">
        <is>
          <t>주식담보계약의 연장</t>
        </is>
      </c>
      <c r="H5079" s="6" t="inlineStr"/>
      <c r="I5079" s="6" t="inlineStr"/>
      <c r="J5079" s="6" t="n">
        <v>28436743</v>
      </c>
      <c r="K5079" s="16" t="n">
        <v>7</v>
      </c>
      <c r="L5079" s="2" t="inlineStr">
        <is>
          <t>20260630000846</t>
        </is>
      </c>
      <c r="M5079" s="8">
        <f>HYPERLINK("https://dart.fss.or.kr/dsaf001/main.do?rcpNo=20260630000846", "공시열람")</f>
        <v/>
      </c>
    </row>
    <row r="5080" ht="22" customHeight="1">
      <c r="A5080" s="2" t="inlineStr">
        <is>
          <t>2026-06-30</t>
        </is>
      </c>
      <c r="B5080" s="3" t="inlineStr">
        <is>
          <t>대한과학</t>
        </is>
      </c>
      <c r="C5080" s="2" t="inlineStr">
        <is>
          <t>131220</t>
        </is>
      </c>
      <c r="D5080" s="2" t="inlineStr">
        <is>
          <t>대량보유</t>
        </is>
      </c>
      <c r="E5080" s="3" t="inlineStr">
        <is>
          <t>서현정</t>
        </is>
      </c>
      <c r="F5080" s="3" t="inlineStr">
        <is>
          <t>특별관계자</t>
        </is>
      </c>
      <c r="G5080" s="3" t="inlineStr">
        <is>
          <t>장내매수(+)</t>
        </is>
      </c>
      <c r="H5080" s="15" t="n">
        <v>21704</v>
      </c>
      <c r="I5080" s="6" t="n">
        <v>4211</v>
      </c>
      <c r="J5080" s="6" t="n">
        <v>419330</v>
      </c>
      <c r="K5080" s="16" t="n">
        <v>17</v>
      </c>
      <c r="L5080" s="2" t="inlineStr">
        <is>
          <t>20260630000839</t>
        </is>
      </c>
      <c r="M5080" s="8">
        <f>HYPERLINK("https://dart.fss.or.kr/dsaf001/main.do?rcpNo=20260630000839", "공시열람")</f>
        <v/>
      </c>
    </row>
    <row r="5081" ht="22" customHeight="1">
      <c r="A5081" s="2" t="inlineStr">
        <is>
          <t>2026-06-30</t>
        </is>
      </c>
      <c r="B5081" s="3" t="inlineStr">
        <is>
          <t>대한과학</t>
        </is>
      </c>
      <c r="C5081" s="2" t="inlineStr">
        <is>
          <t>131220</t>
        </is>
      </c>
      <c r="D5081" s="2" t="inlineStr">
        <is>
          <t>대량보유</t>
        </is>
      </c>
      <c r="E5081" s="3" t="inlineStr">
        <is>
          <t>이충형</t>
        </is>
      </c>
      <c r="F5081" s="3" t="inlineStr">
        <is>
          <t>특별관계자</t>
        </is>
      </c>
      <c r="G5081" s="3" t="inlineStr">
        <is>
          <t>장내매수(+)</t>
        </is>
      </c>
      <c r="H5081" s="15" t="n">
        <v>54478</v>
      </c>
      <c r="I5081" s="6" t="n">
        <v>4216</v>
      </c>
      <c r="J5081" s="6" t="n">
        <v>79545</v>
      </c>
      <c r="K5081" s="16" t="n">
        <v>17</v>
      </c>
      <c r="L5081" s="2" t="inlineStr">
        <is>
          <t>20260630000839</t>
        </is>
      </c>
      <c r="M5081" s="8">
        <f>HYPERLINK("https://dart.fss.or.kr/dsaf001/main.do?rcpNo=20260630000839", "공시열람")</f>
        <v/>
      </c>
    </row>
    <row r="5082" ht="22" customHeight="1">
      <c r="A5082" s="2" t="inlineStr">
        <is>
          <t>2026-06-30</t>
        </is>
      </c>
      <c r="B5082" s="3" t="inlineStr">
        <is>
          <t>대한과학</t>
        </is>
      </c>
      <c r="C5082" s="2" t="inlineStr">
        <is>
          <t>131220</t>
        </is>
      </c>
      <c r="D5082" s="2" t="inlineStr">
        <is>
          <t>대량보유</t>
        </is>
      </c>
      <c r="E5082" s="3" t="inlineStr">
        <is>
          <t>서강민</t>
        </is>
      </c>
      <c r="F5082" s="3" t="inlineStr">
        <is>
          <t>특별관계자</t>
        </is>
      </c>
      <c r="G5082" s="3" t="inlineStr">
        <is>
          <t>장내매수(+)</t>
        </is>
      </c>
      <c r="H5082" s="15" t="n">
        <v>8573</v>
      </c>
      <c r="I5082" s="6" t="n">
        <v>4650</v>
      </c>
      <c r="J5082" s="6" t="n">
        <v>326476</v>
      </c>
      <c r="K5082" s="16" t="n">
        <v>17</v>
      </c>
      <c r="L5082" s="2" t="inlineStr">
        <is>
          <t>20260630000839</t>
        </is>
      </c>
      <c r="M5082" s="8">
        <f>HYPERLINK("https://dart.fss.or.kr/dsaf001/main.do?rcpNo=20260630000839", "공시열람")</f>
        <v/>
      </c>
    </row>
    <row r="5083" ht="22" customHeight="1">
      <c r="A5083" s="2" t="inlineStr">
        <is>
          <t>2026-06-30</t>
        </is>
      </c>
      <c r="B5083" s="3" t="inlineStr">
        <is>
          <t>대한과학</t>
        </is>
      </c>
      <c r="C5083" s="2" t="inlineStr">
        <is>
          <t>131220</t>
        </is>
      </c>
      <c r="D5083" s="2" t="inlineStr">
        <is>
          <t>대량보유</t>
        </is>
      </c>
      <c r="E5083" s="3" t="inlineStr">
        <is>
          <t>최윤경</t>
        </is>
      </c>
      <c r="F5083" s="3" t="inlineStr">
        <is>
          <t>특별관계자</t>
        </is>
      </c>
      <c r="G5083" s="3" t="inlineStr">
        <is>
          <t>장내매수(+)</t>
        </is>
      </c>
      <c r="H5083" s="15" t="n">
        <v>957</v>
      </c>
      <c r="I5083" s="6" t="n">
        <v>3859</v>
      </c>
      <c r="J5083" s="6" t="n">
        <v>62561</v>
      </c>
      <c r="K5083" s="16" t="n">
        <v>17</v>
      </c>
      <c r="L5083" s="2" t="inlineStr">
        <is>
          <t>20260630000839</t>
        </is>
      </c>
      <c r="M5083" s="8">
        <f>HYPERLINK("https://dart.fss.or.kr/dsaf001/main.do?rcpNo=20260630000839", "공시열람")</f>
        <v/>
      </c>
    </row>
    <row r="5084" ht="22" customHeight="1">
      <c r="A5084" s="2" t="inlineStr">
        <is>
          <t>2026-06-30</t>
        </is>
      </c>
      <c r="B5084" s="3" t="inlineStr">
        <is>
          <t>대한과학</t>
        </is>
      </c>
      <c r="C5084" s="2" t="inlineStr">
        <is>
          <t>131220</t>
        </is>
      </c>
      <c r="D5084" s="2" t="inlineStr">
        <is>
          <t>대량보유</t>
        </is>
      </c>
      <c r="E5084" s="3" t="inlineStr">
        <is>
          <t>이혁</t>
        </is>
      </c>
      <c r="F5084" s="3" t="inlineStr">
        <is>
          <t>특별관계자</t>
        </is>
      </c>
      <c r="G5084" s="3" t="inlineStr">
        <is>
          <t>특별관계해소(-)</t>
        </is>
      </c>
      <c r="H5084" s="17" t="n">
        <v>-15500</v>
      </c>
      <c r="I5084" s="6" t="inlineStr"/>
      <c r="J5084" s="6" t="inlineStr"/>
      <c r="K5084" s="16" t="n">
        <v>17</v>
      </c>
      <c r="L5084" s="2" t="inlineStr">
        <is>
          <t>20260630000839</t>
        </is>
      </c>
      <c r="M5084" s="8">
        <f>HYPERLINK("https://dart.fss.or.kr/dsaf001/main.do?rcpNo=20260630000839", "공시열람")</f>
        <v/>
      </c>
    </row>
    <row r="5085" ht="22" customHeight="1">
      <c r="A5085" s="2" t="inlineStr">
        <is>
          <t>2026-06-30</t>
        </is>
      </c>
      <c r="B5085" s="3" t="inlineStr">
        <is>
          <t>대한과학</t>
        </is>
      </c>
      <c r="C5085" s="2" t="inlineStr">
        <is>
          <t>131220</t>
        </is>
      </c>
      <c r="D5085" s="2" t="inlineStr">
        <is>
          <t>대량보유</t>
        </is>
      </c>
      <c r="E5085" s="3" t="inlineStr">
        <is>
          <t>㈜대한과학통상</t>
        </is>
      </c>
      <c r="F5085" s="3" t="inlineStr">
        <is>
          <t>특별관계자</t>
        </is>
      </c>
      <c r="G5085" s="3" t="inlineStr">
        <is>
          <t>장내매도(-)</t>
        </is>
      </c>
      <c r="H5085" s="17" t="n">
        <v>-4500</v>
      </c>
      <c r="I5085" s="6" t="n">
        <v>4851</v>
      </c>
      <c r="J5085" s="6" t="inlineStr"/>
      <c r="K5085" s="16" t="n">
        <v>17</v>
      </c>
      <c r="L5085" s="2" t="inlineStr">
        <is>
          <t>20260630000839</t>
        </is>
      </c>
      <c r="M5085" s="8">
        <f>HYPERLINK("https://dart.fss.or.kr/dsaf001/main.do?rcpNo=20260630000839", "공시열람")</f>
        <v/>
      </c>
    </row>
    <row r="5086" ht="22" customHeight="1">
      <c r="A5086" s="2" t="inlineStr">
        <is>
          <t>2026-06-30</t>
        </is>
      </c>
      <c r="B5086" s="3" t="inlineStr">
        <is>
          <t>체시스</t>
        </is>
      </c>
      <c r="C5086" s="2" t="inlineStr">
        <is>
          <t>033250</t>
        </is>
      </c>
      <c r="D5086" s="2" t="inlineStr">
        <is>
          <t>임원보고</t>
        </is>
      </c>
      <c r="E5086" s="3" t="inlineStr">
        <is>
          <t>-</t>
        </is>
      </c>
      <c r="F5086" s="3" t="inlineStr">
        <is>
          <t>-</t>
        </is>
      </c>
      <c r="G5086" s="3" t="inlineStr">
        <is>
          <t>-</t>
        </is>
      </c>
      <c r="H5086" s="6" t="inlineStr"/>
      <c r="I5086" s="6" t="inlineStr"/>
      <c r="J5086" s="6" t="inlineStr"/>
      <c r="K5086" s="16" t="n">
        <v>12</v>
      </c>
      <c r="L5086" s="2" t="inlineStr">
        <is>
          <t>20260630801055</t>
        </is>
      </c>
      <c r="M5086" s="8">
        <f>HYPERLINK("https://dart.fss.or.kr/dsaf001/main.do?rcpNo=20260630801055", "공시열람")</f>
        <v/>
      </c>
    </row>
    <row r="5087" ht="22" customHeight="1">
      <c r="A5087" s="2" t="inlineStr">
        <is>
          <t>2026-06-30</t>
        </is>
      </c>
      <c r="B5087" s="3" t="inlineStr">
        <is>
          <t>화승코퍼레이션</t>
        </is>
      </c>
      <c r="C5087" s="2" t="inlineStr">
        <is>
          <t>013520</t>
        </is>
      </c>
      <c r="D5087" s="2" t="inlineStr">
        <is>
          <t>대량보유</t>
        </is>
      </c>
      <c r="E5087" s="3" t="inlineStr">
        <is>
          <t>현재모</t>
        </is>
      </c>
      <c r="F5087" s="3" t="inlineStr">
        <is>
          <t>특별관계자</t>
        </is>
      </c>
      <c r="G5087" s="3" t="inlineStr">
        <is>
          <t>장내매수(+)</t>
        </is>
      </c>
      <c r="H5087" s="15" t="n">
        <v>245861</v>
      </c>
      <c r="I5087" s="6" t="n">
        <v>2383</v>
      </c>
      <c r="J5087" s="6" t="n">
        <v>2755861</v>
      </c>
      <c r="K5087" s="16" t="n">
        <v>3</v>
      </c>
      <c r="L5087" s="2" t="inlineStr">
        <is>
          <t>20260630000817</t>
        </is>
      </c>
      <c r="M5087" s="8">
        <f>HYPERLINK("https://dart.fss.or.kr/dsaf001/main.do?rcpNo=20260630000817", "공시열람")</f>
        <v/>
      </c>
    </row>
    <row r="5088" ht="22" customHeight="1">
      <c r="A5088" s="2" t="inlineStr">
        <is>
          <t>2026-06-30</t>
        </is>
      </c>
      <c r="B5088" s="3" t="inlineStr">
        <is>
          <t>웰크론</t>
        </is>
      </c>
      <c r="C5088" s="2" t="inlineStr">
        <is>
          <t>065950</t>
        </is>
      </c>
      <c r="D5088" s="2" t="inlineStr">
        <is>
          <t>대량보유</t>
        </is>
      </c>
      <c r="E5088" s="3" t="inlineStr">
        <is>
          <t>신정재</t>
        </is>
      </c>
      <c r="F5088" s="3" t="inlineStr">
        <is>
          <t>특별관계자</t>
        </is>
      </c>
      <c r="G5088" s="3" t="inlineStr">
        <is>
          <t>장내매수(+)</t>
        </is>
      </c>
      <c r="H5088" s="15" t="n">
        <v>17900</v>
      </c>
      <c r="I5088" s="6" t="n">
        <v>1026</v>
      </c>
      <c r="J5088" s="6" t="n">
        <v>523271</v>
      </c>
      <c r="K5088" s="16" t="n">
        <v>10</v>
      </c>
      <c r="L5088" s="2" t="inlineStr">
        <is>
          <t>20260630000810</t>
        </is>
      </c>
      <c r="M5088" s="8">
        <f>HYPERLINK("https://dart.fss.or.kr/dsaf001/main.do?rcpNo=20260630000810", "공시열람")</f>
        <v/>
      </c>
    </row>
    <row r="5089" ht="22" customHeight="1">
      <c r="A5089" s="2" t="inlineStr">
        <is>
          <t>2026-06-30</t>
        </is>
      </c>
      <c r="B5089" s="3" t="inlineStr">
        <is>
          <t>웰크론</t>
        </is>
      </c>
      <c r="C5089" s="2" t="inlineStr">
        <is>
          <t>065950</t>
        </is>
      </c>
      <c r="D5089" s="2" t="inlineStr">
        <is>
          <t>대량보유</t>
        </is>
      </c>
      <c r="E5089" s="3" t="inlineStr">
        <is>
          <t>주식회사웰크론헬스케어</t>
        </is>
      </c>
      <c r="F5089" s="3" t="inlineStr">
        <is>
          <t>특별관계자</t>
        </is>
      </c>
      <c r="G5089" s="3" t="inlineStr">
        <is>
          <t>장내매수(+)</t>
        </is>
      </c>
      <c r="H5089" s="15" t="n">
        <v>136076</v>
      </c>
      <c r="I5089" s="6" t="n">
        <v>1020</v>
      </c>
      <c r="J5089" s="6" t="n">
        <v>762496</v>
      </c>
      <c r="K5089" s="16" t="n">
        <v>10</v>
      </c>
      <c r="L5089" s="2" t="inlineStr">
        <is>
          <t>20260630000810</t>
        </is>
      </c>
      <c r="M5089" s="8">
        <f>HYPERLINK("https://dart.fss.or.kr/dsaf001/main.do?rcpNo=20260630000810", "공시열람")</f>
        <v/>
      </c>
    </row>
    <row r="5090" ht="22" customHeight="1">
      <c r="A5090" s="2" t="inlineStr">
        <is>
          <t>2026-06-30</t>
        </is>
      </c>
      <c r="B5090" s="3" t="inlineStr">
        <is>
          <t>부국증권</t>
        </is>
      </c>
      <c r="C5090" s="2" t="inlineStr">
        <is>
          <t>001270</t>
        </is>
      </c>
      <c r="D5090" s="2" t="inlineStr">
        <is>
          <t>대량보유</t>
        </is>
      </c>
      <c r="E5090" s="3" t="inlineStr">
        <is>
          <t>이진우</t>
        </is>
      </c>
      <c r="F5090" s="3" t="inlineStr">
        <is>
          <t>특별관계자</t>
        </is>
      </c>
      <c r="G5090" s="3" t="inlineStr">
        <is>
          <t>장내매수(+)</t>
        </is>
      </c>
      <c r="H5090" s="15" t="n">
        <v>176</v>
      </c>
      <c r="I5090" s="6" t="n">
        <v>54465</v>
      </c>
      <c r="J5090" s="6" t="n">
        <v>71686</v>
      </c>
      <c r="K5090" s="16" t="n">
        <v>9</v>
      </c>
      <c r="L5090" s="2" t="inlineStr">
        <is>
          <t>20260630000809</t>
        </is>
      </c>
      <c r="M5090" s="8">
        <f>HYPERLINK("https://dart.fss.or.kr/dsaf001/main.do?rcpNo=20260630000809", "공시열람")</f>
        <v/>
      </c>
    </row>
    <row r="5091" ht="22" customHeight="1">
      <c r="A5091" s="2" t="inlineStr">
        <is>
          <t>2026-06-30</t>
        </is>
      </c>
      <c r="B5091" s="3" t="inlineStr">
        <is>
          <t>다산네트웍스</t>
        </is>
      </c>
      <c r="C5091" s="2" t="inlineStr">
        <is>
          <t>039560</t>
        </is>
      </c>
      <c r="D5091" s="2" t="inlineStr">
        <is>
          <t>대량보유</t>
        </is>
      </c>
      <c r="E5091" s="3" t="inlineStr">
        <is>
          <t>(주)퍼시픽블루</t>
        </is>
      </c>
      <c r="F5091" s="3" t="inlineStr">
        <is>
          <t>특별관계자</t>
        </is>
      </c>
      <c r="G5091" s="3" t="inlineStr">
        <is>
          <t>장내매수(+), 장외매수(+)</t>
        </is>
      </c>
      <c r="H5091" s="15" t="n">
        <v>477035</v>
      </c>
      <c r="I5091" s="6" t="n">
        <v>2753</v>
      </c>
      <c r="J5091" s="6" t="n">
        <v>2019532</v>
      </c>
      <c r="K5091" s="16" t="n">
        <v>4</v>
      </c>
      <c r="L5091" s="2" t="inlineStr">
        <is>
          <t>20260630000807</t>
        </is>
      </c>
      <c r="M5091" s="8">
        <f>HYPERLINK("https://dart.fss.or.kr/dsaf001/main.do?rcpNo=20260630000807", "공시열람")</f>
        <v/>
      </c>
    </row>
    <row r="5092" ht="22" customHeight="1">
      <c r="A5092" s="2" t="inlineStr">
        <is>
          <t>2026-06-30</t>
        </is>
      </c>
      <c r="B5092" s="3" t="inlineStr">
        <is>
          <t>다산네트웍스</t>
        </is>
      </c>
      <c r="C5092" s="2" t="inlineStr">
        <is>
          <t>039560</t>
        </is>
      </c>
      <c r="D5092" s="2" t="inlineStr">
        <is>
          <t>대량보유</t>
        </is>
      </c>
      <c r="E5092" s="3" t="inlineStr">
        <is>
          <t>(주)다산인베스트</t>
        </is>
      </c>
      <c r="F5092" s="3" t="inlineStr">
        <is>
          <t>특별관계자</t>
        </is>
      </c>
      <c r="G5092" s="3" t="inlineStr">
        <is>
          <t>장외매도(-)</t>
        </is>
      </c>
      <c r="H5092" s="17" t="n">
        <v>-329635</v>
      </c>
      <c r="I5092" s="6" t="n">
        <v>2655</v>
      </c>
      <c r="J5092" s="6" t="inlineStr"/>
      <c r="K5092" s="16" t="n">
        <v>4</v>
      </c>
      <c r="L5092" s="2" t="inlineStr">
        <is>
          <t>20260630000807</t>
        </is>
      </c>
      <c r="M5092" s="8">
        <f>HYPERLINK("https://dart.fss.or.kr/dsaf001/main.do?rcpNo=20260630000807", "공시열람")</f>
        <v/>
      </c>
    </row>
    <row r="5093" ht="22" customHeight="1">
      <c r="A5093" s="2" t="inlineStr">
        <is>
          <t>2026-06-30</t>
        </is>
      </c>
      <c r="B5093" s="3" t="inlineStr">
        <is>
          <t>넥스턴앤롤코리아</t>
        </is>
      </c>
      <c r="C5093" s="2" t="inlineStr">
        <is>
          <t>089140</t>
        </is>
      </c>
      <c r="D5093" s="2" t="inlineStr">
        <is>
          <t>대량보유</t>
        </is>
      </c>
      <c r="E5093" s="3" t="inlineStr">
        <is>
          <t>(주)로아앤코</t>
        </is>
      </c>
      <c r="F5093" s="3" t="inlineStr">
        <is>
          <t>특별관계자</t>
        </is>
      </c>
      <c r="G5093" s="3" t="inlineStr">
        <is>
          <t>장내매수(+)</t>
        </is>
      </c>
      <c r="H5093" s="15" t="n">
        <v>7375</v>
      </c>
      <c r="I5093" s="6" t="n">
        <v>2017</v>
      </c>
      <c r="J5093" s="6" t="n">
        <v>43280</v>
      </c>
      <c r="K5093" s="16" t="n">
        <v>1</v>
      </c>
      <c r="L5093" s="2" t="inlineStr">
        <is>
          <t>20260630000794</t>
        </is>
      </c>
      <c r="M5093" s="8">
        <f>HYPERLINK("https://dart.fss.or.kr/dsaf001/main.do?rcpNo=20260630000794", "공시열람")</f>
        <v/>
      </c>
    </row>
    <row r="5094" ht="22" customHeight="1">
      <c r="A5094" s="2" t="inlineStr">
        <is>
          <t>2026-06-30</t>
        </is>
      </c>
      <c r="B5094" s="3" t="inlineStr">
        <is>
          <t>다산솔루에타</t>
        </is>
      </c>
      <c r="C5094" s="2" t="inlineStr">
        <is>
          <t>154040</t>
        </is>
      </c>
      <c r="D5094" s="2" t="inlineStr">
        <is>
          <t>대량보유</t>
        </is>
      </c>
      <c r="E5094" s="3" t="inlineStr">
        <is>
          <t>(주)다산벤처스</t>
        </is>
      </c>
      <c r="F5094" s="3" t="inlineStr">
        <is>
          <t>특별관계자</t>
        </is>
      </c>
      <c r="G5094" s="3" t="inlineStr">
        <is>
          <t>장내매수(+)</t>
        </is>
      </c>
      <c r="H5094" s="15" t="n">
        <v>215823</v>
      </c>
      <c r="I5094" s="6" t="n">
        <v>771</v>
      </c>
      <c r="J5094" s="6" t="n">
        <v>2186675</v>
      </c>
      <c r="K5094" s="16" t="n">
        <v>7</v>
      </c>
      <c r="L5094" s="2" t="inlineStr">
        <is>
          <t>20260630000789</t>
        </is>
      </c>
      <c r="M5094" s="8">
        <f>HYPERLINK("https://dart.fss.or.kr/dsaf001/main.do?rcpNo=20260630000789", "공시열람")</f>
        <v/>
      </c>
    </row>
    <row r="5095" ht="22" customHeight="1">
      <c r="A5095" s="2" t="inlineStr">
        <is>
          <t>2026-06-30</t>
        </is>
      </c>
      <c r="B5095" s="3" t="inlineStr">
        <is>
          <t>다산솔루에타</t>
        </is>
      </c>
      <c r="C5095" s="2" t="inlineStr">
        <is>
          <t>154040</t>
        </is>
      </c>
      <c r="D5095" s="2" t="inlineStr">
        <is>
          <t>대량보유</t>
        </is>
      </c>
      <c r="E5095" s="3" t="inlineStr">
        <is>
          <t>(주)앰지코리아</t>
        </is>
      </c>
      <c r="F5095" s="3" t="inlineStr">
        <is>
          <t>특별관계자</t>
        </is>
      </c>
      <c r="G5095" s="3" t="inlineStr">
        <is>
          <t>장내매수(+)</t>
        </is>
      </c>
      <c r="H5095" s="15" t="n">
        <v>323174</v>
      </c>
      <c r="I5095" s="6" t="n">
        <v>741</v>
      </c>
      <c r="J5095" s="6" t="n">
        <v>323174</v>
      </c>
      <c r="K5095" s="16" t="n">
        <v>7</v>
      </c>
      <c r="L5095" s="2" t="inlineStr">
        <is>
          <t>20260630000789</t>
        </is>
      </c>
      <c r="M5095" s="8">
        <f>HYPERLINK("https://dart.fss.or.kr/dsaf001/main.do?rcpNo=20260630000789", "공시열람")</f>
        <v/>
      </c>
    </row>
    <row r="5096" ht="22" customHeight="1">
      <c r="A5096" s="2" t="inlineStr">
        <is>
          <t>2026-06-30</t>
        </is>
      </c>
      <c r="B5096" s="3" t="inlineStr">
        <is>
          <t>다산솔루에타</t>
        </is>
      </c>
      <c r="C5096" s="2" t="inlineStr">
        <is>
          <t>154040</t>
        </is>
      </c>
      <c r="D5096" s="2" t="inlineStr">
        <is>
          <t>대량보유</t>
        </is>
      </c>
      <c r="E5096" s="3" t="inlineStr">
        <is>
          <t>(주)다산인베스트</t>
        </is>
      </c>
      <c r="F5096" s="3" t="inlineStr">
        <is>
          <t>특별관계자</t>
        </is>
      </c>
      <c r="G5096" s="3" t="inlineStr">
        <is>
          <t>장외매수(+)</t>
        </is>
      </c>
      <c r="H5096" s="15" t="n">
        <v>1878000</v>
      </c>
      <c r="I5096" s="6" t="n">
        <v>734</v>
      </c>
      <c r="J5096" s="6" t="n">
        <v>4505302</v>
      </c>
      <c r="K5096" s="16" t="n">
        <v>7</v>
      </c>
      <c r="L5096" s="2" t="inlineStr">
        <is>
          <t>20260630000789</t>
        </is>
      </c>
      <c r="M5096" s="8">
        <f>HYPERLINK("https://dart.fss.or.kr/dsaf001/main.do?rcpNo=20260630000789", "공시열람")</f>
        <v/>
      </c>
    </row>
    <row r="5097" ht="22" customHeight="1">
      <c r="A5097" s="2" t="inlineStr">
        <is>
          <t>2026-06-30</t>
        </is>
      </c>
      <c r="B5097" s="3" t="inlineStr">
        <is>
          <t>다산솔루에타</t>
        </is>
      </c>
      <c r="C5097" s="2" t="inlineStr">
        <is>
          <t>154040</t>
        </is>
      </c>
      <c r="D5097" s="2" t="inlineStr">
        <is>
          <t>대량보유</t>
        </is>
      </c>
      <c r="E5097" s="3" t="inlineStr">
        <is>
          <t>(주)퍼시픽블루</t>
        </is>
      </c>
      <c r="F5097" s="3" t="inlineStr">
        <is>
          <t>특별관계자</t>
        </is>
      </c>
      <c r="G5097" s="3" t="inlineStr">
        <is>
          <t>장외매도(-)</t>
        </is>
      </c>
      <c r="H5097" s="17" t="n">
        <v>-1878000</v>
      </c>
      <c r="I5097" s="6" t="n">
        <v>734</v>
      </c>
      <c r="J5097" s="6" t="inlineStr"/>
      <c r="K5097" s="16" t="n">
        <v>7</v>
      </c>
      <c r="L5097" s="2" t="inlineStr">
        <is>
          <t>20260630000789</t>
        </is>
      </c>
      <c r="M5097" s="8">
        <f>HYPERLINK("https://dart.fss.or.kr/dsaf001/main.do?rcpNo=20260630000789", "공시열람")</f>
        <v/>
      </c>
    </row>
    <row r="5098" ht="22" customHeight="1">
      <c r="A5098" s="2" t="inlineStr">
        <is>
          <t>2026-06-30</t>
        </is>
      </c>
      <c r="B5098" s="3" t="inlineStr">
        <is>
          <t>HLB파나진</t>
        </is>
      </c>
      <c r="C5098" s="2" t="inlineStr">
        <is>
          <t>046210</t>
        </is>
      </c>
      <c r="D5098" s="2" t="inlineStr">
        <is>
          <t>대량보유</t>
        </is>
      </c>
      <c r="E5098" s="3" t="inlineStr">
        <is>
          <t>장인근</t>
        </is>
      </c>
      <c r="F5098" s="3" t="inlineStr">
        <is>
          <t>특별관계자</t>
        </is>
      </c>
      <c r="G5098" s="3" t="inlineStr">
        <is>
          <t>장내매수(+)</t>
        </is>
      </c>
      <c r="H5098" s="15" t="n">
        <v>2475</v>
      </c>
      <c r="I5098" s="6" t="n">
        <v>1455</v>
      </c>
      <c r="J5098" s="6" t="n">
        <v>14000</v>
      </c>
      <c r="K5098" s="16" t="n">
        <v>7</v>
      </c>
      <c r="L5098" s="2" t="inlineStr">
        <is>
          <t>20260630000788</t>
        </is>
      </c>
      <c r="M5098" s="8">
        <f>HYPERLINK("https://dart.fss.or.kr/dsaf001/main.do?rcpNo=20260630000788", "공시열람")</f>
        <v/>
      </c>
    </row>
    <row r="5099" ht="22" customHeight="1">
      <c r="A5099" s="2" t="inlineStr">
        <is>
          <t>2026-06-30</t>
        </is>
      </c>
      <c r="B5099" s="3" t="inlineStr">
        <is>
          <t>SB성보</t>
        </is>
      </c>
      <c r="C5099" s="2" t="inlineStr">
        <is>
          <t>003080</t>
        </is>
      </c>
      <c r="D5099" s="2" t="inlineStr">
        <is>
          <t>대량보유</t>
        </is>
      </c>
      <c r="E5099" s="3" t="inlineStr">
        <is>
          <t>윤정선</t>
        </is>
      </c>
      <c r="F5099" s="3" t="inlineStr">
        <is>
          <t>보고자</t>
        </is>
      </c>
      <c r="G5099" s="3" t="inlineStr">
        <is>
          <t>보유주식등에 관한 계약 변경</t>
        </is>
      </c>
      <c r="H5099" s="6" t="inlineStr"/>
      <c r="I5099" s="6" t="inlineStr"/>
      <c r="J5099" s="6" t="n">
        <v>9734061</v>
      </c>
      <c r="K5099" s="16" t="n">
        <v>13</v>
      </c>
      <c r="L5099" s="2" t="inlineStr">
        <is>
          <t>20260630000769</t>
        </is>
      </c>
      <c r="M5099" s="8">
        <f>HYPERLINK("https://dart.fss.or.kr/dsaf001/main.do?rcpNo=20260630000769", "공시열람")</f>
        <v/>
      </c>
    </row>
    <row r="5100" ht="22" customHeight="1">
      <c r="A5100" s="2" t="inlineStr">
        <is>
          <t>2026-06-30</t>
        </is>
      </c>
      <c r="B5100" s="3" t="inlineStr">
        <is>
          <t>코셈</t>
        </is>
      </c>
      <c r="C5100" s="2" t="inlineStr">
        <is>
          <t>360350</t>
        </is>
      </c>
      <c r="D5100" s="2" t="inlineStr">
        <is>
          <t>대량보유</t>
        </is>
      </c>
      <c r="E5100" s="3" t="inlineStr">
        <is>
          <t>박종칠</t>
        </is>
      </c>
      <c r="F5100" s="3" t="inlineStr">
        <is>
          <t>특별관계자</t>
        </is>
      </c>
      <c r="G5100" s="3" t="inlineStr">
        <is>
          <t>주식매수선택권행사(+), 주식매수선택권행사(-), 장내매도(-)</t>
        </is>
      </c>
      <c r="H5100" s="17" t="n">
        <v>-7900</v>
      </c>
      <c r="I5100" s="6" t="n">
        <v>7395</v>
      </c>
      <c r="J5100" s="6" t="n">
        <v>80536</v>
      </c>
      <c r="K5100" s="16" t="n">
        <v>11</v>
      </c>
      <c r="L5100" s="2" t="inlineStr">
        <is>
          <t>20260630000757</t>
        </is>
      </c>
      <c r="M5100" s="8">
        <f>HYPERLINK("https://dart.fss.or.kr/dsaf001/main.do?rcpNo=20260630000757", "공시열람")</f>
        <v/>
      </c>
    </row>
    <row r="5101" ht="22" customHeight="1">
      <c r="A5101" s="2" t="inlineStr">
        <is>
          <t>2026-06-30</t>
        </is>
      </c>
      <c r="B5101" s="3" t="inlineStr">
        <is>
          <t>코셈</t>
        </is>
      </c>
      <c r="C5101" s="2" t="inlineStr">
        <is>
          <t>360350</t>
        </is>
      </c>
      <c r="D5101" s="2" t="inlineStr">
        <is>
          <t>대량보유</t>
        </is>
      </c>
      <c r="E5101" s="3" t="inlineStr">
        <is>
          <t>이준희</t>
        </is>
      </c>
      <c r="F5101" s="3" t="inlineStr">
        <is>
          <t>특별관계자</t>
        </is>
      </c>
      <c r="G5101" s="3" t="inlineStr">
        <is>
          <t>장내매수(+)</t>
        </is>
      </c>
      <c r="H5101" s="15" t="n">
        <v>5000</v>
      </c>
      <c r="I5101" s="6" t="n">
        <v>6737</v>
      </c>
      <c r="J5101" s="6" t="n">
        <v>973621</v>
      </c>
      <c r="K5101" s="16" t="n">
        <v>11</v>
      </c>
      <c r="L5101" s="2" t="inlineStr">
        <is>
          <t>20260630000757</t>
        </is>
      </c>
      <c r="M5101" s="8">
        <f>HYPERLINK("https://dart.fss.or.kr/dsaf001/main.do?rcpNo=20260630000757", "공시열람")</f>
        <v/>
      </c>
    </row>
    <row r="5102" ht="22" customHeight="1">
      <c r="A5102" s="2" t="inlineStr">
        <is>
          <t>2026-06-30</t>
        </is>
      </c>
      <c r="B5102" s="3" t="inlineStr">
        <is>
          <t>코셈</t>
        </is>
      </c>
      <c r="C5102" s="2" t="inlineStr">
        <is>
          <t>360350</t>
        </is>
      </c>
      <c r="D5102" s="2" t="inlineStr">
        <is>
          <t>대량보유</t>
        </is>
      </c>
      <c r="E5102" s="3" t="inlineStr">
        <is>
          <t>오상원</t>
        </is>
      </c>
      <c r="F5102" s="3" t="inlineStr">
        <is>
          <t>특별관계자</t>
        </is>
      </c>
      <c r="G5102" s="3" t="inlineStr">
        <is>
          <t>장내매수(+)</t>
        </is>
      </c>
      <c r="H5102" s="15" t="n">
        <v>230</v>
      </c>
      <c r="I5102" s="6" t="n">
        <v>6300</v>
      </c>
      <c r="J5102" s="6" t="n">
        <v>14000</v>
      </c>
      <c r="K5102" s="16" t="n">
        <v>11</v>
      </c>
      <c r="L5102" s="2" t="inlineStr">
        <is>
          <t>20260630000757</t>
        </is>
      </c>
      <c r="M5102" s="8">
        <f>HYPERLINK("https://dart.fss.or.kr/dsaf001/main.do?rcpNo=20260630000757", "공시열람")</f>
        <v/>
      </c>
    </row>
    <row r="5103" ht="22" customHeight="1">
      <c r="A5103" s="2" t="inlineStr">
        <is>
          <t>2026-06-30</t>
        </is>
      </c>
      <c r="B5103" s="3" t="inlineStr">
        <is>
          <t>하나기술</t>
        </is>
      </c>
      <c r="C5103" s="2" t="inlineStr">
        <is>
          <t>299030</t>
        </is>
      </c>
      <c r="D5103" s="2" t="inlineStr">
        <is>
          <t>대량보유</t>
        </is>
      </c>
      <c r="E5103" s="3" t="inlineStr">
        <is>
          <t>오태봉</t>
        </is>
      </c>
      <c r="F5103" s="3" t="inlineStr">
        <is>
          <t>보고자</t>
        </is>
      </c>
      <c r="G5103" s="3" t="inlineStr">
        <is>
          <t>주식담보대출 계약 내용 변경(기존 주식담보대출 일부 상환 및 계약기간 연장 )</t>
        </is>
      </c>
      <c r="H5103" s="6" t="inlineStr"/>
      <c r="I5103" s="6" t="inlineStr"/>
      <c r="J5103" s="6" t="n">
        <v>2343884</v>
      </c>
      <c r="K5103" s="16" t="n">
        <v>2</v>
      </c>
      <c r="L5103" s="2" t="inlineStr">
        <is>
          <t>20260630000756</t>
        </is>
      </c>
      <c r="M5103" s="8">
        <f>HYPERLINK("https://dart.fss.or.kr/dsaf001/main.do?rcpNo=20260630000756", "공시열람")</f>
        <v/>
      </c>
    </row>
    <row r="5104" ht="22" customHeight="1">
      <c r="A5104" s="2" t="inlineStr">
        <is>
          <t>2026-06-30</t>
        </is>
      </c>
      <c r="B5104" s="3" t="inlineStr">
        <is>
          <t>코난테크놀로지</t>
        </is>
      </c>
      <c r="C5104" s="2" t="inlineStr">
        <is>
          <t>402030</t>
        </is>
      </c>
      <c r="D5104" s="2" t="inlineStr">
        <is>
          <t>대량보유</t>
        </is>
      </c>
      <c r="E5104" s="3" t="inlineStr">
        <is>
          <t>이문기</t>
        </is>
      </c>
      <c r="F5104" s="3" t="inlineStr">
        <is>
          <t>특별관계자</t>
        </is>
      </c>
      <c r="G5104" s="3" t="inlineStr">
        <is>
          <t>신규등록(+), 장내매도(-)</t>
        </is>
      </c>
      <c r="H5104" s="15" t="n">
        <v>2500</v>
      </c>
      <c r="I5104" s="6" t="n">
        <v>20100</v>
      </c>
      <c r="J5104" s="6" t="n">
        <v>2500</v>
      </c>
      <c r="K5104" s="16" t="n">
        <v>14</v>
      </c>
      <c r="L5104" s="2" t="inlineStr">
        <is>
          <t>20260630000742</t>
        </is>
      </c>
      <c r="M5104" s="8">
        <f>HYPERLINK("https://dart.fss.or.kr/dsaf001/main.do?rcpNo=20260630000742", "공시열람")</f>
        <v/>
      </c>
    </row>
    <row r="5105" ht="22" customHeight="1">
      <c r="A5105" s="2" t="inlineStr">
        <is>
          <t>2026-06-30</t>
        </is>
      </c>
      <c r="B5105" s="3" t="inlineStr">
        <is>
          <t>코난테크놀로지</t>
        </is>
      </c>
      <c r="C5105" s="2" t="inlineStr">
        <is>
          <t>402030</t>
        </is>
      </c>
      <c r="D5105" s="2" t="inlineStr">
        <is>
          <t>대량보유</t>
        </is>
      </c>
      <c r="E5105" s="3" t="inlineStr">
        <is>
          <t>강현수</t>
        </is>
      </c>
      <c r="F5105" s="3" t="inlineStr">
        <is>
          <t>특별관계자</t>
        </is>
      </c>
      <c r="G5105" s="3" t="inlineStr">
        <is>
          <t>특별관계해소(-)</t>
        </is>
      </c>
      <c r="H5105" s="17" t="n">
        <v>-9170</v>
      </c>
      <c r="I5105" s="6" t="inlineStr"/>
      <c r="J5105" s="6" t="inlineStr"/>
      <c r="K5105" s="16" t="n">
        <v>14</v>
      </c>
      <c r="L5105" s="2" t="inlineStr">
        <is>
          <t>20260630000742</t>
        </is>
      </c>
      <c r="M5105" s="8">
        <f>HYPERLINK("https://dart.fss.or.kr/dsaf001/main.do?rcpNo=20260630000742", "공시열람")</f>
        <v/>
      </c>
    </row>
    <row r="5106" ht="22" customHeight="1">
      <c r="A5106" s="2" t="inlineStr">
        <is>
          <t>2026-06-30</t>
        </is>
      </c>
      <c r="B5106" s="3" t="inlineStr">
        <is>
          <t>루닛</t>
        </is>
      </c>
      <c r="C5106" s="2" t="inlineStr">
        <is>
          <t>328130</t>
        </is>
      </c>
      <c r="D5106" s="2" t="inlineStr">
        <is>
          <t>대량보유</t>
        </is>
      </c>
      <c r="E5106" s="3" t="inlineStr">
        <is>
          <t>백승욱</t>
        </is>
      </c>
      <c r="F5106" s="3" t="inlineStr">
        <is>
          <t>특별관계자</t>
        </is>
      </c>
      <c r="G5106" s="3" t="inlineStr">
        <is>
          <t>- 주식발행총수 변동으로 인한 보유비율 변동</t>
        </is>
      </c>
      <c r="H5106" s="6" t="inlineStr"/>
      <c r="I5106" s="6" t="inlineStr"/>
      <c r="J5106" s="6" t="n">
        <v>4113852</v>
      </c>
      <c r="K5106" s="16" t="n">
        <v>2</v>
      </c>
      <c r="L5106" s="2" t="inlineStr">
        <is>
          <t>20260630000725</t>
        </is>
      </c>
      <c r="M5106" s="8">
        <f>HYPERLINK("https://dart.fss.or.kr/dsaf001/main.do?rcpNo=20260630000725", "공시열람")</f>
        <v/>
      </c>
    </row>
    <row r="5107" ht="22" customHeight="1">
      <c r="A5107" s="2" t="inlineStr">
        <is>
          <t>2026-06-30</t>
        </is>
      </c>
      <c r="B5107" s="3" t="inlineStr">
        <is>
          <t>루닛</t>
        </is>
      </c>
      <c r="C5107" s="2" t="inlineStr">
        <is>
          <t>328130</t>
        </is>
      </c>
      <c r="D5107" s="2" t="inlineStr">
        <is>
          <t>대량보유</t>
        </is>
      </c>
      <c r="E5107" s="3" t="inlineStr">
        <is>
          <t>서범석</t>
        </is>
      </c>
      <c r="F5107" s="3" t="inlineStr">
        <is>
          <t>특별관계자</t>
        </is>
      </c>
      <c r="G5107" s="3" t="inlineStr">
        <is>
          <t>- 주식발행총수 변동으로 인한 보유비율 변동</t>
        </is>
      </c>
      <c r="H5107" s="6" t="inlineStr"/>
      <c r="I5107" s="6" t="inlineStr"/>
      <c r="J5107" s="6" t="n">
        <v>1800000</v>
      </c>
      <c r="K5107" s="16" t="n">
        <v>2</v>
      </c>
      <c r="L5107" s="2" t="inlineStr">
        <is>
          <t>20260630000725</t>
        </is>
      </c>
      <c r="M5107" s="8">
        <f>HYPERLINK("https://dart.fss.or.kr/dsaf001/main.do?rcpNo=20260630000725", "공시열람")</f>
        <v/>
      </c>
    </row>
    <row r="5108" ht="22" customHeight="1">
      <c r="A5108" s="2" t="inlineStr">
        <is>
          <t>2026-06-30</t>
        </is>
      </c>
      <c r="B5108" s="3" t="inlineStr">
        <is>
          <t>한국종합기술</t>
        </is>
      </c>
      <c r="C5108" s="2" t="inlineStr">
        <is>
          <t>023350</t>
        </is>
      </c>
      <c r="D5108" s="2" t="inlineStr">
        <is>
          <t>임원보고</t>
        </is>
      </c>
      <c r="E5108" s="3" t="inlineStr">
        <is>
          <t>-</t>
        </is>
      </c>
      <c r="F5108" s="3" t="inlineStr">
        <is>
          <t>-</t>
        </is>
      </c>
      <c r="G5108" s="3" t="inlineStr">
        <is>
          <t>-</t>
        </is>
      </c>
      <c r="H5108" s="6" t="inlineStr"/>
      <c r="I5108" s="6" t="inlineStr"/>
      <c r="J5108" s="6" t="inlineStr"/>
      <c r="K5108" s="16" t="n">
        <v>12</v>
      </c>
      <c r="L5108" s="2" t="inlineStr">
        <is>
          <t>20260630800837</t>
        </is>
      </c>
      <c r="M5108" s="8">
        <f>HYPERLINK("https://dart.fss.or.kr/dsaf001/main.do?rcpNo=20260630800837", "공시열람")</f>
        <v/>
      </c>
    </row>
    <row r="5109" ht="22" customHeight="1">
      <c r="A5109" s="2" t="inlineStr">
        <is>
          <t>2026-06-30</t>
        </is>
      </c>
      <c r="B5109" s="3" t="inlineStr">
        <is>
          <t>화승코퍼레이션</t>
        </is>
      </c>
      <c r="C5109" s="2" t="inlineStr">
        <is>
          <t>013520</t>
        </is>
      </c>
      <c r="D5109" s="2" t="inlineStr">
        <is>
          <t>임원보고</t>
        </is>
      </c>
      <c r="E5109" s="3" t="inlineStr">
        <is>
          <t>-</t>
        </is>
      </c>
      <c r="F5109" s="3" t="inlineStr">
        <is>
          <t>-</t>
        </is>
      </c>
      <c r="G5109" s="3" t="inlineStr">
        <is>
          <t>-</t>
        </is>
      </c>
      <c r="H5109" s="6" t="inlineStr"/>
      <c r="I5109" s="6" t="inlineStr"/>
      <c r="J5109" s="6" t="inlineStr"/>
      <c r="K5109" s="16" t="n">
        <v>12</v>
      </c>
      <c r="L5109" s="2" t="inlineStr">
        <is>
          <t>20260630800835</t>
        </is>
      </c>
      <c r="M5109" s="8">
        <f>HYPERLINK("https://dart.fss.or.kr/dsaf001/main.do?rcpNo=20260630800835", "공시열람")</f>
        <v/>
      </c>
    </row>
    <row r="5110" ht="22" customHeight="1">
      <c r="A5110" s="2" t="inlineStr">
        <is>
          <t>2026-06-30</t>
        </is>
      </c>
      <c r="B5110" s="3" t="inlineStr">
        <is>
          <t>BYC</t>
        </is>
      </c>
      <c r="C5110" s="2" t="inlineStr">
        <is>
          <t>001460</t>
        </is>
      </c>
      <c r="D5110" s="2" t="inlineStr">
        <is>
          <t>임원보고</t>
        </is>
      </c>
      <c r="E5110" s="3" t="inlineStr">
        <is>
          <t>-</t>
        </is>
      </c>
      <c r="F5110" s="3" t="inlineStr">
        <is>
          <t>-</t>
        </is>
      </c>
      <c r="G5110" s="3" t="inlineStr">
        <is>
          <t>-</t>
        </is>
      </c>
      <c r="H5110" s="6" t="inlineStr"/>
      <c r="I5110" s="6" t="inlineStr"/>
      <c r="J5110" s="6" t="inlineStr"/>
      <c r="K5110" s="16" t="n">
        <v>12</v>
      </c>
      <c r="L5110" s="2" t="inlineStr">
        <is>
          <t>20260630800823</t>
        </is>
      </c>
      <c r="M5110" s="8">
        <f>HYPERLINK("https://dart.fss.or.kr/dsaf001/main.do?rcpNo=20260630800823", "공시열람")</f>
        <v/>
      </c>
    </row>
    <row r="5111" ht="22" customHeight="1">
      <c r="A5111" s="2" t="inlineStr">
        <is>
          <t>2026-06-30</t>
        </is>
      </c>
      <c r="B5111" s="3" t="inlineStr">
        <is>
          <t>노루페인트</t>
        </is>
      </c>
      <c r="C5111" s="2" t="inlineStr">
        <is>
          <t>090350</t>
        </is>
      </c>
      <c r="D5111" s="2" t="inlineStr">
        <is>
          <t>임원보고</t>
        </is>
      </c>
      <c r="E5111" s="3" t="inlineStr">
        <is>
          <t>-</t>
        </is>
      </c>
      <c r="F5111" s="3" t="inlineStr">
        <is>
          <t>-</t>
        </is>
      </c>
      <c r="G5111" s="3" t="inlineStr">
        <is>
          <t>-</t>
        </is>
      </c>
      <c r="H5111" s="6" t="inlineStr"/>
      <c r="I5111" s="6" t="inlineStr"/>
      <c r="J5111" s="6" t="inlineStr"/>
      <c r="K5111" s="16" t="n">
        <v>12</v>
      </c>
      <c r="L5111" s="2" t="inlineStr">
        <is>
          <t>20260630800816</t>
        </is>
      </c>
      <c r="M5111" s="8">
        <f>HYPERLINK("https://dart.fss.or.kr/dsaf001/main.do?rcpNo=20260630800816", "공시열람")</f>
        <v/>
      </c>
    </row>
    <row r="5112" ht="22" customHeight="1">
      <c r="A5112" s="2" t="inlineStr">
        <is>
          <t>2026-06-30</t>
        </is>
      </c>
      <c r="B5112" s="3" t="inlineStr">
        <is>
          <t>한국종합기술</t>
        </is>
      </c>
      <c r="C5112" s="2" t="inlineStr">
        <is>
          <t>023350</t>
        </is>
      </c>
      <c r="D5112" s="2" t="inlineStr">
        <is>
          <t>대량보유</t>
        </is>
      </c>
      <c r="E5112" s="3" t="inlineStr">
        <is>
          <t>(주)수성이앤씨건축사사무소</t>
        </is>
      </c>
      <c r="F5112" s="3" t="inlineStr">
        <is>
          <t>특별관계자</t>
        </is>
      </c>
      <c r="G5112" s="3" t="inlineStr">
        <is>
          <t>장내매수(+)</t>
        </is>
      </c>
      <c r="H5112" s="15" t="n">
        <v>10262</v>
      </c>
      <c r="I5112" s="6" t="n">
        <v>4132</v>
      </c>
      <c r="J5112" s="6" t="n">
        <v>10262</v>
      </c>
      <c r="K5112" s="16" t="n">
        <v>5</v>
      </c>
      <c r="L5112" s="2" t="inlineStr">
        <is>
          <t>20260630000688</t>
        </is>
      </c>
      <c r="M5112" s="8">
        <f>HYPERLINK("https://dart.fss.or.kr/dsaf001/main.do?rcpNo=20260630000688", "공시열람")</f>
        <v/>
      </c>
    </row>
    <row r="5113" ht="22" customHeight="1">
      <c r="A5113" s="2" t="inlineStr">
        <is>
          <t>2026-06-30</t>
        </is>
      </c>
      <c r="B5113" s="3" t="inlineStr">
        <is>
          <t>미창석유공업</t>
        </is>
      </c>
      <c r="C5113" s="2" t="inlineStr">
        <is>
          <t>003650</t>
        </is>
      </c>
      <c r="D5113" s="2" t="inlineStr">
        <is>
          <t>대량보유</t>
        </is>
      </c>
      <c r="E5113" s="3" t="inlineStr">
        <is>
          <t>유재순</t>
        </is>
      </c>
      <c r="F5113" s="3" t="inlineStr">
        <is>
          <t>보고자</t>
        </is>
      </c>
      <c r="G5113" s="3" t="inlineStr">
        <is>
          <t>이전 계약된 증여세 연부연납 세액이 완납되어 담보 해제함.</t>
        </is>
      </c>
      <c r="H5113" s="6" t="inlineStr"/>
      <c r="I5113" s="6" t="inlineStr"/>
      <c r="J5113" s="6" t="n">
        <v>700059</v>
      </c>
      <c r="K5113" s="16" t="n">
        <v>3</v>
      </c>
      <c r="L5113" s="2" t="inlineStr">
        <is>
          <t>20260630000670</t>
        </is>
      </c>
      <c r="M5113" s="8">
        <f>HYPERLINK("https://dart.fss.or.kr/dsaf001/main.do?rcpNo=20260630000670", "공시열람")</f>
        <v/>
      </c>
    </row>
    <row r="5114" ht="22" customHeight="1">
      <c r="A5114" s="2" t="inlineStr">
        <is>
          <t>2026-06-30</t>
        </is>
      </c>
      <c r="B5114" s="3" t="inlineStr">
        <is>
          <t>3S</t>
        </is>
      </c>
      <c r="C5114" s="2" t="inlineStr">
        <is>
          <t>060310</t>
        </is>
      </c>
      <c r="D5114" s="2" t="inlineStr">
        <is>
          <t>대량보유</t>
        </is>
      </c>
      <c r="E5114" s="3" t="inlineStr">
        <is>
          <t>한국웨이퍼홀딩스유한회사</t>
        </is>
      </c>
      <c r="F5114" s="3" t="inlineStr">
        <is>
          <t>특별관계자</t>
        </is>
      </c>
      <c r="G5114" s="3" t="inlineStr">
        <is>
          <t>장내매수(+)</t>
        </is>
      </c>
      <c r="H5114" s="15" t="n">
        <v>905823</v>
      </c>
      <c r="I5114" s="6" t="n">
        <v>1266</v>
      </c>
      <c r="J5114" s="6" t="n">
        <v>7271222</v>
      </c>
      <c r="K5114" s="16" t="n">
        <v>3</v>
      </c>
      <c r="L5114" s="2" t="inlineStr">
        <is>
          <t>20260630000650</t>
        </is>
      </c>
      <c r="M5114" s="8">
        <f>HYPERLINK("https://dart.fss.or.kr/dsaf001/main.do?rcpNo=20260630000650", "공시열람")</f>
        <v/>
      </c>
    </row>
    <row r="5115" ht="22" customHeight="1">
      <c r="A5115" s="2" t="inlineStr">
        <is>
          <t>2026-06-30</t>
        </is>
      </c>
      <c r="B5115" s="3" t="inlineStr">
        <is>
          <t>시디즈</t>
        </is>
      </c>
      <c r="C5115" s="2" t="inlineStr">
        <is>
          <t>134790</t>
        </is>
      </c>
      <c r="D5115" s="2" t="inlineStr">
        <is>
          <t>임원보고</t>
        </is>
      </c>
      <c r="E5115" s="3" t="inlineStr">
        <is>
          <t>-</t>
        </is>
      </c>
      <c r="F5115" s="3" t="inlineStr">
        <is>
          <t>-</t>
        </is>
      </c>
      <c r="G5115" s="3" t="inlineStr">
        <is>
          <t>-</t>
        </is>
      </c>
      <c r="H5115" s="6" t="inlineStr"/>
      <c r="I5115" s="6" t="inlineStr"/>
      <c r="J5115" s="6" t="inlineStr"/>
      <c r="K5115" s="16" t="n">
        <v>12</v>
      </c>
      <c r="L5115" s="2" t="inlineStr">
        <is>
          <t>20260630800640</t>
        </is>
      </c>
      <c r="M5115" s="8">
        <f>HYPERLINK("https://dart.fss.or.kr/dsaf001/main.do?rcpNo=20260630800640", "공시열람")</f>
        <v/>
      </c>
    </row>
    <row r="5116" ht="22" customHeight="1">
      <c r="A5116" s="2" t="inlineStr">
        <is>
          <t>2026-06-30</t>
        </is>
      </c>
      <c r="B5116" s="3" t="inlineStr">
        <is>
          <t>포메탈</t>
        </is>
      </c>
      <c r="C5116" s="2" t="inlineStr">
        <is>
          <t>119500</t>
        </is>
      </c>
      <c r="D5116" s="2" t="inlineStr">
        <is>
          <t>대량보유</t>
        </is>
      </c>
      <c r="E5116" s="3" t="inlineStr">
        <is>
          <t>정의경</t>
        </is>
      </c>
      <c r="F5116" s="3" t="inlineStr">
        <is>
          <t>특별관계자</t>
        </is>
      </c>
      <c r="G5116" s="3" t="inlineStr">
        <is>
          <t>장내매수(+)</t>
        </is>
      </c>
      <c r="H5116" s="15" t="n">
        <v>14000</v>
      </c>
      <c r="I5116" s="6" t="n">
        <v>2880</v>
      </c>
      <c r="J5116" s="6" t="n">
        <v>115100</v>
      </c>
      <c r="K5116" s="16" t="n">
        <v>12</v>
      </c>
      <c r="L5116" s="2" t="inlineStr">
        <is>
          <t>20260630000531</t>
        </is>
      </c>
      <c r="M5116" s="8">
        <f>HYPERLINK("https://dart.fss.or.kr/dsaf001/main.do?rcpNo=20260630000531", "공시열람")</f>
        <v/>
      </c>
    </row>
    <row r="5117" ht="22" customHeight="1">
      <c r="A5117" s="2" t="inlineStr">
        <is>
          <t>2026-06-30</t>
        </is>
      </c>
      <c r="B5117" s="3" t="inlineStr">
        <is>
          <t>미원상사</t>
        </is>
      </c>
      <c r="C5117" s="2" t="inlineStr">
        <is>
          <t>002840</t>
        </is>
      </c>
      <c r="D5117" s="2" t="inlineStr">
        <is>
          <t>임원보고</t>
        </is>
      </c>
      <c r="E5117" s="3" t="inlineStr">
        <is>
          <t>-</t>
        </is>
      </c>
      <c r="F5117" s="3" t="inlineStr">
        <is>
          <t>-</t>
        </is>
      </c>
      <c r="G5117" s="3" t="inlineStr">
        <is>
          <t>-</t>
        </is>
      </c>
      <c r="H5117" s="6" t="inlineStr"/>
      <c r="I5117" s="6" t="inlineStr"/>
      <c r="J5117" s="6" t="inlineStr"/>
      <c r="K5117" s="16" t="n">
        <v>12</v>
      </c>
      <c r="L5117" s="2" t="inlineStr">
        <is>
          <t>20260630800562</t>
        </is>
      </c>
      <c r="M5117" s="8">
        <f>HYPERLINK("https://dart.fss.or.kr/dsaf001/main.do?rcpNo=20260630800562", "공시열람")</f>
        <v/>
      </c>
    </row>
    <row r="5118" ht="22" customHeight="1">
      <c r="A5118" s="2" t="inlineStr">
        <is>
          <t>2026-06-30</t>
        </is>
      </c>
      <c r="B5118" s="3" t="inlineStr">
        <is>
          <t>INVENI</t>
        </is>
      </c>
      <c r="C5118" s="2" t="inlineStr">
        <is>
          <t>015360</t>
        </is>
      </c>
      <c r="D5118" s="2" t="inlineStr">
        <is>
          <t>대량보유</t>
        </is>
      </c>
      <c r="E5118" s="3" t="inlineStr">
        <is>
          <t>구자은</t>
        </is>
      </c>
      <c r="F5118" s="3" t="inlineStr">
        <is>
          <t>특별관계자</t>
        </is>
      </c>
      <c r="G5118" s="3" t="inlineStr">
        <is>
          <t>장내매수(+)</t>
        </is>
      </c>
      <c r="H5118" s="15" t="n">
        <v>1431</v>
      </c>
      <c r="I5118" s="6" t="n">
        <v>13698</v>
      </c>
      <c r="J5118" s="6" t="n">
        <v>2433635</v>
      </c>
      <c r="K5118" s="16" t="n">
        <v>28</v>
      </c>
      <c r="L5118" s="2" t="inlineStr">
        <is>
          <t>20260630000433</t>
        </is>
      </c>
      <c r="M5118" s="8">
        <f>HYPERLINK("https://dart.fss.or.kr/dsaf001/main.do?rcpNo=20260630000433", "공시열람")</f>
        <v/>
      </c>
    </row>
    <row r="5119" ht="22" customHeight="1">
      <c r="A5119" s="2" t="inlineStr">
        <is>
          <t>2026-06-30</t>
        </is>
      </c>
      <c r="B5119" s="3" t="inlineStr">
        <is>
          <t>포커스에이아이</t>
        </is>
      </c>
      <c r="C5119" s="2" t="inlineStr">
        <is>
          <t>331380</t>
        </is>
      </c>
      <c r="D5119" s="2" t="inlineStr">
        <is>
          <t>대량보유</t>
        </is>
      </c>
      <c r="E5119" s="3" t="inlineStr">
        <is>
          <t>김순태</t>
        </is>
      </c>
      <c r="F5119" s="3" t="inlineStr">
        <is>
          <t>특별관계자</t>
        </is>
      </c>
      <c r="G5119" s="3" t="inlineStr">
        <is>
          <t>임원퇴임(-)</t>
        </is>
      </c>
      <c r="H5119" s="17" t="n">
        <v>-110000</v>
      </c>
      <c r="I5119" s="6" t="inlineStr"/>
      <c r="J5119" s="6" t="inlineStr"/>
      <c r="K5119" s="16" t="n">
        <v>7</v>
      </c>
      <c r="L5119" s="2" t="inlineStr">
        <is>
          <t>20260630000423</t>
        </is>
      </c>
      <c r="M5119" s="8">
        <f>HYPERLINK("https://dart.fss.or.kr/dsaf001/main.do?rcpNo=20260630000423", "공시열람")</f>
        <v/>
      </c>
    </row>
    <row r="5120" ht="22" customHeight="1">
      <c r="A5120" s="2" t="inlineStr">
        <is>
          <t>2026-06-30</t>
        </is>
      </c>
      <c r="B5120" s="3" t="inlineStr">
        <is>
          <t>INVENI</t>
        </is>
      </c>
      <c r="C5120" s="2" t="inlineStr">
        <is>
          <t>015360</t>
        </is>
      </c>
      <c r="D5120" s="2" t="inlineStr">
        <is>
          <t>임원보고</t>
        </is>
      </c>
      <c r="E5120" s="3" t="inlineStr">
        <is>
          <t>-</t>
        </is>
      </c>
      <c r="F5120" s="3" t="inlineStr">
        <is>
          <t>-</t>
        </is>
      </c>
      <c r="G5120" s="3" t="inlineStr">
        <is>
          <t>-</t>
        </is>
      </c>
      <c r="H5120" s="6" t="inlineStr"/>
      <c r="I5120" s="6" t="inlineStr"/>
      <c r="J5120" s="6" t="inlineStr"/>
      <c r="K5120" s="16" t="n">
        <v>12</v>
      </c>
      <c r="L5120" s="2" t="inlineStr">
        <is>
          <t>20260630800459</t>
        </is>
      </c>
      <c r="M5120" s="8">
        <f>HYPERLINK("https://dart.fss.or.kr/dsaf001/main.do?rcpNo=20260630800459", "공시열람")</f>
        <v/>
      </c>
    </row>
    <row r="5121" ht="22" customHeight="1">
      <c r="A5121" s="2" t="inlineStr">
        <is>
          <t>2026-06-30</t>
        </is>
      </c>
      <c r="B5121" s="3" t="inlineStr">
        <is>
          <t>SG세계물산</t>
        </is>
      </c>
      <c r="C5121" s="2" t="inlineStr">
        <is>
          <t>004060</t>
        </is>
      </c>
      <c r="D5121" s="2" t="inlineStr">
        <is>
          <t>임원보고</t>
        </is>
      </c>
      <c r="E5121" s="3" t="inlineStr">
        <is>
          <t>-</t>
        </is>
      </c>
      <c r="F5121" s="3" t="inlineStr">
        <is>
          <t>-</t>
        </is>
      </c>
      <c r="G5121" s="3" t="inlineStr">
        <is>
          <t>-</t>
        </is>
      </c>
      <c r="H5121" s="6" t="inlineStr"/>
      <c r="I5121" s="6" t="inlineStr"/>
      <c r="J5121" s="6" t="inlineStr"/>
      <c r="K5121" s="16" t="n">
        <v>12</v>
      </c>
      <c r="L5121" s="2" t="inlineStr">
        <is>
          <t>20260630800447</t>
        </is>
      </c>
      <c r="M5121" s="8">
        <f>HYPERLINK("https://dart.fss.or.kr/dsaf001/main.do?rcpNo=20260630800447", "공시열람")</f>
        <v/>
      </c>
    </row>
    <row r="5122" ht="22" customHeight="1">
      <c r="A5122" s="2" t="inlineStr">
        <is>
          <t>2026-06-30</t>
        </is>
      </c>
      <c r="B5122" s="3" t="inlineStr">
        <is>
          <t>와이랩</t>
        </is>
      </c>
      <c r="C5122" s="2" t="inlineStr">
        <is>
          <t>432430</t>
        </is>
      </c>
      <c r="D5122" s="2" t="inlineStr">
        <is>
          <t>대량보유</t>
        </is>
      </c>
      <c r="E5122" s="3" t="inlineStr">
        <is>
          <t>한동우</t>
        </is>
      </c>
      <c r="F5122" s="3" t="inlineStr">
        <is>
          <t>특별관계자</t>
        </is>
      </c>
      <c r="G5122" s="3" t="inlineStr">
        <is>
          <t>특별관계해소(-)</t>
        </is>
      </c>
      <c r="H5122" s="17" t="n">
        <v>-66160</v>
      </c>
      <c r="I5122" s="6" t="inlineStr"/>
      <c r="J5122" s="6" t="inlineStr"/>
      <c r="K5122" s="16" t="n">
        <v>7</v>
      </c>
      <c r="L5122" s="2" t="inlineStr">
        <is>
          <t>20260630000405</t>
        </is>
      </c>
      <c r="M5122" s="8">
        <f>HYPERLINK("https://dart.fss.or.kr/dsaf001/main.do?rcpNo=20260630000405", "공시열람")</f>
        <v/>
      </c>
    </row>
    <row r="5123" ht="22" customHeight="1">
      <c r="A5123" s="2" t="inlineStr">
        <is>
          <t>2026-06-30</t>
        </is>
      </c>
      <c r="B5123" s="3" t="inlineStr">
        <is>
          <t>SG세계물산</t>
        </is>
      </c>
      <c r="C5123" s="2" t="inlineStr">
        <is>
          <t>004060</t>
        </is>
      </c>
      <c r="D5123" s="2" t="inlineStr">
        <is>
          <t>대량보유</t>
        </is>
      </c>
      <c r="E5123" s="3" t="inlineStr">
        <is>
          <t>(주)에스지유</t>
        </is>
      </c>
      <c r="F5123" s="3" t="inlineStr">
        <is>
          <t>특별관계자</t>
        </is>
      </c>
      <c r="G5123" s="3" t="inlineStr">
        <is>
          <t>합병(+)</t>
        </is>
      </c>
      <c r="H5123" s="6" t="inlineStr"/>
      <c r="I5123" s="6" t="inlineStr"/>
      <c r="J5123" s="6" t="inlineStr"/>
      <c r="K5123" s="16" t="n">
        <v>2</v>
      </c>
      <c r="L5123" s="2" t="inlineStr">
        <is>
          <t>20260630000387</t>
        </is>
      </c>
      <c r="M5123" s="8">
        <f>HYPERLINK("https://dart.fss.or.kr/dsaf001/main.do?rcpNo=20260630000387", "공시열람")</f>
        <v/>
      </c>
    </row>
    <row r="5124" ht="22" customHeight="1">
      <c r="A5124" s="2" t="inlineStr">
        <is>
          <t>2026-06-30</t>
        </is>
      </c>
      <c r="B5124" s="3" t="inlineStr">
        <is>
          <t>한일단조</t>
        </is>
      </c>
      <c r="C5124" s="2" t="inlineStr">
        <is>
          <t>024740</t>
        </is>
      </c>
      <c r="D5124" s="2" t="inlineStr">
        <is>
          <t>대량보유</t>
        </is>
      </c>
      <c r="E5124" s="3" t="inlineStr">
        <is>
          <t>홍진산업(주)</t>
        </is>
      </c>
      <c r="F5124" s="3" t="inlineStr">
        <is>
          <t>보고자</t>
        </is>
      </c>
      <c r="G5124" s="3" t="inlineStr">
        <is>
          <t>담보만기연장</t>
        </is>
      </c>
      <c r="H5124" s="6" t="inlineStr"/>
      <c r="I5124" s="6" t="inlineStr"/>
      <c r="J5124" s="6" t="n">
        <v>10663791</v>
      </c>
      <c r="K5124" s="16" t="n">
        <v>1</v>
      </c>
      <c r="L5124" s="2" t="inlineStr">
        <is>
          <t>20260630000385</t>
        </is>
      </c>
      <c r="M5124" s="8">
        <f>HYPERLINK("https://dart.fss.or.kr/dsaf001/main.do?rcpNo=20260630000385", "공시열람")</f>
        <v/>
      </c>
    </row>
    <row r="5125" ht="22" customHeight="1">
      <c r="A5125" s="2" t="inlineStr">
        <is>
          <t>2026-06-30</t>
        </is>
      </c>
      <c r="B5125" s="3" t="inlineStr">
        <is>
          <t>SG글로벌</t>
        </is>
      </c>
      <c r="C5125" s="2" t="inlineStr">
        <is>
          <t>001380</t>
        </is>
      </c>
      <c r="D5125" s="2" t="inlineStr">
        <is>
          <t>임원보고</t>
        </is>
      </c>
      <c r="E5125" s="3" t="inlineStr">
        <is>
          <t>-</t>
        </is>
      </c>
      <c r="F5125" s="3" t="inlineStr">
        <is>
          <t>-</t>
        </is>
      </c>
      <c r="G5125" s="3" t="inlineStr">
        <is>
          <t>-</t>
        </is>
      </c>
      <c r="H5125" s="6" t="inlineStr"/>
      <c r="I5125" s="6" t="inlineStr"/>
      <c r="J5125" s="6" t="inlineStr"/>
      <c r="K5125" s="16" t="n">
        <v>12</v>
      </c>
      <c r="L5125" s="2" t="inlineStr">
        <is>
          <t>20260630800389</t>
        </is>
      </c>
      <c r="M5125" s="8">
        <f>HYPERLINK("https://dart.fss.or.kr/dsaf001/main.do?rcpNo=20260630800389", "공시열람")</f>
        <v/>
      </c>
    </row>
    <row r="5126" ht="22" customHeight="1">
      <c r="A5126" s="2" t="inlineStr">
        <is>
          <t>2026-06-30</t>
        </is>
      </c>
      <c r="B5126" s="3" t="inlineStr">
        <is>
          <t>솔루엠</t>
        </is>
      </c>
      <c r="C5126" s="2" t="inlineStr">
        <is>
          <t>248070</t>
        </is>
      </c>
      <c r="D5126" s="2" t="inlineStr">
        <is>
          <t>임원보고</t>
        </is>
      </c>
      <c r="E5126" s="3" t="inlineStr">
        <is>
          <t>-</t>
        </is>
      </c>
      <c r="F5126" s="3" t="inlineStr">
        <is>
          <t>-</t>
        </is>
      </c>
      <c r="G5126" s="3" t="inlineStr">
        <is>
          <t>-</t>
        </is>
      </c>
      <c r="H5126" s="6" t="inlineStr"/>
      <c r="I5126" s="6" t="inlineStr"/>
      <c r="J5126" s="6" t="inlineStr"/>
      <c r="K5126" s="16" t="n">
        <v>12</v>
      </c>
      <c r="L5126" s="2" t="inlineStr">
        <is>
          <t>20260630800386</t>
        </is>
      </c>
      <c r="M5126" s="8">
        <f>HYPERLINK("https://dart.fss.or.kr/dsaf001/main.do?rcpNo=20260630800386", "공시열람")</f>
        <v/>
      </c>
    </row>
    <row r="5127" ht="22" customHeight="1">
      <c r="A5127" s="2" t="inlineStr">
        <is>
          <t>2026-06-30</t>
        </is>
      </c>
      <c r="B5127" s="3" t="inlineStr">
        <is>
          <t>솔루엠</t>
        </is>
      </c>
      <c r="C5127" s="2" t="inlineStr">
        <is>
          <t>248070</t>
        </is>
      </c>
      <c r="D5127" s="2" t="inlineStr">
        <is>
          <t>대량보유</t>
        </is>
      </c>
      <c r="E5127" s="3" t="inlineStr">
        <is>
          <t>전성호</t>
        </is>
      </c>
      <c r="F5127" s="3" t="inlineStr">
        <is>
          <t>특별관계자</t>
        </is>
      </c>
      <c r="G5127" s="3" t="inlineStr">
        <is>
          <t>장내매수(+)</t>
        </is>
      </c>
      <c r="H5127" s="15" t="n">
        <v>20928</v>
      </c>
      <c r="I5127" s="6" t="n">
        <v>16597</v>
      </c>
      <c r="J5127" s="6" t="n">
        <v>7306000</v>
      </c>
      <c r="K5127" s="16" t="n">
        <v>22</v>
      </c>
      <c r="L5127" s="2" t="inlineStr">
        <is>
          <t>20260630000364</t>
        </is>
      </c>
      <c r="M5127" s="8">
        <f>HYPERLINK("https://dart.fss.or.kr/dsaf001/main.do?rcpNo=20260630000364", "공시열람")</f>
        <v/>
      </c>
    </row>
    <row r="5128" ht="22" customHeight="1">
      <c r="A5128" s="2" t="inlineStr">
        <is>
          <t>2026-06-30</t>
        </is>
      </c>
      <c r="B5128" s="3" t="inlineStr">
        <is>
          <t>SG글로벌</t>
        </is>
      </c>
      <c r="C5128" s="2" t="inlineStr">
        <is>
          <t>001380</t>
        </is>
      </c>
      <c r="D5128" s="2" t="inlineStr">
        <is>
          <t>대량보유</t>
        </is>
      </c>
      <c r="E5128" s="3" t="inlineStr">
        <is>
          <t>(주)에스지유</t>
        </is>
      </c>
      <c r="F5128" s="3" t="inlineStr">
        <is>
          <t>특별관계자</t>
        </is>
      </c>
      <c r="G5128" s="3" t="inlineStr">
        <is>
          <t>합병(+)</t>
        </is>
      </c>
      <c r="H5128" s="6" t="inlineStr"/>
      <c r="I5128" s="6" t="inlineStr"/>
      <c r="J5128" s="6" t="inlineStr"/>
      <c r="K5128" s="16" t="n">
        <v>2</v>
      </c>
      <c r="L5128" s="2" t="inlineStr">
        <is>
          <t>20260630000360</t>
        </is>
      </c>
      <c r="M5128" s="8">
        <f>HYPERLINK("https://dart.fss.or.kr/dsaf001/main.do?rcpNo=20260630000360", "공시열람")</f>
        <v/>
      </c>
    </row>
    <row r="5129" ht="22" customHeight="1">
      <c r="A5129" s="2" t="inlineStr">
        <is>
          <t>2026-06-30</t>
        </is>
      </c>
      <c r="B5129" s="3" t="inlineStr">
        <is>
          <t>대원전선</t>
        </is>
      </c>
      <c r="C5129" s="2" t="inlineStr">
        <is>
          <t>006340</t>
        </is>
      </c>
      <c r="D5129" s="2" t="inlineStr">
        <is>
          <t>임원보고</t>
        </is>
      </c>
      <c r="E5129" s="3" t="inlineStr">
        <is>
          <t>-</t>
        </is>
      </c>
      <c r="F5129" s="3" t="inlineStr">
        <is>
          <t>-</t>
        </is>
      </c>
      <c r="G5129" s="3" t="inlineStr">
        <is>
          <t>-</t>
        </is>
      </c>
      <c r="H5129" s="6" t="inlineStr"/>
      <c r="I5129" s="6" t="inlineStr"/>
      <c r="J5129" s="6" t="inlineStr"/>
      <c r="K5129" s="16" t="n">
        <v>12</v>
      </c>
      <c r="L5129" s="2" t="inlineStr">
        <is>
          <t>20260630800364</t>
        </is>
      </c>
      <c r="M5129" s="8">
        <f>HYPERLINK("https://dart.fss.or.kr/dsaf001/main.do?rcpNo=20260630800364", "공시열람")</f>
        <v/>
      </c>
    </row>
    <row r="5130" ht="22" customHeight="1">
      <c r="A5130" s="2" t="inlineStr">
        <is>
          <t>2026-06-30</t>
        </is>
      </c>
      <c r="B5130" s="3" t="inlineStr">
        <is>
          <t>디알텍</t>
        </is>
      </c>
      <c r="C5130" s="2" t="inlineStr">
        <is>
          <t>214680</t>
        </is>
      </c>
      <c r="D5130" s="2" t="inlineStr">
        <is>
          <t>대량보유</t>
        </is>
      </c>
      <c r="E5130" s="3" t="inlineStr">
        <is>
          <t>케이메디컬밸류업유한회사</t>
        </is>
      </c>
      <c r="F5130" s="3" t="inlineStr">
        <is>
          <t>특별관계자</t>
        </is>
      </c>
      <c r="G5130" s="3" t="inlineStr">
        <is>
          <t>CB인수(+)</t>
        </is>
      </c>
      <c r="H5130" s="15" t="n">
        <v>11029412</v>
      </c>
      <c r="I5130" s="6" t="n">
        <v>1360</v>
      </c>
      <c r="J5130" s="6" t="n">
        <v>11029412</v>
      </c>
      <c r="K5130" s="16" t="n">
        <v>3</v>
      </c>
      <c r="L5130" s="2" t="inlineStr">
        <is>
          <t>20260630000342</t>
        </is>
      </c>
      <c r="M5130" s="8">
        <f>HYPERLINK("https://dart.fss.or.kr/dsaf001/main.do?rcpNo=20260630000342", "공시열람")</f>
        <v/>
      </c>
    </row>
    <row r="5131" ht="22" customHeight="1">
      <c r="A5131" s="2" t="inlineStr">
        <is>
          <t>2026-06-30</t>
        </is>
      </c>
      <c r="B5131" s="3" t="inlineStr">
        <is>
          <t>옵트론텍</t>
        </is>
      </c>
      <c r="C5131" s="2" t="inlineStr">
        <is>
          <t>082210</t>
        </is>
      </c>
      <c r="D5131" s="2" t="inlineStr">
        <is>
          <t>대량보유</t>
        </is>
      </c>
      <c r="E5131" s="3" t="inlineStr">
        <is>
          <t>CHOISANGHO,CORP.</t>
        </is>
      </c>
      <c r="F5131" s="3" t="inlineStr">
        <is>
          <t>특별관계자</t>
        </is>
      </c>
      <c r="G5131" s="3" t="inlineStr">
        <is>
          <t>장내매수(+)</t>
        </is>
      </c>
      <c r="H5131" s="15" t="n">
        <v>251000</v>
      </c>
      <c r="I5131" s="6" t="n">
        <v>1465</v>
      </c>
      <c r="J5131" s="6" t="n">
        <v>11457000</v>
      </c>
      <c r="K5131" s="16" t="n">
        <v>1</v>
      </c>
      <c r="L5131" s="2" t="inlineStr">
        <is>
          <t>20260630000315</t>
        </is>
      </c>
      <c r="M5131" s="8">
        <f>HYPERLINK("https://dart.fss.or.kr/dsaf001/main.do?rcpNo=20260630000315", "공시열람")</f>
        <v/>
      </c>
    </row>
    <row r="5132" ht="22" customHeight="1">
      <c r="A5132" s="2" t="inlineStr">
        <is>
          <t>2026-06-30</t>
        </is>
      </c>
      <c r="B5132" s="3" t="inlineStr">
        <is>
          <t>옵트론텍</t>
        </is>
      </c>
      <c r="C5132" s="2" t="inlineStr">
        <is>
          <t>082210</t>
        </is>
      </c>
      <c r="D5132" s="2" t="inlineStr">
        <is>
          <t>대량보유</t>
        </is>
      </c>
      <c r="E5132" s="3" t="inlineStr">
        <is>
          <t>CHOISANGHO</t>
        </is>
      </c>
      <c r="F5132" s="3" t="inlineStr">
        <is>
          <t>특별관계자</t>
        </is>
      </c>
      <c r="G5132" s="3" t="inlineStr">
        <is>
          <t>장내매수(+)</t>
        </is>
      </c>
      <c r="H5132" s="15" t="n">
        <v>78085</v>
      </c>
      <c r="I5132" s="6" t="n">
        <v>1298</v>
      </c>
      <c r="J5132" s="6" t="n">
        <v>11480565</v>
      </c>
      <c r="K5132" s="16" t="n">
        <v>1</v>
      </c>
      <c r="L5132" s="2" t="inlineStr">
        <is>
          <t>20260630000315</t>
        </is>
      </c>
      <c r="M5132" s="8">
        <f>HYPERLINK("https://dart.fss.or.kr/dsaf001/main.do?rcpNo=20260630000315", "공시열람")</f>
        <v/>
      </c>
    </row>
    <row r="5133" ht="22" customHeight="1">
      <c r="A5133" s="2" t="inlineStr">
        <is>
          <t>2026-06-30</t>
        </is>
      </c>
      <c r="B5133" s="3" t="inlineStr">
        <is>
          <t>SV인베스트먼트</t>
        </is>
      </c>
      <c r="C5133" s="2" t="inlineStr">
        <is>
          <t>289080</t>
        </is>
      </c>
      <c r="D5133" s="2" t="inlineStr">
        <is>
          <t>대량보유</t>
        </is>
      </c>
      <c r="E5133" s="3" t="inlineStr">
        <is>
          <t>박성호</t>
        </is>
      </c>
      <c r="F5133" s="3" t="inlineStr">
        <is>
          <t>보고자</t>
        </is>
      </c>
      <c r="G5133" s="3" t="inlineStr">
        <is>
          <t>보유주식등에 관한 담보계약의 체결</t>
        </is>
      </c>
      <c r="H5133" s="6" t="inlineStr"/>
      <c r="I5133" s="6" t="inlineStr"/>
      <c r="J5133" s="6" t="n">
        <v>14903453</v>
      </c>
      <c r="K5133" s="16" t="n">
        <v>3</v>
      </c>
      <c r="L5133" s="2" t="inlineStr">
        <is>
          <t>20260630000313</t>
        </is>
      </c>
      <c r="M5133" s="8">
        <f>HYPERLINK("https://dart.fss.or.kr/dsaf001/main.do?rcpNo=20260630000313", "공시열람")</f>
        <v/>
      </c>
    </row>
    <row r="5134" ht="22" customHeight="1">
      <c r="A5134" s="2" t="inlineStr">
        <is>
          <t>2026-06-30</t>
        </is>
      </c>
      <c r="B5134" s="3" t="inlineStr">
        <is>
          <t>삼성출판사</t>
        </is>
      </c>
      <c r="C5134" s="2" t="inlineStr">
        <is>
          <t>068290</t>
        </is>
      </c>
      <c r="D5134" s="2" t="inlineStr">
        <is>
          <t>임원보고</t>
        </is>
      </c>
      <c r="E5134" s="3" t="inlineStr">
        <is>
          <t>-</t>
        </is>
      </c>
      <c r="F5134" s="3" t="inlineStr">
        <is>
          <t>-</t>
        </is>
      </c>
      <c r="G5134" s="3" t="inlineStr">
        <is>
          <t>-</t>
        </is>
      </c>
      <c r="H5134" s="6" t="inlineStr"/>
      <c r="I5134" s="6" t="inlineStr"/>
      <c r="J5134" s="6" t="inlineStr"/>
      <c r="K5134" s="16" t="n">
        <v>12</v>
      </c>
      <c r="L5134" s="2" t="inlineStr">
        <is>
          <t>20260630800319</t>
        </is>
      </c>
      <c r="M5134" s="8">
        <f>HYPERLINK("https://dart.fss.or.kr/dsaf001/main.do?rcpNo=20260630800319", "공시열람")</f>
        <v/>
      </c>
    </row>
    <row r="5135" ht="22" customHeight="1">
      <c r="A5135" s="2" t="inlineStr">
        <is>
          <t>2026-06-30</t>
        </is>
      </c>
      <c r="B5135" s="3" t="inlineStr">
        <is>
          <t>오픈놀</t>
        </is>
      </c>
      <c r="C5135" s="2" t="inlineStr">
        <is>
          <t>440320</t>
        </is>
      </c>
      <c r="D5135" s="2" t="inlineStr">
        <is>
          <t>대량보유</t>
        </is>
      </c>
      <c r="E5135" s="3" t="inlineStr">
        <is>
          <t>한상태</t>
        </is>
      </c>
      <c r="F5135" s="3" t="inlineStr">
        <is>
          <t>특별관계자</t>
        </is>
      </c>
      <c r="G5135" s="3" t="inlineStr">
        <is>
          <t>특별관계해소(-)</t>
        </is>
      </c>
      <c r="H5135" s="17" t="n">
        <v>-342858</v>
      </c>
      <c r="I5135" s="6" t="inlineStr"/>
      <c r="J5135" s="6" t="inlineStr"/>
      <c r="K5135" s="16" t="n">
        <v>1</v>
      </c>
      <c r="L5135" s="2" t="inlineStr">
        <is>
          <t>20260630000228</t>
        </is>
      </c>
      <c r="M5135" s="8">
        <f>HYPERLINK("https://dart.fss.or.kr/dsaf001/main.do?rcpNo=20260630000228", "공시열람")</f>
        <v/>
      </c>
    </row>
    <row r="5136" ht="22" customHeight="1">
      <c r="A5136" s="2" t="inlineStr">
        <is>
          <t>2026-06-30</t>
        </is>
      </c>
      <c r="B5136" s="3" t="inlineStr">
        <is>
          <t>경방</t>
        </is>
      </c>
      <c r="C5136" s="2" t="inlineStr">
        <is>
          <t>000050</t>
        </is>
      </c>
      <c r="D5136" s="2" t="inlineStr">
        <is>
          <t>임원보고</t>
        </is>
      </c>
      <c r="E5136" s="3" t="inlineStr">
        <is>
          <t>-</t>
        </is>
      </c>
      <c r="F5136" s="3" t="inlineStr">
        <is>
          <t>-</t>
        </is>
      </c>
      <c r="G5136" s="3" t="inlineStr">
        <is>
          <t>-</t>
        </is>
      </c>
      <c r="H5136" s="6" t="inlineStr"/>
      <c r="I5136" s="6" t="inlineStr"/>
      <c r="J5136" s="6" t="inlineStr"/>
      <c r="K5136" s="16" t="n">
        <v>12</v>
      </c>
      <c r="L5136" s="2" t="inlineStr">
        <is>
          <t>20260630800244</t>
        </is>
      </c>
      <c r="M5136" s="8">
        <f>HYPERLINK("https://dart.fss.or.kr/dsaf001/main.do?rcpNo=20260630800244", "공시열람")</f>
        <v/>
      </c>
    </row>
    <row r="5137" ht="22" customHeight="1">
      <c r="A5137" s="2" t="inlineStr">
        <is>
          <t>2026-06-30</t>
        </is>
      </c>
      <c r="B5137" s="3" t="inlineStr">
        <is>
          <t>경방</t>
        </is>
      </c>
      <c r="C5137" s="2" t="inlineStr">
        <is>
          <t>000050</t>
        </is>
      </c>
      <c r="D5137" s="2" t="inlineStr">
        <is>
          <t>대량보유</t>
        </is>
      </c>
      <c r="E5137" s="3" t="inlineStr">
        <is>
          <t>상진공영㈜</t>
        </is>
      </c>
      <c r="F5137" s="3" t="inlineStr">
        <is>
          <t>특별관계자</t>
        </is>
      </c>
      <c r="G5137" s="3" t="inlineStr">
        <is>
          <t>장내매수(+)</t>
        </is>
      </c>
      <c r="H5137" s="15" t="n">
        <v>25250</v>
      </c>
      <c r="I5137" s="6" t="n">
        <v>9358</v>
      </c>
      <c r="J5137" s="6" t="n">
        <v>50250</v>
      </c>
      <c r="K5137" s="16" t="n">
        <v>19</v>
      </c>
      <c r="L5137" s="2" t="inlineStr">
        <is>
          <t>20260630000187</t>
        </is>
      </c>
      <c r="M5137" s="8">
        <f>HYPERLINK("https://dart.fss.or.kr/dsaf001/main.do?rcpNo=20260630000187", "공시열람")</f>
        <v/>
      </c>
    </row>
    <row r="5138" ht="22" customHeight="1">
      <c r="A5138" s="2" t="inlineStr">
        <is>
          <t>2026-06-30</t>
        </is>
      </c>
      <c r="B5138" s="3" t="inlineStr">
        <is>
          <t>경방</t>
        </is>
      </c>
      <c r="C5138" s="2" t="inlineStr">
        <is>
          <t>000050</t>
        </is>
      </c>
      <c r="D5138" s="2" t="inlineStr">
        <is>
          <t>대량보유</t>
        </is>
      </c>
      <c r="E5138" s="3" t="inlineStr">
        <is>
          <t>김지영</t>
        </is>
      </c>
      <c r="F5138" s="3" t="inlineStr">
        <is>
          <t>특별관계자</t>
        </is>
      </c>
      <c r="G5138" s="3" t="inlineStr">
        <is>
          <t>장내매수(+)</t>
        </is>
      </c>
      <c r="H5138" s="15" t="n">
        <v>85750</v>
      </c>
      <c r="I5138" s="6" t="n">
        <v>8765</v>
      </c>
      <c r="J5138" s="6" t="n">
        <v>178250</v>
      </c>
      <c r="K5138" s="16" t="n">
        <v>19</v>
      </c>
      <c r="L5138" s="2" t="inlineStr">
        <is>
          <t>20260630000187</t>
        </is>
      </c>
      <c r="M5138" s="8">
        <f>HYPERLINK("https://dart.fss.or.kr/dsaf001/main.do?rcpNo=20260630000187", "공시열람")</f>
        <v/>
      </c>
    </row>
    <row r="5139" ht="22" customHeight="1">
      <c r="A5139" s="2" t="inlineStr">
        <is>
          <t>2026-06-30</t>
        </is>
      </c>
      <c r="B5139" s="3" t="inlineStr">
        <is>
          <t>신흥</t>
        </is>
      </c>
      <c r="C5139" s="2" t="inlineStr">
        <is>
          <t>004080</t>
        </is>
      </c>
      <c r="D5139" s="2" t="inlineStr">
        <is>
          <t>대량보유</t>
        </is>
      </c>
      <c r="E5139" s="3" t="inlineStr">
        <is>
          <t>이용림</t>
        </is>
      </c>
      <c r="F5139" s="3" t="inlineStr">
        <is>
          <t>특별관계자</t>
        </is>
      </c>
      <c r="G5139" s="3" t="inlineStr">
        <is>
          <t>장내매도(-)</t>
        </is>
      </c>
      <c r="H5139" s="17" t="n">
        <v>-10000</v>
      </c>
      <c r="I5139" s="6" t="n">
        <v>13965</v>
      </c>
      <c r="J5139" s="6" t="n">
        <v>10000</v>
      </c>
      <c r="K5139" s="16" t="n">
        <v>25</v>
      </c>
      <c r="L5139" s="2" t="inlineStr">
        <is>
          <t>20260630000183</t>
        </is>
      </c>
      <c r="M5139" s="8">
        <f>HYPERLINK("https://dart.fss.or.kr/dsaf001/main.do?rcpNo=20260630000183", "공시열람")</f>
        <v/>
      </c>
    </row>
    <row r="5140" ht="22" customHeight="1">
      <c r="A5140" s="2" t="inlineStr">
        <is>
          <t>2026-06-30</t>
        </is>
      </c>
      <c r="B5140" s="3" t="inlineStr">
        <is>
          <t>신흥</t>
        </is>
      </c>
      <c r="C5140" s="2" t="inlineStr">
        <is>
          <t>004080</t>
        </is>
      </c>
      <c r="D5140" s="2" t="inlineStr">
        <is>
          <t>대량보유</t>
        </is>
      </c>
      <c r="E5140" s="3" t="inlineStr">
        <is>
          <t>코메트디엠아이코리아</t>
        </is>
      </c>
      <c r="F5140" s="3" t="inlineStr">
        <is>
          <t>특별관계자</t>
        </is>
      </c>
      <c r="G5140" s="3" t="inlineStr">
        <is>
          <t>장내매도(-)</t>
        </is>
      </c>
      <c r="H5140" s="17" t="n">
        <v>-1000</v>
      </c>
      <c r="I5140" s="6" t="n">
        <v>14027</v>
      </c>
      <c r="J5140" s="6" t="n">
        <v>79842</v>
      </c>
      <c r="K5140" s="16" t="n">
        <v>25</v>
      </c>
      <c r="L5140" s="2" t="inlineStr">
        <is>
          <t>20260630000183</t>
        </is>
      </c>
      <c r="M5140" s="8">
        <f>HYPERLINK("https://dart.fss.or.kr/dsaf001/main.do?rcpNo=20260630000183", "공시열람")</f>
        <v/>
      </c>
    </row>
    <row r="5141" ht="22" customHeight="1">
      <c r="A5141" s="2" t="inlineStr">
        <is>
          <t>2026-06-30</t>
        </is>
      </c>
      <c r="B5141" s="3" t="inlineStr">
        <is>
          <t>신흥</t>
        </is>
      </c>
      <c r="C5141" s="2" t="inlineStr">
        <is>
          <t>004080</t>
        </is>
      </c>
      <c r="D5141" s="2" t="inlineStr">
        <is>
          <t>대량보유</t>
        </is>
      </c>
      <c r="E5141" s="3" t="inlineStr">
        <is>
          <t>신성치재</t>
        </is>
      </c>
      <c r="F5141" s="3" t="inlineStr">
        <is>
          <t>특별관계자</t>
        </is>
      </c>
      <c r="G5141" s="3" t="inlineStr">
        <is>
          <t>시간외매매(-)</t>
        </is>
      </c>
      <c r="H5141" s="17" t="n">
        <v>-4849</v>
      </c>
      <c r="I5141" s="6" t="n">
        <v>14080</v>
      </c>
      <c r="J5141" s="6" t="n">
        <v>30147</v>
      </c>
      <c r="K5141" s="16" t="n">
        <v>25</v>
      </c>
      <c r="L5141" s="2" t="inlineStr">
        <is>
          <t>20260630000183</t>
        </is>
      </c>
      <c r="M5141" s="8">
        <f>HYPERLINK("https://dart.fss.or.kr/dsaf001/main.do?rcpNo=20260630000183", "공시열람")</f>
        <v/>
      </c>
    </row>
    <row r="5142" ht="22" customHeight="1">
      <c r="A5142" s="2" t="inlineStr">
        <is>
          <t>2026-06-30</t>
        </is>
      </c>
      <c r="B5142" s="3" t="inlineStr">
        <is>
          <t>신흥</t>
        </is>
      </c>
      <c r="C5142" s="2" t="inlineStr">
        <is>
          <t>004080</t>
        </is>
      </c>
      <c r="D5142" s="2" t="inlineStr">
        <is>
          <t>대량보유</t>
        </is>
      </c>
      <c r="E5142" s="3" t="inlineStr">
        <is>
          <t>신기화</t>
        </is>
      </c>
      <c r="F5142" s="3" t="inlineStr">
        <is>
          <t>특별관계자</t>
        </is>
      </c>
      <c r="G5142" s="3" t="inlineStr">
        <is>
          <t>시간외매매(+)</t>
        </is>
      </c>
      <c r="H5142" s="15" t="n">
        <v>625</v>
      </c>
      <c r="I5142" s="6" t="n">
        <v>14080</v>
      </c>
      <c r="J5142" s="6" t="n">
        <v>81020</v>
      </c>
      <c r="K5142" s="16" t="n">
        <v>25</v>
      </c>
      <c r="L5142" s="2" t="inlineStr">
        <is>
          <t>20260630000183</t>
        </is>
      </c>
      <c r="M5142" s="8">
        <f>HYPERLINK("https://dart.fss.or.kr/dsaf001/main.do?rcpNo=20260630000183", "공시열람")</f>
        <v/>
      </c>
    </row>
    <row r="5143" ht="22" customHeight="1">
      <c r="A5143" s="2" t="inlineStr">
        <is>
          <t>2026-06-30</t>
        </is>
      </c>
      <c r="B5143" s="3" t="inlineStr">
        <is>
          <t>신흥</t>
        </is>
      </c>
      <c r="C5143" s="2" t="inlineStr">
        <is>
          <t>004080</t>
        </is>
      </c>
      <c r="D5143" s="2" t="inlineStr">
        <is>
          <t>대량보유</t>
        </is>
      </c>
      <c r="E5143" s="3" t="inlineStr">
        <is>
          <t>이재민</t>
        </is>
      </c>
      <c r="F5143" s="3" t="inlineStr">
        <is>
          <t>특별관계자</t>
        </is>
      </c>
      <c r="G5143" s="3" t="inlineStr">
        <is>
          <t>시간외매매(+)</t>
        </is>
      </c>
      <c r="H5143" s="15" t="n">
        <v>1154</v>
      </c>
      <c r="I5143" s="6" t="n">
        <v>14080</v>
      </c>
      <c r="J5143" s="6" t="n">
        <v>149620</v>
      </c>
      <c r="K5143" s="16" t="n">
        <v>25</v>
      </c>
      <c r="L5143" s="2" t="inlineStr">
        <is>
          <t>20260630000183</t>
        </is>
      </c>
      <c r="M5143" s="8">
        <f>HYPERLINK("https://dart.fss.or.kr/dsaf001/main.do?rcpNo=20260630000183", "공시열람")</f>
        <v/>
      </c>
    </row>
    <row r="5144" ht="22" customHeight="1">
      <c r="A5144" s="2" t="inlineStr">
        <is>
          <t>2026-06-30</t>
        </is>
      </c>
      <c r="B5144" s="3" t="inlineStr">
        <is>
          <t>신흥</t>
        </is>
      </c>
      <c r="C5144" s="2" t="inlineStr">
        <is>
          <t>004080</t>
        </is>
      </c>
      <c r="D5144" s="2" t="inlineStr">
        <is>
          <t>대량보유</t>
        </is>
      </c>
      <c r="E5144" s="3" t="inlineStr">
        <is>
          <t>이상민</t>
        </is>
      </c>
      <c r="F5144" s="3" t="inlineStr">
        <is>
          <t>특별관계자</t>
        </is>
      </c>
      <c r="G5144" s="3" t="inlineStr">
        <is>
          <t>시간외매매(+)</t>
        </is>
      </c>
      <c r="H5144" s="15" t="n">
        <v>1062</v>
      </c>
      <c r="I5144" s="6" t="n">
        <v>14080</v>
      </c>
      <c r="J5144" s="6" t="n">
        <v>137728</v>
      </c>
      <c r="K5144" s="16" t="n">
        <v>25</v>
      </c>
      <c r="L5144" s="2" t="inlineStr">
        <is>
          <t>20260630000183</t>
        </is>
      </c>
      <c r="M5144" s="8">
        <f>HYPERLINK("https://dart.fss.or.kr/dsaf001/main.do?rcpNo=20260630000183", "공시열람")</f>
        <v/>
      </c>
    </row>
    <row r="5145" ht="22" customHeight="1">
      <c r="A5145" s="2" t="inlineStr">
        <is>
          <t>2026-06-30</t>
        </is>
      </c>
      <c r="B5145" s="3" t="inlineStr">
        <is>
          <t>신흥</t>
        </is>
      </c>
      <c r="C5145" s="2" t="inlineStr">
        <is>
          <t>004080</t>
        </is>
      </c>
      <c r="D5145" s="2" t="inlineStr">
        <is>
          <t>대량보유</t>
        </is>
      </c>
      <c r="E5145" s="3" t="inlineStr">
        <is>
          <t>이남곤</t>
        </is>
      </c>
      <c r="F5145" s="3" t="inlineStr">
        <is>
          <t>특별관계자</t>
        </is>
      </c>
      <c r="G5145" s="3" t="inlineStr">
        <is>
          <t>시간외매매(+)</t>
        </is>
      </c>
      <c r="H5145" s="15" t="n">
        <v>1063</v>
      </c>
      <c r="I5145" s="6" t="n">
        <v>14080</v>
      </c>
      <c r="J5145" s="6" t="n">
        <v>137725</v>
      </c>
      <c r="K5145" s="16" t="n">
        <v>25</v>
      </c>
      <c r="L5145" s="2" t="inlineStr">
        <is>
          <t>20260630000183</t>
        </is>
      </c>
      <c r="M5145" s="8">
        <f>HYPERLINK("https://dart.fss.or.kr/dsaf001/main.do?rcpNo=20260630000183", "공시열람")</f>
        <v/>
      </c>
    </row>
    <row r="5146" ht="22" customHeight="1">
      <c r="A5146" s="2" t="inlineStr">
        <is>
          <t>2026-06-30</t>
        </is>
      </c>
      <c r="B5146" s="3" t="inlineStr">
        <is>
          <t>신흥</t>
        </is>
      </c>
      <c r="C5146" s="2" t="inlineStr">
        <is>
          <t>004080</t>
        </is>
      </c>
      <c r="D5146" s="2" t="inlineStr">
        <is>
          <t>대량보유</t>
        </is>
      </c>
      <c r="E5146" s="3" t="inlineStr">
        <is>
          <t>신수철</t>
        </is>
      </c>
      <c r="F5146" s="3" t="inlineStr">
        <is>
          <t>특별관계자</t>
        </is>
      </c>
      <c r="G5146" s="3" t="inlineStr">
        <is>
          <t>장내매수(+), 시간외매매(+)</t>
        </is>
      </c>
      <c r="H5146" s="15" t="n">
        <v>1289</v>
      </c>
      <c r="I5146" s="6" t="n">
        <v>13833</v>
      </c>
      <c r="J5146" s="6" t="n">
        <v>9508</v>
      </c>
      <c r="K5146" s="16" t="n">
        <v>25</v>
      </c>
      <c r="L5146" s="2" t="inlineStr">
        <is>
          <t>20260630000183</t>
        </is>
      </c>
      <c r="M5146" s="8">
        <f>HYPERLINK("https://dart.fss.or.kr/dsaf001/main.do?rcpNo=20260630000183", "공시열람")</f>
        <v/>
      </c>
    </row>
    <row r="5147" ht="22" customHeight="1">
      <c r="A5147" s="2" t="inlineStr">
        <is>
          <t>2026-06-30</t>
        </is>
      </c>
      <c r="B5147" s="3" t="inlineStr">
        <is>
          <t>신흥</t>
        </is>
      </c>
      <c r="C5147" s="2" t="inlineStr">
        <is>
          <t>004080</t>
        </is>
      </c>
      <c r="D5147" s="2" t="inlineStr">
        <is>
          <t>대량보유</t>
        </is>
      </c>
      <c r="E5147" s="3" t="inlineStr">
        <is>
          <t>이용익</t>
        </is>
      </c>
      <c r="F5147" s="3" t="inlineStr">
        <is>
          <t>특별관계자</t>
        </is>
      </c>
      <c r="G5147" s="3" t="inlineStr">
        <is>
          <t>기타(-), 증여(-), 시간외매매(-), 장외매도(-)</t>
        </is>
      </c>
      <c r="H5147" s="17" t="n">
        <v>-92646</v>
      </c>
      <c r="I5147" s="6" t="n">
        <v>11762</v>
      </c>
      <c r="J5147" s="6" t="n">
        <v>1689825</v>
      </c>
      <c r="K5147" s="16" t="n">
        <v>25</v>
      </c>
      <c r="L5147" s="2" t="inlineStr">
        <is>
          <t>20260630000183</t>
        </is>
      </c>
      <c r="M5147" s="8">
        <f>HYPERLINK("https://dart.fss.or.kr/dsaf001/main.do?rcpNo=20260630000183", "공시열람")</f>
        <v/>
      </c>
    </row>
    <row r="5148" ht="22" customHeight="1">
      <c r="A5148" s="2" t="inlineStr">
        <is>
          <t>2026-06-30</t>
        </is>
      </c>
      <c r="B5148" s="3" t="inlineStr">
        <is>
          <t>신흥</t>
        </is>
      </c>
      <c r="C5148" s="2" t="inlineStr">
        <is>
          <t>004080</t>
        </is>
      </c>
      <c r="D5148" s="2" t="inlineStr">
        <is>
          <t>대량보유</t>
        </is>
      </c>
      <c r="E5148" s="3" t="inlineStr">
        <is>
          <t>디브이몰</t>
        </is>
      </c>
      <c r="F5148" s="3" t="inlineStr">
        <is>
          <t>특별관계자</t>
        </is>
      </c>
      <c r="G5148" s="3" t="inlineStr">
        <is>
          <t>장내매수(+)</t>
        </is>
      </c>
      <c r="H5148" s="15" t="n">
        <v>42675</v>
      </c>
      <c r="I5148" s="6" t="n">
        <v>13765</v>
      </c>
      <c r="J5148" s="6" t="n">
        <v>192804</v>
      </c>
      <c r="K5148" s="16" t="n">
        <v>25</v>
      </c>
      <c r="L5148" s="2" t="inlineStr">
        <is>
          <t>20260630000183</t>
        </is>
      </c>
      <c r="M5148" s="8">
        <f>HYPERLINK("https://dart.fss.or.kr/dsaf001/main.do?rcpNo=20260630000183", "공시열람")</f>
        <v/>
      </c>
    </row>
    <row r="5149" ht="22" customHeight="1">
      <c r="A5149" s="2" t="inlineStr">
        <is>
          <t>2026-06-30</t>
        </is>
      </c>
      <c r="B5149" s="3" t="inlineStr">
        <is>
          <t>신흥</t>
        </is>
      </c>
      <c r="C5149" s="2" t="inlineStr">
        <is>
          <t>004080</t>
        </is>
      </c>
      <c r="D5149" s="2" t="inlineStr">
        <is>
          <t>대량보유</t>
        </is>
      </c>
      <c r="E5149" s="3" t="inlineStr">
        <is>
          <t>디브이홀딩스</t>
        </is>
      </c>
      <c r="F5149" s="3" t="inlineStr">
        <is>
          <t>특별관계자</t>
        </is>
      </c>
      <c r="G5149" s="3" t="inlineStr">
        <is>
          <t>시간외매매(+)</t>
        </is>
      </c>
      <c r="H5149" s="15" t="n">
        <v>1500</v>
      </c>
      <c r="I5149" s="6" t="n">
        <v>13750</v>
      </c>
      <c r="J5149" s="6" t="n">
        <v>839143</v>
      </c>
      <c r="K5149" s="16" t="n">
        <v>25</v>
      </c>
      <c r="L5149" s="2" t="inlineStr">
        <is>
          <t>20260630000183</t>
        </is>
      </c>
      <c r="M5149" s="8">
        <f>HYPERLINK("https://dart.fss.or.kr/dsaf001/main.do?rcpNo=20260630000183", "공시열람")</f>
        <v/>
      </c>
    </row>
    <row r="5150" ht="22" customHeight="1">
      <c r="A5150" s="2" t="inlineStr">
        <is>
          <t>2026-06-30</t>
        </is>
      </c>
      <c r="B5150" s="3" t="inlineStr">
        <is>
          <t>신흥</t>
        </is>
      </c>
      <c r="C5150" s="2" t="inlineStr">
        <is>
          <t>004080</t>
        </is>
      </c>
      <c r="D5150" s="2" t="inlineStr">
        <is>
          <t>대량보유</t>
        </is>
      </c>
      <c r="E5150" s="3" t="inlineStr">
        <is>
          <t>김양순</t>
        </is>
      </c>
      <c r="F5150" s="3" t="inlineStr">
        <is>
          <t>특별관계자</t>
        </is>
      </c>
      <c r="G5150" s="3" t="inlineStr">
        <is>
          <t>시간외매매(-)</t>
        </is>
      </c>
      <c r="H5150" s="17" t="n">
        <v>-4500</v>
      </c>
      <c r="I5150" s="6" t="n">
        <v>13830</v>
      </c>
      <c r="J5150" s="6" t="n">
        <v>492912</v>
      </c>
      <c r="K5150" s="16" t="n">
        <v>25</v>
      </c>
      <c r="L5150" s="2" t="inlineStr">
        <is>
          <t>20260630000183</t>
        </is>
      </c>
      <c r="M5150" s="8">
        <f>HYPERLINK("https://dart.fss.or.kr/dsaf001/main.do?rcpNo=20260630000183", "공시열람")</f>
        <v/>
      </c>
    </row>
    <row r="5151" ht="22" customHeight="1">
      <c r="A5151" s="2" t="inlineStr">
        <is>
          <t>2026-06-30</t>
        </is>
      </c>
      <c r="B5151" s="3" t="inlineStr">
        <is>
          <t>신흥</t>
        </is>
      </c>
      <c r="C5151" s="2" t="inlineStr">
        <is>
          <t>004080</t>
        </is>
      </c>
      <c r="D5151" s="2" t="inlineStr">
        <is>
          <t>임원보고</t>
        </is>
      </c>
      <c r="E5151" s="3" t="inlineStr">
        <is>
          <t>-</t>
        </is>
      </c>
      <c r="F5151" s="3" t="inlineStr">
        <is>
          <t>-</t>
        </is>
      </c>
      <c r="G5151" s="3" t="inlineStr">
        <is>
          <t>-</t>
        </is>
      </c>
      <c r="H5151" s="6" t="inlineStr"/>
      <c r="I5151" s="6" t="inlineStr"/>
      <c r="J5151" s="6" t="inlineStr"/>
      <c r="K5151" s="16" t="n">
        <v>12</v>
      </c>
      <c r="L5151" s="2" t="inlineStr">
        <is>
          <t>20260630800229</t>
        </is>
      </c>
      <c r="M5151" s="8">
        <f>HYPERLINK("https://dart.fss.or.kr/dsaf001/main.do?rcpNo=20260630800229", "공시열람")</f>
        <v/>
      </c>
    </row>
    <row r="5152" ht="22" customHeight="1">
      <c r="A5152" s="2" t="inlineStr">
        <is>
          <t>2026-06-30</t>
        </is>
      </c>
      <c r="B5152" s="3" t="inlineStr">
        <is>
          <t>샤페론</t>
        </is>
      </c>
      <c r="C5152" s="2" t="inlineStr">
        <is>
          <t>378800</t>
        </is>
      </c>
      <c r="D5152" s="2" t="inlineStr">
        <is>
          <t>대량보유</t>
        </is>
      </c>
      <c r="E5152" s="3" t="inlineStr">
        <is>
          <t>성승용</t>
        </is>
      </c>
      <c r="F5152" s="3" t="inlineStr">
        <is>
          <t>특별관계자</t>
        </is>
      </c>
      <c r="G5152" s="3" t="inlineStr">
        <is>
          <t>장내매수(+)</t>
        </is>
      </c>
      <c r="H5152" s="15" t="n">
        <v>157670</v>
      </c>
      <c r="I5152" s="6" t="n">
        <v>639</v>
      </c>
      <c r="J5152" s="6" t="n">
        <v>5247670</v>
      </c>
      <c r="K5152" s="16" t="n">
        <v>2</v>
      </c>
      <c r="L5152" s="2" t="inlineStr">
        <is>
          <t>20260630000079</t>
        </is>
      </c>
      <c r="M5152" s="8">
        <f>HYPERLINK("https://dart.fss.or.kr/dsaf001/main.do?rcpNo=20260630000079", "공시열람")</f>
        <v/>
      </c>
    </row>
    <row r="5153" ht="22" customHeight="1">
      <c r="A5153" s="2" t="inlineStr">
        <is>
          <t>2026-06-30</t>
        </is>
      </c>
      <c r="B5153" s="3" t="inlineStr">
        <is>
          <t>샤페론</t>
        </is>
      </c>
      <c r="C5153" s="2" t="inlineStr">
        <is>
          <t>378800</t>
        </is>
      </c>
      <c r="D5153" s="2" t="inlineStr">
        <is>
          <t>대량보유</t>
        </is>
      </c>
      <c r="E5153" s="3" t="inlineStr">
        <is>
          <t>고현승</t>
        </is>
      </c>
      <c r="F5153" s="3" t="inlineStr">
        <is>
          <t>특별관계자</t>
        </is>
      </c>
      <c r="G5153" s="3" t="inlineStr">
        <is>
          <t>장내매수(+)</t>
        </is>
      </c>
      <c r="H5153" s="15" t="n">
        <v>46875</v>
      </c>
      <c r="I5153" s="6" t="n">
        <v>625</v>
      </c>
      <c r="J5153" s="6" t="n">
        <v>91875</v>
      </c>
      <c r="K5153" s="16" t="n">
        <v>2</v>
      </c>
      <c r="L5153" s="2" t="inlineStr">
        <is>
          <t>20260630000079</t>
        </is>
      </c>
      <c r="M5153" s="8">
        <f>HYPERLINK("https://dart.fss.or.kr/dsaf001/main.do?rcpNo=20260630000079", "공시열람")</f>
        <v/>
      </c>
    </row>
  </sheetData>
  <autoFilter ref="A1:M51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2026-07-01T08:28:51Z</dcterms:created>
  <dcterms:modified xmlns:dcterms="http://purl.org/dc/terms/" xmlns:xsi="http://www.w3.org/2001/XMLSchema-instance" xsi:type="dcterms:W3CDTF">2026-07-01T08:31:12Z</dcterms:modified>
</cp:coreProperties>
</file>